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1.xml" ContentType="application/vnd.openxmlformats-officedocument.spreadsheetml.pivot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abriggs\Documents\Coding_Practice\Python\Jerseys\"/>
    </mc:Choice>
  </mc:AlternateContent>
  <xr:revisionPtr revIDLastSave="0" documentId="13_ncr:1_{1D26624F-5F42-431F-B7A0-7DDDA46DD585}" xr6:coauthVersionLast="47" xr6:coauthVersionMax="47" xr10:uidLastSave="{00000000-0000-0000-0000-000000000000}"/>
  <bookViews>
    <workbookView xWindow="-120" yWindow="-120" windowWidth="29040" windowHeight="15840" xr2:uid="{14671ADB-21A6-40D3-9D43-7FFD5CF5840D}"/>
  </bookViews>
  <sheets>
    <sheet name="DataRegularSeason20242025" sheetId="1" r:id="rId1"/>
    <sheet name="Sheet1" sheetId="6" r:id="rId2"/>
    <sheet name="Sheet2" sheetId="7" r:id="rId3"/>
    <sheet name="TotalTeamGames20242025" sheetId="3" r:id="rId4"/>
    <sheet name="CurrentTeamGames20242025" sheetId="4" r:id="rId5"/>
    <sheet name="CTG2425_DIV" sheetId="8" r:id="rId6"/>
    <sheet name="WatchedGames20242025" sheetId="5" r:id="rId7"/>
    <sheet name="StatsRegularSeason20242025" sheetId="2" r:id="rId8"/>
    <sheet name="Sheet3" sheetId="9" r:id="rId9"/>
    <sheet name="Sheet4" sheetId="10" r:id="rId10"/>
    <sheet name="Sheet5" sheetId="11" r:id="rId11"/>
  </sheets>
  <calcPr calcId="191029"/>
  <pivotCaches>
    <pivotCache cacheId="0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06" i="1" l="1"/>
  <c r="I69" i="7"/>
  <c r="H69" i="7"/>
  <c r="G69" i="7"/>
  <c r="F69" i="7"/>
  <c r="E69" i="7"/>
  <c r="D69" i="7"/>
  <c r="I67" i="7"/>
  <c r="H67" i="7"/>
  <c r="G67" i="7"/>
  <c r="F67" i="7"/>
  <c r="E67" i="7"/>
  <c r="D67" i="7"/>
  <c r="H64" i="7"/>
  <c r="G64" i="7"/>
  <c r="F64" i="7"/>
  <c r="E64" i="7"/>
  <c r="D64" i="7"/>
  <c r="I63" i="7"/>
  <c r="H63" i="7"/>
  <c r="G63" i="7"/>
  <c r="F63" i="7"/>
  <c r="E63" i="7"/>
  <c r="D63" i="7"/>
  <c r="H68" i="7"/>
  <c r="G68" i="7"/>
  <c r="F68" i="7"/>
  <c r="E68" i="7"/>
  <c r="D68" i="7"/>
  <c r="G66" i="7"/>
  <c r="F66" i="7"/>
  <c r="E66" i="7"/>
  <c r="D66" i="7"/>
  <c r="H62" i="7"/>
  <c r="G62" i="7"/>
  <c r="F62" i="7"/>
  <c r="E62" i="7"/>
  <c r="D62" i="7"/>
  <c r="H65" i="7"/>
  <c r="G65" i="7"/>
  <c r="F65" i="7"/>
  <c r="E65" i="7"/>
  <c r="D65" i="7"/>
  <c r="G60" i="7"/>
  <c r="F60" i="7"/>
  <c r="E60" i="7"/>
  <c r="D60" i="7"/>
  <c r="I59" i="7"/>
  <c r="H59" i="7"/>
  <c r="G59" i="7"/>
  <c r="F59" i="7"/>
  <c r="E59" i="7"/>
  <c r="D59" i="7"/>
  <c r="H58" i="7"/>
  <c r="G58" i="7"/>
  <c r="F58" i="7"/>
  <c r="E58" i="7"/>
  <c r="D58" i="7"/>
  <c r="H57" i="7"/>
  <c r="G57" i="7"/>
  <c r="F57" i="7"/>
  <c r="E57" i="7"/>
  <c r="D57" i="7"/>
  <c r="G54" i="7"/>
  <c r="F54" i="7"/>
  <c r="E54" i="7"/>
  <c r="D54" i="7"/>
  <c r="I61" i="7"/>
  <c r="H61" i="7"/>
  <c r="G61" i="7"/>
  <c r="F61" i="7"/>
  <c r="E61" i="7"/>
  <c r="D61" i="7"/>
  <c r="I56" i="7"/>
  <c r="H56" i="7"/>
  <c r="G56" i="7"/>
  <c r="F56" i="7"/>
  <c r="E56" i="7"/>
  <c r="D56" i="7"/>
  <c r="I55" i="7"/>
  <c r="H55" i="7"/>
  <c r="G55" i="7"/>
  <c r="F55" i="7"/>
  <c r="E55" i="7"/>
  <c r="D55" i="7"/>
  <c r="G49" i="7"/>
  <c r="F49" i="7"/>
  <c r="E49" i="7"/>
  <c r="D49" i="7"/>
  <c r="I52" i="7"/>
  <c r="H52" i="7"/>
  <c r="G52" i="7"/>
  <c r="F52" i="7"/>
  <c r="E52" i="7"/>
  <c r="D52" i="7"/>
  <c r="I51" i="7"/>
  <c r="H51" i="7"/>
  <c r="G51" i="7"/>
  <c r="F51" i="7"/>
  <c r="E51" i="7"/>
  <c r="D51" i="7"/>
  <c r="G50" i="7"/>
  <c r="F50" i="7"/>
  <c r="E50" i="7"/>
  <c r="D50" i="7"/>
  <c r="I53" i="7"/>
  <c r="H53" i="7"/>
  <c r="G53" i="7"/>
  <c r="F53" i="7"/>
  <c r="E53" i="7"/>
  <c r="D53" i="7"/>
  <c r="D48" i="7"/>
  <c r="I46" i="7"/>
  <c r="H46" i="7"/>
  <c r="G46" i="7"/>
  <c r="F46" i="7"/>
  <c r="E46" i="7"/>
  <c r="D46" i="7"/>
  <c r="H47" i="7"/>
  <c r="G47" i="7"/>
  <c r="F47" i="7"/>
  <c r="E47" i="7"/>
  <c r="D47" i="7"/>
  <c r="D45" i="7"/>
  <c r="I38" i="7"/>
  <c r="H38" i="7"/>
  <c r="G38" i="7"/>
  <c r="F38" i="7"/>
  <c r="E38" i="7"/>
  <c r="D38" i="7"/>
  <c r="H39" i="7"/>
  <c r="G39" i="7"/>
  <c r="F39" i="7"/>
  <c r="E39" i="7"/>
  <c r="D39" i="7"/>
  <c r="I44" i="7"/>
  <c r="H44" i="7"/>
  <c r="G44" i="7"/>
  <c r="F44" i="7"/>
  <c r="E44" i="7"/>
  <c r="D44" i="7"/>
  <c r="I43" i="7"/>
  <c r="H43" i="7"/>
  <c r="G43" i="7"/>
  <c r="F43" i="7"/>
  <c r="E43" i="7"/>
  <c r="D43" i="7"/>
  <c r="H42" i="7"/>
  <c r="G42" i="7"/>
  <c r="F42" i="7"/>
  <c r="E42" i="7"/>
  <c r="D42" i="7"/>
  <c r="G41" i="7"/>
  <c r="F41" i="7"/>
  <c r="E41" i="7"/>
  <c r="D41" i="7"/>
  <c r="H40" i="7"/>
  <c r="G40" i="7"/>
  <c r="F40" i="7"/>
  <c r="E40" i="7"/>
  <c r="D40" i="7"/>
  <c r="BS15" i="1" a="1"/>
  <c r="BS15" i="1" s="1"/>
  <c r="BU15" i="1" a="1"/>
  <c r="BU15" i="1" s="1"/>
  <c r="BS14" i="1" a="1"/>
  <c r="BS14" i="1" s="1"/>
  <c r="BU14" i="1" a="1"/>
  <c r="BU14" i="1" s="1"/>
  <c r="BU13" i="1" a="1"/>
  <c r="BU13" i="1" s="1"/>
  <c r="BU12" i="1" a="1"/>
  <c r="BU12" i="1" s="1"/>
  <c r="BU11" i="1" a="1"/>
  <c r="BU11" i="1" s="1"/>
  <c r="BU10" i="1" a="1"/>
  <c r="BU10" i="1" s="1"/>
  <c r="BU9" i="1" a="1"/>
  <c r="BU9" i="1" s="1"/>
  <c r="BU8" i="1" a="1"/>
  <c r="BU8" i="1" s="1"/>
  <c r="BU7" i="1" a="1"/>
  <c r="BU7" i="1" s="1"/>
  <c r="BS13" i="1" a="1"/>
  <c r="BS13" i="1" s="1"/>
  <c r="BS12" i="1" a="1"/>
  <c r="BS12" i="1" s="1"/>
  <c r="BS11" i="1" a="1"/>
  <c r="BS11" i="1" s="1"/>
  <c r="BS10" i="1" a="1"/>
  <c r="BS10" i="1" s="1"/>
  <c r="BS9" i="1" a="1"/>
  <c r="BS9" i="1" s="1"/>
  <c r="BS8" i="1" a="1"/>
  <c r="BS8" i="1" s="1"/>
  <c r="BS7" i="1" a="1"/>
  <c r="BS7" i="1" s="1"/>
  <c r="BS6" i="1" a="1"/>
  <c r="BS6" i="1" s="1"/>
  <c r="BU6" i="1" a="1"/>
  <c r="BU6" i="1" s="1"/>
  <c r="D6" i="7"/>
  <c r="E6" i="7"/>
  <c r="F6" i="7"/>
  <c r="G6" i="7"/>
  <c r="H6" i="7"/>
  <c r="D9" i="7"/>
  <c r="D10" i="7"/>
  <c r="E10" i="7"/>
  <c r="F10" i="7"/>
  <c r="G10" i="7"/>
  <c r="H10" i="7"/>
  <c r="I10" i="7"/>
  <c r="D17" i="7"/>
  <c r="E17" i="7"/>
  <c r="F17" i="7"/>
  <c r="G17" i="7"/>
  <c r="H17" i="7"/>
  <c r="I17" i="7"/>
  <c r="D32" i="7"/>
  <c r="E32" i="7"/>
  <c r="F32" i="7"/>
  <c r="G32" i="7"/>
  <c r="H32" i="7"/>
  <c r="D21" i="7"/>
  <c r="E21" i="7"/>
  <c r="F21" i="7"/>
  <c r="G21" i="7"/>
  <c r="D18" i="7"/>
  <c r="E18" i="7"/>
  <c r="F18" i="7"/>
  <c r="G18" i="7"/>
  <c r="D24" i="7"/>
  <c r="E24" i="7"/>
  <c r="F24" i="7"/>
  <c r="G24" i="7"/>
  <c r="H24" i="7"/>
  <c r="I24" i="7"/>
  <c r="D2" i="7"/>
  <c r="E2" i="7"/>
  <c r="F2" i="7"/>
  <c r="G2" i="7"/>
  <c r="H2" i="7"/>
  <c r="I2" i="7"/>
  <c r="D29" i="7"/>
  <c r="E29" i="7"/>
  <c r="F29" i="7"/>
  <c r="G29" i="7"/>
  <c r="H29" i="7"/>
  <c r="D4" i="7"/>
  <c r="E4" i="7"/>
  <c r="F4" i="7"/>
  <c r="G4" i="7"/>
  <c r="D31" i="7"/>
  <c r="E31" i="7"/>
  <c r="F31" i="7"/>
  <c r="G31" i="7"/>
  <c r="D22" i="7"/>
  <c r="E22" i="7"/>
  <c r="F22" i="7"/>
  <c r="G22" i="7"/>
  <c r="H22" i="7"/>
  <c r="I22" i="7"/>
  <c r="D3" i="7"/>
  <c r="E3" i="7"/>
  <c r="F3" i="7"/>
  <c r="G3" i="7"/>
  <c r="H3" i="7"/>
  <c r="D12" i="7"/>
  <c r="D25" i="7"/>
  <c r="E25" i="7"/>
  <c r="F25" i="7"/>
  <c r="G25" i="7"/>
  <c r="H25" i="7"/>
  <c r="I25" i="7"/>
  <c r="D16" i="7"/>
  <c r="E16" i="7"/>
  <c r="F16" i="7"/>
  <c r="G16" i="7"/>
  <c r="H16" i="7"/>
  <c r="I16" i="7"/>
  <c r="D14" i="7"/>
  <c r="E14" i="7"/>
  <c r="F14" i="7"/>
  <c r="G14" i="7"/>
  <c r="D7" i="7"/>
  <c r="E7" i="7"/>
  <c r="F7" i="7"/>
  <c r="G7" i="7"/>
  <c r="H7" i="7"/>
  <c r="I7" i="7"/>
  <c r="D15" i="7"/>
  <c r="E15" i="7"/>
  <c r="F15" i="7"/>
  <c r="G15" i="7"/>
  <c r="H15" i="7"/>
  <c r="I15" i="7"/>
  <c r="D13" i="7"/>
  <c r="E13" i="7"/>
  <c r="F13" i="7"/>
  <c r="G13" i="7"/>
  <c r="D27" i="7"/>
  <c r="E27" i="7"/>
  <c r="F27" i="7"/>
  <c r="G27" i="7"/>
  <c r="H27" i="7"/>
  <c r="D33" i="7"/>
  <c r="E33" i="7"/>
  <c r="F33" i="7"/>
  <c r="G33" i="7"/>
  <c r="H33" i="7"/>
  <c r="I33" i="7"/>
  <c r="D23" i="7"/>
  <c r="E23" i="7"/>
  <c r="F23" i="7"/>
  <c r="G23" i="7"/>
  <c r="H23" i="7"/>
  <c r="D8" i="7"/>
  <c r="E8" i="7"/>
  <c r="F8" i="7"/>
  <c r="G8" i="7"/>
  <c r="H8" i="7"/>
  <c r="I8" i="7"/>
  <c r="D5" i="7"/>
  <c r="E5" i="7"/>
  <c r="F5" i="7"/>
  <c r="G5" i="7"/>
  <c r="H5" i="7"/>
  <c r="D20" i="7"/>
  <c r="E20" i="7"/>
  <c r="F20" i="7"/>
  <c r="G20" i="7"/>
  <c r="H20" i="7"/>
  <c r="D28" i="7"/>
  <c r="E28" i="7"/>
  <c r="F28" i="7"/>
  <c r="G28" i="7"/>
  <c r="H28" i="7"/>
  <c r="I28" i="7"/>
  <c r="D26" i="7"/>
  <c r="E26" i="7"/>
  <c r="F26" i="7"/>
  <c r="G26" i="7"/>
  <c r="H26" i="7"/>
  <c r="D19" i="7"/>
  <c r="E19" i="7"/>
  <c r="F19" i="7"/>
  <c r="G19" i="7"/>
  <c r="H19" i="7"/>
  <c r="I19" i="7"/>
  <c r="D11" i="7"/>
  <c r="E11" i="7"/>
  <c r="F11" i="7"/>
  <c r="G11" i="7"/>
  <c r="H11" i="7"/>
  <c r="E30" i="7"/>
  <c r="F30" i="7"/>
  <c r="G30" i="7"/>
  <c r="H30" i="7"/>
  <c r="I30" i="7"/>
  <c r="D30" i="7"/>
  <c r="CR34" i="2" a="1"/>
  <c r="BB22" i="2"/>
  <c r="BB6" i="2"/>
  <c r="BB33" i="2"/>
  <c r="BB21" i="2"/>
  <c r="BB28" i="2"/>
  <c r="BB11" i="2"/>
  <c r="BB17" i="2"/>
  <c r="BB25" i="2"/>
  <c r="BB31" i="2"/>
  <c r="BB16" i="2"/>
  <c r="BB4" i="2"/>
  <c r="BB2" i="2"/>
  <c r="BB10" i="2"/>
  <c r="BB30" i="2"/>
  <c r="BB14" i="2"/>
  <c r="BB23" i="2"/>
  <c r="BB13" i="2"/>
  <c r="BB27" i="2"/>
  <c r="BB5" i="2"/>
  <c r="BB7" i="2"/>
  <c r="BB19" i="2"/>
  <c r="BB20" i="2"/>
  <c r="BB24" i="2"/>
  <c r="BB18" i="2"/>
  <c r="BB3" i="2"/>
  <c r="BB15" i="2"/>
  <c r="BB29" i="2"/>
  <c r="BB12" i="2"/>
  <c r="BB8" i="2"/>
  <c r="BB32" i="2"/>
  <c r="BB26" i="2"/>
  <c r="BB9" i="2"/>
  <c r="AX22" i="2"/>
  <c r="AX6" i="2"/>
  <c r="AX33" i="2"/>
  <c r="AX21" i="2"/>
  <c r="AX28" i="2"/>
  <c r="AX11" i="2"/>
  <c r="AX17" i="2"/>
  <c r="AX25" i="2"/>
  <c r="AX31" i="2"/>
  <c r="AX16" i="2"/>
  <c r="AX4" i="2"/>
  <c r="AX2" i="2"/>
  <c r="AX10" i="2"/>
  <c r="AX30" i="2"/>
  <c r="AX14" i="2"/>
  <c r="AX23" i="2"/>
  <c r="AX13" i="2"/>
  <c r="AX27" i="2"/>
  <c r="AX5" i="2"/>
  <c r="AX7" i="2"/>
  <c r="AX19" i="2"/>
  <c r="AX20" i="2"/>
  <c r="AX24" i="2"/>
  <c r="AX18" i="2"/>
  <c r="AX3" i="2"/>
  <c r="AX15" i="2"/>
  <c r="AX29" i="2"/>
  <c r="AX12" i="2"/>
  <c r="AX8" i="2"/>
  <c r="AX32" i="2"/>
  <c r="AX26" i="2"/>
  <c r="AX9" i="2"/>
  <c r="AY28" i="2"/>
  <c r="AZ28" i="2"/>
  <c r="BC28" i="2"/>
  <c r="BD28" i="2"/>
  <c r="AY30" i="2"/>
  <c r="AZ30" i="2"/>
  <c r="BC30" i="2"/>
  <c r="BD30" i="2"/>
  <c r="AY4" i="2"/>
  <c r="AZ4" i="2"/>
  <c r="BC4" i="2"/>
  <c r="BD4" i="2"/>
  <c r="AY24" i="2"/>
  <c r="AZ24" i="2"/>
  <c r="BC24" i="2"/>
  <c r="BD24" i="2"/>
  <c r="AY33" i="2"/>
  <c r="AZ33" i="2"/>
  <c r="BC33" i="2"/>
  <c r="BD33" i="2"/>
  <c r="AY17" i="2"/>
  <c r="AZ17" i="2"/>
  <c r="BC17" i="2"/>
  <c r="BD17" i="2"/>
  <c r="AY2" i="2"/>
  <c r="AZ2" i="2"/>
  <c r="BC2" i="2"/>
  <c r="BD2" i="2"/>
  <c r="AY18" i="2"/>
  <c r="AZ18" i="2"/>
  <c r="BC18" i="2"/>
  <c r="BD18" i="2"/>
  <c r="AY5" i="2"/>
  <c r="AZ5" i="2"/>
  <c r="BC5" i="2"/>
  <c r="BD5" i="2"/>
  <c r="AY22" i="2"/>
  <c r="AZ22" i="2"/>
  <c r="BC22" i="2"/>
  <c r="BD22" i="2"/>
  <c r="AY21" i="2"/>
  <c r="AZ21" i="2"/>
  <c r="BC21" i="2"/>
  <c r="BD21" i="2"/>
  <c r="AY27" i="2"/>
  <c r="AZ27" i="2"/>
  <c r="BC27" i="2"/>
  <c r="BD27" i="2"/>
  <c r="AY20" i="2"/>
  <c r="AZ20" i="2"/>
  <c r="BC20" i="2"/>
  <c r="BD20" i="2"/>
  <c r="AY8" i="2"/>
  <c r="AZ8" i="2"/>
  <c r="BC8" i="2"/>
  <c r="BD8" i="2"/>
  <c r="AY7" i="2"/>
  <c r="AZ7" i="2"/>
  <c r="BC7" i="2"/>
  <c r="BD7" i="2"/>
  <c r="AY26" i="2"/>
  <c r="AZ26" i="2"/>
  <c r="BC26" i="2"/>
  <c r="BD26" i="2"/>
  <c r="AY23" i="2"/>
  <c r="AZ23" i="2"/>
  <c r="BC23" i="2"/>
  <c r="BD23" i="2"/>
  <c r="AY25" i="2"/>
  <c r="AZ25" i="2"/>
  <c r="BC25" i="2"/>
  <c r="BD25" i="2"/>
  <c r="AY29" i="2"/>
  <c r="AZ29" i="2"/>
  <c r="BC29" i="2"/>
  <c r="BD29" i="2"/>
  <c r="AY13" i="2"/>
  <c r="AZ13" i="2"/>
  <c r="BC13" i="2"/>
  <c r="BD13" i="2"/>
  <c r="AY10" i="2"/>
  <c r="AZ10" i="2"/>
  <c r="BC10" i="2"/>
  <c r="BD10" i="2"/>
  <c r="AY15" i="2"/>
  <c r="AZ15" i="2"/>
  <c r="BC15" i="2"/>
  <c r="BD15" i="2"/>
  <c r="AY32" i="2"/>
  <c r="AZ32" i="2"/>
  <c r="BC32" i="2"/>
  <c r="BD32" i="2"/>
  <c r="AY12" i="2"/>
  <c r="AZ12" i="2"/>
  <c r="BC12" i="2"/>
  <c r="BD12" i="2"/>
  <c r="AY31" i="2"/>
  <c r="AZ31" i="2"/>
  <c r="BC31" i="2"/>
  <c r="BD31" i="2"/>
  <c r="AY19" i="2"/>
  <c r="AZ19" i="2"/>
  <c r="BC19" i="2"/>
  <c r="BD19" i="2"/>
  <c r="AY11" i="2"/>
  <c r="AZ11" i="2"/>
  <c r="BC11" i="2"/>
  <c r="BD11" i="2"/>
  <c r="AY16" i="2"/>
  <c r="AZ16" i="2"/>
  <c r="BC16" i="2"/>
  <c r="BD16" i="2"/>
  <c r="AY3" i="2"/>
  <c r="AZ3" i="2"/>
  <c r="BC3" i="2"/>
  <c r="BD3" i="2"/>
  <c r="AY6" i="2"/>
  <c r="AZ6" i="2"/>
  <c r="BC6" i="2"/>
  <c r="BD6" i="2"/>
  <c r="AY9" i="2"/>
  <c r="AZ9" i="2"/>
  <c r="BC9" i="2"/>
  <c r="BD9" i="2"/>
  <c r="BD14" i="2"/>
  <c r="BC14" i="2"/>
  <c r="AZ14" i="2"/>
  <c r="AY14" i="2"/>
  <c r="D5" i="3"/>
  <c r="H5" i="3"/>
  <c r="J5" i="3"/>
  <c r="L5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BJ5" i="3"/>
  <c r="BL5" i="3"/>
  <c r="BN5" i="3"/>
  <c r="C6" i="3"/>
  <c r="G6" i="3"/>
  <c r="I6" i="3"/>
  <c r="K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BK6" i="3"/>
  <c r="BM6" i="3"/>
  <c r="D7" i="3"/>
  <c r="F7" i="3"/>
  <c r="J7" i="3"/>
  <c r="L7" i="3"/>
  <c r="N7" i="3"/>
  <c r="P7" i="3"/>
  <c r="R7" i="3"/>
  <c r="T7" i="3"/>
  <c r="V7" i="3"/>
  <c r="X7" i="3"/>
  <c r="Z7" i="3"/>
  <c r="AB7" i="3"/>
  <c r="AD7" i="3"/>
  <c r="AF7" i="3"/>
  <c r="AH7" i="3"/>
  <c r="AJ7" i="3"/>
  <c r="AL7" i="3"/>
  <c r="AN7" i="3"/>
  <c r="AP7" i="3"/>
  <c r="AR7" i="3"/>
  <c r="AT7" i="3"/>
  <c r="AV7" i="3"/>
  <c r="AX7" i="3"/>
  <c r="AZ7" i="3"/>
  <c r="BB7" i="3"/>
  <c r="BD7" i="3"/>
  <c r="BF7" i="3"/>
  <c r="BH7" i="3"/>
  <c r="BJ7" i="3"/>
  <c r="BL7" i="3"/>
  <c r="BN7" i="3"/>
  <c r="C8" i="3"/>
  <c r="E8" i="3"/>
  <c r="I8" i="3"/>
  <c r="K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BK8" i="3"/>
  <c r="BM8" i="3"/>
  <c r="D9" i="3"/>
  <c r="F9" i="3"/>
  <c r="H9" i="3"/>
  <c r="L9" i="3"/>
  <c r="N9" i="3"/>
  <c r="P9" i="3"/>
  <c r="R9" i="3"/>
  <c r="T9" i="3"/>
  <c r="V9" i="3"/>
  <c r="X9" i="3"/>
  <c r="Z9" i="3"/>
  <c r="AB9" i="3"/>
  <c r="AD9" i="3"/>
  <c r="AF9" i="3"/>
  <c r="AH9" i="3"/>
  <c r="AJ9" i="3"/>
  <c r="AL9" i="3"/>
  <c r="AN9" i="3"/>
  <c r="AP9" i="3"/>
  <c r="AR9" i="3"/>
  <c r="AT9" i="3"/>
  <c r="AV9" i="3"/>
  <c r="AX9" i="3"/>
  <c r="AZ9" i="3"/>
  <c r="BB9" i="3"/>
  <c r="BD9" i="3"/>
  <c r="BF9" i="3"/>
  <c r="BH9" i="3"/>
  <c r="BJ9" i="3"/>
  <c r="BL9" i="3"/>
  <c r="BN9" i="3"/>
  <c r="C10" i="3"/>
  <c r="E10" i="3"/>
  <c r="G10" i="3"/>
  <c r="K10" i="3"/>
  <c r="M10" i="3"/>
  <c r="O10" i="3"/>
  <c r="Q10" i="3"/>
  <c r="S10" i="3"/>
  <c r="U10" i="3"/>
  <c r="W10" i="3"/>
  <c r="Y10" i="3"/>
  <c r="AA10" i="3"/>
  <c r="AC10" i="3"/>
  <c r="AE10" i="3"/>
  <c r="AG10" i="3"/>
  <c r="AI10" i="3"/>
  <c r="AK10" i="3"/>
  <c r="AM10" i="3"/>
  <c r="AO10" i="3"/>
  <c r="AQ10" i="3"/>
  <c r="AS10" i="3"/>
  <c r="AU10" i="3"/>
  <c r="AW10" i="3"/>
  <c r="AY10" i="3"/>
  <c r="BA10" i="3"/>
  <c r="BC10" i="3"/>
  <c r="BE10" i="3"/>
  <c r="BG10" i="3"/>
  <c r="BI10" i="3"/>
  <c r="BK10" i="3"/>
  <c r="BM10" i="3"/>
  <c r="D11" i="3"/>
  <c r="F11" i="3"/>
  <c r="H11" i="3"/>
  <c r="J11" i="3"/>
  <c r="N11" i="3"/>
  <c r="P11" i="3"/>
  <c r="R11" i="3"/>
  <c r="T11" i="3"/>
  <c r="V11" i="3"/>
  <c r="X11" i="3"/>
  <c r="Z11" i="3"/>
  <c r="AB11" i="3"/>
  <c r="AD11" i="3"/>
  <c r="AF11" i="3"/>
  <c r="AH11" i="3"/>
  <c r="AJ11" i="3"/>
  <c r="AL11" i="3"/>
  <c r="AN11" i="3"/>
  <c r="AP11" i="3"/>
  <c r="AR11" i="3"/>
  <c r="AT11" i="3"/>
  <c r="AV11" i="3"/>
  <c r="AX11" i="3"/>
  <c r="AZ11" i="3"/>
  <c r="BB11" i="3"/>
  <c r="BD11" i="3"/>
  <c r="BF11" i="3"/>
  <c r="BH11" i="3"/>
  <c r="BJ11" i="3"/>
  <c r="BL11" i="3"/>
  <c r="BN11" i="3"/>
  <c r="C12" i="3"/>
  <c r="E12" i="3"/>
  <c r="G12" i="3"/>
  <c r="I12" i="3"/>
  <c r="M12" i="3"/>
  <c r="O12" i="3"/>
  <c r="Q12" i="3"/>
  <c r="S12" i="3"/>
  <c r="U12" i="3"/>
  <c r="W12" i="3"/>
  <c r="Y12" i="3"/>
  <c r="AA12" i="3"/>
  <c r="AC12" i="3"/>
  <c r="AE12" i="3"/>
  <c r="AG12" i="3"/>
  <c r="AI12" i="3"/>
  <c r="AK12" i="3"/>
  <c r="AM12" i="3"/>
  <c r="AO12" i="3"/>
  <c r="AQ12" i="3"/>
  <c r="AS12" i="3"/>
  <c r="AU12" i="3"/>
  <c r="AW12" i="3"/>
  <c r="AY12" i="3"/>
  <c r="BA12" i="3"/>
  <c r="BC12" i="3"/>
  <c r="BE12" i="3"/>
  <c r="BG12" i="3"/>
  <c r="BI12" i="3"/>
  <c r="BK12" i="3"/>
  <c r="BM12" i="3"/>
  <c r="D13" i="3"/>
  <c r="F13" i="3"/>
  <c r="H13" i="3"/>
  <c r="J13" i="3"/>
  <c r="L13" i="3"/>
  <c r="P13" i="3"/>
  <c r="R13" i="3"/>
  <c r="T13" i="3"/>
  <c r="V13" i="3"/>
  <c r="X13" i="3"/>
  <c r="Z13" i="3"/>
  <c r="AB13" i="3"/>
  <c r="AD13" i="3"/>
  <c r="AF13" i="3"/>
  <c r="AH13" i="3"/>
  <c r="AJ13" i="3"/>
  <c r="AL13" i="3"/>
  <c r="AN13" i="3"/>
  <c r="AP13" i="3"/>
  <c r="AR13" i="3"/>
  <c r="AT13" i="3"/>
  <c r="AV13" i="3"/>
  <c r="AX13" i="3"/>
  <c r="AZ13" i="3"/>
  <c r="BB13" i="3"/>
  <c r="BD13" i="3"/>
  <c r="BF13" i="3"/>
  <c r="BH13" i="3"/>
  <c r="BJ13" i="3"/>
  <c r="BL13" i="3"/>
  <c r="BN13" i="3"/>
  <c r="C14" i="3"/>
  <c r="E14" i="3"/>
  <c r="G14" i="3"/>
  <c r="I14" i="3"/>
  <c r="K14" i="3"/>
  <c r="O14" i="3"/>
  <c r="Q14" i="3"/>
  <c r="S14" i="3"/>
  <c r="U14" i="3"/>
  <c r="W14" i="3"/>
  <c r="Y14" i="3"/>
  <c r="AA14" i="3"/>
  <c r="AC14" i="3"/>
  <c r="AE14" i="3"/>
  <c r="AG14" i="3"/>
  <c r="AI14" i="3"/>
  <c r="AK14" i="3"/>
  <c r="AM14" i="3"/>
  <c r="AO14" i="3"/>
  <c r="AQ14" i="3"/>
  <c r="AS14" i="3"/>
  <c r="AU14" i="3"/>
  <c r="AW14" i="3"/>
  <c r="AY14" i="3"/>
  <c r="BA14" i="3"/>
  <c r="BC14" i="3"/>
  <c r="BE14" i="3"/>
  <c r="BG14" i="3"/>
  <c r="BI14" i="3"/>
  <c r="BK14" i="3"/>
  <c r="BM14" i="3"/>
  <c r="D15" i="3"/>
  <c r="F15" i="3"/>
  <c r="H15" i="3"/>
  <c r="J15" i="3"/>
  <c r="L15" i="3"/>
  <c r="N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BJ15" i="3"/>
  <c r="BL15" i="3"/>
  <c r="BN15" i="3"/>
  <c r="C16" i="3"/>
  <c r="E16" i="3"/>
  <c r="G16" i="3"/>
  <c r="I16" i="3"/>
  <c r="K16" i="3"/>
  <c r="M16" i="3"/>
  <c r="Q16" i="3"/>
  <c r="S16" i="3"/>
  <c r="U16" i="3"/>
  <c r="W16" i="3"/>
  <c r="Y16" i="3"/>
  <c r="AA16" i="3"/>
  <c r="AC16" i="3"/>
  <c r="AE16" i="3"/>
  <c r="AG16" i="3"/>
  <c r="AI16" i="3"/>
  <c r="AK16" i="3"/>
  <c r="AM16" i="3"/>
  <c r="AO16" i="3"/>
  <c r="AQ16" i="3"/>
  <c r="AS16" i="3"/>
  <c r="AU16" i="3"/>
  <c r="AW16" i="3"/>
  <c r="AY16" i="3"/>
  <c r="BA16" i="3"/>
  <c r="BC16" i="3"/>
  <c r="BE16" i="3"/>
  <c r="BG16" i="3"/>
  <c r="BI16" i="3"/>
  <c r="BK16" i="3"/>
  <c r="BM16" i="3"/>
  <c r="D17" i="3"/>
  <c r="F17" i="3"/>
  <c r="H17" i="3"/>
  <c r="J17" i="3"/>
  <c r="L17" i="3"/>
  <c r="N17" i="3"/>
  <c r="P17" i="3"/>
  <c r="T17" i="3"/>
  <c r="V17" i="3"/>
  <c r="X17" i="3"/>
  <c r="Z17" i="3"/>
  <c r="AB17" i="3"/>
  <c r="AD17" i="3"/>
  <c r="AF17" i="3"/>
  <c r="AH17" i="3"/>
  <c r="AJ17" i="3"/>
  <c r="AL17" i="3"/>
  <c r="AN17" i="3"/>
  <c r="AP17" i="3"/>
  <c r="AR17" i="3"/>
  <c r="AT17" i="3"/>
  <c r="AV17" i="3"/>
  <c r="AX17" i="3"/>
  <c r="AZ17" i="3"/>
  <c r="BB17" i="3"/>
  <c r="BD17" i="3"/>
  <c r="BF17" i="3"/>
  <c r="BH17" i="3"/>
  <c r="BJ17" i="3"/>
  <c r="BL17" i="3"/>
  <c r="BN17" i="3"/>
  <c r="C18" i="3"/>
  <c r="E18" i="3"/>
  <c r="G18" i="3"/>
  <c r="I18" i="3"/>
  <c r="K18" i="3"/>
  <c r="M18" i="3"/>
  <c r="O18" i="3"/>
  <c r="S18" i="3"/>
  <c r="U18" i="3"/>
  <c r="W18" i="3"/>
  <c r="Y18" i="3"/>
  <c r="AA18" i="3"/>
  <c r="AC18" i="3"/>
  <c r="AE18" i="3"/>
  <c r="AG18" i="3"/>
  <c r="AI18" i="3"/>
  <c r="AK18" i="3"/>
  <c r="AM18" i="3"/>
  <c r="AO18" i="3"/>
  <c r="AQ18" i="3"/>
  <c r="AS18" i="3"/>
  <c r="AU18" i="3"/>
  <c r="AW18" i="3"/>
  <c r="AY18" i="3"/>
  <c r="BA18" i="3"/>
  <c r="BC18" i="3"/>
  <c r="BE18" i="3"/>
  <c r="BG18" i="3"/>
  <c r="BI18" i="3"/>
  <c r="BK18" i="3"/>
  <c r="BM18" i="3"/>
  <c r="D19" i="3"/>
  <c r="F19" i="3"/>
  <c r="H19" i="3"/>
  <c r="J19" i="3"/>
  <c r="L19" i="3"/>
  <c r="N19" i="3"/>
  <c r="P19" i="3"/>
  <c r="R19" i="3"/>
  <c r="V19" i="3"/>
  <c r="X19" i="3"/>
  <c r="Z19" i="3"/>
  <c r="AB19" i="3"/>
  <c r="AD19" i="3"/>
  <c r="AF19" i="3"/>
  <c r="AH19" i="3"/>
  <c r="AJ19" i="3"/>
  <c r="AL19" i="3"/>
  <c r="AN19" i="3"/>
  <c r="AP19" i="3"/>
  <c r="AR19" i="3"/>
  <c r="AT19" i="3"/>
  <c r="AV19" i="3"/>
  <c r="AX19" i="3"/>
  <c r="AZ19" i="3"/>
  <c r="BB19" i="3"/>
  <c r="BD19" i="3"/>
  <c r="BF19" i="3"/>
  <c r="BH19" i="3"/>
  <c r="BJ19" i="3"/>
  <c r="BL19" i="3"/>
  <c r="BN19" i="3"/>
  <c r="C20" i="3"/>
  <c r="E20" i="3"/>
  <c r="G20" i="3"/>
  <c r="I20" i="3"/>
  <c r="K20" i="3"/>
  <c r="M20" i="3"/>
  <c r="O20" i="3"/>
  <c r="Q20" i="3"/>
  <c r="U20" i="3"/>
  <c r="W20" i="3"/>
  <c r="Y20" i="3"/>
  <c r="AA20" i="3"/>
  <c r="AC20" i="3"/>
  <c r="AE20" i="3"/>
  <c r="AG20" i="3"/>
  <c r="AI20" i="3"/>
  <c r="AK20" i="3"/>
  <c r="AM20" i="3"/>
  <c r="AO20" i="3"/>
  <c r="AQ20" i="3"/>
  <c r="AS20" i="3"/>
  <c r="AU20" i="3"/>
  <c r="AW20" i="3"/>
  <c r="AY20" i="3"/>
  <c r="BA20" i="3"/>
  <c r="BC20" i="3"/>
  <c r="BE20" i="3"/>
  <c r="BG20" i="3"/>
  <c r="BI20" i="3"/>
  <c r="BK20" i="3"/>
  <c r="BM20" i="3"/>
  <c r="D21" i="3"/>
  <c r="F21" i="3"/>
  <c r="H21" i="3"/>
  <c r="J21" i="3"/>
  <c r="L21" i="3"/>
  <c r="N21" i="3"/>
  <c r="P21" i="3"/>
  <c r="R21" i="3"/>
  <c r="T21" i="3"/>
  <c r="X21" i="3"/>
  <c r="Z21" i="3"/>
  <c r="AB21" i="3"/>
  <c r="AD21" i="3"/>
  <c r="AF21" i="3"/>
  <c r="AH21" i="3"/>
  <c r="AJ21" i="3"/>
  <c r="AL21" i="3"/>
  <c r="AN21" i="3"/>
  <c r="AP21" i="3"/>
  <c r="AR21" i="3"/>
  <c r="AT21" i="3"/>
  <c r="AV21" i="3"/>
  <c r="AX21" i="3"/>
  <c r="AZ21" i="3"/>
  <c r="BB21" i="3"/>
  <c r="BD21" i="3"/>
  <c r="BF21" i="3"/>
  <c r="BH21" i="3"/>
  <c r="BJ21" i="3"/>
  <c r="BL21" i="3"/>
  <c r="BN21" i="3"/>
  <c r="C22" i="3"/>
  <c r="E22" i="3"/>
  <c r="G22" i="3"/>
  <c r="I22" i="3"/>
  <c r="K22" i="3"/>
  <c r="M22" i="3"/>
  <c r="O22" i="3"/>
  <c r="Q22" i="3"/>
  <c r="S22" i="3"/>
  <c r="W22" i="3"/>
  <c r="Y22" i="3"/>
  <c r="AA22" i="3"/>
  <c r="AC22" i="3"/>
  <c r="AE22" i="3"/>
  <c r="AG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BK22" i="3"/>
  <c r="BM22" i="3"/>
  <c r="D23" i="3"/>
  <c r="F23" i="3"/>
  <c r="H23" i="3"/>
  <c r="J23" i="3"/>
  <c r="L23" i="3"/>
  <c r="N23" i="3"/>
  <c r="P23" i="3"/>
  <c r="R23" i="3"/>
  <c r="T23" i="3"/>
  <c r="V23" i="3"/>
  <c r="Z23" i="3"/>
  <c r="AB23" i="3"/>
  <c r="AD23" i="3"/>
  <c r="AF23" i="3"/>
  <c r="AH23" i="3"/>
  <c r="AJ23" i="3"/>
  <c r="AL23" i="3"/>
  <c r="AN23" i="3"/>
  <c r="AP23" i="3"/>
  <c r="AR23" i="3"/>
  <c r="AT23" i="3"/>
  <c r="AV23" i="3"/>
  <c r="AX23" i="3"/>
  <c r="AZ23" i="3"/>
  <c r="BB23" i="3"/>
  <c r="BD23" i="3"/>
  <c r="BF23" i="3"/>
  <c r="BH23" i="3"/>
  <c r="BJ23" i="3"/>
  <c r="BL23" i="3"/>
  <c r="BN23" i="3"/>
  <c r="C24" i="3"/>
  <c r="E24" i="3"/>
  <c r="G24" i="3"/>
  <c r="I24" i="3"/>
  <c r="K24" i="3"/>
  <c r="M24" i="3"/>
  <c r="O24" i="3"/>
  <c r="Q24" i="3"/>
  <c r="S24" i="3"/>
  <c r="U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BK24" i="3"/>
  <c r="BM24" i="3"/>
  <c r="D25" i="3"/>
  <c r="F25" i="3"/>
  <c r="H25" i="3"/>
  <c r="J25" i="3"/>
  <c r="L25" i="3"/>
  <c r="N25" i="3"/>
  <c r="P25" i="3"/>
  <c r="R25" i="3"/>
  <c r="T25" i="3"/>
  <c r="V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BJ25" i="3"/>
  <c r="BL25" i="3"/>
  <c r="BN25" i="3"/>
  <c r="C26" i="3"/>
  <c r="E26" i="3"/>
  <c r="G26" i="3"/>
  <c r="I26" i="3"/>
  <c r="K26" i="3"/>
  <c r="M26" i="3"/>
  <c r="O26" i="3"/>
  <c r="Q26" i="3"/>
  <c r="S26" i="3"/>
  <c r="U26" i="3"/>
  <c r="W26" i="3"/>
  <c r="AA26" i="3"/>
  <c r="AC26" i="3"/>
  <c r="AE26" i="3"/>
  <c r="AG26" i="3"/>
  <c r="AI26" i="3"/>
  <c r="AK26" i="3"/>
  <c r="AM26" i="3"/>
  <c r="AO26" i="3"/>
  <c r="AQ26" i="3"/>
  <c r="AS26" i="3"/>
  <c r="AU26" i="3"/>
  <c r="AW26" i="3"/>
  <c r="AY26" i="3"/>
  <c r="BA26" i="3"/>
  <c r="BC26" i="3"/>
  <c r="BE26" i="3"/>
  <c r="BG26" i="3"/>
  <c r="BI26" i="3"/>
  <c r="BK26" i="3"/>
  <c r="BM26" i="3"/>
  <c r="D27" i="3"/>
  <c r="F27" i="3"/>
  <c r="H27" i="3"/>
  <c r="J27" i="3"/>
  <c r="L27" i="3"/>
  <c r="N27" i="3"/>
  <c r="P27" i="3"/>
  <c r="R27" i="3"/>
  <c r="T27" i="3"/>
  <c r="V27" i="3"/>
  <c r="X27" i="3"/>
  <c r="Z27" i="3"/>
  <c r="AD27" i="3"/>
  <c r="AF27" i="3"/>
  <c r="AH27" i="3"/>
  <c r="AJ27" i="3"/>
  <c r="AL27" i="3"/>
  <c r="AN27" i="3"/>
  <c r="AP27" i="3"/>
  <c r="AR27" i="3"/>
  <c r="AT27" i="3"/>
  <c r="AV27" i="3"/>
  <c r="AX27" i="3"/>
  <c r="AZ27" i="3"/>
  <c r="BB27" i="3"/>
  <c r="BD27" i="3"/>
  <c r="BF27" i="3"/>
  <c r="BH27" i="3"/>
  <c r="BJ27" i="3"/>
  <c r="BL27" i="3"/>
  <c r="BN27" i="3"/>
  <c r="C28" i="3"/>
  <c r="E28" i="3"/>
  <c r="G28" i="3"/>
  <c r="I28" i="3"/>
  <c r="K28" i="3"/>
  <c r="M28" i="3"/>
  <c r="O28" i="3"/>
  <c r="Q28" i="3"/>
  <c r="S28" i="3"/>
  <c r="U28" i="3"/>
  <c r="W28" i="3"/>
  <c r="Y28" i="3"/>
  <c r="AC28" i="3"/>
  <c r="AE28" i="3"/>
  <c r="AG28" i="3"/>
  <c r="AI28" i="3"/>
  <c r="AK28" i="3"/>
  <c r="AM28" i="3"/>
  <c r="AO28" i="3"/>
  <c r="AQ28" i="3"/>
  <c r="AS28" i="3"/>
  <c r="AU28" i="3"/>
  <c r="AW28" i="3"/>
  <c r="AY28" i="3"/>
  <c r="BA28" i="3"/>
  <c r="BC28" i="3"/>
  <c r="BE28" i="3"/>
  <c r="BG28" i="3"/>
  <c r="BI28" i="3"/>
  <c r="BK28" i="3"/>
  <c r="BM28" i="3"/>
  <c r="D29" i="3"/>
  <c r="F29" i="3"/>
  <c r="H29" i="3"/>
  <c r="J29" i="3"/>
  <c r="L29" i="3"/>
  <c r="N29" i="3"/>
  <c r="P29" i="3"/>
  <c r="R29" i="3"/>
  <c r="T29" i="3"/>
  <c r="V29" i="3"/>
  <c r="X29" i="3"/>
  <c r="Z29" i="3"/>
  <c r="AB29" i="3"/>
  <c r="AF29" i="3"/>
  <c r="AH29" i="3"/>
  <c r="AJ29" i="3"/>
  <c r="AL29" i="3"/>
  <c r="AN29" i="3"/>
  <c r="AP29" i="3"/>
  <c r="AR29" i="3"/>
  <c r="AT29" i="3"/>
  <c r="AV29" i="3"/>
  <c r="AX29" i="3"/>
  <c r="AZ29" i="3"/>
  <c r="BB29" i="3"/>
  <c r="BD29" i="3"/>
  <c r="BF29" i="3"/>
  <c r="BH29" i="3"/>
  <c r="BJ29" i="3"/>
  <c r="BL29" i="3"/>
  <c r="BN29" i="3"/>
  <c r="C30" i="3"/>
  <c r="E30" i="3"/>
  <c r="G30" i="3"/>
  <c r="I30" i="3"/>
  <c r="K30" i="3"/>
  <c r="M30" i="3"/>
  <c r="O30" i="3"/>
  <c r="Q30" i="3"/>
  <c r="S30" i="3"/>
  <c r="U30" i="3"/>
  <c r="W30" i="3"/>
  <c r="Y30" i="3"/>
  <c r="AA30" i="3"/>
  <c r="AE30" i="3"/>
  <c r="AG30" i="3"/>
  <c r="AI30" i="3"/>
  <c r="AK30" i="3"/>
  <c r="AM30" i="3"/>
  <c r="AO30" i="3"/>
  <c r="AQ30" i="3"/>
  <c r="AS30" i="3"/>
  <c r="AU30" i="3"/>
  <c r="AW30" i="3"/>
  <c r="AY30" i="3"/>
  <c r="BA30" i="3"/>
  <c r="BC30" i="3"/>
  <c r="BE30" i="3"/>
  <c r="BG30" i="3"/>
  <c r="BI30" i="3"/>
  <c r="BK30" i="3"/>
  <c r="BM30" i="3"/>
  <c r="D31" i="3"/>
  <c r="F31" i="3"/>
  <c r="H31" i="3"/>
  <c r="J31" i="3"/>
  <c r="L31" i="3"/>
  <c r="N31" i="3"/>
  <c r="P31" i="3"/>
  <c r="R31" i="3"/>
  <c r="T31" i="3"/>
  <c r="V31" i="3"/>
  <c r="X31" i="3"/>
  <c r="Z31" i="3"/>
  <c r="AB31" i="3"/>
  <c r="AD31" i="3"/>
  <c r="AH31" i="3"/>
  <c r="AJ31" i="3"/>
  <c r="AL31" i="3"/>
  <c r="AN31" i="3"/>
  <c r="AP31" i="3"/>
  <c r="AR31" i="3"/>
  <c r="AT31" i="3"/>
  <c r="AV31" i="3"/>
  <c r="AX31" i="3"/>
  <c r="AZ31" i="3"/>
  <c r="BB31" i="3"/>
  <c r="BD31" i="3"/>
  <c r="BF31" i="3"/>
  <c r="BH31" i="3"/>
  <c r="BJ31" i="3"/>
  <c r="BL31" i="3"/>
  <c r="BN31" i="3"/>
  <c r="C32" i="3"/>
  <c r="E32" i="3"/>
  <c r="G32" i="3"/>
  <c r="I32" i="3"/>
  <c r="K32" i="3"/>
  <c r="M32" i="3"/>
  <c r="O32" i="3"/>
  <c r="Q32" i="3"/>
  <c r="S32" i="3"/>
  <c r="U32" i="3"/>
  <c r="W32" i="3"/>
  <c r="Y32" i="3"/>
  <c r="AA32" i="3"/>
  <c r="AC32" i="3"/>
  <c r="AG32" i="3"/>
  <c r="AI32" i="3"/>
  <c r="AK32" i="3"/>
  <c r="AM32" i="3"/>
  <c r="AO32" i="3"/>
  <c r="AQ32" i="3"/>
  <c r="AS32" i="3"/>
  <c r="AU32" i="3"/>
  <c r="AW32" i="3"/>
  <c r="AY32" i="3"/>
  <c r="BA32" i="3"/>
  <c r="BC32" i="3"/>
  <c r="BE32" i="3"/>
  <c r="BG32" i="3"/>
  <c r="BI32" i="3"/>
  <c r="BK32" i="3"/>
  <c r="BM32" i="3"/>
  <c r="D33" i="3"/>
  <c r="F33" i="3"/>
  <c r="H33" i="3"/>
  <c r="J33" i="3"/>
  <c r="L33" i="3"/>
  <c r="N33" i="3"/>
  <c r="P33" i="3"/>
  <c r="R33" i="3"/>
  <c r="T33" i="3"/>
  <c r="V33" i="3"/>
  <c r="X33" i="3"/>
  <c r="Z33" i="3"/>
  <c r="AB33" i="3"/>
  <c r="AD33" i="3"/>
  <c r="AF33" i="3"/>
  <c r="AJ33" i="3"/>
  <c r="AL33" i="3"/>
  <c r="AN33" i="3"/>
  <c r="AP33" i="3"/>
  <c r="AR33" i="3"/>
  <c r="AT33" i="3"/>
  <c r="AV33" i="3"/>
  <c r="AX33" i="3"/>
  <c r="AZ33" i="3"/>
  <c r="BB33" i="3"/>
  <c r="BD33" i="3"/>
  <c r="BF33" i="3"/>
  <c r="BH33" i="3"/>
  <c r="BJ33" i="3"/>
  <c r="BL33" i="3"/>
  <c r="BN33" i="3"/>
  <c r="C34" i="3"/>
  <c r="E34" i="3"/>
  <c r="G34" i="3"/>
  <c r="I34" i="3"/>
  <c r="K34" i="3"/>
  <c r="M34" i="3"/>
  <c r="O34" i="3"/>
  <c r="Q34" i="3"/>
  <c r="S34" i="3"/>
  <c r="U34" i="3"/>
  <c r="W34" i="3"/>
  <c r="Y34" i="3"/>
  <c r="AA34" i="3"/>
  <c r="AC34" i="3"/>
  <c r="AE34" i="3"/>
  <c r="AI34" i="3"/>
  <c r="AK34" i="3"/>
  <c r="AM34" i="3"/>
  <c r="AO34" i="3"/>
  <c r="AQ34" i="3"/>
  <c r="AS34" i="3"/>
  <c r="AU34" i="3"/>
  <c r="AW34" i="3"/>
  <c r="AY34" i="3"/>
  <c r="BA34" i="3"/>
  <c r="BC34" i="3"/>
  <c r="BE34" i="3"/>
  <c r="BG34" i="3"/>
  <c r="BI34" i="3"/>
  <c r="BK34" i="3"/>
  <c r="BM34" i="3"/>
  <c r="D35" i="3"/>
  <c r="F35" i="3"/>
  <c r="H35" i="3"/>
  <c r="J35" i="3"/>
  <c r="L35" i="3"/>
  <c r="N35" i="3"/>
  <c r="P35" i="3"/>
  <c r="R35" i="3"/>
  <c r="T35" i="3"/>
  <c r="V35" i="3"/>
  <c r="X35" i="3"/>
  <c r="Z35" i="3"/>
  <c r="AB35" i="3"/>
  <c r="AD35" i="3"/>
  <c r="AF35" i="3"/>
  <c r="AH35" i="3"/>
  <c r="AL35" i="3"/>
  <c r="AN35" i="3"/>
  <c r="AP35" i="3"/>
  <c r="AR35" i="3"/>
  <c r="AT35" i="3"/>
  <c r="AV35" i="3"/>
  <c r="AX35" i="3"/>
  <c r="AZ35" i="3"/>
  <c r="BB35" i="3"/>
  <c r="BD35" i="3"/>
  <c r="BF35" i="3"/>
  <c r="BH35" i="3"/>
  <c r="BJ35" i="3"/>
  <c r="BL35" i="3"/>
  <c r="BN35" i="3"/>
  <c r="C36" i="3"/>
  <c r="E36" i="3"/>
  <c r="G36" i="3"/>
  <c r="I36" i="3"/>
  <c r="K36" i="3"/>
  <c r="M36" i="3"/>
  <c r="O36" i="3"/>
  <c r="Q36" i="3"/>
  <c r="S36" i="3"/>
  <c r="U36" i="3"/>
  <c r="W36" i="3"/>
  <c r="Y36" i="3"/>
  <c r="AA36" i="3"/>
  <c r="AC36" i="3"/>
  <c r="AE36" i="3"/>
  <c r="AG36" i="3"/>
  <c r="AK36" i="3"/>
  <c r="AM36" i="3"/>
  <c r="AO36" i="3"/>
  <c r="AQ36" i="3"/>
  <c r="AS36" i="3"/>
  <c r="AU36" i="3"/>
  <c r="AW36" i="3"/>
  <c r="AY36" i="3"/>
  <c r="BA36" i="3"/>
  <c r="BC36" i="3"/>
  <c r="BE36" i="3"/>
  <c r="BG36" i="3"/>
  <c r="BI36" i="3"/>
  <c r="BK36" i="3"/>
  <c r="BM36" i="3"/>
  <c r="D37" i="3"/>
  <c r="F37" i="3"/>
  <c r="H37" i="3"/>
  <c r="J37" i="3"/>
  <c r="L37" i="3"/>
  <c r="N37" i="3"/>
  <c r="P37" i="3"/>
  <c r="R37" i="3"/>
  <c r="T37" i="3"/>
  <c r="V37" i="3"/>
  <c r="X37" i="3"/>
  <c r="Z37" i="3"/>
  <c r="AB37" i="3"/>
  <c r="AD37" i="3"/>
  <c r="AF37" i="3"/>
  <c r="AH37" i="3"/>
  <c r="AJ37" i="3"/>
  <c r="AN37" i="3"/>
  <c r="AP37" i="3"/>
  <c r="AR37" i="3"/>
  <c r="AT37" i="3"/>
  <c r="AV37" i="3"/>
  <c r="AX37" i="3"/>
  <c r="AZ37" i="3"/>
  <c r="BB37" i="3"/>
  <c r="BD37" i="3"/>
  <c r="BF37" i="3"/>
  <c r="BH37" i="3"/>
  <c r="BJ37" i="3"/>
  <c r="BL37" i="3"/>
  <c r="BN37" i="3"/>
  <c r="C38" i="3"/>
  <c r="E38" i="3"/>
  <c r="G38" i="3"/>
  <c r="I38" i="3"/>
  <c r="K38" i="3"/>
  <c r="M38" i="3"/>
  <c r="O38" i="3"/>
  <c r="Q38" i="3"/>
  <c r="S38" i="3"/>
  <c r="U38" i="3"/>
  <c r="W38" i="3"/>
  <c r="Y38" i="3"/>
  <c r="AA38" i="3"/>
  <c r="AC38" i="3"/>
  <c r="AE38" i="3"/>
  <c r="AG38" i="3"/>
  <c r="AI38" i="3"/>
  <c r="AM38" i="3"/>
  <c r="AO38" i="3"/>
  <c r="AQ38" i="3"/>
  <c r="AS38" i="3"/>
  <c r="AU38" i="3"/>
  <c r="AW38" i="3"/>
  <c r="AY38" i="3"/>
  <c r="BA38" i="3"/>
  <c r="BC38" i="3"/>
  <c r="BE38" i="3"/>
  <c r="BG38" i="3"/>
  <c r="BI38" i="3"/>
  <c r="BK38" i="3"/>
  <c r="BM38" i="3"/>
  <c r="D39" i="3"/>
  <c r="F39" i="3"/>
  <c r="H39" i="3"/>
  <c r="J39" i="3"/>
  <c r="L39" i="3"/>
  <c r="N39" i="3"/>
  <c r="P39" i="3"/>
  <c r="R39" i="3"/>
  <c r="T39" i="3"/>
  <c r="V39" i="3"/>
  <c r="X39" i="3"/>
  <c r="Z39" i="3"/>
  <c r="AB39" i="3"/>
  <c r="AD39" i="3"/>
  <c r="AF39" i="3"/>
  <c r="AH39" i="3"/>
  <c r="AJ39" i="3"/>
  <c r="AL39" i="3"/>
  <c r="AP39" i="3"/>
  <c r="AR39" i="3"/>
  <c r="AT39" i="3"/>
  <c r="AV39" i="3"/>
  <c r="AX39" i="3"/>
  <c r="AZ39" i="3"/>
  <c r="BB39" i="3"/>
  <c r="BD39" i="3"/>
  <c r="BF39" i="3"/>
  <c r="BH39" i="3"/>
  <c r="BJ39" i="3"/>
  <c r="BL39" i="3"/>
  <c r="BN39" i="3"/>
  <c r="C40" i="3"/>
  <c r="E40" i="3"/>
  <c r="G40" i="3"/>
  <c r="I40" i="3"/>
  <c r="K40" i="3"/>
  <c r="M40" i="3"/>
  <c r="O40" i="3"/>
  <c r="Q40" i="3"/>
  <c r="S40" i="3"/>
  <c r="U40" i="3"/>
  <c r="W40" i="3"/>
  <c r="Y40" i="3"/>
  <c r="AA40" i="3"/>
  <c r="AC40" i="3"/>
  <c r="AE40" i="3"/>
  <c r="AG40" i="3"/>
  <c r="AI40" i="3"/>
  <c r="AK40" i="3"/>
  <c r="AO40" i="3"/>
  <c r="AQ40" i="3"/>
  <c r="AS40" i="3"/>
  <c r="AU40" i="3"/>
  <c r="AW40" i="3"/>
  <c r="AY40" i="3"/>
  <c r="BA40" i="3"/>
  <c r="BC40" i="3"/>
  <c r="BE40" i="3"/>
  <c r="BG40" i="3"/>
  <c r="BI40" i="3"/>
  <c r="BK40" i="3"/>
  <c r="BM40" i="3"/>
  <c r="D41" i="3"/>
  <c r="F41" i="3"/>
  <c r="H41" i="3"/>
  <c r="J41" i="3"/>
  <c r="L41" i="3"/>
  <c r="N41" i="3"/>
  <c r="P41" i="3"/>
  <c r="R41" i="3"/>
  <c r="T41" i="3"/>
  <c r="V41" i="3"/>
  <c r="X41" i="3"/>
  <c r="Z41" i="3"/>
  <c r="AB41" i="3"/>
  <c r="AD41" i="3"/>
  <c r="AF41" i="3"/>
  <c r="AH41" i="3"/>
  <c r="AJ41" i="3"/>
  <c r="AL41" i="3"/>
  <c r="AN41" i="3"/>
  <c r="AR41" i="3"/>
  <c r="AT41" i="3"/>
  <c r="AV41" i="3"/>
  <c r="AX41" i="3"/>
  <c r="AZ41" i="3"/>
  <c r="BB41" i="3"/>
  <c r="BD41" i="3"/>
  <c r="BF41" i="3"/>
  <c r="BH41" i="3"/>
  <c r="BJ41" i="3"/>
  <c r="BL41" i="3"/>
  <c r="BN41" i="3"/>
  <c r="C42" i="3"/>
  <c r="E42" i="3"/>
  <c r="G42" i="3"/>
  <c r="I42" i="3"/>
  <c r="K42" i="3"/>
  <c r="M42" i="3"/>
  <c r="O42" i="3"/>
  <c r="Q42" i="3"/>
  <c r="S42" i="3"/>
  <c r="U42" i="3"/>
  <c r="W42" i="3"/>
  <c r="Y42" i="3"/>
  <c r="AA42" i="3"/>
  <c r="AC42" i="3"/>
  <c r="AE42" i="3"/>
  <c r="AG42" i="3"/>
  <c r="AI42" i="3"/>
  <c r="AK42" i="3"/>
  <c r="AM42" i="3"/>
  <c r="AQ42" i="3"/>
  <c r="AS42" i="3"/>
  <c r="AU42" i="3"/>
  <c r="AW42" i="3"/>
  <c r="AY42" i="3"/>
  <c r="BA42" i="3"/>
  <c r="BC42" i="3"/>
  <c r="BE42" i="3"/>
  <c r="BG42" i="3"/>
  <c r="BI42" i="3"/>
  <c r="BK42" i="3"/>
  <c r="BM42" i="3"/>
  <c r="D43" i="3"/>
  <c r="F43" i="3"/>
  <c r="H43" i="3"/>
  <c r="J43" i="3"/>
  <c r="L43" i="3"/>
  <c r="N43" i="3"/>
  <c r="P43" i="3"/>
  <c r="R43" i="3"/>
  <c r="T43" i="3"/>
  <c r="V43" i="3"/>
  <c r="X43" i="3"/>
  <c r="Z43" i="3"/>
  <c r="AB43" i="3"/>
  <c r="AD43" i="3"/>
  <c r="AF43" i="3"/>
  <c r="AH43" i="3"/>
  <c r="AJ43" i="3"/>
  <c r="AL43" i="3"/>
  <c r="AN43" i="3"/>
  <c r="AP43" i="3"/>
  <c r="AT43" i="3"/>
  <c r="AV43" i="3"/>
  <c r="AX43" i="3"/>
  <c r="AZ43" i="3"/>
  <c r="BB43" i="3"/>
  <c r="BD43" i="3"/>
  <c r="BF43" i="3"/>
  <c r="BH43" i="3"/>
  <c r="BJ43" i="3"/>
  <c r="BL43" i="3"/>
  <c r="BN43" i="3"/>
  <c r="C44" i="3"/>
  <c r="E44" i="3"/>
  <c r="G44" i="3"/>
  <c r="I44" i="3"/>
  <c r="K44" i="3"/>
  <c r="M44" i="3"/>
  <c r="O44" i="3"/>
  <c r="Q44" i="3"/>
  <c r="S44" i="3"/>
  <c r="U44" i="3"/>
  <c r="W44" i="3"/>
  <c r="Y44" i="3"/>
  <c r="AA44" i="3"/>
  <c r="AC44" i="3"/>
  <c r="AE44" i="3"/>
  <c r="AG44" i="3"/>
  <c r="AI44" i="3"/>
  <c r="AK44" i="3"/>
  <c r="AM44" i="3"/>
  <c r="AO44" i="3"/>
  <c r="AS44" i="3"/>
  <c r="AU44" i="3"/>
  <c r="AW44" i="3"/>
  <c r="AY44" i="3"/>
  <c r="BA44" i="3"/>
  <c r="BC44" i="3"/>
  <c r="BE44" i="3"/>
  <c r="BG44" i="3"/>
  <c r="BI44" i="3"/>
  <c r="BK44" i="3"/>
  <c r="BM44" i="3"/>
  <c r="D45" i="3"/>
  <c r="F45" i="3"/>
  <c r="H45" i="3"/>
  <c r="J45" i="3"/>
  <c r="L45" i="3"/>
  <c r="N45" i="3"/>
  <c r="P45" i="3"/>
  <c r="R45" i="3"/>
  <c r="T45" i="3"/>
  <c r="V45" i="3"/>
  <c r="X45" i="3"/>
  <c r="Z45" i="3"/>
  <c r="AB45" i="3"/>
  <c r="AD45" i="3"/>
  <c r="AF45" i="3"/>
  <c r="AH45" i="3"/>
  <c r="AJ45" i="3"/>
  <c r="AL45" i="3"/>
  <c r="AN45" i="3"/>
  <c r="AP45" i="3"/>
  <c r="AR45" i="3"/>
  <c r="AV45" i="3"/>
  <c r="AX45" i="3"/>
  <c r="AZ45" i="3"/>
  <c r="BB45" i="3"/>
  <c r="BD45" i="3"/>
  <c r="BF45" i="3"/>
  <c r="BH45" i="3"/>
  <c r="BJ45" i="3"/>
  <c r="BL45" i="3"/>
  <c r="BN45" i="3"/>
  <c r="C46" i="3"/>
  <c r="E46" i="3"/>
  <c r="G46" i="3"/>
  <c r="I46" i="3"/>
  <c r="K46" i="3"/>
  <c r="M46" i="3"/>
  <c r="O46" i="3"/>
  <c r="Q46" i="3"/>
  <c r="S46" i="3"/>
  <c r="U46" i="3"/>
  <c r="W46" i="3"/>
  <c r="Y46" i="3"/>
  <c r="AA46" i="3"/>
  <c r="AC46" i="3"/>
  <c r="AE46" i="3"/>
  <c r="AG46" i="3"/>
  <c r="AI46" i="3"/>
  <c r="AK46" i="3"/>
  <c r="AM46" i="3"/>
  <c r="AO46" i="3"/>
  <c r="AQ46" i="3"/>
  <c r="AU46" i="3"/>
  <c r="AW46" i="3"/>
  <c r="AY46" i="3"/>
  <c r="BA46" i="3"/>
  <c r="BC46" i="3"/>
  <c r="BE46" i="3"/>
  <c r="BG46" i="3"/>
  <c r="BI46" i="3"/>
  <c r="BK46" i="3"/>
  <c r="BM46" i="3"/>
  <c r="D47" i="3"/>
  <c r="F47" i="3"/>
  <c r="H47" i="3"/>
  <c r="J47" i="3"/>
  <c r="L47" i="3"/>
  <c r="N47" i="3"/>
  <c r="P47" i="3"/>
  <c r="R47" i="3"/>
  <c r="T47" i="3"/>
  <c r="V47" i="3"/>
  <c r="X47" i="3"/>
  <c r="Z47" i="3"/>
  <c r="AB47" i="3"/>
  <c r="AD47" i="3"/>
  <c r="AF47" i="3"/>
  <c r="AH47" i="3"/>
  <c r="AJ47" i="3"/>
  <c r="AL47" i="3"/>
  <c r="AN47" i="3"/>
  <c r="AP47" i="3"/>
  <c r="AR47" i="3"/>
  <c r="AT47" i="3"/>
  <c r="AX47" i="3"/>
  <c r="AZ47" i="3"/>
  <c r="BB47" i="3"/>
  <c r="BD47" i="3"/>
  <c r="BF47" i="3"/>
  <c r="BH47" i="3"/>
  <c r="BJ47" i="3"/>
  <c r="BL47" i="3"/>
  <c r="BN47" i="3"/>
  <c r="C48" i="3"/>
  <c r="E48" i="3"/>
  <c r="G48" i="3"/>
  <c r="I48" i="3"/>
  <c r="K48" i="3"/>
  <c r="M48" i="3"/>
  <c r="O48" i="3"/>
  <c r="Q48" i="3"/>
  <c r="S48" i="3"/>
  <c r="U48" i="3"/>
  <c r="W48" i="3"/>
  <c r="Y48" i="3"/>
  <c r="AA48" i="3"/>
  <c r="AC48" i="3"/>
  <c r="AE48" i="3"/>
  <c r="AG48" i="3"/>
  <c r="AI48" i="3"/>
  <c r="AK48" i="3"/>
  <c r="AM48" i="3"/>
  <c r="AO48" i="3"/>
  <c r="AQ48" i="3"/>
  <c r="AS48" i="3"/>
  <c r="AW48" i="3"/>
  <c r="AY48" i="3"/>
  <c r="BA48" i="3"/>
  <c r="BC48" i="3"/>
  <c r="BE48" i="3"/>
  <c r="BG48" i="3"/>
  <c r="BI48" i="3"/>
  <c r="BK48" i="3"/>
  <c r="BM48" i="3"/>
  <c r="D49" i="3"/>
  <c r="F49" i="3"/>
  <c r="H49" i="3"/>
  <c r="J49" i="3"/>
  <c r="L49" i="3"/>
  <c r="N49" i="3"/>
  <c r="P49" i="3"/>
  <c r="R49" i="3"/>
  <c r="T49" i="3"/>
  <c r="V49" i="3"/>
  <c r="X49" i="3"/>
  <c r="Z49" i="3"/>
  <c r="AB49" i="3"/>
  <c r="AD49" i="3"/>
  <c r="AF49" i="3"/>
  <c r="AH49" i="3"/>
  <c r="AJ49" i="3"/>
  <c r="AL49" i="3"/>
  <c r="AN49" i="3"/>
  <c r="AP49" i="3"/>
  <c r="AR49" i="3"/>
  <c r="AT49" i="3"/>
  <c r="AV49" i="3"/>
  <c r="AZ49" i="3"/>
  <c r="BB49" i="3"/>
  <c r="BD49" i="3"/>
  <c r="BF49" i="3"/>
  <c r="BH49" i="3"/>
  <c r="BJ49" i="3"/>
  <c r="BL49" i="3"/>
  <c r="BN49" i="3"/>
  <c r="C50" i="3"/>
  <c r="E50" i="3"/>
  <c r="G50" i="3"/>
  <c r="I50" i="3"/>
  <c r="K50" i="3"/>
  <c r="M50" i="3"/>
  <c r="O50" i="3"/>
  <c r="Q50" i="3"/>
  <c r="S50" i="3"/>
  <c r="U50" i="3"/>
  <c r="W50" i="3"/>
  <c r="Y50" i="3"/>
  <c r="AA50" i="3"/>
  <c r="AC50" i="3"/>
  <c r="AE50" i="3"/>
  <c r="AG50" i="3"/>
  <c r="AI50" i="3"/>
  <c r="AK50" i="3"/>
  <c r="AM50" i="3"/>
  <c r="AO50" i="3"/>
  <c r="AQ50" i="3"/>
  <c r="AS50" i="3"/>
  <c r="AU50" i="3"/>
  <c r="AY50" i="3"/>
  <c r="BA50" i="3"/>
  <c r="BC50" i="3"/>
  <c r="BE50" i="3"/>
  <c r="BG50" i="3"/>
  <c r="BI50" i="3"/>
  <c r="BK50" i="3"/>
  <c r="BM50" i="3"/>
  <c r="D51" i="3"/>
  <c r="F51" i="3"/>
  <c r="H51" i="3"/>
  <c r="J51" i="3"/>
  <c r="L51" i="3"/>
  <c r="N51" i="3"/>
  <c r="P51" i="3"/>
  <c r="R51" i="3"/>
  <c r="T51" i="3"/>
  <c r="V51" i="3"/>
  <c r="X51" i="3"/>
  <c r="Z51" i="3"/>
  <c r="AB51" i="3"/>
  <c r="AD51" i="3"/>
  <c r="AF51" i="3"/>
  <c r="AH51" i="3"/>
  <c r="AJ51" i="3"/>
  <c r="AL51" i="3"/>
  <c r="AN51" i="3"/>
  <c r="AP51" i="3"/>
  <c r="AR51" i="3"/>
  <c r="AT51" i="3"/>
  <c r="AV51" i="3"/>
  <c r="AX51" i="3"/>
  <c r="BB51" i="3"/>
  <c r="BD51" i="3"/>
  <c r="BF51" i="3"/>
  <c r="BH51" i="3"/>
  <c r="BJ51" i="3"/>
  <c r="BL51" i="3"/>
  <c r="BN51" i="3"/>
  <c r="C52" i="3"/>
  <c r="E52" i="3"/>
  <c r="G52" i="3"/>
  <c r="I52" i="3"/>
  <c r="K52" i="3"/>
  <c r="M52" i="3"/>
  <c r="O52" i="3"/>
  <c r="Q52" i="3"/>
  <c r="S52" i="3"/>
  <c r="U52" i="3"/>
  <c r="W52" i="3"/>
  <c r="Y52" i="3"/>
  <c r="AA52" i="3"/>
  <c r="AC52" i="3"/>
  <c r="AE52" i="3"/>
  <c r="AG52" i="3"/>
  <c r="AI52" i="3"/>
  <c r="AK52" i="3"/>
  <c r="AM52" i="3"/>
  <c r="AO52" i="3"/>
  <c r="AQ52" i="3"/>
  <c r="AS52" i="3"/>
  <c r="AU52" i="3"/>
  <c r="AW52" i="3"/>
  <c r="BA52" i="3"/>
  <c r="BC52" i="3"/>
  <c r="BE52" i="3"/>
  <c r="BG52" i="3"/>
  <c r="BI52" i="3"/>
  <c r="BK52" i="3"/>
  <c r="BM52" i="3"/>
  <c r="D53" i="3"/>
  <c r="F53" i="3"/>
  <c r="H53" i="3"/>
  <c r="J53" i="3"/>
  <c r="L53" i="3"/>
  <c r="N53" i="3"/>
  <c r="P53" i="3"/>
  <c r="R53" i="3"/>
  <c r="T53" i="3"/>
  <c r="V53" i="3"/>
  <c r="X53" i="3"/>
  <c r="Z53" i="3"/>
  <c r="AB53" i="3"/>
  <c r="AD53" i="3"/>
  <c r="AF53" i="3"/>
  <c r="AH53" i="3"/>
  <c r="AJ53" i="3"/>
  <c r="AL53" i="3"/>
  <c r="AN53" i="3"/>
  <c r="AP53" i="3"/>
  <c r="AR53" i="3"/>
  <c r="AT53" i="3"/>
  <c r="AV53" i="3"/>
  <c r="AX53" i="3"/>
  <c r="AZ53" i="3"/>
  <c r="BD53" i="3"/>
  <c r="BF53" i="3"/>
  <c r="BH53" i="3"/>
  <c r="BJ53" i="3"/>
  <c r="BL53" i="3"/>
  <c r="BN53" i="3"/>
  <c r="C54" i="3"/>
  <c r="E54" i="3"/>
  <c r="G54" i="3"/>
  <c r="I54" i="3"/>
  <c r="K54" i="3"/>
  <c r="M54" i="3"/>
  <c r="O54" i="3"/>
  <c r="Q54" i="3"/>
  <c r="S54" i="3"/>
  <c r="U54" i="3"/>
  <c r="W54" i="3"/>
  <c r="Y54" i="3"/>
  <c r="AA54" i="3"/>
  <c r="AC54" i="3"/>
  <c r="AE54" i="3"/>
  <c r="AG54" i="3"/>
  <c r="AI54" i="3"/>
  <c r="AK54" i="3"/>
  <c r="AM54" i="3"/>
  <c r="AO54" i="3"/>
  <c r="AQ54" i="3"/>
  <c r="AS54" i="3"/>
  <c r="AU54" i="3"/>
  <c r="AW54" i="3"/>
  <c r="AY54" i="3"/>
  <c r="BC54" i="3"/>
  <c r="BE54" i="3"/>
  <c r="BG54" i="3"/>
  <c r="BI54" i="3"/>
  <c r="BK54" i="3"/>
  <c r="BM54" i="3"/>
  <c r="D55" i="3"/>
  <c r="F55" i="3"/>
  <c r="H55" i="3"/>
  <c r="J55" i="3"/>
  <c r="L55" i="3"/>
  <c r="N55" i="3"/>
  <c r="P55" i="3"/>
  <c r="R55" i="3"/>
  <c r="T55" i="3"/>
  <c r="V55" i="3"/>
  <c r="X55" i="3"/>
  <c r="Z55" i="3"/>
  <c r="AB55" i="3"/>
  <c r="AD55" i="3"/>
  <c r="AF55" i="3"/>
  <c r="AH55" i="3"/>
  <c r="AJ55" i="3"/>
  <c r="AL55" i="3"/>
  <c r="AN55" i="3"/>
  <c r="AP55" i="3"/>
  <c r="AR55" i="3"/>
  <c r="AT55" i="3"/>
  <c r="AV55" i="3"/>
  <c r="AX55" i="3"/>
  <c r="AZ55" i="3"/>
  <c r="BB55" i="3"/>
  <c r="BF55" i="3"/>
  <c r="BH55" i="3"/>
  <c r="BJ55" i="3"/>
  <c r="BL55" i="3"/>
  <c r="BN55" i="3"/>
  <c r="C56" i="3"/>
  <c r="E56" i="3"/>
  <c r="G56" i="3"/>
  <c r="I56" i="3"/>
  <c r="K56" i="3"/>
  <c r="M56" i="3"/>
  <c r="O56" i="3"/>
  <c r="Q56" i="3"/>
  <c r="S56" i="3"/>
  <c r="U56" i="3"/>
  <c r="W56" i="3"/>
  <c r="Y56" i="3"/>
  <c r="AA56" i="3"/>
  <c r="AC56" i="3"/>
  <c r="AE56" i="3"/>
  <c r="AG56" i="3"/>
  <c r="AI56" i="3"/>
  <c r="AK56" i="3"/>
  <c r="AM56" i="3"/>
  <c r="AO56" i="3"/>
  <c r="AQ56" i="3"/>
  <c r="AS56" i="3"/>
  <c r="AU56" i="3"/>
  <c r="AW56" i="3"/>
  <c r="AY56" i="3"/>
  <c r="BA56" i="3"/>
  <c r="BE56" i="3"/>
  <c r="BG56" i="3"/>
  <c r="BI56" i="3"/>
  <c r="BK56" i="3"/>
  <c r="BM56" i="3"/>
  <c r="D57" i="3"/>
  <c r="F57" i="3"/>
  <c r="H57" i="3"/>
  <c r="J57" i="3"/>
  <c r="L57" i="3"/>
  <c r="N57" i="3"/>
  <c r="P57" i="3"/>
  <c r="R57" i="3"/>
  <c r="T57" i="3"/>
  <c r="V57" i="3"/>
  <c r="X57" i="3"/>
  <c r="Z57" i="3"/>
  <c r="AB57" i="3"/>
  <c r="AD57" i="3"/>
  <c r="AF57" i="3"/>
  <c r="AH57" i="3"/>
  <c r="AJ57" i="3"/>
  <c r="AL57" i="3"/>
  <c r="AN57" i="3"/>
  <c r="AP57" i="3"/>
  <c r="AR57" i="3"/>
  <c r="AT57" i="3"/>
  <c r="AV57" i="3"/>
  <c r="AX57" i="3"/>
  <c r="AZ57" i="3"/>
  <c r="BB57" i="3"/>
  <c r="BD57" i="3"/>
  <c r="BH57" i="3"/>
  <c r="BJ57" i="3"/>
  <c r="BL57" i="3"/>
  <c r="BN57" i="3"/>
  <c r="C58" i="3"/>
  <c r="E58" i="3"/>
  <c r="G58" i="3"/>
  <c r="I58" i="3"/>
  <c r="K58" i="3"/>
  <c r="M58" i="3"/>
  <c r="O58" i="3"/>
  <c r="Q58" i="3"/>
  <c r="S58" i="3"/>
  <c r="U58" i="3"/>
  <c r="W58" i="3"/>
  <c r="Y58" i="3"/>
  <c r="AA58" i="3"/>
  <c r="AC58" i="3"/>
  <c r="AE58" i="3"/>
  <c r="AG58" i="3"/>
  <c r="AI58" i="3"/>
  <c r="AK58" i="3"/>
  <c r="AM58" i="3"/>
  <c r="AO58" i="3"/>
  <c r="AQ58" i="3"/>
  <c r="AS58" i="3"/>
  <c r="AU58" i="3"/>
  <c r="AW58" i="3"/>
  <c r="AY58" i="3"/>
  <c r="BA58" i="3"/>
  <c r="BC58" i="3"/>
  <c r="BG58" i="3"/>
  <c r="BI58" i="3"/>
  <c r="BK58" i="3"/>
  <c r="BM58" i="3"/>
  <c r="D59" i="3"/>
  <c r="F59" i="3"/>
  <c r="H59" i="3"/>
  <c r="J59" i="3"/>
  <c r="L59" i="3"/>
  <c r="N59" i="3"/>
  <c r="P59" i="3"/>
  <c r="R59" i="3"/>
  <c r="T59" i="3"/>
  <c r="V59" i="3"/>
  <c r="X59" i="3"/>
  <c r="Z59" i="3"/>
  <c r="AB59" i="3"/>
  <c r="AD59" i="3"/>
  <c r="AF59" i="3"/>
  <c r="AH59" i="3"/>
  <c r="AJ59" i="3"/>
  <c r="AL59" i="3"/>
  <c r="AN59" i="3"/>
  <c r="AP59" i="3"/>
  <c r="AR59" i="3"/>
  <c r="AT59" i="3"/>
  <c r="AV59" i="3"/>
  <c r="AX59" i="3"/>
  <c r="AZ59" i="3"/>
  <c r="BB59" i="3"/>
  <c r="BD59" i="3"/>
  <c r="BF59" i="3"/>
  <c r="BJ59" i="3"/>
  <c r="BL59" i="3"/>
  <c r="BN59" i="3"/>
  <c r="C60" i="3"/>
  <c r="E60" i="3"/>
  <c r="G60" i="3"/>
  <c r="I60" i="3"/>
  <c r="K60" i="3"/>
  <c r="M60" i="3"/>
  <c r="O60" i="3"/>
  <c r="Q60" i="3"/>
  <c r="S60" i="3"/>
  <c r="U60" i="3"/>
  <c r="W60" i="3"/>
  <c r="Y60" i="3"/>
  <c r="AA60" i="3"/>
  <c r="AC60" i="3"/>
  <c r="AE60" i="3"/>
  <c r="AG60" i="3"/>
  <c r="AI60" i="3"/>
  <c r="AK60" i="3"/>
  <c r="AM60" i="3"/>
  <c r="AO60" i="3"/>
  <c r="AQ60" i="3"/>
  <c r="AS60" i="3"/>
  <c r="AU60" i="3"/>
  <c r="AW60" i="3"/>
  <c r="AY60" i="3"/>
  <c r="BA60" i="3"/>
  <c r="BC60" i="3"/>
  <c r="BE60" i="3"/>
  <c r="BI60" i="3"/>
  <c r="BK60" i="3"/>
  <c r="BM60" i="3"/>
  <c r="D61" i="3"/>
  <c r="F61" i="3"/>
  <c r="H61" i="3"/>
  <c r="J61" i="3"/>
  <c r="L61" i="3"/>
  <c r="N61" i="3"/>
  <c r="P61" i="3"/>
  <c r="R61" i="3"/>
  <c r="T61" i="3"/>
  <c r="V61" i="3"/>
  <c r="X61" i="3"/>
  <c r="Z61" i="3"/>
  <c r="AB61" i="3"/>
  <c r="AD61" i="3"/>
  <c r="AF61" i="3"/>
  <c r="AH61" i="3"/>
  <c r="AJ61" i="3"/>
  <c r="AL61" i="3"/>
  <c r="AN61" i="3"/>
  <c r="AP61" i="3"/>
  <c r="AR61" i="3"/>
  <c r="AT61" i="3"/>
  <c r="AV61" i="3"/>
  <c r="AX61" i="3"/>
  <c r="AZ61" i="3"/>
  <c r="BB61" i="3"/>
  <c r="BD61" i="3"/>
  <c r="BF61" i="3"/>
  <c r="BH61" i="3"/>
  <c r="BL61" i="3"/>
  <c r="BN61" i="3"/>
  <c r="C62" i="3"/>
  <c r="E62" i="3"/>
  <c r="G62" i="3"/>
  <c r="I62" i="3"/>
  <c r="K62" i="3"/>
  <c r="M62" i="3"/>
  <c r="O62" i="3"/>
  <c r="Q62" i="3"/>
  <c r="S62" i="3"/>
  <c r="U62" i="3"/>
  <c r="W62" i="3"/>
  <c r="Y62" i="3"/>
  <c r="AA62" i="3"/>
  <c r="AC62" i="3"/>
  <c r="AE62" i="3"/>
  <c r="AG62" i="3"/>
  <c r="AI62" i="3"/>
  <c r="AK62" i="3"/>
  <c r="AM62" i="3"/>
  <c r="AO62" i="3"/>
  <c r="AQ62" i="3"/>
  <c r="AS62" i="3"/>
  <c r="AU62" i="3"/>
  <c r="AW62" i="3"/>
  <c r="AY62" i="3"/>
  <c r="BA62" i="3"/>
  <c r="BC62" i="3"/>
  <c r="BE62" i="3"/>
  <c r="BG62" i="3"/>
  <c r="BK62" i="3"/>
  <c r="BM62" i="3"/>
  <c r="D63" i="3"/>
  <c r="F63" i="3"/>
  <c r="H63" i="3"/>
  <c r="J63" i="3"/>
  <c r="L63" i="3"/>
  <c r="N63" i="3"/>
  <c r="P63" i="3"/>
  <c r="R63" i="3"/>
  <c r="T63" i="3"/>
  <c r="V63" i="3"/>
  <c r="X63" i="3"/>
  <c r="Z63" i="3"/>
  <c r="AB63" i="3"/>
  <c r="AD63" i="3"/>
  <c r="AF63" i="3"/>
  <c r="AH63" i="3"/>
  <c r="AJ63" i="3"/>
  <c r="AL63" i="3"/>
  <c r="AN63" i="3"/>
  <c r="AP63" i="3"/>
  <c r="AR63" i="3"/>
  <c r="AT63" i="3"/>
  <c r="AV63" i="3"/>
  <c r="AX63" i="3"/>
  <c r="AZ63" i="3"/>
  <c r="BB63" i="3"/>
  <c r="BD63" i="3"/>
  <c r="BF63" i="3"/>
  <c r="BH63" i="3"/>
  <c r="BJ63" i="3"/>
  <c r="BN63" i="3"/>
  <c r="C64" i="3"/>
  <c r="E64" i="3"/>
  <c r="G64" i="3"/>
  <c r="I64" i="3"/>
  <c r="K64" i="3"/>
  <c r="M64" i="3"/>
  <c r="O64" i="3"/>
  <c r="Q64" i="3"/>
  <c r="S64" i="3"/>
  <c r="U64" i="3"/>
  <c r="W64" i="3"/>
  <c r="Y64" i="3"/>
  <c r="AA64" i="3"/>
  <c r="AC64" i="3"/>
  <c r="AE64" i="3"/>
  <c r="AG64" i="3"/>
  <c r="AI64" i="3"/>
  <c r="AK64" i="3"/>
  <c r="AM64" i="3"/>
  <c r="AO64" i="3"/>
  <c r="AQ64" i="3"/>
  <c r="AS64" i="3"/>
  <c r="AU64" i="3"/>
  <c r="AW64" i="3"/>
  <c r="AY64" i="3"/>
  <c r="BA64" i="3"/>
  <c r="BC64" i="3"/>
  <c r="BE64" i="3"/>
  <c r="BG64" i="3"/>
  <c r="BI64" i="3"/>
  <c r="BM64" i="3"/>
  <c r="D65" i="3"/>
  <c r="F65" i="3"/>
  <c r="H65" i="3"/>
  <c r="J65" i="3"/>
  <c r="L65" i="3"/>
  <c r="N65" i="3"/>
  <c r="P65" i="3"/>
  <c r="R65" i="3"/>
  <c r="T65" i="3"/>
  <c r="V65" i="3"/>
  <c r="X65" i="3"/>
  <c r="Z65" i="3"/>
  <c r="AB65" i="3"/>
  <c r="AD65" i="3"/>
  <c r="AF65" i="3"/>
  <c r="AH65" i="3"/>
  <c r="AJ65" i="3"/>
  <c r="AL65" i="3"/>
  <c r="AN65" i="3"/>
  <c r="AP65" i="3"/>
  <c r="AR65" i="3"/>
  <c r="AT65" i="3"/>
  <c r="AV65" i="3"/>
  <c r="AX65" i="3"/>
  <c r="AZ65" i="3"/>
  <c r="BB65" i="3"/>
  <c r="BD65" i="3"/>
  <c r="BF65" i="3"/>
  <c r="BH65" i="3"/>
  <c r="BJ65" i="3"/>
  <c r="BL65" i="3"/>
  <c r="C66" i="3"/>
  <c r="E66" i="3"/>
  <c r="G66" i="3"/>
  <c r="I66" i="3"/>
  <c r="K66" i="3"/>
  <c r="M66" i="3"/>
  <c r="O66" i="3"/>
  <c r="Q66" i="3"/>
  <c r="S66" i="3"/>
  <c r="U66" i="3"/>
  <c r="W66" i="3"/>
  <c r="Y66" i="3"/>
  <c r="AA66" i="3"/>
  <c r="AC66" i="3"/>
  <c r="AE66" i="3"/>
  <c r="AG66" i="3"/>
  <c r="AI66" i="3"/>
  <c r="AK66" i="3"/>
  <c r="AM66" i="3"/>
  <c r="AO66" i="3"/>
  <c r="AQ66" i="3"/>
  <c r="AS66" i="3"/>
  <c r="AU66" i="3"/>
  <c r="AW66" i="3"/>
  <c r="AY66" i="3"/>
  <c r="BA66" i="3"/>
  <c r="BC66" i="3"/>
  <c r="BE66" i="3"/>
  <c r="BG66" i="3"/>
  <c r="BI66" i="3"/>
  <c r="BK66" i="3"/>
  <c r="G4" i="3"/>
  <c r="I4" i="3"/>
  <c r="K4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BK4" i="3"/>
  <c r="BM4" i="3"/>
  <c r="E4" i="3"/>
  <c r="H3" i="3"/>
  <c r="J3" i="3"/>
  <c r="L3" i="3"/>
  <c r="N3" i="3"/>
  <c r="P3" i="3"/>
  <c r="R3" i="3"/>
  <c r="T3" i="3"/>
  <c r="V3" i="3"/>
  <c r="X3" i="3"/>
  <c r="Z3" i="3"/>
  <c r="AB3" i="3"/>
  <c r="AD3" i="3"/>
  <c r="AF3" i="3"/>
  <c r="AH3" i="3"/>
  <c r="AJ3" i="3"/>
  <c r="AL3" i="3"/>
  <c r="AN3" i="3"/>
  <c r="AP3" i="3"/>
  <c r="AR3" i="3"/>
  <c r="AT3" i="3"/>
  <c r="AV3" i="3"/>
  <c r="AX3" i="3"/>
  <c r="AZ3" i="3"/>
  <c r="BB3" i="3"/>
  <c r="BD3" i="3"/>
  <c r="BF3" i="3"/>
  <c r="BH3" i="3"/>
  <c r="BJ3" i="3"/>
  <c r="BL3" i="3"/>
  <c r="BN3" i="3"/>
  <c r="F3" i="3"/>
  <c r="BD4" i="1"/>
  <c r="BU5" i="1" s="1" a="1"/>
  <c r="BU5" i="1" s="1"/>
  <c r="I45" i="7"/>
  <c r="H45" i="7"/>
  <c r="G45" i="7"/>
  <c r="F45" i="7"/>
  <c r="I64" i="7"/>
  <c r="I20" i="7"/>
  <c r="I58" i="7"/>
  <c r="I57" i="7"/>
  <c r="E9" i="7"/>
  <c r="E45" i="7"/>
  <c r="I48" i="7"/>
  <c r="H48" i="7"/>
  <c r="G48" i="7"/>
  <c r="F48" i="7"/>
  <c r="E48" i="7"/>
  <c r="BS5" i="1" a="1"/>
  <c r="I27" i="7"/>
  <c r="I23" i="7"/>
  <c r="G9" i="7"/>
  <c r="H9" i="7"/>
  <c r="I9" i="7"/>
  <c r="F9" i="7"/>
  <c r="G12" i="7"/>
  <c r="H12" i="7"/>
  <c r="I12" i="7"/>
  <c r="E12" i="7"/>
  <c r="F12" i="7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B6" i="6"/>
  <c r="C6" i="6"/>
  <c r="D6" i="6"/>
  <c r="E6" i="6"/>
  <c r="F6" i="6"/>
  <c r="G6" i="6"/>
  <c r="J6" i="6"/>
  <c r="K6" i="6"/>
  <c r="L6" i="6"/>
  <c r="O6" i="6"/>
  <c r="P6" i="6"/>
  <c r="Q6" i="6"/>
  <c r="R6" i="6"/>
  <c r="S6" i="6"/>
  <c r="U6" i="6"/>
  <c r="V6" i="6"/>
  <c r="X6" i="6"/>
  <c r="Y6" i="6"/>
  <c r="Z6" i="6"/>
  <c r="AA6" i="6"/>
  <c r="AB6" i="6"/>
  <c r="AC6" i="6"/>
  <c r="AD6" i="6"/>
  <c r="AE6" i="6"/>
  <c r="AF6" i="6"/>
  <c r="AG6" i="6"/>
  <c r="B7" i="6"/>
  <c r="D7" i="6"/>
  <c r="E7" i="6"/>
  <c r="F7" i="6"/>
  <c r="J7" i="6"/>
  <c r="K7" i="6"/>
  <c r="O7" i="6"/>
  <c r="Q7" i="6"/>
  <c r="R7" i="6"/>
  <c r="S7" i="6"/>
  <c r="U7" i="6"/>
  <c r="V7" i="6"/>
  <c r="X7" i="6"/>
  <c r="Y7" i="6"/>
  <c r="Z7" i="6"/>
  <c r="AA7" i="6"/>
  <c r="AC7" i="6"/>
  <c r="AD7" i="6"/>
  <c r="AF7" i="6"/>
  <c r="W2" i="6"/>
  <c r="AG2" i="6"/>
  <c r="AF2" i="6"/>
  <c r="AE2" i="6"/>
  <c r="AD2" i="6"/>
  <c r="AC2" i="6"/>
  <c r="AB2" i="6"/>
  <c r="AA2" i="6"/>
  <c r="Z2" i="6"/>
  <c r="Y2" i="6"/>
  <c r="X2" i="6"/>
  <c r="V2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D2" i="6"/>
  <c r="C2" i="6"/>
  <c r="B2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H3" i="1"/>
  <c r="L1181" i="1"/>
  <c r="ED19" i="2"/>
  <c r="EE19" i="2"/>
  <c r="EF19" i="2"/>
  <c r="EG19" i="2"/>
  <c r="EH19" i="2"/>
  <c r="EI19" i="2"/>
  <c r="EJ19" i="2"/>
  <c r="EK19" i="2"/>
  <c r="EL19" i="2"/>
  <c r="EM19" i="2"/>
  <c r="EN19" i="2"/>
  <c r="ED20" i="2"/>
  <c r="EE20" i="2"/>
  <c r="EF20" i="2"/>
  <c r="EG20" i="2"/>
  <c r="EH20" i="2"/>
  <c r="EI20" i="2"/>
  <c r="EJ20" i="2"/>
  <c r="EK20" i="2"/>
  <c r="EL20" i="2"/>
  <c r="EM20" i="2"/>
  <c r="EN20" i="2"/>
  <c r="ED21" i="2"/>
  <c r="EE21" i="2"/>
  <c r="EF21" i="2"/>
  <c r="EG21" i="2"/>
  <c r="EH21" i="2"/>
  <c r="EI21" i="2"/>
  <c r="EJ21" i="2"/>
  <c r="EK21" i="2"/>
  <c r="EL21" i="2"/>
  <c r="EM21" i="2"/>
  <c r="EN21" i="2"/>
  <c r="ED22" i="2"/>
  <c r="EE22" i="2"/>
  <c r="EF22" i="2"/>
  <c r="EG22" i="2"/>
  <c r="EH22" i="2"/>
  <c r="EI22" i="2"/>
  <c r="EJ22" i="2"/>
  <c r="EK22" i="2"/>
  <c r="EL22" i="2"/>
  <c r="EM22" i="2"/>
  <c r="EN22" i="2"/>
  <c r="ED23" i="2"/>
  <c r="EE23" i="2"/>
  <c r="EF23" i="2"/>
  <c r="EG23" i="2"/>
  <c r="EH23" i="2"/>
  <c r="EI23" i="2"/>
  <c r="EJ23" i="2"/>
  <c r="EK23" i="2"/>
  <c r="EL23" i="2"/>
  <c r="EM23" i="2"/>
  <c r="EN23" i="2"/>
  <c r="ED24" i="2"/>
  <c r="EE24" i="2"/>
  <c r="EF24" i="2"/>
  <c r="EG24" i="2"/>
  <c r="EH24" i="2"/>
  <c r="EI24" i="2"/>
  <c r="EJ24" i="2"/>
  <c r="EK24" i="2"/>
  <c r="EL24" i="2"/>
  <c r="EM24" i="2"/>
  <c r="EN24" i="2"/>
  <c r="ED25" i="2"/>
  <c r="EE25" i="2"/>
  <c r="EF25" i="2"/>
  <c r="EG25" i="2"/>
  <c r="EH25" i="2"/>
  <c r="EI25" i="2"/>
  <c r="EJ25" i="2"/>
  <c r="EK25" i="2"/>
  <c r="EL25" i="2"/>
  <c r="EM25" i="2"/>
  <c r="EN25" i="2"/>
  <c r="ED26" i="2"/>
  <c r="EE26" i="2"/>
  <c r="EF26" i="2"/>
  <c r="EG26" i="2"/>
  <c r="EH26" i="2"/>
  <c r="EI26" i="2"/>
  <c r="EJ26" i="2"/>
  <c r="EK26" i="2"/>
  <c r="EL26" i="2"/>
  <c r="EM26" i="2"/>
  <c r="EN26" i="2"/>
  <c r="ED27" i="2"/>
  <c r="EE27" i="2"/>
  <c r="EF27" i="2"/>
  <c r="EG27" i="2"/>
  <c r="EH27" i="2"/>
  <c r="EI27" i="2"/>
  <c r="EJ27" i="2"/>
  <c r="EK27" i="2"/>
  <c r="EL27" i="2"/>
  <c r="EM27" i="2"/>
  <c r="EN27" i="2"/>
  <c r="ED28" i="2"/>
  <c r="EE28" i="2"/>
  <c r="EF28" i="2"/>
  <c r="EG28" i="2"/>
  <c r="EH28" i="2"/>
  <c r="EI28" i="2"/>
  <c r="EJ28" i="2"/>
  <c r="EK28" i="2"/>
  <c r="EL28" i="2"/>
  <c r="EM28" i="2"/>
  <c r="EN28" i="2"/>
  <c r="ED18" i="2"/>
  <c r="EF18" i="2"/>
  <c r="EG18" i="2"/>
  <c r="EH18" i="2"/>
  <c r="EI18" i="2"/>
  <c r="EJ18" i="2"/>
  <c r="EK18" i="2"/>
  <c r="EL18" i="2"/>
  <c r="EM18" i="2"/>
  <c r="EN18" i="2"/>
  <c r="EE18" i="2"/>
  <c r="L998" i="1"/>
  <c r="DO37" i="2"/>
  <c r="DL33" i="2"/>
  <c r="DN33" i="2"/>
  <c r="DO33" i="2"/>
  <c r="DP33" i="2"/>
  <c r="DQ33" i="2"/>
  <c r="DR33" i="2"/>
  <c r="DS33" i="2"/>
  <c r="DT33" i="2"/>
  <c r="DU33" i="2"/>
  <c r="DV33" i="2"/>
  <c r="DL34" i="2"/>
  <c r="DM34" i="2"/>
  <c r="DO34" i="2"/>
  <c r="DP34" i="2"/>
  <c r="DQ34" i="2"/>
  <c r="DR34" i="2"/>
  <c r="DS34" i="2"/>
  <c r="DT34" i="2"/>
  <c r="DU34" i="2"/>
  <c r="DV34" i="2"/>
  <c r="DL35" i="2"/>
  <c r="DM35" i="2"/>
  <c r="DN35" i="2"/>
  <c r="DP35" i="2"/>
  <c r="DQ35" i="2"/>
  <c r="DR35" i="2"/>
  <c r="DS35" i="2"/>
  <c r="DT35" i="2"/>
  <c r="DU35" i="2"/>
  <c r="DV35" i="2"/>
  <c r="DL36" i="2"/>
  <c r="DM36" i="2"/>
  <c r="DN36" i="2"/>
  <c r="DO36" i="2"/>
  <c r="DQ36" i="2"/>
  <c r="DR36" i="2"/>
  <c r="DS36" i="2"/>
  <c r="DT36" i="2"/>
  <c r="DU36" i="2"/>
  <c r="DV36" i="2"/>
  <c r="DL37" i="2"/>
  <c r="DM37" i="2"/>
  <c r="DN37" i="2"/>
  <c r="DP37" i="2"/>
  <c r="DR37" i="2"/>
  <c r="DS37" i="2"/>
  <c r="DT37" i="2"/>
  <c r="DU37" i="2"/>
  <c r="DV37" i="2"/>
  <c r="DL38" i="2"/>
  <c r="DM38" i="2"/>
  <c r="DN38" i="2"/>
  <c r="DO38" i="2"/>
  <c r="DP38" i="2"/>
  <c r="DQ38" i="2"/>
  <c r="DS38" i="2"/>
  <c r="DT38" i="2"/>
  <c r="DU38" i="2"/>
  <c r="DV38" i="2"/>
  <c r="DL39" i="2"/>
  <c r="DM39" i="2"/>
  <c r="DN39" i="2"/>
  <c r="DO39" i="2"/>
  <c r="DP39" i="2"/>
  <c r="DQ39" i="2"/>
  <c r="DR39" i="2"/>
  <c r="DT39" i="2"/>
  <c r="DU39" i="2"/>
  <c r="DV39" i="2"/>
  <c r="DL40" i="2"/>
  <c r="DM40" i="2"/>
  <c r="DN40" i="2"/>
  <c r="DO40" i="2"/>
  <c r="DP40" i="2"/>
  <c r="DQ40" i="2"/>
  <c r="DR40" i="2"/>
  <c r="DS40" i="2"/>
  <c r="DU40" i="2"/>
  <c r="DV40" i="2"/>
  <c r="DL41" i="2"/>
  <c r="DM41" i="2"/>
  <c r="DN41" i="2"/>
  <c r="DO41" i="2"/>
  <c r="DP41" i="2"/>
  <c r="DQ41" i="2"/>
  <c r="DR41" i="2"/>
  <c r="DS41" i="2"/>
  <c r="DT41" i="2"/>
  <c r="DV41" i="2"/>
  <c r="DL42" i="2"/>
  <c r="DM42" i="2"/>
  <c r="DN42" i="2"/>
  <c r="DO42" i="2"/>
  <c r="DP42" i="2"/>
  <c r="DQ42" i="2"/>
  <c r="DR42" i="2"/>
  <c r="DS42" i="2"/>
  <c r="DT42" i="2"/>
  <c r="DU42" i="2"/>
  <c r="DN32" i="2"/>
  <c r="DO32" i="2"/>
  <c r="DP32" i="2"/>
  <c r="DQ32" i="2"/>
  <c r="DR32" i="2"/>
  <c r="DS32" i="2"/>
  <c r="DT32" i="2"/>
  <c r="DU32" i="2"/>
  <c r="DV32" i="2"/>
  <c r="DM32" i="2"/>
  <c r="CY32" i="2"/>
  <c r="CZ32" i="2"/>
  <c r="DA32" i="2"/>
  <c r="DB32" i="2"/>
  <c r="DC32" i="2"/>
  <c r="DD32" i="2"/>
  <c r="DE32" i="2"/>
  <c r="DF32" i="2"/>
  <c r="DG32" i="2"/>
  <c r="DH32" i="2"/>
  <c r="CX33" i="2"/>
  <c r="CZ33" i="2"/>
  <c r="DA33" i="2"/>
  <c r="DB33" i="2"/>
  <c r="DC33" i="2"/>
  <c r="DD33" i="2"/>
  <c r="DE33" i="2"/>
  <c r="DF33" i="2"/>
  <c r="DG33" i="2"/>
  <c r="DH33" i="2"/>
  <c r="CX34" i="2"/>
  <c r="CY34" i="2"/>
  <c r="DA34" i="2"/>
  <c r="DB34" i="2"/>
  <c r="DC34" i="2"/>
  <c r="DD34" i="2"/>
  <c r="DE34" i="2"/>
  <c r="DF34" i="2"/>
  <c r="DG34" i="2"/>
  <c r="DH34" i="2"/>
  <c r="CX35" i="2"/>
  <c r="CY35" i="2"/>
  <c r="CZ35" i="2"/>
  <c r="DB35" i="2"/>
  <c r="DC35" i="2"/>
  <c r="DD35" i="2"/>
  <c r="DE35" i="2"/>
  <c r="DF35" i="2"/>
  <c r="DG35" i="2"/>
  <c r="DH35" i="2"/>
  <c r="CX36" i="2"/>
  <c r="CY36" i="2"/>
  <c r="CZ36" i="2"/>
  <c r="DA36" i="2"/>
  <c r="DC36" i="2"/>
  <c r="DD36" i="2"/>
  <c r="DE36" i="2"/>
  <c r="DF36" i="2"/>
  <c r="DG36" i="2"/>
  <c r="DH36" i="2"/>
  <c r="CX37" i="2"/>
  <c r="CY37" i="2"/>
  <c r="CZ37" i="2"/>
  <c r="DA37" i="2"/>
  <c r="DB37" i="2"/>
  <c r="DD37" i="2"/>
  <c r="DE37" i="2"/>
  <c r="DF37" i="2"/>
  <c r="DG37" i="2"/>
  <c r="DH37" i="2"/>
  <c r="CX38" i="2"/>
  <c r="CY38" i="2"/>
  <c r="CZ38" i="2"/>
  <c r="DA38" i="2"/>
  <c r="DB38" i="2"/>
  <c r="DC38" i="2"/>
  <c r="DE38" i="2"/>
  <c r="DF38" i="2"/>
  <c r="DG38" i="2"/>
  <c r="DH38" i="2"/>
  <c r="CX39" i="2"/>
  <c r="CY39" i="2"/>
  <c r="CZ39" i="2"/>
  <c r="DA39" i="2"/>
  <c r="DB39" i="2"/>
  <c r="DC39" i="2"/>
  <c r="DD39" i="2"/>
  <c r="DF39" i="2"/>
  <c r="DG39" i="2"/>
  <c r="DH39" i="2"/>
  <c r="CX40" i="2"/>
  <c r="CY40" i="2"/>
  <c r="CZ40" i="2"/>
  <c r="DA40" i="2"/>
  <c r="DB40" i="2"/>
  <c r="DC40" i="2"/>
  <c r="DD40" i="2"/>
  <c r="DE40" i="2"/>
  <c r="DG40" i="2"/>
  <c r="DH40" i="2"/>
  <c r="CX41" i="2"/>
  <c r="CY41" i="2"/>
  <c r="CZ41" i="2"/>
  <c r="DA41" i="2"/>
  <c r="DB41" i="2"/>
  <c r="DC41" i="2"/>
  <c r="DD41" i="2"/>
  <c r="DE41" i="2"/>
  <c r="DF41" i="2"/>
  <c r="DH41" i="2"/>
  <c r="CX42" i="2"/>
  <c r="CY42" i="2"/>
  <c r="CZ42" i="2"/>
  <c r="DA42" i="2"/>
  <c r="DB42" i="2"/>
  <c r="DC42" i="2"/>
  <c r="DD42" i="2"/>
  <c r="DE42" i="2"/>
  <c r="DF42" i="2"/>
  <c r="DG42" i="2"/>
  <c r="T39" i="9" a="1"/>
  <c r="T39" i="9" s="1"/>
  <c r="T38" i="9" a="1"/>
  <c r="T38" i="9" s="1"/>
  <c r="T37" i="9" a="1"/>
  <c r="T37" i="9" s="1"/>
  <c r="T34" i="9" a="1"/>
  <c r="T34" i="9" s="1"/>
  <c r="T36" i="9" a="1"/>
  <c r="T36" i="9" s="1"/>
  <c r="T35" i="9" a="1"/>
  <c r="T35" i="9" s="1"/>
  <c r="T33" i="9" a="1"/>
  <c r="T33" i="9" s="1"/>
  <c r="T32" i="9" a="1"/>
  <c r="T32" i="9" s="1"/>
  <c r="T23" i="9" a="1"/>
  <c r="T23" i="9" s="1"/>
  <c r="T27" i="9" a="1"/>
  <c r="T27" i="9" s="1"/>
  <c r="T24" i="9" a="1"/>
  <c r="T24" i="9" s="1"/>
  <c r="T26" i="9" a="1"/>
  <c r="T26" i="9" s="1"/>
  <c r="T25" i="9" a="1"/>
  <c r="T25" i="9" s="1"/>
  <c r="T29" i="9" a="1"/>
  <c r="T29" i="9" s="1"/>
  <c r="T28" i="9" a="1"/>
  <c r="T28" i="9" s="1"/>
  <c r="T22" i="9" a="1"/>
  <c r="T22" i="9" s="1"/>
  <c r="T19" i="9" a="1"/>
  <c r="T19" i="9" s="1"/>
  <c r="T14" i="9" a="1"/>
  <c r="T14" i="9" s="1"/>
  <c r="T13" i="9" a="1"/>
  <c r="T13" i="9" s="1"/>
  <c r="T16" i="9" a="1"/>
  <c r="T16" i="9" s="1"/>
  <c r="T18" i="9" a="1"/>
  <c r="T18" i="9" s="1"/>
  <c r="T15" i="9" a="1"/>
  <c r="T15" i="9" s="1"/>
  <c r="T17" i="9" a="1"/>
  <c r="T17" i="9" s="1"/>
  <c r="T12" i="9" a="1"/>
  <c r="T12" i="9" s="1"/>
  <c r="T3" i="9" a="1"/>
  <c r="T3" i="9" s="1"/>
  <c r="T2" i="9" a="1"/>
  <c r="T2" i="9" s="1"/>
  <c r="T9" i="9" a="1"/>
  <c r="T9" i="9" s="1"/>
  <c r="T8" i="9" a="1"/>
  <c r="T8" i="9" s="1"/>
  <c r="T5" i="9" a="1"/>
  <c r="T5" i="9" s="1"/>
  <c r="T7" i="9" a="1"/>
  <c r="T7" i="9" s="1"/>
  <c r="T4" i="9" a="1"/>
  <c r="T4" i="9" s="1"/>
  <c r="T6" i="9" a="1"/>
  <c r="T6" i="9" s="1"/>
  <c r="AS3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869" i="1"/>
  <c r="AS870" i="1"/>
  <c r="AS871" i="1"/>
  <c r="AS872" i="1"/>
  <c r="AS87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S1010" i="1"/>
  <c r="AS1011" i="1"/>
  <c r="AS1012" i="1"/>
  <c r="AS1013" i="1"/>
  <c r="AS1014" i="1"/>
  <c r="AS1015" i="1"/>
  <c r="AS1016" i="1"/>
  <c r="AS1017" i="1"/>
  <c r="AS1018" i="1"/>
  <c r="AS1019" i="1"/>
  <c r="AS1020" i="1"/>
  <c r="AS1021" i="1"/>
  <c r="AS1022" i="1"/>
  <c r="AS1023" i="1"/>
  <c r="AS1024" i="1"/>
  <c r="AS1025" i="1"/>
  <c r="AS1026" i="1"/>
  <c r="AS1027" i="1"/>
  <c r="AS1028" i="1"/>
  <c r="AS1029" i="1"/>
  <c r="AS1030" i="1"/>
  <c r="AS1031" i="1"/>
  <c r="AS1032" i="1"/>
  <c r="AS1033" i="1"/>
  <c r="AS1034" i="1"/>
  <c r="AS1035" i="1"/>
  <c r="AS1036" i="1"/>
  <c r="AS1037" i="1"/>
  <c r="AS1038" i="1"/>
  <c r="AS1039" i="1"/>
  <c r="AS1040" i="1"/>
  <c r="AS1041" i="1"/>
  <c r="AS1042" i="1"/>
  <c r="AS1043" i="1"/>
  <c r="AS1044" i="1"/>
  <c r="AS1045" i="1"/>
  <c r="AS1046" i="1"/>
  <c r="AS1047" i="1"/>
  <c r="AS1048" i="1"/>
  <c r="AS1049" i="1"/>
  <c r="AS1050" i="1"/>
  <c r="AS1051" i="1"/>
  <c r="AS1052" i="1"/>
  <c r="AS1053" i="1"/>
  <c r="AS1054" i="1"/>
  <c r="AS1055" i="1"/>
  <c r="AS1056" i="1"/>
  <c r="AS1057" i="1"/>
  <c r="AS1058" i="1"/>
  <c r="AS1059" i="1"/>
  <c r="AS1060" i="1"/>
  <c r="AS1061" i="1"/>
  <c r="AS1062" i="1"/>
  <c r="AS1063" i="1"/>
  <c r="AS1064" i="1"/>
  <c r="AS1065" i="1"/>
  <c r="AS1066" i="1"/>
  <c r="AS1067" i="1"/>
  <c r="AS1068" i="1"/>
  <c r="AS1069" i="1"/>
  <c r="AS1070" i="1"/>
  <c r="AS1071" i="1"/>
  <c r="AS1072" i="1"/>
  <c r="AS1073" i="1"/>
  <c r="AS1074" i="1"/>
  <c r="AS1075" i="1"/>
  <c r="AS1076" i="1"/>
  <c r="AS1077" i="1"/>
  <c r="AS1078" i="1"/>
  <c r="AS1079" i="1"/>
  <c r="AS1080" i="1"/>
  <c r="AS1081" i="1"/>
  <c r="AS1082" i="1"/>
  <c r="AS1083" i="1"/>
  <c r="AS1084" i="1"/>
  <c r="AS1085" i="1"/>
  <c r="AS1086" i="1"/>
  <c r="AS1087" i="1"/>
  <c r="AS1088" i="1"/>
  <c r="AS1089" i="1"/>
  <c r="AS1090" i="1"/>
  <c r="AS1091" i="1"/>
  <c r="AS1092" i="1"/>
  <c r="AS1093" i="1"/>
  <c r="AS1094" i="1"/>
  <c r="AS1095" i="1"/>
  <c r="AS1096" i="1"/>
  <c r="AS1097" i="1"/>
  <c r="AS1098" i="1"/>
  <c r="AS1099" i="1"/>
  <c r="AS1100" i="1"/>
  <c r="AS1101" i="1"/>
  <c r="AS1102" i="1"/>
  <c r="AS1103" i="1"/>
  <c r="AS1104" i="1"/>
  <c r="AS1105" i="1"/>
  <c r="AS1106" i="1"/>
  <c r="AS1107" i="1"/>
  <c r="AS1108" i="1"/>
  <c r="AS1109" i="1"/>
  <c r="AS1110" i="1"/>
  <c r="AS1111" i="1"/>
  <c r="AS1112" i="1"/>
  <c r="AS1113" i="1"/>
  <c r="AS1114" i="1"/>
  <c r="AS1115" i="1"/>
  <c r="AS1116" i="1"/>
  <c r="AS1117" i="1"/>
  <c r="AS1118" i="1"/>
  <c r="AS1119" i="1"/>
  <c r="AS1120" i="1"/>
  <c r="AS1121" i="1"/>
  <c r="AS1122" i="1"/>
  <c r="AS1123" i="1"/>
  <c r="AS1124" i="1"/>
  <c r="AS1125" i="1"/>
  <c r="AS1126" i="1"/>
  <c r="AS1127" i="1"/>
  <c r="AS1128" i="1"/>
  <c r="AS1129" i="1"/>
  <c r="AS1130" i="1"/>
  <c r="AS1131" i="1"/>
  <c r="AS1132" i="1"/>
  <c r="AS1133" i="1"/>
  <c r="AS1134" i="1"/>
  <c r="AS1135" i="1"/>
  <c r="AS1136" i="1"/>
  <c r="AS1137" i="1"/>
  <c r="AS1138" i="1"/>
  <c r="AS1139" i="1"/>
  <c r="AS1140" i="1"/>
  <c r="AS1141" i="1"/>
  <c r="AS1142" i="1"/>
  <c r="AS1143" i="1"/>
  <c r="AS1144" i="1"/>
  <c r="AS1145" i="1"/>
  <c r="AS1146" i="1"/>
  <c r="AS1147" i="1"/>
  <c r="AS1148" i="1"/>
  <c r="AS1149" i="1"/>
  <c r="AS1150" i="1"/>
  <c r="AS1151" i="1"/>
  <c r="AS1152" i="1"/>
  <c r="AS1153" i="1"/>
  <c r="AS1154" i="1"/>
  <c r="AS1155" i="1"/>
  <c r="AS1156" i="1"/>
  <c r="AS1157" i="1"/>
  <c r="AS1158" i="1"/>
  <c r="AS1159" i="1"/>
  <c r="AS1160" i="1"/>
  <c r="AS1161" i="1"/>
  <c r="AS1162" i="1"/>
  <c r="AS1163" i="1"/>
  <c r="AS1164" i="1"/>
  <c r="AS1165" i="1"/>
  <c r="AS1166" i="1"/>
  <c r="AS1167" i="1"/>
  <c r="AS1168" i="1"/>
  <c r="AS1169" i="1"/>
  <c r="AS1170" i="1"/>
  <c r="AS1171" i="1"/>
  <c r="AS1172" i="1"/>
  <c r="AS1173" i="1"/>
  <c r="AS1174" i="1"/>
  <c r="AS1175" i="1"/>
  <c r="AS1176" i="1"/>
  <c r="AS1177" i="1"/>
  <c r="AS1178" i="1"/>
  <c r="AS1179" i="1"/>
  <c r="AS1180" i="1"/>
  <c r="AS1181" i="1"/>
  <c r="AS1182" i="1"/>
  <c r="AS1183" i="1"/>
  <c r="AS1184" i="1"/>
  <c r="AS1185" i="1"/>
  <c r="AS1186" i="1"/>
  <c r="AS1187" i="1"/>
  <c r="AS1188" i="1"/>
  <c r="AS1189" i="1"/>
  <c r="AS1190" i="1"/>
  <c r="AS1191" i="1"/>
  <c r="AS1192" i="1"/>
  <c r="AS1193" i="1"/>
  <c r="AS1194" i="1"/>
  <c r="AS1195" i="1"/>
  <c r="AS1196" i="1"/>
  <c r="AS1197" i="1"/>
  <c r="AS1198" i="1"/>
  <c r="AS1199" i="1"/>
  <c r="AS1200" i="1"/>
  <c r="AS1201" i="1"/>
  <c r="AS1202" i="1"/>
  <c r="AS1203" i="1"/>
  <c r="AS1204" i="1"/>
  <c r="AS1205" i="1"/>
  <c r="AS1206" i="1"/>
  <c r="AS1207" i="1"/>
  <c r="AS1208" i="1"/>
  <c r="AS1209" i="1"/>
  <c r="AS1210" i="1"/>
  <c r="AS1211" i="1"/>
  <c r="AS1212" i="1"/>
  <c r="AS1213" i="1"/>
  <c r="AS1214" i="1"/>
  <c r="AS1215" i="1"/>
  <c r="AS1216" i="1"/>
  <c r="AS1217" i="1"/>
  <c r="AS1218" i="1"/>
  <c r="AS1219" i="1"/>
  <c r="AS1220" i="1"/>
  <c r="AS1221" i="1"/>
  <c r="AS1222" i="1"/>
  <c r="AS1223" i="1"/>
  <c r="AS1224" i="1"/>
  <c r="AS1225" i="1"/>
  <c r="AS1226" i="1"/>
  <c r="AS1227" i="1"/>
  <c r="AS1228" i="1"/>
  <c r="AS1229" i="1"/>
  <c r="AS1230" i="1"/>
  <c r="AS1231" i="1"/>
  <c r="AS1232" i="1"/>
  <c r="AS1233" i="1"/>
  <c r="AS1234" i="1"/>
  <c r="AS1235" i="1"/>
  <c r="AS1236" i="1"/>
  <c r="AS1237" i="1"/>
  <c r="AS1238" i="1"/>
  <c r="AS1239" i="1"/>
  <c r="AS1240" i="1"/>
  <c r="AS1241" i="1"/>
  <c r="AS1242" i="1"/>
  <c r="AS1243" i="1"/>
  <c r="AS1244" i="1"/>
  <c r="AS1245" i="1"/>
  <c r="AS1246" i="1"/>
  <c r="AS1247" i="1"/>
  <c r="AS1248" i="1"/>
  <c r="AS1249" i="1"/>
  <c r="AS1250" i="1"/>
  <c r="AS1251" i="1"/>
  <c r="AS1252" i="1"/>
  <c r="AS1253" i="1"/>
  <c r="AS1254" i="1"/>
  <c r="AS1255" i="1"/>
  <c r="AS1256" i="1"/>
  <c r="AS1257" i="1"/>
  <c r="AS1258" i="1"/>
  <c r="AS1259" i="1"/>
  <c r="AS1260" i="1"/>
  <c r="AS1261" i="1"/>
  <c r="AS1262" i="1"/>
  <c r="AS1263" i="1"/>
  <c r="AS1264" i="1"/>
  <c r="AS1265" i="1"/>
  <c r="AS1266" i="1"/>
  <c r="AS1267" i="1"/>
  <c r="AS1268" i="1"/>
  <c r="AS1269" i="1"/>
  <c r="AS1270" i="1"/>
  <c r="AS1271" i="1"/>
  <c r="AS1272" i="1"/>
  <c r="AS1273" i="1"/>
  <c r="AS1274" i="1"/>
  <c r="AS1275" i="1"/>
  <c r="AS1276" i="1"/>
  <c r="AS1277" i="1"/>
  <c r="AS1278" i="1"/>
  <c r="AS1279" i="1"/>
  <c r="AS1280" i="1"/>
  <c r="AS1281" i="1"/>
  <c r="AS1282" i="1"/>
  <c r="AS1283" i="1"/>
  <c r="AS1284" i="1"/>
  <c r="AS1285" i="1"/>
  <c r="AS1286" i="1"/>
  <c r="AS1287" i="1"/>
  <c r="AS1288" i="1"/>
  <c r="AS1289" i="1"/>
  <c r="AS1290" i="1"/>
  <c r="AS1291" i="1"/>
  <c r="AS1292" i="1"/>
  <c r="AS1293" i="1"/>
  <c r="AS1294" i="1"/>
  <c r="AS1295" i="1"/>
  <c r="AS1296" i="1"/>
  <c r="AS1297" i="1"/>
  <c r="AS1298" i="1"/>
  <c r="AS1299" i="1"/>
  <c r="AS1300" i="1"/>
  <c r="AS1301" i="1"/>
  <c r="AS1302" i="1"/>
  <c r="AS1303" i="1"/>
  <c r="AS1304" i="1"/>
  <c r="AS1305" i="1"/>
  <c r="AS1306" i="1"/>
  <c r="AS1307" i="1"/>
  <c r="AS1308" i="1"/>
  <c r="AS1309" i="1"/>
  <c r="AS1310" i="1"/>
  <c r="AS1311" i="1"/>
  <c r="AS1312" i="1"/>
  <c r="AS1313" i="1"/>
  <c r="AS1314" i="1"/>
  <c r="AT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338" i="1"/>
  <c r="AT339" i="1"/>
  <c r="AT340" i="1"/>
  <c r="AT341" i="1"/>
  <c r="AT342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T361" i="1"/>
  <c r="AT362" i="1"/>
  <c r="AT363" i="1"/>
  <c r="AT364" i="1"/>
  <c r="AT365" i="1"/>
  <c r="AT366" i="1"/>
  <c r="AT367" i="1"/>
  <c r="AT368" i="1"/>
  <c r="AT369" i="1"/>
  <c r="AT370" i="1"/>
  <c r="AT371" i="1"/>
  <c r="AT372" i="1"/>
  <c r="AT373" i="1"/>
  <c r="AT374" i="1"/>
  <c r="AT375" i="1"/>
  <c r="AT376" i="1"/>
  <c r="AT377" i="1"/>
  <c r="AT378" i="1"/>
  <c r="AT379" i="1"/>
  <c r="AT380" i="1"/>
  <c r="AT381" i="1"/>
  <c r="AT382" i="1"/>
  <c r="AT383" i="1"/>
  <c r="AT384" i="1"/>
  <c r="AT385" i="1"/>
  <c r="AT386" i="1"/>
  <c r="AT387" i="1"/>
  <c r="AT388" i="1"/>
  <c r="AT389" i="1"/>
  <c r="AT390" i="1"/>
  <c r="AT391" i="1"/>
  <c r="AT392" i="1"/>
  <c r="AT393" i="1"/>
  <c r="AT394" i="1"/>
  <c r="AT395" i="1"/>
  <c r="AT396" i="1"/>
  <c r="AT397" i="1"/>
  <c r="AT398" i="1"/>
  <c r="AT399" i="1"/>
  <c r="AT400" i="1"/>
  <c r="AT401" i="1"/>
  <c r="AT402" i="1"/>
  <c r="AT403" i="1"/>
  <c r="AT404" i="1"/>
  <c r="AT405" i="1"/>
  <c r="AT406" i="1"/>
  <c r="AT407" i="1"/>
  <c r="AT408" i="1"/>
  <c r="AT409" i="1"/>
  <c r="AT410" i="1"/>
  <c r="AT411" i="1"/>
  <c r="AT412" i="1"/>
  <c r="AT413" i="1"/>
  <c r="AT414" i="1"/>
  <c r="AT415" i="1"/>
  <c r="AT416" i="1"/>
  <c r="AT417" i="1"/>
  <c r="AT418" i="1"/>
  <c r="AT419" i="1"/>
  <c r="AT420" i="1"/>
  <c r="AT421" i="1"/>
  <c r="AT422" i="1"/>
  <c r="AT423" i="1"/>
  <c r="AT424" i="1"/>
  <c r="AT425" i="1"/>
  <c r="AT426" i="1"/>
  <c r="AT427" i="1"/>
  <c r="AT428" i="1"/>
  <c r="AT429" i="1"/>
  <c r="AT430" i="1"/>
  <c r="AT431" i="1"/>
  <c r="AT432" i="1"/>
  <c r="AT433" i="1"/>
  <c r="AT434" i="1"/>
  <c r="AT435" i="1"/>
  <c r="AT436" i="1"/>
  <c r="AT437" i="1"/>
  <c r="AT438" i="1"/>
  <c r="AT439" i="1"/>
  <c r="AT440" i="1"/>
  <c r="AT441" i="1"/>
  <c r="AT442" i="1"/>
  <c r="AT443" i="1"/>
  <c r="AT444" i="1"/>
  <c r="AT445" i="1"/>
  <c r="AT446" i="1"/>
  <c r="AT447" i="1"/>
  <c r="AT448" i="1"/>
  <c r="AT449" i="1"/>
  <c r="AT450" i="1"/>
  <c r="AT451" i="1"/>
  <c r="AT452" i="1"/>
  <c r="AT453" i="1"/>
  <c r="AT454" i="1"/>
  <c r="AT455" i="1"/>
  <c r="AT456" i="1"/>
  <c r="AT457" i="1"/>
  <c r="AT458" i="1"/>
  <c r="AT459" i="1"/>
  <c r="AT460" i="1"/>
  <c r="AT461" i="1"/>
  <c r="AT462" i="1"/>
  <c r="AT463" i="1"/>
  <c r="AT464" i="1"/>
  <c r="AT465" i="1"/>
  <c r="AT466" i="1"/>
  <c r="AT467" i="1"/>
  <c r="AT468" i="1"/>
  <c r="AT469" i="1"/>
  <c r="AT470" i="1"/>
  <c r="AT471" i="1"/>
  <c r="AT472" i="1"/>
  <c r="AT473" i="1"/>
  <c r="AT474" i="1"/>
  <c r="AT475" i="1"/>
  <c r="AT476" i="1"/>
  <c r="AT477" i="1"/>
  <c r="AT478" i="1"/>
  <c r="AT479" i="1"/>
  <c r="AT480" i="1"/>
  <c r="AT481" i="1"/>
  <c r="AT482" i="1"/>
  <c r="AT483" i="1"/>
  <c r="AT484" i="1"/>
  <c r="AT485" i="1"/>
  <c r="AT486" i="1"/>
  <c r="AT487" i="1"/>
  <c r="AT488" i="1"/>
  <c r="AT489" i="1"/>
  <c r="AT490" i="1"/>
  <c r="AT491" i="1"/>
  <c r="AT492" i="1"/>
  <c r="AT493" i="1"/>
  <c r="AT494" i="1"/>
  <c r="AT495" i="1"/>
  <c r="AT496" i="1"/>
  <c r="AT497" i="1"/>
  <c r="AT498" i="1"/>
  <c r="AT499" i="1"/>
  <c r="AT500" i="1"/>
  <c r="AT501" i="1"/>
  <c r="AT502" i="1"/>
  <c r="AT503" i="1"/>
  <c r="AT504" i="1"/>
  <c r="AT505" i="1"/>
  <c r="AT506" i="1"/>
  <c r="AT507" i="1"/>
  <c r="AT508" i="1"/>
  <c r="AT509" i="1"/>
  <c r="AT510" i="1"/>
  <c r="AT511" i="1"/>
  <c r="AT512" i="1"/>
  <c r="AT513" i="1"/>
  <c r="AT514" i="1"/>
  <c r="AT515" i="1"/>
  <c r="AT516" i="1"/>
  <c r="AT517" i="1"/>
  <c r="AT518" i="1"/>
  <c r="AT519" i="1"/>
  <c r="AT520" i="1"/>
  <c r="AT521" i="1"/>
  <c r="AT522" i="1"/>
  <c r="AT523" i="1"/>
  <c r="AT524" i="1"/>
  <c r="AT525" i="1"/>
  <c r="AT526" i="1"/>
  <c r="AT527" i="1"/>
  <c r="AT528" i="1"/>
  <c r="AT529" i="1"/>
  <c r="AT530" i="1"/>
  <c r="AT531" i="1"/>
  <c r="AT532" i="1"/>
  <c r="AT533" i="1"/>
  <c r="AT534" i="1"/>
  <c r="AT535" i="1"/>
  <c r="AT536" i="1"/>
  <c r="AT537" i="1"/>
  <c r="AT538" i="1"/>
  <c r="AT539" i="1"/>
  <c r="AT540" i="1"/>
  <c r="AT541" i="1"/>
  <c r="AT542" i="1"/>
  <c r="AT543" i="1"/>
  <c r="AT544" i="1"/>
  <c r="AT545" i="1"/>
  <c r="AT546" i="1"/>
  <c r="AT547" i="1"/>
  <c r="AT548" i="1"/>
  <c r="AT549" i="1"/>
  <c r="AT550" i="1"/>
  <c r="AT551" i="1"/>
  <c r="AT552" i="1"/>
  <c r="AT553" i="1"/>
  <c r="AT554" i="1"/>
  <c r="AT555" i="1"/>
  <c r="AT556" i="1"/>
  <c r="AT557" i="1"/>
  <c r="AT558" i="1"/>
  <c r="AT559" i="1"/>
  <c r="AT560" i="1"/>
  <c r="AT561" i="1"/>
  <c r="AT562" i="1"/>
  <c r="AT563" i="1"/>
  <c r="AT564" i="1"/>
  <c r="AT565" i="1"/>
  <c r="AT566" i="1"/>
  <c r="AT567" i="1"/>
  <c r="AT568" i="1"/>
  <c r="AT569" i="1"/>
  <c r="AT570" i="1"/>
  <c r="AT571" i="1"/>
  <c r="AT572" i="1"/>
  <c r="AT573" i="1"/>
  <c r="AT574" i="1"/>
  <c r="AT575" i="1"/>
  <c r="AT576" i="1"/>
  <c r="AT577" i="1"/>
  <c r="AT578" i="1"/>
  <c r="AT579" i="1"/>
  <c r="AT580" i="1"/>
  <c r="AT581" i="1"/>
  <c r="AT582" i="1"/>
  <c r="AT583" i="1"/>
  <c r="AT584" i="1"/>
  <c r="AT585" i="1"/>
  <c r="AT586" i="1"/>
  <c r="AT587" i="1"/>
  <c r="AT588" i="1"/>
  <c r="AT589" i="1"/>
  <c r="AT590" i="1"/>
  <c r="AT591" i="1"/>
  <c r="AT592" i="1"/>
  <c r="AT593" i="1"/>
  <c r="AT594" i="1"/>
  <c r="AT595" i="1"/>
  <c r="AT596" i="1"/>
  <c r="AT597" i="1"/>
  <c r="AT598" i="1"/>
  <c r="AT599" i="1"/>
  <c r="AT600" i="1"/>
  <c r="AT601" i="1"/>
  <c r="AT602" i="1"/>
  <c r="AT603" i="1"/>
  <c r="AT604" i="1"/>
  <c r="AT605" i="1"/>
  <c r="AT606" i="1"/>
  <c r="AT607" i="1"/>
  <c r="AT608" i="1"/>
  <c r="AT609" i="1"/>
  <c r="AT610" i="1"/>
  <c r="AT611" i="1"/>
  <c r="AT612" i="1"/>
  <c r="AT613" i="1"/>
  <c r="AT614" i="1"/>
  <c r="AT615" i="1"/>
  <c r="AT616" i="1"/>
  <c r="AT617" i="1"/>
  <c r="AT618" i="1"/>
  <c r="AT619" i="1"/>
  <c r="AT620" i="1"/>
  <c r="AT621" i="1"/>
  <c r="AT622" i="1"/>
  <c r="AT623" i="1"/>
  <c r="AT624" i="1"/>
  <c r="AT625" i="1"/>
  <c r="AT626" i="1"/>
  <c r="AT627" i="1"/>
  <c r="AT628" i="1"/>
  <c r="AT629" i="1"/>
  <c r="AT630" i="1"/>
  <c r="AT631" i="1"/>
  <c r="AT632" i="1"/>
  <c r="AT633" i="1"/>
  <c r="AT634" i="1"/>
  <c r="AT635" i="1"/>
  <c r="AT636" i="1"/>
  <c r="AT637" i="1"/>
  <c r="AT638" i="1"/>
  <c r="AT639" i="1"/>
  <c r="AT640" i="1"/>
  <c r="AT641" i="1"/>
  <c r="AT642" i="1"/>
  <c r="AT643" i="1"/>
  <c r="AT644" i="1"/>
  <c r="AT645" i="1"/>
  <c r="AT646" i="1"/>
  <c r="AT647" i="1"/>
  <c r="AT648" i="1"/>
  <c r="AT649" i="1"/>
  <c r="AT650" i="1"/>
  <c r="AT651" i="1"/>
  <c r="AT652" i="1"/>
  <c r="AT653" i="1"/>
  <c r="AT654" i="1"/>
  <c r="AT655" i="1"/>
  <c r="AT656" i="1"/>
  <c r="AT657" i="1"/>
  <c r="AT658" i="1"/>
  <c r="AT659" i="1"/>
  <c r="AT660" i="1"/>
  <c r="AT661" i="1"/>
  <c r="AT662" i="1"/>
  <c r="AT663" i="1"/>
  <c r="AT664" i="1"/>
  <c r="AT665" i="1"/>
  <c r="AT666" i="1"/>
  <c r="AT667" i="1"/>
  <c r="AT668" i="1"/>
  <c r="AT669" i="1"/>
  <c r="AT670" i="1"/>
  <c r="AT671" i="1"/>
  <c r="AT672" i="1"/>
  <c r="AT673" i="1"/>
  <c r="AT674" i="1"/>
  <c r="AT675" i="1"/>
  <c r="AT676" i="1"/>
  <c r="AT677" i="1"/>
  <c r="AT678" i="1"/>
  <c r="AT679" i="1"/>
  <c r="AT680" i="1"/>
  <c r="AT681" i="1"/>
  <c r="AT682" i="1"/>
  <c r="AT683" i="1"/>
  <c r="AT684" i="1"/>
  <c r="AT685" i="1"/>
  <c r="AT686" i="1"/>
  <c r="AT687" i="1"/>
  <c r="AT688" i="1"/>
  <c r="AT689" i="1"/>
  <c r="AT690" i="1"/>
  <c r="AT691" i="1"/>
  <c r="AT692" i="1"/>
  <c r="AT693" i="1"/>
  <c r="AT694" i="1"/>
  <c r="AT695" i="1"/>
  <c r="AT696" i="1"/>
  <c r="AT697" i="1"/>
  <c r="AT698" i="1"/>
  <c r="AT699" i="1"/>
  <c r="AT700" i="1"/>
  <c r="AT701" i="1"/>
  <c r="AT702" i="1"/>
  <c r="AT703" i="1"/>
  <c r="AT704" i="1"/>
  <c r="AT705" i="1"/>
  <c r="AT706" i="1"/>
  <c r="AT707" i="1"/>
  <c r="AT708" i="1"/>
  <c r="AT709" i="1"/>
  <c r="AT710" i="1"/>
  <c r="AT711" i="1"/>
  <c r="AT712" i="1"/>
  <c r="AT713" i="1"/>
  <c r="AT714" i="1"/>
  <c r="AT715" i="1"/>
  <c r="AT716" i="1"/>
  <c r="AT717" i="1"/>
  <c r="AT718" i="1"/>
  <c r="AT719" i="1"/>
  <c r="AT720" i="1"/>
  <c r="AT721" i="1"/>
  <c r="AT722" i="1"/>
  <c r="AT723" i="1"/>
  <c r="AT724" i="1"/>
  <c r="AT725" i="1"/>
  <c r="AT726" i="1"/>
  <c r="AT727" i="1"/>
  <c r="AT728" i="1"/>
  <c r="AT729" i="1"/>
  <c r="AT730" i="1"/>
  <c r="AT731" i="1"/>
  <c r="AT732" i="1"/>
  <c r="AT733" i="1"/>
  <c r="AT734" i="1"/>
  <c r="AT735" i="1"/>
  <c r="AT736" i="1"/>
  <c r="AT737" i="1"/>
  <c r="AT738" i="1"/>
  <c r="AT739" i="1"/>
  <c r="AT740" i="1"/>
  <c r="AT741" i="1"/>
  <c r="AT742" i="1"/>
  <c r="AT743" i="1"/>
  <c r="AT744" i="1"/>
  <c r="AT745" i="1"/>
  <c r="AT746" i="1"/>
  <c r="AT747" i="1"/>
  <c r="AT748" i="1"/>
  <c r="AT749" i="1"/>
  <c r="AT750" i="1"/>
  <c r="AT751" i="1"/>
  <c r="AT752" i="1"/>
  <c r="AT753" i="1"/>
  <c r="AT754" i="1"/>
  <c r="AT755" i="1"/>
  <c r="AT756" i="1"/>
  <c r="AT757" i="1"/>
  <c r="AT758" i="1"/>
  <c r="AT759" i="1"/>
  <c r="AT760" i="1"/>
  <c r="AT761" i="1"/>
  <c r="AT762" i="1"/>
  <c r="AT763" i="1"/>
  <c r="AT764" i="1"/>
  <c r="AT765" i="1"/>
  <c r="AT766" i="1"/>
  <c r="AT767" i="1"/>
  <c r="AT768" i="1"/>
  <c r="AT769" i="1"/>
  <c r="AT770" i="1"/>
  <c r="AT771" i="1"/>
  <c r="AT772" i="1"/>
  <c r="AT773" i="1"/>
  <c r="AT774" i="1"/>
  <c r="AT775" i="1"/>
  <c r="AT776" i="1"/>
  <c r="AT777" i="1"/>
  <c r="AT778" i="1"/>
  <c r="AT779" i="1"/>
  <c r="AT780" i="1"/>
  <c r="AT781" i="1"/>
  <c r="AT782" i="1"/>
  <c r="AT783" i="1"/>
  <c r="AT784" i="1"/>
  <c r="AT785" i="1"/>
  <c r="AT786" i="1"/>
  <c r="AT787" i="1"/>
  <c r="AT788" i="1"/>
  <c r="AT789" i="1"/>
  <c r="AT790" i="1"/>
  <c r="AT791" i="1"/>
  <c r="AT792" i="1"/>
  <c r="AT793" i="1"/>
  <c r="AT794" i="1"/>
  <c r="AT795" i="1"/>
  <c r="AT796" i="1"/>
  <c r="AT797" i="1"/>
  <c r="AT798" i="1"/>
  <c r="AT799" i="1"/>
  <c r="AT800" i="1"/>
  <c r="AT801" i="1"/>
  <c r="AT802" i="1"/>
  <c r="AT803" i="1"/>
  <c r="AT804" i="1"/>
  <c r="AT805" i="1"/>
  <c r="AT806" i="1"/>
  <c r="AT807" i="1"/>
  <c r="AT808" i="1"/>
  <c r="AT809" i="1"/>
  <c r="AT810" i="1"/>
  <c r="AT811" i="1"/>
  <c r="AT812" i="1"/>
  <c r="AT813" i="1"/>
  <c r="AT814" i="1"/>
  <c r="AT815" i="1"/>
  <c r="AT816" i="1"/>
  <c r="AT817" i="1"/>
  <c r="AT818" i="1"/>
  <c r="AT819" i="1"/>
  <c r="AT820" i="1"/>
  <c r="AT821" i="1"/>
  <c r="AT822" i="1"/>
  <c r="AT823" i="1"/>
  <c r="AT824" i="1"/>
  <c r="AT825" i="1"/>
  <c r="AT826" i="1"/>
  <c r="AT827" i="1"/>
  <c r="AT828" i="1"/>
  <c r="AT829" i="1"/>
  <c r="AT830" i="1"/>
  <c r="AT831" i="1"/>
  <c r="AT832" i="1"/>
  <c r="AT833" i="1"/>
  <c r="AT834" i="1"/>
  <c r="AT835" i="1"/>
  <c r="AT836" i="1"/>
  <c r="AT837" i="1"/>
  <c r="AT838" i="1"/>
  <c r="AT839" i="1"/>
  <c r="AT840" i="1"/>
  <c r="AT841" i="1"/>
  <c r="AT842" i="1"/>
  <c r="AT843" i="1"/>
  <c r="AT844" i="1"/>
  <c r="AT845" i="1"/>
  <c r="AT846" i="1"/>
  <c r="AT847" i="1"/>
  <c r="AT848" i="1"/>
  <c r="AT849" i="1"/>
  <c r="AT850" i="1"/>
  <c r="AT851" i="1"/>
  <c r="AT852" i="1"/>
  <c r="AT853" i="1"/>
  <c r="AT854" i="1"/>
  <c r="AT855" i="1"/>
  <c r="AT856" i="1"/>
  <c r="AT857" i="1"/>
  <c r="AT858" i="1"/>
  <c r="AT859" i="1"/>
  <c r="AT860" i="1"/>
  <c r="AT861" i="1"/>
  <c r="AT862" i="1"/>
  <c r="AT863" i="1"/>
  <c r="AT864" i="1"/>
  <c r="AT865" i="1"/>
  <c r="AT866" i="1"/>
  <c r="AT867" i="1"/>
  <c r="AT868" i="1"/>
  <c r="AT869" i="1"/>
  <c r="AT870" i="1"/>
  <c r="AT871" i="1"/>
  <c r="AT872" i="1"/>
  <c r="AT873" i="1"/>
  <c r="AT874" i="1"/>
  <c r="AT875" i="1"/>
  <c r="AT876" i="1"/>
  <c r="AT877" i="1"/>
  <c r="AT878" i="1"/>
  <c r="AT879" i="1"/>
  <c r="AT880" i="1"/>
  <c r="AT881" i="1"/>
  <c r="AT882" i="1"/>
  <c r="AT883" i="1"/>
  <c r="AT884" i="1"/>
  <c r="AT885" i="1"/>
  <c r="AT886" i="1"/>
  <c r="AT887" i="1"/>
  <c r="AT888" i="1"/>
  <c r="AT889" i="1"/>
  <c r="AT890" i="1"/>
  <c r="AT891" i="1"/>
  <c r="AT892" i="1"/>
  <c r="AT893" i="1"/>
  <c r="AT894" i="1"/>
  <c r="AT895" i="1"/>
  <c r="AT896" i="1"/>
  <c r="AT897" i="1"/>
  <c r="AT898" i="1"/>
  <c r="AT899" i="1"/>
  <c r="AT900" i="1"/>
  <c r="AT901" i="1"/>
  <c r="AT902" i="1"/>
  <c r="AT903" i="1"/>
  <c r="AT904" i="1"/>
  <c r="AT905" i="1"/>
  <c r="AT906" i="1"/>
  <c r="AT907" i="1"/>
  <c r="AT908" i="1"/>
  <c r="AT909" i="1"/>
  <c r="AT910" i="1"/>
  <c r="AT911" i="1"/>
  <c r="AT912" i="1"/>
  <c r="AT913" i="1"/>
  <c r="AT914" i="1"/>
  <c r="AT915" i="1"/>
  <c r="AT916" i="1"/>
  <c r="AT917" i="1"/>
  <c r="AT918" i="1"/>
  <c r="AT919" i="1"/>
  <c r="AT920" i="1"/>
  <c r="AT921" i="1"/>
  <c r="AT922" i="1"/>
  <c r="AT923" i="1"/>
  <c r="AT924" i="1"/>
  <c r="AT925" i="1"/>
  <c r="AT926" i="1"/>
  <c r="AT927" i="1"/>
  <c r="AT928" i="1"/>
  <c r="AT929" i="1"/>
  <c r="AT930" i="1"/>
  <c r="AT931" i="1"/>
  <c r="AT932" i="1"/>
  <c r="AT933" i="1"/>
  <c r="AT934" i="1"/>
  <c r="AT935" i="1"/>
  <c r="AT936" i="1"/>
  <c r="AT937" i="1"/>
  <c r="AT938" i="1"/>
  <c r="AT939" i="1"/>
  <c r="AT940" i="1"/>
  <c r="AT941" i="1"/>
  <c r="AT942" i="1"/>
  <c r="AT943" i="1"/>
  <c r="AT944" i="1"/>
  <c r="AT945" i="1"/>
  <c r="AT946" i="1"/>
  <c r="AT947" i="1"/>
  <c r="AT948" i="1"/>
  <c r="AT949" i="1"/>
  <c r="AT950" i="1"/>
  <c r="AT951" i="1"/>
  <c r="AT952" i="1"/>
  <c r="AT953" i="1"/>
  <c r="AT954" i="1"/>
  <c r="AT955" i="1"/>
  <c r="AT956" i="1"/>
  <c r="AT957" i="1"/>
  <c r="AT958" i="1"/>
  <c r="AT959" i="1"/>
  <c r="AT960" i="1"/>
  <c r="AT961" i="1"/>
  <c r="AT962" i="1"/>
  <c r="AT963" i="1"/>
  <c r="AT964" i="1"/>
  <c r="AT965" i="1"/>
  <c r="AT966" i="1"/>
  <c r="AT967" i="1"/>
  <c r="AT968" i="1"/>
  <c r="AT969" i="1"/>
  <c r="AT970" i="1"/>
  <c r="AT971" i="1"/>
  <c r="AT972" i="1"/>
  <c r="AT973" i="1"/>
  <c r="AT974" i="1"/>
  <c r="AT975" i="1"/>
  <c r="AT976" i="1"/>
  <c r="AT977" i="1"/>
  <c r="AT978" i="1"/>
  <c r="AT979" i="1"/>
  <c r="AT980" i="1"/>
  <c r="AT981" i="1"/>
  <c r="AT982" i="1"/>
  <c r="AT983" i="1"/>
  <c r="AT984" i="1"/>
  <c r="AT985" i="1"/>
  <c r="AT986" i="1"/>
  <c r="AT987" i="1"/>
  <c r="AT988" i="1"/>
  <c r="AT989" i="1"/>
  <c r="AT990" i="1"/>
  <c r="AT991" i="1"/>
  <c r="AT992" i="1"/>
  <c r="AT993" i="1"/>
  <c r="AT994" i="1"/>
  <c r="AT995" i="1"/>
  <c r="AT996" i="1"/>
  <c r="AT997" i="1"/>
  <c r="AT998" i="1"/>
  <c r="AT999" i="1"/>
  <c r="AT1000" i="1"/>
  <c r="AT1001" i="1"/>
  <c r="AT1002" i="1"/>
  <c r="AT1003" i="1"/>
  <c r="AT1004" i="1"/>
  <c r="AT1005" i="1"/>
  <c r="AT1006" i="1"/>
  <c r="AT1007" i="1"/>
  <c r="AT1008" i="1"/>
  <c r="AT1009" i="1"/>
  <c r="AT1010" i="1"/>
  <c r="AT1011" i="1"/>
  <c r="AT1012" i="1"/>
  <c r="AT1013" i="1"/>
  <c r="AT1014" i="1"/>
  <c r="AT1015" i="1"/>
  <c r="AT1016" i="1"/>
  <c r="AT1017" i="1"/>
  <c r="AT1018" i="1"/>
  <c r="AT1019" i="1"/>
  <c r="AT1020" i="1"/>
  <c r="AT1021" i="1"/>
  <c r="AT1022" i="1"/>
  <c r="AT1023" i="1"/>
  <c r="AT1024" i="1"/>
  <c r="AT1025" i="1"/>
  <c r="AT1026" i="1"/>
  <c r="AT1027" i="1"/>
  <c r="AT1028" i="1"/>
  <c r="AT1029" i="1"/>
  <c r="AT1030" i="1"/>
  <c r="AT1031" i="1"/>
  <c r="AT1032" i="1"/>
  <c r="AT1033" i="1"/>
  <c r="AT1034" i="1"/>
  <c r="AT1035" i="1"/>
  <c r="AT1036" i="1"/>
  <c r="AT1037" i="1"/>
  <c r="AT1038" i="1"/>
  <c r="AT1039" i="1"/>
  <c r="AT1040" i="1"/>
  <c r="AT1041" i="1"/>
  <c r="AT1042" i="1"/>
  <c r="AT1043" i="1"/>
  <c r="AT1044" i="1"/>
  <c r="AT1045" i="1"/>
  <c r="AT1046" i="1"/>
  <c r="AT1047" i="1"/>
  <c r="AT1048" i="1"/>
  <c r="AT1049" i="1"/>
  <c r="AT1050" i="1"/>
  <c r="AT1051" i="1"/>
  <c r="AT1052" i="1"/>
  <c r="AT1053" i="1"/>
  <c r="AT1054" i="1"/>
  <c r="AT1055" i="1"/>
  <c r="AT1056" i="1"/>
  <c r="AT1057" i="1"/>
  <c r="AT1058" i="1"/>
  <c r="AT1059" i="1"/>
  <c r="AT1060" i="1"/>
  <c r="AT1061" i="1"/>
  <c r="AT1062" i="1"/>
  <c r="AT1063" i="1"/>
  <c r="AT1064" i="1"/>
  <c r="AT1065" i="1"/>
  <c r="AT1066" i="1"/>
  <c r="AT1067" i="1"/>
  <c r="AT1068" i="1"/>
  <c r="AT1069" i="1"/>
  <c r="AT1070" i="1"/>
  <c r="AT1071" i="1"/>
  <c r="AT1072" i="1"/>
  <c r="AT1073" i="1"/>
  <c r="AT1074" i="1"/>
  <c r="AT1075" i="1"/>
  <c r="AT1076" i="1"/>
  <c r="AT1077" i="1"/>
  <c r="AT1078" i="1"/>
  <c r="AT1079" i="1"/>
  <c r="AT1080" i="1"/>
  <c r="AT1081" i="1"/>
  <c r="AT1082" i="1"/>
  <c r="AT1083" i="1"/>
  <c r="AT1084" i="1"/>
  <c r="AT1085" i="1"/>
  <c r="AT1086" i="1"/>
  <c r="AT1087" i="1"/>
  <c r="AT1088" i="1"/>
  <c r="AT1089" i="1"/>
  <c r="AT1090" i="1"/>
  <c r="AT1091" i="1"/>
  <c r="AT1092" i="1"/>
  <c r="AT1093" i="1"/>
  <c r="AT1094" i="1"/>
  <c r="AT1095" i="1"/>
  <c r="AT1096" i="1"/>
  <c r="AT1097" i="1"/>
  <c r="AT1098" i="1"/>
  <c r="AT1099" i="1"/>
  <c r="AT1100" i="1"/>
  <c r="AT1101" i="1"/>
  <c r="AT1102" i="1"/>
  <c r="AT1103" i="1"/>
  <c r="AT1104" i="1"/>
  <c r="AT1105" i="1"/>
  <c r="AT1106" i="1"/>
  <c r="AT1107" i="1"/>
  <c r="AT1108" i="1"/>
  <c r="AT1109" i="1"/>
  <c r="AT1110" i="1"/>
  <c r="AT1111" i="1"/>
  <c r="AT1112" i="1"/>
  <c r="AT1113" i="1"/>
  <c r="AT1114" i="1"/>
  <c r="AT1115" i="1"/>
  <c r="AT1116" i="1"/>
  <c r="AT1117" i="1"/>
  <c r="AT1118" i="1"/>
  <c r="AT1119" i="1"/>
  <c r="AT1120" i="1"/>
  <c r="AT1121" i="1"/>
  <c r="AT1122" i="1"/>
  <c r="AT1123" i="1"/>
  <c r="AT1124" i="1"/>
  <c r="AT1125" i="1"/>
  <c r="AT1126" i="1"/>
  <c r="AT1127" i="1"/>
  <c r="AT1128" i="1"/>
  <c r="AT1129" i="1"/>
  <c r="AT1130" i="1"/>
  <c r="AT1131" i="1"/>
  <c r="AT1132" i="1"/>
  <c r="AT1133" i="1"/>
  <c r="AT1134" i="1"/>
  <c r="AT1135" i="1"/>
  <c r="AT1136" i="1"/>
  <c r="AT1137" i="1"/>
  <c r="AT1138" i="1"/>
  <c r="AT1139" i="1"/>
  <c r="AT1140" i="1"/>
  <c r="AT1141" i="1"/>
  <c r="AT1142" i="1"/>
  <c r="AT1143" i="1"/>
  <c r="AT1144" i="1"/>
  <c r="AT1145" i="1"/>
  <c r="AT1146" i="1"/>
  <c r="AT1147" i="1"/>
  <c r="AT1148" i="1"/>
  <c r="AT1149" i="1"/>
  <c r="AT1150" i="1"/>
  <c r="AT1151" i="1"/>
  <c r="AT1152" i="1"/>
  <c r="AT1153" i="1"/>
  <c r="AT1154" i="1"/>
  <c r="AT1155" i="1"/>
  <c r="AT1156" i="1"/>
  <c r="AT1157" i="1"/>
  <c r="AT1158" i="1"/>
  <c r="AT1159" i="1"/>
  <c r="AT1160" i="1"/>
  <c r="AT1161" i="1"/>
  <c r="AT1162" i="1"/>
  <c r="AT1163" i="1"/>
  <c r="AT1164" i="1"/>
  <c r="AT1165" i="1"/>
  <c r="AT1166" i="1"/>
  <c r="AT1167" i="1"/>
  <c r="AT1168" i="1"/>
  <c r="AT1169" i="1"/>
  <c r="AT1170" i="1"/>
  <c r="AT1171" i="1"/>
  <c r="AT1172" i="1"/>
  <c r="AT1173" i="1"/>
  <c r="AT1174" i="1"/>
  <c r="AT1175" i="1"/>
  <c r="AT1176" i="1"/>
  <c r="AT1177" i="1"/>
  <c r="AT1178" i="1"/>
  <c r="AT1179" i="1"/>
  <c r="AT1180" i="1"/>
  <c r="AT1181" i="1"/>
  <c r="AT1182" i="1"/>
  <c r="AT1183" i="1"/>
  <c r="AT1184" i="1"/>
  <c r="AT1185" i="1"/>
  <c r="AT1186" i="1"/>
  <c r="AT1187" i="1"/>
  <c r="AT1188" i="1"/>
  <c r="AT1189" i="1"/>
  <c r="AT1190" i="1"/>
  <c r="AT1191" i="1"/>
  <c r="AT1192" i="1"/>
  <c r="AT1193" i="1"/>
  <c r="AT1194" i="1"/>
  <c r="AT1195" i="1"/>
  <c r="AT1196" i="1"/>
  <c r="AT1197" i="1"/>
  <c r="AT1198" i="1"/>
  <c r="AT1199" i="1"/>
  <c r="AT1200" i="1"/>
  <c r="AT1201" i="1"/>
  <c r="AT1202" i="1"/>
  <c r="AT1203" i="1"/>
  <c r="AT1204" i="1"/>
  <c r="AT1205" i="1"/>
  <c r="AT1206" i="1"/>
  <c r="AT1207" i="1"/>
  <c r="AT1208" i="1"/>
  <c r="AT1209" i="1"/>
  <c r="AT1210" i="1"/>
  <c r="AT1211" i="1"/>
  <c r="AT1212" i="1"/>
  <c r="AT1213" i="1"/>
  <c r="AT1214" i="1"/>
  <c r="AT1215" i="1"/>
  <c r="AT1216" i="1"/>
  <c r="AT1217" i="1"/>
  <c r="AT1218" i="1"/>
  <c r="AT1219" i="1"/>
  <c r="AT1220" i="1"/>
  <c r="AT1221" i="1"/>
  <c r="AT1222" i="1"/>
  <c r="AT1223" i="1"/>
  <c r="AT1224" i="1"/>
  <c r="AT1225" i="1"/>
  <c r="AT1226" i="1"/>
  <c r="AT1227" i="1"/>
  <c r="AT1228" i="1"/>
  <c r="AT1229" i="1"/>
  <c r="AT1230" i="1"/>
  <c r="AT1231" i="1"/>
  <c r="AT1232" i="1"/>
  <c r="AT1233" i="1"/>
  <c r="AT1234" i="1"/>
  <c r="AT1235" i="1"/>
  <c r="AT1236" i="1"/>
  <c r="AT1237" i="1"/>
  <c r="AT1238" i="1"/>
  <c r="AT1239" i="1"/>
  <c r="AT1240" i="1"/>
  <c r="AT1241" i="1"/>
  <c r="AT1242" i="1"/>
  <c r="AT1243" i="1"/>
  <c r="AT1244" i="1"/>
  <c r="AT1245" i="1"/>
  <c r="AT1246" i="1"/>
  <c r="AT1247" i="1"/>
  <c r="AT1248" i="1"/>
  <c r="AT1249" i="1"/>
  <c r="AT1250" i="1"/>
  <c r="AT1251" i="1"/>
  <c r="AT1252" i="1"/>
  <c r="AT1253" i="1"/>
  <c r="AT1254" i="1"/>
  <c r="AT1255" i="1"/>
  <c r="AT1256" i="1"/>
  <c r="AT1257" i="1"/>
  <c r="AT1258" i="1"/>
  <c r="AT1259" i="1"/>
  <c r="AT1260" i="1"/>
  <c r="AT1261" i="1"/>
  <c r="AT1262" i="1"/>
  <c r="AT1263" i="1"/>
  <c r="AT1264" i="1"/>
  <c r="AT1265" i="1"/>
  <c r="AT1266" i="1"/>
  <c r="AT1267" i="1"/>
  <c r="AT1268" i="1"/>
  <c r="AT1269" i="1"/>
  <c r="AT1270" i="1"/>
  <c r="AT1271" i="1"/>
  <c r="AT1272" i="1"/>
  <c r="AT1273" i="1"/>
  <c r="AT1274" i="1"/>
  <c r="AT1275" i="1"/>
  <c r="AT1276" i="1"/>
  <c r="AT1277" i="1"/>
  <c r="AT1278" i="1"/>
  <c r="AT1279" i="1"/>
  <c r="AT1280" i="1"/>
  <c r="AT1281" i="1"/>
  <c r="AT1282" i="1"/>
  <c r="AT1283" i="1"/>
  <c r="AT1284" i="1"/>
  <c r="AT1285" i="1"/>
  <c r="AT1286" i="1"/>
  <c r="AT1287" i="1"/>
  <c r="AT1288" i="1"/>
  <c r="AT1289" i="1"/>
  <c r="AT1290" i="1"/>
  <c r="AT1291" i="1"/>
  <c r="AT1292" i="1"/>
  <c r="AT1293" i="1"/>
  <c r="AT1294" i="1"/>
  <c r="AT1295" i="1"/>
  <c r="AT1296" i="1"/>
  <c r="AT1297" i="1"/>
  <c r="AT1298" i="1"/>
  <c r="AT1299" i="1"/>
  <c r="AT1300" i="1"/>
  <c r="AT1301" i="1"/>
  <c r="AT1302" i="1"/>
  <c r="AT1303" i="1"/>
  <c r="AT1304" i="1"/>
  <c r="AT1305" i="1"/>
  <c r="AT1306" i="1"/>
  <c r="AT1307" i="1"/>
  <c r="AT1308" i="1"/>
  <c r="AT1309" i="1"/>
  <c r="AT1310" i="1"/>
  <c r="AT1311" i="1"/>
  <c r="AT1312" i="1"/>
  <c r="AT1313" i="1"/>
  <c r="AT1314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BD28" i="1"/>
  <c r="BD29" i="1" s="1"/>
  <c r="JO70" i="7"/>
  <c r="CF9" i="2"/>
  <c r="CE9" i="2" s="1"/>
  <c r="CF6" i="2"/>
  <c r="CE6" i="2" s="1"/>
  <c r="CF3" i="2"/>
  <c r="CE3" i="2" s="1"/>
  <c r="CF22" i="2"/>
  <c r="CE22" i="2" s="1"/>
  <c r="CF27" i="2"/>
  <c r="CE27" i="2" s="1"/>
  <c r="CF20" i="2"/>
  <c r="CE20" i="2" s="1"/>
  <c r="CF18" i="2"/>
  <c r="CE18" i="2" s="1"/>
  <c r="CF19" i="2"/>
  <c r="CE19" i="2" s="1"/>
  <c r="CF4" i="2"/>
  <c r="CE4" i="2" s="1"/>
  <c r="CF2" i="2"/>
  <c r="CE2" i="2" s="1"/>
  <c r="CF7" i="2"/>
  <c r="CE7" i="2" s="1"/>
  <c r="CF21" i="2"/>
  <c r="CE21" i="2" s="1"/>
  <c r="CF31" i="2"/>
  <c r="CE31" i="2" s="1"/>
  <c r="CF33" i="2"/>
  <c r="CE33" i="2" s="1"/>
  <c r="CF24" i="2"/>
  <c r="CE24" i="2" s="1"/>
  <c r="CF29" i="2"/>
  <c r="CE29" i="2" s="1"/>
  <c r="CF16" i="2"/>
  <c r="CE16" i="2" s="1"/>
  <c r="CF8" i="2"/>
  <c r="CE8" i="2" s="1"/>
  <c r="CF28" i="2"/>
  <c r="CE28" i="2" s="1"/>
  <c r="CF5" i="2"/>
  <c r="CE5" i="2" s="1"/>
  <c r="CF12" i="2"/>
  <c r="CE12" i="2" s="1"/>
  <c r="CF25" i="2"/>
  <c r="CE25" i="2" s="1"/>
  <c r="CF13" i="2"/>
  <c r="CE13" i="2" s="1"/>
  <c r="CF10" i="2"/>
  <c r="CE10" i="2" s="1"/>
  <c r="CF11" i="2"/>
  <c r="CE11" i="2" s="1"/>
  <c r="CF14" i="2"/>
  <c r="CE14" i="2" s="1"/>
  <c r="CF23" i="2"/>
  <c r="CE23" i="2" s="1"/>
  <c r="CF15" i="2"/>
  <c r="CE15" i="2" s="1"/>
  <c r="CF30" i="2"/>
  <c r="CE30" i="2" s="1"/>
  <c r="CF26" i="2"/>
  <c r="CE26" i="2" s="1"/>
  <c r="CF32" i="2"/>
  <c r="CE32" i="2" s="1"/>
  <c r="CF17" i="2"/>
  <c r="CE17" i="2" s="1"/>
  <c r="CZ18" i="2"/>
  <c r="DA18" i="2"/>
  <c r="DB18" i="2"/>
  <c r="DC18" i="2"/>
  <c r="DD18" i="2"/>
  <c r="DE18" i="2"/>
  <c r="DF18" i="2"/>
  <c r="DG18" i="2"/>
  <c r="DH18" i="2"/>
  <c r="CZ19" i="2"/>
  <c r="DA19" i="2"/>
  <c r="DB19" i="2"/>
  <c r="DC19" i="2"/>
  <c r="DD19" i="2"/>
  <c r="DE19" i="2"/>
  <c r="DF19" i="2"/>
  <c r="DG19" i="2"/>
  <c r="DH19" i="2"/>
  <c r="DA20" i="2"/>
  <c r="DB20" i="2"/>
  <c r="DC20" i="2"/>
  <c r="DD20" i="2"/>
  <c r="DE20" i="2"/>
  <c r="DF20" i="2"/>
  <c r="DG20" i="2"/>
  <c r="DH20" i="2"/>
  <c r="CZ21" i="2"/>
  <c r="DB21" i="2"/>
  <c r="DC21" i="2"/>
  <c r="DD21" i="2"/>
  <c r="DE21" i="2"/>
  <c r="DF21" i="2"/>
  <c r="DG21" i="2"/>
  <c r="DH21" i="2"/>
  <c r="CZ22" i="2"/>
  <c r="DA22" i="2"/>
  <c r="DC22" i="2"/>
  <c r="DD22" i="2"/>
  <c r="DE22" i="2"/>
  <c r="DF22" i="2"/>
  <c r="DG22" i="2"/>
  <c r="DH22" i="2"/>
  <c r="CZ23" i="2"/>
  <c r="DA23" i="2"/>
  <c r="DB23" i="2"/>
  <c r="DD23" i="2"/>
  <c r="DE23" i="2"/>
  <c r="DF23" i="2"/>
  <c r="DG23" i="2"/>
  <c r="DH23" i="2"/>
  <c r="CZ24" i="2"/>
  <c r="DA24" i="2"/>
  <c r="DB24" i="2"/>
  <c r="DC24" i="2"/>
  <c r="DE24" i="2"/>
  <c r="DF24" i="2"/>
  <c r="DG24" i="2"/>
  <c r="DH24" i="2"/>
  <c r="CZ25" i="2"/>
  <c r="DA25" i="2"/>
  <c r="DB25" i="2"/>
  <c r="DC25" i="2"/>
  <c r="DD25" i="2"/>
  <c r="DF25" i="2"/>
  <c r="DG25" i="2"/>
  <c r="DH25" i="2"/>
  <c r="CZ26" i="2"/>
  <c r="DA26" i="2"/>
  <c r="DB26" i="2"/>
  <c r="DC26" i="2"/>
  <c r="DD26" i="2"/>
  <c r="DE26" i="2"/>
  <c r="DG26" i="2"/>
  <c r="DH26" i="2"/>
  <c r="CZ27" i="2"/>
  <c r="DA27" i="2"/>
  <c r="DB27" i="2"/>
  <c r="DC27" i="2"/>
  <c r="DD27" i="2"/>
  <c r="DE27" i="2"/>
  <c r="DF27" i="2"/>
  <c r="DH27" i="2"/>
  <c r="CZ28" i="2"/>
  <c r="DA28" i="2"/>
  <c r="DB28" i="2"/>
  <c r="DC28" i="2"/>
  <c r="DD28" i="2"/>
  <c r="DE28" i="2"/>
  <c r="DF28" i="2"/>
  <c r="DG28" i="2"/>
  <c r="CY18" i="2"/>
  <c r="CY20" i="2"/>
  <c r="CY21" i="2"/>
  <c r="CY22" i="2"/>
  <c r="CY23" i="2"/>
  <c r="CY24" i="2"/>
  <c r="CY25" i="2"/>
  <c r="CY26" i="2"/>
  <c r="CY27" i="2"/>
  <c r="CY28" i="2"/>
  <c r="CX28" i="2"/>
  <c r="CX22" i="2"/>
  <c r="CX23" i="2"/>
  <c r="CX24" i="2"/>
  <c r="CX25" i="2"/>
  <c r="CX26" i="2"/>
  <c r="CX27" i="2"/>
  <c r="CX21" i="2"/>
  <c r="CX20" i="2"/>
  <c r="CX19" i="2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BH35" i="1"/>
  <c r="BH34" i="1"/>
  <c r="BH33" i="1"/>
  <c r="BH31" i="1"/>
  <c r="BI20" i="1"/>
  <c r="BI13" i="1"/>
  <c r="N373" i="1"/>
  <c r="CA35" i="2"/>
  <c r="CA36" i="2"/>
  <c r="CA37" i="2"/>
  <c r="H290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I362" i="1" s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I590" i="1" s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I877" i="1" s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I954" i="1" s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I1175" i="1" s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H362" i="1" s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H590" i="1" s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H877" i="1" s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H954" i="1" s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H1175" i="1" s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O2" i="9" a="1"/>
  <c r="BS5" i="1" l="1"/>
  <c r="AI1093" i="1"/>
  <c r="AI1096" i="1"/>
  <c r="AI1090" i="1"/>
  <c r="AI1089" i="1"/>
  <c r="AI1095" i="1"/>
  <c r="AI1092" i="1"/>
  <c r="AI1097" i="1"/>
  <c r="AI1091" i="1"/>
  <c r="AI1094" i="1"/>
  <c r="AH1008" i="1"/>
  <c r="AH1010" i="1"/>
  <c r="AH1011" i="1"/>
  <c r="AH1009" i="1"/>
  <c r="AH912" i="1"/>
  <c r="AH915" i="1"/>
  <c r="AH916" i="1"/>
  <c r="AH913" i="1"/>
  <c r="AH917" i="1"/>
  <c r="AH914" i="1"/>
  <c r="AH918" i="1"/>
  <c r="AH919" i="1"/>
  <c r="AH115" i="1"/>
  <c r="AH116" i="1"/>
  <c r="AH118" i="1"/>
  <c r="AH112" i="1"/>
  <c r="AH114" i="1"/>
  <c r="AH113" i="1"/>
  <c r="AH117" i="1"/>
  <c r="AI1011" i="1"/>
  <c r="AI1008" i="1"/>
  <c r="AI1009" i="1"/>
  <c r="AI1010" i="1"/>
  <c r="AI919" i="1"/>
  <c r="AI915" i="1"/>
  <c r="AI913" i="1"/>
  <c r="AI918" i="1"/>
  <c r="AI917" i="1"/>
  <c r="AI912" i="1"/>
  <c r="AI916" i="1"/>
  <c r="AI914" i="1"/>
  <c r="AH1170" i="1"/>
  <c r="AH1168" i="1"/>
  <c r="AH1172" i="1"/>
  <c r="AH1173" i="1"/>
  <c r="AH1174" i="1"/>
  <c r="AH1169" i="1"/>
  <c r="AH1171" i="1"/>
  <c r="AH1167" i="1"/>
  <c r="AH1165" i="1"/>
  <c r="AH1166" i="1"/>
  <c r="AH944" i="1"/>
  <c r="AH945" i="1"/>
  <c r="AH947" i="1"/>
  <c r="AH948" i="1"/>
  <c r="AH949" i="1"/>
  <c r="AH941" i="1"/>
  <c r="AH942" i="1"/>
  <c r="AH943" i="1"/>
  <c r="AH950" i="1"/>
  <c r="AH951" i="1"/>
  <c r="AH952" i="1"/>
  <c r="AH953" i="1"/>
  <c r="AH946" i="1"/>
  <c r="AH848" i="1"/>
  <c r="AH850" i="1"/>
  <c r="AH846" i="1"/>
  <c r="AH853" i="1"/>
  <c r="AH854" i="1"/>
  <c r="AH855" i="1"/>
  <c r="AH849" i="1"/>
  <c r="AH857" i="1"/>
  <c r="AH858" i="1"/>
  <c r="AH859" i="1"/>
  <c r="AH847" i="1"/>
  <c r="AH851" i="1"/>
  <c r="AH852" i="1"/>
  <c r="AH856" i="1"/>
  <c r="AH845" i="1"/>
  <c r="AH672" i="1"/>
  <c r="AH677" i="1"/>
  <c r="AH678" i="1"/>
  <c r="AH674" i="1"/>
  <c r="AH673" i="1"/>
  <c r="AH671" i="1"/>
  <c r="AH675" i="1"/>
  <c r="AH669" i="1"/>
  <c r="AH670" i="1"/>
  <c r="AH676" i="1"/>
  <c r="AH576" i="1"/>
  <c r="AH577" i="1"/>
  <c r="AH578" i="1"/>
  <c r="AH573" i="1"/>
  <c r="AH574" i="1"/>
  <c r="AH575" i="1"/>
  <c r="AH558" i="1"/>
  <c r="AH559" i="1"/>
  <c r="AH563" i="1"/>
  <c r="AH562" i="1"/>
  <c r="AH564" i="1"/>
  <c r="AH565" i="1"/>
  <c r="AH560" i="1"/>
  <c r="AH561" i="1"/>
  <c r="AH557" i="1"/>
  <c r="AH445" i="1"/>
  <c r="AH451" i="1"/>
  <c r="AH452" i="1"/>
  <c r="AH453" i="1"/>
  <c r="AH454" i="1"/>
  <c r="AH455" i="1"/>
  <c r="AH456" i="1"/>
  <c r="AH457" i="1"/>
  <c r="AH458" i="1"/>
  <c r="AH447" i="1"/>
  <c r="AH448" i="1"/>
  <c r="AH446" i="1"/>
  <c r="AH450" i="1"/>
  <c r="AH449" i="1"/>
  <c r="AH419" i="1"/>
  <c r="AH420" i="1"/>
  <c r="AH413" i="1"/>
  <c r="AH414" i="1"/>
  <c r="AH418" i="1"/>
  <c r="AH415" i="1"/>
  <c r="AH417" i="1"/>
  <c r="AH416" i="1"/>
  <c r="AH421" i="1"/>
  <c r="AH422" i="1"/>
  <c r="AH338" i="1"/>
  <c r="AH335" i="1"/>
  <c r="AH337" i="1"/>
  <c r="AH334" i="1"/>
  <c r="AH336" i="1"/>
  <c r="AH333" i="1"/>
  <c r="AH320" i="1"/>
  <c r="AH318" i="1"/>
  <c r="AH319" i="1"/>
  <c r="AH317" i="1"/>
  <c r="AH301" i="1"/>
  <c r="AH302" i="1"/>
  <c r="AH210" i="1"/>
  <c r="AH207" i="1"/>
  <c r="AH211" i="1"/>
  <c r="AH212" i="1"/>
  <c r="AH213" i="1"/>
  <c r="AH214" i="1"/>
  <c r="AH208" i="1"/>
  <c r="AH209" i="1"/>
  <c r="AH205" i="1"/>
  <c r="AH206" i="1"/>
  <c r="AH64" i="1"/>
  <c r="AH65" i="1"/>
  <c r="AH66" i="1"/>
  <c r="AH67" i="1"/>
  <c r="AH62" i="1"/>
  <c r="AH68" i="1"/>
  <c r="AH63" i="1"/>
  <c r="AH61" i="1"/>
  <c r="AH69" i="1"/>
  <c r="AI1313" i="1"/>
  <c r="AI1309" i="1"/>
  <c r="AI1311" i="1"/>
  <c r="AI1312" i="1"/>
  <c r="AI1310" i="1"/>
  <c r="AI1174" i="1"/>
  <c r="AI1167" i="1"/>
  <c r="AI1171" i="1"/>
  <c r="AI1172" i="1"/>
  <c r="AI1166" i="1"/>
  <c r="AI1169" i="1"/>
  <c r="AI1170" i="1"/>
  <c r="AI1165" i="1"/>
  <c r="AI1173" i="1"/>
  <c r="AI1168" i="1"/>
  <c r="AI951" i="1"/>
  <c r="AI942" i="1"/>
  <c r="AI948" i="1"/>
  <c r="AI947" i="1"/>
  <c r="AI949" i="1"/>
  <c r="AI944" i="1"/>
  <c r="AI945" i="1"/>
  <c r="AI950" i="1"/>
  <c r="AI941" i="1"/>
  <c r="AI953" i="1"/>
  <c r="AI952" i="1"/>
  <c r="AI943" i="1"/>
  <c r="AI946" i="1"/>
  <c r="AI846" i="1"/>
  <c r="AI854" i="1"/>
  <c r="AI856" i="1"/>
  <c r="AI851" i="1"/>
  <c r="AI853" i="1"/>
  <c r="AI848" i="1"/>
  <c r="AI850" i="1"/>
  <c r="AI847" i="1"/>
  <c r="AI845" i="1"/>
  <c r="AI852" i="1"/>
  <c r="AI855" i="1"/>
  <c r="AI849" i="1"/>
  <c r="AI859" i="1"/>
  <c r="AI858" i="1"/>
  <c r="AI857" i="1"/>
  <c r="AI675" i="1"/>
  <c r="AI676" i="1"/>
  <c r="AI672" i="1"/>
  <c r="AI678" i="1"/>
  <c r="AI673" i="1"/>
  <c r="AI671" i="1"/>
  <c r="AI674" i="1"/>
  <c r="AI669" i="1"/>
  <c r="AI677" i="1"/>
  <c r="AI670" i="1"/>
  <c r="AI576" i="1"/>
  <c r="AI574" i="1"/>
  <c r="AI577" i="1"/>
  <c r="AI578" i="1"/>
  <c r="AI575" i="1"/>
  <c r="AI573" i="1"/>
  <c r="AI560" i="1"/>
  <c r="AI559" i="1"/>
  <c r="AI558" i="1"/>
  <c r="AI565" i="1"/>
  <c r="AI557" i="1"/>
  <c r="AI563" i="1"/>
  <c r="AI561" i="1"/>
  <c r="AI562" i="1"/>
  <c r="AI564" i="1"/>
  <c r="AI456" i="1"/>
  <c r="AI452" i="1"/>
  <c r="AI448" i="1"/>
  <c r="AI454" i="1"/>
  <c r="AI445" i="1"/>
  <c r="AI455" i="1"/>
  <c r="AI451" i="1"/>
  <c r="AI453" i="1"/>
  <c r="AI457" i="1"/>
  <c r="AI446" i="1"/>
  <c r="AI449" i="1"/>
  <c r="AI447" i="1"/>
  <c r="AI458" i="1"/>
  <c r="AI450" i="1"/>
  <c r="AI421" i="1"/>
  <c r="AI422" i="1"/>
  <c r="AI419" i="1"/>
  <c r="AI420" i="1"/>
  <c r="AI416" i="1"/>
  <c r="AI413" i="1"/>
  <c r="AI418" i="1"/>
  <c r="AI414" i="1"/>
  <c r="AI417" i="1"/>
  <c r="AI415" i="1"/>
  <c r="AI338" i="1"/>
  <c r="AI337" i="1"/>
  <c r="AI335" i="1"/>
  <c r="AI333" i="1"/>
  <c r="AI336" i="1"/>
  <c r="AI334" i="1"/>
  <c r="AI319" i="1"/>
  <c r="AI318" i="1"/>
  <c r="AI320" i="1"/>
  <c r="AI317" i="1"/>
  <c r="AI302" i="1"/>
  <c r="AI301" i="1"/>
  <c r="AI211" i="1"/>
  <c r="AI208" i="1"/>
  <c r="AI205" i="1"/>
  <c r="AI207" i="1"/>
  <c r="AI214" i="1"/>
  <c r="AI210" i="1"/>
  <c r="AI213" i="1"/>
  <c r="AI206" i="1"/>
  <c r="AI209" i="1"/>
  <c r="AI212" i="1"/>
  <c r="AI65" i="1"/>
  <c r="AI66" i="1"/>
  <c r="AI63" i="1"/>
  <c r="AI67" i="1"/>
  <c r="AI69" i="1"/>
  <c r="AI68" i="1"/>
  <c r="AI64" i="1"/>
  <c r="AI61" i="1"/>
  <c r="AI62" i="1"/>
  <c r="AI130" i="1"/>
  <c r="AI136" i="1"/>
  <c r="AI131" i="1"/>
  <c r="AI134" i="1"/>
  <c r="AI129" i="1"/>
  <c r="AI138" i="1"/>
  <c r="AI137" i="1"/>
  <c r="AI132" i="1"/>
  <c r="AI128" i="1"/>
  <c r="AI135" i="1"/>
  <c r="AI133" i="1"/>
  <c r="AH1276" i="1"/>
  <c r="AH1280" i="1"/>
  <c r="AH1278" i="1"/>
  <c r="AH1279" i="1"/>
  <c r="AH1277" i="1"/>
  <c r="AH1281" i="1"/>
  <c r="AH1068" i="1"/>
  <c r="AH1072" i="1"/>
  <c r="AH1069" i="1"/>
  <c r="AH1070" i="1"/>
  <c r="AH1071" i="1"/>
  <c r="AH1038" i="1"/>
  <c r="AH1039" i="1"/>
  <c r="AH1043" i="1"/>
  <c r="AH1042" i="1"/>
  <c r="AH1041" i="1"/>
  <c r="AH1040" i="1"/>
  <c r="AH1036" i="1"/>
  <c r="AH1037" i="1"/>
  <c r="AH975" i="1"/>
  <c r="AH976" i="1"/>
  <c r="AH972" i="1"/>
  <c r="AH973" i="1"/>
  <c r="AH974" i="1"/>
  <c r="AH860" i="1"/>
  <c r="AH861" i="1"/>
  <c r="AH864" i="1"/>
  <c r="AH863" i="1"/>
  <c r="AH862" i="1"/>
  <c r="AH866" i="1"/>
  <c r="AH865" i="1"/>
  <c r="AH803" i="1"/>
  <c r="AH797" i="1"/>
  <c r="AH798" i="1"/>
  <c r="AH799" i="1"/>
  <c r="AH802" i="1"/>
  <c r="AH801" i="1"/>
  <c r="AH800" i="1"/>
  <c r="AH796" i="1"/>
  <c r="AH689" i="1"/>
  <c r="AH688" i="1"/>
  <c r="AH686" i="1"/>
  <c r="AH687" i="1"/>
  <c r="AH684" i="1"/>
  <c r="AH685" i="1"/>
  <c r="AH691" i="1"/>
  <c r="AH690" i="1"/>
  <c r="AH692" i="1"/>
  <c r="AH694" i="1"/>
  <c r="AH693" i="1"/>
  <c r="AH695" i="1"/>
  <c r="AH654" i="1"/>
  <c r="AH655" i="1"/>
  <c r="AH659" i="1"/>
  <c r="AH660" i="1"/>
  <c r="AH661" i="1"/>
  <c r="AH658" i="1"/>
  <c r="AH652" i="1"/>
  <c r="AH657" i="1"/>
  <c r="AH656" i="1"/>
  <c r="AH653" i="1"/>
  <c r="AH641" i="1"/>
  <c r="AH642" i="1"/>
  <c r="AH640" i="1"/>
  <c r="AH636" i="1"/>
  <c r="AH637" i="1"/>
  <c r="AH639" i="1"/>
  <c r="AH638" i="1"/>
  <c r="AH434" i="1"/>
  <c r="AH432" i="1"/>
  <c r="AH433" i="1"/>
  <c r="AH431" i="1"/>
  <c r="AH436" i="1"/>
  <c r="AH429" i="1"/>
  <c r="AH428" i="1"/>
  <c r="AH437" i="1"/>
  <c r="AH430" i="1"/>
  <c r="AH435" i="1"/>
  <c r="AH402" i="1"/>
  <c r="AH403" i="1"/>
  <c r="AH404" i="1"/>
  <c r="AH401" i="1"/>
  <c r="AH405" i="1"/>
  <c r="AH407" i="1"/>
  <c r="AH398" i="1"/>
  <c r="AH399" i="1"/>
  <c r="AH400" i="1"/>
  <c r="AH406" i="1"/>
  <c r="AH397" i="1"/>
  <c r="AH396" i="1"/>
  <c r="AH240" i="1"/>
  <c r="AH236" i="1"/>
  <c r="AH237" i="1"/>
  <c r="AH242" i="1"/>
  <c r="AH241" i="1"/>
  <c r="AH243" i="1"/>
  <c r="AH244" i="1"/>
  <c r="AH238" i="1"/>
  <c r="AH245" i="1"/>
  <c r="AH239" i="1"/>
  <c r="AH247" i="1"/>
  <c r="AH246" i="1"/>
  <c r="AH223" i="1"/>
  <c r="AH220" i="1"/>
  <c r="AH221" i="1"/>
  <c r="AH227" i="1"/>
  <c r="AH225" i="1"/>
  <c r="AH224" i="1"/>
  <c r="AH222" i="1"/>
  <c r="AH228" i="1"/>
  <c r="AH226" i="1"/>
  <c r="AH82" i="1"/>
  <c r="AH80" i="1"/>
  <c r="AH83" i="1"/>
  <c r="AH81" i="1"/>
  <c r="AH78" i="1"/>
  <c r="AH86" i="1"/>
  <c r="AH76" i="1"/>
  <c r="AH84" i="1"/>
  <c r="AH79" i="1"/>
  <c r="AH77" i="1"/>
  <c r="AH85" i="1"/>
  <c r="AI1281" i="1"/>
  <c r="AI1278" i="1"/>
  <c r="AI1277" i="1"/>
  <c r="AI1279" i="1"/>
  <c r="AI1276" i="1"/>
  <c r="AI1280" i="1"/>
  <c r="AI1068" i="1"/>
  <c r="AI1072" i="1"/>
  <c r="AI1069" i="1"/>
  <c r="AI1071" i="1"/>
  <c r="AI1070" i="1"/>
  <c r="AI1038" i="1"/>
  <c r="AI1037" i="1"/>
  <c r="AI1039" i="1"/>
  <c r="AI1041" i="1"/>
  <c r="AI1040" i="1"/>
  <c r="AI1043" i="1"/>
  <c r="AI1042" i="1"/>
  <c r="AI1036" i="1"/>
  <c r="AI976" i="1"/>
  <c r="AI973" i="1"/>
  <c r="AI974" i="1"/>
  <c r="AI975" i="1"/>
  <c r="AI972" i="1"/>
  <c r="AI866" i="1"/>
  <c r="AI861" i="1"/>
  <c r="AI863" i="1"/>
  <c r="AI860" i="1"/>
  <c r="AI865" i="1"/>
  <c r="AI864" i="1"/>
  <c r="AI862" i="1"/>
  <c r="AI796" i="1"/>
  <c r="AI802" i="1"/>
  <c r="AI801" i="1"/>
  <c r="AI799" i="1"/>
  <c r="AI797" i="1"/>
  <c r="AI800" i="1"/>
  <c r="AI803" i="1"/>
  <c r="AI798" i="1"/>
  <c r="AI695" i="1"/>
  <c r="AI691" i="1"/>
  <c r="AI686" i="1"/>
  <c r="AI693" i="1"/>
  <c r="AI685" i="1"/>
  <c r="AI690" i="1"/>
  <c r="AI689" i="1"/>
  <c r="AI687" i="1"/>
  <c r="AI694" i="1"/>
  <c r="AI684" i="1"/>
  <c r="AI692" i="1"/>
  <c r="AI688" i="1"/>
  <c r="AI652" i="1"/>
  <c r="AI661" i="1"/>
  <c r="AI653" i="1"/>
  <c r="AI658" i="1"/>
  <c r="AI657" i="1"/>
  <c r="AI654" i="1"/>
  <c r="AI655" i="1"/>
  <c r="AI660" i="1"/>
  <c r="AI659" i="1"/>
  <c r="AI656" i="1"/>
  <c r="AI639" i="1"/>
  <c r="AI640" i="1"/>
  <c r="AI638" i="1"/>
  <c r="AI641" i="1"/>
  <c r="AI636" i="1"/>
  <c r="AI642" i="1"/>
  <c r="AI637" i="1"/>
  <c r="AI437" i="1"/>
  <c r="AI434" i="1"/>
  <c r="AI433" i="1"/>
  <c r="AI428" i="1"/>
  <c r="AI431" i="1"/>
  <c r="AI429" i="1"/>
  <c r="AI435" i="1"/>
  <c r="AI432" i="1"/>
  <c r="AI430" i="1"/>
  <c r="AI436" i="1"/>
  <c r="AI398" i="1"/>
  <c r="AI407" i="1"/>
  <c r="AI406" i="1"/>
  <c r="AI402" i="1"/>
  <c r="AI401" i="1"/>
  <c r="AI404" i="1"/>
  <c r="AI399" i="1"/>
  <c r="AI405" i="1"/>
  <c r="AI397" i="1"/>
  <c r="AI403" i="1"/>
  <c r="AI400" i="1"/>
  <c r="AI396" i="1"/>
  <c r="AI240" i="1"/>
  <c r="AI239" i="1"/>
  <c r="AI238" i="1"/>
  <c r="AI237" i="1"/>
  <c r="AI243" i="1"/>
  <c r="AI247" i="1"/>
  <c r="AI236" i="1"/>
  <c r="AI242" i="1"/>
  <c r="AI245" i="1"/>
  <c r="AI241" i="1"/>
  <c r="AI244" i="1"/>
  <c r="AI246" i="1"/>
  <c r="AI227" i="1"/>
  <c r="AI224" i="1"/>
  <c r="AI225" i="1"/>
  <c r="AI220" i="1"/>
  <c r="AI226" i="1"/>
  <c r="AI222" i="1"/>
  <c r="AI223" i="1"/>
  <c r="AI221" i="1"/>
  <c r="AI228" i="1"/>
  <c r="AI81" i="1"/>
  <c r="AI78" i="1"/>
  <c r="AI82" i="1"/>
  <c r="AI80" i="1"/>
  <c r="AI77" i="1"/>
  <c r="AI83" i="1"/>
  <c r="AI85" i="1"/>
  <c r="AI86" i="1"/>
  <c r="AI76" i="1"/>
  <c r="AI84" i="1"/>
  <c r="AI79" i="1"/>
  <c r="AH961" i="1"/>
  <c r="AH964" i="1"/>
  <c r="AH965" i="1"/>
  <c r="AH966" i="1"/>
  <c r="AH967" i="1"/>
  <c r="AH963" i="1"/>
  <c r="AH968" i="1"/>
  <c r="AH962" i="1"/>
  <c r="AH970" i="1"/>
  <c r="AH969" i="1"/>
  <c r="AH971" i="1"/>
  <c r="AI1237" i="1"/>
  <c r="AI1238" i="1"/>
  <c r="AI1239" i="1"/>
  <c r="AI1236" i="1"/>
  <c r="AI1234" i="1"/>
  <c r="AI1233" i="1"/>
  <c r="AI1235" i="1"/>
  <c r="AH1203" i="1"/>
  <c r="AH1204" i="1"/>
  <c r="AH1206" i="1"/>
  <c r="AH1207" i="1"/>
  <c r="AH1201" i="1"/>
  <c r="AH1200" i="1"/>
  <c r="AH1205" i="1"/>
  <c r="AH1202" i="1"/>
  <c r="AH608" i="1"/>
  <c r="AH615" i="1"/>
  <c r="AH616" i="1"/>
  <c r="AH611" i="1"/>
  <c r="AH612" i="1"/>
  <c r="AH613" i="1"/>
  <c r="AH609" i="1"/>
  <c r="AH614" i="1"/>
  <c r="AH617" i="1"/>
  <c r="AH618" i="1"/>
  <c r="AH610" i="1"/>
  <c r="AI114" i="1"/>
  <c r="AI112" i="1"/>
  <c r="AI115" i="1"/>
  <c r="AI117" i="1"/>
  <c r="AI113" i="1"/>
  <c r="AI118" i="1"/>
  <c r="AI116" i="1"/>
  <c r="AH1312" i="1"/>
  <c r="AH1313" i="1"/>
  <c r="AH1309" i="1"/>
  <c r="AH1310" i="1"/>
  <c r="AH1311" i="1"/>
  <c r="AH1308" i="1"/>
  <c r="AH1307" i="1"/>
  <c r="AH958" i="1"/>
  <c r="AH959" i="1"/>
  <c r="AH960" i="1"/>
  <c r="AH955" i="1"/>
  <c r="AH956" i="1"/>
  <c r="AH957" i="1"/>
  <c r="AH828" i="1"/>
  <c r="AH829" i="1"/>
  <c r="AH830" i="1"/>
  <c r="AH831" i="1"/>
  <c r="AH827" i="1"/>
  <c r="AH715" i="1"/>
  <c r="AH716" i="1"/>
  <c r="AH717" i="1"/>
  <c r="AH627" i="1"/>
  <c r="AH628" i="1"/>
  <c r="AH622" i="1"/>
  <c r="AH620" i="1"/>
  <c r="AH626" i="1"/>
  <c r="AH625" i="1"/>
  <c r="AH624" i="1"/>
  <c r="AH619" i="1"/>
  <c r="AH621" i="1"/>
  <c r="AH623" i="1"/>
  <c r="AH459" i="1"/>
  <c r="AH461" i="1"/>
  <c r="AH462" i="1"/>
  <c r="AH460" i="1"/>
  <c r="AH366" i="1"/>
  <c r="AH367" i="1"/>
  <c r="AH371" i="1"/>
  <c r="AH372" i="1"/>
  <c r="AH373" i="1"/>
  <c r="AH375" i="1"/>
  <c r="AH376" i="1"/>
  <c r="AH377" i="1"/>
  <c r="AH364" i="1"/>
  <c r="AH365" i="1"/>
  <c r="AH363" i="1"/>
  <c r="AH370" i="1"/>
  <c r="AH369" i="1"/>
  <c r="AH368" i="1"/>
  <c r="AH374" i="1"/>
  <c r="AH269" i="1"/>
  <c r="AH267" i="1"/>
  <c r="AH270" i="1"/>
  <c r="AH268" i="1"/>
  <c r="AH146" i="1"/>
  <c r="AH147" i="1"/>
  <c r="AH142" i="1"/>
  <c r="AH145" i="1"/>
  <c r="AH143" i="1"/>
  <c r="AH139" i="1"/>
  <c r="AH144" i="1"/>
  <c r="AH140" i="1"/>
  <c r="AH141" i="1"/>
  <c r="AI1308" i="1"/>
  <c r="AI1307" i="1"/>
  <c r="AI959" i="1"/>
  <c r="AI957" i="1"/>
  <c r="AI956" i="1"/>
  <c r="AI960" i="1"/>
  <c r="AI958" i="1"/>
  <c r="AI955" i="1"/>
  <c r="AI828" i="1"/>
  <c r="AI831" i="1"/>
  <c r="AI830" i="1"/>
  <c r="AI827" i="1"/>
  <c r="AI829" i="1"/>
  <c r="AI715" i="1"/>
  <c r="AI716" i="1"/>
  <c r="AI717" i="1"/>
  <c r="AI622" i="1"/>
  <c r="AI621" i="1"/>
  <c r="AI626" i="1"/>
  <c r="AI625" i="1"/>
  <c r="AI619" i="1"/>
  <c r="AI623" i="1"/>
  <c r="AI620" i="1"/>
  <c r="AI628" i="1"/>
  <c r="AI627" i="1"/>
  <c r="AI624" i="1"/>
  <c r="AI459" i="1"/>
  <c r="AI461" i="1"/>
  <c r="AI460" i="1"/>
  <c r="AI462" i="1"/>
  <c r="AI375" i="1"/>
  <c r="AI376" i="1"/>
  <c r="AI374" i="1"/>
  <c r="AI370" i="1"/>
  <c r="AI369" i="1"/>
  <c r="AI364" i="1"/>
  <c r="AI372" i="1"/>
  <c r="AI367" i="1"/>
  <c r="AI373" i="1"/>
  <c r="AI365" i="1"/>
  <c r="AI377" i="1"/>
  <c r="AI368" i="1"/>
  <c r="AI371" i="1"/>
  <c r="AI363" i="1"/>
  <c r="AI366" i="1"/>
  <c r="AI267" i="1"/>
  <c r="AI268" i="1"/>
  <c r="AI270" i="1"/>
  <c r="AI269" i="1"/>
  <c r="AI146" i="1"/>
  <c r="AI147" i="1"/>
  <c r="AI144" i="1"/>
  <c r="AI145" i="1"/>
  <c r="AI140" i="1"/>
  <c r="AI143" i="1"/>
  <c r="AI141" i="1"/>
  <c r="AI142" i="1"/>
  <c r="AI139" i="1"/>
  <c r="AH1146" i="1"/>
  <c r="AH1152" i="1"/>
  <c r="AH1148" i="1"/>
  <c r="AH1151" i="1"/>
  <c r="AH1145" i="1"/>
  <c r="AH1149" i="1"/>
  <c r="AH1147" i="1"/>
  <c r="AH1150" i="1"/>
  <c r="AH1153" i="1"/>
  <c r="AH995" i="1"/>
  <c r="AH990" i="1"/>
  <c r="AH992" i="1"/>
  <c r="AH991" i="1"/>
  <c r="AH993" i="1"/>
  <c r="AH994" i="1"/>
  <c r="AH986" i="1"/>
  <c r="AH985" i="1"/>
  <c r="AH988" i="1"/>
  <c r="AH987" i="1"/>
  <c r="AH989" i="1"/>
  <c r="AH907" i="1"/>
  <c r="AH910" i="1"/>
  <c r="AH911" i="1"/>
  <c r="AH905" i="1"/>
  <c r="AH908" i="1"/>
  <c r="AH909" i="1"/>
  <c r="AH906" i="1"/>
  <c r="AH825" i="1"/>
  <c r="AH826" i="1"/>
  <c r="AH523" i="1"/>
  <c r="AH528" i="1"/>
  <c r="AH521" i="1"/>
  <c r="AH522" i="1"/>
  <c r="AH529" i="1"/>
  <c r="AH525" i="1"/>
  <c r="AH526" i="1"/>
  <c r="AH524" i="1"/>
  <c r="AH530" i="1"/>
  <c r="AH527" i="1"/>
  <c r="AH203" i="1"/>
  <c r="AH201" i="1"/>
  <c r="AH202" i="1"/>
  <c r="AH204" i="1"/>
  <c r="AH169" i="1"/>
  <c r="AH170" i="1"/>
  <c r="AH171" i="1"/>
  <c r="AH172" i="1"/>
  <c r="AH173" i="1"/>
  <c r="AH47" i="1"/>
  <c r="AH48" i="1"/>
  <c r="AH44" i="1"/>
  <c r="AH45" i="1"/>
  <c r="AH46" i="1"/>
  <c r="AH43" i="1"/>
  <c r="AH42" i="1"/>
  <c r="AH41" i="1"/>
  <c r="AI1153" i="1"/>
  <c r="AI1145" i="1"/>
  <c r="AI1152" i="1"/>
  <c r="AI1150" i="1"/>
  <c r="AI1147" i="1"/>
  <c r="AI1151" i="1"/>
  <c r="AI1148" i="1"/>
  <c r="AI1149" i="1"/>
  <c r="AI1146" i="1"/>
  <c r="AI995" i="1"/>
  <c r="AI993" i="1"/>
  <c r="AI990" i="1"/>
  <c r="AI994" i="1"/>
  <c r="AI989" i="1"/>
  <c r="AI985" i="1"/>
  <c r="AI991" i="1"/>
  <c r="AI992" i="1"/>
  <c r="AI986" i="1"/>
  <c r="AI987" i="1"/>
  <c r="AI988" i="1"/>
  <c r="AI908" i="1"/>
  <c r="AI910" i="1"/>
  <c r="AI907" i="1"/>
  <c r="AI906" i="1"/>
  <c r="AI909" i="1"/>
  <c r="AI905" i="1"/>
  <c r="AI911" i="1"/>
  <c r="AI826" i="1"/>
  <c r="AI825" i="1"/>
  <c r="AI528" i="1"/>
  <c r="AI523" i="1"/>
  <c r="AI530" i="1"/>
  <c r="AI529" i="1"/>
  <c r="AI524" i="1"/>
  <c r="AI527" i="1"/>
  <c r="AI526" i="1"/>
  <c r="AI525" i="1"/>
  <c r="AI522" i="1"/>
  <c r="AI521" i="1"/>
  <c r="AI204" i="1"/>
  <c r="AI202" i="1"/>
  <c r="AI203" i="1"/>
  <c r="AI201" i="1"/>
  <c r="AI170" i="1"/>
  <c r="AI173" i="1"/>
  <c r="AI169" i="1"/>
  <c r="AI172" i="1"/>
  <c r="AI171" i="1"/>
  <c r="AI44" i="1"/>
  <c r="AI43" i="1"/>
  <c r="AI48" i="1"/>
  <c r="AI45" i="1"/>
  <c r="AI46" i="1"/>
  <c r="AI41" i="1"/>
  <c r="AI42" i="1"/>
  <c r="AI47" i="1"/>
  <c r="AH739" i="1"/>
  <c r="AH740" i="1"/>
  <c r="AH737" i="1"/>
  <c r="AH738" i="1"/>
  <c r="AI961" i="1"/>
  <c r="AI967" i="1"/>
  <c r="AI968" i="1"/>
  <c r="AI962" i="1"/>
  <c r="AI969" i="1"/>
  <c r="AI966" i="1"/>
  <c r="AI964" i="1"/>
  <c r="AI963" i="1"/>
  <c r="AI970" i="1"/>
  <c r="AI965" i="1"/>
  <c r="AI971" i="1"/>
  <c r="AI110" i="1"/>
  <c r="AI108" i="1"/>
  <c r="AI111" i="1"/>
  <c r="AI106" i="1"/>
  <c r="AI109" i="1"/>
  <c r="AI107" i="1"/>
  <c r="AH1290" i="1"/>
  <c r="AH1294" i="1"/>
  <c r="AH1295" i="1"/>
  <c r="AH1297" i="1"/>
  <c r="AH1293" i="1"/>
  <c r="AH1292" i="1"/>
  <c r="AH1288" i="1"/>
  <c r="AH1296" i="1"/>
  <c r="AH1289" i="1"/>
  <c r="AH1291" i="1"/>
  <c r="AH1242" i="1"/>
  <c r="AH1247" i="1"/>
  <c r="AH1244" i="1"/>
  <c r="AH1240" i="1"/>
  <c r="AH1241" i="1"/>
  <c r="AH1243" i="1"/>
  <c r="AH1245" i="1"/>
  <c r="AH1246" i="1"/>
  <c r="AH1212" i="1"/>
  <c r="AH1210" i="1"/>
  <c r="AH1219" i="1"/>
  <c r="AH1216" i="1"/>
  <c r="AH1218" i="1"/>
  <c r="AH1215" i="1"/>
  <c r="AH1213" i="1"/>
  <c r="AH1211" i="1"/>
  <c r="AH1217" i="1"/>
  <c r="AH1214" i="1"/>
  <c r="AH1208" i="1"/>
  <c r="AH1209" i="1"/>
  <c r="AH1185" i="1"/>
  <c r="AH1186" i="1"/>
  <c r="AH1184" i="1"/>
  <c r="AH1180" i="1"/>
  <c r="AH1187" i="1"/>
  <c r="AH1181" i="1"/>
  <c r="AH1182" i="1"/>
  <c r="AH1183" i="1"/>
  <c r="AH1178" i="1"/>
  <c r="AH1176" i="1"/>
  <c r="AH1179" i="1"/>
  <c r="AH1177" i="1"/>
  <c r="AH928" i="1"/>
  <c r="AH930" i="1"/>
  <c r="AH929" i="1"/>
  <c r="AH920" i="1"/>
  <c r="AH921" i="1"/>
  <c r="AH922" i="1"/>
  <c r="AH923" i="1"/>
  <c r="AH924" i="1"/>
  <c r="AH925" i="1"/>
  <c r="AH926" i="1"/>
  <c r="AH927" i="1"/>
  <c r="AH931" i="1"/>
  <c r="AH894" i="1"/>
  <c r="AH892" i="1"/>
  <c r="AH888" i="1"/>
  <c r="AH889" i="1"/>
  <c r="AH891" i="1"/>
  <c r="AH893" i="1"/>
  <c r="AH890" i="1"/>
  <c r="AH769" i="1"/>
  <c r="AH770" i="1"/>
  <c r="AH768" i="1"/>
  <c r="AH762" i="1"/>
  <c r="AH766" i="1"/>
  <c r="AH764" i="1"/>
  <c r="AH767" i="1"/>
  <c r="AH763" i="1"/>
  <c r="AH765" i="1"/>
  <c r="AH760" i="1"/>
  <c r="AH761" i="1"/>
  <c r="AH696" i="1"/>
  <c r="AH697" i="1"/>
  <c r="AH698" i="1"/>
  <c r="AH699" i="1"/>
  <c r="AH700" i="1"/>
  <c r="AH701" i="1"/>
  <c r="AH702" i="1"/>
  <c r="AH664" i="1"/>
  <c r="AH665" i="1"/>
  <c r="AH666" i="1"/>
  <c r="AH667" i="1"/>
  <c r="AH668" i="1"/>
  <c r="AH544" i="1"/>
  <c r="AH541" i="1"/>
  <c r="AH536" i="1"/>
  <c r="AH537" i="1"/>
  <c r="AH538" i="1"/>
  <c r="AH539" i="1"/>
  <c r="AH540" i="1"/>
  <c r="AH542" i="1"/>
  <c r="AH545" i="1"/>
  <c r="AH543" i="1"/>
  <c r="AH408" i="1"/>
  <c r="AH411" i="1"/>
  <c r="AH409" i="1"/>
  <c r="AH410" i="1"/>
  <c r="AH412" i="1"/>
  <c r="AH251" i="1"/>
  <c r="AH248" i="1"/>
  <c r="AH249" i="1"/>
  <c r="AH250" i="1"/>
  <c r="AH253" i="1"/>
  <c r="AH252" i="1"/>
  <c r="AH156" i="1"/>
  <c r="AH155" i="1"/>
  <c r="AH152" i="1"/>
  <c r="AH157" i="1"/>
  <c r="AH153" i="1"/>
  <c r="AH154" i="1"/>
  <c r="AH158" i="1"/>
  <c r="AH28" i="1"/>
  <c r="AH26" i="1"/>
  <c r="AH27" i="1"/>
  <c r="AH29" i="1"/>
  <c r="AH33" i="1"/>
  <c r="AH24" i="1"/>
  <c r="AH30" i="1"/>
  <c r="AH31" i="1"/>
  <c r="AH25" i="1"/>
  <c r="AH32" i="1"/>
  <c r="AI1288" i="1"/>
  <c r="AI1297" i="1"/>
  <c r="AI1293" i="1"/>
  <c r="AI1296" i="1"/>
  <c r="AI1295" i="1"/>
  <c r="AI1292" i="1"/>
  <c r="AI1289" i="1"/>
  <c r="AI1290" i="1"/>
  <c r="AI1294" i="1"/>
  <c r="AI1291" i="1"/>
  <c r="AI1247" i="1"/>
  <c r="AI1240" i="1"/>
  <c r="AI1242" i="1"/>
  <c r="AI1244" i="1"/>
  <c r="AI1246" i="1"/>
  <c r="AI1241" i="1"/>
  <c r="AI1243" i="1"/>
  <c r="AI1245" i="1"/>
  <c r="AI1217" i="1"/>
  <c r="AI1208" i="1"/>
  <c r="AI1212" i="1"/>
  <c r="AI1216" i="1"/>
  <c r="AI1211" i="1"/>
  <c r="AI1218" i="1"/>
  <c r="AI1215" i="1"/>
  <c r="AI1213" i="1"/>
  <c r="AI1209" i="1"/>
  <c r="AI1210" i="1"/>
  <c r="AI1219" i="1"/>
  <c r="AI1214" i="1"/>
  <c r="AI1180" i="1"/>
  <c r="AI1176" i="1"/>
  <c r="AI1185" i="1"/>
  <c r="AI1184" i="1"/>
  <c r="AI1179" i="1"/>
  <c r="AI1186" i="1"/>
  <c r="AI1183" i="1"/>
  <c r="AI1181" i="1"/>
  <c r="AI1178" i="1"/>
  <c r="AI1177" i="1"/>
  <c r="AI1187" i="1"/>
  <c r="AI1182" i="1"/>
  <c r="AI929" i="1"/>
  <c r="AI924" i="1"/>
  <c r="AI920" i="1"/>
  <c r="AI930" i="1"/>
  <c r="AI925" i="1"/>
  <c r="AI928" i="1"/>
  <c r="AI931" i="1"/>
  <c r="AI926" i="1"/>
  <c r="AI923" i="1"/>
  <c r="AI922" i="1"/>
  <c r="AI921" i="1"/>
  <c r="AI927" i="1"/>
  <c r="AI888" i="1"/>
  <c r="AI892" i="1"/>
  <c r="AI893" i="1"/>
  <c r="AI894" i="1"/>
  <c r="AI891" i="1"/>
  <c r="AI890" i="1"/>
  <c r="AI889" i="1"/>
  <c r="AI763" i="1"/>
  <c r="AI765" i="1"/>
  <c r="AI760" i="1"/>
  <c r="AI770" i="1"/>
  <c r="AI769" i="1"/>
  <c r="AI767" i="1"/>
  <c r="AI761" i="1"/>
  <c r="AI764" i="1"/>
  <c r="AI768" i="1"/>
  <c r="AI766" i="1"/>
  <c r="AI762" i="1"/>
  <c r="AI696" i="1"/>
  <c r="AI700" i="1"/>
  <c r="AI699" i="1"/>
  <c r="AI698" i="1"/>
  <c r="AI697" i="1"/>
  <c r="AI701" i="1"/>
  <c r="AI702" i="1"/>
  <c r="AI666" i="1"/>
  <c r="AI664" i="1"/>
  <c r="AI668" i="1"/>
  <c r="AI667" i="1"/>
  <c r="AI665" i="1"/>
  <c r="AI541" i="1"/>
  <c r="AI539" i="1"/>
  <c r="AI536" i="1"/>
  <c r="AI544" i="1"/>
  <c r="AI542" i="1"/>
  <c r="AI545" i="1"/>
  <c r="AI538" i="1"/>
  <c r="AI543" i="1"/>
  <c r="AI540" i="1"/>
  <c r="AI537" i="1"/>
  <c r="AI412" i="1"/>
  <c r="AI410" i="1"/>
  <c r="AI409" i="1"/>
  <c r="AI408" i="1"/>
  <c r="AI411" i="1"/>
  <c r="AI252" i="1"/>
  <c r="AI250" i="1"/>
  <c r="AI249" i="1"/>
  <c r="AI253" i="1"/>
  <c r="AI248" i="1"/>
  <c r="AI251" i="1"/>
  <c r="AI157" i="1"/>
  <c r="AI155" i="1"/>
  <c r="AI156" i="1"/>
  <c r="AI158" i="1"/>
  <c r="AI153" i="1"/>
  <c r="AI154" i="1"/>
  <c r="AI152" i="1"/>
  <c r="AI33" i="1"/>
  <c r="AI25" i="1"/>
  <c r="AI31" i="1"/>
  <c r="AI30" i="1"/>
  <c r="AI27" i="1"/>
  <c r="AI24" i="1"/>
  <c r="AI28" i="1"/>
  <c r="AI32" i="1"/>
  <c r="AI26" i="1"/>
  <c r="AI29" i="1"/>
  <c r="AH1258" i="1"/>
  <c r="AH1260" i="1"/>
  <c r="AH1262" i="1"/>
  <c r="AH1255" i="1"/>
  <c r="AH1256" i="1"/>
  <c r="AH1257" i="1"/>
  <c r="AH1259" i="1"/>
  <c r="AH1261" i="1"/>
  <c r="AH1063" i="1"/>
  <c r="AH1064" i="1"/>
  <c r="AH1065" i="1"/>
  <c r="AH1066" i="1"/>
  <c r="AH1067" i="1"/>
  <c r="AH781" i="1"/>
  <c r="AH778" i="1"/>
  <c r="AH780" i="1"/>
  <c r="AH775" i="1"/>
  <c r="AH776" i="1"/>
  <c r="AH777" i="1"/>
  <c r="AH779" i="1"/>
  <c r="AH736" i="1"/>
  <c r="AH728" i="1"/>
  <c r="AH734" i="1"/>
  <c r="AH732" i="1"/>
  <c r="AH735" i="1"/>
  <c r="AH731" i="1"/>
  <c r="AH727" i="1"/>
  <c r="AH733" i="1"/>
  <c r="AH730" i="1"/>
  <c r="AH729" i="1"/>
  <c r="AH679" i="1"/>
  <c r="AH681" i="1"/>
  <c r="AH682" i="1"/>
  <c r="AH683" i="1"/>
  <c r="AH680" i="1"/>
  <c r="AH427" i="1"/>
  <c r="AH425" i="1"/>
  <c r="AH426" i="1"/>
  <c r="AH424" i="1"/>
  <c r="AH423" i="1"/>
  <c r="AH218" i="1"/>
  <c r="AH219" i="1"/>
  <c r="AH215" i="1"/>
  <c r="AH216" i="1"/>
  <c r="AH217" i="1"/>
  <c r="AH124" i="1"/>
  <c r="AH126" i="1"/>
  <c r="AH119" i="1"/>
  <c r="AH125" i="1"/>
  <c r="AH127" i="1"/>
  <c r="AH123" i="1"/>
  <c r="AH121" i="1"/>
  <c r="AH122" i="1"/>
  <c r="AH120" i="1"/>
  <c r="AH93" i="1"/>
  <c r="AH92" i="1"/>
  <c r="AH94" i="1"/>
  <c r="AH87" i="1"/>
  <c r="AH88" i="1"/>
  <c r="AH89" i="1"/>
  <c r="AH90" i="1"/>
  <c r="AH91" i="1"/>
  <c r="AH59" i="1"/>
  <c r="AH55" i="1"/>
  <c r="AH56" i="1"/>
  <c r="AH57" i="1"/>
  <c r="AH58" i="1"/>
  <c r="AH60" i="1"/>
  <c r="AI1256" i="1"/>
  <c r="AI1255" i="1"/>
  <c r="AI1262" i="1"/>
  <c r="AI1259" i="1"/>
  <c r="AI1260" i="1"/>
  <c r="AI1261" i="1"/>
  <c r="AI1257" i="1"/>
  <c r="AI1258" i="1"/>
  <c r="AI1064" i="1"/>
  <c r="AI1063" i="1"/>
  <c r="AI1066" i="1"/>
  <c r="AI1065" i="1"/>
  <c r="AI1067" i="1"/>
  <c r="AI780" i="1"/>
  <c r="AI778" i="1"/>
  <c r="AI776" i="1"/>
  <c r="AI777" i="1"/>
  <c r="AI781" i="1"/>
  <c r="AI775" i="1"/>
  <c r="AI779" i="1"/>
  <c r="AI728" i="1"/>
  <c r="AI733" i="1"/>
  <c r="AI727" i="1"/>
  <c r="AI730" i="1"/>
  <c r="AI729" i="1"/>
  <c r="AI735" i="1"/>
  <c r="AI732" i="1"/>
  <c r="AI736" i="1"/>
  <c r="AI734" i="1"/>
  <c r="AI731" i="1"/>
  <c r="AI679" i="1"/>
  <c r="AI680" i="1"/>
  <c r="AI683" i="1"/>
  <c r="AI682" i="1"/>
  <c r="AI681" i="1"/>
  <c r="AI423" i="1"/>
  <c r="AI427" i="1"/>
  <c r="AI424" i="1"/>
  <c r="AI426" i="1"/>
  <c r="AI425" i="1"/>
  <c r="AI215" i="1"/>
  <c r="AI218" i="1"/>
  <c r="AI217" i="1"/>
  <c r="AI219" i="1"/>
  <c r="AI216" i="1"/>
  <c r="AI127" i="1"/>
  <c r="AI123" i="1"/>
  <c r="AI125" i="1"/>
  <c r="AI119" i="1"/>
  <c r="AI120" i="1"/>
  <c r="AI124" i="1"/>
  <c r="AI122" i="1"/>
  <c r="AI126" i="1"/>
  <c r="AI121" i="1"/>
  <c r="AI90" i="1"/>
  <c r="AI91" i="1"/>
  <c r="AI88" i="1"/>
  <c r="AI93" i="1"/>
  <c r="AI87" i="1"/>
  <c r="AI92" i="1"/>
  <c r="AI89" i="1"/>
  <c r="AI94" i="1"/>
  <c r="AI60" i="1"/>
  <c r="AI57" i="1"/>
  <c r="AI59" i="1"/>
  <c r="AI56" i="1"/>
  <c r="AI58" i="1"/>
  <c r="AI55" i="1"/>
  <c r="AH979" i="1"/>
  <c r="AH980" i="1"/>
  <c r="AH981" i="1"/>
  <c r="AH983" i="1"/>
  <c r="AH984" i="1"/>
  <c r="AH978" i="1"/>
  <c r="AH977" i="1"/>
  <c r="AH982" i="1"/>
  <c r="AH1084" i="1"/>
  <c r="AH1088" i="1"/>
  <c r="AH1082" i="1"/>
  <c r="AH1083" i="1"/>
  <c r="AH1085" i="1"/>
  <c r="AH1086" i="1"/>
  <c r="AH1087" i="1"/>
  <c r="AH385" i="1"/>
  <c r="AH387" i="1"/>
  <c r="AH379" i="1"/>
  <c r="AH380" i="1"/>
  <c r="AH381" i="1"/>
  <c r="AH382" i="1"/>
  <c r="AH383" i="1"/>
  <c r="AH386" i="1"/>
  <c r="AH384" i="1"/>
  <c r="AH388" i="1"/>
  <c r="AH389" i="1"/>
  <c r="AH378" i="1"/>
  <c r="AH286" i="1"/>
  <c r="AH282" i="1"/>
  <c r="AH283" i="1"/>
  <c r="AH284" i="1"/>
  <c r="AH285" i="1"/>
  <c r="AH16" i="1"/>
  <c r="AH1314" i="1"/>
  <c r="AH18" i="1"/>
  <c r="AH14" i="1"/>
  <c r="AH12" i="1"/>
  <c r="AH17" i="1"/>
  <c r="AH15" i="1"/>
  <c r="AH11" i="1"/>
  <c r="AH10" i="1"/>
  <c r="AH13" i="1"/>
  <c r="AH443" i="1"/>
  <c r="AH444" i="1"/>
  <c r="AH438" i="1"/>
  <c r="AH439" i="1"/>
  <c r="AH440" i="1"/>
  <c r="AH441" i="1"/>
  <c r="AH442" i="1"/>
  <c r="AH6" i="1"/>
  <c r="AH7" i="1"/>
  <c r="AH9" i="1"/>
  <c r="AH8" i="1"/>
  <c r="AI1190" i="1"/>
  <c r="AI1194" i="1"/>
  <c r="AI1191" i="1"/>
  <c r="AI1199" i="1"/>
  <c r="AI1198" i="1"/>
  <c r="AI1195" i="1"/>
  <c r="AI1192" i="1"/>
  <c r="AI1197" i="1"/>
  <c r="AI1196" i="1"/>
  <c r="AI1193" i="1"/>
  <c r="AI391" i="1"/>
  <c r="AI395" i="1"/>
  <c r="AI394" i="1"/>
  <c r="AI393" i="1"/>
  <c r="AI392" i="1"/>
  <c r="AI390" i="1"/>
  <c r="AI192" i="1"/>
  <c r="AI187" i="1"/>
  <c r="AI183" i="1"/>
  <c r="AI188" i="1"/>
  <c r="AI182" i="1"/>
  <c r="AI190" i="1"/>
  <c r="AI186" i="1"/>
  <c r="AI185" i="1"/>
  <c r="AI191" i="1"/>
  <c r="AI189" i="1"/>
  <c r="AI184" i="1"/>
  <c r="AI74" i="1"/>
  <c r="AI70" i="1"/>
  <c r="AI75" i="1"/>
  <c r="AI72" i="1"/>
  <c r="AI73" i="1"/>
  <c r="AI71" i="1"/>
  <c r="AI6" i="1"/>
  <c r="AI7" i="1"/>
  <c r="AI8" i="1"/>
  <c r="AI9" i="1"/>
  <c r="AH1138" i="1"/>
  <c r="AH1136" i="1"/>
  <c r="AH1137" i="1"/>
  <c r="AH1135" i="1"/>
  <c r="AH1132" i="1"/>
  <c r="AH1133" i="1"/>
  <c r="AH1131" i="1"/>
  <c r="AH1130" i="1"/>
  <c r="AH1134" i="1"/>
  <c r="AI283" i="1"/>
  <c r="AI282" i="1"/>
  <c r="AI285" i="1"/>
  <c r="AI284" i="1"/>
  <c r="AI286" i="1"/>
  <c r="AH1196" i="1"/>
  <c r="AH1190" i="1"/>
  <c r="AH1199" i="1"/>
  <c r="AH1191" i="1"/>
  <c r="AH1192" i="1"/>
  <c r="AH1193" i="1"/>
  <c r="AH1195" i="1"/>
  <c r="AH1197" i="1"/>
  <c r="AH1198" i="1"/>
  <c r="AH1194" i="1"/>
  <c r="AH662" i="1"/>
  <c r="AH663" i="1"/>
  <c r="AI439" i="1"/>
  <c r="AI440" i="1"/>
  <c r="AI443" i="1"/>
  <c r="AI441" i="1"/>
  <c r="AI438" i="1"/>
  <c r="AI444" i="1"/>
  <c r="AI442" i="1"/>
  <c r="AH1030" i="1"/>
  <c r="AH1031" i="1"/>
  <c r="AH1032" i="1"/>
  <c r="AH1033" i="1"/>
  <c r="AH1034" i="1"/>
  <c r="AH1035" i="1"/>
  <c r="AH1029" i="1"/>
  <c r="AH741" i="1"/>
  <c r="AH750" i="1"/>
  <c r="AH742" i="1"/>
  <c r="AH743" i="1"/>
  <c r="AH744" i="1"/>
  <c r="AH745" i="1"/>
  <c r="AH746" i="1"/>
  <c r="AH747" i="1"/>
  <c r="AH748" i="1"/>
  <c r="AH749" i="1"/>
  <c r="AH629" i="1"/>
  <c r="AH631" i="1"/>
  <c r="AH632" i="1"/>
  <c r="AH633" i="1"/>
  <c r="AH634" i="1"/>
  <c r="AH635" i="1"/>
  <c r="AH630" i="1"/>
  <c r="AH509" i="1"/>
  <c r="AH512" i="1"/>
  <c r="AH510" i="1"/>
  <c r="AH501" i="1"/>
  <c r="AH502" i="1"/>
  <c r="AH513" i="1"/>
  <c r="AH503" i="1"/>
  <c r="AH504" i="1"/>
  <c r="AH505" i="1"/>
  <c r="AH506" i="1"/>
  <c r="AH511" i="1"/>
  <c r="AH507" i="1"/>
  <c r="AH508" i="1"/>
  <c r="AH311" i="1"/>
  <c r="AH315" i="1"/>
  <c r="AH313" i="1"/>
  <c r="AH312" i="1"/>
  <c r="AH314" i="1"/>
  <c r="AH309" i="1"/>
  <c r="AH316" i="1"/>
  <c r="AH310" i="1"/>
  <c r="AH229" i="1"/>
  <c r="AH230" i="1"/>
  <c r="AH231" i="1"/>
  <c r="AH232" i="1"/>
  <c r="AH233" i="1"/>
  <c r="AH234" i="1"/>
  <c r="AH235" i="1"/>
  <c r="AI1029" i="1"/>
  <c r="AI1032" i="1"/>
  <c r="AI1031" i="1"/>
  <c r="AI1035" i="1"/>
  <c r="AI1030" i="1"/>
  <c r="AI1034" i="1"/>
  <c r="AI1033" i="1"/>
  <c r="AI741" i="1"/>
  <c r="AI744" i="1"/>
  <c r="AI748" i="1"/>
  <c r="AI750" i="1"/>
  <c r="AI747" i="1"/>
  <c r="AI746" i="1"/>
  <c r="AI745" i="1"/>
  <c r="AI742" i="1"/>
  <c r="AI749" i="1"/>
  <c r="AI743" i="1"/>
  <c r="AI634" i="1"/>
  <c r="AI632" i="1"/>
  <c r="AI630" i="1"/>
  <c r="AI631" i="1"/>
  <c r="AI629" i="1"/>
  <c r="AI635" i="1"/>
  <c r="AI633" i="1"/>
  <c r="AI501" i="1"/>
  <c r="AI509" i="1"/>
  <c r="AI504" i="1"/>
  <c r="AI503" i="1"/>
  <c r="AI512" i="1"/>
  <c r="AI510" i="1"/>
  <c r="AI513" i="1"/>
  <c r="AI507" i="1"/>
  <c r="AI502" i="1"/>
  <c r="AI506" i="1"/>
  <c r="AI511" i="1"/>
  <c r="AI508" i="1"/>
  <c r="AI505" i="1"/>
  <c r="AI312" i="1"/>
  <c r="AI310" i="1"/>
  <c r="AI311" i="1"/>
  <c r="AI316" i="1"/>
  <c r="AI309" i="1"/>
  <c r="AI314" i="1"/>
  <c r="AI313" i="1"/>
  <c r="AI315" i="1"/>
  <c r="AI235" i="1"/>
  <c r="AI230" i="1"/>
  <c r="AI234" i="1"/>
  <c r="AI231" i="1"/>
  <c r="AI229" i="1"/>
  <c r="AI232" i="1"/>
  <c r="AI233" i="1"/>
  <c r="AI1105" i="1"/>
  <c r="AI1103" i="1"/>
  <c r="AI1107" i="1"/>
  <c r="AI1100" i="1"/>
  <c r="AI1108" i="1"/>
  <c r="AI1102" i="1"/>
  <c r="AI1098" i="1"/>
  <c r="AI1109" i="1"/>
  <c r="AI1104" i="1"/>
  <c r="AI1099" i="1"/>
  <c r="AI1106" i="1"/>
  <c r="AI1101" i="1"/>
  <c r="AI389" i="1"/>
  <c r="AI388" i="1"/>
  <c r="AI384" i="1"/>
  <c r="AI381" i="1"/>
  <c r="AI378" i="1"/>
  <c r="AI380" i="1"/>
  <c r="AI379" i="1"/>
  <c r="AI386" i="1"/>
  <c r="AI383" i="1"/>
  <c r="AI387" i="1"/>
  <c r="AI382" i="1"/>
  <c r="AI385" i="1"/>
  <c r="AI13" i="1"/>
  <c r="AI17" i="1"/>
  <c r="AI14" i="1"/>
  <c r="AI11" i="1"/>
  <c r="AI16" i="1"/>
  <c r="AI1314" i="1"/>
  <c r="AI12" i="1"/>
  <c r="AI18" i="1"/>
  <c r="AI15" i="1"/>
  <c r="AI10" i="1"/>
  <c r="AH791" i="1"/>
  <c r="AH792" i="1"/>
  <c r="AH793" i="1"/>
  <c r="AH794" i="1"/>
  <c r="AH795" i="1"/>
  <c r="AH790" i="1"/>
  <c r="AH199" i="1"/>
  <c r="AH200" i="1"/>
  <c r="AH198" i="1"/>
  <c r="AH74" i="1"/>
  <c r="AH75" i="1"/>
  <c r="AH70" i="1"/>
  <c r="AH71" i="1"/>
  <c r="AH72" i="1"/>
  <c r="AH73" i="1"/>
  <c r="AI792" i="1"/>
  <c r="AI790" i="1"/>
  <c r="AI791" i="1"/>
  <c r="AI795" i="1"/>
  <c r="AI794" i="1"/>
  <c r="AI793" i="1"/>
  <c r="AH1226" i="1"/>
  <c r="AH1228" i="1"/>
  <c r="AH1220" i="1"/>
  <c r="AH1221" i="1"/>
  <c r="AH1222" i="1"/>
  <c r="AH1224" i="1"/>
  <c r="AH1225" i="1"/>
  <c r="AH1223" i="1"/>
  <c r="AH1227" i="1"/>
  <c r="AH1229" i="1"/>
  <c r="AH1188" i="1"/>
  <c r="AH1189" i="1"/>
  <c r="AH1051" i="1"/>
  <c r="AH1052" i="1"/>
  <c r="AH1044" i="1"/>
  <c r="AH1045" i="1"/>
  <c r="AH1046" i="1"/>
  <c r="AH1047" i="1"/>
  <c r="AH1048" i="1"/>
  <c r="AH1050" i="1"/>
  <c r="AH1049" i="1"/>
  <c r="AH1053" i="1"/>
  <c r="AH1054" i="1"/>
  <c r="AH1020" i="1"/>
  <c r="AH1013" i="1"/>
  <c r="AH1014" i="1"/>
  <c r="AH1012" i="1"/>
  <c r="AH1015" i="1"/>
  <c r="AH1016" i="1"/>
  <c r="AH1017" i="1"/>
  <c r="AH1018" i="1"/>
  <c r="AH1019" i="1"/>
  <c r="AH1021" i="1"/>
  <c r="AH1004" i="1"/>
  <c r="AH997" i="1"/>
  <c r="AH998" i="1"/>
  <c r="AH1005" i="1"/>
  <c r="AH1006" i="1"/>
  <c r="AH1007" i="1"/>
  <c r="AH996" i="1"/>
  <c r="AH999" i="1"/>
  <c r="AH1000" i="1"/>
  <c r="AH1001" i="1"/>
  <c r="AH1002" i="1"/>
  <c r="AH1003" i="1"/>
  <c r="AH932" i="1"/>
  <c r="AH933" i="1"/>
  <c r="AH934" i="1"/>
  <c r="AH936" i="1"/>
  <c r="AH937" i="1"/>
  <c r="AH938" i="1"/>
  <c r="AH939" i="1"/>
  <c r="AH940" i="1"/>
  <c r="AH935" i="1"/>
  <c r="AH804" i="1"/>
  <c r="AH805" i="1"/>
  <c r="AH806" i="1"/>
  <c r="AH807" i="1"/>
  <c r="AH808" i="1"/>
  <c r="AH812" i="1"/>
  <c r="AH809" i="1"/>
  <c r="AH811" i="1"/>
  <c r="AH813" i="1"/>
  <c r="AH810" i="1"/>
  <c r="AH516" i="1"/>
  <c r="AH517" i="1"/>
  <c r="AH518" i="1"/>
  <c r="AH519" i="1"/>
  <c r="AH520" i="1"/>
  <c r="AH475" i="1"/>
  <c r="AH476" i="1"/>
  <c r="AH477" i="1"/>
  <c r="AH473" i="1"/>
  <c r="AH474" i="1"/>
  <c r="AH472" i="1"/>
  <c r="AH468" i="1"/>
  <c r="AH469" i="1"/>
  <c r="AH470" i="1"/>
  <c r="AH471" i="1"/>
  <c r="AH148" i="1"/>
  <c r="AH149" i="1"/>
  <c r="AH151" i="1"/>
  <c r="AH150" i="1"/>
  <c r="AI1223" i="1"/>
  <c r="AI1224" i="1"/>
  <c r="AI1221" i="1"/>
  <c r="AI1229" i="1"/>
  <c r="AI1222" i="1"/>
  <c r="AI1227" i="1"/>
  <c r="AI1228" i="1"/>
  <c r="AI1225" i="1"/>
  <c r="AI1220" i="1"/>
  <c r="AI1226" i="1"/>
  <c r="AI1189" i="1"/>
  <c r="AI1188" i="1"/>
  <c r="AI1051" i="1"/>
  <c r="AI1044" i="1"/>
  <c r="AI1045" i="1"/>
  <c r="AI1046" i="1"/>
  <c r="AI1048" i="1"/>
  <c r="AI1052" i="1"/>
  <c r="AI1053" i="1"/>
  <c r="AI1050" i="1"/>
  <c r="AI1054" i="1"/>
  <c r="AI1049" i="1"/>
  <c r="AI1047" i="1"/>
  <c r="AI1016" i="1"/>
  <c r="AI1012" i="1"/>
  <c r="AI1013" i="1"/>
  <c r="AI1014" i="1"/>
  <c r="AI1020" i="1"/>
  <c r="AI1021" i="1"/>
  <c r="AI1018" i="1"/>
  <c r="AI1019" i="1"/>
  <c r="AI1017" i="1"/>
  <c r="AI1015" i="1"/>
  <c r="AI1000" i="1"/>
  <c r="AI1005" i="1"/>
  <c r="AI999" i="1"/>
  <c r="AI998" i="1"/>
  <c r="AI996" i="1"/>
  <c r="AI1006" i="1"/>
  <c r="AI1002" i="1"/>
  <c r="AI1003" i="1"/>
  <c r="AI997" i="1"/>
  <c r="AI1001" i="1"/>
  <c r="AI1007" i="1"/>
  <c r="AI1004" i="1"/>
  <c r="AI934" i="1"/>
  <c r="AI932" i="1"/>
  <c r="AI935" i="1"/>
  <c r="AI936" i="1"/>
  <c r="AI939" i="1"/>
  <c r="AI940" i="1"/>
  <c r="AI933" i="1"/>
  <c r="AI938" i="1"/>
  <c r="AI937" i="1"/>
  <c r="AI809" i="1"/>
  <c r="AI805" i="1"/>
  <c r="AI808" i="1"/>
  <c r="AI804" i="1"/>
  <c r="AI806" i="1"/>
  <c r="AI812" i="1"/>
  <c r="AI813" i="1"/>
  <c r="AI807" i="1"/>
  <c r="AI811" i="1"/>
  <c r="AI810" i="1"/>
  <c r="AI516" i="1"/>
  <c r="AI517" i="1"/>
  <c r="AI518" i="1"/>
  <c r="AI519" i="1"/>
  <c r="AI520" i="1"/>
  <c r="AI475" i="1"/>
  <c r="AI469" i="1"/>
  <c r="AI472" i="1"/>
  <c r="AI473" i="1"/>
  <c r="AI471" i="1"/>
  <c r="AI477" i="1"/>
  <c r="AI470" i="1"/>
  <c r="AI476" i="1"/>
  <c r="AI474" i="1"/>
  <c r="AI468" i="1"/>
  <c r="AI151" i="1"/>
  <c r="AI150" i="1"/>
  <c r="AI148" i="1"/>
  <c r="AI149" i="1"/>
  <c r="AH196" i="1"/>
  <c r="AH195" i="1"/>
  <c r="AH197" i="1"/>
  <c r="AH194" i="1"/>
  <c r="AH193" i="1"/>
  <c r="AH110" i="1"/>
  <c r="AH111" i="1"/>
  <c r="AH108" i="1"/>
  <c r="AH107" i="1"/>
  <c r="AH106" i="1"/>
  <c r="AH109" i="1"/>
  <c r="AH395" i="1"/>
  <c r="AH390" i="1"/>
  <c r="AH391" i="1"/>
  <c r="AH392" i="1"/>
  <c r="AH393" i="1"/>
  <c r="AH394" i="1"/>
  <c r="AH183" i="1"/>
  <c r="AH184" i="1"/>
  <c r="AH185" i="1"/>
  <c r="AH192" i="1"/>
  <c r="AH182" i="1"/>
  <c r="AH186" i="1"/>
  <c r="AH191" i="1"/>
  <c r="AH189" i="1"/>
  <c r="AH190" i="1"/>
  <c r="AH187" i="1"/>
  <c r="AH188" i="1"/>
  <c r="AI1110" i="1"/>
  <c r="AI1112" i="1"/>
  <c r="AI1115" i="1"/>
  <c r="AI1114" i="1"/>
  <c r="AI1113" i="1"/>
  <c r="AI1111" i="1"/>
  <c r="AI1116" i="1"/>
  <c r="AI1117" i="1"/>
  <c r="AI663" i="1"/>
  <c r="AI662" i="1"/>
  <c r="AH1141" i="1"/>
  <c r="AH1140" i="1"/>
  <c r="AH1142" i="1"/>
  <c r="AH1143" i="1"/>
  <c r="AH1144" i="1"/>
  <c r="AH1139" i="1"/>
  <c r="AH869" i="1"/>
  <c r="AH870" i="1"/>
  <c r="AH871" i="1"/>
  <c r="AH872" i="1"/>
  <c r="AH876" i="1"/>
  <c r="AH867" i="1"/>
  <c r="AH873" i="1"/>
  <c r="AH875" i="1"/>
  <c r="AH868" i="1"/>
  <c r="AH874" i="1"/>
  <c r="AH772" i="1"/>
  <c r="AH774" i="1"/>
  <c r="AH773" i="1"/>
  <c r="AH771" i="1"/>
  <c r="AH648" i="1"/>
  <c r="AH649" i="1"/>
  <c r="AH650" i="1"/>
  <c r="AH643" i="1"/>
  <c r="AH644" i="1"/>
  <c r="AH645" i="1"/>
  <c r="AH646" i="1"/>
  <c r="AH647" i="1"/>
  <c r="AH651" i="1"/>
  <c r="AH579" i="1"/>
  <c r="AH580" i="1"/>
  <c r="AH581" i="1"/>
  <c r="AH588" i="1"/>
  <c r="AH583" i="1"/>
  <c r="AH584" i="1"/>
  <c r="AH585" i="1"/>
  <c r="AH586" i="1"/>
  <c r="AH587" i="1"/>
  <c r="AH582" i="1"/>
  <c r="AH589" i="1"/>
  <c r="AH535" i="1"/>
  <c r="AH531" i="1"/>
  <c r="AH532" i="1"/>
  <c r="AH533" i="1"/>
  <c r="AH534" i="1"/>
  <c r="AH355" i="1"/>
  <c r="AH359" i="1"/>
  <c r="AH361" i="1"/>
  <c r="AH360" i="1"/>
  <c r="AH356" i="1"/>
  <c r="AH357" i="1"/>
  <c r="AH358" i="1"/>
  <c r="AH347" i="1"/>
  <c r="AH339" i="1"/>
  <c r="AH340" i="1"/>
  <c r="AH342" i="1"/>
  <c r="AH343" i="1"/>
  <c r="AH344" i="1"/>
  <c r="AH345" i="1"/>
  <c r="AH351" i="1"/>
  <c r="AH349" i="1"/>
  <c r="AH350" i="1"/>
  <c r="AH348" i="1"/>
  <c r="AH341" i="1"/>
  <c r="AH346" i="1"/>
  <c r="AH22" i="1"/>
  <c r="AH19" i="1"/>
  <c r="AH23" i="1"/>
  <c r="AH20" i="1"/>
  <c r="AH21" i="1"/>
  <c r="AH3" i="1"/>
  <c r="AH5" i="1"/>
  <c r="AH4" i="1"/>
  <c r="AI1144" i="1"/>
  <c r="AI1141" i="1"/>
  <c r="AI1142" i="1"/>
  <c r="AI1143" i="1"/>
  <c r="AI1139" i="1"/>
  <c r="AI1140" i="1"/>
  <c r="AI870" i="1"/>
  <c r="AI871" i="1"/>
  <c r="AI875" i="1"/>
  <c r="AI868" i="1"/>
  <c r="AI874" i="1"/>
  <c r="AI872" i="1"/>
  <c r="AI873" i="1"/>
  <c r="AI876" i="1"/>
  <c r="AI867" i="1"/>
  <c r="AI869" i="1"/>
  <c r="AI772" i="1"/>
  <c r="AI773" i="1"/>
  <c r="AI774" i="1"/>
  <c r="AI771" i="1"/>
  <c r="AI647" i="1"/>
  <c r="AI644" i="1"/>
  <c r="AI648" i="1"/>
  <c r="AI646" i="1"/>
  <c r="AI651" i="1"/>
  <c r="AI650" i="1"/>
  <c r="AI649" i="1"/>
  <c r="AI645" i="1"/>
  <c r="AI643" i="1"/>
  <c r="AI582" i="1"/>
  <c r="AI588" i="1"/>
  <c r="AI583" i="1"/>
  <c r="AI579" i="1"/>
  <c r="AI584" i="1"/>
  <c r="AI580" i="1"/>
  <c r="AI589" i="1"/>
  <c r="AI581" i="1"/>
  <c r="AI587" i="1"/>
  <c r="AI586" i="1"/>
  <c r="AI585" i="1"/>
  <c r="AI532" i="1"/>
  <c r="AI533" i="1"/>
  <c r="AI535" i="1"/>
  <c r="AI531" i="1"/>
  <c r="AI534" i="1"/>
  <c r="AI358" i="1"/>
  <c r="AI359" i="1"/>
  <c r="AI355" i="1"/>
  <c r="AI357" i="1"/>
  <c r="AI356" i="1"/>
  <c r="AI360" i="1"/>
  <c r="AI361" i="1"/>
  <c r="AI342" i="1"/>
  <c r="AI344" i="1"/>
  <c r="AI343" i="1"/>
  <c r="AI350" i="1"/>
  <c r="AI347" i="1"/>
  <c r="AI349" i="1"/>
  <c r="AI348" i="1"/>
  <c r="AI340" i="1"/>
  <c r="AI351" i="1"/>
  <c r="AI346" i="1"/>
  <c r="AI341" i="1"/>
  <c r="AI345" i="1"/>
  <c r="AI339" i="1"/>
  <c r="AI22" i="1"/>
  <c r="AI19" i="1"/>
  <c r="AI21" i="1"/>
  <c r="AI20" i="1"/>
  <c r="AI23" i="1"/>
  <c r="AI5" i="1"/>
  <c r="AI3" i="1"/>
  <c r="AI4" i="1"/>
  <c r="AH1105" i="1"/>
  <c r="AH1107" i="1"/>
  <c r="AH1108" i="1"/>
  <c r="AH1109" i="1"/>
  <c r="AH1099" i="1"/>
  <c r="AH1101" i="1"/>
  <c r="AH1106" i="1"/>
  <c r="AH1102" i="1"/>
  <c r="AH1104" i="1"/>
  <c r="AH1103" i="1"/>
  <c r="AH1100" i="1"/>
  <c r="AH1098" i="1"/>
  <c r="AH842" i="1"/>
  <c r="AH843" i="1"/>
  <c r="AH844" i="1"/>
  <c r="AI1131" i="1"/>
  <c r="AI1138" i="1"/>
  <c r="AI1135" i="1"/>
  <c r="AI1137" i="1"/>
  <c r="AI1132" i="1"/>
  <c r="AI1134" i="1"/>
  <c r="AI1130" i="1"/>
  <c r="AI1133" i="1"/>
  <c r="AI1136" i="1"/>
  <c r="AI1083" i="1"/>
  <c r="AI1082" i="1"/>
  <c r="AI1086" i="1"/>
  <c r="AI1087" i="1"/>
  <c r="AI1084" i="1"/>
  <c r="AI1085" i="1"/>
  <c r="AI1088" i="1"/>
  <c r="AI842" i="1"/>
  <c r="AI844" i="1"/>
  <c r="AI843" i="1"/>
  <c r="AH1110" i="1"/>
  <c r="AH1111" i="1"/>
  <c r="AH1114" i="1"/>
  <c r="AH1112" i="1"/>
  <c r="AH1116" i="1"/>
  <c r="AH1113" i="1"/>
  <c r="AH1115" i="1"/>
  <c r="AH1117" i="1"/>
  <c r="AH566" i="1"/>
  <c r="AH570" i="1"/>
  <c r="AH572" i="1"/>
  <c r="AH568" i="1"/>
  <c r="AH567" i="1"/>
  <c r="AH569" i="1"/>
  <c r="AH571" i="1"/>
  <c r="AI566" i="1"/>
  <c r="AI568" i="1"/>
  <c r="AI571" i="1"/>
  <c r="AI570" i="1"/>
  <c r="AI567" i="1"/>
  <c r="AI572" i="1"/>
  <c r="AI569" i="1"/>
  <c r="AI198" i="1"/>
  <c r="AI199" i="1"/>
  <c r="AI200" i="1"/>
  <c r="AH1306" i="1"/>
  <c r="AH1299" i="1"/>
  <c r="AH1298" i="1"/>
  <c r="AH1300" i="1"/>
  <c r="AH1301" i="1"/>
  <c r="AH1302" i="1"/>
  <c r="AH1303" i="1"/>
  <c r="AH1304" i="1"/>
  <c r="AH1305" i="1"/>
  <c r="AH1284" i="1"/>
  <c r="AH1286" i="1"/>
  <c r="AH1283" i="1"/>
  <c r="AH1285" i="1"/>
  <c r="AH1282" i="1"/>
  <c r="AH1287" i="1"/>
  <c r="AH1162" i="1"/>
  <c r="AH1159" i="1"/>
  <c r="AH1160" i="1"/>
  <c r="AH1155" i="1"/>
  <c r="AH1156" i="1"/>
  <c r="AH1157" i="1"/>
  <c r="AH1154" i="1"/>
  <c r="AH1163" i="1"/>
  <c r="AH1164" i="1"/>
  <c r="AH1158" i="1"/>
  <c r="AH1161" i="1"/>
  <c r="AH1122" i="1"/>
  <c r="AH1123" i="1"/>
  <c r="AH1124" i="1"/>
  <c r="AH1125" i="1"/>
  <c r="AH1126" i="1"/>
  <c r="AH1127" i="1"/>
  <c r="AH1128" i="1"/>
  <c r="AH1129" i="1"/>
  <c r="AH552" i="1"/>
  <c r="AH554" i="1"/>
  <c r="AH556" i="1"/>
  <c r="AH547" i="1"/>
  <c r="AH549" i="1"/>
  <c r="AH550" i="1"/>
  <c r="AH548" i="1"/>
  <c r="AH546" i="1"/>
  <c r="AH551" i="1"/>
  <c r="AH553" i="1"/>
  <c r="AH555" i="1"/>
  <c r="AH514" i="1"/>
  <c r="AH515" i="1"/>
  <c r="AH491" i="1"/>
  <c r="AH482" i="1"/>
  <c r="AH483" i="1"/>
  <c r="AH484" i="1"/>
  <c r="AH485" i="1"/>
  <c r="AH486" i="1"/>
  <c r="AH487" i="1"/>
  <c r="AH489" i="1"/>
  <c r="AH490" i="1"/>
  <c r="AH493" i="1"/>
  <c r="AH494" i="1"/>
  <c r="AH492" i="1"/>
  <c r="AH488" i="1"/>
  <c r="AH258" i="1"/>
  <c r="AH263" i="1"/>
  <c r="AH259" i="1"/>
  <c r="AH260" i="1"/>
  <c r="AH261" i="1"/>
  <c r="AH262" i="1"/>
  <c r="AH264" i="1"/>
  <c r="AH265" i="1"/>
  <c r="AH266" i="1"/>
  <c r="AH99" i="1"/>
  <c r="AH102" i="1"/>
  <c r="AH98" i="1"/>
  <c r="AH103" i="1"/>
  <c r="AH100" i="1"/>
  <c r="AH104" i="1"/>
  <c r="AH105" i="1"/>
  <c r="AH101" i="1"/>
  <c r="AH35" i="1"/>
  <c r="AH36" i="1"/>
  <c r="AH37" i="1"/>
  <c r="AH38" i="1"/>
  <c r="AH39" i="1"/>
  <c r="AH34" i="1"/>
  <c r="AH40" i="1"/>
  <c r="AI1304" i="1"/>
  <c r="AI1300" i="1"/>
  <c r="AI1301" i="1"/>
  <c r="AI1298" i="1"/>
  <c r="AI1302" i="1"/>
  <c r="AI1299" i="1"/>
  <c r="AI1303" i="1"/>
  <c r="AI1305" i="1"/>
  <c r="AI1306" i="1"/>
  <c r="AI1283" i="1"/>
  <c r="AI1284" i="1"/>
  <c r="AI1287" i="1"/>
  <c r="AI1285" i="1"/>
  <c r="AI1282" i="1"/>
  <c r="AI1286" i="1"/>
  <c r="AI1158" i="1"/>
  <c r="AI1159" i="1"/>
  <c r="AI1160" i="1"/>
  <c r="AI1164" i="1"/>
  <c r="AI1163" i="1"/>
  <c r="AI1162" i="1"/>
  <c r="AI1161" i="1"/>
  <c r="AI1157" i="1"/>
  <c r="AI1155" i="1"/>
  <c r="AI1154" i="1"/>
  <c r="AI1156" i="1"/>
  <c r="AI1128" i="1"/>
  <c r="AI1126" i="1"/>
  <c r="AI1127" i="1"/>
  <c r="AI1123" i="1"/>
  <c r="AI1125" i="1"/>
  <c r="AI1122" i="1"/>
  <c r="AI1129" i="1"/>
  <c r="AI1124" i="1"/>
  <c r="AI549" i="1"/>
  <c r="AI550" i="1"/>
  <c r="AI551" i="1"/>
  <c r="AI547" i="1"/>
  <c r="AI552" i="1"/>
  <c r="AI548" i="1"/>
  <c r="AI555" i="1"/>
  <c r="AI554" i="1"/>
  <c r="AI556" i="1"/>
  <c r="AI546" i="1"/>
  <c r="AI553" i="1"/>
  <c r="AI515" i="1"/>
  <c r="AI514" i="1"/>
  <c r="AI491" i="1"/>
  <c r="AI485" i="1"/>
  <c r="AI488" i="1"/>
  <c r="AI492" i="1"/>
  <c r="AI486" i="1"/>
  <c r="AI487" i="1"/>
  <c r="AI483" i="1"/>
  <c r="AI494" i="1"/>
  <c r="AI489" i="1"/>
  <c r="AI493" i="1"/>
  <c r="AI490" i="1"/>
  <c r="AI484" i="1"/>
  <c r="AI482" i="1"/>
  <c r="AI258" i="1"/>
  <c r="AI259" i="1"/>
  <c r="AI264" i="1"/>
  <c r="AI266" i="1"/>
  <c r="AI263" i="1"/>
  <c r="AI261" i="1"/>
  <c r="AI260" i="1"/>
  <c r="AI265" i="1"/>
  <c r="AI262" i="1"/>
  <c r="AI99" i="1"/>
  <c r="AI98" i="1"/>
  <c r="AI102" i="1"/>
  <c r="AI101" i="1"/>
  <c r="AI105" i="1"/>
  <c r="AI100" i="1"/>
  <c r="AI103" i="1"/>
  <c r="AI104" i="1"/>
  <c r="AI34" i="1"/>
  <c r="AI40" i="1"/>
  <c r="AI35" i="1"/>
  <c r="AI37" i="1"/>
  <c r="AI38" i="1"/>
  <c r="AI36" i="1"/>
  <c r="AI39" i="1"/>
  <c r="AI195" i="1"/>
  <c r="AI196" i="1"/>
  <c r="AI193" i="1"/>
  <c r="AI194" i="1"/>
  <c r="AI197" i="1"/>
  <c r="AH50" i="1"/>
  <c r="AH49" i="1"/>
  <c r="AH51" i="1"/>
  <c r="AH52" i="1"/>
  <c r="AH53" i="1"/>
  <c r="AH54" i="1"/>
  <c r="AI740" i="1"/>
  <c r="AI739" i="1"/>
  <c r="AI738" i="1"/>
  <c r="AI737" i="1"/>
  <c r="AI326" i="1"/>
  <c r="AI328" i="1"/>
  <c r="AI323" i="1"/>
  <c r="AI325" i="1"/>
  <c r="AI324" i="1"/>
  <c r="AI332" i="1"/>
  <c r="AI322" i="1"/>
  <c r="AI327" i="1"/>
  <c r="AI330" i="1"/>
  <c r="AI329" i="1"/>
  <c r="AI331" i="1"/>
  <c r="AI321" i="1"/>
  <c r="AI1206" i="1"/>
  <c r="AI1207" i="1"/>
  <c r="AI1203" i="1"/>
  <c r="AI1204" i="1"/>
  <c r="AI1201" i="1"/>
  <c r="AI1202" i="1"/>
  <c r="AI1205" i="1"/>
  <c r="AI1200" i="1"/>
  <c r="AI617" i="1"/>
  <c r="AI614" i="1"/>
  <c r="AI615" i="1"/>
  <c r="AI611" i="1"/>
  <c r="AI616" i="1"/>
  <c r="AI612" i="1"/>
  <c r="AI608" i="1"/>
  <c r="AI609" i="1"/>
  <c r="AI618" i="1"/>
  <c r="AI610" i="1"/>
  <c r="AI613" i="1"/>
  <c r="AI352" i="1"/>
  <c r="AI354" i="1"/>
  <c r="AI353" i="1"/>
  <c r="AH1234" i="1"/>
  <c r="AH1233" i="1"/>
  <c r="AH1236" i="1"/>
  <c r="AH1237" i="1"/>
  <c r="AH1238" i="1"/>
  <c r="AH1239" i="1"/>
  <c r="AH1235" i="1"/>
  <c r="AH1074" i="1"/>
  <c r="AH1076" i="1"/>
  <c r="AH1073" i="1"/>
  <c r="AH1078" i="1"/>
  <c r="AH1080" i="1"/>
  <c r="AH1081" i="1"/>
  <c r="AH1075" i="1"/>
  <c r="AH1077" i="1"/>
  <c r="AH1079" i="1"/>
  <c r="AI49" i="1"/>
  <c r="AI51" i="1"/>
  <c r="AI53" i="1"/>
  <c r="AI54" i="1"/>
  <c r="AI52" i="1"/>
  <c r="AI50" i="1"/>
  <c r="AH1251" i="1"/>
  <c r="AH1248" i="1"/>
  <c r="AH1252" i="1"/>
  <c r="AH1253" i="1"/>
  <c r="AH1254" i="1"/>
  <c r="AH1249" i="1"/>
  <c r="AH1250" i="1"/>
  <c r="AH353" i="1"/>
  <c r="AH352" i="1"/>
  <c r="AH354" i="1"/>
  <c r="AI1249" i="1"/>
  <c r="AI1253" i="1"/>
  <c r="AI1250" i="1"/>
  <c r="AI1252" i="1"/>
  <c r="AI1248" i="1"/>
  <c r="AI1251" i="1"/>
  <c r="AI1254" i="1"/>
  <c r="AH1265" i="1"/>
  <c r="AH1267" i="1"/>
  <c r="AH1266" i="1"/>
  <c r="AH1264" i="1"/>
  <c r="AH1274" i="1"/>
  <c r="AH1271" i="1"/>
  <c r="AH1272" i="1"/>
  <c r="AH1273" i="1"/>
  <c r="AH1275" i="1"/>
  <c r="AH1263" i="1"/>
  <c r="AH1268" i="1"/>
  <c r="AH1269" i="1"/>
  <c r="AH1270" i="1"/>
  <c r="AH1062" i="1"/>
  <c r="AH1057" i="1"/>
  <c r="AH1058" i="1"/>
  <c r="AH1059" i="1"/>
  <c r="AH1060" i="1"/>
  <c r="AH1056" i="1"/>
  <c r="AH1055" i="1"/>
  <c r="AH1061" i="1"/>
  <c r="AH895" i="1"/>
  <c r="AH898" i="1"/>
  <c r="AH899" i="1"/>
  <c r="AH900" i="1"/>
  <c r="AH902" i="1"/>
  <c r="AH903" i="1"/>
  <c r="AH904" i="1"/>
  <c r="AH897" i="1"/>
  <c r="AH896" i="1"/>
  <c r="AH901" i="1"/>
  <c r="AH753" i="1"/>
  <c r="AH752" i="1"/>
  <c r="AH754" i="1"/>
  <c r="AH755" i="1"/>
  <c r="AH757" i="1"/>
  <c r="AH758" i="1"/>
  <c r="AH751" i="1"/>
  <c r="AH756" i="1"/>
  <c r="AH759" i="1"/>
  <c r="AH705" i="1"/>
  <c r="AH712" i="1"/>
  <c r="AH713" i="1"/>
  <c r="AH714" i="1"/>
  <c r="AH707" i="1"/>
  <c r="AH708" i="1"/>
  <c r="AH706" i="1"/>
  <c r="AH703" i="1"/>
  <c r="AH709" i="1"/>
  <c r="AH704" i="1"/>
  <c r="AH710" i="1"/>
  <c r="AH711" i="1"/>
  <c r="AH592" i="1"/>
  <c r="AH594" i="1"/>
  <c r="AH604" i="1"/>
  <c r="AH600" i="1"/>
  <c r="AH601" i="1"/>
  <c r="AH602" i="1"/>
  <c r="AH605" i="1"/>
  <c r="AH591" i="1"/>
  <c r="AH593" i="1"/>
  <c r="AH595" i="1"/>
  <c r="AH596" i="1"/>
  <c r="AH597" i="1"/>
  <c r="AH598" i="1"/>
  <c r="AH599" i="1"/>
  <c r="AH603" i="1"/>
  <c r="AH496" i="1"/>
  <c r="AH498" i="1"/>
  <c r="AH497" i="1"/>
  <c r="AH499" i="1"/>
  <c r="AH500" i="1"/>
  <c r="AH495" i="1"/>
  <c r="AH464" i="1"/>
  <c r="AH466" i="1"/>
  <c r="AH467" i="1"/>
  <c r="AH465" i="1"/>
  <c r="AH463" i="1"/>
  <c r="AH308" i="1"/>
  <c r="AH307" i="1"/>
  <c r="AH303" i="1"/>
  <c r="AH306" i="1"/>
  <c r="AH305" i="1"/>
  <c r="AH304" i="1"/>
  <c r="AH293" i="1"/>
  <c r="AH294" i="1"/>
  <c r="AH295" i="1"/>
  <c r="AH290" i="1"/>
  <c r="AH291" i="1"/>
  <c r="AH287" i="1"/>
  <c r="AH292" i="1"/>
  <c r="AH299" i="1"/>
  <c r="AH297" i="1"/>
  <c r="AH298" i="1"/>
  <c r="AH289" i="1"/>
  <c r="AH296" i="1"/>
  <c r="AH288" i="1"/>
  <c r="AH300" i="1"/>
  <c r="AH272" i="1"/>
  <c r="AH275" i="1"/>
  <c r="AH276" i="1"/>
  <c r="AH277" i="1"/>
  <c r="AH278" i="1"/>
  <c r="AH279" i="1"/>
  <c r="AH280" i="1"/>
  <c r="AH281" i="1"/>
  <c r="AH273" i="1"/>
  <c r="AH271" i="1"/>
  <c r="AH274" i="1"/>
  <c r="AH160" i="1"/>
  <c r="AH162" i="1"/>
  <c r="AH161" i="1"/>
  <c r="AH165" i="1"/>
  <c r="AH166" i="1"/>
  <c r="AH167" i="1"/>
  <c r="AH168" i="1"/>
  <c r="AH159" i="1"/>
  <c r="AH163" i="1"/>
  <c r="AH164" i="1"/>
  <c r="AH96" i="1"/>
  <c r="AH97" i="1"/>
  <c r="AH95" i="1"/>
  <c r="AI1271" i="1"/>
  <c r="AI1267" i="1"/>
  <c r="AI1263" i="1"/>
  <c r="AI1268" i="1"/>
  <c r="AI1269" i="1"/>
  <c r="AI1264" i="1"/>
  <c r="AI1272" i="1"/>
  <c r="AI1265" i="1"/>
  <c r="AI1266" i="1"/>
  <c r="AI1270" i="1"/>
  <c r="AI1273" i="1"/>
  <c r="AI1274" i="1"/>
  <c r="AI1275" i="1"/>
  <c r="AI1060" i="1"/>
  <c r="AI1061" i="1"/>
  <c r="AI1057" i="1"/>
  <c r="AI1058" i="1"/>
  <c r="AI1059" i="1"/>
  <c r="AI1056" i="1"/>
  <c r="AI1055" i="1"/>
  <c r="AI1062" i="1"/>
  <c r="AI902" i="1"/>
  <c r="AI903" i="1"/>
  <c r="AI895" i="1"/>
  <c r="AI904" i="1"/>
  <c r="AI897" i="1"/>
  <c r="AI900" i="1"/>
  <c r="AI898" i="1"/>
  <c r="AI896" i="1"/>
  <c r="AI899" i="1"/>
  <c r="AI901" i="1"/>
  <c r="AI756" i="1"/>
  <c r="AI757" i="1"/>
  <c r="AI752" i="1"/>
  <c r="AI751" i="1"/>
  <c r="AI758" i="1"/>
  <c r="AI759" i="1"/>
  <c r="AI755" i="1"/>
  <c r="AI753" i="1"/>
  <c r="AI754" i="1"/>
  <c r="AI712" i="1"/>
  <c r="AI713" i="1"/>
  <c r="AI714" i="1"/>
  <c r="AI708" i="1"/>
  <c r="AI704" i="1"/>
  <c r="AI707" i="1"/>
  <c r="AI710" i="1"/>
  <c r="AI703" i="1"/>
  <c r="AI705" i="1"/>
  <c r="AI709" i="1"/>
  <c r="AI706" i="1"/>
  <c r="AI711" i="1"/>
  <c r="AI594" i="1"/>
  <c r="AI593" i="1"/>
  <c r="AI598" i="1"/>
  <c r="AI591" i="1"/>
  <c r="AI603" i="1"/>
  <c r="AI604" i="1"/>
  <c r="AI600" i="1"/>
  <c r="AI597" i="1"/>
  <c r="AI595" i="1"/>
  <c r="AI592" i="1"/>
  <c r="AI602" i="1"/>
  <c r="AI601" i="1"/>
  <c r="AI596" i="1"/>
  <c r="AI605" i="1"/>
  <c r="AI599" i="1"/>
  <c r="AI496" i="1"/>
  <c r="AI500" i="1"/>
  <c r="AI498" i="1"/>
  <c r="AI497" i="1"/>
  <c r="AI495" i="1"/>
  <c r="AI499" i="1"/>
  <c r="AI466" i="1"/>
  <c r="AI465" i="1"/>
  <c r="AI463" i="1"/>
  <c r="AI467" i="1"/>
  <c r="AI464" i="1"/>
  <c r="AI303" i="1"/>
  <c r="AI308" i="1"/>
  <c r="AI306" i="1"/>
  <c r="AI304" i="1"/>
  <c r="AI307" i="1"/>
  <c r="AI305" i="1"/>
  <c r="AI294" i="1"/>
  <c r="AI291" i="1"/>
  <c r="AI296" i="1"/>
  <c r="AI290" i="1"/>
  <c r="AI293" i="1"/>
  <c r="AI292" i="1"/>
  <c r="AI287" i="1"/>
  <c r="AI300" i="1"/>
  <c r="AI295" i="1"/>
  <c r="AI298" i="1"/>
  <c r="AI297" i="1"/>
  <c r="AI299" i="1"/>
  <c r="AI289" i="1"/>
  <c r="AI288" i="1"/>
  <c r="AI278" i="1"/>
  <c r="AI277" i="1"/>
  <c r="AI276" i="1"/>
  <c r="AI281" i="1"/>
  <c r="AI275" i="1"/>
  <c r="AI280" i="1"/>
  <c r="AI274" i="1"/>
  <c r="AI279" i="1"/>
  <c r="AI273" i="1"/>
  <c r="AI272" i="1"/>
  <c r="AI271" i="1"/>
  <c r="AI159" i="1"/>
  <c r="AI168" i="1"/>
  <c r="AI161" i="1"/>
  <c r="AI163" i="1"/>
  <c r="AI162" i="1"/>
  <c r="AI164" i="1"/>
  <c r="AI166" i="1"/>
  <c r="AI160" i="1"/>
  <c r="AI167" i="1"/>
  <c r="AI165" i="1"/>
  <c r="AI95" i="1"/>
  <c r="AI97" i="1"/>
  <c r="AI96" i="1"/>
  <c r="AH1089" i="1"/>
  <c r="AH1091" i="1"/>
  <c r="AH1092" i="1"/>
  <c r="AH1093" i="1"/>
  <c r="AH1094" i="1"/>
  <c r="AH1095" i="1"/>
  <c r="AH1096" i="1"/>
  <c r="AH1097" i="1"/>
  <c r="AH1090" i="1"/>
  <c r="AH323" i="1"/>
  <c r="AH324" i="1"/>
  <c r="AH325" i="1"/>
  <c r="AH327" i="1"/>
  <c r="AH328" i="1"/>
  <c r="AH329" i="1"/>
  <c r="AH330" i="1"/>
  <c r="AH331" i="1"/>
  <c r="AH321" i="1"/>
  <c r="AH332" i="1"/>
  <c r="AH322" i="1"/>
  <c r="AH326" i="1"/>
  <c r="AI1077" i="1"/>
  <c r="AI1073" i="1"/>
  <c r="AI1075" i="1"/>
  <c r="AI1080" i="1"/>
  <c r="AI1078" i="1"/>
  <c r="AI1076" i="1"/>
  <c r="AI1081" i="1"/>
  <c r="AI1079" i="1"/>
  <c r="AI1074" i="1"/>
  <c r="AI983" i="1"/>
  <c r="AI980" i="1"/>
  <c r="AI984" i="1"/>
  <c r="AI977" i="1"/>
  <c r="AI981" i="1"/>
  <c r="AI982" i="1"/>
  <c r="AI979" i="1"/>
  <c r="AI978" i="1"/>
  <c r="AH832" i="1"/>
  <c r="AH833" i="1"/>
  <c r="AH835" i="1"/>
  <c r="AH836" i="1"/>
  <c r="AH834" i="1"/>
  <c r="AH837" i="1"/>
  <c r="AH838" i="1"/>
  <c r="AH839" i="1"/>
  <c r="AH840" i="1"/>
  <c r="AH841" i="1"/>
  <c r="AH131" i="1"/>
  <c r="AH133" i="1"/>
  <c r="AH135" i="1"/>
  <c r="AH136" i="1"/>
  <c r="AH129" i="1"/>
  <c r="AH137" i="1"/>
  <c r="AH132" i="1"/>
  <c r="AH134" i="1"/>
  <c r="AH130" i="1"/>
  <c r="AH138" i="1"/>
  <c r="AH128" i="1"/>
  <c r="AI840" i="1"/>
  <c r="AI841" i="1"/>
  <c r="AI837" i="1"/>
  <c r="AI836" i="1"/>
  <c r="AI839" i="1"/>
  <c r="AI834" i="1"/>
  <c r="AI838" i="1"/>
  <c r="AI832" i="1"/>
  <c r="AI835" i="1"/>
  <c r="AI833" i="1"/>
  <c r="AH1232" i="1"/>
  <c r="AH1231" i="1"/>
  <c r="AH1230" i="1"/>
  <c r="AH1121" i="1"/>
  <c r="AH1118" i="1"/>
  <c r="AH1119" i="1"/>
  <c r="AH1120" i="1"/>
  <c r="AH1024" i="1"/>
  <c r="AH1027" i="1"/>
  <c r="AH1028" i="1"/>
  <c r="AH1023" i="1"/>
  <c r="AH1022" i="1"/>
  <c r="AH1026" i="1"/>
  <c r="AH1025" i="1"/>
  <c r="AH884" i="1"/>
  <c r="AH885" i="1"/>
  <c r="AH886" i="1"/>
  <c r="AH887" i="1"/>
  <c r="AH878" i="1"/>
  <c r="AH879" i="1"/>
  <c r="AH882" i="1"/>
  <c r="AH881" i="1"/>
  <c r="AH880" i="1"/>
  <c r="AH883" i="1"/>
  <c r="AH821" i="1"/>
  <c r="AH816" i="1"/>
  <c r="AH822" i="1"/>
  <c r="AH823" i="1"/>
  <c r="AH815" i="1"/>
  <c r="AH818" i="1"/>
  <c r="AH817" i="1"/>
  <c r="AH819" i="1"/>
  <c r="AH824" i="1"/>
  <c r="AH820" i="1"/>
  <c r="AH814" i="1"/>
  <c r="AH789" i="1"/>
  <c r="AH782" i="1"/>
  <c r="AH783" i="1"/>
  <c r="AH786" i="1"/>
  <c r="AH787" i="1"/>
  <c r="AH788" i="1"/>
  <c r="AH785" i="1"/>
  <c r="AH784" i="1"/>
  <c r="AH720" i="1"/>
  <c r="AH724" i="1"/>
  <c r="AH723" i="1"/>
  <c r="AH722" i="1"/>
  <c r="AH721" i="1"/>
  <c r="AH718" i="1"/>
  <c r="AH725" i="1"/>
  <c r="AH719" i="1"/>
  <c r="AH726" i="1"/>
  <c r="AH607" i="1"/>
  <c r="AH606" i="1"/>
  <c r="AH481" i="1"/>
  <c r="AH479" i="1"/>
  <c r="AH480" i="1"/>
  <c r="AH478" i="1"/>
  <c r="AH256" i="1"/>
  <c r="AH257" i="1"/>
  <c r="AH254" i="1"/>
  <c r="AH255" i="1"/>
  <c r="AH176" i="1"/>
  <c r="AH177" i="1"/>
  <c r="AH179" i="1"/>
  <c r="AH180" i="1"/>
  <c r="AH181" i="1"/>
  <c r="AH178" i="1"/>
  <c r="AH174" i="1"/>
  <c r="AH175" i="1"/>
  <c r="AI1230" i="1"/>
  <c r="AI1232" i="1"/>
  <c r="AI1231" i="1"/>
  <c r="AI1120" i="1"/>
  <c r="AI1118" i="1"/>
  <c r="AI1119" i="1"/>
  <c r="AI1121" i="1"/>
  <c r="AI1028" i="1"/>
  <c r="AI1026" i="1"/>
  <c r="AI1023" i="1"/>
  <c r="AI1025" i="1"/>
  <c r="AI1027" i="1"/>
  <c r="AI1024" i="1"/>
  <c r="AI1022" i="1"/>
  <c r="AI886" i="1"/>
  <c r="AI883" i="1"/>
  <c r="AI878" i="1"/>
  <c r="AI885" i="1"/>
  <c r="AI880" i="1"/>
  <c r="AI882" i="1"/>
  <c r="AI879" i="1"/>
  <c r="AI884" i="1"/>
  <c r="AI887" i="1"/>
  <c r="AI881" i="1"/>
  <c r="AI821" i="1"/>
  <c r="AI816" i="1"/>
  <c r="AI822" i="1"/>
  <c r="AI824" i="1"/>
  <c r="AI823" i="1"/>
  <c r="AI819" i="1"/>
  <c r="AI814" i="1"/>
  <c r="AI815" i="1"/>
  <c r="AI818" i="1"/>
  <c r="AI820" i="1"/>
  <c r="AI817" i="1"/>
  <c r="AI788" i="1"/>
  <c r="AI789" i="1"/>
  <c r="AI787" i="1"/>
  <c r="AI782" i="1"/>
  <c r="AI783" i="1"/>
  <c r="AI786" i="1"/>
  <c r="AI784" i="1"/>
  <c r="AI785" i="1"/>
  <c r="AI718" i="1"/>
  <c r="AI719" i="1"/>
  <c r="AI720" i="1"/>
  <c r="AI721" i="1"/>
  <c r="AI726" i="1"/>
  <c r="AI722" i="1"/>
  <c r="AI724" i="1"/>
  <c r="AI725" i="1"/>
  <c r="AI723" i="1"/>
  <c r="AI606" i="1"/>
  <c r="AI607" i="1"/>
  <c r="AI480" i="1"/>
  <c r="AI478" i="1"/>
  <c r="AI481" i="1"/>
  <c r="AI479" i="1"/>
  <c r="AI256" i="1"/>
  <c r="AI255" i="1"/>
  <c r="AI257" i="1"/>
  <c r="AI254" i="1"/>
  <c r="AI179" i="1"/>
  <c r="AI176" i="1"/>
  <c r="AI180" i="1"/>
  <c r="AI175" i="1"/>
  <c r="AI178" i="1"/>
  <c r="AI174" i="1"/>
  <c r="AI181" i="1"/>
  <c r="AI177" i="1"/>
  <c r="CR35" i="2"/>
  <c r="CR51" i="2"/>
  <c r="CR66" i="2"/>
  <c r="CR36" i="2"/>
  <c r="CR52" i="2"/>
  <c r="CR37" i="2"/>
  <c r="CR53" i="2"/>
  <c r="CR38" i="2"/>
  <c r="CR54" i="2"/>
  <c r="CR39" i="2"/>
  <c r="CR55" i="2"/>
  <c r="CR40" i="2"/>
  <c r="CR56" i="2"/>
  <c r="CR41" i="2"/>
  <c r="CR57" i="2"/>
  <c r="CR42" i="2"/>
  <c r="CR58" i="2"/>
  <c r="CR43" i="2"/>
  <c r="CR59" i="2"/>
  <c r="CR44" i="2"/>
  <c r="CR60" i="2"/>
  <c r="CR45" i="2"/>
  <c r="CR61" i="2"/>
  <c r="CR46" i="2"/>
  <c r="CR62" i="2"/>
  <c r="CR47" i="2"/>
  <c r="CR63" i="2"/>
  <c r="CR48" i="2"/>
  <c r="CR64" i="2"/>
  <c r="CR49" i="2"/>
  <c r="CR65" i="2"/>
  <c r="CR50" i="2"/>
  <c r="CR34" i="2"/>
  <c r="DQ56" i="2"/>
  <c r="DV54" i="2"/>
  <c r="DO53" i="2"/>
  <c r="DT51" i="2"/>
  <c r="DL50" i="2"/>
  <c r="DQ48" i="2"/>
  <c r="DP56" i="2"/>
  <c r="DU54" i="2"/>
  <c r="DN53" i="2"/>
  <c r="DS51" i="2"/>
  <c r="DV49" i="2"/>
  <c r="DP48" i="2"/>
  <c r="DM46" i="2"/>
  <c r="DO56" i="2"/>
  <c r="DS54" i="2"/>
  <c r="DM53" i="2"/>
  <c r="DR51" i="2"/>
  <c r="DU49" i="2"/>
  <c r="DO48" i="2"/>
  <c r="DV46" i="2"/>
  <c r="DN56" i="2"/>
  <c r="DR54" i="2"/>
  <c r="DL53" i="2"/>
  <c r="DP51" i="2"/>
  <c r="DT49" i="2"/>
  <c r="DM48" i="2"/>
  <c r="DU46" i="2"/>
  <c r="DM56" i="2"/>
  <c r="DQ54" i="2"/>
  <c r="DV52" i="2"/>
  <c r="DN51" i="2"/>
  <c r="DS49" i="2"/>
  <c r="DL48" i="2"/>
  <c r="DT46" i="2"/>
  <c r="DL56" i="2"/>
  <c r="DP54" i="2"/>
  <c r="DU52" i="2"/>
  <c r="DM51" i="2"/>
  <c r="DR49" i="2"/>
  <c r="DV47" i="2"/>
  <c r="DS46" i="2"/>
  <c r="DV55" i="2"/>
  <c r="DO54" i="2"/>
  <c r="DT52" i="2"/>
  <c r="DL51" i="2"/>
  <c r="DQ49" i="2"/>
  <c r="DU47" i="2"/>
  <c r="DR46" i="2"/>
  <c r="DT55" i="2"/>
  <c r="DN54" i="2"/>
  <c r="DS52" i="2"/>
  <c r="DV50" i="2"/>
  <c r="DP49" i="2"/>
  <c r="DT47" i="2"/>
  <c r="DQ46" i="2"/>
  <c r="DS55" i="2"/>
  <c r="DM54" i="2"/>
  <c r="DQ52" i="2"/>
  <c r="DU50" i="2"/>
  <c r="DN49" i="2"/>
  <c r="DS47" i="2"/>
  <c r="DP46" i="2"/>
  <c r="DR55" i="2"/>
  <c r="DL54" i="2"/>
  <c r="DP52" i="2"/>
  <c r="DT50" i="2"/>
  <c r="DM49" i="2"/>
  <c r="DR47" i="2"/>
  <c r="DO46" i="2"/>
  <c r="DQ55" i="2"/>
  <c r="DV53" i="2"/>
  <c r="DO52" i="2"/>
  <c r="DS50" i="2"/>
  <c r="DL49" i="2"/>
  <c r="DQ47" i="2"/>
  <c r="DN46" i="2"/>
  <c r="DP55" i="2"/>
  <c r="DU53" i="2"/>
  <c r="DN52" i="2"/>
  <c r="DR50" i="2"/>
  <c r="DV48" i="2"/>
  <c r="DP47" i="2"/>
  <c r="DU56" i="2"/>
  <c r="DO55" i="2"/>
  <c r="DT53" i="2"/>
  <c r="DM52" i="2"/>
  <c r="DQ50" i="2"/>
  <c r="DU48" i="2"/>
  <c r="DO47" i="2"/>
  <c r="DT56" i="2"/>
  <c r="DN55" i="2"/>
  <c r="DR53" i="2"/>
  <c r="DL52" i="2"/>
  <c r="DO50" i="2"/>
  <c r="DT48" i="2"/>
  <c r="DN47" i="2"/>
  <c r="DS56" i="2"/>
  <c r="DM55" i="2"/>
  <c r="DQ53" i="2"/>
  <c r="DV51" i="2"/>
  <c r="DN50" i="2"/>
  <c r="DS48" i="2"/>
  <c r="DL47" i="2"/>
  <c r="DR56" i="2"/>
  <c r="DL55" i="2"/>
  <c r="DP53" i="2"/>
  <c r="DU51" i="2"/>
  <c r="DM50" i="2"/>
  <c r="DR48" i="2"/>
  <c r="DO51" i="2"/>
  <c r="O2" i="9"/>
  <c r="D70" i="7"/>
  <c r="CY54" i="2"/>
  <c r="CX52" i="2"/>
  <c r="CX53" i="2"/>
  <c r="CY55" i="2"/>
  <c r="CY49" i="2"/>
  <c r="CY48" i="2"/>
  <c r="CX51" i="2"/>
  <c r="CZ55" i="2"/>
  <c r="CZ49" i="2"/>
  <c r="DA51" i="2"/>
  <c r="DC52" i="2"/>
  <c r="DE55" i="2"/>
  <c r="CZ46" i="2"/>
  <c r="DC48" i="2"/>
  <c r="DE49" i="2"/>
  <c r="DF51" i="2"/>
  <c r="DG54" i="2"/>
  <c r="DG48" i="2"/>
  <c r="DD48" i="2"/>
  <c r="CY53" i="2"/>
  <c r="CX56" i="2"/>
  <c r="CX50" i="2"/>
  <c r="CZ54" i="2"/>
  <c r="DA56" i="2"/>
  <c r="DA50" i="2"/>
  <c r="DB51" i="2"/>
  <c r="DD56" i="2"/>
  <c r="DE54" i="2"/>
  <c r="CZ47" i="2"/>
  <c r="DB48" i="2"/>
  <c r="DC47" i="2"/>
  <c r="DD47" i="2"/>
  <c r="DE48" i="2"/>
  <c r="DF50" i="2"/>
  <c r="DG53" i="2"/>
  <c r="DG47" i="2"/>
  <c r="DH51" i="2"/>
  <c r="CY52" i="2"/>
  <c r="CX55" i="2"/>
  <c r="CX49" i="2"/>
  <c r="CZ53" i="2"/>
  <c r="DA55" i="2"/>
  <c r="DB56" i="2"/>
  <c r="DC56" i="2"/>
  <c r="DD55" i="2"/>
  <c r="DF56" i="2"/>
  <c r="DA46" i="2"/>
  <c r="DB47" i="2"/>
  <c r="DD46" i="2"/>
  <c r="DE46" i="2"/>
  <c r="DE47" i="2"/>
  <c r="DF49" i="2"/>
  <c r="DG52" i="2"/>
  <c r="DH46" i="2"/>
  <c r="DH50" i="2"/>
  <c r="DH52" i="2"/>
  <c r="CY51" i="2"/>
  <c r="CX54" i="2"/>
  <c r="CX48" i="2"/>
  <c r="CZ52" i="2"/>
  <c r="DA54" i="2"/>
  <c r="DB55" i="2"/>
  <c r="DC55" i="2"/>
  <c r="DD54" i="2"/>
  <c r="DF55" i="2"/>
  <c r="DA48" i="2"/>
  <c r="DC46" i="2"/>
  <c r="DD51" i="2"/>
  <c r="DE52" i="2"/>
  <c r="DF46" i="2"/>
  <c r="DF48" i="2"/>
  <c r="DG51" i="2"/>
  <c r="DH55" i="2"/>
  <c r="DH49" i="2"/>
  <c r="DB52" i="2"/>
  <c r="DB49" i="2"/>
  <c r="CY56" i="2"/>
  <c r="CY50" i="2"/>
  <c r="CX47" i="2"/>
  <c r="CZ51" i="2"/>
  <c r="DA53" i="2"/>
  <c r="DB54" i="2"/>
  <c r="DC54" i="2"/>
  <c r="DD53" i="2"/>
  <c r="DG56" i="2"/>
  <c r="DA47" i="2"/>
  <c r="DC50" i="2"/>
  <c r="DD50" i="2"/>
  <c r="DE51" i="2"/>
  <c r="DF53" i="2"/>
  <c r="DF47" i="2"/>
  <c r="DG50" i="2"/>
  <c r="DH54" i="2"/>
  <c r="DH48" i="2"/>
  <c r="CZ56" i="2"/>
  <c r="CZ50" i="2"/>
  <c r="DA52" i="2"/>
  <c r="DB53" i="2"/>
  <c r="DC53" i="2"/>
  <c r="DE56" i="2"/>
  <c r="CY46" i="2"/>
  <c r="DB46" i="2"/>
  <c r="DC49" i="2"/>
  <c r="DD49" i="2"/>
  <c r="DE50" i="2"/>
  <c r="DF52" i="2"/>
  <c r="DG46" i="2"/>
  <c r="DG49" i="2"/>
  <c r="DH53" i="2"/>
  <c r="DH47" i="2"/>
  <c r="BW13" i="1"/>
  <c r="BW11" i="1"/>
  <c r="BW9" i="1"/>
  <c r="BW7" i="1"/>
  <c r="BW10" i="1"/>
  <c r="BW8" i="1"/>
  <c r="BW6" i="1"/>
  <c r="BW12" i="1"/>
  <c r="BW15" i="1"/>
  <c r="BW14" i="1"/>
  <c r="T77" i="1"/>
  <c r="Q217" i="1"/>
  <c r="AE3" i="1"/>
  <c r="AE4" i="1"/>
  <c r="AE5" i="1"/>
  <c r="AE6" i="1"/>
  <c r="AE7" i="1"/>
  <c r="AE39" i="1"/>
  <c r="AE177" i="1"/>
  <c r="AE189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157" i="1"/>
  <c r="AE31" i="1"/>
  <c r="AE32" i="1"/>
  <c r="AE33" i="1"/>
  <c r="AE175" i="1"/>
  <c r="AE35" i="1"/>
  <c r="AE36" i="1"/>
  <c r="AE37" i="1"/>
  <c r="AE38" i="1"/>
  <c r="AE34" i="1"/>
  <c r="AE40" i="1"/>
  <c r="AE41" i="1"/>
  <c r="AE42" i="1"/>
  <c r="AE43" i="1"/>
  <c r="AE44" i="1"/>
  <c r="AE45" i="1"/>
  <c r="AE30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6" i="1"/>
  <c r="AE67" i="1"/>
  <c r="AE68" i="1"/>
  <c r="AE69" i="1"/>
  <c r="AE65" i="1"/>
  <c r="AE10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123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94" i="1"/>
  <c r="AE101" i="1"/>
  <c r="AE102" i="1"/>
  <c r="AE108" i="1"/>
  <c r="AE8" i="1"/>
  <c r="AE105" i="1"/>
  <c r="AE46" i="1"/>
  <c r="AE104" i="1"/>
  <c r="AE107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61" i="1"/>
  <c r="AE124" i="1"/>
  <c r="AE125" i="1"/>
  <c r="AE126" i="1"/>
  <c r="AE127" i="1"/>
  <c r="AE128" i="1"/>
  <c r="AE195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4" i="1"/>
  <c r="AE143" i="1"/>
  <c r="AE145" i="1"/>
  <c r="AE146" i="1"/>
  <c r="AE147" i="1"/>
  <c r="AE148" i="1"/>
  <c r="AE103" i="1"/>
  <c r="AE9" i="1"/>
  <c r="AE151" i="1"/>
  <c r="AE152" i="1"/>
  <c r="AE154" i="1"/>
  <c r="AE155" i="1"/>
  <c r="AE153" i="1"/>
  <c r="AE156" i="1"/>
  <c r="AE106" i="1"/>
  <c r="AE158" i="1"/>
  <c r="AE159" i="1"/>
  <c r="AE160" i="1"/>
  <c r="AE162" i="1"/>
  <c r="AE180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50" i="1"/>
  <c r="AE176" i="1"/>
  <c r="AE70" i="1"/>
  <c r="AE178" i="1"/>
  <c r="AE179" i="1"/>
  <c r="AE129" i="1"/>
  <c r="AE181" i="1"/>
  <c r="AE182" i="1"/>
  <c r="AE183" i="1"/>
  <c r="AE184" i="1"/>
  <c r="AE185" i="1"/>
  <c r="AE186" i="1"/>
  <c r="AE187" i="1"/>
  <c r="AE188" i="1"/>
  <c r="AE197" i="1"/>
  <c r="AE190" i="1"/>
  <c r="AE191" i="1"/>
  <c r="AE192" i="1"/>
  <c r="AE193" i="1"/>
  <c r="AE84" i="1"/>
  <c r="AE149" i="1"/>
  <c r="AE196" i="1"/>
  <c r="AE10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3" i="1"/>
  <c r="AE214" i="1"/>
  <c r="AE215" i="1"/>
  <c r="AE216" i="1"/>
  <c r="AE212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9" i="1"/>
  <c r="AE248" i="1"/>
  <c r="AE250" i="1"/>
  <c r="AE251" i="1"/>
  <c r="AE252" i="1"/>
  <c r="AE253" i="1"/>
  <c r="AE254" i="1"/>
  <c r="AE255" i="1"/>
  <c r="AE256" i="1"/>
  <c r="AE257" i="1"/>
  <c r="AE258" i="1"/>
  <c r="AE260" i="1"/>
  <c r="AE261" i="1"/>
  <c r="AE262" i="1"/>
  <c r="AE263" i="1"/>
  <c r="AE259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8" i="1"/>
  <c r="AE289" i="1"/>
  <c r="AE287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6" i="1"/>
  <c r="AE375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70" i="1"/>
  <c r="AE469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6" i="1"/>
  <c r="AE515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84" i="1"/>
  <c r="AE580" i="1"/>
  <c r="AE581" i="1"/>
  <c r="AE582" i="1"/>
  <c r="AE583" i="1"/>
  <c r="AE585" i="1"/>
  <c r="AE586" i="1"/>
  <c r="AE579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7" i="1"/>
  <c r="AE646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2" i="1"/>
  <c r="AE661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8" i="1"/>
  <c r="AE699" i="1"/>
  <c r="AE700" i="1"/>
  <c r="AE697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60" i="1"/>
  <c r="AE759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6" i="1"/>
  <c r="AE775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9" i="1"/>
  <c r="AE818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9" i="1"/>
  <c r="AE858" i="1"/>
  <c r="AE860" i="1"/>
  <c r="AE861" i="1"/>
  <c r="AE862" i="1"/>
  <c r="AE863" i="1"/>
  <c r="AE864" i="1"/>
  <c r="AE865" i="1"/>
  <c r="AE866" i="1"/>
  <c r="AE867" i="1"/>
  <c r="AE869" i="1"/>
  <c r="AE868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1" i="1"/>
  <c r="AE890" i="1"/>
  <c r="AE892" i="1"/>
  <c r="AE893" i="1"/>
  <c r="AE896" i="1"/>
  <c r="AE894" i="1"/>
  <c r="AE895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4" i="1"/>
  <c r="AE925" i="1"/>
  <c r="AE926" i="1"/>
  <c r="AE923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40" i="1"/>
  <c r="AE941" i="1"/>
  <c r="AE942" i="1"/>
  <c r="AE939" i="1"/>
  <c r="AE943" i="1"/>
  <c r="AE944" i="1"/>
  <c r="AE945" i="1"/>
  <c r="AE946" i="1"/>
  <c r="AE947" i="1"/>
  <c r="AE948" i="1"/>
  <c r="AE949" i="1"/>
  <c r="AE951" i="1"/>
  <c r="AE952" i="1"/>
  <c r="AE953" i="1"/>
  <c r="AE954" i="1"/>
  <c r="AE950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6" i="1"/>
  <c r="AE997" i="1"/>
  <c r="AE998" i="1"/>
  <c r="AE995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5" i="1"/>
  <c r="AE1046" i="1"/>
  <c r="AE1047" i="1"/>
  <c r="AE1044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5" i="1"/>
  <c r="AE1086" i="1"/>
  <c r="AE1084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2" i="1"/>
  <c r="AE1151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5" i="1"/>
  <c r="AE1254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BF13" i="1"/>
  <c r="BF12" i="1"/>
  <c r="BF11" i="1"/>
  <c r="JO34" i="7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6" i="1"/>
  <c r="P67" i="1"/>
  <c r="P68" i="1"/>
  <c r="P69" i="1"/>
  <c r="P65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8" i="1"/>
  <c r="P103" i="1"/>
  <c r="P105" i="1"/>
  <c r="P106" i="1"/>
  <c r="P104" i="1"/>
  <c r="P107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4" i="1"/>
  <c r="P143" i="1"/>
  <c r="P145" i="1"/>
  <c r="P146" i="1"/>
  <c r="P147" i="1"/>
  <c r="P148" i="1"/>
  <c r="P149" i="1"/>
  <c r="P150" i="1"/>
  <c r="P151" i="1"/>
  <c r="P152" i="1"/>
  <c r="P154" i="1"/>
  <c r="P155" i="1"/>
  <c r="P153" i="1"/>
  <c r="P156" i="1"/>
  <c r="P157" i="1"/>
  <c r="P158" i="1"/>
  <c r="P159" i="1"/>
  <c r="P160" i="1"/>
  <c r="P162" i="1"/>
  <c r="P161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3" i="1"/>
  <c r="P214" i="1"/>
  <c r="P215" i="1"/>
  <c r="P216" i="1"/>
  <c r="P212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9" i="1"/>
  <c r="P248" i="1"/>
  <c r="P250" i="1"/>
  <c r="P251" i="1"/>
  <c r="P252" i="1"/>
  <c r="P253" i="1"/>
  <c r="P254" i="1"/>
  <c r="P255" i="1"/>
  <c r="P256" i="1"/>
  <c r="P257" i="1"/>
  <c r="P258" i="1"/>
  <c r="P260" i="1"/>
  <c r="P261" i="1"/>
  <c r="P262" i="1"/>
  <c r="P263" i="1"/>
  <c r="P259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8" i="1"/>
  <c r="P289" i="1"/>
  <c r="P287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6" i="1"/>
  <c r="P375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70" i="1"/>
  <c r="P469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6" i="1"/>
  <c r="P515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84" i="1"/>
  <c r="P580" i="1"/>
  <c r="P581" i="1"/>
  <c r="P582" i="1"/>
  <c r="P583" i="1"/>
  <c r="P585" i="1"/>
  <c r="P586" i="1"/>
  <c r="P579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7" i="1"/>
  <c r="P646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2" i="1"/>
  <c r="P661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8" i="1"/>
  <c r="P699" i="1"/>
  <c r="P700" i="1"/>
  <c r="P697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60" i="1"/>
  <c r="P759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6" i="1"/>
  <c r="P775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9" i="1"/>
  <c r="P818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9" i="1"/>
  <c r="P858" i="1"/>
  <c r="P860" i="1"/>
  <c r="P861" i="1"/>
  <c r="P862" i="1"/>
  <c r="P863" i="1"/>
  <c r="P864" i="1"/>
  <c r="P865" i="1"/>
  <c r="P866" i="1"/>
  <c r="P867" i="1"/>
  <c r="P869" i="1"/>
  <c r="P868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1" i="1"/>
  <c r="P890" i="1"/>
  <c r="P892" i="1"/>
  <c r="P893" i="1"/>
  <c r="P896" i="1"/>
  <c r="P894" i="1"/>
  <c r="P895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4" i="1"/>
  <c r="P925" i="1"/>
  <c r="P926" i="1"/>
  <c r="P923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40" i="1"/>
  <c r="P941" i="1"/>
  <c r="P942" i="1"/>
  <c r="P939" i="1"/>
  <c r="P943" i="1"/>
  <c r="P944" i="1"/>
  <c r="P945" i="1"/>
  <c r="P946" i="1"/>
  <c r="P947" i="1"/>
  <c r="P948" i="1"/>
  <c r="P949" i="1"/>
  <c r="P951" i="1"/>
  <c r="P952" i="1"/>
  <c r="P953" i="1"/>
  <c r="P954" i="1"/>
  <c r="P950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6" i="1"/>
  <c r="P997" i="1"/>
  <c r="P998" i="1"/>
  <c r="P995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5" i="1"/>
  <c r="P1046" i="1"/>
  <c r="P1047" i="1"/>
  <c r="P1044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5" i="1"/>
  <c r="P1086" i="1"/>
  <c r="P1084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2" i="1"/>
  <c r="P1151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5" i="1"/>
  <c r="P1254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6" i="1"/>
  <c r="Q67" i="1"/>
  <c r="Q68" i="1"/>
  <c r="Q69" i="1"/>
  <c r="Q65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8" i="1"/>
  <c r="Q103" i="1"/>
  <c r="Q105" i="1"/>
  <c r="Q106" i="1"/>
  <c r="Q104" i="1"/>
  <c r="Q107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4" i="1"/>
  <c r="Q143" i="1"/>
  <c r="Q145" i="1"/>
  <c r="Q146" i="1"/>
  <c r="Q147" i="1"/>
  <c r="Q148" i="1"/>
  <c r="Q149" i="1"/>
  <c r="Q150" i="1"/>
  <c r="Q151" i="1"/>
  <c r="Q152" i="1"/>
  <c r="Q154" i="1"/>
  <c r="Q155" i="1"/>
  <c r="Q153" i="1"/>
  <c r="Q156" i="1"/>
  <c r="Q157" i="1"/>
  <c r="Q158" i="1"/>
  <c r="Q159" i="1"/>
  <c r="Q160" i="1"/>
  <c r="Q162" i="1"/>
  <c r="Q161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3" i="1"/>
  <c r="Q214" i="1"/>
  <c r="Q215" i="1"/>
  <c r="Q216" i="1"/>
  <c r="Q212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9" i="1"/>
  <c r="Q248" i="1"/>
  <c r="Q250" i="1"/>
  <c r="Q251" i="1"/>
  <c r="Q252" i="1"/>
  <c r="Q253" i="1"/>
  <c r="Q254" i="1"/>
  <c r="Q255" i="1"/>
  <c r="Q256" i="1"/>
  <c r="Q257" i="1"/>
  <c r="Q258" i="1"/>
  <c r="Q260" i="1"/>
  <c r="Q261" i="1"/>
  <c r="Q262" i="1"/>
  <c r="Q263" i="1"/>
  <c r="Q259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8" i="1"/>
  <c r="Q289" i="1"/>
  <c r="Q287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6" i="1"/>
  <c r="Q375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70" i="1"/>
  <c r="Q469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6" i="1"/>
  <c r="Q515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84" i="1"/>
  <c r="Q580" i="1"/>
  <c r="Q581" i="1"/>
  <c r="Q582" i="1"/>
  <c r="Q583" i="1"/>
  <c r="Q585" i="1"/>
  <c r="Q586" i="1"/>
  <c r="Q579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7" i="1"/>
  <c r="Q646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2" i="1"/>
  <c r="Q661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8" i="1"/>
  <c r="Q699" i="1"/>
  <c r="Q700" i="1"/>
  <c r="Q697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60" i="1"/>
  <c r="Q759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6" i="1"/>
  <c r="Q775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9" i="1"/>
  <c r="Q818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9" i="1"/>
  <c r="Q858" i="1"/>
  <c r="Q860" i="1"/>
  <c r="Q861" i="1"/>
  <c r="Q862" i="1"/>
  <c r="Q863" i="1"/>
  <c r="Q864" i="1"/>
  <c r="Q865" i="1"/>
  <c r="Q866" i="1"/>
  <c r="Q867" i="1"/>
  <c r="Q869" i="1"/>
  <c r="Q868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1" i="1"/>
  <c r="Q890" i="1"/>
  <c r="Q892" i="1"/>
  <c r="Q893" i="1"/>
  <c r="Q896" i="1"/>
  <c r="Q894" i="1"/>
  <c r="Q895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4" i="1"/>
  <c r="Q925" i="1"/>
  <c r="Q926" i="1"/>
  <c r="Q923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40" i="1"/>
  <c r="Q941" i="1"/>
  <c r="Q942" i="1"/>
  <c r="Q939" i="1"/>
  <c r="Q943" i="1"/>
  <c r="Q944" i="1"/>
  <c r="Q945" i="1"/>
  <c r="Q946" i="1"/>
  <c r="Q947" i="1"/>
  <c r="Q948" i="1"/>
  <c r="Q949" i="1"/>
  <c r="Q951" i="1"/>
  <c r="Q952" i="1"/>
  <c r="Q953" i="1"/>
  <c r="Q954" i="1"/>
  <c r="Q950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6" i="1"/>
  <c r="Q997" i="1"/>
  <c r="Q998" i="1"/>
  <c r="Q995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5" i="1"/>
  <c r="Q1046" i="1"/>
  <c r="Q1047" i="1"/>
  <c r="Q1044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5" i="1"/>
  <c r="Q1086" i="1"/>
  <c r="Q1084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2" i="1"/>
  <c r="Q1151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5" i="1"/>
  <c r="Q1254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BT4" i="5"/>
  <c r="BT3" i="5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6" i="1"/>
  <c r="W67" i="1"/>
  <c r="W68" i="1"/>
  <c r="W69" i="1"/>
  <c r="W65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8" i="1"/>
  <c r="W103" i="1"/>
  <c r="W105" i="1"/>
  <c r="W106" i="1"/>
  <c r="W104" i="1"/>
  <c r="W107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4" i="1"/>
  <c r="W143" i="1"/>
  <c r="W145" i="1"/>
  <c r="W146" i="1"/>
  <c r="W147" i="1"/>
  <c r="W148" i="1"/>
  <c r="W149" i="1"/>
  <c r="W150" i="1"/>
  <c r="W151" i="1"/>
  <c r="W152" i="1"/>
  <c r="W154" i="1"/>
  <c r="W155" i="1"/>
  <c r="W153" i="1"/>
  <c r="W156" i="1"/>
  <c r="W157" i="1"/>
  <c r="W158" i="1"/>
  <c r="W159" i="1"/>
  <c r="W160" i="1"/>
  <c r="W162" i="1"/>
  <c r="W161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3" i="1"/>
  <c r="W214" i="1"/>
  <c r="W215" i="1"/>
  <c r="W216" i="1"/>
  <c r="W212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9" i="1"/>
  <c r="W248" i="1"/>
  <c r="W250" i="1"/>
  <c r="W251" i="1"/>
  <c r="W252" i="1"/>
  <c r="W253" i="1"/>
  <c r="W254" i="1"/>
  <c r="W255" i="1"/>
  <c r="W256" i="1"/>
  <c r="W257" i="1"/>
  <c r="W258" i="1"/>
  <c r="W260" i="1"/>
  <c r="W261" i="1"/>
  <c r="W262" i="1"/>
  <c r="W263" i="1"/>
  <c r="W259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8" i="1"/>
  <c r="W289" i="1"/>
  <c r="W287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6" i="1"/>
  <c r="W375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70" i="1"/>
  <c r="W469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6" i="1"/>
  <c r="W515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84" i="1"/>
  <c r="W580" i="1"/>
  <c r="W581" i="1"/>
  <c r="W582" i="1"/>
  <c r="W583" i="1"/>
  <c r="W585" i="1"/>
  <c r="W586" i="1"/>
  <c r="W579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7" i="1"/>
  <c r="W646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2" i="1"/>
  <c r="W661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8" i="1"/>
  <c r="W699" i="1"/>
  <c r="W700" i="1"/>
  <c r="W697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60" i="1"/>
  <c r="W759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6" i="1"/>
  <c r="W775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9" i="1"/>
  <c r="W818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9" i="1"/>
  <c r="W858" i="1"/>
  <c r="W860" i="1"/>
  <c r="W861" i="1"/>
  <c r="W862" i="1"/>
  <c r="W863" i="1"/>
  <c r="W864" i="1"/>
  <c r="W865" i="1"/>
  <c r="W866" i="1"/>
  <c r="W867" i="1"/>
  <c r="W869" i="1"/>
  <c r="W868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1" i="1"/>
  <c r="W890" i="1"/>
  <c r="W892" i="1"/>
  <c r="W893" i="1"/>
  <c r="W896" i="1"/>
  <c r="W894" i="1"/>
  <c r="W895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4" i="1"/>
  <c r="W925" i="1"/>
  <c r="W926" i="1"/>
  <c r="W923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40" i="1"/>
  <c r="W941" i="1"/>
  <c r="W942" i="1"/>
  <c r="W939" i="1"/>
  <c r="W943" i="1"/>
  <c r="W944" i="1"/>
  <c r="W945" i="1"/>
  <c r="W946" i="1"/>
  <c r="W947" i="1"/>
  <c r="W948" i="1"/>
  <c r="W949" i="1"/>
  <c r="W951" i="1"/>
  <c r="W952" i="1"/>
  <c r="W953" i="1"/>
  <c r="W954" i="1"/>
  <c r="W950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6" i="1"/>
  <c r="W997" i="1"/>
  <c r="W998" i="1"/>
  <c r="W995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5" i="1"/>
  <c r="W1046" i="1"/>
  <c r="W1047" i="1"/>
  <c r="W1044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5" i="1"/>
  <c r="W1086" i="1"/>
  <c r="W1084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2" i="1"/>
  <c r="W1151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5" i="1"/>
  <c r="W1254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6" i="1"/>
  <c r="T67" i="1"/>
  <c r="T68" i="1"/>
  <c r="T69" i="1"/>
  <c r="T65" i="1"/>
  <c r="T70" i="1"/>
  <c r="T71" i="1"/>
  <c r="T72" i="1"/>
  <c r="T73" i="1"/>
  <c r="T74" i="1"/>
  <c r="T75" i="1"/>
  <c r="T76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8" i="1"/>
  <c r="T103" i="1"/>
  <c r="T105" i="1"/>
  <c r="T106" i="1"/>
  <c r="T104" i="1"/>
  <c r="T107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4" i="1"/>
  <c r="T143" i="1"/>
  <c r="T145" i="1"/>
  <c r="T146" i="1"/>
  <c r="T147" i="1"/>
  <c r="T148" i="1"/>
  <c r="T149" i="1"/>
  <c r="T150" i="1"/>
  <c r="T151" i="1"/>
  <c r="T152" i="1"/>
  <c r="T154" i="1"/>
  <c r="T155" i="1"/>
  <c r="T153" i="1"/>
  <c r="T156" i="1"/>
  <c r="T157" i="1"/>
  <c r="T158" i="1"/>
  <c r="T159" i="1"/>
  <c r="T160" i="1"/>
  <c r="T162" i="1"/>
  <c r="T161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3" i="1"/>
  <c r="T214" i="1"/>
  <c r="T215" i="1"/>
  <c r="T216" i="1"/>
  <c r="T212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9" i="1"/>
  <c r="T248" i="1"/>
  <c r="T250" i="1"/>
  <c r="T251" i="1"/>
  <c r="T252" i="1"/>
  <c r="T253" i="1"/>
  <c r="T254" i="1"/>
  <c r="T255" i="1"/>
  <c r="T256" i="1"/>
  <c r="T257" i="1"/>
  <c r="T258" i="1"/>
  <c r="T260" i="1"/>
  <c r="T261" i="1"/>
  <c r="T262" i="1"/>
  <c r="T263" i="1"/>
  <c r="T259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8" i="1"/>
  <c r="T289" i="1"/>
  <c r="T287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6" i="1"/>
  <c r="T375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70" i="1"/>
  <c r="T469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6" i="1"/>
  <c r="T515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84" i="1"/>
  <c r="T580" i="1"/>
  <c r="T581" i="1"/>
  <c r="T582" i="1"/>
  <c r="T583" i="1"/>
  <c r="T585" i="1"/>
  <c r="T586" i="1"/>
  <c r="T579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7" i="1"/>
  <c r="T646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2" i="1"/>
  <c r="T661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8" i="1"/>
  <c r="T699" i="1"/>
  <c r="T700" i="1"/>
  <c r="T697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60" i="1"/>
  <c r="T759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6" i="1"/>
  <c r="T775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9" i="1"/>
  <c r="T818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9" i="1"/>
  <c r="T858" i="1"/>
  <c r="T860" i="1"/>
  <c r="T861" i="1"/>
  <c r="T862" i="1"/>
  <c r="T863" i="1"/>
  <c r="T864" i="1"/>
  <c r="T865" i="1"/>
  <c r="T866" i="1"/>
  <c r="T867" i="1"/>
  <c r="T869" i="1"/>
  <c r="T868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1" i="1"/>
  <c r="T890" i="1"/>
  <c r="T892" i="1"/>
  <c r="T893" i="1"/>
  <c r="T896" i="1"/>
  <c r="T894" i="1"/>
  <c r="T895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4" i="1"/>
  <c r="T925" i="1"/>
  <c r="T926" i="1"/>
  <c r="T923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40" i="1"/>
  <c r="T941" i="1"/>
  <c r="T942" i="1"/>
  <c r="T939" i="1"/>
  <c r="T943" i="1"/>
  <c r="T944" i="1"/>
  <c r="T945" i="1"/>
  <c r="T946" i="1"/>
  <c r="T947" i="1"/>
  <c r="T948" i="1"/>
  <c r="T949" i="1"/>
  <c r="T951" i="1"/>
  <c r="T952" i="1"/>
  <c r="T953" i="1"/>
  <c r="T954" i="1"/>
  <c r="T950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6" i="1"/>
  <c r="T997" i="1"/>
  <c r="T998" i="1"/>
  <c r="T995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5" i="1"/>
  <c r="T1046" i="1"/>
  <c r="T1047" i="1"/>
  <c r="T1044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5" i="1"/>
  <c r="T1086" i="1"/>
  <c r="T1084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2" i="1"/>
  <c r="T1151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5" i="1"/>
  <c r="T1254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3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6" i="1"/>
  <c r="U67" i="1"/>
  <c r="U68" i="1"/>
  <c r="U69" i="1"/>
  <c r="U65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8" i="1"/>
  <c r="U103" i="1"/>
  <c r="U105" i="1"/>
  <c r="U106" i="1"/>
  <c r="U104" i="1"/>
  <c r="U107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4" i="1"/>
  <c r="U143" i="1"/>
  <c r="U145" i="1"/>
  <c r="U146" i="1"/>
  <c r="U147" i="1"/>
  <c r="U148" i="1"/>
  <c r="U149" i="1"/>
  <c r="U150" i="1"/>
  <c r="U151" i="1"/>
  <c r="U152" i="1"/>
  <c r="U154" i="1"/>
  <c r="U155" i="1"/>
  <c r="U153" i="1"/>
  <c r="U156" i="1"/>
  <c r="U157" i="1"/>
  <c r="U158" i="1"/>
  <c r="U159" i="1"/>
  <c r="U160" i="1"/>
  <c r="U162" i="1"/>
  <c r="U161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3" i="1"/>
  <c r="U214" i="1"/>
  <c r="U215" i="1"/>
  <c r="U216" i="1"/>
  <c r="U212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9" i="1"/>
  <c r="U248" i="1"/>
  <c r="U250" i="1"/>
  <c r="U251" i="1"/>
  <c r="U252" i="1"/>
  <c r="U253" i="1"/>
  <c r="U254" i="1"/>
  <c r="U255" i="1"/>
  <c r="U256" i="1"/>
  <c r="U257" i="1"/>
  <c r="U258" i="1"/>
  <c r="U260" i="1"/>
  <c r="U261" i="1"/>
  <c r="U262" i="1"/>
  <c r="U263" i="1"/>
  <c r="U259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8" i="1"/>
  <c r="U289" i="1"/>
  <c r="U287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6" i="1"/>
  <c r="U375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70" i="1"/>
  <c r="U469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6" i="1"/>
  <c r="U515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84" i="1"/>
  <c r="U580" i="1"/>
  <c r="U581" i="1"/>
  <c r="U582" i="1"/>
  <c r="U583" i="1"/>
  <c r="U585" i="1"/>
  <c r="U586" i="1"/>
  <c r="U579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7" i="1"/>
  <c r="U646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2" i="1"/>
  <c r="U661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8" i="1"/>
  <c r="U699" i="1"/>
  <c r="U700" i="1"/>
  <c r="U697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60" i="1"/>
  <c r="U759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6" i="1"/>
  <c r="U775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9" i="1"/>
  <c r="U818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9" i="1"/>
  <c r="U858" i="1"/>
  <c r="U860" i="1"/>
  <c r="U861" i="1"/>
  <c r="U862" i="1"/>
  <c r="U863" i="1"/>
  <c r="U864" i="1"/>
  <c r="U865" i="1"/>
  <c r="U866" i="1"/>
  <c r="U867" i="1"/>
  <c r="U869" i="1"/>
  <c r="U868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1" i="1"/>
  <c r="U890" i="1"/>
  <c r="U892" i="1"/>
  <c r="U893" i="1"/>
  <c r="U896" i="1"/>
  <c r="U894" i="1"/>
  <c r="U895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4" i="1"/>
  <c r="U925" i="1"/>
  <c r="U926" i="1"/>
  <c r="U923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40" i="1"/>
  <c r="U941" i="1"/>
  <c r="U942" i="1"/>
  <c r="U939" i="1"/>
  <c r="U943" i="1"/>
  <c r="U944" i="1"/>
  <c r="U945" i="1"/>
  <c r="U946" i="1"/>
  <c r="U947" i="1"/>
  <c r="U948" i="1"/>
  <c r="U949" i="1"/>
  <c r="U951" i="1"/>
  <c r="U952" i="1"/>
  <c r="U953" i="1"/>
  <c r="U954" i="1"/>
  <c r="U950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6" i="1"/>
  <c r="U997" i="1"/>
  <c r="U998" i="1"/>
  <c r="U995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5" i="1"/>
  <c r="U1046" i="1"/>
  <c r="U1047" i="1"/>
  <c r="U1044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5" i="1"/>
  <c r="U1086" i="1"/>
  <c r="U1084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2" i="1"/>
  <c r="U1151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5" i="1"/>
  <c r="U1254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H61" i="1"/>
  <c r="L26" i="1"/>
  <c r="L27" i="1"/>
  <c r="L28" i="1"/>
  <c r="S28" i="1" s="1"/>
  <c r="L29" i="1"/>
  <c r="L30" i="1"/>
  <c r="L31" i="1"/>
  <c r="L32" i="1"/>
  <c r="S32" i="1" s="1"/>
  <c r="L33" i="1"/>
  <c r="L34" i="1"/>
  <c r="L35" i="1"/>
  <c r="L36" i="1"/>
  <c r="S36" i="1" s="1"/>
  <c r="L37" i="1"/>
  <c r="L38" i="1"/>
  <c r="S38" i="1" s="1"/>
  <c r="L39" i="1"/>
  <c r="L40" i="1"/>
  <c r="L41" i="1"/>
  <c r="L42" i="1"/>
  <c r="L43" i="1"/>
  <c r="L44" i="1"/>
  <c r="L45" i="1"/>
  <c r="L46" i="1"/>
  <c r="L47" i="1"/>
  <c r="L48" i="1"/>
  <c r="S48" i="1" s="1"/>
  <c r="L49" i="1"/>
  <c r="S49" i="1" s="1"/>
  <c r="L50" i="1"/>
  <c r="L51" i="1"/>
  <c r="L52" i="1"/>
  <c r="L53" i="1"/>
  <c r="L54" i="1"/>
  <c r="S54" i="1" s="1"/>
  <c r="L55" i="1"/>
  <c r="S55" i="1" s="1"/>
  <c r="L56" i="1"/>
  <c r="L57" i="1"/>
  <c r="L58" i="1"/>
  <c r="L59" i="1"/>
  <c r="S59" i="1" s="1"/>
  <c r="L60" i="1"/>
  <c r="S60" i="1" s="1"/>
  <c r="L61" i="1"/>
  <c r="S61" i="1" s="1"/>
  <c r="L62" i="1"/>
  <c r="L63" i="1"/>
  <c r="S63" i="1" s="1"/>
  <c r="L64" i="1"/>
  <c r="S64" i="1" s="1"/>
  <c r="L66" i="1"/>
  <c r="L67" i="1"/>
  <c r="S67" i="1" s="1"/>
  <c r="L68" i="1"/>
  <c r="S68" i="1" s="1"/>
  <c r="L69" i="1"/>
  <c r="S69" i="1" s="1"/>
  <c r="L65" i="1"/>
  <c r="S65" i="1" s="1"/>
  <c r="L70" i="1"/>
  <c r="S70" i="1" s="1"/>
  <c r="L71" i="1"/>
  <c r="L72" i="1"/>
  <c r="S72" i="1" s="1"/>
  <c r="L73" i="1"/>
  <c r="S73" i="1" s="1"/>
  <c r="L74" i="1"/>
  <c r="S74" i="1" s="1"/>
  <c r="L75" i="1"/>
  <c r="S75" i="1" s="1"/>
  <c r="L76" i="1"/>
  <c r="S76" i="1" s="1"/>
  <c r="L77" i="1"/>
  <c r="L78" i="1"/>
  <c r="S78" i="1" s="1"/>
  <c r="L79" i="1"/>
  <c r="S79" i="1" s="1"/>
  <c r="L80" i="1"/>
  <c r="S80" i="1" s="1"/>
  <c r="L81" i="1"/>
  <c r="S81" i="1" s="1"/>
  <c r="L82" i="1"/>
  <c r="L83" i="1"/>
  <c r="S83" i="1" s="1"/>
  <c r="L84" i="1"/>
  <c r="S84" i="1" s="1"/>
  <c r="L85" i="1"/>
  <c r="S85" i="1" s="1"/>
  <c r="L86" i="1"/>
  <c r="S86" i="1" s="1"/>
  <c r="L87" i="1"/>
  <c r="S87" i="1" s="1"/>
  <c r="L88" i="1"/>
  <c r="S88" i="1" s="1"/>
  <c r="L89" i="1"/>
  <c r="S89" i="1" s="1"/>
  <c r="L90" i="1"/>
  <c r="S90" i="1" s="1"/>
  <c r="L91" i="1"/>
  <c r="S91" i="1" s="1"/>
  <c r="L92" i="1"/>
  <c r="S92" i="1" s="1"/>
  <c r="L93" i="1"/>
  <c r="S93" i="1" s="1"/>
  <c r="L94" i="1"/>
  <c r="S94" i="1" s="1"/>
  <c r="L95" i="1"/>
  <c r="S95" i="1" s="1"/>
  <c r="L96" i="1"/>
  <c r="S96" i="1" s="1"/>
  <c r="L97" i="1"/>
  <c r="S97" i="1" s="1"/>
  <c r="L98" i="1"/>
  <c r="S98" i="1" s="1"/>
  <c r="L99" i="1"/>
  <c r="S99" i="1" s="1"/>
  <c r="L100" i="1"/>
  <c r="S100" i="1" s="1"/>
  <c r="L101" i="1"/>
  <c r="S101" i="1" s="1"/>
  <c r="L102" i="1"/>
  <c r="S102" i="1" s="1"/>
  <c r="L108" i="1"/>
  <c r="S108" i="1" s="1"/>
  <c r="L103" i="1"/>
  <c r="S103" i="1" s="1"/>
  <c r="L105" i="1"/>
  <c r="S105" i="1" s="1"/>
  <c r="L106" i="1"/>
  <c r="S106" i="1" s="1"/>
  <c r="L104" i="1"/>
  <c r="S104" i="1" s="1"/>
  <c r="L107" i="1"/>
  <c r="S107" i="1" s="1"/>
  <c r="L109" i="1"/>
  <c r="S109" i="1" s="1"/>
  <c r="L110" i="1"/>
  <c r="S110" i="1" s="1"/>
  <c r="L111" i="1"/>
  <c r="S111" i="1" s="1"/>
  <c r="L112" i="1"/>
  <c r="S112" i="1" s="1"/>
  <c r="L113" i="1"/>
  <c r="S113" i="1" s="1"/>
  <c r="L114" i="1"/>
  <c r="S114" i="1" s="1"/>
  <c r="L115" i="1"/>
  <c r="S115" i="1" s="1"/>
  <c r="L116" i="1"/>
  <c r="S116" i="1" s="1"/>
  <c r="L117" i="1"/>
  <c r="S117" i="1" s="1"/>
  <c r="L118" i="1"/>
  <c r="S118" i="1" s="1"/>
  <c r="L119" i="1"/>
  <c r="S119" i="1" s="1"/>
  <c r="L120" i="1"/>
  <c r="S120" i="1" s="1"/>
  <c r="L121" i="1"/>
  <c r="S121" i="1" s="1"/>
  <c r="L122" i="1"/>
  <c r="S122" i="1" s="1"/>
  <c r="L123" i="1"/>
  <c r="S123" i="1" s="1"/>
  <c r="L124" i="1"/>
  <c r="S124" i="1" s="1"/>
  <c r="L125" i="1"/>
  <c r="S125" i="1" s="1"/>
  <c r="L126" i="1"/>
  <c r="S126" i="1" s="1"/>
  <c r="L127" i="1"/>
  <c r="S127" i="1" s="1"/>
  <c r="L128" i="1"/>
  <c r="S128" i="1" s="1"/>
  <c r="L129" i="1"/>
  <c r="S129" i="1" s="1"/>
  <c r="L130" i="1"/>
  <c r="S130" i="1" s="1"/>
  <c r="L131" i="1"/>
  <c r="S131" i="1" s="1"/>
  <c r="L132" i="1"/>
  <c r="S132" i="1" s="1"/>
  <c r="L133" i="1"/>
  <c r="S133" i="1" s="1"/>
  <c r="L134" i="1"/>
  <c r="S134" i="1" s="1"/>
  <c r="L135" i="1"/>
  <c r="S135" i="1" s="1"/>
  <c r="L136" i="1"/>
  <c r="S136" i="1" s="1"/>
  <c r="L137" i="1"/>
  <c r="S137" i="1" s="1"/>
  <c r="L138" i="1"/>
  <c r="S138" i="1" s="1"/>
  <c r="L139" i="1"/>
  <c r="S139" i="1" s="1"/>
  <c r="L140" i="1"/>
  <c r="S140" i="1" s="1"/>
  <c r="L141" i="1"/>
  <c r="S141" i="1" s="1"/>
  <c r="L142" i="1"/>
  <c r="S142" i="1" s="1"/>
  <c r="L144" i="1"/>
  <c r="S144" i="1" s="1"/>
  <c r="L143" i="1"/>
  <c r="S143" i="1" s="1"/>
  <c r="L145" i="1"/>
  <c r="S145" i="1" s="1"/>
  <c r="L146" i="1"/>
  <c r="S146" i="1" s="1"/>
  <c r="L147" i="1"/>
  <c r="S147" i="1" s="1"/>
  <c r="L148" i="1"/>
  <c r="S148" i="1" s="1"/>
  <c r="L149" i="1"/>
  <c r="S149" i="1" s="1"/>
  <c r="L150" i="1"/>
  <c r="S150" i="1" s="1"/>
  <c r="L151" i="1"/>
  <c r="S151" i="1" s="1"/>
  <c r="L152" i="1"/>
  <c r="S152" i="1" s="1"/>
  <c r="L154" i="1"/>
  <c r="S154" i="1" s="1"/>
  <c r="L155" i="1"/>
  <c r="S155" i="1" s="1"/>
  <c r="L153" i="1"/>
  <c r="S153" i="1" s="1"/>
  <c r="L156" i="1"/>
  <c r="S156" i="1" s="1"/>
  <c r="L157" i="1"/>
  <c r="S157" i="1" s="1"/>
  <c r="L158" i="1"/>
  <c r="S158" i="1" s="1"/>
  <c r="L159" i="1"/>
  <c r="S159" i="1" s="1"/>
  <c r="L160" i="1"/>
  <c r="S160" i="1" s="1"/>
  <c r="L162" i="1"/>
  <c r="S162" i="1" s="1"/>
  <c r="L161" i="1"/>
  <c r="S161" i="1" s="1"/>
  <c r="L163" i="1"/>
  <c r="S163" i="1" s="1"/>
  <c r="L164" i="1"/>
  <c r="S164" i="1" s="1"/>
  <c r="L165" i="1"/>
  <c r="S165" i="1" s="1"/>
  <c r="L166" i="1"/>
  <c r="S166" i="1" s="1"/>
  <c r="L167" i="1"/>
  <c r="S167" i="1" s="1"/>
  <c r="L168" i="1"/>
  <c r="S168" i="1" s="1"/>
  <c r="L169" i="1"/>
  <c r="S169" i="1" s="1"/>
  <c r="L170" i="1"/>
  <c r="S170" i="1" s="1"/>
  <c r="L171" i="1"/>
  <c r="S171" i="1" s="1"/>
  <c r="L172" i="1"/>
  <c r="S172" i="1" s="1"/>
  <c r="L173" i="1"/>
  <c r="S173" i="1" s="1"/>
  <c r="L174" i="1"/>
  <c r="S174" i="1" s="1"/>
  <c r="L175" i="1"/>
  <c r="S175" i="1" s="1"/>
  <c r="L176" i="1"/>
  <c r="S176" i="1" s="1"/>
  <c r="L177" i="1"/>
  <c r="S177" i="1" s="1"/>
  <c r="L178" i="1"/>
  <c r="S178" i="1" s="1"/>
  <c r="L179" i="1"/>
  <c r="S179" i="1" s="1"/>
  <c r="L180" i="1"/>
  <c r="S180" i="1" s="1"/>
  <c r="L181" i="1"/>
  <c r="S181" i="1" s="1"/>
  <c r="L182" i="1"/>
  <c r="S182" i="1" s="1"/>
  <c r="L183" i="1"/>
  <c r="S183" i="1" s="1"/>
  <c r="L184" i="1"/>
  <c r="S184" i="1" s="1"/>
  <c r="L185" i="1"/>
  <c r="S185" i="1" s="1"/>
  <c r="L186" i="1"/>
  <c r="S186" i="1" s="1"/>
  <c r="L187" i="1"/>
  <c r="S187" i="1" s="1"/>
  <c r="L188" i="1"/>
  <c r="S188" i="1" s="1"/>
  <c r="L189" i="1"/>
  <c r="S189" i="1" s="1"/>
  <c r="L190" i="1"/>
  <c r="S190" i="1" s="1"/>
  <c r="L191" i="1"/>
  <c r="S191" i="1" s="1"/>
  <c r="L192" i="1"/>
  <c r="S192" i="1" s="1"/>
  <c r="L193" i="1"/>
  <c r="S193" i="1" s="1"/>
  <c r="L194" i="1"/>
  <c r="S194" i="1" s="1"/>
  <c r="L195" i="1"/>
  <c r="S195" i="1" s="1"/>
  <c r="L196" i="1"/>
  <c r="S196" i="1" s="1"/>
  <c r="L197" i="1"/>
  <c r="S197" i="1" s="1"/>
  <c r="L198" i="1"/>
  <c r="S198" i="1" s="1"/>
  <c r="L199" i="1"/>
  <c r="S199" i="1" s="1"/>
  <c r="L200" i="1"/>
  <c r="S200" i="1" s="1"/>
  <c r="L201" i="1"/>
  <c r="S201" i="1" s="1"/>
  <c r="L202" i="1"/>
  <c r="S202" i="1" s="1"/>
  <c r="L203" i="1"/>
  <c r="S203" i="1" s="1"/>
  <c r="L204" i="1"/>
  <c r="S204" i="1" s="1"/>
  <c r="L205" i="1"/>
  <c r="S205" i="1" s="1"/>
  <c r="L206" i="1"/>
  <c r="S206" i="1" s="1"/>
  <c r="L207" i="1"/>
  <c r="S207" i="1" s="1"/>
  <c r="L208" i="1"/>
  <c r="S208" i="1" s="1"/>
  <c r="L209" i="1"/>
  <c r="S209" i="1" s="1"/>
  <c r="L210" i="1"/>
  <c r="S210" i="1" s="1"/>
  <c r="L211" i="1"/>
  <c r="S211" i="1" s="1"/>
  <c r="L213" i="1"/>
  <c r="S213" i="1" s="1"/>
  <c r="L214" i="1"/>
  <c r="S214" i="1" s="1"/>
  <c r="L215" i="1"/>
  <c r="S215" i="1" s="1"/>
  <c r="L216" i="1"/>
  <c r="S216" i="1" s="1"/>
  <c r="L212" i="1"/>
  <c r="S212" i="1" s="1"/>
  <c r="L217" i="1"/>
  <c r="S217" i="1" s="1"/>
  <c r="L218" i="1"/>
  <c r="S218" i="1" s="1"/>
  <c r="L219" i="1"/>
  <c r="S219" i="1" s="1"/>
  <c r="L220" i="1"/>
  <c r="S220" i="1" s="1"/>
  <c r="L221" i="1"/>
  <c r="S221" i="1" s="1"/>
  <c r="L222" i="1"/>
  <c r="S222" i="1" s="1"/>
  <c r="L223" i="1"/>
  <c r="S223" i="1" s="1"/>
  <c r="L224" i="1"/>
  <c r="S224" i="1" s="1"/>
  <c r="L225" i="1"/>
  <c r="S225" i="1" s="1"/>
  <c r="L226" i="1"/>
  <c r="S226" i="1" s="1"/>
  <c r="L227" i="1"/>
  <c r="S227" i="1" s="1"/>
  <c r="L228" i="1"/>
  <c r="S228" i="1" s="1"/>
  <c r="L229" i="1"/>
  <c r="S229" i="1" s="1"/>
  <c r="L230" i="1"/>
  <c r="S230" i="1" s="1"/>
  <c r="L231" i="1"/>
  <c r="S231" i="1" s="1"/>
  <c r="L232" i="1"/>
  <c r="S232" i="1" s="1"/>
  <c r="L233" i="1"/>
  <c r="S233" i="1" s="1"/>
  <c r="L234" i="1"/>
  <c r="S234" i="1" s="1"/>
  <c r="L235" i="1"/>
  <c r="S235" i="1" s="1"/>
  <c r="L236" i="1"/>
  <c r="S236" i="1" s="1"/>
  <c r="L237" i="1"/>
  <c r="S237" i="1" s="1"/>
  <c r="L238" i="1"/>
  <c r="S238" i="1" s="1"/>
  <c r="L239" i="1"/>
  <c r="S239" i="1" s="1"/>
  <c r="L240" i="1"/>
  <c r="S240" i="1" s="1"/>
  <c r="L241" i="1"/>
  <c r="S241" i="1" s="1"/>
  <c r="L242" i="1"/>
  <c r="S242" i="1" s="1"/>
  <c r="L243" i="1"/>
  <c r="S243" i="1" s="1"/>
  <c r="L244" i="1"/>
  <c r="S244" i="1" s="1"/>
  <c r="L245" i="1"/>
  <c r="S245" i="1" s="1"/>
  <c r="L246" i="1"/>
  <c r="S246" i="1" s="1"/>
  <c r="L247" i="1"/>
  <c r="S247" i="1" s="1"/>
  <c r="L249" i="1"/>
  <c r="S249" i="1" s="1"/>
  <c r="L248" i="1"/>
  <c r="S248" i="1" s="1"/>
  <c r="L250" i="1"/>
  <c r="S250" i="1" s="1"/>
  <c r="L251" i="1"/>
  <c r="S251" i="1" s="1"/>
  <c r="L252" i="1"/>
  <c r="S252" i="1" s="1"/>
  <c r="L253" i="1"/>
  <c r="S253" i="1" s="1"/>
  <c r="L254" i="1"/>
  <c r="S254" i="1" s="1"/>
  <c r="L255" i="1"/>
  <c r="S255" i="1" s="1"/>
  <c r="L256" i="1"/>
  <c r="S256" i="1" s="1"/>
  <c r="L257" i="1"/>
  <c r="S257" i="1" s="1"/>
  <c r="L258" i="1"/>
  <c r="S258" i="1" s="1"/>
  <c r="L260" i="1"/>
  <c r="S260" i="1" s="1"/>
  <c r="L261" i="1"/>
  <c r="S261" i="1" s="1"/>
  <c r="L262" i="1"/>
  <c r="S262" i="1" s="1"/>
  <c r="L263" i="1"/>
  <c r="S263" i="1" s="1"/>
  <c r="L259" i="1"/>
  <c r="S259" i="1" s="1"/>
  <c r="L264" i="1"/>
  <c r="S264" i="1" s="1"/>
  <c r="L265" i="1"/>
  <c r="S265" i="1" s="1"/>
  <c r="L266" i="1"/>
  <c r="S266" i="1" s="1"/>
  <c r="L267" i="1"/>
  <c r="S267" i="1" s="1"/>
  <c r="L268" i="1"/>
  <c r="S268" i="1" s="1"/>
  <c r="L269" i="1"/>
  <c r="S269" i="1" s="1"/>
  <c r="L270" i="1"/>
  <c r="S270" i="1" s="1"/>
  <c r="L271" i="1"/>
  <c r="S271" i="1" s="1"/>
  <c r="L272" i="1"/>
  <c r="S272" i="1" s="1"/>
  <c r="L273" i="1"/>
  <c r="S273" i="1" s="1"/>
  <c r="L274" i="1"/>
  <c r="S274" i="1" s="1"/>
  <c r="L275" i="1"/>
  <c r="S275" i="1" s="1"/>
  <c r="L276" i="1"/>
  <c r="S276" i="1" s="1"/>
  <c r="L277" i="1"/>
  <c r="S277" i="1" s="1"/>
  <c r="L278" i="1"/>
  <c r="S278" i="1" s="1"/>
  <c r="L279" i="1"/>
  <c r="S279" i="1" s="1"/>
  <c r="L280" i="1"/>
  <c r="S280" i="1" s="1"/>
  <c r="L281" i="1"/>
  <c r="S281" i="1" s="1"/>
  <c r="L282" i="1"/>
  <c r="S282" i="1" s="1"/>
  <c r="L283" i="1"/>
  <c r="S283" i="1" s="1"/>
  <c r="L284" i="1"/>
  <c r="S284" i="1" s="1"/>
  <c r="L285" i="1"/>
  <c r="S285" i="1" s="1"/>
  <c r="L286" i="1"/>
  <c r="S286" i="1" s="1"/>
  <c r="L288" i="1"/>
  <c r="S288" i="1" s="1"/>
  <c r="L289" i="1"/>
  <c r="S289" i="1" s="1"/>
  <c r="L287" i="1"/>
  <c r="S287" i="1" s="1"/>
  <c r="L290" i="1"/>
  <c r="S290" i="1" s="1"/>
  <c r="L291" i="1"/>
  <c r="S291" i="1" s="1"/>
  <c r="L292" i="1"/>
  <c r="S292" i="1" s="1"/>
  <c r="L293" i="1"/>
  <c r="S293" i="1" s="1"/>
  <c r="L294" i="1"/>
  <c r="S294" i="1" s="1"/>
  <c r="L295" i="1"/>
  <c r="S295" i="1" s="1"/>
  <c r="L296" i="1"/>
  <c r="S296" i="1" s="1"/>
  <c r="L297" i="1"/>
  <c r="S297" i="1" s="1"/>
  <c r="L298" i="1"/>
  <c r="S298" i="1" s="1"/>
  <c r="L299" i="1"/>
  <c r="S299" i="1" s="1"/>
  <c r="L300" i="1"/>
  <c r="S300" i="1" s="1"/>
  <c r="L301" i="1"/>
  <c r="S301" i="1" s="1"/>
  <c r="L302" i="1"/>
  <c r="S302" i="1" s="1"/>
  <c r="L303" i="1"/>
  <c r="S303" i="1" s="1"/>
  <c r="L304" i="1"/>
  <c r="S304" i="1" s="1"/>
  <c r="L305" i="1"/>
  <c r="S305" i="1" s="1"/>
  <c r="L306" i="1"/>
  <c r="S306" i="1" s="1"/>
  <c r="L307" i="1"/>
  <c r="S307" i="1" s="1"/>
  <c r="L308" i="1"/>
  <c r="S308" i="1" s="1"/>
  <c r="L309" i="1"/>
  <c r="S309" i="1" s="1"/>
  <c r="L310" i="1"/>
  <c r="S310" i="1" s="1"/>
  <c r="L311" i="1"/>
  <c r="S311" i="1" s="1"/>
  <c r="L312" i="1"/>
  <c r="S312" i="1" s="1"/>
  <c r="L313" i="1"/>
  <c r="S313" i="1" s="1"/>
  <c r="L314" i="1"/>
  <c r="S314" i="1" s="1"/>
  <c r="L315" i="1"/>
  <c r="S315" i="1" s="1"/>
  <c r="L316" i="1"/>
  <c r="S316" i="1" s="1"/>
  <c r="L317" i="1"/>
  <c r="S317" i="1" s="1"/>
  <c r="L318" i="1"/>
  <c r="S318" i="1" s="1"/>
  <c r="L319" i="1"/>
  <c r="S319" i="1" s="1"/>
  <c r="L320" i="1"/>
  <c r="S320" i="1" s="1"/>
  <c r="L321" i="1"/>
  <c r="S321" i="1" s="1"/>
  <c r="L322" i="1"/>
  <c r="S322" i="1" s="1"/>
  <c r="L323" i="1"/>
  <c r="S323" i="1" s="1"/>
  <c r="L324" i="1"/>
  <c r="S324" i="1" s="1"/>
  <c r="L325" i="1"/>
  <c r="S325" i="1" s="1"/>
  <c r="L326" i="1"/>
  <c r="S326" i="1" s="1"/>
  <c r="L327" i="1"/>
  <c r="S327" i="1" s="1"/>
  <c r="L328" i="1"/>
  <c r="S328" i="1" s="1"/>
  <c r="L329" i="1"/>
  <c r="S329" i="1" s="1"/>
  <c r="L330" i="1"/>
  <c r="S330" i="1" s="1"/>
  <c r="L331" i="1"/>
  <c r="S331" i="1" s="1"/>
  <c r="L332" i="1"/>
  <c r="S332" i="1" s="1"/>
  <c r="L333" i="1"/>
  <c r="S333" i="1" s="1"/>
  <c r="L334" i="1"/>
  <c r="S334" i="1" s="1"/>
  <c r="L335" i="1"/>
  <c r="S335" i="1" s="1"/>
  <c r="L336" i="1"/>
  <c r="S336" i="1" s="1"/>
  <c r="L337" i="1"/>
  <c r="S337" i="1" s="1"/>
  <c r="L338" i="1"/>
  <c r="S338" i="1" s="1"/>
  <c r="L339" i="1"/>
  <c r="S339" i="1" s="1"/>
  <c r="L340" i="1"/>
  <c r="S340" i="1" s="1"/>
  <c r="L341" i="1"/>
  <c r="S341" i="1" s="1"/>
  <c r="L342" i="1"/>
  <c r="S342" i="1" s="1"/>
  <c r="L343" i="1"/>
  <c r="S343" i="1" s="1"/>
  <c r="L344" i="1"/>
  <c r="S344" i="1" s="1"/>
  <c r="L345" i="1"/>
  <c r="S345" i="1" s="1"/>
  <c r="L346" i="1"/>
  <c r="S346" i="1" s="1"/>
  <c r="L347" i="1"/>
  <c r="S347" i="1" s="1"/>
  <c r="L348" i="1"/>
  <c r="S348" i="1" s="1"/>
  <c r="L349" i="1"/>
  <c r="S349" i="1" s="1"/>
  <c r="L350" i="1"/>
  <c r="S350" i="1" s="1"/>
  <c r="L351" i="1"/>
  <c r="S351" i="1" s="1"/>
  <c r="L352" i="1"/>
  <c r="S352" i="1" s="1"/>
  <c r="L353" i="1"/>
  <c r="S353" i="1" s="1"/>
  <c r="L354" i="1"/>
  <c r="S354" i="1" s="1"/>
  <c r="L355" i="1"/>
  <c r="S355" i="1" s="1"/>
  <c r="L356" i="1"/>
  <c r="S356" i="1" s="1"/>
  <c r="L357" i="1"/>
  <c r="S357" i="1" s="1"/>
  <c r="L358" i="1"/>
  <c r="S358" i="1" s="1"/>
  <c r="L359" i="1"/>
  <c r="S359" i="1" s="1"/>
  <c r="L360" i="1"/>
  <c r="S360" i="1" s="1"/>
  <c r="L361" i="1"/>
  <c r="S361" i="1" s="1"/>
  <c r="L362" i="1"/>
  <c r="S362" i="1" s="1"/>
  <c r="L363" i="1"/>
  <c r="S363" i="1" s="1"/>
  <c r="L364" i="1"/>
  <c r="S364" i="1" s="1"/>
  <c r="L365" i="1"/>
  <c r="S365" i="1" s="1"/>
  <c r="L366" i="1"/>
  <c r="S366" i="1" s="1"/>
  <c r="L367" i="1"/>
  <c r="S367" i="1" s="1"/>
  <c r="L368" i="1"/>
  <c r="S368" i="1" s="1"/>
  <c r="L369" i="1"/>
  <c r="S369" i="1" s="1"/>
  <c r="L370" i="1"/>
  <c r="S370" i="1" s="1"/>
  <c r="L371" i="1"/>
  <c r="S371" i="1" s="1"/>
  <c r="L372" i="1"/>
  <c r="S372" i="1" s="1"/>
  <c r="L373" i="1"/>
  <c r="S373" i="1" s="1"/>
  <c r="L374" i="1"/>
  <c r="S374" i="1" s="1"/>
  <c r="L376" i="1"/>
  <c r="S376" i="1" s="1"/>
  <c r="L375" i="1"/>
  <c r="S375" i="1" s="1"/>
  <c r="L377" i="1"/>
  <c r="S377" i="1" s="1"/>
  <c r="L378" i="1"/>
  <c r="S378" i="1" s="1"/>
  <c r="L379" i="1"/>
  <c r="S379" i="1" s="1"/>
  <c r="L380" i="1"/>
  <c r="S380" i="1" s="1"/>
  <c r="L381" i="1"/>
  <c r="S381" i="1" s="1"/>
  <c r="L382" i="1"/>
  <c r="S382" i="1" s="1"/>
  <c r="L383" i="1"/>
  <c r="S383" i="1" s="1"/>
  <c r="L384" i="1"/>
  <c r="S384" i="1" s="1"/>
  <c r="L385" i="1"/>
  <c r="S385" i="1" s="1"/>
  <c r="L386" i="1"/>
  <c r="S386" i="1" s="1"/>
  <c r="L387" i="1"/>
  <c r="S387" i="1" s="1"/>
  <c r="L388" i="1"/>
  <c r="S388" i="1" s="1"/>
  <c r="L389" i="1"/>
  <c r="S389" i="1" s="1"/>
  <c r="L390" i="1"/>
  <c r="S390" i="1" s="1"/>
  <c r="L391" i="1"/>
  <c r="S391" i="1" s="1"/>
  <c r="L392" i="1"/>
  <c r="S392" i="1" s="1"/>
  <c r="L393" i="1"/>
  <c r="S393" i="1" s="1"/>
  <c r="L394" i="1"/>
  <c r="S394" i="1" s="1"/>
  <c r="L395" i="1"/>
  <c r="S395" i="1" s="1"/>
  <c r="L396" i="1"/>
  <c r="S396" i="1" s="1"/>
  <c r="L397" i="1"/>
  <c r="S397" i="1" s="1"/>
  <c r="L398" i="1"/>
  <c r="S398" i="1" s="1"/>
  <c r="L399" i="1"/>
  <c r="S399" i="1" s="1"/>
  <c r="L400" i="1"/>
  <c r="S400" i="1" s="1"/>
  <c r="L401" i="1"/>
  <c r="S401" i="1" s="1"/>
  <c r="L402" i="1"/>
  <c r="S402" i="1" s="1"/>
  <c r="L403" i="1"/>
  <c r="S403" i="1" s="1"/>
  <c r="L404" i="1"/>
  <c r="S404" i="1" s="1"/>
  <c r="L405" i="1"/>
  <c r="S405" i="1" s="1"/>
  <c r="L406" i="1"/>
  <c r="S406" i="1" s="1"/>
  <c r="L407" i="1"/>
  <c r="S407" i="1" s="1"/>
  <c r="L408" i="1"/>
  <c r="S408" i="1" s="1"/>
  <c r="L409" i="1"/>
  <c r="S409" i="1" s="1"/>
  <c r="L410" i="1"/>
  <c r="S410" i="1" s="1"/>
  <c r="L411" i="1"/>
  <c r="S411" i="1" s="1"/>
  <c r="L412" i="1"/>
  <c r="S412" i="1" s="1"/>
  <c r="L413" i="1"/>
  <c r="S413" i="1" s="1"/>
  <c r="L414" i="1"/>
  <c r="S414" i="1" s="1"/>
  <c r="L415" i="1"/>
  <c r="S415" i="1" s="1"/>
  <c r="L416" i="1"/>
  <c r="S416" i="1" s="1"/>
  <c r="L417" i="1"/>
  <c r="S417" i="1" s="1"/>
  <c r="L418" i="1"/>
  <c r="S418" i="1" s="1"/>
  <c r="L419" i="1"/>
  <c r="S419" i="1" s="1"/>
  <c r="L420" i="1"/>
  <c r="S420" i="1" s="1"/>
  <c r="L421" i="1"/>
  <c r="S421" i="1" s="1"/>
  <c r="L422" i="1"/>
  <c r="S422" i="1" s="1"/>
  <c r="L423" i="1"/>
  <c r="S423" i="1" s="1"/>
  <c r="L424" i="1"/>
  <c r="S424" i="1" s="1"/>
  <c r="L425" i="1"/>
  <c r="S425" i="1" s="1"/>
  <c r="L426" i="1"/>
  <c r="S426" i="1" s="1"/>
  <c r="L427" i="1"/>
  <c r="S427" i="1" s="1"/>
  <c r="L428" i="1"/>
  <c r="S428" i="1" s="1"/>
  <c r="L429" i="1"/>
  <c r="S429" i="1" s="1"/>
  <c r="L430" i="1"/>
  <c r="S430" i="1" s="1"/>
  <c r="L431" i="1"/>
  <c r="S431" i="1" s="1"/>
  <c r="L432" i="1"/>
  <c r="S432" i="1" s="1"/>
  <c r="L433" i="1"/>
  <c r="S433" i="1" s="1"/>
  <c r="L434" i="1"/>
  <c r="S434" i="1" s="1"/>
  <c r="L435" i="1"/>
  <c r="S435" i="1" s="1"/>
  <c r="L436" i="1"/>
  <c r="S436" i="1" s="1"/>
  <c r="L437" i="1"/>
  <c r="S437" i="1" s="1"/>
  <c r="L438" i="1"/>
  <c r="S438" i="1" s="1"/>
  <c r="L439" i="1"/>
  <c r="S439" i="1" s="1"/>
  <c r="L440" i="1"/>
  <c r="S440" i="1" s="1"/>
  <c r="L441" i="1"/>
  <c r="S441" i="1" s="1"/>
  <c r="L442" i="1"/>
  <c r="S442" i="1" s="1"/>
  <c r="L443" i="1"/>
  <c r="S443" i="1" s="1"/>
  <c r="L444" i="1"/>
  <c r="S444" i="1" s="1"/>
  <c r="L445" i="1"/>
  <c r="S445" i="1" s="1"/>
  <c r="L446" i="1"/>
  <c r="S446" i="1" s="1"/>
  <c r="L447" i="1"/>
  <c r="S447" i="1" s="1"/>
  <c r="L448" i="1"/>
  <c r="S448" i="1" s="1"/>
  <c r="L449" i="1"/>
  <c r="S449" i="1" s="1"/>
  <c r="L450" i="1"/>
  <c r="S450" i="1" s="1"/>
  <c r="L451" i="1"/>
  <c r="S451" i="1" s="1"/>
  <c r="L452" i="1"/>
  <c r="S452" i="1" s="1"/>
  <c r="L453" i="1"/>
  <c r="S453" i="1" s="1"/>
  <c r="L454" i="1"/>
  <c r="S454" i="1" s="1"/>
  <c r="L455" i="1"/>
  <c r="S455" i="1" s="1"/>
  <c r="L456" i="1"/>
  <c r="S456" i="1" s="1"/>
  <c r="L457" i="1"/>
  <c r="S457" i="1" s="1"/>
  <c r="L458" i="1"/>
  <c r="S458" i="1" s="1"/>
  <c r="L459" i="1"/>
  <c r="S459" i="1" s="1"/>
  <c r="L460" i="1"/>
  <c r="S460" i="1" s="1"/>
  <c r="L461" i="1"/>
  <c r="S461" i="1" s="1"/>
  <c r="L462" i="1"/>
  <c r="S462" i="1" s="1"/>
  <c r="L463" i="1"/>
  <c r="S463" i="1" s="1"/>
  <c r="L464" i="1"/>
  <c r="S464" i="1" s="1"/>
  <c r="L465" i="1"/>
  <c r="S465" i="1" s="1"/>
  <c r="L466" i="1"/>
  <c r="S466" i="1" s="1"/>
  <c r="L467" i="1"/>
  <c r="S467" i="1" s="1"/>
  <c r="L468" i="1"/>
  <c r="S468" i="1" s="1"/>
  <c r="L470" i="1"/>
  <c r="S470" i="1" s="1"/>
  <c r="L469" i="1"/>
  <c r="S469" i="1" s="1"/>
  <c r="L471" i="1"/>
  <c r="S471" i="1" s="1"/>
  <c r="L472" i="1"/>
  <c r="S472" i="1" s="1"/>
  <c r="L473" i="1"/>
  <c r="S473" i="1" s="1"/>
  <c r="L474" i="1"/>
  <c r="S474" i="1" s="1"/>
  <c r="L475" i="1"/>
  <c r="S475" i="1" s="1"/>
  <c r="L476" i="1"/>
  <c r="S476" i="1" s="1"/>
  <c r="L477" i="1"/>
  <c r="S477" i="1" s="1"/>
  <c r="L478" i="1"/>
  <c r="S478" i="1" s="1"/>
  <c r="L479" i="1"/>
  <c r="S479" i="1" s="1"/>
  <c r="L480" i="1"/>
  <c r="S480" i="1" s="1"/>
  <c r="L481" i="1"/>
  <c r="S481" i="1" s="1"/>
  <c r="L482" i="1"/>
  <c r="S482" i="1" s="1"/>
  <c r="L483" i="1"/>
  <c r="S483" i="1" s="1"/>
  <c r="L484" i="1"/>
  <c r="S484" i="1" s="1"/>
  <c r="L485" i="1"/>
  <c r="S485" i="1" s="1"/>
  <c r="L486" i="1"/>
  <c r="S486" i="1" s="1"/>
  <c r="L487" i="1"/>
  <c r="S487" i="1" s="1"/>
  <c r="L488" i="1"/>
  <c r="S488" i="1" s="1"/>
  <c r="L489" i="1"/>
  <c r="S489" i="1" s="1"/>
  <c r="L490" i="1"/>
  <c r="S490" i="1" s="1"/>
  <c r="L491" i="1"/>
  <c r="S491" i="1" s="1"/>
  <c r="L492" i="1"/>
  <c r="S492" i="1" s="1"/>
  <c r="L493" i="1"/>
  <c r="S493" i="1" s="1"/>
  <c r="L494" i="1"/>
  <c r="S494" i="1" s="1"/>
  <c r="L495" i="1"/>
  <c r="S495" i="1" s="1"/>
  <c r="L496" i="1"/>
  <c r="S496" i="1" s="1"/>
  <c r="L497" i="1"/>
  <c r="S497" i="1" s="1"/>
  <c r="L498" i="1"/>
  <c r="S498" i="1" s="1"/>
  <c r="L499" i="1"/>
  <c r="S499" i="1" s="1"/>
  <c r="L500" i="1"/>
  <c r="S500" i="1" s="1"/>
  <c r="L501" i="1"/>
  <c r="S501" i="1" s="1"/>
  <c r="L502" i="1"/>
  <c r="S502" i="1" s="1"/>
  <c r="L503" i="1"/>
  <c r="S503" i="1" s="1"/>
  <c r="L504" i="1"/>
  <c r="S504" i="1" s="1"/>
  <c r="L505" i="1"/>
  <c r="S505" i="1" s="1"/>
  <c r="L506" i="1"/>
  <c r="S506" i="1" s="1"/>
  <c r="L507" i="1"/>
  <c r="S507" i="1" s="1"/>
  <c r="L508" i="1"/>
  <c r="S508" i="1" s="1"/>
  <c r="L509" i="1"/>
  <c r="S509" i="1" s="1"/>
  <c r="L510" i="1"/>
  <c r="S510" i="1" s="1"/>
  <c r="L511" i="1"/>
  <c r="S511" i="1" s="1"/>
  <c r="L512" i="1"/>
  <c r="S512" i="1" s="1"/>
  <c r="L513" i="1"/>
  <c r="S513" i="1" s="1"/>
  <c r="L514" i="1"/>
  <c r="S514" i="1" s="1"/>
  <c r="L516" i="1"/>
  <c r="S516" i="1" s="1"/>
  <c r="L515" i="1"/>
  <c r="S515" i="1" s="1"/>
  <c r="L517" i="1"/>
  <c r="S517" i="1" s="1"/>
  <c r="L518" i="1"/>
  <c r="S518" i="1" s="1"/>
  <c r="L519" i="1"/>
  <c r="S519" i="1" s="1"/>
  <c r="L520" i="1"/>
  <c r="S520" i="1" s="1"/>
  <c r="L521" i="1"/>
  <c r="S521" i="1" s="1"/>
  <c r="L522" i="1"/>
  <c r="S522" i="1" s="1"/>
  <c r="L523" i="1"/>
  <c r="S523" i="1" s="1"/>
  <c r="L524" i="1"/>
  <c r="S524" i="1" s="1"/>
  <c r="L525" i="1"/>
  <c r="S525" i="1" s="1"/>
  <c r="L526" i="1"/>
  <c r="S526" i="1" s="1"/>
  <c r="L527" i="1"/>
  <c r="S527" i="1" s="1"/>
  <c r="L528" i="1"/>
  <c r="S528" i="1" s="1"/>
  <c r="L529" i="1"/>
  <c r="S529" i="1" s="1"/>
  <c r="L530" i="1"/>
  <c r="S530" i="1" s="1"/>
  <c r="L531" i="1"/>
  <c r="S531" i="1" s="1"/>
  <c r="L532" i="1"/>
  <c r="S532" i="1" s="1"/>
  <c r="L533" i="1"/>
  <c r="S533" i="1" s="1"/>
  <c r="L534" i="1"/>
  <c r="S534" i="1" s="1"/>
  <c r="L535" i="1"/>
  <c r="S535" i="1" s="1"/>
  <c r="L536" i="1"/>
  <c r="S536" i="1" s="1"/>
  <c r="L537" i="1"/>
  <c r="S537" i="1" s="1"/>
  <c r="L538" i="1"/>
  <c r="S538" i="1" s="1"/>
  <c r="L539" i="1"/>
  <c r="S539" i="1" s="1"/>
  <c r="L540" i="1"/>
  <c r="S540" i="1" s="1"/>
  <c r="L541" i="1"/>
  <c r="S541" i="1" s="1"/>
  <c r="L542" i="1"/>
  <c r="S542" i="1" s="1"/>
  <c r="L543" i="1"/>
  <c r="S543" i="1" s="1"/>
  <c r="L544" i="1"/>
  <c r="S544" i="1" s="1"/>
  <c r="L545" i="1"/>
  <c r="S545" i="1" s="1"/>
  <c r="L546" i="1"/>
  <c r="S546" i="1" s="1"/>
  <c r="L547" i="1"/>
  <c r="S547" i="1" s="1"/>
  <c r="L548" i="1"/>
  <c r="S548" i="1" s="1"/>
  <c r="L549" i="1"/>
  <c r="S549" i="1" s="1"/>
  <c r="L550" i="1"/>
  <c r="S550" i="1" s="1"/>
  <c r="L551" i="1"/>
  <c r="S551" i="1" s="1"/>
  <c r="L552" i="1"/>
  <c r="S552" i="1" s="1"/>
  <c r="L553" i="1"/>
  <c r="S553" i="1" s="1"/>
  <c r="L554" i="1"/>
  <c r="S554" i="1" s="1"/>
  <c r="L555" i="1"/>
  <c r="S555" i="1" s="1"/>
  <c r="L556" i="1"/>
  <c r="S556" i="1" s="1"/>
  <c r="L557" i="1"/>
  <c r="S557" i="1" s="1"/>
  <c r="L558" i="1"/>
  <c r="S558" i="1" s="1"/>
  <c r="L559" i="1"/>
  <c r="S559" i="1" s="1"/>
  <c r="L560" i="1"/>
  <c r="S560" i="1" s="1"/>
  <c r="L561" i="1"/>
  <c r="S561" i="1" s="1"/>
  <c r="L562" i="1"/>
  <c r="S562" i="1" s="1"/>
  <c r="L563" i="1"/>
  <c r="S563" i="1" s="1"/>
  <c r="L564" i="1"/>
  <c r="S564" i="1" s="1"/>
  <c r="L565" i="1"/>
  <c r="S565" i="1" s="1"/>
  <c r="L566" i="1"/>
  <c r="S566" i="1" s="1"/>
  <c r="L567" i="1"/>
  <c r="S567" i="1" s="1"/>
  <c r="L568" i="1"/>
  <c r="S568" i="1" s="1"/>
  <c r="L569" i="1"/>
  <c r="S569" i="1" s="1"/>
  <c r="L570" i="1"/>
  <c r="S570" i="1" s="1"/>
  <c r="L571" i="1"/>
  <c r="S571" i="1" s="1"/>
  <c r="L572" i="1"/>
  <c r="S572" i="1" s="1"/>
  <c r="L573" i="1"/>
  <c r="S573" i="1" s="1"/>
  <c r="L574" i="1"/>
  <c r="S574" i="1" s="1"/>
  <c r="L575" i="1"/>
  <c r="S575" i="1" s="1"/>
  <c r="L576" i="1"/>
  <c r="S576" i="1" s="1"/>
  <c r="L577" i="1"/>
  <c r="S577" i="1" s="1"/>
  <c r="L578" i="1"/>
  <c r="S578" i="1" s="1"/>
  <c r="L584" i="1"/>
  <c r="S584" i="1" s="1"/>
  <c r="L580" i="1"/>
  <c r="S580" i="1" s="1"/>
  <c r="L581" i="1"/>
  <c r="S581" i="1" s="1"/>
  <c r="L582" i="1"/>
  <c r="S582" i="1" s="1"/>
  <c r="L583" i="1"/>
  <c r="S583" i="1" s="1"/>
  <c r="L585" i="1"/>
  <c r="S585" i="1" s="1"/>
  <c r="L586" i="1"/>
  <c r="S586" i="1" s="1"/>
  <c r="L579" i="1"/>
  <c r="S579" i="1" s="1"/>
  <c r="L587" i="1"/>
  <c r="S587" i="1" s="1"/>
  <c r="L588" i="1"/>
  <c r="S588" i="1" s="1"/>
  <c r="L589" i="1"/>
  <c r="S589" i="1" s="1"/>
  <c r="L590" i="1"/>
  <c r="S590" i="1" s="1"/>
  <c r="L591" i="1"/>
  <c r="S591" i="1" s="1"/>
  <c r="L592" i="1"/>
  <c r="S592" i="1" s="1"/>
  <c r="L593" i="1"/>
  <c r="S593" i="1" s="1"/>
  <c r="L594" i="1"/>
  <c r="S594" i="1" s="1"/>
  <c r="L595" i="1"/>
  <c r="S595" i="1" s="1"/>
  <c r="L596" i="1"/>
  <c r="S596" i="1" s="1"/>
  <c r="L597" i="1"/>
  <c r="S597" i="1" s="1"/>
  <c r="L598" i="1"/>
  <c r="S598" i="1" s="1"/>
  <c r="L599" i="1"/>
  <c r="S599" i="1" s="1"/>
  <c r="L600" i="1"/>
  <c r="S600" i="1" s="1"/>
  <c r="L601" i="1"/>
  <c r="S601" i="1" s="1"/>
  <c r="L602" i="1"/>
  <c r="S602" i="1" s="1"/>
  <c r="L603" i="1"/>
  <c r="S603" i="1" s="1"/>
  <c r="L604" i="1"/>
  <c r="S604" i="1" s="1"/>
  <c r="L605" i="1"/>
  <c r="S605" i="1" s="1"/>
  <c r="L606" i="1"/>
  <c r="S606" i="1" s="1"/>
  <c r="L607" i="1"/>
  <c r="S607" i="1" s="1"/>
  <c r="L608" i="1"/>
  <c r="S608" i="1" s="1"/>
  <c r="L609" i="1"/>
  <c r="S609" i="1" s="1"/>
  <c r="L610" i="1"/>
  <c r="S610" i="1" s="1"/>
  <c r="L611" i="1"/>
  <c r="S611" i="1" s="1"/>
  <c r="L612" i="1"/>
  <c r="S612" i="1" s="1"/>
  <c r="L613" i="1"/>
  <c r="S613" i="1" s="1"/>
  <c r="L614" i="1"/>
  <c r="S614" i="1" s="1"/>
  <c r="L615" i="1"/>
  <c r="S615" i="1" s="1"/>
  <c r="L616" i="1"/>
  <c r="S616" i="1" s="1"/>
  <c r="L617" i="1"/>
  <c r="S617" i="1" s="1"/>
  <c r="L618" i="1"/>
  <c r="S618" i="1" s="1"/>
  <c r="L619" i="1"/>
  <c r="S619" i="1" s="1"/>
  <c r="L620" i="1"/>
  <c r="S620" i="1" s="1"/>
  <c r="L621" i="1"/>
  <c r="S621" i="1" s="1"/>
  <c r="L622" i="1"/>
  <c r="S622" i="1" s="1"/>
  <c r="L623" i="1"/>
  <c r="S623" i="1" s="1"/>
  <c r="L624" i="1"/>
  <c r="S624" i="1" s="1"/>
  <c r="L625" i="1"/>
  <c r="S625" i="1" s="1"/>
  <c r="L626" i="1"/>
  <c r="S626" i="1" s="1"/>
  <c r="L627" i="1"/>
  <c r="S627" i="1" s="1"/>
  <c r="L628" i="1"/>
  <c r="S628" i="1" s="1"/>
  <c r="L629" i="1"/>
  <c r="S629" i="1" s="1"/>
  <c r="L630" i="1"/>
  <c r="S630" i="1" s="1"/>
  <c r="L631" i="1"/>
  <c r="S631" i="1" s="1"/>
  <c r="L632" i="1"/>
  <c r="S632" i="1" s="1"/>
  <c r="L633" i="1"/>
  <c r="S633" i="1" s="1"/>
  <c r="L634" i="1"/>
  <c r="S634" i="1" s="1"/>
  <c r="L635" i="1"/>
  <c r="S635" i="1" s="1"/>
  <c r="L636" i="1"/>
  <c r="S636" i="1" s="1"/>
  <c r="L637" i="1"/>
  <c r="S637" i="1" s="1"/>
  <c r="L638" i="1"/>
  <c r="S638" i="1" s="1"/>
  <c r="L639" i="1"/>
  <c r="S639" i="1" s="1"/>
  <c r="L640" i="1"/>
  <c r="S640" i="1" s="1"/>
  <c r="L641" i="1"/>
  <c r="S641" i="1" s="1"/>
  <c r="L642" i="1"/>
  <c r="S642" i="1" s="1"/>
  <c r="L643" i="1"/>
  <c r="S643" i="1" s="1"/>
  <c r="L644" i="1"/>
  <c r="S644" i="1" s="1"/>
  <c r="L645" i="1"/>
  <c r="S645" i="1" s="1"/>
  <c r="L647" i="1"/>
  <c r="S647" i="1" s="1"/>
  <c r="L646" i="1"/>
  <c r="S646" i="1" s="1"/>
  <c r="L648" i="1"/>
  <c r="S648" i="1" s="1"/>
  <c r="L649" i="1"/>
  <c r="S649" i="1" s="1"/>
  <c r="L650" i="1"/>
  <c r="S650" i="1" s="1"/>
  <c r="L651" i="1"/>
  <c r="S651" i="1" s="1"/>
  <c r="L652" i="1"/>
  <c r="S652" i="1" s="1"/>
  <c r="L653" i="1"/>
  <c r="S653" i="1" s="1"/>
  <c r="L654" i="1"/>
  <c r="S654" i="1" s="1"/>
  <c r="L655" i="1"/>
  <c r="S655" i="1" s="1"/>
  <c r="L656" i="1"/>
  <c r="S656" i="1" s="1"/>
  <c r="L657" i="1"/>
  <c r="S657" i="1" s="1"/>
  <c r="L658" i="1"/>
  <c r="S658" i="1" s="1"/>
  <c r="L659" i="1"/>
  <c r="S659" i="1" s="1"/>
  <c r="L660" i="1"/>
  <c r="S660" i="1" s="1"/>
  <c r="L662" i="1"/>
  <c r="S662" i="1" s="1"/>
  <c r="L661" i="1"/>
  <c r="S661" i="1" s="1"/>
  <c r="L663" i="1"/>
  <c r="S663" i="1" s="1"/>
  <c r="L664" i="1"/>
  <c r="S664" i="1" s="1"/>
  <c r="L665" i="1"/>
  <c r="S665" i="1" s="1"/>
  <c r="L666" i="1"/>
  <c r="S666" i="1" s="1"/>
  <c r="L667" i="1"/>
  <c r="S667" i="1" s="1"/>
  <c r="L668" i="1"/>
  <c r="S668" i="1" s="1"/>
  <c r="L669" i="1"/>
  <c r="S669" i="1" s="1"/>
  <c r="L670" i="1"/>
  <c r="S670" i="1" s="1"/>
  <c r="L671" i="1"/>
  <c r="S671" i="1" s="1"/>
  <c r="L672" i="1"/>
  <c r="S672" i="1" s="1"/>
  <c r="L673" i="1"/>
  <c r="S673" i="1" s="1"/>
  <c r="L674" i="1"/>
  <c r="S674" i="1" s="1"/>
  <c r="L675" i="1"/>
  <c r="S675" i="1" s="1"/>
  <c r="L676" i="1"/>
  <c r="S676" i="1" s="1"/>
  <c r="L677" i="1"/>
  <c r="S677" i="1" s="1"/>
  <c r="L678" i="1"/>
  <c r="S678" i="1" s="1"/>
  <c r="L679" i="1"/>
  <c r="S679" i="1" s="1"/>
  <c r="L680" i="1"/>
  <c r="S680" i="1" s="1"/>
  <c r="L681" i="1"/>
  <c r="S681" i="1" s="1"/>
  <c r="L682" i="1"/>
  <c r="S682" i="1" s="1"/>
  <c r="L683" i="1"/>
  <c r="S683" i="1" s="1"/>
  <c r="L684" i="1"/>
  <c r="S684" i="1" s="1"/>
  <c r="L685" i="1"/>
  <c r="S685" i="1" s="1"/>
  <c r="L686" i="1"/>
  <c r="S686" i="1" s="1"/>
  <c r="L687" i="1"/>
  <c r="S687" i="1" s="1"/>
  <c r="L688" i="1"/>
  <c r="S688" i="1" s="1"/>
  <c r="L689" i="1"/>
  <c r="S689" i="1" s="1"/>
  <c r="L690" i="1"/>
  <c r="S690" i="1" s="1"/>
  <c r="L691" i="1"/>
  <c r="S691" i="1" s="1"/>
  <c r="L692" i="1"/>
  <c r="S692" i="1" s="1"/>
  <c r="L693" i="1"/>
  <c r="S693" i="1" s="1"/>
  <c r="L694" i="1"/>
  <c r="S694" i="1" s="1"/>
  <c r="L695" i="1"/>
  <c r="S695" i="1" s="1"/>
  <c r="L696" i="1"/>
  <c r="S696" i="1" s="1"/>
  <c r="L698" i="1"/>
  <c r="S698" i="1" s="1"/>
  <c r="L699" i="1"/>
  <c r="S699" i="1" s="1"/>
  <c r="L700" i="1"/>
  <c r="S700" i="1" s="1"/>
  <c r="L697" i="1"/>
  <c r="S697" i="1" s="1"/>
  <c r="L701" i="1"/>
  <c r="S701" i="1" s="1"/>
  <c r="L702" i="1"/>
  <c r="S702" i="1" s="1"/>
  <c r="L703" i="1"/>
  <c r="S703" i="1" s="1"/>
  <c r="L704" i="1"/>
  <c r="S704" i="1" s="1"/>
  <c r="L705" i="1"/>
  <c r="S705" i="1" s="1"/>
  <c r="L706" i="1"/>
  <c r="S706" i="1" s="1"/>
  <c r="L707" i="1"/>
  <c r="S707" i="1" s="1"/>
  <c r="L708" i="1"/>
  <c r="S708" i="1" s="1"/>
  <c r="L709" i="1"/>
  <c r="S709" i="1" s="1"/>
  <c r="L710" i="1"/>
  <c r="S710" i="1" s="1"/>
  <c r="L711" i="1"/>
  <c r="S711" i="1" s="1"/>
  <c r="L712" i="1"/>
  <c r="S712" i="1" s="1"/>
  <c r="L713" i="1"/>
  <c r="S713" i="1" s="1"/>
  <c r="L714" i="1"/>
  <c r="S714" i="1" s="1"/>
  <c r="L715" i="1"/>
  <c r="S715" i="1" s="1"/>
  <c r="L716" i="1"/>
  <c r="S716" i="1" s="1"/>
  <c r="L717" i="1"/>
  <c r="S717" i="1" s="1"/>
  <c r="L718" i="1"/>
  <c r="S718" i="1" s="1"/>
  <c r="L719" i="1"/>
  <c r="S719" i="1" s="1"/>
  <c r="L720" i="1"/>
  <c r="S720" i="1" s="1"/>
  <c r="L721" i="1"/>
  <c r="S721" i="1" s="1"/>
  <c r="L722" i="1"/>
  <c r="S722" i="1" s="1"/>
  <c r="L723" i="1"/>
  <c r="S723" i="1" s="1"/>
  <c r="L724" i="1"/>
  <c r="S724" i="1" s="1"/>
  <c r="L725" i="1"/>
  <c r="S725" i="1" s="1"/>
  <c r="L726" i="1"/>
  <c r="S726" i="1" s="1"/>
  <c r="L727" i="1"/>
  <c r="S727" i="1" s="1"/>
  <c r="L728" i="1"/>
  <c r="S728" i="1" s="1"/>
  <c r="L729" i="1"/>
  <c r="S729" i="1" s="1"/>
  <c r="L730" i="1"/>
  <c r="S730" i="1" s="1"/>
  <c r="L731" i="1"/>
  <c r="S731" i="1" s="1"/>
  <c r="L732" i="1"/>
  <c r="S732" i="1" s="1"/>
  <c r="L733" i="1"/>
  <c r="S733" i="1" s="1"/>
  <c r="L734" i="1"/>
  <c r="S734" i="1" s="1"/>
  <c r="L735" i="1"/>
  <c r="S735" i="1" s="1"/>
  <c r="L736" i="1"/>
  <c r="S736" i="1" s="1"/>
  <c r="L737" i="1"/>
  <c r="S737" i="1" s="1"/>
  <c r="L738" i="1"/>
  <c r="S738" i="1" s="1"/>
  <c r="L739" i="1"/>
  <c r="S739" i="1" s="1"/>
  <c r="L740" i="1"/>
  <c r="S740" i="1" s="1"/>
  <c r="L741" i="1"/>
  <c r="S741" i="1" s="1"/>
  <c r="L742" i="1"/>
  <c r="S742" i="1" s="1"/>
  <c r="L743" i="1"/>
  <c r="S743" i="1" s="1"/>
  <c r="L744" i="1"/>
  <c r="S744" i="1" s="1"/>
  <c r="L745" i="1"/>
  <c r="S745" i="1" s="1"/>
  <c r="L746" i="1"/>
  <c r="S746" i="1" s="1"/>
  <c r="L747" i="1"/>
  <c r="S747" i="1" s="1"/>
  <c r="L748" i="1"/>
  <c r="S748" i="1" s="1"/>
  <c r="L749" i="1"/>
  <c r="S749" i="1" s="1"/>
  <c r="L750" i="1"/>
  <c r="S750" i="1" s="1"/>
  <c r="L751" i="1"/>
  <c r="S751" i="1" s="1"/>
  <c r="L752" i="1"/>
  <c r="S752" i="1" s="1"/>
  <c r="L753" i="1"/>
  <c r="S753" i="1" s="1"/>
  <c r="L754" i="1"/>
  <c r="S754" i="1" s="1"/>
  <c r="L755" i="1"/>
  <c r="S755" i="1" s="1"/>
  <c r="L756" i="1"/>
  <c r="S756" i="1" s="1"/>
  <c r="L757" i="1"/>
  <c r="S757" i="1" s="1"/>
  <c r="L758" i="1"/>
  <c r="S758" i="1" s="1"/>
  <c r="L760" i="1"/>
  <c r="S760" i="1" s="1"/>
  <c r="L759" i="1"/>
  <c r="S759" i="1" s="1"/>
  <c r="L761" i="1"/>
  <c r="S761" i="1" s="1"/>
  <c r="L762" i="1"/>
  <c r="S762" i="1" s="1"/>
  <c r="L763" i="1"/>
  <c r="S763" i="1" s="1"/>
  <c r="L764" i="1"/>
  <c r="S764" i="1" s="1"/>
  <c r="L765" i="1"/>
  <c r="S765" i="1" s="1"/>
  <c r="L766" i="1"/>
  <c r="S766" i="1" s="1"/>
  <c r="L767" i="1"/>
  <c r="S767" i="1" s="1"/>
  <c r="L768" i="1"/>
  <c r="S768" i="1" s="1"/>
  <c r="L769" i="1"/>
  <c r="S769" i="1" s="1"/>
  <c r="L770" i="1"/>
  <c r="S770" i="1" s="1"/>
  <c r="L771" i="1"/>
  <c r="S771" i="1" s="1"/>
  <c r="L772" i="1"/>
  <c r="S772" i="1" s="1"/>
  <c r="L773" i="1"/>
  <c r="S773" i="1" s="1"/>
  <c r="L774" i="1"/>
  <c r="S774" i="1" s="1"/>
  <c r="L776" i="1"/>
  <c r="S776" i="1" s="1"/>
  <c r="L775" i="1"/>
  <c r="S775" i="1" s="1"/>
  <c r="L777" i="1"/>
  <c r="S777" i="1" s="1"/>
  <c r="L778" i="1"/>
  <c r="S778" i="1" s="1"/>
  <c r="L779" i="1"/>
  <c r="S779" i="1" s="1"/>
  <c r="L780" i="1"/>
  <c r="S780" i="1" s="1"/>
  <c r="L781" i="1"/>
  <c r="S781" i="1" s="1"/>
  <c r="L782" i="1"/>
  <c r="S782" i="1" s="1"/>
  <c r="L783" i="1"/>
  <c r="S783" i="1" s="1"/>
  <c r="L784" i="1"/>
  <c r="S784" i="1" s="1"/>
  <c r="L785" i="1"/>
  <c r="S785" i="1" s="1"/>
  <c r="L786" i="1"/>
  <c r="S786" i="1" s="1"/>
  <c r="L787" i="1"/>
  <c r="S787" i="1" s="1"/>
  <c r="L788" i="1"/>
  <c r="S788" i="1" s="1"/>
  <c r="L789" i="1"/>
  <c r="S789" i="1" s="1"/>
  <c r="L790" i="1"/>
  <c r="S790" i="1" s="1"/>
  <c r="L791" i="1"/>
  <c r="S791" i="1" s="1"/>
  <c r="L792" i="1"/>
  <c r="S792" i="1" s="1"/>
  <c r="L793" i="1"/>
  <c r="S793" i="1" s="1"/>
  <c r="L794" i="1"/>
  <c r="S794" i="1" s="1"/>
  <c r="L795" i="1"/>
  <c r="S795" i="1" s="1"/>
  <c r="L796" i="1"/>
  <c r="S796" i="1" s="1"/>
  <c r="L797" i="1"/>
  <c r="S797" i="1" s="1"/>
  <c r="L798" i="1"/>
  <c r="S798" i="1" s="1"/>
  <c r="L799" i="1"/>
  <c r="S799" i="1" s="1"/>
  <c r="L800" i="1"/>
  <c r="S800" i="1" s="1"/>
  <c r="L801" i="1"/>
  <c r="S801" i="1" s="1"/>
  <c r="L802" i="1"/>
  <c r="S802" i="1" s="1"/>
  <c r="L803" i="1"/>
  <c r="S803" i="1" s="1"/>
  <c r="L804" i="1"/>
  <c r="S804" i="1" s="1"/>
  <c r="L805" i="1"/>
  <c r="S805" i="1" s="1"/>
  <c r="L806" i="1"/>
  <c r="S806" i="1" s="1"/>
  <c r="L807" i="1"/>
  <c r="S807" i="1" s="1"/>
  <c r="L808" i="1"/>
  <c r="S808" i="1" s="1"/>
  <c r="L809" i="1"/>
  <c r="S809" i="1" s="1"/>
  <c r="L810" i="1"/>
  <c r="S810" i="1" s="1"/>
  <c r="L811" i="1"/>
  <c r="S811" i="1" s="1"/>
  <c r="L812" i="1"/>
  <c r="S812" i="1" s="1"/>
  <c r="L813" i="1"/>
  <c r="S813" i="1" s="1"/>
  <c r="L814" i="1"/>
  <c r="S814" i="1" s="1"/>
  <c r="L815" i="1"/>
  <c r="S815" i="1" s="1"/>
  <c r="L816" i="1"/>
  <c r="S816" i="1" s="1"/>
  <c r="L817" i="1"/>
  <c r="S817" i="1" s="1"/>
  <c r="L819" i="1"/>
  <c r="S819" i="1" s="1"/>
  <c r="L818" i="1"/>
  <c r="S818" i="1" s="1"/>
  <c r="L820" i="1"/>
  <c r="S820" i="1" s="1"/>
  <c r="L821" i="1"/>
  <c r="S821" i="1" s="1"/>
  <c r="L822" i="1"/>
  <c r="S822" i="1" s="1"/>
  <c r="L823" i="1"/>
  <c r="S823" i="1" s="1"/>
  <c r="L824" i="1"/>
  <c r="S824" i="1" s="1"/>
  <c r="L825" i="1"/>
  <c r="S825" i="1" s="1"/>
  <c r="L826" i="1"/>
  <c r="S826" i="1" s="1"/>
  <c r="L827" i="1"/>
  <c r="S827" i="1" s="1"/>
  <c r="L828" i="1"/>
  <c r="S828" i="1" s="1"/>
  <c r="L829" i="1"/>
  <c r="S829" i="1" s="1"/>
  <c r="L830" i="1"/>
  <c r="S830" i="1" s="1"/>
  <c r="L831" i="1"/>
  <c r="S831" i="1" s="1"/>
  <c r="L832" i="1"/>
  <c r="S832" i="1" s="1"/>
  <c r="L833" i="1"/>
  <c r="S833" i="1" s="1"/>
  <c r="L834" i="1"/>
  <c r="S834" i="1" s="1"/>
  <c r="L835" i="1"/>
  <c r="S835" i="1" s="1"/>
  <c r="L836" i="1"/>
  <c r="S836" i="1" s="1"/>
  <c r="L837" i="1"/>
  <c r="S837" i="1" s="1"/>
  <c r="L838" i="1"/>
  <c r="S838" i="1" s="1"/>
  <c r="L839" i="1"/>
  <c r="S839" i="1" s="1"/>
  <c r="L840" i="1"/>
  <c r="S840" i="1" s="1"/>
  <c r="L841" i="1"/>
  <c r="S841" i="1" s="1"/>
  <c r="L842" i="1"/>
  <c r="S842" i="1" s="1"/>
  <c r="L843" i="1"/>
  <c r="S843" i="1" s="1"/>
  <c r="L844" i="1"/>
  <c r="S844" i="1" s="1"/>
  <c r="L845" i="1"/>
  <c r="S845" i="1" s="1"/>
  <c r="L846" i="1"/>
  <c r="S846" i="1" s="1"/>
  <c r="L847" i="1"/>
  <c r="S847" i="1" s="1"/>
  <c r="L848" i="1"/>
  <c r="S848" i="1" s="1"/>
  <c r="L849" i="1"/>
  <c r="S849" i="1" s="1"/>
  <c r="L850" i="1"/>
  <c r="S850" i="1" s="1"/>
  <c r="L851" i="1"/>
  <c r="S851" i="1" s="1"/>
  <c r="L852" i="1"/>
  <c r="S852" i="1" s="1"/>
  <c r="L853" i="1"/>
  <c r="S853" i="1" s="1"/>
  <c r="L854" i="1"/>
  <c r="S854" i="1" s="1"/>
  <c r="L855" i="1"/>
  <c r="S855" i="1" s="1"/>
  <c r="L856" i="1"/>
  <c r="S856" i="1" s="1"/>
  <c r="L857" i="1"/>
  <c r="S857" i="1" s="1"/>
  <c r="L859" i="1"/>
  <c r="S859" i="1" s="1"/>
  <c r="L858" i="1"/>
  <c r="S858" i="1" s="1"/>
  <c r="L860" i="1"/>
  <c r="S860" i="1" s="1"/>
  <c r="L861" i="1"/>
  <c r="S861" i="1" s="1"/>
  <c r="L862" i="1"/>
  <c r="S862" i="1" s="1"/>
  <c r="L863" i="1"/>
  <c r="S863" i="1" s="1"/>
  <c r="L864" i="1"/>
  <c r="S864" i="1" s="1"/>
  <c r="L865" i="1"/>
  <c r="S865" i="1" s="1"/>
  <c r="L866" i="1"/>
  <c r="S866" i="1" s="1"/>
  <c r="L867" i="1"/>
  <c r="S867" i="1" s="1"/>
  <c r="L869" i="1"/>
  <c r="S869" i="1" s="1"/>
  <c r="L868" i="1"/>
  <c r="S868" i="1" s="1"/>
  <c r="L870" i="1"/>
  <c r="S870" i="1" s="1"/>
  <c r="L871" i="1"/>
  <c r="S871" i="1" s="1"/>
  <c r="L872" i="1"/>
  <c r="S872" i="1" s="1"/>
  <c r="L873" i="1"/>
  <c r="S873" i="1" s="1"/>
  <c r="L874" i="1"/>
  <c r="S874" i="1" s="1"/>
  <c r="L875" i="1"/>
  <c r="S875" i="1" s="1"/>
  <c r="L876" i="1"/>
  <c r="S876" i="1" s="1"/>
  <c r="L877" i="1"/>
  <c r="S877" i="1" s="1"/>
  <c r="L878" i="1"/>
  <c r="S878" i="1" s="1"/>
  <c r="L879" i="1"/>
  <c r="S879" i="1" s="1"/>
  <c r="L880" i="1"/>
  <c r="S880" i="1" s="1"/>
  <c r="L881" i="1"/>
  <c r="S881" i="1" s="1"/>
  <c r="L882" i="1"/>
  <c r="S882" i="1" s="1"/>
  <c r="L883" i="1"/>
  <c r="S883" i="1" s="1"/>
  <c r="L884" i="1"/>
  <c r="S884" i="1" s="1"/>
  <c r="L885" i="1"/>
  <c r="S885" i="1" s="1"/>
  <c r="L886" i="1"/>
  <c r="S886" i="1" s="1"/>
  <c r="L887" i="1"/>
  <c r="S887" i="1" s="1"/>
  <c r="L888" i="1"/>
  <c r="S888" i="1" s="1"/>
  <c r="L889" i="1"/>
  <c r="S889" i="1" s="1"/>
  <c r="L891" i="1"/>
  <c r="S891" i="1" s="1"/>
  <c r="L890" i="1"/>
  <c r="S890" i="1" s="1"/>
  <c r="L892" i="1"/>
  <c r="S892" i="1" s="1"/>
  <c r="L893" i="1"/>
  <c r="S893" i="1" s="1"/>
  <c r="L896" i="1"/>
  <c r="S896" i="1" s="1"/>
  <c r="L894" i="1"/>
  <c r="S894" i="1" s="1"/>
  <c r="L895" i="1"/>
  <c r="S895" i="1" s="1"/>
  <c r="L897" i="1"/>
  <c r="S897" i="1" s="1"/>
  <c r="L898" i="1"/>
  <c r="S898" i="1" s="1"/>
  <c r="L899" i="1"/>
  <c r="S899" i="1" s="1"/>
  <c r="L900" i="1"/>
  <c r="S900" i="1" s="1"/>
  <c r="L901" i="1"/>
  <c r="S901" i="1" s="1"/>
  <c r="L902" i="1"/>
  <c r="S902" i="1" s="1"/>
  <c r="L903" i="1"/>
  <c r="S903" i="1" s="1"/>
  <c r="L904" i="1"/>
  <c r="S904" i="1" s="1"/>
  <c r="L905" i="1"/>
  <c r="S905" i="1" s="1"/>
  <c r="L906" i="1"/>
  <c r="S906" i="1" s="1"/>
  <c r="L907" i="1"/>
  <c r="S907" i="1" s="1"/>
  <c r="L908" i="1"/>
  <c r="S908" i="1" s="1"/>
  <c r="L909" i="1"/>
  <c r="S909" i="1" s="1"/>
  <c r="L910" i="1"/>
  <c r="S910" i="1" s="1"/>
  <c r="L911" i="1"/>
  <c r="S911" i="1" s="1"/>
  <c r="L912" i="1"/>
  <c r="S912" i="1" s="1"/>
  <c r="L913" i="1"/>
  <c r="S913" i="1" s="1"/>
  <c r="L914" i="1"/>
  <c r="S914" i="1" s="1"/>
  <c r="L915" i="1"/>
  <c r="S915" i="1" s="1"/>
  <c r="L916" i="1"/>
  <c r="S916" i="1" s="1"/>
  <c r="L917" i="1"/>
  <c r="S917" i="1" s="1"/>
  <c r="L918" i="1"/>
  <c r="S918" i="1" s="1"/>
  <c r="L919" i="1"/>
  <c r="S919" i="1" s="1"/>
  <c r="L920" i="1"/>
  <c r="S920" i="1" s="1"/>
  <c r="L921" i="1"/>
  <c r="S921" i="1" s="1"/>
  <c r="L922" i="1"/>
  <c r="S922" i="1" s="1"/>
  <c r="L924" i="1"/>
  <c r="S924" i="1" s="1"/>
  <c r="L925" i="1"/>
  <c r="S925" i="1" s="1"/>
  <c r="L926" i="1"/>
  <c r="S926" i="1" s="1"/>
  <c r="L923" i="1"/>
  <c r="S923" i="1" s="1"/>
  <c r="L927" i="1"/>
  <c r="S927" i="1" s="1"/>
  <c r="L928" i="1"/>
  <c r="S928" i="1" s="1"/>
  <c r="L929" i="1"/>
  <c r="S929" i="1" s="1"/>
  <c r="L930" i="1"/>
  <c r="S930" i="1" s="1"/>
  <c r="L931" i="1"/>
  <c r="S931" i="1" s="1"/>
  <c r="L932" i="1"/>
  <c r="S932" i="1" s="1"/>
  <c r="L933" i="1"/>
  <c r="S933" i="1" s="1"/>
  <c r="L934" i="1"/>
  <c r="S934" i="1" s="1"/>
  <c r="L935" i="1"/>
  <c r="S935" i="1" s="1"/>
  <c r="L936" i="1"/>
  <c r="S936" i="1" s="1"/>
  <c r="L937" i="1"/>
  <c r="S937" i="1" s="1"/>
  <c r="L938" i="1"/>
  <c r="S938" i="1" s="1"/>
  <c r="L940" i="1"/>
  <c r="S940" i="1" s="1"/>
  <c r="L941" i="1"/>
  <c r="S941" i="1" s="1"/>
  <c r="L942" i="1"/>
  <c r="S942" i="1" s="1"/>
  <c r="L939" i="1"/>
  <c r="S939" i="1" s="1"/>
  <c r="L943" i="1"/>
  <c r="S943" i="1" s="1"/>
  <c r="L944" i="1"/>
  <c r="S944" i="1" s="1"/>
  <c r="L945" i="1"/>
  <c r="S945" i="1" s="1"/>
  <c r="L946" i="1"/>
  <c r="S946" i="1" s="1"/>
  <c r="L947" i="1"/>
  <c r="S947" i="1" s="1"/>
  <c r="L948" i="1"/>
  <c r="S948" i="1" s="1"/>
  <c r="L949" i="1"/>
  <c r="S949" i="1" s="1"/>
  <c r="L951" i="1"/>
  <c r="S951" i="1" s="1"/>
  <c r="L952" i="1"/>
  <c r="S952" i="1" s="1"/>
  <c r="L953" i="1"/>
  <c r="S953" i="1" s="1"/>
  <c r="L954" i="1"/>
  <c r="S954" i="1" s="1"/>
  <c r="L950" i="1"/>
  <c r="S950" i="1" s="1"/>
  <c r="L955" i="1"/>
  <c r="S955" i="1" s="1"/>
  <c r="L956" i="1"/>
  <c r="S956" i="1" s="1"/>
  <c r="L957" i="1"/>
  <c r="S957" i="1" s="1"/>
  <c r="L958" i="1"/>
  <c r="S958" i="1" s="1"/>
  <c r="L959" i="1"/>
  <c r="S959" i="1" s="1"/>
  <c r="L960" i="1"/>
  <c r="S960" i="1" s="1"/>
  <c r="L961" i="1"/>
  <c r="S961" i="1" s="1"/>
  <c r="L962" i="1"/>
  <c r="S962" i="1" s="1"/>
  <c r="L963" i="1"/>
  <c r="S963" i="1" s="1"/>
  <c r="L964" i="1"/>
  <c r="S964" i="1" s="1"/>
  <c r="L965" i="1"/>
  <c r="S965" i="1" s="1"/>
  <c r="L966" i="1"/>
  <c r="S966" i="1" s="1"/>
  <c r="L967" i="1"/>
  <c r="S967" i="1" s="1"/>
  <c r="L968" i="1"/>
  <c r="S968" i="1" s="1"/>
  <c r="L969" i="1"/>
  <c r="S969" i="1" s="1"/>
  <c r="L970" i="1"/>
  <c r="S970" i="1" s="1"/>
  <c r="L971" i="1"/>
  <c r="S971" i="1" s="1"/>
  <c r="L972" i="1"/>
  <c r="S972" i="1" s="1"/>
  <c r="L973" i="1"/>
  <c r="S973" i="1" s="1"/>
  <c r="L974" i="1"/>
  <c r="S974" i="1" s="1"/>
  <c r="L975" i="1"/>
  <c r="S975" i="1" s="1"/>
  <c r="L976" i="1"/>
  <c r="S976" i="1" s="1"/>
  <c r="L977" i="1"/>
  <c r="S977" i="1" s="1"/>
  <c r="L978" i="1"/>
  <c r="S978" i="1" s="1"/>
  <c r="L979" i="1"/>
  <c r="S979" i="1" s="1"/>
  <c r="L980" i="1"/>
  <c r="S980" i="1" s="1"/>
  <c r="L981" i="1"/>
  <c r="S981" i="1" s="1"/>
  <c r="L982" i="1"/>
  <c r="S982" i="1" s="1"/>
  <c r="L983" i="1"/>
  <c r="S983" i="1" s="1"/>
  <c r="L984" i="1"/>
  <c r="S984" i="1" s="1"/>
  <c r="L985" i="1"/>
  <c r="S985" i="1" s="1"/>
  <c r="L986" i="1"/>
  <c r="S986" i="1" s="1"/>
  <c r="L987" i="1"/>
  <c r="S987" i="1" s="1"/>
  <c r="L988" i="1"/>
  <c r="S988" i="1" s="1"/>
  <c r="L989" i="1"/>
  <c r="S989" i="1" s="1"/>
  <c r="L990" i="1"/>
  <c r="S990" i="1" s="1"/>
  <c r="L991" i="1"/>
  <c r="S991" i="1" s="1"/>
  <c r="L992" i="1"/>
  <c r="S992" i="1" s="1"/>
  <c r="L993" i="1"/>
  <c r="S993" i="1" s="1"/>
  <c r="L994" i="1"/>
  <c r="S994" i="1" s="1"/>
  <c r="L996" i="1"/>
  <c r="S996" i="1" s="1"/>
  <c r="L997" i="1"/>
  <c r="S997" i="1" s="1"/>
  <c r="S998" i="1"/>
  <c r="L995" i="1"/>
  <c r="S995" i="1" s="1"/>
  <c r="L999" i="1"/>
  <c r="S999" i="1" s="1"/>
  <c r="L1000" i="1"/>
  <c r="S1000" i="1" s="1"/>
  <c r="L1001" i="1"/>
  <c r="S1001" i="1" s="1"/>
  <c r="L1002" i="1"/>
  <c r="S1002" i="1" s="1"/>
  <c r="L1003" i="1"/>
  <c r="S1003" i="1" s="1"/>
  <c r="L1004" i="1"/>
  <c r="S1004" i="1" s="1"/>
  <c r="L1005" i="1"/>
  <c r="S1005" i="1" s="1"/>
  <c r="L1006" i="1"/>
  <c r="S1006" i="1" s="1"/>
  <c r="L1007" i="1"/>
  <c r="S1007" i="1" s="1"/>
  <c r="L1008" i="1"/>
  <c r="S1008" i="1" s="1"/>
  <c r="L1009" i="1"/>
  <c r="S1009" i="1" s="1"/>
  <c r="L1010" i="1"/>
  <c r="S1010" i="1" s="1"/>
  <c r="L1011" i="1"/>
  <c r="S1011" i="1" s="1"/>
  <c r="L1012" i="1"/>
  <c r="S1012" i="1" s="1"/>
  <c r="L1013" i="1"/>
  <c r="S1013" i="1" s="1"/>
  <c r="L1014" i="1"/>
  <c r="S1014" i="1" s="1"/>
  <c r="L1015" i="1"/>
  <c r="S1015" i="1" s="1"/>
  <c r="L1016" i="1"/>
  <c r="S1016" i="1" s="1"/>
  <c r="L1017" i="1"/>
  <c r="S1017" i="1" s="1"/>
  <c r="L1018" i="1"/>
  <c r="S1018" i="1" s="1"/>
  <c r="L1019" i="1"/>
  <c r="S1019" i="1" s="1"/>
  <c r="L1020" i="1"/>
  <c r="S1020" i="1" s="1"/>
  <c r="L1021" i="1"/>
  <c r="S1021" i="1" s="1"/>
  <c r="L1022" i="1"/>
  <c r="S1022" i="1" s="1"/>
  <c r="L1023" i="1"/>
  <c r="S1023" i="1" s="1"/>
  <c r="L1024" i="1"/>
  <c r="S1024" i="1" s="1"/>
  <c r="L1025" i="1"/>
  <c r="S1025" i="1" s="1"/>
  <c r="L1026" i="1"/>
  <c r="S1026" i="1" s="1"/>
  <c r="L1027" i="1"/>
  <c r="S1027" i="1" s="1"/>
  <c r="L1028" i="1"/>
  <c r="S1028" i="1" s="1"/>
  <c r="L1029" i="1"/>
  <c r="S1029" i="1" s="1"/>
  <c r="L1030" i="1"/>
  <c r="S1030" i="1" s="1"/>
  <c r="L1031" i="1"/>
  <c r="S1031" i="1" s="1"/>
  <c r="L1032" i="1"/>
  <c r="S1032" i="1" s="1"/>
  <c r="L1033" i="1"/>
  <c r="S1033" i="1" s="1"/>
  <c r="L1034" i="1"/>
  <c r="S1034" i="1" s="1"/>
  <c r="L1035" i="1"/>
  <c r="S1035" i="1" s="1"/>
  <c r="L1036" i="1"/>
  <c r="S1036" i="1" s="1"/>
  <c r="L1037" i="1"/>
  <c r="S1037" i="1" s="1"/>
  <c r="L1038" i="1"/>
  <c r="S1038" i="1" s="1"/>
  <c r="L1039" i="1"/>
  <c r="S1039" i="1" s="1"/>
  <c r="L1040" i="1"/>
  <c r="S1040" i="1" s="1"/>
  <c r="L1041" i="1"/>
  <c r="S1041" i="1" s="1"/>
  <c r="L1042" i="1"/>
  <c r="S1042" i="1" s="1"/>
  <c r="L1043" i="1"/>
  <c r="S1043" i="1" s="1"/>
  <c r="L1045" i="1"/>
  <c r="S1045" i="1" s="1"/>
  <c r="L1046" i="1"/>
  <c r="S1046" i="1" s="1"/>
  <c r="L1047" i="1"/>
  <c r="S1047" i="1" s="1"/>
  <c r="L1044" i="1"/>
  <c r="S1044" i="1" s="1"/>
  <c r="L1048" i="1"/>
  <c r="S1048" i="1" s="1"/>
  <c r="L1049" i="1"/>
  <c r="S1049" i="1" s="1"/>
  <c r="L1050" i="1"/>
  <c r="S1050" i="1" s="1"/>
  <c r="L1051" i="1"/>
  <c r="S1051" i="1" s="1"/>
  <c r="L1052" i="1"/>
  <c r="S1052" i="1" s="1"/>
  <c r="L1053" i="1"/>
  <c r="S1053" i="1" s="1"/>
  <c r="L1054" i="1"/>
  <c r="S1054" i="1" s="1"/>
  <c r="L1055" i="1"/>
  <c r="S1055" i="1" s="1"/>
  <c r="L1056" i="1"/>
  <c r="S1056" i="1" s="1"/>
  <c r="L1057" i="1"/>
  <c r="S1057" i="1" s="1"/>
  <c r="L1058" i="1"/>
  <c r="S1058" i="1" s="1"/>
  <c r="L1059" i="1"/>
  <c r="S1059" i="1" s="1"/>
  <c r="L1060" i="1"/>
  <c r="S1060" i="1" s="1"/>
  <c r="L1061" i="1"/>
  <c r="S1061" i="1" s="1"/>
  <c r="L1062" i="1"/>
  <c r="S1062" i="1" s="1"/>
  <c r="L1063" i="1"/>
  <c r="S1063" i="1" s="1"/>
  <c r="L1064" i="1"/>
  <c r="S1064" i="1" s="1"/>
  <c r="L1065" i="1"/>
  <c r="S1065" i="1" s="1"/>
  <c r="L1066" i="1"/>
  <c r="S1066" i="1" s="1"/>
  <c r="L1067" i="1"/>
  <c r="S1067" i="1" s="1"/>
  <c r="L1068" i="1"/>
  <c r="S1068" i="1" s="1"/>
  <c r="L1069" i="1"/>
  <c r="S1069" i="1" s="1"/>
  <c r="L1070" i="1"/>
  <c r="S1070" i="1" s="1"/>
  <c r="L1071" i="1"/>
  <c r="S1071" i="1" s="1"/>
  <c r="L1072" i="1"/>
  <c r="S1072" i="1" s="1"/>
  <c r="L1073" i="1"/>
  <c r="S1073" i="1" s="1"/>
  <c r="L1074" i="1"/>
  <c r="S1074" i="1" s="1"/>
  <c r="L1075" i="1"/>
  <c r="S1075" i="1" s="1"/>
  <c r="L1076" i="1"/>
  <c r="S1076" i="1" s="1"/>
  <c r="L1077" i="1"/>
  <c r="S1077" i="1" s="1"/>
  <c r="L1078" i="1"/>
  <c r="S1078" i="1" s="1"/>
  <c r="L1079" i="1"/>
  <c r="S1079" i="1" s="1"/>
  <c r="L1080" i="1"/>
  <c r="S1080" i="1" s="1"/>
  <c r="L1081" i="1"/>
  <c r="S1081" i="1" s="1"/>
  <c r="L1082" i="1"/>
  <c r="S1082" i="1" s="1"/>
  <c r="L1083" i="1"/>
  <c r="S1083" i="1" s="1"/>
  <c r="L1085" i="1"/>
  <c r="S1085" i="1" s="1"/>
  <c r="L1086" i="1"/>
  <c r="S1086" i="1" s="1"/>
  <c r="L1084" i="1"/>
  <c r="S1084" i="1" s="1"/>
  <c r="L1087" i="1"/>
  <c r="S1087" i="1" s="1"/>
  <c r="L1088" i="1"/>
  <c r="S1088" i="1" s="1"/>
  <c r="L1089" i="1"/>
  <c r="S1089" i="1" s="1"/>
  <c r="L1090" i="1"/>
  <c r="S1090" i="1" s="1"/>
  <c r="L1091" i="1"/>
  <c r="S1091" i="1" s="1"/>
  <c r="L1092" i="1"/>
  <c r="S1092" i="1" s="1"/>
  <c r="L1093" i="1"/>
  <c r="S1093" i="1" s="1"/>
  <c r="L1094" i="1"/>
  <c r="S1094" i="1" s="1"/>
  <c r="L1095" i="1"/>
  <c r="S1095" i="1" s="1"/>
  <c r="L1096" i="1"/>
  <c r="S1096" i="1" s="1"/>
  <c r="L1097" i="1"/>
  <c r="S1097" i="1" s="1"/>
  <c r="L1098" i="1"/>
  <c r="S1098" i="1" s="1"/>
  <c r="L1099" i="1"/>
  <c r="S1099" i="1" s="1"/>
  <c r="L1100" i="1"/>
  <c r="S1100" i="1" s="1"/>
  <c r="L1101" i="1"/>
  <c r="S1101" i="1" s="1"/>
  <c r="L1102" i="1"/>
  <c r="S1102" i="1" s="1"/>
  <c r="L1103" i="1"/>
  <c r="S1103" i="1" s="1"/>
  <c r="L1104" i="1"/>
  <c r="S1104" i="1" s="1"/>
  <c r="L1105" i="1"/>
  <c r="S1105" i="1" s="1"/>
  <c r="L1106" i="1"/>
  <c r="S1106" i="1" s="1"/>
  <c r="L1107" i="1"/>
  <c r="S1107" i="1" s="1"/>
  <c r="L1108" i="1"/>
  <c r="S1108" i="1" s="1"/>
  <c r="L1109" i="1"/>
  <c r="S1109" i="1" s="1"/>
  <c r="L1110" i="1"/>
  <c r="S1110" i="1" s="1"/>
  <c r="L1111" i="1"/>
  <c r="S1111" i="1" s="1"/>
  <c r="L1112" i="1"/>
  <c r="S1112" i="1" s="1"/>
  <c r="L1113" i="1"/>
  <c r="S1113" i="1" s="1"/>
  <c r="L1114" i="1"/>
  <c r="S1114" i="1" s="1"/>
  <c r="L1115" i="1"/>
  <c r="S1115" i="1" s="1"/>
  <c r="L1116" i="1"/>
  <c r="S1116" i="1" s="1"/>
  <c r="L1117" i="1"/>
  <c r="S1117" i="1" s="1"/>
  <c r="L1118" i="1"/>
  <c r="S1118" i="1" s="1"/>
  <c r="L1119" i="1"/>
  <c r="S1119" i="1" s="1"/>
  <c r="L1120" i="1"/>
  <c r="S1120" i="1" s="1"/>
  <c r="L1121" i="1"/>
  <c r="S1121" i="1" s="1"/>
  <c r="L1122" i="1"/>
  <c r="S1122" i="1" s="1"/>
  <c r="L1123" i="1"/>
  <c r="S1123" i="1" s="1"/>
  <c r="L1124" i="1"/>
  <c r="S1124" i="1" s="1"/>
  <c r="L1125" i="1"/>
  <c r="S1125" i="1" s="1"/>
  <c r="L1126" i="1"/>
  <c r="S1126" i="1" s="1"/>
  <c r="L1127" i="1"/>
  <c r="S1127" i="1" s="1"/>
  <c r="L1128" i="1"/>
  <c r="S1128" i="1" s="1"/>
  <c r="L1129" i="1"/>
  <c r="S1129" i="1" s="1"/>
  <c r="L1130" i="1"/>
  <c r="S1130" i="1" s="1"/>
  <c r="L1131" i="1"/>
  <c r="S1131" i="1" s="1"/>
  <c r="L1132" i="1"/>
  <c r="S1132" i="1" s="1"/>
  <c r="L1133" i="1"/>
  <c r="S1133" i="1" s="1"/>
  <c r="L1134" i="1"/>
  <c r="S1134" i="1" s="1"/>
  <c r="L1135" i="1"/>
  <c r="S1135" i="1" s="1"/>
  <c r="L1136" i="1"/>
  <c r="S1136" i="1" s="1"/>
  <c r="L1137" i="1"/>
  <c r="S1137" i="1" s="1"/>
  <c r="L1138" i="1"/>
  <c r="S1138" i="1" s="1"/>
  <c r="L1139" i="1"/>
  <c r="S1139" i="1" s="1"/>
  <c r="L1140" i="1"/>
  <c r="S1140" i="1" s="1"/>
  <c r="L1141" i="1"/>
  <c r="S1141" i="1" s="1"/>
  <c r="L1142" i="1"/>
  <c r="S1142" i="1" s="1"/>
  <c r="L1143" i="1"/>
  <c r="S1143" i="1" s="1"/>
  <c r="L1144" i="1"/>
  <c r="S1144" i="1" s="1"/>
  <c r="L1145" i="1"/>
  <c r="S1145" i="1" s="1"/>
  <c r="L1146" i="1"/>
  <c r="S1146" i="1" s="1"/>
  <c r="L1147" i="1"/>
  <c r="S1147" i="1" s="1"/>
  <c r="L1148" i="1"/>
  <c r="S1148" i="1" s="1"/>
  <c r="L1149" i="1"/>
  <c r="S1149" i="1" s="1"/>
  <c r="L1150" i="1"/>
  <c r="S1150" i="1" s="1"/>
  <c r="L1152" i="1"/>
  <c r="S1152" i="1" s="1"/>
  <c r="L1151" i="1"/>
  <c r="S1151" i="1" s="1"/>
  <c r="L1153" i="1"/>
  <c r="S1153" i="1" s="1"/>
  <c r="L1154" i="1"/>
  <c r="S1154" i="1" s="1"/>
  <c r="L1155" i="1"/>
  <c r="S1155" i="1" s="1"/>
  <c r="L1156" i="1"/>
  <c r="S1156" i="1" s="1"/>
  <c r="L1157" i="1"/>
  <c r="S1157" i="1" s="1"/>
  <c r="L1158" i="1"/>
  <c r="S1158" i="1" s="1"/>
  <c r="L1159" i="1"/>
  <c r="S1159" i="1" s="1"/>
  <c r="L1160" i="1"/>
  <c r="S1160" i="1" s="1"/>
  <c r="L1161" i="1"/>
  <c r="S1161" i="1" s="1"/>
  <c r="L1162" i="1"/>
  <c r="S1162" i="1" s="1"/>
  <c r="L1163" i="1"/>
  <c r="S1163" i="1" s="1"/>
  <c r="L1164" i="1"/>
  <c r="S1164" i="1" s="1"/>
  <c r="L1165" i="1"/>
  <c r="S1165" i="1" s="1"/>
  <c r="L1166" i="1"/>
  <c r="S1166" i="1" s="1"/>
  <c r="L1167" i="1"/>
  <c r="S1167" i="1" s="1"/>
  <c r="L1168" i="1"/>
  <c r="S1168" i="1" s="1"/>
  <c r="L1169" i="1"/>
  <c r="S1169" i="1" s="1"/>
  <c r="L1170" i="1"/>
  <c r="S1170" i="1" s="1"/>
  <c r="L1171" i="1"/>
  <c r="S1171" i="1" s="1"/>
  <c r="L1172" i="1"/>
  <c r="S1172" i="1" s="1"/>
  <c r="L1173" i="1"/>
  <c r="S1173" i="1" s="1"/>
  <c r="L1174" i="1"/>
  <c r="S1174" i="1" s="1"/>
  <c r="L1175" i="1"/>
  <c r="S1175" i="1" s="1"/>
  <c r="L1176" i="1"/>
  <c r="S1176" i="1" s="1"/>
  <c r="L1177" i="1"/>
  <c r="S1177" i="1" s="1"/>
  <c r="L1178" i="1"/>
  <c r="S1178" i="1" s="1"/>
  <c r="L1179" i="1"/>
  <c r="S1179" i="1" s="1"/>
  <c r="L1180" i="1"/>
  <c r="S1180" i="1" s="1"/>
  <c r="S1181" i="1"/>
  <c r="L1182" i="1"/>
  <c r="S1182" i="1" s="1"/>
  <c r="L1183" i="1"/>
  <c r="S1183" i="1" s="1"/>
  <c r="L1184" i="1"/>
  <c r="S1184" i="1" s="1"/>
  <c r="L1185" i="1"/>
  <c r="S1185" i="1" s="1"/>
  <c r="L1186" i="1"/>
  <c r="S1186" i="1" s="1"/>
  <c r="L1187" i="1"/>
  <c r="S1187" i="1" s="1"/>
  <c r="L1188" i="1"/>
  <c r="S1188" i="1" s="1"/>
  <c r="L1189" i="1"/>
  <c r="S1189" i="1" s="1"/>
  <c r="L1190" i="1"/>
  <c r="S1190" i="1" s="1"/>
  <c r="L1191" i="1"/>
  <c r="S1191" i="1" s="1"/>
  <c r="L1192" i="1"/>
  <c r="S1192" i="1" s="1"/>
  <c r="L1193" i="1"/>
  <c r="S1193" i="1" s="1"/>
  <c r="L1194" i="1"/>
  <c r="S1194" i="1" s="1"/>
  <c r="L1195" i="1"/>
  <c r="S1195" i="1" s="1"/>
  <c r="L1196" i="1"/>
  <c r="S1196" i="1" s="1"/>
  <c r="L1197" i="1"/>
  <c r="S1197" i="1" s="1"/>
  <c r="L1198" i="1"/>
  <c r="S1198" i="1" s="1"/>
  <c r="L1199" i="1"/>
  <c r="S1199" i="1" s="1"/>
  <c r="L1200" i="1"/>
  <c r="S1200" i="1" s="1"/>
  <c r="L1201" i="1"/>
  <c r="S1201" i="1" s="1"/>
  <c r="L1202" i="1"/>
  <c r="S1202" i="1" s="1"/>
  <c r="L1203" i="1"/>
  <c r="S1203" i="1" s="1"/>
  <c r="L1204" i="1"/>
  <c r="S1204" i="1" s="1"/>
  <c r="L1205" i="1"/>
  <c r="S1205" i="1" s="1"/>
  <c r="L1206" i="1"/>
  <c r="S1206" i="1" s="1"/>
  <c r="L1207" i="1"/>
  <c r="S1207" i="1" s="1"/>
  <c r="L1208" i="1"/>
  <c r="S1208" i="1" s="1"/>
  <c r="L1209" i="1"/>
  <c r="S1209" i="1" s="1"/>
  <c r="L1210" i="1"/>
  <c r="S1210" i="1" s="1"/>
  <c r="L1211" i="1"/>
  <c r="S1211" i="1" s="1"/>
  <c r="L1212" i="1"/>
  <c r="S1212" i="1" s="1"/>
  <c r="L1213" i="1"/>
  <c r="S1213" i="1" s="1"/>
  <c r="L1214" i="1"/>
  <c r="S1214" i="1" s="1"/>
  <c r="L1215" i="1"/>
  <c r="S1215" i="1" s="1"/>
  <c r="L1216" i="1"/>
  <c r="S1216" i="1" s="1"/>
  <c r="L1217" i="1"/>
  <c r="S1217" i="1" s="1"/>
  <c r="L1218" i="1"/>
  <c r="S1218" i="1" s="1"/>
  <c r="L1219" i="1"/>
  <c r="S1219" i="1" s="1"/>
  <c r="L1220" i="1"/>
  <c r="S1220" i="1" s="1"/>
  <c r="L1221" i="1"/>
  <c r="S1221" i="1" s="1"/>
  <c r="L1222" i="1"/>
  <c r="S1222" i="1" s="1"/>
  <c r="L1223" i="1"/>
  <c r="S1223" i="1" s="1"/>
  <c r="L1224" i="1"/>
  <c r="S1224" i="1" s="1"/>
  <c r="L1225" i="1"/>
  <c r="S1225" i="1" s="1"/>
  <c r="L1226" i="1"/>
  <c r="S1226" i="1" s="1"/>
  <c r="L1227" i="1"/>
  <c r="S1227" i="1" s="1"/>
  <c r="L1228" i="1"/>
  <c r="S1228" i="1" s="1"/>
  <c r="L1229" i="1"/>
  <c r="S1229" i="1" s="1"/>
  <c r="L1230" i="1"/>
  <c r="S1230" i="1" s="1"/>
  <c r="L1231" i="1"/>
  <c r="S1231" i="1" s="1"/>
  <c r="L1232" i="1"/>
  <c r="S1232" i="1" s="1"/>
  <c r="L1233" i="1"/>
  <c r="S1233" i="1" s="1"/>
  <c r="L1234" i="1"/>
  <c r="S1234" i="1" s="1"/>
  <c r="L1235" i="1"/>
  <c r="S1235" i="1" s="1"/>
  <c r="L1236" i="1"/>
  <c r="S1236" i="1" s="1"/>
  <c r="L1237" i="1"/>
  <c r="S1237" i="1" s="1"/>
  <c r="L1238" i="1"/>
  <c r="S1238" i="1" s="1"/>
  <c r="L1239" i="1"/>
  <c r="S1239" i="1" s="1"/>
  <c r="L1240" i="1"/>
  <c r="S1240" i="1" s="1"/>
  <c r="L1241" i="1"/>
  <c r="S1241" i="1" s="1"/>
  <c r="L1242" i="1"/>
  <c r="S1242" i="1" s="1"/>
  <c r="L1243" i="1"/>
  <c r="S1243" i="1" s="1"/>
  <c r="L1244" i="1"/>
  <c r="S1244" i="1" s="1"/>
  <c r="L1245" i="1"/>
  <c r="S1245" i="1" s="1"/>
  <c r="L1246" i="1"/>
  <c r="S1246" i="1" s="1"/>
  <c r="L1247" i="1"/>
  <c r="S1247" i="1" s="1"/>
  <c r="L1248" i="1"/>
  <c r="S1248" i="1" s="1"/>
  <c r="L1249" i="1"/>
  <c r="S1249" i="1" s="1"/>
  <c r="L1250" i="1"/>
  <c r="S1250" i="1" s="1"/>
  <c r="L1251" i="1"/>
  <c r="S1251" i="1" s="1"/>
  <c r="L1252" i="1"/>
  <c r="S1252" i="1" s="1"/>
  <c r="L1253" i="1"/>
  <c r="S1253" i="1" s="1"/>
  <c r="L1255" i="1"/>
  <c r="S1255" i="1" s="1"/>
  <c r="L1254" i="1"/>
  <c r="S1254" i="1" s="1"/>
  <c r="L1256" i="1"/>
  <c r="S1256" i="1" s="1"/>
  <c r="L1257" i="1"/>
  <c r="S1257" i="1" s="1"/>
  <c r="L1258" i="1"/>
  <c r="S1258" i="1" s="1"/>
  <c r="L1259" i="1"/>
  <c r="S1259" i="1" s="1"/>
  <c r="L1260" i="1"/>
  <c r="S1260" i="1" s="1"/>
  <c r="L1261" i="1"/>
  <c r="S1261" i="1" s="1"/>
  <c r="L1262" i="1"/>
  <c r="S1262" i="1" s="1"/>
  <c r="L1263" i="1"/>
  <c r="S1263" i="1" s="1"/>
  <c r="L1264" i="1"/>
  <c r="S1264" i="1" s="1"/>
  <c r="L1265" i="1"/>
  <c r="S1265" i="1" s="1"/>
  <c r="L1266" i="1"/>
  <c r="S1266" i="1" s="1"/>
  <c r="L1267" i="1"/>
  <c r="S1267" i="1" s="1"/>
  <c r="L1268" i="1"/>
  <c r="S1268" i="1" s="1"/>
  <c r="L1269" i="1"/>
  <c r="S1269" i="1" s="1"/>
  <c r="L1270" i="1"/>
  <c r="S1270" i="1" s="1"/>
  <c r="L1271" i="1"/>
  <c r="S1271" i="1" s="1"/>
  <c r="L1272" i="1"/>
  <c r="S1272" i="1" s="1"/>
  <c r="L1273" i="1"/>
  <c r="S1273" i="1" s="1"/>
  <c r="L1274" i="1"/>
  <c r="S1274" i="1" s="1"/>
  <c r="L1275" i="1"/>
  <c r="S1275" i="1" s="1"/>
  <c r="L1276" i="1"/>
  <c r="S1276" i="1" s="1"/>
  <c r="L1277" i="1"/>
  <c r="S1277" i="1" s="1"/>
  <c r="L1278" i="1"/>
  <c r="S1278" i="1" s="1"/>
  <c r="L1279" i="1"/>
  <c r="S1279" i="1" s="1"/>
  <c r="L1280" i="1"/>
  <c r="S1280" i="1" s="1"/>
  <c r="L1281" i="1"/>
  <c r="S1281" i="1" s="1"/>
  <c r="L1282" i="1"/>
  <c r="S1282" i="1" s="1"/>
  <c r="L1283" i="1"/>
  <c r="S1283" i="1" s="1"/>
  <c r="L1284" i="1"/>
  <c r="S1284" i="1" s="1"/>
  <c r="L1285" i="1"/>
  <c r="S1285" i="1" s="1"/>
  <c r="L1286" i="1"/>
  <c r="S1286" i="1" s="1"/>
  <c r="L1287" i="1"/>
  <c r="S1287" i="1" s="1"/>
  <c r="L1288" i="1"/>
  <c r="S1288" i="1" s="1"/>
  <c r="L1289" i="1"/>
  <c r="S1289" i="1" s="1"/>
  <c r="L1290" i="1"/>
  <c r="S1290" i="1" s="1"/>
  <c r="L1291" i="1"/>
  <c r="S1291" i="1" s="1"/>
  <c r="L1292" i="1"/>
  <c r="S1292" i="1" s="1"/>
  <c r="L1293" i="1"/>
  <c r="S1293" i="1" s="1"/>
  <c r="L1294" i="1"/>
  <c r="S1294" i="1" s="1"/>
  <c r="L1295" i="1"/>
  <c r="S1295" i="1" s="1"/>
  <c r="L1296" i="1"/>
  <c r="S1296" i="1" s="1"/>
  <c r="L1297" i="1"/>
  <c r="S1297" i="1" s="1"/>
  <c r="L1298" i="1"/>
  <c r="S1298" i="1" s="1"/>
  <c r="L1299" i="1"/>
  <c r="S1299" i="1" s="1"/>
  <c r="L1300" i="1"/>
  <c r="S1300" i="1" s="1"/>
  <c r="L1301" i="1"/>
  <c r="S1301" i="1" s="1"/>
  <c r="L1302" i="1"/>
  <c r="S1302" i="1" s="1"/>
  <c r="L1303" i="1"/>
  <c r="S1303" i="1" s="1"/>
  <c r="L1304" i="1"/>
  <c r="S1304" i="1" s="1"/>
  <c r="L1305" i="1"/>
  <c r="S1305" i="1" s="1"/>
  <c r="L1306" i="1"/>
  <c r="S1306" i="1" s="1"/>
  <c r="L1307" i="1"/>
  <c r="S1307" i="1" s="1"/>
  <c r="L1308" i="1"/>
  <c r="S1308" i="1" s="1"/>
  <c r="L1309" i="1"/>
  <c r="S1309" i="1" s="1"/>
  <c r="L1310" i="1"/>
  <c r="S1310" i="1" s="1"/>
  <c r="L1311" i="1"/>
  <c r="S1311" i="1" s="1"/>
  <c r="L1312" i="1"/>
  <c r="S1312" i="1" s="1"/>
  <c r="L1313" i="1"/>
  <c r="S1313" i="1" s="1"/>
  <c r="L1314" i="1"/>
  <c r="S1314" i="1" s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3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6" i="1"/>
  <c r="N67" i="1"/>
  <c r="N68" i="1"/>
  <c r="N69" i="1"/>
  <c r="N65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D24" i="2" s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8" i="1"/>
  <c r="N103" i="1"/>
  <c r="N105" i="1"/>
  <c r="N104" i="1"/>
  <c r="N107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4" i="1"/>
  <c r="N143" i="1"/>
  <c r="N145" i="1"/>
  <c r="N146" i="1"/>
  <c r="N147" i="1"/>
  <c r="N148" i="1"/>
  <c r="N149" i="1"/>
  <c r="N150" i="1"/>
  <c r="N151" i="1"/>
  <c r="N152" i="1"/>
  <c r="N154" i="1"/>
  <c r="N155" i="1"/>
  <c r="N153" i="1"/>
  <c r="N156" i="1"/>
  <c r="N157" i="1"/>
  <c r="N158" i="1"/>
  <c r="N159" i="1"/>
  <c r="N160" i="1"/>
  <c r="N162" i="1"/>
  <c r="N161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3" i="1"/>
  <c r="N214" i="1"/>
  <c r="N215" i="1"/>
  <c r="N216" i="1"/>
  <c r="N212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9" i="1"/>
  <c r="N248" i="1"/>
  <c r="N250" i="1"/>
  <c r="N251" i="1"/>
  <c r="N252" i="1"/>
  <c r="N253" i="1"/>
  <c r="N254" i="1"/>
  <c r="N255" i="1"/>
  <c r="N256" i="1"/>
  <c r="N257" i="1"/>
  <c r="N258" i="1"/>
  <c r="N260" i="1"/>
  <c r="N261" i="1"/>
  <c r="N262" i="1"/>
  <c r="N263" i="1"/>
  <c r="N259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8" i="1"/>
  <c r="N289" i="1"/>
  <c r="N287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4" i="1"/>
  <c r="N376" i="1"/>
  <c r="N375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70" i="1"/>
  <c r="N469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6" i="1"/>
  <c r="N515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84" i="1"/>
  <c r="N580" i="1"/>
  <c r="N581" i="1"/>
  <c r="N582" i="1"/>
  <c r="N583" i="1"/>
  <c r="N585" i="1"/>
  <c r="N586" i="1"/>
  <c r="N579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7" i="1"/>
  <c r="N646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2" i="1"/>
  <c r="N661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8" i="1"/>
  <c r="N699" i="1"/>
  <c r="N700" i="1"/>
  <c r="N697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60" i="1"/>
  <c r="N759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6" i="1"/>
  <c r="N775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9" i="1"/>
  <c r="N818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9" i="1"/>
  <c r="N858" i="1"/>
  <c r="N860" i="1"/>
  <c r="N861" i="1"/>
  <c r="N862" i="1"/>
  <c r="N863" i="1"/>
  <c r="N864" i="1"/>
  <c r="N865" i="1"/>
  <c r="N866" i="1"/>
  <c r="N867" i="1"/>
  <c r="N869" i="1"/>
  <c r="N868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1" i="1"/>
  <c r="N890" i="1"/>
  <c r="N892" i="1"/>
  <c r="N893" i="1"/>
  <c r="N896" i="1"/>
  <c r="N894" i="1"/>
  <c r="N895" i="1"/>
  <c r="N897" i="1"/>
  <c r="N898" i="1"/>
  <c r="N899" i="1"/>
  <c r="M22" i="10" s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4" i="1"/>
  <c r="N925" i="1"/>
  <c r="N926" i="1"/>
  <c r="N923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40" i="1"/>
  <c r="N941" i="1"/>
  <c r="N942" i="1"/>
  <c r="N939" i="1"/>
  <c r="N943" i="1"/>
  <c r="N944" i="1"/>
  <c r="N945" i="1"/>
  <c r="N946" i="1"/>
  <c r="N947" i="1"/>
  <c r="N948" i="1"/>
  <c r="N949" i="1"/>
  <c r="N951" i="1"/>
  <c r="N952" i="1"/>
  <c r="N953" i="1"/>
  <c r="N954" i="1"/>
  <c r="N950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6" i="1"/>
  <c r="N997" i="1"/>
  <c r="N998" i="1"/>
  <c r="N995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5" i="1"/>
  <c r="N1046" i="1"/>
  <c r="N1047" i="1"/>
  <c r="N1044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5" i="1"/>
  <c r="N1086" i="1"/>
  <c r="N1084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2" i="1"/>
  <c r="N1151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5" i="1"/>
  <c r="N1254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H4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2" i="1"/>
  <c r="H63" i="1"/>
  <c r="H64" i="1"/>
  <c r="H66" i="1"/>
  <c r="H67" i="1"/>
  <c r="H68" i="1"/>
  <c r="H69" i="1"/>
  <c r="H65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8" i="1"/>
  <c r="H103" i="1"/>
  <c r="H105" i="1"/>
  <c r="H106" i="1"/>
  <c r="H104" i="1"/>
  <c r="H107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4" i="1"/>
  <c r="H143" i="1"/>
  <c r="H145" i="1"/>
  <c r="H146" i="1"/>
  <c r="H147" i="1"/>
  <c r="H148" i="1"/>
  <c r="H149" i="1"/>
  <c r="H150" i="1"/>
  <c r="H151" i="1"/>
  <c r="H152" i="1"/>
  <c r="H154" i="1"/>
  <c r="H155" i="1"/>
  <c r="H153" i="1"/>
  <c r="H156" i="1"/>
  <c r="H157" i="1"/>
  <c r="H158" i="1"/>
  <c r="H159" i="1"/>
  <c r="H160" i="1"/>
  <c r="H162" i="1"/>
  <c r="H161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3" i="1"/>
  <c r="H214" i="1"/>
  <c r="H215" i="1"/>
  <c r="H216" i="1"/>
  <c r="H212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9" i="1"/>
  <c r="H248" i="1"/>
  <c r="H250" i="1"/>
  <c r="H251" i="1"/>
  <c r="H252" i="1"/>
  <c r="H253" i="1"/>
  <c r="H254" i="1"/>
  <c r="H255" i="1"/>
  <c r="H256" i="1"/>
  <c r="H257" i="1"/>
  <c r="H258" i="1"/>
  <c r="H260" i="1"/>
  <c r="H261" i="1"/>
  <c r="H262" i="1"/>
  <c r="H263" i="1"/>
  <c r="H259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8" i="1"/>
  <c r="H289" i="1"/>
  <c r="H287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6" i="1"/>
  <c r="H375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70" i="1"/>
  <c r="H469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6" i="1"/>
  <c r="H515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84" i="1"/>
  <c r="H580" i="1"/>
  <c r="H581" i="1"/>
  <c r="H582" i="1"/>
  <c r="H583" i="1"/>
  <c r="H585" i="1"/>
  <c r="H586" i="1"/>
  <c r="H579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7" i="1"/>
  <c r="H646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2" i="1"/>
  <c r="H661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8" i="1"/>
  <c r="H699" i="1"/>
  <c r="H700" i="1"/>
  <c r="H697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60" i="1"/>
  <c r="H759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6" i="1"/>
  <c r="H775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O791" i="1" s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O807" i="1" s="1"/>
  <c r="H808" i="1"/>
  <c r="H809" i="1"/>
  <c r="H810" i="1"/>
  <c r="H811" i="1"/>
  <c r="H812" i="1"/>
  <c r="H813" i="1"/>
  <c r="H814" i="1"/>
  <c r="H815" i="1"/>
  <c r="H816" i="1"/>
  <c r="H817" i="1"/>
  <c r="H819" i="1"/>
  <c r="H818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O839" i="1" s="1"/>
  <c r="H840" i="1"/>
  <c r="H841" i="1"/>
  <c r="H842" i="1"/>
  <c r="H843" i="1"/>
  <c r="H844" i="1"/>
  <c r="H845" i="1"/>
  <c r="H846" i="1"/>
  <c r="H847" i="1"/>
  <c r="H848" i="1"/>
  <c r="H849" i="1"/>
  <c r="H850" i="1"/>
  <c r="H851" i="1"/>
  <c r="O851" i="1" s="1"/>
  <c r="H852" i="1"/>
  <c r="H853" i="1"/>
  <c r="H854" i="1"/>
  <c r="H855" i="1"/>
  <c r="O855" i="1" s="1"/>
  <c r="H856" i="1"/>
  <c r="H857" i="1"/>
  <c r="H859" i="1"/>
  <c r="H858" i="1"/>
  <c r="H860" i="1"/>
  <c r="H861" i="1"/>
  <c r="H862" i="1"/>
  <c r="H863" i="1"/>
  <c r="H864" i="1"/>
  <c r="H865" i="1"/>
  <c r="H866" i="1"/>
  <c r="H867" i="1"/>
  <c r="O867" i="1" s="1"/>
  <c r="H869" i="1"/>
  <c r="H868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O887" i="1" s="1"/>
  <c r="H888" i="1"/>
  <c r="H889" i="1"/>
  <c r="H891" i="1"/>
  <c r="H890" i="1"/>
  <c r="H892" i="1"/>
  <c r="H893" i="1"/>
  <c r="H896" i="1"/>
  <c r="H894" i="1"/>
  <c r="H895" i="1"/>
  <c r="H897" i="1"/>
  <c r="H898" i="1"/>
  <c r="H899" i="1"/>
  <c r="O899" i="1" s="1"/>
  <c r="H900" i="1"/>
  <c r="H901" i="1"/>
  <c r="H902" i="1"/>
  <c r="H903" i="1"/>
  <c r="O903" i="1" s="1"/>
  <c r="H904" i="1"/>
  <c r="H905" i="1"/>
  <c r="H906" i="1"/>
  <c r="H907" i="1"/>
  <c r="H908" i="1"/>
  <c r="H909" i="1"/>
  <c r="H910" i="1"/>
  <c r="H911" i="1"/>
  <c r="H912" i="1"/>
  <c r="H913" i="1"/>
  <c r="H914" i="1"/>
  <c r="H915" i="1"/>
  <c r="O915" i="1" s="1"/>
  <c r="H916" i="1"/>
  <c r="H917" i="1"/>
  <c r="H918" i="1"/>
  <c r="H919" i="1"/>
  <c r="H920" i="1"/>
  <c r="H921" i="1"/>
  <c r="H922" i="1"/>
  <c r="H924" i="1"/>
  <c r="H925" i="1"/>
  <c r="H926" i="1"/>
  <c r="H923" i="1"/>
  <c r="H927" i="1"/>
  <c r="H928" i="1"/>
  <c r="H929" i="1"/>
  <c r="H930" i="1"/>
  <c r="H931" i="1"/>
  <c r="H932" i="1"/>
  <c r="H933" i="1"/>
  <c r="H934" i="1"/>
  <c r="H935" i="1"/>
  <c r="O935" i="1" s="1"/>
  <c r="H936" i="1"/>
  <c r="H937" i="1"/>
  <c r="H938" i="1"/>
  <c r="H940" i="1"/>
  <c r="H941" i="1"/>
  <c r="H942" i="1"/>
  <c r="H939" i="1"/>
  <c r="H943" i="1"/>
  <c r="H944" i="1"/>
  <c r="H945" i="1"/>
  <c r="H946" i="1"/>
  <c r="H947" i="1"/>
  <c r="O947" i="1" s="1"/>
  <c r="H948" i="1"/>
  <c r="H949" i="1"/>
  <c r="H951" i="1"/>
  <c r="H952" i="1"/>
  <c r="O952" i="1" s="1"/>
  <c r="H953" i="1"/>
  <c r="H954" i="1"/>
  <c r="H950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O983" i="1" s="1"/>
  <c r="H984" i="1"/>
  <c r="H985" i="1"/>
  <c r="H986" i="1"/>
  <c r="H987" i="1"/>
  <c r="H988" i="1"/>
  <c r="H989" i="1"/>
  <c r="H990" i="1"/>
  <c r="H991" i="1"/>
  <c r="H992" i="1"/>
  <c r="H993" i="1"/>
  <c r="H994" i="1"/>
  <c r="H996" i="1"/>
  <c r="O996" i="1" s="1"/>
  <c r="H997" i="1"/>
  <c r="H998" i="1"/>
  <c r="O998" i="1" s="1"/>
  <c r="H995" i="1"/>
  <c r="H999" i="1"/>
  <c r="O999" i="1" s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O1011" i="1" s="1"/>
  <c r="H1012" i="1"/>
  <c r="H1013" i="1"/>
  <c r="H1014" i="1"/>
  <c r="H1015" i="1"/>
  <c r="O1015" i="1" s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O1027" i="1" s="1"/>
  <c r="H1028" i="1"/>
  <c r="H1029" i="1"/>
  <c r="H1030" i="1"/>
  <c r="H1031" i="1"/>
  <c r="O1031" i="1" s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O1043" i="1" s="1"/>
  <c r="H1045" i="1"/>
  <c r="H1046" i="1"/>
  <c r="H1047" i="1"/>
  <c r="H1044" i="1"/>
  <c r="O1044" i="1" s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O1059" i="1" s="1"/>
  <c r="H1060" i="1"/>
  <c r="H1061" i="1"/>
  <c r="H1062" i="1"/>
  <c r="H1063" i="1"/>
  <c r="O1063" i="1" s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O1075" i="1" s="1"/>
  <c r="H1076" i="1"/>
  <c r="H1077" i="1"/>
  <c r="H1078" i="1"/>
  <c r="H1079" i="1"/>
  <c r="O1079" i="1" s="1"/>
  <c r="H1080" i="1"/>
  <c r="H1081" i="1"/>
  <c r="H1082" i="1"/>
  <c r="H1083" i="1"/>
  <c r="H1085" i="1"/>
  <c r="H1086" i="1"/>
  <c r="H1084" i="1"/>
  <c r="H1087" i="1"/>
  <c r="H1088" i="1"/>
  <c r="H1089" i="1"/>
  <c r="H1090" i="1"/>
  <c r="H1091" i="1"/>
  <c r="O1091" i="1" s="1"/>
  <c r="H1092" i="1"/>
  <c r="H1093" i="1"/>
  <c r="H1094" i="1"/>
  <c r="H1095" i="1"/>
  <c r="O1095" i="1" s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O1123" i="1" s="1"/>
  <c r="H1124" i="1"/>
  <c r="H1125" i="1"/>
  <c r="H1126" i="1"/>
  <c r="H1127" i="1"/>
  <c r="O1127" i="1" s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O1139" i="1" s="1"/>
  <c r="H1140" i="1"/>
  <c r="H1141" i="1"/>
  <c r="H1142" i="1"/>
  <c r="H1143" i="1"/>
  <c r="O1143" i="1" s="1"/>
  <c r="H1144" i="1"/>
  <c r="H1145" i="1"/>
  <c r="H1146" i="1"/>
  <c r="H1147" i="1"/>
  <c r="H1148" i="1"/>
  <c r="H1149" i="1"/>
  <c r="H1150" i="1"/>
  <c r="H1152" i="1"/>
  <c r="H1151" i="1"/>
  <c r="H1153" i="1"/>
  <c r="H1154" i="1"/>
  <c r="H1155" i="1"/>
  <c r="O1155" i="1" s="1"/>
  <c r="H1156" i="1"/>
  <c r="H1157" i="1"/>
  <c r="H1158" i="1"/>
  <c r="H1159" i="1"/>
  <c r="O1159" i="1" s="1"/>
  <c r="H1160" i="1"/>
  <c r="O1160" i="1" s="1"/>
  <c r="H1161" i="1"/>
  <c r="H1162" i="1"/>
  <c r="H1163" i="1"/>
  <c r="H1164" i="1"/>
  <c r="H1165" i="1"/>
  <c r="H1166" i="1"/>
  <c r="H1167" i="1"/>
  <c r="H1168" i="1"/>
  <c r="H1169" i="1"/>
  <c r="H1170" i="1"/>
  <c r="O1170" i="1" s="1"/>
  <c r="H1171" i="1"/>
  <c r="O1171" i="1" s="1"/>
  <c r="H1172" i="1"/>
  <c r="H1173" i="1"/>
  <c r="O1173" i="1" s="1"/>
  <c r="H1174" i="1"/>
  <c r="H1175" i="1"/>
  <c r="O1175" i="1" s="1"/>
  <c r="H1176" i="1"/>
  <c r="O1176" i="1" s="1"/>
  <c r="H1177" i="1"/>
  <c r="H1178" i="1"/>
  <c r="H1179" i="1"/>
  <c r="H1180" i="1"/>
  <c r="H1181" i="1"/>
  <c r="O1181" i="1" s="1"/>
  <c r="H1182" i="1"/>
  <c r="H1183" i="1"/>
  <c r="H1184" i="1"/>
  <c r="H1185" i="1"/>
  <c r="H1186" i="1"/>
  <c r="O1186" i="1" s="1"/>
  <c r="H1187" i="1"/>
  <c r="H1188" i="1"/>
  <c r="H1189" i="1"/>
  <c r="O1189" i="1" s="1"/>
  <c r="H1190" i="1"/>
  <c r="H1191" i="1"/>
  <c r="O1191" i="1" s="1"/>
  <c r="H1192" i="1"/>
  <c r="O1192" i="1" s="1"/>
  <c r="H1193" i="1"/>
  <c r="O1193" i="1" s="1"/>
  <c r="H1194" i="1"/>
  <c r="H1195" i="1"/>
  <c r="H1196" i="1"/>
  <c r="H1197" i="1"/>
  <c r="H1198" i="1"/>
  <c r="H1199" i="1"/>
  <c r="H1200" i="1"/>
  <c r="H1201" i="1"/>
  <c r="H1202" i="1"/>
  <c r="O1202" i="1" s="1"/>
  <c r="H1203" i="1"/>
  <c r="O1203" i="1" s="1"/>
  <c r="H1204" i="1"/>
  <c r="O1204" i="1" s="1"/>
  <c r="H1205" i="1"/>
  <c r="O1205" i="1" s="1"/>
  <c r="H1206" i="1"/>
  <c r="H1207" i="1"/>
  <c r="O1207" i="1" s="1"/>
  <c r="H1208" i="1"/>
  <c r="O1208" i="1" s="1"/>
  <c r="H1209" i="1"/>
  <c r="O1209" i="1" s="1"/>
  <c r="H1210" i="1"/>
  <c r="H1211" i="1"/>
  <c r="H1212" i="1"/>
  <c r="H1213" i="1"/>
  <c r="H1214" i="1"/>
  <c r="H1215" i="1"/>
  <c r="O1215" i="1" s="1"/>
  <c r="H1216" i="1"/>
  <c r="H1217" i="1"/>
  <c r="H1218" i="1"/>
  <c r="O1218" i="1" s="1"/>
  <c r="H1219" i="1"/>
  <c r="O1219" i="1" s="1"/>
  <c r="H1220" i="1"/>
  <c r="O1220" i="1" s="1"/>
  <c r="H1221" i="1"/>
  <c r="O1221" i="1" s="1"/>
  <c r="H1222" i="1"/>
  <c r="O1222" i="1" s="1"/>
  <c r="H1223" i="1"/>
  <c r="O1223" i="1" s="1"/>
  <c r="H1224" i="1"/>
  <c r="O1224" i="1" s="1"/>
  <c r="H1225" i="1"/>
  <c r="O1225" i="1" s="1"/>
  <c r="H1226" i="1"/>
  <c r="H1227" i="1"/>
  <c r="H1228" i="1"/>
  <c r="H1229" i="1"/>
  <c r="O1229" i="1" s="1"/>
  <c r="H1230" i="1"/>
  <c r="O1230" i="1" s="1"/>
  <c r="H1231" i="1"/>
  <c r="O1231" i="1" s="1"/>
  <c r="H1232" i="1"/>
  <c r="O1232" i="1" s="1"/>
  <c r="H1233" i="1"/>
  <c r="O1233" i="1" s="1"/>
  <c r="H1234" i="1"/>
  <c r="O1234" i="1" s="1"/>
  <c r="H1235" i="1"/>
  <c r="O1235" i="1" s="1"/>
  <c r="H1236" i="1"/>
  <c r="O1236" i="1" s="1"/>
  <c r="H1237" i="1"/>
  <c r="O1237" i="1" s="1"/>
  <c r="H1238" i="1"/>
  <c r="O1238" i="1" s="1"/>
  <c r="H1239" i="1"/>
  <c r="O1239" i="1" s="1"/>
  <c r="H1240" i="1"/>
  <c r="O1240" i="1" s="1"/>
  <c r="H1241" i="1"/>
  <c r="O1241" i="1" s="1"/>
  <c r="H1242" i="1"/>
  <c r="O1242" i="1" s="1"/>
  <c r="H1243" i="1"/>
  <c r="O1243" i="1" s="1"/>
  <c r="H1244" i="1"/>
  <c r="H1245" i="1"/>
  <c r="O1245" i="1" s="1"/>
  <c r="H1246" i="1"/>
  <c r="H1247" i="1"/>
  <c r="O1247" i="1" s="1"/>
  <c r="H1248" i="1"/>
  <c r="H1249" i="1"/>
  <c r="O1249" i="1" s="1"/>
  <c r="H1250" i="1"/>
  <c r="H1251" i="1"/>
  <c r="H1252" i="1"/>
  <c r="H1253" i="1"/>
  <c r="O1253" i="1" s="1"/>
  <c r="H1255" i="1"/>
  <c r="O1255" i="1" s="1"/>
  <c r="H1254" i="1"/>
  <c r="O1254" i="1" s="1"/>
  <c r="H1256" i="1"/>
  <c r="O1256" i="1" s="1"/>
  <c r="H1257" i="1"/>
  <c r="O1257" i="1" s="1"/>
  <c r="H1258" i="1"/>
  <c r="O1258" i="1" s="1"/>
  <c r="H1259" i="1"/>
  <c r="H1260" i="1"/>
  <c r="H1261" i="1"/>
  <c r="O1261" i="1" s="1"/>
  <c r="H1262" i="1"/>
  <c r="O1262" i="1" s="1"/>
  <c r="H1263" i="1"/>
  <c r="O1263" i="1" s="1"/>
  <c r="H1264" i="1"/>
  <c r="O1264" i="1" s="1"/>
  <c r="H1265" i="1"/>
  <c r="O1265" i="1" s="1"/>
  <c r="H1266" i="1"/>
  <c r="O1266" i="1" s="1"/>
  <c r="H1267" i="1"/>
  <c r="O1267" i="1" s="1"/>
  <c r="H1268" i="1"/>
  <c r="O1268" i="1" s="1"/>
  <c r="H1269" i="1"/>
  <c r="O1269" i="1" s="1"/>
  <c r="H1270" i="1"/>
  <c r="O1270" i="1" s="1"/>
  <c r="H1271" i="1"/>
  <c r="O1271" i="1" s="1"/>
  <c r="H1272" i="1"/>
  <c r="O1272" i="1" s="1"/>
  <c r="H1273" i="1"/>
  <c r="O1273" i="1" s="1"/>
  <c r="H1274" i="1"/>
  <c r="O1274" i="1" s="1"/>
  <c r="H1275" i="1"/>
  <c r="O1275" i="1" s="1"/>
  <c r="H1276" i="1"/>
  <c r="O1276" i="1" s="1"/>
  <c r="H1277" i="1"/>
  <c r="O1277" i="1" s="1"/>
  <c r="H1278" i="1"/>
  <c r="O1278" i="1" s="1"/>
  <c r="H1279" i="1"/>
  <c r="O1279" i="1" s="1"/>
  <c r="H1280" i="1"/>
  <c r="H1281" i="1"/>
  <c r="O1281" i="1" s="1"/>
  <c r="H1282" i="1"/>
  <c r="H1283" i="1"/>
  <c r="O1283" i="1" s="1"/>
  <c r="H1284" i="1"/>
  <c r="O1284" i="1" s="1"/>
  <c r="H1285" i="1"/>
  <c r="O1285" i="1" s="1"/>
  <c r="H1286" i="1"/>
  <c r="O1286" i="1" s="1"/>
  <c r="H1287" i="1"/>
  <c r="O1287" i="1" s="1"/>
  <c r="H1288" i="1"/>
  <c r="O1288" i="1" s="1"/>
  <c r="H1289" i="1"/>
  <c r="O1289" i="1" s="1"/>
  <c r="H1290" i="1"/>
  <c r="O1290" i="1" s="1"/>
  <c r="H1291" i="1"/>
  <c r="O1291" i="1" s="1"/>
  <c r="H1292" i="1"/>
  <c r="O1292" i="1" s="1"/>
  <c r="H1293" i="1"/>
  <c r="H1294" i="1"/>
  <c r="O1294" i="1" s="1"/>
  <c r="H1295" i="1"/>
  <c r="O1295" i="1" s="1"/>
  <c r="H1296" i="1"/>
  <c r="O1296" i="1" s="1"/>
  <c r="H1297" i="1"/>
  <c r="O1297" i="1" s="1"/>
  <c r="H1298" i="1"/>
  <c r="O1298" i="1" s="1"/>
  <c r="H1299" i="1"/>
  <c r="O1299" i="1" s="1"/>
  <c r="H1300" i="1"/>
  <c r="O1300" i="1" s="1"/>
  <c r="H1301" i="1"/>
  <c r="O1301" i="1" s="1"/>
  <c r="H1302" i="1"/>
  <c r="O1302" i="1" s="1"/>
  <c r="H1303" i="1"/>
  <c r="O1303" i="1" s="1"/>
  <c r="H1304" i="1"/>
  <c r="O1304" i="1" s="1"/>
  <c r="H1305" i="1"/>
  <c r="O1305" i="1" s="1"/>
  <c r="H1306" i="1"/>
  <c r="O1306" i="1" s="1"/>
  <c r="H1307" i="1"/>
  <c r="O1307" i="1" s="1"/>
  <c r="H1308" i="1"/>
  <c r="O1308" i="1" s="1"/>
  <c r="H1309" i="1"/>
  <c r="O1309" i="1" s="1"/>
  <c r="H1310" i="1"/>
  <c r="O1310" i="1" s="1"/>
  <c r="H1311" i="1"/>
  <c r="O1311" i="1" s="1"/>
  <c r="H1312" i="1"/>
  <c r="O1312" i="1" s="1"/>
  <c r="H1313" i="1"/>
  <c r="O1313" i="1" s="1"/>
  <c r="H1314" i="1"/>
  <c r="H40" i="1"/>
  <c r="H41" i="1"/>
  <c r="H42" i="1"/>
  <c r="H43" i="1"/>
  <c r="H44" i="1"/>
  <c r="H45" i="1"/>
  <c r="H46" i="1"/>
  <c r="H47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D7" i="2" l="1"/>
  <c r="D20" i="2"/>
  <c r="D23" i="2"/>
  <c r="BL43" i="5"/>
  <c r="AQ64" i="5"/>
  <c r="BA14" i="5"/>
  <c r="N53" i="5"/>
  <c r="BL17" i="5"/>
  <c r="Q64" i="5"/>
  <c r="AT5" i="5"/>
  <c r="E46" i="5"/>
  <c r="O58" i="5"/>
  <c r="BF15" i="5"/>
  <c r="BC54" i="5"/>
  <c r="BB55" i="5"/>
  <c r="Z7" i="5"/>
  <c r="G26" i="5"/>
  <c r="AA12" i="5"/>
  <c r="L27" i="5"/>
  <c r="X33" i="5"/>
  <c r="AG24" i="5"/>
  <c r="AK30" i="5"/>
  <c r="AD37" i="5"/>
  <c r="Y56" i="5"/>
  <c r="BD25" i="5"/>
  <c r="AE10" i="5"/>
  <c r="J31" i="5"/>
  <c r="BC36" i="5"/>
  <c r="AJ55" i="5"/>
  <c r="BL41" i="5"/>
  <c r="AO64" i="5"/>
  <c r="BD49" i="5"/>
  <c r="AW56" i="5"/>
  <c r="BK8" i="5"/>
  <c r="H63" i="5"/>
  <c r="AE58" i="5"/>
  <c r="BF31" i="5"/>
  <c r="V11" i="5"/>
  <c r="K22" i="5"/>
  <c r="AN21" i="5"/>
  <c r="U40" i="5"/>
  <c r="S42" i="5"/>
  <c r="AP19" i="5"/>
  <c r="BM46" i="5"/>
  <c r="AT65" i="5"/>
  <c r="BN37" i="5"/>
  <c r="AK66" i="5"/>
  <c r="AJ27" i="5"/>
  <c r="AA36" i="5"/>
  <c r="AZ19" i="5"/>
  <c r="S52" i="5"/>
  <c r="L5" i="5"/>
  <c r="E12" i="5"/>
  <c r="BM52" i="5"/>
  <c r="AZ65" i="5"/>
  <c r="AX7" i="5"/>
  <c r="G50" i="5"/>
  <c r="AH13" i="5"/>
  <c r="M34" i="5"/>
  <c r="BI8" i="5"/>
  <c r="H61" i="5"/>
  <c r="T63" i="5"/>
  <c r="BK20" i="5"/>
  <c r="AL7" i="5"/>
  <c r="G38" i="5"/>
  <c r="AO22" i="5"/>
  <c r="V41" i="5"/>
  <c r="BA46" i="5"/>
  <c r="AT53" i="5"/>
  <c r="AI14" i="5"/>
  <c r="N35" i="5"/>
  <c r="AI58" i="5"/>
  <c r="BF35" i="5"/>
  <c r="AM66" i="5"/>
  <c r="BN39" i="5"/>
  <c r="W6" i="5"/>
  <c r="F23" i="5"/>
  <c r="AS20" i="5"/>
  <c r="T45" i="5"/>
  <c r="BM28" i="5"/>
  <c r="AB65" i="5"/>
  <c r="AA4" i="5"/>
  <c r="D27" i="5"/>
  <c r="I8" i="5"/>
  <c r="H9" i="5"/>
  <c r="I30" i="5"/>
  <c r="AD9" i="5"/>
  <c r="R7" i="5"/>
  <c r="G18" i="5"/>
  <c r="AM22" i="5"/>
  <c r="V39" i="5"/>
  <c r="AG28" i="5"/>
  <c r="AB33" i="5"/>
  <c r="BI10" i="5"/>
  <c r="J61" i="5"/>
  <c r="L65" i="5"/>
  <c r="BM12" i="5"/>
  <c r="T11" i="5"/>
  <c r="K20" i="5"/>
  <c r="AN15" i="5"/>
  <c r="O40" i="5"/>
  <c r="AF9" i="5"/>
  <c r="I32" i="5"/>
  <c r="Y14" i="5"/>
  <c r="N25" i="5"/>
  <c r="AZ37" i="5"/>
  <c r="AK52" i="5"/>
  <c r="BC34" i="5"/>
  <c r="AH55" i="5"/>
  <c r="BI46" i="5"/>
  <c r="AT61" i="5"/>
  <c r="AQ66" i="5"/>
  <c r="BN43" i="5"/>
  <c r="AW16" i="5"/>
  <c r="P49" i="5"/>
  <c r="BE10" i="5"/>
  <c r="J57" i="5"/>
  <c r="L19" i="5"/>
  <c r="S12" i="5"/>
  <c r="T53" i="5"/>
  <c r="BA20" i="5"/>
  <c r="AO40" i="5"/>
  <c r="AN41" i="5"/>
  <c r="BM36" i="5"/>
  <c r="AJ65" i="5"/>
  <c r="BN19" i="5"/>
  <c r="S66" i="5"/>
  <c r="AH9" i="5"/>
  <c r="I34" i="5"/>
  <c r="R51" i="5"/>
  <c r="AY18" i="5"/>
  <c r="AV43" i="5"/>
  <c r="AQ48" i="5"/>
  <c r="O42" i="5"/>
  <c r="AP15" i="5"/>
  <c r="AX13" i="5"/>
  <c r="M50" i="5"/>
  <c r="BM64" i="5"/>
  <c r="BL65" i="5"/>
  <c r="AV27" i="5"/>
  <c r="AA48" i="5"/>
  <c r="AW10" i="5"/>
  <c r="J49" i="5"/>
  <c r="J55" i="5"/>
  <c r="BC10" i="5"/>
  <c r="BG28" i="5"/>
  <c r="AB59" i="5"/>
  <c r="AC16" i="5"/>
  <c r="P29" i="5"/>
  <c r="BI4" i="5"/>
  <c r="D61" i="5"/>
  <c r="W54" i="5"/>
  <c r="BB23" i="5"/>
  <c r="BI30" i="5"/>
  <c r="AD61" i="5"/>
  <c r="W12" i="5"/>
  <c r="L23" i="5"/>
  <c r="O22" i="5"/>
  <c r="V15" i="5"/>
  <c r="U62" i="5"/>
  <c r="BJ21" i="5"/>
  <c r="BJ17" i="5"/>
  <c r="Q62" i="5"/>
  <c r="BB61" i="5"/>
  <c r="BI54" i="5"/>
  <c r="AU44" i="5"/>
  <c r="AR47" i="5"/>
  <c r="BE28" i="5"/>
  <c r="AB57" i="5"/>
  <c r="AU12" i="5"/>
  <c r="L47" i="5"/>
  <c r="BD37" i="5"/>
  <c r="AK56" i="5"/>
  <c r="AH27" i="5"/>
  <c r="AA34" i="5"/>
  <c r="BI20" i="5"/>
  <c r="T61" i="5"/>
  <c r="BM6" i="5"/>
  <c r="F65" i="5"/>
  <c r="Y12" i="5"/>
  <c r="L25" i="5"/>
  <c r="BE26" i="5"/>
  <c r="Z57" i="5"/>
  <c r="AO36" i="5"/>
  <c r="AJ41" i="5"/>
  <c r="N37" i="5"/>
  <c r="AK14" i="5"/>
  <c r="AF59" i="5"/>
  <c r="BG32" i="5"/>
  <c r="V59" i="5"/>
  <c r="BG22" i="5"/>
  <c r="AU60" i="5"/>
  <c r="BH47" i="5"/>
  <c r="AP11" i="5"/>
  <c r="K42" i="5"/>
  <c r="X61" i="5"/>
  <c r="BI24" i="5"/>
  <c r="AV17" i="5"/>
  <c r="Q48" i="5"/>
  <c r="BH7" i="5"/>
  <c r="G60" i="5"/>
  <c r="BF27" i="5"/>
  <c r="AA58" i="5"/>
  <c r="AY6" i="5"/>
  <c r="F51" i="5"/>
  <c r="T57" i="5"/>
  <c r="BE20" i="5"/>
  <c r="AO28" i="5"/>
  <c r="AB41" i="5"/>
  <c r="AG26" i="5"/>
  <c r="Z33" i="5"/>
  <c r="AQ20" i="5"/>
  <c r="T43" i="5"/>
  <c r="BD27" i="5"/>
  <c r="AA56" i="5"/>
  <c r="AZ47" i="5"/>
  <c r="AU52" i="5"/>
  <c r="K14" i="5"/>
  <c r="N11" i="5"/>
  <c r="Z19" i="5"/>
  <c r="S26" i="5"/>
  <c r="AP5" i="5"/>
  <c r="E42" i="5"/>
  <c r="BB15" i="5"/>
  <c r="O54" i="5"/>
  <c r="AP37" i="5"/>
  <c r="AK42" i="5"/>
  <c r="S8" i="5"/>
  <c r="H19" i="5"/>
  <c r="AL31" i="5"/>
  <c r="AE38" i="5"/>
  <c r="Y46" i="5"/>
  <c r="AT25" i="5"/>
  <c r="AQ22" i="5"/>
  <c r="V43" i="5"/>
  <c r="AU54" i="5"/>
  <c r="BB47" i="5"/>
  <c r="BJ57" i="5"/>
  <c r="BE62" i="5"/>
  <c r="AS18" i="5"/>
  <c r="R45" i="5"/>
  <c r="H49" i="5"/>
  <c r="AW8" i="5"/>
  <c r="AY50" i="5"/>
  <c r="AX51" i="5"/>
  <c r="BH55" i="5"/>
  <c r="BC60" i="5"/>
  <c r="AF17" i="5"/>
  <c r="Q32" i="5"/>
  <c r="BI42" i="5"/>
  <c r="AP61" i="5"/>
  <c r="P53" i="5"/>
  <c r="BA16" i="5"/>
  <c r="AS14" i="5"/>
  <c r="N45" i="5"/>
  <c r="BD29" i="5"/>
  <c r="AC56" i="5"/>
  <c r="AW22" i="5"/>
  <c r="V49" i="5"/>
  <c r="BG42" i="5"/>
  <c r="AP59" i="5"/>
  <c r="C8" i="5"/>
  <c r="H3" i="5"/>
  <c r="AY58" i="5"/>
  <c r="BF51" i="5"/>
  <c r="J19" i="5"/>
  <c r="S10" i="5"/>
  <c r="AQ24" i="5"/>
  <c r="X43" i="5"/>
  <c r="BJ35" i="5"/>
  <c r="AI62" i="5"/>
  <c r="AW60" i="5"/>
  <c r="BH49" i="5"/>
  <c r="Y10" i="5"/>
  <c r="J25" i="5"/>
  <c r="I54" i="5"/>
  <c r="BB9" i="5"/>
  <c r="BJ33" i="5"/>
  <c r="AG62" i="5"/>
  <c r="BE46" i="5"/>
  <c r="AT57" i="5"/>
  <c r="BN9" i="5"/>
  <c r="I66" i="5"/>
  <c r="BD53" i="5"/>
  <c r="BA56" i="5"/>
  <c r="BL7" i="5"/>
  <c r="G64" i="5"/>
  <c r="BC26" i="5"/>
  <c r="Z55" i="5"/>
  <c r="AI16" i="5"/>
  <c r="P35" i="5"/>
  <c r="AY34" i="5"/>
  <c r="AH51" i="5"/>
  <c r="E28" i="5"/>
  <c r="AB5" i="5"/>
  <c r="T37" i="5"/>
  <c r="AK20" i="5"/>
  <c r="G22" i="5"/>
  <c r="V7" i="5"/>
  <c r="R3" i="5"/>
  <c r="C18" i="5"/>
  <c r="G10" i="5"/>
  <c r="J7" i="5"/>
  <c r="AH31" i="5"/>
  <c r="AE34" i="5"/>
  <c r="BG30" i="5"/>
  <c r="AD59" i="5"/>
  <c r="BC12" i="5"/>
  <c r="L55" i="5"/>
  <c r="AT51" i="5"/>
  <c r="AY46" i="5"/>
  <c r="AH49" i="5"/>
  <c r="AW34" i="5"/>
  <c r="AW38" i="5"/>
  <c r="AL49" i="5"/>
  <c r="Y8" i="5"/>
  <c r="H25" i="5"/>
  <c r="AW64" i="5"/>
  <c r="BL49" i="5"/>
  <c r="BI60" i="5"/>
  <c r="BH61" i="5"/>
  <c r="BM58" i="5"/>
  <c r="BF65" i="5"/>
  <c r="BK40" i="5"/>
  <c r="AN63" i="5"/>
  <c r="BH25" i="5"/>
  <c r="Y60" i="5"/>
  <c r="BH35" i="5"/>
  <c r="AI60" i="5"/>
  <c r="X41" i="5"/>
  <c r="AO24" i="5"/>
  <c r="E26" i="5"/>
  <c r="Z5" i="5"/>
  <c r="K16" i="5"/>
  <c r="P11" i="5"/>
  <c r="AD25" i="5"/>
  <c r="Y30" i="5"/>
  <c r="AF29" i="5"/>
  <c r="AC32" i="5"/>
  <c r="AB61" i="5"/>
  <c r="BI28" i="5"/>
  <c r="BG56" i="5"/>
  <c r="BD59" i="5"/>
  <c r="Z17" i="5"/>
  <c r="Q26" i="5"/>
  <c r="D53" i="5"/>
  <c r="BA4" i="5"/>
  <c r="P43" i="5"/>
  <c r="AQ16" i="5"/>
  <c r="R63" i="5"/>
  <c r="BK18" i="5"/>
  <c r="X7" i="5"/>
  <c r="G24" i="5"/>
  <c r="AW20" i="5"/>
  <c r="T49" i="5"/>
  <c r="D41" i="5"/>
  <c r="AO4" i="5"/>
  <c r="AF5" i="5"/>
  <c r="E32" i="5"/>
  <c r="D63" i="5"/>
  <c r="BK4" i="5"/>
  <c r="H57" i="5"/>
  <c r="BE8" i="5"/>
  <c r="AG18" i="5"/>
  <c r="R33" i="5"/>
  <c r="AA20" i="5"/>
  <c r="T27" i="5"/>
  <c r="BG66" i="5"/>
  <c r="BN59" i="5"/>
  <c r="BB29" i="5"/>
  <c r="AC54" i="5"/>
  <c r="AQ50" i="5"/>
  <c r="AX43" i="5"/>
  <c r="BL59" i="5"/>
  <c r="BG64" i="5"/>
  <c r="E44" i="5"/>
  <c r="AR5" i="5"/>
  <c r="D23" i="5"/>
  <c r="W4" i="5"/>
  <c r="AA22" i="5"/>
  <c r="V27" i="5"/>
  <c r="D39" i="5"/>
  <c r="AM4" i="5"/>
  <c r="AR39" i="5"/>
  <c r="AM44" i="5"/>
  <c r="AJ23" i="5"/>
  <c r="W36" i="5"/>
  <c r="AJ15" i="5"/>
  <c r="O36" i="5"/>
  <c r="Y32" i="5"/>
  <c r="AF25" i="5"/>
  <c r="AM26" i="5"/>
  <c r="Z39" i="5"/>
  <c r="U10" i="5"/>
  <c r="J21" i="5"/>
  <c r="BF63" i="5"/>
  <c r="BK58" i="5"/>
  <c r="BG38" i="5"/>
  <c r="AL59" i="5"/>
  <c r="AW46" i="5"/>
  <c r="AT49" i="5"/>
  <c r="BI38" i="5"/>
  <c r="AL61" i="5"/>
  <c r="F33" i="5"/>
  <c r="AG6" i="5"/>
  <c r="BJ15" i="5"/>
  <c r="O62" i="5"/>
  <c r="AQ34" i="5"/>
  <c r="AH43" i="5"/>
  <c r="BH19" i="5"/>
  <c r="S60" i="5"/>
  <c r="BN27" i="5"/>
  <c r="AA66" i="5"/>
  <c r="BG10" i="5"/>
  <c r="J59" i="5"/>
  <c r="BC6" i="5"/>
  <c r="F55" i="5"/>
  <c r="Y28" i="5"/>
  <c r="AB25" i="5"/>
  <c r="AV15" i="5"/>
  <c r="O48" i="5"/>
  <c r="Q50" i="5"/>
  <c r="AX17" i="5"/>
  <c r="BM20" i="5"/>
  <c r="T65" i="5"/>
  <c r="BH31" i="5"/>
  <c r="AE60" i="5"/>
  <c r="AQ42" i="5"/>
  <c r="AP43" i="5"/>
  <c r="AX45" i="5"/>
  <c r="AS50" i="5"/>
  <c r="AR31" i="5"/>
  <c r="AE44" i="5"/>
  <c r="AP53" i="5"/>
  <c r="BA42" i="5"/>
  <c r="V29" i="5"/>
  <c r="AC22" i="5"/>
  <c r="BB35" i="5"/>
  <c r="AI54" i="5"/>
  <c r="AT19" i="5"/>
  <c r="S46" i="5"/>
  <c r="AJ33" i="5"/>
  <c r="AG36" i="5"/>
  <c r="Q46" i="5"/>
  <c r="AT17" i="5"/>
  <c r="AB7" i="5"/>
  <c r="G28" i="5"/>
  <c r="BH53" i="5"/>
  <c r="BA60" i="5"/>
  <c r="BF45" i="5"/>
  <c r="AS58" i="5"/>
  <c r="C42" i="5"/>
  <c r="AP3" i="5"/>
  <c r="BB21" i="5"/>
  <c r="U54" i="5"/>
  <c r="AS10" i="5"/>
  <c r="J45" i="5"/>
  <c r="D51" i="5"/>
  <c r="AY4" i="5"/>
  <c r="L57" i="5"/>
  <c r="BE12" i="5"/>
  <c r="BE44" i="5"/>
  <c r="AR57" i="5"/>
  <c r="AL25" i="5"/>
  <c r="Y38" i="5"/>
  <c r="BF21" i="5"/>
  <c r="U58" i="5"/>
  <c r="BB7" i="5"/>
  <c r="G54" i="5"/>
  <c r="AA10" i="5"/>
  <c r="J27" i="5"/>
  <c r="BK26" i="5"/>
  <c r="Z63" i="5"/>
  <c r="AT15" i="5"/>
  <c r="O46" i="5"/>
  <c r="E40" i="5"/>
  <c r="AN5" i="5"/>
  <c r="AX39" i="5"/>
  <c r="AM50" i="5"/>
  <c r="O10" i="5"/>
  <c r="J15" i="5"/>
  <c r="AJ7" i="5"/>
  <c r="G36" i="5"/>
  <c r="AS48" i="5"/>
  <c r="AV45" i="5"/>
  <c r="BJ55" i="5"/>
  <c r="BC62" i="5"/>
  <c r="AB19" i="5"/>
  <c r="S28" i="5"/>
  <c r="F45" i="5"/>
  <c r="AS6" i="5"/>
  <c r="C10" i="5"/>
  <c r="J3" i="5"/>
  <c r="M6" i="5"/>
  <c r="F13" i="5"/>
  <c r="C44" i="5"/>
  <c r="AR3" i="5"/>
  <c r="L7" i="5"/>
  <c r="G12" i="5"/>
  <c r="BK56" i="5"/>
  <c r="BD63" i="5"/>
  <c r="AZ7" i="5"/>
  <c r="G52" i="5"/>
  <c r="AS16" i="5"/>
  <c r="P45" i="5"/>
  <c r="BM34" i="5"/>
  <c r="AH65" i="5"/>
  <c r="AL33" i="5"/>
  <c r="AG38" i="5"/>
  <c r="BC20" i="5"/>
  <c r="T55" i="5"/>
  <c r="AF45" i="5"/>
  <c r="AS32" i="5"/>
  <c r="BB27" i="5"/>
  <c r="AA54" i="5"/>
  <c r="BM30" i="5"/>
  <c r="AD65" i="5"/>
  <c r="G48" i="5"/>
  <c r="AV7" i="5"/>
  <c r="L61" i="5"/>
  <c r="BI12" i="5"/>
  <c r="Y18" i="5"/>
  <c r="R25" i="5"/>
  <c r="BF25" i="5"/>
  <c r="Y58" i="5"/>
  <c r="BA32" i="5"/>
  <c r="AF53" i="5"/>
  <c r="Z37" i="5"/>
  <c r="AK26" i="5"/>
  <c r="Z11" i="5"/>
  <c r="K26" i="5"/>
  <c r="AL17" i="5"/>
  <c r="Q38" i="5"/>
  <c r="X29" i="5"/>
  <c r="AC24" i="5"/>
  <c r="AH11" i="5"/>
  <c r="K34" i="5"/>
  <c r="U6" i="5"/>
  <c r="F21" i="5"/>
  <c r="AZ41" i="5"/>
  <c r="AO52" i="5"/>
  <c r="AX5" i="5"/>
  <c r="E50" i="5"/>
  <c r="AR33" i="5"/>
  <c r="AG44" i="5"/>
  <c r="BI58" i="5"/>
  <c r="BF61" i="5"/>
  <c r="BN23" i="5"/>
  <c r="W66" i="5"/>
  <c r="BG26" i="5"/>
  <c r="Z59" i="5"/>
  <c r="BC16" i="5"/>
  <c r="P55" i="5"/>
  <c r="AS36" i="5"/>
  <c r="AJ45" i="5"/>
  <c r="BF7" i="5"/>
  <c r="G58" i="5"/>
  <c r="BJ25" i="5"/>
  <c r="Y62" i="5"/>
  <c r="AX25" i="5"/>
  <c r="Y50" i="5"/>
  <c r="AH45" i="5"/>
  <c r="AS34" i="5"/>
  <c r="AY8" i="5"/>
  <c r="H51" i="5"/>
  <c r="W20" i="5"/>
  <c r="T23" i="5"/>
  <c r="AL11" i="5"/>
  <c r="K38" i="5"/>
  <c r="AJ13" i="5"/>
  <c r="M36" i="5"/>
  <c r="AK10" i="5"/>
  <c r="J37" i="5"/>
  <c r="AO16" i="5"/>
  <c r="P41" i="5"/>
  <c r="BH23" i="5"/>
  <c r="W60" i="5"/>
  <c r="BN41" i="5"/>
  <c r="AO66" i="5"/>
  <c r="BC8" i="5"/>
  <c r="H55" i="5"/>
  <c r="AU66" i="5"/>
  <c r="BN47" i="5"/>
  <c r="AN29" i="5"/>
  <c r="AC40" i="5"/>
  <c r="AR29" i="5"/>
  <c r="AC44" i="5"/>
  <c r="X55" i="5"/>
  <c r="BC24" i="5"/>
  <c r="BC14" i="5"/>
  <c r="N55" i="5"/>
  <c r="AD31" i="5"/>
  <c r="AE30" i="5"/>
  <c r="BB5" i="5"/>
  <c r="E54" i="5"/>
  <c r="BH3" i="5"/>
  <c r="C60" i="5"/>
  <c r="AQ6" i="5"/>
  <c r="F43" i="5"/>
  <c r="AD15" i="5"/>
  <c r="O30" i="5"/>
  <c r="BE54" i="5"/>
  <c r="BB57" i="5"/>
  <c r="BD17" i="5"/>
  <c r="Q56" i="5"/>
  <c r="AP9" i="5"/>
  <c r="I42" i="5"/>
  <c r="BH33" i="5"/>
  <c r="AG60" i="5"/>
  <c r="U30" i="5"/>
  <c r="AD21" i="5"/>
  <c r="T5" i="5"/>
  <c r="E20" i="5"/>
  <c r="AG14" i="5"/>
  <c r="N33" i="5"/>
  <c r="BM18" i="5"/>
  <c r="R65" i="5"/>
  <c r="AK24" i="5"/>
  <c r="X37" i="5"/>
  <c r="AT43" i="5"/>
  <c r="AQ46" i="5"/>
  <c r="AU34" i="5"/>
  <c r="AH47" i="5"/>
  <c r="BC18" i="5"/>
  <c r="R55" i="5"/>
  <c r="V9" i="5"/>
  <c r="I22" i="5"/>
  <c r="BL33" i="5"/>
  <c r="AG64" i="5"/>
  <c r="BA44" i="5"/>
  <c r="AR53" i="5"/>
  <c r="K18" i="5"/>
  <c r="R11" i="5"/>
  <c r="AG46" i="5"/>
  <c r="AT33" i="5"/>
  <c r="AW28" i="5"/>
  <c r="AB49" i="5"/>
  <c r="AX11" i="5"/>
  <c r="K50" i="5"/>
  <c r="C66" i="5"/>
  <c r="BN3" i="5"/>
  <c r="T31" i="5"/>
  <c r="AE20" i="5"/>
  <c r="BC38" i="5"/>
  <c r="AL55" i="5"/>
  <c r="V45" i="5"/>
  <c r="AS22" i="5"/>
  <c r="BA28" i="5"/>
  <c r="AB53" i="5"/>
  <c r="AL57" i="5"/>
  <c r="BE38" i="5"/>
  <c r="AQ60" i="5"/>
  <c r="BH43" i="5"/>
  <c r="AW4" i="5"/>
  <c r="D49" i="5"/>
  <c r="BL23" i="5"/>
  <c r="W64" i="5"/>
  <c r="AK12" i="5"/>
  <c r="L37" i="5"/>
  <c r="C28" i="5"/>
  <c r="AB3" i="5"/>
  <c r="V19" i="5"/>
  <c r="S22" i="5"/>
  <c r="D47" i="5"/>
  <c r="AU4" i="5"/>
  <c r="AM36" i="5"/>
  <c r="AJ39" i="5"/>
  <c r="AU50" i="5"/>
  <c r="AX47" i="5"/>
  <c r="BG6" i="5"/>
  <c r="F59" i="5"/>
  <c r="AQ40" i="5"/>
  <c r="AN43" i="5"/>
  <c r="S50" i="5"/>
  <c r="AX19" i="5"/>
  <c r="AS42" i="5"/>
  <c r="AP45" i="5"/>
  <c r="AZ63" i="5"/>
  <c r="BK52" i="5"/>
  <c r="C12" i="5"/>
  <c r="L3" i="5"/>
  <c r="F57" i="5"/>
  <c r="BE6" i="5"/>
  <c r="Y54" i="5"/>
  <c r="BB25" i="5"/>
  <c r="AB13" i="5"/>
  <c r="M28" i="5"/>
  <c r="AR9" i="5"/>
  <c r="I44" i="5"/>
  <c r="C34" i="5"/>
  <c r="AH3" i="5"/>
  <c r="BL5" i="5"/>
  <c r="E64" i="5"/>
  <c r="BI44" i="5"/>
  <c r="AR61" i="5"/>
  <c r="U14" i="5"/>
  <c r="N21" i="5"/>
  <c r="K10" i="5"/>
  <c r="J11" i="5"/>
  <c r="AV29" i="5"/>
  <c r="AC48" i="5"/>
  <c r="AR17" i="5"/>
  <c r="Q44" i="5"/>
  <c r="AI10" i="5"/>
  <c r="J35" i="5"/>
  <c r="AN17" i="5"/>
  <c r="Q40" i="5"/>
  <c r="O28" i="5"/>
  <c r="AB15" i="5"/>
  <c r="AI26" i="5"/>
  <c r="Z35" i="5"/>
  <c r="AR7" i="5"/>
  <c r="G44" i="5"/>
  <c r="BG18" i="5"/>
  <c r="R59" i="5"/>
  <c r="T41" i="5"/>
  <c r="AO20" i="5"/>
  <c r="G30" i="5"/>
  <c r="AD7" i="5"/>
  <c r="BK10" i="5"/>
  <c r="J63" i="5"/>
  <c r="AQ38" i="5"/>
  <c r="AL43" i="5"/>
  <c r="AV19" i="5"/>
  <c r="S48" i="5"/>
  <c r="AM10" i="5"/>
  <c r="J39" i="5"/>
  <c r="BB13" i="5"/>
  <c r="M54" i="5"/>
  <c r="K66" i="5"/>
  <c r="BN11" i="5"/>
  <c r="P17" i="5"/>
  <c r="Q16" i="5"/>
  <c r="BF39" i="5"/>
  <c r="AM58" i="5"/>
  <c r="W26" i="5"/>
  <c r="Z23" i="5"/>
  <c r="AC46" i="5"/>
  <c r="AT29" i="5"/>
  <c r="AM18" i="5"/>
  <c r="R39" i="5"/>
  <c r="BM32" i="5"/>
  <c r="AF65" i="5"/>
  <c r="BE50" i="5"/>
  <c r="AX57" i="5"/>
  <c r="AU22" i="5"/>
  <c r="V47" i="5"/>
  <c r="W8" i="5"/>
  <c r="H23" i="5"/>
  <c r="AI46" i="5"/>
  <c r="AT35" i="5"/>
  <c r="AM12" i="5"/>
  <c r="L39" i="5"/>
  <c r="C30" i="5"/>
  <c r="AD3" i="5"/>
  <c r="BK48" i="5"/>
  <c r="AV63" i="5"/>
  <c r="C22" i="5"/>
  <c r="V3" i="5"/>
  <c r="AR23" i="5"/>
  <c r="W44" i="5"/>
  <c r="K24" i="5"/>
  <c r="X11" i="5"/>
  <c r="AU20" i="5"/>
  <c r="T47" i="5"/>
  <c r="BJ3" i="5"/>
  <c r="C62" i="5"/>
  <c r="BM54" i="5"/>
  <c r="BB65" i="5"/>
  <c r="BK50" i="5"/>
  <c r="AX63" i="5"/>
  <c r="T3" i="5"/>
  <c r="C20" i="5"/>
  <c r="AO6" i="5"/>
  <c r="F41" i="5"/>
  <c r="BE56" i="5"/>
  <c r="BD57" i="5"/>
  <c r="AN9" i="5"/>
  <c r="I40" i="5"/>
  <c r="AZ23" i="5"/>
  <c r="W52" i="5"/>
  <c r="BF53" i="5"/>
  <c r="BA58" i="5"/>
  <c r="AR55" i="5"/>
  <c r="BC44" i="5"/>
  <c r="BL45" i="5"/>
  <c r="AS64" i="5"/>
  <c r="AG50" i="5"/>
  <c r="AX33" i="5"/>
  <c r="AI44" i="5"/>
  <c r="AR35" i="5"/>
  <c r="AE48" i="5"/>
  <c r="AV31" i="5"/>
  <c r="AZ21" i="5"/>
  <c r="U52" i="5"/>
  <c r="C26" i="5"/>
  <c r="Z3" i="5"/>
  <c r="AM14" i="5"/>
  <c r="N39" i="5"/>
  <c r="AH17" i="5"/>
  <c r="Q34" i="5"/>
  <c r="K46" i="5"/>
  <c r="AT11" i="5"/>
  <c r="Q6" i="5"/>
  <c r="F17" i="5"/>
  <c r="X31" i="5"/>
  <c r="AE24" i="5"/>
  <c r="AN49" i="5"/>
  <c r="AW40" i="5"/>
  <c r="N31" i="5"/>
  <c r="AE14" i="5"/>
  <c r="AZ27" i="5"/>
  <c r="AA52" i="5"/>
  <c r="BD33" i="5"/>
  <c r="AG56" i="5"/>
  <c r="E58" i="5"/>
  <c r="BF5" i="5"/>
  <c r="AB9" i="5"/>
  <c r="I28" i="5"/>
  <c r="AM32" i="5"/>
  <c r="AF39" i="5"/>
  <c r="BG16" i="5"/>
  <c r="P59" i="5"/>
  <c r="BK62" i="5"/>
  <c r="BJ63" i="5"/>
  <c r="D55" i="5"/>
  <c r="BC4" i="5"/>
  <c r="Z29" i="5"/>
  <c r="AC26" i="5"/>
  <c r="C58" i="5"/>
  <c r="BF3" i="5"/>
  <c r="AV25" i="5"/>
  <c r="Y48" i="5"/>
  <c r="Q20" i="5"/>
  <c r="T17" i="5"/>
  <c r="BD43" i="5"/>
  <c r="AQ56" i="5"/>
  <c r="F11" i="5"/>
  <c r="K6" i="5"/>
  <c r="BM44" i="5"/>
  <c r="AR65" i="5"/>
  <c r="AZ25" i="5"/>
  <c r="Y52" i="5"/>
  <c r="BH45" i="5"/>
  <c r="AS60" i="5"/>
  <c r="BM60" i="5"/>
  <c r="BH65" i="5"/>
  <c r="BL55" i="5"/>
  <c r="BC64" i="5"/>
  <c r="BL37" i="5"/>
  <c r="AK64" i="5"/>
  <c r="AQ14" i="5"/>
  <c r="N43" i="5"/>
  <c r="AM38" i="5"/>
  <c r="AL39" i="5"/>
  <c r="W30" i="5"/>
  <c r="AD23" i="5"/>
  <c r="AO12" i="5"/>
  <c r="L41" i="5"/>
  <c r="BK24" i="5"/>
  <c r="X63" i="5"/>
  <c r="BA38" i="5"/>
  <c r="AL53" i="5"/>
  <c r="AD17" i="5"/>
  <c r="Q30" i="5"/>
  <c r="BL11" i="5"/>
  <c r="K64" i="5"/>
  <c r="AZ43" i="5"/>
  <c r="AQ52" i="5"/>
  <c r="AA46" i="5"/>
  <c r="AT27" i="5"/>
  <c r="BA18" i="5"/>
  <c r="R53" i="5"/>
  <c r="AD45" i="5"/>
  <c r="AS30" i="5"/>
  <c r="BE64" i="5"/>
  <c r="BL57" i="5"/>
  <c r="BF17" i="5"/>
  <c r="Q58" i="5"/>
  <c r="AG22" i="5"/>
  <c r="V33" i="5"/>
  <c r="AB55" i="5"/>
  <c r="BC28" i="5"/>
  <c r="AA14" i="5"/>
  <c r="N27" i="5"/>
  <c r="BA24" i="5"/>
  <c r="X53" i="5"/>
  <c r="W62" i="5"/>
  <c r="BJ23" i="5"/>
  <c r="K40" i="5"/>
  <c r="AN11" i="5"/>
  <c r="W28" i="5"/>
  <c r="AB23" i="5"/>
  <c r="S62" i="5"/>
  <c r="BJ19" i="5"/>
  <c r="BM48" i="5"/>
  <c r="AV65" i="5"/>
  <c r="BL21" i="5"/>
  <c r="U64" i="5"/>
  <c r="AY64" i="5"/>
  <c r="BL51" i="5"/>
  <c r="Y66" i="5"/>
  <c r="BN25" i="5"/>
  <c r="BG12" i="5"/>
  <c r="L59" i="5"/>
  <c r="AK36" i="5"/>
  <c r="AJ37" i="5"/>
  <c r="J17" i="5"/>
  <c r="Q10" i="5"/>
  <c r="U46" i="5"/>
  <c r="AT21" i="5"/>
  <c r="AA18" i="5"/>
  <c r="R27" i="5"/>
  <c r="AU28" i="5"/>
  <c r="AB47" i="5"/>
  <c r="C40" i="5"/>
  <c r="AN3" i="5"/>
  <c r="U24" i="5"/>
  <c r="X21" i="5"/>
  <c r="AX65" i="5"/>
  <c r="BM50" i="5"/>
  <c r="BJ31" i="5"/>
  <c r="AE62" i="5"/>
  <c r="AT47" i="5"/>
  <c r="AU46" i="5"/>
  <c r="H13" i="5"/>
  <c r="M8" i="5"/>
  <c r="BI52" i="5"/>
  <c r="AZ61" i="5"/>
  <c r="P33" i="5"/>
  <c r="AG16" i="5"/>
  <c r="Q60" i="5"/>
  <c r="BH17" i="5"/>
  <c r="AO44" i="5"/>
  <c r="AR41" i="5"/>
  <c r="AD35" i="5"/>
  <c r="AI30" i="5"/>
  <c r="AR13" i="5"/>
  <c r="M44" i="5"/>
  <c r="AZ59" i="5"/>
  <c r="BG52" i="5"/>
  <c r="AK6" i="5"/>
  <c r="F37" i="5"/>
  <c r="BI26" i="5"/>
  <c r="Z61" i="5"/>
  <c r="AJ59" i="5"/>
  <c r="BG36" i="5"/>
  <c r="C36" i="5"/>
  <c r="AJ3" i="5"/>
  <c r="BA12" i="5"/>
  <c r="L53" i="5"/>
  <c r="R47" i="5"/>
  <c r="AU18" i="5"/>
  <c r="G16" i="5"/>
  <c r="P7" i="5"/>
  <c r="BN45" i="5"/>
  <c r="AS66" i="5"/>
  <c r="AD47" i="5"/>
  <c r="AU30" i="5"/>
  <c r="AB35" i="5"/>
  <c r="AI28" i="5"/>
  <c r="M18" i="5"/>
  <c r="R13" i="5"/>
  <c r="BH27" i="5"/>
  <c r="AA60" i="5"/>
  <c r="W58" i="5"/>
  <c r="BF23" i="5"/>
  <c r="D43" i="5"/>
  <c r="AQ4" i="5"/>
  <c r="BC30" i="5"/>
  <c r="AD55" i="5"/>
  <c r="AF49" i="5"/>
  <c r="AW32" i="5"/>
  <c r="BL39" i="5"/>
  <c r="AM64" i="5"/>
  <c r="AA6" i="5"/>
  <c r="F27" i="5"/>
  <c r="AV41" i="5"/>
  <c r="AO48" i="5"/>
  <c r="AB37" i="5"/>
  <c r="AK28" i="5"/>
  <c r="BI22" i="5"/>
  <c r="V61" i="5"/>
  <c r="BA10" i="5"/>
  <c r="J53" i="5"/>
  <c r="O12" i="5"/>
  <c r="L15" i="5"/>
  <c r="AZ11" i="5"/>
  <c r="K52" i="5"/>
  <c r="AV55" i="5"/>
  <c r="BC48" i="5"/>
  <c r="AA8" i="5"/>
  <c r="H27" i="5"/>
  <c r="BI32" i="5"/>
  <c r="AF61" i="5"/>
  <c r="AV33" i="5"/>
  <c r="AG48" i="5"/>
  <c r="BI56" i="5"/>
  <c r="BD61" i="5"/>
  <c r="BF43" i="5"/>
  <c r="AQ58" i="5"/>
  <c r="BH37" i="5"/>
  <c r="AK60" i="5"/>
  <c r="AC8" i="5"/>
  <c r="H29" i="5"/>
  <c r="BN49" i="5"/>
  <c r="AW66" i="5"/>
  <c r="AZ9" i="5"/>
  <c r="I52" i="5"/>
  <c r="AU40" i="5"/>
  <c r="AN47" i="5"/>
  <c r="AU10" i="5"/>
  <c r="J47" i="5"/>
  <c r="BM16" i="5"/>
  <c r="P65" i="5"/>
  <c r="AV5" i="5"/>
  <c r="E48" i="5"/>
  <c r="AP21" i="5"/>
  <c r="U42" i="5"/>
  <c r="O66" i="5"/>
  <c r="BN15" i="5"/>
  <c r="T7" i="5"/>
  <c r="G20" i="5"/>
  <c r="AV59" i="5"/>
  <c r="BG48" i="5"/>
  <c r="W14" i="5"/>
  <c r="N23" i="5"/>
  <c r="AB11" i="5"/>
  <c r="K28" i="5"/>
  <c r="BM22" i="5"/>
  <c r="V65" i="5"/>
  <c r="BN21" i="5"/>
  <c r="U66" i="5"/>
  <c r="Z9" i="5"/>
  <c r="I26" i="5"/>
  <c r="AJ9" i="5"/>
  <c r="I36" i="5"/>
  <c r="BD15" i="5"/>
  <c r="O56" i="5"/>
  <c r="BG34" i="5"/>
  <c r="AH59" i="5"/>
  <c r="AO30" i="5"/>
  <c r="AD41" i="5"/>
  <c r="AT31" i="5"/>
  <c r="AE46" i="5"/>
  <c r="E52" i="5"/>
  <c r="AZ5" i="5"/>
  <c r="O4" i="5"/>
  <c r="D15" i="5"/>
  <c r="BE14" i="5"/>
  <c r="N57" i="5"/>
  <c r="BI34" i="5"/>
  <c r="AH61" i="5"/>
  <c r="E22" i="5"/>
  <c r="V5" i="5"/>
  <c r="BJ49" i="5"/>
  <c r="AW62" i="5"/>
  <c r="AS12" i="5"/>
  <c r="L45" i="5"/>
  <c r="AM6" i="5"/>
  <c r="F39" i="5"/>
  <c r="AJ25" i="5"/>
  <c r="Y36" i="5"/>
  <c r="S14" i="5"/>
  <c r="N19" i="5"/>
  <c r="BL9" i="5"/>
  <c r="I64" i="5"/>
  <c r="AK22" i="5"/>
  <c r="V37" i="5"/>
  <c r="BG54" i="5"/>
  <c r="BB59" i="5"/>
  <c r="AP27" i="5"/>
  <c r="AA42" i="5"/>
  <c r="BM26" i="5"/>
  <c r="Z65" i="5"/>
  <c r="AF27" i="5"/>
  <c r="AA32" i="5"/>
  <c r="AD13" i="5"/>
  <c r="M30" i="5"/>
  <c r="AN37" i="5"/>
  <c r="AK40" i="5"/>
  <c r="BJ53" i="5"/>
  <c r="BA62" i="5"/>
  <c r="BN51" i="5"/>
  <c r="AY66" i="5"/>
  <c r="AY12" i="5"/>
  <c r="L51" i="5"/>
  <c r="AB21" i="5"/>
  <c r="U28" i="5"/>
  <c r="AX27" i="5"/>
  <c r="AA50" i="5"/>
  <c r="BD13" i="5"/>
  <c r="M56" i="5"/>
  <c r="AD49" i="5"/>
  <c r="AW30" i="5"/>
  <c r="C54" i="5"/>
  <c r="BB3" i="5"/>
  <c r="BE52" i="5"/>
  <c r="AZ57" i="5"/>
  <c r="C6" i="5"/>
  <c r="F3" i="5"/>
  <c r="AP23" i="5"/>
  <c r="W42" i="5"/>
  <c r="BJ13" i="5"/>
  <c r="M62" i="5"/>
  <c r="AW58" i="5"/>
  <c r="BF49" i="5"/>
  <c r="AZ45" i="5"/>
  <c r="AS52" i="5"/>
  <c r="BD65" i="5"/>
  <c r="BM56" i="5"/>
  <c r="AJ31" i="5"/>
  <c r="AE36" i="5"/>
  <c r="AF11" i="5"/>
  <c r="K32" i="5"/>
  <c r="C32" i="5"/>
  <c r="AF3" i="5"/>
  <c r="AD43" i="5"/>
  <c r="AQ30" i="5"/>
  <c r="W18" i="5"/>
  <c r="R23" i="5"/>
  <c r="BH41" i="5"/>
  <c r="AO60" i="5"/>
  <c r="AN55" i="5"/>
  <c r="BC40" i="5"/>
  <c r="AS8" i="5"/>
  <c r="H45" i="5"/>
  <c r="N17" i="5"/>
  <c r="Q14" i="5"/>
  <c r="BI18" i="5"/>
  <c r="R61" i="5"/>
  <c r="AM20" i="5"/>
  <c r="T39" i="5"/>
  <c r="AO38" i="5"/>
  <c r="AL41" i="5"/>
  <c r="Q52" i="5"/>
  <c r="AZ17" i="5"/>
  <c r="AG32" i="5"/>
  <c r="AF33" i="5"/>
  <c r="AX35" i="5"/>
  <c r="AI50" i="5"/>
  <c r="AC42" i="5"/>
  <c r="AP29" i="5"/>
  <c r="BC50" i="5"/>
  <c r="AX55" i="5"/>
  <c r="AR21" i="5"/>
  <c r="U44" i="5"/>
  <c r="F19" i="5"/>
  <c r="S6" i="5"/>
  <c r="AR19" i="5"/>
  <c r="S44" i="5"/>
  <c r="BJ65" i="5"/>
  <c r="BM62" i="5"/>
  <c r="AZ55" i="5"/>
  <c r="BC52" i="5"/>
  <c r="AR15" i="5"/>
  <c r="O44" i="5"/>
  <c r="AG20" i="5"/>
  <c r="T33" i="5"/>
  <c r="AL15" i="5"/>
  <c r="O38" i="5"/>
  <c r="BC42" i="5"/>
  <c r="AP55" i="5"/>
  <c r="AJ61" i="5"/>
  <c r="BI36" i="5"/>
  <c r="BK6" i="5"/>
  <c r="F63" i="5"/>
  <c r="BA48" i="5"/>
  <c r="AV53" i="5"/>
  <c r="L9" i="5"/>
  <c r="I12" i="5"/>
  <c r="AH5" i="5"/>
  <c r="E34" i="5"/>
  <c r="AW42" i="5"/>
  <c r="AP49" i="5"/>
  <c r="K44" i="5"/>
  <c r="AR11" i="5"/>
  <c r="AM30" i="5"/>
  <c r="AD39" i="5"/>
  <c r="BL3" i="5"/>
  <c r="C64" i="5"/>
  <c r="Z21" i="5"/>
  <c r="U26" i="5"/>
  <c r="N9" i="5"/>
  <c r="I14" i="5"/>
  <c r="AI8" i="5"/>
  <c r="H35" i="5"/>
  <c r="X9" i="5"/>
  <c r="I24" i="5"/>
  <c r="BL53" i="5"/>
  <c r="BA64" i="5"/>
  <c r="AY48" i="5"/>
  <c r="AV51" i="5"/>
  <c r="Q4" i="5"/>
  <c r="D17" i="5"/>
  <c r="BN57" i="5"/>
  <c r="BE66" i="5"/>
  <c r="AD51" i="5"/>
  <c r="AY30" i="5"/>
  <c r="AC58" i="5"/>
  <c r="BF29" i="5"/>
  <c r="BN35" i="5"/>
  <c r="AI66" i="5"/>
  <c r="AJ29" i="5"/>
  <c r="AC36" i="5"/>
  <c r="AO10" i="5"/>
  <c r="J41" i="5"/>
  <c r="BG58" i="5"/>
  <c r="BF59" i="5"/>
  <c r="AU62" i="5"/>
  <c r="BJ47" i="5"/>
  <c r="AI38" i="5"/>
  <c r="AL35" i="5"/>
  <c r="Q22" i="5"/>
  <c r="V17" i="5"/>
  <c r="AW24" i="5"/>
  <c r="X49" i="5"/>
  <c r="AH35" i="5"/>
  <c r="AI34" i="5"/>
  <c r="F35" i="5"/>
  <c r="AI6" i="5"/>
  <c r="C14" i="5"/>
  <c r="N3" i="5"/>
  <c r="BM24" i="5"/>
  <c r="X65" i="5"/>
  <c r="BM14" i="5"/>
  <c r="N65" i="5"/>
  <c r="AS24" i="5"/>
  <c r="X45" i="5"/>
  <c r="BI6" i="5"/>
  <c r="F61" i="5"/>
  <c r="BK16" i="5"/>
  <c r="P63" i="5"/>
  <c r="BF19" i="5"/>
  <c r="S58" i="5"/>
  <c r="H31" i="5"/>
  <c r="AE8" i="5"/>
  <c r="L13" i="5"/>
  <c r="M12" i="5"/>
  <c r="P23" i="5"/>
  <c r="W16" i="5"/>
  <c r="AY62" i="5"/>
  <c r="BJ51" i="5"/>
  <c r="AP25" i="5"/>
  <c r="Y42" i="5"/>
  <c r="K62" i="5"/>
  <c r="BJ11" i="5"/>
  <c r="BF41" i="5"/>
  <c r="AO58" i="5"/>
  <c r="AI24" i="5"/>
  <c r="X35" i="5"/>
  <c r="BB17" i="5"/>
  <c r="Q54" i="5"/>
  <c r="AN57" i="5"/>
  <c r="BE40" i="5"/>
  <c r="BH5" i="5"/>
  <c r="E60" i="5"/>
  <c r="BK42" i="5"/>
  <c r="AP63" i="5"/>
  <c r="BE34" i="5"/>
  <c r="AH57" i="5"/>
  <c r="AV35" i="5"/>
  <c r="AI48" i="5"/>
  <c r="BM42" i="5"/>
  <c r="AP65" i="5"/>
  <c r="BK22" i="5"/>
  <c r="V63" i="5"/>
  <c r="AK16" i="5"/>
  <c r="P37" i="5"/>
  <c r="BJ29" i="5"/>
  <c r="AC62" i="5"/>
  <c r="AE54" i="5"/>
  <c r="BB31" i="5"/>
  <c r="O20" i="5"/>
  <c r="T15" i="5"/>
  <c r="BD41" i="5"/>
  <c r="AO56" i="5"/>
  <c r="AE6" i="5"/>
  <c r="F31" i="5"/>
  <c r="AP7" i="5"/>
  <c r="G42" i="5"/>
  <c r="BG44" i="5"/>
  <c r="AR59" i="5"/>
  <c r="D11" i="5"/>
  <c r="K4" i="5"/>
  <c r="Z51" i="5"/>
  <c r="AY26" i="5"/>
  <c r="D19" i="5"/>
  <c r="S4" i="5"/>
  <c r="N47" i="5"/>
  <c r="AU14" i="5"/>
  <c r="AF15" i="5"/>
  <c r="O32" i="5"/>
  <c r="V57" i="5"/>
  <c r="BE22" i="5"/>
  <c r="AT23" i="5"/>
  <c r="W46" i="5"/>
  <c r="AF23" i="5"/>
  <c r="W32" i="5"/>
  <c r="AI18" i="5"/>
  <c r="R35" i="5"/>
  <c r="AN31" i="5"/>
  <c r="AE40" i="5"/>
  <c r="AU58" i="5"/>
  <c r="BF47" i="5"/>
  <c r="AD19" i="5"/>
  <c r="S30" i="5"/>
  <c r="C38" i="5"/>
  <c r="AL3" i="5"/>
  <c r="AM16" i="5"/>
  <c r="P39" i="5"/>
  <c r="C46" i="5"/>
  <c r="AT3" i="5"/>
  <c r="BH21" i="5"/>
  <c r="U60" i="5"/>
  <c r="BI40" i="5"/>
  <c r="AN61" i="5"/>
  <c r="AV21" i="5"/>
  <c r="U48" i="5"/>
  <c r="BB37" i="5"/>
  <c r="AK54" i="5"/>
  <c r="D65" i="5"/>
  <c r="BM4" i="5"/>
  <c r="AU24" i="5"/>
  <c r="X47" i="5"/>
  <c r="AS54" i="5"/>
  <c r="BB45" i="5"/>
  <c r="BK32" i="5"/>
  <c r="AF63" i="5"/>
  <c r="M10" i="5"/>
  <c r="J13" i="5"/>
  <c r="R31" i="5"/>
  <c r="AE18" i="5"/>
  <c r="BC66" i="5"/>
  <c r="BN55" i="5"/>
  <c r="Z13" i="5"/>
  <c r="M26" i="5"/>
  <c r="BJ41" i="5"/>
  <c r="AO62" i="5"/>
  <c r="BK66" i="5"/>
  <c r="BN63" i="5"/>
  <c r="AI22" i="5"/>
  <c r="V35" i="5"/>
  <c r="AY40" i="5"/>
  <c r="AN51" i="5"/>
  <c r="AU38" i="5"/>
  <c r="AL47" i="5"/>
  <c r="Q36" i="5"/>
  <c r="AJ17" i="5"/>
  <c r="BC32" i="5"/>
  <c r="AF55" i="5"/>
  <c r="O8" i="5"/>
  <c r="H15" i="5"/>
  <c r="AU16" i="5"/>
  <c r="P47" i="5"/>
  <c r="BD11" i="5"/>
  <c r="K56" i="5"/>
  <c r="BJ39" i="5"/>
  <c r="AM62" i="5"/>
  <c r="BD51" i="5"/>
  <c r="AY56" i="5"/>
  <c r="W10" i="5"/>
  <c r="J23" i="5"/>
  <c r="BA26" i="5"/>
  <c r="Z53" i="5"/>
  <c r="AK62" i="5"/>
  <c r="BJ37" i="5"/>
  <c r="AM54" i="5"/>
  <c r="BB39" i="5"/>
  <c r="M52" i="5"/>
  <c r="AZ13" i="5"/>
  <c r="AI40" i="5"/>
  <c r="AN35" i="5"/>
  <c r="BD9" i="5"/>
  <c r="I56" i="5"/>
  <c r="BH11" i="5"/>
  <c r="K60" i="5"/>
  <c r="BE32" i="5"/>
  <c r="AF57" i="5"/>
  <c r="O14" i="5"/>
  <c r="N15" i="5"/>
  <c r="AJ43" i="5"/>
  <c r="AQ36" i="5"/>
  <c r="AW48" i="5"/>
  <c r="AV49" i="5"/>
  <c r="AB63" i="5"/>
  <c r="BK28" i="5"/>
  <c r="AL5" i="5"/>
  <c r="E38" i="5"/>
  <c r="BD45" i="5"/>
  <c r="AS56" i="5"/>
  <c r="AV39" i="5"/>
  <c r="AM48" i="5"/>
  <c r="AF41" i="5"/>
  <c r="AO32" i="5"/>
  <c r="I6" i="5"/>
  <c r="F9" i="5"/>
  <c r="AM24" i="5"/>
  <c r="X39" i="5"/>
  <c r="BB19" i="5"/>
  <c r="S54" i="5"/>
  <c r="BH39" i="5"/>
  <c r="AM60" i="5"/>
  <c r="BK30" i="5"/>
  <c r="AD63" i="5"/>
  <c r="K8" i="5"/>
  <c r="H11" i="5"/>
  <c r="AJ19" i="5"/>
  <c r="S36" i="5"/>
  <c r="AV23" i="5"/>
  <c r="W48" i="5"/>
  <c r="AY22" i="5"/>
  <c r="V51" i="5"/>
  <c r="AK44" i="5"/>
  <c r="AR37" i="5"/>
  <c r="R9" i="5"/>
  <c r="I18" i="5"/>
  <c r="AL21" i="5"/>
  <c r="U38" i="5"/>
  <c r="U8" i="5"/>
  <c r="H21" i="5"/>
  <c r="Y6" i="5"/>
  <c r="F25" i="5"/>
  <c r="BJ9" i="5"/>
  <c r="I62" i="5"/>
  <c r="C16" i="5"/>
  <c r="P3" i="5"/>
  <c r="R5" i="5"/>
  <c r="E18" i="5"/>
  <c r="AU56" i="5"/>
  <c r="BD47" i="5"/>
  <c r="BN29" i="5"/>
  <c r="AC66" i="5"/>
  <c r="AW18" i="5"/>
  <c r="L49" i="5"/>
  <c r="AW12" i="5"/>
  <c r="BH9" i="5"/>
  <c r="I60" i="5"/>
  <c r="AX23" i="5"/>
  <c r="W50" i="5"/>
  <c r="AQ12" i="5"/>
  <c r="L43" i="5"/>
  <c r="AY20" i="5"/>
  <c r="T51" i="5"/>
  <c r="AW26" i="5"/>
  <c r="Z49" i="5"/>
  <c r="BF11" i="5"/>
  <c r="K58" i="5"/>
  <c r="M32" i="5"/>
  <c r="AF13" i="5"/>
  <c r="AZ31" i="5"/>
  <c r="AE52" i="5"/>
  <c r="Z31" i="5"/>
  <c r="AE26" i="5"/>
  <c r="AC12" i="5"/>
  <c r="L29" i="5"/>
  <c r="U16" i="5"/>
  <c r="P21" i="5"/>
  <c r="AP33" i="5"/>
  <c r="AG42" i="5"/>
  <c r="U12" i="5"/>
  <c r="L21" i="5"/>
  <c r="BC46" i="5"/>
  <c r="AT55" i="5"/>
  <c r="BB43" i="5"/>
  <c r="AQ54" i="5"/>
  <c r="AE12" i="5"/>
  <c r="L31" i="5"/>
  <c r="BH63" i="5"/>
  <c r="BK60" i="5"/>
  <c r="D33" i="5"/>
  <c r="AG4" i="5"/>
  <c r="BE30" i="5"/>
  <c r="AD57" i="5"/>
  <c r="AF7" i="5"/>
  <c r="G32" i="5"/>
  <c r="AL9" i="5"/>
  <c r="I38" i="5"/>
  <c r="BF9" i="5"/>
  <c r="I58" i="5"/>
  <c r="T13" i="5"/>
  <c r="M20" i="5"/>
  <c r="BK12" i="5"/>
  <c r="L63" i="5"/>
  <c r="BE48" i="5"/>
  <c r="AV57" i="5"/>
  <c r="AN25" i="5"/>
  <c r="Y40" i="5"/>
  <c r="AC6" i="5"/>
  <c r="F29" i="5"/>
  <c r="AZ49" i="5"/>
  <c r="AW52" i="5"/>
  <c r="Y24" i="5"/>
  <c r="X25" i="5"/>
  <c r="AG40" i="5"/>
  <c r="AN33" i="5"/>
  <c r="AN27" i="5"/>
  <c r="AA40" i="5"/>
  <c r="U20" i="5"/>
  <c r="T21" i="5"/>
  <c r="AA38" i="5"/>
  <c r="AL27" i="5"/>
  <c r="C56" i="5"/>
  <c r="BD3" i="5"/>
  <c r="AN13" i="5"/>
  <c r="M40" i="5"/>
  <c r="AK50" i="5"/>
  <c r="AX37" i="5"/>
  <c r="D31" i="5"/>
  <c r="AE4" i="5"/>
  <c r="AO14" i="5"/>
  <c r="N41" i="5"/>
  <c r="AX31" i="5"/>
  <c r="AE50" i="5"/>
  <c r="AI12" i="5"/>
  <c r="L35" i="5"/>
  <c r="AV9" i="5"/>
  <c r="I48" i="5"/>
  <c r="M4" i="5"/>
  <c r="D13" i="5"/>
  <c r="T35" i="5"/>
  <c r="AI20" i="5"/>
  <c r="AC18" i="5"/>
  <c r="R29" i="5"/>
  <c r="S56" i="5"/>
  <c r="BD19" i="5"/>
  <c r="AO34" i="5"/>
  <c r="AH41" i="5"/>
  <c r="M48" i="5"/>
  <c r="AV13" i="5"/>
  <c r="P9" i="5"/>
  <c r="I16" i="5"/>
  <c r="D35" i="5"/>
  <c r="AI4" i="5"/>
  <c r="J5" i="5"/>
  <c r="E10" i="5"/>
  <c r="AX15" i="5"/>
  <c r="O50" i="5"/>
  <c r="G66" i="5"/>
  <c r="BN7" i="5"/>
  <c r="AB51" i="5"/>
  <c r="AY28" i="5"/>
  <c r="O34" i="5"/>
  <c r="AH15" i="5"/>
  <c r="BG14" i="5"/>
  <c r="N59" i="5"/>
  <c r="AU8" i="5"/>
  <c r="H47" i="5"/>
  <c r="AL19" i="5"/>
  <c r="S38" i="5"/>
  <c r="AW36" i="5"/>
  <c r="AJ49" i="5"/>
  <c r="Z47" i="5"/>
  <c r="AU26" i="5"/>
  <c r="D7" i="5"/>
  <c r="G4" i="5"/>
  <c r="BN17" i="5"/>
  <c r="Q66" i="5"/>
  <c r="BK46" i="5"/>
  <c r="AT63" i="5"/>
  <c r="AQ28" i="5"/>
  <c r="AB43" i="5"/>
  <c r="AU36" i="5"/>
  <c r="AJ47" i="5"/>
  <c r="BJ7" i="5"/>
  <c r="G62" i="5"/>
  <c r="V13" i="5"/>
  <c r="M22" i="5"/>
  <c r="AL13" i="5"/>
  <c r="M38" i="5"/>
  <c r="BJ45" i="5"/>
  <c r="AS62" i="5"/>
  <c r="J51" i="5"/>
  <c r="AY10" i="5"/>
  <c r="AW6" i="5"/>
  <c r="F49" i="5"/>
  <c r="BB11" i="5"/>
  <c r="K54" i="5"/>
  <c r="BN13" i="5"/>
  <c r="M66" i="5"/>
  <c r="H53" i="5"/>
  <c r="BA8" i="5"/>
  <c r="AB31" i="5"/>
  <c r="AE28" i="5"/>
  <c r="AM34" i="5"/>
  <c r="AH39" i="5"/>
  <c r="E36" i="5"/>
  <c r="AJ5" i="5"/>
  <c r="D37" i="5"/>
  <c r="AK4" i="5"/>
  <c r="BA30" i="5"/>
  <c r="AD53" i="5"/>
  <c r="U36" i="5"/>
  <c r="AJ21" i="5"/>
  <c r="AZ33" i="5"/>
  <c r="AG52" i="5"/>
  <c r="R15" i="5"/>
  <c r="O18" i="5"/>
  <c r="BN61" i="5"/>
  <c r="BI66" i="5"/>
  <c r="AK32" i="5"/>
  <c r="AF37" i="5"/>
  <c r="BJ59" i="5"/>
  <c r="BG62" i="5"/>
  <c r="BL31" i="5"/>
  <c r="AE64" i="5"/>
  <c r="AL45" i="5"/>
  <c r="AS38" i="5"/>
  <c r="U18" i="5"/>
  <c r="R21" i="5"/>
  <c r="AT41" i="5"/>
  <c r="AO46" i="5"/>
  <c r="AA44" i="5"/>
  <c r="AR27" i="5"/>
  <c r="BK54" i="5"/>
  <c r="BB63" i="5"/>
  <c r="AP17" i="5"/>
  <c r="Q42" i="5"/>
  <c r="BK34" i="5"/>
  <c r="AH63" i="5"/>
  <c r="C24" i="5"/>
  <c r="X3" i="5"/>
  <c r="Y16" i="5"/>
  <c r="P25" i="5"/>
  <c r="R43" i="5"/>
  <c r="AQ18" i="5"/>
  <c r="BL25" i="5"/>
  <c r="Y64" i="5"/>
  <c r="AK48" i="5"/>
  <c r="AV37" i="5"/>
  <c r="AM28" i="5"/>
  <c r="AB39" i="5"/>
  <c r="BB49" i="5"/>
  <c r="AW54" i="5"/>
  <c r="BJ43" i="5"/>
  <c r="AQ62" i="5"/>
  <c r="AY24" i="5"/>
  <c r="X51" i="5"/>
  <c r="P5" i="5"/>
  <c r="E16" i="5"/>
  <c r="AP31" i="5"/>
  <c r="AE42" i="5"/>
  <c r="BA52" i="5"/>
  <c r="AZ53" i="5"/>
  <c r="AU6" i="5"/>
  <c r="F47" i="5"/>
  <c r="BC58" i="5"/>
  <c r="BF55" i="5"/>
  <c r="BN31" i="5"/>
  <c r="AE66" i="5"/>
  <c r="AG30" i="5"/>
  <c r="AD33" i="5"/>
  <c r="X27" i="5"/>
  <c r="AA24" i="5"/>
  <c r="U32" i="5"/>
  <c r="AF21" i="5"/>
  <c r="AT13" i="5"/>
  <c r="M46" i="5"/>
  <c r="AO18" i="5"/>
  <c r="R41" i="5"/>
  <c r="AN7" i="5"/>
  <c r="G40" i="5"/>
  <c r="P51" i="5"/>
  <c r="AY16" i="5"/>
  <c r="BI64" i="5"/>
  <c r="BL61" i="5"/>
  <c r="H59" i="5"/>
  <c r="BG8" i="5"/>
  <c r="P61" i="5"/>
  <c r="BI16" i="5"/>
  <c r="AB29" i="5"/>
  <c r="AC28" i="5"/>
  <c r="AX53" i="5"/>
  <c r="BA50" i="5"/>
  <c r="AC4" i="5"/>
  <c r="D29" i="5"/>
  <c r="S16" i="5"/>
  <c r="P19" i="5"/>
  <c r="X5" i="5"/>
  <c r="E24" i="5"/>
  <c r="AC50" i="5"/>
  <c r="AX29" i="5"/>
  <c r="AT9" i="5"/>
  <c r="I46" i="5"/>
  <c r="E14" i="5"/>
  <c r="N5" i="5"/>
  <c r="E8" i="5"/>
  <c r="H5" i="5"/>
  <c r="AY54" i="5"/>
  <c r="BB51" i="5"/>
  <c r="AH7" i="5"/>
  <c r="G34" i="5"/>
  <c r="AK8" i="5"/>
  <c r="H37" i="5"/>
  <c r="BF33" i="5"/>
  <c r="AG58" i="5"/>
  <c r="AZ39" i="5"/>
  <c r="AM52" i="5"/>
  <c r="AQ8" i="5"/>
  <c r="H43" i="5"/>
  <c r="Z27" i="5"/>
  <c r="AA26" i="5"/>
  <c r="BG40" i="5"/>
  <c r="AN59" i="5"/>
  <c r="AI52" i="5"/>
  <c r="AZ35" i="5"/>
  <c r="AD5" i="5"/>
  <c r="E30" i="5"/>
  <c r="T25" i="5"/>
  <c r="Y20" i="5"/>
  <c r="BD23" i="5"/>
  <c r="W56" i="5"/>
  <c r="AY36" i="5"/>
  <c r="AJ51" i="5"/>
  <c r="BA34" i="5"/>
  <c r="AH53" i="5"/>
  <c r="AR49" i="5"/>
  <c r="AW44" i="5"/>
  <c r="G14" i="5"/>
  <c r="N7" i="5"/>
  <c r="AF51" i="5"/>
  <c r="AY32" i="5"/>
  <c r="AC60" i="5"/>
  <c r="BH29" i="5"/>
  <c r="AY42" i="5"/>
  <c r="AP51" i="5"/>
  <c r="BH57" i="5"/>
  <c r="BE60" i="5"/>
  <c r="AC14" i="5"/>
  <c r="N29" i="5"/>
  <c r="AM42" i="5"/>
  <c r="AP39" i="5"/>
  <c r="S34" i="5"/>
  <c r="AH19" i="5"/>
  <c r="AN19" i="5"/>
  <c r="S40" i="5"/>
  <c r="AZ3" i="5"/>
  <c r="C52" i="5"/>
  <c r="AJ63" i="5"/>
  <c r="BK36" i="5"/>
  <c r="AN53" i="5"/>
  <c r="BA40" i="5"/>
  <c r="AX59" i="5"/>
  <c r="BG50" i="5"/>
  <c r="AG8" i="5"/>
  <c r="H33" i="5"/>
  <c r="BG4" i="5"/>
  <c r="D59" i="5"/>
  <c r="AT7" i="5"/>
  <c r="G46" i="5"/>
  <c r="S24" i="5"/>
  <c r="X19" i="5"/>
  <c r="AH21" i="5"/>
  <c r="U34" i="5"/>
  <c r="BL29" i="5"/>
  <c r="AC64" i="5"/>
  <c r="AX41" i="5"/>
  <c r="AO50" i="5"/>
  <c r="AY38" i="5"/>
  <c r="AL51" i="5"/>
  <c r="AY44" i="5"/>
  <c r="AR51" i="5"/>
  <c r="D5" i="5"/>
  <c r="E4" i="5"/>
  <c r="M16" i="5"/>
  <c r="P13" i="5"/>
  <c r="D57" i="5"/>
  <c r="BE4" i="5"/>
  <c r="AK18" i="5"/>
  <c r="R37" i="5"/>
  <c r="AG66" i="5"/>
  <c r="BN33" i="5"/>
  <c r="BF37" i="5"/>
  <c r="AK58" i="5"/>
  <c r="AW14" i="5"/>
  <c r="N49" i="5"/>
  <c r="AF19" i="5"/>
  <c r="S32" i="5"/>
  <c r="AV11" i="5"/>
  <c r="K48" i="5"/>
  <c r="BM10" i="5"/>
  <c r="J65" i="5"/>
  <c r="AK34" i="5"/>
  <c r="AH37" i="5"/>
  <c r="BE42" i="5"/>
  <c r="AP57" i="5"/>
  <c r="Q24" i="5"/>
  <c r="X17" i="5"/>
  <c r="E56" i="5"/>
  <c r="BD5" i="5"/>
  <c r="AL29" i="5"/>
  <c r="AC38" i="5"/>
  <c r="AC10" i="5"/>
  <c r="J29" i="5"/>
  <c r="BH15" i="5"/>
  <c r="O60" i="5"/>
  <c r="D25" i="5"/>
  <c r="Y4" i="5"/>
  <c r="AQ32" i="5"/>
  <c r="AF43" i="5"/>
  <c r="AX21" i="5"/>
  <c r="U50" i="5"/>
  <c r="X15" i="5"/>
  <c r="O24" i="5"/>
  <c r="BM8" i="5"/>
  <c r="H65" i="5"/>
  <c r="D21" i="5"/>
  <c r="U4" i="5"/>
  <c r="BL15" i="5"/>
  <c r="O64" i="5"/>
  <c r="AP13" i="5"/>
  <c r="M42" i="5"/>
  <c r="BE24" i="5"/>
  <c r="X57" i="5"/>
  <c r="AJ53" i="5"/>
  <c r="BA36" i="5"/>
  <c r="AS44" i="5"/>
  <c r="AR45" i="5"/>
  <c r="P27" i="5"/>
  <c r="AA16" i="5"/>
  <c r="T9" i="5"/>
  <c r="I20" i="5"/>
  <c r="G56" i="5"/>
  <c r="BD7" i="5"/>
  <c r="BL13" i="5"/>
  <c r="M64" i="5"/>
  <c r="BL47" i="5"/>
  <c r="AU64" i="5"/>
  <c r="Z45" i="5"/>
  <c r="AS26" i="5"/>
  <c r="AC34" i="5"/>
  <c r="AH29" i="5"/>
  <c r="BG46" i="5"/>
  <c r="AT59" i="5"/>
  <c r="BK14" i="5"/>
  <c r="N63" i="5"/>
  <c r="W22" i="5"/>
  <c r="V23" i="5"/>
  <c r="AI64" i="5"/>
  <c r="BL35" i="5"/>
  <c r="AH23" i="5"/>
  <c r="W34" i="5"/>
  <c r="BA22" i="5"/>
  <c r="V53" i="5"/>
  <c r="N32" i="2"/>
  <c r="O32" i="2"/>
  <c r="M32" i="2"/>
  <c r="R49" i="5"/>
  <c r="BJ5" i="5"/>
  <c r="E62" i="5"/>
  <c r="I4" i="5"/>
  <c r="D9" i="5"/>
  <c r="AS28" i="5"/>
  <c r="AB45" i="5"/>
  <c r="BG20" i="5"/>
  <c r="T59" i="5"/>
  <c r="L17" i="5"/>
  <c r="Q12" i="5"/>
  <c r="AR63" i="5"/>
  <c r="BK44" i="5"/>
  <c r="AL23" i="5"/>
  <c r="W38" i="5"/>
  <c r="AH25" i="5"/>
  <c r="Y34" i="5"/>
  <c r="U7" i="2"/>
  <c r="V7" i="2"/>
  <c r="W7" i="2"/>
  <c r="AP47" i="5"/>
  <c r="AU42" i="5"/>
  <c r="AI32" i="5"/>
  <c r="AF35" i="5"/>
  <c r="BD39" i="5"/>
  <c r="AM56" i="5"/>
  <c r="AZ15" i="5"/>
  <c r="O52" i="5"/>
  <c r="BF13" i="5"/>
  <c r="M58" i="5"/>
  <c r="V11" i="2"/>
  <c r="W11" i="2"/>
  <c r="U11" i="2"/>
  <c r="V25" i="5"/>
  <c r="Y22" i="5"/>
  <c r="AO8" i="5"/>
  <c r="H41" i="5"/>
  <c r="AX9" i="5"/>
  <c r="I50" i="5"/>
  <c r="D32" i="2"/>
  <c r="AS4" i="5"/>
  <c r="D45" i="5"/>
  <c r="T29" i="5"/>
  <c r="AC20" i="5"/>
  <c r="N61" i="5"/>
  <c r="BI14" i="5"/>
  <c r="D3" i="2"/>
  <c r="V14" i="2"/>
  <c r="W14" i="2"/>
  <c r="U14" i="2"/>
  <c r="O4" i="2"/>
  <c r="N4" i="2"/>
  <c r="M4" i="2"/>
  <c r="W18" i="2"/>
  <c r="V18" i="2"/>
  <c r="U18" i="2"/>
  <c r="AN23" i="5"/>
  <c r="W40" i="5"/>
  <c r="BN53" i="5"/>
  <c r="BA66" i="5"/>
  <c r="AI56" i="5"/>
  <c r="BD35" i="5"/>
  <c r="AU32" i="5"/>
  <c r="AF47" i="5"/>
  <c r="N22" i="2"/>
  <c r="O22" i="2"/>
  <c r="M22" i="2"/>
  <c r="N15" i="2"/>
  <c r="W8" i="2"/>
  <c r="U8" i="2"/>
  <c r="O15" i="2"/>
  <c r="M15" i="2"/>
  <c r="V8" i="2"/>
  <c r="W27" i="2"/>
  <c r="T27" i="2"/>
  <c r="U27" i="2"/>
  <c r="V27" i="2"/>
  <c r="S66" i="1"/>
  <c r="T7" i="2"/>
  <c r="AA62" i="5"/>
  <c r="BJ27" i="5"/>
  <c r="E66" i="5"/>
  <c r="BN5" i="5"/>
  <c r="S62" i="1"/>
  <c r="T11" i="2"/>
  <c r="S77" i="1"/>
  <c r="L32" i="2"/>
  <c r="AH23" i="8"/>
  <c r="S58" i="1"/>
  <c r="T14" i="2"/>
  <c r="S57" i="1"/>
  <c r="L4" i="2"/>
  <c r="T3" i="2"/>
  <c r="V3" i="2"/>
  <c r="W3" i="2"/>
  <c r="U3" i="2"/>
  <c r="T18" i="2"/>
  <c r="U9" i="2"/>
  <c r="V9" i="2"/>
  <c r="O28" i="2"/>
  <c r="W9" i="2"/>
  <c r="N28" i="2"/>
  <c r="T9" i="2"/>
  <c r="S53" i="1"/>
  <c r="L22" i="2"/>
  <c r="S52" i="1"/>
  <c r="T8" i="2"/>
  <c r="L15" i="2"/>
  <c r="N10" i="2"/>
  <c r="O10" i="2"/>
  <c r="AY60" i="5"/>
  <c r="BH51" i="5"/>
  <c r="U56" i="5"/>
  <c r="BD21" i="5"/>
  <c r="BE16" i="5"/>
  <c r="P57" i="5"/>
  <c r="AA30" i="5"/>
  <c r="AD27" i="5"/>
  <c r="L33" i="5"/>
  <c r="AG12" i="5"/>
  <c r="AR25" i="5"/>
  <c r="Y44" i="5"/>
  <c r="U24" i="2"/>
  <c r="T24" i="2"/>
  <c r="V24" i="2"/>
  <c r="W24" i="2"/>
  <c r="S46" i="1"/>
  <c r="M21" i="2"/>
  <c r="W13" i="2"/>
  <c r="L21" i="2"/>
  <c r="T13" i="2"/>
  <c r="U13" i="2"/>
  <c r="O21" i="2"/>
  <c r="V13" i="2"/>
  <c r="N21" i="2"/>
  <c r="AP35" i="5"/>
  <c r="AI42" i="5"/>
  <c r="F53" i="5"/>
  <c r="BA6" i="5"/>
  <c r="AL63" i="5"/>
  <c r="BK38" i="5"/>
  <c r="D30" i="2"/>
  <c r="Q8" i="5"/>
  <c r="H17" i="5"/>
  <c r="S45" i="1"/>
  <c r="N5" i="2"/>
  <c r="W19" i="2"/>
  <c r="O5" i="2"/>
  <c r="L5" i="2"/>
  <c r="V19" i="2"/>
  <c r="M5" i="2"/>
  <c r="S44" i="1"/>
  <c r="N6" i="2"/>
  <c r="M6" i="2"/>
  <c r="O6" i="2"/>
  <c r="L6" i="2"/>
  <c r="S43" i="1"/>
  <c r="W29" i="2"/>
  <c r="O26" i="2"/>
  <c r="M26" i="2"/>
  <c r="V29" i="2"/>
  <c r="U29" i="2"/>
  <c r="T29" i="2"/>
  <c r="L26" i="2"/>
  <c r="N26" i="2"/>
  <c r="M31" i="2"/>
  <c r="L31" i="2"/>
  <c r="O31" i="2"/>
  <c r="N31" i="2"/>
  <c r="S41" i="1"/>
  <c r="O2" i="2"/>
  <c r="N2" i="2"/>
  <c r="BM40" i="5"/>
  <c r="AN65" i="5"/>
  <c r="D9" i="2"/>
  <c r="U25" i="2"/>
  <c r="T25" i="2"/>
  <c r="W25" i="2"/>
  <c r="V25" i="2"/>
  <c r="BI48" i="5"/>
  <c r="AV61" i="5"/>
  <c r="BG24" i="5"/>
  <c r="X59" i="5"/>
  <c r="S18" i="5"/>
  <c r="R19" i="5"/>
  <c r="D18" i="2"/>
  <c r="C50" i="5"/>
  <c r="AX3" i="5"/>
  <c r="AD11" i="5"/>
  <c r="K30" i="5"/>
  <c r="BE36" i="5"/>
  <c r="AJ57" i="5"/>
  <c r="D26" i="2"/>
  <c r="N16" i="2"/>
  <c r="M16" i="2"/>
  <c r="L16" i="2"/>
  <c r="U22" i="2"/>
  <c r="W22" i="2"/>
  <c r="O16" i="2"/>
  <c r="V22" i="2"/>
  <c r="T22" i="2"/>
  <c r="V20" i="2"/>
  <c r="T20" i="2"/>
  <c r="U20" i="2"/>
  <c r="W20" i="2"/>
  <c r="BM38" i="5"/>
  <c r="AL65" i="5"/>
  <c r="M9" i="2"/>
  <c r="O9" i="2"/>
  <c r="V23" i="2"/>
  <c r="L9" i="2"/>
  <c r="T23" i="2"/>
  <c r="N9" i="2"/>
  <c r="U23" i="2"/>
  <c r="W23" i="2"/>
  <c r="AO26" i="5"/>
  <c r="Z41" i="5"/>
  <c r="AM46" i="5"/>
  <c r="AT39" i="5"/>
  <c r="AG54" i="5"/>
  <c r="BB33" i="5"/>
  <c r="AQ10" i="5"/>
  <c r="D4" i="2"/>
  <c r="J43" i="5"/>
  <c r="D13" i="2"/>
  <c r="AE16" i="5"/>
  <c r="P31" i="5"/>
  <c r="G6" i="5"/>
  <c r="F7" i="5"/>
  <c r="S26" i="1"/>
  <c r="L30" i="2"/>
  <c r="M30" i="2"/>
  <c r="O30" i="2"/>
  <c r="N30" i="2"/>
  <c r="S33" i="1"/>
  <c r="V17" i="2"/>
  <c r="U17" i="2"/>
  <c r="W17" i="2"/>
  <c r="T17" i="2"/>
  <c r="BC22" i="5"/>
  <c r="V55" i="5"/>
  <c r="S27" i="1"/>
  <c r="L19" i="2"/>
  <c r="O19" i="2"/>
  <c r="N19" i="2"/>
  <c r="M19" i="2"/>
  <c r="AY14" i="5"/>
  <c r="N51" i="5"/>
  <c r="D12" i="2"/>
  <c r="W33" i="2"/>
  <c r="N12" i="2"/>
  <c r="M12" i="2"/>
  <c r="L12" i="2"/>
  <c r="O12" i="2"/>
  <c r="U33" i="2"/>
  <c r="T33" i="2"/>
  <c r="V33" i="2"/>
  <c r="BL27" i="5"/>
  <c r="AA64" i="5"/>
  <c r="D6" i="2"/>
  <c r="M27" i="2"/>
  <c r="N27" i="2"/>
  <c r="BH13" i="5"/>
  <c r="D16" i="2"/>
  <c r="M60" i="5"/>
  <c r="BI50" i="5"/>
  <c r="AX61" i="5"/>
  <c r="C48" i="5"/>
  <c r="AV3" i="5"/>
  <c r="D15" i="2"/>
  <c r="D14" i="2"/>
  <c r="U32" i="2"/>
  <c r="L3" i="2"/>
  <c r="M3" i="2"/>
  <c r="T32" i="2"/>
  <c r="V32" i="2"/>
  <c r="W32" i="2"/>
  <c r="N3" i="2"/>
  <c r="O3" i="2"/>
  <c r="S23" i="1"/>
  <c r="W15" i="2"/>
  <c r="U15" i="2"/>
  <c r="M14" i="2"/>
  <c r="N14" i="2"/>
  <c r="O14" i="2"/>
  <c r="T15" i="2"/>
  <c r="L14" i="2"/>
  <c r="V15" i="2"/>
  <c r="BE18" i="5"/>
  <c r="R57" i="5"/>
  <c r="D11" i="2"/>
  <c r="S21" i="1"/>
  <c r="M33" i="2"/>
  <c r="V16" i="2"/>
  <c r="W16" i="2"/>
  <c r="N33" i="2"/>
  <c r="U16" i="2"/>
  <c r="T16" i="2"/>
  <c r="L11" i="2"/>
  <c r="O11" i="2"/>
  <c r="W2" i="2"/>
  <c r="T2" i="2"/>
  <c r="U2" i="2"/>
  <c r="M11" i="2"/>
  <c r="V2" i="2"/>
  <c r="N11" i="2"/>
  <c r="BL19" i="5"/>
  <c r="S64" i="5"/>
  <c r="W6" i="2"/>
  <c r="O18" i="2"/>
  <c r="N18" i="2"/>
  <c r="M18" i="2"/>
  <c r="T6" i="2"/>
  <c r="U6" i="2"/>
  <c r="V6" i="2"/>
  <c r="L18" i="2"/>
  <c r="AJ11" i="5"/>
  <c r="K36" i="5"/>
  <c r="N24" i="2"/>
  <c r="M24" i="2"/>
  <c r="U26" i="2"/>
  <c r="L24" i="2"/>
  <c r="O24" i="2"/>
  <c r="V26" i="2"/>
  <c r="T26" i="2"/>
  <c r="W26" i="2"/>
  <c r="AG10" i="5"/>
  <c r="J33" i="5"/>
  <c r="W4" i="2"/>
  <c r="T4" i="2"/>
  <c r="U4" i="2"/>
  <c r="O7" i="2"/>
  <c r="M7" i="2"/>
  <c r="L7" i="2"/>
  <c r="N7" i="2"/>
  <c r="V4" i="2"/>
  <c r="AQ26" i="5"/>
  <c r="Z43" i="5"/>
  <c r="M13" i="2"/>
  <c r="W21" i="2"/>
  <c r="N13" i="2"/>
  <c r="O13" i="2"/>
  <c r="V21" i="2"/>
  <c r="L13" i="2"/>
  <c r="AO54" i="5"/>
  <c r="D29" i="2"/>
  <c r="D31" i="2"/>
  <c r="BB41" i="5"/>
  <c r="N29" i="2"/>
  <c r="T31" i="2"/>
  <c r="L29" i="2"/>
  <c r="W31" i="2"/>
  <c r="O29" i="2"/>
  <c r="U31" i="2"/>
  <c r="M29" i="2"/>
  <c r="V31" i="2"/>
  <c r="AE22" i="5"/>
  <c r="V31" i="5"/>
  <c r="D5" i="2"/>
  <c r="W5" i="2"/>
  <c r="L8" i="2"/>
  <c r="U5" i="2"/>
  <c r="T5" i="2"/>
  <c r="O8" i="2"/>
  <c r="V5" i="2"/>
  <c r="N8" i="2"/>
  <c r="M8" i="2"/>
  <c r="AM8" i="5"/>
  <c r="H39" i="5"/>
  <c r="N25" i="2"/>
  <c r="V30" i="2"/>
  <c r="O25" i="2"/>
  <c r="U30" i="2"/>
  <c r="T30" i="2"/>
  <c r="W30" i="2"/>
  <c r="M25" i="2"/>
  <c r="L25" i="2"/>
  <c r="O6" i="5"/>
  <c r="F15" i="5"/>
  <c r="D28" i="2"/>
  <c r="O17" i="2"/>
  <c r="W28" i="2"/>
  <c r="V28" i="2"/>
  <c r="U28" i="2"/>
  <c r="T28" i="2"/>
  <c r="L17" i="2"/>
  <c r="N17" i="2"/>
  <c r="M17" i="2"/>
  <c r="AK46" i="5"/>
  <c r="AT37" i="5"/>
  <c r="O23" i="2"/>
  <c r="N23" i="2"/>
  <c r="T10" i="2"/>
  <c r="V10" i="2"/>
  <c r="W10" i="2"/>
  <c r="M23" i="2"/>
  <c r="U10" i="2"/>
  <c r="L23" i="2"/>
  <c r="AC52" i="5"/>
  <c r="AZ29" i="5"/>
  <c r="S17" i="1"/>
  <c r="W12" i="2"/>
  <c r="U12" i="2"/>
  <c r="L20" i="2"/>
  <c r="N20" i="2"/>
  <c r="O20" i="2"/>
  <c r="M20" i="2"/>
  <c r="V12" i="2"/>
  <c r="T12" i="2"/>
  <c r="AF55" i="10"/>
  <c r="BC32" i="10"/>
  <c r="AF55" i="8"/>
  <c r="BC32" i="8"/>
  <c r="U58" i="4"/>
  <c r="BF21" i="4"/>
  <c r="BD41" i="10"/>
  <c r="BD41" i="8"/>
  <c r="AO56" i="8"/>
  <c r="AO56" i="10"/>
  <c r="AK22" i="4"/>
  <c r="V37" i="4"/>
  <c r="AN61" i="10"/>
  <c r="BI40" i="10"/>
  <c r="BI40" i="8"/>
  <c r="AN61" i="8"/>
  <c r="AO34" i="4"/>
  <c r="AH41" i="4"/>
  <c r="AB11" i="10"/>
  <c r="AB11" i="8"/>
  <c r="K28" i="8"/>
  <c r="K28" i="10"/>
  <c r="AU36" i="4"/>
  <c r="AJ47" i="4"/>
  <c r="G18" i="10"/>
  <c r="R7" i="10"/>
  <c r="G18" i="8"/>
  <c r="R7" i="8"/>
  <c r="W62" i="4"/>
  <c r="BJ23" i="4"/>
  <c r="V25" i="10"/>
  <c r="V25" i="8"/>
  <c r="Y22" i="8"/>
  <c r="Y22" i="10"/>
  <c r="AC18" i="4"/>
  <c r="R29" i="4"/>
  <c r="AH57" i="10"/>
  <c r="BE34" i="10"/>
  <c r="AH57" i="8"/>
  <c r="BE34" i="8"/>
  <c r="BL25" i="4"/>
  <c r="Y64" i="4"/>
  <c r="AD63" i="10"/>
  <c r="BK30" i="10"/>
  <c r="BK30" i="8"/>
  <c r="AD63" i="8"/>
  <c r="BA52" i="4"/>
  <c r="AZ53" i="4"/>
  <c r="W36" i="10"/>
  <c r="AJ23" i="10"/>
  <c r="AJ23" i="8"/>
  <c r="W36" i="8"/>
  <c r="J19" i="4"/>
  <c r="S10" i="4"/>
  <c r="L9" i="10"/>
  <c r="I12" i="10"/>
  <c r="I12" i="8"/>
  <c r="L9" i="8"/>
  <c r="AV27" i="4"/>
  <c r="AA48" i="4"/>
  <c r="BM36" i="10"/>
  <c r="AJ65" i="10"/>
  <c r="BM36" i="8"/>
  <c r="AJ65" i="8"/>
  <c r="BC10" i="4"/>
  <c r="J55" i="4"/>
  <c r="D51" i="10"/>
  <c r="D51" i="8"/>
  <c r="AY4" i="10"/>
  <c r="AY4" i="8"/>
  <c r="D5" i="4"/>
  <c r="E4" i="4"/>
  <c r="AJ53" i="10"/>
  <c r="BA36" i="10"/>
  <c r="BA36" i="8"/>
  <c r="AJ53" i="8"/>
  <c r="J7" i="4"/>
  <c r="G10" i="4"/>
  <c r="S34" i="10"/>
  <c r="AH19" i="10"/>
  <c r="AH19" i="8"/>
  <c r="S34" i="8"/>
  <c r="BL15" i="4"/>
  <c r="O64" i="4"/>
  <c r="P29" i="10"/>
  <c r="AC16" i="10"/>
  <c r="BH51" i="4"/>
  <c r="AC16" i="8"/>
  <c r="P29" i="8"/>
  <c r="AY60" i="4"/>
  <c r="AT59" i="10"/>
  <c r="BG46" i="10"/>
  <c r="BG46" i="8"/>
  <c r="AT59" i="8"/>
  <c r="AR31" i="4"/>
  <c r="AE44" i="4"/>
  <c r="AP61" i="10"/>
  <c r="BI42" i="10"/>
  <c r="BI42" i="8"/>
  <c r="AP61" i="8"/>
  <c r="AL41" i="4"/>
  <c r="AO38" i="4"/>
  <c r="R49" i="10"/>
  <c r="AW18" i="10"/>
  <c r="AW18" i="8"/>
  <c r="R49" i="8"/>
  <c r="BM62" i="4"/>
  <c r="BJ65" i="4"/>
  <c r="I16" i="10"/>
  <c r="P9" i="10"/>
  <c r="P9" i="8"/>
  <c r="I16" i="8"/>
  <c r="BH27" i="4"/>
  <c r="AA60" i="4"/>
  <c r="BA10" i="10"/>
  <c r="J53" i="10"/>
  <c r="BA10" i="8"/>
  <c r="J53" i="8"/>
  <c r="AB7" i="4"/>
  <c r="G28" i="4"/>
  <c r="AI38" i="10"/>
  <c r="AL35" i="10"/>
  <c r="AL35" i="8"/>
  <c r="AI38" i="8"/>
  <c r="I12" i="4"/>
  <c r="L9" i="4"/>
  <c r="AF47" i="10"/>
  <c r="AU32" i="10"/>
  <c r="AU32" i="8"/>
  <c r="AF47" i="8"/>
  <c r="BF45" i="4"/>
  <c r="AS58" i="4"/>
  <c r="P27" i="10"/>
  <c r="AA16" i="10"/>
  <c r="AA16" i="8"/>
  <c r="P27" i="8"/>
  <c r="BH35" i="4"/>
  <c r="AI60" i="4"/>
  <c r="C34" i="10"/>
  <c r="AH3" i="10"/>
  <c r="C34" i="8"/>
  <c r="AH3" i="8"/>
  <c r="BL3" i="4"/>
  <c r="C64" i="4"/>
  <c r="AC4" i="10"/>
  <c r="D29" i="10"/>
  <c r="D29" i="8"/>
  <c r="AC4" i="8"/>
  <c r="D51" i="4"/>
  <c r="AY4" i="4"/>
  <c r="AW52" i="10"/>
  <c r="AZ49" i="10"/>
  <c r="AW52" i="8"/>
  <c r="AZ49" i="8"/>
  <c r="BM6" i="4"/>
  <c r="F65" i="4"/>
  <c r="L29" i="10"/>
  <c r="AC12" i="10"/>
  <c r="AC12" i="8"/>
  <c r="L29" i="8"/>
  <c r="AV51" i="4"/>
  <c r="AY48" i="4"/>
  <c r="AY58" i="10"/>
  <c r="BF51" i="10"/>
  <c r="BF51" i="8"/>
  <c r="AY58" i="8"/>
  <c r="E26" i="4"/>
  <c r="Z5" i="4"/>
  <c r="AG58" i="10"/>
  <c r="BF33" i="10"/>
  <c r="AG58" i="8"/>
  <c r="BF33" i="8"/>
  <c r="BK26" i="4"/>
  <c r="Z63" i="4"/>
  <c r="AZ27" i="10"/>
  <c r="AA52" i="10"/>
  <c r="AZ27" i="8"/>
  <c r="AA52" i="8"/>
  <c r="F35" i="4"/>
  <c r="AI6" i="4"/>
  <c r="AB61" i="10"/>
  <c r="BI28" i="10"/>
  <c r="BI28" i="8"/>
  <c r="AB61" i="8"/>
  <c r="AJ41" i="4"/>
  <c r="AO36" i="4"/>
  <c r="AR11" i="10"/>
  <c r="K44" i="10"/>
  <c r="AR11" i="8"/>
  <c r="K44" i="8"/>
  <c r="AN47" i="4"/>
  <c r="AU40" i="4"/>
  <c r="O66" i="10"/>
  <c r="BN15" i="10"/>
  <c r="BN15" i="8"/>
  <c r="O66" i="8"/>
  <c r="BG56" i="4"/>
  <c r="BD59" i="4"/>
  <c r="C46" i="10"/>
  <c r="C46" i="8"/>
  <c r="AT3" i="8"/>
  <c r="AT3" i="10"/>
  <c r="C44" i="4"/>
  <c r="AR3" i="4"/>
  <c r="AA6" i="10"/>
  <c r="F27" i="10"/>
  <c r="F27" i="8"/>
  <c r="AA6" i="8"/>
  <c r="AI14" i="4"/>
  <c r="N35" i="4"/>
  <c r="L27" i="10"/>
  <c r="AA12" i="10"/>
  <c r="AA12" i="8"/>
  <c r="L27" i="8"/>
  <c r="AV35" i="4"/>
  <c r="AI48" i="4"/>
  <c r="AK62" i="10"/>
  <c r="BJ37" i="10"/>
  <c r="BJ37" i="8"/>
  <c r="AK62" i="8"/>
  <c r="AP11" i="4"/>
  <c r="K42" i="4"/>
  <c r="BI66" i="10"/>
  <c r="BN61" i="10"/>
  <c r="BI66" i="8"/>
  <c r="BN61" i="8"/>
  <c r="BD41" i="4"/>
  <c r="AO56" i="4"/>
  <c r="J37" i="10"/>
  <c r="AK10" i="10"/>
  <c r="AK10" i="8"/>
  <c r="J37" i="8"/>
  <c r="K28" i="4"/>
  <c r="AB11" i="4"/>
  <c r="AB65" i="10"/>
  <c r="BM28" i="10"/>
  <c r="BM28" i="8"/>
  <c r="AB65" i="8"/>
  <c r="BC36" i="4"/>
  <c r="AJ55" i="4"/>
  <c r="K6" i="10"/>
  <c r="F11" i="10"/>
  <c r="K6" i="8"/>
  <c r="F11" i="8"/>
  <c r="AU14" i="4"/>
  <c r="N47" i="4"/>
  <c r="AW26" i="10"/>
  <c r="Z49" i="10"/>
  <c r="AW26" i="8"/>
  <c r="Z49" i="8"/>
  <c r="BM30" i="4"/>
  <c r="AD65" i="4"/>
  <c r="AF11" i="10"/>
  <c r="K32" i="10"/>
  <c r="K32" i="8"/>
  <c r="AF11" i="8"/>
  <c r="BF47" i="4"/>
  <c r="AU58" i="4"/>
  <c r="AF57" i="10"/>
  <c r="BE32" i="10"/>
  <c r="AF57" i="8"/>
  <c r="BE32" i="8"/>
  <c r="BF25" i="4"/>
  <c r="Y58" i="4"/>
  <c r="I32" i="10"/>
  <c r="AF9" i="10"/>
  <c r="I32" i="8"/>
  <c r="AF9" i="8"/>
  <c r="BF27" i="4"/>
  <c r="AA58" i="4"/>
  <c r="BL41" i="10"/>
  <c r="AO64" i="10"/>
  <c r="BL41" i="8"/>
  <c r="AO64" i="8"/>
  <c r="BB37" i="4"/>
  <c r="AK54" i="4"/>
  <c r="U42" i="10"/>
  <c r="AP21" i="10"/>
  <c r="AP21" i="8"/>
  <c r="U42" i="8"/>
  <c r="AL17" i="4"/>
  <c r="Q38" i="4"/>
  <c r="AP63" i="10"/>
  <c r="BK42" i="10"/>
  <c r="AP63" i="8"/>
  <c r="BK42" i="8"/>
  <c r="BA38" i="4"/>
  <c r="AL53" i="4"/>
  <c r="AD61" i="10"/>
  <c r="BI30" i="10"/>
  <c r="BI30" i="8"/>
  <c r="AD61" i="8"/>
  <c r="AZ41" i="4"/>
  <c r="AO52" i="4"/>
  <c r="K42" i="10"/>
  <c r="AP11" i="10"/>
  <c r="AP11" i="8"/>
  <c r="K42" i="8"/>
  <c r="AL47" i="4"/>
  <c r="AU38" i="4"/>
  <c r="AI34" i="10"/>
  <c r="AI34" i="8"/>
  <c r="AH35" i="8"/>
  <c r="AH35" i="10"/>
  <c r="BL9" i="4"/>
  <c r="I64" i="4"/>
  <c r="AI26" i="8"/>
  <c r="Z35" i="8"/>
  <c r="Z35" i="10"/>
  <c r="AI26" i="10"/>
  <c r="AD9" i="4"/>
  <c r="I30" i="4"/>
  <c r="BJ9" i="10"/>
  <c r="I62" i="10"/>
  <c r="BJ9" i="8"/>
  <c r="I62" i="8"/>
  <c r="AP27" i="4"/>
  <c r="AA42" i="4"/>
  <c r="I66" i="10"/>
  <c r="BN9" i="10"/>
  <c r="BN9" i="8"/>
  <c r="I66" i="8"/>
  <c r="AA56" i="4"/>
  <c r="BD27" i="4"/>
  <c r="AA44" i="10"/>
  <c r="AR27" i="10"/>
  <c r="AR27" i="8"/>
  <c r="AA44" i="8"/>
  <c r="AN35" i="4"/>
  <c r="AI40" i="4"/>
  <c r="AO44" i="10"/>
  <c r="AR41" i="10"/>
  <c r="AO44" i="8"/>
  <c r="AR41" i="8"/>
  <c r="AK40" i="4"/>
  <c r="AN37" i="4"/>
  <c r="AW48" i="10"/>
  <c r="AV49" i="10"/>
  <c r="AV49" i="8"/>
  <c r="AW48" i="8"/>
  <c r="AT65" i="4"/>
  <c r="BM46" i="4"/>
  <c r="AP51" i="10"/>
  <c r="AY42" i="10"/>
  <c r="AP51" i="8"/>
  <c r="AY42" i="8"/>
  <c r="E38" i="4"/>
  <c r="AL5" i="4"/>
  <c r="AL29" i="10"/>
  <c r="AC38" i="10"/>
  <c r="AL29" i="8"/>
  <c r="AC38" i="8"/>
  <c r="AY12" i="4"/>
  <c r="L51" i="4"/>
  <c r="Z47" i="10"/>
  <c r="AU26" i="10"/>
  <c r="Z47" i="8"/>
  <c r="AS30" i="4"/>
  <c r="AD45" i="4"/>
  <c r="AU26" i="8"/>
  <c r="Z33" i="10"/>
  <c r="AG26" i="10"/>
  <c r="Z33" i="8"/>
  <c r="AG26" i="8"/>
  <c r="BK30" i="4"/>
  <c r="AD63" i="4"/>
  <c r="M26" i="10"/>
  <c r="Z13" i="10"/>
  <c r="M26" i="8"/>
  <c r="Z13" i="8"/>
  <c r="AW30" i="4"/>
  <c r="AD49" i="4"/>
  <c r="AL49" i="10"/>
  <c r="AW38" i="10"/>
  <c r="AW38" i="8"/>
  <c r="AL49" i="8"/>
  <c r="L65" i="4"/>
  <c r="BM12" i="4"/>
  <c r="BB55" i="10"/>
  <c r="BC54" i="10"/>
  <c r="BC54" i="8"/>
  <c r="BB55" i="8"/>
  <c r="H21" i="4"/>
  <c r="U8" i="4"/>
  <c r="Y44" i="10"/>
  <c r="AR25" i="10"/>
  <c r="AR25" i="8"/>
  <c r="Y44" i="8"/>
  <c r="AN29" i="4"/>
  <c r="AC40" i="4"/>
  <c r="AO62" i="10"/>
  <c r="BJ41" i="10"/>
  <c r="BJ41" i="8"/>
  <c r="AO62" i="8"/>
  <c r="AK42" i="4"/>
  <c r="AP37" i="4"/>
  <c r="AQ66" i="8"/>
  <c r="BN43" i="8"/>
  <c r="BN43" i="10"/>
  <c r="AQ66" i="10"/>
  <c r="BD39" i="4"/>
  <c r="AM56" i="4"/>
  <c r="AL39" i="10"/>
  <c r="AM38" i="10"/>
  <c r="AM38" i="8"/>
  <c r="AL39" i="8"/>
  <c r="H24" i="2"/>
  <c r="I24" i="2" s="1"/>
  <c r="AG12" i="4"/>
  <c r="L33" i="4"/>
  <c r="AQ48" i="10"/>
  <c r="AV43" i="10"/>
  <c r="AQ48" i="8"/>
  <c r="AV43" i="8"/>
  <c r="AT39" i="4"/>
  <c r="AM46" i="4"/>
  <c r="AO48" i="10"/>
  <c r="AO48" i="8"/>
  <c r="AV41" i="8"/>
  <c r="AV41" i="10"/>
  <c r="H10" i="2"/>
  <c r="I10" i="2" s="1"/>
  <c r="F23" i="2"/>
  <c r="G23" i="2" s="1"/>
  <c r="AT37" i="4"/>
  <c r="AK46" i="4"/>
  <c r="AW18" i="4"/>
  <c r="AV19" i="10"/>
  <c r="S48" i="10"/>
  <c r="AV19" i="8"/>
  <c r="S48" i="8"/>
  <c r="AT15" i="4"/>
  <c r="O46" i="4"/>
  <c r="P37" i="10"/>
  <c r="AK16" i="10"/>
  <c r="AK16" i="8"/>
  <c r="P37" i="8"/>
  <c r="BH11" i="4"/>
  <c r="K60" i="4"/>
  <c r="N45" i="10"/>
  <c r="AS14" i="10"/>
  <c r="AS14" i="8"/>
  <c r="N45" i="8"/>
  <c r="AQ50" i="4"/>
  <c r="AX43" i="4"/>
  <c r="AR65" i="10"/>
  <c r="BM44" i="10"/>
  <c r="AR65" i="8"/>
  <c r="BM44" i="8"/>
  <c r="BC40" i="4"/>
  <c r="AN55" i="4"/>
  <c r="AA36" i="10"/>
  <c r="AJ27" i="10"/>
  <c r="AJ27" i="8"/>
  <c r="AA36" i="8"/>
  <c r="AI10" i="4"/>
  <c r="J35" i="4"/>
  <c r="AY10" i="10"/>
  <c r="J51" i="10"/>
  <c r="AY10" i="8"/>
  <c r="J51" i="8"/>
  <c r="E28" i="4"/>
  <c r="AB5" i="4"/>
  <c r="H37" i="10"/>
  <c r="AK8" i="10"/>
  <c r="AK8" i="8"/>
  <c r="H37" i="8"/>
  <c r="X11" i="4"/>
  <c r="K24" i="4"/>
  <c r="O26" i="10"/>
  <c r="Z15" i="10"/>
  <c r="O26" i="8"/>
  <c r="Z15" i="8"/>
  <c r="BG30" i="4"/>
  <c r="AD59" i="4"/>
  <c r="G40" i="10"/>
  <c r="AN7" i="10"/>
  <c r="AN7" i="8"/>
  <c r="G40" i="8"/>
  <c r="AH23" i="4"/>
  <c r="W34" i="4"/>
  <c r="AI42" i="10"/>
  <c r="AP35" i="10"/>
  <c r="AP35" i="8"/>
  <c r="AI42" i="8"/>
  <c r="I38" i="4"/>
  <c r="AL9" i="4"/>
  <c r="AP59" i="10"/>
  <c r="BG42" i="10"/>
  <c r="BG42" i="8"/>
  <c r="AP59" i="8"/>
  <c r="AL31" i="4"/>
  <c r="AE38" i="4"/>
  <c r="AW66" i="10"/>
  <c r="BN49" i="10"/>
  <c r="AW66" i="8"/>
  <c r="BN49" i="8"/>
  <c r="BM56" i="4"/>
  <c r="BD65" i="4"/>
  <c r="BA50" i="10"/>
  <c r="AX53" i="10"/>
  <c r="BA50" i="8"/>
  <c r="AX53" i="8"/>
  <c r="G66" i="4"/>
  <c r="BN7" i="4"/>
  <c r="O6" i="10"/>
  <c r="F15" i="10"/>
  <c r="O6" i="8"/>
  <c r="F15" i="8"/>
  <c r="N59" i="4"/>
  <c r="BG14" i="4"/>
  <c r="I6" i="10"/>
  <c r="F9" i="10"/>
  <c r="I6" i="8"/>
  <c r="F9" i="8"/>
  <c r="AA14" i="4"/>
  <c r="N27" i="4"/>
  <c r="D53" i="10"/>
  <c r="BA4" i="10"/>
  <c r="D53" i="8"/>
  <c r="BA4" i="8"/>
  <c r="D7" i="4"/>
  <c r="G4" i="4"/>
  <c r="X55" i="10"/>
  <c r="BC24" i="10"/>
  <c r="BC24" i="8"/>
  <c r="X55" i="8"/>
  <c r="U20" i="4"/>
  <c r="T21" i="4"/>
  <c r="AC14" i="8"/>
  <c r="N29" i="10"/>
  <c r="N29" i="8"/>
  <c r="AC14" i="10"/>
  <c r="AY50" i="4"/>
  <c r="AX51" i="4"/>
  <c r="D41" i="10"/>
  <c r="AO4" i="10"/>
  <c r="D41" i="8"/>
  <c r="AO4" i="8"/>
  <c r="AK4" i="4"/>
  <c r="D37" i="4"/>
  <c r="L35" i="10"/>
  <c r="AI12" i="10"/>
  <c r="L35" i="8"/>
  <c r="AI12" i="8"/>
  <c r="AV9" i="4"/>
  <c r="I48" i="4"/>
  <c r="AV61" i="10"/>
  <c r="BI48" i="10"/>
  <c r="AV61" i="8"/>
  <c r="BI48" i="8"/>
  <c r="AO46" i="4"/>
  <c r="AT41" i="4"/>
  <c r="U60" i="10"/>
  <c r="BH21" i="10"/>
  <c r="BH21" i="8"/>
  <c r="U60" i="8"/>
  <c r="AF17" i="4"/>
  <c r="Q32" i="4"/>
  <c r="H3" i="10"/>
  <c r="C8" i="10"/>
  <c r="C8" i="8"/>
  <c r="H3" i="8"/>
  <c r="C24" i="4"/>
  <c r="X3" i="4"/>
  <c r="AI62" i="10"/>
  <c r="BJ35" i="10"/>
  <c r="BJ35" i="8"/>
  <c r="AI62" i="8"/>
  <c r="AP9" i="4"/>
  <c r="I42" i="4"/>
  <c r="AL23" i="10"/>
  <c r="W38" i="10"/>
  <c r="W38" i="8"/>
  <c r="AL23" i="8"/>
  <c r="S12" i="4"/>
  <c r="L19" i="4"/>
  <c r="M64" i="10"/>
  <c r="BL13" i="10"/>
  <c r="BL13" i="8"/>
  <c r="M64" i="8"/>
  <c r="BB49" i="4"/>
  <c r="AW54" i="4"/>
  <c r="M56" i="10"/>
  <c r="BD13" i="8"/>
  <c r="M56" i="8"/>
  <c r="BD13" i="10"/>
  <c r="AW22" i="4"/>
  <c r="V49" i="4"/>
  <c r="AF65" i="10"/>
  <c r="BM32" i="10"/>
  <c r="BM32" i="8"/>
  <c r="AF65" i="8"/>
  <c r="BF55" i="4"/>
  <c r="BC58" i="4"/>
  <c r="AI56" i="10"/>
  <c r="BD35" i="10"/>
  <c r="BD35" i="8"/>
  <c r="AI56" i="8"/>
  <c r="V9" i="4"/>
  <c r="I22" i="4"/>
  <c r="C54" i="10"/>
  <c r="BB3" i="10"/>
  <c r="BB3" i="8"/>
  <c r="C8" i="4"/>
  <c r="H3" i="4"/>
  <c r="C54" i="8"/>
  <c r="AR53" i="10"/>
  <c r="BA44" i="10"/>
  <c r="BA44" i="8"/>
  <c r="AR53" i="8"/>
  <c r="AN7" i="4"/>
  <c r="G40" i="4"/>
  <c r="U36" i="10"/>
  <c r="AJ21" i="10"/>
  <c r="AJ21" i="8"/>
  <c r="U36" i="8"/>
  <c r="Q10" i="4"/>
  <c r="J17" i="4"/>
  <c r="T23" i="10"/>
  <c r="T23" i="8"/>
  <c r="W20" i="10"/>
  <c r="W20" i="8"/>
  <c r="S16" i="4"/>
  <c r="P19" i="4"/>
  <c r="P45" i="10"/>
  <c r="AS16" i="10"/>
  <c r="AS16" i="8"/>
  <c r="P45" i="8"/>
  <c r="BH43" i="4"/>
  <c r="AQ60" i="4"/>
  <c r="L45" i="10"/>
  <c r="AS12" i="10"/>
  <c r="L45" i="8"/>
  <c r="AS12" i="8"/>
  <c r="AV43" i="4"/>
  <c r="AQ48" i="4"/>
  <c r="AY54" i="10"/>
  <c r="BB51" i="10"/>
  <c r="BB51" i="8"/>
  <c r="AY54" i="8"/>
  <c r="E8" i="4"/>
  <c r="H5" i="4"/>
  <c r="D11" i="10"/>
  <c r="K4" i="10"/>
  <c r="D11" i="8"/>
  <c r="K4" i="8"/>
  <c r="D47" i="4"/>
  <c r="AU4" i="4"/>
  <c r="AI64" i="10"/>
  <c r="BL35" i="10"/>
  <c r="BL35" i="8"/>
  <c r="AI64" i="8"/>
  <c r="BB9" i="4"/>
  <c r="I54" i="4"/>
  <c r="AQ30" i="10"/>
  <c r="AQ30" i="8"/>
  <c r="AD43" i="8"/>
  <c r="AD43" i="10"/>
  <c r="AZ39" i="4"/>
  <c r="AM52" i="4"/>
  <c r="C38" i="10"/>
  <c r="AL3" i="10"/>
  <c r="C38" i="8"/>
  <c r="AL3" i="8"/>
  <c r="C12" i="4"/>
  <c r="L3" i="4"/>
  <c r="AE48" i="10"/>
  <c r="AV31" i="10"/>
  <c r="AV31" i="8"/>
  <c r="BE46" i="4"/>
  <c r="AE48" i="8"/>
  <c r="AT57" i="4"/>
  <c r="F55" i="10"/>
  <c r="BC6" i="10"/>
  <c r="BC6" i="8"/>
  <c r="F55" i="8"/>
  <c r="N21" i="4"/>
  <c r="U14" i="4"/>
  <c r="BK66" i="10"/>
  <c r="BN63" i="10"/>
  <c r="BK66" i="8"/>
  <c r="BN63" i="8"/>
  <c r="BA56" i="4"/>
  <c r="BD53" i="4"/>
  <c r="AC62" i="10"/>
  <c r="BJ29" i="10"/>
  <c r="BJ29" i="8"/>
  <c r="AC62" i="8"/>
  <c r="AY42" i="4"/>
  <c r="AP51" i="4"/>
  <c r="BF27" i="10"/>
  <c r="AA58" i="10"/>
  <c r="BF27" i="8"/>
  <c r="AA58" i="8"/>
  <c r="AI26" i="4"/>
  <c r="Z35" i="4"/>
  <c r="BM58" i="10"/>
  <c r="BF65" i="10"/>
  <c r="BM58" i="8"/>
  <c r="BF65" i="8"/>
  <c r="BC26" i="4"/>
  <c r="Z55" i="4"/>
  <c r="AB33" i="10"/>
  <c r="AG28" i="10"/>
  <c r="AG28" i="8"/>
  <c r="AB33" i="8"/>
  <c r="BK36" i="4"/>
  <c r="AJ63" i="4"/>
  <c r="AP45" i="10"/>
  <c r="AS42" i="10"/>
  <c r="AS42" i="8"/>
  <c r="AP45" i="8"/>
  <c r="AQ38" i="4"/>
  <c r="AL43" i="4"/>
  <c r="AC40" i="10"/>
  <c r="AN29" i="10"/>
  <c r="AN29" i="8"/>
  <c r="AC40" i="8"/>
  <c r="AY34" i="4"/>
  <c r="AH51" i="4"/>
  <c r="Y34" i="10"/>
  <c r="AH25" i="10"/>
  <c r="AH25" i="8"/>
  <c r="AC64" i="4"/>
  <c r="Y34" i="8"/>
  <c r="BL29" i="4"/>
  <c r="Y48" i="10"/>
  <c r="AV25" i="10"/>
  <c r="AV25" i="8"/>
  <c r="Y48" i="8"/>
  <c r="AC46" i="4"/>
  <c r="AT29" i="4"/>
  <c r="E54" i="10"/>
  <c r="BB5" i="8"/>
  <c r="E54" i="8"/>
  <c r="BB5" i="10"/>
  <c r="M8" i="4"/>
  <c r="H13" i="4"/>
  <c r="V41" i="10"/>
  <c r="AO22" i="10"/>
  <c r="V41" i="8"/>
  <c r="AO22" i="8"/>
  <c r="R37" i="4"/>
  <c r="AK18" i="4"/>
  <c r="C26" i="10"/>
  <c r="Z3" i="10"/>
  <c r="C26" i="8"/>
  <c r="Z3" i="8"/>
  <c r="C30" i="4"/>
  <c r="AD3" i="4"/>
  <c r="T39" i="10"/>
  <c r="AM20" i="10"/>
  <c r="AM20" i="8"/>
  <c r="T39" i="8"/>
  <c r="AG16" i="4"/>
  <c r="P33" i="4"/>
  <c r="AO40" i="10"/>
  <c r="AN41" i="10"/>
  <c r="AN41" i="8"/>
  <c r="AO40" i="8"/>
  <c r="AK34" i="4"/>
  <c r="AH37" i="4"/>
  <c r="AW64" i="10"/>
  <c r="BL49" i="10"/>
  <c r="AW64" i="8"/>
  <c r="BL49" i="8"/>
  <c r="BB65" i="4"/>
  <c r="BM54" i="4"/>
  <c r="AN59" i="10"/>
  <c r="BG40" i="10"/>
  <c r="BG40" i="8"/>
  <c r="AN59" i="8"/>
  <c r="AH31" i="4"/>
  <c r="AE34" i="4"/>
  <c r="AS60" i="10"/>
  <c r="BH45" i="8"/>
  <c r="AS60" i="8"/>
  <c r="BH45" i="10"/>
  <c r="AQ32" i="4"/>
  <c r="AF43" i="4"/>
  <c r="AT65" i="10"/>
  <c r="BM46" i="10"/>
  <c r="AT65" i="8"/>
  <c r="BM46" i="8"/>
  <c r="BC44" i="4"/>
  <c r="AR55" i="4"/>
  <c r="O30" i="10"/>
  <c r="AD15" i="10"/>
  <c r="AD15" i="8"/>
  <c r="O30" i="8"/>
  <c r="AZ59" i="4"/>
  <c r="BG52" i="4"/>
  <c r="AB63" i="10"/>
  <c r="BK28" i="10"/>
  <c r="BK28" i="8"/>
  <c r="AB63" i="8"/>
  <c r="BA36" i="4"/>
  <c r="AJ53" i="4"/>
  <c r="AN21" i="10"/>
  <c r="U40" i="10"/>
  <c r="AN21" i="8"/>
  <c r="U40" i="8"/>
  <c r="AH17" i="4"/>
  <c r="Q34" i="4"/>
  <c r="M40" i="10"/>
  <c r="AN13" i="10"/>
  <c r="AN13" i="8"/>
  <c r="M40" i="8"/>
  <c r="AW34" i="4"/>
  <c r="AH49" i="4"/>
  <c r="Y40" i="10"/>
  <c r="AN25" i="10"/>
  <c r="Y40" i="8"/>
  <c r="AN25" i="8"/>
  <c r="AC34" i="4"/>
  <c r="AH29" i="4"/>
  <c r="AF51" i="10"/>
  <c r="AY32" i="10"/>
  <c r="E58" i="4"/>
  <c r="AY32" i="8"/>
  <c r="AF51" i="8"/>
  <c r="BF5" i="4"/>
  <c r="BB57" i="10"/>
  <c r="BE54" i="10"/>
  <c r="BE54" i="8"/>
  <c r="BB57" i="8"/>
  <c r="Y8" i="4"/>
  <c r="H25" i="4"/>
  <c r="AF5" i="10"/>
  <c r="E32" i="10"/>
  <c r="E32" i="8"/>
  <c r="AF5" i="8"/>
  <c r="H11" i="2"/>
  <c r="I11" i="2" s="1"/>
  <c r="BF13" i="4"/>
  <c r="M58" i="4"/>
  <c r="AT57" i="10"/>
  <c r="BE46" i="10"/>
  <c r="AT57" i="8"/>
  <c r="BE46" i="8"/>
  <c r="H13" i="2"/>
  <c r="I13" i="2" s="1"/>
  <c r="F21" i="2"/>
  <c r="G21" i="2" s="1"/>
  <c r="AR25" i="4"/>
  <c r="Y44" i="4"/>
  <c r="AP49" i="10"/>
  <c r="AW42" i="10"/>
  <c r="AP49" i="8"/>
  <c r="AW42" i="8"/>
  <c r="F9" i="2"/>
  <c r="G9" i="2" s="1"/>
  <c r="H23" i="2"/>
  <c r="I23" i="2" s="1"/>
  <c r="BM38" i="4"/>
  <c r="AL65" i="4"/>
  <c r="AS58" i="10"/>
  <c r="BF45" i="10"/>
  <c r="BF45" i="8"/>
  <c r="AS58" i="8"/>
  <c r="F13" i="2"/>
  <c r="G13" i="2" s="1"/>
  <c r="AQ26" i="4"/>
  <c r="Z43" i="4"/>
  <c r="R49" i="4"/>
  <c r="J17" i="10"/>
  <c r="Q10" i="10"/>
  <c r="J17" i="8"/>
  <c r="Q10" i="8"/>
  <c r="AB61" i="4"/>
  <c r="BI28" i="4"/>
  <c r="AG38" i="10"/>
  <c r="AL33" i="10"/>
  <c r="AL33" i="8"/>
  <c r="AG38" i="8"/>
  <c r="BK12" i="4"/>
  <c r="L63" i="4"/>
  <c r="AU18" i="10"/>
  <c r="R47" i="10"/>
  <c r="AU18" i="8"/>
  <c r="R47" i="8"/>
  <c r="AS62" i="4"/>
  <c r="BJ45" i="4"/>
  <c r="Z59" i="10"/>
  <c r="BG26" i="10"/>
  <c r="BG26" i="8"/>
  <c r="Z59" i="8"/>
  <c r="AD31" i="4"/>
  <c r="AE30" i="4"/>
  <c r="BC60" i="10"/>
  <c r="BH55" i="8"/>
  <c r="BC60" i="8"/>
  <c r="BH55" i="10"/>
  <c r="U32" i="4"/>
  <c r="AF21" i="4"/>
  <c r="C40" i="10"/>
  <c r="AN3" i="10"/>
  <c r="C40" i="8"/>
  <c r="AN3" i="8"/>
  <c r="C34" i="4"/>
  <c r="AH3" i="4"/>
  <c r="G54" i="10"/>
  <c r="BB7" i="10"/>
  <c r="BB7" i="8"/>
  <c r="G54" i="8"/>
  <c r="W8" i="4"/>
  <c r="H23" i="4"/>
  <c r="F59" i="10"/>
  <c r="BG6" i="10"/>
  <c r="BG6" i="8"/>
  <c r="F59" i="8"/>
  <c r="AE14" i="4"/>
  <c r="N31" i="4"/>
  <c r="M34" i="10"/>
  <c r="AH13" i="10"/>
  <c r="M34" i="8"/>
  <c r="AH13" i="8"/>
  <c r="AW64" i="4"/>
  <c r="BL49" i="4"/>
  <c r="AU50" i="10"/>
  <c r="AX47" i="10"/>
  <c r="AU50" i="8"/>
  <c r="AX47" i="8"/>
  <c r="BN45" i="4"/>
  <c r="AS66" i="4"/>
  <c r="AT55" i="10"/>
  <c r="BC46" i="10"/>
  <c r="AT55" i="8"/>
  <c r="BC46" i="8"/>
  <c r="AR21" i="4"/>
  <c r="U44" i="4"/>
  <c r="J31" i="10"/>
  <c r="AE10" i="10"/>
  <c r="J31" i="8"/>
  <c r="AE10" i="8"/>
  <c r="BE28" i="4"/>
  <c r="AB57" i="4"/>
  <c r="AF7" i="10"/>
  <c r="G32" i="10"/>
  <c r="G32" i="8"/>
  <c r="AF7" i="8"/>
  <c r="W58" i="4"/>
  <c r="BF23" i="4"/>
  <c r="F63" i="10"/>
  <c r="BK6" i="10"/>
  <c r="BK6" i="8"/>
  <c r="F63" i="8"/>
  <c r="BA14" i="4"/>
  <c r="N53" i="4"/>
  <c r="Q28" i="10"/>
  <c r="AB17" i="10"/>
  <c r="Q28" i="8"/>
  <c r="AB17" i="8"/>
  <c r="AJ61" i="4"/>
  <c r="BI36" i="4"/>
  <c r="D45" i="10"/>
  <c r="AS4" i="10"/>
  <c r="D45" i="8"/>
  <c r="AS4" i="8"/>
  <c r="AQ4" i="4"/>
  <c r="D43" i="4"/>
  <c r="AO66" i="10"/>
  <c r="BN41" i="10"/>
  <c r="BN41" i="8"/>
  <c r="AO66" i="8"/>
  <c r="BD37" i="4"/>
  <c r="AK56" i="4"/>
  <c r="AK46" i="10"/>
  <c r="AT37" i="10"/>
  <c r="AK46" i="8"/>
  <c r="AR11" i="4"/>
  <c r="K44" i="4"/>
  <c r="AT37" i="8"/>
  <c r="AH43" i="10"/>
  <c r="AQ34" i="10"/>
  <c r="AQ34" i="8"/>
  <c r="AH43" i="8"/>
  <c r="BL39" i="4"/>
  <c r="AM64" i="4"/>
  <c r="X17" i="10"/>
  <c r="Q24" i="10"/>
  <c r="Q24" i="8"/>
  <c r="X17" i="8"/>
  <c r="BI20" i="4"/>
  <c r="T61" i="4"/>
  <c r="P35" i="10"/>
  <c r="AI16" i="10"/>
  <c r="AI16" i="8"/>
  <c r="P35" i="8"/>
  <c r="BH9" i="4"/>
  <c r="I60" i="4"/>
  <c r="AA50" i="10"/>
  <c r="AX27" i="10"/>
  <c r="AX27" i="8"/>
  <c r="AA50" i="8"/>
  <c r="BN35" i="4"/>
  <c r="AI66" i="4"/>
  <c r="S38" i="10"/>
  <c r="AL19" i="10"/>
  <c r="AL19" i="8"/>
  <c r="S38" i="8"/>
  <c r="O12" i="4"/>
  <c r="L15" i="4"/>
  <c r="BA58" i="10"/>
  <c r="BF53" i="10"/>
  <c r="BF53" i="8"/>
  <c r="BA58" i="8"/>
  <c r="Z7" i="4"/>
  <c r="G26" i="4"/>
  <c r="U56" i="10"/>
  <c r="BD21" i="10"/>
  <c r="BD21" i="8"/>
  <c r="U56" i="8"/>
  <c r="V17" i="4"/>
  <c r="Q22" i="4"/>
  <c r="I54" i="10"/>
  <c r="BB9" i="10"/>
  <c r="BB9" i="8"/>
  <c r="I54" i="8"/>
  <c r="AA8" i="4"/>
  <c r="H27" i="4"/>
  <c r="I38" i="10"/>
  <c r="AL9" i="10"/>
  <c r="AL9" i="8"/>
  <c r="I38" i="8"/>
  <c r="AA12" i="4"/>
  <c r="L27" i="4"/>
  <c r="AJ19" i="10"/>
  <c r="S36" i="10"/>
  <c r="S36" i="8"/>
  <c r="AJ19" i="8"/>
  <c r="O10" i="4"/>
  <c r="J15" i="4"/>
  <c r="Y60" i="10"/>
  <c r="BH25" i="10"/>
  <c r="BH25" i="8"/>
  <c r="Y60" i="8"/>
  <c r="AC32" i="4"/>
  <c r="AF29" i="4"/>
  <c r="R65" i="10"/>
  <c r="BM18" i="10"/>
  <c r="BM18" i="8"/>
  <c r="R65" i="8"/>
  <c r="BC62" i="4"/>
  <c r="BJ55" i="4"/>
  <c r="AH41" i="10"/>
  <c r="AO34" i="10"/>
  <c r="AO34" i="8"/>
  <c r="AH41" i="8"/>
  <c r="BL37" i="4"/>
  <c r="AK64" i="4"/>
  <c r="O56" i="10"/>
  <c r="BD15" i="10"/>
  <c r="BD15" i="8"/>
  <c r="O56" i="8"/>
  <c r="BG22" i="4"/>
  <c r="V59" i="4"/>
  <c r="U64" i="10"/>
  <c r="BL21" i="10"/>
  <c r="BL21" i="8"/>
  <c r="U64" i="8"/>
  <c r="BB17" i="4"/>
  <c r="Q54" i="4"/>
  <c r="S50" i="10"/>
  <c r="AX19" i="10"/>
  <c r="AX19" i="8"/>
  <c r="S50" i="8"/>
  <c r="BN15" i="4"/>
  <c r="O66" i="4"/>
  <c r="AJ59" i="10"/>
  <c r="BG36" i="10"/>
  <c r="BG36" i="8"/>
  <c r="AJ59" i="8"/>
  <c r="AE10" i="4"/>
  <c r="J31" i="4"/>
  <c r="T41" i="10"/>
  <c r="AO20" i="10"/>
  <c r="AO20" i="8"/>
  <c r="T41" i="8"/>
  <c r="AK16" i="4"/>
  <c r="P37" i="4"/>
  <c r="T47" i="10"/>
  <c r="AU20" i="10"/>
  <c r="AU20" i="8"/>
  <c r="T47" i="8"/>
  <c r="AS16" i="4"/>
  <c r="P45" i="4"/>
  <c r="AP43" i="10"/>
  <c r="AQ42" i="10"/>
  <c r="AP43" i="8"/>
  <c r="AQ42" i="8"/>
  <c r="AL39" i="4"/>
  <c r="AM38" i="4"/>
  <c r="O46" i="10"/>
  <c r="AT15" i="10"/>
  <c r="AT15" i="8"/>
  <c r="O46" i="8"/>
  <c r="BG44" i="4"/>
  <c r="AR59" i="4"/>
  <c r="AU60" i="10"/>
  <c r="BH47" i="10"/>
  <c r="AU60" i="8"/>
  <c r="BH47" i="8"/>
  <c r="AS32" i="4"/>
  <c r="AF45" i="4"/>
  <c r="Y38" i="10"/>
  <c r="AL25" i="10"/>
  <c r="AL25" i="8"/>
  <c r="Y38" i="8"/>
  <c r="AC12" i="4"/>
  <c r="L29" i="4"/>
  <c r="G48" i="10"/>
  <c r="AV7" i="10"/>
  <c r="AV7" i="8"/>
  <c r="G48" i="8"/>
  <c r="AT23" i="4"/>
  <c r="W46" i="4"/>
  <c r="O40" i="10"/>
  <c r="AN15" i="10"/>
  <c r="AN15" i="8"/>
  <c r="O40" i="8"/>
  <c r="BG34" i="4"/>
  <c r="AH59" i="4"/>
  <c r="P53" i="10"/>
  <c r="BA16" i="10"/>
  <c r="BA16" i="8"/>
  <c r="P53" i="8"/>
  <c r="BH7" i="4"/>
  <c r="G60" i="4"/>
  <c r="T43" i="10"/>
  <c r="AQ20" i="10"/>
  <c r="AQ20" i="8"/>
  <c r="T43" i="8"/>
  <c r="AM16" i="4"/>
  <c r="P39" i="4"/>
  <c r="D19" i="10"/>
  <c r="S4" i="10"/>
  <c r="D19" i="8"/>
  <c r="S4" i="8"/>
  <c r="O4" i="4"/>
  <c r="D15" i="4"/>
  <c r="BL47" i="10"/>
  <c r="AU64" i="10"/>
  <c r="BL47" i="8"/>
  <c r="AU64" i="8"/>
  <c r="BB45" i="4"/>
  <c r="AS54" i="4"/>
  <c r="BD51" i="10"/>
  <c r="AY56" i="10"/>
  <c r="BD51" i="8"/>
  <c r="AY56" i="8"/>
  <c r="V5" i="4"/>
  <c r="E22" i="4"/>
  <c r="AV65" i="10"/>
  <c r="BM48" i="10"/>
  <c r="BM48" i="8"/>
  <c r="AV65" i="8"/>
  <c r="BC46" i="4"/>
  <c r="AT55" i="4"/>
  <c r="E58" i="10"/>
  <c r="BF5" i="10"/>
  <c r="BF5" i="8"/>
  <c r="E58" i="8"/>
  <c r="Z13" i="4"/>
  <c r="M26" i="4"/>
  <c r="BB35" i="10"/>
  <c r="BB35" i="8"/>
  <c r="AI54" i="8"/>
  <c r="AI54" i="10"/>
  <c r="I8" i="4"/>
  <c r="H9" i="4"/>
  <c r="S54" i="10"/>
  <c r="BB19" i="10"/>
  <c r="BB19" i="8"/>
  <c r="S54" i="8"/>
  <c r="O8" i="4"/>
  <c r="H15" i="4"/>
  <c r="G50" i="10"/>
  <c r="AX7" i="10"/>
  <c r="AX7" i="8"/>
  <c r="G50" i="8"/>
  <c r="BN23" i="4"/>
  <c r="W66" i="4"/>
  <c r="AR55" i="10"/>
  <c r="BC44" i="10"/>
  <c r="BC44" i="8"/>
  <c r="AR55" i="8"/>
  <c r="AN21" i="4"/>
  <c r="U40" i="4"/>
  <c r="BF63" i="10"/>
  <c r="BK58" i="10"/>
  <c r="BK58" i="8"/>
  <c r="BF63" i="8"/>
  <c r="BA26" i="4"/>
  <c r="Z53" i="4"/>
  <c r="AF53" i="10"/>
  <c r="BA32" i="10"/>
  <c r="BA32" i="8"/>
  <c r="AF53" i="8"/>
  <c r="BF7" i="4"/>
  <c r="G58" i="4"/>
  <c r="D33" i="10"/>
  <c r="AG4" i="10"/>
  <c r="D33" i="8"/>
  <c r="AG4" i="8"/>
  <c r="D63" i="4"/>
  <c r="BK4" i="4"/>
  <c r="AE60" i="10"/>
  <c r="BH31" i="10"/>
  <c r="BH31" i="8"/>
  <c r="AE60" i="8"/>
  <c r="AF57" i="4"/>
  <c r="BE32" i="4"/>
  <c r="AC54" i="10"/>
  <c r="BB29" i="10"/>
  <c r="BB29" i="8"/>
  <c r="AC54" i="8"/>
  <c r="AY8" i="4"/>
  <c r="H51" i="4"/>
  <c r="BB31" i="10"/>
  <c r="AE54" i="10"/>
  <c r="AE54" i="8"/>
  <c r="BB31" i="8"/>
  <c r="BE8" i="4"/>
  <c r="H57" i="4"/>
  <c r="BH61" i="10"/>
  <c r="BI60" i="10"/>
  <c r="BH61" i="8"/>
  <c r="BI60" i="8"/>
  <c r="AO32" i="4"/>
  <c r="AF41" i="4"/>
  <c r="AJ41" i="10"/>
  <c r="AO36" i="10"/>
  <c r="AJ41" i="8"/>
  <c r="AO36" i="8"/>
  <c r="AK10" i="4"/>
  <c r="J37" i="4"/>
  <c r="AJ17" i="10"/>
  <c r="Q36" i="10"/>
  <c r="AJ17" i="8"/>
  <c r="Q36" i="8"/>
  <c r="J61" i="4"/>
  <c r="BI10" i="4"/>
  <c r="L7" i="10"/>
  <c r="G12" i="10"/>
  <c r="L7" i="8"/>
  <c r="G12" i="8"/>
  <c r="AV23" i="4"/>
  <c r="W48" i="4"/>
  <c r="BM54" i="10"/>
  <c r="BB65" i="10"/>
  <c r="BM54" i="8"/>
  <c r="BB65" i="8"/>
  <c r="BC8" i="4"/>
  <c r="H55" i="4"/>
  <c r="U32" i="10"/>
  <c r="AF21" i="10"/>
  <c r="AF21" i="8"/>
  <c r="U32" i="8"/>
  <c r="BF17" i="4"/>
  <c r="Q58" i="4"/>
  <c r="C20" i="10"/>
  <c r="T3" i="10"/>
  <c r="C20" i="8"/>
  <c r="T3" i="8"/>
  <c r="C16" i="4"/>
  <c r="P3" i="4"/>
  <c r="AF13" i="8"/>
  <c r="M32" i="8"/>
  <c r="M32" i="10"/>
  <c r="AF13" i="10"/>
  <c r="F32" i="2"/>
  <c r="G32" i="2" s="1"/>
  <c r="BF49" i="4"/>
  <c r="AW58" i="4"/>
  <c r="S30" i="10"/>
  <c r="AD19" i="10"/>
  <c r="AD19" i="8"/>
  <c r="S30" i="8"/>
  <c r="AZ15" i="4"/>
  <c r="O52" i="4"/>
  <c r="BN55" i="10"/>
  <c r="BC66" i="10"/>
  <c r="BN55" i="8"/>
  <c r="BC66" i="8"/>
  <c r="F5" i="2"/>
  <c r="BD21" i="4"/>
  <c r="U56" i="4"/>
  <c r="BF61" i="10"/>
  <c r="BF61" i="8"/>
  <c r="BI58" i="10"/>
  <c r="BI58" i="8"/>
  <c r="AO26" i="4"/>
  <c r="Z41" i="4"/>
  <c r="BI64" i="10"/>
  <c r="BL61" i="10"/>
  <c r="BI64" i="8"/>
  <c r="BL61" i="8"/>
  <c r="AO54" i="4"/>
  <c r="F29" i="2"/>
  <c r="G29" i="2" s="1"/>
  <c r="H31" i="2"/>
  <c r="I31" i="2" s="1"/>
  <c r="BB41" i="4"/>
  <c r="V13" i="8"/>
  <c r="AR19" i="10"/>
  <c r="S44" i="10"/>
  <c r="AR19" i="8"/>
  <c r="S44" i="8"/>
  <c r="AN15" i="4"/>
  <c r="O40" i="4"/>
  <c r="G22" i="10"/>
  <c r="V7" i="10"/>
  <c r="V7" i="8"/>
  <c r="G22" i="8"/>
  <c r="R23" i="4"/>
  <c r="W18" i="4"/>
  <c r="AH55" i="10"/>
  <c r="BC34" i="8"/>
  <c r="AH55" i="8"/>
  <c r="BC34" i="10"/>
  <c r="BL21" i="4"/>
  <c r="U64" i="4"/>
  <c r="AA18" i="10"/>
  <c r="AA18" i="8"/>
  <c r="R27" i="8"/>
  <c r="R27" i="10"/>
  <c r="BJ35" i="4"/>
  <c r="AI62" i="4"/>
  <c r="AV53" i="10"/>
  <c r="BA48" i="10"/>
  <c r="BA48" i="8"/>
  <c r="AV53" i="8"/>
  <c r="AT7" i="4"/>
  <c r="G46" i="4"/>
  <c r="BL17" i="10"/>
  <c r="Q64" i="10"/>
  <c r="BL17" i="8"/>
  <c r="Q64" i="8"/>
  <c r="BB61" i="4"/>
  <c r="BI54" i="4"/>
  <c r="D27" i="10"/>
  <c r="AA4" i="10"/>
  <c r="D27" i="8"/>
  <c r="AA4" i="8"/>
  <c r="AI4" i="4"/>
  <c r="D35" i="4"/>
  <c r="AS56" i="10"/>
  <c r="BD45" i="10"/>
  <c r="BD45" i="8"/>
  <c r="AS56" i="8"/>
  <c r="AQ22" i="4"/>
  <c r="V43" i="4"/>
  <c r="AG48" i="10"/>
  <c r="AV33" i="10"/>
  <c r="AV33" i="8"/>
  <c r="AG48" i="8"/>
  <c r="BK46" i="4"/>
  <c r="AT63" i="4"/>
  <c r="V47" i="10"/>
  <c r="AU22" i="10"/>
  <c r="AU22" i="8"/>
  <c r="V47" i="8"/>
  <c r="AS18" i="4"/>
  <c r="R45" i="4"/>
  <c r="E42" i="10"/>
  <c r="AP5" i="10"/>
  <c r="AP5" i="8"/>
  <c r="E42" i="8"/>
  <c r="AL13" i="4"/>
  <c r="M38" i="4"/>
  <c r="Z45" i="10"/>
  <c r="AS26" i="10"/>
  <c r="AS26" i="8"/>
  <c r="Z45" i="8"/>
  <c r="AQ30" i="4"/>
  <c r="AD43" i="4"/>
  <c r="AO30" i="10"/>
  <c r="AO30" i="8"/>
  <c r="AD41" i="8"/>
  <c r="AD41" i="10"/>
  <c r="AZ37" i="4"/>
  <c r="AK52" i="4"/>
  <c r="BB63" i="10"/>
  <c r="BK54" i="10"/>
  <c r="BK54" i="8"/>
  <c r="BB63" i="8"/>
  <c r="BA8" i="4"/>
  <c r="H53" i="4"/>
  <c r="D59" i="10"/>
  <c r="BG4" i="10"/>
  <c r="D59" i="8"/>
  <c r="BG4" i="8"/>
  <c r="D31" i="4"/>
  <c r="AE4" i="4"/>
  <c r="BM40" i="10"/>
  <c r="BM40" i="8"/>
  <c r="AN65" i="10"/>
  <c r="AN65" i="8"/>
  <c r="BC34" i="4"/>
  <c r="AH55" i="4"/>
  <c r="AB55" i="10"/>
  <c r="BC28" i="10"/>
  <c r="BC28" i="8"/>
  <c r="AB55" i="8"/>
  <c r="AJ21" i="4"/>
  <c r="U36" i="4"/>
  <c r="H65" i="10"/>
  <c r="BM8" i="10"/>
  <c r="BM8" i="8"/>
  <c r="H65" i="8"/>
  <c r="BC24" i="4"/>
  <c r="X55" i="4"/>
  <c r="I46" i="10"/>
  <c r="AT9" i="8"/>
  <c r="AT9" i="10"/>
  <c r="I46" i="8"/>
  <c r="AR27" i="4"/>
  <c r="AA44" i="4"/>
  <c r="AS52" i="10"/>
  <c r="AZ45" i="10"/>
  <c r="AS52" i="8"/>
  <c r="AZ45" i="8"/>
  <c r="AQ6" i="4"/>
  <c r="F43" i="4"/>
  <c r="AQ4" i="10"/>
  <c r="D43" i="10"/>
  <c r="D43" i="8"/>
  <c r="AQ4" i="8"/>
  <c r="D39" i="4"/>
  <c r="AM4" i="4"/>
  <c r="T51" i="10"/>
  <c r="AY20" i="10"/>
  <c r="E16" i="4"/>
  <c r="T51" i="8"/>
  <c r="AY20" i="8"/>
  <c r="P5" i="4"/>
  <c r="H41" i="10"/>
  <c r="AO8" i="10"/>
  <c r="AO8" i="8"/>
  <c r="H41" i="8"/>
  <c r="AK24" i="4"/>
  <c r="X37" i="4"/>
  <c r="G28" i="10"/>
  <c r="AB7" i="10"/>
  <c r="G28" i="8"/>
  <c r="AB7" i="8"/>
  <c r="AJ23" i="4"/>
  <c r="W36" i="4"/>
  <c r="V37" i="10"/>
  <c r="AK22" i="10"/>
  <c r="V37" i="8"/>
  <c r="AK22" i="8"/>
  <c r="K18" i="4"/>
  <c r="R11" i="4"/>
  <c r="BE60" i="10"/>
  <c r="BH57" i="10"/>
  <c r="BE60" i="8"/>
  <c r="BH57" i="8"/>
  <c r="AF25" i="4"/>
  <c r="Y32" i="4"/>
  <c r="O54" i="10"/>
  <c r="BB15" i="10"/>
  <c r="BB15" i="8"/>
  <c r="O54" i="8"/>
  <c r="BG8" i="4"/>
  <c r="H59" i="4"/>
  <c r="AV35" i="10"/>
  <c r="AI48" i="10"/>
  <c r="AV35" i="8"/>
  <c r="AI48" i="8"/>
  <c r="AT9" i="4"/>
  <c r="I46" i="4"/>
  <c r="J11" i="10"/>
  <c r="J11" i="8"/>
  <c r="K10" i="10"/>
  <c r="K10" i="8"/>
  <c r="AB47" i="4"/>
  <c r="AU28" i="4"/>
  <c r="AC64" i="10"/>
  <c r="BL29" i="10"/>
  <c r="BL29" i="8"/>
  <c r="AC64" i="8"/>
  <c r="BB51" i="4"/>
  <c r="AY54" i="4"/>
  <c r="O52" i="10"/>
  <c r="AZ15" i="10"/>
  <c r="AZ15" i="8"/>
  <c r="O52" i="8"/>
  <c r="F59" i="4"/>
  <c r="BG6" i="4"/>
  <c r="O44" i="10"/>
  <c r="AR15" i="10"/>
  <c r="O44" i="8"/>
  <c r="AR15" i="8"/>
  <c r="BG40" i="4"/>
  <c r="AN59" i="4"/>
  <c r="E10" i="10"/>
  <c r="J5" i="10"/>
  <c r="J5" i="8"/>
  <c r="E10" i="8"/>
  <c r="AB13" i="4"/>
  <c r="M28" i="4"/>
  <c r="BC8" i="10"/>
  <c r="H55" i="10"/>
  <c r="BC8" i="8"/>
  <c r="H55" i="8"/>
  <c r="X21" i="4"/>
  <c r="U24" i="4"/>
  <c r="AZ39" i="10"/>
  <c r="AM52" i="10"/>
  <c r="AZ39" i="8"/>
  <c r="AM52" i="8"/>
  <c r="AG6" i="4"/>
  <c r="F33" i="4"/>
  <c r="AQ62" i="10"/>
  <c r="BJ43" i="10"/>
  <c r="AQ62" i="8"/>
  <c r="BJ43" i="8"/>
  <c r="AP39" i="4"/>
  <c r="AM42" i="4"/>
  <c r="AN45" i="10"/>
  <c r="AS40" i="10"/>
  <c r="AS40" i="8"/>
  <c r="AN45" i="8"/>
  <c r="AQ34" i="4"/>
  <c r="AH43" i="4"/>
  <c r="AM54" i="10"/>
  <c r="BB39" i="8"/>
  <c r="AM54" i="8"/>
  <c r="BB39" i="10"/>
  <c r="AG8" i="4"/>
  <c r="H33" i="4"/>
  <c r="BL5" i="10"/>
  <c r="E64" i="10"/>
  <c r="BL5" i="8"/>
  <c r="E64" i="8"/>
  <c r="BB13" i="4"/>
  <c r="M54" i="4"/>
  <c r="D17" i="10"/>
  <c r="Q4" i="10"/>
  <c r="D17" i="8"/>
  <c r="Q4" i="8"/>
  <c r="D61" i="4"/>
  <c r="BI4" i="4"/>
  <c r="N31" i="10"/>
  <c r="AE14" i="10"/>
  <c r="AE14" i="8"/>
  <c r="N31" i="8"/>
  <c r="BE50" i="4"/>
  <c r="AX57" i="4"/>
  <c r="Q26" i="10"/>
  <c r="Z17" i="10"/>
  <c r="Z17" i="8"/>
  <c r="Q26" i="8"/>
  <c r="AD61" i="4"/>
  <c r="BI30" i="4"/>
  <c r="AF41" i="10"/>
  <c r="AO32" i="10"/>
  <c r="AO32" i="8"/>
  <c r="AF41" i="8"/>
  <c r="AK58" i="4"/>
  <c r="BF37" i="4"/>
  <c r="G46" i="10"/>
  <c r="AT7" i="10"/>
  <c r="AT7" i="8"/>
  <c r="G46" i="8"/>
  <c r="AR23" i="4"/>
  <c r="W44" i="4"/>
  <c r="U16" i="10"/>
  <c r="P21" i="8"/>
  <c r="U16" i="8"/>
  <c r="P21" i="10"/>
  <c r="BH17" i="4"/>
  <c r="Q60" i="4"/>
  <c r="AY66" i="8"/>
  <c r="BN51" i="8"/>
  <c r="BN51" i="10"/>
  <c r="AY66" i="10"/>
  <c r="BD5" i="4"/>
  <c r="E56" i="4"/>
  <c r="BI52" i="10"/>
  <c r="AZ61" i="10"/>
  <c r="BI52" i="8"/>
  <c r="AZ61" i="8"/>
  <c r="F41" i="4"/>
  <c r="AO6" i="4"/>
  <c r="L19" i="10"/>
  <c r="L19" i="8"/>
  <c r="S12" i="8"/>
  <c r="S12" i="10"/>
  <c r="AV15" i="4"/>
  <c r="O48" i="4"/>
  <c r="BB49" i="10"/>
  <c r="AW54" i="10"/>
  <c r="BB49" i="8"/>
  <c r="AW54" i="8"/>
  <c r="BM8" i="4"/>
  <c r="H65" i="4"/>
  <c r="AA46" i="10"/>
  <c r="AT27" i="10"/>
  <c r="AA46" i="8"/>
  <c r="AT27" i="8"/>
  <c r="AR35" i="4"/>
  <c r="AI44" i="4"/>
  <c r="AO52" i="10"/>
  <c r="AZ41" i="10"/>
  <c r="AZ41" i="8"/>
  <c r="AO52" i="8"/>
  <c r="F37" i="4"/>
  <c r="AK6" i="4"/>
  <c r="X35" i="10"/>
  <c r="AI24" i="10"/>
  <c r="X35" i="8"/>
  <c r="AI24" i="8"/>
  <c r="I20" i="4"/>
  <c r="T9" i="4"/>
  <c r="BG8" i="10"/>
  <c r="H59" i="10"/>
  <c r="BG8" i="8"/>
  <c r="H59" i="8"/>
  <c r="X31" i="4"/>
  <c r="AE24" i="4"/>
  <c r="C28" i="10"/>
  <c r="AB3" i="10"/>
  <c r="C28" i="8"/>
  <c r="AB3" i="8"/>
  <c r="C36" i="4"/>
  <c r="AJ3" i="4"/>
  <c r="BD7" i="10"/>
  <c r="G56" i="10"/>
  <c r="BD7" i="8"/>
  <c r="G56" i="8"/>
  <c r="V23" i="4"/>
  <c r="W22" i="4"/>
  <c r="O20" i="10"/>
  <c r="T15" i="10"/>
  <c r="O20" i="8"/>
  <c r="T15" i="8"/>
  <c r="P59" i="4"/>
  <c r="BG16" i="4"/>
  <c r="BD57" i="10"/>
  <c r="BE56" i="10"/>
  <c r="BD57" i="8"/>
  <c r="BE56" i="8"/>
  <c r="Y22" i="4"/>
  <c r="V25" i="4"/>
  <c r="AP33" i="10"/>
  <c r="AG42" i="10"/>
  <c r="AP33" i="8"/>
  <c r="AG42" i="8"/>
  <c r="F6" i="2"/>
  <c r="BK38" i="4"/>
  <c r="AL63" i="4"/>
  <c r="BL39" i="10"/>
  <c r="AM64" i="10"/>
  <c r="BL39" i="8"/>
  <c r="AM64" i="8"/>
  <c r="BB33" i="4"/>
  <c r="AG54" i="4"/>
  <c r="BD59" i="10"/>
  <c r="BG56" i="10"/>
  <c r="BG56" i="8"/>
  <c r="BD59" i="8"/>
  <c r="AE22" i="4"/>
  <c r="H5" i="2"/>
  <c r="I5" i="2" s="1"/>
  <c r="V31" i="4"/>
  <c r="M22" i="8"/>
  <c r="AL57" i="10"/>
  <c r="BE38" i="10"/>
  <c r="BE38" i="8"/>
  <c r="AL57" i="8"/>
  <c r="Y12" i="4"/>
  <c r="L25" i="4"/>
  <c r="AX65" i="10"/>
  <c r="BM50" i="10"/>
  <c r="AX65" i="8"/>
  <c r="BM50" i="8"/>
  <c r="BN55" i="4"/>
  <c r="BC66" i="4"/>
  <c r="AR57" i="10"/>
  <c r="BE44" i="10"/>
  <c r="BE44" i="8"/>
  <c r="AR57" i="8"/>
  <c r="AN25" i="4"/>
  <c r="Y40" i="4"/>
  <c r="AN43" i="10"/>
  <c r="AQ40" i="10"/>
  <c r="AN43" i="8"/>
  <c r="AQ40" i="8"/>
  <c r="AM34" i="4"/>
  <c r="AH39" i="4"/>
  <c r="AS50" i="10"/>
  <c r="AX45" i="10"/>
  <c r="AS50" i="8"/>
  <c r="AX45" i="8"/>
  <c r="AQ66" i="4"/>
  <c r="BN43" i="4"/>
  <c r="AG64" i="10"/>
  <c r="BL33" i="10"/>
  <c r="BL33" i="8"/>
  <c r="AG64" i="8"/>
  <c r="BK54" i="4"/>
  <c r="BB63" i="4"/>
  <c r="X51" i="10"/>
  <c r="AY24" i="10"/>
  <c r="X51" i="8"/>
  <c r="AY24" i="8"/>
  <c r="E20" i="4"/>
  <c r="T5" i="4"/>
  <c r="AN11" i="10"/>
  <c r="K40" i="10"/>
  <c r="AN11" i="8"/>
  <c r="K40" i="8"/>
  <c r="AU34" i="4"/>
  <c r="AH47" i="4"/>
  <c r="J25" i="10"/>
  <c r="Y10" i="10"/>
  <c r="Y10" i="8"/>
  <c r="J25" i="8"/>
  <c r="AB29" i="4"/>
  <c r="AC28" i="4"/>
  <c r="N23" i="10"/>
  <c r="W14" i="10"/>
  <c r="W14" i="8"/>
  <c r="N23" i="8"/>
  <c r="AX19" i="4"/>
  <c r="S50" i="4"/>
  <c r="F53" i="10"/>
  <c r="BA6" i="10"/>
  <c r="BA6" i="8"/>
  <c r="F53" i="8"/>
  <c r="G14" i="4"/>
  <c r="N7" i="4"/>
  <c r="W44" i="10"/>
  <c r="AR23" i="10"/>
  <c r="AR23" i="8"/>
  <c r="W44" i="8"/>
  <c r="AN19" i="4"/>
  <c r="S40" i="4"/>
  <c r="U20" i="10"/>
  <c r="T21" i="10"/>
  <c r="T21" i="8"/>
  <c r="U20" i="8"/>
  <c r="Q16" i="4"/>
  <c r="P17" i="4"/>
  <c r="BD53" i="10"/>
  <c r="BA56" i="10"/>
  <c r="BD53" i="8"/>
  <c r="BA56" i="8"/>
  <c r="V7" i="4"/>
  <c r="G22" i="4"/>
  <c r="AJ25" i="8"/>
  <c r="Y36" i="8"/>
  <c r="AJ25" i="10"/>
  <c r="Y36" i="10"/>
  <c r="AC10" i="4"/>
  <c r="J29" i="4"/>
  <c r="AD55" i="10"/>
  <c r="BC30" i="10"/>
  <c r="BC30" i="8"/>
  <c r="AD55" i="8"/>
  <c r="U52" i="4"/>
  <c r="AZ21" i="4"/>
  <c r="BH27" i="10"/>
  <c r="AA60" i="10"/>
  <c r="BH27" i="8"/>
  <c r="AA60" i="8"/>
  <c r="AI32" i="4"/>
  <c r="AF35" i="4"/>
  <c r="AV55" i="10"/>
  <c r="BC48" i="10"/>
  <c r="BC48" i="8"/>
  <c r="AV55" i="8"/>
  <c r="AT21" i="4"/>
  <c r="U46" i="4"/>
  <c r="AG18" i="10"/>
  <c r="R33" i="10"/>
  <c r="R33" i="8"/>
  <c r="AG18" i="8"/>
  <c r="BK62" i="4"/>
  <c r="BJ63" i="4"/>
  <c r="V17" i="10"/>
  <c r="Q22" i="10"/>
  <c r="Q22" i="8"/>
  <c r="V17" i="8"/>
  <c r="BI18" i="4"/>
  <c r="R61" i="4"/>
  <c r="P17" i="10"/>
  <c r="Q16" i="10"/>
  <c r="P17" i="8"/>
  <c r="Q16" i="8"/>
  <c r="BI60" i="4"/>
  <c r="BH61" i="4"/>
  <c r="AM60" i="10"/>
  <c r="BH39" i="10"/>
  <c r="BH39" i="8"/>
  <c r="AM60" i="8"/>
  <c r="AG32" i="4"/>
  <c r="AF33" i="4"/>
  <c r="W52" i="10"/>
  <c r="AZ23" i="10"/>
  <c r="AZ23" i="8"/>
  <c r="W52" i="8"/>
  <c r="F19" i="4"/>
  <c r="S6" i="4"/>
  <c r="AW32" i="10"/>
  <c r="AW32" i="8"/>
  <c r="AF49" i="8"/>
  <c r="AF49" i="10"/>
  <c r="BF65" i="4"/>
  <c r="BM58" i="4"/>
  <c r="X39" i="10"/>
  <c r="AM24" i="10"/>
  <c r="X39" i="8"/>
  <c r="AM24" i="8"/>
  <c r="AG20" i="4"/>
  <c r="T33" i="4"/>
  <c r="C32" i="10"/>
  <c r="AF3" i="10"/>
  <c r="C32" i="8"/>
  <c r="AF3" i="8"/>
  <c r="BF3" i="4"/>
  <c r="C58" i="4"/>
  <c r="AG52" i="10"/>
  <c r="AZ33" i="10"/>
  <c r="AZ33" i="8"/>
  <c r="AG52" i="8"/>
  <c r="BK6" i="4"/>
  <c r="F63" i="4"/>
  <c r="AN9" i="10"/>
  <c r="I40" i="10"/>
  <c r="I40" i="8"/>
  <c r="AN9" i="8"/>
  <c r="AA34" i="4"/>
  <c r="AH27" i="4"/>
  <c r="AJ47" i="10"/>
  <c r="AU36" i="10"/>
  <c r="AJ47" i="8"/>
  <c r="AU36" i="8"/>
  <c r="AS10" i="4"/>
  <c r="J45" i="4"/>
  <c r="AV51" i="10"/>
  <c r="AY48" i="10"/>
  <c r="AY48" i="8"/>
  <c r="E46" i="4"/>
  <c r="AT5" i="4"/>
  <c r="AV51" i="8"/>
  <c r="H35" i="10"/>
  <c r="AI8" i="10"/>
  <c r="AI8" i="8"/>
  <c r="H35" i="8"/>
  <c r="X9" i="4"/>
  <c r="I24" i="4"/>
  <c r="Q56" i="10"/>
  <c r="BD17" i="10"/>
  <c r="BD17" i="8"/>
  <c r="Q56" i="8"/>
  <c r="BI22" i="4"/>
  <c r="V61" i="4"/>
  <c r="AS66" i="10"/>
  <c r="BN45" i="10"/>
  <c r="BN45" i="8"/>
  <c r="AS66" i="8"/>
  <c r="BD43" i="4"/>
  <c r="AQ56" i="4"/>
  <c r="BK36" i="10"/>
  <c r="BK36" i="8"/>
  <c r="AJ63" i="8"/>
  <c r="AJ63" i="10"/>
  <c r="J53" i="4"/>
  <c r="BA10" i="4"/>
  <c r="AJ61" i="10"/>
  <c r="BI36" i="10"/>
  <c r="AJ61" i="8"/>
  <c r="BI36" i="8"/>
  <c r="AO10" i="4"/>
  <c r="J41" i="4"/>
  <c r="I36" i="10"/>
  <c r="AJ9" i="10"/>
  <c r="AJ9" i="8"/>
  <c r="I36" i="8"/>
  <c r="AA10" i="4"/>
  <c r="J27" i="4"/>
  <c r="T37" i="10"/>
  <c r="AK20" i="10"/>
  <c r="T37" i="8"/>
  <c r="AK20" i="8"/>
  <c r="K16" i="4"/>
  <c r="P11" i="4"/>
  <c r="AY44" i="10"/>
  <c r="AR51" i="10"/>
  <c r="AY44" i="8"/>
  <c r="AR51" i="8"/>
  <c r="E40" i="4"/>
  <c r="AN5" i="4"/>
  <c r="AP53" i="10"/>
  <c r="BA42" i="10"/>
  <c r="BA42" i="8"/>
  <c r="AP53" i="8"/>
  <c r="AL7" i="4"/>
  <c r="G38" i="4"/>
  <c r="Q52" i="10"/>
  <c r="AZ17" i="10"/>
  <c r="AZ17" i="8"/>
  <c r="Q52" i="8"/>
  <c r="F61" i="4"/>
  <c r="BI6" i="4"/>
  <c r="P41" i="10"/>
  <c r="AO16" i="10"/>
  <c r="AO16" i="8"/>
  <c r="P41" i="8"/>
  <c r="BH37" i="4"/>
  <c r="AK60" i="4"/>
  <c r="BM34" i="10"/>
  <c r="AH65" i="10"/>
  <c r="BM34" i="8"/>
  <c r="AH65" i="8"/>
  <c r="BL55" i="4"/>
  <c r="BC64" i="4"/>
  <c r="AF23" i="10"/>
  <c r="W32" i="10"/>
  <c r="AF23" i="8"/>
  <c r="W32" i="8"/>
  <c r="S58" i="4"/>
  <c r="BF19" i="4"/>
  <c r="AI30" i="10"/>
  <c r="AD35" i="10"/>
  <c r="AI30" i="8"/>
  <c r="AD35" i="8"/>
  <c r="AZ9" i="4"/>
  <c r="I52" i="4"/>
  <c r="AF37" i="10"/>
  <c r="AK32" i="10"/>
  <c r="AK32" i="8"/>
  <c r="AF37" i="8"/>
  <c r="BF11" i="4"/>
  <c r="K58" i="4"/>
  <c r="E52" i="10"/>
  <c r="AZ5" i="10"/>
  <c r="AZ5" i="8"/>
  <c r="E52" i="8"/>
  <c r="M6" i="4"/>
  <c r="F13" i="4"/>
  <c r="AG62" i="10"/>
  <c r="BJ33" i="10"/>
  <c r="BJ33" i="8"/>
  <c r="AG62" i="8"/>
  <c r="BK42" i="4"/>
  <c r="AP63" i="4"/>
  <c r="BN33" i="10"/>
  <c r="AG66" i="10"/>
  <c r="BN33" i="8"/>
  <c r="AG66" i="8"/>
  <c r="BK56" i="4"/>
  <c r="BD63" i="4"/>
  <c r="BF59" i="10"/>
  <c r="BG58" i="10"/>
  <c r="BF59" i="8"/>
  <c r="BG58" i="8"/>
  <c r="AE26" i="4"/>
  <c r="Z31" i="4"/>
  <c r="BL59" i="10"/>
  <c r="BG64" i="8"/>
  <c r="BL59" i="8"/>
  <c r="BG64" i="10"/>
  <c r="BB31" i="4"/>
  <c r="AE54" i="4"/>
  <c r="H17" i="10"/>
  <c r="Q8" i="10"/>
  <c r="Q8" i="8"/>
  <c r="H17" i="8"/>
  <c r="BI24" i="4"/>
  <c r="X61" i="4"/>
  <c r="BF29" i="10"/>
  <c r="AC58" i="10"/>
  <c r="BF29" i="8"/>
  <c r="AC58" i="8"/>
  <c r="AY26" i="4"/>
  <c r="Z51" i="4"/>
  <c r="I64" i="10"/>
  <c r="BL9" i="10"/>
  <c r="BL9" i="8"/>
  <c r="I64" i="8"/>
  <c r="BB27" i="4"/>
  <c r="AA54" i="4"/>
  <c r="V27" i="10"/>
  <c r="AA22" i="8"/>
  <c r="AA22" i="10"/>
  <c r="V27" i="8"/>
  <c r="AI18" i="4"/>
  <c r="R35" i="4"/>
  <c r="V57" i="10"/>
  <c r="BE22" i="10"/>
  <c r="BE22" i="8"/>
  <c r="V57" i="8"/>
  <c r="Y18" i="4"/>
  <c r="R25" i="4"/>
  <c r="H53" i="10"/>
  <c r="BA8" i="10"/>
  <c r="BA8" i="8"/>
  <c r="H53" i="8"/>
  <c r="X7" i="4"/>
  <c r="G24" i="4"/>
  <c r="Q44" i="10"/>
  <c r="AR17" i="10"/>
  <c r="AR17" i="8"/>
  <c r="BI40" i="4"/>
  <c r="AN61" i="4"/>
  <c r="Q44" i="8"/>
  <c r="AK58" i="10"/>
  <c r="BF37" i="10"/>
  <c r="BF37" i="8"/>
  <c r="AK58" i="8"/>
  <c r="Z11" i="4"/>
  <c r="K26" i="4"/>
  <c r="AC52" i="10"/>
  <c r="AZ29" i="10"/>
  <c r="AZ29" i="8"/>
  <c r="AC52" i="8"/>
  <c r="F51" i="4"/>
  <c r="AY6" i="4"/>
  <c r="AZ55" i="10"/>
  <c r="BC52" i="10"/>
  <c r="BC52" i="8"/>
  <c r="AZ55" i="8"/>
  <c r="F21" i="4"/>
  <c r="U6" i="4"/>
  <c r="U26" i="8"/>
  <c r="Z21" i="8"/>
  <c r="U26" i="10"/>
  <c r="Z21" i="10"/>
  <c r="AD17" i="4"/>
  <c r="Q30" i="4"/>
  <c r="AA56" i="10"/>
  <c r="BD27" i="10"/>
  <c r="BD27" i="8"/>
  <c r="AA56" i="8"/>
  <c r="AI22" i="4"/>
  <c r="V35" i="4"/>
  <c r="W6" i="10"/>
  <c r="F23" i="10"/>
  <c r="W6" i="8"/>
  <c r="F23" i="8"/>
  <c r="S14" i="4"/>
  <c r="N19" i="4"/>
  <c r="BI4" i="10"/>
  <c r="D61" i="10"/>
  <c r="BI4" i="8"/>
  <c r="D61" i="8"/>
  <c r="D41" i="4"/>
  <c r="AO4" i="4"/>
  <c r="R43" i="10"/>
  <c r="AQ18" i="10"/>
  <c r="AQ18" i="8"/>
  <c r="R43" i="8"/>
  <c r="BJ39" i="4"/>
  <c r="AM62" i="4"/>
  <c r="O64" i="10"/>
  <c r="BL15" i="10"/>
  <c r="BL15" i="8"/>
  <c r="O64" i="8"/>
  <c r="BG54" i="4"/>
  <c r="BB59" i="4"/>
  <c r="AD45" i="10"/>
  <c r="AS30" i="10"/>
  <c r="AS30" i="8"/>
  <c r="AD45" i="8"/>
  <c r="AQ52" i="4"/>
  <c r="AZ43" i="4"/>
  <c r="AQ64" i="10"/>
  <c r="BL43" i="10"/>
  <c r="AQ64" i="8"/>
  <c r="BL43" i="8"/>
  <c r="BB39" i="4"/>
  <c r="AM54" i="4"/>
  <c r="E26" i="10"/>
  <c r="Z5" i="10"/>
  <c r="E26" i="8"/>
  <c r="Z5" i="8"/>
  <c r="AD13" i="4"/>
  <c r="M30" i="4"/>
  <c r="L13" i="10"/>
  <c r="M12" i="10"/>
  <c r="L13" i="8"/>
  <c r="M12" i="8"/>
  <c r="AW48" i="4"/>
  <c r="AV49" i="4"/>
  <c r="W58" i="10"/>
  <c r="BF23" i="10"/>
  <c r="BF23" i="8"/>
  <c r="W58" i="8"/>
  <c r="Z19" i="4"/>
  <c r="S26" i="4"/>
  <c r="W64" i="10"/>
  <c r="BL23" i="10"/>
  <c r="BL23" i="8"/>
  <c r="W64" i="8"/>
  <c r="BB19" i="4"/>
  <c r="S54" i="4"/>
  <c r="BN5" i="8"/>
  <c r="E66" i="10"/>
  <c r="E66" i="8"/>
  <c r="BN5" i="10"/>
  <c r="BD13" i="4"/>
  <c r="M56" i="4"/>
  <c r="I28" i="10"/>
  <c r="AB9" i="10"/>
  <c r="AB9" i="8"/>
  <c r="I28" i="8"/>
  <c r="AJ27" i="4"/>
  <c r="AA36" i="4"/>
  <c r="V35" i="10"/>
  <c r="AI22" i="10"/>
  <c r="AI22" i="8"/>
  <c r="V35" i="8"/>
  <c r="R9" i="4"/>
  <c r="I18" i="4"/>
  <c r="K50" i="10"/>
  <c r="AX11" i="10"/>
  <c r="AX11" i="8"/>
  <c r="K50" i="8"/>
  <c r="AU66" i="4"/>
  <c r="BN47" i="4"/>
  <c r="O50" i="10"/>
  <c r="AX15" i="10"/>
  <c r="AX15" i="8"/>
  <c r="O50" i="8"/>
  <c r="BN59" i="4"/>
  <c r="BG66" i="4"/>
  <c r="Y50" i="10"/>
  <c r="AX25" i="10"/>
  <c r="AX25" i="8"/>
  <c r="Y50" i="8"/>
  <c r="BN29" i="4"/>
  <c r="AC66" i="4"/>
  <c r="BB61" i="10"/>
  <c r="BI54" i="10"/>
  <c r="BI54" i="8"/>
  <c r="BB61" i="8"/>
  <c r="AO8" i="4"/>
  <c r="H41" i="4"/>
  <c r="AA62" i="10"/>
  <c r="BJ27" i="10"/>
  <c r="BJ27" i="8"/>
  <c r="AA62" i="8"/>
  <c r="F26" i="2"/>
  <c r="G26" i="2" s="1"/>
  <c r="H29" i="2"/>
  <c r="I29" i="2" s="1"/>
  <c r="AP35" i="4"/>
  <c r="AI42" i="4"/>
  <c r="BD65" i="10"/>
  <c r="BM56" i="10"/>
  <c r="BM56" i="8"/>
  <c r="BD65" i="8"/>
  <c r="F19" i="2"/>
  <c r="G19" i="2" s="1"/>
  <c r="BC22" i="4"/>
  <c r="V55" i="4"/>
  <c r="AQ54" i="10"/>
  <c r="BB43" i="10"/>
  <c r="BB43" i="8"/>
  <c r="AQ54" i="8"/>
  <c r="F25" i="2"/>
  <c r="G25" i="2" s="1"/>
  <c r="H30" i="2"/>
  <c r="I30" i="2" s="1"/>
  <c r="AM8" i="4"/>
  <c r="H39" i="4"/>
  <c r="V13" i="10"/>
  <c r="H39" i="10"/>
  <c r="H39" i="8"/>
  <c r="AM8" i="8"/>
  <c r="AM8" i="10"/>
  <c r="AG24" i="4"/>
  <c r="X33" i="4"/>
  <c r="N19" i="10"/>
  <c r="S14" i="10"/>
  <c r="N19" i="8"/>
  <c r="S14" i="8"/>
  <c r="AX15" i="4"/>
  <c r="O50" i="4"/>
  <c r="AH59" i="10"/>
  <c r="BG34" i="10"/>
  <c r="AH59" i="8"/>
  <c r="BG34" i="8"/>
  <c r="AE64" i="4"/>
  <c r="BL31" i="4"/>
  <c r="BK24" i="10"/>
  <c r="X63" i="10"/>
  <c r="BK24" i="8"/>
  <c r="X63" i="8"/>
  <c r="T53" i="4"/>
  <c r="BA20" i="4"/>
  <c r="BK10" i="10"/>
  <c r="J63" i="10"/>
  <c r="BK10" i="8"/>
  <c r="J63" i="8"/>
  <c r="BA28" i="4"/>
  <c r="AB53" i="4"/>
  <c r="N5" i="10"/>
  <c r="E14" i="10"/>
  <c r="E14" i="8"/>
  <c r="N5" i="8"/>
  <c r="AX13" i="4"/>
  <c r="M50" i="4"/>
  <c r="R59" i="10"/>
  <c r="BG18" i="10"/>
  <c r="BG18" i="8"/>
  <c r="R59" i="8"/>
  <c r="BJ31" i="4"/>
  <c r="AE62" i="4"/>
  <c r="W60" i="10"/>
  <c r="BH23" i="10"/>
  <c r="BH23" i="8"/>
  <c r="W60" i="8"/>
  <c r="S32" i="4"/>
  <c r="AF19" i="4"/>
  <c r="AI44" i="10"/>
  <c r="AR35" i="10"/>
  <c r="AR35" i="8"/>
  <c r="AI44" i="8"/>
  <c r="AN9" i="4"/>
  <c r="I40" i="4"/>
  <c r="AH5" i="10"/>
  <c r="E34" i="10"/>
  <c r="AH5" i="8"/>
  <c r="E34" i="8"/>
  <c r="M64" i="4"/>
  <c r="BL13" i="4"/>
  <c r="AJ39" i="10"/>
  <c r="AM36" i="10"/>
  <c r="AM36" i="8"/>
  <c r="AJ39" i="8"/>
  <c r="H4" i="2"/>
  <c r="I4" i="2" s="1"/>
  <c r="F7" i="2"/>
  <c r="AG10" i="4"/>
  <c r="J33" i="4"/>
  <c r="AV57" i="10"/>
  <c r="BE48" i="10"/>
  <c r="BE48" i="8"/>
  <c r="AV57" i="8"/>
  <c r="AT25" i="4"/>
  <c r="Y46" i="4"/>
  <c r="AO38" i="10"/>
  <c r="AL41" i="10"/>
  <c r="AL41" i="8"/>
  <c r="AO38" i="8"/>
  <c r="AK12" i="4"/>
  <c r="L37" i="4"/>
  <c r="E12" i="10"/>
  <c r="L5" i="10"/>
  <c r="E12" i="8"/>
  <c r="L5" i="8"/>
  <c r="AV13" i="4"/>
  <c r="M48" i="4"/>
  <c r="AB59" i="10"/>
  <c r="BG28" i="10"/>
  <c r="BG28" i="8"/>
  <c r="AB59" i="8"/>
  <c r="AE36" i="4"/>
  <c r="AJ31" i="4"/>
  <c r="M28" i="10"/>
  <c r="AB13" i="10"/>
  <c r="AB13" i="8"/>
  <c r="M28" i="8"/>
  <c r="AW36" i="4"/>
  <c r="AJ49" i="4"/>
  <c r="F57" i="10"/>
  <c r="BE6" i="8"/>
  <c r="BE6" i="10"/>
  <c r="F57" i="8"/>
  <c r="Y14" i="4"/>
  <c r="N25" i="4"/>
  <c r="AR9" i="10"/>
  <c r="I44" i="10"/>
  <c r="I44" i="8"/>
  <c r="AR9" i="8"/>
  <c r="AN27" i="4"/>
  <c r="AA40" i="4"/>
  <c r="AJ29" i="10"/>
  <c r="AC36" i="10"/>
  <c r="AJ29" i="8"/>
  <c r="AC36" i="8"/>
  <c r="AY10" i="4"/>
  <c r="J51" i="4"/>
  <c r="E44" i="10"/>
  <c r="AR5" i="10"/>
  <c r="AR5" i="8"/>
  <c r="E44" i="8"/>
  <c r="M40" i="4"/>
  <c r="AN13" i="4"/>
  <c r="N59" i="10"/>
  <c r="BG14" i="10"/>
  <c r="BG14" i="8"/>
  <c r="N59" i="8"/>
  <c r="AX31" i="4"/>
  <c r="AE50" i="4"/>
  <c r="AK44" i="10"/>
  <c r="AR37" i="10"/>
  <c r="AR37" i="8"/>
  <c r="AK44" i="8"/>
  <c r="AN11" i="4"/>
  <c r="K40" i="4"/>
  <c r="V19" i="10"/>
  <c r="S22" i="10"/>
  <c r="S22" i="8"/>
  <c r="V19" i="8"/>
  <c r="R15" i="4"/>
  <c r="O18" i="4"/>
  <c r="AU42" i="10"/>
  <c r="AP47" i="10"/>
  <c r="AP47" i="8"/>
  <c r="AU42" i="8"/>
  <c r="AS38" i="4"/>
  <c r="AL45" i="4"/>
  <c r="BL51" i="10"/>
  <c r="AY64" i="10"/>
  <c r="AY64" i="8"/>
  <c r="BL51" i="8"/>
  <c r="E54" i="4"/>
  <c r="BB5" i="4"/>
  <c r="W18" i="10"/>
  <c r="R23" i="10"/>
  <c r="R23" i="8"/>
  <c r="W18" i="8"/>
  <c r="BJ19" i="4"/>
  <c r="S62" i="4"/>
  <c r="U62" i="10"/>
  <c r="BJ21" i="10"/>
  <c r="BJ21" i="8"/>
  <c r="U62" i="8"/>
  <c r="AP17" i="4"/>
  <c r="Q42" i="4"/>
  <c r="AE64" i="10"/>
  <c r="BL31" i="10"/>
  <c r="BL31" i="8"/>
  <c r="AE64" i="8"/>
  <c r="BB57" i="4"/>
  <c r="BE54" i="4"/>
  <c r="L41" i="10"/>
  <c r="AO12" i="10"/>
  <c r="AO12" i="8"/>
  <c r="L41" i="8"/>
  <c r="AK48" i="4"/>
  <c r="AV37" i="4"/>
  <c r="AM6" i="10"/>
  <c r="F39" i="10"/>
  <c r="AM6" i="8"/>
  <c r="F39" i="8"/>
  <c r="N33" i="4"/>
  <c r="AG14" i="4"/>
  <c r="AX57" i="10"/>
  <c r="BE50" i="8"/>
  <c r="AX57" i="8"/>
  <c r="BE50" i="10"/>
  <c r="BN25" i="4"/>
  <c r="Y66" i="4"/>
  <c r="AB49" i="10"/>
  <c r="AW28" i="10"/>
  <c r="AB49" i="8"/>
  <c r="AW28" i="8"/>
  <c r="BM36" i="4"/>
  <c r="AJ65" i="4"/>
  <c r="E48" i="10"/>
  <c r="AV5" i="10"/>
  <c r="AV5" i="8"/>
  <c r="E48" i="8"/>
  <c r="AT13" i="4"/>
  <c r="M46" i="4"/>
  <c r="J13" i="10"/>
  <c r="M10" i="10"/>
  <c r="J13" i="8"/>
  <c r="M10" i="8"/>
  <c r="AB49" i="4"/>
  <c r="AW28" i="4"/>
  <c r="N63" i="10"/>
  <c r="BK14" i="10"/>
  <c r="BK14" i="8"/>
  <c r="N63" i="8"/>
  <c r="AX53" i="4"/>
  <c r="BA50" i="4"/>
  <c r="AE42" i="10"/>
  <c r="AP31" i="10"/>
  <c r="AP31" i="8"/>
  <c r="AE42" i="8"/>
  <c r="BE38" i="4"/>
  <c r="AL57" i="4"/>
  <c r="AG32" i="10"/>
  <c r="AF33" i="10"/>
  <c r="AF33" i="8"/>
  <c r="AG32" i="8"/>
  <c r="BK58" i="4"/>
  <c r="BF63" i="4"/>
  <c r="AO54" i="10"/>
  <c r="BB41" i="10"/>
  <c r="BB41" i="8"/>
  <c r="AO54" i="8"/>
  <c r="AK8" i="4"/>
  <c r="H37" i="4"/>
  <c r="AU62" i="10"/>
  <c r="BJ47" i="10"/>
  <c r="AU62" i="8"/>
  <c r="BJ47" i="8"/>
  <c r="AP45" i="4"/>
  <c r="AS42" i="4"/>
  <c r="BE24" i="10"/>
  <c r="X57" i="10"/>
  <c r="BE24" i="8"/>
  <c r="X57" i="8"/>
  <c r="T25" i="4"/>
  <c r="Y20" i="4"/>
  <c r="AY34" i="8"/>
  <c r="AH51" i="8"/>
  <c r="AH51" i="10"/>
  <c r="AY34" i="10"/>
  <c r="E64" i="4"/>
  <c r="BL5" i="4"/>
  <c r="AC60" i="10"/>
  <c r="BH29" i="10"/>
  <c r="BH29" i="8"/>
  <c r="AC60" i="8"/>
  <c r="AY32" i="4"/>
  <c r="AF51" i="4"/>
  <c r="U44" i="10"/>
  <c r="AR21" i="10"/>
  <c r="AR21" i="8"/>
  <c r="U44" i="8"/>
  <c r="AN17" i="4"/>
  <c r="Q40" i="4"/>
  <c r="N49" i="10"/>
  <c r="AW14" i="10"/>
  <c r="AW14" i="8"/>
  <c r="N49" i="8"/>
  <c r="AX65" i="4"/>
  <c r="BM50" i="4"/>
  <c r="AD3" i="10"/>
  <c r="C30" i="10"/>
  <c r="C30" i="8"/>
  <c r="AD3" i="8"/>
  <c r="C52" i="4"/>
  <c r="AZ3" i="4"/>
  <c r="H23" i="10"/>
  <c r="W8" i="10"/>
  <c r="W8" i="8"/>
  <c r="H23" i="8"/>
  <c r="X19" i="4"/>
  <c r="S24" i="4"/>
  <c r="AF43" i="10"/>
  <c r="AQ32" i="10"/>
  <c r="AQ32" i="8"/>
  <c r="AF43" i="8"/>
  <c r="BF39" i="4"/>
  <c r="AM58" i="4"/>
  <c r="W16" i="10"/>
  <c r="P23" i="10"/>
  <c r="P23" i="8"/>
  <c r="W16" i="8"/>
  <c r="BH19" i="4"/>
  <c r="S60" i="4"/>
  <c r="E20" i="10"/>
  <c r="T5" i="10"/>
  <c r="E20" i="8"/>
  <c r="T5" i="8"/>
  <c r="M16" i="4"/>
  <c r="P13" i="4"/>
  <c r="AV27" i="10"/>
  <c r="AA48" i="10"/>
  <c r="AV27" i="8"/>
  <c r="AA48" i="8"/>
  <c r="AI46" i="4"/>
  <c r="AT35" i="4"/>
  <c r="AJ15" i="10"/>
  <c r="O36" i="10"/>
  <c r="O36" i="8"/>
  <c r="AJ15" i="8"/>
  <c r="BG10" i="4"/>
  <c r="J59" i="4"/>
  <c r="AK12" i="10"/>
  <c r="L37" i="10"/>
  <c r="AK12" i="8"/>
  <c r="L37" i="8"/>
  <c r="AV11" i="4"/>
  <c r="K48" i="4"/>
  <c r="K24" i="10"/>
  <c r="X11" i="10"/>
  <c r="X11" i="8"/>
  <c r="K24" i="8"/>
  <c r="AU20" i="4"/>
  <c r="T47" i="4"/>
  <c r="BI46" i="10"/>
  <c r="AT61" i="10"/>
  <c r="BI46" i="8"/>
  <c r="AT61" i="8"/>
  <c r="AO44" i="4"/>
  <c r="AR41" i="4"/>
  <c r="P19" i="10"/>
  <c r="S16" i="10"/>
  <c r="P19" i="8"/>
  <c r="S16" i="8"/>
  <c r="BH15" i="4"/>
  <c r="O60" i="4"/>
  <c r="G30" i="10"/>
  <c r="AD7" i="10"/>
  <c r="G30" i="8"/>
  <c r="AD7" i="8"/>
  <c r="W52" i="4"/>
  <c r="AZ23" i="4"/>
  <c r="N21" i="10"/>
  <c r="U14" i="10"/>
  <c r="N21" i="8"/>
  <c r="U14" i="8"/>
  <c r="AX17" i="4"/>
  <c r="Q50" i="4"/>
  <c r="BJ5" i="10"/>
  <c r="BJ5" i="8"/>
  <c r="E62" i="8"/>
  <c r="E62" i="10"/>
  <c r="M42" i="4"/>
  <c r="AP13" i="4"/>
  <c r="BF3" i="10"/>
  <c r="C58" i="8"/>
  <c r="BF3" i="8"/>
  <c r="C58" i="10"/>
  <c r="Z3" i="4"/>
  <c r="C26" i="4"/>
  <c r="BG16" i="10"/>
  <c r="P59" i="10"/>
  <c r="BG16" i="8"/>
  <c r="P59" i="8"/>
  <c r="BH31" i="4"/>
  <c r="AE60" i="4"/>
  <c r="K34" i="10"/>
  <c r="AH11" i="10"/>
  <c r="K34" i="8"/>
  <c r="AH11" i="8"/>
  <c r="BL47" i="4"/>
  <c r="AU64" i="4"/>
  <c r="I30" i="10"/>
  <c r="AD9" i="10"/>
  <c r="I30" i="8"/>
  <c r="AD9" i="8"/>
  <c r="AZ27" i="4"/>
  <c r="AA52" i="4"/>
  <c r="AU14" i="10"/>
  <c r="N47" i="10"/>
  <c r="AU14" i="8"/>
  <c r="N47" i="8"/>
  <c r="AX45" i="4"/>
  <c r="AS50" i="4"/>
  <c r="BK56" i="10"/>
  <c r="BD63" i="10"/>
  <c r="BK56" i="8"/>
  <c r="BD63" i="8"/>
  <c r="V53" i="4"/>
  <c r="BA22" i="4"/>
  <c r="AU4" i="10"/>
  <c r="D47" i="10"/>
  <c r="D47" i="8"/>
  <c r="AU4" i="8"/>
  <c r="D45" i="4"/>
  <c r="AS4" i="4"/>
  <c r="H14" i="2"/>
  <c r="I14" i="2" s="1"/>
  <c r="AZ63" i="10"/>
  <c r="BK52" i="10"/>
  <c r="BK52" i="8"/>
  <c r="AZ63" i="8"/>
  <c r="F31" i="2"/>
  <c r="G31" i="2" s="1"/>
  <c r="BA6" i="4"/>
  <c r="F53" i="4"/>
  <c r="BA52" i="10"/>
  <c r="AZ53" i="10"/>
  <c r="AZ53" i="8"/>
  <c r="BA52" i="8"/>
  <c r="F30" i="2"/>
  <c r="G30" i="2" s="1"/>
  <c r="G6" i="4"/>
  <c r="F7" i="4"/>
  <c r="S52" i="10"/>
  <c r="AZ19" i="10"/>
  <c r="AZ19" i="8"/>
  <c r="S52" i="8"/>
  <c r="H28" i="2"/>
  <c r="I28" i="2" s="1"/>
  <c r="F15" i="4"/>
  <c r="O6" i="4"/>
  <c r="AD39" i="10"/>
  <c r="AM30" i="10"/>
  <c r="AM30" i="8"/>
  <c r="AD39" i="8"/>
  <c r="AZ33" i="4"/>
  <c r="AG52" i="4"/>
  <c r="AV39" i="10"/>
  <c r="AM48" i="10"/>
  <c r="AM48" i="8"/>
  <c r="AV39" i="8"/>
  <c r="AT33" i="4"/>
  <c r="AG46" i="4"/>
  <c r="Z53" i="10"/>
  <c r="BA26" i="10"/>
  <c r="BA26" i="8"/>
  <c r="Z53" i="8"/>
  <c r="AD7" i="4"/>
  <c r="G30" i="4"/>
  <c r="K46" i="10"/>
  <c r="AT11" i="10"/>
  <c r="AT11" i="8"/>
  <c r="K46" i="8"/>
  <c r="AU44" i="4"/>
  <c r="AR47" i="4"/>
  <c r="AP65" i="10"/>
  <c r="BM42" i="10"/>
  <c r="BM42" i="8"/>
  <c r="AP65" i="8"/>
  <c r="AL55" i="4"/>
  <c r="BC38" i="4"/>
  <c r="T53" i="10"/>
  <c r="BA20" i="10"/>
  <c r="BA20" i="8"/>
  <c r="T53" i="8"/>
  <c r="G16" i="4"/>
  <c r="P7" i="4"/>
  <c r="AH45" i="10"/>
  <c r="AS34" i="10"/>
  <c r="AS34" i="8"/>
  <c r="AH45" i="8"/>
  <c r="BL43" i="4"/>
  <c r="AQ64" i="4"/>
  <c r="K26" i="10"/>
  <c r="Z11" i="8"/>
  <c r="K26" i="8"/>
  <c r="Z11" i="10"/>
  <c r="AU30" i="4"/>
  <c r="AD47" i="4"/>
  <c r="Y62" i="10"/>
  <c r="BJ25" i="10"/>
  <c r="BJ25" i="8"/>
  <c r="Y62" i="8"/>
  <c r="AC42" i="4"/>
  <c r="AP29" i="4"/>
  <c r="D65" i="10"/>
  <c r="BM4" i="10"/>
  <c r="BM4" i="8"/>
  <c r="D65" i="8"/>
  <c r="D55" i="4"/>
  <c r="BC4" i="4"/>
  <c r="AD65" i="10"/>
  <c r="BM30" i="10"/>
  <c r="BM30" i="8"/>
  <c r="AD65" i="8"/>
  <c r="AZ55" i="4"/>
  <c r="BC52" i="4"/>
  <c r="AB39" i="10"/>
  <c r="AM28" i="10"/>
  <c r="AM28" i="8"/>
  <c r="AB39" i="8"/>
  <c r="AJ33" i="4"/>
  <c r="AG36" i="4"/>
  <c r="AD49" i="10"/>
  <c r="AW30" i="10"/>
  <c r="AW30" i="8"/>
  <c r="AD49" i="8"/>
  <c r="BM52" i="4"/>
  <c r="AZ65" i="4"/>
  <c r="AY40" i="10"/>
  <c r="AN51" i="10"/>
  <c r="AY40" i="8"/>
  <c r="AN51" i="8"/>
  <c r="E34" i="4"/>
  <c r="AH5" i="4"/>
  <c r="M60" i="10"/>
  <c r="BH13" i="10"/>
  <c r="BH13" i="8"/>
  <c r="M60" i="8"/>
  <c r="AW32" i="4"/>
  <c r="AF49" i="4"/>
  <c r="E40" i="10"/>
  <c r="AN5" i="10"/>
  <c r="AN5" i="8"/>
  <c r="E40" i="8"/>
  <c r="AH13" i="4"/>
  <c r="M34" i="4"/>
  <c r="BC58" i="10"/>
  <c r="BF55" i="10"/>
  <c r="BF55" i="8"/>
  <c r="BC58" i="8"/>
  <c r="Z21" i="4"/>
  <c r="U26" i="4"/>
  <c r="L61" i="10"/>
  <c r="BI12" i="10"/>
  <c r="BI12" i="8"/>
  <c r="L61" i="8"/>
  <c r="AO48" i="4"/>
  <c r="AV41" i="4"/>
  <c r="U24" i="8"/>
  <c r="U24" i="10"/>
  <c r="X21" i="8"/>
  <c r="X21" i="10"/>
  <c r="Q20" i="4"/>
  <c r="T17" i="4"/>
  <c r="D21" i="10"/>
  <c r="U4" i="10"/>
  <c r="D21" i="8"/>
  <c r="U4" i="8"/>
  <c r="Q4" i="4"/>
  <c r="D17" i="4"/>
  <c r="AP57" i="10"/>
  <c r="BE42" i="10"/>
  <c r="BE42" i="8"/>
  <c r="AP57" i="8"/>
  <c r="Y38" i="4"/>
  <c r="AL25" i="4"/>
  <c r="G14" i="10"/>
  <c r="N7" i="10"/>
  <c r="N7" i="8"/>
  <c r="G14" i="8"/>
  <c r="AX23" i="4"/>
  <c r="W50" i="4"/>
  <c r="AW46" i="10"/>
  <c r="AT49" i="10"/>
  <c r="AT49" i="8"/>
  <c r="AW46" i="8"/>
  <c r="AR65" i="4"/>
  <c r="BM44" i="4"/>
  <c r="R11" i="10"/>
  <c r="K18" i="10"/>
  <c r="K18" i="8"/>
  <c r="R11" i="8"/>
  <c r="BJ47" i="4"/>
  <c r="AU62" i="4"/>
  <c r="L65" i="10"/>
  <c r="BM12" i="10"/>
  <c r="BM12" i="8"/>
  <c r="L65" i="8"/>
  <c r="BC48" i="4"/>
  <c r="AV55" i="4"/>
  <c r="AL45" i="10"/>
  <c r="AS38" i="10"/>
  <c r="AS38" i="8"/>
  <c r="AL45" i="8"/>
  <c r="AQ12" i="4"/>
  <c r="L43" i="4"/>
  <c r="F3" i="10"/>
  <c r="C6" i="10"/>
  <c r="C6" i="8"/>
  <c r="F3" i="8"/>
  <c r="C14" i="4"/>
  <c r="N3" i="4"/>
  <c r="N43" i="10"/>
  <c r="AQ14" i="10"/>
  <c r="AQ14" i="8"/>
  <c r="N43" i="8"/>
  <c r="AX39" i="4"/>
  <c r="AM50" i="4"/>
  <c r="P49" i="10"/>
  <c r="AW16" i="10"/>
  <c r="AW16" i="8"/>
  <c r="P49" i="8"/>
  <c r="BH65" i="4"/>
  <c r="BM60" i="4"/>
  <c r="AG20" i="10"/>
  <c r="T33" i="10"/>
  <c r="T33" i="8"/>
  <c r="AG20" i="8"/>
  <c r="BK16" i="4"/>
  <c r="P63" i="4"/>
  <c r="AL5" i="8"/>
  <c r="E38" i="8"/>
  <c r="E38" i="10"/>
  <c r="AL5" i="10"/>
  <c r="M12" i="4"/>
  <c r="L13" i="4"/>
  <c r="AZ47" i="10"/>
  <c r="AU52" i="10"/>
  <c r="AZ47" i="8"/>
  <c r="AU52" i="8"/>
  <c r="F45" i="4"/>
  <c r="AS6" i="4"/>
  <c r="BI32" i="10"/>
  <c r="AF61" i="10"/>
  <c r="BI32" i="8"/>
  <c r="AF61" i="8"/>
  <c r="BF41" i="4"/>
  <c r="AO58" i="4"/>
  <c r="BJ55" i="10"/>
  <c r="BC62" i="10"/>
  <c r="BJ55" i="8"/>
  <c r="BC62" i="8"/>
  <c r="AP21" i="4"/>
  <c r="U42" i="4"/>
  <c r="AD59" i="10"/>
  <c r="BG30" i="8"/>
  <c r="AD59" i="8"/>
  <c r="BG30" i="10"/>
  <c r="AZ31" i="4"/>
  <c r="AE52" i="4"/>
  <c r="AW62" i="10"/>
  <c r="BJ49" i="10"/>
  <c r="AW62" i="8"/>
  <c r="BJ49" i="8"/>
  <c r="BM42" i="4"/>
  <c r="AP65" i="4"/>
  <c r="L15" i="10"/>
  <c r="O12" i="10"/>
  <c r="L15" i="8"/>
  <c r="O12" i="8"/>
  <c r="AV59" i="4"/>
  <c r="BG48" i="4"/>
  <c r="AZ59" i="10"/>
  <c r="BG52" i="10"/>
  <c r="BG52" i="8"/>
  <c r="AZ59" i="8"/>
  <c r="AE6" i="4"/>
  <c r="F31" i="4"/>
  <c r="X65" i="10"/>
  <c r="BM24" i="10"/>
  <c r="BM24" i="8"/>
  <c r="X65" i="8"/>
  <c r="T55" i="4"/>
  <c r="BC20" i="4"/>
  <c r="G26" i="10"/>
  <c r="Z7" i="10"/>
  <c r="Z7" i="8"/>
  <c r="G26" i="8"/>
  <c r="W30" i="4"/>
  <c r="AD23" i="4"/>
  <c r="S60" i="10"/>
  <c r="BH19" i="10"/>
  <c r="BH19" i="8"/>
  <c r="S60" i="8"/>
  <c r="O32" i="4"/>
  <c r="AF15" i="4"/>
  <c r="S66" i="10"/>
  <c r="BN19" i="10"/>
  <c r="BN19" i="8"/>
  <c r="S66" i="8"/>
  <c r="O56" i="4"/>
  <c r="BD15" i="4"/>
  <c r="BC20" i="10"/>
  <c r="T55" i="10"/>
  <c r="BC20" i="8"/>
  <c r="T55" i="8"/>
  <c r="P21" i="4"/>
  <c r="U16" i="4"/>
  <c r="W26" i="10"/>
  <c r="Z23" i="10"/>
  <c r="W26" i="8"/>
  <c r="Z23" i="8"/>
  <c r="S30" i="4"/>
  <c r="AD19" i="4"/>
  <c r="AD51" i="10"/>
  <c r="AY30" i="10"/>
  <c r="AY30" i="8"/>
  <c r="AD51" i="8"/>
  <c r="AZ5" i="4"/>
  <c r="E52" i="4"/>
  <c r="X47" i="10"/>
  <c r="AU24" i="10"/>
  <c r="AU24" i="8"/>
  <c r="X47" i="8"/>
  <c r="AS20" i="4"/>
  <c r="T45" i="4"/>
  <c r="D49" i="10"/>
  <c r="AW4" i="10"/>
  <c r="D49" i="8"/>
  <c r="AW4" i="8"/>
  <c r="BM4" i="4"/>
  <c r="D65" i="4"/>
  <c r="AG54" i="10"/>
  <c r="BB33" i="10"/>
  <c r="BB33" i="8"/>
  <c r="AG54" i="8"/>
  <c r="BK8" i="4"/>
  <c r="H63" i="4"/>
  <c r="BG22" i="10"/>
  <c r="V59" i="10"/>
  <c r="BG22" i="8"/>
  <c r="V59" i="8"/>
  <c r="AE18" i="4"/>
  <c r="R31" i="4"/>
  <c r="AQ52" i="10"/>
  <c r="AZ43" i="10"/>
  <c r="AZ43" i="8"/>
  <c r="AQ52" i="8"/>
  <c r="F39" i="4"/>
  <c r="AM6" i="4"/>
  <c r="BI10" i="10"/>
  <c r="J61" i="10"/>
  <c r="BI10" i="8"/>
  <c r="J61" i="8"/>
  <c r="AO28" i="4"/>
  <c r="AB41" i="4"/>
  <c r="U28" i="10"/>
  <c r="AB21" i="10"/>
  <c r="AB21" i="8"/>
  <c r="U28" i="8"/>
  <c r="AJ17" i="4"/>
  <c r="Q36" i="4"/>
  <c r="AF17" i="10"/>
  <c r="Q32" i="10"/>
  <c r="Q32" i="8"/>
  <c r="AF17" i="8"/>
  <c r="BF61" i="4"/>
  <c r="BI58" i="4"/>
  <c r="AH37" i="10"/>
  <c r="AK34" i="10"/>
  <c r="AK34" i="8"/>
  <c r="AH37" i="8"/>
  <c r="BL11" i="4"/>
  <c r="K64" i="4"/>
  <c r="AU28" i="10"/>
  <c r="AB47" i="10"/>
  <c r="AU28" i="8"/>
  <c r="AB47" i="8"/>
  <c r="AS36" i="4"/>
  <c r="AJ45" i="4"/>
  <c r="P33" i="10"/>
  <c r="AG16" i="10"/>
  <c r="AG16" i="8"/>
  <c r="P33" i="8"/>
  <c r="BK60" i="4"/>
  <c r="BH63" i="4"/>
  <c r="AI66" i="10"/>
  <c r="BN35" i="10"/>
  <c r="BN35" i="8"/>
  <c r="AI66" i="8"/>
  <c r="I56" i="4"/>
  <c r="BD9" i="4"/>
  <c r="AN47" i="10"/>
  <c r="AU40" i="10"/>
  <c r="AU40" i="8"/>
  <c r="AN47" i="8"/>
  <c r="AH45" i="4"/>
  <c r="AS34" i="4"/>
  <c r="AK6" i="8"/>
  <c r="F37" i="8"/>
  <c r="AK6" i="10"/>
  <c r="F37" i="10"/>
  <c r="N11" i="4"/>
  <c r="K14" i="4"/>
  <c r="AU66" i="10"/>
  <c r="BN47" i="10"/>
  <c r="AU66" i="8"/>
  <c r="BN47" i="8"/>
  <c r="AS56" i="4"/>
  <c r="BD45" i="4"/>
  <c r="E28" i="10"/>
  <c r="AB5" i="10"/>
  <c r="E28" i="8"/>
  <c r="AB5" i="8"/>
  <c r="AJ13" i="4"/>
  <c r="M36" i="4"/>
  <c r="BB37" i="10"/>
  <c r="AK54" i="10"/>
  <c r="BB37" i="8"/>
  <c r="AK54" i="8"/>
  <c r="K8" i="4"/>
  <c r="H11" i="4"/>
  <c r="AX61" i="10"/>
  <c r="BI50" i="10"/>
  <c r="AX61" i="8"/>
  <c r="BI50" i="8"/>
  <c r="BN41" i="4"/>
  <c r="AO66" i="4"/>
  <c r="I24" i="10"/>
  <c r="X9" i="10"/>
  <c r="I24" i="8"/>
  <c r="X9" i="8"/>
  <c r="AA20" i="4"/>
  <c r="T27" i="4"/>
  <c r="AZ57" i="10"/>
  <c r="BE52" i="10"/>
  <c r="BE52" i="8"/>
  <c r="AZ57" i="8"/>
  <c r="F25" i="4"/>
  <c r="Y6" i="4"/>
  <c r="E18" i="10"/>
  <c r="R5" i="10"/>
  <c r="E18" i="8"/>
  <c r="R5" i="8"/>
  <c r="M62" i="4"/>
  <c r="BJ13" i="4"/>
  <c r="J47" i="10"/>
  <c r="AU10" i="10"/>
  <c r="AU10" i="8"/>
  <c r="J47" i="8"/>
  <c r="AS28" i="4"/>
  <c r="AB45" i="4"/>
  <c r="N35" i="10"/>
  <c r="AI14" i="10"/>
  <c r="N35" i="8"/>
  <c r="AI14" i="8"/>
  <c r="F4" i="2"/>
  <c r="G4" i="2" s="1"/>
  <c r="AX9" i="4"/>
  <c r="I50" i="4"/>
  <c r="U54" i="10"/>
  <c r="BB21" i="10"/>
  <c r="BB21" i="8"/>
  <c r="U54" i="8"/>
  <c r="Q8" i="4"/>
  <c r="H17" i="4"/>
  <c r="F29" i="10"/>
  <c r="F29" i="8"/>
  <c r="AC6" i="8"/>
  <c r="AC6" i="10"/>
  <c r="F12" i="2"/>
  <c r="G12" i="2" s="1"/>
  <c r="H33" i="2"/>
  <c r="I33" i="2" s="1"/>
  <c r="AY14" i="4"/>
  <c r="N51" i="4"/>
  <c r="I18" i="10"/>
  <c r="R9" i="10"/>
  <c r="R9" i="8"/>
  <c r="I18" i="8"/>
  <c r="H3" i="2"/>
  <c r="I3" i="2" s="1"/>
  <c r="F27" i="2"/>
  <c r="G27" i="2" s="1"/>
  <c r="L27" i="2"/>
  <c r="O27" i="2"/>
  <c r="AA62" i="4"/>
  <c r="BJ27" i="4"/>
  <c r="Y64" i="10"/>
  <c r="BL25" i="8"/>
  <c r="Y64" i="8"/>
  <c r="BL25" i="10"/>
  <c r="BB29" i="4"/>
  <c r="AC54" i="4"/>
  <c r="E56" i="10"/>
  <c r="BD5" i="10"/>
  <c r="BD5" i="8"/>
  <c r="E56" i="8"/>
  <c r="M22" i="4"/>
  <c r="V13" i="4"/>
  <c r="AK64" i="10"/>
  <c r="BL37" i="10"/>
  <c r="BL37" i="8"/>
  <c r="AK64" i="8"/>
  <c r="BB11" i="4"/>
  <c r="K54" i="4"/>
  <c r="D5" i="10"/>
  <c r="E4" i="10"/>
  <c r="D5" i="8"/>
  <c r="E4" i="8"/>
  <c r="M4" i="4"/>
  <c r="D13" i="4"/>
  <c r="BB47" i="10"/>
  <c r="AU54" i="10"/>
  <c r="AU54" i="8"/>
  <c r="BB47" i="8"/>
  <c r="AS8" i="4"/>
  <c r="H45" i="4"/>
  <c r="L49" i="10"/>
  <c r="AW12" i="10"/>
  <c r="AW12" i="8"/>
  <c r="L49" i="8"/>
  <c r="BM48" i="4"/>
  <c r="AV65" i="4"/>
  <c r="F47" i="10"/>
  <c r="AU6" i="10"/>
  <c r="AU6" i="8"/>
  <c r="F47" i="8"/>
  <c r="AS14" i="4"/>
  <c r="N45" i="4"/>
  <c r="AC32" i="10"/>
  <c r="AF29" i="10"/>
  <c r="AF29" i="8"/>
  <c r="AC32" i="8"/>
  <c r="BF51" i="4"/>
  <c r="AY58" i="4"/>
  <c r="AY8" i="8"/>
  <c r="H51" i="8"/>
  <c r="H51" i="10"/>
  <c r="AY8" i="10"/>
  <c r="E24" i="4"/>
  <c r="X5" i="4"/>
  <c r="AS54" i="10"/>
  <c r="BB45" i="10"/>
  <c r="BB45" i="8"/>
  <c r="AS54" i="8"/>
  <c r="H43" i="4"/>
  <c r="AQ8" i="4"/>
  <c r="AJ37" i="10"/>
  <c r="AK36" i="10"/>
  <c r="AJ37" i="8"/>
  <c r="AK36" i="8"/>
  <c r="K10" i="4"/>
  <c r="J11" i="4"/>
  <c r="AT53" i="10"/>
  <c r="BA46" i="10"/>
  <c r="AT53" i="8"/>
  <c r="BA46" i="8"/>
  <c r="AR7" i="4"/>
  <c r="G44" i="4"/>
  <c r="L23" i="10"/>
  <c r="W12" i="10"/>
  <c r="W12" i="8"/>
  <c r="L23" i="8"/>
  <c r="AV19" i="4"/>
  <c r="S48" i="4"/>
  <c r="X41" i="10"/>
  <c r="AO24" i="10"/>
  <c r="AO24" i="8"/>
  <c r="X41" i="8"/>
  <c r="AK20" i="4"/>
  <c r="T37" i="4"/>
  <c r="C22" i="10"/>
  <c r="V3" i="10"/>
  <c r="V3" i="8"/>
  <c r="C22" i="8"/>
  <c r="C18" i="4"/>
  <c r="R3" i="4"/>
  <c r="R55" i="10"/>
  <c r="BC18" i="10"/>
  <c r="BC18" i="8"/>
  <c r="R55" i="8"/>
  <c r="BJ21" i="4"/>
  <c r="U62" i="4"/>
  <c r="AT47" i="10"/>
  <c r="AU46" i="10"/>
  <c r="AT47" i="8"/>
  <c r="AU46" i="8"/>
  <c r="AS44" i="4"/>
  <c r="AR45" i="4"/>
  <c r="AV37" i="8"/>
  <c r="AK48" i="8"/>
  <c r="AK48" i="10"/>
  <c r="AV37" i="10"/>
  <c r="AT11" i="4"/>
  <c r="K46" i="4"/>
  <c r="O48" i="10"/>
  <c r="AV15" i="10"/>
  <c r="AV15" i="8"/>
  <c r="O48" i="8"/>
  <c r="BG46" i="4"/>
  <c r="AT59" i="4"/>
  <c r="AR49" i="10"/>
  <c r="AW44" i="10"/>
  <c r="AR49" i="8"/>
  <c r="BM40" i="4"/>
  <c r="AN65" i="4"/>
  <c r="AW44" i="8"/>
  <c r="AH39" i="10"/>
  <c r="AM34" i="10"/>
  <c r="AM34" i="8"/>
  <c r="AH39" i="8"/>
  <c r="BL33" i="4"/>
  <c r="AG64" i="4"/>
  <c r="D35" i="10"/>
  <c r="AI4" i="10"/>
  <c r="D35" i="8"/>
  <c r="AI4" i="8"/>
  <c r="I4" i="4"/>
  <c r="D9" i="4"/>
  <c r="E22" i="10"/>
  <c r="V5" i="10"/>
  <c r="V5" i="8"/>
  <c r="E22" i="8"/>
  <c r="M18" i="4"/>
  <c r="R13" i="4"/>
  <c r="M58" i="10"/>
  <c r="BF13" i="10"/>
  <c r="BF13" i="8"/>
  <c r="M58" i="8"/>
  <c r="Z49" i="4"/>
  <c r="AW26" i="4"/>
  <c r="AB57" i="10"/>
  <c r="BE28" i="10"/>
  <c r="BE28" i="8"/>
  <c r="AB57" i="8"/>
  <c r="Y36" i="4"/>
  <c r="AJ25" i="4"/>
  <c r="T35" i="10"/>
  <c r="AI20" i="10"/>
  <c r="T35" i="8"/>
  <c r="AI20" i="8"/>
  <c r="P9" i="4"/>
  <c r="I16" i="4"/>
  <c r="H45" i="10"/>
  <c r="AS8" i="10"/>
  <c r="AS8" i="8"/>
  <c r="H45" i="8"/>
  <c r="X43" i="4"/>
  <c r="AQ24" i="4"/>
  <c r="H5" i="10"/>
  <c r="E8" i="10"/>
  <c r="H5" i="8"/>
  <c r="E8" i="8"/>
  <c r="M24" i="4"/>
  <c r="D22" i="2"/>
  <c r="H22" i="2"/>
  <c r="I22" i="2" s="1"/>
  <c r="X13" i="5"/>
  <c r="M24" i="5"/>
  <c r="L33" i="2"/>
  <c r="F33" i="2"/>
  <c r="G33" i="2" s="1"/>
  <c r="D33" i="2"/>
  <c r="O33" i="2"/>
  <c r="X13" i="4"/>
  <c r="Y56" i="10"/>
  <c r="BD25" i="10"/>
  <c r="BD25" i="8"/>
  <c r="Y56" i="8"/>
  <c r="V29" i="4"/>
  <c r="AC22" i="4"/>
  <c r="M38" i="10"/>
  <c r="AL13" i="10"/>
  <c r="M38" i="8"/>
  <c r="AL13" i="8"/>
  <c r="AW12" i="4"/>
  <c r="L49" i="4"/>
  <c r="AG44" i="10"/>
  <c r="AR33" i="10"/>
  <c r="BK40" i="4"/>
  <c r="AR33" i="8"/>
  <c r="AG44" i="8"/>
  <c r="AN63" i="4"/>
  <c r="Z43" i="10"/>
  <c r="AQ26" i="10"/>
  <c r="AQ26" i="8"/>
  <c r="Z43" i="8"/>
  <c r="AM30" i="4"/>
  <c r="AD39" i="4"/>
  <c r="AI6" i="10"/>
  <c r="F35" i="10"/>
  <c r="AI6" i="8"/>
  <c r="F35" i="8"/>
  <c r="N9" i="4"/>
  <c r="I14" i="4"/>
  <c r="H61" i="10"/>
  <c r="BI8" i="10"/>
  <c r="BI8" i="8"/>
  <c r="H61" i="8"/>
  <c r="AO24" i="4"/>
  <c r="X41" i="4"/>
  <c r="AW6" i="10"/>
  <c r="F49" i="10"/>
  <c r="AW6" i="8"/>
  <c r="F49" i="8"/>
  <c r="BM14" i="4"/>
  <c r="N65" i="4"/>
  <c r="AV63" i="10"/>
  <c r="BK48" i="10"/>
  <c r="AV63" i="8"/>
  <c r="BK48" i="8"/>
  <c r="BA46" i="4"/>
  <c r="AT53" i="4"/>
  <c r="E60" i="10"/>
  <c r="BH5" i="10"/>
  <c r="BH5" i="8"/>
  <c r="E60" i="8"/>
  <c r="AF13" i="4"/>
  <c r="M32" i="4"/>
  <c r="BA38" i="10"/>
  <c r="AL53" i="10"/>
  <c r="BA38" i="8"/>
  <c r="AL53" i="8"/>
  <c r="G12" i="4"/>
  <c r="L7" i="4"/>
  <c r="G6" i="10"/>
  <c r="F7" i="10"/>
  <c r="G6" i="8"/>
  <c r="F7" i="8"/>
  <c r="N23" i="4"/>
  <c r="W14" i="4"/>
  <c r="T45" i="10"/>
  <c r="AS20" i="10"/>
  <c r="AS20" i="8"/>
  <c r="T45" i="8"/>
  <c r="AQ16" i="4"/>
  <c r="P43" i="4"/>
  <c r="G52" i="10"/>
  <c r="AZ7" i="10"/>
  <c r="AZ7" i="8"/>
  <c r="G52" i="8"/>
  <c r="F23" i="4"/>
  <c r="W6" i="4"/>
  <c r="AL17" i="10"/>
  <c r="Q38" i="10"/>
  <c r="AL17" i="8"/>
  <c r="Q38" i="8"/>
  <c r="BI12" i="4"/>
  <c r="L61" i="4"/>
  <c r="AL61" i="10"/>
  <c r="BI38" i="10"/>
  <c r="AL61" i="8"/>
  <c r="AO12" i="4"/>
  <c r="L41" i="4"/>
  <c r="BI38" i="8"/>
  <c r="AO58" i="10"/>
  <c r="BF41" i="10"/>
  <c r="AO58" i="8"/>
  <c r="BF41" i="8"/>
  <c r="AK26" i="4"/>
  <c r="Z37" i="4"/>
  <c r="AG60" i="8"/>
  <c r="BH33" i="8"/>
  <c r="AG60" i="10"/>
  <c r="BH33" i="10"/>
  <c r="BK32" i="4"/>
  <c r="AF63" i="4"/>
  <c r="AE24" i="8"/>
  <c r="X31" i="10"/>
  <c r="X31" i="8"/>
  <c r="AE24" i="10"/>
  <c r="BE20" i="4"/>
  <c r="T57" i="4"/>
  <c r="R61" i="10"/>
  <c r="BI18" i="10"/>
  <c r="R61" i="8"/>
  <c r="BJ41" i="4"/>
  <c r="BI18" i="8"/>
  <c r="AO62" i="4"/>
  <c r="K20" i="10"/>
  <c r="T11" i="10"/>
  <c r="T11" i="8"/>
  <c r="K20" i="8"/>
  <c r="AU16" i="4"/>
  <c r="P47" i="4"/>
  <c r="X45" i="10"/>
  <c r="AS24" i="10"/>
  <c r="AS24" i="8"/>
  <c r="X45" i="8"/>
  <c r="AQ20" i="4"/>
  <c r="T43" i="4"/>
  <c r="R41" i="10"/>
  <c r="AO18" i="10"/>
  <c r="AO18" i="8"/>
  <c r="R41" i="8"/>
  <c r="BJ37" i="4"/>
  <c r="AK62" i="4"/>
  <c r="I60" i="10"/>
  <c r="BH9" i="10"/>
  <c r="BH9" i="8"/>
  <c r="I60" i="8"/>
  <c r="AA32" i="4"/>
  <c r="AF27" i="4"/>
  <c r="F19" i="10"/>
  <c r="S6" i="10"/>
  <c r="F19" i="8"/>
  <c r="S6" i="8"/>
  <c r="N15" i="4"/>
  <c r="O14" i="4"/>
  <c r="AC50" i="10"/>
  <c r="AX29" i="10"/>
  <c r="AX29" i="8"/>
  <c r="AC50" i="8"/>
  <c r="BN51" i="4"/>
  <c r="AY66" i="4"/>
  <c r="I14" i="10"/>
  <c r="N9" i="10"/>
  <c r="N9" i="8"/>
  <c r="I14" i="8"/>
  <c r="AX27" i="4"/>
  <c r="AA50" i="4"/>
  <c r="AY62" i="10"/>
  <c r="BJ51" i="8"/>
  <c r="AY62" i="8"/>
  <c r="BJ51" i="10"/>
  <c r="E42" i="4"/>
  <c r="AP5" i="4"/>
  <c r="AD31" i="10"/>
  <c r="AE30" i="10"/>
  <c r="AD31" i="8"/>
  <c r="AE30" i="8"/>
  <c r="BE52" i="4"/>
  <c r="AZ57" i="4"/>
  <c r="X37" i="10"/>
  <c r="AK24" i="10"/>
  <c r="AK24" i="8"/>
  <c r="X37" i="8"/>
  <c r="K20" i="4"/>
  <c r="T11" i="4"/>
  <c r="V51" i="10"/>
  <c r="AY22" i="10"/>
  <c r="AY22" i="8"/>
  <c r="V51" i="8"/>
  <c r="E18" i="4"/>
  <c r="R5" i="4"/>
  <c r="AY18" i="10"/>
  <c r="R51" i="10"/>
  <c r="AY18" i="8"/>
  <c r="R51" i="8"/>
  <c r="E62" i="4"/>
  <c r="BJ5" i="4"/>
  <c r="L17" i="10"/>
  <c r="Q12" i="10"/>
  <c r="L17" i="8"/>
  <c r="Q12" i="8"/>
  <c r="BI48" i="4"/>
  <c r="AV61" i="4"/>
  <c r="C12" i="10"/>
  <c r="L3" i="10"/>
  <c r="C12" i="8"/>
  <c r="L3" i="8"/>
  <c r="H15" i="2"/>
  <c r="I15" i="2" s="1"/>
  <c r="F14" i="2"/>
  <c r="G14" i="2" s="1"/>
  <c r="AV3" i="4"/>
  <c r="C48" i="4"/>
  <c r="W54" i="10"/>
  <c r="BB23" i="10"/>
  <c r="BB23" i="8"/>
  <c r="W54" i="8"/>
  <c r="H19" i="4"/>
  <c r="S8" i="4"/>
  <c r="W66" i="10"/>
  <c r="BN23" i="10"/>
  <c r="BN23" i="8"/>
  <c r="W66" i="8"/>
  <c r="BD19" i="4"/>
  <c r="S56" i="4"/>
  <c r="AF35" i="10"/>
  <c r="AI32" i="10"/>
  <c r="AF35" i="8"/>
  <c r="AI32" i="8"/>
  <c r="BF9" i="4"/>
  <c r="I58" i="4"/>
  <c r="AY36" i="10"/>
  <c r="AJ51" i="10"/>
  <c r="AY36" i="8"/>
  <c r="AJ51" i="8"/>
  <c r="J5" i="4"/>
  <c r="E10" i="4"/>
  <c r="J29" i="10"/>
  <c r="AC10" i="10"/>
  <c r="AC10" i="8"/>
  <c r="J29" i="8"/>
  <c r="AY28" i="4"/>
  <c r="AB51" i="4"/>
  <c r="AP23" i="10"/>
  <c r="W42" i="10"/>
  <c r="W42" i="8"/>
  <c r="AP23" i="8"/>
  <c r="AL19" i="4"/>
  <c r="S38" i="4"/>
  <c r="H63" i="10"/>
  <c r="BK8" i="10"/>
  <c r="BK8" i="8"/>
  <c r="H63" i="8"/>
  <c r="BA24" i="4"/>
  <c r="X53" i="4"/>
  <c r="J45" i="10"/>
  <c r="AS10" i="10"/>
  <c r="AS10" i="8"/>
  <c r="J45" i="8"/>
  <c r="AQ28" i="4"/>
  <c r="AB43" i="4"/>
  <c r="AM44" i="10"/>
  <c r="AR39" i="10"/>
  <c r="AM44" i="8"/>
  <c r="AR39" i="8"/>
  <c r="AN33" i="4"/>
  <c r="AG40" i="4"/>
  <c r="BN3" i="10"/>
  <c r="C66" i="10"/>
  <c r="BN3" i="8"/>
  <c r="C66" i="8"/>
  <c r="C56" i="4"/>
  <c r="BD3" i="4"/>
  <c r="BB13" i="10"/>
  <c r="M54" i="10"/>
  <c r="BB13" i="8"/>
  <c r="M54" i="8"/>
  <c r="AW8" i="4"/>
  <c r="H49" i="4"/>
  <c r="J59" i="10"/>
  <c r="BG10" i="10"/>
  <c r="BG10" i="8"/>
  <c r="J59" i="8"/>
  <c r="AE28" i="4"/>
  <c r="AB31" i="4"/>
  <c r="BI6" i="10"/>
  <c r="F61" i="10"/>
  <c r="BI6" i="8"/>
  <c r="F61" i="8"/>
  <c r="AO14" i="4"/>
  <c r="N41" i="4"/>
  <c r="D7" i="8"/>
  <c r="D7" i="10"/>
  <c r="G4" i="10"/>
  <c r="G4" i="8"/>
  <c r="D23" i="4"/>
  <c r="W4" i="4"/>
  <c r="R15" i="10"/>
  <c r="O18" i="10"/>
  <c r="O18" i="8"/>
  <c r="R15" i="8"/>
  <c r="BG62" i="4"/>
  <c r="BJ59" i="4"/>
  <c r="F65" i="10"/>
  <c r="BM6" i="10"/>
  <c r="BM6" i="8"/>
  <c r="F65" i="8"/>
  <c r="N55" i="4"/>
  <c r="BC14" i="4"/>
  <c r="P65" i="10"/>
  <c r="BM16" i="10"/>
  <c r="BM16" i="8"/>
  <c r="P65" i="8"/>
  <c r="BH55" i="4"/>
  <c r="BC60" i="4"/>
  <c r="S26" i="10"/>
  <c r="Z19" i="10"/>
  <c r="Z19" i="8"/>
  <c r="S26" i="8"/>
  <c r="AD15" i="4"/>
  <c r="O30" i="4"/>
  <c r="BJ17" i="8"/>
  <c r="Q62" i="8"/>
  <c r="Q62" i="10"/>
  <c r="BJ17" i="10"/>
  <c r="AP61" i="4"/>
  <c r="BI42" i="4"/>
  <c r="V45" i="10"/>
  <c r="AS22" i="8"/>
  <c r="V45" i="8"/>
  <c r="AS22" i="10"/>
  <c r="AQ18" i="4"/>
  <c r="R43" i="4"/>
  <c r="Y66" i="10"/>
  <c r="BN25" i="10"/>
  <c r="BN25" i="8"/>
  <c r="Y66" i="8"/>
  <c r="BD29" i="4"/>
  <c r="AC56" i="4"/>
  <c r="BG62" i="10"/>
  <c r="BJ59" i="10"/>
  <c r="BG62" i="8"/>
  <c r="BJ59" i="8"/>
  <c r="AE42" i="4"/>
  <c r="AP31" i="4"/>
  <c r="AV45" i="10"/>
  <c r="AS48" i="8"/>
  <c r="AV45" i="8"/>
  <c r="AS48" i="10"/>
  <c r="AT43" i="4"/>
  <c r="AQ46" i="4"/>
  <c r="BJ15" i="10"/>
  <c r="O62" i="10"/>
  <c r="BJ15" i="8"/>
  <c r="O62" i="8"/>
  <c r="BG42" i="4"/>
  <c r="AP59" i="4"/>
  <c r="I8" i="10"/>
  <c r="H9" i="10"/>
  <c r="H9" i="8"/>
  <c r="I8" i="8"/>
  <c r="AA24" i="4"/>
  <c r="X27" i="4"/>
  <c r="W50" i="10"/>
  <c r="AX23" i="10"/>
  <c r="AX23" i="8"/>
  <c r="W50" i="8"/>
  <c r="BN19" i="4"/>
  <c r="S66" i="4"/>
  <c r="Q20" i="10"/>
  <c r="T17" i="10"/>
  <c r="Q20" i="8"/>
  <c r="T17" i="8"/>
  <c r="BI16" i="4"/>
  <c r="P61" i="4"/>
  <c r="AU56" i="10"/>
  <c r="BD47" i="10"/>
  <c r="BD47" i="8"/>
  <c r="AU56" i="8"/>
  <c r="AS22" i="4"/>
  <c r="V45" i="4"/>
  <c r="AC22" i="10"/>
  <c r="AC22" i="8"/>
  <c r="V29" i="8"/>
  <c r="V29" i="10"/>
  <c r="AY18" i="4"/>
  <c r="R51" i="4"/>
  <c r="F51" i="10"/>
  <c r="AY6" i="10"/>
  <c r="AY6" i="8"/>
  <c r="E14" i="4"/>
  <c r="F51" i="8"/>
  <c r="N5" i="4"/>
  <c r="C10" i="10"/>
  <c r="J3" i="10"/>
  <c r="C10" i="8"/>
  <c r="J3" i="8"/>
  <c r="C28" i="4"/>
  <c r="AB3" i="4"/>
  <c r="BE36" i="8"/>
  <c r="AJ57" i="8"/>
  <c r="AJ57" i="10"/>
  <c r="BE36" i="10"/>
  <c r="J25" i="4"/>
  <c r="Y10" i="4"/>
  <c r="AN53" i="10"/>
  <c r="BA40" i="10"/>
  <c r="BA40" i="8"/>
  <c r="AN53" i="8"/>
  <c r="AH7" i="4"/>
  <c r="G34" i="4"/>
  <c r="AR45" i="10"/>
  <c r="AS44" i="10"/>
  <c r="AR45" i="8"/>
  <c r="AS44" i="8"/>
  <c r="AQ40" i="4"/>
  <c r="AN43" i="4"/>
  <c r="R39" i="10"/>
  <c r="AM18" i="10"/>
  <c r="R39" i="8"/>
  <c r="AM18" i="8"/>
  <c r="AG62" i="4"/>
  <c r="BJ33" i="4"/>
  <c r="AA30" i="10"/>
  <c r="AD27" i="10"/>
  <c r="AD27" i="8"/>
  <c r="AA30" i="8"/>
  <c r="AZ35" i="4"/>
  <c r="AI52" i="4"/>
  <c r="AI46" i="10"/>
  <c r="AT35" i="10"/>
  <c r="AT35" i="8"/>
  <c r="AI46" i="8"/>
  <c r="AR9" i="4"/>
  <c r="I44" i="4"/>
  <c r="AI50" i="10"/>
  <c r="AX35" i="10"/>
  <c r="AX35" i="8"/>
  <c r="AI50" i="8"/>
  <c r="I66" i="4"/>
  <c r="BN9" i="4"/>
  <c r="M46" i="10"/>
  <c r="AT13" i="10"/>
  <c r="AT13" i="8"/>
  <c r="M46" i="8"/>
  <c r="AW44" i="4"/>
  <c r="AR49" i="4"/>
  <c r="AT21" i="10"/>
  <c r="AT21" i="8"/>
  <c r="U46" i="8"/>
  <c r="U46" i="10"/>
  <c r="AR17" i="4"/>
  <c r="Q44" i="4"/>
  <c r="AH53" i="10"/>
  <c r="BA34" i="10"/>
  <c r="BA34" i="8"/>
  <c r="AH53" i="8"/>
  <c r="BL7" i="4"/>
  <c r="G64" i="4"/>
  <c r="W40" i="10"/>
  <c r="AN23" i="10"/>
  <c r="AN23" i="8"/>
  <c r="W40" i="8"/>
  <c r="AH19" i="4"/>
  <c r="S34" i="4"/>
  <c r="X61" i="10"/>
  <c r="BI24" i="10"/>
  <c r="BI24" i="8"/>
  <c r="X61" i="8"/>
  <c r="AO20" i="4"/>
  <c r="T41" i="4"/>
  <c r="AA20" i="10"/>
  <c r="T27" i="10"/>
  <c r="AA20" i="8"/>
  <c r="T27" i="8"/>
  <c r="AI16" i="4"/>
  <c r="P35" i="4"/>
  <c r="O4" i="10"/>
  <c r="D15" i="10"/>
  <c r="D15" i="8"/>
  <c r="O4" i="8"/>
  <c r="D59" i="4"/>
  <c r="BG4" i="4"/>
  <c r="AK50" i="10"/>
  <c r="AX37" i="10"/>
  <c r="AK50" i="8"/>
  <c r="AX37" i="8"/>
  <c r="K66" i="4"/>
  <c r="BN11" i="4"/>
  <c r="K48" i="10"/>
  <c r="AV11" i="10"/>
  <c r="AV11" i="8"/>
  <c r="K48" i="8"/>
  <c r="AU46" i="4"/>
  <c r="AT47" i="4"/>
  <c r="AT29" i="10"/>
  <c r="AC46" i="10"/>
  <c r="AT29" i="8"/>
  <c r="AC46" i="8"/>
  <c r="AY44" i="4"/>
  <c r="AR51" i="4"/>
  <c r="BD11" i="10"/>
  <c r="K56" i="10"/>
  <c r="BD11" i="8"/>
  <c r="K56" i="8"/>
  <c r="AU22" i="4"/>
  <c r="V47" i="4"/>
  <c r="Q30" i="10"/>
  <c r="AD17" i="10"/>
  <c r="Q30" i="8"/>
  <c r="AD17" i="8"/>
  <c r="BI52" i="4"/>
  <c r="AZ61" i="4"/>
  <c r="F13" i="10"/>
  <c r="M6" i="10"/>
  <c r="M6" i="8"/>
  <c r="F13" i="8"/>
  <c r="AW14" i="4"/>
  <c r="N49" i="4"/>
  <c r="S56" i="10"/>
  <c r="BD19" i="10"/>
  <c r="BD19" i="8"/>
  <c r="S56" i="8"/>
  <c r="V15" i="4"/>
  <c r="O22" i="4"/>
  <c r="Y42" i="10"/>
  <c r="AP25" i="10"/>
  <c r="AP25" i="8"/>
  <c r="Y42" i="8"/>
  <c r="AL29" i="4"/>
  <c r="AC38" i="4"/>
  <c r="AE66" i="10"/>
  <c r="BN31" i="10"/>
  <c r="BN31" i="8"/>
  <c r="AE66" i="8"/>
  <c r="BE56" i="4"/>
  <c r="BD57" i="4"/>
  <c r="E46" i="10"/>
  <c r="AT5" i="10"/>
  <c r="AT5" i="8"/>
  <c r="E46" i="8"/>
  <c r="AR13" i="4"/>
  <c r="M44" i="4"/>
  <c r="D55" i="10"/>
  <c r="BC4" i="10"/>
  <c r="BC4" i="8"/>
  <c r="D55" i="8"/>
  <c r="D21" i="4"/>
  <c r="U4" i="4"/>
  <c r="L59" i="10"/>
  <c r="BG12" i="10"/>
  <c r="BG12" i="8"/>
  <c r="L59" i="8"/>
  <c r="AE48" i="4"/>
  <c r="AV31" i="4"/>
  <c r="AC48" i="10"/>
  <c r="AV29" i="10"/>
  <c r="AC48" i="8"/>
  <c r="AV29" i="8"/>
  <c r="AY46" i="4"/>
  <c r="AT51" i="4"/>
  <c r="BA66" i="10"/>
  <c r="BN53" i="10"/>
  <c r="BA66" i="8"/>
  <c r="BN53" i="8"/>
  <c r="BD7" i="4"/>
  <c r="G56" i="4"/>
  <c r="M44" i="10"/>
  <c r="AR13" i="10"/>
  <c r="AR13" i="8"/>
  <c r="M44" i="8"/>
  <c r="AN49" i="4"/>
  <c r="AW40" i="4"/>
  <c r="M42" i="10"/>
  <c r="AP13" i="10"/>
  <c r="AP13" i="8"/>
  <c r="M42" i="8"/>
  <c r="AW38" i="4"/>
  <c r="AL49" i="4"/>
  <c r="AA34" i="10"/>
  <c r="AH27" i="10"/>
  <c r="AH27" i="8"/>
  <c r="AA34" i="8"/>
  <c r="BL35" i="4"/>
  <c r="AI64" i="4"/>
  <c r="O24" i="10"/>
  <c r="X15" i="10"/>
  <c r="O24" i="8"/>
  <c r="X15" i="8"/>
  <c r="BG20" i="4"/>
  <c r="T59" i="4"/>
  <c r="BK50" i="10"/>
  <c r="AX63" i="10"/>
  <c r="AX63" i="8"/>
  <c r="BK50" i="8"/>
  <c r="BN53" i="4"/>
  <c r="BA66" i="4"/>
  <c r="N3" i="10"/>
  <c r="C14" i="10"/>
  <c r="C14" i="8"/>
  <c r="N3" i="8"/>
  <c r="C50" i="4"/>
  <c r="AX3" i="4"/>
  <c r="Q14" i="10"/>
  <c r="N17" i="10"/>
  <c r="N17" i="8"/>
  <c r="Q14" i="8"/>
  <c r="BI50" i="4"/>
  <c r="AX61" i="4"/>
  <c r="F3" i="2"/>
  <c r="G3" i="2" s="1"/>
  <c r="H32" i="2"/>
  <c r="I32" i="2" s="1"/>
  <c r="BG66" i="10"/>
  <c r="BN59" i="10"/>
  <c r="BN59" i="8"/>
  <c r="BG66" i="8"/>
  <c r="T19" i="2"/>
  <c r="D8" i="2"/>
  <c r="H19" i="2"/>
  <c r="I19" i="2" s="1"/>
  <c r="BD31" i="5"/>
  <c r="AE56" i="5"/>
  <c r="D19" i="2"/>
  <c r="U19" i="2"/>
  <c r="BD31" i="4"/>
  <c r="AE56" i="4"/>
  <c r="F8" i="2"/>
  <c r="G8" i="2" s="1"/>
  <c r="M30" i="10"/>
  <c r="AD13" i="10"/>
  <c r="AD13" i="8"/>
  <c r="M30" i="8"/>
  <c r="AZ49" i="4"/>
  <c r="AW52" i="4"/>
  <c r="N41" i="10"/>
  <c r="AO14" i="10"/>
  <c r="AO14" i="8"/>
  <c r="N41" i="8"/>
  <c r="AK50" i="4"/>
  <c r="AX37" i="4"/>
  <c r="Z63" i="10"/>
  <c r="BK26" i="10"/>
  <c r="BK26" i="8"/>
  <c r="Z63" i="8"/>
  <c r="BA30" i="4"/>
  <c r="AD53" i="4"/>
  <c r="BH41" i="10"/>
  <c r="AO60" i="10"/>
  <c r="AO60" i="8"/>
  <c r="BH41" i="8"/>
  <c r="AF37" i="4"/>
  <c r="AK32" i="4"/>
  <c r="T57" i="10"/>
  <c r="BE20" i="10"/>
  <c r="BE20" i="8"/>
  <c r="T57" i="8"/>
  <c r="Y16" i="4"/>
  <c r="P25" i="4"/>
  <c r="R45" i="10"/>
  <c r="AS18" i="10"/>
  <c r="AS18" i="8"/>
  <c r="R45" i="8"/>
  <c r="BJ43" i="4"/>
  <c r="AQ62" i="4"/>
  <c r="BG50" i="8"/>
  <c r="AX59" i="8"/>
  <c r="AX59" i="10"/>
  <c r="BG50" i="10"/>
  <c r="AE66" i="4"/>
  <c r="BN31" i="4"/>
  <c r="T29" i="10"/>
  <c r="AC20" i="10"/>
  <c r="AC20" i="8"/>
  <c r="T29" i="8"/>
  <c r="AY16" i="4"/>
  <c r="P51" i="4"/>
  <c r="M4" i="10"/>
  <c r="D13" i="10"/>
  <c r="D13" i="8"/>
  <c r="M4" i="8"/>
  <c r="D49" i="4"/>
  <c r="AW4" i="4"/>
  <c r="M16" i="10"/>
  <c r="P13" i="10"/>
  <c r="M16" i="8"/>
  <c r="P13" i="8"/>
  <c r="BH49" i="4"/>
  <c r="AW60" i="4"/>
  <c r="S62" i="10"/>
  <c r="BJ19" i="10"/>
  <c r="BJ19" i="8"/>
  <c r="S62" i="8"/>
  <c r="AP15" i="4"/>
  <c r="O42" i="4"/>
  <c r="AH49" i="10"/>
  <c r="AW34" i="10"/>
  <c r="AW34" i="8"/>
  <c r="AH49" i="8"/>
  <c r="BL65" i="4"/>
  <c r="BM64" i="4"/>
  <c r="AC28" i="10"/>
  <c r="AB29" i="10"/>
  <c r="AC28" i="8"/>
  <c r="AB29" i="8"/>
  <c r="AY36" i="4"/>
  <c r="AJ51" i="4"/>
  <c r="P31" i="10"/>
  <c r="AE16" i="10"/>
  <c r="AE16" i="8"/>
  <c r="P31" i="8"/>
  <c r="BE60" i="4"/>
  <c r="BH57" i="4"/>
  <c r="AR63" i="10"/>
  <c r="BK44" i="10"/>
  <c r="AR63" i="8"/>
  <c r="BK44" i="8"/>
  <c r="AN53" i="4"/>
  <c r="BA40" i="4"/>
  <c r="N61" i="10"/>
  <c r="BI14" i="10"/>
  <c r="BI14" i="8"/>
  <c r="N61" i="8"/>
  <c r="AX41" i="4"/>
  <c r="AO50" i="4"/>
  <c r="BJ31" i="10"/>
  <c r="BJ31" i="8"/>
  <c r="AE62" i="8"/>
  <c r="AE62" i="10"/>
  <c r="AP57" i="4"/>
  <c r="BE42" i="4"/>
  <c r="AU34" i="10"/>
  <c r="AH47" i="10"/>
  <c r="AU34" i="8"/>
  <c r="AH47" i="8"/>
  <c r="AS64" i="4"/>
  <c r="BL45" i="4"/>
  <c r="X25" i="10"/>
  <c r="Y24" i="10"/>
  <c r="X25" i="8"/>
  <c r="Y24" i="8"/>
  <c r="H18" i="2"/>
  <c r="I18" i="2" s="1"/>
  <c r="AC20" i="4"/>
  <c r="T29" i="4"/>
  <c r="U30" i="10"/>
  <c r="AD21" i="10"/>
  <c r="AD21" i="8"/>
  <c r="U30" i="8"/>
  <c r="AZ17" i="4"/>
  <c r="Q52" i="4"/>
  <c r="U48" i="10"/>
  <c r="AV21" i="10"/>
  <c r="AV21" i="8"/>
  <c r="U48" i="8"/>
  <c r="AT17" i="4"/>
  <c r="Q46" i="4"/>
  <c r="L57" i="10"/>
  <c r="BE12" i="10"/>
  <c r="BE12" i="8"/>
  <c r="L57" i="8"/>
  <c r="AV25" i="4"/>
  <c r="Y48" i="4"/>
  <c r="AC26" i="10"/>
  <c r="AC26" i="8"/>
  <c r="Z29" i="8"/>
  <c r="Z29" i="10"/>
  <c r="AY30" i="4"/>
  <c r="AD51" i="4"/>
  <c r="BL53" i="10"/>
  <c r="BA64" i="10"/>
  <c r="BL53" i="8"/>
  <c r="BA64" i="8"/>
  <c r="BB7" i="4"/>
  <c r="G54" i="4"/>
  <c r="P47" i="10"/>
  <c r="AU16" i="10"/>
  <c r="AU16" i="8"/>
  <c r="P47" i="8"/>
  <c r="AS60" i="4"/>
  <c r="BH45" i="4"/>
  <c r="M50" i="10"/>
  <c r="AX13" i="10"/>
  <c r="AX13" i="8"/>
  <c r="M50" i="8"/>
  <c r="AW66" i="4"/>
  <c r="BN49" i="4"/>
  <c r="R29" i="10"/>
  <c r="AC18" i="10"/>
  <c r="R29" i="8"/>
  <c r="AC18" i="8"/>
  <c r="BJ51" i="4"/>
  <c r="AY62" i="4"/>
  <c r="AE44" i="10"/>
  <c r="AR31" i="10"/>
  <c r="AR31" i="8"/>
  <c r="AE44" i="8"/>
  <c r="BE40" i="4"/>
  <c r="AN57" i="4"/>
  <c r="R25" i="10"/>
  <c r="Y18" i="10"/>
  <c r="Y18" i="8"/>
  <c r="R25" i="8"/>
  <c r="BJ29" i="4"/>
  <c r="AC62" i="4"/>
  <c r="C48" i="8"/>
  <c r="AV3" i="8"/>
  <c r="C48" i="10"/>
  <c r="AV3" i="10"/>
  <c r="C46" i="4"/>
  <c r="AT3" i="4"/>
  <c r="AK40" i="10"/>
  <c r="AN37" i="10"/>
  <c r="AK40" i="8"/>
  <c r="AN37" i="8"/>
  <c r="AH11" i="4"/>
  <c r="K34" i="4"/>
  <c r="I48" i="10"/>
  <c r="AV9" i="10"/>
  <c r="AV9" i="8"/>
  <c r="I48" i="8"/>
  <c r="AT27" i="4"/>
  <c r="AA46" i="4"/>
  <c r="AZ35" i="10"/>
  <c r="AI52" i="10"/>
  <c r="AZ35" i="8"/>
  <c r="AI52" i="8"/>
  <c r="F9" i="4"/>
  <c r="I6" i="4"/>
  <c r="BD29" i="10"/>
  <c r="BD29" i="8"/>
  <c r="AC56" i="8"/>
  <c r="AC56" i="10"/>
  <c r="AY22" i="4"/>
  <c r="V51" i="4"/>
  <c r="AX51" i="10"/>
  <c r="AY50" i="10"/>
  <c r="AX51" i="8"/>
  <c r="AY50" i="8"/>
  <c r="F28" i="2"/>
  <c r="G28" i="2" s="1"/>
  <c r="E66" i="4"/>
  <c r="BN5" i="4"/>
  <c r="H9" i="2"/>
  <c r="I9" i="2" s="1"/>
  <c r="L28" i="2"/>
  <c r="M28" i="2"/>
  <c r="X43" i="10"/>
  <c r="AQ24" i="10"/>
  <c r="AQ24" i="8"/>
  <c r="X43" i="8"/>
  <c r="AM20" i="4"/>
  <c r="T39" i="4"/>
  <c r="AA14" i="10"/>
  <c r="AA14" i="8"/>
  <c r="N27" i="8"/>
  <c r="N27" i="10"/>
  <c r="AX35" i="4"/>
  <c r="AI50" i="4"/>
  <c r="J27" i="10"/>
  <c r="AA10" i="10"/>
  <c r="AA10" i="8"/>
  <c r="J27" i="8"/>
  <c r="AB35" i="4"/>
  <c r="AI28" i="4"/>
  <c r="W46" i="10"/>
  <c r="AT23" i="10"/>
  <c r="AT23" i="8"/>
  <c r="W46" i="8"/>
  <c r="AR19" i="4"/>
  <c r="S44" i="4"/>
  <c r="W48" i="10"/>
  <c r="AV23" i="10"/>
  <c r="AV23" i="8"/>
  <c r="W48" i="8"/>
  <c r="AT19" i="4"/>
  <c r="S46" i="4"/>
  <c r="Y58" i="10"/>
  <c r="BF25" i="10"/>
  <c r="BF25" i="8"/>
  <c r="Y58" i="8"/>
  <c r="AC26" i="4"/>
  <c r="Z29" i="4"/>
  <c r="AP19" i="8"/>
  <c r="S42" i="8"/>
  <c r="S42" i="10"/>
  <c r="AP19" i="10"/>
  <c r="AL15" i="4"/>
  <c r="O38" i="4"/>
  <c r="N53" i="10"/>
  <c r="BA14" i="10"/>
  <c r="BA14" i="8"/>
  <c r="N53" i="8"/>
  <c r="AX7" i="4"/>
  <c r="G50" i="4"/>
  <c r="L63" i="10"/>
  <c r="BK12" i="10"/>
  <c r="BK12" i="8"/>
  <c r="L63" i="8"/>
  <c r="AV53" i="4"/>
  <c r="BA48" i="4"/>
  <c r="Z65" i="10"/>
  <c r="BM26" i="10"/>
  <c r="BM26" i="8"/>
  <c r="Z65" i="8"/>
  <c r="BC30" i="4"/>
  <c r="AD55" i="4"/>
  <c r="U34" i="10"/>
  <c r="AH21" i="10"/>
  <c r="U34" i="8"/>
  <c r="AH21" i="8"/>
  <c r="BL17" i="4"/>
  <c r="Q64" i="4"/>
  <c r="AZ9" i="10"/>
  <c r="I52" i="10"/>
  <c r="AZ9" i="8"/>
  <c r="I52" i="8"/>
  <c r="F27" i="4"/>
  <c r="AA6" i="4"/>
  <c r="AH63" i="10"/>
  <c r="BK34" i="10"/>
  <c r="BK34" i="8"/>
  <c r="AH63" i="8"/>
  <c r="BL53" i="4"/>
  <c r="BA64" i="4"/>
  <c r="AF19" i="10"/>
  <c r="S32" i="10"/>
  <c r="AF19" i="8"/>
  <c r="S32" i="8"/>
  <c r="BF15" i="4"/>
  <c r="O58" i="4"/>
  <c r="Y32" i="10"/>
  <c r="AF25" i="10"/>
  <c r="AF25" i="8"/>
  <c r="Y32" i="8"/>
  <c r="AC58" i="4"/>
  <c r="BF29" i="4"/>
  <c r="O32" i="10"/>
  <c r="AF15" i="10"/>
  <c r="AF15" i="8"/>
  <c r="O32" i="8"/>
  <c r="BG58" i="4"/>
  <c r="BF59" i="4"/>
  <c r="AK30" i="10"/>
  <c r="AK30" i="8"/>
  <c r="AD37" i="8"/>
  <c r="AD37" i="10"/>
  <c r="AZ11" i="4"/>
  <c r="K52" i="4"/>
  <c r="AD57" i="10"/>
  <c r="BE30" i="10"/>
  <c r="AD57" i="8"/>
  <c r="BE30" i="8"/>
  <c r="AZ25" i="4"/>
  <c r="Y52" i="4"/>
  <c r="L39" i="10"/>
  <c r="AM12" i="10"/>
  <c r="L39" i="8"/>
  <c r="AM12" i="8"/>
  <c r="AV33" i="4"/>
  <c r="AG48" i="4"/>
  <c r="X29" i="10"/>
  <c r="AC24" i="10"/>
  <c r="AC24" i="8"/>
  <c r="X29" i="8"/>
  <c r="AY20" i="4"/>
  <c r="T51" i="4"/>
  <c r="L47" i="10"/>
  <c r="AU12" i="10"/>
  <c r="AU12" i="8"/>
  <c r="L47" i="8"/>
  <c r="AV45" i="4"/>
  <c r="AS48" i="4"/>
  <c r="AO6" i="10"/>
  <c r="F41" i="10"/>
  <c r="AO6" i="8"/>
  <c r="F41" i="8"/>
  <c r="AK14" i="4"/>
  <c r="N37" i="4"/>
  <c r="BB59" i="10"/>
  <c r="BG54" i="10"/>
  <c r="BB59" i="8"/>
  <c r="BG54" i="8"/>
  <c r="AE8" i="4"/>
  <c r="H31" i="4"/>
  <c r="J23" i="10"/>
  <c r="W10" i="10"/>
  <c r="W10" i="8"/>
  <c r="J23" i="8"/>
  <c r="AB19" i="4"/>
  <c r="S28" i="4"/>
  <c r="Z41" i="10"/>
  <c r="AO26" i="10"/>
  <c r="AO26" i="8"/>
  <c r="Z41" i="8"/>
  <c r="AD37" i="4"/>
  <c r="AK30" i="4"/>
  <c r="R37" i="10"/>
  <c r="AK18" i="8"/>
  <c r="R37" i="8"/>
  <c r="AK18" i="10"/>
  <c r="BJ11" i="4"/>
  <c r="K62" i="4"/>
  <c r="L51" i="10"/>
  <c r="AY12" i="10"/>
  <c r="AY12" i="8"/>
  <c r="L51" i="8"/>
  <c r="E48" i="4"/>
  <c r="AV5" i="4"/>
  <c r="BF21" i="10"/>
  <c r="U58" i="10"/>
  <c r="BF21" i="8"/>
  <c r="U58" i="8"/>
  <c r="Z17" i="4"/>
  <c r="Q26" i="4"/>
  <c r="AN31" i="10"/>
  <c r="AE40" i="10"/>
  <c r="AN31" i="8"/>
  <c r="AE40" i="8"/>
  <c r="BE34" i="4"/>
  <c r="AH57" i="4"/>
  <c r="BA24" i="10"/>
  <c r="X53" i="10"/>
  <c r="BA24" i="8"/>
  <c r="X53" i="8"/>
  <c r="T7" i="4"/>
  <c r="G20" i="4"/>
  <c r="AA32" i="10"/>
  <c r="AF27" i="10"/>
  <c r="AF27" i="8"/>
  <c r="AA32" i="8"/>
  <c r="BF35" i="4"/>
  <c r="AI58" i="4"/>
  <c r="S24" i="10"/>
  <c r="X19" i="10"/>
  <c r="S24" i="8"/>
  <c r="X19" i="8"/>
  <c r="T15" i="4"/>
  <c r="O20" i="4"/>
  <c r="AP39" i="10"/>
  <c r="AM42" i="10"/>
  <c r="AP39" i="8"/>
  <c r="AM42" i="8"/>
  <c r="AL33" i="4"/>
  <c r="AG38" i="4"/>
  <c r="W4" i="10"/>
  <c r="D23" i="10"/>
  <c r="D23" i="8"/>
  <c r="W4" i="8"/>
  <c r="S4" i="4"/>
  <c r="D19" i="4"/>
  <c r="AB35" i="10"/>
  <c r="AI28" i="10"/>
  <c r="AI28" i="8"/>
  <c r="AB35" i="8"/>
  <c r="AJ9" i="4"/>
  <c r="I36" i="4"/>
  <c r="AH61" i="10"/>
  <c r="BI34" i="10"/>
  <c r="BI34" i="8"/>
  <c r="AH61" i="8"/>
  <c r="BL41" i="4"/>
  <c r="AO64" i="4"/>
  <c r="BG44" i="10"/>
  <c r="AR59" i="10"/>
  <c r="AR59" i="8"/>
  <c r="BG44" i="8"/>
  <c r="AN31" i="4"/>
  <c r="AE40" i="4"/>
  <c r="AV59" i="10"/>
  <c r="BG48" i="10"/>
  <c r="AV59" i="8"/>
  <c r="BG48" i="8"/>
  <c r="AT31" i="4"/>
  <c r="AE46" i="4"/>
  <c r="BJ39" i="10"/>
  <c r="AM62" i="8"/>
  <c r="BJ39" i="8"/>
  <c r="AM62" i="10"/>
  <c r="AP33" i="4"/>
  <c r="AG42" i="4"/>
  <c r="L55" i="10"/>
  <c r="BC12" i="10"/>
  <c r="BC12" i="8"/>
  <c r="L55" i="8"/>
  <c r="AV21" i="4"/>
  <c r="U48" i="4"/>
  <c r="Q40" i="10"/>
  <c r="AN17" i="10"/>
  <c r="AN17" i="8"/>
  <c r="Q40" i="8"/>
  <c r="BI34" i="4"/>
  <c r="AH61" i="4"/>
  <c r="J49" i="10"/>
  <c r="AW10" i="10"/>
  <c r="AW10" i="8"/>
  <c r="J49" i="8"/>
  <c r="BM28" i="4"/>
  <c r="AB65" i="4"/>
  <c r="AJ5" i="10"/>
  <c r="E36" i="10"/>
  <c r="AJ5" i="8"/>
  <c r="E36" i="8"/>
  <c r="M10" i="4"/>
  <c r="J13" i="4"/>
  <c r="AU38" i="10"/>
  <c r="AL47" i="10"/>
  <c r="AU38" i="8"/>
  <c r="AL47" i="8"/>
  <c r="AS12" i="4"/>
  <c r="L45" i="4"/>
  <c r="AF59" i="10"/>
  <c r="BG32" i="10"/>
  <c r="BG32" i="8"/>
  <c r="AF59" i="8"/>
  <c r="BF31" i="4"/>
  <c r="AE58" i="4"/>
  <c r="AR29" i="10"/>
  <c r="AC44" i="10"/>
  <c r="AR29" i="8"/>
  <c r="AC44" i="8"/>
  <c r="AN51" i="4"/>
  <c r="AY40" i="4"/>
  <c r="AM46" i="10"/>
  <c r="AT39" i="10"/>
  <c r="AT39" i="8"/>
  <c r="AM46" i="8"/>
  <c r="AR33" i="4"/>
  <c r="AG44" i="4"/>
  <c r="AM58" i="10"/>
  <c r="BF39" i="10"/>
  <c r="AM58" i="8"/>
  <c r="BF39" i="8"/>
  <c r="Z33" i="4"/>
  <c r="AG26" i="4"/>
  <c r="AC66" i="10"/>
  <c r="BN29" i="10"/>
  <c r="BN29" i="8"/>
  <c r="AC66" i="8"/>
  <c r="BD51" i="4"/>
  <c r="AY56" i="4"/>
  <c r="BM20" i="10"/>
  <c r="T65" i="10"/>
  <c r="BM20" i="8"/>
  <c r="T65" i="8"/>
  <c r="BC16" i="4"/>
  <c r="P55" i="4"/>
  <c r="V53" i="10"/>
  <c r="BA22" i="10"/>
  <c r="BA22" i="8"/>
  <c r="V53" i="8"/>
  <c r="R7" i="4"/>
  <c r="G18" i="4"/>
  <c r="E30" i="10"/>
  <c r="AD5" i="10"/>
  <c r="E30" i="8"/>
  <c r="AD5" i="8"/>
  <c r="AZ13" i="4"/>
  <c r="M52" i="4"/>
  <c r="BE14" i="8"/>
  <c r="N57" i="8"/>
  <c r="N57" i="10"/>
  <c r="BE14" i="10"/>
  <c r="AX25" i="4"/>
  <c r="Y50" i="4"/>
  <c r="BD43" i="8"/>
  <c r="AQ56" i="8"/>
  <c r="AQ56" i="10"/>
  <c r="BD43" i="10"/>
  <c r="V39" i="4"/>
  <c r="AM22" i="4"/>
  <c r="AG10" i="10"/>
  <c r="J33" i="10"/>
  <c r="J33" i="8"/>
  <c r="AG10" i="8"/>
  <c r="AB63" i="4"/>
  <c r="BK28" i="4"/>
  <c r="AK42" i="10"/>
  <c r="AP37" i="10"/>
  <c r="AK42" i="8"/>
  <c r="AP37" i="8"/>
  <c r="AL11" i="4"/>
  <c r="K38" i="4"/>
  <c r="AO50" i="10"/>
  <c r="AX41" i="10"/>
  <c r="AX41" i="8"/>
  <c r="AO50" i="8"/>
  <c r="BN37" i="4"/>
  <c r="AK66" i="4"/>
  <c r="P43" i="10"/>
  <c r="AQ16" i="10"/>
  <c r="AQ16" i="8"/>
  <c r="P43" i="8"/>
  <c r="BH39" i="4"/>
  <c r="AM60" i="4"/>
  <c r="P7" i="10"/>
  <c r="P7" i="8"/>
  <c r="G16" i="8"/>
  <c r="G16" i="10"/>
  <c r="W60" i="4"/>
  <c r="BH23" i="4"/>
  <c r="Z31" i="10"/>
  <c r="AE26" i="10"/>
  <c r="AE26" i="8"/>
  <c r="Z31" i="8"/>
  <c r="BE30" i="4"/>
  <c r="AD57" i="4"/>
  <c r="AP55" i="10"/>
  <c r="BC42" i="10"/>
  <c r="AP55" i="8"/>
  <c r="BC42" i="8"/>
  <c r="U38" i="4"/>
  <c r="AL21" i="4"/>
  <c r="G62" i="10"/>
  <c r="BJ7" i="10"/>
  <c r="BJ7" i="8"/>
  <c r="G62" i="8"/>
  <c r="AP23" i="4"/>
  <c r="W42" i="4"/>
  <c r="W30" i="10"/>
  <c r="AD23" i="10"/>
  <c r="AD23" i="8"/>
  <c r="W30" i="8"/>
  <c r="AZ19" i="4"/>
  <c r="S52" i="4"/>
  <c r="K62" i="10"/>
  <c r="BJ11" i="10"/>
  <c r="BJ11" i="8"/>
  <c r="K62" i="8"/>
  <c r="AU42" i="4"/>
  <c r="AP47" i="4"/>
  <c r="G44" i="10"/>
  <c r="AR7" i="10"/>
  <c r="AR7" i="8"/>
  <c r="G44" i="8"/>
  <c r="F22" i="2"/>
  <c r="G22" i="2" s="1"/>
  <c r="AN23" i="4"/>
  <c r="W40" i="4"/>
  <c r="H15" i="10"/>
  <c r="O8" i="10"/>
  <c r="O8" i="8"/>
  <c r="H15" i="8"/>
  <c r="F16" i="2"/>
  <c r="G16" i="2" s="1"/>
  <c r="BG24" i="4"/>
  <c r="X59" i="4"/>
  <c r="E16" i="10"/>
  <c r="P5" i="10"/>
  <c r="P5" i="8"/>
  <c r="E16" i="8"/>
  <c r="H16" i="2"/>
  <c r="I16" i="2" s="1"/>
  <c r="BH13" i="4"/>
  <c r="M60" i="4"/>
  <c r="J21" i="10"/>
  <c r="U10" i="10"/>
  <c r="J21" i="8"/>
  <c r="U10" i="8"/>
  <c r="H27" i="2"/>
  <c r="I27" i="2" s="1"/>
  <c r="AB17" i="4"/>
  <c r="Q28" i="4"/>
  <c r="D2" i="2"/>
  <c r="F2" i="2"/>
  <c r="G2" i="2" s="1"/>
  <c r="L2" i="2"/>
  <c r="AB17" i="5"/>
  <c r="M2" i="2"/>
  <c r="Q28" i="5"/>
  <c r="D27" i="2"/>
  <c r="E24" i="10"/>
  <c r="X5" i="10"/>
  <c r="X5" i="8"/>
  <c r="E24" i="8"/>
  <c r="T13" i="4"/>
  <c r="M20" i="4"/>
  <c r="BB11" i="10"/>
  <c r="K54" i="10"/>
  <c r="BB11" i="8"/>
  <c r="K54" i="8"/>
  <c r="H47" i="4"/>
  <c r="AU8" i="4"/>
  <c r="U50" i="10"/>
  <c r="AX21" i="10"/>
  <c r="AX21" i="8"/>
  <c r="U50" i="8"/>
  <c r="BN17" i="4"/>
  <c r="Q66" i="4"/>
  <c r="AT51" i="10"/>
  <c r="AY46" i="10"/>
  <c r="AY46" i="8"/>
  <c r="AT51" i="8"/>
  <c r="AR5" i="4"/>
  <c r="E44" i="4"/>
  <c r="C16" i="10"/>
  <c r="P3" i="10"/>
  <c r="C16" i="8"/>
  <c r="P3" i="8"/>
  <c r="C60" i="4"/>
  <c r="BH3" i="4"/>
  <c r="P39" i="10"/>
  <c r="AM16" i="10"/>
  <c r="AM16" i="8"/>
  <c r="P39" i="8"/>
  <c r="BH33" i="4"/>
  <c r="AG60" i="4"/>
  <c r="O38" i="10"/>
  <c r="AL15" i="10"/>
  <c r="O38" i="8"/>
  <c r="AL15" i="8"/>
  <c r="BG12" i="4"/>
  <c r="L59" i="4"/>
  <c r="C50" i="10"/>
  <c r="AX3" i="10"/>
  <c r="C50" i="8"/>
  <c r="AX3" i="8"/>
  <c r="BN3" i="4"/>
  <c r="C66" i="4"/>
  <c r="AB43" i="10"/>
  <c r="AQ28" i="10"/>
  <c r="AQ28" i="8"/>
  <c r="AB43" i="8"/>
  <c r="AM36" i="4"/>
  <c r="AJ39" i="4"/>
  <c r="AE52" i="10"/>
  <c r="AZ31" i="10"/>
  <c r="AE52" i="8"/>
  <c r="AZ31" i="8"/>
  <c r="F57" i="4"/>
  <c r="BE6" i="4"/>
  <c r="M36" i="10"/>
  <c r="AJ13" i="10"/>
  <c r="AJ13" i="8"/>
  <c r="M36" i="8"/>
  <c r="J49" i="4"/>
  <c r="AW10" i="4"/>
  <c r="V43" i="10"/>
  <c r="AQ22" i="10"/>
  <c r="V43" i="8"/>
  <c r="AQ22" i="8"/>
  <c r="AM18" i="4"/>
  <c r="R39" i="4"/>
  <c r="AG12" i="10"/>
  <c r="L33" i="10"/>
  <c r="L33" i="8"/>
  <c r="AG12" i="8"/>
  <c r="AV63" i="4"/>
  <c r="BK48" i="4"/>
  <c r="N33" i="10"/>
  <c r="AG14" i="10"/>
  <c r="AG14" i="8"/>
  <c r="N33" i="8"/>
  <c r="BK50" i="4"/>
  <c r="AX63" i="4"/>
  <c r="N55" i="10"/>
  <c r="BC14" i="10"/>
  <c r="BC14" i="8"/>
  <c r="N55" i="8"/>
  <c r="AX21" i="4"/>
  <c r="U50" i="4"/>
  <c r="AL65" i="10"/>
  <c r="BM38" i="10"/>
  <c r="BM38" i="8"/>
  <c r="AL65" i="8"/>
  <c r="BC12" i="4"/>
  <c r="L55" i="4"/>
  <c r="O28" i="10"/>
  <c r="AB15" i="10"/>
  <c r="AB15" i="8"/>
  <c r="O28" i="8"/>
  <c r="BG36" i="4"/>
  <c r="AJ59" i="4"/>
  <c r="J35" i="10"/>
  <c r="AI10" i="10"/>
  <c r="J35" i="8"/>
  <c r="AI10" i="8"/>
  <c r="AB9" i="4"/>
  <c r="I28" i="4"/>
  <c r="I34" i="10"/>
  <c r="AH9" i="10"/>
  <c r="I34" i="8"/>
  <c r="AH9" i="8"/>
  <c r="AA64" i="4"/>
  <c r="BL27" i="4"/>
  <c r="AT19" i="10"/>
  <c r="S46" i="10"/>
  <c r="AT19" i="8"/>
  <c r="S46" i="8"/>
  <c r="AR15" i="4"/>
  <c r="O44" i="4"/>
  <c r="BC64" i="10"/>
  <c r="BL55" i="10"/>
  <c r="BL55" i="8"/>
  <c r="BC64" i="8"/>
  <c r="U54" i="4"/>
  <c r="BB21" i="4"/>
  <c r="J41" i="10"/>
  <c r="AO10" i="10"/>
  <c r="AO10" i="8"/>
  <c r="J41" i="8"/>
  <c r="AK28" i="4"/>
  <c r="AB37" i="4"/>
  <c r="AK52" i="10"/>
  <c r="AZ37" i="10"/>
  <c r="AZ37" i="8"/>
  <c r="AK52" i="8"/>
  <c r="K6" i="4"/>
  <c r="F11" i="4"/>
  <c r="H13" i="10"/>
  <c r="M8" i="10"/>
  <c r="M8" i="8"/>
  <c r="H13" i="8"/>
  <c r="AW24" i="4"/>
  <c r="X49" i="4"/>
  <c r="AS32" i="10"/>
  <c r="AS32" i="8"/>
  <c r="AF45" i="8"/>
  <c r="AF45" i="10"/>
  <c r="BF43" i="4"/>
  <c r="AQ58" i="4"/>
  <c r="T49" i="10"/>
  <c r="AW20" i="10"/>
  <c r="AW20" i="8"/>
  <c r="BM16" i="4"/>
  <c r="T49" i="8"/>
  <c r="P65" i="4"/>
  <c r="F45" i="10"/>
  <c r="AS6" i="10"/>
  <c r="AS6" i="8"/>
  <c r="F45" i="8"/>
  <c r="AQ14" i="4"/>
  <c r="N43" i="4"/>
  <c r="BC50" i="10"/>
  <c r="BC50" i="8"/>
  <c r="AX55" i="8"/>
  <c r="AX55" i="10"/>
  <c r="BN21" i="4"/>
  <c r="U66" i="4"/>
  <c r="X13" i="10"/>
  <c r="M24" i="10"/>
  <c r="X13" i="8"/>
  <c r="M24" i="8"/>
  <c r="AW20" i="4"/>
  <c r="T49" i="4"/>
  <c r="D39" i="10"/>
  <c r="AM4" i="10"/>
  <c r="D39" i="8"/>
  <c r="AM4" i="8"/>
  <c r="D33" i="4"/>
  <c r="AG4" i="4"/>
  <c r="F17" i="10"/>
  <c r="Q6" i="10"/>
  <c r="F17" i="8"/>
  <c r="Q6" i="8"/>
  <c r="BI14" i="4"/>
  <c r="N61" i="4"/>
  <c r="AU30" i="10"/>
  <c r="AD47" i="10"/>
  <c r="AU30" i="8"/>
  <c r="AD47" i="8"/>
  <c r="AZ45" i="4"/>
  <c r="AS52" i="4"/>
  <c r="L31" i="10"/>
  <c r="AE12" i="10"/>
  <c r="AE12" i="8"/>
  <c r="L31" i="8"/>
  <c r="BE48" i="4"/>
  <c r="AV57" i="4"/>
  <c r="AN19" i="10"/>
  <c r="S40" i="10"/>
  <c r="S40" i="8"/>
  <c r="AN19" i="8"/>
  <c r="AH15" i="4"/>
  <c r="O34" i="4"/>
  <c r="Y52" i="10"/>
  <c r="AZ25" i="10"/>
  <c r="AZ25" i="8"/>
  <c r="Y52" i="8"/>
  <c r="F29" i="4"/>
  <c r="AC6" i="4"/>
  <c r="K64" i="10"/>
  <c r="BL11" i="10"/>
  <c r="BL11" i="8"/>
  <c r="K64" i="8"/>
  <c r="BB47" i="4"/>
  <c r="AU54" i="4"/>
  <c r="K58" i="10"/>
  <c r="BF11" i="10"/>
  <c r="BF11" i="8"/>
  <c r="K58" i="8"/>
  <c r="AU26" i="4"/>
  <c r="Z47" i="4"/>
  <c r="R31" i="10"/>
  <c r="AE18" i="10"/>
  <c r="AE18" i="8"/>
  <c r="R31" i="8"/>
  <c r="BJ57" i="4"/>
  <c r="BE62" i="4"/>
  <c r="R53" i="10"/>
  <c r="BA18" i="8"/>
  <c r="R53" i="8"/>
  <c r="BA18" i="10"/>
  <c r="BJ7" i="4"/>
  <c r="G62" i="4"/>
  <c r="C60" i="10"/>
  <c r="BH3" i="10"/>
  <c r="C60" i="8"/>
  <c r="BH3" i="8"/>
  <c r="C32" i="4"/>
  <c r="AF3" i="4"/>
  <c r="AZ13" i="8"/>
  <c r="M52" i="8"/>
  <c r="M52" i="10"/>
  <c r="AZ13" i="10"/>
  <c r="F49" i="4"/>
  <c r="AW6" i="4"/>
  <c r="P61" i="10"/>
  <c r="BI16" i="10"/>
  <c r="BI16" i="8"/>
  <c r="P61" i="8"/>
  <c r="BH41" i="4"/>
  <c r="AO60" i="4"/>
  <c r="O34" i="10"/>
  <c r="AH15" i="10"/>
  <c r="AH15" i="8"/>
  <c r="O34" i="8"/>
  <c r="BG64" i="4"/>
  <c r="BL59" i="4"/>
  <c r="AB51" i="10"/>
  <c r="AY28" i="10"/>
  <c r="E36" i="4"/>
  <c r="AY28" i="8"/>
  <c r="AB51" i="8"/>
  <c r="AJ5" i="4"/>
  <c r="AA38" i="10"/>
  <c r="AL27" i="10"/>
  <c r="AL27" i="8"/>
  <c r="AA38" i="8"/>
  <c r="AI12" i="4"/>
  <c r="L35" i="4"/>
  <c r="Q48" i="10"/>
  <c r="AV17" i="10"/>
  <c r="AV17" i="8"/>
  <c r="Q48" i="8"/>
  <c r="BI46" i="4"/>
  <c r="AT61" i="4"/>
  <c r="Q50" i="10"/>
  <c r="AX17" i="10"/>
  <c r="AX17" i="8"/>
  <c r="Q50" i="8"/>
  <c r="BN61" i="4"/>
  <c r="BI66" i="4"/>
  <c r="BC22" i="8"/>
  <c r="V55" i="10"/>
  <c r="BC22" i="10"/>
  <c r="V55" i="8"/>
  <c r="R21" i="4"/>
  <c r="U18" i="4"/>
  <c r="AJ31" i="10"/>
  <c r="AE36" i="10"/>
  <c r="AJ31" i="8"/>
  <c r="AE36" i="8"/>
  <c r="BE10" i="4"/>
  <c r="J57" i="4"/>
  <c r="AG40" i="10"/>
  <c r="AN33" i="10"/>
  <c r="AN33" i="8"/>
  <c r="AG40" i="8"/>
  <c r="BK34" i="4"/>
  <c r="AH63" i="4"/>
  <c r="U66" i="10"/>
  <c r="BN21" i="10"/>
  <c r="BN21" i="8"/>
  <c r="U66" i="8"/>
  <c r="BD17" i="4"/>
  <c r="Q56" i="4"/>
  <c r="T63" i="10"/>
  <c r="BK20" i="10"/>
  <c r="BK20" i="8"/>
  <c r="T63" i="8"/>
  <c r="P53" i="4"/>
  <c r="BA16" i="4"/>
  <c r="J43" i="10"/>
  <c r="AQ10" i="10"/>
  <c r="AQ10" i="8"/>
  <c r="J43" i="8"/>
  <c r="AM28" i="4"/>
  <c r="AB39" i="4"/>
  <c r="V49" i="10"/>
  <c r="AW22" i="10"/>
  <c r="AW22" i="8"/>
  <c r="V49" i="8"/>
  <c r="BM18" i="4"/>
  <c r="R65" i="4"/>
  <c r="AQ46" i="10"/>
  <c r="AT43" i="10"/>
  <c r="AT43" i="8"/>
  <c r="AQ46" i="8"/>
  <c r="AM44" i="4"/>
  <c r="AR39" i="4"/>
  <c r="AZ11" i="10"/>
  <c r="AZ11" i="8"/>
  <c r="K52" i="8"/>
  <c r="K52" i="10"/>
  <c r="F47" i="4"/>
  <c r="AU6" i="4"/>
  <c r="V65" i="10"/>
  <c r="BM22" i="10"/>
  <c r="BM22" i="8"/>
  <c r="V65" i="8"/>
  <c r="BC18" i="4"/>
  <c r="R55" i="4"/>
  <c r="AB19" i="10"/>
  <c r="S28" i="10"/>
  <c r="AB19" i="8"/>
  <c r="S28" i="8"/>
  <c r="AJ15" i="4"/>
  <c r="O36" i="4"/>
  <c r="BI22" i="10"/>
  <c r="BI22" i="8"/>
  <c r="V61" i="8"/>
  <c r="V61" i="10"/>
  <c r="AO18" i="4"/>
  <c r="R41" i="4"/>
  <c r="N37" i="10"/>
  <c r="AK14" i="10"/>
  <c r="N37" i="8"/>
  <c r="AK14" i="8"/>
  <c r="AX11" i="4"/>
  <c r="K50" i="4"/>
  <c r="AI40" i="10"/>
  <c r="AN35" i="10"/>
  <c r="AN35" i="8"/>
  <c r="AI40" i="8"/>
  <c r="I34" i="4"/>
  <c r="AH9" i="4"/>
  <c r="Y4" i="10"/>
  <c r="D25" i="10"/>
  <c r="D25" i="8"/>
  <c r="Y4" i="8"/>
  <c r="D29" i="4"/>
  <c r="AC4" i="4"/>
  <c r="I22" i="10"/>
  <c r="V9" i="10"/>
  <c r="V9" i="8"/>
  <c r="I22" i="8"/>
  <c r="AA18" i="4"/>
  <c r="R27" i="4"/>
  <c r="W56" i="10"/>
  <c r="BD23" i="8"/>
  <c r="W56" i="8"/>
  <c r="BD23" i="10"/>
  <c r="V19" i="4"/>
  <c r="S22" i="4"/>
  <c r="AF39" i="10"/>
  <c r="AM32" i="10"/>
  <c r="AM32" i="8"/>
  <c r="AF39" i="8"/>
  <c r="BF33" i="4"/>
  <c r="AG58" i="4"/>
  <c r="AD33" i="10"/>
  <c r="AG30" i="10"/>
  <c r="AG30" i="8"/>
  <c r="AD33" i="8"/>
  <c r="AZ63" i="4"/>
  <c r="BK52" i="4"/>
  <c r="C44" i="10"/>
  <c r="AR3" i="10"/>
  <c r="C44" i="8"/>
  <c r="AR3" i="8"/>
  <c r="C40" i="4"/>
  <c r="AN3" i="4"/>
  <c r="G66" i="10"/>
  <c r="BN7" i="10"/>
  <c r="BN7" i="8"/>
  <c r="G66" i="8"/>
  <c r="BD23" i="4"/>
  <c r="W56" i="4"/>
  <c r="Q46" i="10"/>
  <c r="AT17" i="10"/>
  <c r="AT17" i="8"/>
  <c r="Q46" i="8"/>
  <c r="AR61" i="4"/>
  <c r="BI44" i="4"/>
  <c r="AP17" i="10"/>
  <c r="Q42" i="10"/>
  <c r="AP17" i="8"/>
  <c r="Q42" i="8"/>
  <c r="AL61" i="4"/>
  <c r="BI38" i="4"/>
  <c r="P25" i="10"/>
  <c r="Y16" i="10"/>
  <c r="Y16" i="8"/>
  <c r="P25" i="8"/>
  <c r="BH29" i="4"/>
  <c r="AC60" i="4"/>
  <c r="J19" i="10"/>
  <c r="S10" i="8"/>
  <c r="J19" i="8"/>
  <c r="S10" i="10"/>
  <c r="AB15" i="4"/>
  <c r="O28" i="4"/>
  <c r="R19" i="10"/>
  <c r="S18" i="10"/>
  <c r="R19" i="8"/>
  <c r="S18" i="8"/>
  <c r="BJ15" i="4"/>
  <c r="O62" i="4"/>
  <c r="AG36" i="10"/>
  <c r="AJ33" i="10"/>
  <c r="AG36" i="8"/>
  <c r="AJ33" i="8"/>
  <c r="BK10" i="4"/>
  <c r="J63" i="4"/>
  <c r="T25" i="10"/>
  <c r="Y20" i="10"/>
  <c r="T25" i="8"/>
  <c r="Y20" i="8"/>
  <c r="P29" i="4"/>
  <c r="AC16" i="4"/>
  <c r="AN55" i="10"/>
  <c r="BC40" i="10"/>
  <c r="AN55" i="8"/>
  <c r="BC40" i="8"/>
  <c r="AH21" i="4"/>
  <c r="U34" i="4"/>
  <c r="G58" i="10"/>
  <c r="BF7" i="10"/>
  <c r="BF7" i="8"/>
  <c r="G58" i="8"/>
  <c r="W26" i="4"/>
  <c r="Z23" i="4"/>
  <c r="BL7" i="10"/>
  <c r="G64" i="10"/>
  <c r="BL7" i="8"/>
  <c r="G64" i="8"/>
  <c r="BB23" i="4"/>
  <c r="W54" i="4"/>
  <c r="D31" i="10"/>
  <c r="AE4" i="10"/>
  <c r="D31" i="8"/>
  <c r="AE4" i="8"/>
  <c r="D57" i="4"/>
  <c r="BE4" i="4"/>
  <c r="AQ38" i="10"/>
  <c r="AL43" i="10"/>
  <c r="AQ38" i="8"/>
  <c r="AL43" i="8"/>
  <c r="AM12" i="4"/>
  <c r="L39" i="4"/>
  <c r="G38" i="10"/>
  <c r="AL7" i="10"/>
  <c r="AL7" i="8"/>
  <c r="G38" i="8"/>
  <c r="W12" i="4"/>
  <c r="L23" i="4"/>
  <c r="AJ49" i="10"/>
  <c r="AW36" i="10"/>
  <c r="AW36" i="8"/>
  <c r="AJ49" i="8"/>
  <c r="J65" i="4"/>
  <c r="BM10" i="4"/>
  <c r="C18" i="10"/>
  <c r="R3" i="10"/>
  <c r="C18" i="8"/>
  <c r="R3" i="8"/>
  <c r="C62" i="4"/>
  <c r="BJ3" i="4"/>
  <c r="J57" i="10"/>
  <c r="BE10" i="10"/>
  <c r="BE10" i="8"/>
  <c r="J57" i="8"/>
  <c r="AB25" i="4"/>
  <c r="Y28" i="4"/>
  <c r="BE4" i="10"/>
  <c r="D57" i="10"/>
  <c r="BE4" i="8"/>
  <c r="D57" i="8"/>
  <c r="D25" i="4"/>
  <c r="Y4" i="4"/>
  <c r="BK32" i="10"/>
  <c r="AF63" i="10"/>
  <c r="AF63" i="8"/>
  <c r="BA58" i="4"/>
  <c r="BF53" i="4"/>
  <c r="BK32" i="8"/>
  <c r="U18" i="10"/>
  <c r="R21" i="10"/>
  <c r="R21" i="8"/>
  <c r="U18" i="8"/>
  <c r="BJ17" i="4"/>
  <c r="Q62" i="4"/>
  <c r="H31" i="10"/>
  <c r="AE8" i="10"/>
  <c r="H31" i="8"/>
  <c r="AE8" i="8"/>
  <c r="BE24" i="4"/>
  <c r="X57" i="4"/>
  <c r="F43" i="10"/>
  <c r="AQ6" i="10"/>
  <c r="AQ6" i="8"/>
  <c r="F43" i="8"/>
  <c r="AM14" i="4"/>
  <c r="N39" i="4"/>
  <c r="Q58" i="10"/>
  <c r="BF17" i="10"/>
  <c r="BF17" i="8"/>
  <c r="Q58" i="8"/>
  <c r="BI26" i="4"/>
  <c r="Z61" i="4"/>
  <c r="AU58" i="10"/>
  <c r="BF47" i="10"/>
  <c r="BF47" i="8"/>
  <c r="AS26" i="4"/>
  <c r="Z45" i="4"/>
  <c r="AU58" i="8"/>
  <c r="AM66" i="10"/>
  <c r="BN39" i="10"/>
  <c r="BN39" i="8"/>
  <c r="AM66" i="8"/>
  <c r="BD33" i="4"/>
  <c r="AG56" i="4"/>
  <c r="AL63" i="10"/>
  <c r="BK38" i="10"/>
  <c r="BK38" i="8"/>
  <c r="AL63" i="8"/>
  <c r="BA12" i="4"/>
  <c r="L53" i="4"/>
  <c r="U38" i="10"/>
  <c r="AL21" i="10"/>
  <c r="U38" i="8"/>
  <c r="AL21" i="8"/>
  <c r="Q12" i="4"/>
  <c r="L17" i="4"/>
  <c r="BH11" i="10"/>
  <c r="K60" i="10"/>
  <c r="BH11" i="8"/>
  <c r="K60" i="8"/>
  <c r="F15" i="2"/>
  <c r="G15" i="2" s="1"/>
  <c r="H8" i="2"/>
  <c r="I8" i="2" s="1"/>
  <c r="AU32" i="4"/>
  <c r="AF47" i="4"/>
  <c r="V23" i="10"/>
  <c r="W22" i="10"/>
  <c r="V23" i="8"/>
  <c r="W22" i="8"/>
  <c r="S18" i="4"/>
  <c r="R19" i="4"/>
  <c r="AE22" i="10"/>
  <c r="V31" i="10"/>
  <c r="AE22" i="8"/>
  <c r="V31" i="8"/>
  <c r="H2" i="2"/>
  <c r="I2" i="2" s="1"/>
  <c r="F11" i="2"/>
  <c r="G11" i="2" s="1"/>
  <c r="BE18" i="4"/>
  <c r="R57" i="4"/>
  <c r="AU44" i="10"/>
  <c r="AR47" i="10"/>
  <c r="AU44" i="8"/>
  <c r="AR47" i="8"/>
  <c r="D25" i="2"/>
  <c r="AS40" i="5"/>
  <c r="AN45" i="5"/>
  <c r="M10" i="2"/>
  <c r="F10" i="2"/>
  <c r="G10" i="2" s="1"/>
  <c r="H25" i="2"/>
  <c r="I25" i="2" s="1"/>
  <c r="D10" i="2"/>
  <c r="L10" i="2"/>
  <c r="AN45" i="4"/>
  <c r="AS40" i="4"/>
  <c r="F21" i="10"/>
  <c r="U6" i="10"/>
  <c r="U6" i="8"/>
  <c r="F21" i="8"/>
  <c r="Q14" i="4"/>
  <c r="N17" i="4"/>
  <c r="BJ63" i="10"/>
  <c r="BK62" i="10"/>
  <c r="BJ63" i="8"/>
  <c r="BK62" i="8"/>
  <c r="AP53" i="4"/>
  <c r="BA42" i="4"/>
  <c r="P63" i="10"/>
  <c r="BK16" i="10"/>
  <c r="BK16" i="8"/>
  <c r="P63" i="8"/>
  <c r="BH53" i="4"/>
  <c r="BA60" i="4"/>
  <c r="C62" i="10"/>
  <c r="BJ3" i="10"/>
  <c r="BJ3" i="8"/>
  <c r="C62" i="8"/>
  <c r="AP3" i="4"/>
  <c r="C42" i="4"/>
  <c r="Q66" i="10"/>
  <c r="BN17" i="10"/>
  <c r="BN17" i="8"/>
  <c r="Q66" i="8"/>
  <c r="BD61" i="4"/>
  <c r="BI56" i="4"/>
  <c r="P11" i="10"/>
  <c r="K16" i="10"/>
  <c r="K16" i="8"/>
  <c r="P11" i="8"/>
  <c r="BH47" i="4"/>
  <c r="AU60" i="4"/>
  <c r="AL59" i="10"/>
  <c r="BG38" i="10"/>
  <c r="BG38" i="8"/>
  <c r="AL59" i="8"/>
  <c r="AE12" i="4"/>
  <c r="L31" i="4"/>
  <c r="BL3" i="10"/>
  <c r="C64" i="10"/>
  <c r="BL3" i="8"/>
  <c r="C64" i="8"/>
  <c r="C54" i="4"/>
  <c r="BB3" i="4"/>
  <c r="BM14" i="10"/>
  <c r="N65" i="10"/>
  <c r="BM14" i="8"/>
  <c r="N65" i="8"/>
  <c r="BC50" i="4"/>
  <c r="AX55" i="4"/>
  <c r="BM62" i="10"/>
  <c r="BJ65" i="10"/>
  <c r="BJ65" i="8"/>
  <c r="BM62" i="8"/>
  <c r="AP55" i="4"/>
  <c r="BC42" i="4"/>
  <c r="M62" i="10"/>
  <c r="BJ13" i="10"/>
  <c r="BJ13" i="8"/>
  <c r="M62" i="8"/>
  <c r="AP49" i="4"/>
  <c r="AW42" i="4"/>
  <c r="AE38" i="10"/>
  <c r="AL31" i="10"/>
  <c r="AL31" i="8"/>
  <c r="AE38" i="8"/>
  <c r="BE12" i="4"/>
  <c r="L57" i="4"/>
  <c r="X33" i="10"/>
  <c r="AG24" i="10"/>
  <c r="X33" i="8"/>
  <c r="AG24" i="8"/>
  <c r="T63" i="4"/>
  <c r="BK20" i="4"/>
  <c r="BF31" i="10"/>
  <c r="AE58" i="10"/>
  <c r="BF31" i="8"/>
  <c r="AE58" i="8"/>
  <c r="BE26" i="4"/>
  <c r="Z57" i="4"/>
  <c r="Y54" i="10"/>
  <c r="BB25" i="10"/>
  <c r="BB25" i="8"/>
  <c r="Y54" i="8"/>
  <c r="AC8" i="4"/>
  <c r="H29" i="4"/>
  <c r="H27" i="10"/>
  <c r="AA8" i="10"/>
  <c r="AA8" i="8"/>
  <c r="H27" i="8"/>
  <c r="AI24" i="4"/>
  <c r="X35" i="4"/>
  <c r="AG56" i="10"/>
  <c r="BD33" i="10"/>
  <c r="AG56" i="8"/>
  <c r="BD33" i="8"/>
  <c r="BK22" i="4"/>
  <c r="V63" i="4"/>
  <c r="BD49" i="10"/>
  <c r="AW56" i="10"/>
  <c r="BD49" i="8"/>
  <c r="AW56" i="8"/>
  <c r="BM22" i="4"/>
  <c r="V65" i="4"/>
  <c r="L53" i="10"/>
  <c r="BA12" i="10"/>
  <c r="BA12" i="8"/>
  <c r="L53" i="8"/>
  <c r="AV7" i="4"/>
  <c r="G48" i="4"/>
  <c r="BH63" i="10"/>
  <c r="BK60" i="10"/>
  <c r="BH63" i="8"/>
  <c r="BK60" i="8"/>
  <c r="BA32" i="4"/>
  <c r="AF53" i="4"/>
  <c r="K8" i="10"/>
  <c r="H11" i="10"/>
  <c r="K8" i="8"/>
  <c r="H11" i="8"/>
  <c r="X47" i="4"/>
  <c r="AU24" i="4"/>
  <c r="H25" i="10"/>
  <c r="Y8" i="10"/>
  <c r="Y8" i="8"/>
  <c r="H25" i="8"/>
  <c r="AC24" i="4"/>
  <c r="X29" i="4"/>
  <c r="AS64" i="10"/>
  <c r="BL45" i="10"/>
  <c r="AS64" i="8"/>
  <c r="BL45" i="8"/>
  <c r="BB43" i="4"/>
  <c r="AQ54" i="4"/>
  <c r="G36" i="10"/>
  <c r="AJ7" i="10"/>
  <c r="AJ7" i="8"/>
  <c r="G36" i="8"/>
  <c r="W10" i="4"/>
  <c r="J23" i="4"/>
  <c r="W62" i="10"/>
  <c r="BJ23" i="10"/>
  <c r="BJ23" i="8"/>
  <c r="W62" i="8"/>
  <c r="AP19" i="4"/>
  <c r="S42" i="4"/>
  <c r="V63" i="10"/>
  <c r="BK22" i="10"/>
  <c r="BK22" i="8"/>
  <c r="V63" i="8"/>
  <c r="BA18" i="4"/>
  <c r="R53" i="4"/>
  <c r="J55" i="10"/>
  <c r="BC10" i="10"/>
  <c r="BC10" i="8"/>
  <c r="J55" i="8"/>
  <c r="AB21" i="4"/>
  <c r="U28" i="4"/>
  <c r="W28" i="10"/>
  <c r="AB23" i="10"/>
  <c r="AB23" i="8"/>
  <c r="W28" i="8"/>
  <c r="AJ19" i="4"/>
  <c r="S36" i="4"/>
  <c r="R35" i="10"/>
  <c r="AI18" i="10"/>
  <c r="AI18" i="8"/>
  <c r="R35" i="8"/>
  <c r="BJ9" i="4"/>
  <c r="I62" i="4"/>
  <c r="Y46" i="10"/>
  <c r="AT25" i="10"/>
  <c r="Y46" i="8"/>
  <c r="AT25" i="8"/>
  <c r="AC44" i="4"/>
  <c r="AR29" i="4"/>
  <c r="AA66" i="10"/>
  <c r="BN27" i="10"/>
  <c r="AA66" i="8"/>
  <c r="BD35" i="4"/>
  <c r="BN27" i="8"/>
  <c r="AI56" i="4"/>
  <c r="W34" i="10"/>
  <c r="AH23" i="10"/>
  <c r="W34" i="8"/>
  <c r="H6" i="2"/>
  <c r="F18" i="2"/>
  <c r="G18" i="2" s="1"/>
  <c r="S64" i="4"/>
  <c r="BL19" i="4"/>
  <c r="BD39" i="10"/>
  <c r="AM56" i="10"/>
  <c r="AM56" i="8"/>
  <c r="BD39" i="8"/>
  <c r="AG22" i="4"/>
  <c r="V33" i="4"/>
  <c r="J65" i="10"/>
  <c r="BM10" i="10"/>
  <c r="BM10" i="8"/>
  <c r="J65" i="8"/>
  <c r="BC28" i="4"/>
  <c r="AB55" i="4"/>
  <c r="AK60" i="10"/>
  <c r="BH37" i="10"/>
  <c r="BH37" i="8"/>
  <c r="AK60" i="8"/>
  <c r="AF11" i="4"/>
  <c r="K32" i="4"/>
  <c r="AI60" i="10"/>
  <c r="BH35" i="10"/>
  <c r="BH35" i="8"/>
  <c r="AI60" i="8"/>
  <c r="AF9" i="4"/>
  <c r="I32" i="4"/>
  <c r="H57" i="10"/>
  <c r="BE8" i="10"/>
  <c r="BE8" i="8"/>
  <c r="H57" i="8"/>
  <c r="X25" i="4"/>
  <c r="Y24" i="4"/>
  <c r="I42" i="10"/>
  <c r="AP9" i="10"/>
  <c r="AP9" i="8"/>
  <c r="I42" i="8"/>
  <c r="AA38" i="4"/>
  <c r="AL27" i="4"/>
  <c r="AX5" i="10"/>
  <c r="E50" i="10"/>
  <c r="AX5" i="8"/>
  <c r="E50" i="8"/>
  <c r="BN13" i="4"/>
  <c r="M66" i="4"/>
  <c r="X27" i="10"/>
  <c r="X27" i="8"/>
  <c r="AA24" i="10"/>
  <c r="AA24" i="8"/>
  <c r="AI20" i="4"/>
  <c r="T35" i="4"/>
  <c r="J7" i="10"/>
  <c r="G10" i="10"/>
  <c r="J7" i="8"/>
  <c r="G10" i="8"/>
  <c r="W28" i="4"/>
  <c r="AB23" i="4"/>
  <c r="M20" i="10"/>
  <c r="T13" i="10"/>
  <c r="M20" i="8"/>
  <c r="T13" i="8"/>
  <c r="AW16" i="4"/>
  <c r="P49" i="4"/>
  <c r="I56" i="10"/>
  <c r="BD9" i="10"/>
  <c r="BD9" i="8"/>
  <c r="I56" i="8"/>
  <c r="AA22" i="4"/>
  <c r="V27" i="4"/>
  <c r="Z55" i="10"/>
  <c r="BC26" i="10"/>
  <c r="BC26" i="8"/>
  <c r="Z55" i="8"/>
  <c r="AD21" i="4"/>
  <c r="U30" i="4"/>
  <c r="AH29" i="10"/>
  <c r="AC34" i="10"/>
  <c r="AH29" i="8"/>
  <c r="AC34" i="8"/>
  <c r="AY64" i="4"/>
  <c r="BL51" i="4"/>
  <c r="H29" i="10"/>
  <c r="H29" i="8"/>
  <c r="AC8" i="8"/>
  <c r="AC8" i="10"/>
  <c r="AY24" i="4"/>
  <c r="X51" i="4"/>
  <c r="BI44" i="10"/>
  <c r="AR61" i="10"/>
  <c r="AR61" i="8"/>
  <c r="BI44" i="8"/>
  <c r="AN41" i="4"/>
  <c r="AO40" i="4"/>
  <c r="Z39" i="10"/>
  <c r="AM26" i="10"/>
  <c r="Z39" i="8"/>
  <c r="AM26" i="8"/>
  <c r="AG30" i="4"/>
  <c r="AD33" i="4"/>
  <c r="AT63" i="10"/>
  <c r="BK46" i="10"/>
  <c r="BK46" i="8"/>
  <c r="AT63" i="8"/>
  <c r="BA44" i="4"/>
  <c r="AR53" i="4"/>
  <c r="AB41" i="10"/>
  <c r="AO28" i="10"/>
  <c r="AB41" i="8"/>
  <c r="AO28" i="8"/>
  <c r="AK36" i="4"/>
  <c r="AJ37" i="4"/>
  <c r="Q34" i="10"/>
  <c r="AH17" i="10"/>
  <c r="AH17" i="8"/>
  <c r="Q34" i="8"/>
  <c r="BL61" i="4"/>
  <c r="BI64" i="4"/>
  <c r="BG24" i="10"/>
  <c r="X59" i="10"/>
  <c r="BG24" i="8"/>
  <c r="X59" i="8"/>
  <c r="AE20" i="4"/>
  <c r="T31" i="4"/>
  <c r="BF43" i="10"/>
  <c r="AQ58" i="10"/>
  <c r="AQ58" i="8"/>
  <c r="BF43" i="8"/>
  <c r="AM26" i="4"/>
  <c r="Z39" i="4"/>
  <c r="N25" i="10"/>
  <c r="Y14" i="10"/>
  <c r="Y14" i="8"/>
  <c r="N25" i="8"/>
  <c r="AX29" i="4"/>
  <c r="AC50" i="4"/>
  <c r="G34" i="10"/>
  <c r="AH7" i="10"/>
  <c r="G34" i="8"/>
  <c r="AH7" i="8"/>
  <c r="BL23" i="4"/>
  <c r="W64" i="4"/>
  <c r="AJ55" i="10"/>
  <c r="BC36" i="10"/>
  <c r="AJ55" i="8"/>
  <c r="BC36" i="8"/>
  <c r="J21" i="4"/>
  <c r="U10" i="4"/>
  <c r="N11" i="10"/>
  <c r="K14" i="8"/>
  <c r="K14" i="10"/>
  <c r="N11" i="8"/>
  <c r="AU50" i="4"/>
  <c r="AX47" i="4"/>
  <c r="O42" i="10"/>
  <c r="AP15" i="10"/>
  <c r="AP15" i="8"/>
  <c r="O42" i="8"/>
  <c r="BG38" i="4"/>
  <c r="AL59" i="4"/>
  <c r="I58" i="10"/>
  <c r="BF9" i="10"/>
  <c r="BF9" i="8"/>
  <c r="I58" i="8"/>
  <c r="Z27" i="4"/>
  <c r="AA26" i="4"/>
  <c r="BE64" i="10"/>
  <c r="BL57" i="10"/>
  <c r="BL57" i="8"/>
  <c r="BE64" i="8"/>
  <c r="BB25" i="4"/>
  <c r="Y54" i="4"/>
  <c r="M48" i="10"/>
  <c r="AV13" i="10"/>
  <c r="AV13" i="8"/>
  <c r="M48" i="8"/>
  <c r="AT49" i="4"/>
  <c r="AW46" i="4"/>
  <c r="AN63" i="10"/>
  <c r="BK40" i="10"/>
  <c r="AN63" i="8"/>
  <c r="BK40" i="8"/>
  <c r="BA34" i="4"/>
  <c r="AH53" i="4"/>
  <c r="Y12" i="10"/>
  <c r="L25" i="10"/>
  <c r="Y12" i="8"/>
  <c r="L25" i="8"/>
  <c r="AV29" i="4"/>
  <c r="AC48" i="4"/>
  <c r="F25" i="10"/>
  <c r="F25" i="8"/>
  <c r="Y6" i="10"/>
  <c r="Y6" i="8"/>
  <c r="AC14" i="4"/>
  <c r="N29" i="4"/>
  <c r="V15" i="10"/>
  <c r="O22" i="10"/>
  <c r="O22" i="8"/>
  <c r="V15" i="8"/>
  <c r="BG18" i="4"/>
  <c r="R59" i="4"/>
  <c r="O10" i="10"/>
  <c r="J15" i="10"/>
  <c r="O10" i="8"/>
  <c r="J15" i="8"/>
  <c r="BG28" i="4"/>
  <c r="AB59" i="4"/>
  <c r="N15" i="10"/>
  <c r="O14" i="10"/>
  <c r="N15" i="8"/>
  <c r="O14" i="8"/>
  <c r="BG50" i="4"/>
  <c r="AX59" i="4"/>
  <c r="AJ43" i="10"/>
  <c r="AQ36" i="10"/>
  <c r="AQ36" i="8"/>
  <c r="AJ43" i="8"/>
  <c r="J39" i="4"/>
  <c r="AM10" i="4"/>
  <c r="AC42" i="10"/>
  <c r="AP29" i="10"/>
  <c r="AC42" i="8"/>
  <c r="AP29" i="8"/>
  <c r="AY38" i="4"/>
  <c r="AL51" i="4"/>
  <c r="AW60" i="10"/>
  <c r="BH49" i="10"/>
  <c r="BH49" i="8"/>
  <c r="AW60" i="8"/>
  <c r="BM32" i="4"/>
  <c r="AF65" i="4"/>
  <c r="I50" i="10"/>
  <c r="AX9" i="10"/>
  <c r="AX9" i="8"/>
  <c r="I50" i="8"/>
  <c r="AA66" i="4"/>
  <c r="BN27" i="4"/>
  <c r="AX39" i="10"/>
  <c r="AM50" i="10"/>
  <c r="AM50" i="8"/>
  <c r="AX39" i="8"/>
  <c r="BN33" i="4"/>
  <c r="AG66" i="4"/>
  <c r="BD3" i="10"/>
  <c r="C56" i="10"/>
  <c r="BD3" i="8"/>
  <c r="C56" i="8"/>
  <c r="C22" i="4"/>
  <c r="V3" i="4"/>
  <c r="AZ65" i="10"/>
  <c r="BM52" i="10"/>
  <c r="AZ65" i="8"/>
  <c r="BM52" i="8"/>
  <c r="BC6" i="4"/>
  <c r="F55" i="4"/>
  <c r="H21" i="10"/>
  <c r="U8" i="10"/>
  <c r="U8" i="8"/>
  <c r="H21" i="8"/>
  <c r="X17" i="4"/>
  <c r="Q24" i="4"/>
  <c r="C24" i="10"/>
  <c r="C24" i="8"/>
  <c r="X3" i="8"/>
  <c r="X3" i="10"/>
  <c r="T3" i="4"/>
  <c r="C20" i="4"/>
  <c r="AA26" i="10"/>
  <c r="Z27" i="10"/>
  <c r="Z27" i="8"/>
  <c r="AA26" i="8"/>
  <c r="AI30" i="4"/>
  <c r="AD35" i="4"/>
  <c r="H19" i="10"/>
  <c r="S8" i="10"/>
  <c r="H19" i="8"/>
  <c r="S8" i="8"/>
  <c r="X15" i="4"/>
  <c r="O24" i="4"/>
  <c r="AM14" i="10"/>
  <c r="AM14" i="8"/>
  <c r="N39" i="8"/>
  <c r="N39" i="10"/>
  <c r="AX33" i="4"/>
  <c r="AG50" i="4"/>
  <c r="AW24" i="10"/>
  <c r="AW24" i="8"/>
  <c r="X49" i="8"/>
  <c r="X49" i="10"/>
  <c r="BM20" i="4"/>
  <c r="T65" i="4"/>
  <c r="T9" i="10"/>
  <c r="I20" i="10"/>
  <c r="I20" i="8"/>
  <c r="T9" i="8"/>
  <c r="AA16" i="4"/>
  <c r="P27" i="4"/>
  <c r="U52" i="10"/>
  <c r="AZ21" i="10"/>
  <c r="AZ21" i="8"/>
  <c r="U52" i="8"/>
  <c r="F17" i="4"/>
  <c r="Q6" i="4"/>
  <c r="AS62" i="10"/>
  <c r="BJ45" i="10"/>
  <c r="BJ45" i="8"/>
  <c r="AS62" i="8"/>
  <c r="AQ42" i="4"/>
  <c r="AP43" i="4"/>
  <c r="F33" i="10"/>
  <c r="AG6" i="10"/>
  <c r="F33" i="8"/>
  <c r="AG6" i="8"/>
  <c r="BK14" i="4"/>
  <c r="N63" i="4"/>
  <c r="AQ60" i="10"/>
  <c r="BH43" i="10"/>
  <c r="AQ60" i="8"/>
  <c r="BH43" i="8"/>
  <c r="AM32" i="4"/>
  <c r="AF39" i="4"/>
  <c r="G42" i="10"/>
  <c r="AP7" i="10"/>
  <c r="AP7" i="8"/>
  <c r="G42" i="8"/>
  <c r="AL23" i="4"/>
  <c r="W38" i="4"/>
  <c r="T31" i="10"/>
  <c r="AE20" i="10"/>
  <c r="T31" i="8"/>
  <c r="AE20" i="8"/>
  <c r="BE16" i="4"/>
  <c r="P57" i="4"/>
  <c r="AB31" i="10"/>
  <c r="AE28" i="10"/>
  <c r="AE28" i="8"/>
  <c r="AB31" i="8"/>
  <c r="BE36" i="4"/>
  <c r="AJ57" i="4"/>
  <c r="AK28" i="10"/>
  <c r="AB37" i="10"/>
  <c r="AK28" i="8"/>
  <c r="AB37" i="8"/>
  <c r="F24" i="2"/>
  <c r="G24" i="2" s="1"/>
  <c r="H26" i="2"/>
  <c r="I26" i="2" s="1"/>
  <c r="AJ11" i="4"/>
  <c r="K36" i="4"/>
  <c r="AY38" i="10"/>
  <c r="AL51" i="10"/>
  <c r="AY38" i="8"/>
  <c r="AL51" i="8"/>
  <c r="E12" i="4"/>
  <c r="L5" i="4"/>
  <c r="P57" i="10"/>
  <c r="BE16" i="10"/>
  <c r="BE16" i="8"/>
  <c r="BH25" i="4"/>
  <c r="Y60" i="4"/>
  <c r="P57" i="8"/>
  <c r="AE50" i="10"/>
  <c r="AX31" i="10"/>
  <c r="AX31" i="8"/>
  <c r="AE50" i="8"/>
  <c r="BN57" i="4"/>
  <c r="BE66" i="4"/>
  <c r="AA42" i="10"/>
  <c r="AP27" i="10"/>
  <c r="AP27" i="8"/>
  <c r="AA42" i="8"/>
  <c r="AL35" i="4"/>
  <c r="AI38" i="4"/>
  <c r="H49" i="10"/>
  <c r="AW8" i="10"/>
  <c r="AW8" i="8"/>
  <c r="H49" i="8"/>
  <c r="BM24" i="4"/>
  <c r="X65" i="4"/>
  <c r="AJ11" i="10"/>
  <c r="K36" i="10"/>
  <c r="K36" i="8"/>
  <c r="AJ11" i="8"/>
  <c r="AU10" i="4"/>
  <c r="J47" i="4"/>
  <c r="AD53" i="10"/>
  <c r="BA30" i="10"/>
  <c r="AD53" i="8"/>
  <c r="BA30" i="8"/>
  <c r="AZ7" i="4"/>
  <c r="G52" i="4"/>
  <c r="BJ53" i="10"/>
  <c r="BA62" i="10"/>
  <c r="BJ53" i="8"/>
  <c r="BA62" i="8"/>
  <c r="AP7" i="4"/>
  <c r="G42" i="4"/>
  <c r="AG22" i="10"/>
  <c r="AG22" i="8"/>
  <c r="V33" i="10"/>
  <c r="V33" i="8"/>
  <c r="BK18" i="4"/>
  <c r="R63" i="4"/>
  <c r="AE56" i="10"/>
  <c r="BD31" i="10"/>
  <c r="AE56" i="8"/>
  <c r="BD31" i="8"/>
  <c r="BE22" i="4"/>
  <c r="V57" i="4"/>
  <c r="C42" i="10"/>
  <c r="AP3" i="10"/>
  <c r="AP3" i="8"/>
  <c r="C42" i="8"/>
  <c r="AL3" i="4"/>
  <c r="C38" i="4"/>
  <c r="H33" i="10"/>
  <c r="AG8" i="10"/>
  <c r="H33" i="8"/>
  <c r="AG8" i="8"/>
  <c r="X63" i="4"/>
  <c r="BK24" i="4"/>
  <c r="BH65" i="10"/>
  <c r="BM60" i="10"/>
  <c r="BH65" i="8"/>
  <c r="BM60" i="8"/>
  <c r="BC32" i="4"/>
  <c r="AF55" i="4"/>
  <c r="AW58" i="10"/>
  <c r="BF49" i="10"/>
  <c r="BF49" i="8"/>
  <c r="AW58" i="8"/>
  <c r="BM26" i="4"/>
  <c r="Z65" i="4"/>
  <c r="R63" i="10"/>
  <c r="BK18" i="10"/>
  <c r="BK18" i="8"/>
  <c r="R63" i="8"/>
  <c r="BA62" i="4"/>
  <c r="BJ53" i="4"/>
  <c r="L43" i="10"/>
  <c r="AQ12" i="10"/>
  <c r="AQ12" i="8"/>
  <c r="L43" i="8"/>
  <c r="AM48" i="4"/>
  <c r="AV39" i="4"/>
  <c r="AM22" i="10"/>
  <c r="V39" i="10"/>
  <c r="AM22" i="8"/>
  <c r="V39" i="8"/>
  <c r="R33" i="4"/>
  <c r="AG18" i="4"/>
  <c r="S64" i="10"/>
  <c r="BL19" i="10"/>
  <c r="BL19" i="8"/>
  <c r="S64" i="8"/>
  <c r="BB15" i="4"/>
  <c r="O54" i="4"/>
  <c r="AG46" i="10"/>
  <c r="AT33" i="10"/>
  <c r="AT33" i="8"/>
  <c r="AG46" i="8"/>
  <c r="AR63" i="4"/>
  <c r="BK44" i="4"/>
  <c r="AK26" i="10"/>
  <c r="Z37" i="10"/>
  <c r="AK26" i="8"/>
  <c r="Z37" i="8"/>
  <c r="H20" i="2"/>
  <c r="I20" i="2" s="1"/>
  <c r="K30" i="4"/>
  <c r="AD11" i="4"/>
  <c r="S58" i="10"/>
  <c r="BF19" i="10"/>
  <c r="BF19" i="8"/>
  <c r="S58" i="8"/>
  <c r="BD12" i="1"/>
  <c r="BD13" i="1"/>
  <c r="Z15" i="5"/>
  <c r="D21" i="2"/>
  <c r="O26" i="5"/>
  <c r="D17" i="2"/>
  <c r="CS10" i="2"/>
  <c r="F17" i="2"/>
  <c r="G17" i="2" s="1"/>
  <c r="CS9" i="2"/>
  <c r="Z15" i="4"/>
  <c r="U21" i="2"/>
  <c r="O26" i="4"/>
  <c r="H21" i="2"/>
  <c r="I21" i="2" s="1"/>
  <c r="T21" i="2"/>
  <c r="K22" i="10"/>
  <c r="V11" i="10"/>
  <c r="K22" i="8"/>
  <c r="V11" i="8"/>
  <c r="R47" i="4"/>
  <c r="AU18" i="4"/>
  <c r="AA64" i="10"/>
  <c r="BL27" i="10"/>
  <c r="BL27" i="8"/>
  <c r="AA64" i="8"/>
  <c r="BB35" i="4"/>
  <c r="AI54" i="4"/>
  <c r="K38" i="10"/>
  <c r="AL11" i="10"/>
  <c r="AL11" i="8"/>
  <c r="K38" i="8"/>
  <c r="AU12" i="4"/>
  <c r="L47" i="4"/>
  <c r="AA54" i="10"/>
  <c r="BB27" i="10"/>
  <c r="BB27" i="8"/>
  <c r="AA54" i="8"/>
  <c r="AI8" i="4"/>
  <c r="H35" i="4"/>
  <c r="AT31" i="10"/>
  <c r="AE46" i="10"/>
  <c r="AT31" i="8"/>
  <c r="AE46" i="8"/>
  <c r="AR57" i="4"/>
  <c r="BE44" i="4"/>
  <c r="Q54" i="10"/>
  <c r="BB17" i="10"/>
  <c r="BB17" i="8"/>
  <c r="Q54" i="8"/>
  <c r="BI8" i="4"/>
  <c r="H61" i="4"/>
  <c r="BL65" i="10"/>
  <c r="BM64" i="10"/>
  <c r="BL65" i="8"/>
  <c r="BM64" i="8"/>
  <c r="BC54" i="4"/>
  <c r="BB55" i="4"/>
  <c r="Y28" i="10"/>
  <c r="AB25" i="10"/>
  <c r="AB25" i="8"/>
  <c r="Y28" i="8"/>
  <c r="AJ29" i="4"/>
  <c r="AC36" i="4"/>
  <c r="AA40" i="10"/>
  <c r="AN27" i="10"/>
  <c r="AA40" i="8"/>
  <c r="AN27" i="8"/>
  <c r="AH35" i="4"/>
  <c r="AI34" i="4"/>
  <c r="Q60" i="10"/>
  <c r="BH17" i="10"/>
  <c r="BH17" i="8"/>
  <c r="Q60" i="8"/>
  <c r="BI32" i="4"/>
  <c r="AF61" i="4"/>
  <c r="Z57" i="10"/>
  <c r="BE26" i="10"/>
  <c r="BE26" i="8"/>
  <c r="Z57" i="8"/>
  <c r="Y30" i="4"/>
  <c r="AD25" i="4"/>
  <c r="H47" i="10"/>
  <c r="AU8" i="10"/>
  <c r="AU8" i="8"/>
  <c r="H47" i="8"/>
  <c r="AS24" i="4"/>
  <c r="X45" i="4"/>
  <c r="BA28" i="10"/>
  <c r="AB53" i="8"/>
  <c r="BA28" i="8"/>
  <c r="AB53" i="10"/>
  <c r="AJ7" i="4"/>
  <c r="G36" i="4"/>
  <c r="BD61" i="10"/>
  <c r="BI56" i="10"/>
  <c r="BI56" i="8"/>
  <c r="BD61" i="8"/>
  <c r="V41" i="4"/>
  <c r="AO22" i="4"/>
  <c r="BH15" i="10"/>
  <c r="O60" i="10"/>
  <c r="BH15" i="8"/>
  <c r="O60" i="8"/>
  <c r="AF59" i="4"/>
  <c r="BG32" i="4"/>
  <c r="BJ57" i="10"/>
  <c r="BE62" i="10"/>
  <c r="BJ57" i="8"/>
  <c r="BE62" i="8"/>
  <c r="Y42" i="4"/>
  <c r="AP25" i="4"/>
  <c r="C36" i="10"/>
  <c r="AJ3" i="10"/>
  <c r="C36" i="8"/>
  <c r="AJ3" i="8"/>
  <c r="C10" i="4"/>
  <c r="J3" i="4"/>
  <c r="BN57" i="10"/>
  <c r="BE66" i="10"/>
  <c r="BN57" i="8"/>
  <c r="BE66" i="8"/>
  <c r="BD25" i="4"/>
  <c r="Y56" i="4"/>
  <c r="P51" i="10"/>
  <c r="AY16" i="10"/>
  <c r="AY16" i="8"/>
  <c r="P51" i="8"/>
  <c r="E60" i="4"/>
  <c r="BH5" i="4"/>
  <c r="D63" i="10"/>
  <c r="BK4" i="10"/>
  <c r="BK4" i="8"/>
  <c r="D63" i="8"/>
  <c r="D53" i="4"/>
  <c r="BA4" i="4"/>
  <c r="AW40" i="8"/>
  <c r="AN49" i="8"/>
  <c r="AW40" i="10"/>
  <c r="AN49" i="10"/>
  <c r="AH65" i="4"/>
  <c r="BM34" i="4"/>
  <c r="AX43" i="10"/>
  <c r="AQ50" i="10"/>
  <c r="AQ50" i="8"/>
  <c r="AX43" i="8"/>
  <c r="BN39" i="4"/>
  <c r="AM66" i="4"/>
  <c r="AK4" i="10"/>
  <c r="D37" i="10"/>
  <c r="D37" i="8"/>
  <c r="AK4" i="8"/>
  <c r="K4" i="4"/>
  <c r="D11" i="4"/>
  <c r="AI58" i="10"/>
  <c r="BF35" i="10"/>
  <c r="BF35" i="8"/>
  <c r="AI58" i="8"/>
  <c r="Z9" i="4"/>
  <c r="I26" i="4"/>
  <c r="U12" i="10"/>
  <c r="U12" i="8"/>
  <c r="L21" i="8"/>
  <c r="L21" i="10"/>
  <c r="AV17" i="4"/>
  <c r="Q48" i="4"/>
  <c r="G60" i="10"/>
  <c r="BH7" i="10"/>
  <c r="BH7" i="8"/>
  <c r="G60" i="8"/>
  <c r="W32" i="4"/>
  <c r="AF23" i="4"/>
  <c r="Z61" i="10"/>
  <c r="BI26" i="10"/>
  <c r="BI26" i="8"/>
  <c r="Z61" i="8"/>
  <c r="AO30" i="4"/>
  <c r="AD41" i="4"/>
  <c r="M66" i="10"/>
  <c r="BN13" i="10"/>
  <c r="BN13" i="8"/>
  <c r="M66" i="8"/>
  <c r="BD49" i="4"/>
  <c r="AW56" i="4"/>
  <c r="P55" i="10"/>
  <c r="BC16" i="10"/>
  <c r="BC16" i="8"/>
  <c r="P55" i="8"/>
  <c r="BH21" i="4"/>
  <c r="U60" i="4"/>
  <c r="F31" i="10"/>
  <c r="AE6" i="10"/>
  <c r="F31" i="8"/>
  <c r="AE6" i="8"/>
  <c r="N57" i="4"/>
  <c r="BE14" i="4"/>
  <c r="BC38" i="10"/>
  <c r="AL55" i="10"/>
  <c r="BC38" i="8"/>
  <c r="AL55" i="8"/>
  <c r="U12" i="4"/>
  <c r="L21" i="4"/>
  <c r="M18" i="10"/>
  <c r="R13" i="10"/>
  <c r="BJ49" i="4"/>
  <c r="M18" i="8"/>
  <c r="R13" i="8"/>
  <c r="AW62" i="4"/>
  <c r="D9" i="10"/>
  <c r="I4" i="10"/>
  <c r="D9" i="8"/>
  <c r="I4" i="8"/>
  <c r="AA4" i="4"/>
  <c r="D27" i="4"/>
  <c r="AG50" i="10"/>
  <c r="AX33" i="10"/>
  <c r="AX33" i="8"/>
  <c r="AG50" i="8"/>
  <c r="BK66" i="4"/>
  <c r="BN63" i="4"/>
  <c r="N51" i="10"/>
  <c r="AY14" i="10"/>
  <c r="AY14" i="8"/>
  <c r="N51" i="8"/>
  <c r="E50" i="4"/>
  <c r="AX5" i="4"/>
  <c r="AK56" i="10"/>
  <c r="BD37" i="10"/>
  <c r="BD37" i="8"/>
  <c r="AK56" i="8"/>
  <c r="V11" i="4"/>
  <c r="K22" i="4"/>
  <c r="AK66" i="10"/>
  <c r="BN37" i="10"/>
  <c r="BN37" i="8"/>
  <c r="AK66" i="8"/>
  <c r="BD11" i="4"/>
  <c r="K56" i="4"/>
  <c r="O58" i="10"/>
  <c r="BF15" i="8"/>
  <c r="O58" i="8"/>
  <c r="BF15" i="10"/>
  <c r="BG26" i="4"/>
  <c r="Z59" i="4"/>
  <c r="BH51" i="10"/>
  <c r="AY60" i="10"/>
  <c r="BH51" i="8"/>
  <c r="AY60" i="8"/>
  <c r="E32" i="4"/>
  <c r="AF5" i="4"/>
  <c r="R57" i="10"/>
  <c r="BE18" i="10"/>
  <c r="BE18" i="8"/>
  <c r="R57" i="8"/>
  <c r="BJ25" i="4"/>
  <c r="Y62" i="4"/>
  <c r="K30" i="10"/>
  <c r="AD11" i="10"/>
  <c r="AD11" i="8"/>
  <c r="K30" i="8"/>
  <c r="AZ47" i="4"/>
  <c r="AU52" i="4"/>
  <c r="AB45" i="10"/>
  <c r="AS28" i="10"/>
  <c r="AB45" i="8"/>
  <c r="AS28" i="8"/>
  <c r="AJ43" i="4"/>
  <c r="AQ36" i="4"/>
  <c r="G24" i="10"/>
  <c r="X7" i="10"/>
  <c r="X7" i="8"/>
  <c r="G24" i="8"/>
  <c r="W20" i="4"/>
  <c r="T23" i="4"/>
  <c r="J39" i="10"/>
  <c r="AM10" i="10"/>
  <c r="AM10" i="8"/>
  <c r="J39" i="8"/>
  <c r="AG28" i="4"/>
  <c r="AB33" i="4"/>
  <c r="H43" i="10"/>
  <c r="AQ8" i="10"/>
  <c r="AQ8" i="8"/>
  <c r="H43" i="8"/>
  <c r="AM24" i="4"/>
  <c r="X39" i="4"/>
  <c r="BI20" i="10"/>
  <c r="T61" i="10"/>
  <c r="BI20" i="8"/>
  <c r="T61" i="8"/>
  <c r="AO16" i="4"/>
  <c r="P41" i="4"/>
  <c r="AH31" i="10"/>
  <c r="AE34" i="10"/>
  <c r="AH31" i="8"/>
  <c r="AE34" i="8"/>
  <c r="BE64" i="4"/>
  <c r="BL57" i="4"/>
  <c r="AT41" i="10"/>
  <c r="AO46" i="10"/>
  <c r="AT41" i="8"/>
  <c r="AO46" i="8"/>
  <c r="AR37" i="4"/>
  <c r="AK44" i="4"/>
  <c r="C52" i="10"/>
  <c r="AZ3" i="10"/>
  <c r="AZ3" i="8"/>
  <c r="C52" i="8"/>
  <c r="C6" i="4"/>
  <c r="F3" i="4"/>
  <c r="BH53" i="10"/>
  <c r="BA60" i="10"/>
  <c r="BH53" i="8"/>
  <c r="BA60" i="8"/>
  <c r="AF7" i="4"/>
  <c r="G32" i="4"/>
  <c r="K66" i="10"/>
  <c r="BN11" i="10"/>
  <c r="BN11" i="8"/>
  <c r="K66" i="8"/>
  <c r="AU56" i="4"/>
  <c r="BD47" i="4"/>
  <c r="AN57" i="10"/>
  <c r="BE40" i="10"/>
  <c r="BE40" i="8"/>
  <c r="AN57" i="8"/>
  <c r="H7" i="2"/>
  <c r="I7" i="2" s="1"/>
  <c r="AH25" i="4"/>
  <c r="Y34" i="4"/>
  <c r="I26" i="10"/>
  <c r="Z9" i="10"/>
  <c r="Z9" i="8"/>
  <c r="I26" i="8"/>
  <c r="AD27" i="4"/>
  <c r="AA30" i="4"/>
  <c r="T59" i="10"/>
  <c r="BG20" i="10"/>
  <c r="T59" i="8"/>
  <c r="P31" i="4"/>
  <c r="H17" i="2"/>
  <c r="I17" i="2" s="1"/>
  <c r="BG20" i="8"/>
  <c r="AE16" i="4"/>
  <c r="Y30" i="10"/>
  <c r="AD25" i="10"/>
  <c r="AD25" i="8"/>
  <c r="Y30" i="8"/>
  <c r="F20" i="2"/>
  <c r="G20" i="2" s="1"/>
  <c r="H12" i="2"/>
  <c r="I12" i="2" s="1"/>
  <c r="AC52" i="4"/>
  <c r="AZ29" i="4"/>
  <c r="G20" i="10"/>
  <c r="T7" i="10"/>
  <c r="G20" i="8"/>
  <c r="T7" i="8"/>
  <c r="W16" i="4"/>
  <c r="P23" i="4"/>
  <c r="Z51" i="10"/>
  <c r="AY26" i="8"/>
  <c r="AY26" i="10"/>
  <c r="Z51" i="8"/>
  <c r="E30" i="4"/>
  <c r="AD5" i="4"/>
  <c r="AJ45" i="10"/>
  <c r="AS36" i="10"/>
  <c r="AS36" i="8"/>
  <c r="AJ45" i="8"/>
  <c r="AQ10" i="4"/>
  <c r="J43" i="4"/>
  <c r="O1314" i="1"/>
  <c r="O1293" i="1"/>
  <c r="O655" i="1"/>
  <c r="AD655" i="1" s="1"/>
  <c r="O1282" i="1"/>
  <c r="AC1282" i="1" s="1"/>
  <c r="O1280" i="1"/>
  <c r="AC1280" i="1" s="1"/>
  <c r="O1244" i="1"/>
  <c r="AD1244" i="1" s="1"/>
  <c r="O1196" i="1"/>
  <c r="AC1196" i="1" s="1"/>
  <c r="O1180" i="1"/>
  <c r="AC1180" i="1" s="1"/>
  <c r="O1228" i="1"/>
  <c r="O1227" i="1"/>
  <c r="AD1227" i="1" s="1"/>
  <c r="O1195" i="1"/>
  <c r="AD1195" i="1" s="1"/>
  <c r="O1163" i="1"/>
  <c r="AC1163" i="1" s="1"/>
  <c r="O1099" i="1"/>
  <c r="AD1099" i="1" s="1"/>
  <c r="O1067" i="1"/>
  <c r="AC1067" i="1" s="1"/>
  <c r="O1035" i="1"/>
  <c r="O987" i="1"/>
  <c r="O924" i="1"/>
  <c r="AD924" i="1" s="1"/>
  <c r="O890" i="1"/>
  <c r="AC890" i="1" s="1"/>
  <c r="O827" i="1"/>
  <c r="AD827" i="1" s="1"/>
  <c r="O795" i="1"/>
  <c r="AC795" i="1" s="1"/>
  <c r="O779" i="1"/>
  <c r="AD779" i="1" s="1"/>
  <c r="O747" i="1"/>
  <c r="AC747" i="1" s="1"/>
  <c r="O683" i="1"/>
  <c r="AC683" i="1" s="1"/>
  <c r="O1260" i="1"/>
  <c r="AC1260" i="1" s="1"/>
  <c r="O1212" i="1"/>
  <c r="AD1212" i="1" s="1"/>
  <c r="O1259" i="1"/>
  <c r="AC1259" i="1" s="1"/>
  <c r="O1211" i="1"/>
  <c r="AD1211" i="1" s="1"/>
  <c r="O1179" i="1"/>
  <c r="AC1179" i="1" s="1"/>
  <c r="O1147" i="1"/>
  <c r="AC1147" i="1" s="1"/>
  <c r="O1115" i="1"/>
  <c r="AC1115" i="1" s="1"/>
  <c r="O1083" i="1"/>
  <c r="AD1083" i="1" s="1"/>
  <c r="O1051" i="1"/>
  <c r="O1019" i="1"/>
  <c r="AD1019" i="1" s="1"/>
  <c r="O971" i="1"/>
  <c r="O940" i="1"/>
  <c r="AC940" i="1" s="1"/>
  <c r="O875" i="1"/>
  <c r="AD875" i="1" s="1"/>
  <c r="O843" i="1"/>
  <c r="AD843" i="1" s="1"/>
  <c r="O731" i="1"/>
  <c r="AC731" i="1" s="1"/>
  <c r="O1251" i="1"/>
  <c r="AC1251" i="1" s="1"/>
  <c r="O1252" i="1"/>
  <c r="AD1252" i="1" s="1"/>
  <c r="O1250" i="1"/>
  <c r="AC1250" i="1" s="1"/>
  <c r="O1248" i="1"/>
  <c r="AC1248" i="1" s="1"/>
  <c r="O1246" i="1"/>
  <c r="AC1246" i="1" s="1"/>
  <c r="O1066" i="1"/>
  <c r="AD1066" i="1" s="1"/>
  <c r="O970" i="1"/>
  <c r="AC970" i="1" s="1"/>
  <c r="O922" i="1"/>
  <c r="AD922" i="1" s="1"/>
  <c r="O859" i="1"/>
  <c r="O1130" i="1"/>
  <c r="O1018" i="1"/>
  <c r="AD1018" i="1" s="1"/>
  <c r="O891" i="1"/>
  <c r="O1178" i="1"/>
  <c r="AC1178" i="1" s="1"/>
  <c r="O1082" i="1"/>
  <c r="AC1082" i="1" s="1"/>
  <c r="O1002" i="1"/>
  <c r="AD1002" i="1" s="1"/>
  <c r="O906" i="1"/>
  <c r="AD906" i="1" s="1"/>
  <c r="O1194" i="1"/>
  <c r="AD1194" i="1" s="1"/>
  <c r="O1114" i="1"/>
  <c r="AC1114" i="1" s="1"/>
  <c r="O1034" i="1"/>
  <c r="O950" i="1"/>
  <c r="AC950" i="1" s="1"/>
  <c r="O842" i="1"/>
  <c r="AC842" i="1" s="1"/>
  <c r="O1098" i="1"/>
  <c r="AD1098" i="1" s="1"/>
  <c r="O1210" i="1"/>
  <c r="AD1210" i="1" s="1"/>
  <c r="O1050" i="1"/>
  <c r="AC1050" i="1" s="1"/>
  <c r="O986" i="1"/>
  <c r="O938" i="1"/>
  <c r="O874" i="1"/>
  <c r="AD874" i="1" s="1"/>
  <c r="O1226" i="1"/>
  <c r="AC1226" i="1" s="1"/>
  <c r="O1217" i="1"/>
  <c r="AD1217" i="1" s="1"/>
  <c r="O1200" i="1"/>
  <c r="AC1200" i="1" s="1"/>
  <c r="O1165" i="1"/>
  <c r="AC1165" i="1" s="1"/>
  <c r="O1133" i="1"/>
  <c r="AC1133" i="1" s="1"/>
  <c r="O1101" i="1"/>
  <c r="AD1101" i="1" s="1"/>
  <c r="O1069" i="1"/>
  <c r="AC1069" i="1" s="1"/>
  <c r="O1021" i="1"/>
  <c r="AC1021" i="1" s="1"/>
  <c r="O957" i="1"/>
  <c r="AC957" i="1" s="1"/>
  <c r="O1213" i="1"/>
  <c r="AD1213" i="1" s="1"/>
  <c r="O1149" i="1"/>
  <c r="AD1149" i="1" s="1"/>
  <c r="O1117" i="1"/>
  <c r="AD1117" i="1" s="1"/>
  <c r="O1086" i="1"/>
  <c r="AC1086" i="1" s="1"/>
  <c r="O1053" i="1"/>
  <c r="AD1053" i="1" s="1"/>
  <c r="O1037" i="1"/>
  <c r="O1005" i="1"/>
  <c r="AD1005" i="1" s="1"/>
  <c r="O942" i="1"/>
  <c r="O1214" i="1"/>
  <c r="AD1214" i="1" s="1"/>
  <c r="O1216" i="1"/>
  <c r="AC1216" i="1" s="1"/>
  <c r="O1206" i="1"/>
  <c r="AC1206" i="1" s="1"/>
  <c r="O1201" i="1"/>
  <c r="AC1201" i="1" s="1"/>
  <c r="O1190" i="1"/>
  <c r="AD1190" i="1" s="1"/>
  <c r="O1174" i="1"/>
  <c r="AD1174" i="1" s="1"/>
  <c r="O1158" i="1"/>
  <c r="O1142" i="1"/>
  <c r="AD1142" i="1" s="1"/>
  <c r="O1126" i="1"/>
  <c r="AC1126" i="1" s="1"/>
  <c r="O1094" i="1"/>
  <c r="AD1094" i="1" s="1"/>
  <c r="O1078" i="1"/>
  <c r="AD1078" i="1" s="1"/>
  <c r="O1062" i="1"/>
  <c r="AD1062" i="1" s="1"/>
  <c r="O1047" i="1"/>
  <c r="O1030" i="1"/>
  <c r="AC1030" i="1" s="1"/>
  <c r="O1014" i="1"/>
  <c r="AC1014" i="1" s="1"/>
  <c r="O995" i="1"/>
  <c r="O966" i="1"/>
  <c r="AC966" i="1" s="1"/>
  <c r="O951" i="1"/>
  <c r="AD951" i="1" s="1"/>
  <c r="O918" i="1"/>
  <c r="AC918" i="1" s="1"/>
  <c r="O902" i="1"/>
  <c r="AC902" i="1" s="1"/>
  <c r="O886" i="1"/>
  <c r="AC886" i="1" s="1"/>
  <c r="O870" i="1"/>
  <c r="AD870" i="1" s="1"/>
  <c r="O854" i="1"/>
  <c r="AC854" i="1" s="1"/>
  <c r="O838" i="1"/>
  <c r="AD838" i="1" s="1"/>
  <c r="O822" i="1"/>
  <c r="AD822" i="1" s="1"/>
  <c r="O806" i="1"/>
  <c r="AD806" i="1" s="1"/>
  <c r="O790" i="1"/>
  <c r="AC790" i="1" s="1"/>
  <c r="O774" i="1"/>
  <c r="AD774" i="1" s="1"/>
  <c r="O758" i="1"/>
  <c r="O742" i="1"/>
  <c r="AC742" i="1" s="1"/>
  <c r="O726" i="1"/>
  <c r="AC726" i="1" s="1"/>
  <c r="O710" i="1"/>
  <c r="O694" i="1"/>
  <c r="AC694" i="1" s="1"/>
  <c r="O678" i="1"/>
  <c r="AC678" i="1" s="1"/>
  <c r="O661" i="1"/>
  <c r="AD661" i="1" s="1"/>
  <c r="O647" i="1"/>
  <c r="AD647" i="1" s="1"/>
  <c r="O614" i="1"/>
  <c r="AD614" i="1" s="1"/>
  <c r="O598" i="1"/>
  <c r="AC598" i="1" s="1"/>
  <c r="O1070" i="1"/>
  <c r="AC1070" i="1" s="1"/>
  <c r="O958" i="1"/>
  <c r="AD958" i="1" s="1"/>
  <c r="O1150" i="1"/>
  <c r="AC1150" i="1" s="1"/>
  <c r="O1102" i="1"/>
  <c r="AC1102" i="1" s="1"/>
  <c r="O1006" i="1"/>
  <c r="AD1006" i="1" s="1"/>
  <c r="O1134" i="1"/>
  <c r="AC1134" i="1" s="1"/>
  <c r="O1084" i="1"/>
  <c r="AD1084" i="1" s="1"/>
  <c r="O1022" i="1"/>
  <c r="AD1022" i="1" s="1"/>
  <c r="O974" i="1"/>
  <c r="AC974" i="1" s="1"/>
  <c r="O1198" i="1"/>
  <c r="O1182" i="1"/>
  <c r="AC1182" i="1" s="1"/>
  <c r="O1118" i="1"/>
  <c r="AC1118" i="1" s="1"/>
  <c r="O1054" i="1"/>
  <c r="AC1054" i="1" s="1"/>
  <c r="O990" i="1"/>
  <c r="AD990" i="1" s="1"/>
  <c r="O1199" i="1"/>
  <c r="AD1199" i="1" s="1"/>
  <c r="O1197" i="1"/>
  <c r="AC1197" i="1" s="1"/>
  <c r="O1185" i="1"/>
  <c r="O1184" i="1"/>
  <c r="AD1184" i="1" s="1"/>
  <c r="O1188" i="1"/>
  <c r="AD1188" i="1" s="1"/>
  <c r="O1187" i="1"/>
  <c r="AD1187" i="1" s="1"/>
  <c r="O1183" i="1"/>
  <c r="AD1183" i="1" s="1"/>
  <c r="O1177" i="1"/>
  <c r="AD1177" i="1" s="1"/>
  <c r="O1157" i="1"/>
  <c r="O1137" i="1"/>
  <c r="AC1137" i="1" s="1"/>
  <c r="O1121" i="1"/>
  <c r="AC1121" i="1" s="1"/>
  <c r="O1168" i="1"/>
  <c r="O1172" i="1"/>
  <c r="AC1172" i="1" s="1"/>
  <c r="O1166" i="1"/>
  <c r="AD1166" i="1" s="1"/>
  <c r="O1164" i="1"/>
  <c r="AD1164" i="1" s="1"/>
  <c r="O1148" i="1"/>
  <c r="AD1148" i="1" s="1"/>
  <c r="O1100" i="1"/>
  <c r="AC1100" i="1" s="1"/>
  <c r="O1132" i="1"/>
  <c r="AD1132" i="1" s="1"/>
  <c r="O1116" i="1"/>
  <c r="AC1116" i="1" s="1"/>
  <c r="O1169" i="1"/>
  <c r="AD1169" i="1" s="1"/>
  <c r="O1167" i="1"/>
  <c r="AD1167" i="1" s="1"/>
  <c r="O1162" i="1"/>
  <c r="AD1162" i="1" s="1"/>
  <c r="O1161" i="1"/>
  <c r="AC1161" i="1" s="1"/>
  <c r="O1145" i="1"/>
  <c r="AC1145" i="1" s="1"/>
  <c r="O1001" i="1"/>
  <c r="AD1001" i="1" s="1"/>
  <c r="O1128" i="1"/>
  <c r="AC1128" i="1" s="1"/>
  <c r="O1097" i="1"/>
  <c r="AD1097" i="1" s="1"/>
  <c r="O969" i="1"/>
  <c r="AC969" i="1" s="1"/>
  <c r="O761" i="1"/>
  <c r="AC761" i="1" s="1"/>
  <c r="O1112" i="1"/>
  <c r="AC1112" i="1" s="1"/>
  <c r="O1141" i="1"/>
  <c r="AD1141" i="1" s="1"/>
  <c r="O1125" i="1"/>
  <c r="AC1125" i="1" s="1"/>
  <c r="O1049" i="1"/>
  <c r="AD1049" i="1" s="1"/>
  <c r="O905" i="1"/>
  <c r="AD905" i="1" s="1"/>
  <c r="O777" i="1"/>
  <c r="AD777" i="1" s="1"/>
  <c r="O521" i="1"/>
  <c r="AC521" i="1" s="1"/>
  <c r="O1124" i="1"/>
  <c r="AD1124" i="1" s="1"/>
  <c r="O1076" i="1"/>
  <c r="AC1076" i="1" s="1"/>
  <c r="O1081" i="1"/>
  <c r="AD1081" i="1" s="1"/>
  <c r="O954" i="1"/>
  <c r="AC954" i="1" s="1"/>
  <c r="O825" i="1"/>
  <c r="AD825" i="1" s="1"/>
  <c r="O713" i="1"/>
  <c r="AC713" i="1" s="1"/>
  <c r="O569" i="1"/>
  <c r="AC569" i="1" s="1"/>
  <c r="O1092" i="1"/>
  <c r="O1017" i="1"/>
  <c r="AD1017" i="1" s="1"/>
  <c r="O857" i="1"/>
  <c r="AD857" i="1" s="1"/>
  <c r="O729" i="1"/>
  <c r="AC729" i="1" s="1"/>
  <c r="O1064" i="1"/>
  <c r="AD1064" i="1" s="1"/>
  <c r="O1140" i="1"/>
  <c r="AD1140" i="1" s="1"/>
  <c r="O1108" i="1"/>
  <c r="AC1108" i="1" s="1"/>
  <c r="O1138" i="1"/>
  <c r="AD1138" i="1" s="1"/>
  <c r="O1156" i="1"/>
  <c r="AC1156" i="1" s="1"/>
  <c r="O921" i="1"/>
  <c r="AD921" i="1" s="1"/>
  <c r="O1135" i="1"/>
  <c r="AD1135" i="1" s="1"/>
  <c r="O1152" i="1"/>
  <c r="AD1152" i="1" s="1"/>
  <c r="O1129" i="1"/>
  <c r="AD1129" i="1" s="1"/>
  <c r="O1033" i="1"/>
  <c r="AD1033" i="1" s="1"/>
  <c r="O809" i="1"/>
  <c r="AD809" i="1" s="1"/>
  <c r="O617" i="1"/>
  <c r="AC617" i="1" s="1"/>
  <c r="O1080" i="1"/>
  <c r="O1113" i="1"/>
  <c r="AC1113" i="1" s="1"/>
  <c r="O1154" i="1"/>
  <c r="AC1154" i="1" s="1"/>
  <c r="O1153" i="1"/>
  <c r="AD1153" i="1" s="1"/>
  <c r="O1151" i="1"/>
  <c r="AD1151" i="1" s="1"/>
  <c r="O1072" i="1"/>
  <c r="AD1072" i="1" s="1"/>
  <c r="O1120" i="1"/>
  <c r="AC1120" i="1" s="1"/>
  <c r="O992" i="1"/>
  <c r="AD992" i="1" s="1"/>
  <c r="O1088" i="1"/>
  <c r="AC1088" i="1" s="1"/>
  <c r="O1136" i="1"/>
  <c r="AD1136" i="1" s="1"/>
  <c r="O1024" i="1"/>
  <c r="AD1024" i="1" s="1"/>
  <c r="O1104" i="1"/>
  <c r="AD1104" i="1" s="1"/>
  <c r="O1040" i="1"/>
  <c r="AD1040" i="1" s="1"/>
  <c r="O1144" i="1"/>
  <c r="AD1144" i="1" s="1"/>
  <c r="O1146" i="1"/>
  <c r="AD1146" i="1" s="1"/>
  <c r="O1131" i="1"/>
  <c r="AC1131" i="1" s="1"/>
  <c r="O1122" i="1"/>
  <c r="AD1122" i="1" s="1"/>
  <c r="O1109" i="1"/>
  <c r="AC1109" i="1" s="1"/>
  <c r="O1093" i="1"/>
  <c r="AC1093" i="1" s="1"/>
  <c r="O1077" i="1"/>
  <c r="AC1077" i="1" s="1"/>
  <c r="O1061" i="1"/>
  <c r="AD1061" i="1" s="1"/>
  <c r="O1046" i="1"/>
  <c r="AC1046" i="1" s="1"/>
  <c r="O1029" i="1"/>
  <c r="AD1029" i="1" s="1"/>
  <c r="O1013" i="1"/>
  <c r="AD1013" i="1" s="1"/>
  <c r="O981" i="1"/>
  <c r="AC981" i="1" s="1"/>
  <c r="O965" i="1"/>
  <c r="AD965" i="1" s="1"/>
  <c r="O933" i="1"/>
  <c r="AC933" i="1" s="1"/>
  <c r="O917" i="1"/>
  <c r="AD917" i="1" s="1"/>
  <c r="O868" i="1"/>
  <c r="AD868" i="1" s="1"/>
  <c r="O837" i="1"/>
  <c r="AD837" i="1" s="1"/>
  <c r="O821" i="1"/>
  <c r="AD821" i="1" s="1"/>
  <c r="O789" i="1"/>
  <c r="AD789" i="1" s="1"/>
  <c r="O773" i="1"/>
  <c r="AC773" i="1" s="1"/>
  <c r="O741" i="1"/>
  <c r="AC741" i="1" s="1"/>
  <c r="O725" i="1"/>
  <c r="AC725" i="1" s="1"/>
  <c r="O1103" i="1"/>
  <c r="AD1103" i="1" s="1"/>
  <c r="O1087" i="1"/>
  <c r="AD1087" i="1" s="1"/>
  <c r="O1071" i="1"/>
  <c r="AC1071" i="1" s="1"/>
  <c r="O1055" i="1"/>
  <c r="AC1055" i="1" s="1"/>
  <c r="O1039" i="1"/>
  <c r="AD1039" i="1" s="1"/>
  <c r="O1023" i="1"/>
  <c r="AD1023" i="1" s="1"/>
  <c r="O1007" i="1"/>
  <c r="AD1007" i="1" s="1"/>
  <c r="O1119" i="1"/>
  <c r="AD1119" i="1" s="1"/>
  <c r="O1090" i="1"/>
  <c r="AD1090" i="1" s="1"/>
  <c r="O1058" i="1"/>
  <c r="AD1058" i="1" s="1"/>
  <c r="O1042" i="1"/>
  <c r="AD1042" i="1" s="1"/>
  <c r="O1026" i="1"/>
  <c r="AC1026" i="1" s="1"/>
  <c r="O1010" i="1"/>
  <c r="AD1010" i="1" s="1"/>
  <c r="O994" i="1"/>
  <c r="AD994" i="1" s="1"/>
  <c r="O978" i="1"/>
  <c r="AD978" i="1" s="1"/>
  <c r="O946" i="1"/>
  <c r="AD946" i="1" s="1"/>
  <c r="O914" i="1"/>
  <c r="AC914" i="1" s="1"/>
  <c r="O898" i="1"/>
  <c r="AD898" i="1" s="1"/>
  <c r="O882" i="1"/>
  <c r="AC882" i="1" s="1"/>
  <c r="O866" i="1"/>
  <c r="AD866" i="1" s="1"/>
  <c r="O850" i="1"/>
  <c r="AD850" i="1" s="1"/>
  <c r="O834" i="1"/>
  <c r="AC834" i="1" s="1"/>
  <c r="O819" i="1"/>
  <c r="AD819" i="1" s="1"/>
  <c r="O802" i="1"/>
  <c r="AC802" i="1" s="1"/>
  <c r="O786" i="1"/>
  <c r="AC786" i="1" s="1"/>
  <c r="O770" i="1"/>
  <c r="AD770" i="1" s="1"/>
  <c r="O754" i="1"/>
  <c r="AD754" i="1" s="1"/>
  <c r="O738" i="1"/>
  <c r="AC738" i="1" s="1"/>
  <c r="O722" i="1"/>
  <c r="AD722" i="1" s="1"/>
  <c r="O706" i="1"/>
  <c r="AC706" i="1" s="1"/>
  <c r="O690" i="1"/>
  <c r="AD690" i="1" s="1"/>
  <c r="O674" i="1"/>
  <c r="AD674" i="1" s="1"/>
  <c r="O658" i="1"/>
  <c r="AD658" i="1" s="1"/>
  <c r="O626" i="1"/>
  <c r="AD626" i="1" s="1"/>
  <c r="O610" i="1"/>
  <c r="AC610" i="1" s="1"/>
  <c r="O578" i="1"/>
  <c r="AD578" i="1" s="1"/>
  <c r="O1111" i="1"/>
  <c r="AD1111" i="1" s="1"/>
  <c r="O1110" i="1"/>
  <c r="AD1110" i="1" s="1"/>
  <c r="O1107" i="1"/>
  <c r="AD1107" i="1" s="1"/>
  <c r="O1106" i="1"/>
  <c r="AD1106" i="1" s="1"/>
  <c r="O1089" i="1"/>
  <c r="AD1089" i="1" s="1"/>
  <c r="O1041" i="1"/>
  <c r="AC1041" i="1" s="1"/>
  <c r="O1025" i="1"/>
  <c r="AD1025" i="1" s="1"/>
  <c r="O1073" i="1"/>
  <c r="AC1073" i="1" s="1"/>
  <c r="O1105" i="1"/>
  <c r="AC1105" i="1" s="1"/>
  <c r="O1036" i="1"/>
  <c r="AC1036" i="1" s="1"/>
  <c r="O1020" i="1"/>
  <c r="AD1020" i="1" s="1"/>
  <c r="O988" i="1"/>
  <c r="AC988" i="1" s="1"/>
  <c r="O972" i="1"/>
  <c r="AD972" i="1" s="1"/>
  <c r="O956" i="1"/>
  <c r="AD956" i="1" s="1"/>
  <c r="O941" i="1"/>
  <c r="AC941" i="1" s="1"/>
  <c r="O925" i="1"/>
  <c r="AC925" i="1" s="1"/>
  <c r="O908" i="1"/>
  <c r="AC908" i="1" s="1"/>
  <c r="O892" i="1"/>
  <c r="AC892" i="1" s="1"/>
  <c r="O876" i="1"/>
  <c r="AD876" i="1" s="1"/>
  <c r="O860" i="1"/>
  <c r="AC860" i="1" s="1"/>
  <c r="O844" i="1"/>
  <c r="AD844" i="1" s="1"/>
  <c r="O828" i="1"/>
  <c r="AC828" i="1" s="1"/>
  <c r="O812" i="1"/>
  <c r="AC812" i="1" s="1"/>
  <c r="O796" i="1"/>
  <c r="AC796" i="1" s="1"/>
  <c r="O1068" i="1"/>
  <c r="AC1068" i="1" s="1"/>
  <c r="O1085" i="1"/>
  <c r="AC1085" i="1" s="1"/>
  <c r="O1096" i="1"/>
  <c r="AD1096" i="1" s="1"/>
  <c r="O1074" i="1"/>
  <c r="AC1074" i="1" s="1"/>
  <c r="O1065" i="1"/>
  <c r="AD1065" i="1" s="1"/>
  <c r="O1045" i="1"/>
  <c r="AD1045" i="1" s="1"/>
  <c r="O1028" i="1"/>
  <c r="AD1028" i="1" s="1"/>
  <c r="O1012" i="1"/>
  <c r="AC1012" i="1" s="1"/>
  <c r="O1060" i="1"/>
  <c r="AD1060" i="1" s="1"/>
  <c r="O1057" i="1"/>
  <c r="AD1057" i="1" s="1"/>
  <c r="O1056" i="1"/>
  <c r="AD1056" i="1" s="1"/>
  <c r="O1052" i="1"/>
  <c r="AD1052" i="1" s="1"/>
  <c r="O1048" i="1"/>
  <c r="AC1048" i="1" s="1"/>
  <c r="O1016" i="1"/>
  <c r="AD1016" i="1" s="1"/>
  <c r="O1032" i="1"/>
  <c r="AC1032" i="1" s="1"/>
  <c r="O1000" i="1"/>
  <c r="AD1000" i="1" s="1"/>
  <c r="O1038" i="1"/>
  <c r="AD1038" i="1" s="1"/>
  <c r="O1003" i="1"/>
  <c r="AD1003" i="1" s="1"/>
  <c r="O980" i="1"/>
  <c r="AD980" i="1" s="1"/>
  <c r="O964" i="1"/>
  <c r="AD964" i="1" s="1"/>
  <c r="O948" i="1"/>
  <c r="AD948" i="1" s="1"/>
  <c r="O932" i="1"/>
  <c r="AD932" i="1" s="1"/>
  <c r="O916" i="1"/>
  <c r="AD916" i="1" s="1"/>
  <c r="O900" i="1"/>
  <c r="AD900" i="1" s="1"/>
  <c r="O884" i="1"/>
  <c r="AC884" i="1" s="1"/>
  <c r="O869" i="1"/>
  <c r="AC869" i="1" s="1"/>
  <c r="O852" i="1"/>
  <c r="AC852" i="1" s="1"/>
  <c r="O1009" i="1"/>
  <c r="AD1009" i="1" s="1"/>
  <c r="O1008" i="1"/>
  <c r="AC1008" i="1" s="1"/>
  <c r="O1004" i="1"/>
  <c r="AC1004" i="1" s="1"/>
  <c r="O993" i="1"/>
  <c r="AC993" i="1" s="1"/>
  <c r="O997" i="1"/>
  <c r="AC997" i="1" s="1"/>
  <c r="O979" i="1"/>
  <c r="AD979" i="1" s="1"/>
  <c r="O955" i="1"/>
  <c r="AC955" i="1" s="1"/>
  <c r="O949" i="1"/>
  <c r="AC949" i="1" s="1"/>
  <c r="O937" i="1"/>
  <c r="AD937" i="1" s="1"/>
  <c r="O901" i="1"/>
  <c r="AD901" i="1" s="1"/>
  <c r="O889" i="1"/>
  <c r="AD889" i="1" s="1"/>
  <c r="O853" i="1"/>
  <c r="AC853" i="1" s="1"/>
  <c r="O841" i="1"/>
  <c r="AD841" i="1" s="1"/>
  <c r="O811" i="1"/>
  <c r="AD811" i="1" s="1"/>
  <c r="O793" i="1"/>
  <c r="AC793" i="1" s="1"/>
  <c r="O757" i="1"/>
  <c r="AD757" i="1" s="1"/>
  <c r="O715" i="1"/>
  <c r="AD715" i="1" s="1"/>
  <c r="O601" i="1"/>
  <c r="AD601" i="1" s="1"/>
  <c r="O553" i="1"/>
  <c r="AC553" i="1" s="1"/>
  <c r="O505" i="1"/>
  <c r="AC505" i="1" s="1"/>
  <c r="O985" i="1"/>
  <c r="AD985" i="1" s="1"/>
  <c r="O973" i="1"/>
  <c r="AD973" i="1" s="1"/>
  <c r="O931" i="1"/>
  <c r="AC931" i="1" s="1"/>
  <c r="O919" i="1"/>
  <c r="AC919" i="1" s="1"/>
  <c r="O907" i="1"/>
  <c r="AD907" i="1" s="1"/>
  <c r="O883" i="1"/>
  <c r="AD883" i="1" s="1"/>
  <c r="O871" i="1"/>
  <c r="AD871" i="1" s="1"/>
  <c r="O858" i="1"/>
  <c r="AC858" i="1" s="1"/>
  <c r="O835" i="1"/>
  <c r="AC835" i="1" s="1"/>
  <c r="O823" i="1"/>
  <c r="AC823" i="1" s="1"/>
  <c r="O805" i="1"/>
  <c r="AC805" i="1" s="1"/>
  <c r="O763" i="1"/>
  <c r="AC763" i="1" s="1"/>
  <c r="O745" i="1"/>
  <c r="AD745" i="1" s="1"/>
  <c r="BU8" i="2"/>
  <c r="BU2" i="2"/>
  <c r="BU20" i="2"/>
  <c r="O991" i="1"/>
  <c r="AD991" i="1" s="1"/>
  <c r="BU22" i="2"/>
  <c r="BU18" i="2"/>
  <c r="BU19" i="2"/>
  <c r="BU16" i="2"/>
  <c r="BU12" i="2"/>
  <c r="BU29" i="2"/>
  <c r="BU6" i="2"/>
  <c r="BU17" i="2"/>
  <c r="BU24" i="2"/>
  <c r="BU7" i="2"/>
  <c r="BU30" i="2"/>
  <c r="BU3" i="2"/>
  <c r="BU26" i="2"/>
  <c r="BU33" i="2"/>
  <c r="BU4" i="2"/>
  <c r="BU28" i="2"/>
  <c r="BU11" i="2"/>
  <c r="BU32" i="2"/>
  <c r="BU23" i="2"/>
  <c r="BU21" i="2"/>
  <c r="BU25" i="2"/>
  <c r="BU10" i="2"/>
  <c r="BU31" i="2"/>
  <c r="BU15" i="2"/>
  <c r="BU9" i="2"/>
  <c r="BU14" i="2"/>
  <c r="BU13" i="2"/>
  <c r="BU5" i="2"/>
  <c r="O989" i="1"/>
  <c r="AD989" i="1" s="1"/>
  <c r="BU27" i="2"/>
  <c r="O984" i="1"/>
  <c r="AD984" i="1" s="1"/>
  <c r="BT23" i="2"/>
  <c r="O953" i="1"/>
  <c r="AD953" i="1" s="1"/>
  <c r="BT21" i="2"/>
  <c r="BT27" i="2"/>
  <c r="O977" i="1"/>
  <c r="AD977" i="1" s="1"/>
  <c r="BT3" i="2"/>
  <c r="BT22" i="2"/>
  <c r="BT8" i="2"/>
  <c r="BT2" i="2"/>
  <c r="BT26" i="2"/>
  <c r="BT16" i="2"/>
  <c r="BT20" i="2"/>
  <c r="BT29" i="2"/>
  <c r="BT4" i="2"/>
  <c r="BT9" i="2"/>
  <c r="BT10" i="2"/>
  <c r="BT33" i="2"/>
  <c r="BT6" i="2"/>
  <c r="BT25" i="2"/>
  <c r="BT30" i="2"/>
  <c r="BT15" i="2"/>
  <c r="BT12" i="2"/>
  <c r="BT19" i="2"/>
  <c r="BT28" i="2"/>
  <c r="BT24" i="2"/>
  <c r="BT31" i="2"/>
  <c r="BT14" i="2"/>
  <c r="BT7" i="2"/>
  <c r="BT17" i="2"/>
  <c r="BT18" i="2"/>
  <c r="BT11" i="2"/>
  <c r="BT13" i="2"/>
  <c r="BT5" i="2"/>
  <c r="BT32" i="2"/>
  <c r="O982" i="1"/>
  <c r="AD982" i="1" s="1"/>
  <c r="O960" i="1"/>
  <c r="AC960" i="1" s="1"/>
  <c r="O959" i="1"/>
  <c r="AD959" i="1" s="1"/>
  <c r="O976" i="1"/>
  <c r="AD976" i="1" s="1"/>
  <c r="O975" i="1"/>
  <c r="AC975" i="1" s="1"/>
  <c r="O968" i="1"/>
  <c r="AD968" i="1" s="1"/>
  <c r="O967" i="1"/>
  <c r="AD967" i="1" s="1"/>
  <c r="O963" i="1"/>
  <c r="AD963" i="1" s="1"/>
  <c r="O962" i="1"/>
  <c r="AC962" i="1" s="1"/>
  <c r="O961" i="1"/>
  <c r="AC961" i="1" s="1"/>
  <c r="O929" i="1"/>
  <c r="AC929" i="1" s="1"/>
  <c r="O945" i="1"/>
  <c r="AC945" i="1" s="1"/>
  <c r="O943" i="1"/>
  <c r="AC943" i="1" s="1"/>
  <c r="O913" i="1"/>
  <c r="AC913" i="1" s="1"/>
  <c r="DW57" i="2"/>
  <c r="O895" i="1"/>
  <c r="AC895" i="1" s="1"/>
  <c r="O848" i="1"/>
  <c r="AD848" i="1" s="1"/>
  <c r="O928" i="1"/>
  <c r="AD928" i="1" s="1"/>
  <c r="O880" i="1"/>
  <c r="AC880" i="1" s="1"/>
  <c r="O864" i="1"/>
  <c r="AD864" i="1" s="1"/>
  <c r="O944" i="1"/>
  <c r="AC944" i="1" s="1"/>
  <c r="O911" i="1"/>
  <c r="AC911" i="1" s="1"/>
  <c r="O879" i="1"/>
  <c r="AC879" i="1" s="1"/>
  <c r="O927" i="1"/>
  <c r="AD927" i="1" s="1"/>
  <c r="O894" i="1"/>
  <c r="AC894" i="1" s="1"/>
  <c r="O910" i="1"/>
  <c r="AC910" i="1" s="1"/>
  <c r="O878" i="1"/>
  <c r="AD878" i="1" s="1"/>
  <c r="O846" i="1"/>
  <c r="AD846" i="1" s="1"/>
  <c r="O814" i="1"/>
  <c r="AC814" i="1" s="1"/>
  <c r="O782" i="1"/>
  <c r="AD782" i="1" s="1"/>
  <c r="O766" i="1"/>
  <c r="AC766" i="1" s="1"/>
  <c r="O926" i="1"/>
  <c r="AC926" i="1" s="1"/>
  <c r="O893" i="1"/>
  <c r="AC893" i="1" s="1"/>
  <c r="O877" i="1"/>
  <c r="AD877" i="1" s="1"/>
  <c r="O861" i="1"/>
  <c r="AC861" i="1" s="1"/>
  <c r="O845" i="1"/>
  <c r="AC845" i="1" s="1"/>
  <c r="O829" i="1"/>
  <c r="AC829" i="1" s="1"/>
  <c r="O813" i="1"/>
  <c r="AD813" i="1" s="1"/>
  <c r="O797" i="1"/>
  <c r="AC797" i="1" s="1"/>
  <c r="O939" i="1"/>
  <c r="AD939" i="1" s="1"/>
  <c r="O923" i="1"/>
  <c r="AD923" i="1" s="1"/>
  <c r="O896" i="1"/>
  <c r="AC896" i="1" s="1"/>
  <c r="O862" i="1"/>
  <c r="AC862" i="1" s="1"/>
  <c r="O830" i="1"/>
  <c r="AC830" i="1" s="1"/>
  <c r="O798" i="1"/>
  <c r="AD798" i="1" s="1"/>
  <c r="O750" i="1"/>
  <c r="AC750" i="1" s="1"/>
  <c r="V7" i="9"/>
  <c r="AB6" i="9"/>
  <c r="Y3" i="9"/>
  <c r="AR28" i="9"/>
  <c r="AO26" i="9"/>
  <c r="AL23" i="9"/>
  <c r="AA9" i="9"/>
  <c r="X4" i="9"/>
  <c r="AQ29" i="9"/>
  <c r="AN24" i="9"/>
  <c r="AC2" i="9"/>
  <c r="Z8" i="9"/>
  <c r="W5" i="9"/>
  <c r="AJ17" i="9"/>
  <c r="AG16" i="9"/>
  <c r="AD19" i="9"/>
  <c r="AS22" i="9"/>
  <c r="AI15" i="9"/>
  <c r="AF13" i="9"/>
  <c r="AP25" i="9"/>
  <c r="AM27" i="9"/>
  <c r="AK12" i="9"/>
  <c r="AH18" i="9"/>
  <c r="AE14" i="9"/>
  <c r="O840" i="1"/>
  <c r="AC840" i="1" s="1"/>
  <c r="O888" i="1"/>
  <c r="AD888" i="1" s="1"/>
  <c r="O920" i="1"/>
  <c r="AD920" i="1" s="1"/>
  <c r="O872" i="1"/>
  <c r="AD872" i="1" s="1"/>
  <c r="O936" i="1"/>
  <c r="AD936" i="1" s="1"/>
  <c r="O934" i="1"/>
  <c r="AD934" i="1" s="1"/>
  <c r="O930" i="1"/>
  <c r="AC930" i="1" s="1"/>
  <c r="O912" i="1"/>
  <c r="AC912" i="1" s="1"/>
  <c r="O897" i="1"/>
  <c r="AD897" i="1" s="1"/>
  <c r="O881" i="1"/>
  <c r="AD881" i="1" s="1"/>
  <c r="O865" i="1"/>
  <c r="AC865" i="1" s="1"/>
  <c r="O849" i="1"/>
  <c r="AC849" i="1" s="1"/>
  <c r="O909" i="1"/>
  <c r="AD909" i="1" s="1"/>
  <c r="O904" i="1"/>
  <c r="AD904" i="1" s="1"/>
  <c r="O885" i="1"/>
  <c r="AC885" i="1" s="1"/>
  <c r="O873" i="1"/>
  <c r="AD873" i="1" s="1"/>
  <c r="O863" i="1"/>
  <c r="AC863" i="1" s="1"/>
  <c r="O847" i="1"/>
  <c r="AD847" i="1" s="1"/>
  <c r="O856" i="1"/>
  <c r="AD856" i="1" s="1"/>
  <c r="O31" i="1"/>
  <c r="AD31" i="1" s="1"/>
  <c r="O831" i="1"/>
  <c r="AD831" i="1" s="1"/>
  <c r="O815" i="1"/>
  <c r="AD815" i="1" s="1"/>
  <c r="O799" i="1"/>
  <c r="AD799" i="1" s="1"/>
  <c r="O783" i="1"/>
  <c r="AD783" i="1" s="1"/>
  <c r="O767" i="1"/>
  <c r="O751" i="1"/>
  <c r="AC751" i="1" s="1"/>
  <c r="O735" i="1"/>
  <c r="AD735" i="1" s="1"/>
  <c r="O719" i="1"/>
  <c r="AD719" i="1" s="1"/>
  <c r="O703" i="1"/>
  <c r="AC703" i="1" s="1"/>
  <c r="O698" i="1"/>
  <c r="AC698" i="1" s="1"/>
  <c r="O665" i="1"/>
  <c r="AC665" i="1" s="1"/>
  <c r="O649" i="1"/>
  <c r="AC649" i="1" s="1"/>
  <c r="O833" i="1"/>
  <c r="AD833" i="1" s="1"/>
  <c r="O817" i="1"/>
  <c r="AC817" i="1" s="1"/>
  <c r="O801" i="1"/>
  <c r="AD801" i="1" s="1"/>
  <c r="O832" i="1"/>
  <c r="AD832" i="1" s="1"/>
  <c r="O816" i="1"/>
  <c r="AD816" i="1" s="1"/>
  <c r="O708" i="1"/>
  <c r="AD708" i="1" s="1"/>
  <c r="O340" i="1"/>
  <c r="AD340" i="1" s="1"/>
  <c r="O820" i="1"/>
  <c r="AD820" i="1" s="1"/>
  <c r="O788" i="1"/>
  <c r="O756" i="1"/>
  <c r="AD756" i="1" s="1"/>
  <c r="O724" i="1"/>
  <c r="AD724" i="1" s="1"/>
  <c r="O676" i="1"/>
  <c r="AC676" i="1" s="1"/>
  <c r="O628" i="1"/>
  <c r="AD628" i="1" s="1"/>
  <c r="O548" i="1"/>
  <c r="AC548" i="1" s="1"/>
  <c r="O436" i="1"/>
  <c r="AC436" i="1" s="1"/>
  <c r="O404" i="1"/>
  <c r="AD404" i="1" s="1"/>
  <c r="O388" i="1"/>
  <c r="AD388" i="1" s="1"/>
  <c r="O292" i="1"/>
  <c r="AD292" i="1" s="1"/>
  <c r="O836" i="1"/>
  <c r="AC836" i="1" s="1"/>
  <c r="O804" i="1"/>
  <c r="AC804" i="1" s="1"/>
  <c r="O772" i="1"/>
  <c r="AC772" i="1" s="1"/>
  <c r="O740" i="1"/>
  <c r="AC740" i="1" s="1"/>
  <c r="O692" i="1"/>
  <c r="AD692" i="1" s="1"/>
  <c r="O580" i="1"/>
  <c r="AD580" i="1" s="1"/>
  <c r="O308" i="1"/>
  <c r="AD308" i="1" s="1"/>
  <c r="O644" i="1"/>
  <c r="AC644" i="1" s="1"/>
  <c r="O596" i="1"/>
  <c r="AC596" i="1" s="1"/>
  <c r="O484" i="1"/>
  <c r="AD484" i="1" s="1"/>
  <c r="O452" i="1"/>
  <c r="AD452" i="1" s="1"/>
  <c r="O356" i="1"/>
  <c r="AD356" i="1" s="1"/>
  <c r="O818" i="1"/>
  <c r="AD818" i="1" s="1"/>
  <c r="O771" i="1"/>
  <c r="AC771" i="1" s="1"/>
  <c r="O739" i="1"/>
  <c r="AD739" i="1" s="1"/>
  <c r="O707" i="1"/>
  <c r="AD707" i="1" s="1"/>
  <c r="O643" i="1"/>
  <c r="AC643" i="1" s="1"/>
  <c r="O595" i="1"/>
  <c r="AC595" i="1" s="1"/>
  <c r="O563" i="1"/>
  <c r="AD563" i="1" s="1"/>
  <c r="O547" i="1"/>
  <c r="AC547" i="1" s="1"/>
  <c r="O516" i="1"/>
  <c r="AC516" i="1" s="1"/>
  <c r="O803" i="1"/>
  <c r="AD803" i="1" s="1"/>
  <c r="O787" i="1"/>
  <c r="AD787" i="1" s="1"/>
  <c r="O755" i="1"/>
  <c r="AC755" i="1" s="1"/>
  <c r="O723" i="1"/>
  <c r="AD723" i="1" s="1"/>
  <c r="O691" i="1"/>
  <c r="AD691" i="1" s="1"/>
  <c r="O659" i="1"/>
  <c r="AC659" i="1" s="1"/>
  <c r="O611" i="1"/>
  <c r="AC611" i="1" s="1"/>
  <c r="O499" i="1"/>
  <c r="AD499" i="1" s="1"/>
  <c r="O775" i="1"/>
  <c r="AD775" i="1" s="1"/>
  <c r="O696" i="1"/>
  <c r="AC696" i="1" s="1"/>
  <c r="O792" i="1"/>
  <c r="AD792" i="1" s="1"/>
  <c r="O728" i="1"/>
  <c r="AD728" i="1" s="1"/>
  <c r="O826" i="1"/>
  <c r="AC826" i="1" s="1"/>
  <c r="O810" i="1"/>
  <c r="AC810" i="1" s="1"/>
  <c r="O759" i="1"/>
  <c r="AC759" i="1" s="1"/>
  <c r="O744" i="1"/>
  <c r="AC744" i="1" s="1"/>
  <c r="O824" i="1"/>
  <c r="AD824" i="1" s="1"/>
  <c r="O808" i="1"/>
  <c r="AD808" i="1" s="1"/>
  <c r="O712" i="1"/>
  <c r="AC712" i="1" s="1"/>
  <c r="O794" i="1"/>
  <c r="AC794" i="1" s="1"/>
  <c r="O778" i="1"/>
  <c r="AD778" i="1" s="1"/>
  <c r="O762" i="1"/>
  <c r="AC762" i="1" s="1"/>
  <c r="O746" i="1"/>
  <c r="AD746" i="1" s="1"/>
  <c r="O730" i="1"/>
  <c r="AD730" i="1" s="1"/>
  <c r="O714" i="1"/>
  <c r="AD714" i="1" s="1"/>
  <c r="O699" i="1"/>
  <c r="AC699" i="1" s="1"/>
  <c r="O682" i="1"/>
  <c r="AD682" i="1" s="1"/>
  <c r="O650" i="1"/>
  <c r="AC650" i="1" s="1"/>
  <c r="O634" i="1"/>
  <c r="AC634" i="1" s="1"/>
  <c r="O602" i="1"/>
  <c r="AC602" i="1" s="1"/>
  <c r="O579" i="1"/>
  <c r="AD579" i="1" s="1"/>
  <c r="O554" i="1"/>
  <c r="AD554" i="1" s="1"/>
  <c r="O752" i="1"/>
  <c r="AC752" i="1" s="1"/>
  <c r="O800" i="1"/>
  <c r="O736" i="1"/>
  <c r="AC736" i="1" s="1"/>
  <c r="O784" i="1"/>
  <c r="AC784" i="1" s="1"/>
  <c r="O768" i="1"/>
  <c r="AD768" i="1" s="1"/>
  <c r="O785" i="1"/>
  <c r="AC785" i="1" s="1"/>
  <c r="O769" i="1"/>
  <c r="AC769" i="1" s="1"/>
  <c r="O753" i="1"/>
  <c r="AD753" i="1" s="1"/>
  <c r="O737" i="1"/>
  <c r="AD737" i="1" s="1"/>
  <c r="O721" i="1"/>
  <c r="AC721" i="1" s="1"/>
  <c r="O689" i="1"/>
  <c r="AC689" i="1" s="1"/>
  <c r="O673" i="1"/>
  <c r="AC673" i="1" s="1"/>
  <c r="O641" i="1"/>
  <c r="AC641" i="1" s="1"/>
  <c r="O625" i="1"/>
  <c r="AD625" i="1" s="1"/>
  <c r="O593" i="1"/>
  <c r="AD593" i="1" s="1"/>
  <c r="O577" i="1"/>
  <c r="AD577" i="1" s="1"/>
  <c r="O545" i="1"/>
  <c r="AD545" i="1" s="1"/>
  <c r="O529" i="1"/>
  <c r="AC529" i="1" s="1"/>
  <c r="O497" i="1"/>
  <c r="AD497" i="1" s="1"/>
  <c r="R53" i="11"/>
  <c r="X59" i="11"/>
  <c r="AD65" i="11"/>
  <c r="Q52" i="11"/>
  <c r="S54" i="11"/>
  <c r="Y60" i="11"/>
  <c r="AE66" i="11"/>
  <c r="N49" i="11"/>
  <c r="T55" i="11"/>
  <c r="Z61" i="11"/>
  <c r="AF67" i="11"/>
  <c r="U56" i="11"/>
  <c r="AA62" i="11"/>
  <c r="AG68" i="11"/>
  <c r="W58" i="11"/>
  <c r="AC64" i="11"/>
  <c r="AB63" i="11"/>
  <c r="F41" i="11"/>
  <c r="H43" i="11"/>
  <c r="C38" i="11"/>
  <c r="E40" i="11"/>
  <c r="G42" i="11"/>
  <c r="V57" i="11"/>
  <c r="I44" i="11"/>
  <c r="D39" i="11"/>
  <c r="B37" i="11"/>
  <c r="P51" i="11"/>
  <c r="K46" i="11"/>
  <c r="M48" i="11"/>
  <c r="O50" i="11"/>
  <c r="J45" i="11"/>
  <c r="L47" i="11"/>
  <c r="O781" i="1"/>
  <c r="AD781" i="1" s="1"/>
  <c r="O765" i="1"/>
  <c r="AD765" i="1" s="1"/>
  <c r="O749" i="1"/>
  <c r="AD749" i="1" s="1"/>
  <c r="O733" i="1"/>
  <c r="AD733" i="1" s="1"/>
  <c r="O780" i="1"/>
  <c r="AD780" i="1" s="1"/>
  <c r="O764" i="1"/>
  <c r="AC764" i="1" s="1"/>
  <c r="O748" i="1"/>
  <c r="AD748" i="1" s="1"/>
  <c r="O732" i="1"/>
  <c r="AD732" i="1" s="1"/>
  <c r="O743" i="1"/>
  <c r="AC743" i="1" s="1"/>
  <c r="O727" i="1"/>
  <c r="AD727" i="1" s="1"/>
  <c r="O695" i="1"/>
  <c r="AC695" i="1" s="1"/>
  <c r="O679" i="1"/>
  <c r="AD679" i="1" s="1"/>
  <c r="O646" i="1"/>
  <c r="AC646" i="1" s="1"/>
  <c r="O631" i="1"/>
  <c r="AC631" i="1" s="1"/>
  <c r="O599" i="1"/>
  <c r="AD599" i="1" s="1"/>
  <c r="O583" i="1"/>
  <c r="AD583" i="1" s="1"/>
  <c r="O551" i="1"/>
  <c r="AC551" i="1" s="1"/>
  <c r="O535" i="1"/>
  <c r="AC535" i="1" s="1"/>
  <c r="O503" i="1"/>
  <c r="AC503" i="1" s="1"/>
  <c r="O776" i="1"/>
  <c r="AC776" i="1" s="1"/>
  <c r="O760" i="1"/>
  <c r="AD760" i="1" s="1"/>
  <c r="O638" i="1"/>
  <c r="AC638" i="1" s="1"/>
  <c r="O702" i="1"/>
  <c r="AC702" i="1" s="1"/>
  <c r="O686" i="1"/>
  <c r="AC686" i="1" s="1"/>
  <c r="O734" i="1"/>
  <c r="AC734" i="1" s="1"/>
  <c r="O718" i="1"/>
  <c r="AC718" i="1" s="1"/>
  <c r="O670" i="1"/>
  <c r="AC670" i="1" s="1"/>
  <c r="O662" i="1"/>
  <c r="AC662" i="1" s="1"/>
  <c r="O613" i="1"/>
  <c r="AD613" i="1" s="1"/>
  <c r="O581" i="1"/>
  <c r="AC581" i="1" s="1"/>
  <c r="O517" i="1"/>
  <c r="AC517" i="1" s="1"/>
  <c r="O485" i="1"/>
  <c r="AD485" i="1" s="1"/>
  <c r="O709" i="1"/>
  <c r="AC709" i="1" s="1"/>
  <c r="O677" i="1"/>
  <c r="AD677" i="1" s="1"/>
  <c r="O629" i="1"/>
  <c r="AD629" i="1" s="1"/>
  <c r="O565" i="1"/>
  <c r="AC565" i="1" s="1"/>
  <c r="O533" i="1"/>
  <c r="AC533" i="1" s="1"/>
  <c r="O470" i="1"/>
  <c r="AD470" i="1" s="1"/>
  <c r="O256" i="1"/>
  <c r="AD256" i="1" s="1"/>
  <c r="O672" i="1"/>
  <c r="AC672" i="1" s="1"/>
  <c r="O272" i="1"/>
  <c r="AD272" i="1" s="1"/>
  <c r="O656" i="1"/>
  <c r="AC656" i="1" s="1"/>
  <c r="O496" i="1"/>
  <c r="AC496" i="1" s="1"/>
  <c r="O704" i="1"/>
  <c r="AD704" i="1" s="1"/>
  <c r="O560" i="1"/>
  <c r="AD560" i="1" s="1"/>
  <c r="O464" i="1"/>
  <c r="AD464" i="1" s="1"/>
  <c r="O608" i="1"/>
  <c r="AC608" i="1" s="1"/>
  <c r="O512" i="1"/>
  <c r="AD512" i="1" s="1"/>
  <c r="O697" i="1"/>
  <c r="AD697" i="1" s="1"/>
  <c r="O668" i="1"/>
  <c r="AD668" i="1" s="1"/>
  <c r="O208" i="1"/>
  <c r="AC208" i="1" s="1"/>
  <c r="O688" i="1"/>
  <c r="AC688" i="1" s="1"/>
  <c r="O592" i="1"/>
  <c r="AC592" i="1" s="1"/>
  <c r="O716" i="1"/>
  <c r="AC716" i="1" s="1"/>
  <c r="O684" i="1"/>
  <c r="AC684" i="1" s="1"/>
  <c r="O652" i="1"/>
  <c r="AD652" i="1" s="1"/>
  <c r="O720" i="1"/>
  <c r="AD720" i="1" s="1"/>
  <c r="O640" i="1"/>
  <c r="AD640" i="1" s="1"/>
  <c r="O544" i="1"/>
  <c r="AC544" i="1" s="1"/>
  <c r="DI57" i="2"/>
  <c r="O717" i="1"/>
  <c r="AC717" i="1" s="1"/>
  <c r="O711" i="1"/>
  <c r="AD711" i="1" s="1"/>
  <c r="O700" i="1"/>
  <c r="AC700" i="1" s="1"/>
  <c r="O693" i="1"/>
  <c r="AC693" i="1" s="1"/>
  <c r="O681" i="1"/>
  <c r="AD681" i="1" s="1"/>
  <c r="O675" i="1"/>
  <c r="AD675" i="1" s="1"/>
  <c r="O663" i="1"/>
  <c r="AC663" i="1" s="1"/>
  <c r="O657" i="1"/>
  <c r="AD657" i="1" s="1"/>
  <c r="O645" i="1"/>
  <c r="AD645" i="1" s="1"/>
  <c r="O633" i="1"/>
  <c r="AD633" i="1" s="1"/>
  <c r="O627" i="1"/>
  <c r="AC627" i="1" s="1"/>
  <c r="O615" i="1"/>
  <c r="AC615" i="1" s="1"/>
  <c r="O609" i="1"/>
  <c r="AC609" i="1" s="1"/>
  <c r="O597" i="1"/>
  <c r="AC597" i="1" s="1"/>
  <c r="O586" i="1"/>
  <c r="AC586" i="1" s="1"/>
  <c r="O584" i="1"/>
  <c r="AC584" i="1" s="1"/>
  <c r="O567" i="1"/>
  <c r="AD567" i="1" s="1"/>
  <c r="O561" i="1"/>
  <c r="AD561" i="1" s="1"/>
  <c r="O549" i="1"/>
  <c r="AD549" i="1" s="1"/>
  <c r="O537" i="1"/>
  <c r="AD537" i="1" s="1"/>
  <c r="O531" i="1"/>
  <c r="AD531" i="1" s="1"/>
  <c r="O519" i="1"/>
  <c r="AC519" i="1" s="1"/>
  <c r="O513" i="1"/>
  <c r="AD513" i="1" s="1"/>
  <c r="O501" i="1"/>
  <c r="AD501" i="1" s="1"/>
  <c r="O705" i="1"/>
  <c r="AD705" i="1" s="1"/>
  <c r="O701" i="1"/>
  <c r="AC701" i="1" s="1"/>
  <c r="O685" i="1"/>
  <c r="AD685" i="1" s="1"/>
  <c r="O669" i="1"/>
  <c r="AD669" i="1" s="1"/>
  <c r="O653" i="1"/>
  <c r="AD653" i="1" s="1"/>
  <c r="O637" i="1"/>
  <c r="AC637" i="1" s="1"/>
  <c r="O621" i="1"/>
  <c r="AC621" i="1" s="1"/>
  <c r="O605" i="1"/>
  <c r="AD605" i="1" s="1"/>
  <c r="O589" i="1"/>
  <c r="AC589" i="1" s="1"/>
  <c r="O573" i="1"/>
  <c r="AD573" i="1" s="1"/>
  <c r="O557" i="1"/>
  <c r="AC557" i="1" s="1"/>
  <c r="O541" i="1"/>
  <c r="AC541" i="1" s="1"/>
  <c r="O525" i="1"/>
  <c r="AC525" i="1" s="1"/>
  <c r="O509" i="1"/>
  <c r="AD509" i="1" s="1"/>
  <c r="O493" i="1"/>
  <c r="AC493" i="1" s="1"/>
  <c r="O671" i="1"/>
  <c r="AD671" i="1" s="1"/>
  <c r="O639" i="1"/>
  <c r="AC639" i="1" s="1"/>
  <c r="O607" i="1"/>
  <c r="AC607" i="1" s="1"/>
  <c r="O623" i="1"/>
  <c r="AD623" i="1" s="1"/>
  <c r="O687" i="1"/>
  <c r="AD687" i="1" s="1"/>
  <c r="O543" i="1"/>
  <c r="AD543" i="1" s="1"/>
  <c r="O511" i="1"/>
  <c r="AD511" i="1" s="1"/>
  <c r="O664" i="1"/>
  <c r="AC664" i="1" s="1"/>
  <c r="O632" i="1"/>
  <c r="AC632" i="1" s="1"/>
  <c r="O616" i="1"/>
  <c r="AC616" i="1" s="1"/>
  <c r="O585" i="1"/>
  <c r="AC585" i="1" s="1"/>
  <c r="O568" i="1"/>
  <c r="AD568" i="1" s="1"/>
  <c r="O536" i="1"/>
  <c r="AD536" i="1" s="1"/>
  <c r="O520" i="1"/>
  <c r="AC520" i="1" s="1"/>
  <c r="O488" i="1"/>
  <c r="AD488" i="1" s="1"/>
  <c r="O472" i="1"/>
  <c r="AD472" i="1" s="1"/>
  <c r="O680" i="1"/>
  <c r="AD680" i="1" s="1"/>
  <c r="O651" i="1"/>
  <c r="AD651" i="1" s="1"/>
  <c r="O635" i="1"/>
  <c r="AD635" i="1" s="1"/>
  <c r="O619" i="1"/>
  <c r="AD619" i="1" s="1"/>
  <c r="O603" i="1"/>
  <c r="AC603" i="1" s="1"/>
  <c r="O587" i="1"/>
  <c r="AD587" i="1" s="1"/>
  <c r="O571" i="1"/>
  <c r="AD571" i="1" s="1"/>
  <c r="O555" i="1"/>
  <c r="AC555" i="1" s="1"/>
  <c r="O539" i="1"/>
  <c r="AD539" i="1" s="1"/>
  <c r="O523" i="1"/>
  <c r="AC523" i="1" s="1"/>
  <c r="O507" i="1"/>
  <c r="AC507" i="1" s="1"/>
  <c r="O491" i="1"/>
  <c r="AD491" i="1" s="1"/>
  <c r="O660" i="1"/>
  <c r="AC660" i="1" s="1"/>
  <c r="O630" i="1"/>
  <c r="AC630" i="1" s="1"/>
  <c r="O600" i="1"/>
  <c r="AC600" i="1" s="1"/>
  <c r="O576" i="1"/>
  <c r="AD576" i="1" s="1"/>
  <c r="O528" i="1"/>
  <c r="AD528" i="1" s="1"/>
  <c r="O468" i="1"/>
  <c r="AD468" i="1" s="1"/>
  <c r="O636" i="1"/>
  <c r="AC636" i="1" s="1"/>
  <c r="O648" i="1"/>
  <c r="AC648" i="1" s="1"/>
  <c r="O618" i="1"/>
  <c r="AC618" i="1" s="1"/>
  <c r="O594" i="1"/>
  <c r="AD594" i="1" s="1"/>
  <c r="O570" i="1"/>
  <c r="AC570" i="1" s="1"/>
  <c r="O504" i="1"/>
  <c r="AD504" i="1" s="1"/>
  <c r="O654" i="1"/>
  <c r="AC654" i="1" s="1"/>
  <c r="O624" i="1"/>
  <c r="AD624" i="1" s="1"/>
  <c r="O564" i="1"/>
  <c r="AD564" i="1" s="1"/>
  <c r="O480" i="1"/>
  <c r="AC480" i="1" s="1"/>
  <c r="O666" i="1"/>
  <c r="AD666" i="1" s="1"/>
  <c r="O642" i="1"/>
  <c r="AC642" i="1" s="1"/>
  <c r="O612" i="1"/>
  <c r="AC612" i="1" s="1"/>
  <c r="O552" i="1"/>
  <c r="AC552" i="1" s="1"/>
  <c r="O667" i="1"/>
  <c r="AC667" i="1" s="1"/>
  <c r="O620" i="1"/>
  <c r="AC620" i="1" s="1"/>
  <c r="O604" i="1"/>
  <c r="AD604" i="1" s="1"/>
  <c r="O588" i="1"/>
  <c r="AD588" i="1" s="1"/>
  <c r="O572" i="1"/>
  <c r="AC572" i="1" s="1"/>
  <c r="O556" i="1"/>
  <c r="AD556" i="1" s="1"/>
  <c r="O540" i="1"/>
  <c r="AC540" i="1" s="1"/>
  <c r="O476" i="1"/>
  <c r="AD476" i="1" s="1"/>
  <c r="O460" i="1"/>
  <c r="AC460" i="1" s="1"/>
  <c r="O428" i="1"/>
  <c r="AD428" i="1" s="1"/>
  <c r="O412" i="1"/>
  <c r="AD412" i="1" s="1"/>
  <c r="O380" i="1"/>
  <c r="AD380" i="1" s="1"/>
  <c r="O364" i="1"/>
  <c r="AD364" i="1" s="1"/>
  <c r="O332" i="1"/>
  <c r="AD332" i="1" s="1"/>
  <c r="O316" i="1"/>
  <c r="AC316" i="1" s="1"/>
  <c r="O622" i="1"/>
  <c r="AD622" i="1" s="1"/>
  <c r="O558" i="1"/>
  <c r="AD558" i="1" s="1"/>
  <c r="O574" i="1"/>
  <c r="AD574" i="1" s="1"/>
  <c r="O510" i="1"/>
  <c r="AC510" i="1" s="1"/>
  <c r="O526" i="1"/>
  <c r="AC526" i="1" s="1"/>
  <c r="O590" i="1"/>
  <c r="AD590" i="1" s="1"/>
  <c r="O494" i="1"/>
  <c r="AC494" i="1" s="1"/>
  <c r="O606" i="1"/>
  <c r="AC606" i="1" s="1"/>
  <c r="O542" i="1"/>
  <c r="AD542" i="1" s="1"/>
  <c r="O582" i="1"/>
  <c r="AD582" i="1" s="1"/>
  <c r="O566" i="1"/>
  <c r="AC566" i="1" s="1"/>
  <c r="O550" i="1"/>
  <c r="AD550" i="1" s="1"/>
  <c r="O534" i="1"/>
  <c r="AC534" i="1" s="1"/>
  <c r="O518" i="1"/>
  <c r="AC518" i="1" s="1"/>
  <c r="O502" i="1"/>
  <c r="AD502" i="1" s="1"/>
  <c r="O591" i="1"/>
  <c r="AC591" i="1" s="1"/>
  <c r="O575" i="1"/>
  <c r="AD575" i="1" s="1"/>
  <c r="O527" i="1"/>
  <c r="AD527" i="1" s="1"/>
  <c r="O495" i="1"/>
  <c r="AD495" i="1" s="1"/>
  <c r="O559" i="1"/>
  <c r="AC559" i="1" s="1"/>
  <c r="O274" i="1"/>
  <c r="AD274" i="1" s="1"/>
  <c r="O242" i="1"/>
  <c r="AD242" i="1" s="1"/>
  <c r="O226" i="1"/>
  <c r="AC226" i="1" s="1"/>
  <c r="O466" i="1"/>
  <c r="AD466" i="1" s="1"/>
  <c r="O338" i="1"/>
  <c r="AC338" i="1" s="1"/>
  <c r="O370" i="1"/>
  <c r="AD370" i="1" s="1"/>
  <c r="O482" i="1"/>
  <c r="AD482" i="1" s="1"/>
  <c r="O386" i="1"/>
  <c r="AD386" i="1" s="1"/>
  <c r="O290" i="1"/>
  <c r="AD290" i="1" s="1"/>
  <c r="O562" i="1"/>
  <c r="AD562" i="1" s="1"/>
  <c r="O546" i="1"/>
  <c r="AC546" i="1" s="1"/>
  <c r="O434" i="1"/>
  <c r="AC434" i="1" s="1"/>
  <c r="O514" i="1"/>
  <c r="AD514" i="1" s="1"/>
  <c r="O418" i="1"/>
  <c r="AD418" i="1" s="1"/>
  <c r="O322" i="1"/>
  <c r="AC322" i="1" s="1"/>
  <c r="O498" i="1"/>
  <c r="AC498" i="1" s="1"/>
  <c r="O530" i="1"/>
  <c r="AC530" i="1" s="1"/>
  <c r="O538" i="1"/>
  <c r="AD538" i="1" s="1"/>
  <c r="O522" i="1"/>
  <c r="AC522" i="1" s="1"/>
  <c r="O506" i="1"/>
  <c r="AC506" i="1" s="1"/>
  <c r="O490" i="1"/>
  <c r="AC490" i="1" s="1"/>
  <c r="AL1206" i="1"/>
  <c r="AM1206" i="1"/>
  <c r="AL1062" i="1"/>
  <c r="AM1062" i="1"/>
  <c r="AL918" i="1"/>
  <c r="AM918" i="1"/>
  <c r="AL758" i="1"/>
  <c r="AM758" i="1"/>
  <c r="AL614" i="1"/>
  <c r="AM614" i="1"/>
  <c r="AL469" i="1"/>
  <c r="AM469" i="1"/>
  <c r="AL341" i="1"/>
  <c r="AM341" i="1"/>
  <c r="AL197" i="1"/>
  <c r="AM197" i="1"/>
  <c r="AL65" i="1"/>
  <c r="AM65" i="1"/>
  <c r="O492" i="1"/>
  <c r="AD492" i="1" s="1"/>
  <c r="AL1301" i="1"/>
  <c r="AM1301" i="1"/>
  <c r="AL1285" i="1"/>
  <c r="AM1285" i="1"/>
  <c r="AL1269" i="1"/>
  <c r="AM1269" i="1"/>
  <c r="AL1253" i="1"/>
  <c r="AM1253" i="1"/>
  <c r="AL1237" i="1"/>
  <c r="AM1237" i="1"/>
  <c r="AL1221" i="1"/>
  <c r="AM1221" i="1"/>
  <c r="AL1205" i="1"/>
  <c r="AM1205" i="1"/>
  <c r="AL1189" i="1"/>
  <c r="AM1189" i="1"/>
  <c r="AL1173" i="1"/>
  <c r="AM1173" i="1"/>
  <c r="AL1157" i="1"/>
  <c r="AM1157" i="1"/>
  <c r="AL1141" i="1"/>
  <c r="AM1141" i="1"/>
  <c r="AL1125" i="1"/>
  <c r="AM1125" i="1"/>
  <c r="AL1109" i="1"/>
  <c r="AM1109" i="1"/>
  <c r="AL1093" i="1"/>
  <c r="AM1093" i="1"/>
  <c r="AL1077" i="1"/>
  <c r="AM1077" i="1"/>
  <c r="AL1061" i="1"/>
  <c r="AM1061" i="1"/>
  <c r="AL1046" i="1"/>
  <c r="AM1046" i="1"/>
  <c r="AL1029" i="1"/>
  <c r="AM1029" i="1"/>
  <c r="AM1013" i="1"/>
  <c r="AL1013" i="1"/>
  <c r="AL998" i="1"/>
  <c r="AM998" i="1"/>
  <c r="AM981" i="1"/>
  <c r="AL981" i="1"/>
  <c r="AL965" i="1"/>
  <c r="AM965" i="1"/>
  <c r="AM949" i="1"/>
  <c r="AL949" i="1"/>
  <c r="AM933" i="1"/>
  <c r="AL933" i="1"/>
  <c r="AM917" i="1"/>
  <c r="AL917" i="1"/>
  <c r="AM901" i="1"/>
  <c r="AL901" i="1"/>
  <c r="AM885" i="1"/>
  <c r="AL885" i="1"/>
  <c r="AL868" i="1"/>
  <c r="AM868" i="1"/>
  <c r="AM853" i="1"/>
  <c r="AL853" i="1"/>
  <c r="AM837" i="1"/>
  <c r="AL837" i="1"/>
  <c r="AM821" i="1"/>
  <c r="AL821" i="1"/>
  <c r="AM805" i="1"/>
  <c r="AL805" i="1"/>
  <c r="AM789" i="1"/>
  <c r="AL789" i="1"/>
  <c r="AM773" i="1"/>
  <c r="AL773" i="1"/>
  <c r="AM757" i="1"/>
  <c r="AL757" i="1"/>
  <c r="AM741" i="1"/>
  <c r="AL741" i="1"/>
  <c r="AM725" i="1"/>
  <c r="AL725" i="1"/>
  <c r="AL709" i="1"/>
  <c r="AM709" i="1"/>
  <c r="AM693" i="1"/>
  <c r="AL693" i="1"/>
  <c r="AM677" i="1"/>
  <c r="AL677" i="1"/>
  <c r="AL662" i="1"/>
  <c r="AM662" i="1"/>
  <c r="AM645" i="1"/>
  <c r="AL645" i="1"/>
  <c r="AM629" i="1"/>
  <c r="AL629" i="1"/>
  <c r="AM613" i="1"/>
  <c r="AL613" i="1"/>
  <c r="AM597" i="1"/>
  <c r="AL597" i="1"/>
  <c r="AM581" i="1"/>
  <c r="AL581" i="1"/>
  <c r="AM565" i="1"/>
  <c r="AL565" i="1"/>
  <c r="AM549" i="1"/>
  <c r="AL549" i="1"/>
  <c r="AL501" i="1"/>
  <c r="AM501" i="1"/>
  <c r="AL485" i="1"/>
  <c r="AM485" i="1"/>
  <c r="AL470" i="1"/>
  <c r="AM470" i="1"/>
  <c r="AL453" i="1"/>
  <c r="AM453" i="1"/>
  <c r="AL437" i="1"/>
  <c r="AM437" i="1"/>
  <c r="AL421" i="1"/>
  <c r="AM421" i="1"/>
  <c r="AL405" i="1"/>
  <c r="AM405" i="1"/>
  <c r="AL389" i="1"/>
  <c r="AM389" i="1"/>
  <c r="AL372" i="1"/>
  <c r="AM372" i="1"/>
  <c r="AL356" i="1"/>
  <c r="AM356" i="1"/>
  <c r="AL340" i="1"/>
  <c r="AM340" i="1"/>
  <c r="AL324" i="1"/>
  <c r="AM324" i="1"/>
  <c r="AL308" i="1"/>
  <c r="AM308" i="1"/>
  <c r="AL292" i="1"/>
  <c r="AM292" i="1"/>
  <c r="AL276" i="1"/>
  <c r="AM276" i="1"/>
  <c r="AL261" i="1"/>
  <c r="AM261" i="1"/>
  <c r="AL244" i="1"/>
  <c r="AM244" i="1"/>
  <c r="AL228" i="1"/>
  <c r="AM228" i="1"/>
  <c r="AL213" i="1"/>
  <c r="AM213" i="1"/>
  <c r="AL196" i="1"/>
  <c r="AM196" i="1"/>
  <c r="AL180" i="1"/>
  <c r="AM180" i="1"/>
  <c r="AL164" i="1"/>
  <c r="AM164" i="1"/>
  <c r="AL148" i="1"/>
  <c r="AM148" i="1"/>
  <c r="AL132" i="1"/>
  <c r="AM132" i="1"/>
  <c r="AL116" i="1"/>
  <c r="AM116" i="1"/>
  <c r="AL100" i="1"/>
  <c r="AM100" i="1"/>
  <c r="AL84" i="1"/>
  <c r="AM84" i="1"/>
  <c r="AL69" i="1"/>
  <c r="AM69" i="1"/>
  <c r="AL52" i="1"/>
  <c r="AM52" i="1"/>
  <c r="AL36" i="1"/>
  <c r="AM36" i="1"/>
  <c r="AL20" i="1"/>
  <c r="AM20" i="1"/>
  <c r="AL4" i="1"/>
  <c r="AM4" i="1"/>
  <c r="AL1222" i="1"/>
  <c r="AM1222" i="1"/>
  <c r="AL1030" i="1"/>
  <c r="AM1030" i="1"/>
  <c r="AL854" i="1"/>
  <c r="AM854" i="1"/>
  <c r="AL678" i="1"/>
  <c r="AM678" i="1"/>
  <c r="AL502" i="1"/>
  <c r="AM502" i="1"/>
  <c r="AL309" i="1"/>
  <c r="AM309" i="1"/>
  <c r="AL117" i="1"/>
  <c r="AM117" i="1"/>
  <c r="AL1300" i="1"/>
  <c r="AM1300" i="1"/>
  <c r="AL1284" i="1"/>
  <c r="AM1284" i="1"/>
  <c r="AL1268" i="1"/>
  <c r="AM1268" i="1"/>
  <c r="AL1252" i="1"/>
  <c r="AM1252" i="1"/>
  <c r="AL1236" i="1"/>
  <c r="AM1236" i="1"/>
  <c r="AL1220" i="1"/>
  <c r="AM1220" i="1"/>
  <c r="AL1204" i="1"/>
  <c r="AM1204" i="1"/>
  <c r="AL1188" i="1"/>
  <c r="AM1188" i="1"/>
  <c r="AL1172" i="1"/>
  <c r="AM1172" i="1"/>
  <c r="AL1156" i="1"/>
  <c r="AM1156" i="1"/>
  <c r="AL1140" i="1"/>
  <c r="AM1140" i="1"/>
  <c r="AL1124" i="1"/>
  <c r="AM1124" i="1"/>
  <c r="AL1108" i="1"/>
  <c r="AM1108" i="1"/>
  <c r="AL1092" i="1"/>
  <c r="AM1092" i="1"/>
  <c r="AL1076" i="1"/>
  <c r="AM1076" i="1"/>
  <c r="AL1060" i="1"/>
  <c r="AM1060" i="1"/>
  <c r="AL1045" i="1"/>
  <c r="AM1045" i="1"/>
  <c r="AL1028" i="1"/>
  <c r="AM1028" i="1"/>
  <c r="AL1012" i="1"/>
  <c r="AM1012" i="1"/>
  <c r="AM997" i="1"/>
  <c r="AL997" i="1"/>
  <c r="AL980" i="1"/>
  <c r="AM980" i="1"/>
  <c r="AL964" i="1"/>
  <c r="AM964" i="1"/>
  <c r="AL948" i="1"/>
  <c r="AM948" i="1"/>
  <c r="AL932" i="1"/>
  <c r="AM932" i="1"/>
  <c r="AL916" i="1"/>
  <c r="AM916" i="1"/>
  <c r="AL900" i="1"/>
  <c r="AM900" i="1"/>
  <c r="AL884" i="1"/>
  <c r="AM884" i="1"/>
  <c r="AM869" i="1"/>
  <c r="AL869" i="1"/>
  <c r="AL852" i="1"/>
  <c r="AM852" i="1"/>
  <c r="AL836" i="1"/>
  <c r="AM836" i="1"/>
  <c r="AL820" i="1"/>
  <c r="AM820" i="1"/>
  <c r="AL804" i="1"/>
  <c r="AM804" i="1"/>
  <c r="AL788" i="1"/>
  <c r="AM788" i="1"/>
  <c r="AL772" i="1"/>
  <c r="AM772" i="1"/>
  <c r="AL756" i="1"/>
  <c r="AM756" i="1"/>
  <c r="AL740" i="1"/>
  <c r="AM740" i="1"/>
  <c r="AL724" i="1"/>
  <c r="AM724" i="1"/>
  <c r="AL708" i="1"/>
  <c r="AM708" i="1"/>
  <c r="AL692" i="1"/>
  <c r="AM692" i="1"/>
  <c r="AL676" i="1"/>
  <c r="AM676" i="1"/>
  <c r="AL660" i="1"/>
  <c r="AM660" i="1"/>
  <c r="AL644" i="1"/>
  <c r="AM644" i="1"/>
  <c r="AL628" i="1"/>
  <c r="AM628" i="1"/>
  <c r="AL612" i="1"/>
  <c r="AM612" i="1"/>
  <c r="AL596" i="1"/>
  <c r="AM596" i="1"/>
  <c r="AL580" i="1"/>
  <c r="AM580" i="1"/>
  <c r="AL564" i="1"/>
  <c r="AM564" i="1"/>
  <c r="AL548" i="1"/>
  <c r="AM548" i="1"/>
  <c r="AL500" i="1"/>
  <c r="AM500" i="1"/>
  <c r="AL484" i="1"/>
  <c r="AM484" i="1"/>
  <c r="AL468" i="1"/>
  <c r="AM468" i="1"/>
  <c r="AL452" i="1"/>
  <c r="AM452" i="1"/>
  <c r="AL436" i="1"/>
  <c r="AM436" i="1"/>
  <c r="AL420" i="1"/>
  <c r="AM420" i="1"/>
  <c r="AL404" i="1"/>
  <c r="AM404" i="1"/>
  <c r="AL388" i="1"/>
  <c r="AM388" i="1"/>
  <c r="AM371" i="1"/>
  <c r="AL371" i="1"/>
  <c r="AL355" i="1"/>
  <c r="AM355" i="1"/>
  <c r="AL339" i="1"/>
  <c r="AM339" i="1"/>
  <c r="AM323" i="1"/>
  <c r="AL323" i="1"/>
  <c r="AM307" i="1"/>
  <c r="AL307" i="1"/>
  <c r="AL291" i="1"/>
  <c r="AM291" i="1"/>
  <c r="AL275" i="1"/>
  <c r="AM275" i="1"/>
  <c r="AL260" i="1"/>
  <c r="AM260" i="1"/>
  <c r="AL243" i="1"/>
  <c r="AM243" i="1"/>
  <c r="AL227" i="1"/>
  <c r="AM227" i="1"/>
  <c r="AM211" i="1"/>
  <c r="AL211" i="1"/>
  <c r="AL195" i="1"/>
  <c r="AM195" i="1"/>
  <c r="AL179" i="1"/>
  <c r="AM179" i="1"/>
  <c r="AM163" i="1"/>
  <c r="AL163" i="1"/>
  <c r="AL147" i="1"/>
  <c r="AM147" i="1"/>
  <c r="AL131" i="1"/>
  <c r="AM131" i="1"/>
  <c r="AM115" i="1"/>
  <c r="AL115" i="1"/>
  <c r="AL99" i="1"/>
  <c r="AM99" i="1"/>
  <c r="AL83" i="1"/>
  <c r="AM83" i="1"/>
  <c r="AL68" i="1"/>
  <c r="AM68" i="1"/>
  <c r="AM51" i="1"/>
  <c r="AL51" i="1"/>
  <c r="AM35" i="1"/>
  <c r="AL35" i="1"/>
  <c r="AL19" i="1"/>
  <c r="AM19" i="1"/>
  <c r="AL3" i="1"/>
  <c r="AM3" i="1"/>
  <c r="AL1238" i="1"/>
  <c r="AM1238" i="1"/>
  <c r="AL966" i="1"/>
  <c r="AM966" i="1"/>
  <c r="AM661" i="1"/>
  <c r="AL661" i="1"/>
  <c r="AL325" i="1"/>
  <c r="AM325" i="1"/>
  <c r="O524" i="1"/>
  <c r="AD524" i="1" s="1"/>
  <c r="O508" i="1"/>
  <c r="AD508" i="1" s="1"/>
  <c r="AL1299" i="1"/>
  <c r="AM1299" i="1"/>
  <c r="AL1283" i="1"/>
  <c r="AM1283" i="1"/>
  <c r="AL1267" i="1"/>
  <c r="AM1267" i="1"/>
  <c r="AM1251" i="1"/>
  <c r="AL1251" i="1"/>
  <c r="AL1235" i="1"/>
  <c r="AM1235" i="1"/>
  <c r="AL1219" i="1"/>
  <c r="AM1219" i="1"/>
  <c r="AL1203" i="1"/>
  <c r="AM1203" i="1"/>
  <c r="AL1187" i="1"/>
  <c r="AM1187" i="1"/>
  <c r="AL1171" i="1"/>
  <c r="AM1171" i="1"/>
  <c r="AL1155" i="1"/>
  <c r="AM1155" i="1"/>
  <c r="AL1139" i="1"/>
  <c r="AM1139" i="1"/>
  <c r="AL1123" i="1"/>
  <c r="AM1123" i="1"/>
  <c r="AL1107" i="1"/>
  <c r="AM1107" i="1"/>
  <c r="AL1091" i="1"/>
  <c r="AM1091" i="1"/>
  <c r="AL1075" i="1"/>
  <c r="AM1075" i="1"/>
  <c r="AL1059" i="1"/>
  <c r="AM1059" i="1"/>
  <c r="AL1043" i="1"/>
  <c r="AM1043" i="1"/>
  <c r="AL1027" i="1"/>
  <c r="AM1027" i="1"/>
  <c r="AL1011" i="1"/>
  <c r="AM1011" i="1"/>
  <c r="AL996" i="1"/>
  <c r="AM996" i="1"/>
  <c r="AL979" i="1"/>
  <c r="AM979" i="1"/>
  <c r="AL963" i="1"/>
  <c r="AM963" i="1"/>
  <c r="AL947" i="1"/>
  <c r="AM947" i="1"/>
  <c r="AL931" i="1"/>
  <c r="AM931" i="1"/>
  <c r="AL915" i="1"/>
  <c r="AM915" i="1"/>
  <c r="AL899" i="1"/>
  <c r="AM899" i="1"/>
  <c r="AL883" i="1"/>
  <c r="AM883" i="1"/>
  <c r="AL867" i="1"/>
  <c r="AM867" i="1"/>
  <c r="AM851" i="1"/>
  <c r="AL851" i="1"/>
  <c r="AL835" i="1"/>
  <c r="AM835" i="1"/>
  <c r="AL818" i="1"/>
  <c r="AM818" i="1"/>
  <c r="AL803" i="1"/>
  <c r="AM803" i="1"/>
  <c r="AL787" i="1"/>
  <c r="AM787" i="1"/>
  <c r="AL771" i="1"/>
  <c r="AM771" i="1"/>
  <c r="AL755" i="1"/>
  <c r="AM755" i="1"/>
  <c r="AL739" i="1"/>
  <c r="AM739" i="1"/>
  <c r="AL723" i="1"/>
  <c r="AM723" i="1"/>
  <c r="AM707" i="1"/>
  <c r="AL707" i="1"/>
  <c r="AL691" i="1"/>
  <c r="AM691" i="1"/>
  <c r="AL675" i="1"/>
  <c r="AM675" i="1"/>
  <c r="AL659" i="1"/>
  <c r="AM659" i="1"/>
  <c r="AL643" i="1"/>
  <c r="AM643" i="1"/>
  <c r="AL627" i="1"/>
  <c r="AM627" i="1"/>
  <c r="AL611" i="1"/>
  <c r="AM611" i="1"/>
  <c r="AM595" i="1"/>
  <c r="AL595" i="1"/>
  <c r="AL584" i="1"/>
  <c r="AM584" i="1"/>
  <c r="AL563" i="1"/>
  <c r="AM563" i="1"/>
  <c r="AL547" i="1"/>
  <c r="AM547" i="1"/>
  <c r="AL499" i="1"/>
  <c r="AM499" i="1"/>
  <c r="AL483" i="1"/>
  <c r="AM483" i="1"/>
  <c r="AM467" i="1"/>
  <c r="AL467" i="1"/>
  <c r="AL451" i="1"/>
  <c r="AM451" i="1"/>
  <c r="AL435" i="1"/>
  <c r="AM435" i="1"/>
  <c r="AM419" i="1"/>
  <c r="AL419" i="1"/>
  <c r="AL403" i="1"/>
  <c r="AM403" i="1"/>
  <c r="AL387" i="1"/>
  <c r="AM387" i="1"/>
  <c r="AL370" i="1"/>
  <c r="AM370" i="1"/>
  <c r="AL354" i="1"/>
  <c r="AM354" i="1"/>
  <c r="AL338" i="1"/>
  <c r="AM338" i="1"/>
  <c r="AL322" i="1"/>
  <c r="AM322" i="1"/>
  <c r="AL306" i="1"/>
  <c r="AM306" i="1"/>
  <c r="AL290" i="1"/>
  <c r="AM290" i="1"/>
  <c r="AL274" i="1"/>
  <c r="AM274" i="1"/>
  <c r="AL258" i="1"/>
  <c r="AM258" i="1"/>
  <c r="AL242" i="1"/>
  <c r="AM242" i="1"/>
  <c r="AL226" i="1"/>
  <c r="AM226" i="1"/>
  <c r="AL210" i="1"/>
  <c r="AM210" i="1"/>
  <c r="AL194" i="1"/>
  <c r="AM194" i="1"/>
  <c r="AL178" i="1"/>
  <c r="AM178" i="1"/>
  <c r="AL161" i="1"/>
  <c r="AM161" i="1"/>
  <c r="AL146" i="1"/>
  <c r="AM146" i="1"/>
  <c r="AL130" i="1"/>
  <c r="AM130" i="1"/>
  <c r="AL114" i="1"/>
  <c r="AM114" i="1"/>
  <c r="AL98" i="1"/>
  <c r="AM98" i="1"/>
  <c r="AL82" i="1"/>
  <c r="AM82" i="1"/>
  <c r="AL67" i="1"/>
  <c r="AM67" i="1"/>
  <c r="AM50" i="1"/>
  <c r="AL50" i="1"/>
  <c r="AM34" i="1"/>
  <c r="AL34" i="1"/>
  <c r="AM18" i="1"/>
  <c r="AL18" i="1"/>
  <c r="AL1302" i="1"/>
  <c r="AM1302" i="1"/>
  <c r="AL1255" i="1"/>
  <c r="AM1255" i="1"/>
  <c r="AL1174" i="1"/>
  <c r="AM1174" i="1"/>
  <c r="AL1126" i="1"/>
  <c r="AM1126" i="1"/>
  <c r="AL1094" i="1"/>
  <c r="AM1094" i="1"/>
  <c r="AL1014" i="1"/>
  <c r="AM1014" i="1"/>
  <c r="AM951" i="1"/>
  <c r="AL951" i="1"/>
  <c r="AL886" i="1"/>
  <c r="AM886" i="1"/>
  <c r="AL822" i="1"/>
  <c r="AM822" i="1"/>
  <c r="AL790" i="1"/>
  <c r="AM790" i="1"/>
  <c r="AL726" i="1"/>
  <c r="AM726" i="1"/>
  <c r="AM647" i="1"/>
  <c r="AL647" i="1"/>
  <c r="AL598" i="1"/>
  <c r="AM598" i="1"/>
  <c r="AL550" i="1"/>
  <c r="AM550" i="1"/>
  <c r="AL486" i="1"/>
  <c r="AM486" i="1"/>
  <c r="AL438" i="1"/>
  <c r="AM438" i="1"/>
  <c r="AM374" i="1"/>
  <c r="AL374" i="1"/>
  <c r="AL293" i="1"/>
  <c r="AM293" i="1"/>
  <c r="AL229" i="1"/>
  <c r="AM229" i="1"/>
  <c r="AL181" i="1"/>
  <c r="AM181" i="1"/>
  <c r="AL101" i="1"/>
  <c r="AM101" i="1"/>
  <c r="AL53" i="1"/>
  <c r="AM53" i="1"/>
  <c r="AL1314" i="1"/>
  <c r="AM1314" i="1"/>
  <c r="AL1298" i="1"/>
  <c r="AM1298" i="1"/>
  <c r="AL1282" i="1"/>
  <c r="AM1282" i="1"/>
  <c r="AL1266" i="1"/>
  <c r="AM1266" i="1"/>
  <c r="AL1250" i="1"/>
  <c r="AM1250" i="1"/>
  <c r="AL1234" i="1"/>
  <c r="AM1234" i="1"/>
  <c r="AL1218" i="1"/>
  <c r="AM1218" i="1"/>
  <c r="AL1202" i="1"/>
  <c r="AM1202" i="1"/>
  <c r="AL1186" i="1"/>
  <c r="AM1186" i="1"/>
  <c r="AL1170" i="1"/>
  <c r="AM1170" i="1"/>
  <c r="AL1154" i="1"/>
  <c r="AM1154" i="1"/>
  <c r="AL1138" i="1"/>
  <c r="AM1138" i="1"/>
  <c r="AL1122" i="1"/>
  <c r="AM1122" i="1"/>
  <c r="AL1106" i="1"/>
  <c r="AM1106" i="1"/>
  <c r="AL1090" i="1"/>
  <c r="AM1090" i="1"/>
  <c r="AL1074" i="1"/>
  <c r="AM1074" i="1"/>
  <c r="AL1058" i="1"/>
  <c r="AM1058" i="1"/>
  <c r="AL1042" i="1"/>
  <c r="AM1042" i="1"/>
  <c r="AL1026" i="1"/>
  <c r="AM1026" i="1"/>
  <c r="AL1010" i="1"/>
  <c r="AM1010" i="1"/>
  <c r="AL994" i="1"/>
  <c r="AM994" i="1"/>
  <c r="AL978" i="1"/>
  <c r="AM978" i="1"/>
  <c r="AL962" i="1"/>
  <c r="AM962" i="1"/>
  <c r="AL946" i="1"/>
  <c r="AM946" i="1"/>
  <c r="AL930" i="1"/>
  <c r="AM930" i="1"/>
  <c r="AL914" i="1"/>
  <c r="AM914" i="1"/>
  <c r="AL898" i="1"/>
  <c r="AM898" i="1"/>
  <c r="AL882" i="1"/>
  <c r="AM882" i="1"/>
  <c r="AL866" i="1"/>
  <c r="AM866" i="1"/>
  <c r="AL850" i="1"/>
  <c r="AM850" i="1"/>
  <c r="AL834" i="1"/>
  <c r="AM834" i="1"/>
  <c r="AL819" i="1"/>
  <c r="AM819" i="1"/>
  <c r="AL802" i="1"/>
  <c r="AM802" i="1"/>
  <c r="AL786" i="1"/>
  <c r="AM786" i="1"/>
  <c r="AL770" i="1"/>
  <c r="AM770" i="1"/>
  <c r="AL754" i="1"/>
  <c r="AM754" i="1"/>
  <c r="AL738" i="1"/>
  <c r="AM738" i="1"/>
  <c r="AL722" i="1"/>
  <c r="AM722" i="1"/>
  <c r="AL706" i="1"/>
  <c r="AM706" i="1"/>
  <c r="AL690" i="1"/>
  <c r="AM690" i="1"/>
  <c r="AL674" i="1"/>
  <c r="AM674" i="1"/>
  <c r="AL658" i="1"/>
  <c r="AM658" i="1"/>
  <c r="AL642" i="1"/>
  <c r="AM642" i="1"/>
  <c r="AL626" i="1"/>
  <c r="AM626" i="1"/>
  <c r="AL610" i="1"/>
  <c r="AM610" i="1"/>
  <c r="AL594" i="1"/>
  <c r="AM594" i="1"/>
  <c r="AL578" i="1"/>
  <c r="AM578" i="1"/>
  <c r="AL562" i="1"/>
  <c r="AM562" i="1"/>
  <c r="AL546" i="1"/>
  <c r="AM546" i="1"/>
  <c r="AL498" i="1"/>
  <c r="AM498" i="1"/>
  <c r="AL482" i="1"/>
  <c r="AM482" i="1"/>
  <c r="AL466" i="1"/>
  <c r="AM466" i="1"/>
  <c r="AL450" i="1"/>
  <c r="AM450" i="1"/>
  <c r="AL434" i="1"/>
  <c r="AM434" i="1"/>
  <c r="AL418" i="1"/>
  <c r="AM418" i="1"/>
  <c r="AL402" i="1"/>
  <c r="AM402" i="1"/>
  <c r="AL386" i="1"/>
  <c r="AM386" i="1"/>
  <c r="AL369" i="1"/>
  <c r="AM369" i="1"/>
  <c r="AL353" i="1"/>
  <c r="AM353" i="1"/>
  <c r="AL337" i="1"/>
  <c r="AM337" i="1"/>
  <c r="AL321" i="1"/>
  <c r="AM321" i="1"/>
  <c r="AL305" i="1"/>
  <c r="AM305" i="1"/>
  <c r="AL287" i="1"/>
  <c r="AM287" i="1"/>
  <c r="AL273" i="1"/>
  <c r="AM273" i="1"/>
  <c r="AL257" i="1"/>
  <c r="AM257" i="1"/>
  <c r="AL241" i="1"/>
  <c r="AM241" i="1"/>
  <c r="AL225" i="1"/>
  <c r="AM225" i="1"/>
  <c r="AL209" i="1"/>
  <c r="AM209" i="1"/>
  <c r="AL193" i="1"/>
  <c r="AM193" i="1"/>
  <c r="AL177" i="1"/>
  <c r="AM177" i="1"/>
  <c r="AL162" i="1"/>
  <c r="AM162" i="1"/>
  <c r="AL145" i="1"/>
  <c r="AM145" i="1"/>
  <c r="AL129" i="1"/>
  <c r="AM129" i="1"/>
  <c r="AL113" i="1"/>
  <c r="AM113" i="1"/>
  <c r="AL97" i="1"/>
  <c r="AM97" i="1"/>
  <c r="AL81" i="1"/>
  <c r="AM81" i="1"/>
  <c r="AM66" i="1"/>
  <c r="AL66" i="1"/>
  <c r="AL49" i="1"/>
  <c r="AM49" i="1"/>
  <c r="AL33" i="1"/>
  <c r="AM33" i="1"/>
  <c r="AL17" i="1"/>
  <c r="AM17" i="1"/>
  <c r="AL1286" i="1"/>
  <c r="AM1286" i="1"/>
  <c r="AL1078" i="1"/>
  <c r="AM1078" i="1"/>
  <c r="AL902" i="1"/>
  <c r="AM902" i="1"/>
  <c r="AL742" i="1"/>
  <c r="AM742" i="1"/>
  <c r="AL566" i="1"/>
  <c r="AM566" i="1"/>
  <c r="AL406" i="1"/>
  <c r="AM406" i="1"/>
  <c r="AL245" i="1"/>
  <c r="AM245" i="1"/>
  <c r="AL133" i="1"/>
  <c r="AM133" i="1"/>
  <c r="AL5" i="1"/>
  <c r="AM5" i="1"/>
  <c r="AL1313" i="1"/>
  <c r="AM1313" i="1"/>
  <c r="AL1297" i="1"/>
  <c r="AM1297" i="1"/>
  <c r="AL1281" i="1"/>
  <c r="AM1281" i="1"/>
  <c r="AL1265" i="1"/>
  <c r="AM1265" i="1"/>
  <c r="AL1249" i="1"/>
  <c r="AM1249" i="1"/>
  <c r="AL1233" i="1"/>
  <c r="AM1233" i="1"/>
  <c r="AL1217" i="1"/>
  <c r="AM1217" i="1"/>
  <c r="AM1201" i="1"/>
  <c r="AL1201" i="1"/>
  <c r="AL1185" i="1"/>
  <c r="AM1185" i="1"/>
  <c r="AL1169" i="1"/>
  <c r="AM1169" i="1"/>
  <c r="AL1153" i="1"/>
  <c r="AM1153" i="1"/>
  <c r="AL1137" i="1"/>
  <c r="AM1137" i="1"/>
  <c r="AL1121" i="1"/>
  <c r="AM1121" i="1"/>
  <c r="AL1105" i="1"/>
  <c r="AM1105" i="1"/>
  <c r="AL1089" i="1"/>
  <c r="AM1089" i="1"/>
  <c r="AL1073" i="1"/>
  <c r="AM1073" i="1"/>
  <c r="AL1057" i="1"/>
  <c r="AM1057" i="1"/>
  <c r="AL1041" i="1"/>
  <c r="AM1041" i="1"/>
  <c r="AL1025" i="1"/>
  <c r="AM1025" i="1"/>
  <c r="AL1009" i="1"/>
  <c r="AM1009" i="1"/>
  <c r="AL993" i="1"/>
  <c r="AM993" i="1"/>
  <c r="AL977" i="1"/>
  <c r="AM977" i="1"/>
  <c r="AL961" i="1"/>
  <c r="AM961" i="1"/>
  <c r="AL945" i="1"/>
  <c r="AM945" i="1"/>
  <c r="AL929" i="1"/>
  <c r="AM929" i="1"/>
  <c r="AL913" i="1"/>
  <c r="AM913" i="1"/>
  <c r="AL897" i="1"/>
  <c r="AM897" i="1"/>
  <c r="AL881" i="1"/>
  <c r="AM881" i="1"/>
  <c r="AL865" i="1"/>
  <c r="AM865" i="1"/>
  <c r="AL849" i="1"/>
  <c r="AM849" i="1"/>
  <c r="AL833" i="1"/>
  <c r="AM833" i="1"/>
  <c r="AL817" i="1"/>
  <c r="AM817" i="1"/>
  <c r="AL801" i="1"/>
  <c r="AM801" i="1"/>
  <c r="AL785" i="1"/>
  <c r="AM785" i="1"/>
  <c r="AL769" i="1"/>
  <c r="AM769" i="1"/>
  <c r="AL753" i="1"/>
  <c r="AM753" i="1"/>
  <c r="AL737" i="1"/>
  <c r="AM737" i="1"/>
  <c r="AL721" i="1"/>
  <c r="AM721" i="1"/>
  <c r="AL705" i="1"/>
  <c r="AM705" i="1"/>
  <c r="AL689" i="1"/>
  <c r="AM689" i="1"/>
  <c r="AL673" i="1"/>
  <c r="AM673" i="1"/>
  <c r="AL657" i="1"/>
  <c r="AM657" i="1"/>
  <c r="AL641" i="1"/>
  <c r="AM641" i="1"/>
  <c r="AL625" i="1"/>
  <c r="AM625" i="1"/>
  <c r="AL609" i="1"/>
  <c r="AM609" i="1"/>
  <c r="AL593" i="1"/>
  <c r="AM593" i="1"/>
  <c r="AL577" i="1"/>
  <c r="AM577" i="1"/>
  <c r="AL561" i="1"/>
  <c r="AM561" i="1"/>
  <c r="AL545" i="1"/>
  <c r="AM545" i="1"/>
  <c r="AL497" i="1"/>
  <c r="AM497" i="1"/>
  <c r="AL481" i="1"/>
  <c r="AM481" i="1"/>
  <c r="AL465" i="1"/>
  <c r="AM465" i="1"/>
  <c r="AL449" i="1"/>
  <c r="AM449" i="1"/>
  <c r="AL433" i="1"/>
  <c r="AM433" i="1"/>
  <c r="AL417" i="1"/>
  <c r="AM417" i="1"/>
  <c r="AL401" i="1"/>
  <c r="AM401" i="1"/>
  <c r="AL385" i="1"/>
  <c r="AM385" i="1"/>
  <c r="AL368" i="1"/>
  <c r="AM368" i="1"/>
  <c r="AL352" i="1"/>
  <c r="AM352" i="1"/>
  <c r="AL336" i="1"/>
  <c r="AM336" i="1"/>
  <c r="AL320" i="1"/>
  <c r="AM320" i="1"/>
  <c r="AL304" i="1"/>
  <c r="AM304" i="1"/>
  <c r="AL289" i="1"/>
  <c r="AM289" i="1"/>
  <c r="AL272" i="1"/>
  <c r="AM272" i="1"/>
  <c r="AL256" i="1"/>
  <c r="AM256" i="1"/>
  <c r="AL240" i="1"/>
  <c r="AM240" i="1"/>
  <c r="AL224" i="1"/>
  <c r="AM224" i="1"/>
  <c r="AL208" i="1"/>
  <c r="AM208" i="1"/>
  <c r="AL192" i="1"/>
  <c r="AM192" i="1"/>
  <c r="AL176" i="1"/>
  <c r="AM176" i="1"/>
  <c r="AL160" i="1"/>
  <c r="AM160" i="1"/>
  <c r="AL143" i="1"/>
  <c r="AM143" i="1"/>
  <c r="AL128" i="1"/>
  <c r="AM128" i="1"/>
  <c r="AL112" i="1"/>
  <c r="AM112" i="1"/>
  <c r="AL96" i="1"/>
  <c r="AM96" i="1"/>
  <c r="AL80" i="1"/>
  <c r="AM80" i="1"/>
  <c r="AM64" i="1"/>
  <c r="AL64" i="1"/>
  <c r="AM48" i="1"/>
  <c r="AL48" i="1"/>
  <c r="AM32" i="1"/>
  <c r="AL32" i="1"/>
  <c r="AM16" i="1"/>
  <c r="AL16" i="1"/>
  <c r="AL1270" i="1"/>
  <c r="AM1270" i="1"/>
  <c r="AL1190" i="1"/>
  <c r="AM1190" i="1"/>
  <c r="AL1142" i="1"/>
  <c r="AM1142" i="1"/>
  <c r="AL1110" i="1"/>
  <c r="AM1110" i="1"/>
  <c r="AL1047" i="1"/>
  <c r="AM1047" i="1"/>
  <c r="AL982" i="1"/>
  <c r="AM982" i="1"/>
  <c r="AL934" i="1"/>
  <c r="AM934" i="1"/>
  <c r="AL870" i="1"/>
  <c r="AM870" i="1"/>
  <c r="AL806" i="1"/>
  <c r="AM806" i="1"/>
  <c r="AL774" i="1"/>
  <c r="AM774" i="1"/>
  <c r="AL710" i="1"/>
  <c r="AM710" i="1"/>
  <c r="AL630" i="1"/>
  <c r="AM630" i="1"/>
  <c r="AL582" i="1"/>
  <c r="AM582" i="1"/>
  <c r="AL454" i="1"/>
  <c r="AM454" i="1"/>
  <c r="AL422" i="1"/>
  <c r="AM422" i="1"/>
  <c r="AL357" i="1"/>
  <c r="AM357" i="1"/>
  <c r="AL277" i="1"/>
  <c r="AM277" i="1"/>
  <c r="AL214" i="1"/>
  <c r="AM214" i="1"/>
  <c r="AL165" i="1"/>
  <c r="AM165" i="1"/>
  <c r="AL85" i="1"/>
  <c r="AM85" i="1"/>
  <c r="AL21" i="1"/>
  <c r="AM21" i="1"/>
  <c r="AL1312" i="1"/>
  <c r="AM1312" i="1"/>
  <c r="AL1296" i="1"/>
  <c r="AM1296" i="1"/>
  <c r="AL1280" i="1"/>
  <c r="AM1280" i="1"/>
  <c r="AL1264" i="1"/>
  <c r="AM1264" i="1"/>
  <c r="AL1248" i="1"/>
  <c r="AM1248" i="1"/>
  <c r="AL1232" i="1"/>
  <c r="AM1232" i="1"/>
  <c r="AL1216" i="1"/>
  <c r="AM1216" i="1"/>
  <c r="AL1200" i="1"/>
  <c r="AM1200" i="1"/>
  <c r="AL1184" i="1"/>
  <c r="AM1184" i="1"/>
  <c r="AL1168" i="1"/>
  <c r="AM1168" i="1"/>
  <c r="AL1151" i="1"/>
  <c r="AM1151" i="1"/>
  <c r="AL1136" i="1"/>
  <c r="AM1136" i="1"/>
  <c r="AL1120" i="1"/>
  <c r="AM1120" i="1"/>
  <c r="AL1104" i="1"/>
  <c r="AM1104" i="1"/>
  <c r="AL1088" i="1"/>
  <c r="AM1088" i="1"/>
  <c r="AL1072" i="1"/>
  <c r="AM1072" i="1"/>
  <c r="AL1056" i="1"/>
  <c r="AM1056" i="1"/>
  <c r="AL1040" i="1"/>
  <c r="AM1040" i="1"/>
  <c r="AL1024" i="1"/>
  <c r="AM1024" i="1"/>
  <c r="AL1008" i="1"/>
  <c r="AM1008" i="1"/>
  <c r="AL992" i="1"/>
  <c r="AM992" i="1"/>
  <c r="AL976" i="1"/>
  <c r="AM976" i="1"/>
  <c r="AL960" i="1"/>
  <c r="AM960" i="1"/>
  <c r="AL944" i="1"/>
  <c r="AM944" i="1"/>
  <c r="AL928" i="1"/>
  <c r="AM928" i="1"/>
  <c r="AL912" i="1"/>
  <c r="AM912" i="1"/>
  <c r="AL895" i="1"/>
  <c r="AM895" i="1"/>
  <c r="AL880" i="1"/>
  <c r="AM880" i="1"/>
  <c r="AL864" i="1"/>
  <c r="AM864" i="1"/>
  <c r="AL848" i="1"/>
  <c r="AM848" i="1"/>
  <c r="AL832" i="1"/>
  <c r="AM832" i="1"/>
  <c r="AL816" i="1"/>
  <c r="AM816" i="1"/>
  <c r="AL800" i="1"/>
  <c r="AM800" i="1"/>
  <c r="AL784" i="1"/>
  <c r="AM784" i="1"/>
  <c r="AL768" i="1"/>
  <c r="AM768" i="1"/>
  <c r="AL752" i="1"/>
  <c r="AM752" i="1"/>
  <c r="AL736" i="1"/>
  <c r="AM736" i="1"/>
  <c r="AL720" i="1"/>
  <c r="AM720" i="1"/>
  <c r="AL704" i="1"/>
  <c r="AM704" i="1"/>
  <c r="AL688" i="1"/>
  <c r="AM688" i="1"/>
  <c r="AL672" i="1"/>
  <c r="AM672" i="1"/>
  <c r="AL656" i="1"/>
  <c r="AM656" i="1"/>
  <c r="AL640" i="1"/>
  <c r="AM640" i="1"/>
  <c r="AL624" i="1"/>
  <c r="AM624" i="1"/>
  <c r="AL608" i="1"/>
  <c r="AM608" i="1"/>
  <c r="AL592" i="1"/>
  <c r="AM592" i="1"/>
  <c r="AL576" i="1"/>
  <c r="AM576" i="1"/>
  <c r="AL560" i="1"/>
  <c r="AM560" i="1"/>
  <c r="AL544" i="1"/>
  <c r="AM544" i="1"/>
  <c r="AL496" i="1"/>
  <c r="AM496" i="1"/>
  <c r="AL480" i="1"/>
  <c r="AM480" i="1"/>
  <c r="AL464" i="1"/>
  <c r="AM464" i="1"/>
  <c r="AL448" i="1"/>
  <c r="AM448" i="1"/>
  <c r="AL432" i="1"/>
  <c r="AM432" i="1"/>
  <c r="AL416" i="1"/>
  <c r="AM416" i="1"/>
  <c r="AL400" i="1"/>
  <c r="AM400" i="1"/>
  <c r="AL384" i="1"/>
  <c r="AM384" i="1"/>
  <c r="AL367" i="1"/>
  <c r="AM367" i="1"/>
  <c r="AL351" i="1"/>
  <c r="AM351" i="1"/>
  <c r="AL335" i="1"/>
  <c r="AM335" i="1"/>
  <c r="AL319" i="1"/>
  <c r="AM319" i="1"/>
  <c r="AL303" i="1"/>
  <c r="AM303" i="1"/>
  <c r="AL288" i="1"/>
  <c r="AM288" i="1"/>
  <c r="AL271" i="1"/>
  <c r="AM271" i="1"/>
  <c r="AL255" i="1"/>
  <c r="AM255" i="1"/>
  <c r="AL239" i="1"/>
  <c r="AM239" i="1"/>
  <c r="AL223" i="1"/>
  <c r="AM223" i="1"/>
  <c r="AL207" i="1"/>
  <c r="AM207" i="1"/>
  <c r="AL191" i="1"/>
  <c r="AM191" i="1"/>
  <c r="AL175" i="1"/>
  <c r="AM175" i="1"/>
  <c r="AL159" i="1"/>
  <c r="AM159" i="1"/>
  <c r="AL144" i="1"/>
  <c r="AM144" i="1"/>
  <c r="AL127" i="1"/>
  <c r="AM127" i="1"/>
  <c r="AL111" i="1"/>
  <c r="AM111" i="1"/>
  <c r="AL95" i="1"/>
  <c r="AM95" i="1"/>
  <c r="AL79" i="1"/>
  <c r="AM79" i="1"/>
  <c r="AM63" i="1"/>
  <c r="AL63" i="1"/>
  <c r="AM47" i="1"/>
  <c r="AL47" i="1"/>
  <c r="AM31" i="1"/>
  <c r="AL31" i="1"/>
  <c r="AM15" i="1"/>
  <c r="AL15" i="1"/>
  <c r="AL1158" i="1"/>
  <c r="AM1158" i="1"/>
  <c r="AL995" i="1"/>
  <c r="AM995" i="1"/>
  <c r="AL838" i="1"/>
  <c r="AM838" i="1"/>
  <c r="AL694" i="1"/>
  <c r="AM694" i="1"/>
  <c r="AL390" i="1"/>
  <c r="AM390" i="1"/>
  <c r="AL262" i="1"/>
  <c r="AM262" i="1"/>
  <c r="AL149" i="1"/>
  <c r="AM149" i="1"/>
  <c r="AL37" i="1"/>
  <c r="AM37" i="1"/>
  <c r="AL1311" i="1"/>
  <c r="AM1311" i="1"/>
  <c r="AL1295" i="1"/>
  <c r="AM1295" i="1"/>
  <c r="AL1279" i="1"/>
  <c r="AM1279" i="1"/>
  <c r="AL1263" i="1"/>
  <c r="AM1263" i="1"/>
  <c r="AL1247" i="1"/>
  <c r="AM1247" i="1"/>
  <c r="AL1231" i="1"/>
  <c r="AM1231" i="1"/>
  <c r="AL1215" i="1"/>
  <c r="AM1215" i="1"/>
  <c r="AL1199" i="1"/>
  <c r="AM1199" i="1"/>
  <c r="AL1183" i="1"/>
  <c r="AM1183" i="1"/>
  <c r="AL1167" i="1"/>
  <c r="AM1167" i="1"/>
  <c r="AL1152" i="1"/>
  <c r="AM1152" i="1"/>
  <c r="AL1135" i="1"/>
  <c r="AM1135" i="1"/>
  <c r="AL1119" i="1"/>
  <c r="AM1119" i="1"/>
  <c r="AL1103" i="1"/>
  <c r="AM1103" i="1"/>
  <c r="AL1087" i="1"/>
  <c r="AM1087" i="1"/>
  <c r="AL1071" i="1"/>
  <c r="AM1071" i="1"/>
  <c r="AL1055" i="1"/>
  <c r="AM1055" i="1"/>
  <c r="AL1039" i="1"/>
  <c r="AM1039" i="1"/>
  <c r="AL1023" i="1"/>
  <c r="AM1023" i="1"/>
  <c r="AL1007" i="1"/>
  <c r="AM1007" i="1"/>
  <c r="AL991" i="1"/>
  <c r="AM991" i="1"/>
  <c r="AL975" i="1"/>
  <c r="AM975" i="1"/>
  <c r="AL959" i="1"/>
  <c r="AM959" i="1"/>
  <c r="AL943" i="1"/>
  <c r="AM943" i="1"/>
  <c r="AL927" i="1"/>
  <c r="AM927" i="1"/>
  <c r="AL911" i="1"/>
  <c r="AM911" i="1"/>
  <c r="AL894" i="1"/>
  <c r="AM894" i="1"/>
  <c r="AL879" i="1"/>
  <c r="AM879" i="1"/>
  <c r="AL863" i="1"/>
  <c r="AM863" i="1"/>
  <c r="AL847" i="1"/>
  <c r="AM847" i="1"/>
  <c r="AL831" i="1"/>
  <c r="AM831" i="1"/>
  <c r="AL815" i="1"/>
  <c r="AM815" i="1"/>
  <c r="AL799" i="1"/>
  <c r="AM799" i="1"/>
  <c r="AL783" i="1"/>
  <c r="AM783" i="1"/>
  <c r="AL767" i="1"/>
  <c r="AM767" i="1"/>
  <c r="AL751" i="1"/>
  <c r="AM751" i="1"/>
  <c r="AL735" i="1"/>
  <c r="AM735" i="1"/>
  <c r="AL719" i="1"/>
  <c r="AM719" i="1"/>
  <c r="AL703" i="1"/>
  <c r="AM703" i="1"/>
  <c r="AL687" i="1"/>
  <c r="AM687" i="1"/>
  <c r="AL671" i="1"/>
  <c r="AM671" i="1"/>
  <c r="AL655" i="1"/>
  <c r="AM655" i="1"/>
  <c r="AL639" i="1"/>
  <c r="AM639" i="1"/>
  <c r="AL623" i="1"/>
  <c r="AM623" i="1"/>
  <c r="AL607" i="1"/>
  <c r="AM607" i="1"/>
  <c r="AL591" i="1"/>
  <c r="AM591" i="1"/>
  <c r="AL575" i="1"/>
  <c r="AM575" i="1"/>
  <c r="AL559" i="1"/>
  <c r="AM559" i="1"/>
  <c r="AL543" i="1"/>
  <c r="AM543" i="1"/>
  <c r="AL495" i="1"/>
  <c r="AM495" i="1"/>
  <c r="AL479" i="1"/>
  <c r="AM479" i="1"/>
  <c r="AL463" i="1"/>
  <c r="AM463" i="1"/>
  <c r="AL447" i="1"/>
  <c r="AM447" i="1"/>
  <c r="AL431" i="1"/>
  <c r="AM431" i="1"/>
  <c r="AL415" i="1"/>
  <c r="AM415" i="1"/>
  <c r="AL399" i="1"/>
  <c r="AM399" i="1"/>
  <c r="AL383" i="1"/>
  <c r="AM383" i="1"/>
  <c r="AL366" i="1"/>
  <c r="AM366" i="1"/>
  <c r="AL350" i="1"/>
  <c r="AM350" i="1"/>
  <c r="AL334" i="1"/>
  <c r="AM334" i="1"/>
  <c r="AL318" i="1"/>
  <c r="AM318" i="1"/>
  <c r="AL302" i="1"/>
  <c r="AM302" i="1"/>
  <c r="AL286" i="1"/>
  <c r="AM286" i="1"/>
  <c r="AL270" i="1"/>
  <c r="AM270" i="1"/>
  <c r="AL254" i="1"/>
  <c r="AM254" i="1"/>
  <c r="AL238" i="1"/>
  <c r="AM238" i="1"/>
  <c r="AL222" i="1"/>
  <c r="AM222" i="1"/>
  <c r="AL206" i="1"/>
  <c r="AM206" i="1"/>
  <c r="AL190" i="1"/>
  <c r="AM190" i="1"/>
  <c r="AL174" i="1"/>
  <c r="AM174" i="1"/>
  <c r="AL158" i="1"/>
  <c r="AM158" i="1"/>
  <c r="AL142" i="1"/>
  <c r="AM142" i="1"/>
  <c r="AL126" i="1"/>
  <c r="AM126" i="1"/>
  <c r="AL110" i="1"/>
  <c r="AM110" i="1"/>
  <c r="AL94" i="1"/>
  <c r="AM94" i="1"/>
  <c r="AL78" i="1"/>
  <c r="AM78" i="1"/>
  <c r="AL62" i="1"/>
  <c r="AM62" i="1"/>
  <c r="AL46" i="1"/>
  <c r="AM46" i="1"/>
  <c r="AL30" i="1"/>
  <c r="AM30" i="1"/>
  <c r="AL14" i="1"/>
  <c r="AM14" i="1"/>
  <c r="AL1294" i="1"/>
  <c r="AM1294" i="1"/>
  <c r="AL1230" i="1"/>
  <c r="AM1230" i="1"/>
  <c r="AL1182" i="1"/>
  <c r="AM1182" i="1"/>
  <c r="AM1118" i="1"/>
  <c r="AL1118" i="1"/>
  <c r="AL1070" i="1"/>
  <c r="AM1070" i="1"/>
  <c r="AL1022" i="1"/>
  <c r="AM1022" i="1"/>
  <c r="AL974" i="1"/>
  <c r="AM974" i="1"/>
  <c r="AL923" i="1"/>
  <c r="AM923" i="1"/>
  <c r="AL878" i="1"/>
  <c r="AM878" i="1"/>
  <c r="AL814" i="1"/>
  <c r="AM814" i="1"/>
  <c r="AL766" i="1"/>
  <c r="AM766" i="1"/>
  <c r="AM702" i="1"/>
  <c r="AL702" i="1"/>
  <c r="AL670" i="1"/>
  <c r="AM670" i="1"/>
  <c r="AL622" i="1"/>
  <c r="AM622" i="1"/>
  <c r="AL558" i="1"/>
  <c r="AM558" i="1"/>
  <c r="AL510" i="1"/>
  <c r="AM510" i="1"/>
  <c r="AL446" i="1"/>
  <c r="AM446" i="1"/>
  <c r="AL398" i="1"/>
  <c r="AM398" i="1"/>
  <c r="AL349" i="1"/>
  <c r="AM349" i="1"/>
  <c r="AL285" i="1"/>
  <c r="AM285" i="1"/>
  <c r="AL237" i="1"/>
  <c r="AM237" i="1"/>
  <c r="AL189" i="1"/>
  <c r="AM189" i="1"/>
  <c r="AL109" i="1"/>
  <c r="AM109" i="1"/>
  <c r="AL29" i="1"/>
  <c r="AM29" i="1"/>
  <c r="AL1309" i="1"/>
  <c r="AM1309" i="1"/>
  <c r="AL1293" i="1"/>
  <c r="AM1293" i="1"/>
  <c r="AL1277" i="1"/>
  <c r="AM1277" i="1"/>
  <c r="AL1261" i="1"/>
  <c r="AM1261" i="1"/>
  <c r="AL1245" i="1"/>
  <c r="AM1245" i="1"/>
  <c r="AL1229" i="1"/>
  <c r="AM1229" i="1"/>
  <c r="AL1213" i="1"/>
  <c r="AM1213" i="1"/>
  <c r="AL1197" i="1"/>
  <c r="AM1197" i="1"/>
  <c r="AL1181" i="1"/>
  <c r="AM1181" i="1"/>
  <c r="AL1165" i="1"/>
  <c r="AM1165" i="1"/>
  <c r="AL1149" i="1"/>
  <c r="AM1149" i="1"/>
  <c r="AL1133" i="1"/>
  <c r="AM1133" i="1"/>
  <c r="AL1117" i="1"/>
  <c r="AM1117" i="1"/>
  <c r="AL1101" i="1"/>
  <c r="AM1101" i="1"/>
  <c r="AL1086" i="1"/>
  <c r="AM1086" i="1"/>
  <c r="AL1069" i="1"/>
  <c r="AM1069" i="1"/>
  <c r="AL1053" i="1"/>
  <c r="AM1053" i="1"/>
  <c r="AL1037" i="1"/>
  <c r="AM1037" i="1"/>
  <c r="AL1021" i="1"/>
  <c r="AM1021" i="1"/>
  <c r="AL1005" i="1"/>
  <c r="AM1005" i="1"/>
  <c r="AL989" i="1"/>
  <c r="AM989" i="1"/>
  <c r="AL973" i="1"/>
  <c r="AM973" i="1"/>
  <c r="AL957" i="1"/>
  <c r="AM957" i="1"/>
  <c r="AL942" i="1"/>
  <c r="AM942" i="1"/>
  <c r="AL926" i="1"/>
  <c r="AM926" i="1"/>
  <c r="AL909" i="1"/>
  <c r="AM909" i="1"/>
  <c r="AL893" i="1"/>
  <c r="AM893" i="1"/>
  <c r="AL877" i="1"/>
  <c r="AM877" i="1"/>
  <c r="AL861" i="1"/>
  <c r="AM861" i="1"/>
  <c r="AL845" i="1"/>
  <c r="AM845" i="1"/>
  <c r="AL829" i="1"/>
  <c r="AM829" i="1"/>
  <c r="AL813" i="1"/>
  <c r="AM813" i="1"/>
  <c r="AL797" i="1"/>
  <c r="AM797" i="1"/>
  <c r="AL781" i="1"/>
  <c r="AM781" i="1"/>
  <c r="AL765" i="1"/>
  <c r="AM765" i="1"/>
  <c r="AL749" i="1"/>
  <c r="AM749" i="1"/>
  <c r="AL733" i="1"/>
  <c r="AM733" i="1"/>
  <c r="AL717" i="1"/>
  <c r="AM717" i="1"/>
  <c r="AL701" i="1"/>
  <c r="AM701" i="1"/>
  <c r="AL685" i="1"/>
  <c r="AM685" i="1"/>
  <c r="AL669" i="1"/>
  <c r="AM669" i="1"/>
  <c r="AL653" i="1"/>
  <c r="AM653" i="1"/>
  <c r="AL637" i="1"/>
  <c r="AM637" i="1"/>
  <c r="AL621" i="1"/>
  <c r="AM621" i="1"/>
  <c r="AL605" i="1"/>
  <c r="AM605" i="1"/>
  <c r="AL589" i="1"/>
  <c r="AM589" i="1"/>
  <c r="AL573" i="1"/>
  <c r="AM573" i="1"/>
  <c r="AL557" i="1"/>
  <c r="AM557" i="1"/>
  <c r="AL541" i="1"/>
  <c r="AM541" i="1"/>
  <c r="AL509" i="1"/>
  <c r="AM509" i="1"/>
  <c r="AL493" i="1"/>
  <c r="AM493" i="1"/>
  <c r="AL477" i="1"/>
  <c r="AM477" i="1"/>
  <c r="AL461" i="1"/>
  <c r="AM461" i="1"/>
  <c r="AL445" i="1"/>
  <c r="AM445" i="1"/>
  <c r="AL429" i="1"/>
  <c r="AM429" i="1"/>
  <c r="AL413" i="1"/>
  <c r="AM413" i="1"/>
  <c r="AL397" i="1"/>
  <c r="AM397" i="1"/>
  <c r="AL381" i="1"/>
  <c r="AM381" i="1"/>
  <c r="AM364" i="1"/>
  <c r="AL364" i="1"/>
  <c r="AM348" i="1"/>
  <c r="AL348" i="1"/>
  <c r="AM332" i="1"/>
  <c r="AL332" i="1"/>
  <c r="AM316" i="1"/>
  <c r="AL316" i="1"/>
  <c r="AM300" i="1"/>
  <c r="AL300" i="1"/>
  <c r="AM284" i="1"/>
  <c r="AL284" i="1"/>
  <c r="AM268" i="1"/>
  <c r="AL268" i="1"/>
  <c r="AM252" i="1"/>
  <c r="AL252" i="1"/>
  <c r="AM236" i="1"/>
  <c r="AL236" i="1"/>
  <c r="AL220" i="1"/>
  <c r="AM220" i="1"/>
  <c r="AM204" i="1"/>
  <c r="AL204" i="1"/>
  <c r="AM188" i="1"/>
  <c r="AL188" i="1"/>
  <c r="AL172" i="1"/>
  <c r="AM172" i="1"/>
  <c r="AM156" i="1"/>
  <c r="AL156" i="1"/>
  <c r="AM140" i="1"/>
  <c r="AL140" i="1"/>
  <c r="AL124" i="1"/>
  <c r="AM124" i="1"/>
  <c r="AL107" i="1"/>
  <c r="AM107" i="1"/>
  <c r="AM92" i="1"/>
  <c r="AL92" i="1"/>
  <c r="AM76" i="1"/>
  <c r="AL76" i="1"/>
  <c r="AM60" i="1"/>
  <c r="AL60" i="1"/>
  <c r="AM44" i="1"/>
  <c r="AL44" i="1"/>
  <c r="AM28" i="1"/>
  <c r="AL28" i="1"/>
  <c r="AL12" i="1"/>
  <c r="AM12" i="1"/>
  <c r="AL1262" i="1"/>
  <c r="AM1262" i="1"/>
  <c r="AL1150" i="1"/>
  <c r="AM1150" i="1"/>
  <c r="AL1038" i="1"/>
  <c r="AM1038" i="1"/>
  <c r="AM910" i="1"/>
  <c r="AL910" i="1"/>
  <c r="AL782" i="1"/>
  <c r="AM782" i="1"/>
  <c r="AM654" i="1"/>
  <c r="AL654" i="1"/>
  <c r="AM542" i="1"/>
  <c r="AL542" i="1"/>
  <c r="AL430" i="1"/>
  <c r="AM430" i="1"/>
  <c r="AL333" i="1"/>
  <c r="AM333" i="1"/>
  <c r="AL221" i="1"/>
  <c r="AM221" i="1"/>
  <c r="AL125" i="1"/>
  <c r="AM125" i="1"/>
  <c r="AL61" i="1"/>
  <c r="AM61" i="1"/>
  <c r="AL1308" i="1"/>
  <c r="AM1308" i="1"/>
  <c r="AL1292" i="1"/>
  <c r="AM1292" i="1"/>
  <c r="AL1276" i="1"/>
  <c r="AM1276" i="1"/>
  <c r="AL1260" i="1"/>
  <c r="AM1260" i="1"/>
  <c r="AL1244" i="1"/>
  <c r="AM1244" i="1"/>
  <c r="AL1228" i="1"/>
  <c r="AM1228" i="1"/>
  <c r="AL1212" i="1"/>
  <c r="AM1212" i="1"/>
  <c r="AL1196" i="1"/>
  <c r="AM1196" i="1"/>
  <c r="AL1180" i="1"/>
  <c r="AM1180" i="1"/>
  <c r="AL1164" i="1"/>
  <c r="AM1164" i="1"/>
  <c r="AL1148" i="1"/>
  <c r="AM1148" i="1"/>
  <c r="AL1132" i="1"/>
  <c r="AM1132" i="1"/>
  <c r="AL1116" i="1"/>
  <c r="AM1116" i="1"/>
  <c r="AL1100" i="1"/>
  <c r="AM1100" i="1"/>
  <c r="AL1085" i="1"/>
  <c r="AM1085" i="1"/>
  <c r="AL1068" i="1"/>
  <c r="AM1068" i="1"/>
  <c r="AL1052" i="1"/>
  <c r="AM1052" i="1"/>
  <c r="AL1036" i="1"/>
  <c r="AM1036" i="1"/>
  <c r="AL1020" i="1"/>
  <c r="AM1020" i="1"/>
  <c r="AL1004" i="1"/>
  <c r="AM1004" i="1"/>
  <c r="AL988" i="1"/>
  <c r="AM988" i="1"/>
  <c r="AL972" i="1"/>
  <c r="AM972" i="1"/>
  <c r="AL956" i="1"/>
  <c r="AM956" i="1"/>
  <c r="AL941" i="1"/>
  <c r="AM941" i="1"/>
  <c r="AL925" i="1"/>
  <c r="AM925" i="1"/>
  <c r="AL908" i="1"/>
  <c r="AM908" i="1"/>
  <c r="AL892" i="1"/>
  <c r="AM892" i="1"/>
  <c r="AL876" i="1"/>
  <c r="AM876" i="1"/>
  <c r="AL860" i="1"/>
  <c r="AM860" i="1"/>
  <c r="AL844" i="1"/>
  <c r="AM844" i="1"/>
  <c r="AL828" i="1"/>
  <c r="AM828" i="1"/>
  <c r="AL812" i="1"/>
  <c r="AM812" i="1"/>
  <c r="AL796" i="1"/>
  <c r="AM796" i="1"/>
  <c r="AL780" i="1"/>
  <c r="AM780" i="1"/>
  <c r="AL764" i="1"/>
  <c r="AM764" i="1"/>
  <c r="AL748" i="1"/>
  <c r="AM748" i="1"/>
  <c r="AL732" i="1"/>
  <c r="AM732" i="1"/>
  <c r="AL716" i="1"/>
  <c r="AM716" i="1"/>
  <c r="AL697" i="1"/>
  <c r="AM697" i="1"/>
  <c r="AL684" i="1"/>
  <c r="AM684" i="1"/>
  <c r="AL668" i="1"/>
  <c r="AM668" i="1"/>
  <c r="AL652" i="1"/>
  <c r="AM652" i="1"/>
  <c r="AL636" i="1"/>
  <c r="AM636" i="1"/>
  <c r="AL620" i="1"/>
  <c r="AM620" i="1"/>
  <c r="AL604" i="1"/>
  <c r="AM604" i="1"/>
  <c r="AL588" i="1"/>
  <c r="AM588" i="1"/>
  <c r="AL572" i="1"/>
  <c r="AM572" i="1"/>
  <c r="AL556" i="1"/>
  <c r="AM556" i="1"/>
  <c r="AL540" i="1"/>
  <c r="AM540" i="1"/>
  <c r="AM508" i="1"/>
  <c r="AL508" i="1"/>
  <c r="AM492" i="1"/>
  <c r="AL492" i="1"/>
  <c r="AL476" i="1"/>
  <c r="AM476" i="1"/>
  <c r="AM460" i="1"/>
  <c r="AL460" i="1"/>
  <c r="AM444" i="1"/>
  <c r="AL444" i="1"/>
  <c r="AL428" i="1"/>
  <c r="AM428" i="1"/>
  <c r="AM412" i="1"/>
  <c r="AL412" i="1"/>
  <c r="AM396" i="1"/>
  <c r="AL396" i="1"/>
  <c r="AL380" i="1"/>
  <c r="AM380" i="1"/>
  <c r="AL363" i="1"/>
  <c r="AM363" i="1"/>
  <c r="AL347" i="1"/>
  <c r="AM347" i="1"/>
  <c r="AL331" i="1"/>
  <c r="AM331" i="1"/>
  <c r="AL315" i="1"/>
  <c r="AM315" i="1"/>
  <c r="AL299" i="1"/>
  <c r="AM299" i="1"/>
  <c r="AL283" i="1"/>
  <c r="AM283" i="1"/>
  <c r="AL267" i="1"/>
  <c r="AM267" i="1"/>
  <c r="AL251" i="1"/>
  <c r="AM251" i="1"/>
  <c r="AL235" i="1"/>
  <c r="AM235" i="1"/>
  <c r="AL219" i="1"/>
  <c r="AM219" i="1"/>
  <c r="AL203" i="1"/>
  <c r="AM203" i="1"/>
  <c r="AL187" i="1"/>
  <c r="AM187" i="1"/>
  <c r="AL171" i="1"/>
  <c r="AM171" i="1"/>
  <c r="AL153" i="1"/>
  <c r="AM153" i="1"/>
  <c r="AL139" i="1"/>
  <c r="AM139" i="1"/>
  <c r="AL123" i="1"/>
  <c r="AM123" i="1"/>
  <c r="AL104" i="1"/>
  <c r="AM104" i="1"/>
  <c r="AL91" i="1"/>
  <c r="AM91" i="1"/>
  <c r="AL75" i="1"/>
  <c r="AM75" i="1"/>
  <c r="AL59" i="1"/>
  <c r="AM59" i="1"/>
  <c r="AL43" i="1"/>
  <c r="AM43" i="1"/>
  <c r="AL27" i="1"/>
  <c r="AM27" i="1"/>
  <c r="AL11" i="1"/>
  <c r="AM11" i="1"/>
  <c r="AL1278" i="1"/>
  <c r="AM1278" i="1"/>
  <c r="AL1214" i="1"/>
  <c r="AM1214" i="1"/>
  <c r="AM1166" i="1"/>
  <c r="AL1166" i="1"/>
  <c r="AL1102" i="1"/>
  <c r="AM1102" i="1"/>
  <c r="AL1054" i="1"/>
  <c r="AM1054" i="1"/>
  <c r="AL990" i="1"/>
  <c r="AM990" i="1"/>
  <c r="AL939" i="1"/>
  <c r="AM939" i="1"/>
  <c r="AL896" i="1"/>
  <c r="AM896" i="1"/>
  <c r="AL830" i="1"/>
  <c r="AM830" i="1"/>
  <c r="AM798" i="1"/>
  <c r="AL798" i="1"/>
  <c r="AM750" i="1"/>
  <c r="AL750" i="1"/>
  <c r="AL686" i="1"/>
  <c r="AM686" i="1"/>
  <c r="AL638" i="1"/>
  <c r="AM638" i="1"/>
  <c r="AL574" i="1"/>
  <c r="AM574" i="1"/>
  <c r="AL478" i="1"/>
  <c r="AM478" i="1"/>
  <c r="AL414" i="1"/>
  <c r="AM414" i="1"/>
  <c r="AL365" i="1"/>
  <c r="AM365" i="1"/>
  <c r="AL317" i="1"/>
  <c r="AM317" i="1"/>
  <c r="AL253" i="1"/>
  <c r="AM253" i="1"/>
  <c r="AL205" i="1"/>
  <c r="AM205" i="1"/>
  <c r="AL157" i="1"/>
  <c r="AM157" i="1"/>
  <c r="AL93" i="1"/>
  <c r="AM93" i="1"/>
  <c r="AL45" i="1"/>
  <c r="AM45" i="1"/>
  <c r="O532" i="1"/>
  <c r="AC532" i="1" s="1"/>
  <c r="O500" i="1"/>
  <c r="AC500" i="1" s="1"/>
  <c r="AL1307" i="1"/>
  <c r="AM1307" i="1"/>
  <c r="AL1291" i="1"/>
  <c r="AM1291" i="1"/>
  <c r="AL1275" i="1"/>
  <c r="AM1275" i="1"/>
  <c r="AL1259" i="1"/>
  <c r="AM1259" i="1"/>
  <c r="AL1243" i="1"/>
  <c r="AM1243" i="1"/>
  <c r="AL1227" i="1"/>
  <c r="AM1227" i="1"/>
  <c r="AL1211" i="1"/>
  <c r="AM1211" i="1"/>
  <c r="AL1195" i="1"/>
  <c r="AM1195" i="1"/>
  <c r="AL1179" i="1"/>
  <c r="AM1179" i="1"/>
  <c r="AL1163" i="1"/>
  <c r="AM1163" i="1"/>
  <c r="AL1147" i="1"/>
  <c r="AM1147" i="1"/>
  <c r="AL1131" i="1"/>
  <c r="AM1131" i="1"/>
  <c r="AL1115" i="1"/>
  <c r="AM1115" i="1"/>
  <c r="AL1099" i="1"/>
  <c r="AM1099" i="1"/>
  <c r="AL1083" i="1"/>
  <c r="AM1083" i="1"/>
  <c r="AL1067" i="1"/>
  <c r="AM1067" i="1"/>
  <c r="AL1051" i="1"/>
  <c r="AM1051" i="1"/>
  <c r="AL1035" i="1"/>
  <c r="AM1035" i="1"/>
  <c r="AL1019" i="1"/>
  <c r="AM1019" i="1"/>
  <c r="AL1003" i="1"/>
  <c r="AM1003" i="1"/>
  <c r="AL987" i="1"/>
  <c r="AM987" i="1"/>
  <c r="BA32" i="9" s="1"/>
  <c r="AL971" i="1"/>
  <c r="AM971" i="1"/>
  <c r="AL955" i="1"/>
  <c r="AM955" i="1"/>
  <c r="AL940" i="1"/>
  <c r="AM940" i="1"/>
  <c r="AL924" i="1"/>
  <c r="AM924" i="1"/>
  <c r="AL907" i="1"/>
  <c r="AM907" i="1"/>
  <c r="AL890" i="1"/>
  <c r="AM890" i="1"/>
  <c r="AL875" i="1"/>
  <c r="AM875" i="1"/>
  <c r="AL858" i="1"/>
  <c r="AM858" i="1"/>
  <c r="AL843" i="1"/>
  <c r="AM843" i="1"/>
  <c r="AL827" i="1"/>
  <c r="AM827" i="1"/>
  <c r="AL811" i="1"/>
  <c r="AM811" i="1"/>
  <c r="AL795" i="1"/>
  <c r="AM795" i="1"/>
  <c r="AL779" i="1"/>
  <c r="AM779" i="1"/>
  <c r="AL763" i="1"/>
  <c r="AM763" i="1"/>
  <c r="AL747" i="1"/>
  <c r="AM747" i="1"/>
  <c r="AL731" i="1"/>
  <c r="AM731" i="1"/>
  <c r="AL715" i="1"/>
  <c r="AM715" i="1"/>
  <c r="AL700" i="1"/>
  <c r="AM700" i="1"/>
  <c r="AL683" i="1"/>
  <c r="AM683" i="1"/>
  <c r="AL667" i="1"/>
  <c r="AM667" i="1"/>
  <c r="AL651" i="1"/>
  <c r="AM651" i="1"/>
  <c r="AL635" i="1"/>
  <c r="AM635" i="1"/>
  <c r="AL619" i="1"/>
  <c r="AM619" i="1"/>
  <c r="AL603" i="1"/>
  <c r="AM603" i="1"/>
  <c r="AL587" i="1"/>
  <c r="AM587" i="1"/>
  <c r="AL571" i="1"/>
  <c r="AM571" i="1"/>
  <c r="AL555" i="1"/>
  <c r="AM555" i="1"/>
  <c r="AL539" i="1"/>
  <c r="AM539" i="1"/>
  <c r="AL507" i="1"/>
  <c r="AM507" i="1"/>
  <c r="AL491" i="1"/>
  <c r="AM491" i="1"/>
  <c r="AL475" i="1"/>
  <c r="AM475" i="1"/>
  <c r="AL459" i="1"/>
  <c r="AM459" i="1"/>
  <c r="AL443" i="1"/>
  <c r="AM443" i="1"/>
  <c r="AL427" i="1"/>
  <c r="AM427" i="1"/>
  <c r="AL411" i="1"/>
  <c r="AM411" i="1"/>
  <c r="AL395" i="1"/>
  <c r="AM395" i="1"/>
  <c r="AL379" i="1"/>
  <c r="AM379" i="1"/>
  <c r="AM362" i="1"/>
  <c r="AL362" i="1"/>
  <c r="AM346" i="1"/>
  <c r="AL346" i="1"/>
  <c r="AM330" i="1"/>
  <c r="AL330" i="1"/>
  <c r="AM314" i="1"/>
  <c r="AL314" i="1"/>
  <c r="AM298" i="1"/>
  <c r="AL298" i="1"/>
  <c r="AM282" i="1"/>
  <c r="AL282" i="1"/>
  <c r="AM266" i="1"/>
  <c r="AL266" i="1"/>
  <c r="AM250" i="1"/>
  <c r="AL250" i="1"/>
  <c r="AM234" i="1"/>
  <c r="AL234" i="1"/>
  <c r="AM218" i="1"/>
  <c r="AL218" i="1"/>
  <c r="AM202" i="1"/>
  <c r="AL202" i="1"/>
  <c r="AM186" i="1"/>
  <c r="AL186" i="1"/>
  <c r="AL170" i="1"/>
  <c r="AM170" i="1"/>
  <c r="AL155" i="1"/>
  <c r="AM155" i="1"/>
  <c r="AM138" i="1"/>
  <c r="AL138" i="1"/>
  <c r="AM122" i="1"/>
  <c r="AL122" i="1"/>
  <c r="AM106" i="1"/>
  <c r="AL106" i="1"/>
  <c r="AM90" i="1"/>
  <c r="AL90" i="1"/>
  <c r="AL74" i="1"/>
  <c r="AM74" i="1"/>
  <c r="AL58" i="1"/>
  <c r="AM58" i="1"/>
  <c r="AM42" i="1"/>
  <c r="AL42" i="1"/>
  <c r="AM26" i="1"/>
  <c r="AL26" i="1"/>
  <c r="AL10" i="1"/>
  <c r="AM10" i="1"/>
  <c r="AL1310" i="1"/>
  <c r="AM1310" i="1"/>
  <c r="AL1198" i="1"/>
  <c r="AM1198" i="1"/>
  <c r="AL1084" i="1"/>
  <c r="AM1084" i="1"/>
  <c r="AM958" i="1"/>
  <c r="AL958" i="1"/>
  <c r="AM846" i="1"/>
  <c r="AL846" i="1"/>
  <c r="AL718" i="1"/>
  <c r="AM718" i="1"/>
  <c r="AM590" i="1"/>
  <c r="AL590" i="1"/>
  <c r="AL462" i="1"/>
  <c r="AM462" i="1"/>
  <c r="AL301" i="1"/>
  <c r="AM301" i="1"/>
  <c r="AL141" i="1"/>
  <c r="AM141" i="1"/>
  <c r="O515" i="1"/>
  <c r="AD515" i="1" s="1"/>
  <c r="AL1306" i="1"/>
  <c r="AM1306" i="1"/>
  <c r="AL1290" i="1"/>
  <c r="AM1290" i="1"/>
  <c r="AL1274" i="1"/>
  <c r="AM1274" i="1"/>
  <c r="AL1258" i="1"/>
  <c r="AM1258" i="1"/>
  <c r="AM1242" i="1"/>
  <c r="AL1242" i="1"/>
  <c r="AL1226" i="1"/>
  <c r="AM1226" i="1"/>
  <c r="AL1210" i="1"/>
  <c r="AM1210" i="1"/>
  <c r="AL1194" i="1"/>
  <c r="AM1194" i="1"/>
  <c r="AL1178" i="1"/>
  <c r="AM1178" i="1"/>
  <c r="AL1162" i="1"/>
  <c r="AM1162" i="1"/>
  <c r="AL1146" i="1"/>
  <c r="AM1146" i="1"/>
  <c r="AL1130" i="1"/>
  <c r="AM1130" i="1"/>
  <c r="AL1114" i="1"/>
  <c r="AM1114" i="1"/>
  <c r="AL1098" i="1"/>
  <c r="AM1098" i="1"/>
  <c r="AL1082" i="1"/>
  <c r="AM1082" i="1"/>
  <c r="AL1066" i="1"/>
  <c r="AM1066" i="1"/>
  <c r="AL1050" i="1"/>
  <c r="AM1050" i="1"/>
  <c r="AL1034" i="1"/>
  <c r="AM1034" i="1"/>
  <c r="AL1018" i="1"/>
  <c r="AM1018" i="1"/>
  <c r="AL1002" i="1"/>
  <c r="AM1002" i="1"/>
  <c r="AL986" i="1"/>
  <c r="AM986" i="1"/>
  <c r="AL970" i="1"/>
  <c r="AM970" i="1"/>
  <c r="AL950" i="1"/>
  <c r="AM950" i="1"/>
  <c r="AL938" i="1"/>
  <c r="AM938" i="1"/>
  <c r="AL922" i="1"/>
  <c r="AM922" i="1"/>
  <c r="AL906" i="1"/>
  <c r="AM906" i="1"/>
  <c r="AL891" i="1"/>
  <c r="AM891" i="1"/>
  <c r="AL874" i="1"/>
  <c r="AM874" i="1"/>
  <c r="AL859" i="1"/>
  <c r="AM859" i="1"/>
  <c r="AL842" i="1"/>
  <c r="AM842" i="1"/>
  <c r="AL826" i="1"/>
  <c r="AM826" i="1"/>
  <c r="AL810" i="1"/>
  <c r="AM810" i="1"/>
  <c r="AL794" i="1"/>
  <c r="AM794" i="1"/>
  <c r="AL778" i="1"/>
  <c r="AM778" i="1"/>
  <c r="AL762" i="1"/>
  <c r="AM762" i="1"/>
  <c r="AL746" i="1"/>
  <c r="AM746" i="1"/>
  <c r="AL730" i="1"/>
  <c r="AM730" i="1"/>
  <c r="AL714" i="1"/>
  <c r="AM714" i="1"/>
  <c r="AL699" i="1"/>
  <c r="AM699" i="1"/>
  <c r="AL682" i="1"/>
  <c r="AM682" i="1"/>
  <c r="AL666" i="1"/>
  <c r="AM666" i="1"/>
  <c r="AL650" i="1"/>
  <c r="AM650" i="1"/>
  <c r="AL634" i="1"/>
  <c r="AM634" i="1"/>
  <c r="AL618" i="1"/>
  <c r="AM618" i="1"/>
  <c r="AL602" i="1"/>
  <c r="AM602" i="1"/>
  <c r="AL579" i="1"/>
  <c r="AM579" i="1"/>
  <c r="AL570" i="1"/>
  <c r="AM570" i="1"/>
  <c r="AL554" i="1"/>
  <c r="AM554" i="1"/>
  <c r="AL538" i="1"/>
  <c r="AM538" i="1"/>
  <c r="AM506" i="1"/>
  <c r="AL506" i="1"/>
  <c r="AM490" i="1"/>
  <c r="AL490" i="1"/>
  <c r="AM474" i="1"/>
  <c r="AL474" i="1"/>
  <c r="AM458" i="1"/>
  <c r="AL458" i="1"/>
  <c r="AM442" i="1"/>
  <c r="AL442" i="1"/>
  <c r="AL426" i="1"/>
  <c r="AM426" i="1"/>
  <c r="AM410" i="1"/>
  <c r="AL410" i="1"/>
  <c r="AM394" i="1"/>
  <c r="AL394" i="1"/>
  <c r="AM378" i="1"/>
  <c r="AL378" i="1"/>
  <c r="AL361" i="1"/>
  <c r="AM361" i="1"/>
  <c r="AL345" i="1"/>
  <c r="AM345" i="1"/>
  <c r="AL329" i="1"/>
  <c r="AM329" i="1"/>
  <c r="AL313" i="1"/>
  <c r="AM313" i="1"/>
  <c r="AL297" i="1"/>
  <c r="AM297" i="1"/>
  <c r="AL281" i="1"/>
  <c r="AM281" i="1"/>
  <c r="AL265" i="1"/>
  <c r="AM265" i="1"/>
  <c r="AL248" i="1"/>
  <c r="AM248" i="1"/>
  <c r="AL233" i="1"/>
  <c r="AM233" i="1"/>
  <c r="AL217" i="1"/>
  <c r="AM217" i="1"/>
  <c r="AL201" i="1"/>
  <c r="AM201" i="1"/>
  <c r="AL185" i="1"/>
  <c r="AM185" i="1"/>
  <c r="AL169" i="1"/>
  <c r="AM169" i="1"/>
  <c r="AM154" i="1"/>
  <c r="AL154" i="1"/>
  <c r="AL137" i="1"/>
  <c r="AM137" i="1"/>
  <c r="AL121" i="1"/>
  <c r="AM121" i="1"/>
  <c r="AL105" i="1"/>
  <c r="AM105" i="1"/>
  <c r="AL89" i="1"/>
  <c r="AM89" i="1"/>
  <c r="AL73" i="1"/>
  <c r="AM73" i="1"/>
  <c r="AL57" i="1"/>
  <c r="AM57" i="1"/>
  <c r="AL41" i="1"/>
  <c r="AM41" i="1"/>
  <c r="AL25" i="1"/>
  <c r="AM25" i="1"/>
  <c r="AL9" i="1"/>
  <c r="AM9" i="1"/>
  <c r="AL1246" i="1"/>
  <c r="AM1246" i="1"/>
  <c r="AL1134" i="1"/>
  <c r="AM1134" i="1"/>
  <c r="AM1006" i="1"/>
  <c r="AL1006" i="1"/>
  <c r="AM862" i="1"/>
  <c r="AL862" i="1"/>
  <c r="AL734" i="1"/>
  <c r="AM734" i="1"/>
  <c r="AM606" i="1"/>
  <c r="AL606" i="1"/>
  <c r="AL494" i="1"/>
  <c r="AM494" i="1"/>
  <c r="AL382" i="1"/>
  <c r="AM382" i="1"/>
  <c r="AL269" i="1"/>
  <c r="AM269" i="1"/>
  <c r="AL173" i="1"/>
  <c r="AM173" i="1"/>
  <c r="AL77" i="1"/>
  <c r="AM77" i="1"/>
  <c r="AL13" i="1"/>
  <c r="AM13" i="1"/>
  <c r="AL1305" i="1"/>
  <c r="AM1305" i="1"/>
  <c r="AL1289" i="1"/>
  <c r="AM1289" i="1"/>
  <c r="AL1273" i="1"/>
  <c r="AM1273" i="1"/>
  <c r="AL1257" i="1"/>
  <c r="AM1257" i="1"/>
  <c r="AL1241" i="1"/>
  <c r="AM1241" i="1"/>
  <c r="AL1225" i="1"/>
  <c r="AM1225" i="1"/>
  <c r="AL1209" i="1"/>
  <c r="AM1209" i="1"/>
  <c r="AL1193" i="1"/>
  <c r="AM1193" i="1"/>
  <c r="AL1177" i="1"/>
  <c r="AM1177" i="1"/>
  <c r="AL1161" i="1"/>
  <c r="AM1161" i="1"/>
  <c r="AL1145" i="1"/>
  <c r="AM1145" i="1"/>
  <c r="AL1129" i="1"/>
  <c r="AM1129" i="1"/>
  <c r="AL1113" i="1"/>
  <c r="AM1113" i="1"/>
  <c r="AL1097" i="1"/>
  <c r="AM1097" i="1"/>
  <c r="AL1081" i="1"/>
  <c r="AM1081" i="1"/>
  <c r="AL1065" i="1"/>
  <c r="AM1065" i="1"/>
  <c r="AL1049" i="1"/>
  <c r="AM1049" i="1"/>
  <c r="AL1033" i="1"/>
  <c r="AM1033" i="1"/>
  <c r="AL1017" i="1"/>
  <c r="AM1017" i="1"/>
  <c r="AL1001" i="1"/>
  <c r="AM1001" i="1"/>
  <c r="AL985" i="1"/>
  <c r="AM985" i="1"/>
  <c r="AL969" i="1"/>
  <c r="AM969" i="1"/>
  <c r="AL954" i="1"/>
  <c r="AM954" i="1"/>
  <c r="AL937" i="1"/>
  <c r="AM937" i="1"/>
  <c r="AL921" i="1"/>
  <c r="AM921" i="1"/>
  <c r="AL905" i="1"/>
  <c r="AM905" i="1"/>
  <c r="AL889" i="1"/>
  <c r="AM889" i="1"/>
  <c r="AL873" i="1"/>
  <c r="AM873" i="1"/>
  <c r="AL857" i="1"/>
  <c r="AM857" i="1"/>
  <c r="AL841" i="1"/>
  <c r="AM841" i="1"/>
  <c r="AL825" i="1"/>
  <c r="AM825" i="1"/>
  <c r="AL809" i="1"/>
  <c r="AM809" i="1"/>
  <c r="AL793" i="1"/>
  <c r="AM793" i="1"/>
  <c r="AL777" i="1"/>
  <c r="AM777" i="1"/>
  <c r="AL761" i="1"/>
  <c r="AM761" i="1"/>
  <c r="AL745" i="1"/>
  <c r="AM745" i="1"/>
  <c r="AL729" i="1"/>
  <c r="AM729" i="1"/>
  <c r="AL713" i="1"/>
  <c r="AM713" i="1"/>
  <c r="AL698" i="1"/>
  <c r="AM698" i="1"/>
  <c r="AL681" i="1"/>
  <c r="AM681" i="1"/>
  <c r="AL665" i="1"/>
  <c r="AM665" i="1"/>
  <c r="AL649" i="1"/>
  <c r="AM649" i="1"/>
  <c r="AL633" i="1"/>
  <c r="AM633" i="1"/>
  <c r="AL617" i="1"/>
  <c r="AM617" i="1"/>
  <c r="AL601" i="1"/>
  <c r="AM601" i="1"/>
  <c r="AL586" i="1"/>
  <c r="AM586" i="1"/>
  <c r="AL569" i="1"/>
  <c r="AM569" i="1"/>
  <c r="AL553" i="1"/>
  <c r="AM553" i="1"/>
  <c r="AL505" i="1"/>
  <c r="AM505" i="1"/>
  <c r="AL489" i="1"/>
  <c r="AM489" i="1"/>
  <c r="AL473" i="1"/>
  <c r="AM473" i="1"/>
  <c r="AL457" i="1"/>
  <c r="AM457" i="1"/>
  <c r="AL441" i="1"/>
  <c r="AM441" i="1"/>
  <c r="AL425" i="1"/>
  <c r="AM425" i="1"/>
  <c r="AL409" i="1"/>
  <c r="AM409" i="1"/>
  <c r="AL393" i="1"/>
  <c r="AM393" i="1"/>
  <c r="AL377" i="1"/>
  <c r="AM377" i="1"/>
  <c r="AL360" i="1"/>
  <c r="AM360" i="1"/>
  <c r="AL344" i="1"/>
  <c r="AM344" i="1"/>
  <c r="AL328" i="1"/>
  <c r="AM328" i="1"/>
  <c r="AM312" i="1"/>
  <c r="AL312" i="1"/>
  <c r="AL296" i="1"/>
  <c r="AM296" i="1"/>
  <c r="AL280" i="1"/>
  <c r="AM280" i="1"/>
  <c r="AL264" i="1"/>
  <c r="AM264" i="1"/>
  <c r="AL249" i="1"/>
  <c r="AM249" i="1"/>
  <c r="AL232" i="1"/>
  <c r="AM232" i="1"/>
  <c r="AL212" i="1"/>
  <c r="AM212" i="1"/>
  <c r="AL200" i="1"/>
  <c r="AM200" i="1"/>
  <c r="AL184" i="1"/>
  <c r="AM184" i="1"/>
  <c r="AM168" i="1"/>
  <c r="AL168" i="1"/>
  <c r="AL152" i="1"/>
  <c r="AM152" i="1"/>
  <c r="AL136" i="1"/>
  <c r="AM136" i="1"/>
  <c r="AL120" i="1"/>
  <c r="AM120" i="1"/>
  <c r="AL103" i="1"/>
  <c r="AM103" i="1"/>
  <c r="AL88" i="1"/>
  <c r="AM88" i="1"/>
  <c r="AL72" i="1"/>
  <c r="AM72" i="1"/>
  <c r="AM56" i="1"/>
  <c r="AL56" i="1"/>
  <c r="AM40" i="1"/>
  <c r="AL40" i="1"/>
  <c r="AM24" i="1"/>
  <c r="AL24" i="1"/>
  <c r="AL8" i="1"/>
  <c r="AM8" i="1"/>
  <c r="AL1304" i="1"/>
  <c r="AM1304" i="1"/>
  <c r="AL1288" i="1"/>
  <c r="AM1288" i="1"/>
  <c r="AL1272" i="1"/>
  <c r="AM1272" i="1"/>
  <c r="AL1256" i="1"/>
  <c r="AM1256" i="1"/>
  <c r="AL1240" i="1"/>
  <c r="AM1240" i="1"/>
  <c r="AL1224" i="1"/>
  <c r="AM1224" i="1"/>
  <c r="AL1208" i="1"/>
  <c r="AM1208" i="1"/>
  <c r="AL1192" i="1"/>
  <c r="AM1192" i="1"/>
  <c r="AL1176" i="1"/>
  <c r="AM1176" i="1"/>
  <c r="AL1160" i="1"/>
  <c r="AM1160" i="1"/>
  <c r="AL1144" i="1"/>
  <c r="AM1144" i="1"/>
  <c r="AL1128" i="1"/>
  <c r="AM1128" i="1"/>
  <c r="AL1112" i="1"/>
  <c r="AM1112" i="1"/>
  <c r="AL1096" i="1"/>
  <c r="AM1096" i="1"/>
  <c r="AL1080" i="1"/>
  <c r="AM1080" i="1"/>
  <c r="AL1064" i="1"/>
  <c r="AM1064" i="1"/>
  <c r="AL1048" i="1"/>
  <c r="AM1048" i="1"/>
  <c r="AL1032" i="1"/>
  <c r="AM1032" i="1"/>
  <c r="AL1016" i="1"/>
  <c r="AM1016" i="1"/>
  <c r="AL1000" i="1"/>
  <c r="AM1000" i="1"/>
  <c r="AL984" i="1"/>
  <c r="AM984" i="1"/>
  <c r="AL968" i="1"/>
  <c r="AM968" i="1"/>
  <c r="AL953" i="1"/>
  <c r="AM953" i="1"/>
  <c r="AL936" i="1"/>
  <c r="AM936" i="1"/>
  <c r="AL920" i="1"/>
  <c r="AM920" i="1"/>
  <c r="AL904" i="1"/>
  <c r="AM904" i="1"/>
  <c r="AL888" i="1"/>
  <c r="AM888" i="1"/>
  <c r="AL872" i="1"/>
  <c r="AM872" i="1"/>
  <c r="AL856" i="1"/>
  <c r="AM856" i="1"/>
  <c r="AL840" i="1"/>
  <c r="AM840" i="1"/>
  <c r="AL824" i="1"/>
  <c r="AM824" i="1"/>
  <c r="AL808" i="1"/>
  <c r="AM808" i="1"/>
  <c r="AL792" i="1"/>
  <c r="AM792" i="1"/>
  <c r="AM775" i="1"/>
  <c r="AL775" i="1"/>
  <c r="AL759" i="1"/>
  <c r="AM759" i="1"/>
  <c r="AL744" i="1"/>
  <c r="AM744" i="1"/>
  <c r="AL728" i="1"/>
  <c r="AM728" i="1"/>
  <c r="AL712" i="1"/>
  <c r="AM712" i="1"/>
  <c r="AL696" i="1"/>
  <c r="AM696" i="1"/>
  <c r="AL680" i="1"/>
  <c r="AM680" i="1"/>
  <c r="AL664" i="1"/>
  <c r="AM664" i="1"/>
  <c r="AL648" i="1"/>
  <c r="AM648" i="1"/>
  <c r="AL632" i="1"/>
  <c r="AM632" i="1"/>
  <c r="AL616" i="1"/>
  <c r="AM616" i="1"/>
  <c r="AL600" i="1"/>
  <c r="AM600" i="1"/>
  <c r="AL585" i="1"/>
  <c r="AM585" i="1"/>
  <c r="AL568" i="1"/>
  <c r="AM568" i="1"/>
  <c r="AL552" i="1"/>
  <c r="AM552" i="1"/>
  <c r="AL504" i="1"/>
  <c r="AM504" i="1"/>
  <c r="AL488" i="1"/>
  <c r="AM488" i="1"/>
  <c r="AL472" i="1"/>
  <c r="AM472" i="1"/>
  <c r="AL456" i="1"/>
  <c r="AM456" i="1"/>
  <c r="AL440" i="1"/>
  <c r="AM440" i="1"/>
  <c r="AM424" i="1"/>
  <c r="AL424" i="1"/>
  <c r="AL408" i="1"/>
  <c r="AM408" i="1"/>
  <c r="AL392" i="1"/>
  <c r="AM392" i="1"/>
  <c r="AL375" i="1"/>
  <c r="AM375" i="1"/>
  <c r="AL359" i="1"/>
  <c r="AM359" i="1"/>
  <c r="AL343" i="1"/>
  <c r="AM343" i="1"/>
  <c r="AL327" i="1"/>
  <c r="AM327" i="1"/>
  <c r="AL311" i="1"/>
  <c r="AM311" i="1"/>
  <c r="AL295" i="1"/>
  <c r="AM295" i="1"/>
  <c r="AL279" i="1"/>
  <c r="AM279" i="1"/>
  <c r="AM259" i="1"/>
  <c r="AL259" i="1"/>
  <c r="AL247" i="1"/>
  <c r="AM247" i="1"/>
  <c r="AL231" i="1"/>
  <c r="AM231" i="1"/>
  <c r="AL216" i="1"/>
  <c r="AM216" i="1"/>
  <c r="AL199" i="1"/>
  <c r="AM199" i="1"/>
  <c r="AL183" i="1"/>
  <c r="AM183" i="1"/>
  <c r="AL167" i="1"/>
  <c r="AM167" i="1"/>
  <c r="AL151" i="1"/>
  <c r="AM151" i="1"/>
  <c r="AL135" i="1"/>
  <c r="AM135" i="1"/>
  <c r="AL119" i="1"/>
  <c r="AM119" i="1"/>
  <c r="AM108" i="1"/>
  <c r="AL108" i="1"/>
  <c r="AL87" i="1"/>
  <c r="AM87" i="1"/>
  <c r="AL71" i="1"/>
  <c r="AM71" i="1"/>
  <c r="AL55" i="1"/>
  <c r="AM55" i="1"/>
  <c r="AL39" i="1"/>
  <c r="AM39" i="1"/>
  <c r="AL23" i="1"/>
  <c r="AM23" i="1"/>
  <c r="AL7" i="1"/>
  <c r="AM7" i="1"/>
  <c r="AM373" i="1"/>
  <c r="AL1303" i="1"/>
  <c r="AM1303" i="1"/>
  <c r="AL1287" i="1"/>
  <c r="AM1287" i="1"/>
  <c r="AL1271" i="1"/>
  <c r="AM1271" i="1"/>
  <c r="AL1254" i="1"/>
  <c r="AM1254" i="1"/>
  <c r="AL1239" i="1"/>
  <c r="AM1239" i="1"/>
  <c r="AL1223" i="1"/>
  <c r="AM1223" i="1"/>
  <c r="AL1207" i="1"/>
  <c r="AM1207" i="1"/>
  <c r="AL1191" i="1"/>
  <c r="AM1191" i="1"/>
  <c r="AL1175" i="1"/>
  <c r="AM1175" i="1"/>
  <c r="AL1159" i="1"/>
  <c r="AM1159" i="1"/>
  <c r="AL1143" i="1"/>
  <c r="AM1143" i="1"/>
  <c r="AL1127" i="1"/>
  <c r="AM1127" i="1"/>
  <c r="AL1111" i="1"/>
  <c r="AM1111" i="1"/>
  <c r="AL1095" i="1"/>
  <c r="AM1095" i="1"/>
  <c r="AL1079" i="1"/>
  <c r="AM1079" i="1"/>
  <c r="AL1063" i="1"/>
  <c r="AM1063" i="1"/>
  <c r="AL1044" i="1"/>
  <c r="AM1044" i="1"/>
  <c r="AM1031" i="1"/>
  <c r="AL1031" i="1"/>
  <c r="AL1015" i="1"/>
  <c r="AM1015" i="1"/>
  <c r="AM999" i="1"/>
  <c r="AL999" i="1"/>
  <c r="AM983" i="1"/>
  <c r="AL983" i="1"/>
  <c r="AL967" i="1"/>
  <c r="AM967" i="1"/>
  <c r="AL952" i="1"/>
  <c r="AM952" i="1"/>
  <c r="AM935" i="1"/>
  <c r="AL935" i="1"/>
  <c r="AL919" i="1"/>
  <c r="AM919" i="1"/>
  <c r="AM903" i="1"/>
  <c r="AL903" i="1"/>
  <c r="AM887" i="1"/>
  <c r="AL887" i="1"/>
  <c r="AM871" i="1"/>
  <c r="AL871" i="1"/>
  <c r="AM855" i="1"/>
  <c r="AL855" i="1"/>
  <c r="AM839" i="1"/>
  <c r="AL839" i="1"/>
  <c r="AM823" i="1"/>
  <c r="AL823" i="1"/>
  <c r="AM807" i="1"/>
  <c r="AL807" i="1"/>
  <c r="AM791" i="1"/>
  <c r="AL791" i="1"/>
  <c r="AL776" i="1"/>
  <c r="AM776" i="1"/>
  <c r="AL760" i="1"/>
  <c r="AM760" i="1"/>
  <c r="AM743" i="1"/>
  <c r="AL743" i="1"/>
  <c r="AM727" i="1"/>
  <c r="AL727" i="1"/>
  <c r="AL711" i="1"/>
  <c r="AM711" i="1"/>
  <c r="AM695" i="1"/>
  <c r="AL695" i="1"/>
  <c r="AM679" i="1"/>
  <c r="AL679" i="1"/>
  <c r="AL663" i="1"/>
  <c r="AM663" i="1"/>
  <c r="AL646" i="1"/>
  <c r="AM646" i="1"/>
  <c r="AM631" i="1"/>
  <c r="AZ33" i="9" s="1"/>
  <c r="AL631" i="1"/>
  <c r="AM615" i="1"/>
  <c r="AL615" i="1"/>
  <c r="AM599" i="1"/>
  <c r="AL599" i="1"/>
  <c r="AM583" i="1"/>
  <c r="AL583" i="1"/>
  <c r="AM567" i="1"/>
  <c r="AL567" i="1"/>
  <c r="AM551" i="1"/>
  <c r="AL551" i="1"/>
  <c r="AL503" i="1"/>
  <c r="AM503" i="1"/>
  <c r="AL487" i="1"/>
  <c r="AM487" i="1"/>
  <c r="AL471" i="1"/>
  <c r="AM471" i="1"/>
  <c r="AL455" i="1"/>
  <c r="AM455" i="1"/>
  <c r="AL439" i="1"/>
  <c r="AM439" i="1"/>
  <c r="AL423" i="1"/>
  <c r="AM423" i="1"/>
  <c r="AL407" i="1"/>
  <c r="AM407" i="1"/>
  <c r="AL391" i="1"/>
  <c r="AM391" i="1"/>
  <c r="AL376" i="1"/>
  <c r="AM376" i="1"/>
  <c r="AL358" i="1"/>
  <c r="AM358" i="1"/>
  <c r="AL342" i="1"/>
  <c r="AM342" i="1"/>
  <c r="AL326" i="1"/>
  <c r="AM326" i="1"/>
  <c r="AL310" i="1"/>
  <c r="AM310" i="1"/>
  <c r="AL294" i="1"/>
  <c r="AM294" i="1"/>
  <c r="AL278" i="1"/>
  <c r="AM278" i="1"/>
  <c r="AL263" i="1"/>
  <c r="AM263" i="1"/>
  <c r="AL246" i="1"/>
  <c r="AM246" i="1"/>
  <c r="AL230" i="1"/>
  <c r="AM230" i="1"/>
  <c r="AL215" i="1"/>
  <c r="AM215" i="1"/>
  <c r="AL198" i="1"/>
  <c r="AM198" i="1"/>
  <c r="AL182" i="1"/>
  <c r="AM182" i="1"/>
  <c r="AL166" i="1"/>
  <c r="AM166" i="1"/>
  <c r="AL150" i="1"/>
  <c r="AM150" i="1"/>
  <c r="AL134" i="1"/>
  <c r="AM134" i="1"/>
  <c r="AL118" i="1"/>
  <c r="AM118" i="1"/>
  <c r="AL102" i="1"/>
  <c r="AM102" i="1"/>
  <c r="AL86" i="1"/>
  <c r="AM86" i="1"/>
  <c r="AM70" i="1"/>
  <c r="AL70" i="1"/>
  <c r="AM54" i="1"/>
  <c r="AL54" i="1"/>
  <c r="AM38" i="1"/>
  <c r="AL38" i="1"/>
  <c r="AM22" i="1"/>
  <c r="AL22" i="1"/>
  <c r="AL6" i="1"/>
  <c r="AM6" i="1"/>
  <c r="AL373" i="1"/>
  <c r="AM536" i="1"/>
  <c r="AL536" i="1"/>
  <c r="AL537" i="1"/>
  <c r="AM537" i="1"/>
  <c r="AL535" i="1"/>
  <c r="AM535" i="1"/>
  <c r="AM534" i="1"/>
  <c r="AL534" i="1"/>
  <c r="AL533" i="1"/>
  <c r="AM533" i="1"/>
  <c r="AL530" i="1"/>
  <c r="AM530" i="1"/>
  <c r="AM532" i="1"/>
  <c r="AL532" i="1"/>
  <c r="AM531" i="1"/>
  <c r="AL531" i="1"/>
  <c r="AM529" i="1"/>
  <c r="AL529" i="1"/>
  <c r="AM528" i="1"/>
  <c r="AL528" i="1"/>
  <c r="AL527" i="1"/>
  <c r="AM527" i="1"/>
  <c r="AM526" i="1"/>
  <c r="AL526" i="1"/>
  <c r="AM525" i="1"/>
  <c r="AL525" i="1"/>
  <c r="AM522" i="1"/>
  <c r="AL522" i="1"/>
  <c r="AL524" i="1"/>
  <c r="AM524" i="1"/>
  <c r="AM519" i="1"/>
  <c r="AL519" i="1"/>
  <c r="AL523" i="1"/>
  <c r="AM523" i="1"/>
  <c r="AM521" i="1"/>
  <c r="AL521" i="1"/>
  <c r="AM520" i="1"/>
  <c r="AL520" i="1"/>
  <c r="AM518" i="1"/>
  <c r="AL518" i="1"/>
  <c r="AM517" i="1"/>
  <c r="AL517" i="1"/>
  <c r="AM516" i="1"/>
  <c r="AL516" i="1"/>
  <c r="AL515" i="1"/>
  <c r="AM515" i="1"/>
  <c r="AM514" i="1"/>
  <c r="AL514" i="1"/>
  <c r="AM513" i="1"/>
  <c r="AL513" i="1"/>
  <c r="AM512" i="1"/>
  <c r="AL512" i="1"/>
  <c r="AM511" i="1"/>
  <c r="AL511" i="1"/>
  <c r="AB1286" i="1"/>
  <c r="AB1238" i="1"/>
  <c r="AB1094" i="1"/>
  <c r="AB995" i="1"/>
  <c r="AB598" i="1"/>
  <c r="AB566" i="1"/>
  <c r="AB1185" i="1"/>
  <c r="AB1183" i="1"/>
  <c r="AB1087" i="1"/>
  <c r="AB1285" i="1"/>
  <c r="AB1237" i="1"/>
  <c r="AB1221" i="1"/>
  <c r="AB1093" i="1"/>
  <c r="AB1077" i="1"/>
  <c r="AB949" i="1"/>
  <c r="AB1268" i="1"/>
  <c r="AB1220" i="1"/>
  <c r="Z1172" i="1"/>
  <c r="AQ1172" i="1" s="1"/>
  <c r="Z1076" i="1"/>
  <c r="AQ1076" i="1" s="1"/>
  <c r="AB1267" i="1"/>
  <c r="AB1251" i="1"/>
  <c r="AB1203" i="1"/>
  <c r="AB1123" i="1"/>
  <c r="AB1075" i="1"/>
  <c r="AB1027" i="1"/>
  <c r="AB963" i="1"/>
  <c r="AB931" i="1"/>
  <c r="AB1250" i="1"/>
  <c r="AB1058" i="1"/>
  <c r="AB962" i="1"/>
  <c r="AB866" i="1"/>
  <c r="AB1184" i="1"/>
  <c r="AB1040" i="1"/>
  <c r="AB944" i="1"/>
  <c r="AB1039" i="1"/>
  <c r="AB1233" i="1"/>
  <c r="AB897" i="1"/>
  <c r="AB1310" i="1"/>
  <c r="Z1214" i="1"/>
  <c r="AQ1214" i="1" s="1"/>
  <c r="AB1070" i="1"/>
  <c r="AB878" i="1"/>
  <c r="AB1105" i="1"/>
  <c r="AB1215" i="1"/>
  <c r="AB1261" i="1"/>
  <c r="AB1197" i="1"/>
  <c r="AB1165" i="1"/>
  <c r="AB1149" i="1"/>
  <c r="AB1069" i="1"/>
  <c r="AB1053" i="1"/>
  <c r="AB909" i="1"/>
  <c r="AB573" i="1"/>
  <c r="AB1292" i="1"/>
  <c r="AB1196" i="1"/>
  <c r="AB1148" i="1"/>
  <c r="AB764" i="1"/>
  <c r="Z1291" i="1"/>
  <c r="AQ1291" i="1" s="1"/>
  <c r="AB1275" i="1"/>
  <c r="AB1195" i="1"/>
  <c r="AB1179" i="1"/>
  <c r="AB1131" i="1"/>
  <c r="AB955" i="1"/>
  <c r="Z700" i="1"/>
  <c r="AQ700" i="1" s="1"/>
  <c r="AB1153" i="1"/>
  <c r="AB1274" i="1"/>
  <c r="Z943" i="1"/>
  <c r="AQ943" i="1" s="1"/>
  <c r="AB1273" i="1"/>
  <c r="AB1257" i="1"/>
  <c r="AB1225" i="1"/>
  <c r="AB1177" i="1"/>
  <c r="AB1161" i="1"/>
  <c r="Z1129" i="1"/>
  <c r="AQ1129" i="1" s="1"/>
  <c r="AB873" i="1"/>
  <c r="AB1297" i="1"/>
  <c r="AA961" i="1"/>
  <c r="AB1279" i="1"/>
  <c r="AB1304" i="1"/>
  <c r="AB1256" i="1"/>
  <c r="AB1112" i="1"/>
  <c r="AB872" i="1"/>
  <c r="AB728" i="1"/>
  <c r="AB1303" i="1"/>
  <c r="AB1254" i="1"/>
  <c r="AB1239" i="1"/>
  <c r="AB1159" i="1"/>
  <c r="AB1143" i="1"/>
  <c r="AB1095" i="1"/>
  <c r="AB1063" i="1"/>
  <c r="AB1015" i="1"/>
  <c r="AB919" i="1"/>
  <c r="Z807" i="1"/>
  <c r="AQ807" i="1" s="1"/>
  <c r="O483" i="1"/>
  <c r="AD483" i="1" s="1"/>
  <c r="O467" i="1"/>
  <c r="AC467" i="1" s="1"/>
  <c r="O451" i="1"/>
  <c r="AC451" i="1" s="1"/>
  <c r="O435" i="1"/>
  <c r="AC435" i="1" s="1"/>
  <c r="O419" i="1"/>
  <c r="AD419" i="1" s="1"/>
  <c r="O481" i="1"/>
  <c r="AC481" i="1" s="1"/>
  <c r="O465" i="1"/>
  <c r="AD465" i="1" s="1"/>
  <c r="O486" i="1"/>
  <c r="AD486" i="1" s="1"/>
  <c r="O469" i="1"/>
  <c r="AD469" i="1" s="1"/>
  <c r="O489" i="1"/>
  <c r="AD489" i="1" s="1"/>
  <c r="O471" i="1"/>
  <c r="AD471" i="1" s="1"/>
  <c r="O487" i="1"/>
  <c r="AC487" i="1" s="1"/>
  <c r="O479" i="1"/>
  <c r="AC479" i="1" s="1"/>
  <c r="O463" i="1"/>
  <c r="AD463" i="1" s="1"/>
  <c r="O447" i="1"/>
  <c r="AC447" i="1" s="1"/>
  <c r="O431" i="1"/>
  <c r="AD431" i="1" s="1"/>
  <c r="O415" i="1"/>
  <c r="AC415" i="1" s="1"/>
  <c r="O399" i="1"/>
  <c r="AD399" i="1" s="1"/>
  <c r="O383" i="1"/>
  <c r="AD383" i="1" s="1"/>
  <c r="O367" i="1"/>
  <c r="AC367" i="1" s="1"/>
  <c r="O351" i="1"/>
  <c r="AC351" i="1" s="1"/>
  <c r="O335" i="1"/>
  <c r="AD335" i="1" s="1"/>
  <c r="O319" i="1"/>
  <c r="AD319" i="1" s="1"/>
  <c r="O303" i="1"/>
  <c r="AC303" i="1" s="1"/>
  <c r="O477" i="1"/>
  <c r="AC477" i="1" s="1"/>
  <c r="O461" i="1"/>
  <c r="AC461" i="1" s="1"/>
  <c r="O473" i="1"/>
  <c r="AD473" i="1" s="1"/>
  <c r="O459" i="1"/>
  <c r="AD459" i="1" s="1"/>
  <c r="O478" i="1"/>
  <c r="AD478" i="1" s="1"/>
  <c r="O458" i="1"/>
  <c r="AD458" i="1" s="1"/>
  <c r="O442" i="1"/>
  <c r="AC442" i="1" s="1"/>
  <c r="O475" i="1"/>
  <c r="AC475" i="1" s="1"/>
  <c r="O474" i="1"/>
  <c r="AC474" i="1" s="1"/>
  <c r="O462" i="1"/>
  <c r="AD462" i="1" s="1"/>
  <c r="O450" i="1"/>
  <c r="AD450" i="1" s="1"/>
  <c r="O444" i="1"/>
  <c r="AC444" i="1" s="1"/>
  <c r="O420" i="1"/>
  <c r="AD420" i="1" s="1"/>
  <c r="O402" i="1"/>
  <c r="AD402" i="1" s="1"/>
  <c r="O396" i="1"/>
  <c r="AC396" i="1" s="1"/>
  <c r="O372" i="1"/>
  <c r="AC372" i="1" s="1"/>
  <c r="O354" i="1"/>
  <c r="AD354" i="1" s="1"/>
  <c r="O348" i="1"/>
  <c r="AC348" i="1" s="1"/>
  <c r="O324" i="1"/>
  <c r="AD324" i="1" s="1"/>
  <c r="O306" i="1"/>
  <c r="AD306" i="1" s="1"/>
  <c r="O300" i="1"/>
  <c r="AC300" i="1" s="1"/>
  <c r="O457" i="1"/>
  <c r="AD457" i="1" s="1"/>
  <c r="O284" i="1"/>
  <c r="AC284" i="1" s="1"/>
  <c r="O268" i="1"/>
  <c r="AD268" i="1" s="1"/>
  <c r="O448" i="1"/>
  <c r="AC448" i="1" s="1"/>
  <c r="O432" i="1"/>
  <c r="AC432" i="1" s="1"/>
  <c r="O416" i="1"/>
  <c r="AC416" i="1" s="1"/>
  <c r="O400" i="1"/>
  <c r="AC400" i="1" s="1"/>
  <c r="O384" i="1"/>
  <c r="AC384" i="1" s="1"/>
  <c r="O368" i="1"/>
  <c r="AC368" i="1" s="1"/>
  <c r="O352" i="1"/>
  <c r="AC352" i="1" s="1"/>
  <c r="O336" i="1"/>
  <c r="AD336" i="1" s="1"/>
  <c r="O320" i="1"/>
  <c r="AC320" i="1" s="1"/>
  <c r="O304" i="1"/>
  <c r="AC304" i="1" s="1"/>
  <c r="O278" i="1"/>
  <c r="AD278" i="1" s="1"/>
  <c r="O263" i="1"/>
  <c r="AD263" i="1" s="1"/>
  <c r="O215" i="1"/>
  <c r="AD215" i="1" s="1"/>
  <c r="O422" i="1"/>
  <c r="AC422" i="1" s="1"/>
  <c r="O374" i="1"/>
  <c r="AD374" i="1" s="1"/>
  <c r="O326" i="1"/>
  <c r="AC326" i="1" s="1"/>
  <c r="O454" i="1"/>
  <c r="AD454" i="1" s="1"/>
  <c r="O406" i="1"/>
  <c r="AC406" i="1" s="1"/>
  <c r="O358" i="1"/>
  <c r="AC358" i="1" s="1"/>
  <c r="O310" i="1"/>
  <c r="AC310" i="1" s="1"/>
  <c r="O438" i="1"/>
  <c r="AD438" i="1" s="1"/>
  <c r="O390" i="1"/>
  <c r="AC390" i="1" s="1"/>
  <c r="O342" i="1"/>
  <c r="AC342" i="1" s="1"/>
  <c r="O294" i="1"/>
  <c r="AD294" i="1" s="1"/>
  <c r="O445" i="1"/>
  <c r="AD445" i="1" s="1"/>
  <c r="O429" i="1"/>
  <c r="AD429" i="1" s="1"/>
  <c r="O413" i="1"/>
  <c r="AD413" i="1" s="1"/>
  <c r="O397" i="1"/>
  <c r="AD397" i="1" s="1"/>
  <c r="O381" i="1"/>
  <c r="AC381" i="1" s="1"/>
  <c r="O365" i="1"/>
  <c r="AD365" i="1" s="1"/>
  <c r="O349" i="1"/>
  <c r="AD349" i="1" s="1"/>
  <c r="O446" i="1"/>
  <c r="AC446" i="1" s="1"/>
  <c r="O443" i="1"/>
  <c r="AC443" i="1" s="1"/>
  <c r="O427" i="1"/>
  <c r="AD427" i="1" s="1"/>
  <c r="O411" i="1"/>
  <c r="AC411" i="1" s="1"/>
  <c r="O395" i="1"/>
  <c r="AC395" i="1" s="1"/>
  <c r="O379" i="1"/>
  <c r="AD379" i="1" s="1"/>
  <c r="O363" i="1"/>
  <c r="AD363" i="1" s="1"/>
  <c r="O347" i="1"/>
  <c r="AD347" i="1" s="1"/>
  <c r="O331" i="1"/>
  <c r="AD331" i="1" s="1"/>
  <c r="O315" i="1"/>
  <c r="AD315" i="1" s="1"/>
  <c r="O299" i="1"/>
  <c r="AC299" i="1" s="1"/>
  <c r="O456" i="1"/>
  <c r="AD456" i="1" s="1"/>
  <c r="O408" i="1"/>
  <c r="AD408" i="1" s="1"/>
  <c r="O392" i="1"/>
  <c r="AD392" i="1" s="1"/>
  <c r="O375" i="1"/>
  <c r="AC375" i="1" s="1"/>
  <c r="O360" i="1"/>
  <c r="AC360" i="1" s="1"/>
  <c r="O359" i="1"/>
  <c r="AC359" i="1" s="1"/>
  <c r="O455" i="1"/>
  <c r="AD455" i="1" s="1"/>
  <c r="O391" i="1"/>
  <c r="AD391" i="1" s="1"/>
  <c r="O262" i="1"/>
  <c r="AC262" i="1" s="1"/>
  <c r="O229" i="1"/>
  <c r="AC229" i="1" s="1"/>
  <c r="O149" i="1"/>
  <c r="AC149" i="1" s="1"/>
  <c r="O101" i="1"/>
  <c r="AC101" i="1" s="1"/>
  <c r="O407" i="1"/>
  <c r="AD407" i="1" s="1"/>
  <c r="O277" i="1"/>
  <c r="AC277" i="1" s="1"/>
  <c r="O245" i="1"/>
  <c r="AC245" i="1" s="1"/>
  <c r="O181" i="1"/>
  <c r="AC181" i="1" s="1"/>
  <c r="O133" i="1"/>
  <c r="AC133" i="1" s="1"/>
  <c r="O85" i="1"/>
  <c r="AC85" i="1" s="1"/>
  <c r="O421" i="1"/>
  <c r="AD421" i="1" s="1"/>
  <c r="O373" i="1"/>
  <c r="AC373" i="1" s="1"/>
  <c r="O325" i="1"/>
  <c r="AD325" i="1" s="1"/>
  <c r="O437" i="1"/>
  <c r="AC437" i="1" s="1"/>
  <c r="O389" i="1"/>
  <c r="AC389" i="1" s="1"/>
  <c r="O341" i="1"/>
  <c r="AC341" i="1" s="1"/>
  <c r="O293" i="1"/>
  <c r="AD293" i="1" s="1"/>
  <c r="O453" i="1"/>
  <c r="AD453" i="1" s="1"/>
  <c r="O376" i="1"/>
  <c r="AC376" i="1" s="1"/>
  <c r="O197" i="1"/>
  <c r="AC197" i="1" s="1"/>
  <c r="O405" i="1"/>
  <c r="AD405" i="1" s="1"/>
  <c r="O357" i="1"/>
  <c r="AD357" i="1" s="1"/>
  <c r="O309" i="1"/>
  <c r="AC309" i="1" s="1"/>
  <c r="O439" i="1"/>
  <c r="AC439" i="1" s="1"/>
  <c r="O423" i="1"/>
  <c r="AD423" i="1" s="1"/>
  <c r="O449" i="1"/>
  <c r="AC449" i="1" s="1"/>
  <c r="O433" i="1"/>
  <c r="AD433" i="1" s="1"/>
  <c r="O417" i="1"/>
  <c r="AD417" i="1" s="1"/>
  <c r="O401" i="1"/>
  <c r="AC401" i="1" s="1"/>
  <c r="O385" i="1"/>
  <c r="AD385" i="1" s="1"/>
  <c r="O369" i="1"/>
  <c r="AD369" i="1" s="1"/>
  <c r="O353" i="1"/>
  <c r="AD353" i="1" s="1"/>
  <c r="O283" i="1"/>
  <c r="AD283" i="1" s="1"/>
  <c r="O267" i="1"/>
  <c r="AD267" i="1" s="1"/>
  <c r="O251" i="1"/>
  <c r="AC251" i="1" s="1"/>
  <c r="O235" i="1"/>
  <c r="AC235" i="1" s="1"/>
  <c r="O203" i="1"/>
  <c r="AC203" i="1" s="1"/>
  <c r="O187" i="1"/>
  <c r="AD187" i="1" s="1"/>
  <c r="O153" i="1"/>
  <c r="AD153" i="1" s="1"/>
  <c r="O139" i="1"/>
  <c r="AC139" i="1" s="1"/>
  <c r="O104" i="1"/>
  <c r="AD104" i="1" s="1"/>
  <c r="O91" i="1"/>
  <c r="AC91" i="1" s="1"/>
  <c r="O425" i="1"/>
  <c r="AC425" i="1" s="1"/>
  <c r="O409" i="1"/>
  <c r="AC409" i="1" s="1"/>
  <c r="O393" i="1"/>
  <c r="AC393" i="1" s="1"/>
  <c r="O377" i="1"/>
  <c r="AC377" i="1" s="1"/>
  <c r="O361" i="1"/>
  <c r="AC361" i="1" s="1"/>
  <c r="O441" i="1"/>
  <c r="AC441" i="1" s="1"/>
  <c r="O440" i="1"/>
  <c r="AC440" i="1" s="1"/>
  <c r="O426" i="1"/>
  <c r="AC426" i="1" s="1"/>
  <c r="O424" i="1"/>
  <c r="AD424" i="1" s="1"/>
  <c r="O430" i="1"/>
  <c r="AC430" i="1" s="1"/>
  <c r="O414" i="1"/>
  <c r="AD414" i="1" s="1"/>
  <c r="AB1160" i="1"/>
  <c r="AA1016" i="1"/>
  <c r="AA968" i="1"/>
  <c r="AB1287" i="1"/>
  <c r="Z1207" i="1"/>
  <c r="AQ1207" i="1" s="1"/>
  <c r="AB1111" i="1"/>
  <c r="AB999" i="1"/>
  <c r="AB967" i="1"/>
  <c r="AB952" i="1"/>
  <c r="AB663" i="1"/>
  <c r="Z134" i="1"/>
  <c r="AQ134" i="1" s="1"/>
  <c r="AB1142" i="1"/>
  <c r="AA1047" i="1"/>
  <c r="AB951" i="1"/>
  <c r="AA886" i="1"/>
  <c r="AA806" i="1"/>
  <c r="AB661" i="1"/>
  <c r="Z133" i="1"/>
  <c r="AQ133" i="1" s="1"/>
  <c r="AB1269" i="1"/>
  <c r="AA1189" i="1"/>
  <c r="AA1141" i="1"/>
  <c r="AB1125" i="1"/>
  <c r="AB1046" i="1"/>
  <c r="AB998" i="1"/>
  <c r="AB981" i="1"/>
  <c r="AB933" i="1"/>
  <c r="AB885" i="1"/>
  <c r="AB597" i="1"/>
  <c r="AB501" i="1"/>
  <c r="Z132" i="1"/>
  <c r="AQ132" i="1" s="1"/>
  <c r="AA756" i="1"/>
  <c r="AB1219" i="1"/>
  <c r="AB1171" i="1"/>
  <c r="AB1107" i="1"/>
  <c r="AB1059" i="1"/>
  <c r="AB979" i="1"/>
  <c r="Z915" i="1"/>
  <c r="AQ915" i="1" s="1"/>
  <c r="AB835" i="1"/>
  <c r="AA771" i="1"/>
  <c r="AA483" i="1"/>
  <c r="AB1202" i="1"/>
  <c r="AB1106" i="1"/>
  <c r="AB914" i="1"/>
  <c r="AB850" i="1"/>
  <c r="AB770" i="1"/>
  <c r="AB706" i="1"/>
  <c r="AA690" i="1"/>
  <c r="AA450" i="1"/>
  <c r="Z129" i="1"/>
  <c r="AQ129" i="1" s="1"/>
  <c r="AB1249" i="1"/>
  <c r="AB1201" i="1"/>
  <c r="AB1089" i="1"/>
  <c r="AA1057" i="1"/>
  <c r="AB1041" i="1"/>
  <c r="AB1009" i="1"/>
  <c r="AB945" i="1"/>
  <c r="AB913" i="1"/>
  <c r="AB849" i="1"/>
  <c r="AB705" i="1"/>
  <c r="Z128" i="1"/>
  <c r="AQ128" i="1" s="1"/>
  <c r="AB1232" i="1"/>
  <c r="AA1088" i="1"/>
  <c r="AB656" i="1"/>
  <c r="AA640" i="1"/>
  <c r="AB544" i="1"/>
  <c r="AA432" i="1"/>
  <c r="Z127" i="1"/>
  <c r="AQ127" i="1" s="1"/>
  <c r="AB1311" i="1"/>
  <c r="AB1231" i="1"/>
  <c r="AB1167" i="1"/>
  <c r="AB1135" i="1"/>
  <c r="AB1071" i="1"/>
  <c r="AB1023" i="1"/>
  <c r="AB991" i="1"/>
  <c r="AB927" i="1"/>
  <c r="AA591" i="1"/>
  <c r="AB447" i="1"/>
  <c r="AA980" i="1"/>
  <c r="AB1166" i="1"/>
  <c r="AA1022" i="1"/>
  <c r="AB923" i="1"/>
  <c r="AA814" i="1"/>
  <c r="AB590" i="1"/>
  <c r="AA574" i="1"/>
  <c r="AB542" i="1"/>
  <c r="AA1124" i="1"/>
  <c r="O410" i="1"/>
  <c r="AD410" i="1" s="1"/>
  <c r="AB1309" i="1"/>
  <c r="AB1293" i="1"/>
  <c r="AB1213" i="1"/>
  <c r="AA1117" i="1"/>
  <c r="AB1021" i="1"/>
  <c r="AB1005" i="1"/>
  <c r="AB973" i="1"/>
  <c r="AB926" i="1"/>
  <c r="AA813" i="1"/>
  <c r="AA669" i="1"/>
  <c r="AA932" i="1"/>
  <c r="AB836" i="1"/>
  <c r="AB1052" i="1"/>
  <c r="AA1004" i="1"/>
  <c r="AA908" i="1"/>
  <c r="AA892" i="1"/>
  <c r="AA844" i="1"/>
  <c r="AB748" i="1"/>
  <c r="AA684" i="1"/>
  <c r="AB620" i="1"/>
  <c r="Z1243" i="1"/>
  <c r="AQ1243" i="1" s="1"/>
  <c r="AB1147" i="1"/>
  <c r="AB1099" i="1"/>
  <c r="AB1051" i="1"/>
  <c r="AB1035" i="1"/>
  <c r="AA1003" i="1"/>
  <c r="AB987" i="1"/>
  <c r="Z74" i="1"/>
  <c r="AQ74" i="1" s="1"/>
  <c r="AB1178" i="1"/>
  <c r="AA1130" i="1"/>
  <c r="AA1034" i="1"/>
  <c r="AB986" i="1"/>
  <c r="AA938" i="1"/>
  <c r="AA699" i="1"/>
  <c r="Z137" i="1"/>
  <c r="AQ137" i="1" s="1"/>
  <c r="AB1305" i="1"/>
  <c r="AB1113" i="1"/>
  <c r="AB1081" i="1"/>
  <c r="AA1033" i="1"/>
  <c r="AB1017" i="1"/>
  <c r="AA985" i="1"/>
  <c r="AB969" i="1"/>
  <c r="AB937" i="1"/>
  <c r="AB393" i="1"/>
  <c r="O275" i="1"/>
  <c r="AD275" i="1" s="1"/>
  <c r="O387" i="1"/>
  <c r="AD387" i="1" s="1"/>
  <c r="O371" i="1"/>
  <c r="AD371" i="1" s="1"/>
  <c r="O355" i="1"/>
  <c r="AD355" i="1" s="1"/>
  <c r="O339" i="1"/>
  <c r="AC339" i="1" s="1"/>
  <c r="O323" i="1"/>
  <c r="AD323" i="1" s="1"/>
  <c r="O307" i="1"/>
  <c r="AD307" i="1" s="1"/>
  <c r="O291" i="1"/>
  <c r="AD291" i="1" s="1"/>
  <c r="O403" i="1"/>
  <c r="AD403" i="1" s="1"/>
  <c r="O398" i="1"/>
  <c r="AD398" i="1" s="1"/>
  <c r="O382" i="1"/>
  <c r="AC382" i="1" s="1"/>
  <c r="O334" i="1"/>
  <c r="AD334" i="1" s="1"/>
  <c r="O366" i="1"/>
  <c r="AD366" i="1" s="1"/>
  <c r="O318" i="1"/>
  <c r="AC318" i="1" s="1"/>
  <c r="O350" i="1"/>
  <c r="AD350" i="1" s="1"/>
  <c r="O302" i="1"/>
  <c r="AD302" i="1" s="1"/>
  <c r="O330" i="1"/>
  <c r="AC330" i="1" s="1"/>
  <c r="O298" i="1"/>
  <c r="AD298" i="1" s="1"/>
  <c r="O346" i="1"/>
  <c r="AC346" i="1" s="1"/>
  <c r="O314" i="1"/>
  <c r="AD314" i="1" s="1"/>
  <c r="AC1053" i="1"/>
  <c r="O394" i="1"/>
  <c r="AC394" i="1" s="1"/>
  <c r="O378" i="1"/>
  <c r="AD378" i="1" s="1"/>
  <c r="O362" i="1"/>
  <c r="AD362" i="1" s="1"/>
  <c r="BD37" i="2"/>
  <c r="BD36" i="2"/>
  <c r="BD35" i="2"/>
  <c r="BC37" i="2"/>
  <c r="BC36" i="2"/>
  <c r="BC35" i="2"/>
  <c r="AZ37" i="2"/>
  <c r="AZ36" i="2"/>
  <c r="AZ35" i="2"/>
  <c r="AY37" i="2"/>
  <c r="AY36" i="2"/>
  <c r="AY35" i="2"/>
  <c r="AX37" i="2"/>
  <c r="AX36" i="2"/>
  <c r="AX35" i="2"/>
  <c r="BB37" i="2"/>
  <c r="BB36" i="2"/>
  <c r="BB35" i="2"/>
  <c r="O285" i="1"/>
  <c r="AD285" i="1" s="1"/>
  <c r="O253" i="1"/>
  <c r="AD253" i="1" s="1"/>
  <c r="O221" i="1"/>
  <c r="AC221" i="1" s="1"/>
  <c r="O205" i="1"/>
  <c r="AC205" i="1" s="1"/>
  <c r="O173" i="1"/>
  <c r="AC173" i="1" s="1"/>
  <c r="O157" i="1"/>
  <c r="AC157" i="1" s="1"/>
  <c r="O125" i="1"/>
  <c r="AD125" i="1" s="1"/>
  <c r="O109" i="1"/>
  <c r="AD109" i="1" s="1"/>
  <c r="O77" i="1"/>
  <c r="AD77" i="1" s="1"/>
  <c r="O333" i="1"/>
  <c r="AD333" i="1" s="1"/>
  <c r="O317" i="1"/>
  <c r="AC317" i="1" s="1"/>
  <c r="O301" i="1"/>
  <c r="AC301" i="1" s="1"/>
  <c r="AB339" i="1"/>
  <c r="O280" i="1"/>
  <c r="AC280" i="1" s="1"/>
  <c r="O344" i="1"/>
  <c r="AD344" i="1" s="1"/>
  <c r="O328" i="1"/>
  <c r="AC328" i="1" s="1"/>
  <c r="O312" i="1"/>
  <c r="AD312" i="1" s="1"/>
  <c r="O296" i="1"/>
  <c r="AD296" i="1" s="1"/>
  <c r="O345" i="1"/>
  <c r="AC345" i="1" s="1"/>
  <c r="O343" i="1"/>
  <c r="AD343" i="1" s="1"/>
  <c r="AA324" i="1"/>
  <c r="O329" i="1"/>
  <c r="AD329" i="1" s="1"/>
  <c r="O313" i="1"/>
  <c r="AD313" i="1" s="1"/>
  <c r="O297" i="1"/>
  <c r="AC297" i="1" s="1"/>
  <c r="O259" i="1"/>
  <c r="AD259" i="1" s="1"/>
  <c r="O279" i="1"/>
  <c r="AD279" i="1" s="1"/>
  <c r="O327" i="1"/>
  <c r="AD327" i="1" s="1"/>
  <c r="O311" i="1"/>
  <c r="AD311" i="1" s="1"/>
  <c r="O295" i="1"/>
  <c r="AC295" i="1" s="1"/>
  <c r="O321" i="1"/>
  <c r="AD321" i="1" s="1"/>
  <c r="O305" i="1"/>
  <c r="AD305" i="1" s="1"/>
  <c r="O281" i="1"/>
  <c r="AD281" i="1" s="1"/>
  <c r="O337" i="1"/>
  <c r="AC337" i="1" s="1"/>
  <c r="AA303" i="1"/>
  <c r="O273" i="1"/>
  <c r="AC273" i="1" s="1"/>
  <c r="O193" i="1"/>
  <c r="AD193" i="1" s="1"/>
  <c r="O162" i="1"/>
  <c r="AD162" i="1" s="1"/>
  <c r="O97" i="1"/>
  <c r="AD97" i="1" s="1"/>
  <c r="O287" i="1"/>
  <c r="AD287" i="1" s="1"/>
  <c r="O257" i="1"/>
  <c r="AD257" i="1" s="1"/>
  <c r="O209" i="1"/>
  <c r="AD209" i="1" s="1"/>
  <c r="O145" i="1"/>
  <c r="AD145" i="1" s="1"/>
  <c r="O113" i="1"/>
  <c r="AD113" i="1" s="1"/>
  <c r="O66" i="1"/>
  <c r="AD66" i="1" s="1"/>
  <c r="O282" i="1"/>
  <c r="AC282" i="1" s="1"/>
  <c r="O246" i="1"/>
  <c r="AD246" i="1" s="1"/>
  <c r="O276" i="1"/>
  <c r="AD276" i="1" s="1"/>
  <c r="O252" i="1"/>
  <c r="AC252" i="1" s="1"/>
  <c r="O289" i="1"/>
  <c r="AD289" i="1" s="1"/>
  <c r="O264" i="1"/>
  <c r="AD264" i="1" s="1"/>
  <c r="O258" i="1"/>
  <c r="AD258" i="1" s="1"/>
  <c r="O286" i="1"/>
  <c r="AC286" i="1" s="1"/>
  <c r="O254" i="1"/>
  <c r="AD254" i="1" s="1"/>
  <c r="O191" i="1"/>
  <c r="AD191" i="1" s="1"/>
  <c r="O270" i="1"/>
  <c r="AD270" i="1" s="1"/>
  <c r="O238" i="1"/>
  <c r="AC238" i="1" s="1"/>
  <c r="O175" i="1"/>
  <c r="AD175" i="1" s="1"/>
  <c r="O271" i="1"/>
  <c r="AC271" i="1" s="1"/>
  <c r="AA270" i="1"/>
  <c r="O288" i="1"/>
  <c r="AD288" i="1" s="1"/>
  <c r="AB285" i="1"/>
  <c r="O223" i="1"/>
  <c r="AD223" i="1" s="1"/>
  <c r="O255" i="1"/>
  <c r="AC255" i="1" s="1"/>
  <c r="O269" i="1"/>
  <c r="AD269" i="1" s="1"/>
  <c r="O266" i="1"/>
  <c r="AD266" i="1" s="1"/>
  <c r="O250" i="1"/>
  <c r="AD250" i="1" s="1"/>
  <c r="O265" i="1"/>
  <c r="AC265" i="1" s="1"/>
  <c r="O248" i="1"/>
  <c r="AD248" i="1" s="1"/>
  <c r="O233" i="1"/>
  <c r="AD233" i="1" s="1"/>
  <c r="O217" i="1"/>
  <c r="AC217" i="1" s="1"/>
  <c r="O185" i="1"/>
  <c r="AC185" i="1" s="1"/>
  <c r="O169" i="1"/>
  <c r="AC169" i="1" s="1"/>
  <c r="O137" i="1"/>
  <c r="AD137" i="1" s="1"/>
  <c r="O121" i="1"/>
  <c r="AD121" i="1" s="1"/>
  <c r="O260" i="1"/>
  <c r="AD260" i="1" s="1"/>
  <c r="O243" i="1"/>
  <c r="AD243" i="1" s="1"/>
  <c r="O227" i="1"/>
  <c r="AD227" i="1" s="1"/>
  <c r="O211" i="1"/>
  <c r="AD211" i="1" s="1"/>
  <c r="O179" i="1"/>
  <c r="AC179" i="1" s="1"/>
  <c r="O131" i="1"/>
  <c r="AD131" i="1" s="1"/>
  <c r="O163" i="1"/>
  <c r="AC163" i="1" s="1"/>
  <c r="AA267" i="1"/>
  <c r="O244" i="1"/>
  <c r="AD244" i="1" s="1"/>
  <c r="O261" i="1"/>
  <c r="AD261" i="1" s="1"/>
  <c r="O249" i="1"/>
  <c r="AD249" i="1" s="1"/>
  <c r="O232" i="1"/>
  <c r="AD232" i="1" s="1"/>
  <c r="O216" i="1"/>
  <c r="AD216" i="1" s="1"/>
  <c r="O199" i="1"/>
  <c r="AC199" i="1" s="1"/>
  <c r="O247" i="1"/>
  <c r="AC247" i="1" s="1"/>
  <c r="O220" i="1"/>
  <c r="AC220" i="1" s="1"/>
  <c r="AC999" i="1"/>
  <c r="O54" i="1"/>
  <c r="AC54" i="1" s="1"/>
  <c r="O48" i="1"/>
  <c r="AD48" i="1" s="1"/>
  <c r="O234" i="1"/>
  <c r="AD234" i="1" s="1"/>
  <c r="O228" i="1"/>
  <c r="AD228" i="1" s="1"/>
  <c r="O222" i="1"/>
  <c r="AD222" i="1" s="1"/>
  <c r="O212" i="1"/>
  <c r="AD212" i="1" s="1"/>
  <c r="O204" i="1"/>
  <c r="AD204" i="1" s="1"/>
  <c r="O198" i="1"/>
  <c r="AD198" i="1" s="1"/>
  <c r="O192" i="1"/>
  <c r="AD192" i="1" s="1"/>
  <c r="O186" i="1"/>
  <c r="AD186" i="1" s="1"/>
  <c r="O180" i="1"/>
  <c r="AD180" i="1" s="1"/>
  <c r="O174" i="1"/>
  <c r="AD174" i="1" s="1"/>
  <c r="O168" i="1"/>
  <c r="AC168" i="1" s="1"/>
  <c r="O156" i="1"/>
  <c r="AD156" i="1" s="1"/>
  <c r="O150" i="1"/>
  <c r="AD150" i="1" s="1"/>
  <c r="O143" i="1"/>
  <c r="AD143" i="1" s="1"/>
  <c r="O138" i="1"/>
  <c r="AC138" i="1" s="1"/>
  <c r="O132" i="1"/>
  <c r="AD132" i="1" s="1"/>
  <c r="O126" i="1"/>
  <c r="AD126" i="1" s="1"/>
  <c r="O120" i="1"/>
  <c r="AD120" i="1" s="1"/>
  <c r="O102" i="1"/>
  <c r="AD102" i="1" s="1"/>
  <c r="O96" i="1"/>
  <c r="AD96" i="1" s="1"/>
  <c r="O84" i="1"/>
  <c r="AD84" i="1" s="1"/>
  <c r="O78" i="1"/>
  <c r="AC78" i="1" s="1"/>
  <c r="O53" i="1"/>
  <c r="AC53" i="1" s="1"/>
  <c r="O37" i="1"/>
  <c r="AD37" i="1" s="1"/>
  <c r="O240" i="1"/>
  <c r="AD240" i="1" s="1"/>
  <c r="O237" i="1"/>
  <c r="AD237" i="1" s="1"/>
  <c r="O231" i="1"/>
  <c r="AD231" i="1" s="1"/>
  <c r="O225" i="1"/>
  <c r="AC225" i="1" s="1"/>
  <c r="O219" i="1"/>
  <c r="AD219" i="1" s="1"/>
  <c r="O214" i="1"/>
  <c r="AD214" i="1" s="1"/>
  <c r="O207" i="1"/>
  <c r="AD207" i="1" s="1"/>
  <c r="O201" i="1"/>
  <c r="AD201" i="1" s="1"/>
  <c r="O195" i="1"/>
  <c r="AD195" i="1" s="1"/>
  <c r="O189" i="1"/>
  <c r="AC189" i="1" s="1"/>
  <c r="O177" i="1"/>
  <c r="AD177" i="1" s="1"/>
  <c r="O171" i="1"/>
  <c r="AC171" i="1" s="1"/>
  <c r="O165" i="1"/>
  <c r="AD165" i="1" s="1"/>
  <c r="O159" i="1"/>
  <c r="AD159" i="1" s="1"/>
  <c r="O154" i="1"/>
  <c r="AD154" i="1" s="1"/>
  <c r="O147" i="1"/>
  <c r="AD147" i="1" s="1"/>
  <c r="O141" i="1"/>
  <c r="AD141" i="1" s="1"/>
  <c r="O129" i="1"/>
  <c r="AD129" i="1" s="1"/>
  <c r="O123" i="1"/>
  <c r="AC123" i="1" s="1"/>
  <c r="O117" i="1"/>
  <c r="AC117" i="1" s="1"/>
  <c r="O93" i="1"/>
  <c r="AD93" i="1" s="1"/>
  <c r="O81" i="1"/>
  <c r="AD81" i="1" s="1"/>
  <c r="O65" i="1"/>
  <c r="O239" i="1"/>
  <c r="AC239" i="1" s="1"/>
  <c r="O236" i="1"/>
  <c r="AD236" i="1" s="1"/>
  <c r="O230" i="1"/>
  <c r="AC230" i="1" s="1"/>
  <c r="O224" i="1"/>
  <c r="AD224" i="1" s="1"/>
  <c r="O218" i="1"/>
  <c r="AC218" i="1" s="1"/>
  <c r="O213" i="1"/>
  <c r="AD213" i="1" s="1"/>
  <c r="O206" i="1"/>
  <c r="AC206" i="1" s="1"/>
  <c r="O200" i="1"/>
  <c r="AD200" i="1" s="1"/>
  <c r="O188" i="1"/>
  <c r="AD188" i="1" s="1"/>
  <c r="O182" i="1"/>
  <c r="AC182" i="1" s="1"/>
  <c r="O176" i="1"/>
  <c r="AD176" i="1" s="1"/>
  <c r="O170" i="1"/>
  <c r="AD170" i="1" s="1"/>
  <c r="O164" i="1"/>
  <c r="AC164" i="1" s="1"/>
  <c r="O158" i="1"/>
  <c r="AD158" i="1" s="1"/>
  <c r="O152" i="1"/>
  <c r="AD152" i="1" s="1"/>
  <c r="O140" i="1"/>
  <c r="AD140" i="1" s="1"/>
  <c r="O134" i="1"/>
  <c r="AC134" i="1" s="1"/>
  <c r="O128" i="1"/>
  <c r="AD128" i="1" s="1"/>
  <c r="O122" i="1"/>
  <c r="AD122" i="1" s="1"/>
  <c r="O110" i="1"/>
  <c r="AD110" i="1" s="1"/>
  <c r="O86" i="1"/>
  <c r="AD86" i="1" s="1"/>
  <c r="O80" i="1"/>
  <c r="AD80" i="1" s="1"/>
  <c r="O69" i="1"/>
  <c r="AD69" i="1" s="1"/>
  <c r="O49" i="1"/>
  <c r="AD49" i="1" s="1"/>
  <c r="O241" i="1"/>
  <c r="AD241" i="1" s="1"/>
  <c r="AA231" i="1"/>
  <c r="AD1303" i="1"/>
  <c r="AD1287" i="1"/>
  <c r="AD1271" i="1"/>
  <c r="AD1254" i="1"/>
  <c r="AD1239" i="1"/>
  <c r="AD1223" i="1"/>
  <c r="AD1207" i="1"/>
  <c r="AD1191" i="1"/>
  <c r="AD1175" i="1"/>
  <c r="AD1159" i="1"/>
  <c r="AD1143" i="1"/>
  <c r="AD1127" i="1"/>
  <c r="AD1095" i="1"/>
  <c r="AD1079" i="1"/>
  <c r="AD1063" i="1"/>
  <c r="AD1044" i="1"/>
  <c r="AD1031" i="1"/>
  <c r="AD1015" i="1"/>
  <c r="AD999" i="1"/>
  <c r="AD983" i="1"/>
  <c r="AD952" i="1"/>
  <c r="AD935" i="1"/>
  <c r="AD903" i="1"/>
  <c r="AD887" i="1"/>
  <c r="AD855" i="1"/>
  <c r="AD839" i="1"/>
  <c r="AD807" i="1"/>
  <c r="AD791" i="1"/>
  <c r="AD1302" i="1"/>
  <c r="AD1286" i="1"/>
  <c r="AD1270" i="1"/>
  <c r="AD1255" i="1"/>
  <c r="AD1238" i="1"/>
  <c r="AD1222" i="1"/>
  <c r="AD1158" i="1"/>
  <c r="AD1047" i="1"/>
  <c r="AD1030" i="1"/>
  <c r="AD995" i="1"/>
  <c r="AD854" i="1"/>
  <c r="AD758" i="1"/>
  <c r="AD742" i="1"/>
  <c r="AD710" i="1"/>
  <c r="AD1301" i="1"/>
  <c r="AD1285" i="1"/>
  <c r="AD1269" i="1"/>
  <c r="AD1253" i="1"/>
  <c r="AD1237" i="1"/>
  <c r="AD1221" i="1"/>
  <c r="AD1205" i="1"/>
  <c r="AD1189" i="1"/>
  <c r="AD1173" i="1"/>
  <c r="AD1157" i="1"/>
  <c r="AD998" i="1"/>
  <c r="AC1215" i="1"/>
  <c r="AD1300" i="1"/>
  <c r="AD1284" i="1"/>
  <c r="AD1268" i="1"/>
  <c r="AD1236" i="1"/>
  <c r="AD1220" i="1"/>
  <c r="AD1204" i="1"/>
  <c r="AD1092" i="1"/>
  <c r="AD1012" i="1"/>
  <c r="AD788" i="1"/>
  <c r="AD1299" i="1"/>
  <c r="AD1283" i="1"/>
  <c r="AD1267" i="1"/>
  <c r="AD1235" i="1"/>
  <c r="AD1219" i="1"/>
  <c r="AD1203" i="1"/>
  <c r="AD1171" i="1"/>
  <c r="AD1155" i="1"/>
  <c r="AD1139" i="1"/>
  <c r="AD1123" i="1"/>
  <c r="AD1091" i="1"/>
  <c r="AD1075" i="1"/>
  <c r="AD1059" i="1"/>
  <c r="AD1043" i="1"/>
  <c r="AD1027" i="1"/>
  <c r="AD1011" i="1"/>
  <c r="AD996" i="1"/>
  <c r="AD947" i="1"/>
  <c r="AD915" i="1"/>
  <c r="AD899" i="1"/>
  <c r="AD867" i="1"/>
  <c r="AD851" i="1"/>
  <c r="AD1314" i="1"/>
  <c r="AD1298" i="1"/>
  <c r="AD1266" i="1"/>
  <c r="AD1250" i="1"/>
  <c r="AD1234" i="1"/>
  <c r="AD1218" i="1"/>
  <c r="AD1202" i="1"/>
  <c r="AD1186" i="1"/>
  <c r="AD1170" i="1"/>
  <c r="AD834" i="1"/>
  <c r="AD1313" i="1"/>
  <c r="AD1297" i="1"/>
  <c r="AD1281" i="1"/>
  <c r="AD1265" i="1"/>
  <c r="AD1249" i="1"/>
  <c r="AD1233" i="1"/>
  <c r="AD1185" i="1"/>
  <c r="AD1137" i="1"/>
  <c r="AD1041" i="1"/>
  <c r="AD1312" i="1"/>
  <c r="AD1296" i="1"/>
  <c r="AD1264" i="1"/>
  <c r="AD1232" i="1"/>
  <c r="AD1168" i="1"/>
  <c r="AD1088" i="1"/>
  <c r="AD800" i="1"/>
  <c r="AD1311" i="1"/>
  <c r="AD1295" i="1"/>
  <c r="AD1279" i="1"/>
  <c r="AD1263" i="1"/>
  <c r="AD1247" i="1"/>
  <c r="AD1231" i="1"/>
  <c r="AD1215" i="1"/>
  <c r="AD767" i="1"/>
  <c r="AD1310" i="1"/>
  <c r="AD1294" i="1"/>
  <c r="AD1278" i="1"/>
  <c r="AD1262" i="1"/>
  <c r="AD1230" i="1"/>
  <c r="AD1198" i="1"/>
  <c r="AD1070" i="1"/>
  <c r="AD896" i="1"/>
  <c r="AD1309" i="1"/>
  <c r="AD1293" i="1"/>
  <c r="AD1277" i="1"/>
  <c r="AD1261" i="1"/>
  <c r="AD1245" i="1"/>
  <c r="AD1229" i="1"/>
  <c r="AD1181" i="1"/>
  <c r="AD1037" i="1"/>
  <c r="AD942" i="1"/>
  <c r="AD1308" i="1"/>
  <c r="AD1292" i="1"/>
  <c r="AD1276" i="1"/>
  <c r="AD1228" i="1"/>
  <c r="AD1036" i="1"/>
  <c r="AD908" i="1"/>
  <c r="O210" i="1"/>
  <c r="AD210" i="1" s="1"/>
  <c r="O194" i="1"/>
  <c r="AD194" i="1" s="1"/>
  <c r="AD1307" i="1"/>
  <c r="AD1291" i="1"/>
  <c r="AD1275" i="1"/>
  <c r="AD1243" i="1"/>
  <c r="AD1051" i="1"/>
  <c r="AD1035" i="1"/>
  <c r="AD987" i="1"/>
  <c r="AD971" i="1"/>
  <c r="AD1306" i="1"/>
  <c r="AD1290" i="1"/>
  <c r="AD1274" i="1"/>
  <c r="AD1258" i="1"/>
  <c r="AD1242" i="1"/>
  <c r="AD1130" i="1"/>
  <c r="AD1034" i="1"/>
  <c r="AD986" i="1"/>
  <c r="AD950" i="1"/>
  <c r="AD938" i="1"/>
  <c r="AD891" i="1"/>
  <c r="AD859" i="1"/>
  <c r="AD1305" i="1"/>
  <c r="AD1289" i="1"/>
  <c r="AD1273" i="1"/>
  <c r="AD1257" i="1"/>
  <c r="AD1241" i="1"/>
  <c r="AD1225" i="1"/>
  <c r="AD1209" i="1"/>
  <c r="AD1193" i="1"/>
  <c r="AD521" i="1"/>
  <c r="AD1304" i="1"/>
  <c r="AD1288" i="1"/>
  <c r="AD1272" i="1"/>
  <c r="AD1256" i="1"/>
  <c r="AD1240" i="1"/>
  <c r="AD1224" i="1"/>
  <c r="AD1208" i="1"/>
  <c r="AD1192" i="1"/>
  <c r="AD1176" i="1"/>
  <c r="AD1160" i="1"/>
  <c r="AD1080" i="1"/>
  <c r="AC1297" i="1"/>
  <c r="AC1279" i="1"/>
  <c r="AC1261" i="1"/>
  <c r="AC1243" i="1"/>
  <c r="AC1225" i="1"/>
  <c r="AC1207" i="1"/>
  <c r="AC1075" i="1"/>
  <c r="AC1039" i="1"/>
  <c r="AC1295" i="1"/>
  <c r="AC1265" i="1"/>
  <c r="AC1235" i="1"/>
  <c r="AC1181" i="1"/>
  <c r="AC996" i="1"/>
  <c r="AC971" i="1"/>
  <c r="AC947" i="1"/>
  <c r="AC899" i="1"/>
  <c r="AC839" i="1"/>
  <c r="AC791" i="1"/>
  <c r="AC1312" i="1"/>
  <c r="AC1306" i="1"/>
  <c r="AC1300" i="1"/>
  <c r="AC1294" i="1"/>
  <c r="AC1288" i="1"/>
  <c r="AC1276" i="1"/>
  <c r="AC1270" i="1"/>
  <c r="AC1264" i="1"/>
  <c r="AC1258" i="1"/>
  <c r="AC1240" i="1"/>
  <c r="AC1234" i="1"/>
  <c r="AC1228" i="1"/>
  <c r="AC1222" i="1"/>
  <c r="AC1204" i="1"/>
  <c r="AC1198" i="1"/>
  <c r="AC1192" i="1"/>
  <c r="AC1186" i="1"/>
  <c r="AC1168" i="1"/>
  <c r="AC1138" i="1"/>
  <c r="AC958" i="1"/>
  <c r="AC874" i="1"/>
  <c r="AC1311" i="1"/>
  <c r="AC1293" i="1"/>
  <c r="AC1275" i="1"/>
  <c r="AC1257" i="1"/>
  <c r="AC1239" i="1"/>
  <c r="AC1221" i="1"/>
  <c r="AC1203" i="1"/>
  <c r="AC1177" i="1"/>
  <c r="AC938" i="1"/>
  <c r="AC1301" i="1"/>
  <c r="AC1271" i="1"/>
  <c r="AC1241" i="1"/>
  <c r="AC1205" i="1"/>
  <c r="AC1175" i="1"/>
  <c r="AC1139" i="1"/>
  <c r="AC1091" i="1"/>
  <c r="AC1031" i="1"/>
  <c r="AC1191" i="1"/>
  <c r="AC1185" i="1"/>
  <c r="AC1173" i="1"/>
  <c r="AC1155" i="1"/>
  <c r="AC1149" i="1"/>
  <c r="AC1143" i="1"/>
  <c r="AC1095" i="1"/>
  <c r="AC1083" i="1"/>
  <c r="AC1059" i="1"/>
  <c r="AC1044" i="1"/>
  <c r="AC1035" i="1"/>
  <c r="AC1011" i="1"/>
  <c r="AC987" i="1"/>
  <c r="AC952" i="1"/>
  <c r="AC915" i="1"/>
  <c r="AC903" i="1"/>
  <c r="AC897" i="1"/>
  <c r="AC867" i="1"/>
  <c r="AC855" i="1"/>
  <c r="AC807" i="1"/>
  <c r="AC1309" i="1"/>
  <c r="AC1291" i="1"/>
  <c r="AC1273" i="1"/>
  <c r="AC1254" i="1"/>
  <c r="AC1237" i="1"/>
  <c r="AC1219" i="1"/>
  <c r="AC1171" i="1"/>
  <c r="AC1063" i="1"/>
  <c r="AC1289" i="1"/>
  <c r="AC1229" i="1"/>
  <c r="AC1169" i="1"/>
  <c r="AC1079" i="1"/>
  <c r="AC1037" i="1"/>
  <c r="AC1304" i="1"/>
  <c r="AC1292" i="1"/>
  <c r="AC1268" i="1"/>
  <c r="AC1238" i="1"/>
  <c r="AC1214" i="1"/>
  <c r="AC1202" i="1"/>
  <c r="AC1190" i="1"/>
  <c r="AC995" i="1"/>
  <c r="AC891" i="1"/>
  <c r="AC800" i="1"/>
  <c r="AC710" i="1"/>
  <c r="AC1305" i="1"/>
  <c r="AC1287" i="1"/>
  <c r="AC1269" i="1"/>
  <c r="AC1233" i="1"/>
  <c r="AC1313" i="1"/>
  <c r="AC1283" i="1"/>
  <c r="AC1253" i="1"/>
  <c r="AC1223" i="1"/>
  <c r="AC1157" i="1"/>
  <c r="AC942" i="1"/>
  <c r="AC851" i="1"/>
  <c r="AC767" i="1"/>
  <c r="AC1310" i="1"/>
  <c r="AC1298" i="1"/>
  <c r="AC1286" i="1"/>
  <c r="AC1274" i="1"/>
  <c r="AC1262" i="1"/>
  <c r="AC1256" i="1"/>
  <c r="AC1232" i="1"/>
  <c r="AC1220" i="1"/>
  <c r="AC1208" i="1"/>
  <c r="AC1160" i="1"/>
  <c r="AC1130" i="1"/>
  <c r="AC1047" i="1"/>
  <c r="AC1034" i="1"/>
  <c r="AC986" i="1"/>
  <c r="AC788" i="1"/>
  <c r="AC308" i="1"/>
  <c r="AC1027" i="1"/>
  <c r="AC1015" i="1"/>
  <c r="AC998" i="1"/>
  <c r="AC787" i="1"/>
  <c r="AC1303" i="1"/>
  <c r="AC1285" i="1"/>
  <c r="AC1267" i="1"/>
  <c r="AC1249" i="1"/>
  <c r="AC1231" i="1"/>
  <c r="AC1213" i="1"/>
  <c r="AC1195" i="1"/>
  <c r="AC1159" i="1"/>
  <c r="AC1123" i="1"/>
  <c r="AC1051" i="1"/>
  <c r="AC992" i="1"/>
  <c r="AC1307" i="1"/>
  <c r="AC1277" i="1"/>
  <c r="AC1247" i="1"/>
  <c r="AC1193" i="1"/>
  <c r="AC1127" i="1"/>
  <c r="AC1043" i="1"/>
  <c r="AC983" i="1"/>
  <c r="AC935" i="1"/>
  <c r="AC887" i="1"/>
  <c r="AC1314" i="1"/>
  <c r="AC1308" i="1"/>
  <c r="AC1302" i="1"/>
  <c r="AC1296" i="1"/>
  <c r="AC1290" i="1"/>
  <c r="AC1284" i="1"/>
  <c r="AC1278" i="1"/>
  <c r="AC1272" i="1"/>
  <c r="AC1266" i="1"/>
  <c r="AC1255" i="1"/>
  <c r="AC1242" i="1"/>
  <c r="AC1236" i="1"/>
  <c r="AC1230" i="1"/>
  <c r="AC1224" i="1"/>
  <c r="AC1218" i="1"/>
  <c r="AC1212" i="1"/>
  <c r="AC1176" i="1"/>
  <c r="AC1170" i="1"/>
  <c r="AC1158" i="1"/>
  <c r="AC1092" i="1"/>
  <c r="AC1084" i="1"/>
  <c r="AC1080" i="1"/>
  <c r="AC859" i="1"/>
  <c r="AC1299" i="1"/>
  <c r="AC1281" i="1"/>
  <c r="AC1263" i="1"/>
  <c r="AC1245" i="1"/>
  <c r="AC1209" i="1"/>
  <c r="AC1189" i="1"/>
  <c r="AC758" i="1"/>
  <c r="O202" i="1"/>
  <c r="AD202" i="1" s="1"/>
  <c r="O196" i="1"/>
  <c r="AD196" i="1" s="1"/>
  <c r="O190" i="1"/>
  <c r="AD190" i="1" s="1"/>
  <c r="O184" i="1"/>
  <c r="AD184" i="1" s="1"/>
  <c r="O172" i="1"/>
  <c r="AD172" i="1" s="1"/>
  <c r="O166" i="1"/>
  <c r="AD166" i="1" s="1"/>
  <c r="O160" i="1"/>
  <c r="AD160" i="1" s="1"/>
  <c r="O155" i="1"/>
  <c r="AD155" i="1" s="1"/>
  <c r="O148" i="1"/>
  <c r="AD148" i="1" s="1"/>
  <c r="O142" i="1"/>
  <c r="AD142" i="1" s="1"/>
  <c r="O136" i="1"/>
  <c r="AD136" i="1" s="1"/>
  <c r="O124" i="1"/>
  <c r="AD124" i="1" s="1"/>
  <c r="O118" i="1"/>
  <c r="AD118" i="1" s="1"/>
  <c r="O112" i="1"/>
  <c r="AD112" i="1" s="1"/>
  <c r="O100" i="1"/>
  <c r="AD100" i="1" s="1"/>
  <c r="O94" i="1"/>
  <c r="AD94" i="1" s="1"/>
  <c r="O70" i="1"/>
  <c r="AD70" i="1" s="1"/>
  <c r="O64" i="1"/>
  <c r="AD64" i="1" s="1"/>
  <c r="O183" i="1"/>
  <c r="AD183" i="1" s="1"/>
  <c r="O167" i="1"/>
  <c r="AD167" i="1" s="1"/>
  <c r="O151" i="1"/>
  <c r="AD151" i="1" s="1"/>
  <c r="O135" i="1"/>
  <c r="AD135" i="1" s="1"/>
  <c r="O119" i="1"/>
  <c r="AD119" i="1" s="1"/>
  <c r="O108" i="1"/>
  <c r="AD108" i="1" s="1"/>
  <c r="O87" i="1"/>
  <c r="AD87" i="1" s="1"/>
  <c r="O71" i="1"/>
  <c r="AD71" i="1" s="1"/>
  <c r="AB177" i="1"/>
  <c r="AA159" i="1"/>
  <c r="AB58" i="1"/>
  <c r="AA180" i="1"/>
  <c r="O178" i="1"/>
  <c r="AD178" i="1" s="1"/>
  <c r="O161" i="1"/>
  <c r="AD161" i="1" s="1"/>
  <c r="O146" i="1"/>
  <c r="AD146" i="1" s="1"/>
  <c r="O130" i="1"/>
  <c r="AD130" i="1" s="1"/>
  <c r="AB4" i="1"/>
  <c r="AA131" i="1"/>
  <c r="AA161" i="1"/>
  <c r="AB112" i="1"/>
  <c r="O127" i="1"/>
  <c r="AD127" i="1" s="1"/>
  <c r="O144" i="1"/>
  <c r="AD144" i="1" s="1"/>
  <c r="O111" i="1"/>
  <c r="AD111" i="1" s="1"/>
  <c r="AB136" i="1"/>
  <c r="AB130" i="1"/>
  <c r="AB25" i="1"/>
  <c r="AB115" i="1"/>
  <c r="AB97" i="1"/>
  <c r="AB79" i="1"/>
  <c r="AB61" i="1"/>
  <c r="AB43" i="1"/>
  <c r="Z1313" i="1"/>
  <c r="AQ1313" i="1" s="1"/>
  <c r="AA1313" i="1"/>
  <c r="AB1313" i="1"/>
  <c r="Z1307" i="1"/>
  <c r="AQ1307" i="1" s="1"/>
  <c r="AA1307" i="1"/>
  <c r="AB1307" i="1"/>
  <c r="Z1301" i="1"/>
  <c r="AQ1301" i="1" s="1"/>
  <c r="AA1301" i="1"/>
  <c r="AB1301" i="1"/>
  <c r="Z1295" i="1"/>
  <c r="AQ1295" i="1" s="1"/>
  <c r="AA1295" i="1"/>
  <c r="AB1295" i="1"/>
  <c r="Z1289" i="1"/>
  <c r="AQ1289" i="1" s="1"/>
  <c r="AA1289" i="1"/>
  <c r="AB1289" i="1"/>
  <c r="Z1283" i="1"/>
  <c r="AQ1283" i="1" s="1"/>
  <c r="AA1283" i="1"/>
  <c r="AB1283" i="1"/>
  <c r="Z1277" i="1"/>
  <c r="AQ1277" i="1" s="1"/>
  <c r="AA1277" i="1"/>
  <c r="AB1277" i="1"/>
  <c r="Z1271" i="1"/>
  <c r="AQ1271" i="1" s="1"/>
  <c r="AA1271" i="1"/>
  <c r="AB1271" i="1"/>
  <c r="Z1265" i="1"/>
  <c r="AQ1265" i="1" s="1"/>
  <c r="AA1265" i="1"/>
  <c r="AB1265" i="1"/>
  <c r="AA1259" i="1"/>
  <c r="AB1259" i="1"/>
  <c r="Z1253" i="1"/>
  <c r="AQ1253" i="1" s="1"/>
  <c r="AA1253" i="1"/>
  <c r="AB1253" i="1"/>
  <c r="Z1247" i="1"/>
  <c r="AQ1247" i="1" s="1"/>
  <c r="AA1247" i="1"/>
  <c r="AB1247" i="1"/>
  <c r="Z1241" i="1"/>
  <c r="AQ1241" i="1" s="1"/>
  <c r="AA1241" i="1"/>
  <c r="AB1241" i="1"/>
  <c r="Z1235" i="1"/>
  <c r="AQ1235" i="1" s="1"/>
  <c r="AA1235" i="1"/>
  <c r="AB1235" i="1"/>
  <c r="Z1229" i="1"/>
  <c r="AQ1229" i="1" s="1"/>
  <c r="AA1229" i="1"/>
  <c r="AB1229" i="1"/>
  <c r="Z1223" i="1"/>
  <c r="AQ1223" i="1" s="1"/>
  <c r="AA1223" i="1"/>
  <c r="AB1223" i="1"/>
  <c r="Z1217" i="1"/>
  <c r="AQ1217" i="1" s="1"/>
  <c r="AA1217" i="1"/>
  <c r="AB1217" i="1"/>
  <c r="Z1211" i="1"/>
  <c r="AQ1211" i="1" s="1"/>
  <c r="AA1211" i="1"/>
  <c r="AB1211" i="1"/>
  <c r="Z1205" i="1"/>
  <c r="AQ1205" i="1" s="1"/>
  <c r="AA1205" i="1"/>
  <c r="AB1205" i="1"/>
  <c r="Z1199" i="1"/>
  <c r="AQ1199" i="1" s="1"/>
  <c r="AA1199" i="1"/>
  <c r="AB1199" i="1"/>
  <c r="Z1193" i="1"/>
  <c r="AQ1193" i="1" s="1"/>
  <c r="AA1193" i="1"/>
  <c r="AB1193" i="1"/>
  <c r="Z1187" i="1"/>
  <c r="AQ1187" i="1" s="1"/>
  <c r="AA1187" i="1"/>
  <c r="AB1187" i="1"/>
  <c r="Z1181" i="1"/>
  <c r="AQ1181" i="1" s="1"/>
  <c r="AA1181" i="1"/>
  <c r="AB1181" i="1"/>
  <c r="Z1175" i="1"/>
  <c r="AQ1175" i="1" s="1"/>
  <c r="AA1175" i="1"/>
  <c r="AB1175" i="1"/>
  <c r="Z1169" i="1"/>
  <c r="AQ1169" i="1" s="1"/>
  <c r="AA1169" i="1"/>
  <c r="AB1169" i="1"/>
  <c r="Z1163" i="1"/>
  <c r="AQ1163" i="1" s="1"/>
  <c r="AA1163" i="1"/>
  <c r="AB1163" i="1"/>
  <c r="Z1157" i="1"/>
  <c r="AQ1157" i="1" s="1"/>
  <c r="AA1157" i="1"/>
  <c r="AB1157" i="1"/>
  <c r="Z1152" i="1"/>
  <c r="AQ1152" i="1" s="1"/>
  <c r="AA1152" i="1"/>
  <c r="AB1152" i="1"/>
  <c r="Z1145" i="1"/>
  <c r="AQ1145" i="1" s="1"/>
  <c r="AA1145" i="1"/>
  <c r="AB1145" i="1"/>
  <c r="Z1139" i="1"/>
  <c r="AQ1139" i="1" s="1"/>
  <c r="AA1139" i="1"/>
  <c r="AB1139" i="1"/>
  <c r="Z1133" i="1"/>
  <c r="AQ1133" i="1" s="1"/>
  <c r="AA1133" i="1"/>
  <c r="AB1133" i="1"/>
  <c r="Z1127" i="1"/>
  <c r="AQ1127" i="1" s="1"/>
  <c r="AA1127" i="1"/>
  <c r="AB1127" i="1"/>
  <c r="AB1121" i="1"/>
  <c r="AA1121" i="1"/>
  <c r="Z1115" i="1"/>
  <c r="AQ1115" i="1" s="1"/>
  <c r="AA1115" i="1"/>
  <c r="AB1115" i="1"/>
  <c r="Z1109" i="1"/>
  <c r="AQ1109" i="1" s="1"/>
  <c r="AA1109" i="1"/>
  <c r="AB1109" i="1"/>
  <c r="AA1103" i="1"/>
  <c r="AB1103" i="1"/>
  <c r="Z1097" i="1"/>
  <c r="AQ1097" i="1" s="1"/>
  <c r="AA1097" i="1"/>
  <c r="AB1097" i="1"/>
  <c r="Z1091" i="1"/>
  <c r="AQ1091" i="1" s="1"/>
  <c r="AA1091" i="1"/>
  <c r="AB1091" i="1"/>
  <c r="Z1086" i="1"/>
  <c r="AQ1086" i="1" s="1"/>
  <c r="AA1086" i="1"/>
  <c r="AB1086" i="1"/>
  <c r="Z1079" i="1"/>
  <c r="AQ1079" i="1" s="1"/>
  <c r="AA1079" i="1"/>
  <c r="AB1079" i="1"/>
  <c r="AA1073" i="1"/>
  <c r="AB1073" i="1"/>
  <c r="Z1067" i="1"/>
  <c r="AQ1067" i="1" s="1"/>
  <c r="AA1067" i="1"/>
  <c r="AB1067" i="1"/>
  <c r="Z1061" i="1"/>
  <c r="AQ1061" i="1" s="1"/>
  <c r="AA1061" i="1"/>
  <c r="AB1061" i="1"/>
  <c r="Z1055" i="1"/>
  <c r="AQ1055" i="1" s="1"/>
  <c r="AA1055" i="1"/>
  <c r="AB1055" i="1"/>
  <c r="AA1049" i="1"/>
  <c r="AB1049" i="1"/>
  <c r="Z1043" i="1"/>
  <c r="AQ1043" i="1" s="1"/>
  <c r="AA1043" i="1"/>
  <c r="AB1043" i="1"/>
  <c r="Z1037" i="1"/>
  <c r="AQ1037" i="1" s="1"/>
  <c r="AA1037" i="1"/>
  <c r="AB1037" i="1"/>
  <c r="Z1031" i="1"/>
  <c r="AQ1031" i="1" s="1"/>
  <c r="AA1031" i="1"/>
  <c r="AB1031" i="1"/>
  <c r="Z1025" i="1"/>
  <c r="AQ1025" i="1" s="1"/>
  <c r="AA1025" i="1"/>
  <c r="AB1025" i="1"/>
  <c r="Z1019" i="1"/>
  <c r="AQ1019" i="1" s="1"/>
  <c r="AA1019" i="1"/>
  <c r="AB1019" i="1"/>
  <c r="Z1013" i="1"/>
  <c r="AQ1013" i="1" s="1"/>
  <c r="AA1013" i="1"/>
  <c r="AB1013" i="1"/>
  <c r="Z1007" i="1"/>
  <c r="AQ1007" i="1" s="1"/>
  <c r="AA1007" i="1"/>
  <c r="AB1007" i="1"/>
  <c r="Z1001" i="1"/>
  <c r="AQ1001" i="1" s="1"/>
  <c r="AA1001" i="1"/>
  <c r="AB1001" i="1"/>
  <c r="Z996" i="1"/>
  <c r="AQ996" i="1" s="1"/>
  <c r="AA996" i="1"/>
  <c r="AB996" i="1"/>
  <c r="Z989" i="1"/>
  <c r="AQ989" i="1" s="1"/>
  <c r="AA989" i="1"/>
  <c r="AB989" i="1"/>
  <c r="Z983" i="1"/>
  <c r="AQ983" i="1" s="1"/>
  <c r="AA983" i="1"/>
  <c r="AB983" i="1"/>
  <c r="Z977" i="1"/>
  <c r="AQ977" i="1" s="1"/>
  <c r="AA977" i="1"/>
  <c r="AB977" i="1"/>
  <c r="Z971" i="1"/>
  <c r="AQ971" i="1" s="1"/>
  <c r="AA971" i="1"/>
  <c r="AB971" i="1"/>
  <c r="Z965" i="1"/>
  <c r="AQ965" i="1" s="1"/>
  <c r="AA965" i="1"/>
  <c r="AB965" i="1"/>
  <c r="Z959" i="1"/>
  <c r="AQ959" i="1" s="1"/>
  <c r="AA959" i="1"/>
  <c r="AB959" i="1"/>
  <c r="Z954" i="1"/>
  <c r="AQ954" i="1" s="1"/>
  <c r="AA954" i="1"/>
  <c r="AB954" i="1"/>
  <c r="Z947" i="1"/>
  <c r="AQ947" i="1" s="1"/>
  <c r="AA947" i="1"/>
  <c r="AB947" i="1"/>
  <c r="Z942" i="1"/>
  <c r="AQ942" i="1" s="1"/>
  <c r="AA942" i="1"/>
  <c r="AB942" i="1"/>
  <c r="Z935" i="1"/>
  <c r="AQ935" i="1" s="1"/>
  <c r="AA935" i="1"/>
  <c r="AB935" i="1"/>
  <c r="Z929" i="1"/>
  <c r="AQ929" i="1" s="1"/>
  <c r="AA929" i="1"/>
  <c r="AB929" i="1"/>
  <c r="Z924" i="1"/>
  <c r="AQ924" i="1" s="1"/>
  <c r="AA924" i="1"/>
  <c r="AB924" i="1"/>
  <c r="Z917" i="1"/>
  <c r="AQ917" i="1" s="1"/>
  <c r="AA917" i="1"/>
  <c r="AB917" i="1"/>
  <c r="AA911" i="1"/>
  <c r="AB911" i="1"/>
  <c r="Z905" i="1"/>
  <c r="AQ905" i="1" s="1"/>
  <c r="AA905" i="1"/>
  <c r="AB905" i="1"/>
  <c r="Z899" i="1"/>
  <c r="AQ899" i="1" s="1"/>
  <c r="AA899" i="1"/>
  <c r="AB899" i="1"/>
  <c r="Z893" i="1"/>
  <c r="AQ893" i="1" s="1"/>
  <c r="AA893" i="1"/>
  <c r="AB893" i="1"/>
  <c r="Z887" i="1"/>
  <c r="AQ887" i="1" s="1"/>
  <c r="AA887" i="1"/>
  <c r="AB887" i="1"/>
  <c r="AA881" i="1"/>
  <c r="AB881" i="1"/>
  <c r="Z875" i="1"/>
  <c r="AQ875" i="1" s="1"/>
  <c r="AA875" i="1"/>
  <c r="AB875" i="1"/>
  <c r="Z868" i="1"/>
  <c r="AQ868" i="1" s="1"/>
  <c r="AA868" i="1"/>
  <c r="AB868" i="1"/>
  <c r="Z863" i="1"/>
  <c r="AQ863" i="1" s="1"/>
  <c r="AA863" i="1"/>
  <c r="AB863" i="1"/>
  <c r="Z857" i="1"/>
  <c r="AQ857" i="1" s="1"/>
  <c r="AA857" i="1"/>
  <c r="AB857" i="1"/>
  <c r="Z851" i="1"/>
  <c r="AQ851" i="1" s="1"/>
  <c r="AA851" i="1"/>
  <c r="AB851" i="1"/>
  <c r="Z845" i="1"/>
  <c r="AQ845" i="1" s="1"/>
  <c r="AA845" i="1"/>
  <c r="AB845" i="1"/>
  <c r="AA839" i="1"/>
  <c r="AB839" i="1"/>
  <c r="AA833" i="1"/>
  <c r="AB833" i="1"/>
  <c r="Z827" i="1"/>
  <c r="AQ827" i="1" s="1"/>
  <c r="AA827" i="1"/>
  <c r="AB827" i="1"/>
  <c r="Z821" i="1"/>
  <c r="AQ821" i="1" s="1"/>
  <c r="AA821" i="1"/>
  <c r="AB821" i="1"/>
  <c r="Z815" i="1"/>
  <c r="AQ815" i="1" s="1"/>
  <c r="AA815" i="1"/>
  <c r="AB815" i="1"/>
  <c r="AA809" i="1"/>
  <c r="AB809" i="1"/>
  <c r="Z803" i="1"/>
  <c r="AQ803" i="1" s="1"/>
  <c r="AA803" i="1"/>
  <c r="AB803" i="1"/>
  <c r="Z797" i="1"/>
  <c r="AQ797" i="1" s="1"/>
  <c r="AA797" i="1"/>
  <c r="AB797" i="1"/>
  <c r="Z791" i="1"/>
  <c r="AQ791" i="1" s="1"/>
  <c r="AA791" i="1"/>
  <c r="AB791" i="1"/>
  <c r="Z785" i="1"/>
  <c r="AQ785" i="1" s="1"/>
  <c r="AA785" i="1"/>
  <c r="AB785" i="1"/>
  <c r="Z779" i="1"/>
  <c r="AQ779" i="1" s="1"/>
  <c r="AA779" i="1"/>
  <c r="AB779" i="1"/>
  <c r="Z773" i="1"/>
  <c r="AQ773" i="1" s="1"/>
  <c r="AA773" i="1"/>
  <c r="AB773" i="1"/>
  <c r="AA767" i="1"/>
  <c r="AB767" i="1"/>
  <c r="Z761" i="1"/>
  <c r="AQ761" i="1" s="1"/>
  <c r="AA761" i="1"/>
  <c r="AB761" i="1"/>
  <c r="Z755" i="1"/>
  <c r="AQ755" i="1" s="1"/>
  <c r="AA755" i="1"/>
  <c r="AB755" i="1"/>
  <c r="Z749" i="1"/>
  <c r="AQ749" i="1" s="1"/>
  <c r="AA749" i="1"/>
  <c r="AB749" i="1"/>
  <c r="Z743" i="1"/>
  <c r="AQ743" i="1" s="1"/>
  <c r="AA743" i="1"/>
  <c r="AB743" i="1"/>
  <c r="Z737" i="1"/>
  <c r="AQ737" i="1" s="1"/>
  <c r="AA737" i="1"/>
  <c r="AB737" i="1"/>
  <c r="Z731" i="1"/>
  <c r="AQ731" i="1" s="1"/>
  <c r="AA731" i="1"/>
  <c r="AB731" i="1"/>
  <c r="Z725" i="1"/>
  <c r="AQ725" i="1" s="1"/>
  <c r="AA725" i="1"/>
  <c r="AB725" i="1"/>
  <c r="Z719" i="1"/>
  <c r="AQ719" i="1" s="1"/>
  <c r="AA719" i="1"/>
  <c r="AB719" i="1"/>
  <c r="Z713" i="1"/>
  <c r="AQ713" i="1" s="1"/>
  <c r="AA713" i="1"/>
  <c r="AB713" i="1"/>
  <c r="Z707" i="1"/>
  <c r="AQ707" i="1" s="1"/>
  <c r="AA707" i="1"/>
  <c r="AB707" i="1"/>
  <c r="Z701" i="1"/>
  <c r="AQ701" i="1" s="1"/>
  <c r="AA701" i="1"/>
  <c r="AB701" i="1"/>
  <c r="Z695" i="1"/>
  <c r="AQ695" i="1" s="1"/>
  <c r="AA695" i="1"/>
  <c r="AB695" i="1"/>
  <c r="AA689" i="1"/>
  <c r="AB689" i="1"/>
  <c r="Z683" i="1"/>
  <c r="AQ683" i="1" s="1"/>
  <c r="AA683" i="1"/>
  <c r="AB683" i="1"/>
  <c r="AA677" i="1"/>
  <c r="AB677" i="1"/>
  <c r="Z671" i="1"/>
  <c r="AQ671" i="1" s="1"/>
  <c r="AA671" i="1"/>
  <c r="AB671" i="1"/>
  <c r="AA665" i="1"/>
  <c r="AB665" i="1"/>
  <c r="Z659" i="1"/>
  <c r="AQ659" i="1" s="1"/>
  <c r="AA659" i="1"/>
  <c r="AB659" i="1"/>
  <c r="Z653" i="1"/>
  <c r="AQ653" i="1" s="1"/>
  <c r="AA653" i="1"/>
  <c r="AB653" i="1"/>
  <c r="Z646" i="1"/>
  <c r="AQ646" i="1" s="1"/>
  <c r="AA646" i="1"/>
  <c r="AB646" i="1"/>
  <c r="Z641" i="1"/>
  <c r="AQ641" i="1" s="1"/>
  <c r="AA641" i="1"/>
  <c r="AB641" i="1"/>
  <c r="Z635" i="1"/>
  <c r="AQ635" i="1" s="1"/>
  <c r="AA635" i="1"/>
  <c r="AB635" i="1"/>
  <c r="Z629" i="1"/>
  <c r="AQ629" i="1" s="1"/>
  <c r="AA629" i="1"/>
  <c r="AB629" i="1"/>
  <c r="AA623" i="1"/>
  <c r="AB623" i="1"/>
  <c r="Z617" i="1"/>
  <c r="AQ617" i="1" s="1"/>
  <c r="AA617" i="1"/>
  <c r="AB617" i="1"/>
  <c r="Z611" i="1"/>
  <c r="AQ611" i="1" s="1"/>
  <c r="AA611" i="1"/>
  <c r="AB611" i="1"/>
  <c r="Z605" i="1"/>
  <c r="AQ605" i="1" s="1"/>
  <c r="AA605" i="1"/>
  <c r="AB605" i="1"/>
  <c r="Z599" i="1"/>
  <c r="AQ599" i="1" s="1"/>
  <c r="AA599" i="1"/>
  <c r="AB599" i="1"/>
  <c r="AA593" i="1"/>
  <c r="AB593" i="1"/>
  <c r="Z587" i="1"/>
  <c r="AQ587" i="1" s="1"/>
  <c r="AA587" i="1"/>
  <c r="AB587" i="1"/>
  <c r="AA581" i="1"/>
  <c r="AB581" i="1"/>
  <c r="Z575" i="1"/>
  <c r="AQ575" i="1" s="1"/>
  <c r="AA575" i="1"/>
  <c r="AB575" i="1"/>
  <c r="Z569" i="1"/>
  <c r="AQ569" i="1" s="1"/>
  <c r="AA569" i="1"/>
  <c r="AB569" i="1"/>
  <c r="Z563" i="1"/>
  <c r="AQ563" i="1" s="1"/>
  <c r="AA563" i="1"/>
  <c r="AB563" i="1"/>
  <c r="Z557" i="1"/>
  <c r="AQ557" i="1" s="1"/>
  <c r="AA557" i="1"/>
  <c r="AB557" i="1"/>
  <c r="Z551" i="1"/>
  <c r="AQ551" i="1" s="1"/>
  <c r="AA551" i="1"/>
  <c r="AB551" i="1"/>
  <c r="Z545" i="1"/>
  <c r="AQ545" i="1" s="1"/>
  <c r="AA545" i="1"/>
  <c r="AB545" i="1"/>
  <c r="AA539" i="1"/>
  <c r="AB539" i="1"/>
  <c r="Z533" i="1"/>
  <c r="AQ533" i="1" s="1"/>
  <c r="AA533" i="1"/>
  <c r="AB533" i="1"/>
  <c r="Z527" i="1"/>
  <c r="AQ527" i="1" s="1"/>
  <c r="AA527" i="1"/>
  <c r="AB527" i="1"/>
  <c r="Z521" i="1"/>
  <c r="AQ521" i="1" s="1"/>
  <c r="AA521" i="1"/>
  <c r="AB521" i="1"/>
  <c r="Z516" i="1"/>
  <c r="AQ516" i="1" s="1"/>
  <c r="AA516" i="1"/>
  <c r="AB516" i="1"/>
  <c r="Z509" i="1"/>
  <c r="AQ509" i="1" s="1"/>
  <c r="AA509" i="1"/>
  <c r="AB509" i="1"/>
  <c r="AA503" i="1"/>
  <c r="AB503" i="1"/>
  <c r="Z497" i="1"/>
  <c r="AQ497" i="1" s="1"/>
  <c r="AA497" i="1"/>
  <c r="AB497" i="1"/>
  <c r="Z491" i="1"/>
  <c r="AQ491" i="1" s="1"/>
  <c r="AA491" i="1"/>
  <c r="AB491" i="1"/>
  <c r="Z485" i="1"/>
  <c r="AQ485" i="1" s="1"/>
  <c r="AA485" i="1"/>
  <c r="AB485" i="1"/>
  <c r="Z479" i="1"/>
  <c r="AQ479" i="1" s="1"/>
  <c r="AA479" i="1"/>
  <c r="AB479" i="1"/>
  <c r="AA473" i="1"/>
  <c r="AB473" i="1"/>
  <c r="Z467" i="1"/>
  <c r="AQ467" i="1" s="1"/>
  <c r="AA467" i="1"/>
  <c r="AB467" i="1"/>
  <c r="AA461" i="1"/>
  <c r="AB461" i="1"/>
  <c r="Z455" i="1"/>
  <c r="AQ455" i="1" s="1"/>
  <c r="AA455" i="1"/>
  <c r="AB455" i="1"/>
  <c r="AA449" i="1"/>
  <c r="AB449" i="1"/>
  <c r="Z443" i="1"/>
  <c r="AQ443" i="1" s="1"/>
  <c r="AA443" i="1"/>
  <c r="AB443" i="1"/>
  <c r="Z437" i="1"/>
  <c r="AQ437" i="1" s="1"/>
  <c r="AA437" i="1"/>
  <c r="AB437" i="1"/>
  <c r="Z431" i="1"/>
  <c r="AQ431" i="1" s="1"/>
  <c r="AA431" i="1"/>
  <c r="AB431" i="1"/>
  <c r="Z425" i="1"/>
  <c r="AQ425" i="1" s="1"/>
  <c r="AA425" i="1"/>
  <c r="AB425" i="1"/>
  <c r="AA419" i="1"/>
  <c r="AB419" i="1"/>
  <c r="Z413" i="1"/>
  <c r="AQ413" i="1" s="1"/>
  <c r="AA413" i="1"/>
  <c r="AB413" i="1"/>
  <c r="Z407" i="1"/>
  <c r="AQ407" i="1" s="1"/>
  <c r="AA407" i="1"/>
  <c r="AB407" i="1"/>
  <c r="AA401" i="1"/>
  <c r="AB401" i="1"/>
  <c r="Z395" i="1"/>
  <c r="AQ395" i="1" s="1"/>
  <c r="AA395" i="1"/>
  <c r="AB395" i="1"/>
  <c r="Z389" i="1"/>
  <c r="AQ389" i="1" s="1"/>
  <c r="AA389" i="1"/>
  <c r="AB389" i="1"/>
  <c r="Z383" i="1"/>
  <c r="AQ383" i="1" s="1"/>
  <c r="AA383" i="1"/>
  <c r="AB383" i="1"/>
  <c r="Z377" i="1"/>
  <c r="AQ377" i="1" s="1"/>
  <c r="AA377" i="1"/>
  <c r="AB377" i="1"/>
  <c r="AA371" i="1"/>
  <c r="AB371" i="1"/>
  <c r="Z365" i="1"/>
  <c r="AQ365" i="1" s="1"/>
  <c r="AA365" i="1"/>
  <c r="AB365" i="1"/>
  <c r="Z359" i="1"/>
  <c r="AQ359" i="1" s="1"/>
  <c r="AA359" i="1"/>
  <c r="AB359" i="1"/>
  <c r="Z353" i="1"/>
  <c r="AQ353" i="1" s="1"/>
  <c r="AA353" i="1"/>
  <c r="AB353" i="1"/>
  <c r="AA347" i="1"/>
  <c r="AB347" i="1"/>
  <c r="Z341" i="1"/>
  <c r="AQ341" i="1" s="1"/>
  <c r="AA341" i="1"/>
  <c r="AB341" i="1"/>
  <c r="Z335" i="1"/>
  <c r="AQ335" i="1" s="1"/>
  <c r="AA335" i="1"/>
  <c r="AB335" i="1"/>
  <c r="Z329" i="1"/>
  <c r="AQ329" i="1" s="1"/>
  <c r="AA329" i="1"/>
  <c r="AB329" i="1"/>
  <c r="Z323" i="1"/>
  <c r="AQ323" i="1" s="1"/>
  <c r="AA323" i="1"/>
  <c r="AB323" i="1"/>
  <c r="Z317" i="1"/>
  <c r="AQ317" i="1" s="1"/>
  <c r="AA317" i="1"/>
  <c r="AB317" i="1"/>
  <c r="Z311" i="1"/>
  <c r="AQ311" i="1" s="1"/>
  <c r="AA311" i="1"/>
  <c r="AB311" i="1"/>
  <c r="Z305" i="1"/>
  <c r="AQ305" i="1" s="1"/>
  <c r="AA305" i="1"/>
  <c r="AB305" i="1"/>
  <c r="AA299" i="1"/>
  <c r="AB299" i="1"/>
  <c r="Z293" i="1"/>
  <c r="AQ293" i="1" s="1"/>
  <c r="AA293" i="1"/>
  <c r="AB293" i="1"/>
  <c r="AA288" i="1"/>
  <c r="AB288" i="1"/>
  <c r="AA281" i="1"/>
  <c r="AB281" i="1"/>
  <c r="AA275" i="1"/>
  <c r="AB275" i="1"/>
  <c r="Z269" i="1"/>
  <c r="AQ269" i="1" s="1"/>
  <c r="AA269" i="1"/>
  <c r="AB269" i="1"/>
  <c r="Z259" i="1"/>
  <c r="AQ259" i="1" s="1"/>
  <c r="AA259" i="1"/>
  <c r="AB259" i="1"/>
  <c r="Z257" i="1"/>
  <c r="AQ257" i="1" s="1"/>
  <c r="AA257" i="1"/>
  <c r="AB257" i="1"/>
  <c r="Z251" i="1"/>
  <c r="AQ251" i="1" s="1"/>
  <c r="AA251" i="1"/>
  <c r="AB251" i="1"/>
  <c r="Z245" i="1"/>
  <c r="AQ245" i="1" s="1"/>
  <c r="AA245" i="1"/>
  <c r="AB245" i="1"/>
  <c r="Z239" i="1"/>
  <c r="AQ239" i="1" s="1"/>
  <c r="AA239" i="1"/>
  <c r="AB239" i="1"/>
  <c r="Z233" i="1"/>
  <c r="AQ233" i="1" s="1"/>
  <c r="AA233" i="1"/>
  <c r="AB233" i="1"/>
  <c r="Z227" i="1"/>
  <c r="AQ227" i="1" s="1"/>
  <c r="AA227" i="1"/>
  <c r="AB227" i="1"/>
  <c r="Z221" i="1"/>
  <c r="AQ221" i="1" s="1"/>
  <c r="AA221" i="1"/>
  <c r="AB221" i="1"/>
  <c r="Z216" i="1"/>
  <c r="AQ216" i="1" s="1"/>
  <c r="AA216" i="1"/>
  <c r="AB216" i="1"/>
  <c r="Z209" i="1"/>
  <c r="AQ209" i="1" s="1"/>
  <c r="AA209" i="1"/>
  <c r="AB209" i="1"/>
  <c r="Z203" i="1"/>
  <c r="AQ203" i="1" s="1"/>
  <c r="AA203" i="1"/>
  <c r="AB203" i="1"/>
  <c r="Z197" i="1"/>
  <c r="AQ197" i="1" s="1"/>
  <c r="AA197" i="1"/>
  <c r="AB197" i="1"/>
  <c r="Z191" i="1"/>
  <c r="AQ191" i="1" s="1"/>
  <c r="AA191" i="1"/>
  <c r="AB191" i="1"/>
  <c r="Z185" i="1"/>
  <c r="AQ185" i="1" s="1"/>
  <c r="AA185" i="1"/>
  <c r="AB185" i="1"/>
  <c r="Z179" i="1"/>
  <c r="AQ179" i="1" s="1"/>
  <c r="AA179" i="1"/>
  <c r="AB179" i="1"/>
  <c r="AA173" i="1"/>
  <c r="AB173" i="1"/>
  <c r="Z167" i="1"/>
  <c r="AQ167" i="1" s="1"/>
  <c r="AA167" i="1"/>
  <c r="AB167" i="1"/>
  <c r="Z162" i="1"/>
  <c r="AQ162" i="1" s="1"/>
  <c r="AA162" i="1"/>
  <c r="AB162" i="1"/>
  <c r="Z153" i="1"/>
  <c r="AQ153" i="1" s="1"/>
  <c r="AA153" i="1"/>
  <c r="AB153" i="1"/>
  <c r="Z149" i="1"/>
  <c r="AQ149" i="1" s="1"/>
  <c r="AA149" i="1"/>
  <c r="AB149" i="1"/>
  <c r="Z144" i="1"/>
  <c r="AQ144" i="1" s="1"/>
  <c r="AA144" i="1"/>
  <c r="AB144" i="1"/>
  <c r="Z125" i="1"/>
  <c r="AQ125" i="1" s="1"/>
  <c r="AA125" i="1"/>
  <c r="AB125" i="1"/>
  <c r="Z1314" i="1"/>
  <c r="AQ1314" i="1" s="1"/>
  <c r="AA1314" i="1"/>
  <c r="AB1314" i="1"/>
  <c r="Z1308" i="1"/>
  <c r="AQ1308" i="1" s="1"/>
  <c r="AA1308" i="1"/>
  <c r="AB1308" i="1"/>
  <c r="Z1302" i="1"/>
  <c r="AQ1302" i="1" s="1"/>
  <c r="AA1302" i="1"/>
  <c r="AB1302" i="1"/>
  <c r="Z1296" i="1"/>
  <c r="AQ1296" i="1" s="1"/>
  <c r="AA1296" i="1"/>
  <c r="AB1296" i="1"/>
  <c r="Z1290" i="1"/>
  <c r="AQ1290" i="1" s="1"/>
  <c r="AA1290" i="1"/>
  <c r="AB1290" i="1"/>
  <c r="AA1284" i="1"/>
  <c r="AB1284" i="1"/>
  <c r="Z1278" i="1"/>
  <c r="AQ1278" i="1" s="1"/>
  <c r="AA1278" i="1"/>
  <c r="AB1278" i="1"/>
  <c r="Z1272" i="1"/>
  <c r="AQ1272" i="1" s="1"/>
  <c r="AB1272" i="1"/>
  <c r="Z1266" i="1"/>
  <c r="AQ1266" i="1" s="1"/>
  <c r="AA1266" i="1"/>
  <c r="AB1266" i="1"/>
  <c r="Z1260" i="1"/>
  <c r="AQ1260" i="1" s="1"/>
  <c r="AA1260" i="1"/>
  <c r="AB1260" i="1"/>
  <c r="Z1255" i="1"/>
  <c r="AQ1255" i="1" s="1"/>
  <c r="AA1255" i="1"/>
  <c r="AB1255" i="1"/>
  <c r="Z1248" i="1"/>
  <c r="AQ1248" i="1" s="1"/>
  <c r="AA1248" i="1"/>
  <c r="AB1248" i="1"/>
  <c r="Z1242" i="1"/>
  <c r="AQ1242" i="1" s="1"/>
  <c r="AA1242" i="1"/>
  <c r="AB1242" i="1"/>
  <c r="Z1236" i="1"/>
  <c r="AQ1236" i="1" s="1"/>
  <c r="AB1236" i="1"/>
  <c r="Z1230" i="1"/>
  <c r="AQ1230" i="1" s="1"/>
  <c r="AA1230" i="1"/>
  <c r="AB1230" i="1"/>
  <c r="Z1224" i="1"/>
  <c r="AQ1224" i="1" s="1"/>
  <c r="AA1224" i="1"/>
  <c r="AB1224" i="1"/>
  <c r="Z1218" i="1"/>
  <c r="AQ1218" i="1" s="1"/>
  <c r="AA1218" i="1"/>
  <c r="AB1218" i="1"/>
  <c r="Z1212" i="1"/>
  <c r="AQ1212" i="1" s="1"/>
  <c r="AA1212" i="1"/>
  <c r="AB1212" i="1"/>
  <c r="Z1206" i="1"/>
  <c r="AQ1206" i="1" s="1"/>
  <c r="AA1206" i="1"/>
  <c r="AB1206" i="1"/>
  <c r="Z1200" i="1"/>
  <c r="AQ1200" i="1" s="1"/>
  <c r="AA1200" i="1"/>
  <c r="AB1200" i="1"/>
  <c r="Z1194" i="1"/>
  <c r="AQ1194" i="1" s="1"/>
  <c r="AA1194" i="1"/>
  <c r="AB1194" i="1"/>
  <c r="Z1188" i="1"/>
  <c r="AQ1188" i="1" s="1"/>
  <c r="AA1188" i="1"/>
  <c r="AB1188" i="1"/>
  <c r="Z1182" i="1"/>
  <c r="AQ1182" i="1" s="1"/>
  <c r="AA1182" i="1"/>
  <c r="AB1182" i="1"/>
  <c r="Z1176" i="1"/>
  <c r="AQ1176" i="1" s="1"/>
  <c r="AA1176" i="1"/>
  <c r="AB1176" i="1"/>
  <c r="Z1170" i="1"/>
  <c r="AQ1170" i="1" s="1"/>
  <c r="AA1170" i="1"/>
  <c r="AB1170" i="1"/>
  <c r="Z1164" i="1"/>
  <c r="AQ1164" i="1" s="1"/>
  <c r="AB1164" i="1"/>
  <c r="AA1158" i="1"/>
  <c r="AB1158" i="1"/>
  <c r="Z1151" i="1"/>
  <c r="AQ1151" i="1" s="1"/>
  <c r="AA1151" i="1"/>
  <c r="AB1151" i="1"/>
  <c r="Z1146" i="1"/>
  <c r="AQ1146" i="1" s="1"/>
  <c r="AA1146" i="1"/>
  <c r="AB1146" i="1"/>
  <c r="Z1140" i="1"/>
  <c r="AQ1140" i="1" s="1"/>
  <c r="AA1140" i="1"/>
  <c r="AB1140" i="1"/>
  <c r="Z1134" i="1"/>
  <c r="AQ1134" i="1" s="1"/>
  <c r="AA1134" i="1"/>
  <c r="AB1134" i="1"/>
  <c r="Z1128" i="1"/>
  <c r="AQ1128" i="1" s="1"/>
  <c r="AA1128" i="1"/>
  <c r="AB1128" i="1"/>
  <c r="Z1122" i="1"/>
  <c r="AQ1122" i="1" s="1"/>
  <c r="AA1122" i="1"/>
  <c r="AB1122" i="1"/>
  <c r="Z1116" i="1"/>
  <c r="AQ1116" i="1" s="1"/>
  <c r="AA1116" i="1"/>
  <c r="AB1116" i="1"/>
  <c r="Z1110" i="1"/>
  <c r="AQ1110" i="1" s="1"/>
  <c r="AA1110" i="1"/>
  <c r="AB1110" i="1"/>
  <c r="Z1104" i="1"/>
  <c r="AQ1104" i="1" s="1"/>
  <c r="AA1104" i="1"/>
  <c r="AB1104" i="1"/>
  <c r="AA1098" i="1"/>
  <c r="AB1098" i="1"/>
  <c r="Z1092" i="1"/>
  <c r="AQ1092" i="1" s="1"/>
  <c r="AB1092" i="1"/>
  <c r="AA1092" i="1"/>
  <c r="Z1084" i="1"/>
  <c r="AQ1084" i="1" s="1"/>
  <c r="AB1084" i="1"/>
  <c r="Z1080" i="1"/>
  <c r="AQ1080" i="1" s="1"/>
  <c r="AA1080" i="1"/>
  <c r="AB1080" i="1"/>
  <c r="Z1074" i="1"/>
  <c r="AQ1074" i="1" s="1"/>
  <c r="AA1074" i="1"/>
  <c r="AB1074" i="1"/>
  <c r="AA1068" i="1"/>
  <c r="AB1068" i="1"/>
  <c r="Z1062" i="1"/>
  <c r="AQ1062" i="1" s="1"/>
  <c r="AA1062" i="1"/>
  <c r="AB1062" i="1"/>
  <c r="Z1056" i="1"/>
  <c r="AQ1056" i="1" s="1"/>
  <c r="AA1056" i="1"/>
  <c r="AB1056" i="1"/>
  <c r="Z1050" i="1"/>
  <c r="AQ1050" i="1" s="1"/>
  <c r="AA1050" i="1"/>
  <c r="AB1050" i="1"/>
  <c r="Z1045" i="1"/>
  <c r="AQ1045" i="1" s="1"/>
  <c r="AA1045" i="1"/>
  <c r="AB1045" i="1"/>
  <c r="Z1038" i="1"/>
  <c r="AQ1038" i="1" s="1"/>
  <c r="AA1038" i="1"/>
  <c r="AB1038" i="1"/>
  <c r="Z1032" i="1"/>
  <c r="AQ1032" i="1" s="1"/>
  <c r="AA1032" i="1"/>
  <c r="AB1032" i="1"/>
  <c r="AA1026" i="1"/>
  <c r="AB1026" i="1"/>
  <c r="Z1020" i="1"/>
  <c r="AQ1020" i="1" s="1"/>
  <c r="AA1020" i="1"/>
  <c r="AB1020" i="1"/>
  <c r="Z1014" i="1"/>
  <c r="AQ1014" i="1" s="1"/>
  <c r="AA1014" i="1"/>
  <c r="AB1014" i="1"/>
  <c r="Z1008" i="1"/>
  <c r="AQ1008" i="1" s="1"/>
  <c r="AA1008" i="1"/>
  <c r="AB1008" i="1"/>
  <c r="Z1002" i="1"/>
  <c r="AQ1002" i="1" s="1"/>
  <c r="AA1002" i="1"/>
  <c r="AB1002" i="1"/>
  <c r="Z997" i="1"/>
  <c r="AQ997" i="1" s="1"/>
  <c r="AA997" i="1"/>
  <c r="AB997" i="1"/>
  <c r="Z990" i="1"/>
  <c r="AQ990" i="1" s="1"/>
  <c r="AA990" i="1"/>
  <c r="AB990" i="1"/>
  <c r="Z984" i="1"/>
  <c r="AQ984" i="1" s="1"/>
  <c r="AA984" i="1"/>
  <c r="AB984" i="1"/>
  <c r="Z978" i="1"/>
  <c r="AQ978" i="1" s="1"/>
  <c r="AA978" i="1"/>
  <c r="AB978" i="1"/>
  <c r="Z972" i="1"/>
  <c r="AQ972" i="1" s="1"/>
  <c r="AA972" i="1"/>
  <c r="AB972" i="1"/>
  <c r="Z966" i="1"/>
  <c r="AQ966" i="1" s="1"/>
  <c r="AA966" i="1"/>
  <c r="AB966" i="1"/>
  <c r="AA960" i="1"/>
  <c r="AB960" i="1"/>
  <c r="Z950" i="1"/>
  <c r="AQ950" i="1" s="1"/>
  <c r="AA950" i="1"/>
  <c r="AB950" i="1"/>
  <c r="Z948" i="1"/>
  <c r="AQ948" i="1" s="1"/>
  <c r="AA948" i="1"/>
  <c r="AB948" i="1"/>
  <c r="Z939" i="1"/>
  <c r="AQ939" i="1" s="1"/>
  <c r="AA939" i="1"/>
  <c r="AB939" i="1"/>
  <c r="Z936" i="1"/>
  <c r="AQ936" i="1" s="1"/>
  <c r="AA936" i="1"/>
  <c r="AB936" i="1"/>
  <c r="Z930" i="1"/>
  <c r="AQ930" i="1" s="1"/>
  <c r="AA930" i="1"/>
  <c r="AB930" i="1"/>
  <c r="AA925" i="1"/>
  <c r="AB925" i="1"/>
  <c r="Z918" i="1"/>
  <c r="AQ918" i="1" s="1"/>
  <c r="AA918" i="1"/>
  <c r="AB918" i="1"/>
  <c r="Z912" i="1"/>
  <c r="AQ912" i="1" s="1"/>
  <c r="AA912" i="1"/>
  <c r="AB912" i="1"/>
  <c r="Z906" i="1"/>
  <c r="AQ906" i="1" s="1"/>
  <c r="AA906" i="1"/>
  <c r="Z900" i="1"/>
  <c r="AQ900" i="1" s="1"/>
  <c r="AA900" i="1"/>
  <c r="Z896" i="1"/>
  <c r="AQ896" i="1" s="1"/>
  <c r="AA896" i="1"/>
  <c r="Z888" i="1"/>
  <c r="AQ888" i="1" s="1"/>
  <c r="AA888" i="1"/>
  <c r="AB888" i="1"/>
  <c r="Z882" i="1"/>
  <c r="AQ882" i="1" s="1"/>
  <c r="AA882" i="1"/>
  <c r="Z876" i="1"/>
  <c r="AQ876" i="1" s="1"/>
  <c r="AA876" i="1"/>
  <c r="AB876" i="1"/>
  <c r="Z870" i="1"/>
  <c r="AQ870" i="1" s="1"/>
  <c r="AA870" i="1"/>
  <c r="Z864" i="1"/>
  <c r="AQ864" i="1" s="1"/>
  <c r="AA864" i="1"/>
  <c r="Z859" i="1"/>
  <c r="AQ859" i="1" s="1"/>
  <c r="AA859" i="1"/>
  <c r="AA852" i="1"/>
  <c r="AB852" i="1"/>
  <c r="Z846" i="1"/>
  <c r="AQ846" i="1" s="1"/>
  <c r="AA846" i="1"/>
  <c r="AB846" i="1"/>
  <c r="Z840" i="1"/>
  <c r="AQ840" i="1" s="1"/>
  <c r="AA840" i="1"/>
  <c r="AB840" i="1"/>
  <c r="Z834" i="1"/>
  <c r="AQ834" i="1" s="1"/>
  <c r="AA834" i="1"/>
  <c r="Z828" i="1"/>
  <c r="AQ828" i="1" s="1"/>
  <c r="AA828" i="1"/>
  <c r="AA822" i="1"/>
  <c r="AB822" i="1"/>
  <c r="Z816" i="1"/>
  <c r="AQ816" i="1" s="1"/>
  <c r="AA816" i="1"/>
  <c r="AB816" i="1"/>
  <c r="Z810" i="1"/>
  <c r="AQ810" i="1" s="1"/>
  <c r="AA810" i="1"/>
  <c r="AB810" i="1"/>
  <c r="Z804" i="1"/>
  <c r="AQ804" i="1" s="1"/>
  <c r="AA804" i="1"/>
  <c r="AB804" i="1"/>
  <c r="Z798" i="1"/>
  <c r="AQ798" i="1" s="1"/>
  <c r="AA798" i="1"/>
  <c r="Z792" i="1"/>
  <c r="AQ792" i="1" s="1"/>
  <c r="AA792" i="1"/>
  <c r="Z786" i="1"/>
  <c r="AQ786" i="1" s="1"/>
  <c r="AA786" i="1"/>
  <c r="AB786" i="1"/>
  <c r="Z780" i="1"/>
  <c r="AQ780" i="1" s="1"/>
  <c r="AA780" i="1"/>
  <c r="AB780" i="1"/>
  <c r="Z774" i="1"/>
  <c r="AQ774" i="1" s="1"/>
  <c r="AA774" i="1"/>
  <c r="AB774" i="1"/>
  <c r="Z768" i="1"/>
  <c r="AQ768" i="1" s="1"/>
  <c r="AA768" i="1"/>
  <c r="AB768" i="1"/>
  <c r="Z762" i="1"/>
  <c r="AQ762" i="1" s="1"/>
  <c r="AA762" i="1"/>
  <c r="Z750" i="1"/>
  <c r="AQ750" i="1" s="1"/>
  <c r="AA750" i="1"/>
  <c r="AB750" i="1"/>
  <c r="Z744" i="1"/>
  <c r="AQ744" i="1" s="1"/>
  <c r="AA744" i="1"/>
  <c r="AB744" i="1"/>
  <c r="Z738" i="1"/>
  <c r="AQ738" i="1" s="1"/>
  <c r="AA738" i="1"/>
  <c r="AB738" i="1"/>
  <c r="AA732" i="1"/>
  <c r="AB732" i="1"/>
  <c r="Z726" i="1"/>
  <c r="AQ726" i="1" s="1"/>
  <c r="AA726" i="1"/>
  <c r="Z720" i="1"/>
  <c r="AQ720" i="1" s="1"/>
  <c r="AA720" i="1"/>
  <c r="Z714" i="1"/>
  <c r="AQ714" i="1" s="1"/>
  <c r="AA714" i="1"/>
  <c r="AB714" i="1"/>
  <c r="Z708" i="1"/>
  <c r="AQ708" i="1" s="1"/>
  <c r="AA708" i="1"/>
  <c r="AB708" i="1"/>
  <c r="Z702" i="1"/>
  <c r="AQ702" i="1" s="1"/>
  <c r="AA702" i="1"/>
  <c r="AB702" i="1"/>
  <c r="AA696" i="1"/>
  <c r="AB696" i="1"/>
  <c r="Z678" i="1"/>
  <c r="AQ678" i="1" s="1"/>
  <c r="AA678" i="1"/>
  <c r="AB678" i="1"/>
  <c r="Z672" i="1"/>
  <c r="AQ672" i="1" s="1"/>
  <c r="AA672" i="1"/>
  <c r="AB672" i="1"/>
  <c r="Z666" i="1"/>
  <c r="AQ666" i="1" s="1"/>
  <c r="AA666" i="1"/>
  <c r="AB666" i="1"/>
  <c r="Z660" i="1"/>
  <c r="AQ660" i="1" s="1"/>
  <c r="AA660" i="1"/>
  <c r="AB660" i="1"/>
  <c r="Z654" i="1"/>
  <c r="AQ654" i="1" s="1"/>
  <c r="AA654" i="1"/>
  <c r="Z648" i="1"/>
  <c r="AQ648" i="1" s="1"/>
  <c r="AA648" i="1"/>
  <c r="Z642" i="1"/>
  <c r="AQ642" i="1" s="1"/>
  <c r="AA642" i="1"/>
  <c r="AB642" i="1"/>
  <c r="Z636" i="1"/>
  <c r="AQ636" i="1" s="1"/>
  <c r="AA636" i="1"/>
  <c r="AB636" i="1"/>
  <c r="Z630" i="1"/>
  <c r="AQ630" i="1" s="1"/>
  <c r="AA630" i="1"/>
  <c r="AB630" i="1"/>
  <c r="Z624" i="1"/>
  <c r="AQ624" i="1" s="1"/>
  <c r="AA624" i="1"/>
  <c r="AB624" i="1"/>
  <c r="Z618" i="1"/>
  <c r="AQ618" i="1" s="1"/>
  <c r="AA618" i="1"/>
  <c r="Z612" i="1"/>
  <c r="AQ612" i="1" s="1"/>
  <c r="AA612" i="1"/>
  <c r="Z606" i="1"/>
  <c r="AQ606" i="1" s="1"/>
  <c r="AA606" i="1"/>
  <c r="AB606" i="1"/>
  <c r="AA600" i="1"/>
  <c r="AB600" i="1"/>
  <c r="Z594" i="1"/>
  <c r="AQ594" i="1" s="1"/>
  <c r="AA594" i="1"/>
  <c r="AB594" i="1"/>
  <c r="Z588" i="1"/>
  <c r="AQ588" i="1" s="1"/>
  <c r="AA588" i="1"/>
  <c r="AB588" i="1"/>
  <c r="Z582" i="1"/>
  <c r="AQ582" i="1" s="1"/>
  <c r="AA582" i="1"/>
  <c r="AA576" i="1"/>
  <c r="AB576" i="1"/>
  <c r="AA570" i="1"/>
  <c r="AB570" i="1"/>
  <c r="Z564" i="1"/>
  <c r="AQ564" i="1" s="1"/>
  <c r="AA564" i="1"/>
  <c r="AB564" i="1"/>
  <c r="Z558" i="1"/>
  <c r="AQ558" i="1" s="1"/>
  <c r="AA558" i="1"/>
  <c r="AB558" i="1"/>
  <c r="Z552" i="1"/>
  <c r="AQ552" i="1" s="1"/>
  <c r="AA552" i="1"/>
  <c r="AB552" i="1"/>
  <c r="Z546" i="1"/>
  <c r="AQ546" i="1" s="1"/>
  <c r="AA546" i="1"/>
  <c r="AB546" i="1"/>
  <c r="Z540" i="1"/>
  <c r="AQ540" i="1" s="1"/>
  <c r="AA540" i="1"/>
  <c r="AB540" i="1"/>
  <c r="Z534" i="1"/>
  <c r="AQ534" i="1" s="1"/>
  <c r="AA534" i="1"/>
  <c r="AB534" i="1"/>
  <c r="Z528" i="1"/>
  <c r="AQ528" i="1" s="1"/>
  <c r="AA528" i="1"/>
  <c r="AB528" i="1"/>
  <c r="Z522" i="1"/>
  <c r="AQ522" i="1" s="1"/>
  <c r="AA522" i="1"/>
  <c r="AB522" i="1"/>
  <c r="AA515" i="1"/>
  <c r="AB515" i="1"/>
  <c r="Z510" i="1"/>
  <c r="AQ510" i="1" s="1"/>
  <c r="AA510" i="1"/>
  <c r="AB510" i="1"/>
  <c r="Z504" i="1"/>
  <c r="AQ504" i="1" s="1"/>
  <c r="AA504" i="1"/>
  <c r="Z498" i="1"/>
  <c r="AQ498" i="1" s="1"/>
  <c r="AA498" i="1"/>
  <c r="AB498" i="1"/>
  <c r="Z492" i="1"/>
  <c r="AQ492" i="1" s="1"/>
  <c r="AA492" i="1"/>
  <c r="AB492" i="1"/>
  <c r="Z486" i="1"/>
  <c r="AQ486" i="1" s="1"/>
  <c r="AA486" i="1"/>
  <c r="Z480" i="1"/>
  <c r="AQ480" i="1" s="1"/>
  <c r="AA480" i="1"/>
  <c r="AB480" i="1"/>
  <c r="Z474" i="1"/>
  <c r="AQ474" i="1" s="1"/>
  <c r="AA474" i="1"/>
  <c r="AB474" i="1"/>
  <c r="Z468" i="1"/>
  <c r="AQ468" i="1" s="1"/>
  <c r="AA468" i="1"/>
  <c r="Z462" i="1"/>
  <c r="AQ462" i="1" s="1"/>
  <c r="AA462" i="1"/>
  <c r="AB462" i="1"/>
  <c r="Z456" i="1"/>
  <c r="AQ456" i="1" s="1"/>
  <c r="AA456" i="1"/>
  <c r="AB456" i="1"/>
  <c r="Z444" i="1"/>
  <c r="AQ444" i="1" s="1"/>
  <c r="AA444" i="1"/>
  <c r="AB444" i="1"/>
  <c r="Z438" i="1"/>
  <c r="AQ438" i="1" s="1"/>
  <c r="AA438" i="1"/>
  <c r="AB438" i="1"/>
  <c r="Z426" i="1"/>
  <c r="AQ426" i="1" s="1"/>
  <c r="AA426" i="1"/>
  <c r="AB426" i="1"/>
  <c r="Z420" i="1"/>
  <c r="AQ420" i="1" s="1"/>
  <c r="AA420" i="1"/>
  <c r="AB420" i="1"/>
  <c r="Z414" i="1"/>
  <c r="AQ414" i="1" s="1"/>
  <c r="AA414" i="1"/>
  <c r="Z408" i="1"/>
  <c r="AQ408" i="1" s="1"/>
  <c r="AA408" i="1"/>
  <c r="AB408" i="1"/>
  <c r="AA402" i="1"/>
  <c r="AB402" i="1"/>
  <c r="Z396" i="1"/>
  <c r="AQ396" i="1" s="1"/>
  <c r="AA396" i="1"/>
  <c r="Z390" i="1"/>
  <c r="AQ390" i="1" s="1"/>
  <c r="AA390" i="1"/>
  <c r="AB390" i="1"/>
  <c r="Z384" i="1"/>
  <c r="AQ384" i="1" s="1"/>
  <c r="AA384" i="1"/>
  <c r="AB384" i="1"/>
  <c r="Z378" i="1"/>
  <c r="AQ378" i="1" s="1"/>
  <c r="AA378" i="1"/>
  <c r="Z372" i="1"/>
  <c r="AQ372" i="1" s="1"/>
  <c r="AA372" i="1"/>
  <c r="AB372" i="1"/>
  <c r="Z366" i="1"/>
  <c r="AQ366" i="1" s="1"/>
  <c r="AA366" i="1"/>
  <c r="AB366" i="1"/>
  <c r="Z360" i="1"/>
  <c r="AQ360" i="1" s="1"/>
  <c r="AA360" i="1"/>
  <c r="Z354" i="1"/>
  <c r="AQ354" i="1" s="1"/>
  <c r="AA354" i="1"/>
  <c r="AB354" i="1"/>
  <c r="Z348" i="1"/>
  <c r="AQ348" i="1" s="1"/>
  <c r="AA348" i="1"/>
  <c r="AB348" i="1"/>
  <c r="Z342" i="1"/>
  <c r="AQ342" i="1" s="1"/>
  <c r="AA342" i="1"/>
  <c r="Z336" i="1"/>
  <c r="AQ336" i="1" s="1"/>
  <c r="AA336" i="1"/>
  <c r="AB336" i="1"/>
  <c r="Z330" i="1"/>
  <c r="AQ330" i="1" s="1"/>
  <c r="AA330" i="1"/>
  <c r="AB330" i="1"/>
  <c r="AA318" i="1"/>
  <c r="AB318" i="1"/>
  <c r="AA312" i="1"/>
  <c r="AB312" i="1"/>
  <c r="Z306" i="1"/>
  <c r="AQ306" i="1" s="1"/>
  <c r="AA306" i="1"/>
  <c r="AA300" i="1"/>
  <c r="AB300" i="1"/>
  <c r="AA294" i="1"/>
  <c r="AB294" i="1"/>
  <c r="Z289" i="1"/>
  <c r="AQ289" i="1" s="1"/>
  <c r="AA289" i="1"/>
  <c r="Z282" i="1"/>
  <c r="AQ282" i="1" s="1"/>
  <c r="AA282" i="1"/>
  <c r="AB282" i="1"/>
  <c r="Z276" i="1"/>
  <c r="AQ276" i="1" s="1"/>
  <c r="AA276" i="1"/>
  <c r="AB276" i="1"/>
  <c r="Z264" i="1"/>
  <c r="AQ264" i="1" s="1"/>
  <c r="AA264" i="1"/>
  <c r="AB264" i="1"/>
  <c r="Z258" i="1"/>
  <c r="AQ258" i="1" s="1"/>
  <c r="AA258" i="1"/>
  <c r="AB258" i="1"/>
  <c r="Z252" i="1"/>
  <c r="AQ252" i="1" s="1"/>
  <c r="AA252" i="1"/>
  <c r="AA246" i="1"/>
  <c r="AB246" i="1"/>
  <c r="AA240" i="1"/>
  <c r="AB240" i="1"/>
  <c r="Z234" i="1"/>
  <c r="AQ234" i="1" s="1"/>
  <c r="AA234" i="1"/>
  <c r="Z228" i="1"/>
  <c r="AQ228" i="1" s="1"/>
  <c r="AA228" i="1"/>
  <c r="AB228" i="1"/>
  <c r="Z222" i="1"/>
  <c r="AQ222" i="1" s="1"/>
  <c r="AA222" i="1"/>
  <c r="AB222" i="1"/>
  <c r="Z212" i="1"/>
  <c r="AQ212" i="1" s="1"/>
  <c r="AA212" i="1"/>
  <c r="Z210" i="1"/>
  <c r="AQ210" i="1" s="1"/>
  <c r="AA210" i="1"/>
  <c r="AB210" i="1"/>
  <c r="Z204" i="1"/>
  <c r="AQ204" i="1" s="1"/>
  <c r="AA204" i="1"/>
  <c r="AB204" i="1"/>
  <c r="Z198" i="1"/>
  <c r="AQ198" i="1" s="1"/>
  <c r="AA198" i="1"/>
  <c r="Z192" i="1"/>
  <c r="AQ192" i="1" s="1"/>
  <c r="AA192" i="1"/>
  <c r="AB192" i="1"/>
  <c r="Z186" i="1"/>
  <c r="AQ186" i="1" s="1"/>
  <c r="AA186" i="1"/>
  <c r="AB186" i="1"/>
  <c r="AA174" i="1"/>
  <c r="AB174" i="1"/>
  <c r="Z168" i="1"/>
  <c r="AQ168" i="1" s="1"/>
  <c r="AA168" i="1"/>
  <c r="AB168" i="1"/>
  <c r="Z156" i="1"/>
  <c r="AQ156" i="1" s="1"/>
  <c r="AA156" i="1"/>
  <c r="AB156" i="1"/>
  <c r="Z150" i="1"/>
  <c r="AQ150" i="1" s="1"/>
  <c r="AA150" i="1"/>
  <c r="AB150" i="1"/>
  <c r="Z143" i="1"/>
  <c r="AQ143" i="1" s="1"/>
  <c r="AA143" i="1"/>
  <c r="Z138" i="1"/>
  <c r="AQ138" i="1" s="1"/>
  <c r="AA138" i="1"/>
  <c r="AB138" i="1"/>
  <c r="Z126" i="1"/>
  <c r="AQ126" i="1" s="1"/>
  <c r="AA126" i="1"/>
  <c r="AB126" i="1"/>
  <c r="AA120" i="1"/>
  <c r="AB120" i="1"/>
  <c r="Z114" i="1"/>
  <c r="AQ114" i="1" s="1"/>
  <c r="AA114" i="1"/>
  <c r="AB114" i="1"/>
  <c r="Z107" i="1"/>
  <c r="AQ107" i="1" s="1"/>
  <c r="AA107" i="1"/>
  <c r="AB107" i="1"/>
  <c r="Z102" i="1"/>
  <c r="AQ102" i="1" s="1"/>
  <c r="AA102" i="1"/>
  <c r="AB102" i="1"/>
  <c r="Z96" i="1"/>
  <c r="AQ96" i="1" s="1"/>
  <c r="AA96" i="1"/>
  <c r="AB96" i="1"/>
  <c r="AA90" i="1"/>
  <c r="AB90" i="1"/>
  <c r="AA84" i="1"/>
  <c r="AB84" i="1"/>
  <c r="Z78" i="1"/>
  <c r="AQ78" i="1" s="1"/>
  <c r="AA78" i="1"/>
  <c r="AB78" i="1"/>
  <c r="Z72" i="1"/>
  <c r="AQ72" i="1" s="1"/>
  <c r="AA72" i="1"/>
  <c r="AB72" i="1"/>
  <c r="AA67" i="1"/>
  <c r="AB67" i="1"/>
  <c r="Z60" i="1"/>
  <c r="AQ60" i="1" s="1"/>
  <c r="AA60" i="1"/>
  <c r="AB60" i="1"/>
  <c r="Z54" i="1"/>
  <c r="AQ54" i="1" s="1"/>
  <c r="AA54" i="1"/>
  <c r="AB54" i="1"/>
  <c r="Z48" i="1"/>
  <c r="AQ48" i="1" s="1"/>
  <c r="AA48" i="1"/>
  <c r="AB48" i="1"/>
  <c r="Z42" i="1"/>
  <c r="AQ42" i="1" s="1"/>
  <c r="AA42" i="1"/>
  <c r="AB42" i="1"/>
  <c r="Z36" i="1"/>
  <c r="AQ36" i="1" s="1"/>
  <c r="AA36" i="1"/>
  <c r="AB36" i="1"/>
  <c r="Z30" i="1"/>
  <c r="AQ30" i="1" s="1"/>
  <c r="AA30" i="1"/>
  <c r="AB30" i="1"/>
  <c r="AA24" i="1"/>
  <c r="AB24" i="1"/>
  <c r="AA18" i="1"/>
  <c r="AB18" i="1"/>
  <c r="AA12" i="1"/>
  <c r="AB12" i="1"/>
  <c r="Z6" i="1"/>
  <c r="AQ6" i="1" s="1"/>
  <c r="AA6" i="1"/>
  <c r="AB6" i="1"/>
  <c r="AB1243" i="1"/>
  <c r="AB1207" i="1"/>
  <c r="AB1189" i="1"/>
  <c r="AB1117" i="1"/>
  <c r="AB814" i="1"/>
  <c r="AB792" i="1"/>
  <c r="AB771" i="1"/>
  <c r="AB684" i="1"/>
  <c r="AB574" i="1"/>
  <c r="AB504" i="1"/>
  <c r="AB450" i="1"/>
  <c r="AB396" i="1"/>
  <c r="AB342" i="1"/>
  <c r="AB289" i="1"/>
  <c r="AB234" i="1"/>
  <c r="AB180" i="1"/>
  <c r="AA1243" i="1"/>
  <c r="AA1129" i="1"/>
  <c r="AA943" i="1"/>
  <c r="Z119" i="1"/>
  <c r="AQ119" i="1" s="1"/>
  <c r="AA119" i="1"/>
  <c r="AB119" i="1"/>
  <c r="Z113" i="1"/>
  <c r="AQ113" i="1" s="1"/>
  <c r="AA113" i="1"/>
  <c r="AB113" i="1"/>
  <c r="Z104" i="1"/>
  <c r="AQ104" i="1" s="1"/>
  <c r="AA104" i="1"/>
  <c r="AB104" i="1"/>
  <c r="Z101" i="1"/>
  <c r="AQ101" i="1" s="1"/>
  <c r="AA101" i="1"/>
  <c r="AB101" i="1"/>
  <c r="Z95" i="1"/>
  <c r="AQ95" i="1" s="1"/>
  <c r="AA95" i="1"/>
  <c r="AB95" i="1"/>
  <c r="Z89" i="1"/>
  <c r="AQ89" i="1" s="1"/>
  <c r="AA89" i="1"/>
  <c r="AB89" i="1"/>
  <c r="Z83" i="1"/>
  <c r="AQ83" i="1" s="1"/>
  <c r="AA83" i="1"/>
  <c r="AB83" i="1"/>
  <c r="Z77" i="1"/>
  <c r="AQ77" i="1" s="1"/>
  <c r="AA77" i="1"/>
  <c r="AB77" i="1"/>
  <c r="Z71" i="1"/>
  <c r="AQ71" i="1" s="1"/>
  <c r="AA71" i="1"/>
  <c r="AB71" i="1"/>
  <c r="AA66" i="1"/>
  <c r="AB66" i="1"/>
  <c r="Z59" i="1"/>
  <c r="AQ59" i="1" s="1"/>
  <c r="AA59" i="1"/>
  <c r="AB59" i="1"/>
  <c r="Z53" i="1"/>
  <c r="AQ53" i="1" s="1"/>
  <c r="AA53" i="1"/>
  <c r="AB53" i="1"/>
  <c r="Z47" i="1"/>
  <c r="AQ47" i="1" s="1"/>
  <c r="AA47" i="1"/>
  <c r="AB47" i="1"/>
  <c r="Z41" i="1"/>
  <c r="AQ41" i="1" s="1"/>
  <c r="AA41" i="1"/>
  <c r="AB41" i="1"/>
  <c r="Z35" i="1"/>
  <c r="AQ35" i="1" s="1"/>
  <c r="AA35" i="1"/>
  <c r="AB35" i="1"/>
  <c r="Z29" i="1"/>
  <c r="AQ29" i="1" s="1"/>
  <c r="AA29" i="1"/>
  <c r="AB29" i="1"/>
  <c r="AA23" i="1"/>
  <c r="AB23" i="1"/>
  <c r="Z17" i="1"/>
  <c r="AQ17" i="1" s="1"/>
  <c r="AA17" i="1"/>
  <c r="AB17" i="1"/>
  <c r="Z11" i="1"/>
  <c r="AQ11" i="1" s="1"/>
  <c r="AA11" i="1"/>
  <c r="AB11" i="1"/>
  <c r="Z5" i="1"/>
  <c r="AQ5" i="1" s="1"/>
  <c r="AA5" i="1"/>
  <c r="AB5" i="1"/>
  <c r="AB1214" i="1"/>
  <c r="AB1124" i="1"/>
  <c r="AB1088" i="1"/>
  <c r="AB1034" i="1"/>
  <c r="AB1016" i="1"/>
  <c r="AB980" i="1"/>
  <c r="AB908" i="1"/>
  <c r="AB886" i="1"/>
  <c r="AB864" i="1"/>
  <c r="AB834" i="1"/>
  <c r="AB813" i="1"/>
  <c r="AB726" i="1"/>
  <c r="AB640" i="1"/>
  <c r="AB618" i="1"/>
  <c r="AB231" i="1"/>
  <c r="AA1236" i="1"/>
  <c r="AA915" i="1"/>
  <c r="Z1312" i="1"/>
  <c r="AQ1312" i="1" s="1"/>
  <c r="AA1312" i="1"/>
  <c r="AB1312" i="1"/>
  <c r="Z1306" i="1"/>
  <c r="AQ1306" i="1" s="1"/>
  <c r="AA1306" i="1"/>
  <c r="AB1306" i="1"/>
  <c r="AA1300" i="1"/>
  <c r="AB1300" i="1"/>
  <c r="Z1294" i="1"/>
  <c r="AQ1294" i="1" s="1"/>
  <c r="AA1294" i="1"/>
  <c r="AB1294" i="1"/>
  <c r="Z1288" i="1"/>
  <c r="AQ1288" i="1" s="1"/>
  <c r="AA1288" i="1"/>
  <c r="AB1288" i="1"/>
  <c r="Z1282" i="1"/>
  <c r="AQ1282" i="1" s="1"/>
  <c r="AA1282" i="1"/>
  <c r="AB1282" i="1"/>
  <c r="AA1276" i="1"/>
  <c r="AB1276" i="1"/>
  <c r="Z1270" i="1"/>
  <c r="AQ1270" i="1" s="1"/>
  <c r="AA1270" i="1"/>
  <c r="AB1270" i="1"/>
  <c r="Z1264" i="1"/>
  <c r="AQ1264" i="1" s="1"/>
  <c r="AA1264" i="1"/>
  <c r="AB1264" i="1"/>
  <c r="AA1258" i="1"/>
  <c r="AB1258" i="1"/>
  <c r="Z1252" i="1"/>
  <c r="AQ1252" i="1" s="1"/>
  <c r="AA1252" i="1"/>
  <c r="AB1252" i="1"/>
  <c r="Z1246" i="1"/>
  <c r="AQ1246" i="1" s="1"/>
  <c r="AA1246" i="1"/>
  <c r="AB1246" i="1"/>
  <c r="Z1240" i="1"/>
  <c r="AQ1240" i="1" s="1"/>
  <c r="AA1240" i="1"/>
  <c r="AB1240" i="1"/>
  <c r="Z1234" i="1"/>
  <c r="AQ1234" i="1" s="1"/>
  <c r="AA1234" i="1"/>
  <c r="AB1234" i="1"/>
  <c r="Z1228" i="1"/>
  <c r="AQ1228" i="1" s="1"/>
  <c r="AA1228" i="1"/>
  <c r="AB1228" i="1"/>
  <c r="Z1222" i="1"/>
  <c r="AQ1222" i="1" s="1"/>
  <c r="AA1222" i="1"/>
  <c r="AB1222" i="1"/>
  <c r="Z1216" i="1"/>
  <c r="AQ1216" i="1" s="1"/>
  <c r="AA1216" i="1"/>
  <c r="AB1216" i="1"/>
  <c r="Z1210" i="1"/>
  <c r="AQ1210" i="1" s="1"/>
  <c r="AA1210" i="1"/>
  <c r="AB1210" i="1"/>
  <c r="Z1204" i="1"/>
  <c r="AQ1204" i="1" s="1"/>
  <c r="AA1204" i="1"/>
  <c r="AB1204" i="1"/>
  <c r="Z1198" i="1"/>
  <c r="AQ1198" i="1" s="1"/>
  <c r="AA1198" i="1"/>
  <c r="AB1198" i="1"/>
  <c r="Z1192" i="1"/>
  <c r="AQ1192" i="1" s="1"/>
  <c r="AA1192" i="1"/>
  <c r="AB1192" i="1"/>
  <c r="Z1186" i="1"/>
  <c r="AQ1186" i="1" s="1"/>
  <c r="AA1186" i="1"/>
  <c r="AB1186" i="1"/>
  <c r="Z1180" i="1"/>
  <c r="AQ1180" i="1" s="1"/>
  <c r="AA1180" i="1"/>
  <c r="AB1180" i="1"/>
  <c r="Z1174" i="1"/>
  <c r="AQ1174" i="1" s="1"/>
  <c r="AA1174" i="1"/>
  <c r="AB1174" i="1"/>
  <c r="Z1168" i="1"/>
  <c r="AQ1168" i="1" s="1"/>
  <c r="AA1168" i="1"/>
  <c r="AB1168" i="1"/>
  <c r="Z1162" i="1"/>
  <c r="AQ1162" i="1" s="1"/>
  <c r="AA1162" i="1"/>
  <c r="AB1162" i="1"/>
  <c r="Z1156" i="1"/>
  <c r="AQ1156" i="1" s="1"/>
  <c r="AA1156" i="1"/>
  <c r="AB1156" i="1"/>
  <c r="AA1150" i="1"/>
  <c r="AB1150" i="1"/>
  <c r="AA1144" i="1"/>
  <c r="AB1144" i="1"/>
  <c r="Z1138" i="1"/>
  <c r="AQ1138" i="1" s="1"/>
  <c r="AA1138" i="1"/>
  <c r="AB1138" i="1"/>
  <c r="Z1132" i="1"/>
  <c r="AQ1132" i="1" s="1"/>
  <c r="AA1132" i="1"/>
  <c r="AB1132" i="1"/>
  <c r="Z1126" i="1"/>
  <c r="AQ1126" i="1" s="1"/>
  <c r="AA1126" i="1"/>
  <c r="AB1126" i="1"/>
  <c r="Z1120" i="1"/>
  <c r="AQ1120" i="1" s="1"/>
  <c r="AA1120" i="1"/>
  <c r="AB1120" i="1"/>
  <c r="Z1114" i="1"/>
  <c r="AQ1114" i="1" s="1"/>
  <c r="AA1114" i="1"/>
  <c r="AB1114" i="1"/>
  <c r="Z1108" i="1"/>
  <c r="AQ1108" i="1" s="1"/>
  <c r="AA1108" i="1"/>
  <c r="AB1108" i="1"/>
  <c r="Z1102" i="1"/>
  <c r="AQ1102" i="1" s="1"/>
  <c r="AA1102" i="1"/>
  <c r="AB1102" i="1"/>
  <c r="Z1096" i="1"/>
  <c r="AQ1096" i="1" s="1"/>
  <c r="AA1096" i="1"/>
  <c r="AB1096" i="1"/>
  <c r="Z1090" i="1"/>
  <c r="AQ1090" i="1" s="1"/>
  <c r="AA1090" i="1"/>
  <c r="AB1090" i="1"/>
  <c r="Z1085" i="1"/>
  <c r="AQ1085" i="1" s="1"/>
  <c r="AA1085" i="1"/>
  <c r="AB1085" i="1"/>
  <c r="Z1078" i="1"/>
  <c r="AQ1078" i="1" s="1"/>
  <c r="AA1078" i="1"/>
  <c r="AB1078" i="1"/>
  <c r="Z1072" i="1"/>
  <c r="AQ1072" i="1" s="1"/>
  <c r="AA1072" i="1"/>
  <c r="AB1072" i="1"/>
  <c r="Z1066" i="1"/>
  <c r="AQ1066" i="1" s="1"/>
  <c r="AA1066" i="1"/>
  <c r="AB1066" i="1"/>
  <c r="Z1060" i="1"/>
  <c r="AQ1060" i="1" s="1"/>
  <c r="AA1060" i="1"/>
  <c r="AB1060" i="1"/>
  <c r="Z1054" i="1"/>
  <c r="AQ1054" i="1" s="1"/>
  <c r="AA1054" i="1"/>
  <c r="AB1054" i="1"/>
  <c r="Z1048" i="1"/>
  <c r="AQ1048" i="1" s="1"/>
  <c r="AA1048" i="1"/>
  <c r="AB1048" i="1"/>
  <c r="Z1042" i="1"/>
  <c r="AQ1042" i="1" s="1"/>
  <c r="AA1042" i="1"/>
  <c r="AB1042" i="1"/>
  <c r="Z1036" i="1"/>
  <c r="AQ1036" i="1" s="1"/>
  <c r="AA1036" i="1"/>
  <c r="AB1036" i="1"/>
  <c r="AA1030" i="1"/>
  <c r="AB1030" i="1"/>
  <c r="Z1024" i="1"/>
  <c r="AQ1024" i="1" s="1"/>
  <c r="AA1024" i="1"/>
  <c r="AB1024" i="1"/>
  <c r="AA1018" i="1"/>
  <c r="AB1018" i="1"/>
  <c r="Z1012" i="1"/>
  <c r="AQ1012" i="1" s="1"/>
  <c r="AA1012" i="1"/>
  <c r="AB1012" i="1"/>
  <c r="Z1006" i="1"/>
  <c r="AQ1006" i="1" s="1"/>
  <c r="AA1006" i="1"/>
  <c r="AB1006" i="1"/>
  <c r="Z1000" i="1"/>
  <c r="AQ1000" i="1" s="1"/>
  <c r="AA1000" i="1"/>
  <c r="AB1000" i="1"/>
  <c r="Z994" i="1"/>
  <c r="AQ994" i="1" s="1"/>
  <c r="AA994" i="1"/>
  <c r="AB994" i="1"/>
  <c r="Z988" i="1"/>
  <c r="AQ988" i="1" s="1"/>
  <c r="AA988" i="1"/>
  <c r="AB988" i="1"/>
  <c r="Z982" i="1"/>
  <c r="AQ982" i="1" s="1"/>
  <c r="AA982" i="1"/>
  <c r="AB982" i="1"/>
  <c r="Z976" i="1"/>
  <c r="AQ976" i="1" s="1"/>
  <c r="AA976" i="1"/>
  <c r="AB976" i="1"/>
  <c r="Z970" i="1"/>
  <c r="AQ970" i="1" s="1"/>
  <c r="AA970" i="1"/>
  <c r="AB970" i="1"/>
  <c r="Z964" i="1"/>
  <c r="AQ964" i="1" s="1"/>
  <c r="AA964" i="1"/>
  <c r="AB964" i="1"/>
  <c r="AA958" i="1"/>
  <c r="AB958" i="1"/>
  <c r="Z953" i="1"/>
  <c r="AQ953" i="1" s="1"/>
  <c r="AA953" i="1"/>
  <c r="AB953" i="1"/>
  <c r="Z946" i="1"/>
  <c r="AQ946" i="1" s="1"/>
  <c r="AA946" i="1"/>
  <c r="AB946" i="1"/>
  <c r="AA941" i="1"/>
  <c r="AB941" i="1"/>
  <c r="Z934" i="1"/>
  <c r="AQ934" i="1" s="1"/>
  <c r="AA934" i="1"/>
  <c r="AB934" i="1"/>
  <c r="Z928" i="1"/>
  <c r="AQ928" i="1" s="1"/>
  <c r="AA928" i="1"/>
  <c r="AB928" i="1"/>
  <c r="Z922" i="1"/>
  <c r="AQ922" i="1" s="1"/>
  <c r="AA922" i="1"/>
  <c r="AB922" i="1"/>
  <c r="Z916" i="1"/>
  <c r="AQ916" i="1" s="1"/>
  <c r="AA916" i="1"/>
  <c r="AB916" i="1"/>
  <c r="AA910" i="1"/>
  <c r="AB910" i="1"/>
  <c r="Z904" i="1"/>
  <c r="AQ904" i="1" s="1"/>
  <c r="AA904" i="1"/>
  <c r="Z898" i="1"/>
  <c r="AQ898" i="1" s="1"/>
  <c r="AA898" i="1"/>
  <c r="AB898" i="1"/>
  <c r="Z880" i="1"/>
  <c r="AQ880" i="1" s="1"/>
  <c r="AA880" i="1"/>
  <c r="AA874" i="1"/>
  <c r="AB874" i="1"/>
  <c r="Z869" i="1"/>
  <c r="AQ869" i="1" s="1"/>
  <c r="AA869" i="1"/>
  <c r="Z862" i="1"/>
  <c r="AQ862" i="1" s="1"/>
  <c r="AA862" i="1"/>
  <c r="AB862" i="1"/>
  <c r="Z856" i="1"/>
  <c r="AQ856" i="1" s="1"/>
  <c r="AA856" i="1"/>
  <c r="Z850" i="1"/>
  <c r="AQ850" i="1" s="1"/>
  <c r="AA850" i="1"/>
  <c r="Z838" i="1"/>
  <c r="AQ838" i="1" s="1"/>
  <c r="AA838" i="1"/>
  <c r="AB838" i="1"/>
  <c r="Z832" i="1"/>
  <c r="AQ832" i="1" s="1"/>
  <c r="AA832" i="1"/>
  <c r="AB832" i="1"/>
  <c r="Z826" i="1"/>
  <c r="AQ826" i="1" s="1"/>
  <c r="AA826" i="1"/>
  <c r="AB826" i="1"/>
  <c r="Z820" i="1"/>
  <c r="AQ820" i="1" s="1"/>
  <c r="AA820" i="1"/>
  <c r="Z808" i="1"/>
  <c r="AQ808" i="1" s="1"/>
  <c r="AA808" i="1"/>
  <c r="AB808" i="1"/>
  <c r="AA802" i="1"/>
  <c r="AB802" i="1"/>
  <c r="Z796" i="1"/>
  <c r="AQ796" i="1" s="1"/>
  <c r="AA796" i="1"/>
  <c r="AB796" i="1"/>
  <c r="Z790" i="1"/>
  <c r="AQ790" i="1" s="1"/>
  <c r="AA790" i="1"/>
  <c r="AB790" i="1"/>
  <c r="Z784" i="1"/>
  <c r="AQ784" i="1" s="1"/>
  <c r="AA784" i="1"/>
  <c r="Z778" i="1"/>
  <c r="AQ778" i="1" s="1"/>
  <c r="AA778" i="1"/>
  <c r="AA772" i="1"/>
  <c r="AB772" i="1"/>
  <c r="Z766" i="1"/>
  <c r="AQ766" i="1" s="1"/>
  <c r="AA766" i="1"/>
  <c r="AB766" i="1"/>
  <c r="Z759" i="1"/>
  <c r="AQ759" i="1" s="1"/>
  <c r="AA759" i="1"/>
  <c r="AB759" i="1"/>
  <c r="Z754" i="1"/>
  <c r="AQ754" i="1" s="1"/>
  <c r="AA754" i="1"/>
  <c r="AB754" i="1"/>
  <c r="Z748" i="1"/>
  <c r="AQ748" i="1" s="1"/>
  <c r="AA748" i="1"/>
  <c r="Z742" i="1"/>
  <c r="AQ742" i="1" s="1"/>
  <c r="AA742" i="1"/>
  <c r="Z736" i="1"/>
  <c r="AQ736" i="1" s="1"/>
  <c r="AA736" i="1"/>
  <c r="AB736" i="1"/>
  <c r="Z730" i="1"/>
  <c r="AQ730" i="1" s="1"/>
  <c r="AA730" i="1"/>
  <c r="AB730" i="1"/>
  <c r="Z724" i="1"/>
  <c r="AQ724" i="1" s="1"/>
  <c r="AA724" i="1"/>
  <c r="AB724" i="1"/>
  <c r="AA718" i="1"/>
  <c r="AB718" i="1"/>
  <c r="Z712" i="1"/>
  <c r="AQ712" i="1" s="1"/>
  <c r="AA712" i="1"/>
  <c r="Z706" i="1"/>
  <c r="AQ706" i="1" s="1"/>
  <c r="AA706" i="1"/>
  <c r="Z697" i="1"/>
  <c r="AQ697" i="1" s="1"/>
  <c r="AA697" i="1"/>
  <c r="AB697" i="1"/>
  <c r="Z694" i="1"/>
  <c r="AQ694" i="1" s="1"/>
  <c r="AA694" i="1"/>
  <c r="AB694" i="1"/>
  <c r="Z688" i="1"/>
  <c r="AQ688" i="1" s="1"/>
  <c r="AA688" i="1"/>
  <c r="AB688" i="1"/>
  <c r="Z682" i="1"/>
  <c r="AQ682" i="1" s="1"/>
  <c r="AA682" i="1"/>
  <c r="AB682" i="1"/>
  <c r="Z676" i="1"/>
  <c r="AQ676" i="1" s="1"/>
  <c r="AA676" i="1"/>
  <c r="Z670" i="1"/>
  <c r="AQ670" i="1" s="1"/>
  <c r="AA670" i="1"/>
  <c r="Z664" i="1"/>
  <c r="AQ664" i="1" s="1"/>
  <c r="AA664" i="1"/>
  <c r="AB664" i="1"/>
  <c r="Z658" i="1"/>
  <c r="AQ658" i="1" s="1"/>
  <c r="AA658" i="1"/>
  <c r="AB658" i="1"/>
  <c r="AA652" i="1"/>
  <c r="AB652" i="1"/>
  <c r="Z647" i="1"/>
  <c r="AQ647" i="1" s="1"/>
  <c r="AA647" i="1"/>
  <c r="AB647" i="1"/>
  <c r="Z634" i="1"/>
  <c r="AQ634" i="1" s="1"/>
  <c r="AA634" i="1"/>
  <c r="Z628" i="1"/>
  <c r="AQ628" i="1" s="1"/>
  <c r="AA628" i="1"/>
  <c r="AB628" i="1"/>
  <c r="Z622" i="1"/>
  <c r="AQ622" i="1" s="1"/>
  <c r="AA622" i="1"/>
  <c r="AB622" i="1"/>
  <c r="AA616" i="1"/>
  <c r="AB616" i="1"/>
  <c r="Z610" i="1"/>
  <c r="AQ610" i="1" s="1"/>
  <c r="AA610" i="1"/>
  <c r="AB610" i="1"/>
  <c r="Z604" i="1"/>
  <c r="AQ604" i="1" s="1"/>
  <c r="AA604" i="1"/>
  <c r="Z598" i="1"/>
  <c r="AQ598" i="1" s="1"/>
  <c r="AA598" i="1"/>
  <c r="Z592" i="1"/>
  <c r="AQ592" i="1" s="1"/>
  <c r="AA592" i="1"/>
  <c r="AB592" i="1"/>
  <c r="Z579" i="1"/>
  <c r="AQ579" i="1" s="1"/>
  <c r="AA579" i="1"/>
  <c r="AB579" i="1"/>
  <c r="Z580" i="1"/>
  <c r="AQ580" i="1" s="1"/>
  <c r="AA580" i="1"/>
  <c r="AB580" i="1"/>
  <c r="Z568" i="1"/>
  <c r="AQ568" i="1" s="1"/>
  <c r="AA568" i="1"/>
  <c r="AB568" i="1"/>
  <c r="Z562" i="1"/>
  <c r="AQ562" i="1" s="1"/>
  <c r="AA562" i="1"/>
  <c r="AB562" i="1"/>
  <c r="Z556" i="1"/>
  <c r="AQ556" i="1" s="1"/>
  <c r="AA556" i="1"/>
  <c r="AB556" i="1"/>
  <c r="Z550" i="1"/>
  <c r="AQ550" i="1" s="1"/>
  <c r="AA550" i="1"/>
  <c r="AB550" i="1"/>
  <c r="Z544" i="1"/>
  <c r="AQ544" i="1" s="1"/>
  <c r="AA544" i="1"/>
  <c r="Z538" i="1"/>
  <c r="AQ538" i="1" s="1"/>
  <c r="AA538" i="1"/>
  <c r="AB538" i="1"/>
  <c r="Z532" i="1"/>
  <c r="AQ532" i="1" s="1"/>
  <c r="AA532" i="1"/>
  <c r="Z526" i="1"/>
  <c r="AQ526" i="1" s="1"/>
  <c r="AA526" i="1"/>
  <c r="AB526" i="1"/>
  <c r="Z520" i="1"/>
  <c r="AQ520" i="1" s="1"/>
  <c r="AA520" i="1"/>
  <c r="AB520" i="1"/>
  <c r="Z514" i="1"/>
  <c r="AQ514" i="1" s="1"/>
  <c r="AA514" i="1"/>
  <c r="AB514" i="1"/>
  <c r="AA508" i="1"/>
  <c r="AB508" i="1"/>
  <c r="Z502" i="1"/>
  <c r="AQ502" i="1" s="1"/>
  <c r="AA502" i="1"/>
  <c r="AB502" i="1"/>
  <c r="AA496" i="1"/>
  <c r="AB496" i="1"/>
  <c r="Z490" i="1"/>
  <c r="AQ490" i="1" s="1"/>
  <c r="AA490" i="1"/>
  <c r="AB490" i="1"/>
  <c r="AA484" i="1"/>
  <c r="AB484" i="1"/>
  <c r="AA478" i="1"/>
  <c r="AB478" i="1"/>
  <c r="Z472" i="1"/>
  <c r="AQ472" i="1" s="1"/>
  <c r="AA472" i="1"/>
  <c r="AB472" i="1"/>
  <c r="Z466" i="1"/>
  <c r="AQ466" i="1" s="1"/>
  <c r="AA466" i="1"/>
  <c r="AB466" i="1"/>
  <c r="AA460" i="1"/>
  <c r="AB460" i="1"/>
  <c r="AA454" i="1"/>
  <c r="AB454" i="1"/>
  <c r="Z448" i="1"/>
  <c r="AQ448" i="1" s="1"/>
  <c r="AA448" i="1"/>
  <c r="AB448" i="1"/>
  <c r="Z442" i="1"/>
  <c r="AQ442" i="1" s="1"/>
  <c r="AA442" i="1"/>
  <c r="AB442" i="1"/>
  <c r="Z436" i="1"/>
  <c r="AQ436" i="1" s="1"/>
  <c r="AA436" i="1"/>
  <c r="AB436" i="1"/>
  <c r="Z430" i="1"/>
  <c r="AQ430" i="1" s="1"/>
  <c r="AA430" i="1"/>
  <c r="AB430" i="1"/>
  <c r="AA424" i="1"/>
  <c r="AB424" i="1"/>
  <c r="Z418" i="1"/>
  <c r="AQ418" i="1" s="1"/>
  <c r="AA418" i="1"/>
  <c r="AB418" i="1"/>
  <c r="AA412" i="1"/>
  <c r="AB412" i="1"/>
  <c r="Z406" i="1"/>
  <c r="AQ406" i="1" s="1"/>
  <c r="AA406" i="1"/>
  <c r="AB406" i="1"/>
  <c r="Z400" i="1"/>
  <c r="AQ400" i="1" s="1"/>
  <c r="AA400" i="1"/>
  <c r="AB400" i="1"/>
  <c r="AA394" i="1"/>
  <c r="AB394" i="1"/>
  <c r="Z388" i="1"/>
  <c r="AQ388" i="1" s="1"/>
  <c r="AA388" i="1"/>
  <c r="AB388" i="1"/>
  <c r="Z382" i="1"/>
  <c r="AQ382" i="1" s="1"/>
  <c r="AA382" i="1"/>
  <c r="AB382" i="1"/>
  <c r="Z375" i="1"/>
  <c r="AQ375" i="1" s="1"/>
  <c r="AA375" i="1"/>
  <c r="AB375" i="1"/>
  <c r="Z370" i="1"/>
  <c r="AQ370" i="1" s="1"/>
  <c r="AA370" i="1"/>
  <c r="AB370" i="1"/>
  <c r="Z364" i="1"/>
  <c r="AQ364" i="1" s="1"/>
  <c r="AA364" i="1"/>
  <c r="AB364" i="1"/>
  <c r="Z358" i="1"/>
  <c r="AQ358" i="1" s="1"/>
  <c r="AA358" i="1"/>
  <c r="AB358" i="1"/>
  <c r="Z352" i="1"/>
  <c r="AQ352" i="1" s="1"/>
  <c r="AA352" i="1"/>
  <c r="AB352" i="1"/>
  <c r="Z346" i="1"/>
  <c r="AQ346" i="1" s="1"/>
  <c r="AA346" i="1"/>
  <c r="AB346" i="1"/>
  <c r="AA340" i="1"/>
  <c r="AB340" i="1"/>
  <c r="Z334" i="1"/>
  <c r="AQ334" i="1" s="1"/>
  <c r="AA334" i="1"/>
  <c r="AB334" i="1"/>
  <c r="Z328" i="1"/>
  <c r="AQ328" i="1" s="1"/>
  <c r="AA328" i="1"/>
  <c r="AB328" i="1"/>
  <c r="Z322" i="1"/>
  <c r="AQ322" i="1" s="1"/>
  <c r="AA322" i="1"/>
  <c r="AB322" i="1"/>
  <c r="Z316" i="1"/>
  <c r="AQ316" i="1" s="1"/>
  <c r="AA316" i="1"/>
  <c r="AB316" i="1"/>
  <c r="Z310" i="1"/>
  <c r="AQ310" i="1" s="1"/>
  <c r="AA310" i="1"/>
  <c r="AB310" i="1"/>
  <c r="Z304" i="1"/>
  <c r="AQ304" i="1" s="1"/>
  <c r="AA304" i="1"/>
  <c r="AB304" i="1"/>
  <c r="Z298" i="1"/>
  <c r="AQ298" i="1" s="1"/>
  <c r="AA298" i="1"/>
  <c r="AB298" i="1"/>
  <c r="Z292" i="1"/>
  <c r="AQ292" i="1" s="1"/>
  <c r="AA292" i="1"/>
  <c r="AB292" i="1"/>
  <c r="Z286" i="1"/>
  <c r="AQ286" i="1" s="1"/>
  <c r="AA286" i="1"/>
  <c r="AB286" i="1"/>
  <c r="Z280" i="1"/>
  <c r="AQ280" i="1" s="1"/>
  <c r="AA280" i="1"/>
  <c r="AB280" i="1"/>
  <c r="Z274" i="1"/>
  <c r="AQ274" i="1" s="1"/>
  <c r="AA274" i="1"/>
  <c r="AB274" i="1"/>
  <c r="Z268" i="1"/>
  <c r="AQ268" i="1" s="1"/>
  <c r="AA268" i="1"/>
  <c r="AB268" i="1"/>
  <c r="AA263" i="1"/>
  <c r="AB263" i="1"/>
  <c r="AA256" i="1"/>
  <c r="AB256" i="1"/>
  <c r="Z250" i="1"/>
  <c r="AQ250" i="1" s="1"/>
  <c r="AA250" i="1"/>
  <c r="AB250" i="1"/>
  <c r="Z244" i="1"/>
  <c r="AQ244" i="1" s="1"/>
  <c r="AA244" i="1"/>
  <c r="AB244" i="1"/>
  <c r="AA238" i="1"/>
  <c r="AB238" i="1"/>
  <c r="Z232" i="1"/>
  <c r="AQ232" i="1" s="1"/>
  <c r="AA232" i="1"/>
  <c r="AB232" i="1"/>
  <c r="Z226" i="1"/>
  <c r="AQ226" i="1" s="1"/>
  <c r="AA226" i="1"/>
  <c r="AB226" i="1"/>
  <c r="Z220" i="1"/>
  <c r="AQ220" i="1" s="1"/>
  <c r="AA220" i="1"/>
  <c r="AB220" i="1"/>
  <c r="Z215" i="1"/>
  <c r="AQ215" i="1" s="1"/>
  <c r="AA215" i="1"/>
  <c r="AB215" i="1"/>
  <c r="Z208" i="1"/>
  <c r="AQ208" i="1" s="1"/>
  <c r="AA208" i="1"/>
  <c r="AB208" i="1"/>
  <c r="Z202" i="1"/>
  <c r="AQ202" i="1" s="1"/>
  <c r="AA202" i="1"/>
  <c r="AB202" i="1"/>
  <c r="Z196" i="1"/>
  <c r="AQ196" i="1" s="1"/>
  <c r="AA196" i="1"/>
  <c r="AB196" i="1"/>
  <c r="Z190" i="1"/>
  <c r="AQ190" i="1" s="1"/>
  <c r="AA190" i="1"/>
  <c r="AB190" i="1"/>
  <c r="Z184" i="1"/>
  <c r="AQ184" i="1" s="1"/>
  <c r="AA184" i="1"/>
  <c r="AB184" i="1"/>
  <c r="Z178" i="1"/>
  <c r="AQ178" i="1" s="1"/>
  <c r="AA178" i="1"/>
  <c r="AB178" i="1"/>
  <c r="Z172" i="1"/>
  <c r="AQ172" i="1" s="1"/>
  <c r="AA172" i="1"/>
  <c r="AB172" i="1"/>
  <c r="Z166" i="1"/>
  <c r="AQ166" i="1" s="1"/>
  <c r="AA166" i="1"/>
  <c r="AB166" i="1"/>
  <c r="Z160" i="1"/>
  <c r="AQ160" i="1" s="1"/>
  <c r="AA160" i="1"/>
  <c r="AB160" i="1"/>
  <c r="Z155" i="1"/>
  <c r="AQ155" i="1" s="1"/>
  <c r="AA155" i="1"/>
  <c r="AB155" i="1"/>
  <c r="AA148" i="1"/>
  <c r="AB148" i="1"/>
  <c r="Z142" i="1"/>
  <c r="AQ142" i="1" s="1"/>
  <c r="AA142" i="1"/>
  <c r="AB142" i="1"/>
  <c r="Z124" i="1"/>
  <c r="AQ124" i="1" s="1"/>
  <c r="AA124" i="1"/>
  <c r="AB124" i="1"/>
  <c r="Z118" i="1"/>
  <c r="AQ118" i="1" s="1"/>
  <c r="AA118" i="1"/>
  <c r="AB118" i="1"/>
  <c r="Z112" i="1"/>
  <c r="AQ112" i="1" s="1"/>
  <c r="AA112" i="1"/>
  <c r="AA106" i="1"/>
  <c r="AB106" i="1"/>
  <c r="Z100" i="1"/>
  <c r="AQ100" i="1" s="1"/>
  <c r="AA100" i="1"/>
  <c r="AB100" i="1"/>
  <c r="Z94" i="1"/>
  <c r="AQ94" i="1" s="1"/>
  <c r="AA94" i="1"/>
  <c r="Z88" i="1"/>
  <c r="AQ88" i="1" s="1"/>
  <c r="AA88" i="1"/>
  <c r="AB88" i="1"/>
  <c r="Z82" i="1"/>
  <c r="AQ82" i="1" s="1"/>
  <c r="AA82" i="1"/>
  <c r="AB82" i="1"/>
  <c r="Z76" i="1"/>
  <c r="AQ76" i="1" s="1"/>
  <c r="AA76" i="1"/>
  <c r="Z70" i="1"/>
  <c r="AQ70" i="1" s="1"/>
  <c r="AA70" i="1"/>
  <c r="AB70" i="1"/>
  <c r="Z64" i="1"/>
  <c r="AQ64" i="1" s="1"/>
  <c r="AA64" i="1"/>
  <c r="AB64" i="1"/>
  <c r="Z58" i="1"/>
  <c r="AQ58" i="1" s="1"/>
  <c r="AA58" i="1"/>
  <c r="Z52" i="1"/>
  <c r="AQ52" i="1" s="1"/>
  <c r="AA52" i="1"/>
  <c r="AB52" i="1"/>
  <c r="Z46" i="1"/>
  <c r="AQ46" i="1" s="1"/>
  <c r="AA46" i="1"/>
  <c r="AB46" i="1"/>
  <c r="Z40" i="1"/>
  <c r="AQ40" i="1" s="1"/>
  <c r="AA40" i="1"/>
  <c r="Z34" i="1"/>
  <c r="AQ34" i="1" s="1"/>
  <c r="AA34" i="1"/>
  <c r="AB34" i="1"/>
  <c r="Z28" i="1"/>
  <c r="AQ28" i="1" s="1"/>
  <c r="AA28" i="1"/>
  <c r="AB28" i="1"/>
  <c r="Z22" i="1"/>
  <c r="AQ22" i="1" s="1"/>
  <c r="AA22" i="1"/>
  <c r="Z16" i="1"/>
  <c r="AQ16" i="1" s="1"/>
  <c r="AA16" i="1"/>
  <c r="AB16" i="1"/>
  <c r="Z10" i="1"/>
  <c r="AQ10" i="1" s="1"/>
  <c r="AA10" i="1"/>
  <c r="AB10" i="1"/>
  <c r="Z4" i="1"/>
  <c r="AQ4" i="1" s="1"/>
  <c r="AA4" i="1"/>
  <c r="AB1141" i="1"/>
  <c r="AB1033" i="1"/>
  <c r="AB961" i="1"/>
  <c r="AB943" i="1"/>
  <c r="AB915" i="1"/>
  <c r="AB906" i="1"/>
  <c r="AB896" i="1"/>
  <c r="AB828" i="1"/>
  <c r="AB807" i="1"/>
  <c r="AB742" i="1"/>
  <c r="AB720" i="1"/>
  <c r="AB700" i="1"/>
  <c r="AB634" i="1"/>
  <c r="AB612" i="1"/>
  <c r="AB591" i="1"/>
  <c r="AB532" i="1"/>
  <c r="AB486" i="1"/>
  <c r="AB432" i="1"/>
  <c r="AB378" i="1"/>
  <c r="AB324" i="1"/>
  <c r="AB270" i="1"/>
  <c r="AB212" i="1"/>
  <c r="AB161" i="1"/>
  <c r="AA1214" i="1"/>
  <c r="AA1084" i="1"/>
  <c r="AA835" i="1"/>
  <c r="Z1311" i="1"/>
  <c r="AQ1311" i="1" s="1"/>
  <c r="AA1311" i="1"/>
  <c r="Z1305" i="1"/>
  <c r="AQ1305" i="1" s="1"/>
  <c r="AA1305" i="1"/>
  <c r="Z1299" i="1"/>
  <c r="AQ1299" i="1" s="1"/>
  <c r="AA1299" i="1"/>
  <c r="Z1293" i="1"/>
  <c r="AQ1293" i="1" s="1"/>
  <c r="AA1293" i="1"/>
  <c r="Z1287" i="1"/>
  <c r="AQ1287" i="1" s="1"/>
  <c r="AA1287" i="1"/>
  <c r="Z1281" i="1"/>
  <c r="AQ1281" i="1" s="1"/>
  <c r="AA1281" i="1"/>
  <c r="Z1275" i="1"/>
  <c r="AQ1275" i="1" s="1"/>
  <c r="AA1275" i="1"/>
  <c r="Z1269" i="1"/>
  <c r="AQ1269" i="1" s="1"/>
  <c r="AA1269" i="1"/>
  <c r="Z1263" i="1"/>
  <c r="AQ1263" i="1" s="1"/>
  <c r="AA1263" i="1"/>
  <c r="Z1257" i="1"/>
  <c r="AQ1257" i="1" s="1"/>
  <c r="AA1257" i="1"/>
  <c r="Z1251" i="1"/>
  <c r="AQ1251" i="1" s="1"/>
  <c r="AA1251" i="1"/>
  <c r="Z1245" i="1"/>
  <c r="AQ1245" i="1" s="1"/>
  <c r="AA1245" i="1"/>
  <c r="Z1239" i="1"/>
  <c r="AQ1239" i="1" s="1"/>
  <c r="AA1239" i="1"/>
  <c r="Z1233" i="1"/>
  <c r="AQ1233" i="1" s="1"/>
  <c r="AA1233" i="1"/>
  <c r="Z1227" i="1"/>
  <c r="AQ1227" i="1" s="1"/>
  <c r="AA1227" i="1"/>
  <c r="Z1221" i="1"/>
  <c r="AQ1221" i="1" s="1"/>
  <c r="AA1221" i="1"/>
  <c r="Z1215" i="1"/>
  <c r="AQ1215" i="1" s="1"/>
  <c r="AA1215" i="1"/>
  <c r="AA1209" i="1"/>
  <c r="Z1203" i="1"/>
  <c r="AQ1203" i="1" s="1"/>
  <c r="AA1203" i="1"/>
  <c r="Z1197" i="1"/>
  <c r="AQ1197" i="1" s="1"/>
  <c r="AA1197" i="1"/>
  <c r="Z1191" i="1"/>
  <c r="AQ1191" i="1" s="1"/>
  <c r="AA1191" i="1"/>
  <c r="Z1185" i="1"/>
  <c r="AQ1185" i="1" s="1"/>
  <c r="AA1185" i="1"/>
  <c r="Z1179" i="1"/>
  <c r="AQ1179" i="1" s="1"/>
  <c r="AA1179" i="1"/>
  <c r="Z1173" i="1"/>
  <c r="AQ1173" i="1" s="1"/>
  <c r="AA1173" i="1"/>
  <c r="Z1167" i="1"/>
  <c r="AQ1167" i="1" s="1"/>
  <c r="AA1167" i="1"/>
  <c r="Z1161" i="1"/>
  <c r="AQ1161" i="1" s="1"/>
  <c r="AA1161" i="1"/>
  <c r="AA1155" i="1"/>
  <c r="Z1149" i="1"/>
  <c r="AQ1149" i="1" s="1"/>
  <c r="AA1149" i="1"/>
  <c r="Z1143" i="1"/>
  <c r="AQ1143" i="1" s="1"/>
  <c r="AA1143" i="1"/>
  <c r="AA1137" i="1"/>
  <c r="Z1131" i="1"/>
  <c r="AQ1131" i="1" s="1"/>
  <c r="AA1131" i="1"/>
  <c r="AA1125" i="1"/>
  <c r="AA1119" i="1"/>
  <c r="AA1113" i="1"/>
  <c r="Z1107" i="1"/>
  <c r="AQ1107" i="1" s="1"/>
  <c r="AA1107" i="1"/>
  <c r="Z1101" i="1"/>
  <c r="AQ1101" i="1" s="1"/>
  <c r="AA1101" i="1"/>
  <c r="Z1095" i="1"/>
  <c r="AQ1095" i="1" s="1"/>
  <c r="AA1095" i="1"/>
  <c r="AA1089" i="1"/>
  <c r="Z1083" i="1"/>
  <c r="AQ1083" i="1" s="1"/>
  <c r="AA1083" i="1"/>
  <c r="Z1077" i="1"/>
  <c r="AQ1077" i="1" s="1"/>
  <c r="AA1077" i="1"/>
  <c r="Z1071" i="1"/>
  <c r="AQ1071" i="1" s="1"/>
  <c r="AA1071" i="1"/>
  <c r="Z1065" i="1"/>
  <c r="AQ1065" i="1" s="1"/>
  <c r="AA1065" i="1"/>
  <c r="AA1059" i="1"/>
  <c r="Z1053" i="1"/>
  <c r="AQ1053" i="1" s="1"/>
  <c r="AA1053" i="1"/>
  <c r="Z1044" i="1"/>
  <c r="AQ1044" i="1" s="1"/>
  <c r="AA1044" i="1"/>
  <c r="Z1041" i="1"/>
  <c r="AQ1041" i="1" s="1"/>
  <c r="AA1041" i="1"/>
  <c r="AA1035" i="1"/>
  <c r="Z1029" i="1"/>
  <c r="AQ1029" i="1" s="1"/>
  <c r="AA1029" i="1"/>
  <c r="Z1023" i="1"/>
  <c r="AQ1023" i="1" s="1"/>
  <c r="AA1023" i="1"/>
  <c r="Z1017" i="1"/>
  <c r="AQ1017" i="1" s="1"/>
  <c r="AA1017" i="1"/>
  <c r="Z1011" i="1"/>
  <c r="AQ1011" i="1" s="1"/>
  <c r="AA1011" i="1"/>
  <c r="Z1005" i="1"/>
  <c r="AQ1005" i="1" s="1"/>
  <c r="AA1005" i="1"/>
  <c r="AA999" i="1"/>
  <c r="AA993" i="1"/>
  <c r="AA987" i="1"/>
  <c r="Z981" i="1"/>
  <c r="AQ981" i="1" s="1"/>
  <c r="AA981" i="1"/>
  <c r="Z975" i="1"/>
  <c r="AQ975" i="1" s="1"/>
  <c r="AA975" i="1"/>
  <c r="AA969" i="1"/>
  <c r="Z963" i="1"/>
  <c r="AQ963" i="1" s="1"/>
  <c r="AA963" i="1"/>
  <c r="Z957" i="1"/>
  <c r="AQ957" i="1" s="1"/>
  <c r="AA957" i="1"/>
  <c r="AA952" i="1"/>
  <c r="AA945" i="1"/>
  <c r="Z940" i="1"/>
  <c r="AQ940" i="1" s="1"/>
  <c r="AA940" i="1"/>
  <c r="Z933" i="1"/>
  <c r="AQ933" i="1" s="1"/>
  <c r="AA933" i="1"/>
  <c r="Z927" i="1"/>
  <c r="AQ927" i="1" s="1"/>
  <c r="AA927" i="1"/>
  <c r="AA921" i="1"/>
  <c r="Z909" i="1"/>
  <c r="AQ909" i="1" s="1"/>
  <c r="AA909" i="1"/>
  <c r="Z903" i="1"/>
  <c r="AQ903" i="1" s="1"/>
  <c r="AA903" i="1"/>
  <c r="AB903" i="1"/>
  <c r="Z897" i="1"/>
  <c r="AQ897" i="1" s="1"/>
  <c r="AA897" i="1"/>
  <c r="Z890" i="1"/>
  <c r="AQ890" i="1" s="1"/>
  <c r="AA890" i="1"/>
  <c r="AB890" i="1"/>
  <c r="Z885" i="1"/>
  <c r="AQ885" i="1" s="1"/>
  <c r="AA885" i="1"/>
  <c r="Z879" i="1"/>
  <c r="AQ879" i="1" s="1"/>
  <c r="AA879" i="1"/>
  <c r="Z873" i="1"/>
  <c r="AQ873" i="1" s="1"/>
  <c r="AA873" i="1"/>
  <c r="Z867" i="1"/>
  <c r="AQ867" i="1" s="1"/>
  <c r="AA867" i="1"/>
  <c r="AB867" i="1"/>
  <c r="Z861" i="1"/>
  <c r="AQ861" i="1" s="1"/>
  <c r="AA861" i="1"/>
  <c r="AB861" i="1"/>
  <c r="Z855" i="1"/>
  <c r="AQ855" i="1" s="1"/>
  <c r="AA855" i="1"/>
  <c r="AB855" i="1"/>
  <c r="Z849" i="1"/>
  <c r="AQ849" i="1" s="1"/>
  <c r="AA849" i="1"/>
  <c r="Z843" i="1"/>
  <c r="AQ843" i="1" s="1"/>
  <c r="AA843" i="1"/>
  <c r="Z837" i="1"/>
  <c r="AQ837" i="1" s="1"/>
  <c r="AA837" i="1"/>
  <c r="AB837" i="1"/>
  <c r="Z831" i="1"/>
  <c r="AQ831" i="1" s="1"/>
  <c r="AA831" i="1"/>
  <c r="AB831" i="1"/>
  <c r="Z825" i="1"/>
  <c r="AQ825" i="1" s="1"/>
  <c r="AA825" i="1"/>
  <c r="AB825" i="1"/>
  <c r="Z818" i="1"/>
  <c r="AQ818" i="1" s="1"/>
  <c r="AA818" i="1"/>
  <c r="AB818" i="1"/>
  <c r="Z801" i="1"/>
  <c r="AQ801" i="1" s="1"/>
  <c r="AA801" i="1"/>
  <c r="AB801" i="1"/>
  <c r="AA795" i="1"/>
  <c r="AB795" i="1"/>
  <c r="Z789" i="1"/>
  <c r="AQ789" i="1" s="1"/>
  <c r="AB789" i="1"/>
  <c r="AA789" i="1"/>
  <c r="Z783" i="1"/>
  <c r="AQ783" i="1" s="1"/>
  <c r="AA783" i="1"/>
  <c r="AB783" i="1"/>
  <c r="Z777" i="1"/>
  <c r="AQ777" i="1" s="1"/>
  <c r="AA777" i="1"/>
  <c r="Z765" i="1"/>
  <c r="AQ765" i="1" s="1"/>
  <c r="AA765" i="1"/>
  <c r="AB765" i="1"/>
  <c r="Z760" i="1"/>
  <c r="AQ760" i="1" s="1"/>
  <c r="AA760" i="1"/>
  <c r="AB760" i="1"/>
  <c r="Z753" i="1"/>
  <c r="AQ753" i="1" s="1"/>
  <c r="AA753" i="1"/>
  <c r="AB753" i="1"/>
  <c r="Z747" i="1"/>
  <c r="AQ747" i="1" s="1"/>
  <c r="AA747" i="1"/>
  <c r="AB747" i="1"/>
  <c r="Z741" i="1"/>
  <c r="AQ741" i="1" s="1"/>
  <c r="AA741" i="1"/>
  <c r="Z735" i="1"/>
  <c r="AQ735" i="1" s="1"/>
  <c r="AA735" i="1"/>
  <c r="Z729" i="1"/>
  <c r="AQ729" i="1" s="1"/>
  <c r="AA729" i="1"/>
  <c r="AB729" i="1"/>
  <c r="AA723" i="1"/>
  <c r="AB723" i="1"/>
  <c r="Z717" i="1"/>
  <c r="AQ717" i="1" s="1"/>
  <c r="AA717" i="1"/>
  <c r="AB717" i="1"/>
  <c r="AA711" i="1"/>
  <c r="AB711" i="1"/>
  <c r="Z705" i="1"/>
  <c r="AQ705" i="1" s="1"/>
  <c r="AA705" i="1"/>
  <c r="Z693" i="1"/>
  <c r="AQ693" i="1" s="1"/>
  <c r="AA693" i="1"/>
  <c r="AB693" i="1"/>
  <c r="Z687" i="1"/>
  <c r="AQ687" i="1" s="1"/>
  <c r="AA687" i="1"/>
  <c r="AB687" i="1"/>
  <c r="AA681" i="1"/>
  <c r="AB681" i="1"/>
  <c r="Z675" i="1"/>
  <c r="AQ675" i="1" s="1"/>
  <c r="AA675" i="1"/>
  <c r="AB675" i="1"/>
  <c r="Z663" i="1"/>
  <c r="AQ663" i="1" s="1"/>
  <c r="AA663" i="1"/>
  <c r="Z657" i="1"/>
  <c r="AQ657" i="1" s="1"/>
  <c r="AA657" i="1"/>
  <c r="AB657" i="1"/>
  <c r="Z651" i="1"/>
  <c r="AQ651" i="1" s="1"/>
  <c r="AA651" i="1"/>
  <c r="AB651" i="1"/>
  <c r="Z645" i="1"/>
  <c r="AQ645" i="1" s="1"/>
  <c r="AA645" i="1"/>
  <c r="AB645" i="1"/>
  <c r="AA639" i="1"/>
  <c r="AB639" i="1"/>
  <c r="Z633" i="1"/>
  <c r="AQ633" i="1" s="1"/>
  <c r="AA633" i="1"/>
  <c r="Z627" i="1"/>
  <c r="AQ627" i="1" s="1"/>
  <c r="AA627" i="1"/>
  <c r="Z621" i="1"/>
  <c r="AQ621" i="1" s="1"/>
  <c r="AA621" i="1"/>
  <c r="AB621" i="1"/>
  <c r="Z615" i="1"/>
  <c r="AQ615" i="1" s="1"/>
  <c r="AA615" i="1"/>
  <c r="AB615" i="1"/>
  <c r="Z609" i="1"/>
  <c r="AQ609" i="1" s="1"/>
  <c r="AA609" i="1"/>
  <c r="AB609" i="1"/>
  <c r="Z603" i="1"/>
  <c r="AQ603" i="1" s="1"/>
  <c r="AA603" i="1"/>
  <c r="AB603" i="1"/>
  <c r="Z597" i="1"/>
  <c r="AQ597" i="1" s="1"/>
  <c r="AA597" i="1"/>
  <c r="Z586" i="1"/>
  <c r="AQ586" i="1" s="1"/>
  <c r="AA586" i="1"/>
  <c r="AB586" i="1"/>
  <c r="Z584" i="1"/>
  <c r="AQ584" i="1" s="1"/>
  <c r="AA584" i="1"/>
  <c r="AB584" i="1"/>
  <c r="Z573" i="1"/>
  <c r="AQ573" i="1" s="1"/>
  <c r="AA573" i="1"/>
  <c r="Z567" i="1"/>
  <c r="AQ567" i="1" s="1"/>
  <c r="AA567" i="1"/>
  <c r="AB567" i="1"/>
  <c r="Z561" i="1"/>
  <c r="AQ561" i="1" s="1"/>
  <c r="AA561" i="1"/>
  <c r="AB561" i="1"/>
  <c r="Z555" i="1"/>
  <c r="AQ555" i="1" s="1"/>
  <c r="AA555" i="1"/>
  <c r="Z549" i="1"/>
  <c r="AQ549" i="1" s="1"/>
  <c r="AA549" i="1"/>
  <c r="AB549" i="1"/>
  <c r="AA543" i="1"/>
  <c r="AB543" i="1"/>
  <c r="Z537" i="1"/>
  <c r="AQ537" i="1" s="1"/>
  <c r="AA537" i="1"/>
  <c r="AB537" i="1"/>
  <c r="Z531" i="1"/>
  <c r="AQ531" i="1" s="1"/>
  <c r="AA531" i="1"/>
  <c r="AA525" i="1"/>
  <c r="AB525" i="1"/>
  <c r="Z519" i="1"/>
  <c r="AQ519" i="1" s="1"/>
  <c r="AA519" i="1"/>
  <c r="AA513" i="1"/>
  <c r="AB513" i="1"/>
  <c r="Z507" i="1"/>
  <c r="AQ507" i="1" s="1"/>
  <c r="AA507" i="1"/>
  <c r="AB507" i="1"/>
  <c r="Z501" i="1"/>
  <c r="AQ501" i="1" s="1"/>
  <c r="AA501" i="1"/>
  <c r="Z495" i="1"/>
  <c r="AQ495" i="1" s="1"/>
  <c r="AA495" i="1"/>
  <c r="AB495" i="1"/>
  <c r="AA489" i="1"/>
  <c r="AB489" i="1"/>
  <c r="Z477" i="1"/>
  <c r="AQ477" i="1" s="1"/>
  <c r="AA477" i="1"/>
  <c r="AB477" i="1"/>
  <c r="Z471" i="1"/>
  <c r="AQ471" i="1" s="1"/>
  <c r="AA471" i="1"/>
  <c r="AB471" i="1"/>
  <c r="Z465" i="1"/>
  <c r="AQ465" i="1" s="1"/>
  <c r="AA465" i="1"/>
  <c r="Z459" i="1"/>
  <c r="AQ459" i="1" s="1"/>
  <c r="AA459" i="1"/>
  <c r="AB459" i="1"/>
  <c r="Z453" i="1"/>
  <c r="AQ453" i="1" s="1"/>
  <c r="AA453" i="1"/>
  <c r="AB453" i="1"/>
  <c r="AA447" i="1"/>
  <c r="AA441" i="1"/>
  <c r="AB441" i="1"/>
  <c r="Z435" i="1"/>
  <c r="AQ435" i="1" s="1"/>
  <c r="AA435" i="1"/>
  <c r="AB435" i="1"/>
  <c r="Z429" i="1"/>
  <c r="AQ429" i="1" s="1"/>
  <c r="AA429" i="1"/>
  <c r="Z423" i="1"/>
  <c r="AQ423" i="1" s="1"/>
  <c r="AA423" i="1"/>
  <c r="AB423" i="1"/>
  <c r="Z417" i="1"/>
  <c r="AQ417" i="1" s="1"/>
  <c r="AA417" i="1"/>
  <c r="AB417" i="1"/>
  <c r="Z411" i="1"/>
  <c r="AQ411" i="1" s="1"/>
  <c r="AA411" i="1"/>
  <c r="Z405" i="1"/>
  <c r="AQ405" i="1" s="1"/>
  <c r="AA405" i="1"/>
  <c r="AB405" i="1"/>
  <c r="Z399" i="1"/>
  <c r="AQ399" i="1" s="1"/>
  <c r="AA399" i="1"/>
  <c r="AB399" i="1"/>
  <c r="Z393" i="1"/>
  <c r="AQ393" i="1" s="1"/>
  <c r="AA393" i="1"/>
  <c r="Z387" i="1"/>
  <c r="AQ387" i="1" s="1"/>
  <c r="AA387" i="1"/>
  <c r="AB387" i="1"/>
  <c r="Z381" i="1"/>
  <c r="AQ381" i="1" s="1"/>
  <c r="AA381" i="1"/>
  <c r="AB381" i="1"/>
  <c r="Z376" i="1"/>
  <c r="AQ376" i="1" s="1"/>
  <c r="AA376" i="1"/>
  <c r="Z369" i="1"/>
  <c r="AQ369" i="1" s="1"/>
  <c r="AA369" i="1"/>
  <c r="AB369" i="1"/>
  <c r="AA363" i="1"/>
  <c r="AB363" i="1"/>
  <c r="Z357" i="1"/>
  <c r="AQ357" i="1" s="1"/>
  <c r="AA357" i="1"/>
  <c r="Z351" i="1"/>
  <c r="AQ351" i="1" s="1"/>
  <c r="AA351" i="1"/>
  <c r="AB351" i="1"/>
  <c r="AA345" i="1"/>
  <c r="AB345" i="1"/>
  <c r="Z339" i="1"/>
  <c r="AQ339" i="1" s="1"/>
  <c r="AA339" i="1"/>
  <c r="Z333" i="1"/>
  <c r="AQ333" i="1" s="1"/>
  <c r="AA333" i="1"/>
  <c r="AB333" i="1"/>
  <c r="Z327" i="1"/>
  <c r="AQ327" i="1" s="1"/>
  <c r="AA327" i="1"/>
  <c r="AB327" i="1"/>
  <c r="Z321" i="1"/>
  <c r="AQ321" i="1" s="1"/>
  <c r="AA321" i="1"/>
  <c r="Z315" i="1"/>
  <c r="AQ315" i="1" s="1"/>
  <c r="AA315" i="1"/>
  <c r="AB315" i="1"/>
  <c r="AA309" i="1"/>
  <c r="AB309" i="1"/>
  <c r="Z297" i="1"/>
  <c r="AQ297" i="1" s="1"/>
  <c r="AA297" i="1"/>
  <c r="AB297" i="1"/>
  <c r="Z291" i="1"/>
  <c r="AQ291" i="1" s="1"/>
  <c r="AA291" i="1"/>
  <c r="AB291" i="1"/>
  <c r="Z285" i="1"/>
  <c r="AQ285" i="1" s="1"/>
  <c r="AA285" i="1"/>
  <c r="AA279" i="1"/>
  <c r="AB279" i="1"/>
  <c r="AA273" i="1"/>
  <c r="AB273" i="1"/>
  <c r="Z262" i="1"/>
  <c r="AQ262" i="1" s="1"/>
  <c r="AA262" i="1"/>
  <c r="AB262" i="1"/>
  <c r="AA255" i="1"/>
  <c r="AB255" i="1"/>
  <c r="Z248" i="1"/>
  <c r="AQ248" i="1" s="1"/>
  <c r="AA248" i="1"/>
  <c r="Z243" i="1"/>
  <c r="AQ243" i="1" s="1"/>
  <c r="AA243" i="1"/>
  <c r="AB243" i="1"/>
  <c r="Z237" i="1"/>
  <c r="AQ237" i="1" s="1"/>
  <c r="AA237" i="1"/>
  <c r="AB237" i="1"/>
  <c r="AA225" i="1"/>
  <c r="AB225" i="1"/>
  <c r="Z219" i="1"/>
  <c r="AQ219" i="1" s="1"/>
  <c r="AA219" i="1"/>
  <c r="AB219" i="1"/>
  <c r="Z214" i="1"/>
  <c r="AQ214" i="1" s="1"/>
  <c r="AA214" i="1"/>
  <c r="AA207" i="1"/>
  <c r="AB207" i="1"/>
  <c r="Z201" i="1"/>
  <c r="AQ201" i="1" s="1"/>
  <c r="AA201" i="1"/>
  <c r="AB201" i="1"/>
  <c r="Z195" i="1"/>
  <c r="AQ195" i="1" s="1"/>
  <c r="AA195" i="1"/>
  <c r="Z189" i="1"/>
  <c r="AQ189" i="1" s="1"/>
  <c r="AA189" i="1"/>
  <c r="AB189" i="1"/>
  <c r="Z183" i="1"/>
  <c r="AQ183" i="1" s="1"/>
  <c r="AA183" i="1"/>
  <c r="AB183" i="1"/>
  <c r="Z177" i="1"/>
  <c r="AQ177" i="1" s="1"/>
  <c r="AA177" i="1"/>
  <c r="Z171" i="1"/>
  <c r="AQ171" i="1" s="1"/>
  <c r="AA171" i="1"/>
  <c r="AB171" i="1"/>
  <c r="AA165" i="1"/>
  <c r="AB165" i="1"/>
  <c r="AA154" i="1"/>
  <c r="AB154" i="1"/>
  <c r="Z147" i="1"/>
  <c r="AQ147" i="1" s="1"/>
  <c r="AA147" i="1"/>
  <c r="AB147" i="1"/>
  <c r="Z141" i="1"/>
  <c r="AQ141" i="1" s="1"/>
  <c r="AA141" i="1"/>
  <c r="AA135" i="1"/>
  <c r="Z123" i="1"/>
  <c r="AQ123" i="1" s="1"/>
  <c r="AA123" i="1"/>
  <c r="AB123" i="1"/>
  <c r="Z117" i="1"/>
  <c r="AQ117" i="1" s="1"/>
  <c r="AA117" i="1"/>
  <c r="AB117" i="1"/>
  <c r="Z111" i="1"/>
  <c r="AQ111" i="1" s="1"/>
  <c r="AA111" i="1"/>
  <c r="AB111" i="1"/>
  <c r="Z105" i="1"/>
  <c r="AQ105" i="1" s="1"/>
  <c r="AA105" i="1"/>
  <c r="AB105" i="1"/>
  <c r="Z99" i="1"/>
  <c r="AQ99" i="1" s="1"/>
  <c r="AA99" i="1"/>
  <c r="AB99" i="1"/>
  <c r="Z93" i="1"/>
  <c r="AQ93" i="1" s="1"/>
  <c r="AA93" i="1"/>
  <c r="AB93" i="1"/>
  <c r="Z87" i="1"/>
  <c r="AQ87" i="1" s="1"/>
  <c r="AA87" i="1"/>
  <c r="AB87" i="1"/>
  <c r="Z81" i="1"/>
  <c r="AQ81" i="1" s="1"/>
  <c r="AA81" i="1"/>
  <c r="AB81" i="1"/>
  <c r="Z75" i="1"/>
  <c r="AQ75" i="1" s="1"/>
  <c r="AA75" i="1"/>
  <c r="AB75" i="1"/>
  <c r="Z65" i="1"/>
  <c r="AQ65" i="1" s="1"/>
  <c r="AA65" i="1"/>
  <c r="AB65" i="1"/>
  <c r="Z63" i="1"/>
  <c r="AQ63" i="1" s="1"/>
  <c r="AA63" i="1"/>
  <c r="AB63" i="1"/>
  <c r="Z57" i="1"/>
  <c r="AQ57" i="1" s="1"/>
  <c r="AA57" i="1"/>
  <c r="AB57" i="1"/>
  <c r="AA51" i="1"/>
  <c r="AB51" i="1"/>
  <c r="Z45" i="1"/>
  <c r="AQ45" i="1" s="1"/>
  <c r="AA45" i="1"/>
  <c r="AB45" i="1"/>
  <c r="AA39" i="1"/>
  <c r="AB39" i="1"/>
  <c r="Z33" i="1"/>
  <c r="AQ33" i="1" s="1"/>
  <c r="AA33" i="1"/>
  <c r="AB33" i="1"/>
  <c r="Z27" i="1"/>
  <c r="AQ27" i="1" s="1"/>
  <c r="AA27" i="1"/>
  <c r="AB27" i="1"/>
  <c r="AA21" i="1"/>
  <c r="AB21" i="1"/>
  <c r="Z15" i="1"/>
  <c r="AQ15" i="1" s="1"/>
  <c r="AA15" i="1"/>
  <c r="AB15" i="1"/>
  <c r="Z9" i="1"/>
  <c r="AQ9" i="1" s="1"/>
  <c r="AA9" i="1"/>
  <c r="AB9" i="1"/>
  <c r="Z3" i="1"/>
  <c r="AQ3" i="1" s="1"/>
  <c r="AA3" i="1"/>
  <c r="AB3" i="1"/>
  <c r="AB1130" i="1"/>
  <c r="AB1076" i="1"/>
  <c r="AB1022" i="1"/>
  <c r="AB1004" i="1"/>
  <c r="AB968" i="1"/>
  <c r="AB932" i="1"/>
  <c r="AB904" i="1"/>
  <c r="AB882" i="1"/>
  <c r="AB859" i="1"/>
  <c r="AB844" i="1"/>
  <c r="AB806" i="1"/>
  <c r="AB784" i="1"/>
  <c r="AB762" i="1"/>
  <c r="AB741" i="1"/>
  <c r="AB699" i="1"/>
  <c r="AB676" i="1"/>
  <c r="AB654" i="1"/>
  <c r="AB633" i="1"/>
  <c r="AB531" i="1"/>
  <c r="AB483" i="1"/>
  <c r="AB429" i="1"/>
  <c r="AB376" i="1"/>
  <c r="AB321" i="1"/>
  <c r="AB267" i="1"/>
  <c r="AB214" i="1"/>
  <c r="AB159" i="1"/>
  <c r="AB94" i="1"/>
  <c r="AB40" i="1"/>
  <c r="AA1291" i="1"/>
  <c r="AA1207" i="1"/>
  <c r="AA1076" i="1"/>
  <c r="AA807" i="1"/>
  <c r="Z1310" i="1"/>
  <c r="AQ1310" i="1" s="1"/>
  <c r="AA1310" i="1"/>
  <c r="Z1304" i="1"/>
  <c r="AQ1304" i="1" s="1"/>
  <c r="AA1304" i="1"/>
  <c r="Z1298" i="1"/>
  <c r="AQ1298" i="1" s="1"/>
  <c r="AA1298" i="1"/>
  <c r="Z1292" i="1"/>
  <c r="AQ1292" i="1" s="1"/>
  <c r="AA1292" i="1"/>
  <c r="Z1286" i="1"/>
  <c r="AQ1286" i="1" s="1"/>
  <c r="AA1286" i="1"/>
  <c r="Z1280" i="1"/>
  <c r="AQ1280" i="1" s="1"/>
  <c r="AA1280" i="1"/>
  <c r="Z1274" i="1"/>
  <c r="AQ1274" i="1" s="1"/>
  <c r="AA1274" i="1"/>
  <c r="Z1268" i="1"/>
  <c r="AQ1268" i="1" s="1"/>
  <c r="AA1268" i="1"/>
  <c r="Z1262" i="1"/>
  <c r="AQ1262" i="1" s="1"/>
  <c r="AA1262" i="1"/>
  <c r="Z1256" i="1"/>
  <c r="AQ1256" i="1" s="1"/>
  <c r="AA1256" i="1"/>
  <c r="Z1250" i="1"/>
  <c r="AQ1250" i="1" s="1"/>
  <c r="AA1250" i="1"/>
  <c r="Z1244" i="1"/>
  <c r="AQ1244" i="1" s="1"/>
  <c r="AA1244" i="1"/>
  <c r="Z1238" i="1"/>
  <c r="AQ1238" i="1" s="1"/>
  <c r="AA1238" i="1"/>
  <c r="Z1232" i="1"/>
  <c r="AQ1232" i="1" s="1"/>
  <c r="AA1232" i="1"/>
  <c r="Z1226" i="1"/>
  <c r="AQ1226" i="1" s="1"/>
  <c r="AA1226" i="1"/>
  <c r="Z1220" i="1"/>
  <c r="AQ1220" i="1" s="1"/>
  <c r="AA1220" i="1"/>
  <c r="Z1208" i="1"/>
  <c r="AQ1208" i="1" s="1"/>
  <c r="AA1208" i="1"/>
  <c r="AA1202" i="1"/>
  <c r="Z1196" i="1"/>
  <c r="AQ1196" i="1" s="1"/>
  <c r="AA1196" i="1"/>
  <c r="Z1190" i="1"/>
  <c r="AQ1190" i="1" s="1"/>
  <c r="AA1190" i="1"/>
  <c r="Z1184" i="1"/>
  <c r="AQ1184" i="1" s="1"/>
  <c r="AA1184" i="1"/>
  <c r="AA1178" i="1"/>
  <c r="Z1166" i="1"/>
  <c r="AQ1166" i="1" s="1"/>
  <c r="AA1166" i="1"/>
  <c r="AA1160" i="1"/>
  <c r="Z1154" i="1"/>
  <c r="AQ1154" i="1" s="1"/>
  <c r="AA1154" i="1"/>
  <c r="Z1148" i="1"/>
  <c r="AQ1148" i="1" s="1"/>
  <c r="AA1148" i="1"/>
  <c r="Z1142" i="1"/>
  <c r="AQ1142" i="1" s="1"/>
  <c r="AA1142" i="1"/>
  <c r="Z1136" i="1"/>
  <c r="AQ1136" i="1" s="1"/>
  <c r="AA1136" i="1"/>
  <c r="Z1118" i="1"/>
  <c r="AQ1118" i="1" s="1"/>
  <c r="AA1118" i="1"/>
  <c r="Z1112" i="1"/>
  <c r="AQ1112" i="1" s="1"/>
  <c r="AA1112" i="1"/>
  <c r="Z1106" i="1"/>
  <c r="AQ1106" i="1" s="1"/>
  <c r="AA1106" i="1"/>
  <c r="Z1100" i="1"/>
  <c r="AQ1100" i="1" s="1"/>
  <c r="AA1100" i="1"/>
  <c r="Z1094" i="1"/>
  <c r="AQ1094" i="1" s="1"/>
  <c r="AA1094" i="1"/>
  <c r="Z1082" i="1"/>
  <c r="AQ1082" i="1" s="1"/>
  <c r="AA1082" i="1"/>
  <c r="Z1070" i="1"/>
  <c r="AQ1070" i="1" s="1"/>
  <c r="AA1070" i="1"/>
  <c r="Z1064" i="1"/>
  <c r="AQ1064" i="1" s="1"/>
  <c r="AA1064" i="1"/>
  <c r="Z1058" i="1"/>
  <c r="AQ1058" i="1" s="1"/>
  <c r="AA1058" i="1"/>
  <c r="Z1052" i="1"/>
  <c r="AQ1052" i="1" s="1"/>
  <c r="AA1052" i="1"/>
  <c r="Z1040" i="1"/>
  <c r="AQ1040" i="1" s="1"/>
  <c r="AA1040" i="1"/>
  <c r="Z1028" i="1"/>
  <c r="AQ1028" i="1" s="1"/>
  <c r="AA1028" i="1"/>
  <c r="Z1010" i="1"/>
  <c r="AQ1010" i="1" s="1"/>
  <c r="AA1010" i="1"/>
  <c r="Z995" i="1"/>
  <c r="AQ995" i="1" s="1"/>
  <c r="AA995" i="1"/>
  <c r="Z992" i="1"/>
  <c r="AQ992" i="1" s="1"/>
  <c r="AA992" i="1"/>
  <c r="Z986" i="1"/>
  <c r="AQ986" i="1" s="1"/>
  <c r="AA986" i="1"/>
  <c r="Z974" i="1"/>
  <c r="AQ974" i="1" s="1"/>
  <c r="AA974" i="1"/>
  <c r="Z962" i="1"/>
  <c r="AQ962" i="1" s="1"/>
  <c r="AA962" i="1"/>
  <c r="Z956" i="1"/>
  <c r="AQ956" i="1" s="1"/>
  <c r="AA956" i="1"/>
  <c r="Z951" i="1"/>
  <c r="AQ951" i="1" s="1"/>
  <c r="AA951" i="1"/>
  <c r="Z944" i="1"/>
  <c r="AQ944" i="1" s="1"/>
  <c r="AA944" i="1"/>
  <c r="Z923" i="1"/>
  <c r="AQ923" i="1" s="1"/>
  <c r="AA923" i="1"/>
  <c r="Z920" i="1"/>
  <c r="AQ920" i="1" s="1"/>
  <c r="AA920" i="1"/>
  <c r="Z914" i="1"/>
  <c r="AQ914" i="1" s="1"/>
  <c r="AA914" i="1"/>
  <c r="Z902" i="1"/>
  <c r="AQ902" i="1" s="1"/>
  <c r="AA902" i="1"/>
  <c r="Z895" i="1"/>
  <c r="AQ895" i="1" s="1"/>
  <c r="AA895" i="1"/>
  <c r="AB895" i="1"/>
  <c r="Z891" i="1"/>
  <c r="AQ891" i="1" s="1"/>
  <c r="AA891" i="1"/>
  <c r="Z884" i="1"/>
  <c r="AQ884" i="1" s="1"/>
  <c r="AA884" i="1"/>
  <c r="AB884" i="1"/>
  <c r="Z878" i="1"/>
  <c r="AQ878" i="1" s="1"/>
  <c r="AA878" i="1"/>
  <c r="Z872" i="1"/>
  <c r="AQ872" i="1" s="1"/>
  <c r="AA872" i="1"/>
  <c r="Z866" i="1"/>
  <c r="AQ866" i="1" s="1"/>
  <c r="AA866" i="1"/>
  <c r="Z860" i="1"/>
  <c r="AQ860" i="1" s="1"/>
  <c r="AA860" i="1"/>
  <c r="AB860" i="1"/>
  <c r="AA854" i="1"/>
  <c r="AB854" i="1"/>
  <c r="Z848" i="1"/>
  <c r="AQ848" i="1" s="1"/>
  <c r="AA848" i="1"/>
  <c r="AB848" i="1"/>
  <c r="Z842" i="1"/>
  <c r="AQ842" i="1" s="1"/>
  <c r="AA842" i="1"/>
  <c r="Z836" i="1"/>
  <c r="AQ836" i="1" s="1"/>
  <c r="AA836" i="1"/>
  <c r="Z830" i="1"/>
  <c r="AQ830" i="1" s="1"/>
  <c r="AA830" i="1"/>
  <c r="AB830" i="1"/>
  <c r="Z824" i="1"/>
  <c r="AQ824" i="1" s="1"/>
  <c r="AA824" i="1"/>
  <c r="AB824" i="1"/>
  <c r="Z819" i="1"/>
  <c r="AQ819" i="1" s="1"/>
  <c r="AA819" i="1"/>
  <c r="AB819" i="1"/>
  <c r="Z812" i="1"/>
  <c r="AQ812" i="1" s="1"/>
  <c r="AA812" i="1"/>
  <c r="AB812" i="1"/>
  <c r="Z800" i="1"/>
  <c r="AQ800" i="1" s="1"/>
  <c r="AA800" i="1"/>
  <c r="Z794" i="1"/>
  <c r="AQ794" i="1" s="1"/>
  <c r="AA794" i="1"/>
  <c r="AB794" i="1"/>
  <c r="AA788" i="1"/>
  <c r="AB788" i="1"/>
  <c r="Z782" i="1"/>
  <c r="AQ782" i="1" s="1"/>
  <c r="AA782" i="1"/>
  <c r="AB782" i="1"/>
  <c r="Z775" i="1"/>
  <c r="AQ775" i="1" s="1"/>
  <c r="AA775" i="1"/>
  <c r="AB775" i="1"/>
  <c r="Z770" i="1"/>
  <c r="AQ770" i="1" s="1"/>
  <c r="AA770" i="1"/>
  <c r="Z764" i="1"/>
  <c r="AQ764" i="1" s="1"/>
  <c r="AA764" i="1"/>
  <c r="AA758" i="1"/>
  <c r="AB758" i="1"/>
  <c r="Z752" i="1"/>
  <c r="AQ752" i="1" s="1"/>
  <c r="AA752" i="1"/>
  <c r="AB752" i="1"/>
  <c r="Z746" i="1"/>
  <c r="AQ746" i="1" s="1"/>
  <c r="AA746" i="1"/>
  <c r="AB746" i="1"/>
  <c r="Z740" i="1"/>
  <c r="AQ740" i="1" s="1"/>
  <c r="AA740" i="1"/>
  <c r="AB740" i="1"/>
  <c r="Z734" i="1"/>
  <c r="AQ734" i="1" s="1"/>
  <c r="AA734" i="1"/>
  <c r="Z728" i="1"/>
  <c r="AQ728" i="1" s="1"/>
  <c r="AA728" i="1"/>
  <c r="Z722" i="1"/>
  <c r="AQ722" i="1" s="1"/>
  <c r="AA722" i="1"/>
  <c r="AB722" i="1"/>
  <c r="Z716" i="1"/>
  <c r="AQ716" i="1" s="1"/>
  <c r="AA716" i="1"/>
  <c r="AB716" i="1"/>
  <c r="Z710" i="1"/>
  <c r="AQ710" i="1" s="1"/>
  <c r="AA710" i="1"/>
  <c r="AB710" i="1"/>
  <c r="Z704" i="1"/>
  <c r="AQ704" i="1" s="1"/>
  <c r="AA704" i="1"/>
  <c r="AB704" i="1"/>
  <c r="Z692" i="1"/>
  <c r="AQ692" i="1" s="1"/>
  <c r="AA692" i="1"/>
  <c r="Z686" i="1"/>
  <c r="AQ686" i="1" s="1"/>
  <c r="AA686" i="1"/>
  <c r="AB686" i="1"/>
  <c r="Z680" i="1"/>
  <c r="AQ680" i="1" s="1"/>
  <c r="AA680" i="1"/>
  <c r="AB680" i="1"/>
  <c r="AA674" i="1"/>
  <c r="AB674" i="1"/>
  <c r="Z668" i="1"/>
  <c r="AQ668" i="1" s="1"/>
  <c r="AA668" i="1"/>
  <c r="AB668" i="1"/>
  <c r="Z661" i="1"/>
  <c r="AQ661" i="1" s="1"/>
  <c r="AA661" i="1"/>
  <c r="Z656" i="1"/>
  <c r="AQ656" i="1" s="1"/>
  <c r="AA656" i="1"/>
  <c r="Z650" i="1"/>
  <c r="AQ650" i="1" s="1"/>
  <c r="AA650" i="1"/>
  <c r="AB650" i="1"/>
  <c r="Z644" i="1"/>
  <c r="AQ644" i="1" s="1"/>
  <c r="AA644" i="1"/>
  <c r="AB644" i="1"/>
  <c r="AA638" i="1"/>
  <c r="AB638" i="1"/>
  <c r="AA632" i="1"/>
  <c r="AB632" i="1"/>
  <c r="Z626" i="1"/>
  <c r="AQ626" i="1" s="1"/>
  <c r="AA626" i="1"/>
  <c r="Z620" i="1"/>
  <c r="AQ620" i="1" s="1"/>
  <c r="AA620" i="1"/>
  <c r="AA614" i="1"/>
  <c r="AB614" i="1"/>
  <c r="Z608" i="1"/>
  <c r="AQ608" i="1" s="1"/>
  <c r="AA608" i="1"/>
  <c r="AB608" i="1"/>
  <c r="Z602" i="1"/>
  <c r="AQ602" i="1" s="1"/>
  <c r="AA602" i="1"/>
  <c r="AB602" i="1"/>
  <c r="Z596" i="1"/>
  <c r="AQ596" i="1" s="1"/>
  <c r="AA596" i="1"/>
  <c r="AB596" i="1"/>
  <c r="Z590" i="1"/>
  <c r="AQ590" i="1" s="1"/>
  <c r="AA590" i="1"/>
  <c r="Z585" i="1"/>
  <c r="AQ585" i="1" s="1"/>
  <c r="AA585" i="1"/>
  <c r="AB585" i="1"/>
  <c r="Z578" i="1"/>
  <c r="AQ578" i="1" s="1"/>
  <c r="AA578" i="1"/>
  <c r="AB578" i="1"/>
  <c r="Z572" i="1"/>
  <c r="AQ572" i="1" s="1"/>
  <c r="AA572" i="1"/>
  <c r="AB572" i="1"/>
  <c r="Z566" i="1"/>
  <c r="AQ566" i="1" s="1"/>
  <c r="AA566" i="1"/>
  <c r="Z560" i="1"/>
  <c r="AQ560" i="1" s="1"/>
  <c r="AA560" i="1"/>
  <c r="AB560" i="1"/>
  <c r="Z554" i="1"/>
  <c r="AQ554" i="1" s="1"/>
  <c r="AA554" i="1"/>
  <c r="AA548" i="1"/>
  <c r="AB548" i="1"/>
  <c r="Z542" i="1"/>
  <c r="AQ542" i="1" s="1"/>
  <c r="AA542" i="1"/>
  <c r="Z536" i="1"/>
  <c r="AQ536" i="1" s="1"/>
  <c r="AA536" i="1"/>
  <c r="AB536" i="1"/>
  <c r="Z530" i="1"/>
  <c r="AQ530" i="1" s="1"/>
  <c r="AA530" i="1"/>
  <c r="AB530" i="1"/>
  <c r="Z524" i="1"/>
  <c r="AQ524" i="1" s="1"/>
  <c r="AA524" i="1"/>
  <c r="AB524" i="1"/>
  <c r="Z518" i="1"/>
  <c r="AQ518" i="1" s="1"/>
  <c r="AA518" i="1"/>
  <c r="AB518" i="1"/>
  <c r="Z512" i="1"/>
  <c r="AQ512" i="1" s="1"/>
  <c r="AA512" i="1"/>
  <c r="AB512" i="1"/>
  <c r="Z506" i="1"/>
  <c r="AQ506" i="1" s="1"/>
  <c r="AA506" i="1"/>
  <c r="AB506" i="1"/>
  <c r="Z500" i="1"/>
  <c r="AQ500" i="1" s="1"/>
  <c r="AA500" i="1"/>
  <c r="AB500" i="1"/>
  <c r="Z494" i="1"/>
  <c r="AQ494" i="1" s="1"/>
  <c r="AA494" i="1"/>
  <c r="AB494" i="1"/>
  <c r="AA488" i="1"/>
  <c r="AB488" i="1"/>
  <c r="Z482" i="1"/>
  <c r="AQ482" i="1" s="1"/>
  <c r="AA482" i="1"/>
  <c r="AB482" i="1"/>
  <c r="Z476" i="1"/>
  <c r="AQ476" i="1" s="1"/>
  <c r="AA476" i="1"/>
  <c r="AB476" i="1"/>
  <c r="Z469" i="1"/>
  <c r="AQ469" i="1" s="1"/>
  <c r="AA469" i="1"/>
  <c r="AB469" i="1"/>
  <c r="Z464" i="1"/>
  <c r="AQ464" i="1" s="1"/>
  <c r="AA464" i="1"/>
  <c r="AB464" i="1"/>
  <c r="AA458" i="1"/>
  <c r="AB458" i="1"/>
  <c r="Z452" i="1"/>
  <c r="AQ452" i="1" s="1"/>
  <c r="AA452" i="1"/>
  <c r="AB452" i="1"/>
  <c r="Z446" i="1"/>
  <c r="AQ446" i="1" s="1"/>
  <c r="AA446" i="1"/>
  <c r="AB446" i="1"/>
  <c r="Z440" i="1"/>
  <c r="AQ440" i="1" s="1"/>
  <c r="AA440" i="1"/>
  <c r="AB440" i="1"/>
  <c r="Z434" i="1"/>
  <c r="AQ434" i="1" s="1"/>
  <c r="AA434" i="1"/>
  <c r="AB434" i="1"/>
  <c r="Z428" i="1"/>
  <c r="AQ428" i="1" s="1"/>
  <c r="AA428" i="1"/>
  <c r="AB428" i="1"/>
  <c r="Z422" i="1"/>
  <c r="AQ422" i="1" s="1"/>
  <c r="AA422" i="1"/>
  <c r="AB422" i="1"/>
  <c r="Z416" i="1"/>
  <c r="AQ416" i="1" s="1"/>
  <c r="AA416" i="1"/>
  <c r="AB416" i="1"/>
  <c r="Z410" i="1"/>
  <c r="AQ410" i="1" s="1"/>
  <c r="AA410" i="1"/>
  <c r="AB410" i="1"/>
  <c r="AA404" i="1"/>
  <c r="AB404" i="1"/>
  <c r="Z398" i="1"/>
  <c r="AQ398" i="1" s="1"/>
  <c r="AA398" i="1"/>
  <c r="AB398" i="1"/>
  <c r="Z392" i="1"/>
  <c r="AQ392" i="1" s="1"/>
  <c r="AA392" i="1"/>
  <c r="AB392" i="1"/>
  <c r="Z386" i="1"/>
  <c r="AQ386" i="1" s="1"/>
  <c r="AA386" i="1"/>
  <c r="AB386" i="1"/>
  <c r="Z380" i="1"/>
  <c r="AQ380" i="1" s="1"/>
  <c r="AA380" i="1"/>
  <c r="AB380" i="1"/>
  <c r="Z374" i="1"/>
  <c r="AQ374" i="1" s="1"/>
  <c r="AA374" i="1"/>
  <c r="AB374" i="1"/>
  <c r="AA368" i="1"/>
  <c r="AB368" i="1"/>
  <c r="Z362" i="1"/>
  <c r="AQ362" i="1" s="1"/>
  <c r="AA362" i="1"/>
  <c r="AB362" i="1"/>
  <c r="Z356" i="1"/>
  <c r="AQ356" i="1" s="1"/>
  <c r="AA356" i="1"/>
  <c r="AB356" i="1"/>
  <c r="Z350" i="1"/>
  <c r="AQ350" i="1" s="1"/>
  <c r="AA350" i="1"/>
  <c r="AB350" i="1"/>
  <c r="AA344" i="1"/>
  <c r="AB344" i="1"/>
  <c r="Z338" i="1"/>
  <c r="AQ338" i="1" s="1"/>
  <c r="AA338" i="1"/>
  <c r="AB338" i="1"/>
  <c r="AA332" i="1"/>
  <c r="AB332" i="1"/>
  <c r="Z326" i="1"/>
  <c r="AQ326" i="1" s="1"/>
  <c r="AA326" i="1"/>
  <c r="AB326" i="1"/>
  <c r="Z320" i="1"/>
  <c r="AQ320" i="1" s="1"/>
  <c r="AA320" i="1"/>
  <c r="AB320" i="1"/>
  <c r="Z314" i="1"/>
  <c r="AQ314" i="1" s="1"/>
  <c r="AA314" i="1"/>
  <c r="AB314" i="1"/>
  <c r="Z308" i="1"/>
  <c r="AQ308" i="1" s="1"/>
  <c r="AA308" i="1"/>
  <c r="AB308" i="1"/>
  <c r="AA302" i="1"/>
  <c r="AB302" i="1"/>
  <c r="Z296" i="1"/>
  <c r="AQ296" i="1" s="1"/>
  <c r="AA296" i="1"/>
  <c r="AB296" i="1"/>
  <c r="Z290" i="1"/>
  <c r="AQ290" i="1" s="1"/>
  <c r="AA290" i="1"/>
  <c r="AB290" i="1"/>
  <c r="Z284" i="1"/>
  <c r="AQ284" i="1" s="1"/>
  <c r="AA284" i="1"/>
  <c r="AB284" i="1"/>
  <c r="Z278" i="1"/>
  <c r="AQ278" i="1" s="1"/>
  <c r="AA278" i="1"/>
  <c r="AB278" i="1"/>
  <c r="AA272" i="1"/>
  <c r="AB272" i="1"/>
  <c r="Z266" i="1"/>
  <c r="AQ266" i="1" s="1"/>
  <c r="AA266" i="1"/>
  <c r="AB266" i="1"/>
  <c r="AA261" i="1"/>
  <c r="AB261" i="1"/>
  <c r="Z254" i="1"/>
  <c r="AQ254" i="1" s="1"/>
  <c r="AA254" i="1"/>
  <c r="AB254" i="1"/>
  <c r="AA249" i="1"/>
  <c r="AB249" i="1"/>
  <c r="Z242" i="1"/>
  <c r="AQ242" i="1" s="1"/>
  <c r="AA242" i="1"/>
  <c r="AB242" i="1"/>
  <c r="Z236" i="1"/>
  <c r="AQ236" i="1" s="1"/>
  <c r="AA236" i="1"/>
  <c r="AB236" i="1"/>
  <c r="Z230" i="1"/>
  <c r="AQ230" i="1" s="1"/>
  <c r="AA230" i="1"/>
  <c r="AB230" i="1"/>
  <c r="Z224" i="1"/>
  <c r="AQ224" i="1" s="1"/>
  <c r="AA224" i="1"/>
  <c r="AB224" i="1"/>
  <c r="Z218" i="1"/>
  <c r="AQ218" i="1" s="1"/>
  <c r="AA218" i="1"/>
  <c r="AB218" i="1"/>
  <c r="Z213" i="1"/>
  <c r="AQ213" i="1" s="1"/>
  <c r="AA213" i="1"/>
  <c r="AB213" i="1"/>
  <c r="Z206" i="1"/>
  <c r="AQ206" i="1" s="1"/>
  <c r="AA206" i="1"/>
  <c r="AB206" i="1"/>
  <c r="Z200" i="1"/>
  <c r="AQ200" i="1" s="1"/>
  <c r="AA200" i="1"/>
  <c r="AB200" i="1"/>
  <c r="Z194" i="1"/>
  <c r="AQ194" i="1" s="1"/>
  <c r="AA194" i="1"/>
  <c r="AB194" i="1"/>
  <c r="AA188" i="1"/>
  <c r="AB188" i="1"/>
  <c r="Z182" i="1"/>
  <c r="AQ182" i="1" s="1"/>
  <c r="AA182" i="1"/>
  <c r="AB182" i="1"/>
  <c r="Z176" i="1"/>
  <c r="AQ176" i="1" s="1"/>
  <c r="AA176" i="1"/>
  <c r="AB176" i="1"/>
  <c r="Z170" i="1"/>
  <c r="AQ170" i="1" s="1"/>
  <c r="AA170" i="1"/>
  <c r="AB170" i="1"/>
  <c r="Z164" i="1"/>
  <c r="AQ164" i="1" s="1"/>
  <c r="AA164" i="1"/>
  <c r="AB164" i="1"/>
  <c r="AA158" i="1"/>
  <c r="AB158" i="1"/>
  <c r="Z152" i="1"/>
  <c r="AQ152" i="1" s="1"/>
  <c r="AA152" i="1"/>
  <c r="AB152" i="1"/>
  <c r="Z146" i="1"/>
  <c r="AQ146" i="1" s="1"/>
  <c r="AA146" i="1"/>
  <c r="AB146" i="1"/>
  <c r="Z140" i="1"/>
  <c r="AQ140" i="1" s="1"/>
  <c r="AA140" i="1"/>
  <c r="AB140" i="1"/>
  <c r="Z122" i="1"/>
  <c r="AQ122" i="1" s="1"/>
  <c r="AA122" i="1"/>
  <c r="AB122" i="1"/>
  <c r="Z116" i="1"/>
  <c r="AQ116" i="1" s="1"/>
  <c r="AA116" i="1"/>
  <c r="AB116" i="1"/>
  <c r="Z110" i="1"/>
  <c r="AQ110" i="1" s="1"/>
  <c r="AA110" i="1"/>
  <c r="AB110" i="1"/>
  <c r="Z103" i="1"/>
  <c r="AQ103" i="1" s="1"/>
  <c r="AA103" i="1"/>
  <c r="AB103" i="1"/>
  <c r="Z98" i="1"/>
  <c r="AQ98" i="1" s="1"/>
  <c r="AA98" i="1"/>
  <c r="AB98" i="1"/>
  <c r="Z92" i="1"/>
  <c r="AQ92" i="1" s="1"/>
  <c r="AA92" i="1"/>
  <c r="AB92" i="1"/>
  <c r="AA86" i="1"/>
  <c r="AB86" i="1"/>
  <c r="AA80" i="1"/>
  <c r="AB80" i="1"/>
  <c r="AA74" i="1"/>
  <c r="AB74" i="1"/>
  <c r="Z69" i="1"/>
  <c r="AQ69" i="1" s="1"/>
  <c r="AA69" i="1"/>
  <c r="AB69" i="1"/>
  <c r="AA62" i="1"/>
  <c r="AB62" i="1"/>
  <c r="Z56" i="1"/>
  <c r="AQ56" i="1" s="1"/>
  <c r="AA56" i="1"/>
  <c r="AB56" i="1"/>
  <c r="AA50" i="1"/>
  <c r="AB50" i="1"/>
  <c r="Z44" i="1"/>
  <c r="AQ44" i="1" s="1"/>
  <c r="AA44" i="1"/>
  <c r="AB44" i="1"/>
  <c r="Z38" i="1"/>
  <c r="AQ38" i="1" s="1"/>
  <c r="AA38" i="1"/>
  <c r="AB38" i="1"/>
  <c r="Z32" i="1"/>
  <c r="AQ32" i="1" s="1"/>
  <c r="AA32" i="1"/>
  <c r="AB32" i="1"/>
  <c r="Z26" i="1"/>
  <c r="AQ26" i="1" s="1"/>
  <c r="AA26" i="1"/>
  <c r="AB26" i="1"/>
  <c r="Z20" i="1"/>
  <c r="AQ20" i="1" s="1"/>
  <c r="AA20" i="1"/>
  <c r="AB20" i="1"/>
  <c r="Z14" i="1"/>
  <c r="AQ14" i="1" s="1"/>
  <c r="AA14" i="1"/>
  <c r="AB14" i="1"/>
  <c r="Z8" i="1"/>
  <c r="AQ8" i="1" s="1"/>
  <c r="AA8" i="1"/>
  <c r="AB8" i="1"/>
  <c r="AB1299" i="1"/>
  <c r="AB1291" i="1"/>
  <c r="AB1281" i="1"/>
  <c r="AB1263" i="1"/>
  <c r="AB1245" i="1"/>
  <c r="AB1227" i="1"/>
  <c r="AB1209" i="1"/>
  <c r="AB1191" i="1"/>
  <c r="AB1173" i="1"/>
  <c r="AB1155" i="1"/>
  <c r="AB1137" i="1"/>
  <c r="AB1129" i="1"/>
  <c r="AB1119" i="1"/>
  <c r="AB1101" i="1"/>
  <c r="AB1083" i="1"/>
  <c r="AB1065" i="1"/>
  <c r="AB1057" i="1"/>
  <c r="AB1044" i="1"/>
  <c r="AB1029" i="1"/>
  <c r="AB1011" i="1"/>
  <c r="AB1003" i="1"/>
  <c r="AB993" i="1"/>
  <c r="AB985" i="1"/>
  <c r="AB975" i="1"/>
  <c r="AB957" i="1"/>
  <c r="AB940" i="1"/>
  <c r="AB921" i="1"/>
  <c r="AB902" i="1"/>
  <c r="AB892" i="1"/>
  <c r="AB880" i="1"/>
  <c r="AB870" i="1"/>
  <c r="AB843" i="1"/>
  <c r="AB800" i="1"/>
  <c r="AB778" i="1"/>
  <c r="AB756" i="1"/>
  <c r="AB735" i="1"/>
  <c r="AB692" i="1"/>
  <c r="AB670" i="1"/>
  <c r="AB648" i="1"/>
  <c r="AB627" i="1"/>
  <c r="AB582" i="1"/>
  <c r="AB555" i="1"/>
  <c r="AB519" i="1"/>
  <c r="AB468" i="1"/>
  <c r="AB414" i="1"/>
  <c r="AB360" i="1"/>
  <c r="AB306" i="1"/>
  <c r="AB252" i="1"/>
  <c r="AB198" i="1"/>
  <c r="AB143" i="1"/>
  <c r="AA1272" i="1"/>
  <c r="AA1172" i="1"/>
  <c r="AA700" i="1"/>
  <c r="Z1309" i="1"/>
  <c r="AQ1309" i="1" s="1"/>
  <c r="AA1309" i="1"/>
  <c r="Z1303" i="1"/>
  <c r="AQ1303" i="1" s="1"/>
  <c r="AA1303" i="1"/>
  <c r="Z1297" i="1"/>
  <c r="AQ1297" i="1" s="1"/>
  <c r="AA1297" i="1"/>
  <c r="Z1285" i="1"/>
  <c r="AQ1285" i="1" s="1"/>
  <c r="AA1285" i="1"/>
  <c r="Z1279" i="1"/>
  <c r="AQ1279" i="1" s="1"/>
  <c r="AA1279" i="1"/>
  <c r="Z1273" i="1"/>
  <c r="AQ1273" i="1" s="1"/>
  <c r="AA1273" i="1"/>
  <c r="Z1267" i="1"/>
  <c r="AQ1267" i="1" s="1"/>
  <c r="AA1267" i="1"/>
  <c r="Z1261" i="1"/>
  <c r="AQ1261" i="1" s="1"/>
  <c r="AA1261" i="1"/>
  <c r="Z1254" i="1"/>
  <c r="AQ1254" i="1" s="1"/>
  <c r="AA1254" i="1"/>
  <c r="Z1249" i="1"/>
  <c r="AQ1249" i="1" s="1"/>
  <c r="AA1249" i="1"/>
  <c r="Z1237" i="1"/>
  <c r="AQ1237" i="1" s="1"/>
  <c r="AA1237" i="1"/>
  <c r="Z1231" i="1"/>
  <c r="AQ1231" i="1" s="1"/>
  <c r="AA1231" i="1"/>
  <c r="Z1225" i="1"/>
  <c r="AQ1225" i="1" s="1"/>
  <c r="AA1225" i="1"/>
  <c r="Z1219" i="1"/>
  <c r="AQ1219" i="1" s="1"/>
  <c r="AA1219" i="1"/>
  <c r="Z1213" i="1"/>
  <c r="AQ1213" i="1" s="1"/>
  <c r="AA1213" i="1"/>
  <c r="Z1201" i="1"/>
  <c r="AQ1201" i="1" s="1"/>
  <c r="AA1201" i="1"/>
  <c r="Z1195" i="1"/>
  <c r="AQ1195" i="1" s="1"/>
  <c r="AA1195" i="1"/>
  <c r="Z1183" i="1"/>
  <c r="AQ1183" i="1" s="1"/>
  <c r="AA1183" i="1"/>
  <c r="Z1177" i="1"/>
  <c r="AQ1177" i="1" s="1"/>
  <c r="AA1177" i="1"/>
  <c r="Z1171" i="1"/>
  <c r="AQ1171" i="1" s="1"/>
  <c r="AA1171" i="1"/>
  <c r="Z1165" i="1"/>
  <c r="AQ1165" i="1" s="1"/>
  <c r="AA1165" i="1"/>
  <c r="Z1159" i="1"/>
  <c r="AQ1159" i="1" s="1"/>
  <c r="AA1159" i="1"/>
  <c r="Z1153" i="1"/>
  <c r="AQ1153" i="1" s="1"/>
  <c r="AA1153" i="1"/>
  <c r="Z1147" i="1"/>
  <c r="AQ1147" i="1" s="1"/>
  <c r="AA1147" i="1"/>
  <c r="Z1135" i="1"/>
  <c r="AQ1135" i="1" s="1"/>
  <c r="AA1135" i="1"/>
  <c r="Z1123" i="1"/>
  <c r="AQ1123" i="1" s="1"/>
  <c r="AA1123" i="1"/>
  <c r="Z1111" i="1"/>
  <c r="AQ1111" i="1" s="1"/>
  <c r="AA1111" i="1"/>
  <c r="Z1105" i="1"/>
  <c r="AQ1105" i="1" s="1"/>
  <c r="AA1105" i="1"/>
  <c r="Z1099" i="1"/>
  <c r="AQ1099" i="1" s="1"/>
  <c r="AA1099" i="1"/>
  <c r="Z1093" i="1"/>
  <c r="AQ1093" i="1" s="1"/>
  <c r="AA1093" i="1"/>
  <c r="Z1087" i="1"/>
  <c r="AQ1087" i="1" s="1"/>
  <c r="AA1087" i="1"/>
  <c r="Z1081" i="1"/>
  <c r="AQ1081" i="1" s="1"/>
  <c r="AA1081" i="1"/>
  <c r="Z1075" i="1"/>
  <c r="AQ1075" i="1" s="1"/>
  <c r="AA1075" i="1"/>
  <c r="Z1069" i="1"/>
  <c r="AQ1069" i="1" s="1"/>
  <c r="AA1069" i="1"/>
  <c r="Z1063" i="1"/>
  <c r="AQ1063" i="1" s="1"/>
  <c r="AA1063" i="1"/>
  <c r="Z1051" i="1"/>
  <c r="AQ1051" i="1" s="1"/>
  <c r="AA1051" i="1"/>
  <c r="Z1046" i="1"/>
  <c r="AQ1046" i="1" s="1"/>
  <c r="AA1046" i="1"/>
  <c r="Z1039" i="1"/>
  <c r="AQ1039" i="1" s="1"/>
  <c r="AA1039" i="1"/>
  <c r="Z1027" i="1"/>
  <c r="AQ1027" i="1" s="1"/>
  <c r="AA1027" i="1"/>
  <c r="Z1021" i="1"/>
  <c r="AQ1021" i="1" s="1"/>
  <c r="AA1021" i="1"/>
  <c r="Z1015" i="1"/>
  <c r="AQ1015" i="1" s="1"/>
  <c r="AA1015" i="1"/>
  <c r="Z1009" i="1"/>
  <c r="AQ1009" i="1" s="1"/>
  <c r="AA1009" i="1"/>
  <c r="Z998" i="1"/>
  <c r="AQ998" i="1" s="1"/>
  <c r="AA998" i="1"/>
  <c r="Z991" i="1"/>
  <c r="AQ991" i="1" s="1"/>
  <c r="AA991" i="1"/>
  <c r="Z979" i="1"/>
  <c r="AQ979" i="1" s="1"/>
  <c r="AA979" i="1"/>
  <c r="Z973" i="1"/>
  <c r="AQ973" i="1" s="1"/>
  <c r="AA973" i="1"/>
  <c r="Z967" i="1"/>
  <c r="AQ967" i="1" s="1"/>
  <c r="AA967" i="1"/>
  <c r="Z955" i="1"/>
  <c r="AQ955" i="1" s="1"/>
  <c r="AA955" i="1"/>
  <c r="Z949" i="1"/>
  <c r="AQ949" i="1" s="1"/>
  <c r="AA949" i="1"/>
  <c r="Z937" i="1"/>
  <c r="AQ937" i="1" s="1"/>
  <c r="AA937" i="1"/>
  <c r="Z931" i="1"/>
  <c r="AQ931" i="1" s="1"/>
  <c r="AA931" i="1"/>
  <c r="Z926" i="1"/>
  <c r="AQ926" i="1" s="1"/>
  <c r="AA926" i="1"/>
  <c r="Z919" i="1"/>
  <c r="AQ919" i="1" s="1"/>
  <c r="AA919" i="1"/>
  <c r="Z913" i="1"/>
  <c r="AQ913" i="1" s="1"/>
  <c r="AA913" i="1"/>
  <c r="Z907" i="1"/>
  <c r="AQ907" i="1" s="1"/>
  <c r="AB907" i="1"/>
  <c r="AA907" i="1"/>
  <c r="AA901" i="1"/>
  <c r="AB901" i="1"/>
  <c r="Z894" i="1"/>
  <c r="AQ894" i="1" s="1"/>
  <c r="AA894" i="1"/>
  <c r="AB894" i="1"/>
  <c r="Z889" i="1"/>
  <c r="AQ889" i="1" s="1"/>
  <c r="AB889" i="1"/>
  <c r="AA889" i="1"/>
  <c r="Z883" i="1"/>
  <c r="AQ883" i="1" s="1"/>
  <c r="AA883" i="1"/>
  <c r="AB883" i="1"/>
  <c r="Z877" i="1"/>
  <c r="AQ877" i="1" s="1"/>
  <c r="AA877" i="1"/>
  <c r="AB877" i="1"/>
  <c r="Z871" i="1"/>
  <c r="AQ871" i="1" s="1"/>
  <c r="AB871" i="1"/>
  <c r="AA871" i="1"/>
  <c r="AA865" i="1"/>
  <c r="AB865" i="1"/>
  <c r="AA858" i="1"/>
  <c r="AB858" i="1"/>
  <c r="Z853" i="1"/>
  <c r="AQ853" i="1" s="1"/>
  <c r="AB853" i="1"/>
  <c r="AA853" i="1"/>
  <c r="Z847" i="1"/>
  <c r="AQ847" i="1" s="1"/>
  <c r="AA847" i="1"/>
  <c r="AB847" i="1"/>
  <c r="AA841" i="1"/>
  <c r="AB841" i="1"/>
  <c r="Z829" i="1"/>
  <c r="AQ829" i="1" s="1"/>
  <c r="AA829" i="1"/>
  <c r="AB829" i="1"/>
  <c r="Z823" i="1"/>
  <c r="AQ823" i="1" s="1"/>
  <c r="AA823" i="1"/>
  <c r="AB823" i="1"/>
  <c r="Z817" i="1"/>
  <c r="AQ817" i="1" s="1"/>
  <c r="AB817" i="1"/>
  <c r="AA817" i="1"/>
  <c r="Z811" i="1"/>
  <c r="AQ811" i="1" s="1"/>
  <c r="AA811" i="1"/>
  <c r="AB811" i="1"/>
  <c r="Z805" i="1"/>
  <c r="AQ805" i="1" s="1"/>
  <c r="AA805" i="1"/>
  <c r="AB805" i="1"/>
  <c r="Z799" i="1"/>
  <c r="AQ799" i="1" s="1"/>
  <c r="AB799" i="1"/>
  <c r="AA799" i="1"/>
  <c r="Z793" i="1"/>
  <c r="AQ793" i="1" s="1"/>
  <c r="AA793" i="1"/>
  <c r="AB793" i="1"/>
  <c r="Z787" i="1"/>
  <c r="AQ787" i="1" s="1"/>
  <c r="AA787" i="1"/>
  <c r="AB787" i="1"/>
  <c r="Z781" i="1"/>
  <c r="AQ781" i="1" s="1"/>
  <c r="AB781" i="1"/>
  <c r="AA781" i="1"/>
  <c r="AA776" i="1"/>
  <c r="AB776" i="1"/>
  <c r="Z769" i="1"/>
  <c r="AQ769" i="1" s="1"/>
  <c r="AA769" i="1"/>
  <c r="AB769" i="1"/>
  <c r="Z763" i="1"/>
  <c r="AQ763" i="1" s="1"/>
  <c r="AB763" i="1"/>
  <c r="AA763" i="1"/>
  <c r="Z757" i="1"/>
  <c r="AQ757" i="1" s="1"/>
  <c r="AA757" i="1"/>
  <c r="AB757" i="1"/>
  <c r="Z751" i="1"/>
  <c r="AQ751" i="1" s="1"/>
  <c r="AA751" i="1"/>
  <c r="AB751" i="1"/>
  <c r="Z745" i="1"/>
  <c r="AQ745" i="1" s="1"/>
  <c r="AA745" i="1"/>
  <c r="AB745" i="1"/>
  <c r="Z739" i="1"/>
  <c r="AQ739" i="1" s="1"/>
  <c r="AA739" i="1"/>
  <c r="AB739" i="1"/>
  <c r="Z733" i="1"/>
  <c r="AQ733" i="1" s="1"/>
  <c r="AA733" i="1"/>
  <c r="AB733" i="1"/>
  <c r="AA727" i="1"/>
  <c r="AB727" i="1"/>
  <c r="AA721" i="1"/>
  <c r="AB721" i="1"/>
  <c r="Z715" i="1"/>
  <c r="AQ715" i="1" s="1"/>
  <c r="AA715" i="1"/>
  <c r="AB715" i="1"/>
  <c r="Z709" i="1"/>
  <c r="AQ709" i="1" s="1"/>
  <c r="AA709" i="1"/>
  <c r="AB709" i="1"/>
  <c r="Z703" i="1"/>
  <c r="AQ703" i="1" s="1"/>
  <c r="AA703" i="1"/>
  <c r="AB703" i="1"/>
  <c r="AA698" i="1"/>
  <c r="AB698" i="1"/>
  <c r="Z691" i="1"/>
  <c r="AQ691" i="1" s="1"/>
  <c r="AA691" i="1"/>
  <c r="AB691" i="1"/>
  <c r="Z685" i="1"/>
  <c r="AQ685" i="1" s="1"/>
  <c r="AA685" i="1"/>
  <c r="AB685" i="1"/>
  <c r="Z679" i="1"/>
  <c r="AQ679" i="1" s="1"/>
  <c r="AA679" i="1"/>
  <c r="AB679" i="1"/>
  <c r="Z673" i="1"/>
  <c r="AQ673" i="1" s="1"/>
  <c r="AA673" i="1"/>
  <c r="AB673" i="1"/>
  <c r="Z667" i="1"/>
  <c r="AQ667" i="1" s="1"/>
  <c r="AA667" i="1"/>
  <c r="AB667" i="1"/>
  <c r="Z662" i="1"/>
  <c r="AQ662" i="1" s="1"/>
  <c r="AA662" i="1"/>
  <c r="AB662" i="1"/>
  <c r="Z655" i="1"/>
  <c r="AQ655" i="1" s="1"/>
  <c r="AA655" i="1"/>
  <c r="AB655" i="1"/>
  <c r="Z649" i="1"/>
  <c r="AQ649" i="1" s="1"/>
  <c r="AA649" i="1"/>
  <c r="AB649" i="1"/>
  <c r="Z643" i="1"/>
  <c r="AQ643" i="1" s="1"/>
  <c r="AA643" i="1"/>
  <c r="AB643" i="1"/>
  <c r="Z637" i="1"/>
  <c r="AQ637" i="1" s="1"/>
  <c r="AA637" i="1"/>
  <c r="AB637" i="1"/>
  <c r="Z631" i="1"/>
  <c r="AQ631" i="1" s="1"/>
  <c r="AA631" i="1"/>
  <c r="AB631" i="1"/>
  <c r="Z625" i="1"/>
  <c r="AQ625" i="1" s="1"/>
  <c r="AA625" i="1"/>
  <c r="AB625" i="1"/>
  <c r="Z619" i="1"/>
  <c r="AQ619" i="1" s="1"/>
  <c r="AA619" i="1"/>
  <c r="AB619" i="1"/>
  <c r="AA613" i="1"/>
  <c r="AB613" i="1"/>
  <c r="AA607" i="1"/>
  <c r="AB607" i="1"/>
  <c r="AA601" i="1"/>
  <c r="AB601" i="1"/>
  <c r="Z595" i="1"/>
  <c r="AQ595" i="1" s="1"/>
  <c r="AA595" i="1"/>
  <c r="AB595" i="1"/>
  <c r="Z589" i="1"/>
  <c r="AQ589" i="1" s="1"/>
  <c r="AA589" i="1"/>
  <c r="AB589" i="1"/>
  <c r="Z583" i="1"/>
  <c r="AQ583" i="1" s="1"/>
  <c r="AA583" i="1"/>
  <c r="AB583" i="1"/>
  <c r="Z577" i="1"/>
  <c r="AQ577" i="1" s="1"/>
  <c r="AA577" i="1"/>
  <c r="AB577" i="1"/>
  <c r="Z571" i="1"/>
  <c r="AQ571" i="1" s="1"/>
  <c r="AA571" i="1"/>
  <c r="AB571" i="1"/>
  <c r="Z565" i="1"/>
  <c r="AQ565" i="1" s="1"/>
  <c r="AA565" i="1"/>
  <c r="AB565" i="1"/>
  <c r="Z559" i="1"/>
  <c r="AQ559" i="1" s="1"/>
  <c r="AA559" i="1"/>
  <c r="AB559" i="1"/>
  <c r="Z553" i="1"/>
  <c r="AQ553" i="1" s="1"/>
  <c r="AA553" i="1"/>
  <c r="AB553" i="1"/>
  <c r="Z547" i="1"/>
  <c r="AQ547" i="1" s="1"/>
  <c r="AA547" i="1"/>
  <c r="AB547" i="1"/>
  <c r="Z541" i="1"/>
  <c r="AQ541" i="1" s="1"/>
  <c r="AA541" i="1"/>
  <c r="AB541" i="1"/>
  <c r="Z535" i="1"/>
  <c r="AQ535" i="1" s="1"/>
  <c r="AA535" i="1"/>
  <c r="AB535" i="1"/>
  <c r="Z529" i="1"/>
  <c r="AQ529" i="1" s="1"/>
  <c r="AA529" i="1"/>
  <c r="AB529" i="1"/>
  <c r="Z523" i="1"/>
  <c r="AQ523" i="1" s="1"/>
  <c r="AA523" i="1"/>
  <c r="AB523" i="1"/>
  <c r="Z517" i="1"/>
  <c r="AQ517" i="1" s="1"/>
  <c r="AA517" i="1"/>
  <c r="AB517" i="1"/>
  <c r="Z511" i="1"/>
  <c r="AQ511" i="1" s="1"/>
  <c r="AA511" i="1"/>
  <c r="AB511" i="1"/>
  <c r="AA505" i="1"/>
  <c r="AB505" i="1"/>
  <c r="Z499" i="1"/>
  <c r="AQ499" i="1" s="1"/>
  <c r="AA499" i="1"/>
  <c r="AB499" i="1"/>
  <c r="Z493" i="1"/>
  <c r="AQ493" i="1" s="1"/>
  <c r="AA493" i="1"/>
  <c r="AB493" i="1"/>
  <c r="Z487" i="1"/>
  <c r="AQ487" i="1" s="1"/>
  <c r="AA487" i="1"/>
  <c r="AB487" i="1"/>
  <c r="Z481" i="1"/>
  <c r="AQ481" i="1" s="1"/>
  <c r="AA481" i="1"/>
  <c r="AB481" i="1"/>
  <c r="Z475" i="1"/>
  <c r="AQ475" i="1" s="1"/>
  <c r="AA475" i="1"/>
  <c r="AB475" i="1"/>
  <c r="AA470" i="1"/>
  <c r="AB470" i="1"/>
  <c r="Z463" i="1"/>
  <c r="AQ463" i="1" s="1"/>
  <c r="AA463" i="1"/>
  <c r="AB463" i="1"/>
  <c r="AA457" i="1"/>
  <c r="AB457" i="1"/>
  <c r="Z451" i="1"/>
  <c r="AQ451" i="1" s="1"/>
  <c r="AA451" i="1"/>
  <c r="AB451" i="1"/>
  <c r="Z445" i="1"/>
  <c r="AQ445" i="1" s="1"/>
  <c r="AA445" i="1"/>
  <c r="AB445" i="1"/>
  <c r="AA439" i="1"/>
  <c r="AB439" i="1"/>
  <c r="Z433" i="1"/>
  <c r="AQ433" i="1" s="1"/>
  <c r="AA433" i="1"/>
  <c r="AB433" i="1"/>
  <c r="Z427" i="1"/>
  <c r="AQ427" i="1" s="1"/>
  <c r="AA427" i="1"/>
  <c r="AB427" i="1"/>
  <c r="Z421" i="1"/>
  <c r="AQ421" i="1" s="1"/>
  <c r="AA421" i="1"/>
  <c r="AB421" i="1"/>
  <c r="AA415" i="1"/>
  <c r="AB415" i="1"/>
  <c r="Z409" i="1"/>
  <c r="AQ409" i="1" s="1"/>
  <c r="AA409" i="1"/>
  <c r="AB409" i="1"/>
  <c r="Z403" i="1"/>
  <c r="AQ403" i="1" s="1"/>
  <c r="AA403" i="1"/>
  <c r="AB403" i="1"/>
  <c r="Z397" i="1"/>
  <c r="AQ397" i="1" s="1"/>
  <c r="AA397" i="1"/>
  <c r="AB397" i="1"/>
  <c r="Z391" i="1"/>
  <c r="AQ391" i="1" s="1"/>
  <c r="AA391" i="1"/>
  <c r="AB391" i="1"/>
  <c r="Z385" i="1"/>
  <c r="AQ385" i="1" s="1"/>
  <c r="AA385" i="1"/>
  <c r="AB385" i="1"/>
  <c r="Z379" i="1"/>
  <c r="AQ379" i="1" s="1"/>
  <c r="AA379" i="1"/>
  <c r="AB379" i="1"/>
  <c r="Z373" i="1"/>
  <c r="AQ373" i="1" s="1"/>
  <c r="AA373" i="1"/>
  <c r="AB373" i="1"/>
  <c r="Z367" i="1"/>
  <c r="AQ367" i="1" s="1"/>
  <c r="AA367" i="1"/>
  <c r="AB367" i="1"/>
  <c r="Z361" i="1"/>
  <c r="AQ361" i="1" s="1"/>
  <c r="AA361" i="1"/>
  <c r="AB361" i="1"/>
  <c r="Z355" i="1"/>
  <c r="AQ355" i="1" s="1"/>
  <c r="AA355" i="1"/>
  <c r="AB355" i="1"/>
  <c r="Z349" i="1"/>
  <c r="AQ349" i="1" s="1"/>
  <c r="AA349" i="1"/>
  <c r="AB349" i="1"/>
  <c r="Z343" i="1"/>
  <c r="AQ343" i="1" s="1"/>
  <c r="AA343" i="1"/>
  <c r="AB343" i="1"/>
  <c r="AA337" i="1"/>
  <c r="AB337" i="1"/>
  <c r="Z331" i="1"/>
  <c r="AQ331" i="1" s="1"/>
  <c r="AA331" i="1"/>
  <c r="AB331" i="1"/>
  <c r="AA325" i="1"/>
  <c r="AB325" i="1"/>
  <c r="Z319" i="1"/>
  <c r="AQ319" i="1" s="1"/>
  <c r="AA319" i="1"/>
  <c r="AB319" i="1"/>
  <c r="Z313" i="1"/>
  <c r="AQ313" i="1" s="1"/>
  <c r="AA313" i="1"/>
  <c r="AB313" i="1"/>
  <c r="Z307" i="1"/>
  <c r="AQ307" i="1" s="1"/>
  <c r="AA307" i="1"/>
  <c r="AB307" i="1"/>
  <c r="Z301" i="1"/>
  <c r="AQ301" i="1" s="1"/>
  <c r="AA301" i="1"/>
  <c r="AB301" i="1"/>
  <c r="Z295" i="1"/>
  <c r="AQ295" i="1" s="1"/>
  <c r="AA295" i="1"/>
  <c r="AB295" i="1"/>
  <c r="Z287" i="1"/>
  <c r="AQ287" i="1" s="1"/>
  <c r="AA287" i="1"/>
  <c r="AB287" i="1"/>
  <c r="Z283" i="1"/>
  <c r="AQ283" i="1" s="1"/>
  <c r="AA283" i="1"/>
  <c r="AB283" i="1"/>
  <c r="Z277" i="1"/>
  <c r="AQ277" i="1" s="1"/>
  <c r="AA277" i="1"/>
  <c r="AB277" i="1"/>
  <c r="Z271" i="1"/>
  <c r="AQ271" i="1" s="1"/>
  <c r="AA271" i="1"/>
  <c r="AB271" i="1"/>
  <c r="Z265" i="1"/>
  <c r="AQ265" i="1" s="1"/>
  <c r="AA265" i="1"/>
  <c r="AB265" i="1"/>
  <c r="Z260" i="1"/>
  <c r="AQ260" i="1" s="1"/>
  <c r="AA260" i="1"/>
  <c r="AB260" i="1"/>
  <c r="Z253" i="1"/>
  <c r="AQ253" i="1" s="1"/>
  <c r="AA253" i="1"/>
  <c r="AB253" i="1"/>
  <c r="Z247" i="1"/>
  <c r="AQ247" i="1" s="1"/>
  <c r="AA247" i="1"/>
  <c r="AB247" i="1"/>
  <c r="Z241" i="1"/>
  <c r="AQ241" i="1" s="1"/>
  <c r="AA241" i="1"/>
  <c r="AB241" i="1"/>
  <c r="Z235" i="1"/>
  <c r="AQ235" i="1" s="1"/>
  <c r="AA235" i="1"/>
  <c r="AB235" i="1"/>
  <c r="Z229" i="1"/>
  <c r="AQ229" i="1" s="1"/>
  <c r="AA229" i="1"/>
  <c r="AB229" i="1"/>
  <c r="Z223" i="1"/>
  <c r="AQ223" i="1" s="1"/>
  <c r="AA223" i="1"/>
  <c r="AB223" i="1"/>
  <c r="Z217" i="1"/>
  <c r="AQ217" i="1" s="1"/>
  <c r="AA217" i="1"/>
  <c r="AB217" i="1"/>
  <c r="Z211" i="1"/>
  <c r="AQ211" i="1" s="1"/>
  <c r="AA211" i="1"/>
  <c r="AB211" i="1"/>
  <c r="Z205" i="1"/>
  <c r="AQ205" i="1" s="1"/>
  <c r="AA205" i="1"/>
  <c r="AB205" i="1"/>
  <c r="Z199" i="1"/>
  <c r="AQ199" i="1" s="1"/>
  <c r="AA199" i="1"/>
  <c r="AB199" i="1"/>
  <c r="Z193" i="1"/>
  <c r="AQ193" i="1" s="1"/>
  <c r="AA193" i="1"/>
  <c r="AB193" i="1"/>
  <c r="Z187" i="1"/>
  <c r="AQ187" i="1" s="1"/>
  <c r="AA187" i="1"/>
  <c r="AB187" i="1"/>
  <c r="Z181" i="1"/>
  <c r="AQ181" i="1" s="1"/>
  <c r="AA181" i="1"/>
  <c r="AB181" i="1"/>
  <c r="Z175" i="1"/>
  <c r="AQ175" i="1" s="1"/>
  <c r="AA175" i="1"/>
  <c r="AB175" i="1"/>
  <c r="Z169" i="1"/>
  <c r="AQ169" i="1" s="1"/>
  <c r="AA169" i="1"/>
  <c r="AB169" i="1"/>
  <c r="Z163" i="1"/>
  <c r="AQ163" i="1" s="1"/>
  <c r="AA163" i="1"/>
  <c r="AB163" i="1"/>
  <c r="Z157" i="1"/>
  <c r="AQ157" i="1" s="1"/>
  <c r="AA157" i="1"/>
  <c r="AB157" i="1"/>
  <c r="Z151" i="1"/>
  <c r="AQ151" i="1" s="1"/>
  <c r="AA151" i="1"/>
  <c r="AB151" i="1"/>
  <c r="AA145" i="1"/>
  <c r="AB145" i="1"/>
  <c r="AA139" i="1"/>
  <c r="AB139" i="1"/>
  <c r="Z121" i="1"/>
  <c r="AQ121" i="1" s="1"/>
  <c r="AA121" i="1"/>
  <c r="AB121" i="1"/>
  <c r="Z115" i="1"/>
  <c r="AQ115" i="1" s="1"/>
  <c r="AA115" i="1"/>
  <c r="Z109" i="1"/>
  <c r="AQ109" i="1" s="1"/>
  <c r="AA109" i="1"/>
  <c r="AB109" i="1"/>
  <c r="Z108" i="1"/>
  <c r="AQ108" i="1" s="1"/>
  <c r="AA108" i="1"/>
  <c r="AB108" i="1"/>
  <c r="Z97" i="1"/>
  <c r="AQ97" i="1" s="1"/>
  <c r="AA97" i="1"/>
  <c r="Z91" i="1"/>
  <c r="AQ91" i="1" s="1"/>
  <c r="AA91" i="1"/>
  <c r="AB91" i="1"/>
  <c r="Z85" i="1"/>
  <c r="AQ85" i="1" s="1"/>
  <c r="AA85" i="1"/>
  <c r="AB85" i="1"/>
  <c r="Z79" i="1"/>
  <c r="AQ79" i="1" s="1"/>
  <c r="AA79" i="1"/>
  <c r="Z73" i="1"/>
  <c r="AQ73" i="1" s="1"/>
  <c r="AA73" i="1"/>
  <c r="AB73" i="1"/>
  <c r="AA68" i="1"/>
  <c r="AB68" i="1"/>
  <c r="Z61" i="1"/>
  <c r="AQ61" i="1" s="1"/>
  <c r="AA61" i="1"/>
  <c r="Z55" i="1"/>
  <c r="AQ55" i="1" s="1"/>
  <c r="AA55" i="1"/>
  <c r="AB55" i="1"/>
  <c r="Z49" i="1"/>
  <c r="AQ49" i="1" s="1"/>
  <c r="AA49" i="1"/>
  <c r="AB49" i="1"/>
  <c r="Z43" i="1"/>
  <c r="AQ43" i="1" s="1"/>
  <c r="AA43" i="1"/>
  <c r="Z37" i="1"/>
  <c r="AQ37" i="1" s="1"/>
  <c r="AA37" i="1"/>
  <c r="AB37" i="1"/>
  <c r="Z31" i="1"/>
  <c r="AQ31" i="1" s="1"/>
  <c r="AA31" i="1"/>
  <c r="AB31" i="1"/>
  <c r="Z25" i="1"/>
  <c r="AQ25" i="1" s="1"/>
  <c r="AA25" i="1"/>
  <c r="Z19" i="1"/>
  <c r="AQ19" i="1" s="1"/>
  <c r="AA19" i="1"/>
  <c r="AB19" i="1"/>
  <c r="Z13" i="1"/>
  <c r="AQ13" i="1" s="1"/>
  <c r="AA13" i="1"/>
  <c r="AB13" i="1"/>
  <c r="Z7" i="1"/>
  <c r="AQ7" i="1" s="1"/>
  <c r="AA7" i="1"/>
  <c r="AB7" i="1"/>
  <c r="AB1298" i="1"/>
  <c r="AB1280" i="1"/>
  <c r="AB1262" i="1"/>
  <c r="AB1244" i="1"/>
  <c r="AB1226" i="1"/>
  <c r="AB1208" i="1"/>
  <c r="AB1190" i="1"/>
  <c r="AB1172" i="1"/>
  <c r="AB1154" i="1"/>
  <c r="AB1136" i="1"/>
  <c r="AB1118" i="1"/>
  <c r="AB1100" i="1"/>
  <c r="AB1082" i="1"/>
  <c r="AB1064" i="1"/>
  <c r="AB1047" i="1"/>
  <c r="AB1028" i="1"/>
  <c r="AB1010" i="1"/>
  <c r="AB992" i="1"/>
  <c r="AB974" i="1"/>
  <c r="AB956" i="1"/>
  <c r="AB938" i="1"/>
  <c r="AB920" i="1"/>
  <c r="AB900" i="1"/>
  <c r="AB891" i="1"/>
  <c r="AB879" i="1"/>
  <c r="AB869" i="1"/>
  <c r="AB856" i="1"/>
  <c r="AB842" i="1"/>
  <c r="AB820" i="1"/>
  <c r="AB798" i="1"/>
  <c r="AB777" i="1"/>
  <c r="AB734" i="1"/>
  <c r="AB712" i="1"/>
  <c r="AB690" i="1"/>
  <c r="AB669" i="1"/>
  <c r="AB626" i="1"/>
  <c r="AB604" i="1"/>
  <c r="AB554" i="1"/>
  <c r="AB465" i="1"/>
  <c r="AB411" i="1"/>
  <c r="AB357" i="1"/>
  <c r="AB303" i="1"/>
  <c r="AB248" i="1"/>
  <c r="AB195" i="1"/>
  <c r="AB141" i="1"/>
  <c r="AB76" i="1"/>
  <c r="AB22" i="1"/>
  <c r="AA1164" i="1"/>
  <c r="AB135" i="1"/>
  <c r="AA136" i="1"/>
  <c r="AB137" i="1"/>
  <c r="AA137" i="1"/>
  <c r="AA134" i="1"/>
  <c r="AB134" i="1"/>
  <c r="AA133" i="1"/>
  <c r="AB133" i="1"/>
  <c r="AA132" i="1"/>
  <c r="AB132" i="1"/>
  <c r="AB131" i="1"/>
  <c r="AB127" i="1"/>
  <c r="AA127" i="1"/>
  <c r="AA130" i="1"/>
  <c r="AA129" i="1"/>
  <c r="AB129" i="1"/>
  <c r="AA128" i="1"/>
  <c r="AB128" i="1"/>
  <c r="D34" i="7"/>
  <c r="O105" i="1"/>
  <c r="AD105" i="1" s="1"/>
  <c r="O89" i="1"/>
  <c r="AD89" i="1" s="1"/>
  <c r="O41" i="1"/>
  <c r="AD41" i="1" s="1"/>
  <c r="O67" i="1"/>
  <c r="AD67" i="1" s="1"/>
  <c r="O98" i="1"/>
  <c r="AD98" i="1" s="1"/>
  <c r="O82" i="1"/>
  <c r="AD82" i="1" s="1"/>
  <c r="O114" i="1"/>
  <c r="AD114" i="1" s="1"/>
  <c r="O107" i="1"/>
  <c r="AD107" i="1" s="1"/>
  <c r="O103" i="1"/>
  <c r="AD103" i="1" s="1"/>
  <c r="O44" i="1"/>
  <c r="AD44" i="1" s="1"/>
  <c r="O60" i="1"/>
  <c r="AD60" i="1" s="1"/>
  <c r="O115" i="1"/>
  <c r="AD115" i="1" s="1"/>
  <c r="O106" i="1"/>
  <c r="AD106" i="1" s="1"/>
  <c r="O90" i="1"/>
  <c r="AD90" i="1" s="1"/>
  <c r="O74" i="1"/>
  <c r="AD74" i="1" s="1"/>
  <c r="O116" i="1"/>
  <c r="AD116" i="1" s="1"/>
  <c r="Z1300" i="1"/>
  <c r="AQ1300" i="1" s="1"/>
  <c r="Z1276" i="1"/>
  <c r="AQ1276" i="1" s="1"/>
  <c r="Z1258" i="1"/>
  <c r="AQ1258" i="1" s="1"/>
  <c r="Z1150" i="1"/>
  <c r="AQ1150" i="1" s="1"/>
  <c r="Z1144" i="1"/>
  <c r="AQ1144" i="1" s="1"/>
  <c r="Z1030" i="1"/>
  <c r="AQ1030" i="1" s="1"/>
  <c r="Z1018" i="1"/>
  <c r="AQ1018" i="1" s="1"/>
  <c r="Z958" i="1"/>
  <c r="AQ958" i="1" s="1"/>
  <c r="Z941" i="1"/>
  <c r="AQ941" i="1" s="1"/>
  <c r="Z910" i="1"/>
  <c r="AQ910" i="1" s="1"/>
  <c r="Z892" i="1"/>
  <c r="AQ892" i="1" s="1"/>
  <c r="Z886" i="1"/>
  <c r="AQ886" i="1" s="1"/>
  <c r="Z874" i="1"/>
  <c r="AQ874" i="1" s="1"/>
  <c r="Z844" i="1"/>
  <c r="AQ844" i="1" s="1"/>
  <c r="Z814" i="1"/>
  <c r="AQ814" i="1" s="1"/>
  <c r="Z802" i="1"/>
  <c r="AQ802" i="1" s="1"/>
  <c r="Z772" i="1"/>
  <c r="AQ772" i="1" s="1"/>
  <c r="Z718" i="1"/>
  <c r="AQ718" i="1" s="1"/>
  <c r="Z652" i="1"/>
  <c r="AQ652" i="1" s="1"/>
  <c r="Z640" i="1"/>
  <c r="AQ640" i="1" s="1"/>
  <c r="Z616" i="1"/>
  <c r="AQ616" i="1" s="1"/>
  <c r="Z574" i="1"/>
  <c r="AQ574" i="1" s="1"/>
  <c r="Z508" i="1"/>
  <c r="AQ508" i="1" s="1"/>
  <c r="Z496" i="1"/>
  <c r="AQ496" i="1" s="1"/>
  <c r="Z484" i="1"/>
  <c r="AQ484" i="1" s="1"/>
  <c r="Z478" i="1"/>
  <c r="AQ478" i="1" s="1"/>
  <c r="Z460" i="1"/>
  <c r="AQ460" i="1" s="1"/>
  <c r="Z454" i="1"/>
  <c r="AQ454" i="1" s="1"/>
  <c r="Z424" i="1"/>
  <c r="AQ424" i="1" s="1"/>
  <c r="Z412" i="1"/>
  <c r="AQ412" i="1" s="1"/>
  <c r="Z394" i="1"/>
  <c r="AQ394" i="1" s="1"/>
  <c r="Z340" i="1"/>
  <c r="AQ340" i="1" s="1"/>
  <c r="Z263" i="1"/>
  <c r="AQ263" i="1" s="1"/>
  <c r="Z256" i="1"/>
  <c r="AQ256" i="1" s="1"/>
  <c r="Z238" i="1"/>
  <c r="AQ238" i="1" s="1"/>
  <c r="Z148" i="1"/>
  <c r="AQ148" i="1" s="1"/>
  <c r="Z136" i="1"/>
  <c r="AQ136" i="1" s="1"/>
  <c r="Z130" i="1"/>
  <c r="AQ130" i="1" s="1"/>
  <c r="Z106" i="1"/>
  <c r="AQ106" i="1" s="1"/>
  <c r="Z1113" i="1"/>
  <c r="AQ1113" i="1" s="1"/>
  <c r="Z969" i="1"/>
  <c r="AQ969" i="1" s="1"/>
  <c r="Z813" i="1"/>
  <c r="AQ813" i="1" s="1"/>
  <c r="Z795" i="1"/>
  <c r="AQ795" i="1" s="1"/>
  <c r="Z771" i="1"/>
  <c r="AQ771" i="1" s="1"/>
  <c r="Z723" i="1"/>
  <c r="AQ723" i="1" s="1"/>
  <c r="Z711" i="1"/>
  <c r="AQ711" i="1" s="1"/>
  <c r="Z681" i="1"/>
  <c r="AQ681" i="1" s="1"/>
  <c r="Z669" i="1"/>
  <c r="AQ669" i="1" s="1"/>
  <c r="Z639" i="1"/>
  <c r="AQ639" i="1" s="1"/>
  <c r="Z591" i="1"/>
  <c r="AQ591" i="1" s="1"/>
  <c r="Z543" i="1"/>
  <c r="AQ543" i="1" s="1"/>
  <c r="Z525" i="1"/>
  <c r="AQ525" i="1" s="1"/>
  <c r="Z513" i="1"/>
  <c r="AQ513" i="1" s="1"/>
  <c r="Z489" i="1"/>
  <c r="AQ489" i="1" s="1"/>
  <c r="Z483" i="1"/>
  <c r="AQ483" i="1" s="1"/>
  <c r="Z441" i="1"/>
  <c r="AQ441" i="1" s="1"/>
  <c r="Z363" i="1"/>
  <c r="AQ363" i="1" s="1"/>
  <c r="Z345" i="1"/>
  <c r="AQ345" i="1" s="1"/>
  <c r="Z309" i="1"/>
  <c r="AQ309" i="1" s="1"/>
  <c r="Z303" i="1"/>
  <c r="AQ303" i="1" s="1"/>
  <c r="Z279" i="1"/>
  <c r="AQ279" i="1" s="1"/>
  <c r="Z273" i="1"/>
  <c r="AQ273" i="1" s="1"/>
  <c r="Z267" i="1"/>
  <c r="AQ267" i="1" s="1"/>
  <c r="Z255" i="1"/>
  <c r="AQ255" i="1" s="1"/>
  <c r="Z231" i="1"/>
  <c r="AQ231" i="1" s="1"/>
  <c r="Z225" i="1"/>
  <c r="AQ225" i="1" s="1"/>
  <c r="Z207" i="1"/>
  <c r="AQ207" i="1" s="1"/>
  <c r="Z165" i="1"/>
  <c r="AQ165" i="1" s="1"/>
  <c r="Z159" i="1"/>
  <c r="AQ159" i="1" s="1"/>
  <c r="Z154" i="1"/>
  <c r="AQ154" i="1" s="1"/>
  <c r="Z135" i="1"/>
  <c r="AQ135" i="1" s="1"/>
  <c r="Z51" i="1"/>
  <c r="AQ51" i="1" s="1"/>
  <c r="Z39" i="1"/>
  <c r="AQ39" i="1" s="1"/>
  <c r="Z21" i="1"/>
  <c r="AQ21" i="1" s="1"/>
  <c r="Z1202" i="1"/>
  <c r="AQ1202" i="1" s="1"/>
  <c r="Z1035" i="1"/>
  <c r="AQ1035" i="1" s="1"/>
  <c r="Z999" i="1"/>
  <c r="AQ999" i="1" s="1"/>
  <c r="Z1130" i="1"/>
  <c r="AQ1130" i="1" s="1"/>
  <c r="Z1124" i="1"/>
  <c r="AQ1124" i="1" s="1"/>
  <c r="Z1088" i="1"/>
  <c r="AQ1088" i="1" s="1"/>
  <c r="Z1047" i="1"/>
  <c r="AQ1047" i="1" s="1"/>
  <c r="Z1034" i="1"/>
  <c r="AQ1034" i="1" s="1"/>
  <c r="Z1022" i="1"/>
  <c r="AQ1022" i="1" s="1"/>
  <c r="Z1016" i="1"/>
  <c r="AQ1016" i="1" s="1"/>
  <c r="Z1004" i="1"/>
  <c r="AQ1004" i="1" s="1"/>
  <c r="Z980" i="1"/>
  <c r="AQ980" i="1" s="1"/>
  <c r="Z968" i="1"/>
  <c r="AQ968" i="1" s="1"/>
  <c r="Z938" i="1"/>
  <c r="AQ938" i="1" s="1"/>
  <c r="Z932" i="1"/>
  <c r="AQ932" i="1" s="1"/>
  <c r="Z908" i="1"/>
  <c r="AQ908" i="1" s="1"/>
  <c r="Z854" i="1"/>
  <c r="AQ854" i="1" s="1"/>
  <c r="Z806" i="1"/>
  <c r="AQ806" i="1" s="1"/>
  <c r="Z788" i="1"/>
  <c r="AQ788" i="1" s="1"/>
  <c r="Z758" i="1"/>
  <c r="AQ758" i="1" s="1"/>
  <c r="Z699" i="1"/>
  <c r="AQ699" i="1" s="1"/>
  <c r="Z674" i="1"/>
  <c r="AQ674" i="1" s="1"/>
  <c r="Z638" i="1"/>
  <c r="AQ638" i="1" s="1"/>
  <c r="Z632" i="1"/>
  <c r="AQ632" i="1" s="1"/>
  <c r="Z614" i="1"/>
  <c r="AQ614" i="1" s="1"/>
  <c r="Z548" i="1"/>
  <c r="AQ548" i="1" s="1"/>
  <c r="Z488" i="1"/>
  <c r="AQ488" i="1" s="1"/>
  <c r="Z458" i="1"/>
  <c r="AQ458" i="1" s="1"/>
  <c r="Z404" i="1"/>
  <c r="AQ404" i="1" s="1"/>
  <c r="Z368" i="1"/>
  <c r="AQ368" i="1" s="1"/>
  <c r="Z344" i="1"/>
  <c r="AQ344" i="1" s="1"/>
  <c r="Z332" i="1"/>
  <c r="AQ332" i="1" s="1"/>
  <c r="Z302" i="1"/>
  <c r="AQ302" i="1" s="1"/>
  <c r="Z272" i="1"/>
  <c r="AQ272" i="1" s="1"/>
  <c r="Z261" i="1"/>
  <c r="AQ261" i="1" s="1"/>
  <c r="Z249" i="1"/>
  <c r="AQ249" i="1" s="1"/>
  <c r="Z188" i="1"/>
  <c r="AQ188" i="1" s="1"/>
  <c r="Z86" i="1"/>
  <c r="AQ86" i="1" s="1"/>
  <c r="Z80" i="1"/>
  <c r="AQ80" i="1" s="1"/>
  <c r="Z62" i="1"/>
  <c r="AQ62" i="1" s="1"/>
  <c r="Z50" i="1"/>
  <c r="AQ50" i="1" s="1"/>
  <c r="Z1284" i="1"/>
  <c r="AQ1284" i="1" s="1"/>
  <c r="Z1137" i="1"/>
  <c r="AQ1137" i="1" s="1"/>
  <c r="Z993" i="1"/>
  <c r="AQ993" i="1" s="1"/>
  <c r="Z921" i="1"/>
  <c r="AQ921" i="1" s="1"/>
  <c r="Z447" i="1"/>
  <c r="AQ447" i="1" s="1"/>
  <c r="Z1189" i="1"/>
  <c r="AQ1189" i="1" s="1"/>
  <c r="Z1141" i="1"/>
  <c r="AQ1141" i="1" s="1"/>
  <c r="Z1117" i="1"/>
  <c r="AQ1117" i="1" s="1"/>
  <c r="Z1057" i="1"/>
  <c r="AQ1057" i="1" s="1"/>
  <c r="Z1033" i="1"/>
  <c r="AQ1033" i="1" s="1"/>
  <c r="Z1003" i="1"/>
  <c r="AQ1003" i="1" s="1"/>
  <c r="Z985" i="1"/>
  <c r="AQ985" i="1" s="1"/>
  <c r="Z961" i="1"/>
  <c r="AQ961" i="1" s="1"/>
  <c r="Z901" i="1"/>
  <c r="AQ901" i="1" s="1"/>
  <c r="Z865" i="1"/>
  <c r="AQ865" i="1" s="1"/>
  <c r="Z858" i="1"/>
  <c r="AQ858" i="1" s="1"/>
  <c r="Z841" i="1"/>
  <c r="AQ841" i="1" s="1"/>
  <c r="Z835" i="1"/>
  <c r="AQ835" i="1" s="1"/>
  <c r="Z776" i="1"/>
  <c r="AQ776" i="1" s="1"/>
  <c r="Z727" i="1"/>
  <c r="AQ727" i="1" s="1"/>
  <c r="Z721" i="1"/>
  <c r="AQ721" i="1" s="1"/>
  <c r="Z698" i="1"/>
  <c r="AQ698" i="1" s="1"/>
  <c r="Z613" i="1"/>
  <c r="AQ613" i="1" s="1"/>
  <c r="Z607" i="1"/>
  <c r="AQ607" i="1" s="1"/>
  <c r="Z601" i="1"/>
  <c r="AQ601" i="1" s="1"/>
  <c r="Z505" i="1"/>
  <c r="AQ505" i="1" s="1"/>
  <c r="Z470" i="1"/>
  <c r="AQ470" i="1" s="1"/>
  <c r="Z457" i="1"/>
  <c r="AQ457" i="1" s="1"/>
  <c r="Z439" i="1"/>
  <c r="AQ439" i="1" s="1"/>
  <c r="Z337" i="1"/>
  <c r="AQ337" i="1" s="1"/>
  <c r="Z325" i="1"/>
  <c r="AQ325" i="1" s="1"/>
  <c r="Z145" i="1"/>
  <c r="AQ145" i="1" s="1"/>
  <c r="Z139" i="1"/>
  <c r="AQ139" i="1" s="1"/>
  <c r="Z68" i="1"/>
  <c r="AQ68" i="1" s="1"/>
  <c r="Z1209" i="1"/>
  <c r="AQ1209" i="1" s="1"/>
  <c r="Z1059" i="1"/>
  <c r="AQ1059" i="1" s="1"/>
  <c r="Z987" i="1"/>
  <c r="AQ987" i="1" s="1"/>
  <c r="Z952" i="1"/>
  <c r="AQ952" i="1" s="1"/>
  <c r="Z822" i="1"/>
  <c r="AQ822" i="1" s="1"/>
  <c r="Z415" i="1"/>
  <c r="AQ415" i="1" s="1"/>
  <c r="Z158" i="1"/>
  <c r="AQ158" i="1" s="1"/>
  <c r="Z1158" i="1"/>
  <c r="AQ1158" i="1" s="1"/>
  <c r="Z1098" i="1"/>
  <c r="AQ1098" i="1" s="1"/>
  <c r="Z1068" i="1"/>
  <c r="AQ1068" i="1" s="1"/>
  <c r="Z1026" i="1"/>
  <c r="AQ1026" i="1" s="1"/>
  <c r="Z960" i="1"/>
  <c r="AQ960" i="1" s="1"/>
  <c r="Z925" i="1"/>
  <c r="AQ925" i="1" s="1"/>
  <c r="Z852" i="1"/>
  <c r="AQ852" i="1" s="1"/>
  <c r="Z756" i="1"/>
  <c r="AQ756" i="1" s="1"/>
  <c r="Z732" i="1"/>
  <c r="AQ732" i="1" s="1"/>
  <c r="Z696" i="1"/>
  <c r="AQ696" i="1" s="1"/>
  <c r="Z690" i="1"/>
  <c r="AQ690" i="1" s="1"/>
  <c r="Z684" i="1"/>
  <c r="AQ684" i="1" s="1"/>
  <c r="Z600" i="1"/>
  <c r="AQ600" i="1" s="1"/>
  <c r="Z576" i="1"/>
  <c r="AQ576" i="1" s="1"/>
  <c r="Z570" i="1"/>
  <c r="AQ570" i="1" s="1"/>
  <c r="Z515" i="1"/>
  <c r="AQ515" i="1" s="1"/>
  <c r="Z450" i="1"/>
  <c r="AQ450" i="1" s="1"/>
  <c r="Z432" i="1"/>
  <c r="AQ432" i="1" s="1"/>
  <c r="Z402" i="1"/>
  <c r="AQ402" i="1" s="1"/>
  <c r="Z324" i="1"/>
  <c r="AQ324" i="1" s="1"/>
  <c r="Z318" i="1"/>
  <c r="AQ318" i="1" s="1"/>
  <c r="Z312" i="1"/>
  <c r="AQ312" i="1" s="1"/>
  <c r="Z300" i="1"/>
  <c r="AQ300" i="1" s="1"/>
  <c r="Z294" i="1"/>
  <c r="AQ294" i="1" s="1"/>
  <c r="Z270" i="1"/>
  <c r="AQ270" i="1" s="1"/>
  <c r="Z246" i="1"/>
  <c r="AQ246" i="1" s="1"/>
  <c r="Z240" i="1"/>
  <c r="AQ240" i="1" s="1"/>
  <c r="Z180" i="1"/>
  <c r="AQ180" i="1" s="1"/>
  <c r="Z174" i="1"/>
  <c r="AQ174" i="1" s="1"/>
  <c r="Z161" i="1"/>
  <c r="AQ161" i="1" s="1"/>
  <c r="Z120" i="1"/>
  <c r="AQ120" i="1" s="1"/>
  <c r="Z90" i="1"/>
  <c r="AQ90" i="1" s="1"/>
  <c r="Z84" i="1"/>
  <c r="AQ84" i="1" s="1"/>
  <c r="Z67" i="1"/>
  <c r="AQ67" i="1" s="1"/>
  <c r="Z24" i="1"/>
  <c r="AQ24" i="1" s="1"/>
  <c r="Z18" i="1"/>
  <c r="AQ18" i="1" s="1"/>
  <c r="Z12" i="1"/>
  <c r="AQ12" i="1" s="1"/>
  <c r="Z1178" i="1"/>
  <c r="AQ1178" i="1" s="1"/>
  <c r="Z1160" i="1"/>
  <c r="AQ1160" i="1" s="1"/>
  <c r="Z1125" i="1"/>
  <c r="AQ1125" i="1" s="1"/>
  <c r="Z1089" i="1"/>
  <c r="AQ1089" i="1" s="1"/>
  <c r="Z945" i="1"/>
  <c r="AQ945" i="1" s="1"/>
  <c r="Z1259" i="1"/>
  <c r="AQ1259" i="1" s="1"/>
  <c r="Z1121" i="1"/>
  <c r="AQ1121" i="1" s="1"/>
  <c r="Z1103" i="1"/>
  <c r="AQ1103" i="1" s="1"/>
  <c r="Z1073" i="1"/>
  <c r="AQ1073" i="1" s="1"/>
  <c r="Z1049" i="1"/>
  <c r="AQ1049" i="1" s="1"/>
  <c r="Z911" i="1"/>
  <c r="AQ911" i="1" s="1"/>
  <c r="Z881" i="1"/>
  <c r="AQ881" i="1" s="1"/>
  <c r="Z839" i="1"/>
  <c r="AQ839" i="1" s="1"/>
  <c r="Z833" i="1"/>
  <c r="AQ833" i="1" s="1"/>
  <c r="Z809" i="1"/>
  <c r="AQ809" i="1" s="1"/>
  <c r="Z767" i="1"/>
  <c r="AQ767" i="1" s="1"/>
  <c r="Z689" i="1"/>
  <c r="AQ689" i="1" s="1"/>
  <c r="Z677" i="1"/>
  <c r="AQ677" i="1" s="1"/>
  <c r="Z665" i="1"/>
  <c r="AQ665" i="1" s="1"/>
  <c r="Z623" i="1"/>
  <c r="AQ623" i="1" s="1"/>
  <c r="Z593" i="1"/>
  <c r="AQ593" i="1" s="1"/>
  <c r="Z581" i="1"/>
  <c r="AQ581" i="1" s="1"/>
  <c r="Z539" i="1"/>
  <c r="AQ539" i="1" s="1"/>
  <c r="Z503" i="1"/>
  <c r="AQ503" i="1" s="1"/>
  <c r="Z473" i="1"/>
  <c r="AQ473" i="1" s="1"/>
  <c r="Z461" i="1"/>
  <c r="AQ461" i="1" s="1"/>
  <c r="Z449" i="1"/>
  <c r="AQ449" i="1" s="1"/>
  <c r="Z419" i="1"/>
  <c r="AQ419" i="1" s="1"/>
  <c r="Z401" i="1"/>
  <c r="AQ401" i="1" s="1"/>
  <c r="Z371" i="1"/>
  <c r="AQ371" i="1" s="1"/>
  <c r="Z347" i="1"/>
  <c r="AQ347" i="1" s="1"/>
  <c r="Z299" i="1"/>
  <c r="AQ299" i="1" s="1"/>
  <c r="Z288" i="1"/>
  <c r="AQ288" i="1" s="1"/>
  <c r="Z281" i="1"/>
  <c r="AQ281" i="1" s="1"/>
  <c r="Z275" i="1"/>
  <c r="AQ275" i="1" s="1"/>
  <c r="Z173" i="1"/>
  <c r="AQ173" i="1" s="1"/>
  <c r="Z131" i="1"/>
  <c r="AQ131" i="1" s="1"/>
  <c r="Z66" i="1"/>
  <c r="AQ66" i="1" s="1"/>
  <c r="Z23" i="1"/>
  <c r="AQ23" i="1" s="1"/>
  <c r="Z1155" i="1"/>
  <c r="AQ1155" i="1" s="1"/>
  <c r="Z1119" i="1"/>
  <c r="AQ1119" i="1" s="1"/>
  <c r="O47" i="1"/>
  <c r="AD47" i="1" s="1"/>
  <c r="O68" i="1"/>
  <c r="AD68" i="1" s="1"/>
  <c r="O83" i="1"/>
  <c r="AD83" i="1" s="1"/>
  <c r="O35" i="1"/>
  <c r="AD35" i="1" s="1"/>
  <c r="O95" i="1"/>
  <c r="AD95" i="1" s="1"/>
  <c r="O79" i="1"/>
  <c r="AD79" i="1" s="1"/>
  <c r="O63" i="1"/>
  <c r="O99" i="1"/>
  <c r="AD99" i="1" s="1"/>
  <c r="O38" i="1"/>
  <c r="AD38" i="1" s="1"/>
  <c r="O76" i="1"/>
  <c r="AD76" i="1" s="1"/>
  <c r="O23" i="1"/>
  <c r="AD23" i="1" s="1"/>
  <c r="O75" i="1"/>
  <c r="AD75" i="1" s="1"/>
  <c r="O57" i="1"/>
  <c r="AD57" i="1" s="1"/>
  <c r="O73" i="1"/>
  <c r="AD73" i="1" s="1"/>
  <c r="O88" i="1"/>
  <c r="AD88" i="1" s="1"/>
  <c r="O72" i="1"/>
  <c r="AD72" i="1" s="1"/>
  <c r="O55" i="1"/>
  <c r="AD55" i="1" s="1"/>
  <c r="O92" i="1"/>
  <c r="AD92" i="1" s="1"/>
  <c r="CS6" i="2"/>
  <c r="S56" i="1"/>
  <c r="S50" i="1"/>
  <c r="S22" i="1"/>
  <c r="S16" i="1"/>
  <c r="S10" i="1"/>
  <c r="S31" i="1"/>
  <c r="S15" i="1"/>
  <c r="S9" i="1"/>
  <c r="S30" i="1"/>
  <c r="S3" i="1"/>
  <c r="S14" i="1"/>
  <c r="S8" i="1"/>
  <c r="S71" i="1"/>
  <c r="S47" i="1"/>
  <c r="S35" i="1"/>
  <c r="S29" i="1"/>
  <c r="S13" i="1"/>
  <c r="S7" i="1"/>
  <c r="S82" i="1"/>
  <c r="S40" i="1"/>
  <c r="S34" i="1"/>
  <c r="S24" i="1"/>
  <c r="S18" i="1"/>
  <c r="S12" i="1"/>
  <c r="S51" i="1"/>
  <c r="V1121" i="1"/>
  <c r="V412" i="1"/>
  <c r="V173" i="1"/>
  <c r="V1018" i="1"/>
  <c r="V441" i="1"/>
  <c r="V854" i="1"/>
  <c r="V824" i="1"/>
  <c r="V506" i="1"/>
  <c r="V236" i="1"/>
  <c r="V14" i="1"/>
  <c r="V1111" i="1"/>
  <c r="V319" i="1"/>
  <c r="V307" i="1"/>
  <c r="V133" i="1"/>
  <c r="V1134" i="1"/>
  <c r="V834" i="1"/>
  <c r="V240" i="1"/>
  <c r="V210" i="1"/>
  <c r="V1187" i="1"/>
  <c r="V887" i="1"/>
  <c r="V689" i="1"/>
  <c r="V910" i="1"/>
  <c r="V784" i="1"/>
  <c r="V1125" i="1"/>
  <c r="V921" i="1"/>
  <c r="V555" i="1"/>
  <c r="V483" i="1"/>
  <c r="V273" i="1"/>
  <c r="V1047" i="1"/>
  <c r="V842" i="1"/>
  <c r="V819" i="1"/>
  <c r="V686" i="1"/>
  <c r="V668" i="1"/>
  <c r="V632" i="1"/>
  <c r="V626" i="1"/>
  <c r="V560" i="1"/>
  <c r="V428" i="1"/>
  <c r="V392" i="1"/>
  <c r="V206" i="1"/>
  <c r="V86" i="1"/>
  <c r="V20" i="1"/>
  <c r="V1201" i="1"/>
  <c r="V1057" i="1"/>
  <c r="V926" i="1"/>
  <c r="V757" i="1"/>
  <c r="V679" i="1"/>
  <c r="V662" i="1"/>
  <c r="V403" i="1"/>
  <c r="V349" i="1"/>
  <c r="V295" i="1"/>
  <c r="V253" i="1"/>
  <c r="V235" i="1"/>
  <c r="V97" i="1"/>
  <c r="V85" i="1"/>
  <c r="V1104" i="1"/>
  <c r="V859" i="1"/>
  <c r="V822" i="1"/>
  <c r="V744" i="1"/>
  <c r="V696" i="1"/>
  <c r="V672" i="1"/>
  <c r="V612" i="1"/>
  <c r="V450" i="1"/>
  <c r="V420" i="1"/>
  <c r="V366" i="1"/>
  <c r="V246" i="1"/>
  <c r="V36" i="1"/>
  <c r="V1157" i="1"/>
  <c r="V827" i="1"/>
  <c r="V779" i="1"/>
  <c r="V755" i="1"/>
  <c r="V713" i="1"/>
  <c r="V341" i="1"/>
  <c r="V259" i="1"/>
  <c r="V144" i="1"/>
  <c r="V137" i="1"/>
  <c r="V104" i="1"/>
  <c r="V1108" i="1"/>
  <c r="V1102" i="1"/>
  <c r="V976" i="1"/>
  <c r="V904" i="1"/>
  <c r="V880" i="1"/>
  <c r="V869" i="1"/>
  <c r="V748" i="1"/>
  <c r="V424" i="1"/>
  <c r="V382" i="1"/>
  <c r="V286" i="1"/>
  <c r="V256" i="1"/>
  <c r="V148" i="1"/>
  <c r="V1023" i="1"/>
  <c r="V957" i="1"/>
  <c r="V867" i="1"/>
  <c r="V723" i="1"/>
  <c r="V627" i="1"/>
  <c r="V597" i="1"/>
  <c r="V584" i="1"/>
  <c r="V417" i="1"/>
  <c r="V399" i="1"/>
  <c r="V333" i="1"/>
  <c r="V105" i="1"/>
  <c r="V87" i="1"/>
  <c r="V456" i="1"/>
  <c r="V175" i="1"/>
  <c r="V1092" i="1"/>
  <c r="V1130" i="1"/>
  <c r="V1010" i="1"/>
  <c r="V938" i="1"/>
  <c r="V806" i="1"/>
  <c r="V434" i="1"/>
  <c r="V284" i="1"/>
  <c r="V158" i="1"/>
  <c r="V1189" i="1"/>
  <c r="V1117" i="1"/>
  <c r="V1081" i="1"/>
  <c r="V979" i="1"/>
  <c r="V487" i="1"/>
  <c r="V301" i="1"/>
  <c r="V37" i="1"/>
  <c r="V1110" i="1"/>
  <c r="V1068" i="1"/>
  <c r="V990" i="1"/>
  <c r="V930" i="1"/>
  <c r="V925" i="1"/>
  <c r="V896" i="1"/>
  <c r="V666" i="1"/>
  <c r="V390" i="1"/>
  <c r="V342" i="1"/>
  <c r="V198" i="1"/>
  <c r="V138" i="1"/>
  <c r="V78" i="1"/>
  <c r="V30" i="1"/>
  <c r="V821" i="1"/>
  <c r="V623" i="1"/>
  <c r="V1288" i="1"/>
  <c r="V1138" i="1"/>
  <c r="V1078" i="1"/>
  <c r="V953" i="1"/>
  <c r="V844" i="1"/>
  <c r="V796" i="1"/>
  <c r="V550" i="1"/>
  <c r="V472" i="1"/>
  <c r="V316" i="1"/>
  <c r="V208" i="1"/>
  <c r="V855" i="1"/>
  <c r="V741" i="1"/>
  <c r="V519" i="1"/>
  <c r="V1202" i="1"/>
  <c r="V1178" i="1"/>
  <c r="V1160" i="1"/>
  <c r="V1154" i="1"/>
  <c r="V1142" i="1"/>
  <c r="V1124" i="1"/>
  <c r="V1106" i="1"/>
  <c r="V1052" i="1"/>
  <c r="V1034" i="1"/>
  <c r="V1022" i="1"/>
  <c r="V1016" i="1"/>
  <c r="V986" i="1"/>
  <c r="V980" i="1"/>
  <c r="V968" i="1"/>
  <c r="V956" i="1"/>
  <c r="V951" i="1"/>
  <c r="V932" i="1"/>
  <c r="V923" i="1"/>
  <c r="V914" i="1"/>
  <c r="V908" i="1"/>
  <c r="V860" i="1"/>
  <c r="V836" i="1"/>
  <c r="V830" i="1"/>
  <c r="V800" i="1"/>
  <c r="V788" i="1"/>
  <c r="V775" i="1"/>
  <c r="V758" i="1"/>
  <c r="V699" i="1"/>
  <c r="V674" i="1"/>
  <c r="V638" i="1"/>
  <c r="V614" i="1"/>
  <c r="V585" i="1"/>
  <c r="V548" i="1"/>
  <c r="V494" i="1"/>
  <c r="V488" i="1"/>
  <c r="V476" i="1"/>
  <c r="V458" i="1"/>
  <c r="V452" i="1"/>
  <c r="V446" i="1"/>
  <c r="V422" i="1"/>
  <c r="V356" i="1"/>
  <c r="V350" i="1"/>
  <c r="V338" i="1"/>
  <c r="V332" i="1"/>
  <c r="V320" i="1"/>
  <c r="V308" i="1"/>
  <c r="V302" i="1"/>
  <c r="V296" i="1"/>
  <c r="V261" i="1"/>
  <c r="V249" i="1"/>
  <c r="V242" i="1"/>
  <c r="V213" i="1"/>
  <c r="V188" i="1"/>
  <c r="V176" i="1"/>
  <c r="V170" i="1"/>
  <c r="V164" i="1"/>
  <c r="V152" i="1"/>
  <c r="V128" i="1"/>
  <c r="V116" i="1"/>
  <c r="V103" i="1"/>
  <c r="V80" i="1"/>
  <c r="V50" i="1"/>
  <c r="V32" i="1"/>
  <c r="V26" i="1"/>
  <c r="V1243" i="1"/>
  <c r="V1213" i="1"/>
  <c r="V1147" i="1"/>
  <c r="V1141" i="1"/>
  <c r="V1135" i="1"/>
  <c r="V1099" i="1"/>
  <c r="V1046" i="1"/>
  <c r="V1033" i="1"/>
  <c r="V1009" i="1"/>
  <c r="V1003" i="1"/>
  <c r="V973" i="1"/>
  <c r="V967" i="1"/>
  <c r="V913" i="1"/>
  <c r="V901" i="1"/>
  <c r="V894" i="1"/>
  <c r="V871" i="1"/>
  <c r="V865" i="1"/>
  <c r="V847" i="1"/>
  <c r="V841" i="1"/>
  <c r="V835" i="1"/>
  <c r="V817" i="1"/>
  <c r="V805" i="1"/>
  <c r="V769" i="1"/>
  <c r="V733" i="1"/>
  <c r="V727" i="1"/>
  <c r="V698" i="1"/>
  <c r="V643" i="1"/>
  <c r="V631" i="1"/>
  <c r="V619" i="1"/>
  <c r="V607" i="1"/>
  <c r="V601" i="1"/>
  <c r="V517" i="1"/>
  <c r="V511" i="1"/>
  <c r="V505" i="1"/>
  <c r="V463" i="1"/>
  <c r="V439" i="1"/>
  <c r="V433" i="1"/>
  <c r="V415" i="1"/>
  <c r="V409" i="1"/>
  <c r="V325" i="1"/>
  <c r="V265" i="1"/>
  <c r="V163" i="1"/>
  <c r="V151" i="1"/>
  <c r="V145" i="1"/>
  <c r="V139" i="1"/>
  <c r="V73" i="1"/>
  <c r="V68" i="1"/>
  <c r="V61" i="1"/>
  <c r="V49" i="1"/>
  <c r="V1242" i="1"/>
  <c r="V1230" i="1"/>
  <c r="V1194" i="1"/>
  <c r="V1170" i="1"/>
  <c r="V1164" i="1"/>
  <c r="V1158" i="1"/>
  <c r="V1140" i="1"/>
  <c r="V1116" i="1"/>
  <c r="V1026" i="1"/>
  <c r="V1014" i="1"/>
  <c r="V997" i="1"/>
  <c r="V960" i="1"/>
  <c r="V939" i="1"/>
  <c r="V936" i="1"/>
  <c r="V888" i="1"/>
  <c r="V852" i="1"/>
  <c r="V846" i="1"/>
  <c r="V828" i="1"/>
  <c r="V810" i="1"/>
  <c r="V792" i="1"/>
  <c r="V780" i="1"/>
  <c r="V762" i="1"/>
  <c r="V756" i="1"/>
  <c r="V750" i="1"/>
  <c r="V684" i="1"/>
  <c r="V660" i="1"/>
  <c r="V654" i="1"/>
  <c r="V642" i="1"/>
  <c r="V624" i="1"/>
  <c r="V618" i="1"/>
  <c r="V600" i="1"/>
  <c r="V576" i="1"/>
  <c r="V570" i="1"/>
  <c r="V546" i="1"/>
  <c r="V515" i="1"/>
  <c r="V510" i="1"/>
  <c r="V504" i="1"/>
  <c r="V474" i="1"/>
  <c r="V438" i="1"/>
  <c r="V408" i="1"/>
  <c r="V402" i="1"/>
  <c r="V396" i="1"/>
  <c r="V384" i="1"/>
  <c r="V348" i="1"/>
  <c r="V336" i="1"/>
  <c r="V324" i="1"/>
  <c r="V318" i="1"/>
  <c r="V312" i="1"/>
  <c r="V294" i="1"/>
  <c r="V289" i="1"/>
  <c r="V276" i="1"/>
  <c r="V270" i="1"/>
  <c r="V264" i="1"/>
  <c r="V180" i="1"/>
  <c r="V174" i="1"/>
  <c r="V161" i="1"/>
  <c r="V143" i="1"/>
  <c r="V120" i="1"/>
  <c r="V114" i="1"/>
  <c r="V90" i="1"/>
  <c r="V84" i="1"/>
  <c r="V67" i="1"/>
  <c r="V60" i="1"/>
  <c r="V24" i="1"/>
  <c r="V18" i="1"/>
  <c r="V1295" i="1"/>
  <c r="V1229" i="1"/>
  <c r="V1181" i="1"/>
  <c r="V1127" i="1"/>
  <c r="V1103" i="1"/>
  <c r="V1091" i="1"/>
  <c r="V1049" i="1"/>
  <c r="V965" i="1"/>
  <c r="V929" i="1"/>
  <c r="V911" i="1"/>
  <c r="V899" i="1"/>
  <c r="V881" i="1"/>
  <c r="V868" i="1"/>
  <c r="V863" i="1"/>
  <c r="V839" i="1"/>
  <c r="V833" i="1"/>
  <c r="V815" i="1"/>
  <c r="V809" i="1"/>
  <c r="V803" i="1"/>
  <c r="V791" i="1"/>
  <c r="V719" i="1"/>
  <c r="V695" i="1"/>
  <c r="V677" i="1"/>
  <c r="V665" i="1"/>
  <c r="V659" i="1"/>
  <c r="V641" i="1"/>
  <c r="V593" i="1"/>
  <c r="V587" i="1"/>
  <c r="V539" i="1"/>
  <c r="V527" i="1"/>
  <c r="V503" i="1"/>
  <c r="V497" i="1"/>
  <c r="V491" i="1"/>
  <c r="V473" i="1"/>
  <c r="V461" i="1"/>
  <c r="V455" i="1"/>
  <c r="V449" i="1"/>
  <c r="V443" i="1"/>
  <c r="V431" i="1"/>
  <c r="V413" i="1"/>
  <c r="V383" i="1"/>
  <c r="V371" i="1"/>
  <c r="V347" i="1"/>
  <c r="V335" i="1"/>
  <c r="V323" i="1"/>
  <c r="V299" i="1"/>
  <c r="V288" i="1"/>
  <c r="V281" i="1"/>
  <c r="V275" i="1"/>
  <c r="V251" i="1"/>
  <c r="V191" i="1"/>
  <c r="V125" i="1"/>
  <c r="V95" i="1"/>
  <c r="V66" i="1"/>
  <c r="V1252" i="1"/>
  <c r="V1210" i="1"/>
  <c r="V1180" i="1"/>
  <c r="V1150" i="1"/>
  <c r="V1144" i="1"/>
  <c r="V1126" i="1"/>
  <c r="V1120" i="1"/>
  <c r="V1114" i="1"/>
  <c r="V1048" i="1"/>
  <c r="V1036" i="1"/>
  <c r="V1030" i="1"/>
  <c r="V1006" i="1"/>
  <c r="V982" i="1"/>
  <c r="V964" i="1"/>
  <c r="V958" i="1"/>
  <c r="V941" i="1"/>
  <c r="V898" i="1"/>
  <c r="V892" i="1"/>
  <c r="V886" i="1"/>
  <c r="V874" i="1"/>
  <c r="V856" i="1"/>
  <c r="V838" i="1"/>
  <c r="V832" i="1"/>
  <c r="V814" i="1"/>
  <c r="V802" i="1"/>
  <c r="V790" i="1"/>
  <c r="V778" i="1"/>
  <c r="V772" i="1"/>
  <c r="V742" i="1"/>
  <c r="V706" i="1"/>
  <c r="V682" i="1"/>
  <c r="V652" i="1"/>
  <c r="V640" i="1"/>
  <c r="V634" i="1"/>
  <c r="V628" i="1"/>
  <c r="V616" i="1"/>
  <c r="V610" i="1"/>
  <c r="V604" i="1"/>
  <c r="V520" i="1"/>
  <c r="V514" i="1"/>
  <c r="V496" i="1"/>
  <c r="V490" i="1"/>
  <c r="V484" i="1"/>
  <c r="V478" i="1"/>
  <c r="V466" i="1"/>
  <c r="V460" i="1"/>
  <c r="V454" i="1"/>
  <c r="V442" i="1"/>
  <c r="V418" i="1"/>
  <c r="V406" i="1"/>
  <c r="V394" i="1"/>
  <c r="V370" i="1"/>
  <c r="V358" i="1"/>
  <c r="V352" i="1"/>
  <c r="V340" i="1"/>
  <c r="V334" i="1"/>
  <c r="V328" i="1"/>
  <c r="V292" i="1"/>
  <c r="V274" i="1"/>
  <c r="V263" i="1"/>
  <c r="V250" i="1"/>
  <c r="V238" i="1"/>
  <c r="V226" i="1"/>
  <c r="V155" i="1"/>
  <c r="V130" i="1"/>
  <c r="V112" i="1"/>
  <c r="V106" i="1"/>
  <c r="V88" i="1"/>
  <c r="V70" i="1"/>
  <c r="V58" i="1"/>
  <c r="V46" i="1"/>
  <c r="V34" i="1"/>
  <c r="V1287" i="1"/>
  <c r="V1209" i="1"/>
  <c r="V1167" i="1"/>
  <c r="V1155" i="1"/>
  <c r="V1137" i="1"/>
  <c r="V1119" i="1"/>
  <c r="V1113" i="1"/>
  <c r="V1107" i="1"/>
  <c r="V1089" i="1"/>
  <c r="V1071" i="1"/>
  <c r="V1059" i="1"/>
  <c r="V1044" i="1"/>
  <c r="V1041" i="1"/>
  <c r="V1035" i="1"/>
  <c r="V1017" i="1"/>
  <c r="V999" i="1"/>
  <c r="V993" i="1"/>
  <c r="V987" i="1"/>
  <c r="V981" i="1"/>
  <c r="V975" i="1"/>
  <c r="V933" i="1"/>
  <c r="V915" i="1"/>
  <c r="V813" i="1"/>
  <c r="V795" i="1"/>
  <c r="V771" i="1"/>
  <c r="V717" i="1"/>
  <c r="V711" i="1"/>
  <c r="V705" i="1"/>
  <c r="V687" i="1"/>
  <c r="V681" i="1"/>
  <c r="V675" i="1"/>
  <c r="V645" i="1"/>
  <c r="V543" i="1"/>
  <c r="V525" i="1"/>
  <c r="V507" i="1"/>
  <c r="V501" i="1"/>
  <c r="V477" i="1"/>
  <c r="V447" i="1"/>
  <c r="V363" i="1"/>
  <c r="V339" i="1"/>
  <c r="V327" i="1"/>
  <c r="V315" i="1"/>
  <c r="V309" i="1"/>
  <c r="V303" i="1"/>
  <c r="V291" i="1"/>
  <c r="V279" i="1"/>
  <c r="V267" i="1"/>
  <c r="V243" i="1"/>
  <c r="V231" i="1"/>
  <c r="V207" i="1"/>
  <c r="V201" i="1"/>
  <c r="V195" i="1"/>
  <c r="V189" i="1"/>
  <c r="V183" i="1"/>
  <c r="V165" i="1"/>
  <c r="V159" i="1"/>
  <c r="V154" i="1"/>
  <c r="V141" i="1"/>
  <c r="V135" i="1"/>
  <c r="V123" i="1"/>
  <c r="V111" i="1"/>
  <c r="V63" i="1"/>
  <c r="V51" i="1"/>
  <c r="V45" i="1"/>
  <c r="V224" i="1"/>
  <c r="V1313" i="1"/>
  <c r="V1301" i="1"/>
  <c r="V1289" i="1"/>
  <c r="V1277" i="1"/>
  <c r="V1265" i="1"/>
  <c r="V1217" i="1"/>
  <c r="V1205" i="1"/>
  <c r="V1193" i="1"/>
  <c r="V1156" i="1"/>
  <c r="V1253" i="1"/>
  <c r="V1241" i="1"/>
  <c r="V1169" i="1"/>
  <c r="V1055" i="1"/>
  <c r="V1019" i="1"/>
  <c r="V983" i="1"/>
  <c r="V1311" i="1"/>
  <c r="V1305" i="1"/>
  <c r="V1299" i="1"/>
  <c r="V1293" i="1"/>
  <c r="V1281" i="1"/>
  <c r="V1275" i="1"/>
  <c r="V1269" i="1"/>
  <c r="V1263" i="1"/>
  <c r="V1257" i="1"/>
  <c r="V1251" i="1"/>
  <c r="V1245" i="1"/>
  <c r="V1239" i="1"/>
  <c r="V1233" i="1"/>
  <c r="V1227" i="1"/>
  <c r="V1221" i="1"/>
  <c r="V1215" i="1"/>
  <c r="V1203" i="1"/>
  <c r="V1197" i="1"/>
  <c r="V1191" i="1"/>
  <c r="V1185" i="1"/>
  <c r="V1179" i="1"/>
  <c r="V1173" i="1"/>
  <c r="V1161" i="1"/>
  <c r="V1149" i="1"/>
  <c r="V1143" i="1"/>
  <c r="V1131" i="1"/>
  <c r="V1101" i="1"/>
  <c r="V1095" i="1"/>
  <c r="V1083" i="1"/>
  <c r="V1077" i="1"/>
  <c r="V1065" i="1"/>
  <c r="V1053" i="1"/>
  <c r="V1029" i="1"/>
  <c r="V1011" i="1"/>
  <c r="V1005" i="1"/>
  <c r="V969" i="1"/>
  <c r="V963" i="1"/>
  <c r="V952" i="1"/>
  <c r="V945" i="1"/>
  <c r="V940" i="1"/>
  <c r="V927" i="1"/>
  <c r="V909" i="1"/>
  <c r="V903" i="1"/>
  <c r="V897" i="1"/>
  <c r="V890" i="1"/>
  <c r="V885" i="1"/>
  <c r="V879" i="1"/>
  <c r="V873" i="1"/>
  <c r="V861" i="1"/>
  <c r="V849" i="1"/>
  <c r="V843" i="1"/>
  <c r="V837" i="1"/>
  <c r="V831" i="1"/>
  <c r="V825" i="1"/>
  <c r="V818" i="1"/>
  <c r="V807" i="1"/>
  <c r="V801" i="1"/>
  <c r="V789" i="1"/>
  <c r="V783" i="1"/>
  <c r="V777" i="1"/>
  <c r="V765" i="1"/>
  <c r="V760" i="1"/>
  <c r="V753" i="1"/>
  <c r="V747" i="1"/>
  <c r="V735" i="1"/>
  <c r="V729" i="1"/>
  <c r="V700" i="1"/>
  <c r="V693" i="1"/>
  <c r="V669" i="1"/>
  <c r="V663" i="1"/>
  <c r="V657" i="1"/>
  <c r="V651" i="1"/>
  <c r="V639" i="1"/>
  <c r="V633" i="1"/>
  <c r="V573" i="1"/>
  <c r="V489" i="1"/>
  <c r="V752" i="1"/>
  <c r="V1314" i="1"/>
  <c r="V1308" i="1"/>
  <c r="V1302" i="1"/>
  <c r="V1296" i="1"/>
  <c r="V1290" i="1"/>
  <c r="V1284" i="1"/>
  <c r="V1278" i="1"/>
  <c r="V1272" i="1"/>
  <c r="V1266" i="1"/>
  <c r="V1260" i="1"/>
  <c r="V1255" i="1"/>
  <c r="V1248" i="1"/>
  <c r="V1236" i="1"/>
  <c r="V1224" i="1"/>
  <c r="V1218" i="1"/>
  <c r="V1212" i="1"/>
  <c r="V1206" i="1"/>
  <c r="V1200" i="1"/>
  <c r="V1188" i="1"/>
  <c r="V1182" i="1"/>
  <c r="V1176" i="1"/>
  <c r="V1151" i="1"/>
  <c r="V1146" i="1"/>
  <c r="V1128" i="1"/>
  <c r="V1122" i="1"/>
  <c r="V1098" i="1"/>
  <c r="V1084" i="1"/>
  <c r="V1080" i="1"/>
  <c r="V1074" i="1"/>
  <c r="V1062" i="1"/>
  <c r="V1056" i="1"/>
  <c r="V1050" i="1"/>
  <c r="V1045" i="1"/>
  <c r="V1038" i="1"/>
  <c r="V1032" i="1"/>
  <c r="V1020" i="1"/>
  <c r="V1008" i="1"/>
  <c r="V1002" i="1"/>
  <c r="V984" i="1"/>
  <c r="V978" i="1"/>
  <c r="V972" i="1"/>
  <c r="V966" i="1"/>
  <c r="V950" i="1"/>
  <c r="V948" i="1"/>
  <c r="V918" i="1"/>
  <c r="V912" i="1"/>
  <c r="V906" i="1"/>
  <c r="V900" i="1"/>
  <c r="V882" i="1"/>
  <c r="V876" i="1"/>
  <c r="V870" i="1"/>
  <c r="V864" i="1"/>
  <c r="V840" i="1"/>
  <c r="V816" i="1"/>
  <c r="V804" i="1"/>
  <c r="V798" i="1"/>
  <c r="V786" i="1"/>
  <c r="V774" i="1"/>
  <c r="V768" i="1"/>
  <c r="V738" i="1"/>
  <c r="V732" i="1"/>
  <c r="V726" i="1"/>
  <c r="V720" i="1"/>
  <c r="V714" i="1"/>
  <c r="V1307" i="1"/>
  <c r="V1283" i="1"/>
  <c r="V1271" i="1"/>
  <c r="V1259" i="1"/>
  <c r="V1247" i="1"/>
  <c r="V1235" i="1"/>
  <c r="V1223" i="1"/>
  <c r="V1211" i="1"/>
  <c r="V1199" i="1"/>
  <c r="V1175" i="1"/>
  <c r="V1163" i="1"/>
  <c r="V1152" i="1"/>
  <c r="V1145" i="1"/>
  <c r="V1139" i="1"/>
  <c r="V1133" i="1"/>
  <c r="V1115" i="1"/>
  <c r="V1109" i="1"/>
  <c r="V1097" i="1"/>
  <c r="V1086" i="1"/>
  <c r="V1079" i="1"/>
  <c r="V1073" i="1"/>
  <c r="V1067" i="1"/>
  <c r="V1061" i="1"/>
  <c r="V1043" i="1"/>
  <c r="V1037" i="1"/>
  <c r="V1031" i="1"/>
  <c r="V1025" i="1"/>
  <c r="V1013" i="1"/>
  <c r="V1007" i="1"/>
  <c r="V1001" i="1"/>
  <c r="V996" i="1"/>
  <c r="V989" i="1"/>
  <c r="V977" i="1"/>
  <c r="V971" i="1"/>
  <c r="V959" i="1"/>
  <c r="V954" i="1"/>
  <c r="V947" i="1"/>
  <c r="V942" i="1"/>
  <c r="V893" i="1"/>
  <c r="V1312" i="1"/>
  <c r="V1306" i="1"/>
  <c r="V1300" i="1"/>
  <c r="V1294" i="1"/>
  <c r="V1282" i="1"/>
  <c r="V1276" i="1"/>
  <c r="V1270" i="1"/>
  <c r="V1264" i="1"/>
  <c r="V1258" i="1"/>
  <c r="V1246" i="1"/>
  <c r="V1240" i="1"/>
  <c r="V1234" i="1"/>
  <c r="V1228" i="1"/>
  <c r="V1222" i="1"/>
  <c r="V1216" i="1"/>
  <c r="V1204" i="1"/>
  <c r="V1198" i="1"/>
  <c r="V1192" i="1"/>
  <c r="V1186" i="1"/>
  <c r="V1174" i="1"/>
  <c r="V1168" i="1"/>
  <c r="V1162" i="1"/>
  <c r="V1132" i="1"/>
  <c r="V1096" i="1"/>
  <c r="V1090" i="1"/>
  <c r="V1085" i="1"/>
  <c r="V1072" i="1"/>
  <c r="V1066" i="1"/>
  <c r="V1060" i="1"/>
  <c r="V1054" i="1"/>
  <c r="V1042" i="1"/>
  <c r="V1024" i="1"/>
  <c r="V1012" i="1"/>
  <c r="V1000" i="1"/>
  <c r="V994" i="1"/>
  <c r="V988" i="1"/>
  <c r="V970" i="1"/>
  <c r="V946" i="1"/>
  <c r="V934" i="1"/>
  <c r="V928" i="1"/>
  <c r="V922" i="1"/>
  <c r="V916" i="1"/>
  <c r="V862" i="1"/>
  <c r="V850" i="1"/>
  <c r="V826" i="1"/>
  <c r="V820" i="1"/>
  <c r="V808" i="1"/>
  <c r="V766" i="1"/>
  <c r="V759" i="1"/>
  <c r="V754" i="1"/>
  <c r="V736" i="1"/>
  <c r="V730" i="1"/>
  <c r="V724" i="1"/>
  <c r="V718" i="1"/>
  <c r="V712" i="1"/>
  <c r="V697" i="1"/>
  <c r="V694" i="1"/>
  <c r="V688" i="1"/>
  <c r="V676" i="1"/>
  <c r="V670" i="1"/>
  <c r="V664" i="1"/>
  <c r="V658" i="1"/>
  <c r="V647" i="1"/>
  <c r="V622" i="1"/>
  <c r="V598" i="1"/>
  <c r="V592" i="1"/>
  <c r="V579" i="1"/>
  <c r="V580" i="1"/>
  <c r="V574" i="1"/>
  <c r="V568" i="1"/>
  <c r="V562" i="1"/>
  <c r="V556" i="1"/>
  <c r="V544" i="1"/>
  <c r="V538" i="1"/>
  <c r="V532" i="1"/>
  <c r="V526" i="1"/>
  <c r="V508" i="1"/>
  <c r="V502" i="1"/>
  <c r="V448" i="1"/>
  <c r="V268" i="1"/>
  <c r="V82" i="1"/>
  <c r="V1310" i="1"/>
  <c r="V1304" i="1"/>
  <c r="V1298" i="1"/>
  <c r="V1292" i="1"/>
  <c r="V1286" i="1"/>
  <c r="V1280" i="1"/>
  <c r="V1274" i="1"/>
  <c r="V1268" i="1"/>
  <c r="V1262" i="1"/>
  <c r="V1256" i="1"/>
  <c r="V1250" i="1"/>
  <c r="V1244" i="1"/>
  <c r="V1238" i="1"/>
  <c r="V1232" i="1"/>
  <c r="V1226" i="1"/>
  <c r="V1220" i="1"/>
  <c r="V1214" i="1"/>
  <c r="V1208" i="1"/>
  <c r="V1196" i="1"/>
  <c r="V1190" i="1"/>
  <c r="V1184" i="1"/>
  <c r="V1172" i="1"/>
  <c r="V1166" i="1"/>
  <c r="V1148" i="1"/>
  <c r="V1136" i="1"/>
  <c r="V1118" i="1"/>
  <c r="V1112" i="1"/>
  <c r="V1100" i="1"/>
  <c r="V1094" i="1"/>
  <c r="V1088" i="1"/>
  <c r="V1082" i="1"/>
  <c r="V1076" i="1"/>
  <c r="V1070" i="1"/>
  <c r="V1064" i="1"/>
  <c r="V1058" i="1"/>
  <c r="V1040" i="1"/>
  <c r="V1028" i="1"/>
  <c r="V1004" i="1"/>
  <c r="V995" i="1"/>
  <c r="V992" i="1"/>
  <c r="V974" i="1"/>
  <c r="V962" i="1"/>
  <c r="V944" i="1"/>
  <c r="V920" i="1"/>
  <c r="V902" i="1"/>
  <c r="V895" i="1"/>
  <c r="V891" i="1"/>
  <c r="V884" i="1"/>
  <c r="V878" i="1"/>
  <c r="V872" i="1"/>
  <c r="V866" i="1"/>
  <c r="V848" i="1"/>
  <c r="V812" i="1"/>
  <c r="V794" i="1"/>
  <c r="V782" i="1"/>
  <c r="V770" i="1"/>
  <c r="V764" i="1"/>
  <c r="V746" i="1"/>
  <c r="V740" i="1"/>
  <c r="V734" i="1"/>
  <c r="V728" i="1"/>
  <c r="V722" i="1"/>
  <c r="V716" i="1"/>
  <c r="V710" i="1"/>
  <c r="V704" i="1"/>
  <c r="V692" i="1"/>
  <c r="V680" i="1"/>
  <c r="V661" i="1"/>
  <c r="V656" i="1"/>
  <c r="V650" i="1"/>
  <c r="V644" i="1"/>
  <c r="V620" i="1"/>
  <c r="V608" i="1"/>
  <c r="V602" i="1"/>
  <c r="V596" i="1"/>
  <c r="V590" i="1"/>
  <c r="V578" i="1"/>
  <c r="V572" i="1"/>
  <c r="V566" i="1"/>
  <c r="V554" i="1"/>
  <c r="V542" i="1"/>
  <c r="V536" i="1"/>
  <c r="V530" i="1"/>
  <c r="V524" i="1"/>
  <c r="V518" i="1"/>
  <c r="V512" i="1"/>
  <c r="V500" i="1"/>
  <c r="V482" i="1"/>
  <c r="V469" i="1"/>
  <c r="V464" i="1"/>
  <c r="V440" i="1"/>
  <c r="V416" i="1"/>
  <c r="V410" i="1"/>
  <c r="V404" i="1"/>
  <c r="V398" i="1"/>
  <c r="V386" i="1"/>
  <c r="V380" i="1"/>
  <c r="V374" i="1"/>
  <c r="V368" i="1"/>
  <c r="V362" i="1"/>
  <c r="V344" i="1"/>
  <c r="V326" i="1"/>
  <c r="V314" i="1"/>
  <c r="V290" i="1"/>
  <c r="V278" i="1"/>
  <c r="V254" i="1"/>
  <c r="V1309" i="1"/>
  <c r="V1303" i="1"/>
  <c r="V1297" i="1"/>
  <c r="V1291" i="1"/>
  <c r="V1285" i="1"/>
  <c r="V1279" i="1"/>
  <c r="V1273" i="1"/>
  <c r="V1267" i="1"/>
  <c r="V1261" i="1"/>
  <c r="V1254" i="1"/>
  <c r="V1249" i="1"/>
  <c r="V1237" i="1"/>
  <c r="V1231" i="1"/>
  <c r="V1225" i="1"/>
  <c r="V1219" i="1"/>
  <c r="V1207" i="1"/>
  <c r="V1195" i="1"/>
  <c r="V1183" i="1"/>
  <c r="V1177" i="1"/>
  <c r="V1171" i="1"/>
  <c r="V1165" i="1"/>
  <c r="V1159" i="1"/>
  <c r="V1153" i="1"/>
  <c r="V1129" i="1"/>
  <c r="V1123" i="1"/>
  <c r="V1105" i="1"/>
  <c r="V1093" i="1"/>
  <c r="V1087" i="1"/>
  <c r="V1075" i="1"/>
  <c r="V1069" i="1"/>
  <c r="V1063" i="1"/>
  <c r="V1051" i="1"/>
  <c r="V1039" i="1"/>
  <c r="V1027" i="1"/>
  <c r="V1021" i="1"/>
  <c r="V1015" i="1"/>
  <c r="V998" i="1"/>
  <c r="V991" i="1"/>
  <c r="V985" i="1"/>
  <c r="V961" i="1"/>
  <c r="V955" i="1"/>
  <c r="V949" i="1"/>
  <c r="V943" i="1"/>
  <c r="V937" i="1"/>
  <c r="V931" i="1"/>
  <c r="V919" i="1"/>
  <c r="V907" i="1"/>
  <c r="V889" i="1"/>
  <c r="V883" i="1"/>
  <c r="V877" i="1"/>
  <c r="V858" i="1"/>
  <c r="V853" i="1"/>
  <c r="V829" i="1"/>
  <c r="V823" i="1"/>
  <c r="V811" i="1"/>
  <c r="V799" i="1"/>
  <c r="V793" i="1"/>
  <c r="V787" i="1"/>
  <c r="V781" i="1"/>
  <c r="V776" i="1"/>
  <c r="V763" i="1"/>
  <c r="V751" i="1"/>
  <c r="V745" i="1"/>
  <c r="V739" i="1"/>
  <c r="V721" i="1"/>
  <c r="V715" i="1"/>
  <c r="V709" i="1"/>
  <c r="V703" i="1"/>
  <c r="V691" i="1"/>
  <c r="V685" i="1"/>
  <c r="V673" i="1"/>
  <c r="V667" i="1"/>
  <c r="V655" i="1"/>
  <c r="V649" i="1"/>
  <c r="V637" i="1"/>
  <c r="V625" i="1"/>
  <c r="V613" i="1"/>
  <c r="V595" i="1"/>
  <c r="V589" i="1"/>
  <c r="V583" i="1"/>
  <c r="V577" i="1"/>
  <c r="V571" i="1"/>
  <c r="V565" i="1"/>
  <c r="V559" i="1"/>
  <c r="V553" i="1"/>
  <c r="V547" i="1"/>
  <c r="V541" i="1"/>
  <c r="V535" i="1"/>
  <c r="V529" i="1"/>
  <c r="V523" i="1"/>
  <c r="V499" i="1"/>
  <c r="V493" i="1"/>
  <c r="V481" i="1"/>
  <c r="V475" i="1"/>
  <c r="V470" i="1"/>
  <c r="V457" i="1"/>
  <c r="V451" i="1"/>
  <c r="V445" i="1"/>
  <c r="V427" i="1"/>
  <c r="V421" i="1"/>
  <c r="V397" i="1"/>
  <c r="V391" i="1"/>
  <c r="V385" i="1"/>
  <c r="V379" i="1"/>
  <c r="V373" i="1"/>
  <c r="V367" i="1"/>
  <c r="V361" i="1"/>
  <c r="V355" i="1"/>
  <c r="V343" i="1"/>
  <c r="V337" i="1"/>
  <c r="V331" i="1"/>
  <c r="V313" i="1"/>
  <c r="V287" i="1"/>
  <c r="V283" i="1"/>
  <c r="V277" i="1"/>
  <c r="V271" i="1"/>
  <c r="V260" i="1"/>
  <c r="V247" i="1"/>
  <c r="V241" i="1"/>
  <c r="V229" i="1"/>
  <c r="V223" i="1"/>
  <c r="V217" i="1"/>
  <c r="V211" i="1"/>
  <c r="V205" i="1"/>
  <c r="V199" i="1"/>
  <c r="V193" i="1"/>
  <c r="V187" i="1"/>
  <c r="V181" i="1"/>
  <c r="V169" i="1"/>
  <c r="V935" i="1"/>
  <c r="V924" i="1"/>
  <c r="V917" i="1"/>
  <c r="V905" i="1"/>
  <c r="V875" i="1"/>
  <c r="V857" i="1"/>
  <c r="V851" i="1"/>
  <c r="V845" i="1"/>
  <c r="V797" i="1"/>
  <c r="V785" i="1"/>
  <c r="V773" i="1"/>
  <c r="V767" i="1"/>
  <c r="V761" i="1"/>
  <c r="V749" i="1"/>
  <c r="V743" i="1"/>
  <c r="V737" i="1"/>
  <c r="V731" i="1"/>
  <c r="V725" i="1"/>
  <c r="V707" i="1"/>
  <c r="V701" i="1"/>
  <c r="V683" i="1"/>
  <c r="V671" i="1"/>
  <c r="V653" i="1"/>
  <c r="V646" i="1"/>
  <c r="V635" i="1"/>
  <c r="V629" i="1"/>
  <c r="V617" i="1"/>
  <c r="V611" i="1"/>
  <c r="V605" i="1"/>
  <c r="V599" i="1"/>
  <c r="V581" i="1"/>
  <c r="V575" i="1"/>
  <c r="V569" i="1"/>
  <c r="V563" i="1"/>
  <c r="V557" i="1"/>
  <c r="V551" i="1"/>
  <c r="V545" i="1"/>
  <c r="V533" i="1"/>
  <c r="V521" i="1"/>
  <c r="V516" i="1"/>
  <c r="V509" i="1"/>
  <c r="V485" i="1"/>
  <c r="V479" i="1"/>
  <c r="V467" i="1"/>
  <c r="V437" i="1"/>
  <c r="V425" i="1"/>
  <c r="V419" i="1"/>
  <c r="V407" i="1"/>
  <c r="V401" i="1"/>
  <c r="V395" i="1"/>
  <c r="V389" i="1"/>
  <c r="V377" i="1"/>
  <c r="V365" i="1"/>
  <c r="V359" i="1"/>
  <c r="V353" i="1"/>
  <c r="V329" i="1"/>
  <c r="V317" i="1"/>
  <c r="V311" i="1"/>
  <c r="V305" i="1"/>
  <c r="V293" i="1"/>
  <c r="V436" i="1"/>
  <c r="V430" i="1"/>
  <c r="V400" i="1"/>
  <c r="V388" i="1"/>
  <c r="V375" i="1"/>
  <c r="V364" i="1"/>
  <c r="V346" i="1"/>
  <c r="V322" i="1"/>
  <c r="V310" i="1"/>
  <c r="V304" i="1"/>
  <c r="V298" i="1"/>
  <c r="V280" i="1"/>
  <c r="V244" i="1"/>
  <c r="V232" i="1"/>
  <c r="V220" i="1"/>
  <c r="V215" i="1"/>
  <c r="V202" i="1"/>
  <c r="V196" i="1"/>
  <c r="V190" i="1"/>
  <c r="V184" i="1"/>
  <c r="V178" i="1"/>
  <c r="V172" i="1"/>
  <c r="V166" i="1"/>
  <c r="V160" i="1"/>
  <c r="V142" i="1"/>
  <c r="V136" i="1"/>
  <c r="V124" i="1"/>
  <c r="V118" i="1"/>
  <c r="V100" i="1"/>
  <c r="V94" i="1"/>
  <c r="V76" i="1"/>
  <c r="V64" i="1"/>
  <c r="V52" i="1"/>
  <c r="V40" i="1"/>
  <c r="V28" i="1"/>
  <c r="V621" i="1"/>
  <c r="V615" i="1"/>
  <c r="V609" i="1"/>
  <c r="V603" i="1"/>
  <c r="V591" i="1"/>
  <c r="V586" i="1"/>
  <c r="V567" i="1"/>
  <c r="V561" i="1"/>
  <c r="V549" i="1"/>
  <c r="V537" i="1"/>
  <c r="V531" i="1"/>
  <c r="V513" i="1"/>
  <c r="V495" i="1"/>
  <c r="V471" i="1"/>
  <c r="V465" i="1"/>
  <c r="V459" i="1"/>
  <c r="V453" i="1"/>
  <c r="V435" i="1"/>
  <c r="V429" i="1"/>
  <c r="V423" i="1"/>
  <c r="V411" i="1"/>
  <c r="V405" i="1"/>
  <c r="V393" i="1"/>
  <c r="V387" i="1"/>
  <c r="V381" i="1"/>
  <c r="V376" i="1"/>
  <c r="V369" i="1"/>
  <c r="V357" i="1"/>
  <c r="V351" i="1"/>
  <c r="V345" i="1"/>
  <c r="V321" i="1"/>
  <c r="V297" i="1"/>
  <c r="V285" i="1"/>
  <c r="V262" i="1"/>
  <c r="V255" i="1"/>
  <c r="V248" i="1"/>
  <c r="V237" i="1"/>
  <c r="V225" i="1"/>
  <c r="V219" i="1"/>
  <c r="V214" i="1"/>
  <c r="V177" i="1"/>
  <c r="V171" i="1"/>
  <c r="V147" i="1"/>
  <c r="V129" i="1"/>
  <c r="V117" i="1"/>
  <c r="V99" i="1"/>
  <c r="V93" i="1"/>
  <c r="V81" i="1"/>
  <c r="V75" i="1"/>
  <c r="V65" i="1"/>
  <c r="V57" i="1"/>
  <c r="V39" i="1"/>
  <c r="V33" i="1"/>
  <c r="V27" i="1"/>
  <c r="V21" i="1"/>
  <c r="V15" i="1"/>
  <c r="V9" i="1"/>
  <c r="V3" i="1"/>
  <c r="V157" i="1"/>
  <c r="V127" i="1"/>
  <c r="V121" i="1"/>
  <c r="V115" i="1"/>
  <c r="V109" i="1"/>
  <c r="V108" i="1"/>
  <c r="V91" i="1"/>
  <c r="V79" i="1"/>
  <c r="V55" i="1"/>
  <c r="V43" i="1"/>
  <c r="V31" i="1"/>
  <c r="V25" i="1"/>
  <c r="V19" i="1"/>
  <c r="V13" i="1"/>
  <c r="V7" i="1"/>
  <c r="V708" i="1"/>
  <c r="V702" i="1"/>
  <c r="V690" i="1"/>
  <c r="V678" i="1"/>
  <c r="V648" i="1"/>
  <c r="V636" i="1"/>
  <c r="V630" i="1"/>
  <c r="V606" i="1"/>
  <c r="V594" i="1"/>
  <c r="V588" i="1"/>
  <c r="V582" i="1"/>
  <c r="V564" i="1"/>
  <c r="V558" i="1"/>
  <c r="V552" i="1"/>
  <c r="V540" i="1"/>
  <c r="V534" i="1"/>
  <c r="V528" i="1"/>
  <c r="V522" i="1"/>
  <c r="V498" i="1"/>
  <c r="V492" i="1"/>
  <c r="V486" i="1"/>
  <c r="V480" i="1"/>
  <c r="V468" i="1"/>
  <c r="V462" i="1"/>
  <c r="V444" i="1"/>
  <c r="V432" i="1"/>
  <c r="V426" i="1"/>
  <c r="V414" i="1"/>
  <c r="V378" i="1"/>
  <c r="V372" i="1"/>
  <c r="V360" i="1"/>
  <c r="V354" i="1"/>
  <c r="V330" i="1"/>
  <c r="V306" i="1"/>
  <c r="V300" i="1"/>
  <c r="V282" i="1"/>
  <c r="V258" i="1"/>
  <c r="V252" i="1"/>
  <c r="V234" i="1"/>
  <c r="V228" i="1"/>
  <c r="V222" i="1"/>
  <c r="V212" i="1"/>
  <c r="V204" i="1"/>
  <c r="V192" i="1"/>
  <c r="V186" i="1"/>
  <c r="V168" i="1"/>
  <c r="V156" i="1"/>
  <c r="V150" i="1"/>
  <c r="V132" i="1"/>
  <c r="V126" i="1"/>
  <c r="V107" i="1"/>
  <c r="V102" i="1"/>
  <c r="V96" i="1"/>
  <c r="V72" i="1"/>
  <c r="V54" i="1"/>
  <c r="V48" i="1"/>
  <c r="V42" i="1"/>
  <c r="V12" i="1"/>
  <c r="V6" i="1"/>
  <c r="V272" i="1"/>
  <c r="V266" i="1"/>
  <c r="V230" i="1"/>
  <c r="V218" i="1"/>
  <c r="V200" i="1"/>
  <c r="V194" i="1"/>
  <c r="V182" i="1"/>
  <c r="V146" i="1"/>
  <c r="V140" i="1"/>
  <c r="V134" i="1"/>
  <c r="V122" i="1"/>
  <c r="V110" i="1"/>
  <c r="V98" i="1"/>
  <c r="V92" i="1"/>
  <c r="V74" i="1"/>
  <c r="V69" i="1"/>
  <c r="V62" i="1"/>
  <c r="V56" i="1"/>
  <c r="V44" i="1"/>
  <c r="V38" i="1"/>
  <c r="V8" i="1"/>
  <c r="V269" i="1"/>
  <c r="V257" i="1"/>
  <c r="V245" i="1"/>
  <c r="V239" i="1"/>
  <c r="V233" i="1"/>
  <c r="V227" i="1"/>
  <c r="V221" i="1"/>
  <c r="V216" i="1"/>
  <c r="V209" i="1"/>
  <c r="V203" i="1"/>
  <c r="V197" i="1"/>
  <c r="V185" i="1"/>
  <c r="V179" i="1"/>
  <c r="V167" i="1"/>
  <c r="V162" i="1"/>
  <c r="V153" i="1"/>
  <c r="V149" i="1"/>
  <c r="V131" i="1"/>
  <c r="V119" i="1"/>
  <c r="V113" i="1"/>
  <c r="V101" i="1"/>
  <c r="V89" i="1"/>
  <c r="V83" i="1"/>
  <c r="V77" i="1"/>
  <c r="V71" i="1"/>
  <c r="V59" i="1"/>
  <c r="V53" i="1"/>
  <c r="V47" i="1"/>
  <c r="V41" i="1"/>
  <c r="V35" i="1"/>
  <c r="V29" i="1"/>
  <c r="V23" i="1"/>
  <c r="V17" i="1"/>
  <c r="V11" i="1"/>
  <c r="V5" i="1"/>
  <c r="V22" i="1"/>
  <c r="V16" i="1"/>
  <c r="V10" i="1"/>
  <c r="V4" i="1"/>
  <c r="O58" i="1"/>
  <c r="AD58" i="1" s="1"/>
  <c r="O26" i="1"/>
  <c r="AD26" i="1" s="1"/>
  <c r="O42" i="1"/>
  <c r="AD42" i="1" s="1"/>
  <c r="O45" i="1"/>
  <c r="AD45" i="1" s="1"/>
  <c r="O61" i="1"/>
  <c r="AD61" i="1" s="1"/>
  <c r="O29" i="1"/>
  <c r="AD29" i="1" s="1"/>
  <c r="O56" i="1"/>
  <c r="AD56" i="1" s="1"/>
  <c r="O27" i="1"/>
  <c r="AD27" i="1" s="1"/>
  <c r="O43" i="1"/>
  <c r="AD43" i="1" s="1"/>
  <c r="O59" i="1"/>
  <c r="AD59" i="1" s="1"/>
  <c r="O52" i="1"/>
  <c r="AD52" i="1" s="1"/>
  <c r="O36" i="1"/>
  <c r="AD36" i="1" s="1"/>
  <c r="O34" i="1"/>
  <c r="AD34" i="1" s="1"/>
  <c r="O50" i="1"/>
  <c r="AD50" i="1" s="1"/>
  <c r="O46" i="1"/>
  <c r="AD46" i="1" s="1"/>
  <c r="O30" i="1"/>
  <c r="AD30" i="1" s="1"/>
  <c r="O62" i="1"/>
  <c r="AD62" i="1" s="1"/>
  <c r="O51" i="1"/>
  <c r="AD51" i="1" s="1"/>
  <c r="O28" i="1"/>
  <c r="AD28" i="1" s="1"/>
  <c r="BG19" i="2"/>
  <c r="BG12" i="2"/>
  <c r="BE12" i="2"/>
  <c r="BF23" i="2"/>
  <c r="BE16" i="2"/>
  <c r="BA32" i="2"/>
  <c r="BG28" i="2"/>
  <c r="BA9" i="2"/>
  <c r="BF11" i="2"/>
  <c r="BG15" i="2"/>
  <c r="BE9" i="2"/>
  <c r="BF19" i="2"/>
  <c r="BG31" i="2"/>
  <c r="BA23" i="2"/>
  <c r="BA3" i="2"/>
  <c r="BG16" i="2"/>
  <c r="BE19" i="2"/>
  <c r="BF18" i="2"/>
  <c r="BA33" i="2"/>
  <c r="BA24" i="2"/>
  <c r="BF4" i="2"/>
  <c r="BA15" i="2"/>
  <c r="BF13" i="2"/>
  <c r="BG26" i="2"/>
  <c r="BA27" i="2"/>
  <c r="BF8" i="2"/>
  <c r="BG22" i="2"/>
  <c r="BE5" i="2"/>
  <c r="BA17" i="2"/>
  <c r="BG11" i="2"/>
  <c r="BG10" i="2"/>
  <c r="BG7" i="2"/>
  <c r="BE20" i="2"/>
  <c r="BA21" i="2"/>
  <c r="BF22" i="2"/>
  <c r="BF33" i="2"/>
  <c r="BG30" i="2"/>
  <c r="BA22" i="2"/>
  <c r="BE33" i="2"/>
  <c r="BA10" i="2"/>
  <c r="BA29" i="2"/>
  <c r="BF7" i="2"/>
  <c r="BE21" i="2"/>
  <c r="BG2" i="2"/>
  <c r="BE2" i="2"/>
  <c r="BA28" i="2"/>
  <c r="BF3" i="2"/>
  <c r="BG6" i="2"/>
  <c r="BE3" i="2"/>
  <c r="BA16" i="2"/>
  <c r="BF10" i="2"/>
  <c r="BA13" i="2"/>
  <c r="BA25" i="2"/>
  <c r="BE30" i="2"/>
  <c r="BE23" i="2"/>
  <c r="BA26" i="2"/>
  <c r="BF21" i="2"/>
  <c r="BA5" i="2"/>
  <c r="BE18" i="2"/>
  <c r="BE24" i="2"/>
  <c r="BA4" i="2"/>
  <c r="BE31" i="2"/>
  <c r="BF9" i="2"/>
  <c r="BA12" i="2"/>
  <c r="BF32" i="2"/>
  <c r="BE10" i="2"/>
  <c r="BE25" i="2"/>
  <c r="BG8" i="2"/>
  <c r="BF20" i="2"/>
  <c r="BE28" i="2"/>
  <c r="BF16" i="2"/>
  <c r="BE11" i="2"/>
  <c r="BA19" i="2"/>
  <c r="BF31" i="2"/>
  <c r="BE32" i="2"/>
  <c r="BE15" i="2"/>
  <c r="BG25" i="2"/>
  <c r="BE7" i="2"/>
  <c r="BE27" i="2"/>
  <c r="BG5" i="2"/>
  <c r="BA18" i="2"/>
  <c r="BA2" i="2"/>
  <c r="BE17" i="2"/>
  <c r="BG4" i="2"/>
  <c r="BF30" i="2"/>
  <c r="BG9" i="2"/>
  <c r="BE13" i="2"/>
  <c r="BG29" i="2"/>
  <c r="BG27" i="2"/>
  <c r="BG17" i="2"/>
  <c r="BG24" i="2"/>
  <c r="BE4" i="2"/>
  <c r="BA30" i="2"/>
  <c r="BA6" i="2"/>
  <c r="BE6" i="2"/>
  <c r="BA11" i="2"/>
  <c r="BE29" i="2"/>
  <c r="BE26" i="2"/>
  <c r="BE8" i="2"/>
  <c r="BG20" i="2"/>
  <c r="BA31" i="2"/>
  <c r="BG13" i="2"/>
  <c r="BA20" i="2"/>
  <c r="BE22" i="2"/>
  <c r="BF5" i="2"/>
  <c r="BG18" i="2"/>
  <c r="BF28" i="2"/>
  <c r="BF6" i="2"/>
  <c r="BG3" i="2"/>
  <c r="BF12" i="2"/>
  <c r="BG32" i="2"/>
  <c r="BF25" i="2"/>
  <c r="BG23" i="2"/>
  <c r="BF27" i="2"/>
  <c r="BG21" i="2"/>
  <c r="BF17" i="2"/>
  <c r="BG33" i="2"/>
  <c r="BF29" i="2"/>
  <c r="BF2" i="2"/>
  <c r="BA7" i="2"/>
  <c r="BF15" i="2"/>
  <c r="BF26" i="2"/>
  <c r="BA8" i="2"/>
  <c r="BF24" i="2"/>
  <c r="O40" i="1"/>
  <c r="AD40" i="1" s="1"/>
  <c r="O25" i="1"/>
  <c r="AD25" i="1" s="1"/>
  <c r="O24" i="1"/>
  <c r="AD24" i="1" s="1"/>
  <c r="O39" i="1"/>
  <c r="AD39" i="1" s="1"/>
  <c r="O33" i="1"/>
  <c r="AD33" i="1" s="1"/>
  <c r="S25" i="1"/>
  <c r="O32" i="1"/>
  <c r="AD32" i="1" s="1"/>
  <c r="S6" i="1"/>
  <c r="S39" i="1"/>
  <c r="S11" i="1"/>
  <c r="S5" i="1"/>
  <c r="S37" i="1"/>
  <c r="S4" i="1"/>
  <c r="S20" i="1"/>
  <c r="O22" i="1"/>
  <c r="AD22" i="1" s="1"/>
  <c r="S42" i="1"/>
  <c r="S19" i="1"/>
  <c r="O21" i="1"/>
  <c r="AD21" i="1" s="1"/>
  <c r="O18" i="1"/>
  <c r="AD18" i="1" s="1"/>
  <c r="O16" i="1"/>
  <c r="AD16" i="1" s="1"/>
  <c r="O20" i="1"/>
  <c r="AD20" i="1" s="1"/>
  <c r="O15" i="1"/>
  <c r="AD15" i="1" s="1"/>
  <c r="O17" i="1"/>
  <c r="O14" i="1"/>
  <c r="AD14" i="1" s="1"/>
  <c r="O19" i="1"/>
  <c r="AD19" i="1" s="1"/>
  <c r="O13" i="1"/>
  <c r="AD13" i="1" s="1"/>
  <c r="O8" i="1"/>
  <c r="O9" i="1"/>
  <c r="AD9" i="1" s="1"/>
  <c r="BO57" i="3"/>
  <c r="BO41" i="3"/>
  <c r="BO3" i="3"/>
  <c r="BO14" i="3"/>
  <c r="O10" i="1"/>
  <c r="BO25" i="3"/>
  <c r="BO12" i="3"/>
  <c r="BO58" i="3"/>
  <c r="BO54" i="3"/>
  <c r="BO42" i="3"/>
  <c r="BO38" i="3"/>
  <c r="BO30" i="3"/>
  <c r="BO29" i="3"/>
  <c r="BO13" i="3"/>
  <c r="BO5" i="3"/>
  <c r="BO61" i="3"/>
  <c r="BO45" i="3"/>
  <c r="BO22" i="3"/>
  <c r="BO55" i="3"/>
  <c r="BO46" i="3"/>
  <c r="BO39" i="3"/>
  <c r="BO15" i="3"/>
  <c r="BO6" i="3"/>
  <c r="BO62" i="3"/>
  <c r="BO23" i="3"/>
  <c r="BO64" i="3"/>
  <c r="BO48" i="3"/>
  <c r="BO32" i="3"/>
  <c r="BO31" i="3"/>
  <c r="BO16" i="3"/>
  <c r="BO7" i="3"/>
  <c r="O12" i="1"/>
  <c r="AD12" i="1" s="1"/>
  <c r="BO63" i="3"/>
  <c r="BO47" i="3"/>
  <c r="BO24" i="3"/>
  <c r="O11" i="1"/>
  <c r="AD11" i="1" s="1"/>
  <c r="BO65" i="3"/>
  <c r="BO49" i="3"/>
  <c r="BO33" i="3"/>
  <c r="BO17" i="3"/>
  <c r="BO8" i="3"/>
  <c r="BO60" i="3"/>
  <c r="BO66" i="3"/>
  <c r="BO50" i="3"/>
  <c r="BO34" i="3"/>
  <c r="BO26" i="3"/>
  <c r="BO18" i="3"/>
  <c r="BO9" i="3"/>
  <c r="BO52" i="3"/>
  <c r="BO36" i="3"/>
  <c r="O7" i="1"/>
  <c r="AD7" i="1" s="1"/>
  <c r="BO59" i="3"/>
  <c r="BO51" i="3"/>
  <c r="BO43" i="3"/>
  <c r="BO35" i="3"/>
  <c r="BO27" i="3"/>
  <c r="BO19" i="3"/>
  <c r="BO10" i="3"/>
  <c r="BO53" i="3"/>
  <c r="BO37" i="3"/>
  <c r="BO21" i="3"/>
  <c r="BO56" i="3"/>
  <c r="BO44" i="3"/>
  <c r="BO40" i="3"/>
  <c r="BO28" i="3"/>
  <c r="BO11" i="3"/>
  <c r="BO20" i="3"/>
  <c r="BO4" i="3"/>
  <c r="O6" i="1"/>
  <c r="AD6" i="1" s="1"/>
  <c r="O4" i="1"/>
  <c r="AD4" i="1" s="1"/>
  <c r="O3" i="1"/>
  <c r="O5" i="1"/>
  <c r="AD5" i="1" s="1"/>
  <c r="AC1188" i="1" l="1"/>
  <c r="AC1167" i="1"/>
  <c r="AD763" i="1"/>
  <c r="AD1150" i="1"/>
  <c r="AC1211" i="1"/>
  <c r="AD842" i="1"/>
  <c r="AD852" i="1"/>
  <c r="AD1246" i="1"/>
  <c r="AD1076" i="1"/>
  <c r="AD1179" i="1"/>
  <c r="AC822" i="1"/>
  <c r="AD1082" i="1"/>
  <c r="AC1098" i="1"/>
  <c r="AC965" i="1"/>
  <c r="AC1020" i="1"/>
  <c r="AD694" i="1"/>
  <c r="AD741" i="1"/>
  <c r="AD940" i="1"/>
  <c r="AD949" i="1"/>
  <c r="AD1182" i="1"/>
  <c r="AD1109" i="1"/>
  <c r="AD529" i="1"/>
  <c r="AC1122" i="1"/>
  <c r="AC980" i="1"/>
  <c r="AD884" i="1"/>
  <c r="AC1013" i="1"/>
  <c r="AD969" i="1"/>
  <c r="AD1226" i="1"/>
  <c r="AD1126" i="1"/>
  <c r="AD890" i="1"/>
  <c r="R32" i="2"/>
  <c r="S32" i="2"/>
  <c r="Q32" i="2"/>
  <c r="AC1142" i="1"/>
  <c r="AD961" i="1"/>
  <c r="Z7" i="2"/>
  <c r="Y7" i="2"/>
  <c r="AA7" i="2"/>
  <c r="AD65" i="1"/>
  <c r="BD20" i="1"/>
  <c r="AD63" i="1"/>
  <c r="BD19" i="1"/>
  <c r="AD1102" i="1"/>
  <c r="AC1174" i="1"/>
  <c r="AD1134" i="1"/>
  <c r="AC868" i="1"/>
  <c r="AC770" i="1"/>
  <c r="AD1069" i="1"/>
  <c r="AC798" i="1"/>
  <c r="AC1058" i="1"/>
  <c r="AC806" i="1"/>
  <c r="AD1197" i="1"/>
  <c r="AC1187" i="1"/>
  <c r="AC340" i="1"/>
  <c r="AD598" i="1"/>
  <c r="AC870" i="1"/>
  <c r="AD1145" i="1"/>
  <c r="AD1004" i="1"/>
  <c r="AD553" i="1"/>
  <c r="AC922" i="1"/>
  <c r="AD840" i="1"/>
  <c r="AD1161" i="1"/>
  <c r="AD1050" i="1"/>
  <c r="AC739" i="1"/>
  <c r="AD1180" i="1"/>
  <c r="AC1062" i="1"/>
  <c r="AC1024" i="1"/>
  <c r="AD1114" i="1"/>
  <c r="AD1115" i="1"/>
  <c r="AC1129" i="1"/>
  <c r="AD1147" i="1"/>
  <c r="AD1260" i="1"/>
  <c r="AD1163" i="1"/>
  <c r="AD814" i="1"/>
  <c r="AD943" i="1"/>
  <c r="Y11" i="2"/>
  <c r="Z11" i="2"/>
  <c r="AA11" i="2"/>
  <c r="AC978" i="1"/>
  <c r="AC959" i="1"/>
  <c r="AC951" i="1"/>
  <c r="AD1113" i="1"/>
  <c r="AD1118" i="1"/>
  <c r="AD849" i="1"/>
  <c r="AD678" i="1"/>
  <c r="AC655" i="1"/>
  <c r="AC1017" i="1"/>
  <c r="AC1217" i="1"/>
  <c r="AD1178" i="1"/>
  <c r="AC719" i="1"/>
  <c r="AD960" i="1"/>
  <c r="AD966" i="1"/>
  <c r="AC877" i="1"/>
  <c r="AC827" i="1"/>
  <c r="AC928" i="1"/>
  <c r="AC857" i="1"/>
  <c r="AD1282" i="1"/>
  <c r="AD1172" i="1"/>
  <c r="AC690" i="1"/>
  <c r="AC937" i="1"/>
  <c r="AC977" i="1"/>
  <c r="AC946" i="1"/>
  <c r="AC875" i="1"/>
  <c r="AD919" i="1"/>
  <c r="AD1216" i="1"/>
  <c r="AC964" i="1"/>
  <c r="AD761" i="1"/>
  <c r="AC1166" i="1"/>
  <c r="AD861" i="1"/>
  <c r="AC674" i="1"/>
  <c r="AD1112" i="1"/>
  <c r="AD795" i="1"/>
  <c r="AA14" i="2"/>
  <c r="Z14" i="2"/>
  <c r="Y14" i="2"/>
  <c r="Q4" i="2"/>
  <c r="R4" i="2"/>
  <c r="S4" i="2"/>
  <c r="AA18" i="2"/>
  <c r="Z18" i="2"/>
  <c r="Y18" i="2"/>
  <c r="R22" i="2"/>
  <c r="Q22" i="2"/>
  <c r="S22" i="2"/>
  <c r="S15" i="2"/>
  <c r="R15" i="2"/>
  <c r="Q15" i="2"/>
  <c r="Y8" i="2"/>
  <c r="AA8" i="2"/>
  <c r="Z8" i="2"/>
  <c r="AD1133" i="1"/>
  <c r="AC1119" i="1"/>
  <c r="AD933" i="1"/>
  <c r="AC1135" i="1"/>
  <c r="AC1066" i="1"/>
  <c r="Z3" i="2"/>
  <c r="AA3" i="2"/>
  <c r="Y3" i="2"/>
  <c r="AC1094" i="1"/>
  <c r="AD902" i="1"/>
  <c r="AD747" i="1"/>
  <c r="R10" i="2"/>
  <c r="Q10" i="2"/>
  <c r="S10" i="2"/>
  <c r="AC1148" i="1"/>
  <c r="AC1162" i="1"/>
  <c r="Z27" i="2"/>
  <c r="AA27" i="2"/>
  <c r="Y27" i="2"/>
  <c r="S28" i="2"/>
  <c r="AA9" i="2"/>
  <c r="Y9" i="2"/>
  <c r="Z9" i="2"/>
  <c r="Q28" i="2"/>
  <c r="R28" i="2"/>
  <c r="Z24" i="2"/>
  <c r="AA24" i="2"/>
  <c r="Y24" i="2"/>
  <c r="R21" i="2"/>
  <c r="AA13" i="2"/>
  <c r="Z13" i="2"/>
  <c r="S21" i="2"/>
  <c r="Y13" i="2"/>
  <c r="Q21" i="2"/>
  <c r="AA19" i="2"/>
  <c r="Y19" i="2"/>
  <c r="Q5" i="2"/>
  <c r="Z19" i="2"/>
  <c r="S5" i="2"/>
  <c r="R5" i="2"/>
  <c r="R6" i="2"/>
  <c r="S6" i="2"/>
  <c r="Q6" i="2"/>
  <c r="R26" i="2"/>
  <c r="Y29" i="2"/>
  <c r="Q26" i="2"/>
  <c r="AA29" i="2"/>
  <c r="Z29" i="2"/>
  <c r="S26" i="2"/>
  <c r="Q31" i="2"/>
  <c r="R31" i="2"/>
  <c r="S31" i="2"/>
  <c r="Q2" i="2"/>
  <c r="R2" i="2"/>
  <c r="S2" i="2"/>
  <c r="Y25" i="2"/>
  <c r="Z25" i="2"/>
  <c r="AA25" i="2"/>
  <c r="Z22" i="2"/>
  <c r="R16" i="2"/>
  <c r="AA22" i="2"/>
  <c r="S16" i="2"/>
  <c r="Q16" i="2"/>
  <c r="Y22" i="2"/>
  <c r="AA20" i="2"/>
  <c r="Z20" i="2"/>
  <c r="Y20" i="2"/>
  <c r="S9" i="2"/>
  <c r="Y23" i="2"/>
  <c r="Z23" i="2"/>
  <c r="Q9" i="2"/>
  <c r="AA23" i="2"/>
  <c r="R9" i="2"/>
  <c r="Q30" i="2"/>
  <c r="S30" i="2"/>
  <c r="R30" i="2"/>
  <c r="Z17" i="2"/>
  <c r="Y17" i="2"/>
  <c r="AA17" i="2"/>
  <c r="R19" i="2"/>
  <c r="Q19" i="2"/>
  <c r="S19" i="2"/>
  <c r="R12" i="2"/>
  <c r="AA33" i="2"/>
  <c r="Q12" i="2"/>
  <c r="S12" i="2"/>
  <c r="Y33" i="2"/>
  <c r="Z33" i="2"/>
  <c r="Q27" i="2"/>
  <c r="R27" i="2"/>
  <c r="S27" i="2"/>
  <c r="J69" i="7"/>
  <c r="Y8" i="6"/>
  <c r="J33" i="7"/>
  <c r="AA32" i="2"/>
  <c r="S3" i="2"/>
  <c r="Q3" i="2"/>
  <c r="Z32" i="2"/>
  <c r="Y32" i="2"/>
  <c r="R3" i="2"/>
  <c r="J30" i="7"/>
  <c r="B8" i="6"/>
  <c r="J67" i="7"/>
  <c r="S14" i="2"/>
  <c r="Z15" i="2"/>
  <c r="R14" i="2"/>
  <c r="AA15" i="2"/>
  <c r="Q14" i="2"/>
  <c r="Y15" i="2"/>
  <c r="AD8" i="6"/>
  <c r="J28" i="7"/>
  <c r="J63" i="7"/>
  <c r="Q33" i="2"/>
  <c r="Y16" i="2"/>
  <c r="Z16" i="2"/>
  <c r="S33" i="2"/>
  <c r="AA16" i="2"/>
  <c r="R33" i="2"/>
  <c r="Z2" i="2"/>
  <c r="AA2" i="2"/>
  <c r="Q11" i="2"/>
  <c r="Y2" i="2"/>
  <c r="S11" i="2"/>
  <c r="R11" i="2"/>
  <c r="J20" i="7"/>
  <c r="AC8" i="6"/>
  <c r="J58" i="7"/>
  <c r="J55" i="7"/>
  <c r="J19" i="7"/>
  <c r="AF8" i="6"/>
  <c r="J8" i="6"/>
  <c r="J56" i="7"/>
  <c r="J24" i="7"/>
  <c r="Y6" i="2"/>
  <c r="Z6" i="2"/>
  <c r="AA6" i="2"/>
  <c r="S18" i="2"/>
  <c r="Q18" i="2"/>
  <c r="R18" i="2"/>
  <c r="R24" i="2"/>
  <c r="Q24" i="2"/>
  <c r="Z26" i="2"/>
  <c r="Y26" i="2"/>
  <c r="AA26" i="2"/>
  <c r="S24" i="2"/>
  <c r="Z4" i="2"/>
  <c r="R7" i="2"/>
  <c r="AA4" i="2"/>
  <c r="Y4" i="2"/>
  <c r="S7" i="2"/>
  <c r="Q7" i="2"/>
  <c r="S13" i="2"/>
  <c r="Q13" i="2"/>
  <c r="AA21" i="2"/>
  <c r="R13" i="2"/>
  <c r="Y21" i="2"/>
  <c r="Z21" i="2"/>
  <c r="Z31" i="2"/>
  <c r="Q29" i="2"/>
  <c r="AA31" i="2"/>
  <c r="Y31" i="2"/>
  <c r="R29" i="2"/>
  <c r="S29" i="2"/>
  <c r="Y5" i="2"/>
  <c r="R8" i="2"/>
  <c r="Q8" i="2"/>
  <c r="AA5" i="2"/>
  <c r="Z5" i="2"/>
  <c r="S8" i="2"/>
  <c r="AA30" i="2"/>
  <c r="Q25" i="2"/>
  <c r="Y30" i="2"/>
  <c r="S25" i="2"/>
  <c r="R25" i="2"/>
  <c r="Z30" i="2"/>
  <c r="AD10" i="1"/>
  <c r="BD22" i="1"/>
  <c r="Q17" i="2"/>
  <c r="R17" i="2"/>
  <c r="AA28" i="2"/>
  <c r="Z28" i="2"/>
  <c r="S17" i="2"/>
  <c r="Y28" i="2"/>
  <c r="AA10" i="2"/>
  <c r="Q23" i="2"/>
  <c r="Z10" i="2"/>
  <c r="Y10" i="2"/>
  <c r="S23" i="2"/>
  <c r="R23" i="2"/>
  <c r="AD17" i="1"/>
  <c r="BM6" i="1"/>
  <c r="BM7" i="1"/>
  <c r="Y12" i="2"/>
  <c r="Z12" i="2"/>
  <c r="S20" i="2"/>
  <c r="R20" i="2"/>
  <c r="AA12" i="2"/>
  <c r="Q20" i="2"/>
  <c r="AC1104" i="1"/>
  <c r="AC1184" i="1"/>
  <c r="AC989" i="1"/>
  <c r="AC1006" i="1"/>
  <c r="AD1048" i="1"/>
  <c r="AD1201" i="1"/>
  <c r="AC1117" i="1"/>
  <c r="AC647" i="1"/>
  <c r="AD1248" i="1"/>
  <c r="AD790" i="1"/>
  <c r="AC906" i="1"/>
  <c r="AC1099" i="1"/>
  <c r="AC1210" i="1"/>
  <c r="AD954" i="1"/>
  <c r="AD869" i="1"/>
  <c r="AC601" i="1"/>
  <c r="AC1244" i="1"/>
  <c r="AC1089" i="1"/>
  <c r="AC1078" i="1"/>
  <c r="AD805" i="1"/>
  <c r="AC1081" i="1"/>
  <c r="AC1023" i="1"/>
  <c r="AC1227" i="1"/>
  <c r="AC1090" i="1"/>
  <c r="AD836" i="1"/>
  <c r="AC1016" i="1"/>
  <c r="AC838" i="1"/>
  <c r="AC1183" i="1"/>
  <c r="AD957" i="1"/>
  <c r="AC1040" i="1"/>
  <c r="AD1067" i="1"/>
  <c r="AD828" i="1"/>
  <c r="AC1152" i="1"/>
  <c r="AC1110" i="1"/>
  <c r="AD1259" i="1"/>
  <c r="AC990" i="1"/>
  <c r="AC1057" i="1"/>
  <c r="AD892" i="1"/>
  <c r="AD945" i="1"/>
  <c r="AD981" i="1"/>
  <c r="AD786" i="1"/>
  <c r="AD643" i="1"/>
  <c r="AD1156" i="1"/>
  <c r="AD970" i="1"/>
  <c r="AD1086" i="1"/>
  <c r="AD1008" i="1"/>
  <c r="AC774" i="1"/>
  <c r="AD731" i="1"/>
  <c r="AC801" i="1"/>
  <c r="GN63" i="7"/>
  <c r="DZ63" i="7"/>
  <c r="BM63" i="7"/>
  <c r="GI63" i="7"/>
  <c r="DF63" i="7"/>
  <c r="AB63" i="7"/>
  <c r="EW63" i="7"/>
  <c r="CJ63" i="7"/>
  <c r="U63" i="7"/>
  <c r="FJ63" i="7"/>
  <c r="GQ63" i="7"/>
  <c r="AM63" i="7"/>
  <c r="FX63" i="7"/>
  <c r="DJ63" i="7"/>
  <c r="AW63" i="7"/>
  <c r="FS63" i="7"/>
  <c r="CP63" i="7"/>
  <c r="GT63" i="7"/>
  <c r="EG63" i="7"/>
  <c r="BT63" i="7"/>
  <c r="FW63" i="7"/>
  <c r="DK63" i="7"/>
  <c r="ET63" i="7"/>
  <c r="AL63" i="7"/>
  <c r="FH63" i="7"/>
  <c r="CT63" i="7"/>
  <c r="AG63" i="7"/>
  <c r="FC63" i="7"/>
  <c r="BZ63" i="7"/>
  <c r="GD63" i="7"/>
  <c r="DQ63" i="7"/>
  <c r="BD63" i="7"/>
  <c r="DU63" i="7"/>
  <c r="BI63" i="7"/>
  <c r="CU63" i="7"/>
  <c r="AC63" i="7"/>
  <c r="ER63" i="7"/>
  <c r="CD63" i="7"/>
  <c r="Q63" i="7"/>
  <c r="EM63" i="7"/>
  <c r="BJ63" i="7"/>
  <c r="FN63" i="7"/>
  <c r="DA63" i="7"/>
  <c r="AN63" i="7"/>
  <c r="BW63" i="7"/>
  <c r="FG63" i="7"/>
  <c r="AS63" i="7"/>
  <c r="AA63" i="7"/>
  <c r="EB63" i="7"/>
  <c r="BN63" i="7"/>
  <c r="GJ63" i="7"/>
  <c r="DW63" i="7"/>
  <c r="AT63" i="7"/>
  <c r="EX63" i="7"/>
  <c r="CK63" i="7"/>
  <c r="X63" i="7"/>
  <c r="W63" i="7"/>
  <c r="DE63" i="7"/>
  <c r="GP63" i="7"/>
  <c r="GM63" i="7"/>
  <c r="DL63" i="7"/>
  <c r="AX63" i="7"/>
  <c r="FT63" i="7"/>
  <c r="DG63" i="7"/>
  <c r="AD63" i="7"/>
  <c r="EH63" i="7"/>
  <c r="BU63" i="7"/>
  <c r="GO63" i="7"/>
  <c r="FQ63" i="7"/>
  <c r="BG63" i="7"/>
  <c r="EQ63" i="7"/>
  <c r="GG63" i="7"/>
  <c r="CV63" i="7"/>
  <c r="AH63" i="7"/>
  <c r="FD63" i="7"/>
  <c r="CQ63" i="7"/>
  <c r="GF63" i="7"/>
  <c r="DR63" i="7"/>
  <c r="BE63" i="7"/>
  <c r="FY63" i="7"/>
  <c r="DS63" i="7"/>
  <c r="FA63" i="7"/>
  <c r="CO63" i="7"/>
  <c r="GA63" i="7"/>
  <c r="CF63" i="7"/>
  <c r="R63" i="7"/>
  <c r="EN63" i="7"/>
  <c r="CA63" i="7"/>
  <c r="FP63" i="7"/>
  <c r="DB63" i="7"/>
  <c r="AO63" i="7"/>
  <c r="FI63" i="7"/>
  <c r="BS63" i="7"/>
  <c r="DC63" i="7"/>
  <c r="AQ63" i="7"/>
  <c r="FZ63" i="7"/>
  <c r="BP63" i="7"/>
  <c r="GK63" i="7"/>
  <c r="DX63" i="7"/>
  <c r="BK63" i="7"/>
  <c r="EZ63" i="7"/>
  <c r="CL63" i="7"/>
  <c r="Y63" i="7"/>
  <c r="ES63" i="7"/>
  <c r="V63" i="7"/>
  <c r="BC63" i="7"/>
  <c r="GE63" i="7"/>
  <c r="EI63" i="7"/>
  <c r="AZ63" i="7"/>
  <c r="FU63" i="7"/>
  <c r="DH63" i="7"/>
  <c r="AU63" i="7"/>
  <c r="EJ63" i="7"/>
  <c r="BV63" i="7"/>
  <c r="GR63" i="7"/>
  <c r="EC63" i="7"/>
  <c r="FO63" i="7"/>
  <c r="EY63" i="7"/>
  <c r="EE63" i="7"/>
  <c r="ED63" i="7"/>
  <c r="AJ63" i="7"/>
  <c r="FE63" i="7"/>
  <c r="CR63" i="7"/>
  <c r="AE63" i="7"/>
  <c r="DT63" i="7"/>
  <c r="BF63" i="7"/>
  <c r="GB63" i="7"/>
  <c r="DM63" i="7"/>
  <c r="DO63" i="7"/>
  <c r="CY63" i="7"/>
  <c r="CH63" i="7"/>
  <c r="EK63" i="7"/>
  <c r="T63" i="7"/>
  <c r="EO63" i="7"/>
  <c r="CB63" i="7"/>
  <c r="GH63" i="7"/>
  <c r="DD63" i="7"/>
  <c r="AP63" i="7"/>
  <c r="FL63" i="7"/>
  <c r="CW63" i="7"/>
  <c r="BR63" i="7"/>
  <c r="BB63" i="7"/>
  <c r="AI63" i="7"/>
  <c r="EA63" i="7"/>
  <c r="GL63" i="7"/>
  <c r="DY63" i="7"/>
  <c r="BL63" i="7"/>
  <c r="FR63" i="7"/>
  <c r="CN63" i="7"/>
  <c r="Z63" i="7"/>
  <c r="EV63" i="7"/>
  <c r="CG63" i="7"/>
  <c r="S63" i="7"/>
  <c r="GU63" i="7"/>
  <c r="CM63" i="7"/>
  <c r="FV63" i="7"/>
  <c r="DI63" i="7"/>
  <c r="AV63" i="7"/>
  <c r="FB63" i="7"/>
  <c r="BX63" i="7"/>
  <c r="GS63" i="7"/>
  <c r="EF63" i="7"/>
  <c r="BQ63" i="7"/>
  <c r="FK63" i="7"/>
  <c r="EU63" i="7"/>
  <c r="CI63" i="7"/>
  <c r="FF63" i="7"/>
  <c r="CS63" i="7"/>
  <c r="AF63" i="7"/>
  <c r="EL63" i="7"/>
  <c r="BH63" i="7"/>
  <c r="GC63" i="7"/>
  <c r="DP63" i="7"/>
  <c r="BA63" i="7"/>
  <c r="DN63" i="7"/>
  <c r="CX63" i="7"/>
  <c r="CE63" i="7"/>
  <c r="CC63" i="7"/>
  <c r="P63" i="7"/>
  <c r="DV63" i="7"/>
  <c r="AR63" i="7"/>
  <c r="FM63" i="7"/>
  <c r="CZ63" i="7"/>
  <c r="AK63" i="7"/>
  <c r="BO63" i="7"/>
  <c r="AY63" i="7"/>
  <c r="BY63" i="7"/>
  <c r="O63" i="7"/>
  <c r="N63" i="7"/>
  <c r="EP63" i="7"/>
  <c r="M63" i="7"/>
  <c r="N28" i="7"/>
  <c r="O28" i="7"/>
  <c r="M28" i="7"/>
  <c r="AX28" i="7"/>
  <c r="EP28" i="7"/>
  <c r="BE28" i="7"/>
  <c r="EW28" i="7"/>
  <c r="BF28" i="7"/>
  <c r="EX28" i="7"/>
  <c r="BG28" i="7"/>
  <c r="CF28" i="7"/>
  <c r="FX28" i="7"/>
  <c r="CM28" i="7"/>
  <c r="GE28" i="7"/>
  <c r="FW28" i="7"/>
  <c r="BD28" i="7"/>
  <c r="EV28" i="7"/>
  <c r="BK28" i="7"/>
  <c r="FC28" i="7"/>
  <c r="BL28" i="7"/>
  <c r="FD28" i="7"/>
  <c r="BM28" i="7"/>
  <c r="CL28" i="7"/>
  <c r="GD28" i="7"/>
  <c r="CS28" i="7"/>
  <c r="GK28" i="7"/>
  <c r="DI28" i="7"/>
  <c r="BJ28" i="7"/>
  <c r="FB28" i="7"/>
  <c r="BQ28" i="7"/>
  <c r="FI28" i="7"/>
  <c r="BR28" i="7"/>
  <c r="FJ28" i="7"/>
  <c r="BS28" i="7"/>
  <c r="CR28" i="7"/>
  <c r="GJ28" i="7"/>
  <c r="CY28" i="7"/>
  <c r="GQ28" i="7"/>
  <c r="ES28" i="7"/>
  <c r="BP28" i="7"/>
  <c r="FH28" i="7"/>
  <c r="BW28" i="7"/>
  <c r="FO28" i="7"/>
  <c r="BX28" i="7"/>
  <c r="FP28" i="7"/>
  <c r="BY28" i="7"/>
  <c r="CX28" i="7"/>
  <c r="GP28" i="7"/>
  <c r="DE28" i="7"/>
  <c r="CK28" i="7"/>
  <c r="GC28" i="7"/>
  <c r="BV28" i="7"/>
  <c r="FN28" i="7"/>
  <c r="CC28" i="7"/>
  <c r="FU28" i="7"/>
  <c r="CD28" i="7"/>
  <c r="FV28" i="7"/>
  <c r="CE28" i="7"/>
  <c r="DD28" i="7"/>
  <c r="S28" i="7"/>
  <c r="DK28" i="7"/>
  <c r="DU28" i="7"/>
  <c r="DO28" i="7"/>
  <c r="CB28" i="7"/>
  <c r="FT28" i="7"/>
  <c r="CI28" i="7"/>
  <c r="GA28" i="7"/>
  <c r="CJ28" i="7"/>
  <c r="GB28" i="7"/>
  <c r="R28" i="7"/>
  <c r="DJ28" i="7"/>
  <c r="Y28" i="7"/>
  <c r="DQ28" i="7"/>
  <c r="FE28" i="7"/>
  <c r="EY28" i="7"/>
  <c r="CH28" i="7"/>
  <c r="FZ28" i="7"/>
  <c r="CO28" i="7"/>
  <c r="GG28" i="7"/>
  <c r="CP28" i="7"/>
  <c r="GH28" i="7"/>
  <c r="X28" i="7"/>
  <c r="DP28" i="7"/>
  <c r="AE28" i="7"/>
  <c r="DW28" i="7"/>
  <c r="GO28" i="7"/>
  <c r="GI28" i="7"/>
  <c r="CN28" i="7"/>
  <c r="GF28" i="7"/>
  <c r="CU28" i="7"/>
  <c r="GM28" i="7"/>
  <c r="CV28" i="7"/>
  <c r="GN28" i="7"/>
  <c r="AD28" i="7"/>
  <c r="DV28" i="7"/>
  <c r="AK28" i="7"/>
  <c r="EC28" i="7"/>
  <c r="CQ28" i="7"/>
  <c r="CT28" i="7"/>
  <c r="GL28" i="7"/>
  <c r="DA28" i="7"/>
  <c r="GS28" i="7"/>
  <c r="DB28" i="7"/>
  <c r="GT28" i="7"/>
  <c r="AJ28" i="7"/>
  <c r="EB28" i="7"/>
  <c r="AQ28" i="7"/>
  <c r="EI28" i="7"/>
  <c r="EA28" i="7"/>
  <c r="CZ28" i="7"/>
  <c r="GR28" i="7"/>
  <c r="DG28" i="7"/>
  <c r="P28" i="7"/>
  <c r="DH28" i="7"/>
  <c r="Q28" i="7"/>
  <c r="AP28" i="7"/>
  <c r="EH28" i="7"/>
  <c r="AW28" i="7"/>
  <c r="EO28" i="7"/>
  <c r="FK28" i="7"/>
  <c r="DF28" i="7"/>
  <c r="U28" i="7"/>
  <c r="DM28" i="7"/>
  <c r="V28" i="7"/>
  <c r="DN28" i="7"/>
  <c r="W28" i="7"/>
  <c r="AV28" i="7"/>
  <c r="EN28" i="7"/>
  <c r="BC28" i="7"/>
  <c r="EU28" i="7"/>
  <c r="GU28" i="7"/>
  <c r="T28" i="7"/>
  <c r="DL28" i="7"/>
  <c r="AA28" i="7"/>
  <c r="DS28" i="7"/>
  <c r="AB28" i="7"/>
  <c r="DT28" i="7"/>
  <c r="AC28" i="7"/>
  <c r="BB28" i="7"/>
  <c r="ET28" i="7"/>
  <c r="BI28" i="7"/>
  <c r="FA28" i="7"/>
  <c r="CW28" i="7"/>
  <c r="Z28" i="7"/>
  <c r="DR28" i="7"/>
  <c r="AG28" i="7"/>
  <c r="DY28" i="7"/>
  <c r="AH28" i="7"/>
  <c r="DZ28" i="7"/>
  <c r="AI28" i="7"/>
  <c r="BH28" i="7"/>
  <c r="EZ28" i="7"/>
  <c r="BO28" i="7"/>
  <c r="FG28" i="7"/>
  <c r="EG28" i="7"/>
  <c r="AF28" i="7"/>
  <c r="DX28" i="7"/>
  <c r="AM28" i="7"/>
  <c r="EE28" i="7"/>
  <c r="AN28" i="7"/>
  <c r="EF28" i="7"/>
  <c r="AO28" i="7"/>
  <c r="BN28" i="7"/>
  <c r="FF28" i="7"/>
  <c r="BU28" i="7"/>
  <c r="FM28" i="7"/>
  <c r="FQ28" i="7"/>
  <c r="AL28" i="7"/>
  <c r="ED28" i="7"/>
  <c r="AS28" i="7"/>
  <c r="EK28" i="7"/>
  <c r="AT28" i="7"/>
  <c r="EL28" i="7"/>
  <c r="AU28" i="7"/>
  <c r="BT28" i="7"/>
  <c r="FL28" i="7"/>
  <c r="CA28" i="7"/>
  <c r="FS28" i="7"/>
  <c r="DC28" i="7"/>
  <c r="AR28" i="7"/>
  <c r="EJ28" i="7"/>
  <c r="AY28" i="7"/>
  <c r="EQ28" i="7"/>
  <c r="AZ28" i="7"/>
  <c r="ER28" i="7"/>
  <c r="BA28" i="7"/>
  <c r="BZ28" i="7"/>
  <c r="FR28" i="7"/>
  <c r="CG28" i="7"/>
  <c r="FY28" i="7"/>
  <c r="EM28" i="7"/>
  <c r="H41" i="7"/>
  <c r="H4" i="7"/>
  <c r="I4" i="7"/>
  <c r="J41" i="7"/>
  <c r="I41" i="7"/>
  <c r="L41" i="7"/>
  <c r="M41" i="7"/>
  <c r="K41" i="7"/>
  <c r="J4" i="7"/>
  <c r="L4" i="7"/>
  <c r="K4" i="7"/>
  <c r="M4" i="7"/>
  <c r="DL67" i="7"/>
  <c r="AY67" i="7"/>
  <c r="FU67" i="7"/>
  <c r="DH67" i="7"/>
  <c r="AU67" i="7"/>
  <c r="FQ67" i="7"/>
  <c r="DD67" i="7"/>
  <c r="EH67" i="7"/>
  <c r="BU67" i="7"/>
  <c r="GQ67" i="7"/>
  <c r="CG67" i="7"/>
  <c r="W67" i="7"/>
  <c r="CV67" i="7"/>
  <c r="AI67" i="7"/>
  <c r="FE67" i="7"/>
  <c r="CR67" i="7"/>
  <c r="AE67" i="7"/>
  <c r="FA67" i="7"/>
  <c r="CN67" i="7"/>
  <c r="DR67" i="7"/>
  <c r="BE67" i="7"/>
  <c r="GA67" i="7"/>
  <c r="BQ67" i="7"/>
  <c r="ED67" i="7"/>
  <c r="CF67" i="7"/>
  <c r="BP67" i="7"/>
  <c r="GL67" i="7"/>
  <c r="DY67" i="7"/>
  <c r="BL67" i="7"/>
  <c r="GH67" i="7"/>
  <c r="DU67" i="7"/>
  <c r="BH67" i="7"/>
  <c r="CL67" i="7"/>
  <c r="Y67" i="7"/>
  <c r="EU67" i="7"/>
  <c r="AK67" i="7"/>
  <c r="DN67" i="7"/>
  <c r="AZ67" i="7"/>
  <c r="FV67" i="7"/>
  <c r="DI67" i="7"/>
  <c r="AV67" i="7"/>
  <c r="FR67" i="7"/>
  <c r="DE67" i="7"/>
  <c r="AR67" i="7"/>
  <c r="BV67" i="7"/>
  <c r="GR67" i="7"/>
  <c r="EE67" i="7"/>
  <c r="U67" i="7"/>
  <c r="DC67" i="7"/>
  <c r="L67" i="7"/>
  <c r="AJ67" i="7"/>
  <c r="FF67" i="7"/>
  <c r="CS67" i="7"/>
  <c r="AF67" i="7"/>
  <c r="FB67" i="7"/>
  <c r="CO67" i="7"/>
  <c r="AB67" i="7"/>
  <c r="BF67" i="7"/>
  <c r="GB67" i="7"/>
  <c r="DO67" i="7"/>
  <c r="BG67" i="7"/>
  <c r="CH67" i="7"/>
  <c r="K67" i="7"/>
  <c r="T67" i="7"/>
  <c r="EP67" i="7"/>
  <c r="CC67" i="7"/>
  <c r="P67" i="7"/>
  <c r="EL67" i="7"/>
  <c r="BY67" i="7"/>
  <c r="GU67" i="7"/>
  <c r="AP67" i="7"/>
  <c r="FL67" i="7"/>
  <c r="CY67" i="7"/>
  <c r="BC67" i="7"/>
  <c r="CX67" i="7"/>
  <c r="K30" i="7"/>
  <c r="GM67" i="7"/>
  <c r="DZ67" i="7"/>
  <c r="BM67" i="7"/>
  <c r="GI67" i="7"/>
  <c r="DV67" i="7"/>
  <c r="BI67" i="7"/>
  <c r="GE67" i="7"/>
  <c r="Z67" i="7"/>
  <c r="EV67" i="7"/>
  <c r="CI67" i="7"/>
  <c r="BB67" i="7"/>
  <c r="CM67" i="7"/>
  <c r="L30" i="7"/>
  <c r="FW67" i="7"/>
  <c r="DJ67" i="7"/>
  <c r="AW67" i="7"/>
  <c r="FS67" i="7"/>
  <c r="DF67" i="7"/>
  <c r="AS67" i="7"/>
  <c r="FO67" i="7"/>
  <c r="GS67" i="7"/>
  <c r="EF67" i="7"/>
  <c r="BS67" i="7"/>
  <c r="AQ67" i="7"/>
  <c r="BW67" i="7"/>
  <c r="FG67" i="7"/>
  <c r="CT67" i="7"/>
  <c r="AG67" i="7"/>
  <c r="FC67" i="7"/>
  <c r="CP67" i="7"/>
  <c r="AC67" i="7"/>
  <c r="EY67" i="7"/>
  <c r="GC67" i="7"/>
  <c r="DP67" i="7"/>
  <c r="GO67" i="7"/>
  <c r="GP67" i="7"/>
  <c r="BR67" i="7"/>
  <c r="EQ67" i="7"/>
  <c r="CD67" i="7"/>
  <c r="Q67" i="7"/>
  <c r="EM67" i="7"/>
  <c r="BZ67" i="7"/>
  <c r="M67" i="7"/>
  <c r="EI67" i="7"/>
  <c r="FM67" i="7"/>
  <c r="CZ67" i="7"/>
  <c r="FY67" i="7"/>
  <c r="AM67" i="7"/>
  <c r="GN67" i="7"/>
  <c r="EA67" i="7"/>
  <c r="BN67" i="7"/>
  <c r="GJ67" i="7"/>
  <c r="DW67" i="7"/>
  <c r="BJ67" i="7"/>
  <c r="GF67" i="7"/>
  <c r="DS67" i="7"/>
  <c r="EW67" i="7"/>
  <c r="CJ67" i="7"/>
  <c r="FI67" i="7"/>
  <c r="FZ67" i="7"/>
  <c r="FX67" i="7"/>
  <c r="DK67" i="7"/>
  <c r="AX67" i="7"/>
  <c r="FT67" i="7"/>
  <c r="DG67" i="7"/>
  <c r="AT67" i="7"/>
  <c r="FP67" i="7"/>
  <c r="FH67" i="7"/>
  <c r="CU67" i="7"/>
  <c r="AH67" i="7"/>
  <c r="FD67" i="7"/>
  <c r="CQ67" i="7"/>
  <c r="AD67" i="7"/>
  <c r="EZ67" i="7"/>
  <c r="GD67" i="7"/>
  <c r="DQ67" i="7"/>
  <c r="BD67" i="7"/>
  <c r="EC67" i="7"/>
  <c r="FJ67" i="7"/>
  <c r="EB67" i="7"/>
  <c r="BO67" i="7"/>
  <c r="GK67" i="7"/>
  <c r="DX67" i="7"/>
  <c r="BK67" i="7"/>
  <c r="GG67" i="7"/>
  <c r="DT67" i="7"/>
  <c r="EX67" i="7"/>
  <c r="CK67" i="7"/>
  <c r="X67" i="7"/>
  <c r="CW67" i="7"/>
  <c r="ET67" i="7"/>
  <c r="R67" i="7"/>
  <c r="BT67" i="7"/>
  <c r="EO67" i="7"/>
  <c r="AN67" i="7"/>
  <c r="EN67" i="7"/>
  <c r="FK67" i="7"/>
  <c r="CB67" i="7"/>
  <c r="ES67" i="7"/>
  <c r="CA67" i="7"/>
  <c r="DM67" i="7"/>
  <c r="O67" i="7"/>
  <c r="BA67" i="7"/>
  <c r="N67" i="7"/>
  <c r="AL67" i="7"/>
  <c r="EK67" i="7"/>
  <c r="AA67" i="7"/>
  <c r="EJ67" i="7"/>
  <c r="V67" i="7"/>
  <c r="BX67" i="7"/>
  <c r="GT67" i="7"/>
  <c r="FN67" i="7"/>
  <c r="DB67" i="7"/>
  <c r="ER67" i="7"/>
  <c r="EG67" i="7"/>
  <c r="CE67" i="7"/>
  <c r="DA67" i="7"/>
  <c r="AO67" i="7"/>
  <c r="S67" i="7"/>
  <c r="AZ30" i="7"/>
  <c r="ER30" i="7"/>
  <c r="BA30" i="7"/>
  <c r="ES30" i="7"/>
  <c r="BB30" i="7"/>
  <c r="ET30" i="7"/>
  <c r="BC30" i="7"/>
  <c r="EU30" i="7"/>
  <c r="BD30" i="7"/>
  <c r="EV30" i="7"/>
  <c r="BE30" i="7"/>
  <c r="EW30" i="7"/>
  <c r="BF30" i="7"/>
  <c r="EX30" i="7"/>
  <c r="BG30" i="7"/>
  <c r="EY30" i="7"/>
  <c r="BH30" i="7"/>
  <c r="EZ30" i="7"/>
  <c r="BI30" i="7"/>
  <c r="FA30" i="7"/>
  <c r="BJ30" i="7"/>
  <c r="FB30" i="7"/>
  <c r="BK30" i="7"/>
  <c r="FC30" i="7"/>
  <c r="BL30" i="7"/>
  <c r="FD30" i="7"/>
  <c r="BM30" i="7"/>
  <c r="FE30" i="7"/>
  <c r="BN30" i="7"/>
  <c r="FF30" i="7"/>
  <c r="BO30" i="7"/>
  <c r="FG30" i="7"/>
  <c r="BP30" i="7"/>
  <c r="FH30" i="7"/>
  <c r="BQ30" i="7"/>
  <c r="FI30" i="7"/>
  <c r="BR30" i="7"/>
  <c r="FJ30" i="7"/>
  <c r="BS30" i="7"/>
  <c r="FK30" i="7"/>
  <c r="BT30" i="7"/>
  <c r="FL30" i="7"/>
  <c r="BU30" i="7"/>
  <c r="FM30" i="7"/>
  <c r="BV30" i="7"/>
  <c r="FN30" i="7"/>
  <c r="BW30" i="7"/>
  <c r="FO30" i="7"/>
  <c r="BX30" i="7"/>
  <c r="FP30" i="7"/>
  <c r="BY30" i="7"/>
  <c r="FQ30" i="7"/>
  <c r="BZ30" i="7"/>
  <c r="FR30" i="7"/>
  <c r="CA30" i="7"/>
  <c r="FS30" i="7"/>
  <c r="CB30" i="7"/>
  <c r="FT30" i="7"/>
  <c r="CC30" i="7"/>
  <c r="FU30" i="7"/>
  <c r="CD30" i="7"/>
  <c r="FV30" i="7"/>
  <c r="CE30" i="7"/>
  <c r="FW30" i="7"/>
  <c r="CF30" i="7"/>
  <c r="FX30" i="7"/>
  <c r="CG30" i="7"/>
  <c r="FY30" i="7"/>
  <c r="CH30" i="7"/>
  <c r="FZ30" i="7"/>
  <c r="CI30" i="7"/>
  <c r="GA30" i="7"/>
  <c r="CJ30" i="7"/>
  <c r="GB30" i="7"/>
  <c r="CK30" i="7"/>
  <c r="GC30" i="7"/>
  <c r="CL30" i="7"/>
  <c r="GD30" i="7"/>
  <c r="CM30" i="7"/>
  <c r="GE30" i="7"/>
  <c r="CN30" i="7"/>
  <c r="GF30" i="7"/>
  <c r="CO30" i="7"/>
  <c r="GG30" i="7"/>
  <c r="CP30" i="7"/>
  <c r="GH30" i="7"/>
  <c r="CQ30" i="7"/>
  <c r="GI30" i="7"/>
  <c r="CR30" i="7"/>
  <c r="GJ30" i="7"/>
  <c r="CS30" i="7"/>
  <c r="GK30" i="7"/>
  <c r="CT30" i="7"/>
  <c r="GL30" i="7"/>
  <c r="CU30" i="7"/>
  <c r="GM30" i="7"/>
  <c r="CV30" i="7"/>
  <c r="GN30" i="7"/>
  <c r="CW30" i="7"/>
  <c r="GO30" i="7"/>
  <c r="CX30" i="7"/>
  <c r="GP30" i="7"/>
  <c r="CY30" i="7"/>
  <c r="GQ30" i="7"/>
  <c r="CZ30" i="7"/>
  <c r="GR30" i="7"/>
  <c r="DA30" i="7"/>
  <c r="GS30" i="7"/>
  <c r="DB30" i="7"/>
  <c r="GT30" i="7"/>
  <c r="DC30" i="7"/>
  <c r="GU30" i="7"/>
  <c r="DD30" i="7"/>
  <c r="M30" i="7"/>
  <c r="DE30" i="7"/>
  <c r="N30" i="7"/>
  <c r="DF30" i="7"/>
  <c r="O30" i="7"/>
  <c r="DG30" i="7"/>
  <c r="P30" i="7"/>
  <c r="DH30" i="7"/>
  <c r="Q30" i="7"/>
  <c r="DI30" i="7"/>
  <c r="R30" i="7"/>
  <c r="DJ30" i="7"/>
  <c r="S30" i="7"/>
  <c r="DK30" i="7"/>
  <c r="T30" i="7"/>
  <c r="DL30" i="7"/>
  <c r="U30" i="7"/>
  <c r="DM30" i="7"/>
  <c r="V30" i="7"/>
  <c r="DN30" i="7"/>
  <c r="W30" i="7"/>
  <c r="DO30" i="7"/>
  <c r="X30" i="7"/>
  <c r="DP30" i="7"/>
  <c r="Y30" i="7"/>
  <c r="DQ30" i="7"/>
  <c r="Z30" i="7"/>
  <c r="DR30" i="7"/>
  <c r="AA30" i="7"/>
  <c r="DS30" i="7"/>
  <c r="AB30" i="7"/>
  <c r="DT30" i="7"/>
  <c r="AC30" i="7"/>
  <c r="DU30" i="7"/>
  <c r="AD30" i="7"/>
  <c r="DV30" i="7"/>
  <c r="AE30" i="7"/>
  <c r="DW30" i="7"/>
  <c r="AF30" i="7"/>
  <c r="DX30" i="7"/>
  <c r="AG30" i="7"/>
  <c r="DY30" i="7"/>
  <c r="AH30" i="7"/>
  <c r="DZ30" i="7"/>
  <c r="AI30" i="7"/>
  <c r="EA30" i="7"/>
  <c r="AJ30" i="7"/>
  <c r="EB30" i="7"/>
  <c r="AK30" i="7"/>
  <c r="EC30" i="7"/>
  <c r="AL30" i="7"/>
  <c r="ED30" i="7"/>
  <c r="AM30" i="7"/>
  <c r="EE30" i="7"/>
  <c r="AN30" i="7"/>
  <c r="EF30" i="7"/>
  <c r="AO30" i="7"/>
  <c r="EG30" i="7"/>
  <c r="AP30" i="7"/>
  <c r="EH30" i="7"/>
  <c r="AQ30" i="7"/>
  <c r="EI30" i="7"/>
  <c r="AR30" i="7"/>
  <c r="EJ30" i="7"/>
  <c r="AS30" i="7"/>
  <c r="EK30" i="7"/>
  <c r="AT30" i="7"/>
  <c r="EL30" i="7"/>
  <c r="AU30" i="7"/>
  <c r="EM30" i="7"/>
  <c r="AV30" i="7"/>
  <c r="EN30" i="7"/>
  <c r="AW30" i="7"/>
  <c r="EO30" i="7"/>
  <c r="AX30" i="7"/>
  <c r="EP30" i="7"/>
  <c r="AY30" i="7"/>
  <c r="EQ30" i="7"/>
  <c r="M64" i="7"/>
  <c r="K27" i="7"/>
  <c r="J64" i="7"/>
  <c r="N64" i="7"/>
  <c r="L64" i="7"/>
  <c r="K64" i="7"/>
  <c r="J27" i="7"/>
  <c r="L27" i="7"/>
  <c r="N27" i="7"/>
  <c r="M27" i="7"/>
  <c r="I50" i="7"/>
  <c r="H50" i="7"/>
  <c r="I14" i="7"/>
  <c r="H14" i="7"/>
  <c r="AC844" i="1"/>
  <c r="AC1096" i="1"/>
  <c r="P69" i="7"/>
  <c r="Q69" i="7"/>
  <c r="R69" i="7"/>
  <c r="L69" i="7"/>
  <c r="K69" i="7"/>
  <c r="O69" i="7"/>
  <c r="M69" i="7"/>
  <c r="N69" i="7"/>
  <c r="N33" i="7"/>
  <c r="K33" i="7"/>
  <c r="L33" i="7"/>
  <c r="M33" i="7"/>
  <c r="O33" i="7"/>
  <c r="P33" i="7"/>
  <c r="Q33" i="7"/>
  <c r="R33" i="7"/>
  <c r="EG42" i="7"/>
  <c r="CJ42" i="7"/>
  <c r="W42" i="7"/>
  <c r="ES42" i="7"/>
  <c r="CF42" i="7"/>
  <c r="S42" i="7"/>
  <c r="EO42" i="7"/>
  <c r="CB42" i="7"/>
  <c r="O42" i="7"/>
  <c r="EK42" i="7"/>
  <c r="BX42" i="7"/>
  <c r="BW42" i="7"/>
  <c r="DQ42" i="7"/>
  <c r="BT42" i="7"/>
  <c r="GP42" i="7"/>
  <c r="EC42" i="7"/>
  <c r="BP42" i="7"/>
  <c r="GL42" i="7"/>
  <c r="DY42" i="7"/>
  <c r="BL42" i="7"/>
  <c r="GH42" i="7"/>
  <c r="DU42" i="7"/>
  <c r="BH42" i="7"/>
  <c r="BG42" i="7"/>
  <c r="DA42" i="7"/>
  <c r="BD42" i="7"/>
  <c r="FZ42" i="7"/>
  <c r="DM42" i="7"/>
  <c r="AZ42" i="7"/>
  <c r="FV42" i="7"/>
  <c r="DI42" i="7"/>
  <c r="AV42" i="7"/>
  <c r="FR42" i="7"/>
  <c r="DE42" i="7"/>
  <c r="AR42" i="7"/>
  <c r="AQ42" i="7"/>
  <c r="CK42" i="7"/>
  <c r="AN42" i="7"/>
  <c r="FJ42" i="7"/>
  <c r="CW42" i="7"/>
  <c r="AJ42" i="7"/>
  <c r="FF42" i="7"/>
  <c r="CS42" i="7"/>
  <c r="AF42" i="7"/>
  <c r="FB42" i="7"/>
  <c r="CO42" i="7"/>
  <c r="AB42" i="7"/>
  <c r="AA42" i="7"/>
  <c r="BU42" i="7"/>
  <c r="X42" i="7"/>
  <c r="ET42" i="7"/>
  <c r="CG42" i="7"/>
  <c r="T42" i="7"/>
  <c r="EP42" i="7"/>
  <c r="CC42" i="7"/>
  <c r="P42" i="7"/>
  <c r="EL42" i="7"/>
  <c r="BY42" i="7"/>
  <c r="L42" i="7"/>
  <c r="K42" i="7"/>
  <c r="BE42" i="7"/>
  <c r="GQ42" i="7"/>
  <c r="ED42" i="7"/>
  <c r="BQ42" i="7"/>
  <c r="GM42" i="7"/>
  <c r="DZ42" i="7"/>
  <c r="BM42" i="7"/>
  <c r="GI42" i="7"/>
  <c r="DV42" i="7"/>
  <c r="BI42" i="7"/>
  <c r="GD42" i="7"/>
  <c r="GT42" i="7"/>
  <c r="AO42" i="7"/>
  <c r="GA42" i="7"/>
  <c r="DN42" i="7"/>
  <c r="BA42" i="7"/>
  <c r="FW42" i="7"/>
  <c r="DJ42" i="7"/>
  <c r="AW42" i="7"/>
  <c r="FS42" i="7"/>
  <c r="DF42" i="7"/>
  <c r="AS42" i="7"/>
  <c r="EX42" i="7"/>
  <c r="FN42" i="7"/>
  <c r="Y42" i="7"/>
  <c r="FK42" i="7"/>
  <c r="CX42" i="7"/>
  <c r="AK42" i="7"/>
  <c r="FG42" i="7"/>
  <c r="CT42" i="7"/>
  <c r="AG42" i="7"/>
  <c r="FC42" i="7"/>
  <c r="CP42" i="7"/>
  <c r="AC42" i="7"/>
  <c r="DR42" i="7"/>
  <c r="EH42" i="7"/>
  <c r="I42" i="7"/>
  <c r="EU42" i="7"/>
  <c r="CH42" i="7"/>
  <c r="U42" i="7"/>
  <c r="EQ42" i="7"/>
  <c r="CD42" i="7"/>
  <c r="Q42" i="7"/>
  <c r="EM42" i="7"/>
  <c r="BZ42" i="7"/>
  <c r="M42" i="7"/>
  <c r="GU42" i="7"/>
  <c r="DB42" i="7"/>
  <c r="GR42" i="7"/>
  <c r="EE42" i="7"/>
  <c r="BR42" i="7"/>
  <c r="GN42" i="7"/>
  <c r="EA42" i="7"/>
  <c r="BN42" i="7"/>
  <c r="GJ42" i="7"/>
  <c r="DW42" i="7"/>
  <c r="BJ42" i="7"/>
  <c r="GF42" i="7"/>
  <c r="GE42" i="7"/>
  <c r="CL42" i="7"/>
  <c r="GB42" i="7"/>
  <c r="DO42" i="7"/>
  <c r="BB42" i="7"/>
  <c r="FX42" i="7"/>
  <c r="DK42" i="7"/>
  <c r="AX42" i="7"/>
  <c r="FT42" i="7"/>
  <c r="DG42" i="7"/>
  <c r="AT42" i="7"/>
  <c r="FP42" i="7"/>
  <c r="FO42" i="7"/>
  <c r="BV42" i="7"/>
  <c r="FL42" i="7"/>
  <c r="CY42" i="7"/>
  <c r="AL42" i="7"/>
  <c r="FH42" i="7"/>
  <c r="CU42" i="7"/>
  <c r="AH42" i="7"/>
  <c r="FD42" i="7"/>
  <c r="CQ42" i="7"/>
  <c r="AD42" i="7"/>
  <c r="EZ42" i="7"/>
  <c r="EY42" i="7"/>
  <c r="BF42" i="7"/>
  <c r="GS42" i="7"/>
  <c r="EV42" i="7"/>
  <c r="CI42" i="7"/>
  <c r="V42" i="7"/>
  <c r="ER42" i="7"/>
  <c r="CE42" i="7"/>
  <c r="R42" i="7"/>
  <c r="EN42" i="7"/>
  <c r="CA42" i="7"/>
  <c r="N42" i="7"/>
  <c r="EJ42" i="7"/>
  <c r="EI42" i="7"/>
  <c r="AP42" i="7"/>
  <c r="GC42" i="7"/>
  <c r="EF42" i="7"/>
  <c r="BS42" i="7"/>
  <c r="GO42" i="7"/>
  <c r="EB42" i="7"/>
  <c r="BO42" i="7"/>
  <c r="GK42" i="7"/>
  <c r="DX42" i="7"/>
  <c r="BK42" i="7"/>
  <c r="GG42" i="7"/>
  <c r="DT42" i="7"/>
  <c r="DS42" i="7"/>
  <c r="Z42" i="7"/>
  <c r="FM42" i="7"/>
  <c r="DP42" i="7"/>
  <c r="BC42" i="7"/>
  <c r="FY42" i="7"/>
  <c r="DL42" i="7"/>
  <c r="AY42" i="7"/>
  <c r="FU42" i="7"/>
  <c r="DH42" i="7"/>
  <c r="AU42" i="7"/>
  <c r="FQ42" i="7"/>
  <c r="DD42" i="7"/>
  <c r="DC42" i="7"/>
  <c r="J42" i="7"/>
  <c r="CZ42" i="7"/>
  <c r="AM42" i="7"/>
  <c r="FI42" i="7"/>
  <c r="CV42" i="7"/>
  <c r="AI42" i="7"/>
  <c r="FE42" i="7"/>
  <c r="CR42" i="7"/>
  <c r="AE42" i="7"/>
  <c r="FA42" i="7"/>
  <c r="CN42" i="7"/>
  <c r="CM42" i="7"/>
  <c r="EW42" i="7"/>
  <c r="BK6" i="7"/>
  <c r="FC6" i="7"/>
  <c r="O6" i="7"/>
  <c r="DG6" i="7"/>
  <c r="AS6" i="7"/>
  <c r="EW6" i="7"/>
  <c r="BF6" i="7"/>
  <c r="EX6" i="7"/>
  <c r="BA6" i="7"/>
  <c r="ES6" i="7"/>
  <c r="AX6" i="7"/>
  <c r="EP6" i="7"/>
  <c r="DP6" i="7"/>
  <c r="R6" i="7"/>
  <c r="DE6" i="7"/>
  <c r="ET6" i="7"/>
  <c r="AY6" i="7"/>
  <c r="FI6" i="7"/>
  <c r="BL6" i="7"/>
  <c r="FD6" i="7"/>
  <c r="BG6" i="7"/>
  <c r="EY6" i="7"/>
  <c r="BD6" i="7"/>
  <c r="EV6" i="7"/>
  <c r="EH6" i="7"/>
  <c r="AJ6" i="7"/>
  <c r="DW6" i="7"/>
  <c r="AQ6" i="7"/>
  <c r="BE6" i="7"/>
  <c r="FO6" i="7"/>
  <c r="BR6" i="7"/>
  <c r="FJ6" i="7"/>
  <c r="BM6" i="7"/>
  <c r="FE6" i="7"/>
  <c r="BJ6" i="7"/>
  <c r="FB6" i="7"/>
  <c r="EZ6" i="7"/>
  <c r="BB6" i="7"/>
  <c r="EO6" i="7"/>
  <c r="CS6" i="7"/>
  <c r="BQ6" i="7"/>
  <c r="FU6" i="7"/>
  <c r="BX6" i="7"/>
  <c r="FP6" i="7"/>
  <c r="BS6" i="7"/>
  <c r="FK6" i="7"/>
  <c r="BP6" i="7"/>
  <c r="FH6" i="7"/>
  <c r="FR6" i="7"/>
  <c r="BT6" i="7"/>
  <c r="FG6" i="7"/>
  <c r="EU6" i="7"/>
  <c r="BW6" i="7"/>
  <c r="GA6" i="7"/>
  <c r="CD6" i="7"/>
  <c r="FV6" i="7"/>
  <c r="BY6" i="7"/>
  <c r="FQ6" i="7"/>
  <c r="BV6" i="7"/>
  <c r="FN6" i="7"/>
  <c r="GJ6" i="7"/>
  <c r="CL6" i="7"/>
  <c r="FY6" i="7"/>
  <c r="BH6" i="7"/>
  <c r="CC6" i="7"/>
  <c r="GG6" i="7"/>
  <c r="CJ6" i="7"/>
  <c r="GB6" i="7"/>
  <c r="CE6" i="7"/>
  <c r="FW6" i="7"/>
  <c r="CB6" i="7"/>
  <c r="FT6" i="7"/>
  <c r="M6" i="7"/>
  <c r="DD6" i="7"/>
  <c r="GQ6" i="7"/>
  <c r="DJ6" i="7"/>
  <c r="CI6" i="7"/>
  <c r="GM6" i="7"/>
  <c r="CP6" i="7"/>
  <c r="GH6" i="7"/>
  <c r="CK6" i="7"/>
  <c r="GC6" i="7"/>
  <c r="CH6" i="7"/>
  <c r="FZ6" i="7"/>
  <c r="AE6" i="7"/>
  <c r="DV6" i="7"/>
  <c r="X6" i="7"/>
  <c r="FL6" i="7"/>
  <c r="CO6" i="7"/>
  <c r="GS6" i="7"/>
  <c r="CV6" i="7"/>
  <c r="GN6" i="7"/>
  <c r="CQ6" i="7"/>
  <c r="GI6" i="7"/>
  <c r="CN6" i="7"/>
  <c r="GF6" i="7"/>
  <c r="AW6" i="7"/>
  <c r="EN6" i="7"/>
  <c r="BZ6" i="7"/>
  <c r="BI6" i="7"/>
  <c r="CU6" i="7"/>
  <c r="J6" i="7"/>
  <c r="DB6" i="7"/>
  <c r="GT6" i="7"/>
  <c r="CW6" i="7"/>
  <c r="GO6" i="7"/>
  <c r="CT6" i="7"/>
  <c r="GL6" i="7"/>
  <c r="BO6" i="7"/>
  <c r="FF6" i="7"/>
  <c r="EB6" i="7"/>
  <c r="DK6" i="7"/>
  <c r="DA6" i="7"/>
  <c r="P6" i="7"/>
  <c r="DH6" i="7"/>
  <c r="K6" i="7"/>
  <c r="DC6" i="7"/>
  <c r="GU6" i="7"/>
  <c r="CZ6" i="7"/>
  <c r="GR6" i="7"/>
  <c r="CG6" i="7"/>
  <c r="FX6" i="7"/>
  <c r="GD6" i="7"/>
  <c r="FM6" i="7"/>
  <c r="DM6" i="7"/>
  <c r="V6" i="7"/>
  <c r="DN6" i="7"/>
  <c r="Q6" i="7"/>
  <c r="DI6" i="7"/>
  <c r="N6" i="7"/>
  <c r="DF6" i="7"/>
  <c r="L6" i="7"/>
  <c r="CY6" i="7"/>
  <c r="GP6" i="7"/>
  <c r="Y6" i="7"/>
  <c r="I6" i="7"/>
  <c r="DS6" i="7"/>
  <c r="AB6" i="7"/>
  <c r="DT6" i="7"/>
  <c r="W6" i="7"/>
  <c r="DO6" i="7"/>
  <c r="T6" i="7"/>
  <c r="DL6" i="7"/>
  <c r="AD6" i="7"/>
  <c r="DQ6" i="7"/>
  <c r="S6" i="7"/>
  <c r="CA6" i="7"/>
  <c r="U6" i="7"/>
  <c r="DY6" i="7"/>
  <c r="AH6" i="7"/>
  <c r="DZ6" i="7"/>
  <c r="AC6" i="7"/>
  <c r="DU6" i="7"/>
  <c r="Z6" i="7"/>
  <c r="DR6" i="7"/>
  <c r="AV6" i="7"/>
  <c r="EI6" i="7"/>
  <c r="AK6" i="7"/>
  <c r="EC6" i="7"/>
  <c r="AA6" i="7"/>
  <c r="EE6" i="7"/>
  <c r="AN6" i="7"/>
  <c r="EF6" i="7"/>
  <c r="AI6" i="7"/>
  <c r="EA6" i="7"/>
  <c r="AF6" i="7"/>
  <c r="DX6" i="7"/>
  <c r="BN6" i="7"/>
  <c r="FA6" i="7"/>
  <c r="BC6" i="7"/>
  <c r="GE6" i="7"/>
  <c r="AG6" i="7"/>
  <c r="EK6" i="7"/>
  <c r="AT6" i="7"/>
  <c r="EL6" i="7"/>
  <c r="AO6" i="7"/>
  <c r="EG6" i="7"/>
  <c r="AL6" i="7"/>
  <c r="ED6" i="7"/>
  <c r="CF6" i="7"/>
  <c r="FS6" i="7"/>
  <c r="BU6" i="7"/>
  <c r="AP6" i="7"/>
  <c r="AM6" i="7"/>
  <c r="EQ6" i="7"/>
  <c r="AZ6" i="7"/>
  <c r="ER6" i="7"/>
  <c r="AU6" i="7"/>
  <c r="EM6" i="7"/>
  <c r="AR6" i="7"/>
  <c r="EJ6" i="7"/>
  <c r="CX6" i="7"/>
  <c r="GK6" i="7"/>
  <c r="CM6" i="7"/>
  <c r="CR6" i="7"/>
  <c r="FN59" i="7"/>
  <c r="DA59" i="7"/>
  <c r="AN59" i="7"/>
  <c r="FJ59" i="7"/>
  <c r="CW59" i="7"/>
  <c r="AJ59" i="7"/>
  <c r="FF59" i="7"/>
  <c r="CS59" i="7"/>
  <c r="AF59" i="7"/>
  <c r="BH59" i="7"/>
  <c r="FC59" i="7"/>
  <c r="BZ59" i="7"/>
  <c r="EX59" i="7"/>
  <c r="CK59" i="7"/>
  <c r="X59" i="7"/>
  <c r="ET59" i="7"/>
  <c r="CG59" i="7"/>
  <c r="T59" i="7"/>
  <c r="EP59" i="7"/>
  <c r="CC59" i="7"/>
  <c r="P59" i="7"/>
  <c r="GE59" i="7"/>
  <c r="CQ59" i="7"/>
  <c r="N59" i="7"/>
  <c r="EH59" i="7"/>
  <c r="BU59" i="7"/>
  <c r="GQ59" i="7"/>
  <c r="ED59" i="7"/>
  <c r="BQ59" i="7"/>
  <c r="GM59" i="7"/>
  <c r="DZ59" i="7"/>
  <c r="BM59" i="7"/>
  <c r="GG59" i="7"/>
  <c r="DS59" i="7"/>
  <c r="AE59" i="7"/>
  <c r="BX59" i="7"/>
  <c r="DR59" i="7"/>
  <c r="BE59" i="7"/>
  <c r="GA59" i="7"/>
  <c r="DN59" i="7"/>
  <c r="BA59" i="7"/>
  <c r="FW59" i="7"/>
  <c r="DJ59" i="7"/>
  <c r="AW59" i="7"/>
  <c r="FQ59" i="7"/>
  <c r="BG59" i="7"/>
  <c r="FB59" i="7"/>
  <c r="BW59" i="7"/>
  <c r="DB59" i="7"/>
  <c r="AO59" i="7"/>
  <c r="FK59" i="7"/>
  <c r="CX59" i="7"/>
  <c r="AK59" i="7"/>
  <c r="FG59" i="7"/>
  <c r="CT59" i="7"/>
  <c r="AG59" i="7"/>
  <c r="FA59" i="7"/>
  <c r="FS59" i="7"/>
  <c r="CP59" i="7"/>
  <c r="BK59" i="7"/>
  <c r="CL59" i="7"/>
  <c r="Y59" i="7"/>
  <c r="EU59" i="7"/>
  <c r="CH59" i="7"/>
  <c r="U59" i="7"/>
  <c r="EQ59" i="7"/>
  <c r="CD59" i="7"/>
  <c r="Q59" i="7"/>
  <c r="EK59" i="7"/>
  <c r="DG59" i="7"/>
  <c r="AD59" i="7"/>
  <c r="BJ59" i="7"/>
  <c r="BV59" i="7"/>
  <c r="GR59" i="7"/>
  <c r="EE59" i="7"/>
  <c r="BR59" i="7"/>
  <c r="GN59" i="7"/>
  <c r="EA59" i="7"/>
  <c r="BN59" i="7"/>
  <c r="GJ59" i="7"/>
  <c r="DU59" i="7"/>
  <c r="AU59" i="7"/>
  <c r="EZ59" i="7"/>
  <c r="GU59" i="7"/>
  <c r="BF59" i="7"/>
  <c r="GB59" i="7"/>
  <c r="DO59" i="7"/>
  <c r="BB59" i="7"/>
  <c r="FX59" i="7"/>
  <c r="DK59" i="7"/>
  <c r="AX59" i="7"/>
  <c r="FT59" i="7"/>
  <c r="DE59" i="7"/>
  <c r="FR59" i="7"/>
  <c r="CN59" i="7"/>
  <c r="GI59" i="7"/>
  <c r="AP59" i="7"/>
  <c r="FL59" i="7"/>
  <c r="CY59" i="7"/>
  <c r="AL59" i="7"/>
  <c r="FH59" i="7"/>
  <c r="CU59" i="7"/>
  <c r="AH59" i="7"/>
  <c r="FD59" i="7"/>
  <c r="CO59" i="7"/>
  <c r="DF59" i="7"/>
  <c r="AB59" i="7"/>
  <c r="GH59" i="7"/>
  <c r="Z59" i="7"/>
  <c r="EV59" i="7"/>
  <c r="CI59" i="7"/>
  <c r="V59" i="7"/>
  <c r="ER59" i="7"/>
  <c r="CE59" i="7"/>
  <c r="R59" i="7"/>
  <c r="EN59" i="7"/>
  <c r="BY59" i="7"/>
  <c r="AT59" i="7"/>
  <c r="EY59" i="7"/>
  <c r="EI59" i="7"/>
  <c r="GS59" i="7"/>
  <c r="EF59" i="7"/>
  <c r="BS59" i="7"/>
  <c r="GO59" i="7"/>
  <c r="EB59" i="7"/>
  <c r="BO59" i="7"/>
  <c r="GK59" i="7"/>
  <c r="DX59" i="7"/>
  <c r="BI59" i="7"/>
  <c r="FP59" i="7"/>
  <c r="CM59" i="7"/>
  <c r="DW59" i="7"/>
  <c r="GC59" i="7"/>
  <c r="DP59" i="7"/>
  <c r="BC59" i="7"/>
  <c r="FY59" i="7"/>
  <c r="DL59" i="7"/>
  <c r="AY59" i="7"/>
  <c r="FU59" i="7"/>
  <c r="DH59" i="7"/>
  <c r="AS59" i="7"/>
  <c r="DD59" i="7"/>
  <c r="AA59" i="7"/>
  <c r="EJ59" i="7"/>
  <c r="FM59" i="7"/>
  <c r="CZ59" i="7"/>
  <c r="AM59" i="7"/>
  <c r="FI59" i="7"/>
  <c r="CV59" i="7"/>
  <c r="AI59" i="7"/>
  <c r="FE59" i="7"/>
  <c r="CR59" i="7"/>
  <c r="AC59" i="7"/>
  <c r="AR59" i="7"/>
  <c r="EM59" i="7"/>
  <c r="DV59" i="7"/>
  <c r="EW59" i="7"/>
  <c r="CJ59" i="7"/>
  <c r="W59" i="7"/>
  <c r="ES59" i="7"/>
  <c r="CF59" i="7"/>
  <c r="S59" i="7"/>
  <c r="EO59" i="7"/>
  <c r="CB59" i="7"/>
  <c r="FO59" i="7"/>
  <c r="CA59" i="7"/>
  <c r="GT59" i="7"/>
  <c r="EG59" i="7"/>
  <c r="BT59" i="7"/>
  <c r="GP59" i="7"/>
  <c r="EC59" i="7"/>
  <c r="BP59" i="7"/>
  <c r="GL59" i="7"/>
  <c r="DY59" i="7"/>
  <c r="BL59" i="7"/>
  <c r="GF59" i="7"/>
  <c r="DC59" i="7"/>
  <c r="O59" i="7"/>
  <c r="GD59" i="7"/>
  <c r="DQ59" i="7"/>
  <c r="BD59" i="7"/>
  <c r="FZ59" i="7"/>
  <c r="DM59" i="7"/>
  <c r="AZ59" i="7"/>
  <c r="FV59" i="7"/>
  <c r="DI59" i="7"/>
  <c r="AV59" i="7"/>
  <c r="DT59" i="7"/>
  <c r="AQ59" i="7"/>
  <c r="EL59" i="7"/>
  <c r="S25" i="7"/>
  <c r="Y25" i="7"/>
  <c r="T25" i="7"/>
  <c r="U25" i="7"/>
  <c r="P25" i="7"/>
  <c r="V25" i="7"/>
  <c r="Q25" i="7"/>
  <c r="W25" i="7"/>
  <c r="R25" i="7"/>
  <c r="X25" i="7"/>
  <c r="BU25" i="7"/>
  <c r="FM25" i="7"/>
  <c r="CH25" i="7"/>
  <c r="FZ25" i="7"/>
  <c r="CU25" i="7"/>
  <c r="GM25" i="7"/>
  <c r="DH25" i="7"/>
  <c r="AC25" i="7"/>
  <c r="DU25" i="7"/>
  <c r="AP25" i="7"/>
  <c r="EH25" i="7"/>
  <c r="CA25" i="7"/>
  <c r="FS25" i="7"/>
  <c r="CN25" i="7"/>
  <c r="GF25" i="7"/>
  <c r="DA25" i="7"/>
  <c r="GS25" i="7"/>
  <c r="DN25" i="7"/>
  <c r="AI25" i="7"/>
  <c r="EA25" i="7"/>
  <c r="AV25" i="7"/>
  <c r="EN25" i="7"/>
  <c r="CG25" i="7"/>
  <c r="FY25" i="7"/>
  <c r="CT25" i="7"/>
  <c r="GL25" i="7"/>
  <c r="DG25" i="7"/>
  <c r="AB25" i="7"/>
  <c r="DT25" i="7"/>
  <c r="AO25" i="7"/>
  <c r="EG25" i="7"/>
  <c r="BB25" i="7"/>
  <c r="ET25" i="7"/>
  <c r="CM25" i="7"/>
  <c r="GE25" i="7"/>
  <c r="CZ25" i="7"/>
  <c r="GR25" i="7"/>
  <c r="DM25" i="7"/>
  <c r="AH25" i="7"/>
  <c r="DZ25" i="7"/>
  <c r="AU25" i="7"/>
  <c r="EM25" i="7"/>
  <c r="BH25" i="7"/>
  <c r="EZ25" i="7"/>
  <c r="CS25" i="7"/>
  <c r="GK25" i="7"/>
  <c r="DF25" i="7"/>
  <c r="AA25" i="7"/>
  <c r="DS25" i="7"/>
  <c r="AN25" i="7"/>
  <c r="EF25" i="7"/>
  <c r="BA25" i="7"/>
  <c r="ES25" i="7"/>
  <c r="BN25" i="7"/>
  <c r="FF25" i="7"/>
  <c r="CY25" i="7"/>
  <c r="GQ25" i="7"/>
  <c r="DL25" i="7"/>
  <c r="AG25" i="7"/>
  <c r="DY25" i="7"/>
  <c r="AT25" i="7"/>
  <c r="EL25" i="7"/>
  <c r="BG25" i="7"/>
  <c r="EY25" i="7"/>
  <c r="BT25" i="7"/>
  <c r="FL25" i="7"/>
  <c r="DE25" i="7"/>
  <c r="Z25" i="7"/>
  <c r="DR25" i="7"/>
  <c r="AM25" i="7"/>
  <c r="EE25" i="7"/>
  <c r="AZ25" i="7"/>
  <c r="ER25" i="7"/>
  <c r="BM25" i="7"/>
  <c r="FE25" i="7"/>
  <c r="BZ25" i="7"/>
  <c r="FR25" i="7"/>
  <c r="DK25" i="7"/>
  <c r="AF25" i="7"/>
  <c r="DX25" i="7"/>
  <c r="AS25" i="7"/>
  <c r="EK25" i="7"/>
  <c r="BF25" i="7"/>
  <c r="EX25" i="7"/>
  <c r="BS25" i="7"/>
  <c r="FK25" i="7"/>
  <c r="CF25" i="7"/>
  <c r="FX25" i="7"/>
  <c r="DQ25" i="7"/>
  <c r="AL25" i="7"/>
  <c r="ED25" i="7"/>
  <c r="AY25" i="7"/>
  <c r="EQ25" i="7"/>
  <c r="BL25" i="7"/>
  <c r="FD25" i="7"/>
  <c r="BY25" i="7"/>
  <c r="FQ25" i="7"/>
  <c r="CL25" i="7"/>
  <c r="GD25" i="7"/>
  <c r="AE25" i="7"/>
  <c r="DW25" i="7"/>
  <c r="AR25" i="7"/>
  <c r="EJ25" i="7"/>
  <c r="BE25" i="7"/>
  <c r="EW25" i="7"/>
  <c r="BR25" i="7"/>
  <c r="FJ25" i="7"/>
  <c r="CE25" i="7"/>
  <c r="FW25" i="7"/>
  <c r="CR25" i="7"/>
  <c r="GJ25" i="7"/>
  <c r="O25" i="7"/>
  <c r="AK25" i="7"/>
  <c r="EC25" i="7"/>
  <c r="AX25" i="7"/>
  <c r="EP25" i="7"/>
  <c r="BK25" i="7"/>
  <c r="FC25" i="7"/>
  <c r="BX25" i="7"/>
  <c r="FP25" i="7"/>
  <c r="CK25" i="7"/>
  <c r="GC25" i="7"/>
  <c r="CX25" i="7"/>
  <c r="GP25" i="7"/>
  <c r="N25" i="7"/>
  <c r="AQ25" i="7"/>
  <c r="EI25" i="7"/>
  <c r="BD25" i="7"/>
  <c r="EV25" i="7"/>
  <c r="BQ25" i="7"/>
  <c r="FI25" i="7"/>
  <c r="CD25" i="7"/>
  <c r="FV25" i="7"/>
  <c r="CQ25" i="7"/>
  <c r="GI25" i="7"/>
  <c r="DD25" i="7"/>
  <c r="AW25" i="7"/>
  <c r="EO25" i="7"/>
  <c r="BJ25" i="7"/>
  <c r="FB25" i="7"/>
  <c r="BW25" i="7"/>
  <c r="FO25" i="7"/>
  <c r="CJ25" i="7"/>
  <c r="GB25" i="7"/>
  <c r="CW25" i="7"/>
  <c r="GO25" i="7"/>
  <c r="DJ25" i="7"/>
  <c r="BC25" i="7"/>
  <c r="EU25" i="7"/>
  <c r="BP25" i="7"/>
  <c r="FH25" i="7"/>
  <c r="CC25" i="7"/>
  <c r="FU25" i="7"/>
  <c r="CP25" i="7"/>
  <c r="GH25" i="7"/>
  <c r="DC25" i="7"/>
  <c r="GU25" i="7"/>
  <c r="DP25" i="7"/>
  <c r="BI25" i="7"/>
  <c r="FA25" i="7"/>
  <c r="BV25" i="7"/>
  <c r="FN25" i="7"/>
  <c r="CI25" i="7"/>
  <c r="GA25" i="7"/>
  <c r="CV25" i="7"/>
  <c r="GN25" i="7"/>
  <c r="DI25" i="7"/>
  <c r="AD25" i="7"/>
  <c r="DV25" i="7"/>
  <c r="BO25" i="7"/>
  <c r="FG25" i="7"/>
  <c r="CB25" i="7"/>
  <c r="FT25" i="7"/>
  <c r="CO25" i="7"/>
  <c r="GG25" i="7"/>
  <c r="DB25" i="7"/>
  <c r="GT25" i="7"/>
  <c r="DO25" i="7"/>
  <c r="AJ25" i="7"/>
  <c r="EB25" i="7"/>
  <c r="AD863" i="1"/>
  <c r="I65" i="7"/>
  <c r="I29" i="7"/>
  <c r="K29" i="7"/>
  <c r="N65" i="7"/>
  <c r="M65" i="7"/>
  <c r="L65" i="7"/>
  <c r="J65" i="7"/>
  <c r="K65" i="7"/>
  <c r="J29" i="7"/>
  <c r="L29" i="7"/>
  <c r="N29" i="7"/>
  <c r="M29" i="7"/>
  <c r="I40" i="7"/>
  <c r="I5" i="7"/>
  <c r="J40" i="7"/>
  <c r="K40" i="7"/>
  <c r="J5" i="7"/>
  <c r="K5" i="7"/>
  <c r="GI43" i="7"/>
  <c r="CC43" i="7"/>
  <c r="GU43" i="7"/>
  <c r="DV43" i="7"/>
  <c r="BI43" i="7"/>
  <c r="GQ43" i="7"/>
  <c r="DB43" i="7"/>
  <c r="Y43" i="7"/>
  <c r="DO43" i="7"/>
  <c r="AL43" i="7"/>
  <c r="EB43" i="7"/>
  <c r="ER43" i="7"/>
  <c r="FS43" i="7"/>
  <c r="BM43" i="7"/>
  <c r="GA43" i="7"/>
  <c r="DF43" i="7"/>
  <c r="AS43" i="7"/>
  <c r="FW43" i="7"/>
  <c r="CL43" i="7"/>
  <c r="GN43" i="7"/>
  <c r="CY43" i="7"/>
  <c r="V43" i="7"/>
  <c r="DL43" i="7"/>
  <c r="EA43" i="7"/>
  <c r="FC43" i="7"/>
  <c r="AW43" i="7"/>
  <c r="FG43" i="7"/>
  <c r="CP43" i="7"/>
  <c r="AC43" i="7"/>
  <c r="FA43" i="7"/>
  <c r="BV43" i="7"/>
  <c r="FQ43" i="7"/>
  <c r="CI43" i="7"/>
  <c r="GJ43" i="7"/>
  <c r="CV43" i="7"/>
  <c r="DK43" i="7"/>
  <c r="GH43" i="7"/>
  <c r="AG43" i="7"/>
  <c r="EN43" i="7"/>
  <c r="BZ43" i="7"/>
  <c r="EI43" i="7"/>
  <c r="BF43" i="7"/>
  <c r="EW43" i="7"/>
  <c r="BS43" i="7"/>
  <c r="FM43" i="7"/>
  <c r="CF43" i="7"/>
  <c r="CU43" i="7"/>
  <c r="FR43" i="7"/>
  <c r="Q43" i="7"/>
  <c r="DW43" i="7"/>
  <c r="BJ43" i="7"/>
  <c r="GR43" i="7"/>
  <c r="DS43" i="7"/>
  <c r="AP43" i="7"/>
  <c r="EF43" i="7"/>
  <c r="BC43" i="7"/>
  <c r="ET43" i="7"/>
  <c r="BP43" i="7"/>
  <c r="CE43" i="7"/>
  <c r="FB43" i="7"/>
  <c r="GB43" i="7"/>
  <c r="DG43" i="7"/>
  <c r="AT43" i="7"/>
  <c r="FX43" i="7"/>
  <c r="DC43" i="7"/>
  <c r="Z43" i="7"/>
  <c r="DP43" i="7"/>
  <c r="AM43" i="7"/>
  <c r="EC43" i="7"/>
  <c r="AZ43" i="7"/>
  <c r="BO43" i="7"/>
  <c r="EL43" i="7"/>
  <c r="FH43" i="7"/>
  <c r="CQ43" i="7"/>
  <c r="AD43" i="7"/>
  <c r="FD43" i="7"/>
  <c r="CM43" i="7"/>
  <c r="GO43" i="7"/>
  <c r="CZ43" i="7"/>
  <c r="W43" i="7"/>
  <c r="DM43" i="7"/>
  <c r="AJ43" i="7"/>
  <c r="AY43" i="7"/>
  <c r="GF43" i="7"/>
  <c r="EO43" i="7"/>
  <c r="CA43" i="7"/>
  <c r="N43" i="7"/>
  <c r="EJ43" i="7"/>
  <c r="BW43" i="7"/>
  <c r="FT43" i="7"/>
  <c r="CJ43" i="7"/>
  <c r="GL43" i="7"/>
  <c r="CW43" i="7"/>
  <c r="T43" i="7"/>
  <c r="AI43" i="7"/>
  <c r="FP43" i="7"/>
  <c r="DX43" i="7"/>
  <c r="BK43" i="7"/>
  <c r="GS43" i="7"/>
  <c r="DT43" i="7"/>
  <c r="BG43" i="7"/>
  <c r="EX43" i="7"/>
  <c r="BT43" i="7"/>
  <c r="FN43" i="7"/>
  <c r="CG43" i="7"/>
  <c r="GD43" i="7"/>
  <c r="S43" i="7"/>
  <c r="EZ43" i="7"/>
  <c r="DH43" i="7"/>
  <c r="AU43" i="7"/>
  <c r="FY43" i="7"/>
  <c r="DD43" i="7"/>
  <c r="AQ43" i="7"/>
  <c r="EG43" i="7"/>
  <c r="BD43" i="7"/>
  <c r="EU43" i="7"/>
  <c r="BQ43" i="7"/>
  <c r="EQ43" i="7"/>
  <c r="FJ43" i="7"/>
  <c r="GC43" i="7"/>
  <c r="CR43" i="7"/>
  <c r="AE43" i="7"/>
  <c r="FE43" i="7"/>
  <c r="CN43" i="7"/>
  <c r="AA43" i="7"/>
  <c r="DQ43" i="7"/>
  <c r="AN43" i="7"/>
  <c r="ED43" i="7"/>
  <c r="BA43" i="7"/>
  <c r="DJ43" i="7"/>
  <c r="DZ43" i="7"/>
  <c r="FI43" i="7"/>
  <c r="CB43" i="7"/>
  <c r="O43" i="7"/>
  <c r="EK43" i="7"/>
  <c r="BX43" i="7"/>
  <c r="GP43" i="7"/>
  <c r="DA43" i="7"/>
  <c r="X43" i="7"/>
  <c r="DN43" i="7"/>
  <c r="AK43" i="7"/>
  <c r="CD43" i="7"/>
  <c r="CT43" i="7"/>
  <c r="EP43" i="7"/>
  <c r="BL43" i="7"/>
  <c r="GT43" i="7"/>
  <c r="DU43" i="7"/>
  <c r="BH43" i="7"/>
  <c r="FV43" i="7"/>
  <c r="CK43" i="7"/>
  <c r="GM43" i="7"/>
  <c r="CX43" i="7"/>
  <c r="U43" i="7"/>
  <c r="AX43" i="7"/>
  <c r="BN43" i="7"/>
  <c r="DY43" i="7"/>
  <c r="AV43" i="7"/>
  <c r="FZ43" i="7"/>
  <c r="DE43" i="7"/>
  <c r="AR43" i="7"/>
  <c r="EY43" i="7"/>
  <c r="BU43" i="7"/>
  <c r="FO43" i="7"/>
  <c r="CH43" i="7"/>
  <c r="GG43" i="7"/>
  <c r="R43" i="7"/>
  <c r="AH43" i="7"/>
  <c r="GK43" i="7"/>
  <c r="DI43" i="7"/>
  <c r="AF43" i="7"/>
  <c r="FF43" i="7"/>
  <c r="CO43" i="7"/>
  <c r="AB43" i="7"/>
  <c r="EH43" i="7"/>
  <c r="BE43" i="7"/>
  <c r="EV43" i="7"/>
  <c r="BR43" i="7"/>
  <c r="FL43" i="7"/>
  <c r="GE43" i="7"/>
  <c r="FU43" i="7"/>
  <c r="CS43" i="7"/>
  <c r="P43" i="7"/>
  <c r="EM43" i="7"/>
  <c r="BY43" i="7"/>
  <c r="DR43" i="7"/>
  <c r="AO43" i="7"/>
  <c r="EE43" i="7"/>
  <c r="BB43" i="7"/>
  <c r="ES43" i="7"/>
  <c r="FK43" i="7"/>
  <c r="AV8" i="7"/>
  <c r="EN8" i="7"/>
  <c r="DC8" i="7"/>
  <c r="V8" i="7"/>
  <c r="EG8" i="7"/>
  <c r="AZ8" i="7"/>
  <c r="FJ8" i="7"/>
  <c r="CD8" i="7"/>
  <c r="GI8" i="7"/>
  <c r="DH8" i="7"/>
  <c r="AA8" i="7"/>
  <c r="EL8" i="7"/>
  <c r="BB8" i="7"/>
  <c r="ET8" i="7"/>
  <c r="DK8" i="7"/>
  <c r="AC8" i="7"/>
  <c r="EO8" i="7"/>
  <c r="BG8" i="7"/>
  <c r="FP8" i="7"/>
  <c r="CK8" i="7"/>
  <c r="GO8" i="7"/>
  <c r="DO8" i="7"/>
  <c r="AH8" i="7"/>
  <c r="ES8" i="7"/>
  <c r="BH8" i="7"/>
  <c r="EZ8" i="7"/>
  <c r="DR8" i="7"/>
  <c r="AK8" i="7"/>
  <c r="EV8" i="7"/>
  <c r="BO8" i="7"/>
  <c r="FV8" i="7"/>
  <c r="CS8" i="7"/>
  <c r="GU8" i="7"/>
  <c r="DW8" i="7"/>
  <c r="AO8" i="7"/>
  <c r="FA8" i="7"/>
  <c r="BN8" i="7"/>
  <c r="N8" i="7"/>
  <c r="DY8" i="7"/>
  <c r="AR8" i="7"/>
  <c r="FC8" i="7"/>
  <c r="BV8" i="7"/>
  <c r="GB8" i="7"/>
  <c r="CZ8" i="7"/>
  <c r="S8" i="7"/>
  <c r="ED8" i="7"/>
  <c r="AW8" i="7"/>
  <c r="FG8" i="7"/>
  <c r="BT8" i="7"/>
  <c r="U8" i="7"/>
  <c r="EF8" i="7"/>
  <c r="AY8" i="7"/>
  <c r="FI8" i="7"/>
  <c r="CC8" i="7"/>
  <c r="GH8" i="7"/>
  <c r="DG8" i="7"/>
  <c r="Z8" i="7"/>
  <c r="EK8" i="7"/>
  <c r="BD8" i="7"/>
  <c r="FM8" i="7"/>
  <c r="BZ8" i="7"/>
  <c r="AB8" i="7"/>
  <c r="EM8" i="7"/>
  <c r="BF8" i="7"/>
  <c r="FO8" i="7"/>
  <c r="CJ8" i="7"/>
  <c r="GN8" i="7"/>
  <c r="DN8" i="7"/>
  <c r="AG8" i="7"/>
  <c r="ER8" i="7"/>
  <c r="BK8" i="7"/>
  <c r="FS8" i="7"/>
  <c r="CF8" i="7"/>
  <c r="AI8" i="7"/>
  <c r="EU8" i="7"/>
  <c r="BM8" i="7"/>
  <c r="FU8" i="7"/>
  <c r="CQ8" i="7"/>
  <c r="GT8" i="7"/>
  <c r="DU8" i="7"/>
  <c r="AN8" i="7"/>
  <c r="EY8" i="7"/>
  <c r="BR8" i="7"/>
  <c r="FY8" i="7"/>
  <c r="CL8" i="7"/>
  <c r="AQ8" i="7"/>
  <c r="FB8" i="7"/>
  <c r="BU8" i="7"/>
  <c r="GA8" i="7"/>
  <c r="CY8" i="7"/>
  <c r="Q8" i="7"/>
  <c r="EC8" i="7"/>
  <c r="AU8" i="7"/>
  <c r="FF8" i="7"/>
  <c r="BY8" i="7"/>
  <c r="GE8" i="7"/>
  <c r="CR8" i="7"/>
  <c r="AX8" i="7"/>
  <c r="FH8" i="7"/>
  <c r="CB8" i="7"/>
  <c r="GG8" i="7"/>
  <c r="DF8" i="7"/>
  <c r="Y8" i="7"/>
  <c r="EJ8" i="7"/>
  <c r="BC8" i="7"/>
  <c r="FL8" i="7"/>
  <c r="CG8" i="7"/>
  <c r="GK8" i="7"/>
  <c r="CX8" i="7"/>
  <c r="BE8" i="7"/>
  <c r="FN8" i="7"/>
  <c r="CI8" i="7"/>
  <c r="GM8" i="7"/>
  <c r="DM8" i="7"/>
  <c r="AF8" i="7"/>
  <c r="EQ8" i="7"/>
  <c r="BJ8" i="7"/>
  <c r="FR8" i="7"/>
  <c r="CN8" i="7"/>
  <c r="GQ8" i="7"/>
  <c r="DD8" i="7"/>
  <c r="BL8" i="7"/>
  <c r="FT8" i="7"/>
  <c r="CP8" i="7"/>
  <c r="GS8" i="7"/>
  <c r="DT8" i="7"/>
  <c r="AM8" i="7"/>
  <c r="EX8" i="7"/>
  <c r="BQ8" i="7"/>
  <c r="FX8" i="7"/>
  <c r="CU8" i="7"/>
  <c r="R8" i="7"/>
  <c r="DJ8" i="7"/>
  <c r="BS8" i="7"/>
  <c r="FZ8" i="7"/>
  <c r="CW8" i="7"/>
  <c r="P8" i="7"/>
  <c r="EA8" i="7"/>
  <c r="AT8" i="7"/>
  <c r="FE8" i="7"/>
  <c r="BX8" i="7"/>
  <c r="GD8" i="7"/>
  <c r="DB8" i="7"/>
  <c r="X8" i="7"/>
  <c r="DP8" i="7"/>
  <c r="CA8" i="7"/>
  <c r="GF8" i="7"/>
  <c r="DE8" i="7"/>
  <c r="W8" i="7"/>
  <c r="EI8" i="7"/>
  <c r="BA8" i="7"/>
  <c r="FK8" i="7"/>
  <c r="CE8" i="7"/>
  <c r="GJ8" i="7"/>
  <c r="DI8" i="7"/>
  <c r="AD8" i="7"/>
  <c r="DV8" i="7"/>
  <c r="CH8" i="7"/>
  <c r="GL8" i="7"/>
  <c r="DL8" i="7"/>
  <c r="AE8" i="7"/>
  <c r="EP8" i="7"/>
  <c r="BI8" i="7"/>
  <c r="FQ8" i="7"/>
  <c r="CM8" i="7"/>
  <c r="GP8" i="7"/>
  <c r="DQ8" i="7"/>
  <c r="AJ8" i="7"/>
  <c r="EB8" i="7"/>
  <c r="CO8" i="7"/>
  <c r="GR8" i="7"/>
  <c r="DS8" i="7"/>
  <c r="AL8" i="7"/>
  <c r="EW8" i="7"/>
  <c r="BP8" i="7"/>
  <c r="FW8" i="7"/>
  <c r="CT8" i="7"/>
  <c r="DX8" i="7"/>
  <c r="AP8" i="7"/>
  <c r="EH8" i="7"/>
  <c r="CV8" i="7"/>
  <c r="O8" i="7"/>
  <c r="DZ8" i="7"/>
  <c r="AS8" i="7"/>
  <c r="FD8" i="7"/>
  <c r="BW8" i="7"/>
  <c r="GC8" i="7"/>
  <c r="DA8" i="7"/>
  <c r="T8" i="7"/>
  <c r="EE8" i="7"/>
  <c r="I68" i="7"/>
  <c r="I32" i="7"/>
  <c r="AB68" i="7"/>
  <c r="GC68" i="7"/>
  <c r="DP68" i="7"/>
  <c r="BC68" i="7"/>
  <c r="FX68" i="7"/>
  <c r="FU68" i="7"/>
  <c r="DH68" i="7"/>
  <c r="AS68" i="7"/>
  <c r="DW68" i="7"/>
  <c r="DK68" i="7"/>
  <c r="EM68" i="7"/>
  <c r="BK68" i="7"/>
  <c r="L68" i="7"/>
  <c r="FM68" i="7"/>
  <c r="CZ68" i="7"/>
  <c r="AM68" i="7"/>
  <c r="FH68" i="7"/>
  <c r="FE68" i="7"/>
  <c r="CR68" i="7"/>
  <c r="AC68" i="7"/>
  <c r="CE68" i="7"/>
  <c r="BW68" i="7"/>
  <c r="CU68" i="7"/>
  <c r="BJ68" i="7"/>
  <c r="GT68" i="7"/>
  <c r="EW68" i="7"/>
  <c r="CJ68" i="7"/>
  <c r="W68" i="7"/>
  <c r="ER68" i="7"/>
  <c r="EO68" i="7"/>
  <c r="CB68" i="7"/>
  <c r="M68" i="7"/>
  <c r="AQ68" i="7"/>
  <c r="AE68" i="7"/>
  <c r="BG68" i="7"/>
  <c r="GU68" i="7"/>
  <c r="GD68" i="7"/>
  <c r="EG68" i="7"/>
  <c r="BT68" i="7"/>
  <c r="GP68" i="7"/>
  <c r="EB68" i="7"/>
  <c r="DY68" i="7"/>
  <c r="BL68" i="7"/>
  <c r="GE68" i="7"/>
  <c r="FR68" i="7"/>
  <c r="FC68" i="7"/>
  <c r="O68" i="7"/>
  <c r="GO68" i="7"/>
  <c r="FN68" i="7"/>
  <c r="DQ68" i="7"/>
  <c r="BD68" i="7"/>
  <c r="FZ68" i="7"/>
  <c r="DL68" i="7"/>
  <c r="DI68" i="7"/>
  <c r="AV68" i="7"/>
  <c r="EC68" i="7"/>
  <c r="DV68" i="7"/>
  <c r="DJ68" i="7"/>
  <c r="GI68" i="7"/>
  <c r="BA68" i="7"/>
  <c r="EX68" i="7"/>
  <c r="DA68" i="7"/>
  <c r="AN68" i="7"/>
  <c r="FJ68" i="7"/>
  <c r="CV68" i="7"/>
  <c r="CS68" i="7"/>
  <c r="AF68" i="7"/>
  <c r="CP68" i="7"/>
  <c r="CD68" i="7"/>
  <c r="BQ68" i="7"/>
  <c r="N68" i="7"/>
  <c r="AY68" i="7"/>
  <c r="GF68" i="7"/>
  <c r="EH68" i="7"/>
  <c r="CK68" i="7"/>
  <c r="X68" i="7"/>
  <c r="ET68" i="7"/>
  <c r="CF68" i="7"/>
  <c r="CC68" i="7"/>
  <c r="P68" i="7"/>
  <c r="AX68" i="7"/>
  <c r="AK68" i="7"/>
  <c r="AD68" i="7"/>
  <c r="GH68" i="7"/>
  <c r="S68" i="7"/>
  <c r="FP68" i="7"/>
  <c r="DR68" i="7"/>
  <c r="BU68" i="7"/>
  <c r="GQ68" i="7"/>
  <c r="ED68" i="7"/>
  <c r="BP68" i="7"/>
  <c r="BM68" i="7"/>
  <c r="GG68" i="7"/>
  <c r="FY68" i="7"/>
  <c r="FO68" i="7"/>
  <c r="FB68" i="7"/>
  <c r="K68" i="7"/>
  <c r="R68" i="7"/>
  <c r="EZ68" i="7"/>
  <c r="DB68" i="7"/>
  <c r="BE68" i="7"/>
  <c r="GA68" i="7"/>
  <c r="DN68" i="7"/>
  <c r="AZ68" i="7"/>
  <c r="AW68" i="7"/>
  <c r="FQ68" i="7"/>
  <c r="EA68" i="7"/>
  <c r="DS68" i="7"/>
  <c r="DG68" i="7"/>
  <c r="ES68" i="7"/>
  <c r="EJ68" i="7"/>
  <c r="CL68" i="7"/>
  <c r="AO68" i="7"/>
  <c r="FK68" i="7"/>
  <c r="CX68" i="7"/>
  <c r="AJ68" i="7"/>
  <c r="AG68" i="7"/>
  <c r="FA68" i="7"/>
  <c r="CM68" i="7"/>
  <c r="CA68" i="7"/>
  <c r="BO68" i="7"/>
  <c r="EQ68" i="7"/>
  <c r="DT68" i="7"/>
  <c r="BV68" i="7"/>
  <c r="Y68" i="7"/>
  <c r="EU68" i="7"/>
  <c r="CH68" i="7"/>
  <c r="T68" i="7"/>
  <c r="Q68" i="7"/>
  <c r="EK68" i="7"/>
  <c r="AU68" i="7"/>
  <c r="AI68" i="7"/>
  <c r="AA68" i="7"/>
  <c r="EL68" i="7"/>
  <c r="DD68" i="7"/>
  <c r="BF68" i="7"/>
  <c r="GR68" i="7"/>
  <c r="EE68" i="7"/>
  <c r="BR68" i="7"/>
  <c r="GL68" i="7"/>
  <c r="GJ68" i="7"/>
  <c r="DU68" i="7"/>
  <c r="FW68" i="7"/>
  <c r="FI68" i="7"/>
  <c r="EY68" i="7"/>
  <c r="EI68" i="7"/>
  <c r="CN68" i="7"/>
  <c r="AP68" i="7"/>
  <c r="GB68" i="7"/>
  <c r="DO68" i="7"/>
  <c r="BB68" i="7"/>
  <c r="FV68" i="7"/>
  <c r="FT68" i="7"/>
  <c r="DE68" i="7"/>
  <c r="DZ68" i="7"/>
  <c r="DM68" i="7"/>
  <c r="DF68" i="7"/>
  <c r="DC68" i="7"/>
  <c r="BX68" i="7"/>
  <c r="Z68" i="7"/>
  <c r="FL68" i="7"/>
  <c r="CY68" i="7"/>
  <c r="AL68" i="7"/>
  <c r="FF68" i="7"/>
  <c r="FD68" i="7"/>
  <c r="CO68" i="7"/>
  <c r="CG68" i="7"/>
  <c r="BZ68" i="7"/>
  <c r="BN68" i="7"/>
  <c r="CW68" i="7"/>
  <c r="BH68" i="7"/>
  <c r="J68" i="7"/>
  <c r="EV68" i="7"/>
  <c r="CI68" i="7"/>
  <c r="V68" i="7"/>
  <c r="EP68" i="7"/>
  <c r="EN68" i="7"/>
  <c r="BY68" i="7"/>
  <c r="AT68" i="7"/>
  <c r="AH68" i="7"/>
  <c r="U68" i="7"/>
  <c r="CT68" i="7"/>
  <c r="AR68" i="7"/>
  <c r="GS68" i="7"/>
  <c r="EF68" i="7"/>
  <c r="BS68" i="7"/>
  <c r="GN68" i="7"/>
  <c r="GK68" i="7"/>
  <c r="DX68" i="7"/>
  <c r="BI68" i="7"/>
  <c r="FS68" i="7"/>
  <c r="FG68" i="7"/>
  <c r="GM68" i="7"/>
  <c r="CQ68" i="7"/>
  <c r="J32" i="7"/>
  <c r="DF32" i="7"/>
  <c r="K32" i="7"/>
  <c r="DG32" i="7"/>
  <c r="L32" i="7"/>
  <c r="DH32" i="7"/>
  <c r="M32" i="7"/>
  <c r="DI32" i="7"/>
  <c r="N32" i="7"/>
  <c r="DJ32" i="7"/>
  <c r="BO32" i="7"/>
  <c r="DQ32" i="7"/>
  <c r="Q32" i="7"/>
  <c r="DL32" i="7"/>
  <c r="R32" i="7"/>
  <c r="DM32" i="7"/>
  <c r="S32" i="7"/>
  <c r="DN32" i="7"/>
  <c r="T32" i="7"/>
  <c r="DO32" i="7"/>
  <c r="V32" i="7"/>
  <c r="DP32" i="7"/>
  <c r="CY32" i="7"/>
  <c r="FA32" i="7"/>
  <c r="X32" i="7"/>
  <c r="DR32" i="7"/>
  <c r="Y32" i="7"/>
  <c r="DS32" i="7"/>
  <c r="Z32" i="7"/>
  <c r="DT32" i="7"/>
  <c r="AB32" i="7"/>
  <c r="DU32" i="7"/>
  <c r="AC32" i="7"/>
  <c r="DV32" i="7"/>
  <c r="EI32" i="7"/>
  <c r="GK32" i="7"/>
  <c r="AE32" i="7"/>
  <c r="DX32" i="7"/>
  <c r="AF32" i="7"/>
  <c r="DY32" i="7"/>
  <c r="AH32" i="7"/>
  <c r="DZ32" i="7"/>
  <c r="AI32" i="7"/>
  <c r="EA32" i="7"/>
  <c r="AJ32" i="7"/>
  <c r="EB32" i="7"/>
  <c r="FS32" i="7"/>
  <c r="P32" i="7"/>
  <c r="AL32" i="7"/>
  <c r="ED32" i="7"/>
  <c r="AM32" i="7"/>
  <c r="EE32" i="7"/>
  <c r="AN32" i="7"/>
  <c r="EF32" i="7"/>
  <c r="AO32" i="7"/>
  <c r="EG32" i="7"/>
  <c r="AP32" i="7"/>
  <c r="EH32" i="7"/>
  <c r="AK32" i="7"/>
  <c r="BC32" i="7"/>
  <c r="AR32" i="7"/>
  <c r="EJ32" i="7"/>
  <c r="AS32" i="7"/>
  <c r="EK32" i="7"/>
  <c r="AT32" i="7"/>
  <c r="EL32" i="7"/>
  <c r="AU32" i="7"/>
  <c r="EM32" i="7"/>
  <c r="AV32" i="7"/>
  <c r="EN32" i="7"/>
  <c r="BU32" i="7"/>
  <c r="CM32" i="7"/>
  <c r="AX32" i="7"/>
  <c r="EP32" i="7"/>
  <c r="AY32" i="7"/>
  <c r="EQ32" i="7"/>
  <c r="AZ32" i="7"/>
  <c r="ER32" i="7"/>
  <c r="BA32" i="7"/>
  <c r="ES32" i="7"/>
  <c r="BB32" i="7"/>
  <c r="ET32" i="7"/>
  <c r="DE32" i="7"/>
  <c r="DW32" i="7"/>
  <c r="BD32" i="7"/>
  <c r="EV32" i="7"/>
  <c r="BE32" i="7"/>
  <c r="EW32" i="7"/>
  <c r="BF32" i="7"/>
  <c r="EX32" i="7"/>
  <c r="BG32" i="7"/>
  <c r="EY32" i="7"/>
  <c r="BH32" i="7"/>
  <c r="EZ32" i="7"/>
  <c r="EO32" i="7"/>
  <c r="FG32" i="7"/>
  <c r="BJ32" i="7"/>
  <c r="FB32" i="7"/>
  <c r="BK32" i="7"/>
  <c r="FC32" i="7"/>
  <c r="BL32" i="7"/>
  <c r="FD32" i="7"/>
  <c r="BM32" i="7"/>
  <c r="FE32" i="7"/>
  <c r="BN32" i="7"/>
  <c r="FF32" i="7"/>
  <c r="FY32" i="7"/>
  <c r="GQ32" i="7"/>
  <c r="BP32" i="7"/>
  <c r="FH32" i="7"/>
  <c r="BQ32" i="7"/>
  <c r="FI32" i="7"/>
  <c r="BR32" i="7"/>
  <c r="FJ32" i="7"/>
  <c r="BS32" i="7"/>
  <c r="FK32" i="7"/>
  <c r="BT32" i="7"/>
  <c r="FL32" i="7"/>
  <c r="AQ32" i="7"/>
  <c r="EC32" i="7"/>
  <c r="BV32" i="7"/>
  <c r="FN32" i="7"/>
  <c r="BW32" i="7"/>
  <c r="FO32" i="7"/>
  <c r="BX32" i="7"/>
  <c r="FP32" i="7"/>
  <c r="BY32" i="7"/>
  <c r="FQ32" i="7"/>
  <c r="BZ32" i="7"/>
  <c r="FR32" i="7"/>
  <c r="CA32" i="7"/>
  <c r="FM32" i="7"/>
  <c r="CB32" i="7"/>
  <c r="FT32" i="7"/>
  <c r="CC32" i="7"/>
  <c r="FU32" i="7"/>
  <c r="CD32" i="7"/>
  <c r="FV32" i="7"/>
  <c r="CE32" i="7"/>
  <c r="FW32" i="7"/>
  <c r="CF32" i="7"/>
  <c r="FX32" i="7"/>
  <c r="DK32" i="7"/>
  <c r="W32" i="7"/>
  <c r="O32" i="7"/>
  <c r="CH32" i="7"/>
  <c r="FZ32" i="7"/>
  <c r="CI32" i="7"/>
  <c r="GA32" i="7"/>
  <c r="CJ32" i="7"/>
  <c r="GB32" i="7"/>
  <c r="CK32" i="7"/>
  <c r="GC32" i="7"/>
  <c r="CL32" i="7"/>
  <c r="GD32" i="7"/>
  <c r="EU32" i="7"/>
  <c r="CS32" i="7"/>
  <c r="U32" i="7"/>
  <c r="CN32" i="7"/>
  <c r="GF32" i="7"/>
  <c r="CO32" i="7"/>
  <c r="GG32" i="7"/>
  <c r="CP32" i="7"/>
  <c r="GH32" i="7"/>
  <c r="CQ32" i="7"/>
  <c r="GI32" i="7"/>
  <c r="CR32" i="7"/>
  <c r="GJ32" i="7"/>
  <c r="GE32" i="7"/>
  <c r="BI32" i="7"/>
  <c r="AA32" i="7"/>
  <c r="CT32" i="7"/>
  <c r="GL32" i="7"/>
  <c r="CU32" i="7"/>
  <c r="GM32" i="7"/>
  <c r="CV32" i="7"/>
  <c r="GN32" i="7"/>
  <c r="CW32" i="7"/>
  <c r="GO32" i="7"/>
  <c r="CX32" i="7"/>
  <c r="GP32" i="7"/>
  <c r="AW32" i="7"/>
  <c r="AG32" i="7"/>
  <c r="CZ32" i="7"/>
  <c r="GR32" i="7"/>
  <c r="DA32" i="7"/>
  <c r="GS32" i="7"/>
  <c r="DB32" i="7"/>
  <c r="GT32" i="7"/>
  <c r="DC32" i="7"/>
  <c r="GU32" i="7"/>
  <c r="DD32" i="7"/>
  <c r="AD32" i="7"/>
  <c r="CG32" i="7"/>
  <c r="J66" i="7"/>
  <c r="I66" i="7"/>
  <c r="I31" i="7"/>
  <c r="J31" i="7"/>
  <c r="FV66" i="7"/>
  <c r="DI66" i="7"/>
  <c r="AV66" i="7"/>
  <c r="FR66" i="7"/>
  <c r="DD66" i="7"/>
  <c r="GB66" i="7"/>
  <c r="DM66" i="7"/>
  <c r="L66" i="7"/>
  <c r="BY66" i="7"/>
  <c r="AI66" i="7"/>
  <c r="DB66" i="7"/>
  <c r="ET66" i="7"/>
  <c r="FF66" i="7"/>
  <c r="CS66" i="7"/>
  <c r="AF66" i="7"/>
  <c r="FB66" i="7"/>
  <c r="CN66" i="7"/>
  <c r="FL66" i="7"/>
  <c r="CW66" i="7"/>
  <c r="FO66" i="7"/>
  <c r="AP66" i="7"/>
  <c r="GP66" i="7"/>
  <c r="CY66" i="7"/>
  <c r="EQ66" i="7"/>
  <c r="EP66" i="7"/>
  <c r="CC66" i="7"/>
  <c r="P66" i="7"/>
  <c r="EL66" i="7"/>
  <c r="BX66" i="7"/>
  <c r="EV66" i="7"/>
  <c r="CG66" i="7"/>
  <c r="EA66" i="7"/>
  <c r="GU66" i="7"/>
  <c r="EX66" i="7"/>
  <c r="CU66" i="7"/>
  <c r="EI66" i="7"/>
  <c r="GN66" i="7"/>
  <c r="DZ66" i="7"/>
  <c r="BM66" i="7"/>
  <c r="GI66" i="7"/>
  <c r="DV66" i="7"/>
  <c r="GS66" i="7"/>
  <c r="EF66" i="7"/>
  <c r="BQ66" i="7"/>
  <c r="CI66" i="7"/>
  <c r="FG66" i="7"/>
  <c r="DE66" i="7"/>
  <c r="CO66" i="7"/>
  <c r="EH66" i="7"/>
  <c r="FX66" i="7"/>
  <c r="DJ66" i="7"/>
  <c r="AW66" i="7"/>
  <c r="FS66" i="7"/>
  <c r="DF66" i="7"/>
  <c r="GC66" i="7"/>
  <c r="DP66" i="7"/>
  <c r="BA66" i="7"/>
  <c r="AS66" i="7"/>
  <c r="DO66" i="7"/>
  <c r="BR66" i="7"/>
  <c r="BI66" i="7"/>
  <c r="FH66" i="7"/>
  <c r="CT66" i="7"/>
  <c r="AG66" i="7"/>
  <c r="FC66" i="7"/>
  <c r="CP66" i="7"/>
  <c r="FM66" i="7"/>
  <c r="CZ66" i="7"/>
  <c r="AK66" i="7"/>
  <c r="K66" i="7"/>
  <c r="BW66" i="7"/>
  <c r="AC66" i="7"/>
  <c r="BH66" i="7"/>
  <c r="ER66" i="7"/>
  <c r="CD66" i="7"/>
  <c r="Q66" i="7"/>
  <c r="EM66" i="7"/>
  <c r="BZ66" i="7"/>
  <c r="EW66" i="7"/>
  <c r="CJ66" i="7"/>
  <c r="U66" i="7"/>
  <c r="FN66" i="7"/>
  <c r="AM66" i="7"/>
  <c r="GM66" i="7"/>
  <c r="BF66" i="7"/>
  <c r="EB66" i="7"/>
  <c r="BN66" i="7"/>
  <c r="GJ66" i="7"/>
  <c r="DW66" i="7"/>
  <c r="BJ66" i="7"/>
  <c r="EG66" i="7"/>
  <c r="BT66" i="7"/>
  <c r="FW66" i="7"/>
  <c r="DU66" i="7"/>
  <c r="GT66" i="7"/>
  <c r="EU66" i="7"/>
  <c r="BC66" i="7"/>
  <c r="DL66" i="7"/>
  <c r="AX66" i="7"/>
  <c r="FT66" i="7"/>
  <c r="DG66" i="7"/>
  <c r="AT66" i="7"/>
  <c r="DQ66" i="7"/>
  <c r="BD66" i="7"/>
  <c r="EE66" i="7"/>
  <c r="CH66" i="7"/>
  <c r="FA66" i="7"/>
  <c r="DC66" i="7"/>
  <c r="GG66" i="7"/>
  <c r="CV66" i="7"/>
  <c r="AH66" i="7"/>
  <c r="FD66" i="7"/>
  <c r="CQ66" i="7"/>
  <c r="AD66" i="7"/>
  <c r="DA66" i="7"/>
  <c r="AN66" i="7"/>
  <c r="CM66" i="7"/>
  <c r="AR66" i="7"/>
  <c r="DN66" i="7"/>
  <c r="BO66" i="7"/>
  <c r="AA66" i="7"/>
  <c r="CF66" i="7"/>
  <c r="R66" i="7"/>
  <c r="EN66" i="7"/>
  <c r="CA66" i="7"/>
  <c r="N66" i="7"/>
  <c r="CK66" i="7"/>
  <c r="X66" i="7"/>
  <c r="BB66" i="7"/>
  <c r="FK66" i="7"/>
  <c r="BV66" i="7"/>
  <c r="AB66" i="7"/>
  <c r="GE66" i="7"/>
  <c r="BP66" i="7"/>
  <c r="GK66" i="7"/>
  <c r="DX66" i="7"/>
  <c r="BK66" i="7"/>
  <c r="GF66" i="7"/>
  <c r="BU66" i="7"/>
  <c r="GO66" i="7"/>
  <c r="M66" i="7"/>
  <c r="DS66" i="7"/>
  <c r="AL66" i="7"/>
  <c r="GD66" i="7"/>
  <c r="Z66" i="7"/>
  <c r="AZ66" i="7"/>
  <c r="FU66" i="7"/>
  <c r="DH66" i="7"/>
  <c r="AU66" i="7"/>
  <c r="FP66" i="7"/>
  <c r="BE66" i="7"/>
  <c r="FY66" i="7"/>
  <c r="FQ66" i="7"/>
  <c r="CE66" i="7"/>
  <c r="GQ66" i="7"/>
  <c r="EK66" i="7"/>
  <c r="GA66" i="7"/>
  <c r="AJ66" i="7"/>
  <c r="FE66" i="7"/>
  <c r="CR66" i="7"/>
  <c r="AE66" i="7"/>
  <c r="EZ66" i="7"/>
  <c r="AO66" i="7"/>
  <c r="FI66" i="7"/>
  <c r="ED66" i="7"/>
  <c r="AQ66" i="7"/>
  <c r="EY66" i="7"/>
  <c r="CX66" i="7"/>
  <c r="V66" i="7"/>
  <c r="GL66" i="7"/>
  <c r="DY66" i="7"/>
  <c r="BL66" i="7"/>
  <c r="GH66" i="7"/>
  <c r="DT66" i="7"/>
  <c r="GR66" i="7"/>
  <c r="EC66" i="7"/>
  <c r="AY66" i="7"/>
  <c r="DR66" i="7"/>
  <c r="BS66" i="7"/>
  <c r="W66" i="7"/>
  <c r="S66" i="7"/>
  <c r="FZ66" i="7"/>
  <c r="T66" i="7"/>
  <c r="EO66" i="7"/>
  <c r="CB66" i="7"/>
  <c r="O66" i="7"/>
  <c r="EJ66" i="7"/>
  <c r="Y66" i="7"/>
  <c r="ES66" i="7"/>
  <c r="CL66" i="7"/>
  <c r="FJ66" i="7"/>
  <c r="DK66" i="7"/>
  <c r="BG66" i="7"/>
  <c r="CQ31" i="7"/>
  <c r="GI31" i="7"/>
  <c r="CL31" i="7"/>
  <c r="GD31" i="7"/>
  <c r="CM31" i="7"/>
  <c r="GE31" i="7"/>
  <c r="CN31" i="7"/>
  <c r="GF31" i="7"/>
  <c r="CO31" i="7"/>
  <c r="GG31" i="7"/>
  <c r="EX31" i="7"/>
  <c r="CV31" i="7"/>
  <c r="CW31" i="7"/>
  <c r="GO31" i="7"/>
  <c r="CR31" i="7"/>
  <c r="GJ31" i="7"/>
  <c r="CS31" i="7"/>
  <c r="GK31" i="7"/>
  <c r="CT31" i="7"/>
  <c r="GL31" i="7"/>
  <c r="CU31" i="7"/>
  <c r="GM31" i="7"/>
  <c r="GH31" i="7"/>
  <c r="EF31" i="7"/>
  <c r="K31" i="7"/>
  <c r="DC31" i="7"/>
  <c r="GU31" i="7"/>
  <c r="CX31" i="7"/>
  <c r="GP31" i="7"/>
  <c r="CY31" i="7"/>
  <c r="GQ31" i="7"/>
  <c r="CZ31" i="7"/>
  <c r="GR31" i="7"/>
  <c r="DA31" i="7"/>
  <c r="GS31" i="7"/>
  <c r="P31" i="7"/>
  <c r="FP31" i="7"/>
  <c r="Q31" i="7"/>
  <c r="DI31" i="7"/>
  <c r="L31" i="7"/>
  <c r="DD31" i="7"/>
  <c r="M31" i="7"/>
  <c r="DE31" i="7"/>
  <c r="N31" i="7"/>
  <c r="DF31" i="7"/>
  <c r="O31" i="7"/>
  <c r="DG31" i="7"/>
  <c r="AH31" i="7"/>
  <c r="AZ31" i="7"/>
  <c r="W31" i="7"/>
  <c r="DO31" i="7"/>
  <c r="R31" i="7"/>
  <c r="DJ31" i="7"/>
  <c r="S31" i="7"/>
  <c r="DK31" i="7"/>
  <c r="T31" i="7"/>
  <c r="DL31" i="7"/>
  <c r="U31" i="7"/>
  <c r="DM31" i="7"/>
  <c r="BR31" i="7"/>
  <c r="CJ31" i="7"/>
  <c r="AC31" i="7"/>
  <c r="DU31" i="7"/>
  <c r="X31" i="7"/>
  <c r="DP31" i="7"/>
  <c r="Y31" i="7"/>
  <c r="DQ31" i="7"/>
  <c r="Z31" i="7"/>
  <c r="DR31" i="7"/>
  <c r="AA31" i="7"/>
  <c r="DS31" i="7"/>
  <c r="DB31" i="7"/>
  <c r="DT31" i="7"/>
  <c r="AI31" i="7"/>
  <c r="EA31" i="7"/>
  <c r="AD31" i="7"/>
  <c r="DV31" i="7"/>
  <c r="AE31" i="7"/>
  <c r="DW31" i="7"/>
  <c r="AF31" i="7"/>
  <c r="DX31" i="7"/>
  <c r="AG31" i="7"/>
  <c r="DY31" i="7"/>
  <c r="EL31" i="7"/>
  <c r="FD31" i="7"/>
  <c r="AO31" i="7"/>
  <c r="EG31" i="7"/>
  <c r="AJ31" i="7"/>
  <c r="EB31" i="7"/>
  <c r="AK31" i="7"/>
  <c r="EC31" i="7"/>
  <c r="AL31" i="7"/>
  <c r="ED31" i="7"/>
  <c r="AM31" i="7"/>
  <c r="EE31" i="7"/>
  <c r="FV31" i="7"/>
  <c r="GN31" i="7"/>
  <c r="AU31" i="7"/>
  <c r="EM31" i="7"/>
  <c r="AP31" i="7"/>
  <c r="EH31" i="7"/>
  <c r="AQ31" i="7"/>
  <c r="EI31" i="7"/>
  <c r="AR31" i="7"/>
  <c r="EJ31" i="7"/>
  <c r="AS31" i="7"/>
  <c r="EK31" i="7"/>
  <c r="AN31" i="7"/>
  <c r="V31" i="7"/>
  <c r="BA31" i="7"/>
  <c r="ES31" i="7"/>
  <c r="AV31" i="7"/>
  <c r="EN31" i="7"/>
  <c r="AW31" i="7"/>
  <c r="EO31" i="7"/>
  <c r="AX31" i="7"/>
  <c r="EP31" i="7"/>
  <c r="AY31" i="7"/>
  <c r="EQ31" i="7"/>
  <c r="BX31" i="7"/>
  <c r="BF31" i="7"/>
  <c r="BG31" i="7"/>
  <c r="EY31" i="7"/>
  <c r="BB31" i="7"/>
  <c r="ET31" i="7"/>
  <c r="BC31" i="7"/>
  <c r="EU31" i="7"/>
  <c r="BD31" i="7"/>
  <c r="EV31" i="7"/>
  <c r="BE31" i="7"/>
  <c r="EW31" i="7"/>
  <c r="DH31" i="7"/>
  <c r="CP31" i="7"/>
  <c r="BM31" i="7"/>
  <c r="FE31" i="7"/>
  <c r="BH31" i="7"/>
  <c r="EZ31" i="7"/>
  <c r="BI31" i="7"/>
  <c r="FA31" i="7"/>
  <c r="BJ31" i="7"/>
  <c r="FB31" i="7"/>
  <c r="BK31" i="7"/>
  <c r="FC31" i="7"/>
  <c r="ER31" i="7"/>
  <c r="DZ31" i="7"/>
  <c r="BS31" i="7"/>
  <c r="FK31" i="7"/>
  <c r="BN31" i="7"/>
  <c r="FF31" i="7"/>
  <c r="BO31" i="7"/>
  <c r="FG31" i="7"/>
  <c r="BP31" i="7"/>
  <c r="FH31" i="7"/>
  <c r="BQ31" i="7"/>
  <c r="FI31" i="7"/>
  <c r="GB31" i="7"/>
  <c r="FJ31" i="7"/>
  <c r="BY31" i="7"/>
  <c r="FQ31" i="7"/>
  <c r="BT31" i="7"/>
  <c r="FL31" i="7"/>
  <c r="BU31" i="7"/>
  <c r="FM31" i="7"/>
  <c r="BV31" i="7"/>
  <c r="FN31" i="7"/>
  <c r="BW31" i="7"/>
  <c r="FO31" i="7"/>
  <c r="AT31" i="7"/>
  <c r="GT31" i="7"/>
  <c r="CE31" i="7"/>
  <c r="FW31" i="7"/>
  <c r="BZ31" i="7"/>
  <c r="FR31" i="7"/>
  <c r="CA31" i="7"/>
  <c r="FS31" i="7"/>
  <c r="CB31" i="7"/>
  <c r="FT31" i="7"/>
  <c r="CC31" i="7"/>
  <c r="FU31" i="7"/>
  <c r="CD31" i="7"/>
  <c r="AB31" i="7"/>
  <c r="CK31" i="7"/>
  <c r="GC31" i="7"/>
  <c r="CF31" i="7"/>
  <c r="FX31" i="7"/>
  <c r="CG31" i="7"/>
  <c r="FY31" i="7"/>
  <c r="CH31" i="7"/>
  <c r="FZ31" i="7"/>
  <c r="CI31" i="7"/>
  <c r="GA31" i="7"/>
  <c r="DN31" i="7"/>
  <c r="BL31" i="7"/>
  <c r="GB38" i="7"/>
  <c r="DO38" i="7"/>
  <c r="BB38" i="7"/>
  <c r="FX38" i="7"/>
  <c r="DK38" i="7"/>
  <c r="AX38" i="7"/>
  <c r="FT38" i="7"/>
  <c r="DG38" i="7"/>
  <c r="AT38" i="7"/>
  <c r="GU38" i="7"/>
  <c r="FA38" i="7"/>
  <c r="FL38" i="7"/>
  <c r="CY38" i="7"/>
  <c r="AL38" i="7"/>
  <c r="FH38" i="7"/>
  <c r="CU38" i="7"/>
  <c r="AH38" i="7"/>
  <c r="FD38" i="7"/>
  <c r="CQ38" i="7"/>
  <c r="AD38" i="7"/>
  <c r="DE38" i="7"/>
  <c r="BX38" i="7"/>
  <c r="EV38" i="7"/>
  <c r="CI38" i="7"/>
  <c r="V38" i="7"/>
  <c r="ER38" i="7"/>
  <c r="CE38" i="7"/>
  <c r="R38" i="7"/>
  <c r="EN38" i="7"/>
  <c r="CA38" i="7"/>
  <c r="GT38" i="7"/>
  <c r="AB38" i="7"/>
  <c r="EZ38" i="7"/>
  <c r="GS38" i="7"/>
  <c r="EF38" i="7"/>
  <c r="BS38" i="7"/>
  <c r="GO38" i="7"/>
  <c r="EB38" i="7"/>
  <c r="BO38" i="7"/>
  <c r="GK38" i="7"/>
  <c r="DX38" i="7"/>
  <c r="BK38" i="7"/>
  <c r="GD38" i="7"/>
  <c r="GG38" i="7"/>
  <c r="BW38" i="7"/>
  <c r="GC38" i="7"/>
  <c r="DP38" i="7"/>
  <c r="BC38" i="7"/>
  <c r="FY38" i="7"/>
  <c r="DL38" i="7"/>
  <c r="AY38" i="7"/>
  <c r="FU38" i="7"/>
  <c r="DH38" i="7"/>
  <c r="AU38" i="7"/>
  <c r="FN38" i="7"/>
  <c r="DD38" i="7"/>
  <c r="EY38" i="7"/>
  <c r="FM38" i="7"/>
  <c r="CZ38" i="7"/>
  <c r="AM38" i="7"/>
  <c r="FI38" i="7"/>
  <c r="CV38" i="7"/>
  <c r="AI38" i="7"/>
  <c r="FE38" i="7"/>
  <c r="CR38" i="7"/>
  <c r="AE38" i="7"/>
  <c r="EX38" i="7"/>
  <c r="AA38" i="7"/>
  <c r="BI38" i="7"/>
  <c r="EW38" i="7"/>
  <c r="CJ38" i="7"/>
  <c r="W38" i="7"/>
  <c r="ES38" i="7"/>
  <c r="CF38" i="7"/>
  <c r="S38" i="7"/>
  <c r="EO38" i="7"/>
  <c r="CB38" i="7"/>
  <c r="O38" i="7"/>
  <c r="EH38" i="7"/>
  <c r="GF38" i="7"/>
  <c r="EK38" i="7"/>
  <c r="EG38" i="7"/>
  <c r="BT38" i="7"/>
  <c r="GP38" i="7"/>
  <c r="EC38" i="7"/>
  <c r="BP38" i="7"/>
  <c r="GL38" i="7"/>
  <c r="DY38" i="7"/>
  <c r="BL38" i="7"/>
  <c r="GH38" i="7"/>
  <c r="DR38" i="7"/>
  <c r="DC38" i="7"/>
  <c r="BH38" i="7"/>
  <c r="DQ38" i="7"/>
  <c r="BD38" i="7"/>
  <c r="FZ38" i="7"/>
  <c r="DM38" i="7"/>
  <c r="AZ38" i="7"/>
  <c r="FV38" i="7"/>
  <c r="DI38" i="7"/>
  <c r="AV38" i="7"/>
  <c r="FR38" i="7"/>
  <c r="DB38" i="7"/>
  <c r="GE38" i="7"/>
  <c r="EJ38" i="7"/>
  <c r="DA38" i="7"/>
  <c r="AN38" i="7"/>
  <c r="FJ38" i="7"/>
  <c r="CW38" i="7"/>
  <c r="AJ38" i="7"/>
  <c r="FF38" i="7"/>
  <c r="CS38" i="7"/>
  <c r="AF38" i="7"/>
  <c r="FB38" i="7"/>
  <c r="CL38" i="7"/>
  <c r="CO38" i="7"/>
  <c r="BG38" i="7"/>
  <c r="CK38" i="7"/>
  <c r="X38" i="7"/>
  <c r="ET38" i="7"/>
  <c r="CG38" i="7"/>
  <c r="T38" i="7"/>
  <c r="EP38" i="7"/>
  <c r="CC38" i="7"/>
  <c r="P38" i="7"/>
  <c r="EL38" i="7"/>
  <c r="BV38" i="7"/>
  <c r="FQ38" i="7"/>
  <c r="EI38" i="7"/>
  <c r="BU38" i="7"/>
  <c r="GQ38" i="7"/>
  <c r="ED38" i="7"/>
  <c r="BQ38" i="7"/>
  <c r="GM38" i="7"/>
  <c r="DZ38" i="7"/>
  <c r="BM38" i="7"/>
  <c r="GI38" i="7"/>
  <c r="DV38" i="7"/>
  <c r="BF38" i="7"/>
  <c r="CN38" i="7"/>
  <c r="AS38" i="7"/>
  <c r="BE38" i="7"/>
  <c r="GA38" i="7"/>
  <c r="DN38" i="7"/>
  <c r="BA38" i="7"/>
  <c r="FW38" i="7"/>
  <c r="DJ38" i="7"/>
  <c r="AW38" i="7"/>
  <c r="FS38" i="7"/>
  <c r="DF38" i="7"/>
  <c r="AP38" i="7"/>
  <c r="FP38" i="7"/>
  <c r="DT38" i="7"/>
  <c r="AO38" i="7"/>
  <c r="FK38" i="7"/>
  <c r="CX38" i="7"/>
  <c r="AK38" i="7"/>
  <c r="FG38" i="7"/>
  <c r="CT38" i="7"/>
  <c r="AG38" i="7"/>
  <c r="FC38" i="7"/>
  <c r="CP38" i="7"/>
  <c r="Z38" i="7"/>
  <c r="CM38" i="7"/>
  <c r="DU38" i="7"/>
  <c r="Y38" i="7"/>
  <c r="EU38" i="7"/>
  <c r="CH38" i="7"/>
  <c r="U38" i="7"/>
  <c r="EQ38" i="7"/>
  <c r="CD38" i="7"/>
  <c r="Q38" i="7"/>
  <c r="EM38" i="7"/>
  <c r="BZ38" i="7"/>
  <c r="DS38" i="7"/>
  <c r="FO38" i="7"/>
  <c r="AR38" i="7"/>
  <c r="GR38" i="7"/>
  <c r="EE38" i="7"/>
  <c r="BR38" i="7"/>
  <c r="GN38" i="7"/>
  <c r="EA38" i="7"/>
  <c r="BN38" i="7"/>
  <c r="GJ38" i="7"/>
  <c r="DW38" i="7"/>
  <c r="BJ38" i="7"/>
  <c r="AC38" i="7"/>
  <c r="BY38" i="7"/>
  <c r="N38" i="7"/>
  <c r="AQ38" i="7"/>
  <c r="N2" i="7"/>
  <c r="CD2" i="7"/>
  <c r="DC2" i="7"/>
  <c r="CX2" i="7"/>
  <c r="CM2" i="7"/>
  <c r="CT2" i="7"/>
  <c r="Q2" i="7"/>
  <c r="DI2" i="7"/>
  <c r="DD2" i="7"/>
  <c r="CS2" i="7"/>
  <c r="DF2" i="7"/>
  <c r="AY2" i="7"/>
  <c r="GL2" i="7"/>
  <c r="W2" i="7"/>
  <c r="R2" i="7"/>
  <c r="DJ2" i="7"/>
  <c r="CY2" i="7"/>
  <c r="DO2" i="7"/>
  <c r="BQ2" i="7"/>
  <c r="GR2" i="7"/>
  <c r="FU2" i="7"/>
  <c r="AI2" i="7"/>
  <c r="AD2" i="7"/>
  <c r="S2" i="7"/>
  <c r="DK2" i="7"/>
  <c r="EE2" i="7"/>
  <c r="CU2" i="7"/>
  <c r="AL2" i="7"/>
  <c r="GG2" i="7"/>
  <c r="FJ2" i="7"/>
  <c r="EK2" i="7"/>
  <c r="P2" i="7"/>
  <c r="AO2" i="7"/>
  <c r="AJ2" i="7"/>
  <c r="Y2" i="7"/>
  <c r="DQ2" i="7"/>
  <c r="EL2" i="7"/>
  <c r="DG2" i="7"/>
  <c r="BD2" i="7"/>
  <c r="GM2" i="7"/>
  <c r="FP2" i="7"/>
  <c r="ER2" i="7"/>
  <c r="AB2" i="7"/>
  <c r="BA2" i="7"/>
  <c r="AV2" i="7"/>
  <c r="AK2" i="7"/>
  <c r="EC2" i="7"/>
  <c r="EZ2" i="7"/>
  <c r="DY2" i="7"/>
  <c r="CJ2" i="7"/>
  <c r="U2" i="7"/>
  <c r="GB2" i="7"/>
  <c r="FF2" i="7"/>
  <c r="AN2" i="7"/>
  <c r="BM2" i="7"/>
  <c r="BH2" i="7"/>
  <c r="AW2" i="7"/>
  <c r="EO2" i="7"/>
  <c r="AT2" i="7"/>
  <c r="BS2" i="7"/>
  <c r="BN2" i="7"/>
  <c r="BC2" i="7"/>
  <c r="EU2" i="7"/>
  <c r="FS2" i="7"/>
  <c r="ET2" i="7"/>
  <c r="DS2" i="7"/>
  <c r="BW2" i="7"/>
  <c r="GT2" i="7"/>
  <c r="AZ2" i="7"/>
  <c r="BY2" i="7"/>
  <c r="BT2" i="7"/>
  <c r="BI2" i="7"/>
  <c r="FA2" i="7"/>
  <c r="FY2" i="7"/>
  <c r="FB2" i="7"/>
  <c r="BF2" i="7"/>
  <c r="CE2" i="7"/>
  <c r="BZ2" i="7"/>
  <c r="BO2" i="7"/>
  <c r="AF2" i="7"/>
  <c r="GE2" i="7"/>
  <c r="BL2" i="7"/>
  <c r="CK2" i="7"/>
  <c r="CF2" i="7"/>
  <c r="BU2" i="7"/>
  <c r="AX2" i="7"/>
  <c r="GK2" i="7"/>
  <c r="FN2" i="7"/>
  <c r="EN2" i="7"/>
  <c r="BX2" i="7"/>
  <c r="CW2" i="7"/>
  <c r="CR2" i="7"/>
  <c r="CG2" i="7"/>
  <c r="CH2" i="7"/>
  <c r="O2" i="7"/>
  <c r="AU2" i="7"/>
  <c r="ES2" i="7"/>
  <c r="DH2" i="7"/>
  <c r="EH2" i="7"/>
  <c r="EY2" i="7"/>
  <c r="FW2" i="7"/>
  <c r="BG2" i="7"/>
  <c r="FG2" i="7"/>
  <c r="DZ2" i="7"/>
  <c r="EP2" i="7"/>
  <c r="FL2" i="7"/>
  <c r="CO2" i="7"/>
  <c r="CQ2" i="7"/>
  <c r="FM2" i="7"/>
  <c r="EG2" i="7"/>
  <c r="EW2" i="7"/>
  <c r="FR2" i="7"/>
  <c r="EQ2" i="7"/>
  <c r="X2" i="7"/>
  <c r="GQ2" i="7"/>
  <c r="EV2" i="7"/>
  <c r="FD2" i="7"/>
  <c r="FX2" i="7"/>
  <c r="GC2" i="7"/>
  <c r="AP2" i="7"/>
  <c r="AG2" i="7"/>
  <c r="FC2" i="7"/>
  <c r="FV2" i="7"/>
  <c r="GD2" i="7"/>
  <c r="DA2" i="7"/>
  <c r="BB2" i="7"/>
  <c r="CI2" i="7"/>
  <c r="FI2" i="7"/>
  <c r="GH2" i="7"/>
  <c r="GJ2" i="7"/>
  <c r="EX2" i="7"/>
  <c r="CL2" i="7"/>
  <c r="DR2" i="7"/>
  <c r="FO2" i="7"/>
  <c r="GN2" i="7"/>
  <c r="GP2" i="7"/>
  <c r="GI2" i="7"/>
  <c r="DP2" i="7"/>
  <c r="EF2" i="7"/>
  <c r="GA2" i="7"/>
  <c r="AA2" i="7"/>
  <c r="AR2" i="7"/>
  <c r="Z2" i="7"/>
  <c r="AE2" i="7"/>
  <c r="EM2" i="7"/>
  <c r="GS2" i="7"/>
  <c r="AS2" i="7"/>
  <c r="DU2" i="7"/>
  <c r="DM2" i="7"/>
  <c r="AQ2" i="7"/>
  <c r="FH2" i="7"/>
  <c r="AM2" i="7"/>
  <c r="BK2" i="7"/>
  <c r="FK2" i="7"/>
  <c r="FE2" i="7"/>
  <c r="CA2" i="7"/>
  <c r="FT2" i="7"/>
  <c r="BE2" i="7"/>
  <c r="CC2" i="7"/>
  <c r="GU2" i="7"/>
  <c r="GO2" i="7"/>
  <c r="DE2" i="7"/>
  <c r="FZ2" i="7"/>
  <c r="CN2" i="7"/>
  <c r="CP2" i="7"/>
  <c r="BJ2" i="7"/>
  <c r="V2" i="7"/>
  <c r="DW2" i="7"/>
  <c r="GF2" i="7"/>
  <c r="CZ2" i="7"/>
  <c r="DB2" i="7"/>
  <c r="EB2" i="7"/>
  <c r="AH2" i="7"/>
  <c r="EI2" i="7"/>
  <c r="T2" i="7"/>
  <c r="DL2" i="7"/>
  <c r="DN2" i="7"/>
  <c r="FQ2" i="7"/>
  <c r="BR2" i="7"/>
  <c r="BP2" i="7"/>
  <c r="BV2" i="7"/>
  <c r="DT2" i="7"/>
  <c r="DV2" i="7"/>
  <c r="CB2" i="7"/>
  <c r="AC2" i="7"/>
  <c r="DX2" i="7"/>
  <c r="CV2" i="7"/>
  <c r="EA2" i="7"/>
  <c r="ED2" i="7"/>
  <c r="EJ2" i="7"/>
  <c r="I3" i="7"/>
  <c r="I39" i="7"/>
  <c r="FU39" i="7"/>
  <c r="DH39" i="7"/>
  <c r="AU39" i="7"/>
  <c r="FQ39" i="7"/>
  <c r="DD39" i="7"/>
  <c r="BG39" i="7"/>
  <c r="GS39" i="7"/>
  <c r="EF39" i="7"/>
  <c r="BS39" i="7"/>
  <c r="GL39" i="7"/>
  <c r="CU39" i="7"/>
  <c r="AZ39" i="7"/>
  <c r="FE39" i="7"/>
  <c r="CR39" i="7"/>
  <c r="AE39" i="7"/>
  <c r="FA39" i="7"/>
  <c r="CN39" i="7"/>
  <c r="EO39" i="7"/>
  <c r="CB39" i="7"/>
  <c r="O39" i="7"/>
  <c r="EK39" i="7"/>
  <c r="BX39" i="7"/>
  <c r="AA39" i="7"/>
  <c r="FM39" i="7"/>
  <c r="CZ39" i="7"/>
  <c r="AM39" i="7"/>
  <c r="FF39" i="7"/>
  <c r="CG39" i="7"/>
  <c r="AY39" i="7"/>
  <c r="DY39" i="7"/>
  <c r="BL39" i="7"/>
  <c r="DI39" i="7"/>
  <c r="AV39" i="7"/>
  <c r="FR39" i="7"/>
  <c r="DE39" i="7"/>
  <c r="AR39" i="7"/>
  <c r="GT39" i="7"/>
  <c r="EG39" i="7"/>
  <c r="BT39" i="7"/>
  <c r="GP39" i="7"/>
  <c r="DZ39" i="7"/>
  <c r="CF39" i="7"/>
  <c r="AK39" i="7"/>
  <c r="CS39" i="7"/>
  <c r="AF39" i="7"/>
  <c r="FB39" i="7"/>
  <c r="CO39" i="7"/>
  <c r="AB39" i="7"/>
  <c r="GD39" i="7"/>
  <c r="DQ39" i="7"/>
  <c r="BD39" i="7"/>
  <c r="FZ39" i="7"/>
  <c r="DJ39" i="7"/>
  <c r="FH39" i="7"/>
  <c r="DM39" i="7"/>
  <c r="CC39" i="7"/>
  <c r="P39" i="7"/>
  <c r="EL39" i="7"/>
  <c r="BY39" i="7"/>
  <c r="BM39" i="7"/>
  <c r="GI39" i="7"/>
  <c r="DV39" i="7"/>
  <c r="BI39" i="7"/>
  <c r="GU39" i="7"/>
  <c r="EX39" i="7"/>
  <c r="CK39" i="7"/>
  <c r="X39" i="7"/>
  <c r="ET39" i="7"/>
  <c r="CD39" i="7"/>
  <c r="FG39" i="7"/>
  <c r="GO39" i="7"/>
  <c r="AW39" i="7"/>
  <c r="FS39" i="7"/>
  <c r="DF39" i="7"/>
  <c r="AS39" i="7"/>
  <c r="GE39" i="7"/>
  <c r="EH39" i="7"/>
  <c r="BU39" i="7"/>
  <c r="GQ39" i="7"/>
  <c r="ED39" i="7"/>
  <c r="BN39" i="7"/>
  <c r="BQ39" i="7"/>
  <c r="DL39" i="7"/>
  <c r="AG39" i="7"/>
  <c r="FC39" i="7"/>
  <c r="CP39" i="7"/>
  <c r="Q39" i="7"/>
  <c r="EM39" i="7"/>
  <c r="BZ39" i="7"/>
  <c r="M39" i="7"/>
  <c r="EY39" i="7"/>
  <c r="DB39" i="7"/>
  <c r="AO39" i="7"/>
  <c r="FK39" i="7"/>
  <c r="CX39" i="7"/>
  <c r="AH39" i="7"/>
  <c r="BP39" i="7"/>
  <c r="GM39" i="7"/>
  <c r="GJ39" i="7"/>
  <c r="DW39" i="7"/>
  <c r="BJ39" i="7"/>
  <c r="GF39" i="7"/>
  <c r="EI39" i="7"/>
  <c r="CL39" i="7"/>
  <c r="Y39" i="7"/>
  <c r="EU39" i="7"/>
  <c r="CH39" i="7"/>
  <c r="R39" i="7"/>
  <c r="ER39" i="7"/>
  <c r="CW39" i="7"/>
  <c r="FT39" i="7"/>
  <c r="DG39" i="7"/>
  <c r="AT39" i="7"/>
  <c r="FP39" i="7"/>
  <c r="DS39" i="7"/>
  <c r="BV39" i="7"/>
  <c r="GR39" i="7"/>
  <c r="EE39" i="7"/>
  <c r="BR39" i="7"/>
  <c r="FY39" i="7"/>
  <c r="BO39" i="7"/>
  <c r="GN39" i="7"/>
  <c r="J3" i="7"/>
  <c r="FD39" i="7"/>
  <c r="CQ39" i="7"/>
  <c r="AD39" i="7"/>
  <c r="EZ39" i="7"/>
  <c r="DC39" i="7"/>
  <c r="BF39" i="7"/>
  <c r="GB39" i="7"/>
  <c r="DO39" i="7"/>
  <c r="BB39" i="7"/>
  <c r="CV39" i="7"/>
  <c r="EQ39" i="7"/>
  <c r="DK39" i="7"/>
  <c r="J39" i="7"/>
  <c r="EN39" i="7"/>
  <c r="CA39" i="7"/>
  <c r="N39" i="7"/>
  <c r="EJ39" i="7"/>
  <c r="CM39" i="7"/>
  <c r="AP39" i="7"/>
  <c r="FL39" i="7"/>
  <c r="CY39" i="7"/>
  <c r="AL39" i="7"/>
  <c r="S39" i="7"/>
  <c r="BA39" i="7"/>
  <c r="U39" i="7"/>
  <c r="GK39" i="7"/>
  <c r="DX39" i="7"/>
  <c r="BK39" i="7"/>
  <c r="GG39" i="7"/>
  <c r="DT39" i="7"/>
  <c r="BW39" i="7"/>
  <c r="Z39" i="7"/>
  <c r="EV39" i="7"/>
  <c r="CI39" i="7"/>
  <c r="V39" i="7"/>
  <c r="FX39" i="7"/>
  <c r="EC39" i="7"/>
  <c r="T39" i="7"/>
  <c r="FN39" i="7"/>
  <c r="CT39" i="7"/>
  <c r="DR39" i="7"/>
  <c r="AX39" i="7"/>
  <c r="GC39" i="7"/>
  <c r="FW39" i="7"/>
  <c r="EW39" i="7"/>
  <c r="FI39" i="7"/>
  <c r="DA39" i="7"/>
  <c r="CE39" i="7"/>
  <c r="BE39" i="7"/>
  <c r="ES39" i="7"/>
  <c r="DP39" i="7"/>
  <c r="EB39" i="7"/>
  <c r="CJ39" i="7"/>
  <c r="EA39" i="7"/>
  <c r="GH39" i="7"/>
  <c r="AN39" i="7"/>
  <c r="AJ39" i="7"/>
  <c r="DU39" i="7"/>
  <c r="GA39" i="7"/>
  <c r="AI39" i="7"/>
  <c r="AC39" i="7"/>
  <c r="BC39" i="7"/>
  <c r="BH39" i="7"/>
  <c r="W39" i="7"/>
  <c r="L39" i="7"/>
  <c r="FJ39" i="7"/>
  <c r="FO39" i="7"/>
  <c r="DN39" i="7"/>
  <c r="K39" i="7"/>
  <c r="EP39" i="7"/>
  <c r="AQ39" i="7"/>
  <c r="FV39" i="7"/>
  <c r="BQ3" i="7"/>
  <c r="FI3" i="7"/>
  <c r="BR3" i="7"/>
  <c r="FJ3" i="7"/>
  <c r="BM3" i="7"/>
  <c r="FE3" i="7"/>
  <c r="BH3" i="7"/>
  <c r="EZ3" i="7"/>
  <c r="BI3" i="7"/>
  <c r="FA3" i="7"/>
  <c r="BJ3" i="7"/>
  <c r="FB3" i="7"/>
  <c r="BW3" i="7"/>
  <c r="FO3" i="7"/>
  <c r="BX3" i="7"/>
  <c r="FP3" i="7"/>
  <c r="BS3" i="7"/>
  <c r="FK3" i="7"/>
  <c r="BN3" i="7"/>
  <c r="FF3" i="7"/>
  <c r="BO3" i="7"/>
  <c r="FG3" i="7"/>
  <c r="BP3" i="7"/>
  <c r="FH3" i="7"/>
  <c r="CC3" i="7"/>
  <c r="FU3" i="7"/>
  <c r="CD3" i="7"/>
  <c r="FV3" i="7"/>
  <c r="BY3" i="7"/>
  <c r="FQ3" i="7"/>
  <c r="BT3" i="7"/>
  <c r="FL3" i="7"/>
  <c r="BU3" i="7"/>
  <c r="FM3" i="7"/>
  <c r="BV3" i="7"/>
  <c r="FN3" i="7"/>
  <c r="CI3" i="7"/>
  <c r="GA3" i="7"/>
  <c r="CJ3" i="7"/>
  <c r="GB3" i="7"/>
  <c r="CE3" i="7"/>
  <c r="FW3" i="7"/>
  <c r="BZ3" i="7"/>
  <c r="FR3" i="7"/>
  <c r="CA3" i="7"/>
  <c r="CO3" i="7"/>
  <c r="GG3" i="7"/>
  <c r="CP3" i="7"/>
  <c r="GH3" i="7"/>
  <c r="CK3" i="7"/>
  <c r="GC3" i="7"/>
  <c r="CF3" i="7"/>
  <c r="FX3" i="7"/>
  <c r="CG3" i="7"/>
  <c r="FY3" i="7"/>
  <c r="CH3" i="7"/>
  <c r="FZ3" i="7"/>
  <c r="CU3" i="7"/>
  <c r="GM3" i="7"/>
  <c r="CV3" i="7"/>
  <c r="GN3" i="7"/>
  <c r="CQ3" i="7"/>
  <c r="GI3" i="7"/>
  <c r="CL3" i="7"/>
  <c r="GD3" i="7"/>
  <c r="CM3" i="7"/>
  <c r="GE3" i="7"/>
  <c r="CN3" i="7"/>
  <c r="GF3" i="7"/>
  <c r="DA3" i="7"/>
  <c r="GS3" i="7"/>
  <c r="DB3" i="7"/>
  <c r="GT3" i="7"/>
  <c r="CW3" i="7"/>
  <c r="GO3" i="7"/>
  <c r="CR3" i="7"/>
  <c r="GJ3" i="7"/>
  <c r="CS3" i="7"/>
  <c r="GK3" i="7"/>
  <c r="CT3" i="7"/>
  <c r="GL3" i="7"/>
  <c r="O3" i="7"/>
  <c r="DG3" i="7"/>
  <c r="P3" i="7"/>
  <c r="DH3" i="7"/>
  <c r="K3" i="7"/>
  <c r="DC3" i="7"/>
  <c r="GU3" i="7"/>
  <c r="CX3" i="7"/>
  <c r="GP3" i="7"/>
  <c r="CY3" i="7"/>
  <c r="GQ3" i="7"/>
  <c r="CZ3" i="7"/>
  <c r="GR3" i="7"/>
  <c r="U3" i="7"/>
  <c r="DM3" i="7"/>
  <c r="V3" i="7"/>
  <c r="DN3" i="7"/>
  <c r="Q3" i="7"/>
  <c r="DI3" i="7"/>
  <c r="L3" i="7"/>
  <c r="AA3" i="7"/>
  <c r="DS3" i="7"/>
  <c r="AB3" i="7"/>
  <c r="DT3" i="7"/>
  <c r="W3" i="7"/>
  <c r="DO3" i="7"/>
  <c r="R3" i="7"/>
  <c r="DJ3" i="7"/>
  <c r="S3" i="7"/>
  <c r="DK3" i="7"/>
  <c r="T3" i="7"/>
  <c r="DL3" i="7"/>
  <c r="AG3" i="7"/>
  <c r="DY3" i="7"/>
  <c r="AH3" i="7"/>
  <c r="DZ3" i="7"/>
  <c r="AC3" i="7"/>
  <c r="DU3" i="7"/>
  <c r="X3" i="7"/>
  <c r="DP3" i="7"/>
  <c r="Y3" i="7"/>
  <c r="DQ3" i="7"/>
  <c r="Z3" i="7"/>
  <c r="DR3" i="7"/>
  <c r="AM3" i="7"/>
  <c r="EE3" i="7"/>
  <c r="AN3" i="7"/>
  <c r="EF3" i="7"/>
  <c r="AI3" i="7"/>
  <c r="EA3" i="7"/>
  <c r="AD3" i="7"/>
  <c r="DV3" i="7"/>
  <c r="AE3" i="7"/>
  <c r="DW3" i="7"/>
  <c r="AF3" i="7"/>
  <c r="DX3" i="7"/>
  <c r="AS3" i="7"/>
  <c r="EK3" i="7"/>
  <c r="AT3" i="7"/>
  <c r="EL3" i="7"/>
  <c r="AO3" i="7"/>
  <c r="EG3" i="7"/>
  <c r="AJ3" i="7"/>
  <c r="EB3" i="7"/>
  <c r="AK3" i="7"/>
  <c r="EC3" i="7"/>
  <c r="AL3" i="7"/>
  <c r="ED3" i="7"/>
  <c r="AY3" i="7"/>
  <c r="EQ3" i="7"/>
  <c r="AZ3" i="7"/>
  <c r="ER3" i="7"/>
  <c r="AU3" i="7"/>
  <c r="EM3" i="7"/>
  <c r="AP3" i="7"/>
  <c r="EH3" i="7"/>
  <c r="AQ3" i="7"/>
  <c r="EI3" i="7"/>
  <c r="AR3" i="7"/>
  <c r="EJ3" i="7"/>
  <c r="BE3" i="7"/>
  <c r="EW3" i="7"/>
  <c r="BF3" i="7"/>
  <c r="EX3" i="7"/>
  <c r="BA3" i="7"/>
  <c r="ES3" i="7"/>
  <c r="AV3" i="7"/>
  <c r="EN3" i="7"/>
  <c r="AW3" i="7"/>
  <c r="EO3" i="7"/>
  <c r="AX3" i="7"/>
  <c r="EP3" i="7"/>
  <c r="BK3" i="7"/>
  <c r="FC3" i="7"/>
  <c r="BL3" i="7"/>
  <c r="FD3" i="7"/>
  <c r="BG3" i="7"/>
  <c r="EY3" i="7"/>
  <c r="BB3" i="7"/>
  <c r="ET3" i="7"/>
  <c r="BC3" i="7"/>
  <c r="EU3" i="7"/>
  <c r="BD3" i="7"/>
  <c r="EV3" i="7"/>
  <c r="DD3" i="7"/>
  <c r="M3" i="7"/>
  <c r="DE3" i="7"/>
  <c r="FS3" i="7"/>
  <c r="N3" i="7"/>
  <c r="CB3" i="7"/>
  <c r="DF3" i="7"/>
  <c r="FT3" i="7"/>
  <c r="H60" i="7"/>
  <c r="H21" i="7"/>
  <c r="DI60" i="7"/>
  <c r="CA60" i="7"/>
  <c r="AS60" i="7"/>
  <c r="K60" i="7"/>
  <c r="CJ60" i="7"/>
  <c r="CV60" i="7"/>
  <c r="BC60" i="7"/>
  <c r="CS60" i="7"/>
  <c r="BK60" i="7"/>
  <c r="AC60" i="7"/>
  <c r="DB60" i="7"/>
  <c r="BT60" i="7"/>
  <c r="AJ60" i="7"/>
  <c r="BB60" i="7"/>
  <c r="CC60" i="7"/>
  <c r="AU60" i="7"/>
  <c r="M60" i="7"/>
  <c r="CL60" i="7"/>
  <c r="BD60" i="7"/>
  <c r="CU60" i="7"/>
  <c r="AZ60" i="7"/>
  <c r="BM60" i="7"/>
  <c r="AE60" i="7"/>
  <c r="DD60" i="7"/>
  <c r="BV60" i="7"/>
  <c r="AN60" i="7"/>
  <c r="AI60" i="7"/>
  <c r="AY60" i="7"/>
  <c r="AW60" i="7"/>
  <c r="O60" i="7"/>
  <c r="CN60" i="7"/>
  <c r="BF60" i="7"/>
  <c r="X60" i="7"/>
  <c r="CI60" i="7"/>
  <c r="DN60" i="7"/>
  <c r="AG60" i="7"/>
  <c r="DF60" i="7"/>
  <c r="BX60" i="7"/>
  <c r="AP60" i="7"/>
  <c r="DM60" i="7"/>
  <c r="W60" i="7"/>
  <c r="DL60" i="7"/>
  <c r="Q60" i="7"/>
  <c r="CP60" i="7"/>
  <c r="BH60" i="7"/>
  <c r="Z60" i="7"/>
  <c r="CW60" i="7"/>
  <c r="CH60" i="7"/>
  <c r="DK60" i="7"/>
  <c r="DH60" i="7"/>
  <c r="BZ60" i="7"/>
  <c r="AR60" i="7"/>
  <c r="J60" i="7"/>
  <c r="CG60" i="7"/>
  <c r="V60" i="7"/>
  <c r="CR60" i="7"/>
  <c r="BJ60" i="7"/>
  <c r="AB60" i="7"/>
  <c r="DA60" i="7"/>
  <c r="BQ60" i="7"/>
  <c r="CF60" i="7"/>
  <c r="DJ60" i="7"/>
  <c r="CB60" i="7"/>
  <c r="AT60" i="7"/>
  <c r="L60" i="7"/>
  <c r="CK60" i="7"/>
  <c r="BA60" i="7"/>
  <c r="T60" i="7"/>
  <c r="CT60" i="7"/>
  <c r="BL60" i="7"/>
  <c r="AD60" i="7"/>
  <c r="DC60" i="7"/>
  <c r="BU60" i="7"/>
  <c r="AK60" i="7"/>
  <c r="CE60" i="7"/>
  <c r="CD60" i="7"/>
  <c r="AV60" i="7"/>
  <c r="N60" i="7"/>
  <c r="CM60" i="7"/>
  <c r="BE60" i="7"/>
  <c r="U60" i="7"/>
  <c r="S60" i="7"/>
  <c r="BN60" i="7"/>
  <c r="AF60" i="7"/>
  <c r="DE60" i="7"/>
  <c r="BW60" i="7"/>
  <c r="AO60" i="7"/>
  <c r="CY60" i="7"/>
  <c r="BS60" i="7"/>
  <c r="AX60" i="7"/>
  <c r="P60" i="7"/>
  <c r="CO60" i="7"/>
  <c r="BG60" i="7"/>
  <c r="Y60" i="7"/>
  <c r="AM60" i="7"/>
  <c r="BR60" i="7"/>
  <c r="AH60" i="7"/>
  <c r="DG60" i="7"/>
  <c r="BY60" i="7"/>
  <c r="AQ60" i="7"/>
  <c r="I60" i="7"/>
  <c r="CX60" i="7"/>
  <c r="BP60" i="7"/>
  <c r="R60" i="7"/>
  <c r="CQ60" i="7"/>
  <c r="BI60" i="7"/>
  <c r="AA60" i="7"/>
  <c r="CZ60" i="7"/>
  <c r="AL60" i="7"/>
  <c r="BO60" i="7"/>
  <c r="GE60" i="7"/>
  <c r="DQ60" i="7"/>
  <c r="ET60" i="7"/>
  <c r="EA60" i="7"/>
  <c r="GI60" i="7"/>
  <c r="FO60" i="7"/>
  <c r="GR60" i="7"/>
  <c r="ED60" i="7"/>
  <c r="GL60" i="7"/>
  <c r="FS60" i="7"/>
  <c r="EY60" i="7"/>
  <c r="GB60" i="7"/>
  <c r="GO60" i="7"/>
  <c r="FV60" i="7"/>
  <c r="FC60" i="7"/>
  <c r="EI60" i="7"/>
  <c r="FL60" i="7"/>
  <c r="FY60" i="7"/>
  <c r="FF60" i="7"/>
  <c r="EM60" i="7"/>
  <c r="DS60" i="7"/>
  <c r="EV60" i="7"/>
  <c r="FI60" i="7"/>
  <c r="EP60" i="7"/>
  <c r="DW60" i="7"/>
  <c r="GG60" i="7"/>
  <c r="GT60" i="7"/>
  <c r="EF60" i="7"/>
  <c r="ES60" i="7"/>
  <c r="DZ60" i="7"/>
  <c r="GH60" i="7"/>
  <c r="FQ60" i="7"/>
  <c r="GD60" i="7"/>
  <c r="DP60" i="7"/>
  <c r="EC60" i="7"/>
  <c r="GK60" i="7"/>
  <c r="FR60" i="7"/>
  <c r="FA60" i="7"/>
  <c r="FN60" i="7"/>
  <c r="GQ60" i="7"/>
  <c r="GN60" i="7"/>
  <c r="FU60" i="7"/>
  <c r="FB60" i="7"/>
  <c r="EK60" i="7"/>
  <c r="EX60" i="7"/>
  <c r="GA60" i="7"/>
  <c r="FX60" i="7"/>
  <c r="FE60" i="7"/>
  <c r="EL60" i="7"/>
  <c r="DU60" i="7"/>
  <c r="EH60" i="7"/>
  <c r="FK60" i="7"/>
  <c r="FH60" i="7"/>
  <c r="EO60" i="7"/>
  <c r="DV60" i="7"/>
  <c r="GF60" i="7"/>
  <c r="DR60" i="7"/>
  <c r="EU60" i="7"/>
  <c r="ER60" i="7"/>
  <c r="DY60" i="7"/>
  <c r="FP60" i="7"/>
  <c r="GS60" i="7"/>
  <c r="EE60" i="7"/>
  <c r="EB60" i="7"/>
  <c r="GJ60" i="7"/>
  <c r="EZ60" i="7"/>
  <c r="GC60" i="7"/>
  <c r="DO60" i="7"/>
  <c r="GM60" i="7"/>
  <c r="FT60" i="7"/>
  <c r="EJ60" i="7"/>
  <c r="FM60" i="7"/>
  <c r="GP60" i="7"/>
  <c r="FW60" i="7"/>
  <c r="FD60" i="7"/>
  <c r="GU60" i="7"/>
  <c r="EG60" i="7"/>
  <c r="FJ60" i="7"/>
  <c r="EQ60" i="7"/>
  <c r="DX60" i="7"/>
  <c r="FG60" i="7"/>
  <c r="EN60" i="7"/>
  <c r="DT60" i="7"/>
  <c r="EW60" i="7"/>
  <c r="FZ60" i="7"/>
  <c r="U21" i="7"/>
  <c r="J21" i="7"/>
  <c r="P21" i="7"/>
  <c r="V21" i="7"/>
  <c r="W21" i="7"/>
  <c r="K21" i="7"/>
  <c r="L21" i="7"/>
  <c r="Q21" i="7"/>
  <c r="R21" i="7"/>
  <c r="X21" i="7"/>
  <c r="M21" i="7"/>
  <c r="S21" i="7"/>
  <c r="Y21" i="7"/>
  <c r="N21" i="7"/>
  <c r="T21" i="7"/>
  <c r="I21" i="7"/>
  <c r="O21" i="7"/>
  <c r="CE21" i="7"/>
  <c r="FW21" i="7"/>
  <c r="CR21" i="7"/>
  <c r="GJ21" i="7"/>
  <c r="DK21" i="7"/>
  <c r="AF21" i="7"/>
  <c r="DX21" i="7"/>
  <c r="AS21" i="7"/>
  <c r="EK21" i="7"/>
  <c r="BF21" i="7"/>
  <c r="EX21" i="7"/>
  <c r="CK21" i="7"/>
  <c r="GC21" i="7"/>
  <c r="CX21" i="7"/>
  <c r="GP21" i="7"/>
  <c r="DQ21" i="7"/>
  <c r="AL21" i="7"/>
  <c r="ED21" i="7"/>
  <c r="AY21" i="7"/>
  <c r="EQ21" i="7"/>
  <c r="BL21" i="7"/>
  <c r="FD21" i="7"/>
  <c r="CQ21" i="7"/>
  <c r="GI21" i="7"/>
  <c r="DD21" i="7"/>
  <c r="AE21" i="7"/>
  <c r="DW21" i="7"/>
  <c r="AR21" i="7"/>
  <c r="EJ21" i="7"/>
  <c r="BE21" i="7"/>
  <c r="EW21" i="7"/>
  <c r="BR21" i="7"/>
  <c r="FJ21" i="7"/>
  <c r="CW21" i="7"/>
  <c r="GO21" i="7"/>
  <c r="DJ21" i="7"/>
  <c r="AK21" i="7"/>
  <c r="EC21" i="7"/>
  <c r="AX21" i="7"/>
  <c r="EP21" i="7"/>
  <c r="BK21" i="7"/>
  <c r="FC21" i="7"/>
  <c r="BX21" i="7"/>
  <c r="FP21" i="7"/>
  <c r="DC21" i="7"/>
  <c r="GU21" i="7"/>
  <c r="DP21" i="7"/>
  <c r="AQ21" i="7"/>
  <c r="EI21" i="7"/>
  <c r="BD21" i="7"/>
  <c r="EV21" i="7"/>
  <c r="BQ21" i="7"/>
  <c r="FI21" i="7"/>
  <c r="CD21" i="7"/>
  <c r="FV21" i="7"/>
  <c r="DI21" i="7"/>
  <c r="AD21" i="7"/>
  <c r="DV21" i="7"/>
  <c r="AW21" i="7"/>
  <c r="EO21" i="7"/>
  <c r="BJ21" i="7"/>
  <c r="FB21" i="7"/>
  <c r="BW21" i="7"/>
  <c r="FO21" i="7"/>
  <c r="CJ21" i="7"/>
  <c r="GB21" i="7"/>
  <c r="DO21" i="7"/>
  <c r="AJ21" i="7"/>
  <c r="EB21" i="7"/>
  <c r="BC21" i="7"/>
  <c r="EU21" i="7"/>
  <c r="BP21" i="7"/>
  <c r="FH21" i="7"/>
  <c r="CC21" i="7"/>
  <c r="FU21" i="7"/>
  <c r="CP21" i="7"/>
  <c r="GH21" i="7"/>
  <c r="AC21" i="7"/>
  <c r="DU21" i="7"/>
  <c r="AP21" i="7"/>
  <c r="EH21" i="7"/>
  <c r="BI21" i="7"/>
  <c r="FA21" i="7"/>
  <c r="BV21" i="7"/>
  <c r="FN21" i="7"/>
  <c r="CI21" i="7"/>
  <c r="GA21" i="7"/>
  <c r="CV21" i="7"/>
  <c r="GN21" i="7"/>
  <c r="AI21" i="7"/>
  <c r="EA21" i="7"/>
  <c r="AV21" i="7"/>
  <c r="EN21" i="7"/>
  <c r="BO21" i="7"/>
  <c r="FG21" i="7"/>
  <c r="CB21" i="7"/>
  <c r="FT21" i="7"/>
  <c r="CO21" i="7"/>
  <c r="GG21" i="7"/>
  <c r="DB21" i="7"/>
  <c r="GT21" i="7"/>
  <c r="AO21" i="7"/>
  <c r="EG21" i="7"/>
  <c r="BB21" i="7"/>
  <c r="ET21" i="7"/>
  <c r="BU21" i="7"/>
  <c r="FM21" i="7"/>
  <c r="CH21" i="7"/>
  <c r="FZ21" i="7"/>
  <c r="CU21" i="7"/>
  <c r="GM21" i="7"/>
  <c r="DH21" i="7"/>
  <c r="AU21" i="7"/>
  <c r="EM21" i="7"/>
  <c r="BH21" i="7"/>
  <c r="EZ21" i="7"/>
  <c r="CA21" i="7"/>
  <c r="FS21" i="7"/>
  <c r="CN21" i="7"/>
  <c r="GF21" i="7"/>
  <c r="DA21" i="7"/>
  <c r="GS21" i="7"/>
  <c r="DN21" i="7"/>
  <c r="BA21" i="7"/>
  <c r="ES21" i="7"/>
  <c r="BN21" i="7"/>
  <c r="FF21" i="7"/>
  <c r="CG21" i="7"/>
  <c r="FY21" i="7"/>
  <c r="CT21" i="7"/>
  <c r="GL21" i="7"/>
  <c r="DG21" i="7"/>
  <c r="AB21" i="7"/>
  <c r="DT21" i="7"/>
  <c r="BG21" i="7"/>
  <c r="EY21" i="7"/>
  <c r="BT21" i="7"/>
  <c r="FL21" i="7"/>
  <c r="CM21" i="7"/>
  <c r="GE21" i="7"/>
  <c r="CZ21" i="7"/>
  <c r="GR21" i="7"/>
  <c r="DM21" i="7"/>
  <c r="AH21" i="7"/>
  <c r="DZ21" i="7"/>
  <c r="BM21" i="7"/>
  <c r="FE21" i="7"/>
  <c r="BZ21" i="7"/>
  <c r="FR21" i="7"/>
  <c r="CS21" i="7"/>
  <c r="GK21" i="7"/>
  <c r="DF21" i="7"/>
  <c r="AA21" i="7"/>
  <c r="DS21" i="7"/>
  <c r="AN21" i="7"/>
  <c r="EF21" i="7"/>
  <c r="BS21" i="7"/>
  <c r="FK21" i="7"/>
  <c r="CF21" i="7"/>
  <c r="FX21" i="7"/>
  <c r="CY21" i="7"/>
  <c r="GQ21" i="7"/>
  <c r="DL21" i="7"/>
  <c r="AG21" i="7"/>
  <c r="DY21" i="7"/>
  <c r="AT21" i="7"/>
  <c r="EL21" i="7"/>
  <c r="BY21" i="7"/>
  <c r="FQ21" i="7"/>
  <c r="CL21" i="7"/>
  <c r="GD21" i="7"/>
  <c r="DE21" i="7"/>
  <c r="Z21" i="7"/>
  <c r="DR21" i="7"/>
  <c r="AM21" i="7"/>
  <c r="EE21" i="7"/>
  <c r="AZ21" i="7"/>
  <c r="ER21" i="7"/>
  <c r="J7" i="7"/>
  <c r="J44" i="7"/>
  <c r="L44" i="7"/>
  <c r="K44" i="7"/>
  <c r="AO44" i="7"/>
  <c r="FK44" i="7"/>
  <c r="CX44" i="7"/>
  <c r="AK44" i="7"/>
  <c r="FG44" i="7"/>
  <c r="AG44" i="7"/>
  <c r="DG44" i="7"/>
  <c r="EX44" i="7"/>
  <c r="CM44" i="7"/>
  <c r="DT44" i="7"/>
  <c r="AI44" i="7"/>
  <c r="DB44" i="7"/>
  <c r="Y44" i="7"/>
  <c r="EU44" i="7"/>
  <c r="CH44" i="7"/>
  <c r="U44" i="7"/>
  <c r="EQ44" i="7"/>
  <c r="Q44" i="7"/>
  <c r="CQ44" i="7"/>
  <c r="EH44" i="7"/>
  <c r="AV44" i="7"/>
  <c r="BY44" i="7"/>
  <c r="FQ44" i="7"/>
  <c r="BH44" i="7"/>
  <c r="GR44" i="7"/>
  <c r="EE44" i="7"/>
  <c r="BR44" i="7"/>
  <c r="GN44" i="7"/>
  <c r="GL44" i="7"/>
  <c r="GJ44" i="7"/>
  <c r="CA44" i="7"/>
  <c r="DR44" i="7"/>
  <c r="S44" i="7"/>
  <c r="AR44" i="7"/>
  <c r="DE44" i="7"/>
  <c r="AD44" i="7"/>
  <c r="GB44" i="7"/>
  <c r="DO44" i="7"/>
  <c r="BB44" i="7"/>
  <c r="FX44" i="7"/>
  <c r="FV44" i="7"/>
  <c r="FT44" i="7"/>
  <c r="BK44" i="7"/>
  <c r="EY44" i="7"/>
  <c r="EA44" i="7"/>
  <c r="N44" i="7"/>
  <c r="BO44" i="7"/>
  <c r="CU44" i="7"/>
  <c r="FL44" i="7"/>
  <c r="CY44" i="7"/>
  <c r="AL44" i="7"/>
  <c r="FH44" i="7"/>
  <c r="FF44" i="7"/>
  <c r="FD44" i="7"/>
  <c r="GH44" i="7"/>
  <c r="CT44" i="7"/>
  <c r="CL44" i="7"/>
  <c r="GG44" i="7"/>
  <c r="AH44" i="7"/>
  <c r="AC44" i="7"/>
  <c r="EV44" i="7"/>
  <c r="CI44" i="7"/>
  <c r="V44" i="7"/>
  <c r="ER44" i="7"/>
  <c r="EP44" i="7"/>
  <c r="EN44" i="7"/>
  <c r="FR44" i="7"/>
  <c r="BF44" i="7"/>
  <c r="AU44" i="7"/>
  <c r="DS44" i="7"/>
  <c r="FP44" i="7"/>
  <c r="GS44" i="7"/>
  <c r="EF44" i="7"/>
  <c r="BS44" i="7"/>
  <c r="GO44" i="7"/>
  <c r="EB44" i="7"/>
  <c r="GK44" i="7"/>
  <c r="DX44" i="7"/>
  <c r="FB44" i="7"/>
  <c r="AB44" i="7"/>
  <c r="R44" i="7"/>
  <c r="BX44" i="7"/>
  <c r="DD44" i="7"/>
  <c r="GC44" i="7"/>
  <c r="DP44" i="7"/>
  <c r="BC44" i="7"/>
  <c r="FY44" i="7"/>
  <c r="DL44" i="7"/>
  <c r="FU44" i="7"/>
  <c r="DH44" i="7"/>
  <c r="EL44" i="7"/>
  <c r="EK44" i="7"/>
  <c r="DZ44" i="7"/>
  <c r="AQ44" i="7"/>
  <c r="BN44" i="7"/>
  <c r="FM44" i="7"/>
  <c r="CZ44" i="7"/>
  <c r="AM44" i="7"/>
  <c r="FI44" i="7"/>
  <c r="CV44" i="7"/>
  <c r="FE44" i="7"/>
  <c r="CR44" i="7"/>
  <c r="DV44" i="7"/>
  <c r="CO44" i="7"/>
  <c r="CE44" i="7"/>
  <c r="M44" i="7"/>
  <c r="AF44" i="7"/>
  <c r="EW44" i="7"/>
  <c r="CJ44" i="7"/>
  <c r="W44" i="7"/>
  <c r="ES44" i="7"/>
  <c r="CF44" i="7"/>
  <c r="EO44" i="7"/>
  <c r="CB44" i="7"/>
  <c r="DF44" i="7"/>
  <c r="AY44" i="7"/>
  <c r="AT44" i="7"/>
  <c r="GF44" i="7"/>
  <c r="FO44" i="7"/>
  <c r="EG44" i="7"/>
  <c r="BT44" i="7"/>
  <c r="GP44" i="7"/>
  <c r="EC44" i="7"/>
  <c r="BP44" i="7"/>
  <c r="DY44" i="7"/>
  <c r="BL44" i="7"/>
  <c r="CP44" i="7"/>
  <c r="AA44" i="7"/>
  <c r="P44" i="7"/>
  <c r="DK44" i="7"/>
  <c r="DC44" i="7"/>
  <c r="K7" i="7"/>
  <c r="DQ44" i="7"/>
  <c r="BD44" i="7"/>
  <c r="FZ44" i="7"/>
  <c r="DM44" i="7"/>
  <c r="AZ44" i="7"/>
  <c r="DI44" i="7"/>
  <c r="GI44" i="7"/>
  <c r="BZ44" i="7"/>
  <c r="EJ44" i="7"/>
  <c r="DU44" i="7"/>
  <c r="BW44" i="7"/>
  <c r="BI44" i="7"/>
  <c r="AS7" i="7"/>
  <c r="DA44" i="7"/>
  <c r="AN44" i="7"/>
  <c r="FJ44" i="7"/>
  <c r="CW44" i="7"/>
  <c r="AJ44" i="7"/>
  <c r="CS44" i="7"/>
  <c r="FS44" i="7"/>
  <c r="BJ44" i="7"/>
  <c r="CN44" i="7"/>
  <c r="CD44" i="7"/>
  <c r="AP44" i="7"/>
  <c r="AE44" i="7"/>
  <c r="L7" i="7"/>
  <c r="CK44" i="7"/>
  <c r="X44" i="7"/>
  <c r="ET44" i="7"/>
  <c r="CG44" i="7"/>
  <c r="T44" i="7"/>
  <c r="CC44" i="7"/>
  <c r="FC44" i="7"/>
  <c r="GT44" i="7"/>
  <c r="AX44" i="7"/>
  <c r="AS44" i="7"/>
  <c r="GE44" i="7"/>
  <c r="EZ44" i="7"/>
  <c r="BE44" i="7"/>
  <c r="GA44" i="7"/>
  <c r="DN44" i="7"/>
  <c r="BA44" i="7"/>
  <c r="FW44" i="7"/>
  <c r="AW44" i="7"/>
  <c r="DW44" i="7"/>
  <c r="FN44" i="7"/>
  <c r="EI44" i="7"/>
  <c r="GU44" i="7"/>
  <c r="BV44" i="7"/>
  <c r="FA44" i="7"/>
  <c r="BU44" i="7"/>
  <c r="GQ44" i="7"/>
  <c r="ED44" i="7"/>
  <c r="BQ44" i="7"/>
  <c r="GM44" i="7"/>
  <c r="BM44" i="7"/>
  <c r="EM44" i="7"/>
  <c r="GD44" i="7"/>
  <c r="Z44" i="7"/>
  <c r="O44" i="7"/>
  <c r="DJ44" i="7"/>
  <c r="BG44" i="7"/>
  <c r="T7" i="7"/>
  <c r="AQ7" i="7"/>
  <c r="DD7" i="7"/>
  <c r="AD7" i="7"/>
  <c r="DG7" i="7"/>
  <c r="GJ7" i="7"/>
  <c r="CT7" i="7"/>
  <c r="FW7" i="7"/>
  <c r="CG7" i="7"/>
  <c r="FJ7" i="7"/>
  <c r="BT7" i="7"/>
  <c r="EW7" i="7"/>
  <c r="EZ7" i="7"/>
  <c r="P7" i="7"/>
  <c r="BG7" i="7"/>
  <c r="DT7" i="7"/>
  <c r="AT7" i="7"/>
  <c r="DW7" i="7"/>
  <c r="AG7" i="7"/>
  <c r="DJ7" i="7"/>
  <c r="GM7" i="7"/>
  <c r="CW7" i="7"/>
  <c r="FZ7" i="7"/>
  <c r="CJ7" i="7"/>
  <c r="FM7" i="7"/>
  <c r="BM7" i="7"/>
  <c r="V7" i="7"/>
  <c r="BW7" i="7"/>
  <c r="EJ7" i="7"/>
  <c r="BJ7" i="7"/>
  <c r="EM7" i="7"/>
  <c r="AW7" i="7"/>
  <c r="DZ7" i="7"/>
  <c r="AJ7" i="7"/>
  <c r="DM7" i="7"/>
  <c r="GP7" i="7"/>
  <c r="CZ7" i="7"/>
  <c r="GC7" i="7"/>
  <c r="BZ7" i="7"/>
  <c r="O7" i="7"/>
  <c r="CM7" i="7"/>
  <c r="EC7" i="7"/>
  <c r="AM7" i="7"/>
  <c r="DP7" i="7"/>
  <c r="GS7" i="7"/>
  <c r="Q7" i="7"/>
  <c r="DC7" i="7"/>
  <c r="FP7" i="7"/>
  <c r="CP7" i="7"/>
  <c r="FS7" i="7"/>
  <c r="CC7" i="7"/>
  <c r="FF7" i="7"/>
  <c r="BP7" i="7"/>
  <c r="ES7" i="7"/>
  <c r="BC7" i="7"/>
  <c r="EF7" i="7"/>
  <c r="Z7" i="7"/>
  <c r="U7" i="7"/>
  <c r="DS7" i="7"/>
  <c r="GF7" i="7"/>
  <c r="DF7" i="7"/>
  <c r="GI7" i="7"/>
  <c r="CS7" i="7"/>
  <c r="FV7" i="7"/>
  <c r="CF7" i="7"/>
  <c r="FI7" i="7"/>
  <c r="BS7" i="7"/>
  <c r="EV7" i="7"/>
  <c r="AP7" i="7"/>
  <c r="W7" i="7"/>
  <c r="EI7" i="7"/>
  <c r="AC7" i="7"/>
  <c r="DV7" i="7"/>
  <c r="AF7" i="7"/>
  <c r="DI7" i="7"/>
  <c r="GL7" i="7"/>
  <c r="CV7" i="7"/>
  <c r="FY7" i="7"/>
  <c r="CI7" i="7"/>
  <c r="FL7" i="7"/>
  <c r="BF7" i="7"/>
  <c r="EY7" i="7"/>
  <c r="BI7" i="7"/>
  <c r="EL7" i="7"/>
  <c r="AV7" i="7"/>
  <c r="DY7" i="7"/>
  <c r="AI7" i="7"/>
  <c r="DL7" i="7"/>
  <c r="GO7" i="7"/>
  <c r="CY7" i="7"/>
  <c r="GB7" i="7"/>
  <c r="BV7" i="7"/>
  <c r="FO7" i="7"/>
  <c r="BY7" i="7"/>
  <c r="FB7" i="7"/>
  <c r="BL7" i="7"/>
  <c r="EO7" i="7"/>
  <c r="AY7" i="7"/>
  <c r="EB7" i="7"/>
  <c r="AL7" i="7"/>
  <c r="DO7" i="7"/>
  <c r="GR7" i="7"/>
  <c r="CL7" i="7"/>
  <c r="GE7" i="7"/>
  <c r="CO7" i="7"/>
  <c r="FR7" i="7"/>
  <c r="CB7" i="7"/>
  <c r="FE7" i="7"/>
  <c r="BO7" i="7"/>
  <c r="ER7" i="7"/>
  <c r="BB7" i="7"/>
  <c r="EE7" i="7"/>
  <c r="AO7" i="7"/>
  <c r="DB7" i="7"/>
  <c r="R7" i="7"/>
  <c r="GU7" i="7"/>
  <c r="DE7" i="7"/>
  <c r="GH7" i="7"/>
  <c r="CR7" i="7"/>
  <c r="FU7" i="7"/>
  <c r="CE7" i="7"/>
  <c r="FH7" i="7"/>
  <c r="BR7" i="7"/>
  <c r="EU7" i="7"/>
  <c r="BE7" i="7"/>
  <c r="DR7" i="7"/>
  <c r="X7" i="7"/>
  <c r="AB7" i="7"/>
  <c r="DU7" i="7"/>
  <c r="AE7" i="7"/>
  <c r="DH7" i="7"/>
  <c r="GK7" i="7"/>
  <c r="CU7" i="7"/>
  <c r="FX7" i="7"/>
  <c r="CH7" i="7"/>
  <c r="FK7" i="7"/>
  <c r="BU7" i="7"/>
  <c r="EH7" i="7"/>
  <c r="M7" i="7"/>
  <c r="AR7" i="7"/>
  <c r="EK7" i="7"/>
  <c r="AU7" i="7"/>
  <c r="DX7" i="7"/>
  <c r="AH7" i="7"/>
  <c r="DK7" i="7"/>
  <c r="GN7" i="7"/>
  <c r="CX7" i="7"/>
  <c r="GA7" i="7"/>
  <c r="CK7" i="7"/>
  <c r="EX7" i="7"/>
  <c r="S7" i="7"/>
  <c r="BH7" i="7"/>
  <c r="FA7" i="7"/>
  <c r="BK7" i="7"/>
  <c r="EN7" i="7"/>
  <c r="AX7" i="7"/>
  <c r="EA7" i="7"/>
  <c r="AK7" i="7"/>
  <c r="DN7" i="7"/>
  <c r="GQ7" i="7"/>
  <c r="DA7" i="7"/>
  <c r="FN7" i="7"/>
  <c r="FC7" i="7"/>
  <c r="Y7" i="7"/>
  <c r="BX7" i="7"/>
  <c r="FQ7" i="7"/>
  <c r="CA7" i="7"/>
  <c r="FD7" i="7"/>
  <c r="BN7" i="7"/>
  <c r="EQ7" i="7"/>
  <c r="BA7" i="7"/>
  <c r="ED7" i="7"/>
  <c r="AN7" i="7"/>
  <c r="DQ7" i="7"/>
  <c r="GD7" i="7"/>
  <c r="AZ7" i="7"/>
  <c r="N7" i="7"/>
  <c r="AA7" i="7"/>
  <c r="CN7" i="7"/>
  <c r="GG7" i="7"/>
  <c r="CQ7" i="7"/>
  <c r="FT7" i="7"/>
  <c r="CD7" i="7"/>
  <c r="FG7" i="7"/>
  <c r="BQ7" i="7"/>
  <c r="ET7" i="7"/>
  <c r="BD7" i="7"/>
  <c r="EG7" i="7"/>
  <c r="GT7" i="7"/>
  <c r="EP7" i="7"/>
  <c r="I49" i="7"/>
  <c r="H49" i="7"/>
  <c r="H13" i="7"/>
  <c r="I13" i="7"/>
  <c r="FR49" i="7"/>
  <c r="EJ49" i="7"/>
  <c r="GT49" i="7"/>
  <c r="DQ49" i="7"/>
  <c r="EU49" i="7"/>
  <c r="BR49" i="7"/>
  <c r="GN49" i="7"/>
  <c r="DJ49" i="7"/>
  <c r="BJ49" i="7"/>
  <c r="AE49" i="7"/>
  <c r="EN49" i="7"/>
  <c r="EA49" i="7"/>
  <c r="FB49" i="7"/>
  <c r="DT49" i="7"/>
  <c r="GD49" i="7"/>
  <c r="DA49" i="7"/>
  <c r="EE49" i="7"/>
  <c r="BB49" i="7"/>
  <c r="FX49" i="7"/>
  <c r="BM49" i="7"/>
  <c r="AH49" i="7"/>
  <c r="M49" i="7"/>
  <c r="CB49" i="7"/>
  <c r="DX49" i="7"/>
  <c r="EL49" i="7"/>
  <c r="DD49" i="7"/>
  <c r="FN49" i="7"/>
  <c r="CK49" i="7"/>
  <c r="DO49" i="7"/>
  <c r="AL49" i="7"/>
  <c r="FH49" i="7"/>
  <c r="AN49" i="7"/>
  <c r="P49" i="7"/>
  <c r="EQ49" i="7"/>
  <c r="AU49" i="7"/>
  <c r="BZ49" i="7"/>
  <c r="DV49" i="7"/>
  <c r="CN49" i="7"/>
  <c r="EX49" i="7"/>
  <c r="GR49" i="7"/>
  <c r="CY49" i="7"/>
  <c r="V49" i="7"/>
  <c r="ER49" i="7"/>
  <c r="S49" i="7"/>
  <c r="FF49" i="7"/>
  <c r="CE49" i="7"/>
  <c r="AA49" i="7"/>
  <c r="BO49" i="7"/>
  <c r="DF49" i="7"/>
  <c r="BX49" i="7"/>
  <c r="EH49" i="7"/>
  <c r="GB49" i="7"/>
  <c r="CI49" i="7"/>
  <c r="GO49" i="7"/>
  <c r="EB49" i="7"/>
  <c r="FU49" i="7"/>
  <c r="CT49" i="7"/>
  <c r="AX49" i="7"/>
  <c r="GL49" i="7"/>
  <c r="W49" i="7"/>
  <c r="CP49" i="7"/>
  <c r="BH49" i="7"/>
  <c r="DR49" i="7"/>
  <c r="FL49" i="7"/>
  <c r="BS49" i="7"/>
  <c r="FY49" i="7"/>
  <c r="DL49" i="7"/>
  <c r="DI49" i="7"/>
  <c r="BI49" i="7"/>
  <c r="AD49" i="7"/>
  <c r="DZ49" i="7"/>
  <c r="AT49" i="7"/>
  <c r="GG49" i="7"/>
  <c r="GU49" i="7"/>
  <c r="DB49" i="7"/>
  <c r="EV49" i="7"/>
  <c r="BC49" i="7"/>
  <c r="FI49" i="7"/>
  <c r="CV49" i="7"/>
  <c r="BL49" i="7"/>
  <c r="AG49" i="7"/>
  <c r="L49" i="7"/>
  <c r="BY49" i="7"/>
  <c r="AQ49" i="7"/>
  <c r="GI49" i="7"/>
  <c r="FQ49" i="7"/>
  <c r="GE49" i="7"/>
  <c r="CL49" i="7"/>
  <c r="EF49" i="7"/>
  <c r="AM49" i="7"/>
  <c r="ES49" i="7"/>
  <c r="CF49" i="7"/>
  <c r="AJ49" i="7"/>
  <c r="O49" i="7"/>
  <c r="EP49" i="7"/>
  <c r="AS49" i="7"/>
  <c r="Z49" i="7"/>
  <c r="FS49" i="7"/>
  <c r="FA49" i="7"/>
  <c r="FO49" i="7"/>
  <c r="BV49" i="7"/>
  <c r="DP49" i="7"/>
  <c r="GP49" i="7"/>
  <c r="EC49" i="7"/>
  <c r="BP49" i="7"/>
  <c r="R49" i="7"/>
  <c r="FE49" i="7"/>
  <c r="CD49" i="7"/>
  <c r="Y49" i="7"/>
  <c r="FC49" i="7"/>
  <c r="EK49" i="7"/>
  <c r="EY49" i="7"/>
  <c r="BF49" i="7"/>
  <c r="CZ49" i="7"/>
  <c r="FZ49" i="7"/>
  <c r="DM49" i="7"/>
  <c r="AZ49" i="7"/>
  <c r="FT49" i="7"/>
  <c r="CS49" i="7"/>
  <c r="AW49" i="7"/>
  <c r="GK49" i="7"/>
  <c r="EM49" i="7"/>
  <c r="DU49" i="7"/>
  <c r="EI49" i="7"/>
  <c r="AP49" i="7"/>
  <c r="CJ49" i="7"/>
  <c r="FJ49" i="7"/>
  <c r="CW49" i="7"/>
  <c r="FW49" i="7"/>
  <c r="DH49" i="7"/>
  <c r="BE49" i="7"/>
  <c r="AC49" i="7"/>
  <c r="DY49" i="7"/>
  <c r="DW49" i="7"/>
  <c r="DE49" i="7"/>
  <c r="DS49" i="7"/>
  <c r="GS49" i="7"/>
  <c r="BT49" i="7"/>
  <c r="ET49" i="7"/>
  <c r="CG49" i="7"/>
  <c r="DK49" i="7"/>
  <c r="BK49" i="7"/>
  <c r="AF49" i="7"/>
  <c r="K49" i="7"/>
  <c r="BU49" i="7"/>
  <c r="DG49" i="7"/>
  <c r="CO49" i="7"/>
  <c r="DC49" i="7"/>
  <c r="GC49" i="7"/>
  <c r="BD49" i="7"/>
  <c r="ED49" i="7"/>
  <c r="BQ49" i="7"/>
  <c r="BN49" i="7"/>
  <c r="AI49" i="7"/>
  <c r="N49" i="7"/>
  <c r="EO49" i="7"/>
  <c r="AR49" i="7"/>
  <c r="CQ49" i="7"/>
  <c r="GF49" i="7"/>
  <c r="CM49" i="7"/>
  <c r="FM49" i="7"/>
  <c r="GQ49" i="7"/>
  <c r="DN49" i="7"/>
  <c r="BA49" i="7"/>
  <c r="AO49" i="7"/>
  <c r="Q49" i="7"/>
  <c r="FD49" i="7"/>
  <c r="CC49" i="7"/>
  <c r="X49" i="7"/>
  <c r="CA49" i="7"/>
  <c r="FP49" i="7"/>
  <c r="BW49" i="7"/>
  <c r="EW49" i="7"/>
  <c r="GA49" i="7"/>
  <c r="CX49" i="7"/>
  <c r="AK49" i="7"/>
  <c r="T49" i="7"/>
  <c r="FG49" i="7"/>
  <c r="CR49" i="7"/>
  <c r="AV49" i="7"/>
  <c r="GM49" i="7"/>
  <c r="GH49" i="7"/>
  <c r="EZ49" i="7"/>
  <c r="BG49" i="7"/>
  <c r="EG49" i="7"/>
  <c r="FK49" i="7"/>
  <c r="CH49" i="7"/>
  <c r="U49" i="7"/>
  <c r="FV49" i="7"/>
  <c r="CU49" i="7"/>
  <c r="AY49" i="7"/>
  <c r="AB49" i="7"/>
  <c r="GJ49" i="7"/>
  <c r="J13" i="7"/>
  <c r="J49" i="7"/>
  <c r="AE13" i="7"/>
  <c r="DW13" i="7"/>
  <c r="AH13" i="7"/>
  <c r="DZ13" i="7"/>
  <c r="CI13" i="7"/>
  <c r="AI13" i="7"/>
  <c r="FV13" i="7"/>
  <c r="DV13" i="7"/>
  <c r="BM13" i="7"/>
  <c r="GT13" i="7"/>
  <c r="ES13" i="7"/>
  <c r="DY13" i="7"/>
  <c r="AK13" i="7"/>
  <c r="EC13" i="7"/>
  <c r="AN13" i="7"/>
  <c r="EF13" i="7"/>
  <c r="CR13" i="7"/>
  <c r="AR13" i="7"/>
  <c r="GC13" i="7"/>
  <c r="EE13" i="7"/>
  <c r="BV13" i="7"/>
  <c r="N13" i="7"/>
  <c r="FB13" i="7"/>
  <c r="FZ13" i="7"/>
  <c r="AQ13" i="7"/>
  <c r="EI13" i="7"/>
  <c r="AT13" i="7"/>
  <c r="EL13" i="7"/>
  <c r="DA13" i="7"/>
  <c r="BA13" i="7"/>
  <c r="GJ13" i="7"/>
  <c r="EN13" i="7"/>
  <c r="CE13" i="7"/>
  <c r="W13" i="7"/>
  <c r="FK13" i="7"/>
  <c r="AD13" i="7"/>
  <c r="AW13" i="7"/>
  <c r="EO13" i="7"/>
  <c r="AZ13" i="7"/>
  <c r="ER13" i="7"/>
  <c r="DJ13" i="7"/>
  <c r="BJ13" i="7"/>
  <c r="GR13" i="7"/>
  <c r="EW13" i="7"/>
  <c r="CN13" i="7"/>
  <c r="AF13" i="7"/>
  <c r="FT13" i="7"/>
  <c r="CF13" i="7"/>
  <c r="BC13" i="7"/>
  <c r="EU13" i="7"/>
  <c r="BF13" i="7"/>
  <c r="EX13" i="7"/>
  <c r="DS13" i="7"/>
  <c r="BS13" i="7"/>
  <c r="R13" i="7"/>
  <c r="FF13" i="7"/>
  <c r="CW13" i="7"/>
  <c r="AO13" i="7"/>
  <c r="GA13" i="7"/>
  <c r="EH13" i="7"/>
  <c r="BI13" i="7"/>
  <c r="FA13" i="7"/>
  <c r="BL13" i="7"/>
  <c r="FD13" i="7"/>
  <c r="EB13" i="7"/>
  <c r="CB13" i="7"/>
  <c r="AA13" i="7"/>
  <c r="FO13" i="7"/>
  <c r="DF13" i="7"/>
  <c r="AX13" i="7"/>
  <c r="GH13" i="7"/>
  <c r="GG13" i="7"/>
  <c r="BO13" i="7"/>
  <c r="FG13" i="7"/>
  <c r="BR13" i="7"/>
  <c r="FJ13" i="7"/>
  <c r="EK13" i="7"/>
  <c r="CK13" i="7"/>
  <c r="AJ13" i="7"/>
  <c r="FW13" i="7"/>
  <c r="DO13" i="7"/>
  <c r="BG13" i="7"/>
  <c r="GO13" i="7"/>
  <c r="AM13" i="7"/>
  <c r="BU13" i="7"/>
  <c r="FM13" i="7"/>
  <c r="BX13" i="7"/>
  <c r="FP13" i="7"/>
  <c r="ET13" i="7"/>
  <c r="CT13" i="7"/>
  <c r="AS13" i="7"/>
  <c r="GD13" i="7"/>
  <c r="DX13" i="7"/>
  <c r="BP13" i="7"/>
  <c r="BE13" i="7"/>
  <c r="CO13" i="7"/>
  <c r="CA13" i="7"/>
  <c r="FS13" i="7"/>
  <c r="CD13" i="7"/>
  <c r="O13" i="7"/>
  <c r="FC13" i="7"/>
  <c r="DC13" i="7"/>
  <c r="BB13" i="7"/>
  <c r="GL13" i="7"/>
  <c r="EG13" i="7"/>
  <c r="BY13" i="7"/>
  <c r="DG13" i="7"/>
  <c r="EQ13" i="7"/>
  <c r="CG13" i="7"/>
  <c r="FY13" i="7"/>
  <c r="CJ13" i="7"/>
  <c r="X13" i="7"/>
  <c r="FL13" i="7"/>
  <c r="DL13" i="7"/>
  <c r="BK13" i="7"/>
  <c r="GS13" i="7"/>
  <c r="EP13" i="7"/>
  <c r="CH13" i="7"/>
  <c r="FI13" i="7"/>
  <c r="GN13" i="7"/>
  <c r="CM13" i="7"/>
  <c r="GE13" i="7"/>
  <c r="CP13" i="7"/>
  <c r="AG13" i="7"/>
  <c r="FU13" i="7"/>
  <c r="DU13" i="7"/>
  <c r="BT13" i="7"/>
  <c r="K13" i="7"/>
  <c r="EY13" i="7"/>
  <c r="CQ13" i="7"/>
  <c r="L13" i="7"/>
  <c r="AV13" i="7"/>
  <c r="CS13" i="7"/>
  <c r="GK13" i="7"/>
  <c r="CV13" i="7"/>
  <c r="AP13" i="7"/>
  <c r="GB13" i="7"/>
  <c r="ED13" i="7"/>
  <c r="CC13" i="7"/>
  <c r="T13" i="7"/>
  <c r="FH13" i="7"/>
  <c r="CZ13" i="7"/>
  <c r="BN13" i="7"/>
  <c r="CX13" i="7"/>
  <c r="CY13" i="7"/>
  <c r="GQ13" i="7"/>
  <c r="DB13" i="7"/>
  <c r="AY13" i="7"/>
  <c r="GI13" i="7"/>
  <c r="EM13" i="7"/>
  <c r="CL13" i="7"/>
  <c r="AC13" i="7"/>
  <c r="FQ13" i="7"/>
  <c r="DI13" i="7"/>
  <c r="DP13" i="7"/>
  <c r="EZ13" i="7"/>
  <c r="M13" i="7"/>
  <c r="DE13" i="7"/>
  <c r="P13" i="7"/>
  <c r="DH13" i="7"/>
  <c r="BH13" i="7"/>
  <c r="GP13" i="7"/>
  <c r="EV13" i="7"/>
  <c r="CU13" i="7"/>
  <c r="AL13" i="7"/>
  <c r="FX13" i="7"/>
  <c r="DR13" i="7"/>
  <c r="FR13" i="7"/>
  <c r="GU13" i="7"/>
  <c r="S13" i="7"/>
  <c r="Y13" i="7"/>
  <c r="DQ13" i="7"/>
  <c r="AB13" i="7"/>
  <c r="DT13" i="7"/>
  <c r="BZ13" i="7"/>
  <c r="Z13" i="7"/>
  <c r="FN13" i="7"/>
  <c r="DM13" i="7"/>
  <c r="BD13" i="7"/>
  <c r="GM13" i="7"/>
  <c r="EJ13" i="7"/>
  <c r="BW13" i="7"/>
  <c r="Q13" i="7"/>
  <c r="FE13" i="7"/>
  <c r="DD13" i="7"/>
  <c r="AU13" i="7"/>
  <c r="GF13" i="7"/>
  <c r="EA13" i="7"/>
  <c r="U13" i="7"/>
  <c r="DK13" i="7"/>
  <c r="V13" i="7"/>
  <c r="DN13" i="7"/>
  <c r="BQ13" i="7"/>
  <c r="AC1252" i="1"/>
  <c r="K47" i="7"/>
  <c r="J47" i="7"/>
  <c r="I47" i="7"/>
  <c r="I11" i="7"/>
  <c r="J11" i="7"/>
  <c r="K11" i="7"/>
  <c r="I62" i="7"/>
  <c r="I26" i="7"/>
  <c r="J62" i="7"/>
  <c r="J26" i="7"/>
  <c r="K43" i="7"/>
  <c r="J43" i="7"/>
  <c r="J8" i="7"/>
  <c r="K8" i="7"/>
  <c r="M43" i="7"/>
  <c r="L43" i="7"/>
  <c r="L8" i="7"/>
  <c r="M8" i="7"/>
  <c r="BM9" i="1"/>
  <c r="BM8" i="1"/>
  <c r="BD21" i="1"/>
  <c r="EE55" i="7"/>
  <c r="BR55" i="7"/>
  <c r="GN55" i="7"/>
  <c r="EA55" i="7"/>
  <c r="BN55" i="7"/>
  <c r="GJ55" i="7"/>
  <c r="DW55" i="7"/>
  <c r="BJ55" i="7"/>
  <c r="GF55" i="7"/>
  <c r="CL55" i="7"/>
  <c r="GS55" i="7"/>
  <c r="DP55" i="7"/>
  <c r="DO55" i="7"/>
  <c r="BB55" i="7"/>
  <c r="FX55" i="7"/>
  <c r="DK55" i="7"/>
  <c r="AX55" i="7"/>
  <c r="FT55" i="7"/>
  <c r="DG55" i="7"/>
  <c r="AT55" i="7"/>
  <c r="FP55" i="7"/>
  <c r="Z55" i="7"/>
  <c r="EG55" i="7"/>
  <c r="BD55" i="7"/>
  <c r="CY55" i="7"/>
  <c r="AL55" i="7"/>
  <c r="FH55" i="7"/>
  <c r="CU55" i="7"/>
  <c r="AH55" i="7"/>
  <c r="FD55" i="7"/>
  <c r="CQ55" i="7"/>
  <c r="AD55" i="7"/>
  <c r="EZ55" i="7"/>
  <c r="EW55" i="7"/>
  <c r="BU55" i="7"/>
  <c r="FN55" i="7"/>
  <c r="CI55" i="7"/>
  <c r="V55" i="7"/>
  <c r="ER55" i="7"/>
  <c r="CE55" i="7"/>
  <c r="R55" i="7"/>
  <c r="EN55" i="7"/>
  <c r="CA55" i="7"/>
  <c r="N55" i="7"/>
  <c r="EJ55" i="7"/>
  <c r="CK55" i="7"/>
  <c r="GR55" i="7"/>
  <c r="DB55" i="7"/>
  <c r="BS55" i="7"/>
  <c r="GO55" i="7"/>
  <c r="EB55" i="7"/>
  <c r="BO55" i="7"/>
  <c r="GK55" i="7"/>
  <c r="DX55" i="7"/>
  <c r="BK55" i="7"/>
  <c r="GG55" i="7"/>
  <c r="DT55" i="7"/>
  <c r="Y55" i="7"/>
  <c r="EF55" i="7"/>
  <c r="AP55" i="7"/>
  <c r="BC55" i="7"/>
  <c r="FY55" i="7"/>
  <c r="DL55" i="7"/>
  <c r="AY55" i="7"/>
  <c r="FU55" i="7"/>
  <c r="DH55" i="7"/>
  <c r="AU55" i="7"/>
  <c r="FQ55" i="7"/>
  <c r="DD55" i="7"/>
  <c r="EV55" i="7"/>
  <c r="BT55" i="7"/>
  <c r="FM55" i="7"/>
  <c r="AM55" i="7"/>
  <c r="FI55" i="7"/>
  <c r="CV55" i="7"/>
  <c r="AI55" i="7"/>
  <c r="FE55" i="7"/>
  <c r="CR55" i="7"/>
  <c r="AE55" i="7"/>
  <c r="FA55" i="7"/>
  <c r="CN55" i="7"/>
  <c r="CJ55" i="7"/>
  <c r="GE55" i="7"/>
  <c r="DA55" i="7"/>
  <c r="W55" i="7"/>
  <c r="ES55" i="7"/>
  <c r="CF55" i="7"/>
  <c r="S55" i="7"/>
  <c r="EO55" i="7"/>
  <c r="CB55" i="7"/>
  <c r="O55" i="7"/>
  <c r="EK55" i="7"/>
  <c r="BX55" i="7"/>
  <c r="X55" i="7"/>
  <c r="DS55" i="7"/>
  <c r="AO55" i="7"/>
  <c r="GP55" i="7"/>
  <c r="EC55" i="7"/>
  <c r="BP55" i="7"/>
  <c r="GL55" i="7"/>
  <c r="DY55" i="7"/>
  <c r="BL55" i="7"/>
  <c r="GH55" i="7"/>
  <c r="DU55" i="7"/>
  <c r="BH55" i="7"/>
  <c r="GU55" i="7"/>
  <c r="BG55" i="7"/>
  <c r="FO55" i="7"/>
  <c r="FZ55" i="7"/>
  <c r="DM55" i="7"/>
  <c r="AZ55" i="7"/>
  <c r="FV55" i="7"/>
  <c r="DI55" i="7"/>
  <c r="AV55" i="7"/>
  <c r="FR55" i="7"/>
  <c r="DE55" i="7"/>
  <c r="AR55" i="7"/>
  <c r="EI55" i="7"/>
  <c r="GD55" i="7"/>
  <c r="FL55" i="7"/>
  <c r="FJ55" i="7"/>
  <c r="CW55" i="7"/>
  <c r="AJ55" i="7"/>
  <c r="FF55" i="7"/>
  <c r="CS55" i="7"/>
  <c r="AF55" i="7"/>
  <c r="FB55" i="7"/>
  <c r="CO55" i="7"/>
  <c r="AB55" i="7"/>
  <c r="BW55" i="7"/>
  <c r="DR55" i="7"/>
  <c r="AN55" i="7"/>
  <c r="ET55" i="7"/>
  <c r="CG55" i="7"/>
  <c r="T55" i="7"/>
  <c r="EP55" i="7"/>
  <c r="CC55" i="7"/>
  <c r="P55" i="7"/>
  <c r="EL55" i="7"/>
  <c r="BY55" i="7"/>
  <c r="BF55" i="7"/>
  <c r="DC55" i="7"/>
  <c r="GQ55" i="7"/>
  <c r="ED55" i="7"/>
  <c r="BQ55" i="7"/>
  <c r="GM55" i="7"/>
  <c r="DZ55" i="7"/>
  <c r="BM55" i="7"/>
  <c r="GI55" i="7"/>
  <c r="DV55" i="7"/>
  <c r="BI55" i="7"/>
  <c r="EY55" i="7"/>
  <c r="GT55" i="7"/>
  <c r="GC55" i="7"/>
  <c r="CZ55" i="7"/>
  <c r="EU55" i="7"/>
  <c r="CH55" i="7"/>
  <c r="U55" i="7"/>
  <c r="EQ55" i="7"/>
  <c r="CD55" i="7"/>
  <c r="Q55" i="7"/>
  <c r="EM55" i="7"/>
  <c r="BZ55" i="7"/>
  <c r="EX55" i="7"/>
  <c r="GB55" i="7"/>
  <c r="FS55" i="7"/>
  <c r="FC55" i="7"/>
  <c r="DF55" i="7"/>
  <c r="CP55" i="7"/>
  <c r="GA55" i="7"/>
  <c r="AS55" i="7"/>
  <c r="FK55" i="7"/>
  <c r="AC55" i="7"/>
  <c r="DN55" i="7"/>
  <c r="CM55" i="7"/>
  <c r="CX55" i="7"/>
  <c r="AA55" i="7"/>
  <c r="BA55" i="7"/>
  <c r="EH55" i="7"/>
  <c r="AK55" i="7"/>
  <c r="BV55" i="7"/>
  <c r="FW55" i="7"/>
  <c r="FG55" i="7"/>
  <c r="DQ55" i="7"/>
  <c r="DJ55" i="7"/>
  <c r="BE55" i="7"/>
  <c r="CT55" i="7"/>
  <c r="AQ55" i="7"/>
  <c r="AW55" i="7"/>
  <c r="AG55" i="7"/>
  <c r="BI19" i="7"/>
  <c r="FA19" i="7"/>
  <c r="BJ19" i="7"/>
  <c r="FB19" i="7"/>
  <c r="BK19" i="7"/>
  <c r="FC19" i="7"/>
  <c r="BL19" i="7"/>
  <c r="FD19" i="7"/>
  <c r="BM19" i="7"/>
  <c r="FE19" i="7"/>
  <c r="BN19" i="7"/>
  <c r="FF19" i="7"/>
  <c r="BO19" i="7"/>
  <c r="FG19" i="7"/>
  <c r="BP19" i="7"/>
  <c r="FH19" i="7"/>
  <c r="BQ19" i="7"/>
  <c r="FI19" i="7"/>
  <c r="BR19" i="7"/>
  <c r="FJ19" i="7"/>
  <c r="BS19" i="7"/>
  <c r="FK19" i="7"/>
  <c r="BT19" i="7"/>
  <c r="FL19" i="7"/>
  <c r="BU19" i="7"/>
  <c r="FM19" i="7"/>
  <c r="BV19" i="7"/>
  <c r="FN19" i="7"/>
  <c r="BW19" i="7"/>
  <c r="FO19" i="7"/>
  <c r="BX19" i="7"/>
  <c r="FP19" i="7"/>
  <c r="BY19" i="7"/>
  <c r="FQ19" i="7"/>
  <c r="BZ19" i="7"/>
  <c r="FR19" i="7"/>
  <c r="CA19" i="7"/>
  <c r="FS19" i="7"/>
  <c r="CB19" i="7"/>
  <c r="FT19" i="7"/>
  <c r="CC19" i="7"/>
  <c r="FU19" i="7"/>
  <c r="CD19" i="7"/>
  <c r="FV19" i="7"/>
  <c r="CE19" i="7"/>
  <c r="FW19" i="7"/>
  <c r="CF19" i="7"/>
  <c r="FX19" i="7"/>
  <c r="CG19" i="7"/>
  <c r="FY19" i="7"/>
  <c r="CH19" i="7"/>
  <c r="FZ19" i="7"/>
  <c r="CI19" i="7"/>
  <c r="GA19" i="7"/>
  <c r="CJ19" i="7"/>
  <c r="GB19" i="7"/>
  <c r="CK19" i="7"/>
  <c r="GC19" i="7"/>
  <c r="CL19" i="7"/>
  <c r="GD19" i="7"/>
  <c r="CM19" i="7"/>
  <c r="GE19" i="7"/>
  <c r="CN19" i="7"/>
  <c r="GF19" i="7"/>
  <c r="CO19" i="7"/>
  <c r="GG19" i="7"/>
  <c r="CP19" i="7"/>
  <c r="GH19" i="7"/>
  <c r="CQ19" i="7"/>
  <c r="GI19" i="7"/>
  <c r="CR19" i="7"/>
  <c r="GJ19" i="7"/>
  <c r="S19" i="7"/>
  <c r="CS19" i="7"/>
  <c r="GK19" i="7"/>
  <c r="CT19" i="7"/>
  <c r="GL19" i="7"/>
  <c r="CU19" i="7"/>
  <c r="GM19" i="7"/>
  <c r="CV19" i="7"/>
  <c r="GN19" i="7"/>
  <c r="CW19" i="7"/>
  <c r="GO19" i="7"/>
  <c r="CX19" i="7"/>
  <c r="GP19" i="7"/>
  <c r="Y19" i="7"/>
  <c r="CY19" i="7"/>
  <c r="GQ19" i="7"/>
  <c r="CZ19" i="7"/>
  <c r="GR19" i="7"/>
  <c r="DA19" i="7"/>
  <c r="GS19" i="7"/>
  <c r="DB19" i="7"/>
  <c r="GT19" i="7"/>
  <c r="DC19" i="7"/>
  <c r="GU19" i="7"/>
  <c r="DD19" i="7"/>
  <c r="AE19" i="7"/>
  <c r="DE19" i="7"/>
  <c r="DF19" i="7"/>
  <c r="DG19" i="7"/>
  <c r="DH19" i="7"/>
  <c r="N19" i="7"/>
  <c r="DI19" i="7"/>
  <c r="O19" i="7"/>
  <c r="DJ19" i="7"/>
  <c r="P19" i="7"/>
  <c r="DK19" i="7"/>
  <c r="Q19" i="7"/>
  <c r="DL19" i="7"/>
  <c r="R19" i="7"/>
  <c r="DM19" i="7"/>
  <c r="T19" i="7"/>
  <c r="DN19" i="7"/>
  <c r="U19" i="7"/>
  <c r="DO19" i="7"/>
  <c r="V19" i="7"/>
  <c r="DP19" i="7"/>
  <c r="W19" i="7"/>
  <c r="DQ19" i="7"/>
  <c r="X19" i="7"/>
  <c r="DR19" i="7"/>
  <c r="Z19" i="7"/>
  <c r="DS19" i="7"/>
  <c r="AA19" i="7"/>
  <c r="DT19" i="7"/>
  <c r="AB19" i="7"/>
  <c r="DU19" i="7"/>
  <c r="AC19" i="7"/>
  <c r="DV19" i="7"/>
  <c r="AD19" i="7"/>
  <c r="DW19" i="7"/>
  <c r="AF19" i="7"/>
  <c r="DX19" i="7"/>
  <c r="AG19" i="7"/>
  <c r="DY19" i="7"/>
  <c r="AH19" i="7"/>
  <c r="DZ19" i="7"/>
  <c r="AI19" i="7"/>
  <c r="EA19" i="7"/>
  <c r="AJ19" i="7"/>
  <c r="EB19" i="7"/>
  <c r="AK19" i="7"/>
  <c r="EC19" i="7"/>
  <c r="AL19" i="7"/>
  <c r="ED19" i="7"/>
  <c r="AM19" i="7"/>
  <c r="EE19" i="7"/>
  <c r="AN19" i="7"/>
  <c r="EF19" i="7"/>
  <c r="AO19" i="7"/>
  <c r="EG19" i="7"/>
  <c r="AP19" i="7"/>
  <c r="EH19" i="7"/>
  <c r="AQ19" i="7"/>
  <c r="EI19" i="7"/>
  <c r="AR19" i="7"/>
  <c r="EJ19" i="7"/>
  <c r="AS19" i="7"/>
  <c r="EK19" i="7"/>
  <c r="AT19" i="7"/>
  <c r="EL19" i="7"/>
  <c r="AU19" i="7"/>
  <c r="EM19" i="7"/>
  <c r="AV19" i="7"/>
  <c r="EN19" i="7"/>
  <c r="AW19" i="7"/>
  <c r="EO19" i="7"/>
  <c r="AX19" i="7"/>
  <c r="EP19" i="7"/>
  <c r="AY19" i="7"/>
  <c r="EQ19" i="7"/>
  <c r="AZ19" i="7"/>
  <c r="ER19" i="7"/>
  <c r="BA19" i="7"/>
  <c r="ES19" i="7"/>
  <c r="BB19" i="7"/>
  <c r="ET19" i="7"/>
  <c r="BC19" i="7"/>
  <c r="EU19" i="7"/>
  <c r="BD19" i="7"/>
  <c r="EV19" i="7"/>
  <c r="BE19" i="7"/>
  <c r="EW19" i="7"/>
  <c r="BF19" i="7"/>
  <c r="EX19" i="7"/>
  <c r="BG19" i="7"/>
  <c r="EY19" i="7"/>
  <c r="BH19" i="7"/>
  <c r="EZ19" i="7"/>
  <c r="H66" i="7"/>
  <c r="H31" i="7"/>
  <c r="J38" i="7"/>
  <c r="J2" i="7"/>
  <c r="M38" i="7"/>
  <c r="L38" i="7"/>
  <c r="K38" i="7"/>
  <c r="M2" i="7"/>
  <c r="L2" i="7"/>
  <c r="K2" i="7"/>
  <c r="L55" i="7"/>
  <c r="K55" i="7"/>
  <c r="M55" i="7"/>
  <c r="M19" i="7"/>
  <c r="K19" i="7"/>
  <c r="L19" i="7"/>
  <c r="K51" i="7"/>
  <c r="J51" i="7"/>
  <c r="J15" i="7"/>
  <c r="K15" i="7"/>
  <c r="BV51" i="7"/>
  <c r="GR51" i="7"/>
  <c r="EE51" i="7"/>
  <c r="BR51" i="7"/>
  <c r="GN51" i="7"/>
  <c r="EA51" i="7"/>
  <c r="BN51" i="7"/>
  <c r="GJ51" i="7"/>
  <c r="DW51" i="7"/>
  <c r="BI51" i="7"/>
  <c r="CP51" i="7"/>
  <c r="AA51" i="7"/>
  <c r="BF51" i="7"/>
  <c r="GB51" i="7"/>
  <c r="DO51" i="7"/>
  <c r="BB51" i="7"/>
  <c r="FX51" i="7"/>
  <c r="DK51" i="7"/>
  <c r="AX51" i="7"/>
  <c r="FT51" i="7"/>
  <c r="DG51" i="7"/>
  <c r="AS51" i="7"/>
  <c r="CM51" i="7"/>
  <c r="EL51" i="7"/>
  <c r="AP51" i="7"/>
  <c r="FL51" i="7"/>
  <c r="CY51" i="7"/>
  <c r="AL51" i="7"/>
  <c r="FH51" i="7"/>
  <c r="CU51" i="7"/>
  <c r="AH51" i="7"/>
  <c r="FD51" i="7"/>
  <c r="CQ51" i="7"/>
  <c r="AC51" i="7"/>
  <c r="BZ51" i="7"/>
  <c r="N51" i="7"/>
  <c r="Z51" i="7"/>
  <c r="EV51" i="7"/>
  <c r="CI51" i="7"/>
  <c r="V51" i="7"/>
  <c r="ER51" i="7"/>
  <c r="CE51" i="7"/>
  <c r="R51" i="7"/>
  <c r="EN51" i="7"/>
  <c r="CA51" i="7"/>
  <c r="M51" i="7"/>
  <c r="GU51" i="7"/>
  <c r="EI51" i="7"/>
  <c r="GS51" i="7"/>
  <c r="EF51" i="7"/>
  <c r="BS51" i="7"/>
  <c r="GO51" i="7"/>
  <c r="EB51" i="7"/>
  <c r="BO51" i="7"/>
  <c r="GK51" i="7"/>
  <c r="DX51" i="7"/>
  <c r="BK51" i="7"/>
  <c r="GF51" i="7"/>
  <c r="BW51" i="7"/>
  <c r="DC51" i="7"/>
  <c r="GC51" i="7"/>
  <c r="DP51" i="7"/>
  <c r="BC51" i="7"/>
  <c r="FY51" i="7"/>
  <c r="DL51" i="7"/>
  <c r="AY51" i="7"/>
  <c r="FU51" i="7"/>
  <c r="DH51" i="7"/>
  <c r="AU51" i="7"/>
  <c r="FP51" i="7"/>
  <c r="GH51" i="7"/>
  <c r="DF51" i="7"/>
  <c r="FM51" i="7"/>
  <c r="CZ51" i="7"/>
  <c r="AM51" i="7"/>
  <c r="FI51" i="7"/>
  <c r="CV51" i="7"/>
  <c r="AI51" i="7"/>
  <c r="FE51" i="7"/>
  <c r="CR51" i="7"/>
  <c r="AE51" i="7"/>
  <c r="EZ51" i="7"/>
  <c r="BJ51" i="7"/>
  <c r="DS51" i="7"/>
  <c r="EW51" i="7"/>
  <c r="CJ51" i="7"/>
  <c r="W51" i="7"/>
  <c r="ES51" i="7"/>
  <c r="CF51" i="7"/>
  <c r="S51" i="7"/>
  <c r="EO51" i="7"/>
  <c r="CB51" i="7"/>
  <c r="O51" i="7"/>
  <c r="EJ51" i="7"/>
  <c r="GE51" i="7"/>
  <c r="DV51" i="7"/>
  <c r="GT51" i="7"/>
  <c r="EG51" i="7"/>
  <c r="BT51" i="7"/>
  <c r="GP51" i="7"/>
  <c r="EC51" i="7"/>
  <c r="BP51" i="7"/>
  <c r="GL51" i="7"/>
  <c r="DY51" i="7"/>
  <c r="BL51" i="7"/>
  <c r="GG51" i="7"/>
  <c r="DT51" i="7"/>
  <c r="BG51" i="7"/>
  <c r="GD51" i="7"/>
  <c r="DQ51" i="7"/>
  <c r="BD51" i="7"/>
  <c r="FZ51" i="7"/>
  <c r="DM51" i="7"/>
  <c r="AZ51" i="7"/>
  <c r="FV51" i="7"/>
  <c r="DI51" i="7"/>
  <c r="AV51" i="7"/>
  <c r="FQ51" i="7"/>
  <c r="DD51" i="7"/>
  <c r="FR51" i="7"/>
  <c r="FN51" i="7"/>
  <c r="DA51" i="7"/>
  <c r="AN51" i="7"/>
  <c r="FJ51" i="7"/>
  <c r="CW51" i="7"/>
  <c r="AJ51" i="7"/>
  <c r="FF51" i="7"/>
  <c r="CS51" i="7"/>
  <c r="AF51" i="7"/>
  <c r="FA51" i="7"/>
  <c r="CN51" i="7"/>
  <c r="AT51" i="7"/>
  <c r="EX51" i="7"/>
  <c r="CK51" i="7"/>
  <c r="X51" i="7"/>
  <c r="ET51" i="7"/>
  <c r="CG51" i="7"/>
  <c r="T51" i="7"/>
  <c r="EP51" i="7"/>
  <c r="CC51" i="7"/>
  <c r="P51" i="7"/>
  <c r="EK51" i="7"/>
  <c r="BX51" i="7"/>
  <c r="FO51" i="7"/>
  <c r="EH51" i="7"/>
  <c r="BU51" i="7"/>
  <c r="GQ51" i="7"/>
  <c r="ED51" i="7"/>
  <c r="BQ51" i="7"/>
  <c r="GM51" i="7"/>
  <c r="DZ51" i="7"/>
  <c r="BM51" i="7"/>
  <c r="GI51" i="7"/>
  <c r="DU51" i="7"/>
  <c r="BH51" i="7"/>
  <c r="AQ51" i="7"/>
  <c r="DR51" i="7"/>
  <c r="BE51" i="7"/>
  <c r="GA51" i="7"/>
  <c r="DN51" i="7"/>
  <c r="BA51" i="7"/>
  <c r="FW51" i="7"/>
  <c r="DJ51" i="7"/>
  <c r="AW51" i="7"/>
  <c r="FS51" i="7"/>
  <c r="DE51" i="7"/>
  <c r="AR51" i="7"/>
  <c r="FB51" i="7"/>
  <c r="DB51" i="7"/>
  <c r="AO51" i="7"/>
  <c r="FK51" i="7"/>
  <c r="CX51" i="7"/>
  <c r="AK51" i="7"/>
  <c r="FG51" i="7"/>
  <c r="CT51" i="7"/>
  <c r="AG51" i="7"/>
  <c r="FC51" i="7"/>
  <c r="CO51" i="7"/>
  <c r="AB51" i="7"/>
  <c r="AD51" i="7"/>
  <c r="CL51" i="7"/>
  <c r="Y51" i="7"/>
  <c r="EU51" i="7"/>
  <c r="CH51" i="7"/>
  <c r="U51" i="7"/>
  <c r="EQ51" i="7"/>
  <c r="CD51" i="7"/>
  <c r="Q51" i="7"/>
  <c r="EM51" i="7"/>
  <c r="BY51" i="7"/>
  <c r="L51" i="7"/>
  <c r="EY51" i="7"/>
  <c r="Z15" i="7"/>
  <c r="DR15" i="7"/>
  <c r="AA15" i="7"/>
  <c r="DS15" i="7"/>
  <c r="AB15" i="7"/>
  <c r="AR15" i="7"/>
  <c r="AX15" i="7"/>
  <c r="EP15" i="7"/>
  <c r="BP15" i="7"/>
  <c r="BV15" i="7"/>
  <c r="FN15" i="7"/>
  <c r="BW15" i="7"/>
  <c r="FO15" i="7"/>
  <c r="BB15" i="7"/>
  <c r="N15" i="7"/>
  <c r="EV15" i="7"/>
  <c r="BQ15" i="7"/>
  <c r="GA15" i="7"/>
  <c r="BZ15" i="7"/>
  <c r="FR15" i="7"/>
  <c r="EU15" i="7"/>
  <c r="EX15" i="7"/>
  <c r="EY15" i="7"/>
  <c r="FA15" i="7"/>
  <c r="FQ15" i="7"/>
  <c r="DH15" i="7"/>
  <c r="T15" i="7"/>
  <c r="FB15" i="7"/>
  <c r="CC15" i="7"/>
  <c r="GG15" i="7"/>
  <c r="CF15" i="7"/>
  <c r="FX15" i="7"/>
  <c r="FG15" i="7"/>
  <c r="FJ15" i="7"/>
  <c r="FK15" i="7"/>
  <c r="FM15" i="7"/>
  <c r="GC15" i="7"/>
  <c r="GB15" i="7"/>
  <c r="AF15" i="7"/>
  <c r="FH15" i="7"/>
  <c r="CI15" i="7"/>
  <c r="GM15" i="7"/>
  <c r="CL15" i="7"/>
  <c r="GD15" i="7"/>
  <c r="FS15" i="7"/>
  <c r="FV15" i="7"/>
  <c r="FW15" i="7"/>
  <c r="FY15" i="7"/>
  <c r="GO15" i="7"/>
  <c r="AL15" i="7"/>
  <c r="FT15" i="7"/>
  <c r="CO15" i="7"/>
  <c r="GS15" i="7"/>
  <c r="CR15" i="7"/>
  <c r="GJ15" i="7"/>
  <c r="GE15" i="7"/>
  <c r="GH15" i="7"/>
  <c r="GI15" i="7"/>
  <c r="GK15" i="7"/>
  <c r="AZ15" i="7"/>
  <c r="BD15" i="7"/>
  <c r="FZ15" i="7"/>
  <c r="CU15" i="7"/>
  <c r="P15" i="7"/>
  <c r="CX15" i="7"/>
  <c r="GP15" i="7"/>
  <c r="GQ15" i="7"/>
  <c r="GT15" i="7"/>
  <c r="GU15" i="7"/>
  <c r="AC15" i="7"/>
  <c r="DT15" i="7"/>
  <c r="BJ15" i="7"/>
  <c r="GF15" i="7"/>
  <c r="DA15" i="7"/>
  <c r="V15" i="7"/>
  <c r="DD15" i="7"/>
  <c r="M15" i="7"/>
  <c r="Q15" i="7"/>
  <c r="S15" i="7"/>
  <c r="W15" i="7"/>
  <c r="AO15" i="7"/>
  <c r="GN15" i="7"/>
  <c r="CB15" i="7"/>
  <c r="GL15" i="7"/>
  <c r="DG15" i="7"/>
  <c r="L15" i="7"/>
  <c r="DJ15" i="7"/>
  <c r="AE15" i="7"/>
  <c r="AH15" i="7"/>
  <c r="AI15" i="7"/>
  <c r="AK15" i="7"/>
  <c r="BA15" i="7"/>
  <c r="BL15" i="7"/>
  <c r="CH15" i="7"/>
  <c r="GR15" i="7"/>
  <c r="DM15" i="7"/>
  <c r="R15" i="7"/>
  <c r="DP15" i="7"/>
  <c r="AQ15" i="7"/>
  <c r="AT15" i="7"/>
  <c r="AU15" i="7"/>
  <c r="AW15" i="7"/>
  <c r="BM15" i="7"/>
  <c r="EF15" i="7"/>
  <c r="CN15" i="7"/>
  <c r="O15" i="7"/>
  <c r="DY15" i="7"/>
  <c r="X15" i="7"/>
  <c r="DV15" i="7"/>
  <c r="BC15" i="7"/>
  <c r="BF15" i="7"/>
  <c r="BG15" i="7"/>
  <c r="BI15" i="7"/>
  <c r="BY15" i="7"/>
  <c r="BX15" i="7"/>
  <c r="CT15" i="7"/>
  <c r="U15" i="7"/>
  <c r="EE15" i="7"/>
  <c r="AD15" i="7"/>
  <c r="EB15" i="7"/>
  <c r="BO15" i="7"/>
  <c r="BR15" i="7"/>
  <c r="BS15" i="7"/>
  <c r="BU15" i="7"/>
  <c r="CK15" i="7"/>
  <c r="ER15" i="7"/>
  <c r="CZ15" i="7"/>
  <c r="AG15" i="7"/>
  <c r="EK15" i="7"/>
  <c r="AJ15" i="7"/>
  <c r="EH15" i="7"/>
  <c r="CA15" i="7"/>
  <c r="CD15" i="7"/>
  <c r="CE15" i="7"/>
  <c r="CG15" i="7"/>
  <c r="CW15" i="7"/>
  <c r="CJ15" i="7"/>
  <c r="DF15" i="7"/>
  <c r="AM15" i="7"/>
  <c r="EQ15" i="7"/>
  <c r="AP15" i="7"/>
  <c r="EN15" i="7"/>
  <c r="CM15" i="7"/>
  <c r="CP15" i="7"/>
  <c r="CQ15" i="7"/>
  <c r="CS15" i="7"/>
  <c r="DI15" i="7"/>
  <c r="FD15" i="7"/>
  <c r="DL15" i="7"/>
  <c r="AS15" i="7"/>
  <c r="EW15" i="7"/>
  <c r="AV15" i="7"/>
  <c r="ET15" i="7"/>
  <c r="CY15" i="7"/>
  <c r="DB15" i="7"/>
  <c r="DC15" i="7"/>
  <c r="DE15" i="7"/>
  <c r="DU15" i="7"/>
  <c r="Y15" i="7"/>
  <c r="DX15" i="7"/>
  <c r="AY15" i="7"/>
  <c r="FC15" i="7"/>
  <c r="BH15" i="7"/>
  <c r="EZ15" i="7"/>
  <c r="DK15" i="7"/>
  <c r="DN15" i="7"/>
  <c r="DO15" i="7"/>
  <c r="DQ15" i="7"/>
  <c r="EG15" i="7"/>
  <c r="CV15" i="7"/>
  <c r="ED15" i="7"/>
  <c r="BE15" i="7"/>
  <c r="FI15" i="7"/>
  <c r="BN15" i="7"/>
  <c r="FF15" i="7"/>
  <c r="DW15" i="7"/>
  <c r="DZ15" i="7"/>
  <c r="EA15" i="7"/>
  <c r="EC15" i="7"/>
  <c r="ES15" i="7"/>
  <c r="FP15" i="7"/>
  <c r="EJ15" i="7"/>
  <c r="BK15" i="7"/>
  <c r="FU15" i="7"/>
  <c r="BT15" i="7"/>
  <c r="FL15" i="7"/>
  <c r="EI15" i="7"/>
  <c r="EL15" i="7"/>
  <c r="EM15" i="7"/>
  <c r="EO15" i="7"/>
  <c r="FE15" i="7"/>
  <c r="AN15" i="7"/>
  <c r="I54" i="7"/>
  <c r="H18" i="7"/>
  <c r="I18" i="7"/>
  <c r="H54" i="7"/>
  <c r="EB54" i="7"/>
  <c r="BO54" i="7"/>
  <c r="GQ54" i="7"/>
  <c r="DX54" i="7"/>
  <c r="BK54" i="7"/>
  <c r="GM54" i="7"/>
  <c r="DT54" i="7"/>
  <c r="BG54" i="7"/>
  <c r="GI54" i="7"/>
  <c r="AL54" i="7"/>
  <c r="EF54" i="7"/>
  <c r="BA54" i="7"/>
  <c r="DL54" i="7"/>
  <c r="AY54" i="7"/>
  <c r="FY54" i="7"/>
  <c r="DH54" i="7"/>
  <c r="AU54" i="7"/>
  <c r="FU54" i="7"/>
  <c r="DD54" i="7"/>
  <c r="AQ54" i="7"/>
  <c r="FQ54" i="7"/>
  <c r="FK54" i="7"/>
  <c r="BT54" i="7"/>
  <c r="GG54" i="7"/>
  <c r="CV54" i="7"/>
  <c r="AI54" i="7"/>
  <c r="FG54" i="7"/>
  <c r="CR54" i="7"/>
  <c r="AE54" i="7"/>
  <c r="FC54" i="7"/>
  <c r="CN54" i="7"/>
  <c r="AA54" i="7"/>
  <c r="EY54" i="7"/>
  <c r="CW54" i="7"/>
  <c r="EE54" i="7"/>
  <c r="FP54" i="7"/>
  <c r="CF54" i="7"/>
  <c r="S54" i="7"/>
  <c r="EO54" i="7"/>
  <c r="CB54" i="7"/>
  <c r="O54" i="7"/>
  <c r="EK54" i="7"/>
  <c r="BX54" i="7"/>
  <c r="K54" i="7"/>
  <c r="EG54" i="7"/>
  <c r="AK54" i="7"/>
  <c r="BS54" i="7"/>
  <c r="DO54" i="7"/>
  <c r="BP54" i="7"/>
  <c r="GT54" i="7"/>
  <c r="DY54" i="7"/>
  <c r="BL54" i="7"/>
  <c r="GN54" i="7"/>
  <c r="DU54" i="7"/>
  <c r="BH54" i="7"/>
  <c r="GJ54" i="7"/>
  <c r="DQ54" i="7"/>
  <c r="EX54" i="7"/>
  <c r="ED54" i="7"/>
  <c r="CZ54" i="7"/>
  <c r="GS54" i="7"/>
  <c r="AZ54" i="7"/>
  <c r="FZ54" i="7"/>
  <c r="DI54" i="7"/>
  <c r="AV54" i="7"/>
  <c r="FV54" i="7"/>
  <c r="DE54" i="7"/>
  <c r="AR54" i="7"/>
  <c r="FR54" i="7"/>
  <c r="DA54" i="7"/>
  <c r="CJ54" i="7"/>
  <c r="BR54" i="7"/>
  <c r="BC54" i="7"/>
  <c r="GC54" i="7"/>
  <c r="AJ54" i="7"/>
  <c r="FH54" i="7"/>
  <c r="CS54" i="7"/>
  <c r="AF54" i="7"/>
  <c r="FD54" i="7"/>
  <c r="CO54" i="7"/>
  <c r="AB54" i="7"/>
  <c r="EZ54" i="7"/>
  <c r="CK54" i="7"/>
  <c r="X54" i="7"/>
  <c r="EC54" i="7"/>
  <c r="AN54" i="7"/>
  <c r="FM54" i="7"/>
  <c r="T54" i="7"/>
  <c r="EP54" i="7"/>
  <c r="CC54" i="7"/>
  <c r="P54" i="7"/>
  <c r="EL54" i="7"/>
  <c r="BY54" i="7"/>
  <c r="L54" i="7"/>
  <c r="EH54" i="7"/>
  <c r="BU54" i="7"/>
  <c r="EU54" i="7"/>
  <c r="BQ54" i="7"/>
  <c r="EW54" i="7"/>
  <c r="GU54" i="7"/>
  <c r="DZ54" i="7"/>
  <c r="BM54" i="7"/>
  <c r="GO54" i="7"/>
  <c r="DV54" i="7"/>
  <c r="BI54" i="7"/>
  <c r="GK54" i="7"/>
  <c r="DR54" i="7"/>
  <c r="BE54" i="7"/>
  <c r="CI54" i="7"/>
  <c r="GH54" i="7"/>
  <c r="GR54" i="7"/>
  <c r="GA54" i="7"/>
  <c r="DJ54" i="7"/>
  <c r="AW54" i="7"/>
  <c r="FW54" i="7"/>
  <c r="DF54" i="7"/>
  <c r="AS54" i="7"/>
  <c r="FS54" i="7"/>
  <c r="DB54" i="7"/>
  <c r="AO54" i="7"/>
  <c r="W54" i="7"/>
  <c r="DP54" i="7"/>
  <c r="GB54" i="7"/>
  <c r="FI54" i="7"/>
  <c r="CT54" i="7"/>
  <c r="AG54" i="7"/>
  <c r="FE54" i="7"/>
  <c r="CP54" i="7"/>
  <c r="AC54" i="7"/>
  <c r="FA54" i="7"/>
  <c r="CL54" i="7"/>
  <c r="Y54" i="7"/>
  <c r="ET54" i="7"/>
  <c r="BD54" i="7"/>
  <c r="FL54" i="7"/>
  <c r="EQ54" i="7"/>
  <c r="CD54" i="7"/>
  <c r="Q54" i="7"/>
  <c r="EM54" i="7"/>
  <c r="BZ54" i="7"/>
  <c r="M54" i="7"/>
  <c r="EI54" i="7"/>
  <c r="BV54" i="7"/>
  <c r="FO54" i="7"/>
  <c r="CH54" i="7"/>
  <c r="GF54" i="7"/>
  <c r="EV54" i="7"/>
  <c r="EA54" i="7"/>
  <c r="BN54" i="7"/>
  <c r="GP54" i="7"/>
  <c r="DW54" i="7"/>
  <c r="BJ54" i="7"/>
  <c r="GL54" i="7"/>
  <c r="DS54" i="7"/>
  <c r="BF54" i="7"/>
  <c r="CY54" i="7"/>
  <c r="V54" i="7"/>
  <c r="DN54" i="7"/>
  <c r="GD54" i="7"/>
  <c r="DK54" i="7"/>
  <c r="AX54" i="7"/>
  <c r="ER54" i="7"/>
  <c r="CE54" i="7"/>
  <c r="R54" i="7"/>
  <c r="EN54" i="7"/>
  <c r="CA54" i="7"/>
  <c r="N54" i="7"/>
  <c r="EJ54" i="7"/>
  <c r="BW54" i="7"/>
  <c r="J54" i="7"/>
  <c r="CX54" i="7"/>
  <c r="U54" i="7"/>
  <c r="DM54" i="7"/>
  <c r="CU54" i="7"/>
  <c r="ES54" i="7"/>
  <c r="AH54" i="7"/>
  <c r="CG54" i="7"/>
  <c r="FX54" i="7"/>
  <c r="BB54" i="7"/>
  <c r="FF54" i="7"/>
  <c r="GE54" i="7"/>
  <c r="DG54" i="7"/>
  <c r="CQ54" i="7"/>
  <c r="AT54" i="7"/>
  <c r="AD54" i="7"/>
  <c r="FT54" i="7"/>
  <c r="FB54" i="7"/>
  <c r="DC54" i="7"/>
  <c r="CM54" i="7"/>
  <c r="AP54" i="7"/>
  <c r="Z54" i="7"/>
  <c r="AM54" i="7"/>
  <c r="FJ54" i="7"/>
  <c r="FN54" i="7"/>
  <c r="AR18" i="7"/>
  <c r="EJ18" i="7"/>
  <c r="AO18" i="7"/>
  <c r="R18" i="7"/>
  <c r="EZ18" i="7"/>
  <c r="CM18" i="7"/>
  <c r="U18" i="7"/>
  <c r="FC18" i="7"/>
  <c r="CP18" i="7"/>
  <c r="X18" i="7"/>
  <c r="FE18" i="7"/>
  <c r="FM18" i="7"/>
  <c r="AX18" i="7"/>
  <c r="EP18" i="7"/>
  <c r="AU18" i="7"/>
  <c r="AA18" i="7"/>
  <c r="FG18" i="7"/>
  <c r="CV18" i="7"/>
  <c r="AD18" i="7"/>
  <c r="FJ18" i="7"/>
  <c r="CY18" i="7"/>
  <c r="AG18" i="7"/>
  <c r="FL18" i="7"/>
  <c r="Y18" i="7"/>
  <c r="BD18" i="7"/>
  <c r="EV18" i="7"/>
  <c r="BA18" i="7"/>
  <c r="AJ18" i="7"/>
  <c r="FO18" i="7"/>
  <c r="DE18" i="7"/>
  <c r="AM18" i="7"/>
  <c r="FQ18" i="7"/>
  <c r="DH18" i="7"/>
  <c r="AP18" i="7"/>
  <c r="FS18" i="7"/>
  <c r="CA18" i="7"/>
  <c r="BJ18" i="7"/>
  <c r="FB18" i="7"/>
  <c r="BG18" i="7"/>
  <c r="AS18" i="7"/>
  <c r="FV18" i="7"/>
  <c r="DN18" i="7"/>
  <c r="AV18" i="7"/>
  <c r="FX18" i="7"/>
  <c r="DQ18" i="7"/>
  <c r="AY18" i="7"/>
  <c r="GA18" i="7"/>
  <c r="EC18" i="7"/>
  <c r="BP18" i="7"/>
  <c r="FH18" i="7"/>
  <c r="BM18" i="7"/>
  <c r="BB18" i="7"/>
  <c r="GC18" i="7"/>
  <c r="DW18" i="7"/>
  <c r="BE18" i="7"/>
  <c r="GE18" i="7"/>
  <c r="DZ18" i="7"/>
  <c r="BH18" i="7"/>
  <c r="GH18" i="7"/>
  <c r="FU18" i="7"/>
  <c r="BV18" i="7"/>
  <c r="FN18" i="7"/>
  <c r="BS18" i="7"/>
  <c r="BK18" i="7"/>
  <c r="GJ18" i="7"/>
  <c r="EF18" i="7"/>
  <c r="BN18" i="7"/>
  <c r="GM18" i="7"/>
  <c r="EH18" i="7"/>
  <c r="BQ18" i="7"/>
  <c r="GO18" i="7"/>
  <c r="AQ18" i="7"/>
  <c r="CB18" i="7"/>
  <c r="FT18" i="7"/>
  <c r="BY18" i="7"/>
  <c r="BT18" i="7"/>
  <c r="GQ18" i="7"/>
  <c r="EM18" i="7"/>
  <c r="BW18" i="7"/>
  <c r="GT18" i="7"/>
  <c r="EO18" i="7"/>
  <c r="BZ18" i="7"/>
  <c r="AZ18" i="7"/>
  <c r="CS18" i="7"/>
  <c r="CH18" i="7"/>
  <c r="FZ18" i="7"/>
  <c r="CE18" i="7"/>
  <c r="CC18" i="7"/>
  <c r="J18" i="7"/>
  <c r="ET18" i="7"/>
  <c r="CF18" i="7"/>
  <c r="M18" i="7"/>
  <c r="EW18" i="7"/>
  <c r="CI18" i="7"/>
  <c r="DB18" i="7"/>
  <c r="ER18" i="7"/>
  <c r="CN18" i="7"/>
  <c r="GF18" i="7"/>
  <c r="CK18" i="7"/>
  <c r="CL18" i="7"/>
  <c r="S18" i="7"/>
  <c r="FA18" i="7"/>
  <c r="CO18" i="7"/>
  <c r="V18" i="7"/>
  <c r="FD18" i="7"/>
  <c r="CR18" i="7"/>
  <c r="EY18" i="7"/>
  <c r="GI18" i="7"/>
  <c r="CT18" i="7"/>
  <c r="GL18" i="7"/>
  <c r="CQ18" i="7"/>
  <c r="CU18" i="7"/>
  <c r="AB18" i="7"/>
  <c r="FI18" i="7"/>
  <c r="CX18" i="7"/>
  <c r="AE18" i="7"/>
  <c r="FK18" i="7"/>
  <c r="DA18" i="7"/>
  <c r="GP18" i="7"/>
  <c r="CJ18" i="7"/>
  <c r="CZ18" i="7"/>
  <c r="GR18" i="7"/>
  <c r="CW18" i="7"/>
  <c r="DD18" i="7"/>
  <c r="AK18" i="7"/>
  <c r="FP18" i="7"/>
  <c r="DG18" i="7"/>
  <c r="AN18" i="7"/>
  <c r="FR18" i="7"/>
  <c r="DJ18" i="7"/>
  <c r="BI18" i="7"/>
  <c r="EK18" i="7"/>
  <c r="N18" i="7"/>
  <c r="DF18" i="7"/>
  <c r="K18" i="7"/>
  <c r="DC18" i="7"/>
  <c r="DM18" i="7"/>
  <c r="AT18" i="7"/>
  <c r="FW18" i="7"/>
  <c r="DP18" i="7"/>
  <c r="AW18" i="7"/>
  <c r="FY18" i="7"/>
  <c r="DS18" i="7"/>
  <c r="DK18" i="7"/>
  <c r="GB18" i="7"/>
  <c r="T18" i="7"/>
  <c r="DL18" i="7"/>
  <c r="Q18" i="7"/>
  <c r="DI18" i="7"/>
  <c r="DV18" i="7"/>
  <c r="BC18" i="7"/>
  <c r="GD18" i="7"/>
  <c r="DY18" i="7"/>
  <c r="BF18" i="7"/>
  <c r="GG18" i="7"/>
  <c r="EB18" i="7"/>
  <c r="FF18" i="7"/>
  <c r="AH18" i="7"/>
  <c r="Z18" i="7"/>
  <c r="DR18" i="7"/>
  <c r="W18" i="7"/>
  <c r="DO18" i="7"/>
  <c r="EE18" i="7"/>
  <c r="BL18" i="7"/>
  <c r="GK18" i="7"/>
  <c r="EG18" i="7"/>
  <c r="BO18" i="7"/>
  <c r="GN18" i="7"/>
  <c r="EI18" i="7"/>
  <c r="P18" i="7"/>
  <c r="AF18" i="7"/>
  <c r="DX18" i="7"/>
  <c r="AC18" i="7"/>
  <c r="DU18" i="7"/>
  <c r="EL18" i="7"/>
  <c r="BU18" i="7"/>
  <c r="GS18" i="7"/>
  <c r="EN18" i="7"/>
  <c r="BX18" i="7"/>
  <c r="GU18" i="7"/>
  <c r="EQ18" i="7"/>
  <c r="BR18" i="7"/>
  <c r="AL18" i="7"/>
  <c r="ED18" i="7"/>
  <c r="AI18" i="7"/>
  <c r="EA18" i="7"/>
  <c r="ES18" i="7"/>
  <c r="CD18" i="7"/>
  <c r="L18" i="7"/>
  <c r="EU18" i="7"/>
  <c r="CG18" i="7"/>
  <c r="O18" i="7"/>
  <c r="EX18" i="7"/>
  <c r="DT18" i="7"/>
  <c r="FB56" i="7"/>
  <c r="CO56" i="7"/>
  <c r="AB56" i="7"/>
  <c r="GD56" i="7"/>
  <c r="DQ56" i="7"/>
  <c r="BD56" i="7"/>
  <c r="FZ56" i="7"/>
  <c r="DM56" i="7"/>
  <c r="AZ56" i="7"/>
  <c r="DH56" i="7"/>
  <c r="S56" i="7"/>
  <c r="DY56" i="7"/>
  <c r="AD24" i="7"/>
  <c r="DV24" i="7"/>
  <c r="AE24" i="7"/>
  <c r="DW24" i="7"/>
  <c r="AF24" i="7"/>
  <c r="DX24" i="7"/>
  <c r="AG24" i="7"/>
  <c r="DY24" i="7"/>
  <c r="AH24" i="7"/>
  <c r="DZ24" i="7"/>
  <c r="EM24" i="7"/>
  <c r="DU24" i="7"/>
  <c r="EL56" i="7"/>
  <c r="BY56" i="7"/>
  <c r="L56" i="7"/>
  <c r="FN56" i="7"/>
  <c r="DA56" i="7"/>
  <c r="AN56" i="7"/>
  <c r="FJ56" i="7"/>
  <c r="CW56" i="7"/>
  <c r="AJ56" i="7"/>
  <c r="AV56" i="7"/>
  <c r="EP56" i="7"/>
  <c r="GK56" i="7"/>
  <c r="AJ24" i="7"/>
  <c r="EB24" i="7"/>
  <c r="AK24" i="7"/>
  <c r="GI56" i="7"/>
  <c r="DV56" i="7"/>
  <c r="BI56" i="7"/>
  <c r="GU56" i="7"/>
  <c r="EX56" i="7"/>
  <c r="CK56" i="7"/>
  <c r="X56" i="7"/>
  <c r="ET56" i="7"/>
  <c r="CG56" i="7"/>
  <c r="T56" i="7"/>
  <c r="FG56" i="7"/>
  <c r="CD56" i="7"/>
  <c r="EN56" i="7"/>
  <c r="AP24" i="7"/>
  <c r="EH24" i="7"/>
  <c r="AQ24" i="7"/>
  <c r="EI24" i="7"/>
  <c r="AR24" i="7"/>
  <c r="EJ24" i="7"/>
  <c r="AS24" i="7"/>
  <c r="EK24" i="7"/>
  <c r="AT24" i="7"/>
  <c r="EL24" i="7"/>
  <c r="AO24" i="7"/>
  <c r="FS56" i="7"/>
  <c r="DF56" i="7"/>
  <c r="AS56" i="7"/>
  <c r="GE56" i="7"/>
  <c r="EH56" i="7"/>
  <c r="BU56" i="7"/>
  <c r="GQ56" i="7"/>
  <c r="ED56" i="7"/>
  <c r="BQ56" i="7"/>
  <c r="GJ56" i="7"/>
  <c r="CU56" i="7"/>
  <c r="R56" i="7"/>
  <c r="FC56" i="7"/>
  <c r="CP56" i="7"/>
  <c r="AC56" i="7"/>
  <c r="FO56" i="7"/>
  <c r="DR56" i="7"/>
  <c r="BE56" i="7"/>
  <c r="GA56" i="7"/>
  <c r="DN56" i="7"/>
  <c r="BA56" i="7"/>
  <c r="DX56" i="7"/>
  <c r="AI56" i="7"/>
  <c r="EO56" i="7"/>
  <c r="BB24" i="7"/>
  <c r="ET24" i="7"/>
  <c r="BC24" i="7"/>
  <c r="EU24" i="7"/>
  <c r="BD24" i="7"/>
  <c r="EV24" i="7"/>
  <c r="BE24" i="7"/>
  <c r="EW24" i="7"/>
  <c r="BF24" i="7"/>
  <c r="EM56" i="7"/>
  <c r="BZ56" i="7"/>
  <c r="M56" i="7"/>
  <c r="EY56" i="7"/>
  <c r="DB56" i="7"/>
  <c r="AO56" i="7"/>
  <c r="FK56" i="7"/>
  <c r="CX56" i="7"/>
  <c r="AK56" i="7"/>
  <c r="BL56" i="7"/>
  <c r="FF56" i="7"/>
  <c r="CC56" i="7"/>
  <c r="BH24" i="7"/>
  <c r="EZ24" i="7"/>
  <c r="BI24" i="7"/>
  <c r="FA24" i="7"/>
  <c r="BJ24" i="7"/>
  <c r="FB24" i="7"/>
  <c r="BK24" i="7"/>
  <c r="FC24" i="7"/>
  <c r="BL24" i="7"/>
  <c r="DW56" i="7"/>
  <c r="BJ56" i="7"/>
  <c r="GF56" i="7"/>
  <c r="EI56" i="7"/>
  <c r="CL56" i="7"/>
  <c r="Y56" i="7"/>
  <c r="EU56" i="7"/>
  <c r="CH56" i="7"/>
  <c r="U56" i="7"/>
  <c r="FW56" i="7"/>
  <c r="CT56" i="7"/>
  <c r="Q56" i="7"/>
  <c r="BN24" i="7"/>
  <c r="DG56" i="7"/>
  <c r="AT56" i="7"/>
  <c r="FP56" i="7"/>
  <c r="DS56" i="7"/>
  <c r="BV56" i="7"/>
  <c r="GR56" i="7"/>
  <c r="EE56" i="7"/>
  <c r="BR56" i="7"/>
  <c r="GN56" i="7"/>
  <c r="DK56" i="7"/>
  <c r="AH56" i="7"/>
  <c r="GM56" i="7"/>
  <c r="BT24" i="7"/>
  <c r="FL24" i="7"/>
  <c r="BU24" i="7"/>
  <c r="FM24" i="7"/>
  <c r="BV24" i="7"/>
  <c r="FN24" i="7"/>
  <c r="BW24" i="7"/>
  <c r="FO24" i="7"/>
  <c r="BX24" i="7"/>
  <c r="FP24" i="7"/>
  <c r="K24" i="7"/>
  <c r="FQ24" i="7"/>
  <c r="CQ56" i="7"/>
  <c r="AD56" i="7"/>
  <c r="EZ56" i="7"/>
  <c r="DC56" i="7"/>
  <c r="BF56" i="7"/>
  <c r="GB56" i="7"/>
  <c r="DO56" i="7"/>
  <c r="BB56" i="7"/>
  <c r="FX56" i="7"/>
  <c r="AY56" i="7"/>
  <c r="FE56" i="7"/>
  <c r="EA56" i="7"/>
  <c r="CA56" i="7"/>
  <c r="N56" i="7"/>
  <c r="EJ56" i="7"/>
  <c r="CM56" i="7"/>
  <c r="AP56" i="7"/>
  <c r="FL56" i="7"/>
  <c r="CY56" i="7"/>
  <c r="AL56" i="7"/>
  <c r="FH56" i="7"/>
  <c r="FV56" i="7"/>
  <c r="CS56" i="7"/>
  <c r="BO56" i="7"/>
  <c r="CF24" i="7"/>
  <c r="FX24" i="7"/>
  <c r="CG24" i="7"/>
  <c r="FY24" i="7"/>
  <c r="CH24" i="7"/>
  <c r="FZ24" i="7"/>
  <c r="CI24" i="7"/>
  <c r="GA24" i="7"/>
  <c r="CJ24" i="7"/>
  <c r="GB24" i="7"/>
  <c r="CE24" i="7"/>
  <c r="EA24" i="7"/>
  <c r="BK56" i="7"/>
  <c r="GG56" i="7"/>
  <c r="DT56" i="7"/>
  <c r="BW56" i="7"/>
  <c r="Z56" i="7"/>
  <c r="EV56" i="7"/>
  <c r="CI56" i="7"/>
  <c r="V56" i="7"/>
  <c r="ER56" i="7"/>
  <c r="DJ56" i="7"/>
  <c r="AG56" i="7"/>
  <c r="GL56" i="7"/>
  <c r="CL24" i="7"/>
  <c r="GD24" i="7"/>
  <c r="CM24" i="7"/>
  <c r="GE24" i="7"/>
  <c r="CN24" i="7"/>
  <c r="GF24" i="7"/>
  <c r="CO24" i="7"/>
  <c r="GG24" i="7"/>
  <c r="CP24" i="7"/>
  <c r="AU56" i="7"/>
  <c r="FQ56" i="7"/>
  <c r="DD56" i="7"/>
  <c r="BG56" i="7"/>
  <c r="GS56" i="7"/>
  <c r="EF56" i="7"/>
  <c r="BS56" i="7"/>
  <c r="GO56" i="7"/>
  <c r="EB56" i="7"/>
  <c r="AX56" i="7"/>
  <c r="FD56" i="7"/>
  <c r="DZ56" i="7"/>
  <c r="CR24" i="7"/>
  <c r="GJ24" i="7"/>
  <c r="CS24" i="7"/>
  <c r="GK24" i="7"/>
  <c r="CT24" i="7"/>
  <c r="GL24" i="7"/>
  <c r="CU24" i="7"/>
  <c r="GM24" i="7"/>
  <c r="CV24" i="7"/>
  <c r="AE56" i="7"/>
  <c r="FA56" i="7"/>
  <c r="CN56" i="7"/>
  <c r="AQ56" i="7"/>
  <c r="GC56" i="7"/>
  <c r="DP56" i="7"/>
  <c r="BC56" i="7"/>
  <c r="FY56" i="7"/>
  <c r="DL56" i="7"/>
  <c r="FU56" i="7"/>
  <c r="CR56" i="7"/>
  <c r="BN56" i="7"/>
  <c r="CX24" i="7"/>
  <c r="GP24" i="7"/>
  <c r="CY24" i="7"/>
  <c r="GQ24" i="7"/>
  <c r="CZ24" i="7"/>
  <c r="GR24" i="7"/>
  <c r="DA24" i="7"/>
  <c r="GS24" i="7"/>
  <c r="DB24" i="7"/>
  <c r="O56" i="7"/>
  <c r="EK56" i="7"/>
  <c r="BX56" i="7"/>
  <c r="AA56" i="7"/>
  <c r="FM56" i="7"/>
  <c r="CZ56" i="7"/>
  <c r="AM56" i="7"/>
  <c r="FI56" i="7"/>
  <c r="CV56" i="7"/>
  <c r="DI56" i="7"/>
  <c r="AF56" i="7"/>
  <c r="CB56" i="7"/>
  <c r="L24" i="7"/>
  <c r="FR56" i="7"/>
  <c r="DE56" i="7"/>
  <c r="AR56" i="7"/>
  <c r="GT56" i="7"/>
  <c r="EG56" i="7"/>
  <c r="BT56" i="7"/>
  <c r="GP56" i="7"/>
  <c r="EC56" i="7"/>
  <c r="BP56" i="7"/>
  <c r="FT56" i="7"/>
  <c r="CE56" i="7"/>
  <c r="P56" i="7"/>
  <c r="X24" i="7"/>
  <c r="DP24" i="7"/>
  <c r="Y24" i="7"/>
  <c r="DQ24" i="7"/>
  <c r="Z24" i="7"/>
  <c r="DR24" i="7"/>
  <c r="AA24" i="7"/>
  <c r="DS24" i="7"/>
  <c r="AB24" i="7"/>
  <c r="DT24" i="7"/>
  <c r="DC24" i="7"/>
  <c r="CK24" i="7"/>
  <c r="ES56" i="7"/>
  <c r="S24" i="7"/>
  <c r="DF24" i="7"/>
  <c r="FI24" i="7"/>
  <c r="GH24" i="7"/>
  <c r="FE24" i="7"/>
  <c r="CF56" i="7"/>
  <c r="AW24" i="7"/>
  <c r="DL24" i="7"/>
  <c r="FU24" i="7"/>
  <c r="GN24" i="7"/>
  <c r="GO24" i="7"/>
  <c r="AW56" i="7"/>
  <c r="BO24" i="7"/>
  <c r="ED24" i="7"/>
  <c r="P24" i="7"/>
  <c r="GT24" i="7"/>
  <c r="AC24" i="7"/>
  <c r="EQ56" i="7"/>
  <c r="CA24" i="7"/>
  <c r="EP24" i="7"/>
  <c r="V24" i="7"/>
  <c r="AI24" i="7"/>
  <c r="BM24" i="7"/>
  <c r="BM56" i="7"/>
  <c r="DE24" i="7"/>
  <c r="FH24" i="7"/>
  <c r="AN24" i="7"/>
  <c r="BS24" i="7"/>
  <c r="CW24" i="7"/>
  <c r="DK24" i="7"/>
  <c r="FT24" i="7"/>
  <c r="AZ24" i="7"/>
  <c r="FW24" i="7"/>
  <c r="EG24" i="7"/>
  <c r="EC24" i="7"/>
  <c r="O24" i="7"/>
  <c r="BR24" i="7"/>
  <c r="BY24" i="7"/>
  <c r="CQ24" i="7"/>
  <c r="R24" i="7"/>
  <c r="EO24" i="7"/>
  <c r="U24" i="7"/>
  <c r="CD24" i="7"/>
  <c r="DI24" i="7"/>
  <c r="FK24" i="7"/>
  <c r="AV24" i="7"/>
  <c r="FG24" i="7"/>
  <c r="AM24" i="7"/>
  <c r="DH24" i="7"/>
  <c r="ES24" i="7"/>
  <c r="GU24" i="7"/>
  <c r="GH56" i="7"/>
  <c r="BZ24" i="7"/>
  <c r="FS24" i="7"/>
  <c r="AY24" i="7"/>
  <c r="DN24" i="7"/>
  <c r="GC24" i="7"/>
  <c r="W24" i="7"/>
  <c r="DU56" i="7"/>
  <c r="DD24" i="7"/>
  <c r="N24" i="7"/>
  <c r="BQ24" i="7"/>
  <c r="EF24" i="7"/>
  <c r="AU24" i="7"/>
  <c r="BG24" i="7"/>
  <c r="BH56" i="7"/>
  <c r="DJ24" i="7"/>
  <c r="T24" i="7"/>
  <c r="CC24" i="7"/>
  <c r="ER24" i="7"/>
  <c r="DO24" i="7"/>
  <c r="K56" i="7"/>
  <c r="EN24" i="7"/>
  <c r="AL24" i="7"/>
  <c r="DG24" i="7"/>
  <c r="EX24" i="7"/>
  <c r="EY24" i="7"/>
  <c r="EW56" i="7"/>
  <c r="FF24" i="7"/>
  <c r="AX24" i="7"/>
  <c r="DM24" i="7"/>
  <c r="FD24" i="7"/>
  <c r="GI24" i="7"/>
  <c r="CJ56" i="7"/>
  <c r="FR24" i="7"/>
  <c r="BP24" i="7"/>
  <c r="EE24" i="7"/>
  <c r="FJ24" i="7"/>
  <c r="Q24" i="7"/>
  <c r="W56" i="7"/>
  <c r="M24" i="7"/>
  <c r="CB24" i="7"/>
  <c r="EQ24" i="7"/>
  <c r="FV24" i="7"/>
  <c r="BA24" i="7"/>
  <c r="BM41" i="7"/>
  <c r="GI41" i="7"/>
  <c r="EL41" i="7"/>
  <c r="BY41" i="7"/>
  <c r="GD41" i="7"/>
  <c r="EG41" i="7"/>
  <c r="CJ41" i="7"/>
  <c r="W41" i="7"/>
  <c r="FI41" i="7"/>
  <c r="T41" i="7"/>
  <c r="AH41" i="7"/>
  <c r="AW41" i="7"/>
  <c r="FS41" i="7"/>
  <c r="DV41" i="7"/>
  <c r="BI41" i="7"/>
  <c r="AK41" i="7"/>
  <c r="FN41" i="7"/>
  <c r="DQ41" i="7"/>
  <c r="BT41" i="7"/>
  <c r="GP41" i="7"/>
  <c r="ES41" i="7"/>
  <c r="DZ41" i="7"/>
  <c r="FF41" i="7"/>
  <c r="AG41" i="7"/>
  <c r="FC41" i="7"/>
  <c r="DF41" i="7"/>
  <c r="AS41" i="7"/>
  <c r="GU41" i="7"/>
  <c r="EX41" i="7"/>
  <c r="DA41" i="7"/>
  <c r="BD41" i="7"/>
  <c r="FZ41" i="7"/>
  <c r="DM41" i="7"/>
  <c r="GM41" i="7"/>
  <c r="EP41" i="7"/>
  <c r="Q41" i="7"/>
  <c r="EM41" i="7"/>
  <c r="CP41" i="7"/>
  <c r="AC41" i="7"/>
  <c r="GE41" i="7"/>
  <c r="EH41" i="7"/>
  <c r="CK41" i="7"/>
  <c r="AN41" i="7"/>
  <c r="FJ41" i="7"/>
  <c r="CW41" i="7"/>
  <c r="FW41" i="7"/>
  <c r="DJ41" i="7"/>
  <c r="GJ41" i="7"/>
  <c r="DW41" i="7"/>
  <c r="BZ41" i="7"/>
  <c r="FO41" i="7"/>
  <c r="DR41" i="7"/>
  <c r="BU41" i="7"/>
  <c r="X41" i="7"/>
  <c r="ET41" i="7"/>
  <c r="CG41" i="7"/>
  <c r="FG41" i="7"/>
  <c r="CT41" i="7"/>
  <c r="FT41" i="7"/>
  <c r="DG41" i="7"/>
  <c r="BJ41" i="7"/>
  <c r="GF41" i="7"/>
  <c r="EY41" i="7"/>
  <c r="DB41" i="7"/>
  <c r="BE41" i="7"/>
  <c r="GQ41" i="7"/>
  <c r="ED41" i="7"/>
  <c r="GN41" i="7"/>
  <c r="EQ41" i="7"/>
  <c r="CD41" i="7"/>
  <c r="FD41" i="7"/>
  <c r="CQ41" i="7"/>
  <c r="AT41" i="7"/>
  <c r="FP41" i="7"/>
  <c r="EI41" i="7"/>
  <c r="CL41" i="7"/>
  <c r="AO41" i="7"/>
  <c r="GA41" i="7"/>
  <c r="DN41" i="7"/>
  <c r="FX41" i="7"/>
  <c r="EA41" i="7"/>
  <c r="BN41" i="7"/>
  <c r="EN41" i="7"/>
  <c r="CA41" i="7"/>
  <c r="AD41" i="7"/>
  <c r="EZ41" i="7"/>
  <c r="DS41" i="7"/>
  <c r="BV41" i="7"/>
  <c r="Y41" i="7"/>
  <c r="FK41" i="7"/>
  <c r="CX41" i="7"/>
  <c r="FH41" i="7"/>
  <c r="DK41" i="7"/>
  <c r="AX41" i="7"/>
  <c r="GK41" i="7"/>
  <c r="DX41" i="7"/>
  <c r="BK41" i="7"/>
  <c r="N41" i="7"/>
  <c r="EJ41" i="7"/>
  <c r="DC41" i="7"/>
  <c r="BF41" i="7"/>
  <c r="BQ41" i="7"/>
  <c r="EU41" i="7"/>
  <c r="CH41" i="7"/>
  <c r="ER41" i="7"/>
  <c r="CU41" i="7"/>
  <c r="R41" i="7"/>
  <c r="FU41" i="7"/>
  <c r="DH41" i="7"/>
  <c r="AU41" i="7"/>
  <c r="GG41" i="7"/>
  <c r="DT41" i="7"/>
  <c r="CM41" i="7"/>
  <c r="AP41" i="7"/>
  <c r="GR41" i="7"/>
  <c r="EE41" i="7"/>
  <c r="BR41" i="7"/>
  <c r="EB41" i="7"/>
  <c r="CE41" i="7"/>
  <c r="FE41" i="7"/>
  <c r="CR41" i="7"/>
  <c r="AE41" i="7"/>
  <c r="FQ41" i="7"/>
  <c r="DD41" i="7"/>
  <c r="BW41" i="7"/>
  <c r="Z41" i="7"/>
  <c r="GB41" i="7"/>
  <c r="DO41" i="7"/>
  <c r="BB41" i="7"/>
  <c r="DL41" i="7"/>
  <c r="BO41" i="7"/>
  <c r="EO41" i="7"/>
  <c r="CB41" i="7"/>
  <c r="O41" i="7"/>
  <c r="FA41" i="7"/>
  <c r="CN41" i="7"/>
  <c r="BG41" i="7"/>
  <c r="BA41" i="7"/>
  <c r="FL41" i="7"/>
  <c r="CY41" i="7"/>
  <c r="AL41" i="7"/>
  <c r="CV41" i="7"/>
  <c r="AY41" i="7"/>
  <c r="DY41" i="7"/>
  <c r="BL41" i="7"/>
  <c r="U41" i="7"/>
  <c r="EK41" i="7"/>
  <c r="BX41" i="7"/>
  <c r="AQ41" i="7"/>
  <c r="GS41" i="7"/>
  <c r="EV41" i="7"/>
  <c r="CI41" i="7"/>
  <c r="V41" i="7"/>
  <c r="CF41" i="7"/>
  <c r="AI41" i="7"/>
  <c r="DI41" i="7"/>
  <c r="AV41" i="7"/>
  <c r="GH41" i="7"/>
  <c r="DU41" i="7"/>
  <c r="BH41" i="7"/>
  <c r="AA41" i="7"/>
  <c r="GC41" i="7"/>
  <c r="EF41" i="7"/>
  <c r="BS41" i="7"/>
  <c r="EC41" i="7"/>
  <c r="BP41" i="7"/>
  <c r="S41" i="7"/>
  <c r="CS41" i="7"/>
  <c r="AF41" i="7"/>
  <c r="FR41" i="7"/>
  <c r="DE41" i="7"/>
  <c r="AR41" i="7"/>
  <c r="FM41" i="7"/>
  <c r="DP41" i="7"/>
  <c r="BC41" i="7"/>
  <c r="GO41" i="7"/>
  <c r="AZ41" i="7"/>
  <c r="GL41" i="7"/>
  <c r="AJ41" i="7"/>
  <c r="FV41" i="7"/>
  <c r="CC41" i="7"/>
  <c r="P41" i="7"/>
  <c r="FB41" i="7"/>
  <c r="CO41" i="7"/>
  <c r="AB41" i="7"/>
  <c r="GT41" i="7"/>
  <c r="EW41" i="7"/>
  <c r="CZ41" i="7"/>
  <c r="FY41" i="7"/>
  <c r="AM41" i="7"/>
  <c r="AA4" i="7"/>
  <c r="DS4" i="7"/>
  <c r="BL4" i="7"/>
  <c r="BT4" i="7"/>
  <c r="FL4" i="7"/>
  <c r="BV4" i="7"/>
  <c r="CQ4" i="7"/>
  <c r="CS4" i="7"/>
  <c r="CE4" i="7"/>
  <c r="BO4" i="7"/>
  <c r="BA4" i="7"/>
  <c r="EL4" i="7"/>
  <c r="AG4" i="7"/>
  <c r="DY4" i="7"/>
  <c r="BR4" i="7"/>
  <c r="BZ4" i="7"/>
  <c r="FR4" i="7"/>
  <c r="CB4" i="7"/>
  <c r="DC4" i="7"/>
  <c r="DE4" i="7"/>
  <c r="CV4" i="7"/>
  <c r="CG4" i="7"/>
  <c r="BS4" i="7"/>
  <c r="GH4" i="7"/>
  <c r="AM4" i="7"/>
  <c r="EE4" i="7"/>
  <c r="BX4" i="7"/>
  <c r="CF4" i="7"/>
  <c r="FX4" i="7"/>
  <c r="CH4" i="7"/>
  <c r="DO4" i="7"/>
  <c r="DQ4" i="7"/>
  <c r="DH4" i="7"/>
  <c r="CW4" i="7"/>
  <c r="CK4" i="7"/>
  <c r="BU4" i="7"/>
  <c r="AS4" i="7"/>
  <c r="EK4" i="7"/>
  <c r="CD4" i="7"/>
  <c r="CL4" i="7"/>
  <c r="GD4" i="7"/>
  <c r="CN4" i="7"/>
  <c r="EA4" i="7"/>
  <c r="EC4" i="7"/>
  <c r="DT4" i="7"/>
  <c r="DI4" i="7"/>
  <c r="CY4" i="7"/>
  <c r="EU4" i="7"/>
  <c r="AY4" i="7"/>
  <c r="EQ4" i="7"/>
  <c r="CJ4" i="7"/>
  <c r="CR4" i="7"/>
  <c r="GJ4" i="7"/>
  <c r="CT4" i="7"/>
  <c r="EM4" i="7"/>
  <c r="EO4" i="7"/>
  <c r="EF4" i="7"/>
  <c r="DU4" i="7"/>
  <c r="DK4" i="7"/>
  <c r="GO4" i="7"/>
  <c r="BE4" i="7"/>
  <c r="EW4" i="7"/>
  <c r="CP4" i="7"/>
  <c r="CX4" i="7"/>
  <c r="GP4" i="7"/>
  <c r="CZ4" i="7"/>
  <c r="EV4" i="7"/>
  <c r="EX4" i="7"/>
  <c r="EP4" i="7"/>
  <c r="EG4" i="7"/>
  <c r="DW4" i="7"/>
  <c r="CM4" i="7"/>
  <c r="BK4" i="7"/>
  <c r="FC4" i="7"/>
  <c r="DD4" i="7"/>
  <c r="N4" i="7"/>
  <c r="DF4" i="7"/>
  <c r="FE4" i="7"/>
  <c r="FG4" i="7"/>
  <c r="EY4" i="7"/>
  <c r="ER4" i="7"/>
  <c r="EI4" i="7"/>
  <c r="FD4" i="7"/>
  <c r="BQ4" i="7"/>
  <c r="FI4" i="7"/>
  <c r="R4" i="7"/>
  <c r="DJ4" i="7"/>
  <c r="T4" i="7"/>
  <c r="DL4" i="7"/>
  <c r="FN4" i="7"/>
  <c r="FO4" i="7"/>
  <c r="FH4" i="7"/>
  <c r="FA4" i="7"/>
  <c r="ES4" i="7"/>
  <c r="DB4" i="7"/>
  <c r="BW4" i="7"/>
  <c r="P4" i="7"/>
  <c r="X4" i="7"/>
  <c r="DP4" i="7"/>
  <c r="Z4" i="7"/>
  <c r="DR4" i="7"/>
  <c r="FU4" i="7"/>
  <c r="FV4" i="7"/>
  <c r="FP4" i="7"/>
  <c r="FJ4" i="7"/>
  <c r="FB4" i="7"/>
  <c r="FM4" i="7"/>
  <c r="CC4" i="7"/>
  <c r="V4" i="7"/>
  <c r="AD4" i="7"/>
  <c r="DV4" i="7"/>
  <c r="AF4" i="7"/>
  <c r="DX4" i="7"/>
  <c r="GB4" i="7"/>
  <c r="GC4" i="7"/>
  <c r="FW4" i="7"/>
  <c r="FQ4" i="7"/>
  <c r="FK4" i="7"/>
  <c r="S4" i="7"/>
  <c r="CI4" i="7"/>
  <c r="AB4" i="7"/>
  <c r="AJ4" i="7"/>
  <c r="EB4" i="7"/>
  <c r="AL4" i="7"/>
  <c r="ED4" i="7"/>
  <c r="GI4" i="7"/>
  <c r="GK4" i="7"/>
  <c r="GE4" i="7"/>
  <c r="FY4" i="7"/>
  <c r="FS4" i="7"/>
  <c r="DN4" i="7"/>
  <c r="CO4" i="7"/>
  <c r="AH4" i="7"/>
  <c r="AP4" i="7"/>
  <c r="EH4" i="7"/>
  <c r="AR4" i="7"/>
  <c r="EJ4" i="7"/>
  <c r="GQ4" i="7"/>
  <c r="GR4" i="7"/>
  <c r="GL4" i="7"/>
  <c r="GF4" i="7"/>
  <c r="FZ4" i="7"/>
  <c r="FT4" i="7"/>
  <c r="CU4" i="7"/>
  <c r="AN4" i="7"/>
  <c r="AV4" i="7"/>
  <c r="EN4" i="7"/>
  <c r="AX4" i="7"/>
  <c r="W4" i="7"/>
  <c r="Y4" i="7"/>
  <c r="GS4" i="7"/>
  <c r="GM4" i="7"/>
  <c r="GG4" i="7"/>
  <c r="AK4" i="7"/>
  <c r="DA4" i="7"/>
  <c r="AT4" i="7"/>
  <c r="BB4" i="7"/>
  <c r="ET4" i="7"/>
  <c r="BD4" i="7"/>
  <c r="AO4" i="7"/>
  <c r="AQ4" i="7"/>
  <c r="AC4" i="7"/>
  <c r="GT4" i="7"/>
  <c r="GN4" i="7"/>
  <c r="DZ4" i="7"/>
  <c r="O4" i="7"/>
  <c r="DG4" i="7"/>
  <c r="AZ4" i="7"/>
  <c r="BH4" i="7"/>
  <c r="EZ4" i="7"/>
  <c r="BJ4" i="7"/>
  <c r="BG4" i="7"/>
  <c r="BI4" i="7"/>
  <c r="AU4" i="7"/>
  <c r="AE4" i="7"/>
  <c r="Q4" i="7"/>
  <c r="GU4" i="7"/>
  <c r="GA4" i="7"/>
  <c r="U4" i="7"/>
  <c r="DM4" i="7"/>
  <c r="BF4" i="7"/>
  <c r="BN4" i="7"/>
  <c r="FF4" i="7"/>
  <c r="BP4" i="7"/>
  <c r="BY4" i="7"/>
  <c r="CA4" i="7"/>
  <c r="BM4" i="7"/>
  <c r="AW4" i="7"/>
  <c r="AI4" i="7"/>
  <c r="BC4" i="7"/>
  <c r="J59" i="7"/>
  <c r="J25" i="7"/>
  <c r="M59" i="7"/>
  <c r="L59" i="7"/>
  <c r="K59" i="7"/>
  <c r="L25" i="7"/>
  <c r="K25" i="7"/>
  <c r="M25" i="7"/>
  <c r="J52" i="7"/>
  <c r="EB52" i="7"/>
  <c r="BM52" i="7"/>
  <c r="J16" i="7"/>
  <c r="EL52" i="7"/>
  <c r="DU52" i="7"/>
  <c r="DI52" i="7"/>
  <c r="AF52" i="7"/>
  <c r="FH52" i="7"/>
  <c r="CO52" i="7"/>
  <c r="AB52" i="7"/>
  <c r="DR52" i="7"/>
  <c r="AO52" i="7"/>
  <c r="EG52" i="7"/>
  <c r="BA52" i="7"/>
  <c r="CH52" i="7"/>
  <c r="DK52" i="7"/>
  <c r="GD52" i="7"/>
  <c r="CS52" i="7"/>
  <c r="P52" i="7"/>
  <c r="EP52" i="7"/>
  <c r="BY52" i="7"/>
  <c r="GO52" i="7"/>
  <c r="DB52" i="7"/>
  <c r="Y52" i="7"/>
  <c r="DO52" i="7"/>
  <c r="AK52" i="7"/>
  <c r="CE52" i="7"/>
  <c r="EF52" i="7"/>
  <c r="FL52" i="7"/>
  <c r="CC52" i="7"/>
  <c r="GS52" i="7"/>
  <c r="DX52" i="7"/>
  <c r="BI52" i="7"/>
  <c r="FW52" i="7"/>
  <c r="CL52" i="7"/>
  <c r="GL52" i="7"/>
  <c r="CY52" i="7"/>
  <c r="U52" i="7"/>
  <c r="BR52" i="7"/>
  <c r="EC52" i="7"/>
  <c r="ET52" i="7"/>
  <c r="AW52" i="7"/>
  <c r="GA52" i="7"/>
  <c r="DF52" i="7"/>
  <c r="AS52" i="7"/>
  <c r="FE52" i="7"/>
  <c r="BV52" i="7"/>
  <c r="FT52" i="7"/>
  <c r="CI52" i="7"/>
  <c r="GF52" i="7"/>
  <c r="BO52" i="7"/>
  <c r="DN52" i="7"/>
  <c r="DJ52" i="7"/>
  <c r="AG52" i="7"/>
  <c r="FI52" i="7"/>
  <c r="CP52" i="7"/>
  <c r="AC52" i="7"/>
  <c r="EM52" i="7"/>
  <c r="BF52" i="7"/>
  <c r="EZ52" i="7"/>
  <c r="BS52" i="7"/>
  <c r="FN52" i="7"/>
  <c r="GJ52" i="7"/>
  <c r="CT52" i="7"/>
  <c r="Q52" i="7"/>
  <c r="EQ52" i="7"/>
  <c r="BZ52" i="7"/>
  <c r="M52" i="7"/>
  <c r="DS52" i="7"/>
  <c r="AP52" i="7"/>
  <c r="EH52" i="7"/>
  <c r="BC52" i="7"/>
  <c r="EV52" i="7"/>
  <c r="BB52" i="7"/>
  <c r="CD52" i="7"/>
  <c r="GT52" i="7"/>
  <c r="DY52" i="7"/>
  <c r="BJ52" i="7"/>
  <c r="GP52" i="7"/>
  <c r="DC52" i="7"/>
  <c r="Z52" i="7"/>
  <c r="DP52" i="7"/>
  <c r="AM52" i="7"/>
  <c r="ED52" i="7"/>
  <c r="GE52" i="7"/>
  <c r="BN52" i="7"/>
  <c r="GB52" i="7"/>
  <c r="DG52" i="7"/>
  <c r="AT52" i="7"/>
  <c r="FX52" i="7"/>
  <c r="CM52" i="7"/>
  <c r="GM52" i="7"/>
  <c r="CZ52" i="7"/>
  <c r="W52" i="7"/>
  <c r="DL52" i="7"/>
  <c r="AY52" i="7"/>
  <c r="GH52" i="7"/>
  <c r="AX52" i="7"/>
  <c r="FJ52" i="7"/>
  <c r="CQ52" i="7"/>
  <c r="AD52" i="7"/>
  <c r="FF52" i="7"/>
  <c r="BW52" i="7"/>
  <c r="FU52" i="7"/>
  <c r="CJ52" i="7"/>
  <c r="GI52" i="7"/>
  <c r="CV52" i="7"/>
  <c r="FP52" i="7"/>
  <c r="FR52" i="7"/>
  <c r="AH52" i="7"/>
  <c r="ER52" i="7"/>
  <c r="CA52" i="7"/>
  <c r="N52" i="7"/>
  <c r="EN52" i="7"/>
  <c r="BG52" i="7"/>
  <c r="FC52" i="7"/>
  <c r="BT52" i="7"/>
  <c r="FO52" i="7"/>
  <c r="CF52" i="7"/>
  <c r="AL52" i="7"/>
  <c r="FB52" i="7"/>
  <c r="R52" i="7"/>
  <c r="DZ52" i="7"/>
  <c r="BK52" i="7"/>
  <c r="GQ52" i="7"/>
  <c r="DT52" i="7"/>
  <c r="AQ52" i="7"/>
  <c r="EI52" i="7"/>
  <c r="BD52" i="7"/>
  <c r="EW52" i="7"/>
  <c r="BP52" i="7"/>
  <c r="FM52" i="7"/>
  <c r="DV52" i="7"/>
  <c r="GU52" i="7"/>
  <c r="DH52" i="7"/>
  <c r="AU52" i="7"/>
  <c r="FY52" i="7"/>
  <c r="DD52" i="7"/>
  <c r="AA52" i="7"/>
  <c r="DQ52" i="7"/>
  <c r="AN52" i="7"/>
  <c r="EE52" i="7"/>
  <c r="AZ52" i="7"/>
  <c r="AI52" i="7"/>
  <c r="GG52" i="7"/>
  <c r="GC52" i="7"/>
  <c r="CR52" i="7"/>
  <c r="AE52" i="7"/>
  <c r="FG52" i="7"/>
  <c r="CN52" i="7"/>
  <c r="GN52" i="7"/>
  <c r="DA52" i="7"/>
  <c r="X52" i="7"/>
  <c r="DM52" i="7"/>
  <c r="AJ52" i="7"/>
  <c r="EX52" i="7"/>
  <c r="FQ52" i="7"/>
  <c r="FK52" i="7"/>
  <c r="CB52" i="7"/>
  <c r="O52" i="7"/>
  <c r="EO52" i="7"/>
  <c r="BX52" i="7"/>
  <c r="FV52" i="7"/>
  <c r="CK52" i="7"/>
  <c r="GK52" i="7"/>
  <c r="CW52" i="7"/>
  <c r="T52" i="7"/>
  <c r="V52" i="7"/>
  <c r="FA52" i="7"/>
  <c r="ES52" i="7"/>
  <c r="BL52" i="7"/>
  <c r="GR52" i="7"/>
  <c r="DW52" i="7"/>
  <c r="BH52" i="7"/>
  <c r="FD52" i="7"/>
  <c r="BU52" i="7"/>
  <c r="FS52" i="7"/>
  <c r="CG52" i="7"/>
  <c r="CX52" i="7"/>
  <c r="EU52" i="7"/>
  <c r="BQ52" i="7"/>
  <c r="CU52" i="7"/>
  <c r="S52" i="7"/>
  <c r="EK52" i="7"/>
  <c r="EA52" i="7"/>
  <c r="AV52" i="7"/>
  <c r="FZ52" i="7"/>
  <c r="DE52" i="7"/>
  <c r="AR52" i="7"/>
  <c r="EJ52" i="7"/>
  <c r="BE52" i="7"/>
  <c r="K16" i="7"/>
  <c r="L52" i="7"/>
  <c r="K52" i="7"/>
  <c r="EY52" i="7"/>
  <c r="L16" i="7"/>
  <c r="Q16" i="7"/>
  <c r="W16" i="7"/>
  <c r="R16" i="7"/>
  <c r="X16" i="7"/>
  <c r="M16" i="7"/>
  <c r="S16" i="7"/>
  <c r="Y16" i="7"/>
  <c r="N16" i="7"/>
  <c r="T16" i="7"/>
  <c r="O16" i="7"/>
  <c r="U16" i="7"/>
  <c r="P16" i="7"/>
  <c r="V16" i="7"/>
  <c r="CE16" i="7"/>
  <c r="FH16" i="7"/>
  <c r="BR16" i="7"/>
  <c r="EU16" i="7"/>
  <c r="BE16" i="7"/>
  <c r="DR16" i="7"/>
  <c r="GE16" i="7"/>
  <c r="BY16" i="7"/>
  <c r="FB16" i="7"/>
  <c r="BL16" i="7"/>
  <c r="EO16" i="7"/>
  <c r="CU16" i="7"/>
  <c r="FX16" i="7"/>
  <c r="CH16" i="7"/>
  <c r="FK16" i="7"/>
  <c r="BU16" i="7"/>
  <c r="EH16" i="7"/>
  <c r="GU16" i="7"/>
  <c r="CO16" i="7"/>
  <c r="FR16" i="7"/>
  <c r="CB16" i="7"/>
  <c r="FE16" i="7"/>
  <c r="DK16" i="7"/>
  <c r="GN16" i="7"/>
  <c r="CX16" i="7"/>
  <c r="GA16" i="7"/>
  <c r="CK16" i="7"/>
  <c r="EX16" i="7"/>
  <c r="AB16" i="7"/>
  <c r="DE16" i="7"/>
  <c r="GH16" i="7"/>
  <c r="CR16" i="7"/>
  <c r="FU16" i="7"/>
  <c r="EA16" i="7"/>
  <c r="AK16" i="7"/>
  <c r="DN16" i="7"/>
  <c r="GQ16" i="7"/>
  <c r="DA16" i="7"/>
  <c r="FN16" i="7"/>
  <c r="AR16" i="7"/>
  <c r="DU16" i="7"/>
  <c r="AE16" i="7"/>
  <c r="DH16" i="7"/>
  <c r="GK16" i="7"/>
  <c r="EQ16" i="7"/>
  <c r="BA16" i="7"/>
  <c r="ED16" i="7"/>
  <c r="AN16" i="7"/>
  <c r="DQ16" i="7"/>
  <c r="GD16" i="7"/>
  <c r="BH16" i="7"/>
  <c r="EK16" i="7"/>
  <c r="AU16" i="7"/>
  <c r="DX16" i="7"/>
  <c r="AH16" i="7"/>
  <c r="FG16" i="7"/>
  <c r="BQ16" i="7"/>
  <c r="ET16" i="7"/>
  <c r="BD16" i="7"/>
  <c r="EG16" i="7"/>
  <c r="GT16" i="7"/>
  <c r="BX16" i="7"/>
  <c r="FA16" i="7"/>
  <c r="BK16" i="7"/>
  <c r="EN16" i="7"/>
  <c r="AX16" i="7"/>
  <c r="FW16" i="7"/>
  <c r="CG16" i="7"/>
  <c r="FJ16" i="7"/>
  <c r="BT16" i="7"/>
  <c r="EW16" i="7"/>
  <c r="AA16" i="7"/>
  <c r="CN16" i="7"/>
  <c r="FQ16" i="7"/>
  <c r="CA16" i="7"/>
  <c r="FD16" i="7"/>
  <c r="BN16" i="7"/>
  <c r="GM16" i="7"/>
  <c r="CW16" i="7"/>
  <c r="FZ16" i="7"/>
  <c r="CJ16" i="7"/>
  <c r="FM16" i="7"/>
  <c r="AQ16" i="7"/>
  <c r="DD16" i="7"/>
  <c r="GG16" i="7"/>
  <c r="CQ16" i="7"/>
  <c r="FT16" i="7"/>
  <c r="CD16" i="7"/>
  <c r="AJ16" i="7"/>
  <c r="DM16" i="7"/>
  <c r="GP16" i="7"/>
  <c r="CZ16" i="7"/>
  <c r="GC16" i="7"/>
  <c r="BG16" i="7"/>
  <c r="DT16" i="7"/>
  <c r="AD16" i="7"/>
  <c r="DG16" i="7"/>
  <c r="GJ16" i="7"/>
  <c r="CT16" i="7"/>
  <c r="AZ16" i="7"/>
  <c r="EC16" i="7"/>
  <c r="AM16" i="7"/>
  <c r="DP16" i="7"/>
  <c r="GS16" i="7"/>
  <c r="BW16" i="7"/>
  <c r="EJ16" i="7"/>
  <c r="AT16" i="7"/>
  <c r="DW16" i="7"/>
  <c r="AG16" i="7"/>
  <c r="DJ16" i="7"/>
  <c r="BP16" i="7"/>
  <c r="ES16" i="7"/>
  <c r="BC16" i="7"/>
  <c r="EF16" i="7"/>
  <c r="Z16" i="7"/>
  <c r="CM16" i="7"/>
  <c r="EZ16" i="7"/>
  <c r="BJ16" i="7"/>
  <c r="EM16" i="7"/>
  <c r="AW16" i="7"/>
  <c r="DZ16" i="7"/>
  <c r="CF16" i="7"/>
  <c r="FI16" i="7"/>
  <c r="BS16" i="7"/>
  <c r="EV16" i="7"/>
  <c r="AP16" i="7"/>
  <c r="DC16" i="7"/>
  <c r="FP16" i="7"/>
  <c r="BZ16" i="7"/>
  <c r="FC16" i="7"/>
  <c r="BM16" i="7"/>
  <c r="EP16" i="7"/>
  <c r="CV16" i="7"/>
  <c r="FY16" i="7"/>
  <c r="CI16" i="7"/>
  <c r="FL16" i="7"/>
  <c r="BF16" i="7"/>
  <c r="DS16" i="7"/>
  <c r="GF16" i="7"/>
  <c r="CP16" i="7"/>
  <c r="FS16" i="7"/>
  <c r="CC16" i="7"/>
  <c r="FF16" i="7"/>
  <c r="AI16" i="7"/>
  <c r="DL16" i="7"/>
  <c r="GO16" i="7"/>
  <c r="CY16" i="7"/>
  <c r="GB16" i="7"/>
  <c r="BV16" i="7"/>
  <c r="EI16" i="7"/>
  <c r="AC16" i="7"/>
  <c r="DF16" i="7"/>
  <c r="GI16" i="7"/>
  <c r="CS16" i="7"/>
  <c r="FV16" i="7"/>
  <c r="AY16" i="7"/>
  <c r="EB16" i="7"/>
  <c r="AL16" i="7"/>
  <c r="DO16" i="7"/>
  <c r="GR16" i="7"/>
  <c r="CL16" i="7"/>
  <c r="EY16" i="7"/>
  <c r="AS16" i="7"/>
  <c r="DV16" i="7"/>
  <c r="AF16" i="7"/>
  <c r="DI16" i="7"/>
  <c r="GL16" i="7"/>
  <c r="BO16" i="7"/>
  <c r="ER16" i="7"/>
  <c r="BB16" i="7"/>
  <c r="EE16" i="7"/>
  <c r="AO16" i="7"/>
  <c r="DB16" i="7"/>
  <c r="FO16" i="7"/>
  <c r="BI16" i="7"/>
  <c r="EL16" i="7"/>
  <c r="AV16" i="7"/>
  <c r="DY16" i="7"/>
  <c r="L63" i="7"/>
  <c r="K63" i="7"/>
  <c r="K28" i="7"/>
  <c r="L28" i="7"/>
  <c r="GK46" i="7"/>
  <c r="CC46" i="7"/>
  <c r="GE46" i="7"/>
  <c r="CP46" i="7"/>
  <c r="DC46" i="7"/>
  <c r="Z46" i="7"/>
  <c r="DQ46" i="7"/>
  <c r="AM46" i="7"/>
  <c r="EB46" i="7"/>
  <c r="DL46" i="7"/>
  <c r="BQ46" i="7"/>
  <c r="FU46" i="7"/>
  <c r="BM46" i="7"/>
  <c r="FK46" i="7"/>
  <c r="BZ46" i="7"/>
  <c r="GB46" i="7"/>
  <c r="CM46" i="7"/>
  <c r="GS46" i="7"/>
  <c r="CZ46" i="7"/>
  <c r="W46" i="7"/>
  <c r="DJ46" i="7"/>
  <c r="U46" i="7"/>
  <c r="EW46" i="7"/>
  <c r="FE46" i="7"/>
  <c r="AW46" i="7"/>
  <c r="EP46" i="7"/>
  <c r="BJ46" i="7"/>
  <c r="FH46" i="7"/>
  <c r="BW46" i="7"/>
  <c r="FY46" i="7"/>
  <c r="CJ46" i="7"/>
  <c r="GP46" i="7"/>
  <c r="CT46" i="7"/>
  <c r="CW46" i="7"/>
  <c r="BP46" i="7"/>
  <c r="GJ46" i="7"/>
  <c r="AG46" i="7"/>
  <c r="DX46" i="7"/>
  <c r="AT46" i="7"/>
  <c r="EL46" i="7"/>
  <c r="BG46" i="7"/>
  <c r="FA46" i="7"/>
  <c r="BT46" i="7"/>
  <c r="FR46" i="7"/>
  <c r="CD46" i="7"/>
  <c r="T46" i="7"/>
  <c r="EV46" i="7"/>
  <c r="FT46" i="7"/>
  <c r="Q46" i="7"/>
  <c r="DG46" i="7"/>
  <c r="AD46" i="7"/>
  <c r="DU46" i="7"/>
  <c r="AQ46" i="7"/>
  <c r="EI46" i="7"/>
  <c r="BD46" i="7"/>
  <c r="EX46" i="7"/>
  <c r="BN46" i="7"/>
  <c r="GO46" i="7"/>
  <c r="BO46" i="7"/>
  <c r="FD46" i="7"/>
  <c r="GF46" i="7"/>
  <c r="CQ46" i="7"/>
  <c r="DD46" i="7"/>
  <c r="AA46" i="7"/>
  <c r="DR46" i="7"/>
  <c r="AN46" i="7"/>
  <c r="EF46" i="7"/>
  <c r="AX46" i="7"/>
  <c r="CV46" i="7"/>
  <c r="AZ46" i="7"/>
  <c r="EN46" i="7"/>
  <c r="FL46" i="7"/>
  <c r="CA46" i="7"/>
  <c r="GC46" i="7"/>
  <c r="CN46" i="7"/>
  <c r="GT46" i="7"/>
  <c r="DA46" i="7"/>
  <c r="X46" i="7"/>
  <c r="DO46" i="7"/>
  <c r="AH46" i="7"/>
  <c r="S46" i="7"/>
  <c r="EU46" i="7"/>
  <c r="GI46" i="7"/>
  <c r="ER46" i="7"/>
  <c r="BK46" i="7"/>
  <c r="FI46" i="7"/>
  <c r="BX46" i="7"/>
  <c r="FZ46" i="7"/>
  <c r="CK46" i="7"/>
  <c r="GQ46" i="7"/>
  <c r="CX46" i="7"/>
  <c r="R46" i="7"/>
  <c r="GN46" i="7"/>
  <c r="BA46" i="7"/>
  <c r="FS46" i="7"/>
  <c r="DY46" i="7"/>
  <c r="AU46" i="7"/>
  <c r="EM46" i="7"/>
  <c r="BH46" i="7"/>
  <c r="FB46" i="7"/>
  <c r="BU46" i="7"/>
  <c r="FV46" i="7"/>
  <c r="CH46" i="7"/>
  <c r="ED46" i="7"/>
  <c r="CU46" i="7"/>
  <c r="EE46" i="7"/>
  <c r="FC46" i="7"/>
  <c r="DH46" i="7"/>
  <c r="AE46" i="7"/>
  <c r="DV46" i="7"/>
  <c r="AR46" i="7"/>
  <c r="EJ46" i="7"/>
  <c r="BE46" i="7"/>
  <c r="EY46" i="7"/>
  <c r="BR46" i="7"/>
  <c r="AY46" i="7"/>
  <c r="GL46" i="7"/>
  <c r="GM46" i="7"/>
  <c r="GG46" i="7"/>
  <c r="CR46" i="7"/>
  <c r="DE46" i="7"/>
  <c r="AB46" i="7"/>
  <c r="DS46" i="7"/>
  <c r="AO46" i="7"/>
  <c r="EG46" i="7"/>
  <c r="BB46" i="7"/>
  <c r="EC46" i="7"/>
  <c r="CG46" i="7"/>
  <c r="FW46" i="7"/>
  <c r="FM46" i="7"/>
  <c r="CB46" i="7"/>
  <c r="GD46" i="7"/>
  <c r="CO46" i="7"/>
  <c r="GU46" i="7"/>
  <c r="DB46" i="7"/>
  <c r="Y46" i="7"/>
  <c r="DP46" i="7"/>
  <c r="AL46" i="7"/>
  <c r="AK46" i="7"/>
  <c r="FQ46" i="7"/>
  <c r="FG46" i="7"/>
  <c r="ES46" i="7"/>
  <c r="BL46" i="7"/>
  <c r="FJ46" i="7"/>
  <c r="BY46" i="7"/>
  <c r="GA46" i="7"/>
  <c r="CL46" i="7"/>
  <c r="GR46" i="7"/>
  <c r="CY46" i="7"/>
  <c r="V46" i="7"/>
  <c r="DN46" i="7"/>
  <c r="CF46" i="7"/>
  <c r="EQ46" i="7"/>
  <c r="DZ46" i="7"/>
  <c r="AV46" i="7"/>
  <c r="EO46" i="7"/>
  <c r="BI46" i="7"/>
  <c r="FF46" i="7"/>
  <c r="BV46" i="7"/>
  <c r="FX46" i="7"/>
  <c r="CI46" i="7"/>
  <c r="GH46" i="7"/>
  <c r="AJ46" i="7"/>
  <c r="FP46" i="7"/>
  <c r="DK46" i="7"/>
  <c r="CS46" i="7"/>
  <c r="P46" i="7"/>
  <c r="DF46" i="7"/>
  <c r="AC46" i="7"/>
  <c r="DT46" i="7"/>
  <c r="AP46" i="7"/>
  <c r="EH46" i="7"/>
  <c r="BC46" i="7"/>
  <c r="ET46" i="7"/>
  <c r="AI46" i="7"/>
  <c r="FO46" i="7"/>
  <c r="CE46" i="7"/>
  <c r="EA46" i="7"/>
  <c r="DI46" i="7"/>
  <c r="AF46" i="7"/>
  <c r="DW46" i="7"/>
  <c r="AS46" i="7"/>
  <c r="EK46" i="7"/>
  <c r="BF46" i="7"/>
  <c r="EZ46" i="7"/>
  <c r="BS46" i="7"/>
  <c r="FN46" i="7"/>
  <c r="DM46" i="7"/>
  <c r="CQ10" i="7"/>
  <c r="BU10" i="7"/>
  <c r="DV10" i="7"/>
  <c r="AT10" i="7"/>
  <c r="FG10" i="7"/>
  <c r="CU10" i="7"/>
  <c r="GR10" i="7"/>
  <c r="EE10" i="7"/>
  <c r="DS10" i="7"/>
  <c r="CI10" i="7"/>
  <c r="FQ10" i="7"/>
  <c r="CW10" i="7"/>
  <c r="CA10" i="7"/>
  <c r="EB10" i="7"/>
  <c r="BD10" i="7"/>
  <c r="FM10" i="7"/>
  <c r="DB10" i="7"/>
  <c r="EK10" i="7"/>
  <c r="EL10" i="7"/>
  <c r="DE10" i="7"/>
  <c r="AP10" i="7"/>
  <c r="AR10" i="7"/>
  <c r="DC10" i="7"/>
  <c r="CG10" i="7"/>
  <c r="EH10" i="7"/>
  <c r="BL10" i="7"/>
  <c r="FS10" i="7"/>
  <c r="DJ10" i="7"/>
  <c r="V10" i="7"/>
  <c r="EQ10" i="7"/>
  <c r="FD10" i="7"/>
  <c r="DZ10" i="7"/>
  <c r="BQ10" i="7"/>
  <c r="Q10" i="7"/>
  <c r="DI10" i="7"/>
  <c r="R10" i="7"/>
  <c r="EN10" i="7"/>
  <c r="BV10" i="7"/>
  <c r="FY10" i="7"/>
  <c r="DQ10" i="7"/>
  <c r="AF10" i="7"/>
  <c r="EW10" i="7"/>
  <c r="FV10" i="7"/>
  <c r="ER10" i="7"/>
  <c r="CP10" i="7"/>
  <c r="W10" i="7"/>
  <c r="DO10" i="7"/>
  <c r="AA10" i="7"/>
  <c r="ET10" i="7"/>
  <c r="CD10" i="7"/>
  <c r="GE10" i="7"/>
  <c r="DX10" i="7"/>
  <c r="AN10" i="7"/>
  <c r="FC10" i="7"/>
  <c r="GN10" i="7"/>
  <c r="FJ10" i="7"/>
  <c r="DL10" i="7"/>
  <c r="AC10" i="7"/>
  <c r="DU10" i="7"/>
  <c r="AJ10" i="7"/>
  <c r="EZ10" i="7"/>
  <c r="CM10" i="7"/>
  <c r="GK10" i="7"/>
  <c r="ED10" i="7"/>
  <c r="AX10" i="7"/>
  <c r="FI10" i="7"/>
  <c r="Z10" i="7"/>
  <c r="GB10" i="7"/>
  <c r="EF10" i="7"/>
  <c r="AI10" i="7"/>
  <c r="AS10" i="7"/>
  <c r="FF10" i="7"/>
  <c r="CT10" i="7"/>
  <c r="GQ10" i="7"/>
  <c r="EJ10" i="7"/>
  <c r="BF10" i="7"/>
  <c r="FO10" i="7"/>
  <c r="AZ10" i="7"/>
  <c r="GT10" i="7"/>
  <c r="EX10" i="7"/>
  <c r="AO10" i="7"/>
  <c r="S10" i="7"/>
  <c r="BB10" i="7"/>
  <c r="FL10" i="7"/>
  <c r="DA10" i="7"/>
  <c r="U10" i="7"/>
  <c r="EP10" i="7"/>
  <c r="BP10" i="7"/>
  <c r="FU10" i="7"/>
  <c r="CB10" i="7"/>
  <c r="AH10" i="7"/>
  <c r="FP10" i="7"/>
  <c r="AU10" i="7"/>
  <c r="Y10" i="7"/>
  <c r="BK10" i="7"/>
  <c r="FR10" i="7"/>
  <c r="DH10" i="7"/>
  <c r="AD10" i="7"/>
  <c r="EV10" i="7"/>
  <c r="BX10" i="7"/>
  <c r="GA10" i="7"/>
  <c r="CY10" i="7"/>
  <c r="BJ10" i="7"/>
  <c r="GH10" i="7"/>
  <c r="BA10" i="7"/>
  <c r="AE10" i="7"/>
  <c r="BT10" i="7"/>
  <c r="FX10" i="7"/>
  <c r="DP10" i="7"/>
  <c r="AM10" i="7"/>
  <c r="FB10" i="7"/>
  <c r="CH10" i="7"/>
  <c r="GG10" i="7"/>
  <c r="DT10" i="7"/>
  <c r="CJ10" i="7"/>
  <c r="BR10" i="7"/>
  <c r="BG10" i="7"/>
  <c r="AK10" i="7"/>
  <c r="CC10" i="7"/>
  <c r="GD10" i="7"/>
  <c r="DW10" i="7"/>
  <c r="AV10" i="7"/>
  <c r="FH10" i="7"/>
  <c r="CO10" i="7"/>
  <c r="GM10" i="7"/>
  <c r="EM10" i="7"/>
  <c r="DF10" i="7"/>
  <c r="GI10" i="7"/>
  <c r="BM10" i="7"/>
  <c r="AQ10" i="7"/>
  <c r="CL10" i="7"/>
  <c r="GJ10" i="7"/>
  <c r="EC10" i="7"/>
  <c r="BE10" i="7"/>
  <c r="FN10" i="7"/>
  <c r="CV10" i="7"/>
  <c r="GS10" i="7"/>
  <c r="FE10" i="7"/>
  <c r="EA10" i="7"/>
  <c r="CR10" i="7"/>
  <c r="BS10" i="7"/>
  <c r="AW10" i="7"/>
  <c r="CS10" i="7"/>
  <c r="GP10" i="7"/>
  <c r="EI10" i="7"/>
  <c r="BN10" i="7"/>
  <c r="FT10" i="7"/>
  <c r="DD10" i="7"/>
  <c r="X10" i="7"/>
  <c r="FW10" i="7"/>
  <c r="ES10" i="7"/>
  <c r="DM10" i="7"/>
  <c r="BY10" i="7"/>
  <c r="BC10" i="7"/>
  <c r="CZ10" i="7"/>
  <c r="T10" i="7"/>
  <c r="EO10" i="7"/>
  <c r="BW10" i="7"/>
  <c r="FZ10" i="7"/>
  <c r="DK10" i="7"/>
  <c r="AY10" i="7"/>
  <c r="GO10" i="7"/>
  <c r="FK10" i="7"/>
  <c r="EG10" i="7"/>
  <c r="CE10" i="7"/>
  <c r="BI10" i="7"/>
  <c r="DG10" i="7"/>
  <c r="AB10" i="7"/>
  <c r="EU10" i="7"/>
  <c r="CF10" i="7"/>
  <c r="GF10" i="7"/>
  <c r="DR10" i="7"/>
  <c r="BZ10" i="7"/>
  <c r="AG10" i="7"/>
  <c r="GC10" i="7"/>
  <c r="P10" i="7"/>
  <c r="CK10" i="7"/>
  <c r="BO10" i="7"/>
  <c r="DN10" i="7"/>
  <c r="AL10" i="7"/>
  <c r="FA10" i="7"/>
  <c r="CN10" i="7"/>
  <c r="GL10" i="7"/>
  <c r="DY10" i="7"/>
  <c r="CX10" i="7"/>
  <c r="BH10" i="7"/>
  <c r="GU10" i="7"/>
  <c r="EY10" i="7"/>
  <c r="J45" i="7"/>
  <c r="K45" i="7"/>
  <c r="J9" i="7"/>
  <c r="K9" i="7"/>
  <c r="DT69" i="7"/>
  <c r="BG69" i="7"/>
  <c r="GC69" i="7"/>
  <c r="DP69" i="7"/>
  <c r="BC69" i="7"/>
  <c r="FY69" i="7"/>
  <c r="DL69" i="7"/>
  <c r="AY69" i="7"/>
  <c r="FU69" i="7"/>
  <c r="DH69" i="7"/>
  <c r="AU69" i="7"/>
  <c r="EL69" i="7"/>
  <c r="DD69" i="7"/>
  <c r="AQ69" i="7"/>
  <c r="FM69" i="7"/>
  <c r="CZ69" i="7"/>
  <c r="AM69" i="7"/>
  <c r="FI69" i="7"/>
  <c r="CV69" i="7"/>
  <c r="AI69" i="7"/>
  <c r="FE69" i="7"/>
  <c r="CR69" i="7"/>
  <c r="AE69" i="7"/>
  <c r="DV69" i="7"/>
  <c r="CN69" i="7"/>
  <c r="AA69" i="7"/>
  <c r="EW69" i="7"/>
  <c r="CJ69" i="7"/>
  <c r="W69" i="7"/>
  <c r="ES69" i="7"/>
  <c r="CF69" i="7"/>
  <c r="S69" i="7"/>
  <c r="EO69" i="7"/>
  <c r="CB69" i="7"/>
  <c r="GG69" i="7"/>
  <c r="DF69" i="7"/>
  <c r="BX69" i="7"/>
  <c r="GT69" i="7"/>
  <c r="EG69" i="7"/>
  <c r="BT69" i="7"/>
  <c r="GP69" i="7"/>
  <c r="EC69" i="7"/>
  <c r="BP69" i="7"/>
  <c r="GL69" i="7"/>
  <c r="DY69" i="7"/>
  <c r="BL69" i="7"/>
  <c r="FQ69" i="7"/>
  <c r="CP69" i="7"/>
  <c r="BH69" i="7"/>
  <c r="GD69" i="7"/>
  <c r="DQ69" i="7"/>
  <c r="BD69" i="7"/>
  <c r="FZ69" i="7"/>
  <c r="DM69" i="7"/>
  <c r="AZ69" i="7"/>
  <c r="FV69" i="7"/>
  <c r="DI69" i="7"/>
  <c r="AV69" i="7"/>
  <c r="FA69" i="7"/>
  <c r="BZ69" i="7"/>
  <c r="AR69" i="7"/>
  <c r="FN69" i="7"/>
  <c r="DA69" i="7"/>
  <c r="AN69" i="7"/>
  <c r="FJ69" i="7"/>
  <c r="CW69" i="7"/>
  <c r="AJ69" i="7"/>
  <c r="FF69" i="7"/>
  <c r="CS69" i="7"/>
  <c r="AF69" i="7"/>
  <c r="EK69" i="7"/>
  <c r="BJ69" i="7"/>
  <c r="AB69" i="7"/>
  <c r="EX69" i="7"/>
  <c r="CK69" i="7"/>
  <c r="X69" i="7"/>
  <c r="ET69" i="7"/>
  <c r="CG69" i="7"/>
  <c r="T69" i="7"/>
  <c r="EP69" i="7"/>
  <c r="CC69" i="7"/>
  <c r="DU69" i="7"/>
  <c r="AT69" i="7"/>
  <c r="GU69" i="7"/>
  <c r="EH69" i="7"/>
  <c r="BU69" i="7"/>
  <c r="GQ69" i="7"/>
  <c r="ED69" i="7"/>
  <c r="BQ69" i="7"/>
  <c r="GM69" i="7"/>
  <c r="DZ69" i="7"/>
  <c r="BM69" i="7"/>
  <c r="GI69" i="7"/>
  <c r="DE69" i="7"/>
  <c r="AD69" i="7"/>
  <c r="GE69" i="7"/>
  <c r="DR69" i="7"/>
  <c r="BE69" i="7"/>
  <c r="GA69" i="7"/>
  <c r="DN69" i="7"/>
  <c r="BA69" i="7"/>
  <c r="FW69" i="7"/>
  <c r="DJ69" i="7"/>
  <c r="AW69" i="7"/>
  <c r="FS69" i="7"/>
  <c r="CO69" i="7"/>
  <c r="FO69" i="7"/>
  <c r="DB69" i="7"/>
  <c r="AO69" i="7"/>
  <c r="FK69" i="7"/>
  <c r="CX69" i="7"/>
  <c r="AK69" i="7"/>
  <c r="FG69" i="7"/>
  <c r="CT69" i="7"/>
  <c r="AG69" i="7"/>
  <c r="FC69" i="7"/>
  <c r="BY69" i="7"/>
  <c r="EY69" i="7"/>
  <c r="CL69" i="7"/>
  <c r="Y69" i="7"/>
  <c r="EU69" i="7"/>
  <c r="CH69" i="7"/>
  <c r="U69" i="7"/>
  <c r="EQ69" i="7"/>
  <c r="CD69" i="7"/>
  <c r="EM69" i="7"/>
  <c r="BI69" i="7"/>
  <c r="EI69" i="7"/>
  <c r="BV69" i="7"/>
  <c r="GR69" i="7"/>
  <c r="EE69" i="7"/>
  <c r="BR69" i="7"/>
  <c r="GN69" i="7"/>
  <c r="EA69" i="7"/>
  <c r="BN69" i="7"/>
  <c r="GJ69" i="7"/>
  <c r="DW69" i="7"/>
  <c r="AS69" i="7"/>
  <c r="GF69" i="7"/>
  <c r="DS69" i="7"/>
  <c r="BF69" i="7"/>
  <c r="GB69" i="7"/>
  <c r="DO69" i="7"/>
  <c r="BB69" i="7"/>
  <c r="FX69" i="7"/>
  <c r="DK69" i="7"/>
  <c r="AX69" i="7"/>
  <c r="FT69" i="7"/>
  <c r="DG69" i="7"/>
  <c r="AC69" i="7"/>
  <c r="FP69" i="7"/>
  <c r="DC69" i="7"/>
  <c r="AP69" i="7"/>
  <c r="FL69" i="7"/>
  <c r="CY69" i="7"/>
  <c r="AL69" i="7"/>
  <c r="FH69" i="7"/>
  <c r="CU69" i="7"/>
  <c r="AH69" i="7"/>
  <c r="FD69" i="7"/>
  <c r="CQ69" i="7"/>
  <c r="GH69" i="7"/>
  <c r="EZ69" i="7"/>
  <c r="CM69" i="7"/>
  <c r="Z69" i="7"/>
  <c r="EV69" i="7"/>
  <c r="CI69" i="7"/>
  <c r="V69" i="7"/>
  <c r="ER69" i="7"/>
  <c r="CE69" i="7"/>
  <c r="EN69" i="7"/>
  <c r="CA69" i="7"/>
  <c r="FR69" i="7"/>
  <c r="EB69" i="7"/>
  <c r="BO69" i="7"/>
  <c r="GK69" i="7"/>
  <c r="DX69" i="7"/>
  <c r="BK69" i="7"/>
  <c r="FB69" i="7"/>
  <c r="EJ69" i="7"/>
  <c r="BW69" i="7"/>
  <c r="GS69" i="7"/>
  <c r="EF69" i="7"/>
  <c r="GO69" i="7"/>
  <c r="BS69" i="7"/>
  <c r="AB33" i="7"/>
  <c r="DT33" i="7"/>
  <c r="AC33" i="7"/>
  <c r="DU33" i="7"/>
  <c r="AD33" i="7"/>
  <c r="DV33" i="7"/>
  <c r="AK33" i="7"/>
  <c r="EC33" i="7"/>
  <c r="CT33" i="7"/>
  <c r="AF33" i="7"/>
  <c r="EK33" i="7"/>
  <c r="AM33" i="7"/>
  <c r="AH33" i="7"/>
  <c r="DZ33" i="7"/>
  <c r="AI33" i="7"/>
  <c r="EA33" i="7"/>
  <c r="AJ33" i="7"/>
  <c r="EB33" i="7"/>
  <c r="AQ33" i="7"/>
  <c r="EI33" i="7"/>
  <c r="DL33" i="7"/>
  <c r="AX33" i="7"/>
  <c r="FC33" i="7"/>
  <c r="BE33" i="7"/>
  <c r="AN33" i="7"/>
  <c r="EF33" i="7"/>
  <c r="AO33" i="7"/>
  <c r="EG33" i="7"/>
  <c r="AP33" i="7"/>
  <c r="EH33" i="7"/>
  <c r="AW33" i="7"/>
  <c r="EO33" i="7"/>
  <c r="ED33" i="7"/>
  <c r="BP33" i="7"/>
  <c r="FU33" i="7"/>
  <c r="BW33" i="7"/>
  <c r="AT33" i="7"/>
  <c r="EL33" i="7"/>
  <c r="AU33" i="7"/>
  <c r="EM33" i="7"/>
  <c r="AV33" i="7"/>
  <c r="EN33" i="7"/>
  <c r="BC33" i="7"/>
  <c r="EU33" i="7"/>
  <c r="EV33" i="7"/>
  <c r="CH33" i="7"/>
  <c r="GM33" i="7"/>
  <c r="CO33" i="7"/>
  <c r="AZ33" i="7"/>
  <c r="ER33" i="7"/>
  <c r="BA33" i="7"/>
  <c r="ES33" i="7"/>
  <c r="BB33" i="7"/>
  <c r="ET33" i="7"/>
  <c r="BI33" i="7"/>
  <c r="FA33" i="7"/>
  <c r="FN33" i="7"/>
  <c r="CZ33" i="7"/>
  <c r="T33" i="7"/>
  <c r="DG33" i="7"/>
  <c r="BF33" i="7"/>
  <c r="EX33" i="7"/>
  <c r="BG33" i="7"/>
  <c r="EY33" i="7"/>
  <c r="BH33" i="7"/>
  <c r="EZ33" i="7"/>
  <c r="BO33" i="7"/>
  <c r="FG33" i="7"/>
  <c r="GF33" i="7"/>
  <c r="DR33" i="7"/>
  <c r="AL33" i="7"/>
  <c r="DY33" i="7"/>
  <c r="BL33" i="7"/>
  <c r="FD33" i="7"/>
  <c r="BM33" i="7"/>
  <c r="FE33" i="7"/>
  <c r="BN33" i="7"/>
  <c r="FF33" i="7"/>
  <c r="BU33" i="7"/>
  <c r="FM33" i="7"/>
  <c r="AA33" i="7"/>
  <c r="EJ33" i="7"/>
  <c r="BD33" i="7"/>
  <c r="EQ33" i="7"/>
  <c r="BR33" i="7"/>
  <c r="FJ33" i="7"/>
  <c r="BS33" i="7"/>
  <c r="FK33" i="7"/>
  <c r="BT33" i="7"/>
  <c r="FL33" i="7"/>
  <c r="CA33" i="7"/>
  <c r="FS33" i="7"/>
  <c r="AS33" i="7"/>
  <c r="FB33" i="7"/>
  <c r="BV33" i="7"/>
  <c r="FI33" i="7"/>
  <c r="BX33" i="7"/>
  <c r="FP33" i="7"/>
  <c r="BY33" i="7"/>
  <c r="FQ33" i="7"/>
  <c r="BZ33" i="7"/>
  <c r="FR33" i="7"/>
  <c r="CG33" i="7"/>
  <c r="FY33" i="7"/>
  <c r="BK33" i="7"/>
  <c r="FT33" i="7"/>
  <c r="CN33" i="7"/>
  <c r="GA33" i="7"/>
  <c r="CD33" i="7"/>
  <c r="FV33" i="7"/>
  <c r="CE33" i="7"/>
  <c r="FW33" i="7"/>
  <c r="CF33" i="7"/>
  <c r="FX33" i="7"/>
  <c r="CM33" i="7"/>
  <c r="GE33" i="7"/>
  <c r="CC33" i="7"/>
  <c r="GL33" i="7"/>
  <c r="DF33" i="7"/>
  <c r="GS33" i="7"/>
  <c r="CJ33" i="7"/>
  <c r="GB33" i="7"/>
  <c r="CK33" i="7"/>
  <c r="GC33" i="7"/>
  <c r="CL33" i="7"/>
  <c r="GD33" i="7"/>
  <c r="CS33" i="7"/>
  <c r="GK33" i="7"/>
  <c r="CU33" i="7"/>
  <c r="AG33" i="7"/>
  <c r="DX33" i="7"/>
  <c r="CP33" i="7"/>
  <c r="GH33" i="7"/>
  <c r="CQ33" i="7"/>
  <c r="GI33" i="7"/>
  <c r="CR33" i="7"/>
  <c r="GJ33" i="7"/>
  <c r="CY33" i="7"/>
  <c r="GQ33" i="7"/>
  <c r="DM33" i="7"/>
  <c r="AY33" i="7"/>
  <c r="EP33" i="7"/>
  <c r="CV33" i="7"/>
  <c r="GN33" i="7"/>
  <c r="CW33" i="7"/>
  <c r="GO33" i="7"/>
  <c r="CX33" i="7"/>
  <c r="GP33" i="7"/>
  <c r="DE33" i="7"/>
  <c r="Z33" i="7"/>
  <c r="EE33" i="7"/>
  <c r="BQ33" i="7"/>
  <c r="FH33" i="7"/>
  <c r="DB33" i="7"/>
  <c r="GT33" i="7"/>
  <c r="DC33" i="7"/>
  <c r="GU33" i="7"/>
  <c r="DD33" i="7"/>
  <c r="S33" i="7"/>
  <c r="DK33" i="7"/>
  <c r="AR33" i="7"/>
  <c r="EW33" i="7"/>
  <c r="CI33" i="7"/>
  <c r="FZ33" i="7"/>
  <c r="DH33" i="7"/>
  <c r="DI33" i="7"/>
  <c r="DJ33" i="7"/>
  <c r="Y33" i="7"/>
  <c r="DQ33" i="7"/>
  <c r="BJ33" i="7"/>
  <c r="FO33" i="7"/>
  <c r="DA33" i="7"/>
  <c r="GR33" i="7"/>
  <c r="V33" i="7"/>
  <c r="DN33" i="7"/>
  <c r="W33" i="7"/>
  <c r="DO33" i="7"/>
  <c r="X33" i="7"/>
  <c r="DP33" i="7"/>
  <c r="AE33" i="7"/>
  <c r="DW33" i="7"/>
  <c r="CB33" i="7"/>
  <c r="GG33" i="7"/>
  <c r="DS33" i="7"/>
  <c r="U33" i="7"/>
  <c r="J53" i="7"/>
  <c r="J17" i="7"/>
  <c r="GD53" i="7"/>
  <c r="DQ53" i="7"/>
  <c r="BD53" i="7"/>
  <c r="FZ53" i="7"/>
  <c r="DM53" i="7"/>
  <c r="AZ53" i="7"/>
  <c r="FV53" i="7"/>
  <c r="DI53" i="7"/>
  <c r="AV53" i="7"/>
  <c r="FQ53" i="7"/>
  <c r="DD53" i="7"/>
  <c r="FO53" i="7"/>
  <c r="FN53" i="7"/>
  <c r="DA53" i="7"/>
  <c r="AN53" i="7"/>
  <c r="FJ53" i="7"/>
  <c r="CW53" i="7"/>
  <c r="AJ53" i="7"/>
  <c r="FF53" i="7"/>
  <c r="CS53" i="7"/>
  <c r="AF53" i="7"/>
  <c r="FA53" i="7"/>
  <c r="CN53" i="7"/>
  <c r="AQ53" i="7"/>
  <c r="EX53" i="7"/>
  <c r="CK53" i="7"/>
  <c r="X53" i="7"/>
  <c r="ET53" i="7"/>
  <c r="CG53" i="7"/>
  <c r="T53" i="7"/>
  <c r="EP53" i="7"/>
  <c r="CC53" i="7"/>
  <c r="P53" i="7"/>
  <c r="EK53" i="7"/>
  <c r="BX53" i="7"/>
  <c r="FB53" i="7"/>
  <c r="EH53" i="7"/>
  <c r="BU53" i="7"/>
  <c r="GQ53" i="7"/>
  <c r="ED53" i="7"/>
  <c r="BQ53" i="7"/>
  <c r="GM53" i="7"/>
  <c r="DZ53" i="7"/>
  <c r="BM53" i="7"/>
  <c r="GI53" i="7"/>
  <c r="DU53" i="7"/>
  <c r="BH53" i="7"/>
  <c r="AD53" i="7"/>
  <c r="DR53" i="7"/>
  <c r="BE53" i="7"/>
  <c r="GA53" i="7"/>
  <c r="DN53" i="7"/>
  <c r="BA53" i="7"/>
  <c r="FW53" i="7"/>
  <c r="DJ53" i="7"/>
  <c r="AW53" i="7"/>
  <c r="FS53" i="7"/>
  <c r="DE53" i="7"/>
  <c r="AR53" i="7"/>
  <c r="EY53" i="7"/>
  <c r="DB53" i="7"/>
  <c r="AO53" i="7"/>
  <c r="FK53" i="7"/>
  <c r="CX53" i="7"/>
  <c r="AK53" i="7"/>
  <c r="FG53" i="7"/>
  <c r="CT53" i="7"/>
  <c r="AG53" i="7"/>
  <c r="FC53" i="7"/>
  <c r="CO53" i="7"/>
  <c r="AB53" i="7"/>
  <c r="AA53" i="7"/>
  <c r="CL53" i="7"/>
  <c r="Y53" i="7"/>
  <c r="EU53" i="7"/>
  <c r="CH53" i="7"/>
  <c r="U53" i="7"/>
  <c r="EQ53" i="7"/>
  <c r="CD53" i="7"/>
  <c r="Q53" i="7"/>
  <c r="EM53" i="7"/>
  <c r="BY53" i="7"/>
  <c r="L53" i="7"/>
  <c r="EL53" i="7"/>
  <c r="BV53" i="7"/>
  <c r="GR53" i="7"/>
  <c r="EE53" i="7"/>
  <c r="BR53" i="7"/>
  <c r="GN53" i="7"/>
  <c r="EA53" i="7"/>
  <c r="BN53" i="7"/>
  <c r="GJ53" i="7"/>
  <c r="DW53" i="7"/>
  <c r="BI53" i="7"/>
  <c r="BZ53" i="7"/>
  <c r="N53" i="7"/>
  <c r="BF53" i="7"/>
  <c r="GB53" i="7"/>
  <c r="DO53" i="7"/>
  <c r="BB53" i="7"/>
  <c r="FX53" i="7"/>
  <c r="DK53" i="7"/>
  <c r="AX53" i="7"/>
  <c r="FT53" i="7"/>
  <c r="DG53" i="7"/>
  <c r="AS53" i="7"/>
  <c r="GU53" i="7"/>
  <c r="EI53" i="7"/>
  <c r="AP53" i="7"/>
  <c r="FL53" i="7"/>
  <c r="CY53" i="7"/>
  <c r="AL53" i="7"/>
  <c r="FH53" i="7"/>
  <c r="CU53" i="7"/>
  <c r="AH53" i="7"/>
  <c r="FD53" i="7"/>
  <c r="CQ53" i="7"/>
  <c r="AC53" i="7"/>
  <c r="BW53" i="7"/>
  <c r="K53" i="7"/>
  <c r="Z53" i="7"/>
  <c r="EV53" i="7"/>
  <c r="CI53" i="7"/>
  <c r="V53" i="7"/>
  <c r="ER53" i="7"/>
  <c r="CE53" i="7"/>
  <c r="R53" i="7"/>
  <c r="EN53" i="7"/>
  <c r="CA53" i="7"/>
  <c r="M53" i="7"/>
  <c r="GH53" i="7"/>
  <c r="DV53" i="7"/>
  <c r="GS53" i="7"/>
  <c r="EF53" i="7"/>
  <c r="BS53" i="7"/>
  <c r="GO53" i="7"/>
  <c r="EB53" i="7"/>
  <c r="BO53" i="7"/>
  <c r="GK53" i="7"/>
  <c r="DX53" i="7"/>
  <c r="BK53" i="7"/>
  <c r="GF53" i="7"/>
  <c r="BJ53" i="7"/>
  <c r="DS53" i="7"/>
  <c r="GC53" i="7"/>
  <c r="DP53" i="7"/>
  <c r="BC53" i="7"/>
  <c r="FY53" i="7"/>
  <c r="DL53" i="7"/>
  <c r="AY53" i="7"/>
  <c r="FU53" i="7"/>
  <c r="DH53" i="7"/>
  <c r="AU53" i="7"/>
  <c r="FP53" i="7"/>
  <c r="GE53" i="7"/>
  <c r="CM53" i="7"/>
  <c r="FM53" i="7"/>
  <c r="CZ53" i="7"/>
  <c r="AM53" i="7"/>
  <c r="FI53" i="7"/>
  <c r="CV53" i="7"/>
  <c r="AI53" i="7"/>
  <c r="FE53" i="7"/>
  <c r="CR53" i="7"/>
  <c r="AE53" i="7"/>
  <c r="EZ53" i="7"/>
  <c r="BG53" i="7"/>
  <c r="DF53" i="7"/>
  <c r="EW53" i="7"/>
  <c r="CJ53" i="7"/>
  <c r="W53" i="7"/>
  <c r="ES53" i="7"/>
  <c r="CF53" i="7"/>
  <c r="BP53" i="7"/>
  <c r="S53" i="7"/>
  <c r="GL53" i="7"/>
  <c r="EO53" i="7"/>
  <c r="DY53" i="7"/>
  <c r="CB53" i="7"/>
  <c r="BL53" i="7"/>
  <c r="O53" i="7"/>
  <c r="GG53" i="7"/>
  <c r="EJ53" i="7"/>
  <c r="GT53" i="7"/>
  <c r="DT53" i="7"/>
  <c r="EG53" i="7"/>
  <c r="FR53" i="7"/>
  <c r="BT53" i="7"/>
  <c r="AT53" i="7"/>
  <c r="GP53" i="7"/>
  <c r="DC53" i="7"/>
  <c r="EC53" i="7"/>
  <c r="CP53" i="7"/>
  <c r="AH17" i="7"/>
  <c r="DZ17" i="7"/>
  <c r="CE17" i="7"/>
  <c r="FW17" i="7"/>
  <c r="BZ17" i="7"/>
  <c r="FR17" i="7"/>
  <c r="CA17" i="7"/>
  <c r="AG17" i="7"/>
  <c r="CN17" i="7"/>
  <c r="EQ17" i="7"/>
  <c r="FZ17" i="7"/>
  <c r="CH17" i="7"/>
  <c r="AN17" i="7"/>
  <c r="EF17" i="7"/>
  <c r="CK17" i="7"/>
  <c r="GC17" i="7"/>
  <c r="CF17" i="7"/>
  <c r="FX17" i="7"/>
  <c r="CG17" i="7"/>
  <c r="AY17" i="7"/>
  <c r="DF17" i="7"/>
  <c r="FD17" i="7"/>
  <c r="GH17" i="7"/>
  <c r="FT17" i="7"/>
  <c r="AT17" i="7"/>
  <c r="EL17" i="7"/>
  <c r="CQ17" i="7"/>
  <c r="GI17" i="7"/>
  <c r="CL17" i="7"/>
  <c r="GD17" i="7"/>
  <c r="CM17" i="7"/>
  <c r="BQ17" i="7"/>
  <c r="DX17" i="7"/>
  <c r="FO17" i="7"/>
  <c r="GR17" i="7"/>
  <c r="CZ17" i="7"/>
  <c r="AZ17" i="7"/>
  <c r="ER17" i="7"/>
  <c r="CW17" i="7"/>
  <c r="GO17" i="7"/>
  <c r="CR17" i="7"/>
  <c r="GJ17" i="7"/>
  <c r="CS17" i="7"/>
  <c r="CI17" i="7"/>
  <c r="EP17" i="7"/>
  <c r="FY17" i="7"/>
  <c r="AA17" i="7"/>
  <c r="GB17" i="7"/>
  <c r="BF17" i="7"/>
  <c r="K17" i="7"/>
  <c r="DC17" i="7"/>
  <c r="GU17" i="7"/>
  <c r="CX17" i="7"/>
  <c r="GP17" i="7"/>
  <c r="CY17" i="7"/>
  <c r="DA17" i="7"/>
  <c r="FC17" i="7"/>
  <c r="GG17" i="7"/>
  <c r="AS17" i="7"/>
  <c r="N17" i="7"/>
  <c r="BL17" i="7"/>
  <c r="Q17" i="7"/>
  <c r="DI17" i="7"/>
  <c r="L17" i="7"/>
  <c r="DD17" i="7"/>
  <c r="M17" i="7"/>
  <c r="DE17" i="7"/>
  <c r="DS17" i="7"/>
  <c r="FN17" i="7"/>
  <c r="GQ17" i="7"/>
  <c r="BK17" i="7"/>
  <c r="DR17" i="7"/>
  <c r="BR17" i="7"/>
  <c r="W17" i="7"/>
  <c r="DO17" i="7"/>
  <c r="R17" i="7"/>
  <c r="DJ17" i="7"/>
  <c r="S17" i="7"/>
  <c r="DK17" i="7"/>
  <c r="EK17" i="7"/>
  <c r="FV17" i="7"/>
  <c r="Z17" i="7"/>
  <c r="CC17" i="7"/>
  <c r="GL17" i="7"/>
  <c r="BX17" i="7"/>
  <c r="AC17" i="7"/>
  <c r="DU17" i="7"/>
  <c r="X17" i="7"/>
  <c r="DP17" i="7"/>
  <c r="Y17" i="7"/>
  <c r="DQ17" i="7"/>
  <c r="FB17" i="7"/>
  <c r="GF17" i="7"/>
  <c r="AR17" i="7"/>
  <c r="CU17" i="7"/>
  <c r="AF17" i="7"/>
  <c r="CD17" i="7"/>
  <c r="AI17" i="7"/>
  <c r="EA17" i="7"/>
  <c r="AD17" i="7"/>
  <c r="DV17" i="7"/>
  <c r="AE17" i="7"/>
  <c r="DW17" i="7"/>
  <c r="FM17" i="7"/>
  <c r="GN17" i="7"/>
  <c r="BJ17" i="7"/>
  <c r="DM17" i="7"/>
  <c r="EJ17" i="7"/>
  <c r="CJ17" i="7"/>
  <c r="AO17" i="7"/>
  <c r="EG17" i="7"/>
  <c r="AJ17" i="7"/>
  <c r="EB17" i="7"/>
  <c r="AK17" i="7"/>
  <c r="EC17" i="7"/>
  <c r="FU17" i="7"/>
  <c r="U17" i="7"/>
  <c r="CB17" i="7"/>
  <c r="EE17" i="7"/>
  <c r="GT17" i="7"/>
  <c r="CP17" i="7"/>
  <c r="AU17" i="7"/>
  <c r="EM17" i="7"/>
  <c r="AP17" i="7"/>
  <c r="EH17" i="7"/>
  <c r="AQ17" i="7"/>
  <c r="EI17" i="7"/>
  <c r="GE17" i="7"/>
  <c r="AM17" i="7"/>
  <c r="CT17" i="7"/>
  <c r="EW17" i="7"/>
  <c r="AX17" i="7"/>
  <c r="CV17" i="7"/>
  <c r="BA17" i="7"/>
  <c r="ES17" i="7"/>
  <c r="AV17" i="7"/>
  <c r="EN17" i="7"/>
  <c r="AW17" i="7"/>
  <c r="EO17" i="7"/>
  <c r="GM17" i="7"/>
  <c r="BE17" i="7"/>
  <c r="DL17" i="7"/>
  <c r="FI17" i="7"/>
  <c r="EX17" i="7"/>
  <c r="DB17" i="7"/>
  <c r="BG17" i="7"/>
  <c r="EY17" i="7"/>
  <c r="BB17" i="7"/>
  <c r="ET17" i="7"/>
  <c r="BC17" i="7"/>
  <c r="EU17" i="7"/>
  <c r="T17" i="7"/>
  <c r="BW17" i="7"/>
  <c r="ED17" i="7"/>
  <c r="FS17" i="7"/>
  <c r="BP17" i="7"/>
  <c r="P17" i="7"/>
  <c r="DH17" i="7"/>
  <c r="BM17" i="7"/>
  <c r="FE17" i="7"/>
  <c r="BH17" i="7"/>
  <c r="EZ17" i="7"/>
  <c r="BI17" i="7"/>
  <c r="FA17" i="7"/>
  <c r="AL17" i="7"/>
  <c r="CO17" i="7"/>
  <c r="EV17" i="7"/>
  <c r="GA17" i="7"/>
  <c r="FJ17" i="7"/>
  <c r="V17" i="7"/>
  <c r="DN17" i="7"/>
  <c r="BS17" i="7"/>
  <c r="FK17" i="7"/>
  <c r="BN17" i="7"/>
  <c r="FF17" i="7"/>
  <c r="BO17" i="7"/>
  <c r="FG17" i="7"/>
  <c r="BD17" i="7"/>
  <c r="DG17" i="7"/>
  <c r="FH17" i="7"/>
  <c r="GK17" i="7"/>
  <c r="AB17" i="7"/>
  <c r="DT17" i="7"/>
  <c r="BY17" i="7"/>
  <c r="FQ17" i="7"/>
  <c r="BT17" i="7"/>
  <c r="FL17" i="7"/>
  <c r="BU17" i="7"/>
  <c r="O17" i="7"/>
  <c r="BV17" i="7"/>
  <c r="DY17" i="7"/>
  <c r="FP17" i="7"/>
  <c r="GS17" i="7"/>
  <c r="EG57" i="7"/>
  <c r="FK57" i="7"/>
  <c r="FI57" i="7"/>
  <c r="FF57" i="7"/>
  <c r="FT57" i="7"/>
  <c r="DE57" i="7"/>
  <c r="DT57" i="7"/>
  <c r="R57" i="7"/>
  <c r="AZ57" i="7"/>
  <c r="EQ57" i="7"/>
  <c r="AP57" i="7"/>
  <c r="GI57" i="7"/>
  <c r="DQ57" i="7"/>
  <c r="EU57" i="7"/>
  <c r="ES57" i="7"/>
  <c r="EP57" i="7"/>
  <c r="FD57" i="7"/>
  <c r="CO57" i="7"/>
  <c r="CE57" i="7"/>
  <c r="FG57" i="7"/>
  <c r="AE57" i="7"/>
  <c r="CU57" i="7"/>
  <c r="EL57" i="7"/>
  <c r="AS57" i="7"/>
  <c r="GT57" i="7"/>
  <c r="DA57" i="7"/>
  <c r="EE57" i="7"/>
  <c r="EC57" i="7"/>
  <c r="DZ57" i="7"/>
  <c r="EN57" i="7"/>
  <c r="BY57" i="7"/>
  <c r="BG57" i="7"/>
  <c r="DJ57" i="7"/>
  <c r="M57" i="7"/>
  <c r="BQ57" i="7"/>
  <c r="Z57" i="7"/>
  <c r="BK57" i="7"/>
  <c r="GD57" i="7"/>
  <c r="CK57" i="7"/>
  <c r="DO57" i="7"/>
  <c r="DM57" i="7"/>
  <c r="GK57" i="7"/>
  <c r="DX57" i="7"/>
  <c r="FW57" i="7"/>
  <c r="AL57" i="7"/>
  <c r="BZ57" i="7"/>
  <c r="EZ57" i="7"/>
  <c r="AU57" i="7"/>
  <c r="EJ57" i="7"/>
  <c r="AR57" i="7"/>
  <c r="FN57" i="7"/>
  <c r="BU57" i="7"/>
  <c r="CY57" i="7"/>
  <c r="CW57" i="7"/>
  <c r="FU57" i="7"/>
  <c r="DH57" i="7"/>
  <c r="DW57" i="7"/>
  <c r="T57" i="7"/>
  <c r="BB57" i="7"/>
  <c r="DD57" i="7"/>
  <c r="AB57" i="7"/>
  <c r="Y57" i="7"/>
  <c r="GH57" i="7"/>
  <c r="EX57" i="7"/>
  <c r="BE57" i="7"/>
  <c r="GP57" i="7"/>
  <c r="CG57" i="7"/>
  <c r="FE57" i="7"/>
  <c r="CR57" i="7"/>
  <c r="CJ57" i="7"/>
  <c r="FP57" i="7"/>
  <c r="AI57" i="7"/>
  <c r="BT57" i="7"/>
  <c r="EI57" i="7"/>
  <c r="EH57" i="7"/>
  <c r="AO57" i="7"/>
  <c r="FZ57" i="7"/>
  <c r="GN57" i="7"/>
  <c r="EO57" i="7"/>
  <c r="CB57" i="7"/>
  <c r="BI57" i="7"/>
  <c r="DS57" i="7"/>
  <c r="O57" i="7"/>
  <c r="AY57" i="7"/>
  <c r="GM57" i="7"/>
  <c r="X57" i="7"/>
  <c r="DR57" i="7"/>
  <c r="GR57" i="7"/>
  <c r="FJ57" i="7"/>
  <c r="FX57" i="7"/>
  <c r="DY57" i="7"/>
  <c r="BL57" i="7"/>
  <c r="AN57" i="7"/>
  <c r="CD57" i="7"/>
  <c r="FC57" i="7"/>
  <c r="AD57" i="7"/>
  <c r="EM57" i="7"/>
  <c r="EA57" i="7"/>
  <c r="DB57" i="7"/>
  <c r="GB57" i="7"/>
  <c r="ET57" i="7"/>
  <c r="FH57" i="7"/>
  <c r="DI57" i="7"/>
  <c r="AV57" i="7"/>
  <c r="V57" i="7"/>
  <c r="BD57" i="7"/>
  <c r="DG57" i="7"/>
  <c r="L57" i="7"/>
  <c r="CT57" i="7"/>
  <c r="W57" i="7"/>
  <c r="CL57" i="7"/>
  <c r="FL57" i="7"/>
  <c r="ED57" i="7"/>
  <c r="ER57" i="7"/>
  <c r="CS57" i="7"/>
  <c r="AF57" i="7"/>
  <c r="FS57" i="7"/>
  <c r="AK57" i="7"/>
  <c r="BX57" i="7"/>
  <c r="EY57" i="7"/>
  <c r="BP57" i="7"/>
  <c r="CQ57" i="7"/>
  <c r="BV57" i="7"/>
  <c r="EV57" i="7"/>
  <c r="DN57" i="7"/>
  <c r="EB57" i="7"/>
  <c r="CC57" i="7"/>
  <c r="P57" i="7"/>
  <c r="DV57" i="7"/>
  <c r="S57" i="7"/>
  <c r="BA57" i="7"/>
  <c r="DC57" i="7"/>
  <c r="AT57" i="7"/>
  <c r="CP57" i="7"/>
  <c r="BF57" i="7"/>
  <c r="EF57" i="7"/>
  <c r="CX57" i="7"/>
  <c r="DL57" i="7"/>
  <c r="BM57" i="7"/>
  <c r="GG57" i="7"/>
  <c r="CI57" i="7"/>
  <c r="FO57" i="7"/>
  <c r="AH57" i="7"/>
  <c r="BS57" i="7"/>
  <c r="AA57" i="7"/>
  <c r="CN57" i="7"/>
  <c r="GS57" i="7"/>
  <c r="DP57" i="7"/>
  <c r="CH57" i="7"/>
  <c r="CV57" i="7"/>
  <c r="AW57" i="7"/>
  <c r="FQ57" i="7"/>
  <c r="BH57" i="7"/>
  <c r="DK57" i="7"/>
  <c r="N57" i="7"/>
  <c r="AX57" i="7"/>
  <c r="CM57" i="7"/>
  <c r="GC57" i="7"/>
  <c r="CZ57" i="7"/>
  <c r="BR57" i="7"/>
  <c r="CF57" i="7"/>
  <c r="AG57" i="7"/>
  <c r="FA57" i="7"/>
  <c r="AM57" i="7"/>
  <c r="CA57" i="7"/>
  <c r="FB57" i="7"/>
  <c r="AC57" i="7"/>
  <c r="GF57" i="7"/>
  <c r="BO57" i="7"/>
  <c r="EW57" i="7"/>
  <c r="GA57" i="7"/>
  <c r="FY57" i="7"/>
  <c r="FV57" i="7"/>
  <c r="GJ57" i="7"/>
  <c r="DU57" i="7"/>
  <c r="FR57" i="7"/>
  <c r="AJ57" i="7"/>
  <c r="BW57" i="7"/>
  <c r="GU57" i="7"/>
  <c r="GE57" i="7"/>
  <c r="BJ57" i="7"/>
  <c r="FM57" i="7"/>
  <c r="GQ57" i="7"/>
  <c r="GO57" i="7"/>
  <c r="GL57" i="7"/>
  <c r="Q57" i="7"/>
  <c r="EK57" i="7"/>
  <c r="U57" i="7"/>
  <c r="BC57" i="7"/>
  <c r="DF57" i="7"/>
  <c r="AQ57" i="7"/>
  <c r="BN57" i="7"/>
  <c r="AF23" i="7"/>
  <c r="DX23" i="7"/>
  <c r="AA23" i="7"/>
  <c r="DS23" i="7"/>
  <c r="V23" i="7"/>
  <c r="DN23" i="7"/>
  <c r="Q23" i="7"/>
  <c r="DI23" i="7"/>
  <c r="M23" i="7"/>
  <c r="DD23" i="7"/>
  <c r="GQ23" i="7"/>
  <c r="DK23" i="7"/>
  <c r="AL23" i="7"/>
  <c r="ED23" i="7"/>
  <c r="AG23" i="7"/>
  <c r="DY23" i="7"/>
  <c r="AB23" i="7"/>
  <c r="DT23" i="7"/>
  <c r="W23" i="7"/>
  <c r="DO23" i="7"/>
  <c r="AE23" i="7"/>
  <c r="DV23" i="7"/>
  <c r="X23" i="7"/>
  <c r="EC23" i="7"/>
  <c r="AR23" i="7"/>
  <c r="EJ23" i="7"/>
  <c r="AM23" i="7"/>
  <c r="EE23" i="7"/>
  <c r="AH23" i="7"/>
  <c r="DZ23" i="7"/>
  <c r="AC23" i="7"/>
  <c r="DU23" i="7"/>
  <c r="AW23" i="7"/>
  <c r="EN23" i="7"/>
  <c r="AP23" i="7"/>
  <c r="EU23" i="7"/>
  <c r="AX23" i="7"/>
  <c r="EP23" i="7"/>
  <c r="AS23" i="7"/>
  <c r="EK23" i="7"/>
  <c r="AN23" i="7"/>
  <c r="EF23" i="7"/>
  <c r="AI23" i="7"/>
  <c r="EA23" i="7"/>
  <c r="BO23" i="7"/>
  <c r="FF23" i="7"/>
  <c r="BH23" i="7"/>
  <c r="FM23" i="7"/>
  <c r="BD23" i="7"/>
  <c r="EV23" i="7"/>
  <c r="AY23" i="7"/>
  <c r="EQ23" i="7"/>
  <c r="AT23" i="7"/>
  <c r="EL23" i="7"/>
  <c r="AO23" i="7"/>
  <c r="EG23" i="7"/>
  <c r="CG23" i="7"/>
  <c r="FX23" i="7"/>
  <c r="BZ23" i="7"/>
  <c r="GE23" i="7"/>
  <c r="BJ23" i="7"/>
  <c r="FB23" i="7"/>
  <c r="BE23" i="7"/>
  <c r="EW23" i="7"/>
  <c r="AZ23" i="7"/>
  <c r="ER23" i="7"/>
  <c r="AU23" i="7"/>
  <c r="EM23" i="7"/>
  <c r="CY23" i="7"/>
  <c r="GP23" i="7"/>
  <c r="CR23" i="7"/>
  <c r="L23" i="7"/>
  <c r="BP23" i="7"/>
  <c r="FH23" i="7"/>
  <c r="BK23" i="7"/>
  <c r="FC23" i="7"/>
  <c r="BF23" i="7"/>
  <c r="EX23" i="7"/>
  <c r="BA23" i="7"/>
  <c r="ES23" i="7"/>
  <c r="DQ23" i="7"/>
  <c r="S23" i="7"/>
  <c r="DJ23" i="7"/>
  <c r="AD23" i="7"/>
  <c r="BV23" i="7"/>
  <c r="FN23" i="7"/>
  <c r="BQ23" i="7"/>
  <c r="FI23" i="7"/>
  <c r="BL23" i="7"/>
  <c r="FD23" i="7"/>
  <c r="BG23" i="7"/>
  <c r="EY23" i="7"/>
  <c r="EI23" i="7"/>
  <c r="AK23" i="7"/>
  <c r="EB23" i="7"/>
  <c r="AV23" i="7"/>
  <c r="CB23" i="7"/>
  <c r="FT23" i="7"/>
  <c r="BW23" i="7"/>
  <c r="FO23" i="7"/>
  <c r="BR23" i="7"/>
  <c r="FJ23" i="7"/>
  <c r="BM23" i="7"/>
  <c r="FE23" i="7"/>
  <c r="FA23" i="7"/>
  <c r="BC23" i="7"/>
  <c r="ET23" i="7"/>
  <c r="BN23" i="7"/>
  <c r="CH23" i="7"/>
  <c r="FZ23" i="7"/>
  <c r="CC23" i="7"/>
  <c r="FU23" i="7"/>
  <c r="BX23" i="7"/>
  <c r="FP23" i="7"/>
  <c r="BS23" i="7"/>
  <c r="FK23" i="7"/>
  <c r="FS23" i="7"/>
  <c r="BU23" i="7"/>
  <c r="FL23" i="7"/>
  <c r="CF23" i="7"/>
  <c r="CN23" i="7"/>
  <c r="GF23" i="7"/>
  <c r="CI23" i="7"/>
  <c r="GA23" i="7"/>
  <c r="CD23" i="7"/>
  <c r="FV23" i="7"/>
  <c r="BY23" i="7"/>
  <c r="FQ23" i="7"/>
  <c r="GK23" i="7"/>
  <c r="CM23" i="7"/>
  <c r="GD23" i="7"/>
  <c r="CX23" i="7"/>
  <c r="CT23" i="7"/>
  <c r="GL23" i="7"/>
  <c r="CO23" i="7"/>
  <c r="GG23" i="7"/>
  <c r="CJ23" i="7"/>
  <c r="GB23" i="7"/>
  <c r="CE23" i="7"/>
  <c r="FW23" i="7"/>
  <c r="R23" i="7"/>
  <c r="DE23" i="7"/>
  <c r="Y23" i="7"/>
  <c r="DP23" i="7"/>
  <c r="CZ23" i="7"/>
  <c r="GR23" i="7"/>
  <c r="CU23" i="7"/>
  <c r="GM23" i="7"/>
  <c r="CP23" i="7"/>
  <c r="GH23" i="7"/>
  <c r="CK23" i="7"/>
  <c r="GC23" i="7"/>
  <c r="AJ23" i="7"/>
  <c r="DW23" i="7"/>
  <c r="AQ23" i="7"/>
  <c r="EH23" i="7"/>
  <c r="N23" i="7"/>
  <c r="DF23" i="7"/>
  <c r="DA23" i="7"/>
  <c r="GS23" i="7"/>
  <c r="CV23" i="7"/>
  <c r="GN23" i="7"/>
  <c r="CQ23" i="7"/>
  <c r="GI23" i="7"/>
  <c r="BB23" i="7"/>
  <c r="EO23" i="7"/>
  <c r="BI23" i="7"/>
  <c r="EZ23" i="7"/>
  <c r="T23" i="7"/>
  <c r="DL23" i="7"/>
  <c r="O23" i="7"/>
  <c r="DG23" i="7"/>
  <c r="DB23" i="7"/>
  <c r="GT23" i="7"/>
  <c r="CW23" i="7"/>
  <c r="GO23" i="7"/>
  <c r="BT23" i="7"/>
  <c r="FG23" i="7"/>
  <c r="CA23" i="7"/>
  <c r="FR23" i="7"/>
  <c r="Z23" i="7"/>
  <c r="DR23" i="7"/>
  <c r="U23" i="7"/>
  <c r="DM23" i="7"/>
  <c r="P23" i="7"/>
  <c r="DH23" i="7"/>
  <c r="DC23" i="7"/>
  <c r="GU23" i="7"/>
  <c r="CL23" i="7"/>
  <c r="FY23" i="7"/>
  <c r="CS23" i="7"/>
  <c r="GJ23" i="7"/>
  <c r="GL58" i="7"/>
  <c r="DY58" i="7"/>
  <c r="BL58" i="7"/>
  <c r="GH58" i="7"/>
  <c r="DU58" i="7"/>
  <c r="BH58" i="7"/>
  <c r="K58" i="7"/>
  <c r="EW58" i="7"/>
  <c r="CJ58" i="7"/>
  <c r="FF58" i="7"/>
  <c r="CS58" i="7"/>
  <c r="AF58" i="7"/>
  <c r="FB58" i="7"/>
  <c r="CO58" i="7"/>
  <c r="AB58" i="7"/>
  <c r="GD58" i="7"/>
  <c r="DQ58" i="7"/>
  <c r="DJ58" i="7"/>
  <c r="AW58" i="7"/>
  <c r="FS58" i="7"/>
  <c r="DF58" i="7"/>
  <c r="CT58" i="7"/>
  <c r="CD58" i="7"/>
  <c r="Q58" i="7"/>
  <c r="EM58" i="7"/>
  <c r="BZ58" i="7"/>
  <c r="M58" i="7"/>
  <c r="EY58" i="7"/>
  <c r="DB58" i="7"/>
  <c r="BN58" i="7"/>
  <c r="GJ58" i="7"/>
  <c r="DW58" i="7"/>
  <c r="BJ58" i="7"/>
  <c r="GF58" i="7"/>
  <c r="EI58" i="7"/>
  <c r="CL58" i="7"/>
  <c r="Y58" i="7"/>
  <c r="ES58" i="7"/>
  <c r="AX58" i="7"/>
  <c r="FT58" i="7"/>
  <c r="DG58" i="7"/>
  <c r="AT58" i="7"/>
  <c r="FP58" i="7"/>
  <c r="DS58" i="7"/>
  <c r="BV58" i="7"/>
  <c r="GR58" i="7"/>
  <c r="EC58" i="7"/>
  <c r="AH58" i="7"/>
  <c r="FD58" i="7"/>
  <c r="CQ58" i="7"/>
  <c r="AD58" i="7"/>
  <c r="EZ58" i="7"/>
  <c r="DC58" i="7"/>
  <c r="BF58" i="7"/>
  <c r="R58" i="7"/>
  <c r="EN58" i="7"/>
  <c r="CA58" i="7"/>
  <c r="N58" i="7"/>
  <c r="EJ58" i="7"/>
  <c r="CM58" i="7"/>
  <c r="AP58" i="7"/>
  <c r="GK58" i="7"/>
  <c r="DX58" i="7"/>
  <c r="BK58" i="7"/>
  <c r="GG58" i="7"/>
  <c r="DT58" i="7"/>
  <c r="BW58" i="7"/>
  <c r="Z58" i="7"/>
  <c r="EV58" i="7"/>
  <c r="CG58" i="7"/>
  <c r="EO58" i="7"/>
  <c r="CB58" i="7"/>
  <c r="O58" i="7"/>
  <c r="EK58" i="7"/>
  <c r="BX58" i="7"/>
  <c r="AA58" i="7"/>
  <c r="FU58" i="7"/>
  <c r="DV58" i="7"/>
  <c r="BG58" i="7"/>
  <c r="GB58" i="7"/>
  <c r="AK58" i="7"/>
  <c r="S58" i="7"/>
  <c r="FZ58" i="7"/>
  <c r="FK58" i="7"/>
  <c r="FE58" i="7"/>
  <c r="CP58" i="7"/>
  <c r="AQ58" i="7"/>
  <c r="FL58" i="7"/>
  <c r="U58" i="7"/>
  <c r="GQ58" i="7"/>
  <c r="DN58" i="7"/>
  <c r="FJ58" i="7"/>
  <c r="DI58" i="7"/>
  <c r="FQ58" i="7"/>
  <c r="GT58" i="7"/>
  <c r="EF58" i="7"/>
  <c r="FG58" i="7"/>
  <c r="EE58" i="7"/>
  <c r="BB58" i="7"/>
  <c r="CC58" i="7"/>
  <c r="FA58" i="7"/>
  <c r="FN58" i="7"/>
  <c r="DP58" i="7"/>
  <c r="CU58" i="7"/>
  <c r="BS58" i="7"/>
  <c r="FX58" i="7"/>
  <c r="BM58" i="7"/>
  <c r="DE58" i="7"/>
  <c r="EX58" i="7"/>
  <c r="CZ58" i="7"/>
  <c r="AI58" i="7"/>
  <c r="GP58" i="7"/>
  <c r="DL58" i="7"/>
  <c r="AG58" i="7"/>
  <c r="BY58" i="7"/>
  <c r="EH58" i="7"/>
  <c r="BT58" i="7"/>
  <c r="EU58" i="7"/>
  <c r="ED58" i="7"/>
  <c r="AZ58" i="7"/>
  <c r="DH58" i="7"/>
  <c r="BI58" i="7"/>
  <c r="DR58" i="7"/>
  <c r="BD58" i="7"/>
  <c r="CI58" i="7"/>
  <c r="BR58" i="7"/>
  <c r="FH58" i="7"/>
  <c r="CR58" i="7"/>
  <c r="AS58" i="7"/>
  <c r="GS58" i="7"/>
  <c r="AN58" i="7"/>
  <c r="W58" i="7"/>
  <c r="GN58" i="7"/>
  <c r="DK58" i="7"/>
  <c r="AV58" i="7"/>
  <c r="AC58" i="7"/>
  <c r="GC58" i="7"/>
  <c r="X58" i="7"/>
  <c r="ET58" i="7"/>
  <c r="EB58" i="7"/>
  <c r="CY58" i="7"/>
  <c r="P58" i="7"/>
  <c r="DD58" i="7"/>
  <c r="FM58" i="7"/>
  <c r="GO58" i="7"/>
  <c r="CH58" i="7"/>
  <c r="BP58" i="7"/>
  <c r="CX58" i="7"/>
  <c r="GI58" i="7"/>
  <c r="CN58" i="7"/>
  <c r="EG58" i="7"/>
  <c r="FY58" i="7"/>
  <c r="V58" i="7"/>
  <c r="GM58" i="7"/>
  <c r="CV58" i="7"/>
  <c r="FC58" i="7"/>
  <c r="AR58" i="7"/>
  <c r="DA58" i="7"/>
  <c r="FI58" i="7"/>
  <c r="ER58" i="7"/>
  <c r="EA58" i="7"/>
  <c r="AY58" i="7"/>
  <c r="AU58" i="7"/>
  <c r="L58" i="7"/>
  <c r="CK58" i="7"/>
  <c r="DM58" i="7"/>
  <c r="CF58" i="7"/>
  <c r="BO58" i="7"/>
  <c r="AM58" i="7"/>
  <c r="FV58" i="7"/>
  <c r="AE58" i="7"/>
  <c r="GU58" i="7"/>
  <c r="BU58" i="7"/>
  <c r="CW58" i="7"/>
  <c r="T58" i="7"/>
  <c r="GA58" i="7"/>
  <c r="AL58" i="7"/>
  <c r="EP58" i="7"/>
  <c r="FR58" i="7"/>
  <c r="GE58" i="7"/>
  <c r="BE58" i="7"/>
  <c r="BQ58" i="7"/>
  <c r="EQ58" i="7"/>
  <c r="DO58" i="7"/>
  <c r="AJ58" i="7"/>
  <c r="DZ58" i="7"/>
  <c r="EL58" i="7"/>
  <c r="FO58" i="7"/>
  <c r="AO58" i="7"/>
  <c r="BA58" i="7"/>
  <c r="CE58" i="7"/>
  <c r="BC58" i="7"/>
  <c r="FW58" i="7"/>
  <c r="V20" i="7"/>
  <c r="DN20" i="7"/>
  <c r="Q20" i="7"/>
  <c r="DI20" i="7"/>
  <c r="L20" i="7"/>
  <c r="DD20" i="7"/>
  <c r="M20" i="7"/>
  <c r="DE20" i="7"/>
  <c r="N20" i="7"/>
  <c r="DF20" i="7"/>
  <c r="O20" i="7"/>
  <c r="DG20" i="7"/>
  <c r="AB20" i="7"/>
  <c r="AH20" i="7"/>
  <c r="DZ20" i="7"/>
  <c r="AC20" i="7"/>
  <c r="DU20" i="7"/>
  <c r="X20" i="7"/>
  <c r="DP20" i="7"/>
  <c r="Y20" i="7"/>
  <c r="DQ20" i="7"/>
  <c r="Z20" i="7"/>
  <c r="DR20" i="7"/>
  <c r="AN20" i="7"/>
  <c r="AT20" i="7"/>
  <c r="EL20" i="7"/>
  <c r="AO20" i="7"/>
  <c r="EG20" i="7"/>
  <c r="AJ20" i="7"/>
  <c r="EB20" i="7"/>
  <c r="AK20" i="7"/>
  <c r="EC20" i="7"/>
  <c r="AL20" i="7"/>
  <c r="ED20" i="7"/>
  <c r="AM20" i="7"/>
  <c r="EE20" i="7"/>
  <c r="AZ20" i="7"/>
  <c r="ER20" i="7"/>
  <c r="AU20" i="7"/>
  <c r="EM20" i="7"/>
  <c r="AP20" i="7"/>
  <c r="EH20" i="7"/>
  <c r="AQ20" i="7"/>
  <c r="EI20" i="7"/>
  <c r="AR20" i="7"/>
  <c r="EJ20" i="7"/>
  <c r="AS20" i="7"/>
  <c r="BF20" i="7"/>
  <c r="EX20" i="7"/>
  <c r="BA20" i="7"/>
  <c r="ES20" i="7"/>
  <c r="AV20" i="7"/>
  <c r="EN20" i="7"/>
  <c r="AW20" i="7"/>
  <c r="EO20" i="7"/>
  <c r="AX20" i="7"/>
  <c r="BL20" i="7"/>
  <c r="FD20" i="7"/>
  <c r="BG20" i="7"/>
  <c r="EY20" i="7"/>
  <c r="BB20" i="7"/>
  <c r="ET20" i="7"/>
  <c r="BC20" i="7"/>
  <c r="EU20" i="7"/>
  <c r="BD20" i="7"/>
  <c r="EV20" i="7"/>
  <c r="BE20" i="7"/>
  <c r="EW20" i="7"/>
  <c r="BR20" i="7"/>
  <c r="FJ20" i="7"/>
  <c r="BM20" i="7"/>
  <c r="BX20" i="7"/>
  <c r="FP20" i="7"/>
  <c r="BS20" i="7"/>
  <c r="FK20" i="7"/>
  <c r="BN20" i="7"/>
  <c r="CD20" i="7"/>
  <c r="FV20" i="7"/>
  <c r="BY20" i="7"/>
  <c r="FQ20" i="7"/>
  <c r="BT20" i="7"/>
  <c r="FL20" i="7"/>
  <c r="BU20" i="7"/>
  <c r="FM20" i="7"/>
  <c r="BV20" i="7"/>
  <c r="FN20" i="7"/>
  <c r="BW20" i="7"/>
  <c r="FO20" i="7"/>
  <c r="CJ20" i="7"/>
  <c r="GB20" i="7"/>
  <c r="CE20" i="7"/>
  <c r="FW20" i="7"/>
  <c r="BZ20" i="7"/>
  <c r="FR20" i="7"/>
  <c r="CA20" i="7"/>
  <c r="FS20" i="7"/>
  <c r="CB20" i="7"/>
  <c r="FT20" i="7"/>
  <c r="CC20" i="7"/>
  <c r="FU20" i="7"/>
  <c r="CP20" i="7"/>
  <c r="GH20" i="7"/>
  <c r="CK20" i="7"/>
  <c r="GC20" i="7"/>
  <c r="CF20" i="7"/>
  <c r="FX20" i="7"/>
  <c r="CG20" i="7"/>
  <c r="FY20" i="7"/>
  <c r="CH20" i="7"/>
  <c r="FZ20" i="7"/>
  <c r="CI20" i="7"/>
  <c r="CV20" i="7"/>
  <c r="GN20" i="7"/>
  <c r="CQ20" i="7"/>
  <c r="GI20" i="7"/>
  <c r="CL20" i="7"/>
  <c r="GD20" i="7"/>
  <c r="CM20" i="7"/>
  <c r="GE20" i="7"/>
  <c r="CN20" i="7"/>
  <c r="GF20" i="7"/>
  <c r="DB20" i="7"/>
  <c r="GT20" i="7"/>
  <c r="CW20" i="7"/>
  <c r="GO20" i="7"/>
  <c r="CR20" i="7"/>
  <c r="GJ20" i="7"/>
  <c r="CS20" i="7"/>
  <c r="GK20" i="7"/>
  <c r="CT20" i="7"/>
  <c r="GL20" i="7"/>
  <c r="CU20" i="7"/>
  <c r="GM20" i="7"/>
  <c r="P20" i="7"/>
  <c r="DH20" i="7"/>
  <c r="K20" i="7"/>
  <c r="DC20" i="7"/>
  <c r="GU20" i="7"/>
  <c r="CX20" i="7"/>
  <c r="GP20" i="7"/>
  <c r="CY20" i="7"/>
  <c r="GQ20" i="7"/>
  <c r="CZ20" i="7"/>
  <c r="GR20" i="7"/>
  <c r="DA20" i="7"/>
  <c r="GS20" i="7"/>
  <c r="AI20" i="7"/>
  <c r="DW20" i="7"/>
  <c r="BK20" i="7"/>
  <c r="DO20" i="7"/>
  <c r="FA20" i="7"/>
  <c r="BQ20" i="7"/>
  <c r="EA20" i="7"/>
  <c r="FG20" i="7"/>
  <c r="CO20" i="7"/>
  <c r="FE20" i="7"/>
  <c r="T20" i="7"/>
  <c r="DM20" i="7"/>
  <c r="R20" i="7"/>
  <c r="AF20" i="7"/>
  <c r="DS20" i="7"/>
  <c r="AD20" i="7"/>
  <c r="BJ20" i="7"/>
  <c r="DY20" i="7"/>
  <c r="BH20" i="7"/>
  <c r="BP20" i="7"/>
  <c r="EK20" i="7"/>
  <c r="DJ20" i="7"/>
  <c r="DL20" i="7"/>
  <c r="EQ20" i="7"/>
  <c r="DV20" i="7"/>
  <c r="DX20" i="7"/>
  <c r="FC20" i="7"/>
  <c r="EZ20" i="7"/>
  <c r="EP20" i="7"/>
  <c r="FI20" i="7"/>
  <c r="FF20" i="7"/>
  <c r="FB20" i="7"/>
  <c r="GA20" i="7"/>
  <c r="S20" i="7"/>
  <c r="FH20" i="7"/>
  <c r="GG20" i="7"/>
  <c r="AE20" i="7"/>
  <c r="U20" i="7"/>
  <c r="DT20" i="7"/>
  <c r="BI20" i="7"/>
  <c r="AA20" i="7"/>
  <c r="EF20" i="7"/>
  <c r="BO20" i="7"/>
  <c r="AG20" i="7"/>
  <c r="W20" i="7"/>
  <c r="DK20" i="7"/>
  <c r="AY20" i="7"/>
  <c r="J46" i="7"/>
  <c r="J10" i="7"/>
  <c r="K10" i="7"/>
  <c r="K46" i="7"/>
  <c r="M46" i="7"/>
  <c r="N46" i="7"/>
  <c r="O46" i="7"/>
  <c r="L46" i="7"/>
  <c r="L10" i="7"/>
  <c r="O10" i="7"/>
  <c r="N10" i="7"/>
  <c r="M10" i="7"/>
  <c r="CT50" i="7"/>
  <c r="AG50" i="7"/>
  <c r="CD50" i="7"/>
  <c r="Q50" i="7"/>
  <c r="EM50" i="7"/>
  <c r="BZ50" i="7"/>
  <c r="M50" i="7"/>
  <c r="EY50" i="7"/>
  <c r="DB50" i="7"/>
  <c r="BE50" i="7"/>
  <c r="GA50" i="7"/>
  <c r="AX50" i="7"/>
  <c r="FT50" i="7"/>
  <c r="DG50" i="7"/>
  <c r="AT50" i="7"/>
  <c r="FP50" i="7"/>
  <c r="DS50" i="7"/>
  <c r="AH50" i="7"/>
  <c r="FD50" i="7"/>
  <c r="CQ50" i="7"/>
  <c r="AD50" i="7"/>
  <c r="EZ50" i="7"/>
  <c r="DC50" i="7"/>
  <c r="BF50" i="7"/>
  <c r="GR50" i="7"/>
  <c r="R50" i="7"/>
  <c r="EN50" i="7"/>
  <c r="CA50" i="7"/>
  <c r="N50" i="7"/>
  <c r="EJ50" i="7"/>
  <c r="CM50" i="7"/>
  <c r="AP50" i="7"/>
  <c r="GB50" i="7"/>
  <c r="DO50" i="7"/>
  <c r="BA50" i="7"/>
  <c r="GK50" i="7"/>
  <c r="DX50" i="7"/>
  <c r="BK50" i="7"/>
  <c r="GG50" i="7"/>
  <c r="DT50" i="7"/>
  <c r="BW50" i="7"/>
  <c r="Z50" i="7"/>
  <c r="FL50" i="7"/>
  <c r="CY50" i="7"/>
  <c r="AK50" i="7"/>
  <c r="CE50" i="7"/>
  <c r="FU50" i="7"/>
  <c r="DH50" i="7"/>
  <c r="AU50" i="7"/>
  <c r="FQ50" i="7"/>
  <c r="DD50" i="7"/>
  <c r="BG50" i="7"/>
  <c r="J50" i="7"/>
  <c r="FE50" i="7"/>
  <c r="CR50" i="7"/>
  <c r="EO50" i="7"/>
  <c r="CB50" i="7"/>
  <c r="O50" i="7"/>
  <c r="EK50" i="7"/>
  <c r="BX50" i="7"/>
  <c r="AA50" i="7"/>
  <c r="GC50" i="7"/>
  <c r="DP50" i="7"/>
  <c r="BC50" i="7"/>
  <c r="FX50" i="7"/>
  <c r="GM50" i="7"/>
  <c r="EA50" i="7"/>
  <c r="GL50" i="7"/>
  <c r="DY50" i="7"/>
  <c r="BL50" i="7"/>
  <c r="GH50" i="7"/>
  <c r="DU50" i="7"/>
  <c r="BH50" i="7"/>
  <c r="K50" i="7"/>
  <c r="FM50" i="7"/>
  <c r="CZ50" i="7"/>
  <c r="FV50" i="7"/>
  <c r="DI50" i="7"/>
  <c r="AV50" i="7"/>
  <c r="FR50" i="7"/>
  <c r="DE50" i="7"/>
  <c r="AR50" i="7"/>
  <c r="GT50" i="7"/>
  <c r="EW50" i="7"/>
  <c r="CJ50" i="7"/>
  <c r="W50" i="7"/>
  <c r="EP50" i="7"/>
  <c r="DJ50" i="7"/>
  <c r="AW50" i="7"/>
  <c r="FS50" i="7"/>
  <c r="DF50" i="7"/>
  <c r="AS50" i="7"/>
  <c r="GE50" i="7"/>
  <c r="EH50" i="7"/>
  <c r="CK50" i="7"/>
  <c r="X50" i="7"/>
  <c r="ES50" i="7"/>
  <c r="CF50" i="7"/>
  <c r="FJ50" i="7"/>
  <c r="AF50" i="7"/>
  <c r="GF50" i="7"/>
  <c r="DQ50" i="7"/>
  <c r="AM50" i="7"/>
  <c r="BP50" i="7"/>
  <c r="ET50" i="7"/>
  <c r="P50" i="7"/>
  <c r="CN50" i="7"/>
  <c r="DA50" i="7"/>
  <c r="GO50" i="7"/>
  <c r="AZ50" i="7"/>
  <c r="V50" i="7"/>
  <c r="GI50" i="7"/>
  <c r="AB50" i="7"/>
  <c r="BU50" i="7"/>
  <c r="FY50" i="7"/>
  <c r="AJ50" i="7"/>
  <c r="EQ50" i="7"/>
  <c r="FC50" i="7"/>
  <c r="L50" i="7"/>
  <c r="AO50" i="7"/>
  <c r="FI50" i="7"/>
  <c r="T50" i="7"/>
  <c r="S50" i="7"/>
  <c r="DW50" i="7"/>
  <c r="GU50" i="7"/>
  <c r="Y50" i="7"/>
  <c r="EC50" i="7"/>
  <c r="CU50" i="7"/>
  <c r="ED50" i="7"/>
  <c r="AE50" i="7"/>
  <c r="FO50" i="7"/>
  <c r="EV50" i="7"/>
  <c r="DM50" i="7"/>
  <c r="CH50" i="7"/>
  <c r="CX50" i="7"/>
  <c r="FB50" i="7"/>
  <c r="EI50" i="7"/>
  <c r="EF50" i="7"/>
  <c r="CW50" i="7"/>
  <c r="GP50" i="7"/>
  <c r="DN50" i="7"/>
  <c r="EL50" i="7"/>
  <c r="AQ50" i="7"/>
  <c r="BT50" i="7"/>
  <c r="CG50" i="7"/>
  <c r="BR50" i="7"/>
  <c r="DK50" i="7"/>
  <c r="DV50" i="7"/>
  <c r="GD50" i="7"/>
  <c r="BD50" i="7"/>
  <c r="BQ50" i="7"/>
  <c r="BO50" i="7"/>
  <c r="FF50" i="7"/>
  <c r="CP50" i="7"/>
  <c r="FN50" i="7"/>
  <c r="AN50" i="7"/>
  <c r="U50" i="7"/>
  <c r="FZ50" i="7"/>
  <c r="DZ50" i="7"/>
  <c r="BJ50" i="7"/>
  <c r="EX50" i="7"/>
  <c r="GQ50" i="7"/>
  <c r="GN50" i="7"/>
  <c r="BB50" i="7"/>
  <c r="BN50" i="7"/>
  <c r="FA50" i="7"/>
  <c r="DR50" i="7"/>
  <c r="FK50" i="7"/>
  <c r="FH50" i="7"/>
  <c r="FW50" i="7"/>
  <c r="CS50" i="7"/>
  <c r="CO50" i="7"/>
  <c r="CL50" i="7"/>
  <c r="EU50" i="7"/>
  <c r="ER50" i="7"/>
  <c r="AY50" i="7"/>
  <c r="CC50" i="7"/>
  <c r="BY50" i="7"/>
  <c r="BV50" i="7"/>
  <c r="EE50" i="7"/>
  <c r="EB50" i="7"/>
  <c r="AL50" i="7"/>
  <c r="BM50" i="7"/>
  <c r="BI50" i="7"/>
  <c r="GS50" i="7"/>
  <c r="CI50" i="7"/>
  <c r="DL50" i="7"/>
  <c r="FG50" i="7"/>
  <c r="GJ50" i="7"/>
  <c r="AC50" i="7"/>
  <c r="EG50" i="7"/>
  <c r="BS50" i="7"/>
  <c r="CV50" i="7"/>
  <c r="AI50" i="7"/>
  <c r="BD14" i="7"/>
  <c r="EV14" i="7"/>
  <c r="BE14" i="7"/>
  <c r="EW14" i="7"/>
  <c r="AZ14" i="7"/>
  <c r="ER14" i="7"/>
  <c r="X14" i="7"/>
  <c r="DP14" i="7"/>
  <c r="BO14" i="7"/>
  <c r="FW14" i="7"/>
  <c r="CQ14" i="7"/>
  <c r="GI14" i="7"/>
  <c r="BJ14" i="7"/>
  <c r="FB14" i="7"/>
  <c r="BK14" i="7"/>
  <c r="FC14" i="7"/>
  <c r="BF14" i="7"/>
  <c r="EX14" i="7"/>
  <c r="AD14" i="7"/>
  <c r="DV14" i="7"/>
  <c r="CG14" i="7"/>
  <c r="GO14" i="7"/>
  <c r="DI14" i="7"/>
  <c r="CA14" i="7"/>
  <c r="BP14" i="7"/>
  <c r="FH14" i="7"/>
  <c r="BQ14" i="7"/>
  <c r="FI14" i="7"/>
  <c r="BL14" i="7"/>
  <c r="FD14" i="7"/>
  <c r="AJ14" i="7"/>
  <c r="EB14" i="7"/>
  <c r="CY14" i="7"/>
  <c r="AK14" i="7"/>
  <c r="EA14" i="7"/>
  <c r="GE14" i="7"/>
  <c r="BV14" i="7"/>
  <c r="FN14" i="7"/>
  <c r="BW14" i="7"/>
  <c r="FO14" i="7"/>
  <c r="BR14" i="7"/>
  <c r="FJ14" i="7"/>
  <c r="AP14" i="7"/>
  <c r="EH14" i="7"/>
  <c r="DQ14" i="7"/>
  <c r="BC14" i="7"/>
  <c r="ES14" i="7"/>
  <c r="CS14" i="7"/>
  <c r="CB14" i="7"/>
  <c r="FT14" i="7"/>
  <c r="CC14" i="7"/>
  <c r="FU14" i="7"/>
  <c r="BX14" i="7"/>
  <c r="FP14" i="7"/>
  <c r="AV14" i="7"/>
  <c r="EN14" i="7"/>
  <c r="EI14" i="7"/>
  <c r="BU14" i="7"/>
  <c r="FK14" i="7"/>
  <c r="DK14" i="7"/>
  <c r="CH14" i="7"/>
  <c r="FZ14" i="7"/>
  <c r="CI14" i="7"/>
  <c r="GA14" i="7"/>
  <c r="CD14" i="7"/>
  <c r="FV14" i="7"/>
  <c r="BB14" i="7"/>
  <c r="ET14" i="7"/>
  <c r="FA14" i="7"/>
  <c r="CM14" i="7"/>
  <c r="GC14" i="7"/>
  <c r="S14" i="7"/>
  <c r="CN14" i="7"/>
  <c r="GF14" i="7"/>
  <c r="CO14" i="7"/>
  <c r="GG14" i="7"/>
  <c r="CJ14" i="7"/>
  <c r="GB14" i="7"/>
  <c r="BH14" i="7"/>
  <c r="EZ14" i="7"/>
  <c r="FS14" i="7"/>
  <c r="DE14" i="7"/>
  <c r="GU14" i="7"/>
  <c r="EC14" i="7"/>
  <c r="CT14" i="7"/>
  <c r="GL14" i="7"/>
  <c r="CU14" i="7"/>
  <c r="GM14" i="7"/>
  <c r="CP14" i="7"/>
  <c r="GH14" i="7"/>
  <c r="BN14" i="7"/>
  <c r="FF14" i="7"/>
  <c r="GK14" i="7"/>
  <c r="DW14" i="7"/>
  <c r="Y14" i="7"/>
  <c r="AQ14" i="7"/>
  <c r="CZ14" i="7"/>
  <c r="GR14" i="7"/>
  <c r="DA14" i="7"/>
  <c r="GS14" i="7"/>
  <c r="CV14" i="7"/>
  <c r="GN14" i="7"/>
  <c r="BT14" i="7"/>
  <c r="FL14" i="7"/>
  <c r="AI14" i="7"/>
  <c r="EO14" i="7"/>
  <c r="AU14" i="7"/>
  <c r="EU14" i="7"/>
  <c r="N14" i="7"/>
  <c r="DF14" i="7"/>
  <c r="O14" i="7"/>
  <c r="DG14" i="7"/>
  <c r="J14" i="7"/>
  <c r="DB14" i="7"/>
  <c r="GT14" i="7"/>
  <c r="BZ14" i="7"/>
  <c r="FR14" i="7"/>
  <c r="BA14" i="7"/>
  <c r="FG14" i="7"/>
  <c r="BM14" i="7"/>
  <c r="BI14" i="7"/>
  <c r="T14" i="7"/>
  <c r="DL14" i="7"/>
  <c r="U14" i="7"/>
  <c r="DM14" i="7"/>
  <c r="P14" i="7"/>
  <c r="DH14" i="7"/>
  <c r="K14" i="7"/>
  <c r="CF14" i="7"/>
  <c r="FX14" i="7"/>
  <c r="BS14" i="7"/>
  <c r="FY14" i="7"/>
  <c r="CE14" i="7"/>
  <c r="FM14" i="7"/>
  <c r="Z14" i="7"/>
  <c r="DR14" i="7"/>
  <c r="AA14" i="7"/>
  <c r="DS14" i="7"/>
  <c r="V14" i="7"/>
  <c r="DN14" i="7"/>
  <c r="Q14" i="7"/>
  <c r="CL14" i="7"/>
  <c r="GD14" i="7"/>
  <c r="CK14" i="7"/>
  <c r="GQ14" i="7"/>
  <c r="CW14" i="7"/>
  <c r="AF14" i="7"/>
  <c r="DX14" i="7"/>
  <c r="AG14" i="7"/>
  <c r="DY14" i="7"/>
  <c r="AB14" i="7"/>
  <c r="DT14" i="7"/>
  <c r="W14" i="7"/>
  <c r="CR14" i="7"/>
  <c r="GJ14" i="7"/>
  <c r="DC14" i="7"/>
  <c r="M14" i="7"/>
  <c r="DO14" i="7"/>
  <c r="AL14" i="7"/>
  <c r="ED14" i="7"/>
  <c r="AM14" i="7"/>
  <c r="EE14" i="7"/>
  <c r="AH14" i="7"/>
  <c r="DZ14" i="7"/>
  <c r="AC14" i="7"/>
  <c r="CX14" i="7"/>
  <c r="GP14" i="7"/>
  <c r="DU14" i="7"/>
  <c r="AO14" i="7"/>
  <c r="EG14" i="7"/>
  <c r="AR14" i="7"/>
  <c r="EJ14" i="7"/>
  <c r="AS14" i="7"/>
  <c r="EK14" i="7"/>
  <c r="AN14" i="7"/>
  <c r="EF14" i="7"/>
  <c r="L14" i="7"/>
  <c r="DD14" i="7"/>
  <c r="AE14" i="7"/>
  <c r="EM14" i="7"/>
  <c r="BG14" i="7"/>
  <c r="EY14" i="7"/>
  <c r="AX14" i="7"/>
  <c r="EP14" i="7"/>
  <c r="AY14" i="7"/>
  <c r="EQ14" i="7"/>
  <c r="AT14" i="7"/>
  <c r="EL14" i="7"/>
  <c r="R14" i="7"/>
  <c r="DJ14" i="7"/>
  <c r="AW14" i="7"/>
  <c r="FE14" i="7"/>
  <c r="BY14" i="7"/>
  <c r="FQ14" i="7"/>
  <c r="BN48" i="7"/>
  <c r="BL48" i="7"/>
  <c r="GH48" i="7"/>
  <c r="BY48" i="7"/>
  <c r="EY48" i="7"/>
  <c r="EW48" i="7"/>
  <c r="CZ48" i="7"/>
  <c r="BC48" i="7"/>
  <c r="FX48" i="7"/>
  <c r="AT48" i="7"/>
  <c r="AI48" i="7"/>
  <c r="ED48" i="7"/>
  <c r="AX48" i="7"/>
  <c r="AV48" i="7"/>
  <c r="FR48" i="7"/>
  <c r="BI48" i="7"/>
  <c r="EI48" i="7"/>
  <c r="EG48" i="7"/>
  <c r="CJ48" i="7"/>
  <c r="AM48" i="7"/>
  <c r="FH48" i="7"/>
  <c r="L48" i="7"/>
  <c r="FG48" i="7"/>
  <c r="BO48" i="7"/>
  <c r="AH48" i="7"/>
  <c r="AF48" i="7"/>
  <c r="FB48" i="7"/>
  <c r="GF48" i="7"/>
  <c r="DS48" i="7"/>
  <c r="DQ48" i="7"/>
  <c r="BT48" i="7"/>
  <c r="W48" i="7"/>
  <c r="ER48" i="7"/>
  <c r="GM48" i="7"/>
  <c r="CH48" i="7"/>
  <c r="U48" i="7"/>
  <c r="GK48" i="7"/>
  <c r="P48" i="7"/>
  <c r="EL48" i="7"/>
  <c r="FP48" i="7"/>
  <c r="DC48" i="7"/>
  <c r="DA48" i="7"/>
  <c r="BD48" i="7"/>
  <c r="EB48" i="7"/>
  <c r="CX48" i="7"/>
  <c r="AG48" i="7"/>
  <c r="DK48" i="7"/>
  <c r="FU48" i="7"/>
  <c r="GI48" i="7"/>
  <c r="DV48" i="7"/>
  <c r="EZ48" i="7"/>
  <c r="CM48" i="7"/>
  <c r="CK48" i="7"/>
  <c r="AN48" i="7"/>
  <c r="GO48" i="7"/>
  <c r="DL48" i="7"/>
  <c r="AS48" i="7"/>
  <c r="EX48" i="7"/>
  <c r="AY48" i="7"/>
  <c r="FE48" i="7"/>
  <c r="FS48" i="7"/>
  <c r="DF48" i="7"/>
  <c r="EJ48" i="7"/>
  <c r="BW48" i="7"/>
  <c r="BU48" i="7"/>
  <c r="X48" i="7"/>
  <c r="FY48" i="7"/>
  <c r="CV48" i="7"/>
  <c r="J48" i="7"/>
  <c r="CE48" i="7"/>
  <c r="N48" i="7"/>
  <c r="EO48" i="7"/>
  <c r="FC48" i="7"/>
  <c r="CP48" i="7"/>
  <c r="DT48" i="7"/>
  <c r="BG48" i="7"/>
  <c r="BE48" i="7"/>
  <c r="FI48" i="7"/>
  <c r="CF48" i="7"/>
  <c r="FZ48" i="7"/>
  <c r="AD48" i="7"/>
  <c r="BF48" i="7"/>
  <c r="DY48" i="7"/>
  <c r="EM48" i="7"/>
  <c r="BZ48" i="7"/>
  <c r="DD48" i="7"/>
  <c r="AQ48" i="7"/>
  <c r="AO48" i="7"/>
  <c r="GQ48" i="7"/>
  <c r="ES48" i="7"/>
  <c r="BP48" i="7"/>
  <c r="CU48" i="7"/>
  <c r="ET48" i="7"/>
  <c r="BB48" i="7"/>
  <c r="GL48" i="7"/>
  <c r="GJ48" i="7"/>
  <c r="DW48" i="7"/>
  <c r="BJ48" i="7"/>
  <c r="CN48" i="7"/>
  <c r="AA48" i="7"/>
  <c r="Y48" i="7"/>
  <c r="GA48" i="7"/>
  <c r="EC48" i="7"/>
  <c r="AZ48" i="7"/>
  <c r="AP48" i="7"/>
  <c r="CC48" i="7"/>
  <c r="S48" i="7"/>
  <c r="FV48" i="7"/>
  <c r="FT48" i="7"/>
  <c r="DG48" i="7"/>
  <c r="GG48" i="7"/>
  <c r="BX48" i="7"/>
  <c r="K48" i="7"/>
  <c r="FK48" i="7"/>
  <c r="DM48" i="7"/>
  <c r="AJ48" i="7"/>
  <c r="AC48" i="7"/>
  <c r="R48" i="7"/>
  <c r="FF48" i="7"/>
  <c r="FD48" i="7"/>
  <c r="CQ48" i="7"/>
  <c r="FQ48" i="7"/>
  <c r="BH48" i="7"/>
  <c r="GT48" i="7"/>
  <c r="GR48" i="7"/>
  <c r="EU48" i="7"/>
  <c r="CW48" i="7"/>
  <c r="T48" i="7"/>
  <c r="FW48" i="7"/>
  <c r="EQ48" i="7"/>
  <c r="Q48" i="7"/>
  <c r="EP48" i="7"/>
  <c r="EN48" i="7"/>
  <c r="CA48" i="7"/>
  <c r="FA48" i="7"/>
  <c r="AR48" i="7"/>
  <c r="GD48" i="7"/>
  <c r="GB48" i="7"/>
  <c r="EE48" i="7"/>
  <c r="CG48" i="7"/>
  <c r="DI48" i="7"/>
  <c r="CS48" i="7"/>
  <c r="BV48" i="7"/>
  <c r="EA48" i="7"/>
  <c r="DZ48" i="7"/>
  <c r="DX48" i="7"/>
  <c r="BK48" i="7"/>
  <c r="EK48" i="7"/>
  <c r="AB48" i="7"/>
  <c r="FN48" i="7"/>
  <c r="FL48" i="7"/>
  <c r="DO48" i="7"/>
  <c r="BQ48" i="7"/>
  <c r="AW48" i="7"/>
  <c r="AL48" i="7"/>
  <c r="Z48" i="7"/>
  <c r="DR48" i="7"/>
  <c r="DJ48" i="7"/>
  <c r="DH48" i="7"/>
  <c r="AU48" i="7"/>
  <c r="DU48" i="7"/>
  <c r="GU48" i="7"/>
  <c r="GS48" i="7"/>
  <c r="EV48" i="7"/>
  <c r="CY48" i="7"/>
  <c r="BA48" i="7"/>
  <c r="M48" i="7"/>
  <c r="EH48" i="7"/>
  <c r="BM48" i="7"/>
  <c r="CD48" i="7"/>
  <c r="CB48" i="7"/>
  <c r="O48" i="7"/>
  <c r="CO48" i="7"/>
  <c r="FO48" i="7"/>
  <c r="FM48" i="7"/>
  <c r="DP48" i="7"/>
  <c r="BS48" i="7"/>
  <c r="GN48" i="7"/>
  <c r="DB48" i="7"/>
  <c r="CL48" i="7"/>
  <c r="V48" i="7"/>
  <c r="CI48" i="7"/>
  <c r="AK48" i="7"/>
  <c r="GP48" i="7"/>
  <c r="FJ48" i="7"/>
  <c r="CT48" i="7"/>
  <c r="BR48" i="7"/>
  <c r="CR48" i="7"/>
  <c r="DN48" i="7"/>
  <c r="AE48" i="7"/>
  <c r="DE48" i="7"/>
  <c r="GE48" i="7"/>
  <c r="GC48" i="7"/>
  <c r="EF48" i="7"/>
  <c r="O12" i="7"/>
  <c r="DK12" i="7"/>
  <c r="GN12" i="7"/>
  <c r="CX12" i="7"/>
  <c r="GA12" i="7"/>
  <c r="CK12" i="7"/>
  <c r="EX12" i="7"/>
  <c r="AB12" i="7"/>
  <c r="DE12" i="7"/>
  <c r="GH12" i="7"/>
  <c r="CR12" i="7"/>
  <c r="FU12" i="7"/>
  <c r="U12" i="7"/>
  <c r="EA12" i="7"/>
  <c r="AK12" i="7"/>
  <c r="DN12" i="7"/>
  <c r="GQ12" i="7"/>
  <c r="DA12" i="7"/>
  <c r="FN12" i="7"/>
  <c r="AR12" i="7"/>
  <c r="DU12" i="7"/>
  <c r="AE12" i="7"/>
  <c r="DH12" i="7"/>
  <c r="GK12" i="7"/>
  <c r="J12" i="7"/>
  <c r="EQ12" i="7"/>
  <c r="BA12" i="7"/>
  <c r="ED12" i="7"/>
  <c r="AN12" i="7"/>
  <c r="DQ12" i="7"/>
  <c r="GD12" i="7"/>
  <c r="BH12" i="7"/>
  <c r="EK12" i="7"/>
  <c r="AU12" i="7"/>
  <c r="DX12" i="7"/>
  <c r="AH12" i="7"/>
  <c r="P12" i="7"/>
  <c r="FG12" i="7"/>
  <c r="BQ12" i="7"/>
  <c r="ET12" i="7"/>
  <c r="BD12" i="7"/>
  <c r="EG12" i="7"/>
  <c r="GT12" i="7"/>
  <c r="BX12" i="7"/>
  <c r="FA12" i="7"/>
  <c r="BK12" i="7"/>
  <c r="EN12" i="7"/>
  <c r="AX12" i="7"/>
  <c r="V12" i="7"/>
  <c r="FW12" i="7"/>
  <c r="CG12" i="7"/>
  <c r="FJ12" i="7"/>
  <c r="BT12" i="7"/>
  <c r="EW12" i="7"/>
  <c r="AA12" i="7"/>
  <c r="CN12" i="7"/>
  <c r="FQ12" i="7"/>
  <c r="CA12" i="7"/>
  <c r="FD12" i="7"/>
  <c r="BN12" i="7"/>
  <c r="GM12" i="7"/>
  <c r="CW12" i="7"/>
  <c r="FZ12" i="7"/>
  <c r="CJ12" i="7"/>
  <c r="FM12" i="7"/>
  <c r="AQ12" i="7"/>
  <c r="DD12" i="7"/>
  <c r="GG12" i="7"/>
  <c r="CQ12" i="7"/>
  <c r="FT12" i="7"/>
  <c r="CD12" i="7"/>
  <c r="K12" i="7"/>
  <c r="AJ12" i="7"/>
  <c r="DM12" i="7"/>
  <c r="GP12" i="7"/>
  <c r="CZ12" i="7"/>
  <c r="GC12" i="7"/>
  <c r="BG12" i="7"/>
  <c r="DT12" i="7"/>
  <c r="AD12" i="7"/>
  <c r="DG12" i="7"/>
  <c r="GJ12" i="7"/>
  <c r="CT12" i="7"/>
  <c r="Q12" i="7"/>
  <c r="AZ12" i="7"/>
  <c r="EC12" i="7"/>
  <c r="AM12" i="7"/>
  <c r="DP12" i="7"/>
  <c r="GS12" i="7"/>
  <c r="BW12" i="7"/>
  <c r="EJ12" i="7"/>
  <c r="AT12" i="7"/>
  <c r="DW12" i="7"/>
  <c r="AG12" i="7"/>
  <c r="DJ12" i="7"/>
  <c r="W12" i="7"/>
  <c r="BP12" i="7"/>
  <c r="ES12" i="7"/>
  <c r="BC12" i="7"/>
  <c r="EF12" i="7"/>
  <c r="Z12" i="7"/>
  <c r="CM12" i="7"/>
  <c r="EZ12" i="7"/>
  <c r="BJ12" i="7"/>
  <c r="EM12" i="7"/>
  <c r="AW12" i="7"/>
  <c r="DZ12" i="7"/>
  <c r="M12" i="7"/>
  <c r="CF12" i="7"/>
  <c r="FI12" i="7"/>
  <c r="BS12" i="7"/>
  <c r="EV12" i="7"/>
  <c r="AP12" i="7"/>
  <c r="DC12" i="7"/>
  <c r="FP12" i="7"/>
  <c r="BZ12" i="7"/>
  <c r="FC12" i="7"/>
  <c r="BM12" i="7"/>
  <c r="EP12" i="7"/>
  <c r="S12" i="7"/>
  <c r="L12" i="7"/>
  <c r="CV12" i="7"/>
  <c r="FY12" i="7"/>
  <c r="CI12" i="7"/>
  <c r="FL12" i="7"/>
  <c r="BF12" i="7"/>
  <c r="DS12" i="7"/>
  <c r="GF12" i="7"/>
  <c r="CP12" i="7"/>
  <c r="FS12" i="7"/>
  <c r="CC12" i="7"/>
  <c r="FF12" i="7"/>
  <c r="Y12" i="7"/>
  <c r="R12" i="7"/>
  <c r="AI12" i="7"/>
  <c r="DL12" i="7"/>
  <c r="GO12" i="7"/>
  <c r="CY12" i="7"/>
  <c r="GB12" i="7"/>
  <c r="BV12" i="7"/>
  <c r="EI12" i="7"/>
  <c r="AC12" i="7"/>
  <c r="DF12" i="7"/>
  <c r="GI12" i="7"/>
  <c r="CS12" i="7"/>
  <c r="FV12" i="7"/>
  <c r="X12" i="7"/>
  <c r="AY12" i="7"/>
  <c r="EB12" i="7"/>
  <c r="AL12" i="7"/>
  <c r="DO12" i="7"/>
  <c r="GR12" i="7"/>
  <c r="CL12" i="7"/>
  <c r="EY12" i="7"/>
  <c r="AS12" i="7"/>
  <c r="DV12" i="7"/>
  <c r="AF12" i="7"/>
  <c r="DI12" i="7"/>
  <c r="GL12" i="7"/>
  <c r="N12" i="7"/>
  <c r="BO12" i="7"/>
  <c r="ER12" i="7"/>
  <c r="BB12" i="7"/>
  <c r="EE12" i="7"/>
  <c r="AO12" i="7"/>
  <c r="DB12" i="7"/>
  <c r="FO12" i="7"/>
  <c r="BI12" i="7"/>
  <c r="EL12" i="7"/>
  <c r="AV12" i="7"/>
  <c r="DY12" i="7"/>
  <c r="T12" i="7"/>
  <c r="CE12" i="7"/>
  <c r="FH12" i="7"/>
  <c r="BR12" i="7"/>
  <c r="EU12" i="7"/>
  <c r="BE12" i="7"/>
  <c r="DR12" i="7"/>
  <c r="GE12" i="7"/>
  <c r="BY12" i="7"/>
  <c r="FB12" i="7"/>
  <c r="BL12" i="7"/>
  <c r="EO12" i="7"/>
  <c r="CU12" i="7"/>
  <c r="FX12" i="7"/>
  <c r="CH12" i="7"/>
  <c r="FK12" i="7"/>
  <c r="BU12" i="7"/>
  <c r="EH12" i="7"/>
  <c r="GU12" i="7"/>
  <c r="CO12" i="7"/>
  <c r="FR12" i="7"/>
  <c r="CB12" i="7"/>
  <c r="FE12" i="7"/>
  <c r="EI64" i="7"/>
  <c r="BF64" i="7"/>
  <c r="GB64" i="7"/>
  <c r="EJ64" i="7"/>
  <c r="BW64" i="7"/>
  <c r="GC64" i="7"/>
  <c r="DP64" i="7"/>
  <c r="BC64" i="7"/>
  <c r="GN64" i="7"/>
  <c r="CN64" i="7"/>
  <c r="GT64" i="7"/>
  <c r="BX64" i="7"/>
  <c r="GD64" i="7"/>
  <c r="DQ64" i="7"/>
  <c r="BD64" i="7"/>
  <c r="FZ64" i="7"/>
  <c r="EB64" i="7"/>
  <c r="BH64" i="7"/>
  <c r="FN64" i="7"/>
  <c r="DA64" i="7"/>
  <c r="AN64" i="7"/>
  <c r="FJ64" i="7"/>
  <c r="DL64" i="7"/>
  <c r="AR64" i="7"/>
  <c r="EX64" i="7"/>
  <c r="CK64" i="7"/>
  <c r="X64" i="7"/>
  <c r="ET64" i="7"/>
  <c r="CV64" i="7"/>
  <c r="AB64" i="7"/>
  <c r="EH64" i="7"/>
  <c r="BU64" i="7"/>
  <c r="GQ64" i="7"/>
  <c r="ED64" i="7"/>
  <c r="CF64" i="7"/>
  <c r="GE64" i="7"/>
  <c r="DB64" i="7"/>
  <c r="AO64" i="7"/>
  <c r="FO64" i="7"/>
  <c r="BE64" i="7"/>
  <c r="BS64" i="7"/>
  <c r="AZ64" i="7"/>
  <c r="FU64" i="7"/>
  <c r="DH64" i="7"/>
  <c r="AS64" i="7"/>
  <c r="DV64" i="7"/>
  <c r="AK64" i="7"/>
  <c r="CE64" i="7"/>
  <c r="EY64" i="7"/>
  <c r="Y64" i="7"/>
  <c r="AM64" i="7"/>
  <c r="AJ64" i="7"/>
  <c r="FE64" i="7"/>
  <c r="CR64" i="7"/>
  <c r="AC64" i="7"/>
  <c r="BJ64" i="7"/>
  <c r="FG64" i="7"/>
  <c r="CA64" i="7"/>
  <c r="DS64" i="7"/>
  <c r="GR64" i="7"/>
  <c r="W64" i="7"/>
  <c r="T64" i="7"/>
  <c r="EO64" i="7"/>
  <c r="CB64" i="7"/>
  <c r="FY64" i="7"/>
  <c r="CU64" i="7"/>
  <c r="AE64" i="7"/>
  <c r="DC64" i="7"/>
  <c r="FL64" i="7"/>
  <c r="GP64" i="7"/>
  <c r="GL64" i="7"/>
  <c r="DY64" i="7"/>
  <c r="BL64" i="7"/>
  <c r="EL64" i="7"/>
  <c r="DM64" i="7"/>
  <c r="AI64" i="7"/>
  <c r="CM64" i="7"/>
  <c r="EV64" i="7"/>
  <c r="DN64" i="7"/>
  <c r="FV64" i="7"/>
  <c r="DI64" i="7"/>
  <c r="AV64" i="7"/>
  <c r="BZ64" i="7"/>
  <c r="BA64" i="7"/>
  <c r="ES64" i="7"/>
  <c r="BG64" i="7"/>
  <c r="EF64" i="7"/>
  <c r="CX64" i="7"/>
  <c r="FF64" i="7"/>
  <c r="CS64" i="7"/>
  <c r="AF64" i="7"/>
  <c r="O64" i="7"/>
  <c r="FW64" i="7"/>
  <c r="CG64" i="7"/>
  <c r="AQ64" i="7"/>
  <c r="CZ64" i="7"/>
  <c r="CH64" i="7"/>
  <c r="EP64" i="7"/>
  <c r="CC64" i="7"/>
  <c r="P64" i="7"/>
  <c r="EC64" i="7"/>
  <c r="DK64" i="7"/>
  <c r="AA64" i="7"/>
  <c r="DR64" i="7"/>
  <c r="CJ64" i="7"/>
  <c r="BR64" i="7"/>
  <c r="DZ64" i="7"/>
  <c r="BM64" i="7"/>
  <c r="GG64" i="7"/>
  <c r="BQ64" i="7"/>
  <c r="AY64" i="7"/>
  <c r="AD64" i="7"/>
  <c r="CL64" i="7"/>
  <c r="BT64" i="7"/>
  <c r="BB64" i="7"/>
  <c r="DJ64" i="7"/>
  <c r="AW64" i="7"/>
  <c r="FQ64" i="7"/>
  <c r="FS64" i="7"/>
  <c r="U64" i="7"/>
  <c r="BV64" i="7"/>
  <c r="GA64" i="7"/>
  <c r="AL64" i="7"/>
  <c r="CT64" i="7"/>
  <c r="AG64" i="7"/>
  <c r="FA64" i="7"/>
  <c r="GM64" i="7"/>
  <c r="DG64" i="7"/>
  <c r="S64" i="7"/>
  <c r="GF64" i="7"/>
  <c r="AP64" i="7"/>
  <c r="FK64" i="7"/>
  <c r="V64" i="7"/>
  <c r="CD64" i="7"/>
  <c r="Q64" i="7"/>
  <c r="EK64" i="7"/>
  <c r="EA64" i="7"/>
  <c r="AU64" i="7"/>
  <c r="FC64" i="7"/>
  <c r="FP64" i="7"/>
  <c r="Z64" i="7"/>
  <c r="EU64" i="7"/>
  <c r="GO64" i="7"/>
  <c r="BN64" i="7"/>
  <c r="GJ64" i="7"/>
  <c r="DU64" i="7"/>
  <c r="BO64" i="7"/>
  <c r="FR64" i="7"/>
  <c r="FB64" i="7"/>
  <c r="EZ64" i="7"/>
  <c r="GS64" i="7"/>
  <c r="EE64" i="7"/>
  <c r="FX64" i="7"/>
  <c r="AX64" i="7"/>
  <c r="FT64" i="7"/>
  <c r="DE64" i="7"/>
  <c r="GI64" i="7"/>
  <c r="DF64" i="7"/>
  <c r="EQ64" i="7"/>
  <c r="DT64" i="7"/>
  <c r="FM64" i="7"/>
  <c r="DO64" i="7"/>
  <c r="FH64" i="7"/>
  <c r="AH64" i="7"/>
  <c r="FD64" i="7"/>
  <c r="CO64" i="7"/>
  <c r="DW64" i="7"/>
  <c r="AT64" i="7"/>
  <c r="EM64" i="7"/>
  <c r="DD64" i="7"/>
  <c r="EW64" i="7"/>
  <c r="CY64" i="7"/>
  <c r="ER64" i="7"/>
  <c r="R64" i="7"/>
  <c r="EN64" i="7"/>
  <c r="BY64" i="7"/>
  <c r="BK64" i="7"/>
  <c r="FI64" i="7"/>
  <c r="CQ64" i="7"/>
  <c r="GH64" i="7"/>
  <c r="CW64" i="7"/>
  <c r="CP64" i="7"/>
  <c r="GU64" i="7"/>
  <c r="EG64" i="7"/>
  <c r="CI64" i="7"/>
  <c r="BP64" i="7"/>
  <c r="GK64" i="7"/>
  <c r="BI64" i="7"/>
  <c r="DX64" i="7"/>
  <c r="BH27" i="7"/>
  <c r="EZ27" i="7"/>
  <c r="BI27" i="7"/>
  <c r="FA27" i="7"/>
  <c r="BJ27" i="7"/>
  <c r="BT27" i="7"/>
  <c r="CF27" i="7"/>
  <c r="FX27" i="7"/>
  <c r="CG27" i="7"/>
  <c r="CL27" i="7"/>
  <c r="GD27" i="7"/>
  <c r="CM27" i="7"/>
  <c r="GE27" i="7"/>
  <c r="CN27" i="7"/>
  <c r="GF27" i="7"/>
  <c r="CO27" i="7"/>
  <c r="GG27" i="7"/>
  <c r="CR27" i="7"/>
  <c r="GJ27" i="7"/>
  <c r="CS27" i="7"/>
  <c r="GK27" i="7"/>
  <c r="CT27" i="7"/>
  <c r="GL27" i="7"/>
  <c r="CU27" i="7"/>
  <c r="GM27" i="7"/>
  <c r="CW27" i="7"/>
  <c r="GO27" i="7"/>
  <c r="CX27" i="7"/>
  <c r="GP27" i="7"/>
  <c r="CY27" i="7"/>
  <c r="GQ27" i="7"/>
  <c r="CZ27" i="7"/>
  <c r="GR27" i="7"/>
  <c r="DA27" i="7"/>
  <c r="R27" i="7"/>
  <c r="DJ27" i="7"/>
  <c r="S27" i="7"/>
  <c r="DK27" i="7"/>
  <c r="T27" i="7"/>
  <c r="DL27" i="7"/>
  <c r="U27" i="7"/>
  <c r="DM27" i="7"/>
  <c r="W27" i="7"/>
  <c r="X27" i="7"/>
  <c r="DP27" i="7"/>
  <c r="AD27" i="7"/>
  <c r="DV27" i="7"/>
  <c r="AJ27" i="7"/>
  <c r="EB27" i="7"/>
  <c r="AK27" i="7"/>
  <c r="BB27" i="7"/>
  <c r="ET27" i="7"/>
  <c r="BC27" i="7"/>
  <c r="EU27" i="7"/>
  <c r="BD27" i="7"/>
  <c r="EV27" i="7"/>
  <c r="BE27" i="7"/>
  <c r="AE27" i="7"/>
  <c r="FB27" i="7"/>
  <c r="DG27" i="7"/>
  <c r="AO27" i="7"/>
  <c r="EM27" i="7"/>
  <c r="V27" i="7"/>
  <c r="AN27" i="7"/>
  <c r="AQ27" i="7"/>
  <c r="Z27" i="7"/>
  <c r="FH27" i="7"/>
  <c r="DS27" i="7"/>
  <c r="AU27" i="7"/>
  <c r="ES27" i="7"/>
  <c r="BF27" i="7"/>
  <c r="BX27" i="7"/>
  <c r="AW27" i="7"/>
  <c r="AF27" i="7"/>
  <c r="FN27" i="7"/>
  <c r="DY27" i="7"/>
  <c r="BA27" i="7"/>
  <c r="EY27" i="7"/>
  <c r="CP27" i="7"/>
  <c r="DH27" i="7"/>
  <c r="BO27" i="7"/>
  <c r="AL27" i="7"/>
  <c r="FT27" i="7"/>
  <c r="EE27" i="7"/>
  <c r="BG27" i="7"/>
  <c r="FE27" i="7"/>
  <c r="DZ27" i="7"/>
  <c r="ER27" i="7"/>
  <c r="AP27" i="7"/>
  <c r="BU27" i="7"/>
  <c r="AR27" i="7"/>
  <c r="FZ27" i="7"/>
  <c r="EK27" i="7"/>
  <c r="BM27" i="7"/>
  <c r="FK27" i="7"/>
  <c r="FJ27" i="7"/>
  <c r="GB27" i="7"/>
  <c r="AV27" i="7"/>
  <c r="CA27" i="7"/>
  <c r="AX27" i="7"/>
  <c r="O27" i="7"/>
  <c r="EQ27" i="7"/>
  <c r="BS27" i="7"/>
  <c r="FQ27" i="7"/>
  <c r="GT27" i="7"/>
  <c r="AT27" i="7"/>
  <c r="BN27" i="7"/>
  <c r="DE27" i="7"/>
  <c r="BP27" i="7"/>
  <c r="AA27" i="7"/>
  <c r="EW27" i="7"/>
  <c r="BY27" i="7"/>
  <c r="FW27" i="7"/>
  <c r="AB27" i="7"/>
  <c r="CD27" i="7"/>
  <c r="BZ27" i="7"/>
  <c r="DQ27" i="7"/>
  <c r="BV27" i="7"/>
  <c r="AG27" i="7"/>
  <c r="FC27" i="7"/>
  <c r="CE27" i="7"/>
  <c r="GC27" i="7"/>
  <c r="BL27" i="7"/>
  <c r="DN27" i="7"/>
  <c r="DD27" i="7"/>
  <c r="DW27" i="7"/>
  <c r="CB27" i="7"/>
  <c r="AM27" i="7"/>
  <c r="FI27" i="7"/>
  <c r="CK27" i="7"/>
  <c r="GI27" i="7"/>
  <c r="CV27" i="7"/>
  <c r="EX27" i="7"/>
  <c r="EH27" i="7"/>
  <c r="EC27" i="7"/>
  <c r="CH27" i="7"/>
  <c r="AS27" i="7"/>
  <c r="FO27" i="7"/>
  <c r="CQ27" i="7"/>
  <c r="GU27" i="7"/>
  <c r="EF27" i="7"/>
  <c r="GH27" i="7"/>
  <c r="EN27" i="7"/>
  <c r="EI27" i="7"/>
  <c r="DF27" i="7"/>
  <c r="AY27" i="7"/>
  <c r="FU27" i="7"/>
  <c r="DC27" i="7"/>
  <c r="P27" i="7"/>
  <c r="FP27" i="7"/>
  <c r="FF27" i="7"/>
  <c r="EO27" i="7"/>
  <c r="DR27" i="7"/>
  <c r="BK27" i="7"/>
  <c r="GA27" i="7"/>
  <c r="DI27" i="7"/>
  <c r="AZ27" i="7"/>
  <c r="AH27" i="7"/>
  <c r="FL27" i="7"/>
  <c r="FG27" i="7"/>
  <c r="DX27" i="7"/>
  <c r="BQ27" i="7"/>
  <c r="GS27" i="7"/>
  <c r="DO27" i="7"/>
  <c r="CJ27" i="7"/>
  <c r="BR27" i="7"/>
  <c r="FR27" i="7"/>
  <c r="FM27" i="7"/>
  <c r="ED27" i="7"/>
  <c r="BW27" i="7"/>
  <c r="Q27" i="7"/>
  <c r="DU27" i="7"/>
  <c r="DT27" i="7"/>
  <c r="DB27" i="7"/>
  <c r="FS27" i="7"/>
  <c r="EJ27" i="7"/>
  <c r="CC27" i="7"/>
  <c r="AC27" i="7"/>
  <c r="EA27" i="7"/>
  <c r="FD27" i="7"/>
  <c r="EL27" i="7"/>
  <c r="Y27" i="7"/>
  <c r="FY27" i="7"/>
  <c r="EP27" i="7"/>
  <c r="CI27" i="7"/>
  <c r="AI27" i="7"/>
  <c r="EG27" i="7"/>
  <c r="GN27" i="7"/>
  <c r="FV27" i="7"/>
  <c r="FD45" i="7"/>
  <c r="CQ45" i="7"/>
  <c r="AD45" i="7"/>
  <c r="EZ45" i="7"/>
  <c r="DC45" i="7"/>
  <c r="BF45" i="7"/>
  <c r="FK45" i="7"/>
  <c r="DN45" i="7"/>
  <c r="BN45" i="7"/>
  <c r="EQ45" i="7"/>
  <c r="GM45" i="7"/>
  <c r="EN45" i="7"/>
  <c r="CA45" i="7"/>
  <c r="N45" i="7"/>
  <c r="EJ45" i="7"/>
  <c r="CM45" i="7"/>
  <c r="AP45" i="7"/>
  <c r="GR45" i="7"/>
  <c r="EU45" i="7"/>
  <c r="CX45" i="7"/>
  <c r="AX45" i="7"/>
  <c r="BA45" i="7"/>
  <c r="GK45" i="7"/>
  <c r="DX45" i="7"/>
  <c r="BK45" i="7"/>
  <c r="GG45" i="7"/>
  <c r="DT45" i="7"/>
  <c r="BW45" i="7"/>
  <c r="Z45" i="7"/>
  <c r="GB45" i="7"/>
  <c r="EE45" i="7"/>
  <c r="CH45" i="7"/>
  <c r="AH45" i="7"/>
  <c r="EC45" i="7"/>
  <c r="T45" i="7"/>
  <c r="FU45" i="7"/>
  <c r="DH45" i="7"/>
  <c r="AU45" i="7"/>
  <c r="FQ45" i="7"/>
  <c r="DD45" i="7"/>
  <c r="BG45" i="7"/>
  <c r="FL45" i="7"/>
  <c r="DO45" i="7"/>
  <c r="BR45" i="7"/>
  <c r="R45" i="7"/>
  <c r="AZ45" i="7"/>
  <c r="CU45" i="7"/>
  <c r="FE45" i="7"/>
  <c r="CR45" i="7"/>
  <c r="AE45" i="7"/>
  <c r="FA45" i="7"/>
  <c r="CN45" i="7"/>
  <c r="AQ45" i="7"/>
  <c r="GS45" i="7"/>
  <c r="EV45" i="7"/>
  <c r="CY45" i="7"/>
  <c r="BB45" i="7"/>
  <c r="FW45" i="7"/>
  <c r="EB45" i="7"/>
  <c r="FY45" i="7"/>
  <c r="EO45" i="7"/>
  <c r="CB45" i="7"/>
  <c r="O45" i="7"/>
  <c r="EK45" i="7"/>
  <c r="BX45" i="7"/>
  <c r="AA45" i="7"/>
  <c r="DY45" i="7"/>
  <c r="BL45" i="7"/>
  <c r="GH45" i="7"/>
  <c r="DU45" i="7"/>
  <c r="BH45" i="7"/>
  <c r="FM45" i="7"/>
  <c r="DP45" i="7"/>
  <c r="BS45" i="7"/>
  <c r="V45" i="7"/>
  <c r="FI45" i="7"/>
  <c r="EA45" i="7"/>
  <c r="S45" i="7"/>
  <c r="DI45" i="7"/>
  <c r="AV45" i="7"/>
  <c r="FR45" i="7"/>
  <c r="DE45" i="7"/>
  <c r="AR45" i="7"/>
  <c r="GT45" i="7"/>
  <c r="EW45" i="7"/>
  <c r="CZ45" i="7"/>
  <c r="BC45" i="7"/>
  <c r="CF45" i="7"/>
  <c r="AK45" i="7"/>
  <c r="FX45" i="7"/>
  <c r="CS45" i="7"/>
  <c r="AF45" i="7"/>
  <c r="FB45" i="7"/>
  <c r="CO45" i="7"/>
  <c r="AB45" i="7"/>
  <c r="GD45" i="7"/>
  <c r="EG45" i="7"/>
  <c r="CJ45" i="7"/>
  <c r="AM45" i="7"/>
  <c r="GL45" i="7"/>
  <c r="FH45" i="7"/>
  <c r="DM45" i="7"/>
  <c r="CC45" i="7"/>
  <c r="P45" i="7"/>
  <c r="EL45" i="7"/>
  <c r="BY45" i="7"/>
  <c r="L45" i="7"/>
  <c r="FN45" i="7"/>
  <c r="DQ45" i="7"/>
  <c r="BT45" i="7"/>
  <c r="W45" i="7"/>
  <c r="FV45" i="7"/>
  <c r="CE45" i="7"/>
  <c r="AJ45" i="7"/>
  <c r="BM45" i="7"/>
  <c r="GI45" i="7"/>
  <c r="DV45" i="7"/>
  <c r="BI45" i="7"/>
  <c r="GU45" i="7"/>
  <c r="EX45" i="7"/>
  <c r="DA45" i="7"/>
  <c r="BD45" i="7"/>
  <c r="FF45" i="7"/>
  <c r="FG45" i="7"/>
  <c r="GO45" i="7"/>
  <c r="AW45" i="7"/>
  <c r="FS45" i="7"/>
  <c r="DF45" i="7"/>
  <c r="AS45" i="7"/>
  <c r="GE45" i="7"/>
  <c r="EH45" i="7"/>
  <c r="CK45" i="7"/>
  <c r="AN45" i="7"/>
  <c r="GP45" i="7"/>
  <c r="EP45" i="7"/>
  <c r="BQ45" i="7"/>
  <c r="DL45" i="7"/>
  <c r="AG45" i="7"/>
  <c r="FC45" i="7"/>
  <c r="CP45" i="7"/>
  <c r="AC45" i="7"/>
  <c r="FO45" i="7"/>
  <c r="DR45" i="7"/>
  <c r="BU45" i="7"/>
  <c r="X45" i="7"/>
  <c r="FZ45" i="7"/>
  <c r="DZ45" i="7"/>
  <c r="ES45" i="7"/>
  <c r="AI45" i="7"/>
  <c r="Q45" i="7"/>
  <c r="EM45" i="7"/>
  <c r="BZ45" i="7"/>
  <c r="M45" i="7"/>
  <c r="EY45" i="7"/>
  <c r="DB45" i="7"/>
  <c r="BE45" i="7"/>
  <c r="FJ45" i="7"/>
  <c r="DJ45" i="7"/>
  <c r="BP45" i="7"/>
  <c r="GN45" i="7"/>
  <c r="GJ45" i="7"/>
  <c r="EF45" i="7"/>
  <c r="DK45" i="7"/>
  <c r="FT45" i="7"/>
  <c r="U45" i="7"/>
  <c r="DW45" i="7"/>
  <c r="GQ45" i="7"/>
  <c r="CW45" i="7"/>
  <c r="DG45" i="7"/>
  <c r="GA45" i="7"/>
  <c r="CV45" i="7"/>
  <c r="BJ45" i="7"/>
  <c r="CI45" i="7"/>
  <c r="AT45" i="7"/>
  <c r="GF45" i="7"/>
  <c r="ET45" i="7"/>
  <c r="FP45" i="7"/>
  <c r="ED45" i="7"/>
  <c r="EI45" i="7"/>
  <c r="AL45" i="7"/>
  <c r="DS45" i="7"/>
  <c r="CL45" i="7"/>
  <c r="CT45" i="7"/>
  <c r="BV45" i="7"/>
  <c r="CD45" i="7"/>
  <c r="GC45" i="7"/>
  <c r="CG45" i="7"/>
  <c r="AO45" i="7"/>
  <c r="ER45" i="7"/>
  <c r="Y45" i="7"/>
  <c r="BO45" i="7"/>
  <c r="AY45" i="7"/>
  <c r="CY9" i="7"/>
  <c r="GQ9" i="7"/>
  <c r="CT9" i="7"/>
  <c r="GL9" i="7"/>
  <c r="CO9" i="7"/>
  <c r="GG9" i="7"/>
  <c r="CF9" i="7"/>
  <c r="FX9" i="7"/>
  <c r="AC9" i="7"/>
  <c r="DT9" i="7"/>
  <c r="AN9" i="7"/>
  <c r="DZ9" i="7"/>
  <c r="M9" i="7"/>
  <c r="DE9" i="7"/>
  <c r="CZ9" i="7"/>
  <c r="GR9" i="7"/>
  <c r="CU9" i="7"/>
  <c r="GM9" i="7"/>
  <c r="CL9" i="7"/>
  <c r="GD9" i="7"/>
  <c r="AU9" i="7"/>
  <c r="EL9" i="7"/>
  <c r="CP9" i="7"/>
  <c r="GB9" i="7"/>
  <c r="S9" i="7"/>
  <c r="DK9" i="7"/>
  <c r="N9" i="7"/>
  <c r="DF9" i="7"/>
  <c r="DA9" i="7"/>
  <c r="GS9" i="7"/>
  <c r="CR9" i="7"/>
  <c r="GJ9" i="7"/>
  <c r="BM9" i="7"/>
  <c r="FD9" i="7"/>
  <c r="ER9" i="7"/>
  <c r="EA9" i="7"/>
  <c r="Y9" i="7"/>
  <c r="DQ9" i="7"/>
  <c r="T9" i="7"/>
  <c r="DL9" i="7"/>
  <c r="O9" i="7"/>
  <c r="DG9" i="7"/>
  <c r="CX9" i="7"/>
  <c r="GP9" i="7"/>
  <c r="CE9" i="7"/>
  <c r="FV9" i="7"/>
  <c r="GT9" i="7"/>
  <c r="GC9" i="7"/>
  <c r="AE9" i="7"/>
  <c r="DW9" i="7"/>
  <c r="Z9" i="7"/>
  <c r="DR9" i="7"/>
  <c r="U9" i="7"/>
  <c r="DM9" i="7"/>
  <c r="L9" i="7"/>
  <c r="DD9" i="7"/>
  <c r="CW9" i="7"/>
  <c r="GN9" i="7"/>
  <c r="AO9" i="7"/>
  <c r="W9" i="7"/>
  <c r="AK9" i="7"/>
  <c r="EC9" i="7"/>
  <c r="AF9" i="7"/>
  <c r="DX9" i="7"/>
  <c r="AA9" i="7"/>
  <c r="DS9" i="7"/>
  <c r="R9" i="7"/>
  <c r="DJ9" i="7"/>
  <c r="AB9" i="7"/>
  <c r="DO9" i="7"/>
  <c r="Q9" i="7"/>
  <c r="CQ9" i="7"/>
  <c r="BY9" i="7"/>
  <c r="AQ9" i="7"/>
  <c r="EI9" i="7"/>
  <c r="AL9" i="7"/>
  <c r="ED9" i="7"/>
  <c r="AG9" i="7"/>
  <c r="DY9" i="7"/>
  <c r="X9" i="7"/>
  <c r="DP9" i="7"/>
  <c r="AT9" i="7"/>
  <c r="EG9" i="7"/>
  <c r="AI9" i="7"/>
  <c r="ES9" i="7"/>
  <c r="AW9" i="7"/>
  <c r="EO9" i="7"/>
  <c r="AR9" i="7"/>
  <c r="EJ9" i="7"/>
  <c r="AM9" i="7"/>
  <c r="EE9" i="7"/>
  <c r="AD9" i="7"/>
  <c r="DV9" i="7"/>
  <c r="BL9" i="7"/>
  <c r="EY9" i="7"/>
  <c r="BA9" i="7"/>
  <c r="GU9" i="7"/>
  <c r="BC9" i="7"/>
  <c r="EU9" i="7"/>
  <c r="AX9" i="7"/>
  <c r="EP9" i="7"/>
  <c r="AS9" i="7"/>
  <c r="EK9" i="7"/>
  <c r="AJ9" i="7"/>
  <c r="EB9" i="7"/>
  <c r="CD9" i="7"/>
  <c r="FQ9" i="7"/>
  <c r="BS9" i="7"/>
  <c r="BF9" i="7"/>
  <c r="BI9" i="7"/>
  <c r="FA9" i="7"/>
  <c r="BD9" i="7"/>
  <c r="EV9" i="7"/>
  <c r="AY9" i="7"/>
  <c r="EQ9" i="7"/>
  <c r="AP9" i="7"/>
  <c r="EH9" i="7"/>
  <c r="CV9" i="7"/>
  <c r="GI9" i="7"/>
  <c r="CK9" i="7"/>
  <c r="DH9" i="7"/>
  <c r="BO9" i="7"/>
  <c r="FG9" i="7"/>
  <c r="BJ9" i="7"/>
  <c r="FB9" i="7"/>
  <c r="BE9" i="7"/>
  <c r="EW9" i="7"/>
  <c r="AV9" i="7"/>
  <c r="EN9" i="7"/>
  <c r="DN9" i="7"/>
  <c r="P9" i="7"/>
  <c r="DC9" i="7"/>
  <c r="FJ9" i="7"/>
  <c r="BU9" i="7"/>
  <c r="FM9" i="7"/>
  <c r="BP9" i="7"/>
  <c r="FH9" i="7"/>
  <c r="BK9" i="7"/>
  <c r="FC9" i="7"/>
  <c r="BB9" i="7"/>
  <c r="ET9" i="7"/>
  <c r="EF9" i="7"/>
  <c r="AH9" i="7"/>
  <c r="DU9" i="7"/>
  <c r="BG9" i="7"/>
  <c r="CA9" i="7"/>
  <c r="FS9" i="7"/>
  <c r="BV9" i="7"/>
  <c r="FN9" i="7"/>
  <c r="BQ9" i="7"/>
  <c r="FI9" i="7"/>
  <c r="BH9" i="7"/>
  <c r="EZ9" i="7"/>
  <c r="EX9" i="7"/>
  <c r="AZ9" i="7"/>
  <c r="EM9" i="7"/>
  <c r="DI9" i="7"/>
  <c r="CG9" i="7"/>
  <c r="FY9" i="7"/>
  <c r="CB9" i="7"/>
  <c r="FT9" i="7"/>
  <c r="BW9" i="7"/>
  <c r="FO9" i="7"/>
  <c r="BN9" i="7"/>
  <c r="FF9" i="7"/>
  <c r="FP9" i="7"/>
  <c r="BR9" i="7"/>
  <c r="FE9" i="7"/>
  <c r="FK9" i="7"/>
  <c r="CM9" i="7"/>
  <c r="GE9" i="7"/>
  <c r="CH9" i="7"/>
  <c r="FZ9" i="7"/>
  <c r="CC9" i="7"/>
  <c r="FU9" i="7"/>
  <c r="BT9" i="7"/>
  <c r="FL9" i="7"/>
  <c r="GH9" i="7"/>
  <c r="CJ9" i="7"/>
  <c r="FW9" i="7"/>
  <c r="V9" i="7"/>
  <c r="CS9" i="7"/>
  <c r="GK9" i="7"/>
  <c r="CN9" i="7"/>
  <c r="GF9" i="7"/>
  <c r="CI9" i="7"/>
  <c r="GA9" i="7"/>
  <c r="BZ9" i="7"/>
  <c r="FR9" i="7"/>
  <c r="DB9" i="7"/>
  <c r="GO9" i="7"/>
  <c r="BX9" i="7"/>
  <c r="BX62" i="7"/>
  <c r="GC62" i="7"/>
  <c r="BD62" i="7"/>
  <c r="CX62" i="7"/>
  <c r="FD62" i="7"/>
  <c r="CO62" i="7"/>
  <c r="AO62" i="7"/>
  <c r="FV62" i="7"/>
  <c r="DF62" i="7"/>
  <c r="AZ62" i="7"/>
  <c r="GL62" i="7"/>
  <c r="AA62" i="7"/>
  <c r="BH62" i="7"/>
  <c r="FM62" i="7"/>
  <c r="AN62" i="7"/>
  <c r="CH62" i="7"/>
  <c r="EN62" i="7"/>
  <c r="BM62" i="7"/>
  <c r="U62" i="7"/>
  <c r="AR62" i="7"/>
  <c r="EW62" i="7"/>
  <c r="GQ62" i="7"/>
  <c r="BR62" i="7"/>
  <c r="DX62" i="7"/>
  <c r="AS62" i="7"/>
  <c r="FX62" i="7"/>
  <c r="DJ62" i="7"/>
  <c r="BC62" i="7"/>
  <c r="GM62" i="7"/>
  <c r="AB62" i="7"/>
  <c r="EG62" i="7"/>
  <c r="GA62" i="7"/>
  <c r="BB62" i="7"/>
  <c r="DH62" i="7"/>
  <c r="X62" i="7"/>
  <c r="ER62" i="7"/>
  <c r="GT62" i="7"/>
  <c r="DQ62" i="7"/>
  <c r="FK62" i="7"/>
  <c r="AL62" i="7"/>
  <c r="CR62" i="7"/>
  <c r="GE62" i="7"/>
  <c r="DL62" i="7"/>
  <c r="BG62" i="7"/>
  <c r="P62" i="7"/>
  <c r="EA62" i="7"/>
  <c r="FI62" i="7"/>
  <c r="DW62" i="7"/>
  <c r="GD62" i="7"/>
  <c r="DA62" i="7"/>
  <c r="EU62" i="7"/>
  <c r="V62" i="7"/>
  <c r="CB62" i="7"/>
  <c r="EY62" i="7"/>
  <c r="CF62" i="7"/>
  <c r="AJ62" i="7"/>
  <c r="FQ62" i="7"/>
  <c r="CU62" i="7"/>
  <c r="AY62" i="7"/>
  <c r="FN62" i="7"/>
  <c r="CK62" i="7"/>
  <c r="EE62" i="7"/>
  <c r="GK62" i="7"/>
  <c r="GH62" i="7"/>
  <c r="DS62" i="7"/>
  <c r="EX62" i="7"/>
  <c r="GR62" i="7"/>
  <c r="DO62" i="7"/>
  <c r="FU62" i="7"/>
  <c r="FB62" i="7"/>
  <c r="CM62" i="7"/>
  <c r="AM62" i="7"/>
  <c r="FS62" i="7"/>
  <c r="DE62" i="7"/>
  <c r="AW62" i="7"/>
  <c r="AX62" i="7"/>
  <c r="EH62" i="7"/>
  <c r="GB62" i="7"/>
  <c r="CY62" i="7"/>
  <c r="FE62" i="7"/>
  <c r="DV62" i="7"/>
  <c r="BL62" i="7"/>
  <c r="T62" i="7"/>
  <c r="EM62" i="7"/>
  <c r="BY62" i="7"/>
  <c r="AC62" i="7"/>
  <c r="FF62" i="7"/>
  <c r="GF62" i="7"/>
  <c r="DR62" i="7"/>
  <c r="FL62" i="7"/>
  <c r="CI62" i="7"/>
  <c r="EO62" i="7"/>
  <c r="CP62" i="7"/>
  <c r="AQ62" i="7"/>
  <c r="FW62" i="7"/>
  <c r="DG62" i="7"/>
  <c r="BA62" i="7"/>
  <c r="FP62" i="7"/>
  <c r="DB62" i="7"/>
  <c r="EV62" i="7"/>
  <c r="GP62" i="7"/>
  <c r="DY62" i="7"/>
  <c r="BN62" i="7"/>
  <c r="W62" i="7"/>
  <c r="EQ62" i="7"/>
  <c r="CA62" i="7"/>
  <c r="AG62" i="7"/>
  <c r="CT62" i="7"/>
  <c r="FC62" i="7"/>
  <c r="EZ62" i="7"/>
  <c r="CL62" i="7"/>
  <c r="EF62" i="7"/>
  <c r="FZ62" i="7"/>
  <c r="DI62" i="7"/>
  <c r="AT62" i="7"/>
  <c r="FY62" i="7"/>
  <c r="DK62" i="7"/>
  <c r="BE62" i="7"/>
  <c r="GU62" i="7"/>
  <c r="CQ62" i="7"/>
  <c r="AU62" i="7"/>
  <c r="EJ62" i="7"/>
  <c r="BV62" i="7"/>
  <c r="DP62" i="7"/>
  <c r="FJ62" i="7"/>
  <c r="CS62" i="7"/>
  <c r="Y62" i="7"/>
  <c r="ES62" i="7"/>
  <c r="CE62" i="7"/>
  <c r="AI62" i="7"/>
  <c r="FO62" i="7"/>
  <c r="GO62" i="7"/>
  <c r="EC62" i="7"/>
  <c r="DT62" i="7"/>
  <c r="BF62" i="7"/>
  <c r="CZ62" i="7"/>
  <c r="ET62" i="7"/>
  <c r="CC62" i="7"/>
  <c r="GG62" i="7"/>
  <c r="DM62" i="7"/>
  <c r="BI62" i="7"/>
  <c r="Q62" i="7"/>
  <c r="EI62" i="7"/>
  <c r="BU62" i="7"/>
  <c r="AE62" i="7"/>
  <c r="DD62" i="7"/>
  <c r="AP62" i="7"/>
  <c r="CJ62" i="7"/>
  <c r="ED62" i="7"/>
  <c r="GJ62" i="7"/>
  <c r="FA62" i="7"/>
  <c r="CG62" i="7"/>
  <c r="AK62" i="7"/>
  <c r="FR62" i="7"/>
  <c r="DC62" i="7"/>
  <c r="GN62" i="7"/>
  <c r="CW62" i="7"/>
  <c r="AH62" i="7"/>
  <c r="DZ62" i="7"/>
  <c r="EK62" i="7"/>
  <c r="L62" i="7"/>
  <c r="CN62" i="7"/>
  <c r="BW62" i="7"/>
  <c r="O62" i="7"/>
  <c r="GS62" i="7"/>
  <c r="AF62" i="7"/>
  <c r="N62" i="7"/>
  <c r="BT62" i="7"/>
  <c r="FG62" i="7"/>
  <c r="DN62" i="7"/>
  <c r="BQ62" i="7"/>
  <c r="K62" i="7"/>
  <c r="FT62" i="7"/>
  <c r="CV62" i="7"/>
  <c r="M62" i="7"/>
  <c r="DU62" i="7"/>
  <c r="BS62" i="7"/>
  <c r="BK62" i="7"/>
  <c r="BP62" i="7"/>
  <c r="BJ62" i="7"/>
  <c r="GI62" i="7"/>
  <c r="S62" i="7"/>
  <c r="BO62" i="7"/>
  <c r="EP62" i="7"/>
  <c r="FH62" i="7"/>
  <c r="CD62" i="7"/>
  <c r="AV62" i="7"/>
  <c r="R62" i="7"/>
  <c r="AD62" i="7"/>
  <c r="BZ62" i="7"/>
  <c r="EB62" i="7"/>
  <c r="EL62" i="7"/>
  <c r="Z62" i="7"/>
  <c r="L26" i="7"/>
  <c r="K26" i="7"/>
  <c r="M26" i="7"/>
  <c r="O26" i="7"/>
  <c r="Q26" i="7"/>
  <c r="W26" i="7"/>
  <c r="R26" i="7"/>
  <c r="Y26" i="7"/>
  <c r="S26" i="7"/>
  <c r="T26" i="7"/>
  <c r="U26" i="7"/>
  <c r="N26" i="7"/>
  <c r="V26" i="7"/>
  <c r="P26" i="7"/>
  <c r="X26" i="7"/>
  <c r="AA26" i="7"/>
  <c r="CN26" i="7"/>
  <c r="FQ26" i="7"/>
  <c r="CA26" i="7"/>
  <c r="FD26" i="7"/>
  <c r="BN26" i="7"/>
  <c r="EQ26" i="7"/>
  <c r="BA26" i="7"/>
  <c r="ED26" i="7"/>
  <c r="AN26" i="7"/>
  <c r="DQ26" i="7"/>
  <c r="GD26" i="7"/>
  <c r="AG26" i="7"/>
  <c r="AQ26" i="7"/>
  <c r="DD26" i="7"/>
  <c r="GG26" i="7"/>
  <c r="CQ26" i="7"/>
  <c r="FT26" i="7"/>
  <c r="CD26" i="7"/>
  <c r="FG26" i="7"/>
  <c r="BQ26" i="7"/>
  <c r="ET26" i="7"/>
  <c r="BD26" i="7"/>
  <c r="EG26" i="7"/>
  <c r="GT26" i="7"/>
  <c r="GM26" i="7"/>
  <c r="CJ26" i="7"/>
  <c r="BG26" i="7"/>
  <c r="DT26" i="7"/>
  <c r="AD26" i="7"/>
  <c r="DG26" i="7"/>
  <c r="GJ26" i="7"/>
  <c r="CT26" i="7"/>
  <c r="FW26" i="7"/>
  <c r="CG26" i="7"/>
  <c r="FJ26" i="7"/>
  <c r="BT26" i="7"/>
  <c r="EW26" i="7"/>
  <c r="AT26" i="7"/>
  <c r="BW26" i="7"/>
  <c r="CW26" i="7"/>
  <c r="CM26" i="7"/>
  <c r="EZ26" i="7"/>
  <c r="BJ26" i="7"/>
  <c r="EM26" i="7"/>
  <c r="AW26" i="7"/>
  <c r="DZ26" i="7"/>
  <c r="AJ26" i="7"/>
  <c r="DM26" i="7"/>
  <c r="GP26" i="7"/>
  <c r="CZ26" i="7"/>
  <c r="GC26" i="7"/>
  <c r="DC26" i="7"/>
  <c r="FP26" i="7"/>
  <c r="BZ26" i="7"/>
  <c r="FC26" i="7"/>
  <c r="BM26" i="7"/>
  <c r="EP26" i="7"/>
  <c r="AZ26" i="7"/>
  <c r="EC26" i="7"/>
  <c r="AM26" i="7"/>
  <c r="DP26" i="7"/>
  <c r="GS26" i="7"/>
  <c r="DS26" i="7"/>
  <c r="GF26" i="7"/>
  <c r="CP26" i="7"/>
  <c r="FS26" i="7"/>
  <c r="CC26" i="7"/>
  <c r="FF26" i="7"/>
  <c r="BP26" i="7"/>
  <c r="ES26" i="7"/>
  <c r="BC26" i="7"/>
  <c r="EF26" i="7"/>
  <c r="Z26" i="7"/>
  <c r="EI26" i="7"/>
  <c r="AC26" i="7"/>
  <c r="DF26" i="7"/>
  <c r="GI26" i="7"/>
  <c r="CS26" i="7"/>
  <c r="FV26" i="7"/>
  <c r="CF26" i="7"/>
  <c r="FI26" i="7"/>
  <c r="BS26" i="7"/>
  <c r="EV26" i="7"/>
  <c r="AP26" i="7"/>
  <c r="EY26" i="7"/>
  <c r="AS26" i="7"/>
  <c r="DV26" i="7"/>
  <c r="AF26" i="7"/>
  <c r="DI26" i="7"/>
  <c r="GL26" i="7"/>
  <c r="CV26" i="7"/>
  <c r="FY26" i="7"/>
  <c r="CI26" i="7"/>
  <c r="FL26" i="7"/>
  <c r="BF26" i="7"/>
  <c r="FO26" i="7"/>
  <c r="BI26" i="7"/>
  <c r="EL26" i="7"/>
  <c r="AV26" i="7"/>
  <c r="DY26" i="7"/>
  <c r="AI26" i="7"/>
  <c r="DL26" i="7"/>
  <c r="GO26" i="7"/>
  <c r="CY26" i="7"/>
  <c r="GB26" i="7"/>
  <c r="BV26" i="7"/>
  <c r="GE26" i="7"/>
  <c r="BY26" i="7"/>
  <c r="FB26" i="7"/>
  <c r="BL26" i="7"/>
  <c r="EO26" i="7"/>
  <c r="AY26" i="7"/>
  <c r="EB26" i="7"/>
  <c r="AL26" i="7"/>
  <c r="DO26" i="7"/>
  <c r="GR26" i="7"/>
  <c r="CL26" i="7"/>
  <c r="GU26" i="7"/>
  <c r="CO26" i="7"/>
  <c r="FR26" i="7"/>
  <c r="CB26" i="7"/>
  <c r="FE26" i="7"/>
  <c r="BO26" i="7"/>
  <c r="ER26" i="7"/>
  <c r="BB26" i="7"/>
  <c r="EE26" i="7"/>
  <c r="AO26" i="7"/>
  <c r="DB26" i="7"/>
  <c r="AB26" i="7"/>
  <c r="DE26" i="7"/>
  <c r="GH26" i="7"/>
  <c r="CR26" i="7"/>
  <c r="FU26" i="7"/>
  <c r="CE26" i="7"/>
  <c r="FH26" i="7"/>
  <c r="BR26" i="7"/>
  <c r="EU26" i="7"/>
  <c r="BE26" i="7"/>
  <c r="DR26" i="7"/>
  <c r="AR26" i="7"/>
  <c r="DU26" i="7"/>
  <c r="AE26" i="7"/>
  <c r="DH26" i="7"/>
  <c r="GK26" i="7"/>
  <c r="CU26" i="7"/>
  <c r="FX26" i="7"/>
  <c r="CH26" i="7"/>
  <c r="FK26" i="7"/>
  <c r="BU26" i="7"/>
  <c r="EH26" i="7"/>
  <c r="DW26" i="7"/>
  <c r="FM26" i="7"/>
  <c r="BH26" i="7"/>
  <c r="EK26" i="7"/>
  <c r="AU26" i="7"/>
  <c r="DX26" i="7"/>
  <c r="AH26" i="7"/>
  <c r="DK26" i="7"/>
  <c r="GN26" i="7"/>
  <c r="CX26" i="7"/>
  <c r="GA26" i="7"/>
  <c r="CK26" i="7"/>
  <c r="EX26" i="7"/>
  <c r="DJ26" i="7"/>
  <c r="BX26" i="7"/>
  <c r="FA26" i="7"/>
  <c r="BK26" i="7"/>
  <c r="EN26" i="7"/>
  <c r="AX26" i="7"/>
  <c r="EA26" i="7"/>
  <c r="AK26" i="7"/>
  <c r="DN26" i="7"/>
  <c r="GQ26" i="7"/>
  <c r="DA26" i="7"/>
  <c r="FN26" i="7"/>
  <c r="EJ26" i="7"/>
  <c r="FZ26" i="7"/>
  <c r="J61" i="7"/>
  <c r="J22" i="7"/>
  <c r="CH61" i="7"/>
  <c r="AZ61" i="7"/>
  <c r="R61" i="7"/>
  <c r="CQ61" i="7"/>
  <c r="BI61" i="7"/>
  <c r="Y61" i="7"/>
  <c r="AO61" i="7"/>
  <c r="BB61" i="7"/>
  <c r="T61" i="7"/>
  <c r="AL61" i="7"/>
  <c r="DK61" i="7"/>
  <c r="CC61" i="7"/>
  <c r="AU61" i="7"/>
  <c r="DD61" i="7"/>
  <c r="V61" i="7"/>
  <c r="CU61" i="7"/>
  <c r="BM61" i="7"/>
  <c r="AE61" i="7"/>
  <c r="CN61" i="7"/>
  <c r="BV61" i="7"/>
  <c r="CW61" i="7"/>
  <c r="CG61" i="7"/>
  <c r="AY61" i="7"/>
  <c r="Q61" i="7"/>
  <c r="CP61" i="7"/>
  <c r="AR61" i="7"/>
  <c r="BG61" i="7"/>
  <c r="L22" i="7"/>
  <c r="CY61" i="7"/>
  <c r="BQ61" i="7"/>
  <c r="AI61" i="7"/>
  <c r="DH61" i="7"/>
  <c r="BZ61" i="7"/>
  <c r="AB61" i="7"/>
  <c r="BF61" i="7"/>
  <c r="M61" i="7"/>
  <c r="CI61" i="7"/>
  <c r="BA61" i="7"/>
  <c r="S61" i="7"/>
  <c r="CR61" i="7"/>
  <c r="BJ61" i="7"/>
  <c r="CZ61" i="7"/>
  <c r="BE61" i="7"/>
  <c r="L61" i="7"/>
  <c r="BS61" i="7"/>
  <c r="AK61" i="7"/>
  <c r="DJ61" i="7"/>
  <c r="CB61" i="7"/>
  <c r="AT61" i="7"/>
  <c r="AN61" i="7"/>
  <c r="DC61" i="7"/>
  <c r="K61" i="7"/>
  <c r="BC61" i="7"/>
  <c r="U61" i="7"/>
  <c r="CT61" i="7"/>
  <c r="BL61" i="7"/>
  <c r="AD61" i="7"/>
  <c r="CM61" i="7"/>
  <c r="AQ61" i="7"/>
  <c r="AM61" i="7"/>
  <c r="DL61" i="7"/>
  <c r="CD61" i="7"/>
  <c r="AV61" i="7"/>
  <c r="N61" i="7"/>
  <c r="W61" i="7"/>
  <c r="CV61" i="7"/>
  <c r="BN61" i="7"/>
  <c r="AF61" i="7"/>
  <c r="DE61" i="7"/>
  <c r="CL61" i="7"/>
  <c r="AP61" i="7"/>
  <c r="CS61" i="7"/>
  <c r="Z61" i="7"/>
  <c r="AW61" i="7"/>
  <c r="CK61" i="7"/>
  <c r="AG61" i="7"/>
  <c r="CJ61" i="7"/>
  <c r="P61" i="7"/>
  <c r="X61" i="7"/>
  <c r="DN61" i="7"/>
  <c r="DG61" i="7"/>
  <c r="BW61" i="7"/>
  <c r="CX61" i="7"/>
  <c r="CA61" i="7"/>
  <c r="BU61" i="7"/>
  <c r="BR61" i="7"/>
  <c r="BK61" i="7"/>
  <c r="BT61" i="7"/>
  <c r="DM61" i="7"/>
  <c r="O61" i="7"/>
  <c r="DB61" i="7"/>
  <c r="CF61" i="7"/>
  <c r="DF61" i="7"/>
  <c r="DA61" i="7"/>
  <c r="BP61" i="7"/>
  <c r="CO61" i="7"/>
  <c r="BD61" i="7"/>
  <c r="AJ61" i="7"/>
  <c r="BY61" i="7"/>
  <c r="CE61" i="7"/>
  <c r="AS61" i="7"/>
  <c r="BO61" i="7"/>
  <c r="AC61" i="7"/>
  <c r="AX61" i="7"/>
  <c r="BX61" i="7"/>
  <c r="AH61" i="7"/>
  <c r="BH61" i="7"/>
  <c r="DI61" i="7"/>
  <c r="AA61" i="7"/>
  <c r="FX61" i="7"/>
  <c r="FE61" i="7"/>
  <c r="EL61" i="7"/>
  <c r="EI61" i="7"/>
  <c r="FL61" i="7"/>
  <c r="FH61" i="7"/>
  <c r="EO61" i="7"/>
  <c r="DV61" i="7"/>
  <c r="DS61" i="7"/>
  <c r="EV61" i="7"/>
  <c r="M22" i="7"/>
  <c r="ER61" i="7"/>
  <c r="DY61" i="7"/>
  <c r="GG61" i="7"/>
  <c r="GT61" i="7"/>
  <c r="EF61" i="7"/>
  <c r="K22" i="7"/>
  <c r="EB61" i="7"/>
  <c r="GJ61" i="7"/>
  <c r="FQ61" i="7"/>
  <c r="GD61" i="7"/>
  <c r="DP61" i="7"/>
  <c r="GM61" i="7"/>
  <c r="FT61" i="7"/>
  <c r="FA61" i="7"/>
  <c r="FN61" i="7"/>
  <c r="GQ61" i="7"/>
  <c r="FW61" i="7"/>
  <c r="FD61" i="7"/>
  <c r="EK61" i="7"/>
  <c r="EX61" i="7"/>
  <c r="GA61" i="7"/>
  <c r="FG61" i="7"/>
  <c r="EN61" i="7"/>
  <c r="DU61" i="7"/>
  <c r="EH61" i="7"/>
  <c r="FK61" i="7"/>
  <c r="EQ61" i="7"/>
  <c r="DX61" i="7"/>
  <c r="GF61" i="7"/>
  <c r="DR61" i="7"/>
  <c r="EU61" i="7"/>
  <c r="EA61" i="7"/>
  <c r="GI61" i="7"/>
  <c r="FP61" i="7"/>
  <c r="GS61" i="7"/>
  <c r="EE61" i="7"/>
  <c r="GL61" i="7"/>
  <c r="FS61" i="7"/>
  <c r="EZ61" i="7"/>
  <c r="GC61" i="7"/>
  <c r="DO61" i="7"/>
  <c r="GO61" i="7"/>
  <c r="FV61" i="7"/>
  <c r="FC61" i="7"/>
  <c r="EJ61" i="7"/>
  <c r="FM61" i="7"/>
  <c r="GP61" i="7"/>
  <c r="FY61" i="7"/>
  <c r="FF61" i="7"/>
  <c r="EM61" i="7"/>
  <c r="DT61" i="7"/>
  <c r="EW61" i="7"/>
  <c r="FZ61" i="7"/>
  <c r="FI61" i="7"/>
  <c r="EP61" i="7"/>
  <c r="DW61" i="7"/>
  <c r="GU61" i="7"/>
  <c r="EG61" i="7"/>
  <c r="FJ61" i="7"/>
  <c r="ES61" i="7"/>
  <c r="DZ61" i="7"/>
  <c r="GH61" i="7"/>
  <c r="GE61" i="7"/>
  <c r="DQ61" i="7"/>
  <c r="ET61" i="7"/>
  <c r="GN61" i="7"/>
  <c r="FU61" i="7"/>
  <c r="FB61" i="7"/>
  <c r="EY61" i="7"/>
  <c r="GB61" i="7"/>
  <c r="EC61" i="7"/>
  <c r="GK61" i="7"/>
  <c r="FR61" i="7"/>
  <c r="FO61" i="7"/>
  <c r="GR61" i="7"/>
  <c r="ED61" i="7"/>
  <c r="BR22" i="7"/>
  <c r="DC22" i="7"/>
  <c r="X22" i="7"/>
  <c r="BO22" i="7"/>
  <c r="FG22" i="7"/>
  <c r="FL22" i="7"/>
  <c r="ED22" i="7"/>
  <c r="DD22" i="7"/>
  <c r="CD22" i="7"/>
  <c r="AR22" i="7"/>
  <c r="GM22" i="7"/>
  <c r="FS22" i="7"/>
  <c r="Q22" i="7"/>
  <c r="DI22" i="7"/>
  <c r="AD22" i="7"/>
  <c r="BU22" i="7"/>
  <c r="FM22" i="7"/>
  <c r="FT22" i="7"/>
  <c r="EL22" i="7"/>
  <c r="DM22" i="7"/>
  <c r="CN22" i="7"/>
  <c r="BJ22" i="7"/>
  <c r="GS22" i="7"/>
  <c r="FZ22" i="7"/>
  <c r="W22" i="7"/>
  <c r="DO22" i="7"/>
  <c r="AJ22" i="7"/>
  <c r="CA22" i="7"/>
  <c r="N22" i="7"/>
  <c r="GA22" i="7"/>
  <c r="EV22" i="7"/>
  <c r="DV22" i="7"/>
  <c r="CV22" i="7"/>
  <c r="BW22" i="7"/>
  <c r="AA22" i="7"/>
  <c r="GG22" i="7"/>
  <c r="AC22" i="7"/>
  <c r="DU22" i="7"/>
  <c r="AP22" i="7"/>
  <c r="CG22" i="7"/>
  <c r="AF22" i="7"/>
  <c r="GH22" i="7"/>
  <c r="FD22" i="7"/>
  <c r="EE22" i="7"/>
  <c r="DF22" i="7"/>
  <c r="CF22" i="7"/>
  <c r="AS22" i="7"/>
  <c r="GN22" i="7"/>
  <c r="AI22" i="7"/>
  <c r="EA22" i="7"/>
  <c r="AV22" i="7"/>
  <c r="CM22" i="7"/>
  <c r="AX22" i="7"/>
  <c r="GO22" i="7"/>
  <c r="FN22" i="7"/>
  <c r="EN22" i="7"/>
  <c r="DN22" i="7"/>
  <c r="CO22" i="7"/>
  <c r="BK22" i="7"/>
  <c r="GT22" i="7"/>
  <c r="AO22" i="7"/>
  <c r="EG22" i="7"/>
  <c r="BB22" i="7"/>
  <c r="CS22" i="7"/>
  <c r="BP22" i="7"/>
  <c r="GU22" i="7"/>
  <c r="FU22" i="7"/>
  <c r="EW22" i="7"/>
  <c r="DX22" i="7"/>
  <c r="CX22" i="7"/>
  <c r="BX22" i="7"/>
  <c r="AU22" i="7"/>
  <c r="EM22" i="7"/>
  <c r="BH22" i="7"/>
  <c r="CY22" i="7"/>
  <c r="BZ22" i="7"/>
  <c r="O22" i="7"/>
  <c r="GB22" i="7"/>
  <c r="FF22" i="7"/>
  <c r="EF22" i="7"/>
  <c r="DG22" i="7"/>
  <c r="CH22" i="7"/>
  <c r="P22" i="7"/>
  <c r="BA22" i="7"/>
  <c r="ES22" i="7"/>
  <c r="BN22" i="7"/>
  <c r="DE22" i="7"/>
  <c r="CI22" i="7"/>
  <c r="AG22" i="7"/>
  <c r="GJ22" i="7"/>
  <c r="FO22" i="7"/>
  <c r="EP22" i="7"/>
  <c r="DP22" i="7"/>
  <c r="CP22" i="7"/>
  <c r="V22" i="7"/>
  <c r="BG22" i="7"/>
  <c r="EY22" i="7"/>
  <c r="S22" i="7"/>
  <c r="DK22" i="7"/>
  <c r="CR22" i="7"/>
  <c r="AY22" i="7"/>
  <c r="GP22" i="7"/>
  <c r="FV22" i="7"/>
  <c r="EX22" i="7"/>
  <c r="DY22" i="7"/>
  <c r="CZ22" i="7"/>
  <c r="AB22" i="7"/>
  <c r="BM22" i="7"/>
  <c r="FE22" i="7"/>
  <c r="Y22" i="7"/>
  <c r="DQ22" i="7"/>
  <c r="DA22" i="7"/>
  <c r="BQ22" i="7"/>
  <c r="T22" i="7"/>
  <c r="GD22" i="7"/>
  <c r="FH22" i="7"/>
  <c r="EH22" i="7"/>
  <c r="DH22" i="7"/>
  <c r="AH22" i="7"/>
  <c r="BS22" i="7"/>
  <c r="FK22" i="7"/>
  <c r="AE22" i="7"/>
  <c r="DW22" i="7"/>
  <c r="DJ22" i="7"/>
  <c r="CB22" i="7"/>
  <c r="AL22" i="7"/>
  <c r="GK22" i="7"/>
  <c r="FP22" i="7"/>
  <c r="EQ22" i="7"/>
  <c r="DR22" i="7"/>
  <c r="AN22" i="7"/>
  <c r="BY22" i="7"/>
  <c r="FQ22" i="7"/>
  <c r="AK22" i="7"/>
  <c r="EC22" i="7"/>
  <c r="DS22" i="7"/>
  <c r="CJ22" i="7"/>
  <c r="BD22" i="7"/>
  <c r="GQ22" i="7"/>
  <c r="FX22" i="7"/>
  <c r="EZ22" i="7"/>
  <c r="DZ22" i="7"/>
  <c r="AT22" i="7"/>
  <c r="CE22" i="7"/>
  <c r="FW22" i="7"/>
  <c r="AQ22" i="7"/>
  <c r="EI22" i="7"/>
  <c r="EB22" i="7"/>
  <c r="CT22" i="7"/>
  <c r="BT22" i="7"/>
  <c r="U22" i="7"/>
  <c r="GE22" i="7"/>
  <c r="FI22" i="7"/>
  <c r="EJ22" i="7"/>
  <c r="AZ22" i="7"/>
  <c r="CK22" i="7"/>
  <c r="GC22" i="7"/>
  <c r="AW22" i="7"/>
  <c r="EO22" i="7"/>
  <c r="EK22" i="7"/>
  <c r="DB22" i="7"/>
  <c r="CC22" i="7"/>
  <c r="AM22" i="7"/>
  <c r="GL22" i="7"/>
  <c r="FR22" i="7"/>
  <c r="ER22" i="7"/>
  <c r="BF22" i="7"/>
  <c r="CQ22" i="7"/>
  <c r="GI22" i="7"/>
  <c r="BC22" i="7"/>
  <c r="EU22" i="7"/>
  <c r="ET22" i="7"/>
  <c r="DL22" i="7"/>
  <c r="CL22" i="7"/>
  <c r="BE22" i="7"/>
  <c r="GR22" i="7"/>
  <c r="FY22" i="7"/>
  <c r="FB22" i="7"/>
  <c r="BL22" i="7"/>
  <c r="CW22" i="7"/>
  <c r="R22" i="7"/>
  <c r="BI22" i="7"/>
  <c r="FA22" i="7"/>
  <c r="FC22" i="7"/>
  <c r="DT22" i="7"/>
  <c r="CU22" i="7"/>
  <c r="BV22" i="7"/>
  <c r="Z22" i="7"/>
  <c r="GF22" i="7"/>
  <c r="FJ22" i="7"/>
  <c r="L47" i="7"/>
  <c r="L11" i="7"/>
  <c r="FM47" i="7"/>
  <c r="CZ47" i="7"/>
  <c r="AM47" i="7"/>
  <c r="FI47" i="7"/>
  <c r="CV47" i="7"/>
  <c r="AI47" i="7"/>
  <c r="DY47" i="7"/>
  <c r="AV47" i="7"/>
  <c r="EL47" i="7"/>
  <c r="BV47" i="7"/>
  <c r="BY47" i="7"/>
  <c r="AQ47" i="7"/>
  <c r="EW47" i="7"/>
  <c r="CJ47" i="7"/>
  <c r="W47" i="7"/>
  <c r="ES47" i="7"/>
  <c r="CF47" i="7"/>
  <c r="GL47" i="7"/>
  <c r="DI47" i="7"/>
  <c r="AF47" i="7"/>
  <c r="DV47" i="7"/>
  <c r="BF47" i="7"/>
  <c r="EG47" i="7"/>
  <c r="BT47" i="7"/>
  <c r="GP47" i="7"/>
  <c r="EC47" i="7"/>
  <c r="BP47" i="7"/>
  <c r="FV47" i="7"/>
  <c r="CS47" i="7"/>
  <c r="GI47" i="7"/>
  <c r="DF47" i="7"/>
  <c r="AP47" i="7"/>
  <c r="BX47" i="7"/>
  <c r="DS47" i="7"/>
  <c r="DQ47" i="7"/>
  <c r="BD47" i="7"/>
  <c r="FZ47" i="7"/>
  <c r="DM47" i="7"/>
  <c r="AZ47" i="7"/>
  <c r="FF47" i="7"/>
  <c r="CC47" i="7"/>
  <c r="FS47" i="7"/>
  <c r="CP47" i="7"/>
  <c r="DA47" i="7"/>
  <c r="AN47" i="7"/>
  <c r="FJ47" i="7"/>
  <c r="CW47" i="7"/>
  <c r="AJ47" i="7"/>
  <c r="EP47" i="7"/>
  <c r="BM47" i="7"/>
  <c r="FC47" i="7"/>
  <c r="BZ47" i="7"/>
  <c r="GG47" i="7"/>
  <c r="BW47" i="7"/>
  <c r="GU47" i="7"/>
  <c r="CK47" i="7"/>
  <c r="X47" i="7"/>
  <c r="ET47" i="7"/>
  <c r="CG47" i="7"/>
  <c r="T47" i="7"/>
  <c r="DZ47" i="7"/>
  <c r="AW47" i="7"/>
  <c r="EM47" i="7"/>
  <c r="BJ47" i="7"/>
  <c r="DD47" i="7"/>
  <c r="EY47" i="7"/>
  <c r="DE47" i="7"/>
  <c r="BU47" i="7"/>
  <c r="GQ47" i="7"/>
  <c r="ED47" i="7"/>
  <c r="BQ47" i="7"/>
  <c r="GM47" i="7"/>
  <c r="DJ47" i="7"/>
  <c r="AG47" i="7"/>
  <c r="DW47" i="7"/>
  <c r="AT47" i="7"/>
  <c r="AA47" i="7"/>
  <c r="BI47" i="7"/>
  <c r="BE47" i="7"/>
  <c r="GA47" i="7"/>
  <c r="DN47" i="7"/>
  <c r="BA47" i="7"/>
  <c r="FW47" i="7"/>
  <c r="CT47" i="7"/>
  <c r="GJ47" i="7"/>
  <c r="DG47" i="7"/>
  <c r="AD47" i="7"/>
  <c r="GF47" i="7"/>
  <c r="EK47" i="7"/>
  <c r="AO47" i="7"/>
  <c r="FK47" i="7"/>
  <c r="CX47" i="7"/>
  <c r="AK47" i="7"/>
  <c r="FG47" i="7"/>
  <c r="CD47" i="7"/>
  <c r="FT47" i="7"/>
  <c r="CQ47" i="7"/>
  <c r="GT47" i="7"/>
  <c r="DC47" i="7"/>
  <c r="BH47" i="7"/>
  <c r="Y47" i="7"/>
  <c r="EU47" i="7"/>
  <c r="CH47" i="7"/>
  <c r="U47" i="7"/>
  <c r="EQ47" i="7"/>
  <c r="BN47" i="7"/>
  <c r="FD47" i="7"/>
  <c r="CA47" i="7"/>
  <c r="GD47" i="7"/>
  <c r="GE47" i="7"/>
  <c r="EJ47" i="7"/>
  <c r="GR47" i="7"/>
  <c r="EE47" i="7"/>
  <c r="BR47" i="7"/>
  <c r="GN47" i="7"/>
  <c r="EA47" i="7"/>
  <c r="AX47" i="7"/>
  <c r="EN47" i="7"/>
  <c r="BK47" i="7"/>
  <c r="FN47" i="7"/>
  <c r="CO47" i="7"/>
  <c r="BG47" i="7"/>
  <c r="GB47" i="7"/>
  <c r="DO47" i="7"/>
  <c r="BB47" i="7"/>
  <c r="FX47" i="7"/>
  <c r="DK47" i="7"/>
  <c r="AH47" i="7"/>
  <c r="DX47" i="7"/>
  <c r="AU47" i="7"/>
  <c r="EX47" i="7"/>
  <c r="FQ47" i="7"/>
  <c r="EI47" i="7"/>
  <c r="FL47" i="7"/>
  <c r="CY47" i="7"/>
  <c r="AL47" i="7"/>
  <c r="FH47" i="7"/>
  <c r="CU47" i="7"/>
  <c r="GK47" i="7"/>
  <c r="DH47" i="7"/>
  <c r="AE47" i="7"/>
  <c r="EH47" i="7"/>
  <c r="CN47" i="7"/>
  <c r="AS47" i="7"/>
  <c r="GC47" i="7"/>
  <c r="DP47" i="7"/>
  <c r="BC47" i="7"/>
  <c r="FY47" i="7"/>
  <c r="DL47" i="7"/>
  <c r="AY47" i="7"/>
  <c r="EO47" i="7"/>
  <c r="BL47" i="7"/>
  <c r="FB47" i="7"/>
  <c r="CL47" i="7"/>
  <c r="FO47" i="7"/>
  <c r="DT47" i="7"/>
  <c r="EF47" i="7"/>
  <c r="DB47" i="7"/>
  <c r="CI47" i="7"/>
  <c r="Z47" i="7"/>
  <c r="BS47" i="7"/>
  <c r="FP47" i="7"/>
  <c r="V47" i="7"/>
  <c r="CM47" i="7"/>
  <c r="GO47" i="7"/>
  <c r="FA47" i="7"/>
  <c r="ER47" i="7"/>
  <c r="EZ47" i="7"/>
  <c r="EB47" i="7"/>
  <c r="DU47" i="7"/>
  <c r="CE47" i="7"/>
  <c r="AR47" i="7"/>
  <c r="S47" i="7"/>
  <c r="BO47" i="7"/>
  <c r="AB47" i="7"/>
  <c r="R47" i="7"/>
  <c r="FU47" i="7"/>
  <c r="AC47" i="7"/>
  <c r="Q47" i="7"/>
  <c r="FE47" i="7"/>
  <c r="P47" i="7"/>
  <c r="CR47" i="7"/>
  <c r="O47" i="7"/>
  <c r="CB47" i="7"/>
  <c r="N47" i="7"/>
  <c r="GH47" i="7"/>
  <c r="M47" i="7"/>
  <c r="GS47" i="7"/>
  <c r="FR47" i="7"/>
  <c r="EV47" i="7"/>
  <c r="DR47" i="7"/>
  <c r="AI11" i="7"/>
  <c r="EA11" i="7"/>
  <c r="AP11" i="7"/>
  <c r="EH11" i="7"/>
  <c r="BC11" i="7"/>
  <c r="EU11" i="7"/>
  <c r="BJ11" i="7"/>
  <c r="FB11" i="7"/>
  <c r="BQ11" i="7"/>
  <c r="FI11" i="7"/>
  <c r="BX11" i="7"/>
  <c r="FP11" i="7"/>
  <c r="AO11" i="7"/>
  <c r="EG11" i="7"/>
  <c r="AV11" i="7"/>
  <c r="EN11" i="7"/>
  <c r="BI11" i="7"/>
  <c r="FA11" i="7"/>
  <c r="BP11" i="7"/>
  <c r="FH11" i="7"/>
  <c r="AU11" i="7"/>
  <c r="EM11" i="7"/>
  <c r="BB11" i="7"/>
  <c r="ET11" i="7"/>
  <c r="BO11" i="7"/>
  <c r="FG11" i="7"/>
  <c r="BV11" i="7"/>
  <c r="FN11" i="7"/>
  <c r="CC11" i="7"/>
  <c r="FU11" i="7"/>
  <c r="CJ11" i="7"/>
  <c r="GB11" i="7"/>
  <c r="BA11" i="7"/>
  <c r="ES11" i="7"/>
  <c r="BH11" i="7"/>
  <c r="EZ11" i="7"/>
  <c r="BU11" i="7"/>
  <c r="FM11" i="7"/>
  <c r="BG11" i="7"/>
  <c r="EY11" i="7"/>
  <c r="BN11" i="7"/>
  <c r="FF11" i="7"/>
  <c r="CA11" i="7"/>
  <c r="FS11" i="7"/>
  <c r="CH11" i="7"/>
  <c r="FZ11" i="7"/>
  <c r="CO11" i="7"/>
  <c r="GG11" i="7"/>
  <c r="CV11" i="7"/>
  <c r="GN11" i="7"/>
  <c r="BM11" i="7"/>
  <c r="FE11" i="7"/>
  <c r="BT11" i="7"/>
  <c r="FL11" i="7"/>
  <c r="CG11" i="7"/>
  <c r="FY11" i="7"/>
  <c r="CN11" i="7"/>
  <c r="GF11" i="7"/>
  <c r="CU11" i="7"/>
  <c r="GM11" i="7"/>
  <c r="DB11" i="7"/>
  <c r="GT11" i="7"/>
  <c r="BS11" i="7"/>
  <c r="FK11" i="7"/>
  <c r="BZ11" i="7"/>
  <c r="FR11" i="7"/>
  <c r="CM11" i="7"/>
  <c r="GE11" i="7"/>
  <c r="CT11" i="7"/>
  <c r="GL11" i="7"/>
  <c r="DA11" i="7"/>
  <c r="GS11" i="7"/>
  <c r="DH11" i="7"/>
  <c r="BY11" i="7"/>
  <c r="FQ11" i="7"/>
  <c r="CF11" i="7"/>
  <c r="FX11" i="7"/>
  <c r="CS11" i="7"/>
  <c r="GK11" i="7"/>
  <c r="CZ11" i="7"/>
  <c r="GR11" i="7"/>
  <c r="DG11" i="7"/>
  <c r="V11" i="7"/>
  <c r="DN11" i="7"/>
  <c r="CE11" i="7"/>
  <c r="FW11" i="7"/>
  <c r="CL11" i="7"/>
  <c r="GD11" i="7"/>
  <c r="CY11" i="7"/>
  <c r="GQ11" i="7"/>
  <c r="DF11" i="7"/>
  <c r="CK11" i="7"/>
  <c r="GC11" i="7"/>
  <c r="CR11" i="7"/>
  <c r="GJ11" i="7"/>
  <c r="DE11" i="7"/>
  <c r="T11" i="7"/>
  <c r="DL11" i="7"/>
  <c r="AA11" i="7"/>
  <c r="DS11" i="7"/>
  <c r="AH11" i="7"/>
  <c r="DZ11" i="7"/>
  <c r="CQ11" i="7"/>
  <c r="GI11" i="7"/>
  <c r="CX11" i="7"/>
  <c r="GP11" i="7"/>
  <c r="DK11" i="7"/>
  <c r="Z11" i="7"/>
  <c r="DR11" i="7"/>
  <c r="AG11" i="7"/>
  <c r="DY11" i="7"/>
  <c r="AN11" i="7"/>
  <c r="EF11" i="7"/>
  <c r="CW11" i="7"/>
  <c r="GO11" i="7"/>
  <c r="DD11" i="7"/>
  <c r="Y11" i="7"/>
  <c r="DQ11" i="7"/>
  <c r="AF11" i="7"/>
  <c r="DX11" i="7"/>
  <c r="AM11" i="7"/>
  <c r="EE11" i="7"/>
  <c r="AT11" i="7"/>
  <c r="EL11" i="7"/>
  <c r="DC11" i="7"/>
  <c r="GU11" i="7"/>
  <c r="DJ11" i="7"/>
  <c r="AE11" i="7"/>
  <c r="DW11" i="7"/>
  <c r="AL11" i="7"/>
  <c r="ED11" i="7"/>
  <c r="AS11" i="7"/>
  <c r="EK11" i="7"/>
  <c r="AZ11" i="7"/>
  <c r="ER11" i="7"/>
  <c r="DI11" i="7"/>
  <c r="X11" i="7"/>
  <c r="DP11" i="7"/>
  <c r="AK11" i="7"/>
  <c r="EC11" i="7"/>
  <c r="AR11" i="7"/>
  <c r="EJ11" i="7"/>
  <c r="AY11" i="7"/>
  <c r="EQ11" i="7"/>
  <c r="AC11" i="7"/>
  <c r="DU11" i="7"/>
  <c r="AJ11" i="7"/>
  <c r="EB11" i="7"/>
  <c r="AW11" i="7"/>
  <c r="EO11" i="7"/>
  <c r="BD11" i="7"/>
  <c r="EV11" i="7"/>
  <c r="BK11" i="7"/>
  <c r="FC11" i="7"/>
  <c r="BR11" i="7"/>
  <c r="FJ11" i="7"/>
  <c r="FT11" i="7"/>
  <c r="FD11" i="7"/>
  <c r="N11" i="7"/>
  <c r="U11" i="7"/>
  <c r="FV11" i="7"/>
  <c r="O11" i="7"/>
  <c r="BE11" i="7"/>
  <c r="GH11" i="7"/>
  <c r="P11" i="7"/>
  <c r="BW11" i="7"/>
  <c r="CI11" i="7"/>
  <c r="DM11" i="7"/>
  <c r="EW11" i="7"/>
  <c r="W11" i="7"/>
  <c r="FO11" i="7"/>
  <c r="DO11" i="7"/>
  <c r="GA11" i="7"/>
  <c r="AD11" i="7"/>
  <c r="AB11" i="7"/>
  <c r="DV11" i="7"/>
  <c r="BF11" i="7"/>
  <c r="AQ11" i="7"/>
  <c r="BL11" i="7"/>
  <c r="EI11" i="7"/>
  <c r="CD11" i="7"/>
  <c r="Q11" i="7"/>
  <c r="AX11" i="7"/>
  <c r="CP11" i="7"/>
  <c r="R11" i="7"/>
  <c r="CB11" i="7"/>
  <c r="DT11" i="7"/>
  <c r="M11" i="7"/>
  <c r="EP11" i="7"/>
  <c r="EX11" i="7"/>
  <c r="S11" i="7"/>
  <c r="J57" i="7"/>
  <c r="K57" i="7"/>
  <c r="J23" i="7"/>
  <c r="K23" i="7"/>
  <c r="BM5" i="1"/>
  <c r="BM4" i="1"/>
  <c r="BD5" i="1"/>
  <c r="BD11" i="1" s="1"/>
  <c r="CQ65" i="7"/>
  <c r="AE65" i="7"/>
  <c r="DU65" i="7"/>
  <c r="AR65" i="7"/>
  <c r="FN65" i="7"/>
  <c r="DA65" i="7"/>
  <c r="GH65" i="7"/>
  <c r="DE65" i="7"/>
  <c r="AB65" i="7"/>
  <c r="EX65" i="7"/>
  <c r="CK65" i="7"/>
  <c r="FB65" i="7"/>
  <c r="BY65" i="7"/>
  <c r="GE65" i="7"/>
  <c r="DR65" i="7"/>
  <c r="EL65" i="7"/>
  <c r="BI65" i="7"/>
  <c r="GI65" i="7"/>
  <c r="DF65" i="7"/>
  <c r="AC65" i="7"/>
  <c r="EI65" i="7"/>
  <c r="BV65" i="7"/>
  <c r="GR65" i="7"/>
  <c r="EE65" i="7"/>
  <c r="BR65" i="7"/>
  <c r="FS65" i="7"/>
  <c r="CP65" i="7"/>
  <c r="GF65" i="7"/>
  <c r="DS65" i="7"/>
  <c r="BF65" i="7"/>
  <c r="GB65" i="7"/>
  <c r="DO65" i="7"/>
  <c r="BB65" i="7"/>
  <c r="FC65" i="7"/>
  <c r="BZ65" i="7"/>
  <c r="FP65" i="7"/>
  <c r="DC65" i="7"/>
  <c r="AP65" i="7"/>
  <c r="FL65" i="7"/>
  <c r="CY65" i="7"/>
  <c r="AL65" i="7"/>
  <c r="EM65" i="7"/>
  <c r="BJ65" i="7"/>
  <c r="EZ65" i="7"/>
  <c r="CM65" i="7"/>
  <c r="EK65" i="7"/>
  <c r="GT65" i="7"/>
  <c r="EV65" i="7"/>
  <c r="AM65" i="7"/>
  <c r="DM65" i="7"/>
  <c r="AX65" i="7"/>
  <c r="CE65" i="7"/>
  <c r="DX65" i="7"/>
  <c r="DK65" i="7"/>
  <c r="Q65" i="7"/>
  <c r="CO65" i="7"/>
  <c r="GD65" i="7"/>
  <c r="EF65" i="7"/>
  <c r="W65" i="7"/>
  <c r="CW65" i="7"/>
  <c r="AH65" i="7"/>
  <c r="S65" i="7"/>
  <c r="BL65" i="7"/>
  <c r="P65" i="7"/>
  <c r="AS65" i="7"/>
  <c r="EH65" i="7"/>
  <c r="DP65" i="7"/>
  <c r="GP65" i="7"/>
  <c r="CG65" i="7"/>
  <c r="R65" i="7"/>
  <c r="EO65" i="7"/>
  <c r="FX65" i="7"/>
  <c r="EJ65" i="7"/>
  <c r="DB65" i="7"/>
  <c r="CZ65" i="7"/>
  <c r="FZ65" i="7"/>
  <c r="BQ65" i="7"/>
  <c r="FG65" i="7"/>
  <c r="CC65" i="7"/>
  <c r="DL65" i="7"/>
  <c r="DW65" i="7"/>
  <c r="DT65" i="7"/>
  <c r="CL65" i="7"/>
  <c r="CJ65" i="7"/>
  <c r="FJ65" i="7"/>
  <c r="BA65" i="7"/>
  <c r="CU65" i="7"/>
  <c r="EN65" i="7"/>
  <c r="AZ65" i="7"/>
  <c r="DG65" i="7"/>
  <c r="DD65" i="7"/>
  <c r="Z65" i="7"/>
  <c r="BT65" i="7"/>
  <c r="ET65" i="7"/>
  <c r="AK65" i="7"/>
  <c r="AI65" i="7"/>
  <c r="CB65" i="7"/>
  <c r="DI65" i="7"/>
  <c r="CA65" i="7"/>
  <c r="CN65" i="7"/>
  <c r="GS65" i="7"/>
  <c r="BD65" i="7"/>
  <c r="ED65" i="7"/>
  <c r="U65" i="7"/>
  <c r="FE65" i="7"/>
  <c r="GN65" i="7"/>
  <c r="DH65" i="7"/>
  <c r="BK65" i="7"/>
  <c r="BX65" i="7"/>
  <c r="GC65" i="7"/>
  <c r="AN65" i="7"/>
  <c r="DN65" i="7"/>
  <c r="GL65" i="7"/>
  <c r="CS65" i="7"/>
  <c r="EB65" i="7"/>
  <c r="CV65" i="7"/>
  <c r="AU65" i="7"/>
  <c r="BH65" i="7"/>
  <c r="FM65" i="7"/>
  <c r="X65" i="7"/>
  <c r="CX65" i="7"/>
  <c r="FV65" i="7"/>
  <c r="AG65" i="7"/>
  <c r="BP65" i="7"/>
  <c r="AY65" i="7"/>
  <c r="FR65" i="7"/>
  <c r="GU65" i="7"/>
  <c r="EW65" i="7"/>
  <c r="GQ65" i="7"/>
  <c r="CH65" i="7"/>
  <c r="FF65" i="7"/>
  <c r="FD65" i="7"/>
  <c r="GM65" i="7"/>
  <c r="AW65" i="7"/>
  <c r="DV65" i="7"/>
  <c r="FO65" i="7"/>
  <c r="EG65" i="7"/>
  <c r="GA65" i="7"/>
  <c r="V65" i="7"/>
  <c r="EP65" i="7"/>
  <c r="CR65" i="7"/>
  <c r="EA65" i="7"/>
  <c r="AV65" i="7"/>
  <c r="O65" i="7"/>
  <c r="AT65" i="7"/>
  <c r="EY65" i="7"/>
  <c r="DQ65" i="7"/>
  <c r="FK65" i="7"/>
  <c r="GO65" i="7"/>
  <c r="DZ65" i="7"/>
  <c r="AF65" i="7"/>
  <c r="BO65" i="7"/>
  <c r="AJ65" i="7"/>
  <c r="AD65" i="7"/>
  <c r="BW65" i="7"/>
  <c r="BU65" i="7"/>
  <c r="EU65" i="7"/>
  <c r="FY65" i="7"/>
  <c r="DJ65" i="7"/>
  <c r="ER65" i="7"/>
  <c r="GK65" i="7"/>
  <c r="FW65" i="7"/>
  <c r="GG65" i="7"/>
  <c r="BG65" i="7"/>
  <c r="BE65" i="7"/>
  <c r="CI65" i="7"/>
  <c r="FI65" i="7"/>
  <c r="CT65" i="7"/>
  <c r="CF65" i="7"/>
  <c r="DY65" i="7"/>
  <c r="FT65" i="7"/>
  <c r="FA65" i="7"/>
  <c r="AA65" i="7"/>
  <c r="Y65" i="7"/>
  <c r="BC65" i="7"/>
  <c r="EC65" i="7"/>
  <c r="BN65" i="7"/>
  <c r="EQ65" i="7"/>
  <c r="GJ65" i="7"/>
  <c r="FU65" i="7"/>
  <c r="BM65" i="7"/>
  <c r="FH65" i="7"/>
  <c r="FQ65" i="7"/>
  <c r="AQ65" i="7"/>
  <c r="AO65" i="7"/>
  <c r="BS65" i="7"/>
  <c r="ES65" i="7"/>
  <c r="CD65" i="7"/>
  <c r="T65" i="7"/>
  <c r="O29" i="7"/>
  <c r="W29" i="7"/>
  <c r="DO29" i="7"/>
  <c r="X29" i="7"/>
  <c r="DP29" i="7"/>
  <c r="AE29" i="7"/>
  <c r="DW29" i="7"/>
  <c r="AL29" i="7"/>
  <c r="ED29" i="7"/>
  <c r="AT29" i="7"/>
  <c r="EL29" i="7"/>
  <c r="AY29" i="7"/>
  <c r="AG29" i="7"/>
  <c r="AC29" i="7"/>
  <c r="DU29" i="7"/>
  <c r="AD29" i="7"/>
  <c r="DV29" i="7"/>
  <c r="AK29" i="7"/>
  <c r="EC29" i="7"/>
  <c r="AR29" i="7"/>
  <c r="EJ29" i="7"/>
  <c r="AZ29" i="7"/>
  <c r="ER29" i="7"/>
  <c r="CI29" i="7"/>
  <c r="BQ29" i="7"/>
  <c r="AI29" i="7"/>
  <c r="EA29" i="7"/>
  <c r="AJ29" i="7"/>
  <c r="EB29" i="7"/>
  <c r="AQ29" i="7"/>
  <c r="EI29" i="7"/>
  <c r="AX29" i="7"/>
  <c r="EP29" i="7"/>
  <c r="BF29" i="7"/>
  <c r="EX29" i="7"/>
  <c r="DS29" i="7"/>
  <c r="DA29" i="7"/>
  <c r="Q29" i="7"/>
  <c r="AO29" i="7"/>
  <c r="EG29" i="7"/>
  <c r="AP29" i="7"/>
  <c r="EH29" i="7"/>
  <c r="AW29" i="7"/>
  <c r="EO29" i="7"/>
  <c r="BD29" i="7"/>
  <c r="EV29" i="7"/>
  <c r="BL29" i="7"/>
  <c r="FD29" i="7"/>
  <c r="FC29" i="7"/>
  <c r="EK29" i="7"/>
  <c r="AU29" i="7"/>
  <c r="EM29" i="7"/>
  <c r="AV29" i="7"/>
  <c r="EN29" i="7"/>
  <c r="BC29" i="7"/>
  <c r="EU29" i="7"/>
  <c r="BJ29" i="7"/>
  <c r="FB29" i="7"/>
  <c r="BR29" i="7"/>
  <c r="FJ29" i="7"/>
  <c r="GM29" i="7"/>
  <c r="FU29" i="7"/>
  <c r="BA29" i="7"/>
  <c r="ES29" i="7"/>
  <c r="BB29" i="7"/>
  <c r="ET29" i="7"/>
  <c r="BI29" i="7"/>
  <c r="FA29" i="7"/>
  <c r="BP29" i="7"/>
  <c r="FH29" i="7"/>
  <c r="BX29" i="7"/>
  <c r="FP29" i="7"/>
  <c r="U29" i="7"/>
  <c r="AM29" i="7"/>
  <c r="BG29" i="7"/>
  <c r="EY29" i="7"/>
  <c r="BH29" i="7"/>
  <c r="EZ29" i="7"/>
  <c r="BO29" i="7"/>
  <c r="FG29" i="7"/>
  <c r="BV29" i="7"/>
  <c r="FN29" i="7"/>
  <c r="CD29" i="7"/>
  <c r="FV29" i="7"/>
  <c r="BE29" i="7"/>
  <c r="BW29" i="7"/>
  <c r="BM29" i="7"/>
  <c r="FE29" i="7"/>
  <c r="BN29" i="7"/>
  <c r="FF29" i="7"/>
  <c r="BU29" i="7"/>
  <c r="FM29" i="7"/>
  <c r="CB29" i="7"/>
  <c r="FT29" i="7"/>
  <c r="CJ29" i="7"/>
  <c r="GB29" i="7"/>
  <c r="CO29" i="7"/>
  <c r="DG29" i="7"/>
  <c r="BS29" i="7"/>
  <c r="FK29" i="7"/>
  <c r="BT29" i="7"/>
  <c r="FL29" i="7"/>
  <c r="CA29" i="7"/>
  <c r="FS29" i="7"/>
  <c r="CH29" i="7"/>
  <c r="FZ29" i="7"/>
  <c r="CP29" i="7"/>
  <c r="GH29" i="7"/>
  <c r="DY29" i="7"/>
  <c r="EQ29" i="7"/>
  <c r="BY29" i="7"/>
  <c r="FQ29" i="7"/>
  <c r="BZ29" i="7"/>
  <c r="FR29" i="7"/>
  <c r="CG29" i="7"/>
  <c r="FY29" i="7"/>
  <c r="CN29" i="7"/>
  <c r="GF29" i="7"/>
  <c r="CV29" i="7"/>
  <c r="GN29" i="7"/>
  <c r="FI29" i="7"/>
  <c r="GA29" i="7"/>
  <c r="CE29" i="7"/>
  <c r="FW29" i="7"/>
  <c r="CF29" i="7"/>
  <c r="FX29" i="7"/>
  <c r="CM29" i="7"/>
  <c r="GE29" i="7"/>
  <c r="CT29" i="7"/>
  <c r="GL29" i="7"/>
  <c r="DB29" i="7"/>
  <c r="GT29" i="7"/>
  <c r="GS29" i="7"/>
  <c r="P29" i="7"/>
  <c r="CK29" i="7"/>
  <c r="GC29" i="7"/>
  <c r="CL29" i="7"/>
  <c r="GD29" i="7"/>
  <c r="CS29" i="7"/>
  <c r="GK29" i="7"/>
  <c r="CZ29" i="7"/>
  <c r="GR29" i="7"/>
  <c r="DH29" i="7"/>
  <c r="AS29" i="7"/>
  <c r="AA29" i="7"/>
  <c r="CQ29" i="7"/>
  <c r="GI29" i="7"/>
  <c r="CR29" i="7"/>
  <c r="GJ29" i="7"/>
  <c r="CY29" i="7"/>
  <c r="GQ29" i="7"/>
  <c r="DF29" i="7"/>
  <c r="V29" i="7"/>
  <c r="DN29" i="7"/>
  <c r="CC29" i="7"/>
  <c r="BK29" i="7"/>
  <c r="CW29" i="7"/>
  <c r="GO29" i="7"/>
  <c r="CX29" i="7"/>
  <c r="GP29" i="7"/>
  <c r="DE29" i="7"/>
  <c r="T29" i="7"/>
  <c r="DL29" i="7"/>
  <c r="AB29" i="7"/>
  <c r="DT29" i="7"/>
  <c r="DM29" i="7"/>
  <c r="CU29" i="7"/>
  <c r="DC29" i="7"/>
  <c r="GU29" i="7"/>
  <c r="DD29" i="7"/>
  <c r="S29" i="7"/>
  <c r="DK29" i="7"/>
  <c r="Z29" i="7"/>
  <c r="DR29" i="7"/>
  <c r="AH29" i="7"/>
  <c r="DZ29" i="7"/>
  <c r="EW29" i="7"/>
  <c r="EE29" i="7"/>
  <c r="DI29" i="7"/>
  <c r="R29" i="7"/>
  <c r="DJ29" i="7"/>
  <c r="Y29" i="7"/>
  <c r="DQ29" i="7"/>
  <c r="AF29" i="7"/>
  <c r="DX29" i="7"/>
  <c r="AN29" i="7"/>
  <c r="EF29" i="7"/>
  <c r="GG29" i="7"/>
  <c r="FO29" i="7"/>
  <c r="GS40" i="7"/>
  <c r="EV40" i="7"/>
  <c r="CI40" i="7"/>
  <c r="V40" i="7"/>
  <c r="DQ40" i="7"/>
  <c r="CK40" i="7"/>
  <c r="AN40" i="7"/>
  <c r="FJ40" i="7"/>
  <c r="CW40" i="7"/>
  <c r="BU40" i="7"/>
  <c r="X40" i="7"/>
  <c r="ET40" i="7"/>
  <c r="CG40" i="7"/>
  <c r="AO40" i="7"/>
  <c r="GA40" i="7"/>
  <c r="Y40" i="7"/>
  <c r="GG40" i="7"/>
  <c r="GR40" i="7"/>
  <c r="GB40" i="7"/>
  <c r="FL40" i="7"/>
  <c r="CY40" i="7"/>
  <c r="AL40" i="7"/>
  <c r="EF40" i="7"/>
  <c r="FZ40" i="7"/>
  <c r="U40" i="7"/>
  <c r="FG40" i="7"/>
  <c r="CT40" i="7"/>
  <c r="AW40" i="7"/>
  <c r="EK40" i="7"/>
  <c r="FB40" i="7"/>
  <c r="GF40" i="7"/>
  <c r="EI40" i="7"/>
  <c r="CL40" i="7"/>
  <c r="DP40" i="7"/>
  <c r="ED40" i="7"/>
  <c r="GN40" i="7"/>
  <c r="EQ40" i="7"/>
  <c r="CD40" i="7"/>
  <c r="AG40" i="7"/>
  <c r="GI40" i="7"/>
  <c r="EL40" i="7"/>
  <c r="FP40" i="7"/>
  <c r="DS40" i="7"/>
  <c r="BF40" i="7"/>
  <c r="CZ40" i="7"/>
  <c r="DN40" i="7"/>
  <c r="FX40" i="7"/>
  <c r="EA40" i="7"/>
  <c r="BN40" i="7"/>
  <c r="Q40" i="7"/>
  <c r="FS40" i="7"/>
  <c r="DV40" i="7"/>
  <c r="EZ40" i="7"/>
  <c r="DC40" i="7"/>
  <c r="BV40" i="7"/>
  <c r="CJ40" i="7"/>
  <c r="CX40" i="7"/>
  <c r="FH40" i="7"/>
  <c r="DK40" i="7"/>
  <c r="AX40" i="7"/>
  <c r="M40" i="7"/>
  <c r="FC40" i="7"/>
  <c r="DF40" i="7"/>
  <c r="EJ40" i="7"/>
  <c r="CM40" i="7"/>
  <c r="AP40" i="7"/>
  <c r="BT40" i="7"/>
  <c r="CH40" i="7"/>
  <c r="ER40" i="7"/>
  <c r="CU40" i="7"/>
  <c r="AH40" i="7"/>
  <c r="GJ40" i="7"/>
  <c r="EM40" i="7"/>
  <c r="CP40" i="7"/>
  <c r="DT40" i="7"/>
  <c r="BW40" i="7"/>
  <c r="Z40" i="7"/>
  <c r="BD40" i="7"/>
  <c r="BR40" i="7"/>
  <c r="EB40" i="7"/>
  <c r="CE40" i="7"/>
  <c r="R40" i="7"/>
  <c r="FT40" i="7"/>
  <c r="DW40" i="7"/>
  <c r="BZ40" i="7"/>
  <c r="DD40" i="7"/>
  <c r="BG40" i="7"/>
  <c r="GQ40" i="7"/>
  <c r="BB40" i="7"/>
  <c r="DL40" i="7"/>
  <c r="BO40" i="7"/>
  <c r="AC40" i="7"/>
  <c r="FD40" i="7"/>
  <c r="DG40" i="7"/>
  <c r="BJ40" i="7"/>
  <c r="CN40" i="7"/>
  <c r="AQ40" i="7"/>
  <c r="FK40" i="7"/>
  <c r="GO40" i="7"/>
  <c r="CV40" i="7"/>
  <c r="AY40" i="7"/>
  <c r="GK40" i="7"/>
  <c r="EN40" i="7"/>
  <c r="CQ40" i="7"/>
  <c r="AT40" i="7"/>
  <c r="BX40" i="7"/>
  <c r="AA40" i="7"/>
  <c r="EU40" i="7"/>
  <c r="FY40" i="7"/>
  <c r="CF40" i="7"/>
  <c r="AI40" i="7"/>
  <c r="FU40" i="7"/>
  <c r="DX40" i="7"/>
  <c r="CA40" i="7"/>
  <c r="AD40" i="7"/>
  <c r="BH40" i="7"/>
  <c r="EE40" i="7"/>
  <c r="FI40" i="7"/>
  <c r="BP40" i="7"/>
  <c r="S40" i="7"/>
  <c r="FE40" i="7"/>
  <c r="DH40" i="7"/>
  <c r="BK40" i="7"/>
  <c r="N40" i="7"/>
  <c r="AR40" i="7"/>
  <c r="GT40" i="7"/>
  <c r="GC40" i="7"/>
  <c r="DO40" i="7"/>
  <c r="ES40" i="7"/>
  <c r="AZ40" i="7"/>
  <c r="GL40" i="7"/>
  <c r="EO40" i="7"/>
  <c r="CR40" i="7"/>
  <c r="AU40" i="7"/>
  <c r="FA40" i="7"/>
  <c r="AB40" i="7"/>
  <c r="GD40" i="7"/>
  <c r="FM40" i="7"/>
  <c r="BS40" i="7"/>
  <c r="EC40" i="7"/>
  <c r="AJ40" i="7"/>
  <c r="FV40" i="7"/>
  <c r="DY40" i="7"/>
  <c r="CB40" i="7"/>
  <c r="AE40" i="7"/>
  <c r="CO40" i="7"/>
  <c r="L40" i="7"/>
  <c r="FN40" i="7"/>
  <c r="EW40" i="7"/>
  <c r="BC40" i="7"/>
  <c r="DM40" i="7"/>
  <c r="T40" i="7"/>
  <c r="FF40" i="7"/>
  <c r="DI40" i="7"/>
  <c r="BL40" i="7"/>
  <c r="O40" i="7"/>
  <c r="BI40" i="7"/>
  <c r="GU40" i="7"/>
  <c r="EX40" i="7"/>
  <c r="EG40" i="7"/>
  <c r="AM40" i="7"/>
  <c r="BQ40" i="7"/>
  <c r="AS40" i="7"/>
  <c r="EP40" i="7"/>
  <c r="CS40" i="7"/>
  <c r="AV40" i="7"/>
  <c r="DU40" i="7"/>
  <c r="FQ40" i="7"/>
  <c r="GE40" i="7"/>
  <c r="EH40" i="7"/>
  <c r="BE40" i="7"/>
  <c r="GP40" i="7"/>
  <c r="AK40" i="7"/>
  <c r="FW40" i="7"/>
  <c r="DJ40" i="7"/>
  <c r="BM40" i="7"/>
  <c r="P40" i="7"/>
  <c r="FR40" i="7"/>
  <c r="BY40" i="7"/>
  <c r="EY40" i="7"/>
  <c r="DB40" i="7"/>
  <c r="AF40" i="7"/>
  <c r="GH40" i="7"/>
  <c r="DE40" i="7"/>
  <c r="FO40" i="7"/>
  <c r="DR40" i="7"/>
  <c r="DA40" i="7"/>
  <c r="W40" i="7"/>
  <c r="BA40" i="7"/>
  <c r="GM40" i="7"/>
  <c r="DZ40" i="7"/>
  <c r="CC40" i="7"/>
  <c r="AV5" i="7"/>
  <c r="EN5" i="7"/>
  <c r="AW5" i="7"/>
  <c r="EO5" i="7"/>
  <c r="AX5" i="7"/>
  <c r="EP5" i="7"/>
  <c r="AY5" i="7"/>
  <c r="EQ5" i="7"/>
  <c r="AT5" i="7"/>
  <c r="EL5" i="7"/>
  <c r="AO5" i="7"/>
  <c r="EG5" i="7"/>
  <c r="BB5" i="7"/>
  <c r="ET5" i="7"/>
  <c r="BC5" i="7"/>
  <c r="EU5" i="7"/>
  <c r="BD5" i="7"/>
  <c r="EV5" i="7"/>
  <c r="BE5" i="7"/>
  <c r="EW5" i="7"/>
  <c r="AZ5" i="7"/>
  <c r="ER5" i="7"/>
  <c r="AU5" i="7"/>
  <c r="EM5" i="7"/>
  <c r="BH5" i="7"/>
  <c r="EZ5" i="7"/>
  <c r="BI5" i="7"/>
  <c r="FA5" i="7"/>
  <c r="BJ5" i="7"/>
  <c r="FB5" i="7"/>
  <c r="BK5" i="7"/>
  <c r="FC5" i="7"/>
  <c r="BF5" i="7"/>
  <c r="EX5" i="7"/>
  <c r="BA5" i="7"/>
  <c r="ES5" i="7"/>
  <c r="BN5" i="7"/>
  <c r="FF5" i="7"/>
  <c r="BO5" i="7"/>
  <c r="FG5" i="7"/>
  <c r="BP5" i="7"/>
  <c r="FH5" i="7"/>
  <c r="BQ5" i="7"/>
  <c r="FI5" i="7"/>
  <c r="BL5" i="7"/>
  <c r="FD5" i="7"/>
  <c r="BG5" i="7"/>
  <c r="EY5" i="7"/>
  <c r="BT5" i="7"/>
  <c r="FL5" i="7"/>
  <c r="BU5" i="7"/>
  <c r="FM5" i="7"/>
  <c r="BV5" i="7"/>
  <c r="FN5" i="7"/>
  <c r="BW5" i="7"/>
  <c r="FO5" i="7"/>
  <c r="BR5" i="7"/>
  <c r="FJ5" i="7"/>
  <c r="BM5" i="7"/>
  <c r="FE5" i="7"/>
  <c r="BZ5" i="7"/>
  <c r="FR5" i="7"/>
  <c r="CA5" i="7"/>
  <c r="FS5" i="7"/>
  <c r="CB5" i="7"/>
  <c r="FT5" i="7"/>
  <c r="CC5" i="7"/>
  <c r="FU5" i="7"/>
  <c r="BX5" i="7"/>
  <c r="FP5" i="7"/>
  <c r="BS5" i="7"/>
  <c r="FK5" i="7"/>
  <c r="CF5" i="7"/>
  <c r="FX5" i="7"/>
  <c r="CG5" i="7"/>
  <c r="FY5" i="7"/>
  <c r="CH5" i="7"/>
  <c r="FZ5" i="7"/>
  <c r="CI5" i="7"/>
  <c r="GA5" i="7"/>
  <c r="CD5" i="7"/>
  <c r="FV5" i="7"/>
  <c r="BY5" i="7"/>
  <c r="FQ5" i="7"/>
  <c r="CL5" i="7"/>
  <c r="GD5" i="7"/>
  <c r="CM5" i="7"/>
  <c r="GE5" i="7"/>
  <c r="CN5" i="7"/>
  <c r="GF5" i="7"/>
  <c r="CO5" i="7"/>
  <c r="GG5" i="7"/>
  <c r="CJ5" i="7"/>
  <c r="GB5" i="7"/>
  <c r="CE5" i="7"/>
  <c r="FW5" i="7"/>
  <c r="CR5" i="7"/>
  <c r="GJ5" i="7"/>
  <c r="CS5" i="7"/>
  <c r="GK5" i="7"/>
  <c r="CT5" i="7"/>
  <c r="GL5" i="7"/>
  <c r="CU5" i="7"/>
  <c r="GM5" i="7"/>
  <c r="CP5" i="7"/>
  <c r="GH5" i="7"/>
  <c r="CK5" i="7"/>
  <c r="GC5" i="7"/>
  <c r="CX5" i="7"/>
  <c r="GP5" i="7"/>
  <c r="CY5" i="7"/>
  <c r="GQ5" i="7"/>
  <c r="CZ5" i="7"/>
  <c r="GR5" i="7"/>
  <c r="DA5" i="7"/>
  <c r="GS5" i="7"/>
  <c r="CV5" i="7"/>
  <c r="GN5" i="7"/>
  <c r="CQ5" i="7"/>
  <c r="GI5" i="7"/>
  <c r="L5" i="7"/>
  <c r="DD5" i="7"/>
  <c r="M5" i="7"/>
  <c r="DE5" i="7"/>
  <c r="N5" i="7"/>
  <c r="DF5" i="7"/>
  <c r="O5" i="7"/>
  <c r="DG5" i="7"/>
  <c r="DB5" i="7"/>
  <c r="GT5" i="7"/>
  <c r="CW5" i="7"/>
  <c r="GO5" i="7"/>
  <c r="R5" i="7"/>
  <c r="DJ5" i="7"/>
  <c r="S5" i="7"/>
  <c r="DK5" i="7"/>
  <c r="T5" i="7"/>
  <c r="DL5" i="7"/>
  <c r="U5" i="7"/>
  <c r="DM5" i="7"/>
  <c r="P5" i="7"/>
  <c r="DH5" i="7"/>
  <c r="DC5" i="7"/>
  <c r="GU5" i="7"/>
  <c r="X5" i="7"/>
  <c r="DP5" i="7"/>
  <c r="Y5" i="7"/>
  <c r="DQ5" i="7"/>
  <c r="Z5" i="7"/>
  <c r="DR5" i="7"/>
  <c r="AA5" i="7"/>
  <c r="DS5" i="7"/>
  <c r="V5" i="7"/>
  <c r="DN5" i="7"/>
  <c r="Q5" i="7"/>
  <c r="DI5" i="7"/>
  <c r="AD5" i="7"/>
  <c r="DV5" i="7"/>
  <c r="AE5" i="7"/>
  <c r="DW5" i="7"/>
  <c r="AF5" i="7"/>
  <c r="DX5" i="7"/>
  <c r="AG5" i="7"/>
  <c r="DY5" i="7"/>
  <c r="AB5" i="7"/>
  <c r="DT5" i="7"/>
  <c r="W5" i="7"/>
  <c r="DO5" i="7"/>
  <c r="AJ5" i="7"/>
  <c r="EB5" i="7"/>
  <c r="AK5" i="7"/>
  <c r="EC5" i="7"/>
  <c r="AL5" i="7"/>
  <c r="ED5" i="7"/>
  <c r="AM5" i="7"/>
  <c r="EE5" i="7"/>
  <c r="AH5" i="7"/>
  <c r="DZ5" i="7"/>
  <c r="AC5" i="7"/>
  <c r="DU5" i="7"/>
  <c r="AP5" i="7"/>
  <c r="EH5" i="7"/>
  <c r="AQ5" i="7"/>
  <c r="EI5" i="7"/>
  <c r="AR5" i="7"/>
  <c r="EJ5" i="7"/>
  <c r="AS5" i="7"/>
  <c r="EK5" i="7"/>
  <c r="AN5" i="7"/>
  <c r="EF5" i="7"/>
  <c r="AI5" i="7"/>
  <c r="EA5" i="7"/>
  <c r="R8" i="6"/>
  <c r="AC916" i="1"/>
  <c r="F8" i="6"/>
  <c r="AC907" i="1"/>
  <c r="AC1028" i="1"/>
  <c r="AD683" i="1"/>
  <c r="AD1200" i="1"/>
  <c r="AD1093" i="1"/>
  <c r="AD882" i="1"/>
  <c r="AC1199" i="1"/>
  <c r="AD988" i="1"/>
  <c r="AD1280" i="1"/>
  <c r="AD725" i="1"/>
  <c r="AD941" i="1"/>
  <c r="AD911" i="1"/>
  <c r="AC968" i="1"/>
  <c r="AC614" i="1"/>
  <c r="AC808" i="1"/>
  <c r="AC917" i="1"/>
  <c r="AD858" i="1"/>
  <c r="AD880" i="1"/>
  <c r="AD1074" i="1"/>
  <c r="X8" i="6"/>
  <c r="O8" i="6"/>
  <c r="AC1101" i="1"/>
  <c r="AC1194" i="1"/>
  <c r="AD1100" i="1"/>
  <c r="AD1154" i="1"/>
  <c r="Z9" i="6"/>
  <c r="Z8" i="6"/>
  <c r="AC1140" i="1"/>
  <c r="AD1071" i="1"/>
  <c r="AD853" i="1"/>
  <c r="AD8" i="1"/>
  <c r="AC813" i="1"/>
  <c r="AD1251" i="1"/>
  <c r="AC1072" i="1"/>
  <c r="AD886" i="1"/>
  <c r="AD610" i="1"/>
  <c r="AD1196" i="1"/>
  <c r="AD1046" i="1"/>
  <c r="D14" i="6"/>
  <c r="D30" i="6"/>
  <c r="D46" i="6"/>
  <c r="D62" i="6"/>
  <c r="D25" i="6"/>
  <c r="D41" i="6"/>
  <c r="D57" i="6"/>
  <c r="D73" i="6"/>
  <c r="D20" i="6"/>
  <c r="D36" i="6"/>
  <c r="D52" i="6"/>
  <c r="D68" i="6"/>
  <c r="D10" i="6"/>
  <c r="D26" i="6"/>
  <c r="D42" i="6"/>
  <c r="D58" i="6"/>
  <c r="D21" i="6"/>
  <c r="D37" i="6"/>
  <c r="D53" i="6"/>
  <c r="D69" i="6"/>
  <c r="D16" i="6"/>
  <c r="D32" i="6"/>
  <c r="D48" i="6"/>
  <c r="D64" i="6"/>
  <c r="D11" i="6"/>
  <c r="D27" i="6"/>
  <c r="D43" i="6"/>
  <c r="D59" i="6"/>
  <c r="D22" i="6"/>
  <c r="D38" i="6"/>
  <c r="D54" i="6"/>
  <c r="D70" i="6"/>
  <c r="D17" i="6"/>
  <c r="D33" i="6"/>
  <c r="D49" i="6"/>
  <c r="D12" i="6"/>
  <c r="D28" i="6"/>
  <c r="D44" i="6"/>
  <c r="D60" i="6"/>
  <c r="D23" i="6"/>
  <c r="D39" i="6"/>
  <c r="D55" i="6"/>
  <c r="D71" i="6"/>
  <c r="D18" i="6"/>
  <c r="D34" i="6"/>
  <c r="D50" i="6"/>
  <c r="D13" i="6"/>
  <c r="D29" i="6"/>
  <c r="D45" i="6"/>
  <c r="D61" i="6"/>
  <c r="D24" i="6"/>
  <c r="D40" i="6"/>
  <c r="D56" i="6"/>
  <c r="D19" i="6"/>
  <c r="D35" i="6"/>
  <c r="D51" i="6"/>
  <c r="D67" i="6"/>
  <c r="D76" i="6"/>
  <c r="D83" i="6"/>
  <c r="D99" i="6"/>
  <c r="D115" i="6"/>
  <c r="D131" i="6"/>
  <c r="D94" i="6"/>
  <c r="D110" i="6"/>
  <c r="D126" i="6"/>
  <c r="D31" i="6"/>
  <c r="D74" i="6"/>
  <c r="D77" i="6"/>
  <c r="D89" i="6"/>
  <c r="D105" i="6"/>
  <c r="D121" i="6"/>
  <c r="D137" i="6"/>
  <c r="D84" i="6"/>
  <c r="D100" i="6"/>
  <c r="D78" i="6"/>
  <c r="D95" i="6"/>
  <c r="D111" i="6"/>
  <c r="D127" i="6"/>
  <c r="D47" i="6"/>
  <c r="D79" i="6"/>
  <c r="D90" i="6"/>
  <c r="D106" i="6"/>
  <c r="D122" i="6"/>
  <c r="D85" i="6"/>
  <c r="D101" i="6"/>
  <c r="D117" i="6"/>
  <c r="D133" i="6"/>
  <c r="D80" i="6"/>
  <c r="D96" i="6"/>
  <c r="D112" i="6"/>
  <c r="D128" i="6"/>
  <c r="D63" i="6"/>
  <c r="D91" i="6"/>
  <c r="D107" i="6"/>
  <c r="D123" i="6"/>
  <c r="D139" i="6"/>
  <c r="D86" i="6"/>
  <c r="D102" i="6"/>
  <c r="D118" i="6"/>
  <c r="D81" i="6"/>
  <c r="D97" i="6"/>
  <c r="D113" i="6"/>
  <c r="D129" i="6"/>
  <c r="D65" i="6"/>
  <c r="D92" i="6"/>
  <c r="D108" i="6"/>
  <c r="D124" i="6"/>
  <c r="D82" i="6"/>
  <c r="D98" i="6"/>
  <c r="D114" i="6"/>
  <c r="D130" i="6"/>
  <c r="D66" i="6"/>
  <c r="D72" i="6"/>
  <c r="D93" i="6"/>
  <c r="D109" i="6"/>
  <c r="D125" i="6"/>
  <c r="D15" i="6"/>
  <c r="D75" i="6"/>
  <c r="D88" i="6"/>
  <c r="D104" i="6"/>
  <c r="D120" i="6"/>
  <c r="D136" i="6"/>
  <c r="D151" i="6"/>
  <c r="D167" i="6"/>
  <c r="D183" i="6"/>
  <c r="D199" i="6"/>
  <c r="D103" i="6"/>
  <c r="D135" i="6"/>
  <c r="D146" i="6"/>
  <c r="D162" i="6"/>
  <c r="D178" i="6"/>
  <c r="D194" i="6"/>
  <c r="D141" i="6"/>
  <c r="D157" i="6"/>
  <c r="D173" i="6"/>
  <c r="D189" i="6"/>
  <c r="D119" i="6"/>
  <c r="D152" i="6"/>
  <c r="D168" i="6"/>
  <c r="D184" i="6"/>
  <c r="D200" i="6"/>
  <c r="D147" i="6"/>
  <c r="D163" i="6"/>
  <c r="D179" i="6"/>
  <c r="D195" i="6"/>
  <c r="D142" i="6"/>
  <c r="D158" i="6"/>
  <c r="D174" i="6"/>
  <c r="D190" i="6"/>
  <c r="D138" i="6"/>
  <c r="D153" i="6"/>
  <c r="D169" i="6"/>
  <c r="D185" i="6"/>
  <c r="D148" i="6"/>
  <c r="D164" i="6"/>
  <c r="D180" i="6"/>
  <c r="D143" i="6"/>
  <c r="D159" i="6"/>
  <c r="D175" i="6"/>
  <c r="D191" i="6"/>
  <c r="D134" i="6"/>
  <c r="D154" i="6"/>
  <c r="D170" i="6"/>
  <c r="D186" i="6"/>
  <c r="D149" i="6"/>
  <c r="D165" i="6"/>
  <c r="D181" i="6"/>
  <c r="D197" i="6"/>
  <c r="D144" i="6"/>
  <c r="D160" i="6"/>
  <c r="D176" i="6"/>
  <c r="D192" i="6"/>
  <c r="D116" i="6"/>
  <c r="D155" i="6"/>
  <c r="D132" i="6"/>
  <c r="D150" i="6"/>
  <c r="D166" i="6"/>
  <c r="D182" i="6"/>
  <c r="D198" i="6"/>
  <c r="D87" i="6"/>
  <c r="D145" i="6"/>
  <c r="D161" i="6"/>
  <c r="D177" i="6"/>
  <c r="D193" i="6"/>
  <c r="D140" i="6"/>
  <c r="D156" i="6"/>
  <c r="D172" i="6"/>
  <c r="D188" i="6"/>
  <c r="D171" i="6"/>
  <c r="D201" i="6"/>
  <c r="D187" i="6"/>
  <c r="D196" i="6"/>
  <c r="AD9" i="6"/>
  <c r="AD10" i="6"/>
  <c r="E19" i="6"/>
  <c r="E35" i="6"/>
  <c r="E51" i="6"/>
  <c r="E67" i="6"/>
  <c r="E14" i="6"/>
  <c r="E30" i="6"/>
  <c r="E46" i="6"/>
  <c r="E62" i="6"/>
  <c r="E78" i="6"/>
  <c r="E25" i="6"/>
  <c r="E41" i="6"/>
  <c r="E57" i="6"/>
  <c r="E15" i="6"/>
  <c r="E31" i="6"/>
  <c r="E47" i="6"/>
  <c r="E63" i="6"/>
  <c r="E26" i="6"/>
  <c r="E42" i="6"/>
  <c r="E58" i="6"/>
  <c r="E21" i="6"/>
  <c r="E37" i="6"/>
  <c r="E53" i="6"/>
  <c r="E69" i="6"/>
  <c r="E16" i="6"/>
  <c r="E32" i="6"/>
  <c r="E48" i="6"/>
  <c r="E64" i="6"/>
  <c r="E27" i="6"/>
  <c r="E43" i="6"/>
  <c r="E59" i="6"/>
  <c r="E22" i="6"/>
  <c r="E38" i="6"/>
  <c r="E54" i="6"/>
  <c r="E17" i="6"/>
  <c r="E33" i="6"/>
  <c r="E49" i="6"/>
  <c r="E65" i="6"/>
  <c r="E28" i="6"/>
  <c r="E44" i="6"/>
  <c r="E60" i="6"/>
  <c r="E23" i="6"/>
  <c r="E39" i="6"/>
  <c r="E55" i="6"/>
  <c r="E18" i="6"/>
  <c r="E34" i="6"/>
  <c r="E50" i="6"/>
  <c r="E66" i="6"/>
  <c r="E29" i="6"/>
  <c r="E45" i="6"/>
  <c r="E61" i="6"/>
  <c r="E24" i="6"/>
  <c r="E40" i="6"/>
  <c r="E56" i="6"/>
  <c r="E72" i="6"/>
  <c r="E75" i="6"/>
  <c r="E88" i="6"/>
  <c r="E104" i="6"/>
  <c r="E120" i="6"/>
  <c r="E136" i="6"/>
  <c r="E76" i="6"/>
  <c r="E83" i="6"/>
  <c r="E99" i="6"/>
  <c r="E115" i="6"/>
  <c r="E131" i="6"/>
  <c r="E94" i="6"/>
  <c r="E110" i="6"/>
  <c r="E126" i="6"/>
  <c r="E74" i="6"/>
  <c r="E77" i="6"/>
  <c r="E89" i="6"/>
  <c r="E105" i="6"/>
  <c r="E84" i="6"/>
  <c r="E100" i="6"/>
  <c r="E116" i="6"/>
  <c r="E132" i="6"/>
  <c r="E20" i="6"/>
  <c r="E68" i="6"/>
  <c r="E95" i="6"/>
  <c r="E111" i="6"/>
  <c r="E127" i="6"/>
  <c r="E71" i="6"/>
  <c r="E79" i="6"/>
  <c r="E90" i="6"/>
  <c r="E106" i="6"/>
  <c r="E122" i="6"/>
  <c r="E138" i="6"/>
  <c r="E73" i="6"/>
  <c r="E85" i="6"/>
  <c r="E101" i="6"/>
  <c r="E117" i="6"/>
  <c r="E133" i="6"/>
  <c r="E36" i="6"/>
  <c r="E80" i="6"/>
  <c r="E96" i="6"/>
  <c r="E112" i="6"/>
  <c r="E128" i="6"/>
  <c r="E91" i="6"/>
  <c r="E107" i="6"/>
  <c r="E123" i="6"/>
  <c r="E86" i="6"/>
  <c r="E102" i="6"/>
  <c r="E118" i="6"/>
  <c r="E134" i="6"/>
  <c r="E52" i="6"/>
  <c r="E81" i="6"/>
  <c r="E97" i="6"/>
  <c r="E113" i="6"/>
  <c r="E129" i="6"/>
  <c r="E87" i="6"/>
  <c r="E103" i="6"/>
  <c r="E119" i="6"/>
  <c r="E135" i="6"/>
  <c r="E70" i="6"/>
  <c r="E82" i="6"/>
  <c r="E98" i="6"/>
  <c r="E114" i="6"/>
  <c r="E130" i="6"/>
  <c r="E93" i="6"/>
  <c r="E109" i="6"/>
  <c r="E125" i="6"/>
  <c r="E124" i="6"/>
  <c r="E140" i="6"/>
  <c r="E156" i="6"/>
  <c r="E172" i="6"/>
  <c r="E188" i="6"/>
  <c r="E139" i="6"/>
  <c r="E151" i="6"/>
  <c r="E167" i="6"/>
  <c r="E183" i="6"/>
  <c r="E199" i="6"/>
  <c r="E146" i="6"/>
  <c r="E162" i="6"/>
  <c r="E178" i="6"/>
  <c r="E194" i="6"/>
  <c r="E141" i="6"/>
  <c r="E157" i="6"/>
  <c r="E173" i="6"/>
  <c r="E189" i="6"/>
  <c r="E92" i="6"/>
  <c r="E152" i="6"/>
  <c r="E168" i="6"/>
  <c r="E184" i="6"/>
  <c r="E147" i="6"/>
  <c r="E163" i="6"/>
  <c r="E179" i="6"/>
  <c r="E195" i="6"/>
  <c r="E142" i="6"/>
  <c r="E158" i="6"/>
  <c r="E174" i="6"/>
  <c r="E190" i="6"/>
  <c r="E153" i="6"/>
  <c r="E169" i="6"/>
  <c r="E185" i="6"/>
  <c r="E121" i="6"/>
  <c r="E148" i="6"/>
  <c r="E164" i="6"/>
  <c r="E180" i="6"/>
  <c r="E196" i="6"/>
  <c r="E108" i="6"/>
  <c r="E143" i="6"/>
  <c r="E159" i="6"/>
  <c r="E175" i="6"/>
  <c r="E191" i="6"/>
  <c r="E154" i="6"/>
  <c r="E170" i="6"/>
  <c r="E186" i="6"/>
  <c r="E149" i="6"/>
  <c r="E165" i="6"/>
  <c r="E181" i="6"/>
  <c r="E197" i="6"/>
  <c r="E144" i="6"/>
  <c r="E160" i="6"/>
  <c r="E155" i="6"/>
  <c r="E171" i="6"/>
  <c r="E187" i="6"/>
  <c r="E137" i="6"/>
  <c r="E150" i="6"/>
  <c r="E166" i="6"/>
  <c r="E182" i="6"/>
  <c r="E198" i="6"/>
  <c r="E145" i="6"/>
  <c r="E161" i="6"/>
  <c r="E177" i="6"/>
  <c r="E193" i="6"/>
  <c r="E176" i="6"/>
  <c r="E200" i="6"/>
  <c r="E192" i="6"/>
  <c r="E201" i="6"/>
  <c r="R9" i="6"/>
  <c r="R10" i="6"/>
  <c r="R11" i="6"/>
  <c r="D9" i="6"/>
  <c r="D8" i="6"/>
  <c r="Y26" i="6"/>
  <c r="Y42" i="6"/>
  <c r="Y58" i="6"/>
  <c r="Y74" i="6"/>
  <c r="Y21" i="6"/>
  <c r="Y37" i="6"/>
  <c r="Y53" i="6"/>
  <c r="Y69" i="6"/>
  <c r="Y32" i="6"/>
  <c r="Y48" i="6"/>
  <c r="Y64" i="6"/>
  <c r="Y22" i="6"/>
  <c r="Y38" i="6"/>
  <c r="Y54" i="6"/>
  <c r="Y17" i="6"/>
  <c r="Y33" i="6"/>
  <c r="Y49" i="6"/>
  <c r="Y65" i="6"/>
  <c r="Y28" i="6"/>
  <c r="Y44" i="6"/>
  <c r="Y60" i="6"/>
  <c r="Y23" i="6"/>
  <c r="Y39" i="6"/>
  <c r="Y55" i="6"/>
  <c r="Y71" i="6"/>
  <c r="Y18" i="6"/>
  <c r="Y34" i="6"/>
  <c r="Y50" i="6"/>
  <c r="Y66" i="6"/>
  <c r="Y29" i="6"/>
  <c r="Y45" i="6"/>
  <c r="Y61" i="6"/>
  <c r="Y24" i="6"/>
  <c r="Y40" i="6"/>
  <c r="Y56" i="6"/>
  <c r="Y72" i="6"/>
  <c r="Y19" i="6"/>
  <c r="Y35" i="6"/>
  <c r="Y51" i="6"/>
  <c r="Y67" i="6"/>
  <c r="Y30" i="6"/>
  <c r="Y46" i="6"/>
  <c r="Y62" i="6"/>
  <c r="Y25" i="6"/>
  <c r="Y41" i="6"/>
  <c r="Y57" i="6"/>
  <c r="Y73" i="6"/>
  <c r="Y20" i="6"/>
  <c r="Y36" i="6"/>
  <c r="Y52" i="6"/>
  <c r="Y68" i="6"/>
  <c r="Y31" i="6"/>
  <c r="Y47" i="6"/>
  <c r="Y63" i="6"/>
  <c r="Y95" i="6"/>
  <c r="Y111" i="6"/>
  <c r="Y127" i="6"/>
  <c r="Y43" i="6"/>
  <c r="Y79" i="6"/>
  <c r="Y90" i="6"/>
  <c r="Y106" i="6"/>
  <c r="Y122" i="6"/>
  <c r="Y138" i="6"/>
  <c r="Y70" i="6"/>
  <c r="Y85" i="6"/>
  <c r="Y101" i="6"/>
  <c r="Y117" i="6"/>
  <c r="Y133" i="6"/>
  <c r="Y80" i="6"/>
  <c r="Y96" i="6"/>
  <c r="Y59" i="6"/>
  <c r="Y91" i="6"/>
  <c r="Y107" i="6"/>
  <c r="Y123" i="6"/>
  <c r="Y139" i="6"/>
  <c r="Y86" i="6"/>
  <c r="Y102" i="6"/>
  <c r="Y118" i="6"/>
  <c r="Y81" i="6"/>
  <c r="Y97" i="6"/>
  <c r="Y113" i="6"/>
  <c r="Y129" i="6"/>
  <c r="Y92" i="6"/>
  <c r="Y108" i="6"/>
  <c r="Y124" i="6"/>
  <c r="Y87" i="6"/>
  <c r="Y103" i="6"/>
  <c r="Y119" i="6"/>
  <c r="Y135" i="6"/>
  <c r="Y75" i="6"/>
  <c r="Y82" i="6"/>
  <c r="Y98" i="6"/>
  <c r="Y114" i="6"/>
  <c r="Y93" i="6"/>
  <c r="Y109" i="6"/>
  <c r="Y125" i="6"/>
  <c r="Y76" i="6"/>
  <c r="Y88" i="6"/>
  <c r="Y104" i="6"/>
  <c r="Y120" i="6"/>
  <c r="Y77" i="6"/>
  <c r="Y94" i="6"/>
  <c r="Y110" i="6"/>
  <c r="Y126" i="6"/>
  <c r="Y27" i="6"/>
  <c r="Y89" i="6"/>
  <c r="Y105" i="6"/>
  <c r="Y121" i="6"/>
  <c r="Y137" i="6"/>
  <c r="Y78" i="6"/>
  <c r="Y84" i="6"/>
  <c r="Y100" i="6"/>
  <c r="Y116" i="6"/>
  <c r="Y132" i="6"/>
  <c r="Y128" i="6"/>
  <c r="Y147" i="6"/>
  <c r="Y163" i="6"/>
  <c r="Y179" i="6"/>
  <c r="Y195" i="6"/>
  <c r="Y142" i="6"/>
  <c r="Y158" i="6"/>
  <c r="Y174" i="6"/>
  <c r="Y190" i="6"/>
  <c r="Y153" i="6"/>
  <c r="Y169" i="6"/>
  <c r="Y185" i="6"/>
  <c r="Y148" i="6"/>
  <c r="Y164" i="6"/>
  <c r="Y180" i="6"/>
  <c r="Y196" i="6"/>
  <c r="Y112" i="6"/>
  <c r="Y143" i="6"/>
  <c r="Y159" i="6"/>
  <c r="Y175" i="6"/>
  <c r="Y191" i="6"/>
  <c r="Y154" i="6"/>
  <c r="Y170" i="6"/>
  <c r="Y186" i="6"/>
  <c r="Y149" i="6"/>
  <c r="Y165" i="6"/>
  <c r="Y181" i="6"/>
  <c r="Y197" i="6"/>
  <c r="Y130" i="6"/>
  <c r="Y144" i="6"/>
  <c r="Y160" i="6"/>
  <c r="Y176" i="6"/>
  <c r="Y155" i="6"/>
  <c r="Y171" i="6"/>
  <c r="Y187" i="6"/>
  <c r="Y150" i="6"/>
  <c r="Y166" i="6"/>
  <c r="Y182" i="6"/>
  <c r="Y198" i="6"/>
  <c r="Y83" i="6"/>
  <c r="Y145" i="6"/>
  <c r="Y161" i="6"/>
  <c r="Y177" i="6"/>
  <c r="Y193" i="6"/>
  <c r="Y115" i="6"/>
  <c r="Y140" i="6"/>
  <c r="Y156" i="6"/>
  <c r="Y172" i="6"/>
  <c r="Y188" i="6"/>
  <c r="Y131" i="6"/>
  <c r="Y136" i="6"/>
  <c r="Y151" i="6"/>
  <c r="Y167" i="6"/>
  <c r="Y99" i="6"/>
  <c r="Y134" i="6"/>
  <c r="Y146" i="6"/>
  <c r="Y162" i="6"/>
  <c r="Y178" i="6"/>
  <c r="Y194" i="6"/>
  <c r="Y141" i="6"/>
  <c r="Y157" i="6"/>
  <c r="Y173" i="6"/>
  <c r="Y189" i="6"/>
  <c r="Y152" i="6"/>
  <c r="Y168" i="6"/>
  <c r="Y184" i="6"/>
  <c r="Y200" i="6"/>
  <c r="Y201" i="6"/>
  <c r="Y192" i="6"/>
  <c r="Y183" i="6"/>
  <c r="Y199" i="6"/>
  <c r="F24" i="6"/>
  <c r="F40" i="6"/>
  <c r="F56" i="6"/>
  <c r="F72" i="6"/>
  <c r="F19" i="6"/>
  <c r="F35" i="6"/>
  <c r="F51" i="6"/>
  <c r="F67" i="6"/>
  <c r="F14" i="6"/>
  <c r="F30" i="6"/>
  <c r="F46" i="6"/>
  <c r="F62" i="6"/>
  <c r="F20" i="6"/>
  <c r="F36" i="6"/>
  <c r="F52" i="6"/>
  <c r="F68" i="6"/>
  <c r="F15" i="6"/>
  <c r="F31" i="6"/>
  <c r="F47" i="6"/>
  <c r="F63" i="6"/>
  <c r="F10" i="6"/>
  <c r="F26" i="6"/>
  <c r="F42" i="6"/>
  <c r="F58" i="6"/>
  <c r="F21" i="6"/>
  <c r="F37" i="6"/>
  <c r="F53" i="6"/>
  <c r="F69" i="6"/>
  <c r="F16" i="6"/>
  <c r="F32" i="6"/>
  <c r="F48" i="6"/>
  <c r="F64" i="6"/>
  <c r="F11" i="6"/>
  <c r="F27" i="6"/>
  <c r="F43" i="6"/>
  <c r="F59" i="6"/>
  <c r="F22" i="6"/>
  <c r="F38" i="6"/>
  <c r="F54" i="6"/>
  <c r="F70" i="6"/>
  <c r="F17" i="6"/>
  <c r="F33" i="6"/>
  <c r="F49" i="6"/>
  <c r="F65" i="6"/>
  <c r="F12" i="6"/>
  <c r="F28" i="6"/>
  <c r="F44" i="6"/>
  <c r="F60" i="6"/>
  <c r="F23" i="6"/>
  <c r="F39" i="6"/>
  <c r="F55" i="6"/>
  <c r="F71" i="6"/>
  <c r="F18" i="6"/>
  <c r="F34" i="6"/>
  <c r="F50" i="6"/>
  <c r="F66" i="6"/>
  <c r="F13" i="6"/>
  <c r="F29" i="6"/>
  <c r="F45" i="6"/>
  <c r="F61" i="6"/>
  <c r="F93" i="6"/>
  <c r="F109" i="6"/>
  <c r="F125" i="6"/>
  <c r="F57" i="6"/>
  <c r="F75" i="6"/>
  <c r="F88" i="6"/>
  <c r="F104" i="6"/>
  <c r="F120" i="6"/>
  <c r="F136" i="6"/>
  <c r="F76" i="6"/>
  <c r="F83" i="6"/>
  <c r="F99" i="6"/>
  <c r="F115" i="6"/>
  <c r="F131" i="6"/>
  <c r="F94" i="6"/>
  <c r="F74" i="6"/>
  <c r="F77" i="6"/>
  <c r="F89" i="6"/>
  <c r="F105" i="6"/>
  <c r="F121" i="6"/>
  <c r="F137" i="6"/>
  <c r="F78" i="6"/>
  <c r="F84" i="6"/>
  <c r="F100" i="6"/>
  <c r="F116" i="6"/>
  <c r="F95" i="6"/>
  <c r="F111" i="6"/>
  <c r="F127" i="6"/>
  <c r="F79" i="6"/>
  <c r="F90" i="6"/>
  <c r="F106" i="6"/>
  <c r="F122" i="6"/>
  <c r="F9" i="6"/>
  <c r="F73" i="6"/>
  <c r="F85" i="6"/>
  <c r="F101" i="6"/>
  <c r="F117" i="6"/>
  <c r="F133" i="6"/>
  <c r="F80" i="6"/>
  <c r="F96" i="6"/>
  <c r="F112" i="6"/>
  <c r="F91" i="6"/>
  <c r="F107" i="6"/>
  <c r="F123" i="6"/>
  <c r="F139" i="6"/>
  <c r="F25" i="6"/>
  <c r="F86" i="6"/>
  <c r="F102" i="6"/>
  <c r="F118" i="6"/>
  <c r="F92" i="6"/>
  <c r="F108" i="6"/>
  <c r="F124" i="6"/>
  <c r="F41" i="6"/>
  <c r="F87" i="6"/>
  <c r="F103" i="6"/>
  <c r="F119" i="6"/>
  <c r="F135" i="6"/>
  <c r="F82" i="6"/>
  <c r="F98" i="6"/>
  <c r="F114" i="6"/>
  <c r="F130" i="6"/>
  <c r="F145" i="6"/>
  <c r="F161" i="6"/>
  <c r="F177" i="6"/>
  <c r="F193" i="6"/>
  <c r="F140" i="6"/>
  <c r="F156" i="6"/>
  <c r="F172" i="6"/>
  <c r="F188" i="6"/>
  <c r="F129" i="6"/>
  <c r="F151" i="6"/>
  <c r="F167" i="6"/>
  <c r="F183" i="6"/>
  <c r="F199" i="6"/>
  <c r="F146" i="6"/>
  <c r="F162" i="6"/>
  <c r="F178" i="6"/>
  <c r="F194" i="6"/>
  <c r="F141" i="6"/>
  <c r="F157" i="6"/>
  <c r="F173" i="6"/>
  <c r="F189" i="6"/>
  <c r="F113" i="6"/>
  <c r="F152" i="6"/>
  <c r="F168" i="6"/>
  <c r="F184" i="6"/>
  <c r="F147" i="6"/>
  <c r="F163" i="6"/>
  <c r="F179" i="6"/>
  <c r="F195" i="6"/>
  <c r="F81" i="6"/>
  <c r="F126" i="6"/>
  <c r="F138" i="6"/>
  <c r="F142" i="6"/>
  <c r="F158" i="6"/>
  <c r="F174" i="6"/>
  <c r="F153" i="6"/>
  <c r="F169" i="6"/>
  <c r="F185" i="6"/>
  <c r="F201" i="6"/>
  <c r="F148" i="6"/>
  <c r="F164" i="6"/>
  <c r="F180" i="6"/>
  <c r="F196" i="6"/>
  <c r="F97" i="6"/>
  <c r="F134" i="6"/>
  <c r="F143" i="6"/>
  <c r="F159" i="6"/>
  <c r="F175" i="6"/>
  <c r="F191" i="6"/>
  <c r="F154" i="6"/>
  <c r="F170" i="6"/>
  <c r="F186" i="6"/>
  <c r="F149" i="6"/>
  <c r="F165" i="6"/>
  <c r="F144" i="6"/>
  <c r="F160" i="6"/>
  <c r="F176" i="6"/>
  <c r="F192" i="6"/>
  <c r="F110" i="6"/>
  <c r="F128" i="6"/>
  <c r="F132" i="6"/>
  <c r="F155" i="6"/>
  <c r="F171" i="6"/>
  <c r="F187" i="6"/>
  <c r="F150" i="6"/>
  <c r="F166" i="6"/>
  <c r="F182" i="6"/>
  <c r="F198" i="6"/>
  <c r="F190" i="6"/>
  <c r="F200" i="6"/>
  <c r="F197" i="6"/>
  <c r="F181" i="6"/>
  <c r="AD14" i="6"/>
  <c r="AD30" i="6"/>
  <c r="AD46" i="6"/>
  <c r="AD62" i="6"/>
  <c r="AD25" i="6"/>
  <c r="AD41" i="6"/>
  <c r="AD57" i="6"/>
  <c r="AD73" i="6"/>
  <c r="AD20" i="6"/>
  <c r="AD36" i="6"/>
  <c r="AD52" i="6"/>
  <c r="AD68" i="6"/>
  <c r="AD26" i="6"/>
  <c r="AD42" i="6"/>
  <c r="AD58" i="6"/>
  <c r="AD21" i="6"/>
  <c r="AD37" i="6"/>
  <c r="AD53" i="6"/>
  <c r="AD16" i="6"/>
  <c r="AD32" i="6"/>
  <c r="AD48" i="6"/>
  <c r="AD64" i="6"/>
  <c r="AD11" i="6"/>
  <c r="AD27" i="6"/>
  <c r="AD43" i="6"/>
  <c r="AD59" i="6"/>
  <c r="AD22" i="6"/>
  <c r="AD38" i="6"/>
  <c r="AD54" i="6"/>
  <c r="AD17" i="6"/>
  <c r="AD33" i="6"/>
  <c r="AD49" i="6"/>
  <c r="AD12" i="6"/>
  <c r="AD28" i="6"/>
  <c r="AD44" i="6"/>
  <c r="AD60" i="6"/>
  <c r="AD23" i="6"/>
  <c r="AD39" i="6"/>
  <c r="AD55" i="6"/>
  <c r="AD71" i="6"/>
  <c r="AD18" i="6"/>
  <c r="AD34" i="6"/>
  <c r="AD50" i="6"/>
  <c r="AD13" i="6"/>
  <c r="AD29" i="6"/>
  <c r="AD45" i="6"/>
  <c r="AD61" i="6"/>
  <c r="AD24" i="6"/>
  <c r="AD40" i="6"/>
  <c r="AD56" i="6"/>
  <c r="AD19" i="6"/>
  <c r="AD35" i="6"/>
  <c r="AD51" i="6"/>
  <c r="AD67" i="6"/>
  <c r="AD15" i="6"/>
  <c r="AD83" i="6"/>
  <c r="AD99" i="6"/>
  <c r="AD115" i="6"/>
  <c r="AD131" i="6"/>
  <c r="AD66" i="6"/>
  <c r="AD77" i="6"/>
  <c r="AD94" i="6"/>
  <c r="AD110" i="6"/>
  <c r="AD126" i="6"/>
  <c r="AD89" i="6"/>
  <c r="AD105" i="6"/>
  <c r="AD121" i="6"/>
  <c r="AD31" i="6"/>
  <c r="AD78" i="6"/>
  <c r="AD84" i="6"/>
  <c r="AD100" i="6"/>
  <c r="AD70" i="6"/>
  <c r="AD79" i="6"/>
  <c r="AD95" i="6"/>
  <c r="AD111" i="6"/>
  <c r="AD127" i="6"/>
  <c r="AD90" i="6"/>
  <c r="AD106" i="6"/>
  <c r="AD122" i="6"/>
  <c r="AD47" i="6"/>
  <c r="AD72" i="6"/>
  <c r="AD85" i="6"/>
  <c r="AD101" i="6"/>
  <c r="AD117" i="6"/>
  <c r="AD133" i="6"/>
  <c r="AD80" i="6"/>
  <c r="AD96" i="6"/>
  <c r="AD112" i="6"/>
  <c r="AD128" i="6"/>
  <c r="AD91" i="6"/>
  <c r="AD107" i="6"/>
  <c r="AD123" i="6"/>
  <c r="AD63" i="6"/>
  <c r="AD86" i="6"/>
  <c r="AD102" i="6"/>
  <c r="AD118" i="6"/>
  <c r="AD81" i="6"/>
  <c r="AD97" i="6"/>
  <c r="AD113" i="6"/>
  <c r="AD129" i="6"/>
  <c r="AD92" i="6"/>
  <c r="AD108" i="6"/>
  <c r="AD124" i="6"/>
  <c r="AD65" i="6"/>
  <c r="AD69" i="6"/>
  <c r="AD75" i="6"/>
  <c r="AD82" i="6"/>
  <c r="AD98" i="6"/>
  <c r="AD114" i="6"/>
  <c r="AD130" i="6"/>
  <c r="AD93" i="6"/>
  <c r="AD109" i="6"/>
  <c r="AD125" i="6"/>
  <c r="AD76" i="6"/>
  <c r="AD88" i="6"/>
  <c r="AD104" i="6"/>
  <c r="AD120" i="6"/>
  <c r="AD136" i="6"/>
  <c r="AD74" i="6"/>
  <c r="AD151" i="6"/>
  <c r="AD167" i="6"/>
  <c r="AD183" i="6"/>
  <c r="AD199" i="6"/>
  <c r="AD132" i="6"/>
  <c r="AD146" i="6"/>
  <c r="AD162" i="6"/>
  <c r="AD178" i="6"/>
  <c r="AD194" i="6"/>
  <c r="AD103" i="6"/>
  <c r="AD141" i="6"/>
  <c r="AD157" i="6"/>
  <c r="AD173" i="6"/>
  <c r="AD189" i="6"/>
  <c r="AD152" i="6"/>
  <c r="AD168" i="6"/>
  <c r="AD184" i="6"/>
  <c r="AD200" i="6"/>
  <c r="AD137" i="6"/>
  <c r="AD147" i="6"/>
  <c r="AD163" i="6"/>
  <c r="AD179" i="6"/>
  <c r="AD195" i="6"/>
  <c r="AD119" i="6"/>
  <c r="AD142" i="6"/>
  <c r="AD158" i="6"/>
  <c r="AD174" i="6"/>
  <c r="AD190" i="6"/>
  <c r="AD153" i="6"/>
  <c r="AD169" i="6"/>
  <c r="AD185" i="6"/>
  <c r="AD135" i="6"/>
  <c r="AD148" i="6"/>
  <c r="AD164" i="6"/>
  <c r="AD180" i="6"/>
  <c r="AD143" i="6"/>
  <c r="AD159" i="6"/>
  <c r="AD175" i="6"/>
  <c r="AD191" i="6"/>
  <c r="AD154" i="6"/>
  <c r="AD170" i="6"/>
  <c r="AD186" i="6"/>
  <c r="AD149" i="6"/>
  <c r="AD165" i="6"/>
  <c r="AD181" i="6"/>
  <c r="AD197" i="6"/>
  <c r="AD144" i="6"/>
  <c r="AD160" i="6"/>
  <c r="AD176" i="6"/>
  <c r="AD192" i="6"/>
  <c r="AD139" i="6"/>
  <c r="AD155" i="6"/>
  <c r="AD150" i="6"/>
  <c r="AD166" i="6"/>
  <c r="AD182" i="6"/>
  <c r="AD198" i="6"/>
  <c r="AD116" i="6"/>
  <c r="AD145" i="6"/>
  <c r="AD161" i="6"/>
  <c r="AD177" i="6"/>
  <c r="AD193" i="6"/>
  <c r="AD87" i="6"/>
  <c r="AD134" i="6"/>
  <c r="AD138" i="6"/>
  <c r="AD140" i="6"/>
  <c r="AD156" i="6"/>
  <c r="AD172" i="6"/>
  <c r="AD188" i="6"/>
  <c r="AD196" i="6"/>
  <c r="AD201" i="6"/>
  <c r="AD171" i="6"/>
  <c r="AD187" i="6"/>
  <c r="E9" i="6"/>
  <c r="E10" i="6"/>
  <c r="E11" i="6"/>
  <c r="E12" i="6"/>
  <c r="E13" i="6"/>
  <c r="E8" i="6"/>
  <c r="Q12" i="6"/>
  <c r="Q28" i="6"/>
  <c r="Q44" i="6"/>
  <c r="Q60" i="6"/>
  <c r="Q23" i="6"/>
  <c r="Q39" i="6"/>
  <c r="Q55" i="6"/>
  <c r="Q71" i="6"/>
  <c r="Q18" i="6"/>
  <c r="Q34" i="6"/>
  <c r="Q50" i="6"/>
  <c r="Q66" i="6"/>
  <c r="Q8" i="6"/>
  <c r="Q24" i="6"/>
  <c r="Q40" i="6"/>
  <c r="Q56" i="6"/>
  <c r="Q19" i="6"/>
  <c r="Q35" i="6"/>
  <c r="Q51" i="6"/>
  <c r="Q67" i="6"/>
  <c r="Q14" i="6"/>
  <c r="Q30" i="6"/>
  <c r="Q46" i="6"/>
  <c r="Q62" i="6"/>
  <c r="Q9" i="6"/>
  <c r="Q25" i="6"/>
  <c r="Q41" i="6"/>
  <c r="Q57" i="6"/>
  <c r="Q73" i="6"/>
  <c r="Q20" i="6"/>
  <c r="Q36" i="6"/>
  <c r="Q52" i="6"/>
  <c r="Q68" i="6"/>
  <c r="Q15" i="6"/>
  <c r="Q31" i="6"/>
  <c r="Q47" i="6"/>
  <c r="Q63" i="6"/>
  <c r="Q10" i="6"/>
  <c r="Q26" i="6"/>
  <c r="Q42" i="6"/>
  <c r="Q58" i="6"/>
  <c r="Q74" i="6"/>
  <c r="Q21" i="6"/>
  <c r="Q37" i="6"/>
  <c r="Q53" i="6"/>
  <c r="Q69" i="6"/>
  <c r="Q16" i="6"/>
  <c r="Q32" i="6"/>
  <c r="Q48" i="6"/>
  <c r="Q64" i="6"/>
  <c r="Q11" i="6"/>
  <c r="Q27" i="6"/>
  <c r="Q43" i="6"/>
  <c r="Q59" i="6"/>
  <c r="Q75" i="6"/>
  <c r="Q22" i="6"/>
  <c r="Q38" i="6"/>
  <c r="Q54" i="6"/>
  <c r="Q70" i="6"/>
  <c r="Q17" i="6"/>
  <c r="Q33" i="6"/>
  <c r="Q49" i="6"/>
  <c r="Q65" i="6"/>
  <c r="Q29" i="6"/>
  <c r="Q81" i="6"/>
  <c r="Q97" i="6"/>
  <c r="Q113" i="6"/>
  <c r="Q129" i="6"/>
  <c r="Q72" i="6"/>
  <c r="Q92" i="6"/>
  <c r="Q108" i="6"/>
  <c r="Q124" i="6"/>
  <c r="Q87" i="6"/>
  <c r="Q103" i="6"/>
  <c r="Q119" i="6"/>
  <c r="Q135" i="6"/>
  <c r="Q45" i="6"/>
  <c r="Q82" i="6"/>
  <c r="Q98" i="6"/>
  <c r="Q93" i="6"/>
  <c r="Q109" i="6"/>
  <c r="Q125" i="6"/>
  <c r="Q88" i="6"/>
  <c r="Q104" i="6"/>
  <c r="Q120" i="6"/>
  <c r="Q61" i="6"/>
  <c r="Q76" i="6"/>
  <c r="Q83" i="6"/>
  <c r="Q99" i="6"/>
  <c r="Q115" i="6"/>
  <c r="Q131" i="6"/>
  <c r="Q77" i="6"/>
  <c r="Q94" i="6"/>
  <c r="Q110" i="6"/>
  <c r="Q126" i="6"/>
  <c r="Q89" i="6"/>
  <c r="Q105" i="6"/>
  <c r="Q121" i="6"/>
  <c r="Q137" i="6"/>
  <c r="Q78" i="6"/>
  <c r="Q84" i="6"/>
  <c r="Q100" i="6"/>
  <c r="Q116" i="6"/>
  <c r="Q95" i="6"/>
  <c r="Q111" i="6"/>
  <c r="Q127" i="6"/>
  <c r="Q79" i="6"/>
  <c r="Q90" i="6"/>
  <c r="Q106" i="6"/>
  <c r="Q122" i="6"/>
  <c r="Q13" i="6"/>
  <c r="Q80" i="6"/>
  <c r="Q96" i="6"/>
  <c r="Q112" i="6"/>
  <c r="Q128" i="6"/>
  <c r="Q91" i="6"/>
  <c r="Q107" i="6"/>
  <c r="Q123" i="6"/>
  <c r="Q86" i="6"/>
  <c r="Q102" i="6"/>
  <c r="Q118" i="6"/>
  <c r="Q134" i="6"/>
  <c r="Q149" i="6"/>
  <c r="Q165" i="6"/>
  <c r="Q181" i="6"/>
  <c r="Q197" i="6"/>
  <c r="Q144" i="6"/>
  <c r="Q160" i="6"/>
  <c r="Q176" i="6"/>
  <c r="Q192" i="6"/>
  <c r="Q155" i="6"/>
  <c r="Q171" i="6"/>
  <c r="Q187" i="6"/>
  <c r="Q150" i="6"/>
  <c r="Q166" i="6"/>
  <c r="Q182" i="6"/>
  <c r="Q198" i="6"/>
  <c r="Q145" i="6"/>
  <c r="Q161" i="6"/>
  <c r="Q177" i="6"/>
  <c r="Q193" i="6"/>
  <c r="Q133" i="6"/>
  <c r="Q139" i="6"/>
  <c r="Q140" i="6"/>
  <c r="Q156" i="6"/>
  <c r="Q172" i="6"/>
  <c r="Q188" i="6"/>
  <c r="Q130" i="6"/>
  <c r="Q151" i="6"/>
  <c r="Q167" i="6"/>
  <c r="Q183" i="6"/>
  <c r="Q199" i="6"/>
  <c r="Q146" i="6"/>
  <c r="Q162" i="6"/>
  <c r="Q178" i="6"/>
  <c r="Q114" i="6"/>
  <c r="Q141" i="6"/>
  <c r="Q157" i="6"/>
  <c r="Q173" i="6"/>
  <c r="Q189" i="6"/>
  <c r="Q136" i="6"/>
  <c r="Q138" i="6"/>
  <c r="Q152" i="6"/>
  <c r="Q168" i="6"/>
  <c r="Q184" i="6"/>
  <c r="Q200" i="6"/>
  <c r="Q147" i="6"/>
  <c r="Q163" i="6"/>
  <c r="Q179" i="6"/>
  <c r="Q195" i="6"/>
  <c r="Q142" i="6"/>
  <c r="Q158" i="6"/>
  <c r="Q174" i="6"/>
  <c r="Q190" i="6"/>
  <c r="Q85" i="6"/>
  <c r="Q153" i="6"/>
  <c r="Q148" i="6"/>
  <c r="Q164" i="6"/>
  <c r="Q180" i="6"/>
  <c r="Q196" i="6"/>
  <c r="Q143" i="6"/>
  <c r="Q159" i="6"/>
  <c r="Q175" i="6"/>
  <c r="Q191" i="6"/>
  <c r="Q101" i="6"/>
  <c r="Q117" i="6"/>
  <c r="Q132" i="6"/>
  <c r="Q154" i="6"/>
  <c r="Q170" i="6"/>
  <c r="Q186" i="6"/>
  <c r="Q201" i="6"/>
  <c r="Q169" i="6"/>
  <c r="Q185" i="6"/>
  <c r="Q194" i="6"/>
  <c r="X21" i="6"/>
  <c r="X37" i="6"/>
  <c r="X53" i="6"/>
  <c r="X69" i="6"/>
  <c r="X16" i="6"/>
  <c r="X32" i="6"/>
  <c r="X48" i="6"/>
  <c r="X64" i="6"/>
  <c r="X27" i="6"/>
  <c r="X43" i="6"/>
  <c r="X59" i="6"/>
  <c r="X17" i="6"/>
  <c r="X33" i="6"/>
  <c r="X49" i="6"/>
  <c r="X65" i="6"/>
  <c r="X28" i="6"/>
  <c r="X44" i="6"/>
  <c r="X60" i="6"/>
  <c r="X23" i="6"/>
  <c r="X39" i="6"/>
  <c r="X55" i="6"/>
  <c r="X71" i="6"/>
  <c r="X18" i="6"/>
  <c r="X34" i="6"/>
  <c r="X50" i="6"/>
  <c r="X66" i="6"/>
  <c r="X13" i="6"/>
  <c r="X29" i="6"/>
  <c r="X45" i="6"/>
  <c r="X61" i="6"/>
  <c r="X24" i="6"/>
  <c r="X40" i="6"/>
  <c r="X56" i="6"/>
  <c r="X19" i="6"/>
  <c r="X35" i="6"/>
  <c r="X51" i="6"/>
  <c r="X67" i="6"/>
  <c r="X14" i="6"/>
  <c r="X30" i="6"/>
  <c r="X46" i="6"/>
  <c r="X62" i="6"/>
  <c r="X25" i="6"/>
  <c r="X41" i="6"/>
  <c r="X57" i="6"/>
  <c r="X20" i="6"/>
  <c r="X36" i="6"/>
  <c r="X52" i="6"/>
  <c r="X68" i="6"/>
  <c r="X15" i="6"/>
  <c r="X31" i="6"/>
  <c r="X47" i="6"/>
  <c r="X63" i="6"/>
  <c r="X26" i="6"/>
  <c r="X42" i="6"/>
  <c r="X58" i="6"/>
  <c r="X79" i="6"/>
  <c r="X90" i="6"/>
  <c r="X106" i="6"/>
  <c r="X122" i="6"/>
  <c r="X138" i="6"/>
  <c r="X70" i="6"/>
  <c r="X85" i="6"/>
  <c r="X101" i="6"/>
  <c r="X117" i="6"/>
  <c r="X133" i="6"/>
  <c r="X80" i="6"/>
  <c r="X96" i="6"/>
  <c r="X112" i="6"/>
  <c r="X128" i="6"/>
  <c r="X91" i="6"/>
  <c r="X72" i="6"/>
  <c r="X86" i="6"/>
  <c r="X102" i="6"/>
  <c r="X118" i="6"/>
  <c r="X134" i="6"/>
  <c r="X81" i="6"/>
  <c r="X97" i="6"/>
  <c r="X113" i="6"/>
  <c r="X129" i="6"/>
  <c r="X92" i="6"/>
  <c r="X108" i="6"/>
  <c r="X124" i="6"/>
  <c r="X87" i="6"/>
  <c r="X103" i="6"/>
  <c r="X119" i="6"/>
  <c r="X22" i="6"/>
  <c r="X75" i="6"/>
  <c r="X82" i="6"/>
  <c r="X98" i="6"/>
  <c r="X114" i="6"/>
  <c r="X130" i="6"/>
  <c r="X74" i="6"/>
  <c r="X93" i="6"/>
  <c r="X109" i="6"/>
  <c r="X76" i="6"/>
  <c r="X88" i="6"/>
  <c r="X104" i="6"/>
  <c r="X120" i="6"/>
  <c r="X136" i="6"/>
  <c r="X38" i="6"/>
  <c r="X83" i="6"/>
  <c r="X99" i="6"/>
  <c r="X115" i="6"/>
  <c r="X131" i="6"/>
  <c r="X89" i="6"/>
  <c r="X105" i="6"/>
  <c r="X121" i="6"/>
  <c r="X137" i="6"/>
  <c r="X54" i="6"/>
  <c r="X73" i="6"/>
  <c r="X78" i="6"/>
  <c r="X84" i="6"/>
  <c r="X100" i="6"/>
  <c r="X116" i="6"/>
  <c r="X132" i="6"/>
  <c r="X95" i="6"/>
  <c r="X111" i="6"/>
  <c r="X127" i="6"/>
  <c r="X142" i="6"/>
  <c r="X158" i="6"/>
  <c r="X174" i="6"/>
  <c r="X190" i="6"/>
  <c r="X153" i="6"/>
  <c r="X169" i="6"/>
  <c r="X185" i="6"/>
  <c r="X201" i="6"/>
  <c r="X148" i="6"/>
  <c r="X164" i="6"/>
  <c r="X180" i="6"/>
  <c r="X196" i="6"/>
  <c r="X77" i="6"/>
  <c r="X143" i="6"/>
  <c r="X159" i="6"/>
  <c r="X175" i="6"/>
  <c r="X191" i="6"/>
  <c r="X135" i="6"/>
  <c r="X154" i="6"/>
  <c r="X170" i="6"/>
  <c r="X186" i="6"/>
  <c r="X125" i="6"/>
  <c r="X149" i="6"/>
  <c r="X165" i="6"/>
  <c r="X181" i="6"/>
  <c r="X197" i="6"/>
  <c r="X144" i="6"/>
  <c r="X160" i="6"/>
  <c r="X176" i="6"/>
  <c r="X192" i="6"/>
  <c r="X94" i="6"/>
  <c r="X155" i="6"/>
  <c r="X171" i="6"/>
  <c r="X187" i="6"/>
  <c r="X107" i="6"/>
  <c r="X150" i="6"/>
  <c r="X166" i="6"/>
  <c r="X182" i="6"/>
  <c r="X198" i="6"/>
  <c r="X126" i="6"/>
  <c r="X139" i="6"/>
  <c r="X145" i="6"/>
  <c r="X161" i="6"/>
  <c r="X177" i="6"/>
  <c r="X193" i="6"/>
  <c r="X140" i="6"/>
  <c r="X156" i="6"/>
  <c r="X172" i="6"/>
  <c r="X188" i="6"/>
  <c r="X151" i="6"/>
  <c r="X167" i="6"/>
  <c r="X183" i="6"/>
  <c r="X146" i="6"/>
  <c r="X162" i="6"/>
  <c r="X141" i="6"/>
  <c r="X157" i="6"/>
  <c r="X173" i="6"/>
  <c r="X189" i="6"/>
  <c r="X123" i="6"/>
  <c r="X152" i="6"/>
  <c r="X168" i="6"/>
  <c r="X184" i="6"/>
  <c r="X110" i="6"/>
  <c r="X147" i="6"/>
  <c r="X163" i="6"/>
  <c r="X179" i="6"/>
  <c r="X195" i="6"/>
  <c r="X178" i="6"/>
  <c r="X200" i="6"/>
  <c r="X194" i="6"/>
  <c r="X199" i="6"/>
  <c r="Y10" i="6"/>
  <c r="Y16" i="6"/>
  <c r="Y12" i="6"/>
  <c r="Y13" i="6"/>
  <c r="Y14" i="6"/>
  <c r="Y9" i="6"/>
  <c r="Y15" i="6"/>
  <c r="Y11" i="6"/>
  <c r="R17" i="6"/>
  <c r="R33" i="6"/>
  <c r="R49" i="6"/>
  <c r="R65" i="6"/>
  <c r="R12" i="6"/>
  <c r="R28" i="6"/>
  <c r="R44" i="6"/>
  <c r="R60" i="6"/>
  <c r="R76" i="6"/>
  <c r="R23" i="6"/>
  <c r="R39" i="6"/>
  <c r="R55" i="6"/>
  <c r="R13" i="6"/>
  <c r="R29" i="6"/>
  <c r="R45" i="6"/>
  <c r="R61" i="6"/>
  <c r="R24" i="6"/>
  <c r="R40" i="6"/>
  <c r="R56" i="6"/>
  <c r="R19" i="6"/>
  <c r="R35" i="6"/>
  <c r="R51" i="6"/>
  <c r="R67" i="6"/>
  <c r="R14" i="6"/>
  <c r="R30" i="6"/>
  <c r="R46" i="6"/>
  <c r="R62" i="6"/>
  <c r="R25" i="6"/>
  <c r="R41" i="6"/>
  <c r="R57" i="6"/>
  <c r="R20" i="6"/>
  <c r="R36" i="6"/>
  <c r="R52" i="6"/>
  <c r="R15" i="6"/>
  <c r="R31" i="6"/>
  <c r="R47" i="6"/>
  <c r="R63" i="6"/>
  <c r="R26" i="6"/>
  <c r="R42" i="6"/>
  <c r="R58" i="6"/>
  <c r="R74" i="6"/>
  <c r="R21" i="6"/>
  <c r="R37" i="6"/>
  <c r="R53" i="6"/>
  <c r="R16" i="6"/>
  <c r="R32" i="6"/>
  <c r="R48" i="6"/>
  <c r="R64" i="6"/>
  <c r="R27" i="6"/>
  <c r="R43" i="6"/>
  <c r="R59" i="6"/>
  <c r="R22" i="6"/>
  <c r="R38" i="6"/>
  <c r="R54" i="6"/>
  <c r="R70" i="6"/>
  <c r="R86" i="6"/>
  <c r="R102" i="6"/>
  <c r="R118" i="6"/>
  <c r="R134" i="6"/>
  <c r="R81" i="6"/>
  <c r="R97" i="6"/>
  <c r="R113" i="6"/>
  <c r="R129" i="6"/>
  <c r="R72" i="6"/>
  <c r="R92" i="6"/>
  <c r="R108" i="6"/>
  <c r="R124" i="6"/>
  <c r="R18" i="6"/>
  <c r="R87" i="6"/>
  <c r="R103" i="6"/>
  <c r="R82" i="6"/>
  <c r="R98" i="6"/>
  <c r="R114" i="6"/>
  <c r="R130" i="6"/>
  <c r="R75" i="6"/>
  <c r="R93" i="6"/>
  <c r="R109" i="6"/>
  <c r="R125" i="6"/>
  <c r="R34" i="6"/>
  <c r="R68" i="6"/>
  <c r="R88" i="6"/>
  <c r="R104" i="6"/>
  <c r="R120" i="6"/>
  <c r="R136" i="6"/>
  <c r="R71" i="6"/>
  <c r="R83" i="6"/>
  <c r="R99" i="6"/>
  <c r="R115" i="6"/>
  <c r="R131" i="6"/>
  <c r="R77" i="6"/>
  <c r="R94" i="6"/>
  <c r="R110" i="6"/>
  <c r="R126" i="6"/>
  <c r="R50" i="6"/>
  <c r="R89" i="6"/>
  <c r="R105" i="6"/>
  <c r="R121" i="6"/>
  <c r="R69" i="6"/>
  <c r="R78" i="6"/>
  <c r="R84" i="6"/>
  <c r="R100" i="6"/>
  <c r="R116" i="6"/>
  <c r="R132" i="6"/>
  <c r="R95" i="6"/>
  <c r="R111" i="6"/>
  <c r="R127" i="6"/>
  <c r="R85" i="6"/>
  <c r="R101" i="6"/>
  <c r="R117" i="6"/>
  <c r="R133" i="6"/>
  <c r="R80" i="6"/>
  <c r="R96" i="6"/>
  <c r="R112" i="6"/>
  <c r="R128" i="6"/>
  <c r="R66" i="6"/>
  <c r="R91" i="6"/>
  <c r="R107" i="6"/>
  <c r="R123" i="6"/>
  <c r="R139" i="6"/>
  <c r="R154" i="6"/>
  <c r="R170" i="6"/>
  <c r="R186" i="6"/>
  <c r="R137" i="6"/>
  <c r="R149" i="6"/>
  <c r="R165" i="6"/>
  <c r="R181" i="6"/>
  <c r="R197" i="6"/>
  <c r="R90" i="6"/>
  <c r="R135" i="6"/>
  <c r="R144" i="6"/>
  <c r="R160" i="6"/>
  <c r="R176" i="6"/>
  <c r="R192" i="6"/>
  <c r="R155" i="6"/>
  <c r="R171" i="6"/>
  <c r="R187" i="6"/>
  <c r="R119" i="6"/>
  <c r="R150" i="6"/>
  <c r="R166" i="6"/>
  <c r="R182" i="6"/>
  <c r="R79" i="6"/>
  <c r="R106" i="6"/>
  <c r="R145" i="6"/>
  <c r="R161" i="6"/>
  <c r="R177" i="6"/>
  <c r="R193" i="6"/>
  <c r="R140" i="6"/>
  <c r="R156" i="6"/>
  <c r="R172" i="6"/>
  <c r="R188" i="6"/>
  <c r="R151" i="6"/>
  <c r="R167" i="6"/>
  <c r="R183" i="6"/>
  <c r="R146" i="6"/>
  <c r="R162" i="6"/>
  <c r="R178" i="6"/>
  <c r="R194" i="6"/>
  <c r="R141" i="6"/>
  <c r="R157" i="6"/>
  <c r="R173" i="6"/>
  <c r="R189" i="6"/>
  <c r="R138" i="6"/>
  <c r="R152" i="6"/>
  <c r="R168" i="6"/>
  <c r="R184" i="6"/>
  <c r="R122" i="6"/>
  <c r="R147" i="6"/>
  <c r="R163" i="6"/>
  <c r="R179" i="6"/>
  <c r="R195" i="6"/>
  <c r="R142" i="6"/>
  <c r="R158" i="6"/>
  <c r="R153" i="6"/>
  <c r="R169" i="6"/>
  <c r="R185" i="6"/>
  <c r="R148" i="6"/>
  <c r="R164" i="6"/>
  <c r="R180" i="6"/>
  <c r="R196" i="6"/>
  <c r="R73" i="6"/>
  <c r="R143" i="6"/>
  <c r="R159" i="6"/>
  <c r="R175" i="6"/>
  <c r="R191" i="6"/>
  <c r="R201" i="6"/>
  <c r="R190" i="6"/>
  <c r="R200" i="6"/>
  <c r="R198" i="6"/>
  <c r="R199" i="6"/>
  <c r="R174" i="6"/>
  <c r="AF9" i="6"/>
  <c r="AF10" i="6"/>
  <c r="AF11" i="6"/>
  <c r="O23" i="6"/>
  <c r="O39" i="6"/>
  <c r="O55" i="6"/>
  <c r="O71" i="6"/>
  <c r="O18" i="6"/>
  <c r="O34" i="6"/>
  <c r="O50" i="6"/>
  <c r="O66" i="6"/>
  <c r="O13" i="6"/>
  <c r="O29" i="6"/>
  <c r="O45" i="6"/>
  <c r="O61" i="6"/>
  <c r="O19" i="6"/>
  <c r="O35" i="6"/>
  <c r="O51" i="6"/>
  <c r="O67" i="6"/>
  <c r="O14" i="6"/>
  <c r="O30" i="6"/>
  <c r="O46" i="6"/>
  <c r="O62" i="6"/>
  <c r="O9" i="6"/>
  <c r="O25" i="6"/>
  <c r="O41" i="6"/>
  <c r="O57" i="6"/>
  <c r="O20" i="6"/>
  <c r="O36" i="6"/>
  <c r="O52" i="6"/>
  <c r="O68" i="6"/>
  <c r="O15" i="6"/>
  <c r="O31" i="6"/>
  <c r="O47" i="6"/>
  <c r="O63" i="6"/>
  <c r="O10" i="6"/>
  <c r="O26" i="6"/>
  <c r="O42" i="6"/>
  <c r="O58" i="6"/>
  <c r="O21" i="6"/>
  <c r="O37" i="6"/>
  <c r="O53" i="6"/>
  <c r="O69" i="6"/>
  <c r="O16" i="6"/>
  <c r="O32" i="6"/>
  <c r="O48" i="6"/>
  <c r="O64" i="6"/>
  <c r="O11" i="6"/>
  <c r="O27" i="6"/>
  <c r="O43" i="6"/>
  <c r="O59" i="6"/>
  <c r="O22" i="6"/>
  <c r="O38" i="6"/>
  <c r="O54" i="6"/>
  <c r="O70" i="6"/>
  <c r="O17" i="6"/>
  <c r="O33" i="6"/>
  <c r="O49" i="6"/>
  <c r="O65" i="6"/>
  <c r="O12" i="6"/>
  <c r="O28" i="6"/>
  <c r="O44" i="6"/>
  <c r="O60" i="6"/>
  <c r="O56" i="6"/>
  <c r="O72" i="6"/>
  <c r="O92" i="6"/>
  <c r="O108" i="6"/>
  <c r="O124" i="6"/>
  <c r="O87" i="6"/>
  <c r="O103" i="6"/>
  <c r="O119" i="6"/>
  <c r="O135" i="6"/>
  <c r="O82" i="6"/>
  <c r="O98" i="6"/>
  <c r="O114" i="6"/>
  <c r="O130" i="6"/>
  <c r="O93" i="6"/>
  <c r="O75" i="6"/>
  <c r="O88" i="6"/>
  <c r="O104" i="6"/>
  <c r="O120" i="6"/>
  <c r="O136" i="6"/>
  <c r="O76" i="6"/>
  <c r="O83" i="6"/>
  <c r="O99" i="6"/>
  <c r="O115" i="6"/>
  <c r="O74" i="6"/>
  <c r="O77" i="6"/>
  <c r="O94" i="6"/>
  <c r="O110" i="6"/>
  <c r="O126" i="6"/>
  <c r="O89" i="6"/>
  <c r="O105" i="6"/>
  <c r="O121" i="6"/>
  <c r="O78" i="6"/>
  <c r="O84" i="6"/>
  <c r="O100" i="6"/>
  <c r="O116" i="6"/>
  <c r="O132" i="6"/>
  <c r="O95" i="6"/>
  <c r="O111" i="6"/>
  <c r="O24" i="6"/>
  <c r="O79" i="6"/>
  <c r="O90" i="6"/>
  <c r="O106" i="6"/>
  <c r="O122" i="6"/>
  <c r="O138" i="6"/>
  <c r="O73" i="6"/>
  <c r="O85" i="6"/>
  <c r="O101" i="6"/>
  <c r="O117" i="6"/>
  <c r="O40" i="6"/>
  <c r="O91" i="6"/>
  <c r="O107" i="6"/>
  <c r="O123" i="6"/>
  <c r="O86" i="6"/>
  <c r="O102" i="6"/>
  <c r="O118" i="6"/>
  <c r="O134" i="6"/>
  <c r="O81" i="6"/>
  <c r="O97" i="6"/>
  <c r="O113" i="6"/>
  <c r="O129" i="6"/>
  <c r="O137" i="6"/>
  <c r="O144" i="6"/>
  <c r="O160" i="6"/>
  <c r="O176" i="6"/>
  <c r="O192" i="6"/>
  <c r="O155" i="6"/>
  <c r="O171" i="6"/>
  <c r="O187" i="6"/>
  <c r="O150" i="6"/>
  <c r="O166" i="6"/>
  <c r="O182" i="6"/>
  <c r="O198" i="6"/>
  <c r="O112" i="6"/>
  <c r="O145" i="6"/>
  <c r="O161" i="6"/>
  <c r="O177" i="6"/>
  <c r="O193" i="6"/>
  <c r="O125" i="6"/>
  <c r="O133" i="6"/>
  <c r="O139" i="6"/>
  <c r="O140" i="6"/>
  <c r="O156" i="6"/>
  <c r="O172" i="6"/>
  <c r="O188" i="6"/>
  <c r="O151" i="6"/>
  <c r="O167" i="6"/>
  <c r="O183" i="6"/>
  <c r="O199" i="6"/>
  <c r="O80" i="6"/>
  <c r="O146" i="6"/>
  <c r="O162" i="6"/>
  <c r="O178" i="6"/>
  <c r="O194" i="6"/>
  <c r="O141" i="6"/>
  <c r="O157" i="6"/>
  <c r="O173" i="6"/>
  <c r="O189" i="6"/>
  <c r="O152" i="6"/>
  <c r="O168" i="6"/>
  <c r="O184" i="6"/>
  <c r="O200" i="6"/>
  <c r="O96" i="6"/>
  <c r="O147" i="6"/>
  <c r="O163" i="6"/>
  <c r="O179" i="6"/>
  <c r="O195" i="6"/>
  <c r="O131" i="6"/>
  <c r="O142" i="6"/>
  <c r="O158" i="6"/>
  <c r="O174" i="6"/>
  <c r="O190" i="6"/>
  <c r="O127" i="6"/>
  <c r="O153" i="6"/>
  <c r="O169" i="6"/>
  <c r="O185" i="6"/>
  <c r="O109" i="6"/>
  <c r="O148" i="6"/>
  <c r="O164" i="6"/>
  <c r="O143" i="6"/>
  <c r="O159" i="6"/>
  <c r="O175" i="6"/>
  <c r="O191" i="6"/>
  <c r="O154" i="6"/>
  <c r="O170" i="6"/>
  <c r="O186" i="6"/>
  <c r="O128" i="6"/>
  <c r="O149" i="6"/>
  <c r="O165" i="6"/>
  <c r="O181" i="6"/>
  <c r="O197" i="6"/>
  <c r="O196" i="6"/>
  <c r="O180" i="6"/>
  <c r="O201" i="6"/>
  <c r="AA10" i="6"/>
  <c r="AA11" i="6"/>
  <c r="AA8" i="6"/>
  <c r="AA9" i="6"/>
  <c r="U11" i="6"/>
  <c r="U27" i="6"/>
  <c r="U43" i="6"/>
  <c r="U59" i="6"/>
  <c r="U22" i="6"/>
  <c r="U38" i="6"/>
  <c r="U54" i="6"/>
  <c r="U70" i="6"/>
  <c r="U17" i="6"/>
  <c r="U33" i="6"/>
  <c r="U49" i="6"/>
  <c r="U65" i="6"/>
  <c r="U23" i="6"/>
  <c r="U39" i="6"/>
  <c r="U55" i="6"/>
  <c r="U18" i="6"/>
  <c r="U34" i="6"/>
  <c r="U50" i="6"/>
  <c r="U66" i="6"/>
  <c r="U13" i="6"/>
  <c r="U29" i="6"/>
  <c r="U45" i="6"/>
  <c r="U61" i="6"/>
  <c r="U8" i="6"/>
  <c r="U24" i="6"/>
  <c r="U40" i="6"/>
  <c r="U56" i="6"/>
  <c r="U72" i="6"/>
  <c r="U19" i="6"/>
  <c r="U35" i="6"/>
  <c r="U51" i="6"/>
  <c r="U67" i="6"/>
  <c r="U14" i="6"/>
  <c r="U30" i="6"/>
  <c r="U46" i="6"/>
  <c r="U62" i="6"/>
  <c r="U9" i="6"/>
  <c r="U25" i="6"/>
  <c r="U41" i="6"/>
  <c r="U57" i="6"/>
  <c r="U73" i="6"/>
  <c r="U20" i="6"/>
  <c r="U36" i="6"/>
  <c r="U52" i="6"/>
  <c r="U68" i="6"/>
  <c r="U15" i="6"/>
  <c r="U31" i="6"/>
  <c r="U47" i="6"/>
  <c r="U63" i="6"/>
  <c r="U10" i="6"/>
  <c r="U26" i="6"/>
  <c r="U42" i="6"/>
  <c r="U58" i="6"/>
  <c r="U74" i="6"/>
  <c r="U21" i="6"/>
  <c r="U37" i="6"/>
  <c r="U53" i="6"/>
  <c r="U69" i="6"/>
  <c r="U16" i="6"/>
  <c r="U32" i="6"/>
  <c r="U48" i="6"/>
  <c r="U64" i="6"/>
  <c r="U80" i="6"/>
  <c r="U96" i="6"/>
  <c r="U112" i="6"/>
  <c r="U128" i="6"/>
  <c r="U91" i="6"/>
  <c r="U107" i="6"/>
  <c r="U123" i="6"/>
  <c r="U44" i="6"/>
  <c r="U86" i="6"/>
  <c r="U102" i="6"/>
  <c r="U118" i="6"/>
  <c r="U134" i="6"/>
  <c r="U81" i="6"/>
  <c r="U97" i="6"/>
  <c r="U92" i="6"/>
  <c r="U108" i="6"/>
  <c r="U124" i="6"/>
  <c r="U60" i="6"/>
  <c r="U87" i="6"/>
  <c r="U103" i="6"/>
  <c r="U119" i="6"/>
  <c r="U82" i="6"/>
  <c r="U98" i="6"/>
  <c r="U114" i="6"/>
  <c r="U130" i="6"/>
  <c r="U75" i="6"/>
  <c r="U93" i="6"/>
  <c r="U109" i="6"/>
  <c r="U125" i="6"/>
  <c r="U76" i="6"/>
  <c r="U88" i="6"/>
  <c r="U104" i="6"/>
  <c r="U120" i="6"/>
  <c r="U136" i="6"/>
  <c r="U71" i="6"/>
  <c r="U83" i="6"/>
  <c r="U99" i="6"/>
  <c r="U115" i="6"/>
  <c r="U77" i="6"/>
  <c r="U94" i="6"/>
  <c r="U110" i="6"/>
  <c r="U126" i="6"/>
  <c r="U89" i="6"/>
  <c r="U105" i="6"/>
  <c r="U121" i="6"/>
  <c r="U95" i="6"/>
  <c r="U111" i="6"/>
  <c r="U127" i="6"/>
  <c r="U79" i="6"/>
  <c r="U90" i="6"/>
  <c r="U106" i="6"/>
  <c r="U122" i="6"/>
  <c r="U28" i="6"/>
  <c r="U85" i="6"/>
  <c r="U101" i="6"/>
  <c r="U117" i="6"/>
  <c r="U133" i="6"/>
  <c r="U132" i="6"/>
  <c r="U148" i="6"/>
  <c r="U164" i="6"/>
  <c r="U180" i="6"/>
  <c r="U196" i="6"/>
  <c r="U143" i="6"/>
  <c r="U159" i="6"/>
  <c r="U175" i="6"/>
  <c r="U191" i="6"/>
  <c r="U137" i="6"/>
  <c r="U154" i="6"/>
  <c r="U170" i="6"/>
  <c r="U186" i="6"/>
  <c r="U129" i="6"/>
  <c r="U135" i="6"/>
  <c r="U149" i="6"/>
  <c r="U165" i="6"/>
  <c r="U181" i="6"/>
  <c r="U197" i="6"/>
  <c r="U78" i="6"/>
  <c r="U144" i="6"/>
  <c r="U160" i="6"/>
  <c r="U176" i="6"/>
  <c r="U192" i="6"/>
  <c r="U155" i="6"/>
  <c r="U171" i="6"/>
  <c r="U187" i="6"/>
  <c r="U113" i="6"/>
  <c r="U150" i="6"/>
  <c r="U166" i="6"/>
  <c r="U182" i="6"/>
  <c r="U198" i="6"/>
  <c r="U139" i="6"/>
  <c r="U145" i="6"/>
  <c r="U161" i="6"/>
  <c r="U177" i="6"/>
  <c r="U12" i="6"/>
  <c r="U140" i="6"/>
  <c r="U156" i="6"/>
  <c r="U172" i="6"/>
  <c r="U188" i="6"/>
  <c r="U151" i="6"/>
  <c r="U167" i="6"/>
  <c r="U183" i="6"/>
  <c r="U199" i="6"/>
  <c r="U146" i="6"/>
  <c r="U162" i="6"/>
  <c r="U178" i="6"/>
  <c r="U194" i="6"/>
  <c r="U84" i="6"/>
  <c r="U131" i="6"/>
  <c r="U141" i="6"/>
  <c r="U157" i="6"/>
  <c r="U173" i="6"/>
  <c r="U189" i="6"/>
  <c r="U138" i="6"/>
  <c r="U152" i="6"/>
  <c r="U168" i="6"/>
  <c r="U116" i="6"/>
  <c r="U147" i="6"/>
  <c r="U163" i="6"/>
  <c r="U179" i="6"/>
  <c r="U195" i="6"/>
  <c r="U100" i="6"/>
  <c r="U142" i="6"/>
  <c r="U158" i="6"/>
  <c r="U174" i="6"/>
  <c r="U190" i="6"/>
  <c r="U153" i="6"/>
  <c r="U169" i="6"/>
  <c r="U185" i="6"/>
  <c r="U201" i="6"/>
  <c r="U200" i="6"/>
  <c r="U193" i="6"/>
  <c r="U184" i="6"/>
  <c r="X11" i="6"/>
  <c r="X12" i="6"/>
  <c r="X9" i="6"/>
  <c r="X10" i="6"/>
  <c r="B9" i="6"/>
  <c r="B25" i="6"/>
  <c r="B41" i="6"/>
  <c r="B57" i="6"/>
  <c r="B73" i="6"/>
  <c r="B20" i="6"/>
  <c r="B36" i="6"/>
  <c r="B52" i="6"/>
  <c r="B68" i="6"/>
  <c r="B15" i="6"/>
  <c r="B31" i="6"/>
  <c r="B47" i="6"/>
  <c r="B63" i="6"/>
  <c r="B21" i="6"/>
  <c r="B37" i="6"/>
  <c r="B53" i="6"/>
  <c r="B69" i="6"/>
  <c r="B16" i="6"/>
  <c r="B32" i="6"/>
  <c r="B48" i="6"/>
  <c r="B64" i="6"/>
  <c r="B11" i="6"/>
  <c r="B27" i="6"/>
  <c r="B43" i="6"/>
  <c r="B59" i="6"/>
  <c r="B22" i="6"/>
  <c r="B38" i="6"/>
  <c r="B54" i="6"/>
  <c r="B70" i="6"/>
  <c r="B17" i="6"/>
  <c r="B33" i="6"/>
  <c r="B49" i="6"/>
  <c r="B65" i="6"/>
  <c r="B12" i="6"/>
  <c r="B28" i="6"/>
  <c r="B44" i="6"/>
  <c r="B60" i="6"/>
  <c r="B23" i="6"/>
  <c r="B39" i="6"/>
  <c r="B55" i="6"/>
  <c r="B71" i="6"/>
  <c r="B18" i="6"/>
  <c r="B34" i="6"/>
  <c r="B50" i="6"/>
  <c r="B66" i="6"/>
  <c r="B13" i="6"/>
  <c r="B29" i="6"/>
  <c r="B45" i="6"/>
  <c r="B61" i="6"/>
  <c r="B24" i="6"/>
  <c r="B40" i="6"/>
  <c r="B56" i="6"/>
  <c r="B72" i="6"/>
  <c r="B19" i="6"/>
  <c r="B35" i="6"/>
  <c r="B51" i="6"/>
  <c r="B67" i="6"/>
  <c r="B14" i="6"/>
  <c r="B30" i="6"/>
  <c r="B46" i="6"/>
  <c r="B62" i="6"/>
  <c r="B94" i="6"/>
  <c r="B110" i="6"/>
  <c r="B126" i="6"/>
  <c r="B74" i="6"/>
  <c r="B77" i="6"/>
  <c r="B89" i="6"/>
  <c r="B105" i="6"/>
  <c r="B121" i="6"/>
  <c r="B137" i="6"/>
  <c r="B58" i="6"/>
  <c r="B84" i="6"/>
  <c r="B100" i="6"/>
  <c r="B116" i="6"/>
  <c r="B132" i="6"/>
  <c r="B78" i="6"/>
  <c r="B95" i="6"/>
  <c r="B79" i="6"/>
  <c r="B90" i="6"/>
  <c r="B106" i="6"/>
  <c r="B122" i="6"/>
  <c r="B138" i="6"/>
  <c r="B85" i="6"/>
  <c r="B101" i="6"/>
  <c r="B117" i="6"/>
  <c r="B80" i="6"/>
  <c r="B96" i="6"/>
  <c r="B112" i="6"/>
  <c r="B128" i="6"/>
  <c r="B91" i="6"/>
  <c r="B107" i="6"/>
  <c r="B123" i="6"/>
  <c r="B86" i="6"/>
  <c r="B102" i="6"/>
  <c r="B118" i="6"/>
  <c r="B134" i="6"/>
  <c r="B10" i="6"/>
  <c r="B81" i="6"/>
  <c r="B97" i="6"/>
  <c r="B113" i="6"/>
  <c r="B92" i="6"/>
  <c r="B108" i="6"/>
  <c r="B124" i="6"/>
  <c r="B87" i="6"/>
  <c r="B103" i="6"/>
  <c r="B119" i="6"/>
  <c r="B93" i="6"/>
  <c r="B109" i="6"/>
  <c r="B125" i="6"/>
  <c r="B75" i="6"/>
  <c r="B88" i="6"/>
  <c r="B104" i="6"/>
  <c r="B120" i="6"/>
  <c r="B136" i="6"/>
  <c r="B42" i="6"/>
  <c r="B76" i="6"/>
  <c r="B83" i="6"/>
  <c r="B99" i="6"/>
  <c r="B115" i="6"/>
  <c r="B131" i="6"/>
  <c r="B111" i="6"/>
  <c r="B135" i="6"/>
  <c r="B139" i="6"/>
  <c r="B146" i="6"/>
  <c r="B162" i="6"/>
  <c r="B178" i="6"/>
  <c r="B194" i="6"/>
  <c r="B129" i="6"/>
  <c r="B141" i="6"/>
  <c r="B157" i="6"/>
  <c r="B173" i="6"/>
  <c r="B189" i="6"/>
  <c r="B133" i="6"/>
  <c r="B152" i="6"/>
  <c r="B168" i="6"/>
  <c r="B184" i="6"/>
  <c r="B200" i="6"/>
  <c r="B147" i="6"/>
  <c r="B163" i="6"/>
  <c r="B179" i="6"/>
  <c r="B195" i="6"/>
  <c r="B142" i="6"/>
  <c r="B158" i="6"/>
  <c r="B174" i="6"/>
  <c r="B190" i="6"/>
  <c r="B130" i="6"/>
  <c r="B153" i="6"/>
  <c r="B169" i="6"/>
  <c r="B185" i="6"/>
  <c r="B148" i="6"/>
  <c r="B164" i="6"/>
  <c r="B180" i="6"/>
  <c r="B196" i="6"/>
  <c r="B114" i="6"/>
  <c r="B143" i="6"/>
  <c r="B159" i="6"/>
  <c r="B175" i="6"/>
  <c r="B82" i="6"/>
  <c r="B154" i="6"/>
  <c r="B170" i="6"/>
  <c r="B186" i="6"/>
  <c r="B26" i="6"/>
  <c r="B149" i="6"/>
  <c r="B165" i="6"/>
  <c r="B181" i="6"/>
  <c r="B197" i="6"/>
  <c r="B127" i="6"/>
  <c r="B144" i="6"/>
  <c r="B160" i="6"/>
  <c r="B176" i="6"/>
  <c r="B192" i="6"/>
  <c r="B98" i="6"/>
  <c r="B155" i="6"/>
  <c r="B171" i="6"/>
  <c r="B187" i="6"/>
  <c r="B150" i="6"/>
  <c r="B166" i="6"/>
  <c r="B145" i="6"/>
  <c r="B161" i="6"/>
  <c r="B177" i="6"/>
  <c r="B193" i="6"/>
  <c r="B140" i="6"/>
  <c r="B156" i="6"/>
  <c r="B172" i="6"/>
  <c r="B188" i="6"/>
  <c r="B151" i="6"/>
  <c r="B167" i="6"/>
  <c r="B183" i="6"/>
  <c r="B199" i="6"/>
  <c r="B191" i="6"/>
  <c r="B198" i="6"/>
  <c r="B182" i="6"/>
  <c r="B201" i="6"/>
  <c r="J13" i="6"/>
  <c r="J29" i="6"/>
  <c r="J45" i="6"/>
  <c r="J61" i="6"/>
  <c r="J24" i="6"/>
  <c r="J40" i="6"/>
  <c r="J56" i="6"/>
  <c r="J72" i="6"/>
  <c r="J19" i="6"/>
  <c r="J35" i="6"/>
  <c r="J51" i="6"/>
  <c r="J67" i="6"/>
  <c r="J9" i="6"/>
  <c r="J25" i="6"/>
  <c r="J41" i="6"/>
  <c r="J57" i="6"/>
  <c r="J20" i="6"/>
  <c r="J36" i="6"/>
  <c r="J52" i="6"/>
  <c r="J68" i="6"/>
  <c r="J15" i="6"/>
  <c r="J31" i="6"/>
  <c r="J47" i="6"/>
  <c r="J63" i="6"/>
  <c r="J10" i="6"/>
  <c r="J26" i="6"/>
  <c r="J42" i="6"/>
  <c r="J58" i="6"/>
  <c r="J74" i="6"/>
  <c r="J21" i="6"/>
  <c r="J37" i="6"/>
  <c r="J53" i="6"/>
  <c r="J69" i="6"/>
  <c r="J16" i="6"/>
  <c r="J32" i="6"/>
  <c r="J48" i="6"/>
  <c r="J64" i="6"/>
  <c r="J11" i="6"/>
  <c r="J27" i="6"/>
  <c r="J43" i="6"/>
  <c r="J59" i="6"/>
  <c r="J22" i="6"/>
  <c r="J38" i="6"/>
  <c r="J54" i="6"/>
  <c r="J70" i="6"/>
  <c r="J17" i="6"/>
  <c r="J33" i="6"/>
  <c r="J49" i="6"/>
  <c r="J65" i="6"/>
  <c r="J12" i="6"/>
  <c r="J28" i="6"/>
  <c r="J44" i="6"/>
  <c r="J60" i="6"/>
  <c r="J23" i="6"/>
  <c r="J39" i="6"/>
  <c r="J55" i="6"/>
  <c r="J71" i="6"/>
  <c r="J18" i="6"/>
  <c r="J34" i="6"/>
  <c r="J50" i="6"/>
  <c r="J66" i="6"/>
  <c r="J82" i="6"/>
  <c r="J98" i="6"/>
  <c r="J114" i="6"/>
  <c r="J130" i="6"/>
  <c r="J30" i="6"/>
  <c r="J93" i="6"/>
  <c r="J109" i="6"/>
  <c r="J125" i="6"/>
  <c r="J75" i="6"/>
  <c r="J88" i="6"/>
  <c r="J104" i="6"/>
  <c r="J120" i="6"/>
  <c r="J136" i="6"/>
  <c r="J76" i="6"/>
  <c r="J83" i="6"/>
  <c r="J99" i="6"/>
  <c r="J46" i="6"/>
  <c r="J94" i="6"/>
  <c r="J110" i="6"/>
  <c r="J126" i="6"/>
  <c r="J77" i="6"/>
  <c r="J89" i="6"/>
  <c r="J105" i="6"/>
  <c r="J121" i="6"/>
  <c r="J78" i="6"/>
  <c r="J84" i="6"/>
  <c r="J100" i="6"/>
  <c r="J116" i="6"/>
  <c r="J132" i="6"/>
  <c r="J62" i="6"/>
  <c r="J95" i="6"/>
  <c r="J111" i="6"/>
  <c r="J127" i="6"/>
  <c r="J79" i="6"/>
  <c r="J90" i="6"/>
  <c r="J106" i="6"/>
  <c r="J122" i="6"/>
  <c r="J138" i="6"/>
  <c r="J73" i="6"/>
  <c r="J85" i="6"/>
  <c r="J101" i="6"/>
  <c r="J117" i="6"/>
  <c r="J80" i="6"/>
  <c r="J96" i="6"/>
  <c r="J112" i="6"/>
  <c r="J128" i="6"/>
  <c r="J91" i="6"/>
  <c r="J107" i="6"/>
  <c r="J123" i="6"/>
  <c r="J81" i="6"/>
  <c r="J97" i="6"/>
  <c r="J113" i="6"/>
  <c r="J129" i="6"/>
  <c r="J14" i="6"/>
  <c r="J92" i="6"/>
  <c r="J108" i="6"/>
  <c r="J124" i="6"/>
  <c r="J87" i="6"/>
  <c r="J103" i="6"/>
  <c r="J119" i="6"/>
  <c r="J135" i="6"/>
  <c r="J102" i="6"/>
  <c r="J150" i="6"/>
  <c r="J166" i="6"/>
  <c r="J182" i="6"/>
  <c r="J198" i="6"/>
  <c r="J118" i="6"/>
  <c r="J145" i="6"/>
  <c r="J161" i="6"/>
  <c r="J177" i="6"/>
  <c r="J193" i="6"/>
  <c r="J139" i="6"/>
  <c r="J140" i="6"/>
  <c r="J156" i="6"/>
  <c r="J172" i="6"/>
  <c r="J188" i="6"/>
  <c r="J133" i="6"/>
  <c r="J151" i="6"/>
  <c r="J167" i="6"/>
  <c r="J183" i="6"/>
  <c r="J199" i="6"/>
  <c r="J146" i="6"/>
  <c r="J162" i="6"/>
  <c r="J178" i="6"/>
  <c r="J194" i="6"/>
  <c r="J141" i="6"/>
  <c r="J157" i="6"/>
  <c r="J173" i="6"/>
  <c r="J189" i="6"/>
  <c r="J152" i="6"/>
  <c r="J168" i="6"/>
  <c r="J184" i="6"/>
  <c r="J200" i="6"/>
  <c r="J147" i="6"/>
  <c r="J163" i="6"/>
  <c r="J179" i="6"/>
  <c r="J142" i="6"/>
  <c r="J158" i="6"/>
  <c r="J174" i="6"/>
  <c r="J190" i="6"/>
  <c r="J131" i="6"/>
  <c r="J153" i="6"/>
  <c r="J169" i="6"/>
  <c r="J185" i="6"/>
  <c r="J115" i="6"/>
  <c r="J148" i="6"/>
  <c r="J164" i="6"/>
  <c r="J180" i="6"/>
  <c r="J196" i="6"/>
  <c r="J134" i="6"/>
  <c r="J143" i="6"/>
  <c r="J159" i="6"/>
  <c r="J175" i="6"/>
  <c r="J191" i="6"/>
  <c r="J154" i="6"/>
  <c r="J86" i="6"/>
  <c r="J149" i="6"/>
  <c r="J165" i="6"/>
  <c r="J181" i="6"/>
  <c r="J197" i="6"/>
  <c r="J144" i="6"/>
  <c r="J160" i="6"/>
  <c r="J176" i="6"/>
  <c r="J192" i="6"/>
  <c r="J137" i="6"/>
  <c r="J155" i="6"/>
  <c r="J171" i="6"/>
  <c r="J187" i="6"/>
  <c r="J170" i="6"/>
  <c r="J186" i="6"/>
  <c r="J195" i="6"/>
  <c r="J201" i="6"/>
  <c r="V16" i="6"/>
  <c r="V32" i="6"/>
  <c r="V48" i="6"/>
  <c r="V64" i="6"/>
  <c r="V11" i="6"/>
  <c r="V27" i="6"/>
  <c r="V43" i="6"/>
  <c r="V59" i="6"/>
  <c r="V75" i="6"/>
  <c r="V22" i="6"/>
  <c r="V38" i="6"/>
  <c r="V54" i="6"/>
  <c r="V12" i="6"/>
  <c r="V28" i="6"/>
  <c r="V44" i="6"/>
  <c r="V60" i="6"/>
  <c r="V23" i="6"/>
  <c r="V39" i="6"/>
  <c r="V55" i="6"/>
  <c r="V18" i="6"/>
  <c r="V34" i="6"/>
  <c r="V50" i="6"/>
  <c r="V66" i="6"/>
  <c r="V13" i="6"/>
  <c r="V29" i="6"/>
  <c r="V45" i="6"/>
  <c r="V61" i="6"/>
  <c r="V8" i="6"/>
  <c r="V24" i="6"/>
  <c r="V40" i="6"/>
  <c r="V56" i="6"/>
  <c r="V19" i="6"/>
  <c r="V35" i="6"/>
  <c r="V51" i="6"/>
  <c r="V14" i="6"/>
  <c r="V30" i="6"/>
  <c r="V46" i="6"/>
  <c r="V62" i="6"/>
  <c r="V9" i="6"/>
  <c r="V25" i="6"/>
  <c r="V41" i="6"/>
  <c r="V57" i="6"/>
  <c r="V73" i="6"/>
  <c r="V20" i="6"/>
  <c r="V36" i="6"/>
  <c r="V52" i="6"/>
  <c r="V15" i="6"/>
  <c r="V31" i="6"/>
  <c r="V47" i="6"/>
  <c r="V63" i="6"/>
  <c r="V10" i="6"/>
  <c r="V26" i="6"/>
  <c r="V42" i="6"/>
  <c r="V58" i="6"/>
  <c r="V21" i="6"/>
  <c r="V37" i="6"/>
  <c r="V53" i="6"/>
  <c r="V69" i="6"/>
  <c r="V70" i="6"/>
  <c r="V85" i="6"/>
  <c r="V101" i="6"/>
  <c r="V117" i="6"/>
  <c r="V133" i="6"/>
  <c r="V80" i="6"/>
  <c r="V96" i="6"/>
  <c r="V112" i="6"/>
  <c r="V128" i="6"/>
  <c r="V17" i="6"/>
  <c r="V91" i="6"/>
  <c r="V107" i="6"/>
  <c r="V123" i="6"/>
  <c r="V67" i="6"/>
  <c r="V72" i="6"/>
  <c r="V86" i="6"/>
  <c r="V102" i="6"/>
  <c r="V81" i="6"/>
  <c r="V97" i="6"/>
  <c r="V113" i="6"/>
  <c r="V129" i="6"/>
  <c r="V33" i="6"/>
  <c r="V92" i="6"/>
  <c r="V108" i="6"/>
  <c r="V124" i="6"/>
  <c r="V87" i="6"/>
  <c r="V103" i="6"/>
  <c r="V119" i="6"/>
  <c r="V135" i="6"/>
  <c r="V68" i="6"/>
  <c r="V82" i="6"/>
  <c r="V98" i="6"/>
  <c r="V114" i="6"/>
  <c r="V130" i="6"/>
  <c r="V49" i="6"/>
  <c r="V74" i="6"/>
  <c r="V93" i="6"/>
  <c r="V109" i="6"/>
  <c r="V125" i="6"/>
  <c r="V76" i="6"/>
  <c r="V88" i="6"/>
  <c r="V104" i="6"/>
  <c r="V120" i="6"/>
  <c r="V71" i="6"/>
  <c r="V83" i="6"/>
  <c r="V99" i="6"/>
  <c r="V115" i="6"/>
  <c r="V131" i="6"/>
  <c r="V77" i="6"/>
  <c r="V94" i="6"/>
  <c r="V110" i="6"/>
  <c r="V126" i="6"/>
  <c r="V78" i="6"/>
  <c r="V84" i="6"/>
  <c r="V100" i="6"/>
  <c r="V116" i="6"/>
  <c r="V132" i="6"/>
  <c r="V95" i="6"/>
  <c r="V111" i="6"/>
  <c r="V127" i="6"/>
  <c r="V79" i="6"/>
  <c r="V90" i="6"/>
  <c r="V106" i="6"/>
  <c r="V122" i="6"/>
  <c r="V138" i="6"/>
  <c r="V153" i="6"/>
  <c r="V169" i="6"/>
  <c r="V185" i="6"/>
  <c r="V201" i="6"/>
  <c r="V89" i="6"/>
  <c r="V148" i="6"/>
  <c r="V164" i="6"/>
  <c r="V180" i="6"/>
  <c r="V196" i="6"/>
  <c r="V118" i="6"/>
  <c r="V143" i="6"/>
  <c r="V159" i="6"/>
  <c r="V175" i="6"/>
  <c r="V191" i="6"/>
  <c r="V137" i="6"/>
  <c r="V154" i="6"/>
  <c r="V170" i="6"/>
  <c r="V186" i="6"/>
  <c r="V105" i="6"/>
  <c r="V149" i="6"/>
  <c r="V165" i="6"/>
  <c r="V181" i="6"/>
  <c r="V144" i="6"/>
  <c r="V160" i="6"/>
  <c r="V176" i="6"/>
  <c r="V192" i="6"/>
  <c r="V155" i="6"/>
  <c r="V171" i="6"/>
  <c r="V187" i="6"/>
  <c r="V150" i="6"/>
  <c r="V166" i="6"/>
  <c r="V182" i="6"/>
  <c r="V139" i="6"/>
  <c r="V145" i="6"/>
  <c r="V161" i="6"/>
  <c r="V177" i="6"/>
  <c r="V193" i="6"/>
  <c r="V121" i="6"/>
  <c r="V140" i="6"/>
  <c r="V156" i="6"/>
  <c r="V172" i="6"/>
  <c r="V188" i="6"/>
  <c r="V151" i="6"/>
  <c r="V167" i="6"/>
  <c r="V183" i="6"/>
  <c r="V199" i="6"/>
  <c r="V136" i="6"/>
  <c r="V146" i="6"/>
  <c r="V162" i="6"/>
  <c r="V178" i="6"/>
  <c r="V194" i="6"/>
  <c r="V65" i="6"/>
  <c r="V134" i="6"/>
  <c r="V141" i="6"/>
  <c r="V157" i="6"/>
  <c r="V152" i="6"/>
  <c r="V168" i="6"/>
  <c r="V184" i="6"/>
  <c r="V147" i="6"/>
  <c r="V163" i="6"/>
  <c r="V179" i="6"/>
  <c r="V195" i="6"/>
  <c r="V142" i="6"/>
  <c r="V158" i="6"/>
  <c r="V174" i="6"/>
  <c r="V190" i="6"/>
  <c r="V189" i="6"/>
  <c r="V197" i="6"/>
  <c r="V200" i="6"/>
  <c r="V198" i="6"/>
  <c r="V173" i="6"/>
  <c r="AF19" i="6"/>
  <c r="AF35" i="6"/>
  <c r="AF51" i="6"/>
  <c r="AF67" i="6"/>
  <c r="AF14" i="6"/>
  <c r="AF30" i="6"/>
  <c r="AF46" i="6"/>
  <c r="AF62" i="6"/>
  <c r="AF78" i="6"/>
  <c r="AF25" i="6"/>
  <c r="AF41" i="6"/>
  <c r="AF57" i="6"/>
  <c r="AF15" i="6"/>
  <c r="AF31" i="6"/>
  <c r="AF47" i="6"/>
  <c r="AF63" i="6"/>
  <c r="AF26" i="6"/>
  <c r="AF42" i="6"/>
  <c r="AF58" i="6"/>
  <c r="AF21" i="6"/>
  <c r="AF37" i="6"/>
  <c r="AF53" i="6"/>
  <c r="AF69" i="6"/>
  <c r="AF16" i="6"/>
  <c r="AF32" i="6"/>
  <c r="AF48" i="6"/>
  <c r="AF64" i="6"/>
  <c r="AF27" i="6"/>
  <c r="AF43" i="6"/>
  <c r="AF59" i="6"/>
  <c r="AF22" i="6"/>
  <c r="AF38" i="6"/>
  <c r="AF54" i="6"/>
  <c r="AF17" i="6"/>
  <c r="AF33" i="6"/>
  <c r="AF49" i="6"/>
  <c r="AF65" i="6"/>
  <c r="AF12" i="6"/>
  <c r="AF28" i="6"/>
  <c r="AF44" i="6"/>
  <c r="AF60" i="6"/>
  <c r="AF23" i="6"/>
  <c r="AF39" i="6"/>
  <c r="AF55" i="6"/>
  <c r="AF18" i="6"/>
  <c r="AF34" i="6"/>
  <c r="AF50" i="6"/>
  <c r="AF66" i="6"/>
  <c r="AF13" i="6"/>
  <c r="AF29" i="6"/>
  <c r="AF45" i="6"/>
  <c r="AF61" i="6"/>
  <c r="AF24" i="6"/>
  <c r="AF40" i="6"/>
  <c r="AF56" i="6"/>
  <c r="AF72" i="6"/>
  <c r="AF73" i="6"/>
  <c r="AF76" i="6"/>
  <c r="AF88" i="6"/>
  <c r="AF104" i="6"/>
  <c r="AF120" i="6"/>
  <c r="AF136" i="6"/>
  <c r="AF83" i="6"/>
  <c r="AF99" i="6"/>
  <c r="AF115" i="6"/>
  <c r="AF131" i="6"/>
  <c r="AF77" i="6"/>
  <c r="AF94" i="6"/>
  <c r="AF110" i="6"/>
  <c r="AF126" i="6"/>
  <c r="AF89" i="6"/>
  <c r="AF105" i="6"/>
  <c r="AF84" i="6"/>
  <c r="AF100" i="6"/>
  <c r="AF116" i="6"/>
  <c r="AF132" i="6"/>
  <c r="AF70" i="6"/>
  <c r="AF79" i="6"/>
  <c r="AF95" i="6"/>
  <c r="AF111" i="6"/>
  <c r="AF127" i="6"/>
  <c r="AF20" i="6"/>
  <c r="AF90" i="6"/>
  <c r="AF106" i="6"/>
  <c r="AF122" i="6"/>
  <c r="AF138" i="6"/>
  <c r="AF85" i="6"/>
  <c r="AF101" i="6"/>
  <c r="AF117" i="6"/>
  <c r="AF68" i="6"/>
  <c r="AF80" i="6"/>
  <c r="AF96" i="6"/>
  <c r="AF112" i="6"/>
  <c r="AF128" i="6"/>
  <c r="AF36" i="6"/>
  <c r="AF91" i="6"/>
  <c r="AF107" i="6"/>
  <c r="AF86" i="6"/>
  <c r="AF102" i="6"/>
  <c r="AF118" i="6"/>
  <c r="AF134" i="6"/>
  <c r="AF81" i="6"/>
  <c r="AF97" i="6"/>
  <c r="AF113" i="6"/>
  <c r="AF129" i="6"/>
  <c r="AF71" i="6"/>
  <c r="AF74" i="6"/>
  <c r="AF87" i="6"/>
  <c r="AF103" i="6"/>
  <c r="AF119" i="6"/>
  <c r="AF135" i="6"/>
  <c r="AF75" i="6"/>
  <c r="AF82" i="6"/>
  <c r="AF98" i="6"/>
  <c r="AF114" i="6"/>
  <c r="AF130" i="6"/>
  <c r="AF93" i="6"/>
  <c r="AF109" i="6"/>
  <c r="AF125" i="6"/>
  <c r="AF140" i="6"/>
  <c r="AF156" i="6"/>
  <c r="AF172" i="6"/>
  <c r="AF188" i="6"/>
  <c r="AF151" i="6"/>
  <c r="AF167" i="6"/>
  <c r="AF183" i="6"/>
  <c r="AF199" i="6"/>
  <c r="AF146" i="6"/>
  <c r="AF162" i="6"/>
  <c r="AF178" i="6"/>
  <c r="AF194" i="6"/>
  <c r="AF124" i="6"/>
  <c r="AF141" i="6"/>
  <c r="AF157" i="6"/>
  <c r="AF173" i="6"/>
  <c r="AF189" i="6"/>
  <c r="AF152" i="6"/>
  <c r="AF168" i="6"/>
  <c r="AF184" i="6"/>
  <c r="AF92" i="6"/>
  <c r="AF137" i="6"/>
  <c r="AF147" i="6"/>
  <c r="AF163" i="6"/>
  <c r="AF179" i="6"/>
  <c r="AF195" i="6"/>
  <c r="AF142" i="6"/>
  <c r="AF158" i="6"/>
  <c r="AF174" i="6"/>
  <c r="AF190" i="6"/>
  <c r="AF153" i="6"/>
  <c r="AF169" i="6"/>
  <c r="AF185" i="6"/>
  <c r="AF133" i="6"/>
  <c r="AF148" i="6"/>
  <c r="AF164" i="6"/>
  <c r="AF180" i="6"/>
  <c r="AF196" i="6"/>
  <c r="AF143" i="6"/>
  <c r="AF159" i="6"/>
  <c r="AF175" i="6"/>
  <c r="AF191" i="6"/>
  <c r="AF121" i="6"/>
  <c r="AF154" i="6"/>
  <c r="AF170" i="6"/>
  <c r="AF186" i="6"/>
  <c r="AF52" i="6"/>
  <c r="AF108" i="6"/>
  <c r="AF149" i="6"/>
  <c r="AF165" i="6"/>
  <c r="AF181" i="6"/>
  <c r="AF144" i="6"/>
  <c r="AF160" i="6"/>
  <c r="AF139" i="6"/>
  <c r="AF155" i="6"/>
  <c r="AF171" i="6"/>
  <c r="AF187" i="6"/>
  <c r="AF150" i="6"/>
  <c r="AF166" i="6"/>
  <c r="AF182" i="6"/>
  <c r="AF198" i="6"/>
  <c r="AF123" i="6"/>
  <c r="AF145" i="6"/>
  <c r="AF161" i="6"/>
  <c r="AF177" i="6"/>
  <c r="AF193" i="6"/>
  <c r="AF176" i="6"/>
  <c r="AF197" i="6"/>
  <c r="AF201" i="6"/>
  <c r="AF192" i="6"/>
  <c r="AF200" i="6"/>
  <c r="K18" i="6"/>
  <c r="K34" i="6"/>
  <c r="K50" i="6"/>
  <c r="K66" i="6"/>
  <c r="K13" i="6"/>
  <c r="K29" i="6"/>
  <c r="K45" i="6"/>
  <c r="K61" i="6"/>
  <c r="K77" i="6"/>
  <c r="K24" i="6"/>
  <c r="K40" i="6"/>
  <c r="K56" i="6"/>
  <c r="K14" i="6"/>
  <c r="K30" i="6"/>
  <c r="K46" i="6"/>
  <c r="K62" i="6"/>
  <c r="K25" i="6"/>
  <c r="K41" i="6"/>
  <c r="K57" i="6"/>
  <c r="K20" i="6"/>
  <c r="K36" i="6"/>
  <c r="K52" i="6"/>
  <c r="K68" i="6"/>
  <c r="K15" i="6"/>
  <c r="K31" i="6"/>
  <c r="K47" i="6"/>
  <c r="K63" i="6"/>
  <c r="K26" i="6"/>
  <c r="K42" i="6"/>
  <c r="K58" i="6"/>
  <c r="K21" i="6"/>
  <c r="K37" i="6"/>
  <c r="K53" i="6"/>
  <c r="K16" i="6"/>
  <c r="K32" i="6"/>
  <c r="K48" i="6"/>
  <c r="K64" i="6"/>
  <c r="K27" i="6"/>
  <c r="K43" i="6"/>
  <c r="K59" i="6"/>
  <c r="K22" i="6"/>
  <c r="K38" i="6"/>
  <c r="K54" i="6"/>
  <c r="K17" i="6"/>
  <c r="K33" i="6"/>
  <c r="K49" i="6"/>
  <c r="K65" i="6"/>
  <c r="K12" i="6"/>
  <c r="K28" i="6"/>
  <c r="K44" i="6"/>
  <c r="K60" i="6"/>
  <c r="K23" i="6"/>
  <c r="K39" i="6"/>
  <c r="K55" i="6"/>
  <c r="K71" i="6"/>
  <c r="K87" i="6"/>
  <c r="K103" i="6"/>
  <c r="K119" i="6"/>
  <c r="K135" i="6"/>
  <c r="K82" i="6"/>
  <c r="K98" i="6"/>
  <c r="K114" i="6"/>
  <c r="K130" i="6"/>
  <c r="K67" i="6"/>
  <c r="K93" i="6"/>
  <c r="K109" i="6"/>
  <c r="K125" i="6"/>
  <c r="K75" i="6"/>
  <c r="K88" i="6"/>
  <c r="K104" i="6"/>
  <c r="K19" i="6"/>
  <c r="K76" i="6"/>
  <c r="K83" i="6"/>
  <c r="K99" i="6"/>
  <c r="K115" i="6"/>
  <c r="K131" i="6"/>
  <c r="K74" i="6"/>
  <c r="K94" i="6"/>
  <c r="K110" i="6"/>
  <c r="K126" i="6"/>
  <c r="K89" i="6"/>
  <c r="K105" i="6"/>
  <c r="K121" i="6"/>
  <c r="K137" i="6"/>
  <c r="K35" i="6"/>
  <c r="K78" i="6"/>
  <c r="K84" i="6"/>
  <c r="K100" i="6"/>
  <c r="K116" i="6"/>
  <c r="K132" i="6"/>
  <c r="K95" i="6"/>
  <c r="K111" i="6"/>
  <c r="K127" i="6"/>
  <c r="K69" i="6"/>
  <c r="K79" i="6"/>
  <c r="K90" i="6"/>
  <c r="K106" i="6"/>
  <c r="K122" i="6"/>
  <c r="K51" i="6"/>
  <c r="K73" i="6"/>
  <c r="K85" i="6"/>
  <c r="K101" i="6"/>
  <c r="K117" i="6"/>
  <c r="K133" i="6"/>
  <c r="K80" i="6"/>
  <c r="K96" i="6"/>
  <c r="K112" i="6"/>
  <c r="K128" i="6"/>
  <c r="K86" i="6"/>
  <c r="K102" i="6"/>
  <c r="K118" i="6"/>
  <c r="K134" i="6"/>
  <c r="K81" i="6"/>
  <c r="K97" i="6"/>
  <c r="K113" i="6"/>
  <c r="K129" i="6"/>
  <c r="K70" i="6"/>
  <c r="K72" i="6"/>
  <c r="K92" i="6"/>
  <c r="K108" i="6"/>
  <c r="K124" i="6"/>
  <c r="K155" i="6"/>
  <c r="K171" i="6"/>
  <c r="K187" i="6"/>
  <c r="K150" i="6"/>
  <c r="K166" i="6"/>
  <c r="K182" i="6"/>
  <c r="K198" i="6"/>
  <c r="K145" i="6"/>
  <c r="K161" i="6"/>
  <c r="K177" i="6"/>
  <c r="K193" i="6"/>
  <c r="K91" i="6"/>
  <c r="K139" i="6"/>
  <c r="K140" i="6"/>
  <c r="K156" i="6"/>
  <c r="K172" i="6"/>
  <c r="K188" i="6"/>
  <c r="K151" i="6"/>
  <c r="K167" i="6"/>
  <c r="K183" i="6"/>
  <c r="K146" i="6"/>
  <c r="K162" i="6"/>
  <c r="K178" i="6"/>
  <c r="K194" i="6"/>
  <c r="K120" i="6"/>
  <c r="K141" i="6"/>
  <c r="K157" i="6"/>
  <c r="K173" i="6"/>
  <c r="K189" i="6"/>
  <c r="K107" i="6"/>
  <c r="K152" i="6"/>
  <c r="K168" i="6"/>
  <c r="K184" i="6"/>
  <c r="K136" i="6"/>
  <c r="K138" i="6"/>
  <c r="K147" i="6"/>
  <c r="K163" i="6"/>
  <c r="K179" i="6"/>
  <c r="K195" i="6"/>
  <c r="K142" i="6"/>
  <c r="K158" i="6"/>
  <c r="K174" i="6"/>
  <c r="K190" i="6"/>
  <c r="K153" i="6"/>
  <c r="K169" i="6"/>
  <c r="K185" i="6"/>
  <c r="K148" i="6"/>
  <c r="K164" i="6"/>
  <c r="K180" i="6"/>
  <c r="K196" i="6"/>
  <c r="K143" i="6"/>
  <c r="K159" i="6"/>
  <c r="K123" i="6"/>
  <c r="K154" i="6"/>
  <c r="K170" i="6"/>
  <c r="K186" i="6"/>
  <c r="K149" i="6"/>
  <c r="K165" i="6"/>
  <c r="K181" i="6"/>
  <c r="K197" i="6"/>
  <c r="K144" i="6"/>
  <c r="K160" i="6"/>
  <c r="K176" i="6"/>
  <c r="K192" i="6"/>
  <c r="K200" i="6"/>
  <c r="K191" i="6"/>
  <c r="K199" i="6"/>
  <c r="K201" i="6"/>
  <c r="K175" i="6"/>
  <c r="AA20" i="6"/>
  <c r="AA36" i="6"/>
  <c r="AA52" i="6"/>
  <c r="AA68" i="6"/>
  <c r="AA15" i="6"/>
  <c r="AA31" i="6"/>
  <c r="AA47" i="6"/>
  <c r="AA63" i="6"/>
  <c r="AA79" i="6"/>
  <c r="AA26" i="6"/>
  <c r="AA42" i="6"/>
  <c r="AA58" i="6"/>
  <c r="AA16" i="6"/>
  <c r="AA32" i="6"/>
  <c r="AA48" i="6"/>
  <c r="AA64" i="6"/>
  <c r="AA27" i="6"/>
  <c r="AA43" i="6"/>
  <c r="AA59" i="6"/>
  <c r="AA22" i="6"/>
  <c r="AA38" i="6"/>
  <c r="AA54" i="6"/>
  <c r="AA70" i="6"/>
  <c r="AA17" i="6"/>
  <c r="AA33" i="6"/>
  <c r="AA49" i="6"/>
  <c r="AA65" i="6"/>
  <c r="AA12" i="6"/>
  <c r="AA28" i="6"/>
  <c r="AA44" i="6"/>
  <c r="AA60" i="6"/>
  <c r="AA23" i="6"/>
  <c r="AA39" i="6"/>
  <c r="AA55" i="6"/>
  <c r="AA18" i="6"/>
  <c r="AA34" i="6"/>
  <c r="AA50" i="6"/>
  <c r="AA66" i="6"/>
  <c r="AA13" i="6"/>
  <c r="AA29" i="6"/>
  <c r="AA45" i="6"/>
  <c r="AA61" i="6"/>
  <c r="AA24" i="6"/>
  <c r="AA40" i="6"/>
  <c r="AA56" i="6"/>
  <c r="AA19" i="6"/>
  <c r="AA35" i="6"/>
  <c r="AA51" i="6"/>
  <c r="AA67" i="6"/>
  <c r="AA14" i="6"/>
  <c r="AA30" i="6"/>
  <c r="AA46" i="6"/>
  <c r="AA62" i="6"/>
  <c r="AA25" i="6"/>
  <c r="AA41" i="6"/>
  <c r="AA57" i="6"/>
  <c r="AA73" i="6"/>
  <c r="AA89" i="6"/>
  <c r="AA105" i="6"/>
  <c r="AA121" i="6"/>
  <c r="AA137" i="6"/>
  <c r="AA78" i="6"/>
  <c r="AA84" i="6"/>
  <c r="AA100" i="6"/>
  <c r="AA116" i="6"/>
  <c r="AA132" i="6"/>
  <c r="AA95" i="6"/>
  <c r="AA111" i="6"/>
  <c r="AA127" i="6"/>
  <c r="AA90" i="6"/>
  <c r="AA85" i="6"/>
  <c r="AA101" i="6"/>
  <c r="AA117" i="6"/>
  <c r="AA133" i="6"/>
  <c r="AA72" i="6"/>
  <c r="AA80" i="6"/>
  <c r="AA96" i="6"/>
  <c r="AA112" i="6"/>
  <c r="AA128" i="6"/>
  <c r="AA91" i="6"/>
  <c r="AA107" i="6"/>
  <c r="AA123" i="6"/>
  <c r="AA139" i="6"/>
  <c r="AA21" i="6"/>
  <c r="AA86" i="6"/>
  <c r="AA102" i="6"/>
  <c r="AA118" i="6"/>
  <c r="AA81" i="6"/>
  <c r="AA97" i="6"/>
  <c r="AA113" i="6"/>
  <c r="AA129" i="6"/>
  <c r="AA92" i="6"/>
  <c r="AA108" i="6"/>
  <c r="AA37" i="6"/>
  <c r="AA74" i="6"/>
  <c r="AA87" i="6"/>
  <c r="AA103" i="6"/>
  <c r="AA119" i="6"/>
  <c r="AA135" i="6"/>
  <c r="AA69" i="6"/>
  <c r="AA75" i="6"/>
  <c r="AA82" i="6"/>
  <c r="AA98" i="6"/>
  <c r="AA114" i="6"/>
  <c r="AA130" i="6"/>
  <c r="AA53" i="6"/>
  <c r="AA76" i="6"/>
  <c r="AA88" i="6"/>
  <c r="AA104" i="6"/>
  <c r="AA120" i="6"/>
  <c r="AA136" i="6"/>
  <c r="AA83" i="6"/>
  <c r="AA99" i="6"/>
  <c r="AA115" i="6"/>
  <c r="AA131" i="6"/>
  <c r="AA77" i="6"/>
  <c r="AA94" i="6"/>
  <c r="AA110" i="6"/>
  <c r="AA126" i="6"/>
  <c r="AA141" i="6"/>
  <c r="AA157" i="6"/>
  <c r="AA173" i="6"/>
  <c r="AA189" i="6"/>
  <c r="AA152" i="6"/>
  <c r="AA168" i="6"/>
  <c r="AA184" i="6"/>
  <c r="AA200" i="6"/>
  <c r="AA124" i="6"/>
  <c r="AA147" i="6"/>
  <c r="AA163" i="6"/>
  <c r="AA179" i="6"/>
  <c r="AA195" i="6"/>
  <c r="AA142" i="6"/>
  <c r="AA158" i="6"/>
  <c r="AA174" i="6"/>
  <c r="AA190" i="6"/>
  <c r="AA153" i="6"/>
  <c r="AA169" i="6"/>
  <c r="AA185" i="6"/>
  <c r="AA148" i="6"/>
  <c r="AA164" i="6"/>
  <c r="AA180" i="6"/>
  <c r="AA196" i="6"/>
  <c r="AA93" i="6"/>
  <c r="AA106" i="6"/>
  <c r="AA125" i="6"/>
  <c r="AA143" i="6"/>
  <c r="AA159" i="6"/>
  <c r="AA175" i="6"/>
  <c r="AA191" i="6"/>
  <c r="AA154" i="6"/>
  <c r="AA170" i="6"/>
  <c r="AA186" i="6"/>
  <c r="AA149" i="6"/>
  <c r="AA165" i="6"/>
  <c r="AA181" i="6"/>
  <c r="AA197" i="6"/>
  <c r="AA144" i="6"/>
  <c r="AA160" i="6"/>
  <c r="AA176" i="6"/>
  <c r="AA192" i="6"/>
  <c r="AA155" i="6"/>
  <c r="AA171" i="6"/>
  <c r="AA187" i="6"/>
  <c r="AA150" i="6"/>
  <c r="AA166" i="6"/>
  <c r="AA182" i="6"/>
  <c r="AA122" i="6"/>
  <c r="AA145" i="6"/>
  <c r="AA161" i="6"/>
  <c r="AA109" i="6"/>
  <c r="AA140" i="6"/>
  <c r="AA156" i="6"/>
  <c r="AA172" i="6"/>
  <c r="AA188" i="6"/>
  <c r="AA71" i="6"/>
  <c r="AA134" i="6"/>
  <c r="AA138" i="6"/>
  <c r="AA151" i="6"/>
  <c r="AA167" i="6"/>
  <c r="AA183" i="6"/>
  <c r="AA146" i="6"/>
  <c r="AA162" i="6"/>
  <c r="AA178" i="6"/>
  <c r="AA194" i="6"/>
  <c r="AA177" i="6"/>
  <c r="AA201" i="6"/>
  <c r="AA198" i="6"/>
  <c r="AA193" i="6"/>
  <c r="AA199" i="6"/>
  <c r="Z15" i="6"/>
  <c r="Z31" i="6"/>
  <c r="Z47" i="6"/>
  <c r="Z63" i="6"/>
  <c r="Z10" i="6"/>
  <c r="Z26" i="6"/>
  <c r="Z42" i="6"/>
  <c r="Z58" i="6"/>
  <c r="Z74" i="6"/>
  <c r="Z21" i="6"/>
  <c r="Z37" i="6"/>
  <c r="Z53" i="6"/>
  <c r="Z69" i="6"/>
  <c r="Z11" i="6"/>
  <c r="Z27" i="6"/>
  <c r="Z43" i="6"/>
  <c r="Z59" i="6"/>
  <c r="Z22" i="6"/>
  <c r="Z38" i="6"/>
  <c r="Z54" i="6"/>
  <c r="Z17" i="6"/>
  <c r="Z33" i="6"/>
  <c r="Z49" i="6"/>
  <c r="Z65" i="6"/>
  <c r="Z12" i="6"/>
  <c r="Z28" i="6"/>
  <c r="Z44" i="6"/>
  <c r="Z60" i="6"/>
  <c r="Z23" i="6"/>
  <c r="Z39" i="6"/>
  <c r="Z55" i="6"/>
  <c r="Z18" i="6"/>
  <c r="Z34" i="6"/>
  <c r="Z50" i="6"/>
  <c r="Z13" i="6"/>
  <c r="Z29" i="6"/>
  <c r="Z45" i="6"/>
  <c r="Z61" i="6"/>
  <c r="Z24" i="6"/>
  <c r="Z40" i="6"/>
  <c r="Z56" i="6"/>
  <c r="Z72" i="6"/>
  <c r="Z19" i="6"/>
  <c r="Z35" i="6"/>
  <c r="Z51" i="6"/>
  <c r="Z14" i="6"/>
  <c r="Z30" i="6"/>
  <c r="Z46" i="6"/>
  <c r="Z62" i="6"/>
  <c r="Z25" i="6"/>
  <c r="Z41" i="6"/>
  <c r="Z57" i="6"/>
  <c r="Z20" i="6"/>
  <c r="Z36" i="6"/>
  <c r="Z52" i="6"/>
  <c r="Z68" i="6"/>
  <c r="Z66" i="6"/>
  <c r="Z78" i="6"/>
  <c r="Z84" i="6"/>
  <c r="Z100" i="6"/>
  <c r="Z116" i="6"/>
  <c r="Z132" i="6"/>
  <c r="Z16" i="6"/>
  <c r="Z95" i="6"/>
  <c r="Z111" i="6"/>
  <c r="Z127" i="6"/>
  <c r="Z79" i="6"/>
  <c r="Z90" i="6"/>
  <c r="Z106" i="6"/>
  <c r="Z122" i="6"/>
  <c r="Z70" i="6"/>
  <c r="Z85" i="6"/>
  <c r="Z101" i="6"/>
  <c r="Z32" i="6"/>
  <c r="Z67" i="6"/>
  <c r="Z80" i="6"/>
  <c r="Z96" i="6"/>
  <c r="Z112" i="6"/>
  <c r="Z128" i="6"/>
  <c r="Z91" i="6"/>
  <c r="Z107" i="6"/>
  <c r="Z123" i="6"/>
  <c r="Z86" i="6"/>
  <c r="Z102" i="6"/>
  <c r="Z118" i="6"/>
  <c r="Z134" i="6"/>
  <c r="Z48" i="6"/>
  <c r="Z81" i="6"/>
  <c r="Z97" i="6"/>
  <c r="Z113" i="6"/>
  <c r="Z129" i="6"/>
  <c r="Z92" i="6"/>
  <c r="Z108" i="6"/>
  <c r="Z124" i="6"/>
  <c r="Z87" i="6"/>
  <c r="Z103" i="6"/>
  <c r="Z119" i="6"/>
  <c r="Z64" i="6"/>
  <c r="Z75" i="6"/>
  <c r="Z82" i="6"/>
  <c r="Z98" i="6"/>
  <c r="Z114" i="6"/>
  <c r="Z130" i="6"/>
  <c r="Z71" i="6"/>
  <c r="Z93" i="6"/>
  <c r="Z109" i="6"/>
  <c r="Z125" i="6"/>
  <c r="Z83" i="6"/>
  <c r="Z99" i="6"/>
  <c r="Z115" i="6"/>
  <c r="Z131" i="6"/>
  <c r="Z77" i="6"/>
  <c r="Z94" i="6"/>
  <c r="Z110" i="6"/>
  <c r="Z126" i="6"/>
  <c r="Z73" i="6"/>
  <c r="Z89" i="6"/>
  <c r="Z105" i="6"/>
  <c r="Z121" i="6"/>
  <c r="Z137" i="6"/>
  <c r="Z88" i="6"/>
  <c r="Z117" i="6"/>
  <c r="Z152" i="6"/>
  <c r="Z168" i="6"/>
  <c r="Z184" i="6"/>
  <c r="Z200" i="6"/>
  <c r="Z147" i="6"/>
  <c r="Z163" i="6"/>
  <c r="Z179" i="6"/>
  <c r="Z195" i="6"/>
  <c r="Z76" i="6"/>
  <c r="Z142" i="6"/>
  <c r="Z158" i="6"/>
  <c r="Z174" i="6"/>
  <c r="Z190" i="6"/>
  <c r="Z104" i="6"/>
  <c r="Z153" i="6"/>
  <c r="Z169" i="6"/>
  <c r="Z185" i="6"/>
  <c r="Z201" i="6"/>
  <c r="Z148" i="6"/>
  <c r="Z164" i="6"/>
  <c r="Z180" i="6"/>
  <c r="Z196" i="6"/>
  <c r="Z135" i="6"/>
  <c r="Z143" i="6"/>
  <c r="Z159" i="6"/>
  <c r="Z175" i="6"/>
  <c r="Z191" i="6"/>
  <c r="Z133" i="6"/>
  <c r="Z154" i="6"/>
  <c r="Z170" i="6"/>
  <c r="Z186" i="6"/>
  <c r="Z120" i="6"/>
  <c r="Z149" i="6"/>
  <c r="Z165" i="6"/>
  <c r="Z181" i="6"/>
  <c r="Z144" i="6"/>
  <c r="Z160" i="6"/>
  <c r="Z176" i="6"/>
  <c r="Z192" i="6"/>
  <c r="Z155" i="6"/>
  <c r="Z171" i="6"/>
  <c r="Z187" i="6"/>
  <c r="Z139" i="6"/>
  <c r="Z150" i="6"/>
  <c r="Z166" i="6"/>
  <c r="Z182" i="6"/>
  <c r="Z198" i="6"/>
  <c r="Z145" i="6"/>
  <c r="Z161" i="6"/>
  <c r="Z177" i="6"/>
  <c r="Z193" i="6"/>
  <c r="Z140" i="6"/>
  <c r="Z156" i="6"/>
  <c r="Z136" i="6"/>
  <c r="Z138" i="6"/>
  <c r="Z151" i="6"/>
  <c r="Z167" i="6"/>
  <c r="Z183" i="6"/>
  <c r="Z199" i="6"/>
  <c r="Z146" i="6"/>
  <c r="Z162" i="6"/>
  <c r="Z178" i="6"/>
  <c r="Z194" i="6"/>
  <c r="Z141" i="6"/>
  <c r="Z157" i="6"/>
  <c r="Z173" i="6"/>
  <c r="Z189" i="6"/>
  <c r="Z197" i="6"/>
  <c r="Z172" i="6"/>
  <c r="Z188" i="6"/>
  <c r="AC9" i="6"/>
  <c r="AC25" i="6"/>
  <c r="AC41" i="6"/>
  <c r="AC57" i="6"/>
  <c r="AC73" i="6"/>
  <c r="AC20" i="6"/>
  <c r="AC36" i="6"/>
  <c r="AC52" i="6"/>
  <c r="AC68" i="6"/>
  <c r="AC15" i="6"/>
  <c r="AC31" i="6"/>
  <c r="AC47" i="6"/>
  <c r="AC63" i="6"/>
  <c r="AC21" i="6"/>
  <c r="AC37" i="6"/>
  <c r="AC53" i="6"/>
  <c r="AC16" i="6"/>
  <c r="AC32" i="6"/>
  <c r="AC48" i="6"/>
  <c r="AC64" i="6"/>
  <c r="AC11" i="6"/>
  <c r="AC27" i="6"/>
  <c r="AC43" i="6"/>
  <c r="AC59" i="6"/>
  <c r="AC22" i="6"/>
  <c r="AC38" i="6"/>
  <c r="AC54" i="6"/>
  <c r="AC70" i="6"/>
  <c r="AC17" i="6"/>
  <c r="AC33" i="6"/>
  <c r="AC49" i="6"/>
  <c r="AC65" i="6"/>
  <c r="AC12" i="6"/>
  <c r="AC28" i="6"/>
  <c r="AC44" i="6"/>
  <c r="AC60" i="6"/>
  <c r="AC23" i="6"/>
  <c r="AC39" i="6"/>
  <c r="AC55" i="6"/>
  <c r="AC71" i="6"/>
  <c r="AC18" i="6"/>
  <c r="AC34" i="6"/>
  <c r="AC50" i="6"/>
  <c r="AC66" i="6"/>
  <c r="AC13" i="6"/>
  <c r="AC29" i="6"/>
  <c r="AC45" i="6"/>
  <c r="AC61" i="6"/>
  <c r="AC24" i="6"/>
  <c r="AC40" i="6"/>
  <c r="AC56" i="6"/>
  <c r="AC72" i="6"/>
  <c r="AC19" i="6"/>
  <c r="AC35" i="6"/>
  <c r="AC51" i="6"/>
  <c r="AC67" i="6"/>
  <c r="AC14" i="6"/>
  <c r="AC30" i="6"/>
  <c r="AC46" i="6"/>
  <c r="AC62" i="6"/>
  <c r="AC42" i="6"/>
  <c r="AC77" i="6"/>
  <c r="AC94" i="6"/>
  <c r="AC110" i="6"/>
  <c r="AC126" i="6"/>
  <c r="AC89" i="6"/>
  <c r="AC105" i="6"/>
  <c r="AC121" i="6"/>
  <c r="AC137" i="6"/>
  <c r="AC78" i="6"/>
  <c r="AC84" i="6"/>
  <c r="AC100" i="6"/>
  <c r="AC116" i="6"/>
  <c r="AC132" i="6"/>
  <c r="AC58" i="6"/>
  <c r="AC79" i="6"/>
  <c r="AC95" i="6"/>
  <c r="AC90" i="6"/>
  <c r="AC106" i="6"/>
  <c r="AC122" i="6"/>
  <c r="AC138" i="6"/>
  <c r="AC85" i="6"/>
  <c r="AC101" i="6"/>
  <c r="AC117" i="6"/>
  <c r="AC80" i="6"/>
  <c r="AC96" i="6"/>
  <c r="AC112" i="6"/>
  <c r="AC128" i="6"/>
  <c r="AC91" i="6"/>
  <c r="AC107" i="6"/>
  <c r="AC123" i="6"/>
  <c r="AC86" i="6"/>
  <c r="AC102" i="6"/>
  <c r="AC118" i="6"/>
  <c r="AC134" i="6"/>
  <c r="AC81" i="6"/>
  <c r="AC97" i="6"/>
  <c r="AC113" i="6"/>
  <c r="AC10" i="6"/>
  <c r="AC92" i="6"/>
  <c r="AC108" i="6"/>
  <c r="AC124" i="6"/>
  <c r="AC74" i="6"/>
  <c r="AC87" i="6"/>
  <c r="AC103" i="6"/>
  <c r="AC119" i="6"/>
  <c r="AC26" i="6"/>
  <c r="AC93" i="6"/>
  <c r="AC109" i="6"/>
  <c r="AC125" i="6"/>
  <c r="AC76" i="6"/>
  <c r="AC88" i="6"/>
  <c r="AC104" i="6"/>
  <c r="AC120" i="6"/>
  <c r="AC136" i="6"/>
  <c r="AC83" i="6"/>
  <c r="AC99" i="6"/>
  <c r="AC115" i="6"/>
  <c r="AC131" i="6"/>
  <c r="AC146" i="6"/>
  <c r="AC162" i="6"/>
  <c r="AC178" i="6"/>
  <c r="AC194" i="6"/>
  <c r="AC75" i="6"/>
  <c r="AC141" i="6"/>
  <c r="AC157" i="6"/>
  <c r="AC173" i="6"/>
  <c r="AC189" i="6"/>
  <c r="AC111" i="6"/>
  <c r="AC152" i="6"/>
  <c r="AC168" i="6"/>
  <c r="AC184" i="6"/>
  <c r="AC147" i="6"/>
  <c r="AC163" i="6"/>
  <c r="AC179" i="6"/>
  <c r="AC195" i="6"/>
  <c r="AC129" i="6"/>
  <c r="AC142" i="6"/>
  <c r="AC158" i="6"/>
  <c r="AC174" i="6"/>
  <c r="AC190" i="6"/>
  <c r="AC153" i="6"/>
  <c r="AC169" i="6"/>
  <c r="AC185" i="6"/>
  <c r="AC135" i="6"/>
  <c r="AC148" i="6"/>
  <c r="AC164" i="6"/>
  <c r="AC180" i="6"/>
  <c r="AC196" i="6"/>
  <c r="AC133" i="6"/>
  <c r="AC143" i="6"/>
  <c r="AC159" i="6"/>
  <c r="AC175" i="6"/>
  <c r="AC130" i="6"/>
  <c r="AC154" i="6"/>
  <c r="AC170" i="6"/>
  <c r="AC186" i="6"/>
  <c r="AC82" i="6"/>
  <c r="AC114" i="6"/>
  <c r="AC149" i="6"/>
  <c r="AC165" i="6"/>
  <c r="AC181" i="6"/>
  <c r="AC197" i="6"/>
  <c r="AC144" i="6"/>
  <c r="AC160" i="6"/>
  <c r="AC176" i="6"/>
  <c r="AC192" i="6"/>
  <c r="AC139" i="6"/>
  <c r="AC155" i="6"/>
  <c r="AC171" i="6"/>
  <c r="AC187" i="6"/>
  <c r="AC98" i="6"/>
  <c r="AC150" i="6"/>
  <c r="AC166" i="6"/>
  <c r="AC69" i="6"/>
  <c r="AC127" i="6"/>
  <c r="AC145" i="6"/>
  <c r="AC161" i="6"/>
  <c r="AC177" i="6"/>
  <c r="AC193" i="6"/>
  <c r="AC140" i="6"/>
  <c r="AC156" i="6"/>
  <c r="AC172" i="6"/>
  <c r="AC188" i="6"/>
  <c r="AC151" i="6"/>
  <c r="AC167" i="6"/>
  <c r="AC183" i="6"/>
  <c r="AC199" i="6"/>
  <c r="AC191" i="6"/>
  <c r="AC201" i="6"/>
  <c r="AC182" i="6"/>
  <c r="AC200" i="6"/>
  <c r="AC198" i="6"/>
  <c r="AC780" i="1"/>
  <c r="S22" i="6"/>
  <c r="S38" i="6"/>
  <c r="S54" i="6"/>
  <c r="S70" i="6"/>
  <c r="S17" i="6"/>
  <c r="S33" i="6"/>
  <c r="S49" i="6"/>
  <c r="S65" i="6"/>
  <c r="S12" i="6"/>
  <c r="S28" i="6"/>
  <c r="S44" i="6"/>
  <c r="S60" i="6"/>
  <c r="S18" i="6"/>
  <c r="S34" i="6"/>
  <c r="S50" i="6"/>
  <c r="S66" i="6"/>
  <c r="S13" i="6"/>
  <c r="S29" i="6"/>
  <c r="S45" i="6"/>
  <c r="S61" i="6"/>
  <c r="S8" i="6"/>
  <c r="S24" i="6"/>
  <c r="S40" i="6"/>
  <c r="S56" i="6"/>
  <c r="S72" i="6"/>
  <c r="S19" i="6"/>
  <c r="S35" i="6"/>
  <c r="S51" i="6"/>
  <c r="S67" i="6"/>
  <c r="S14" i="6"/>
  <c r="S30" i="6"/>
  <c r="S46" i="6"/>
  <c r="S62" i="6"/>
  <c r="S9" i="6"/>
  <c r="S25" i="6"/>
  <c r="S41" i="6"/>
  <c r="S57" i="6"/>
  <c r="S20" i="6"/>
  <c r="S36" i="6"/>
  <c r="S52" i="6"/>
  <c r="S68" i="6"/>
  <c r="S15" i="6"/>
  <c r="S31" i="6"/>
  <c r="S47" i="6"/>
  <c r="S63" i="6"/>
  <c r="S10" i="6"/>
  <c r="S26" i="6"/>
  <c r="S42" i="6"/>
  <c r="S58" i="6"/>
  <c r="S21" i="6"/>
  <c r="S37" i="6"/>
  <c r="S53" i="6"/>
  <c r="S69" i="6"/>
  <c r="S16" i="6"/>
  <c r="S32" i="6"/>
  <c r="S48" i="6"/>
  <c r="S64" i="6"/>
  <c r="S11" i="6"/>
  <c r="S27" i="6"/>
  <c r="S43" i="6"/>
  <c r="S59" i="6"/>
  <c r="S91" i="6"/>
  <c r="S107" i="6"/>
  <c r="S123" i="6"/>
  <c r="S86" i="6"/>
  <c r="S102" i="6"/>
  <c r="S118" i="6"/>
  <c r="S134" i="6"/>
  <c r="S81" i="6"/>
  <c r="S97" i="6"/>
  <c r="S113" i="6"/>
  <c r="S129" i="6"/>
  <c r="S92" i="6"/>
  <c r="S87" i="6"/>
  <c r="S103" i="6"/>
  <c r="S119" i="6"/>
  <c r="S135" i="6"/>
  <c r="S82" i="6"/>
  <c r="S98" i="6"/>
  <c r="S114" i="6"/>
  <c r="S130" i="6"/>
  <c r="S75" i="6"/>
  <c r="S93" i="6"/>
  <c r="S109" i="6"/>
  <c r="S125" i="6"/>
  <c r="S74" i="6"/>
  <c r="S76" i="6"/>
  <c r="S88" i="6"/>
  <c r="S104" i="6"/>
  <c r="S120" i="6"/>
  <c r="S71" i="6"/>
  <c r="S83" i="6"/>
  <c r="S99" i="6"/>
  <c r="S115" i="6"/>
  <c r="S131" i="6"/>
  <c r="S23" i="6"/>
  <c r="S77" i="6"/>
  <c r="S94" i="6"/>
  <c r="S110" i="6"/>
  <c r="S89" i="6"/>
  <c r="S105" i="6"/>
  <c r="S121" i="6"/>
  <c r="S137" i="6"/>
  <c r="S78" i="6"/>
  <c r="S84" i="6"/>
  <c r="S100" i="6"/>
  <c r="S116" i="6"/>
  <c r="S132" i="6"/>
  <c r="S73" i="6"/>
  <c r="S79" i="6"/>
  <c r="S90" i="6"/>
  <c r="S106" i="6"/>
  <c r="S122" i="6"/>
  <c r="S85" i="6"/>
  <c r="S101" i="6"/>
  <c r="S117" i="6"/>
  <c r="S133" i="6"/>
  <c r="S55" i="6"/>
  <c r="S80" i="6"/>
  <c r="S96" i="6"/>
  <c r="S112" i="6"/>
  <c r="S128" i="6"/>
  <c r="S143" i="6"/>
  <c r="S159" i="6"/>
  <c r="S175" i="6"/>
  <c r="S191" i="6"/>
  <c r="S111" i="6"/>
  <c r="S124" i="6"/>
  <c r="S154" i="6"/>
  <c r="S170" i="6"/>
  <c r="S186" i="6"/>
  <c r="S149" i="6"/>
  <c r="S165" i="6"/>
  <c r="S181" i="6"/>
  <c r="S197" i="6"/>
  <c r="S144" i="6"/>
  <c r="S160" i="6"/>
  <c r="S176" i="6"/>
  <c r="S192" i="6"/>
  <c r="S155" i="6"/>
  <c r="S171" i="6"/>
  <c r="S187" i="6"/>
  <c r="S150" i="6"/>
  <c r="S166" i="6"/>
  <c r="S182" i="6"/>
  <c r="S198" i="6"/>
  <c r="S139" i="6"/>
  <c r="S145" i="6"/>
  <c r="S161" i="6"/>
  <c r="S177" i="6"/>
  <c r="S193" i="6"/>
  <c r="S140" i="6"/>
  <c r="S156" i="6"/>
  <c r="S172" i="6"/>
  <c r="S188" i="6"/>
  <c r="S95" i="6"/>
  <c r="S126" i="6"/>
  <c r="S151" i="6"/>
  <c r="S167" i="6"/>
  <c r="S183" i="6"/>
  <c r="S199" i="6"/>
  <c r="S146" i="6"/>
  <c r="S162" i="6"/>
  <c r="S178" i="6"/>
  <c r="S194" i="6"/>
  <c r="S39" i="6"/>
  <c r="S108" i="6"/>
  <c r="S136" i="6"/>
  <c r="S141" i="6"/>
  <c r="S157" i="6"/>
  <c r="S173" i="6"/>
  <c r="S189" i="6"/>
  <c r="S138" i="6"/>
  <c r="S152" i="6"/>
  <c r="S168" i="6"/>
  <c r="S184" i="6"/>
  <c r="S127" i="6"/>
  <c r="S147" i="6"/>
  <c r="S163" i="6"/>
  <c r="S142" i="6"/>
  <c r="S158" i="6"/>
  <c r="S174" i="6"/>
  <c r="S190" i="6"/>
  <c r="S153" i="6"/>
  <c r="S169" i="6"/>
  <c r="S185" i="6"/>
  <c r="S148" i="6"/>
  <c r="S164" i="6"/>
  <c r="S180" i="6"/>
  <c r="S196" i="6"/>
  <c r="S201" i="6"/>
  <c r="S179" i="6"/>
  <c r="S200" i="6"/>
  <c r="S195" i="6"/>
  <c r="K8" i="6"/>
  <c r="K9" i="6"/>
  <c r="K10" i="6"/>
  <c r="K11" i="6"/>
  <c r="AC1045" i="1"/>
  <c r="AE9" i="6"/>
  <c r="AE12" i="6"/>
  <c r="AE15" i="6"/>
  <c r="AE18" i="6"/>
  <c r="AE21" i="6"/>
  <c r="AE24" i="6"/>
  <c r="AE27" i="6"/>
  <c r="AE30" i="6"/>
  <c r="AE33" i="6"/>
  <c r="AE36" i="6"/>
  <c r="AE39" i="6"/>
  <c r="AE42" i="6"/>
  <c r="AE45" i="6"/>
  <c r="AE48" i="6"/>
  <c r="AE51" i="6"/>
  <c r="AE54" i="6"/>
  <c r="AE57" i="6"/>
  <c r="AE60" i="6"/>
  <c r="AE63" i="6"/>
  <c r="AE66" i="6"/>
  <c r="AE69" i="6"/>
  <c r="AE72" i="6"/>
  <c r="AE75" i="6"/>
  <c r="AE78" i="6"/>
  <c r="AE81" i="6"/>
  <c r="AE84" i="6"/>
  <c r="AE87" i="6"/>
  <c r="AE90" i="6"/>
  <c r="AE93" i="6"/>
  <c r="AE96" i="6"/>
  <c r="AE99" i="6"/>
  <c r="AE102" i="6"/>
  <c r="AE105" i="6"/>
  <c r="AE108" i="6"/>
  <c r="AE111" i="6"/>
  <c r="AE117" i="6"/>
  <c r="AE123" i="6"/>
  <c r="AE129" i="6"/>
  <c r="AE135" i="6"/>
  <c r="AE141" i="6"/>
  <c r="AE147" i="6"/>
  <c r="AE153" i="6"/>
  <c r="AE159" i="6"/>
  <c r="AE162" i="6"/>
  <c r="AE168" i="6"/>
  <c r="AE174" i="6"/>
  <c r="AE180" i="6"/>
  <c r="AE186" i="6"/>
  <c r="AE192" i="6"/>
  <c r="AE198" i="6"/>
  <c r="AE170" i="6"/>
  <c r="AE185" i="6"/>
  <c r="AE200" i="6"/>
  <c r="AE88" i="6"/>
  <c r="AE94" i="6"/>
  <c r="AE100" i="6"/>
  <c r="AE106" i="6"/>
  <c r="AE112" i="6"/>
  <c r="AE118" i="6"/>
  <c r="AE124" i="6"/>
  <c r="AE130" i="6"/>
  <c r="AE136" i="6"/>
  <c r="AE142" i="6"/>
  <c r="AE148" i="6"/>
  <c r="AE154" i="6"/>
  <c r="AE160" i="6"/>
  <c r="AE166" i="6"/>
  <c r="AE172" i="6"/>
  <c r="AE178" i="6"/>
  <c r="AE184" i="6"/>
  <c r="AE190" i="6"/>
  <c r="AE196" i="6"/>
  <c r="AE146" i="6"/>
  <c r="AE155" i="6"/>
  <c r="AE164" i="6"/>
  <c r="AE179" i="6"/>
  <c r="AE194" i="6"/>
  <c r="AE7" i="6"/>
  <c r="AE10" i="6"/>
  <c r="AE13" i="6"/>
  <c r="AE16" i="6"/>
  <c r="AE19" i="6"/>
  <c r="AE22" i="6"/>
  <c r="AE25" i="6"/>
  <c r="AE28" i="6"/>
  <c r="AE31" i="6"/>
  <c r="AE34" i="6"/>
  <c r="AE37" i="6"/>
  <c r="AE40" i="6"/>
  <c r="AE43" i="6"/>
  <c r="AE46" i="6"/>
  <c r="AE49" i="6"/>
  <c r="AE52" i="6"/>
  <c r="AE55" i="6"/>
  <c r="AE58" i="6"/>
  <c r="AE61" i="6"/>
  <c r="AE64" i="6"/>
  <c r="AE67" i="6"/>
  <c r="AE70" i="6"/>
  <c r="AE73" i="6"/>
  <c r="AE76" i="6"/>
  <c r="AE79" i="6"/>
  <c r="AE82" i="6"/>
  <c r="AE85" i="6"/>
  <c r="AE91" i="6"/>
  <c r="AE97" i="6"/>
  <c r="AE103" i="6"/>
  <c r="AE109" i="6"/>
  <c r="AE115" i="6"/>
  <c r="AE121" i="6"/>
  <c r="AE127" i="6"/>
  <c r="AE133" i="6"/>
  <c r="AE139" i="6"/>
  <c r="AE145" i="6"/>
  <c r="AE151" i="6"/>
  <c r="AE157" i="6"/>
  <c r="AE163" i="6"/>
  <c r="AE169" i="6"/>
  <c r="AE175" i="6"/>
  <c r="AE181" i="6"/>
  <c r="AE187" i="6"/>
  <c r="AE193" i="6"/>
  <c r="AE199" i="6"/>
  <c r="AE143" i="6"/>
  <c r="AE152" i="6"/>
  <c r="AE161" i="6"/>
  <c r="AE173" i="6"/>
  <c r="AE188" i="6"/>
  <c r="AE38" i="6"/>
  <c r="AE41" i="6"/>
  <c r="AE44" i="6"/>
  <c r="AE47" i="6"/>
  <c r="AE50" i="6"/>
  <c r="AE53" i="6"/>
  <c r="AE56" i="6"/>
  <c r="AE59" i="6"/>
  <c r="AE62" i="6"/>
  <c r="AE65" i="6"/>
  <c r="AE68" i="6"/>
  <c r="AE71" i="6"/>
  <c r="AE74" i="6"/>
  <c r="AE77" i="6"/>
  <c r="AE80" i="6"/>
  <c r="AE83" i="6"/>
  <c r="AE86" i="6"/>
  <c r="AE89" i="6"/>
  <c r="AE92" i="6"/>
  <c r="AE95" i="6"/>
  <c r="AE98" i="6"/>
  <c r="AE101" i="6"/>
  <c r="AE104" i="6"/>
  <c r="AE107" i="6"/>
  <c r="AE110" i="6"/>
  <c r="AE113" i="6"/>
  <c r="AE116" i="6"/>
  <c r="AE119" i="6"/>
  <c r="AE122" i="6"/>
  <c r="AE125" i="6"/>
  <c r="AE128" i="6"/>
  <c r="AE131" i="6"/>
  <c r="AE134" i="6"/>
  <c r="AE137" i="6"/>
  <c r="AE140" i="6"/>
  <c r="AE149" i="6"/>
  <c r="AE158" i="6"/>
  <c r="AE167" i="6"/>
  <c r="AE182" i="6"/>
  <c r="AE197" i="6"/>
  <c r="AE8" i="6"/>
  <c r="AE11" i="6"/>
  <c r="AE14" i="6"/>
  <c r="AE17" i="6"/>
  <c r="AE20" i="6"/>
  <c r="AE23" i="6"/>
  <c r="AE26" i="6"/>
  <c r="AE29" i="6"/>
  <c r="AE32" i="6"/>
  <c r="AE35" i="6"/>
  <c r="AE114" i="6"/>
  <c r="AE120" i="6"/>
  <c r="AE126" i="6"/>
  <c r="AE132" i="6"/>
  <c r="AE138" i="6"/>
  <c r="AE144" i="6"/>
  <c r="AE150" i="6"/>
  <c r="AE156" i="6"/>
  <c r="AE165" i="6"/>
  <c r="AE171" i="6"/>
  <c r="AE177" i="6"/>
  <c r="AE183" i="6"/>
  <c r="AE189" i="6"/>
  <c r="AE195" i="6"/>
  <c r="AE201" i="6"/>
  <c r="AE176" i="6"/>
  <c r="AE191" i="6"/>
  <c r="L92" i="6"/>
  <c r="L98" i="6"/>
  <c r="L104" i="6"/>
  <c r="L110" i="6"/>
  <c r="L116" i="6"/>
  <c r="L122" i="6"/>
  <c r="L128" i="6"/>
  <c r="L134" i="6"/>
  <c r="L140" i="6"/>
  <c r="L146" i="6"/>
  <c r="L152" i="6"/>
  <c r="L158" i="6"/>
  <c r="L164" i="6"/>
  <c r="L170" i="6"/>
  <c r="L176" i="6"/>
  <c r="L182" i="6"/>
  <c r="L188" i="6"/>
  <c r="L194" i="6"/>
  <c r="L8" i="6"/>
  <c r="L11" i="6"/>
  <c r="L14" i="6"/>
  <c r="L17" i="6"/>
  <c r="L20" i="6"/>
  <c r="L23" i="6"/>
  <c r="L26" i="6"/>
  <c r="L29" i="6"/>
  <c r="L32" i="6"/>
  <c r="L35" i="6"/>
  <c r="L38" i="6"/>
  <c r="L41" i="6"/>
  <c r="L44" i="6"/>
  <c r="L47" i="6"/>
  <c r="L50" i="6"/>
  <c r="L53" i="6"/>
  <c r="L56" i="6"/>
  <c r="L59" i="6"/>
  <c r="L62" i="6"/>
  <c r="L65" i="6"/>
  <c r="L68" i="6"/>
  <c r="L71" i="6"/>
  <c r="L74" i="6"/>
  <c r="L77" i="6"/>
  <c r="L80" i="6"/>
  <c r="L83" i="6"/>
  <c r="L86" i="6"/>
  <c r="L89" i="6"/>
  <c r="L95" i="6"/>
  <c r="L101" i="6"/>
  <c r="L107" i="6"/>
  <c r="L113" i="6"/>
  <c r="L119" i="6"/>
  <c r="L125" i="6"/>
  <c r="L131" i="6"/>
  <c r="L137" i="6"/>
  <c r="L143" i="6"/>
  <c r="L149" i="6"/>
  <c r="L155" i="6"/>
  <c r="L161" i="6"/>
  <c r="L167" i="6"/>
  <c r="L173" i="6"/>
  <c r="L179" i="6"/>
  <c r="L185" i="6"/>
  <c r="L191" i="6"/>
  <c r="L94" i="6"/>
  <c r="L100" i="6"/>
  <c r="L106" i="6"/>
  <c r="L112" i="6"/>
  <c r="L118" i="6"/>
  <c r="L124" i="6"/>
  <c r="L130" i="6"/>
  <c r="L136" i="6"/>
  <c r="L142" i="6"/>
  <c r="L148" i="6"/>
  <c r="L151" i="6"/>
  <c r="L157" i="6"/>
  <c r="L163" i="6"/>
  <c r="L169" i="6"/>
  <c r="L175" i="6"/>
  <c r="L181" i="6"/>
  <c r="L187" i="6"/>
  <c r="L7" i="6"/>
  <c r="L10" i="6"/>
  <c r="L13" i="6"/>
  <c r="L16" i="6"/>
  <c r="L19" i="6"/>
  <c r="L22" i="6"/>
  <c r="L25" i="6"/>
  <c r="L28" i="6"/>
  <c r="L31" i="6"/>
  <c r="L34" i="6"/>
  <c r="L37" i="6"/>
  <c r="L40" i="6"/>
  <c r="L43" i="6"/>
  <c r="L46" i="6"/>
  <c r="L49" i="6"/>
  <c r="L52" i="6"/>
  <c r="L55" i="6"/>
  <c r="L58" i="6"/>
  <c r="L61" i="6"/>
  <c r="L64" i="6"/>
  <c r="L67" i="6"/>
  <c r="L70" i="6"/>
  <c r="L73" i="6"/>
  <c r="L76" i="6"/>
  <c r="L79" i="6"/>
  <c r="L82" i="6"/>
  <c r="L85" i="6"/>
  <c r="L88" i="6"/>
  <c r="L91" i="6"/>
  <c r="L97" i="6"/>
  <c r="L103" i="6"/>
  <c r="L109" i="6"/>
  <c r="L115" i="6"/>
  <c r="L121" i="6"/>
  <c r="L127" i="6"/>
  <c r="L133" i="6"/>
  <c r="L139" i="6"/>
  <c r="L145" i="6"/>
  <c r="L154" i="6"/>
  <c r="L160" i="6"/>
  <c r="L166" i="6"/>
  <c r="L172" i="6"/>
  <c r="L178" i="6"/>
  <c r="L184" i="6"/>
  <c r="L190" i="6"/>
  <c r="L9" i="6"/>
  <c r="L12" i="6"/>
  <c r="L15" i="6"/>
  <c r="L18" i="6"/>
  <c r="L21" i="6"/>
  <c r="L24" i="6"/>
  <c r="L27" i="6"/>
  <c r="L30" i="6"/>
  <c r="L33" i="6"/>
  <c r="L36" i="6"/>
  <c r="L39" i="6"/>
  <c r="L42" i="6"/>
  <c r="L45" i="6"/>
  <c r="L48" i="6"/>
  <c r="L51" i="6"/>
  <c r="L54" i="6"/>
  <c r="L57" i="6"/>
  <c r="L60" i="6"/>
  <c r="L63" i="6"/>
  <c r="L66" i="6"/>
  <c r="L69" i="6"/>
  <c r="L87" i="6"/>
  <c r="L105" i="6"/>
  <c r="L123" i="6"/>
  <c r="L141" i="6"/>
  <c r="L159" i="6"/>
  <c r="L177" i="6"/>
  <c r="L72" i="6"/>
  <c r="L90" i="6"/>
  <c r="L108" i="6"/>
  <c r="L126" i="6"/>
  <c r="L144" i="6"/>
  <c r="L162" i="6"/>
  <c r="L180" i="6"/>
  <c r="L195" i="6"/>
  <c r="L197" i="6"/>
  <c r="L199" i="6"/>
  <c r="L201" i="6"/>
  <c r="L75" i="6"/>
  <c r="L93" i="6"/>
  <c r="L111" i="6"/>
  <c r="L129" i="6"/>
  <c r="L147" i="6"/>
  <c r="L165" i="6"/>
  <c r="L183" i="6"/>
  <c r="L193" i="6"/>
  <c r="L78" i="6"/>
  <c r="L96" i="6"/>
  <c r="L114" i="6"/>
  <c r="L132" i="6"/>
  <c r="L150" i="6"/>
  <c r="L168" i="6"/>
  <c r="L186" i="6"/>
  <c r="L81" i="6"/>
  <c r="L99" i="6"/>
  <c r="L117" i="6"/>
  <c r="L135" i="6"/>
  <c r="L153" i="6"/>
  <c r="L171" i="6"/>
  <c r="L189" i="6"/>
  <c r="L196" i="6"/>
  <c r="L198" i="6"/>
  <c r="L200" i="6"/>
  <c r="L84" i="6"/>
  <c r="L102" i="6"/>
  <c r="L120" i="6"/>
  <c r="L138" i="6"/>
  <c r="L156" i="6"/>
  <c r="L174" i="6"/>
  <c r="L192" i="6"/>
  <c r="G7" i="6"/>
  <c r="G10" i="6"/>
  <c r="G13" i="6"/>
  <c r="G16" i="6"/>
  <c r="G19" i="6"/>
  <c r="G22" i="6"/>
  <c r="G25" i="6"/>
  <c r="G28" i="6"/>
  <c r="G31" i="6"/>
  <c r="G34" i="6"/>
  <c r="G37" i="6"/>
  <c r="G40" i="6"/>
  <c r="G43" i="6"/>
  <c r="G46" i="6"/>
  <c r="G49" i="6"/>
  <c r="G52" i="6"/>
  <c r="G55" i="6"/>
  <c r="G58" i="6"/>
  <c r="G61" i="6"/>
  <c r="G64" i="6"/>
  <c r="G67" i="6"/>
  <c r="G70" i="6"/>
  <c r="G73" i="6"/>
  <c r="G76" i="6"/>
  <c r="G79" i="6"/>
  <c r="G82" i="6"/>
  <c r="G85" i="6"/>
  <c r="G88" i="6"/>
  <c r="G91" i="6"/>
  <c r="G94" i="6"/>
  <c r="G97" i="6"/>
  <c r="G100" i="6"/>
  <c r="G103" i="6"/>
  <c r="G106" i="6"/>
  <c r="G109" i="6"/>
  <c r="G112" i="6"/>
  <c r="G115" i="6"/>
  <c r="G118" i="6"/>
  <c r="G121" i="6"/>
  <c r="G124" i="6"/>
  <c r="G127" i="6"/>
  <c r="G130" i="6"/>
  <c r="G133" i="6"/>
  <c r="G136" i="6"/>
  <c r="G139" i="6"/>
  <c r="G142" i="6"/>
  <c r="G145" i="6"/>
  <c r="G148" i="6"/>
  <c r="G151" i="6"/>
  <c r="G154" i="6"/>
  <c r="G157" i="6"/>
  <c r="G160" i="6"/>
  <c r="G163" i="6"/>
  <c r="G166" i="6"/>
  <c r="G169" i="6"/>
  <c r="G172" i="6"/>
  <c r="G175" i="6"/>
  <c r="G178" i="6"/>
  <c r="G181" i="6"/>
  <c r="G184" i="6"/>
  <c r="G187" i="6"/>
  <c r="G190" i="6"/>
  <c r="G193" i="6"/>
  <c r="G196" i="6"/>
  <c r="G199" i="6"/>
  <c r="G9" i="6"/>
  <c r="G12" i="6"/>
  <c r="G15" i="6"/>
  <c r="G18" i="6"/>
  <c r="G21" i="6"/>
  <c r="G24" i="6"/>
  <c r="G27" i="6"/>
  <c r="G30" i="6"/>
  <c r="G33" i="6"/>
  <c r="G36" i="6"/>
  <c r="G39" i="6"/>
  <c r="G42" i="6"/>
  <c r="G45" i="6"/>
  <c r="G48" i="6"/>
  <c r="G51" i="6"/>
  <c r="G54" i="6"/>
  <c r="G57" i="6"/>
  <c r="G60" i="6"/>
  <c r="G63" i="6"/>
  <c r="G66" i="6"/>
  <c r="G69" i="6"/>
  <c r="G72" i="6"/>
  <c r="G75" i="6"/>
  <c r="G78" i="6"/>
  <c r="G81" i="6"/>
  <c r="G84" i="6"/>
  <c r="G87" i="6"/>
  <c r="G90" i="6"/>
  <c r="G93" i="6"/>
  <c r="G96" i="6"/>
  <c r="G99" i="6"/>
  <c r="G102" i="6"/>
  <c r="G105" i="6"/>
  <c r="G108" i="6"/>
  <c r="G111" i="6"/>
  <c r="G114" i="6"/>
  <c r="G117" i="6"/>
  <c r="G120" i="6"/>
  <c r="G123" i="6"/>
  <c r="G126" i="6"/>
  <c r="G129" i="6"/>
  <c r="G132" i="6"/>
  <c r="G135" i="6"/>
  <c r="G138" i="6"/>
  <c r="G141" i="6"/>
  <c r="G144" i="6"/>
  <c r="G147" i="6"/>
  <c r="G150" i="6"/>
  <c r="G153" i="6"/>
  <c r="G156" i="6"/>
  <c r="G159" i="6"/>
  <c r="G162" i="6"/>
  <c r="G165" i="6"/>
  <c r="G168" i="6"/>
  <c r="G171" i="6"/>
  <c r="G174" i="6"/>
  <c r="G177" i="6"/>
  <c r="G180" i="6"/>
  <c r="G183" i="6"/>
  <c r="G186" i="6"/>
  <c r="G189" i="6"/>
  <c r="G192" i="6"/>
  <c r="G195" i="6"/>
  <c r="G198" i="6"/>
  <c r="G201" i="6"/>
  <c r="G8" i="6"/>
  <c r="G11" i="6"/>
  <c r="G14" i="6"/>
  <c r="G17" i="6"/>
  <c r="G20" i="6"/>
  <c r="G23" i="6"/>
  <c r="G26" i="6"/>
  <c r="G29" i="6"/>
  <c r="G32" i="6"/>
  <c r="G35" i="6"/>
  <c r="G38" i="6"/>
  <c r="G41" i="6"/>
  <c r="G44" i="6"/>
  <c r="G47" i="6"/>
  <c r="G50" i="6"/>
  <c r="G53" i="6"/>
  <c r="G56" i="6"/>
  <c r="G59" i="6"/>
  <c r="G62" i="6"/>
  <c r="G65" i="6"/>
  <c r="G68" i="6"/>
  <c r="G71" i="6"/>
  <c r="G74" i="6"/>
  <c r="G77" i="6"/>
  <c r="G80" i="6"/>
  <c r="G83" i="6"/>
  <c r="G86" i="6"/>
  <c r="G89" i="6"/>
  <c r="G92" i="6"/>
  <c r="G95" i="6"/>
  <c r="G98" i="6"/>
  <c r="G101" i="6"/>
  <c r="G104" i="6"/>
  <c r="G107" i="6"/>
  <c r="G110" i="6"/>
  <c r="G113" i="6"/>
  <c r="G116" i="6"/>
  <c r="G119" i="6"/>
  <c r="G122" i="6"/>
  <c r="G125" i="6"/>
  <c r="G128" i="6"/>
  <c r="G131" i="6"/>
  <c r="G134" i="6"/>
  <c r="G137" i="6"/>
  <c r="G140" i="6"/>
  <c r="G143" i="6"/>
  <c r="G146" i="6"/>
  <c r="G149" i="6"/>
  <c r="G152" i="6"/>
  <c r="G155" i="6"/>
  <c r="G158" i="6"/>
  <c r="G161" i="6"/>
  <c r="G164" i="6"/>
  <c r="G167" i="6"/>
  <c r="G170" i="6"/>
  <c r="G173" i="6"/>
  <c r="G176" i="6"/>
  <c r="G179" i="6"/>
  <c r="G182" i="6"/>
  <c r="G185" i="6"/>
  <c r="G188" i="6"/>
  <c r="G191" i="6"/>
  <c r="G194" i="6"/>
  <c r="G197" i="6"/>
  <c r="G200" i="6"/>
  <c r="AG7" i="6"/>
  <c r="AG8" i="6"/>
  <c r="AG12" i="6"/>
  <c r="AG15" i="6"/>
  <c r="AG18" i="6"/>
  <c r="AG21" i="6"/>
  <c r="AG24" i="6"/>
  <c r="AG27" i="6"/>
  <c r="AG30" i="6"/>
  <c r="AG33" i="6"/>
  <c r="AG36" i="6"/>
  <c r="AG39" i="6"/>
  <c r="AG42" i="6"/>
  <c r="AG45" i="6"/>
  <c r="AG48" i="6"/>
  <c r="AG51" i="6"/>
  <c r="AG9" i="6"/>
  <c r="AG13" i="6"/>
  <c r="AG16" i="6"/>
  <c r="AG19" i="6"/>
  <c r="AG22" i="6"/>
  <c r="AG25" i="6"/>
  <c r="AG28" i="6"/>
  <c r="AG31" i="6"/>
  <c r="AG34" i="6"/>
  <c r="AG37" i="6"/>
  <c r="AG40" i="6"/>
  <c r="AG43" i="6"/>
  <c r="AG46" i="6"/>
  <c r="AG49" i="6"/>
  <c r="AG52" i="6"/>
  <c r="AG10" i="6"/>
  <c r="AG11" i="6"/>
  <c r="AG26" i="6"/>
  <c r="AG44" i="6"/>
  <c r="AG23" i="6"/>
  <c r="AG41" i="6"/>
  <c r="AG54" i="6"/>
  <c r="AG55" i="6"/>
  <c r="AG58" i="6"/>
  <c r="AG61" i="6"/>
  <c r="AG64" i="6"/>
  <c r="AG67" i="6"/>
  <c r="AG70" i="6"/>
  <c r="AG73" i="6"/>
  <c r="AG76" i="6"/>
  <c r="AG79" i="6"/>
  <c r="AG82" i="6"/>
  <c r="AG85" i="6"/>
  <c r="AG88" i="6"/>
  <c r="AG91" i="6"/>
  <c r="AG20" i="6"/>
  <c r="AG38" i="6"/>
  <c r="AG53" i="6"/>
  <c r="AG17" i="6"/>
  <c r="AG35" i="6"/>
  <c r="AG56" i="6"/>
  <c r="AG59" i="6"/>
  <c r="AG62" i="6"/>
  <c r="AG65" i="6"/>
  <c r="AG68" i="6"/>
  <c r="AG71" i="6"/>
  <c r="AG74" i="6"/>
  <c r="AG77" i="6"/>
  <c r="AG80" i="6"/>
  <c r="AG83" i="6"/>
  <c r="AG86" i="6"/>
  <c r="AG89" i="6"/>
  <c r="AG92" i="6"/>
  <c r="AG95" i="6"/>
  <c r="AG14" i="6"/>
  <c r="AG32" i="6"/>
  <c r="AG50" i="6"/>
  <c r="AG29" i="6"/>
  <c r="AG47" i="6"/>
  <c r="AG57" i="6"/>
  <c r="AG60" i="6"/>
  <c r="AG63" i="6"/>
  <c r="AG66" i="6"/>
  <c r="AG69" i="6"/>
  <c r="AG72" i="6"/>
  <c r="AG75" i="6"/>
  <c r="AG78" i="6"/>
  <c r="AG87" i="6"/>
  <c r="AG94" i="6"/>
  <c r="AG97" i="6"/>
  <c r="AG100" i="6"/>
  <c r="AG103" i="6"/>
  <c r="AG106" i="6"/>
  <c r="AG109" i="6"/>
  <c r="AG112" i="6"/>
  <c r="AG115" i="6"/>
  <c r="AG118" i="6"/>
  <c r="AG121" i="6"/>
  <c r="AG124" i="6"/>
  <c r="AG127" i="6"/>
  <c r="AG130" i="6"/>
  <c r="AG133" i="6"/>
  <c r="AG136" i="6"/>
  <c r="AG139" i="6"/>
  <c r="AG142" i="6"/>
  <c r="AG84" i="6"/>
  <c r="AG93" i="6"/>
  <c r="AG81" i="6"/>
  <c r="AG98" i="6"/>
  <c r="AG101" i="6"/>
  <c r="AG104" i="6"/>
  <c r="AG107" i="6"/>
  <c r="AG110" i="6"/>
  <c r="AG113" i="6"/>
  <c r="AG116" i="6"/>
  <c r="AG119" i="6"/>
  <c r="AG122" i="6"/>
  <c r="AG125" i="6"/>
  <c r="AG128" i="6"/>
  <c r="AG131" i="6"/>
  <c r="AG134" i="6"/>
  <c r="AG137" i="6"/>
  <c r="AG140" i="6"/>
  <c r="AG96" i="6"/>
  <c r="AG99" i="6"/>
  <c r="AG102" i="6"/>
  <c r="AG105" i="6"/>
  <c r="AG108" i="6"/>
  <c r="AG111" i="6"/>
  <c r="AG114" i="6"/>
  <c r="AG117" i="6"/>
  <c r="AG120" i="6"/>
  <c r="AG123" i="6"/>
  <c r="AG126" i="6"/>
  <c r="AG129" i="6"/>
  <c r="AG132" i="6"/>
  <c r="AG135" i="6"/>
  <c r="AG138" i="6"/>
  <c r="AG141" i="6"/>
  <c r="AG90" i="6"/>
  <c r="AG143" i="6"/>
  <c r="AG146" i="6"/>
  <c r="AG149" i="6"/>
  <c r="AG152" i="6"/>
  <c r="AG155" i="6"/>
  <c r="AG158" i="6"/>
  <c r="AG161" i="6"/>
  <c r="AG164" i="6"/>
  <c r="AG167" i="6"/>
  <c r="AG170" i="6"/>
  <c r="AG173" i="6"/>
  <c r="AG176" i="6"/>
  <c r="AG179" i="6"/>
  <c r="AG182" i="6"/>
  <c r="AG185" i="6"/>
  <c r="AG188" i="6"/>
  <c r="AG191" i="6"/>
  <c r="AG144" i="6"/>
  <c r="AG147" i="6"/>
  <c r="AG150" i="6"/>
  <c r="AG153" i="6"/>
  <c r="AG156" i="6"/>
  <c r="AG159" i="6"/>
  <c r="AG162" i="6"/>
  <c r="AG165" i="6"/>
  <c r="AG168" i="6"/>
  <c r="AG171" i="6"/>
  <c r="AG174" i="6"/>
  <c r="AG177" i="6"/>
  <c r="AG180" i="6"/>
  <c r="AG183" i="6"/>
  <c r="AG186" i="6"/>
  <c r="AG189" i="6"/>
  <c r="AG192" i="6"/>
  <c r="AG145" i="6"/>
  <c r="AG148" i="6"/>
  <c r="AG151" i="6"/>
  <c r="AG154" i="6"/>
  <c r="AG157" i="6"/>
  <c r="AG160" i="6"/>
  <c r="AG163" i="6"/>
  <c r="AG166" i="6"/>
  <c r="AG169" i="6"/>
  <c r="AG172" i="6"/>
  <c r="AG175" i="6"/>
  <c r="AG178" i="6"/>
  <c r="AG181" i="6"/>
  <c r="AG184" i="6"/>
  <c r="AG187" i="6"/>
  <c r="AG190" i="6"/>
  <c r="AG196" i="6"/>
  <c r="AG199" i="6"/>
  <c r="AG193" i="6"/>
  <c r="AG194" i="6"/>
  <c r="AG197" i="6"/>
  <c r="AG200" i="6"/>
  <c r="AG195" i="6"/>
  <c r="AG198" i="6"/>
  <c r="AG201" i="6"/>
  <c r="W10" i="6"/>
  <c r="W6" i="6"/>
  <c r="W11" i="6"/>
  <c r="W14" i="6"/>
  <c r="W17" i="6"/>
  <c r="W20" i="6"/>
  <c r="W23" i="6"/>
  <c r="W26" i="6"/>
  <c r="W29" i="6"/>
  <c r="W32" i="6"/>
  <c r="W35" i="6"/>
  <c r="W38" i="6"/>
  <c r="W41" i="6"/>
  <c r="W44" i="6"/>
  <c r="W47" i="6"/>
  <c r="W50" i="6"/>
  <c r="W53" i="6"/>
  <c r="W7" i="6"/>
  <c r="W8" i="6"/>
  <c r="W12" i="6"/>
  <c r="W15" i="6"/>
  <c r="W18" i="6"/>
  <c r="W21" i="6"/>
  <c r="W24" i="6"/>
  <c r="W27" i="6"/>
  <c r="W30" i="6"/>
  <c r="W33" i="6"/>
  <c r="W36" i="6"/>
  <c r="W39" i="6"/>
  <c r="W42" i="6"/>
  <c r="W45" i="6"/>
  <c r="W48" i="6"/>
  <c r="W51" i="6"/>
  <c r="W54" i="6"/>
  <c r="W9" i="6"/>
  <c r="W13" i="6"/>
  <c r="W16" i="6"/>
  <c r="W34" i="6"/>
  <c r="W52" i="6"/>
  <c r="W31" i="6"/>
  <c r="W49" i="6"/>
  <c r="W57" i="6"/>
  <c r="W60" i="6"/>
  <c r="W63" i="6"/>
  <c r="W66" i="6"/>
  <c r="W69" i="6"/>
  <c r="W72" i="6"/>
  <c r="W75" i="6"/>
  <c r="W78" i="6"/>
  <c r="W81" i="6"/>
  <c r="W84" i="6"/>
  <c r="W87" i="6"/>
  <c r="W90" i="6"/>
  <c r="W93" i="6"/>
  <c r="W28" i="6"/>
  <c r="W46" i="6"/>
  <c r="W25" i="6"/>
  <c r="W43" i="6"/>
  <c r="W55" i="6"/>
  <c r="W58" i="6"/>
  <c r="W61" i="6"/>
  <c r="W64" i="6"/>
  <c r="W67" i="6"/>
  <c r="W70" i="6"/>
  <c r="W73" i="6"/>
  <c r="W76" i="6"/>
  <c r="W79" i="6"/>
  <c r="W82" i="6"/>
  <c r="W85" i="6"/>
  <c r="W88" i="6"/>
  <c r="W91" i="6"/>
  <c r="W94" i="6"/>
  <c r="W22" i="6"/>
  <c r="W40" i="6"/>
  <c r="W19" i="6"/>
  <c r="W37" i="6"/>
  <c r="W56" i="6"/>
  <c r="W59" i="6"/>
  <c r="W62" i="6"/>
  <c r="W65" i="6"/>
  <c r="W68" i="6"/>
  <c r="W71" i="6"/>
  <c r="W74" i="6"/>
  <c r="W77" i="6"/>
  <c r="W80" i="6"/>
  <c r="W96" i="6"/>
  <c r="W99" i="6"/>
  <c r="W102" i="6"/>
  <c r="W105" i="6"/>
  <c r="W108" i="6"/>
  <c r="W111" i="6"/>
  <c r="W114" i="6"/>
  <c r="W117" i="6"/>
  <c r="W120" i="6"/>
  <c r="W123" i="6"/>
  <c r="W126" i="6"/>
  <c r="W129" i="6"/>
  <c r="W132" i="6"/>
  <c r="W135" i="6"/>
  <c r="W138" i="6"/>
  <c r="W141" i="6"/>
  <c r="W92" i="6"/>
  <c r="W89" i="6"/>
  <c r="W97" i="6"/>
  <c r="W100" i="6"/>
  <c r="W103" i="6"/>
  <c r="W106" i="6"/>
  <c r="W109" i="6"/>
  <c r="W112" i="6"/>
  <c r="W115" i="6"/>
  <c r="W118" i="6"/>
  <c r="W121" i="6"/>
  <c r="W124" i="6"/>
  <c r="W127" i="6"/>
  <c r="W130" i="6"/>
  <c r="W133" i="6"/>
  <c r="W136" i="6"/>
  <c r="W139" i="6"/>
  <c r="W142" i="6"/>
  <c r="W86" i="6"/>
  <c r="W83" i="6"/>
  <c r="W98" i="6"/>
  <c r="W101" i="6"/>
  <c r="W104" i="6"/>
  <c r="W107" i="6"/>
  <c r="W110" i="6"/>
  <c r="W113" i="6"/>
  <c r="W116" i="6"/>
  <c r="W119" i="6"/>
  <c r="W122" i="6"/>
  <c r="W125" i="6"/>
  <c r="W128" i="6"/>
  <c r="W131" i="6"/>
  <c r="W134" i="6"/>
  <c r="W137" i="6"/>
  <c r="W140" i="6"/>
  <c r="W95" i="6"/>
  <c r="W145" i="6"/>
  <c r="W148" i="6"/>
  <c r="W151" i="6"/>
  <c r="W154" i="6"/>
  <c r="W157" i="6"/>
  <c r="W160" i="6"/>
  <c r="W163" i="6"/>
  <c r="W166" i="6"/>
  <c r="W169" i="6"/>
  <c r="W172" i="6"/>
  <c r="W175" i="6"/>
  <c r="W178" i="6"/>
  <c r="W181" i="6"/>
  <c r="W184" i="6"/>
  <c r="W187" i="6"/>
  <c r="W190" i="6"/>
  <c r="W193" i="6"/>
  <c r="W143" i="6"/>
  <c r="W146" i="6"/>
  <c r="W149" i="6"/>
  <c r="W152" i="6"/>
  <c r="W155" i="6"/>
  <c r="W158" i="6"/>
  <c r="W161" i="6"/>
  <c r="W164" i="6"/>
  <c r="W167" i="6"/>
  <c r="W170" i="6"/>
  <c r="W173" i="6"/>
  <c r="W176" i="6"/>
  <c r="W179" i="6"/>
  <c r="W182" i="6"/>
  <c r="W185" i="6"/>
  <c r="W188" i="6"/>
  <c r="W191" i="6"/>
  <c r="W144" i="6"/>
  <c r="W147" i="6"/>
  <c r="W150" i="6"/>
  <c r="W153" i="6"/>
  <c r="W156" i="6"/>
  <c r="W159" i="6"/>
  <c r="W162" i="6"/>
  <c r="W165" i="6"/>
  <c r="W168" i="6"/>
  <c r="W171" i="6"/>
  <c r="W174" i="6"/>
  <c r="W177" i="6"/>
  <c r="W180" i="6"/>
  <c r="W183" i="6"/>
  <c r="W186" i="6"/>
  <c r="W189" i="6"/>
  <c r="W192" i="6"/>
  <c r="W195" i="6"/>
  <c r="W198" i="6"/>
  <c r="W201" i="6"/>
  <c r="W196" i="6"/>
  <c r="W199" i="6"/>
  <c r="W194" i="6"/>
  <c r="W197" i="6"/>
  <c r="W200" i="6"/>
  <c r="I8" i="6"/>
  <c r="I7" i="6"/>
  <c r="I12" i="6"/>
  <c r="I15" i="6"/>
  <c r="I18" i="6"/>
  <c r="I21" i="6"/>
  <c r="I24" i="6"/>
  <c r="I27" i="6"/>
  <c r="I30" i="6"/>
  <c r="I33" i="6"/>
  <c r="I36" i="6"/>
  <c r="I39" i="6"/>
  <c r="I42" i="6"/>
  <c r="I45" i="6"/>
  <c r="I48" i="6"/>
  <c r="I51" i="6"/>
  <c r="I54" i="6"/>
  <c r="I9" i="6"/>
  <c r="I11" i="6"/>
  <c r="I13" i="6"/>
  <c r="I16" i="6"/>
  <c r="I19" i="6"/>
  <c r="I22" i="6"/>
  <c r="I25" i="6"/>
  <c r="I28" i="6"/>
  <c r="I31" i="6"/>
  <c r="I34" i="6"/>
  <c r="I37" i="6"/>
  <c r="I40" i="6"/>
  <c r="I43" i="6"/>
  <c r="I46" i="6"/>
  <c r="I49" i="6"/>
  <c r="I52" i="6"/>
  <c r="I55" i="6"/>
  <c r="I10" i="6"/>
  <c r="I6" i="6"/>
  <c r="I14" i="6"/>
  <c r="I26" i="6"/>
  <c r="I44" i="6"/>
  <c r="I23" i="6"/>
  <c r="I41" i="6"/>
  <c r="I58" i="6"/>
  <c r="I61" i="6"/>
  <c r="I64" i="6"/>
  <c r="I67" i="6"/>
  <c r="I70" i="6"/>
  <c r="I73" i="6"/>
  <c r="I76" i="6"/>
  <c r="I79" i="6"/>
  <c r="I82" i="6"/>
  <c r="I85" i="6"/>
  <c r="I88" i="6"/>
  <c r="I91" i="6"/>
  <c r="I20" i="6"/>
  <c r="I38" i="6"/>
  <c r="I17" i="6"/>
  <c r="I35" i="6"/>
  <c r="I56" i="6"/>
  <c r="I59" i="6"/>
  <c r="I62" i="6"/>
  <c r="I65" i="6"/>
  <c r="I68" i="6"/>
  <c r="I71" i="6"/>
  <c r="I74" i="6"/>
  <c r="I77" i="6"/>
  <c r="I80" i="6"/>
  <c r="I83" i="6"/>
  <c r="I86" i="6"/>
  <c r="I89" i="6"/>
  <c r="I92" i="6"/>
  <c r="I95" i="6"/>
  <c r="I32" i="6"/>
  <c r="I50" i="6"/>
  <c r="I53" i="6"/>
  <c r="I29" i="6"/>
  <c r="I47" i="6"/>
  <c r="I57" i="6"/>
  <c r="I60" i="6"/>
  <c r="I63" i="6"/>
  <c r="I66" i="6"/>
  <c r="I69" i="6"/>
  <c r="I72" i="6"/>
  <c r="I75" i="6"/>
  <c r="I78" i="6"/>
  <c r="I81" i="6"/>
  <c r="I87" i="6"/>
  <c r="I97" i="6"/>
  <c r="I100" i="6"/>
  <c r="I103" i="6"/>
  <c r="I106" i="6"/>
  <c r="I109" i="6"/>
  <c r="I112" i="6"/>
  <c r="I115" i="6"/>
  <c r="I118" i="6"/>
  <c r="I121" i="6"/>
  <c r="I124" i="6"/>
  <c r="I127" i="6"/>
  <c r="I130" i="6"/>
  <c r="I133" i="6"/>
  <c r="I136" i="6"/>
  <c r="I139" i="6"/>
  <c r="I142" i="6"/>
  <c r="I84" i="6"/>
  <c r="I98" i="6"/>
  <c r="I101" i="6"/>
  <c r="I104" i="6"/>
  <c r="I107" i="6"/>
  <c r="I110" i="6"/>
  <c r="I113" i="6"/>
  <c r="I116" i="6"/>
  <c r="I119" i="6"/>
  <c r="I122" i="6"/>
  <c r="I125" i="6"/>
  <c r="I128" i="6"/>
  <c r="I131" i="6"/>
  <c r="I134" i="6"/>
  <c r="I137" i="6"/>
  <c r="I140" i="6"/>
  <c r="I143" i="6"/>
  <c r="I94" i="6"/>
  <c r="I93" i="6"/>
  <c r="I96" i="6"/>
  <c r="I99" i="6"/>
  <c r="I102" i="6"/>
  <c r="I105" i="6"/>
  <c r="I108" i="6"/>
  <c r="I111" i="6"/>
  <c r="I114" i="6"/>
  <c r="I117" i="6"/>
  <c r="I120" i="6"/>
  <c r="I123" i="6"/>
  <c r="I126" i="6"/>
  <c r="I129" i="6"/>
  <c r="I132" i="6"/>
  <c r="I135" i="6"/>
  <c r="I138" i="6"/>
  <c r="I141" i="6"/>
  <c r="I90" i="6"/>
  <c r="I146" i="6"/>
  <c r="I149" i="6"/>
  <c r="I152" i="6"/>
  <c r="I155" i="6"/>
  <c r="I158" i="6"/>
  <c r="I161" i="6"/>
  <c r="I164" i="6"/>
  <c r="I167" i="6"/>
  <c r="I170" i="6"/>
  <c r="I173" i="6"/>
  <c r="I176" i="6"/>
  <c r="I179" i="6"/>
  <c r="I182" i="6"/>
  <c r="I185" i="6"/>
  <c r="I188" i="6"/>
  <c r="I191" i="6"/>
  <c r="I194" i="6"/>
  <c r="I144" i="6"/>
  <c r="I147" i="6"/>
  <c r="I150" i="6"/>
  <c r="I153" i="6"/>
  <c r="I156" i="6"/>
  <c r="I159" i="6"/>
  <c r="I162" i="6"/>
  <c r="I165" i="6"/>
  <c r="I168" i="6"/>
  <c r="I171" i="6"/>
  <c r="I174" i="6"/>
  <c r="I177" i="6"/>
  <c r="I180" i="6"/>
  <c r="I183" i="6"/>
  <c r="I186" i="6"/>
  <c r="I189" i="6"/>
  <c r="I192" i="6"/>
  <c r="I145" i="6"/>
  <c r="I148" i="6"/>
  <c r="I151" i="6"/>
  <c r="I154" i="6"/>
  <c r="I157" i="6"/>
  <c r="I160" i="6"/>
  <c r="I163" i="6"/>
  <c r="I166" i="6"/>
  <c r="I169" i="6"/>
  <c r="I172" i="6"/>
  <c r="I175" i="6"/>
  <c r="I178" i="6"/>
  <c r="I181" i="6"/>
  <c r="I184" i="6"/>
  <c r="I187" i="6"/>
  <c r="I190" i="6"/>
  <c r="I196" i="6"/>
  <c r="I199" i="6"/>
  <c r="I197" i="6"/>
  <c r="I200" i="6"/>
  <c r="I193" i="6"/>
  <c r="I195" i="6"/>
  <c r="I198" i="6"/>
  <c r="I201" i="6"/>
  <c r="C11" i="6"/>
  <c r="C7" i="6"/>
  <c r="C12" i="6"/>
  <c r="C15" i="6"/>
  <c r="C18" i="6"/>
  <c r="C21" i="6"/>
  <c r="C24" i="6"/>
  <c r="C27" i="6"/>
  <c r="C30" i="6"/>
  <c r="C33" i="6"/>
  <c r="C36" i="6"/>
  <c r="C39" i="6"/>
  <c r="C42" i="6"/>
  <c r="C45" i="6"/>
  <c r="C48" i="6"/>
  <c r="C51" i="6"/>
  <c r="C54" i="6"/>
  <c r="C8" i="6"/>
  <c r="C9" i="6"/>
  <c r="C13" i="6"/>
  <c r="C16" i="6"/>
  <c r="C19" i="6"/>
  <c r="C22" i="6"/>
  <c r="C25" i="6"/>
  <c r="C28" i="6"/>
  <c r="C31" i="6"/>
  <c r="C34" i="6"/>
  <c r="C37" i="6"/>
  <c r="C40" i="6"/>
  <c r="C43" i="6"/>
  <c r="C46" i="6"/>
  <c r="C49" i="6"/>
  <c r="C52" i="6"/>
  <c r="C55" i="6"/>
  <c r="C10" i="6"/>
  <c r="C14" i="6"/>
  <c r="C29" i="6"/>
  <c r="C47" i="6"/>
  <c r="C26" i="6"/>
  <c r="C44" i="6"/>
  <c r="C58" i="6"/>
  <c r="C61" i="6"/>
  <c r="C64" i="6"/>
  <c r="C67" i="6"/>
  <c r="C70" i="6"/>
  <c r="C73" i="6"/>
  <c r="C76" i="6"/>
  <c r="C79" i="6"/>
  <c r="C82" i="6"/>
  <c r="C85" i="6"/>
  <c r="C88" i="6"/>
  <c r="C91" i="6"/>
  <c r="C23" i="6"/>
  <c r="C41" i="6"/>
  <c r="C20" i="6"/>
  <c r="C38" i="6"/>
  <c r="C56" i="6"/>
  <c r="C59" i="6"/>
  <c r="C62" i="6"/>
  <c r="C65" i="6"/>
  <c r="C68" i="6"/>
  <c r="C71" i="6"/>
  <c r="C74" i="6"/>
  <c r="C77" i="6"/>
  <c r="C80" i="6"/>
  <c r="C83" i="6"/>
  <c r="C86" i="6"/>
  <c r="C89" i="6"/>
  <c r="C92" i="6"/>
  <c r="C95" i="6"/>
  <c r="C17" i="6"/>
  <c r="C35" i="6"/>
  <c r="C53" i="6"/>
  <c r="C32" i="6"/>
  <c r="C50" i="6"/>
  <c r="C57" i="6"/>
  <c r="C60" i="6"/>
  <c r="C63" i="6"/>
  <c r="C66" i="6"/>
  <c r="C69" i="6"/>
  <c r="C72" i="6"/>
  <c r="C75" i="6"/>
  <c r="C78" i="6"/>
  <c r="C81" i="6"/>
  <c r="C90" i="6"/>
  <c r="C97" i="6"/>
  <c r="C100" i="6"/>
  <c r="C103" i="6"/>
  <c r="C106" i="6"/>
  <c r="C109" i="6"/>
  <c r="C112" i="6"/>
  <c r="C115" i="6"/>
  <c r="C118" i="6"/>
  <c r="C121" i="6"/>
  <c r="C124" i="6"/>
  <c r="C127" i="6"/>
  <c r="C130" i="6"/>
  <c r="C133" i="6"/>
  <c r="C136" i="6"/>
  <c r="C139" i="6"/>
  <c r="C142" i="6"/>
  <c r="C87" i="6"/>
  <c r="C84" i="6"/>
  <c r="C98" i="6"/>
  <c r="C101" i="6"/>
  <c r="C104" i="6"/>
  <c r="C107" i="6"/>
  <c r="C110" i="6"/>
  <c r="C113" i="6"/>
  <c r="C116" i="6"/>
  <c r="C119" i="6"/>
  <c r="C122" i="6"/>
  <c r="C125" i="6"/>
  <c r="C128" i="6"/>
  <c r="C131" i="6"/>
  <c r="C134" i="6"/>
  <c r="C137" i="6"/>
  <c r="C140" i="6"/>
  <c r="C143" i="6"/>
  <c r="C94" i="6"/>
  <c r="C96" i="6"/>
  <c r="C99" i="6"/>
  <c r="C102" i="6"/>
  <c r="C105" i="6"/>
  <c r="C108" i="6"/>
  <c r="C111" i="6"/>
  <c r="C114" i="6"/>
  <c r="C117" i="6"/>
  <c r="C120" i="6"/>
  <c r="C123" i="6"/>
  <c r="C126" i="6"/>
  <c r="C129" i="6"/>
  <c r="C132" i="6"/>
  <c r="C135" i="6"/>
  <c r="C138" i="6"/>
  <c r="C141" i="6"/>
  <c r="C93" i="6"/>
  <c r="C146" i="6"/>
  <c r="C149" i="6"/>
  <c r="C152" i="6"/>
  <c r="C155" i="6"/>
  <c r="C158" i="6"/>
  <c r="C161" i="6"/>
  <c r="C164" i="6"/>
  <c r="C167" i="6"/>
  <c r="C170" i="6"/>
  <c r="C173" i="6"/>
  <c r="C176" i="6"/>
  <c r="C179" i="6"/>
  <c r="C182" i="6"/>
  <c r="C185" i="6"/>
  <c r="C188" i="6"/>
  <c r="C191" i="6"/>
  <c r="C194" i="6"/>
  <c r="C144" i="6"/>
  <c r="C147" i="6"/>
  <c r="C150" i="6"/>
  <c r="C153" i="6"/>
  <c r="C156" i="6"/>
  <c r="C159" i="6"/>
  <c r="C162" i="6"/>
  <c r="C165" i="6"/>
  <c r="C168" i="6"/>
  <c r="C171" i="6"/>
  <c r="C174" i="6"/>
  <c r="C177" i="6"/>
  <c r="C180" i="6"/>
  <c r="C183" i="6"/>
  <c r="C186" i="6"/>
  <c r="C189" i="6"/>
  <c r="C192" i="6"/>
  <c r="C145" i="6"/>
  <c r="C148" i="6"/>
  <c r="C151" i="6"/>
  <c r="C154" i="6"/>
  <c r="C157" i="6"/>
  <c r="C160" i="6"/>
  <c r="C163" i="6"/>
  <c r="C166" i="6"/>
  <c r="C169" i="6"/>
  <c r="C172" i="6"/>
  <c r="C175" i="6"/>
  <c r="C178" i="6"/>
  <c r="C181" i="6"/>
  <c r="C184" i="6"/>
  <c r="C187" i="6"/>
  <c r="C190" i="6"/>
  <c r="C196" i="6"/>
  <c r="C199" i="6"/>
  <c r="C197" i="6"/>
  <c r="C200" i="6"/>
  <c r="C193" i="6"/>
  <c r="C195" i="6"/>
  <c r="C198" i="6"/>
  <c r="C201" i="6"/>
  <c r="T7" i="6"/>
  <c r="T8" i="6"/>
  <c r="T12" i="6"/>
  <c r="T15" i="6"/>
  <c r="T18" i="6"/>
  <c r="T21" i="6"/>
  <c r="T24" i="6"/>
  <c r="T27" i="6"/>
  <c r="T30" i="6"/>
  <c r="T33" i="6"/>
  <c r="T36" i="6"/>
  <c r="T39" i="6"/>
  <c r="T42" i="6"/>
  <c r="T45" i="6"/>
  <c r="T48" i="6"/>
  <c r="T51" i="6"/>
  <c r="T9" i="6"/>
  <c r="T13" i="6"/>
  <c r="T16" i="6"/>
  <c r="T19" i="6"/>
  <c r="T22" i="6"/>
  <c r="T25" i="6"/>
  <c r="T28" i="6"/>
  <c r="T31" i="6"/>
  <c r="T34" i="6"/>
  <c r="T37" i="6"/>
  <c r="T40" i="6"/>
  <c r="T43" i="6"/>
  <c r="T46" i="6"/>
  <c r="T49" i="6"/>
  <c r="T52" i="6"/>
  <c r="T10" i="6"/>
  <c r="T6" i="6"/>
  <c r="T11" i="6"/>
  <c r="T14" i="6"/>
  <c r="T17" i="6"/>
  <c r="T20" i="6"/>
  <c r="T23" i="6"/>
  <c r="T26" i="6"/>
  <c r="T29" i="6"/>
  <c r="T32" i="6"/>
  <c r="T35" i="6"/>
  <c r="T38" i="6"/>
  <c r="T41" i="6"/>
  <c r="T44" i="6"/>
  <c r="T47" i="6"/>
  <c r="T50" i="6"/>
  <c r="T55" i="6"/>
  <c r="T58" i="6"/>
  <c r="T61" i="6"/>
  <c r="T64" i="6"/>
  <c r="T67" i="6"/>
  <c r="T70" i="6"/>
  <c r="T73" i="6"/>
  <c r="T76" i="6"/>
  <c r="T79" i="6"/>
  <c r="T82" i="6"/>
  <c r="T85" i="6"/>
  <c r="T88" i="6"/>
  <c r="T91" i="6"/>
  <c r="T54" i="6"/>
  <c r="T53" i="6"/>
  <c r="T56" i="6"/>
  <c r="T59" i="6"/>
  <c r="T62" i="6"/>
  <c r="T65" i="6"/>
  <c r="T68" i="6"/>
  <c r="T71" i="6"/>
  <c r="T74" i="6"/>
  <c r="T77" i="6"/>
  <c r="T80" i="6"/>
  <c r="T83" i="6"/>
  <c r="T86" i="6"/>
  <c r="T89" i="6"/>
  <c r="T92" i="6"/>
  <c r="T95" i="6"/>
  <c r="T57" i="6"/>
  <c r="T60" i="6"/>
  <c r="T63" i="6"/>
  <c r="T66" i="6"/>
  <c r="T69" i="6"/>
  <c r="T72" i="6"/>
  <c r="T75" i="6"/>
  <c r="T78" i="6"/>
  <c r="T81" i="6"/>
  <c r="T84" i="6"/>
  <c r="T87" i="6"/>
  <c r="T90" i="6"/>
  <c r="T93" i="6"/>
  <c r="T94" i="6"/>
  <c r="T98" i="6"/>
  <c r="T101" i="6"/>
  <c r="T104" i="6"/>
  <c r="T107" i="6"/>
  <c r="T110" i="6"/>
  <c r="T113" i="6"/>
  <c r="T116" i="6"/>
  <c r="T119" i="6"/>
  <c r="T122" i="6"/>
  <c r="T125" i="6"/>
  <c r="T128" i="6"/>
  <c r="T131" i="6"/>
  <c r="T134" i="6"/>
  <c r="T137" i="6"/>
  <c r="T140" i="6"/>
  <c r="T96" i="6"/>
  <c r="T99" i="6"/>
  <c r="T102" i="6"/>
  <c r="T105" i="6"/>
  <c r="T108" i="6"/>
  <c r="T111" i="6"/>
  <c r="T114" i="6"/>
  <c r="T117" i="6"/>
  <c r="T120" i="6"/>
  <c r="T123" i="6"/>
  <c r="T126" i="6"/>
  <c r="T129" i="6"/>
  <c r="T132" i="6"/>
  <c r="T135" i="6"/>
  <c r="T138" i="6"/>
  <c r="T141" i="6"/>
  <c r="T97" i="6"/>
  <c r="T100" i="6"/>
  <c r="T103" i="6"/>
  <c r="T106" i="6"/>
  <c r="T109" i="6"/>
  <c r="T112" i="6"/>
  <c r="T115" i="6"/>
  <c r="T118" i="6"/>
  <c r="T121" i="6"/>
  <c r="T124" i="6"/>
  <c r="T127" i="6"/>
  <c r="T130" i="6"/>
  <c r="T133" i="6"/>
  <c r="T136" i="6"/>
  <c r="T139" i="6"/>
  <c r="T143" i="6"/>
  <c r="T146" i="6"/>
  <c r="T149" i="6"/>
  <c r="T152" i="6"/>
  <c r="T155" i="6"/>
  <c r="T158" i="6"/>
  <c r="T161" i="6"/>
  <c r="T164" i="6"/>
  <c r="T167" i="6"/>
  <c r="T170" i="6"/>
  <c r="T173" i="6"/>
  <c r="T176" i="6"/>
  <c r="T179" i="6"/>
  <c r="T182" i="6"/>
  <c r="T185" i="6"/>
  <c r="T188" i="6"/>
  <c r="T191" i="6"/>
  <c r="T144" i="6"/>
  <c r="T147" i="6"/>
  <c r="T150" i="6"/>
  <c r="T153" i="6"/>
  <c r="T156" i="6"/>
  <c r="T159" i="6"/>
  <c r="T162" i="6"/>
  <c r="T165" i="6"/>
  <c r="T168" i="6"/>
  <c r="T171" i="6"/>
  <c r="T174" i="6"/>
  <c r="T177" i="6"/>
  <c r="T180" i="6"/>
  <c r="T183" i="6"/>
  <c r="T186" i="6"/>
  <c r="T189" i="6"/>
  <c r="T192" i="6"/>
  <c r="T142" i="6"/>
  <c r="T145" i="6"/>
  <c r="T148" i="6"/>
  <c r="T151" i="6"/>
  <c r="T154" i="6"/>
  <c r="T157" i="6"/>
  <c r="T160" i="6"/>
  <c r="T163" i="6"/>
  <c r="T166" i="6"/>
  <c r="T169" i="6"/>
  <c r="T172" i="6"/>
  <c r="T175" i="6"/>
  <c r="T178" i="6"/>
  <c r="T181" i="6"/>
  <c r="T184" i="6"/>
  <c r="T187" i="6"/>
  <c r="T190" i="6"/>
  <c r="T196" i="6"/>
  <c r="T199" i="6"/>
  <c r="T194" i="6"/>
  <c r="T197" i="6"/>
  <c r="T200" i="6"/>
  <c r="T193" i="6"/>
  <c r="T195" i="6"/>
  <c r="T198" i="6"/>
  <c r="T201" i="6"/>
  <c r="M9" i="6"/>
  <c r="M13" i="6"/>
  <c r="M16" i="6"/>
  <c r="M19" i="6"/>
  <c r="M22" i="6"/>
  <c r="M25" i="6"/>
  <c r="M28" i="6"/>
  <c r="M31" i="6"/>
  <c r="M34" i="6"/>
  <c r="M37" i="6"/>
  <c r="M40" i="6"/>
  <c r="M43" i="6"/>
  <c r="M46" i="6"/>
  <c r="M49" i="6"/>
  <c r="M52" i="6"/>
  <c r="M10" i="6"/>
  <c r="M6" i="6"/>
  <c r="M11" i="6"/>
  <c r="M14" i="6"/>
  <c r="M17" i="6"/>
  <c r="M20" i="6"/>
  <c r="M23" i="6"/>
  <c r="M26" i="6"/>
  <c r="M29" i="6"/>
  <c r="M32" i="6"/>
  <c r="M35" i="6"/>
  <c r="M38" i="6"/>
  <c r="M41" i="6"/>
  <c r="M44" i="6"/>
  <c r="M47" i="6"/>
  <c r="M50" i="6"/>
  <c r="M53" i="6"/>
  <c r="M7" i="6"/>
  <c r="M8" i="6"/>
  <c r="M12" i="6"/>
  <c r="M18" i="6"/>
  <c r="M36" i="6"/>
  <c r="M54" i="6"/>
  <c r="M15" i="6"/>
  <c r="M33" i="6"/>
  <c r="M51" i="6"/>
  <c r="M56" i="6"/>
  <c r="M59" i="6"/>
  <c r="M62" i="6"/>
  <c r="M65" i="6"/>
  <c r="M68" i="6"/>
  <c r="M71" i="6"/>
  <c r="M74" i="6"/>
  <c r="M77" i="6"/>
  <c r="M80" i="6"/>
  <c r="M83" i="6"/>
  <c r="M86" i="6"/>
  <c r="M89" i="6"/>
  <c r="M92" i="6"/>
  <c r="M30" i="6"/>
  <c r="M48" i="6"/>
  <c r="M27" i="6"/>
  <c r="M45" i="6"/>
  <c r="M57" i="6"/>
  <c r="M60" i="6"/>
  <c r="M63" i="6"/>
  <c r="M66" i="6"/>
  <c r="M69" i="6"/>
  <c r="M72" i="6"/>
  <c r="M75" i="6"/>
  <c r="M78" i="6"/>
  <c r="M81" i="6"/>
  <c r="M84" i="6"/>
  <c r="M87" i="6"/>
  <c r="M90" i="6"/>
  <c r="M93" i="6"/>
  <c r="M24" i="6"/>
  <c r="M42" i="6"/>
  <c r="M21" i="6"/>
  <c r="M39" i="6"/>
  <c r="M55" i="6"/>
  <c r="M58" i="6"/>
  <c r="M61" i="6"/>
  <c r="M64" i="6"/>
  <c r="M67" i="6"/>
  <c r="M70" i="6"/>
  <c r="M73" i="6"/>
  <c r="M76" i="6"/>
  <c r="M79" i="6"/>
  <c r="M98" i="6"/>
  <c r="M101" i="6"/>
  <c r="M104" i="6"/>
  <c r="M107" i="6"/>
  <c r="M110" i="6"/>
  <c r="M113" i="6"/>
  <c r="M116" i="6"/>
  <c r="M119" i="6"/>
  <c r="M122" i="6"/>
  <c r="M125" i="6"/>
  <c r="M128" i="6"/>
  <c r="M131" i="6"/>
  <c r="M134" i="6"/>
  <c r="M137" i="6"/>
  <c r="M140" i="6"/>
  <c r="M143" i="6"/>
  <c r="M94" i="6"/>
  <c r="M91" i="6"/>
  <c r="M96" i="6"/>
  <c r="M99" i="6"/>
  <c r="M102" i="6"/>
  <c r="M105" i="6"/>
  <c r="M108" i="6"/>
  <c r="M111" i="6"/>
  <c r="M114" i="6"/>
  <c r="M117" i="6"/>
  <c r="M120" i="6"/>
  <c r="M123" i="6"/>
  <c r="M126" i="6"/>
  <c r="M129" i="6"/>
  <c r="M132" i="6"/>
  <c r="M135" i="6"/>
  <c r="M138" i="6"/>
  <c r="M141" i="6"/>
  <c r="M88" i="6"/>
  <c r="M95" i="6"/>
  <c r="M85" i="6"/>
  <c r="M97" i="6"/>
  <c r="M100" i="6"/>
  <c r="M103" i="6"/>
  <c r="M106" i="6"/>
  <c r="M109" i="6"/>
  <c r="M112" i="6"/>
  <c r="M115" i="6"/>
  <c r="M118" i="6"/>
  <c r="M121" i="6"/>
  <c r="M124" i="6"/>
  <c r="M127" i="6"/>
  <c r="M130" i="6"/>
  <c r="M133" i="6"/>
  <c r="M136" i="6"/>
  <c r="M139" i="6"/>
  <c r="M142" i="6"/>
  <c r="M82" i="6"/>
  <c r="M144" i="6"/>
  <c r="M147" i="6"/>
  <c r="M150" i="6"/>
  <c r="M153" i="6"/>
  <c r="M156" i="6"/>
  <c r="M159" i="6"/>
  <c r="M162" i="6"/>
  <c r="M165" i="6"/>
  <c r="M168" i="6"/>
  <c r="M171" i="6"/>
  <c r="M174" i="6"/>
  <c r="M177" i="6"/>
  <c r="M180" i="6"/>
  <c r="M183" i="6"/>
  <c r="M186" i="6"/>
  <c r="M189" i="6"/>
  <c r="M192" i="6"/>
  <c r="M145" i="6"/>
  <c r="M148" i="6"/>
  <c r="M151" i="6"/>
  <c r="M154" i="6"/>
  <c r="M157" i="6"/>
  <c r="M160" i="6"/>
  <c r="M163" i="6"/>
  <c r="M166" i="6"/>
  <c r="M169" i="6"/>
  <c r="M172" i="6"/>
  <c r="M175" i="6"/>
  <c r="M178" i="6"/>
  <c r="M181" i="6"/>
  <c r="M184" i="6"/>
  <c r="M187" i="6"/>
  <c r="M190" i="6"/>
  <c r="M193" i="6"/>
  <c r="M146" i="6"/>
  <c r="M149" i="6"/>
  <c r="M152" i="6"/>
  <c r="M155" i="6"/>
  <c r="M158" i="6"/>
  <c r="M161" i="6"/>
  <c r="M164" i="6"/>
  <c r="M167" i="6"/>
  <c r="M170" i="6"/>
  <c r="M173" i="6"/>
  <c r="M176" i="6"/>
  <c r="M179" i="6"/>
  <c r="M182" i="6"/>
  <c r="M185" i="6"/>
  <c r="M188" i="6"/>
  <c r="M191" i="6"/>
  <c r="M194" i="6"/>
  <c r="M197" i="6"/>
  <c r="M200" i="6"/>
  <c r="M195" i="6"/>
  <c r="M198" i="6"/>
  <c r="M201" i="6"/>
  <c r="M196" i="6"/>
  <c r="M199" i="6"/>
  <c r="AB11" i="6"/>
  <c r="AB14" i="6"/>
  <c r="AB17" i="6"/>
  <c r="AB20" i="6"/>
  <c r="AB23" i="6"/>
  <c r="AB26" i="6"/>
  <c r="AB29" i="6"/>
  <c r="AB32" i="6"/>
  <c r="AB35" i="6"/>
  <c r="AB38" i="6"/>
  <c r="AB41" i="6"/>
  <c r="AB44" i="6"/>
  <c r="AB47" i="6"/>
  <c r="AB50" i="6"/>
  <c r="AB7" i="6"/>
  <c r="AB8" i="6"/>
  <c r="AB12" i="6"/>
  <c r="AB15" i="6"/>
  <c r="AB18" i="6"/>
  <c r="AB21" i="6"/>
  <c r="AB24" i="6"/>
  <c r="AB27" i="6"/>
  <c r="AB30" i="6"/>
  <c r="AB33" i="6"/>
  <c r="AB36" i="6"/>
  <c r="AB39" i="6"/>
  <c r="AB42" i="6"/>
  <c r="AB45" i="6"/>
  <c r="AB48" i="6"/>
  <c r="AB51" i="6"/>
  <c r="AB9" i="6"/>
  <c r="AB13" i="6"/>
  <c r="AB16" i="6"/>
  <c r="AB19" i="6"/>
  <c r="AB22" i="6"/>
  <c r="AB25" i="6"/>
  <c r="AB28" i="6"/>
  <c r="AB31" i="6"/>
  <c r="AB34" i="6"/>
  <c r="AB37" i="6"/>
  <c r="AB40" i="6"/>
  <c r="AB43" i="6"/>
  <c r="AB46" i="6"/>
  <c r="AB49" i="6"/>
  <c r="AB52" i="6"/>
  <c r="AB10" i="6"/>
  <c r="AB57" i="6"/>
  <c r="AB60" i="6"/>
  <c r="AB63" i="6"/>
  <c r="AB66" i="6"/>
  <c r="AB69" i="6"/>
  <c r="AB72" i="6"/>
  <c r="AB75" i="6"/>
  <c r="AB78" i="6"/>
  <c r="AB81" i="6"/>
  <c r="AB84" i="6"/>
  <c r="AB87" i="6"/>
  <c r="AB90" i="6"/>
  <c r="AB54" i="6"/>
  <c r="AB55" i="6"/>
  <c r="AB58" i="6"/>
  <c r="AB61" i="6"/>
  <c r="AB64" i="6"/>
  <c r="AB67" i="6"/>
  <c r="AB70" i="6"/>
  <c r="AB73" i="6"/>
  <c r="AB76" i="6"/>
  <c r="AB79" i="6"/>
  <c r="AB82" i="6"/>
  <c r="AB85" i="6"/>
  <c r="AB88" i="6"/>
  <c r="AB91" i="6"/>
  <c r="AB94" i="6"/>
  <c r="AB53" i="6"/>
  <c r="AB56" i="6"/>
  <c r="AB59" i="6"/>
  <c r="AB62" i="6"/>
  <c r="AB65" i="6"/>
  <c r="AB68" i="6"/>
  <c r="AB71" i="6"/>
  <c r="AB74" i="6"/>
  <c r="AB77" i="6"/>
  <c r="AB80" i="6"/>
  <c r="AB83" i="6"/>
  <c r="AB86" i="6"/>
  <c r="AB89" i="6"/>
  <c r="AB92" i="6"/>
  <c r="AB97" i="6"/>
  <c r="AB100" i="6"/>
  <c r="AB103" i="6"/>
  <c r="AB106" i="6"/>
  <c r="AB109" i="6"/>
  <c r="AB112" i="6"/>
  <c r="AB115" i="6"/>
  <c r="AB118" i="6"/>
  <c r="AB121" i="6"/>
  <c r="AB124" i="6"/>
  <c r="AB127" i="6"/>
  <c r="AB130" i="6"/>
  <c r="AB133" i="6"/>
  <c r="AB136" i="6"/>
  <c r="AB139" i="6"/>
  <c r="AB93" i="6"/>
  <c r="AB98" i="6"/>
  <c r="AB101" i="6"/>
  <c r="AB104" i="6"/>
  <c r="AB107" i="6"/>
  <c r="AB110" i="6"/>
  <c r="AB113" i="6"/>
  <c r="AB116" i="6"/>
  <c r="AB119" i="6"/>
  <c r="AB122" i="6"/>
  <c r="AB125" i="6"/>
  <c r="AB128" i="6"/>
  <c r="AB131" i="6"/>
  <c r="AB134" i="6"/>
  <c r="AB137" i="6"/>
  <c r="AB140" i="6"/>
  <c r="AB95" i="6"/>
  <c r="AB96" i="6"/>
  <c r="AB99" i="6"/>
  <c r="AB102" i="6"/>
  <c r="AB105" i="6"/>
  <c r="AB108" i="6"/>
  <c r="AB111" i="6"/>
  <c r="AB114" i="6"/>
  <c r="AB117" i="6"/>
  <c r="AB120" i="6"/>
  <c r="AB123" i="6"/>
  <c r="AB126" i="6"/>
  <c r="AB129" i="6"/>
  <c r="AB132" i="6"/>
  <c r="AB135" i="6"/>
  <c r="AB138" i="6"/>
  <c r="AB141" i="6"/>
  <c r="AB145" i="6"/>
  <c r="AB148" i="6"/>
  <c r="AB151" i="6"/>
  <c r="AB154" i="6"/>
  <c r="AB157" i="6"/>
  <c r="AB160" i="6"/>
  <c r="AB163" i="6"/>
  <c r="AB166" i="6"/>
  <c r="AB169" i="6"/>
  <c r="AB172" i="6"/>
  <c r="AB175" i="6"/>
  <c r="AB178" i="6"/>
  <c r="AB181" i="6"/>
  <c r="AB184" i="6"/>
  <c r="AB187" i="6"/>
  <c r="AB190" i="6"/>
  <c r="AB143" i="6"/>
  <c r="AB146" i="6"/>
  <c r="AB149" i="6"/>
  <c r="AB152" i="6"/>
  <c r="AB155" i="6"/>
  <c r="AB158" i="6"/>
  <c r="AB161" i="6"/>
  <c r="AB164" i="6"/>
  <c r="AB167" i="6"/>
  <c r="AB170" i="6"/>
  <c r="AB173" i="6"/>
  <c r="AB176" i="6"/>
  <c r="AB179" i="6"/>
  <c r="AB182" i="6"/>
  <c r="AB185" i="6"/>
  <c r="AB188" i="6"/>
  <c r="AB191" i="6"/>
  <c r="AB142" i="6"/>
  <c r="AB144" i="6"/>
  <c r="AB147" i="6"/>
  <c r="AB150" i="6"/>
  <c r="AB153" i="6"/>
  <c r="AB156" i="6"/>
  <c r="AB159" i="6"/>
  <c r="AB162" i="6"/>
  <c r="AB165" i="6"/>
  <c r="AB168" i="6"/>
  <c r="AB171" i="6"/>
  <c r="AB174" i="6"/>
  <c r="AB177" i="6"/>
  <c r="AB180" i="6"/>
  <c r="AB183" i="6"/>
  <c r="AB186" i="6"/>
  <c r="AB195" i="6"/>
  <c r="AB198" i="6"/>
  <c r="AB201" i="6"/>
  <c r="AB196" i="6"/>
  <c r="AB199" i="6"/>
  <c r="AB193" i="6"/>
  <c r="AB194" i="6"/>
  <c r="AB197" i="6"/>
  <c r="AB200" i="6"/>
  <c r="AB189" i="6"/>
  <c r="AB192" i="6"/>
  <c r="H7" i="6"/>
  <c r="H12" i="6"/>
  <c r="H15" i="6"/>
  <c r="H18" i="6"/>
  <c r="H21" i="6"/>
  <c r="H24" i="6"/>
  <c r="H27" i="6"/>
  <c r="H30" i="6"/>
  <c r="H33" i="6"/>
  <c r="H36" i="6"/>
  <c r="H39" i="6"/>
  <c r="H42" i="6"/>
  <c r="H45" i="6"/>
  <c r="H48" i="6"/>
  <c r="H51" i="6"/>
  <c r="H8" i="6"/>
  <c r="H9" i="6"/>
  <c r="H13" i="6"/>
  <c r="H16" i="6"/>
  <c r="H19" i="6"/>
  <c r="H22" i="6"/>
  <c r="H25" i="6"/>
  <c r="H28" i="6"/>
  <c r="H31" i="6"/>
  <c r="H34" i="6"/>
  <c r="H37" i="6"/>
  <c r="H40" i="6"/>
  <c r="H43" i="6"/>
  <c r="H46" i="6"/>
  <c r="H49" i="6"/>
  <c r="H52" i="6"/>
  <c r="H10" i="6"/>
  <c r="H6" i="6"/>
  <c r="H14" i="6"/>
  <c r="H17" i="6"/>
  <c r="H20" i="6"/>
  <c r="H23" i="6"/>
  <c r="H26" i="6"/>
  <c r="H29" i="6"/>
  <c r="H32" i="6"/>
  <c r="H35" i="6"/>
  <c r="H38" i="6"/>
  <c r="H41" i="6"/>
  <c r="H44" i="6"/>
  <c r="H47" i="6"/>
  <c r="H50" i="6"/>
  <c r="H11" i="6"/>
  <c r="H58" i="6"/>
  <c r="H61" i="6"/>
  <c r="H64" i="6"/>
  <c r="H67" i="6"/>
  <c r="H70" i="6"/>
  <c r="H73" i="6"/>
  <c r="H76" i="6"/>
  <c r="H79" i="6"/>
  <c r="H82" i="6"/>
  <c r="H85" i="6"/>
  <c r="H88" i="6"/>
  <c r="H91" i="6"/>
  <c r="H55" i="6"/>
  <c r="H54" i="6"/>
  <c r="H56" i="6"/>
  <c r="H59" i="6"/>
  <c r="H62" i="6"/>
  <c r="H65" i="6"/>
  <c r="H68" i="6"/>
  <c r="H71" i="6"/>
  <c r="H74" i="6"/>
  <c r="H77" i="6"/>
  <c r="H80" i="6"/>
  <c r="H83" i="6"/>
  <c r="H86" i="6"/>
  <c r="H89" i="6"/>
  <c r="H92" i="6"/>
  <c r="H95" i="6"/>
  <c r="H53" i="6"/>
  <c r="H57" i="6"/>
  <c r="H60" i="6"/>
  <c r="H63" i="6"/>
  <c r="H66" i="6"/>
  <c r="H69" i="6"/>
  <c r="H72" i="6"/>
  <c r="H75" i="6"/>
  <c r="H78" i="6"/>
  <c r="H81" i="6"/>
  <c r="H84" i="6"/>
  <c r="H87" i="6"/>
  <c r="H90" i="6"/>
  <c r="H93" i="6"/>
  <c r="H98" i="6"/>
  <c r="H101" i="6"/>
  <c r="H104" i="6"/>
  <c r="H107" i="6"/>
  <c r="H110" i="6"/>
  <c r="H113" i="6"/>
  <c r="H116" i="6"/>
  <c r="H119" i="6"/>
  <c r="H122" i="6"/>
  <c r="H125" i="6"/>
  <c r="H128" i="6"/>
  <c r="H131" i="6"/>
  <c r="H134" i="6"/>
  <c r="H137" i="6"/>
  <c r="H140" i="6"/>
  <c r="H94" i="6"/>
  <c r="H96" i="6"/>
  <c r="H99" i="6"/>
  <c r="H102" i="6"/>
  <c r="H105" i="6"/>
  <c r="H108" i="6"/>
  <c r="H111" i="6"/>
  <c r="H114" i="6"/>
  <c r="H117" i="6"/>
  <c r="H120" i="6"/>
  <c r="H123" i="6"/>
  <c r="H126" i="6"/>
  <c r="H129" i="6"/>
  <c r="H132" i="6"/>
  <c r="H135" i="6"/>
  <c r="H138" i="6"/>
  <c r="H141" i="6"/>
  <c r="H97" i="6"/>
  <c r="H100" i="6"/>
  <c r="H103" i="6"/>
  <c r="H106" i="6"/>
  <c r="H109" i="6"/>
  <c r="H112" i="6"/>
  <c r="H115" i="6"/>
  <c r="H118" i="6"/>
  <c r="H121" i="6"/>
  <c r="H124" i="6"/>
  <c r="H127" i="6"/>
  <c r="H130" i="6"/>
  <c r="H133" i="6"/>
  <c r="H136" i="6"/>
  <c r="H139" i="6"/>
  <c r="H142" i="6"/>
  <c r="H146" i="6"/>
  <c r="H149" i="6"/>
  <c r="H152" i="6"/>
  <c r="H155" i="6"/>
  <c r="H158" i="6"/>
  <c r="H161" i="6"/>
  <c r="H164" i="6"/>
  <c r="H167" i="6"/>
  <c r="H170" i="6"/>
  <c r="H173" i="6"/>
  <c r="H176" i="6"/>
  <c r="H179" i="6"/>
  <c r="H182" i="6"/>
  <c r="H185" i="6"/>
  <c r="H188" i="6"/>
  <c r="H191" i="6"/>
  <c r="H143" i="6"/>
  <c r="H144" i="6"/>
  <c r="H147" i="6"/>
  <c r="H150" i="6"/>
  <c r="H153" i="6"/>
  <c r="H156" i="6"/>
  <c r="H159" i="6"/>
  <c r="H162" i="6"/>
  <c r="H165" i="6"/>
  <c r="H168" i="6"/>
  <c r="H171" i="6"/>
  <c r="H174" i="6"/>
  <c r="H177" i="6"/>
  <c r="H180" i="6"/>
  <c r="H183" i="6"/>
  <c r="H186" i="6"/>
  <c r="H189" i="6"/>
  <c r="H192" i="6"/>
  <c r="H145" i="6"/>
  <c r="H148" i="6"/>
  <c r="H151" i="6"/>
  <c r="H154" i="6"/>
  <c r="H157" i="6"/>
  <c r="H160" i="6"/>
  <c r="H163" i="6"/>
  <c r="H166" i="6"/>
  <c r="H169" i="6"/>
  <c r="H172" i="6"/>
  <c r="H175" i="6"/>
  <c r="H178" i="6"/>
  <c r="H181" i="6"/>
  <c r="H184" i="6"/>
  <c r="H187" i="6"/>
  <c r="H196" i="6"/>
  <c r="H199" i="6"/>
  <c r="H197" i="6"/>
  <c r="H200" i="6"/>
  <c r="H190" i="6"/>
  <c r="H194" i="6"/>
  <c r="H193" i="6"/>
  <c r="H195" i="6"/>
  <c r="H198" i="6"/>
  <c r="H201" i="6"/>
  <c r="N7" i="6"/>
  <c r="N8" i="6"/>
  <c r="N12" i="6"/>
  <c r="N15" i="6"/>
  <c r="N18" i="6"/>
  <c r="N21" i="6"/>
  <c r="N24" i="6"/>
  <c r="N27" i="6"/>
  <c r="N30" i="6"/>
  <c r="N33" i="6"/>
  <c r="N36" i="6"/>
  <c r="N39" i="6"/>
  <c r="N42" i="6"/>
  <c r="N45" i="6"/>
  <c r="N48" i="6"/>
  <c r="N51" i="6"/>
  <c r="N9" i="6"/>
  <c r="N13" i="6"/>
  <c r="N16" i="6"/>
  <c r="N19" i="6"/>
  <c r="N22" i="6"/>
  <c r="N25" i="6"/>
  <c r="N28" i="6"/>
  <c r="N31" i="6"/>
  <c r="N34" i="6"/>
  <c r="N37" i="6"/>
  <c r="N40" i="6"/>
  <c r="N43" i="6"/>
  <c r="N46" i="6"/>
  <c r="N49" i="6"/>
  <c r="N52" i="6"/>
  <c r="N10" i="6"/>
  <c r="N6" i="6"/>
  <c r="N11" i="6"/>
  <c r="N14" i="6"/>
  <c r="N17" i="6"/>
  <c r="N20" i="6"/>
  <c r="N23" i="6"/>
  <c r="N26" i="6"/>
  <c r="N29" i="6"/>
  <c r="N32" i="6"/>
  <c r="N35" i="6"/>
  <c r="N38" i="6"/>
  <c r="N41" i="6"/>
  <c r="N44" i="6"/>
  <c r="N47" i="6"/>
  <c r="N50" i="6"/>
  <c r="N55" i="6"/>
  <c r="N58" i="6"/>
  <c r="N61" i="6"/>
  <c r="N64" i="6"/>
  <c r="N67" i="6"/>
  <c r="N70" i="6"/>
  <c r="N73" i="6"/>
  <c r="N76" i="6"/>
  <c r="N79" i="6"/>
  <c r="N82" i="6"/>
  <c r="N85" i="6"/>
  <c r="N88" i="6"/>
  <c r="N91" i="6"/>
  <c r="N54" i="6"/>
  <c r="N53" i="6"/>
  <c r="N56" i="6"/>
  <c r="N59" i="6"/>
  <c r="N62" i="6"/>
  <c r="N65" i="6"/>
  <c r="N68" i="6"/>
  <c r="N71" i="6"/>
  <c r="N74" i="6"/>
  <c r="N77" i="6"/>
  <c r="N80" i="6"/>
  <c r="N83" i="6"/>
  <c r="N86" i="6"/>
  <c r="N89" i="6"/>
  <c r="N92" i="6"/>
  <c r="N95" i="6"/>
  <c r="N57" i="6"/>
  <c r="N60" i="6"/>
  <c r="N63" i="6"/>
  <c r="N66" i="6"/>
  <c r="N69" i="6"/>
  <c r="N72" i="6"/>
  <c r="N75" i="6"/>
  <c r="N78" i="6"/>
  <c r="N81" i="6"/>
  <c r="N84" i="6"/>
  <c r="N87" i="6"/>
  <c r="N90" i="6"/>
  <c r="N93" i="6"/>
  <c r="N98" i="6"/>
  <c r="N101" i="6"/>
  <c r="N104" i="6"/>
  <c r="N107" i="6"/>
  <c r="N110" i="6"/>
  <c r="N113" i="6"/>
  <c r="N116" i="6"/>
  <c r="N119" i="6"/>
  <c r="N122" i="6"/>
  <c r="N125" i="6"/>
  <c r="N128" i="6"/>
  <c r="N131" i="6"/>
  <c r="N134" i="6"/>
  <c r="N137" i="6"/>
  <c r="N140" i="6"/>
  <c r="N94" i="6"/>
  <c r="N96" i="6"/>
  <c r="N99" i="6"/>
  <c r="N102" i="6"/>
  <c r="N105" i="6"/>
  <c r="N108" i="6"/>
  <c r="N111" i="6"/>
  <c r="N114" i="6"/>
  <c r="N117" i="6"/>
  <c r="N120" i="6"/>
  <c r="N123" i="6"/>
  <c r="N126" i="6"/>
  <c r="N129" i="6"/>
  <c r="N132" i="6"/>
  <c r="N135" i="6"/>
  <c r="N138" i="6"/>
  <c r="N141" i="6"/>
  <c r="N97" i="6"/>
  <c r="N100" i="6"/>
  <c r="N103" i="6"/>
  <c r="N106" i="6"/>
  <c r="N109" i="6"/>
  <c r="N112" i="6"/>
  <c r="N115" i="6"/>
  <c r="N118" i="6"/>
  <c r="N121" i="6"/>
  <c r="N124" i="6"/>
  <c r="N127" i="6"/>
  <c r="N130" i="6"/>
  <c r="N133" i="6"/>
  <c r="N136" i="6"/>
  <c r="N139" i="6"/>
  <c r="N142" i="6"/>
  <c r="N143" i="6"/>
  <c r="N146" i="6"/>
  <c r="N149" i="6"/>
  <c r="N152" i="6"/>
  <c r="N155" i="6"/>
  <c r="N158" i="6"/>
  <c r="N161" i="6"/>
  <c r="N164" i="6"/>
  <c r="N167" i="6"/>
  <c r="N170" i="6"/>
  <c r="N173" i="6"/>
  <c r="N176" i="6"/>
  <c r="N179" i="6"/>
  <c r="N182" i="6"/>
  <c r="N185" i="6"/>
  <c r="N188" i="6"/>
  <c r="N191" i="6"/>
  <c r="N144" i="6"/>
  <c r="N147" i="6"/>
  <c r="N150" i="6"/>
  <c r="N153" i="6"/>
  <c r="N156" i="6"/>
  <c r="N159" i="6"/>
  <c r="N162" i="6"/>
  <c r="N165" i="6"/>
  <c r="N168" i="6"/>
  <c r="N171" i="6"/>
  <c r="N174" i="6"/>
  <c r="N177" i="6"/>
  <c r="N180" i="6"/>
  <c r="N183" i="6"/>
  <c r="N186" i="6"/>
  <c r="N189" i="6"/>
  <c r="N192" i="6"/>
  <c r="N145" i="6"/>
  <c r="N148" i="6"/>
  <c r="N151" i="6"/>
  <c r="N154" i="6"/>
  <c r="N157" i="6"/>
  <c r="N160" i="6"/>
  <c r="N163" i="6"/>
  <c r="N166" i="6"/>
  <c r="N169" i="6"/>
  <c r="N172" i="6"/>
  <c r="N175" i="6"/>
  <c r="N178" i="6"/>
  <c r="N181" i="6"/>
  <c r="N184" i="6"/>
  <c r="N187" i="6"/>
  <c r="N196" i="6"/>
  <c r="N199" i="6"/>
  <c r="N190" i="6"/>
  <c r="N194" i="6"/>
  <c r="N197" i="6"/>
  <c r="N200" i="6"/>
  <c r="N193" i="6"/>
  <c r="N195" i="6"/>
  <c r="N198" i="6"/>
  <c r="N201" i="6"/>
  <c r="P11" i="6"/>
  <c r="P14" i="6"/>
  <c r="P17" i="6"/>
  <c r="P20" i="6"/>
  <c r="P23" i="6"/>
  <c r="P26" i="6"/>
  <c r="P29" i="6"/>
  <c r="P32" i="6"/>
  <c r="P35" i="6"/>
  <c r="P38" i="6"/>
  <c r="P41" i="6"/>
  <c r="P44" i="6"/>
  <c r="P47" i="6"/>
  <c r="P50" i="6"/>
  <c r="P7" i="6"/>
  <c r="P8" i="6"/>
  <c r="P12" i="6"/>
  <c r="P15" i="6"/>
  <c r="P18" i="6"/>
  <c r="P21" i="6"/>
  <c r="P24" i="6"/>
  <c r="P27" i="6"/>
  <c r="P30" i="6"/>
  <c r="P33" i="6"/>
  <c r="P36" i="6"/>
  <c r="P39" i="6"/>
  <c r="P42" i="6"/>
  <c r="P45" i="6"/>
  <c r="P48" i="6"/>
  <c r="P51" i="6"/>
  <c r="P9" i="6"/>
  <c r="P13" i="6"/>
  <c r="P16" i="6"/>
  <c r="P19" i="6"/>
  <c r="P22" i="6"/>
  <c r="P25" i="6"/>
  <c r="P28" i="6"/>
  <c r="P31" i="6"/>
  <c r="P34" i="6"/>
  <c r="P37" i="6"/>
  <c r="P40" i="6"/>
  <c r="P43" i="6"/>
  <c r="P46" i="6"/>
  <c r="P49" i="6"/>
  <c r="P52" i="6"/>
  <c r="P10" i="6"/>
  <c r="P57" i="6"/>
  <c r="P60" i="6"/>
  <c r="P63" i="6"/>
  <c r="P66" i="6"/>
  <c r="P69" i="6"/>
  <c r="P72" i="6"/>
  <c r="P75" i="6"/>
  <c r="P78" i="6"/>
  <c r="P81" i="6"/>
  <c r="P84" i="6"/>
  <c r="P87" i="6"/>
  <c r="P90" i="6"/>
  <c r="P55" i="6"/>
  <c r="P58" i="6"/>
  <c r="P61" i="6"/>
  <c r="P64" i="6"/>
  <c r="P67" i="6"/>
  <c r="P70" i="6"/>
  <c r="P73" i="6"/>
  <c r="P76" i="6"/>
  <c r="P79" i="6"/>
  <c r="P82" i="6"/>
  <c r="P85" i="6"/>
  <c r="P88" i="6"/>
  <c r="P91" i="6"/>
  <c r="P94" i="6"/>
  <c r="P54" i="6"/>
  <c r="P53" i="6"/>
  <c r="P56" i="6"/>
  <c r="P59" i="6"/>
  <c r="P62" i="6"/>
  <c r="P65" i="6"/>
  <c r="P68" i="6"/>
  <c r="P71" i="6"/>
  <c r="P74" i="6"/>
  <c r="P77" i="6"/>
  <c r="P80" i="6"/>
  <c r="P83" i="6"/>
  <c r="P86" i="6"/>
  <c r="P89" i="6"/>
  <c r="P92" i="6"/>
  <c r="P97" i="6"/>
  <c r="P100" i="6"/>
  <c r="P103" i="6"/>
  <c r="P106" i="6"/>
  <c r="P109" i="6"/>
  <c r="P112" i="6"/>
  <c r="P115" i="6"/>
  <c r="P118" i="6"/>
  <c r="P121" i="6"/>
  <c r="P124" i="6"/>
  <c r="P127" i="6"/>
  <c r="P130" i="6"/>
  <c r="P133" i="6"/>
  <c r="P136" i="6"/>
  <c r="P139" i="6"/>
  <c r="P93" i="6"/>
  <c r="P98" i="6"/>
  <c r="P101" i="6"/>
  <c r="P104" i="6"/>
  <c r="P107" i="6"/>
  <c r="P110" i="6"/>
  <c r="P113" i="6"/>
  <c r="P116" i="6"/>
  <c r="P119" i="6"/>
  <c r="P122" i="6"/>
  <c r="P125" i="6"/>
  <c r="P128" i="6"/>
  <c r="P131" i="6"/>
  <c r="P134" i="6"/>
  <c r="P137" i="6"/>
  <c r="P140" i="6"/>
  <c r="P95" i="6"/>
  <c r="P96" i="6"/>
  <c r="P99" i="6"/>
  <c r="P102" i="6"/>
  <c r="P105" i="6"/>
  <c r="P108" i="6"/>
  <c r="P111" i="6"/>
  <c r="P114" i="6"/>
  <c r="P117" i="6"/>
  <c r="P120" i="6"/>
  <c r="P123" i="6"/>
  <c r="P126" i="6"/>
  <c r="P129" i="6"/>
  <c r="P132" i="6"/>
  <c r="P135" i="6"/>
  <c r="P138" i="6"/>
  <c r="P141" i="6"/>
  <c r="P145" i="6"/>
  <c r="P148" i="6"/>
  <c r="P151" i="6"/>
  <c r="P154" i="6"/>
  <c r="P157" i="6"/>
  <c r="P160" i="6"/>
  <c r="P163" i="6"/>
  <c r="P166" i="6"/>
  <c r="P169" i="6"/>
  <c r="P172" i="6"/>
  <c r="P175" i="6"/>
  <c r="P178" i="6"/>
  <c r="P181" i="6"/>
  <c r="P184" i="6"/>
  <c r="P187" i="6"/>
  <c r="P190" i="6"/>
  <c r="P143" i="6"/>
  <c r="P146" i="6"/>
  <c r="P149" i="6"/>
  <c r="P152" i="6"/>
  <c r="P155" i="6"/>
  <c r="P158" i="6"/>
  <c r="P161" i="6"/>
  <c r="P164" i="6"/>
  <c r="P167" i="6"/>
  <c r="P170" i="6"/>
  <c r="P173" i="6"/>
  <c r="P176" i="6"/>
  <c r="P179" i="6"/>
  <c r="P182" i="6"/>
  <c r="P185" i="6"/>
  <c r="P188" i="6"/>
  <c r="P191" i="6"/>
  <c r="P144" i="6"/>
  <c r="P147" i="6"/>
  <c r="P150" i="6"/>
  <c r="P153" i="6"/>
  <c r="P156" i="6"/>
  <c r="P159" i="6"/>
  <c r="P162" i="6"/>
  <c r="P165" i="6"/>
  <c r="P168" i="6"/>
  <c r="P171" i="6"/>
  <c r="P174" i="6"/>
  <c r="P177" i="6"/>
  <c r="P180" i="6"/>
  <c r="P183" i="6"/>
  <c r="P186" i="6"/>
  <c r="P142" i="6"/>
  <c r="P192" i="6"/>
  <c r="P195" i="6"/>
  <c r="P198" i="6"/>
  <c r="P201" i="6"/>
  <c r="P189" i="6"/>
  <c r="P196" i="6"/>
  <c r="P199" i="6"/>
  <c r="P194" i="6"/>
  <c r="P197" i="6"/>
  <c r="P200" i="6"/>
  <c r="P193" i="6"/>
  <c r="AC513" i="1"/>
  <c r="AC1018" i="1"/>
  <c r="AC1019" i="1"/>
  <c r="AC924" i="1"/>
  <c r="AU38" i="9"/>
  <c r="AC779" i="1"/>
  <c r="AC843" i="1"/>
  <c r="AD1165" i="1"/>
  <c r="AD1054" i="1"/>
  <c r="AC883" i="1"/>
  <c r="AC972" i="1"/>
  <c r="AX36" i="9"/>
  <c r="AC1002" i="1"/>
  <c r="AC658" i="1"/>
  <c r="AD845" i="1"/>
  <c r="AC1153" i="1"/>
  <c r="AC1164" i="1"/>
  <c r="AC661" i="1"/>
  <c r="AC976" i="1"/>
  <c r="AD729" i="1"/>
  <c r="AC864" i="1"/>
  <c r="AC1141" i="1"/>
  <c r="AD1206" i="1"/>
  <c r="AC1103" i="1"/>
  <c r="AC1065" i="1"/>
  <c r="AD914" i="1"/>
  <c r="AD1077" i="1"/>
  <c r="AD918" i="1"/>
  <c r="AC948" i="1"/>
  <c r="AR19" i="9"/>
  <c r="J59" i="11"/>
  <c r="X10" i="11"/>
  <c r="X45" i="11"/>
  <c r="AD28" i="9"/>
  <c r="J24" i="11"/>
  <c r="AD1131" i="1"/>
  <c r="AC1005" i="1"/>
  <c r="AD1121" i="1"/>
  <c r="AC927" i="1"/>
  <c r="AC850" i="1"/>
  <c r="AC1111" i="1"/>
  <c r="AD1116" i="1"/>
  <c r="AC777" i="1"/>
  <c r="AC1060" i="1"/>
  <c r="AC963" i="1"/>
  <c r="AD1021" i="1"/>
  <c r="AD823" i="1"/>
  <c r="AC939" i="1"/>
  <c r="AC811" i="1"/>
  <c r="AD796" i="1"/>
  <c r="AD726" i="1"/>
  <c r="AD1014" i="1"/>
  <c r="AC1022" i="1"/>
  <c r="AD695" i="1"/>
  <c r="AC991" i="1"/>
  <c r="AC1000" i="1"/>
  <c r="AD974" i="1"/>
  <c r="AC799" i="1"/>
  <c r="AC356" i="1"/>
  <c r="AC809" i="1"/>
  <c r="AD698" i="1"/>
  <c r="AD930" i="1"/>
  <c r="AC904" i="1"/>
  <c r="AD769" i="1"/>
  <c r="AC531" i="1"/>
  <c r="AD548" i="1"/>
  <c r="AC1049" i="1"/>
  <c r="AD611" i="1"/>
  <c r="AC681" i="1"/>
  <c r="AC900" i="1"/>
  <c r="AC697" i="1"/>
  <c r="AD709" i="1"/>
  <c r="AC749" i="1"/>
  <c r="AC578" i="1"/>
  <c r="AC905" i="1"/>
  <c r="AD925" i="1"/>
  <c r="AD1120" i="1"/>
  <c r="AD1108" i="1"/>
  <c r="AC866" i="1"/>
  <c r="AD1055" i="1"/>
  <c r="AD503" i="1"/>
  <c r="AD525" i="1"/>
  <c r="AD520" i="1"/>
  <c r="AC1132" i="1"/>
  <c r="AC1029" i="1"/>
  <c r="AC1033" i="1"/>
  <c r="AC1042" i="1"/>
  <c r="AC1144" i="1"/>
  <c r="AC984" i="1"/>
  <c r="AC1001" i="1"/>
  <c r="AC837" i="1"/>
  <c r="AC727" i="1"/>
  <c r="AC754" i="1"/>
  <c r="AD1032" i="1"/>
  <c r="AD505" i="1"/>
  <c r="AC1025" i="1"/>
  <c r="AD993" i="1"/>
  <c r="AC825" i="1"/>
  <c r="AE54" i="11"/>
  <c r="AD812" i="1"/>
  <c r="AC1146" i="1"/>
  <c r="AC985" i="1"/>
  <c r="AD912" i="1"/>
  <c r="M55" i="11"/>
  <c r="AD1073" i="1"/>
  <c r="AD1026" i="1"/>
  <c r="AD997" i="1"/>
  <c r="AD569" i="1"/>
  <c r="AD1128" i="1"/>
  <c r="AD516" i="1"/>
  <c r="AC554" i="1"/>
  <c r="AD617" i="1"/>
  <c r="AC692" i="1"/>
  <c r="AC783" i="1"/>
  <c r="AD744" i="1"/>
  <c r="AD766" i="1"/>
  <c r="AD738" i="1"/>
  <c r="AC577" i="1"/>
  <c r="AC824" i="1"/>
  <c r="AC1097" i="1"/>
  <c r="AC821" i="1"/>
  <c r="AD713" i="1"/>
  <c r="AC973" i="1"/>
  <c r="AC847" i="1"/>
  <c r="AC956" i="1"/>
  <c r="AC792" i="1"/>
  <c r="AD1125" i="1"/>
  <c r="AC1151" i="1"/>
  <c r="AC1007" i="1"/>
  <c r="AC1087" i="1"/>
  <c r="AD910" i="1"/>
  <c r="AC1056" i="1"/>
  <c r="AD975" i="1"/>
  <c r="AC819" i="1"/>
  <c r="AC921" i="1"/>
  <c r="S31" i="11"/>
  <c r="AC1061" i="1"/>
  <c r="AC757" i="1"/>
  <c r="AC1064" i="1"/>
  <c r="AD689" i="1"/>
  <c r="AC1107" i="1"/>
  <c r="T48" i="11"/>
  <c r="AC876" i="1"/>
  <c r="AC1136" i="1"/>
  <c r="AC1124" i="1"/>
  <c r="AC707" i="1"/>
  <c r="AE19" i="11"/>
  <c r="AY27" i="9"/>
  <c r="S66" i="11"/>
  <c r="AN16" i="9"/>
  <c r="AG24" i="9"/>
  <c r="M20" i="11"/>
  <c r="T13" i="11"/>
  <c r="AF51" i="11"/>
  <c r="AP33" i="9"/>
  <c r="AT39" i="9"/>
  <c r="O24" i="11"/>
  <c r="AC979" i="1"/>
  <c r="AD764" i="1"/>
  <c r="AD1068" i="1"/>
  <c r="AD1085" i="1"/>
  <c r="AC760" i="1"/>
  <c r="AC953" i="1"/>
  <c r="AC1038" i="1"/>
  <c r="AC1003" i="1"/>
  <c r="AC848" i="1"/>
  <c r="AC789" i="1"/>
  <c r="AC722" i="1"/>
  <c r="AD955" i="1"/>
  <c r="AD893" i="1"/>
  <c r="AD773" i="1"/>
  <c r="AC982" i="1"/>
  <c r="AD1105" i="1"/>
  <c r="AD931" i="1"/>
  <c r="AC994" i="1"/>
  <c r="AC1010" i="1"/>
  <c r="AD706" i="1"/>
  <c r="AC1106" i="1"/>
  <c r="AD649" i="1"/>
  <c r="AC558" i="1"/>
  <c r="AC871" i="1"/>
  <c r="AD944" i="1"/>
  <c r="AC932" i="1"/>
  <c r="AD802" i="1"/>
  <c r="AC714" i="1"/>
  <c r="AC889" i="1"/>
  <c r="AC898" i="1"/>
  <c r="I63" i="11"/>
  <c r="AC737" i="1"/>
  <c r="AC873" i="1"/>
  <c r="AC404" i="1"/>
  <c r="AD771" i="1"/>
  <c r="P32" i="11"/>
  <c r="AC626" i="1"/>
  <c r="AC680" i="1"/>
  <c r="AC775" i="1"/>
  <c r="AF16" i="11"/>
  <c r="P67" i="11"/>
  <c r="AZ17" i="9"/>
  <c r="AC818" i="1"/>
  <c r="AD885" i="1"/>
  <c r="AB44" i="11"/>
  <c r="AC715" i="1"/>
  <c r="AD436" i="1"/>
  <c r="AD665" i="1"/>
  <c r="AC1052" i="1"/>
  <c r="AC499" i="1"/>
  <c r="AD860" i="1"/>
  <c r="M57" i="11"/>
  <c r="AC37" i="9"/>
  <c r="AB9" i="11"/>
  <c r="AV2" i="9"/>
  <c r="I28" i="11"/>
  <c r="AM35" i="9"/>
  <c r="AC901" i="1"/>
  <c r="AC1009" i="1"/>
  <c r="X15" i="11"/>
  <c r="AC909" i="1"/>
  <c r="AD743" i="1"/>
  <c r="AC745" i="1"/>
  <c r="AD659" i="1"/>
  <c r="AD518" i="1"/>
  <c r="AC878" i="1"/>
  <c r="AD703" i="1"/>
  <c r="V48" i="11"/>
  <c r="AC452" i="1"/>
  <c r="AD785" i="1"/>
  <c r="AD862" i="1"/>
  <c r="AD762" i="1"/>
  <c r="AD929" i="1"/>
  <c r="AC628" i="1"/>
  <c r="AC491" i="1"/>
  <c r="M22" i="11"/>
  <c r="AO1048" i="1" s="1"/>
  <c r="V13" i="11"/>
  <c r="AP16" i="9"/>
  <c r="AG25" i="9"/>
  <c r="AR15" i="9"/>
  <c r="X50" i="11"/>
  <c r="O59" i="11"/>
  <c r="AI28" i="9"/>
  <c r="AD581" i="1"/>
  <c r="AC464" i="1"/>
  <c r="AC412" i="1"/>
  <c r="AC561" i="1"/>
  <c r="AC573" i="1"/>
  <c r="AD507" i="1"/>
  <c r="AC711" i="1"/>
  <c r="AD585" i="1"/>
  <c r="AC564" i="1"/>
  <c r="AO33" i="9"/>
  <c r="K33" i="11"/>
  <c r="AY35" i="9"/>
  <c r="AW34" i="9"/>
  <c r="AG11" i="11"/>
  <c r="AV37" i="9"/>
  <c r="AC380" i="1"/>
  <c r="AD700" i="1"/>
  <c r="AD557" i="1"/>
  <c r="AD962" i="1"/>
  <c r="AD835" i="1"/>
  <c r="AC549" i="1"/>
  <c r="AD717" i="1"/>
  <c r="AC28" i="9"/>
  <c r="AC679" i="1"/>
  <c r="AD797" i="1"/>
  <c r="AC841" i="1"/>
  <c r="AD480" i="1"/>
  <c r="AC967" i="1"/>
  <c r="AC562" i="1"/>
  <c r="AD608" i="1"/>
  <c r="AG46" i="11"/>
  <c r="AC923" i="1"/>
  <c r="AC568" i="1"/>
  <c r="AD517" i="1"/>
  <c r="AD879" i="1"/>
  <c r="AD641" i="1"/>
  <c r="AD793" i="1"/>
  <c r="AD894" i="1"/>
  <c r="AD634" i="1"/>
  <c r="AC624" i="1"/>
  <c r="K68" i="11"/>
  <c r="BA14" i="9"/>
  <c r="AE32" i="9"/>
  <c r="I59" i="11"/>
  <c r="AC666" i="1"/>
  <c r="AN12" i="9"/>
  <c r="AR2" i="9"/>
  <c r="X9" i="11"/>
  <c r="X44" i="11"/>
  <c r="I24" i="11"/>
  <c r="AK24" i="9"/>
  <c r="Q55" i="11"/>
  <c r="Q20" i="11"/>
  <c r="T52" i="11"/>
  <c r="T17" i="11"/>
  <c r="AV17" i="9"/>
  <c r="AB53" i="11"/>
  <c r="AA67" i="11"/>
  <c r="J31" i="11"/>
  <c r="AF27" i="11"/>
  <c r="AJ37" i="9"/>
  <c r="P28" i="11"/>
  <c r="AL37" i="9"/>
  <c r="AF62" i="11"/>
  <c r="AA32" i="11"/>
  <c r="AZ38" i="9"/>
  <c r="AU33" i="9"/>
  <c r="AB51" i="11"/>
  <c r="AB16" i="11"/>
  <c r="P63" i="11"/>
  <c r="V39" i="9"/>
  <c r="AD595" i="1"/>
  <c r="AD804" i="1"/>
  <c r="AD826" i="1"/>
  <c r="AC872" i="1"/>
  <c r="AC31" i="1"/>
  <c r="AC832" i="1"/>
  <c r="AD656" i="1"/>
  <c r="AC685" i="1"/>
  <c r="AC920" i="1"/>
  <c r="AC856" i="1"/>
  <c r="AD702" i="1"/>
  <c r="AD627" i="1"/>
  <c r="X9" i="9"/>
  <c r="AE10" i="11"/>
  <c r="O40" i="11"/>
  <c r="AY19" i="9"/>
  <c r="J66" i="11"/>
  <c r="AC256" i="1"/>
  <c r="AD913" i="1"/>
  <c r="AD650" i="1"/>
  <c r="AD684" i="1"/>
  <c r="AD673" i="1"/>
  <c r="R63" i="11"/>
  <c r="AE45" i="11"/>
  <c r="AD926" i="1"/>
  <c r="AX8" i="9"/>
  <c r="BA18" i="9"/>
  <c r="AW36" i="9"/>
  <c r="AQ38" i="9"/>
  <c r="AF6" i="9"/>
  <c r="AC635" i="1"/>
  <c r="AC470" i="1"/>
  <c r="AD895" i="1"/>
  <c r="AD638" i="1"/>
  <c r="AD772" i="1"/>
  <c r="AA39" i="9"/>
  <c r="R28" i="11"/>
  <c r="AC781" i="1"/>
  <c r="AC831" i="1"/>
  <c r="G33" i="11"/>
  <c r="AF29" i="9"/>
  <c r="AG8" i="9"/>
  <c r="Q56" i="11"/>
  <c r="AB18" i="11"/>
  <c r="AV23" i="9"/>
  <c r="AC815" i="1"/>
  <c r="AD759" i="1"/>
  <c r="AC579" i="1"/>
  <c r="AC593" i="1"/>
  <c r="AC881" i="1"/>
  <c r="AC708" i="1"/>
  <c r="AD547" i="1"/>
  <c r="AQ12" i="9"/>
  <c r="AD751" i="1"/>
  <c r="AC934" i="1"/>
  <c r="AD740" i="1"/>
  <c r="AD667" i="1"/>
  <c r="AN28" i="9"/>
  <c r="AC657" i="1"/>
  <c r="E50" i="11"/>
  <c r="AD35" i="9"/>
  <c r="BA9" i="9"/>
  <c r="AU12" i="9"/>
  <c r="G68" i="11"/>
  <c r="AA32" i="9"/>
  <c r="AG7" i="11"/>
  <c r="AG42" i="11"/>
  <c r="AI3" i="9"/>
  <c r="Y15" i="9"/>
  <c r="E15" i="11"/>
  <c r="O5" i="11"/>
  <c r="AS9" i="9"/>
  <c r="AT18" i="9"/>
  <c r="X38" i="9"/>
  <c r="AE23" i="9"/>
  <c r="W29" i="9"/>
  <c r="AQ8" i="9"/>
  <c r="AD39" i="9"/>
  <c r="Q23" i="11"/>
  <c r="W17" i="11"/>
  <c r="Q58" i="11"/>
  <c r="AK29" i="9"/>
  <c r="W52" i="11"/>
  <c r="AD616" i="1"/>
  <c r="AD589" i="1"/>
  <c r="V12" i="9"/>
  <c r="AH29" i="9"/>
  <c r="AJ38" i="9"/>
  <c r="AJ18" i="9"/>
  <c r="AC613" i="1"/>
  <c r="AC386" i="1"/>
  <c r="AC599" i="1"/>
  <c r="AC567" i="1"/>
  <c r="AC428" i="1"/>
  <c r="AC846" i="1"/>
  <c r="AC560" i="1"/>
  <c r="AD523" i="1"/>
  <c r="AD830" i="1"/>
  <c r="AO22" i="9"/>
  <c r="AO18" i="9"/>
  <c r="W27" i="9"/>
  <c r="V36" i="9"/>
  <c r="AT28" i="9"/>
  <c r="AF37" i="9"/>
  <c r="AN27" i="9"/>
  <c r="X19" i="9"/>
  <c r="AV9" i="9"/>
  <c r="AY15" i="9"/>
  <c r="AY33" i="9"/>
  <c r="AI17" i="9"/>
  <c r="AP22" i="9"/>
  <c r="AG34" i="9"/>
  <c r="V14" i="9"/>
  <c r="AV39" i="9"/>
  <c r="AC12" i="9"/>
  <c r="AD17" i="9"/>
  <c r="Z14" i="9"/>
  <c r="X36" i="9"/>
  <c r="Z13" i="9"/>
  <c r="AL36" i="9"/>
  <c r="AJ32" i="9"/>
  <c r="AP36" i="9"/>
  <c r="R65" i="11"/>
  <c r="W26" i="9"/>
  <c r="W13" i="9"/>
  <c r="AA38" i="9"/>
  <c r="AU14" i="9"/>
  <c r="AG2" i="9"/>
  <c r="AM4" i="9"/>
  <c r="AR14" i="9"/>
  <c r="AN2" i="9"/>
  <c r="AH27" i="9"/>
  <c r="AD6" i="9"/>
  <c r="AX5" i="9"/>
  <c r="AC23" i="9"/>
  <c r="W34" i="9"/>
  <c r="AB36" i="9"/>
  <c r="AI7" i="9"/>
  <c r="AN39" i="9"/>
  <c r="AD33" i="9"/>
  <c r="AP39" i="9"/>
  <c r="V35" i="9"/>
  <c r="V22" i="9"/>
  <c r="V13" i="9"/>
  <c r="V6" i="9"/>
  <c r="AA35" i="9"/>
  <c r="AX18" i="9"/>
  <c r="AQ19" i="9"/>
  <c r="AS12" i="9"/>
  <c r="AV14" i="9"/>
  <c r="N56" i="11"/>
  <c r="AU18" i="9"/>
  <c r="AP32" i="9"/>
  <c r="AV7" i="9"/>
  <c r="AA26" i="9"/>
  <c r="AG22" i="9"/>
  <c r="AM2" i="9"/>
  <c r="AE35" i="9"/>
  <c r="U14" i="11"/>
  <c r="U49" i="11"/>
  <c r="N21" i="11"/>
  <c r="AH26" i="9"/>
  <c r="AC782" i="1"/>
  <c r="AW39" i="9"/>
  <c r="AP9" i="9"/>
  <c r="Z34" i="9"/>
  <c r="X12" i="9"/>
  <c r="AB35" i="9"/>
  <c r="AC34" i="9"/>
  <c r="X28" i="9"/>
  <c r="X26" i="9"/>
  <c r="AS6" i="9"/>
  <c r="AW17" i="9"/>
  <c r="AP35" i="9"/>
  <c r="AO35" i="9"/>
  <c r="AV18" i="9"/>
  <c r="AV12" i="9"/>
  <c r="AH2" i="9"/>
  <c r="AD794" i="1"/>
  <c r="AD734" i="1"/>
  <c r="AC723" i="1"/>
  <c r="AD750" i="1"/>
  <c r="AD596" i="1"/>
  <c r="AJ8" i="9"/>
  <c r="AR16" i="9"/>
  <c r="Y13" i="9"/>
  <c r="AC272" i="1"/>
  <c r="AC724" i="1"/>
  <c r="AD865" i="1"/>
  <c r="AK19" i="9"/>
  <c r="AR8" i="9"/>
  <c r="V25" i="9"/>
  <c r="AC720" i="1"/>
  <c r="AC735" i="1"/>
  <c r="AH28" i="9"/>
  <c r="AW15" i="9"/>
  <c r="AT23" i="9"/>
  <c r="AD784" i="1"/>
  <c r="AD646" i="1"/>
  <c r="AC543" i="1"/>
  <c r="AB33" i="9"/>
  <c r="BA5" i="9"/>
  <c r="AU17" i="9"/>
  <c r="AN34" i="9"/>
  <c r="AP3" i="9"/>
  <c r="X25" i="9"/>
  <c r="AC653" i="1"/>
  <c r="AU16" i="9"/>
  <c r="AE29" i="9"/>
  <c r="AY28" i="9"/>
  <c r="AX6" i="9"/>
  <c r="W14" i="9"/>
  <c r="AD609" i="1"/>
  <c r="AI23" i="9"/>
  <c r="Y24" i="9"/>
  <c r="AV29" i="9"/>
  <c r="AD14" i="9"/>
  <c r="AN9" i="9"/>
  <c r="AU6" i="9"/>
  <c r="AF22" i="9"/>
  <c r="Z25" i="9"/>
  <c r="AF2" i="9"/>
  <c r="AD26" i="9"/>
  <c r="Y7" i="9"/>
  <c r="Z27" i="9"/>
  <c r="AN19" i="9"/>
  <c r="X7" i="9"/>
  <c r="AD23" i="9"/>
  <c r="X14" i="9"/>
  <c r="AO23" i="9"/>
  <c r="AX29" i="9"/>
  <c r="AJ13" i="9"/>
  <c r="AQ24" i="9"/>
  <c r="Y17" i="9"/>
  <c r="AR37" i="9"/>
  <c r="AI29" i="9"/>
  <c r="AS3" i="9"/>
  <c r="AO8" i="9"/>
  <c r="AA5" i="9"/>
  <c r="AL3" i="9"/>
  <c r="Y8" i="9"/>
  <c r="AR13" i="9"/>
  <c r="AP18" i="9"/>
  <c r="AK25" i="9"/>
  <c r="AS19" i="9"/>
  <c r="AC19" i="9"/>
  <c r="AN14" i="9"/>
  <c r="AY13" i="9"/>
  <c r="AE33" i="9"/>
  <c r="AQ34" i="9"/>
  <c r="AK35" i="9"/>
  <c r="AK6" i="9"/>
  <c r="AM16" i="9"/>
  <c r="AT2" i="9"/>
  <c r="AL9" i="9"/>
  <c r="AT29" i="9"/>
  <c r="AZ24" i="9"/>
  <c r="AH23" i="9"/>
  <c r="AY37" i="9"/>
  <c r="AB26" i="9"/>
  <c r="AL6" i="9"/>
  <c r="AS5" i="9"/>
  <c r="AP5" i="9"/>
  <c r="AN17" i="9"/>
  <c r="AB25" i="9"/>
  <c r="AW9" i="9"/>
  <c r="X5" i="9"/>
  <c r="AS37" i="9"/>
  <c r="BA26" i="9"/>
  <c r="AS14" i="9"/>
  <c r="AF4" i="9"/>
  <c r="BA17" i="9"/>
  <c r="X33" i="9"/>
  <c r="AR38" i="9"/>
  <c r="AL7" i="9"/>
  <c r="AE3" i="9"/>
  <c r="AF18" i="9"/>
  <c r="AE36" i="9"/>
  <c r="AE17" i="9"/>
  <c r="AU37" i="9"/>
  <c r="AZ28" i="9"/>
  <c r="AQ35" i="9"/>
  <c r="AR5" i="9"/>
  <c r="AD829" i="1"/>
  <c r="AP38" i="9"/>
  <c r="AY5" i="9"/>
  <c r="AO27" i="9"/>
  <c r="AK9" i="9"/>
  <c r="AK5" i="9"/>
  <c r="AT37" i="9"/>
  <c r="AS29" i="9"/>
  <c r="AM3" i="9"/>
  <c r="AE25" i="9"/>
  <c r="AM34" i="9"/>
  <c r="AV15" i="9"/>
  <c r="Y19" i="9"/>
  <c r="Z22" i="9"/>
  <c r="W23" i="9"/>
  <c r="AH7" i="9"/>
  <c r="AD776" i="1"/>
  <c r="AB17" i="9"/>
  <c r="AB2" i="9"/>
  <c r="AQ27" i="9"/>
  <c r="AD38" i="9"/>
  <c r="AL28" i="9"/>
  <c r="W33" i="9"/>
  <c r="AC38" i="9"/>
  <c r="BA27" i="9"/>
  <c r="AG26" i="9"/>
  <c r="AJ39" i="9"/>
  <c r="AZ29" i="9"/>
  <c r="AG12" i="9"/>
  <c r="AB34" i="9"/>
  <c r="Z4" i="9"/>
  <c r="AI25" i="9"/>
  <c r="AC15" i="9"/>
  <c r="V26" i="9"/>
  <c r="AR9" i="9"/>
  <c r="AJ26" i="9"/>
  <c r="Y39" i="9"/>
  <c r="AQ32" i="9"/>
  <c r="AT26" i="9"/>
  <c r="AK14" i="9"/>
  <c r="AP23" i="9"/>
  <c r="AM13" i="9"/>
  <c r="AO25" i="9"/>
  <c r="AT32" i="9"/>
  <c r="AS32" i="9"/>
  <c r="AU8" i="9"/>
  <c r="AI8" i="9"/>
  <c r="AK39" i="9"/>
  <c r="AQ23" i="9"/>
  <c r="AY18" i="9"/>
  <c r="AB3" i="9"/>
  <c r="AE18" i="9"/>
  <c r="AN38" i="9"/>
  <c r="AD817" i="1"/>
  <c r="AE2" i="9"/>
  <c r="AF8" i="9"/>
  <c r="AI39" i="9"/>
  <c r="AI6" i="9"/>
  <c r="AI24" i="9"/>
  <c r="W28" i="9"/>
  <c r="AX26" i="9"/>
  <c r="AD15" i="9"/>
  <c r="AJ14" i="9"/>
  <c r="AO4" i="9"/>
  <c r="AU15" i="9"/>
  <c r="AS4" i="9"/>
  <c r="W16" i="9"/>
  <c r="AU5" i="9"/>
  <c r="AW32" i="9"/>
  <c r="AN13" i="9"/>
  <c r="AH13" i="9"/>
  <c r="AG6" i="9"/>
  <c r="AI18" i="9"/>
  <c r="AE27" i="9"/>
  <c r="AX4" i="9"/>
  <c r="AL33" i="9"/>
  <c r="BA13" i="9"/>
  <c r="AF33" i="9"/>
  <c r="AL18" i="9"/>
  <c r="AN37" i="9"/>
  <c r="AD660" i="1"/>
  <c r="AC4" i="9"/>
  <c r="W36" i="9"/>
  <c r="AY23" i="9"/>
  <c r="AV16" i="9"/>
  <c r="AN7" i="9"/>
  <c r="AV3" i="9"/>
  <c r="AS39" i="9"/>
  <c r="AT16" i="9"/>
  <c r="W24" i="9"/>
  <c r="BA2" i="9"/>
  <c r="AU27" i="9"/>
  <c r="AR7" i="9"/>
  <c r="AV5" i="9"/>
  <c r="AE34" i="9"/>
  <c r="AM5" i="9"/>
  <c r="AC292" i="1"/>
  <c r="AC682" i="1"/>
  <c r="AR26" i="9"/>
  <c r="AB8" i="9"/>
  <c r="Z5" i="9"/>
  <c r="V8" i="9"/>
  <c r="AD36" i="9"/>
  <c r="AO15" i="9"/>
  <c r="AS2" i="9"/>
  <c r="Y38" i="9"/>
  <c r="W17" i="9"/>
  <c r="AG4" i="9"/>
  <c r="AB27" i="9"/>
  <c r="AL4" i="9"/>
  <c r="Z33" i="9"/>
  <c r="AB4" i="9"/>
  <c r="AC364" i="1"/>
  <c r="AN4" i="9"/>
  <c r="Y26" i="9"/>
  <c r="AL12" i="9"/>
  <c r="AC888" i="1"/>
  <c r="AC733" i="1"/>
  <c r="X29" i="9"/>
  <c r="AI26" i="9"/>
  <c r="Z6" i="9"/>
  <c r="V23" i="9"/>
  <c r="Y14" i="9"/>
  <c r="AN6" i="9"/>
  <c r="AX14" i="9"/>
  <c r="AM24" i="9"/>
  <c r="AB29" i="9"/>
  <c r="AU29" i="9"/>
  <c r="AT19" i="9"/>
  <c r="AB13" i="9"/>
  <c r="Z39" i="9"/>
  <c r="AX19" i="9"/>
  <c r="AO12" i="9"/>
  <c r="AB5" i="9"/>
  <c r="AC8" i="9"/>
  <c r="AY32" i="9"/>
  <c r="AK18" i="9"/>
  <c r="AF36" i="9"/>
  <c r="AT8" i="9"/>
  <c r="AG33" i="9"/>
  <c r="AJ25" i="9"/>
  <c r="AX22" i="9"/>
  <c r="AS35" i="9"/>
  <c r="AN33" i="9"/>
  <c r="V16" i="9"/>
  <c r="AV32" i="9"/>
  <c r="W38" i="9"/>
  <c r="AT9" i="9"/>
  <c r="BA25" i="9"/>
  <c r="X2" i="9"/>
  <c r="AW22" i="9"/>
  <c r="AO19" i="9"/>
  <c r="AL16" i="9"/>
  <c r="AH9" i="9"/>
  <c r="AW35" i="9"/>
  <c r="AF7" i="9"/>
  <c r="AA34" i="9"/>
  <c r="AZ16" i="9"/>
  <c r="AQ9" i="9"/>
  <c r="AX38" i="9"/>
  <c r="AQ13" i="9"/>
  <c r="AO13" i="9"/>
  <c r="Z16" i="9"/>
  <c r="AQ14" i="9"/>
  <c r="X27" i="9"/>
  <c r="V4" i="9"/>
  <c r="W37" i="9"/>
  <c r="AL26" i="9"/>
  <c r="AL24" i="9"/>
  <c r="AY8" i="9"/>
  <c r="AT17" i="9"/>
  <c r="X15" i="9"/>
  <c r="AI22" i="9"/>
  <c r="AE7" i="9"/>
  <c r="AE8" i="9"/>
  <c r="AX3" i="9"/>
  <c r="AX34" i="9"/>
  <c r="AS36" i="9"/>
  <c r="AJ22" i="9"/>
  <c r="AP28" i="9"/>
  <c r="AZ7" i="9"/>
  <c r="AK16" i="9"/>
  <c r="AK8" i="9"/>
  <c r="AF34" i="9"/>
  <c r="Y4" i="9"/>
  <c r="AJ27" i="9"/>
  <c r="AY3" i="9"/>
  <c r="AG29" i="9"/>
  <c r="AW4" i="9"/>
  <c r="AU34" i="9"/>
  <c r="AS25" i="9"/>
  <c r="AG13" i="9"/>
  <c r="AC25" i="9"/>
  <c r="AE39" i="9"/>
  <c r="BA7" i="9"/>
  <c r="AO9" i="9"/>
  <c r="V17" i="9"/>
  <c r="AL22" i="9"/>
  <c r="AR12" i="9"/>
  <c r="AX7" i="9"/>
  <c r="AS16" i="9"/>
  <c r="AH16" i="9"/>
  <c r="Y36" i="9"/>
  <c r="AV6" i="9"/>
  <c r="AG32" i="9"/>
  <c r="V38" i="9"/>
  <c r="AJ15" i="9"/>
  <c r="AN36" i="9"/>
  <c r="BA15" i="9"/>
  <c r="V27" i="9"/>
  <c r="AS26" i="9"/>
  <c r="X34" i="9"/>
  <c r="AZ39" i="9"/>
  <c r="AI13" i="9"/>
  <c r="AH24" i="9"/>
  <c r="BA23" i="9"/>
  <c r="AU13" i="9"/>
  <c r="Z2" i="9"/>
  <c r="AS38" i="9"/>
  <c r="Z24" i="9"/>
  <c r="X6" i="9"/>
  <c r="AW8" i="9"/>
  <c r="AC27" i="9"/>
  <c r="AP7" i="9"/>
  <c r="V2" i="9"/>
  <c r="AE4" i="9"/>
  <c r="AN25" i="9"/>
  <c r="AX13" i="9"/>
  <c r="AZ19" i="9"/>
  <c r="AS27" i="9"/>
  <c r="Y16" i="9"/>
  <c r="AN29" i="9"/>
  <c r="AO2" i="9"/>
  <c r="AD4" i="9"/>
  <c r="AM38" i="9"/>
  <c r="AU35" i="9"/>
  <c r="AX2" i="9"/>
  <c r="AH5" i="9"/>
  <c r="AV13" i="9"/>
  <c r="AI34" i="9"/>
  <c r="AT38" i="9"/>
  <c r="AI16" i="9"/>
  <c r="AE12" i="9"/>
  <c r="AW7" i="9"/>
  <c r="W32" i="9"/>
  <c r="AA7" i="9"/>
  <c r="AL39" i="9"/>
  <c r="AA37" i="9"/>
  <c r="AM6" i="9"/>
  <c r="AG35" i="9"/>
  <c r="AW37" i="9"/>
  <c r="AW26" i="9"/>
  <c r="AY4" i="9"/>
  <c r="AC13" i="9"/>
  <c r="AM9" i="9"/>
  <c r="AP2" i="9"/>
  <c r="AM12" i="9"/>
  <c r="X23" i="9"/>
  <c r="AO24" i="9"/>
  <c r="Y12" i="9"/>
  <c r="AD25" i="9"/>
  <c r="Y34" i="9"/>
  <c r="AA13" i="9"/>
  <c r="AH35" i="9"/>
  <c r="AA6" i="9"/>
  <c r="AI9" i="9"/>
  <c r="AQ17" i="9"/>
  <c r="AQ33" i="9"/>
  <c r="V32" i="9"/>
  <c r="AW12" i="9"/>
  <c r="AQ16" i="9"/>
  <c r="V3" i="9"/>
  <c r="AX17" i="9"/>
  <c r="Y25" i="9"/>
  <c r="AH6" i="9"/>
  <c r="AI5" i="9"/>
  <c r="AP4" i="9"/>
  <c r="AN3" i="9"/>
  <c r="X13" i="9"/>
  <c r="AW23" i="9"/>
  <c r="AE6" i="9"/>
  <c r="AO17" i="9"/>
  <c r="AS13" i="9"/>
  <c r="AW14" i="9"/>
  <c r="AG23" i="9"/>
  <c r="AB38" i="9"/>
  <c r="AI19" i="9"/>
  <c r="AC29" i="9"/>
  <c r="AD8" i="9"/>
  <c r="AS23" i="9"/>
  <c r="AR36" i="9"/>
  <c r="AV26" i="9"/>
  <c r="AF9" i="9"/>
  <c r="W39" i="9"/>
  <c r="BA33" i="9"/>
  <c r="AC7" i="9"/>
  <c r="AU26" i="9"/>
  <c r="AK34" i="9"/>
  <c r="AW19" i="9"/>
  <c r="Y6" i="9"/>
  <c r="AJ12" i="9"/>
  <c r="AB19" i="9"/>
  <c r="AH37" i="9"/>
  <c r="AK37" i="9"/>
  <c r="AX33" i="9"/>
  <c r="AT33" i="9"/>
  <c r="AS18" i="9"/>
  <c r="AQ37" i="9"/>
  <c r="AA24" i="9"/>
  <c r="AL17" i="9"/>
  <c r="AX27" i="9"/>
  <c r="W22" i="9"/>
  <c r="AX15" i="9"/>
  <c r="AJ23" i="9"/>
  <c r="AO38" i="9"/>
  <c r="AR35" i="9"/>
  <c r="AU39" i="9"/>
  <c r="AH34" i="9"/>
  <c r="AV24" i="9"/>
  <c r="AU36" i="9"/>
  <c r="AL34" i="9"/>
  <c r="AB14" i="9"/>
  <c r="AG5" i="9"/>
  <c r="AD32" i="9"/>
  <c r="AP8" i="9"/>
  <c r="AB32" i="9"/>
  <c r="AE19" i="9"/>
  <c r="AT15" i="9"/>
  <c r="AL8" i="9"/>
  <c r="AM39" i="9"/>
  <c r="AQ26" i="9"/>
  <c r="AY6" i="9"/>
  <c r="X24" i="9"/>
  <c r="AO3" i="9"/>
  <c r="AE38" i="9"/>
  <c r="AK23" i="9"/>
  <c r="AQ6" i="9"/>
  <c r="AW18" i="9"/>
  <c r="AK2" i="9"/>
  <c r="AE16" i="9"/>
  <c r="Z32" i="9"/>
  <c r="AH8" i="9"/>
  <c r="AI32" i="9"/>
  <c r="AN23" i="9"/>
  <c r="V24" i="9"/>
  <c r="AJ29" i="9"/>
  <c r="AH14" i="9"/>
  <c r="AK27" i="9"/>
  <c r="AA29" i="9"/>
  <c r="AZ37" i="9"/>
  <c r="AM28" i="9"/>
  <c r="AN26" i="9"/>
  <c r="AW24" i="9"/>
  <c r="V5" i="9"/>
  <c r="AT14" i="9"/>
  <c r="AG3" i="9"/>
  <c r="AM23" i="9"/>
  <c r="AF5" i="9"/>
  <c r="AG38" i="9"/>
  <c r="Y27" i="9"/>
  <c r="AQ25" i="9"/>
  <c r="AE37" i="9"/>
  <c r="AV28" i="9"/>
  <c r="AI36" i="9"/>
  <c r="AF26" i="9"/>
  <c r="W15" i="9"/>
  <c r="BA34" i="9"/>
  <c r="AL32" i="9"/>
  <c r="AY26" i="9"/>
  <c r="AP13" i="9"/>
  <c r="AA18" i="9"/>
  <c r="V34" i="9"/>
  <c r="X39" i="9"/>
  <c r="AR23" i="9"/>
  <c r="AU25" i="9"/>
  <c r="X17" i="9"/>
  <c r="AM26" i="9"/>
  <c r="V33" i="9"/>
  <c r="AP26" i="9"/>
  <c r="AD34" i="9"/>
  <c r="AW25" i="9"/>
  <c r="AH19" i="9"/>
  <c r="AB37" i="9"/>
  <c r="AA16" i="9"/>
  <c r="V9" i="9"/>
  <c r="AL27" i="9"/>
  <c r="BA29" i="9"/>
  <c r="AP29" i="9"/>
  <c r="AQ22" i="9"/>
  <c r="BA37" i="9"/>
  <c r="AN15" i="9"/>
  <c r="AU22" i="9"/>
  <c r="AI2" i="9"/>
  <c r="AQ4" i="9"/>
  <c r="AW16" i="9"/>
  <c r="AS28" i="9"/>
  <c r="AL25" i="9"/>
  <c r="AR22" i="9"/>
  <c r="AM36" i="9"/>
  <c r="AZ18" i="9"/>
  <c r="AJ2" i="9"/>
  <c r="AR34" i="9"/>
  <c r="AZ3" i="9"/>
  <c r="Z15" i="9"/>
  <c r="AS33" i="9"/>
  <c r="AG18" i="9"/>
  <c r="X35" i="9"/>
  <c r="BA6" i="9"/>
  <c r="AX12" i="9"/>
  <c r="AG37" i="9"/>
  <c r="AB24" i="9"/>
  <c r="AT27" i="9"/>
  <c r="AI37" i="9"/>
  <c r="AI38" i="9"/>
  <c r="X32" i="9"/>
  <c r="AO36" i="9"/>
  <c r="AP15" i="9"/>
  <c r="X22" i="9"/>
  <c r="AM25" i="9"/>
  <c r="AO37" i="9"/>
  <c r="AT35" i="9"/>
  <c r="AR6" i="9"/>
  <c r="AF15" i="9"/>
  <c r="AF25" i="9"/>
  <c r="AX37" i="9"/>
  <c r="Y33" i="9"/>
  <c r="AT24" i="9"/>
  <c r="AH38" i="9"/>
  <c r="AH4" i="9"/>
  <c r="AL29" i="9"/>
  <c r="AZ13" i="9"/>
  <c r="AJ16" i="9"/>
  <c r="AA33" i="9"/>
  <c r="Z38" i="9"/>
  <c r="AD9" i="9"/>
  <c r="AO28" i="9"/>
  <c r="AR17" i="9"/>
  <c r="AB15" i="9"/>
  <c r="AW28" i="9"/>
  <c r="AR25" i="9"/>
  <c r="Z23" i="9"/>
  <c r="AG36" i="9"/>
  <c r="AV19" i="9"/>
  <c r="AK28" i="9"/>
  <c r="AB7" i="9"/>
  <c r="AY7" i="9"/>
  <c r="AU9" i="9"/>
  <c r="AP17" i="9"/>
  <c r="AK22" i="9"/>
  <c r="AM18" i="9"/>
  <c r="AA22" i="9"/>
  <c r="AW27" i="9"/>
  <c r="AZ6" i="9"/>
  <c r="AD3" i="9"/>
  <c r="AH36" i="9"/>
  <c r="AS34" i="9"/>
  <c r="AS8" i="9"/>
  <c r="Y5" i="9"/>
  <c r="V18" i="9"/>
  <c r="AJ6" i="9"/>
  <c r="AC6" i="9"/>
  <c r="AG17" i="9"/>
  <c r="AZ5" i="9"/>
  <c r="AU2" i="9"/>
  <c r="AO16" i="9"/>
  <c r="AO7" i="9"/>
  <c r="AI35" i="9"/>
  <c r="AV8" i="9"/>
  <c r="AK17" i="9"/>
  <c r="AH12" i="9"/>
  <c r="AA36" i="9"/>
  <c r="AX24" i="9"/>
  <c r="AT12" i="9"/>
  <c r="AV33" i="9"/>
  <c r="AZ8" i="9"/>
  <c r="AT13" i="9"/>
  <c r="AD16" i="9"/>
  <c r="AY38" i="9"/>
  <c r="AI14" i="9"/>
  <c r="AN8" i="9"/>
  <c r="AJ5" i="9"/>
  <c r="AL14" i="9"/>
  <c r="AN32" i="9"/>
  <c r="AK32" i="9"/>
  <c r="V37" i="9"/>
  <c r="AC16" i="9"/>
  <c r="AL19" i="9"/>
  <c r="Z18" i="9"/>
  <c r="AR32" i="9"/>
  <c r="AL2" i="9"/>
  <c r="AM32" i="9"/>
  <c r="AW29" i="9"/>
  <c r="AO39" i="9"/>
  <c r="AK36" i="9"/>
  <c r="AV35" i="9"/>
  <c r="W3" i="9"/>
  <c r="AR3" i="9"/>
  <c r="AM8" i="9"/>
  <c r="AQ18" i="9"/>
  <c r="AW5" i="9"/>
  <c r="AY36" i="9"/>
  <c r="W8" i="9"/>
  <c r="AW3" i="9"/>
  <c r="AY14" i="9"/>
  <c r="AJ35" i="9"/>
  <c r="AH17" i="9"/>
  <c r="Z7" i="9"/>
  <c r="Y28" i="9"/>
  <c r="AE9" i="9"/>
  <c r="AD24" i="9"/>
  <c r="AQ36" i="9"/>
  <c r="Z19" i="9"/>
  <c r="AJ3" i="9"/>
  <c r="Y22" i="9"/>
  <c r="AX28" i="9"/>
  <c r="AC33" i="9"/>
  <c r="Y23" i="9"/>
  <c r="Y18" i="9"/>
  <c r="AP34" i="9"/>
  <c r="AF28" i="9"/>
  <c r="AH33" i="9"/>
  <c r="AT22" i="9"/>
  <c r="AQ7" i="9"/>
  <c r="AO14" i="9"/>
  <c r="AE24" i="9"/>
  <c r="AA14" i="9"/>
  <c r="AT6" i="9"/>
  <c r="AC14" i="9"/>
  <c r="AK3" i="9"/>
  <c r="AP19" i="9"/>
  <c r="X8" i="9"/>
  <c r="Y35" i="9"/>
  <c r="AJ7" i="9"/>
  <c r="AA28" i="9"/>
  <c r="AW13" i="9"/>
  <c r="AC36" i="9"/>
  <c r="AZ35" i="9"/>
  <c r="AS24" i="9"/>
  <c r="Y2" i="9"/>
  <c r="AB18" i="9"/>
  <c r="AJ36" i="9"/>
  <c r="AI12" i="9"/>
  <c r="AW6" i="9"/>
  <c r="AH3" i="9"/>
  <c r="AM29" i="9"/>
  <c r="AK7" i="9"/>
  <c r="AN35" i="9"/>
  <c r="AM17" i="9"/>
  <c r="AZ27" i="9"/>
  <c r="AR4" i="9"/>
  <c r="AB22" i="9"/>
  <c r="W9" i="9"/>
  <c r="AZ12" i="9"/>
  <c r="Z9" i="9"/>
  <c r="AU32" i="9"/>
  <c r="V15" i="9"/>
  <c r="AP14" i="9"/>
  <c r="AD13" i="9"/>
  <c r="AB39" i="9"/>
  <c r="AG15" i="9"/>
  <c r="AM19" i="9"/>
  <c r="AK13" i="9"/>
  <c r="AA17" i="9"/>
  <c r="AA19" i="9"/>
  <c r="AR33" i="9"/>
  <c r="V29" i="9"/>
  <c r="AS7" i="9"/>
  <c r="AE15" i="9"/>
  <c r="AO5" i="9"/>
  <c r="AD18" i="9"/>
  <c r="AU4" i="9"/>
  <c r="AY9" i="9"/>
  <c r="BA38" i="9"/>
  <c r="AZ34" i="9"/>
  <c r="BA28" i="9"/>
  <c r="AA3" i="9"/>
  <c r="Y37" i="9"/>
  <c r="AQ5" i="9"/>
  <c r="AY34" i="9"/>
  <c r="AY24" i="9"/>
  <c r="AD29" i="9"/>
  <c r="AE28" i="9"/>
  <c r="AC24" i="9"/>
  <c r="AR27" i="9"/>
  <c r="AF16" i="9"/>
  <c r="X3" i="9"/>
  <c r="X37" i="9"/>
  <c r="AV25" i="9"/>
  <c r="AZ15" i="9"/>
  <c r="W35" i="9"/>
  <c r="AA8" i="9"/>
  <c r="Z12" i="9"/>
  <c r="Z35" i="9"/>
  <c r="X16" i="9"/>
  <c r="AS17" i="9"/>
  <c r="AB9" i="9"/>
  <c r="AJ28" i="9"/>
  <c r="AX35" i="9"/>
  <c r="AF32" i="9"/>
  <c r="AZ4" i="9"/>
  <c r="AU3" i="9"/>
  <c r="AE22" i="9"/>
  <c r="AX16" i="9"/>
  <c r="W18" i="9"/>
  <c r="AU19" i="9"/>
  <c r="AA15" i="9"/>
  <c r="AZ36" i="9"/>
  <c r="W4" i="9"/>
  <c r="AO32" i="9"/>
  <c r="AE26" i="9"/>
  <c r="AQ39" i="9"/>
  <c r="AU28" i="9"/>
  <c r="AR24" i="9"/>
  <c r="AV38" i="9"/>
  <c r="AN22" i="9"/>
  <c r="AT5" i="9"/>
  <c r="AN18" i="9"/>
  <c r="AM15" i="9"/>
  <c r="AF23" i="9"/>
  <c r="AU24" i="9"/>
  <c r="W12" i="9"/>
  <c r="AY29" i="9"/>
  <c r="BA12" i="9"/>
  <c r="AY12" i="9"/>
  <c r="AG27" i="9"/>
  <c r="AB23" i="9"/>
  <c r="BA4" i="9"/>
  <c r="AK15" i="9"/>
  <c r="AV34" i="9"/>
  <c r="AA25" i="9"/>
  <c r="AW33" i="9"/>
  <c r="AI27" i="9"/>
  <c r="Y9" i="9"/>
  <c r="BA35" i="9"/>
  <c r="AF14" i="9"/>
  <c r="AH25" i="9"/>
  <c r="AG14" i="9"/>
  <c r="AY17" i="9"/>
  <c r="AC35" i="9"/>
  <c r="AP12" i="9"/>
  <c r="AJ4" i="9"/>
  <c r="AD22" i="9"/>
  <c r="AC26" i="9"/>
  <c r="AU7" i="9"/>
  <c r="AD2" i="9"/>
  <c r="W19" i="9"/>
  <c r="AC17" i="9"/>
  <c r="AM33" i="9"/>
  <c r="AO29" i="9"/>
  <c r="AF27" i="9"/>
  <c r="AK4" i="9"/>
  <c r="AV4" i="9"/>
  <c r="X18" i="9"/>
  <c r="AA12" i="9"/>
  <c r="AJ34" i="9"/>
  <c r="AT34" i="9"/>
  <c r="AY25" i="9"/>
  <c r="AD7" i="9"/>
  <c r="Y32" i="9"/>
  <c r="AC18" i="9"/>
  <c r="W2" i="9"/>
  <c r="AZ23" i="9"/>
  <c r="AB12" i="9"/>
  <c r="AZ2" i="9"/>
  <c r="AA23" i="9"/>
  <c r="AF24" i="9"/>
  <c r="AB16" i="9"/>
  <c r="AH15" i="9"/>
  <c r="AM14" i="9"/>
  <c r="AV22" i="9"/>
  <c r="BA39" i="9"/>
  <c r="AF19" i="9"/>
  <c r="AR39" i="9"/>
  <c r="AP24" i="9"/>
  <c r="AG19" i="9"/>
  <c r="AZ32" i="9"/>
  <c r="AK38" i="9"/>
  <c r="Z28" i="9"/>
  <c r="AD12" i="9"/>
  <c r="AT25" i="9"/>
  <c r="AC3" i="9"/>
  <c r="AL15" i="9"/>
  <c r="AZ9" i="9"/>
  <c r="AC5" i="9"/>
  <c r="AC22" i="9"/>
  <c r="AR18" i="9"/>
  <c r="AF17" i="9"/>
  <c r="AW2" i="9"/>
  <c r="AD37" i="9"/>
  <c r="AZ14" i="9"/>
  <c r="AM22" i="9"/>
  <c r="V19" i="9"/>
  <c r="AF35" i="9"/>
  <c r="Z3" i="9"/>
  <c r="BA36" i="9"/>
  <c r="AE13" i="9"/>
  <c r="AX25" i="9"/>
  <c r="AM7" i="9"/>
  <c r="AT4" i="9"/>
  <c r="V28" i="9"/>
  <c r="AJ9" i="9"/>
  <c r="Z26" i="9"/>
  <c r="AD5" i="9"/>
  <c r="W7" i="9"/>
  <c r="AY2" i="9"/>
  <c r="AQ15" i="9"/>
  <c r="BA22" i="9"/>
  <c r="BA24" i="9"/>
  <c r="AY22" i="9"/>
  <c r="AQ3" i="9"/>
  <c r="AV36" i="9"/>
  <c r="AA4" i="9"/>
  <c r="AA2" i="9"/>
  <c r="AJ19" i="9"/>
  <c r="AB28" i="9"/>
  <c r="AD27" i="9"/>
  <c r="AX9" i="9"/>
  <c r="AX32" i="9"/>
  <c r="AC9" i="9"/>
  <c r="AF39" i="9"/>
  <c r="AF12" i="9"/>
  <c r="AH22" i="9"/>
  <c r="BA16" i="9"/>
  <c r="AT36" i="9"/>
  <c r="Z29" i="9"/>
  <c r="AI33" i="9"/>
  <c r="W6" i="9"/>
  <c r="AP27" i="9"/>
  <c r="Z37" i="9"/>
  <c r="Z17" i="9"/>
  <c r="AT3" i="9"/>
  <c r="AG28" i="9"/>
  <c r="AL35" i="9"/>
  <c r="AO6" i="9"/>
  <c r="BA19" i="9"/>
  <c r="BA3" i="9"/>
  <c r="AK33" i="9"/>
  <c r="W25" i="9"/>
  <c r="AJ24" i="9"/>
  <c r="AP6" i="9"/>
  <c r="AP37" i="9"/>
  <c r="AN5" i="9"/>
  <c r="AG7" i="9"/>
  <c r="AW38" i="9"/>
  <c r="BA8" i="9"/>
  <c r="AF38" i="9"/>
  <c r="AY39" i="9"/>
  <c r="AI4" i="9"/>
  <c r="AL13" i="9"/>
  <c r="AU23" i="9"/>
  <c r="AC816" i="1"/>
  <c r="AD663" i="1"/>
  <c r="AS15" i="9"/>
  <c r="AF3" i="9"/>
  <c r="AX39" i="9"/>
  <c r="AO34" i="9"/>
  <c r="AA27" i="9"/>
  <c r="AY16" i="9"/>
  <c r="Y29" i="9"/>
  <c r="AH39" i="9"/>
  <c r="AH32" i="9"/>
  <c r="AL5" i="9"/>
  <c r="AZ26" i="9"/>
  <c r="AC563" i="1"/>
  <c r="AD493" i="1"/>
  <c r="AD208" i="1"/>
  <c r="AG39" i="9"/>
  <c r="AC936" i="1"/>
  <c r="AD602" i="1"/>
  <c r="AJ33" i="9"/>
  <c r="AE5" i="9"/>
  <c r="AG9" i="9"/>
  <c r="AQ2" i="9"/>
  <c r="AD53" i="11"/>
  <c r="AC625" i="1"/>
  <c r="AT7" i="9"/>
  <c r="Z36" i="9"/>
  <c r="AC629" i="1"/>
  <c r="AC748" i="1"/>
  <c r="AC39" i="9"/>
  <c r="AC32" i="9"/>
  <c r="AZ25" i="9"/>
  <c r="AZ22" i="9"/>
  <c r="AL38" i="9"/>
  <c r="AD810" i="1"/>
  <c r="AX23" i="9"/>
  <c r="AK26" i="9"/>
  <c r="AM37" i="9"/>
  <c r="AQ28" i="9"/>
  <c r="AR29" i="9"/>
  <c r="AV27" i="9"/>
  <c r="AC290" i="1"/>
  <c r="AC495" i="1"/>
  <c r="AD534" i="1"/>
  <c r="AD451" i="1"/>
  <c r="AC515" i="1"/>
  <c r="M28" i="11"/>
  <c r="R30" i="11"/>
  <c r="AD18" i="11"/>
  <c r="Z37" i="11"/>
  <c r="AC580" i="1"/>
  <c r="B26" i="11"/>
  <c r="AC833" i="1"/>
  <c r="AC803" i="1"/>
  <c r="AD699" i="1"/>
  <c r="AD721" i="1"/>
  <c r="AD752" i="1"/>
  <c r="AC545" i="1"/>
  <c r="AD696" i="1"/>
  <c r="AD551" i="1"/>
  <c r="T12" i="11"/>
  <c r="AC388" i="1"/>
  <c r="AC820" i="1"/>
  <c r="AD670" i="1"/>
  <c r="B61" i="11"/>
  <c r="Z2" i="11"/>
  <c r="L20" i="11"/>
  <c r="AB48" i="11"/>
  <c r="T47" i="11"/>
  <c r="L55" i="11"/>
  <c r="M63" i="11"/>
  <c r="AB13" i="11"/>
  <c r="Z9" i="11"/>
  <c r="U48" i="11"/>
  <c r="T54" i="11"/>
  <c r="C67" i="11"/>
  <c r="M21" i="11"/>
  <c r="U52" i="11"/>
  <c r="AD42" i="11"/>
  <c r="K3" i="11"/>
  <c r="Q60" i="11"/>
  <c r="I61" i="11"/>
  <c r="AC54" i="11"/>
  <c r="B49" i="11"/>
  <c r="U13" i="11"/>
  <c r="M56" i="11"/>
  <c r="I26" i="11"/>
  <c r="Z44" i="11"/>
  <c r="U17" i="11"/>
  <c r="Q21" i="11"/>
  <c r="S47" i="11"/>
  <c r="Z48" i="11"/>
  <c r="T9" i="11"/>
  <c r="AG3" i="11"/>
  <c r="H51" i="11"/>
  <c r="I62" i="11"/>
  <c r="Q18" i="11"/>
  <c r="D45" i="11"/>
  <c r="AA42" i="11"/>
  <c r="S49" i="11"/>
  <c r="AB37" i="11"/>
  <c r="O63" i="11"/>
  <c r="J40" i="11"/>
  <c r="Y6" i="11"/>
  <c r="R3" i="11"/>
  <c r="C11" i="11"/>
  <c r="I20" i="11"/>
  <c r="C46" i="11"/>
  <c r="K38" i="11"/>
  <c r="T44" i="11"/>
  <c r="I55" i="11"/>
  <c r="L19" i="11"/>
  <c r="AC550" i="1"/>
  <c r="AD606" i="1"/>
  <c r="M61" i="11"/>
  <c r="AD570" i="1"/>
  <c r="AG49" i="11"/>
  <c r="AA49" i="11"/>
  <c r="AC492" i="1"/>
  <c r="C33" i="11"/>
  <c r="R17" i="11"/>
  <c r="G65" i="11"/>
  <c r="F63" i="11"/>
  <c r="C68" i="11"/>
  <c r="AG38" i="11"/>
  <c r="R52" i="11"/>
  <c r="Q53" i="11"/>
  <c r="M26" i="11"/>
  <c r="Z13" i="11"/>
  <c r="AD7" i="11"/>
  <c r="G30" i="11"/>
  <c r="L54" i="11"/>
  <c r="S12" i="11"/>
  <c r="AC732" i="1"/>
  <c r="AC687" i="1"/>
  <c r="AD672" i="1"/>
  <c r="AD603" i="1"/>
  <c r="AD572" i="1"/>
  <c r="AD226" i="1"/>
  <c r="S51" i="11"/>
  <c r="AC370" i="1"/>
  <c r="O64" i="11"/>
  <c r="R61" i="11"/>
  <c r="S43" i="11"/>
  <c r="V44" i="11"/>
  <c r="G56" i="11"/>
  <c r="B65" i="11"/>
  <c r="M60" i="11"/>
  <c r="AC537" i="1"/>
  <c r="AC485" i="1"/>
  <c r="AD600" i="1"/>
  <c r="AD755" i="1"/>
  <c r="AC497" i="1"/>
  <c r="AD612" i="1"/>
  <c r="AC52" i="11"/>
  <c r="H63" i="11"/>
  <c r="AD40" i="11"/>
  <c r="AC756" i="1"/>
  <c r="AD541" i="1"/>
  <c r="AD546" i="1"/>
  <c r="AC512" i="1"/>
  <c r="AD712" i="1"/>
  <c r="AD644" i="1"/>
  <c r="Z62" i="11"/>
  <c r="AC668" i="1"/>
  <c r="AC677" i="1"/>
  <c r="AD676" i="1"/>
  <c r="AD693" i="1"/>
  <c r="AF4" i="11"/>
  <c r="U22" i="11"/>
  <c r="L3" i="11"/>
  <c r="M27" i="11"/>
  <c r="H30" i="11"/>
  <c r="B18" i="11"/>
  <c r="L21" i="11"/>
  <c r="AA18" i="11"/>
  <c r="AD11" i="11"/>
  <c r="AC765" i="1"/>
  <c r="L57" i="11"/>
  <c r="E67" i="11"/>
  <c r="AF47" i="11"/>
  <c r="AC691" i="1"/>
  <c r="AC484" i="1"/>
  <c r="AC488" i="1"/>
  <c r="AC675" i="1"/>
  <c r="AC502" i="1"/>
  <c r="AD736" i="1"/>
  <c r="AC536" i="1"/>
  <c r="AD519" i="1"/>
  <c r="AD535" i="1"/>
  <c r="AC419" i="1"/>
  <c r="AE50" i="11"/>
  <c r="W62" i="11"/>
  <c r="H41" i="11"/>
  <c r="L8" i="11"/>
  <c r="AE67" i="11"/>
  <c r="AC2" i="11"/>
  <c r="F16" i="11"/>
  <c r="M24" i="11"/>
  <c r="R14" i="11"/>
  <c r="AG10" i="11"/>
  <c r="AG5" i="11"/>
  <c r="P20" i="11"/>
  <c r="V8" i="11"/>
  <c r="G29" i="11"/>
  <c r="T3" i="11"/>
  <c r="I33" i="11"/>
  <c r="C28" i="11"/>
  <c r="G26" i="11"/>
  <c r="V33" i="11"/>
  <c r="Y29" i="11"/>
  <c r="L58" i="11"/>
  <c r="M41" i="11"/>
  <c r="AG41" i="11"/>
  <c r="O51" i="11"/>
  <c r="J65" i="11"/>
  <c r="AA37" i="11"/>
  <c r="AB54" i="11"/>
  <c r="G37" i="11"/>
  <c r="AE39" i="11"/>
  <c r="D53" i="11"/>
  <c r="AC538" i="1"/>
  <c r="R66" i="11"/>
  <c r="S42" i="11"/>
  <c r="W4" i="11"/>
  <c r="P23" i="11"/>
  <c r="P62" i="11"/>
  <c r="B40" i="11"/>
  <c r="E57" i="11"/>
  <c r="V39" i="11"/>
  <c r="D47" i="11"/>
  <c r="P68" i="11"/>
  <c r="Y38" i="11"/>
  <c r="O65" i="11"/>
  <c r="R51" i="11"/>
  <c r="E56" i="11"/>
  <c r="N64" i="11"/>
  <c r="B56" i="11"/>
  <c r="E18" i="11"/>
  <c r="AC669" i="1"/>
  <c r="AC652" i="1"/>
  <c r="AD686" i="1"/>
  <c r="G57" i="11"/>
  <c r="Q39" i="11"/>
  <c r="U39" i="11"/>
  <c r="P64" i="11"/>
  <c r="J37" i="11"/>
  <c r="I49" i="11"/>
  <c r="U67" i="11"/>
  <c r="AE52" i="11"/>
  <c r="H52" i="11"/>
  <c r="H48" i="11"/>
  <c r="G39" i="11"/>
  <c r="R32" i="11"/>
  <c r="H59" i="11"/>
  <c r="X58" i="11"/>
  <c r="F58" i="11"/>
  <c r="AC41" i="11"/>
  <c r="AC728" i="1"/>
  <c r="AD522" i="1"/>
  <c r="AD615" i="1"/>
  <c r="Q45" i="11"/>
  <c r="AB42" i="11"/>
  <c r="X41" i="11"/>
  <c r="U60" i="11"/>
  <c r="AC39" i="11"/>
  <c r="Z59" i="11"/>
  <c r="S44" i="11"/>
  <c r="M66" i="11"/>
  <c r="E53" i="11"/>
  <c r="AD618" i="1"/>
  <c r="AB45" i="11"/>
  <c r="Y17" i="11"/>
  <c r="AC590" i="1"/>
  <c r="R40" i="11"/>
  <c r="R5" i="11"/>
  <c r="Q25" i="11"/>
  <c r="Y52" i="11"/>
  <c r="AC571" i="1"/>
  <c r="AC704" i="1"/>
  <c r="AD566" i="1"/>
  <c r="AA68" i="11"/>
  <c r="X55" i="11"/>
  <c r="V46" i="11"/>
  <c r="O60" i="11"/>
  <c r="N61" i="11"/>
  <c r="Z57" i="11"/>
  <c r="G45" i="11"/>
  <c r="X67" i="11"/>
  <c r="B58" i="11"/>
  <c r="Y37" i="11"/>
  <c r="K50" i="11"/>
  <c r="U38" i="11"/>
  <c r="O61" i="11"/>
  <c r="AA39" i="11"/>
  <c r="AE65" i="11"/>
  <c r="W38" i="11"/>
  <c r="AE64" i="11"/>
  <c r="AE55" i="11"/>
  <c r="J58" i="11"/>
  <c r="K59" i="11"/>
  <c r="U46" i="11"/>
  <c r="K63" i="11"/>
  <c r="O45" i="11"/>
  <c r="N55" i="11"/>
  <c r="W66" i="11"/>
  <c r="D68" i="11"/>
  <c r="AD654" i="1"/>
  <c r="AC583" i="1"/>
  <c r="L46" i="11"/>
  <c r="N57" i="11"/>
  <c r="V52" i="11"/>
  <c r="P39" i="11"/>
  <c r="I56" i="11"/>
  <c r="J44" i="11"/>
  <c r="K55" i="11"/>
  <c r="AB39" i="11"/>
  <c r="AC640" i="1"/>
  <c r="AD460" i="1"/>
  <c r="AD597" i="1"/>
  <c r="AF56" i="11"/>
  <c r="AD632" i="1"/>
  <c r="AD540" i="1"/>
  <c r="AC768" i="1"/>
  <c r="AD584" i="1"/>
  <c r="AD637" i="1"/>
  <c r="AD718" i="1"/>
  <c r="AD662" i="1"/>
  <c r="AD631" i="1"/>
  <c r="N62" i="11"/>
  <c r="B41" i="11"/>
  <c r="D38" i="11"/>
  <c r="V60" i="11"/>
  <c r="B57" i="11"/>
  <c r="AC605" i="1"/>
  <c r="AC778" i="1"/>
  <c r="AC746" i="1"/>
  <c r="K52" i="11"/>
  <c r="E52" i="11"/>
  <c r="G43" i="11"/>
  <c r="AD51" i="11"/>
  <c r="AC511" i="1"/>
  <c r="AD338" i="1"/>
  <c r="AC482" i="1"/>
  <c r="AD474" i="1"/>
  <c r="AD435" i="1"/>
  <c r="AD490" i="1"/>
  <c r="P61" i="11"/>
  <c r="AF21" i="11"/>
  <c r="U32" i="11"/>
  <c r="AC753" i="1"/>
  <c r="AC730" i="1"/>
  <c r="P54" i="11"/>
  <c r="I54" i="11"/>
  <c r="AA14" i="11"/>
  <c r="AF41" i="11"/>
  <c r="E64" i="11"/>
  <c r="K48" i="11"/>
  <c r="E54" i="11"/>
  <c r="AD559" i="1"/>
  <c r="N27" i="11"/>
  <c r="X51" i="11"/>
  <c r="M65" i="11"/>
  <c r="AC528" i="1"/>
  <c r="AD688" i="1"/>
  <c r="O46" i="11"/>
  <c r="M50" i="11"/>
  <c r="AF45" i="11"/>
  <c r="G51" i="11"/>
  <c r="AD565" i="1"/>
  <c r="S46" i="11"/>
  <c r="AB60" i="11"/>
  <c r="H47" i="11"/>
  <c r="P19" i="11"/>
  <c r="S16" i="11"/>
  <c r="O11" i="11"/>
  <c r="K15" i="11"/>
  <c r="H12" i="11"/>
  <c r="L43" i="11"/>
  <c r="S9" i="11"/>
  <c r="I19" i="11"/>
  <c r="Y31" i="11"/>
  <c r="AG48" i="11"/>
  <c r="W54" i="11"/>
  <c r="W49" i="11"/>
  <c r="J62" i="11"/>
  <c r="R59" i="11"/>
  <c r="H64" i="11"/>
  <c r="AE46" i="11"/>
  <c r="N51" i="11"/>
  <c r="J55" i="11"/>
  <c r="R45" i="11"/>
  <c r="W65" i="11"/>
  <c r="P40" i="11"/>
  <c r="E60" i="11"/>
  <c r="Z52" i="11"/>
  <c r="N66" i="11"/>
  <c r="AC21" i="11"/>
  <c r="AC67" i="11"/>
  <c r="O54" i="11"/>
  <c r="E42" i="11"/>
  <c r="AE51" i="11"/>
  <c r="S67" i="11"/>
  <c r="U58" i="11"/>
  <c r="AC509" i="1"/>
  <c r="AD316" i="1"/>
  <c r="W40" i="11"/>
  <c r="AG47" i="11"/>
  <c r="I42" i="11"/>
  <c r="Z65" i="11"/>
  <c r="O67" i="11"/>
  <c r="Q67" i="11"/>
  <c r="AC539" i="1"/>
  <c r="C60" i="11"/>
  <c r="O21" i="11"/>
  <c r="O33" i="11"/>
  <c r="T18" i="11"/>
  <c r="B55" i="11"/>
  <c r="G12" i="11"/>
  <c r="N11" i="11"/>
  <c r="Q54" i="11"/>
  <c r="G23" i="11"/>
  <c r="S24" i="11"/>
  <c r="T56" i="11"/>
  <c r="AC55" i="11"/>
  <c r="B3" i="11"/>
  <c r="M5" i="11"/>
  <c r="S18" i="11"/>
  <c r="M42" i="11"/>
  <c r="N39" i="11"/>
  <c r="F62" i="11"/>
  <c r="AC59" i="11"/>
  <c r="X38" i="11"/>
  <c r="Q59" i="11"/>
  <c r="C25" i="11"/>
  <c r="Y3" i="11"/>
  <c r="M64" i="11"/>
  <c r="N24" i="11"/>
  <c r="I43" i="11"/>
  <c r="Y53" i="11"/>
  <c r="B46" i="11"/>
  <c r="J51" i="11"/>
  <c r="F46" i="11"/>
  <c r="F65" i="11"/>
  <c r="S45" i="11"/>
  <c r="AD64" i="11"/>
  <c r="AB29" i="11"/>
  <c r="H58" i="11"/>
  <c r="W67" i="11"/>
  <c r="Y46" i="11"/>
  <c r="Z45" i="11"/>
  <c r="Y10" i="11"/>
  <c r="F47" i="11"/>
  <c r="C41" i="11"/>
  <c r="V65" i="11"/>
  <c r="F61" i="11"/>
  <c r="S57" i="11"/>
  <c r="AD400" i="1"/>
  <c r="AC26" i="11"/>
  <c r="Z58" i="11"/>
  <c r="AD38" i="11"/>
  <c r="I18" i="11"/>
  <c r="P25" i="11"/>
  <c r="H67" i="11"/>
  <c r="C64" i="11"/>
  <c r="O2" i="11"/>
  <c r="AF2" i="11"/>
  <c r="T61" i="11"/>
  <c r="E61" i="11"/>
  <c r="L29" i="11"/>
  <c r="E47" i="11"/>
  <c r="F66" i="11"/>
  <c r="E4" i="11"/>
  <c r="AE5" i="11"/>
  <c r="B43" i="11"/>
  <c r="AF57" i="11"/>
  <c r="AA64" i="11"/>
  <c r="Q42" i="11"/>
  <c r="D24" i="11"/>
  <c r="H56" i="11"/>
  <c r="J64" i="11"/>
  <c r="G31" i="11"/>
  <c r="Q27" i="11"/>
  <c r="D37" i="11"/>
  <c r="R43" i="11"/>
  <c r="U53" i="11"/>
  <c r="AA63" i="11"/>
  <c r="V31" i="11"/>
  <c r="E43" i="11"/>
  <c r="V38" i="11"/>
  <c r="AD14" i="11"/>
  <c r="AG2" i="11"/>
  <c r="AB58" i="11"/>
  <c r="L65" i="11"/>
  <c r="I40" i="11"/>
  <c r="E51" i="11"/>
  <c r="X56" i="11"/>
  <c r="Q47" i="11"/>
  <c r="C43" i="11"/>
  <c r="O6" i="11"/>
  <c r="AF44" i="11"/>
  <c r="E11" i="11"/>
  <c r="G60" i="11"/>
  <c r="G53" i="11"/>
  <c r="K43" i="11"/>
  <c r="C42" i="11"/>
  <c r="M18" i="11"/>
  <c r="H33" i="11"/>
  <c r="B12" i="11"/>
  <c r="T8" i="11"/>
  <c r="AG64" i="11"/>
  <c r="R33" i="11"/>
  <c r="T39" i="11"/>
  <c r="L59" i="11"/>
  <c r="K58" i="11"/>
  <c r="N50" i="11"/>
  <c r="Y39" i="11"/>
  <c r="D65" i="11"/>
  <c r="O39" i="11"/>
  <c r="B52" i="11"/>
  <c r="S55" i="11"/>
  <c r="D61" i="11"/>
  <c r="C31" i="11"/>
  <c r="AC15" i="11"/>
  <c r="M51" i="11"/>
  <c r="D42" i="11"/>
  <c r="AG56" i="11"/>
  <c r="T59" i="11"/>
  <c r="F17" i="11"/>
  <c r="Y30" i="11"/>
  <c r="V62" i="11"/>
  <c r="V7" i="11"/>
  <c r="AB56" i="11"/>
  <c r="N58" i="11"/>
  <c r="I39" i="11"/>
  <c r="D67" i="11"/>
  <c r="O20" i="11"/>
  <c r="AF40" i="11"/>
  <c r="L44" i="11"/>
  <c r="Y50" i="11"/>
  <c r="L67" i="11"/>
  <c r="H19" i="11"/>
  <c r="AD68" i="11"/>
  <c r="U59" i="11"/>
  <c r="M52" i="11"/>
  <c r="L52" i="11"/>
  <c r="I50" i="11"/>
  <c r="P66" i="11"/>
  <c r="AF50" i="11"/>
  <c r="G6" i="11"/>
  <c r="O53" i="11"/>
  <c r="L45" i="11"/>
  <c r="X65" i="11"/>
  <c r="AF55" i="11"/>
  <c r="AB61" i="11"/>
  <c r="I17" i="11"/>
  <c r="V24" i="11"/>
  <c r="K51" i="11"/>
  <c r="W68" i="11"/>
  <c r="X49" i="11"/>
  <c r="H44" i="11"/>
  <c r="AB65" i="11"/>
  <c r="AD63" i="11"/>
  <c r="O48" i="11"/>
  <c r="C30" i="11"/>
  <c r="Y51" i="11"/>
  <c r="AC38" i="11"/>
  <c r="G44" i="11"/>
  <c r="F8" i="11"/>
  <c r="B50" i="11"/>
  <c r="Z55" i="11"/>
  <c r="P45" i="11"/>
  <c r="N6" i="11"/>
  <c r="AD41" i="11"/>
  <c r="R58" i="11"/>
  <c r="AG66" i="11"/>
  <c r="G63" i="11"/>
  <c r="J54" i="11"/>
  <c r="H61" i="11"/>
  <c r="P43" i="11"/>
  <c r="J41" i="11"/>
  <c r="AA26" i="11"/>
  <c r="AE38" i="11"/>
  <c r="Z18" i="11"/>
  <c r="AA50" i="11"/>
  <c r="N68" i="11"/>
  <c r="V14" i="11"/>
  <c r="AE13" i="11"/>
  <c r="AA44" i="11"/>
  <c r="J67" i="11"/>
  <c r="Q13" i="11"/>
  <c r="AA58" i="11"/>
  <c r="P59" i="11"/>
  <c r="AD61" i="11"/>
  <c r="V61" i="11"/>
  <c r="R4" i="11"/>
  <c r="U37" i="11"/>
  <c r="AF59" i="11"/>
  <c r="B66" i="11"/>
  <c r="T11" i="11"/>
  <c r="F32" i="11"/>
  <c r="C37" i="11"/>
  <c r="B60" i="11"/>
  <c r="X53" i="11"/>
  <c r="AA57" i="11"/>
  <c r="O66" i="11"/>
  <c r="M10" i="11"/>
  <c r="J47" i="11"/>
  <c r="P48" i="11"/>
  <c r="I47" i="11"/>
  <c r="X57" i="11"/>
  <c r="C45" i="11"/>
  <c r="K42" i="11"/>
  <c r="AF38" i="11"/>
  <c r="W59" i="11"/>
  <c r="L42" i="11"/>
  <c r="Q22" i="11"/>
  <c r="U9" i="11"/>
  <c r="AF66" i="11"/>
  <c r="I10" i="11"/>
  <c r="W41" i="11"/>
  <c r="AD48" i="11"/>
  <c r="F64" i="11"/>
  <c r="C61" i="11"/>
  <c r="AD45" i="11"/>
  <c r="W21" i="11"/>
  <c r="AC5" i="11"/>
  <c r="K66" i="11"/>
  <c r="P41" i="11"/>
  <c r="D28" i="11"/>
  <c r="P49" i="11"/>
  <c r="AE53" i="11"/>
  <c r="AC18" i="11"/>
  <c r="H31" i="11"/>
  <c r="E58" i="11"/>
  <c r="Z56" i="11"/>
  <c r="D27" i="11"/>
  <c r="AG67" i="11"/>
  <c r="F54" i="11"/>
  <c r="AE63" i="11"/>
  <c r="B67" i="11"/>
  <c r="I37" i="11"/>
  <c r="G46" i="11"/>
  <c r="T37" i="11"/>
  <c r="V56" i="11"/>
  <c r="K18" i="11"/>
  <c r="M12" i="11"/>
  <c r="N52" i="11"/>
  <c r="AF33" i="11"/>
  <c r="AA51" i="11"/>
  <c r="T45" i="11"/>
  <c r="I41" i="11"/>
  <c r="AC57" i="11"/>
  <c r="I22" i="11"/>
  <c r="Q38" i="11"/>
  <c r="F24" i="11"/>
  <c r="G48" i="11"/>
  <c r="E37" i="11"/>
  <c r="AD58" i="11"/>
  <c r="J17" i="11"/>
  <c r="V40" i="11"/>
  <c r="V53" i="11"/>
  <c r="Q49" i="11"/>
  <c r="AG58" i="11"/>
  <c r="U7" i="11"/>
  <c r="AD55" i="11"/>
  <c r="Z41" i="11"/>
  <c r="AA48" i="11"/>
  <c r="L68" i="11"/>
  <c r="T51" i="11"/>
  <c r="W60" i="11"/>
  <c r="R60" i="11"/>
  <c r="T42" i="11"/>
  <c r="R50" i="11"/>
  <c r="D57" i="11"/>
  <c r="O58" i="11"/>
  <c r="AC42" i="11"/>
  <c r="Y13" i="11"/>
  <c r="N9" i="11"/>
  <c r="AD67" i="11"/>
  <c r="C23" i="11"/>
  <c r="AB8" i="11"/>
  <c r="L39" i="11"/>
  <c r="Z68" i="11"/>
  <c r="C55" i="11"/>
  <c r="Y59" i="11"/>
  <c r="C14" i="11"/>
  <c r="B27" i="11"/>
  <c r="W64" i="11"/>
  <c r="W63" i="11"/>
  <c r="P37" i="11"/>
  <c r="AD43" i="11"/>
  <c r="P50" i="11"/>
  <c r="S40" i="11"/>
  <c r="X37" i="11"/>
  <c r="S65" i="11"/>
  <c r="AF30" i="11"/>
  <c r="T67" i="11"/>
  <c r="AG62" i="11"/>
  <c r="G40" i="11"/>
  <c r="K41" i="11"/>
  <c r="O38" i="11"/>
  <c r="C44" i="11"/>
  <c r="V63" i="11"/>
  <c r="AB59" i="11"/>
  <c r="O43" i="11"/>
  <c r="C21" i="11"/>
  <c r="Q41" i="11"/>
  <c r="D17" i="11"/>
  <c r="D58" i="11"/>
  <c r="X48" i="11"/>
  <c r="V20" i="11"/>
  <c r="W51" i="11"/>
  <c r="J56" i="11"/>
  <c r="N53" i="11"/>
  <c r="D51" i="11"/>
  <c r="U54" i="11"/>
  <c r="I64" i="11"/>
  <c r="S56" i="11"/>
  <c r="D48" i="11"/>
  <c r="M23" i="11"/>
  <c r="AB41" i="11"/>
  <c r="H38" i="11"/>
  <c r="X62" i="11"/>
  <c r="C24" i="11"/>
  <c r="Y57" i="11"/>
  <c r="Q51" i="11"/>
  <c r="D21" i="11"/>
  <c r="Q64" i="11"/>
  <c r="Z43" i="11"/>
  <c r="J68" i="11"/>
  <c r="C47" i="11"/>
  <c r="E55" i="11"/>
  <c r="Y8" i="11"/>
  <c r="T64" i="11"/>
  <c r="J53" i="11"/>
  <c r="K61" i="11"/>
  <c r="G62" i="11"/>
  <c r="AC16" i="11"/>
  <c r="I46" i="11"/>
  <c r="E68" i="11"/>
  <c r="B42" i="11"/>
  <c r="P47" i="11"/>
  <c r="R54" i="11"/>
  <c r="H7" i="11"/>
  <c r="J46" i="11"/>
  <c r="U66" i="11"/>
  <c r="P52" i="11"/>
  <c r="W55" i="11"/>
  <c r="AD31" i="11"/>
  <c r="H4" i="11"/>
  <c r="Z63" i="11"/>
  <c r="AA5" i="11"/>
  <c r="B51" i="11"/>
  <c r="Y58" i="11"/>
  <c r="AB17" i="11"/>
  <c r="G54" i="11"/>
  <c r="X63" i="11"/>
  <c r="H57" i="11"/>
  <c r="T50" i="11"/>
  <c r="AA11" i="11"/>
  <c r="AD2" i="11"/>
  <c r="M44" i="11"/>
  <c r="Q63" i="11"/>
  <c r="P57" i="11"/>
  <c r="O44" i="11"/>
  <c r="I38" i="11"/>
  <c r="Z67" i="11"/>
  <c r="AC65" i="11"/>
  <c r="G67" i="11"/>
  <c r="M46" i="11"/>
  <c r="AC63" i="11"/>
  <c r="AG54" i="11"/>
  <c r="J42" i="11"/>
  <c r="I66" i="11"/>
  <c r="AF58" i="11"/>
  <c r="L61" i="11"/>
  <c r="K44" i="11"/>
  <c r="J61" i="11"/>
  <c r="J60" i="11"/>
  <c r="N60" i="11"/>
  <c r="AF63" i="11"/>
  <c r="S52" i="11"/>
  <c r="O57" i="11"/>
  <c r="L41" i="11"/>
  <c r="F38" i="11"/>
  <c r="F53" i="11"/>
  <c r="I51" i="11"/>
  <c r="U55" i="11"/>
  <c r="J57" i="11"/>
  <c r="P56" i="11"/>
  <c r="V54" i="11"/>
  <c r="Z46" i="11"/>
  <c r="Z5" i="11"/>
  <c r="J49" i="11"/>
  <c r="D49" i="11"/>
  <c r="O42" i="11"/>
  <c r="F37" i="11"/>
  <c r="L5" i="11"/>
  <c r="H37" i="11"/>
  <c r="V32" i="11"/>
  <c r="E59" i="11"/>
  <c r="AC62" i="11"/>
  <c r="U8" i="11"/>
  <c r="AC10" i="11"/>
  <c r="AE42" i="11"/>
  <c r="AA52" i="11"/>
  <c r="AE37" i="11"/>
  <c r="G52" i="11"/>
  <c r="AG59" i="11"/>
  <c r="K37" i="11"/>
  <c r="AE57" i="11"/>
  <c r="F45" i="11"/>
  <c r="C22" i="11"/>
  <c r="W22" i="11"/>
  <c r="N65" i="11"/>
  <c r="B68" i="11"/>
  <c r="AA56" i="11"/>
  <c r="Q46" i="11"/>
  <c r="N45" i="11"/>
  <c r="W48" i="11"/>
  <c r="AE68" i="11"/>
  <c r="Q40" i="11"/>
  <c r="V58" i="11"/>
  <c r="H45" i="11"/>
  <c r="V45" i="11"/>
  <c r="AB14" i="11"/>
  <c r="N63" i="11"/>
  <c r="M67" i="11"/>
  <c r="AG63" i="11"/>
  <c r="K60" i="11"/>
  <c r="X52" i="11"/>
  <c r="AA43" i="11"/>
  <c r="AF42" i="11"/>
  <c r="T40" i="11"/>
  <c r="Y40" i="11"/>
  <c r="Y61" i="11"/>
  <c r="AA60" i="11"/>
  <c r="AE12" i="11"/>
  <c r="N48" i="11"/>
  <c r="AB67" i="11"/>
  <c r="AC31" i="11"/>
  <c r="E30" i="11"/>
  <c r="Z47" i="11"/>
  <c r="K32" i="11"/>
  <c r="Y49" i="11"/>
  <c r="Y68" i="11"/>
  <c r="AF64" i="11"/>
  <c r="Z64" i="11"/>
  <c r="U50" i="11"/>
  <c r="AF53" i="11"/>
  <c r="X60" i="11"/>
  <c r="AD59" i="11"/>
  <c r="T63" i="11"/>
  <c r="AF49" i="11"/>
  <c r="C39" i="11"/>
  <c r="B19" i="11"/>
  <c r="F57" i="11"/>
  <c r="AF46" i="11"/>
  <c r="U62" i="11"/>
  <c r="AE49" i="11"/>
  <c r="AB68" i="11"/>
  <c r="U68" i="11"/>
  <c r="AF61" i="11"/>
  <c r="K57" i="11"/>
  <c r="F50" i="11"/>
  <c r="C54" i="11"/>
  <c r="T68" i="11"/>
  <c r="I32" i="11"/>
  <c r="AB55" i="11"/>
  <c r="E44" i="11"/>
  <c r="D44" i="11"/>
  <c r="K40" i="11"/>
  <c r="Y42" i="11"/>
  <c r="R7" i="11"/>
  <c r="H46" i="11"/>
  <c r="G38" i="11"/>
  <c r="R48" i="11"/>
  <c r="AG43" i="11"/>
  <c r="AA59" i="11"/>
  <c r="D43" i="11"/>
  <c r="O52" i="11"/>
  <c r="L37" i="11"/>
  <c r="AC43" i="11"/>
  <c r="AF48" i="11"/>
  <c r="H55" i="11"/>
  <c r="Z38" i="11"/>
  <c r="B44" i="11"/>
  <c r="F49" i="11"/>
  <c r="AC33" i="11"/>
  <c r="R41" i="11"/>
  <c r="S58" i="11"/>
  <c r="AD62" i="11"/>
  <c r="O62" i="11"/>
  <c r="S50" i="11"/>
  <c r="AD47" i="11"/>
  <c r="R44" i="11"/>
  <c r="B59" i="11"/>
  <c r="AG53" i="11"/>
  <c r="AA55" i="11"/>
  <c r="S68" i="11"/>
  <c r="P42" i="11"/>
  <c r="D55" i="11"/>
  <c r="X47" i="11"/>
  <c r="W46" i="11"/>
  <c r="V50" i="11"/>
  <c r="E48" i="11"/>
  <c r="Q65" i="11"/>
  <c r="O14" i="11"/>
  <c r="K62" i="11"/>
  <c r="X39" i="11"/>
  <c r="D60" i="11"/>
  <c r="AE44" i="11"/>
  <c r="T62" i="11"/>
  <c r="R55" i="11"/>
  <c r="U63" i="11"/>
  <c r="H53" i="11"/>
  <c r="AA66" i="11"/>
  <c r="C40" i="11"/>
  <c r="AD39" i="11"/>
  <c r="W44" i="11"/>
  <c r="F42" i="11"/>
  <c r="D50" i="11"/>
  <c r="L50" i="11"/>
  <c r="S41" i="11"/>
  <c r="AG55" i="11"/>
  <c r="Y32" i="11"/>
  <c r="C50" i="11"/>
  <c r="V64" i="11"/>
  <c r="AE56" i="11"/>
  <c r="E62" i="11"/>
  <c r="W37" i="11"/>
  <c r="AE61" i="11"/>
  <c r="G49" i="11"/>
  <c r="AG61" i="11"/>
  <c r="I58" i="11"/>
  <c r="AC48" i="11"/>
  <c r="S39" i="11"/>
  <c r="M33" i="11"/>
  <c r="I25" i="11"/>
  <c r="AG51" i="11"/>
  <c r="E66" i="11"/>
  <c r="AD60" i="11"/>
  <c r="AE59" i="11"/>
  <c r="AA45" i="11"/>
  <c r="S28" i="11"/>
  <c r="AE62" i="11"/>
  <c r="Q8" i="11"/>
  <c r="G50" i="11"/>
  <c r="T65" i="11"/>
  <c r="T41" i="11"/>
  <c r="L51" i="11"/>
  <c r="AG50" i="11"/>
  <c r="P38" i="11"/>
  <c r="J63" i="11"/>
  <c r="P53" i="11"/>
  <c r="W53" i="11"/>
  <c r="AB38" i="11"/>
  <c r="X64" i="11"/>
  <c r="X11" i="11"/>
  <c r="D29" i="11"/>
  <c r="X66" i="11"/>
  <c r="H40" i="11"/>
  <c r="C62" i="11"/>
  <c r="N54" i="11"/>
  <c r="Y55" i="11"/>
  <c r="AG57" i="11"/>
  <c r="AF60" i="11"/>
  <c r="W61" i="11"/>
  <c r="F44" i="11"/>
  <c r="B63" i="11"/>
  <c r="C48" i="11"/>
  <c r="R64" i="11"/>
  <c r="U41" i="11"/>
  <c r="U45" i="11"/>
  <c r="D66" i="11"/>
  <c r="J15" i="11"/>
  <c r="F55" i="11"/>
  <c r="I48" i="11"/>
  <c r="F40" i="11"/>
  <c r="M38" i="11"/>
  <c r="AB62" i="11"/>
  <c r="X26" i="11"/>
  <c r="AB50" i="11"/>
  <c r="K47" i="11"/>
  <c r="U47" i="11"/>
  <c r="T60" i="11"/>
  <c r="V2" i="11"/>
  <c r="E45" i="11"/>
  <c r="AA38" i="11"/>
  <c r="Z50" i="11"/>
  <c r="E41" i="11"/>
  <c r="S38" i="11"/>
  <c r="T57" i="11"/>
  <c r="Z39" i="11"/>
  <c r="T66" i="11"/>
  <c r="N47" i="11"/>
  <c r="Y47" i="11"/>
  <c r="F68" i="11"/>
  <c r="AE23" i="11"/>
  <c r="U61" i="11"/>
  <c r="M8" i="11"/>
  <c r="U40" i="11"/>
  <c r="AF54" i="11"/>
  <c r="B39" i="11"/>
  <c r="K65" i="11"/>
  <c r="T23" i="11"/>
  <c r="F60" i="11"/>
  <c r="R56" i="11"/>
  <c r="M54" i="11"/>
  <c r="S27" i="11"/>
  <c r="C53" i="11"/>
  <c r="W50" i="11"/>
  <c r="AC49" i="11"/>
  <c r="AF52" i="11"/>
  <c r="Z51" i="11"/>
  <c r="X43" i="11"/>
  <c r="Q50" i="11"/>
  <c r="N38" i="11"/>
  <c r="X40" i="11"/>
  <c r="Y63" i="11"/>
  <c r="V51" i="11"/>
  <c r="M37" i="11"/>
  <c r="N43" i="11"/>
  <c r="AF43" i="11"/>
  <c r="E49" i="11"/>
  <c r="D46" i="11"/>
  <c r="AC46" i="11"/>
  <c r="N67" i="11"/>
  <c r="Z60" i="11"/>
  <c r="L62" i="11"/>
  <c r="V47" i="11"/>
  <c r="D40" i="11"/>
  <c r="R47" i="11"/>
  <c r="B64" i="11"/>
  <c r="AG44" i="11"/>
  <c r="R57" i="11"/>
  <c r="AD56" i="11"/>
  <c r="L60" i="11"/>
  <c r="Q31" i="11"/>
  <c r="G55" i="11"/>
  <c r="AA41" i="11"/>
  <c r="AD54" i="11"/>
  <c r="Q61" i="11"/>
  <c r="AE60" i="11"/>
  <c r="AD50" i="11"/>
  <c r="AC47" i="11"/>
  <c r="B48" i="11"/>
  <c r="P44" i="11"/>
  <c r="W10" i="11"/>
  <c r="Y21" i="11"/>
  <c r="R46" i="11"/>
  <c r="S25" i="11"/>
  <c r="I65" i="11"/>
  <c r="K64" i="11"/>
  <c r="R37" i="11"/>
  <c r="O47" i="11"/>
  <c r="K49" i="11"/>
  <c r="Z42" i="11"/>
  <c r="K21" i="11"/>
  <c r="AA47" i="11"/>
  <c r="Q68" i="11"/>
  <c r="B45" i="11"/>
  <c r="AA65" i="11"/>
  <c r="H49" i="11"/>
  <c r="AC60" i="11"/>
  <c r="M49" i="11"/>
  <c r="AB11" i="11"/>
  <c r="AP1138" i="1" s="1"/>
  <c r="Y62" i="11"/>
  <c r="L66" i="11"/>
  <c r="P65" i="11"/>
  <c r="N42" i="11"/>
  <c r="S64" i="11"/>
  <c r="AG65" i="11"/>
  <c r="V41" i="11"/>
  <c r="G64" i="11"/>
  <c r="AD57" i="11"/>
  <c r="K45" i="11"/>
  <c r="N40" i="11"/>
  <c r="W42" i="11"/>
  <c r="Z54" i="11"/>
  <c r="T14" i="11"/>
  <c r="K39" i="11"/>
  <c r="X68" i="11"/>
  <c r="S37" i="11"/>
  <c r="S61" i="11"/>
  <c r="Q37" i="11"/>
  <c r="W47" i="11"/>
  <c r="R62" i="11"/>
  <c r="L53" i="11"/>
  <c r="AE43" i="11"/>
  <c r="F48" i="11"/>
  <c r="U65" i="11"/>
  <c r="C52" i="11"/>
  <c r="Y54" i="11"/>
  <c r="AC58" i="11"/>
  <c r="F56" i="11"/>
  <c r="D54" i="11"/>
  <c r="L49" i="11"/>
  <c r="AG52" i="11"/>
  <c r="AB66" i="11"/>
  <c r="J38" i="11"/>
  <c r="H60" i="11"/>
  <c r="P46" i="11"/>
  <c r="J39" i="11"/>
  <c r="K19" i="11"/>
  <c r="W43" i="11"/>
  <c r="U64" i="11"/>
  <c r="AE41" i="11"/>
  <c r="Z66" i="11"/>
  <c r="AG4" i="11"/>
  <c r="AD44" i="11"/>
  <c r="AG60" i="11"/>
  <c r="Q44" i="11"/>
  <c r="AB12" i="11"/>
  <c r="N37" i="11"/>
  <c r="X54" i="11"/>
  <c r="U51" i="11"/>
  <c r="Y44" i="11"/>
  <c r="E38" i="11"/>
  <c r="L48" i="11"/>
  <c r="C51" i="11"/>
  <c r="H62" i="11"/>
  <c r="AB57" i="11"/>
  <c r="M39" i="11"/>
  <c r="H50" i="11"/>
  <c r="AD17" i="11"/>
  <c r="Q43" i="11"/>
  <c r="U44" i="11"/>
  <c r="T38" i="11"/>
  <c r="R42" i="11"/>
  <c r="Z40" i="11"/>
  <c r="O49" i="11"/>
  <c r="D63" i="11"/>
  <c r="G58" i="11"/>
  <c r="V66" i="11"/>
  <c r="D59" i="11"/>
  <c r="B53" i="11"/>
  <c r="AC61" i="11"/>
  <c r="AC53" i="11"/>
  <c r="AA61" i="11"/>
  <c r="AA53" i="11"/>
  <c r="J52" i="11"/>
  <c r="AD37" i="11"/>
  <c r="M53" i="11"/>
  <c r="AC44" i="11"/>
  <c r="AE48" i="11"/>
  <c r="D56" i="11"/>
  <c r="E46" i="11"/>
  <c r="P58" i="11"/>
  <c r="B54" i="11"/>
  <c r="B47" i="11"/>
  <c r="E39" i="11"/>
  <c r="W57" i="11"/>
  <c r="V37" i="11"/>
  <c r="U57" i="11"/>
  <c r="S13" i="11"/>
  <c r="M43" i="11"/>
  <c r="R39" i="11"/>
  <c r="AB46" i="11"/>
  <c r="Q57" i="11"/>
  <c r="Y64" i="11"/>
  <c r="Y56" i="11"/>
  <c r="E63" i="11"/>
  <c r="U42" i="11"/>
  <c r="W39" i="11"/>
  <c r="I53" i="11"/>
  <c r="B62" i="11"/>
  <c r="P55" i="11"/>
  <c r="I67" i="11"/>
  <c r="AF37" i="11"/>
  <c r="K53" i="11"/>
  <c r="J50" i="11"/>
  <c r="S60" i="11"/>
  <c r="X61" i="11"/>
  <c r="AA40" i="11"/>
  <c r="S48" i="11"/>
  <c r="AD46" i="11"/>
  <c r="G47" i="11"/>
  <c r="V55" i="11"/>
  <c r="C65" i="11"/>
  <c r="G66" i="11"/>
  <c r="AC68" i="11"/>
  <c r="AC56" i="11"/>
  <c r="N59" i="11"/>
  <c r="M68" i="11"/>
  <c r="W20" i="11"/>
  <c r="AA19" i="11"/>
  <c r="L28" i="11"/>
  <c r="AG39" i="11"/>
  <c r="T43" i="11"/>
  <c r="N46" i="11"/>
  <c r="AE47" i="11"/>
  <c r="Y45" i="11"/>
  <c r="I45" i="11"/>
  <c r="C63" i="11"/>
  <c r="C59" i="11"/>
  <c r="W56" i="11"/>
  <c r="R38" i="11"/>
  <c r="AB43" i="11"/>
  <c r="C57" i="11"/>
  <c r="G41" i="11"/>
  <c r="E65" i="11"/>
  <c r="C56" i="11"/>
  <c r="H66" i="11"/>
  <c r="C49" i="11"/>
  <c r="AB52" i="11"/>
  <c r="O68" i="11"/>
  <c r="O56" i="11"/>
  <c r="M47" i="11"/>
  <c r="Y67" i="11"/>
  <c r="AD52" i="11"/>
  <c r="AB47" i="11"/>
  <c r="B38" i="11"/>
  <c r="H68" i="11"/>
  <c r="O37" i="11"/>
  <c r="AC37" i="11"/>
  <c r="K56" i="11"/>
  <c r="AC51" i="11"/>
  <c r="T58" i="11"/>
  <c r="S63" i="11"/>
  <c r="S59" i="11"/>
  <c r="AD49" i="11"/>
  <c r="V42" i="11"/>
  <c r="Y48" i="11"/>
  <c r="F67" i="11"/>
  <c r="H39" i="11"/>
  <c r="I68" i="11"/>
  <c r="V43" i="11"/>
  <c r="M59" i="11"/>
  <c r="R68" i="11"/>
  <c r="Y43" i="11"/>
  <c r="U43" i="11"/>
  <c r="L40" i="11"/>
  <c r="T46" i="11"/>
  <c r="C66" i="11"/>
  <c r="C58" i="11"/>
  <c r="H65" i="11"/>
  <c r="V68" i="11"/>
  <c r="AF65" i="11"/>
  <c r="AE58" i="11"/>
  <c r="L64" i="11"/>
  <c r="L56" i="11"/>
  <c r="M45" i="11"/>
  <c r="N41" i="11"/>
  <c r="W45" i="11"/>
  <c r="AF39" i="11"/>
  <c r="H42" i="11"/>
  <c r="AB49" i="11"/>
  <c r="O55" i="11"/>
  <c r="R49" i="11"/>
  <c r="Z53" i="11"/>
  <c r="Y66" i="11"/>
  <c r="J48" i="11"/>
  <c r="T49" i="11"/>
  <c r="X46" i="11"/>
  <c r="F59" i="11"/>
  <c r="D64" i="11"/>
  <c r="K67" i="11"/>
  <c r="T53" i="11"/>
  <c r="S62" i="11"/>
  <c r="AG45" i="11"/>
  <c r="Y41" i="11"/>
  <c r="L38" i="11"/>
  <c r="Q48" i="11"/>
  <c r="AC50" i="11"/>
  <c r="I60" i="11"/>
  <c r="V67" i="11"/>
  <c r="AB64" i="11"/>
  <c r="AC66" i="11"/>
  <c r="V49" i="11"/>
  <c r="AA54" i="11"/>
  <c r="M62" i="11"/>
  <c r="M58" i="11"/>
  <c r="R67" i="11"/>
  <c r="F39" i="11"/>
  <c r="X42" i="11"/>
  <c r="AG40" i="11"/>
  <c r="AC40" i="11"/>
  <c r="AE40" i="11"/>
  <c r="N44" i="11"/>
  <c r="I57" i="11"/>
  <c r="AF68" i="11"/>
  <c r="L63" i="11"/>
  <c r="B17" i="11"/>
  <c r="T24" i="11"/>
  <c r="J8" i="11"/>
  <c r="N23" i="11"/>
  <c r="C29" i="11"/>
  <c r="Y15" i="11"/>
  <c r="J32" i="11"/>
  <c r="Z14" i="11"/>
  <c r="V26" i="11"/>
  <c r="F12" i="11"/>
  <c r="B25" i="11"/>
  <c r="D41" i="11"/>
  <c r="G59" i="11"/>
  <c r="O41" i="11"/>
  <c r="M40" i="11"/>
  <c r="Z49" i="11"/>
  <c r="G61" i="11"/>
  <c r="AG37" i="11"/>
  <c r="F52" i="11"/>
  <c r="H54" i="11"/>
  <c r="P60" i="11"/>
  <c r="F51" i="11"/>
  <c r="Q66" i="11"/>
  <c r="Q62" i="11"/>
  <c r="Y65" i="11"/>
  <c r="F43" i="11"/>
  <c r="AD66" i="11"/>
  <c r="AC45" i="11"/>
  <c r="J43" i="11"/>
  <c r="AA46" i="11"/>
  <c r="D62" i="11"/>
  <c r="D52" i="11"/>
  <c r="I52" i="11"/>
  <c r="V59" i="11"/>
  <c r="K54" i="11"/>
  <c r="S53" i="11"/>
  <c r="AB40" i="11"/>
  <c r="AB5" i="11"/>
  <c r="AO796" i="1" s="1"/>
  <c r="AC9" i="11"/>
  <c r="K16" i="11"/>
  <c r="AF5" i="11"/>
  <c r="T26" i="11"/>
  <c r="O31" i="11"/>
  <c r="B8" i="11"/>
  <c r="AB6" i="11"/>
  <c r="G27" i="11"/>
  <c r="B11" i="11"/>
  <c r="W33" i="11"/>
  <c r="F11" i="11"/>
  <c r="AF24" i="11"/>
  <c r="AF7" i="11"/>
  <c r="W29" i="11"/>
  <c r="R31" i="11"/>
  <c r="L23" i="11"/>
  <c r="S20" i="11"/>
  <c r="F30" i="11"/>
  <c r="N33" i="11"/>
  <c r="AD29" i="11"/>
  <c r="P27" i="11"/>
  <c r="B5" i="11"/>
  <c r="E19" i="11"/>
  <c r="Y4" i="11"/>
  <c r="AB24" i="11"/>
  <c r="AC455" i="1"/>
  <c r="AD467" i="1"/>
  <c r="AC383" i="1"/>
  <c r="B14" i="11"/>
  <c r="AD443" i="1"/>
  <c r="P8" i="11"/>
  <c r="I8" i="11"/>
  <c r="M16" i="11"/>
  <c r="O18" i="11"/>
  <c r="V27" i="11"/>
  <c r="AF3" i="11"/>
  <c r="AA9" i="11"/>
  <c r="W32" i="11"/>
  <c r="D6" i="11"/>
  <c r="U2" i="11"/>
  <c r="G24" i="11"/>
  <c r="E20" i="11"/>
  <c r="AB23" i="11"/>
  <c r="J11" i="11"/>
  <c r="T7" i="11"/>
  <c r="AA8" i="11"/>
  <c r="M9" i="11"/>
  <c r="L25" i="11"/>
  <c r="AE27" i="11"/>
  <c r="T6" i="11"/>
  <c r="P3" i="11"/>
  <c r="F22" i="11"/>
  <c r="N19" i="11"/>
  <c r="K31" i="11"/>
  <c r="P14" i="11"/>
  <c r="Z21" i="11"/>
  <c r="F19" i="11"/>
  <c r="T10" i="11"/>
  <c r="J18" i="11"/>
  <c r="AD23" i="11"/>
  <c r="E16" i="11"/>
  <c r="O23" i="11"/>
  <c r="Y5" i="11"/>
  <c r="Q26" i="11"/>
  <c r="AE14" i="11"/>
  <c r="I30" i="11"/>
  <c r="U6" i="11"/>
  <c r="G3" i="11"/>
  <c r="O17" i="11"/>
  <c r="X12" i="11"/>
  <c r="U29" i="11"/>
  <c r="W31" i="11"/>
  <c r="D33" i="11"/>
  <c r="AA20" i="11"/>
  <c r="AC369" i="1"/>
  <c r="L10" i="11"/>
  <c r="I5" i="11"/>
  <c r="F5" i="11"/>
  <c r="F21" i="11"/>
  <c r="W5" i="11"/>
  <c r="AB30" i="11"/>
  <c r="G4" i="11"/>
  <c r="G9" i="11"/>
  <c r="AG12" i="11"/>
  <c r="P10" i="11"/>
  <c r="H24" i="11"/>
  <c r="J19" i="11"/>
  <c r="X23" i="11"/>
  <c r="AD33" i="11"/>
  <c r="L26" i="11"/>
  <c r="L17" i="11"/>
  <c r="N25" i="11"/>
  <c r="Z30" i="11"/>
  <c r="F23" i="11"/>
  <c r="AC6" i="11"/>
  <c r="C8" i="11"/>
  <c r="Q32" i="11"/>
  <c r="H23" i="11"/>
  <c r="AA23" i="11"/>
  <c r="Z10" i="11"/>
  <c r="AF31" i="11"/>
  <c r="C6" i="11"/>
  <c r="AD10" i="11"/>
  <c r="AA29" i="11"/>
  <c r="B16" i="11"/>
  <c r="O7" i="11"/>
  <c r="AD16" i="11"/>
  <c r="E22" i="11"/>
  <c r="V4" i="11"/>
  <c r="D12" i="11"/>
  <c r="P33" i="11"/>
  <c r="O30" i="11"/>
  <c r="R16" i="11"/>
  <c r="K8" i="11"/>
  <c r="T4" i="11"/>
  <c r="E21" i="11"/>
  <c r="N29" i="11"/>
  <c r="K22" i="11"/>
  <c r="AD361" i="1"/>
  <c r="AC454" i="1"/>
  <c r="AF26" i="11"/>
  <c r="AD389" i="1"/>
  <c r="K13" i="11"/>
  <c r="Q19" i="11"/>
  <c r="T21" i="11"/>
  <c r="M7" i="11"/>
  <c r="C15" i="11"/>
  <c r="D26" i="11"/>
  <c r="L32" i="11"/>
  <c r="P24" i="11"/>
  <c r="O8" i="11"/>
  <c r="AD13" i="11"/>
  <c r="AD358" i="1"/>
  <c r="Q33" i="11"/>
  <c r="B28" i="11"/>
  <c r="Y7" i="11"/>
  <c r="S29" i="11"/>
  <c r="AB15" i="11"/>
  <c r="E10" i="11"/>
  <c r="Q30" i="11"/>
  <c r="F25" i="11"/>
  <c r="C18" i="11"/>
  <c r="N2" i="11"/>
  <c r="AD4" i="11"/>
  <c r="Y28" i="11"/>
  <c r="O32" i="11"/>
  <c r="V19" i="11"/>
  <c r="AG31" i="11"/>
  <c r="V28" i="11"/>
  <c r="M2" i="11"/>
  <c r="M6" i="11"/>
  <c r="AG6" i="11"/>
  <c r="K23" i="11"/>
  <c r="O4" i="11"/>
  <c r="L27" i="11"/>
  <c r="AE26" i="11"/>
  <c r="R12" i="11"/>
  <c r="Z23" i="11"/>
  <c r="AF20" i="11"/>
  <c r="I4" i="11"/>
  <c r="F26" i="11"/>
  <c r="P6" i="11"/>
  <c r="E26" i="11"/>
  <c r="X13" i="11"/>
  <c r="AE18" i="11"/>
  <c r="E12" i="11"/>
  <c r="N18" i="11"/>
  <c r="AE28" i="11"/>
  <c r="H3" i="11"/>
  <c r="T2" i="11"/>
  <c r="H21" i="11"/>
  <c r="J33" i="11"/>
  <c r="I6" i="11"/>
  <c r="R8" i="11"/>
  <c r="E33" i="11"/>
  <c r="V3" i="11"/>
  <c r="Q14" i="11"/>
  <c r="L30" i="11"/>
  <c r="Z6" i="11"/>
  <c r="T16" i="11"/>
  <c r="M32" i="11"/>
  <c r="H22" i="11"/>
  <c r="AC7" i="11"/>
  <c r="Y26" i="11"/>
  <c r="P22" i="11"/>
  <c r="C20" i="11"/>
  <c r="AG9" i="11"/>
  <c r="AD25" i="11"/>
  <c r="X2" i="11"/>
  <c r="AE25" i="11"/>
  <c r="T32" i="11"/>
  <c r="B13" i="11"/>
  <c r="AB3" i="11"/>
  <c r="AB33" i="11"/>
  <c r="K29" i="11"/>
  <c r="C27" i="11"/>
  <c r="Z7" i="11"/>
  <c r="AG22" i="11"/>
  <c r="D9" i="11"/>
  <c r="AC25" i="11"/>
  <c r="U10" i="11"/>
  <c r="R13" i="11"/>
  <c r="N7" i="11"/>
  <c r="L2" i="11"/>
  <c r="AF13" i="11"/>
  <c r="W7" i="11"/>
  <c r="S3" i="11"/>
  <c r="AD27" i="11"/>
  <c r="W12" i="11"/>
  <c r="F13" i="11"/>
  <c r="AP1242" i="1" s="1"/>
  <c r="F33" i="11"/>
  <c r="W11" i="11"/>
  <c r="D19" i="11"/>
  <c r="B4" i="11"/>
  <c r="R20" i="11"/>
  <c r="AE6" i="11"/>
  <c r="Z16" i="11"/>
  <c r="D15" i="11"/>
  <c r="I7" i="11"/>
  <c r="AC483" i="1"/>
  <c r="T19" i="11"/>
  <c r="D10" i="11"/>
  <c r="AO1202" i="1" s="1"/>
  <c r="Y16" i="11"/>
  <c r="X21" i="11"/>
  <c r="Q10" i="11"/>
  <c r="AD6" i="11"/>
  <c r="AC17" i="11"/>
  <c r="AG14" i="11"/>
  <c r="AC30" i="11"/>
  <c r="AB7" i="11"/>
  <c r="AE15" i="11"/>
  <c r="W27" i="11"/>
  <c r="J26" i="11"/>
  <c r="H6" i="11"/>
  <c r="AE32" i="11"/>
  <c r="F3" i="11"/>
  <c r="O16" i="11"/>
  <c r="B6" i="11"/>
  <c r="J30" i="11"/>
  <c r="D3" i="11"/>
  <c r="AC27" i="11"/>
  <c r="V25" i="11"/>
  <c r="AO1229" i="1" s="1"/>
  <c r="AA17" i="11"/>
  <c r="V9" i="11"/>
  <c r="K2" i="11"/>
  <c r="K6" i="11"/>
  <c r="U15" i="11"/>
  <c r="B33" i="11"/>
  <c r="G21" i="11"/>
  <c r="B30" i="11"/>
  <c r="M25" i="11"/>
  <c r="H28" i="11"/>
  <c r="AD5" i="11"/>
  <c r="AG13" i="11"/>
  <c r="AA2" i="11"/>
  <c r="AB19" i="11"/>
  <c r="U25" i="11"/>
  <c r="AC4" i="11"/>
  <c r="Z24" i="11"/>
  <c r="B22" i="11"/>
  <c r="D11" i="11"/>
  <c r="Y9" i="11"/>
  <c r="E27" i="11"/>
  <c r="C16" i="11"/>
  <c r="M4" i="11"/>
  <c r="Q6" i="11"/>
  <c r="Y22" i="11"/>
  <c r="R25" i="11"/>
  <c r="X17" i="11"/>
  <c r="N13" i="11"/>
  <c r="P15" i="11"/>
  <c r="AG15" i="11"/>
  <c r="AA12" i="11"/>
  <c r="F9" i="11"/>
  <c r="Y27" i="11"/>
  <c r="F20" i="11"/>
  <c r="D8" i="11"/>
  <c r="B9" i="11"/>
  <c r="K4" i="11"/>
  <c r="T22" i="11"/>
  <c r="AD12" i="11"/>
  <c r="Y19" i="11"/>
  <c r="E13" i="11"/>
  <c r="J4" i="11"/>
  <c r="AA31" i="11"/>
  <c r="AD9" i="11"/>
  <c r="N3" i="11"/>
  <c r="AD415" i="1"/>
  <c r="X14" i="11"/>
  <c r="O29" i="11"/>
  <c r="Z27" i="11"/>
  <c r="O13" i="11"/>
  <c r="K17" i="11"/>
  <c r="G2" i="11"/>
  <c r="R26" i="11"/>
  <c r="G28" i="11"/>
  <c r="S8" i="11"/>
  <c r="M31" i="11"/>
  <c r="AC28" i="11"/>
  <c r="AE4" i="11"/>
  <c r="I12" i="11"/>
  <c r="S7" i="11"/>
  <c r="S17" i="11"/>
  <c r="D18" i="11"/>
  <c r="U20" i="11"/>
  <c r="E17" i="11"/>
  <c r="AF6" i="11"/>
  <c r="J22" i="11"/>
  <c r="E29" i="11"/>
  <c r="G8" i="11"/>
  <c r="O3" i="11"/>
  <c r="T28" i="11"/>
  <c r="U16" i="11"/>
  <c r="AC11" i="11"/>
  <c r="H27" i="11"/>
  <c r="I23" i="11"/>
  <c r="AD448" i="1"/>
  <c r="J6" i="11"/>
  <c r="Y18" i="11"/>
  <c r="AG21" i="11"/>
  <c r="X30" i="11"/>
  <c r="AB21" i="11"/>
  <c r="H32" i="11"/>
  <c r="L7" i="11"/>
  <c r="Y11" i="11"/>
  <c r="V30" i="11"/>
  <c r="C26" i="11"/>
  <c r="C2" i="11"/>
  <c r="K26" i="11"/>
  <c r="D23" i="11"/>
  <c r="W16" i="11"/>
  <c r="E23" i="11"/>
  <c r="AG32" i="11"/>
  <c r="AF22" i="11"/>
  <c r="I2" i="11"/>
  <c r="AA21" i="11"/>
  <c r="Q29" i="11"/>
  <c r="AA16" i="11"/>
  <c r="T29" i="11"/>
  <c r="W13" i="11"/>
  <c r="E2" i="11"/>
  <c r="E8" i="11"/>
  <c r="V5" i="11"/>
  <c r="P17" i="11"/>
  <c r="H10" i="11"/>
  <c r="N28" i="11"/>
  <c r="G19" i="11"/>
  <c r="D22" i="11"/>
  <c r="T5" i="11"/>
  <c r="Q28" i="11"/>
  <c r="AD32" i="11"/>
  <c r="Z32" i="11"/>
  <c r="L4" i="11"/>
  <c r="Y14" i="11"/>
  <c r="AG16" i="11"/>
  <c r="W28" i="11"/>
  <c r="G20" i="11"/>
  <c r="AD19" i="11"/>
  <c r="AD15" i="11"/>
  <c r="P18" i="11"/>
  <c r="U27" i="11"/>
  <c r="X31" i="11"/>
  <c r="AB20" i="11"/>
  <c r="AA30" i="11"/>
  <c r="R29" i="11"/>
  <c r="H11" i="11"/>
  <c r="M3" i="11"/>
  <c r="V6" i="11"/>
  <c r="K10" i="11"/>
  <c r="Z15" i="11"/>
  <c r="R6" i="11"/>
  <c r="S26" i="11"/>
  <c r="AE8" i="11"/>
  <c r="Y12" i="11"/>
  <c r="D20" i="11"/>
  <c r="U5" i="11"/>
  <c r="K27" i="11"/>
  <c r="W8" i="11"/>
  <c r="AC14" i="11"/>
  <c r="W9" i="11"/>
  <c r="Q9" i="11"/>
  <c r="B20" i="11"/>
  <c r="AC20" i="11"/>
  <c r="X25" i="11"/>
  <c r="AE21" i="11"/>
  <c r="V12" i="11"/>
  <c r="G14" i="11"/>
  <c r="B29" i="11"/>
  <c r="AC450" i="1"/>
  <c r="M29" i="11"/>
  <c r="AD3" i="11"/>
  <c r="AB26" i="11"/>
  <c r="D32" i="11"/>
  <c r="B31" i="11"/>
  <c r="X18" i="11"/>
  <c r="AA22" i="11"/>
  <c r="D16" i="11"/>
  <c r="S21" i="11"/>
  <c r="B32" i="11"/>
  <c r="X27" i="11"/>
  <c r="V21" i="11"/>
  <c r="J29" i="11"/>
  <c r="C12" i="11"/>
  <c r="AC22" i="11"/>
  <c r="N10" i="11"/>
  <c r="G13" i="11"/>
  <c r="B7" i="11"/>
  <c r="R19" i="11"/>
  <c r="AG23" i="11"/>
  <c r="V23" i="11"/>
  <c r="AA13" i="11"/>
  <c r="W25" i="11"/>
  <c r="AG28" i="11"/>
  <c r="T15" i="11"/>
  <c r="AA25" i="11"/>
  <c r="O9" i="11"/>
  <c r="AC13" i="11"/>
  <c r="Y24" i="11"/>
  <c r="R22" i="11"/>
  <c r="AE24" i="11"/>
  <c r="AD8" i="11"/>
  <c r="S30" i="11"/>
  <c r="AF14" i="11"/>
  <c r="P9" i="11"/>
  <c r="X29" i="11"/>
  <c r="R2" i="11"/>
  <c r="F15" i="11"/>
  <c r="AF25" i="11"/>
  <c r="K5" i="11"/>
  <c r="M14" i="11"/>
  <c r="D31" i="11"/>
  <c r="AG8" i="11"/>
  <c r="U12" i="11"/>
  <c r="H20" i="11"/>
  <c r="Z19" i="11"/>
  <c r="O27" i="11"/>
  <c r="R27" i="11"/>
  <c r="AG18" i="11"/>
  <c r="U30" i="11"/>
  <c r="V15" i="11"/>
  <c r="L14" i="11"/>
  <c r="K30" i="11"/>
  <c r="D25" i="11"/>
  <c r="U28" i="11"/>
  <c r="Z31" i="11"/>
  <c r="X8" i="11"/>
  <c r="L22" i="11"/>
  <c r="AD28" i="11"/>
  <c r="E32" i="11"/>
  <c r="Z20" i="11"/>
  <c r="N4" i="11"/>
  <c r="R23" i="11"/>
  <c r="AF12" i="11"/>
  <c r="P13" i="11"/>
  <c r="G32" i="11"/>
  <c r="F27" i="11"/>
  <c r="J7" i="11"/>
  <c r="U24" i="11"/>
  <c r="X16" i="11"/>
  <c r="H15" i="11"/>
  <c r="AC24" i="11"/>
  <c r="X3" i="11"/>
  <c r="X22" i="11"/>
  <c r="F18" i="11"/>
  <c r="M30" i="11"/>
  <c r="AB10" i="11"/>
  <c r="Q24" i="11"/>
  <c r="H2" i="11"/>
  <c r="F28" i="11"/>
  <c r="AE2" i="11"/>
  <c r="AA7" i="11"/>
  <c r="T30" i="11"/>
  <c r="V16" i="11"/>
  <c r="V11" i="11"/>
  <c r="S14" i="11"/>
  <c r="AB2" i="11"/>
  <c r="G25" i="11"/>
  <c r="AC19" i="11"/>
  <c r="O28" i="11"/>
  <c r="AF8" i="11"/>
  <c r="J5" i="11"/>
  <c r="E3" i="11"/>
  <c r="AE3" i="11"/>
  <c r="U19" i="11"/>
  <c r="Q7" i="11"/>
  <c r="Q16" i="11"/>
  <c r="N17" i="11"/>
  <c r="AA28" i="11"/>
  <c r="Z28" i="11"/>
  <c r="Y23" i="11"/>
  <c r="Z12" i="11"/>
  <c r="J13" i="11"/>
  <c r="S5" i="11"/>
  <c r="AO830" i="1" s="1"/>
  <c r="R11" i="11"/>
  <c r="T33" i="11"/>
  <c r="I13" i="11"/>
  <c r="F14" i="11"/>
  <c r="X33" i="11"/>
  <c r="R9" i="11"/>
  <c r="S33" i="11"/>
  <c r="AC23" i="11"/>
  <c r="U26" i="11"/>
  <c r="AB31" i="11"/>
  <c r="C5" i="11"/>
  <c r="X5" i="11"/>
  <c r="S6" i="11"/>
  <c r="H16" i="11"/>
  <c r="H9" i="11"/>
  <c r="W19" i="11"/>
  <c r="W14" i="11"/>
  <c r="AC3" i="11"/>
  <c r="J27" i="11"/>
  <c r="R24" i="11"/>
  <c r="C32" i="11"/>
  <c r="I27" i="11"/>
  <c r="AG19" i="11"/>
  <c r="P26" i="11"/>
  <c r="AF23" i="11"/>
  <c r="M17" i="11"/>
  <c r="H29" i="11"/>
  <c r="F4" i="11"/>
  <c r="O22" i="11"/>
  <c r="I15" i="11"/>
  <c r="B21" i="11"/>
  <c r="X7" i="11"/>
  <c r="P21" i="11"/>
  <c r="AE11" i="11"/>
  <c r="N16" i="11"/>
  <c r="F2" i="11"/>
  <c r="E24" i="11"/>
  <c r="K7" i="11"/>
  <c r="J20" i="11"/>
  <c r="R10" i="11"/>
  <c r="W30" i="11"/>
  <c r="F10" i="11"/>
  <c r="P5" i="11"/>
  <c r="E25" i="11"/>
  <c r="Z17" i="11"/>
  <c r="AD24" i="11"/>
  <c r="N31" i="11"/>
  <c r="N8" i="11"/>
  <c r="C7" i="11"/>
  <c r="E14" i="11"/>
  <c r="V29" i="11"/>
  <c r="L24" i="11"/>
  <c r="N32" i="11"/>
  <c r="Z25" i="11"/>
  <c r="W2" i="11"/>
  <c r="L9" i="11"/>
  <c r="AE16" i="11"/>
  <c r="J21" i="11"/>
  <c r="G11" i="11"/>
  <c r="Q11" i="11"/>
  <c r="Z8" i="11"/>
  <c r="D2" i="11"/>
  <c r="U18" i="11"/>
  <c r="I11" i="11"/>
  <c r="P12" i="11"/>
  <c r="V18" i="11"/>
  <c r="Q5" i="11"/>
  <c r="V10" i="11"/>
  <c r="X28" i="11"/>
  <c r="Z33" i="11"/>
  <c r="Y33" i="11"/>
  <c r="E31" i="11"/>
  <c r="P2" i="11"/>
  <c r="AA6" i="11"/>
  <c r="AC12" i="11"/>
  <c r="W18" i="11"/>
  <c r="H5" i="11"/>
  <c r="K14" i="11"/>
  <c r="Y20" i="11"/>
  <c r="E9" i="11"/>
  <c r="H14" i="11"/>
  <c r="P30" i="11"/>
  <c r="AC8" i="11"/>
  <c r="N5" i="11"/>
  <c r="E6" i="11"/>
  <c r="S23" i="11"/>
  <c r="Q2" i="11"/>
  <c r="T31" i="11"/>
  <c r="AF19" i="11"/>
  <c r="X4" i="11"/>
  <c r="T27" i="11"/>
  <c r="AF17" i="11"/>
  <c r="F7" i="11"/>
  <c r="AA33" i="11"/>
  <c r="X20" i="11"/>
  <c r="B15" i="11"/>
  <c r="O25" i="11"/>
  <c r="J12" i="11"/>
  <c r="H26" i="11"/>
  <c r="M15" i="11"/>
  <c r="AF10" i="11"/>
  <c r="N26" i="11"/>
  <c r="Q12" i="11"/>
  <c r="K9" i="11"/>
  <c r="G16" i="11"/>
  <c r="Z22" i="11"/>
  <c r="L6" i="11"/>
  <c r="G10" i="11"/>
  <c r="X32" i="11"/>
  <c r="B23" i="11"/>
  <c r="Y2" i="11"/>
  <c r="U3" i="11"/>
  <c r="J14" i="11"/>
  <c r="O26" i="11"/>
  <c r="AE7" i="11"/>
  <c r="AG27" i="11"/>
  <c r="AF29" i="11"/>
  <c r="AG24" i="11"/>
  <c r="G5" i="11"/>
  <c r="E28" i="11"/>
  <c r="N30" i="11"/>
  <c r="AE30" i="11"/>
  <c r="W3" i="11"/>
  <c r="AE29" i="11"/>
  <c r="AE20" i="11"/>
  <c r="J23" i="11"/>
  <c r="K24" i="11"/>
  <c r="U11" i="11"/>
  <c r="K28" i="11"/>
  <c r="O10" i="11"/>
  <c r="X19" i="11"/>
  <c r="N20" i="11"/>
  <c r="L13" i="11"/>
  <c r="D5" i="11"/>
  <c r="AB22" i="11"/>
  <c r="AF15" i="11"/>
  <c r="F31" i="11"/>
  <c r="D13" i="11"/>
  <c r="L33" i="11"/>
  <c r="K25" i="11"/>
  <c r="S4" i="11"/>
  <c r="AD21" i="11"/>
  <c r="AA10" i="11"/>
  <c r="G15" i="11"/>
  <c r="AO991" i="1" s="1"/>
  <c r="C4" i="11"/>
  <c r="U33" i="11"/>
  <c r="C19" i="11"/>
  <c r="W26" i="11"/>
  <c r="AA24" i="11"/>
  <c r="AB27" i="11"/>
  <c r="T25" i="11"/>
  <c r="Z3" i="11"/>
  <c r="S15" i="11"/>
  <c r="L18" i="11"/>
  <c r="AG17" i="11"/>
  <c r="P11" i="11"/>
  <c r="M19" i="11"/>
  <c r="H18" i="11"/>
  <c r="Q15" i="11"/>
  <c r="G22" i="11"/>
  <c r="AC32" i="11"/>
  <c r="O19" i="11"/>
  <c r="E7" i="11"/>
  <c r="L11" i="11"/>
  <c r="N22" i="11"/>
  <c r="M11" i="11"/>
  <c r="I31" i="11"/>
  <c r="V17" i="11"/>
  <c r="P4" i="11"/>
  <c r="J25" i="11"/>
  <c r="I21" i="11"/>
  <c r="J9" i="11"/>
  <c r="C10" i="11"/>
  <c r="I16" i="11"/>
  <c r="S32" i="11"/>
  <c r="K20" i="11"/>
  <c r="U23" i="11"/>
  <c r="Q4" i="11"/>
  <c r="AB4" i="11"/>
  <c r="D14" i="11"/>
  <c r="U4" i="11"/>
  <c r="G17" i="11"/>
  <c r="H25" i="11"/>
  <c r="X6" i="11"/>
  <c r="P29" i="11"/>
  <c r="Z29" i="11"/>
  <c r="AE22" i="11"/>
  <c r="J2" i="11"/>
  <c r="I14" i="11"/>
  <c r="C9" i="11"/>
  <c r="AF18" i="11"/>
  <c r="AE17" i="11"/>
  <c r="H17" i="11"/>
  <c r="I29" i="11"/>
  <c r="AF9" i="11"/>
  <c r="G18" i="11"/>
  <c r="AG29" i="11"/>
  <c r="H13" i="11"/>
  <c r="N15" i="11"/>
  <c r="S11" i="11"/>
  <c r="D30" i="11"/>
  <c r="AB25" i="11"/>
  <c r="AG26" i="11"/>
  <c r="D7" i="11"/>
  <c r="J16" i="11"/>
  <c r="AO1012" i="1" s="1"/>
  <c r="AA15" i="11"/>
  <c r="S10" i="11"/>
  <c r="W24" i="11"/>
  <c r="AD26" i="11"/>
  <c r="W6" i="11"/>
  <c r="F29" i="11"/>
  <c r="S22" i="11"/>
  <c r="U31" i="11"/>
  <c r="R15" i="11"/>
  <c r="I3" i="11"/>
  <c r="L16" i="11"/>
  <c r="J28" i="11"/>
  <c r="AF11" i="11"/>
  <c r="B10" i="11"/>
  <c r="L31" i="11"/>
  <c r="AG30" i="11"/>
  <c r="K12" i="11"/>
  <c r="AD22" i="11"/>
  <c r="AA3" i="11"/>
  <c r="S2" i="11"/>
  <c r="Z4" i="11"/>
  <c r="B24" i="11"/>
  <c r="N12" i="11"/>
  <c r="P7" i="11"/>
  <c r="J3" i="11"/>
  <c r="AE9" i="11"/>
  <c r="W15" i="11"/>
  <c r="AG25" i="11"/>
  <c r="AG20" i="11"/>
  <c r="P31" i="11"/>
  <c r="C17" i="11"/>
  <c r="Q3" i="11"/>
  <c r="O12" i="11"/>
  <c r="L15" i="11"/>
  <c r="R21" i="11"/>
  <c r="AE33" i="11"/>
  <c r="C13" i="11"/>
  <c r="Z11" i="11"/>
  <c r="AF28" i="11"/>
  <c r="AD20" i="11"/>
  <c r="AB32" i="11"/>
  <c r="AA4" i="11"/>
  <c r="AD620" i="1"/>
  <c r="AD639" i="1"/>
  <c r="AC468" i="1"/>
  <c r="AD592" i="1"/>
  <c r="AD533" i="1"/>
  <c r="AC645" i="1"/>
  <c r="AC651" i="1"/>
  <c r="AC574" i="1"/>
  <c r="AC705" i="1"/>
  <c r="AC582" i="1"/>
  <c r="AC542" i="1"/>
  <c r="AD586" i="1"/>
  <c r="AD621" i="1"/>
  <c r="AD496" i="1"/>
  <c r="AD664" i="1"/>
  <c r="AD544" i="1"/>
  <c r="AC504" i="1"/>
  <c r="AD555" i="1"/>
  <c r="AC476" i="1"/>
  <c r="AD377" i="1"/>
  <c r="AD716" i="1"/>
  <c r="AC471" i="1"/>
  <c r="AD607" i="1"/>
  <c r="AD530" i="1"/>
  <c r="AD701" i="1"/>
  <c r="AC671" i="1"/>
  <c r="AC501" i="1"/>
  <c r="AD477" i="1"/>
  <c r="AD532" i="1"/>
  <c r="AC604" i="1"/>
  <c r="AC633" i="1"/>
  <c r="AC473" i="1"/>
  <c r="AD510" i="1"/>
  <c r="AC274" i="1"/>
  <c r="AD636" i="1"/>
  <c r="AC619" i="1"/>
  <c r="AD449" i="1"/>
  <c r="AD526" i="1"/>
  <c r="AD500" i="1"/>
  <c r="AD487" i="1"/>
  <c r="AC306" i="1"/>
  <c r="AC242" i="1"/>
  <c r="AC408" i="1"/>
  <c r="AC397" i="1"/>
  <c r="AD91" i="1"/>
  <c r="AD85" i="1"/>
  <c r="AC588" i="1"/>
  <c r="AC263" i="1"/>
  <c r="AD648" i="1"/>
  <c r="AC623" i="1"/>
  <c r="AC459" i="1"/>
  <c r="AC472" i="1"/>
  <c r="AC514" i="1"/>
  <c r="AC465" i="1"/>
  <c r="AC556" i="1"/>
  <c r="AC594" i="1"/>
  <c r="AC587" i="1"/>
  <c r="AD494" i="1"/>
  <c r="AC576" i="1"/>
  <c r="AD642" i="1"/>
  <c r="AC332" i="1"/>
  <c r="AD630" i="1"/>
  <c r="AD552" i="1"/>
  <c r="AC486" i="1"/>
  <c r="AC331" i="1"/>
  <c r="AC622" i="1"/>
  <c r="BO25" i="10"/>
  <c r="AD303" i="1"/>
  <c r="AC527" i="1"/>
  <c r="AC418" i="1"/>
  <c r="AD372" i="1"/>
  <c r="AC294" i="1"/>
  <c r="AC575" i="1"/>
  <c r="AC336" i="1"/>
  <c r="BO10" i="10"/>
  <c r="BO18" i="10"/>
  <c r="AC402" i="1"/>
  <c r="BO36" i="10"/>
  <c r="BO51" i="10"/>
  <c r="AD434" i="1"/>
  <c r="AD481" i="1"/>
  <c r="AD591" i="1"/>
  <c r="AD368" i="1"/>
  <c r="BO31" i="10"/>
  <c r="AD390" i="1"/>
  <c r="AC335" i="1"/>
  <c r="BO34" i="10"/>
  <c r="BO55" i="10"/>
  <c r="BO24" i="10"/>
  <c r="BO16" i="10"/>
  <c r="BO38" i="10"/>
  <c r="BO63" i="10"/>
  <c r="BO59" i="10"/>
  <c r="BO39" i="10"/>
  <c r="BO14" i="10"/>
  <c r="BO29" i="10"/>
  <c r="BO42" i="10"/>
  <c r="BO53" i="10"/>
  <c r="BO66" i="10"/>
  <c r="BO27" i="10"/>
  <c r="BO22" i="10"/>
  <c r="BO11" i="10"/>
  <c r="BO32" i="10"/>
  <c r="BO3" i="10"/>
  <c r="BO13" i="10"/>
  <c r="BO15" i="10"/>
  <c r="BO28" i="10"/>
  <c r="BO37" i="10"/>
  <c r="BO20" i="10"/>
  <c r="BO21" i="10"/>
  <c r="BO57" i="10"/>
  <c r="BO65" i="10"/>
  <c r="BO12" i="10"/>
  <c r="BO33" i="10"/>
  <c r="BO30" i="10"/>
  <c r="BO49" i="10"/>
  <c r="BO35" i="10"/>
  <c r="BO48" i="10"/>
  <c r="BO61" i="10"/>
  <c r="BO7" i="10"/>
  <c r="BO26" i="10"/>
  <c r="BO50" i="10"/>
  <c r="BO46" i="10"/>
  <c r="BO58" i="10"/>
  <c r="BO40" i="10"/>
  <c r="BO19" i="10"/>
  <c r="BO60" i="10"/>
  <c r="BO64" i="10"/>
  <c r="BO47" i="10"/>
  <c r="BO43" i="10"/>
  <c r="BO62" i="10"/>
  <c r="BO56" i="10"/>
  <c r="BO4" i="10"/>
  <c r="BO6" i="10"/>
  <c r="BO44" i="10"/>
  <c r="BO45" i="10"/>
  <c r="BO17" i="10"/>
  <c r="BO23" i="10"/>
  <c r="BO52" i="10"/>
  <c r="BO8" i="10"/>
  <c r="BO5" i="10"/>
  <c r="BO41" i="10"/>
  <c r="BO9" i="10"/>
  <c r="BO54" i="10"/>
  <c r="AD506" i="1"/>
  <c r="AC466" i="1"/>
  <c r="AD320" i="1"/>
  <c r="AC315" i="1"/>
  <c r="AD498" i="1"/>
  <c r="AC524" i="1"/>
  <c r="AC445" i="1"/>
  <c r="AC354" i="1"/>
  <c r="AD322" i="1"/>
  <c r="AC469" i="1"/>
  <c r="AC489" i="1"/>
  <c r="AC508" i="1"/>
  <c r="AC257" i="1"/>
  <c r="AC417" i="1"/>
  <c r="AD373" i="1"/>
  <c r="AC457" i="1"/>
  <c r="AD375" i="1"/>
  <c r="AC353" i="1"/>
  <c r="AC462" i="1"/>
  <c r="AD406" i="1"/>
  <c r="AC391" i="1"/>
  <c r="AD229" i="1"/>
  <c r="AD341" i="1"/>
  <c r="AC427" i="1"/>
  <c r="AC399" i="1"/>
  <c r="AD432" i="1"/>
  <c r="AD441" i="1"/>
  <c r="AD475" i="1"/>
  <c r="AC385" i="1"/>
  <c r="AC268" i="1"/>
  <c r="AC431" i="1"/>
  <c r="AD437" i="1"/>
  <c r="AD359" i="1"/>
  <c r="AD446" i="1"/>
  <c r="AD326" i="1"/>
  <c r="AC478" i="1"/>
  <c r="AD300" i="1"/>
  <c r="AD479" i="1"/>
  <c r="AD284" i="1"/>
  <c r="AD422" i="1"/>
  <c r="AC463" i="1"/>
  <c r="AC365" i="1"/>
  <c r="AD393" i="1"/>
  <c r="AD447" i="1"/>
  <c r="AD409" i="1"/>
  <c r="AD442" i="1"/>
  <c r="AC458" i="1"/>
  <c r="AD351" i="1"/>
  <c r="AD384" i="1"/>
  <c r="AD251" i="1"/>
  <c r="AC379" i="1"/>
  <c r="AD376" i="1"/>
  <c r="AC438" i="1"/>
  <c r="AC319" i="1"/>
  <c r="AD352" i="1"/>
  <c r="AD342" i="1"/>
  <c r="AD396" i="1"/>
  <c r="AD367" i="1"/>
  <c r="AD395" i="1"/>
  <c r="AD310" i="1"/>
  <c r="AC453" i="1"/>
  <c r="AD426" i="1"/>
  <c r="AD444" i="1"/>
  <c r="AC267" i="1"/>
  <c r="AC104" i="1"/>
  <c r="AC429" i="1"/>
  <c r="AD461" i="1"/>
  <c r="AC278" i="1"/>
  <c r="AC413" i="1"/>
  <c r="AC456" i="1"/>
  <c r="AC324" i="1"/>
  <c r="AC423" i="1"/>
  <c r="AC420" i="1"/>
  <c r="AD416" i="1"/>
  <c r="AC424" i="1"/>
  <c r="AD149" i="1"/>
  <c r="AD411" i="1"/>
  <c r="AC283" i="1"/>
  <c r="AC293" i="1"/>
  <c r="AD299" i="1"/>
  <c r="AD439" i="1"/>
  <c r="AD133" i="1"/>
  <c r="AD181" i="1"/>
  <c r="AD348" i="1"/>
  <c r="AD139" i="1"/>
  <c r="AD304" i="1"/>
  <c r="AC313" i="1"/>
  <c r="BV10" i="1"/>
  <c r="BT8" i="1"/>
  <c r="BV15" i="1"/>
  <c r="BT13" i="1"/>
  <c r="BT6" i="1"/>
  <c r="BV7" i="1"/>
  <c r="BV9" i="1"/>
  <c r="BT7" i="1"/>
  <c r="BT12" i="1"/>
  <c r="BV13" i="1"/>
  <c r="BT15" i="1"/>
  <c r="BV11" i="1"/>
  <c r="BT14" i="1"/>
  <c r="BT11" i="1"/>
  <c r="BV12" i="1"/>
  <c r="BV6" i="1"/>
  <c r="BT10" i="1"/>
  <c r="BV14" i="1"/>
  <c r="BV8" i="1"/>
  <c r="BT9" i="1"/>
  <c r="AC125" i="1"/>
  <c r="AC224" i="1"/>
  <c r="AC387" i="1"/>
  <c r="BX15" i="1"/>
  <c r="BX14" i="1"/>
  <c r="AC177" i="1"/>
  <c r="AD381" i="1"/>
  <c r="AC215" i="1"/>
  <c r="AC421" i="1"/>
  <c r="AC84" i="1"/>
  <c r="AC287" i="1"/>
  <c r="AC433" i="1"/>
  <c r="AC222" i="1"/>
  <c r="AC270" i="1"/>
  <c r="AC298" i="1"/>
  <c r="AC355" i="1"/>
  <c r="AC77" i="1"/>
  <c r="AC392" i="1"/>
  <c r="AD425" i="1"/>
  <c r="AC248" i="1"/>
  <c r="AC259" i="1"/>
  <c r="AC209" i="1"/>
  <c r="AC325" i="1"/>
  <c r="AC374" i="1"/>
  <c r="AC327" i="1"/>
  <c r="AC80" i="1"/>
  <c r="AC349" i="1"/>
  <c r="AC154" i="1"/>
  <c r="AD360" i="1"/>
  <c r="AC323" i="1"/>
  <c r="AC113" i="1"/>
  <c r="AC244" i="1"/>
  <c r="AC175" i="1"/>
  <c r="AD401" i="1"/>
  <c r="AC204" i="1"/>
  <c r="AC314" i="1"/>
  <c r="AC213" i="1"/>
  <c r="AD394" i="1"/>
  <c r="AD3" i="1"/>
  <c r="AC347" i="1"/>
  <c r="AC414" i="1"/>
  <c r="AC405" i="1"/>
  <c r="AC407" i="1"/>
  <c r="AD235" i="1"/>
  <c r="AD101" i="1"/>
  <c r="AD203" i="1"/>
  <c r="AC363" i="1"/>
  <c r="AD197" i="1"/>
  <c r="AC398" i="1"/>
  <c r="AD346" i="1"/>
  <c r="AD382" i="1"/>
  <c r="AD262" i="1"/>
  <c r="AD440" i="1"/>
  <c r="AC285" i="1"/>
  <c r="AC223" i="1"/>
  <c r="AC344" i="1"/>
  <c r="AC350" i="1"/>
  <c r="AC357" i="1"/>
  <c r="AC343" i="1"/>
  <c r="AD157" i="1"/>
  <c r="AD245" i="1"/>
  <c r="AD277" i="1"/>
  <c r="AD330" i="1"/>
  <c r="AD309" i="1"/>
  <c r="AC153" i="1"/>
  <c r="AC291" i="1"/>
  <c r="AC187" i="1"/>
  <c r="AD317" i="1"/>
  <c r="AC321" i="1"/>
  <c r="AD265" i="1"/>
  <c r="BN13" i="2"/>
  <c r="BN2" i="2"/>
  <c r="BN19" i="2"/>
  <c r="BN17" i="2"/>
  <c r="BN12" i="2"/>
  <c r="BN27" i="2"/>
  <c r="BN14" i="2"/>
  <c r="AC366" i="1"/>
  <c r="AD430" i="1"/>
  <c r="AD297" i="1"/>
  <c r="AD218" i="1"/>
  <c r="AC212" i="1"/>
  <c r="AC264" i="1"/>
  <c r="AC410" i="1"/>
  <c r="AC371" i="1"/>
  <c r="AD238" i="1"/>
  <c r="AC109" i="1"/>
  <c r="AC96" i="1"/>
  <c r="AD171" i="1"/>
  <c r="AC296" i="1"/>
  <c r="AC86" i="1"/>
  <c r="AD280" i="1"/>
  <c r="AC403" i="1"/>
  <c r="AC307" i="1"/>
  <c r="AC289" i="1"/>
  <c r="AC334" i="1"/>
  <c r="AD339" i="1"/>
  <c r="AC145" i="1"/>
  <c r="AC253" i="1"/>
  <c r="AD220" i="1"/>
  <c r="AC312" i="1"/>
  <c r="AC333" i="1"/>
  <c r="AD337" i="1"/>
  <c r="AC261" i="1"/>
  <c r="AC279" i="1"/>
  <c r="BO15" i="8"/>
  <c r="BO51" i="8"/>
  <c r="BO11" i="8"/>
  <c r="BO50" i="8"/>
  <c r="BO32" i="8"/>
  <c r="BO25" i="8"/>
  <c r="BO20" i="8"/>
  <c r="AC250" i="1"/>
  <c r="BO4" i="8"/>
  <c r="BO45" i="8"/>
  <c r="BO18" i="8"/>
  <c r="BO63" i="8"/>
  <c r="BO3" i="8"/>
  <c r="BO37" i="8"/>
  <c r="BO36" i="8"/>
  <c r="BO57" i="8"/>
  <c r="BO17" i="8"/>
  <c r="BO6" i="8"/>
  <c r="BO19" i="8"/>
  <c r="AD163" i="1"/>
  <c r="BO10" i="8"/>
  <c r="BO16" i="8"/>
  <c r="BO9" i="8"/>
  <c r="BO33" i="8"/>
  <c r="BO7" i="8"/>
  <c r="BO34" i="8"/>
  <c r="BO59" i="8"/>
  <c r="BO23" i="8"/>
  <c r="BO62" i="8"/>
  <c r="BO12" i="8"/>
  <c r="BO22" i="8"/>
  <c r="AC302" i="1"/>
  <c r="BO61" i="8"/>
  <c r="BO8" i="8"/>
  <c r="BO29" i="8"/>
  <c r="BO13" i="8"/>
  <c r="BO21" i="8"/>
  <c r="BO47" i="8"/>
  <c r="BO30" i="8"/>
  <c r="BO53" i="8"/>
  <c r="BO38" i="8"/>
  <c r="BO64" i="8"/>
  <c r="BO54" i="8"/>
  <c r="AC97" i="1"/>
  <c r="BO28" i="8"/>
  <c r="BO52" i="8"/>
  <c r="BO14" i="8"/>
  <c r="BO39" i="8"/>
  <c r="AC275" i="1"/>
  <c r="BO42" i="8"/>
  <c r="BO26" i="8"/>
  <c r="BO48" i="8"/>
  <c r="BO5" i="8"/>
  <c r="BO58" i="8"/>
  <c r="BO43" i="8"/>
  <c r="AC329" i="1"/>
  <c r="BO60" i="8"/>
  <c r="BO55" i="8"/>
  <c r="BO49" i="8"/>
  <c r="AC191" i="1"/>
  <c r="BO56" i="8"/>
  <c r="BO41" i="8"/>
  <c r="BO35" i="8"/>
  <c r="BO66" i="8"/>
  <c r="BO65" i="8"/>
  <c r="BO40" i="8"/>
  <c r="BO31" i="8"/>
  <c r="BO46" i="8"/>
  <c r="BO24" i="8"/>
  <c r="BO27" i="8"/>
  <c r="BO44" i="8"/>
  <c r="AD221" i="1"/>
  <c r="AD273" i="1"/>
  <c r="AD345" i="1"/>
  <c r="AC258" i="1"/>
  <c r="AD318" i="1"/>
  <c r="AD199" i="1"/>
  <c r="AC121" i="1"/>
  <c r="AC276" i="1"/>
  <c r="AC311" i="1"/>
  <c r="AC378" i="1"/>
  <c r="AC66" i="1"/>
  <c r="AD295" i="1"/>
  <c r="AC362" i="1"/>
  <c r="AD301" i="1"/>
  <c r="AC266" i="1"/>
  <c r="AD173" i="1"/>
  <c r="AD205" i="1"/>
  <c r="AC254" i="1"/>
  <c r="AC162" i="1"/>
  <c r="AD286" i="1"/>
  <c r="BX7" i="1"/>
  <c r="BX8" i="1"/>
  <c r="BX9" i="1"/>
  <c r="BX10" i="1"/>
  <c r="BX11" i="1"/>
  <c r="BX12" i="1"/>
  <c r="BX13" i="1"/>
  <c r="BX6" i="1"/>
  <c r="N37" i="2"/>
  <c r="N36" i="2"/>
  <c r="N35" i="2"/>
  <c r="BT36" i="2"/>
  <c r="BT35" i="2"/>
  <c r="BT37" i="2"/>
  <c r="L37" i="2"/>
  <c r="L36" i="2"/>
  <c r="L35" i="2"/>
  <c r="BU37" i="2"/>
  <c r="BU36" i="2"/>
  <c r="BU35" i="2"/>
  <c r="I6" i="2"/>
  <c r="H36" i="2"/>
  <c r="H35" i="2"/>
  <c r="H37" i="2"/>
  <c r="V35" i="2"/>
  <c r="V37" i="2"/>
  <c r="V36" i="2"/>
  <c r="T37" i="2"/>
  <c r="T36" i="2"/>
  <c r="T35" i="2"/>
  <c r="O37" i="2"/>
  <c r="O36" i="2"/>
  <c r="O35" i="2"/>
  <c r="G6" i="2"/>
  <c r="F35" i="2"/>
  <c r="F37" i="2"/>
  <c r="F36" i="2"/>
  <c r="W35" i="2"/>
  <c r="W37" i="2"/>
  <c r="W36" i="2"/>
  <c r="D37" i="2"/>
  <c r="D36" i="2"/>
  <c r="D35" i="2"/>
  <c r="M37" i="2"/>
  <c r="M36" i="2"/>
  <c r="M35" i="2"/>
  <c r="U35" i="2"/>
  <c r="U37" i="2"/>
  <c r="U36" i="2"/>
  <c r="AD247" i="1"/>
  <c r="AD328" i="1"/>
  <c r="AD282" i="1"/>
  <c r="AC281" i="1"/>
  <c r="AC260" i="1"/>
  <c r="BV5" i="1"/>
  <c r="BT5" i="1"/>
  <c r="AC246" i="1"/>
  <c r="AC137" i="1"/>
  <c r="AC305" i="1"/>
  <c r="AC193" i="1"/>
  <c r="AC269" i="1"/>
  <c r="AC201" i="1"/>
  <c r="AC69" i="1"/>
  <c r="AD271" i="1"/>
  <c r="AC233" i="1"/>
  <c r="AD117" i="1"/>
  <c r="AD252" i="1"/>
  <c r="AC110" i="1"/>
  <c r="AD185" i="1"/>
  <c r="AD217" i="1"/>
  <c r="AC288" i="1"/>
  <c r="AD230" i="1"/>
  <c r="AC143" i="1"/>
  <c r="AC81" i="1"/>
  <c r="AD255" i="1"/>
  <c r="AC227" i="1"/>
  <c r="AD53" i="1"/>
  <c r="AC152" i="1"/>
  <c r="AC214" i="1"/>
  <c r="AD169" i="1"/>
  <c r="AC48" i="1"/>
  <c r="AC232" i="1"/>
  <c r="AD179" i="1"/>
  <c r="AC132" i="1"/>
  <c r="AD134" i="1"/>
  <c r="AC131" i="1"/>
  <c r="AC243" i="1"/>
  <c r="AC65" i="1"/>
  <c r="AC93" i="1"/>
  <c r="AC207" i="1"/>
  <c r="AC140" i="1"/>
  <c r="AD138" i="1"/>
  <c r="AD54" i="1"/>
  <c r="AC219" i="1"/>
  <c r="AC211" i="1"/>
  <c r="AC158" i="1"/>
  <c r="AC249" i="1"/>
  <c r="AC49" i="1"/>
  <c r="AC241" i="1"/>
  <c r="AC192" i="1"/>
  <c r="AC37" i="1"/>
  <c r="AC186" i="1"/>
  <c r="AC188" i="1"/>
  <c r="AC147" i="1"/>
  <c r="AC200" i="1"/>
  <c r="AC174" i="1"/>
  <c r="AC176" i="1"/>
  <c r="AC129" i="1"/>
  <c r="AC216" i="1"/>
  <c r="AC237" i="1"/>
  <c r="AC195" i="1"/>
  <c r="AC234" i="1"/>
  <c r="AC126" i="1"/>
  <c r="AD189" i="1"/>
  <c r="AC120" i="1"/>
  <c r="AC128" i="1"/>
  <c r="AC228" i="1"/>
  <c r="AC159" i="1"/>
  <c r="AD78" i="1"/>
  <c r="AC198" i="1"/>
  <c r="AD206" i="1"/>
  <c r="AD182" i="1"/>
  <c r="AC240" i="1"/>
  <c r="AC180" i="1"/>
  <c r="AC141" i="1"/>
  <c r="BL2" i="2"/>
  <c r="BL17" i="2"/>
  <c r="BL27" i="2"/>
  <c r="AD225" i="1"/>
  <c r="AD164" i="1"/>
  <c r="AD168" i="1"/>
  <c r="AC170" i="1"/>
  <c r="AC156" i="1"/>
  <c r="AJ25" i="2"/>
  <c r="AC231" i="1"/>
  <c r="BL13" i="2"/>
  <c r="AD239" i="1"/>
  <c r="AC236" i="1"/>
  <c r="AC150" i="1"/>
  <c r="AC122" i="1"/>
  <c r="AD123" i="1"/>
  <c r="AC102" i="1"/>
  <c r="BL19" i="2"/>
  <c r="BL12" i="2"/>
  <c r="BL14" i="2"/>
  <c r="AC165" i="1"/>
  <c r="AC194" i="1"/>
  <c r="AC210" i="1"/>
  <c r="AC10" i="1"/>
  <c r="AC8" i="1"/>
  <c r="AC20" i="1"/>
  <c r="AC42" i="1"/>
  <c r="AC23" i="1"/>
  <c r="AC99" i="1"/>
  <c r="AC74" i="1"/>
  <c r="AC103" i="1"/>
  <c r="AC41" i="1"/>
  <c r="AC127" i="1"/>
  <c r="AC108" i="1"/>
  <c r="AC64" i="1"/>
  <c r="AC124" i="1"/>
  <c r="AC166" i="1"/>
  <c r="AC6" i="1"/>
  <c r="AC7" i="1"/>
  <c r="AC19" i="1"/>
  <c r="AC18" i="1"/>
  <c r="AC12" i="1"/>
  <c r="AC14" i="1"/>
  <c r="AC33" i="1"/>
  <c r="AC25" i="1"/>
  <c r="AC28" i="1"/>
  <c r="AC34" i="1"/>
  <c r="AC52" i="1"/>
  <c r="AC26" i="1"/>
  <c r="AC73" i="1"/>
  <c r="AC76" i="1"/>
  <c r="AC63" i="1"/>
  <c r="AC68" i="1"/>
  <c r="AC90" i="1"/>
  <c r="AC107" i="1"/>
  <c r="AC89" i="1"/>
  <c r="AC130" i="1"/>
  <c r="AC119" i="1"/>
  <c r="AC70" i="1"/>
  <c r="AC136" i="1"/>
  <c r="AC172" i="1"/>
  <c r="AC39" i="1"/>
  <c r="AC62" i="1"/>
  <c r="AC30" i="1"/>
  <c r="AC56" i="1"/>
  <c r="AC58" i="1"/>
  <c r="AC92" i="1"/>
  <c r="AC57" i="1"/>
  <c r="AC38" i="1"/>
  <c r="AC79" i="1"/>
  <c r="AC47" i="1"/>
  <c r="AC106" i="1"/>
  <c r="AC114" i="1"/>
  <c r="AC105" i="1"/>
  <c r="AC146" i="1"/>
  <c r="AC135" i="1"/>
  <c r="AC94" i="1"/>
  <c r="AC142" i="1"/>
  <c r="AC184" i="1"/>
  <c r="AC3" i="1"/>
  <c r="AC17" i="1"/>
  <c r="AC5" i="1"/>
  <c r="AC11" i="1"/>
  <c r="AC9" i="1"/>
  <c r="AC15" i="1"/>
  <c r="AC21" i="1"/>
  <c r="AC24" i="1"/>
  <c r="AC46" i="1"/>
  <c r="AC50" i="1"/>
  <c r="AC59" i="1"/>
  <c r="AC29" i="1"/>
  <c r="AC55" i="1"/>
  <c r="AC95" i="1"/>
  <c r="AC115" i="1"/>
  <c r="AC82" i="1"/>
  <c r="AC161" i="1"/>
  <c r="AC151" i="1"/>
  <c r="AC100" i="1"/>
  <c r="AC148" i="1"/>
  <c r="AC190" i="1"/>
  <c r="AC22" i="1"/>
  <c r="AC32" i="1"/>
  <c r="AC43" i="1"/>
  <c r="AC61" i="1"/>
  <c r="AC72" i="1"/>
  <c r="AC35" i="1"/>
  <c r="AC60" i="1"/>
  <c r="AC98" i="1"/>
  <c r="AC111" i="1"/>
  <c r="AC178" i="1"/>
  <c r="AC71" i="1"/>
  <c r="AC167" i="1"/>
  <c r="AC112" i="1"/>
  <c r="AC155" i="1"/>
  <c r="AC196" i="1"/>
  <c r="AC4" i="1"/>
  <c r="AC13" i="1"/>
  <c r="AC16" i="1"/>
  <c r="AC40" i="1"/>
  <c r="AC51" i="1"/>
  <c r="AC36" i="1"/>
  <c r="AC27" i="1"/>
  <c r="AC45" i="1"/>
  <c r="AC88" i="1"/>
  <c r="AC75" i="1"/>
  <c r="AC83" i="1"/>
  <c r="AC116" i="1"/>
  <c r="AC44" i="1"/>
  <c r="AC67" i="1"/>
  <c r="AC144" i="1"/>
  <c r="AC87" i="1"/>
  <c r="AC183" i="1"/>
  <c r="AC118" i="1"/>
  <c r="AC160" i="1"/>
  <c r="AC202" i="1"/>
  <c r="BO6" i="2"/>
  <c r="AH27" i="2"/>
  <c r="BO16" i="2"/>
  <c r="BO4" i="2"/>
  <c r="BO5" i="2"/>
  <c r="AJ10" i="2"/>
  <c r="AJ17" i="2"/>
  <c r="AH17" i="2"/>
  <c r="AH19" i="2"/>
  <c r="BO25" i="2"/>
  <c r="AJ32" i="2"/>
  <c r="AJ19" i="2"/>
  <c r="BO10" i="2"/>
  <c r="BN23" i="2"/>
  <c r="AJ4" i="2"/>
  <c r="AG28" i="2"/>
  <c r="BO53" i="5"/>
  <c r="CY6" i="2"/>
  <c r="CY5" i="2"/>
  <c r="AE23" i="2"/>
  <c r="AI27" i="2"/>
  <c r="AI18" i="2"/>
  <c r="BO46" i="5"/>
  <c r="AI14" i="2"/>
  <c r="AH8" i="2"/>
  <c r="AJ23" i="2"/>
  <c r="BO29" i="2"/>
  <c r="AE16" i="2"/>
  <c r="AF31" i="2"/>
  <c r="AF23" i="2"/>
  <c r="BO14" i="5"/>
  <c r="BO11" i="5"/>
  <c r="BO8" i="5"/>
  <c r="CS3" i="2"/>
  <c r="CS12" i="2" s="1"/>
  <c r="BO60" i="5"/>
  <c r="BO17" i="5"/>
  <c r="BO3" i="5"/>
  <c r="BO50" i="5"/>
  <c r="BO19" i="5"/>
  <c r="BO33" i="5"/>
  <c r="BO24" i="5"/>
  <c r="AG4" i="2"/>
  <c r="BO10" i="5"/>
  <c r="AF2" i="2"/>
  <c r="BO25" i="5"/>
  <c r="BO43" i="5"/>
  <c r="BO61" i="5"/>
  <c r="BO20" i="5"/>
  <c r="BO40" i="5"/>
  <c r="BO23" i="5"/>
  <c r="BO49" i="5"/>
  <c r="BO45" i="5"/>
  <c r="BO41" i="5"/>
  <c r="BO66" i="5"/>
  <c r="BO48" i="5"/>
  <c r="BO29" i="5"/>
  <c r="BO55" i="5"/>
  <c r="BO37" i="5"/>
  <c r="BO31" i="5"/>
  <c r="BO35" i="5"/>
  <c r="BO36" i="5"/>
  <c r="BO13" i="5"/>
  <c r="BO9" i="5"/>
  <c r="BO5" i="5"/>
  <c r="BO27" i="5"/>
  <c r="BO15" i="5"/>
  <c r="BO44" i="5"/>
  <c r="BO30" i="5"/>
  <c r="BO54" i="5"/>
  <c r="BO59" i="5"/>
  <c r="BO65" i="5"/>
  <c r="BO16" i="5"/>
  <c r="AI13" i="2"/>
  <c r="AH2" i="2"/>
  <c r="BO26" i="5"/>
  <c r="BO22" i="5"/>
  <c r="BO62" i="5"/>
  <c r="BO38" i="5"/>
  <c r="BO47" i="5"/>
  <c r="BO32" i="5"/>
  <c r="BO57" i="5"/>
  <c r="BO51" i="5"/>
  <c r="BO52" i="5"/>
  <c r="BO18" i="5"/>
  <c r="BO34" i="5"/>
  <c r="BO28" i="5"/>
  <c r="BO39" i="5"/>
  <c r="BO12" i="5"/>
  <c r="BO7" i="5"/>
  <c r="BO6" i="5"/>
  <c r="BO4" i="5"/>
  <c r="BO56" i="5"/>
  <c r="BO58" i="5"/>
  <c r="BO64" i="5"/>
  <c r="BO63" i="5"/>
  <c r="AH28" i="2"/>
  <c r="AH29" i="2"/>
  <c r="AF9" i="2"/>
  <c r="BN6" i="2"/>
  <c r="BO21" i="2"/>
  <c r="BO42" i="5"/>
  <c r="BO8" i="2"/>
  <c r="BO3" i="2"/>
  <c r="BO21" i="5"/>
  <c r="AJ12" i="2"/>
  <c r="AI33" i="2"/>
  <c r="AG13" i="2"/>
  <c r="AI25" i="2"/>
  <c r="AE7" i="2"/>
  <c r="AI5" i="2"/>
  <c r="AI20" i="2"/>
  <c r="AG33" i="2"/>
  <c r="AC30" i="2"/>
  <c r="AC3" i="2"/>
  <c r="AC17" i="2"/>
  <c r="AG27" i="2"/>
  <c r="AI30" i="2"/>
  <c r="AI3" i="2"/>
  <c r="AG30" i="2"/>
  <c r="AC25" i="2"/>
  <c r="AE8" i="2"/>
  <c r="AE31" i="2"/>
  <c r="AI2" i="2"/>
  <c r="AI24" i="2"/>
  <c r="AE26" i="2"/>
  <c r="AC7" i="2"/>
  <c r="AC28" i="2"/>
  <c r="AC21" i="2"/>
  <c r="AE17" i="2"/>
  <c r="AE2" i="2"/>
  <c r="AI11" i="2"/>
  <c r="AF19" i="2"/>
  <c r="AE6" i="2"/>
  <c r="AI16" i="2"/>
  <c r="AE10" i="2"/>
  <c r="AG12" i="2"/>
  <c r="AG20" i="2"/>
  <c r="AE29" i="2"/>
  <c r="AI4" i="2"/>
  <c r="AC14" i="2"/>
  <c r="AE25" i="2"/>
  <c r="AC33" i="2"/>
  <c r="AI6" i="2"/>
  <c r="AG26" i="2"/>
  <c r="AE18" i="2"/>
  <c r="AE13" i="2"/>
  <c r="AE11" i="2"/>
  <c r="AI10" i="2"/>
  <c r="AF27" i="2"/>
  <c r="AE5" i="2"/>
  <c r="AI15" i="2"/>
  <c r="AE24" i="2"/>
  <c r="AC23" i="2"/>
  <c r="AC8" i="2"/>
  <c r="AE30" i="2"/>
  <c r="AE19" i="2"/>
  <c r="AI28" i="2"/>
  <c r="AI29" i="2"/>
  <c r="AE27" i="2"/>
  <c r="AE28" i="2"/>
  <c r="AF17" i="2"/>
  <c r="AC11" i="2"/>
  <c r="AG31" i="2"/>
  <c r="AI12" i="2"/>
  <c r="AI21" i="2"/>
  <c r="AG17" i="2"/>
  <c r="AC13" i="2"/>
  <c r="AI31" i="2"/>
  <c r="AE21" i="2"/>
  <c r="AE20" i="2"/>
  <c r="AG11" i="2"/>
  <c r="AI32" i="2"/>
  <c r="AE12" i="2"/>
  <c r="AE15" i="2"/>
  <c r="AC29" i="2"/>
  <c r="AI26" i="2"/>
  <c r="AI7" i="2"/>
  <c r="AC18" i="2"/>
  <c r="AI8" i="2"/>
  <c r="AE3" i="2"/>
  <c r="AG8" i="2"/>
  <c r="AI23" i="2"/>
  <c r="AC6" i="2"/>
  <c r="AC2" i="2"/>
  <c r="AC10" i="2"/>
  <c r="AC16" i="2"/>
  <c r="AG2" i="2"/>
  <c r="AI17" i="2"/>
  <c r="AI9" i="2"/>
  <c r="AC32" i="2"/>
  <c r="AC22" i="2"/>
  <c r="AC9" i="2"/>
  <c r="AG32" i="2"/>
  <c r="AG5" i="2"/>
  <c r="AI19" i="2"/>
  <c r="AC20" i="2"/>
  <c r="AE14" i="2"/>
  <c r="AG10" i="2"/>
  <c r="AG7" i="2"/>
  <c r="AG29" i="2"/>
  <c r="AC15" i="2"/>
  <c r="AC26" i="2"/>
  <c r="AG14" i="2"/>
  <c r="AE33" i="2"/>
  <c r="AG15" i="2"/>
  <c r="AE32" i="2"/>
  <c r="AG25" i="2"/>
  <c r="AG22" i="2"/>
  <c r="AG24" i="2"/>
  <c r="AC4" i="2"/>
  <c r="AC19" i="2"/>
  <c r="AC31" i="2"/>
  <c r="AC12" i="2"/>
  <c r="AE4" i="2"/>
  <c r="AG21" i="2"/>
  <c r="AG19" i="2"/>
  <c r="AG16" i="2"/>
  <c r="AE22" i="2"/>
  <c r="AH6" i="2"/>
  <c r="AG23" i="2"/>
  <c r="AC27" i="2"/>
  <c r="AC5" i="2"/>
  <c r="AC24" i="2"/>
  <c r="AJ2" i="2"/>
  <c r="AG6" i="2"/>
  <c r="AG3" i="2"/>
  <c r="AG18" i="2"/>
  <c r="AI22" i="2"/>
  <c r="AG9" i="2"/>
  <c r="AE9" i="2"/>
  <c r="AH24" i="2"/>
  <c r="BX31" i="2"/>
  <c r="J7" i="2"/>
  <c r="G7" i="2"/>
  <c r="J5" i="2"/>
  <c r="G5" i="2"/>
  <c r="J23" i="2"/>
  <c r="BX13" i="2"/>
  <c r="J13" i="2"/>
  <c r="BV29" i="2"/>
  <c r="X13" i="2"/>
  <c r="BX29" i="2"/>
  <c r="BX27" i="2"/>
  <c r="J19" i="2"/>
  <c r="X19" i="2"/>
  <c r="X5" i="2"/>
  <c r="X20" i="2"/>
  <c r="BV27" i="2"/>
  <c r="J2" i="2"/>
  <c r="BV20" i="2"/>
  <c r="BX20" i="2"/>
  <c r="X21" i="2"/>
  <c r="BV26" i="2"/>
  <c r="X10" i="2"/>
  <c r="X32" i="2"/>
  <c r="BX18" i="2"/>
  <c r="BW31" i="2"/>
  <c r="AH15" i="2"/>
  <c r="BX16" i="2"/>
  <c r="X16" i="2"/>
  <c r="BW22" i="2"/>
  <c r="X24" i="2"/>
  <c r="BV22" i="2"/>
  <c r="BX24" i="2"/>
  <c r="BX32" i="2"/>
  <c r="BX26" i="2"/>
  <c r="X7" i="2"/>
  <c r="X9" i="2"/>
  <c r="BO28" i="2"/>
  <c r="X12" i="2"/>
  <c r="BX17" i="2"/>
  <c r="BX28" i="2"/>
  <c r="BX22" i="2"/>
  <c r="X30" i="2"/>
  <c r="BX25" i="2"/>
  <c r="BX30" i="2"/>
  <c r="BX7" i="2"/>
  <c r="X28" i="2"/>
  <c r="J27" i="2"/>
  <c r="X31" i="2"/>
  <c r="X26" i="2"/>
  <c r="BV9" i="2"/>
  <c r="BX9" i="2"/>
  <c r="BW20" i="2"/>
  <c r="BV10" i="2"/>
  <c r="BV17" i="2"/>
  <c r="BW17" i="2"/>
  <c r="BV16" i="2"/>
  <c r="BV25" i="2"/>
  <c r="BV32" i="2"/>
  <c r="X4" i="2"/>
  <c r="BX10" i="2"/>
  <c r="BV7" i="2"/>
  <c r="X17" i="2"/>
  <c r="X29" i="2"/>
  <c r="BW28" i="2"/>
  <c r="BX12" i="2"/>
  <c r="BX15" i="2"/>
  <c r="BX19" i="2"/>
  <c r="BV19" i="2"/>
  <c r="BV2" i="2"/>
  <c r="X25" i="2"/>
  <c r="BX23" i="2"/>
  <c r="X23" i="2"/>
  <c r="BX5" i="2"/>
  <c r="BX8" i="2"/>
  <c r="J15" i="2"/>
  <c r="E15" i="2" s="1"/>
  <c r="X33" i="2"/>
  <c r="BV28" i="2"/>
  <c r="AF24" i="2"/>
  <c r="AF22" i="2"/>
  <c r="AJ13" i="2"/>
  <c r="AF13" i="2"/>
  <c r="AF12" i="2"/>
  <c r="BN32" i="2"/>
  <c r="AF14" i="2"/>
  <c r="AH21" i="2"/>
  <c r="BV31" i="2"/>
  <c r="P12" i="2"/>
  <c r="BV30" i="2"/>
  <c r="BV8" i="2"/>
  <c r="X11" i="2"/>
  <c r="BX11" i="2"/>
  <c r="J22" i="2"/>
  <c r="X22" i="2"/>
  <c r="J6" i="2"/>
  <c r="X3" i="2"/>
  <c r="BX3" i="2"/>
  <c r="X6" i="2"/>
  <c r="P22" i="2"/>
  <c r="BW13" i="2"/>
  <c r="BX6" i="2"/>
  <c r="P5" i="2"/>
  <c r="X15" i="2"/>
  <c r="P9" i="2"/>
  <c r="X27" i="2"/>
  <c r="P16" i="2"/>
  <c r="P30" i="2"/>
  <c r="P10" i="2"/>
  <c r="X2" i="2"/>
  <c r="P21" i="2"/>
  <c r="P8" i="2"/>
  <c r="X8" i="2"/>
  <c r="P11" i="2"/>
  <c r="P32" i="2"/>
  <c r="BV15" i="2"/>
  <c r="BV13" i="2"/>
  <c r="BV3" i="2"/>
  <c r="BV12" i="2"/>
  <c r="BV6" i="2"/>
  <c r="BV33" i="2"/>
  <c r="BX2" i="2"/>
  <c r="BW5" i="2"/>
  <c r="BV21" i="2"/>
  <c r="BV23" i="2"/>
  <c r="BV24" i="2"/>
  <c r="BW25" i="2"/>
  <c r="BW29" i="2"/>
  <c r="BV5" i="2"/>
  <c r="BW4" i="2"/>
  <c r="BV4" i="2"/>
  <c r="BV11" i="2"/>
  <c r="BW26" i="2"/>
  <c r="BW24" i="2"/>
  <c r="BW18" i="2"/>
  <c r="BV18" i="2"/>
  <c r="BX4" i="2"/>
  <c r="AH16" i="2"/>
  <c r="X18" i="2"/>
  <c r="P3" i="2"/>
  <c r="BX21" i="2"/>
  <c r="J10" i="2"/>
  <c r="BW12" i="2"/>
  <c r="J20" i="2"/>
  <c r="P24" i="2"/>
  <c r="BX33" i="2"/>
  <c r="BW19" i="2"/>
  <c r="P19" i="2"/>
  <c r="J11" i="2"/>
  <c r="BW11" i="2"/>
  <c r="BW9" i="2"/>
  <c r="J4" i="2"/>
  <c r="P4" i="2"/>
  <c r="BW23" i="2"/>
  <c r="P23" i="2"/>
  <c r="J24" i="2"/>
  <c r="J31" i="2"/>
  <c r="J30" i="2"/>
  <c r="BW27" i="2"/>
  <c r="J26" i="2"/>
  <c r="P26" i="2"/>
  <c r="P13" i="2"/>
  <c r="BW8" i="2"/>
  <c r="BW30" i="2"/>
  <c r="J28" i="2"/>
  <c r="J21" i="2"/>
  <c r="J9" i="2"/>
  <c r="P31" i="2"/>
  <c r="P27" i="2"/>
  <c r="BW10" i="2"/>
  <c r="J33" i="2"/>
  <c r="BW3" i="2"/>
  <c r="J16" i="2"/>
  <c r="P28" i="2"/>
  <c r="BW7" i="2"/>
  <c r="P15" i="2"/>
  <c r="J18" i="2"/>
  <c r="J3" i="2"/>
  <c r="J8" i="2"/>
  <c r="P18" i="2"/>
  <c r="J32" i="2"/>
  <c r="J17" i="2"/>
  <c r="J25" i="2"/>
  <c r="BW15" i="2"/>
  <c r="P20" i="2"/>
  <c r="BW32" i="2"/>
  <c r="P7" i="2"/>
  <c r="J12" i="2"/>
  <c r="P29" i="2"/>
  <c r="P25" i="2"/>
  <c r="P6" i="2"/>
  <c r="P2" i="2"/>
  <c r="BW2" i="2"/>
  <c r="J29" i="2"/>
  <c r="BW21" i="2"/>
  <c r="BW6" i="2"/>
  <c r="P33" i="2"/>
  <c r="BW16" i="2"/>
  <c r="BW33" i="2"/>
  <c r="P17" i="2"/>
  <c r="BH7" i="2"/>
  <c r="BH21" i="2"/>
  <c r="BH3" i="2"/>
  <c r="BH22" i="2"/>
  <c r="BH11" i="2"/>
  <c r="BH15" i="2"/>
  <c r="BH18" i="2"/>
  <c r="BH30" i="2"/>
  <c r="BH31" i="2"/>
  <c r="BH23" i="2"/>
  <c r="BH12" i="2"/>
  <c r="BH28" i="2"/>
  <c r="BH4" i="2"/>
  <c r="BH24" i="2"/>
  <c r="BH19" i="2"/>
  <c r="BH2" i="2"/>
  <c r="BH10" i="2"/>
  <c r="BH29" i="2"/>
  <c r="BH25" i="2"/>
  <c r="BH13" i="2"/>
  <c r="BH20" i="2"/>
  <c r="BH32" i="2"/>
  <c r="BH27" i="2"/>
  <c r="BH6" i="2"/>
  <c r="BH5" i="2"/>
  <c r="BH8" i="2"/>
  <c r="BH26" i="2"/>
  <c r="BH16" i="2"/>
  <c r="BH33" i="2"/>
  <c r="BH17" i="2"/>
  <c r="BH9" i="2"/>
  <c r="AJ14" i="2"/>
  <c r="AH14" i="2"/>
  <c r="BO48" i="4"/>
  <c r="BO38" i="4"/>
  <c r="BO8" i="4"/>
  <c r="BO65" i="4"/>
  <c r="BO59" i="4"/>
  <c r="BO18" i="4"/>
  <c r="BO44" i="4"/>
  <c r="BO61" i="4"/>
  <c r="BO62" i="4"/>
  <c r="BO46" i="4"/>
  <c r="BO27" i="4"/>
  <c r="BO43" i="4"/>
  <c r="BO54" i="4"/>
  <c r="BO6" i="4"/>
  <c r="BO33" i="4"/>
  <c r="BO4" i="4"/>
  <c r="BO34" i="4"/>
  <c r="BO56" i="4"/>
  <c r="BO60" i="4"/>
  <c r="BO17" i="4"/>
  <c r="BO16" i="4"/>
  <c r="BO47" i="4"/>
  <c r="BO11" i="4"/>
  <c r="BO9" i="4"/>
  <c r="BO21" i="4"/>
  <c r="BO12" i="4"/>
  <c r="BO30" i="4"/>
  <c r="BO23" i="4"/>
  <c r="BO51" i="4"/>
  <c r="BO63" i="4"/>
  <c r="BO5" i="4"/>
  <c r="BO31" i="4"/>
  <c r="BO42" i="4"/>
  <c r="BO32" i="4"/>
  <c r="BO55" i="4"/>
  <c r="BO57" i="4"/>
  <c r="BO28" i="4"/>
  <c r="BO49" i="4"/>
  <c r="BO52" i="4"/>
  <c r="BO14" i="4"/>
  <c r="BO20" i="4"/>
  <c r="BO50" i="4"/>
  <c r="BO25" i="4"/>
  <c r="BO15" i="4"/>
  <c r="BO22" i="4"/>
  <c r="BO36" i="4"/>
  <c r="BO35" i="4"/>
  <c r="BO7" i="4"/>
  <c r="BO45" i="4"/>
  <c r="BO24" i="4"/>
  <c r="BO41" i="4"/>
  <c r="BO3" i="4"/>
  <c r="BO53" i="4"/>
  <c r="BO13" i="4"/>
  <c r="BO58" i="4"/>
  <c r="BO66" i="4"/>
  <c r="BO37" i="4"/>
  <c r="BO29" i="4"/>
  <c r="BO40" i="4"/>
  <c r="BO19" i="4"/>
  <c r="BO39" i="4"/>
  <c r="BO26" i="4"/>
  <c r="BO64" i="4"/>
  <c r="BO10" i="4"/>
  <c r="BP37" i="3"/>
  <c r="BP31" i="3"/>
  <c r="BP29" i="3"/>
  <c r="BP45" i="3"/>
  <c r="BP61" i="3"/>
  <c r="BP7" i="3"/>
  <c r="BP53" i="3"/>
  <c r="BP5" i="3"/>
  <c r="BP13" i="3"/>
  <c r="BP19" i="3"/>
  <c r="BP9" i="3"/>
  <c r="BP41" i="3"/>
  <c r="BP47" i="3"/>
  <c r="BP57" i="3"/>
  <c r="BP3" i="3"/>
  <c r="BP11" i="3"/>
  <c r="BP55" i="3"/>
  <c r="BP63" i="3"/>
  <c r="BP21" i="3"/>
  <c r="BP23" i="3"/>
  <c r="BP35" i="3"/>
  <c r="BP17" i="3"/>
  <c r="BP43" i="3"/>
  <c r="BP33" i="3"/>
  <c r="BP25" i="3"/>
  <c r="BP49" i="3"/>
  <c r="BP15" i="3"/>
  <c r="BP59" i="3"/>
  <c r="BP65" i="3"/>
  <c r="BP39" i="3"/>
  <c r="BP27" i="3"/>
  <c r="BP51" i="3"/>
  <c r="AO802" i="1" l="1"/>
  <c r="AJ27" i="2"/>
  <c r="AL27" i="2" s="1"/>
  <c r="AH13" i="2"/>
  <c r="AL13" i="2" s="1"/>
  <c r="BO15" i="2"/>
  <c r="BL24" i="2"/>
  <c r="BN24" i="2"/>
  <c r="BD17" i="1"/>
  <c r="BD18" i="1" s="1"/>
  <c r="AO102" i="1"/>
  <c r="AO821" i="1"/>
  <c r="AO449" i="1"/>
  <c r="AO852" i="1"/>
  <c r="AO104" i="1"/>
  <c r="AO513" i="1"/>
  <c r="BP35" i="8"/>
  <c r="AP1224" i="1"/>
  <c r="AO818" i="1"/>
  <c r="AO320" i="1"/>
  <c r="AO271" i="1"/>
  <c r="AO948" i="1"/>
  <c r="AO945" i="1"/>
  <c r="AO288" i="1"/>
  <c r="AP1111" i="1"/>
  <c r="AP994" i="1"/>
  <c r="AO260" i="1"/>
  <c r="AO390" i="1"/>
  <c r="AO925" i="1"/>
  <c r="BD9" i="1"/>
  <c r="BD10" i="1" s="1"/>
  <c r="BI17" i="1"/>
  <c r="AP1104" i="1"/>
  <c r="AP389" i="1"/>
  <c r="AP638" i="1"/>
  <c r="AO1292" i="1"/>
  <c r="AP105" i="1"/>
  <c r="AO319" i="1"/>
  <c r="AO887" i="1"/>
  <c r="AO590" i="1"/>
  <c r="AP336" i="1"/>
  <c r="AO118" i="1"/>
  <c r="AP626" i="1"/>
  <c r="AO330" i="1"/>
  <c r="AO775" i="1"/>
  <c r="AP1288" i="1"/>
  <c r="AO276" i="1"/>
  <c r="AO497" i="1"/>
  <c r="AP315" i="1"/>
  <c r="AO737" i="1"/>
  <c r="AP654" i="1"/>
  <c r="AO478" i="1"/>
  <c r="AO10" i="1"/>
  <c r="AP751" i="1"/>
  <c r="AO1165" i="1"/>
  <c r="AO380" i="1"/>
  <c r="AO779" i="1"/>
  <c r="AO365" i="1"/>
  <c r="AP911" i="1"/>
  <c r="AP198" i="1"/>
  <c r="AO519" i="1"/>
  <c r="AO294" i="1"/>
  <c r="AO202" i="1"/>
  <c r="AP332" i="1"/>
  <c r="AO824" i="1"/>
  <c r="AO831" i="1"/>
  <c r="AO1137" i="1"/>
  <c r="AP337" i="1"/>
  <c r="AO790" i="1"/>
  <c r="AO1017" i="1"/>
  <c r="AP915" i="1"/>
  <c r="AO923" i="1"/>
  <c r="AO926" i="1"/>
  <c r="AP854" i="1"/>
  <c r="AO854" i="1"/>
  <c r="AO1210" i="1"/>
  <c r="AO881" i="1"/>
  <c r="AP899" i="1"/>
  <c r="AO899" i="1"/>
  <c r="AO922" i="1"/>
  <c r="AO993" i="1"/>
  <c r="AO977" i="1"/>
  <c r="AP986" i="1"/>
  <c r="AO999" i="1"/>
  <c r="AO1046" i="1"/>
  <c r="AO1068" i="1"/>
  <c r="AP1147" i="1"/>
  <c r="AP1046" i="1"/>
  <c r="AO941" i="1"/>
  <c r="AO848" i="1"/>
  <c r="AO404" i="1"/>
  <c r="AO704" i="1"/>
  <c r="AO1141" i="1"/>
  <c r="AO447" i="1"/>
  <c r="AO158" i="1"/>
  <c r="AO1080" i="1"/>
  <c r="AO607" i="1"/>
  <c r="AP23" i="1"/>
  <c r="AO684" i="1"/>
  <c r="AO442" i="1"/>
  <c r="AP585" i="1"/>
  <c r="AO1228" i="1"/>
  <c r="AO1127" i="1"/>
  <c r="AO461" i="1"/>
  <c r="AO45" i="1"/>
  <c r="AO246" i="1"/>
  <c r="AP832" i="1"/>
  <c r="AP820" i="1"/>
  <c r="AP245" i="1"/>
  <c r="AP1244" i="1"/>
  <c r="AO1093" i="1"/>
  <c r="AO1106" i="1"/>
  <c r="AP689" i="1"/>
  <c r="AO855" i="1"/>
  <c r="AO874" i="1"/>
  <c r="AO896" i="1"/>
  <c r="AO901" i="1"/>
  <c r="AO1156" i="1"/>
  <c r="AP993" i="1"/>
  <c r="AO1051" i="1"/>
  <c r="AO1282" i="1"/>
  <c r="AO1030" i="1"/>
  <c r="AO1194" i="1"/>
  <c r="AO1035" i="1"/>
  <c r="AP953" i="1"/>
  <c r="AO1015" i="1"/>
  <c r="AO85" i="1"/>
  <c r="AP741" i="1"/>
  <c r="AP1015" i="1"/>
  <c r="AP374" i="1"/>
  <c r="AO594" i="1"/>
  <c r="AO1124" i="1"/>
  <c r="AO240" i="1"/>
  <c r="AO687" i="1"/>
  <c r="AO30" i="1"/>
  <c r="AO364" i="1"/>
  <c r="AO399" i="1"/>
  <c r="AP1110" i="1"/>
  <c r="AO733" i="1"/>
  <c r="AO1225" i="1"/>
  <c r="AP249" i="1"/>
  <c r="AO967" i="1"/>
  <c r="AP569" i="1"/>
  <c r="AO873" i="1"/>
  <c r="AP1085" i="1"/>
  <c r="AO413" i="1"/>
  <c r="AO123" i="1"/>
  <c r="AO571" i="1"/>
  <c r="AP56" i="1"/>
  <c r="AO826" i="1"/>
  <c r="AP834" i="1"/>
  <c r="AO1119" i="1"/>
  <c r="AP46" i="1"/>
  <c r="AO727" i="1"/>
  <c r="AO1034" i="1"/>
  <c r="AP936" i="1"/>
  <c r="AO968" i="1"/>
  <c r="AO980" i="1"/>
  <c r="AP1210" i="1"/>
  <c r="AP896" i="1"/>
  <c r="AO973" i="1"/>
  <c r="AP991" i="1"/>
  <c r="AP1295" i="1"/>
  <c r="AO1158" i="1"/>
  <c r="AO1009" i="1"/>
  <c r="AO1147" i="1"/>
  <c r="AP41" i="1"/>
  <c r="AO358" i="1"/>
  <c r="AP805" i="1"/>
  <c r="AO130" i="1"/>
  <c r="AO950" i="1"/>
  <c r="AO316" i="1"/>
  <c r="AO658" i="1"/>
  <c r="AP417" i="1"/>
  <c r="AO539" i="1"/>
  <c r="AP470" i="1"/>
  <c r="AO263" i="1"/>
  <c r="AO886" i="1"/>
  <c r="AP257" i="1"/>
  <c r="AO1070" i="1"/>
  <c r="AP816" i="1"/>
  <c r="AO1220" i="1"/>
  <c r="AO856" i="1"/>
  <c r="AO836" i="1"/>
  <c r="AO60" i="1"/>
  <c r="AO1108" i="1"/>
  <c r="AO936" i="1"/>
  <c r="AO842" i="1"/>
  <c r="AO1054" i="1"/>
  <c r="AO1078" i="1"/>
  <c r="AO1144" i="1"/>
  <c r="AO1243" i="1"/>
  <c r="AO959" i="1"/>
  <c r="AO1241" i="1"/>
  <c r="AO80" i="1"/>
  <c r="AO861" i="1"/>
  <c r="AO465" i="1"/>
  <c r="AP848" i="1"/>
  <c r="AO191" i="1"/>
  <c r="AO952" i="1"/>
  <c r="AO564" i="1"/>
  <c r="AO863" i="1"/>
  <c r="AP574" i="1"/>
  <c r="AO14" i="1"/>
  <c r="AP979" i="1"/>
  <c r="AO605" i="1"/>
  <c r="AO810" i="1"/>
  <c r="AO40" i="1"/>
  <c r="AO55" i="1"/>
  <c r="AO503" i="1"/>
  <c r="AO1121" i="1"/>
  <c r="AO6" i="1"/>
  <c r="AP712" i="1"/>
  <c r="AO806" i="1"/>
  <c r="AO269" i="1"/>
  <c r="AO311" i="1"/>
  <c r="AO822" i="1"/>
  <c r="AO867" i="1"/>
  <c r="AO833" i="1"/>
  <c r="AO894" i="1"/>
  <c r="AO987" i="1"/>
  <c r="AO396" i="1"/>
  <c r="AO825" i="1"/>
  <c r="AO1114" i="1"/>
  <c r="AO996" i="1"/>
  <c r="AO847" i="1"/>
  <c r="AO965" i="1"/>
  <c r="AO865" i="1"/>
  <c r="AP881" i="1"/>
  <c r="AO989" i="1"/>
  <c r="AO1154" i="1"/>
  <c r="AO990" i="1"/>
  <c r="AO1117" i="1"/>
  <c r="AP1164" i="1"/>
  <c r="AO1166" i="1"/>
  <c r="AO975" i="1"/>
  <c r="AO536" i="1"/>
  <c r="AO36" i="1"/>
  <c r="AO338" i="1"/>
  <c r="AO576" i="1"/>
  <c r="AO354" i="1"/>
  <c r="AP15" i="1"/>
  <c r="AO26" i="1"/>
  <c r="AO652" i="1"/>
  <c r="AO251" i="1"/>
  <c r="AO780" i="1"/>
  <c r="AO424" i="1"/>
  <c r="AO166" i="1"/>
  <c r="AP868" i="1"/>
  <c r="AO661" i="1"/>
  <c r="AP5" i="1"/>
  <c r="AO172" i="1"/>
  <c r="AO363" i="1"/>
  <c r="AO170" i="1"/>
  <c r="AO1209" i="1"/>
  <c r="AO601" i="1"/>
  <c r="AO183" i="1"/>
  <c r="AP1072" i="1"/>
  <c r="AO1047" i="1"/>
  <c r="AP867" i="1"/>
  <c r="AP831" i="1"/>
  <c r="AP31" i="1"/>
  <c r="AP175" i="1"/>
  <c r="AO1134" i="1"/>
  <c r="AO707" i="1"/>
  <c r="AP187" i="1"/>
  <c r="AP847" i="1"/>
  <c r="AP772" i="1"/>
  <c r="AO1182" i="1"/>
  <c r="AO951" i="1"/>
  <c r="AO1130" i="1"/>
  <c r="AO1003" i="1"/>
  <c r="AO1089" i="1"/>
  <c r="AO1164" i="1"/>
  <c r="AO1242" i="1"/>
  <c r="AP1229" i="1"/>
  <c r="AO1180" i="1"/>
  <c r="AP1117" i="1"/>
  <c r="AP1030" i="1"/>
  <c r="AP1217" i="1"/>
  <c r="AP977" i="1"/>
  <c r="AP1208" i="1"/>
  <c r="AP959" i="1"/>
  <c r="AP1051" i="1"/>
  <c r="AO1208" i="1"/>
  <c r="AO1226" i="1"/>
  <c r="AP1241" i="1"/>
  <c r="AP1068" i="1"/>
  <c r="AO981" i="1"/>
  <c r="AO1244" i="1"/>
  <c r="AP1113" i="1"/>
  <c r="AO851" i="1"/>
  <c r="AO1112" i="1"/>
  <c r="AO860" i="1"/>
  <c r="AP412" i="1"/>
  <c r="AO711" i="1"/>
  <c r="AP925" i="1"/>
  <c r="AP1021" i="1"/>
  <c r="AP887" i="1"/>
  <c r="AO891" i="1"/>
  <c r="AP1048" i="1"/>
  <c r="AP1180" i="1"/>
  <c r="AP1226" i="1"/>
  <c r="AP1166" i="1"/>
  <c r="AP305" i="1"/>
  <c r="AP951" i="1"/>
  <c r="AP1194" i="1"/>
  <c r="AP1202" i="1"/>
  <c r="AP1154" i="1"/>
  <c r="AL14" i="2"/>
  <c r="AL2" i="2"/>
  <c r="AL19" i="2"/>
  <c r="AL17" i="2"/>
  <c r="AP1009" i="1"/>
  <c r="AP990" i="1"/>
  <c r="AP855" i="1"/>
  <c r="AP989" i="1"/>
  <c r="AP1012" i="1"/>
  <c r="BZ16" i="2"/>
  <c r="AO1113" i="1"/>
  <c r="BZ19" i="2"/>
  <c r="BZ18" i="2"/>
  <c r="BZ6" i="2"/>
  <c r="BZ7" i="2"/>
  <c r="BZ3" i="2"/>
  <c r="BZ25" i="2"/>
  <c r="CJ12" i="2"/>
  <c r="CJ9" i="2"/>
  <c r="CJ17" i="2"/>
  <c r="BZ13" i="2"/>
  <c r="BZ2" i="2"/>
  <c r="BZ23" i="2"/>
  <c r="CI13" i="2"/>
  <c r="CI5" i="2"/>
  <c r="CJ26" i="2"/>
  <c r="BZ21" i="2"/>
  <c r="BZ9" i="2"/>
  <c r="BZ4" i="2"/>
  <c r="BZ29" i="2"/>
  <c r="BZ12" i="2"/>
  <c r="BZ27" i="2"/>
  <c r="BZ31" i="2"/>
  <c r="BZ5" i="2"/>
  <c r="BZ15" i="2"/>
  <c r="BZ17" i="2"/>
  <c r="BZ20" i="2"/>
  <c r="BZ33" i="2"/>
  <c r="BZ28" i="2"/>
  <c r="BZ10" i="2"/>
  <c r="BZ11" i="2"/>
  <c r="BZ24" i="2"/>
  <c r="BZ30" i="2"/>
  <c r="BZ32" i="2"/>
  <c r="BZ8" i="2"/>
  <c r="BZ26" i="2"/>
  <c r="BZ22" i="2"/>
  <c r="AO958" i="1"/>
  <c r="CJ23" i="2"/>
  <c r="CI19" i="2"/>
  <c r="CI6" i="2"/>
  <c r="CJ25" i="2"/>
  <c r="CI8" i="2"/>
  <c r="CJ7" i="2"/>
  <c r="CJ16" i="2"/>
  <c r="CI12" i="2"/>
  <c r="CI7" i="2"/>
  <c r="CI14" i="2"/>
  <c r="CI23" i="2"/>
  <c r="CJ24" i="2"/>
  <c r="CJ19" i="2"/>
  <c r="CJ13" i="2"/>
  <c r="CI29" i="2"/>
  <c r="CI15" i="2"/>
  <c r="CI27" i="2"/>
  <c r="CJ28" i="2"/>
  <c r="CJ18" i="2"/>
  <c r="CJ6" i="2"/>
  <c r="AP762" i="1"/>
  <c r="CI4" i="2"/>
  <c r="CI30" i="2"/>
  <c r="CJ2" i="2"/>
  <c r="CJ27" i="2"/>
  <c r="CI3" i="2"/>
  <c r="CI16" i="2"/>
  <c r="CJ3" i="2"/>
  <c r="CI24" i="2"/>
  <c r="CI20" i="2"/>
  <c r="CJ22" i="2"/>
  <c r="CI18" i="2"/>
  <c r="CI33" i="2"/>
  <c r="CI11" i="2"/>
  <c r="CJ5" i="2"/>
  <c r="CI10" i="2"/>
  <c r="CJ32" i="2"/>
  <c r="CJ11" i="2"/>
  <c r="CI17" i="2"/>
  <c r="CI2" i="2"/>
  <c r="CJ4" i="2"/>
  <c r="CI31" i="2"/>
  <c r="CI21" i="2"/>
  <c r="CJ21" i="2"/>
  <c r="CI28" i="2"/>
  <c r="CJ33" i="2"/>
  <c r="CJ20" i="2"/>
  <c r="CI25" i="2"/>
  <c r="CJ8" i="2"/>
  <c r="CI32" i="2"/>
  <c r="CJ10" i="2"/>
  <c r="CJ29" i="2"/>
  <c r="CJ30" i="2"/>
  <c r="CI26" i="2"/>
  <c r="CI22" i="2"/>
  <c r="CI9" i="2"/>
  <c r="CJ14" i="2"/>
  <c r="CJ15" i="2"/>
  <c r="CJ31" i="2"/>
  <c r="E26" i="2"/>
  <c r="BK23" i="2"/>
  <c r="E27" i="2"/>
  <c r="E32" i="2"/>
  <c r="E31" i="2"/>
  <c r="BK5" i="2"/>
  <c r="E3" i="2"/>
  <c r="E21" i="2"/>
  <c r="E24" i="2"/>
  <c r="E20" i="2"/>
  <c r="E25" i="2"/>
  <c r="E18" i="2"/>
  <c r="E28" i="2"/>
  <c r="E10" i="2"/>
  <c r="E2" i="2"/>
  <c r="E29" i="2"/>
  <c r="E12" i="2"/>
  <c r="E17" i="2"/>
  <c r="E30" i="2"/>
  <c r="E4" i="2"/>
  <c r="E8" i="2"/>
  <c r="E16" i="2"/>
  <c r="E9" i="2"/>
  <c r="E11" i="2"/>
  <c r="E13" i="2"/>
  <c r="BK7" i="2"/>
  <c r="BK19" i="2"/>
  <c r="AP1130" i="1"/>
  <c r="AO1295" i="1"/>
  <c r="AP1243" i="1"/>
  <c r="AP1158" i="1"/>
  <c r="AP1089" i="1"/>
  <c r="AP973" i="1"/>
  <c r="AP1003" i="1"/>
  <c r="AP888" i="1"/>
  <c r="AP758" i="1"/>
  <c r="AP842" i="1"/>
  <c r="AP999" i="1"/>
  <c r="AP1182" i="1"/>
  <c r="AP980" i="1"/>
  <c r="AO927" i="1"/>
  <c r="AP825" i="1"/>
  <c r="AO1021" i="1"/>
  <c r="AO1251" i="1"/>
  <c r="AO650" i="1"/>
  <c r="AO986" i="1"/>
  <c r="AO960" i="1"/>
  <c r="AP865" i="1"/>
  <c r="AO1217" i="1"/>
  <c r="AP1282" i="1"/>
  <c r="AO1103" i="1"/>
  <c r="AP1144" i="1"/>
  <c r="AP901" i="1"/>
  <c r="AO834" i="1"/>
  <c r="AP1105" i="1"/>
  <c r="AP647" i="1"/>
  <c r="AP827" i="1"/>
  <c r="AP155" i="1"/>
  <c r="AP958" i="1"/>
  <c r="AP922" i="1"/>
  <c r="AP1303" i="1"/>
  <c r="AP1156" i="1"/>
  <c r="AO1303" i="1"/>
  <c r="AO1155" i="1"/>
  <c r="AO301" i="1"/>
  <c r="AP1276" i="1"/>
  <c r="AO703" i="1"/>
  <c r="AP1103" i="1"/>
  <c r="AP1163" i="1"/>
  <c r="AO752" i="1"/>
  <c r="AO870" i="1"/>
  <c r="AP504" i="1"/>
  <c r="AP384" i="1"/>
  <c r="AP1230" i="1"/>
  <c r="AP1205" i="1"/>
  <c r="AP1152" i="1"/>
  <c r="AO444" i="1"/>
  <c r="AP436" i="1"/>
  <c r="AO1256" i="1"/>
  <c r="AO869" i="1"/>
  <c r="AO1079" i="1"/>
  <c r="AP972" i="1"/>
  <c r="AP1027" i="1"/>
  <c r="AP63" i="1"/>
  <c r="AP44" i="1"/>
  <c r="AP342" i="1"/>
  <c r="AO671" i="1"/>
  <c r="AP1167" i="1"/>
  <c r="AP349" i="1"/>
  <c r="AP822" i="1"/>
  <c r="AP1129" i="1"/>
  <c r="AP565" i="1"/>
  <c r="AO283" i="1"/>
  <c r="AP610" i="1"/>
  <c r="AP303" i="1"/>
  <c r="AO930" i="1"/>
  <c r="AP1245" i="1"/>
  <c r="AO1056" i="1"/>
  <c r="AO801" i="1"/>
  <c r="AP823" i="1"/>
  <c r="AO1269" i="1"/>
  <c r="AP826" i="1"/>
  <c r="AO1216" i="1"/>
  <c r="AO912" i="1"/>
  <c r="AP167" i="1"/>
  <c r="AP116" i="1"/>
  <c r="AO1018" i="1"/>
  <c r="AP1078" i="1"/>
  <c r="AO1016" i="1"/>
  <c r="AP555" i="1"/>
  <c r="AP914" i="1"/>
  <c r="AP930" i="1"/>
  <c r="AP874" i="1"/>
  <c r="AP872" i="1"/>
  <c r="AO490" i="1"/>
  <c r="AO1111" i="1"/>
  <c r="AO34" i="1"/>
  <c r="AP933" i="1"/>
  <c r="AP1211" i="1"/>
  <c r="AP1052" i="1"/>
  <c r="AP547" i="1"/>
  <c r="AP1005" i="1"/>
  <c r="AP1159" i="1"/>
  <c r="AP1018" i="1"/>
  <c r="AP964" i="1"/>
  <c r="AP628" i="1"/>
  <c r="AP58" i="1"/>
  <c r="AP968" i="1"/>
  <c r="AO888" i="1"/>
  <c r="AP981" i="1"/>
  <c r="AO1312" i="1"/>
  <c r="AO395" i="1"/>
  <c r="AO954" i="1"/>
  <c r="AO882" i="1"/>
  <c r="AP926" i="1"/>
  <c r="AP665" i="1"/>
  <c r="AP844" i="1"/>
  <c r="AP325" i="1"/>
  <c r="AP1126" i="1"/>
  <c r="AP1120" i="1"/>
  <c r="AP1212" i="1"/>
  <c r="AO1239" i="1"/>
  <c r="AP112" i="1"/>
  <c r="AP902" i="1"/>
  <c r="AO1281" i="1"/>
  <c r="AO1237" i="1"/>
  <c r="AP942" i="1"/>
  <c r="AP1054" i="1"/>
  <c r="AP352" i="1"/>
  <c r="AP870" i="1"/>
  <c r="AO964" i="1"/>
  <c r="AP66" i="1"/>
  <c r="AO525" i="1"/>
  <c r="AP674" i="1"/>
  <c r="AO562" i="1"/>
  <c r="AP575" i="1"/>
  <c r="AP125" i="1"/>
  <c r="AP718" i="1"/>
  <c r="AP52" i="1"/>
  <c r="AO1074" i="1"/>
  <c r="AP1137" i="1"/>
  <c r="AP307" i="1"/>
  <c r="AP742" i="1"/>
  <c r="AP1157" i="1"/>
  <c r="AO22" i="1"/>
  <c r="AP493" i="1"/>
  <c r="AO376" i="1"/>
  <c r="AP723" i="1"/>
  <c r="AO596" i="1"/>
  <c r="AO1206" i="1"/>
  <c r="AP766" i="1"/>
  <c r="AP161" i="1"/>
  <c r="AP734" i="1"/>
  <c r="AO1125" i="1"/>
  <c r="AO1188" i="1"/>
  <c r="AO969" i="1"/>
  <c r="AO1092" i="1"/>
  <c r="AP302" i="1"/>
  <c r="AO840" i="1"/>
  <c r="AP1178" i="1"/>
  <c r="AO1031" i="1"/>
  <c r="AP956" i="1"/>
  <c r="AP860" i="1"/>
  <c r="AP714" i="1"/>
  <c r="AP774" i="1"/>
  <c r="AO947" i="1"/>
  <c r="AO1267" i="1"/>
  <c r="AP81" i="1"/>
  <c r="AP432" i="1"/>
  <c r="AP443" i="1"/>
  <c r="AP1004" i="1"/>
  <c r="AO667" i="1"/>
  <c r="AO663" i="1"/>
  <c r="AO1033" i="1"/>
  <c r="AP186" i="1"/>
  <c r="AP1291" i="1"/>
  <c r="AO557" i="1"/>
  <c r="AP1198" i="1"/>
  <c r="AP824" i="1"/>
  <c r="AP693" i="1"/>
  <c r="AO962" i="1"/>
  <c r="AO1215" i="1"/>
  <c r="AP369" i="1"/>
  <c r="AO615" i="1"/>
  <c r="AO379" i="1"/>
  <c r="AP455" i="1"/>
  <c r="AP1220" i="1"/>
  <c r="AP912" i="1"/>
  <c r="AP893" i="1"/>
  <c r="AO1163" i="1"/>
  <c r="AP1014" i="1"/>
  <c r="AO582" i="1"/>
  <c r="AP483" i="1"/>
  <c r="AP746" i="1"/>
  <c r="AP93" i="1"/>
  <c r="AO37" i="1"/>
  <c r="AP350" i="1"/>
  <c r="AO1247" i="1"/>
  <c r="AP612" i="1"/>
  <c r="AP1029" i="1"/>
  <c r="AO1278" i="1"/>
  <c r="AP1188" i="1"/>
  <c r="AP1047" i="1"/>
  <c r="AP640" i="1"/>
  <c r="AP431" i="1"/>
  <c r="AO858" i="1"/>
  <c r="AO995" i="1"/>
  <c r="AP293" i="1"/>
  <c r="AP306" i="1"/>
  <c r="AP9" i="1"/>
  <c r="AO1162" i="1"/>
  <c r="AO159" i="1"/>
  <c r="AP937" i="1"/>
  <c r="AO608" i="1"/>
  <c r="AP382" i="1"/>
  <c r="AP833" i="1"/>
  <c r="AP1002" i="1"/>
  <c r="AP1275" i="1"/>
  <c r="AP1042" i="1"/>
  <c r="AP1196" i="1"/>
  <c r="AP913" i="1"/>
  <c r="AP839" i="1"/>
  <c r="AO450" i="1"/>
  <c r="AP809" i="1"/>
  <c r="AP78" i="1"/>
  <c r="AP1298" i="1"/>
  <c r="AO368" i="1"/>
  <c r="AO1288" i="1"/>
  <c r="AP794" i="1"/>
  <c r="AO70" i="1"/>
  <c r="AP1109" i="1"/>
  <c r="AP885" i="1"/>
  <c r="AP939" i="1"/>
  <c r="AO1232" i="1"/>
  <c r="AP344" i="1"/>
  <c r="AP921" i="1"/>
  <c r="AP932" i="1"/>
  <c r="AP698" i="1"/>
  <c r="AP982" i="1"/>
  <c r="AO1255" i="1"/>
  <c r="AO69" i="1"/>
  <c r="AO429" i="1"/>
  <c r="AP486" i="1"/>
  <c r="AO49" i="1"/>
  <c r="AP710" i="1"/>
  <c r="AP1201" i="1"/>
  <c r="AP132" i="1"/>
  <c r="AP1162" i="1"/>
  <c r="AO900" i="1"/>
  <c r="AO1273" i="1"/>
  <c r="AP806" i="1"/>
  <c r="AO184" i="1"/>
  <c r="AP1170" i="1"/>
  <c r="AP1277" i="1"/>
  <c r="AO928" i="1"/>
  <c r="AP623" i="1"/>
  <c r="AP267" i="1"/>
  <c r="AO957" i="1"/>
  <c r="AP505" i="1"/>
  <c r="AL42" i="11"/>
  <c r="AP1088" i="1"/>
  <c r="AO1174" i="1"/>
  <c r="AP1151" i="1"/>
  <c r="AO1223" i="1"/>
  <c r="AI61" i="11"/>
  <c r="AO373" i="1"/>
  <c r="AL61" i="11"/>
  <c r="AO235" i="1"/>
  <c r="AP1150" i="1"/>
  <c r="AO827" i="1"/>
  <c r="AP176" i="1"/>
  <c r="AO517" i="1"/>
  <c r="AP138" i="1"/>
  <c r="AL47" i="11"/>
  <c r="AP1075" i="1"/>
  <c r="AP242" i="1"/>
  <c r="AP533" i="1"/>
  <c r="AK51" i="11"/>
  <c r="AK40" i="11"/>
  <c r="AP1160" i="1"/>
  <c r="AL52" i="11"/>
  <c r="AO434" i="1"/>
  <c r="AP51" i="1"/>
  <c r="AL63" i="11"/>
  <c r="AL51" i="11"/>
  <c r="AK47" i="11"/>
  <c r="AP1023" i="1"/>
  <c r="AP1283" i="1"/>
  <c r="AO423" i="1"/>
  <c r="AP909" i="1"/>
  <c r="AP841" i="1"/>
  <c r="AJ62" i="11"/>
  <c r="AL57" i="11"/>
  <c r="AK53" i="11"/>
  <c r="AP179" i="1"/>
  <c r="AP1149" i="1"/>
  <c r="AO1272" i="1"/>
  <c r="AP1084" i="1"/>
  <c r="AO1123" i="1"/>
  <c r="AJ51" i="11"/>
  <c r="AK62" i="11"/>
  <c r="AJ58" i="11"/>
  <c r="AO797" i="1"/>
  <c r="AP811" i="1"/>
  <c r="AL45" i="11"/>
  <c r="AJ44" i="11"/>
  <c r="AM48" i="11"/>
  <c r="AM47" i="11"/>
  <c r="AM51" i="11"/>
  <c r="AP803" i="1"/>
  <c r="AM46" i="11"/>
  <c r="AJ55" i="11"/>
  <c r="AM55" i="11"/>
  <c r="AO1280" i="1"/>
  <c r="AP835" i="1"/>
  <c r="AJ38" i="11"/>
  <c r="AK48" i="11"/>
  <c r="AM37" i="11"/>
  <c r="AP724" i="1"/>
  <c r="AL50" i="11"/>
  <c r="AJ63" i="11"/>
  <c r="AL49" i="11"/>
  <c r="AK41" i="11"/>
  <c r="AH38" i="11"/>
  <c r="AH51" i="11"/>
  <c r="AP1081" i="1"/>
  <c r="AP1262" i="1"/>
  <c r="AP903" i="1"/>
  <c r="AO29" i="1"/>
  <c r="AK54" i="11"/>
  <c r="AH63" i="11"/>
  <c r="AL39" i="11"/>
  <c r="AJ41" i="11"/>
  <c r="AP788" i="1"/>
  <c r="AL44" i="11"/>
  <c r="AL65" i="11"/>
  <c r="AM44" i="11"/>
  <c r="AJ67" i="11"/>
  <c r="AM63" i="11"/>
  <c r="AL58" i="11"/>
  <c r="AK61" i="11"/>
  <c r="AM39" i="11"/>
  <c r="AP797" i="1"/>
  <c r="AH52" i="11"/>
  <c r="AH37" i="11"/>
  <c r="AO556" i="1"/>
  <c r="AI57" i="11"/>
  <c r="AK44" i="11"/>
  <c r="AK52" i="11"/>
  <c r="AM45" i="11"/>
  <c r="AM60" i="11"/>
  <c r="AJ60" i="11"/>
  <c r="AK50" i="11"/>
  <c r="AK64" i="11"/>
  <c r="AM40" i="11"/>
  <c r="AP484" i="1"/>
  <c r="AJ57" i="11"/>
  <c r="AJ47" i="11"/>
  <c r="AL67" i="11"/>
  <c r="AI47" i="11"/>
  <c r="AM50" i="11"/>
  <c r="AJ48" i="11"/>
  <c r="AJ59" i="11"/>
  <c r="AH48" i="11"/>
  <c r="AK55" i="11"/>
  <c r="AM68" i="11"/>
  <c r="AJ42" i="11"/>
  <c r="AK37" i="11"/>
  <c r="AP892" i="1"/>
  <c r="AO724" i="1"/>
  <c r="AO629" i="1"/>
  <c r="AP453" i="1"/>
  <c r="AK65" i="11"/>
  <c r="AO828" i="1"/>
  <c r="AO1101" i="1"/>
  <c r="AP129" i="1"/>
  <c r="AH47" i="11"/>
  <c r="AH55" i="11"/>
  <c r="AP1284" i="1"/>
  <c r="AP353" i="1"/>
  <c r="AH44" i="11"/>
  <c r="AO1010" i="1"/>
  <c r="AM64" i="11"/>
  <c r="AL64" i="11"/>
  <c r="AP1253" i="1"/>
  <c r="AP877" i="1"/>
  <c r="AP765" i="1"/>
  <c r="AL60" i="11"/>
  <c r="AP770" i="1"/>
  <c r="AO1227" i="1"/>
  <c r="AP411" i="1"/>
  <c r="AP1248" i="1"/>
  <c r="AH54" i="11"/>
  <c r="AO237" i="1"/>
  <c r="AL54" i="11"/>
  <c r="AH59" i="11"/>
  <c r="AH64" i="11"/>
  <c r="AP660" i="1"/>
  <c r="AP239" i="1"/>
  <c r="AK58" i="11"/>
  <c r="AK38" i="11"/>
  <c r="AM62" i="11"/>
  <c r="AH50" i="11"/>
  <c r="AO538" i="1"/>
  <c r="AO811" i="1"/>
  <c r="AL38" i="11"/>
  <c r="AI42" i="11"/>
  <c r="AL37" i="11"/>
  <c r="AJ43" i="11"/>
  <c r="AJ56" i="11"/>
  <c r="AK39" i="11"/>
  <c r="AP103" i="1"/>
  <c r="AJ46" i="11"/>
  <c r="AM41" i="11"/>
  <c r="AK66" i="11"/>
  <c r="AI45" i="11"/>
  <c r="AM59" i="11"/>
  <c r="AI49" i="11"/>
  <c r="AK46" i="11"/>
  <c r="AI55" i="11"/>
  <c r="AI65" i="11"/>
  <c r="AL53" i="11"/>
  <c r="AI64" i="11"/>
  <c r="AI39" i="11"/>
  <c r="AI46" i="11"/>
  <c r="AH60" i="11"/>
  <c r="AK42" i="11"/>
  <c r="AP231" i="1"/>
  <c r="AO487" i="1"/>
  <c r="AK56" i="11"/>
  <c r="AI44" i="11"/>
  <c r="AH67" i="11"/>
  <c r="AI56" i="11"/>
  <c r="AH58" i="11"/>
  <c r="AI63" i="11"/>
  <c r="AK67" i="11"/>
  <c r="AP69" i="1"/>
  <c r="AP1255" i="1"/>
  <c r="E34" i="7"/>
  <c r="AM56" i="11"/>
  <c r="AL41" i="11"/>
  <c r="AH62" i="11"/>
  <c r="AP285" i="1"/>
  <c r="AP20" i="1"/>
  <c r="AP829" i="1"/>
  <c r="AO606" i="1"/>
  <c r="AM66" i="11"/>
  <c r="AH61" i="11"/>
  <c r="AJ61" i="11"/>
  <c r="AI50" i="11"/>
  <c r="AO741" i="1"/>
  <c r="AI66" i="11"/>
  <c r="AK63" i="11"/>
  <c r="AJ64" i="11"/>
  <c r="AP1304" i="1"/>
  <c r="AP611" i="1"/>
  <c r="AM61" i="11"/>
  <c r="AI51" i="11"/>
  <c r="AH57" i="11"/>
  <c r="AL66" i="11"/>
  <c r="AI37" i="11"/>
  <c r="AH65" i="11"/>
  <c r="AH42" i="11"/>
  <c r="AL46" i="11"/>
  <c r="AJ65" i="11"/>
  <c r="AI40" i="11"/>
  <c r="AI68" i="11"/>
  <c r="AM67" i="11"/>
  <c r="AP1181" i="1"/>
  <c r="AJ54" i="11"/>
  <c r="AH66" i="11"/>
  <c r="AI48" i="11"/>
  <c r="AJ39" i="11"/>
  <c r="AJ53" i="11"/>
  <c r="AM57" i="11"/>
  <c r="AL55" i="11"/>
  <c r="AM42" i="11"/>
  <c r="AL40" i="11"/>
  <c r="AI53" i="11"/>
  <c r="AI41" i="11"/>
  <c r="AJ50" i="11"/>
  <c r="AK57" i="11"/>
  <c r="AI67" i="11"/>
  <c r="AH46" i="11"/>
  <c r="AK68" i="11"/>
  <c r="AJ49" i="11"/>
  <c r="AK43" i="11"/>
  <c r="AP1058" i="1"/>
  <c r="AH39" i="11"/>
  <c r="AH43" i="11"/>
  <c r="AH53" i="11"/>
  <c r="AL43" i="11"/>
  <c r="AM49" i="11"/>
  <c r="AJ66" i="11"/>
  <c r="AK60" i="11"/>
  <c r="AM65" i="11"/>
  <c r="AL48" i="11"/>
  <c r="AK59" i="11"/>
  <c r="AH41" i="11"/>
  <c r="AM52" i="11"/>
  <c r="AL56" i="11"/>
  <c r="AL68" i="11"/>
  <c r="AJ68" i="11"/>
  <c r="AM54" i="11"/>
  <c r="AI58" i="11"/>
  <c r="AP850" i="1"/>
  <c r="AI43" i="11"/>
  <c r="AJ45" i="11"/>
  <c r="AH45" i="11"/>
  <c r="AI59" i="11"/>
  <c r="AI38" i="11"/>
  <c r="AO1264" i="1"/>
  <c r="AP699" i="1"/>
  <c r="AJ37" i="11"/>
  <c r="AL62" i="11"/>
  <c r="AI52" i="11"/>
  <c r="AK49" i="11"/>
  <c r="AJ52" i="11"/>
  <c r="AH68" i="11"/>
  <c r="AM38" i="11"/>
  <c r="AM58" i="11"/>
  <c r="AM53" i="11"/>
  <c r="AJ40" i="11"/>
  <c r="AO1171" i="1"/>
  <c r="AK45" i="11"/>
  <c r="AH49" i="11"/>
  <c r="AI54" i="11"/>
  <c r="AL59" i="11"/>
  <c r="AO1183" i="1"/>
  <c r="AP1067" i="1"/>
  <c r="AM43" i="11"/>
  <c r="AH56" i="11"/>
  <c r="AI62" i="11"/>
  <c r="AH40" i="11"/>
  <c r="AI60" i="11"/>
  <c r="AP284" i="1"/>
  <c r="AP795" i="1"/>
  <c r="FK70" i="7"/>
  <c r="EN70" i="7"/>
  <c r="FG70" i="7"/>
  <c r="AO782" i="1"/>
  <c r="AP1061" i="1"/>
  <c r="AP247" i="1"/>
  <c r="AO483" i="1"/>
  <c r="AP240" i="1"/>
  <c r="AO1199" i="1"/>
  <c r="AP391" i="1"/>
  <c r="AP13" i="1"/>
  <c r="AP1174" i="1"/>
  <c r="AO1088" i="1"/>
  <c r="AP704" i="1"/>
  <c r="AO774" i="1"/>
  <c r="AO714" i="1"/>
  <c r="AP1267" i="1"/>
  <c r="AP818" i="1"/>
  <c r="AO971" i="1"/>
  <c r="AP542" i="1"/>
  <c r="AO551" i="1"/>
  <c r="AP1296" i="1"/>
  <c r="AO192" i="1"/>
  <c r="AP42" i="1"/>
  <c r="AP1169" i="1"/>
  <c r="AP434" i="1"/>
  <c r="AO1138" i="1"/>
  <c r="AO875" i="1"/>
  <c r="AP1011" i="1"/>
  <c r="AO122" i="1"/>
  <c r="AP716" i="1"/>
  <c r="AO231" i="1"/>
  <c r="AP941" i="1"/>
  <c r="AO287" i="1"/>
  <c r="AO621" i="1"/>
  <c r="AP812" i="1"/>
  <c r="AO558" i="1"/>
  <c r="AP630" i="1"/>
  <c r="AO397" i="1"/>
  <c r="AP1274" i="1"/>
  <c r="AP578" i="1"/>
  <c r="AO916" i="1"/>
  <c r="AO1285" i="1"/>
  <c r="AP1236" i="1"/>
  <c r="AO682" i="1"/>
  <c r="AP18" i="1"/>
  <c r="AP358" i="1"/>
  <c r="AO1181" i="1"/>
  <c r="AO417" i="1"/>
  <c r="AP235" i="1"/>
  <c r="AO992" i="1"/>
  <c r="AP53" i="1"/>
  <c r="AP1095" i="1"/>
  <c r="AO382" i="1"/>
  <c r="AP104" i="1"/>
  <c r="AO356" i="1"/>
  <c r="AP135" i="1"/>
  <c r="AO598" i="1"/>
  <c r="AP735" i="1"/>
  <c r="AO386" i="1"/>
  <c r="AO350" i="1"/>
  <c r="AP503" i="1"/>
  <c r="AP1128" i="1"/>
  <c r="AO157" i="1"/>
  <c r="AP747" i="1"/>
  <c r="AO1314" i="1"/>
  <c r="AP139" i="1"/>
  <c r="AO600" i="1"/>
  <c r="AO498" i="1"/>
  <c r="AP1258" i="1"/>
  <c r="AO857" i="1"/>
  <c r="AO623" i="1"/>
  <c r="AP158" i="1"/>
  <c r="AO574" i="1"/>
  <c r="AP1232" i="1"/>
  <c r="AP1312" i="1"/>
  <c r="AO1086" i="1"/>
  <c r="AO518" i="1"/>
  <c r="AP268" i="1"/>
  <c r="AO713" i="1"/>
  <c r="AP206" i="1"/>
  <c r="AO324" i="1"/>
  <c r="AP593" i="1"/>
  <c r="AO735" i="1"/>
  <c r="AP386" i="1"/>
  <c r="AP598" i="1"/>
  <c r="AP191" i="1"/>
  <c r="AO809" i="1"/>
  <c r="AO345" i="1"/>
  <c r="AP808" i="1"/>
  <c r="AP362" i="1"/>
  <c r="AO38" i="1"/>
  <c r="AP862" i="1"/>
  <c r="AP678" i="1"/>
  <c r="AO242" i="1"/>
  <c r="AP601" i="1"/>
  <c r="AO816" i="1"/>
  <c r="AO710" i="1"/>
  <c r="AP969" i="1"/>
  <c r="AP148" i="1"/>
  <c r="AO668" i="1"/>
  <c r="AO150" i="1"/>
  <c r="AO427" i="1"/>
  <c r="AP177" i="1"/>
  <c r="AO116" i="1"/>
  <c r="AP965" i="1"/>
  <c r="AP221" i="1"/>
  <c r="AP685" i="1"/>
  <c r="AO1249" i="1"/>
  <c r="AO849" i="1"/>
  <c r="AO864" i="1"/>
  <c r="AP1200" i="1"/>
  <c r="AP77" i="1"/>
  <c r="AO264" i="1"/>
  <c r="AP111" i="1"/>
  <c r="AO134" i="1"/>
  <c r="AP579" i="1"/>
  <c r="AP359" i="1"/>
  <c r="AO218" i="1"/>
  <c r="AO253" i="1"/>
  <c r="AP662" i="1"/>
  <c r="AO160" i="1"/>
  <c r="AO1190" i="1"/>
  <c r="AP613" i="1"/>
  <c r="AO215" i="1"/>
  <c r="AP459" i="1"/>
  <c r="AP897" i="1"/>
  <c r="AO236" i="1"/>
  <c r="AP784" i="1"/>
  <c r="AO686" i="1"/>
  <c r="AP859" i="1"/>
  <c r="AO1177" i="1"/>
  <c r="AO502" i="1"/>
  <c r="AP430" i="1"/>
  <c r="AP787" i="1"/>
  <c r="AO226" i="1"/>
  <c r="AP769" i="1"/>
  <c r="AO924" i="1"/>
  <c r="AP552" i="1"/>
  <c r="AO883" i="1"/>
  <c r="AP940" i="1"/>
  <c r="AO932" i="1"/>
  <c r="AP576" i="1"/>
  <c r="AO933" i="1"/>
  <c r="AP442" i="1"/>
  <c r="AO1170" i="1"/>
  <c r="AP263" i="1"/>
  <c r="AP467" i="1"/>
  <c r="AP314" i="1"/>
  <c r="AO21" i="1"/>
  <c r="AO805" i="1"/>
  <c r="AP49" i="1"/>
  <c r="AP301" i="1"/>
  <c r="AO1110" i="1"/>
  <c r="AP1070" i="1"/>
  <c r="AO1004" i="1"/>
  <c r="AP663" i="1"/>
  <c r="AO919" i="1"/>
  <c r="AO162" i="1"/>
  <c r="AP109" i="1"/>
  <c r="AP1020" i="1"/>
  <c r="AO12" i="1"/>
  <c r="AP360" i="1"/>
  <c r="AP1246" i="1"/>
  <c r="AO812" i="1"/>
  <c r="AP621" i="1"/>
  <c r="AP287" i="1"/>
  <c r="AO281" i="1"/>
  <c r="AP800" i="1"/>
  <c r="AO537" i="1"/>
  <c r="AP451" i="1"/>
  <c r="AO1297" i="1"/>
  <c r="AP700" i="1"/>
  <c r="AP236" i="1"/>
  <c r="AO784" i="1"/>
  <c r="AP402" i="1"/>
  <c r="AO1059" i="1"/>
  <c r="AO617" i="1"/>
  <c r="AO1122" i="1"/>
  <c r="AP401" i="1"/>
  <c r="AO228" i="1"/>
  <c r="AO763" i="1"/>
  <c r="AP1043" i="1"/>
  <c r="AP725" i="1"/>
  <c r="AO1151" i="1"/>
  <c r="AO257" i="1"/>
  <c r="AP1269" i="1"/>
  <c r="AO222" i="1"/>
  <c r="AO1310" i="1"/>
  <c r="AP561" i="1"/>
  <c r="AP481" i="1"/>
  <c r="AO1087" i="1"/>
  <c r="AO603" i="1"/>
  <c r="AP377" i="1"/>
  <c r="AP376" i="1"/>
  <c r="AP1206" i="1"/>
  <c r="AO470" i="1"/>
  <c r="AO369" i="1"/>
  <c r="AP379" i="1"/>
  <c r="AP605" i="1"/>
  <c r="AO463" i="1"/>
  <c r="AP604" i="1"/>
  <c r="AO93" i="1"/>
  <c r="AP1247" i="1"/>
  <c r="AO746" i="1"/>
  <c r="AP380" i="1"/>
  <c r="AO425" i="1"/>
  <c r="AO807" i="1"/>
  <c r="AP776" i="1"/>
  <c r="AO196" i="1"/>
  <c r="AO1131" i="1"/>
  <c r="AP1186" i="1"/>
  <c r="AP656" i="1"/>
  <c r="AO318" i="1"/>
  <c r="AP90" i="1"/>
  <c r="AO63" i="1"/>
  <c r="AP863" i="1"/>
  <c r="AO217" i="1"/>
  <c r="AO1299" i="1"/>
  <c r="AP736" i="1"/>
  <c r="AP843" i="1"/>
  <c r="AO1028" i="1"/>
  <c r="AP1077" i="1"/>
  <c r="AP516" i="1"/>
  <c r="AO114" i="1"/>
  <c r="AP174" i="1"/>
  <c r="AO165" i="1"/>
  <c r="AP771" i="1"/>
  <c r="AO1260" i="1"/>
  <c r="AP225" i="1"/>
  <c r="AO540" i="1"/>
  <c r="AO341" i="1"/>
  <c r="AP755" i="1"/>
  <c r="AO772" i="1"/>
  <c r="AP1016" i="1"/>
  <c r="AO121" i="1"/>
  <c r="AP233" i="1"/>
  <c r="AO1279" i="1"/>
  <c r="AO1252" i="1"/>
  <c r="AP409" i="1"/>
  <c r="AO8" i="1"/>
  <c r="AP229" i="1"/>
  <c r="AO728" i="1"/>
  <c r="AP1271" i="1"/>
  <c r="AO635" i="1"/>
  <c r="AP355" i="1"/>
  <c r="AO935" i="1"/>
  <c r="AP642" i="1"/>
  <c r="AO422" i="1"/>
  <c r="AO86" i="1"/>
  <c r="AP286" i="1"/>
  <c r="AO372" i="1"/>
  <c r="AO92" i="1"/>
  <c r="AP890" i="1"/>
  <c r="AP1261" i="1"/>
  <c r="AO946" i="1"/>
  <c r="AO205" i="1"/>
  <c r="AP1214" i="1"/>
  <c r="AP988" i="1"/>
  <c r="AO966" i="1"/>
  <c r="AO485" i="1"/>
  <c r="AP785" i="1"/>
  <c r="AO740" i="1"/>
  <c r="AO98" i="1"/>
  <c r="AP378" i="1"/>
  <c r="AP392" i="1"/>
  <c r="AO904" i="1"/>
  <c r="AO31" i="1"/>
  <c r="AP1031" i="1"/>
  <c r="AP22" i="1"/>
  <c r="AO313" i="1"/>
  <c r="AP978" i="1"/>
  <c r="AP500" i="1"/>
  <c r="AO405" i="1"/>
  <c r="AO1233" i="1"/>
  <c r="AP101" i="1"/>
  <c r="AP905" i="1"/>
  <c r="AP87" i="1"/>
  <c r="AO560" i="1"/>
  <c r="AO982" i="1"/>
  <c r="AP449" i="1"/>
  <c r="AO699" i="1"/>
  <c r="AP1035" i="1"/>
  <c r="AO850" i="1"/>
  <c r="AP536" i="1"/>
  <c r="AP1264" i="1"/>
  <c r="AO1058" i="1"/>
  <c r="AO329" i="1"/>
  <c r="AO33" i="1"/>
  <c r="AP82" i="1"/>
  <c r="AP381" i="1"/>
  <c r="AO430" i="1"/>
  <c r="AP502" i="1"/>
  <c r="AP1177" i="1"/>
  <c r="AO787" i="1"/>
  <c r="AO846" i="1"/>
  <c r="AP433" i="1"/>
  <c r="AO1022" i="1"/>
  <c r="AP154" i="1"/>
  <c r="AO1231" i="1"/>
  <c r="AP521" i="1"/>
  <c r="AO1307" i="1"/>
  <c r="AP907" i="1"/>
  <c r="AO239" i="1"/>
  <c r="AO794" i="1"/>
  <c r="AP365" i="1"/>
  <c r="AP556" i="1"/>
  <c r="AO910" i="1"/>
  <c r="AP273" i="1"/>
  <c r="AO457" i="1"/>
  <c r="AP798" i="1"/>
  <c r="AP1097" i="1"/>
  <c r="AO100" i="1"/>
  <c r="AO343" i="1"/>
  <c r="AP310" i="1"/>
  <c r="AO129" i="1"/>
  <c r="AO353" i="1"/>
  <c r="AP952" i="1"/>
  <c r="AO94" i="1"/>
  <c r="AO866" i="1"/>
  <c r="AP1094" i="1"/>
  <c r="AP110" i="1"/>
  <c r="AO897" i="1"/>
  <c r="AO459" i="1"/>
  <c r="AP215" i="1"/>
  <c r="AO340" i="1"/>
  <c r="AP614" i="1"/>
  <c r="AO241" i="1"/>
  <c r="AP499" i="1"/>
  <c r="AP970" i="1"/>
  <c r="AO955" i="1"/>
  <c r="AO334" i="1"/>
  <c r="AP1071" i="1"/>
  <c r="AO587" i="1"/>
  <c r="AP515" i="1"/>
  <c r="AO614" i="1"/>
  <c r="AP340" i="1"/>
  <c r="AP546" i="1"/>
  <c r="AO296" i="1"/>
  <c r="AO862" i="1"/>
  <c r="AO678" i="1"/>
  <c r="AP38" i="1"/>
  <c r="AO190" i="1"/>
  <c r="AO1195" i="1"/>
  <c r="AP526" i="1"/>
  <c r="AP1254" i="1"/>
  <c r="AO844" i="1"/>
  <c r="AP390" i="1"/>
  <c r="AO89" i="1"/>
  <c r="AO845" i="1"/>
  <c r="AP1139" i="1"/>
  <c r="AP889" i="1"/>
  <c r="AO1085" i="1"/>
  <c r="AO293" i="1"/>
  <c r="AP858" i="1"/>
  <c r="AO432" i="1"/>
  <c r="AP166" i="1"/>
  <c r="AP667" i="1"/>
  <c r="AO914" i="1"/>
  <c r="AP396" i="1"/>
  <c r="AO725" i="1"/>
  <c r="AP228" i="1"/>
  <c r="AP763" i="1"/>
  <c r="AO1043" i="1"/>
  <c r="AO484" i="1"/>
  <c r="AP802" i="1"/>
  <c r="AO441" i="1"/>
  <c r="AP173" i="1"/>
  <c r="AO1309" i="1"/>
  <c r="AP1161" i="1"/>
  <c r="AP280" i="1"/>
  <c r="AO940" i="1"/>
  <c r="AO552" i="1"/>
  <c r="AP883" i="1"/>
  <c r="AP924" i="1"/>
  <c r="AO132" i="1"/>
  <c r="AO1072" i="1"/>
  <c r="AP840" i="1"/>
  <c r="AO1259" i="1"/>
  <c r="AP1290" i="1"/>
  <c r="AP234" i="1"/>
  <c r="AP196" i="1"/>
  <c r="AO656" i="1"/>
  <c r="AO1186" i="1"/>
  <c r="AP1131" i="1"/>
  <c r="AO768" i="1"/>
  <c r="AP456" i="1"/>
  <c r="AP944" i="1"/>
  <c r="AO528" i="1"/>
  <c r="AO1102" i="1"/>
  <c r="AP428" i="1"/>
  <c r="AP152" i="1"/>
  <c r="AO619" i="1"/>
  <c r="AO785" i="1"/>
  <c r="AP485" i="1"/>
  <c r="AP966" i="1"/>
  <c r="AP375" i="1"/>
  <c r="AO1069" i="1"/>
  <c r="AO726" i="1"/>
  <c r="AP584" i="1"/>
  <c r="AO259" i="1"/>
  <c r="AO1222" i="1"/>
  <c r="AO1301" i="1"/>
  <c r="AP149" i="1"/>
  <c r="AP586" i="1"/>
  <c r="AO388" i="1"/>
  <c r="AO185" i="1"/>
  <c r="AP272" i="1"/>
  <c r="AO148" i="1"/>
  <c r="AP668" i="1"/>
  <c r="AP83" i="1"/>
  <c r="AO400" i="1"/>
  <c r="AP1096" i="1"/>
  <c r="AO1120" i="1"/>
  <c r="AP320" i="1"/>
  <c r="AO570" i="1"/>
  <c r="AP677" i="1"/>
  <c r="AO523" i="1"/>
  <c r="AP492" i="1"/>
  <c r="AO1294" i="1"/>
  <c r="AO486" i="1"/>
  <c r="AO245" i="1"/>
  <c r="AP184" i="1"/>
  <c r="AP900" i="1"/>
  <c r="AO620" i="1"/>
  <c r="AO983" i="1"/>
  <c r="AP1234" i="1"/>
  <c r="AP580" i="1"/>
  <c r="AO462" i="1"/>
  <c r="AO48" i="1"/>
  <c r="AP182" i="1"/>
  <c r="AO25" i="1"/>
  <c r="AO745" i="1"/>
  <c r="AP767" i="1"/>
  <c r="AO1073" i="1"/>
  <c r="AP512" i="1"/>
  <c r="AP917" i="1"/>
  <c r="AO111" i="1"/>
  <c r="AP264" i="1"/>
  <c r="AP133" i="1"/>
  <c r="AO1187" i="1"/>
  <c r="AP813" i="1"/>
  <c r="AO328" i="1"/>
  <c r="AP908" i="1"/>
  <c r="AO756" i="1"/>
  <c r="AO5" i="1"/>
  <c r="AO1277" i="1"/>
  <c r="AP928" i="1"/>
  <c r="AO349" i="1"/>
  <c r="AP1108" i="1"/>
  <c r="AP216" i="1"/>
  <c r="AP636" i="1"/>
  <c r="AO74" i="1"/>
  <c r="AO213" i="1"/>
  <c r="AP929" i="1"/>
  <c r="AO367" i="1"/>
  <c r="AO113" i="1"/>
  <c r="AP1305" i="1"/>
  <c r="AO206" i="1"/>
  <c r="AP713" i="1"/>
  <c r="AO443" i="1"/>
  <c r="AP856" i="1"/>
  <c r="AO757" i="1"/>
  <c r="AP366" i="1"/>
  <c r="AO712" i="1"/>
  <c r="AO1253" i="1"/>
  <c r="AP1227" i="1"/>
  <c r="AO436" i="1"/>
  <c r="AP202" i="1"/>
  <c r="AP1079" i="1"/>
  <c r="AO153" i="1"/>
  <c r="AO622" i="1"/>
  <c r="AP985" i="1"/>
  <c r="AO1150" i="1"/>
  <c r="AP607" i="1"/>
  <c r="AO77" i="1"/>
  <c r="AO1200" i="1"/>
  <c r="AP864" i="1"/>
  <c r="AP849" i="1"/>
  <c r="AO136" i="1"/>
  <c r="AP567" i="1"/>
  <c r="AP651" i="1"/>
  <c r="AO754" i="1"/>
  <c r="AP773" i="1"/>
  <c r="AP1037" i="1"/>
  <c r="AO303" i="1"/>
  <c r="AP987" i="1"/>
  <c r="AO267" i="1"/>
  <c r="AP1141" i="1"/>
  <c r="AO597" i="1"/>
  <c r="AP97" i="1"/>
  <c r="AO178" i="1"/>
  <c r="AP974" i="1"/>
  <c r="AP1100" i="1"/>
  <c r="AO949" i="1"/>
  <c r="AP1032" i="1"/>
  <c r="AP664" i="1"/>
  <c r="AO743" i="1"/>
  <c r="AO929" i="1"/>
  <c r="AP213" i="1"/>
  <c r="AP84" i="1"/>
  <c r="AO24" i="1"/>
  <c r="AO392" i="1"/>
  <c r="AP904" i="1"/>
  <c r="AO243" i="1"/>
  <c r="AP1213" i="1"/>
  <c r="AP1091" i="1"/>
  <c r="AO141" i="1"/>
  <c r="AP68" i="1"/>
  <c r="AO496" i="1"/>
  <c r="AO521" i="1"/>
  <c r="AP1231" i="1"/>
  <c r="AP1307" i="1"/>
  <c r="AO907" i="1"/>
  <c r="AO1062" i="1"/>
  <c r="AP568" i="1"/>
  <c r="AO1185" i="1"/>
  <c r="AP1172" i="1"/>
  <c r="AO760" i="1"/>
  <c r="AO1240" i="1"/>
  <c r="AP1293" i="1"/>
  <c r="AO793" i="1"/>
  <c r="AO732" i="1"/>
  <c r="AP131" i="1"/>
  <c r="AO229" i="1"/>
  <c r="AP8" i="1"/>
  <c r="AO1271" i="1"/>
  <c r="AP728" i="1"/>
  <c r="AO1175" i="1"/>
  <c r="AP7" i="1"/>
  <c r="AP931" i="1"/>
  <c r="AO1001" i="1"/>
  <c r="AP703" i="1"/>
  <c r="AP1165" i="1"/>
  <c r="AO1276" i="1"/>
  <c r="AO57" i="1"/>
  <c r="AO531" i="1"/>
  <c r="AP692" i="1"/>
  <c r="AO20" i="1"/>
  <c r="AP85" i="1"/>
  <c r="AO144" i="1"/>
  <c r="AP420" i="1"/>
  <c r="AO64" i="1"/>
  <c r="AP739" i="1"/>
  <c r="AP1115" i="1"/>
  <c r="AO297" i="1"/>
  <c r="AO688" i="1"/>
  <c r="AP1133" i="1"/>
  <c r="AO389" i="1"/>
  <c r="AO823" i="1"/>
  <c r="AP373" i="1"/>
  <c r="AP1223" i="1"/>
  <c r="AO721" i="1"/>
  <c r="AP220" i="1"/>
  <c r="AP934" i="1"/>
  <c r="AP488" i="1"/>
  <c r="AO347" i="1"/>
  <c r="AO814" i="1"/>
  <c r="AP454" i="1"/>
  <c r="AO494" i="1"/>
  <c r="AP339" i="1"/>
  <c r="AP253" i="1"/>
  <c r="AO662" i="1"/>
  <c r="AO110" i="1"/>
  <c r="AO1094" i="1"/>
  <c r="AP94" i="1"/>
  <c r="AP866" i="1"/>
  <c r="AO791" i="1"/>
  <c r="AP705" i="1"/>
  <c r="AO577" i="1"/>
  <c r="AP583" i="1"/>
  <c r="AO200" i="1"/>
  <c r="AP1082" i="1"/>
  <c r="AO628" i="1"/>
  <c r="AP1114" i="1"/>
  <c r="AO689" i="1"/>
  <c r="AP1125" i="1"/>
  <c r="AO1248" i="1"/>
  <c r="AP364" i="1"/>
  <c r="AO765" i="1"/>
  <c r="AO394" i="1"/>
  <c r="AP460" i="1"/>
  <c r="AO84" i="1"/>
  <c r="AP24" i="1"/>
  <c r="AO673" i="1"/>
  <c r="AO1176" i="1"/>
  <c r="AP480" i="1"/>
  <c r="AO78" i="1"/>
  <c r="AP30" i="1"/>
  <c r="AO58" i="1"/>
  <c r="AP894" i="1"/>
  <c r="AO323" i="1"/>
  <c r="AP641" i="1"/>
  <c r="AO585" i="1"/>
  <c r="AP830" i="1"/>
  <c r="AO1283" i="1"/>
  <c r="AO179" i="1"/>
  <c r="AP1272" i="1"/>
  <c r="AP465" i="1"/>
  <c r="AO718" i="1"/>
  <c r="AP118" i="1"/>
  <c r="AP1074" i="1"/>
  <c r="AO839" i="1"/>
  <c r="AP447" i="1"/>
  <c r="AO569" i="1"/>
  <c r="AO1198" i="1"/>
  <c r="AP615" i="1"/>
  <c r="AP962" i="1"/>
  <c r="AO437" i="1"/>
  <c r="AP853" i="1"/>
  <c r="AO1250" i="1"/>
  <c r="AO626" i="1"/>
  <c r="AP869" i="1"/>
  <c r="AO175" i="1"/>
  <c r="AP1092" i="1"/>
  <c r="AO139" i="1"/>
  <c r="AP600" i="1"/>
  <c r="AO853" i="1"/>
  <c r="AP437" i="1"/>
  <c r="AP1250" i="1"/>
  <c r="AO550" i="1"/>
  <c r="AP1189" i="1"/>
  <c r="AO1036" i="1"/>
  <c r="AP452" i="1"/>
  <c r="AO135" i="1"/>
  <c r="AP356" i="1"/>
  <c r="AO905" i="1"/>
  <c r="AP405" i="1"/>
  <c r="AP1233" i="1"/>
  <c r="AO101" i="1"/>
  <c r="AO495" i="1"/>
  <c r="AO1136" i="1"/>
  <c r="AP690" i="1"/>
  <c r="AO512" i="1"/>
  <c r="AO917" i="1"/>
  <c r="AP1073" i="1"/>
  <c r="AO1116" i="1"/>
  <c r="AP408" i="1"/>
  <c r="AO817" i="1"/>
  <c r="AP631" i="1"/>
  <c r="AO131" i="1"/>
  <c r="AP732" i="1"/>
  <c r="AP793" i="1"/>
  <c r="AO610" i="1"/>
  <c r="AP687" i="1"/>
  <c r="AO532" i="1"/>
  <c r="AO1265" i="1"/>
  <c r="AP1308" i="1"/>
  <c r="AP1207" i="1"/>
  <c r="AP193" i="1"/>
  <c r="AO300" i="1"/>
  <c r="AP961" i="1"/>
  <c r="AO734" i="1"/>
  <c r="AO1159" i="1"/>
  <c r="AP945" i="1"/>
  <c r="AO566" i="1"/>
  <c r="AP471" i="1"/>
  <c r="AO117" i="1"/>
  <c r="AO270" i="1"/>
  <c r="AP312" i="1"/>
  <c r="AO15" i="1"/>
  <c r="AO1212" i="1"/>
  <c r="AP882" i="1"/>
  <c r="AO169" i="1"/>
  <c r="AO1050" i="1"/>
  <c r="AP72" i="1"/>
  <c r="AP188" i="1"/>
  <c r="AO261" i="1"/>
  <c r="AO304" i="1"/>
  <c r="AO1063" i="1"/>
  <c r="AP199" i="1"/>
  <c r="AO680" i="1"/>
  <c r="AP599" i="1"/>
  <c r="AP761" i="1"/>
  <c r="AO219" i="1"/>
  <c r="AO1049" i="1"/>
  <c r="AP543" i="1"/>
  <c r="AO633" i="1"/>
  <c r="AO1153" i="1"/>
  <c r="AP799" i="1"/>
  <c r="AP1118" i="1"/>
  <c r="AO501" i="1"/>
  <c r="AP750" i="1"/>
  <c r="AO398" i="1"/>
  <c r="AP326" i="1"/>
  <c r="AP1168" i="1"/>
  <c r="AO32" i="1"/>
  <c r="AP719" i="1"/>
  <c r="AP169" i="1"/>
  <c r="AO72" i="1"/>
  <c r="AP1050" i="1"/>
  <c r="AP19" i="1"/>
  <c r="AO468" i="1"/>
  <c r="AO1203" i="1"/>
  <c r="AP1306" i="1"/>
  <c r="AO401" i="1"/>
  <c r="AP617" i="1"/>
  <c r="AP1122" i="1"/>
  <c r="AO637" i="1"/>
  <c r="AP646" i="1"/>
  <c r="AO1132" i="1"/>
  <c r="AO455" i="1"/>
  <c r="AP923" i="1"/>
  <c r="AP399" i="1"/>
  <c r="AO612" i="1"/>
  <c r="AO385" i="1"/>
  <c r="AO554" i="1"/>
  <c r="AP171" i="1"/>
  <c r="AO1067" i="1"/>
  <c r="AP102" i="1"/>
  <c r="AO285" i="1"/>
  <c r="AO61" i="1"/>
  <c r="AP778" i="1"/>
  <c r="AO18" i="1"/>
  <c r="AP682" i="1"/>
  <c r="AO1157" i="1"/>
  <c r="AP424" i="1"/>
  <c r="AO675" i="1"/>
  <c r="AP717" i="1"/>
  <c r="AO469" i="1"/>
  <c r="AO708" i="1"/>
  <c r="AP317" i="1"/>
  <c r="AO1014" i="1"/>
  <c r="AP733" i="1"/>
  <c r="AO409" i="1"/>
  <c r="AP1252" i="1"/>
  <c r="AO308" i="1"/>
  <c r="AP88" i="1"/>
  <c r="AO466" i="1"/>
  <c r="AP491" i="1"/>
  <c r="AO719" i="1"/>
  <c r="AP32" i="1"/>
  <c r="AO252" i="1"/>
  <c r="AO11" i="1"/>
  <c r="AP1039" i="1"/>
  <c r="AP602" i="1"/>
  <c r="AO838" i="1"/>
  <c r="AP291" i="1"/>
  <c r="AO53" i="1"/>
  <c r="AP992" i="1"/>
  <c r="AO1095" i="1"/>
  <c r="AO1007" i="1"/>
  <c r="AO657" i="1"/>
  <c r="AP1060" i="1"/>
  <c r="AP694" i="1"/>
  <c r="AO1044" i="1"/>
  <c r="AP195" i="1"/>
  <c r="AO62" i="1"/>
  <c r="AP1040" i="1"/>
  <c r="AP544" i="1"/>
  <c r="AO7" i="1"/>
  <c r="AO931" i="1"/>
  <c r="AP1001" i="1"/>
  <c r="AP1175" i="1"/>
  <c r="AO1236" i="1"/>
  <c r="AO578" i="1"/>
  <c r="AP916" i="1"/>
  <c r="AP1285" i="1"/>
  <c r="AO366" i="1"/>
  <c r="AP757" i="1"/>
  <c r="AO1041" i="1"/>
  <c r="AP151" i="1"/>
  <c r="AO471" i="1"/>
  <c r="AP566" i="1"/>
  <c r="AP117" i="1"/>
  <c r="AO106" i="1"/>
  <c r="AP792" i="1"/>
  <c r="AO193" i="1"/>
  <c r="AO961" i="1"/>
  <c r="AP300" i="1"/>
  <c r="AO625" i="1"/>
  <c r="AO197" i="1"/>
  <c r="AP127" i="1"/>
  <c r="AP920" i="1"/>
  <c r="AP172" i="1"/>
  <c r="AP752" i="1"/>
  <c r="AO1005" i="1"/>
  <c r="AO665" i="1"/>
  <c r="AP852" i="1"/>
  <c r="AP145" i="1"/>
  <c r="AO548" i="1"/>
  <c r="AO510" i="1"/>
  <c r="AP695" i="1"/>
  <c r="AO979" i="1"/>
  <c r="AP37" i="1"/>
  <c r="AO41" i="1"/>
  <c r="AP1183" i="1"/>
  <c r="AP1171" i="1"/>
  <c r="AO4" i="1"/>
  <c r="AP837" i="1"/>
  <c r="AP3" i="1"/>
  <c r="AO176" i="1"/>
  <c r="AP170" i="1"/>
  <c r="AO91" i="1"/>
  <c r="AO522" i="1"/>
  <c r="AP998" i="1"/>
  <c r="AO1204" i="1"/>
  <c r="AP126" i="1"/>
  <c r="AP906" i="1"/>
  <c r="AO473" i="1"/>
  <c r="AP67" i="1"/>
  <c r="AO244" i="1"/>
  <c r="AO683" i="1"/>
  <c r="AP655" i="1"/>
  <c r="AO124" i="1"/>
  <c r="AP181" i="1"/>
  <c r="AO445" i="1"/>
  <c r="AP1038" i="1"/>
  <c r="AO214" i="1"/>
  <c r="AP878" i="1"/>
  <c r="AP781" i="1"/>
  <c r="AO744" i="1"/>
  <c r="AP672" i="1"/>
  <c r="AP494" i="1"/>
  <c r="AO339" i="1"/>
  <c r="AO272" i="1"/>
  <c r="AP185" i="1"/>
  <c r="AP388" i="1"/>
  <c r="AO766" i="1"/>
  <c r="AP596" i="1"/>
  <c r="AP330" i="1"/>
  <c r="AO493" i="1"/>
  <c r="AO326" i="1"/>
  <c r="AP398" i="1"/>
  <c r="AO1168" i="1"/>
  <c r="AO452" i="1"/>
  <c r="AP1036" i="1"/>
  <c r="AP880" i="1"/>
  <c r="AO256" i="1"/>
  <c r="AP203" i="1"/>
  <c r="AO1221" i="1"/>
  <c r="AO749" i="1"/>
  <c r="AP777" i="1"/>
  <c r="AO820" i="1"/>
  <c r="AO1205" i="1"/>
  <c r="AP650" i="1"/>
  <c r="AP1251" i="1"/>
  <c r="AO1305" i="1"/>
  <c r="AP113" i="1"/>
  <c r="AP367" i="1"/>
  <c r="AO295" i="1"/>
  <c r="AP696" i="1"/>
  <c r="AO547" i="1"/>
  <c r="AP658" i="1"/>
  <c r="AO1211" i="1"/>
  <c r="AP395" i="1"/>
  <c r="AP1190" i="1"/>
  <c r="AP160" i="1"/>
  <c r="AO613" i="1"/>
  <c r="AO1178" i="1"/>
  <c r="AP461" i="1"/>
  <c r="AO280" i="1"/>
  <c r="AO1161" i="1"/>
  <c r="AP1309" i="1"/>
  <c r="AO180" i="1"/>
  <c r="AP507" i="1"/>
  <c r="AO337" i="1"/>
  <c r="AP851" i="1"/>
  <c r="AP1112" i="1"/>
  <c r="AO591" i="1"/>
  <c r="AP1184" i="1"/>
  <c r="AP549" i="1"/>
  <c r="AO414" i="1"/>
  <c r="AO1024" i="1"/>
  <c r="AP1146" i="1"/>
  <c r="AP644" i="1"/>
  <c r="AP871" i="1"/>
  <c r="AO163" i="1"/>
  <c r="AO402" i="1"/>
  <c r="AP1059" i="1"/>
  <c r="AP498" i="1"/>
  <c r="AO1258" i="1"/>
  <c r="AP857" i="1"/>
  <c r="AO142" i="1"/>
  <c r="AO27" i="1"/>
  <c r="AP1008" i="1"/>
  <c r="AP1270" i="1"/>
  <c r="AP510" i="1"/>
  <c r="AO695" i="1"/>
  <c r="AO418" i="1"/>
  <c r="AP275" i="1"/>
  <c r="AO238" i="1"/>
  <c r="AP624" i="1"/>
  <c r="AO1055" i="1"/>
  <c r="AO789" i="1"/>
  <c r="AP1098" i="1"/>
  <c r="AP1028" i="1"/>
  <c r="AO1077" i="1"/>
  <c r="AO516" i="1"/>
  <c r="AO709" i="1"/>
  <c r="AP448" i="1"/>
  <c r="AP17" i="1"/>
  <c r="AP159" i="1"/>
  <c r="AO336" i="1"/>
  <c r="AO581" i="1"/>
  <c r="AP1000" i="1"/>
  <c r="AP1083" i="1"/>
  <c r="AO44" i="1"/>
  <c r="AP6" i="1"/>
  <c r="AO1027" i="1"/>
  <c r="AP671" i="1"/>
  <c r="AO505" i="1"/>
  <c r="AP1209" i="1"/>
  <c r="AO755" i="1"/>
  <c r="AP341" i="1"/>
  <c r="AO317" i="1"/>
  <c r="AP708" i="1"/>
  <c r="AP469" i="1"/>
  <c r="AO903" i="1"/>
  <c r="AP1080" i="1"/>
  <c r="AO1262" i="1"/>
  <c r="AP29" i="1"/>
  <c r="AO829" i="1"/>
  <c r="AP861" i="1"/>
  <c r="AP606" i="1"/>
  <c r="AO660" i="1"/>
  <c r="AP123" i="1"/>
  <c r="AO672" i="1"/>
  <c r="AP744" i="1"/>
  <c r="AP466" i="1"/>
  <c r="AO491" i="1"/>
  <c r="AO268" i="1"/>
  <c r="AP518" i="1"/>
  <c r="AP1086" i="1"/>
  <c r="AO344" i="1"/>
  <c r="AP40" i="1"/>
  <c r="AP538" i="1"/>
  <c r="AO644" i="1"/>
  <c r="AP414" i="1"/>
  <c r="AP1024" i="1"/>
  <c r="AO1146" i="1"/>
  <c r="AO943" i="1"/>
  <c r="AO331" i="1"/>
  <c r="AP589" i="1"/>
  <c r="AP649" i="1"/>
  <c r="AO976" i="1"/>
  <c r="AP333" i="1"/>
  <c r="AO616" i="1"/>
  <c r="AP415" i="1"/>
  <c r="AO83" i="1"/>
  <c r="AO1096" i="1"/>
  <c r="AP400" i="1"/>
  <c r="AO143" i="1"/>
  <c r="AP371" i="1"/>
  <c r="AO107" i="1"/>
  <c r="AP39" i="1"/>
  <c r="AO1192" i="1"/>
  <c r="AO198" i="1"/>
  <c r="AP1010" i="1"/>
  <c r="AO195" i="1"/>
  <c r="AP1044" i="1"/>
  <c r="AO128" i="1"/>
  <c r="AP1135" i="1"/>
  <c r="AO477" i="1"/>
  <c r="AP1140" i="1"/>
  <c r="AO506" i="1"/>
  <c r="AP210" i="1"/>
  <c r="AO702" i="1"/>
  <c r="AO715" i="1"/>
  <c r="AP419" i="1"/>
  <c r="AP1216" i="1"/>
  <c r="AO994" i="1"/>
  <c r="AO167" i="1"/>
  <c r="AO387" i="1"/>
  <c r="AO720" i="1"/>
  <c r="AP876" i="1"/>
  <c r="AO307" i="1"/>
  <c r="AP14" i="1"/>
  <c r="AO332" i="1"/>
  <c r="AP70" i="1"/>
  <c r="AO152" i="1"/>
  <c r="AP619" i="1"/>
  <c r="AO52" i="1"/>
  <c r="AO575" i="1"/>
  <c r="AP562" i="1"/>
  <c r="AP311" i="1"/>
  <c r="AO479" i="1"/>
  <c r="AO209" i="1"/>
  <c r="AP407" i="1"/>
  <c r="AP1191" i="1"/>
  <c r="AO431" i="1"/>
  <c r="AP790" i="1"/>
  <c r="AO555" i="1"/>
  <c r="AP1134" i="1"/>
  <c r="AO1090" i="1"/>
  <c r="AO35" i="1"/>
  <c r="AP984" i="1"/>
  <c r="AO273" i="1"/>
  <c r="AP910" i="1"/>
  <c r="AO880" i="1"/>
  <c r="AP256" i="1"/>
  <c r="AO651" i="1"/>
  <c r="AO567" i="1"/>
  <c r="AP136" i="1"/>
  <c r="AO593" i="1"/>
  <c r="AP324" i="1"/>
  <c r="AP146" i="1"/>
  <c r="AP1025" i="1"/>
  <c r="AO1197" i="1"/>
  <c r="AO653" i="1"/>
  <c r="AO1107" i="1"/>
  <c r="AP659" i="1"/>
  <c r="AO421" i="1"/>
  <c r="AP255" i="1"/>
  <c r="AO573" i="1"/>
  <c r="AO208" i="1"/>
  <c r="AP666" i="1"/>
  <c r="AP292" i="1"/>
  <c r="AO997" i="1"/>
  <c r="AO654" i="1"/>
  <c r="AP1155" i="1"/>
  <c r="AO377" i="1"/>
  <c r="AP1087" i="1"/>
  <c r="AP603" i="1"/>
  <c r="AP679" i="1"/>
  <c r="AO627" i="1"/>
  <c r="AP180" i="1"/>
  <c r="AO507" i="1"/>
  <c r="AO1230" i="1"/>
  <c r="AP413" i="1"/>
  <c r="AO489" i="1"/>
  <c r="AP670" i="1"/>
  <c r="AP147" i="1"/>
  <c r="AO500" i="1"/>
  <c r="AP313" i="1"/>
  <c r="AO978" i="1"/>
  <c r="AO1040" i="1"/>
  <c r="AO544" i="1"/>
  <c r="AP62" i="1"/>
  <c r="AP106" i="1"/>
  <c r="AO792" i="1"/>
  <c r="AO140" i="1"/>
  <c r="AO1148" i="1"/>
  <c r="AP1219" i="1"/>
  <c r="AO212" i="1"/>
  <c r="AO1076" i="1"/>
  <c r="AP1045" i="1"/>
  <c r="AO355" i="1"/>
  <c r="AP635" i="1"/>
  <c r="AP935" i="1"/>
  <c r="AO203" i="1"/>
  <c r="AO777" i="1"/>
  <c r="AP749" i="1"/>
  <c r="AP1221" i="1"/>
  <c r="AO460" i="1"/>
  <c r="AP394" i="1"/>
  <c r="AO456" i="1"/>
  <c r="AP768" i="1"/>
  <c r="AO944" i="1"/>
  <c r="AP528" i="1"/>
  <c r="AO902" i="1"/>
  <c r="AP1281" i="1"/>
  <c r="AP661" i="1"/>
  <c r="AO553" i="1"/>
  <c r="AO357" i="1"/>
  <c r="AP277" i="1"/>
  <c r="AO221" i="1"/>
  <c r="AO685" i="1"/>
  <c r="AP1249" i="1"/>
  <c r="AO511" i="1"/>
  <c r="AP95" i="1"/>
  <c r="AO68" i="1"/>
  <c r="AP496" i="1"/>
  <c r="AO277" i="1"/>
  <c r="AP553" i="1"/>
  <c r="AP357" i="1"/>
  <c r="AO220" i="1"/>
  <c r="AO934" i="1"/>
  <c r="AP721" i="1"/>
  <c r="AO378" i="1"/>
  <c r="AP98" i="1"/>
  <c r="AP740" i="1"/>
  <c r="AO872" i="1"/>
  <c r="AO186" i="1"/>
  <c r="AP557" i="1"/>
  <c r="AP1292" i="1"/>
  <c r="AO39" i="1"/>
  <c r="AP107" i="1"/>
  <c r="AP1192" i="1"/>
  <c r="AO258" i="1"/>
  <c r="AO410" i="1"/>
  <c r="AP43" i="1"/>
  <c r="AP559" i="1"/>
  <c r="AO51" i="1"/>
  <c r="AP288" i="1"/>
  <c r="AO545" i="1"/>
  <c r="AP108" i="1"/>
  <c r="AO204" i="1"/>
  <c r="AP295" i="1"/>
  <c r="AO696" i="1"/>
  <c r="AO1234" i="1"/>
  <c r="AO580" i="1"/>
  <c r="AP620" i="1"/>
  <c r="AP983" i="1"/>
  <c r="AO81" i="1"/>
  <c r="AP947" i="1"/>
  <c r="AP1093" i="1"/>
  <c r="AO302" i="1"/>
  <c r="AP1106" i="1"/>
  <c r="AO411" i="1"/>
  <c r="AO877" i="1"/>
  <c r="AP948" i="1"/>
  <c r="AO1300" i="1"/>
  <c r="AP224" i="1"/>
  <c r="AP426" i="1"/>
  <c r="AO145" i="1"/>
  <c r="AP548" i="1"/>
  <c r="AO705" i="1"/>
  <c r="AP791" i="1"/>
  <c r="AO1135" i="1"/>
  <c r="AP128" i="1"/>
  <c r="AP532" i="1"/>
  <c r="AO1207" i="1"/>
  <c r="AP1265" i="1"/>
  <c r="AO1308" i="1"/>
  <c r="AP4" i="1"/>
  <c r="AO837" i="1"/>
  <c r="AO3" i="1"/>
  <c r="AO433" i="1"/>
  <c r="AP846" i="1"/>
  <c r="AO509" i="1"/>
  <c r="AP753" i="1"/>
  <c r="AP464" i="1"/>
  <c r="AO282" i="1"/>
  <c r="AP1311" i="1"/>
  <c r="AO475" i="1"/>
  <c r="AO164" i="1"/>
  <c r="AP383" i="1"/>
  <c r="AO630" i="1"/>
  <c r="AO1274" i="1"/>
  <c r="AP558" i="1"/>
  <c r="AP397" i="1"/>
  <c r="AP36" i="1"/>
  <c r="AO1201" i="1"/>
  <c r="AO698" i="1"/>
  <c r="AP780" i="1"/>
  <c r="AO249" i="1"/>
  <c r="AP1033" i="1"/>
  <c r="AO210" i="1"/>
  <c r="AP506" i="1"/>
  <c r="AP201" i="1"/>
  <c r="AO514" i="1"/>
  <c r="AO284" i="1"/>
  <c r="AP796" i="1"/>
  <c r="AO360" i="1"/>
  <c r="AO1246" i="1"/>
  <c r="AP12" i="1"/>
  <c r="AP64" i="1"/>
  <c r="AO1115" i="1"/>
  <c r="AO739" i="1"/>
  <c r="AP45" i="1"/>
  <c r="AO384" i="1"/>
  <c r="AO776" i="1"/>
  <c r="AP425" i="1"/>
  <c r="AP807" i="1"/>
  <c r="AO819" i="1"/>
  <c r="AP748" i="1"/>
  <c r="AO88" i="1"/>
  <c r="AP308" i="1"/>
  <c r="AO227" i="1"/>
  <c r="AP691" i="1"/>
  <c r="AP416" i="1"/>
  <c r="AO918" i="1"/>
  <c r="AO75" i="1"/>
  <c r="AP508" i="1"/>
  <c r="AO859" i="1"/>
  <c r="AP686" i="1"/>
  <c r="AO327" i="1"/>
  <c r="AP1099" i="1"/>
  <c r="AO942" i="1"/>
  <c r="AP707" i="1"/>
  <c r="AP1237" i="1"/>
  <c r="AO640" i="1"/>
  <c r="AP1034" i="1"/>
  <c r="AO1011" i="1"/>
  <c r="AO716" i="1"/>
  <c r="AP122" i="1"/>
  <c r="AP875" i="1"/>
  <c r="AO325" i="1"/>
  <c r="AP539" i="1"/>
  <c r="AO624" i="1"/>
  <c r="AP238" i="1"/>
  <c r="AO890" i="1"/>
  <c r="AO1261" i="1"/>
  <c r="AP372" i="1"/>
  <c r="AP92" i="1"/>
  <c r="AP270" i="1"/>
  <c r="AO312" i="1"/>
  <c r="AO762" i="1"/>
  <c r="AP810" i="1"/>
  <c r="AO599" i="1"/>
  <c r="AO761" i="1"/>
  <c r="AP219" i="1"/>
  <c r="AP680" i="1"/>
  <c r="AP237" i="1"/>
  <c r="AO770" i="1"/>
  <c r="AP737" i="1"/>
  <c r="AP387" i="1"/>
  <c r="AO876" i="1"/>
  <c r="AP720" i="1"/>
  <c r="AO76" i="1"/>
  <c r="AP1286" i="1"/>
  <c r="AP529" i="1"/>
  <c r="AO1172" i="1"/>
  <c r="AO568" i="1"/>
  <c r="AP1062" i="1"/>
  <c r="AP1185" i="1"/>
  <c r="AO420" i="1"/>
  <c r="AP144" i="1"/>
  <c r="AO742" i="1"/>
  <c r="AP1119" i="1"/>
  <c r="AO174" i="1"/>
  <c r="AP114" i="1"/>
  <c r="AO1311" i="1"/>
  <c r="AP282" i="1"/>
  <c r="AP475" i="1"/>
  <c r="AO47" i="1"/>
  <c r="AP65" i="1"/>
  <c r="AP230" i="1"/>
  <c r="AO1026" i="1"/>
  <c r="AP335" i="1"/>
  <c r="AP261" i="1"/>
  <c r="AO188" i="1"/>
  <c r="AO764" i="1"/>
  <c r="AO524" i="1"/>
  <c r="AP535" i="1"/>
  <c r="AP1238" i="1"/>
  <c r="AP276" i="1"/>
  <c r="AO835" i="1"/>
  <c r="AO454" i="1"/>
  <c r="AP814" i="1"/>
  <c r="AP463" i="1"/>
  <c r="AO604" i="1"/>
  <c r="AO416" i="1"/>
  <c r="AO691" i="1"/>
  <c r="AP227" i="1"/>
  <c r="AO1023" i="1"/>
  <c r="AP779" i="1"/>
  <c r="AO309" i="1"/>
  <c r="AP120" i="1"/>
  <c r="AO149" i="1"/>
  <c r="AP1222" i="1"/>
  <c r="AO586" i="1"/>
  <c r="AP1301" i="1"/>
  <c r="AO1084" i="1"/>
  <c r="AO1149" i="1"/>
  <c r="AP1123" i="1"/>
  <c r="AP564" i="1"/>
  <c r="AO788" i="1"/>
  <c r="AP652" i="1"/>
  <c r="AP309" i="1"/>
  <c r="AO120" i="1"/>
  <c r="AO381" i="1"/>
  <c r="AP329" i="1"/>
  <c r="AP33" i="1"/>
  <c r="AO82" i="1"/>
  <c r="AO230" i="1"/>
  <c r="AO65" i="1"/>
  <c r="AP47" i="1"/>
  <c r="AO346" i="1"/>
  <c r="AP119" i="1"/>
  <c r="AO156" i="1"/>
  <c r="AP1179" i="1"/>
  <c r="AO232" i="1"/>
  <c r="AP393" i="1"/>
  <c r="AO1053" i="1"/>
  <c r="AP1257" i="1"/>
  <c r="AO611" i="1"/>
  <c r="AP513" i="1"/>
  <c r="AO1304" i="1"/>
  <c r="AO255" i="1"/>
  <c r="AP573" i="1"/>
  <c r="AP421" i="1"/>
  <c r="AO677" i="1"/>
  <c r="AP570" i="1"/>
  <c r="AO1142" i="1"/>
  <c r="AP476" i="1"/>
  <c r="AP99" i="1"/>
  <c r="AO759" i="1"/>
  <c r="AO1218" i="1"/>
  <c r="AO99" i="1"/>
  <c r="AP1218" i="1"/>
  <c r="AP759" i="1"/>
  <c r="AO747" i="1"/>
  <c r="AO1128" i="1"/>
  <c r="AP157" i="1"/>
  <c r="AP1314" i="1"/>
  <c r="AO988" i="1"/>
  <c r="AO1214" i="1"/>
  <c r="AP205" i="1"/>
  <c r="AP946" i="1"/>
  <c r="AO199" i="1"/>
  <c r="AP304" i="1"/>
  <c r="AP1063" i="1"/>
  <c r="AO584" i="1"/>
  <c r="AP259" i="1"/>
  <c r="AP673" i="1"/>
  <c r="AP1176" i="1"/>
  <c r="AO480" i="1"/>
  <c r="AO1289" i="1"/>
  <c r="AO588" i="1"/>
  <c r="AP115" i="1"/>
  <c r="AO758" i="1"/>
  <c r="AP727" i="1"/>
  <c r="AO563" i="1"/>
  <c r="AP572" i="1"/>
  <c r="AP290" i="1"/>
  <c r="AO753" i="1"/>
  <c r="AO464" i="1"/>
  <c r="AP509" i="1"/>
  <c r="AO125" i="1"/>
  <c r="AP478" i="1"/>
  <c r="AO305" i="1"/>
  <c r="AO56" i="1"/>
  <c r="AP891" i="1"/>
  <c r="AO634" i="1"/>
  <c r="AP446" i="1"/>
  <c r="AO54" i="1"/>
  <c r="AO298" i="1"/>
  <c r="AP648" i="1"/>
  <c r="AP1065" i="1"/>
  <c r="AP422" i="1"/>
  <c r="AO642" i="1"/>
  <c r="AO1160" i="1"/>
  <c r="AP130" i="1"/>
  <c r="AP684" i="1"/>
  <c r="AO841" i="1"/>
  <c r="AO408" i="1"/>
  <c r="AP1116" i="1"/>
  <c r="AO291" i="1"/>
  <c r="AP838" i="1"/>
  <c r="AO769" i="1"/>
  <c r="AP226" i="1"/>
  <c r="AO46" i="1"/>
  <c r="AP960" i="1"/>
  <c r="AO155" i="1"/>
  <c r="AP1017" i="1"/>
  <c r="AO1061" i="1"/>
  <c r="AO247" i="1"/>
  <c r="AP782" i="1"/>
  <c r="AO815" i="1"/>
  <c r="AP265" i="1"/>
  <c r="AP79" i="1"/>
  <c r="AO1013" i="1"/>
  <c r="AO1143" i="1"/>
  <c r="AO1039" i="1"/>
  <c r="AO602" i="1"/>
  <c r="AP11" i="1"/>
  <c r="AP252" i="1"/>
  <c r="AO515" i="1"/>
  <c r="AP587" i="1"/>
  <c r="AP260" i="1"/>
  <c r="AO1029" i="1"/>
  <c r="AP1278" i="1"/>
  <c r="AO543" i="1"/>
  <c r="AP1049" i="1"/>
  <c r="AP281" i="1"/>
  <c r="AO800" i="1"/>
  <c r="AO415" i="1"/>
  <c r="AP616" i="1"/>
  <c r="AO783" i="1"/>
  <c r="AO879" i="1"/>
  <c r="AP1263" i="1"/>
  <c r="AP729" i="1"/>
  <c r="AO692" i="1"/>
  <c r="AP57" i="1"/>
  <c r="AP531" i="1"/>
  <c r="AO286" i="1"/>
  <c r="AP86" i="1"/>
  <c r="AO1002" i="1"/>
  <c r="AO1275" i="1"/>
  <c r="AP404" i="1"/>
  <c r="AO508" i="1"/>
  <c r="AP918" i="1"/>
  <c r="AP75" i="1"/>
  <c r="AO1032" i="1"/>
  <c r="AP949" i="1"/>
  <c r="AP743" i="1"/>
  <c r="AO664" i="1"/>
  <c r="AO1038" i="1"/>
  <c r="AO181" i="1"/>
  <c r="AP124" i="1"/>
  <c r="AP445" i="1"/>
  <c r="AO693" i="1"/>
  <c r="AP1215" i="1"/>
  <c r="AP571" i="1"/>
  <c r="AO1291" i="1"/>
  <c r="AP435" i="1"/>
  <c r="AP963" i="1"/>
  <c r="AO28" i="1"/>
  <c r="AO103" i="1"/>
  <c r="AP975" i="1"/>
  <c r="AO451" i="1"/>
  <c r="AO700" i="1"/>
  <c r="AP537" i="1"/>
  <c r="AP1297" i="1"/>
  <c r="AO127" i="1"/>
  <c r="AP197" i="1"/>
  <c r="AP625" i="1"/>
  <c r="AO920" i="1"/>
  <c r="AO1184" i="1"/>
  <c r="AO549" i="1"/>
  <c r="AP591" i="1"/>
  <c r="AO998" i="1"/>
  <c r="AP522" i="1"/>
  <c r="AP91" i="1"/>
  <c r="AO632" i="1"/>
  <c r="AP1057" i="1"/>
  <c r="AO723" i="1"/>
  <c r="AP246" i="1"/>
  <c r="AO342" i="1"/>
  <c r="AP519" i="1"/>
  <c r="AO90" i="1"/>
  <c r="AP318" i="1"/>
  <c r="AO71" i="1"/>
  <c r="AO168" i="1"/>
  <c r="AP266" i="1"/>
  <c r="AP563" i="1"/>
  <c r="AO290" i="1"/>
  <c r="AO572" i="1"/>
  <c r="AO351" i="1"/>
  <c r="AO1268" i="1"/>
  <c r="AP541" i="1"/>
  <c r="AP804" i="1"/>
  <c r="AO1152" i="1"/>
  <c r="AP996" i="1"/>
  <c r="AP444" i="1"/>
  <c r="AO1037" i="1"/>
  <c r="AO773" i="1"/>
  <c r="AP754" i="1"/>
  <c r="AP137" i="1"/>
  <c r="AO403" i="1"/>
  <c r="AO335" i="1"/>
  <c r="AP1026" i="1"/>
  <c r="AO697" i="1"/>
  <c r="AP262" i="1"/>
  <c r="AP248" i="1"/>
  <c r="AO439" i="1"/>
  <c r="AP50" i="1"/>
  <c r="AO911" i="1"/>
  <c r="AP490" i="1"/>
  <c r="AO533" i="1"/>
  <c r="AO1075" i="1"/>
  <c r="AP801" i="1"/>
  <c r="AP1228" i="1"/>
  <c r="AO482" i="1"/>
  <c r="AO1173" i="1"/>
  <c r="AP639" i="1"/>
  <c r="AO374" i="1"/>
  <c r="AP1280" i="1"/>
  <c r="AP954" i="1"/>
  <c r="AO412" i="1"/>
  <c r="AP1121" i="1"/>
  <c r="AO279" i="1"/>
  <c r="AP299" i="1"/>
  <c r="AO871" i="1"/>
  <c r="AP163" i="1"/>
  <c r="AO641" i="1"/>
  <c r="AP323" i="1"/>
  <c r="AO189" i="1"/>
  <c r="AP474" i="1"/>
  <c r="AP26" i="1"/>
  <c r="AO1126" i="1"/>
  <c r="AO730" i="1"/>
  <c r="AO1019" i="1"/>
  <c r="AP884" i="1"/>
  <c r="AP1064" i="1"/>
  <c r="AO798" i="1"/>
  <c r="AP457" i="1"/>
  <c r="AO1097" i="1"/>
  <c r="AO1071" i="1"/>
  <c r="AP334" i="1"/>
  <c r="AP458" i="1"/>
  <c r="AO898" i="1"/>
  <c r="AO383" i="1"/>
  <c r="AP164" i="1"/>
  <c r="AO154" i="1"/>
  <c r="AP1022" i="1"/>
  <c r="AO16" i="1"/>
  <c r="AP254" i="1"/>
  <c r="AO595" i="1"/>
  <c r="AP297" i="1"/>
  <c r="AO1133" i="1"/>
  <c r="AP688" i="1"/>
  <c r="AO878" i="1"/>
  <c r="AO781" i="1"/>
  <c r="AP214" i="1"/>
  <c r="AO670" i="1"/>
  <c r="AO147" i="1"/>
  <c r="AP489" i="1"/>
  <c r="AO701" i="1"/>
  <c r="AP440" i="1"/>
  <c r="AP211" i="1"/>
  <c r="AP354" i="1"/>
  <c r="AP1239" i="1"/>
  <c r="AO1196" i="1"/>
  <c r="AO1042" i="1"/>
  <c r="AP251" i="1"/>
  <c r="AO1052" i="1"/>
  <c r="AO504" i="1"/>
  <c r="AP967" i="1"/>
  <c r="AO722" i="1"/>
  <c r="AP59" i="1"/>
  <c r="AO1145" i="1"/>
  <c r="AO1129" i="1"/>
  <c r="AO565" i="1"/>
  <c r="AP283" i="1"/>
  <c r="AP1225" i="1"/>
  <c r="AO542" i="1"/>
  <c r="AP551" i="1"/>
  <c r="AP971" i="1"/>
  <c r="AO1296" i="1"/>
  <c r="AO803" i="1"/>
  <c r="AP775" i="1"/>
  <c r="AO322" i="1"/>
  <c r="AP1302" i="1"/>
  <c r="AP738" i="1"/>
  <c r="AO1235" i="1"/>
  <c r="AO254" i="1"/>
  <c r="AP595" i="1"/>
  <c r="AP16" i="1"/>
  <c r="AP143" i="1"/>
  <c r="AO371" i="1"/>
  <c r="AO750" i="1"/>
  <c r="AP501" i="1"/>
  <c r="AO472" i="1"/>
  <c r="AP938" i="1"/>
  <c r="AO435" i="1"/>
  <c r="AP28" i="1"/>
  <c r="AO963" i="1"/>
  <c r="AO655" i="1"/>
  <c r="AP244" i="1"/>
  <c r="AP683" i="1"/>
  <c r="AO666" i="1"/>
  <c r="AP208" i="1"/>
  <c r="AO1293" i="1"/>
  <c r="AP760" i="1"/>
  <c r="AP1240" i="1"/>
  <c r="AO161" i="1"/>
  <c r="AP1127" i="1"/>
  <c r="AO223" i="1"/>
  <c r="AO731" i="1"/>
  <c r="AP895" i="1"/>
  <c r="AP1313" i="1"/>
  <c r="AO315" i="1"/>
  <c r="AP828" i="1"/>
  <c r="AO645" i="1"/>
  <c r="AP527" i="1"/>
  <c r="AP250" i="1"/>
  <c r="AO274" i="1"/>
  <c r="AO207" i="1"/>
  <c r="AP681" i="1"/>
  <c r="AO428" i="1"/>
  <c r="AP1102" i="1"/>
  <c r="AP100" i="1"/>
  <c r="AP343" i="1"/>
  <c r="AO310" i="1"/>
  <c r="AO361" i="1"/>
  <c r="AO1193" i="1"/>
  <c r="AP669" i="1"/>
  <c r="AO868" i="1"/>
  <c r="AP525" i="1"/>
  <c r="AO225" i="1"/>
  <c r="AP540" i="1"/>
  <c r="AP1260" i="1"/>
  <c r="AO939" i="1"/>
  <c r="AP497" i="1"/>
  <c r="AP153" i="1"/>
  <c r="AO985" i="1"/>
  <c r="AP622" i="1"/>
  <c r="AO151" i="1"/>
  <c r="AP1041" i="1"/>
  <c r="AO984" i="1"/>
  <c r="AP35" i="1"/>
  <c r="AP1090" i="1"/>
  <c r="AO481" i="1"/>
  <c r="AO561" i="1"/>
  <c r="AP222" i="1"/>
  <c r="AP1310" i="1"/>
  <c r="AP675" i="1"/>
  <c r="AO717" i="1"/>
  <c r="AP1056" i="1"/>
  <c r="AO1245" i="1"/>
  <c r="AP590" i="1"/>
  <c r="AO201" i="1"/>
  <c r="AP514" i="1"/>
  <c r="AP328" i="1"/>
  <c r="AO813" i="1"/>
  <c r="AP477" i="1"/>
  <c r="AO1140" i="1"/>
  <c r="AO73" i="1"/>
  <c r="AP1006" i="1"/>
  <c r="AO126" i="1"/>
  <c r="AO906" i="1"/>
  <c r="AP1204" i="1"/>
  <c r="AO1118" i="1"/>
  <c r="AO799" i="1"/>
  <c r="AP633" i="1"/>
  <c r="AP1153" i="1"/>
  <c r="AP204" i="1"/>
  <c r="AO108" i="1"/>
  <c r="AP545" i="1"/>
  <c r="AO729" i="1"/>
  <c r="AO1263" i="1"/>
  <c r="AP783" i="1"/>
  <c r="AP879" i="1"/>
  <c r="AO19" i="1"/>
  <c r="AP1203" i="1"/>
  <c r="AP468" i="1"/>
  <c r="AO1306" i="1"/>
  <c r="AO884" i="1"/>
  <c r="AP730" i="1"/>
  <c r="AO1064" i="1"/>
  <c r="AP1019" i="1"/>
  <c r="AP450" i="1"/>
  <c r="AO1104" i="1"/>
  <c r="AO266" i="1"/>
  <c r="AP71" i="1"/>
  <c r="AP168" i="1"/>
  <c r="AP726" i="1"/>
  <c r="AO375" i="1"/>
  <c r="AP1069" i="1"/>
  <c r="AO177" i="1"/>
  <c r="AP427" i="1"/>
  <c r="AP150" i="1"/>
  <c r="AO913" i="1"/>
  <c r="AP338" i="1"/>
  <c r="AO492" i="1"/>
  <c r="AP523" i="1"/>
  <c r="AP1294" i="1"/>
  <c r="AO648" i="1"/>
  <c r="AP54" i="1"/>
  <c r="AO1065" i="1"/>
  <c r="AP298" i="1"/>
  <c r="AO194" i="1"/>
  <c r="AO530" i="1"/>
  <c r="AP1066" i="1"/>
  <c r="AO446" i="1"/>
  <c r="AP634" i="1"/>
  <c r="AO1213" i="1"/>
  <c r="AP243" i="1"/>
  <c r="AP345" i="1"/>
  <c r="AO362" i="1"/>
  <c r="AO808" i="1"/>
  <c r="AO636" i="1"/>
  <c r="AO216" i="1"/>
  <c r="AP74" i="1"/>
  <c r="AO306" i="1"/>
  <c r="AP995" i="1"/>
  <c r="AP55" i="1"/>
  <c r="AO974" i="1"/>
  <c r="AP178" i="1"/>
  <c r="AO1100" i="1"/>
  <c r="AO265" i="1"/>
  <c r="AP815" i="1"/>
  <c r="AO631" i="1"/>
  <c r="AP817" i="1"/>
  <c r="AP34" i="1"/>
  <c r="AO915" i="1"/>
  <c r="AO95" i="1"/>
  <c r="AP511" i="1"/>
  <c r="AO972" i="1"/>
  <c r="AP927" i="1"/>
  <c r="AO187" i="1"/>
  <c r="AP1256" i="1"/>
  <c r="AO211" i="1"/>
  <c r="AO440" i="1"/>
  <c r="AP701" i="1"/>
  <c r="AO1025" i="1"/>
  <c r="AP653" i="1"/>
  <c r="AP1197" i="1"/>
  <c r="AO146" i="1"/>
  <c r="AO79" i="1"/>
  <c r="AP1013" i="1"/>
  <c r="AP1143" i="1"/>
  <c r="AO299" i="1"/>
  <c r="AP279" i="1"/>
  <c r="AO182" i="1"/>
  <c r="AP48" i="1"/>
  <c r="AP462" i="1"/>
  <c r="AO233" i="1"/>
  <c r="AP121" i="1"/>
  <c r="AP1279" i="1"/>
  <c r="AO832" i="1"/>
  <c r="AP517" i="1"/>
  <c r="AO97" i="1"/>
  <c r="AP597" i="1"/>
  <c r="AO1298" i="1"/>
  <c r="AO1224" i="1"/>
  <c r="AP368" i="1"/>
  <c r="AP142" i="1"/>
  <c r="AP27" i="1"/>
  <c r="AO1008" i="1"/>
  <c r="AO1270" i="1"/>
  <c r="AO23" i="1"/>
  <c r="AP429" i="1"/>
  <c r="AP1273" i="1"/>
  <c r="AO659" i="1"/>
  <c r="AP1107" i="1"/>
  <c r="AO352" i="1"/>
  <c r="AP836" i="1"/>
  <c r="AO649" i="1"/>
  <c r="AO589" i="1"/>
  <c r="AP943" i="1"/>
  <c r="AP331" i="1"/>
  <c r="AP189" i="1"/>
  <c r="AO474" i="1"/>
  <c r="AO1083" i="1"/>
  <c r="AO1000" i="1"/>
  <c r="AP581" i="1"/>
  <c r="AP327" i="1"/>
  <c r="AO1099" i="1"/>
  <c r="AP706" i="1"/>
  <c r="AO348" i="1"/>
  <c r="AO391" i="1"/>
  <c r="AO13" i="1"/>
  <c r="AP1199" i="1"/>
  <c r="AO275" i="1"/>
  <c r="AP418" i="1"/>
  <c r="AO1219" i="1"/>
  <c r="AP140" i="1"/>
  <c r="AP1148" i="1"/>
  <c r="AP212" i="1"/>
  <c r="AO1045" i="1"/>
  <c r="AP1076" i="1"/>
  <c r="AO646" i="1"/>
  <c r="AP637" i="1"/>
  <c r="AP1132" i="1"/>
  <c r="AO778" i="1"/>
  <c r="AP61" i="1"/>
  <c r="AP165" i="1"/>
  <c r="AO771" i="1"/>
  <c r="AO458" i="1"/>
  <c r="AP898" i="1"/>
  <c r="AO66" i="1"/>
  <c r="AP1124" i="1"/>
  <c r="AO138" i="1"/>
  <c r="AP821" i="1"/>
  <c r="AO119" i="1"/>
  <c r="AO1179" i="1"/>
  <c r="AP346" i="1"/>
  <c r="AP156" i="1"/>
  <c r="AP370" i="1"/>
  <c r="AO406" i="1"/>
  <c r="AO1105" i="1"/>
  <c r="AO647" i="1"/>
  <c r="AP269" i="1"/>
  <c r="AP363" i="1"/>
  <c r="AO956" i="1"/>
  <c r="AO488" i="1"/>
  <c r="AP347" i="1"/>
  <c r="AO67" i="1"/>
  <c r="AP473" i="1"/>
  <c r="AO669" i="1"/>
  <c r="AP361" i="1"/>
  <c r="AP1193" i="1"/>
  <c r="AP588" i="1"/>
  <c r="AO115" i="1"/>
  <c r="AP1289" i="1"/>
  <c r="AO234" i="1"/>
  <c r="AP1259" i="1"/>
  <c r="AO1290" i="1"/>
  <c r="AO87" i="1"/>
  <c r="AP560" i="1"/>
  <c r="AO690" i="1"/>
  <c r="AP1136" i="1"/>
  <c r="AP495" i="1"/>
  <c r="AP439" i="1"/>
  <c r="AO50" i="1"/>
  <c r="AO137" i="1"/>
  <c r="AP403" i="1"/>
  <c r="AO535" i="1"/>
  <c r="AO1238" i="1"/>
  <c r="AP524" i="1"/>
  <c r="AP764" i="1"/>
  <c r="AO674" i="1"/>
  <c r="AP886" i="1"/>
  <c r="AO767" i="1"/>
  <c r="AP25" i="1"/>
  <c r="AP745" i="1"/>
  <c r="AO59" i="1"/>
  <c r="AP1145" i="1"/>
  <c r="AP722" i="1"/>
  <c r="AO895" i="1"/>
  <c r="AP223" i="1"/>
  <c r="AO1313" i="1"/>
  <c r="AP731" i="1"/>
  <c r="AO438" i="1"/>
  <c r="AP289" i="1"/>
  <c r="AO694" i="1"/>
  <c r="AP1007" i="1"/>
  <c r="AO1060" i="1"/>
  <c r="AP657" i="1"/>
  <c r="AO171" i="1"/>
  <c r="AP554" i="1"/>
  <c r="AP385" i="1"/>
  <c r="AO592" i="1"/>
  <c r="AO534" i="1"/>
  <c r="AP609" i="1"/>
  <c r="AO105" i="1"/>
  <c r="AP957" i="1"/>
  <c r="AO112" i="1"/>
  <c r="AP183" i="1"/>
  <c r="AP608" i="1"/>
  <c r="AP950" i="1"/>
  <c r="AO937" i="1"/>
  <c r="AO42" i="1"/>
  <c r="AO1169" i="1"/>
  <c r="AP192" i="1"/>
  <c r="AO1082" i="1"/>
  <c r="AP200" i="1"/>
  <c r="AO583" i="1"/>
  <c r="AP577" i="1"/>
  <c r="AO970" i="1"/>
  <c r="AP241" i="1"/>
  <c r="AO499" i="1"/>
  <c r="AP955" i="1"/>
  <c r="AO224" i="1"/>
  <c r="AO426" i="1"/>
  <c r="AP1300" i="1"/>
  <c r="AP316" i="1"/>
  <c r="AO1081" i="1"/>
  <c r="AO407" i="1"/>
  <c r="AO1191" i="1"/>
  <c r="AP209" i="1"/>
  <c r="AP479" i="1"/>
  <c r="AO292" i="1"/>
  <c r="AP997" i="1"/>
  <c r="AO520" i="1"/>
  <c r="AP643" i="1"/>
  <c r="AP21" i="1"/>
  <c r="AO314" i="1"/>
  <c r="AO467" i="1"/>
  <c r="AO1287" i="1"/>
  <c r="AP618" i="1"/>
  <c r="AO681" i="1"/>
  <c r="AP207" i="1"/>
  <c r="AO738" i="1"/>
  <c r="AP322" i="1"/>
  <c r="AO1302" i="1"/>
  <c r="AP1235" i="1"/>
  <c r="AO748" i="1"/>
  <c r="AP819" i="1"/>
  <c r="AP1187" i="1"/>
  <c r="AO133" i="1"/>
  <c r="AO1057" i="1"/>
  <c r="AP632" i="1"/>
  <c r="AO529" i="1"/>
  <c r="AP76" i="1"/>
  <c r="AO1286" i="1"/>
  <c r="AO321" i="1"/>
  <c r="AO1266" i="1"/>
  <c r="AP786" i="1"/>
  <c r="AO643" i="1"/>
  <c r="AP520" i="1"/>
  <c r="AO1006" i="1"/>
  <c r="AP73" i="1"/>
  <c r="AO795" i="1"/>
  <c r="AP80" i="1"/>
  <c r="AO1284" i="1"/>
  <c r="AP10" i="1"/>
  <c r="AP1101" i="1"/>
  <c r="AP627" i="1"/>
  <c r="AO679" i="1"/>
  <c r="AO609" i="1"/>
  <c r="AP534" i="1"/>
  <c r="AP592" i="1"/>
  <c r="AP594" i="1"/>
  <c r="AO885" i="1"/>
  <c r="AO1109" i="1"/>
  <c r="AO250" i="1"/>
  <c r="AP274" i="1"/>
  <c r="AO579" i="1"/>
  <c r="AP218" i="1"/>
  <c r="AO359" i="1"/>
  <c r="AP134" i="1"/>
  <c r="AO706" i="1"/>
  <c r="AP348" i="1"/>
  <c r="AO541" i="1"/>
  <c r="AP1268" i="1"/>
  <c r="AO804" i="1"/>
  <c r="AP351" i="1"/>
  <c r="AP530" i="1"/>
  <c r="AO1066" i="1"/>
  <c r="AP194" i="1"/>
  <c r="AO1091" i="1"/>
  <c r="AP141" i="1"/>
  <c r="AP487" i="1"/>
  <c r="AO953" i="1"/>
  <c r="AO17" i="1"/>
  <c r="AO448" i="1"/>
  <c r="AP709" i="1"/>
  <c r="AP550" i="1"/>
  <c r="AO1189" i="1"/>
  <c r="AO9" i="1"/>
  <c r="AP423" i="1"/>
  <c r="AO909" i="1"/>
  <c r="AP873" i="1"/>
  <c r="AO527" i="1"/>
  <c r="AP645" i="1"/>
  <c r="AO546" i="1"/>
  <c r="AP296" i="1"/>
  <c r="AO639" i="1"/>
  <c r="AP482" i="1"/>
  <c r="AP1173" i="1"/>
  <c r="AO638" i="1"/>
  <c r="AP711" i="1"/>
  <c r="AO262" i="1"/>
  <c r="AO248" i="1"/>
  <c r="AP697" i="1"/>
  <c r="AO786" i="1"/>
  <c r="AP321" i="1"/>
  <c r="AP1266" i="1"/>
  <c r="AO751" i="1"/>
  <c r="AO893" i="1"/>
  <c r="AP582" i="1"/>
  <c r="AO559" i="1"/>
  <c r="AO43" i="1"/>
  <c r="AP258" i="1"/>
  <c r="AP410" i="1"/>
  <c r="AO526" i="1"/>
  <c r="AO1254" i="1"/>
  <c r="AP190" i="1"/>
  <c r="AP1195" i="1"/>
  <c r="AO173" i="1"/>
  <c r="AP441" i="1"/>
  <c r="AO453" i="1"/>
  <c r="AP271" i="1"/>
  <c r="AP629" i="1"/>
  <c r="AO843" i="1"/>
  <c r="AP217" i="1"/>
  <c r="AO736" i="1"/>
  <c r="AP1299" i="1"/>
  <c r="AP319" i="1"/>
  <c r="AO921" i="1"/>
  <c r="AO618" i="1"/>
  <c r="AP1287" i="1"/>
  <c r="AO892" i="1"/>
  <c r="AP294" i="1"/>
  <c r="AO370" i="1"/>
  <c r="AP406" i="1"/>
  <c r="AO96" i="1"/>
  <c r="AP278" i="1"/>
  <c r="AO676" i="1"/>
  <c r="AO1167" i="1"/>
  <c r="AP60" i="1"/>
  <c r="AO278" i="1"/>
  <c r="AP96" i="1"/>
  <c r="AP676" i="1"/>
  <c r="AO1098" i="1"/>
  <c r="AP1055" i="1"/>
  <c r="AP789" i="1"/>
  <c r="AO419" i="1"/>
  <c r="AP702" i="1"/>
  <c r="AP715" i="1"/>
  <c r="AP89" i="1"/>
  <c r="AO1139" i="1"/>
  <c r="AO889" i="1"/>
  <c r="AP845" i="1"/>
  <c r="AO393" i="1"/>
  <c r="AO1257" i="1"/>
  <c r="AP232" i="1"/>
  <c r="AP1053" i="1"/>
  <c r="AO109" i="1"/>
  <c r="AP162" i="1"/>
  <c r="AO1020" i="1"/>
  <c r="AP919" i="1"/>
  <c r="AO476" i="1"/>
  <c r="AP1142" i="1"/>
  <c r="AO289" i="1"/>
  <c r="AP438" i="1"/>
  <c r="AO938" i="1"/>
  <c r="AP472" i="1"/>
  <c r="AP756" i="1"/>
  <c r="AO908" i="1"/>
  <c r="AO333" i="1"/>
  <c r="AP976" i="1"/>
  <c r="FM70" i="7"/>
  <c r="EJ70" i="7"/>
  <c r="EZ70" i="7"/>
  <c r="EE70" i="7"/>
  <c r="GS70" i="7"/>
  <c r="FP70" i="7"/>
  <c r="GI70" i="7"/>
  <c r="EA70" i="7"/>
  <c r="O70" i="7"/>
  <c r="BL70" i="7"/>
  <c r="DI70" i="7"/>
  <c r="T70" i="7"/>
  <c r="CG70" i="7"/>
  <c r="X70" i="7"/>
  <c r="BU70" i="7"/>
  <c r="EU70" i="7"/>
  <c r="EQ70" i="7"/>
  <c r="DU70" i="7"/>
  <c r="GM70" i="7"/>
  <c r="EF70" i="7"/>
  <c r="ER70" i="7"/>
  <c r="BI70" i="7"/>
  <c r="DR70" i="7"/>
  <c r="GF70" i="7"/>
  <c r="DX70" i="7"/>
  <c r="L70" i="7"/>
  <c r="CO70" i="7"/>
  <c r="AE70" i="7"/>
  <c r="CB70" i="7"/>
  <c r="AJ70" i="7"/>
  <c r="CW70" i="7"/>
  <c r="AN70" i="7"/>
  <c r="CK70" i="7"/>
  <c r="EH70" i="7"/>
  <c r="AB70" i="7"/>
  <c r="AU70" i="7"/>
  <c r="CR70" i="7"/>
  <c r="AZ70" i="7"/>
  <c r="DM70" i="7"/>
  <c r="BD70" i="7"/>
  <c r="DA70" i="7"/>
  <c r="GA70" i="7"/>
  <c r="EX70" i="7"/>
  <c r="EK70" i="7"/>
  <c r="FD70" i="7"/>
  <c r="FW70" i="7"/>
  <c r="AR70" i="7"/>
  <c r="N70" i="7"/>
  <c r="BK70" i="7"/>
  <c r="DH70" i="7"/>
  <c r="S70" i="7"/>
  <c r="BP70" i="7"/>
  <c r="BT70" i="7"/>
  <c r="GQ70" i="7"/>
  <c r="FN70" i="7"/>
  <c r="FA70" i="7"/>
  <c r="FT70" i="7"/>
  <c r="K70" i="7"/>
  <c r="BH70" i="7"/>
  <c r="AD70" i="7"/>
  <c r="CA70" i="7"/>
  <c r="AI70" i="7"/>
  <c r="CF70" i="7"/>
  <c r="W70" i="7"/>
  <c r="CJ70" i="7"/>
  <c r="H70" i="7"/>
  <c r="DP70" i="7"/>
  <c r="GD70" i="7"/>
  <c r="FQ70" i="7"/>
  <c r="GJ70" i="7"/>
  <c r="EB70" i="7"/>
  <c r="E70" i="7"/>
  <c r="AA70" i="7"/>
  <c r="BX70" i="7"/>
  <c r="AT70" i="7"/>
  <c r="CQ70" i="7"/>
  <c r="AY70" i="7"/>
  <c r="CV70" i="7"/>
  <c r="AM70" i="7"/>
  <c r="CZ70" i="7"/>
  <c r="GT70" i="7"/>
  <c r="GG70" i="7"/>
  <c r="DY70" i="7"/>
  <c r="AQ70" i="7"/>
  <c r="CN70" i="7"/>
  <c r="BJ70" i="7"/>
  <c r="DG70" i="7"/>
  <c r="AC70" i="7"/>
  <c r="BO70" i="7"/>
  <c r="DL70" i="7"/>
  <c r="BC70" i="7"/>
  <c r="DV70" i="7"/>
  <c r="EO70" i="7"/>
  <c r="FH70" i="7"/>
  <c r="J70" i="7"/>
  <c r="BG70" i="7"/>
  <c r="DD70" i="7"/>
  <c r="BZ70" i="7"/>
  <c r="R70" i="7"/>
  <c r="CE70" i="7"/>
  <c r="BS70" i="7"/>
  <c r="G70" i="7"/>
  <c r="EL70" i="7"/>
  <c r="FE70" i="7"/>
  <c r="FX70" i="7"/>
  <c r="Z70" i="7"/>
  <c r="BW70" i="7"/>
  <c r="CP70" i="7"/>
  <c r="AH70" i="7"/>
  <c r="CU70" i="7"/>
  <c r="V70" i="7"/>
  <c r="CI70" i="7"/>
  <c r="GB70" i="7"/>
  <c r="EY70" i="7"/>
  <c r="AP70" i="7"/>
  <c r="CM70" i="7"/>
  <c r="DF70" i="7"/>
  <c r="M70" i="7"/>
  <c r="AX70" i="7"/>
  <c r="DK70" i="7"/>
  <c r="AL70" i="7"/>
  <c r="CY70" i="7"/>
  <c r="GK70" i="7"/>
  <c r="EC70" i="7"/>
  <c r="BV70" i="7"/>
  <c r="DC70" i="7"/>
  <c r="Q70" i="7"/>
  <c r="BN70" i="7"/>
  <c r="BB70" i="7"/>
  <c r="F70" i="7"/>
  <c r="ET70" i="7"/>
  <c r="DQ70" i="7"/>
  <c r="GE70" i="7"/>
  <c r="BF70" i="7"/>
  <c r="AG70" i="7"/>
  <c r="CD70" i="7"/>
  <c r="BR70" i="7"/>
  <c r="FJ70" i="7"/>
  <c r="EG70" i="7"/>
  <c r="GU70" i="7"/>
  <c r="CL70" i="7"/>
  <c r="AW70" i="7"/>
  <c r="CT70" i="7"/>
  <c r="U70" i="7"/>
  <c r="CH70" i="7"/>
  <c r="FZ70" i="7"/>
  <c r="EW70" i="7"/>
  <c r="DT70" i="7"/>
  <c r="DB70" i="7"/>
  <c r="BY70" i="7"/>
  <c r="P70" i="7"/>
  <c r="BM70" i="7"/>
  <c r="DJ70" i="7"/>
  <c r="AK70" i="7"/>
  <c r="CX70" i="7"/>
  <c r="Y70" i="7"/>
  <c r="I70" i="7"/>
  <c r="GP70" i="7"/>
  <c r="FC70" i="7"/>
  <c r="FV70" i="7"/>
  <c r="GO70" i="7"/>
  <c r="DE70" i="7"/>
  <c r="AF70" i="7"/>
  <c r="CC70" i="7"/>
  <c r="BA70" i="7"/>
  <c r="DN70" i="7"/>
  <c r="AO70" i="7"/>
  <c r="DO70" i="7"/>
  <c r="GC70" i="7"/>
  <c r="AV70" i="7"/>
  <c r="CS70" i="7"/>
  <c r="AS70" i="7"/>
  <c r="BQ70" i="7"/>
  <c r="BE70" i="7"/>
  <c r="FR70" i="7"/>
  <c r="GH70" i="7"/>
  <c r="DZ70" i="7"/>
  <c r="ES70" i="7"/>
  <c r="FB70" i="7"/>
  <c r="FU70" i="7"/>
  <c r="GN70" i="7"/>
  <c r="EV70" i="7"/>
  <c r="DS70" i="7"/>
  <c r="FL70" i="7"/>
  <c r="EI70" i="7"/>
  <c r="ED70" i="7"/>
  <c r="GR70" i="7"/>
  <c r="FO70" i="7"/>
  <c r="DW70" i="7"/>
  <c r="EP70" i="7"/>
  <c r="FI70" i="7"/>
  <c r="EM70" i="7"/>
  <c r="FF70" i="7"/>
  <c r="FY70" i="7"/>
  <c r="FS70" i="7"/>
  <c r="GL70" i="7"/>
  <c r="BQ35" i="8"/>
  <c r="BR35" i="8" s="1"/>
  <c r="AK19" i="2"/>
  <c r="AK13" i="2"/>
  <c r="AK27" i="2"/>
  <c r="AK2" i="2"/>
  <c r="AK17" i="2"/>
  <c r="AK14" i="2"/>
  <c r="BP37" i="10"/>
  <c r="BQ37" i="10" s="1"/>
  <c r="BP29" i="10"/>
  <c r="BQ29" i="10" s="1"/>
  <c r="BP31" i="10"/>
  <c r="BQ31" i="10" s="1"/>
  <c r="BP15" i="10"/>
  <c r="BQ15" i="10" s="1"/>
  <c r="BP17" i="10"/>
  <c r="BQ17" i="10" s="1"/>
  <c r="BP27" i="10"/>
  <c r="BQ27" i="10" s="1"/>
  <c r="BP59" i="10"/>
  <c r="BQ59" i="10" s="1"/>
  <c r="BP33" i="10"/>
  <c r="BQ33" i="10" s="1"/>
  <c r="BP9" i="10"/>
  <c r="BQ9" i="10" s="1"/>
  <c r="BP39" i="10"/>
  <c r="BQ39" i="10" s="1"/>
  <c r="BP53" i="10"/>
  <c r="BQ53" i="10" s="1"/>
  <c r="BP51" i="10"/>
  <c r="BQ51" i="10" s="1"/>
  <c r="BP25" i="10"/>
  <c r="BQ25" i="10" s="1"/>
  <c r="BP13" i="10"/>
  <c r="BQ13" i="10" s="1"/>
  <c r="BP35" i="10"/>
  <c r="BQ35" i="10" s="1"/>
  <c r="BP55" i="10"/>
  <c r="BQ55" i="10" s="1"/>
  <c r="BP47" i="10"/>
  <c r="BQ47" i="10" s="1"/>
  <c r="BP63" i="10"/>
  <c r="BQ63" i="10" s="1"/>
  <c r="BP19" i="10"/>
  <c r="BQ19" i="10" s="1"/>
  <c r="BP23" i="10"/>
  <c r="BQ23" i="10" s="1"/>
  <c r="BP65" i="10"/>
  <c r="BQ65" i="10" s="1"/>
  <c r="BP41" i="10"/>
  <c r="BQ41" i="10" s="1"/>
  <c r="BP45" i="10"/>
  <c r="BQ45" i="10" s="1"/>
  <c r="BP5" i="10"/>
  <c r="BQ5" i="10" s="1"/>
  <c r="BP7" i="10"/>
  <c r="BQ7" i="10" s="1"/>
  <c r="BP43" i="10"/>
  <c r="BQ43" i="10" s="1"/>
  <c r="BP11" i="10"/>
  <c r="BQ11" i="10" s="1"/>
  <c r="BP57" i="10"/>
  <c r="BQ57" i="10" s="1"/>
  <c r="BP61" i="10"/>
  <c r="BQ61" i="10" s="1"/>
  <c r="BP21" i="10"/>
  <c r="BQ21" i="10" s="1"/>
  <c r="BP49" i="10"/>
  <c r="BQ49" i="10" s="1"/>
  <c r="BP3" i="10"/>
  <c r="BU16" i="1"/>
  <c r="BS16" i="1"/>
  <c r="BW5" i="1"/>
  <c r="BL12" i="1"/>
  <c r="BL11" i="1"/>
  <c r="BO33" i="2"/>
  <c r="BN7" i="2"/>
  <c r="BN18" i="2"/>
  <c r="BO18" i="2"/>
  <c r="BN31" i="2"/>
  <c r="BN4" i="2"/>
  <c r="BN5" i="2"/>
  <c r="BO20" i="2"/>
  <c r="BN9" i="2"/>
  <c r="BO23" i="2"/>
  <c r="BN11" i="2"/>
  <c r="BN25" i="2"/>
  <c r="BO12" i="2"/>
  <c r="BO26" i="2"/>
  <c r="BN26" i="2"/>
  <c r="BN33" i="2"/>
  <c r="BO7" i="2"/>
  <c r="BN22" i="2"/>
  <c r="BN20" i="2"/>
  <c r="BN10" i="2"/>
  <c r="BO31" i="2"/>
  <c r="BO30" i="2"/>
  <c r="BO11" i="2"/>
  <c r="BO22" i="2"/>
  <c r="BN3" i="2"/>
  <c r="BN30" i="2"/>
  <c r="BO9" i="2"/>
  <c r="BO32" i="2"/>
  <c r="BN29" i="2"/>
  <c r="BO13" i="2"/>
  <c r="BO14" i="2"/>
  <c r="BN28" i="2"/>
  <c r="BO24" i="2"/>
  <c r="BN8" i="2"/>
  <c r="BN21" i="2"/>
  <c r="BN16" i="2"/>
  <c r="BO2" i="2"/>
  <c r="BO27" i="2"/>
  <c r="BO19" i="2"/>
  <c r="BO17" i="2"/>
  <c r="BN15" i="2"/>
  <c r="BP49" i="8"/>
  <c r="BP25" i="8"/>
  <c r="BP31" i="8"/>
  <c r="BP15" i="8"/>
  <c r="BP51" i="8"/>
  <c r="BP57" i="8"/>
  <c r="BP23" i="8"/>
  <c r="BP45" i="8"/>
  <c r="BP11" i="8"/>
  <c r="BP9" i="8"/>
  <c r="BP61" i="8"/>
  <c r="BP17" i="8"/>
  <c r="BP65" i="8"/>
  <c r="BP37" i="8"/>
  <c r="BP3" i="8"/>
  <c r="BP63" i="8"/>
  <c r="BP59" i="8"/>
  <c r="BP29" i="8"/>
  <c r="BP19" i="8"/>
  <c r="BP39" i="8"/>
  <c r="BP41" i="8"/>
  <c r="BP55" i="8"/>
  <c r="BP7" i="8"/>
  <c r="BP53" i="8"/>
  <c r="BP33" i="8"/>
  <c r="BP43" i="8"/>
  <c r="BP27" i="8"/>
  <c r="BP47" i="8"/>
  <c r="BP5" i="8"/>
  <c r="BP21" i="8"/>
  <c r="BP13" i="8"/>
  <c r="BX5" i="1"/>
  <c r="BX16" i="1" s="1"/>
  <c r="R36" i="2"/>
  <c r="Z36" i="2"/>
  <c r="R37" i="2"/>
  <c r="Y36" i="2"/>
  <c r="Y35" i="2"/>
  <c r="Y37" i="2"/>
  <c r="S37" i="2"/>
  <c r="S36" i="2"/>
  <c r="S35" i="2"/>
  <c r="AA37" i="2"/>
  <c r="AA36" i="2"/>
  <c r="AA35" i="2"/>
  <c r="G35" i="2"/>
  <c r="G37" i="2"/>
  <c r="G36" i="2"/>
  <c r="I36" i="2"/>
  <c r="I35" i="2"/>
  <c r="I37" i="2"/>
  <c r="AC37" i="2"/>
  <c r="AC36" i="2"/>
  <c r="AC35" i="2"/>
  <c r="E6" i="2"/>
  <c r="AE37" i="2"/>
  <c r="AE36" i="2"/>
  <c r="AE35" i="2"/>
  <c r="Q37" i="2"/>
  <c r="Q36" i="2"/>
  <c r="Q35" i="2"/>
  <c r="Z37" i="2"/>
  <c r="Z35" i="2"/>
  <c r="AG37" i="2"/>
  <c r="AG36" i="2"/>
  <c r="AG35" i="2"/>
  <c r="R35" i="2"/>
  <c r="AI37" i="2"/>
  <c r="AI36" i="2"/>
  <c r="AI35" i="2"/>
  <c r="AF6" i="2"/>
  <c r="BM6" i="2"/>
  <c r="AP25" i="2"/>
  <c r="BL25" i="2"/>
  <c r="BM23" i="2"/>
  <c r="BL3" i="2"/>
  <c r="BL15" i="2"/>
  <c r="BM25" i="2"/>
  <c r="BM16" i="2"/>
  <c r="BM3" i="2"/>
  <c r="BL28" i="2"/>
  <c r="BL30" i="2"/>
  <c r="BM26" i="2"/>
  <c r="BL32" i="2"/>
  <c r="BM21" i="2"/>
  <c r="BM8" i="2"/>
  <c r="BL29" i="2"/>
  <c r="BM20" i="2"/>
  <c r="BM32" i="2"/>
  <c r="BM5" i="2"/>
  <c r="BL18" i="2"/>
  <c r="BM28" i="2"/>
  <c r="BM9" i="2"/>
  <c r="BM4" i="2"/>
  <c r="BL26" i="2"/>
  <c r="BM22" i="2"/>
  <c r="BL8" i="2"/>
  <c r="BL11" i="2"/>
  <c r="BL16" i="2"/>
  <c r="BM30" i="2"/>
  <c r="BM7" i="2"/>
  <c r="BM10" i="2"/>
  <c r="BM31" i="2"/>
  <c r="BM15" i="2"/>
  <c r="BL20" i="2"/>
  <c r="BL10" i="2"/>
  <c r="BM18" i="2"/>
  <c r="BL21" i="2"/>
  <c r="BM33" i="2"/>
  <c r="BL33" i="2"/>
  <c r="BL7" i="2"/>
  <c r="BM29" i="2"/>
  <c r="BL5" i="2"/>
  <c r="BL4" i="2"/>
  <c r="BM11" i="2"/>
  <c r="BM12" i="2"/>
  <c r="BM24" i="2"/>
  <c r="BL6" i="2"/>
  <c r="BL22" i="2"/>
  <c r="BM13" i="2"/>
  <c r="BL9" i="2"/>
  <c r="BM27" i="2"/>
  <c r="BM14" i="2"/>
  <c r="BM2" i="2"/>
  <c r="BM19" i="2"/>
  <c r="BL23" i="2"/>
  <c r="BL31" i="2"/>
  <c r="BM17" i="2"/>
  <c r="AP6" i="2"/>
  <c r="BD7" i="1"/>
  <c r="DX34" i="7"/>
  <c r="AF34" i="7"/>
  <c r="EZ34" i="7"/>
  <c r="BH34" i="7"/>
  <c r="FX34" i="7"/>
  <c r="CF34" i="7"/>
  <c r="GD34" i="7"/>
  <c r="GC34" i="7"/>
  <c r="FL34" i="7"/>
  <c r="FN34" i="7"/>
  <c r="BV34" i="7"/>
  <c r="FM34" i="7"/>
  <c r="BU34" i="7"/>
  <c r="EV34" i="7"/>
  <c r="BD34" i="7"/>
  <c r="EE34" i="7"/>
  <c r="AM34" i="7"/>
  <c r="DN34" i="7"/>
  <c r="GO34" i="7"/>
  <c r="CW34" i="7"/>
  <c r="FG34" i="7"/>
  <c r="BO34" i="7"/>
  <c r="EP34" i="7"/>
  <c r="AX34" i="7"/>
  <c r="FE34" i="7"/>
  <c r="BM34" i="7"/>
  <c r="EN34" i="7"/>
  <c r="AV34" i="7"/>
  <c r="DW34" i="7"/>
  <c r="AE34" i="7"/>
  <c r="DF34" i="7"/>
  <c r="GG34" i="7"/>
  <c r="CO34" i="7"/>
  <c r="FP34" i="7"/>
  <c r="BX34" i="7"/>
  <c r="FO34" i="7"/>
  <c r="BW34" i="7"/>
  <c r="DK34" i="7"/>
  <c r="FK34" i="7"/>
  <c r="BS34" i="7"/>
  <c r="ET34" i="7"/>
  <c r="BB34" i="7"/>
  <c r="EC34" i="7"/>
  <c r="AK34" i="7"/>
  <c r="DL34" i="7"/>
  <c r="GM34" i="7"/>
  <c r="CU34" i="7"/>
  <c r="FV34" i="7"/>
  <c r="CD34" i="7"/>
  <c r="FT34" i="7"/>
  <c r="CB34" i="7"/>
  <c r="FC34" i="7"/>
  <c r="BK34" i="7"/>
  <c r="EL34" i="7"/>
  <c r="AT34" i="7"/>
  <c r="DD34" i="7"/>
  <c r="GU34" i="7"/>
  <c r="DC34" i="7"/>
  <c r="EB34" i="7"/>
  <c r="CL34" i="7"/>
  <c r="CK34" i="7"/>
  <c r="BT34" i="7"/>
  <c r="DG34" i="7"/>
  <c r="GH34" i="7"/>
  <c r="CP34" i="7"/>
  <c r="FQ34" i="7"/>
  <c r="BY34" i="7"/>
  <c r="EY34" i="7"/>
  <c r="BG34" i="7"/>
  <c r="GA34" i="7"/>
  <c r="CI34" i="7"/>
  <c r="FJ34" i="7"/>
  <c r="BR34" i="7"/>
  <c r="ES34" i="7"/>
  <c r="BA34" i="7"/>
  <c r="AJ34" i="7"/>
  <c r="EO34" i="7"/>
  <c r="AW34" i="7"/>
  <c r="FU34" i="7"/>
  <c r="CC34" i="7"/>
  <c r="FD34" i="7"/>
  <c r="BL34" i="7"/>
  <c r="EM34" i="7"/>
  <c r="AU34" i="7"/>
  <c r="DV34" i="7"/>
  <c r="AD34" i="7"/>
  <c r="DE34" i="7"/>
  <c r="GF34" i="7"/>
  <c r="CN34" i="7"/>
  <c r="GE34" i="7"/>
  <c r="CM34" i="7"/>
  <c r="GQ34" i="7"/>
  <c r="CY34" i="7"/>
  <c r="FZ34" i="7"/>
  <c r="CH34" i="7"/>
  <c r="FI34" i="7"/>
  <c r="BQ34" i="7"/>
  <c r="ER34" i="7"/>
  <c r="AZ34" i="7"/>
  <c r="EA34" i="7"/>
  <c r="AI34" i="7"/>
  <c r="DJ34" i="7"/>
  <c r="GL34" i="7"/>
  <c r="CT34" i="7"/>
  <c r="DR34" i="7"/>
  <c r="Z34" i="7"/>
  <c r="DQ34" i="7"/>
  <c r="GR34" i="7"/>
  <c r="CZ34" i="7"/>
  <c r="EX34" i="7"/>
  <c r="BF34" i="7"/>
  <c r="EW34" i="7"/>
  <c r="BE34" i="7"/>
  <c r="EF34" i="7"/>
  <c r="AN34" i="7"/>
  <c r="DO34" i="7"/>
  <c r="GP34" i="7"/>
  <c r="CX34" i="7"/>
  <c r="FY34" i="7"/>
  <c r="CG34" i="7"/>
  <c r="FH34" i="7"/>
  <c r="BP34" i="7"/>
  <c r="EQ34" i="7"/>
  <c r="AY34" i="7"/>
  <c r="DZ34" i="7"/>
  <c r="AH34" i="7"/>
  <c r="DY34" i="7"/>
  <c r="AG34" i="7"/>
  <c r="DH34" i="7"/>
  <c r="GI34" i="7"/>
  <c r="CQ34" i="7"/>
  <c r="FR34" i="7"/>
  <c r="BZ34" i="7"/>
  <c r="FA34" i="7"/>
  <c r="BI34" i="7"/>
  <c r="EJ34" i="7"/>
  <c r="AR34" i="7"/>
  <c r="EI34" i="7"/>
  <c r="AQ34" i="7"/>
  <c r="EH34" i="7"/>
  <c r="AP34" i="7"/>
  <c r="EG34" i="7"/>
  <c r="AO34" i="7"/>
  <c r="DP34" i="7"/>
  <c r="DI34" i="7"/>
  <c r="GJ34" i="7"/>
  <c r="CR34" i="7"/>
  <c r="FS34" i="7"/>
  <c r="CA34" i="7"/>
  <c r="FB34" i="7"/>
  <c r="BJ34" i="7"/>
  <c r="EK34" i="7"/>
  <c r="AS34" i="7"/>
  <c r="DT34" i="7"/>
  <c r="AB34" i="7"/>
  <c r="DS34" i="7"/>
  <c r="AA34" i="7"/>
  <c r="GT34" i="7"/>
  <c r="DB34" i="7"/>
  <c r="GS34" i="7"/>
  <c r="DA34" i="7"/>
  <c r="GB34" i="7"/>
  <c r="CJ34" i="7"/>
  <c r="GK34" i="7"/>
  <c r="CS34" i="7"/>
  <c r="DU34" i="7"/>
  <c r="AC34" i="7"/>
  <c r="EU34" i="7"/>
  <c r="BC34" i="7"/>
  <c r="ED34" i="7"/>
  <c r="AL34" i="7"/>
  <c r="DM34" i="7"/>
  <c r="GN34" i="7"/>
  <c r="CV34" i="7"/>
  <c r="FW34" i="7"/>
  <c r="CE34" i="7"/>
  <c r="FF34" i="7"/>
  <c r="BN34" i="7"/>
  <c r="K34" i="7"/>
  <c r="N34" i="7"/>
  <c r="X34" i="7"/>
  <c r="O34" i="7"/>
  <c r="J34" i="7"/>
  <c r="M34" i="7"/>
  <c r="R34" i="7"/>
  <c r="F34" i="7"/>
  <c r="H34" i="7"/>
  <c r="Q34" i="7"/>
  <c r="W34" i="7"/>
  <c r="L34" i="7"/>
  <c r="V34" i="7"/>
  <c r="I34" i="7"/>
  <c r="Y34" i="7"/>
  <c r="P34" i="7"/>
  <c r="G34" i="7"/>
  <c r="S34" i="7"/>
  <c r="T34" i="7"/>
  <c r="U34" i="7"/>
  <c r="AO27" i="2"/>
  <c r="AF4" i="2"/>
  <c r="AH22" i="2"/>
  <c r="AP27" i="2"/>
  <c r="AF10" i="2"/>
  <c r="AO25" i="2"/>
  <c r="AF5" i="2"/>
  <c r="AH10" i="2"/>
  <c r="AK10" i="2" s="1"/>
  <c r="AF11" i="2"/>
  <c r="AP19" i="2"/>
  <c r="AH4" i="2"/>
  <c r="AK4" i="2" s="1"/>
  <c r="AF15" i="2"/>
  <c r="AO19" i="2"/>
  <c r="AJ16" i="2"/>
  <c r="AK16" i="2" s="1"/>
  <c r="AJ15" i="2"/>
  <c r="AK15" i="2" s="1"/>
  <c r="AP17" i="2"/>
  <c r="AF25" i="2"/>
  <c r="AO22" i="2"/>
  <c r="AP32" i="2"/>
  <c r="AO5" i="2"/>
  <c r="AJ5" i="2"/>
  <c r="AO17" i="2"/>
  <c r="AH25" i="2"/>
  <c r="AK25" i="2" s="1"/>
  <c r="AH7" i="2"/>
  <c r="AF32" i="2"/>
  <c r="AO10" i="2"/>
  <c r="AO4" i="2"/>
  <c r="AP4" i="2"/>
  <c r="AP10" i="2"/>
  <c r="AJ31" i="2"/>
  <c r="BP47" i="5"/>
  <c r="BP13" i="5"/>
  <c r="AO31" i="2"/>
  <c r="BP45" i="5"/>
  <c r="BP53" i="5"/>
  <c r="AF26" i="2"/>
  <c r="AF18" i="2"/>
  <c r="AJ9" i="2"/>
  <c r="AJ26" i="2"/>
  <c r="AW19" i="2"/>
  <c r="AW17" i="2"/>
  <c r="AW27" i="2"/>
  <c r="AW2" i="2"/>
  <c r="AW13" i="2"/>
  <c r="AW14" i="2"/>
  <c r="AH26" i="2"/>
  <c r="AF8" i="2"/>
  <c r="AP23" i="2"/>
  <c r="BP61" i="5"/>
  <c r="BP7" i="5"/>
  <c r="BP19" i="5"/>
  <c r="BP35" i="5"/>
  <c r="BP33" i="5"/>
  <c r="BP29" i="5"/>
  <c r="AO2" i="2"/>
  <c r="BP15" i="5"/>
  <c r="BP59" i="5"/>
  <c r="AP31" i="2"/>
  <c r="BP57" i="5"/>
  <c r="AH18" i="2"/>
  <c r="AF7" i="2"/>
  <c r="AJ6" i="2"/>
  <c r="AK6" i="2" s="1"/>
  <c r="BP21" i="5"/>
  <c r="E33" i="2"/>
  <c r="CY2" i="2"/>
  <c r="CZ5" i="2" s="1"/>
  <c r="AO6" i="2"/>
  <c r="AH31" i="2"/>
  <c r="AD21" i="2"/>
  <c r="BP21" i="2" s="1"/>
  <c r="AJ30" i="2"/>
  <c r="AH5" i="2"/>
  <c r="AP5" i="2"/>
  <c r="AH3" i="2"/>
  <c r="AP9" i="2"/>
  <c r="AJ21" i="2"/>
  <c r="AK21" i="2" s="1"/>
  <c r="DA5" i="2"/>
  <c r="DA6" i="2"/>
  <c r="AF16" i="2"/>
  <c r="AF30" i="2"/>
  <c r="CY3" i="2"/>
  <c r="DA3" i="2" s="1"/>
  <c r="AP2" i="2"/>
  <c r="AJ11" i="2"/>
  <c r="AF20" i="2"/>
  <c r="AJ29" i="2"/>
  <c r="AK29" i="2" s="1"/>
  <c r="AF21" i="2"/>
  <c r="AO8" i="2"/>
  <c r="AO11" i="2"/>
  <c r="AH11" i="2"/>
  <c r="AP11" i="2"/>
  <c r="AO29" i="2"/>
  <c r="AH30" i="2"/>
  <c r="AP29" i="2"/>
  <c r="AJ8" i="2"/>
  <c r="AK8" i="2" s="1"/>
  <c r="BP27" i="5"/>
  <c r="BP3" i="5"/>
  <c r="BP11" i="5"/>
  <c r="BP25" i="5"/>
  <c r="AD11" i="2"/>
  <c r="BP11" i="2" s="1"/>
  <c r="AF28" i="2"/>
  <c r="AF3" i="2"/>
  <c r="AO9" i="2"/>
  <c r="AO23" i="2"/>
  <c r="AH23" i="2"/>
  <c r="AW23" i="2" s="1"/>
  <c r="CS8" i="2"/>
  <c r="CS7" i="2"/>
  <c r="AF29" i="2"/>
  <c r="AJ7" i="2"/>
  <c r="AJ18" i="2"/>
  <c r="BP5" i="5"/>
  <c r="BP17" i="5"/>
  <c r="BP37" i="5"/>
  <c r="BP9" i="5"/>
  <c r="AH20" i="2"/>
  <c r="BP55" i="5"/>
  <c r="BP23" i="5"/>
  <c r="BP63" i="5"/>
  <c r="BP51" i="5"/>
  <c r="BP65" i="5"/>
  <c r="BP31" i="5"/>
  <c r="BP41" i="5"/>
  <c r="AO3" i="2"/>
  <c r="BP43" i="5"/>
  <c r="BP49" i="5"/>
  <c r="AH9" i="2"/>
  <c r="BP39" i="5"/>
  <c r="AP8" i="2"/>
  <c r="E22" i="2"/>
  <c r="BK4" i="2"/>
  <c r="BK22" i="2"/>
  <c r="BK24" i="2"/>
  <c r="BK10" i="2"/>
  <c r="BK3" i="2"/>
  <c r="BK13" i="2"/>
  <c r="BK8" i="2"/>
  <c r="BK18" i="2"/>
  <c r="BK21" i="2"/>
  <c r="BK32" i="2"/>
  <c r="BK16" i="2"/>
  <c r="BK31" i="2"/>
  <c r="BK33" i="2"/>
  <c r="BK9" i="2"/>
  <c r="BK28" i="2"/>
  <c r="BK2" i="2"/>
  <c r="BK12" i="2"/>
  <c r="BK20" i="2"/>
  <c r="BK25" i="2"/>
  <c r="BK30" i="2"/>
  <c r="BK17" i="2"/>
  <c r="BK6" i="2"/>
  <c r="BK11" i="2"/>
  <c r="BK29" i="2"/>
  <c r="BK15" i="2"/>
  <c r="BK26" i="2"/>
  <c r="BK27" i="2"/>
  <c r="K7" i="2"/>
  <c r="E7" i="2"/>
  <c r="BI19" i="2"/>
  <c r="E19" i="2"/>
  <c r="K23" i="2"/>
  <c r="E23" i="2"/>
  <c r="K5" i="2"/>
  <c r="E5" i="2"/>
  <c r="BJ5" i="2"/>
  <c r="AD23" i="2"/>
  <c r="BP23" i="2" s="1"/>
  <c r="BI7" i="2"/>
  <c r="BJ7" i="2"/>
  <c r="AD33" i="2"/>
  <c r="BP33" i="2" s="1"/>
  <c r="AD29" i="2"/>
  <c r="BP29" i="2" s="1"/>
  <c r="AF33" i="2"/>
  <c r="AD17" i="2"/>
  <c r="BP17" i="2" s="1"/>
  <c r="AD26" i="2"/>
  <c r="BP26" i="2" s="1"/>
  <c r="AD25" i="2"/>
  <c r="BP25" i="2" s="1"/>
  <c r="AO20" i="2"/>
  <c r="AD5" i="2"/>
  <c r="BP5" i="2" s="1"/>
  <c r="AD22" i="2"/>
  <c r="BP22" i="2" s="1"/>
  <c r="AD16" i="2"/>
  <c r="BP16" i="2" s="1"/>
  <c r="AH33" i="2"/>
  <c r="AD10" i="2"/>
  <c r="BP10" i="2" s="1"/>
  <c r="AD19" i="2"/>
  <c r="BP19" i="2" s="1"/>
  <c r="AD15" i="2"/>
  <c r="BP15" i="2" s="1"/>
  <c r="AD4" i="2"/>
  <c r="BP4" i="2" s="1"/>
  <c r="AD9" i="2"/>
  <c r="BP9" i="2" s="1"/>
  <c r="AD7" i="2"/>
  <c r="BP7" i="2" s="1"/>
  <c r="AD27" i="2"/>
  <c r="BP27" i="2" s="1"/>
  <c r="AD2" i="2"/>
  <c r="BP2" i="2" s="1"/>
  <c r="AD18" i="2"/>
  <c r="BP18" i="2" s="1"/>
  <c r="AD31" i="2"/>
  <c r="BP31" i="2" s="1"/>
  <c r="AD24" i="2"/>
  <c r="BP24" i="2" s="1"/>
  <c r="AD32" i="2"/>
  <c r="BP32" i="2" s="1"/>
  <c r="AD30" i="2"/>
  <c r="BP30" i="2" s="1"/>
  <c r="AD28" i="2"/>
  <c r="BP28" i="2" s="1"/>
  <c r="AD13" i="2"/>
  <c r="BP13" i="2" s="1"/>
  <c r="AD20" i="2"/>
  <c r="BP20" i="2" s="1"/>
  <c r="AD12" i="2"/>
  <c r="BP12" i="2" s="1"/>
  <c r="AJ33" i="2"/>
  <c r="AP12" i="2"/>
  <c r="AH12" i="2"/>
  <c r="AW12" i="2" s="1"/>
  <c r="AJ22" i="2"/>
  <c r="AO24" i="2"/>
  <c r="AJ24" i="2"/>
  <c r="AW24" i="2" s="1"/>
  <c r="AD8" i="2"/>
  <c r="BP8" i="2" s="1"/>
  <c r="AO28" i="2"/>
  <c r="AJ28" i="2"/>
  <c r="AK28" i="2" s="1"/>
  <c r="AJ3" i="2"/>
  <c r="AD3" i="2"/>
  <c r="BP3" i="2" s="1"/>
  <c r="AJ20" i="2"/>
  <c r="AD6" i="2"/>
  <c r="BP6" i="2" s="1"/>
  <c r="AH32" i="2"/>
  <c r="AK32" i="2" s="1"/>
  <c r="BI5" i="2"/>
  <c r="BY13" i="2"/>
  <c r="BY31" i="2"/>
  <c r="BJ23" i="2"/>
  <c r="BI23" i="2"/>
  <c r="BI30" i="2"/>
  <c r="K30" i="2"/>
  <c r="BI4" i="2"/>
  <c r="K4" i="2"/>
  <c r="BJ8" i="2"/>
  <c r="K8" i="2"/>
  <c r="BJ16" i="2"/>
  <c r="K16" i="2"/>
  <c r="BJ31" i="2"/>
  <c r="K31" i="2"/>
  <c r="BI6" i="2"/>
  <c r="K6" i="2"/>
  <c r="BI32" i="2"/>
  <c r="K32" i="2"/>
  <c r="BI10" i="2"/>
  <c r="K10" i="2"/>
  <c r="BI13" i="2"/>
  <c r="K13" i="2"/>
  <c r="BJ13" i="2"/>
  <c r="BI29" i="2"/>
  <c r="K29" i="2"/>
  <c r="BJ25" i="2"/>
  <c r="K25" i="2"/>
  <c r="BI18" i="2"/>
  <c r="K18" i="2"/>
  <c r="BJ21" i="2"/>
  <c r="K21" i="2"/>
  <c r="BI26" i="2"/>
  <c r="K26" i="2"/>
  <c r="BJ11" i="2"/>
  <c r="K11" i="2"/>
  <c r="BJ22" i="2"/>
  <c r="K22" i="2"/>
  <c r="BJ27" i="2"/>
  <c r="K27" i="2"/>
  <c r="BJ19" i="2"/>
  <c r="K19" i="2"/>
  <c r="BJ3" i="2"/>
  <c r="K3" i="2"/>
  <c r="BI9" i="2"/>
  <c r="K9" i="2"/>
  <c r="BJ24" i="2"/>
  <c r="K24" i="2"/>
  <c r="BJ20" i="2"/>
  <c r="K20" i="2"/>
  <c r="BJ12" i="2"/>
  <c r="K12" i="2"/>
  <c r="BI17" i="2"/>
  <c r="K17" i="2"/>
  <c r="BJ33" i="2"/>
  <c r="K33" i="2"/>
  <c r="BJ28" i="2"/>
  <c r="K28" i="2"/>
  <c r="BI15" i="2"/>
  <c r="K15" i="2"/>
  <c r="BJ2" i="2"/>
  <c r="K2" i="2"/>
  <c r="BI2" i="2"/>
  <c r="BY29" i="2"/>
  <c r="BY27" i="2"/>
  <c r="BY20" i="2"/>
  <c r="BI27" i="2"/>
  <c r="BY24" i="2"/>
  <c r="AP18" i="2"/>
  <c r="BY17" i="2"/>
  <c r="BY32" i="2"/>
  <c r="BY18" i="2"/>
  <c r="AP15" i="2"/>
  <c r="AO15" i="2"/>
  <c r="BY25" i="2"/>
  <c r="AP3" i="2"/>
  <c r="BY16" i="2"/>
  <c r="BJ15" i="2"/>
  <c r="AP7" i="2"/>
  <c r="BY8" i="2"/>
  <c r="AO26" i="2"/>
  <c r="AO7" i="2"/>
  <c r="BY30" i="2"/>
  <c r="AP24" i="2"/>
  <c r="BY7" i="2"/>
  <c r="BY26" i="2"/>
  <c r="BY22" i="2"/>
  <c r="AP28" i="2"/>
  <c r="BY28" i="2"/>
  <c r="BY9" i="2"/>
  <c r="BY23" i="2"/>
  <c r="BY19" i="2"/>
  <c r="BY10" i="2"/>
  <c r="BY15" i="2"/>
  <c r="BY5" i="2"/>
  <c r="BY12" i="2"/>
  <c r="BI22" i="2"/>
  <c r="BY11" i="2"/>
  <c r="AO30" i="2"/>
  <c r="AP22" i="2"/>
  <c r="AO33" i="2"/>
  <c r="AP21" i="2"/>
  <c r="AO21" i="2"/>
  <c r="AO13" i="2"/>
  <c r="BY3" i="2"/>
  <c r="AP30" i="2"/>
  <c r="BY6" i="2"/>
  <c r="AP26" i="2"/>
  <c r="AO32" i="2"/>
  <c r="AO18" i="2"/>
  <c r="AO12" i="2"/>
  <c r="AP16" i="2"/>
  <c r="AP14" i="2"/>
  <c r="AP20" i="2"/>
  <c r="AP13" i="2"/>
  <c r="AP33" i="2"/>
  <c r="BJ10" i="2"/>
  <c r="BJ6" i="2"/>
  <c r="BY2" i="2"/>
  <c r="BJ9" i="2"/>
  <c r="AO16" i="2"/>
  <c r="BY4" i="2"/>
  <c r="BY21" i="2"/>
  <c r="BI20" i="2"/>
  <c r="BI11" i="2"/>
  <c r="BI33" i="2"/>
  <c r="BI21" i="2"/>
  <c r="BJ4" i="2"/>
  <c r="BJ30" i="2"/>
  <c r="BY33" i="2"/>
  <c r="BI24" i="2"/>
  <c r="AO14" i="2"/>
  <c r="D2" i="9" s="1"/>
  <c r="U7" i="9" s="1"/>
  <c r="BI31" i="2"/>
  <c r="BJ26" i="2"/>
  <c r="BJ32" i="2"/>
  <c r="BI28" i="2"/>
  <c r="BI25" i="2"/>
  <c r="BI16" i="2"/>
  <c r="BJ29" i="2"/>
  <c r="BJ17" i="2"/>
  <c r="BJ18" i="2"/>
  <c r="BI3" i="2"/>
  <c r="BI8" i="2"/>
  <c r="BI12" i="2"/>
  <c r="BP61" i="4"/>
  <c r="BQ61" i="4" s="1"/>
  <c r="BD6" i="1"/>
  <c r="BP7" i="4"/>
  <c r="BQ7" i="4" s="1"/>
  <c r="BP37" i="4"/>
  <c r="BQ37" i="4" s="1"/>
  <c r="BP43" i="4"/>
  <c r="BQ43" i="4" s="1"/>
  <c r="BP65" i="4"/>
  <c r="BQ65" i="4" s="1"/>
  <c r="BP15" i="4"/>
  <c r="BQ15" i="4" s="1"/>
  <c r="BP39" i="4"/>
  <c r="BQ39" i="4" s="1"/>
  <c r="BP53" i="4"/>
  <c r="BQ53" i="4" s="1"/>
  <c r="BP47" i="4"/>
  <c r="BQ47" i="4" s="1"/>
  <c r="BP19" i="4"/>
  <c r="BQ19" i="4" s="1"/>
  <c r="BP35" i="4"/>
  <c r="BQ35" i="4" s="1"/>
  <c r="BP45" i="4"/>
  <c r="BQ45" i="4" s="1"/>
  <c r="BP57" i="4"/>
  <c r="BQ57" i="4" s="1"/>
  <c r="BP33" i="4"/>
  <c r="BQ33" i="4" s="1"/>
  <c r="BP17" i="4"/>
  <c r="BQ17" i="4" s="1"/>
  <c r="BP27" i="4"/>
  <c r="BQ27" i="4" s="1"/>
  <c r="BP59" i="4"/>
  <c r="BQ59" i="4" s="1"/>
  <c r="BP29" i="4"/>
  <c r="BQ29" i="4" s="1"/>
  <c r="BP41" i="4"/>
  <c r="BQ41" i="4" s="1"/>
  <c r="BP23" i="4"/>
  <c r="BQ23" i="4" s="1"/>
  <c r="BP5" i="4"/>
  <c r="BQ5" i="4" s="1"/>
  <c r="BP21" i="4"/>
  <c r="BQ21" i="4" s="1"/>
  <c r="BP25" i="4"/>
  <c r="BQ25" i="4" s="1"/>
  <c r="BP13" i="4"/>
  <c r="BQ13" i="4" s="1"/>
  <c r="BP31" i="4"/>
  <c r="BQ31" i="4" s="1"/>
  <c r="BP11" i="4"/>
  <c r="BQ11" i="4" s="1"/>
  <c r="BP49" i="4"/>
  <c r="BQ49" i="4" s="1"/>
  <c r="BP63" i="4"/>
  <c r="BQ63" i="4" s="1"/>
  <c r="BP55" i="4"/>
  <c r="BQ55" i="4" s="1"/>
  <c r="BP51" i="4"/>
  <c r="BQ51" i="4" s="1"/>
  <c r="BP9" i="4"/>
  <c r="BQ9" i="4" s="1"/>
  <c r="BP3" i="4"/>
  <c r="BQ3" i="4" s="1"/>
  <c r="BF14" i="2"/>
  <c r="BA14" i="2"/>
  <c r="BE14" i="2"/>
  <c r="P14" i="2"/>
  <c r="P36" i="2" s="1"/>
  <c r="J14" i="2"/>
  <c r="BG14" i="2"/>
  <c r="X14" i="2"/>
  <c r="X36" i="2" s="1"/>
  <c r="BW14" i="2"/>
  <c r="BV14" i="2"/>
  <c r="BX14" i="2"/>
  <c r="BX36" i="2" s="1"/>
  <c r="AM27" i="2" l="1"/>
  <c r="AN27" i="2"/>
  <c r="AM17" i="2"/>
  <c r="AN17" i="2"/>
  <c r="AM19" i="2"/>
  <c r="AN19" i="2"/>
  <c r="AM13" i="2"/>
  <c r="AN13" i="2"/>
  <c r="AM2" i="2"/>
  <c r="AN2" i="2"/>
  <c r="AM14" i="2"/>
  <c r="AN14" i="2"/>
  <c r="AB7" i="2"/>
  <c r="AB23" i="2"/>
  <c r="AB31" i="2"/>
  <c r="AB30" i="2"/>
  <c r="AB11" i="2"/>
  <c r="AB6" i="2"/>
  <c r="AB19" i="2"/>
  <c r="AB33" i="2"/>
  <c r="AB13" i="2"/>
  <c r="AB16" i="2"/>
  <c r="AB15" i="2"/>
  <c r="AB24" i="2"/>
  <c r="AB8" i="2"/>
  <c r="AB10" i="2"/>
  <c r="AB9" i="2"/>
  <c r="AB12" i="2"/>
  <c r="AB26" i="2"/>
  <c r="AB18" i="2"/>
  <c r="AB22" i="2"/>
  <c r="AB29" i="2"/>
  <c r="AB3" i="2"/>
  <c r="AB4" i="2"/>
  <c r="AB17" i="2"/>
  <c r="AB21" i="2"/>
  <c r="AB2" i="2"/>
  <c r="AB27" i="2"/>
  <c r="AB25" i="2"/>
  <c r="AB5" i="2"/>
  <c r="AB28" i="2"/>
  <c r="AB20" i="2"/>
  <c r="AB32" i="2"/>
  <c r="CW11" i="2"/>
  <c r="AL9" i="2"/>
  <c r="AL30" i="2"/>
  <c r="AL5" i="2"/>
  <c r="AL33" i="2"/>
  <c r="AL31" i="2"/>
  <c r="AL22" i="2"/>
  <c r="AL26" i="2"/>
  <c r="AL3" i="2"/>
  <c r="AL7" i="2"/>
  <c r="AL11" i="2"/>
  <c r="AL20" i="2"/>
  <c r="AL18" i="2"/>
  <c r="AL16" i="2"/>
  <c r="AL10" i="2"/>
  <c r="AL12" i="2"/>
  <c r="AL15" i="2"/>
  <c r="AL28" i="2"/>
  <c r="AL29" i="2"/>
  <c r="AL25" i="2"/>
  <c r="AL4" i="2"/>
  <c r="AL21" i="2"/>
  <c r="AL23" i="2"/>
  <c r="AL32" i="2"/>
  <c r="AL8" i="2"/>
  <c r="AL24" i="2"/>
  <c r="AL6" i="2"/>
  <c r="BO36" i="2"/>
  <c r="BN35" i="2"/>
  <c r="BO35" i="2"/>
  <c r="BR29" i="2"/>
  <c r="BS29" i="2" s="1"/>
  <c r="BR3" i="2"/>
  <c r="BS3" i="2" s="1"/>
  <c r="BR4" i="2"/>
  <c r="BS4" i="2" s="1"/>
  <c r="BR33" i="2"/>
  <c r="BS33" i="2" s="1"/>
  <c r="BR26" i="2"/>
  <c r="BS26" i="2" s="1"/>
  <c r="BN37" i="2"/>
  <c r="BR19" i="2"/>
  <c r="BS19" i="2" s="1"/>
  <c r="BR25" i="2"/>
  <c r="BS25" i="2" s="1"/>
  <c r="BR5" i="2"/>
  <c r="BS5" i="2" s="1"/>
  <c r="BR8" i="2"/>
  <c r="BS8" i="2" s="1"/>
  <c r="BR30" i="2"/>
  <c r="BS30" i="2" s="1"/>
  <c r="BN36" i="2"/>
  <c r="BR24" i="2"/>
  <c r="BS24" i="2" s="1"/>
  <c r="BR7" i="2"/>
  <c r="BS7" i="2" s="1"/>
  <c r="BR23" i="2"/>
  <c r="BS23" i="2" s="1"/>
  <c r="BR18" i="2"/>
  <c r="BS18" i="2" s="1"/>
  <c r="BR13" i="2"/>
  <c r="BS13" i="2" s="1"/>
  <c r="BR21" i="2"/>
  <c r="BS21" i="2" s="1"/>
  <c r="BR11" i="2"/>
  <c r="BS11" i="2" s="1"/>
  <c r="BR6" i="2"/>
  <c r="BS6" i="2" s="1"/>
  <c r="BR2" i="2"/>
  <c r="BR10" i="2"/>
  <c r="BS10" i="2" s="1"/>
  <c r="BO37" i="2"/>
  <c r="BR17" i="2"/>
  <c r="BS17" i="2" s="1"/>
  <c r="BR16" i="2"/>
  <c r="BS16" i="2" s="1"/>
  <c r="BR15" i="2"/>
  <c r="BS15" i="2" s="1"/>
  <c r="BR32" i="2"/>
  <c r="BS32" i="2" s="1"/>
  <c r="BR22" i="2"/>
  <c r="BS22" i="2" s="1"/>
  <c r="BR28" i="2"/>
  <c r="BS28" i="2" s="1"/>
  <c r="BR31" i="2"/>
  <c r="BS31" i="2" s="1"/>
  <c r="BR9" i="2"/>
  <c r="BS9" i="2" s="1"/>
  <c r="BR12" i="2"/>
  <c r="BS12" i="2" s="1"/>
  <c r="BR20" i="2"/>
  <c r="BS20" i="2" s="1"/>
  <c r="BR27" i="2"/>
  <c r="BS27" i="2" s="1"/>
  <c r="BL35" i="2"/>
  <c r="BL36" i="2"/>
  <c r="BL37" i="2"/>
  <c r="BM35" i="2"/>
  <c r="BM36" i="2"/>
  <c r="BM37" i="2"/>
  <c r="CK9" i="2"/>
  <c r="CL9" i="2" s="1"/>
  <c r="CK12" i="2"/>
  <c r="CL12" i="2" s="1"/>
  <c r="CK5" i="2"/>
  <c r="CL5" i="2" s="1"/>
  <c r="CK17" i="2"/>
  <c r="CL17" i="2" s="1"/>
  <c r="CK8" i="2"/>
  <c r="CL8" i="2" s="1"/>
  <c r="CK13" i="2"/>
  <c r="CL13" i="2" s="1"/>
  <c r="CK26" i="2"/>
  <c r="CL26" i="2" s="1"/>
  <c r="CK2" i="2"/>
  <c r="CL2" i="2" s="1"/>
  <c r="BV37" i="2"/>
  <c r="BZ14" i="2"/>
  <c r="BZ37" i="2" s="1"/>
  <c r="CK25" i="2"/>
  <c r="CL25" i="2" s="1"/>
  <c r="CK24" i="2"/>
  <c r="CL24" i="2" s="1"/>
  <c r="CK16" i="2"/>
  <c r="CL16" i="2" s="1"/>
  <c r="CK19" i="2"/>
  <c r="CL19" i="2" s="1"/>
  <c r="CK6" i="2"/>
  <c r="CL6" i="2" s="1"/>
  <c r="CK27" i="2"/>
  <c r="CL27" i="2" s="1"/>
  <c r="CK23" i="2"/>
  <c r="CL23" i="2" s="1"/>
  <c r="CK7" i="2"/>
  <c r="CL7" i="2" s="1"/>
  <c r="CK15" i="2"/>
  <c r="CL15" i="2" s="1"/>
  <c r="CK14" i="2"/>
  <c r="CL14" i="2" s="1"/>
  <c r="CK29" i="2"/>
  <c r="CL29" i="2" s="1"/>
  <c r="CK10" i="2"/>
  <c r="CL10" i="2" s="1"/>
  <c r="CK3" i="2"/>
  <c r="CL3" i="2" s="1"/>
  <c r="CK21" i="2"/>
  <c r="CL21" i="2" s="1"/>
  <c r="CK11" i="2"/>
  <c r="CL11" i="2" s="1"/>
  <c r="CK20" i="2"/>
  <c r="CL20" i="2" s="1"/>
  <c r="CK28" i="2"/>
  <c r="CL28" i="2" s="1"/>
  <c r="CK33" i="2"/>
  <c r="CL33" i="2" s="1"/>
  <c r="CK18" i="2"/>
  <c r="CL18" i="2" s="1"/>
  <c r="CK22" i="2"/>
  <c r="CL22" i="2" s="1"/>
  <c r="CK31" i="2"/>
  <c r="CL31" i="2" s="1"/>
  <c r="CK4" i="2"/>
  <c r="CL4" i="2" s="1"/>
  <c r="CK32" i="2"/>
  <c r="CL32" i="2" s="1"/>
  <c r="CK30" i="2"/>
  <c r="CL30" i="2" s="1"/>
  <c r="CS2" i="2"/>
  <c r="CS4" i="2" s="1"/>
  <c r="BQ25" i="5"/>
  <c r="BR25" i="5" s="1"/>
  <c r="BQ13" i="5"/>
  <c r="BR13" i="5" s="1"/>
  <c r="BQ9" i="5"/>
  <c r="BR9" i="5" s="1"/>
  <c r="BQ11" i="5"/>
  <c r="BR11" i="5" s="1"/>
  <c r="BQ21" i="5"/>
  <c r="BR21" i="5" s="1"/>
  <c r="BQ47" i="5"/>
  <c r="BR47" i="5" s="1"/>
  <c r="BQ37" i="5"/>
  <c r="BR37" i="5" s="1"/>
  <c r="BQ3" i="5"/>
  <c r="BR3" i="5" s="1"/>
  <c r="BQ7" i="5"/>
  <c r="BR7" i="5" s="1"/>
  <c r="BQ55" i="5"/>
  <c r="BR55" i="5" s="1"/>
  <c r="BQ27" i="5"/>
  <c r="BR27" i="5" s="1"/>
  <c r="BQ61" i="5"/>
  <c r="BR61" i="5" s="1"/>
  <c r="BQ17" i="5"/>
  <c r="BR17" i="5" s="1"/>
  <c r="BQ39" i="5"/>
  <c r="BR39" i="5" s="1"/>
  <c r="BQ5" i="5"/>
  <c r="BR5" i="5" s="1"/>
  <c r="BQ23" i="5"/>
  <c r="BR23" i="5" s="1"/>
  <c r="BQ49" i="5"/>
  <c r="BR49" i="5" s="1"/>
  <c r="BQ15" i="5"/>
  <c r="BR15" i="5" s="1"/>
  <c r="BQ41" i="5"/>
  <c r="BR41" i="5" s="1"/>
  <c r="BQ31" i="5"/>
  <c r="BR31" i="5" s="1"/>
  <c r="BQ29" i="5"/>
  <c r="BR29" i="5" s="1"/>
  <c r="BQ45" i="5"/>
  <c r="BR45" i="5" s="1"/>
  <c r="BQ65" i="5"/>
  <c r="BR65" i="5" s="1"/>
  <c r="BQ33" i="5"/>
  <c r="BR33" i="5" s="1"/>
  <c r="BQ57" i="5"/>
  <c r="BR57" i="5" s="1"/>
  <c r="BQ43" i="5"/>
  <c r="BR43" i="5" s="1"/>
  <c r="BQ59" i="5"/>
  <c r="BR59" i="5" s="1"/>
  <c r="BQ51" i="5"/>
  <c r="BR51" i="5" s="1"/>
  <c r="BQ35" i="5"/>
  <c r="BR35" i="5" s="1"/>
  <c r="BQ63" i="5"/>
  <c r="BR63" i="5" s="1"/>
  <c r="BQ19" i="5"/>
  <c r="BR19" i="5" s="1"/>
  <c r="BQ53" i="5"/>
  <c r="BR53" i="5" s="1"/>
  <c r="E21" i="9"/>
  <c r="D21" i="9"/>
  <c r="U35" i="9" s="1"/>
  <c r="E30" i="9"/>
  <c r="D30" i="9"/>
  <c r="U6" i="9" s="1"/>
  <c r="D31" i="9"/>
  <c r="U2" i="9" s="1"/>
  <c r="E31" i="9"/>
  <c r="E6" i="9"/>
  <c r="D6" i="9"/>
  <c r="U27" i="9" s="1"/>
  <c r="E29" i="9"/>
  <c r="D29" i="9"/>
  <c r="U17" i="9" s="1"/>
  <c r="E8" i="9"/>
  <c r="D8" i="9"/>
  <c r="U19" i="9" s="1"/>
  <c r="E20" i="9"/>
  <c r="D20" i="9"/>
  <c r="U25" i="9" s="1"/>
  <c r="E13" i="9"/>
  <c r="D13" i="9"/>
  <c r="U34" i="9" s="1"/>
  <c r="E19" i="9"/>
  <c r="D19" i="9"/>
  <c r="U26" i="9" s="1"/>
  <c r="E16" i="9"/>
  <c r="D16" i="9"/>
  <c r="U36" i="9" s="1"/>
  <c r="E33" i="9"/>
  <c r="D33" i="9"/>
  <c r="U22" i="9" s="1"/>
  <c r="E11" i="9"/>
  <c r="D11" i="9"/>
  <c r="U37" i="9" s="1"/>
  <c r="E24" i="9"/>
  <c r="D24" i="9"/>
  <c r="U8" i="9" s="1"/>
  <c r="E7" i="9"/>
  <c r="D7" i="9"/>
  <c r="U5" i="9" s="1"/>
  <c r="E4" i="9"/>
  <c r="D4" i="9"/>
  <c r="U38" i="9" s="1"/>
  <c r="E32" i="9"/>
  <c r="D32" i="9"/>
  <c r="U12" i="9" s="1"/>
  <c r="E12" i="9"/>
  <c r="D12" i="9"/>
  <c r="U4" i="9" s="1"/>
  <c r="E9" i="9"/>
  <c r="D9" i="9"/>
  <c r="U14" i="9" s="1"/>
  <c r="E17" i="9"/>
  <c r="D17" i="9"/>
  <c r="U24" i="9" s="1"/>
  <c r="E27" i="9"/>
  <c r="D27" i="9"/>
  <c r="U33" i="9" s="1"/>
  <c r="E14" i="9"/>
  <c r="D14" i="9"/>
  <c r="U3" i="9" s="1"/>
  <c r="E18" i="9"/>
  <c r="D18" i="9"/>
  <c r="U18" i="9" s="1"/>
  <c r="D10" i="9"/>
  <c r="U13" i="9" s="1"/>
  <c r="E10" i="9"/>
  <c r="E28" i="9"/>
  <c r="D28" i="9"/>
  <c r="U32" i="9" s="1"/>
  <c r="E3" i="9"/>
  <c r="D3" i="9"/>
  <c r="U39" i="9" s="1"/>
  <c r="D26" i="9"/>
  <c r="U15" i="9" s="1"/>
  <c r="E26" i="9"/>
  <c r="E25" i="9"/>
  <c r="D25" i="9"/>
  <c r="U9" i="9" s="1"/>
  <c r="D15" i="9"/>
  <c r="U16" i="9" s="1"/>
  <c r="E15" i="9"/>
  <c r="E22" i="9"/>
  <c r="D22" i="9"/>
  <c r="U29" i="9" s="1"/>
  <c r="E5" i="9"/>
  <c r="D5" i="9"/>
  <c r="U23" i="9" s="1"/>
  <c r="E23" i="9"/>
  <c r="D23" i="9"/>
  <c r="U28" i="9" s="1"/>
  <c r="BQ33" i="8"/>
  <c r="BR33" i="8" s="1"/>
  <c r="BQ11" i="8"/>
  <c r="BR11" i="8" s="1"/>
  <c r="BQ53" i="8"/>
  <c r="BR53" i="8" s="1"/>
  <c r="BQ45" i="8"/>
  <c r="BR45" i="8" s="1"/>
  <c r="BQ7" i="8"/>
  <c r="BR7" i="8" s="1"/>
  <c r="BQ23" i="8"/>
  <c r="BR23" i="8" s="1"/>
  <c r="BQ55" i="8"/>
  <c r="BR55" i="8" s="1"/>
  <c r="BQ57" i="8"/>
  <c r="BR57" i="8" s="1"/>
  <c r="BQ41" i="8"/>
  <c r="BR41" i="8" s="1"/>
  <c r="BQ51" i="8"/>
  <c r="BR51" i="8" s="1"/>
  <c r="BQ39" i="8"/>
  <c r="BR39" i="8" s="1"/>
  <c r="BQ15" i="8"/>
  <c r="BR15" i="8" s="1"/>
  <c r="BQ19" i="8"/>
  <c r="BR19" i="8" s="1"/>
  <c r="BQ31" i="8"/>
  <c r="BR31" i="8" s="1"/>
  <c r="BQ29" i="8"/>
  <c r="BR29" i="8" s="1"/>
  <c r="BQ25" i="8"/>
  <c r="BR25" i="8" s="1"/>
  <c r="BQ59" i="8"/>
  <c r="BR59" i="8" s="1"/>
  <c r="BQ49" i="8"/>
  <c r="BR49" i="8" s="1"/>
  <c r="BQ63" i="8"/>
  <c r="BR63" i="8" s="1"/>
  <c r="BQ13" i="8"/>
  <c r="BR13" i="8" s="1"/>
  <c r="BQ3" i="8"/>
  <c r="BR3" i="8" s="1"/>
  <c r="BQ21" i="8"/>
  <c r="BR21" i="8" s="1"/>
  <c r="BQ37" i="8"/>
  <c r="BR37" i="8" s="1"/>
  <c r="BQ5" i="8"/>
  <c r="BR5" i="8" s="1"/>
  <c r="BQ65" i="8"/>
  <c r="BR65" i="8" s="1"/>
  <c r="BQ47" i="8"/>
  <c r="BR47" i="8" s="1"/>
  <c r="BQ17" i="8"/>
  <c r="BR17" i="8" s="1"/>
  <c r="BQ27" i="8"/>
  <c r="BR27" i="8" s="1"/>
  <c r="BQ61" i="8"/>
  <c r="BR61" i="8" s="1"/>
  <c r="BQ43" i="8"/>
  <c r="BR43" i="8" s="1"/>
  <c r="BQ9" i="8"/>
  <c r="BR9" i="8" s="1"/>
  <c r="AK11" i="2"/>
  <c r="AK9" i="2"/>
  <c r="AK31" i="2"/>
  <c r="AK22" i="2"/>
  <c r="AK30" i="2"/>
  <c r="AK3" i="2"/>
  <c r="AK18" i="2"/>
  <c r="AK7" i="2"/>
  <c r="AK20" i="2"/>
  <c r="AK5" i="2"/>
  <c r="AK26" i="2"/>
  <c r="AK33" i="2"/>
  <c r="AK23" i="2"/>
  <c r="AK24" i="2"/>
  <c r="AK12" i="2"/>
  <c r="BQ3" i="10"/>
  <c r="BQ67" i="10" s="1"/>
  <c r="BQ68" i="10" s="1"/>
  <c r="BP67" i="10"/>
  <c r="BP67" i="8"/>
  <c r="BX37" i="2"/>
  <c r="AH37" i="2"/>
  <c r="AH35" i="2"/>
  <c r="BE37" i="2"/>
  <c r="BE36" i="2"/>
  <c r="BE35" i="2"/>
  <c r="BA37" i="2"/>
  <c r="BA36" i="2"/>
  <c r="BA35" i="2"/>
  <c r="AO37" i="2"/>
  <c r="AO36" i="2"/>
  <c r="AO35" i="2"/>
  <c r="CS5" i="2"/>
  <c r="BF36" i="2"/>
  <c r="BF35" i="2"/>
  <c r="BF37" i="2"/>
  <c r="P37" i="2"/>
  <c r="AF37" i="2"/>
  <c r="AF36" i="2"/>
  <c r="AF35" i="2"/>
  <c r="J37" i="2"/>
  <c r="AJ37" i="2"/>
  <c r="AJ36" i="2"/>
  <c r="AJ35" i="2"/>
  <c r="J35" i="2"/>
  <c r="J36" i="2"/>
  <c r="BV35" i="2"/>
  <c r="BX35" i="2"/>
  <c r="BV36" i="2"/>
  <c r="AP35" i="2"/>
  <c r="AP37" i="2"/>
  <c r="AP36" i="2"/>
  <c r="BW35" i="2"/>
  <c r="BW36" i="2"/>
  <c r="X37" i="2"/>
  <c r="BW37" i="2"/>
  <c r="X35" i="2"/>
  <c r="BG35" i="2"/>
  <c r="BG37" i="2"/>
  <c r="BG36" i="2"/>
  <c r="P35" i="2"/>
  <c r="AH36" i="2"/>
  <c r="CS14" i="2"/>
  <c r="AR3" i="2"/>
  <c r="AV3" i="2" s="1"/>
  <c r="AR29" i="2"/>
  <c r="AV29" i="2" s="1"/>
  <c r="AQ4" i="2"/>
  <c r="AQ32" i="2"/>
  <c r="AR31" i="2"/>
  <c r="AV31" i="2" s="1"/>
  <c r="AQ10" i="2"/>
  <c r="AR19" i="2"/>
  <c r="AV19" i="2" s="1"/>
  <c r="AR30" i="2"/>
  <c r="AV30" i="2" s="1"/>
  <c r="AQ15" i="2"/>
  <c r="AQ28" i="2"/>
  <c r="AQ29" i="2"/>
  <c r="AR9" i="2"/>
  <c r="AV9" i="2" s="1"/>
  <c r="AQ20" i="2"/>
  <c r="AR4" i="2"/>
  <c r="AV4" i="2" s="1"/>
  <c r="AR26" i="2"/>
  <c r="AV26" i="2" s="1"/>
  <c r="AR15" i="2"/>
  <c r="AV15" i="2" s="1"/>
  <c r="AQ3" i="2"/>
  <c r="AR11" i="2"/>
  <c r="AV11" i="2" s="1"/>
  <c r="AR6" i="2"/>
  <c r="AQ16" i="2"/>
  <c r="AQ13" i="2"/>
  <c r="AR28" i="2"/>
  <c r="AV28" i="2" s="1"/>
  <c r="AR5" i="2"/>
  <c r="AV5" i="2" s="1"/>
  <c r="AQ2" i="2"/>
  <c r="AQ11" i="2"/>
  <c r="AQ17" i="2"/>
  <c r="AQ25" i="2"/>
  <c r="AQ23" i="2"/>
  <c r="AQ8" i="2"/>
  <c r="AQ24" i="2"/>
  <c r="AQ9" i="2"/>
  <c r="AQ5" i="2"/>
  <c r="AR27" i="2"/>
  <c r="AV27" i="2" s="1"/>
  <c r="AR33" i="2"/>
  <c r="AV33" i="2" s="1"/>
  <c r="AR22" i="2"/>
  <c r="AV22" i="2" s="1"/>
  <c r="AR24" i="2"/>
  <c r="AV24" i="2" s="1"/>
  <c r="AR12" i="2"/>
  <c r="AV12" i="2" s="1"/>
  <c r="AR32" i="2"/>
  <c r="AV32" i="2" s="1"/>
  <c r="AQ33" i="2"/>
  <c r="AQ30" i="2"/>
  <c r="AQ22" i="2"/>
  <c r="AR20" i="2"/>
  <c r="AV20" i="2" s="1"/>
  <c r="AQ31" i="2"/>
  <c r="AQ27" i="2"/>
  <c r="AR2" i="2"/>
  <c r="AV2" i="2" s="1"/>
  <c r="AR23" i="2"/>
  <c r="AV23" i="2" s="1"/>
  <c r="AR17" i="2"/>
  <c r="AV17" i="2" s="1"/>
  <c r="AQ21" i="2"/>
  <c r="AR21" i="2"/>
  <c r="AV21" i="2" s="1"/>
  <c r="AR18" i="2"/>
  <c r="AV18" i="2" s="1"/>
  <c r="AR13" i="2"/>
  <c r="AV13" i="2" s="1"/>
  <c r="AQ6" i="2"/>
  <c r="BQ6" i="2" s="1"/>
  <c r="AQ7" i="2"/>
  <c r="AQ26" i="2"/>
  <c r="AR16" i="2"/>
  <c r="AV16" i="2" s="1"/>
  <c r="AR25" i="2"/>
  <c r="AV25" i="2" s="1"/>
  <c r="AQ12" i="2"/>
  <c r="AR7" i="2"/>
  <c r="AV7" i="2" s="1"/>
  <c r="AQ18" i="2"/>
  <c r="AR8" i="2"/>
  <c r="AV8" i="2" s="1"/>
  <c r="AR10" i="2"/>
  <c r="AV10" i="2" s="1"/>
  <c r="AQ19" i="2"/>
  <c r="AW6" i="2"/>
  <c r="AR14" i="2"/>
  <c r="AW16" i="2"/>
  <c r="AW10" i="2"/>
  <c r="AW4" i="2"/>
  <c r="AW22" i="2"/>
  <c r="AW25" i="2"/>
  <c r="AW5" i="2"/>
  <c r="AW15" i="2"/>
  <c r="AT32" i="2"/>
  <c r="AS5" i="2"/>
  <c r="AW32" i="2"/>
  <c r="AW31" i="2"/>
  <c r="AW9" i="2"/>
  <c r="AW11" i="2"/>
  <c r="AW26" i="2"/>
  <c r="AW18" i="2"/>
  <c r="AW33" i="2"/>
  <c r="AW7" i="2"/>
  <c r="AW8" i="2"/>
  <c r="AW20" i="2"/>
  <c r="AW29" i="2"/>
  <c r="AW3" i="2"/>
  <c r="AW28" i="2"/>
  <c r="AW21" i="2"/>
  <c r="AW30" i="2"/>
  <c r="CR18" i="2"/>
  <c r="CZ6" i="2"/>
  <c r="CY4" i="2"/>
  <c r="DA4" i="2" s="1"/>
  <c r="AS23" i="2"/>
  <c r="BP67" i="5"/>
  <c r="AT7" i="2"/>
  <c r="AT5" i="2"/>
  <c r="BK14" i="2"/>
  <c r="BK36" i="2" s="1"/>
  <c r="AT23" i="2"/>
  <c r="K14" i="2"/>
  <c r="E14" i="2"/>
  <c r="E35" i="2" s="1"/>
  <c r="AT12" i="2"/>
  <c r="AD14" i="2"/>
  <c r="AS7" i="2"/>
  <c r="AQ14" i="2"/>
  <c r="AT21" i="2"/>
  <c r="AT16" i="2"/>
  <c r="AT30" i="2"/>
  <c r="AS31" i="2"/>
  <c r="AT31" i="2"/>
  <c r="AS2" i="2"/>
  <c r="AT2" i="2"/>
  <c r="AS20" i="2"/>
  <c r="AT20" i="2"/>
  <c r="AS22" i="2"/>
  <c r="AT22" i="2"/>
  <c r="AS29" i="2"/>
  <c r="AT29" i="2"/>
  <c r="AS17" i="2"/>
  <c r="AT17" i="2"/>
  <c r="AS19" i="2"/>
  <c r="AT19" i="2"/>
  <c r="AT18" i="2"/>
  <c r="AT13" i="2"/>
  <c r="AS6" i="2"/>
  <c r="AT6" i="2"/>
  <c r="AS8" i="2"/>
  <c r="AT8" i="2"/>
  <c r="AS10" i="2"/>
  <c r="AT10" i="2"/>
  <c r="AS4" i="2"/>
  <c r="AT4" i="2"/>
  <c r="AT33" i="2"/>
  <c r="AS3" i="2"/>
  <c r="AT3" i="2"/>
  <c r="AT15" i="2"/>
  <c r="AS24" i="2"/>
  <c r="AT24" i="2"/>
  <c r="AS11" i="2"/>
  <c r="AT11" i="2"/>
  <c r="AS28" i="2"/>
  <c r="AT28" i="2"/>
  <c r="AS9" i="2"/>
  <c r="AT9" i="2"/>
  <c r="AS27" i="2"/>
  <c r="AT27" i="2"/>
  <c r="AT26" i="2"/>
  <c r="AS25" i="2"/>
  <c r="AT25" i="2"/>
  <c r="AS16" i="2"/>
  <c r="AS30" i="2"/>
  <c r="AS15" i="2"/>
  <c r="AS18" i="2"/>
  <c r="AS13" i="2"/>
  <c r="AS32" i="2"/>
  <c r="AS12" i="2"/>
  <c r="AS26" i="2"/>
  <c r="AS33" i="2"/>
  <c r="AS21" i="2"/>
  <c r="BI14" i="2"/>
  <c r="BI35" i="2" s="1"/>
  <c r="BJ14" i="2"/>
  <c r="BJ36" i="2" s="1"/>
  <c r="BQ67" i="4"/>
  <c r="BQ68" i="4" s="1"/>
  <c r="BP67" i="4"/>
  <c r="BP68" i="4" s="1"/>
  <c r="BY14" i="2"/>
  <c r="BY37" i="2" s="1"/>
  <c r="BH14" i="2"/>
  <c r="AM4" i="2" l="1"/>
  <c r="AN4" i="2"/>
  <c r="AM33" i="2"/>
  <c r="AN33" i="2"/>
  <c r="AM29" i="2"/>
  <c r="AN29" i="2"/>
  <c r="AM30" i="2"/>
  <c r="AN30" i="2"/>
  <c r="AM28" i="2"/>
  <c r="AN28" i="2"/>
  <c r="AM9" i="2"/>
  <c r="AN9" i="2"/>
  <c r="AM15" i="2"/>
  <c r="AN15" i="2"/>
  <c r="AM5" i="2"/>
  <c r="AN5" i="2"/>
  <c r="AM12" i="2"/>
  <c r="AN12" i="2"/>
  <c r="AM10" i="2"/>
  <c r="AN10" i="2"/>
  <c r="AM16" i="2"/>
  <c r="AN16" i="2"/>
  <c r="AM18" i="2"/>
  <c r="AN18" i="2"/>
  <c r="AM20" i="2"/>
  <c r="AN20" i="2"/>
  <c r="AM25" i="2"/>
  <c r="AN25" i="2"/>
  <c r="AM6" i="2"/>
  <c r="AN6" i="2"/>
  <c r="AM11" i="2"/>
  <c r="AN11" i="2"/>
  <c r="AM24" i="2"/>
  <c r="AN24" i="2"/>
  <c r="AM7" i="2"/>
  <c r="AN7" i="2"/>
  <c r="AM8" i="2"/>
  <c r="AN8" i="2"/>
  <c r="AM3" i="2"/>
  <c r="AN3" i="2"/>
  <c r="AM32" i="2"/>
  <c r="AN32" i="2"/>
  <c r="AM26" i="2"/>
  <c r="AN26" i="2"/>
  <c r="AM23" i="2"/>
  <c r="AN23" i="2"/>
  <c r="AM22" i="2"/>
  <c r="AN22" i="2"/>
  <c r="AM21" i="2"/>
  <c r="AN21" i="2"/>
  <c r="AM31" i="2"/>
  <c r="AN31" i="2"/>
  <c r="BR14" i="2"/>
  <c r="BR37" i="2" s="1"/>
  <c r="AB14" i="2"/>
  <c r="CX7" i="2"/>
  <c r="CW9" i="2" s="1"/>
  <c r="CX10" i="2" s="1"/>
  <c r="BS2" i="2"/>
  <c r="BP14" i="2"/>
  <c r="BZ35" i="2"/>
  <c r="BZ36" i="2"/>
  <c r="CS11" i="2"/>
  <c r="CS15" i="2"/>
  <c r="CS13" i="2"/>
  <c r="AT14" i="2"/>
  <c r="AT36" i="2" s="1"/>
  <c r="BQ67" i="5"/>
  <c r="BR67" i="5" s="1"/>
  <c r="U44" i="9"/>
  <c r="U45" i="9"/>
  <c r="U42" i="9" a="1"/>
  <c r="U42" i="9" s="1"/>
  <c r="U41" i="9"/>
  <c r="BQ67" i="8"/>
  <c r="BQ68" i="8" s="1"/>
  <c r="BP68" i="8"/>
  <c r="BP68" i="10"/>
  <c r="BQ14" i="2"/>
  <c r="AU21" i="2"/>
  <c r="BQ21" i="2"/>
  <c r="AU5" i="2"/>
  <c r="BQ5" i="2"/>
  <c r="AU19" i="2"/>
  <c r="BQ19" i="2"/>
  <c r="AU24" i="2"/>
  <c r="BQ24" i="2"/>
  <c r="AU27" i="2"/>
  <c r="BQ27" i="2"/>
  <c r="AU23" i="2"/>
  <c r="BQ23" i="2"/>
  <c r="AU18" i="2"/>
  <c r="BQ18" i="2"/>
  <c r="AU31" i="2"/>
  <c r="BQ31" i="2"/>
  <c r="AU25" i="2"/>
  <c r="BQ25" i="2"/>
  <c r="AU29" i="2"/>
  <c r="BQ29" i="2"/>
  <c r="AU17" i="2"/>
  <c r="BQ17" i="2"/>
  <c r="AU28" i="2"/>
  <c r="BQ28" i="2"/>
  <c r="AU12" i="2"/>
  <c r="BQ12" i="2"/>
  <c r="AU22" i="2"/>
  <c r="BQ22" i="2"/>
  <c r="AU11" i="2"/>
  <c r="BQ11" i="2"/>
  <c r="AU15" i="2"/>
  <c r="BQ15" i="2"/>
  <c r="AU30" i="2"/>
  <c r="BQ30" i="2"/>
  <c r="AU2" i="2"/>
  <c r="BQ2" i="2"/>
  <c r="AU33" i="2"/>
  <c r="BQ33" i="2"/>
  <c r="AU20" i="2"/>
  <c r="BQ20" i="2"/>
  <c r="AU26" i="2"/>
  <c r="BQ26" i="2"/>
  <c r="AU10" i="2"/>
  <c r="BQ10" i="2"/>
  <c r="AU7" i="2"/>
  <c r="BQ7" i="2"/>
  <c r="AU13" i="2"/>
  <c r="BQ13" i="2"/>
  <c r="AU16" i="2"/>
  <c r="BQ16" i="2"/>
  <c r="AU32" i="2"/>
  <c r="BQ32" i="2"/>
  <c r="AU8" i="2"/>
  <c r="BQ8" i="2"/>
  <c r="AU4" i="2"/>
  <c r="BQ4" i="2"/>
  <c r="AU9" i="2"/>
  <c r="BQ9" i="2"/>
  <c r="AU3" i="2"/>
  <c r="BQ3" i="2"/>
  <c r="AD37" i="2"/>
  <c r="BY35" i="2"/>
  <c r="K37" i="2"/>
  <c r="AD35" i="2"/>
  <c r="BJ37" i="2"/>
  <c r="BJ35" i="2"/>
  <c r="BI36" i="2"/>
  <c r="BI37" i="2"/>
  <c r="BY36" i="2"/>
  <c r="K36" i="2"/>
  <c r="BH35" i="2"/>
  <c r="BH37" i="2"/>
  <c r="BH36" i="2"/>
  <c r="BK37" i="2"/>
  <c r="E36" i="2"/>
  <c r="AD36" i="2"/>
  <c r="BK35" i="2"/>
  <c r="E37" i="2"/>
  <c r="AV6" i="2"/>
  <c r="AR35" i="2"/>
  <c r="AR37" i="2"/>
  <c r="AR36" i="2"/>
  <c r="AU6" i="2"/>
  <c r="AQ35" i="2"/>
  <c r="AQ37" i="2"/>
  <c r="AQ36" i="2"/>
  <c r="K35" i="2"/>
  <c r="AV14" i="2"/>
  <c r="AU14" i="2"/>
  <c r="DA7" i="2"/>
  <c r="DB4" i="2" s="1"/>
  <c r="AS14" i="2"/>
  <c r="AS37" i="2" s="1"/>
  <c r="BS14" i="2" l="1"/>
  <c r="BS36" i="2" s="1"/>
  <c r="BR36" i="2"/>
  <c r="BR35" i="2"/>
  <c r="CZ7" i="2"/>
  <c r="CZ8" i="2" s="1"/>
  <c r="BQ37" i="2"/>
  <c r="BQ36" i="2"/>
  <c r="BQ35" i="2"/>
  <c r="BP35" i="2"/>
  <c r="BP36" i="2"/>
  <c r="BP37" i="2"/>
  <c r="AT37" i="2"/>
  <c r="AT35" i="2"/>
  <c r="AS35" i="2"/>
  <c r="AS36" i="2"/>
  <c r="AV37" i="2"/>
  <c r="AV36" i="2"/>
  <c r="AV35" i="2"/>
  <c r="AU36" i="2"/>
  <c r="AU35" i="2"/>
  <c r="AU37" i="2"/>
  <c r="DB3" i="2"/>
  <c r="DB6" i="2"/>
  <c r="DB5" i="2"/>
  <c r="BS37" i="2" l="1"/>
  <c r="BS35" i="2"/>
  <c r="DA8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<sst xmlns="http://schemas.openxmlformats.org/spreadsheetml/2006/main" count="5361" uniqueCount="751">
  <si>
    <t>GameDate</t>
  </si>
  <si>
    <t>HomeTeam</t>
  </si>
  <si>
    <t>AwayTeam</t>
  </si>
  <si>
    <t>PredictedWinner</t>
  </si>
  <si>
    <t>ActualWinner</t>
  </si>
  <si>
    <t>ActualHomeScore</t>
  </si>
  <si>
    <t>ActualAwayScore</t>
  </si>
  <si>
    <t>PredictedHomeScore</t>
  </si>
  <si>
    <t>PredictedAwayScore</t>
  </si>
  <si>
    <t>PredictedResult</t>
  </si>
  <si>
    <t>ActualResult</t>
  </si>
  <si>
    <t>SEA</t>
  </si>
  <si>
    <t>STL</t>
  </si>
  <si>
    <t>FLA</t>
  </si>
  <si>
    <t>UTA</t>
  </si>
  <si>
    <t>BOS</t>
  </si>
  <si>
    <t>CHI</t>
  </si>
  <si>
    <t>TOR</t>
  </si>
  <si>
    <t>MTL</t>
  </si>
  <si>
    <t>NYR</t>
  </si>
  <si>
    <t>PIT</t>
  </si>
  <si>
    <t>WPG</t>
  </si>
  <si>
    <t>EDM</t>
  </si>
  <si>
    <t>CGY</t>
  </si>
  <si>
    <t>VAN</t>
  </si>
  <si>
    <t>COL</t>
  </si>
  <si>
    <t>VGK</t>
  </si>
  <si>
    <t>LAK</t>
  </si>
  <si>
    <t>BUF</t>
  </si>
  <si>
    <t>OTT</t>
  </si>
  <si>
    <t>DET</t>
  </si>
  <si>
    <t>NJD</t>
  </si>
  <si>
    <t>NYI</t>
  </si>
  <si>
    <t>DAL</t>
  </si>
  <si>
    <t>NSH</t>
  </si>
  <si>
    <t>CBJ</t>
  </si>
  <si>
    <t>MIN</t>
  </si>
  <si>
    <t>SJS</t>
  </si>
  <si>
    <t>GameID</t>
  </si>
  <si>
    <t>Teams</t>
  </si>
  <si>
    <t>TBL</t>
  </si>
  <si>
    <t>CAR</t>
  </si>
  <si>
    <t>PHI</t>
  </si>
  <si>
    <t>WSH</t>
  </si>
  <si>
    <t>ANA</t>
  </si>
  <si>
    <t>TimesPredictedWinner</t>
  </si>
  <si>
    <t>TimesPredictedLoserAway</t>
  </si>
  <si>
    <t>TimesPredictedLoserHome</t>
  </si>
  <si>
    <t>TimesPredictedLoser</t>
  </si>
  <si>
    <t>TimesPredictionHomeCorrect</t>
  </si>
  <si>
    <t>TimesPredictedWinnerAway</t>
  </si>
  <si>
    <t>TimesPredictedWinnerHome</t>
  </si>
  <si>
    <t>CorrectAwayScorePrediction</t>
  </si>
  <si>
    <t>CorrectHomeScorePrediction</t>
  </si>
  <si>
    <t>CorrectWinnerPrediction</t>
  </si>
  <si>
    <t>GP_A</t>
  </si>
  <si>
    <t>GP_H</t>
  </si>
  <si>
    <t>GP</t>
  </si>
  <si>
    <t>W_A</t>
  </si>
  <si>
    <t>L_A</t>
  </si>
  <si>
    <t>W_H</t>
  </si>
  <si>
    <t>L_H</t>
  </si>
  <si>
    <t>GF_A</t>
  </si>
  <si>
    <t>GA_A</t>
  </si>
  <si>
    <t>GD_A</t>
  </si>
  <si>
    <t>GF_H</t>
  </si>
  <si>
    <t>GD_H</t>
  </si>
  <si>
    <t>GF</t>
  </si>
  <si>
    <t>GA</t>
  </si>
  <si>
    <t>GD</t>
  </si>
  <si>
    <t>GA_H</t>
  </si>
  <si>
    <t>PREDICTIONS</t>
  </si>
  <si>
    <t>ACTUAL</t>
  </si>
  <si>
    <t>H</t>
  </si>
  <si>
    <t>A</t>
  </si>
  <si>
    <t>HOME &gt;</t>
  </si>
  <si>
    <t>AWAY V</t>
  </si>
  <si>
    <t>GameIsOver</t>
  </si>
  <si>
    <t>GR</t>
  </si>
  <si>
    <t>Games Correct</t>
  </si>
  <si>
    <t>Games Played</t>
  </si>
  <si>
    <t>Games Incorrect</t>
  </si>
  <si>
    <t>Success Rate</t>
  </si>
  <si>
    <t>WatchedGame</t>
  </si>
  <si>
    <t>OTL_A</t>
  </si>
  <si>
    <t>SOL_A</t>
  </si>
  <si>
    <t>LosingTeam</t>
  </si>
  <si>
    <t>Watched</t>
  </si>
  <si>
    <t>C</t>
  </si>
  <si>
    <t>D</t>
  </si>
  <si>
    <t>W</t>
  </si>
  <si>
    <t>E</t>
  </si>
  <si>
    <t>M</t>
  </si>
  <si>
    <t>P</t>
  </si>
  <si>
    <t>GFPG</t>
  </si>
  <si>
    <t>GAPG</t>
  </si>
  <si>
    <t>GDPG</t>
  </si>
  <si>
    <t>OTL_H</t>
  </si>
  <si>
    <t>SOL_H</t>
  </si>
  <si>
    <t>PTS</t>
  </si>
  <si>
    <t>PTS2</t>
  </si>
  <si>
    <t>RW_A</t>
  </si>
  <si>
    <t>OTW_A</t>
  </si>
  <si>
    <t>SOW_A</t>
  </si>
  <si>
    <t>RW_H</t>
  </si>
  <si>
    <t>OTW_H</t>
  </si>
  <si>
    <t>SOW_H</t>
  </si>
  <si>
    <t>RL_A</t>
  </si>
  <si>
    <t>RL_H</t>
  </si>
  <si>
    <t>InterConf</t>
  </si>
  <si>
    <t>InterDiv</t>
  </si>
  <si>
    <t>CrossConf</t>
  </si>
  <si>
    <t>GR_A</t>
  </si>
  <si>
    <t>GR_H</t>
  </si>
  <si>
    <t>MAX_PTS</t>
  </si>
  <si>
    <t>MAX_PTS2</t>
  </si>
  <si>
    <t>PTS%</t>
  </si>
  <si>
    <t>SameConfDiffDiv</t>
  </si>
  <si>
    <t>RW</t>
  </si>
  <si>
    <t>L</t>
  </si>
  <si>
    <t>RL</t>
  </si>
  <si>
    <t>OTW</t>
  </si>
  <si>
    <t>OTL</t>
  </si>
  <si>
    <t>SOW</t>
  </si>
  <si>
    <t>SOL</t>
  </si>
  <si>
    <t>RECORD</t>
  </si>
  <si>
    <t>CorrectWinner</t>
  </si>
  <si>
    <t>CorrectHomeScore</t>
  </si>
  <si>
    <t>CorrectAwayScore</t>
  </si>
  <si>
    <t>CorrectSOHome</t>
  </si>
  <si>
    <t>Watched%</t>
  </si>
  <si>
    <t>PreGameNotes</t>
  </si>
  <si>
    <t>PostGameNotes</t>
  </si>
  <si>
    <t>CorrectSOAway</t>
  </si>
  <si>
    <t>CorrectGoalTotal</t>
  </si>
  <si>
    <t>CorrectSOResult</t>
  </si>
  <si>
    <t>CorrectOTResult</t>
  </si>
  <si>
    <t>Total Games Watched</t>
  </si>
  <si>
    <t>Total Games Missed</t>
  </si>
  <si>
    <t>Total Games Played</t>
  </si>
  <si>
    <t>Total Goals</t>
  </si>
  <si>
    <t>Total Shut-outs</t>
  </si>
  <si>
    <t>Total OverTimes</t>
  </si>
  <si>
    <t>Total Shoot-outs</t>
  </si>
  <si>
    <t>SHTO_H</t>
  </si>
  <si>
    <t>SHTO_A</t>
  </si>
  <si>
    <t>First Day</t>
  </si>
  <si>
    <t>Last Day</t>
  </si>
  <si>
    <t>Games per Day</t>
  </si>
  <si>
    <t>Games Watched per Day</t>
  </si>
  <si>
    <t>-</t>
  </si>
  <si>
    <t>TTL</t>
  </si>
  <si>
    <t>PerGame</t>
  </si>
  <si>
    <t>x82</t>
  </si>
  <si>
    <t>Goals per Team per Game</t>
  </si>
  <si>
    <t>GameHasShutOut</t>
  </si>
  <si>
    <t>CorrectResult</t>
  </si>
  <si>
    <t>MAXSCORE</t>
  </si>
  <si>
    <t>NewPointsHome</t>
  </si>
  <si>
    <t>NewPointsAway</t>
  </si>
  <si>
    <t>Date</t>
  </si>
  <si>
    <t>2024-10-03</t>
  </si>
  <si>
    <t>2024-10-04</t>
  </si>
  <si>
    <t>2024-10-05</t>
  </si>
  <si>
    <t>2024-10-06</t>
  </si>
  <si>
    <t>2024-10-07</t>
  </si>
  <si>
    <t>2024-10-08</t>
  </si>
  <si>
    <t>2024-10-09</t>
  </si>
  <si>
    <t>2024-10-10</t>
  </si>
  <si>
    <t>2024-10-11</t>
  </si>
  <si>
    <t>2024-10-12</t>
  </si>
  <si>
    <t>2024-10-13</t>
  </si>
  <si>
    <t>2024-10-14</t>
  </si>
  <si>
    <t>2024-10-15</t>
  </si>
  <si>
    <t>2024-10-16</t>
  </si>
  <si>
    <t>2024-10-17</t>
  </si>
  <si>
    <t>2024-10-18</t>
  </si>
  <si>
    <t>2024-10-19</t>
  </si>
  <si>
    <t>2024-10-20</t>
  </si>
  <si>
    <t>2024-10-21</t>
  </si>
  <si>
    <t>2024-10-22</t>
  </si>
  <si>
    <t>2024-10-23</t>
  </si>
  <si>
    <t>2024-10-24</t>
  </si>
  <si>
    <t>2024-10-25</t>
  </si>
  <si>
    <t>2024-10-26</t>
  </si>
  <si>
    <t>2024-10-27</t>
  </si>
  <si>
    <t>2024-10-28</t>
  </si>
  <si>
    <t>2024-10-29</t>
  </si>
  <si>
    <t>2024-10-30</t>
  </si>
  <si>
    <t>2024-10-31</t>
  </si>
  <si>
    <t>2024-11-01</t>
  </si>
  <si>
    <t>2024-11-02</t>
  </si>
  <si>
    <t>2024-11-03</t>
  </si>
  <si>
    <t>2024-11-04</t>
  </si>
  <si>
    <t>2024-11-05</t>
  </si>
  <si>
    <t>2024-11-06</t>
  </si>
  <si>
    <t>2024-11-07</t>
  </si>
  <si>
    <t>2024-11-08</t>
  </si>
  <si>
    <t>2024-11-09</t>
  </si>
  <si>
    <t>2024-11-10</t>
  </si>
  <si>
    <t>2024-11-11</t>
  </si>
  <si>
    <t>2024-11-12</t>
  </si>
  <si>
    <t>2024-11-13</t>
  </si>
  <si>
    <t>2024-11-14</t>
  </si>
  <si>
    <t>2024-11-15</t>
  </si>
  <si>
    <t>2024-11-16</t>
  </si>
  <si>
    <t>2024-11-17</t>
  </si>
  <si>
    <t>2024-11-18</t>
  </si>
  <si>
    <t>2024-11-19</t>
  </si>
  <si>
    <t>2024-11-20</t>
  </si>
  <si>
    <t>2024-11-21</t>
  </si>
  <si>
    <t>2024-11-22</t>
  </si>
  <si>
    <t>2024-11-23</t>
  </si>
  <si>
    <t>2024-11-24</t>
  </si>
  <si>
    <t>2024-11-25</t>
  </si>
  <si>
    <t>2024-11-26</t>
  </si>
  <si>
    <t>2024-11-27</t>
  </si>
  <si>
    <t>2024-11-28</t>
  </si>
  <si>
    <t>2024-11-29</t>
  </si>
  <si>
    <t>2024-11-30</t>
  </si>
  <si>
    <t>2024-12-01</t>
  </si>
  <si>
    <t>2024-12-02</t>
  </si>
  <si>
    <t>2024-12-03</t>
  </si>
  <si>
    <t>2024-12-04</t>
  </si>
  <si>
    <t>2024-12-05</t>
  </si>
  <si>
    <t>2024-12-06</t>
  </si>
  <si>
    <t>2024-12-07</t>
  </si>
  <si>
    <t>2024-12-08</t>
  </si>
  <si>
    <t>2024-12-09</t>
  </si>
  <si>
    <t>2024-12-10</t>
  </si>
  <si>
    <t>2024-12-11</t>
  </si>
  <si>
    <t>2024-12-12</t>
  </si>
  <si>
    <t>2024-12-13</t>
  </si>
  <si>
    <t>2024-12-14</t>
  </si>
  <si>
    <t>2024-12-15</t>
  </si>
  <si>
    <t>2024-12-16</t>
  </si>
  <si>
    <t>2024-12-17</t>
  </si>
  <si>
    <t>2024-12-18</t>
  </si>
  <si>
    <t>2024-12-19</t>
  </si>
  <si>
    <t>2024-12-20</t>
  </si>
  <si>
    <t>2024-12-21</t>
  </si>
  <si>
    <t>2024-12-22</t>
  </si>
  <si>
    <t>2024-12-23</t>
  </si>
  <si>
    <t>2024-12-24</t>
  </si>
  <si>
    <t>2024-12-25</t>
  </si>
  <si>
    <t>2024-12-26</t>
  </si>
  <si>
    <t>2024-12-27</t>
  </si>
  <si>
    <t>2024-12-28</t>
  </si>
  <si>
    <t>2024-12-29</t>
  </si>
  <si>
    <t>2024-12-30</t>
  </si>
  <si>
    <t>2024-12-31</t>
  </si>
  <si>
    <t>2025-01-01</t>
  </si>
  <si>
    <t>2025-01-02</t>
  </si>
  <si>
    <t>2025-01-03</t>
  </si>
  <si>
    <t>2025-01-04</t>
  </si>
  <si>
    <t>2025-01-05</t>
  </si>
  <si>
    <t>2025-01-06</t>
  </si>
  <si>
    <t>2025-01-07</t>
  </si>
  <si>
    <t>2025-01-08</t>
  </si>
  <si>
    <t>2025-01-09</t>
  </si>
  <si>
    <t>2025-01-10</t>
  </si>
  <si>
    <t>2025-01-11</t>
  </si>
  <si>
    <t>2025-01-12</t>
  </si>
  <si>
    <t>2025-01-13</t>
  </si>
  <si>
    <t>2025-01-14</t>
  </si>
  <si>
    <t>2025-01-15</t>
  </si>
  <si>
    <t>2025-01-16</t>
  </si>
  <si>
    <t>2025-01-17</t>
  </si>
  <si>
    <t>2025-01-18</t>
  </si>
  <si>
    <t>2025-01-19</t>
  </si>
  <si>
    <t>2025-01-20</t>
  </si>
  <si>
    <t>2025-01-21</t>
  </si>
  <si>
    <t>2025-01-22</t>
  </si>
  <si>
    <t>2025-01-23</t>
  </si>
  <si>
    <t>2025-01-24</t>
  </si>
  <si>
    <t>2025-01-25</t>
  </si>
  <si>
    <t>2025-01-26</t>
  </si>
  <si>
    <t>2025-01-27</t>
  </si>
  <si>
    <t>2025-01-28</t>
  </si>
  <si>
    <t>2025-01-29</t>
  </si>
  <si>
    <t>2025-01-30</t>
  </si>
  <si>
    <t>2025-01-31</t>
  </si>
  <si>
    <t>2025-02-01</t>
  </si>
  <si>
    <t>2025-02-02</t>
  </si>
  <si>
    <t>2025-02-03</t>
  </si>
  <si>
    <t>2025-02-04</t>
  </si>
  <si>
    <t>2025-02-05</t>
  </si>
  <si>
    <t>2025-02-06</t>
  </si>
  <si>
    <t>2025-02-07</t>
  </si>
  <si>
    <t>2025-02-08</t>
  </si>
  <si>
    <t>2025-02-09</t>
  </si>
  <si>
    <t>2025-02-10</t>
  </si>
  <si>
    <t>2025-02-11</t>
  </si>
  <si>
    <t>2025-02-12</t>
  </si>
  <si>
    <t>2025-02-13</t>
  </si>
  <si>
    <t>2025-02-14</t>
  </si>
  <si>
    <t>2025-02-15</t>
  </si>
  <si>
    <t>2025-02-16</t>
  </si>
  <si>
    <t>2025-02-17</t>
  </si>
  <si>
    <t>2025-02-18</t>
  </si>
  <si>
    <t>2025-02-19</t>
  </si>
  <si>
    <t>2025-02-20</t>
  </si>
  <si>
    <t>2025-02-21</t>
  </si>
  <si>
    <t>2025-02-22</t>
  </si>
  <si>
    <t>2025-02-23</t>
  </si>
  <si>
    <t>2025-02-24</t>
  </si>
  <si>
    <t>2025-02-25</t>
  </si>
  <si>
    <t>2025-02-26</t>
  </si>
  <si>
    <t>2025-02-27</t>
  </si>
  <si>
    <t>2025-02-28</t>
  </si>
  <si>
    <t>2025-03-01</t>
  </si>
  <si>
    <t>2025-03-02</t>
  </si>
  <si>
    <t>2025-03-03</t>
  </si>
  <si>
    <t>2025-03-04</t>
  </si>
  <si>
    <t>2025-03-05</t>
  </si>
  <si>
    <t>2025-03-06</t>
  </si>
  <si>
    <t>2025-03-07</t>
  </si>
  <si>
    <t>2025-03-08</t>
  </si>
  <si>
    <t>2025-03-09</t>
  </si>
  <si>
    <t>2025-03-10</t>
  </si>
  <si>
    <t>2025-03-11</t>
  </si>
  <si>
    <t>2025-03-12</t>
  </si>
  <si>
    <t>2025-03-13</t>
  </si>
  <si>
    <t>2025-03-14</t>
  </si>
  <si>
    <t>2025-03-15</t>
  </si>
  <si>
    <t>2025-03-16</t>
  </si>
  <si>
    <t>2025-03-17</t>
  </si>
  <si>
    <t>2025-03-18</t>
  </si>
  <si>
    <t>2025-03-19</t>
  </si>
  <si>
    <t>2025-03-20</t>
  </si>
  <si>
    <t>2025-03-21</t>
  </si>
  <si>
    <t>2025-03-22</t>
  </si>
  <si>
    <t>2025-03-23</t>
  </si>
  <si>
    <t>2025-03-24</t>
  </si>
  <si>
    <t>2025-03-25</t>
  </si>
  <si>
    <t>2025-03-26</t>
  </si>
  <si>
    <t>2025-03-27</t>
  </si>
  <si>
    <t>2025-03-28</t>
  </si>
  <si>
    <t>2025-03-29</t>
  </si>
  <si>
    <t>2025-03-30</t>
  </si>
  <si>
    <t>2025-03-31</t>
  </si>
  <si>
    <t>2025-04-01</t>
  </si>
  <si>
    <t>2025-04-02</t>
  </si>
  <si>
    <t>2025-04-03</t>
  </si>
  <si>
    <t>2025-04-04</t>
  </si>
  <si>
    <t>2025-04-05</t>
  </si>
  <si>
    <t>2025-04-06</t>
  </si>
  <si>
    <t>2025-04-07</t>
  </si>
  <si>
    <t>2025-04-08</t>
  </si>
  <si>
    <t>2025-04-09</t>
  </si>
  <si>
    <t>2025-04-10</t>
  </si>
  <si>
    <t>2025-04-11</t>
  </si>
  <si>
    <t>2025-04-12</t>
  </si>
  <si>
    <t>2025-04-13</t>
  </si>
  <si>
    <t>2025-04-14</t>
  </si>
  <si>
    <t>2025-04-15</t>
  </si>
  <si>
    <t>2025-04-16</t>
  </si>
  <si>
    <t>2025-04-17</t>
  </si>
  <si>
    <t>2025-04-18</t>
  </si>
  <si>
    <t>2025-04-19</t>
  </si>
  <si>
    <t>2025-04-20</t>
  </si>
  <si>
    <t>2025-04-21</t>
  </si>
  <si>
    <t>2025-04-22</t>
  </si>
  <si>
    <t>2025-04-23</t>
  </si>
  <si>
    <t>2025-04-24</t>
  </si>
  <si>
    <t>2025-04-25</t>
  </si>
  <si>
    <t>2025-04-26</t>
  </si>
  <si>
    <t>2025-04-27</t>
  </si>
  <si>
    <t>2025-04-28</t>
  </si>
  <si>
    <t>2025-04-29</t>
  </si>
  <si>
    <t>2025-04-30</t>
  </si>
  <si>
    <t>2025-05-01</t>
  </si>
  <si>
    <t>2025-05-02</t>
  </si>
  <si>
    <t>2025-05-03</t>
  </si>
  <si>
    <t>2025-05-04</t>
  </si>
  <si>
    <t>2025-05-05</t>
  </si>
  <si>
    <t>2025-05-06</t>
  </si>
  <si>
    <t>2025-05-07</t>
  </si>
  <si>
    <t>2025-05-08</t>
  </si>
  <si>
    <t>2025-05-09</t>
  </si>
  <si>
    <t>2025-05-10</t>
  </si>
  <si>
    <t>2025-05-11</t>
  </si>
  <si>
    <t>2025-05-12</t>
  </si>
  <si>
    <t>2025-05-13</t>
  </si>
  <si>
    <t>2025-05-14</t>
  </si>
  <si>
    <t>2025-05-15</t>
  </si>
  <si>
    <t>2025-05-16</t>
  </si>
  <si>
    <t>2025-05-17</t>
  </si>
  <si>
    <t>2025-05-18</t>
  </si>
  <si>
    <t>2025-05-19</t>
  </si>
  <si>
    <t>2025-05-20</t>
  </si>
  <si>
    <t>2025-05-21</t>
  </si>
  <si>
    <t>2025-05-22</t>
  </si>
  <si>
    <t>2025-05-23</t>
  </si>
  <si>
    <t>2025-05-24</t>
  </si>
  <si>
    <t>2025-05-25</t>
  </si>
  <si>
    <t>2025-05-26</t>
  </si>
  <si>
    <t>2025-05-27</t>
  </si>
  <si>
    <t>2025-05-28</t>
  </si>
  <si>
    <t>2025-05-29</t>
  </si>
  <si>
    <t>2025-05-30</t>
  </si>
  <si>
    <t>2025-05-31</t>
  </si>
  <si>
    <t>2025-06-01</t>
  </si>
  <si>
    <t>2025-06-02</t>
  </si>
  <si>
    <t>2025-06-03</t>
  </si>
  <si>
    <t>2025-06-04</t>
  </si>
  <si>
    <t>2025-06-05</t>
  </si>
  <si>
    <t>2025-06-06</t>
  </si>
  <si>
    <t>2025-06-07</t>
  </si>
  <si>
    <t>2025-06-08</t>
  </si>
  <si>
    <t>2025-06-09</t>
  </si>
  <si>
    <t>2025-06-10</t>
  </si>
  <si>
    <t>2025-06-11</t>
  </si>
  <si>
    <t>2025-06-12</t>
  </si>
  <si>
    <t>2025-06-13</t>
  </si>
  <si>
    <t>2025-06-14</t>
  </si>
  <si>
    <t>2025-06-15</t>
  </si>
  <si>
    <t>2025-06-16</t>
  </si>
  <si>
    <t>2025-06-17</t>
  </si>
  <si>
    <t>2025-06-18</t>
  </si>
  <si>
    <t>2025-06-19</t>
  </si>
  <si>
    <t>2025-06-20</t>
  </si>
  <si>
    <t>2025-06-21</t>
  </si>
  <si>
    <t>2025-06-22</t>
  </si>
  <si>
    <t>2025-06-23</t>
  </si>
  <si>
    <t>2025-06-24</t>
  </si>
  <si>
    <t>2025-06-25</t>
  </si>
  <si>
    <t>2025-06-26</t>
  </si>
  <si>
    <t>2025-06-27</t>
  </si>
  <si>
    <t>2025-06-28</t>
  </si>
  <si>
    <t>2025-06-29</t>
  </si>
  <si>
    <t>2025-06-30</t>
  </si>
  <si>
    <t>2025-07-01</t>
  </si>
  <si>
    <t>Team</t>
  </si>
  <si>
    <t>Conf</t>
  </si>
  <si>
    <t>Div</t>
  </si>
  <si>
    <t>Total</t>
  </si>
  <si>
    <t>GamePredictionScore</t>
  </si>
  <si>
    <t>Total Game Score</t>
  </si>
  <si>
    <t>Pts / Game</t>
  </si>
  <si>
    <t>Pts from Winner</t>
  </si>
  <si>
    <t>Pts from Home Score</t>
  </si>
  <si>
    <t>Pts from Away Score</t>
  </si>
  <si>
    <t>PTS%2</t>
  </si>
  <si>
    <t>Weekday</t>
  </si>
  <si>
    <t>GamePredictionScore2</t>
  </si>
  <si>
    <t>Score1</t>
  </si>
  <si>
    <t>Score2</t>
  </si>
  <si>
    <t>Times Wrong OT Result</t>
  </si>
  <si>
    <t>Times Wrong SO Result</t>
  </si>
  <si>
    <t>Times OT but SO</t>
  </si>
  <si>
    <t>Times SO but OT</t>
  </si>
  <si>
    <t>HOME_RECORD</t>
  </si>
  <si>
    <t>AWAY_RECORD</t>
  </si>
  <si>
    <t>PredictedAwayScorePlusMinus</t>
  </si>
  <si>
    <t>PredictedHomeScorePlusMinus</t>
  </si>
  <si>
    <t>PredictedAwayScorePlusMinusByDate</t>
  </si>
  <si>
    <t>PredictedHomeScorePlusMinusByDate</t>
  </si>
  <si>
    <t>PROJ_PTS</t>
  </si>
  <si>
    <t>PROJ_PTS2</t>
  </si>
  <si>
    <t>Loser Points (OTL + SOL)</t>
  </si>
  <si>
    <t>Loser Points per game (% games extra time is needed)</t>
  </si>
  <si>
    <t>WatchOrder</t>
  </si>
  <si>
    <t>AwayScore</t>
  </si>
  <si>
    <t>HomeScore</t>
  </si>
  <si>
    <t>+/-</t>
  </si>
  <si>
    <t>Times Score Difference was +/-</t>
  </si>
  <si>
    <t>AVG</t>
  </si>
  <si>
    <t>St.Dev</t>
  </si>
  <si>
    <t>%</t>
  </si>
  <si>
    <t>PTS%_H</t>
  </si>
  <si>
    <t>PTS%_A</t>
  </si>
  <si>
    <t>My Record</t>
  </si>
  <si>
    <t>(RW-RL-(OTW+OTL+SOW+SOL))</t>
  </si>
  <si>
    <t>TeamCost</t>
  </si>
  <si>
    <t>TeamCost82</t>
  </si>
  <si>
    <t>LastCup</t>
  </si>
  <si>
    <t>WatchDate</t>
  </si>
  <si>
    <t>AwayWon</t>
  </si>
  <si>
    <t>PointsStolenFromWest</t>
  </si>
  <si>
    <t>PointsStolenFromEast</t>
  </si>
  <si>
    <t>PointsStolenFromPacific</t>
  </si>
  <si>
    <t>PointsStolenFromCentral</t>
  </si>
  <si>
    <t>PointsStolenFromMetro</t>
  </si>
  <si>
    <t>PointsStolenFromAtlantic</t>
  </si>
  <si>
    <t>HomeWon_</t>
  </si>
  <si>
    <t>Perfect Games</t>
  </si>
  <si>
    <r>
      <t>SearchTe</t>
    </r>
    <r>
      <rPr>
        <sz val="11"/>
        <color theme="1"/>
        <rFont val="Aptos Narrow"/>
        <family val="2"/>
        <scheme val="minor"/>
      </rPr>
      <t>amPlays</t>
    </r>
  </si>
  <si>
    <t>OT_SO_Record</t>
  </si>
  <si>
    <t>Search Team(s):</t>
  </si>
  <si>
    <t>OPP</t>
  </si>
  <si>
    <t>ME</t>
  </si>
  <si>
    <t>Column1</t>
  </si>
  <si>
    <t>Column2</t>
  </si>
  <si>
    <t>AwayVsHomeRecord</t>
  </si>
  <si>
    <t>HomeVSAwayRecord</t>
  </si>
  <si>
    <t>East</t>
  </si>
  <si>
    <t>West</t>
  </si>
  <si>
    <t>Atl</t>
  </si>
  <si>
    <t>Met</t>
  </si>
  <si>
    <t>Cen</t>
  </si>
  <si>
    <t>Pac</t>
  </si>
  <si>
    <t>HrsPerGame</t>
  </si>
  <si>
    <t>GamesToWatch</t>
  </si>
  <si>
    <t>HoursToWatch</t>
  </si>
  <si>
    <t>THG_TonyTiger</t>
  </si>
  <si>
    <t>THG_ChessMatch</t>
  </si>
  <si>
    <t>THG_80sGame</t>
  </si>
  <si>
    <t>THG_Extermination</t>
  </si>
  <si>
    <t>SPARES</t>
  </si>
  <si>
    <t>#</t>
  </si>
  <si>
    <t xml:space="preserve"> PredictionDate</t>
  </si>
  <si>
    <t>Pts</t>
  </si>
  <si>
    <t>PAC</t>
  </si>
  <si>
    <t>Row Labels</t>
  </si>
  <si>
    <t>Grand Total</t>
  </si>
  <si>
    <t>Sum of PTS</t>
  </si>
  <si>
    <t>Column Labels</t>
  </si>
  <si>
    <t>A Total</t>
  </si>
  <si>
    <t>C Total</t>
  </si>
  <si>
    <t>M Total</t>
  </si>
  <si>
    <t>P Total</t>
  </si>
  <si>
    <t>CEN</t>
  </si>
  <si>
    <t>MET</t>
  </si>
  <si>
    <t>ATL</t>
  </si>
  <si>
    <t>All</t>
  </si>
  <si>
    <t>Home</t>
  </si>
  <si>
    <t>Away</t>
  </si>
  <si>
    <t>(OTL &amp; SOL Ties go to me)</t>
  </si>
  <si>
    <t>GW</t>
  </si>
  <si>
    <t>GL/GR</t>
  </si>
  <si>
    <t>WasShutOut_A</t>
  </si>
  <si>
    <t>WasShutOut_H</t>
  </si>
  <si>
    <t>Eliminated</t>
  </si>
  <si>
    <t>Clinched</t>
  </si>
  <si>
    <t>Column3</t>
  </si>
  <si>
    <t>Column4</t>
  </si>
  <si>
    <t>Column5</t>
  </si>
  <si>
    <t>Column6</t>
  </si>
  <si>
    <t>FreqPredictedWinner</t>
  </si>
  <si>
    <t>TeamCost83</t>
  </si>
  <si>
    <t>TeamCost84</t>
  </si>
  <si>
    <t>Total_ExtraTimes</t>
  </si>
  <si>
    <t>W%</t>
  </si>
  <si>
    <t>W/L%</t>
  </si>
  <si>
    <t>PctExtraTimeNeeded</t>
  </si>
  <si>
    <t>ExtraTime%</t>
  </si>
  <si>
    <t>2025-10-07</t>
  </si>
  <si>
    <t>2025-10-08</t>
  </si>
  <si>
    <t>2025-10-09</t>
  </si>
  <si>
    <t>2025-10-10</t>
  </si>
  <si>
    <t>2025-10-11</t>
  </si>
  <si>
    <t>2025-10-12</t>
  </si>
  <si>
    <t>2025-10-13</t>
  </si>
  <si>
    <t>2025-10-14</t>
  </si>
  <si>
    <t>2025-10-15</t>
  </si>
  <si>
    <t>2025-10-16</t>
  </si>
  <si>
    <t>2025-10-17</t>
  </si>
  <si>
    <t>2025-10-18</t>
  </si>
  <si>
    <t>2025-10-19</t>
  </si>
  <si>
    <t>2025-10-20</t>
  </si>
  <si>
    <t>2025-10-21</t>
  </si>
  <si>
    <t>2025-10-22</t>
  </si>
  <si>
    <t>2025-10-23</t>
  </si>
  <si>
    <t>2025-10-24</t>
  </si>
  <si>
    <t>2025-10-25</t>
  </si>
  <si>
    <t>2025-10-26</t>
  </si>
  <si>
    <t>2025-10-27</t>
  </si>
  <si>
    <t>2025-10-28</t>
  </si>
  <si>
    <t>2025-10-29</t>
  </si>
  <si>
    <t>2025-10-30</t>
  </si>
  <si>
    <t>2025-10-31</t>
  </si>
  <si>
    <t>2025-11-01</t>
  </si>
  <si>
    <t>2025-11-02</t>
  </si>
  <si>
    <t>2025-11-03</t>
  </si>
  <si>
    <t>2025-11-04</t>
  </si>
  <si>
    <t>2025-11-05</t>
  </si>
  <si>
    <t>2025-11-06</t>
  </si>
  <si>
    <t>2025-11-07</t>
  </si>
  <si>
    <t>2025-11-08</t>
  </si>
  <si>
    <t>2025-11-09</t>
  </si>
  <si>
    <t>2025-11-10</t>
  </si>
  <si>
    <t>2025-11-11</t>
  </si>
  <si>
    <t>2025-11-12</t>
  </si>
  <si>
    <t>2025-11-13</t>
  </si>
  <si>
    <t>2025-11-14</t>
  </si>
  <si>
    <t>2025-11-15</t>
  </si>
  <si>
    <t>2025-11-16</t>
  </si>
  <si>
    <t>2025-11-17</t>
  </si>
  <si>
    <t>2025-11-18</t>
  </si>
  <si>
    <t>2025-11-19</t>
  </si>
  <si>
    <t>2025-11-20</t>
  </si>
  <si>
    <t>2025-11-21</t>
  </si>
  <si>
    <t>2025-11-22</t>
  </si>
  <si>
    <t>2025-11-23</t>
  </si>
  <si>
    <t>2025-11-24</t>
  </si>
  <si>
    <t>2025-11-25</t>
  </si>
  <si>
    <t>2025-11-26</t>
  </si>
  <si>
    <t>2025-11-27</t>
  </si>
  <si>
    <t>2025-11-28</t>
  </si>
  <si>
    <t>2025-11-29</t>
  </si>
  <si>
    <t>2025-11-30</t>
  </si>
  <si>
    <t>2025-12-02</t>
  </si>
  <si>
    <t>2025-12-03</t>
  </si>
  <si>
    <t>2025-12-04</t>
  </si>
  <si>
    <t>2025-12-05</t>
  </si>
  <si>
    <t>2025-12-06</t>
  </si>
  <si>
    <t>2025-12-07</t>
  </si>
  <si>
    <t>2025-12-08</t>
  </si>
  <si>
    <t>2025-12-09</t>
  </si>
  <si>
    <t>2025-12-10</t>
  </si>
  <si>
    <t>2025-12-11</t>
  </si>
  <si>
    <t>2025-12-12</t>
  </si>
  <si>
    <t>2025-12-13</t>
  </si>
  <si>
    <t>2025-12-14</t>
  </si>
  <si>
    <t>2025-12-15</t>
  </si>
  <si>
    <t>2025-12-16</t>
  </si>
  <si>
    <t>2025-12-17</t>
  </si>
  <si>
    <t>2025-12-18</t>
  </si>
  <si>
    <t>2025-12-19</t>
  </si>
  <si>
    <t>2025-12-20</t>
  </si>
  <si>
    <t>2025-12-21</t>
  </si>
  <si>
    <t>2025-12-22</t>
  </si>
  <si>
    <t>2025-12-23</t>
  </si>
  <si>
    <t>2025-12-24</t>
  </si>
  <si>
    <t>2025-12-27</t>
  </si>
  <si>
    <t>2025-12-28</t>
  </si>
  <si>
    <t>2025-12-29</t>
  </si>
  <si>
    <t>2025-12-30</t>
  </si>
  <si>
    <t>2025-12-31</t>
  </si>
  <si>
    <t>2026-01-01</t>
  </si>
  <si>
    <t>2026-01-02</t>
  </si>
  <si>
    <t>2026-01-03</t>
  </si>
  <si>
    <t>2026-01-04</t>
  </si>
  <si>
    <t>2026-01-05</t>
  </si>
  <si>
    <t>2026-01-06</t>
  </si>
  <si>
    <t>2026-01-07</t>
  </si>
  <si>
    <t>2026-01-08</t>
  </si>
  <si>
    <t>2026-01-09</t>
  </si>
  <si>
    <t>2026-01-10</t>
  </si>
  <si>
    <t>2026-01-11</t>
  </si>
  <si>
    <t>2026-01-12</t>
  </si>
  <si>
    <t>2026-01-13</t>
  </si>
  <si>
    <t>2026-01-14</t>
  </si>
  <si>
    <t>2026-01-15</t>
  </si>
  <si>
    <t>2026-01-16</t>
  </si>
  <si>
    <t>2026-01-17</t>
  </si>
  <si>
    <t>2026-01-18</t>
  </si>
  <si>
    <t>2026-01-19</t>
  </si>
  <si>
    <t>2026-01-20</t>
  </si>
  <si>
    <t>2026-01-21</t>
  </si>
  <si>
    <t>2026-01-22</t>
  </si>
  <si>
    <t>2026-01-23</t>
  </si>
  <si>
    <t>2026-01-24</t>
  </si>
  <si>
    <t>2026-01-25</t>
  </si>
  <si>
    <t>2026-01-26</t>
  </si>
  <si>
    <t>2026-01-27</t>
  </si>
  <si>
    <t>2026-01-28</t>
  </si>
  <si>
    <t>2026-01-29</t>
  </si>
  <si>
    <t>2026-01-30</t>
  </si>
  <si>
    <t>2026-01-31</t>
  </si>
  <si>
    <t>2026-02-01</t>
  </si>
  <si>
    <t>2026-02-02</t>
  </si>
  <si>
    <t>2026-02-03</t>
  </si>
  <si>
    <t>2026-02-04</t>
  </si>
  <si>
    <t>2026-02-05</t>
  </si>
  <si>
    <t>2026-02-06</t>
  </si>
  <si>
    <t>2026-02-26</t>
  </si>
  <si>
    <t>2026-02-27</t>
  </si>
  <si>
    <t>2026-02-28</t>
  </si>
  <si>
    <t>2026-03-01</t>
  </si>
  <si>
    <t>2026-03-02</t>
  </si>
  <si>
    <t>2026-03-03</t>
  </si>
  <si>
    <t>2026-03-04</t>
  </si>
  <si>
    <t>2026-03-05</t>
  </si>
  <si>
    <t>2026-03-06</t>
  </si>
  <si>
    <t>2026-03-07</t>
  </si>
  <si>
    <t>2026-03-08</t>
  </si>
  <si>
    <t>2026-03-09</t>
  </si>
  <si>
    <t>2026-03-10</t>
  </si>
  <si>
    <t>2026-03-11</t>
  </si>
  <si>
    <t>2026-03-12</t>
  </si>
  <si>
    <t>2026-03-13</t>
  </si>
  <si>
    <t>2026-03-14</t>
  </si>
  <si>
    <t>2026-03-15</t>
  </si>
  <si>
    <t>2026-03-16</t>
  </si>
  <si>
    <t>2026-03-17</t>
  </si>
  <si>
    <t>2026-03-18</t>
  </si>
  <si>
    <t>2026-03-19</t>
  </si>
  <si>
    <t>2026-03-20</t>
  </si>
  <si>
    <t>2026-03-21</t>
  </si>
  <si>
    <t>2026-03-22</t>
  </si>
  <si>
    <t>2026-03-23</t>
  </si>
  <si>
    <t>2026-03-24</t>
  </si>
  <si>
    <t>2026-03-25</t>
  </si>
  <si>
    <t>2026-03-26</t>
  </si>
  <si>
    <t>2026-03-27</t>
  </si>
  <si>
    <t>2026-03-28</t>
  </si>
  <si>
    <t>2026-03-29</t>
  </si>
  <si>
    <t>2026-03-30</t>
  </si>
  <si>
    <t>2026-03-31</t>
  </si>
  <si>
    <t>2026-04-01</t>
  </si>
  <si>
    <t>2026-04-02</t>
  </si>
  <si>
    <t>2026-04-03</t>
  </si>
  <si>
    <t>2026-04-04</t>
  </si>
  <si>
    <t>2026-04-05</t>
  </si>
  <si>
    <t>2026-04-06</t>
  </si>
  <si>
    <t>2026-04-07</t>
  </si>
  <si>
    <t>2026-04-08</t>
  </si>
  <si>
    <t>2026-04-09</t>
  </si>
  <si>
    <t>2026-04-10</t>
  </si>
  <si>
    <t>2026-04-11</t>
  </si>
  <si>
    <t>2026-04-12</t>
  </si>
  <si>
    <t>2026-04-13</t>
  </si>
  <si>
    <t>2026-04-14</t>
  </si>
  <si>
    <t>2026-04-15</t>
  </si>
  <si>
    <t>2026-04-16</t>
  </si>
  <si>
    <t>2026-04-17</t>
  </si>
  <si>
    <t>REG</t>
  </si>
  <si>
    <t>SO</t>
  </si>
  <si>
    <t>OT</t>
  </si>
  <si>
    <t>2025-10-03</t>
  </si>
  <si>
    <t>2025-10-04</t>
  </si>
  <si>
    <t>2025-10-06</t>
  </si>
  <si>
    <t>2025-10-05</t>
  </si>
  <si>
    <t>2025-12-01</t>
  </si>
  <si>
    <t>2025-12-25</t>
  </si>
  <si>
    <t>2025-12-26</t>
  </si>
  <si>
    <t>2026-02-07</t>
  </si>
  <si>
    <t>2026-02-08</t>
  </si>
  <si>
    <t>2026-02-09</t>
  </si>
  <si>
    <t>2026-02-10</t>
  </si>
  <si>
    <t>2026-02-11</t>
  </si>
  <si>
    <t>2026-02-12</t>
  </si>
  <si>
    <t>2026-02-13</t>
  </si>
  <si>
    <t>2026-02-14</t>
  </si>
  <si>
    <t>2026-02-15</t>
  </si>
  <si>
    <t>2026-02-16</t>
  </si>
  <si>
    <t>2026-02-17</t>
  </si>
  <si>
    <t>2026-02-18</t>
  </si>
  <si>
    <t>2026-02-19</t>
  </si>
  <si>
    <t>2026-02-20</t>
  </si>
  <si>
    <t>2026-02-21</t>
  </si>
  <si>
    <t>2026-02-22</t>
  </si>
  <si>
    <t>2026-02-23</t>
  </si>
  <si>
    <t>2026-02-24</t>
  </si>
  <si>
    <t>2026-02-25</t>
  </si>
  <si>
    <t>2026-04-18</t>
  </si>
  <si>
    <t>2026-04-19</t>
  </si>
  <si>
    <t>2026-04-20</t>
  </si>
  <si>
    <t>PrimeVideo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</si>
</sst>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&quot;$&quot;#,##0.00"/>
    <numFmt numFmtId="166" formatCode="0.0000"/>
    <numFmt numFmtId="167" formatCode="0.0000%"/>
  </numFmts>
  <fonts count="7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sz val="9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2F2F2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1C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</fills>
  <borders count="5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ck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n">
        <color indexed="64"/>
      </right>
      <top style="thick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 style="medium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ck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4" borderId="11" applyNumberFormat="0" applyAlignment="0" applyProtection="0"/>
  </cellStyleXfs>
  <cellXfs count="182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2" borderId="0" xfId="0" applyFill="1"/>
    <xf numFmtId="49" fontId="0" fillId="0" borderId="0" xfId="0" applyNumberFormat="1" applyAlignment="1">
      <alignment horizontal="center"/>
    </xf>
    <xf numFmtId="0" fontId="0" fillId="0" borderId="1" xfId="0" applyBorder="1" applyAlignment="1">
      <alignment textRotation="70"/>
    </xf>
    <xf numFmtId="0" fontId="0" fillId="0" borderId="0" xfId="0" applyAlignment="1">
      <alignment textRotation="70"/>
    </xf>
    <xf numFmtId="0" fontId="0" fillId="0" borderId="2" xfId="0" applyBorder="1" applyAlignment="1">
      <alignment horizontal="center"/>
    </xf>
    <xf numFmtId="0" fontId="0" fillId="0" borderId="3" xfId="0" applyBorder="1"/>
    <xf numFmtId="10" fontId="0" fillId="0" borderId="0" xfId="0" applyNumberFormat="1"/>
    <xf numFmtId="0" fontId="0" fillId="0" borderId="0" xfId="0" applyAlignment="1">
      <alignment vertical="top" textRotation="90"/>
    </xf>
    <xf numFmtId="164" fontId="0" fillId="0" borderId="0" xfId="0" applyNumberFormat="1"/>
    <xf numFmtId="10" fontId="0" fillId="0" borderId="0" xfId="0" applyNumberFormat="1" applyAlignment="1">
      <alignment vertical="top" textRotation="90"/>
    </xf>
    <xf numFmtId="0" fontId="0" fillId="0" borderId="0" xfId="0" applyAlignment="1">
      <alignment horizontal="center" vertical="center"/>
    </xf>
    <xf numFmtId="0" fontId="2" fillId="4" borderId="11" xfId="1" applyAlignment="1">
      <alignment horizontal="center"/>
    </xf>
    <xf numFmtId="165" fontId="0" fillId="0" borderId="0" xfId="0" applyNumberFormat="1"/>
    <xf numFmtId="4" fontId="0" fillId="0" borderId="0" xfId="0" applyNumberFormat="1"/>
    <xf numFmtId="0" fontId="0" fillId="0" borderId="1" xfId="0" applyBorder="1" applyAlignment="1">
      <alignment horizontal="center" textRotation="70"/>
    </xf>
    <xf numFmtId="14" fontId="0" fillId="0" borderId="2" xfId="0" applyNumberFormat="1" applyBorder="1" applyAlignment="1">
      <alignment horizontal="center"/>
    </xf>
    <xf numFmtId="49" fontId="0" fillId="0" borderId="1" xfId="0" applyNumberFormat="1" applyBorder="1" applyAlignment="1">
      <alignment horizontal="center" textRotation="70"/>
    </xf>
    <xf numFmtId="0" fontId="0" fillId="0" borderId="0" xfId="0" applyAlignment="1">
      <alignment vertical="center" textRotation="90"/>
    </xf>
    <xf numFmtId="14" fontId="0" fillId="0" borderId="0" xfId="0" applyNumberFormat="1" applyAlignment="1">
      <alignment vertical="center" textRotation="90"/>
    </xf>
    <xf numFmtId="166" fontId="0" fillId="0" borderId="0" xfId="0" applyNumberFormat="1"/>
    <xf numFmtId="2" fontId="0" fillId="0" borderId="0" xfId="0" applyNumberFormat="1"/>
    <xf numFmtId="2" fontId="0" fillId="0" borderId="1" xfId="0" applyNumberFormat="1" applyBorder="1" applyAlignment="1">
      <alignment textRotation="70"/>
    </xf>
    <xf numFmtId="0" fontId="3" fillId="0" borderId="0" xfId="0" applyFont="1"/>
    <xf numFmtId="0" fontId="4" fillId="0" borderId="0" xfId="0" applyFont="1"/>
    <xf numFmtId="0" fontId="4" fillId="0" borderId="3" xfId="0" applyFont="1" applyBorder="1"/>
    <xf numFmtId="0" fontId="4" fillId="0" borderId="0" xfId="0" applyFont="1" applyAlignment="1">
      <alignment horizontal="center"/>
    </xf>
    <xf numFmtId="0" fontId="4" fillId="0" borderId="10" xfId="0" applyFont="1" applyBorder="1"/>
    <xf numFmtId="0" fontId="4" fillId="0" borderId="1" xfId="0" applyFont="1" applyBorder="1"/>
    <xf numFmtId="0" fontId="4" fillId="0" borderId="4" xfId="0" applyFont="1" applyBorder="1"/>
    <xf numFmtId="0" fontId="4" fillId="0" borderId="8" xfId="0" applyFont="1" applyBorder="1"/>
    <xf numFmtId="0" fontId="4" fillId="0" borderId="5" xfId="0" applyFont="1" applyBorder="1"/>
    <xf numFmtId="0" fontId="4" fillId="3" borderId="0" xfId="0" applyFont="1" applyFill="1"/>
    <xf numFmtId="0" fontId="4" fillId="3" borderId="3" xfId="0" applyFont="1" applyFill="1" applyBorder="1"/>
    <xf numFmtId="14" fontId="4" fillId="0" borderId="0" xfId="0" applyNumberFormat="1" applyFont="1"/>
    <xf numFmtId="0" fontId="4" fillId="3" borderId="1" xfId="0" applyFont="1" applyFill="1" applyBorder="1"/>
    <xf numFmtId="0" fontId="4" fillId="3" borderId="4" xfId="0" applyFont="1" applyFill="1" applyBorder="1"/>
    <xf numFmtId="0" fontId="4" fillId="3" borderId="9" xfId="0" applyFont="1" applyFill="1" applyBorder="1"/>
    <xf numFmtId="0" fontId="4" fillId="3" borderId="8" xfId="0" applyFont="1" applyFill="1" applyBorder="1"/>
    <xf numFmtId="164" fontId="2" fillId="4" borderId="11" xfId="1" applyNumberFormat="1" applyAlignment="1">
      <alignment horizontal="center"/>
    </xf>
    <xf numFmtId="167" fontId="0" fillId="0" borderId="0" xfId="0" applyNumberFormat="1"/>
    <xf numFmtId="0" fontId="0" fillId="0" borderId="0" xfId="0" quotePrefix="1" applyAlignment="1">
      <alignment horizontal="center"/>
    </xf>
    <xf numFmtId="0" fontId="4" fillId="0" borderId="13" xfId="0" applyFont="1" applyBorder="1"/>
    <xf numFmtId="0" fontId="4" fillId="0" borderId="12" xfId="0" applyFont="1" applyBorder="1"/>
    <xf numFmtId="0" fontId="4" fillId="3" borderId="13" xfId="0" applyFont="1" applyFill="1" applyBorder="1"/>
    <xf numFmtId="0" fontId="4" fillId="3" borderId="12" xfId="0" applyFont="1" applyFill="1" applyBorder="1"/>
    <xf numFmtId="0" fontId="4" fillId="3" borderId="14" xfId="0" applyFont="1" applyFill="1" applyBorder="1"/>
    <xf numFmtId="0" fontId="4" fillId="3" borderId="15" xfId="0" applyFont="1" applyFill="1" applyBorder="1"/>
    <xf numFmtId="0" fontId="4" fillId="3" borderId="16" xfId="0" applyFont="1" applyFill="1" applyBorder="1"/>
    <xf numFmtId="0" fontId="4" fillId="3" borderId="17" xfId="0" applyFont="1" applyFill="1" applyBorder="1"/>
    <xf numFmtId="0" fontId="4" fillId="3" borderId="18" xfId="0" applyFont="1" applyFill="1" applyBorder="1"/>
    <xf numFmtId="0" fontId="4" fillId="0" borderId="19" xfId="0" applyFont="1" applyBorder="1"/>
    <xf numFmtId="0" fontId="4" fillId="0" borderId="20" xfId="0" applyFont="1" applyBorder="1"/>
    <xf numFmtId="0" fontId="4" fillId="0" borderId="22" xfId="0" applyFont="1" applyBorder="1"/>
    <xf numFmtId="0" fontId="0" fillId="0" borderId="12" xfId="0" applyBorder="1"/>
    <xf numFmtId="0" fontId="0" fillId="0" borderId="16" xfId="0" applyBorder="1"/>
    <xf numFmtId="0" fontId="0" fillId="0" borderId="17" xfId="0" applyBorder="1"/>
    <xf numFmtId="0" fontId="0" fillId="0" borderId="16" xfId="0" applyBorder="1" applyAlignment="1">
      <alignment textRotation="70"/>
    </xf>
    <xf numFmtId="0" fontId="0" fillId="6" borderId="28" xfId="0" applyFill="1" applyBorder="1"/>
    <xf numFmtId="0" fontId="0" fillId="0" borderId="28" xfId="0" applyBorder="1"/>
    <xf numFmtId="0" fontId="4" fillId="0" borderId="29" xfId="0" applyFont="1" applyBorder="1"/>
    <xf numFmtId="0" fontId="4" fillId="0" borderId="15" xfId="0" applyFont="1" applyBorder="1"/>
    <xf numFmtId="0" fontId="0" fillId="0" borderId="0" xfId="0" applyAlignment="1">
      <alignment horizontal="center" vertical="top" textRotation="90"/>
    </xf>
    <xf numFmtId="0" fontId="6" fillId="0" borderId="30" xfId="0" applyFont="1" applyBorder="1" applyAlignment="1">
      <alignment horizontal="center"/>
    </xf>
    <xf numFmtId="0" fontId="6" fillId="0" borderId="31" xfId="0" applyFont="1" applyBorder="1" applyAlignment="1">
      <alignment horizontal="center"/>
    </xf>
    <xf numFmtId="0" fontId="6" fillId="0" borderId="32" xfId="0" applyFont="1" applyBorder="1" applyAlignment="1">
      <alignment horizontal="center"/>
    </xf>
    <xf numFmtId="0" fontId="0" fillId="0" borderId="33" xfId="0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165" fontId="0" fillId="7" borderId="0" xfId="0" applyNumberFormat="1" applyFill="1"/>
    <xf numFmtId="165" fontId="0" fillId="0" borderId="37" xfId="0" applyNumberFormat="1" applyBorder="1"/>
    <xf numFmtId="0" fontId="0" fillId="0" borderId="38" xfId="0" applyBorder="1"/>
    <xf numFmtId="165" fontId="0" fillId="0" borderId="39" xfId="0" applyNumberFormat="1" applyBorder="1"/>
    <xf numFmtId="165" fontId="0" fillId="7" borderId="40" xfId="0" applyNumberFormat="1" applyFill="1" applyBorder="1"/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27" xfId="0" applyBorder="1"/>
    <xf numFmtId="0" fontId="0" fillId="0" borderId="21" xfId="0" applyBorder="1"/>
    <xf numFmtId="0" fontId="0" fillId="0" borderId="19" xfId="0" applyBorder="1"/>
    <xf numFmtId="0" fontId="0" fillId="0" borderId="46" xfId="0" applyBorder="1"/>
    <xf numFmtId="0" fontId="0" fillId="0" borderId="18" xfId="0" applyBorder="1"/>
    <xf numFmtId="0" fontId="0" fillId="0" borderId="25" xfId="0" applyBorder="1"/>
    <xf numFmtId="165" fontId="0" fillId="0" borderId="45" xfId="0" applyNumberFormat="1" applyBorder="1"/>
    <xf numFmtId="0" fontId="0" fillId="3" borderId="0" xfId="0" applyFill="1"/>
    <xf numFmtId="0" fontId="0" fillId="3" borderId="17" xfId="0" applyFill="1" applyBorder="1"/>
    <xf numFmtId="0" fontId="4" fillId="0" borderId="16" xfId="0" applyFont="1" applyBorder="1"/>
    <xf numFmtId="0" fontId="4" fillId="0" borderId="17" xfId="0" applyFont="1" applyBorder="1"/>
    <xf numFmtId="0" fontId="4" fillId="0" borderId="48" xfId="0" applyFont="1" applyBorder="1"/>
    <xf numFmtId="0" fontId="4" fillId="0" borderId="49" xfId="0" applyFont="1" applyBorder="1"/>
    <xf numFmtId="2" fontId="0" fillId="0" borderId="18" xfId="0" applyNumberFormat="1" applyBorder="1"/>
    <xf numFmtId="2" fontId="0" fillId="0" borderId="16" xfId="0" applyNumberFormat="1" applyBorder="1"/>
    <xf numFmtId="2" fontId="0" fillId="9" borderId="0" xfId="0" applyNumberFormat="1" applyFill="1"/>
    <xf numFmtId="0" fontId="0" fillId="9" borderId="0" xfId="0" applyFill="1"/>
    <xf numFmtId="0" fontId="0" fillId="9" borderId="17" xfId="0" applyFill="1" applyBorder="1"/>
    <xf numFmtId="0" fontId="4" fillId="0" borderId="50" xfId="0" applyFont="1" applyBorder="1"/>
    <xf numFmtId="2" fontId="0" fillId="0" borderId="51" xfId="0" applyNumberFormat="1" applyBorder="1"/>
    <xf numFmtId="2" fontId="0" fillId="0" borderId="50" xfId="0" applyNumberFormat="1" applyBorder="1"/>
    <xf numFmtId="2" fontId="0" fillId="0" borderId="12" xfId="0" applyNumberFormat="1" applyBorder="1"/>
    <xf numFmtId="2" fontId="0" fillId="0" borderId="17" xfId="0" applyNumberFormat="1" applyBorder="1"/>
    <xf numFmtId="0" fontId="0" fillId="10" borderId="0" xfId="0" applyFill="1"/>
    <xf numFmtId="0" fontId="0" fillId="11" borderId="0" xfId="0" applyFill="1"/>
    <xf numFmtId="0" fontId="0" fillId="8" borderId="0" xfId="0" applyFill="1"/>
    <xf numFmtId="0" fontId="0" fillId="12" borderId="0" xfId="0" applyFill="1"/>
    <xf numFmtId="0" fontId="0" fillId="12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0" fillId="14" borderId="0" xfId="0" applyFill="1" applyAlignment="1">
      <alignment horizontal="center"/>
    </xf>
    <xf numFmtId="0" fontId="0" fillId="15" borderId="0" xfId="0" applyFill="1" applyAlignment="1">
      <alignment horizontal="center"/>
    </xf>
    <xf numFmtId="0" fontId="0" fillId="16" borderId="0" xfId="0" applyFill="1" applyAlignment="1">
      <alignment horizontal="center"/>
    </xf>
    <xf numFmtId="0" fontId="0" fillId="17" borderId="0" xfId="0" applyFill="1"/>
    <xf numFmtId="0" fontId="5" fillId="5" borderId="52" xfId="0" applyFont="1" applyFill="1" applyBorder="1" applyAlignment="1">
      <alignment vertical="top" textRotation="90"/>
    </xf>
    <xf numFmtId="0" fontId="0" fillId="0" borderId="53" xfId="0" applyBorder="1"/>
    <xf numFmtId="0" fontId="0" fillId="0" borderId="52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2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165" fontId="0" fillId="7" borderId="0" xfId="0" applyNumberFormat="1" applyFill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7" borderId="17" xfId="0" applyFill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0" borderId="12" xfId="0" applyNumberFormat="1" applyBorder="1" applyAlignment="1">
      <alignment horizontal="center" vertical="center"/>
    </xf>
    <xf numFmtId="165" fontId="0" fillId="0" borderId="16" xfId="0" applyNumberFormat="1" applyBorder="1" applyAlignment="1">
      <alignment horizontal="center" vertical="center"/>
    </xf>
    <xf numFmtId="165" fontId="0" fillId="7" borderId="17" xfId="0" applyNumberFormat="1" applyFill="1" applyBorder="1" applyAlignment="1">
      <alignment horizontal="center" vertical="center"/>
    </xf>
    <xf numFmtId="167" fontId="0" fillId="8" borderId="47" xfId="0" applyNumberFormat="1" applyFill="1" applyBorder="1"/>
    <xf numFmtId="167" fontId="0" fillId="0" borderId="2" xfId="0" applyNumberFormat="1" applyBorder="1"/>
    <xf numFmtId="0" fontId="0" fillId="0" borderId="0" xfId="0" applyAlignment="1">
      <alignment textRotation="90"/>
    </xf>
    <xf numFmtId="4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0" fillId="0" borderId="0" xfId="0" applyNumberFormat="1" applyAlignment="1">
      <alignment horizontal="center"/>
    </xf>
    <xf numFmtId="14" fontId="0" fillId="0" borderId="1" xfId="0" applyNumberFormat="1" applyBorder="1" applyAlignment="1">
      <alignment horizontal="center"/>
    </xf>
    <xf numFmtId="49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/>
    <xf numFmtId="1" fontId="0" fillId="0" borderId="1" xfId="0" applyNumberFormat="1" applyBorder="1" applyAlignment="1">
      <alignment textRotation="70"/>
    </xf>
    <xf numFmtId="1" fontId="0" fillId="0" borderId="2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 textRotation="70"/>
    </xf>
    <xf numFmtId="14" fontId="0" fillId="0" borderId="54" xfId="0" applyNumberFormat="1" applyBorder="1" applyAlignment="1">
      <alignment horizontal="center"/>
    </xf>
    <xf numFmtId="49" fontId="0" fillId="0" borderId="54" xfId="0" applyNumberFormat="1" applyBorder="1" applyAlignment="1">
      <alignment horizontal="center"/>
    </xf>
    <xf numFmtId="0" fontId="0" fillId="0" borderId="54" xfId="0" applyBorder="1" applyAlignment="1">
      <alignment horizontal="center"/>
    </xf>
    <xf numFmtId="1" fontId="0" fillId="0" borderId="54" xfId="0" applyNumberFormat="1" applyBorder="1" applyAlignment="1">
      <alignment horizontal="center"/>
    </xf>
    <xf numFmtId="2" fontId="0" fillId="0" borderId="54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0" fillId="0" borderId="25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0" xfId="0"/>
    <xf numFmtId="0" fontId="0" fillId="0" borderId="24" xfId="0" applyBorder="1" applyAlignment="1">
      <alignment horizontal="center"/>
    </xf>
    <xf numFmtId="0" fontId="0" fillId="0" borderId="23" xfId="0" applyBorder="1" applyAlignment="1">
      <alignment horizontal="center"/>
    </xf>
    <xf numFmtId="0" fontId="4" fillId="0" borderId="9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0" xfId="0" applyFont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2" xfId="0" applyFont="1" applyBorder="1" applyAlignment="1">
      <alignment horizontal="center" vertical="center"/>
    </xf>
    <xf numFmtId="167" fontId="0" fillId="8" borderId="47" xfId="0" applyNumberFormat="1" applyFill="1" applyBorder="1" applyAlignment="1">
      <alignment horizontal="center"/>
    </xf>
    <xf numFmtId="0" fontId="4" fillId="0" borderId="16" xfId="0" applyFont="1" applyBorder="1" applyAlignment="1">
      <alignment horizontal="center" vertical="center"/>
    </xf>
    <xf numFmtId="0" fontId="4" fillId="0" borderId="21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0" fillId="0" borderId="2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</cellXfs>
  <cellStyles count="2">
    <cellStyle name="Normal" xfId="0" builtinId="0"/>
    <cellStyle name="Output" xfId="1" builtinId="21"/>
  </cellStyles>
  <dxfs count="937"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5" tint="-0.24994659260841701"/>
      </font>
      <fill>
        <patternFill>
          <bgColor theme="9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theme="9" tint="-0.499984740745262"/>
      </font>
      <fill>
        <patternFill>
          <bgColor theme="9" tint="0.59996337778862885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rgb="FFC00000"/>
      </font>
      <fill>
        <patternFill>
          <bgColor rgb="FFED7777"/>
        </patternFill>
      </fill>
    </dxf>
    <dxf>
      <font>
        <color rgb="FFC00000"/>
      </font>
      <fill>
        <patternFill>
          <bgColor rgb="FFF2AAA8"/>
        </patternFill>
      </fill>
    </dxf>
    <dxf>
      <font>
        <color rgb="FFFF0000"/>
      </font>
      <fill>
        <patternFill>
          <bgColor rgb="FFFFC1C1"/>
        </patternFill>
      </fill>
    </dxf>
    <dxf>
      <font>
        <color rgb="FFFF0000"/>
      </font>
      <fill>
        <patternFill>
          <bgColor rgb="FFFFE1E1"/>
        </patternFill>
      </fill>
    </dxf>
    <dxf>
      <fill>
        <patternFill>
          <bgColor rgb="FFFCD908"/>
        </patternFill>
      </fill>
    </dxf>
    <dxf>
      <fill>
        <patternFill>
          <bgColor rgb="FFFCD908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B7B7"/>
        </patternFill>
      </fill>
    </dxf>
    <dxf>
      <fill>
        <patternFill>
          <bgColor theme="9" tint="0.79998168889431442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b/>
        <i val="0"/>
        <color rgb="FFC00000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0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theme="0" tint="-4.9989318521683403E-2"/>
      </font>
      <fill>
        <patternFill>
          <bgColor rgb="FF00B050"/>
        </patternFill>
      </fill>
      <border>
        <left/>
        <right/>
        <top/>
        <bottom/>
      </border>
    </dxf>
    <dxf>
      <font>
        <b/>
        <i val="0"/>
        <color theme="5"/>
      </font>
      <fill>
        <patternFill>
          <bgColor rgb="FF1530A5"/>
        </patternFill>
      </fill>
      <border>
        <left/>
        <right/>
        <top/>
        <bottom/>
      </border>
    </dxf>
    <dxf>
      <font>
        <b/>
        <i val="0"/>
        <color rgb="FFFFCC66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F7E609"/>
      </font>
      <fill>
        <patternFill>
          <bgColor theme="1"/>
        </patternFill>
      </fill>
      <border>
        <left/>
        <right/>
        <top/>
        <bottom/>
      </border>
    </dxf>
    <dxf>
      <font>
        <b/>
        <i val="0"/>
        <color rgb="FFFF6709"/>
      </font>
      <fill>
        <patternFill>
          <bgColor theme="3" tint="0.24994659260841701"/>
        </patternFill>
      </fill>
      <border>
        <left/>
        <right/>
        <top/>
        <bottom/>
      </border>
    </dxf>
    <dxf>
      <font>
        <b/>
        <i val="0"/>
        <color auto="1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FF0000"/>
      </font>
      <fill>
        <patternFill>
          <bgColor rgb="FF0000FF"/>
        </patternFill>
      </fill>
      <border>
        <left/>
        <right/>
        <top/>
        <bottom/>
      </border>
    </dxf>
    <dxf>
      <font>
        <b/>
        <i val="0"/>
        <color rgb="FF0033CC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C00000"/>
      </font>
      <fill>
        <patternFill>
          <bgColor rgb="FF126000"/>
        </patternFill>
      </fill>
      <border>
        <left/>
        <right/>
        <top/>
        <bottom/>
      </border>
    </dxf>
    <dxf>
      <font>
        <b/>
        <i val="0"/>
        <color rgb="FF1530A5"/>
      </font>
      <fill>
        <patternFill>
          <bgColor rgb="FFF2E600"/>
        </patternFill>
      </fill>
      <border>
        <left/>
        <right/>
        <top/>
        <bottom/>
      </border>
    </dxf>
    <dxf>
      <font>
        <b/>
        <i val="0"/>
        <color theme="1"/>
      </font>
      <fill>
        <patternFill>
          <bgColor rgb="FFDAA100"/>
        </patternFill>
      </fill>
      <border>
        <left/>
        <right/>
        <top/>
        <bottom/>
      </border>
    </dxf>
    <dxf>
      <font>
        <b/>
        <i val="0"/>
        <color rgb="FFFDF55F"/>
      </font>
      <fill>
        <patternFill>
          <bgColor theme="1"/>
        </patternFill>
      </fill>
      <border>
        <left/>
        <right/>
        <top/>
        <bottom/>
      </border>
    </dxf>
    <dxf>
      <font>
        <b/>
        <i val="0"/>
        <color theme="2" tint="-9.9917600024414813E-2"/>
      </font>
      <fill>
        <patternFill>
          <bgColor theme="1"/>
        </patternFill>
      </fill>
      <border>
        <left/>
        <right/>
        <top/>
        <bottom/>
      </border>
    </dxf>
    <dxf>
      <font>
        <b/>
        <i val="0"/>
      </font>
      <fill>
        <patternFill>
          <bgColor rgb="FFFA8F00"/>
        </patternFill>
      </fill>
      <border>
        <left/>
        <right/>
        <top/>
        <bottom/>
      </border>
    </dxf>
    <dxf>
      <font>
        <b/>
        <i val="0"/>
        <color rgb="FFFA8F00"/>
      </font>
      <fill>
        <patternFill>
          <bgColor rgb="FF009999"/>
        </patternFill>
      </fill>
      <border>
        <left/>
        <right/>
        <top/>
        <bottom/>
      </border>
    </dxf>
    <dxf>
      <font>
        <b/>
        <i val="0"/>
        <color rgb="FFFFFF00"/>
      </font>
      <fill>
        <patternFill>
          <bgColor rgb="FF1B6BCB"/>
        </patternFill>
      </fill>
      <border>
        <left/>
        <right/>
        <top/>
        <bottom/>
      </border>
    </dxf>
    <dxf>
      <font>
        <b/>
        <i val="0"/>
        <color rgb="FF73FDD9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rgb="FFF9ED05"/>
      </font>
      <fill>
        <patternFill>
          <bgColor rgb="FF777777"/>
        </patternFill>
      </fill>
      <border>
        <left/>
        <right/>
        <top/>
        <bottom/>
      </border>
    </dxf>
    <dxf>
      <font>
        <b/>
        <i val="0"/>
        <color rgb="FF00B050"/>
      </font>
      <fill>
        <patternFill>
          <bgColor theme="3" tint="0.24994659260841701"/>
        </patternFill>
      </fill>
      <border>
        <left/>
        <right/>
        <top/>
        <bottom/>
      </border>
    </dxf>
    <dxf>
      <font>
        <b/>
        <i val="0"/>
        <color theme="4" tint="0.59996337778862885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0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0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7" tint="0.79998168889431442"/>
      </font>
      <fill>
        <patternFill>
          <bgColor theme="4" tint="-0.499984740745262"/>
        </patternFill>
      </fill>
      <border>
        <left/>
        <right/>
        <top/>
        <bottom/>
      </border>
    </dxf>
    <dxf>
      <font>
        <b/>
        <i val="0"/>
        <color theme="3" tint="9.9948118533890809E-2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F7E609"/>
      </font>
      <fill>
        <patternFill>
          <bgColor rgb="FF0054BA"/>
        </patternFill>
      </fill>
      <border>
        <left/>
        <right/>
        <top/>
        <bottom/>
      </border>
    </dxf>
    <dxf>
      <font>
        <b/>
        <i val="0"/>
        <color auto="1"/>
      </font>
      <fill>
        <patternFill>
          <bgColor rgb="FFC00000"/>
        </patternFill>
      </fill>
      <border>
        <left/>
        <right/>
        <top/>
        <bottom/>
      </border>
    </dxf>
    <dxf>
      <font>
        <b/>
        <i val="0"/>
        <color auto="1"/>
      </font>
      <fill>
        <patternFill>
          <bgColor rgb="FFFF3300"/>
        </patternFill>
      </fill>
      <border>
        <left/>
        <right/>
        <top/>
        <bottom/>
      </border>
    </dxf>
    <dxf>
      <font>
        <b/>
        <i val="0"/>
        <color theme="3" tint="0.24994659260841701"/>
      </font>
      <fill>
        <patternFill>
          <bgColor rgb="FF861818"/>
        </patternFill>
      </fill>
      <border>
        <left/>
        <right/>
        <top/>
        <bottom/>
      </border>
    </dxf>
    <dxf>
      <font>
        <b/>
        <i val="0"/>
        <color rgb="FFF7E609"/>
      </font>
      <fill>
        <patternFill>
          <bgColor rgb="FFC00000"/>
        </patternFill>
      </fill>
      <border>
        <left/>
        <right/>
        <top/>
        <bottom/>
      </border>
    </dxf>
    <dxf>
      <font>
        <b/>
        <i val="0"/>
        <color rgb="FFC00000"/>
      </font>
      <fill>
        <patternFill>
          <bgColor theme="1"/>
        </patternFill>
      </fill>
      <border>
        <left/>
        <right/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0" formatCode="General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4"/>
          <bgColor theme="4"/>
        </patternFill>
      </fill>
      <alignment horizontal="general" vertical="top" textRotation="9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</dxf>
    <dxf>
      <numFmt numFmtId="164" formatCode="0.000"/>
    </dxf>
    <dxf>
      <numFmt numFmtId="164" formatCode="0.000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center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0" formatCode="General"/>
    </dxf>
    <dxf>
      <alignment horizontal="general" vertical="top" textRotation="9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9" formatCode="yyyy/mm/dd"/>
      <fill>
        <patternFill patternType="none">
          <fgColor indexed="64"/>
          <bgColor indexed="65"/>
        </patternFill>
      </fill>
      <alignment horizontal="general" vertical="center" textRotation="9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9" formatCode="yyyy/mm/dd"/>
      <fill>
        <patternFill patternType="none">
          <fgColor indexed="64"/>
          <bgColor indexed="65"/>
        </patternFill>
      </fill>
      <alignment horizontal="general" vertical="center" textRotation="9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9" formatCode="yyyy/mm/d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yyyy/mm/d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19" formatCode="yyyy/mm/dd"/>
      <alignment horizontal="center" vertical="bottom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alignment horizontal="general" vertical="bottom" textRotation="70" wrapText="0" indent="0" justifyLastLine="0" shrinkToFit="0" readingOrder="0"/>
    </dxf>
  </dxfs>
  <tableStyles count="0" defaultTableStyle="TableStyleMedium2" defaultPivotStyle="PivotStyleLight16"/>
  <colors>
    <mruColors>
      <color rgb="FF009644"/>
      <color rgb="FFFFB7B7"/>
      <color rgb="FFFFEC8B"/>
      <color rgb="FFFFE45B"/>
      <color rgb="FFFF7979"/>
      <color rgb="FFFCD908"/>
      <color rgb="FFFFFF99"/>
      <color rgb="FFFFFFCC"/>
      <color rgb="FFFFFF66"/>
      <color rgb="FFFFC1C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DataRegularSeason20242025!$AF$1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DataRegularSeason20242025!$C$2:$C$1317</c:f>
              <c:strCache>
                <c:ptCount val="1313"/>
                <c:pt idx="0">
                  <c:v>GameID</c:v>
                </c:pt>
                <c:pt idx="1">
                  <c:v>2025020001</c:v>
                </c:pt>
                <c:pt idx="2">
                  <c:v>2025020002</c:v>
                </c:pt>
                <c:pt idx="3">
                  <c:v>2025020003</c:v>
                </c:pt>
                <c:pt idx="4">
                  <c:v>2025020004</c:v>
                </c:pt>
                <c:pt idx="5">
                  <c:v>2025020005</c:v>
                </c:pt>
                <c:pt idx="6">
                  <c:v>2025020006</c:v>
                </c:pt>
                <c:pt idx="7">
                  <c:v>2025020007</c:v>
                </c:pt>
                <c:pt idx="8">
                  <c:v>2025020008</c:v>
                </c:pt>
                <c:pt idx="9">
                  <c:v>2025020009</c:v>
                </c:pt>
                <c:pt idx="10">
                  <c:v>2025020010</c:v>
                </c:pt>
                <c:pt idx="11">
                  <c:v>2025020011</c:v>
                </c:pt>
                <c:pt idx="12">
                  <c:v>2025020012</c:v>
                </c:pt>
                <c:pt idx="13">
                  <c:v>2025020013</c:v>
                </c:pt>
                <c:pt idx="14">
                  <c:v>2025020014</c:v>
                </c:pt>
                <c:pt idx="15">
                  <c:v>2025020015</c:v>
                </c:pt>
                <c:pt idx="16">
                  <c:v>2025020016</c:v>
                </c:pt>
                <c:pt idx="17">
                  <c:v>2025020017</c:v>
                </c:pt>
                <c:pt idx="18">
                  <c:v>2025020018</c:v>
                </c:pt>
                <c:pt idx="19">
                  <c:v>2025020019</c:v>
                </c:pt>
                <c:pt idx="20">
                  <c:v>2025020020</c:v>
                </c:pt>
                <c:pt idx="21">
                  <c:v>2025020021</c:v>
                </c:pt>
                <c:pt idx="22">
                  <c:v>2025020022</c:v>
                </c:pt>
                <c:pt idx="23">
                  <c:v>2025020023</c:v>
                </c:pt>
                <c:pt idx="24">
                  <c:v>2025020024</c:v>
                </c:pt>
                <c:pt idx="25">
                  <c:v>2025020025</c:v>
                </c:pt>
                <c:pt idx="26">
                  <c:v>2025020026</c:v>
                </c:pt>
                <c:pt idx="27">
                  <c:v>2025020027</c:v>
                </c:pt>
                <c:pt idx="28">
                  <c:v>2025020028</c:v>
                </c:pt>
                <c:pt idx="29">
                  <c:v>2025020029</c:v>
                </c:pt>
                <c:pt idx="30">
                  <c:v>2025020030</c:v>
                </c:pt>
                <c:pt idx="31">
                  <c:v>2025020031</c:v>
                </c:pt>
                <c:pt idx="32">
                  <c:v>2025020032</c:v>
                </c:pt>
                <c:pt idx="33">
                  <c:v>2025020033</c:v>
                </c:pt>
                <c:pt idx="34">
                  <c:v>2025020034</c:v>
                </c:pt>
                <c:pt idx="35">
                  <c:v>2025020035</c:v>
                </c:pt>
                <c:pt idx="36">
                  <c:v>2025020036</c:v>
                </c:pt>
                <c:pt idx="37">
                  <c:v>2025020037</c:v>
                </c:pt>
                <c:pt idx="38">
                  <c:v>2025020038</c:v>
                </c:pt>
                <c:pt idx="39">
                  <c:v>2025020039</c:v>
                </c:pt>
                <c:pt idx="40">
                  <c:v>2025020040</c:v>
                </c:pt>
                <c:pt idx="41">
                  <c:v>2025020041</c:v>
                </c:pt>
                <c:pt idx="42">
                  <c:v>2025020042</c:v>
                </c:pt>
                <c:pt idx="43">
                  <c:v>2025020043</c:v>
                </c:pt>
                <c:pt idx="44">
                  <c:v>2025020044</c:v>
                </c:pt>
                <c:pt idx="45">
                  <c:v>2025020045</c:v>
                </c:pt>
                <c:pt idx="46">
                  <c:v>2025020046</c:v>
                </c:pt>
                <c:pt idx="47">
                  <c:v>2025020047</c:v>
                </c:pt>
                <c:pt idx="48">
                  <c:v>2025020048</c:v>
                </c:pt>
                <c:pt idx="49">
                  <c:v>2025020049</c:v>
                </c:pt>
                <c:pt idx="50">
                  <c:v>2025020050</c:v>
                </c:pt>
                <c:pt idx="51">
                  <c:v>2025020051</c:v>
                </c:pt>
                <c:pt idx="52">
                  <c:v>2025020052</c:v>
                </c:pt>
                <c:pt idx="53">
                  <c:v>2025020053</c:v>
                </c:pt>
                <c:pt idx="54">
                  <c:v>2025020054</c:v>
                </c:pt>
                <c:pt idx="55">
                  <c:v>2025020055</c:v>
                </c:pt>
                <c:pt idx="56">
                  <c:v>2025020056</c:v>
                </c:pt>
                <c:pt idx="57">
                  <c:v>2025020057</c:v>
                </c:pt>
                <c:pt idx="58">
                  <c:v>2025020058</c:v>
                </c:pt>
                <c:pt idx="59">
                  <c:v>2025020059</c:v>
                </c:pt>
                <c:pt idx="60">
                  <c:v>2025020060</c:v>
                </c:pt>
                <c:pt idx="61">
                  <c:v>2025020061</c:v>
                </c:pt>
                <c:pt idx="62">
                  <c:v>2025020062</c:v>
                </c:pt>
                <c:pt idx="63">
                  <c:v>2025020063</c:v>
                </c:pt>
                <c:pt idx="64">
                  <c:v>2025020064</c:v>
                </c:pt>
                <c:pt idx="65">
                  <c:v>2025020065</c:v>
                </c:pt>
                <c:pt idx="66">
                  <c:v>2025020066</c:v>
                </c:pt>
                <c:pt idx="67">
                  <c:v>2025020067</c:v>
                </c:pt>
                <c:pt idx="68">
                  <c:v>2025020068</c:v>
                </c:pt>
                <c:pt idx="69">
                  <c:v>2025020069</c:v>
                </c:pt>
                <c:pt idx="70">
                  <c:v>2025020070</c:v>
                </c:pt>
                <c:pt idx="71">
                  <c:v>2025020071</c:v>
                </c:pt>
                <c:pt idx="72">
                  <c:v>2025020072</c:v>
                </c:pt>
                <c:pt idx="73">
                  <c:v>2025020073</c:v>
                </c:pt>
                <c:pt idx="74">
                  <c:v>2025020074</c:v>
                </c:pt>
                <c:pt idx="75">
                  <c:v>2025020075</c:v>
                </c:pt>
                <c:pt idx="76">
                  <c:v>2025020076</c:v>
                </c:pt>
                <c:pt idx="77">
                  <c:v>2025020077</c:v>
                </c:pt>
                <c:pt idx="78">
                  <c:v>2025020078</c:v>
                </c:pt>
                <c:pt idx="79">
                  <c:v>2025020079</c:v>
                </c:pt>
                <c:pt idx="80">
                  <c:v>2025020080</c:v>
                </c:pt>
                <c:pt idx="81">
                  <c:v>2025020081</c:v>
                </c:pt>
                <c:pt idx="82">
                  <c:v>2025020082</c:v>
                </c:pt>
                <c:pt idx="83">
                  <c:v>2025020083</c:v>
                </c:pt>
                <c:pt idx="84">
                  <c:v>2025020084</c:v>
                </c:pt>
                <c:pt idx="85">
                  <c:v>2025020085</c:v>
                </c:pt>
                <c:pt idx="86">
                  <c:v>2025020086</c:v>
                </c:pt>
                <c:pt idx="87">
                  <c:v>2025020087</c:v>
                </c:pt>
                <c:pt idx="88">
                  <c:v>2025020088</c:v>
                </c:pt>
                <c:pt idx="89">
                  <c:v>2025020089</c:v>
                </c:pt>
                <c:pt idx="90">
                  <c:v>2025020090</c:v>
                </c:pt>
                <c:pt idx="91">
                  <c:v>2025020091</c:v>
                </c:pt>
                <c:pt idx="92">
                  <c:v>2025020092</c:v>
                </c:pt>
                <c:pt idx="93">
                  <c:v>2025020093</c:v>
                </c:pt>
                <c:pt idx="94">
                  <c:v>2025020094</c:v>
                </c:pt>
                <c:pt idx="95">
                  <c:v>2025020095</c:v>
                </c:pt>
                <c:pt idx="96">
                  <c:v>2025020096</c:v>
                </c:pt>
                <c:pt idx="97">
                  <c:v>2025020097</c:v>
                </c:pt>
                <c:pt idx="98">
                  <c:v>2025020098</c:v>
                </c:pt>
                <c:pt idx="99">
                  <c:v>2025020099</c:v>
                </c:pt>
                <c:pt idx="100">
                  <c:v>2025020100</c:v>
                </c:pt>
                <c:pt idx="101">
                  <c:v>2025020101</c:v>
                </c:pt>
                <c:pt idx="102">
                  <c:v>2025020102</c:v>
                </c:pt>
                <c:pt idx="103">
                  <c:v>2025020103</c:v>
                </c:pt>
                <c:pt idx="104">
                  <c:v>2025020104</c:v>
                </c:pt>
                <c:pt idx="105">
                  <c:v>2025020105</c:v>
                </c:pt>
                <c:pt idx="106">
                  <c:v>2025020106</c:v>
                </c:pt>
                <c:pt idx="107">
                  <c:v>2025020107</c:v>
                </c:pt>
                <c:pt idx="108">
                  <c:v>2025020108</c:v>
                </c:pt>
                <c:pt idx="109">
                  <c:v>2025020109</c:v>
                </c:pt>
                <c:pt idx="110">
                  <c:v>2025020110</c:v>
                </c:pt>
                <c:pt idx="111">
                  <c:v>2025020111</c:v>
                </c:pt>
                <c:pt idx="112">
                  <c:v>2025020112</c:v>
                </c:pt>
                <c:pt idx="113">
                  <c:v>2025020113</c:v>
                </c:pt>
                <c:pt idx="114">
                  <c:v>2025020114</c:v>
                </c:pt>
                <c:pt idx="115">
                  <c:v>2025020115</c:v>
                </c:pt>
                <c:pt idx="116">
                  <c:v>2025020116</c:v>
                </c:pt>
                <c:pt idx="117">
                  <c:v>2025020117</c:v>
                </c:pt>
                <c:pt idx="118">
                  <c:v>2025020118</c:v>
                </c:pt>
                <c:pt idx="119">
                  <c:v>2025020119</c:v>
                </c:pt>
                <c:pt idx="120">
                  <c:v>2025020120</c:v>
                </c:pt>
                <c:pt idx="121">
                  <c:v>2025020121</c:v>
                </c:pt>
                <c:pt idx="122">
                  <c:v>2025020122</c:v>
                </c:pt>
                <c:pt idx="123">
                  <c:v>2025020123</c:v>
                </c:pt>
                <c:pt idx="124">
                  <c:v>2025020124</c:v>
                </c:pt>
                <c:pt idx="125">
                  <c:v>2025020125</c:v>
                </c:pt>
                <c:pt idx="126">
                  <c:v>2025020126</c:v>
                </c:pt>
                <c:pt idx="127">
                  <c:v>2025020127</c:v>
                </c:pt>
                <c:pt idx="128">
                  <c:v>2025020128</c:v>
                </c:pt>
                <c:pt idx="129">
                  <c:v>2025020129</c:v>
                </c:pt>
                <c:pt idx="130">
                  <c:v>2025020130</c:v>
                </c:pt>
                <c:pt idx="131">
                  <c:v>2025020131</c:v>
                </c:pt>
                <c:pt idx="132">
                  <c:v>2025020132</c:v>
                </c:pt>
                <c:pt idx="133">
                  <c:v>2025020133</c:v>
                </c:pt>
                <c:pt idx="134">
                  <c:v>2025020134</c:v>
                </c:pt>
                <c:pt idx="135">
                  <c:v>2025020135</c:v>
                </c:pt>
                <c:pt idx="136">
                  <c:v>2025020136</c:v>
                </c:pt>
                <c:pt idx="137">
                  <c:v>2025020137</c:v>
                </c:pt>
                <c:pt idx="138">
                  <c:v>2025020138</c:v>
                </c:pt>
                <c:pt idx="139">
                  <c:v>2025020139</c:v>
                </c:pt>
                <c:pt idx="140">
                  <c:v>2025020140</c:v>
                </c:pt>
                <c:pt idx="141">
                  <c:v>2025020141</c:v>
                </c:pt>
                <c:pt idx="142">
                  <c:v>2025020142</c:v>
                </c:pt>
                <c:pt idx="143">
                  <c:v>2025020143</c:v>
                </c:pt>
                <c:pt idx="144">
                  <c:v>2025020144</c:v>
                </c:pt>
                <c:pt idx="145">
                  <c:v>2025020145</c:v>
                </c:pt>
                <c:pt idx="146">
                  <c:v>2025020146</c:v>
                </c:pt>
                <c:pt idx="147">
                  <c:v>2025020147</c:v>
                </c:pt>
                <c:pt idx="148">
                  <c:v>2025020148</c:v>
                </c:pt>
                <c:pt idx="149">
                  <c:v>2025020149</c:v>
                </c:pt>
                <c:pt idx="150">
                  <c:v>2025020150</c:v>
                </c:pt>
                <c:pt idx="151">
                  <c:v>2025020151</c:v>
                </c:pt>
                <c:pt idx="152">
                  <c:v>2025020152</c:v>
                </c:pt>
                <c:pt idx="153">
                  <c:v>2025020153</c:v>
                </c:pt>
                <c:pt idx="154">
                  <c:v>2025020154</c:v>
                </c:pt>
                <c:pt idx="155">
                  <c:v>2025020155</c:v>
                </c:pt>
                <c:pt idx="156">
                  <c:v>2025020156</c:v>
                </c:pt>
                <c:pt idx="157">
                  <c:v>2025020157</c:v>
                </c:pt>
                <c:pt idx="158">
                  <c:v>2025020158</c:v>
                </c:pt>
                <c:pt idx="159">
                  <c:v>2025020159</c:v>
                </c:pt>
                <c:pt idx="160">
                  <c:v>2025020160</c:v>
                </c:pt>
                <c:pt idx="161">
                  <c:v>2025020161</c:v>
                </c:pt>
                <c:pt idx="162">
                  <c:v>2025020162</c:v>
                </c:pt>
                <c:pt idx="163">
                  <c:v>2025020163</c:v>
                </c:pt>
                <c:pt idx="164">
                  <c:v>2025020164</c:v>
                </c:pt>
                <c:pt idx="165">
                  <c:v>2025020165</c:v>
                </c:pt>
                <c:pt idx="166">
                  <c:v>2025020166</c:v>
                </c:pt>
                <c:pt idx="167">
                  <c:v>2025020167</c:v>
                </c:pt>
                <c:pt idx="168">
                  <c:v>2025020168</c:v>
                </c:pt>
                <c:pt idx="169">
                  <c:v>2025020169</c:v>
                </c:pt>
                <c:pt idx="170">
                  <c:v>2025020170</c:v>
                </c:pt>
                <c:pt idx="171">
                  <c:v>2025020171</c:v>
                </c:pt>
                <c:pt idx="172">
                  <c:v>2025020172</c:v>
                </c:pt>
                <c:pt idx="173">
                  <c:v>2025020173</c:v>
                </c:pt>
                <c:pt idx="174">
                  <c:v>2025020174</c:v>
                </c:pt>
                <c:pt idx="175">
                  <c:v>2025020175</c:v>
                </c:pt>
                <c:pt idx="176">
                  <c:v>2025020176</c:v>
                </c:pt>
                <c:pt idx="177">
                  <c:v>2025020177</c:v>
                </c:pt>
                <c:pt idx="178">
                  <c:v>2025020178</c:v>
                </c:pt>
                <c:pt idx="179">
                  <c:v>2025020179</c:v>
                </c:pt>
                <c:pt idx="180">
                  <c:v>2025020180</c:v>
                </c:pt>
                <c:pt idx="181">
                  <c:v>2025020181</c:v>
                </c:pt>
                <c:pt idx="182">
                  <c:v>2025020182</c:v>
                </c:pt>
                <c:pt idx="183">
                  <c:v>2025020183</c:v>
                </c:pt>
                <c:pt idx="184">
                  <c:v>2025020184</c:v>
                </c:pt>
                <c:pt idx="185">
                  <c:v>2025020185</c:v>
                </c:pt>
                <c:pt idx="186">
                  <c:v>2025020186</c:v>
                </c:pt>
                <c:pt idx="187">
                  <c:v>2025020187</c:v>
                </c:pt>
                <c:pt idx="188">
                  <c:v>2025020188</c:v>
                </c:pt>
                <c:pt idx="189">
                  <c:v>2025020189</c:v>
                </c:pt>
                <c:pt idx="190">
                  <c:v>2025020190</c:v>
                </c:pt>
                <c:pt idx="191">
                  <c:v>2025020191</c:v>
                </c:pt>
                <c:pt idx="192">
                  <c:v>2025020192</c:v>
                </c:pt>
                <c:pt idx="193">
                  <c:v>2025020193</c:v>
                </c:pt>
                <c:pt idx="194">
                  <c:v>2025020194</c:v>
                </c:pt>
                <c:pt idx="195">
                  <c:v>2025020195</c:v>
                </c:pt>
                <c:pt idx="196">
                  <c:v>2025020196</c:v>
                </c:pt>
                <c:pt idx="197">
                  <c:v>2025020197</c:v>
                </c:pt>
                <c:pt idx="198">
                  <c:v>2025020198</c:v>
                </c:pt>
                <c:pt idx="199">
                  <c:v>2025020199</c:v>
                </c:pt>
                <c:pt idx="200">
                  <c:v>2025020200</c:v>
                </c:pt>
                <c:pt idx="201">
                  <c:v>2025020201</c:v>
                </c:pt>
                <c:pt idx="202">
                  <c:v>2025020202</c:v>
                </c:pt>
                <c:pt idx="203">
                  <c:v>2025020203</c:v>
                </c:pt>
                <c:pt idx="204">
                  <c:v>2025020204</c:v>
                </c:pt>
                <c:pt idx="205">
                  <c:v>2025020205</c:v>
                </c:pt>
                <c:pt idx="206">
                  <c:v>2025020206</c:v>
                </c:pt>
                <c:pt idx="207">
                  <c:v>2025020207</c:v>
                </c:pt>
                <c:pt idx="208">
                  <c:v>2025020208</c:v>
                </c:pt>
                <c:pt idx="209">
                  <c:v>2025020209</c:v>
                </c:pt>
                <c:pt idx="210">
                  <c:v>2025020210</c:v>
                </c:pt>
                <c:pt idx="211">
                  <c:v>2025020211</c:v>
                </c:pt>
                <c:pt idx="212">
                  <c:v>2025020212</c:v>
                </c:pt>
                <c:pt idx="213">
                  <c:v>2025020213</c:v>
                </c:pt>
                <c:pt idx="214">
                  <c:v>2025020214</c:v>
                </c:pt>
                <c:pt idx="215">
                  <c:v>2025020215</c:v>
                </c:pt>
                <c:pt idx="216">
                  <c:v>2025020216</c:v>
                </c:pt>
                <c:pt idx="217">
                  <c:v>2025020217</c:v>
                </c:pt>
                <c:pt idx="218">
                  <c:v>2025020218</c:v>
                </c:pt>
                <c:pt idx="219">
                  <c:v>2025020219</c:v>
                </c:pt>
                <c:pt idx="220">
                  <c:v>2025020220</c:v>
                </c:pt>
                <c:pt idx="221">
                  <c:v>2025020221</c:v>
                </c:pt>
                <c:pt idx="222">
                  <c:v>2025020222</c:v>
                </c:pt>
                <c:pt idx="223">
                  <c:v>2025020223</c:v>
                </c:pt>
                <c:pt idx="224">
                  <c:v>2025020224</c:v>
                </c:pt>
                <c:pt idx="225">
                  <c:v>2025020225</c:v>
                </c:pt>
                <c:pt idx="226">
                  <c:v>2025020226</c:v>
                </c:pt>
                <c:pt idx="227">
                  <c:v>2025020227</c:v>
                </c:pt>
                <c:pt idx="228">
                  <c:v>2025020228</c:v>
                </c:pt>
                <c:pt idx="229">
                  <c:v>2025020229</c:v>
                </c:pt>
                <c:pt idx="230">
                  <c:v>2025020230</c:v>
                </c:pt>
                <c:pt idx="231">
                  <c:v>2025020231</c:v>
                </c:pt>
                <c:pt idx="232">
                  <c:v>2025020232</c:v>
                </c:pt>
                <c:pt idx="233">
                  <c:v>2025020233</c:v>
                </c:pt>
                <c:pt idx="234">
                  <c:v>2025020234</c:v>
                </c:pt>
                <c:pt idx="235">
                  <c:v>2025020235</c:v>
                </c:pt>
                <c:pt idx="236">
                  <c:v>2025020236</c:v>
                </c:pt>
                <c:pt idx="237">
                  <c:v>2025020237</c:v>
                </c:pt>
                <c:pt idx="238">
                  <c:v>2025020238</c:v>
                </c:pt>
                <c:pt idx="239">
                  <c:v>2025020239</c:v>
                </c:pt>
                <c:pt idx="240">
                  <c:v>2025020240</c:v>
                </c:pt>
                <c:pt idx="241">
                  <c:v>2025020241</c:v>
                </c:pt>
                <c:pt idx="242">
                  <c:v>2025020242</c:v>
                </c:pt>
                <c:pt idx="243">
                  <c:v>2025020243</c:v>
                </c:pt>
                <c:pt idx="244">
                  <c:v>2025020244</c:v>
                </c:pt>
                <c:pt idx="245">
                  <c:v>2025020245</c:v>
                </c:pt>
                <c:pt idx="246">
                  <c:v>2025020246</c:v>
                </c:pt>
                <c:pt idx="247">
                  <c:v>2025020247</c:v>
                </c:pt>
                <c:pt idx="248">
                  <c:v>2025020248</c:v>
                </c:pt>
                <c:pt idx="249">
                  <c:v>2025020249</c:v>
                </c:pt>
                <c:pt idx="250">
                  <c:v>2025020250</c:v>
                </c:pt>
                <c:pt idx="251">
                  <c:v>2025020251</c:v>
                </c:pt>
                <c:pt idx="252">
                  <c:v>2025020252</c:v>
                </c:pt>
                <c:pt idx="253">
                  <c:v>2025020253</c:v>
                </c:pt>
                <c:pt idx="254">
                  <c:v>2025020254</c:v>
                </c:pt>
                <c:pt idx="255">
                  <c:v>2025020255</c:v>
                </c:pt>
                <c:pt idx="256">
                  <c:v>2025020256</c:v>
                </c:pt>
                <c:pt idx="257">
                  <c:v>2025020257</c:v>
                </c:pt>
                <c:pt idx="258">
                  <c:v>2025020258</c:v>
                </c:pt>
                <c:pt idx="259">
                  <c:v>2025020259</c:v>
                </c:pt>
                <c:pt idx="260">
                  <c:v>2025020260</c:v>
                </c:pt>
                <c:pt idx="261">
                  <c:v>2025020261</c:v>
                </c:pt>
                <c:pt idx="262">
                  <c:v>2025020262</c:v>
                </c:pt>
                <c:pt idx="263">
                  <c:v>2025020263</c:v>
                </c:pt>
                <c:pt idx="264">
                  <c:v>2025020264</c:v>
                </c:pt>
                <c:pt idx="265">
                  <c:v>2025020265</c:v>
                </c:pt>
                <c:pt idx="266">
                  <c:v>2025020266</c:v>
                </c:pt>
                <c:pt idx="267">
                  <c:v>2025020267</c:v>
                </c:pt>
                <c:pt idx="268">
                  <c:v>2025020268</c:v>
                </c:pt>
                <c:pt idx="269">
                  <c:v>2025020269</c:v>
                </c:pt>
                <c:pt idx="270">
                  <c:v>2025020270</c:v>
                </c:pt>
                <c:pt idx="271">
                  <c:v>2025020271</c:v>
                </c:pt>
                <c:pt idx="272">
                  <c:v>2025020272</c:v>
                </c:pt>
                <c:pt idx="273">
                  <c:v>2025020273</c:v>
                </c:pt>
                <c:pt idx="274">
                  <c:v>2025020274</c:v>
                </c:pt>
                <c:pt idx="275">
                  <c:v>2025020275</c:v>
                </c:pt>
                <c:pt idx="276">
                  <c:v>2025020276</c:v>
                </c:pt>
                <c:pt idx="277">
                  <c:v>2025020277</c:v>
                </c:pt>
                <c:pt idx="278">
                  <c:v>2025020278</c:v>
                </c:pt>
                <c:pt idx="279">
                  <c:v>2025020281</c:v>
                </c:pt>
                <c:pt idx="280">
                  <c:v>2025020279</c:v>
                </c:pt>
                <c:pt idx="281">
                  <c:v>2025020280</c:v>
                </c:pt>
                <c:pt idx="282">
                  <c:v>2025020282</c:v>
                </c:pt>
                <c:pt idx="283">
                  <c:v>2025020283</c:v>
                </c:pt>
                <c:pt idx="284">
                  <c:v>2025020284</c:v>
                </c:pt>
                <c:pt idx="285">
                  <c:v>2025020285</c:v>
                </c:pt>
                <c:pt idx="286">
                  <c:v>2025020286</c:v>
                </c:pt>
                <c:pt idx="287">
                  <c:v>2025020287</c:v>
                </c:pt>
                <c:pt idx="288">
                  <c:v>2025020288</c:v>
                </c:pt>
                <c:pt idx="289">
                  <c:v>2025020289</c:v>
                </c:pt>
                <c:pt idx="290">
                  <c:v>2025020290</c:v>
                </c:pt>
                <c:pt idx="291">
                  <c:v>2025020291</c:v>
                </c:pt>
                <c:pt idx="292">
                  <c:v>2025020292</c:v>
                </c:pt>
                <c:pt idx="293">
                  <c:v>2025020293</c:v>
                </c:pt>
                <c:pt idx="294">
                  <c:v>2025020294</c:v>
                </c:pt>
                <c:pt idx="295">
                  <c:v>2025020295</c:v>
                </c:pt>
                <c:pt idx="296">
                  <c:v>2025020296</c:v>
                </c:pt>
                <c:pt idx="297">
                  <c:v>2025020297</c:v>
                </c:pt>
                <c:pt idx="298">
                  <c:v>2025020298</c:v>
                </c:pt>
                <c:pt idx="299">
                  <c:v>2025020299</c:v>
                </c:pt>
                <c:pt idx="300">
                  <c:v>2025020300</c:v>
                </c:pt>
                <c:pt idx="301">
                  <c:v>2025020301</c:v>
                </c:pt>
                <c:pt idx="302">
                  <c:v>2025020302</c:v>
                </c:pt>
                <c:pt idx="303">
                  <c:v>2025020303</c:v>
                </c:pt>
                <c:pt idx="304">
                  <c:v>2025020304</c:v>
                </c:pt>
                <c:pt idx="305">
                  <c:v>2025020305</c:v>
                </c:pt>
                <c:pt idx="306">
                  <c:v>2025020306</c:v>
                </c:pt>
                <c:pt idx="307">
                  <c:v>2025020307</c:v>
                </c:pt>
                <c:pt idx="308">
                  <c:v>2025020308</c:v>
                </c:pt>
                <c:pt idx="309">
                  <c:v>2025020309</c:v>
                </c:pt>
                <c:pt idx="310">
                  <c:v>2025020310</c:v>
                </c:pt>
                <c:pt idx="311">
                  <c:v>2025020311</c:v>
                </c:pt>
                <c:pt idx="312">
                  <c:v>2025020312</c:v>
                </c:pt>
                <c:pt idx="313">
                  <c:v>2025020313</c:v>
                </c:pt>
                <c:pt idx="314">
                  <c:v>2025020314</c:v>
                </c:pt>
                <c:pt idx="315">
                  <c:v>2025020315</c:v>
                </c:pt>
                <c:pt idx="316">
                  <c:v>2025020316</c:v>
                </c:pt>
                <c:pt idx="317">
                  <c:v>2025020317</c:v>
                </c:pt>
                <c:pt idx="318">
                  <c:v>2025020318</c:v>
                </c:pt>
                <c:pt idx="319">
                  <c:v>2025020319</c:v>
                </c:pt>
                <c:pt idx="320">
                  <c:v>2025020320</c:v>
                </c:pt>
                <c:pt idx="321">
                  <c:v>2025020321</c:v>
                </c:pt>
                <c:pt idx="322">
                  <c:v>2025020322</c:v>
                </c:pt>
                <c:pt idx="323">
                  <c:v>2025020323</c:v>
                </c:pt>
                <c:pt idx="324">
                  <c:v>2025020324</c:v>
                </c:pt>
                <c:pt idx="325">
                  <c:v>2025020325</c:v>
                </c:pt>
                <c:pt idx="326">
                  <c:v>2025020326</c:v>
                </c:pt>
                <c:pt idx="327">
                  <c:v>2025020327</c:v>
                </c:pt>
                <c:pt idx="328">
                  <c:v>2025020328</c:v>
                </c:pt>
                <c:pt idx="329">
                  <c:v>2025020329</c:v>
                </c:pt>
                <c:pt idx="330">
                  <c:v>2025020330</c:v>
                </c:pt>
                <c:pt idx="331">
                  <c:v>2025020331</c:v>
                </c:pt>
                <c:pt idx="332">
                  <c:v>2025020332</c:v>
                </c:pt>
                <c:pt idx="333">
                  <c:v>2025020333</c:v>
                </c:pt>
                <c:pt idx="334">
                  <c:v>2025020334</c:v>
                </c:pt>
                <c:pt idx="335">
                  <c:v>2025020335</c:v>
                </c:pt>
                <c:pt idx="336">
                  <c:v>2025020336</c:v>
                </c:pt>
                <c:pt idx="337">
                  <c:v>2025020337</c:v>
                </c:pt>
                <c:pt idx="338">
                  <c:v>2025020338</c:v>
                </c:pt>
                <c:pt idx="339">
                  <c:v>2025020339</c:v>
                </c:pt>
                <c:pt idx="340">
                  <c:v>2025020340</c:v>
                </c:pt>
                <c:pt idx="341">
                  <c:v>2025020341</c:v>
                </c:pt>
                <c:pt idx="342">
                  <c:v>2025020342</c:v>
                </c:pt>
                <c:pt idx="343">
                  <c:v>2025020343</c:v>
                </c:pt>
                <c:pt idx="344">
                  <c:v>2025020344</c:v>
                </c:pt>
                <c:pt idx="345">
                  <c:v>2025020345</c:v>
                </c:pt>
                <c:pt idx="346">
                  <c:v>2025020346</c:v>
                </c:pt>
                <c:pt idx="347">
                  <c:v>2025020347</c:v>
                </c:pt>
                <c:pt idx="348">
                  <c:v>2025020348</c:v>
                </c:pt>
                <c:pt idx="349">
                  <c:v>2025020349</c:v>
                </c:pt>
                <c:pt idx="350">
                  <c:v>2025020350</c:v>
                </c:pt>
                <c:pt idx="351">
                  <c:v>2025020351</c:v>
                </c:pt>
                <c:pt idx="352">
                  <c:v>2025020352</c:v>
                </c:pt>
                <c:pt idx="353">
                  <c:v>2025020353</c:v>
                </c:pt>
                <c:pt idx="354">
                  <c:v>2025020354</c:v>
                </c:pt>
                <c:pt idx="355">
                  <c:v>2025020355</c:v>
                </c:pt>
                <c:pt idx="356">
                  <c:v>2025020356</c:v>
                </c:pt>
                <c:pt idx="357">
                  <c:v>2025020357</c:v>
                </c:pt>
                <c:pt idx="358">
                  <c:v>2025020358</c:v>
                </c:pt>
                <c:pt idx="359">
                  <c:v>2025020359</c:v>
                </c:pt>
                <c:pt idx="360">
                  <c:v>2025020360</c:v>
                </c:pt>
                <c:pt idx="361">
                  <c:v>2025020361</c:v>
                </c:pt>
                <c:pt idx="362">
                  <c:v>2025020362</c:v>
                </c:pt>
                <c:pt idx="363">
                  <c:v>2025020363</c:v>
                </c:pt>
                <c:pt idx="364">
                  <c:v>2025020364</c:v>
                </c:pt>
                <c:pt idx="365">
                  <c:v>2025020365</c:v>
                </c:pt>
                <c:pt idx="366">
                  <c:v>2025020366</c:v>
                </c:pt>
                <c:pt idx="367">
                  <c:v>2025020367</c:v>
                </c:pt>
                <c:pt idx="368">
                  <c:v>2025020368</c:v>
                </c:pt>
                <c:pt idx="369">
                  <c:v>2025020369</c:v>
                </c:pt>
                <c:pt idx="370">
                  <c:v>2025020370</c:v>
                </c:pt>
                <c:pt idx="371">
                  <c:v>2025020371</c:v>
                </c:pt>
                <c:pt idx="372">
                  <c:v>2025020372</c:v>
                </c:pt>
                <c:pt idx="373">
                  <c:v>2025020373</c:v>
                </c:pt>
                <c:pt idx="374">
                  <c:v>2025020374</c:v>
                </c:pt>
                <c:pt idx="375">
                  <c:v>2025020375</c:v>
                </c:pt>
                <c:pt idx="376">
                  <c:v>2025020376</c:v>
                </c:pt>
                <c:pt idx="377">
                  <c:v>2025020377</c:v>
                </c:pt>
                <c:pt idx="378">
                  <c:v>2025020378</c:v>
                </c:pt>
                <c:pt idx="379">
                  <c:v>2025020379</c:v>
                </c:pt>
                <c:pt idx="380">
                  <c:v>2025020380</c:v>
                </c:pt>
                <c:pt idx="381">
                  <c:v>2025020381</c:v>
                </c:pt>
                <c:pt idx="382">
                  <c:v>2025020382</c:v>
                </c:pt>
                <c:pt idx="383">
                  <c:v>2025020383</c:v>
                </c:pt>
                <c:pt idx="384">
                  <c:v>2025020384</c:v>
                </c:pt>
                <c:pt idx="385">
                  <c:v>2025020385</c:v>
                </c:pt>
                <c:pt idx="386">
                  <c:v>2025020386</c:v>
                </c:pt>
                <c:pt idx="387">
                  <c:v>2025020387</c:v>
                </c:pt>
                <c:pt idx="388">
                  <c:v>2025020388</c:v>
                </c:pt>
                <c:pt idx="389">
                  <c:v>2025020389</c:v>
                </c:pt>
                <c:pt idx="390">
                  <c:v>2025020390</c:v>
                </c:pt>
                <c:pt idx="391">
                  <c:v>2025020391</c:v>
                </c:pt>
                <c:pt idx="392">
                  <c:v>2025020392</c:v>
                </c:pt>
                <c:pt idx="393">
                  <c:v>2025020393</c:v>
                </c:pt>
                <c:pt idx="394">
                  <c:v>2025020394</c:v>
                </c:pt>
                <c:pt idx="395">
                  <c:v>2025020395</c:v>
                </c:pt>
                <c:pt idx="396">
                  <c:v>2025020396</c:v>
                </c:pt>
                <c:pt idx="397">
                  <c:v>2025020397</c:v>
                </c:pt>
                <c:pt idx="398">
                  <c:v>2025020398</c:v>
                </c:pt>
                <c:pt idx="399">
                  <c:v>2025020399</c:v>
                </c:pt>
                <c:pt idx="400">
                  <c:v>2025020400</c:v>
                </c:pt>
                <c:pt idx="401">
                  <c:v>2025020401</c:v>
                </c:pt>
                <c:pt idx="402">
                  <c:v>2025020402</c:v>
                </c:pt>
                <c:pt idx="403">
                  <c:v>2025020403</c:v>
                </c:pt>
                <c:pt idx="404">
                  <c:v>2025020404</c:v>
                </c:pt>
                <c:pt idx="405">
                  <c:v>2025020405</c:v>
                </c:pt>
                <c:pt idx="406">
                  <c:v>2025020406</c:v>
                </c:pt>
                <c:pt idx="407">
                  <c:v>2025020407</c:v>
                </c:pt>
                <c:pt idx="408">
                  <c:v>2025020408</c:v>
                </c:pt>
                <c:pt idx="409">
                  <c:v>2025020409</c:v>
                </c:pt>
                <c:pt idx="410">
                  <c:v>2025020410</c:v>
                </c:pt>
                <c:pt idx="411">
                  <c:v>2025020411</c:v>
                </c:pt>
                <c:pt idx="412">
                  <c:v>2025020412</c:v>
                </c:pt>
                <c:pt idx="413">
                  <c:v>2025020413</c:v>
                </c:pt>
                <c:pt idx="414">
                  <c:v>2025020414</c:v>
                </c:pt>
                <c:pt idx="415">
                  <c:v>2025020415</c:v>
                </c:pt>
                <c:pt idx="416">
                  <c:v>2025020416</c:v>
                </c:pt>
                <c:pt idx="417">
                  <c:v>2025020417</c:v>
                </c:pt>
                <c:pt idx="418">
                  <c:v>2025020418</c:v>
                </c:pt>
                <c:pt idx="419">
                  <c:v>2025020419</c:v>
                </c:pt>
                <c:pt idx="420">
                  <c:v>2025020420</c:v>
                </c:pt>
                <c:pt idx="421">
                  <c:v>2025020421</c:v>
                </c:pt>
                <c:pt idx="422">
                  <c:v>2025020422</c:v>
                </c:pt>
                <c:pt idx="423">
                  <c:v>2025020423</c:v>
                </c:pt>
                <c:pt idx="424">
                  <c:v>2025020424</c:v>
                </c:pt>
                <c:pt idx="425">
                  <c:v>2025020425</c:v>
                </c:pt>
                <c:pt idx="426">
                  <c:v>2025020426</c:v>
                </c:pt>
                <c:pt idx="427">
                  <c:v>2025020427</c:v>
                </c:pt>
                <c:pt idx="428">
                  <c:v>2025020428</c:v>
                </c:pt>
                <c:pt idx="429">
                  <c:v>2025020429</c:v>
                </c:pt>
                <c:pt idx="430">
                  <c:v>2025020430</c:v>
                </c:pt>
                <c:pt idx="431">
                  <c:v>2025020431</c:v>
                </c:pt>
                <c:pt idx="432">
                  <c:v>2025020432</c:v>
                </c:pt>
                <c:pt idx="433">
                  <c:v>2025020433</c:v>
                </c:pt>
                <c:pt idx="434">
                  <c:v>2025020434</c:v>
                </c:pt>
                <c:pt idx="435">
                  <c:v>2025020435</c:v>
                </c:pt>
                <c:pt idx="436">
                  <c:v>2025020436</c:v>
                </c:pt>
                <c:pt idx="437">
                  <c:v>2025020437</c:v>
                </c:pt>
                <c:pt idx="438">
                  <c:v>2025020438</c:v>
                </c:pt>
                <c:pt idx="439">
                  <c:v>2025020439</c:v>
                </c:pt>
                <c:pt idx="440">
                  <c:v>2025020440</c:v>
                </c:pt>
                <c:pt idx="441">
                  <c:v>2025020441</c:v>
                </c:pt>
                <c:pt idx="442">
                  <c:v>2025020442</c:v>
                </c:pt>
                <c:pt idx="443">
                  <c:v>2025020443</c:v>
                </c:pt>
                <c:pt idx="444">
                  <c:v>2025020444</c:v>
                </c:pt>
                <c:pt idx="445">
                  <c:v>2025020445</c:v>
                </c:pt>
                <c:pt idx="446">
                  <c:v>2025020446</c:v>
                </c:pt>
                <c:pt idx="447">
                  <c:v>2025020447</c:v>
                </c:pt>
                <c:pt idx="448">
                  <c:v>2025020448</c:v>
                </c:pt>
                <c:pt idx="449">
                  <c:v>2025020449</c:v>
                </c:pt>
                <c:pt idx="450">
                  <c:v>2025020450</c:v>
                </c:pt>
                <c:pt idx="451">
                  <c:v>2025020451</c:v>
                </c:pt>
                <c:pt idx="452">
                  <c:v>2025020452</c:v>
                </c:pt>
                <c:pt idx="453">
                  <c:v>2025020453</c:v>
                </c:pt>
                <c:pt idx="454">
                  <c:v>2025020454</c:v>
                </c:pt>
                <c:pt idx="455">
                  <c:v>2025020455</c:v>
                </c:pt>
                <c:pt idx="456">
                  <c:v>2025020456</c:v>
                </c:pt>
                <c:pt idx="457">
                  <c:v>2025020457</c:v>
                </c:pt>
                <c:pt idx="458">
                  <c:v>2025020458</c:v>
                </c:pt>
                <c:pt idx="459">
                  <c:v>2025020459</c:v>
                </c:pt>
                <c:pt idx="460">
                  <c:v>2025020460</c:v>
                </c:pt>
                <c:pt idx="461">
                  <c:v>2025020461</c:v>
                </c:pt>
                <c:pt idx="462">
                  <c:v>2025020462</c:v>
                </c:pt>
                <c:pt idx="463">
                  <c:v>2025020463</c:v>
                </c:pt>
                <c:pt idx="464">
                  <c:v>2025020464</c:v>
                </c:pt>
                <c:pt idx="465">
                  <c:v>2025020465</c:v>
                </c:pt>
                <c:pt idx="466">
                  <c:v>2025020466</c:v>
                </c:pt>
                <c:pt idx="467">
                  <c:v>2025020467</c:v>
                </c:pt>
                <c:pt idx="468">
                  <c:v>2025020468</c:v>
                </c:pt>
                <c:pt idx="469">
                  <c:v>2025020469</c:v>
                </c:pt>
                <c:pt idx="470">
                  <c:v>2025020470</c:v>
                </c:pt>
                <c:pt idx="471">
                  <c:v>2025020471</c:v>
                </c:pt>
                <c:pt idx="472">
                  <c:v>2025020472</c:v>
                </c:pt>
                <c:pt idx="473">
                  <c:v>2025020473</c:v>
                </c:pt>
                <c:pt idx="474">
                  <c:v>2025020474</c:v>
                </c:pt>
                <c:pt idx="475">
                  <c:v>2025020475</c:v>
                </c:pt>
                <c:pt idx="476">
                  <c:v>2025020476</c:v>
                </c:pt>
                <c:pt idx="477">
                  <c:v>2025020477</c:v>
                </c:pt>
                <c:pt idx="478">
                  <c:v>2025020478</c:v>
                </c:pt>
                <c:pt idx="479">
                  <c:v>2025020479</c:v>
                </c:pt>
                <c:pt idx="480">
                  <c:v>2025020480</c:v>
                </c:pt>
                <c:pt idx="481">
                  <c:v>2025020481</c:v>
                </c:pt>
                <c:pt idx="482">
                  <c:v>2025020482</c:v>
                </c:pt>
                <c:pt idx="483">
                  <c:v>2025020483</c:v>
                </c:pt>
                <c:pt idx="484">
                  <c:v>2025020484</c:v>
                </c:pt>
                <c:pt idx="485">
                  <c:v>2025020485</c:v>
                </c:pt>
                <c:pt idx="486">
                  <c:v>2025020486</c:v>
                </c:pt>
                <c:pt idx="487">
                  <c:v>2025020487</c:v>
                </c:pt>
                <c:pt idx="488">
                  <c:v>2025020488</c:v>
                </c:pt>
                <c:pt idx="489">
                  <c:v>2025020489</c:v>
                </c:pt>
                <c:pt idx="490">
                  <c:v>2025020490</c:v>
                </c:pt>
                <c:pt idx="491">
                  <c:v>2025020491</c:v>
                </c:pt>
                <c:pt idx="492">
                  <c:v>2025020492</c:v>
                </c:pt>
                <c:pt idx="493">
                  <c:v>2025020493</c:v>
                </c:pt>
                <c:pt idx="494">
                  <c:v>2025020494</c:v>
                </c:pt>
                <c:pt idx="495">
                  <c:v>2025020495</c:v>
                </c:pt>
                <c:pt idx="496">
                  <c:v>2025020496</c:v>
                </c:pt>
                <c:pt idx="497">
                  <c:v>2025020497</c:v>
                </c:pt>
                <c:pt idx="498">
                  <c:v>2025020498</c:v>
                </c:pt>
                <c:pt idx="499">
                  <c:v>2025020499</c:v>
                </c:pt>
                <c:pt idx="500">
                  <c:v>2025020500</c:v>
                </c:pt>
                <c:pt idx="501">
                  <c:v>2025020501</c:v>
                </c:pt>
                <c:pt idx="502">
                  <c:v>2025020502</c:v>
                </c:pt>
                <c:pt idx="503">
                  <c:v>2025020503</c:v>
                </c:pt>
                <c:pt idx="504">
                  <c:v>2025020504</c:v>
                </c:pt>
                <c:pt idx="505">
                  <c:v>2025020505</c:v>
                </c:pt>
                <c:pt idx="506">
                  <c:v>2025020506</c:v>
                </c:pt>
                <c:pt idx="507">
                  <c:v>2025020507</c:v>
                </c:pt>
                <c:pt idx="508">
                  <c:v>2025020508</c:v>
                </c:pt>
                <c:pt idx="509">
                  <c:v>2025020509</c:v>
                </c:pt>
                <c:pt idx="510">
                  <c:v>2025020510</c:v>
                </c:pt>
                <c:pt idx="511">
                  <c:v>2025020511</c:v>
                </c:pt>
                <c:pt idx="512">
                  <c:v>2025020512</c:v>
                </c:pt>
                <c:pt idx="513">
                  <c:v>2025020513</c:v>
                </c:pt>
                <c:pt idx="514">
                  <c:v>2025020514</c:v>
                </c:pt>
                <c:pt idx="515">
                  <c:v>2025020515</c:v>
                </c:pt>
                <c:pt idx="516">
                  <c:v>2025020516</c:v>
                </c:pt>
                <c:pt idx="517">
                  <c:v>2025020517</c:v>
                </c:pt>
                <c:pt idx="518">
                  <c:v>2025020518</c:v>
                </c:pt>
                <c:pt idx="519">
                  <c:v>2025020519</c:v>
                </c:pt>
                <c:pt idx="520">
                  <c:v>2025020520</c:v>
                </c:pt>
                <c:pt idx="521">
                  <c:v>2025020521</c:v>
                </c:pt>
                <c:pt idx="522">
                  <c:v>2025020522</c:v>
                </c:pt>
                <c:pt idx="523">
                  <c:v>2025020523</c:v>
                </c:pt>
                <c:pt idx="524">
                  <c:v>2025020524</c:v>
                </c:pt>
                <c:pt idx="525">
                  <c:v>2025020525</c:v>
                </c:pt>
                <c:pt idx="526">
                  <c:v>2025020526</c:v>
                </c:pt>
                <c:pt idx="527">
                  <c:v>2025020527</c:v>
                </c:pt>
                <c:pt idx="528">
                  <c:v>2025020528</c:v>
                </c:pt>
                <c:pt idx="529">
                  <c:v>2025020529</c:v>
                </c:pt>
                <c:pt idx="530">
                  <c:v>2025020530</c:v>
                </c:pt>
                <c:pt idx="531">
                  <c:v>2025020531</c:v>
                </c:pt>
                <c:pt idx="532">
                  <c:v>2025020532</c:v>
                </c:pt>
                <c:pt idx="533">
                  <c:v>2025020533</c:v>
                </c:pt>
                <c:pt idx="534">
                  <c:v>2025020534</c:v>
                </c:pt>
                <c:pt idx="535">
                  <c:v>2025020535</c:v>
                </c:pt>
                <c:pt idx="536">
                  <c:v>2025020536</c:v>
                </c:pt>
                <c:pt idx="537">
                  <c:v>2025020537</c:v>
                </c:pt>
                <c:pt idx="538">
                  <c:v>2025020538</c:v>
                </c:pt>
                <c:pt idx="539">
                  <c:v>2025020539</c:v>
                </c:pt>
                <c:pt idx="540">
                  <c:v>2025020540</c:v>
                </c:pt>
                <c:pt idx="541">
                  <c:v>2025020541</c:v>
                </c:pt>
                <c:pt idx="542">
                  <c:v>2025020542</c:v>
                </c:pt>
                <c:pt idx="543">
                  <c:v>2025020543</c:v>
                </c:pt>
                <c:pt idx="544">
                  <c:v>2025020544</c:v>
                </c:pt>
                <c:pt idx="545">
                  <c:v>2025020545</c:v>
                </c:pt>
                <c:pt idx="546">
                  <c:v>2025020546</c:v>
                </c:pt>
                <c:pt idx="547">
                  <c:v>2025020547</c:v>
                </c:pt>
                <c:pt idx="548">
                  <c:v>2025020548</c:v>
                </c:pt>
                <c:pt idx="549">
                  <c:v>2025020549</c:v>
                </c:pt>
                <c:pt idx="550">
                  <c:v>2025020550</c:v>
                </c:pt>
                <c:pt idx="551">
                  <c:v>2025020551</c:v>
                </c:pt>
                <c:pt idx="552">
                  <c:v>2025020552</c:v>
                </c:pt>
                <c:pt idx="553">
                  <c:v>2025020553</c:v>
                </c:pt>
                <c:pt idx="554">
                  <c:v>2025020554</c:v>
                </c:pt>
                <c:pt idx="555">
                  <c:v>2025020555</c:v>
                </c:pt>
                <c:pt idx="556">
                  <c:v>2025020556</c:v>
                </c:pt>
                <c:pt idx="557">
                  <c:v>2025020557</c:v>
                </c:pt>
                <c:pt idx="558">
                  <c:v>2025020558</c:v>
                </c:pt>
                <c:pt idx="559">
                  <c:v>2025020559</c:v>
                </c:pt>
                <c:pt idx="560">
                  <c:v>2025020560</c:v>
                </c:pt>
                <c:pt idx="561">
                  <c:v>2025020561</c:v>
                </c:pt>
                <c:pt idx="562">
                  <c:v>2025020562</c:v>
                </c:pt>
                <c:pt idx="563">
                  <c:v>2025020563</c:v>
                </c:pt>
                <c:pt idx="564">
                  <c:v>2025020564</c:v>
                </c:pt>
                <c:pt idx="565">
                  <c:v>2025020565</c:v>
                </c:pt>
                <c:pt idx="566">
                  <c:v>2025020566</c:v>
                </c:pt>
                <c:pt idx="567">
                  <c:v>2025020567</c:v>
                </c:pt>
                <c:pt idx="568">
                  <c:v>2025020568</c:v>
                </c:pt>
                <c:pt idx="569">
                  <c:v>2025020569</c:v>
                </c:pt>
                <c:pt idx="570">
                  <c:v>2025020570</c:v>
                </c:pt>
                <c:pt idx="571">
                  <c:v>2025020571</c:v>
                </c:pt>
                <c:pt idx="572">
                  <c:v>2025020572</c:v>
                </c:pt>
                <c:pt idx="573">
                  <c:v>2025020573</c:v>
                </c:pt>
                <c:pt idx="574">
                  <c:v>2025020574</c:v>
                </c:pt>
                <c:pt idx="575">
                  <c:v>2025020575</c:v>
                </c:pt>
                <c:pt idx="576">
                  <c:v>2025020576</c:v>
                </c:pt>
                <c:pt idx="577">
                  <c:v>2025020577</c:v>
                </c:pt>
                <c:pt idx="578">
                  <c:v>2025020578</c:v>
                </c:pt>
                <c:pt idx="579">
                  <c:v>2025020579</c:v>
                </c:pt>
                <c:pt idx="580">
                  <c:v>2025020580</c:v>
                </c:pt>
                <c:pt idx="581">
                  <c:v>2025020581</c:v>
                </c:pt>
                <c:pt idx="582">
                  <c:v>2025020582</c:v>
                </c:pt>
                <c:pt idx="583">
                  <c:v>2025020583</c:v>
                </c:pt>
                <c:pt idx="584">
                  <c:v>2025020584</c:v>
                </c:pt>
                <c:pt idx="585">
                  <c:v>2025020585</c:v>
                </c:pt>
                <c:pt idx="586">
                  <c:v>2025020586</c:v>
                </c:pt>
                <c:pt idx="587">
                  <c:v>2025020587</c:v>
                </c:pt>
                <c:pt idx="588">
                  <c:v>2025020588</c:v>
                </c:pt>
                <c:pt idx="589">
                  <c:v>2025020589</c:v>
                </c:pt>
                <c:pt idx="590">
                  <c:v>2025020590</c:v>
                </c:pt>
                <c:pt idx="591">
                  <c:v>2025020591</c:v>
                </c:pt>
                <c:pt idx="592">
                  <c:v>2025020592</c:v>
                </c:pt>
                <c:pt idx="593">
                  <c:v>2025020593</c:v>
                </c:pt>
                <c:pt idx="594">
                  <c:v>2025020594</c:v>
                </c:pt>
                <c:pt idx="595">
                  <c:v>2025020595</c:v>
                </c:pt>
                <c:pt idx="596">
                  <c:v>2025020596</c:v>
                </c:pt>
                <c:pt idx="597">
                  <c:v>2025020597</c:v>
                </c:pt>
                <c:pt idx="598">
                  <c:v>2025020598</c:v>
                </c:pt>
                <c:pt idx="599">
                  <c:v>2025020599</c:v>
                </c:pt>
                <c:pt idx="600">
                  <c:v>2025020600</c:v>
                </c:pt>
                <c:pt idx="601">
                  <c:v>2025020601</c:v>
                </c:pt>
                <c:pt idx="602">
                  <c:v>2025020602</c:v>
                </c:pt>
                <c:pt idx="603">
                  <c:v>2025020603</c:v>
                </c:pt>
                <c:pt idx="604">
                  <c:v>2025020604</c:v>
                </c:pt>
                <c:pt idx="605">
                  <c:v>2025020605</c:v>
                </c:pt>
                <c:pt idx="606">
                  <c:v>2025020606</c:v>
                </c:pt>
                <c:pt idx="607">
                  <c:v>2025020607</c:v>
                </c:pt>
                <c:pt idx="608">
                  <c:v>2025020608</c:v>
                </c:pt>
                <c:pt idx="609">
                  <c:v>2025020609</c:v>
                </c:pt>
                <c:pt idx="610">
                  <c:v>2025020610</c:v>
                </c:pt>
                <c:pt idx="611">
                  <c:v>2025020611</c:v>
                </c:pt>
                <c:pt idx="612">
                  <c:v>2025020612</c:v>
                </c:pt>
                <c:pt idx="613">
                  <c:v>2025020613</c:v>
                </c:pt>
                <c:pt idx="614">
                  <c:v>2025020614</c:v>
                </c:pt>
                <c:pt idx="615">
                  <c:v>2025020615</c:v>
                </c:pt>
                <c:pt idx="616">
                  <c:v>2025020616</c:v>
                </c:pt>
                <c:pt idx="617">
                  <c:v>2025020617</c:v>
                </c:pt>
                <c:pt idx="618">
                  <c:v>2025020618</c:v>
                </c:pt>
                <c:pt idx="619">
                  <c:v>2025020619</c:v>
                </c:pt>
                <c:pt idx="620">
                  <c:v>2025020620</c:v>
                </c:pt>
                <c:pt idx="621">
                  <c:v>2025020621</c:v>
                </c:pt>
                <c:pt idx="622">
                  <c:v>2025020622</c:v>
                </c:pt>
                <c:pt idx="623">
                  <c:v>2025020623</c:v>
                </c:pt>
                <c:pt idx="624">
                  <c:v>2025020624</c:v>
                </c:pt>
                <c:pt idx="625">
                  <c:v>2025020625</c:v>
                </c:pt>
                <c:pt idx="626">
                  <c:v>2025020626</c:v>
                </c:pt>
                <c:pt idx="627">
                  <c:v>2025020627</c:v>
                </c:pt>
                <c:pt idx="628">
                  <c:v>2025020628</c:v>
                </c:pt>
                <c:pt idx="629">
                  <c:v>2025020629</c:v>
                </c:pt>
                <c:pt idx="630">
                  <c:v>2025020630</c:v>
                </c:pt>
                <c:pt idx="631">
                  <c:v>2025020631</c:v>
                </c:pt>
                <c:pt idx="632">
                  <c:v>2025020632</c:v>
                </c:pt>
                <c:pt idx="633">
                  <c:v>2025020633</c:v>
                </c:pt>
                <c:pt idx="634">
                  <c:v>2025020634</c:v>
                </c:pt>
                <c:pt idx="635">
                  <c:v>2025020635</c:v>
                </c:pt>
                <c:pt idx="636">
                  <c:v>2025020636</c:v>
                </c:pt>
                <c:pt idx="637">
                  <c:v>2025020637</c:v>
                </c:pt>
                <c:pt idx="638">
                  <c:v>2025020638</c:v>
                </c:pt>
                <c:pt idx="639">
                  <c:v>2025020639</c:v>
                </c:pt>
                <c:pt idx="640">
                  <c:v>2025020640</c:v>
                </c:pt>
                <c:pt idx="641">
                  <c:v>2025020641</c:v>
                </c:pt>
                <c:pt idx="642">
                  <c:v>2025020642</c:v>
                </c:pt>
                <c:pt idx="643">
                  <c:v>2025020643</c:v>
                </c:pt>
                <c:pt idx="644">
                  <c:v>2025020644</c:v>
                </c:pt>
                <c:pt idx="645">
                  <c:v>2025020645</c:v>
                </c:pt>
                <c:pt idx="646">
                  <c:v>2025020646</c:v>
                </c:pt>
                <c:pt idx="647">
                  <c:v>2025020647</c:v>
                </c:pt>
                <c:pt idx="648">
                  <c:v>2025020648</c:v>
                </c:pt>
                <c:pt idx="649">
                  <c:v>2025020649</c:v>
                </c:pt>
                <c:pt idx="650">
                  <c:v>2025020650</c:v>
                </c:pt>
                <c:pt idx="651">
                  <c:v>2025020651</c:v>
                </c:pt>
                <c:pt idx="652">
                  <c:v>2025020652</c:v>
                </c:pt>
                <c:pt idx="653">
                  <c:v>2025020653</c:v>
                </c:pt>
                <c:pt idx="654">
                  <c:v>2025020654</c:v>
                </c:pt>
                <c:pt idx="655">
                  <c:v>2025020655</c:v>
                </c:pt>
                <c:pt idx="656">
                  <c:v>2025020656</c:v>
                </c:pt>
                <c:pt idx="657">
                  <c:v>2025020657</c:v>
                </c:pt>
                <c:pt idx="658">
                  <c:v>2025020658</c:v>
                </c:pt>
                <c:pt idx="659">
                  <c:v>2025020659</c:v>
                </c:pt>
                <c:pt idx="660">
                  <c:v>2025020660</c:v>
                </c:pt>
                <c:pt idx="661">
                  <c:v>2025020661</c:v>
                </c:pt>
                <c:pt idx="662">
                  <c:v>2025020662</c:v>
                </c:pt>
                <c:pt idx="663">
                  <c:v>2025020663</c:v>
                </c:pt>
                <c:pt idx="664">
                  <c:v>2025020664</c:v>
                </c:pt>
                <c:pt idx="665">
                  <c:v>2025020665</c:v>
                </c:pt>
                <c:pt idx="666">
                  <c:v>2025020666</c:v>
                </c:pt>
                <c:pt idx="667">
                  <c:v>2025020667</c:v>
                </c:pt>
                <c:pt idx="668">
                  <c:v>2025020668</c:v>
                </c:pt>
                <c:pt idx="669">
                  <c:v>2025020669</c:v>
                </c:pt>
                <c:pt idx="670">
                  <c:v>2025020670</c:v>
                </c:pt>
                <c:pt idx="671">
                  <c:v>2025020671</c:v>
                </c:pt>
                <c:pt idx="672">
                  <c:v>2025020672</c:v>
                </c:pt>
                <c:pt idx="673">
                  <c:v>2025020673</c:v>
                </c:pt>
                <c:pt idx="674">
                  <c:v>2025020674</c:v>
                </c:pt>
                <c:pt idx="675">
                  <c:v>2025020675</c:v>
                </c:pt>
                <c:pt idx="676">
                  <c:v>2025020676</c:v>
                </c:pt>
                <c:pt idx="677">
                  <c:v>2025020677</c:v>
                </c:pt>
                <c:pt idx="678">
                  <c:v>2025020678</c:v>
                </c:pt>
                <c:pt idx="679">
                  <c:v>2025020679</c:v>
                </c:pt>
                <c:pt idx="680">
                  <c:v>2025020680</c:v>
                </c:pt>
                <c:pt idx="681">
                  <c:v>2025020681</c:v>
                </c:pt>
                <c:pt idx="682">
                  <c:v>2025020682</c:v>
                </c:pt>
                <c:pt idx="683">
                  <c:v>2025020683</c:v>
                </c:pt>
                <c:pt idx="684">
                  <c:v>2025020684</c:v>
                </c:pt>
                <c:pt idx="685">
                  <c:v>2025020685</c:v>
                </c:pt>
                <c:pt idx="686">
                  <c:v>2025020686</c:v>
                </c:pt>
                <c:pt idx="687">
                  <c:v>2025020687</c:v>
                </c:pt>
                <c:pt idx="688">
                  <c:v>2025020688</c:v>
                </c:pt>
                <c:pt idx="689">
                  <c:v>2025020689</c:v>
                </c:pt>
                <c:pt idx="690">
                  <c:v>2025020690</c:v>
                </c:pt>
                <c:pt idx="691">
                  <c:v>2025020691</c:v>
                </c:pt>
                <c:pt idx="692">
                  <c:v>2025020692</c:v>
                </c:pt>
                <c:pt idx="693">
                  <c:v>2025020693</c:v>
                </c:pt>
                <c:pt idx="694">
                  <c:v>2025020694</c:v>
                </c:pt>
                <c:pt idx="695">
                  <c:v>2025020695</c:v>
                </c:pt>
                <c:pt idx="696">
                  <c:v>2025020696</c:v>
                </c:pt>
                <c:pt idx="697">
                  <c:v>2025020697</c:v>
                </c:pt>
                <c:pt idx="698">
                  <c:v>2025020698</c:v>
                </c:pt>
                <c:pt idx="699">
                  <c:v>2025020699</c:v>
                </c:pt>
                <c:pt idx="700">
                  <c:v>2025020700</c:v>
                </c:pt>
                <c:pt idx="701">
                  <c:v>2025020701</c:v>
                </c:pt>
                <c:pt idx="702">
                  <c:v>2025020702</c:v>
                </c:pt>
                <c:pt idx="703">
                  <c:v>2025020703</c:v>
                </c:pt>
                <c:pt idx="704">
                  <c:v>2025020704</c:v>
                </c:pt>
                <c:pt idx="705">
                  <c:v>2025020705</c:v>
                </c:pt>
                <c:pt idx="706">
                  <c:v>2025020706</c:v>
                </c:pt>
                <c:pt idx="707">
                  <c:v>2025020707</c:v>
                </c:pt>
                <c:pt idx="708">
                  <c:v>2025020708</c:v>
                </c:pt>
                <c:pt idx="709">
                  <c:v>2025020709</c:v>
                </c:pt>
                <c:pt idx="710">
                  <c:v>2025020710</c:v>
                </c:pt>
                <c:pt idx="711">
                  <c:v>2025020711</c:v>
                </c:pt>
                <c:pt idx="712">
                  <c:v>2025020712</c:v>
                </c:pt>
                <c:pt idx="713">
                  <c:v>2025020713</c:v>
                </c:pt>
                <c:pt idx="714">
                  <c:v>2025020714</c:v>
                </c:pt>
                <c:pt idx="715">
                  <c:v>2025020715</c:v>
                </c:pt>
                <c:pt idx="716">
                  <c:v>2025020716</c:v>
                </c:pt>
                <c:pt idx="717">
                  <c:v>2025020717</c:v>
                </c:pt>
                <c:pt idx="718">
                  <c:v>2025020718</c:v>
                </c:pt>
                <c:pt idx="719">
                  <c:v>2025020719</c:v>
                </c:pt>
                <c:pt idx="720">
                  <c:v>2025020720</c:v>
                </c:pt>
                <c:pt idx="721">
                  <c:v>2025020721</c:v>
                </c:pt>
                <c:pt idx="722">
                  <c:v>2025020722</c:v>
                </c:pt>
                <c:pt idx="723">
                  <c:v>2025020723</c:v>
                </c:pt>
                <c:pt idx="724">
                  <c:v>2025020724</c:v>
                </c:pt>
                <c:pt idx="725">
                  <c:v>2025020725</c:v>
                </c:pt>
                <c:pt idx="726">
                  <c:v>2025020726</c:v>
                </c:pt>
                <c:pt idx="727">
                  <c:v>2025020727</c:v>
                </c:pt>
                <c:pt idx="728">
                  <c:v>2025020728</c:v>
                </c:pt>
                <c:pt idx="729">
                  <c:v>2025020729</c:v>
                </c:pt>
                <c:pt idx="730">
                  <c:v>2025020730</c:v>
                </c:pt>
                <c:pt idx="731">
                  <c:v>2025020731</c:v>
                </c:pt>
                <c:pt idx="732">
                  <c:v>2025020732</c:v>
                </c:pt>
                <c:pt idx="733">
                  <c:v>2025020733</c:v>
                </c:pt>
                <c:pt idx="734">
                  <c:v>2025020734</c:v>
                </c:pt>
                <c:pt idx="735">
                  <c:v>2025020735</c:v>
                </c:pt>
                <c:pt idx="736">
                  <c:v>2025020736</c:v>
                </c:pt>
                <c:pt idx="737">
                  <c:v>2025020737</c:v>
                </c:pt>
                <c:pt idx="738">
                  <c:v>2025020738</c:v>
                </c:pt>
                <c:pt idx="739">
                  <c:v>2025020739</c:v>
                </c:pt>
                <c:pt idx="740">
                  <c:v>2025020740</c:v>
                </c:pt>
                <c:pt idx="741">
                  <c:v>2025020741</c:v>
                </c:pt>
                <c:pt idx="742">
                  <c:v>2025020742</c:v>
                </c:pt>
                <c:pt idx="743">
                  <c:v>2025020743</c:v>
                </c:pt>
                <c:pt idx="744">
                  <c:v>2025020744</c:v>
                </c:pt>
                <c:pt idx="745">
                  <c:v>2025020745</c:v>
                </c:pt>
                <c:pt idx="746">
                  <c:v>2025020746</c:v>
                </c:pt>
                <c:pt idx="747">
                  <c:v>2025020747</c:v>
                </c:pt>
                <c:pt idx="748">
                  <c:v>2025020748</c:v>
                </c:pt>
                <c:pt idx="749">
                  <c:v>2025020749</c:v>
                </c:pt>
                <c:pt idx="750">
                  <c:v>2025020750</c:v>
                </c:pt>
                <c:pt idx="751">
                  <c:v>2025020751</c:v>
                </c:pt>
                <c:pt idx="752">
                  <c:v>2025020752</c:v>
                </c:pt>
                <c:pt idx="753">
                  <c:v>2025020753</c:v>
                </c:pt>
                <c:pt idx="754">
                  <c:v>2025020754</c:v>
                </c:pt>
                <c:pt idx="755">
                  <c:v>2025020755</c:v>
                </c:pt>
                <c:pt idx="756">
                  <c:v>2025020756</c:v>
                </c:pt>
                <c:pt idx="757">
                  <c:v>2025020757</c:v>
                </c:pt>
                <c:pt idx="758">
                  <c:v>2025020758</c:v>
                </c:pt>
                <c:pt idx="759">
                  <c:v>2025020759</c:v>
                </c:pt>
                <c:pt idx="760">
                  <c:v>2025020760</c:v>
                </c:pt>
                <c:pt idx="761">
                  <c:v>2025020761</c:v>
                </c:pt>
                <c:pt idx="762">
                  <c:v>2025020762</c:v>
                </c:pt>
                <c:pt idx="763">
                  <c:v>2025020763</c:v>
                </c:pt>
                <c:pt idx="764">
                  <c:v>2025020764</c:v>
                </c:pt>
                <c:pt idx="765">
                  <c:v>2025020765</c:v>
                </c:pt>
                <c:pt idx="766">
                  <c:v>2025020766</c:v>
                </c:pt>
                <c:pt idx="767">
                  <c:v>2025020767</c:v>
                </c:pt>
                <c:pt idx="768">
                  <c:v>2025020768</c:v>
                </c:pt>
                <c:pt idx="769">
                  <c:v>2025020769</c:v>
                </c:pt>
                <c:pt idx="770">
                  <c:v>2025020770</c:v>
                </c:pt>
                <c:pt idx="771">
                  <c:v>2025020771</c:v>
                </c:pt>
                <c:pt idx="772">
                  <c:v>2025020772</c:v>
                </c:pt>
                <c:pt idx="773">
                  <c:v>2025020773</c:v>
                </c:pt>
                <c:pt idx="774">
                  <c:v>2025020774</c:v>
                </c:pt>
                <c:pt idx="775">
                  <c:v>2025020775</c:v>
                </c:pt>
                <c:pt idx="776">
                  <c:v>2025020776</c:v>
                </c:pt>
                <c:pt idx="777">
                  <c:v>2025020777</c:v>
                </c:pt>
                <c:pt idx="778">
                  <c:v>2025020778</c:v>
                </c:pt>
                <c:pt idx="779">
                  <c:v>2025020779</c:v>
                </c:pt>
                <c:pt idx="780">
                  <c:v>2025020780</c:v>
                </c:pt>
                <c:pt idx="781">
                  <c:v>2025020781</c:v>
                </c:pt>
                <c:pt idx="782">
                  <c:v>2025020782</c:v>
                </c:pt>
                <c:pt idx="783">
                  <c:v>2025020783</c:v>
                </c:pt>
                <c:pt idx="784">
                  <c:v>2025020784</c:v>
                </c:pt>
                <c:pt idx="785">
                  <c:v>2025020785</c:v>
                </c:pt>
                <c:pt idx="786">
                  <c:v>2025020786</c:v>
                </c:pt>
                <c:pt idx="787">
                  <c:v>2025020787</c:v>
                </c:pt>
                <c:pt idx="788">
                  <c:v>2025020788</c:v>
                </c:pt>
                <c:pt idx="789">
                  <c:v>2025020789</c:v>
                </c:pt>
                <c:pt idx="790">
                  <c:v>2025020790</c:v>
                </c:pt>
                <c:pt idx="791">
                  <c:v>2025020791</c:v>
                </c:pt>
                <c:pt idx="792">
                  <c:v>2025020792</c:v>
                </c:pt>
                <c:pt idx="793">
                  <c:v>2025020793</c:v>
                </c:pt>
                <c:pt idx="794">
                  <c:v>2025020794</c:v>
                </c:pt>
                <c:pt idx="795">
                  <c:v>2025020795</c:v>
                </c:pt>
                <c:pt idx="796">
                  <c:v>2025020796</c:v>
                </c:pt>
                <c:pt idx="797">
                  <c:v>2025020797</c:v>
                </c:pt>
                <c:pt idx="798">
                  <c:v>2025020798</c:v>
                </c:pt>
                <c:pt idx="799">
                  <c:v>2025020799</c:v>
                </c:pt>
                <c:pt idx="800">
                  <c:v>2025020800</c:v>
                </c:pt>
                <c:pt idx="801">
                  <c:v>2025020801</c:v>
                </c:pt>
                <c:pt idx="802">
                  <c:v>2025020802</c:v>
                </c:pt>
                <c:pt idx="803">
                  <c:v>2025020803</c:v>
                </c:pt>
                <c:pt idx="804">
                  <c:v>2025020804</c:v>
                </c:pt>
                <c:pt idx="805">
                  <c:v>2025020805</c:v>
                </c:pt>
                <c:pt idx="806">
                  <c:v>2025020806</c:v>
                </c:pt>
                <c:pt idx="807">
                  <c:v>2025020807</c:v>
                </c:pt>
                <c:pt idx="808">
                  <c:v>2025020808</c:v>
                </c:pt>
                <c:pt idx="809">
                  <c:v>2025020809</c:v>
                </c:pt>
                <c:pt idx="810">
                  <c:v>2025020810</c:v>
                </c:pt>
                <c:pt idx="811">
                  <c:v>2025020811</c:v>
                </c:pt>
                <c:pt idx="812">
                  <c:v>2025020812</c:v>
                </c:pt>
                <c:pt idx="813">
                  <c:v>2025020813</c:v>
                </c:pt>
                <c:pt idx="814">
                  <c:v>2025020814</c:v>
                </c:pt>
                <c:pt idx="815">
                  <c:v>2025020815</c:v>
                </c:pt>
                <c:pt idx="816">
                  <c:v>2025020816</c:v>
                </c:pt>
                <c:pt idx="817">
                  <c:v>2025020817</c:v>
                </c:pt>
                <c:pt idx="818">
                  <c:v>2025020818</c:v>
                </c:pt>
                <c:pt idx="819">
                  <c:v>2025020819</c:v>
                </c:pt>
                <c:pt idx="820">
                  <c:v>2025020820</c:v>
                </c:pt>
                <c:pt idx="821">
                  <c:v>2025020821</c:v>
                </c:pt>
                <c:pt idx="822">
                  <c:v>2025020822</c:v>
                </c:pt>
                <c:pt idx="823">
                  <c:v>2025020823</c:v>
                </c:pt>
                <c:pt idx="824">
                  <c:v>2025020824</c:v>
                </c:pt>
                <c:pt idx="825">
                  <c:v>2025020825</c:v>
                </c:pt>
                <c:pt idx="826">
                  <c:v>2025020826</c:v>
                </c:pt>
                <c:pt idx="827">
                  <c:v>2025020827</c:v>
                </c:pt>
                <c:pt idx="828">
                  <c:v>2025020828</c:v>
                </c:pt>
                <c:pt idx="829">
                  <c:v>2025020829</c:v>
                </c:pt>
                <c:pt idx="830">
                  <c:v>2025020830</c:v>
                </c:pt>
                <c:pt idx="831">
                  <c:v>2025020831</c:v>
                </c:pt>
                <c:pt idx="832">
                  <c:v>2025020832</c:v>
                </c:pt>
                <c:pt idx="833">
                  <c:v>2025020833</c:v>
                </c:pt>
                <c:pt idx="834">
                  <c:v>2025020834</c:v>
                </c:pt>
                <c:pt idx="835">
                  <c:v>2025020835</c:v>
                </c:pt>
                <c:pt idx="836">
                  <c:v>2025020836</c:v>
                </c:pt>
                <c:pt idx="837">
                  <c:v>2025020837</c:v>
                </c:pt>
                <c:pt idx="838">
                  <c:v>2025020838</c:v>
                </c:pt>
                <c:pt idx="839">
                  <c:v>2025020839</c:v>
                </c:pt>
                <c:pt idx="840">
                  <c:v>2025020840</c:v>
                </c:pt>
                <c:pt idx="841">
                  <c:v>2025020841</c:v>
                </c:pt>
                <c:pt idx="842">
                  <c:v>2025020842</c:v>
                </c:pt>
                <c:pt idx="843">
                  <c:v>2025020843</c:v>
                </c:pt>
                <c:pt idx="844">
                  <c:v>2025020844</c:v>
                </c:pt>
                <c:pt idx="845">
                  <c:v>2025020845</c:v>
                </c:pt>
                <c:pt idx="846">
                  <c:v>2025020846</c:v>
                </c:pt>
                <c:pt idx="847">
                  <c:v>2025020847</c:v>
                </c:pt>
                <c:pt idx="848">
                  <c:v>2025020848</c:v>
                </c:pt>
                <c:pt idx="849">
                  <c:v>2025020849</c:v>
                </c:pt>
                <c:pt idx="850">
                  <c:v>2025020850</c:v>
                </c:pt>
                <c:pt idx="851">
                  <c:v>2025020851</c:v>
                </c:pt>
                <c:pt idx="852">
                  <c:v>2025020852</c:v>
                </c:pt>
                <c:pt idx="853">
                  <c:v>2025020853</c:v>
                </c:pt>
                <c:pt idx="854">
                  <c:v>2025020854</c:v>
                </c:pt>
                <c:pt idx="855">
                  <c:v>2025020855</c:v>
                </c:pt>
                <c:pt idx="856">
                  <c:v>2025020856</c:v>
                </c:pt>
                <c:pt idx="857">
                  <c:v>2025020857</c:v>
                </c:pt>
                <c:pt idx="858">
                  <c:v>2025020858</c:v>
                </c:pt>
                <c:pt idx="859">
                  <c:v>2025020859</c:v>
                </c:pt>
                <c:pt idx="860">
                  <c:v>2025020860</c:v>
                </c:pt>
                <c:pt idx="861">
                  <c:v>2025020861</c:v>
                </c:pt>
                <c:pt idx="862">
                  <c:v>2025020862</c:v>
                </c:pt>
                <c:pt idx="863">
                  <c:v>2025020863</c:v>
                </c:pt>
                <c:pt idx="864">
                  <c:v>2025020864</c:v>
                </c:pt>
                <c:pt idx="865">
                  <c:v>2025020865</c:v>
                </c:pt>
                <c:pt idx="866">
                  <c:v>2025020866</c:v>
                </c:pt>
                <c:pt idx="867">
                  <c:v>2025020867</c:v>
                </c:pt>
                <c:pt idx="868">
                  <c:v>2025020868</c:v>
                </c:pt>
                <c:pt idx="869">
                  <c:v>2025020869</c:v>
                </c:pt>
                <c:pt idx="870">
                  <c:v>2025020870</c:v>
                </c:pt>
                <c:pt idx="871">
                  <c:v>2025020871</c:v>
                </c:pt>
                <c:pt idx="872">
                  <c:v>2025020872</c:v>
                </c:pt>
                <c:pt idx="873">
                  <c:v>2025020873</c:v>
                </c:pt>
                <c:pt idx="874">
                  <c:v>2025020874</c:v>
                </c:pt>
                <c:pt idx="875">
                  <c:v>2025020875</c:v>
                </c:pt>
                <c:pt idx="876">
                  <c:v>2025020876</c:v>
                </c:pt>
                <c:pt idx="877">
                  <c:v>2025020877</c:v>
                </c:pt>
                <c:pt idx="878">
                  <c:v>2025020878</c:v>
                </c:pt>
                <c:pt idx="879">
                  <c:v>2025020879</c:v>
                </c:pt>
                <c:pt idx="880">
                  <c:v>2025020880</c:v>
                </c:pt>
                <c:pt idx="881">
                  <c:v>2025020881</c:v>
                </c:pt>
                <c:pt idx="882">
                  <c:v>2025020882</c:v>
                </c:pt>
                <c:pt idx="883">
                  <c:v>2025020883</c:v>
                </c:pt>
                <c:pt idx="884">
                  <c:v>2025020884</c:v>
                </c:pt>
                <c:pt idx="885">
                  <c:v>2025020885</c:v>
                </c:pt>
                <c:pt idx="886">
                  <c:v>2025020886</c:v>
                </c:pt>
                <c:pt idx="887">
                  <c:v>2025020887</c:v>
                </c:pt>
                <c:pt idx="888">
                  <c:v>2025020888</c:v>
                </c:pt>
                <c:pt idx="889">
                  <c:v>2025020889</c:v>
                </c:pt>
                <c:pt idx="890">
                  <c:v>2025020890</c:v>
                </c:pt>
                <c:pt idx="891">
                  <c:v>2025020891</c:v>
                </c:pt>
                <c:pt idx="892">
                  <c:v>2025020892</c:v>
                </c:pt>
                <c:pt idx="893">
                  <c:v>2025020893</c:v>
                </c:pt>
                <c:pt idx="894">
                  <c:v>2025020894</c:v>
                </c:pt>
                <c:pt idx="895">
                  <c:v>2025020895</c:v>
                </c:pt>
                <c:pt idx="896">
                  <c:v>2025020896</c:v>
                </c:pt>
                <c:pt idx="897">
                  <c:v>2025020897</c:v>
                </c:pt>
                <c:pt idx="898">
                  <c:v>2025020898</c:v>
                </c:pt>
                <c:pt idx="899">
                  <c:v>2025020899</c:v>
                </c:pt>
                <c:pt idx="900">
                  <c:v>2025020900</c:v>
                </c:pt>
                <c:pt idx="901">
                  <c:v>2025020901</c:v>
                </c:pt>
                <c:pt idx="902">
                  <c:v>2025020902</c:v>
                </c:pt>
                <c:pt idx="903">
                  <c:v>2025020903</c:v>
                </c:pt>
                <c:pt idx="904">
                  <c:v>2025020904</c:v>
                </c:pt>
                <c:pt idx="905">
                  <c:v>2025020905</c:v>
                </c:pt>
                <c:pt idx="906">
                  <c:v>2025020906</c:v>
                </c:pt>
                <c:pt idx="907">
                  <c:v>2025020907</c:v>
                </c:pt>
                <c:pt idx="908">
                  <c:v>2025020908</c:v>
                </c:pt>
                <c:pt idx="909">
                  <c:v>2025020909</c:v>
                </c:pt>
                <c:pt idx="910">
                  <c:v>2025020910</c:v>
                </c:pt>
                <c:pt idx="911">
                  <c:v>2025020911</c:v>
                </c:pt>
                <c:pt idx="912">
                  <c:v>2025020912</c:v>
                </c:pt>
                <c:pt idx="913">
                  <c:v>2025020913</c:v>
                </c:pt>
                <c:pt idx="914">
                  <c:v>2025020914</c:v>
                </c:pt>
                <c:pt idx="915">
                  <c:v>2025020915</c:v>
                </c:pt>
                <c:pt idx="916">
                  <c:v>2025020916</c:v>
                </c:pt>
                <c:pt idx="917">
                  <c:v>2025020917</c:v>
                </c:pt>
                <c:pt idx="918">
                  <c:v>2025020918</c:v>
                </c:pt>
                <c:pt idx="919">
                  <c:v>2025020919</c:v>
                </c:pt>
                <c:pt idx="920">
                  <c:v>2025020920</c:v>
                </c:pt>
                <c:pt idx="921">
                  <c:v>2025020921</c:v>
                </c:pt>
                <c:pt idx="922">
                  <c:v>2025020922</c:v>
                </c:pt>
                <c:pt idx="923">
                  <c:v>2025020923</c:v>
                </c:pt>
                <c:pt idx="924">
                  <c:v>2025020924</c:v>
                </c:pt>
                <c:pt idx="925">
                  <c:v>2025020925</c:v>
                </c:pt>
                <c:pt idx="926">
                  <c:v>2025020926</c:v>
                </c:pt>
                <c:pt idx="927">
                  <c:v>2025020927</c:v>
                </c:pt>
                <c:pt idx="928">
                  <c:v>2025020928</c:v>
                </c:pt>
                <c:pt idx="929">
                  <c:v>2025020929</c:v>
                </c:pt>
                <c:pt idx="930">
                  <c:v>2025020930</c:v>
                </c:pt>
                <c:pt idx="931">
                  <c:v>2025020931</c:v>
                </c:pt>
                <c:pt idx="932">
                  <c:v>2025020932</c:v>
                </c:pt>
                <c:pt idx="933">
                  <c:v>2025020933</c:v>
                </c:pt>
                <c:pt idx="934">
                  <c:v>2025020934</c:v>
                </c:pt>
                <c:pt idx="935">
                  <c:v>2025020935</c:v>
                </c:pt>
                <c:pt idx="936">
                  <c:v>2025020936</c:v>
                </c:pt>
                <c:pt idx="937">
                  <c:v>2025020937</c:v>
                </c:pt>
                <c:pt idx="938">
                  <c:v>2025020938</c:v>
                </c:pt>
                <c:pt idx="939">
                  <c:v>2025020939</c:v>
                </c:pt>
                <c:pt idx="940">
                  <c:v>2025020940</c:v>
                </c:pt>
                <c:pt idx="941">
                  <c:v>2025020941</c:v>
                </c:pt>
                <c:pt idx="942">
                  <c:v>2025020942</c:v>
                </c:pt>
                <c:pt idx="943">
                  <c:v>2025020943</c:v>
                </c:pt>
                <c:pt idx="944">
                  <c:v>2025020944</c:v>
                </c:pt>
                <c:pt idx="945">
                  <c:v>2025020945</c:v>
                </c:pt>
                <c:pt idx="946">
                  <c:v>2025020946</c:v>
                </c:pt>
                <c:pt idx="947">
                  <c:v>2025020947</c:v>
                </c:pt>
                <c:pt idx="948">
                  <c:v>2025020948</c:v>
                </c:pt>
                <c:pt idx="949">
                  <c:v>2025020949</c:v>
                </c:pt>
                <c:pt idx="950">
                  <c:v>2025020950</c:v>
                </c:pt>
                <c:pt idx="951">
                  <c:v>2025020951</c:v>
                </c:pt>
                <c:pt idx="952">
                  <c:v>2025020952</c:v>
                </c:pt>
                <c:pt idx="953">
                  <c:v>2025020953</c:v>
                </c:pt>
                <c:pt idx="954">
                  <c:v>2025020954</c:v>
                </c:pt>
                <c:pt idx="955">
                  <c:v>2025020955</c:v>
                </c:pt>
                <c:pt idx="956">
                  <c:v>2025020956</c:v>
                </c:pt>
                <c:pt idx="957">
                  <c:v>2025020957</c:v>
                </c:pt>
                <c:pt idx="958">
                  <c:v>2025020958</c:v>
                </c:pt>
                <c:pt idx="959">
                  <c:v>2025020959</c:v>
                </c:pt>
                <c:pt idx="960">
                  <c:v>2025020960</c:v>
                </c:pt>
                <c:pt idx="961">
                  <c:v>2025020961</c:v>
                </c:pt>
                <c:pt idx="962">
                  <c:v>2025020962</c:v>
                </c:pt>
                <c:pt idx="963">
                  <c:v>2025020963</c:v>
                </c:pt>
                <c:pt idx="964">
                  <c:v>2025020964</c:v>
                </c:pt>
                <c:pt idx="965">
                  <c:v>2025020965</c:v>
                </c:pt>
                <c:pt idx="966">
                  <c:v>2025020966</c:v>
                </c:pt>
                <c:pt idx="967">
                  <c:v>2025020967</c:v>
                </c:pt>
                <c:pt idx="968">
                  <c:v>2025020968</c:v>
                </c:pt>
                <c:pt idx="969">
                  <c:v>2025020969</c:v>
                </c:pt>
                <c:pt idx="970">
                  <c:v>2025020970</c:v>
                </c:pt>
                <c:pt idx="971">
                  <c:v>2025020971</c:v>
                </c:pt>
                <c:pt idx="972">
                  <c:v>2025020972</c:v>
                </c:pt>
                <c:pt idx="973">
                  <c:v>2025020973</c:v>
                </c:pt>
                <c:pt idx="974">
                  <c:v>2025020974</c:v>
                </c:pt>
                <c:pt idx="975">
                  <c:v>2025020975</c:v>
                </c:pt>
                <c:pt idx="976">
                  <c:v>2025020976</c:v>
                </c:pt>
                <c:pt idx="977">
                  <c:v>2025020977</c:v>
                </c:pt>
                <c:pt idx="978">
                  <c:v>2025020978</c:v>
                </c:pt>
                <c:pt idx="979">
                  <c:v>2025020979</c:v>
                </c:pt>
                <c:pt idx="980">
                  <c:v>2025020980</c:v>
                </c:pt>
                <c:pt idx="981">
                  <c:v>2025020981</c:v>
                </c:pt>
                <c:pt idx="982">
                  <c:v>2025020982</c:v>
                </c:pt>
                <c:pt idx="983">
                  <c:v>2025020983</c:v>
                </c:pt>
                <c:pt idx="984">
                  <c:v>2025020984</c:v>
                </c:pt>
                <c:pt idx="985">
                  <c:v>2025020985</c:v>
                </c:pt>
                <c:pt idx="986">
                  <c:v>2025020986</c:v>
                </c:pt>
                <c:pt idx="987">
                  <c:v>2025020987</c:v>
                </c:pt>
                <c:pt idx="988">
                  <c:v>2025020988</c:v>
                </c:pt>
                <c:pt idx="989">
                  <c:v>2025020989</c:v>
                </c:pt>
                <c:pt idx="990">
                  <c:v>2025020990</c:v>
                </c:pt>
                <c:pt idx="991">
                  <c:v>2025020991</c:v>
                </c:pt>
                <c:pt idx="992">
                  <c:v>2025020992</c:v>
                </c:pt>
                <c:pt idx="993">
                  <c:v>2025020993</c:v>
                </c:pt>
                <c:pt idx="994">
                  <c:v>2025020994</c:v>
                </c:pt>
                <c:pt idx="995">
                  <c:v>2025020995</c:v>
                </c:pt>
                <c:pt idx="996">
                  <c:v>2025020996</c:v>
                </c:pt>
                <c:pt idx="997">
                  <c:v>2025020997</c:v>
                </c:pt>
                <c:pt idx="998">
                  <c:v>2025020998</c:v>
                </c:pt>
                <c:pt idx="999">
                  <c:v>2025020999</c:v>
                </c:pt>
                <c:pt idx="1000">
                  <c:v>2025021000</c:v>
                </c:pt>
                <c:pt idx="1001">
                  <c:v>2025021001</c:v>
                </c:pt>
                <c:pt idx="1002">
                  <c:v>2025021002</c:v>
                </c:pt>
                <c:pt idx="1003">
                  <c:v>2025021003</c:v>
                </c:pt>
                <c:pt idx="1004">
                  <c:v>2025021004</c:v>
                </c:pt>
                <c:pt idx="1005">
                  <c:v>2025021005</c:v>
                </c:pt>
                <c:pt idx="1006">
                  <c:v>2025021006</c:v>
                </c:pt>
                <c:pt idx="1007">
                  <c:v>2025021007</c:v>
                </c:pt>
                <c:pt idx="1008">
                  <c:v>2025021008</c:v>
                </c:pt>
                <c:pt idx="1009">
                  <c:v>2025021009</c:v>
                </c:pt>
                <c:pt idx="1010">
                  <c:v>2025021010</c:v>
                </c:pt>
                <c:pt idx="1011">
                  <c:v>2025021011</c:v>
                </c:pt>
                <c:pt idx="1012">
                  <c:v>2025021012</c:v>
                </c:pt>
                <c:pt idx="1013">
                  <c:v>2025021013</c:v>
                </c:pt>
                <c:pt idx="1014">
                  <c:v>2025021014</c:v>
                </c:pt>
                <c:pt idx="1015">
                  <c:v>2025021015</c:v>
                </c:pt>
                <c:pt idx="1016">
                  <c:v>2025021016</c:v>
                </c:pt>
                <c:pt idx="1017">
                  <c:v>2025021017</c:v>
                </c:pt>
                <c:pt idx="1018">
                  <c:v>2025021018</c:v>
                </c:pt>
                <c:pt idx="1019">
                  <c:v>2025021019</c:v>
                </c:pt>
                <c:pt idx="1020">
                  <c:v>2025021020</c:v>
                </c:pt>
                <c:pt idx="1021">
                  <c:v>2025021021</c:v>
                </c:pt>
                <c:pt idx="1022">
                  <c:v>2025021022</c:v>
                </c:pt>
                <c:pt idx="1023">
                  <c:v>2025021023</c:v>
                </c:pt>
                <c:pt idx="1024">
                  <c:v>2025021024</c:v>
                </c:pt>
                <c:pt idx="1025">
                  <c:v>2025021025</c:v>
                </c:pt>
                <c:pt idx="1026">
                  <c:v>2025021026</c:v>
                </c:pt>
                <c:pt idx="1027">
                  <c:v>2025021027</c:v>
                </c:pt>
                <c:pt idx="1028">
                  <c:v>2025021028</c:v>
                </c:pt>
                <c:pt idx="1029">
                  <c:v>2025021029</c:v>
                </c:pt>
                <c:pt idx="1030">
                  <c:v>2025021030</c:v>
                </c:pt>
                <c:pt idx="1031">
                  <c:v>2025021031</c:v>
                </c:pt>
                <c:pt idx="1032">
                  <c:v>2025021032</c:v>
                </c:pt>
                <c:pt idx="1033">
                  <c:v>2025021033</c:v>
                </c:pt>
                <c:pt idx="1034">
                  <c:v>2025021034</c:v>
                </c:pt>
                <c:pt idx="1035">
                  <c:v>2025021035</c:v>
                </c:pt>
                <c:pt idx="1036">
                  <c:v>2025021036</c:v>
                </c:pt>
                <c:pt idx="1037">
                  <c:v>2025021037</c:v>
                </c:pt>
                <c:pt idx="1038">
                  <c:v>2025021038</c:v>
                </c:pt>
                <c:pt idx="1039">
                  <c:v>2025021039</c:v>
                </c:pt>
                <c:pt idx="1040">
                  <c:v>2025021040</c:v>
                </c:pt>
                <c:pt idx="1041">
                  <c:v>2025021041</c:v>
                </c:pt>
                <c:pt idx="1042">
                  <c:v>2025021042</c:v>
                </c:pt>
                <c:pt idx="1043">
                  <c:v>2025021043</c:v>
                </c:pt>
                <c:pt idx="1044">
                  <c:v>2025021044</c:v>
                </c:pt>
                <c:pt idx="1045">
                  <c:v>2025021045</c:v>
                </c:pt>
                <c:pt idx="1046">
                  <c:v>2025021046</c:v>
                </c:pt>
                <c:pt idx="1047">
                  <c:v>2025021047</c:v>
                </c:pt>
                <c:pt idx="1048">
                  <c:v>2025021048</c:v>
                </c:pt>
                <c:pt idx="1049">
                  <c:v>2025021049</c:v>
                </c:pt>
                <c:pt idx="1050">
                  <c:v>2025021050</c:v>
                </c:pt>
                <c:pt idx="1051">
                  <c:v>2025021051</c:v>
                </c:pt>
                <c:pt idx="1052">
                  <c:v>2025021052</c:v>
                </c:pt>
                <c:pt idx="1053">
                  <c:v>2025021053</c:v>
                </c:pt>
                <c:pt idx="1054">
                  <c:v>2025021054</c:v>
                </c:pt>
                <c:pt idx="1055">
                  <c:v>2025021055</c:v>
                </c:pt>
                <c:pt idx="1056">
                  <c:v>2025021056</c:v>
                </c:pt>
                <c:pt idx="1057">
                  <c:v>2025021057</c:v>
                </c:pt>
                <c:pt idx="1058">
                  <c:v>2025021058</c:v>
                </c:pt>
                <c:pt idx="1059">
                  <c:v>2025021059</c:v>
                </c:pt>
                <c:pt idx="1060">
                  <c:v>2025021060</c:v>
                </c:pt>
                <c:pt idx="1061">
                  <c:v>2025021061</c:v>
                </c:pt>
                <c:pt idx="1062">
                  <c:v>2025021062</c:v>
                </c:pt>
                <c:pt idx="1063">
                  <c:v>2025021063</c:v>
                </c:pt>
                <c:pt idx="1064">
                  <c:v>2025021064</c:v>
                </c:pt>
                <c:pt idx="1065">
                  <c:v>2025021065</c:v>
                </c:pt>
                <c:pt idx="1066">
                  <c:v>2025021066</c:v>
                </c:pt>
                <c:pt idx="1067">
                  <c:v>2025021067</c:v>
                </c:pt>
                <c:pt idx="1068">
                  <c:v>2025021068</c:v>
                </c:pt>
                <c:pt idx="1069">
                  <c:v>2025021069</c:v>
                </c:pt>
                <c:pt idx="1070">
                  <c:v>2025021070</c:v>
                </c:pt>
                <c:pt idx="1071">
                  <c:v>2025021071</c:v>
                </c:pt>
                <c:pt idx="1072">
                  <c:v>2025021072</c:v>
                </c:pt>
                <c:pt idx="1073">
                  <c:v>2025021073</c:v>
                </c:pt>
                <c:pt idx="1074">
                  <c:v>2025021074</c:v>
                </c:pt>
                <c:pt idx="1075">
                  <c:v>2025021075</c:v>
                </c:pt>
                <c:pt idx="1076">
                  <c:v>2025021076</c:v>
                </c:pt>
                <c:pt idx="1077">
                  <c:v>2025021077</c:v>
                </c:pt>
                <c:pt idx="1078">
                  <c:v>2025021078</c:v>
                </c:pt>
                <c:pt idx="1079">
                  <c:v>2025021079</c:v>
                </c:pt>
                <c:pt idx="1080">
                  <c:v>2025021080</c:v>
                </c:pt>
                <c:pt idx="1081">
                  <c:v>2025021081</c:v>
                </c:pt>
                <c:pt idx="1082">
                  <c:v>2025021082</c:v>
                </c:pt>
                <c:pt idx="1083">
                  <c:v>2025021083</c:v>
                </c:pt>
                <c:pt idx="1084">
                  <c:v>2025021084</c:v>
                </c:pt>
                <c:pt idx="1085">
                  <c:v>2025021085</c:v>
                </c:pt>
                <c:pt idx="1086">
                  <c:v>2025021086</c:v>
                </c:pt>
                <c:pt idx="1087">
                  <c:v>2025021087</c:v>
                </c:pt>
                <c:pt idx="1088">
                  <c:v>2025021088</c:v>
                </c:pt>
                <c:pt idx="1089">
                  <c:v>2025021089</c:v>
                </c:pt>
                <c:pt idx="1090">
                  <c:v>2025021090</c:v>
                </c:pt>
                <c:pt idx="1091">
                  <c:v>2025021091</c:v>
                </c:pt>
                <c:pt idx="1092">
                  <c:v>2025021092</c:v>
                </c:pt>
                <c:pt idx="1093">
                  <c:v>2025021093</c:v>
                </c:pt>
                <c:pt idx="1094">
                  <c:v>2025021094</c:v>
                </c:pt>
                <c:pt idx="1095">
                  <c:v>2025021095</c:v>
                </c:pt>
                <c:pt idx="1096">
                  <c:v>2025021096</c:v>
                </c:pt>
                <c:pt idx="1097">
                  <c:v>2025021097</c:v>
                </c:pt>
                <c:pt idx="1098">
                  <c:v>2025021098</c:v>
                </c:pt>
                <c:pt idx="1099">
                  <c:v>2025021099</c:v>
                </c:pt>
                <c:pt idx="1100">
                  <c:v>2025021100</c:v>
                </c:pt>
                <c:pt idx="1101">
                  <c:v>2025021101</c:v>
                </c:pt>
                <c:pt idx="1102">
                  <c:v>2025021102</c:v>
                </c:pt>
                <c:pt idx="1103">
                  <c:v>2025021103</c:v>
                </c:pt>
                <c:pt idx="1104">
                  <c:v>2025021104</c:v>
                </c:pt>
                <c:pt idx="1105">
                  <c:v>2025021105</c:v>
                </c:pt>
                <c:pt idx="1106">
                  <c:v>2025021106</c:v>
                </c:pt>
                <c:pt idx="1107">
                  <c:v>2025021107</c:v>
                </c:pt>
                <c:pt idx="1108">
                  <c:v>2025021108</c:v>
                </c:pt>
                <c:pt idx="1109">
                  <c:v>2025021109</c:v>
                </c:pt>
                <c:pt idx="1110">
                  <c:v>2025021110</c:v>
                </c:pt>
                <c:pt idx="1111">
                  <c:v>2025021111</c:v>
                </c:pt>
                <c:pt idx="1112">
                  <c:v>2025021112</c:v>
                </c:pt>
                <c:pt idx="1113">
                  <c:v>2025021113</c:v>
                </c:pt>
                <c:pt idx="1114">
                  <c:v>2025021114</c:v>
                </c:pt>
                <c:pt idx="1115">
                  <c:v>2025021115</c:v>
                </c:pt>
                <c:pt idx="1116">
                  <c:v>2025021116</c:v>
                </c:pt>
                <c:pt idx="1117">
                  <c:v>2025021117</c:v>
                </c:pt>
                <c:pt idx="1118">
                  <c:v>2025021118</c:v>
                </c:pt>
                <c:pt idx="1119">
                  <c:v>2025021119</c:v>
                </c:pt>
                <c:pt idx="1120">
                  <c:v>2025021120</c:v>
                </c:pt>
                <c:pt idx="1121">
                  <c:v>2025021121</c:v>
                </c:pt>
                <c:pt idx="1122">
                  <c:v>2025021122</c:v>
                </c:pt>
                <c:pt idx="1123">
                  <c:v>2025021123</c:v>
                </c:pt>
                <c:pt idx="1124">
                  <c:v>2025021124</c:v>
                </c:pt>
                <c:pt idx="1125">
                  <c:v>2025021125</c:v>
                </c:pt>
                <c:pt idx="1126">
                  <c:v>2025021126</c:v>
                </c:pt>
                <c:pt idx="1127">
                  <c:v>2025021127</c:v>
                </c:pt>
                <c:pt idx="1128">
                  <c:v>2025021128</c:v>
                </c:pt>
                <c:pt idx="1129">
                  <c:v>2025021129</c:v>
                </c:pt>
                <c:pt idx="1130">
                  <c:v>2025021130</c:v>
                </c:pt>
                <c:pt idx="1131">
                  <c:v>2025021131</c:v>
                </c:pt>
                <c:pt idx="1132">
                  <c:v>2025021132</c:v>
                </c:pt>
                <c:pt idx="1133">
                  <c:v>2025021133</c:v>
                </c:pt>
                <c:pt idx="1134">
                  <c:v>2025021134</c:v>
                </c:pt>
                <c:pt idx="1135">
                  <c:v>2025021135</c:v>
                </c:pt>
                <c:pt idx="1136">
                  <c:v>2025021136</c:v>
                </c:pt>
                <c:pt idx="1137">
                  <c:v>2025021137</c:v>
                </c:pt>
                <c:pt idx="1138">
                  <c:v>2025021138</c:v>
                </c:pt>
                <c:pt idx="1139">
                  <c:v>2025021139</c:v>
                </c:pt>
                <c:pt idx="1140">
                  <c:v>2025021140</c:v>
                </c:pt>
                <c:pt idx="1141">
                  <c:v>2025021141</c:v>
                </c:pt>
                <c:pt idx="1142">
                  <c:v>2025021142</c:v>
                </c:pt>
                <c:pt idx="1143">
                  <c:v>2025021143</c:v>
                </c:pt>
                <c:pt idx="1144">
                  <c:v>2025021144</c:v>
                </c:pt>
                <c:pt idx="1145">
                  <c:v>2025021145</c:v>
                </c:pt>
                <c:pt idx="1146">
                  <c:v>2025021146</c:v>
                </c:pt>
                <c:pt idx="1147">
                  <c:v>2025021147</c:v>
                </c:pt>
                <c:pt idx="1148">
                  <c:v>2025021148</c:v>
                </c:pt>
                <c:pt idx="1149">
                  <c:v>2025021149</c:v>
                </c:pt>
                <c:pt idx="1150">
                  <c:v>2025021150</c:v>
                </c:pt>
                <c:pt idx="1151">
                  <c:v>2025021151</c:v>
                </c:pt>
                <c:pt idx="1152">
                  <c:v>2025021152</c:v>
                </c:pt>
                <c:pt idx="1153">
                  <c:v>2025021153</c:v>
                </c:pt>
                <c:pt idx="1154">
                  <c:v>2025021154</c:v>
                </c:pt>
                <c:pt idx="1155">
                  <c:v>2025021155</c:v>
                </c:pt>
                <c:pt idx="1156">
                  <c:v>2025021156</c:v>
                </c:pt>
                <c:pt idx="1157">
                  <c:v>2025021157</c:v>
                </c:pt>
                <c:pt idx="1158">
                  <c:v>2025021158</c:v>
                </c:pt>
                <c:pt idx="1159">
                  <c:v>2025021159</c:v>
                </c:pt>
                <c:pt idx="1160">
                  <c:v>2025021160</c:v>
                </c:pt>
                <c:pt idx="1161">
                  <c:v>2025021161</c:v>
                </c:pt>
                <c:pt idx="1162">
                  <c:v>2025021162</c:v>
                </c:pt>
                <c:pt idx="1163">
                  <c:v>2025021163</c:v>
                </c:pt>
                <c:pt idx="1164">
                  <c:v>2025021164</c:v>
                </c:pt>
                <c:pt idx="1165">
                  <c:v>2025021165</c:v>
                </c:pt>
                <c:pt idx="1166">
                  <c:v>2025021166</c:v>
                </c:pt>
                <c:pt idx="1167">
                  <c:v>2025021167</c:v>
                </c:pt>
                <c:pt idx="1168">
                  <c:v>2025021168</c:v>
                </c:pt>
                <c:pt idx="1169">
                  <c:v>2025021169</c:v>
                </c:pt>
                <c:pt idx="1170">
                  <c:v>2025021170</c:v>
                </c:pt>
                <c:pt idx="1171">
                  <c:v>2025021171</c:v>
                </c:pt>
                <c:pt idx="1172">
                  <c:v>2025021172</c:v>
                </c:pt>
                <c:pt idx="1173">
                  <c:v>2025021173</c:v>
                </c:pt>
                <c:pt idx="1174">
                  <c:v>2025021174</c:v>
                </c:pt>
                <c:pt idx="1175">
                  <c:v>2025021175</c:v>
                </c:pt>
                <c:pt idx="1176">
                  <c:v>2025021176</c:v>
                </c:pt>
                <c:pt idx="1177">
                  <c:v>2025021177</c:v>
                </c:pt>
                <c:pt idx="1178">
                  <c:v>2025021178</c:v>
                </c:pt>
                <c:pt idx="1179">
                  <c:v>2025021179</c:v>
                </c:pt>
                <c:pt idx="1180">
                  <c:v>2025021180</c:v>
                </c:pt>
                <c:pt idx="1181">
                  <c:v>2025021181</c:v>
                </c:pt>
                <c:pt idx="1182">
                  <c:v>2025021182</c:v>
                </c:pt>
                <c:pt idx="1183">
                  <c:v>2025021183</c:v>
                </c:pt>
                <c:pt idx="1184">
                  <c:v>2025021184</c:v>
                </c:pt>
                <c:pt idx="1185">
                  <c:v>2025021185</c:v>
                </c:pt>
                <c:pt idx="1186">
                  <c:v>2025021186</c:v>
                </c:pt>
                <c:pt idx="1187">
                  <c:v>2025021187</c:v>
                </c:pt>
                <c:pt idx="1188">
                  <c:v>2025021188</c:v>
                </c:pt>
                <c:pt idx="1189">
                  <c:v>2025021189</c:v>
                </c:pt>
                <c:pt idx="1190">
                  <c:v>2025021190</c:v>
                </c:pt>
                <c:pt idx="1191">
                  <c:v>2025021191</c:v>
                </c:pt>
                <c:pt idx="1192">
                  <c:v>2025021192</c:v>
                </c:pt>
                <c:pt idx="1193">
                  <c:v>2025021193</c:v>
                </c:pt>
                <c:pt idx="1194">
                  <c:v>2025021194</c:v>
                </c:pt>
                <c:pt idx="1195">
                  <c:v>2025021195</c:v>
                </c:pt>
                <c:pt idx="1196">
                  <c:v>2025021196</c:v>
                </c:pt>
                <c:pt idx="1197">
                  <c:v>2025021197</c:v>
                </c:pt>
                <c:pt idx="1198">
                  <c:v>2025021198</c:v>
                </c:pt>
                <c:pt idx="1199">
                  <c:v>2025021199</c:v>
                </c:pt>
                <c:pt idx="1200">
                  <c:v>2025021200</c:v>
                </c:pt>
                <c:pt idx="1201">
                  <c:v>2025021201</c:v>
                </c:pt>
                <c:pt idx="1202">
                  <c:v>2025021202</c:v>
                </c:pt>
                <c:pt idx="1203">
                  <c:v>2025021203</c:v>
                </c:pt>
                <c:pt idx="1204">
                  <c:v>2025021204</c:v>
                </c:pt>
                <c:pt idx="1205">
                  <c:v>2025021205</c:v>
                </c:pt>
                <c:pt idx="1206">
                  <c:v>2025021206</c:v>
                </c:pt>
                <c:pt idx="1207">
                  <c:v>2025021207</c:v>
                </c:pt>
                <c:pt idx="1208">
                  <c:v>2025021208</c:v>
                </c:pt>
                <c:pt idx="1209">
                  <c:v>2025021209</c:v>
                </c:pt>
                <c:pt idx="1210">
                  <c:v>2025021210</c:v>
                </c:pt>
                <c:pt idx="1211">
                  <c:v>2025021211</c:v>
                </c:pt>
                <c:pt idx="1212">
                  <c:v>2025021212</c:v>
                </c:pt>
                <c:pt idx="1213">
                  <c:v>2025021213</c:v>
                </c:pt>
                <c:pt idx="1214">
                  <c:v>2025021214</c:v>
                </c:pt>
                <c:pt idx="1215">
                  <c:v>2025021215</c:v>
                </c:pt>
                <c:pt idx="1216">
                  <c:v>2025021216</c:v>
                </c:pt>
                <c:pt idx="1217">
                  <c:v>2025021217</c:v>
                </c:pt>
                <c:pt idx="1218">
                  <c:v>2025021218</c:v>
                </c:pt>
                <c:pt idx="1219">
                  <c:v>2025021219</c:v>
                </c:pt>
                <c:pt idx="1220">
                  <c:v>2025021220</c:v>
                </c:pt>
                <c:pt idx="1221">
                  <c:v>2025021221</c:v>
                </c:pt>
                <c:pt idx="1222">
                  <c:v>2025021222</c:v>
                </c:pt>
                <c:pt idx="1223">
                  <c:v>2025021223</c:v>
                </c:pt>
                <c:pt idx="1224">
                  <c:v>2025021224</c:v>
                </c:pt>
                <c:pt idx="1225">
                  <c:v>2025021225</c:v>
                </c:pt>
                <c:pt idx="1226">
                  <c:v>2025021226</c:v>
                </c:pt>
                <c:pt idx="1227">
                  <c:v>2025021227</c:v>
                </c:pt>
                <c:pt idx="1228">
                  <c:v>2025021228</c:v>
                </c:pt>
                <c:pt idx="1229">
                  <c:v>2025021229</c:v>
                </c:pt>
                <c:pt idx="1230">
                  <c:v>2025021230</c:v>
                </c:pt>
                <c:pt idx="1231">
                  <c:v>2025021231</c:v>
                </c:pt>
                <c:pt idx="1232">
                  <c:v>2025021232</c:v>
                </c:pt>
                <c:pt idx="1233">
                  <c:v>2025021233</c:v>
                </c:pt>
                <c:pt idx="1234">
                  <c:v>2025021234</c:v>
                </c:pt>
                <c:pt idx="1235">
                  <c:v>2025021235</c:v>
                </c:pt>
                <c:pt idx="1236">
                  <c:v>2025021236</c:v>
                </c:pt>
                <c:pt idx="1237">
                  <c:v>2025021237</c:v>
                </c:pt>
                <c:pt idx="1238">
                  <c:v>2025021238</c:v>
                </c:pt>
                <c:pt idx="1239">
                  <c:v>2025021239</c:v>
                </c:pt>
                <c:pt idx="1240">
                  <c:v>2025021240</c:v>
                </c:pt>
                <c:pt idx="1241">
                  <c:v>2025021241</c:v>
                </c:pt>
                <c:pt idx="1242">
                  <c:v>2025021242</c:v>
                </c:pt>
                <c:pt idx="1243">
                  <c:v>2025021243</c:v>
                </c:pt>
                <c:pt idx="1244">
                  <c:v>2025021244</c:v>
                </c:pt>
                <c:pt idx="1245">
                  <c:v>2025021245</c:v>
                </c:pt>
                <c:pt idx="1246">
                  <c:v>2025021246</c:v>
                </c:pt>
                <c:pt idx="1247">
                  <c:v>2025021247</c:v>
                </c:pt>
                <c:pt idx="1248">
                  <c:v>2025021248</c:v>
                </c:pt>
                <c:pt idx="1249">
                  <c:v>2025021249</c:v>
                </c:pt>
                <c:pt idx="1250">
                  <c:v>2025021250</c:v>
                </c:pt>
                <c:pt idx="1251">
                  <c:v>2025021251</c:v>
                </c:pt>
                <c:pt idx="1252">
                  <c:v>2025021252</c:v>
                </c:pt>
                <c:pt idx="1253">
                  <c:v>2025021253</c:v>
                </c:pt>
                <c:pt idx="1254">
                  <c:v>2025021254</c:v>
                </c:pt>
                <c:pt idx="1255">
                  <c:v>2025021255</c:v>
                </c:pt>
                <c:pt idx="1256">
                  <c:v>2025021256</c:v>
                </c:pt>
                <c:pt idx="1257">
                  <c:v>2025021257</c:v>
                </c:pt>
                <c:pt idx="1258">
                  <c:v>2025021258</c:v>
                </c:pt>
                <c:pt idx="1259">
                  <c:v>2025021259</c:v>
                </c:pt>
                <c:pt idx="1260">
                  <c:v>2025021260</c:v>
                </c:pt>
                <c:pt idx="1261">
                  <c:v>2025021261</c:v>
                </c:pt>
                <c:pt idx="1262">
                  <c:v>2025021262</c:v>
                </c:pt>
                <c:pt idx="1263">
                  <c:v>2025021263</c:v>
                </c:pt>
                <c:pt idx="1264">
                  <c:v>2025021264</c:v>
                </c:pt>
                <c:pt idx="1265">
                  <c:v>2025021265</c:v>
                </c:pt>
                <c:pt idx="1266">
                  <c:v>2025021266</c:v>
                </c:pt>
                <c:pt idx="1267">
                  <c:v>2025021267</c:v>
                </c:pt>
                <c:pt idx="1268">
                  <c:v>2025021268</c:v>
                </c:pt>
                <c:pt idx="1269">
                  <c:v>2025021269</c:v>
                </c:pt>
                <c:pt idx="1270">
                  <c:v>2025021270</c:v>
                </c:pt>
                <c:pt idx="1271">
                  <c:v>2025021271</c:v>
                </c:pt>
                <c:pt idx="1272">
                  <c:v>2025021272</c:v>
                </c:pt>
                <c:pt idx="1273">
                  <c:v>2025021273</c:v>
                </c:pt>
                <c:pt idx="1274">
                  <c:v>2025021274</c:v>
                </c:pt>
                <c:pt idx="1275">
                  <c:v>2025021275</c:v>
                </c:pt>
                <c:pt idx="1276">
                  <c:v>2025021276</c:v>
                </c:pt>
                <c:pt idx="1277">
                  <c:v>2025021277</c:v>
                </c:pt>
                <c:pt idx="1278">
                  <c:v>2025021278</c:v>
                </c:pt>
                <c:pt idx="1279">
                  <c:v>2025021279</c:v>
                </c:pt>
                <c:pt idx="1280">
                  <c:v>2025021280</c:v>
                </c:pt>
                <c:pt idx="1281">
                  <c:v>2025021281</c:v>
                </c:pt>
                <c:pt idx="1282">
                  <c:v>2025021282</c:v>
                </c:pt>
                <c:pt idx="1283">
                  <c:v>2025021283</c:v>
                </c:pt>
                <c:pt idx="1284">
                  <c:v>2025021284</c:v>
                </c:pt>
                <c:pt idx="1285">
                  <c:v>2025021285</c:v>
                </c:pt>
                <c:pt idx="1286">
                  <c:v>2025021286</c:v>
                </c:pt>
                <c:pt idx="1287">
                  <c:v>2025021287</c:v>
                </c:pt>
                <c:pt idx="1288">
                  <c:v>2025021288</c:v>
                </c:pt>
                <c:pt idx="1289">
                  <c:v>2025021289</c:v>
                </c:pt>
                <c:pt idx="1290">
                  <c:v>2025021290</c:v>
                </c:pt>
                <c:pt idx="1291">
                  <c:v>2025021291</c:v>
                </c:pt>
                <c:pt idx="1292">
                  <c:v>2025021292</c:v>
                </c:pt>
                <c:pt idx="1293">
                  <c:v>2025021293</c:v>
                </c:pt>
                <c:pt idx="1294">
                  <c:v>2025021294</c:v>
                </c:pt>
                <c:pt idx="1295">
                  <c:v>2025021295</c:v>
                </c:pt>
                <c:pt idx="1296">
                  <c:v>2025021296</c:v>
                </c:pt>
                <c:pt idx="1297">
                  <c:v>2025021297</c:v>
                </c:pt>
                <c:pt idx="1298">
                  <c:v>2025021298</c:v>
                </c:pt>
                <c:pt idx="1299">
                  <c:v>2025021299</c:v>
                </c:pt>
                <c:pt idx="1300">
                  <c:v>2025021300</c:v>
                </c:pt>
                <c:pt idx="1301">
                  <c:v>2025021301</c:v>
                </c:pt>
                <c:pt idx="1302">
                  <c:v>2025021302</c:v>
                </c:pt>
                <c:pt idx="1303">
                  <c:v>2025021303</c:v>
                </c:pt>
                <c:pt idx="1304">
                  <c:v>2025021304</c:v>
                </c:pt>
                <c:pt idx="1305">
                  <c:v>2025021305</c:v>
                </c:pt>
                <c:pt idx="1306">
                  <c:v>2025021306</c:v>
                </c:pt>
                <c:pt idx="1307">
                  <c:v>2025021307</c:v>
                </c:pt>
                <c:pt idx="1308">
                  <c:v>2025021308</c:v>
                </c:pt>
                <c:pt idx="1309">
                  <c:v>2025021309</c:v>
                </c:pt>
                <c:pt idx="1310">
                  <c:v>2025021310</c:v>
                </c:pt>
                <c:pt idx="1311">
                  <c:v>2025021311</c:v>
                </c:pt>
                <c:pt idx="1312">
                  <c:v>2025021312</c:v>
                </c:pt>
              </c:strCache>
            </c:strRef>
          </c:cat>
          <c:val>
            <c:numRef>
              <c:f>DataRegularSeason20242025!$AF$2:$AF$1317</c:f>
              <c:numCache>
                <c:formatCode>General</c:formatCode>
                <c:ptCount val="1316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-1</c:v>
                </c:pt>
                <c:pt idx="4">
                  <c:v>-1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-2</c:v>
                </c:pt>
                <c:pt idx="17">
                  <c:v>1</c:v>
                </c:pt>
                <c:pt idx="18">
                  <c:v>-2</c:v>
                </c:pt>
                <c:pt idx="19">
                  <c:v>-1</c:v>
                </c:pt>
                <c:pt idx="20">
                  <c:v>0</c:v>
                </c:pt>
                <c:pt idx="21">
                  <c:v>-3</c:v>
                </c:pt>
                <c:pt idx="22">
                  <c:v>-1</c:v>
                </c:pt>
                <c:pt idx="23">
                  <c:v>2</c:v>
                </c:pt>
                <c:pt idx="24">
                  <c:v>-2</c:v>
                </c:pt>
                <c:pt idx="25">
                  <c:v>-1</c:v>
                </c:pt>
                <c:pt idx="26">
                  <c:v>3</c:v>
                </c:pt>
                <c:pt idx="27">
                  <c:v>-3</c:v>
                </c:pt>
                <c:pt idx="28">
                  <c:v>0</c:v>
                </c:pt>
                <c:pt idx="29">
                  <c:v>4</c:v>
                </c:pt>
                <c:pt idx="30">
                  <c:v>2</c:v>
                </c:pt>
                <c:pt idx="31">
                  <c:v>-2</c:v>
                </c:pt>
                <c:pt idx="32">
                  <c:v>-2</c:v>
                </c:pt>
                <c:pt idx="33">
                  <c:v>5</c:v>
                </c:pt>
                <c:pt idx="34">
                  <c:v>1</c:v>
                </c:pt>
                <c:pt idx="35">
                  <c:v>-3</c:v>
                </c:pt>
                <c:pt idx="36">
                  <c:v>3</c:v>
                </c:pt>
                <c:pt idx="37">
                  <c:v>-4</c:v>
                </c:pt>
                <c:pt idx="38">
                  <c:v>-4</c:v>
                </c:pt>
                <c:pt idx="39">
                  <c:v>-1</c:v>
                </c:pt>
                <c:pt idx="40">
                  <c:v>1</c:v>
                </c:pt>
                <c:pt idx="41">
                  <c:v>2</c:v>
                </c:pt>
                <c:pt idx="42">
                  <c:v>3</c:v>
                </c:pt>
                <c:pt idx="43">
                  <c:v>-1</c:v>
                </c:pt>
                <c:pt idx="44">
                  <c:v>-1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-3</c:v>
                </c:pt>
                <c:pt idx="49">
                  <c:v>1</c:v>
                </c:pt>
                <c:pt idx="50">
                  <c:v>2</c:v>
                </c:pt>
                <c:pt idx="51">
                  <c:v>-2</c:v>
                </c:pt>
                <c:pt idx="52">
                  <c:v>0</c:v>
                </c:pt>
                <c:pt idx="53">
                  <c:v>3</c:v>
                </c:pt>
                <c:pt idx="54">
                  <c:v>0</c:v>
                </c:pt>
                <c:pt idx="55">
                  <c:v>1</c:v>
                </c:pt>
                <c:pt idx="56">
                  <c:v>-1</c:v>
                </c:pt>
                <c:pt idx="57">
                  <c:v>0</c:v>
                </c:pt>
                <c:pt idx="58">
                  <c:v>-2</c:v>
                </c:pt>
                <c:pt idx="59">
                  <c:v>6</c:v>
                </c:pt>
                <c:pt idx="60">
                  <c:v>-3</c:v>
                </c:pt>
                <c:pt idx="61">
                  <c:v>-3</c:v>
                </c:pt>
                <c:pt idx="62">
                  <c:v>-1</c:v>
                </c:pt>
                <c:pt idx="63">
                  <c:v>-1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-2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1</c:v>
                </c:pt>
                <c:pt idx="72">
                  <c:v>-3</c:v>
                </c:pt>
                <c:pt idx="73">
                  <c:v>-1</c:v>
                </c:pt>
                <c:pt idx="74">
                  <c:v>-2</c:v>
                </c:pt>
                <c:pt idx="75">
                  <c:v>0</c:v>
                </c:pt>
                <c:pt idx="76">
                  <c:v>-2</c:v>
                </c:pt>
                <c:pt idx="77">
                  <c:v>4</c:v>
                </c:pt>
                <c:pt idx="78">
                  <c:v>0</c:v>
                </c:pt>
                <c:pt idx="79">
                  <c:v>1</c:v>
                </c:pt>
                <c:pt idx="80">
                  <c:v>3</c:v>
                </c:pt>
                <c:pt idx="81">
                  <c:v>-4</c:v>
                </c:pt>
                <c:pt idx="82">
                  <c:v>-1</c:v>
                </c:pt>
                <c:pt idx="83">
                  <c:v>-3</c:v>
                </c:pt>
                <c:pt idx="84">
                  <c:v>0</c:v>
                </c:pt>
                <c:pt idx="85">
                  <c:v>-1</c:v>
                </c:pt>
                <c:pt idx="86">
                  <c:v>1</c:v>
                </c:pt>
                <c:pt idx="87">
                  <c:v>-2</c:v>
                </c:pt>
                <c:pt idx="88">
                  <c:v>0</c:v>
                </c:pt>
                <c:pt idx="89">
                  <c:v>1</c:v>
                </c:pt>
                <c:pt idx="90">
                  <c:v>-2</c:v>
                </c:pt>
                <c:pt idx="91">
                  <c:v>-2</c:v>
                </c:pt>
                <c:pt idx="92">
                  <c:v>0</c:v>
                </c:pt>
                <c:pt idx="93">
                  <c:v>-1</c:v>
                </c:pt>
                <c:pt idx="94">
                  <c:v>-2</c:v>
                </c:pt>
                <c:pt idx="95">
                  <c:v>-1</c:v>
                </c:pt>
                <c:pt idx="96">
                  <c:v>0</c:v>
                </c:pt>
                <c:pt idx="97">
                  <c:v>-1</c:v>
                </c:pt>
                <c:pt idx="98">
                  <c:v>1</c:v>
                </c:pt>
                <c:pt idx="99">
                  <c:v>-2</c:v>
                </c:pt>
                <c:pt idx="100">
                  <c:v>0</c:v>
                </c:pt>
                <c:pt idx="101">
                  <c:v>-2</c:v>
                </c:pt>
                <c:pt idx="102">
                  <c:v>-1</c:v>
                </c:pt>
                <c:pt idx="103">
                  <c:v>2</c:v>
                </c:pt>
                <c:pt idx="104">
                  <c:v>-2</c:v>
                </c:pt>
                <c:pt idx="105">
                  <c:v>3</c:v>
                </c:pt>
                <c:pt idx="106">
                  <c:v>4</c:v>
                </c:pt>
                <c:pt idx="107">
                  <c:v>-2</c:v>
                </c:pt>
                <c:pt idx="108">
                  <c:v>-3</c:v>
                </c:pt>
                <c:pt idx="109">
                  <c:v>-4</c:v>
                </c:pt>
                <c:pt idx="110">
                  <c:v>-2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F3-49CA-A273-BC58C8FEB4BF}"/>
            </c:ext>
          </c:extLst>
        </c:ser>
        <c:ser>
          <c:idx val="1"/>
          <c:order val="1"/>
          <c:tx>
            <c:strRef>
              <c:f>DataRegularSeason20242025!$AG$1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DataRegularSeason20242025!$C$2:$C$1317</c:f>
              <c:strCache>
                <c:ptCount val="1313"/>
                <c:pt idx="0">
                  <c:v>GameID</c:v>
                </c:pt>
                <c:pt idx="1">
                  <c:v>2025020001</c:v>
                </c:pt>
                <c:pt idx="2">
                  <c:v>2025020002</c:v>
                </c:pt>
                <c:pt idx="3">
                  <c:v>2025020003</c:v>
                </c:pt>
                <c:pt idx="4">
                  <c:v>2025020004</c:v>
                </c:pt>
                <c:pt idx="5">
                  <c:v>2025020005</c:v>
                </c:pt>
                <c:pt idx="6">
                  <c:v>2025020006</c:v>
                </c:pt>
                <c:pt idx="7">
                  <c:v>2025020007</c:v>
                </c:pt>
                <c:pt idx="8">
                  <c:v>2025020008</c:v>
                </c:pt>
                <c:pt idx="9">
                  <c:v>2025020009</c:v>
                </c:pt>
                <c:pt idx="10">
                  <c:v>2025020010</c:v>
                </c:pt>
                <c:pt idx="11">
                  <c:v>2025020011</c:v>
                </c:pt>
                <c:pt idx="12">
                  <c:v>2025020012</c:v>
                </c:pt>
                <c:pt idx="13">
                  <c:v>2025020013</c:v>
                </c:pt>
                <c:pt idx="14">
                  <c:v>2025020014</c:v>
                </c:pt>
                <c:pt idx="15">
                  <c:v>2025020015</c:v>
                </c:pt>
                <c:pt idx="16">
                  <c:v>2025020016</c:v>
                </c:pt>
                <c:pt idx="17">
                  <c:v>2025020017</c:v>
                </c:pt>
                <c:pt idx="18">
                  <c:v>2025020018</c:v>
                </c:pt>
                <c:pt idx="19">
                  <c:v>2025020019</c:v>
                </c:pt>
                <c:pt idx="20">
                  <c:v>2025020020</c:v>
                </c:pt>
                <c:pt idx="21">
                  <c:v>2025020021</c:v>
                </c:pt>
                <c:pt idx="22">
                  <c:v>2025020022</c:v>
                </c:pt>
                <c:pt idx="23">
                  <c:v>2025020023</c:v>
                </c:pt>
                <c:pt idx="24">
                  <c:v>2025020024</c:v>
                </c:pt>
                <c:pt idx="25">
                  <c:v>2025020025</c:v>
                </c:pt>
                <c:pt idx="26">
                  <c:v>2025020026</c:v>
                </c:pt>
                <c:pt idx="27">
                  <c:v>2025020027</c:v>
                </c:pt>
                <c:pt idx="28">
                  <c:v>2025020028</c:v>
                </c:pt>
                <c:pt idx="29">
                  <c:v>2025020029</c:v>
                </c:pt>
                <c:pt idx="30">
                  <c:v>2025020030</c:v>
                </c:pt>
                <c:pt idx="31">
                  <c:v>2025020031</c:v>
                </c:pt>
                <c:pt idx="32">
                  <c:v>2025020032</c:v>
                </c:pt>
                <c:pt idx="33">
                  <c:v>2025020033</c:v>
                </c:pt>
                <c:pt idx="34">
                  <c:v>2025020034</c:v>
                </c:pt>
                <c:pt idx="35">
                  <c:v>2025020035</c:v>
                </c:pt>
                <c:pt idx="36">
                  <c:v>2025020036</c:v>
                </c:pt>
                <c:pt idx="37">
                  <c:v>2025020037</c:v>
                </c:pt>
                <c:pt idx="38">
                  <c:v>2025020038</c:v>
                </c:pt>
                <c:pt idx="39">
                  <c:v>2025020039</c:v>
                </c:pt>
                <c:pt idx="40">
                  <c:v>2025020040</c:v>
                </c:pt>
                <c:pt idx="41">
                  <c:v>2025020041</c:v>
                </c:pt>
                <c:pt idx="42">
                  <c:v>2025020042</c:v>
                </c:pt>
                <c:pt idx="43">
                  <c:v>2025020043</c:v>
                </c:pt>
                <c:pt idx="44">
                  <c:v>2025020044</c:v>
                </c:pt>
                <c:pt idx="45">
                  <c:v>2025020045</c:v>
                </c:pt>
                <c:pt idx="46">
                  <c:v>2025020046</c:v>
                </c:pt>
                <c:pt idx="47">
                  <c:v>2025020047</c:v>
                </c:pt>
                <c:pt idx="48">
                  <c:v>2025020048</c:v>
                </c:pt>
                <c:pt idx="49">
                  <c:v>2025020049</c:v>
                </c:pt>
                <c:pt idx="50">
                  <c:v>2025020050</c:v>
                </c:pt>
                <c:pt idx="51">
                  <c:v>2025020051</c:v>
                </c:pt>
                <c:pt idx="52">
                  <c:v>2025020052</c:v>
                </c:pt>
                <c:pt idx="53">
                  <c:v>2025020053</c:v>
                </c:pt>
                <c:pt idx="54">
                  <c:v>2025020054</c:v>
                </c:pt>
                <c:pt idx="55">
                  <c:v>2025020055</c:v>
                </c:pt>
                <c:pt idx="56">
                  <c:v>2025020056</c:v>
                </c:pt>
                <c:pt idx="57">
                  <c:v>2025020057</c:v>
                </c:pt>
                <c:pt idx="58">
                  <c:v>2025020058</c:v>
                </c:pt>
                <c:pt idx="59">
                  <c:v>2025020059</c:v>
                </c:pt>
                <c:pt idx="60">
                  <c:v>2025020060</c:v>
                </c:pt>
                <c:pt idx="61">
                  <c:v>2025020061</c:v>
                </c:pt>
                <c:pt idx="62">
                  <c:v>2025020062</c:v>
                </c:pt>
                <c:pt idx="63">
                  <c:v>2025020063</c:v>
                </c:pt>
                <c:pt idx="64">
                  <c:v>2025020064</c:v>
                </c:pt>
                <c:pt idx="65">
                  <c:v>2025020065</c:v>
                </c:pt>
                <c:pt idx="66">
                  <c:v>2025020066</c:v>
                </c:pt>
                <c:pt idx="67">
                  <c:v>2025020067</c:v>
                </c:pt>
                <c:pt idx="68">
                  <c:v>2025020068</c:v>
                </c:pt>
                <c:pt idx="69">
                  <c:v>2025020069</c:v>
                </c:pt>
                <c:pt idx="70">
                  <c:v>2025020070</c:v>
                </c:pt>
                <c:pt idx="71">
                  <c:v>2025020071</c:v>
                </c:pt>
                <c:pt idx="72">
                  <c:v>2025020072</c:v>
                </c:pt>
                <c:pt idx="73">
                  <c:v>2025020073</c:v>
                </c:pt>
                <c:pt idx="74">
                  <c:v>2025020074</c:v>
                </c:pt>
                <c:pt idx="75">
                  <c:v>2025020075</c:v>
                </c:pt>
                <c:pt idx="76">
                  <c:v>2025020076</c:v>
                </c:pt>
                <c:pt idx="77">
                  <c:v>2025020077</c:v>
                </c:pt>
                <c:pt idx="78">
                  <c:v>2025020078</c:v>
                </c:pt>
                <c:pt idx="79">
                  <c:v>2025020079</c:v>
                </c:pt>
                <c:pt idx="80">
                  <c:v>2025020080</c:v>
                </c:pt>
                <c:pt idx="81">
                  <c:v>2025020081</c:v>
                </c:pt>
                <c:pt idx="82">
                  <c:v>2025020082</c:v>
                </c:pt>
                <c:pt idx="83">
                  <c:v>2025020083</c:v>
                </c:pt>
                <c:pt idx="84">
                  <c:v>2025020084</c:v>
                </c:pt>
                <c:pt idx="85">
                  <c:v>2025020085</c:v>
                </c:pt>
                <c:pt idx="86">
                  <c:v>2025020086</c:v>
                </c:pt>
                <c:pt idx="87">
                  <c:v>2025020087</c:v>
                </c:pt>
                <c:pt idx="88">
                  <c:v>2025020088</c:v>
                </c:pt>
                <c:pt idx="89">
                  <c:v>2025020089</c:v>
                </c:pt>
                <c:pt idx="90">
                  <c:v>2025020090</c:v>
                </c:pt>
                <c:pt idx="91">
                  <c:v>2025020091</c:v>
                </c:pt>
                <c:pt idx="92">
                  <c:v>2025020092</c:v>
                </c:pt>
                <c:pt idx="93">
                  <c:v>2025020093</c:v>
                </c:pt>
                <c:pt idx="94">
                  <c:v>2025020094</c:v>
                </c:pt>
                <c:pt idx="95">
                  <c:v>2025020095</c:v>
                </c:pt>
                <c:pt idx="96">
                  <c:v>2025020096</c:v>
                </c:pt>
                <c:pt idx="97">
                  <c:v>2025020097</c:v>
                </c:pt>
                <c:pt idx="98">
                  <c:v>2025020098</c:v>
                </c:pt>
                <c:pt idx="99">
                  <c:v>2025020099</c:v>
                </c:pt>
                <c:pt idx="100">
                  <c:v>2025020100</c:v>
                </c:pt>
                <c:pt idx="101">
                  <c:v>2025020101</c:v>
                </c:pt>
                <c:pt idx="102">
                  <c:v>2025020102</c:v>
                </c:pt>
                <c:pt idx="103">
                  <c:v>2025020103</c:v>
                </c:pt>
                <c:pt idx="104">
                  <c:v>2025020104</c:v>
                </c:pt>
                <c:pt idx="105">
                  <c:v>2025020105</c:v>
                </c:pt>
                <c:pt idx="106">
                  <c:v>2025020106</c:v>
                </c:pt>
                <c:pt idx="107">
                  <c:v>2025020107</c:v>
                </c:pt>
                <c:pt idx="108">
                  <c:v>2025020108</c:v>
                </c:pt>
                <c:pt idx="109">
                  <c:v>2025020109</c:v>
                </c:pt>
                <c:pt idx="110">
                  <c:v>2025020110</c:v>
                </c:pt>
                <c:pt idx="111">
                  <c:v>2025020111</c:v>
                </c:pt>
                <c:pt idx="112">
                  <c:v>2025020112</c:v>
                </c:pt>
                <c:pt idx="113">
                  <c:v>2025020113</c:v>
                </c:pt>
                <c:pt idx="114">
                  <c:v>2025020114</c:v>
                </c:pt>
                <c:pt idx="115">
                  <c:v>2025020115</c:v>
                </c:pt>
                <c:pt idx="116">
                  <c:v>2025020116</c:v>
                </c:pt>
                <c:pt idx="117">
                  <c:v>2025020117</c:v>
                </c:pt>
                <c:pt idx="118">
                  <c:v>2025020118</c:v>
                </c:pt>
                <c:pt idx="119">
                  <c:v>2025020119</c:v>
                </c:pt>
                <c:pt idx="120">
                  <c:v>2025020120</c:v>
                </c:pt>
                <c:pt idx="121">
                  <c:v>2025020121</c:v>
                </c:pt>
                <c:pt idx="122">
                  <c:v>2025020122</c:v>
                </c:pt>
                <c:pt idx="123">
                  <c:v>2025020123</c:v>
                </c:pt>
                <c:pt idx="124">
                  <c:v>2025020124</c:v>
                </c:pt>
                <c:pt idx="125">
                  <c:v>2025020125</c:v>
                </c:pt>
                <c:pt idx="126">
                  <c:v>2025020126</c:v>
                </c:pt>
                <c:pt idx="127">
                  <c:v>2025020127</c:v>
                </c:pt>
                <c:pt idx="128">
                  <c:v>2025020128</c:v>
                </c:pt>
                <c:pt idx="129">
                  <c:v>2025020129</c:v>
                </c:pt>
                <c:pt idx="130">
                  <c:v>2025020130</c:v>
                </c:pt>
                <c:pt idx="131">
                  <c:v>2025020131</c:v>
                </c:pt>
                <c:pt idx="132">
                  <c:v>2025020132</c:v>
                </c:pt>
                <c:pt idx="133">
                  <c:v>2025020133</c:v>
                </c:pt>
                <c:pt idx="134">
                  <c:v>2025020134</c:v>
                </c:pt>
                <c:pt idx="135">
                  <c:v>2025020135</c:v>
                </c:pt>
                <c:pt idx="136">
                  <c:v>2025020136</c:v>
                </c:pt>
                <c:pt idx="137">
                  <c:v>2025020137</c:v>
                </c:pt>
                <c:pt idx="138">
                  <c:v>2025020138</c:v>
                </c:pt>
                <c:pt idx="139">
                  <c:v>2025020139</c:v>
                </c:pt>
                <c:pt idx="140">
                  <c:v>2025020140</c:v>
                </c:pt>
                <c:pt idx="141">
                  <c:v>2025020141</c:v>
                </c:pt>
                <c:pt idx="142">
                  <c:v>2025020142</c:v>
                </c:pt>
                <c:pt idx="143">
                  <c:v>2025020143</c:v>
                </c:pt>
                <c:pt idx="144">
                  <c:v>2025020144</c:v>
                </c:pt>
                <c:pt idx="145">
                  <c:v>2025020145</c:v>
                </c:pt>
                <c:pt idx="146">
                  <c:v>2025020146</c:v>
                </c:pt>
                <c:pt idx="147">
                  <c:v>2025020147</c:v>
                </c:pt>
                <c:pt idx="148">
                  <c:v>2025020148</c:v>
                </c:pt>
                <c:pt idx="149">
                  <c:v>2025020149</c:v>
                </c:pt>
                <c:pt idx="150">
                  <c:v>2025020150</c:v>
                </c:pt>
                <c:pt idx="151">
                  <c:v>2025020151</c:v>
                </c:pt>
                <c:pt idx="152">
                  <c:v>2025020152</c:v>
                </c:pt>
                <c:pt idx="153">
                  <c:v>2025020153</c:v>
                </c:pt>
                <c:pt idx="154">
                  <c:v>2025020154</c:v>
                </c:pt>
                <c:pt idx="155">
                  <c:v>2025020155</c:v>
                </c:pt>
                <c:pt idx="156">
                  <c:v>2025020156</c:v>
                </c:pt>
                <c:pt idx="157">
                  <c:v>2025020157</c:v>
                </c:pt>
                <c:pt idx="158">
                  <c:v>2025020158</c:v>
                </c:pt>
                <c:pt idx="159">
                  <c:v>2025020159</c:v>
                </c:pt>
                <c:pt idx="160">
                  <c:v>2025020160</c:v>
                </c:pt>
                <c:pt idx="161">
                  <c:v>2025020161</c:v>
                </c:pt>
                <c:pt idx="162">
                  <c:v>2025020162</c:v>
                </c:pt>
                <c:pt idx="163">
                  <c:v>2025020163</c:v>
                </c:pt>
                <c:pt idx="164">
                  <c:v>2025020164</c:v>
                </c:pt>
                <c:pt idx="165">
                  <c:v>2025020165</c:v>
                </c:pt>
                <c:pt idx="166">
                  <c:v>2025020166</c:v>
                </c:pt>
                <c:pt idx="167">
                  <c:v>2025020167</c:v>
                </c:pt>
                <c:pt idx="168">
                  <c:v>2025020168</c:v>
                </c:pt>
                <c:pt idx="169">
                  <c:v>2025020169</c:v>
                </c:pt>
                <c:pt idx="170">
                  <c:v>2025020170</c:v>
                </c:pt>
                <c:pt idx="171">
                  <c:v>2025020171</c:v>
                </c:pt>
                <c:pt idx="172">
                  <c:v>2025020172</c:v>
                </c:pt>
                <c:pt idx="173">
                  <c:v>2025020173</c:v>
                </c:pt>
                <c:pt idx="174">
                  <c:v>2025020174</c:v>
                </c:pt>
                <c:pt idx="175">
                  <c:v>2025020175</c:v>
                </c:pt>
                <c:pt idx="176">
                  <c:v>2025020176</c:v>
                </c:pt>
                <c:pt idx="177">
                  <c:v>2025020177</c:v>
                </c:pt>
                <c:pt idx="178">
                  <c:v>2025020178</c:v>
                </c:pt>
                <c:pt idx="179">
                  <c:v>2025020179</c:v>
                </c:pt>
                <c:pt idx="180">
                  <c:v>2025020180</c:v>
                </c:pt>
                <c:pt idx="181">
                  <c:v>2025020181</c:v>
                </c:pt>
                <c:pt idx="182">
                  <c:v>2025020182</c:v>
                </c:pt>
                <c:pt idx="183">
                  <c:v>2025020183</c:v>
                </c:pt>
                <c:pt idx="184">
                  <c:v>2025020184</c:v>
                </c:pt>
                <c:pt idx="185">
                  <c:v>2025020185</c:v>
                </c:pt>
                <c:pt idx="186">
                  <c:v>2025020186</c:v>
                </c:pt>
                <c:pt idx="187">
                  <c:v>2025020187</c:v>
                </c:pt>
                <c:pt idx="188">
                  <c:v>2025020188</c:v>
                </c:pt>
                <c:pt idx="189">
                  <c:v>2025020189</c:v>
                </c:pt>
                <c:pt idx="190">
                  <c:v>2025020190</c:v>
                </c:pt>
                <c:pt idx="191">
                  <c:v>2025020191</c:v>
                </c:pt>
                <c:pt idx="192">
                  <c:v>2025020192</c:v>
                </c:pt>
                <c:pt idx="193">
                  <c:v>2025020193</c:v>
                </c:pt>
                <c:pt idx="194">
                  <c:v>2025020194</c:v>
                </c:pt>
                <c:pt idx="195">
                  <c:v>2025020195</c:v>
                </c:pt>
                <c:pt idx="196">
                  <c:v>2025020196</c:v>
                </c:pt>
                <c:pt idx="197">
                  <c:v>2025020197</c:v>
                </c:pt>
                <c:pt idx="198">
                  <c:v>2025020198</c:v>
                </c:pt>
                <c:pt idx="199">
                  <c:v>2025020199</c:v>
                </c:pt>
                <c:pt idx="200">
                  <c:v>2025020200</c:v>
                </c:pt>
                <c:pt idx="201">
                  <c:v>2025020201</c:v>
                </c:pt>
                <c:pt idx="202">
                  <c:v>2025020202</c:v>
                </c:pt>
                <c:pt idx="203">
                  <c:v>2025020203</c:v>
                </c:pt>
                <c:pt idx="204">
                  <c:v>2025020204</c:v>
                </c:pt>
                <c:pt idx="205">
                  <c:v>2025020205</c:v>
                </c:pt>
                <c:pt idx="206">
                  <c:v>2025020206</c:v>
                </c:pt>
                <c:pt idx="207">
                  <c:v>2025020207</c:v>
                </c:pt>
                <c:pt idx="208">
                  <c:v>2025020208</c:v>
                </c:pt>
                <c:pt idx="209">
                  <c:v>2025020209</c:v>
                </c:pt>
                <c:pt idx="210">
                  <c:v>2025020210</c:v>
                </c:pt>
                <c:pt idx="211">
                  <c:v>2025020211</c:v>
                </c:pt>
                <c:pt idx="212">
                  <c:v>2025020212</c:v>
                </c:pt>
                <c:pt idx="213">
                  <c:v>2025020213</c:v>
                </c:pt>
                <c:pt idx="214">
                  <c:v>2025020214</c:v>
                </c:pt>
                <c:pt idx="215">
                  <c:v>2025020215</c:v>
                </c:pt>
                <c:pt idx="216">
                  <c:v>2025020216</c:v>
                </c:pt>
                <c:pt idx="217">
                  <c:v>2025020217</c:v>
                </c:pt>
                <c:pt idx="218">
                  <c:v>2025020218</c:v>
                </c:pt>
                <c:pt idx="219">
                  <c:v>2025020219</c:v>
                </c:pt>
                <c:pt idx="220">
                  <c:v>2025020220</c:v>
                </c:pt>
                <c:pt idx="221">
                  <c:v>2025020221</c:v>
                </c:pt>
                <c:pt idx="222">
                  <c:v>2025020222</c:v>
                </c:pt>
                <c:pt idx="223">
                  <c:v>2025020223</c:v>
                </c:pt>
                <c:pt idx="224">
                  <c:v>2025020224</c:v>
                </c:pt>
                <c:pt idx="225">
                  <c:v>2025020225</c:v>
                </c:pt>
                <c:pt idx="226">
                  <c:v>2025020226</c:v>
                </c:pt>
                <c:pt idx="227">
                  <c:v>2025020227</c:v>
                </c:pt>
                <c:pt idx="228">
                  <c:v>2025020228</c:v>
                </c:pt>
                <c:pt idx="229">
                  <c:v>2025020229</c:v>
                </c:pt>
                <c:pt idx="230">
                  <c:v>2025020230</c:v>
                </c:pt>
                <c:pt idx="231">
                  <c:v>2025020231</c:v>
                </c:pt>
                <c:pt idx="232">
                  <c:v>2025020232</c:v>
                </c:pt>
                <c:pt idx="233">
                  <c:v>2025020233</c:v>
                </c:pt>
                <c:pt idx="234">
                  <c:v>2025020234</c:v>
                </c:pt>
                <c:pt idx="235">
                  <c:v>2025020235</c:v>
                </c:pt>
                <c:pt idx="236">
                  <c:v>2025020236</c:v>
                </c:pt>
                <c:pt idx="237">
                  <c:v>2025020237</c:v>
                </c:pt>
                <c:pt idx="238">
                  <c:v>2025020238</c:v>
                </c:pt>
                <c:pt idx="239">
                  <c:v>2025020239</c:v>
                </c:pt>
                <c:pt idx="240">
                  <c:v>2025020240</c:v>
                </c:pt>
                <c:pt idx="241">
                  <c:v>2025020241</c:v>
                </c:pt>
                <c:pt idx="242">
                  <c:v>2025020242</c:v>
                </c:pt>
                <c:pt idx="243">
                  <c:v>2025020243</c:v>
                </c:pt>
                <c:pt idx="244">
                  <c:v>2025020244</c:v>
                </c:pt>
                <c:pt idx="245">
                  <c:v>2025020245</c:v>
                </c:pt>
                <c:pt idx="246">
                  <c:v>2025020246</c:v>
                </c:pt>
                <c:pt idx="247">
                  <c:v>2025020247</c:v>
                </c:pt>
                <c:pt idx="248">
                  <c:v>2025020248</c:v>
                </c:pt>
                <c:pt idx="249">
                  <c:v>2025020249</c:v>
                </c:pt>
                <c:pt idx="250">
                  <c:v>2025020250</c:v>
                </c:pt>
                <c:pt idx="251">
                  <c:v>2025020251</c:v>
                </c:pt>
                <c:pt idx="252">
                  <c:v>2025020252</c:v>
                </c:pt>
                <c:pt idx="253">
                  <c:v>2025020253</c:v>
                </c:pt>
                <c:pt idx="254">
                  <c:v>2025020254</c:v>
                </c:pt>
                <c:pt idx="255">
                  <c:v>2025020255</c:v>
                </c:pt>
                <c:pt idx="256">
                  <c:v>2025020256</c:v>
                </c:pt>
                <c:pt idx="257">
                  <c:v>2025020257</c:v>
                </c:pt>
                <c:pt idx="258">
                  <c:v>2025020258</c:v>
                </c:pt>
                <c:pt idx="259">
                  <c:v>2025020259</c:v>
                </c:pt>
                <c:pt idx="260">
                  <c:v>2025020260</c:v>
                </c:pt>
                <c:pt idx="261">
                  <c:v>2025020261</c:v>
                </c:pt>
                <c:pt idx="262">
                  <c:v>2025020262</c:v>
                </c:pt>
                <c:pt idx="263">
                  <c:v>2025020263</c:v>
                </c:pt>
                <c:pt idx="264">
                  <c:v>2025020264</c:v>
                </c:pt>
                <c:pt idx="265">
                  <c:v>2025020265</c:v>
                </c:pt>
                <c:pt idx="266">
                  <c:v>2025020266</c:v>
                </c:pt>
                <c:pt idx="267">
                  <c:v>2025020267</c:v>
                </c:pt>
                <c:pt idx="268">
                  <c:v>2025020268</c:v>
                </c:pt>
                <c:pt idx="269">
                  <c:v>2025020269</c:v>
                </c:pt>
                <c:pt idx="270">
                  <c:v>2025020270</c:v>
                </c:pt>
                <c:pt idx="271">
                  <c:v>2025020271</c:v>
                </c:pt>
                <c:pt idx="272">
                  <c:v>2025020272</c:v>
                </c:pt>
                <c:pt idx="273">
                  <c:v>2025020273</c:v>
                </c:pt>
                <c:pt idx="274">
                  <c:v>2025020274</c:v>
                </c:pt>
                <c:pt idx="275">
                  <c:v>2025020275</c:v>
                </c:pt>
                <c:pt idx="276">
                  <c:v>2025020276</c:v>
                </c:pt>
                <c:pt idx="277">
                  <c:v>2025020277</c:v>
                </c:pt>
                <c:pt idx="278">
                  <c:v>2025020278</c:v>
                </c:pt>
                <c:pt idx="279">
                  <c:v>2025020281</c:v>
                </c:pt>
                <c:pt idx="280">
                  <c:v>2025020279</c:v>
                </c:pt>
                <c:pt idx="281">
                  <c:v>2025020280</c:v>
                </c:pt>
                <c:pt idx="282">
                  <c:v>2025020282</c:v>
                </c:pt>
                <c:pt idx="283">
                  <c:v>2025020283</c:v>
                </c:pt>
                <c:pt idx="284">
                  <c:v>2025020284</c:v>
                </c:pt>
                <c:pt idx="285">
                  <c:v>2025020285</c:v>
                </c:pt>
                <c:pt idx="286">
                  <c:v>2025020286</c:v>
                </c:pt>
                <c:pt idx="287">
                  <c:v>2025020287</c:v>
                </c:pt>
                <c:pt idx="288">
                  <c:v>2025020288</c:v>
                </c:pt>
                <c:pt idx="289">
                  <c:v>2025020289</c:v>
                </c:pt>
                <c:pt idx="290">
                  <c:v>2025020290</c:v>
                </c:pt>
                <c:pt idx="291">
                  <c:v>2025020291</c:v>
                </c:pt>
                <c:pt idx="292">
                  <c:v>2025020292</c:v>
                </c:pt>
                <c:pt idx="293">
                  <c:v>2025020293</c:v>
                </c:pt>
                <c:pt idx="294">
                  <c:v>2025020294</c:v>
                </c:pt>
                <c:pt idx="295">
                  <c:v>2025020295</c:v>
                </c:pt>
                <c:pt idx="296">
                  <c:v>2025020296</c:v>
                </c:pt>
                <c:pt idx="297">
                  <c:v>2025020297</c:v>
                </c:pt>
                <c:pt idx="298">
                  <c:v>2025020298</c:v>
                </c:pt>
                <c:pt idx="299">
                  <c:v>2025020299</c:v>
                </c:pt>
                <c:pt idx="300">
                  <c:v>2025020300</c:v>
                </c:pt>
                <c:pt idx="301">
                  <c:v>2025020301</c:v>
                </c:pt>
                <c:pt idx="302">
                  <c:v>2025020302</c:v>
                </c:pt>
                <c:pt idx="303">
                  <c:v>2025020303</c:v>
                </c:pt>
                <c:pt idx="304">
                  <c:v>2025020304</c:v>
                </c:pt>
                <c:pt idx="305">
                  <c:v>2025020305</c:v>
                </c:pt>
                <c:pt idx="306">
                  <c:v>2025020306</c:v>
                </c:pt>
                <c:pt idx="307">
                  <c:v>2025020307</c:v>
                </c:pt>
                <c:pt idx="308">
                  <c:v>2025020308</c:v>
                </c:pt>
                <c:pt idx="309">
                  <c:v>2025020309</c:v>
                </c:pt>
                <c:pt idx="310">
                  <c:v>2025020310</c:v>
                </c:pt>
                <c:pt idx="311">
                  <c:v>2025020311</c:v>
                </c:pt>
                <c:pt idx="312">
                  <c:v>2025020312</c:v>
                </c:pt>
                <c:pt idx="313">
                  <c:v>2025020313</c:v>
                </c:pt>
                <c:pt idx="314">
                  <c:v>2025020314</c:v>
                </c:pt>
                <c:pt idx="315">
                  <c:v>2025020315</c:v>
                </c:pt>
                <c:pt idx="316">
                  <c:v>2025020316</c:v>
                </c:pt>
                <c:pt idx="317">
                  <c:v>2025020317</c:v>
                </c:pt>
                <c:pt idx="318">
                  <c:v>2025020318</c:v>
                </c:pt>
                <c:pt idx="319">
                  <c:v>2025020319</c:v>
                </c:pt>
                <c:pt idx="320">
                  <c:v>2025020320</c:v>
                </c:pt>
                <c:pt idx="321">
                  <c:v>2025020321</c:v>
                </c:pt>
                <c:pt idx="322">
                  <c:v>2025020322</c:v>
                </c:pt>
                <c:pt idx="323">
                  <c:v>2025020323</c:v>
                </c:pt>
                <c:pt idx="324">
                  <c:v>2025020324</c:v>
                </c:pt>
                <c:pt idx="325">
                  <c:v>2025020325</c:v>
                </c:pt>
                <c:pt idx="326">
                  <c:v>2025020326</c:v>
                </c:pt>
                <c:pt idx="327">
                  <c:v>2025020327</c:v>
                </c:pt>
                <c:pt idx="328">
                  <c:v>2025020328</c:v>
                </c:pt>
                <c:pt idx="329">
                  <c:v>2025020329</c:v>
                </c:pt>
                <c:pt idx="330">
                  <c:v>2025020330</c:v>
                </c:pt>
                <c:pt idx="331">
                  <c:v>2025020331</c:v>
                </c:pt>
                <c:pt idx="332">
                  <c:v>2025020332</c:v>
                </c:pt>
                <c:pt idx="333">
                  <c:v>2025020333</c:v>
                </c:pt>
                <c:pt idx="334">
                  <c:v>2025020334</c:v>
                </c:pt>
                <c:pt idx="335">
                  <c:v>2025020335</c:v>
                </c:pt>
                <c:pt idx="336">
                  <c:v>2025020336</c:v>
                </c:pt>
                <c:pt idx="337">
                  <c:v>2025020337</c:v>
                </c:pt>
                <c:pt idx="338">
                  <c:v>2025020338</c:v>
                </c:pt>
                <c:pt idx="339">
                  <c:v>2025020339</c:v>
                </c:pt>
                <c:pt idx="340">
                  <c:v>2025020340</c:v>
                </c:pt>
                <c:pt idx="341">
                  <c:v>2025020341</c:v>
                </c:pt>
                <c:pt idx="342">
                  <c:v>2025020342</c:v>
                </c:pt>
                <c:pt idx="343">
                  <c:v>2025020343</c:v>
                </c:pt>
                <c:pt idx="344">
                  <c:v>2025020344</c:v>
                </c:pt>
                <c:pt idx="345">
                  <c:v>2025020345</c:v>
                </c:pt>
                <c:pt idx="346">
                  <c:v>2025020346</c:v>
                </c:pt>
                <c:pt idx="347">
                  <c:v>2025020347</c:v>
                </c:pt>
                <c:pt idx="348">
                  <c:v>2025020348</c:v>
                </c:pt>
                <c:pt idx="349">
                  <c:v>2025020349</c:v>
                </c:pt>
                <c:pt idx="350">
                  <c:v>2025020350</c:v>
                </c:pt>
                <c:pt idx="351">
                  <c:v>2025020351</c:v>
                </c:pt>
                <c:pt idx="352">
                  <c:v>2025020352</c:v>
                </c:pt>
                <c:pt idx="353">
                  <c:v>2025020353</c:v>
                </c:pt>
                <c:pt idx="354">
                  <c:v>2025020354</c:v>
                </c:pt>
                <c:pt idx="355">
                  <c:v>2025020355</c:v>
                </c:pt>
                <c:pt idx="356">
                  <c:v>2025020356</c:v>
                </c:pt>
                <c:pt idx="357">
                  <c:v>2025020357</c:v>
                </c:pt>
                <c:pt idx="358">
                  <c:v>2025020358</c:v>
                </c:pt>
                <c:pt idx="359">
                  <c:v>2025020359</c:v>
                </c:pt>
                <c:pt idx="360">
                  <c:v>2025020360</c:v>
                </c:pt>
                <c:pt idx="361">
                  <c:v>2025020361</c:v>
                </c:pt>
                <c:pt idx="362">
                  <c:v>2025020362</c:v>
                </c:pt>
                <c:pt idx="363">
                  <c:v>2025020363</c:v>
                </c:pt>
                <c:pt idx="364">
                  <c:v>2025020364</c:v>
                </c:pt>
                <c:pt idx="365">
                  <c:v>2025020365</c:v>
                </c:pt>
                <c:pt idx="366">
                  <c:v>2025020366</c:v>
                </c:pt>
                <c:pt idx="367">
                  <c:v>2025020367</c:v>
                </c:pt>
                <c:pt idx="368">
                  <c:v>2025020368</c:v>
                </c:pt>
                <c:pt idx="369">
                  <c:v>2025020369</c:v>
                </c:pt>
                <c:pt idx="370">
                  <c:v>2025020370</c:v>
                </c:pt>
                <c:pt idx="371">
                  <c:v>2025020371</c:v>
                </c:pt>
                <c:pt idx="372">
                  <c:v>2025020372</c:v>
                </c:pt>
                <c:pt idx="373">
                  <c:v>2025020373</c:v>
                </c:pt>
                <c:pt idx="374">
                  <c:v>2025020374</c:v>
                </c:pt>
                <c:pt idx="375">
                  <c:v>2025020375</c:v>
                </c:pt>
                <c:pt idx="376">
                  <c:v>2025020376</c:v>
                </c:pt>
                <c:pt idx="377">
                  <c:v>2025020377</c:v>
                </c:pt>
                <c:pt idx="378">
                  <c:v>2025020378</c:v>
                </c:pt>
                <c:pt idx="379">
                  <c:v>2025020379</c:v>
                </c:pt>
                <c:pt idx="380">
                  <c:v>2025020380</c:v>
                </c:pt>
                <c:pt idx="381">
                  <c:v>2025020381</c:v>
                </c:pt>
                <c:pt idx="382">
                  <c:v>2025020382</c:v>
                </c:pt>
                <c:pt idx="383">
                  <c:v>2025020383</c:v>
                </c:pt>
                <c:pt idx="384">
                  <c:v>2025020384</c:v>
                </c:pt>
                <c:pt idx="385">
                  <c:v>2025020385</c:v>
                </c:pt>
                <c:pt idx="386">
                  <c:v>2025020386</c:v>
                </c:pt>
                <c:pt idx="387">
                  <c:v>2025020387</c:v>
                </c:pt>
                <c:pt idx="388">
                  <c:v>2025020388</c:v>
                </c:pt>
                <c:pt idx="389">
                  <c:v>2025020389</c:v>
                </c:pt>
                <c:pt idx="390">
                  <c:v>2025020390</c:v>
                </c:pt>
                <c:pt idx="391">
                  <c:v>2025020391</c:v>
                </c:pt>
                <c:pt idx="392">
                  <c:v>2025020392</c:v>
                </c:pt>
                <c:pt idx="393">
                  <c:v>2025020393</c:v>
                </c:pt>
                <c:pt idx="394">
                  <c:v>2025020394</c:v>
                </c:pt>
                <c:pt idx="395">
                  <c:v>2025020395</c:v>
                </c:pt>
                <c:pt idx="396">
                  <c:v>2025020396</c:v>
                </c:pt>
                <c:pt idx="397">
                  <c:v>2025020397</c:v>
                </c:pt>
                <c:pt idx="398">
                  <c:v>2025020398</c:v>
                </c:pt>
                <c:pt idx="399">
                  <c:v>2025020399</c:v>
                </c:pt>
                <c:pt idx="400">
                  <c:v>2025020400</c:v>
                </c:pt>
                <c:pt idx="401">
                  <c:v>2025020401</c:v>
                </c:pt>
                <c:pt idx="402">
                  <c:v>2025020402</c:v>
                </c:pt>
                <c:pt idx="403">
                  <c:v>2025020403</c:v>
                </c:pt>
                <c:pt idx="404">
                  <c:v>2025020404</c:v>
                </c:pt>
                <c:pt idx="405">
                  <c:v>2025020405</c:v>
                </c:pt>
                <c:pt idx="406">
                  <c:v>2025020406</c:v>
                </c:pt>
                <c:pt idx="407">
                  <c:v>2025020407</c:v>
                </c:pt>
                <c:pt idx="408">
                  <c:v>2025020408</c:v>
                </c:pt>
                <c:pt idx="409">
                  <c:v>2025020409</c:v>
                </c:pt>
                <c:pt idx="410">
                  <c:v>2025020410</c:v>
                </c:pt>
                <c:pt idx="411">
                  <c:v>2025020411</c:v>
                </c:pt>
                <c:pt idx="412">
                  <c:v>2025020412</c:v>
                </c:pt>
                <c:pt idx="413">
                  <c:v>2025020413</c:v>
                </c:pt>
                <c:pt idx="414">
                  <c:v>2025020414</c:v>
                </c:pt>
                <c:pt idx="415">
                  <c:v>2025020415</c:v>
                </c:pt>
                <c:pt idx="416">
                  <c:v>2025020416</c:v>
                </c:pt>
                <c:pt idx="417">
                  <c:v>2025020417</c:v>
                </c:pt>
                <c:pt idx="418">
                  <c:v>2025020418</c:v>
                </c:pt>
                <c:pt idx="419">
                  <c:v>2025020419</c:v>
                </c:pt>
                <c:pt idx="420">
                  <c:v>2025020420</c:v>
                </c:pt>
                <c:pt idx="421">
                  <c:v>2025020421</c:v>
                </c:pt>
                <c:pt idx="422">
                  <c:v>2025020422</c:v>
                </c:pt>
                <c:pt idx="423">
                  <c:v>2025020423</c:v>
                </c:pt>
                <c:pt idx="424">
                  <c:v>2025020424</c:v>
                </c:pt>
                <c:pt idx="425">
                  <c:v>2025020425</c:v>
                </c:pt>
                <c:pt idx="426">
                  <c:v>2025020426</c:v>
                </c:pt>
                <c:pt idx="427">
                  <c:v>2025020427</c:v>
                </c:pt>
                <c:pt idx="428">
                  <c:v>2025020428</c:v>
                </c:pt>
                <c:pt idx="429">
                  <c:v>2025020429</c:v>
                </c:pt>
                <c:pt idx="430">
                  <c:v>2025020430</c:v>
                </c:pt>
                <c:pt idx="431">
                  <c:v>2025020431</c:v>
                </c:pt>
                <c:pt idx="432">
                  <c:v>2025020432</c:v>
                </c:pt>
                <c:pt idx="433">
                  <c:v>2025020433</c:v>
                </c:pt>
                <c:pt idx="434">
                  <c:v>2025020434</c:v>
                </c:pt>
                <c:pt idx="435">
                  <c:v>2025020435</c:v>
                </c:pt>
                <c:pt idx="436">
                  <c:v>2025020436</c:v>
                </c:pt>
                <c:pt idx="437">
                  <c:v>2025020437</c:v>
                </c:pt>
                <c:pt idx="438">
                  <c:v>2025020438</c:v>
                </c:pt>
                <c:pt idx="439">
                  <c:v>2025020439</c:v>
                </c:pt>
                <c:pt idx="440">
                  <c:v>2025020440</c:v>
                </c:pt>
                <c:pt idx="441">
                  <c:v>2025020441</c:v>
                </c:pt>
                <c:pt idx="442">
                  <c:v>2025020442</c:v>
                </c:pt>
                <c:pt idx="443">
                  <c:v>2025020443</c:v>
                </c:pt>
                <c:pt idx="444">
                  <c:v>2025020444</c:v>
                </c:pt>
                <c:pt idx="445">
                  <c:v>2025020445</c:v>
                </c:pt>
                <c:pt idx="446">
                  <c:v>2025020446</c:v>
                </c:pt>
                <c:pt idx="447">
                  <c:v>2025020447</c:v>
                </c:pt>
                <c:pt idx="448">
                  <c:v>2025020448</c:v>
                </c:pt>
                <c:pt idx="449">
                  <c:v>2025020449</c:v>
                </c:pt>
                <c:pt idx="450">
                  <c:v>2025020450</c:v>
                </c:pt>
                <c:pt idx="451">
                  <c:v>2025020451</c:v>
                </c:pt>
                <c:pt idx="452">
                  <c:v>2025020452</c:v>
                </c:pt>
                <c:pt idx="453">
                  <c:v>2025020453</c:v>
                </c:pt>
                <c:pt idx="454">
                  <c:v>2025020454</c:v>
                </c:pt>
                <c:pt idx="455">
                  <c:v>2025020455</c:v>
                </c:pt>
                <c:pt idx="456">
                  <c:v>2025020456</c:v>
                </c:pt>
                <c:pt idx="457">
                  <c:v>2025020457</c:v>
                </c:pt>
                <c:pt idx="458">
                  <c:v>2025020458</c:v>
                </c:pt>
                <c:pt idx="459">
                  <c:v>2025020459</c:v>
                </c:pt>
                <c:pt idx="460">
                  <c:v>2025020460</c:v>
                </c:pt>
                <c:pt idx="461">
                  <c:v>2025020461</c:v>
                </c:pt>
                <c:pt idx="462">
                  <c:v>2025020462</c:v>
                </c:pt>
                <c:pt idx="463">
                  <c:v>2025020463</c:v>
                </c:pt>
                <c:pt idx="464">
                  <c:v>2025020464</c:v>
                </c:pt>
                <c:pt idx="465">
                  <c:v>2025020465</c:v>
                </c:pt>
                <c:pt idx="466">
                  <c:v>2025020466</c:v>
                </c:pt>
                <c:pt idx="467">
                  <c:v>2025020467</c:v>
                </c:pt>
                <c:pt idx="468">
                  <c:v>2025020468</c:v>
                </c:pt>
                <c:pt idx="469">
                  <c:v>2025020469</c:v>
                </c:pt>
                <c:pt idx="470">
                  <c:v>2025020470</c:v>
                </c:pt>
                <c:pt idx="471">
                  <c:v>2025020471</c:v>
                </c:pt>
                <c:pt idx="472">
                  <c:v>2025020472</c:v>
                </c:pt>
                <c:pt idx="473">
                  <c:v>2025020473</c:v>
                </c:pt>
                <c:pt idx="474">
                  <c:v>2025020474</c:v>
                </c:pt>
                <c:pt idx="475">
                  <c:v>2025020475</c:v>
                </c:pt>
                <c:pt idx="476">
                  <c:v>2025020476</c:v>
                </c:pt>
                <c:pt idx="477">
                  <c:v>2025020477</c:v>
                </c:pt>
                <c:pt idx="478">
                  <c:v>2025020478</c:v>
                </c:pt>
                <c:pt idx="479">
                  <c:v>2025020479</c:v>
                </c:pt>
                <c:pt idx="480">
                  <c:v>2025020480</c:v>
                </c:pt>
                <c:pt idx="481">
                  <c:v>2025020481</c:v>
                </c:pt>
                <c:pt idx="482">
                  <c:v>2025020482</c:v>
                </c:pt>
                <c:pt idx="483">
                  <c:v>2025020483</c:v>
                </c:pt>
                <c:pt idx="484">
                  <c:v>2025020484</c:v>
                </c:pt>
                <c:pt idx="485">
                  <c:v>2025020485</c:v>
                </c:pt>
                <c:pt idx="486">
                  <c:v>2025020486</c:v>
                </c:pt>
                <c:pt idx="487">
                  <c:v>2025020487</c:v>
                </c:pt>
                <c:pt idx="488">
                  <c:v>2025020488</c:v>
                </c:pt>
                <c:pt idx="489">
                  <c:v>2025020489</c:v>
                </c:pt>
                <c:pt idx="490">
                  <c:v>2025020490</c:v>
                </c:pt>
                <c:pt idx="491">
                  <c:v>2025020491</c:v>
                </c:pt>
                <c:pt idx="492">
                  <c:v>2025020492</c:v>
                </c:pt>
                <c:pt idx="493">
                  <c:v>2025020493</c:v>
                </c:pt>
                <c:pt idx="494">
                  <c:v>2025020494</c:v>
                </c:pt>
                <c:pt idx="495">
                  <c:v>2025020495</c:v>
                </c:pt>
                <c:pt idx="496">
                  <c:v>2025020496</c:v>
                </c:pt>
                <c:pt idx="497">
                  <c:v>2025020497</c:v>
                </c:pt>
                <c:pt idx="498">
                  <c:v>2025020498</c:v>
                </c:pt>
                <c:pt idx="499">
                  <c:v>2025020499</c:v>
                </c:pt>
                <c:pt idx="500">
                  <c:v>2025020500</c:v>
                </c:pt>
                <c:pt idx="501">
                  <c:v>2025020501</c:v>
                </c:pt>
                <c:pt idx="502">
                  <c:v>2025020502</c:v>
                </c:pt>
                <c:pt idx="503">
                  <c:v>2025020503</c:v>
                </c:pt>
                <c:pt idx="504">
                  <c:v>2025020504</c:v>
                </c:pt>
                <c:pt idx="505">
                  <c:v>2025020505</c:v>
                </c:pt>
                <c:pt idx="506">
                  <c:v>2025020506</c:v>
                </c:pt>
                <c:pt idx="507">
                  <c:v>2025020507</c:v>
                </c:pt>
                <c:pt idx="508">
                  <c:v>2025020508</c:v>
                </c:pt>
                <c:pt idx="509">
                  <c:v>2025020509</c:v>
                </c:pt>
                <c:pt idx="510">
                  <c:v>2025020510</c:v>
                </c:pt>
                <c:pt idx="511">
                  <c:v>2025020511</c:v>
                </c:pt>
                <c:pt idx="512">
                  <c:v>2025020512</c:v>
                </c:pt>
                <c:pt idx="513">
                  <c:v>2025020513</c:v>
                </c:pt>
                <c:pt idx="514">
                  <c:v>2025020514</c:v>
                </c:pt>
                <c:pt idx="515">
                  <c:v>2025020515</c:v>
                </c:pt>
                <c:pt idx="516">
                  <c:v>2025020516</c:v>
                </c:pt>
                <c:pt idx="517">
                  <c:v>2025020517</c:v>
                </c:pt>
                <c:pt idx="518">
                  <c:v>2025020518</c:v>
                </c:pt>
                <c:pt idx="519">
                  <c:v>2025020519</c:v>
                </c:pt>
                <c:pt idx="520">
                  <c:v>2025020520</c:v>
                </c:pt>
                <c:pt idx="521">
                  <c:v>2025020521</c:v>
                </c:pt>
                <c:pt idx="522">
                  <c:v>2025020522</c:v>
                </c:pt>
                <c:pt idx="523">
                  <c:v>2025020523</c:v>
                </c:pt>
                <c:pt idx="524">
                  <c:v>2025020524</c:v>
                </c:pt>
                <c:pt idx="525">
                  <c:v>2025020525</c:v>
                </c:pt>
                <c:pt idx="526">
                  <c:v>2025020526</c:v>
                </c:pt>
                <c:pt idx="527">
                  <c:v>2025020527</c:v>
                </c:pt>
                <c:pt idx="528">
                  <c:v>2025020528</c:v>
                </c:pt>
                <c:pt idx="529">
                  <c:v>2025020529</c:v>
                </c:pt>
                <c:pt idx="530">
                  <c:v>2025020530</c:v>
                </c:pt>
                <c:pt idx="531">
                  <c:v>2025020531</c:v>
                </c:pt>
                <c:pt idx="532">
                  <c:v>2025020532</c:v>
                </c:pt>
                <c:pt idx="533">
                  <c:v>2025020533</c:v>
                </c:pt>
                <c:pt idx="534">
                  <c:v>2025020534</c:v>
                </c:pt>
                <c:pt idx="535">
                  <c:v>2025020535</c:v>
                </c:pt>
                <c:pt idx="536">
                  <c:v>2025020536</c:v>
                </c:pt>
                <c:pt idx="537">
                  <c:v>2025020537</c:v>
                </c:pt>
                <c:pt idx="538">
                  <c:v>2025020538</c:v>
                </c:pt>
                <c:pt idx="539">
                  <c:v>2025020539</c:v>
                </c:pt>
                <c:pt idx="540">
                  <c:v>2025020540</c:v>
                </c:pt>
                <c:pt idx="541">
                  <c:v>2025020541</c:v>
                </c:pt>
                <c:pt idx="542">
                  <c:v>2025020542</c:v>
                </c:pt>
                <c:pt idx="543">
                  <c:v>2025020543</c:v>
                </c:pt>
                <c:pt idx="544">
                  <c:v>2025020544</c:v>
                </c:pt>
                <c:pt idx="545">
                  <c:v>2025020545</c:v>
                </c:pt>
                <c:pt idx="546">
                  <c:v>2025020546</c:v>
                </c:pt>
                <c:pt idx="547">
                  <c:v>2025020547</c:v>
                </c:pt>
                <c:pt idx="548">
                  <c:v>2025020548</c:v>
                </c:pt>
                <c:pt idx="549">
                  <c:v>2025020549</c:v>
                </c:pt>
                <c:pt idx="550">
                  <c:v>2025020550</c:v>
                </c:pt>
                <c:pt idx="551">
                  <c:v>2025020551</c:v>
                </c:pt>
                <c:pt idx="552">
                  <c:v>2025020552</c:v>
                </c:pt>
                <c:pt idx="553">
                  <c:v>2025020553</c:v>
                </c:pt>
                <c:pt idx="554">
                  <c:v>2025020554</c:v>
                </c:pt>
                <c:pt idx="555">
                  <c:v>2025020555</c:v>
                </c:pt>
                <c:pt idx="556">
                  <c:v>2025020556</c:v>
                </c:pt>
                <c:pt idx="557">
                  <c:v>2025020557</c:v>
                </c:pt>
                <c:pt idx="558">
                  <c:v>2025020558</c:v>
                </c:pt>
                <c:pt idx="559">
                  <c:v>2025020559</c:v>
                </c:pt>
                <c:pt idx="560">
                  <c:v>2025020560</c:v>
                </c:pt>
                <c:pt idx="561">
                  <c:v>2025020561</c:v>
                </c:pt>
                <c:pt idx="562">
                  <c:v>2025020562</c:v>
                </c:pt>
                <c:pt idx="563">
                  <c:v>2025020563</c:v>
                </c:pt>
                <c:pt idx="564">
                  <c:v>2025020564</c:v>
                </c:pt>
                <c:pt idx="565">
                  <c:v>2025020565</c:v>
                </c:pt>
                <c:pt idx="566">
                  <c:v>2025020566</c:v>
                </c:pt>
                <c:pt idx="567">
                  <c:v>2025020567</c:v>
                </c:pt>
                <c:pt idx="568">
                  <c:v>2025020568</c:v>
                </c:pt>
                <c:pt idx="569">
                  <c:v>2025020569</c:v>
                </c:pt>
                <c:pt idx="570">
                  <c:v>2025020570</c:v>
                </c:pt>
                <c:pt idx="571">
                  <c:v>2025020571</c:v>
                </c:pt>
                <c:pt idx="572">
                  <c:v>2025020572</c:v>
                </c:pt>
                <c:pt idx="573">
                  <c:v>2025020573</c:v>
                </c:pt>
                <c:pt idx="574">
                  <c:v>2025020574</c:v>
                </c:pt>
                <c:pt idx="575">
                  <c:v>2025020575</c:v>
                </c:pt>
                <c:pt idx="576">
                  <c:v>2025020576</c:v>
                </c:pt>
                <c:pt idx="577">
                  <c:v>2025020577</c:v>
                </c:pt>
                <c:pt idx="578">
                  <c:v>2025020578</c:v>
                </c:pt>
                <c:pt idx="579">
                  <c:v>2025020579</c:v>
                </c:pt>
                <c:pt idx="580">
                  <c:v>2025020580</c:v>
                </c:pt>
                <c:pt idx="581">
                  <c:v>2025020581</c:v>
                </c:pt>
                <c:pt idx="582">
                  <c:v>2025020582</c:v>
                </c:pt>
                <c:pt idx="583">
                  <c:v>2025020583</c:v>
                </c:pt>
                <c:pt idx="584">
                  <c:v>2025020584</c:v>
                </c:pt>
                <c:pt idx="585">
                  <c:v>2025020585</c:v>
                </c:pt>
                <c:pt idx="586">
                  <c:v>2025020586</c:v>
                </c:pt>
                <c:pt idx="587">
                  <c:v>2025020587</c:v>
                </c:pt>
                <c:pt idx="588">
                  <c:v>2025020588</c:v>
                </c:pt>
                <c:pt idx="589">
                  <c:v>2025020589</c:v>
                </c:pt>
                <c:pt idx="590">
                  <c:v>2025020590</c:v>
                </c:pt>
                <c:pt idx="591">
                  <c:v>2025020591</c:v>
                </c:pt>
                <c:pt idx="592">
                  <c:v>2025020592</c:v>
                </c:pt>
                <c:pt idx="593">
                  <c:v>2025020593</c:v>
                </c:pt>
                <c:pt idx="594">
                  <c:v>2025020594</c:v>
                </c:pt>
                <c:pt idx="595">
                  <c:v>2025020595</c:v>
                </c:pt>
                <c:pt idx="596">
                  <c:v>2025020596</c:v>
                </c:pt>
                <c:pt idx="597">
                  <c:v>2025020597</c:v>
                </c:pt>
                <c:pt idx="598">
                  <c:v>2025020598</c:v>
                </c:pt>
                <c:pt idx="599">
                  <c:v>2025020599</c:v>
                </c:pt>
                <c:pt idx="600">
                  <c:v>2025020600</c:v>
                </c:pt>
                <c:pt idx="601">
                  <c:v>2025020601</c:v>
                </c:pt>
                <c:pt idx="602">
                  <c:v>2025020602</c:v>
                </c:pt>
                <c:pt idx="603">
                  <c:v>2025020603</c:v>
                </c:pt>
                <c:pt idx="604">
                  <c:v>2025020604</c:v>
                </c:pt>
                <c:pt idx="605">
                  <c:v>2025020605</c:v>
                </c:pt>
                <c:pt idx="606">
                  <c:v>2025020606</c:v>
                </c:pt>
                <c:pt idx="607">
                  <c:v>2025020607</c:v>
                </c:pt>
                <c:pt idx="608">
                  <c:v>2025020608</c:v>
                </c:pt>
                <c:pt idx="609">
                  <c:v>2025020609</c:v>
                </c:pt>
                <c:pt idx="610">
                  <c:v>2025020610</c:v>
                </c:pt>
                <c:pt idx="611">
                  <c:v>2025020611</c:v>
                </c:pt>
                <c:pt idx="612">
                  <c:v>2025020612</c:v>
                </c:pt>
                <c:pt idx="613">
                  <c:v>2025020613</c:v>
                </c:pt>
                <c:pt idx="614">
                  <c:v>2025020614</c:v>
                </c:pt>
                <c:pt idx="615">
                  <c:v>2025020615</c:v>
                </c:pt>
                <c:pt idx="616">
                  <c:v>2025020616</c:v>
                </c:pt>
                <c:pt idx="617">
                  <c:v>2025020617</c:v>
                </c:pt>
                <c:pt idx="618">
                  <c:v>2025020618</c:v>
                </c:pt>
                <c:pt idx="619">
                  <c:v>2025020619</c:v>
                </c:pt>
                <c:pt idx="620">
                  <c:v>2025020620</c:v>
                </c:pt>
                <c:pt idx="621">
                  <c:v>2025020621</c:v>
                </c:pt>
                <c:pt idx="622">
                  <c:v>2025020622</c:v>
                </c:pt>
                <c:pt idx="623">
                  <c:v>2025020623</c:v>
                </c:pt>
                <c:pt idx="624">
                  <c:v>2025020624</c:v>
                </c:pt>
                <c:pt idx="625">
                  <c:v>2025020625</c:v>
                </c:pt>
                <c:pt idx="626">
                  <c:v>2025020626</c:v>
                </c:pt>
                <c:pt idx="627">
                  <c:v>2025020627</c:v>
                </c:pt>
                <c:pt idx="628">
                  <c:v>2025020628</c:v>
                </c:pt>
                <c:pt idx="629">
                  <c:v>2025020629</c:v>
                </c:pt>
                <c:pt idx="630">
                  <c:v>2025020630</c:v>
                </c:pt>
                <c:pt idx="631">
                  <c:v>2025020631</c:v>
                </c:pt>
                <c:pt idx="632">
                  <c:v>2025020632</c:v>
                </c:pt>
                <c:pt idx="633">
                  <c:v>2025020633</c:v>
                </c:pt>
                <c:pt idx="634">
                  <c:v>2025020634</c:v>
                </c:pt>
                <c:pt idx="635">
                  <c:v>2025020635</c:v>
                </c:pt>
                <c:pt idx="636">
                  <c:v>2025020636</c:v>
                </c:pt>
                <c:pt idx="637">
                  <c:v>2025020637</c:v>
                </c:pt>
                <c:pt idx="638">
                  <c:v>2025020638</c:v>
                </c:pt>
                <c:pt idx="639">
                  <c:v>2025020639</c:v>
                </c:pt>
                <c:pt idx="640">
                  <c:v>2025020640</c:v>
                </c:pt>
                <c:pt idx="641">
                  <c:v>2025020641</c:v>
                </c:pt>
                <c:pt idx="642">
                  <c:v>2025020642</c:v>
                </c:pt>
                <c:pt idx="643">
                  <c:v>2025020643</c:v>
                </c:pt>
                <c:pt idx="644">
                  <c:v>2025020644</c:v>
                </c:pt>
                <c:pt idx="645">
                  <c:v>2025020645</c:v>
                </c:pt>
                <c:pt idx="646">
                  <c:v>2025020646</c:v>
                </c:pt>
                <c:pt idx="647">
                  <c:v>2025020647</c:v>
                </c:pt>
                <c:pt idx="648">
                  <c:v>2025020648</c:v>
                </c:pt>
                <c:pt idx="649">
                  <c:v>2025020649</c:v>
                </c:pt>
                <c:pt idx="650">
                  <c:v>2025020650</c:v>
                </c:pt>
                <c:pt idx="651">
                  <c:v>2025020651</c:v>
                </c:pt>
                <c:pt idx="652">
                  <c:v>2025020652</c:v>
                </c:pt>
                <c:pt idx="653">
                  <c:v>2025020653</c:v>
                </c:pt>
                <c:pt idx="654">
                  <c:v>2025020654</c:v>
                </c:pt>
                <c:pt idx="655">
                  <c:v>2025020655</c:v>
                </c:pt>
                <c:pt idx="656">
                  <c:v>2025020656</c:v>
                </c:pt>
                <c:pt idx="657">
                  <c:v>2025020657</c:v>
                </c:pt>
                <c:pt idx="658">
                  <c:v>2025020658</c:v>
                </c:pt>
                <c:pt idx="659">
                  <c:v>2025020659</c:v>
                </c:pt>
                <c:pt idx="660">
                  <c:v>2025020660</c:v>
                </c:pt>
                <c:pt idx="661">
                  <c:v>2025020661</c:v>
                </c:pt>
                <c:pt idx="662">
                  <c:v>2025020662</c:v>
                </c:pt>
                <c:pt idx="663">
                  <c:v>2025020663</c:v>
                </c:pt>
                <c:pt idx="664">
                  <c:v>2025020664</c:v>
                </c:pt>
                <c:pt idx="665">
                  <c:v>2025020665</c:v>
                </c:pt>
                <c:pt idx="666">
                  <c:v>2025020666</c:v>
                </c:pt>
                <c:pt idx="667">
                  <c:v>2025020667</c:v>
                </c:pt>
                <c:pt idx="668">
                  <c:v>2025020668</c:v>
                </c:pt>
                <c:pt idx="669">
                  <c:v>2025020669</c:v>
                </c:pt>
                <c:pt idx="670">
                  <c:v>2025020670</c:v>
                </c:pt>
                <c:pt idx="671">
                  <c:v>2025020671</c:v>
                </c:pt>
                <c:pt idx="672">
                  <c:v>2025020672</c:v>
                </c:pt>
                <c:pt idx="673">
                  <c:v>2025020673</c:v>
                </c:pt>
                <c:pt idx="674">
                  <c:v>2025020674</c:v>
                </c:pt>
                <c:pt idx="675">
                  <c:v>2025020675</c:v>
                </c:pt>
                <c:pt idx="676">
                  <c:v>2025020676</c:v>
                </c:pt>
                <c:pt idx="677">
                  <c:v>2025020677</c:v>
                </c:pt>
                <c:pt idx="678">
                  <c:v>2025020678</c:v>
                </c:pt>
                <c:pt idx="679">
                  <c:v>2025020679</c:v>
                </c:pt>
                <c:pt idx="680">
                  <c:v>2025020680</c:v>
                </c:pt>
                <c:pt idx="681">
                  <c:v>2025020681</c:v>
                </c:pt>
                <c:pt idx="682">
                  <c:v>2025020682</c:v>
                </c:pt>
                <c:pt idx="683">
                  <c:v>2025020683</c:v>
                </c:pt>
                <c:pt idx="684">
                  <c:v>2025020684</c:v>
                </c:pt>
                <c:pt idx="685">
                  <c:v>2025020685</c:v>
                </c:pt>
                <c:pt idx="686">
                  <c:v>2025020686</c:v>
                </c:pt>
                <c:pt idx="687">
                  <c:v>2025020687</c:v>
                </c:pt>
                <c:pt idx="688">
                  <c:v>2025020688</c:v>
                </c:pt>
                <c:pt idx="689">
                  <c:v>2025020689</c:v>
                </c:pt>
                <c:pt idx="690">
                  <c:v>2025020690</c:v>
                </c:pt>
                <c:pt idx="691">
                  <c:v>2025020691</c:v>
                </c:pt>
                <c:pt idx="692">
                  <c:v>2025020692</c:v>
                </c:pt>
                <c:pt idx="693">
                  <c:v>2025020693</c:v>
                </c:pt>
                <c:pt idx="694">
                  <c:v>2025020694</c:v>
                </c:pt>
                <c:pt idx="695">
                  <c:v>2025020695</c:v>
                </c:pt>
                <c:pt idx="696">
                  <c:v>2025020696</c:v>
                </c:pt>
                <c:pt idx="697">
                  <c:v>2025020697</c:v>
                </c:pt>
                <c:pt idx="698">
                  <c:v>2025020698</c:v>
                </c:pt>
                <c:pt idx="699">
                  <c:v>2025020699</c:v>
                </c:pt>
                <c:pt idx="700">
                  <c:v>2025020700</c:v>
                </c:pt>
                <c:pt idx="701">
                  <c:v>2025020701</c:v>
                </c:pt>
                <c:pt idx="702">
                  <c:v>2025020702</c:v>
                </c:pt>
                <c:pt idx="703">
                  <c:v>2025020703</c:v>
                </c:pt>
                <c:pt idx="704">
                  <c:v>2025020704</c:v>
                </c:pt>
                <c:pt idx="705">
                  <c:v>2025020705</c:v>
                </c:pt>
                <c:pt idx="706">
                  <c:v>2025020706</c:v>
                </c:pt>
                <c:pt idx="707">
                  <c:v>2025020707</c:v>
                </c:pt>
                <c:pt idx="708">
                  <c:v>2025020708</c:v>
                </c:pt>
                <c:pt idx="709">
                  <c:v>2025020709</c:v>
                </c:pt>
                <c:pt idx="710">
                  <c:v>2025020710</c:v>
                </c:pt>
                <c:pt idx="711">
                  <c:v>2025020711</c:v>
                </c:pt>
                <c:pt idx="712">
                  <c:v>2025020712</c:v>
                </c:pt>
                <c:pt idx="713">
                  <c:v>2025020713</c:v>
                </c:pt>
                <c:pt idx="714">
                  <c:v>2025020714</c:v>
                </c:pt>
                <c:pt idx="715">
                  <c:v>2025020715</c:v>
                </c:pt>
                <c:pt idx="716">
                  <c:v>2025020716</c:v>
                </c:pt>
                <c:pt idx="717">
                  <c:v>2025020717</c:v>
                </c:pt>
                <c:pt idx="718">
                  <c:v>2025020718</c:v>
                </c:pt>
                <c:pt idx="719">
                  <c:v>2025020719</c:v>
                </c:pt>
                <c:pt idx="720">
                  <c:v>2025020720</c:v>
                </c:pt>
                <c:pt idx="721">
                  <c:v>2025020721</c:v>
                </c:pt>
                <c:pt idx="722">
                  <c:v>2025020722</c:v>
                </c:pt>
                <c:pt idx="723">
                  <c:v>2025020723</c:v>
                </c:pt>
                <c:pt idx="724">
                  <c:v>2025020724</c:v>
                </c:pt>
                <c:pt idx="725">
                  <c:v>2025020725</c:v>
                </c:pt>
                <c:pt idx="726">
                  <c:v>2025020726</c:v>
                </c:pt>
                <c:pt idx="727">
                  <c:v>2025020727</c:v>
                </c:pt>
                <c:pt idx="728">
                  <c:v>2025020728</c:v>
                </c:pt>
                <c:pt idx="729">
                  <c:v>2025020729</c:v>
                </c:pt>
                <c:pt idx="730">
                  <c:v>2025020730</c:v>
                </c:pt>
                <c:pt idx="731">
                  <c:v>2025020731</c:v>
                </c:pt>
                <c:pt idx="732">
                  <c:v>2025020732</c:v>
                </c:pt>
                <c:pt idx="733">
                  <c:v>2025020733</c:v>
                </c:pt>
                <c:pt idx="734">
                  <c:v>2025020734</c:v>
                </c:pt>
                <c:pt idx="735">
                  <c:v>2025020735</c:v>
                </c:pt>
                <c:pt idx="736">
                  <c:v>2025020736</c:v>
                </c:pt>
                <c:pt idx="737">
                  <c:v>2025020737</c:v>
                </c:pt>
                <c:pt idx="738">
                  <c:v>2025020738</c:v>
                </c:pt>
                <c:pt idx="739">
                  <c:v>2025020739</c:v>
                </c:pt>
                <c:pt idx="740">
                  <c:v>2025020740</c:v>
                </c:pt>
                <c:pt idx="741">
                  <c:v>2025020741</c:v>
                </c:pt>
                <c:pt idx="742">
                  <c:v>2025020742</c:v>
                </c:pt>
                <c:pt idx="743">
                  <c:v>2025020743</c:v>
                </c:pt>
                <c:pt idx="744">
                  <c:v>2025020744</c:v>
                </c:pt>
                <c:pt idx="745">
                  <c:v>2025020745</c:v>
                </c:pt>
                <c:pt idx="746">
                  <c:v>2025020746</c:v>
                </c:pt>
                <c:pt idx="747">
                  <c:v>2025020747</c:v>
                </c:pt>
                <c:pt idx="748">
                  <c:v>2025020748</c:v>
                </c:pt>
                <c:pt idx="749">
                  <c:v>2025020749</c:v>
                </c:pt>
                <c:pt idx="750">
                  <c:v>2025020750</c:v>
                </c:pt>
                <c:pt idx="751">
                  <c:v>2025020751</c:v>
                </c:pt>
                <c:pt idx="752">
                  <c:v>2025020752</c:v>
                </c:pt>
                <c:pt idx="753">
                  <c:v>2025020753</c:v>
                </c:pt>
                <c:pt idx="754">
                  <c:v>2025020754</c:v>
                </c:pt>
                <c:pt idx="755">
                  <c:v>2025020755</c:v>
                </c:pt>
                <c:pt idx="756">
                  <c:v>2025020756</c:v>
                </c:pt>
                <c:pt idx="757">
                  <c:v>2025020757</c:v>
                </c:pt>
                <c:pt idx="758">
                  <c:v>2025020758</c:v>
                </c:pt>
                <c:pt idx="759">
                  <c:v>2025020759</c:v>
                </c:pt>
                <c:pt idx="760">
                  <c:v>2025020760</c:v>
                </c:pt>
                <c:pt idx="761">
                  <c:v>2025020761</c:v>
                </c:pt>
                <c:pt idx="762">
                  <c:v>2025020762</c:v>
                </c:pt>
                <c:pt idx="763">
                  <c:v>2025020763</c:v>
                </c:pt>
                <c:pt idx="764">
                  <c:v>2025020764</c:v>
                </c:pt>
                <c:pt idx="765">
                  <c:v>2025020765</c:v>
                </c:pt>
                <c:pt idx="766">
                  <c:v>2025020766</c:v>
                </c:pt>
                <c:pt idx="767">
                  <c:v>2025020767</c:v>
                </c:pt>
                <c:pt idx="768">
                  <c:v>2025020768</c:v>
                </c:pt>
                <c:pt idx="769">
                  <c:v>2025020769</c:v>
                </c:pt>
                <c:pt idx="770">
                  <c:v>2025020770</c:v>
                </c:pt>
                <c:pt idx="771">
                  <c:v>2025020771</c:v>
                </c:pt>
                <c:pt idx="772">
                  <c:v>2025020772</c:v>
                </c:pt>
                <c:pt idx="773">
                  <c:v>2025020773</c:v>
                </c:pt>
                <c:pt idx="774">
                  <c:v>2025020774</c:v>
                </c:pt>
                <c:pt idx="775">
                  <c:v>2025020775</c:v>
                </c:pt>
                <c:pt idx="776">
                  <c:v>2025020776</c:v>
                </c:pt>
                <c:pt idx="777">
                  <c:v>2025020777</c:v>
                </c:pt>
                <c:pt idx="778">
                  <c:v>2025020778</c:v>
                </c:pt>
                <c:pt idx="779">
                  <c:v>2025020779</c:v>
                </c:pt>
                <c:pt idx="780">
                  <c:v>2025020780</c:v>
                </c:pt>
                <c:pt idx="781">
                  <c:v>2025020781</c:v>
                </c:pt>
                <c:pt idx="782">
                  <c:v>2025020782</c:v>
                </c:pt>
                <c:pt idx="783">
                  <c:v>2025020783</c:v>
                </c:pt>
                <c:pt idx="784">
                  <c:v>2025020784</c:v>
                </c:pt>
                <c:pt idx="785">
                  <c:v>2025020785</c:v>
                </c:pt>
                <c:pt idx="786">
                  <c:v>2025020786</c:v>
                </c:pt>
                <c:pt idx="787">
                  <c:v>2025020787</c:v>
                </c:pt>
                <c:pt idx="788">
                  <c:v>2025020788</c:v>
                </c:pt>
                <c:pt idx="789">
                  <c:v>2025020789</c:v>
                </c:pt>
                <c:pt idx="790">
                  <c:v>2025020790</c:v>
                </c:pt>
                <c:pt idx="791">
                  <c:v>2025020791</c:v>
                </c:pt>
                <c:pt idx="792">
                  <c:v>2025020792</c:v>
                </c:pt>
                <c:pt idx="793">
                  <c:v>2025020793</c:v>
                </c:pt>
                <c:pt idx="794">
                  <c:v>2025020794</c:v>
                </c:pt>
                <c:pt idx="795">
                  <c:v>2025020795</c:v>
                </c:pt>
                <c:pt idx="796">
                  <c:v>2025020796</c:v>
                </c:pt>
                <c:pt idx="797">
                  <c:v>2025020797</c:v>
                </c:pt>
                <c:pt idx="798">
                  <c:v>2025020798</c:v>
                </c:pt>
                <c:pt idx="799">
                  <c:v>2025020799</c:v>
                </c:pt>
                <c:pt idx="800">
                  <c:v>2025020800</c:v>
                </c:pt>
                <c:pt idx="801">
                  <c:v>2025020801</c:v>
                </c:pt>
                <c:pt idx="802">
                  <c:v>2025020802</c:v>
                </c:pt>
                <c:pt idx="803">
                  <c:v>2025020803</c:v>
                </c:pt>
                <c:pt idx="804">
                  <c:v>2025020804</c:v>
                </c:pt>
                <c:pt idx="805">
                  <c:v>2025020805</c:v>
                </c:pt>
                <c:pt idx="806">
                  <c:v>2025020806</c:v>
                </c:pt>
                <c:pt idx="807">
                  <c:v>2025020807</c:v>
                </c:pt>
                <c:pt idx="808">
                  <c:v>2025020808</c:v>
                </c:pt>
                <c:pt idx="809">
                  <c:v>2025020809</c:v>
                </c:pt>
                <c:pt idx="810">
                  <c:v>2025020810</c:v>
                </c:pt>
                <c:pt idx="811">
                  <c:v>2025020811</c:v>
                </c:pt>
                <c:pt idx="812">
                  <c:v>2025020812</c:v>
                </c:pt>
                <c:pt idx="813">
                  <c:v>2025020813</c:v>
                </c:pt>
                <c:pt idx="814">
                  <c:v>2025020814</c:v>
                </c:pt>
                <c:pt idx="815">
                  <c:v>2025020815</c:v>
                </c:pt>
                <c:pt idx="816">
                  <c:v>2025020816</c:v>
                </c:pt>
                <c:pt idx="817">
                  <c:v>2025020817</c:v>
                </c:pt>
                <c:pt idx="818">
                  <c:v>2025020818</c:v>
                </c:pt>
                <c:pt idx="819">
                  <c:v>2025020819</c:v>
                </c:pt>
                <c:pt idx="820">
                  <c:v>2025020820</c:v>
                </c:pt>
                <c:pt idx="821">
                  <c:v>2025020821</c:v>
                </c:pt>
                <c:pt idx="822">
                  <c:v>2025020822</c:v>
                </c:pt>
                <c:pt idx="823">
                  <c:v>2025020823</c:v>
                </c:pt>
                <c:pt idx="824">
                  <c:v>2025020824</c:v>
                </c:pt>
                <c:pt idx="825">
                  <c:v>2025020825</c:v>
                </c:pt>
                <c:pt idx="826">
                  <c:v>2025020826</c:v>
                </c:pt>
                <c:pt idx="827">
                  <c:v>2025020827</c:v>
                </c:pt>
                <c:pt idx="828">
                  <c:v>2025020828</c:v>
                </c:pt>
                <c:pt idx="829">
                  <c:v>2025020829</c:v>
                </c:pt>
                <c:pt idx="830">
                  <c:v>2025020830</c:v>
                </c:pt>
                <c:pt idx="831">
                  <c:v>2025020831</c:v>
                </c:pt>
                <c:pt idx="832">
                  <c:v>2025020832</c:v>
                </c:pt>
                <c:pt idx="833">
                  <c:v>2025020833</c:v>
                </c:pt>
                <c:pt idx="834">
                  <c:v>2025020834</c:v>
                </c:pt>
                <c:pt idx="835">
                  <c:v>2025020835</c:v>
                </c:pt>
                <c:pt idx="836">
                  <c:v>2025020836</c:v>
                </c:pt>
                <c:pt idx="837">
                  <c:v>2025020837</c:v>
                </c:pt>
                <c:pt idx="838">
                  <c:v>2025020838</c:v>
                </c:pt>
                <c:pt idx="839">
                  <c:v>2025020839</c:v>
                </c:pt>
                <c:pt idx="840">
                  <c:v>2025020840</c:v>
                </c:pt>
                <c:pt idx="841">
                  <c:v>2025020841</c:v>
                </c:pt>
                <c:pt idx="842">
                  <c:v>2025020842</c:v>
                </c:pt>
                <c:pt idx="843">
                  <c:v>2025020843</c:v>
                </c:pt>
                <c:pt idx="844">
                  <c:v>2025020844</c:v>
                </c:pt>
                <c:pt idx="845">
                  <c:v>2025020845</c:v>
                </c:pt>
                <c:pt idx="846">
                  <c:v>2025020846</c:v>
                </c:pt>
                <c:pt idx="847">
                  <c:v>2025020847</c:v>
                </c:pt>
                <c:pt idx="848">
                  <c:v>2025020848</c:v>
                </c:pt>
                <c:pt idx="849">
                  <c:v>2025020849</c:v>
                </c:pt>
                <c:pt idx="850">
                  <c:v>2025020850</c:v>
                </c:pt>
                <c:pt idx="851">
                  <c:v>2025020851</c:v>
                </c:pt>
                <c:pt idx="852">
                  <c:v>2025020852</c:v>
                </c:pt>
                <c:pt idx="853">
                  <c:v>2025020853</c:v>
                </c:pt>
                <c:pt idx="854">
                  <c:v>2025020854</c:v>
                </c:pt>
                <c:pt idx="855">
                  <c:v>2025020855</c:v>
                </c:pt>
                <c:pt idx="856">
                  <c:v>2025020856</c:v>
                </c:pt>
                <c:pt idx="857">
                  <c:v>2025020857</c:v>
                </c:pt>
                <c:pt idx="858">
                  <c:v>2025020858</c:v>
                </c:pt>
                <c:pt idx="859">
                  <c:v>2025020859</c:v>
                </c:pt>
                <c:pt idx="860">
                  <c:v>2025020860</c:v>
                </c:pt>
                <c:pt idx="861">
                  <c:v>2025020861</c:v>
                </c:pt>
                <c:pt idx="862">
                  <c:v>2025020862</c:v>
                </c:pt>
                <c:pt idx="863">
                  <c:v>2025020863</c:v>
                </c:pt>
                <c:pt idx="864">
                  <c:v>2025020864</c:v>
                </c:pt>
                <c:pt idx="865">
                  <c:v>2025020865</c:v>
                </c:pt>
                <c:pt idx="866">
                  <c:v>2025020866</c:v>
                </c:pt>
                <c:pt idx="867">
                  <c:v>2025020867</c:v>
                </c:pt>
                <c:pt idx="868">
                  <c:v>2025020868</c:v>
                </c:pt>
                <c:pt idx="869">
                  <c:v>2025020869</c:v>
                </c:pt>
                <c:pt idx="870">
                  <c:v>2025020870</c:v>
                </c:pt>
                <c:pt idx="871">
                  <c:v>2025020871</c:v>
                </c:pt>
                <c:pt idx="872">
                  <c:v>2025020872</c:v>
                </c:pt>
                <c:pt idx="873">
                  <c:v>2025020873</c:v>
                </c:pt>
                <c:pt idx="874">
                  <c:v>2025020874</c:v>
                </c:pt>
                <c:pt idx="875">
                  <c:v>2025020875</c:v>
                </c:pt>
                <c:pt idx="876">
                  <c:v>2025020876</c:v>
                </c:pt>
                <c:pt idx="877">
                  <c:v>2025020877</c:v>
                </c:pt>
                <c:pt idx="878">
                  <c:v>2025020878</c:v>
                </c:pt>
                <c:pt idx="879">
                  <c:v>2025020879</c:v>
                </c:pt>
                <c:pt idx="880">
                  <c:v>2025020880</c:v>
                </c:pt>
                <c:pt idx="881">
                  <c:v>2025020881</c:v>
                </c:pt>
                <c:pt idx="882">
                  <c:v>2025020882</c:v>
                </c:pt>
                <c:pt idx="883">
                  <c:v>2025020883</c:v>
                </c:pt>
                <c:pt idx="884">
                  <c:v>2025020884</c:v>
                </c:pt>
                <c:pt idx="885">
                  <c:v>2025020885</c:v>
                </c:pt>
                <c:pt idx="886">
                  <c:v>2025020886</c:v>
                </c:pt>
                <c:pt idx="887">
                  <c:v>2025020887</c:v>
                </c:pt>
                <c:pt idx="888">
                  <c:v>2025020888</c:v>
                </c:pt>
                <c:pt idx="889">
                  <c:v>2025020889</c:v>
                </c:pt>
                <c:pt idx="890">
                  <c:v>2025020890</c:v>
                </c:pt>
                <c:pt idx="891">
                  <c:v>2025020891</c:v>
                </c:pt>
                <c:pt idx="892">
                  <c:v>2025020892</c:v>
                </c:pt>
                <c:pt idx="893">
                  <c:v>2025020893</c:v>
                </c:pt>
                <c:pt idx="894">
                  <c:v>2025020894</c:v>
                </c:pt>
                <c:pt idx="895">
                  <c:v>2025020895</c:v>
                </c:pt>
                <c:pt idx="896">
                  <c:v>2025020896</c:v>
                </c:pt>
                <c:pt idx="897">
                  <c:v>2025020897</c:v>
                </c:pt>
                <c:pt idx="898">
                  <c:v>2025020898</c:v>
                </c:pt>
                <c:pt idx="899">
                  <c:v>2025020899</c:v>
                </c:pt>
                <c:pt idx="900">
                  <c:v>2025020900</c:v>
                </c:pt>
                <c:pt idx="901">
                  <c:v>2025020901</c:v>
                </c:pt>
                <c:pt idx="902">
                  <c:v>2025020902</c:v>
                </c:pt>
                <c:pt idx="903">
                  <c:v>2025020903</c:v>
                </c:pt>
                <c:pt idx="904">
                  <c:v>2025020904</c:v>
                </c:pt>
                <c:pt idx="905">
                  <c:v>2025020905</c:v>
                </c:pt>
                <c:pt idx="906">
                  <c:v>2025020906</c:v>
                </c:pt>
                <c:pt idx="907">
                  <c:v>2025020907</c:v>
                </c:pt>
                <c:pt idx="908">
                  <c:v>2025020908</c:v>
                </c:pt>
                <c:pt idx="909">
                  <c:v>2025020909</c:v>
                </c:pt>
                <c:pt idx="910">
                  <c:v>2025020910</c:v>
                </c:pt>
                <c:pt idx="911">
                  <c:v>2025020911</c:v>
                </c:pt>
                <c:pt idx="912">
                  <c:v>2025020912</c:v>
                </c:pt>
                <c:pt idx="913">
                  <c:v>2025020913</c:v>
                </c:pt>
                <c:pt idx="914">
                  <c:v>2025020914</c:v>
                </c:pt>
                <c:pt idx="915">
                  <c:v>2025020915</c:v>
                </c:pt>
                <c:pt idx="916">
                  <c:v>2025020916</c:v>
                </c:pt>
                <c:pt idx="917">
                  <c:v>2025020917</c:v>
                </c:pt>
                <c:pt idx="918">
                  <c:v>2025020918</c:v>
                </c:pt>
                <c:pt idx="919">
                  <c:v>2025020919</c:v>
                </c:pt>
                <c:pt idx="920">
                  <c:v>2025020920</c:v>
                </c:pt>
                <c:pt idx="921">
                  <c:v>2025020921</c:v>
                </c:pt>
                <c:pt idx="922">
                  <c:v>2025020922</c:v>
                </c:pt>
                <c:pt idx="923">
                  <c:v>2025020923</c:v>
                </c:pt>
                <c:pt idx="924">
                  <c:v>2025020924</c:v>
                </c:pt>
                <c:pt idx="925">
                  <c:v>2025020925</c:v>
                </c:pt>
                <c:pt idx="926">
                  <c:v>2025020926</c:v>
                </c:pt>
                <c:pt idx="927">
                  <c:v>2025020927</c:v>
                </c:pt>
                <c:pt idx="928">
                  <c:v>2025020928</c:v>
                </c:pt>
                <c:pt idx="929">
                  <c:v>2025020929</c:v>
                </c:pt>
                <c:pt idx="930">
                  <c:v>2025020930</c:v>
                </c:pt>
                <c:pt idx="931">
                  <c:v>2025020931</c:v>
                </c:pt>
                <c:pt idx="932">
                  <c:v>2025020932</c:v>
                </c:pt>
                <c:pt idx="933">
                  <c:v>2025020933</c:v>
                </c:pt>
                <c:pt idx="934">
                  <c:v>2025020934</c:v>
                </c:pt>
                <c:pt idx="935">
                  <c:v>2025020935</c:v>
                </c:pt>
                <c:pt idx="936">
                  <c:v>2025020936</c:v>
                </c:pt>
                <c:pt idx="937">
                  <c:v>2025020937</c:v>
                </c:pt>
                <c:pt idx="938">
                  <c:v>2025020938</c:v>
                </c:pt>
                <c:pt idx="939">
                  <c:v>2025020939</c:v>
                </c:pt>
                <c:pt idx="940">
                  <c:v>2025020940</c:v>
                </c:pt>
                <c:pt idx="941">
                  <c:v>2025020941</c:v>
                </c:pt>
                <c:pt idx="942">
                  <c:v>2025020942</c:v>
                </c:pt>
                <c:pt idx="943">
                  <c:v>2025020943</c:v>
                </c:pt>
                <c:pt idx="944">
                  <c:v>2025020944</c:v>
                </c:pt>
                <c:pt idx="945">
                  <c:v>2025020945</c:v>
                </c:pt>
                <c:pt idx="946">
                  <c:v>2025020946</c:v>
                </c:pt>
                <c:pt idx="947">
                  <c:v>2025020947</c:v>
                </c:pt>
                <c:pt idx="948">
                  <c:v>2025020948</c:v>
                </c:pt>
                <c:pt idx="949">
                  <c:v>2025020949</c:v>
                </c:pt>
                <c:pt idx="950">
                  <c:v>2025020950</c:v>
                </c:pt>
                <c:pt idx="951">
                  <c:v>2025020951</c:v>
                </c:pt>
                <c:pt idx="952">
                  <c:v>2025020952</c:v>
                </c:pt>
                <c:pt idx="953">
                  <c:v>2025020953</c:v>
                </c:pt>
                <c:pt idx="954">
                  <c:v>2025020954</c:v>
                </c:pt>
                <c:pt idx="955">
                  <c:v>2025020955</c:v>
                </c:pt>
                <c:pt idx="956">
                  <c:v>2025020956</c:v>
                </c:pt>
                <c:pt idx="957">
                  <c:v>2025020957</c:v>
                </c:pt>
                <c:pt idx="958">
                  <c:v>2025020958</c:v>
                </c:pt>
                <c:pt idx="959">
                  <c:v>2025020959</c:v>
                </c:pt>
                <c:pt idx="960">
                  <c:v>2025020960</c:v>
                </c:pt>
                <c:pt idx="961">
                  <c:v>2025020961</c:v>
                </c:pt>
                <c:pt idx="962">
                  <c:v>2025020962</c:v>
                </c:pt>
                <c:pt idx="963">
                  <c:v>2025020963</c:v>
                </c:pt>
                <c:pt idx="964">
                  <c:v>2025020964</c:v>
                </c:pt>
                <c:pt idx="965">
                  <c:v>2025020965</c:v>
                </c:pt>
                <c:pt idx="966">
                  <c:v>2025020966</c:v>
                </c:pt>
                <c:pt idx="967">
                  <c:v>2025020967</c:v>
                </c:pt>
                <c:pt idx="968">
                  <c:v>2025020968</c:v>
                </c:pt>
                <c:pt idx="969">
                  <c:v>2025020969</c:v>
                </c:pt>
                <c:pt idx="970">
                  <c:v>2025020970</c:v>
                </c:pt>
                <c:pt idx="971">
                  <c:v>2025020971</c:v>
                </c:pt>
                <c:pt idx="972">
                  <c:v>2025020972</c:v>
                </c:pt>
                <c:pt idx="973">
                  <c:v>2025020973</c:v>
                </c:pt>
                <c:pt idx="974">
                  <c:v>2025020974</c:v>
                </c:pt>
                <c:pt idx="975">
                  <c:v>2025020975</c:v>
                </c:pt>
                <c:pt idx="976">
                  <c:v>2025020976</c:v>
                </c:pt>
                <c:pt idx="977">
                  <c:v>2025020977</c:v>
                </c:pt>
                <c:pt idx="978">
                  <c:v>2025020978</c:v>
                </c:pt>
                <c:pt idx="979">
                  <c:v>2025020979</c:v>
                </c:pt>
                <c:pt idx="980">
                  <c:v>2025020980</c:v>
                </c:pt>
                <c:pt idx="981">
                  <c:v>2025020981</c:v>
                </c:pt>
                <c:pt idx="982">
                  <c:v>2025020982</c:v>
                </c:pt>
                <c:pt idx="983">
                  <c:v>2025020983</c:v>
                </c:pt>
                <c:pt idx="984">
                  <c:v>2025020984</c:v>
                </c:pt>
                <c:pt idx="985">
                  <c:v>2025020985</c:v>
                </c:pt>
                <c:pt idx="986">
                  <c:v>2025020986</c:v>
                </c:pt>
                <c:pt idx="987">
                  <c:v>2025020987</c:v>
                </c:pt>
                <c:pt idx="988">
                  <c:v>2025020988</c:v>
                </c:pt>
                <c:pt idx="989">
                  <c:v>2025020989</c:v>
                </c:pt>
                <c:pt idx="990">
                  <c:v>2025020990</c:v>
                </c:pt>
                <c:pt idx="991">
                  <c:v>2025020991</c:v>
                </c:pt>
                <c:pt idx="992">
                  <c:v>2025020992</c:v>
                </c:pt>
                <c:pt idx="993">
                  <c:v>2025020993</c:v>
                </c:pt>
                <c:pt idx="994">
                  <c:v>2025020994</c:v>
                </c:pt>
                <c:pt idx="995">
                  <c:v>2025020995</c:v>
                </c:pt>
                <c:pt idx="996">
                  <c:v>2025020996</c:v>
                </c:pt>
                <c:pt idx="997">
                  <c:v>2025020997</c:v>
                </c:pt>
                <c:pt idx="998">
                  <c:v>2025020998</c:v>
                </c:pt>
                <c:pt idx="999">
                  <c:v>2025020999</c:v>
                </c:pt>
                <c:pt idx="1000">
                  <c:v>2025021000</c:v>
                </c:pt>
                <c:pt idx="1001">
                  <c:v>2025021001</c:v>
                </c:pt>
                <c:pt idx="1002">
                  <c:v>2025021002</c:v>
                </c:pt>
                <c:pt idx="1003">
                  <c:v>2025021003</c:v>
                </c:pt>
                <c:pt idx="1004">
                  <c:v>2025021004</c:v>
                </c:pt>
                <c:pt idx="1005">
                  <c:v>2025021005</c:v>
                </c:pt>
                <c:pt idx="1006">
                  <c:v>2025021006</c:v>
                </c:pt>
                <c:pt idx="1007">
                  <c:v>2025021007</c:v>
                </c:pt>
                <c:pt idx="1008">
                  <c:v>2025021008</c:v>
                </c:pt>
                <c:pt idx="1009">
                  <c:v>2025021009</c:v>
                </c:pt>
                <c:pt idx="1010">
                  <c:v>2025021010</c:v>
                </c:pt>
                <c:pt idx="1011">
                  <c:v>2025021011</c:v>
                </c:pt>
                <c:pt idx="1012">
                  <c:v>2025021012</c:v>
                </c:pt>
                <c:pt idx="1013">
                  <c:v>2025021013</c:v>
                </c:pt>
                <c:pt idx="1014">
                  <c:v>2025021014</c:v>
                </c:pt>
                <c:pt idx="1015">
                  <c:v>2025021015</c:v>
                </c:pt>
                <c:pt idx="1016">
                  <c:v>2025021016</c:v>
                </c:pt>
                <c:pt idx="1017">
                  <c:v>2025021017</c:v>
                </c:pt>
                <c:pt idx="1018">
                  <c:v>2025021018</c:v>
                </c:pt>
                <c:pt idx="1019">
                  <c:v>2025021019</c:v>
                </c:pt>
                <c:pt idx="1020">
                  <c:v>2025021020</c:v>
                </c:pt>
                <c:pt idx="1021">
                  <c:v>2025021021</c:v>
                </c:pt>
                <c:pt idx="1022">
                  <c:v>2025021022</c:v>
                </c:pt>
                <c:pt idx="1023">
                  <c:v>2025021023</c:v>
                </c:pt>
                <c:pt idx="1024">
                  <c:v>2025021024</c:v>
                </c:pt>
                <c:pt idx="1025">
                  <c:v>2025021025</c:v>
                </c:pt>
                <c:pt idx="1026">
                  <c:v>2025021026</c:v>
                </c:pt>
                <c:pt idx="1027">
                  <c:v>2025021027</c:v>
                </c:pt>
                <c:pt idx="1028">
                  <c:v>2025021028</c:v>
                </c:pt>
                <c:pt idx="1029">
                  <c:v>2025021029</c:v>
                </c:pt>
                <c:pt idx="1030">
                  <c:v>2025021030</c:v>
                </c:pt>
                <c:pt idx="1031">
                  <c:v>2025021031</c:v>
                </c:pt>
                <c:pt idx="1032">
                  <c:v>2025021032</c:v>
                </c:pt>
                <c:pt idx="1033">
                  <c:v>2025021033</c:v>
                </c:pt>
                <c:pt idx="1034">
                  <c:v>2025021034</c:v>
                </c:pt>
                <c:pt idx="1035">
                  <c:v>2025021035</c:v>
                </c:pt>
                <c:pt idx="1036">
                  <c:v>2025021036</c:v>
                </c:pt>
                <c:pt idx="1037">
                  <c:v>2025021037</c:v>
                </c:pt>
                <c:pt idx="1038">
                  <c:v>2025021038</c:v>
                </c:pt>
                <c:pt idx="1039">
                  <c:v>2025021039</c:v>
                </c:pt>
                <c:pt idx="1040">
                  <c:v>2025021040</c:v>
                </c:pt>
                <c:pt idx="1041">
                  <c:v>2025021041</c:v>
                </c:pt>
                <c:pt idx="1042">
                  <c:v>2025021042</c:v>
                </c:pt>
                <c:pt idx="1043">
                  <c:v>2025021043</c:v>
                </c:pt>
                <c:pt idx="1044">
                  <c:v>2025021044</c:v>
                </c:pt>
                <c:pt idx="1045">
                  <c:v>2025021045</c:v>
                </c:pt>
                <c:pt idx="1046">
                  <c:v>2025021046</c:v>
                </c:pt>
                <c:pt idx="1047">
                  <c:v>2025021047</c:v>
                </c:pt>
                <c:pt idx="1048">
                  <c:v>2025021048</c:v>
                </c:pt>
                <c:pt idx="1049">
                  <c:v>2025021049</c:v>
                </c:pt>
                <c:pt idx="1050">
                  <c:v>2025021050</c:v>
                </c:pt>
                <c:pt idx="1051">
                  <c:v>2025021051</c:v>
                </c:pt>
                <c:pt idx="1052">
                  <c:v>2025021052</c:v>
                </c:pt>
                <c:pt idx="1053">
                  <c:v>2025021053</c:v>
                </c:pt>
                <c:pt idx="1054">
                  <c:v>2025021054</c:v>
                </c:pt>
                <c:pt idx="1055">
                  <c:v>2025021055</c:v>
                </c:pt>
                <c:pt idx="1056">
                  <c:v>2025021056</c:v>
                </c:pt>
                <c:pt idx="1057">
                  <c:v>2025021057</c:v>
                </c:pt>
                <c:pt idx="1058">
                  <c:v>2025021058</c:v>
                </c:pt>
                <c:pt idx="1059">
                  <c:v>2025021059</c:v>
                </c:pt>
                <c:pt idx="1060">
                  <c:v>2025021060</c:v>
                </c:pt>
                <c:pt idx="1061">
                  <c:v>2025021061</c:v>
                </c:pt>
                <c:pt idx="1062">
                  <c:v>2025021062</c:v>
                </c:pt>
                <c:pt idx="1063">
                  <c:v>2025021063</c:v>
                </c:pt>
                <c:pt idx="1064">
                  <c:v>2025021064</c:v>
                </c:pt>
                <c:pt idx="1065">
                  <c:v>2025021065</c:v>
                </c:pt>
                <c:pt idx="1066">
                  <c:v>2025021066</c:v>
                </c:pt>
                <c:pt idx="1067">
                  <c:v>2025021067</c:v>
                </c:pt>
                <c:pt idx="1068">
                  <c:v>2025021068</c:v>
                </c:pt>
                <c:pt idx="1069">
                  <c:v>2025021069</c:v>
                </c:pt>
                <c:pt idx="1070">
                  <c:v>2025021070</c:v>
                </c:pt>
                <c:pt idx="1071">
                  <c:v>2025021071</c:v>
                </c:pt>
                <c:pt idx="1072">
                  <c:v>2025021072</c:v>
                </c:pt>
                <c:pt idx="1073">
                  <c:v>2025021073</c:v>
                </c:pt>
                <c:pt idx="1074">
                  <c:v>2025021074</c:v>
                </c:pt>
                <c:pt idx="1075">
                  <c:v>2025021075</c:v>
                </c:pt>
                <c:pt idx="1076">
                  <c:v>2025021076</c:v>
                </c:pt>
                <c:pt idx="1077">
                  <c:v>2025021077</c:v>
                </c:pt>
                <c:pt idx="1078">
                  <c:v>2025021078</c:v>
                </c:pt>
                <c:pt idx="1079">
                  <c:v>2025021079</c:v>
                </c:pt>
                <c:pt idx="1080">
                  <c:v>2025021080</c:v>
                </c:pt>
                <c:pt idx="1081">
                  <c:v>2025021081</c:v>
                </c:pt>
                <c:pt idx="1082">
                  <c:v>2025021082</c:v>
                </c:pt>
                <c:pt idx="1083">
                  <c:v>2025021083</c:v>
                </c:pt>
                <c:pt idx="1084">
                  <c:v>2025021084</c:v>
                </c:pt>
                <c:pt idx="1085">
                  <c:v>2025021085</c:v>
                </c:pt>
                <c:pt idx="1086">
                  <c:v>2025021086</c:v>
                </c:pt>
                <c:pt idx="1087">
                  <c:v>2025021087</c:v>
                </c:pt>
                <c:pt idx="1088">
                  <c:v>2025021088</c:v>
                </c:pt>
                <c:pt idx="1089">
                  <c:v>2025021089</c:v>
                </c:pt>
                <c:pt idx="1090">
                  <c:v>2025021090</c:v>
                </c:pt>
                <c:pt idx="1091">
                  <c:v>2025021091</c:v>
                </c:pt>
                <c:pt idx="1092">
                  <c:v>2025021092</c:v>
                </c:pt>
                <c:pt idx="1093">
                  <c:v>2025021093</c:v>
                </c:pt>
                <c:pt idx="1094">
                  <c:v>2025021094</c:v>
                </c:pt>
                <c:pt idx="1095">
                  <c:v>2025021095</c:v>
                </c:pt>
                <c:pt idx="1096">
                  <c:v>2025021096</c:v>
                </c:pt>
                <c:pt idx="1097">
                  <c:v>2025021097</c:v>
                </c:pt>
                <c:pt idx="1098">
                  <c:v>2025021098</c:v>
                </c:pt>
                <c:pt idx="1099">
                  <c:v>2025021099</c:v>
                </c:pt>
                <c:pt idx="1100">
                  <c:v>2025021100</c:v>
                </c:pt>
                <c:pt idx="1101">
                  <c:v>2025021101</c:v>
                </c:pt>
                <c:pt idx="1102">
                  <c:v>2025021102</c:v>
                </c:pt>
                <c:pt idx="1103">
                  <c:v>2025021103</c:v>
                </c:pt>
                <c:pt idx="1104">
                  <c:v>2025021104</c:v>
                </c:pt>
                <c:pt idx="1105">
                  <c:v>2025021105</c:v>
                </c:pt>
                <c:pt idx="1106">
                  <c:v>2025021106</c:v>
                </c:pt>
                <c:pt idx="1107">
                  <c:v>2025021107</c:v>
                </c:pt>
                <c:pt idx="1108">
                  <c:v>2025021108</c:v>
                </c:pt>
                <c:pt idx="1109">
                  <c:v>2025021109</c:v>
                </c:pt>
                <c:pt idx="1110">
                  <c:v>2025021110</c:v>
                </c:pt>
                <c:pt idx="1111">
                  <c:v>2025021111</c:v>
                </c:pt>
                <c:pt idx="1112">
                  <c:v>2025021112</c:v>
                </c:pt>
                <c:pt idx="1113">
                  <c:v>2025021113</c:v>
                </c:pt>
                <c:pt idx="1114">
                  <c:v>2025021114</c:v>
                </c:pt>
                <c:pt idx="1115">
                  <c:v>2025021115</c:v>
                </c:pt>
                <c:pt idx="1116">
                  <c:v>2025021116</c:v>
                </c:pt>
                <c:pt idx="1117">
                  <c:v>2025021117</c:v>
                </c:pt>
                <c:pt idx="1118">
                  <c:v>2025021118</c:v>
                </c:pt>
                <c:pt idx="1119">
                  <c:v>2025021119</c:v>
                </c:pt>
                <c:pt idx="1120">
                  <c:v>2025021120</c:v>
                </c:pt>
                <c:pt idx="1121">
                  <c:v>2025021121</c:v>
                </c:pt>
                <c:pt idx="1122">
                  <c:v>2025021122</c:v>
                </c:pt>
                <c:pt idx="1123">
                  <c:v>2025021123</c:v>
                </c:pt>
                <c:pt idx="1124">
                  <c:v>2025021124</c:v>
                </c:pt>
                <c:pt idx="1125">
                  <c:v>2025021125</c:v>
                </c:pt>
                <c:pt idx="1126">
                  <c:v>2025021126</c:v>
                </c:pt>
                <c:pt idx="1127">
                  <c:v>2025021127</c:v>
                </c:pt>
                <c:pt idx="1128">
                  <c:v>2025021128</c:v>
                </c:pt>
                <c:pt idx="1129">
                  <c:v>2025021129</c:v>
                </c:pt>
                <c:pt idx="1130">
                  <c:v>2025021130</c:v>
                </c:pt>
                <c:pt idx="1131">
                  <c:v>2025021131</c:v>
                </c:pt>
                <c:pt idx="1132">
                  <c:v>2025021132</c:v>
                </c:pt>
                <c:pt idx="1133">
                  <c:v>2025021133</c:v>
                </c:pt>
                <c:pt idx="1134">
                  <c:v>2025021134</c:v>
                </c:pt>
                <c:pt idx="1135">
                  <c:v>2025021135</c:v>
                </c:pt>
                <c:pt idx="1136">
                  <c:v>2025021136</c:v>
                </c:pt>
                <c:pt idx="1137">
                  <c:v>2025021137</c:v>
                </c:pt>
                <c:pt idx="1138">
                  <c:v>2025021138</c:v>
                </c:pt>
                <c:pt idx="1139">
                  <c:v>2025021139</c:v>
                </c:pt>
                <c:pt idx="1140">
                  <c:v>2025021140</c:v>
                </c:pt>
                <c:pt idx="1141">
                  <c:v>2025021141</c:v>
                </c:pt>
                <c:pt idx="1142">
                  <c:v>2025021142</c:v>
                </c:pt>
                <c:pt idx="1143">
                  <c:v>2025021143</c:v>
                </c:pt>
                <c:pt idx="1144">
                  <c:v>2025021144</c:v>
                </c:pt>
                <c:pt idx="1145">
                  <c:v>2025021145</c:v>
                </c:pt>
                <c:pt idx="1146">
                  <c:v>2025021146</c:v>
                </c:pt>
                <c:pt idx="1147">
                  <c:v>2025021147</c:v>
                </c:pt>
                <c:pt idx="1148">
                  <c:v>2025021148</c:v>
                </c:pt>
                <c:pt idx="1149">
                  <c:v>2025021149</c:v>
                </c:pt>
                <c:pt idx="1150">
                  <c:v>2025021150</c:v>
                </c:pt>
                <c:pt idx="1151">
                  <c:v>2025021151</c:v>
                </c:pt>
                <c:pt idx="1152">
                  <c:v>2025021152</c:v>
                </c:pt>
                <c:pt idx="1153">
                  <c:v>2025021153</c:v>
                </c:pt>
                <c:pt idx="1154">
                  <c:v>2025021154</c:v>
                </c:pt>
                <c:pt idx="1155">
                  <c:v>2025021155</c:v>
                </c:pt>
                <c:pt idx="1156">
                  <c:v>2025021156</c:v>
                </c:pt>
                <c:pt idx="1157">
                  <c:v>2025021157</c:v>
                </c:pt>
                <c:pt idx="1158">
                  <c:v>2025021158</c:v>
                </c:pt>
                <c:pt idx="1159">
                  <c:v>2025021159</c:v>
                </c:pt>
                <c:pt idx="1160">
                  <c:v>2025021160</c:v>
                </c:pt>
                <c:pt idx="1161">
                  <c:v>2025021161</c:v>
                </c:pt>
                <c:pt idx="1162">
                  <c:v>2025021162</c:v>
                </c:pt>
                <c:pt idx="1163">
                  <c:v>2025021163</c:v>
                </c:pt>
                <c:pt idx="1164">
                  <c:v>2025021164</c:v>
                </c:pt>
                <c:pt idx="1165">
                  <c:v>2025021165</c:v>
                </c:pt>
                <c:pt idx="1166">
                  <c:v>2025021166</c:v>
                </c:pt>
                <c:pt idx="1167">
                  <c:v>2025021167</c:v>
                </c:pt>
                <c:pt idx="1168">
                  <c:v>2025021168</c:v>
                </c:pt>
                <c:pt idx="1169">
                  <c:v>2025021169</c:v>
                </c:pt>
                <c:pt idx="1170">
                  <c:v>2025021170</c:v>
                </c:pt>
                <c:pt idx="1171">
                  <c:v>2025021171</c:v>
                </c:pt>
                <c:pt idx="1172">
                  <c:v>2025021172</c:v>
                </c:pt>
                <c:pt idx="1173">
                  <c:v>2025021173</c:v>
                </c:pt>
                <c:pt idx="1174">
                  <c:v>2025021174</c:v>
                </c:pt>
                <c:pt idx="1175">
                  <c:v>2025021175</c:v>
                </c:pt>
                <c:pt idx="1176">
                  <c:v>2025021176</c:v>
                </c:pt>
                <c:pt idx="1177">
                  <c:v>2025021177</c:v>
                </c:pt>
                <c:pt idx="1178">
                  <c:v>2025021178</c:v>
                </c:pt>
                <c:pt idx="1179">
                  <c:v>2025021179</c:v>
                </c:pt>
                <c:pt idx="1180">
                  <c:v>2025021180</c:v>
                </c:pt>
                <c:pt idx="1181">
                  <c:v>2025021181</c:v>
                </c:pt>
                <c:pt idx="1182">
                  <c:v>2025021182</c:v>
                </c:pt>
                <c:pt idx="1183">
                  <c:v>2025021183</c:v>
                </c:pt>
                <c:pt idx="1184">
                  <c:v>2025021184</c:v>
                </c:pt>
                <c:pt idx="1185">
                  <c:v>2025021185</c:v>
                </c:pt>
                <c:pt idx="1186">
                  <c:v>2025021186</c:v>
                </c:pt>
                <c:pt idx="1187">
                  <c:v>2025021187</c:v>
                </c:pt>
                <c:pt idx="1188">
                  <c:v>2025021188</c:v>
                </c:pt>
                <c:pt idx="1189">
                  <c:v>2025021189</c:v>
                </c:pt>
                <c:pt idx="1190">
                  <c:v>2025021190</c:v>
                </c:pt>
                <c:pt idx="1191">
                  <c:v>2025021191</c:v>
                </c:pt>
                <c:pt idx="1192">
                  <c:v>2025021192</c:v>
                </c:pt>
                <c:pt idx="1193">
                  <c:v>2025021193</c:v>
                </c:pt>
                <c:pt idx="1194">
                  <c:v>2025021194</c:v>
                </c:pt>
                <c:pt idx="1195">
                  <c:v>2025021195</c:v>
                </c:pt>
                <c:pt idx="1196">
                  <c:v>2025021196</c:v>
                </c:pt>
                <c:pt idx="1197">
                  <c:v>2025021197</c:v>
                </c:pt>
                <c:pt idx="1198">
                  <c:v>2025021198</c:v>
                </c:pt>
                <c:pt idx="1199">
                  <c:v>2025021199</c:v>
                </c:pt>
                <c:pt idx="1200">
                  <c:v>2025021200</c:v>
                </c:pt>
                <c:pt idx="1201">
                  <c:v>2025021201</c:v>
                </c:pt>
                <c:pt idx="1202">
                  <c:v>2025021202</c:v>
                </c:pt>
                <c:pt idx="1203">
                  <c:v>2025021203</c:v>
                </c:pt>
                <c:pt idx="1204">
                  <c:v>2025021204</c:v>
                </c:pt>
                <c:pt idx="1205">
                  <c:v>2025021205</c:v>
                </c:pt>
                <c:pt idx="1206">
                  <c:v>2025021206</c:v>
                </c:pt>
                <c:pt idx="1207">
                  <c:v>2025021207</c:v>
                </c:pt>
                <c:pt idx="1208">
                  <c:v>2025021208</c:v>
                </c:pt>
                <c:pt idx="1209">
                  <c:v>2025021209</c:v>
                </c:pt>
                <c:pt idx="1210">
                  <c:v>2025021210</c:v>
                </c:pt>
                <c:pt idx="1211">
                  <c:v>2025021211</c:v>
                </c:pt>
                <c:pt idx="1212">
                  <c:v>2025021212</c:v>
                </c:pt>
                <c:pt idx="1213">
                  <c:v>2025021213</c:v>
                </c:pt>
                <c:pt idx="1214">
                  <c:v>2025021214</c:v>
                </c:pt>
                <c:pt idx="1215">
                  <c:v>2025021215</c:v>
                </c:pt>
                <c:pt idx="1216">
                  <c:v>2025021216</c:v>
                </c:pt>
                <c:pt idx="1217">
                  <c:v>2025021217</c:v>
                </c:pt>
                <c:pt idx="1218">
                  <c:v>2025021218</c:v>
                </c:pt>
                <c:pt idx="1219">
                  <c:v>2025021219</c:v>
                </c:pt>
                <c:pt idx="1220">
                  <c:v>2025021220</c:v>
                </c:pt>
                <c:pt idx="1221">
                  <c:v>2025021221</c:v>
                </c:pt>
                <c:pt idx="1222">
                  <c:v>2025021222</c:v>
                </c:pt>
                <c:pt idx="1223">
                  <c:v>2025021223</c:v>
                </c:pt>
                <c:pt idx="1224">
                  <c:v>2025021224</c:v>
                </c:pt>
                <c:pt idx="1225">
                  <c:v>2025021225</c:v>
                </c:pt>
                <c:pt idx="1226">
                  <c:v>2025021226</c:v>
                </c:pt>
                <c:pt idx="1227">
                  <c:v>2025021227</c:v>
                </c:pt>
                <c:pt idx="1228">
                  <c:v>2025021228</c:v>
                </c:pt>
                <c:pt idx="1229">
                  <c:v>2025021229</c:v>
                </c:pt>
                <c:pt idx="1230">
                  <c:v>2025021230</c:v>
                </c:pt>
                <c:pt idx="1231">
                  <c:v>2025021231</c:v>
                </c:pt>
                <c:pt idx="1232">
                  <c:v>2025021232</c:v>
                </c:pt>
                <c:pt idx="1233">
                  <c:v>2025021233</c:v>
                </c:pt>
                <c:pt idx="1234">
                  <c:v>2025021234</c:v>
                </c:pt>
                <c:pt idx="1235">
                  <c:v>2025021235</c:v>
                </c:pt>
                <c:pt idx="1236">
                  <c:v>2025021236</c:v>
                </c:pt>
                <c:pt idx="1237">
                  <c:v>2025021237</c:v>
                </c:pt>
                <c:pt idx="1238">
                  <c:v>2025021238</c:v>
                </c:pt>
                <c:pt idx="1239">
                  <c:v>2025021239</c:v>
                </c:pt>
                <c:pt idx="1240">
                  <c:v>2025021240</c:v>
                </c:pt>
                <c:pt idx="1241">
                  <c:v>2025021241</c:v>
                </c:pt>
                <c:pt idx="1242">
                  <c:v>2025021242</c:v>
                </c:pt>
                <c:pt idx="1243">
                  <c:v>2025021243</c:v>
                </c:pt>
                <c:pt idx="1244">
                  <c:v>2025021244</c:v>
                </c:pt>
                <c:pt idx="1245">
                  <c:v>2025021245</c:v>
                </c:pt>
                <c:pt idx="1246">
                  <c:v>2025021246</c:v>
                </c:pt>
                <c:pt idx="1247">
                  <c:v>2025021247</c:v>
                </c:pt>
                <c:pt idx="1248">
                  <c:v>2025021248</c:v>
                </c:pt>
                <c:pt idx="1249">
                  <c:v>2025021249</c:v>
                </c:pt>
                <c:pt idx="1250">
                  <c:v>2025021250</c:v>
                </c:pt>
                <c:pt idx="1251">
                  <c:v>2025021251</c:v>
                </c:pt>
                <c:pt idx="1252">
                  <c:v>2025021252</c:v>
                </c:pt>
                <c:pt idx="1253">
                  <c:v>2025021253</c:v>
                </c:pt>
                <c:pt idx="1254">
                  <c:v>2025021254</c:v>
                </c:pt>
                <c:pt idx="1255">
                  <c:v>2025021255</c:v>
                </c:pt>
                <c:pt idx="1256">
                  <c:v>2025021256</c:v>
                </c:pt>
                <c:pt idx="1257">
                  <c:v>2025021257</c:v>
                </c:pt>
                <c:pt idx="1258">
                  <c:v>2025021258</c:v>
                </c:pt>
                <c:pt idx="1259">
                  <c:v>2025021259</c:v>
                </c:pt>
                <c:pt idx="1260">
                  <c:v>2025021260</c:v>
                </c:pt>
                <c:pt idx="1261">
                  <c:v>2025021261</c:v>
                </c:pt>
                <c:pt idx="1262">
                  <c:v>2025021262</c:v>
                </c:pt>
                <c:pt idx="1263">
                  <c:v>2025021263</c:v>
                </c:pt>
                <c:pt idx="1264">
                  <c:v>2025021264</c:v>
                </c:pt>
                <c:pt idx="1265">
                  <c:v>2025021265</c:v>
                </c:pt>
                <c:pt idx="1266">
                  <c:v>2025021266</c:v>
                </c:pt>
                <c:pt idx="1267">
                  <c:v>2025021267</c:v>
                </c:pt>
                <c:pt idx="1268">
                  <c:v>2025021268</c:v>
                </c:pt>
                <c:pt idx="1269">
                  <c:v>2025021269</c:v>
                </c:pt>
                <c:pt idx="1270">
                  <c:v>2025021270</c:v>
                </c:pt>
                <c:pt idx="1271">
                  <c:v>2025021271</c:v>
                </c:pt>
                <c:pt idx="1272">
                  <c:v>2025021272</c:v>
                </c:pt>
                <c:pt idx="1273">
                  <c:v>2025021273</c:v>
                </c:pt>
                <c:pt idx="1274">
                  <c:v>2025021274</c:v>
                </c:pt>
                <c:pt idx="1275">
                  <c:v>2025021275</c:v>
                </c:pt>
                <c:pt idx="1276">
                  <c:v>2025021276</c:v>
                </c:pt>
                <c:pt idx="1277">
                  <c:v>2025021277</c:v>
                </c:pt>
                <c:pt idx="1278">
                  <c:v>2025021278</c:v>
                </c:pt>
                <c:pt idx="1279">
                  <c:v>2025021279</c:v>
                </c:pt>
                <c:pt idx="1280">
                  <c:v>2025021280</c:v>
                </c:pt>
                <c:pt idx="1281">
                  <c:v>2025021281</c:v>
                </c:pt>
                <c:pt idx="1282">
                  <c:v>2025021282</c:v>
                </c:pt>
                <c:pt idx="1283">
                  <c:v>2025021283</c:v>
                </c:pt>
                <c:pt idx="1284">
                  <c:v>2025021284</c:v>
                </c:pt>
                <c:pt idx="1285">
                  <c:v>2025021285</c:v>
                </c:pt>
                <c:pt idx="1286">
                  <c:v>2025021286</c:v>
                </c:pt>
                <c:pt idx="1287">
                  <c:v>2025021287</c:v>
                </c:pt>
                <c:pt idx="1288">
                  <c:v>2025021288</c:v>
                </c:pt>
                <c:pt idx="1289">
                  <c:v>2025021289</c:v>
                </c:pt>
                <c:pt idx="1290">
                  <c:v>2025021290</c:v>
                </c:pt>
                <c:pt idx="1291">
                  <c:v>2025021291</c:v>
                </c:pt>
                <c:pt idx="1292">
                  <c:v>2025021292</c:v>
                </c:pt>
                <c:pt idx="1293">
                  <c:v>2025021293</c:v>
                </c:pt>
                <c:pt idx="1294">
                  <c:v>2025021294</c:v>
                </c:pt>
                <c:pt idx="1295">
                  <c:v>2025021295</c:v>
                </c:pt>
                <c:pt idx="1296">
                  <c:v>2025021296</c:v>
                </c:pt>
                <c:pt idx="1297">
                  <c:v>2025021297</c:v>
                </c:pt>
                <c:pt idx="1298">
                  <c:v>2025021298</c:v>
                </c:pt>
                <c:pt idx="1299">
                  <c:v>2025021299</c:v>
                </c:pt>
                <c:pt idx="1300">
                  <c:v>2025021300</c:v>
                </c:pt>
                <c:pt idx="1301">
                  <c:v>2025021301</c:v>
                </c:pt>
                <c:pt idx="1302">
                  <c:v>2025021302</c:v>
                </c:pt>
                <c:pt idx="1303">
                  <c:v>2025021303</c:v>
                </c:pt>
                <c:pt idx="1304">
                  <c:v>2025021304</c:v>
                </c:pt>
                <c:pt idx="1305">
                  <c:v>2025021305</c:v>
                </c:pt>
                <c:pt idx="1306">
                  <c:v>2025021306</c:v>
                </c:pt>
                <c:pt idx="1307">
                  <c:v>2025021307</c:v>
                </c:pt>
                <c:pt idx="1308">
                  <c:v>2025021308</c:v>
                </c:pt>
                <c:pt idx="1309">
                  <c:v>2025021309</c:v>
                </c:pt>
                <c:pt idx="1310">
                  <c:v>2025021310</c:v>
                </c:pt>
                <c:pt idx="1311">
                  <c:v>2025021311</c:v>
                </c:pt>
                <c:pt idx="1312">
                  <c:v>2025021312</c:v>
                </c:pt>
              </c:strCache>
            </c:strRef>
          </c:cat>
          <c:val>
            <c:numRef>
              <c:f>DataRegularSeason20242025!$AG$2:$AG$1317</c:f>
              <c:numCache>
                <c:formatCode>General</c:formatCode>
                <c:ptCount val="1316"/>
                <c:pt idx="0">
                  <c:v>0</c:v>
                </c:pt>
                <c:pt idx="1">
                  <c:v>-2</c:v>
                </c:pt>
                <c:pt idx="2">
                  <c:v>-4</c:v>
                </c:pt>
                <c:pt idx="3">
                  <c:v>-2</c:v>
                </c:pt>
                <c:pt idx="4">
                  <c:v>1</c:v>
                </c:pt>
                <c:pt idx="5">
                  <c:v>-4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-6</c:v>
                </c:pt>
                <c:pt idx="10">
                  <c:v>-1</c:v>
                </c:pt>
                <c:pt idx="11">
                  <c:v>-1</c:v>
                </c:pt>
                <c:pt idx="12">
                  <c:v>-2</c:v>
                </c:pt>
                <c:pt idx="13">
                  <c:v>0</c:v>
                </c:pt>
                <c:pt idx="14">
                  <c:v>2</c:v>
                </c:pt>
                <c:pt idx="15">
                  <c:v>-3</c:v>
                </c:pt>
                <c:pt idx="16">
                  <c:v>-2</c:v>
                </c:pt>
                <c:pt idx="17">
                  <c:v>2</c:v>
                </c:pt>
                <c:pt idx="18">
                  <c:v>-4</c:v>
                </c:pt>
                <c:pt idx="19">
                  <c:v>1</c:v>
                </c:pt>
                <c:pt idx="20">
                  <c:v>0</c:v>
                </c:pt>
                <c:pt idx="21">
                  <c:v>-2</c:v>
                </c:pt>
                <c:pt idx="22">
                  <c:v>-1</c:v>
                </c:pt>
                <c:pt idx="23">
                  <c:v>-1</c:v>
                </c:pt>
                <c:pt idx="24">
                  <c:v>-2</c:v>
                </c:pt>
                <c:pt idx="25">
                  <c:v>4</c:v>
                </c:pt>
                <c:pt idx="26">
                  <c:v>0</c:v>
                </c:pt>
                <c:pt idx="27">
                  <c:v>3</c:v>
                </c:pt>
                <c:pt idx="28">
                  <c:v>0</c:v>
                </c:pt>
                <c:pt idx="29">
                  <c:v>-4</c:v>
                </c:pt>
                <c:pt idx="30">
                  <c:v>-1</c:v>
                </c:pt>
                <c:pt idx="31">
                  <c:v>-2</c:v>
                </c:pt>
                <c:pt idx="32">
                  <c:v>-1</c:v>
                </c:pt>
                <c:pt idx="33">
                  <c:v>-2</c:v>
                </c:pt>
                <c:pt idx="34">
                  <c:v>-1</c:v>
                </c:pt>
                <c:pt idx="35">
                  <c:v>0</c:v>
                </c:pt>
                <c:pt idx="36">
                  <c:v>3</c:v>
                </c:pt>
                <c:pt idx="37">
                  <c:v>-2</c:v>
                </c:pt>
                <c:pt idx="38">
                  <c:v>-2</c:v>
                </c:pt>
                <c:pt idx="39">
                  <c:v>-1</c:v>
                </c:pt>
                <c:pt idx="40">
                  <c:v>1</c:v>
                </c:pt>
                <c:pt idx="41">
                  <c:v>-4</c:v>
                </c:pt>
                <c:pt idx="42">
                  <c:v>1</c:v>
                </c:pt>
                <c:pt idx="43">
                  <c:v>-1</c:v>
                </c:pt>
                <c:pt idx="44">
                  <c:v>3</c:v>
                </c:pt>
                <c:pt idx="45">
                  <c:v>-3</c:v>
                </c:pt>
                <c:pt idx="46">
                  <c:v>-1</c:v>
                </c:pt>
                <c:pt idx="47">
                  <c:v>0</c:v>
                </c:pt>
                <c:pt idx="48">
                  <c:v>1</c:v>
                </c:pt>
                <c:pt idx="49">
                  <c:v>3</c:v>
                </c:pt>
                <c:pt idx="50">
                  <c:v>0</c:v>
                </c:pt>
                <c:pt idx="51">
                  <c:v>-2</c:v>
                </c:pt>
                <c:pt idx="52">
                  <c:v>-1</c:v>
                </c:pt>
                <c:pt idx="53">
                  <c:v>-1</c:v>
                </c:pt>
                <c:pt idx="54">
                  <c:v>0</c:v>
                </c:pt>
                <c:pt idx="55">
                  <c:v>-2</c:v>
                </c:pt>
                <c:pt idx="56">
                  <c:v>1</c:v>
                </c:pt>
                <c:pt idx="57">
                  <c:v>3</c:v>
                </c:pt>
                <c:pt idx="58">
                  <c:v>0</c:v>
                </c:pt>
                <c:pt idx="59">
                  <c:v>-1</c:v>
                </c:pt>
                <c:pt idx="60">
                  <c:v>0</c:v>
                </c:pt>
                <c:pt idx="61">
                  <c:v>-1</c:v>
                </c:pt>
                <c:pt idx="62">
                  <c:v>-2</c:v>
                </c:pt>
                <c:pt idx="63">
                  <c:v>1</c:v>
                </c:pt>
                <c:pt idx="64">
                  <c:v>-1</c:v>
                </c:pt>
                <c:pt idx="65">
                  <c:v>3</c:v>
                </c:pt>
                <c:pt idx="66">
                  <c:v>0</c:v>
                </c:pt>
                <c:pt idx="67">
                  <c:v>-2</c:v>
                </c:pt>
                <c:pt idx="68">
                  <c:v>-3</c:v>
                </c:pt>
                <c:pt idx="69">
                  <c:v>1</c:v>
                </c:pt>
                <c:pt idx="70">
                  <c:v>-3</c:v>
                </c:pt>
                <c:pt idx="71">
                  <c:v>-2</c:v>
                </c:pt>
                <c:pt idx="72">
                  <c:v>-4</c:v>
                </c:pt>
                <c:pt idx="73">
                  <c:v>1</c:v>
                </c:pt>
                <c:pt idx="74">
                  <c:v>-2</c:v>
                </c:pt>
                <c:pt idx="75">
                  <c:v>4</c:v>
                </c:pt>
                <c:pt idx="76">
                  <c:v>-1</c:v>
                </c:pt>
                <c:pt idx="77">
                  <c:v>2</c:v>
                </c:pt>
                <c:pt idx="78">
                  <c:v>1</c:v>
                </c:pt>
                <c:pt idx="79">
                  <c:v>-1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1</c:v>
                </c:pt>
                <c:pt idx="84">
                  <c:v>0</c:v>
                </c:pt>
                <c:pt idx="85">
                  <c:v>-1</c:v>
                </c:pt>
                <c:pt idx="86">
                  <c:v>1</c:v>
                </c:pt>
                <c:pt idx="87">
                  <c:v>2</c:v>
                </c:pt>
                <c:pt idx="88">
                  <c:v>-4</c:v>
                </c:pt>
                <c:pt idx="89">
                  <c:v>-1</c:v>
                </c:pt>
                <c:pt idx="90">
                  <c:v>1</c:v>
                </c:pt>
                <c:pt idx="91">
                  <c:v>0</c:v>
                </c:pt>
                <c:pt idx="92">
                  <c:v>-2</c:v>
                </c:pt>
                <c:pt idx="93">
                  <c:v>-1</c:v>
                </c:pt>
                <c:pt idx="94">
                  <c:v>3</c:v>
                </c:pt>
                <c:pt idx="95">
                  <c:v>-1</c:v>
                </c:pt>
                <c:pt idx="96">
                  <c:v>-2</c:v>
                </c:pt>
                <c:pt idx="97">
                  <c:v>1</c:v>
                </c:pt>
                <c:pt idx="98">
                  <c:v>0</c:v>
                </c:pt>
                <c:pt idx="99">
                  <c:v>-2</c:v>
                </c:pt>
                <c:pt idx="100">
                  <c:v>2</c:v>
                </c:pt>
                <c:pt idx="101">
                  <c:v>1</c:v>
                </c:pt>
                <c:pt idx="102">
                  <c:v>-1</c:v>
                </c:pt>
                <c:pt idx="103">
                  <c:v>0</c:v>
                </c:pt>
                <c:pt idx="104">
                  <c:v>-2</c:v>
                </c:pt>
                <c:pt idx="105">
                  <c:v>-3</c:v>
                </c:pt>
                <c:pt idx="106">
                  <c:v>-3</c:v>
                </c:pt>
                <c:pt idx="107">
                  <c:v>1</c:v>
                </c:pt>
                <c:pt idx="108">
                  <c:v>-4</c:v>
                </c:pt>
                <c:pt idx="109">
                  <c:v>-2</c:v>
                </c:pt>
                <c:pt idx="110">
                  <c:v>-3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F3-49CA-A273-BC58C8FEB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760367"/>
        <c:axId val="1240761807"/>
      </c:lineChart>
      <c:catAx>
        <c:axId val="1240760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761807"/>
        <c:crosses val="autoZero"/>
        <c:auto val="1"/>
        <c:lblAlgn val="ctr"/>
        <c:lblOffset val="100"/>
        <c:noMultiLvlLbl val="0"/>
      </c:catAx>
      <c:valAx>
        <c:axId val="1240761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760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DataRegularSeason20242025!$AH$1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DataRegularSeason20242025!$A$2:$A$1317</c:f>
              <c:strCache>
                <c:ptCount val="111"/>
                <c:pt idx="0">
                  <c:v> PredictionDate</c:v>
                </c:pt>
                <c:pt idx="1">
                  <c:v>2025-10-07</c:v>
                </c:pt>
                <c:pt idx="2">
                  <c:v>2025-10-07</c:v>
                </c:pt>
                <c:pt idx="3">
                  <c:v>2025-10-07</c:v>
                </c:pt>
                <c:pt idx="4">
                  <c:v>2025-10-08</c:v>
                </c:pt>
                <c:pt idx="5">
                  <c:v>2025-10-08</c:v>
                </c:pt>
                <c:pt idx="6">
                  <c:v>2025-10-08</c:v>
                </c:pt>
                <c:pt idx="7">
                  <c:v>2025-10-08</c:v>
                </c:pt>
                <c:pt idx="8">
                  <c:v>2025-10-09</c:v>
                </c:pt>
                <c:pt idx="9">
                  <c:v>2025-10-09</c:v>
                </c:pt>
                <c:pt idx="10">
                  <c:v>2025-10-09</c:v>
                </c:pt>
                <c:pt idx="11">
                  <c:v>2025-10-09</c:v>
                </c:pt>
                <c:pt idx="12">
                  <c:v>2025-10-09</c:v>
                </c:pt>
                <c:pt idx="13">
                  <c:v>2025-10-09</c:v>
                </c:pt>
                <c:pt idx="14">
                  <c:v>2025-10-09</c:v>
                </c:pt>
                <c:pt idx="15">
                  <c:v>2025-10-09</c:v>
                </c:pt>
                <c:pt idx="16">
                  <c:v>2025-10-09</c:v>
                </c:pt>
                <c:pt idx="17">
                  <c:v>2025-10-09</c:v>
                </c:pt>
                <c:pt idx="18">
                  <c:v>2025-10-09</c:v>
                </c:pt>
                <c:pt idx="19">
                  <c:v>2025-10-09</c:v>
                </c:pt>
                <c:pt idx="20">
                  <c:v>2025-10-09</c:v>
                </c:pt>
                <c:pt idx="21">
                  <c:v>2025-10-09</c:v>
                </c:pt>
                <c:pt idx="22">
                  <c:v>2025-10-11</c:v>
                </c:pt>
                <c:pt idx="23">
                  <c:v>2025-10-11</c:v>
                </c:pt>
                <c:pt idx="24">
                  <c:v>2025-10-11</c:v>
                </c:pt>
                <c:pt idx="25">
                  <c:v>2025-10-11</c:v>
                </c:pt>
                <c:pt idx="26">
                  <c:v>2025-10-11</c:v>
                </c:pt>
                <c:pt idx="27">
                  <c:v>2025-10-11</c:v>
                </c:pt>
                <c:pt idx="28">
                  <c:v>2025-10-11</c:v>
                </c:pt>
                <c:pt idx="29">
                  <c:v>2025-10-11</c:v>
                </c:pt>
                <c:pt idx="30">
                  <c:v>2025-10-11</c:v>
                </c:pt>
                <c:pt idx="31">
                  <c:v>2025-10-11</c:v>
                </c:pt>
                <c:pt idx="32">
                  <c:v>2025-10-11</c:v>
                </c:pt>
                <c:pt idx="33">
                  <c:v>2025-10-11</c:v>
                </c:pt>
                <c:pt idx="34">
                  <c:v>2025-10-11</c:v>
                </c:pt>
                <c:pt idx="35">
                  <c:v>2025-10-11</c:v>
                </c:pt>
                <c:pt idx="36">
                  <c:v>2025-10-11</c:v>
                </c:pt>
                <c:pt idx="37">
                  <c:v>2025-10-11</c:v>
                </c:pt>
                <c:pt idx="38">
                  <c:v>2025-10-12</c:v>
                </c:pt>
                <c:pt idx="39">
                  <c:v>2025-10-13</c:v>
                </c:pt>
                <c:pt idx="40">
                  <c:v>2025-10-13</c:v>
                </c:pt>
                <c:pt idx="41">
                  <c:v>2025-10-13</c:v>
                </c:pt>
                <c:pt idx="42">
                  <c:v>2025-10-13</c:v>
                </c:pt>
                <c:pt idx="43">
                  <c:v>2025-10-13</c:v>
                </c:pt>
                <c:pt idx="44">
                  <c:v>2025-10-13</c:v>
                </c:pt>
                <c:pt idx="45">
                  <c:v>2025-10-13</c:v>
                </c:pt>
                <c:pt idx="46">
                  <c:v>2025-10-13</c:v>
                </c:pt>
                <c:pt idx="47">
                  <c:v>2025-10-13</c:v>
                </c:pt>
                <c:pt idx="48">
                  <c:v>2025-10-13</c:v>
                </c:pt>
                <c:pt idx="49">
                  <c:v>2025-10-14</c:v>
                </c:pt>
                <c:pt idx="50">
                  <c:v>2025-10-14</c:v>
                </c:pt>
                <c:pt idx="51">
                  <c:v>2025-10-14</c:v>
                </c:pt>
                <c:pt idx="52">
                  <c:v>2025-10-14</c:v>
                </c:pt>
                <c:pt idx="53">
                  <c:v>2025-10-14</c:v>
                </c:pt>
                <c:pt idx="54">
                  <c:v>2025-10-14</c:v>
                </c:pt>
                <c:pt idx="55">
                  <c:v>2025-10-14</c:v>
                </c:pt>
                <c:pt idx="56">
                  <c:v>2025-10-14</c:v>
                </c:pt>
                <c:pt idx="57">
                  <c:v>2025-10-15</c:v>
                </c:pt>
                <c:pt idx="58">
                  <c:v>2025-10-15</c:v>
                </c:pt>
                <c:pt idx="59">
                  <c:v>2025-10-15</c:v>
                </c:pt>
                <c:pt idx="60">
                  <c:v>2025-10-15</c:v>
                </c:pt>
                <c:pt idx="61">
                  <c:v>2025-10-16</c:v>
                </c:pt>
                <c:pt idx="62">
                  <c:v>2025-10-16</c:v>
                </c:pt>
                <c:pt idx="63">
                  <c:v>2025-10-16</c:v>
                </c:pt>
                <c:pt idx="64">
                  <c:v>2025-10-16</c:v>
                </c:pt>
                <c:pt idx="65">
                  <c:v>2025-10-16</c:v>
                </c:pt>
                <c:pt idx="66">
                  <c:v>2025-10-16</c:v>
                </c:pt>
                <c:pt idx="67">
                  <c:v>2025-10-16</c:v>
                </c:pt>
                <c:pt idx="68">
                  <c:v>2025-10-16</c:v>
                </c:pt>
                <c:pt idx="69">
                  <c:v>2025-10-16</c:v>
                </c:pt>
                <c:pt idx="70">
                  <c:v>2025-10-16</c:v>
                </c:pt>
                <c:pt idx="71">
                  <c:v>2025-10-16</c:v>
                </c:pt>
                <c:pt idx="72">
                  <c:v>2025-10-17</c:v>
                </c:pt>
                <c:pt idx="73">
                  <c:v>2025-10-17</c:v>
                </c:pt>
                <c:pt idx="74">
                  <c:v>2025-10-17</c:v>
                </c:pt>
                <c:pt idx="75">
                  <c:v>2025-10-17</c:v>
                </c:pt>
                <c:pt idx="76">
                  <c:v>2025-10-18</c:v>
                </c:pt>
                <c:pt idx="77">
                  <c:v>2025-10-18</c:v>
                </c:pt>
                <c:pt idx="78">
                  <c:v>2025-10-18</c:v>
                </c:pt>
                <c:pt idx="79">
                  <c:v>2025-10-18</c:v>
                </c:pt>
                <c:pt idx="80">
                  <c:v>2025-10-18</c:v>
                </c:pt>
                <c:pt idx="81">
                  <c:v>2025-10-18</c:v>
                </c:pt>
                <c:pt idx="82">
                  <c:v>2025-10-18</c:v>
                </c:pt>
                <c:pt idx="83">
                  <c:v>2025-10-18</c:v>
                </c:pt>
                <c:pt idx="84">
                  <c:v>2025-10-18</c:v>
                </c:pt>
                <c:pt idx="85">
                  <c:v>2025-10-18</c:v>
                </c:pt>
                <c:pt idx="86">
                  <c:v>2025-10-18</c:v>
                </c:pt>
                <c:pt idx="87">
                  <c:v>2025-10-18</c:v>
                </c:pt>
                <c:pt idx="88">
                  <c:v>2025-10-18</c:v>
                </c:pt>
                <c:pt idx="89">
                  <c:v>2025-10-19</c:v>
                </c:pt>
                <c:pt idx="90">
                  <c:v>2025-10-19</c:v>
                </c:pt>
                <c:pt idx="91">
                  <c:v>2025-10-19</c:v>
                </c:pt>
                <c:pt idx="92">
                  <c:v>2025-10-19</c:v>
                </c:pt>
                <c:pt idx="93">
                  <c:v>2025-10-20</c:v>
                </c:pt>
                <c:pt idx="94">
                  <c:v>2025-10-20</c:v>
                </c:pt>
                <c:pt idx="95">
                  <c:v>2025-10-20</c:v>
                </c:pt>
                <c:pt idx="96">
                  <c:v>2025-10-20</c:v>
                </c:pt>
                <c:pt idx="97">
                  <c:v>2025-10-20</c:v>
                </c:pt>
                <c:pt idx="98">
                  <c:v>2025-10-21</c:v>
                </c:pt>
                <c:pt idx="99">
                  <c:v>2025-10-21</c:v>
                </c:pt>
                <c:pt idx="100">
                  <c:v>2025-10-21</c:v>
                </c:pt>
                <c:pt idx="101">
                  <c:v>2025-10-21</c:v>
                </c:pt>
                <c:pt idx="102">
                  <c:v>2025-10-21</c:v>
                </c:pt>
                <c:pt idx="103">
                  <c:v>2025-10-21</c:v>
                </c:pt>
                <c:pt idx="104">
                  <c:v>2025-10-21</c:v>
                </c:pt>
                <c:pt idx="105">
                  <c:v>2025-10-21</c:v>
                </c:pt>
                <c:pt idx="106">
                  <c:v>2025-10-21</c:v>
                </c:pt>
                <c:pt idx="107">
                  <c:v>2025-10-21</c:v>
                </c:pt>
                <c:pt idx="108">
                  <c:v>2025-10-22</c:v>
                </c:pt>
                <c:pt idx="109">
                  <c:v>2025-10-22</c:v>
                </c:pt>
                <c:pt idx="110">
                  <c:v>2025-10-22</c:v>
                </c:pt>
              </c:strCache>
            </c:strRef>
          </c:cat>
          <c:val>
            <c:numRef>
              <c:f>DataRegularSeason20242025!$AH$2:$AH$1317</c:f>
              <c:numCache>
                <c:formatCode>General</c:formatCode>
                <c:ptCount val="13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-4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-6</c:v>
                </c:pt>
                <c:pt idx="73">
                  <c:v>-6</c:v>
                </c:pt>
                <c:pt idx="74">
                  <c:v>-6</c:v>
                </c:pt>
                <c:pt idx="75">
                  <c:v>-6</c:v>
                </c:pt>
                <c:pt idx="76">
                  <c:v>-4</c:v>
                </c:pt>
                <c:pt idx="77">
                  <c:v>-4</c:v>
                </c:pt>
                <c:pt idx="78">
                  <c:v>-4</c:v>
                </c:pt>
                <c:pt idx="79">
                  <c:v>-4</c:v>
                </c:pt>
                <c:pt idx="80">
                  <c:v>-4</c:v>
                </c:pt>
                <c:pt idx="81">
                  <c:v>-4</c:v>
                </c:pt>
                <c:pt idx="82">
                  <c:v>-4</c:v>
                </c:pt>
                <c:pt idx="83">
                  <c:v>-4</c:v>
                </c:pt>
                <c:pt idx="84">
                  <c:v>-4</c:v>
                </c:pt>
                <c:pt idx="85">
                  <c:v>-4</c:v>
                </c:pt>
                <c:pt idx="86">
                  <c:v>-4</c:v>
                </c:pt>
                <c:pt idx="87">
                  <c:v>-4</c:v>
                </c:pt>
                <c:pt idx="88">
                  <c:v>-4</c:v>
                </c:pt>
                <c:pt idx="89">
                  <c:v>-3</c:v>
                </c:pt>
                <c:pt idx="90">
                  <c:v>-3</c:v>
                </c:pt>
                <c:pt idx="91">
                  <c:v>-3</c:v>
                </c:pt>
                <c:pt idx="92">
                  <c:v>-3</c:v>
                </c:pt>
                <c:pt idx="93">
                  <c:v>-5</c:v>
                </c:pt>
                <c:pt idx="94">
                  <c:v>-5</c:v>
                </c:pt>
                <c:pt idx="95">
                  <c:v>-5</c:v>
                </c:pt>
                <c:pt idx="96">
                  <c:v>-5</c:v>
                </c:pt>
                <c:pt idx="97">
                  <c:v>-5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-9</c:v>
                </c:pt>
                <c:pt idx="109">
                  <c:v>-9</c:v>
                </c:pt>
                <c:pt idx="110">
                  <c:v>-9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73-4841-86D5-524BC354049D}"/>
            </c:ext>
          </c:extLst>
        </c:ser>
        <c:ser>
          <c:idx val="1"/>
          <c:order val="1"/>
          <c:tx>
            <c:strRef>
              <c:f>DataRegularSeason20242025!$AI$1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DataRegularSeason20242025!$A$2:$A$1317</c:f>
              <c:strCache>
                <c:ptCount val="111"/>
                <c:pt idx="0">
                  <c:v> PredictionDate</c:v>
                </c:pt>
                <c:pt idx="1">
                  <c:v>2025-10-07</c:v>
                </c:pt>
                <c:pt idx="2">
                  <c:v>2025-10-07</c:v>
                </c:pt>
                <c:pt idx="3">
                  <c:v>2025-10-07</c:v>
                </c:pt>
                <c:pt idx="4">
                  <c:v>2025-10-08</c:v>
                </c:pt>
                <c:pt idx="5">
                  <c:v>2025-10-08</c:v>
                </c:pt>
                <c:pt idx="6">
                  <c:v>2025-10-08</c:v>
                </c:pt>
                <c:pt idx="7">
                  <c:v>2025-10-08</c:v>
                </c:pt>
                <c:pt idx="8">
                  <c:v>2025-10-09</c:v>
                </c:pt>
                <c:pt idx="9">
                  <c:v>2025-10-09</c:v>
                </c:pt>
                <c:pt idx="10">
                  <c:v>2025-10-09</c:v>
                </c:pt>
                <c:pt idx="11">
                  <c:v>2025-10-09</c:v>
                </c:pt>
                <c:pt idx="12">
                  <c:v>2025-10-09</c:v>
                </c:pt>
                <c:pt idx="13">
                  <c:v>2025-10-09</c:v>
                </c:pt>
                <c:pt idx="14">
                  <c:v>2025-10-09</c:v>
                </c:pt>
                <c:pt idx="15">
                  <c:v>2025-10-09</c:v>
                </c:pt>
                <c:pt idx="16">
                  <c:v>2025-10-09</c:v>
                </c:pt>
                <c:pt idx="17">
                  <c:v>2025-10-09</c:v>
                </c:pt>
                <c:pt idx="18">
                  <c:v>2025-10-09</c:v>
                </c:pt>
                <c:pt idx="19">
                  <c:v>2025-10-09</c:v>
                </c:pt>
                <c:pt idx="20">
                  <c:v>2025-10-09</c:v>
                </c:pt>
                <c:pt idx="21">
                  <c:v>2025-10-09</c:v>
                </c:pt>
                <c:pt idx="22">
                  <c:v>2025-10-11</c:v>
                </c:pt>
                <c:pt idx="23">
                  <c:v>2025-10-11</c:v>
                </c:pt>
                <c:pt idx="24">
                  <c:v>2025-10-11</c:v>
                </c:pt>
                <c:pt idx="25">
                  <c:v>2025-10-11</c:v>
                </c:pt>
                <c:pt idx="26">
                  <c:v>2025-10-11</c:v>
                </c:pt>
                <c:pt idx="27">
                  <c:v>2025-10-11</c:v>
                </c:pt>
                <c:pt idx="28">
                  <c:v>2025-10-11</c:v>
                </c:pt>
                <c:pt idx="29">
                  <c:v>2025-10-11</c:v>
                </c:pt>
                <c:pt idx="30">
                  <c:v>2025-10-11</c:v>
                </c:pt>
                <c:pt idx="31">
                  <c:v>2025-10-11</c:v>
                </c:pt>
                <c:pt idx="32">
                  <c:v>2025-10-11</c:v>
                </c:pt>
                <c:pt idx="33">
                  <c:v>2025-10-11</c:v>
                </c:pt>
                <c:pt idx="34">
                  <c:v>2025-10-11</c:v>
                </c:pt>
                <c:pt idx="35">
                  <c:v>2025-10-11</c:v>
                </c:pt>
                <c:pt idx="36">
                  <c:v>2025-10-11</c:v>
                </c:pt>
                <c:pt idx="37">
                  <c:v>2025-10-11</c:v>
                </c:pt>
                <c:pt idx="38">
                  <c:v>2025-10-12</c:v>
                </c:pt>
                <c:pt idx="39">
                  <c:v>2025-10-13</c:v>
                </c:pt>
                <c:pt idx="40">
                  <c:v>2025-10-13</c:v>
                </c:pt>
                <c:pt idx="41">
                  <c:v>2025-10-13</c:v>
                </c:pt>
                <c:pt idx="42">
                  <c:v>2025-10-13</c:v>
                </c:pt>
                <c:pt idx="43">
                  <c:v>2025-10-13</c:v>
                </c:pt>
                <c:pt idx="44">
                  <c:v>2025-10-13</c:v>
                </c:pt>
                <c:pt idx="45">
                  <c:v>2025-10-13</c:v>
                </c:pt>
                <c:pt idx="46">
                  <c:v>2025-10-13</c:v>
                </c:pt>
                <c:pt idx="47">
                  <c:v>2025-10-13</c:v>
                </c:pt>
                <c:pt idx="48">
                  <c:v>2025-10-13</c:v>
                </c:pt>
                <c:pt idx="49">
                  <c:v>2025-10-14</c:v>
                </c:pt>
                <c:pt idx="50">
                  <c:v>2025-10-14</c:v>
                </c:pt>
                <c:pt idx="51">
                  <c:v>2025-10-14</c:v>
                </c:pt>
                <c:pt idx="52">
                  <c:v>2025-10-14</c:v>
                </c:pt>
                <c:pt idx="53">
                  <c:v>2025-10-14</c:v>
                </c:pt>
                <c:pt idx="54">
                  <c:v>2025-10-14</c:v>
                </c:pt>
                <c:pt idx="55">
                  <c:v>2025-10-14</c:v>
                </c:pt>
                <c:pt idx="56">
                  <c:v>2025-10-14</c:v>
                </c:pt>
                <c:pt idx="57">
                  <c:v>2025-10-15</c:v>
                </c:pt>
                <c:pt idx="58">
                  <c:v>2025-10-15</c:v>
                </c:pt>
                <c:pt idx="59">
                  <c:v>2025-10-15</c:v>
                </c:pt>
                <c:pt idx="60">
                  <c:v>2025-10-15</c:v>
                </c:pt>
                <c:pt idx="61">
                  <c:v>2025-10-16</c:v>
                </c:pt>
                <c:pt idx="62">
                  <c:v>2025-10-16</c:v>
                </c:pt>
                <c:pt idx="63">
                  <c:v>2025-10-16</c:v>
                </c:pt>
                <c:pt idx="64">
                  <c:v>2025-10-16</c:v>
                </c:pt>
                <c:pt idx="65">
                  <c:v>2025-10-16</c:v>
                </c:pt>
                <c:pt idx="66">
                  <c:v>2025-10-16</c:v>
                </c:pt>
                <c:pt idx="67">
                  <c:v>2025-10-16</c:v>
                </c:pt>
                <c:pt idx="68">
                  <c:v>2025-10-16</c:v>
                </c:pt>
                <c:pt idx="69">
                  <c:v>2025-10-16</c:v>
                </c:pt>
                <c:pt idx="70">
                  <c:v>2025-10-16</c:v>
                </c:pt>
                <c:pt idx="71">
                  <c:v>2025-10-16</c:v>
                </c:pt>
                <c:pt idx="72">
                  <c:v>2025-10-17</c:v>
                </c:pt>
                <c:pt idx="73">
                  <c:v>2025-10-17</c:v>
                </c:pt>
                <c:pt idx="74">
                  <c:v>2025-10-17</c:v>
                </c:pt>
                <c:pt idx="75">
                  <c:v>2025-10-17</c:v>
                </c:pt>
                <c:pt idx="76">
                  <c:v>2025-10-18</c:v>
                </c:pt>
                <c:pt idx="77">
                  <c:v>2025-10-18</c:v>
                </c:pt>
                <c:pt idx="78">
                  <c:v>2025-10-18</c:v>
                </c:pt>
                <c:pt idx="79">
                  <c:v>2025-10-18</c:v>
                </c:pt>
                <c:pt idx="80">
                  <c:v>2025-10-18</c:v>
                </c:pt>
                <c:pt idx="81">
                  <c:v>2025-10-18</c:v>
                </c:pt>
                <c:pt idx="82">
                  <c:v>2025-10-18</c:v>
                </c:pt>
                <c:pt idx="83">
                  <c:v>2025-10-18</c:v>
                </c:pt>
                <c:pt idx="84">
                  <c:v>2025-10-18</c:v>
                </c:pt>
                <c:pt idx="85">
                  <c:v>2025-10-18</c:v>
                </c:pt>
                <c:pt idx="86">
                  <c:v>2025-10-18</c:v>
                </c:pt>
                <c:pt idx="87">
                  <c:v>2025-10-18</c:v>
                </c:pt>
                <c:pt idx="88">
                  <c:v>2025-10-18</c:v>
                </c:pt>
                <c:pt idx="89">
                  <c:v>2025-10-19</c:v>
                </c:pt>
                <c:pt idx="90">
                  <c:v>2025-10-19</c:v>
                </c:pt>
                <c:pt idx="91">
                  <c:v>2025-10-19</c:v>
                </c:pt>
                <c:pt idx="92">
                  <c:v>2025-10-19</c:v>
                </c:pt>
                <c:pt idx="93">
                  <c:v>2025-10-20</c:v>
                </c:pt>
                <c:pt idx="94">
                  <c:v>2025-10-20</c:v>
                </c:pt>
                <c:pt idx="95">
                  <c:v>2025-10-20</c:v>
                </c:pt>
                <c:pt idx="96">
                  <c:v>2025-10-20</c:v>
                </c:pt>
                <c:pt idx="97">
                  <c:v>2025-10-20</c:v>
                </c:pt>
                <c:pt idx="98">
                  <c:v>2025-10-21</c:v>
                </c:pt>
                <c:pt idx="99">
                  <c:v>2025-10-21</c:v>
                </c:pt>
                <c:pt idx="100">
                  <c:v>2025-10-21</c:v>
                </c:pt>
                <c:pt idx="101">
                  <c:v>2025-10-21</c:v>
                </c:pt>
                <c:pt idx="102">
                  <c:v>2025-10-21</c:v>
                </c:pt>
                <c:pt idx="103">
                  <c:v>2025-10-21</c:v>
                </c:pt>
                <c:pt idx="104">
                  <c:v>2025-10-21</c:v>
                </c:pt>
                <c:pt idx="105">
                  <c:v>2025-10-21</c:v>
                </c:pt>
                <c:pt idx="106">
                  <c:v>2025-10-21</c:v>
                </c:pt>
                <c:pt idx="107">
                  <c:v>2025-10-21</c:v>
                </c:pt>
                <c:pt idx="108">
                  <c:v>2025-10-22</c:v>
                </c:pt>
                <c:pt idx="109">
                  <c:v>2025-10-22</c:v>
                </c:pt>
                <c:pt idx="110">
                  <c:v>2025-10-22</c:v>
                </c:pt>
              </c:strCache>
            </c:strRef>
          </c:cat>
          <c:val>
            <c:numRef>
              <c:f>DataRegularSeason20242025!$AI$2:$AI$1317</c:f>
              <c:numCache>
                <c:formatCode>General</c:formatCode>
                <c:ptCount val="1316"/>
                <c:pt idx="0">
                  <c:v>0</c:v>
                </c:pt>
                <c:pt idx="1">
                  <c:v>-8</c:v>
                </c:pt>
                <c:pt idx="2">
                  <c:v>-8</c:v>
                </c:pt>
                <c:pt idx="3">
                  <c:v>-8</c:v>
                </c:pt>
                <c:pt idx="4">
                  <c:v>-2</c:v>
                </c:pt>
                <c:pt idx="5">
                  <c:v>-2</c:v>
                </c:pt>
                <c:pt idx="6">
                  <c:v>-2</c:v>
                </c:pt>
                <c:pt idx="7">
                  <c:v>-2</c:v>
                </c:pt>
                <c:pt idx="8">
                  <c:v>-16</c:v>
                </c:pt>
                <c:pt idx="9">
                  <c:v>-16</c:v>
                </c:pt>
                <c:pt idx="10">
                  <c:v>-16</c:v>
                </c:pt>
                <c:pt idx="11">
                  <c:v>-16</c:v>
                </c:pt>
                <c:pt idx="12">
                  <c:v>-16</c:v>
                </c:pt>
                <c:pt idx="13">
                  <c:v>-16</c:v>
                </c:pt>
                <c:pt idx="14">
                  <c:v>-16</c:v>
                </c:pt>
                <c:pt idx="15">
                  <c:v>-16</c:v>
                </c:pt>
                <c:pt idx="16">
                  <c:v>-16</c:v>
                </c:pt>
                <c:pt idx="17">
                  <c:v>-16</c:v>
                </c:pt>
                <c:pt idx="18">
                  <c:v>-16</c:v>
                </c:pt>
                <c:pt idx="19">
                  <c:v>-16</c:v>
                </c:pt>
                <c:pt idx="20">
                  <c:v>-16</c:v>
                </c:pt>
                <c:pt idx="21">
                  <c:v>-16</c:v>
                </c:pt>
                <c:pt idx="22">
                  <c:v>-7</c:v>
                </c:pt>
                <c:pt idx="23">
                  <c:v>-7</c:v>
                </c:pt>
                <c:pt idx="24">
                  <c:v>-7</c:v>
                </c:pt>
                <c:pt idx="25">
                  <c:v>-7</c:v>
                </c:pt>
                <c:pt idx="26">
                  <c:v>-7</c:v>
                </c:pt>
                <c:pt idx="27">
                  <c:v>-7</c:v>
                </c:pt>
                <c:pt idx="28">
                  <c:v>-7</c:v>
                </c:pt>
                <c:pt idx="29">
                  <c:v>-7</c:v>
                </c:pt>
                <c:pt idx="30">
                  <c:v>-7</c:v>
                </c:pt>
                <c:pt idx="31">
                  <c:v>-7</c:v>
                </c:pt>
                <c:pt idx="32">
                  <c:v>-7</c:v>
                </c:pt>
                <c:pt idx="33">
                  <c:v>-7</c:v>
                </c:pt>
                <c:pt idx="34">
                  <c:v>-7</c:v>
                </c:pt>
                <c:pt idx="35">
                  <c:v>-7</c:v>
                </c:pt>
                <c:pt idx="36">
                  <c:v>-7</c:v>
                </c:pt>
                <c:pt idx="37">
                  <c:v>-7</c:v>
                </c:pt>
                <c:pt idx="38">
                  <c:v>-2</c:v>
                </c:pt>
                <c:pt idx="39">
                  <c:v>-4</c:v>
                </c:pt>
                <c:pt idx="40">
                  <c:v>-4</c:v>
                </c:pt>
                <c:pt idx="41">
                  <c:v>-4</c:v>
                </c:pt>
                <c:pt idx="42">
                  <c:v>-4</c:v>
                </c:pt>
                <c:pt idx="43">
                  <c:v>-4</c:v>
                </c:pt>
                <c:pt idx="44">
                  <c:v>-4</c:v>
                </c:pt>
                <c:pt idx="45">
                  <c:v>-4</c:v>
                </c:pt>
                <c:pt idx="46">
                  <c:v>-4</c:v>
                </c:pt>
                <c:pt idx="47">
                  <c:v>-4</c:v>
                </c:pt>
                <c:pt idx="48">
                  <c:v>-4</c:v>
                </c:pt>
                <c:pt idx="49">
                  <c:v>-2</c:v>
                </c:pt>
                <c:pt idx="50">
                  <c:v>-2</c:v>
                </c:pt>
                <c:pt idx="51">
                  <c:v>-2</c:v>
                </c:pt>
                <c:pt idx="52">
                  <c:v>-2</c:v>
                </c:pt>
                <c:pt idx="53">
                  <c:v>-2</c:v>
                </c:pt>
                <c:pt idx="54">
                  <c:v>-2</c:v>
                </c:pt>
                <c:pt idx="55">
                  <c:v>-2</c:v>
                </c:pt>
                <c:pt idx="56">
                  <c:v>-2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-9</c:v>
                </c:pt>
                <c:pt idx="62">
                  <c:v>-9</c:v>
                </c:pt>
                <c:pt idx="63">
                  <c:v>-9</c:v>
                </c:pt>
                <c:pt idx="64">
                  <c:v>-9</c:v>
                </c:pt>
                <c:pt idx="65">
                  <c:v>-9</c:v>
                </c:pt>
                <c:pt idx="66">
                  <c:v>-9</c:v>
                </c:pt>
                <c:pt idx="67">
                  <c:v>-9</c:v>
                </c:pt>
                <c:pt idx="68">
                  <c:v>-9</c:v>
                </c:pt>
                <c:pt idx="69">
                  <c:v>-9</c:v>
                </c:pt>
                <c:pt idx="70">
                  <c:v>-9</c:v>
                </c:pt>
                <c:pt idx="71">
                  <c:v>-9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-2</c:v>
                </c:pt>
                <c:pt idx="90">
                  <c:v>-2</c:v>
                </c:pt>
                <c:pt idx="91">
                  <c:v>-2</c:v>
                </c:pt>
                <c:pt idx="92">
                  <c:v>-2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-7</c:v>
                </c:pt>
                <c:pt idx="99">
                  <c:v>-7</c:v>
                </c:pt>
                <c:pt idx="100">
                  <c:v>-7</c:v>
                </c:pt>
                <c:pt idx="101">
                  <c:v>-7</c:v>
                </c:pt>
                <c:pt idx="102">
                  <c:v>-7</c:v>
                </c:pt>
                <c:pt idx="103">
                  <c:v>-7</c:v>
                </c:pt>
                <c:pt idx="104">
                  <c:v>-7</c:v>
                </c:pt>
                <c:pt idx="105">
                  <c:v>-7</c:v>
                </c:pt>
                <c:pt idx="106">
                  <c:v>-7</c:v>
                </c:pt>
                <c:pt idx="107">
                  <c:v>-7</c:v>
                </c:pt>
                <c:pt idx="108">
                  <c:v>-9</c:v>
                </c:pt>
                <c:pt idx="109">
                  <c:v>-9</c:v>
                </c:pt>
                <c:pt idx="110">
                  <c:v>-9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73-4841-86D5-524BC3540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9213087"/>
        <c:axId val="1349219327"/>
      </c:lineChart>
      <c:catAx>
        <c:axId val="1349213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219327"/>
        <c:crosses val="autoZero"/>
        <c:auto val="1"/>
        <c:lblAlgn val="ctr"/>
        <c:lblOffset val="100"/>
        <c:noMultiLvlLbl val="0"/>
      </c:catAx>
      <c:valAx>
        <c:axId val="1349219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213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DataRegularSeason20242025!$BR$5:$BR$15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DataRegularSeason20242025!$BT$5:$BT$15</c:f>
              <c:numCache>
                <c:formatCode>General</c:formatCode>
                <c:ptCount val="11"/>
                <c:pt idx="0">
                  <c:v>0.15887850467289719</c:v>
                </c:pt>
                <c:pt idx="1">
                  <c:v>0.3364485981308411</c:v>
                </c:pt>
                <c:pt idx="2">
                  <c:v>0.24299065420560748</c:v>
                </c:pt>
                <c:pt idx="3">
                  <c:v>0.18691588785046728</c:v>
                </c:pt>
                <c:pt idx="4">
                  <c:v>6.5420560747663545E-2</c:v>
                </c:pt>
                <c:pt idx="5">
                  <c:v>9.3457943925233638E-3</c:v>
                </c:pt>
                <c:pt idx="6">
                  <c:v>9.3457943925233638E-3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31-4595-8386-6F9459AEDE33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DataRegularSeason20242025!$BR$5:$BR$15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DataRegularSeason20242025!$BV$5:$BV$15</c:f>
              <c:numCache>
                <c:formatCode>General</c:formatCode>
                <c:ptCount val="11"/>
                <c:pt idx="0">
                  <c:v>0.14953271028037382</c:v>
                </c:pt>
                <c:pt idx="1">
                  <c:v>0.38317757009345793</c:v>
                </c:pt>
                <c:pt idx="2">
                  <c:v>0.24299065420560748</c:v>
                </c:pt>
                <c:pt idx="3">
                  <c:v>0.13084112149532709</c:v>
                </c:pt>
                <c:pt idx="4">
                  <c:v>9.3457943925233641E-2</c:v>
                </c:pt>
                <c:pt idx="5">
                  <c:v>0</c:v>
                </c:pt>
                <c:pt idx="6">
                  <c:v>9.3457943925233638E-3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31-4595-8386-6F9459AEDE33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DataRegularSeason20242025!$BR$5:$BR$15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DataRegularSeason20242025!$BX$5:$BX$15</c:f>
              <c:numCache>
                <c:formatCode>General</c:formatCode>
                <c:ptCount val="11"/>
                <c:pt idx="0">
                  <c:v>0.1542056074766355</c:v>
                </c:pt>
                <c:pt idx="1">
                  <c:v>0.35981308411214952</c:v>
                </c:pt>
                <c:pt idx="2">
                  <c:v>0.24299065420560748</c:v>
                </c:pt>
                <c:pt idx="3">
                  <c:v>0.15887850467289719</c:v>
                </c:pt>
                <c:pt idx="4">
                  <c:v>7.9439252336448593E-2</c:v>
                </c:pt>
                <c:pt idx="5">
                  <c:v>4.6728971962616819E-3</c:v>
                </c:pt>
                <c:pt idx="6">
                  <c:v>9.3457943925233638E-3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31-4595-8386-6F9459AED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07013176"/>
        <c:axId val="907016344"/>
      </c:barChart>
      <c:catAx>
        <c:axId val="907013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016344"/>
        <c:crosses val="autoZero"/>
        <c:auto val="1"/>
        <c:lblAlgn val="ctr"/>
        <c:lblOffset val="100"/>
        <c:noMultiLvlLbl val="0"/>
      </c:catAx>
      <c:valAx>
        <c:axId val="907016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013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Running PTS Totals by Team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ANA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Sheet1!$B$3:$B$201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5</c:v>
                </c:pt>
                <c:pt idx="16">
                  <c:v>5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48-4C4E-A536-4D61BBF839D4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BOS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Sheet1!$C$3:$C$201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48-4C4E-A536-4D61BBF839D4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BUF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Sheet1!$D$3:$D$201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48-4C4E-A536-4D61BBF839D4}"/>
            </c:ext>
          </c:extLst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CAR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Sheet1!$E$3:$E$201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8</c:v>
                </c:pt>
                <c:pt idx="13">
                  <c:v>8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48-4C4E-A536-4D61BBF839D4}"/>
            </c:ext>
          </c:extLst>
        </c:ser>
        <c:ser>
          <c:idx val="4"/>
          <c:order val="4"/>
          <c:tx>
            <c:strRef>
              <c:f>Sheet1!$F$1</c:f>
              <c:strCache>
                <c:ptCount val="1"/>
                <c:pt idx="0">
                  <c:v>CBJ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Sheet1!$F$3:$F$201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48-4C4E-A536-4D61BBF839D4}"/>
            </c:ext>
          </c:extLst>
        </c:ser>
        <c:ser>
          <c:idx val="5"/>
          <c:order val="5"/>
          <c:tx>
            <c:strRef>
              <c:f>Sheet1!$G$1</c:f>
              <c:strCache>
                <c:ptCount val="1"/>
                <c:pt idx="0">
                  <c:v>CGY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Sheet1!$G$3:$G$201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548-4C4E-A536-4D61BBF839D4}"/>
            </c:ext>
          </c:extLst>
        </c:ser>
        <c:ser>
          <c:idx val="6"/>
          <c:order val="6"/>
          <c:tx>
            <c:strRef>
              <c:f>Sheet1!$H$1</c:f>
              <c:strCache>
                <c:ptCount val="1"/>
                <c:pt idx="0">
                  <c:v>CHI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Sheet1!$H$3:$H$201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5</c:v>
                </c:pt>
                <c:pt idx="12">
                  <c:v>5</c:v>
                </c:pt>
                <c:pt idx="13">
                  <c:v>6</c:v>
                </c:pt>
                <c:pt idx="14">
                  <c:v>6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548-4C4E-A536-4D61BBF839D4}"/>
            </c:ext>
          </c:extLst>
        </c:ser>
        <c:ser>
          <c:idx val="7"/>
          <c:order val="7"/>
          <c:tx>
            <c:strRef>
              <c:f>Sheet1!$I$1</c:f>
              <c:strCache>
                <c:ptCount val="1"/>
                <c:pt idx="0">
                  <c:v>COL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Sheet1!$I$3:$I$201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9</c:v>
                </c:pt>
                <c:pt idx="13">
                  <c:v>9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12</c:v>
                </c:pt>
                <c:pt idx="35">
                  <c:v>12</c:v>
                </c:pt>
                <c:pt idx="36">
                  <c:v>12</c:v>
                </c:pt>
                <c:pt idx="37">
                  <c:v>12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12</c:v>
                </c:pt>
                <c:pt idx="61">
                  <c:v>12</c:v>
                </c:pt>
                <c:pt idx="62">
                  <c:v>12</c:v>
                </c:pt>
                <c:pt idx="63">
                  <c:v>12</c:v>
                </c:pt>
                <c:pt idx="64">
                  <c:v>12</c:v>
                </c:pt>
                <c:pt idx="65">
                  <c:v>12</c:v>
                </c:pt>
                <c:pt idx="66">
                  <c:v>12</c:v>
                </c:pt>
                <c:pt idx="67">
                  <c:v>12</c:v>
                </c:pt>
                <c:pt idx="68">
                  <c:v>12</c:v>
                </c:pt>
                <c:pt idx="69">
                  <c:v>12</c:v>
                </c:pt>
                <c:pt idx="70">
                  <c:v>12</c:v>
                </c:pt>
                <c:pt idx="71">
                  <c:v>12</c:v>
                </c:pt>
                <c:pt idx="72">
                  <c:v>12</c:v>
                </c:pt>
                <c:pt idx="73">
                  <c:v>12</c:v>
                </c:pt>
                <c:pt idx="74">
                  <c:v>12</c:v>
                </c:pt>
                <c:pt idx="75">
                  <c:v>12</c:v>
                </c:pt>
                <c:pt idx="76">
                  <c:v>12</c:v>
                </c:pt>
                <c:pt idx="77">
                  <c:v>12</c:v>
                </c:pt>
                <c:pt idx="78">
                  <c:v>12</c:v>
                </c:pt>
                <c:pt idx="79">
                  <c:v>12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12</c:v>
                </c:pt>
                <c:pt idx="91">
                  <c:v>12</c:v>
                </c:pt>
                <c:pt idx="92">
                  <c:v>12</c:v>
                </c:pt>
                <c:pt idx="93">
                  <c:v>12</c:v>
                </c:pt>
                <c:pt idx="94">
                  <c:v>12</c:v>
                </c:pt>
                <c:pt idx="95">
                  <c:v>12</c:v>
                </c:pt>
                <c:pt idx="96">
                  <c:v>12</c:v>
                </c:pt>
                <c:pt idx="97">
                  <c:v>12</c:v>
                </c:pt>
                <c:pt idx="98">
                  <c:v>12</c:v>
                </c:pt>
                <c:pt idx="99">
                  <c:v>12</c:v>
                </c:pt>
                <c:pt idx="100">
                  <c:v>12</c:v>
                </c:pt>
                <c:pt idx="101">
                  <c:v>12</c:v>
                </c:pt>
                <c:pt idx="102">
                  <c:v>12</c:v>
                </c:pt>
                <c:pt idx="103">
                  <c:v>12</c:v>
                </c:pt>
                <c:pt idx="104">
                  <c:v>12</c:v>
                </c:pt>
                <c:pt idx="105">
                  <c:v>12</c:v>
                </c:pt>
                <c:pt idx="106">
                  <c:v>12</c:v>
                </c:pt>
                <c:pt idx="107">
                  <c:v>12</c:v>
                </c:pt>
                <c:pt idx="108">
                  <c:v>12</c:v>
                </c:pt>
                <c:pt idx="109">
                  <c:v>12</c:v>
                </c:pt>
                <c:pt idx="110">
                  <c:v>12</c:v>
                </c:pt>
                <c:pt idx="111">
                  <c:v>12</c:v>
                </c:pt>
                <c:pt idx="112">
                  <c:v>12</c:v>
                </c:pt>
                <c:pt idx="113">
                  <c:v>12</c:v>
                </c:pt>
                <c:pt idx="114">
                  <c:v>12</c:v>
                </c:pt>
                <c:pt idx="115">
                  <c:v>12</c:v>
                </c:pt>
                <c:pt idx="116">
                  <c:v>12</c:v>
                </c:pt>
                <c:pt idx="117">
                  <c:v>12</c:v>
                </c:pt>
                <c:pt idx="118">
                  <c:v>12</c:v>
                </c:pt>
                <c:pt idx="119">
                  <c:v>12</c:v>
                </c:pt>
                <c:pt idx="120">
                  <c:v>12</c:v>
                </c:pt>
                <c:pt idx="121">
                  <c:v>12</c:v>
                </c:pt>
                <c:pt idx="122">
                  <c:v>12</c:v>
                </c:pt>
                <c:pt idx="123">
                  <c:v>12</c:v>
                </c:pt>
                <c:pt idx="124">
                  <c:v>12</c:v>
                </c:pt>
                <c:pt idx="125">
                  <c:v>12</c:v>
                </c:pt>
                <c:pt idx="126">
                  <c:v>12</c:v>
                </c:pt>
                <c:pt idx="127">
                  <c:v>12</c:v>
                </c:pt>
                <c:pt idx="128">
                  <c:v>12</c:v>
                </c:pt>
                <c:pt idx="129">
                  <c:v>12</c:v>
                </c:pt>
                <c:pt idx="130">
                  <c:v>12</c:v>
                </c:pt>
                <c:pt idx="131">
                  <c:v>12</c:v>
                </c:pt>
                <c:pt idx="132">
                  <c:v>12</c:v>
                </c:pt>
                <c:pt idx="133">
                  <c:v>12</c:v>
                </c:pt>
                <c:pt idx="134">
                  <c:v>12</c:v>
                </c:pt>
                <c:pt idx="135">
                  <c:v>12</c:v>
                </c:pt>
                <c:pt idx="136">
                  <c:v>12</c:v>
                </c:pt>
                <c:pt idx="137">
                  <c:v>12</c:v>
                </c:pt>
                <c:pt idx="138">
                  <c:v>12</c:v>
                </c:pt>
                <c:pt idx="139">
                  <c:v>12</c:v>
                </c:pt>
                <c:pt idx="140">
                  <c:v>12</c:v>
                </c:pt>
                <c:pt idx="141">
                  <c:v>12</c:v>
                </c:pt>
                <c:pt idx="142">
                  <c:v>12</c:v>
                </c:pt>
                <c:pt idx="143">
                  <c:v>12</c:v>
                </c:pt>
                <c:pt idx="144">
                  <c:v>12</c:v>
                </c:pt>
                <c:pt idx="145">
                  <c:v>12</c:v>
                </c:pt>
                <c:pt idx="146">
                  <c:v>12</c:v>
                </c:pt>
                <c:pt idx="147">
                  <c:v>12</c:v>
                </c:pt>
                <c:pt idx="148">
                  <c:v>12</c:v>
                </c:pt>
                <c:pt idx="149">
                  <c:v>12</c:v>
                </c:pt>
                <c:pt idx="150">
                  <c:v>12</c:v>
                </c:pt>
                <c:pt idx="151">
                  <c:v>12</c:v>
                </c:pt>
                <c:pt idx="152">
                  <c:v>12</c:v>
                </c:pt>
                <c:pt idx="153">
                  <c:v>12</c:v>
                </c:pt>
                <c:pt idx="154">
                  <c:v>12</c:v>
                </c:pt>
                <c:pt idx="155">
                  <c:v>12</c:v>
                </c:pt>
                <c:pt idx="156">
                  <c:v>12</c:v>
                </c:pt>
                <c:pt idx="157">
                  <c:v>12</c:v>
                </c:pt>
                <c:pt idx="158">
                  <c:v>12</c:v>
                </c:pt>
                <c:pt idx="159">
                  <c:v>12</c:v>
                </c:pt>
                <c:pt idx="160">
                  <c:v>12</c:v>
                </c:pt>
                <c:pt idx="161">
                  <c:v>12</c:v>
                </c:pt>
                <c:pt idx="162">
                  <c:v>12</c:v>
                </c:pt>
                <c:pt idx="163">
                  <c:v>12</c:v>
                </c:pt>
                <c:pt idx="164">
                  <c:v>12</c:v>
                </c:pt>
                <c:pt idx="165">
                  <c:v>12</c:v>
                </c:pt>
                <c:pt idx="166">
                  <c:v>12</c:v>
                </c:pt>
                <c:pt idx="167">
                  <c:v>12</c:v>
                </c:pt>
                <c:pt idx="168">
                  <c:v>12</c:v>
                </c:pt>
                <c:pt idx="169">
                  <c:v>12</c:v>
                </c:pt>
                <c:pt idx="170">
                  <c:v>12</c:v>
                </c:pt>
                <c:pt idx="171">
                  <c:v>12</c:v>
                </c:pt>
                <c:pt idx="172">
                  <c:v>12</c:v>
                </c:pt>
                <c:pt idx="173">
                  <c:v>12</c:v>
                </c:pt>
                <c:pt idx="174">
                  <c:v>12</c:v>
                </c:pt>
                <c:pt idx="175">
                  <c:v>12</c:v>
                </c:pt>
                <c:pt idx="176">
                  <c:v>12</c:v>
                </c:pt>
                <c:pt idx="177">
                  <c:v>12</c:v>
                </c:pt>
                <c:pt idx="178">
                  <c:v>12</c:v>
                </c:pt>
                <c:pt idx="179">
                  <c:v>12</c:v>
                </c:pt>
                <c:pt idx="180">
                  <c:v>12</c:v>
                </c:pt>
                <c:pt idx="181">
                  <c:v>12</c:v>
                </c:pt>
                <c:pt idx="182">
                  <c:v>12</c:v>
                </c:pt>
                <c:pt idx="183">
                  <c:v>12</c:v>
                </c:pt>
                <c:pt idx="184">
                  <c:v>12</c:v>
                </c:pt>
                <c:pt idx="185">
                  <c:v>12</c:v>
                </c:pt>
                <c:pt idx="186">
                  <c:v>12</c:v>
                </c:pt>
                <c:pt idx="187">
                  <c:v>12</c:v>
                </c:pt>
                <c:pt idx="188">
                  <c:v>12</c:v>
                </c:pt>
                <c:pt idx="189">
                  <c:v>12</c:v>
                </c:pt>
                <c:pt idx="190">
                  <c:v>12</c:v>
                </c:pt>
                <c:pt idx="191">
                  <c:v>12</c:v>
                </c:pt>
                <c:pt idx="192">
                  <c:v>12</c:v>
                </c:pt>
                <c:pt idx="193">
                  <c:v>12</c:v>
                </c:pt>
                <c:pt idx="194">
                  <c:v>12</c:v>
                </c:pt>
                <c:pt idx="195">
                  <c:v>12</c:v>
                </c:pt>
                <c:pt idx="196">
                  <c:v>12</c:v>
                </c:pt>
                <c:pt idx="197">
                  <c:v>12</c:v>
                </c:pt>
                <c:pt idx="19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548-4C4E-A536-4D61BBF839D4}"/>
            </c:ext>
          </c:extLst>
        </c:ser>
        <c:ser>
          <c:idx val="8"/>
          <c:order val="8"/>
          <c:tx>
            <c:strRef>
              <c:f>Sheet1!$J$1</c:f>
              <c:strCache>
                <c:ptCount val="1"/>
                <c:pt idx="0">
                  <c:v>DAL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Sheet1!$J$3:$J$201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548-4C4E-A536-4D61BBF839D4}"/>
            </c:ext>
          </c:extLst>
        </c:ser>
        <c:ser>
          <c:idx val="9"/>
          <c:order val="9"/>
          <c:tx>
            <c:strRef>
              <c:f>Sheet1!$K$1</c:f>
              <c:strCache>
                <c:ptCount val="1"/>
                <c:pt idx="0">
                  <c:v>DET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Sheet1!$K$3:$K$201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6</c:v>
                </c:pt>
                <c:pt idx="12">
                  <c:v>6</c:v>
                </c:pt>
                <c:pt idx="13">
                  <c:v>8</c:v>
                </c:pt>
                <c:pt idx="14">
                  <c:v>8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548-4C4E-A536-4D61BBF839D4}"/>
            </c:ext>
          </c:extLst>
        </c:ser>
        <c:ser>
          <c:idx val="10"/>
          <c:order val="10"/>
          <c:tx>
            <c:strRef>
              <c:f>Sheet1!$L$1</c:f>
              <c:strCache>
                <c:ptCount val="1"/>
                <c:pt idx="0">
                  <c:v>EDM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Sheet1!$L$3:$L$201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548-4C4E-A536-4D61BBF839D4}"/>
            </c:ext>
          </c:extLst>
        </c:ser>
        <c:ser>
          <c:idx val="11"/>
          <c:order val="11"/>
          <c:tx>
            <c:strRef>
              <c:f>Sheet1!$M$1</c:f>
              <c:strCache>
                <c:ptCount val="1"/>
                <c:pt idx="0">
                  <c:v>FLA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Sheet1!$M$3:$M$201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548-4C4E-A536-4D61BBF839D4}"/>
            </c:ext>
          </c:extLst>
        </c:ser>
        <c:ser>
          <c:idx val="12"/>
          <c:order val="12"/>
          <c:tx>
            <c:strRef>
              <c:f>Sheet1!$N$1</c:f>
              <c:strCache>
                <c:ptCount val="1"/>
                <c:pt idx="0">
                  <c:v>LAK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Sheet1!$N$3:$N$201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548-4C4E-A536-4D61BBF839D4}"/>
            </c:ext>
          </c:extLst>
        </c:ser>
        <c:ser>
          <c:idx val="13"/>
          <c:order val="13"/>
          <c:tx>
            <c:strRef>
              <c:f>Sheet1!$O$1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Sheet1!$O$3:$O$201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5</c:v>
                </c:pt>
                <c:pt idx="15">
                  <c:v>5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548-4C4E-A536-4D61BBF839D4}"/>
            </c:ext>
          </c:extLst>
        </c:ser>
        <c:ser>
          <c:idx val="14"/>
          <c:order val="14"/>
          <c:tx>
            <c:strRef>
              <c:f>Sheet1!$P$1</c:f>
              <c:strCache>
                <c:ptCount val="1"/>
                <c:pt idx="0">
                  <c:v>MTL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Sheet1!$P$3:$P$201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548-4C4E-A536-4D61BBF839D4}"/>
            </c:ext>
          </c:extLst>
        </c:ser>
        <c:ser>
          <c:idx val="15"/>
          <c:order val="15"/>
          <c:tx>
            <c:strRef>
              <c:f>Sheet1!$Q$1</c:f>
              <c:strCache>
                <c:ptCount val="1"/>
                <c:pt idx="0">
                  <c:v>NJD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Sheet1!$Q$3:$Q$201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6</c:v>
                </c:pt>
                <c:pt idx="13">
                  <c:v>6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548-4C4E-A536-4D61BBF839D4}"/>
            </c:ext>
          </c:extLst>
        </c:ser>
        <c:ser>
          <c:idx val="16"/>
          <c:order val="16"/>
          <c:tx>
            <c:strRef>
              <c:f>Sheet1!$R$1</c:f>
              <c:strCache>
                <c:ptCount val="1"/>
                <c:pt idx="0">
                  <c:v>NSH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Sheet1!$R$3:$R$201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548-4C4E-A536-4D61BBF839D4}"/>
            </c:ext>
          </c:extLst>
        </c:ser>
        <c:ser>
          <c:idx val="17"/>
          <c:order val="17"/>
          <c:tx>
            <c:strRef>
              <c:f>Sheet1!$S$1</c:f>
              <c:strCache>
                <c:ptCount val="1"/>
                <c:pt idx="0">
                  <c:v>NYI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Sheet1!$S$3:$S$201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</c:v>
                </c:pt>
                <c:pt idx="13">
                  <c:v>2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548-4C4E-A536-4D61BBF839D4}"/>
            </c:ext>
          </c:extLst>
        </c:ser>
        <c:ser>
          <c:idx val="18"/>
          <c:order val="18"/>
          <c:tx>
            <c:strRef>
              <c:f>Sheet1!$T$1</c:f>
              <c:strCache>
                <c:ptCount val="1"/>
                <c:pt idx="0">
                  <c:v>NYR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Sheet1!$T$3:$T$201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5</c:v>
                </c:pt>
                <c:pt idx="13">
                  <c:v>5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548-4C4E-A536-4D61BBF839D4}"/>
            </c:ext>
          </c:extLst>
        </c:ser>
        <c:ser>
          <c:idx val="19"/>
          <c:order val="19"/>
          <c:tx>
            <c:strRef>
              <c:f>Sheet1!$U$1</c:f>
              <c:strCache>
                <c:ptCount val="1"/>
                <c:pt idx="0">
                  <c:v>OTT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Sheet1!$U$3:$U$201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548-4C4E-A536-4D61BBF839D4}"/>
            </c:ext>
          </c:extLst>
        </c:ser>
        <c:ser>
          <c:idx val="20"/>
          <c:order val="20"/>
          <c:tx>
            <c:strRef>
              <c:f>Sheet1!$V$1</c:f>
              <c:strCache>
                <c:ptCount val="1"/>
                <c:pt idx="0">
                  <c:v>PHI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Sheet1!$V$3:$V$201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5</c:v>
                </c:pt>
                <c:pt idx="15">
                  <c:v>5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548-4C4E-A536-4D61BBF839D4}"/>
            </c:ext>
          </c:extLst>
        </c:ser>
        <c:ser>
          <c:idx val="21"/>
          <c:order val="21"/>
          <c:tx>
            <c:strRef>
              <c:f>Sheet1!$W$1</c:f>
              <c:strCache>
                <c:ptCount val="1"/>
                <c:pt idx="0">
                  <c:v>PIT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Sheet1!$W$3:$W$201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6</c:v>
                </c:pt>
                <c:pt idx="13">
                  <c:v>6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548-4C4E-A536-4D61BBF839D4}"/>
            </c:ext>
          </c:extLst>
        </c:ser>
        <c:ser>
          <c:idx val="22"/>
          <c:order val="22"/>
          <c:tx>
            <c:strRef>
              <c:f>Sheet1!$X$1</c:f>
              <c:strCache>
                <c:ptCount val="1"/>
                <c:pt idx="0">
                  <c:v>SEA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Sheet1!$X$3:$X$201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5</c:v>
                </c:pt>
                <c:pt idx="11">
                  <c:v>5</c:v>
                </c:pt>
                <c:pt idx="12">
                  <c:v>6</c:v>
                </c:pt>
                <c:pt idx="13">
                  <c:v>6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548-4C4E-A536-4D61BBF839D4}"/>
            </c:ext>
          </c:extLst>
        </c:ser>
        <c:ser>
          <c:idx val="23"/>
          <c:order val="23"/>
          <c:tx>
            <c:strRef>
              <c:f>Sheet1!$Y$1</c:f>
              <c:strCache>
                <c:ptCount val="1"/>
                <c:pt idx="0">
                  <c:v>SJS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Sheet1!$Y$3:$Y$201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548-4C4E-A536-4D61BBF839D4}"/>
            </c:ext>
          </c:extLst>
        </c:ser>
        <c:ser>
          <c:idx val="24"/>
          <c:order val="24"/>
          <c:tx>
            <c:strRef>
              <c:f>Sheet1!$Z$1</c:f>
              <c:strCache>
                <c:ptCount val="1"/>
                <c:pt idx="0">
                  <c:v>STL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Sheet1!$Z$3:$Z$201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548-4C4E-A536-4D61BBF839D4}"/>
            </c:ext>
          </c:extLst>
        </c:ser>
        <c:ser>
          <c:idx val="25"/>
          <c:order val="25"/>
          <c:tx>
            <c:strRef>
              <c:f>Sheet1!$AA$1</c:f>
              <c:strCache>
                <c:ptCount val="1"/>
                <c:pt idx="0">
                  <c:v>TBL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Sheet1!$AA$3:$AA$201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548-4C4E-A536-4D61BBF839D4}"/>
            </c:ext>
          </c:extLst>
        </c:ser>
        <c:ser>
          <c:idx val="26"/>
          <c:order val="26"/>
          <c:tx>
            <c:strRef>
              <c:f>Sheet1!$AB$1</c:f>
              <c:strCache>
                <c:ptCount val="1"/>
                <c:pt idx="0">
                  <c:v>TOR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Sheet1!$AB$3:$AB$201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4</c:v>
                </c:pt>
                <c:pt idx="11">
                  <c:v>4</c:v>
                </c:pt>
                <c:pt idx="12">
                  <c:v>6</c:v>
                </c:pt>
                <c:pt idx="13">
                  <c:v>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548-4C4E-A536-4D61BBF839D4}"/>
            </c:ext>
          </c:extLst>
        </c:ser>
        <c:ser>
          <c:idx val="27"/>
          <c:order val="27"/>
          <c:tx>
            <c:strRef>
              <c:f>Sheet1!$AC$1</c:f>
              <c:strCache>
                <c:ptCount val="1"/>
                <c:pt idx="0">
                  <c:v>UTA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Sheet1!$AC$3:$AC$201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4</c:v>
                </c:pt>
                <c:pt idx="12">
                  <c:v>4</c:v>
                </c:pt>
                <c:pt idx="13">
                  <c:v>6</c:v>
                </c:pt>
                <c:pt idx="14">
                  <c:v>6</c:v>
                </c:pt>
                <c:pt idx="15">
                  <c:v>8</c:v>
                </c:pt>
                <c:pt idx="16">
                  <c:v>8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3548-4C4E-A536-4D61BBF839D4}"/>
            </c:ext>
          </c:extLst>
        </c:ser>
        <c:ser>
          <c:idx val="28"/>
          <c:order val="28"/>
          <c:tx>
            <c:strRef>
              <c:f>Sheet1!$AD$1</c:f>
              <c:strCache>
                <c:ptCount val="1"/>
                <c:pt idx="0">
                  <c:v>VAN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Sheet1!$AD$3:$AD$201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4</c:v>
                </c:pt>
                <c:pt idx="13">
                  <c:v>6</c:v>
                </c:pt>
                <c:pt idx="14">
                  <c:v>6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3548-4C4E-A536-4D61BBF839D4}"/>
            </c:ext>
          </c:extLst>
        </c:ser>
        <c:ser>
          <c:idx val="29"/>
          <c:order val="29"/>
          <c:tx>
            <c:strRef>
              <c:f>Sheet1!$AE$1</c:f>
              <c:strCache>
                <c:ptCount val="1"/>
                <c:pt idx="0">
                  <c:v>VGK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Sheet1!$AE$3:$AE$201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8</c:v>
                </c:pt>
                <c:pt idx="13">
                  <c:v>8</c:v>
                </c:pt>
                <c:pt idx="14">
                  <c:v>10</c:v>
                </c:pt>
                <c:pt idx="15">
                  <c:v>10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12</c:v>
                </c:pt>
                <c:pt idx="35">
                  <c:v>12</c:v>
                </c:pt>
                <c:pt idx="36">
                  <c:v>12</c:v>
                </c:pt>
                <c:pt idx="37">
                  <c:v>12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12</c:v>
                </c:pt>
                <c:pt idx="61">
                  <c:v>12</c:v>
                </c:pt>
                <c:pt idx="62">
                  <c:v>12</c:v>
                </c:pt>
                <c:pt idx="63">
                  <c:v>12</c:v>
                </c:pt>
                <c:pt idx="64">
                  <c:v>12</c:v>
                </c:pt>
                <c:pt idx="65">
                  <c:v>12</c:v>
                </c:pt>
                <c:pt idx="66">
                  <c:v>12</c:v>
                </c:pt>
                <c:pt idx="67">
                  <c:v>12</c:v>
                </c:pt>
                <c:pt idx="68">
                  <c:v>12</c:v>
                </c:pt>
                <c:pt idx="69">
                  <c:v>12</c:v>
                </c:pt>
                <c:pt idx="70">
                  <c:v>12</c:v>
                </c:pt>
                <c:pt idx="71">
                  <c:v>12</c:v>
                </c:pt>
                <c:pt idx="72">
                  <c:v>12</c:v>
                </c:pt>
                <c:pt idx="73">
                  <c:v>12</c:v>
                </c:pt>
                <c:pt idx="74">
                  <c:v>12</c:v>
                </c:pt>
                <c:pt idx="75">
                  <c:v>12</c:v>
                </c:pt>
                <c:pt idx="76">
                  <c:v>12</c:v>
                </c:pt>
                <c:pt idx="77">
                  <c:v>12</c:v>
                </c:pt>
                <c:pt idx="78">
                  <c:v>12</c:v>
                </c:pt>
                <c:pt idx="79">
                  <c:v>12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12</c:v>
                </c:pt>
                <c:pt idx="91">
                  <c:v>12</c:v>
                </c:pt>
                <c:pt idx="92">
                  <c:v>12</c:v>
                </c:pt>
                <c:pt idx="93">
                  <c:v>12</c:v>
                </c:pt>
                <c:pt idx="94">
                  <c:v>12</c:v>
                </c:pt>
                <c:pt idx="95">
                  <c:v>12</c:v>
                </c:pt>
                <c:pt idx="96">
                  <c:v>12</c:v>
                </c:pt>
                <c:pt idx="97">
                  <c:v>12</c:v>
                </c:pt>
                <c:pt idx="98">
                  <c:v>12</c:v>
                </c:pt>
                <c:pt idx="99">
                  <c:v>12</c:v>
                </c:pt>
                <c:pt idx="100">
                  <c:v>12</c:v>
                </c:pt>
                <c:pt idx="101">
                  <c:v>12</c:v>
                </c:pt>
                <c:pt idx="102">
                  <c:v>12</c:v>
                </c:pt>
                <c:pt idx="103">
                  <c:v>12</c:v>
                </c:pt>
                <c:pt idx="104">
                  <c:v>12</c:v>
                </c:pt>
                <c:pt idx="105">
                  <c:v>12</c:v>
                </c:pt>
                <c:pt idx="106">
                  <c:v>12</c:v>
                </c:pt>
                <c:pt idx="107">
                  <c:v>12</c:v>
                </c:pt>
                <c:pt idx="108">
                  <c:v>12</c:v>
                </c:pt>
                <c:pt idx="109">
                  <c:v>12</c:v>
                </c:pt>
                <c:pt idx="110">
                  <c:v>12</c:v>
                </c:pt>
                <c:pt idx="111">
                  <c:v>12</c:v>
                </c:pt>
                <c:pt idx="112">
                  <c:v>12</c:v>
                </c:pt>
                <c:pt idx="113">
                  <c:v>12</c:v>
                </c:pt>
                <c:pt idx="114">
                  <c:v>12</c:v>
                </c:pt>
                <c:pt idx="115">
                  <c:v>12</c:v>
                </c:pt>
                <c:pt idx="116">
                  <c:v>12</c:v>
                </c:pt>
                <c:pt idx="117">
                  <c:v>12</c:v>
                </c:pt>
                <c:pt idx="118">
                  <c:v>12</c:v>
                </c:pt>
                <c:pt idx="119">
                  <c:v>12</c:v>
                </c:pt>
                <c:pt idx="120">
                  <c:v>12</c:v>
                </c:pt>
                <c:pt idx="121">
                  <c:v>12</c:v>
                </c:pt>
                <c:pt idx="122">
                  <c:v>12</c:v>
                </c:pt>
                <c:pt idx="123">
                  <c:v>12</c:v>
                </c:pt>
                <c:pt idx="124">
                  <c:v>12</c:v>
                </c:pt>
                <c:pt idx="125">
                  <c:v>12</c:v>
                </c:pt>
                <c:pt idx="126">
                  <c:v>12</c:v>
                </c:pt>
                <c:pt idx="127">
                  <c:v>12</c:v>
                </c:pt>
                <c:pt idx="128">
                  <c:v>12</c:v>
                </c:pt>
                <c:pt idx="129">
                  <c:v>12</c:v>
                </c:pt>
                <c:pt idx="130">
                  <c:v>12</c:v>
                </c:pt>
                <c:pt idx="131">
                  <c:v>12</c:v>
                </c:pt>
                <c:pt idx="132">
                  <c:v>12</c:v>
                </c:pt>
                <c:pt idx="133">
                  <c:v>12</c:v>
                </c:pt>
                <c:pt idx="134">
                  <c:v>12</c:v>
                </c:pt>
                <c:pt idx="135">
                  <c:v>12</c:v>
                </c:pt>
                <c:pt idx="136">
                  <c:v>12</c:v>
                </c:pt>
                <c:pt idx="137">
                  <c:v>12</c:v>
                </c:pt>
                <c:pt idx="138">
                  <c:v>12</c:v>
                </c:pt>
                <c:pt idx="139">
                  <c:v>12</c:v>
                </c:pt>
                <c:pt idx="140">
                  <c:v>12</c:v>
                </c:pt>
                <c:pt idx="141">
                  <c:v>12</c:v>
                </c:pt>
                <c:pt idx="142">
                  <c:v>12</c:v>
                </c:pt>
                <c:pt idx="143">
                  <c:v>12</c:v>
                </c:pt>
                <c:pt idx="144">
                  <c:v>12</c:v>
                </c:pt>
                <c:pt idx="145">
                  <c:v>12</c:v>
                </c:pt>
                <c:pt idx="146">
                  <c:v>12</c:v>
                </c:pt>
                <c:pt idx="147">
                  <c:v>12</c:v>
                </c:pt>
                <c:pt idx="148">
                  <c:v>12</c:v>
                </c:pt>
                <c:pt idx="149">
                  <c:v>12</c:v>
                </c:pt>
                <c:pt idx="150">
                  <c:v>12</c:v>
                </c:pt>
                <c:pt idx="151">
                  <c:v>12</c:v>
                </c:pt>
                <c:pt idx="152">
                  <c:v>12</c:v>
                </c:pt>
                <c:pt idx="153">
                  <c:v>12</c:v>
                </c:pt>
                <c:pt idx="154">
                  <c:v>12</c:v>
                </c:pt>
                <c:pt idx="155">
                  <c:v>12</c:v>
                </c:pt>
                <c:pt idx="156">
                  <c:v>12</c:v>
                </c:pt>
                <c:pt idx="157">
                  <c:v>12</c:v>
                </c:pt>
                <c:pt idx="158">
                  <c:v>12</c:v>
                </c:pt>
                <c:pt idx="159">
                  <c:v>12</c:v>
                </c:pt>
                <c:pt idx="160">
                  <c:v>12</c:v>
                </c:pt>
                <c:pt idx="161">
                  <c:v>12</c:v>
                </c:pt>
                <c:pt idx="162">
                  <c:v>12</c:v>
                </c:pt>
                <c:pt idx="163">
                  <c:v>12</c:v>
                </c:pt>
                <c:pt idx="164">
                  <c:v>12</c:v>
                </c:pt>
                <c:pt idx="165">
                  <c:v>12</c:v>
                </c:pt>
                <c:pt idx="166">
                  <c:v>12</c:v>
                </c:pt>
                <c:pt idx="167">
                  <c:v>12</c:v>
                </c:pt>
                <c:pt idx="168">
                  <c:v>12</c:v>
                </c:pt>
                <c:pt idx="169">
                  <c:v>12</c:v>
                </c:pt>
                <c:pt idx="170">
                  <c:v>12</c:v>
                </c:pt>
                <c:pt idx="171">
                  <c:v>12</c:v>
                </c:pt>
                <c:pt idx="172">
                  <c:v>12</c:v>
                </c:pt>
                <c:pt idx="173">
                  <c:v>12</c:v>
                </c:pt>
                <c:pt idx="174">
                  <c:v>12</c:v>
                </c:pt>
                <c:pt idx="175">
                  <c:v>12</c:v>
                </c:pt>
                <c:pt idx="176">
                  <c:v>12</c:v>
                </c:pt>
                <c:pt idx="177">
                  <c:v>12</c:v>
                </c:pt>
                <c:pt idx="178">
                  <c:v>12</c:v>
                </c:pt>
                <c:pt idx="179">
                  <c:v>12</c:v>
                </c:pt>
                <c:pt idx="180">
                  <c:v>12</c:v>
                </c:pt>
                <c:pt idx="181">
                  <c:v>12</c:v>
                </c:pt>
                <c:pt idx="182">
                  <c:v>12</c:v>
                </c:pt>
                <c:pt idx="183">
                  <c:v>12</c:v>
                </c:pt>
                <c:pt idx="184">
                  <c:v>12</c:v>
                </c:pt>
                <c:pt idx="185">
                  <c:v>12</c:v>
                </c:pt>
                <c:pt idx="186">
                  <c:v>12</c:v>
                </c:pt>
                <c:pt idx="187">
                  <c:v>12</c:v>
                </c:pt>
                <c:pt idx="188">
                  <c:v>12</c:v>
                </c:pt>
                <c:pt idx="189">
                  <c:v>12</c:v>
                </c:pt>
                <c:pt idx="190">
                  <c:v>12</c:v>
                </c:pt>
                <c:pt idx="191">
                  <c:v>12</c:v>
                </c:pt>
                <c:pt idx="192">
                  <c:v>12</c:v>
                </c:pt>
                <c:pt idx="193">
                  <c:v>12</c:v>
                </c:pt>
                <c:pt idx="194">
                  <c:v>12</c:v>
                </c:pt>
                <c:pt idx="195">
                  <c:v>12</c:v>
                </c:pt>
                <c:pt idx="196">
                  <c:v>12</c:v>
                </c:pt>
                <c:pt idx="197">
                  <c:v>12</c:v>
                </c:pt>
                <c:pt idx="19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3548-4C4E-A536-4D61BBF839D4}"/>
            </c:ext>
          </c:extLst>
        </c:ser>
        <c:ser>
          <c:idx val="30"/>
          <c:order val="30"/>
          <c:tx>
            <c:strRef>
              <c:f>Sheet1!$AF$1</c:f>
              <c:strCache>
                <c:ptCount val="1"/>
                <c:pt idx="0">
                  <c:v>WPG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Sheet1!$AF$3:$AF$201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6</c:v>
                </c:pt>
                <c:pt idx="13">
                  <c:v>6</c:v>
                </c:pt>
                <c:pt idx="14">
                  <c:v>8</c:v>
                </c:pt>
                <c:pt idx="15">
                  <c:v>8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3548-4C4E-A536-4D61BBF839D4}"/>
            </c:ext>
          </c:extLst>
        </c:ser>
        <c:ser>
          <c:idx val="31"/>
          <c:order val="31"/>
          <c:tx>
            <c:strRef>
              <c:f>Sheet1!$AG$1</c:f>
              <c:strCache>
                <c:ptCount val="1"/>
                <c:pt idx="0">
                  <c:v>WSH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Sheet1!$AG$3:$AG$201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3548-4C4E-A536-4D61BBF83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6251407"/>
        <c:axId val="706245647"/>
      </c:lineChart>
      <c:dateAx>
        <c:axId val="70625140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245647"/>
        <c:crosses val="autoZero"/>
        <c:auto val="1"/>
        <c:lblOffset val="100"/>
        <c:baseTimeUnit val="days"/>
      </c:dateAx>
      <c:valAx>
        <c:axId val="706245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251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52</xdr:col>
      <xdr:colOff>142502</xdr:colOff>
      <xdr:row>95</xdr:row>
      <xdr:rowOff>13289</xdr:rowOff>
    </xdr:from>
    <xdr:to>
      <xdr:col>162</xdr:col>
      <xdr:colOff>286123</xdr:colOff>
      <xdr:row>120</xdr:row>
      <xdr:rowOff>110535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994376-9243-9260-9AAF-F821DA8009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52</xdr:col>
      <xdr:colOff>154288</xdr:colOff>
      <xdr:row>121</xdr:row>
      <xdr:rowOff>142492</xdr:rowOff>
    </xdr:from>
    <xdr:to>
      <xdr:col>162</xdr:col>
      <xdr:colOff>276225</xdr:colOff>
      <xdr:row>165</xdr:row>
      <xdr:rowOff>138495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49E4ED-DC5D-74EE-1D7E-291A8B8730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69</xdr:col>
      <xdr:colOff>33337</xdr:colOff>
      <xdr:row>17</xdr:row>
      <xdr:rowOff>4762</xdr:rowOff>
    </xdr:from>
    <xdr:to>
      <xdr:col>79</xdr:col>
      <xdr:colOff>333375</xdr:colOff>
      <xdr:row>37</xdr:row>
      <xdr:rowOff>9525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CFAFA4E-26FD-B08D-7221-2FE80CB94E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4760</xdr:colOff>
      <xdr:row>2</xdr:row>
      <xdr:rowOff>4760</xdr:rowOff>
    </xdr:from>
    <xdr:to>
      <xdr:col>90</xdr:col>
      <xdr:colOff>209550</xdr:colOff>
      <xdr:row>55</xdr:row>
      <xdr:rowOff>95249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51F349-E7FB-7562-10C5-2B1124AF79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very Briggs" refreshedDate="45939.094301736113" createdVersion="8" refreshedVersion="8" minRefreshableVersion="3" recordCount="32" xr:uid="{9686D029-B50C-4ABC-87D8-4CD9EF65F836}">
  <cacheSource type="worksheet">
    <worksheetSource name="table6"/>
  </cacheSource>
  <cacheFields count="5">
    <cacheField name="Teams" numFmtId="0">
      <sharedItems count="32">
        <s v="ANA"/>
        <s v="BOS"/>
        <s v="BUF"/>
        <s v="CAR"/>
        <s v="CBJ"/>
        <s v="CGY"/>
        <s v="CHI"/>
        <s v="COL"/>
        <s v="DAL"/>
        <s v="DET"/>
        <s v="EDM"/>
        <s v="FLA"/>
        <s v="LAK"/>
        <s v="MIN"/>
        <s v="MTL"/>
        <s v="NJD"/>
        <s v="NSH"/>
        <s v="NYI"/>
        <s v="NYR"/>
        <s v="OTT"/>
        <s v="PHI"/>
        <s v="PIT"/>
        <s v="SEA"/>
        <s v="SJS"/>
        <s v="STL"/>
        <s v="TBL"/>
        <s v="TOR"/>
        <s v="UTA"/>
        <s v="VAN"/>
        <s v="VGK"/>
        <s v="WPG"/>
        <s v="WSH"/>
      </sharedItems>
    </cacheField>
    <cacheField name="C" numFmtId="0">
      <sharedItems/>
    </cacheField>
    <cacheField name="D" numFmtId="0">
      <sharedItems count="4">
        <s v="P"/>
        <s v="A"/>
        <s v="M"/>
        <s v="C"/>
      </sharedItems>
    </cacheField>
    <cacheField name="PTS" numFmtId="0">
      <sharedItems containsSemiMixedTypes="0" containsString="0" containsNumber="1" containsInteger="1" minValue="0" maxValue="87" count="23">
        <n v="0"/>
        <n v="2"/>
        <n v="1"/>
        <n v="57" u="1"/>
        <n v="62" u="1"/>
        <n v="53" u="1"/>
        <n v="70" u="1"/>
        <n v="64" u="1"/>
        <n v="41" u="1"/>
        <n v="76" u="1"/>
        <n v="66" u="1"/>
        <n v="72" u="1"/>
        <n v="73" u="1"/>
        <n v="61" u="1"/>
        <n v="47" u="1"/>
        <n v="59" u="1"/>
        <n v="55" u="1"/>
        <n v="54" u="1"/>
        <n v="39" u="1"/>
        <n v="60" u="1"/>
        <n v="74" u="1"/>
        <n v="87" u="1"/>
        <n v="84" u="1"/>
      </sharedItems>
    </cacheField>
    <cacheField name="Column2" numFmtId="0">
      <sharedItems containsString="0" containsBlank="1" containsNumber="1" containsInteger="1" minValue="0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">
  <r>
    <x v="0"/>
    <s v="W"/>
    <x v="0"/>
    <x v="0"/>
    <m/>
  </r>
  <r>
    <x v="1"/>
    <s v="E"/>
    <x v="1"/>
    <x v="1"/>
    <n v="2"/>
  </r>
  <r>
    <x v="2"/>
    <s v="E"/>
    <x v="1"/>
    <x v="0"/>
    <n v="0"/>
  </r>
  <r>
    <x v="3"/>
    <s v="E"/>
    <x v="2"/>
    <x v="0"/>
    <n v="0"/>
  </r>
  <r>
    <x v="4"/>
    <s v="E"/>
    <x v="2"/>
    <x v="0"/>
    <n v="0"/>
  </r>
  <r>
    <x v="5"/>
    <s v="W"/>
    <x v="0"/>
    <x v="1"/>
    <n v="2"/>
  </r>
  <r>
    <x v="6"/>
    <s v="W"/>
    <x v="3"/>
    <x v="0"/>
    <n v="0"/>
  </r>
  <r>
    <x v="7"/>
    <s v="W"/>
    <x v="3"/>
    <x v="1"/>
    <n v="2"/>
  </r>
  <r>
    <x v="8"/>
    <s v="W"/>
    <x v="3"/>
    <x v="0"/>
    <n v="0"/>
  </r>
  <r>
    <x v="9"/>
    <s v="E"/>
    <x v="1"/>
    <x v="0"/>
    <n v="0"/>
  </r>
  <r>
    <x v="10"/>
    <s v="W"/>
    <x v="0"/>
    <x v="2"/>
    <n v="1"/>
  </r>
  <r>
    <x v="11"/>
    <s v="E"/>
    <x v="1"/>
    <x v="1"/>
    <n v="2"/>
  </r>
  <r>
    <x v="12"/>
    <s v="W"/>
    <x v="0"/>
    <x v="1"/>
    <n v="2"/>
  </r>
  <r>
    <x v="13"/>
    <s v="W"/>
    <x v="3"/>
    <x v="0"/>
    <n v="0"/>
  </r>
  <r>
    <x v="14"/>
    <s v="E"/>
    <x v="1"/>
    <x v="0"/>
    <n v="0"/>
  </r>
  <r>
    <x v="15"/>
    <s v="E"/>
    <x v="2"/>
    <x v="0"/>
    <n v="0"/>
  </r>
  <r>
    <x v="16"/>
    <s v="W"/>
    <x v="3"/>
    <x v="0"/>
    <n v="0"/>
  </r>
  <r>
    <x v="17"/>
    <s v="E"/>
    <x v="2"/>
    <x v="0"/>
    <n v="0"/>
  </r>
  <r>
    <x v="18"/>
    <s v="E"/>
    <x v="2"/>
    <x v="0"/>
    <n v="0"/>
  </r>
  <r>
    <x v="19"/>
    <s v="E"/>
    <x v="1"/>
    <x v="0"/>
    <n v="0"/>
  </r>
  <r>
    <x v="20"/>
    <s v="E"/>
    <x v="2"/>
    <x v="0"/>
    <n v="0"/>
  </r>
  <r>
    <x v="21"/>
    <s v="E"/>
    <x v="2"/>
    <x v="1"/>
    <n v="2"/>
  </r>
  <r>
    <x v="22"/>
    <s v="W"/>
    <x v="0"/>
    <x v="0"/>
    <n v="0"/>
  </r>
  <r>
    <x v="23"/>
    <s v="W"/>
    <x v="0"/>
    <x v="0"/>
    <n v="0"/>
  </r>
  <r>
    <x v="24"/>
    <s v="W"/>
    <x v="3"/>
    <x v="0"/>
    <n v="0"/>
  </r>
  <r>
    <x v="25"/>
    <s v="E"/>
    <x v="1"/>
    <x v="0"/>
    <n v="0"/>
  </r>
  <r>
    <x v="26"/>
    <s v="E"/>
    <x v="1"/>
    <x v="1"/>
    <n v="2"/>
  </r>
  <r>
    <x v="27"/>
    <s v="W"/>
    <x v="3"/>
    <x v="0"/>
    <n v="0"/>
  </r>
  <r>
    <x v="28"/>
    <s v="W"/>
    <x v="0"/>
    <x v="0"/>
    <n v="0"/>
  </r>
  <r>
    <x v="29"/>
    <s v="W"/>
    <x v="0"/>
    <x v="2"/>
    <n v="1"/>
  </r>
  <r>
    <x v="30"/>
    <s v="W"/>
    <x v="3"/>
    <x v="0"/>
    <n v="0"/>
  </r>
  <r>
    <x v="31"/>
    <s v="E"/>
    <x v="2"/>
    <x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B8B981-4B84-41D4-A42B-0002F302D57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S58:AG93" firstHeaderRow="1" firstDataRow="3" firstDataCol="1"/>
  <pivotFields count="5">
    <pivotField axis="axisRow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showAll="0"/>
    <pivotField axis="axisCol" showAll="0">
      <items count="5">
        <item x="1"/>
        <item x="3"/>
        <item x="2"/>
        <item x="0"/>
        <item t="default"/>
      </items>
    </pivotField>
    <pivotField axis="axisCol" dataField="1" showAll="0">
      <items count="24">
        <item m="1" x="18"/>
        <item m="1" x="8"/>
        <item m="1" x="14"/>
        <item m="1" x="5"/>
        <item m="1" x="17"/>
        <item m="1" x="16"/>
        <item m="1" x="3"/>
        <item m="1" x="15"/>
        <item m="1" x="19"/>
        <item m="1" x="13"/>
        <item m="1" x="4"/>
        <item m="1" x="7"/>
        <item m="1" x="10"/>
        <item m="1" x="6"/>
        <item m="1" x="11"/>
        <item m="1" x="12"/>
        <item m="1" x="20"/>
        <item m="1" x="9"/>
        <item m="1" x="22"/>
        <item m="1" x="21"/>
        <item x="0"/>
        <item x="1"/>
        <item x="2"/>
        <item t="default"/>
      </items>
    </pivotField>
    <pivotField showAll="0"/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2">
    <field x="2"/>
    <field x="3"/>
  </colFields>
  <colItems count="14">
    <i>
      <x/>
      <x v="20"/>
    </i>
    <i r="1">
      <x v="21"/>
    </i>
    <i t="default">
      <x/>
    </i>
    <i>
      <x v="1"/>
      <x v="20"/>
    </i>
    <i r="1">
      <x v="21"/>
    </i>
    <i t="default">
      <x v="1"/>
    </i>
    <i>
      <x v="2"/>
      <x v="20"/>
    </i>
    <i r="1">
      <x v="21"/>
    </i>
    <i t="default">
      <x v="2"/>
    </i>
    <i>
      <x v="3"/>
      <x v="20"/>
    </i>
    <i r="1">
      <x v="21"/>
    </i>
    <i r="1">
      <x v="22"/>
    </i>
    <i t="default">
      <x v="3"/>
    </i>
    <i t="grand">
      <x/>
    </i>
  </colItems>
  <dataFields count="1">
    <dataField name="Sum of PT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B054025-4CD5-437B-A2B1-4953810278F9}" name="Table2" displayName="Table2" ref="A2:AT1314" headerRowDxfId="936" dataDxfId="934" headerRowBorderDxfId="935">
  <autoFilter ref="A2:AT1314" xr:uid="{5B054025-4CD5-437B-A2B1-4953810278F9}"/>
  <tableColumns count="46">
    <tableColumn id="1" xr3:uid="{4F0EF3E3-5ED2-413B-9486-9498BEF02C85}" name=" PredictionDate" totalsRowLabel="Total" dataDxfId="933" totalsRowDxfId="932"/>
    <tableColumn id="2" xr3:uid="{39F623AD-0A71-404E-ACB2-FF5C232C4B60}" name="GameDate" dataDxfId="931"/>
    <tableColumn id="3" xr3:uid="{F9CBDD2B-6977-478D-B9B1-48132BC29B8D}" name="GameID" dataDxfId="930" totalsRowDxfId="929"/>
    <tableColumn id="4" xr3:uid="{2B6D103E-CF04-4221-A032-6566D087A240}" name="AwayTeam" totalsRowFunction="count" dataDxfId="928" totalsRowDxfId="927"/>
    <tableColumn id="5" xr3:uid="{E9B83039-5C7E-45B4-A5F1-F54DF85D8DB5}" name="HomeTeam" totalsRowFunction="count" dataDxfId="926" totalsRowDxfId="925"/>
    <tableColumn id="6" xr3:uid="{CA60FB2E-C878-4F57-9486-8FFAB21268D1}" name="PredictedAwayScore" totalsRowFunction="count" dataDxfId="924" totalsRowDxfId="923"/>
    <tableColumn id="7" xr3:uid="{BDE84EDC-079B-4057-84F6-42C28780CF56}" name="PredictedHomeScore" totalsRowFunction="count" dataDxfId="922" totalsRowDxfId="921"/>
    <tableColumn id="8" xr3:uid="{AB1145B6-73D2-4952-891E-2532100229DC}" name="PredictedWinner" totalsRowFunction="count" dataDxfId="920" totalsRowDxfId="919"/>
    <tableColumn id="9" xr3:uid="{0FDA5C85-1339-41A1-AEB6-455F4E077F46}" name="PredictedResult" totalsRowFunction="count" dataDxfId="918" totalsRowDxfId="917"/>
    <tableColumn id="10" xr3:uid="{6C6A6DF0-F9AE-4DAF-8957-8621DF7520A2}" name="ActualAwayScore" totalsRowFunction="count" dataDxfId="916"/>
    <tableColumn id="11" xr3:uid="{B8B678E5-1823-43AE-95CC-BEE79D908CEE}" name="ActualHomeScore" totalsRowFunction="count" dataDxfId="915" totalsRowDxfId="914"/>
    <tableColumn id="12" xr3:uid="{C650F2F7-7978-49EE-8737-DCE1A6311E23}" name="ActualWinner" totalsRowFunction="count" dataDxfId="913" totalsRowDxfId="912">
      <calculatedColumnFormula>IF(OR($J3=$K3,AND(ISBLANK($J3),ISBLANK($K3))),"_",IF($J3&gt;$K3,$D3,$E3))</calculatedColumnFormula>
    </tableColumn>
    <tableColumn id="13" xr3:uid="{C3C777BB-B7C0-4722-9240-DAC37612029E}" name="ActualResult" totalsRowFunction="count" dataDxfId="911" totalsRowDxfId="910"/>
    <tableColumn id="17" xr3:uid="{239B68C2-07A2-4506-9EC8-00E52DD7178A}" name="GameIsOver" totalsRowFunction="count" dataDxfId="909" totalsRowDxfId="908">
      <calculatedColumnFormula>IF(ISBLANK(Table2[[#This Row],[ActualResult]]), 0, 1)</calculatedColumnFormula>
    </tableColumn>
    <tableColumn id="14" xr3:uid="{C40BC093-C7BF-4F78-9D28-E8E87FFCAD46}" name="CorrectWinnerPrediction" totalsRowFunction="count" dataDxfId="907" totalsRowDxfId="906">
      <calculatedColumnFormula>IF(ISBLANK(Table2[[#This Row],[ActualResult]]), "_", IF(Table2[[#This Row],[ActualWinner]]=Table2[[#This Row],[PredictedWinner]], "Y", "N"))</calculatedColumnFormula>
    </tableColumn>
    <tableColumn id="15" xr3:uid="{C618B085-5C74-412F-85AA-D89305FDA75C}" name="CorrectAwayScorePrediction" totalsRowFunction="count" dataDxfId="905" totalsRowDxfId="904">
      <calculatedColumnFormula>IF(Table2[[#This Row],[ActualAwayScore]]&gt;Table2[[#This Row],[PredictedAwayScore]], "N", IF(ISBLANK(Table2[[#This Row],[ActualResult]]), "_", IF(Table2[[#This Row],[ActualAwayScore]]=Table2[[#This Row],[PredictedAwayScore]], "Y", "N")))</calculatedColumnFormula>
    </tableColumn>
    <tableColumn id="16" xr3:uid="{7C4F0E40-7EDA-4325-8813-A3960FBAB575}" name="CorrectHomeScorePrediction" totalsRowFunction="count" dataDxfId="903" totalsRowDxfId="902">
      <calculatedColumnFormula>IF(Table2[[#This Row],[ActualHomeScore]]&gt;Table2[[#This Row],[PredictedHomeScore]],"N", IF(ISBLANK(Table2[[#This Row],[ActualResult]]), "_", IF(Table2[[#This Row],[ActualHomeScore]]=Table2[[#This Row],[PredictedHomeScore]], "Y", "N")))</calculatedColumnFormula>
    </tableColumn>
    <tableColumn id="18" xr3:uid="{2C8487CF-838F-422E-B5A2-3A0CC548E50A}" name="WatchedGame" totalsRowFunction="count" dataDxfId="901" totalsRowDxfId="900"/>
    <tableColumn id="19" xr3:uid="{665B4234-0C9B-451F-996C-0671FAEA8ED7}" name="LosingTeam" totalsRowFunction="count" dataDxfId="899" totalsRowDxfId="898">
      <calculatedColumnFormula>IF($L3="_", "_", IF($L3=$D3,$E3,$D3))</calculatedColumnFormula>
    </tableColumn>
    <tableColumn id="20" xr3:uid="{44E37CA6-669F-47CA-95D2-B831EB8B3628}" name="InterConf" totalsRowFunction="count" dataDxfId="897" totalsRowDxfId="896">
      <calculatedColumnFormula>IF(INDEX(StatsRegularSeason20242025!$A$2:$C$33,MATCH(Table2[[#This Row],[AwayTeam]],StatsRegularSeason20242025!$A$2:$A$33,0),2)=INDEX(StatsRegularSeason20242025!$A$2:$C$33,MATCH(Table2[[#This Row],[HomeTeam]],StatsRegularSeason20242025!$A$2:$A$33,0),2),1,0)</calculatedColumnFormula>
    </tableColumn>
    <tableColumn id="21" xr3:uid="{78DE7D6E-6DD5-491B-9FC5-640D6B0B5A42}" name="InterDiv" totalsRowFunction="count" dataDxfId="895" totalsRowDxfId="894">
      <calculatedColumnFormula>IF(INDEX(StatsRegularSeason20242025!$A$2:$C$33,MATCH(Table2[[#This Row],[AwayTeam]],StatsRegularSeason20242025!$A$2:$A$33,0),3)=INDEX(StatsRegularSeason20242025!$A$2:$C$33,MATCH(Table2[[#This Row],[HomeTeam]],StatsRegularSeason20242025!$A$2:$A$33,0),3),1,0)</calculatedColumnFormula>
    </tableColumn>
    <tableColumn id="23" xr3:uid="{BD421287-62E1-4BBF-B3B9-624256FCD683}" name="SameConfDiffDiv" totalsRowFunction="count" dataDxfId="893" totalsRowDxfId="892">
      <calculatedColumnFormula>IF(Table2[[#This Row],[InterConf]]=1,IF(Table2[[#This Row],[InterDiv]]=0, 1, 0), 0)</calculatedColumnFormula>
    </tableColumn>
    <tableColumn id="22" xr3:uid="{CF57AF56-FFCF-4952-BAB8-36DAD7FDF03B}" name="CrossConf" totalsRowFunction="count" dataDxfId="891" totalsRowDxfId="890">
      <calculatedColumnFormula>IF(INDEX(StatsRegularSeason20242025!$A$2:$C$33,MATCH(Table2[[#This Row],[AwayTeam]],StatsRegularSeason20242025!$A$2:$A$33,0),2)&lt;&gt;INDEX(StatsRegularSeason20242025!$A$2:$C$33,MATCH(Table2[[#This Row],[HomeTeam]],StatsRegularSeason20242025!$A$2:$A$33,0),2),1,0)</calculatedColumnFormula>
    </tableColumn>
    <tableColumn id="24" xr3:uid="{90E837FC-37D9-4B73-A78A-B511142146ED}" name="PreGameNotes" totalsRowFunction="count" dataDxfId="889" totalsRowDxfId="888"/>
    <tableColumn id="25" xr3:uid="{5D6968E6-45CE-4B45-818F-1A4B201A39D4}" name="PostGameNotes" totalsRowFunction="count" dataDxfId="887" totalsRowDxfId="886"/>
    <tableColumn id="26" xr3:uid="{4CC012EB-DB6C-4853-A5B9-75650FDCD78B}" name="GameHasShutOut" dataDxfId="885" totalsRowDxfId="884">
      <calculatedColumnFormula>IF(AND(Table2[[#This Row],[GameIsOver]]=1,Table2[[#This Row],[ActualHomeScore]]*Table2[[#This Row],[ActualAwayScore]]=0), 1,0)</calculatedColumnFormula>
    </tableColumn>
    <tableColumn id="30" xr3:uid="{9F2BC698-979E-418D-A635-D09045DEAC35}" name="NewPointsAway" dataDxfId="883" totalsRowDxfId="882">
      <calculatedColumnFormula>IF(Table2[[#This Row],[GameIsOver]]=0,0, IF(Table2[[#This Row],[ActualWinner]]=Table2[[#This Row],[AwayTeam]], 2, IF(OR(Table2[[#This Row],[ActualResult]]="OT", Table2[[#This Row],[ActualResult]]="SO"), 1, 0)))</calculatedColumnFormula>
    </tableColumn>
    <tableColumn id="28" xr3:uid="{346EA37D-2862-434E-B402-5CEB7245248C}" name="NewPointsHome" dataDxfId="881" totalsRowDxfId="880">
      <calculatedColumnFormula>IF(Table2[[#This Row],[GameIsOver]]= 0, 0, IF(Table2[[#This Row],[ActualWinner]]=Table2[[#This Row],[HomeTeam]], 2, IF(OR(Table2[[#This Row],[ActualResult]]="OT", Table2[[#This Row],[ActualResult]]="SO"), 1, 0)))</calculatedColumnFormula>
    </tableColumn>
    <tableColumn id="27" xr3:uid="{5470A758-79E5-488C-A4C8-1FC293C00258}" name="GamePredictionScore" dataDxfId="879" totalsRowDxfId="878">
      <calculatedColumnFormula>(($BF$11)*IF(Table2[[#This Row],[CorrectWinnerPrediction]]="Y", 1, 0))+(($BF$12)*IF(Table2[[#This Row],[CorrectAwayScorePrediction]]="Y", 1, 0))+(($BF$13)*IF(Table2[[#This Row],[CorrectHomeScorePrediction]]="Y", 1, 0))</calculatedColumnFormula>
    </tableColumn>
    <tableColumn id="31" xr3:uid="{4B765D38-7690-40FC-AA0D-1B437759BB0B}" name="GamePredictionScore2" dataDxfId="877" totalsRowDxfId="876">
      <calculatedColumnFormula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calculatedColumnFormula>
    </tableColumn>
    <tableColumn id="29" xr3:uid="{39017A55-D265-4D66-A78B-1407944601E7}" name="Weekday" dataDxfId="875" totalsRowDxfId="874">
      <calculatedColumnFormula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calculatedColumnFormula>
    </tableColumn>
    <tableColumn id="32" xr3:uid="{E3D2BADE-4DC6-45DD-8E40-A8CF4A848499}" name="PredictedAwayScorePlusMinus" dataDxfId="873" totalsRowDxfId="872">
      <calculatedColumnFormula>Table2[[#This Row],[ActualAwayScore]]-Table2[[#This Row],[PredictedAwayScore]]</calculatedColumnFormula>
    </tableColumn>
    <tableColumn id="33" xr3:uid="{6DAB8D33-9AC0-4212-9CC7-EE429158576E}" name="PredictedHomeScorePlusMinus" dataDxfId="871" totalsRowDxfId="870">
      <calculatedColumnFormula>Table2[[#This Row],[ActualHomeScore]]-Table2[[#This Row],[PredictedHomeScore]]</calculatedColumnFormula>
    </tableColumn>
    <tableColumn id="34" xr3:uid="{A99B5A7F-1537-4AAF-9568-8B0736364400}" name="PredictedAwayScorePlusMinusByDate" dataDxfId="869" totalsRowDxfId="868">
      <calculatedColumnFormula>SUMIF($B$3:$B$1315, $B3, $AF$3:$AF$1315)</calculatedColumnFormula>
    </tableColumn>
    <tableColumn id="35" xr3:uid="{438B3C73-5C9F-4061-9177-ADA21EB41F1F}" name="PredictedHomeScorePlusMinusByDate" dataDxfId="867" totalsRowDxfId="866">
      <calculatedColumnFormula>SUMIF($B$3:$B$1315, $B3, $AG$3:$AG$1315)</calculatedColumnFormula>
    </tableColumn>
    <tableColumn id="36" xr3:uid="{4D822B59-35DC-4091-9231-8369AB949EE5}" name="WatchOrder" dataDxfId="865" totalsRowDxfId="864"/>
    <tableColumn id="37" xr3:uid="{B77EE501-1744-4AD0-B258-0585548DBA89}" name="WatchDate" dataDxfId="863" totalsRowDxfId="862"/>
    <tableColumn id="38" xr3:uid="{6E91C3FB-94AE-4E5D-952D-6DEEE0AE52C5}" name="AwayWon" dataDxfId="861" totalsRowDxfId="860">
      <calculatedColumnFormula>IF(Table2[[#This Row],[GameIsOver]]=0,0,IF(Table2[[#This Row],[ActualWinner]]=Table2[[#This Row],[AwayTeam]], 1, 0))</calculatedColumnFormula>
    </tableColumn>
    <tableColumn id="39" xr3:uid="{8C5EB50B-6F82-4CA5-B10D-C226C8E2B357}" name="HomeWon_" dataDxfId="859" totalsRowDxfId="858">
      <calculatedColumnFormula>IF(Table2[[#This Row],[GameIsOver]]=0,0,IF(Table2[[#This Row],[ActualWinner]]=Table2[[#This Row],[HomeTeam]], 1, 0))</calculatedColumnFormula>
    </tableColumn>
    <tableColumn id="40" xr3:uid="{A42264ED-7176-47E8-841D-E620963E19E8}" name="SearchTeamPlays" dataDxfId="857" totalsRowDxfId="856">
      <calculatedColumnFormula>IF(IFERROR(FIND(Table2[[#This Row],[AwayTeam]], _xlfn.TEXTJOIN(";", 1, $BD$31:$BD$40)), 0) &gt; 0, 1, 0) + IF(IFERROR(FIND(Table2[[#This Row],[HomeTeam]], _xlfn.TEXTJOIN(";", 1, $BD$31:$BD$40)), 0) &gt; 0, 1, 0)</calculatedColumnFormula>
    </tableColumn>
    <tableColumn id="41" xr3:uid="{C0D8E96D-C185-4F49-8512-18CC8A612DB7}" name="AwayVsHomeRecord" dataDxfId="855" totalsRowDxfId="854">
      <calculatedColumnFormula>INDEX(Sheet5!$B$2:$AG$33, MATCH(Table2[[#This Row],[AwayTeam]],Sheet5!$A$2:$A$33, 0), MATCH(Table2[[#This Row],[HomeTeam]],Sheet5!$A$2:$A$33, 0))</calculatedColumnFormula>
    </tableColumn>
    <tableColumn id="42" xr3:uid="{E7973E64-6CCA-434A-8807-8C58A713E826}" name="HomeVSAwayRecord" dataDxfId="853" totalsRowDxfId="852">
      <calculatedColumnFormula>INDEX(Sheet5!$B$2:$AG$33, MATCH(Table2[[#This Row],[HomeTeam]],Sheet5!$A$2:$A$33, 0), MATCH(Table2[[#This Row],[AwayTeam]],Sheet5!$A$2:$A$33, 0))</calculatedColumnFormula>
    </tableColumn>
    <tableColumn id="43" xr3:uid="{B5BE424F-46E0-4CF1-839E-661D340672D9}" name="THG_TonyTiger" dataDxfId="851" totalsRowDxfId="850">
      <calculatedColumnFormula>IF(Table2[[#This Row],[GameHasShutOut]], 1, 0)</calculatedColumnFormula>
    </tableColumn>
    <tableColumn id="46" xr3:uid="{BBFBDF87-36DE-484F-86A2-55ABF6AE31FC}" name="THG_80sGame" dataDxfId="849" totalsRowDxfId="848">
      <calculatedColumnFormula>IF(Table2[[#This Row],[ActualAwayScore]] + Table2[[#This Row],[ActualHomeScore]] &gt;= 10, 1, 0)</calculatedColumnFormula>
    </tableColumn>
    <tableColumn id="45" xr3:uid="{0475350F-CA16-4280-BD5A-D74A12C89E26}" name="THG_Extermination" dataDxfId="847" totalsRowDxfId="846">
      <calculatedColumnFormula>IF(ABS(Table2[[#This Row],[ActualAwayScore]]-Table2[[#This Row],[ActualHomeScore]])&gt;=5, 1, 0)</calculatedColumnFormula>
    </tableColumn>
    <tableColumn id="44" xr3:uid="{E90D1320-04A1-4731-90BA-B0E0F99319D9}" name="THG_ChessMatch" dataDxfId="845" totalsRowDxfId="844">
      <calculatedColumnFormula>IF(Table2[[#This Row],[ActualAwayScore]] + Table2[[#This Row],[ActualHomeScore]] &lt;= 3, 1, 0)</calculatedColumnFormula>
    </tableColumn>
  </tableColumns>
  <tableStyleInfo name="TableStyleMedium2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4EEDFCB-ED7A-4BB1-A2EE-67F4F56372D2}" name="Table1" displayName="Table1" ref="A1:AG273" totalsRowShown="0" headerRowDxfId="843" dataDxfId="842">
  <autoFilter ref="A1:AG273" xr:uid="{74EEDFCB-ED7A-4BB1-A2EE-67F4F56372D2}"/>
  <tableColumns count="33">
    <tableColumn id="1" xr3:uid="{A49AAD1C-7D7D-45B8-A139-0779BA31A77E}" name="Date" dataDxfId="841"/>
    <tableColumn id="2" xr3:uid="{730CD6D2-246F-432B-8EEB-0203EE317A26}" name="ANA" dataDxfId="840">
      <calculatedColumnFormula>SUMIFS(Table2[NewPointsAway],Table2[GameDate], "&lt;=" &amp; $A2, Table2[AwayTeam], B$1)+SUMIFS(Table2[NewPointsHome],Table2[GameDate], "&lt;=" &amp; $A2, Table2[HomeTeam], B$1)</calculatedColumnFormula>
    </tableColumn>
    <tableColumn id="3" xr3:uid="{4F0F3843-D93F-48CE-A6F7-195FBA05CDF6}" name="BOS" dataDxfId="839"/>
    <tableColumn id="4" xr3:uid="{87F00FE4-13FE-4967-9AA3-C167D9305BF9}" name="BUF" dataDxfId="838"/>
    <tableColumn id="5" xr3:uid="{E4871159-5731-4550-8344-84BE83ED01F0}" name="CAR" dataDxfId="837"/>
    <tableColumn id="6" xr3:uid="{5725D175-4124-4B24-993F-7A6EFE1491AC}" name="CBJ" dataDxfId="836"/>
    <tableColumn id="7" xr3:uid="{C13EFE5D-116B-45F1-A9D9-40B119CB0AD5}" name="CGY" dataDxfId="835"/>
    <tableColumn id="8" xr3:uid="{64E13E1C-E642-404F-86A4-5519B5259476}" name="CHI" dataDxfId="834"/>
    <tableColumn id="9" xr3:uid="{36E64709-D15B-46B3-A7DE-B98D6486B271}" name="COL" dataDxfId="833"/>
    <tableColumn id="10" xr3:uid="{1CD1FEAC-B353-4165-A857-F8E64B61D6BA}" name="DAL" dataDxfId="832"/>
    <tableColumn id="11" xr3:uid="{23CC1A05-CF3C-41D9-ADFE-F115BEFC985F}" name="DET" dataDxfId="831"/>
    <tableColumn id="12" xr3:uid="{1C5CEC72-E9F1-43F8-A2AB-965A58C697FF}" name="EDM" dataDxfId="830"/>
    <tableColumn id="13" xr3:uid="{CC6E7C18-A903-499F-B324-61FD69F457D3}" name="FLA" dataDxfId="829"/>
    <tableColumn id="14" xr3:uid="{EA30EDB7-6072-42F9-B2C0-5015D88CD405}" name="LAK" dataDxfId="828"/>
    <tableColumn id="15" xr3:uid="{43F59676-0F92-4F04-B89B-D52DE8300412}" name="MIN" dataDxfId="827"/>
    <tableColumn id="16" xr3:uid="{74052D50-F767-4835-96C3-D812137B6B78}" name="MTL" dataDxfId="826"/>
    <tableColumn id="17" xr3:uid="{090B024D-8AC7-4C1B-9B31-4454C3F37CB3}" name="NJD" dataDxfId="825"/>
    <tableColumn id="18" xr3:uid="{526C0944-F465-462A-8ECA-BF074D7EB1DE}" name="NSH" dataDxfId="824"/>
    <tableColumn id="19" xr3:uid="{7C20E30B-1AA1-48BD-A65C-DE528BA72FE6}" name="NYI" dataDxfId="823"/>
    <tableColumn id="20" xr3:uid="{27A2F177-CC7A-4B19-977F-CEA1C51D6C0E}" name="NYR" dataDxfId="822"/>
    <tableColumn id="21" xr3:uid="{073FE83E-0AF1-44C3-AE3C-5BD26992F7D5}" name="OTT" dataDxfId="821"/>
    <tableColumn id="22" xr3:uid="{6370A811-7903-4DD2-9DE8-8D7B816BE146}" name="PHI" dataDxfId="820"/>
    <tableColumn id="23" xr3:uid="{37BEE05D-28D8-4538-8285-29B64599DD4E}" name="PIT" dataDxfId="819"/>
    <tableColumn id="24" xr3:uid="{132755F5-4605-4136-9380-5C1921B33212}" name="SEA" dataDxfId="818"/>
    <tableColumn id="25" xr3:uid="{0468EE05-8CDF-4319-BE9D-D89F14C8E183}" name="SJS" dataDxfId="817"/>
    <tableColumn id="26" xr3:uid="{C0A1252B-B678-413D-B72A-E409CAA4D568}" name="STL" dataDxfId="816"/>
    <tableColumn id="27" xr3:uid="{2FCCA5C4-ADEA-43B2-980E-C95A408B8B92}" name="TBL" dataDxfId="815"/>
    <tableColumn id="28" xr3:uid="{399BA29B-CDF9-4FB4-9C8F-90EF3231D634}" name="TOR" dataDxfId="814"/>
    <tableColumn id="29" xr3:uid="{3FD60A86-C15C-4F59-96BA-7D808B5C7AF7}" name="UTA" dataDxfId="813"/>
    <tableColumn id="30" xr3:uid="{E95E1BF9-F880-45B8-BABE-2E3FFD2EB59F}" name="VAN" dataDxfId="812"/>
    <tableColumn id="31" xr3:uid="{14971F10-0533-4026-A0C3-1CD757193D21}" name="VGK" dataDxfId="811"/>
    <tableColumn id="32" xr3:uid="{78F9574A-44B1-4063-8869-88AD0333E712}" name="WPG" dataDxfId="810"/>
    <tableColumn id="33" xr3:uid="{E013F70D-43E1-4AE8-99B8-77027202A8A5}" name="WSH" dataDxfId="80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A4A11DC-9405-4D6C-9F97-FDF0CCB41A11}" name="Table4" displayName="Table4" ref="A1:JO34" totalsRowCount="1" headerRowDxfId="808" dataDxfId="807">
  <autoFilter ref="A1:JO33" xr:uid="{2A4A11DC-9405-4D6C-9F97-FDF0CCB41A11}"/>
  <sortState xmlns:xlrd2="http://schemas.microsoft.com/office/spreadsheetml/2017/richdata2" ref="A2:JO33">
    <sortCondition ref="B2:B33"/>
    <sortCondition ref="C2:C33"/>
    <sortCondition descending="1" ref="GU2:GU33"/>
  </sortState>
  <tableColumns count="275">
    <tableColumn id="1" xr3:uid="{6A7086D0-711A-41B7-A4B8-9D377B70EC26}" name="Team" totalsRowLabel="Total" dataDxfId="806"/>
    <tableColumn id="274" xr3:uid="{010ED52E-0419-4863-94F8-9AF3356A2738}" name="Conf" dataDxfId="805"/>
    <tableColumn id="275" xr3:uid="{72531E18-55CF-4588-B22F-9093ECF8BF1A}" name="Div" dataDxfId="804"/>
    <tableColumn id="2" xr3:uid="{BD7886D5-3240-48F9-AD10-972D3E8FE85B}" name="2025-10-03" totalsRowFunction="average" dataDxfId="803">
      <calculatedColumnFormula>SUMIFS(DataRegularSeason20242025!$AA$3:$AA$1314,DataRegularSeason20242025!$B$3:$B$1314, "&lt;=" &amp; D$1, DataRegularSeason20242025!$D$3:$D$1314, $A2)+SUMIFS(DataRegularSeason20242025!$AB$3:$AB$1314,DataRegularSeason20242025!$B$3:$B$1314, "&lt;=" &amp; D$1, DataRegularSeason20242025!$E$3:$E$1314, $A2)</calculatedColumnFormula>
    </tableColumn>
    <tableColumn id="3" xr3:uid="{98872052-16D8-4D05-BDBE-D54E37CF6945}" name="2025-10-04" totalsRowFunction="average" dataDxfId="802">
      <calculatedColumnFormula>SUMIFS(DataRegularSeason20242025!$AA$3:$AA$1314,DataRegularSeason20242025!$B$3:$B$1314, "&lt;=" &amp; E$1, DataRegularSeason20242025!$D$3:$D$1314, $A2)+SUMIFS(DataRegularSeason20242025!$AB$3:$AB$1314,DataRegularSeason20242025!$B$3:$B$1314, "&lt;=" &amp; E$1, DataRegularSeason20242025!$E$3:$E$1314, $A2)</calculatedColumnFormula>
    </tableColumn>
    <tableColumn id="4" xr3:uid="{D5ACFDFE-ED1B-4A91-97E1-53311E3027C1}" name="2025-10-05" totalsRowFunction="average" dataDxfId="801">
      <calculatedColumnFormula>SUMIFS(DataRegularSeason20242025!$AA$3:$AA$1314,DataRegularSeason20242025!$B$3:$B$1314, "&lt;=" &amp; F$1, DataRegularSeason20242025!$D$3:$D$1314, $A2)+SUMIFS(DataRegularSeason20242025!$AB$3:$AB$1314,DataRegularSeason20242025!$B$3:$B$1314, "&lt;=" &amp; F$1, DataRegularSeason20242025!$E$3:$E$1314, $A2)</calculatedColumnFormula>
    </tableColumn>
    <tableColumn id="5" xr3:uid="{A356CF2C-0F71-43B2-A14E-A13CE133DCC5}" name="2025-10-06" totalsRowFunction="average" dataDxfId="800">
      <calculatedColumnFormula>SUMIFS(DataRegularSeason20242025!$AA$3:$AA$1314,DataRegularSeason20242025!$B$3:$B$1314, "&lt;=" &amp; G$1, DataRegularSeason20242025!$D$3:$D$1314, $A2)+SUMIFS(DataRegularSeason20242025!$AB$3:$AB$1314,DataRegularSeason20242025!$B$3:$B$1314, "&lt;=" &amp; G$1, DataRegularSeason20242025!$E$3:$E$1314, $A2)</calculatedColumnFormula>
    </tableColumn>
    <tableColumn id="6" xr3:uid="{B95D3FBD-0F27-4BFA-9F98-A94D29B2C0C8}" name="2025-10-07" totalsRowFunction="average" dataDxfId="799">
      <calculatedColumnFormula>SUMIFS(DataRegularSeason20242025!$AA$3:$AA$1314,DataRegularSeason20242025!$B$3:$B$1314, "&lt;=" &amp; H$1, DataRegularSeason20242025!$D$3:$D$1314, $A2)+SUMIFS(DataRegularSeason20242025!$AB$3:$AB$1314,DataRegularSeason20242025!$B$3:$B$1314, "&lt;=" &amp; H$1, DataRegularSeason20242025!$E$3:$E$1314, $A2)</calculatedColumnFormula>
    </tableColumn>
    <tableColumn id="7" xr3:uid="{615E00D5-C751-4DD4-9D8B-D110FDE454F9}" name="2025-10-08" totalsRowFunction="average" dataDxfId="798">
      <calculatedColumnFormula>SUMIFS(DataRegularSeason20242025!$AA$3:$AA$1314,DataRegularSeason20242025!$B$3:$B$1314, "&lt;=" &amp; I$1, DataRegularSeason20242025!$D$3:$D$1314, $A2)+SUMIFS(DataRegularSeason20242025!$AB$3:$AB$1314,DataRegularSeason20242025!$B$3:$B$1314, "&lt;=" &amp; I$1, DataRegularSeason20242025!$E$3:$E$1314, $A2)</calculatedColumnFormula>
    </tableColumn>
    <tableColumn id="8" xr3:uid="{8C265840-7DD3-482E-A38C-56655BAFED80}" name="2025-10-09" totalsRowFunction="average" dataDxfId="797">
      <calculatedColumnFormula>SUMIFS(DataRegularSeason20242025!$AA$3:$AA$1314,DataRegularSeason20242025!$B$3:$B$1314, "&lt;=" &amp; J$1, DataRegularSeason20242025!$D$3:$D$1314, $A2)+SUMIFS(DataRegularSeason20242025!$AB$3:$AB$1314,DataRegularSeason20242025!$B$3:$B$1314, "&lt;=" &amp; J$1, DataRegularSeason20242025!$E$3:$E$1314, $A2)</calculatedColumnFormula>
    </tableColumn>
    <tableColumn id="9" xr3:uid="{77E16772-BE39-4320-B6D0-1FB729516296}" name="2025-10-10" totalsRowFunction="average" dataDxfId="796">
      <calculatedColumnFormula>SUMIFS(DataRegularSeason20242025!$AA$3:$AA$1314,DataRegularSeason20242025!$B$3:$B$1314, "&lt;=" &amp; K$1, DataRegularSeason20242025!$D$3:$D$1314, $A2)+SUMIFS(DataRegularSeason20242025!$AB$3:$AB$1314,DataRegularSeason20242025!$B$3:$B$1314, "&lt;=" &amp; K$1, DataRegularSeason20242025!$E$3:$E$1314, $A2)</calculatedColumnFormula>
    </tableColumn>
    <tableColumn id="10" xr3:uid="{BF068027-B669-435F-8B89-997826EB1736}" name="2025-10-11" totalsRowFunction="average" dataDxfId="795">
      <calculatedColumnFormula>SUMIFS(DataRegularSeason20242025!$AA$3:$AA$1314,DataRegularSeason20242025!$B$3:$B$1314, "&lt;=" &amp; L$1, DataRegularSeason20242025!$D$3:$D$1314, $A2)+SUMIFS(DataRegularSeason20242025!$AB$3:$AB$1314,DataRegularSeason20242025!$B$3:$B$1314, "&lt;=" &amp; L$1, DataRegularSeason20242025!$E$3:$E$1314, $A2)</calculatedColumnFormula>
    </tableColumn>
    <tableColumn id="11" xr3:uid="{6F95A614-148D-46FA-8D42-515195170DA5}" name="2025-10-12" totalsRowFunction="average" dataDxfId="794">
      <calculatedColumnFormula>SUMIFS(DataRegularSeason20242025!$AA$3:$AA$1314,DataRegularSeason20242025!$B$3:$B$1314, "&lt;=" &amp; M$1, DataRegularSeason20242025!$D$3:$D$1314, $A2)+SUMIFS(DataRegularSeason20242025!$AB$3:$AB$1314,DataRegularSeason20242025!$B$3:$B$1314, "&lt;=" &amp; M$1, DataRegularSeason20242025!$E$3:$E$1314, $A2)</calculatedColumnFormula>
    </tableColumn>
    <tableColumn id="12" xr3:uid="{266683A8-AAFE-41A8-B9F7-80A97D2F1A86}" name="2025-10-13" totalsRowFunction="average" dataDxfId="793">
      <calculatedColumnFormula>SUMIFS(DataRegularSeason20242025!$AA$3:$AA$1314,DataRegularSeason20242025!$B$3:$B$1314, "&lt;=" &amp; N$1, DataRegularSeason20242025!$D$3:$D$1314, $A2)+SUMIFS(DataRegularSeason20242025!$AB$3:$AB$1314,DataRegularSeason20242025!$B$3:$B$1314, "&lt;=" &amp; N$1, DataRegularSeason20242025!$E$3:$E$1314, $A2)</calculatedColumnFormula>
    </tableColumn>
    <tableColumn id="13" xr3:uid="{D323786C-FC1E-4608-8DC5-107EC190FA67}" name="2025-10-14" totalsRowFunction="average" dataDxfId="792">
      <calculatedColumnFormula>SUMIFS(DataRegularSeason20242025!$AA$3:$AA$1314,DataRegularSeason20242025!$B$3:$B$1314, "&lt;=" &amp; O$1, DataRegularSeason20242025!$D$3:$D$1314, $A2)+SUMIFS(DataRegularSeason20242025!$AB$3:$AB$1314,DataRegularSeason20242025!$B$3:$B$1314, "&lt;=" &amp; O$1, DataRegularSeason20242025!$E$3:$E$1314, $A2)</calculatedColumnFormula>
    </tableColumn>
    <tableColumn id="14" xr3:uid="{10EA0AA8-0DB3-4C8E-83A6-6AC8BD43E2A1}" name="2025-10-15" totalsRowFunction="average" dataDxfId="791">
      <calculatedColumnFormula>SUMIFS(DataRegularSeason20242025!$AA$3:$AA$1314,DataRegularSeason20242025!$B$3:$B$1314, "&lt;=" &amp; P$1, DataRegularSeason20242025!$D$3:$D$1314, $A2)+SUMIFS(DataRegularSeason20242025!$AB$3:$AB$1314,DataRegularSeason20242025!$B$3:$B$1314, "&lt;=" &amp; P$1, DataRegularSeason20242025!$E$3:$E$1314, $A2)</calculatedColumnFormula>
    </tableColumn>
    <tableColumn id="15" xr3:uid="{DB007DCA-B1C3-4BC0-AB89-888CC72735DB}" name="2025-10-16" totalsRowFunction="average" dataDxfId="790">
      <calculatedColumnFormula>SUMIFS(DataRegularSeason20242025!$AA$3:$AA$1314,DataRegularSeason20242025!$B$3:$B$1314, "&lt;=" &amp; Q$1, DataRegularSeason20242025!$D$3:$D$1314, $A2)+SUMIFS(DataRegularSeason20242025!$AB$3:$AB$1314,DataRegularSeason20242025!$B$3:$B$1314, "&lt;=" &amp; Q$1, DataRegularSeason20242025!$E$3:$E$1314, $A2)</calculatedColumnFormula>
    </tableColumn>
    <tableColumn id="16" xr3:uid="{C4E3B126-6494-441D-A7C5-C6EDECB68881}" name="2025-10-17" totalsRowFunction="average" dataDxfId="789">
      <calculatedColumnFormula>SUMIFS(DataRegularSeason20242025!$AA$3:$AA$1314,DataRegularSeason20242025!$B$3:$B$1314, "&lt;=" &amp; R$1, DataRegularSeason20242025!$D$3:$D$1314, $A2)+SUMIFS(DataRegularSeason20242025!$AB$3:$AB$1314,DataRegularSeason20242025!$B$3:$B$1314, "&lt;=" &amp; R$1, DataRegularSeason20242025!$E$3:$E$1314, $A2)</calculatedColumnFormula>
    </tableColumn>
    <tableColumn id="17" xr3:uid="{B60C321B-62AB-419A-BAF8-E891FE9B36B9}" name="2025-10-18" totalsRowFunction="average" dataDxfId="788">
      <calculatedColumnFormula>SUMIFS(DataRegularSeason20242025!$AA$3:$AA$1314,DataRegularSeason20242025!$B$3:$B$1314, "&lt;=" &amp; S$1, DataRegularSeason20242025!$D$3:$D$1314, $A2)+SUMIFS(DataRegularSeason20242025!$AB$3:$AB$1314,DataRegularSeason20242025!$B$3:$B$1314, "&lt;=" &amp; S$1, DataRegularSeason20242025!$E$3:$E$1314, $A2)</calculatedColumnFormula>
    </tableColumn>
    <tableColumn id="18" xr3:uid="{1105728A-0673-40EE-811A-C3DAA6D6E777}" name="2025-10-19" totalsRowFunction="average" dataDxfId="787">
      <calculatedColumnFormula>SUMIFS(DataRegularSeason20242025!$AA$3:$AA$1314,DataRegularSeason20242025!$B$3:$B$1314, "&lt;=" &amp; T$1, DataRegularSeason20242025!$D$3:$D$1314, $A2)+SUMIFS(DataRegularSeason20242025!$AB$3:$AB$1314,DataRegularSeason20242025!$B$3:$B$1314, "&lt;=" &amp; T$1, DataRegularSeason20242025!$E$3:$E$1314, $A2)</calculatedColumnFormula>
    </tableColumn>
    <tableColumn id="19" xr3:uid="{F2668510-5B78-4284-AA0A-9CBE65D63E66}" name="2025-10-20" totalsRowFunction="average" dataDxfId="786">
      <calculatedColumnFormula>SUMIFS(DataRegularSeason20242025!$AA$3:$AA$1314,DataRegularSeason20242025!$B$3:$B$1314, "&lt;=" &amp; U$1, DataRegularSeason20242025!$D$3:$D$1314, $A2)+SUMIFS(DataRegularSeason20242025!$AB$3:$AB$1314,DataRegularSeason20242025!$B$3:$B$1314, "&lt;=" &amp; U$1, DataRegularSeason20242025!$E$3:$E$1314, $A2)</calculatedColumnFormula>
    </tableColumn>
    <tableColumn id="20" xr3:uid="{580C97A8-3CD3-4165-B591-83027D120B9A}" name="2025-10-21" totalsRowFunction="average" dataDxfId="785">
      <calculatedColumnFormula>SUMIFS(DataRegularSeason20242025!$AA$3:$AA$1314,DataRegularSeason20242025!$B$3:$B$1314, "&lt;=" &amp; V$1, DataRegularSeason20242025!$D$3:$D$1314, $A2)+SUMIFS(DataRegularSeason20242025!$AB$3:$AB$1314,DataRegularSeason20242025!$B$3:$B$1314, "&lt;=" &amp; V$1, DataRegularSeason20242025!$E$3:$E$1314, $A2)</calculatedColumnFormula>
    </tableColumn>
    <tableColumn id="21" xr3:uid="{8123FFB0-AEAA-4E5D-A769-79C111873BF4}" name="2025-10-22" totalsRowFunction="average" dataDxfId="784">
      <calculatedColumnFormula>SUMIFS(DataRegularSeason20242025!$AA$3:$AA$1314,DataRegularSeason20242025!$B$3:$B$1314, "&lt;=" &amp; W$1, DataRegularSeason20242025!$D$3:$D$1314, $A2)+SUMIFS(DataRegularSeason20242025!$AB$3:$AB$1314,DataRegularSeason20242025!$B$3:$B$1314, "&lt;=" &amp; W$1, DataRegularSeason20242025!$E$3:$E$1314, $A2)</calculatedColumnFormula>
    </tableColumn>
    <tableColumn id="22" xr3:uid="{7C205C36-288E-4FA6-9D90-C4748C1C2609}" name="2025-10-23" totalsRowFunction="average" dataDxfId="783">
      <calculatedColumnFormula>SUMIFS(DataRegularSeason20242025!$AA$3:$AA$1314,DataRegularSeason20242025!$B$3:$B$1314, "&lt;=" &amp; X$1, DataRegularSeason20242025!$D$3:$D$1314, $A2)+SUMIFS(DataRegularSeason20242025!$AB$3:$AB$1314,DataRegularSeason20242025!$B$3:$B$1314, "&lt;=" &amp; X$1, DataRegularSeason20242025!$E$3:$E$1314, $A2)</calculatedColumnFormula>
    </tableColumn>
    <tableColumn id="23" xr3:uid="{AE7E17DD-0AED-40B5-B1E9-D21DFD82C613}" name="2025-10-24" totalsRowFunction="average" dataDxfId="782">
      <calculatedColumnFormula>SUMIFS(DataRegularSeason20242025!$AA$3:$AA$1314,DataRegularSeason20242025!$B$3:$B$1314, "&lt;=" &amp; Y$1, DataRegularSeason20242025!$D$3:$D$1314, $A2)+SUMIFS(DataRegularSeason20242025!$AB$3:$AB$1314,DataRegularSeason20242025!$B$3:$B$1314, "&lt;=" &amp; Y$1, DataRegularSeason20242025!$E$3:$E$1314, $A2)</calculatedColumnFormula>
    </tableColumn>
    <tableColumn id="24" xr3:uid="{A8E04E8B-8CB6-4F89-9DA3-F9F2A9368AAE}" name="2025-10-25" totalsRowFunction="average" dataDxfId="781">
      <calculatedColumnFormula>SUMIFS(DataRegularSeason20242025!$AA$3:$AA$1314,DataRegularSeason20242025!$B$3:$B$1314, "&lt;=" &amp; Z$1, DataRegularSeason20242025!$D$3:$D$1314, $A2)+SUMIFS(DataRegularSeason20242025!$AB$3:$AB$1314,DataRegularSeason20242025!$B$3:$B$1314, "&lt;=" &amp; Z$1, DataRegularSeason20242025!$E$3:$E$1314, $A2)</calculatedColumnFormula>
    </tableColumn>
    <tableColumn id="25" xr3:uid="{654DFB94-6B2E-40D1-AA9B-65A51F25CAD4}" name="2025-10-26" totalsRowFunction="average" dataDxfId="780">
      <calculatedColumnFormula>SUMIFS(DataRegularSeason20242025!$AA$3:$AA$1314,DataRegularSeason20242025!$B$3:$B$1314, "&lt;=" &amp; AA$1, DataRegularSeason20242025!$D$3:$D$1314, $A2)+SUMIFS(DataRegularSeason20242025!$AB$3:$AB$1314,DataRegularSeason20242025!$B$3:$B$1314, "&lt;=" &amp; AA$1, DataRegularSeason20242025!$E$3:$E$1314, $A2)</calculatedColumnFormula>
    </tableColumn>
    <tableColumn id="26" xr3:uid="{8C2555ED-7616-4B53-A26C-3F2A23098B5F}" name="2025-10-27" totalsRowFunction="average" dataDxfId="779">
      <calculatedColumnFormula>SUMIFS(DataRegularSeason20242025!$AA$3:$AA$1314,DataRegularSeason20242025!$B$3:$B$1314, "&lt;=" &amp; AB$1, DataRegularSeason20242025!$D$3:$D$1314, $A2)+SUMIFS(DataRegularSeason20242025!$AB$3:$AB$1314,DataRegularSeason20242025!$B$3:$B$1314, "&lt;=" &amp; AB$1, DataRegularSeason20242025!$E$3:$E$1314, $A2)</calculatedColumnFormula>
    </tableColumn>
    <tableColumn id="27" xr3:uid="{47843C4F-1DC6-40D5-8DD4-7D2A8AED524D}" name="2025-10-28" totalsRowFunction="average" dataDxfId="778">
      <calculatedColumnFormula>SUMIFS(DataRegularSeason20242025!$AA$3:$AA$1314,DataRegularSeason20242025!$B$3:$B$1314, "&lt;=" &amp; AC$1, DataRegularSeason20242025!$D$3:$D$1314, $A2)+SUMIFS(DataRegularSeason20242025!$AB$3:$AB$1314,DataRegularSeason20242025!$B$3:$B$1314, "&lt;=" &amp; AC$1, DataRegularSeason20242025!$E$3:$E$1314, $A2)</calculatedColumnFormula>
    </tableColumn>
    <tableColumn id="28" xr3:uid="{84ADAE9F-4348-4478-B7D7-E62908F64F4A}" name="2025-10-29" totalsRowFunction="average" dataDxfId="777">
      <calculatedColumnFormula>SUMIFS(DataRegularSeason20242025!$AA$3:$AA$1314,DataRegularSeason20242025!$B$3:$B$1314, "&lt;=" &amp; AD$1, DataRegularSeason20242025!$D$3:$D$1314, $A2)+SUMIFS(DataRegularSeason20242025!$AB$3:$AB$1314,DataRegularSeason20242025!$B$3:$B$1314, "&lt;=" &amp; AD$1, DataRegularSeason20242025!$E$3:$E$1314, $A2)</calculatedColumnFormula>
    </tableColumn>
    <tableColumn id="29" xr3:uid="{567DFD2D-DBC8-4AC5-9A82-340A1E4F4F3F}" name="2025-10-30" totalsRowFunction="average" dataDxfId="776">
      <calculatedColumnFormula>SUMIFS(DataRegularSeason20242025!$AA$3:$AA$1314,DataRegularSeason20242025!$B$3:$B$1314, "&lt;=" &amp; AE$1, DataRegularSeason20242025!$D$3:$D$1314, $A2)+SUMIFS(DataRegularSeason20242025!$AB$3:$AB$1314,DataRegularSeason20242025!$B$3:$B$1314, "&lt;=" &amp; AE$1, DataRegularSeason20242025!$E$3:$E$1314, $A2)</calculatedColumnFormula>
    </tableColumn>
    <tableColumn id="30" xr3:uid="{24678FE0-D8A8-48BB-8003-91BAC9CAF45C}" name="2025-10-31" totalsRowFunction="average" dataDxfId="775">
      <calculatedColumnFormula>SUMIFS(DataRegularSeason20242025!$AA$3:$AA$1314,DataRegularSeason20242025!$B$3:$B$1314, "&lt;=" &amp; AF$1, DataRegularSeason20242025!$D$3:$D$1314, $A2)+SUMIFS(DataRegularSeason20242025!$AB$3:$AB$1314,DataRegularSeason20242025!$B$3:$B$1314, "&lt;=" &amp; AF$1, DataRegularSeason20242025!$E$3:$E$1314, $A2)</calculatedColumnFormula>
    </tableColumn>
    <tableColumn id="31" xr3:uid="{2ED49638-4D8B-4061-A51D-A53AC5E086BB}" name="2025-11-01" totalsRowFunction="average" dataDxfId="774">
      <calculatedColumnFormula>SUMIFS(DataRegularSeason20242025!$AA$3:$AA$1314,DataRegularSeason20242025!$B$3:$B$1314, "&lt;=" &amp; AG$1, DataRegularSeason20242025!$D$3:$D$1314, $A2)+SUMIFS(DataRegularSeason20242025!$AB$3:$AB$1314,DataRegularSeason20242025!$B$3:$B$1314, "&lt;=" &amp; AG$1, DataRegularSeason20242025!$E$3:$E$1314, $A2)</calculatedColumnFormula>
    </tableColumn>
    <tableColumn id="32" xr3:uid="{B92E68DF-6D47-4947-8E2C-943FDC61DFBB}" name="2025-11-02" totalsRowFunction="average" dataDxfId="773">
      <calculatedColumnFormula>SUMIFS(DataRegularSeason20242025!$AA$3:$AA$1314,DataRegularSeason20242025!$B$3:$B$1314, "&lt;=" &amp; AH$1, DataRegularSeason20242025!$D$3:$D$1314, $A2)+SUMIFS(DataRegularSeason20242025!$AB$3:$AB$1314,DataRegularSeason20242025!$B$3:$B$1314, "&lt;=" &amp; AH$1, DataRegularSeason20242025!$E$3:$E$1314, $A2)</calculatedColumnFormula>
    </tableColumn>
    <tableColumn id="33" xr3:uid="{E1DF895E-61D7-4B18-B587-7D64FE11C0DA}" name="2025-11-03" totalsRowFunction="average" dataDxfId="772">
      <calculatedColumnFormula>SUMIFS(DataRegularSeason20242025!$AA$3:$AA$1314,DataRegularSeason20242025!$B$3:$B$1314, "&lt;=" &amp; AI$1, DataRegularSeason20242025!$D$3:$D$1314, $A2)+SUMIFS(DataRegularSeason20242025!$AB$3:$AB$1314,DataRegularSeason20242025!$B$3:$B$1314, "&lt;=" &amp; AI$1, DataRegularSeason20242025!$E$3:$E$1314, $A2)</calculatedColumnFormula>
    </tableColumn>
    <tableColumn id="34" xr3:uid="{BC0CDC0E-2823-475D-9D32-E83A07748A3E}" name="2025-11-04" totalsRowFunction="average" dataDxfId="771">
      <calculatedColumnFormula>SUMIFS(DataRegularSeason20242025!$AA$3:$AA$1314,DataRegularSeason20242025!$B$3:$B$1314, "&lt;=" &amp; AJ$1, DataRegularSeason20242025!$D$3:$D$1314, $A2)+SUMIFS(DataRegularSeason20242025!$AB$3:$AB$1314,DataRegularSeason20242025!$B$3:$B$1314, "&lt;=" &amp; AJ$1, DataRegularSeason20242025!$E$3:$E$1314, $A2)</calculatedColumnFormula>
    </tableColumn>
    <tableColumn id="35" xr3:uid="{5FA69CE6-1C9F-4DF5-850D-7F9173B564F2}" name="2025-11-05" totalsRowFunction="average" dataDxfId="770">
      <calculatedColumnFormula>SUMIFS(DataRegularSeason20242025!$AA$3:$AA$1314,DataRegularSeason20242025!$B$3:$B$1314, "&lt;=" &amp; AK$1, DataRegularSeason20242025!$D$3:$D$1314, $A2)+SUMIFS(DataRegularSeason20242025!$AB$3:$AB$1314,DataRegularSeason20242025!$B$3:$B$1314, "&lt;=" &amp; AK$1, DataRegularSeason20242025!$E$3:$E$1314, $A2)</calculatedColumnFormula>
    </tableColumn>
    <tableColumn id="36" xr3:uid="{AF9675FF-F877-41A8-ABB1-0F0284F51706}" name="2025-11-06" totalsRowFunction="average" dataDxfId="769">
      <calculatedColumnFormula>SUMIFS(DataRegularSeason20242025!$AA$3:$AA$1314,DataRegularSeason20242025!$B$3:$B$1314, "&lt;=" &amp; AL$1, DataRegularSeason20242025!$D$3:$D$1314, $A2)+SUMIFS(DataRegularSeason20242025!$AB$3:$AB$1314,DataRegularSeason20242025!$B$3:$B$1314, "&lt;=" &amp; AL$1, DataRegularSeason20242025!$E$3:$E$1314, $A2)</calculatedColumnFormula>
    </tableColumn>
    <tableColumn id="37" xr3:uid="{38505C0A-B69D-4B15-8701-259E07616D3B}" name="2025-11-07" totalsRowFunction="average" dataDxfId="768">
      <calculatedColumnFormula>SUMIFS(DataRegularSeason20242025!$AA$3:$AA$1314,DataRegularSeason20242025!$B$3:$B$1314, "&lt;=" &amp; AM$1, DataRegularSeason20242025!$D$3:$D$1314, $A2)+SUMIFS(DataRegularSeason20242025!$AB$3:$AB$1314,DataRegularSeason20242025!$B$3:$B$1314, "&lt;=" &amp; AM$1, DataRegularSeason20242025!$E$3:$E$1314, $A2)</calculatedColumnFormula>
    </tableColumn>
    <tableColumn id="38" xr3:uid="{E434E468-D74B-4637-BFE5-E9CF7094BEB3}" name="2025-11-08" totalsRowFunction="average" dataDxfId="767">
      <calculatedColumnFormula>SUMIFS(DataRegularSeason20242025!$AA$3:$AA$1314,DataRegularSeason20242025!$B$3:$B$1314, "&lt;=" &amp; AN$1, DataRegularSeason20242025!$D$3:$D$1314, $A2)+SUMIFS(DataRegularSeason20242025!$AB$3:$AB$1314,DataRegularSeason20242025!$B$3:$B$1314, "&lt;=" &amp; AN$1, DataRegularSeason20242025!$E$3:$E$1314, $A2)</calculatedColumnFormula>
    </tableColumn>
    <tableColumn id="39" xr3:uid="{F356F8F7-22A0-43E3-A40B-69F4B94399B3}" name="2025-11-09" totalsRowFunction="average" dataDxfId="766">
      <calculatedColumnFormula>SUMIFS(DataRegularSeason20242025!$AA$3:$AA$1314,DataRegularSeason20242025!$B$3:$B$1314, "&lt;=" &amp; AO$1, DataRegularSeason20242025!$D$3:$D$1314, $A2)+SUMIFS(DataRegularSeason20242025!$AB$3:$AB$1314,DataRegularSeason20242025!$B$3:$B$1314, "&lt;=" &amp; AO$1, DataRegularSeason20242025!$E$3:$E$1314, $A2)</calculatedColumnFormula>
    </tableColumn>
    <tableColumn id="40" xr3:uid="{7C173272-B556-4AA0-8050-A0A15ED20ABB}" name="2025-11-10" totalsRowFunction="average" dataDxfId="765">
      <calculatedColumnFormula>SUMIFS(DataRegularSeason20242025!$AA$3:$AA$1314,DataRegularSeason20242025!$B$3:$B$1314, "&lt;=" &amp; AP$1, DataRegularSeason20242025!$D$3:$D$1314, $A2)+SUMIFS(DataRegularSeason20242025!$AB$3:$AB$1314,DataRegularSeason20242025!$B$3:$B$1314, "&lt;=" &amp; AP$1, DataRegularSeason20242025!$E$3:$E$1314, $A2)</calculatedColumnFormula>
    </tableColumn>
    <tableColumn id="41" xr3:uid="{759B593C-F00D-49CD-AA69-B8A88B37054D}" name="2025-11-11" totalsRowFunction="average" dataDxfId="764">
      <calculatedColumnFormula>SUMIFS(DataRegularSeason20242025!$AA$3:$AA$1314,DataRegularSeason20242025!$B$3:$B$1314, "&lt;=" &amp; AQ$1, DataRegularSeason20242025!$D$3:$D$1314, $A2)+SUMIFS(DataRegularSeason20242025!$AB$3:$AB$1314,DataRegularSeason20242025!$B$3:$B$1314, "&lt;=" &amp; AQ$1, DataRegularSeason20242025!$E$3:$E$1314, $A2)</calculatedColumnFormula>
    </tableColumn>
    <tableColumn id="42" xr3:uid="{24678BB6-74BB-4018-B1DA-FFF88F1000A3}" name="2025-11-12" totalsRowFunction="average" dataDxfId="763">
      <calculatedColumnFormula>SUMIFS(DataRegularSeason20242025!$AA$3:$AA$1314,DataRegularSeason20242025!$B$3:$B$1314, "&lt;=" &amp; AR$1, DataRegularSeason20242025!$D$3:$D$1314, $A2)+SUMIFS(DataRegularSeason20242025!$AB$3:$AB$1314,DataRegularSeason20242025!$B$3:$B$1314, "&lt;=" &amp; AR$1, DataRegularSeason20242025!$E$3:$E$1314, $A2)</calculatedColumnFormula>
    </tableColumn>
    <tableColumn id="43" xr3:uid="{EE285D9A-6BD3-4FCE-B9FD-A092A39B93F6}" name="2025-11-13" totalsRowFunction="average" dataDxfId="762">
      <calculatedColumnFormula>SUMIFS(DataRegularSeason20242025!$AA$3:$AA$1314,DataRegularSeason20242025!$B$3:$B$1314, "&lt;=" &amp; AS$1, DataRegularSeason20242025!$D$3:$D$1314, $A2)+SUMIFS(DataRegularSeason20242025!$AB$3:$AB$1314,DataRegularSeason20242025!$B$3:$B$1314, "&lt;=" &amp; AS$1, DataRegularSeason20242025!$E$3:$E$1314, $A2)</calculatedColumnFormula>
    </tableColumn>
    <tableColumn id="44" xr3:uid="{B694F843-AF45-4D34-8EC5-69CB944019F8}" name="2025-11-14" totalsRowFunction="average" dataDxfId="761">
      <calculatedColumnFormula>SUMIFS(DataRegularSeason20242025!$AA$3:$AA$1314,DataRegularSeason20242025!$B$3:$B$1314, "&lt;=" &amp; AT$1, DataRegularSeason20242025!$D$3:$D$1314, $A2)+SUMIFS(DataRegularSeason20242025!$AB$3:$AB$1314,DataRegularSeason20242025!$B$3:$B$1314, "&lt;=" &amp; AT$1, DataRegularSeason20242025!$E$3:$E$1314, $A2)</calculatedColumnFormula>
    </tableColumn>
    <tableColumn id="45" xr3:uid="{C5584BCF-C922-476A-B7B9-0B329D3BF2D8}" name="2025-11-15" totalsRowFunction="average" dataDxfId="760">
      <calculatedColumnFormula>SUMIFS(DataRegularSeason20242025!$AA$3:$AA$1314,DataRegularSeason20242025!$B$3:$B$1314, "&lt;=" &amp; AU$1, DataRegularSeason20242025!$D$3:$D$1314, $A2)+SUMIFS(DataRegularSeason20242025!$AB$3:$AB$1314,DataRegularSeason20242025!$B$3:$B$1314, "&lt;=" &amp; AU$1, DataRegularSeason20242025!$E$3:$E$1314, $A2)</calculatedColumnFormula>
    </tableColumn>
    <tableColumn id="46" xr3:uid="{B6DB5E6F-3C1F-4B47-957B-A0B97F61D5DD}" name="2025-11-16" totalsRowFunction="average" dataDxfId="759">
      <calculatedColumnFormula>SUMIFS(DataRegularSeason20242025!$AA$3:$AA$1314,DataRegularSeason20242025!$B$3:$B$1314, "&lt;=" &amp; AV$1, DataRegularSeason20242025!$D$3:$D$1314, $A2)+SUMIFS(DataRegularSeason20242025!$AB$3:$AB$1314,DataRegularSeason20242025!$B$3:$B$1314, "&lt;=" &amp; AV$1, DataRegularSeason20242025!$E$3:$E$1314, $A2)</calculatedColumnFormula>
    </tableColumn>
    <tableColumn id="47" xr3:uid="{69E22271-475A-4990-BADA-E71895865FF2}" name="2025-11-17" totalsRowFunction="average" dataDxfId="758">
      <calculatedColumnFormula>SUMIFS(DataRegularSeason20242025!$AA$3:$AA$1314,DataRegularSeason20242025!$B$3:$B$1314, "&lt;=" &amp; AW$1, DataRegularSeason20242025!$D$3:$D$1314, $A2)+SUMIFS(DataRegularSeason20242025!$AB$3:$AB$1314,DataRegularSeason20242025!$B$3:$B$1314, "&lt;=" &amp; AW$1, DataRegularSeason20242025!$E$3:$E$1314, $A2)</calculatedColumnFormula>
    </tableColumn>
    <tableColumn id="48" xr3:uid="{CC2A82C5-924F-456F-9096-5CD18123AFBB}" name="2025-11-18" totalsRowFunction="average" dataDxfId="757">
      <calculatedColumnFormula>SUMIFS(DataRegularSeason20242025!$AA$3:$AA$1314,DataRegularSeason20242025!$B$3:$B$1314, "&lt;=" &amp; AX$1, DataRegularSeason20242025!$D$3:$D$1314, $A2)+SUMIFS(DataRegularSeason20242025!$AB$3:$AB$1314,DataRegularSeason20242025!$B$3:$B$1314, "&lt;=" &amp; AX$1, DataRegularSeason20242025!$E$3:$E$1314, $A2)</calculatedColumnFormula>
    </tableColumn>
    <tableColumn id="49" xr3:uid="{F2BAED3E-3E15-4CED-9FEE-4DF119C73226}" name="2025-11-19" totalsRowFunction="average" dataDxfId="756">
      <calculatedColumnFormula>SUMIFS(DataRegularSeason20242025!$AA$3:$AA$1314,DataRegularSeason20242025!$B$3:$B$1314, "&lt;=" &amp; AY$1, DataRegularSeason20242025!$D$3:$D$1314, $A2)+SUMIFS(DataRegularSeason20242025!$AB$3:$AB$1314,DataRegularSeason20242025!$B$3:$B$1314, "&lt;=" &amp; AY$1, DataRegularSeason20242025!$E$3:$E$1314, $A2)</calculatedColumnFormula>
    </tableColumn>
    <tableColumn id="50" xr3:uid="{BB0F28AB-E508-4687-B375-8E41078ADA7F}" name="2025-11-20" totalsRowFunction="average" dataDxfId="755">
      <calculatedColumnFormula>SUMIFS(DataRegularSeason20242025!$AA$3:$AA$1314,DataRegularSeason20242025!$B$3:$B$1314, "&lt;=" &amp; AZ$1, DataRegularSeason20242025!$D$3:$D$1314, $A2)+SUMIFS(DataRegularSeason20242025!$AB$3:$AB$1314,DataRegularSeason20242025!$B$3:$B$1314, "&lt;=" &amp; AZ$1, DataRegularSeason20242025!$E$3:$E$1314, $A2)</calculatedColumnFormula>
    </tableColumn>
    <tableColumn id="51" xr3:uid="{3FAC5280-4BC5-4551-AEF8-33703681749E}" name="2025-11-21" totalsRowFunction="average" dataDxfId="754">
      <calculatedColumnFormula>SUMIFS(DataRegularSeason20242025!$AA$3:$AA$1314,DataRegularSeason20242025!$B$3:$B$1314, "&lt;=" &amp; BA$1, DataRegularSeason20242025!$D$3:$D$1314, $A2)+SUMIFS(DataRegularSeason20242025!$AB$3:$AB$1314,DataRegularSeason20242025!$B$3:$B$1314, "&lt;=" &amp; BA$1, DataRegularSeason20242025!$E$3:$E$1314, $A2)</calculatedColumnFormula>
    </tableColumn>
    <tableColumn id="52" xr3:uid="{A7227F21-1546-429E-8503-F1DCD292C9E4}" name="2025-11-22" totalsRowFunction="average" dataDxfId="753">
      <calculatedColumnFormula>SUMIFS(DataRegularSeason20242025!$AA$3:$AA$1314,DataRegularSeason20242025!$B$3:$B$1314, "&lt;=" &amp; BB$1, DataRegularSeason20242025!$D$3:$D$1314, $A2)+SUMIFS(DataRegularSeason20242025!$AB$3:$AB$1314,DataRegularSeason20242025!$B$3:$B$1314, "&lt;=" &amp; BB$1, DataRegularSeason20242025!$E$3:$E$1314, $A2)</calculatedColumnFormula>
    </tableColumn>
    <tableColumn id="53" xr3:uid="{BEAD8B65-B5C3-498D-90CA-9C1FB2C8C086}" name="2025-11-23" totalsRowFunction="average" dataDxfId="752">
      <calculatedColumnFormula>SUMIFS(DataRegularSeason20242025!$AA$3:$AA$1314,DataRegularSeason20242025!$B$3:$B$1314, "&lt;=" &amp; BC$1, DataRegularSeason20242025!$D$3:$D$1314, $A2)+SUMIFS(DataRegularSeason20242025!$AB$3:$AB$1314,DataRegularSeason20242025!$B$3:$B$1314, "&lt;=" &amp; BC$1, DataRegularSeason20242025!$E$3:$E$1314, $A2)</calculatedColumnFormula>
    </tableColumn>
    <tableColumn id="54" xr3:uid="{53742A36-0FAF-4662-ABAB-3E6F2FFF8D97}" name="2025-11-24" totalsRowFunction="average" dataDxfId="751">
      <calculatedColumnFormula>SUMIFS(DataRegularSeason20242025!$AA$3:$AA$1314,DataRegularSeason20242025!$B$3:$B$1314, "&lt;=" &amp; BD$1, DataRegularSeason20242025!$D$3:$D$1314, $A2)+SUMIFS(DataRegularSeason20242025!$AB$3:$AB$1314,DataRegularSeason20242025!$B$3:$B$1314, "&lt;=" &amp; BD$1, DataRegularSeason20242025!$E$3:$E$1314, $A2)</calculatedColumnFormula>
    </tableColumn>
    <tableColumn id="55" xr3:uid="{F28F73D7-4563-4BEA-B5C0-052490B7A5CB}" name="2025-11-25" totalsRowFunction="average" dataDxfId="750">
      <calculatedColumnFormula>SUMIFS(DataRegularSeason20242025!$AA$3:$AA$1314,DataRegularSeason20242025!$B$3:$B$1314, "&lt;=" &amp; BE$1, DataRegularSeason20242025!$D$3:$D$1314, $A2)+SUMIFS(DataRegularSeason20242025!$AB$3:$AB$1314,DataRegularSeason20242025!$B$3:$B$1314, "&lt;=" &amp; BE$1, DataRegularSeason20242025!$E$3:$E$1314, $A2)</calculatedColumnFormula>
    </tableColumn>
    <tableColumn id="56" xr3:uid="{ADDEC79F-70CA-47A3-A354-CE508C58D577}" name="2025-11-26" totalsRowFunction="average" dataDxfId="749">
      <calculatedColumnFormula>SUMIFS(DataRegularSeason20242025!$AA$3:$AA$1314,DataRegularSeason20242025!$B$3:$B$1314, "&lt;=" &amp; BF$1, DataRegularSeason20242025!$D$3:$D$1314, $A2)+SUMIFS(DataRegularSeason20242025!$AB$3:$AB$1314,DataRegularSeason20242025!$B$3:$B$1314, "&lt;=" &amp; BF$1, DataRegularSeason20242025!$E$3:$E$1314, $A2)</calculatedColumnFormula>
    </tableColumn>
    <tableColumn id="57" xr3:uid="{CB2CA39B-3184-4D8E-86F7-ACC5A0E6BFC7}" name="2025-11-27" totalsRowFunction="average" dataDxfId="748">
      <calculatedColumnFormula>SUMIFS(DataRegularSeason20242025!$AA$3:$AA$1314,DataRegularSeason20242025!$B$3:$B$1314, "&lt;=" &amp; BG$1, DataRegularSeason20242025!$D$3:$D$1314, $A2)+SUMIFS(DataRegularSeason20242025!$AB$3:$AB$1314,DataRegularSeason20242025!$B$3:$B$1314, "&lt;=" &amp; BG$1, DataRegularSeason20242025!$E$3:$E$1314, $A2)</calculatedColumnFormula>
    </tableColumn>
    <tableColumn id="58" xr3:uid="{864F055F-1F21-4BA8-A425-C414ED0B8519}" name="2025-11-28" totalsRowFunction="average" dataDxfId="747">
      <calculatedColumnFormula>SUMIFS(DataRegularSeason20242025!$AA$3:$AA$1314,DataRegularSeason20242025!$B$3:$B$1314, "&lt;=" &amp; BH$1, DataRegularSeason20242025!$D$3:$D$1314, $A2)+SUMIFS(DataRegularSeason20242025!$AB$3:$AB$1314,DataRegularSeason20242025!$B$3:$B$1314, "&lt;=" &amp; BH$1, DataRegularSeason20242025!$E$3:$E$1314, $A2)</calculatedColumnFormula>
    </tableColumn>
    <tableColumn id="59" xr3:uid="{92BFB5D7-C970-4F1A-9B77-FF9C5585F6F0}" name="2025-11-29" totalsRowFunction="average" dataDxfId="746">
      <calculatedColumnFormula>SUMIFS(DataRegularSeason20242025!$AA$3:$AA$1314,DataRegularSeason20242025!$B$3:$B$1314, "&lt;=" &amp; BI$1, DataRegularSeason20242025!$D$3:$D$1314, $A2)+SUMIFS(DataRegularSeason20242025!$AB$3:$AB$1314,DataRegularSeason20242025!$B$3:$B$1314, "&lt;=" &amp; BI$1, DataRegularSeason20242025!$E$3:$E$1314, $A2)</calculatedColumnFormula>
    </tableColumn>
    <tableColumn id="60" xr3:uid="{8DE9FAA1-2B40-418E-8201-E74E39A755E9}" name="2025-11-30" totalsRowFunction="average" dataDxfId="745">
      <calculatedColumnFormula>SUMIFS(DataRegularSeason20242025!$AA$3:$AA$1314,DataRegularSeason20242025!$B$3:$B$1314, "&lt;=" &amp; BJ$1, DataRegularSeason20242025!$D$3:$D$1314, $A2)+SUMIFS(DataRegularSeason20242025!$AB$3:$AB$1314,DataRegularSeason20242025!$B$3:$B$1314, "&lt;=" &amp; BJ$1, DataRegularSeason20242025!$E$3:$E$1314, $A2)</calculatedColumnFormula>
    </tableColumn>
    <tableColumn id="61" xr3:uid="{B342B5C6-0BD3-4158-9BC7-1F872AA72767}" name="2025-12-01" totalsRowFunction="average" dataDxfId="744">
      <calculatedColumnFormula>SUMIFS(DataRegularSeason20242025!$AA$3:$AA$1314,DataRegularSeason20242025!$B$3:$B$1314, "&lt;=" &amp; BK$1, DataRegularSeason20242025!$D$3:$D$1314, $A2)+SUMIFS(DataRegularSeason20242025!$AB$3:$AB$1314,DataRegularSeason20242025!$B$3:$B$1314, "&lt;=" &amp; BK$1, DataRegularSeason20242025!$E$3:$E$1314, $A2)</calculatedColumnFormula>
    </tableColumn>
    <tableColumn id="62" xr3:uid="{E4627D1E-0EF2-4B0B-894D-0C5E66704490}" name="2025-12-02" totalsRowFunction="average" dataDxfId="743">
      <calculatedColumnFormula>SUMIFS(DataRegularSeason20242025!$AA$3:$AA$1314,DataRegularSeason20242025!$B$3:$B$1314, "&lt;=" &amp; BL$1, DataRegularSeason20242025!$D$3:$D$1314, $A2)+SUMIFS(DataRegularSeason20242025!$AB$3:$AB$1314,DataRegularSeason20242025!$B$3:$B$1314, "&lt;=" &amp; BL$1, DataRegularSeason20242025!$E$3:$E$1314, $A2)</calculatedColumnFormula>
    </tableColumn>
    <tableColumn id="63" xr3:uid="{163D1184-1401-4CBF-8BFE-29E9A3C9226F}" name="2025-12-03" totalsRowFunction="average" dataDxfId="742">
      <calculatedColumnFormula>SUMIFS(DataRegularSeason20242025!$AA$3:$AA$1314,DataRegularSeason20242025!$B$3:$B$1314, "&lt;=" &amp; BM$1, DataRegularSeason20242025!$D$3:$D$1314, $A2)+SUMIFS(DataRegularSeason20242025!$AB$3:$AB$1314,DataRegularSeason20242025!$B$3:$B$1314, "&lt;=" &amp; BM$1, DataRegularSeason20242025!$E$3:$E$1314, $A2)</calculatedColumnFormula>
    </tableColumn>
    <tableColumn id="64" xr3:uid="{D3EA8505-1695-4DBA-86C2-EA9CFCF6067E}" name="2025-12-04" totalsRowFunction="average" dataDxfId="741">
      <calculatedColumnFormula>SUMIFS(DataRegularSeason20242025!$AA$3:$AA$1314,DataRegularSeason20242025!$B$3:$B$1314, "&lt;=" &amp; BN$1, DataRegularSeason20242025!$D$3:$D$1314, $A2)+SUMIFS(DataRegularSeason20242025!$AB$3:$AB$1314,DataRegularSeason20242025!$B$3:$B$1314, "&lt;=" &amp; BN$1, DataRegularSeason20242025!$E$3:$E$1314, $A2)</calculatedColumnFormula>
    </tableColumn>
    <tableColumn id="65" xr3:uid="{6F8ECB29-F619-4A1B-8A07-512E078E5E39}" name="2025-12-05" totalsRowFunction="average" dataDxfId="740">
      <calculatedColumnFormula>SUMIFS(DataRegularSeason20242025!$AA$3:$AA$1314,DataRegularSeason20242025!$B$3:$B$1314, "&lt;=" &amp; BO$1, DataRegularSeason20242025!$D$3:$D$1314, $A2)+SUMIFS(DataRegularSeason20242025!$AB$3:$AB$1314,DataRegularSeason20242025!$B$3:$B$1314, "&lt;=" &amp; BO$1, DataRegularSeason20242025!$E$3:$E$1314, $A2)</calculatedColumnFormula>
    </tableColumn>
    <tableColumn id="66" xr3:uid="{D9E287CC-DC6C-4024-B19E-13A2EA85FF91}" name="2025-12-06" totalsRowFunction="average" dataDxfId="739">
      <calculatedColumnFormula>SUMIFS(DataRegularSeason20242025!$AA$3:$AA$1314,DataRegularSeason20242025!$B$3:$B$1314, "&lt;=" &amp; BP$1, DataRegularSeason20242025!$D$3:$D$1314, $A2)+SUMIFS(DataRegularSeason20242025!$AB$3:$AB$1314,DataRegularSeason20242025!$B$3:$B$1314, "&lt;=" &amp; BP$1, DataRegularSeason20242025!$E$3:$E$1314, $A2)</calculatedColumnFormula>
    </tableColumn>
    <tableColumn id="67" xr3:uid="{C54932F3-E7B5-40E0-BEB7-C1321366A9D8}" name="2025-12-07" totalsRowFunction="average" dataDxfId="738">
      <calculatedColumnFormula>SUMIFS(DataRegularSeason20242025!$AA$3:$AA$1314,DataRegularSeason20242025!$B$3:$B$1314, "&lt;=" &amp; BQ$1, DataRegularSeason20242025!$D$3:$D$1314, $A2)+SUMIFS(DataRegularSeason20242025!$AB$3:$AB$1314,DataRegularSeason20242025!$B$3:$B$1314, "&lt;=" &amp; BQ$1, DataRegularSeason20242025!$E$3:$E$1314, $A2)</calculatedColumnFormula>
    </tableColumn>
    <tableColumn id="68" xr3:uid="{D014A1A7-4BB4-4327-AD63-BE38E4D041F8}" name="2025-12-08" totalsRowFunction="average" dataDxfId="737">
      <calculatedColumnFormula>SUMIFS(DataRegularSeason20242025!$AA$3:$AA$1314,DataRegularSeason20242025!$B$3:$B$1314, "&lt;=" &amp; BR$1, DataRegularSeason20242025!$D$3:$D$1314, $A2)+SUMIFS(DataRegularSeason20242025!$AB$3:$AB$1314,DataRegularSeason20242025!$B$3:$B$1314, "&lt;=" &amp; BR$1, DataRegularSeason20242025!$E$3:$E$1314, $A2)</calculatedColumnFormula>
    </tableColumn>
    <tableColumn id="69" xr3:uid="{AF06BE0F-BF7B-4446-A097-45BE1DD3413C}" name="2025-12-09" totalsRowFunction="average" dataDxfId="736">
      <calculatedColumnFormula>SUMIFS(DataRegularSeason20242025!$AA$3:$AA$1314,DataRegularSeason20242025!$B$3:$B$1314, "&lt;=" &amp; BS$1, DataRegularSeason20242025!$D$3:$D$1314, $A2)+SUMIFS(DataRegularSeason20242025!$AB$3:$AB$1314,DataRegularSeason20242025!$B$3:$B$1314, "&lt;=" &amp; BS$1, DataRegularSeason20242025!$E$3:$E$1314, $A2)</calculatedColumnFormula>
    </tableColumn>
    <tableColumn id="70" xr3:uid="{7F28D057-1608-480A-8D89-6E7DF5CA4166}" name="2025-12-10" totalsRowFunction="average" dataDxfId="735">
      <calculatedColumnFormula>SUMIFS(DataRegularSeason20242025!$AA$3:$AA$1314,DataRegularSeason20242025!$B$3:$B$1314, "&lt;=" &amp; BT$1, DataRegularSeason20242025!$D$3:$D$1314, $A2)+SUMIFS(DataRegularSeason20242025!$AB$3:$AB$1314,DataRegularSeason20242025!$B$3:$B$1314, "&lt;=" &amp; BT$1, DataRegularSeason20242025!$E$3:$E$1314, $A2)</calculatedColumnFormula>
    </tableColumn>
    <tableColumn id="71" xr3:uid="{9092ED2A-8686-4667-B05E-B82B623883CD}" name="2025-12-11" totalsRowFunction="average" dataDxfId="734">
      <calculatedColumnFormula>SUMIFS(DataRegularSeason20242025!$AA$3:$AA$1314,DataRegularSeason20242025!$B$3:$B$1314, "&lt;=" &amp; BU$1, DataRegularSeason20242025!$D$3:$D$1314, $A2)+SUMIFS(DataRegularSeason20242025!$AB$3:$AB$1314,DataRegularSeason20242025!$B$3:$B$1314, "&lt;=" &amp; BU$1, DataRegularSeason20242025!$E$3:$E$1314, $A2)</calculatedColumnFormula>
    </tableColumn>
    <tableColumn id="72" xr3:uid="{237478AF-39DF-4FA4-AF65-15CFCBB9B088}" name="2025-12-12" totalsRowFunction="average" dataDxfId="733">
      <calculatedColumnFormula>SUMIFS(DataRegularSeason20242025!$AA$3:$AA$1314,DataRegularSeason20242025!$B$3:$B$1314, "&lt;=" &amp; BV$1, DataRegularSeason20242025!$D$3:$D$1314, $A2)+SUMIFS(DataRegularSeason20242025!$AB$3:$AB$1314,DataRegularSeason20242025!$B$3:$B$1314, "&lt;=" &amp; BV$1, DataRegularSeason20242025!$E$3:$E$1314, $A2)</calculatedColumnFormula>
    </tableColumn>
    <tableColumn id="73" xr3:uid="{7F99B0C1-C105-4796-B09E-2D2F77E0D99C}" name="2025-12-13" totalsRowFunction="average" dataDxfId="732">
      <calculatedColumnFormula>SUMIFS(DataRegularSeason20242025!$AA$3:$AA$1314,DataRegularSeason20242025!$B$3:$B$1314, "&lt;=" &amp; BW$1, DataRegularSeason20242025!$D$3:$D$1314, $A2)+SUMIFS(DataRegularSeason20242025!$AB$3:$AB$1314,DataRegularSeason20242025!$B$3:$B$1314, "&lt;=" &amp; BW$1, DataRegularSeason20242025!$E$3:$E$1314, $A2)</calculatedColumnFormula>
    </tableColumn>
    <tableColumn id="74" xr3:uid="{279BADF4-F815-4351-A63A-0FC031FD75C9}" name="2025-12-14" totalsRowFunction="average" dataDxfId="731">
      <calculatedColumnFormula>SUMIFS(DataRegularSeason20242025!$AA$3:$AA$1314,DataRegularSeason20242025!$B$3:$B$1314, "&lt;=" &amp; BX$1, DataRegularSeason20242025!$D$3:$D$1314, $A2)+SUMIFS(DataRegularSeason20242025!$AB$3:$AB$1314,DataRegularSeason20242025!$B$3:$B$1314, "&lt;=" &amp; BX$1, DataRegularSeason20242025!$E$3:$E$1314, $A2)</calculatedColumnFormula>
    </tableColumn>
    <tableColumn id="75" xr3:uid="{14296C8D-B070-4A9C-A453-204A0832C2C6}" name="2025-12-15" totalsRowFunction="average" dataDxfId="730">
      <calculatedColumnFormula>SUMIFS(DataRegularSeason20242025!$AA$3:$AA$1314,DataRegularSeason20242025!$B$3:$B$1314, "&lt;=" &amp; BY$1, DataRegularSeason20242025!$D$3:$D$1314, $A2)+SUMIFS(DataRegularSeason20242025!$AB$3:$AB$1314,DataRegularSeason20242025!$B$3:$B$1314, "&lt;=" &amp; BY$1, DataRegularSeason20242025!$E$3:$E$1314, $A2)</calculatedColumnFormula>
    </tableColumn>
    <tableColumn id="76" xr3:uid="{A3A384FF-811B-4E97-A485-4304C1015A1B}" name="2025-12-16" totalsRowFunction="average" dataDxfId="729">
      <calculatedColumnFormula>SUMIFS(DataRegularSeason20242025!$AA$3:$AA$1314,DataRegularSeason20242025!$B$3:$B$1314, "&lt;=" &amp; BZ$1, DataRegularSeason20242025!$D$3:$D$1314, $A2)+SUMIFS(DataRegularSeason20242025!$AB$3:$AB$1314,DataRegularSeason20242025!$B$3:$B$1314, "&lt;=" &amp; BZ$1, DataRegularSeason20242025!$E$3:$E$1314, $A2)</calculatedColumnFormula>
    </tableColumn>
    <tableColumn id="77" xr3:uid="{1B125B53-1055-4C16-8B5C-F237F5E66E30}" name="2025-12-17" totalsRowFunction="average" dataDxfId="728">
      <calculatedColumnFormula>SUMIFS(DataRegularSeason20242025!$AA$3:$AA$1314,DataRegularSeason20242025!$B$3:$B$1314, "&lt;=" &amp; CA$1, DataRegularSeason20242025!$D$3:$D$1314, $A2)+SUMIFS(DataRegularSeason20242025!$AB$3:$AB$1314,DataRegularSeason20242025!$B$3:$B$1314, "&lt;=" &amp; CA$1, DataRegularSeason20242025!$E$3:$E$1314, $A2)</calculatedColumnFormula>
    </tableColumn>
    <tableColumn id="78" xr3:uid="{B6EC563C-E168-4AD3-81D9-3E4124B74538}" name="2025-12-18" totalsRowFunction="average" dataDxfId="727">
      <calculatedColumnFormula>SUMIFS(DataRegularSeason20242025!$AA$3:$AA$1314,DataRegularSeason20242025!$B$3:$B$1314, "&lt;=" &amp; CB$1, DataRegularSeason20242025!$D$3:$D$1314, $A2)+SUMIFS(DataRegularSeason20242025!$AB$3:$AB$1314,DataRegularSeason20242025!$B$3:$B$1314, "&lt;=" &amp; CB$1, DataRegularSeason20242025!$E$3:$E$1314, $A2)</calculatedColumnFormula>
    </tableColumn>
    <tableColumn id="79" xr3:uid="{BB2D6A97-EB9B-4092-944E-4132494D1C54}" name="2025-12-19" totalsRowFunction="average" dataDxfId="726">
      <calculatedColumnFormula>SUMIFS(DataRegularSeason20242025!$AA$3:$AA$1314,DataRegularSeason20242025!$B$3:$B$1314, "&lt;=" &amp; CC$1, DataRegularSeason20242025!$D$3:$D$1314, $A2)+SUMIFS(DataRegularSeason20242025!$AB$3:$AB$1314,DataRegularSeason20242025!$B$3:$B$1314, "&lt;=" &amp; CC$1, DataRegularSeason20242025!$E$3:$E$1314, $A2)</calculatedColumnFormula>
    </tableColumn>
    <tableColumn id="80" xr3:uid="{2C0DDB41-4775-4764-A523-40E7E3DA7360}" name="2025-12-20" totalsRowFunction="average" dataDxfId="725">
      <calculatedColumnFormula>SUMIFS(DataRegularSeason20242025!$AA$3:$AA$1314,DataRegularSeason20242025!$B$3:$B$1314, "&lt;=" &amp; CD$1, DataRegularSeason20242025!$D$3:$D$1314, $A2)+SUMIFS(DataRegularSeason20242025!$AB$3:$AB$1314,DataRegularSeason20242025!$B$3:$B$1314, "&lt;=" &amp; CD$1, DataRegularSeason20242025!$E$3:$E$1314, $A2)</calculatedColumnFormula>
    </tableColumn>
    <tableColumn id="81" xr3:uid="{D5C2C244-BF9B-42BC-9932-9559F4C20A04}" name="2025-12-21" totalsRowFunction="average" dataDxfId="724">
      <calculatedColumnFormula>SUMIFS(DataRegularSeason20242025!$AA$3:$AA$1314,DataRegularSeason20242025!$B$3:$B$1314, "&lt;=" &amp; CE$1, DataRegularSeason20242025!$D$3:$D$1314, $A2)+SUMIFS(DataRegularSeason20242025!$AB$3:$AB$1314,DataRegularSeason20242025!$B$3:$B$1314, "&lt;=" &amp; CE$1, DataRegularSeason20242025!$E$3:$E$1314, $A2)</calculatedColumnFormula>
    </tableColumn>
    <tableColumn id="82" xr3:uid="{0A36F154-77E7-4DED-BCD7-AF0EBB54FDB3}" name="2025-12-22" totalsRowFunction="average" dataDxfId="723">
      <calculatedColumnFormula>SUMIFS(DataRegularSeason20242025!$AA$3:$AA$1314,DataRegularSeason20242025!$B$3:$B$1314, "&lt;=" &amp; CF$1, DataRegularSeason20242025!$D$3:$D$1314, $A2)+SUMIFS(DataRegularSeason20242025!$AB$3:$AB$1314,DataRegularSeason20242025!$B$3:$B$1314, "&lt;=" &amp; CF$1, DataRegularSeason20242025!$E$3:$E$1314, $A2)</calculatedColumnFormula>
    </tableColumn>
    <tableColumn id="83" xr3:uid="{1109C38A-F336-4185-B1DB-A7146AC971B4}" name="2025-12-23" totalsRowFunction="average" dataDxfId="722">
      <calculatedColumnFormula>SUMIFS(DataRegularSeason20242025!$AA$3:$AA$1314,DataRegularSeason20242025!$B$3:$B$1314, "&lt;=" &amp; CG$1, DataRegularSeason20242025!$D$3:$D$1314, $A2)+SUMIFS(DataRegularSeason20242025!$AB$3:$AB$1314,DataRegularSeason20242025!$B$3:$B$1314, "&lt;=" &amp; CG$1, DataRegularSeason20242025!$E$3:$E$1314, $A2)</calculatedColumnFormula>
    </tableColumn>
    <tableColumn id="84" xr3:uid="{CD1F6DF8-BD66-4433-A46F-29A14FE0D641}" name="2025-12-24" totalsRowFunction="average" dataDxfId="721">
      <calculatedColumnFormula>SUMIFS(DataRegularSeason20242025!$AA$3:$AA$1314,DataRegularSeason20242025!$B$3:$B$1314, "&lt;=" &amp; CH$1, DataRegularSeason20242025!$D$3:$D$1314, $A2)+SUMIFS(DataRegularSeason20242025!$AB$3:$AB$1314,DataRegularSeason20242025!$B$3:$B$1314, "&lt;=" &amp; CH$1, DataRegularSeason20242025!$E$3:$E$1314, $A2)</calculatedColumnFormula>
    </tableColumn>
    <tableColumn id="85" xr3:uid="{6CB0513D-4326-4FA6-9DC5-DD9D60752353}" name="2025-12-25" totalsRowFunction="average" dataDxfId="720">
      <calculatedColumnFormula>SUMIFS(DataRegularSeason20242025!$AA$3:$AA$1314,DataRegularSeason20242025!$B$3:$B$1314, "&lt;=" &amp; CI$1, DataRegularSeason20242025!$D$3:$D$1314, $A2)+SUMIFS(DataRegularSeason20242025!$AB$3:$AB$1314,DataRegularSeason20242025!$B$3:$B$1314, "&lt;=" &amp; CI$1, DataRegularSeason20242025!$E$3:$E$1314, $A2)</calculatedColumnFormula>
    </tableColumn>
    <tableColumn id="86" xr3:uid="{6F9A7811-7A8A-427A-8FED-195E1CEAAC84}" name="2025-12-26" totalsRowFunction="average" dataDxfId="719">
      <calculatedColumnFormula>SUMIFS(DataRegularSeason20242025!$AA$3:$AA$1314,DataRegularSeason20242025!$B$3:$B$1314, "&lt;=" &amp; CJ$1, DataRegularSeason20242025!$D$3:$D$1314, $A2)+SUMIFS(DataRegularSeason20242025!$AB$3:$AB$1314,DataRegularSeason20242025!$B$3:$B$1314, "&lt;=" &amp; CJ$1, DataRegularSeason20242025!$E$3:$E$1314, $A2)</calculatedColumnFormula>
    </tableColumn>
    <tableColumn id="87" xr3:uid="{0F3574AC-BE6F-47A7-AF8D-6664117F0FEF}" name="2025-12-27" totalsRowFunction="average" dataDxfId="718">
      <calculatedColumnFormula>SUMIFS(DataRegularSeason20242025!$AA$3:$AA$1314,DataRegularSeason20242025!$B$3:$B$1314, "&lt;=" &amp; CK$1, DataRegularSeason20242025!$D$3:$D$1314, $A2)+SUMIFS(DataRegularSeason20242025!$AB$3:$AB$1314,DataRegularSeason20242025!$B$3:$B$1314, "&lt;=" &amp; CK$1, DataRegularSeason20242025!$E$3:$E$1314, $A2)</calculatedColumnFormula>
    </tableColumn>
    <tableColumn id="88" xr3:uid="{A64448FA-8214-4FB7-A75B-13FE89D6BBBC}" name="2025-12-28" totalsRowFunction="average" dataDxfId="717">
      <calculatedColumnFormula>SUMIFS(DataRegularSeason20242025!$AA$3:$AA$1314,DataRegularSeason20242025!$B$3:$B$1314, "&lt;=" &amp; CL$1, DataRegularSeason20242025!$D$3:$D$1314, $A2)+SUMIFS(DataRegularSeason20242025!$AB$3:$AB$1314,DataRegularSeason20242025!$B$3:$B$1314, "&lt;=" &amp; CL$1, DataRegularSeason20242025!$E$3:$E$1314, $A2)</calculatedColumnFormula>
    </tableColumn>
    <tableColumn id="89" xr3:uid="{CFC94B31-C5F5-4FFA-AAD4-0213B951614D}" name="2025-12-29" totalsRowFunction="average" dataDxfId="716">
      <calculatedColumnFormula>SUMIFS(DataRegularSeason20242025!$AA$3:$AA$1314,DataRegularSeason20242025!$B$3:$B$1314, "&lt;=" &amp; CM$1, DataRegularSeason20242025!$D$3:$D$1314, $A2)+SUMIFS(DataRegularSeason20242025!$AB$3:$AB$1314,DataRegularSeason20242025!$B$3:$B$1314, "&lt;=" &amp; CM$1, DataRegularSeason20242025!$E$3:$E$1314, $A2)</calculatedColumnFormula>
    </tableColumn>
    <tableColumn id="90" xr3:uid="{F2A02A12-D38E-4A3D-B1BE-ECB81F8B75C6}" name="2025-12-30" totalsRowFunction="average" dataDxfId="715">
      <calculatedColumnFormula>SUMIFS(DataRegularSeason20242025!$AA$3:$AA$1314,DataRegularSeason20242025!$B$3:$B$1314, "&lt;=" &amp; CN$1, DataRegularSeason20242025!$D$3:$D$1314, $A2)+SUMIFS(DataRegularSeason20242025!$AB$3:$AB$1314,DataRegularSeason20242025!$B$3:$B$1314, "&lt;=" &amp; CN$1, DataRegularSeason20242025!$E$3:$E$1314, $A2)</calculatedColumnFormula>
    </tableColumn>
    <tableColumn id="91" xr3:uid="{3B131788-6070-4D41-90B0-4BE645A9AE12}" name="2025-12-31" totalsRowFunction="average" dataDxfId="714">
      <calculatedColumnFormula>SUMIFS(DataRegularSeason20242025!$AA$3:$AA$1314,DataRegularSeason20242025!$B$3:$B$1314, "&lt;=" &amp; CO$1, DataRegularSeason20242025!$D$3:$D$1314, $A2)+SUMIFS(DataRegularSeason20242025!$AB$3:$AB$1314,DataRegularSeason20242025!$B$3:$B$1314, "&lt;=" &amp; CO$1, DataRegularSeason20242025!$E$3:$E$1314, $A2)</calculatedColumnFormula>
    </tableColumn>
    <tableColumn id="92" xr3:uid="{9A605C0B-E827-4EF1-9337-6F0E6784CEAD}" name="2026-01-01" totalsRowFunction="average" dataDxfId="713">
      <calculatedColumnFormula>SUMIFS(DataRegularSeason20242025!$AA$3:$AA$1314,DataRegularSeason20242025!$B$3:$B$1314, "&lt;=" &amp; CP$1, DataRegularSeason20242025!$D$3:$D$1314, $A2)+SUMIFS(DataRegularSeason20242025!$AB$3:$AB$1314,DataRegularSeason20242025!$B$3:$B$1314, "&lt;=" &amp; CP$1, DataRegularSeason20242025!$E$3:$E$1314, $A2)</calculatedColumnFormula>
    </tableColumn>
    <tableColumn id="93" xr3:uid="{01BE898D-CB47-488A-92C2-189ABE50A9E0}" name="2026-01-02" totalsRowFunction="average" dataDxfId="712">
      <calculatedColumnFormula>SUMIFS(DataRegularSeason20242025!$AA$3:$AA$1314,DataRegularSeason20242025!$B$3:$B$1314, "&lt;=" &amp; CQ$1, DataRegularSeason20242025!$D$3:$D$1314, $A2)+SUMIFS(DataRegularSeason20242025!$AB$3:$AB$1314,DataRegularSeason20242025!$B$3:$B$1314, "&lt;=" &amp; CQ$1, DataRegularSeason20242025!$E$3:$E$1314, $A2)</calculatedColumnFormula>
    </tableColumn>
    <tableColumn id="94" xr3:uid="{1E7D362A-A8A5-45DE-9DBC-C87FA68DBAA6}" name="2026-01-03" totalsRowFunction="average" dataDxfId="711">
      <calculatedColumnFormula>SUMIFS(DataRegularSeason20242025!$AA$3:$AA$1314,DataRegularSeason20242025!$B$3:$B$1314, "&lt;=" &amp; CR$1, DataRegularSeason20242025!$D$3:$D$1314, $A2)+SUMIFS(DataRegularSeason20242025!$AB$3:$AB$1314,DataRegularSeason20242025!$B$3:$B$1314, "&lt;=" &amp; CR$1, DataRegularSeason20242025!$E$3:$E$1314, $A2)</calculatedColumnFormula>
    </tableColumn>
    <tableColumn id="95" xr3:uid="{118A7828-C916-4327-B9FD-7808EAEBD202}" name="2026-01-04" totalsRowFunction="average" dataDxfId="710">
      <calculatedColumnFormula>SUMIFS(DataRegularSeason20242025!$AA$3:$AA$1314,DataRegularSeason20242025!$B$3:$B$1314, "&lt;=" &amp; CS$1, DataRegularSeason20242025!$D$3:$D$1314, $A2)+SUMIFS(DataRegularSeason20242025!$AB$3:$AB$1314,DataRegularSeason20242025!$B$3:$B$1314, "&lt;=" &amp; CS$1, DataRegularSeason20242025!$E$3:$E$1314, $A2)</calculatedColumnFormula>
    </tableColumn>
    <tableColumn id="96" xr3:uid="{0158C190-B8EA-4DE0-A46F-8DC43ABCEDEE}" name="2026-01-05" totalsRowFunction="average" dataDxfId="709">
      <calculatedColumnFormula>SUMIFS(DataRegularSeason20242025!$AA$3:$AA$1314,DataRegularSeason20242025!$B$3:$B$1314, "&lt;=" &amp; CT$1, DataRegularSeason20242025!$D$3:$D$1314, $A2)+SUMIFS(DataRegularSeason20242025!$AB$3:$AB$1314,DataRegularSeason20242025!$B$3:$B$1314, "&lt;=" &amp; CT$1, DataRegularSeason20242025!$E$3:$E$1314, $A2)</calculatedColumnFormula>
    </tableColumn>
    <tableColumn id="97" xr3:uid="{1EF444B6-8F8F-4ACE-B4BA-4F8B5D824510}" name="2026-01-06" totalsRowFunction="average" dataDxfId="708">
      <calculatedColumnFormula>SUMIFS(DataRegularSeason20242025!$AA$3:$AA$1314,DataRegularSeason20242025!$B$3:$B$1314, "&lt;=" &amp; CU$1, DataRegularSeason20242025!$D$3:$D$1314, $A2)+SUMIFS(DataRegularSeason20242025!$AB$3:$AB$1314,DataRegularSeason20242025!$B$3:$B$1314, "&lt;=" &amp; CU$1, DataRegularSeason20242025!$E$3:$E$1314, $A2)</calculatedColumnFormula>
    </tableColumn>
    <tableColumn id="98" xr3:uid="{6588CBD9-5378-4B85-A2BA-A5F73A4EF31E}" name="2026-01-07" totalsRowFunction="average" dataDxfId="707">
      <calculatedColumnFormula>SUMIFS(DataRegularSeason20242025!$AA$3:$AA$1314,DataRegularSeason20242025!$B$3:$B$1314, "&lt;=" &amp; CV$1, DataRegularSeason20242025!$D$3:$D$1314, $A2)+SUMIFS(DataRegularSeason20242025!$AB$3:$AB$1314,DataRegularSeason20242025!$B$3:$B$1314, "&lt;=" &amp; CV$1, DataRegularSeason20242025!$E$3:$E$1314, $A2)</calculatedColumnFormula>
    </tableColumn>
    <tableColumn id="99" xr3:uid="{345DE185-9086-4E89-83C1-44F40296E09D}" name="2026-01-08" totalsRowFunction="average" dataDxfId="706">
      <calculatedColumnFormula>SUMIFS(DataRegularSeason20242025!$AA$3:$AA$1314,DataRegularSeason20242025!$B$3:$B$1314, "&lt;=" &amp; CW$1, DataRegularSeason20242025!$D$3:$D$1314, $A2)+SUMIFS(DataRegularSeason20242025!$AB$3:$AB$1314,DataRegularSeason20242025!$B$3:$B$1314, "&lt;=" &amp; CW$1, DataRegularSeason20242025!$E$3:$E$1314, $A2)</calculatedColumnFormula>
    </tableColumn>
    <tableColumn id="100" xr3:uid="{F150A9AE-F390-48C1-8B88-7A29D80F63D5}" name="2026-01-09" totalsRowFunction="average" dataDxfId="705">
      <calculatedColumnFormula>SUMIFS(DataRegularSeason20242025!$AA$3:$AA$1314,DataRegularSeason20242025!$B$3:$B$1314, "&lt;=" &amp; CX$1, DataRegularSeason20242025!$D$3:$D$1314, $A2)+SUMIFS(DataRegularSeason20242025!$AB$3:$AB$1314,DataRegularSeason20242025!$B$3:$B$1314, "&lt;=" &amp; CX$1, DataRegularSeason20242025!$E$3:$E$1314, $A2)</calculatedColumnFormula>
    </tableColumn>
    <tableColumn id="101" xr3:uid="{536C8630-3691-4499-9CC3-5235D318FC3B}" name="2026-01-10" totalsRowFunction="average" dataDxfId="704">
      <calculatedColumnFormula>SUMIFS(DataRegularSeason20242025!$AA$3:$AA$1314,DataRegularSeason20242025!$B$3:$B$1314, "&lt;=" &amp; CY$1, DataRegularSeason20242025!$D$3:$D$1314, $A2)+SUMIFS(DataRegularSeason20242025!$AB$3:$AB$1314,DataRegularSeason20242025!$B$3:$B$1314, "&lt;=" &amp; CY$1, DataRegularSeason20242025!$E$3:$E$1314, $A2)</calculatedColumnFormula>
    </tableColumn>
    <tableColumn id="102" xr3:uid="{DEDA5CD2-B022-4C3B-9098-C9AB84325406}" name="2026-01-11" totalsRowFunction="average" dataDxfId="703">
      <calculatedColumnFormula>SUMIFS(DataRegularSeason20242025!$AA$3:$AA$1314,DataRegularSeason20242025!$B$3:$B$1314, "&lt;=" &amp; CZ$1, DataRegularSeason20242025!$D$3:$D$1314, $A2)+SUMIFS(DataRegularSeason20242025!$AB$3:$AB$1314,DataRegularSeason20242025!$B$3:$B$1314, "&lt;=" &amp; CZ$1, DataRegularSeason20242025!$E$3:$E$1314, $A2)</calculatedColumnFormula>
    </tableColumn>
    <tableColumn id="103" xr3:uid="{CE314C21-16A5-44C4-9B1A-7542AE93A77E}" name="2026-01-12" totalsRowFunction="average" dataDxfId="702">
      <calculatedColumnFormula>SUMIFS(DataRegularSeason20242025!$AA$3:$AA$1314,DataRegularSeason20242025!$B$3:$B$1314, "&lt;=" &amp; DA$1, DataRegularSeason20242025!$D$3:$D$1314, $A2)+SUMIFS(DataRegularSeason20242025!$AB$3:$AB$1314,DataRegularSeason20242025!$B$3:$B$1314, "&lt;=" &amp; DA$1, DataRegularSeason20242025!$E$3:$E$1314, $A2)</calculatedColumnFormula>
    </tableColumn>
    <tableColumn id="104" xr3:uid="{237AE0D5-DA7E-40B1-8BC4-38E5290ECFC9}" name="2026-01-13" totalsRowFunction="average" dataDxfId="701">
      <calculatedColumnFormula>SUMIFS(DataRegularSeason20242025!$AA$3:$AA$1314,DataRegularSeason20242025!$B$3:$B$1314, "&lt;=" &amp; DB$1, DataRegularSeason20242025!$D$3:$D$1314, $A2)+SUMIFS(DataRegularSeason20242025!$AB$3:$AB$1314,DataRegularSeason20242025!$B$3:$B$1314, "&lt;=" &amp; DB$1, DataRegularSeason20242025!$E$3:$E$1314, $A2)</calculatedColumnFormula>
    </tableColumn>
    <tableColumn id="105" xr3:uid="{D856EDC5-AD51-48B5-9FA1-0B78F09EB942}" name="2026-01-14" totalsRowFunction="average" dataDxfId="700">
      <calculatedColumnFormula>SUMIFS(DataRegularSeason20242025!$AA$3:$AA$1314,DataRegularSeason20242025!$B$3:$B$1314, "&lt;=" &amp; DC$1, DataRegularSeason20242025!$D$3:$D$1314, $A2)+SUMIFS(DataRegularSeason20242025!$AB$3:$AB$1314,DataRegularSeason20242025!$B$3:$B$1314, "&lt;=" &amp; DC$1, DataRegularSeason20242025!$E$3:$E$1314, $A2)</calculatedColumnFormula>
    </tableColumn>
    <tableColumn id="106" xr3:uid="{EC393D3C-61BC-4BBC-AA1D-43400A564CD0}" name="2026-01-15" totalsRowFunction="average" dataDxfId="699">
      <calculatedColumnFormula>SUMIFS(DataRegularSeason20242025!$AA$3:$AA$1314,DataRegularSeason20242025!$B$3:$B$1314, "&lt;=" &amp; DD$1, DataRegularSeason20242025!$D$3:$D$1314, $A2)+SUMIFS(DataRegularSeason20242025!$AB$3:$AB$1314,DataRegularSeason20242025!$B$3:$B$1314, "&lt;=" &amp; DD$1, DataRegularSeason20242025!$E$3:$E$1314, $A2)</calculatedColumnFormula>
    </tableColumn>
    <tableColumn id="107" xr3:uid="{38818F35-141F-499B-85D9-08CB6D617AF5}" name="2026-01-16" totalsRowFunction="average" dataDxfId="698">
      <calculatedColumnFormula>SUMIFS(DataRegularSeason20242025!$AA$3:$AA$1314,DataRegularSeason20242025!$B$3:$B$1314, "&lt;=" &amp; DE$1, DataRegularSeason20242025!$D$3:$D$1314, $A2)+SUMIFS(DataRegularSeason20242025!$AB$3:$AB$1314,DataRegularSeason20242025!$B$3:$B$1314, "&lt;=" &amp; DE$1, DataRegularSeason20242025!$E$3:$E$1314, $A2)</calculatedColumnFormula>
    </tableColumn>
    <tableColumn id="108" xr3:uid="{707F7A16-8C3C-4C52-BEEB-96B236DE892B}" name="2026-01-17" totalsRowFunction="average" dataDxfId="697">
      <calculatedColumnFormula>SUMIFS(DataRegularSeason20242025!$AA$3:$AA$1314,DataRegularSeason20242025!$B$3:$B$1314, "&lt;=" &amp; DF$1, DataRegularSeason20242025!$D$3:$D$1314, $A2)+SUMIFS(DataRegularSeason20242025!$AB$3:$AB$1314,DataRegularSeason20242025!$B$3:$B$1314, "&lt;=" &amp; DF$1, DataRegularSeason20242025!$E$3:$E$1314, $A2)</calculatedColumnFormula>
    </tableColumn>
    <tableColumn id="109" xr3:uid="{1D2AA819-3C34-4223-860D-3BF194823139}" name="2026-01-18" totalsRowFunction="average" dataDxfId="696">
      <calculatedColumnFormula>SUMIFS(DataRegularSeason20242025!$AA$3:$AA$1314,DataRegularSeason20242025!$B$3:$B$1314, "&lt;=" &amp; DG$1, DataRegularSeason20242025!$D$3:$D$1314, $A2)+SUMIFS(DataRegularSeason20242025!$AB$3:$AB$1314,DataRegularSeason20242025!$B$3:$B$1314, "&lt;=" &amp; DG$1, DataRegularSeason20242025!$E$3:$E$1314, $A2)</calculatedColumnFormula>
    </tableColumn>
    <tableColumn id="110" xr3:uid="{DDBA0D7A-F67B-4B16-9C86-CBB47DBD2A6A}" name="2026-01-19" totalsRowFunction="average" dataDxfId="695">
      <calculatedColumnFormula>SUMIFS(DataRegularSeason20242025!$AA$3:$AA$1314,DataRegularSeason20242025!$B$3:$B$1314, "&lt;=" &amp; DH$1, DataRegularSeason20242025!$D$3:$D$1314, $A2)+SUMIFS(DataRegularSeason20242025!$AB$3:$AB$1314,DataRegularSeason20242025!$B$3:$B$1314, "&lt;=" &amp; DH$1, DataRegularSeason20242025!$E$3:$E$1314, $A2)</calculatedColumnFormula>
    </tableColumn>
    <tableColumn id="111" xr3:uid="{898DA6C2-D1E9-465E-B171-B79430B04FC4}" name="2026-01-20" totalsRowFunction="average" dataDxfId="694">
      <calculatedColumnFormula>SUMIFS(DataRegularSeason20242025!$AA$3:$AA$1314,DataRegularSeason20242025!$B$3:$B$1314, "&lt;=" &amp; DI$1, DataRegularSeason20242025!$D$3:$D$1314, $A2)+SUMIFS(DataRegularSeason20242025!$AB$3:$AB$1314,DataRegularSeason20242025!$B$3:$B$1314, "&lt;=" &amp; DI$1, DataRegularSeason20242025!$E$3:$E$1314, $A2)</calculatedColumnFormula>
    </tableColumn>
    <tableColumn id="112" xr3:uid="{D97860B2-66FF-4B7F-881F-CBC14F8100EF}" name="2026-01-21" totalsRowFunction="average" dataDxfId="693">
      <calculatedColumnFormula>SUMIFS(DataRegularSeason20242025!$AA$3:$AA$1314,DataRegularSeason20242025!$B$3:$B$1314, "&lt;=" &amp; DJ$1, DataRegularSeason20242025!$D$3:$D$1314, $A2)+SUMIFS(DataRegularSeason20242025!$AB$3:$AB$1314,DataRegularSeason20242025!$B$3:$B$1314, "&lt;=" &amp; DJ$1, DataRegularSeason20242025!$E$3:$E$1314, $A2)</calculatedColumnFormula>
    </tableColumn>
    <tableColumn id="113" xr3:uid="{C356C48E-5FCB-4730-A26D-D5B9DDFE1E28}" name="2026-01-22" totalsRowFunction="average" dataDxfId="692">
      <calculatedColumnFormula>SUMIFS(DataRegularSeason20242025!$AA$3:$AA$1314,DataRegularSeason20242025!$B$3:$B$1314, "&lt;=" &amp; DK$1, DataRegularSeason20242025!$D$3:$D$1314, $A2)+SUMIFS(DataRegularSeason20242025!$AB$3:$AB$1314,DataRegularSeason20242025!$B$3:$B$1314, "&lt;=" &amp; DK$1, DataRegularSeason20242025!$E$3:$E$1314, $A2)</calculatedColumnFormula>
    </tableColumn>
    <tableColumn id="114" xr3:uid="{F184175C-C7BD-4C27-A028-CE64CE15C72B}" name="2026-01-23" totalsRowFunction="average" dataDxfId="691">
      <calculatedColumnFormula>SUMIFS(DataRegularSeason20242025!$AA$3:$AA$1314,DataRegularSeason20242025!$B$3:$B$1314, "&lt;=" &amp; DL$1, DataRegularSeason20242025!$D$3:$D$1314, $A2)+SUMIFS(DataRegularSeason20242025!$AB$3:$AB$1314,DataRegularSeason20242025!$B$3:$B$1314, "&lt;=" &amp; DL$1, DataRegularSeason20242025!$E$3:$E$1314, $A2)</calculatedColumnFormula>
    </tableColumn>
    <tableColumn id="115" xr3:uid="{8AD512EC-C765-481B-9AB0-54367C53EA45}" name="2026-01-24" totalsRowFunction="average" dataDxfId="690">
      <calculatedColumnFormula>SUMIFS(DataRegularSeason20242025!$AA$3:$AA$1314,DataRegularSeason20242025!$B$3:$B$1314, "&lt;=" &amp; DM$1, DataRegularSeason20242025!$D$3:$D$1314, $A2)+SUMIFS(DataRegularSeason20242025!$AB$3:$AB$1314,DataRegularSeason20242025!$B$3:$B$1314, "&lt;=" &amp; DM$1, DataRegularSeason20242025!$E$3:$E$1314, $A2)</calculatedColumnFormula>
    </tableColumn>
    <tableColumn id="116" xr3:uid="{E15E0D64-DA19-4EA1-83BC-393263720ED3}" name="2026-01-25" totalsRowFunction="average" dataDxfId="689">
      <calculatedColumnFormula>SUMIFS(DataRegularSeason20242025!$AA$3:$AA$1314,DataRegularSeason20242025!$B$3:$B$1314, "&lt;=" &amp; DN$1, DataRegularSeason20242025!$D$3:$D$1314, $A2)+SUMIFS(DataRegularSeason20242025!$AB$3:$AB$1314,DataRegularSeason20242025!$B$3:$B$1314, "&lt;=" &amp; DN$1, DataRegularSeason20242025!$E$3:$E$1314, $A2)</calculatedColumnFormula>
    </tableColumn>
    <tableColumn id="117" xr3:uid="{8F2F7A21-05A5-4D6E-9B14-AB5333756990}" name="2026-01-26" totalsRowFunction="average" dataDxfId="688">
      <calculatedColumnFormula>SUMIFS(DataRegularSeason20242025!$AA$3:$AA$1314,DataRegularSeason20242025!$B$3:$B$1314, "&lt;=" &amp; DO$1, DataRegularSeason20242025!$D$3:$D$1314, $A2)+SUMIFS(DataRegularSeason20242025!$AB$3:$AB$1314,DataRegularSeason20242025!$B$3:$B$1314, "&lt;=" &amp; DO$1, DataRegularSeason20242025!$E$3:$E$1314, $A2)</calculatedColumnFormula>
    </tableColumn>
    <tableColumn id="118" xr3:uid="{9CB36FB1-3BBA-4D22-88B2-299163C871DE}" name="2026-01-27" totalsRowFunction="average" dataDxfId="687">
      <calculatedColumnFormula>SUMIFS(DataRegularSeason20242025!$AA$3:$AA$1314,DataRegularSeason20242025!$B$3:$B$1314, "&lt;=" &amp; DP$1, DataRegularSeason20242025!$D$3:$D$1314, $A2)+SUMIFS(DataRegularSeason20242025!$AB$3:$AB$1314,DataRegularSeason20242025!$B$3:$B$1314, "&lt;=" &amp; DP$1, DataRegularSeason20242025!$E$3:$E$1314, $A2)</calculatedColumnFormula>
    </tableColumn>
    <tableColumn id="119" xr3:uid="{132340F2-731B-4358-ACC8-975FB40C0C5A}" name="2026-01-28" totalsRowFunction="average" dataDxfId="686">
      <calculatedColumnFormula>SUMIFS(DataRegularSeason20242025!$AA$3:$AA$1314,DataRegularSeason20242025!$B$3:$B$1314, "&lt;=" &amp; DQ$1, DataRegularSeason20242025!$D$3:$D$1314, $A2)+SUMIFS(DataRegularSeason20242025!$AB$3:$AB$1314,DataRegularSeason20242025!$B$3:$B$1314, "&lt;=" &amp; DQ$1, DataRegularSeason20242025!$E$3:$E$1314, $A2)</calculatedColumnFormula>
    </tableColumn>
    <tableColumn id="120" xr3:uid="{4DEBC8A6-E1BF-45A4-AD43-D871B189D9F9}" name="2026-01-29" totalsRowFunction="average" dataDxfId="685">
      <calculatedColumnFormula>SUMIFS(DataRegularSeason20242025!$AA$3:$AA$1314,DataRegularSeason20242025!$B$3:$B$1314, "&lt;=" &amp; DR$1, DataRegularSeason20242025!$D$3:$D$1314, $A2)+SUMIFS(DataRegularSeason20242025!$AB$3:$AB$1314,DataRegularSeason20242025!$B$3:$B$1314, "&lt;=" &amp; DR$1, DataRegularSeason20242025!$E$3:$E$1314, $A2)</calculatedColumnFormula>
    </tableColumn>
    <tableColumn id="121" xr3:uid="{6FB2D732-6FEB-4C13-9C53-D6D218EA1445}" name="2026-01-30" totalsRowFunction="average" dataDxfId="684">
      <calculatedColumnFormula>SUMIFS(DataRegularSeason20242025!$AA$3:$AA$1314,DataRegularSeason20242025!$B$3:$B$1314, "&lt;=" &amp; DS$1, DataRegularSeason20242025!$D$3:$D$1314, $A2)+SUMIFS(DataRegularSeason20242025!$AB$3:$AB$1314,DataRegularSeason20242025!$B$3:$B$1314, "&lt;=" &amp; DS$1, DataRegularSeason20242025!$E$3:$E$1314, $A2)</calculatedColumnFormula>
    </tableColumn>
    <tableColumn id="122" xr3:uid="{2DEFE715-4933-402C-B6DF-3B341CF2F195}" name="2026-01-31" totalsRowFunction="average" dataDxfId="683">
      <calculatedColumnFormula>SUMIFS(DataRegularSeason20242025!$AA$3:$AA$1314,DataRegularSeason20242025!$B$3:$B$1314, "&lt;=" &amp; DT$1, DataRegularSeason20242025!$D$3:$D$1314, $A2)+SUMIFS(DataRegularSeason20242025!$AB$3:$AB$1314,DataRegularSeason20242025!$B$3:$B$1314, "&lt;=" &amp; DT$1, DataRegularSeason20242025!$E$3:$E$1314, $A2)</calculatedColumnFormula>
    </tableColumn>
    <tableColumn id="123" xr3:uid="{FC67EAD3-B465-40FC-A34D-06329DEE914A}" name="2026-02-01" totalsRowFunction="average" dataDxfId="682">
      <calculatedColumnFormula>SUMIFS(DataRegularSeason20242025!$AA$3:$AA$1314,DataRegularSeason20242025!$B$3:$B$1314, "&lt;=" &amp; DU$1, DataRegularSeason20242025!$D$3:$D$1314, $A2)+SUMIFS(DataRegularSeason20242025!$AB$3:$AB$1314,DataRegularSeason20242025!$B$3:$B$1314, "&lt;=" &amp; DU$1, DataRegularSeason20242025!$E$3:$E$1314, $A2)</calculatedColumnFormula>
    </tableColumn>
    <tableColumn id="124" xr3:uid="{50BA9216-4ABA-49CF-9A50-07F843AFDF70}" name="2026-02-02" totalsRowFunction="average" dataDxfId="681">
      <calculatedColumnFormula>SUMIFS(DataRegularSeason20242025!$AA$3:$AA$1314,DataRegularSeason20242025!$B$3:$B$1314, "&lt;=" &amp; DV$1, DataRegularSeason20242025!$D$3:$D$1314, $A2)+SUMIFS(DataRegularSeason20242025!$AB$3:$AB$1314,DataRegularSeason20242025!$B$3:$B$1314, "&lt;=" &amp; DV$1, DataRegularSeason20242025!$E$3:$E$1314, $A2)</calculatedColumnFormula>
    </tableColumn>
    <tableColumn id="125" xr3:uid="{2339E621-520E-432C-9CA1-B327FB3E7D34}" name="2026-02-03" totalsRowFunction="average" dataDxfId="680">
      <calculatedColumnFormula>SUMIFS(DataRegularSeason20242025!$AA$3:$AA$1314,DataRegularSeason20242025!$B$3:$B$1314, "&lt;=" &amp; DW$1, DataRegularSeason20242025!$D$3:$D$1314, $A2)+SUMIFS(DataRegularSeason20242025!$AB$3:$AB$1314,DataRegularSeason20242025!$B$3:$B$1314, "&lt;=" &amp; DW$1, DataRegularSeason20242025!$E$3:$E$1314, $A2)</calculatedColumnFormula>
    </tableColumn>
    <tableColumn id="126" xr3:uid="{19BF718C-48A1-40F7-BB55-61295632CC0D}" name="2026-02-04" totalsRowFunction="average" dataDxfId="679">
      <calculatedColumnFormula>SUMIFS(DataRegularSeason20242025!$AA$3:$AA$1314,DataRegularSeason20242025!$B$3:$B$1314, "&lt;=" &amp; DX$1, DataRegularSeason20242025!$D$3:$D$1314, $A2)+SUMIFS(DataRegularSeason20242025!$AB$3:$AB$1314,DataRegularSeason20242025!$B$3:$B$1314, "&lt;=" &amp; DX$1, DataRegularSeason20242025!$E$3:$E$1314, $A2)</calculatedColumnFormula>
    </tableColumn>
    <tableColumn id="127" xr3:uid="{E293957A-5118-4DEE-A059-D3D828C06ADD}" name="2026-02-05" totalsRowFunction="average" dataDxfId="678">
      <calculatedColumnFormula>SUMIFS(DataRegularSeason20242025!$AA$3:$AA$1314,DataRegularSeason20242025!$B$3:$B$1314, "&lt;=" &amp; DY$1, DataRegularSeason20242025!$D$3:$D$1314, $A2)+SUMIFS(DataRegularSeason20242025!$AB$3:$AB$1314,DataRegularSeason20242025!$B$3:$B$1314, "&lt;=" &amp; DY$1, DataRegularSeason20242025!$E$3:$E$1314, $A2)</calculatedColumnFormula>
    </tableColumn>
    <tableColumn id="128" xr3:uid="{59EBEC59-E825-4C61-AB03-DE5FAD901269}" name="2026-02-06" totalsRowFunction="average" dataDxfId="677">
      <calculatedColumnFormula>SUMIFS(DataRegularSeason20242025!$AA$3:$AA$1314,DataRegularSeason20242025!$B$3:$B$1314, "&lt;=" &amp; DZ$1, DataRegularSeason20242025!$D$3:$D$1314, $A2)+SUMIFS(DataRegularSeason20242025!$AB$3:$AB$1314,DataRegularSeason20242025!$B$3:$B$1314, "&lt;=" &amp; DZ$1, DataRegularSeason20242025!$E$3:$E$1314, $A2)</calculatedColumnFormula>
    </tableColumn>
    <tableColumn id="129" xr3:uid="{98D3E91D-7F45-40E0-B048-2679EC934808}" name="2026-02-07" totalsRowFunction="average" dataDxfId="676">
      <calculatedColumnFormula>SUMIFS(DataRegularSeason20242025!$AA$3:$AA$1314,DataRegularSeason20242025!$B$3:$B$1314, "&lt;=" &amp; EA$1, DataRegularSeason20242025!$D$3:$D$1314, $A2)+SUMIFS(DataRegularSeason20242025!$AB$3:$AB$1314,DataRegularSeason20242025!$B$3:$B$1314, "&lt;=" &amp; EA$1, DataRegularSeason20242025!$E$3:$E$1314, $A2)</calculatedColumnFormula>
    </tableColumn>
    <tableColumn id="130" xr3:uid="{246F136C-32BA-450E-855E-BC6D92AC46E5}" name="2026-02-08" totalsRowFunction="average" dataDxfId="675">
      <calculatedColumnFormula>SUMIFS(DataRegularSeason20242025!$AA$3:$AA$1314,DataRegularSeason20242025!$B$3:$B$1314, "&lt;=" &amp; EB$1, DataRegularSeason20242025!$D$3:$D$1314, $A2)+SUMIFS(DataRegularSeason20242025!$AB$3:$AB$1314,DataRegularSeason20242025!$B$3:$B$1314, "&lt;=" &amp; EB$1, DataRegularSeason20242025!$E$3:$E$1314, $A2)</calculatedColumnFormula>
    </tableColumn>
    <tableColumn id="131" xr3:uid="{CD22998D-BD20-4C7D-9F4D-F87808EF59A2}" name="2026-02-09" totalsRowFunction="average" dataDxfId="674">
      <calculatedColumnFormula>SUMIFS(DataRegularSeason20242025!$AA$3:$AA$1314,DataRegularSeason20242025!$B$3:$B$1314, "&lt;=" &amp; EC$1, DataRegularSeason20242025!$D$3:$D$1314, $A2)+SUMIFS(DataRegularSeason20242025!$AB$3:$AB$1314,DataRegularSeason20242025!$B$3:$B$1314, "&lt;=" &amp; EC$1, DataRegularSeason20242025!$E$3:$E$1314, $A2)</calculatedColumnFormula>
    </tableColumn>
    <tableColumn id="132" xr3:uid="{C0399F34-EAA6-47C0-9A24-44400D27C9E2}" name="2026-02-10" totalsRowFunction="average" dataDxfId="673">
      <calculatedColumnFormula>SUMIFS(DataRegularSeason20242025!$AA$3:$AA$1314,DataRegularSeason20242025!$B$3:$B$1314, "&lt;=" &amp; ED$1, DataRegularSeason20242025!$D$3:$D$1314, $A2)+SUMIFS(DataRegularSeason20242025!$AB$3:$AB$1314,DataRegularSeason20242025!$B$3:$B$1314, "&lt;=" &amp; ED$1, DataRegularSeason20242025!$E$3:$E$1314, $A2)</calculatedColumnFormula>
    </tableColumn>
    <tableColumn id="133" xr3:uid="{5C970A8F-AD95-4DD8-85C8-246496A6E457}" name="2026-02-11" totalsRowFunction="average" dataDxfId="672">
      <calculatedColumnFormula>SUMIFS(DataRegularSeason20242025!$AA$3:$AA$1314,DataRegularSeason20242025!$B$3:$B$1314, "&lt;=" &amp; EE$1, DataRegularSeason20242025!$D$3:$D$1314, $A2)+SUMIFS(DataRegularSeason20242025!$AB$3:$AB$1314,DataRegularSeason20242025!$B$3:$B$1314, "&lt;=" &amp; EE$1, DataRegularSeason20242025!$E$3:$E$1314, $A2)</calculatedColumnFormula>
    </tableColumn>
    <tableColumn id="134" xr3:uid="{629F4C57-F535-45AA-84D3-07CABB5CC35C}" name="2026-02-12" totalsRowFunction="average" dataDxfId="671">
      <calculatedColumnFormula>SUMIFS(DataRegularSeason20242025!$AA$3:$AA$1314,DataRegularSeason20242025!$B$3:$B$1314, "&lt;=" &amp; EF$1, DataRegularSeason20242025!$D$3:$D$1314, $A2)+SUMIFS(DataRegularSeason20242025!$AB$3:$AB$1314,DataRegularSeason20242025!$B$3:$B$1314, "&lt;=" &amp; EF$1, DataRegularSeason20242025!$E$3:$E$1314, $A2)</calculatedColumnFormula>
    </tableColumn>
    <tableColumn id="135" xr3:uid="{DD3712DE-08A4-4D0C-845D-157BF59FE028}" name="2026-02-13" totalsRowFunction="average" dataDxfId="670">
      <calculatedColumnFormula>SUMIFS(DataRegularSeason20242025!$AA$3:$AA$1314,DataRegularSeason20242025!$B$3:$B$1314, "&lt;=" &amp; EG$1, DataRegularSeason20242025!$D$3:$D$1314, $A2)+SUMIFS(DataRegularSeason20242025!$AB$3:$AB$1314,DataRegularSeason20242025!$B$3:$B$1314, "&lt;=" &amp; EG$1, DataRegularSeason20242025!$E$3:$E$1314, $A2)</calculatedColumnFormula>
    </tableColumn>
    <tableColumn id="136" xr3:uid="{47019CA9-F698-4EA1-857E-1C938DED0164}" name="2026-02-14" totalsRowFunction="average" dataDxfId="669">
      <calculatedColumnFormula>SUMIFS(DataRegularSeason20242025!$AA$3:$AA$1314,DataRegularSeason20242025!$B$3:$B$1314, "&lt;=" &amp; EH$1, DataRegularSeason20242025!$D$3:$D$1314, $A2)+SUMIFS(DataRegularSeason20242025!$AB$3:$AB$1314,DataRegularSeason20242025!$B$3:$B$1314, "&lt;=" &amp; EH$1, DataRegularSeason20242025!$E$3:$E$1314, $A2)</calculatedColumnFormula>
    </tableColumn>
    <tableColumn id="137" xr3:uid="{9BDECDE5-AB9A-4941-A5E7-D5D003C335B5}" name="2026-02-15" totalsRowFunction="average" dataDxfId="668">
      <calculatedColumnFormula>SUMIFS(DataRegularSeason20242025!$AA$3:$AA$1314,DataRegularSeason20242025!$B$3:$B$1314, "&lt;=" &amp; EI$1, DataRegularSeason20242025!$D$3:$D$1314, $A2)+SUMIFS(DataRegularSeason20242025!$AB$3:$AB$1314,DataRegularSeason20242025!$B$3:$B$1314, "&lt;=" &amp; EI$1, DataRegularSeason20242025!$E$3:$E$1314, $A2)</calculatedColumnFormula>
    </tableColumn>
    <tableColumn id="138" xr3:uid="{7B71871B-A4BF-4D9B-A15A-3B3C8A0A52B5}" name="2026-02-16" totalsRowFunction="average" dataDxfId="667">
      <calculatedColumnFormula>SUMIFS(DataRegularSeason20242025!$AA$3:$AA$1314,DataRegularSeason20242025!$B$3:$B$1314, "&lt;=" &amp; EJ$1, DataRegularSeason20242025!$D$3:$D$1314, $A2)+SUMIFS(DataRegularSeason20242025!$AB$3:$AB$1314,DataRegularSeason20242025!$B$3:$B$1314, "&lt;=" &amp; EJ$1, DataRegularSeason20242025!$E$3:$E$1314, $A2)</calculatedColumnFormula>
    </tableColumn>
    <tableColumn id="139" xr3:uid="{6BEE0490-9B6F-4D05-8E67-FE02A894D4A5}" name="2026-02-17" totalsRowFunction="average" dataDxfId="666">
      <calculatedColumnFormula>SUMIFS(DataRegularSeason20242025!$AA$3:$AA$1314,DataRegularSeason20242025!$B$3:$B$1314, "&lt;=" &amp; EK$1, DataRegularSeason20242025!$D$3:$D$1314, $A2)+SUMIFS(DataRegularSeason20242025!$AB$3:$AB$1314,DataRegularSeason20242025!$B$3:$B$1314, "&lt;=" &amp; EK$1, DataRegularSeason20242025!$E$3:$E$1314, $A2)</calculatedColumnFormula>
    </tableColumn>
    <tableColumn id="140" xr3:uid="{D35CDB5A-D51A-4C41-94E4-0DB9C462D951}" name="2026-02-18" totalsRowFunction="average" dataDxfId="665">
      <calculatedColumnFormula>SUMIFS(DataRegularSeason20242025!$AA$3:$AA$1314,DataRegularSeason20242025!$B$3:$B$1314, "&lt;=" &amp; EL$1, DataRegularSeason20242025!$D$3:$D$1314, $A2)+SUMIFS(DataRegularSeason20242025!$AB$3:$AB$1314,DataRegularSeason20242025!$B$3:$B$1314, "&lt;=" &amp; EL$1, DataRegularSeason20242025!$E$3:$E$1314, $A2)</calculatedColumnFormula>
    </tableColumn>
    <tableColumn id="141" xr3:uid="{D4F71B0B-2ABD-43AA-9C8C-2AB2AD5BA1E0}" name="2026-02-19" totalsRowFunction="average" dataDxfId="664">
      <calculatedColumnFormula>SUMIFS(DataRegularSeason20242025!$AA$3:$AA$1314,DataRegularSeason20242025!$B$3:$B$1314, "&lt;=" &amp; EM$1, DataRegularSeason20242025!$D$3:$D$1314, $A2)+SUMIFS(DataRegularSeason20242025!$AB$3:$AB$1314,DataRegularSeason20242025!$B$3:$B$1314, "&lt;=" &amp; EM$1, DataRegularSeason20242025!$E$3:$E$1314, $A2)</calculatedColumnFormula>
    </tableColumn>
    <tableColumn id="142" xr3:uid="{A8B28D3F-35A2-491F-B575-BEBEF600D0B9}" name="2026-02-20" totalsRowFunction="average" dataDxfId="663">
      <calculatedColumnFormula>SUMIFS(DataRegularSeason20242025!$AA$3:$AA$1314,DataRegularSeason20242025!$B$3:$B$1314, "&lt;=" &amp; EN$1, DataRegularSeason20242025!$D$3:$D$1314, $A2)+SUMIFS(DataRegularSeason20242025!$AB$3:$AB$1314,DataRegularSeason20242025!$B$3:$B$1314, "&lt;=" &amp; EN$1, DataRegularSeason20242025!$E$3:$E$1314, $A2)</calculatedColumnFormula>
    </tableColumn>
    <tableColumn id="143" xr3:uid="{F0756CFE-C581-419E-8134-1BE4C6A182F2}" name="2026-02-21" totalsRowFunction="average" dataDxfId="662">
      <calculatedColumnFormula>SUMIFS(DataRegularSeason20242025!$AA$3:$AA$1314,DataRegularSeason20242025!$B$3:$B$1314, "&lt;=" &amp; EO$1, DataRegularSeason20242025!$D$3:$D$1314, $A2)+SUMIFS(DataRegularSeason20242025!$AB$3:$AB$1314,DataRegularSeason20242025!$B$3:$B$1314, "&lt;=" &amp; EO$1, DataRegularSeason20242025!$E$3:$E$1314, $A2)</calculatedColumnFormula>
    </tableColumn>
    <tableColumn id="144" xr3:uid="{956FAE37-9B9B-4073-AEBD-FA14E3733BC4}" name="2026-02-22" totalsRowFunction="average" dataDxfId="661">
      <calculatedColumnFormula>SUMIFS(DataRegularSeason20242025!$AA$3:$AA$1314,DataRegularSeason20242025!$B$3:$B$1314, "&lt;=" &amp; EP$1, DataRegularSeason20242025!$D$3:$D$1314, $A2)+SUMIFS(DataRegularSeason20242025!$AB$3:$AB$1314,DataRegularSeason20242025!$B$3:$B$1314, "&lt;=" &amp; EP$1, DataRegularSeason20242025!$E$3:$E$1314, $A2)</calculatedColumnFormula>
    </tableColumn>
    <tableColumn id="145" xr3:uid="{2B17C57F-7B80-4820-86BD-8F1D792BCF07}" name="2026-02-23" totalsRowFunction="average" dataDxfId="660">
      <calculatedColumnFormula>SUMIFS(DataRegularSeason20242025!$AA$3:$AA$1314,DataRegularSeason20242025!$B$3:$B$1314, "&lt;=" &amp; EQ$1, DataRegularSeason20242025!$D$3:$D$1314, $A2)+SUMIFS(DataRegularSeason20242025!$AB$3:$AB$1314,DataRegularSeason20242025!$B$3:$B$1314, "&lt;=" &amp; EQ$1, DataRegularSeason20242025!$E$3:$E$1314, $A2)</calculatedColumnFormula>
    </tableColumn>
    <tableColumn id="146" xr3:uid="{C3F872DF-4109-421D-BDD8-D84C989B5413}" name="2026-02-24" totalsRowFunction="average" dataDxfId="659">
      <calculatedColumnFormula>SUMIFS(DataRegularSeason20242025!$AA$3:$AA$1314,DataRegularSeason20242025!$B$3:$B$1314, "&lt;=" &amp; ER$1, DataRegularSeason20242025!$D$3:$D$1314, $A2)+SUMIFS(DataRegularSeason20242025!$AB$3:$AB$1314,DataRegularSeason20242025!$B$3:$B$1314, "&lt;=" &amp; ER$1, DataRegularSeason20242025!$E$3:$E$1314, $A2)</calculatedColumnFormula>
    </tableColumn>
    <tableColumn id="147" xr3:uid="{5A09E874-8504-43B3-9421-DE0E011BBE4A}" name="2026-02-25" totalsRowFunction="average" dataDxfId="658">
      <calculatedColumnFormula>SUMIFS(DataRegularSeason20242025!$AA$3:$AA$1314,DataRegularSeason20242025!$B$3:$B$1314, "&lt;=" &amp; ES$1, DataRegularSeason20242025!$D$3:$D$1314, $A2)+SUMIFS(DataRegularSeason20242025!$AB$3:$AB$1314,DataRegularSeason20242025!$B$3:$B$1314, "&lt;=" &amp; ES$1, DataRegularSeason20242025!$E$3:$E$1314, $A2)</calculatedColumnFormula>
    </tableColumn>
    <tableColumn id="148" xr3:uid="{2CCEAB0F-CED2-4D10-B8E9-BEC5D813F00C}" name="2026-02-26" totalsRowFunction="average" dataDxfId="657">
      <calculatedColumnFormula>SUMIFS(DataRegularSeason20242025!$AA$3:$AA$1314,DataRegularSeason20242025!$B$3:$B$1314, "&lt;=" &amp; ET$1, DataRegularSeason20242025!$D$3:$D$1314, $A2)+SUMIFS(DataRegularSeason20242025!$AB$3:$AB$1314,DataRegularSeason20242025!$B$3:$B$1314, "&lt;=" &amp; ET$1, DataRegularSeason20242025!$E$3:$E$1314, $A2)</calculatedColumnFormula>
    </tableColumn>
    <tableColumn id="149" xr3:uid="{71287495-9125-41B3-B15C-A368C71F8E7A}" name="2026-02-27" totalsRowFunction="average" dataDxfId="656">
      <calculatedColumnFormula>SUMIFS(DataRegularSeason20242025!$AA$3:$AA$1314,DataRegularSeason20242025!$B$3:$B$1314, "&lt;=" &amp; EU$1, DataRegularSeason20242025!$D$3:$D$1314, $A2)+SUMIFS(DataRegularSeason20242025!$AB$3:$AB$1314,DataRegularSeason20242025!$B$3:$B$1314, "&lt;=" &amp; EU$1, DataRegularSeason20242025!$E$3:$E$1314, $A2)</calculatedColumnFormula>
    </tableColumn>
    <tableColumn id="150" xr3:uid="{2F1D4033-EB21-4F92-BBD1-E95D37480A8E}" name="2026-02-28" totalsRowFunction="average" dataDxfId="655">
      <calculatedColumnFormula>SUMIFS(DataRegularSeason20242025!$AA$3:$AA$1314,DataRegularSeason20242025!$B$3:$B$1314, "&lt;=" &amp; EV$1, DataRegularSeason20242025!$D$3:$D$1314, $A2)+SUMIFS(DataRegularSeason20242025!$AB$3:$AB$1314,DataRegularSeason20242025!$B$3:$B$1314, "&lt;=" &amp; EV$1, DataRegularSeason20242025!$E$3:$E$1314, $A2)</calculatedColumnFormula>
    </tableColumn>
    <tableColumn id="151" xr3:uid="{7C956B89-7371-47D4-91B3-16BD3819A392}" name="2026-03-01" totalsRowFunction="average" dataDxfId="654">
      <calculatedColumnFormula>SUMIFS(DataRegularSeason20242025!$AA$3:$AA$1314,DataRegularSeason20242025!$B$3:$B$1314, "&lt;=" &amp; EW$1, DataRegularSeason20242025!$D$3:$D$1314, $A2)+SUMIFS(DataRegularSeason20242025!$AB$3:$AB$1314,DataRegularSeason20242025!$B$3:$B$1314, "&lt;=" &amp; EW$1, DataRegularSeason20242025!$E$3:$E$1314, $A2)</calculatedColumnFormula>
    </tableColumn>
    <tableColumn id="152" xr3:uid="{AECCCDBD-7206-4278-9B64-9D2A9D6EB076}" name="2026-03-02" totalsRowFunction="average" dataDxfId="653">
      <calculatedColumnFormula>SUMIFS(DataRegularSeason20242025!$AA$3:$AA$1314,DataRegularSeason20242025!$B$3:$B$1314, "&lt;=" &amp; EX$1, DataRegularSeason20242025!$D$3:$D$1314, $A2)+SUMIFS(DataRegularSeason20242025!$AB$3:$AB$1314,DataRegularSeason20242025!$B$3:$B$1314, "&lt;=" &amp; EX$1, DataRegularSeason20242025!$E$3:$E$1314, $A2)</calculatedColumnFormula>
    </tableColumn>
    <tableColumn id="153" xr3:uid="{767DC7DA-2522-453F-B9DC-CF6EB82B0174}" name="2026-03-03" totalsRowFunction="average" dataDxfId="652">
      <calculatedColumnFormula>SUMIFS(DataRegularSeason20242025!$AA$3:$AA$1314,DataRegularSeason20242025!$B$3:$B$1314, "&lt;=" &amp; EY$1, DataRegularSeason20242025!$D$3:$D$1314, $A2)+SUMIFS(DataRegularSeason20242025!$AB$3:$AB$1314,DataRegularSeason20242025!$B$3:$B$1314, "&lt;=" &amp; EY$1, DataRegularSeason20242025!$E$3:$E$1314, $A2)</calculatedColumnFormula>
    </tableColumn>
    <tableColumn id="154" xr3:uid="{5AE47394-F26B-4480-80BA-80A6B066D623}" name="2026-03-04" totalsRowFunction="average" dataDxfId="651">
      <calculatedColumnFormula>SUMIFS(DataRegularSeason20242025!$AA$3:$AA$1314,DataRegularSeason20242025!$B$3:$B$1314, "&lt;=" &amp; EZ$1, DataRegularSeason20242025!$D$3:$D$1314, $A2)+SUMIFS(DataRegularSeason20242025!$AB$3:$AB$1314,DataRegularSeason20242025!$B$3:$B$1314, "&lt;=" &amp; EZ$1, DataRegularSeason20242025!$E$3:$E$1314, $A2)</calculatedColumnFormula>
    </tableColumn>
    <tableColumn id="155" xr3:uid="{3264AC33-1FFC-4A7A-9520-760D616FF4B0}" name="2026-03-05" totalsRowFunction="average" dataDxfId="650">
      <calculatedColumnFormula>SUMIFS(DataRegularSeason20242025!$AA$3:$AA$1314,DataRegularSeason20242025!$B$3:$B$1314, "&lt;=" &amp; FA$1, DataRegularSeason20242025!$D$3:$D$1314, $A2)+SUMIFS(DataRegularSeason20242025!$AB$3:$AB$1314,DataRegularSeason20242025!$B$3:$B$1314, "&lt;=" &amp; FA$1, DataRegularSeason20242025!$E$3:$E$1314, $A2)</calculatedColumnFormula>
    </tableColumn>
    <tableColumn id="156" xr3:uid="{BEBE9600-796E-47E0-9E93-0191566D61E4}" name="2026-03-06" totalsRowFunction="average" dataDxfId="649">
      <calculatedColumnFormula>SUMIFS(DataRegularSeason20242025!$AA$3:$AA$1314,DataRegularSeason20242025!$B$3:$B$1314, "&lt;=" &amp; FB$1, DataRegularSeason20242025!$D$3:$D$1314, $A2)+SUMIFS(DataRegularSeason20242025!$AB$3:$AB$1314,DataRegularSeason20242025!$B$3:$B$1314, "&lt;=" &amp; FB$1, DataRegularSeason20242025!$E$3:$E$1314, $A2)</calculatedColumnFormula>
    </tableColumn>
    <tableColumn id="157" xr3:uid="{C17EC581-C5BB-491F-A240-D6B1E72C3146}" name="2026-03-07" totalsRowFunction="average" dataDxfId="648">
      <calculatedColumnFormula>SUMIFS(DataRegularSeason20242025!$AA$3:$AA$1314,DataRegularSeason20242025!$B$3:$B$1314, "&lt;=" &amp; FC$1, DataRegularSeason20242025!$D$3:$D$1314, $A2)+SUMIFS(DataRegularSeason20242025!$AB$3:$AB$1314,DataRegularSeason20242025!$B$3:$B$1314, "&lt;=" &amp; FC$1, DataRegularSeason20242025!$E$3:$E$1314, $A2)</calculatedColumnFormula>
    </tableColumn>
    <tableColumn id="158" xr3:uid="{7F3E26BE-FF35-41D6-B4E1-651ACD659A64}" name="2026-03-08" totalsRowFunction="average" dataDxfId="647">
      <calculatedColumnFormula>SUMIFS(DataRegularSeason20242025!$AA$3:$AA$1314,DataRegularSeason20242025!$B$3:$B$1314, "&lt;=" &amp; FD$1, DataRegularSeason20242025!$D$3:$D$1314, $A2)+SUMIFS(DataRegularSeason20242025!$AB$3:$AB$1314,DataRegularSeason20242025!$B$3:$B$1314, "&lt;=" &amp; FD$1, DataRegularSeason20242025!$E$3:$E$1314, $A2)</calculatedColumnFormula>
    </tableColumn>
    <tableColumn id="159" xr3:uid="{DE7F5380-9A8C-443C-94A1-34D74E2B212D}" name="2026-03-09" totalsRowFunction="average" dataDxfId="646">
      <calculatedColumnFormula>SUMIFS(DataRegularSeason20242025!$AA$3:$AA$1314,DataRegularSeason20242025!$B$3:$B$1314, "&lt;=" &amp; FE$1, DataRegularSeason20242025!$D$3:$D$1314, $A2)+SUMIFS(DataRegularSeason20242025!$AB$3:$AB$1314,DataRegularSeason20242025!$B$3:$B$1314, "&lt;=" &amp; FE$1, DataRegularSeason20242025!$E$3:$E$1314, $A2)</calculatedColumnFormula>
    </tableColumn>
    <tableColumn id="160" xr3:uid="{F80CA264-8138-4857-8C3C-3D08FC2E6197}" name="2026-03-10" totalsRowFunction="average" dataDxfId="645">
      <calculatedColumnFormula>SUMIFS(DataRegularSeason20242025!$AA$3:$AA$1314,DataRegularSeason20242025!$B$3:$B$1314, "&lt;=" &amp; FF$1, DataRegularSeason20242025!$D$3:$D$1314, $A2)+SUMIFS(DataRegularSeason20242025!$AB$3:$AB$1314,DataRegularSeason20242025!$B$3:$B$1314, "&lt;=" &amp; FF$1, DataRegularSeason20242025!$E$3:$E$1314, $A2)</calculatedColumnFormula>
    </tableColumn>
    <tableColumn id="161" xr3:uid="{2924570F-F1E0-4BCF-877F-73639FB5AFC8}" name="2026-03-11" totalsRowFunction="average" dataDxfId="644">
      <calculatedColumnFormula>SUMIFS(DataRegularSeason20242025!$AA$3:$AA$1314,DataRegularSeason20242025!$B$3:$B$1314, "&lt;=" &amp; FG$1, DataRegularSeason20242025!$D$3:$D$1314, $A2)+SUMIFS(DataRegularSeason20242025!$AB$3:$AB$1314,DataRegularSeason20242025!$B$3:$B$1314, "&lt;=" &amp; FG$1, DataRegularSeason20242025!$E$3:$E$1314, $A2)</calculatedColumnFormula>
    </tableColumn>
    <tableColumn id="162" xr3:uid="{34B469C8-391F-4715-8318-C29EA5B8D3B1}" name="2026-03-12" totalsRowFunction="average" dataDxfId="643">
      <calculatedColumnFormula>SUMIFS(DataRegularSeason20242025!$AA$3:$AA$1314,DataRegularSeason20242025!$B$3:$B$1314, "&lt;=" &amp; FH$1, DataRegularSeason20242025!$D$3:$D$1314, $A2)+SUMIFS(DataRegularSeason20242025!$AB$3:$AB$1314,DataRegularSeason20242025!$B$3:$B$1314, "&lt;=" &amp; FH$1, DataRegularSeason20242025!$E$3:$E$1314, $A2)</calculatedColumnFormula>
    </tableColumn>
    <tableColumn id="163" xr3:uid="{9A7DF99A-6703-4D63-BEBD-11DA3E823326}" name="2026-03-13" totalsRowFunction="average" dataDxfId="642">
      <calculatedColumnFormula>SUMIFS(DataRegularSeason20242025!$AA$3:$AA$1314,DataRegularSeason20242025!$B$3:$B$1314, "&lt;=" &amp; FI$1, DataRegularSeason20242025!$D$3:$D$1314, $A2)+SUMIFS(DataRegularSeason20242025!$AB$3:$AB$1314,DataRegularSeason20242025!$B$3:$B$1314, "&lt;=" &amp; FI$1, DataRegularSeason20242025!$E$3:$E$1314, $A2)</calculatedColumnFormula>
    </tableColumn>
    <tableColumn id="164" xr3:uid="{464186C5-934E-4163-AE2A-318D6543AB20}" name="2026-03-14" totalsRowFunction="average" dataDxfId="641">
      <calculatedColumnFormula>SUMIFS(DataRegularSeason20242025!$AA$3:$AA$1314,DataRegularSeason20242025!$B$3:$B$1314, "&lt;=" &amp; FJ$1, DataRegularSeason20242025!$D$3:$D$1314, $A2)+SUMIFS(DataRegularSeason20242025!$AB$3:$AB$1314,DataRegularSeason20242025!$B$3:$B$1314, "&lt;=" &amp; FJ$1, DataRegularSeason20242025!$E$3:$E$1314, $A2)</calculatedColumnFormula>
    </tableColumn>
    <tableColumn id="165" xr3:uid="{3BEAB947-5E7D-4D3A-A2B6-51AD475F39F3}" name="2026-03-15" totalsRowFunction="average" dataDxfId="640">
      <calculatedColumnFormula>SUMIFS(DataRegularSeason20242025!$AA$3:$AA$1314,DataRegularSeason20242025!$B$3:$B$1314, "&lt;=" &amp; FK$1, DataRegularSeason20242025!$D$3:$D$1314, $A2)+SUMIFS(DataRegularSeason20242025!$AB$3:$AB$1314,DataRegularSeason20242025!$B$3:$B$1314, "&lt;=" &amp; FK$1, DataRegularSeason20242025!$E$3:$E$1314, $A2)</calculatedColumnFormula>
    </tableColumn>
    <tableColumn id="166" xr3:uid="{249560B5-9325-4622-A916-EA00A2DCE4FA}" name="2026-03-16" totalsRowFunction="average" dataDxfId="639">
      <calculatedColumnFormula>SUMIFS(DataRegularSeason20242025!$AA$3:$AA$1314,DataRegularSeason20242025!$B$3:$B$1314, "&lt;=" &amp; FL$1, DataRegularSeason20242025!$D$3:$D$1314, $A2)+SUMIFS(DataRegularSeason20242025!$AB$3:$AB$1314,DataRegularSeason20242025!$B$3:$B$1314, "&lt;=" &amp; FL$1, DataRegularSeason20242025!$E$3:$E$1314, $A2)</calculatedColumnFormula>
    </tableColumn>
    <tableColumn id="167" xr3:uid="{8C03DFD6-F34A-4B57-9A1D-467E1685F0F2}" name="2026-03-17" totalsRowFunction="average" dataDxfId="638">
      <calculatedColumnFormula>SUMIFS(DataRegularSeason20242025!$AA$3:$AA$1314,DataRegularSeason20242025!$B$3:$B$1314, "&lt;=" &amp; FM$1, DataRegularSeason20242025!$D$3:$D$1314, $A2)+SUMIFS(DataRegularSeason20242025!$AB$3:$AB$1314,DataRegularSeason20242025!$B$3:$B$1314, "&lt;=" &amp; FM$1, DataRegularSeason20242025!$E$3:$E$1314, $A2)</calculatedColumnFormula>
    </tableColumn>
    <tableColumn id="168" xr3:uid="{CB31EFC7-F6CA-4CC7-A212-F1378E90CF55}" name="2026-03-18" totalsRowFunction="average" dataDxfId="637">
      <calculatedColumnFormula>SUMIFS(DataRegularSeason20242025!$AA$3:$AA$1314,DataRegularSeason20242025!$B$3:$B$1314, "&lt;=" &amp; FN$1, DataRegularSeason20242025!$D$3:$D$1314, $A2)+SUMIFS(DataRegularSeason20242025!$AB$3:$AB$1314,DataRegularSeason20242025!$B$3:$B$1314, "&lt;=" &amp; FN$1, DataRegularSeason20242025!$E$3:$E$1314, $A2)</calculatedColumnFormula>
    </tableColumn>
    <tableColumn id="169" xr3:uid="{54B7D59D-9314-49E0-8E04-5DBD63FDB134}" name="2026-03-19" totalsRowFunction="average" dataDxfId="636">
      <calculatedColumnFormula>SUMIFS(DataRegularSeason20242025!$AA$3:$AA$1314,DataRegularSeason20242025!$B$3:$B$1314, "&lt;=" &amp; FO$1, DataRegularSeason20242025!$D$3:$D$1314, $A2)+SUMIFS(DataRegularSeason20242025!$AB$3:$AB$1314,DataRegularSeason20242025!$B$3:$B$1314, "&lt;=" &amp; FO$1, DataRegularSeason20242025!$E$3:$E$1314, $A2)</calculatedColumnFormula>
    </tableColumn>
    <tableColumn id="170" xr3:uid="{5A142D2D-F022-4A75-B27F-6332F472682A}" name="2026-03-20" totalsRowFunction="average" dataDxfId="635">
      <calculatedColumnFormula>SUMIFS(DataRegularSeason20242025!$AA$3:$AA$1314,DataRegularSeason20242025!$B$3:$B$1314, "&lt;=" &amp; FP$1, DataRegularSeason20242025!$D$3:$D$1314, $A2)+SUMIFS(DataRegularSeason20242025!$AB$3:$AB$1314,DataRegularSeason20242025!$B$3:$B$1314, "&lt;=" &amp; FP$1, DataRegularSeason20242025!$E$3:$E$1314, $A2)</calculatedColumnFormula>
    </tableColumn>
    <tableColumn id="171" xr3:uid="{8E93A6D5-4E4E-48DB-9DA6-B87A9C5A5045}" name="2026-03-21" totalsRowFunction="average" dataDxfId="634">
      <calculatedColumnFormula>SUMIFS(DataRegularSeason20242025!$AA$3:$AA$1314,DataRegularSeason20242025!$B$3:$B$1314, "&lt;=" &amp; FQ$1, DataRegularSeason20242025!$D$3:$D$1314, $A2)+SUMIFS(DataRegularSeason20242025!$AB$3:$AB$1314,DataRegularSeason20242025!$B$3:$B$1314, "&lt;=" &amp; FQ$1, DataRegularSeason20242025!$E$3:$E$1314, $A2)</calculatedColumnFormula>
    </tableColumn>
    <tableColumn id="172" xr3:uid="{1E412919-AD5E-4843-9A2F-AA0B56D9E025}" name="2026-03-22" totalsRowFunction="average" dataDxfId="633">
      <calculatedColumnFormula>SUMIFS(DataRegularSeason20242025!$AA$3:$AA$1314,DataRegularSeason20242025!$B$3:$B$1314, "&lt;=" &amp; FR$1, DataRegularSeason20242025!$D$3:$D$1314, $A2)+SUMIFS(DataRegularSeason20242025!$AB$3:$AB$1314,DataRegularSeason20242025!$B$3:$B$1314, "&lt;=" &amp; FR$1, DataRegularSeason20242025!$E$3:$E$1314, $A2)</calculatedColumnFormula>
    </tableColumn>
    <tableColumn id="173" xr3:uid="{7C03B5A7-4C10-473A-80B2-7D4D2EC1CC4B}" name="2026-03-23" totalsRowFunction="average" dataDxfId="632">
      <calculatedColumnFormula>SUMIFS(DataRegularSeason20242025!$AA$3:$AA$1314,DataRegularSeason20242025!$B$3:$B$1314, "&lt;=" &amp; FS$1, DataRegularSeason20242025!$D$3:$D$1314, $A2)+SUMIFS(DataRegularSeason20242025!$AB$3:$AB$1314,DataRegularSeason20242025!$B$3:$B$1314, "&lt;=" &amp; FS$1, DataRegularSeason20242025!$E$3:$E$1314, $A2)</calculatedColumnFormula>
    </tableColumn>
    <tableColumn id="174" xr3:uid="{0F732806-954A-4DE8-AAF0-02E636DDD13E}" name="2026-03-24" totalsRowFunction="average" dataDxfId="631">
      <calculatedColumnFormula>SUMIFS(DataRegularSeason20242025!$AA$3:$AA$1314,DataRegularSeason20242025!$B$3:$B$1314, "&lt;=" &amp; FT$1, DataRegularSeason20242025!$D$3:$D$1314, $A2)+SUMIFS(DataRegularSeason20242025!$AB$3:$AB$1314,DataRegularSeason20242025!$B$3:$B$1314, "&lt;=" &amp; FT$1, DataRegularSeason20242025!$E$3:$E$1314, $A2)</calculatedColumnFormula>
    </tableColumn>
    <tableColumn id="175" xr3:uid="{EEEB69C9-4F9D-4122-869D-B003510D7605}" name="2026-03-25" totalsRowFunction="average" dataDxfId="630">
      <calculatedColumnFormula>SUMIFS(DataRegularSeason20242025!$AA$3:$AA$1314,DataRegularSeason20242025!$B$3:$B$1314, "&lt;=" &amp; FU$1, DataRegularSeason20242025!$D$3:$D$1314, $A2)+SUMIFS(DataRegularSeason20242025!$AB$3:$AB$1314,DataRegularSeason20242025!$B$3:$B$1314, "&lt;=" &amp; FU$1, DataRegularSeason20242025!$E$3:$E$1314, $A2)</calculatedColumnFormula>
    </tableColumn>
    <tableColumn id="176" xr3:uid="{36A356B0-B923-4AFD-B208-C110902FA783}" name="2026-03-26" totalsRowFunction="average" dataDxfId="629">
      <calculatedColumnFormula>SUMIFS(DataRegularSeason20242025!$AA$3:$AA$1314,DataRegularSeason20242025!$B$3:$B$1314, "&lt;=" &amp; FV$1, DataRegularSeason20242025!$D$3:$D$1314, $A2)+SUMIFS(DataRegularSeason20242025!$AB$3:$AB$1314,DataRegularSeason20242025!$B$3:$B$1314, "&lt;=" &amp; FV$1, DataRegularSeason20242025!$E$3:$E$1314, $A2)</calculatedColumnFormula>
    </tableColumn>
    <tableColumn id="177" xr3:uid="{D929B8E9-F818-48D4-A7B9-BACB3D596EE4}" name="2026-03-27" totalsRowFunction="average" dataDxfId="628">
      <calculatedColumnFormula>SUMIFS(DataRegularSeason20242025!$AA$3:$AA$1314,DataRegularSeason20242025!$B$3:$B$1314, "&lt;=" &amp; FW$1, DataRegularSeason20242025!$D$3:$D$1314, $A2)+SUMIFS(DataRegularSeason20242025!$AB$3:$AB$1314,DataRegularSeason20242025!$B$3:$B$1314, "&lt;=" &amp; FW$1, DataRegularSeason20242025!$E$3:$E$1314, $A2)</calculatedColumnFormula>
    </tableColumn>
    <tableColumn id="178" xr3:uid="{CF2A35CC-0737-4BFF-B9A4-C37193FBC874}" name="2026-03-28" totalsRowFunction="average" dataDxfId="627">
      <calculatedColumnFormula>SUMIFS(DataRegularSeason20242025!$AA$3:$AA$1314,DataRegularSeason20242025!$B$3:$B$1314, "&lt;=" &amp; FX$1, DataRegularSeason20242025!$D$3:$D$1314, $A2)+SUMIFS(DataRegularSeason20242025!$AB$3:$AB$1314,DataRegularSeason20242025!$B$3:$B$1314, "&lt;=" &amp; FX$1, DataRegularSeason20242025!$E$3:$E$1314, $A2)</calculatedColumnFormula>
    </tableColumn>
    <tableColumn id="179" xr3:uid="{37DD0BE8-1178-427F-BC5A-CA600B970B7E}" name="2026-03-29" totalsRowFunction="average" dataDxfId="626">
      <calculatedColumnFormula>SUMIFS(DataRegularSeason20242025!$AA$3:$AA$1314,DataRegularSeason20242025!$B$3:$B$1314, "&lt;=" &amp; FY$1, DataRegularSeason20242025!$D$3:$D$1314, $A2)+SUMIFS(DataRegularSeason20242025!$AB$3:$AB$1314,DataRegularSeason20242025!$B$3:$B$1314, "&lt;=" &amp; FY$1, DataRegularSeason20242025!$E$3:$E$1314, $A2)</calculatedColumnFormula>
    </tableColumn>
    <tableColumn id="180" xr3:uid="{D52386E3-6282-45C6-B151-1EBB5C2A2DFF}" name="2026-03-30" totalsRowFunction="average" dataDxfId="625">
      <calculatedColumnFormula>SUMIFS(DataRegularSeason20242025!$AA$3:$AA$1314,DataRegularSeason20242025!$B$3:$B$1314, "&lt;=" &amp; FZ$1, DataRegularSeason20242025!$D$3:$D$1314, $A2)+SUMIFS(DataRegularSeason20242025!$AB$3:$AB$1314,DataRegularSeason20242025!$B$3:$B$1314, "&lt;=" &amp; FZ$1, DataRegularSeason20242025!$E$3:$E$1314, $A2)</calculatedColumnFormula>
    </tableColumn>
    <tableColumn id="181" xr3:uid="{F2B3A765-C99E-457B-B012-F6E49509EB54}" name="2026-03-31" totalsRowFunction="average" dataDxfId="624">
      <calculatedColumnFormula>SUMIFS(DataRegularSeason20242025!$AA$3:$AA$1314,DataRegularSeason20242025!$B$3:$B$1314, "&lt;=" &amp; GA$1, DataRegularSeason20242025!$D$3:$D$1314, $A2)+SUMIFS(DataRegularSeason20242025!$AB$3:$AB$1314,DataRegularSeason20242025!$B$3:$B$1314, "&lt;=" &amp; GA$1, DataRegularSeason20242025!$E$3:$E$1314, $A2)</calculatedColumnFormula>
    </tableColumn>
    <tableColumn id="182" xr3:uid="{8466FFFE-EF1C-42CA-BE58-A48355F6F5F2}" name="2026-04-01" totalsRowFunction="average" dataDxfId="623">
      <calculatedColumnFormula>SUMIFS(DataRegularSeason20242025!$AA$3:$AA$1314,DataRegularSeason20242025!$B$3:$B$1314, "&lt;=" &amp; GB$1, DataRegularSeason20242025!$D$3:$D$1314, $A2)+SUMIFS(DataRegularSeason20242025!$AB$3:$AB$1314,DataRegularSeason20242025!$B$3:$B$1314, "&lt;=" &amp; GB$1, DataRegularSeason20242025!$E$3:$E$1314, $A2)</calculatedColumnFormula>
    </tableColumn>
    <tableColumn id="183" xr3:uid="{A1A90A97-F982-4AE0-AF2A-D5EA08469805}" name="2026-04-02" totalsRowFunction="average" dataDxfId="622">
      <calculatedColumnFormula>SUMIFS(DataRegularSeason20242025!$AA$3:$AA$1314,DataRegularSeason20242025!$B$3:$B$1314, "&lt;=" &amp; GC$1, DataRegularSeason20242025!$D$3:$D$1314, $A2)+SUMIFS(DataRegularSeason20242025!$AB$3:$AB$1314,DataRegularSeason20242025!$B$3:$B$1314, "&lt;=" &amp; GC$1, DataRegularSeason20242025!$E$3:$E$1314, $A2)</calculatedColumnFormula>
    </tableColumn>
    <tableColumn id="184" xr3:uid="{434E1BB5-DEFA-4539-82F4-E96931DE225E}" name="2026-04-03" totalsRowFunction="average" dataDxfId="621">
      <calculatedColumnFormula>SUMIFS(DataRegularSeason20242025!$AA$3:$AA$1314,DataRegularSeason20242025!$B$3:$B$1314, "&lt;=" &amp; GD$1, DataRegularSeason20242025!$D$3:$D$1314, $A2)+SUMIFS(DataRegularSeason20242025!$AB$3:$AB$1314,DataRegularSeason20242025!$B$3:$B$1314, "&lt;=" &amp; GD$1, DataRegularSeason20242025!$E$3:$E$1314, $A2)</calculatedColumnFormula>
    </tableColumn>
    <tableColumn id="185" xr3:uid="{43841276-18DC-4C08-9835-71848C70D060}" name="2026-04-04" totalsRowFunction="average" dataDxfId="620">
      <calculatedColumnFormula>SUMIFS(DataRegularSeason20242025!$AA$3:$AA$1314,DataRegularSeason20242025!$B$3:$B$1314, "&lt;=" &amp; GE$1, DataRegularSeason20242025!$D$3:$D$1314, $A2)+SUMIFS(DataRegularSeason20242025!$AB$3:$AB$1314,DataRegularSeason20242025!$B$3:$B$1314, "&lt;=" &amp; GE$1, DataRegularSeason20242025!$E$3:$E$1314, $A2)</calculatedColumnFormula>
    </tableColumn>
    <tableColumn id="186" xr3:uid="{9F87F7EE-6E78-46FB-883B-E8A70698A498}" name="2026-04-05" totalsRowFunction="average" dataDxfId="619">
      <calculatedColumnFormula>SUMIFS(DataRegularSeason20242025!$AA$3:$AA$1314,DataRegularSeason20242025!$B$3:$B$1314, "&lt;=" &amp; GF$1, DataRegularSeason20242025!$D$3:$D$1314, $A2)+SUMIFS(DataRegularSeason20242025!$AB$3:$AB$1314,DataRegularSeason20242025!$B$3:$B$1314, "&lt;=" &amp; GF$1, DataRegularSeason20242025!$E$3:$E$1314, $A2)</calculatedColumnFormula>
    </tableColumn>
    <tableColumn id="187" xr3:uid="{1F41BCF8-9E61-44CC-9588-E8EF53E17E6F}" name="2026-04-06" totalsRowFunction="average" dataDxfId="618">
      <calculatedColumnFormula>SUMIFS(DataRegularSeason20242025!$AA$3:$AA$1314,DataRegularSeason20242025!$B$3:$B$1314, "&lt;=" &amp; GG$1, DataRegularSeason20242025!$D$3:$D$1314, $A2)+SUMIFS(DataRegularSeason20242025!$AB$3:$AB$1314,DataRegularSeason20242025!$B$3:$B$1314, "&lt;=" &amp; GG$1, DataRegularSeason20242025!$E$3:$E$1314, $A2)</calculatedColumnFormula>
    </tableColumn>
    <tableColumn id="188" xr3:uid="{698E8FB0-1831-4233-8007-D8F11E840F2B}" name="2026-04-07" totalsRowFunction="average" dataDxfId="617">
      <calculatedColumnFormula>SUMIFS(DataRegularSeason20242025!$AA$3:$AA$1314,DataRegularSeason20242025!$B$3:$B$1314, "&lt;=" &amp; GH$1, DataRegularSeason20242025!$D$3:$D$1314, $A2)+SUMIFS(DataRegularSeason20242025!$AB$3:$AB$1314,DataRegularSeason20242025!$B$3:$B$1314, "&lt;=" &amp; GH$1, DataRegularSeason20242025!$E$3:$E$1314, $A2)</calculatedColumnFormula>
    </tableColumn>
    <tableColumn id="189" xr3:uid="{1193F214-4F1C-45C2-86E8-E27C01D71C9D}" name="2026-04-08" totalsRowFunction="average" dataDxfId="616">
      <calculatedColumnFormula>SUMIFS(DataRegularSeason20242025!$AA$3:$AA$1314,DataRegularSeason20242025!$B$3:$B$1314, "&lt;=" &amp; GI$1, DataRegularSeason20242025!$D$3:$D$1314, $A2)+SUMIFS(DataRegularSeason20242025!$AB$3:$AB$1314,DataRegularSeason20242025!$B$3:$B$1314, "&lt;=" &amp; GI$1, DataRegularSeason20242025!$E$3:$E$1314, $A2)</calculatedColumnFormula>
    </tableColumn>
    <tableColumn id="190" xr3:uid="{BB97A16B-E99B-49DC-ABBC-6470DC5FC1AB}" name="2026-04-09" totalsRowFunction="average" dataDxfId="615">
      <calculatedColumnFormula>SUMIFS(DataRegularSeason20242025!$AA$3:$AA$1314,DataRegularSeason20242025!$B$3:$B$1314, "&lt;=" &amp; GJ$1, DataRegularSeason20242025!$D$3:$D$1314, $A2)+SUMIFS(DataRegularSeason20242025!$AB$3:$AB$1314,DataRegularSeason20242025!$B$3:$B$1314, "&lt;=" &amp; GJ$1, DataRegularSeason20242025!$E$3:$E$1314, $A2)</calculatedColumnFormula>
    </tableColumn>
    <tableColumn id="191" xr3:uid="{D25E5259-B7F9-4F8E-B369-25F4016E1DA0}" name="2026-04-10" totalsRowFunction="average" dataDxfId="614">
      <calculatedColumnFormula>SUMIFS(DataRegularSeason20242025!$AA$3:$AA$1314,DataRegularSeason20242025!$B$3:$B$1314, "&lt;=" &amp; GK$1, DataRegularSeason20242025!$D$3:$D$1314, $A2)+SUMIFS(DataRegularSeason20242025!$AB$3:$AB$1314,DataRegularSeason20242025!$B$3:$B$1314, "&lt;=" &amp; GK$1, DataRegularSeason20242025!$E$3:$E$1314, $A2)</calculatedColumnFormula>
    </tableColumn>
    <tableColumn id="192" xr3:uid="{5B295BC9-F645-4EDC-8184-E2BDB35368FD}" name="2026-04-11" totalsRowFunction="average" dataDxfId="613">
      <calculatedColumnFormula>SUMIFS(DataRegularSeason20242025!$AA$3:$AA$1314,DataRegularSeason20242025!$B$3:$B$1314, "&lt;=" &amp; GL$1, DataRegularSeason20242025!$D$3:$D$1314, $A2)+SUMIFS(DataRegularSeason20242025!$AB$3:$AB$1314,DataRegularSeason20242025!$B$3:$B$1314, "&lt;=" &amp; GL$1, DataRegularSeason20242025!$E$3:$E$1314, $A2)</calculatedColumnFormula>
    </tableColumn>
    <tableColumn id="193" xr3:uid="{567926CE-9BB1-404F-9C91-58DF99001DA4}" name="2026-04-12" totalsRowFunction="average" dataDxfId="612">
      <calculatedColumnFormula>SUMIFS(DataRegularSeason20242025!$AA$3:$AA$1314,DataRegularSeason20242025!$B$3:$B$1314, "&lt;=" &amp; GM$1, DataRegularSeason20242025!$D$3:$D$1314, $A2)+SUMIFS(DataRegularSeason20242025!$AB$3:$AB$1314,DataRegularSeason20242025!$B$3:$B$1314, "&lt;=" &amp; GM$1, DataRegularSeason20242025!$E$3:$E$1314, $A2)</calculatedColumnFormula>
    </tableColumn>
    <tableColumn id="194" xr3:uid="{2E3ED4BF-40BA-448C-BBC6-81231513D239}" name="2026-04-13" totalsRowFunction="average" dataDxfId="611">
      <calculatedColumnFormula>SUMIFS(DataRegularSeason20242025!$AA$3:$AA$1314,DataRegularSeason20242025!$B$3:$B$1314, "&lt;=" &amp; GN$1, DataRegularSeason20242025!$D$3:$D$1314, $A2)+SUMIFS(DataRegularSeason20242025!$AB$3:$AB$1314,DataRegularSeason20242025!$B$3:$B$1314, "&lt;=" &amp; GN$1, DataRegularSeason20242025!$E$3:$E$1314, $A2)</calculatedColumnFormula>
    </tableColumn>
    <tableColumn id="195" xr3:uid="{5073918A-70CF-4362-8F7D-74CE6013D8C7}" name="2026-04-14" totalsRowFunction="average" dataDxfId="610">
      <calculatedColumnFormula>SUMIFS(DataRegularSeason20242025!$AA$3:$AA$1314,DataRegularSeason20242025!$B$3:$B$1314, "&lt;=" &amp; GO$1, DataRegularSeason20242025!$D$3:$D$1314, $A2)+SUMIFS(DataRegularSeason20242025!$AB$3:$AB$1314,DataRegularSeason20242025!$B$3:$B$1314, "&lt;=" &amp; GO$1, DataRegularSeason20242025!$E$3:$E$1314, $A2)</calculatedColumnFormula>
    </tableColumn>
    <tableColumn id="196" xr3:uid="{3F5C5022-8663-4E7B-9472-EABAD555F540}" name="2026-04-15" totalsRowFunction="average" dataDxfId="609">
      <calculatedColumnFormula>SUMIFS(DataRegularSeason20242025!$AA$3:$AA$1314,DataRegularSeason20242025!$B$3:$B$1314, "&lt;=" &amp; GP$1, DataRegularSeason20242025!$D$3:$D$1314, $A2)+SUMIFS(DataRegularSeason20242025!$AB$3:$AB$1314,DataRegularSeason20242025!$B$3:$B$1314, "&lt;=" &amp; GP$1, DataRegularSeason20242025!$E$3:$E$1314, $A2)</calculatedColumnFormula>
    </tableColumn>
    <tableColumn id="197" xr3:uid="{0B4D77A8-E5A1-4FAF-9926-0E0F56124EF6}" name="2026-04-16" totalsRowFunction="average" dataDxfId="608">
      <calculatedColumnFormula>SUMIFS(DataRegularSeason20242025!$AA$3:$AA$1314,DataRegularSeason20242025!$B$3:$B$1314, "&lt;=" &amp; GQ$1, DataRegularSeason20242025!$D$3:$D$1314, $A2)+SUMIFS(DataRegularSeason20242025!$AB$3:$AB$1314,DataRegularSeason20242025!$B$3:$B$1314, "&lt;=" &amp; GQ$1, DataRegularSeason20242025!$E$3:$E$1314, $A2)</calculatedColumnFormula>
    </tableColumn>
    <tableColumn id="198" xr3:uid="{AD18CDC6-6635-4AB6-AF9F-5164A6B543EB}" name="2026-04-17" totalsRowFunction="average" dataDxfId="607">
      <calculatedColumnFormula>SUMIFS(DataRegularSeason20242025!$AA$3:$AA$1314,DataRegularSeason20242025!$B$3:$B$1314, "&lt;=" &amp; GR$1, DataRegularSeason20242025!$D$3:$D$1314, $A2)+SUMIFS(DataRegularSeason20242025!$AB$3:$AB$1314,DataRegularSeason20242025!$B$3:$B$1314, "&lt;=" &amp; GR$1, DataRegularSeason20242025!$E$3:$E$1314, $A2)</calculatedColumnFormula>
    </tableColumn>
    <tableColumn id="199" xr3:uid="{927367F0-7578-4F8B-8B7E-FFCBA102691E}" name="2026-04-18" totalsRowFunction="average" dataDxfId="606">
      <calculatedColumnFormula>SUMIFS(DataRegularSeason20242025!$AA$3:$AA$1314,DataRegularSeason20242025!$B$3:$B$1314, "&lt;=" &amp; GS$1, DataRegularSeason20242025!$D$3:$D$1314, $A2)+SUMIFS(DataRegularSeason20242025!$AB$3:$AB$1314,DataRegularSeason20242025!$B$3:$B$1314, "&lt;=" &amp; GS$1, DataRegularSeason20242025!$E$3:$E$1314, $A2)</calculatedColumnFormula>
    </tableColumn>
    <tableColumn id="200" xr3:uid="{CD650E3A-5D8A-43D9-B2E9-3126A0A13474}" name="2026-04-19" totalsRowFunction="average" dataDxfId="605">
      <calculatedColumnFormula>SUMIFS(DataRegularSeason20242025!$AA$3:$AA$1314,DataRegularSeason20242025!$B$3:$B$1314, "&lt;=" &amp; GT$1, DataRegularSeason20242025!$D$3:$D$1314, $A2)+SUMIFS(DataRegularSeason20242025!$AB$3:$AB$1314,DataRegularSeason20242025!$B$3:$B$1314, "&lt;=" &amp; GT$1, DataRegularSeason20242025!$E$3:$E$1314, $A2)</calculatedColumnFormula>
    </tableColumn>
    <tableColumn id="201" xr3:uid="{BF7EAF0B-8161-4D9A-8F96-AA2053C3935E}" name="2026-04-20" totalsRowFunction="average" dataDxfId="604">
      <calculatedColumnFormula>SUMIFS(DataRegularSeason20242025!$AA$3:$AA$1314,DataRegularSeason20242025!$B$3:$B$1314, "&lt;=" &amp; GU$1, DataRegularSeason20242025!$D$3:$D$1314, $A2)+SUMIFS(DataRegularSeason20242025!$AB$3:$AB$1314,DataRegularSeason20242025!$B$3:$B$1314, "&lt;=" &amp; GU$1, DataRegularSeason20242025!$E$3:$E$1314, $A2)</calculatedColumnFormula>
    </tableColumn>
    <tableColumn id="202" xr3:uid="{495DB4D4-CC86-44B5-8FC8-3E015263DE6C}" name="2025-04-21" dataDxfId="603"/>
    <tableColumn id="203" xr3:uid="{EF04B5B5-9142-4C44-8A69-7BDEC74C0F2F}" name="2025-04-22" dataDxfId="602"/>
    <tableColumn id="204" xr3:uid="{82B364E6-C40F-4EA4-B27D-9C321844B44D}" name="2025-04-23" dataDxfId="601"/>
    <tableColumn id="205" xr3:uid="{A3EE5B43-B6BC-40EA-85FF-398957E3EC07}" name="2025-04-24" dataDxfId="600"/>
    <tableColumn id="206" xr3:uid="{8772AE8A-933D-46C1-B9C1-60B6C8185E8A}" name="2025-04-25" dataDxfId="599"/>
    <tableColumn id="207" xr3:uid="{484C07C8-EBA2-453D-B583-F930911565C0}" name="2025-04-26" dataDxfId="598"/>
    <tableColumn id="208" xr3:uid="{B52D8603-B5B2-488C-A433-34FD2A683C6B}" name="2025-04-27" dataDxfId="597"/>
    <tableColumn id="209" xr3:uid="{169BF9D8-EE52-429B-B28E-9B5C27822A41}" name="2025-04-28" dataDxfId="596"/>
    <tableColumn id="210" xr3:uid="{84174DF3-C71A-4E90-8847-B6C7B782A654}" name="2025-04-29" dataDxfId="595"/>
    <tableColumn id="211" xr3:uid="{206EDDC5-46BB-4D3A-9BE0-E0197053913D}" name="2025-04-30" dataDxfId="594"/>
    <tableColumn id="212" xr3:uid="{366CA1C4-A2DF-4B3E-A696-C1F3BBAD987A}" name="2025-05-01" dataDxfId="593"/>
    <tableColumn id="213" xr3:uid="{77111EA0-AC60-4806-8C9E-118542B3A239}" name="2025-05-02" dataDxfId="592"/>
    <tableColumn id="214" xr3:uid="{5F31DB5D-F68F-497F-A3C0-14D09C735B50}" name="2025-05-03" dataDxfId="591"/>
    <tableColumn id="215" xr3:uid="{053478A4-6AB5-46FA-AB15-755FCEDA366B}" name="2025-05-04" dataDxfId="590"/>
    <tableColumn id="216" xr3:uid="{E63F8AFE-33C8-44CE-ABD5-87AFA2B2DEE5}" name="2025-05-05" dataDxfId="589"/>
    <tableColumn id="217" xr3:uid="{0F704A9A-705A-4A63-A5CB-2E2030610C2C}" name="2025-05-06" dataDxfId="588"/>
    <tableColumn id="218" xr3:uid="{5C606A6D-1C96-4494-A223-4347F237E33C}" name="2025-05-07" dataDxfId="587"/>
    <tableColumn id="219" xr3:uid="{28C842CB-95E9-41FC-9A54-6285101CA2E4}" name="2025-05-08" dataDxfId="586"/>
    <tableColumn id="220" xr3:uid="{A5ED12A3-494D-4396-97B2-620410EAB47C}" name="2025-05-09" dataDxfId="585"/>
    <tableColumn id="221" xr3:uid="{0A5ABB48-A153-4B93-9AF3-A6C216F7B6FC}" name="2025-05-10" dataDxfId="584"/>
    <tableColumn id="222" xr3:uid="{0405F07C-691E-4156-B1AB-789FB58D118D}" name="2025-05-11" dataDxfId="583"/>
    <tableColumn id="223" xr3:uid="{246E8105-028E-4D2B-A83D-CB77EA9C86B5}" name="2025-05-12" dataDxfId="582"/>
    <tableColumn id="224" xr3:uid="{D81920D6-A5AC-4A82-B2FA-98E67E362CE3}" name="2025-05-13" dataDxfId="581"/>
    <tableColumn id="225" xr3:uid="{CC727698-0496-467C-971F-D75A82A7EBDF}" name="2025-05-14" dataDxfId="580"/>
    <tableColumn id="226" xr3:uid="{339361FD-67CC-4E23-9ACB-B74553C52593}" name="2025-05-15" dataDxfId="579"/>
    <tableColumn id="227" xr3:uid="{4DE55659-72B2-4210-9353-7D9C4CCCE733}" name="2025-05-16" dataDxfId="578"/>
    <tableColumn id="228" xr3:uid="{6215F3BA-5DFF-4976-BC80-78E30D01889D}" name="2025-05-17" dataDxfId="577"/>
    <tableColumn id="229" xr3:uid="{50DA08D7-FC7B-49B0-B3F4-1C4635DE3032}" name="2025-05-18" dataDxfId="576"/>
    <tableColumn id="230" xr3:uid="{30BC1EC6-2069-4300-8391-810C9EC04511}" name="2025-05-19" dataDxfId="575"/>
    <tableColumn id="231" xr3:uid="{3043D2FE-95E0-48AF-ACD8-B5634AE3E9D5}" name="2025-05-20" dataDxfId="574"/>
    <tableColumn id="232" xr3:uid="{A1EAF0F2-FC84-4670-AAF9-B5A7CCF2C92A}" name="2025-05-21" dataDxfId="573"/>
    <tableColumn id="233" xr3:uid="{777586C1-D3DF-470E-B1DC-EF50B354B885}" name="2025-05-22" dataDxfId="572"/>
    <tableColumn id="234" xr3:uid="{F9D2BEE5-0C9C-4591-9625-B5A40D8C6987}" name="2025-05-23" dataDxfId="571"/>
    <tableColumn id="235" xr3:uid="{D5CB1CD3-1B56-4F97-9378-63F4D461B94D}" name="2025-05-24" dataDxfId="570"/>
    <tableColumn id="236" xr3:uid="{4474AF3B-88F1-40B9-B58F-5CC8F0AAE000}" name="2025-05-25" dataDxfId="569"/>
    <tableColumn id="237" xr3:uid="{DD6FFB66-C370-442C-9825-05FDB743FE00}" name="2025-05-26" dataDxfId="568"/>
    <tableColumn id="238" xr3:uid="{9BE32098-E719-426B-8143-7E12C6A3F46A}" name="2025-05-27" dataDxfId="567"/>
    <tableColumn id="239" xr3:uid="{F5D1C276-6464-4D7F-BCBD-5336B596A903}" name="2025-05-28" dataDxfId="566"/>
    <tableColumn id="240" xr3:uid="{31B515AE-008A-4669-8CEE-771E1638A518}" name="2025-05-29" dataDxfId="565"/>
    <tableColumn id="241" xr3:uid="{3200C033-4974-4D1B-A44C-3F837D42D2DC}" name="2025-05-30" dataDxfId="564"/>
    <tableColumn id="242" xr3:uid="{4D4CDA41-067D-4DA0-95F0-4823FC08D4E5}" name="2025-05-31" dataDxfId="563"/>
    <tableColumn id="243" xr3:uid="{3DBF5A2B-0E33-4E1C-9DC2-18CA4F0A1493}" name="2025-06-01" dataDxfId="562"/>
    <tableColumn id="244" xr3:uid="{9D3D72D9-161F-4909-8971-6C5C7D46BAA7}" name="2025-06-02" dataDxfId="561"/>
    <tableColumn id="245" xr3:uid="{232663AE-B137-4CF8-A170-52E93C00C65D}" name="2025-06-03" dataDxfId="560"/>
    <tableColumn id="246" xr3:uid="{BD7A6004-6162-4AC8-9110-BA5E6A9D1049}" name="2025-06-04" dataDxfId="559"/>
    <tableColumn id="247" xr3:uid="{C0AA2183-97B0-473E-8388-F06F8164380F}" name="2025-06-05" dataDxfId="558"/>
    <tableColumn id="248" xr3:uid="{F84BC399-3949-4C18-ABAA-64C17BEA5CE0}" name="2025-06-06" dataDxfId="557"/>
    <tableColumn id="249" xr3:uid="{4A9CC113-874C-4FC8-A1A6-63A95A893D95}" name="2025-06-07" dataDxfId="556"/>
    <tableColumn id="250" xr3:uid="{6A253FC8-C38B-4237-BE92-22BD7FDA4D1D}" name="2025-06-08" dataDxfId="555"/>
    <tableColumn id="251" xr3:uid="{ABD1D9B8-A62F-43C7-8867-D07F901B294B}" name="2025-06-09" dataDxfId="554"/>
    <tableColumn id="252" xr3:uid="{FF84CAE4-B5B3-4E8C-ACD5-281ECE9DA5EB}" name="2025-06-10" dataDxfId="553"/>
    <tableColumn id="253" xr3:uid="{06E2F1E1-34E4-442D-91B3-36F14418A6DD}" name="2025-06-11" dataDxfId="552"/>
    <tableColumn id="254" xr3:uid="{00DD0F40-05DE-4EF1-9263-6F11B02C8F66}" name="2025-06-12" dataDxfId="551"/>
    <tableColumn id="255" xr3:uid="{B3BC126B-C9C6-4541-B7BF-8E0A8AF13283}" name="2025-06-13" dataDxfId="550"/>
    <tableColumn id="256" xr3:uid="{58A93E20-2E09-42D6-83C4-3187C52FC2C9}" name="2025-06-14" dataDxfId="549"/>
    <tableColumn id="257" xr3:uid="{99B8A1B1-1594-47C1-A779-5AE979AC6886}" name="2025-06-15" dataDxfId="548"/>
    <tableColumn id="258" xr3:uid="{DB9B71D0-083F-40C9-99EC-EA2500168DB1}" name="2025-06-16" dataDxfId="547"/>
    <tableColumn id="259" xr3:uid="{F368A8EF-CA23-49A5-84B6-E087A332E315}" name="2025-06-17" dataDxfId="546"/>
    <tableColumn id="260" xr3:uid="{F2B11177-CB50-47EB-87ED-A437D4F32F8E}" name="2025-06-18" dataDxfId="545"/>
    <tableColumn id="261" xr3:uid="{F21EDA7F-2C76-45F1-AB9D-D35BEE4425F3}" name="2025-06-19" dataDxfId="544"/>
    <tableColumn id="262" xr3:uid="{527A99F6-045E-4293-955B-C68E4AD9052A}" name="2025-06-20" dataDxfId="543"/>
    <tableColumn id="263" xr3:uid="{99DC238A-A4C6-4EAE-82AC-FCA02043D4EA}" name="2025-06-21" dataDxfId="542"/>
    <tableColumn id="264" xr3:uid="{43477D6D-E749-4FFF-9062-9F92408792BE}" name="2025-06-22" dataDxfId="541"/>
    <tableColumn id="265" xr3:uid="{13D87D26-AA45-4778-8BD5-BDB665171820}" name="2025-06-23" dataDxfId="540"/>
    <tableColumn id="266" xr3:uid="{3DF15EBF-5CB5-4787-8409-9F983729C815}" name="2025-06-24" dataDxfId="539"/>
    <tableColumn id="267" xr3:uid="{71F1B423-DE3D-4704-B52D-D6660BE9B52F}" name="2025-06-25" dataDxfId="538"/>
    <tableColumn id="268" xr3:uid="{E9D496DF-4D64-42C9-9857-E5FCB3FF66F8}" name="2025-06-26" dataDxfId="537"/>
    <tableColumn id="269" xr3:uid="{21A1EEB8-CF48-4BFB-9EB7-3E5069338279}" name="2025-06-27" dataDxfId="536"/>
    <tableColumn id="270" xr3:uid="{05C6922F-BFAD-40A6-BF87-21B77F0394F1}" name="2025-06-28" dataDxfId="535"/>
    <tableColumn id="271" xr3:uid="{8929460E-C610-4A2C-A152-7ADD44E2FE12}" name="2025-06-29" dataDxfId="534"/>
    <tableColumn id="272" xr3:uid="{4C8830FB-F1D3-4D12-BD25-337AA191C58D}" name="2025-06-30" dataDxfId="533"/>
    <tableColumn id="273" xr3:uid="{AC1A3332-3064-4E0E-BA13-DA3DA202B941}" name="2025-07-01" totalsRowFunction="count" dataDxfId="53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39FD494-E9BB-4FF2-8DDD-1E71612C3741}" name="Table46" displayName="Table46" ref="A37:JO70" totalsRowCount="1" headerRowDxfId="531" dataDxfId="530">
  <autoFilter ref="A37:JO69" xr:uid="{939FD494-E9BB-4FF2-8DDD-1E71612C3741}"/>
  <sortState xmlns:xlrd2="http://schemas.microsoft.com/office/spreadsheetml/2017/richdata2" ref="A38:JO69">
    <sortCondition ref="B38:B69"/>
    <sortCondition ref="C38:C69"/>
    <sortCondition descending="1" ref="FX38:FX69"/>
  </sortState>
  <tableColumns count="275">
    <tableColumn id="1" xr3:uid="{B2FC37A7-0826-49DB-96CE-62C17A06BD28}" name="Team" totalsRowLabel="Total" dataDxfId="529"/>
    <tableColumn id="274" xr3:uid="{496FDEA5-9D1C-4D6A-9EBD-6C1BABCB49AE}" name="Conf" dataDxfId="528"/>
    <tableColumn id="275" xr3:uid="{86FFCC5F-9815-48BA-836C-2576F2F03D77}" name="Div" dataDxfId="527"/>
    <tableColumn id="2" xr3:uid="{BEE4EC6C-76A9-496A-A1D8-CBB882332D70}" name="2024-10-03" totalsRowFunction="average" dataDxfId="526">
      <calculatedColumnFormula>SUMIFS(DataRegularSeason20242025!$AA$3:$AA$1314,DataRegularSeason20242025!$B$3:$B$1314, "&lt;=" &amp; D$1, DataRegularSeason20242025!$D$3:$D$1314, $A38)+SUMIFS(DataRegularSeason20242025!$AB$3:$AB$1314,DataRegularSeason20242025!$B$3:$B$1314, "&lt;=" &amp; D$1, DataRegularSeason20242025!$E$3:$E$1314, $A38)</calculatedColumnFormula>
    </tableColumn>
    <tableColumn id="3" xr3:uid="{CD1B8365-819B-430F-912B-16320D021178}" name="2024-10-04" totalsRowFunction="average" dataDxfId="525">
      <calculatedColumnFormula>SUMIFS(DataRegularSeason20242025!$AA$3:$AA$1314,DataRegularSeason20242025!$B$3:$B$1314, "&lt;=" &amp; E$1, DataRegularSeason20242025!$D$3:$D$1314, $A38)+SUMIFS(DataRegularSeason20242025!$AB$3:$AB$1314,DataRegularSeason20242025!$B$3:$B$1314, "&lt;=" &amp; E$1, DataRegularSeason20242025!$E$3:$E$1314, $A38)</calculatedColumnFormula>
    </tableColumn>
    <tableColumn id="4" xr3:uid="{BC3ACE49-4F2B-458A-AA31-BA9353AD7870}" name="2024-10-05" totalsRowFunction="average" dataDxfId="524">
      <calculatedColumnFormula>SUMIFS(DataRegularSeason20242025!$AA$3:$AA$1314,DataRegularSeason20242025!$B$3:$B$1314, "&lt;=" &amp; F$1, DataRegularSeason20242025!$D$3:$D$1314, $A38)+SUMIFS(DataRegularSeason20242025!$AB$3:$AB$1314,DataRegularSeason20242025!$B$3:$B$1314, "&lt;=" &amp; F$1, DataRegularSeason20242025!$E$3:$E$1314, $A38)</calculatedColumnFormula>
    </tableColumn>
    <tableColumn id="5" xr3:uid="{E1CE0526-BD6A-4A10-B3DE-B730394E841A}" name="2024-10-06" totalsRowFunction="average" dataDxfId="523">
      <calculatedColumnFormula>SUMIFS(DataRegularSeason20242025!$AA$3:$AA$1314,DataRegularSeason20242025!$B$3:$B$1314, "&lt;=" &amp; G$1, DataRegularSeason20242025!$D$3:$D$1314, $A38)+SUMIFS(DataRegularSeason20242025!$AB$3:$AB$1314,DataRegularSeason20242025!$B$3:$B$1314, "&lt;=" &amp; G$1, DataRegularSeason20242025!$E$3:$E$1314, $A38)</calculatedColumnFormula>
    </tableColumn>
    <tableColumn id="6" xr3:uid="{731A8457-7D7F-43D7-BAFA-D93679CA4EB0}" name="2024-10-07" totalsRowFunction="average" dataDxfId="522">
      <calculatedColumnFormula>SUMIFS(DataRegularSeason20242025!$AA$3:$AA$1314,DataRegularSeason20242025!$B$3:$B$1314, "&lt;=" &amp; H$1, DataRegularSeason20242025!$D$3:$D$1314, $A38)+SUMIFS(DataRegularSeason20242025!$AB$3:$AB$1314,DataRegularSeason20242025!$B$3:$B$1314, "&lt;=" &amp; H$1, DataRegularSeason20242025!$E$3:$E$1314, $A38)</calculatedColumnFormula>
    </tableColumn>
    <tableColumn id="7" xr3:uid="{C70F5097-28BA-4B3F-A99C-B3FA08B2C992}" name="2024-10-08" totalsRowFunction="average" dataDxfId="521">
      <calculatedColumnFormula>SUMIFS(DataRegularSeason20242025!$AA$3:$AA$1314,DataRegularSeason20242025!$B$3:$B$1314, "&lt;=" &amp; I$1, DataRegularSeason20242025!$D$3:$D$1314, $A38)+SUMIFS(DataRegularSeason20242025!$AB$3:$AB$1314,DataRegularSeason20242025!$B$3:$B$1314, "&lt;=" &amp; I$1, DataRegularSeason20242025!$E$3:$E$1314, $A38)</calculatedColumnFormula>
    </tableColumn>
    <tableColumn id="8" xr3:uid="{13E5FDB7-E708-49C9-BADE-B34E5E755E8F}" name="2024-10-09" totalsRowFunction="average" dataDxfId="520">
      <calculatedColumnFormula>SUMIFS(DataRegularSeason20242025!$AA$3:$AA$1314,DataRegularSeason20242025!$B$3:$B$1314, "&lt;=" &amp; J$1, DataRegularSeason20242025!$D$3:$D$1314, $A38)+SUMIFS(DataRegularSeason20242025!$AB$3:$AB$1314,DataRegularSeason20242025!$B$3:$B$1314, "&lt;=" &amp; J$1, DataRegularSeason20242025!$E$3:$E$1314, $A38)</calculatedColumnFormula>
    </tableColumn>
    <tableColumn id="9" xr3:uid="{B666CDB2-7B2A-401B-9848-B7FA3EBD669E}" name="2024-10-10" totalsRowFunction="average" dataDxfId="519">
      <calculatedColumnFormula>SUMIFS(DataRegularSeason20242025!$AA$3:$AA$1314,DataRegularSeason20242025!$B$3:$B$1314, "&lt;=" &amp; K$1, DataRegularSeason20242025!$D$3:$D$1314, $A38)+SUMIFS(DataRegularSeason20242025!$AB$3:$AB$1314,DataRegularSeason20242025!$B$3:$B$1314, "&lt;=" &amp; K$1, DataRegularSeason20242025!$E$3:$E$1314, $A38)</calculatedColumnFormula>
    </tableColumn>
    <tableColumn id="10" xr3:uid="{7F1FDD66-BDC4-4B0F-A296-1D3A4595B5D9}" name="2024-10-11" totalsRowFunction="average" dataDxfId="518">
      <calculatedColumnFormula>SUMIFS(DataRegularSeason20242025!$AA$3:$AA$1314,DataRegularSeason20242025!$B$3:$B$1314, "&lt;=" &amp; L$1, DataRegularSeason20242025!$D$3:$D$1314, $A38)+SUMIFS(DataRegularSeason20242025!$AB$3:$AB$1314,DataRegularSeason20242025!$B$3:$B$1314, "&lt;=" &amp; L$1, DataRegularSeason20242025!$E$3:$E$1314, $A38)</calculatedColumnFormula>
    </tableColumn>
    <tableColumn id="11" xr3:uid="{55A64615-C1DC-42B3-A729-8A9DC0B331E3}" name="2024-10-12" totalsRowFunction="average" dataDxfId="517">
      <calculatedColumnFormula>SUMIFS(DataRegularSeason20242025!$AA$3:$AA$1314,DataRegularSeason20242025!$B$3:$B$1314, "&lt;=" &amp; M$1, DataRegularSeason20242025!$D$3:$D$1314, $A38)+SUMIFS(DataRegularSeason20242025!$AB$3:$AB$1314,DataRegularSeason20242025!$B$3:$B$1314, "&lt;=" &amp; M$1, DataRegularSeason20242025!$E$3:$E$1314, $A38)</calculatedColumnFormula>
    </tableColumn>
    <tableColumn id="12" xr3:uid="{6EA0BFF4-D7D0-451C-B94E-C999BBEB26A4}" name="2024-10-13" totalsRowFunction="average" dataDxfId="516">
      <calculatedColumnFormula>SUMIFS(DataRegularSeason20242025!$AA$3:$AA$1314,DataRegularSeason20242025!$B$3:$B$1314, "&lt;=" &amp; N$1, DataRegularSeason20242025!$D$3:$D$1314, $A38)+SUMIFS(DataRegularSeason20242025!$AB$3:$AB$1314,DataRegularSeason20242025!$B$3:$B$1314, "&lt;=" &amp; N$1, DataRegularSeason20242025!$E$3:$E$1314, $A38)</calculatedColumnFormula>
    </tableColumn>
    <tableColumn id="13" xr3:uid="{805735A9-1013-4620-AD28-D1817A207018}" name="2024-10-14" totalsRowFunction="average" dataDxfId="515">
      <calculatedColumnFormula>SUMIFS(DataRegularSeason20242025!$AA$3:$AA$1314,DataRegularSeason20242025!$B$3:$B$1314, "&lt;=" &amp; O$1, DataRegularSeason20242025!$D$3:$D$1314, $A38)+SUMIFS(DataRegularSeason20242025!$AB$3:$AB$1314,DataRegularSeason20242025!$B$3:$B$1314, "&lt;=" &amp; O$1, DataRegularSeason20242025!$E$3:$E$1314, $A38)</calculatedColumnFormula>
    </tableColumn>
    <tableColumn id="14" xr3:uid="{9D4D0BDC-2247-4E31-9232-2408C3DE93CF}" name="2024-10-15" totalsRowFunction="average" dataDxfId="514">
      <calculatedColumnFormula>SUMIFS(DataRegularSeason20242025!$AA$3:$AA$1314,DataRegularSeason20242025!$B$3:$B$1314, "&lt;=" &amp; P$1, DataRegularSeason20242025!$D$3:$D$1314, $A38)+SUMIFS(DataRegularSeason20242025!$AB$3:$AB$1314,DataRegularSeason20242025!$B$3:$B$1314, "&lt;=" &amp; P$1, DataRegularSeason20242025!$E$3:$E$1314, $A38)</calculatedColumnFormula>
    </tableColumn>
    <tableColumn id="15" xr3:uid="{17EDA07D-C270-4FDE-B23F-024E5C706C8E}" name="2024-10-16" totalsRowFunction="average" dataDxfId="513">
      <calculatedColumnFormula>SUMIFS(DataRegularSeason20242025!$AA$3:$AA$1314,DataRegularSeason20242025!$B$3:$B$1314, "&lt;=" &amp; Q$1, DataRegularSeason20242025!$D$3:$D$1314, $A38)+SUMIFS(DataRegularSeason20242025!$AB$3:$AB$1314,DataRegularSeason20242025!$B$3:$B$1314, "&lt;=" &amp; Q$1, DataRegularSeason20242025!$E$3:$E$1314, $A38)</calculatedColumnFormula>
    </tableColumn>
    <tableColumn id="16" xr3:uid="{647436BB-8A7A-4562-A4BB-4EED7130980A}" name="2024-10-17" totalsRowFunction="average" dataDxfId="512">
      <calculatedColumnFormula>SUMIFS(DataRegularSeason20242025!$AA$3:$AA$1314,DataRegularSeason20242025!$B$3:$B$1314, "&lt;=" &amp; R$1, DataRegularSeason20242025!$D$3:$D$1314, $A38)+SUMIFS(DataRegularSeason20242025!$AB$3:$AB$1314,DataRegularSeason20242025!$B$3:$B$1314, "&lt;=" &amp; R$1, DataRegularSeason20242025!$E$3:$E$1314, $A38)</calculatedColumnFormula>
    </tableColumn>
    <tableColumn id="17" xr3:uid="{EC1B2024-D87A-46ED-A07A-9406F736AA23}" name="2024-10-18" totalsRowFunction="average" dataDxfId="511">
      <calculatedColumnFormula>SUMIFS(DataRegularSeason20242025!$AA$3:$AA$1314,DataRegularSeason20242025!$B$3:$B$1314, "&lt;=" &amp; S$1, DataRegularSeason20242025!$D$3:$D$1314, $A38)+SUMIFS(DataRegularSeason20242025!$AB$3:$AB$1314,DataRegularSeason20242025!$B$3:$B$1314, "&lt;=" &amp; S$1, DataRegularSeason20242025!$E$3:$E$1314, $A38)</calculatedColumnFormula>
    </tableColumn>
    <tableColumn id="18" xr3:uid="{D464B0A9-A9FD-4633-BE50-6437EF31ECC0}" name="2024-10-19" totalsRowFunction="average" dataDxfId="510">
      <calculatedColumnFormula>SUMIFS(DataRegularSeason20242025!$AA$3:$AA$1314,DataRegularSeason20242025!$B$3:$B$1314, "&lt;=" &amp; T$1, DataRegularSeason20242025!$D$3:$D$1314, $A38)+SUMIFS(DataRegularSeason20242025!$AB$3:$AB$1314,DataRegularSeason20242025!$B$3:$B$1314, "&lt;=" &amp; T$1, DataRegularSeason20242025!$E$3:$E$1314, $A38)</calculatedColumnFormula>
    </tableColumn>
    <tableColumn id="19" xr3:uid="{F4765BC6-B0A9-4ABC-A887-81010BC98311}" name="2024-10-20" totalsRowFunction="average" dataDxfId="509">
      <calculatedColumnFormula>SUMIFS(DataRegularSeason20242025!$AA$3:$AA$1314,DataRegularSeason20242025!$B$3:$B$1314, "&lt;=" &amp; U$1, DataRegularSeason20242025!$D$3:$D$1314, $A38)+SUMIFS(DataRegularSeason20242025!$AB$3:$AB$1314,DataRegularSeason20242025!$B$3:$B$1314, "&lt;=" &amp; U$1, DataRegularSeason20242025!$E$3:$E$1314, $A38)</calculatedColumnFormula>
    </tableColumn>
    <tableColumn id="20" xr3:uid="{625BE4AA-CC5C-4547-8FA8-02FB6C272B04}" name="2024-10-21" totalsRowFunction="average" dataDxfId="508">
      <calculatedColumnFormula>SUMIFS(DataRegularSeason20242025!$AA$3:$AA$1314,DataRegularSeason20242025!$B$3:$B$1314, "&lt;=" &amp; V$1, DataRegularSeason20242025!$D$3:$D$1314, $A38)+SUMIFS(DataRegularSeason20242025!$AB$3:$AB$1314,DataRegularSeason20242025!$B$3:$B$1314, "&lt;=" &amp; V$1, DataRegularSeason20242025!$E$3:$E$1314, $A38)</calculatedColumnFormula>
    </tableColumn>
    <tableColumn id="21" xr3:uid="{9A9DC431-FC37-4C11-B738-F12428D1CEC2}" name="2024-10-22" totalsRowFunction="average" dataDxfId="507">
      <calculatedColumnFormula>SUMIFS(DataRegularSeason20242025!$AA$3:$AA$1314,DataRegularSeason20242025!$B$3:$B$1314, "&lt;=" &amp; W$1, DataRegularSeason20242025!$D$3:$D$1314, $A38)+SUMIFS(DataRegularSeason20242025!$AB$3:$AB$1314,DataRegularSeason20242025!$B$3:$B$1314, "&lt;=" &amp; W$1, DataRegularSeason20242025!$E$3:$E$1314, $A38)</calculatedColumnFormula>
    </tableColumn>
    <tableColumn id="22" xr3:uid="{115C8C0E-BB76-45F3-AE4C-F254DBA7F8D7}" name="2024-10-23" totalsRowFunction="average" dataDxfId="506">
      <calculatedColumnFormula>SUMIFS(DataRegularSeason20242025!$AA$3:$AA$1314,DataRegularSeason20242025!$B$3:$B$1314, "&lt;=" &amp; X$1, DataRegularSeason20242025!$D$3:$D$1314, $A38)+SUMIFS(DataRegularSeason20242025!$AB$3:$AB$1314,DataRegularSeason20242025!$B$3:$B$1314, "&lt;=" &amp; X$1, DataRegularSeason20242025!$E$3:$E$1314, $A38)</calculatedColumnFormula>
    </tableColumn>
    <tableColumn id="23" xr3:uid="{F2DF653A-F1D3-482D-AE04-38B3AC168481}" name="2024-10-24" totalsRowFunction="average" dataDxfId="505">
      <calculatedColumnFormula>SUMIFS(DataRegularSeason20242025!$AA$3:$AA$1314,DataRegularSeason20242025!$B$3:$B$1314, "&lt;=" &amp; Y$1, DataRegularSeason20242025!$D$3:$D$1314, $A38)+SUMIFS(DataRegularSeason20242025!$AB$3:$AB$1314,DataRegularSeason20242025!$B$3:$B$1314, "&lt;=" &amp; Y$1, DataRegularSeason20242025!$E$3:$E$1314, $A38)</calculatedColumnFormula>
    </tableColumn>
    <tableColumn id="24" xr3:uid="{63316CB7-BD1E-4490-9AF3-B9043C374C5C}" name="2024-10-25" totalsRowFunction="average" dataDxfId="504">
      <calculatedColumnFormula>SUMIFS(DataRegularSeason20242025!$AA$3:$AA$1314,DataRegularSeason20242025!$B$3:$B$1314, "&lt;=" &amp; Z$1, DataRegularSeason20242025!$D$3:$D$1314, $A38)+SUMIFS(DataRegularSeason20242025!$AB$3:$AB$1314,DataRegularSeason20242025!$B$3:$B$1314, "&lt;=" &amp; Z$1, DataRegularSeason20242025!$E$3:$E$1314, $A38)</calculatedColumnFormula>
    </tableColumn>
    <tableColumn id="25" xr3:uid="{1D06FFD1-EB84-40E2-BA6D-7BE6ADD5FA4D}" name="2024-10-26" totalsRowFunction="average" dataDxfId="503">
      <calculatedColumnFormula>SUMIFS(DataRegularSeason20242025!$AA$3:$AA$1314,DataRegularSeason20242025!$B$3:$B$1314, "&lt;=" &amp; AA$1, DataRegularSeason20242025!$D$3:$D$1314, $A38)+SUMIFS(DataRegularSeason20242025!$AB$3:$AB$1314,DataRegularSeason20242025!$B$3:$B$1314, "&lt;=" &amp; AA$1, DataRegularSeason20242025!$E$3:$E$1314, $A38)</calculatedColumnFormula>
    </tableColumn>
    <tableColumn id="26" xr3:uid="{581C9400-1954-4254-B627-6850528370D4}" name="2024-10-27" totalsRowFunction="average" dataDxfId="502">
      <calculatedColumnFormula>SUMIFS(DataRegularSeason20242025!$AA$3:$AA$1314,DataRegularSeason20242025!$B$3:$B$1314, "&lt;=" &amp; AB$1, DataRegularSeason20242025!$D$3:$D$1314, $A38)+SUMIFS(DataRegularSeason20242025!$AB$3:$AB$1314,DataRegularSeason20242025!$B$3:$B$1314, "&lt;=" &amp; AB$1, DataRegularSeason20242025!$E$3:$E$1314, $A38)</calculatedColumnFormula>
    </tableColumn>
    <tableColumn id="27" xr3:uid="{C9B6BB6B-CD92-4A91-A479-38C1C3F9F650}" name="2024-10-28" totalsRowFunction="average" dataDxfId="501">
      <calculatedColumnFormula>SUMIFS(DataRegularSeason20242025!$AA$3:$AA$1314,DataRegularSeason20242025!$B$3:$B$1314, "&lt;=" &amp; AC$1, DataRegularSeason20242025!$D$3:$D$1314, $A38)+SUMIFS(DataRegularSeason20242025!$AB$3:$AB$1314,DataRegularSeason20242025!$B$3:$B$1314, "&lt;=" &amp; AC$1, DataRegularSeason20242025!$E$3:$E$1314, $A38)</calculatedColumnFormula>
    </tableColumn>
    <tableColumn id="28" xr3:uid="{9BB5DC97-E38C-4F00-BE8D-6E6D36FD4B96}" name="2024-10-29" totalsRowFunction="average" dataDxfId="500">
      <calculatedColumnFormula>SUMIFS(DataRegularSeason20242025!$AA$3:$AA$1314,DataRegularSeason20242025!$B$3:$B$1314, "&lt;=" &amp; AD$1, DataRegularSeason20242025!$D$3:$D$1314, $A38)+SUMIFS(DataRegularSeason20242025!$AB$3:$AB$1314,DataRegularSeason20242025!$B$3:$B$1314, "&lt;=" &amp; AD$1, DataRegularSeason20242025!$E$3:$E$1314, $A38)</calculatedColumnFormula>
    </tableColumn>
    <tableColumn id="29" xr3:uid="{277B9149-44E9-46BF-955A-C43A620C5749}" name="2024-10-30" totalsRowFunction="average" dataDxfId="499">
      <calculatedColumnFormula>SUMIFS(DataRegularSeason20242025!$AA$3:$AA$1314,DataRegularSeason20242025!$B$3:$B$1314, "&lt;=" &amp; AE$1, DataRegularSeason20242025!$D$3:$D$1314, $A38)+SUMIFS(DataRegularSeason20242025!$AB$3:$AB$1314,DataRegularSeason20242025!$B$3:$B$1314, "&lt;=" &amp; AE$1, DataRegularSeason20242025!$E$3:$E$1314, $A38)</calculatedColumnFormula>
    </tableColumn>
    <tableColumn id="30" xr3:uid="{407E1D9E-B75A-4EC6-BB3D-ECBE53C87225}" name="2024-10-31" totalsRowFunction="average" dataDxfId="498">
      <calculatedColumnFormula>SUMIFS(DataRegularSeason20242025!$AA$3:$AA$1314,DataRegularSeason20242025!$B$3:$B$1314, "&lt;=" &amp; AF$1, DataRegularSeason20242025!$D$3:$D$1314, $A38)+SUMIFS(DataRegularSeason20242025!$AB$3:$AB$1314,DataRegularSeason20242025!$B$3:$B$1314, "&lt;=" &amp; AF$1, DataRegularSeason20242025!$E$3:$E$1314, $A38)</calculatedColumnFormula>
    </tableColumn>
    <tableColumn id="31" xr3:uid="{159B9147-9A52-4BF0-A66B-073C2B6220AB}" name="2024-11-01" totalsRowFunction="average" dataDxfId="497">
      <calculatedColumnFormula>SUMIFS(DataRegularSeason20242025!$AA$3:$AA$1314,DataRegularSeason20242025!$B$3:$B$1314, "&lt;=" &amp; AG$1, DataRegularSeason20242025!$D$3:$D$1314, $A38)+SUMIFS(DataRegularSeason20242025!$AB$3:$AB$1314,DataRegularSeason20242025!$B$3:$B$1314, "&lt;=" &amp; AG$1, DataRegularSeason20242025!$E$3:$E$1314, $A38)</calculatedColumnFormula>
    </tableColumn>
    <tableColumn id="32" xr3:uid="{6FFAC87B-8005-4E4D-B46A-7589F0182B6E}" name="2024-11-02" totalsRowFunction="average" dataDxfId="496">
      <calculatedColumnFormula>SUMIFS(DataRegularSeason20242025!$AA$3:$AA$1314,DataRegularSeason20242025!$B$3:$B$1314, "&lt;=" &amp; AH$1, DataRegularSeason20242025!$D$3:$D$1314, $A38)+SUMIFS(DataRegularSeason20242025!$AB$3:$AB$1314,DataRegularSeason20242025!$B$3:$B$1314, "&lt;=" &amp; AH$1, DataRegularSeason20242025!$E$3:$E$1314, $A38)</calculatedColumnFormula>
    </tableColumn>
    <tableColumn id="33" xr3:uid="{F9ABCB5A-2F95-41D1-8F58-C7F475D24A42}" name="2024-11-03" totalsRowFunction="average" dataDxfId="495">
      <calculatedColumnFormula>SUMIFS(DataRegularSeason20242025!$AA$3:$AA$1314,DataRegularSeason20242025!$B$3:$B$1314, "&lt;=" &amp; AI$1, DataRegularSeason20242025!$D$3:$D$1314, $A38)+SUMIFS(DataRegularSeason20242025!$AB$3:$AB$1314,DataRegularSeason20242025!$B$3:$B$1314, "&lt;=" &amp; AI$1, DataRegularSeason20242025!$E$3:$E$1314, $A38)</calculatedColumnFormula>
    </tableColumn>
    <tableColumn id="34" xr3:uid="{526ECD17-60F4-4186-BF17-3C07435CE33A}" name="2024-11-04" totalsRowFunction="average" dataDxfId="494">
      <calculatedColumnFormula>SUMIFS(DataRegularSeason20242025!$AA$3:$AA$1314,DataRegularSeason20242025!$B$3:$B$1314, "&lt;=" &amp; AJ$1, DataRegularSeason20242025!$D$3:$D$1314, $A38)+SUMIFS(DataRegularSeason20242025!$AB$3:$AB$1314,DataRegularSeason20242025!$B$3:$B$1314, "&lt;=" &amp; AJ$1, DataRegularSeason20242025!$E$3:$E$1314, $A38)</calculatedColumnFormula>
    </tableColumn>
    <tableColumn id="35" xr3:uid="{AF6927DF-8BF8-4C78-912A-291D9DFC9436}" name="2024-11-05" totalsRowFunction="average" dataDxfId="493">
      <calculatedColumnFormula>SUMIFS(DataRegularSeason20242025!$AA$3:$AA$1314,DataRegularSeason20242025!$B$3:$B$1314, "&lt;=" &amp; AK$1, DataRegularSeason20242025!$D$3:$D$1314, $A38)+SUMIFS(DataRegularSeason20242025!$AB$3:$AB$1314,DataRegularSeason20242025!$B$3:$B$1314, "&lt;=" &amp; AK$1, DataRegularSeason20242025!$E$3:$E$1314, $A38)</calculatedColumnFormula>
    </tableColumn>
    <tableColumn id="36" xr3:uid="{8EF1347B-221B-4FAE-AC82-3442A8884B75}" name="2024-11-06" totalsRowFunction="average" dataDxfId="492">
      <calculatedColumnFormula>SUMIFS(DataRegularSeason20242025!$AA$3:$AA$1314,DataRegularSeason20242025!$B$3:$B$1314, "&lt;=" &amp; AL$1, DataRegularSeason20242025!$D$3:$D$1314, $A38)+SUMIFS(DataRegularSeason20242025!$AB$3:$AB$1314,DataRegularSeason20242025!$B$3:$B$1314, "&lt;=" &amp; AL$1, DataRegularSeason20242025!$E$3:$E$1314, $A38)</calculatedColumnFormula>
    </tableColumn>
    <tableColumn id="37" xr3:uid="{BC31F5D7-4569-4D92-92B7-032CA0739CF2}" name="2024-11-07" totalsRowFunction="average" dataDxfId="491">
      <calculatedColumnFormula>SUMIFS(DataRegularSeason20242025!$AA$3:$AA$1314,DataRegularSeason20242025!$B$3:$B$1314, "&lt;=" &amp; AM$1, DataRegularSeason20242025!$D$3:$D$1314, $A38)+SUMIFS(DataRegularSeason20242025!$AB$3:$AB$1314,DataRegularSeason20242025!$B$3:$B$1314, "&lt;=" &amp; AM$1, DataRegularSeason20242025!$E$3:$E$1314, $A38)</calculatedColumnFormula>
    </tableColumn>
    <tableColumn id="38" xr3:uid="{236F1CA3-A876-43A4-970F-A09FE32F4404}" name="2024-11-08" totalsRowFunction="average" dataDxfId="490">
      <calculatedColumnFormula>SUMIFS(DataRegularSeason20242025!$AA$3:$AA$1314,DataRegularSeason20242025!$B$3:$B$1314, "&lt;=" &amp; AN$1, DataRegularSeason20242025!$D$3:$D$1314, $A38)+SUMIFS(DataRegularSeason20242025!$AB$3:$AB$1314,DataRegularSeason20242025!$B$3:$B$1314, "&lt;=" &amp; AN$1, DataRegularSeason20242025!$E$3:$E$1314, $A38)</calculatedColumnFormula>
    </tableColumn>
    <tableColumn id="39" xr3:uid="{8BA5EBD4-2A16-4619-A192-C59D9767A82E}" name="2024-11-09" totalsRowFunction="average" dataDxfId="489">
      <calculatedColumnFormula>SUMIFS(DataRegularSeason20242025!$AA$3:$AA$1314,DataRegularSeason20242025!$B$3:$B$1314, "&lt;=" &amp; AO$1, DataRegularSeason20242025!$D$3:$D$1314, $A38)+SUMIFS(DataRegularSeason20242025!$AB$3:$AB$1314,DataRegularSeason20242025!$B$3:$B$1314, "&lt;=" &amp; AO$1, DataRegularSeason20242025!$E$3:$E$1314, $A38)</calculatedColumnFormula>
    </tableColumn>
    <tableColumn id="40" xr3:uid="{D0F14C8B-AD9A-4F11-A2FC-A58EBA654F52}" name="2024-11-10" totalsRowFunction="average" dataDxfId="488">
      <calculatedColumnFormula>SUMIFS(DataRegularSeason20242025!$AA$3:$AA$1314,DataRegularSeason20242025!$B$3:$B$1314, "&lt;=" &amp; AP$1, DataRegularSeason20242025!$D$3:$D$1314, $A38)+SUMIFS(DataRegularSeason20242025!$AB$3:$AB$1314,DataRegularSeason20242025!$B$3:$B$1314, "&lt;=" &amp; AP$1, DataRegularSeason20242025!$E$3:$E$1314, $A38)</calculatedColumnFormula>
    </tableColumn>
    <tableColumn id="41" xr3:uid="{AEFF1867-2D11-45A0-947B-700562E7F5E4}" name="2024-11-11" totalsRowFunction="average" dataDxfId="487">
      <calculatedColumnFormula>SUMIFS(DataRegularSeason20242025!$AA$3:$AA$1314,DataRegularSeason20242025!$B$3:$B$1314, "&lt;=" &amp; AQ$1, DataRegularSeason20242025!$D$3:$D$1314, $A38)+SUMIFS(DataRegularSeason20242025!$AB$3:$AB$1314,DataRegularSeason20242025!$B$3:$B$1314, "&lt;=" &amp; AQ$1, DataRegularSeason20242025!$E$3:$E$1314, $A38)</calculatedColumnFormula>
    </tableColumn>
    <tableColumn id="42" xr3:uid="{5DB6857A-EC21-4D8A-B378-E50C1F772D45}" name="2024-11-12" totalsRowFunction="average" dataDxfId="486">
      <calculatedColumnFormula>SUMIFS(DataRegularSeason20242025!$AA$3:$AA$1314,DataRegularSeason20242025!$B$3:$B$1314, "&lt;=" &amp; AR$1, DataRegularSeason20242025!$D$3:$D$1314, $A38)+SUMIFS(DataRegularSeason20242025!$AB$3:$AB$1314,DataRegularSeason20242025!$B$3:$B$1314, "&lt;=" &amp; AR$1, DataRegularSeason20242025!$E$3:$E$1314, $A38)</calculatedColumnFormula>
    </tableColumn>
    <tableColumn id="43" xr3:uid="{B484F79D-8A75-4CFB-A2C3-5A02274A3CFB}" name="2024-11-13" totalsRowFunction="average" dataDxfId="485">
      <calculatedColumnFormula>SUMIFS(DataRegularSeason20242025!$AA$3:$AA$1314,DataRegularSeason20242025!$B$3:$B$1314, "&lt;=" &amp; AS$1, DataRegularSeason20242025!$D$3:$D$1314, $A38)+SUMIFS(DataRegularSeason20242025!$AB$3:$AB$1314,DataRegularSeason20242025!$B$3:$B$1314, "&lt;=" &amp; AS$1, DataRegularSeason20242025!$E$3:$E$1314, $A38)</calculatedColumnFormula>
    </tableColumn>
    <tableColumn id="44" xr3:uid="{D14552B8-6458-4FE1-A70E-EF102B61D39B}" name="2024-11-14" totalsRowFunction="average" dataDxfId="484">
      <calculatedColumnFormula>SUMIFS(DataRegularSeason20242025!$AA$3:$AA$1314,DataRegularSeason20242025!$B$3:$B$1314, "&lt;=" &amp; AT$1, DataRegularSeason20242025!$D$3:$D$1314, $A38)+SUMIFS(DataRegularSeason20242025!$AB$3:$AB$1314,DataRegularSeason20242025!$B$3:$B$1314, "&lt;=" &amp; AT$1, DataRegularSeason20242025!$E$3:$E$1314, $A38)</calculatedColumnFormula>
    </tableColumn>
    <tableColumn id="45" xr3:uid="{5C9F98D4-930D-470A-B431-C27279900E88}" name="2024-11-15" totalsRowFunction="average" dataDxfId="483">
      <calculatedColumnFormula>SUMIFS(DataRegularSeason20242025!$AA$3:$AA$1314,DataRegularSeason20242025!$B$3:$B$1314, "&lt;=" &amp; AU$1, DataRegularSeason20242025!$D$3:$D$1314, $A38)+SUMIFS(DataRegularSeason20242025!$AB$3:$AB$1314,DataRegularSeason20242025!$B$3:$B$1314, "&lt;=" &amp; AU$1, DataRegularSeason20242025!$E$3:$E$1314, $A38)</calculatedColumnFormula>
    </tableColumn>
    <tableColumn id="46" xr3:uid="{E761CB6D-B081-4103-AADD-A1246B1BB44B}" name="2024-11-16" totalsRowFunction="average" dataDxfId="482">
      <calculatedColumnFormula>SUMIFS(DataRegularSeason20242025!$AA$3:$AA$1314,DataRegularSeason20242025!$B$3:$B$1314, "&lt;=" &amp; AV$1, DataRegularSeason20242025!$D$3:$D$1314, $A38)+SUMIFS(DataRegularSeason20242025!$AB$3:$AB$1314,DataRegularSeason20242025!$B$3:$B$1314, "&lt;=" &amp; AV$1, DataRegularSeason20242025!$E$3:$E$1314, $A38)</calculatedColumnFormula>
    </tableColumn>
    <tableColumn id="47" xr3:uid="{7495925D-D621-4C4A-9277-3199A1C95649}" name="2024-11-17" totalsRowFunction="average" dataDxfId="481">
      <calculatedColumnFormula>SUMIFS(DataRegularSeason20242025!$AA$3:$AA$1314,DataRegularSeason20242025!$B$3:$B$1314, "&lt;=" &amp; AW$1, DataRegularSeason20242025!$D$3:$D$1314, $A38)+SUMIFS(DataRegularSeason20242025!$AB$3:$AB$1314,DataRegularSeason20242025!$B$3:$B$1314, "&lt;=" &amp; AW$1, DataRegularSeason20242025!$E$3:$E$1314, $A38)</calculatedColumnFormula>
    </tableColumn>
    <tableColumn id="48" xr3:uid="{BD2AE4C4-09C1-40D9-AF2C-943B12ED51CC}" name="2024-11-18" totalsRowFunction="average" dataDxfId="480">
      <calculatedColumnFormula>SUMIFS(DataRegularSeason20242025!$AA$3:$AA$1314,DataRegularSeason20242025!$B$3:$B$1314, "&lt;=" &amp; AX$1, DataRegularSeason20242025!$D$3:$D$1314, $A38)+SUMIFS(DataRegularSeason20242025!$AB$3:$AB$1314,DataRegularSeason20242025!$B$3:$B$1314, "&lt;=" &amp; AX$1, DataRegularSeason20242025!$E$3:$E$1314, $A38)</calculatedColumnFormula>
    </tableColumn>
    <tableColumn id="49" xr3:uid="{58C85BC3-ACD7-4429-8078-99CA471D120D}" name="2024-11-19" totalsRowFunction="average" dataDxfId="479">
      <calculatedColumnFormula>SUMIFS(DataRegularSeason20242025!$AA$3:$AA$1314,DataRegularSeason20242025!$B$3:$B$1314, "&lt;=" &amp; AY$1, DataRegularSeason20242025!$D$3:$D$1314, $A38)+SUMIFS(DataRegularSeason20242025!$AB$3:$AB$1314,DataRegularSeason20242025!$B$3:$B$1314, "&lt;=" &amp; AY$1, DataRegularSeason20242025!$E$3:$E$1314, $A38)</calculatedColumnFormula>
    </tableColumn>
    <tableColumn id="50" xr3:uid="{E3E98068-3120-46F8-B118-593C509BF8EA}" name="2024-11-20" totalsRowFunction="average" dataDxfId="478">
      <calculatedColumnFormula>SUMIFS(DataRegularSeason20242025!$AA$3:$AA$1314,DataRegularSeason20242025!$B$3:$B$1314, "&lt;=" &amp; AZ$1, DataRegularSeason20242025!$D$3:$D$1314, $A38)+SUMIFS(DataRegularSeason20242025!$AB$3:$AB$1314,DataRegularSeason20242025!$B$3:$B$1314, "&lt;=" &amp; AZ$1, DataRegularSeason20242025!$E$3:$E$1314, $A38)</calculatedColumnFormula>
    </tableColumn>
    <tableColumn id="51" xr3:uid="{8CCAE68F-DC56-4921-AB9C-D496350FD92B}" name="2024-11-21" totalsRowFunction="average" dataDxfId="477">
      <calculatedColumnFormula>SUMIFS(DataRegularSeason20242025!$AA$3:$AA$1314,DataRegularSeason20242025!$B$3:$B$1314, "&lt;=" &amp; BA$1, DataRegularSeason20242025!$D$3:$D$1314, $A38)+SUMIFS(DataRegularSeason20242025!$AB$3:$AB$1314,DataRegularSeason20242025!$B$3:$B$1314, "&lt;=" &amp; BA$1, DataRegularSeason20242025!$E$3:$E$1314, $A38)</calculatedColumnFormula>
    </tableColumn>
    <tableColumn id="52" xr3:uid="{327B73EE-6CCA-436E-8531-0632A2AA378B}" name="2024-11-22" totalsRowFunction="average" dataDxfId="476">
      <calculatedColumnFormula>SUMIFS(DataRegularSeason20242025!$AA$3:$AA$1314,DataRegularSeason20242025!$B$3:$B$1314, "&lt;=" &amp; BB$1, DataRegularSeason20242025!$D$3:$D$1314, $A38)+SUMIFS(DataRegularSeason20242025!$AB$3:$AB$1314,DataRegularSeason20242025!$B$3:$B$1314, "&lt;=" &amp; BB$1, DataRegularSeason20242025!$E$3:$E$1314, $A38)</calculatedColumnFormula>
    </tableColumn>
    <tableColumn id="53" xr3:uid="{72952ABF-BFA8-40B7-8B6D-73F6A8F3C1CC}" name="2024-11-23" totalsRowFunction="average" dataDxfId="475">
      <calculatedColumnFormula>SUMIFS(DataRegularSeason20242025!$AA$3:$AA$1314,DataRegularSeason20242025!$B$3:$B$1314, "&lt;=" &amp; BC$1, DataRegularSeason20242025!$D$3:$D$1314, $A38)+SUMIFS(DataRegularSeason20242025!$AB$3:$AB$1314,DataRegularSeason20242025!$B$3:$B$1314, "&lt;=" &amp; BC$1, DataRegularSeason20242025!$E$3:$E$1314, $A38)</calculatedColumnFormula>
    </tableColumn>
    <tableColumn id="54" xr3:uid="{1CAD1679-4BB6-4A51-B530-F98E41832F47}" name="2024-11-24" totalsRowFunction="average" dataDxfId="474">
      <calculatedColumnFormula>SUMIFS(DataRegularSeason20242025!$AA$3:$AA$1314,DataRegularSeason20242025!$B$3:$B$1314, "&lt;=" &amp; BD$1, DataRegularSeason20242025!$D$3:$D$1314, $A38)+SUMIFS(DataRegularSeason20242025!$AB$3:$AB$1314,DataRegularSeason20242025!$B$3:$B$1314, "&lt;=" &amp; BD$1, DataRegularSeason20242025!$E$3:$E$1314, $A38)</calculatedColumnFormula>
    </tableColumn>
    <tableColumn id="55" xr3:uid="{59F715BB-1615-485A-8C6B-27047E0C06D5}" name="2024-11-25" totalsRowFunction="average" dataDxfId="473">
      <calculatedColumnFormula>SUMIFS(DataRegularSeason20242025!$AA$3:$AA$1314,DataRegularSeason20242025!$B$3:$B$1314, "&lt;=" &amp; BE$1, DataRegularSeason20242025!$D$3:$D$1314, $A38)+SUMIFS(DataRegularSeason20242025!$AB$3:$AB$1314,DataRegularSeason20242025!$B$3:$B$1314, "&lt;=" &amp; BE$1, DataRegularSeason20242025!$E$3:$E$1314, $A38)</calculatedColumnFormula>
    </tableColumn>
    <tableColumn id="56" xr3:uid="{791AAD53-31BE-43DB-B6C7-AFA3D3C0F8E0}" name="2024-11-26" totalsRowFunction="average" dataDxfId="472">
      <calculatedColumnFormula>SUMIFS(DataRegularSeason20242025!$AA$3:$AA$1314,DataRegularSeason20242025!$B$3:$B$1314, "&lt;=" &amp; BF$1, DataRegularSeason20242025!$D$3:$D$1314, $A38)+SUMIFS(DataRegularSeason20242025!$AB$3:$AB$1314,DataRegularSeason20242025!$B$3:$B$1314, "&lt;=" &amp; BF$1, DataRegularSeason20242025!$E$3:$E$1314, $A38)</calculatedColumnFormula>
    </tableColumn>
    <tableColumn id="57" xr3:uid="{71526820-394A-49F6-8067-E6C1D78A0555}" name="2024-11-27" totalsRowFunction="average" dataDxfId="471">
      <calculatedColumnFormula>SUMIFS(DataRegularSeason20242025!$AA$3:$AA$1314,DataRegularSeason20242025!$B$3:$B$1314, "&lt;=" &amp; BG$1, DataRegularSeason20242025!$D$3:$D$1314, $A38)+SUMIFS(DataRegularSeason20242025!$AB$3:$AB$1314,DataRegularSeason20242025!$B$3:$B$1314, "&lt;=" &amp; BG$1, DataRegularSeason20242025!$E$3:$E$1314, $A38)</calculatedColumnFormula>
    </tableColumn>
    <tableColumn id="58" xr3:uid="{FB325FD8-E366-44B2-A58F-88C040073EF6}" name="2024-11-28" totalsRowFunction="average" dataDxfId="470">
      <calculatedColumnFormula>SUMIFS(DataRegularSeason20242025!$AA$3:$AA$1314,DataRegularSeason20242025!$B$3:$B$1314, "&lt;=" &amp; BH$1, DataRegularSeason20242025!$D$3:$D$1314, $A38)+SUMIFS(DataRegularSeason20242025!$AB$3:$AB$1314,DataRegularSeason20242025!$B$3:$B$1314, "&lt;=" &amp; BH$1, DataRegularSeason20242025!$E$3:$E$1314, $A38)</calculatedColumnFormula>
    </tableColumn>
    <tableColumn id="59" xr3:uid="{82D93A13-81A2-4B51-A7AF-0B43FE29B9C0}" name="2024-11-29" totalsRowFunction="average" dataDxfId="469">
      <calculatedColumnFormula>SUMIFS(DataRegularSeason20242025!$AA$3:$AA$1314,DataRegularSeason20242025!$B$3:$B$1314, "&lt;=" &amp; BI$1, DataRegularSeason20242025!$D$3:$D$1314, $A38)+SUMIFS(DataRegularSeason20242025!$AB$3:$AB$1314,DataRegularSeason20242025!$B$3:$B$1314, "&lt;=" &amp; BI$1, DataRegularSeason20242025!$E$3:$E$1314, $A38)</calculatedColumnFormula>
    </tableColumn>
    <tableColumn id="60" xr3:uid="{DFFDFBB6-7AF1-40AB-865A-8A2079FE1A0A}" name="2024-11-30" totalsRowFunction="average" dataDxfId="468">
      <calculatedColumnFormula>SUMIFS(DataRegularSeason20242025!$AA$3:$AA$1314,DataRegularSeason20242025!$B$3:$B$1314, "&lt;=" &amp; BJ$1, DataRegularSeason20242025!$D$3:$D$1314, $A38)+SUMIFS(DataRegularSeason20242025!$AB$3:$AB$1314,DataRegularSeason20242025!$B$3:$B$1314, "&lt;=" &amp; BJ$1, DataRegularSeason20242025!$E$3:$E$1314, $A38)</calculatedColumnFormula>
    </tableColumn>
    <tableColumn id="61" xr3:uid="{69320921-B76B-4118-BE26-660DB2A813A5}" name="2024-12-01" totalsRowFunction="average" dataDxfId="467">
      <calculatedColumnFormula>SUMIFS(DataRegularSeason20242025!$AA$3:$AA$1314,DataRegularSeason20242025!$B$3:$B$1314, "&lt;=" &amp; BK$1, DataRegularSeason20242025!$D$3:$D$1314, $A38)+SUMIFS(DataRegularSeason20242025!$AB$3:$AB$1314,DataRegularSeason20242025!$B$3:$B$1314, "&lt;=" &amp; BK$1, DataRegularSeason20242025!$E$3:$E$1314, $A38)</calculatedColumnFormula>
    </tableColumn>
    <tableColumn id="62" xr3:uid="{039466A3-7306-4797-A75F-D42030434B53}" name="2024-12-02" totalsRowFunction="average" dataDxfId="466">
      <calculatedColumnFormula>SUMIFS(DataRegularSeason20242025!$AA$3:$AA$1314,DataRegularSeason20242025!$B$3:$B$1314, "&lt;=" &amp; BL$1, DataRegularSeason20242025!$D$3:$D$1314, $A38)+SUMIFS(DataRegularSeason20242025!$AB$3:$AB$1314,DataRegularSeason20242025!$B$3:$B$1314, "&lt;=" &amp; BL$1, DataRegularSeason20242025!$E$3:$E$1314, $A38)</calculatedColumnFormula>
    </tableColumn>
    <tableColumn id="63" xr3:uid="{07E29E12-FFC9-44D6-994C-5849E879EB3C}" name="2024-12-03" totalsRowFunction="average" dataDxfId="465">
      <calculatedColumnFormula>SUMIFS(DataRegularSeason20242025!$AA$3:$AA$1314,DataRegularSeason20242025!$B$3:$B$1314, "&lt;=" &amp; BM$1, DataRegularSeason20242025!$D$3:$D$1314, $A38)+SUMIFS(DataRegularSeason20242025!$AB$3:$AB$1314,DataRegularSeason20242025!$B$3:$B$1314, "&lt;=" &amp; BM$1, DataRegularSeason20242025!$E$3:$E$1314, $A38)</calculatedColumnFormula>
    </tableColumn>
    <tableColumn id="64" xr3:uid="{F1029E42-B299-4436-8AA5-4E031F33B4EC}" name="2024-12-04" totalsRowFunction="average" dataDxfId="464">
      <calculatedColumnFormula>SUMIFS(DataRegularSeason20242025!$AA$3:$AA$1314,DataRegularSeason20242025!$B$3:$B$1314, "&lt;=" &amp; BN$1, DataRegularSeason20242025!$D$3:$D$1314, $A38)+SUMIFS(DataRegularSeason20242025!$AB$3:$AB$1314,DataRegularSeason20242025!$B$3:$B$1314, "&lt;=" &amp; BN$1, DataRegularSeason20242025!$E$3:$E$1314, $A38)</calculatedColumnFormula>
    </tableColumn>
    <tableColumn id="65" xr3:uid="{8A74CB08-C08B-4340-B739-4681109A7209}" name="2024-12-05" totalsRowFunction="average" dataDxfId="463">
      <calculatedColumnFormula>SUMIFS(DataRegularSeason20242025!$AA$3:$AA$1314,DataRegularSeason20242025!$B$3:$B$1314, "&lt;=" &amp; BO$1, DataRegularSeason20242025!$D$3:$D$1314, $A38)+SUMIFS(DataRegularSeason20242025!$AB$3:$AB$1314,DataRegularSeason20242025!$B$3:$B$1314, "&lt;=" &amp; BO$1, DataRegularSeason20242025!$E$3:$E$1314, $A38)</calculatedColumnFormula>
    </tableColumn>
    <tableColumn id="66" xr3:uid="{A7E4E83D-5122-4721-9CE1-AD1C7AE6D751}" name="2024-12-06" totalsRowFunction="average" dataDxfId="462">
      <calculatedColumnFormula>SUMIFS(DataRegularSeason20242025!$AA$3:$AA$1314,DataRegularSeason20242025!$B$3:$B$1314, "&lt;=" &amp; BP$1, DataRegularSeason20242025!$D$3:$D$1314, $A38)+SUMIFS(DataRegularSeason20242025!$AB$3:$AB$1314,DataRegularSeason20242025!$B$3:$B$1314, "&lt;=" &amp; BP$1, DataRegularSeason20242025!$E$3:$E$1314, $A38)</calculatedColumnFormula>
    </tableColumn>
    <tableColumn id="67" xr3:uid="{1FDEF807-E4BD-42D3-BDCE-E8B32C860172}" name="2024-12-07" totalsRowFunction="average" dataDxfId="461">
      <calculatedColumnFormula>SUMIFS(DataRegularSeason20242025!$AA$3:$AA$1314,DataRegularSeason20242025!$B$3:$B$1314, "&lt;=" &amp; BQ$1, DataRegularSeason20242025!$D$3:$D$1314, $A38)+SUMIFS(DataRegularSeason20242025!$AB$3:$AB$1314,DataRegularSeason20242025!$B$3:$B$1314, "&lt;=" &amp; BQ$1, DataRegularSeason20242025!$E$3:$E$1314, $A38)</calculatedColumnFormula>
    </tableColumn>
    <tableColumn id="68" xr3:uid="{1FCD4E3A-466F-49AE-A2B5-D0FED6EA88C5}" name="2024-12-08" totalsRowFunction="average" dataDxfId="460">
      <calculatedColumnFormula>SUMIFS(DataRegularSeason20242025!$AA$3:$AA$1314,DataRegularSeason20242025!$B$3:$B$1314, "&lt;=" &amp; BR$1, DataRegularSeason20242025!$D$3:$D$1314, $A38)+SUMIFS(DataRegularSeason20242025!$AB$3:$AB$1314,DataRegularSeason20242025!$B$3:$B$1314, "&lt;=" &amp; BR$1, DataRegularSeason20242025!$E$3:$E$1314, $A38)</calculatedColumnFormula>
    </tableColumn>
    <tableColumn id="69" xr3:uid="{8B67579E-AC7E-4CE3-BFEF-7A09981C68B8}" name="2024-12-09" totalsRowFunction="average" dataDxfId="459">
      <calculatedColumnFormula>SUMIFS(DataRegularSeason20242025!$AA$3:$AA$1314,DataRegularSeason20242025!$B$3:$B$1314, "&lt;=" &amp; BS$1, DataRegularSeason20242025!$D$3:$D$1314, $A38)+SUMIFS(DataRegularSeason20242025!$AB$3:$AB$1314,DataRegularSeason20242025!$B$3:$B$1314, "&lt;=" &amp; BS$1, DataRegularSeason20242025!$E$3:$E$1314, $A38)</calculatedColumnFormula>
    </tableColumn>
    <tableColumn id="70" xr3:uid="{FB177A6C-80ED-473B-AB6B-E071AE81AD2A}" name="2024-12-10" totalsRowFunction="average" dataDxfId="458">
      <calculatedColumnFormula>SUMIFS(DataRegularSeason20242025!$AA$3:$AA$1314,DataRegularSeason20242025!$B$3:$B$1314, "&lt;=" &amp; BT$1, DataRegularSeason20242025!$D$3:$D$1314, $A38)+SUMIFS(DataRegularSeason20242025!$AB$3:$AB$1314,DataRegularSeason20242025!$B$3:$B$1314, "&lt;=" &amp; BT$1, DataRegularSeason20242025!$E$3:$E$1314, $A38)</calculatedColumnFormula>
    </tableColumn>
    <tableColumn id="71" xr3:uid="{ED3F36C5-3093-4126-8D7D-F00DD5B3E1F8}" name="2024-12-11" totalsRowFunction="average" dataDxfId="457">
      <calculatedColumnFormula>SUMIFS(DataRegularSeason20242025!$AA$3:$AA$1314,DataRegularSeason20242025!$B$3:$B$1314, "&lt;=" &amp; BU$1, DataRegularSeason20242025!$D$3:$D$1314, $A38)+SUMIFS(DataRegularSeason20242025!$AB$3:$AB$1314,DataRegularSeason20242025!$B$3:$B$1314, "&lt;=" &amp; BU$1, DataRegularSeason20242025!$E$3:$E$1314, $A38)</calculatedColumnFormula>
    </tableColumn>
    <tableColumn id="72" xr3:uid="{1975F628-0DD6-4C3D-B5CD-33C954A356AE}" name="2024-12-12" totalsRowFunction="average" dataDxfId="456">
      <calculatedColumnFormula>SUMIFS(DataRegularSeason20242025!$AA$3:$AA$1314,DataRegularSeason20242025!$B$3:$B$1314, "&lt;=" &amp; BV$1, DataRegularSeason20242025!$D$3:$D$1314, $A38)+SUMIFS(DataRegularSeason20242025!$AB$3:$AB$1314,DataRegularSeason20242025!$B$3:$B$1314, "&lt;=" &amp; BV$1, DataRegularSeason20242025!$E$3:$E$1314, $A38)</calculatedColumnFormula>
    </tableColumn>
    <tableColumn id="73" xr3:uid="{E0BDC541-9E04-4095-9355-5101E06CB54F}" name="2024-12-13" totalsRowFunction="average" dataDxfId="455">
      <calculatedColumnFormula>SUMIFS(DataRegularSeason20242025!$AA$3:$AA$1314,DataRegularSeason20242025!$B$3:$B$1314, "&lt;=" &amp; BW$1, DataRegularSeason20242025!$D$3:$D$1314, $A38)+SUMIFS(DataRegularSeason20242025!$AB$3:$AB$1314,DataRegularSeason20242025!$B$3:$B$1314, "&lt;=" &amp; BW$1, DataRegularSeason20242025!$E$3:$E$1314, $A38)</calculatedColumnFormula>
    </tableColumn>
    <tableColumn id="74" xr3:uid="{F88B2311-D295-4808-A1AB-53C0ED40A251}" name="2024-12-14" totalsRowFunction="average" dataDxfId="454">
      <calculatedColumnFormula>SUMIFS(DataRegularSeason20242025!$AA$3:$AA$1314,DataRegularSeason20242025!$B$3:$B$1314, "&lt;=" &amp; BX$1, DataRegularSeason20242025!$D$3:$D$1314, $A38)+SUMIFS(DataRegularSeason20242025!$AB$3:$AB$1314,DataRegularSeason20242025!$B$3:$B$1314, "&lt;=" &amp; BX$1, DataRegularSeason20242025!$E$3:$E$1314, $A38)</calculatedColumnFormula>
    </tableColumn>
    <tableColumn id="75" xr3:uid="{67EBD11B-FF2A-45A6-A4ED-1A03B044A82D}" name="2024-12-15" totalsRowFunction="average" dataDxfId="453">
      <calculatedColumnFormula>SUMIFS(DataRegularSeason20242025!$AA$3:$AA$1314,DataRegularSeason20242025!$B$3:$B$1314, "&lt;=" &amp; BY$1, DataRegularSeason20242025!$D$3:$D$1314, $A38)+SUMIFS(DataRegularSeason20242025!$AB$3:$AB$1314,DataRegularSeason20242025!$B$3:$B$1314, "&lt;=" &amp; BY$1, DataRegularSeason20242025!$E$3:$E$1314, $A38)</calculatedColumnFormula>
    </tableColumn>
    <tableColumn id="76" xr3:uid="{9FB5FA85-D935-4E69-B0E2-3A5447D469E0}" name="2024-12-16" totalsRowFunction="average" dataDxfId="452">
      <calculatedColumnFormula>SUMIFS(DataRegularSeason20242025!$AA$3:$AA$1314,DataRegularSeason20242025!$B$3:$B$1314, "&lt;=" &amp; BZ$1, DataRegularSeason20242025!$D$3:$D$1314, $A38)+SUMIFS(DataRegularSeason20242025!$AB$3:$AB$1314,DataRegularSeason20242025!$B$3:$B$1314, "&lt;=" &amp; BZ$1, DataRegularSeason20242025!$E$3:$E$1314, $A38)</calculatedColumnFormula>
    </tableColumn>
    <tableColumn id="77" xr3:uid="{ADACC3A8-8375-42C3-B921-8D2EFE816A9F}" name="2024-12-17" totalsRowFunction="average" dataDxfId="451">
      <calculatedColumnFormula>SUMIFS(DataRegularSeason20242025!$AA$3:$AA$1314,DataRegularSeason20242025!$B$3:$B$1314, "&lt;=" &amp; CA$1, DataRegularSeason20242025!$D$3:$D$1314, $A38)+SUMIFS(DataRegularSeason20242025!$AB$3:$AB$1314,DataRegularSeason20242025!$B$3:$B$1314, "&lt;=" &amp; CA$1, DataRegularSeason20242025!$E$3:$E$1314, $A38)</calculatedColumnFormula>
    </tableColumn>
    <tableColumn id="78" xr3:uid="{E1B5A7C1-5470-4535-BAC4-F3644E824456}" name="2024-12-18" totalsRowFunction="average" dataDxfId="450">
      <calculatedColumnFormula>SUMIFS(DataRegularSeason20242025!$AA$3:$AA$1314,DataRegularSeason20242025!$B$3:$B$1314, "&lt;=" &amp; CB$1, DataRegularSeason20242025!$D$3:$D$1314, $A38)+SUMIFS(DataRegularSeason20242025!$AB$3:$AB$1314,DataRegularSeason20242025!$B$3:$B$1314, "&lt;=" &amp; CB$1, DataRegularSeason20242025!$E$3:$E$1314, $A38)</calculatedColumnFormula>
    </tableColumn>
    <tableColumn id="79" xr3:uid="{E489F777-3545-405B-9AE6-E66043093AC9}" name="2024-12-19" totalsRowFunction="average" dataDxfId="449">
      <calculatedColumnFormula>SUMIFS(DataRegularSeason20242025!$AA$3:$AA$1314,DataRegularSeason20242025!$B$3:$B$1314, "&lt;=" &amp; CC$1, DataRegularSeason20242025!$D$3:$D$1314, $A38)+SUMIFS(DataRegularSeason20242025!$AB$3:$AB$1314,DataRegularSeason20242025!$B$3:$B$1314, "&lt;=" &amp; CC$1, DataRegularSeason20242025!$E$3:$E$1314, $A38)</calculatedColumnFormula>
    </tableColumn>
    <tableColumn id="80" xr3:uid="{32E22215-19C9-47DD-80C5-A145B8F0F98E}" name="2024-12-20" totalsRowFunction="average" dataDxfId="448">
      <calculatedColumnFormula>SUMIFS(DataRegularSeason20242025!$AA$3:$AA$1314,DataRegularSeason20242025!$B$3:$B$1314, "&lt;=" &amp; CD$1, DataRegularSeason20242025!$D$3:$D$1314, $A38)+SUMIFS(DataRegularSeason20242025!$AB$3:$AB$1314,DataRegularSeason20242025!$B$3:$B$1314, "&lt;=" &amp; CD$1, DataRegularSeason20242025!$E$3:$E$1314, $A38)</calculatedColumnFormula>
    </tableColumn>
    <tableColumn id="81" xr3:uid="{E5452FD0-DFFF-445F-BAC4-FCFB3CCA4AE1}" name="2024-12-21" totalsRowFunction="average" dataDxfId="447">
      <calculatedColumnFormula>SUMIFS(DataRegularSeason20242025!$AA$3:$AA$1314,DataRegularSeason20242025!$B$3:$B$1314, "&lt;=" &amp; CE$1, DataRegularSeason20242025!$D$3:$D$1314, $A38)+SUMIFS(DataRegularSeason20242025!$AB$3:$AB$1314,DataRegularSeason20242025!$B$3:$B$1314, "&lt;=" &amp; CE$1, DataRegularSeason20242025!$E$3:$E$1314, $A38)</calculatedColumnFormula>
    </tableColumn>
    <tableColumn id="82" xr3:uid="{A5A7B957-3E67-4EEA-8A7F-AB8135D10F45}" name="2024-12-22" totalsRowFunction="average" dataDxfId="446">
      <calculatedColumnFormula>SUMIFS(DataRegularSeason20242025!$AA$3:$AA$1314,DataRegularSeason20242025!$B$3:$B$1314, "&lt;=" &amp; CF$1, DataRegularSeason20242025!$D$3:$D$1314, $A38)+SUMIFS(DataRegularSeason20242025!$AB$3:$AB$1314,DataRegularSeason20242025!$B$3:$B$1314, "&lt;=" &amp; CF$1, DataRegularSeason20242025!$E$3:$E$1314, $A38)</calculatedColumnFormula>
    </tableColumn>
    <tableColumn id="83" xr3:uid="{C9523FBB-C3B2-4E44-828B-9DE8883EE85D}" name="2024-12-23" totalsRowFunction="average" dataDxfId="445">
      <calculatedColumnFormula>SUMIFS(DataRegularSeason20242025!$AA$3:$AA$1314,DataRegularSeason20242025!$B$3:$B$1314, "&lt;=" &amp; CG$1, DataRegularSeason20242025!$D$3:$D$1314, $A38)+SUMIFS(DataRegularSeason20242025!$AB$3:$AB$1314,DataRegularSeason20242025!$B$3:$B$1314, "&lt;=" &amp; CG$1, DataRegularSeason20242025!$E$3:$E$1314, $A38)</calculatedColumnFormula>
    </tableColumn>
    <tableColumn id="84" xr3:uid="{0002911B-6A9A-4AED-9FAA-5BDFE5001481}" name="2024-12-24" totalsRowFunction="average" dataDxfId="444">
      <calculatedColumnFormula>SUMIFS(DataRegularSeason20242025!$AA$3:$AA$1314,DataRegularSeason20242025!$B$3:$B$1314, "&lt;=" &amp; CH$1, DataRegularSeason20242025!$D$3:$D$1314, $A38)+SUMIFS(DataRegularSeason20242025!$AB$3:$AB$1314,DataRegularSeason20242025!$B$3:$B$1314, "&lt;=" &amp; CH$1, DataRegularSeason20242025!$E$3:$E$1314, $A38)</calculatedColumnFormula>
    </tableColumn>
    <tableColumn id="85" xr3:uid="{69919E90-4969-42DD-93C2-9AE38E8836D3}" name="2024-12-25" totalsRowFunction="average" dataDxfId="443">
      <calculatedColumnFormula>SUMIFS(DataRegularSeason20242025!$AA$3:$AA$1314,DataRegularSeason20242025!$B$3:$B$1314, "&lt;=" &amp; CI$1, DataRegularSeason20242025!$D$3:$D$1314, $A38)+SUMIFS(DataRegularSeason20242025!$AB$3:$AB$1314,DataRegularSeason20242025!$B$3:$B$1314, "&lt;=" &amp; CI$1, DataRegularSeason20242025!$E$3:$E$1314, $A38)</calculatedColumnFormula>
    </tableColumn>
    <tableColumn id="86" xr3:uid="{587BA55E-F5BA-4DBF-8E81-14646777A181}" name="2024-12-26" totalsRowFunction="average" dataDxfId="442">
      <calculatedColumnFormula>SUMIFS(DataRegularSeason20242025!$AA$3:$AA$1314,DataRegularSeason20242025!$B$3:$B$1314, "&lt;=" &amp; CJ$1, DataRegularSeason20242025!$D$3:$D$1314, $A38)+SUMIFS(DataRegularSeason20242025!$AB$3:$AB$1314,DataRegularSeason20242025!$B$3:$B$1314, "&lt;=" &amp; CJ$1, DataRegularSeason20242025!$E$3:$E$1314, $A38)</calculatedColumnFormula>
    </tableColumn>
    <tableColumn id="87" xr3:uid="{5CCA5A4B-A67C-4F66-99CD-85C1322CFAEE}" name="2024-12-27" totalsRowFunction="average" dataDxfId="441">
      <calculatedColumnFormula>SUMIFS(DataRegularSeason20242025!$AA$3:$AA$1314,DataRegularSeason20242025!$B$3:$B$1314, "&lt;=" &amp; CK$1, DataRegularSeason20242025!$D$3:$D$1314, $A38)+SUMIFS(DataRegularSeason20242025!$AB$3:$AB$1314,DataRegularSeason20242025!$B$3:$B$1314, "&lt;=" &amp; CK$1, DataRegularSeason20242025!$E$3:$E$1314, $A38)</calculatedColumnFormula>
    </tableColumn>
    <tableColumn id="88" xr3:uid="{910CE3D1-63CD-4906-8510-81529EE78853}" name="2024-12-28" totalsRowFunction="average" dataDxfId="440">
      <calculatedColumnFormula>SUMIFS(DataRegularSeason20242025!$AA$3:$AA$1314,DataRegularSeason20242025!$B$3:$B$1314, "&lt;=" &amp; CL$1, DataRegularSeason20242025!$D$3:$D$1314, $A38)+SUMIFS(DataRegularSeason20242025!$AB$3:$AB$1314,DataRegularSeason20242025!$B$3:$B$1314, "&lt;=" &amp; CL$1, DataRegularSeason20242025!$E$3:$E$1314, $A38)</calculatedColumnFormula>
    </tableColumn>
    <tableColumn id="89" xr3:uid="{5D14C0D2-EAB3-4E38-80B9-2A04BDD35AF7}" name="2024-12-29" totalsRowFunction="average" dataDxfId="439">
      <calculatedColumnFormula>SUMIFS(DataRegularSeason20242025!$AA$3:$AA$1314,DataRegularSeason20242025!$B$3:$B$1314, "&lt;=" &amp; CM$1, DataRegularSeason20242025!$D$3:$D$1314, $A38)+SUMIFS(DataRegularSeason20242025!$AB$3:$AB$1314,DataRegularSeason20242025!$B$3:$B$1314, "&lt;=" &amp; CM$1, DataRegularSeason20242025!$E$3:$E$1314, $A38)</calculatedColumnFormula>
    </tableColumn>
    <tableColumn id="90" xr3:uid="{B06713A0-DD20-49E3-8DD7-A1819FCCBEBC}" name="2024-12-30" totalsRowFunction="average" dataDxfId="438">
      <calculatedColumnFormula>SUMIFS(DataRegularSeason20242025!$AA$3:$AA$1314,DataRegularSeason20242025!$B$3:$B$1314, "&lt;=" &amp; CN$1, DataRegularSeason20242025!$D$3:$D$1314, $A38)+SUMIFS(DataRegularSeason20242025!$AB$3:$AB$1314,DataRegularSeason20242025!$B$3:$B$1314, "&lt;=" &amp; CN$1, DataRegularSeason20242025!$E$3:$E$1314, $A38)</calculatedColumnFormula>
    </tableColumn>
    <tableColumn id="91" xr3:uid="{D9E8443A-9EB3-44BD-AD15-456B51A35A47}" name="2024-12-31" totalsRowFunction="average" dataDxfId="437">
      <calculatedColumnFormula>SUMIFS(DataRegularSeason20242025!$AA$3:$AA$1314,DataRegularSeason20242025!$B$3:$B$1314, "&lt;=" &amp; CO$1, DataRegularSeason20242025!$D$3:$D$1314, $A38)+SUMIFS(DataRegularSeason20242025!$AB$3:$AB$1314,DataRegularSeason20242025!$B$3:$B$1314, "&lt;=" &amp; CO$1, DataRegularSeason20242025!$E$3:$E$1314, $A38)</calculatedColumnFormula>
    </tableColumn>
    <tableColumn id="92" xr3:uid="{C2C95538-DE08-4776-895B-6D01C9AB2FE7}" name="2025-01-01" totalsRowFunction="average" dataDxfId="436">
      <calculatedColumnFormula>SUMIFS(DataRegularSeason20242025!$AA$3:$AA$1314,DataRegularSeason20242025!$B$3:$B$1314, "&lt;=" &amp; CP$1, DataRegularSeason20242025!$D$3:$D$1314, $A38)+SUMIFS(DataRegularSeason20242025!$AB$3:$AB$1314,DataRegularSeason20242025!$B$3:$B$1314, "&lt;=" &amp; CP$1, DataRegularSeason20242025!$E$3:$E$1314, $A38)</calculatedColumnFormula>
    </tableColumn>
    <tableColumn id="93" xr3:uid="{12B1CE3C-0E97-4B30-B037-B934018D49B1}" name="2025-01-02" totalsRowFunction="average" dataDxfId="435">
      <calculatedColumnFormula>SUMIFS(DataRegularSeason20242025!$AA$3:$AA$1314,DataRegularSeason20242025!$B$3:$B$1314, "&lt;=" &amp; CQ$1, DataRegularSeason20242025!$D$3:$D$1314, $A38)+SUMIFS(DataRegularSeason20242025!$AB$3:$AB$1314,DataRegularSeason20242025!$B$3:$B$1314, "&lt;=" &amp; CQ$1, DataRegularSeason20242025!$E$3:$E$1314, $A38)</calculatedColumnFormula>
    </tableColumn>
    <tableColumn id="94" xr3:uid="{4B90C368-8C78-4327-B4F2-C6DBF135E437}" name="2025-01-03" totalsRowFunction="average" dataDxfId="434">
      <calculatedColumnFormula>SUMIFS(DataRegularSeason20242025!$AA$3:$AA$1314,DataRegularSeason20242025!$B$3:$B$1314, "&lt;=" &amp; CR$1, DataRegularSeason20242025!$D$3:$D$1314, $A38)+SUMIFS(DataRegularSeason20242025!$AB$3:$AB$1314,DataRegularSeason20242025!$B$3:$B$1314, "&lt;=" &amp; CR$1, DataRegularSeason20242025!$E$3:$E$1314, $A38)</calculatedColumnFormula>
    </tableColumn>
    <tableColumn id="95" xr3:uid="{D332227B-5044-4E90-8A2E-0E03AFA551C5}" name="2025-01-04" totalsRowFunction="average" dataDxfId="433">
      <calculatedColumnFormula>SUMIFS(DataRegularSeason20242025!$AA$3:$AA$1314,DataRegularSeason20242025!$B$3:$B$1314, "&lt;=" &amp; CS$1, DataRegularSeason20242025!$D$3:$D$1314, $A38)+SUMIFS(DataRegularSeason20242025!$AB$3:$AB$1314,DataRegularSeason20242025!$B$3:$B$1314, "&lt;=" &amp; CS$1, DataRegularSeason20242025!$E$3:$E$1314, $A38)</calculatedColumnFormula>
    </tableColumn>
    <tableColumn id="96" xr3:uid="{89404ACE-3A18-47B8-8600-2A16502E54AD}" name="2025-01-05" totalsRowFunction="average" dataDxfId="432">
      <calculatedColumnFormula>SUMIFS(DataRegularSeason20242025!$AA$3:$AA$1314,DataRegularSeason20242025!$B$3:$B$1314, "&lt;=" &amp; CT$1, DataRegularSeason20242025!$D$3:$D$1314, $A38)+SUMIFS(DataRegularSeason20242025!$AB$3:$AB$1314,DataRegularSeason20242025!$B$3:$B$1314, "&lt;=" &amp; CT$1, DataRegularSeason20242025!$E$3:$E$1314, $A38)</calculatedColumnFormula>
    </tableColumn>
    <tableColumn id="97" xr3:uid="{52136C95-AC32-41BC-941E-DC8701C869B6}" name="2025-01-06" totalsRowFunction="average" dataDxfId="431">
      <calculatedColumnFormula>SUMIFS(DataRegularSeason20242025!$AA$3:$AA$1314,DataRegularSeason20242025!$B$3:$B$1314, "&lt;=" &amp; CU$1, DataRegularSeason20242025!$D$3:$D$1314, $A38)+SUMIFS(DataRegularSeason20242025!$AB$3:$AB$1314,DataRegularSeason20242025!$B$3:$B$1314, "&lt;=" &amp; CU$1, DataRegularSeason20242025!$E$3:$E$1314, $A38)</calculatedColumnFormula>
    </tableColumn>
    <tableColumn id="98" xr3:uid="{55EE24D7-E723-4A14-B244-72AC343FAB64}" name="2025-01-07" totalsRowFunction="average" dataDxfId="430">
      <calculatedColumnFormula>SUMIFS(DataRegularSeason20242025!$AA$3:$AA$1314,DataRegularSeason20242025!$B$3:$B$1314, "&lt;=" &amp; CV$1, DataRegularSeason20242025!$D$3:$D$1314, $A38)+SUMIFS(DataRegularSeason20242025!$AB$3:$AB$1314,DataRegularSeason20242025!$B$3:$B$1314, "&lt;=" &amp; CV$1, DataRegularSeason20242025!$E$3:$E$1314, $A38)</calculatedColumnFormula>
    </tableColumn>
    <tableColumn id="99" xr3:uid="{EE1FC764-28D6-404E-8BAF-84565C984E00}" name="2025-01-08" totalsRowFunction="average" dataDxfId="429">
      <calculatedColumnFormula>SUMIFS(DataRegularSeason20242025!$AA$3:$AA$1314,DataRegularSeason20242025!$B$3:$B$1314, "&lt;=" &amp; CW$1, DataRegularSeason20242025!$D$3:$D$1314, $A38)+SUMIFS(DataRegularSeason20242025!$AB$3:$AB$1314,DataRegularSeason20242025!$B$3:$B$1314, "&lt;=" &amp; CW$1, DataRegularSeason20242025!$E$3:$E$1314, $A38)</calculatedColumnFormula>
    </tableColumn>
    <tableColumn id="100" xr3:uid="{67A850F7-F835-404D-9400-AE02DF02FF73}" name="2025-01-09" totalsRowFunction="average" dataDxfId="428">
      <calculatedColumnFormula>SUMIFS(DataRegularSeason20242025!$AA$3:$AA$1314,DataRegularSeason20242025!$B$3:$B$1314, "&lt;=" &amp; CX$1, DataRegularSeason20242025!$D$3:$D$1314, $A38)+SUMIFS(DataRegularSeason20242025!$AB$3:$AB$1314,DataRegularSeason20242025!$B$3:$B$1314, "&lt;=" &amp; CX$1, DataRegularSeason20242025!$E$3:$E$1314, $A38)</calculatedColumnFormula>
    </tableColumn>
    <tableColumn id="101" xr3:uid="{CD668915-E486-4AD3-A9F0-05EF17C2DDB8}" name="2025-01-10" totalsRowFunction="average" dataDxfId="427">
      <calculatedColumnFormula>SUMIFS(DataRegularSeason20242025!$AA$3:$AA$1314,DataRegularSeason20242025!$B$3:$B$1314, "&lt;=" &amp; CY$1, DataRegularSeason20242025!$D$3:$D$1314, $A38)+SUMIFS(DataRegularSeason20242025!$AB$3:$AB$1314,DataRegularSeason20242025!$B$3:$B$1314, "&lt;=" &amp; CY$1, DataRegularSeason20242025!$E$3:$E$1314, $A38)</calculatedColumnFormula>
    </tableColumn>
    <tableColumn id="102" xr3:uid="{B7A74771-C30E-475A-BB30-5123FF0DFD77}" name="2025-01-11" totalsRowFunction="average" dataDxfId="426">
      <calculatedColumnFormula>SUMIFS(DataRegularSeason20242025!$AA$3:$AA$1314,DataRegularSeason20242025!$B$3:$B$1314, "&lt;=" &amp; CZ$1, DataRegularSeason20242025!$D$3:$D$1314, $A38)+SUMIFS(DataRegularSeason20242025!$AB$3:$AB$1314,DataRegularSeason20242025!$B$3:$B$1314, "&lt;=" &amp; CZ$1, DataRegularSeason20242025!$E$3:$E$1314, $A38)</calculatedColumnFormula>
    </tableColumn>
    <tableColumn id="103" xr3:uid="{67D85F69-5DC3-40EF-974A-DA02DAD690C4}" name="2025-01-12" totalsRowFunction="average" dataDxfId="425">
      <calculatedColumnFormula>SUMIFS(DataRegularSeason20242025!$AA$3:$AA$1314,DataRegularSeason20242025!$B$3:$B$1314, "&lt;=" &amp; DA$1, DataRegularSeason20242025!$D$3:$D$1314, $A38)+SUMIFS(DataRegularSeason20242025!$AB$3:$AB$1314,DataRegularSeason20242025!$B$3:$B$1314, "&lt;=" &amp; DA$1, DataRegularSeason20242025!$E$3:$E$1314, $A38)</calculatedColumnFormula>
    </tableColumn>
    <tableColumn id="104" xr3:uid="{A4C0FC05-D3FA-4B1B-903D-641041C2D8F2}" name="2025-01-13" totalsRowFunction="average" dataDxfId="424">
      <calculatedColumnFormula>SUMIFS(DataRegularSeason20242025!$AA$3:$AA$1314,DataRegularSeason20242025!$B$3:$B$1314, "&lt;=" &amp; DB$1, DataRegularSeason20242025!$D$3:$D$1314, $A38)+SUMIFS(DataRegularSeason20242025!$AB$3:$AB$1314,DataRegularSeason20242025!$B$3:$B$1314, "&lt;=" &amp; DB$1, DataRegularSeason20242025!$E$3:$E$1314, $A38)</calculatedColumnFormula>
    </tableColumn>
    <tableColumn id="105" xr3:uid="{98A6687B-F175-44D0-AA34-374E57A7807D}" name="2025-01-14" totalsRowFunction="average" dataDxfId="423">
      <calculatedColumnFormula>SUMIFS(DataRegularSeason20242025!$AA$3:$AA$1314,DataRegularSeason20242025!$B$3:$B$1314, "&lt;=" &amp; DC$1, DataRegularSeason20242025!$D$3:$D$1314, $A38)+SUMIFS(DataRegularSeason20242025!$AB$3:$AB$1314,DataRegularSeason20242025!$B$3:$B$1314, "&lt;=" &amp; DC$1, DataRegularSeason20242025!$E$3:$E$1314, $A38)</calculatedColumnFormula>
    </tableColumn>
    <tableColumn id="106" xr3:uid="{61BFFAD8-C11D-43B6-BE20-7F5D5DE694BD}" name="2025-01-15" totalsRowFunction="average" dataDxfId="422">
      <calculatedColumnFormula>SUMIFS(DataRegularSeason20242025!$AA$3:$AA$1314,DataRegularSeason20242025!$B$3:$B$1314, "&lt;=" &amp; DD$1, DataRegularSeason20242025!$D$3:$D$1314, $A38)+SUMIFS(DataRegularSeason20242025!$AB$3:$AB$1314,DataRegularSeason20242025!$B$3:$B$1314, "&lt;=" &amp; DD$1, DataRegularSeason20242025!$E$3:$E$1314, $A38)</calculatedColumnFormula>
    </tableColumn>
    <tableColumn id="107" xr3:uid="{A16C84A3-E12E-4309-9F4C-663726D42A86}" name="2025-01-16" totalsRowFunction="average" dataDxfId="421">
      <calculatedColumnFormula>SUMIFS(DataRegularSeason20242025!$AA$3:$AA$1314,DataRegularSeason20242025!$B$3:$B$1314, "&lt;=" &amp; DE$1, DataRegularSeason20242025!$D$3:$D$1314, $A38)+SUMIFS(DataRegularSeason20242025!$AB$3:$AB$1314,DataRegularSeason20242025!$B$3:$B$1314, "&lt;=" &amp; DE$1, DataRegularSeason20242025!$E$3:$E$1314, $A38)</calculatedColumnFormula>
    </tableColumn>
    <tableColumn id="108" xr3:uid="{313709C8-AD64-4393-B1A8-AA414F10521C}" name="2025-01-17" totalsRowFunction="average" dataDxfId="420">
      <calculatedColumnFormula>SUMIFS(DataRegularSeason20242025!$AA$3:$AA$1314,DataRegularSeason20242025!$B$3:$B$1314, "&lt;=" &amp; DF$1, DataRegularSeason20242025!$D$3:$D$1314, $A38)+SUMIFS(DataRegularSeason20242025!$AB$3:$AB$1314,DataRegularSeason20242025!$B$3:$B$1314, "&lt;=" &amp; DF$1, DataRegularSeason20242025!$E$3:$E$1314, $A38)</calculatedColumnFormula>
    </tableColumn>
    <tableColumn id="109" xr3:uid="{09720695-C65B-4D2E-B074-620FC0F1D0C2}" name="2025-01-18" totalsRowFunction="average" dataDxfId="419">
      <calculatedColumnFormula>SUMIFS(DataRegularSeason20242025!$AA$3:$AA$1314,DataRegularSeason20242025!$B$3:$B$1314, "&lt;=" &amp; DG$1, DataRegularSeason20242025!$D$3:$D$1314, $A38)+SUMIFS(DataRegularSeason20242025!$AB$3:$AB$1314,DataRegularSeason20242025!$B$3:$B$1314, "&lt;=" &amp; DG$1, DataRegularSeason20242025!$E$3:$E$1314, $A38)</calculatedColumnFormula>
    </tableColumn>
    <tableColumn id="110" xr3:uid="{A921E621-552E-4A38-9373-34204C5BDDA8}" name="2025-01-19" totalsRowFunction="average" dataDxfId="418">
      <calculatedColumnFormula>SUMIFS(DataRegularSeason20242025!$AA$3:$AA$1314,DataRegularSeason20242025!$B$3:$B$1314, "&lt;=" &amp; DH$1, DataRegularSeason20242025!$D$3:$D$1314, $A38)+SUMIFS(DataRegularSeason20242025!$AB$3:$AB$1314,DataRegularSeason20242025!$B$3:$B$1314, "&lt;=" &amp; DH$1, DataRegularSeason20242025!$E$3:$E$1314, $A38)</calculatedColumnFormula>
    </tableColumn>
    <tableColumn id="111" xr3:uid="{86A493C7-955E-445A-B67D-2945FFAD794E}" name="2025-01-20" totalsRowFunction="average" dataDxfId="417">
      <calculatedColumnFormula>SUMIFS(DataRegularSeason20242025!$AA$3:$AA$1314,DataRegularSeason20242025!$B$3:$B$1314, "&lt;=" &amp; DI$1, DataRegularSeason20242025!$D$3:$D$1314, $A38)+SUMIFS(DataRegularSeason20242025!$AB$3:$AB$1314,DataRegularSeason20242025!$B$3:$B$1314, "&lt;=" &amp; DI$1, DataRegularSeason20242025!$E$3:$E$1314, $A38)</calculatedColumnFormula>
    </tableColumn>
    <tableColumn id="112" xr3:uid="{014D6FDB-90EE-4F7B-9E81-5184899BA1A9}" name="2025-01-21" totalsRowFunction="average" dataDxfId="416">
      <calculatedColumnFormula>SUMIFS(DataRegularSeason20242025!$AA$3:$AA$1314,DataRegularSeason20242025!$B$3:$B$1314, "&lt;=" &amp; DJ$1, DataRegularSeason20242025!$D$3:$D$1314, $A38)+SUMIFS(DataRegularSeason20242025!$AB$3:$AB$1314,DataRegularSeason20242025!$B$3:$B$1314, "&lt;=" &amp; DJ$1, DataRegularSeason20242025!$E$3:$E$1314, $A38)</calculatedColumnFormula>
    </tableColumn>
    <tableColumn id="113" xr3:uid="{C351110E-6771-4C2B-9666-81532FF709AA}" name="2025-01-22" totalsRowFunction="average" dataDxfId="415">
      <calculatedColumnFormula>SUMIFS(DataRegularSeason20242025!$AA$3:$AA$1314,DataRegularSeason20242025!$B$3:$B$1314, "&lt;=" &amp; DK$1, DataRegularSeason20242025!$D$3:$D$1314, $A38)+SUMIFS(DataRegularSeason20242025!$AB$3:$AB$1314,DataRegularSeason20242025!$B$3:$B$1314, "&lt;=" &amp; DK$1, DataRegularSeason20242025!$E$3:$E$1314, $A38)</calculatedColumnFormula>
    </tableColumn>
    <tableColumn id="114" xr3:uid="{F02B9C0B-5906-462D-9424-F70E858ECFEA}" name="2025-01-23" totalsRowFunction="average" dataDxfId="414">
      <calculatedColumnFormula>SUMIFS(DataRegularSeason20242025!$AA$3:$AA$1314,DataRegularSeason20242025!$B$3:$B$1314, "&lt;=" &amp; DL$1, DataRegularSeason20242025!$D$3:$D$1314, $A38)+SUMIFS(DataRegularSeason20242025!$AB$3:$AB$1314,DataRegularSeason20242025!$B$3:$B$1314, "&lt;=" &amp; DL$1, DataRegularSeason20242025!$E$3:$E$1314, $A38)</calculatedColumnFormula>
    </tableColumn>
    <tableColumn id="115" xr3:uid="{41775CF0-11BC-4010-B9F1-65F3CA5C5A1B}" name="2025-01-24" totalsRowFunction="average" dataDxfId="413">
      <calculatedColumnFormula>SUMIFS(DataRegularSeason20242025!$AA$3:$AA$1314,DataRegularSeason20242025!$B$3:$B$1314, "&lt;=" &amp; DM$1, DataRegularSeason20242025!$D$3:$D$1314, $A38)+SUMIFS(DataRegularSeason20242025!$AB$3:$AB$1314,DataRegularSeason20242025!$B$3:$B$1314, "&lt;=" &amp; DM$1, DataRegularSeason20242025!$E$3:$E$1314, $A38)</calculatedColumnFormula>
    </tableColumn>
    <tableColumn id="116" xr3:uid="{11A92494-A26E-4AF1-95E4-AE0C0F24BE9B}" name="2025-01-25" totalsRowFunction="average" dataDxfId="412">
      <calculatedColumnFormula>SUMIFS(DataRegularSeason20242025!$AA$3:$AA$1314,DataRegularSeason20242025!$B$3:$B$1314, "&lt;=" &amp; DN$1, DataRegularSeason20242025!$D$3:$D$1314, $A38)+SUMIFS(DataRegularSeason20242025!$AB$3:$AB$1314,DataRegularSeason20242025!$B$3:$B$1314, "&lt;=" &amp; DN$1, DataRegularSeason20242025!$E$3:$E$1314, $A38)</calculatedColumnFormula>
    </tableColumn>
    <tableColumn id="117" xr3:uid="{39235DA8-CDCB-4701-BC14-7C194C34B824}" name="2025-01-26" totalsRowFunction="average" dataDxfId="411">
      <calculatedColumnFormula>SUMIFS(DataRegularSeason20242025!$AA$3:$AA$1314,DataRegularSeason20242025!$B$3:$B$1314, "&lt;=" &amp; DO$1, DataRegularSeason20242025!$D$3:$D$1314, $A38)+SUMIFS(DataRegularSeason20242025!$AB$3:$AB$1314,DataRegularSeason20242025!$B$3:$B$1314, "&lt;=" &amp; DO$1, DataRegularSeason20242025!$E$3:$E$1314, $A38)</calculatedColumnFormula>
    </tableColumn>
    <tableColumn id="118" xr3:uid="{83F0D1E0-31A8-407B-96BD-B5768CE60A83}" name="2025-01-27" totalsRowFunction="average" dataDxfId="410">
      <calculatedColumnFormula>SUMIFS(DataRegularSeason20242025!$AA$3:$AA$1314,DataRegularSeason20242025!$B$3:$B$1314, "&lt;=" &amp; DP$1, DataRegularSeason20242025!$D$3:$D$1314, $A38)+SUMIFS(DataRegularSeason20242025!$AB$3:$AB$1314,DataRegularSeason20242025!$B$3:$B$1314, "&lt;=" &amp; DP$1, DataRegularSeason20242025!$E$3:$E$1314, $A38)</calculatedColumnFormula>
    </tableColumn>
    <tableColumn id="119" xr3:uid="{664FFE3D-D3AC-4D7E-A46A-CD48CDD56C63}" name="2025-01-28" totalsRowFunction="average" dataDxfId="409">
      <calculatedColumnFormula>SUMIFS(DataRegularSeason20242025!$AA$3:$AA$1314,DataRegularSeason20242025!$B$3:$B$1314, "&lt;=" &amp; DQ$1, DataRegularSeason20242025!$D$3:$D$1314, $A38)+SUMIFS(DataRegularSeason20242025!$AB$3:$AB$1314,DataRegularSeason20242025!$B$3:$B$1314, "&lt;=" &amp; DQ$1, DataRegularSeason20242025!$E$3:$E$1314, $A38)</calculatedColumnFormula>
    </tableColumn>
    <tableColumn id="120" xr3:uid="{99076D3D-C438-45F4-89F8-48A69F57A47A}" name="2025-01-29" totalsRowFunction="average" dataDxfId="408">
      <calculatedColumnFormula>SUMIFS(DataRegularSeason20242025!$AA$3:$AA$1314,DataRegularSeason20242025!$B$3:$B$1314, "&lt;=" &amp; DR$1, DataRegularSeason20242025!$D$3:$D$1314, $A38)+SUMIFS(DataRegularSeason20242025!$AB$3:$AB$1314,DataRegularSeason20242025!$B$3:$B$1314, "&lt;=" &amp; DR$1, DataRegularSeason20242025!$E$3:$E$1314, $A38)</calculatedColumnFormula>
    </tableColumn>
    <tableColumn id="121" xr3:uid="{5DA71604-0379-4821-84AD-9C44A9FEA044}" name="2025-01-30" totalsRowFunction="average" dataDxfId="407">
      <calculatedColumnFormula>SUMIFS(DataRegularSeason20242025!$AA$3:$AA$1314,DataRegularSeason20242025!$B$3:$B$1314, "&lt;=" &amp; DS$1, DataRegularSeason20242025!$D$3:$D$1314, $A38)+SUMIFS(DataRegularSeason20242025!$AB$3:$AB$1314,DataRegularSeason20242025!$B$3:$B$1314, "&lt;=" &amp; DS$1, DataRegularSeason20242025!$E$3:$E$1314, $A38)</calculatedColumnFormula>
    </tableColumn>
    <tableColumn id="122" xr3:uid="{DC4FC20E-A416-4182-A5E4-FBFA58C2C252}" name="2025-01-31" totalsRowFunction="average" dataDxfId="406">
      <calculatedColumnFormula>SUMIFS(DataRegularSeason20242025!$AA$3:$AA$1314,DataRegularSeason20242025!$B$3:$B$1314, "&lt;=" &amp; DT$1, DataRegularSeason20242025!$D$3:$D$1314, $A38)+SUMIFS(DataRegularSeason20242025!$AB$3:$AB$1314,DataRegularSeason20242025!$B$3:$B$1314, "&lt;=" &amp; DT$1, DataRegularSeason20242025!$E$3:$E$1314, $A38)</calculatedColumnFormula>
    </tableColumn>
    <tableColumn id="123" xr3:uid="{A0AEDB6E-72DF-475A-B189-63DD35BAF686}" name="2025-02-01" totalsRowFunction="average" dataDxfId="405">
      <calculatedColumnFormula>SUMIFS(DataRegularSeason20242025!$AA$3:$AA$1314,DataRegularSeason20242025!$B$3:$B$1314, "&lt;=" &amp; DU$1, DataRegularSeason20242025!$D$3:$D$1314, $A38)+SUMIFS(DataRegularSeason20242025!$AB$3:$AB$1314,DataRegularSeason20242025!$B$3:$B$1314, "&lt;=" &amp; DU$1, DataRegularSeason20242025!$E$3:$E$1314, $A38)</calculatedColumnFormula>
    </tableColumn>
    <tableColumn id="124" xr3:uid="{AC29BF09-478A-4D35-963B-B9552A9E622E}" name="2025-02-02" totalsRowFunction="average" dataDxfId="404">
      <calculatedColumnFormula>SUMIFS(DataRegularSeason20242025!$AA$3:$AA$1314,DataRegularSeason20242025!$B$3:$B$1314, "&lt;=" &amp; DV$1, DataRegularSeason20242025!$D$3:$D$1314, $A38)+SUMIFS(DataRegularSeason20242025!$AB$3:$AB$1314,DataRegularSeason20242025!$B$3:$B$1314, "&lt;=" &amp; DV$1, DataRegularSeason20242025!$E$3:$E$1314, $A38)</calculatedColumnFormula>
    </tableColumn>
    <tableColumn id="125" xr3:uid="{143B585B-A7D1-4287-9B00-EBFB12196234}" name="2025-02-03" totalsRowFunction="average" dataDxfId="403">
      <calculatedColumnFormula>SUMIFS(DataRegularSeason20242025!$AA$3:$AA$1314,DataRegularSeason20242025!$B$3:$B$1314, "&lt;=" &amp; DW$1, DataRegularSeason20242025!$D$3:$D$1314, $A38)+SUMIFS(DataRegularSeason20242025!$AB$3:$AB$1314,DataRegularSeason20242025!$B$3:$B$1314, "&lt;=" &amp; DW$1, DataRegularSeason20242025!$E$3:$E$1314, $A38)</calculatedColumnFormula>
    </tableColumn>
    <tableColumn id="126" xr3:uid="{956CFDEE-B487-468B-9119-90BCC1524FF9}" name="2025-02-04" totalsRowFunction="average" dataDxfId="402">
      <calculatedColumnFormula>SUMIFS(DataRegularSeason20242025!$AA$3:$AA$1314,DataRegularSeason20242025!$B$3:$B$1314, "&lt;=" &amp; DX$1, DataRegularSeason20242025!$D$3:$D$1314, $A38)+SUMIFS(DataRegularSeason20242025!$AB$3:$AB$1314,DataRegularSeason20242025!$B$3:$B$1314, "&lt;=" &amp; DX$1, DataRegularSeason20242025!$E$3:$E$1314, $A38)</calculatedColumnFormula>
    </tableColumn>
    <tableColumn id="127" xr3:uid="{9042AFDD-867C-46B6-8BFA-D1D5A75DE905}" name="2025-02-05" totalsRowFunction="average" dataDxfId="401">
      <calculatedColumnFormula>SUMIFS(DataRegularSeason20242025!$AA$3:$AA$1314,DataRegularSeason20242025!$B$3:$B$1314, "&lt;=" &amp; DY$1, DataRegularSeason20242025!$D$3:$D$1314, $A38)+SUMIFS(DataRegularSeason20242025!$AB$3:$AB$1314,DataRegularSeason20242025!$B$3:$B$1314, "&lt;=" &amp; DY$1, DataRegularSeason20242025!$E$3:$E$1314, $A38)</calculatedColumnFormula>
    </tableColumn>
    <tableColumn id="128" xr3:uid="{9917CD27-32E5-48C3-9429-CE488376EACB}" name="2025-02-06" totalsRowFunction="average" dataDxfId="400">
      <calculatedColumnFormula>SUMIFS(DataRegularSeason20242025!$AA$3:$AA$1314,DataRegularSeason20242025!$B$3:$B$1314, "&lt;=" &amp; DZ$1, DataRegularSeason20242025!$D$3:$D$1314, $A38)+SUMIFS(DataRegularSeason20242025!$AB$3:$AB$1314,DataRegularSeason20242025!$B$3:$B$1314, "&lt;=" &amp; DZ$1, DataRegularSeason20242025!$E$3:$E$1314, $A38)</calculatedColumnFormula>
    </tableColumn>
    <tableColumn id="129" xr3:uid="{5CC4D18F-4C22-4098-9104-90AD73F7D71E}" name="2025-02-07" totalsRowFunction="average" dataDxfId="399">
      <calculatedColumnFormula>SUMIFS(DataRegularSeason20242025!$AA$3:$AA$1314,DataRegularSeason20242025!$B$3:$B$1314, "&lt;=" &amp; EA$1, DataRegularSeason20242025!$D$3:$D$1314, $A38)+SUMIFS(DataRegularSeason20242025!$AB$3:$AB$1314,DataRegularSeason20242025!$B$3:$B$1314, "&lt;=" &amp; EA$1, DataRegularSeason20242025!$E$3:$E$1314, $A38)</calculatedColumnFormula>
    </tableColumn>
    <tableColumn id="130" xr3:uid="{6FCEA703-7C95-49E3-8907-412AE13156DC}" name="2025-02-08" totalsRowFunction="average" dataDxfId="398">
      <calculatedColumnFormula>SUMIFS(DataRegularSeason20242025!$AA$3:$AA$1314,DataRegularSeason20242025!$B$3:$B$1314, "&lt;=" &amp; EB$1, DataRegularSeason20242025!$D$3:$D$1314, $A38)+SUMIFS(DataRegularSeason20242025!$AB$3:$AB$1314,DataRegularSeason20242025!$B$3:$B$1314, "&lt;=" &amp; EB$1, DataRegularSeason20242025!$E$3:$E$1314, $A38)</calculatedColumnFormula>
    </tableColumn>
    <tableColumn id="131" xr3:uid="{8575DE2F-6889-46E6-AFB6-8C6AB061FFB0}" name="2025-02-09" totalsRowFunction="average" dataDxfId="397">
      <calculatedColumnFormula>SUMIFS(DataRegularSeason20242025!$AA$3:$AA$1314,DataRegularSeason20242025!$B$3:$B$1314, "&lt;=" &amp; EC$1, DataRegularSeason20242025!$D$3:$D$1314, $A38)+SUMIFS(DataRegularSeason20242025!$AB$3:$AB$1314,DataRegularSeason20242025!$B$3:$B$1314, "&lt;=" &amp; EC$1, DataRegularSeason20242025!$E$3:$E$1314, $A38)</calculatedColumnFormula>
    </tableColumn>
    <tableColumn id="132" xr3:uid="{A32E2713-23E4-458A-90E8-39086A03347D}" name="2025-02-10" totalsRowFunction="average" dataDxfId="396">
      <calculatedColumnFormula>SUMIFS(DataRegularSeason20242025!$AA$3:$AA$1314,DataRegularSeason20242025!$B$3:$B$1314, "&lt;=" &amp; ED$1, DataRegularSeason20242025!$D$3:$D$1314, $A38)+SUMIFS(DataRegularSeason20242025!$AB$3:$AB$1314,DataRegularSeason20242025!$B$3:$B$1314, "&lt;=" &amp; ED$1, DataRegularSeason20242025!$E$3:$E$1314, $A38)</calculatedColumnFormula>
    </tableColumn>
    <tableColumn id="133" xr3:uid="{6C79F20F-8D44-489A-A03B-767B04D84933}" name="2025-02-11" totalsRowFunction="average" dataDxfId="395">
      <calculatedColumnFormula>SUMIFS(DataRegularSeason20242025!$AA$3:$AA$1314,DataRegularSeason20242025!$B$3:$B$1314, "&lt;=" &amp; EE$1, DataRegularSeason20242025!$D$3:$D$1314, $A38)+SUMIFS(DataRegularSeason20242025!$AB$3:$AB$1314,DataRegularSeason20242025!$B$3:$B$1314, "&lt;=" &amp; EE$1, DataRegularSeason20242025!$E$3:$E$1314, $A38)</calculatedColumnFormula>
    </tableColumn>
    <tableColumn id="134" xr3:uid="{1062510F-D0EE-4AA2-937B-58440966FC3A}" name="2025-02-12" totalsRowFunction="average" dataDxfId="394">
      <calculatedColumnFormula>SUMIFS(DataRegularSeason20242025!$AA$3:$AA$1314,DataRegularSeason20242025!$B$3:$B$1314, "&lt;=" &amp; EF$1, DataRegularSeason20242025!$D$3:$D$1314, $A38)+SUMIFS(DataRegularSeason20242025!$AB$3:$AB$1314,DataRegularSeason20242025!$B$3:$B$1314, "&lt;=" &amp; EF$1, DataRegularSeason20242025!$E$3:$E$1314, $A38)</calculatedColumnFormula>
    </tableColumn>
    <tableColumn id="135" xr3:uid="{6D1691E1-0721-4A56-B3C7-F2A685156DEF}" name="2025-02-13" totalsRowFunction="average" dataDxfId="393">
      <calculatedColumnFormula>SUMIFS(DataRegularSeason20242025!$AA$3:$AA$1314,DataRegularSeason20242025!$B$3:$B$1314, "&lt;=" &amp; EG$1, DataRegularSeason20242025!$D$3:$D$1314, $A38)+SUMIFS(DataRegularSeason20242025!$AB$3:$AB$1314,DataRegularSeason20242025!$B$3:$B$1314, "&lt;=" &amp; EG$1, DataRegularSeason20242025!$E$3:$E$1314, $A38)</calculatedColumnFormula>
    </tableColumn>
    <tableColumn id="136" xr3:uid="{C7399DB6-A405-4192-99AA-657852244835}" name="2025-02-14" totalsRowFunction="average" dataDxfId="392">
      <calculatedColumnFormula>SUMIFS(DataRegularSeason20242025!$AA$3:$AA$1314,DataRegularSeason20242025!$B$3:$B$1314, "&lt;=" &amp; EH$1, DataRegularSeason20242025!$D$3:$D$1314, $A38)+SUMIFS(DataRegularSeason20242025!$AB$3:$AB$1314,DataRegularSeason20242025!$B$3:$B$1314, "&lt;=" &amp; EH$1, DataRegularSeason20242025!$E$3:$E$1314, $A38)</calculatedColumnFormula>
    </tableColumn>
    <tableColumn id="137" xr3:uid="{AD17F38E-33DF-4E2D-AA3D-2463BCF82E32}" name="2025-02-15" totalsRowFunction="average" dataDxfId="391">
      <calculatedColumnFormula>SUMIFS(DataRegularSeason20242025!$AA$3:$AA$1314,DataRegularSeason20242025!$B$3:$B$1314, "&lt;=" &amp; EI$1, DataRegularSeason20242025!$D$3:$D$1314, $A38)+SUMIFS(DataRegularSeason20242025!$AB$3:$AB$1314,DataRegularSeason20242025!$B$3:$B$1314, "&lt;=" &amp; EI$1, DataRegularSeason20242025!$E$3:$E$1314, $A38)</calculatedColumnFormula>
    </tableColumn>
    <tableColumn id="138" xr3:uid="{7C8290DE-3E9F-43B0-A899-99009F88E331}" name="2025-02-16" totalsRowFunction="average" dataDxfId="390">
      <calculatedColumnFormula>SUMIFS(DataRegularSeason20242025!$AA$3:$AA$1314,DataRegularSeason20242025!$B$3:$B$1314, "&lt;=" &amp; EJ$1, DataRegularSeason20242025!$D$3:$D$1314, $A38)+SUMIFS(DataRegularSeason20242025!$AB$3:$AB$1314,DataRegularSeason20242025!$B$3:$B$1314, "&lt;=" &amp; EJ$1, DataRegularSeason20242025!$E$3:$E$1314, $A38)</calculatedColumnFormula>
    </tableColumn>
    <tableColumn id="139" xr3:uid="{5279A544-1132-4FEC-8C5F-B417B18B3EC7}" name="2025-02-17" totalsRowFunction="average" dataDxfId="389">
      <calculatedColumnFormula>SUMIFS(DataRegularSeason20242025!$AA$3:$AA$1314,DataRegularSeason20242025!$B$3:$B$1314, "&lt;=" &amp; EK$1, DataRegularSeason20242025!$D$3:$D$1314, $A38)+SUMIFS(DataRegularSeason20242025!$AB$3:$AB$1314,DataRegularSeason20242025!$B$3:$B$1314, "&lt;=" &amp; EK$1, DataRegularSeason20242025!$E$3:$E$1314, $A38)</calculatedColumnFormula>
    </tableColumn>
    <tableColumn id="140" xr3:uid="{6F3B277F-253D-423F-8E32-F7D4D2BF3ED9}" name="2025-02-18" totalsRowFunction="average" dataDxfId="388">
      <calculatedColumnFormula>SUMIFS(DataRegularSeason20242025!$AA$3:$AA$1314,DataRegularSeason20242025!$B$3:$B$1314, "&lt;=" &amp; EL$1, DataRegularSeason20242025!$D$3:$D$1314, $A38)+SUMIFS(DataRegularSeason20242025!$AB$3:$AB$1314,DataRegularSeason20242025!$B$3:$B$1314, "&lt;=" &amp; EL$1, DataRegularSeason20242025!$E$3:$E$1314, $A38)</calculatedColumnFormula>
    </tableColumn>
    <tableColumn id="141" xr3:uid="{4A34D0D2-3403-4AE0-984A-E9E6676B14F8}" name="2025-02-19" totalsRowFunction="average" dataDxfId="387">
      <calculatedColumnFormula>SUMIFS(DataRegularSeason20242025!$AA$3:$AA$1314,DataRegularSeason20242025!$B$3:$B$1314, "&lt;=" &amp; EM$1, DataRegularSeason20242025!$D$3:$D$1314, $A38)+SUMIFS(DataRegularSeason20242025!$AB$3:$AB$1314,DataRegularSeason20242025!$B$3:$B$1314, "&lt;=" &amp; EM$1, DataRegularSeason20242025!$E$3:$E$1314, $A38)</calculatedColumnFormula>
    </tableColumn>
    <tableColumn id="142" xr3:uid="{FCF56F81-5637-413E-9436-7F118007D00C}" name="2025-02-20" totalsRowFunction="average" dataDxfId="386">
      <calculatedColumnFormula>SUMIFS(DataRegularSeason20242025!$AA$3:$AA$1314,DataRegularSeason20242025!$B$3:$B$1314, "&lt;=" &amp; EN$1, DataRegularSeason20242025!$D$3:$D$1314, $A38)+SUMIFS(DataRegularSeason20242025!$AB$3:$AB$1314,DataRegularSeason20242025!$B$3:$B$1314, "&lt;=" &amp; EN$1, DataRegularSeason20242025!$E$3:$E$1314, $A38)</calculatedColumnFormula>
    </tableColumn>
    <tableColumn id="143" xr3:uid="{9FEED4A9-703F-4FA3-A474-1F38B6ADA9DA}" name="2025-02-21" totalsRowFunction="average" dataDxfId="385">
      <calculatedColumnFormula>SUMIFS(DataRegularSeason20242025!$AA$3:$AA$1314,DataRegularSeason20242025!$B$3:$B$1314, "&lt;=" &amp; EO$1, DataRegularSeason20242025!$D$3:$D$1314, $A38)+SUMIFS(DataRegularSeason20242025!$AB$3:$AB$1314,DataRegularSeason20242025!$B$3:$B$1314, "&lt;=" &amp; EO$1, DataRegularSeason20242025!$E$3:$E$1314, $A38)</calculatedColumnFormula>
    </tableColumn>
    <tableColumn id="144" xr3:uid="{F1228066-3A22-46F6-B11B-85900A8D909C}" name="2025-02-22" totalsRowFunction="average" dataDxfId="384">
      <calculatedColumnFormula>SUMIFS(DataRegularSeason20242025!$AA$3:$AA$1314,DataRegularSeason20242025!$B$3:$B$1314, "&lt;=" &amp; EP$1, DataRegularSeason20242025!$D$3:$D$1314, $A38)+SUMIFS(DataRegularSeason20242025!$AB$3:$AB$1314,DataRegularSeason20242025!$B$3:$B$1314, "&lt;=" &amp; EP$1, DataRegularSeason20242025!$E$3:$E$1314, $A38)</calculatedColumnFormula>
    </tableColumn>
    <tableColumn id="145" xr3:uid="{BE77C434-28C1-480A-B68C-B6FA7F600073}" name="2025-02-23" totalsRowFunction="average" dataDxfId="383">
      <calculatedColumnFormula>SUMIFS(DataRegularSeason20242025!$AA$3:$AA$1314,DataRegularSeason20242025!$B$3:$B$1314, "&lt;=" &amp; EQ$1, DataRegularSeason20242025!$D$3:$D$1314, $A38)+SUMIFS(DataRegularSeason20242025!$AB$3:$AB$1314,DataRegularSeason20242025!$B$3:$B$1314, "&lt;=" &amp; EQ$1, DataRegularSeason20242025!$E$3:$E$1314, $A38)</calculatedColumnFormula>
    </tableColumn>
    <tableColumn id="146" xr3:uid="{D6E3E300-3565-4B7E-9F2B-7906F580CC6C}" name="2025-02-24" totalsRowFunction="average" dataDxfId="382">
      <calculatedColumnFormula>SUMIFS(DataRegularSeason20242025!$AA$3:$AA$1314,DataRegularSeason20242025!$B$3:$B$1314, "&lt;=" &amp; ER$1, DataRegularSeason20242025!$D$3:$D$1314, $A38)+SUMIFS(DataRegularSeason20242025!$AB$3:$AB$1314,DataRegularSeason20242025!$B$3:$B$1314, "&lt;=" &amp; ER$1, DataRegularSeason20242025!$E$3:$E$1314, $A38)</calculatedColumnFormula>
    </tableColumn>
    <tableColumn id="147" xr3:uid="{50C113D8-05B8-45E8-A4D0-51192324BC81}" name="2025-02-25" totalsRowFunction="average" dataDxfId="381">
      <calculatedColumnFormula>SUMIFS(DataRegularSeason20242025!$AA$3:$AA$1314,DataRegularSeason20242025!$B$3:$B$1314, "&lt;=" &amp; ES$1, DataRegularSeason20242025!$D$3:$D$1314, $A38)+SUMIFS(DataRegularSeason20242025!$AB$3:$AB$1314,DataRegularSeason20242025!$B$3:$B$1314, "&lt;=" &amp; ES$1, DataRegularSeason20242025!$E$3:$E$1314, $A38)</calculatedColumnFormula>
    </tableColumn>
    <tableColumn id="148" xr3:uid="{4E5D3588-FB57-456B-992A-06489E19BA8B}" name="2025-02-26" totalsRowFunction="average" dataDxfId="380">
      <calculatedColumnFormula>SUMIFS(DataRegularSeason20242025!$AA$3:$AA$1314,DataRegularSeason20242025!$B$3:$B$1314, "&lt;=" &amp; ET$1, DataRegularSeason20242025!$D$3:$D$1314, $A38)+SUMIFS(DataRegularSeason20242025!$AB$3:$AB$1314,DataRegularSeason20242025!$B$3:$B$1314, "&lt;=" &amp; ET$1, DataRegularSeason20242025!$E$3:$E$1314, $A38)</calculatedColumnFormula>
    </tableColumn>
    <tableColumn id="149" xr3:uid="{812CEEB3-E23D-4FB3-99D8-C2542802FEA1}" name="2025-02-27" totalsRowFunction="average" dataDxfId="379">
      <calculatedColumnFormula>SUMIFS(DataRegularSeason20242025!$AA$3:$AA$1314,DataRegularSeason20242025!$B$3:$B$1314, "&lt;=" &amp; EU$1, DataRegularSeason20242025!$D$3:$D$1314, $A38)+SUMIFS(DataRegularSeason20242025!$AB$3:$AB$1314,DataRegularSeason20242025!$B$3:$B$1314, "&lt;=" &amp; EU$1, DataRegularSeason20242025!$E$3:$E$1314, $A38)</calculatedColumnFormula>
    </tableColumn>
    <tableColumn id="150" xr3:uid="{87270DC5-CEF9-49C0-9529-2E30592EA7DE}" name="2025-02-28" totalsRowFunction="average" dataDxfId="378">
      <calculatedColumnFormula>SUMIFS(DataRegularSeason20242025!$AA$3:$AA$1314,DataRegularSeason20242025!$B$3:$B$1314, "&lt;=" &amp; EV$1, DataRegularSeason20242025!$D$3:$D$1314, $A38)+SUMIFS(DataRegularSeason20242025!$AB$3:$AB$1314,DataRegularSeason20242025!$B$3:$B$1314, "&lt;=" &amp; EV$1, DataRegularSeason20242025!$E$3:$E$1314, $A38)</calculatedColumnFormula>
    </tableColumn>
    <tableColumn id="151" xr3:uid="{5D967038-A4DB-4DA7-BAF7-9199EAFB257E}" name="2025-03-01" totalsRowFunction="average" dataDxfId="377">
      <calculatedColumnFormula>SUMIFS(DataRegularSeason20242025!$AA$3:$AA$1314,DataRegularSeason20242025!$B$3:$B$1314, "&lt;=" &amp; EW$1, DataRegularSeason20242025!$D$3:$D$1314, $A38)+SUMIFS(DataRegularSeason20242025!$AB$3:$AB$1314,DataRegularSeason20242025!$B$3:$B$1314, "&lt;=" &amp; EW$1, DataRegularSeason20242025!$E$3:$E$1314, $A38)</calculatedColumnFormula>
    </tableColumn>
    <tableColumn id="152" xr3:uid="{0BB78141-8706-473C-BCAB-4B0666E36E66}" name="2025-03-02" totalsRowFunction="average" dataDxfId="376">
      <calculatedColumnFormula>SUMIFS(DataRegularSeason20242025!$AA$3:$AA$1314,DataRegularSeason20242025!$B$3:$B$1314, "&lt;=" &amp; EX$1, DataRegularSeason20242025!$D$3:$D$1314, $A38)+SUMIFS(DataRegularSeason20242025!$AB$3:$AB$1314,DataRegularSeason20242025!$B$3:$B$1314, "&lt;=" &amp; EX$1, DataRegularSeason20242025!$E$3:$E$1314, $A38)</calculatedColumnFormula>
    </tableColumn>
    <tableColumn id="153" xr3:uid="{FFD8E317-7D67-416D-890C-EBD4BA3C3F9D}" name="2025-03-03" totalsRowFunction="average" dataDxfId="375">
      <calculatedColumnFormula>SUMIFS(DataRegularSeason20242025!$AA$3:$AA$1314,DataRegularSeason20242025!$B$3:$B$1314, "&lt;=" &amp; EY$1, DataRegularSeason20242025!$D$3:$D$1314, $A38)+SUMIFS(DataRegularSeason20242025!$AB$3:$AB$1314,DataRegularSeason20242025!$B$3:$B$1314, "&lt;=" &amp; EY$1, DataRegularSeason20242025!$E$3:$E$1314, $A38)</calculatedColumnFormula>
    </tableColumn>
    <tableColumn id="154" xr3:uid="{EFE71DBA-ECB6-4AA5-BAA8-C99C9B4EDF58}" name="2025-03-04" totalsRowFunction="average" dataDxfId="374">
      <calculatedColumnFormula>SUMIFS(DataRegularSeason20242025!$AA$3:$AA$1314,DataRegularSeason20242025!$B$3:$B$1314, "&lt;=" &amp; EZ$1, DataRegularSeason20242025!$D$3:$D$1314, $A38)+SUMIFS(DataRegularSeason20242025!$AB$3:$AB$1314,DataRegularSeason20242025!$B$3:$B$1314, "&lt;=" &amp; EZ$1, DataRegularSeason20242025!$E$3:$E$1314, $A38)</calculatedColumnFormula>
    </tableColumn>
    <tableColumn id="155" xr3:uid="{35D34B36-A07E-4EBF-A07C-6459ED4F2771}" name="2025-03-05" totalsRowFunction="average" dataDxfId="373">
      <calculatedColumnFormula>SUMIFS(DataRegularSeason20242025!$AA$3:$AA$1314,DataRegularSeason20242025!$B$3:$B$1314, "&lt;=" &amp; FA$1, DataRegularSeason20242025!$D$3:$D$1314, $A38)+SUMIFS(DataRegularSeason20242025!$AB$3:$AB$1314,DataRegularSeason20242025!$B$3:$B$1314, "&lt;=" &amp; FA$1, DataRegularSeason20242025!$E$3:$E$1314, $A38)</calculatedColumnFormula>
    </tableColumn>
    <tableColumn id="156" xr3:uid="{EDFD2CAC-EDF1-4260-B5D3-A68693F2C7C0}" name="2025-03-06" totalsRowFunction="average" dataDxfId="372">
      <calculatedColumnFormula>SUMIFS(DataRegularSeason20242025!$AA$3:$AA$1314,DataRegularSeason20242025!$B$3:$B$1314, "&lt;=" &amp; FB$1, DataRegularSeason20242025!$D$3:$D$1314, $A38)+SUMIFS(DataRegularSeason20242025!$AB$3:$AB$1314,DataRegularSeason20242025!$B$3:$B$1314, "&lt;=" &amp; FB$1, DataRegularSeason20242025!$E$3:$E$1314, $A38)</calculatedColumnFormula>
    </tableColumn>
    <tableColumn id="157" xr3:uid="{E0A21554-4EFD-4189-AACF-27243348AB1E}" name="2025-03-07" totalsRowFunction="average" dataDxfId="371">
      <calculatedColumnFormula>SUMIFS(DataRegularSeason20242025!$AA$3:$AA$1314,DataRegularSeason20242025!$B$3:$B$1314, "&lt;=" &amp; FC$1, DataRegularSeason20242025!$D$3:$D$1314, $A38)+SUMIFS(DataRegularSeason20242025!$AB$3:$AB$1314,DataRegularSeason20242025!$B$3:$B$1314, "&lt;=" &amp; FC$1, DataRegularSeason20242025!$E$3:$E$1314, $A38)</calculatedColumnFormula>
    </tableColumn>
    <tableColumn id="158" xr3:uid="{8ED30224-E4C1-4097-BF39-F440309B3ECD}" name="2025-03-08" totalsRowFunction="average" dataDxfId="370">
      <calculatedColumnFormula>SUMIFS(DataRegularSeason20242025!$AA$3:$AA$1314,DataRegularSeason20242025!$B$3:$B$1314, "&lt;=" &amp; FD$1, DataRegularSeason20242025!$D$3:$D$1314, $A38)+SUMIFS(DataRegularSeason20242025!$AB$3:$AB$1314,DataRegularSeason20242025!$B$3:$B$1314, "&lt;=" &amp; FD$1, DataRegularSeason20242025!$E$3:$E$1314, $A38)</calculatedColumnFormula>
    </tableColumn>
    <tableColumn id="159" xr3:uid="{5D343B55-967B-477B-AF0D-B9091268D5FC}" name="2025-03-09" totalsRowFunction="average" dataDxfId="369">
      <calculatedColumnFormula>SUMIFS(DataRegularSeason20242025!$AA$3:$AA$1314,DataRegularSeason20242025!$B$3:$B$1314, "&lt;=" &amp; FE$1, DataRegularSeason20242025!$D$3:$D$1314, $A38)+SUMIFS(DataRegularSeason20242025!$AB$3:$AB$1314,DataRegularSeason20242025!$B$3:$B$1314, "&lt;=" &amp; FE$1, DataRegularSeason20242025!$E$3:$E$1314, $A38)</calculatedColumnFormula>
    </tableColumn>
    <tableColumn id="160" xr3:uid="{ECB33CDE-53E5-416D-9A31-01C9096E5C16}" name="2025-03-10" totalsRowFunction="average" dataDxfId="368">
      <calculatedColumnFormula>SUMIFS(DataRegularSeason20242025!$AA$3:$AA$1314,DataRegularSeason20242025!$B$3:$B$1314, "&lt;=" &amp; FF$1, DataRegularSeason20242025!$D$3:$D$1314, $A38)+SUMIFS(DataRegularSeason20242025!$AB$3:$AB$1314,DataRegularSeason20242025!$B$3:$B$1314, "&lt;=" &amp; FF$1, DataRegularSeason20242025!$E$3:$E$1314, $A38)</calculatedColumnFormula>
    </tableColumn>
    <tableColumn id="161" xr3:uid="{EBF20EC0-F30B-40D7-9155-98BBE8E31EC1}" name="2025-03-11" totalsRowFunction="average" dataDxfId="367">
      <calculatedColumnFormula>SUMIFS(DataRegularSeason20242025!$AA$3:$AA$1314,DataRegularSeason20242025!$B$3:$B$1314, "&lt;=" &amp; FG$1, DataRegularSeason20242025!$D$3:$D$1314, $A38)+SUMIFS(DataRegularSeason20242025!$AB$3:$AB$1314,DataRegularSeason20242025!$B$3:$B$1314, "&lt;=" &amp; FG$1, DataRegularSeason20242025!$E$3:$E$1314, $A38)</calculatedColumnFormula>
    </tableColumn>
    <tableColumn id="162" xr3:uid="{A2E0DF48-6A8E-4E1E-BB65-7F4F0F7DB525}" name="2025-03-12" totalsRowFunction="average" dataDxfId="366">
      <calculatedColumnFormula>SUMIFS(DataRegularSeason20242025!$AA$3:$AA$1314,DataRegularSeason20242025!$B$3:$B$1314, "&lt;=" &amp; FH$1, DataRegularSeason20242025!$D$3:$D$1314, $A38)+SUMIFS(DataRegularSeason20242025!$AB$3:$AB$1314,DataRegularSeason20242025!$B$3:$B$1314, "&lt;=" &amp; FH$1, DataRegularSeason20242025!$E$3:$E$1314, $A38)</calculatedColumnFormula>
    </tableColumn>
    <tableColumn id="163" xr3:uid="{77275446-F8C0-4848-BA00-0EE7FCC8C0D4}" name="2025-03-13" totalsRowFunction="average" dataDxfId="365">
      <calculatedColumnFormula>SUMIFS(DataRegularSeason20242025!$AA$3:$AA$1314,DataRegularSeason20242025!$B$3:$B$1314, "&lt;=" &amp; FI$1, DataRegularSeason20242025!$D$3:$D$1314, $A38)+SUMIFS(DataRegularSeason20242025!$AB$3:$AB$1314,DataRegularSeason20242025!$B$3:$B$1314, "&lt;=" &amp; FI$1, DataRegularSeason20242025!$E$3:$E$1314, $A38)</calculatedColumnFormula>
    </tableColumn>
    <tableColumn id="164" xr3:uid="{0E3CAB99-98E6-4805-B1C4-631E63E40B02}" name="2025-03-14" totalsRowFunction="average" dataDxfId="364">
      <calculatedColumnFormula>SUMIFS(DataRegularSeason20242025!$AA$3:$AA$1314,DataRegularSeason20242025!$B$3:$B$1314, "&lt;=" &amp; FJ$1, DataRegularSeason20242025!$D$3:$D$1314, $A38)+SUMIFS(DataRegularSeason20242025!$AB$3:$AB$1314,DataRegularSeason20242025!$B$3:$B$1314, "&lt;=" &amp; FJ$1, DataRegularSeason20242025!$E$3:$E$1314, $A38)</calculatedColumnFormula>
    </tableColumn>
    <tableColumn id="165" xr3:uid="{4C6DC25F-EE8D-42E7-92B7-BFC0CF99421C}" name="2025-03-15" totalsRowFunction="average" dataDxfId="363">
      <calculatedColumnFormula>SUMIFS(DataRegularSeason20242025!$AA$3:$AA$1314,DataRegularSeason20242025!$B$3:$B$1314, "&lt;=" &amp; FK$1, DataRegularSeason20242025!$D$3:$D$1314, $A38)+SUMIFS(DataRegularSeason20242025!$AB$3:$AB$1314,DataRegularSeason20242025!$B$3:$B$1314, "&lt;=" &amp; FK$1, DataRegularSeason20242025!$E$3:$E$1314, $A38)</calculatedColumnFormula>
    </tableColumn>
    <tableColumn id="166" xr3:uid="{3F3692CD-8C7D-4CA3-A24A-CDC27C9F8D5E}" name="2025-03-16" totalsRowFunction="average" dataDxfId="362">
      <calculatedColumnFormula>SUMIFS(DataRegularSeason20242025!$AA$3:$AA$1314,DataRegularSeason20242025!$B$3:$B$1314, "&lt;=" &amp; FL$1, DataRegularSeason20242025!$D$3:$D$1314, $A38)+SUMIFS(DataRegularSeason20242025!$AB$3:$AB$1314,DataRegularSeason20242025!$B$3:$B$1314, "&lt;=" &amp; FL$1, DataRegularSeason20242025!$E$3:$E$1314, $A38)</calculatedColumnFormula>
    </tableColumn>
    <tableColumn id="167" xr3:uid="{F43D0F7D-3897-4EB0-AD80-3EE1A9DAF255}" name="2025-03-17" totalsRowFunction="average" dataDxfId="361">
      <calculatedColumnFormula>SUMIFS(DataRegularSeason20242025!$AA$3:$AA$1314,DataRegularSeason20242025!$B$3:$B$1314, "&lt;=" &amp; FM$1, DataRegularSeason20242025!$D$3:$D$1314, $A38)+SUMIFS(DataRegularSeason20242025!$AB$3:$AB$1314,DataRegularSeason20242025!$B$3:$B$1314, "&lt;=" &amp; FM$1, DataRegularSeason20242025!$E$3:$E$1314, $A38)</calculatedColumnFormula>
    </tableColumn>
    <tableColumn id="168" xr3:uid="{6A3EECE9-273C-4916-8878-074C07F64124}" name="2025-03-18" totalsRowFunction="average" dataDxfId="360">
      <calculatedColumnFormula>SUMIFS(DataRegularSeason20242025!$AA$3:$AA$1314,DataRegularSeason20242025!$B$3:$B$1314, "&lt;=" &amp; FN$1, DataRegularSeason20242025!$D$3:$D$1314, $A38)+SUMIFS(DataRegularSeason20242025!$AB$3:$AB$1314,DataRegularSeason20242025!$B$3:$B$1314, "&lt;=" &amp; FN$1, DataRegularSeason20242025!$E$3:$E$1314, $A38)</calculatedColumnFormula>
    </tableColumn>
    <tableColumn id="169" xr3:uid="{F4FAA17F-5DCD-4850-9EB9-426E82CBAEB2}" name="2025-03-19" totalsRowFunction="average" dataDxfId="359">
      <calculatedColumnFormula>SUMIFS(DataRegularSeason20242025!$AA$3:$AA$1314,DataRegularSeason20242025!$B$3:$B$1314, "&lt;=" &amp; FO$1, DataRegularSeason20242025!$D$3:$D$1314, $A38)+SUMIFS(DataRegularSeason20242025!$AB$3:$AB$1314,DataRegularSeason20242025!$B$3:$B$1314, "&lt;=" &amp; FO$1, DataRegularSeason20242025!$E$3:$E$1314, $A38)</calculatedColumnFormula>
    </tableColumn>
    <tableColumn id="170" xr3:uid="{09FC262A-CA2D-4711-A1D4-8966F56728DB}" name="2025-03-20" totalsRowFunction="average" dataDxfId="358">
      <calculatedColumnFormula>SUMIFS(DataRegularSeason20242025!$AA$3:$AA$1314,DataRegularSeason20242025!$B$3:$B$1314, "&lt;=" &amp; FP$1, DataRegularSeason20242025!$D$3:$D$1314, $A38)+SUMIFS(DataRegularSeason20242025!$AB$3:$AB$1314,DataRegularSeason20242025!$B$3:$B$1314, "&lt;=" &amp; FP$1, DataRegularSeason20242025!$E$3:$E$1314, $A38)</calculatedColumnFormula>
    </tableColumn>
    <tableColumn id="171" xr3:uid="{185B1A25-7EB8-49E2-8855-7B66E96C3B0C}" name="2025-03-21" totalsRowFunction="average" dataDxfId="357">
      <calculatedColumnFormula>SUMIFS(DataRegularSeason20242025!$AA$3:$AA$1314,DataRegularSeason20242025!$B$3:$B$1314, "&lt;=" &amp; FQ$1, DataRegularSeason20242025!$D$3:$D$1314, $A38)+SUMIFS(DataRegularSeason20242025!$AB$3:$AB$1314,DataRegularSeason20242025!$B$3:$B$1314, "&lt;=" &amp; FQ$1, DataRegularSeason20242025!$E$3:$E$1314, $A38)</calculatedColumnFormula>
    </tableColumn>
    <tableColumn id="172" xr3:uid="{F714F0E9-12D4-4B27-8A64-C7A81A72109D}" name="2025-03-22" totalsRowFunction="average" dataDxfId="356">
      <calculatedColumnFormula>SUMIFS(DataRegularSeason20242025!$AA$3:$AA$1314,DataRegularSeason20242025!$B$3:$B$1314, "&lt;=" &amp; FR$1, DataRegularSeason20242025!$D$3:$D$1314, $A38)+SUMIFS(DataRegularSeason20242025!$AB$3:$AB$1314,DataRegularSeason20242025!$B$3:$B$1314, "&lt;=" &amp; FR$1, DataRegularSeason20242025!$E$3:$E$1314, $A38)</calculatedColumnFormula>
    </tableColumn>
    <tableColumn id="173" xr3:uid="{90DA879D-9CAE-47C6-9970-FE02855E6B25}" name="2025-03-23" totalsRowFunction="average" dataDxfId="355">
      <calculatedColumnFormula>SUMIFS(DataRegularSeason20242025!$AA$3:$AA$1314,DataRegularSeason20242025!$B$3:$B$1314, "&lt;=" &amp; FS$1, DataRegularSeason20242025!$D$3:$D$1314, $A38)+SUMIFS(DataRegularSeason20242025!$AB$3:$AB$1314,DataRegularSeason20242025!$B$3:$B$1314, "&lt;=" &amp; FS$1, DataRegularSeason20242025!$E$3:$E$1314, $A38)</calculatedColumnFormula>
    </tableColumn>
    <tableColumn id="174" xr3:uid="{8418C5D7-72CB-4513-8DDC-A20159B284AC}" name="2025-03-24" totalsRowFunction="average" dataDxfId="354">
      <calculatedColumnFormula>SUMIFS(DataRegularSeason20242025!$AA$3:$AA$1314,DataRegularSeason20242025!$B$3:$B$1314, "&lt;=" &amp; FT$1, DataRegularSeason20242025!$D$3:$D$1314, $A38)+SUMIFS(DataRegularSeason20242025!$AB$3:$AB$1314,DataRegularSeason20242025!$B$3:$B$1314, "&lt;=" &amp; FT$1, DataRegularSeason20242025!$E$3:$E$1314, $A38)</calculatedColumnFormula>
    </tableColumn>
    <tableColumn id="175" xr3:uid="{AAEE47F3-A67C-4E26-AC06-C3825CBAB9F7}" name="2025-03-25" totalsRowFunction="average" dataDxfId="353">
      <calculatedColumnFormula>SUMIFS(DataRegularSeason20242025!$AA$3:$AA$1314,DataRegularSeason20242025!$B$3:$B$1314, "&lt;=" &amp; FU$1, DataRegularSeason20242025!$D$3:$D$1314, $A38)+SUMIFS(DataRegularSeason20242025!$AB$3:$AB$1314,DataRegularSeason20242025!$B$3:$B$1314, "&lt;=" &amp; FU$1, DataRegularSeason20242025!$E$3:$E$1314, $A38)</calculatedColumnFormula>
    </tableColumn>
    <tableColumn id="176" xr3:uid="{D0E50F42-E08B-4744-9B58-9CCB208CFFF5}" name="2025-03-26" totalsRowFunction="average" dataDxfId="352">
      <calculatedColumnFormula>SUMIFS(DataRegularSeason20242025!$AA$3:$AA$1314,DataRegularSeason20242025!$B$3:$B$1314, "&lt;=" &amp; FV$1, DataRegularSeason20242025!$D$3:$D$1314, $A38)+SUMIFS(DataRegularSeason20242025!$AB$3:$AB$1314,DataRegularSeason20242025!$B$3:$B$1314, "&lt;=" &amp; FV$1, DataRegularSeason20242025!$E$3:$E$1314, $A38)</calculatedColumnFormula>
    </tableColumn>
    <tableColumn id="177" xr3:uid="{CF87ED77-502E-4421-9827-C16BD075707F}" name="2025-03-27" totalsRowFunction="average" dataDxfId="351">
      <calculatedColumnFormula>SUMIFS(DataRegularSeason20242025!$AA$3:$AA$1314,DataRegularSeason20242025!$B$3:$B$1314, "&lt;=" &amp; FW$1, DataRegularSeason20242025!$D$3:$D$1314, $A38)+SUMIFS(DataRegularSeason20242025!$AB$3:$AB$1314,DataRegularSeason20242025!$B$3:$B$1314, "&lt;=" &amp; FW$1, DataRegularSeason20242025!$E$3:$E$1314, $A38)</calculatedColumnFormula>
    </tableColumn>
    <tableColumn id="178" xr3:uid="{BCD585B3-816C-4939-A7EB-04F8B46C47A7}" name="2025-03-28" totalsRowFunction="average" dataDxfId="350">
      <calculatedColumnFormula>SUMIFS(DataRegularSeason20242025!$AA$3:$AA$1314,DataRegularSeason20242025!$B$3:$B$1314, "&lt;=" &amp; FX$1, DataRegularSeason20242025!$D$3:$D$1314, $A38)+SUMIFS(DataRegularSeason20242025!$AB$3:$AB$1314,DataRegularSeason20242025!$B$3:$B$1314, "&lt;=" &amp; FX$1, DataRegularSeason20242025!$E$3:$E$1314, $A38)</calculatedColumnFormula>
    </tableColumn>
    <tableColumn id="179" xr3:uid="{B8AA8ED4-EAEF-4AA4-9E0B-05BAAA806968}" name="2025-03-29" totalsRowFunction="average" dataDxfId="349">
      <calculatedColumnFormula>SUMIFS(DataRegularSeason20242025!$AA$3:$AA$1314,DataRegularSeason20242025!$B$3:$B$1314, "&lt;=" &amp; FY$1, DataRegularSeason20242025!$D$3:$D$1314, $A38)+SUMIFS(DataRegularSeason20242025!$AB$3:$AB$1314,DataRegularSeason20242025!$B$3:$B$1314, "&lt;=" &amp; FY$1, DataRegularSeason20242025!$E$3:$E$1314, $A38)</calculatedColumnFormula>
    </tableColumn>
    <tableColumn id="180" xr3:uid="{FE361EB7-38C1-4C13-B67A-022374BEAC25}" name="2025-03-30" totalsRowFunction="average" dataDxfId="348">
      <calculatedColumnFormula>SUMIFS(DataRegularSeason20242025!$AA$3:$AA$1314,DataRegularSeason20242025!$B$3:$B$1314, "&lt;=" &amp; FZ$1, DataRegularSeason20242025!$D$3:$D$1314, $A38)+SUMIFS(DataRegularSeason20242025!$AB$3:$AB$1314,DataRegularSeason20242025!$B$3:$B$1314, "&lt;=" &amp; FZ$1, DataRegularSeason20242025!$E$3:$E$1314, $A38)</calculatedColumnFormula>
    </tableColumn>
    <tableColumn id="181" xr3:uid="{2FB6222E-F06F-46B9-A19C-B630F9AAF531}" name="2025-03-31" totalsRowFunction="average" dataDxfId="347">
      <calculatedColumnFormula>SUMIFS(DataRegularSeason20242025!$AA$3:$AA$1314,DataRegularSeason20242025!$B$3:$B$1314, "&lt;=" &amp; GA$1, DataRegularSeason20242025!$D$3:$D$1314, $A38)+SUMIFS(DataRegularSeason20242025!$AB$3:$AB$1314,DataRegularSeason20242025!$B$3:$B$1314, "&lt;=" &amp; GA$1, DataRegularSeason20242025!$E$3:$E$1314, $A38)</calculatedColumnFormula>
    </tableColumn>
    <tableColumn id="182" xr3:uid="{E93E7F4A-DD3C-4EC4-B958-769137C72172}" name="2025-04-01" totalsRowFunction="average" dataDxfId="346">
      <calculatedColumnFormula>SUMIFS(DataRegularSeason20242025!$AA$3:$AA$1314,DataRegularSeason20242025!$B$3:$B$1314, "&lt;=" &amp; GB$1, DataRegularSeason20242025!$D$3:$D$1314, $A38)+SUMIFS(DataRegularSeason20242025!$AB$3:$AB$1314,DataRegularSeason20242025!$B$3:$B$1314, "&lt;=" &amp; GB$1, DataRegularSeason20242025!$E$3:$E$1314, $A38)</calculatedColumnFormula>
    </tableColumn>
    <tableColumn id="183" xr3:uid="{69DDA4FB-18EA-453D-9B3B-7E34E2C41BA5}" name="2025-04-02" totalsRowFunction="average" dataDxfId="345">
      <calculatedColumnFormula>SUMIFS(DataRegularSeason20242025!$AA$3:$AA$1314,DataRegularSeason20242025!$B$3:$B$1314, "&lt;=" &amp; GC$1, DataRegularSeason20242025!$D$3:$D$1314, $A38)+SUMIFS(DataRegularSeason20242025!$AB$3:$AB$1314,DataRegularSeason20242025!$B$3:$B$1314, "&lt;=" &amp; GC$1, DataRegularSeason20242025!$E$3:$E$1314, $A38)</calculatedColumnFormula>
    </tableColumn>
    <tableColumn id="184" xr3:uid="{C04D309F-1141-4334-B459-F08A45AD598D}" name="2025-04-03" totalsRowFunction="average" dataDxfId="344">
      <calculatedColumnFormula>SUMIFS(DataRegularSeason20242025!$AA$3:$AA$1314,DataRegularSeason20242025!$B$3:$B$1314, "&lt;=" &amp; GD$1, DataRegularSeason20242025!$D$3:$D$1314, $A38)+SUMIFS(DataRegularSeason20242025!$AB$3:$AB$1314,DataRegularSeason20242025!$B$3:$B$1314, "&lt;=" &amp; GD$1, DataRegularSeason20242025!$E$3:$E$1314, $A38)</calculatedColumnFormula>
    </tableColumn>
    <tableColumn id="185" xr3:uid="{51E9D147-A2A3-4BD4-B1C1-D0D1015E587D}" name="2025-04-04" totalsRowFunction="average" dataDxfId="343">
      <calculatedColumnFormula>SUMIFS(DataRegularSeason20242025!$AA$3:$AA$1314,DataRegularSeason20242025!$B$3:$B$1314, "&lt;=" &amp; GE$1, DataRegularSeason20242025!$D$3:$D$1314, $A38)+SUMIFS(DataRegularSeason20242025!$AB$3:$AB$1314,DataRegularSeason20242025!$B$3:$B$1314, "&lt;=" &amp; GE$1, DataRegularSeason20242025!$E$3:$E$1314, $A38)</calculatedColumnFormula>
    </tableColumn>
    <tableColumn id="186" xr3:uid="{19E07540-A554-462E-8780-A46365A6078F}" name="2025-04-05" totalsRowFunction="average" dataDxfId="342">
      <calculatedColumnFormula>SUMIFS(DataRegularSeason20242025!$AA$3:$AA$1314,DataRegularSeason20242025!$B$3:$B$1314, "&lt;=" &amp; GF$1, DataRegularSeason20242025!$D$3:$D$1314, $A38)+SUMIFS(DataRegularSeason20242025!$AB$3:$AB$1314,DataRegularSeason20242025!$B$3:$B$1314, "&lt;=" &amp; GF$1, DataRegularSeason20242025!$E$3:$E$1314, $A38)</calculatedColumnFormula>
    </tableColumn>
    <tableColumn id="187" xr3:uid="{1F40DE12-B0EF-4950-B970-237F44A927AD}" name="2025-04-06" totalsRowFunction="average" dataDxfId="341">
      <calculatedColumnFormula>SUMIFS(DataRegularSeason20242025!$AA$3:$AA$1314,DataRegularSeason20242025!$B$3:$B$1314, "&lt;=" &amp; GG$1, DataRegularSeason20242025!$D$3:$D$1314, $A38)+SUMIFS(DataRegularSeason20242025!$AB$3:$AB$1314,DataRegularSeason20242025!$B$3:$B$1314, "&lt;=" &amp; GG$1, DataRegularSeason20242025!$E$3:$E$1314, $A38)</calculatedColumnFormula>
    </tableColumn>
    <tableColumn id="188" xr3:uid="{14AD083B-C148-451D-A1AC-C39453586B17}" name="2025-04-07" totalsRowFunction="average" dataDxfId="340">
      <calculatedColumnFormula>SUMIFS(DataRegularSeason20242025!$AA$3:$AA$1314,DataRegularSeason20242025!$B$3:$B$1314, "&lt;=" &amp; GH$1, DataRegularSeason20242025!$D$3:$D$1314, $A38)+SUMIFS(DataRegularSeason20242025!$AB$3:$AB$1314,DataRegularSeason20242025!$B$3:$B$1314, "&lt;=" &amp; GH$1, DataRegularSeason20242025!$E$3:$E$1314, $A38)</calculatedColumnFormula>
    </tableColumn>
    <tableColumn id="189" xr3:uid="{A202EC87-4573-4E81-93D5-11CA73F813FB}" name="2025-04-08" totalsRowFunction="average" dataDxfId="339">
      <calculatedColumnFormula>SUMIFS(DataRegularSeason20242025!$AA$3:$AA$1314,DataRegularSeason20242025!$B$3:$B$1314, "&lt;=" &amp; GI$1, DataRegularSeason20242025!$D$3:$D$1314, $A38)+SUMIFS(DataRegularSeason20242025!$AB$3:$AB$1314,DataRegularSeason20242025!$B$3:$B$1314, "&lt;=" &amp; GI$1, DataRegularSeason20242025!$E$3:$E$1314, $A38)</calculatedColumnFormula>
    </tableColumn>
    <tableColumn id="190" xr3:uid="{42816435-DC84-445F-A624-0D229F975E98}" name="2025-04-09" totalsRowFunction="average" dataDxfId="338">
      <calculatedColumnFormula>SUMIFS(DataRegularSeason20242025!$AA$3:$AA$1314,DataRegularSeason20242025!$B$3:$B$1314, "&lt;=" &amp; GJ$1, DataRegularSeason20242025!$D$3:$D$1314, $A38)+SUMIFS(DataRegularSeason20242025!$AB$3:$AB$1314,DataRegularSeason20242025!$B$3:$B$1314, "&lt;=" &amp; GJ$1, DataRegularSeason20242025!$E$3:$E$1314, $A38)</calculatedColumnFormula>
    </tableColumn>
    <tableColumn id="191" xr3:uid="{0DC83AB1-477A-4F4A-A7DA-B0735CFB0A73}" name="2025-04-10" totalsRowFunction="average" dataDxfId="337">
      <calculatedColumnFormula>SUMIFS(DataRegularSeason20242025!$AA$3:$AA$1314,DataRegularSeason20242025!$B$3:$B$1314, "&lt;=" &amp; GK$1, DataRegularSeason20242025!$D$3:$D$1314, $A38)+SUMIFS(DataRegularSeason20242025!$AB$3:$AB$1314,DataRegularSeason20242025!$B$3:$B$1314, "&lt;=" &amp; GK$1, DataRegularSeason20242025!$E$3:$E$1314, $A38)</calculatedColumnFormula>
    </tableColumn>
    <tableColumn id="192" xr3:uid="{7AC0B807-EE32-4B0B-898C-3CA2F2954D5D}" name="2025-04-11" totalsRowFunction="average" dataDxfId="336">
      <calculatedColumnFormula>SUMIFS(DataRegularSeason20242025!$AA$3:$AA$1314,DataRegularSeason20242025!$B$3:$B$1314, "&lt;=" &amp; GL$1, DataRegularSeason20242025!$D$3:$D$1314, $A38)+SUMIFS(DataRegularSeason20242025!$AB$3:$AB$1314,DataRegularSeason20242025!$B$3:$B$1314, "&lt;=" &amp; GL$1, DataRegularSeason20242025!$E$3:$E$1314, $A38)</calculatedColumnFormula>
    </tableColumn>
    <tableColumn id="193" xr3:uid="{EECC14A8-912A-478B-A952-B354E831023B}" name="2025-04-12" totalsRowFunction="average" dataDxfId="335">
      <calculatedColumnFormula>SUMIFS(DataRegularSeason20242025!$AA$3:$AA$1314,DataRegularSeason20242025!$B$3:$B$1314, "&lt;=" &amp; GM$1, DataRegularSeason20242025!$D$3:$D$1314, $A38)+SUMIFS(DataRegularSeason20242025!$AB$3:$AB$1314,DataRegularSeason20242025!$B$3:$B$1314, "&lt;=" &amp; GM$1, DataRegularSeason20242025!$E$3:$E$1314, $A38)</calculatedColumnFormula>
    </tableColumn>
    <tableColumn id="194" xr3:uid="{F4C30489-8605-4EFD-AD5A-536EEC88209B}" name="2025-04-13" totalsRowFunction="average" dataDxfId="334">
      <calculatedColumnFormula>SUMIFS(DataRegularSeason20242025!$AA$3:$AA$1314,DataRegularSeason20242025!$B$3:$B$1314, "&lt;=" &amp; GN$1, DataRegularSeason20242025!$D$3:$D$1314, $A38)+SUMIFS(DataRegularSeason20242025!$AB$3:$AB$1314,DataRegularSeason20242025!$B$3:$B$1314, "&lt;=" &amp; GN$1, DataRegularSeason20242025!$E$3:$E$1314, $A38)</calculatedColumnFormula>
    </tableColumn>
    <tableColumn id="195" xr3:uid="{DD502D24-7BD6-4C15-80BA-73FCE90ED469}" name="2025-04-14" totalsRowFunction="average" dataDxfId="333">
      <calculatedColumnFormula>SUMIFS(DataRegularSeason20242025!$AA$3:$AA$1314,DataRegularSeason20242025!$B$3:$B$1314, "&lt;=" &amp; GO$1, DataRegularSeason20242025!$D$3:$D$1314, $A38)+SUMIFS(DataRegularSeason20242025!$AB$3:$AB$1314,DataRegularSeason20242025!$B$3:$B$1314, "&lt;=" &amp; GO$1, DataRegularSeason20242025!$E$3:$E$1314, $A38)</calculatedColumnFormula>
    </tableColumn>
    <tableColumn id="196" xr3:uid="{26809EC5-8371-42D9-A3EB-3EB88C97F339}" name="2025-04-15" totalsRowFunction="average" dataDxfId="332">
      <calculatedColumnFormula>SUMIFS(DataRegularSeason20242025!$AA$3:$AA$1314,DataRegularSeason20242025!$B$3:$B$1314, "&lt;=" &amp; GP$1, DataRegularSeason20242025!$D$3:$D$1314, $A38)+SUMIFS(DataRegularSeason20242025!$AB$3:$AB$1314,DataRegularSeason20242025!$B$3:$B$1314, "&lt;=" &amp; GP$1, DataRegularSeason20242025!$E$3:$E$1314, $A38)</calculatedColumnFormula>
    </tableColumn>
    <tableColumn id="197" xr3:uid="{B64D609D-9500-4F16-A057-29E873EDC230}" name="2025-04-16" totalsRowFunction="average" dataDxfId="331">
      <calculatedColumnFormula>SUMIFS(DataRegularSeason20242025!$AA$3:$AA$1314,DataRegularSeason20242025!$B$3:$B$1314, "&lt;=" &amp; GQ$1, DataRegularSeason20242025!$D$3:$D$1314, $A38)+SUMIFS(DataRegularSeason20242025!$AB$3:$AB$1314,DataRegularSeason20242025!$B$3:$B$1314, "&lt;=" &amp; GQ$1, DataRegularSeason20242025!$E$3:$E$1314, $A38)</calculatedColumnFormula>
    </tableColumn>
    <tableColumn id="198" xr3:uid="{34C70EA7-619F-4653-B821-94F592B1CAF0}" name="2025-04-17" totalsRowFunction="average" dataDxfId="330">
      <calculatedColumnFormula>SUMIFS(DataRegularSeason20242025!$AA$3:$AA$1314,DataRegularSeason20242025!$B$3:$B$1314, "&lt;=" &amp; GR$1, DataRegularSeason20242025!$D$3:$D$1314, $A38)+SUMIFS(DataRegularSeason20242025!$AB$3:$AB$1314,DataRegularSeason20242025!$B$3:$B$1314, "&lt;=" &amp; GR$1, DataRegularSeason20242025!$E$3:$E$1314, $A38)</calculatedColumnFormula>
    </tableColumn>
    <tableColumn id="199" xr3:uid="{DFBF31D8-9995-47D8-A96B-FEF712201B9C}" name="2025-04-18" totalsRowFunction="average" dataDxfId="329">
      <calculatedColumnFormula>SUMIFS(DataRegularSeason20242025!$AA$3:$AA$1314,DataRegularSeason20242025!$B$3:$B$1314, "&lt;=" &amp; GS$1, DataRegularSeason20242025!$D$3:$D$1314, $A38)+SUMIFS(DataRegularSeason20242025!$AB$3:$AB$1314,DataRegularSeason20242025!$B$3:$B$1314, "&lt;=" &amp; GS$1, DataRegularSeason20242025!$E$3:$E$1314, $A38)</calculatedColumnFormula>
    </tableColumn>
    <tableColumn id="200" xr3:uid="{A25EC0CE-FD3C-442B-8F26-5181F8F1D601}" name="2025-04-19" totalsRowFunction="average" dataDxfId="328">
      <calculatedColumnFormula>SUMIFS(DataRegularSeason20242025!$AA$3:$AA$1314,DataRegularSeason20242025!$B$3:$B$1314, "&lt;=" &amp; GT$1, DataRegularSeason20242025!$D$3:$D$1314, $A38)+SUMIFS(DataRegularSeason20242025!$AB$3:$AB$1314,DataRegularSeason20242025!$B$3:$B$1314, "&lt;=" &amp; GT$1, DataRegularSeason20242025!$E$3:$E$1314, $A38)</calculatedColumnFormula>
    </tableColumn>
    <tableColumn id="201" xr3:uid="{31C2B4C3-E3D4-427E-B445-5F4F68DDD76D}" name="2025-04-20" totalsRowFunction="average" dataDxfId="327">
      <calculatedColumnFormula>SUMIFS(DataRegularSeason20242025!$AA$3:$AA$1314,DataRegularSeason20242025!$B$3:$B$1314, "&lt;=" &amp; GU$1, DataRegularSeason20242025!$D$3:$D$1314, $A38)+SUMIFS(DataRegularSeason20242025!$AB$3:$AB$1314,DataRegularSeason20242025!$B$3:$B$1314, "&lt;=" &amp; GU$1, DataRegularSeason20242025!$E$3:$E$1314, $A38)</calculatedColumnFormula>
    </tableColumn>
    <tableColumn id="202" xr3:uid="{C3C3AB31-4E63-4D5F-AC91-B0049BC96C25}" name="2025-04-21" dataDxfId="326"/>
    <tableColumn id="203" xr3:uid="{669DF731-A16A-4A16-B166-62D16EB040F1}" name="2025-04-22" dataDxfId="325"/>
    <tableColumn id="204" xr3:uid="{707C842B-7FEF-43DB-B1E4-C841190286EF}" name="2025-04-23" dataDxfId="324"/>
    <tableColumn id="205" xr3:uid="{5EC331B4-8F33-4173-A3A6-D8CE4C2D4383}" name="2025-04-24" dataDxfId="323"/>
    <tableColumn id="206" xr3:uid="{4F412742-F64C-4BF7-9D0D-488E7DCD1891}" name="2025-04-25" dataDxfId="322"/>
    <tableColumn id="207" xr3:uid="{BD11B2DD-DEC6-441A-8741-DC5E6FE684AD}" name="2025-04-26" dataDxfId="321"/>
    <tableColumn id="208" xr3:uid="{01E98C63-5032-4D66-B075-8A1E371C642D}" name="2025-04-27" dataDxfId="320"/>
    <tableColumn id="209" xr3:uid="{316E8AF4-CD07-4887-B340-BE9B9DA31CF5}" name="2025-04-28" dataDxfId="319"/>
    <tableColumn id="210" xr3:uid="{6D75A24F-3048-4A53-A6E2-194D8F14D184}" name="2025-04-29" dataDxfId="318"/>
    <tableColumn id="211" xr3:uid="{BB0FF42A-83E1-43D0-A164-ECD7741F459C}" name="2025-04-30" dataDxfId="317"/>
    <tableColumn id="212" xr3:uid="{10B32DD9-A02E-431E-B3B5-841A5AEF700E}" name="2025-05-01" dataDxfId="316"/>
    <tableColumn id="213" xr3:uid="{BCBD5454-C4BC-438B-895E-47FA1420274F}" name="2025-05-02" dataDxfId="315"/>
    <tableColumn id="214" xr3:uid="{B1169E04-BA65-464B-A342-F34C0FEA6A2C}" name="2025-05-03" dataDxfId="314"/>
    <tableColumn id="215" xr3:uid="{3C97D612-9AC1-4E31-A48E-8106EF9FAE48}" name="2025-05-04" dataDxfId="313"/>
    <tableColumn id="216" xr3:uid="{FEE32124-295E-4813-AC14-90EA0229E033}" name="2025-05-05" dataDxfId="312"/>
    <tableColumn id="217" xr3:uid="{1757C997-E861-4C66-A53A-95D2250D386E}" name="2025-05-06" dataDxfId="311"/>
    <tableColumn id="218" xr3:uid="{D6DFB818-75F8-4F5B-A7F2-30898198AE61}" name="2025-05-07" dataDxfId="310"/>
    <tableColumn id="219" xr3:uid="{A0BB9636-488B-4747-88BD-AE87668E490B}" name="2025-05-08" dataDxfId="309"/>
    <tableColumn id="220" xr3:uid="{264045BF-A92C-40EE-B15A-F04831AB1BED}" name="2025-05-09" dataDxfId="308"/>
    <tableColumn id="221" xr3:uid="{FA9546C5-5203-4EBD-8BEE-E5CB96224CC9}" name="2025-05-10" dataDxfId="307"/>
    <tableColumn id="222" xr3:uid="{DD55014D-EFA1-4E41-98B0-530079E82F06}" name="2025-05-11" dataDxfId="306"/>
    <tableColumn id="223" xr3:uid="{51F01270-F49A-4487-90CB-75B5B319BE64}" name="2025-05-12" dataDxfId="305"/>
    <tableColumn id="224" xr3:uid="{7DBD5A9E-B478-4E1C-B1A2-A5B25692A3F2}" name="2025-05-13" dataDxfId="304"/>
    <tableColumn id="225" xr3:uid="{A17E540D-2F28-46E5-B930-5279214FBAA1}" name="2025-05-14" dataDxfId="303"/>
    <tableColumn id="226" xr3:uid="{94D24299-28DD-4494-89EF-03C6686A22A4}" name="2025-05-15" dataDxfId="302"/>
    <tableColumn id="227" xr3:uid="{17568BC2-90D8-4C63-BE94-026D855AB482}" name="2025-05-16" dataDxfId="301"/>
    <tableColumn id="228" xr3:uid="{6F85633D-6A2A-4A1D-AF78-AD747CA479E7}" name="2025-05-17" dataDxfId="300"/>
    <tableColumn id="229" xr3:uid="{6C6AF260-0FB9-4B73-8C48-C1DB7C4061BF}" name="2025-05-18" dataDxfId="299"/>
    <tableColumn id="230" xr3:uid="{70800AA9-D126-4C37-AB50-1E13B3AFC665}" name="2025-05-19" dataDxfId="298"/>
    <tableColumn id="231" xr3:uid="{5260BE1B-4EEB-4A35-A8C1-6603C8D03A07}" name="2025-05-20" dataDxfId="297"/>
    <tableColumn id="232" xr3:uid="{0D959241-A561-4878-9E45-0836E005AAEA}" name="2025-05-21" dataDxfId="296"/>
    <tableColumn id="233" xr3:uid="{9E4BDDD8-4EB5-4667-BEAC-D7D9387C3573}" name="2025-05-22" dataDxfId="295"/>
    <tableColumn id="234" xr3:uid="{0F3E2935-A85F-4840-9D68-1228E373814C}" name="2025-05-23" dataDxfId="294"/>
    <tableColumn id="235" xr3:uid="{CE06132F-B6B4-41BE-BE73-A3642C101841}" name="2025-05-24" dataDxfId="293"/>
    <tableColumn id="236" xr3:uid="{4AED8CE4-2376-40CC-A3CC-CC50D5C754B0}" name="2025-05-25" dataDxfId="292"/>
    <tableColumn id="237" xr3:uid="{1F92138E-0618-4529-98AD-ACF9AF2E796F}" name="2025-05-26" dataDxfId="291"/>
    <tableColumn id="238" xr3:uid="{3BD6FF95-4DBA-41C0-AAF8-3E9DDEE2BF16}" name="2025-05-27" dataDxfId="290"/>
    <tableColumn id="239" xr3:uid="{4EA86621-2249-4313-BDA7-CC5EC4D06A33}" name="2025-05-28" dataDxfId="289"/>
    <tableColumn id="240" xr3:uid="{37DB0B4A-8E90-4626-8901-1E757334B36B}" name="2025-05-29" dataDxfId="288"/>
    <tableColumn id="241" xr3:uid="{3AF90AA8-A691-4266-BC29-1064BF39CCA1}" name="2025-05-30" dataDxfId="287"/>
    <tableColumn id="242" xr3:uid="{B668308B-6AD5-4A63-8600-6C7B20D782F9}" name="2025-05-31" dataDxfId="286"/>
    <tableColumn id="243" xr3:uid="{4F3CD694-1072-4A2E-912B-0FDC3FE7AC80}" name="2025-06-01" dataDxfId="285"/>
    <tableColumn id="244" xr3:uid="{335A3B3B-63CC-4ECC-A0A4-4038918A3EA2}" name="2025-06-02" dataDxfId="284"/>
    <tableColumn id="245" xr3:uid="{385F91FB-0AE4-44BD-82A5-86A5AB9B071F}" name="2025-06-03" dataDxfId="283"/>
    <tableColumn id="246" xr3:uid="{319A6FA6-07E2-4EEA-9772-58E82236CB41}" name="2025-06-04" dataDxfId="282"/>
    <tableColumn id="247" xr3:uid="{B4941D09-3489-4868-ACC3-47D921355755}" name="2025-06-05" dataDxfId="281"/>
    <tableColumn id="248" xr3:uid="{EF4C253C-D8E4-4646-B8B4-93BC006A696E}" name="2025-06-06" dataDxfId="280"/>
    <tableColumn id="249" xr3:uid="{B90F8FE2-1821-4816-94D2-5A12DFC3B4A2}" name="2025-06-07" dataDxfId="279"/>
    <tableColumn id="250" xr3:uid="{E3F6BC30-0266-454D-9E4A-0FE864BFFB2B}" name="2025-06-08" dataDxfId="278"/>
    <tableColumn id="251" xr3:uid="{142CB93A-809D-4D7D-9A92-AC45A7DC6871}" name="2025-06-09" dataDxfId="277"/>
    <tableColumn id="252" xr3:uid="{321F823B-7550-4A9E-8132-870E1FA08449}" name="2025-06-10" dataDxfId="276"/>
    <tableColumn id="253" xr3:uid="{32879841-DF09-4A0B-8B28-8E9E30AB109B}" name="2025-06-11" dataDxfId="275"/>
    <tableColumn id="254" xr3:uid="{660EA0C5-DE72-406A-BB4D-72C37F3C458B}" name="2025-06-12" dataDxfId="274"/>
    <tableColumn id="255" xr3:uid="{1C0F2603-121E-46C4-B720-7A61810F19FC}" name="2025-06-13" dataDxfId="273"/>
    <tableColumn id="256" xr3:uid="{30E46327-4699-4823-8EB2-889776D583A6}" name="2025-06-14" dataDxfId="272"/>
    <tableColumn id="257" xr3:uid="{99BD5150-3286-4D02-94CE-5B954932F50F}" name="2025-06-15" dataDxfId="271"/>
    <tableColumn id="258" xr3:uid="{15C6F836-5F52-4D76-BC77-96B6CA4FFCBE}" name="2025-06-16" dataDxfId="270"/>
    <tableColumn id="259" xr3:uid="{D1EA0DE6-C75B-4A21-8EC3-6648FF7782DE}" name="2025-06-17" dataDxfId="269"/>
    <tableColumn id="260" xr3:uid="{F61721FF-5883-4743-971E-52A3A1EB7B14}" name="2025-06-18" dataDxfId="268"/>
    <tableColumn id="261" xr3:uid="{75C80C97-AF8E-4F9E-B2B5-02C534F6353D}" name="2025-06-19" dataDxfId="267"/>
    <tableColumn id="262" xr3:uid="{8486A84E-5348-4DEC-BF9B-DA69614D8FA4}" name="2025-06-20" dataDxfId="266"/>
    <tableColumn id="263" xr3:uid="{3C258950-EE85-4494-BB18-625B938F03D1}" name="2025-06-21" dataDxfId="265"/>
    <tableColumn id="264" xr3:uid="{BD3F4478-E75C-4A32-86EE-715226D1085D}" name="2025-06-22" dataDxfId="264"/>
    <tableColumn id="265" xr3:uid="{F9DEC6F8-2679-455A-A9C4-32787A2D4E11}" name="2025-06-23" dataDxfId="263"/>
    <tableColumn id="266" xr3:uid="{784A4807-A629-4F3F-AD53-1FCFB318B1F7}" name="2025-06-24" dataDxfId="262"/>
    <tableColumn id="267" xr3:uid="{1F8884D5-4F44-449C-9BC0-9EB9000E6F35}" name="2025-06-25" dataDxfId="261"/>
    <tableColumn id="268" xr3:uid="{8015116D-D8CE-49DC-A393-362351FEC77C}" name="2025-06-26" dataDxfId="260"/>
    <tableColumn id="269" xr3:uid="{A6A81A45-9617-444D-BF76-F6142CCA14C4}" name="2025-06-27" dataDxfId="259"/>
    <tableColumn id="270" xr3:uid="{BE589CA9-AA90-41B7-8D5F-41757C65CE41}" name="2025-06-28" dataDxfId="258"/>
    <tableColumn id="271" xr3:uid="{86028D04-58A7-4A7C-A177-17398024CB22}" name="2025-06-29" dataDxfId="257"/>
    <tableColumn id="272" xr3:uid="{E146A928-574B-4D77-A53C-63CE01F33DDD}" name="2025-06-30" dataDxfId="256"/>
    <tableColumn id="273" xr3:uid="{7EDAFB8B-A951-4043-88FD-40BE980E7D2F}" name="2025-07-01" totalsRowFunction="count" dataDxfId="25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403E24F-C71A-433A-846A-0616DE78145D}" name="Table3" displayName="Table3" ref="A1:CL33" totalsRowShown="0" headerRowDxfId="254">
  <autoFilter ref="A1:CL33" xr:uid="{A403E24F-C71A-433A-846A-0616DE78145D}"/>
  <sortState xmlns:xlrd2="http://schemas.microsoft.com/office/spreadsheetml/2017/richdata2" ref="A2:CL33">
    <sortCondition descending="1" ref="AU1:AU33"/>
  </sortState>
  <tableColumns count="90">
    <tableColumn id="1" xr3:uid="{985AE516-C8BB-498C-ABE1-5BF054EDACAF}" name="Teams"/>
    <tableColumn id="2" xr3:uid="{57EB51AE-5D41-451D-B2B5-FCE487AC5014}" name="C"/>
    <tableColumn id="3" xr3:uid="{F09AC7BA-CE60-4AA6-AFDB-3C9145AFF369}" name="D"/>
    <tableColumn id="4" xr3:uid="{2B211923-BCE3-40CA-84EF-718013E18BDC}" name="Watched" dataDxfId="253">
      <calculatedColumnFormula>COUNTIFS(DataRegularSeason20242025!$D$3:$D$1314,$A2,DataRegularSeason20242025!$R$3:$R$1314,1,DataRegularSeason20242025!$N$3:$N$1314,1) + COUNTIFS(DataRegularSeason20242025!$E$3:$E$1314,$A2,DataRegularSeason20242025!$R$3:$R$1314,1,DataRegularSeason20242025!$N$3:$N$1314,1)</calculatedColumnFormula>
    </tableColumn>
    <tableColumn id="61" xr3:uid="{F1118E7C-5AF8-41F7-8B42-737EB2BFACE0}" name="Watched%" dataDxfId="252">
      <calculatedColumnFormula>Table3[[#This Row],[Watched]]/Table3[[#This Row],[GP]]</calculatedColumnFormula>
    </tableColumn>
    <tableColumn id="5" xr3:uid="{D61104E2-01F3-4294-B90F-3F21D0715FD9}" name="GP_A">
      <calculatedColumnFormula>COUNTIFS(DataRegularSeason20242025!$N$3:$N$1314,1,DataRegularSeason20242025!$D$3:$D$1314,$A2)</calculatedColumnFormula>
    </tableColumn>
    <tableColumn id="47" xr3:uid="{0885BAAD-8A59-4C8E-8680-C471B22C60B3}" name="GR_A" dataDxfId="251">
      <calculatedColumnFormula>41-Table3[[#This Row],[GP_A]]</calculatedColumnFormula>
    </tableColumn>
    <tableColumn id="6" xr3:uid="{4EC76903-34C8-488D-838F-61F22FEDBC3D}" name="GP_H">
      <calculatedColumnFormula>COUNTIFS(DataRegularSeason20242025!$E$3:$E$1314,$A2,DataRegularSeason20242025!$N$3:$N$1314,1)</calculatedColumnFormula>
    </tableColumn>
    <tableColumn id="48" xr3:uid="{2A7E1234-0F64-47C8-9DBD-0E094E21125C}" name="GR_H" dataDxfId="250">
      <calculatedColumnFormula>41-Table3[[#This Row],[GP_H]]</calculatedColumnFormula>
    </tableColumn>
    <tableColumn id="7" xr3:uid="{3A0C0FDF-351B-4E2E-8967-A04CE845123C}" name="GP">
      <calculatedColumnFormula>F2+H2</calculatedColumnFormula>
    </tableColumn>
    <tableColumn id="45" xr3:uid="{D1D5702E-1A9D-40A6-B2AB-C603E28FF624}" name="GR" dataDxfId="249">
      <calculatedColumnFormula>82-Table3[[#This Row],[GP]]</calculatedColumnFormula>
    </tableColumn>
    <tableColumn id="8" xr3:uid="{DC5BCB71-D6F2-4DED-9BF4-BE6AD666D06E}" name="W_A">
      <calculatedColumnFormula>COUNTIFS(DataRegularSeason20242025!$D$3:$D$1314,$A2, DataRegularSeason20242025!$L$3:$L$1314, $A2,DataRegularSeason20242025!$N$3:$N$1314,1)</calculatedColumnFormula>
    </tableColumn>
    <tableColumn id="38" xr3:uid="{9E3972C0-06D4-4F72-9C19-8CB6E2E159FC}" name="RW_A" dataDxfId="248">
      <calculatedColumnFormula>COUNTIFS(DataRegularSeason20242025!$D$3:$D$1314,$A2, DataRegularSeason20242025!$L$3:$L$1314, $A2,DataRegularSeason20242025!$N$3:$N$1314,1,DataRegularSeason20242025!$M$3:$M$1314,"REG")</calculatedColumnFormula>
    </tableColumn>
    <tableColumn id="39" xr3:uid="{9EAF3FA4-4DBB-4D57-AF04-D8577494CB21}" name="OTW_A" dataDxfId="247">
      <calculatedColumnFormula>COUNTIFS(DataRegularSeason20242025!$D$3:$D$1314,$A2, DataRegularSeason20242025!$L$3:$L$1314, $A2,DataRegularSeason20242025!$N$3:$N$1314,1,DataRegularSeason20242025!$M$3:$M$1314,"OT")</calculatedColumnFormula>
    </tableColumn>
    <tableColumn id="40" xr3:uid="{9A2F15FB-04EF-4CAA-811B-4034C9429E97}" name="SOW_A" dataDxfId="246">
      <calculatedColumnFormula>COUNTIFS(DataRegularSeason20242025!$D$3:$D$1314,$A2, DataRegularSeason20242025!$L$3:$L$1314, $A2,DataRegularSeason20242025!$N$3:$N$1314,1,DataRegularSeason20242025!$M$3:$M$1314,"SO")</calculatedColumnFormula>
    </tableColumn>
    <tableColumn id="9" xr3:uid="{BD135116-D397-4417-A108-835660C5FB9F}" name="L_A">
      <calculatedColumnFormula>F2-L2</calculatedColumnFormula>
    </tableColumn>
    <tableColumn id="44" xr3:uid="{60DF4118-11A2-4300-B09D-32FA60018163}" name="RL_A" dataDxfId="245">
      <calculatedColumnFormula>COUNTIFS(DataRegularSeason20242025!$D$3:$D$1314,$A2, DataRegularSeason20242025!$S$3:$S$1314, $A2,DataRegularSeason20242025!$M$3:$M$1314,"REG")</calculatedColumnFormula>
    </tableColumn>
    <tableColumn id="10" xr3:uid="{C115448F-D956-43FF-BCE2-AA4200195163}" name="OTL_A">
      <calculatedColumnFormula>COUNTIFS(DataRegularSeason20242025!$D$3:$D$1314,$A2, DataRegularSeason20242025!$S$3:$S$1314, $A2,DataRegularSeason20242025!$M$3:$M$1314,"OT")</calculatedColumnFormula>
    </tableColumn>
    <tableColumn id="11" xr3:uid="{DB8E4180-A1AD-40B5-828A-68620698FB62}" name="SOL_A">
      <calculatedColumnFormula>COUNTIFS(DataRegularSeason20242025!$D$3:$D$1314,$A2, DataRegularSeason20242025!$S$3:$S$1314, $A2,DataRegularSeason20242025!$M$3:$M$1314,"SO")</calculatedColumnFormula>
    </tableColumn>
    <tableColumn id="12" xr3:uid="{642B9B16-9E11-43A4-B40C-DF2F901FA12E}" name="W_H" dataDxfId="244">
      <calculatedColumnFormula>COUNTIFS(DataRegularSeason20242025!$E$3:$E$1314,$A2, DataRegularSeason20242025!$L$3:$L$1314, $A2, DataRegularSeason20242025!$N$3:$N$1314,1)</calculatedColumnFormula>
    </tableColumn>
    <tableColumn id="43" xr3:uid="{080CA1AA-BE46-4D92-85F9-CB14E09F42A9}" name="RW_H" dataDxfId="243">
      <calculatedColumnFormula>COUNTIFS(DataRegularSeason20242025!$E$3:$E$1314,$A2, DataRegularSeason20242025!$L$3:$L$1314, $A2,DataRegularSeason20242025!$N$3:$N$1314,1,DataRegularSeason20242025!$M$3:$M$1314,"REG")</calculatedColumnFormula>
    </tableColumn>
    <tableColumn id="42" xr3:uid="{FEA1E254-E38B-48EE-A97E-8A3647372BC0}" name="OTW_H" dataDxfId="242">
      <calculatedColumnFormula>COUNTIFS(DataRegularSeason20242025!$E$3:$E$1314,$A2, DataRegularSeason20242025!$L$3:$L$1314, $A2,DataRegularSeason20242025!$N$3:$N$1314,1,DataRegularSeason20242025!$M$3:$M$1314,"OT")</calculatedColumnFormula>
    </tableColumn>
    <tableColumn id="41" xr3:uid="{D17823F3-B47E-487C-B2B1-B02A87ECAD7C}" name="SOW_H" dataDxfId="241">
      <calculatedColumnFormula>COUNTIFS(DataRegularSeason20242025!$E$3:$E$1314,$A2, DataRegularSeason20242025!$L$3:$L$1314, $A2,DataRegularSeason20242025!$N$3:$N$1314,1,DataRegularSeason20242025!$M$3:$M$1314,"SO")</calculatedColumnFormula>
    </tableColumn>
    <tableColumn id="13" xr3:uid="{FD4BC9C2-CAF6-4C28-9765-D99A4F243C1C}" name="L_H">
      <calculatedColumnFormula>H2-T2</calculatedColumnFormula>
    </tableColumn>
    <tableColumn id="46" xr3:uid="{FA168EE9-75C9-4C1C-A08E-9FB5ACD03A4B}" name="RL_H" dataDxfId="240">
      <calculatedColumnFormula>COUNTIFS(DataRegularSeason20242025!$E$3:$E$1314,$A2, DataRegularSeason20242025!$S$3:$S$1314, $A2,DataRegularSeason20242025!$M$3:$M$1314,"REG")</calculatedColumnFormula>
    </tableColumn>
    <tableColumn id="35" xr3:uid="{9E9FAC75-9E40-4447-8D44-C5EA7137197A}" name="OTL_H" dataDxfId="239">
      <calculatedColumnFormula>COUNTIFS(DataRegularSeason20242025!$E$3:$E$1314,$A2, DataRegularSeason20242025!$S$3:$S$1314, $A2,DataRegularSeason20242025!$M$3:$M$1314,"OT")</calculatedColumnFormula>
    </tableColumn>
    <tableColumn id="34" xr3:uid="{0BE27D3D-4AFA-42CE-BE44-914976589EB9}" name="SOL_H" dataDxfId="238">
      <calculatedColumnFormula>COUNTIFS(DataRegularSeason20242025!$E$3:$E$1314,$A2, DataRegularSeason20242025!$S$3:$S$1314, $A2,DataRegularSeason20242025!$M$3:$M$1314,"SO")</calculatedColumnFormula>
    </tableColumn>
    <tableColumn id="88" xr3:uid="{143D5576-9A9B-44BE-9E23-9D28A2DB1DDE}" name="W/L%" dataDxfId="237">
      <calculatedColumnFormula>Table3[[#This Row],[W]]/MAX(1,Table3[[#This Row],[W]]+Table3[[#This Row],[L]])</calculatedColumnFormula>
    </tableColumn>
    <tableColumn id="52" xr3:uid="{835E8B4B-1B56-4988-ADA0-E6D362F4CA4D}" name="W" dataDxfId="236">
      <calculatedColumnFormula>Table3[[#This Row],[W_A]]+Table3[[#This Row],[W_H]]</calculatedColumnFormula>
    </tableColumn>
    <tableColumn id="53" xr3:uid="{88446FA8-50DC-4FD7-ADED-80F797D341F2}" name="L" dataDxfId="235">
      <calculatedColumnFormula>Table3[[#This Row],[L_A]]+Table3[[#This Row],[L_H]]</calculatedColumnFormula>
    </tableColumn>
    <tableColumn id="54" xr3:uid="{8B16E8B3-A102-413E-9653-CF701CEEB9C9}" name="RW" dataDxfId="234">
      <calculatedColumnFormula>Table3[[#This Row],[RW_A]]+Table3[[#This Row],[RW_H]]</calculatedColumnFormula>
    </tableColumn>
    <tableColumn id="56" xr3:uid="{8CC6F779-2722-4557-A481-A8ECBA4EC611}" name="RL" dataDxfId="233">
      <calculatedColumnFormula>Table3[[#This Row],[RL_A]]+Table3[[#This Row],[RL_H]]</calculatedColumnFormula>
    </tableColumn>
    <tableColumn id="55" xr3:uid="{B5F893C5-62B6-4BD4-A363-58006E427EB4}" name="OTW" dataDxfId="232">
      <calculatedColumnFormula>Table3[[#This Row],[OTW_A]]+Table3[[#This Row],[OTW_H]]</calculatedColumnFormula>
    </tableColumn>
    <tableColumn id="57" xr3:uid="{65CBB9B0-79F9-4697-BF9E-46D8F8199661}" name="OTL" dataDxfId="231">
      <calculatedColumnFormula>Table3[[#This Row],[OTL_A]]+Table3[[#This Row],[OTL_H]]</calculatedColumnFormula>
    </tableColumn>
    <tableColumn id="58" xr3:uid="{935B18B6-6EE9-4AB7-96D2-5CC21B3091F1}" name="SOW" dataDxfId="230">
      <calculatedColumnFormula>Table3[[#This Row],[SOW_A]]+Table3[[#This Row],[SOW_H]]</calculatedColumnFormula>
    </tableColumn>
    <tableColumn id="59" xr3:uid="{72AA5675-42CA-4646-9D56-F903019CA984}" name="SOL" dataDxfId="229">
      <calculatedColumnFormula>Table3[[#This Row],[SOL_A]]+Table3[[#This Row],[SOL_H]]</calculatedColumnFormula>
    </tableColumn>
    <tableColumn id="74" xr3:uid="{2189042C-91CF-4BD8-82AF-C8C409607107}" name="OT_SO_Record" dataDxfId="228" dataCellStyle="Output">
      <calculatedColumnFormula>_xlfn.CONCAT(TEXT(Table3[[#This Row],[OTW]]+Table3[[#This Row],[SOW]], "0"), "-", TEXT(Table3[[#This Row],[OTL]]+Table3[[#This Row],[SOL]],"0"))</calculatedColumnFormula>
    </tableColumn>
    <tableColumn id="89" xr3:uid="{54946583-9597-490D-A231-E777AABE137F}" name="Total_ExtraTimes" dataDxfId="227" dataCellStyle="Normal">
      <calculatedColumnFormula>SUM(Table3[[#This Row],[OTW]],Table3[[#This Row],[OTL]],Table3[[#This Row],[SOW]],Table3[[#This Row],[SOL]])</calculatedColumnFormula>
    </tableColumn>
    <tableColumn id="87" xr3:uid="{1E5E8486-79F2-4FFC-9183-AA582B8D5195}" name="ExtraTime%" dataDxfId="226" dataCellStyle="Normal">
      <calculatedColumnFormula>(Table3[[#This Row],[OTW]]+Table3[[#This Row],[SOW]])/IF(Table3[[#This Row],[Total_ExtraTimes]]=0,1,Table3[[#This Row],[Total_ExtraTimes]])</calculatedColumnFormula>
    </tableColumn>
    <tableColumn id="90" xr3:uid="{A25314CF-D55F-43D3-9A2E-3BB001776CF6}" name="PctExtraTimeNeeded" dataDxfId="225">
      <calculatedColumnFormula>Table3[[#This Row],[Total_ExtraTimes]]/MAX(1,Table3[[#This Row],[GP]])</calculatedColumnFormula>
    </tableColumn>
    <tableColumn id="36" xr3:uid="{963D35F6-3613-4CF0-B60C-81F6AC38687D}" name="PTS" dataDxfId="224">
      <calculatedColumnFormula>(2*(Table3[[#This Row],[W_A]]+Table3[[#This Row],[W_H]]))+Table3[[#This Row],[OTL_A]]+Table3[[#This Row],[SOL_A]]+Table3[[#This Row],[OTL_H]]+Table3[[#This Row],[SOL_H]]</calculatedColumnFormula>
    </tableColumn>
    <tableColumn id="37" xr3:uid="{6F978067-DE25-4A50-B909-B8AE9A09B806}" name="PTS2" dataDxfId="223">
      <calculatedColumnFormula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calculatedColumnFormula>
    </tableColumn>
    <tableColumn id="51" xr3:uid="{884CFA25-FAD8-4CFD-9E6E-5C2AB08FCCCB}" name="PTS%" dataDxfId="222">
      <calculatedColumnFormula>Table3[[#This Row],[PTS]]/(2*Table3[[#This Row],[GP]])</calculatedColumnFormula>
    </tableColumn>
    <tableColumn id="64" xr3:uid="{C4462842-CB72-4A45-8AE0-F1C2F1896F3C}" name="PTS%2" dataDxfId="221">
      <calculatedColumnFormula>Table3[[#This Row],[PTS2]]/(3*Table3[[#This Row],[GP]])</calculatedColumnFormula>
    </tableColumn>
    <tableColumn id="49" xr3:uid="{A615DA94-4BB4-4863-8FB3-13B2512D6354}" name="MAX_PTS" dataDxfId="220">
      <calculatedColumnFormula>(2*Table3[[#This Row],[GR]])+Table3[[#This Row],[PTS]]</calculatedColumnFormula>
    </tableColumn>
    <tableColumn id="50" xr3:uid="{8E72A434-A9EA-4A87-9B77-6458DC51D3DD}" name="MAX_PTS2" dataDxfId="219">
      <calculatedColumnFormula>(3*Table3[[#This Row],[GR]])+Table3[[#This Row],[PTS2]]</calculatedColumnFormula>
    </tableColumn>
    <tableColumn id="67" xr3:uid="{685476C7-AB55-4647-B9F7-7860AABCA2A3}" name="PROJ_PTS" dataDxfId="218">
      <calculatedColumnFormula>Table3[[#This Row],[PTS]]+(2 * Table3[[#This Row],[GR]] * Table3[[#This Row],[PTS%]])</calculatedColumnFormula>
    </tableColumn>
    <tableColumn id="68" xr3:uid="{B82889C2-551D-43DB-AD0C-EA626770F09C}" name="PROJ_PTS2" dataDxfId="217">
      <calculatedColumnFormula>Table3[[#This Row],[PTS2]]+(3 * Table3[[#This Row],[GR]] * Table3[[#This Row],[PTS%2]])</calculatedColumnFormula>
    </tableColumn>
    <tableColumn id="60" xr3:uid="{EE4931FD-ADC7-49F3-98DE-CE48D4109732}" name="RECORD" dataDxfId="216" dataCellStyle="Output">
      <calculatedColumnFormula>_xlfn.CONCAT(TEXT(Table3[[#This Row],[W]], "0"), "-", TEXT(Table3[[#This Row],[RL]],"0"), "-", TEXT(Table3[[#This Row],[OTL]]+Table3[[#This Row],[SOL]], "0"))</calculatedColumnFormula>
    </tableColumn>
    <tableColumn id="62" xr3:uid="{9681B520-186F-4C7F-AC8C-33F85BD04A16}" name="SHTO_A" dataDxfId="215" dataCellStyle="Output">
      <calculatedColumnFormula>COUNTIFS(DataRegularSeason20242025!$D$3:$D$1314,Table3[[#This Row],[Teams]],DataRegularSeason20242025!$K$3:$K$1314,0)</calculatedColumnFormula>
    </tableColumn>
    <tableColumn id="14" xr3:uid="{A0FD1172-07F3-4E8D-84CA-96197C59DBFE}" name="GF_A">
      <calculatedColumnFormula>SUMIF(DataRegularSeason20242025!$D$3:$D$1314,$A2, DataRegularSeason20242025!$J$3:$J$1314)</calculatedColumnFormula>
    </tableColumn>
    <tableColumn id="15" xr3:uid="{A4874107-6578-4769-97E8-D823B7552E16}" name="GA_A">
      <calculatedColumnFormula>SUMIF(DataRegularSeason20242025!$D$3:$D$1314,$A2, DataRegularSeason20242025!$K$3:$K$1314)</calculatedColumnFormula>
    </tableColumn>
    <tableColumn id="16" xr3:uid="{4393F39D-EE10-4E12-9AB3-1648B6F42F22}" name="GD_A">
      <calculatedColumnFormula>AY2-AZ2</calculatedColumnFormula>
    </tableColumn>
    <tableColumn id="63" xr3:uid="{307063BB-1957-4DA5-B70C-1C1DBF14A375}" name="SHTO_H" dataDxfId="214">
      <calculatedColumnFormula>COUNTIFS(DataRegularSeason20242025!$E$3:$E$1314,Table3[[#This Row],[Teams]],DataRegularSeason20242025!$J$3:$J$1314,0)</calculatedColumnFormula>
    </tableColumn>
    <tableColumn id="17" xr3:uid="{68C01ABD-69CC-4D18-9ABC-A49FC7A4DB79}" name="GF_H">
      <calculatedColumnFormula>SUMIF(DataRegularSeason20242025!$E$3:$E$1314,$A2,DataRegularSeason20242025!$K$3:$K$1314)</calculatedColumnFormula>
    </tableColumn>
    <tableColumn id="18" xr3:uid="{1EE93F79-3F45-47F4-A23A-70C862E62535}" name="GA_H">
      <calculatedColumnFormula>SUMIF(DataRegularSeason20242025!$E$3:$E$1314,$A2,DataRegularSeason20242025!$J$3:$J$1314)</calculatedColumnFormula>
    </tableColumn>
    <tableColumn id="19" xr3:uid="{9F3B26CC-2E8E-488B-8355-E671CE692185}" name="GD_H">
      <calculatedColumnFormula>BC2-BD2</calculatedColumnFormula>
    </tableColumn>
    <tableColumn id="20" xr3:uid="{0583DA52-2751-40AF-83FB-1C7BF4DF75E3}" name="GF">
      <calculatedColumnFormula>AY2+BC2</calculatedColumnFormula>
    </tableColumn>
    <tableColumn id="21" xr3:uid="{772FF77E-9DE6-451A-A353-C2C0E9F3D2ED}" name="GA">
      <calculatedColumnFormula>AZ2+BD2</calculatedColumnFormula>
    </tableColumn>
    <tableColumn id="22" xr3:uid="{68E990BB-5AA8-418C-85D8-CBD88D86254E}" name="GD">
      <calculatedColumnFormula>BF2-BG2</calculatedColumnFormula>
    </tableColumn>
    <tableColumn id="33" xr3:uid="{45FCD1A2-9784-4C0F-AD08-B5982E81719D}" name="GFPG" dataDxfId="213">
      <calculatedColumnFormula>Table3[[#This Row],[GF]]/Table3[[#This Row],[GP]]</calculatedColumnFormula>
    </tableColumn>
    <tableColumn id="32" xr3:uid="{F1CD7542-6690-4276-B0F0-95BFD01CFF0B}" name="GAPG" dataDxfId="212">
      <calculatedColumnFormula>Table3[[#This Row],[GA]]/Table3[[#This Row],[GP]]</calculatedColumnFormula>
    </tableColumn>
    <tableColumn id="31" xr3:uid="{39B39AC6-8EA7-4628-BDD5-D00B1BD609DA}" name="GDPG" dataDxfId="211">
      <calculatedColumnFormula>(Table3[[#This Row],[GF]]-Table3[[#This Row],[GA]])/Table3[[#This Row],[GP]]</calculatedColumnFormula>
    </tableColumn>
    <tableColumn id="66" xr3:uid="{507DA38A-B238-41CE-9C18-7D9B525AE471}" name="HOME_RECORD" dataDxfId="210" dataCellStyle="Output">
      <calculatedColumnFormula>_xlfn.CONCAT(TEXT(Table3[[#This Row],[W_H]], "0"), "-", TEXT(Table3[[#This Row],[RL_H]],"0"), "-", TEXT(Table3[[#This Row],[OTL_H]]+Table3[[#This Row],[SOL_H]], "0"))</calculatedColumnFormula>
    </tableColumn>
    <tableColumn id="65" xr3:uid="{B3131FFF-7021-4EC7-B116-3182EFFBD440}" name="AWAY_RECORD" dataDxfId="209" dataCellStyle="Output">
      <calculatedColumnFormula>_xlfn.CONCAT(TEXT(Table3[[#This Row],[W_A]], "0"), "-", TEXT(Table3[[#This Row],[RL_A]],"0"), "-", TEXT(Table3[[#This Row],[OTL_A]]+Table3[[#This Row],[SOL_A]], "0"))</calculatedColumnFormula>
    </tableColumn>
    <tableColumn id="70" xr3:uid="{608A0CE6-BF7A-47C8-BB3D-2973557593E1}" name="PTS%_H" dataDxfId="208" dataCellStyle="Output">
      <calculatedColumnFormula>((2*(Table3[[#This Row],[W_H]]))+Table3[[#This Row],[OTL_H]]+Table3[[#This Row],[SOL_H]])/(2*Table3[[#This Row],[GP_H]])</calculatedColumnFormula>
    </tableColumn>
    <tableColumn id="69" xr3:uid="{6B2AD131-677B-40C4-A34C-E0F53EA8F426}" name="PTS%_A" dataDxfId="207" dataCellStyle="Output">
      <calculatedColumnFormula>((2*(Table3[[#This Row],[W_A]]))+Table3[[#This Row],[OTL_A]]+Table3[[#This Row],[SOL_A]])/(2*Table3[[#This Row],[GP_A]])</calculatedColumnFormula>
    </tableColumn>
    <tableColumn id="71" xr3:uid="{77BF7C52-DA9B-4327-94A7-FAD43A4E3D5C}" name="TeamCost" dataDxfId="206" dataCellStyle="Normal">
      <calculatedColumnFormula>(Table3[[#This Row],[W]]*$CX$3)+(Table3[[#This Row],[L]]*$CX$4)+(Table3[[#This Row],[GF]]*$CX$5)+(Table3[[#This Row],[GA]]*$CX$6)</calculatedColumnFormula>
    </tableColumn>
    <tableColumn id="72" xr3:uid="{76376EFE-FC79-42EB-BC15-AC3060F6D2DE}" name="TeamCost82" dataDxfId="205">
      <calculatedColumnFormula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calculatedColumnFormula>
    </tableColumn>
    <tableColumn id="85" xr3:uid="{C16D145F-C450-4C5F-9EE6-C67692196F98}" name="TeamCost83" dataDxfId="204">
      <calculatedColumnFormula>(Table3[[#This Row],[W]]*0.7) + ((Table3[[#This Row],[GF]] - Table3[[#This Row],[GA]])*0.25)+(Table3[[#This Row],[GF]]*0.1)+(Table3[[#This Row],[GA]]*0.05)+(Table3[[#This Row],[L]]*0.3)</calculatedColumnFormula>
    </tableColumn>
    <tableColumn id="86" xr3:uid="{09800B5F-B761-40D3-9231-73095A78E11A}" name="TeamCost84" dataDxfId="203">
      <calculatedColumnFormula>Table3[[#This Row],[TeamCost83]]/Table3[[#This Row],[GP]]</calculatedColumnFormula>
    </tableColumn>
    <tableColumn id="23" xr3:uid="{96B64A31-865A-4CC8-8BA8-C7027FB896A9}" name="TimesPredictedWinnerAway" dataDxfId="202">
      <calculatedColumnFormula>COUNTIFS(Table2[AwayTeam],$A2,Table2[PredictedWinner], $A2, Table2[GameIsOver], 1)</calculatedColumnFormula>
    </tableColumn>
    <tableColumn id="24" xr3:uid="{CB1087BF-3D73-4BE3-8E3C-823ACA62836E}" name="TimesPredictedWinnerHome" dataDxfId="201">
      <calculatedColumnFormula>COUNTIFS(Table2[HomeTeam],$A2,Table2[PredictedWinner], $A2, Table2[GameIsOver], 1)</calculatedColumnFormula>
    </tableColumn>
    <tableColumn id="25" xr3:uid="{6CFD5FA0-BC76-4F90-A21D-9CFCA81374E7}" name="TimesPredictedWinner">
      <calculatedColumnFormula>BT2+BU2</calculatedColumnFormula>
    </tableColumn>
    <tableColumn id="26" xr3:uid="{B54702F6-CAE9-4F4A-8853-8111767DBC87}" name="TimesPredictedLoserAway">
      <calculatedColumnFormula>F2-BT2</calculatedColumnFormula>
    </tableColumn>
    <tableColumn id="27" xr3:uid="{90A80F2D-4BC8-4200-ACD0-827C04F53D40}" name="TimesPredictedLoserHome">
      <calculatedColumnFormula>H2-BU2</calculatedColumnFormula>
    </tableColumn>
    <tableColumn id="28" xr3:uid="{090AC785-E56F-4BB1-8F9A-A65C1E4B89F9}" name="TimesPredictedLoser">
      <calculatedColumnFormula>BW2+BX2</calculatedColumnFormula>
    </tableColumn>
    <tableColumn id="29" xr3:uid="{D00954F3-E6CA-47FA-98A1-23F85E7635A5}" name="FreqPredictedWinner">
      <calculatedColumnFormula>Table3[[#This Row],[TimesPredictedWinner]]/Table3[[#This Row],[GP]]</calculatedColumnFormula>
    </tableColumn>
    <tableColumn id="30" xr3:uid="{89C9ED68-7685-4A95-986B-DB060828B29D}" name="TimesPredictionHomeCorrect"/>
    <tableColumn id="73" xr3:uid="{A147697F-71A9-44AA-A6C8-EE5FDBCCBD98}" name="LastCup"/>
    <tableColumn id="80" xr3:uid="{9255C817-FF94-4E08-8AC0-B44E70D84CB5}" name="Eliminated"/>
    <tableColumn id="79" xr3:uid="{C99AE56E-024A-49B1-94D9-A8442BADA7CA}" name="Clinched"/>
    <tableColumn id="75" xr3:uid="{2EA17A20-29A3-47F3-824B-C57687F9FA53}" name="Column1" dataDxfId="200">
      <calculatedColumnFormula>INDEX(Table2[AwayTeam], Table3[[#This Row],[Column2]])</calculatedColumnFormula>
    </tableColumn>
    <tableColumn id="76" xr3:uid="{9B9B8B21-342B-462C-8D29-32167E678CD0}" name="Column2" dataDxfId="199">
      <calculatedColumnFormula>LARGE((Table2[[#This Row],[AwayTeam]]=Table3[[#This Row],[Teams]]), 1)</calculatedColumnFormula>
    </tableColumn>
    <tableColumn id="77" xr3:uid="{1C6C1AF7-675E-4D53-83EB-3B394AD71F05}" name="WasShutOut_A"/>
    <tableColumn id="78" xr3:uid="{57AA2E00-FCB8-4A15-87CB-0755D1F254EA}" name="WasShutOut_H"/>
    <tableColumn id="81" xr3:uid="{98227A14-8822-4051-97BA-FE75184A9BE4}" name="Column3" dataDxfId="198">
      <calculatedColumnFormula>SUMIFS(Table2[GamePredictionScore], Table2[AwayTeam], Table3[[#This Row],[Teams]])</calculatedColumnFormula>
    </tableColumn>
    <tableColumn id="82" xr3:uid="{9053A00E-0209-4673-A66E-8C0E85603822}" name="Column4" dataDxfId="197">
      <calculatedColumnFormula>SUMIFS(Table2[GamePredictionScore], Table2[HomeTeam], Table3[[#This Row],[Teams]])</calculatedColumnFormula>
    </tableColumn>
    <tableColumn id="83" xr3:uid="{64B7785D-B2C4-4ACC-A9E3-3EDA70F2A57A}" name="Column5" dataDxfId="196">
      <calculatedColumnFormula>Table3[[#This Row],[Column4]]+Table3[[#This Row],[Column3]]</calculatedColumnFormula>
    </tableColumn>
    <tableColumn id="84" xr3:uid="{D8BED368-DAC9-48FF-80E2-915F13132254}" name="Column6" dataDxfId="195">
      <calculatedColumnFormula>Table3[[#This Row],[Column5]]/Table3[[#This Row],[GP]]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F6344AB-A7D7-4470-97E8-25F345DCEB50}" name="Table6" displayName="Table6" ref="A1:E33" totalsRowShown="0" headerRowDxfId="194" headerRowBorderDxfId="193" tableBorderDxfId="192" totalsRowBorderDxfId="191">
  <autoFilter ref="A1:E33" xr:uid="{CF6344AB-A7D7-4470-97E8-25F345DCEB50}"/>
  <tableColumns count="5">
    <tableColumn id="1" xr3:uid="{9D810EAE-C7D0-4954-9C7C-A98F443DB376}" name="Teams" dataDxfId="190"/>
    <tableColumn id="2" xr3:uid="{2CCA5DB0-3229-4630-954B-5B483D49092B}" name="C" dataDxfId="189"/>
    <tableColumn id="3" xr3:uid="{DF5449A8-1B40-49C5-A31E-A4CCE3B98D7D}" name="D" dataDxfId="188"/>
    <tableColumn id="4" xr3:uid="{ED972387-8DB1-432C-B36F-2D37E10DE551}" name="PTS" dataDxfId="187">
      <calculatedColumnFormula>INDEX(Table3[PTS], MATCH(Table6[[#This Row],[Teams]], Table3[Teams],0))</calculatedColumnFormula>
    </tableColumn>
    <tableColumn id="5" xr3:uid="{F2DDCA70-8451-496C-BD0D-42540EE60669}" name="Column2" dataDxfId="186">
      <calculatedColumnFormula>INDEX(Table3[PTS], MATCH(Table6[[#This Row],[Teams]], Table3[Teams],0))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751C79-2523-4FA2-81B8-3949C5CD65B7}" name="Table7" displayName="Table7" ref="S1:BA9" totalsRowShown="0">
  <autoFilter ref="S1:BA9" xr:uid="{F8751C79-2523-4FA2-81B8-3949C5CD65B7}"/>
  <sortState xmlns:xlrd2="http://schemas.microsoft.com/office/spreadsheetml/2017/richdata2" ref="S2:BA9">
    <sortCondition descending="1" ref="U1:U9"/>
  </sortState>
  <tableColumns count="35">
    <tableColumn id="1" xr3:uid="{3BE082D6-B9A5-406F-B755-561292845C8A}" name="PAC"/>
    <tableColumn id="2" xr3:uid="{761FBECB-F0BA-445A-8A38-F893B030AB9E}" name="Teams" dataDxfId="185">
      <calculatedColumnFormula array="1">INDEX(Table6[Teams], SMALL(IF(Table6[D]="P", ROW(Table6[Teams])-ROW(Table6[#Headers])), Table7[[#This Row],[PAC]]))</calculatedColumnFormula>
    </tableColumn>
    <tableColumn id="3" xr3:uid="{ACEF64B3-B932-48C7-854F-4B77572C2001}" name="Pts" dataDxfId="184">
      <calculatedColumnFormula>INDEX(Table6[PTS], MATCH($T2, Table6[Teams], 0))</calculatedColumnFormula>
    </tableColumn>
    <tableColumn id="4" xr3:uid="{424CFEDF-201C-4AD9-83C5-6C8C6D57757F}" name="ANA" dataDxfId="183">
      <calculatedColumnFormula>(2*(SUMIFS(Table2[[AwayWon]:[AwayWon]], Table2[[GameIsOver]:[GameIsOver]],1,Table2[[AwayTeam]:[AwayTeam]],$T2, Table2[[HomeTeam]:[HomeTeam]], V$1) + SUMIFS(Table2[[HomeWon_]:[HomeWon_]], Table2[[GameIsOver]:[GameIsOver]],1,Table2[[HomeTeam]:[HomeTeam]],$T2, Table2[[AwayTeam]:[AwayTeam]], V$1))) + (0*(SUMIFS(Table2[[HomeWon_]:[HomeWon_]], Table2[[GameIsOver]:[GameIsOver]],1,Table2[[AwayTeam]:[AwayTeam]],$T2, Table2[[HomeTeam]:[HomeTeam]], V$1, Table2[[ActualResult]:[ActualResult]], "REG") + SUMIFS(Table2[[AwayWon]:[AwayWon]], Table2[[GameIsOver]:[GameIsOver]],1,Table2[[HomeTeam]:[HomeTeam]],$T2, Table2[[AwayTeam]:[AwayTeam]], V$1, Table2[[ActualResult]:[ActualResult]], "REG"))) + (1*(SUMIFS(Table2[[HomeWon_]:[HomeWon_]], Table2[[GameIsOver]:[GameIsOver]],1,Table2[[AwayTeam]:[AwayTeam]],$T2, Table2[[HomeTeam]:[HomeTeam]], V$1, Table2[[ActualResult]:[ActualResult]], "OT") + SUMIFS(Table2[[AwayWon]:[AwayWon]], Table2[[GameIsOver]:[GameIsOver]],1,Table2[[HomeTeam]:[HomeTeam]],$T2, Table2[[AwayTeam]:[AwayTeam]], V$1, Table2[[ActualResult]:[ActualResult]], "OT") + SUMIFS(Table2[[HomeWon_]:[HomeWon_]], Table2[[GameIsOver]:[GameIsOver]],1,Table2[[AwayTeam]:[AwayTeam]],$T2, Table2[[HomeTeam]:[HomeTeam]], V$1, Table2[[ActualResult]:[ActualResult]], "SO") + SUMIFS(Table2[[AwayWon]:[AwayWon]], Table2[[GameIsOver]:[GameIsOver]],1,Table2[[HomeTeam]:[HomeTeam]],$T2, Table2[[AwayTeam]:[AwayTeam]], V$1, Table2[[ActualResult]:[ActualResult]], "SO")))</calculatedColumnFormula>
    </tableColumn>
    <tableColumn id="5" xr3:uid="{A1022B4C-07A5-412B-BBF6-49D0A65CC152}" name="CGY" dataDxfId="182">
      <calculatedColumnFormula>(2*(SUMIFS(Table2[[AwayWon]:[AwayWon]], Table2[[GameIsOver]:[GameIsOver]],1,Table2[[AwayTeam]:[AwayTeam]],$T2, Table2[[HomeTeam]:[HomeTeam]], W$1) + SUMIFS(Table2[[HomeWon_]:[HomeWon_]], Table2[[GameIsOver]:[GameIsOver]],1,Table2[[HomeTeam]:[HomeTeam]],$T2, Table2[[AwayTeam]:[AwayTeam]], W$1))) + (0*(SUMIFS(Table2[[HomeWon_]:[HomeWon_]], Table2[[GameIsOver]:[GameIsOver]],1,Table2[[AwayTeam]:[AwayTeam]],$T2, Table2[[HomeTeam]:[HomeTeam]], W$1, Table2[[ActualResult]:[ActualResult]], "REG") + SUMIFS(Table2[[AwayWon]:[AwayWon]], Table2[[GameIsOver]:[GameIsOver]],1,Table2[[HomeTeam]:[HomeTeam]],$T2, Table2[[AwayTeam]:[AwayTeam]], W$1, Table2[[ActualResult]:[ActualResult]], "REG"))) + (1*(SUMIFS(Table2[[HomeWon_]:[HomeWon_]], Table2[[GameIsOver]:[GameIsOver]],1,Table2[[AwayTeam]:[AwayTeam]],$T2, Table2[[HomeTeam]:[HomeTeam]], W$1, Table2[[ActualResult]:[ActualResult]], "OT") + SUMIFS(Table2[[AwayWon]:[AwayWon]], Table2[[GameIsOver]:[GameIsOver]],1,Table2[[HomeTeam]:[HomeTeam]],$T2, Table2[[AwayTeam]:[AwayTeam]], W$1, Table2[[ActualResult]:[ActualResult]], "OT") + SUMIFS(Table2[[HomeWon_]:[HomeWon_]], Table2[[GameIsOver]:[GameIsOver]],1,Table2[[AwayTeam]:[AwayTeam]],$T2, Table2[[HomeTeam]:[HomeTeam]], W$1, Table2[[ActualResult]:[ActualResult]], "SO") + SUMIFS(Table2[[AwayWon]:[AwayWon]], Table2[[GameIsOver]:[GameIsOver]],1,Table2[[HomeTeam]:[HomeTeam]],$T2, Table2[[AwayTeam]:[AwayTeam]], W$1, Table2[[ActualResult]:[ActualResult]], "SO")))</calculatedColumnFormula>
    </tableColumn>
    <tableColumn id="6" xr3:uid="{EBCF9C1D-67E9-4A23-A6B3-4F6A2D36EFEE}" name="EDM" dataDxfId="181">
      <calculatedColumnFormula>(2*(SUMIFS(Table2[[AwayWon]:[AwayWon]], Table2[[GameIsOver]:[GameIsOver]],1,Table2[[AwayTeam]:[AwayTeam]],$T2, Table2[[HomeTeam]:[HomeTeam]], X$1) + SUMIFS(Table2[[HomeWon_]:[HomeWon_]], Table2[[GameIsOver]:[GameIsOver]],1,Table2[[HomeTeam]:[HomeTeam]],$T2, Table2[[AwayTeam]:[AwayTeam]], X$1))) + (0*(SUMIFS(Table2[[HomeWon_]:[HomeWon_]], Table2[[GameIsOver]:[GameIsOver]],1,Table2[[AwayTeam]:[AwayTeam]],$T2, Table2[[HomeTeam]:[HomeTeam]], X$1, Table2[[ActualResult]:[ActualResult]], "REG") + SUMIFS(Table2[[AwayWon]:[AwayWon]], Table2[[GameIsOver]:[GameIsOver]],1,Table2[[HomeTeam]:[HomeTeam]],$T2, Table2[[AwayTeam]:[AwayTeam]], X$1, Table2[[ActualResult]:[ActualResult]], "REG"))) + (1*(SUMIFS(Table2[[HomeWon_]:[HomeWon_]], Table2[[GameIsOver]:[GameIsOver]],1,Table2[[AwayTeam]:[AwayTeam]],$T2, Table2[[HomeTeam]:[HomeTeam]], X$1, Table2[[ActualResult]:[ActualResult]], "OT") + SUMIFS(Table2[[AwayWon]:[AwayWon]], Table2[[GameIsOver]:[GameIsOver]],1,Table2[[HomeTeam]:[HomeTeam]],$T2, Table2[[AwayTeam]:[AwayTeam]], X$1, Table2[[ActualResult]:[ActualResult]], "OT") + SUMIFS(Table2[[HomeWon_]:[HomeWon_]], Table2[[GameIsOver]:[GameIsOver]],1,Table2[[AwayTeam]:[AwayTeam]],$T2, Table2[[HomeTeam]:[HomeTeam]], X$1, Table2[[ActualResult]:[ActualResult]], "SO") + SUMIFS(Table2[[AwayWon]:[AwayWon]], Table2[[GameIsOver]:[GameIsOver]],1,Table2[[HomeTeam]:[HomeTeam]],$T2, Table2[[AwayTeam]:[AwayTeam]], X$1, Table2[[ActualResult]:[ActualResult]], "SO")))</calculatedColumnFormula>
    </tableColumn>
    <tableColumn id="7" xr3:uid="{38CED270-FE85-4190-A448-11546CBA1032}" name="LAK" dataDxfId="180">
      <calculatedColumnFormula>(2*(SUMIFS(Table2[[AwayWon]:[AwayWon]], Table2[[GameIsOver]:[GameIsOver]],1,Table2[[AwayTeam]:[AwayTeam]],$T2, Table2[[HomeTeam]:[HomeTeam]], Y$1) + SUMIFS(Table2[[HomeWon_]:[HomeWon_]], Table2[[GameIsOver]:[GameIsOver]],1,Table2[[HomeTeam]:[HomeTeam]],$T2, Table2[[AwayTeam]:[AwayTeam]], Y$1))) + (0*(SUMIFS(Table2[[HomeWon_]:[HomeWon_]], Table2[[GameIsOver]:[GameIsOver]],1,Table2[[AwayTeam]:[AwayTeam]],$T2, Table2[[HomeTeam]:[HomeTeam]], Y$1, Table2[[ActualResult]:[ActualResult]], "REG") + SUMIFS(Table2[[AwayWon]:[AwayWon]], Table2[[GameIsOver]:[GameIsOver]],1,Table2[[HomeTeam]:[HomeTeam]],$T2, Table2[[AwayTeam]:[AwayTeam]], Y$1, Table2[[ActualResult]:[ActualResult]], "REG"))) + (1*(SUMIFS(Table2[[HomeWon_]:[HomeWon_]], Table2[[GameIsOver]:[GameIsOver]],1,Table2[[AwayTeam]:[AwayTeam]],$T2, Table2[[HomeTeam]:[HomeTeam]], Y$1, Table2[[ActualResult]:[ActualResult]], "OT") + SUMIFS(Table2[[AwayWon]:[AwayWon]], Table2[[GameIsOver]:[GameIsOver]],1,Table2[[HomeTeam]:[HomeTeam]],$T2, Table2[[AwayTeam]:[AwayTeam]], Y$1, Table2[[ActualResult]:[ActualResult]], "OT") + SUMIFS(Table2[[HomeWon_]:[HomeWon_]], Table2[[GameIsOver]:[GameIsOver]],1,Table2[[AwayTeam]:[AwayTeam]],$T2, Table2[[HomeTeam]:[HomeTeam]], Y$1, Table2[[ActualResult]:[ActualResult]], "SO") + SUMIFS(Table2[[AwayWon]:[AwayWon]], Table2[[GameIsOver]:[GameIsOver]],1,Table2[[HomeTeam]:[HomeTeam]],$T2, Table2[[AwayTeam]:[AwayTeam]], Y$1, Table2[[ActualResult]:[ActualResult]], "SO")))</calculatedColumnFormula>
    </tableColumn>
    <tableColumn id="8" xr3:uid="{E5FC6A8C-BD7A-4289-8138-13756BA63FC7}" name="SEA" dataDxfId="179">
      <calculatedColumnFormula>(2*(SUMIFS(Table2[[AwayWon]:[AwayWon]], Table2[[GameIsOver]:[GameIsOver]],1,Table2[[AwayTeam]:[AwayTeam]],$T2, Table2[[HomeTeam]:[HomeTeam]], Z$1) + SUMIFS(Table2[[HomeWon_]:[HomeWon_]], Table2[[GameIsOver]:[GameIsOver]],1,Table2[[HomeTeam]:[HomeTeam]],$T2, Table2[[AwayTeam]:[AwayTeam]], Z$1))) + (0*(SUMIFS(Table2[[HomeWon_]:[HomeWon_]], Table2[[GameIsOver]:[GameIsOver]],1,Table2[[AwayTeam]:[AwayTeam]],$T2, Table2[[HomeTeam]:[HomeTeam]], Z$1, Table2[[ActualResult]:[ActualResult]], "REG") + SUMIFS(Table2[[AwayWon]:[AwayWon]], Table2[[GameIsOver]:[GameIsOver]],1,Table2[[HomeTeam]:[HomeTeam]],$T2, Table2[[AwayTeam]:[AwayTeam]], Z$1, Table2[[ActualResult]:[ActualResult]], "REG"))) + (1*(SUMIFS(Table2[[HomeWon_]:[HomeWon_]], Table2[[GameIsOver]:[GameIsOver]],1,Table2[[AwayTeam]:[AwayTeam]],$T2, Table2[[HomeTeam]:[HomeTeam]], Z$1, Table2[[ActualResult]:[ActualResult]], "OT") + SUMIFS(Table2[[AwayWon]:[AwayWon]], Table2[[GameIsOver]:[GameIsOver]],1,Table2[[HomeTeam]:[HomeTeam]],$T2, Table2[[AwayTeam]:[AwayTeam]], Z$1, Table2[[ActualResult]:[ActualResult]], "OT") + SUMIFS(Table2[[HomeWon_]:[HomeWon_]], Table2[[GameIsOver]:[GameIsOver]],1,Table2[[AwayTeam]:[AwayTeam]],$T2, Table2[[HomeTeam]:[HomeTeam]], Z$1, Table2[[ActualResult]:[ActualResult]], "SO") + SUMIFS(Table2[[AwayWon]:[AwayWon]], Table2[[GameIsOver]:[GameIsOver]],1,Table2[[HomeTeam]:[HomeTeam]],$T2, Table2[[AwayTeam]:[AwayTeam]], Z$1, Table2[[ActualResult]:[ActualResult]], "SO")))</calculatedColumnFormula>
    </tableColumn>
    <tableColumn id="9" xr3:uid="{64F344DE-3508-4D6F-9CD3-1CB9D321D5F3}" name="SJS" dataDxfId="178">
      <calculatedColumnFormula>(2*(SUMIFS(Table2[[AwayWon]:[AwayWon]], Table2[[GameIsOver]:[GameIsOver]],1,Table2[[AwayTeam]:[AwayTeam]],$T2, Table2[[HomeTeam]:[HomeTeam]], AA$1) + SUMIFS(Table2[[HomeWon_]:[HomeWon_]], Table2[[GameIsOver]:[GameIsOver]],1,Table2[[HomeTeam]:[HomeTeam]],$T2, Table2[[AwayTeam]:[AwayTeam]], AA$1))) + (0*(SUMIFS(Table2[[HomeWon_]:[HomeWon_]], Table2[[GameIsOver]:[GameIsOver]],1,Table2[[AwayTeam]:[AwayTeam]],$T2, Table2[[HomeTeam]:[HomeTeam]], AA$1, Table2[[ActualResult]:[ActualResult]], "REG") + SUMIFS(Table2[[AwayWon]:[AwayWon]], Table2[[GameIsOver]:[GameIsOver]],1,Table2[[HomeTeam]:[HomeTeam]],$T2, Table2[[AwayTeam]:[AwayTeam]], AA$1, Table2[[ActualResult]:[ActualResult]], "REG"))) + (1*(SUMIFS(Table2[[HomeWon_]:[HomeWon_]], Table2[[GameIsOver]:[GameIsOver]],1,Table2[[AwayTeam]:[AwayTeam]],$T2, Table2[[HomeTeam]:[HomeTeam]], AA$1, Table2[[ActualResult]:[ActualResult]], "OT") + SUMIFS(Table2[[AwayWon]:[AwayWon]], Table2[[GameIsOver]:[GameIsOver]],1,Table2[[HomeTeam]:[HomeTeam]],$T2, Table2[[AwayTeam]:[AwayTeam]], AA$1, Table2[[ActualResult]:[ActualResult]], "OT") + SUMIFS(Table2[[HomeWon_]:[HomeWon_]], Table2[[GameIsOver]:[GameIsOver]],1,Table2[[AwayTeam]:[AwayTeam]],$T2, Table2[[HomeTeam]:[HomeTeam]], AA$1, Table2[[ActualResult]:[ActualResult]], "SO") + SUMIFS(Table2[[AwayWon]:[AwayWon]], Table2[[GameIsOver]:[GameIsOver]],1,Table2[[HomeTeam]:[HomeTeam]],$T2, Table2[[AwayTeam]:[AwayTeam]], AA$1, Table2[[ActualResult]:[ActualResult]], "SO")))</calculatedColumnFormula>
    </tableColumn>
    <tableColumn id="10" xr3:uid="{DF2F3A43-2A61-49B1-A44E-E20FA02F5BF8}" name="VAN" dataDxfId="177">
      <calculatedColumnFormula>(2*(SUMIFS(Table2[[AwayWon]:[AwayWon]], Table2[[GameIsOver]:[GameIsOver]],1,Table2[[AwayTeam]:[AwayTeam]],$T2, Table2[[HomeTeam]:[HomeTeam]], AB$1) + SUMIFS(Table2[[HomeWon_]:[HomeWon_]], Table2[[GameIsOver]:[GameIsOver]],1,Table2[[HomeTeam]:[HomeTeam]],$T2, Table2[[AwayTeam]:[AwayTeam]], AB$1))) + (0*(SUMIFS(Table2[[HomeWon_]:[HomeWon_]], Table2[[GameIsOver]:[GameIsOver]],1,Table2[[AwayTeam]:[AwayTeam]],$T2, Table2[[HomeTeam]:[HomeTeam]], AB$1, Table2[[ActualResult]:[ActualResult]], "REG") + SUMIFS(Table2[[AwayWon]:[AwayWon]], Table2[[GameIsOver]:[GameIsOver]],1,Table2[[HomeTeam]:[HomeTeam]],$T2, Table2[[AwayTeam]:[AwayTeam]], AB$1, Table2[[ActualResult]:[ActualResult]], "REG"))) + (1*(SUMIFS(Table2[[HomeWon_]:[HomeWon_]], Table2[[GameIsOver]:[GameIsOver]],1,Table2[[AwayTeam]:[AwayTeam]],$T2, Table2[[HomeTeam]:[HomeTeam]], AB$1, Table2[[ActualResult]:[ActualResult]], "OT") + SUMIFS(Table2[[AwayWon]:[AwayWon]], Table2[[GameIsOver]:[GameIsOver]],1,Table2[[HomeTeam]:[HomeTeam]],$T2, Table2[[AwayTeam]:[AwayTeam]], AB$1, Table2[[ActualResult]:[ActualResult]], "OT") + SUMIFS(Table2[[HomeWon_]:[HomeWon_]], Table2[[GameIsOver]:[GameIsOver]],1,Table2[[AwayTeam]:[AwayTeam]],$T2, Table2[[HomeTeam]:[HomeTeam]], AB$1, Table2[[ActualResult]:[ActualResult]], "SO") + SUMIFS(Table2[[AwayWon]:[AwayWon]], Table2[[GameIsOver]:[GameIsOver]],1,Table2[[HomeTeam]:[HomeTeam]],$T2, Table2[[AwayTeam]:[AwayTeam]], AB$1, Table2[[ActualResult]:[ActualResult]], "SO")))</calculatedColumnFormula>
    </tableColumn>
    <tableColumn id="11" xr3:uid="{5F2C7F77-E7E4-4FDC-A459-855D514ECC2F}" name="VGK" dataDxfId="176">
      <calculatedColumnFormula>(2*(SUMIFS(Table2[[AwayWon]:[AwayWon]], Table2[[GameIsOver]:[GameIsOver]],1,Table2[[AwayTeam]:[AwayTeam]],$T2, Table2[[HomeTeam]:[HomeTeam]], AC$1) + SUMIFS(Table2[[HomeWon_]:[HomeWon_]], Table2[[GameIsOver]:[GameIsOver]],1,Table2[[HomeTeam]:[HomeTeam]],$T2, Table2[[AwayTeam]:[AwayTeam]], AC$1))) + (0*(SUMIFS(Table2[[HomeWon_]:[HomeWon_]], Table2[[GameIsOver]:[GameIsOver]],1,Table2[[AwayTeam]:[AwayTeam]],$T2, Table2[[HomeTeam]:[HomeTeam]], AC$1, Table2[[ActualResult]:[ActualResult]], "REG") + SUMIFS(Table2[[AwayWon]:[AwayWon]], Table2[[GameIsOver]:[GameIsOver]],1,Table2[[HomeTeam]:[HomeTeam]],$T2, Table2[[AwayTeam]:[AwayTeam]], AC$1, Table2[[ActualResult]:[ActualResult]], "REG"))) + (1*(SUMIFS(Table2[[HomeWon_]:[HomeWon_]], Table2[[GameIsOver]:[GameIsOver]],1,Table2[[AwayTeam]:[AwayTeam]],$T2, Table2[[HomeTeam]:[HomeTeam]], AC$1, Table2[[ActualResult]:[ActualResult]], "OT") + SUMIFS(Table2[[AwayWon]:[AwayWon]], Table2[[GameIsOver]:[GameIsOver]],1,Table2[[HomeTeam]:[HomeTeam]],$T2, Table2[[AwayTeam]:[AwayTeam]], AC$1, Table2[[ActualResult]:[ActualResult]], "OT") + SUMIFS(Table2[[HomeWon_]:[HomeWon_]], Table2[[GameIsOver]:[GameIsOver]],1,Table2[[AwayTeam]:[AwayTeam]],$T2, Table2[[HomeTeam]:[HomeTeam]], AC$1, Table2[[ActualResult]:[ActualResult]], "SO") + SUMIFS(Table2[[AwayWon]:[AwayWon]], Table2[[GameIsOver]:[GameIsOver]],1,Table2[[HomeTeam]:[HomeTeam]],$T2, Table2[[AwayTeam]:[AwayTeam]], AC$1, Table2[[ActualResult]:[ActualResult]], "SO")))</calculatedColumnFormula>
    </tableColumn>
    <tableColumn id="12" xr3:uid="{CEEE68CC-BBF8-4F7A-B5B4-144C6D5DA619}" name="CHI" dataDxfId="175">
      <calculatedColumnFormula>(2*(SUMIFS(Table2[[AwayWon]:[AwayWon]], Table2[[GameIsOver]:[GameIsOver]],1,Table2[[AwayTeam]:[AwayTeam]],$T2, Table2[[HomeTeam]:[HomeTeam]], AD$1) + SUMIFS(Table2[[HomeWon_]:[HomeWon_]], Table2[[GameIsOver]:[GameIsOver]],1,Table2[[HomeTeam]:[HomeTeam]],$T2, Table2[[AwayTeam]:[AwayTeam]], AD$1))) + (0*(SUMIFS(Table2[[HomeWon_]:[HomeWon_]], Table2[[GameIsOver]:[GameIsOver]],1,Table2[[AwayTeam]:[AwayTeam]],$T2, Table2[[HomeTeam]:[HomeTeam]], AD$1, Table2[[ActualResult]:[ActualResult]], "REG") + SUMIFS(Table2[[AwayWon]:[AwayWon]], Table2[[GameIsOver]:[GameIsOver]],1,Table2[[HomeTeam]:[HomeTeam]],$T2, Table2[[AwayTeam]:[AwayTeam]], AD$1, Table2[[ActualResult]:[ActualResult]], "REG"))) + (1*(SUMIFS(Table2[[HomeWon_]:[HomeWon_]], Table2[[GameIsOver]:[GameIsOver]],1,Table2[[AwayTeam]:[AwayTeam]],$T2, Table2[[HomeTeam]:[HomeTeam]], AD$1, Table2[[ActualResult]:[ActualResult]], "OT") + SUMIFS(Table2[[AwayWon]:[AwayWon]], Table2[[GameIsOver]:[GameIsOver]],1,Table2[[HomeTeam]:[HomeTeam]],$T2, Table2[[AwayTeam]:[AwayTeam]], AD$1, Table2[[ActualResult]:[ActualResult]], "OT") + SUMIFS(Table2[[HomeWon_]:[HomeWon_]], Table2[[GameIsOver]:[GameIsOver]],1,Table2[[AwayTeam]:[AwayTeam]],$T2, Table2[[HomeTeam]:[HomeTeam]], AD$1, Table2[[ActualResult]:[ActualResult]], "SO") + SUMIFS(Table2[[AwayWon]:[AwayWon]], Table2[[GameIsOver]:[GameIsOver]],1,Table2[[HomeTeam]:[HomeTeam]],$T2, Table2[[AwayTeam]:[AwayTeam]], AD$1, Table2[[ActualResult]:[ActualResult]], "SO")))</calculatedColumnFormula>
    </tableColumn>
    <tableColumn id="13" xr3:uid="{F85F3756-3A8E-4F07-8ADD-726FD5D1A73F}" name="COL" dataDxfId="174">
      <calculatedColumnFormula>(2*(SUMIFS(Table2[[AwayWon]:[AwayWon]], Table2[[GameIsOver]:[GameIsOver]],1,Table2[[AwayTeam]:[AwayTeam]],$T2, Table2[[HomeTeam]:[HomeTeam]], AE$1) + SUMIFS(Table2[[HomeWon_]:[HomeWon_]], Table2[[GameIsOver]:[GameIsOver]],1,Table2[[HomeTeam]:[HomeTeam]],$T2, Table2[[AwayTeam]:[AwayTeam]], AE$1))) + (0*(SUMIFS(Table2[[HomeWon_]:[HomeWon_]], Table2[[GameIsOver]:[GameIsOver]],1,Table2[[AwayTeam]:[AwayTeam]],$T2, Table2[[HomeTeam]:[HomeTeam]], AE$1, Table2[[ActualResult]:[ActualResult]], "REG") + SUMIFS(Table2[[AwayWon]:[AwayWon]], Table2[[GameIsOver]:[GameIsOver]],1,Table2[[HomeTeam]:[HomeTeam]],$T2, Table2[[AwayTeam]:[AwayTeam]], AE$1, Table2[[ActualResult]:[ActualResult]], "REG"))) + (1*(SUMIFS(Table2[[HomeWon_]:[HomeWon_]], Table2[[GameIsOver]:[GameIsOver]],1,Table2[[AwayTeam]:[AwayTeam]],$T2, Table2[[HomeTeam]:[HomeTeam]], AE$1, Table2[[ActualResult]:[ActualResult]], "OT") + SUMIFS(Table2[[AwayWon]:[AwayWon]], Table2[[GameIsOver]:[GameIsOver]],1,Table2[[HomeTeam]:[HomeTeam]],$T2, Table2[[AwayTeam]:[AwayTeam]], AE$1, Table2[[ActualResult]:[ActualResult]], "OT") + SUMIFS(Table2[[HomeWon_]:[HomeWon_]], Table2[[GameIsOver]:[GameIsOver]],1,Table2[[AwayTeam]:[AwayTeam]],$T2, Table2[[HomeTeam]:[HomeTeam]], AE$1, Table2[[ActualResult]:[ActualResult]], "SO") + SUMIFS(Table2[[AwayWon]:[AwayWon]], Table2[[GameIsOver]:[GameIsOver]],1,Table2[[HomeTeam]:[HomeTeam]],$T2, Table2[[AwayTeam]:[AwayTeam]], AE$1, Table2[[ActualResult]:[ActualResult]], "SO")))</calculatedColumnFormula>
    </tableColumn>
    <tableColumn id="14" xr3:uid="{35133861-712E-45CF-A07C-81D14F0E8CB0}" name="DAL" dataDxfId="173">
      <calculatedColumnFormula>(2*(SUMIFS(Table2[[AwayWon]:[AwayWon]], Table2[[GameIsOver]:[GameIsOver]],1,Table2[[AwayTeam]:[AwayTeam]],$T2, Table2[[HomeTeam]:[HomeTeam]], AF$1) + SUMIFS(Table2[[HomeWon_]:[HomeWon_]], Table2[[GameIsOver]:[GameIsOver]],1,Table2[[HomeTeam]:[HomeTeam]],$T2, Table2[[AwayTeam]:[AwayTeam]], AF$1))) + (0*(SUMIFS(Table2[[HomeWon_]:[HomeWon_]], Table2[[GameIsOver]:[GameIsOver]],1,Table2[[AwayTeam]:[AwayTeam]],$T2, Table2[[HomeTeam]:[HomeTeam]], AF$1, Table2[[ActualResult]:[ActualResult]], "REG") + SUMIFS(Table2[[AwayWon]:[AwayWon]], Table2[[GameIsOver]:[GameIsOver]],1,Table2[[HomeTeam]:[HomeTeam]],$T2, Table2[[AwayTeam]:[AwayTeam]], AF$1, Table2[[ActualResult]:[ActualResult]], "REG"))) + (1*(SUMIFS(Table2[[HomeWon_]:[HomeWon_]], Table2[[GameIsOver]:[GameIsOver]],1,Table2[[AwayTeam]:[AwayTeam]],$T2, Table2[[HomeTeam]:[HomeTeam]], AF$1, Table2[[ActualResult]:[ActualResult]], "OT") + SUMIFS(Table2[[AwayWon]:[AwayWon]], Table2[[GameIsOver]:[GameIsOver]],1,Table2[[HomeTeam]:[HomeTeam]],$T2, Table2[[AwayTeam]:[AwayTeam]], AF$1, Table2[[ActualResult]:[ActualResult]], "OT") + SUMIFS(Table2[[HomeWon_]:[HomeWon_]], Table2[[GameIsOver]:[GameIsOver]],1,Table2[[AwayTeam]:[AwayTeam]],$T2, Table2[[HomeTeam]:[HomeTeam]], AF$1, Table2[[ActualResult]:[ActualResult]], "SO") + SUMIFS(Table2[[AwayWon]:[AwayWon]], Table2[[GameIsOver]:[GameIsOver]],1,Table2[[HomeTeam]:[HomeTeam]],$T2, Table2[[AwayTeam]:[AwayTeam]], AF$1, Table2[[ActualResult]:[ActualResult]], "SO")))</calculatedColumnFormula>
    </tableColumn>
    <tableColumn id="15" xr3:uid="{C3B42E06-BB6E-482B-8252-6398C3AA7CDD}" name="MIN" dataDxfId="172">
      <calculatedColumnFormula>(2*(SUMIFS(Table2[[AwayWon]:[AwayWon]], Table2[[GameIsOver]:[GameIsOver]],1,Table2[[AwayTeam]:[AwayTeam]],$T2, Table2[[HomeTeam]:[HomeTeam]], AG$1) + SUMIFS(Table2[[HomeWon_]:[HomeWon_]], Table2[[GameIsOver]:[GameIsOver]],1,Table2[[HomeTeam]:[HomeTeam]],$T2, Table2[[AwayTeam]:[AwayTeam]], AG$1))) + (0*(SUMIFS(Table2[[HomeWon_]:[HomeWon_]], Table2[[GameIsOver]:[GameIsOver]],1,Table2[[AwayTeam]:[AwayTeam]],$T2, Table2[[HomeTeam]:[HomeTeam]], AG$1, Table2[[ActualResult]:[ActualResult]], "REG") + SUMIFS(Table2[[AwayWon]:[AwayWon]], Table2[[GameIsOver]:[GameIsOver]],1,Table2[[HomeTeam]:[HomeTeam]],$T2, Table2[[AwayTeam]:[AwayTeam]], AG$1, Table2[[ActualResult]:[ActualResult]], "REG"))) + (1*(SUMIFS(Table2[[HomeWon_]:[HomeWon_]], Table2[[GameIsOver]:[GameIsOver]],1,Table2[[AwayTeam]:[AwayTeam]],$T2, Table2[[HomeTeam]:[HomeTeam]], AG$1, Table2[[ActualResult]:[ActualResult]], "OT") + SUMIFS(Table2[[AwayWon]:[AwayWon]], Table2[[GameIsOver]:[GameIsOver]],1,Table2[[HomeTeam]:[HomeTeam]],$T2, Table2[[AwayTeam]:[AwayTeam]], AG$1, Table2[[ActualResult]:[ActualResult]], "OT") + SUMIFS(Table2[[HomeWon_]:[HomeWon_]], Table2[[GameIsOver]:[GameIsOver]],1,Table2[[AwayTeam]:[AwayTeam]],$T2, Table2[[HomeTeam]:[HomeTeam]], AG$1, Table2[[ActualResult]:[ActualResult]], "SO") + SUMIFS(Table2[[AwayWon]:[AwayWon]], Table2[[GameIsOver]:[GameIsOver]],1,Table2[[HomeTeam]:[HomeTeam]],$T2, Table2[[AwayTeam]:[AwayTeam]], AG$1, Table2[[ActualResult]:[ActualResult]], "SO")))</calculatedColumnFormula>
    </tableColumn>
    <tableColumn id="16" xr3:uid="{BBA2C720-9EDB-44C8-ACD5-5DD2F87C0C74}" name="NSH" dataDxfId="171">
      <calculatedColumnFormula>(2*(SUMIFS(Table2[[AwayWon]:[AwayWon]], Table2[[GameIsOver]:[GameIsOver]],1,Table2[[AwayTeam]:[AwayTeam]],$T2, Table2[[HomeTeam]:[HomeTeam]], AH$1) + SUMIFS(Table2[[HomeWon_]:[HomeWon_]], Table2[[GameIsOver]:[GameIsOver]],1,Table2[[HomeTeam]:[HomeTeam]],$T2, Table2[[AwayTeam]:[AwayTeam]], AH$1))) + (0*(SUMIFS(Table2[[HomeWon_]:[HomeWon_]], Table2[[GameIsOver]:[GameIsOver]],1,Table2[[AwayTeam]:[AwayTeam]],$T2, Table2[[HomeTeam]:[HomeTeam]], AH$1, Table2[[ActualResult]:[ActualResult]], "REG") + SUMIFS(Table2[[AwayWon]:[AwayWon]], Table2[[GameIsOver]:[GameIsOver]],1,Table2[[HomeTeam]:[HomeTeam]],$T2, Table2[[AwayTeam]:[AwayTeam]], AH$1, Table2[[ActualResult]:[ActualResult]], "REG"))) + (1*(SUMIFS(Table2[[HomeWon_]:[HomeWon_]], Table2[[GameIsOver]:[GameIsOver]],1,Table2[[AwayTeam]:[AwayTeam]],$T2, Table2[[HomeTeam]:[HomeTeam]], AH$1, Table2[[ActualResult]:[ActualResult]], "OT") + SUMIFS(Table2[[AwayWon]:[AwayWon]], Table2[[GameIsOver]:[GameIsOver]],1,Table2[[HomeTeam]:[HomeTeam]],$T2, Table2[[AwayTeam]:[AwayTeam]], AH$1, Table2[[ActualResult]:[ActualResult]], "OT") + SUMIFS(Table2[[HomeWon_]:[HomeWon_]], Table2[[GameIsOver]:[GameIsOver]],1,Table2[[AwayTeam]:[AwayTeam]],$T2, Table2[[HomeTeam]:[HomeTeam]], AH$1, Table2[[ActualResult]:[ActualResult]], "SO") + SUMIFS(Table2[[AwayWon]:[AwayWon]], Table2[[GameIsOver]:[GameIsOver]],1,Table2[[HomeTeam]:[HomeTeam]],$T2, Table2[[AwayTeam]:[AwayTeam]], AH$1, Table2[[ActualResult]:[ActualResult]], "SO")))</calculatedColumnFormula>
    </tableColumn>
    <tableColumn id="17" xr3:uid="{2D68DAB5-EBFC-4B68-A291-40B3325E0921}" name="STL" dataDxfId="170">
      <calculatedColumnFormula>(2*(SUMIFS(Table2[[AwayWon]:[AwayWon]], Table2[[GameIsOver]:[GameIsOver]],1,Table2[[AwayTeam]:[AwayTeam]],$T2, Table2[[HomeTeam]:[HomeTeam]], AI$1) + SUMIFS(Table2[[HomeWon_]:[HomeWon_]], Table2[[GameIsOver]:[GameIsOver]],1,Table2[[HomeTeam]:[HomeTeam]],$T2, Table2[[AwayTeam]:[AwayTeam]], AI$1))) + (0*(SUMIFS(Table2[[HomeWon_]:[HomeWon_]], Table2[[GameIsOver]:[GameIsOver]],1,Table2[[AwayTeam]:[AwayTeam]],$T2, Table2[[HomeTeam]:[HomeTeam]], AI$1, Table2[[ActualResult]:[ActualResult]], "REG") + SUMIFS(Table2[[AwayWon]:[AwayWon]], Table2[[GameIsOver]:[GameIsOver]],1,Table2[[HomeTeam]:[HomeTeam]],$T2, Table2[[AwayTeam]:[AwayTeam]], AI$1, Table2[[ActualResult]:[ActualResult]], "REG"))) + (1*(SUMIFS(Table2[[HomeWon_]:[HomeWon_]], Table2[[GameIsOver]:[GameIsOver]],1,Table2[[AwayTeam]:[AwayTeam]],$T2, Table2[[HomeTeam]:[HomeTeam]], AI$1, Table2[[ActualResult]:[ActualResult]], "OT") + SUMIFS(Table2[[AwayWon]:[AwayWon]], Table2[[GameIsOver]:[GameIsOver]],1,Table2[[HomeTeam]:[HomeTeam]],$T2, Table2[[AwayTeam]:[AwayTeam]], AI$1, Table2[[ActualResult]:[ActualResult]], "OT") + SUMIFS(Table2[[HomeWon_]:[HomeWon_]], Table2[[GameIsOver]:[GameIsOver]],1,Table2[[AwayTeam]:[AwayTeam]],$T2, Table2[[HomeTeam]:[HomeTeam]], AI$1, Table2[[ActualResult]:[ActualResult]], "SO") + SUMIFS(Table2[[AwayWon]:[AwayWon]], Table2[[GameIsOver]:[GameIsOver]],1,Table2[[HomeTeam]:[HomeTeam]],$T2, Table2[[AwayTeam]:[AwayTeam]], AI$1, Table2[[ActualResult]:[ActualResult]], "SO")))</calculatedColumnFormula>
    </tableColumn>
    <tableColumn id="18" xr3:uid="{28C14FD6-C302-4D8D-8113-AE700CC5EA5F}" name="UTA" dataDxfId="169">
      <calculatedColumnFormula>(2*(SUMIFS(Table2[[AwayWon]:[AwayWon]], Table2[[GameIsOver]:[GameIsOver]],1,Table2[[AwayTeam]:[AwayTeam]],$T2, Table2[[HomeTeam]:[HomeTeam]], AJ$1) + SUMIFS(Table2[[HomeWon_]:[HomeWon_]], Table2[[GameIsOver]:[GameIsOver]],1,Table2[[HomeTeam]:[HomeTeam]],$T2, Table2[[AwayTeam]:[AwayTeam]], AJ$1))) + (0*(SUMIFS(Table2[[HomeWon_]:[HomeWon_]], Table2[[GameIsOver]:[GameIsOver]],1,Table2[[AwayTeam]:[AwayTeam]],$T2, Table2[[HomeTeam]:[HomeTeam]], AJ$1, Table2[[ActualResult]:[ActualResult]], "REG") + SUMIFS(Table2[[AwayWon]:[AwayWon]], Table2[[GameIsOver]:[GameIsOver]],1,Table2[[HomeTeam]:[HomeTeam]],$T2, Table2[[AwayTeam]:[AwayTeam]], AJ$1, Table2[[ActualResult]:[ActualResult]], "REG"))) + (1*(SUMIFS(Table2[[HomeWon_]:[HomeWon_]], Table2[[GameIsOver]:[GameIsOver]],1,Table2[[AwayTeam]:[AwayTeam]],$T2, Table2[[HomeTeam]:[HomeTeam]], AJ$1, Table2[[ActualResult]:[ActualResult]], "OT") + SUMIFS(Table2[[AwayWon]:[AwayWon]], Table2[[GameIsOver]:[GameIsOver]],1,Table2[[HomeTeam]:[HomeTeam]],$T2, Table2[[AwayTeam]:[AwayTeam]], AJ$1, Table2[[ActualResult]:[ActualResult]], "OT") + SUMIFS(Table2[[HomeWon_]:[HomeWon_]], Table2[[GameIsOver]:[GameIsOver]],1,Table2[[AwayTeam]:[AwayTeam]],$T2, Table2[[HomeTeam]:[HomeTeam]], AJ$1, Table2[[ActualResult]:[ActualResult]], "SO") + SUMIFS(Table2[[AwayWon]:[AwayWon]], Table2[[GameIsOver]:[GameIsOver]],1,Table2[[HomeTeam]:[HomeTeam]],$T2, Table2[[AwayTeam]:[AwayTeam]], AJ$1, Table2[[ActualResult]:[ActualResult]], "SO")))</calculatedColumnFormula>
    </tableColumn>
    <tableColumn id="19" xr3:uid="{DD2E16C2-73A6-461B-A75C-169C5F91A309}" name="WPG" dataDxfId="168">
      <calculatedColumnFormula>(2*(SUMIFS(Table2[[AwayWon]:[AwayWon]], Table2[[GameIsOver]:[GameIsOver]],1,Table2[[AwayTeam]:[AwayTeam]],$T2, Table2[[HomeTeam]:[HomeTeam]], AK$1) + SUMIFS(Table2[[HomeWon_]:[HomeWon_]], Table2[[GameIsOver]:[GameIsOver]],1,Table2[[HomeTeam]:[HomeTeam]],$T2, Table2[[AwayTeam]:[AwayTeam]], AK$1))) + (0*(SUMIFS(Table2[[HomeWon_]:[HomeWon_]], Table2[[GameIsOver]:[GameIsOver]],1,Table2[[AwayTeam]:[AwayTeam]],$T2, Table2[[HomeTeam]:[HomeTeam]], AK$1, Table2[[ActualResult]:[ActualResult]], "REG") + SUMIFS(Table2[[AwayWon]:[AwayWon]], Table2[[GameIsOver]:[GameIsOver]],1,Table2[[HomeTeam]:[HomeTeam]],$T2, Table2[[AwayTeam]:[AwayTeam]], AK$1, Table2[[ActualResult]:[ActualResult]], "REG"))) + (1*(SUMIFS(Table2[[HomeWon_]:[HomeWon_]], Table2[[GameIsOver]:[GameIsOver]],1,Table2[[AwayTeam]:[AwayTeam]],$T2, Table2[[HomeTeam]:[HomeTeam]], AK$1, Table2[[ActualResult]:[ActualResult]], "OT") + SUMIFS(Table2[[AwayWon]:[AwayWon]], Table2[[GameIsOver]:[GameIsOver]],1,Table2[[HomeTeam]:[HomeTeam]],$T2, Table2[[AwayTeam]:[AwayTeam]], AK$1, Table2[[ActualResult]:[ActualResult]], "OT") + SUMIFS(Table2[[HomeWon_]:[HomeWon_]], Table2[[GameIsOver]:[GameIsOver]],1,Table2[[AwayTeam]:[AwayTeam]],$T2, Table2[[HomeTeam]:[HomeTeam]], AK$1, Table2[[ActualResult]:[ActualResult]], "SO") + SUMIFS(Table2[[AwayWon]:[AwayWon]], Table2[[GameIsOver]:[GameIsOver]],1,Table2[[HomeTeam]:[HomeTeam]],$T2, Table2[[AwayTeam]:[AwayTeam]], AK$1, Table2[[ActualResult]:[ActualResult]], "SO")))</calculatedColumnFormula>
    </tableColumn>
    <tableColumn id="20" xr3:uid="{87608F88-7C4F-4035-94C1-60F7FD62EC70}" name="CAR" dataDxfId="167">
      <calculatedColumnFormula>(2*(SUMIFS(Table2[[AwayWon]:[AwayWon]], Table2[[GameIsOver]:[GameIsOver]],1,Table2[[AwayTeam]:[AwayTeam]],$T2, Table2[[HomeTeam]:[HomeTeam]], AL$1) + SUMIFS(Table2[[HomeWon_]:[HomeWon_]], Table2[[GameIsOver]:[GameIsOver]],1,Table2[[HomeTeam]:[HomeTeam]],$T2, Table2[[AwayTeam]:[AwayTeam]], AL$1))) + (0*(SUMIFS(Table2[[HomeWon_]:[HomeWon_]], Table2[[GameIsOver]:[GameIsOver]],1,Table2[[AwayTeam]:[AwayTeam]],$T2, Table2[[HomeTeam]:[HomeTeam]], AL$1, Table2[[ActualResult]:[ActualResult]], "REG") + SUMIFS(Table2[[AwayWon]:[AwayWon]], Table2[[GameIsOver]:[GameIsOver]],1,Table2[[HomeTeam]:[HomeTeam]],$T2, Table2[[AwayTeam]:[AwayTeam]], AL$1, Table2[[ActualResult]:[ActualResult]], "REG"))) + (1*(SUMIFS(Table2[[HomeWon_]:[HomeWon_]], Table2[[GameIsOver]:[GameIsOver]],1,Table2[[AwayTeam]:[AwayTeam]],$T2, Table2[[HomeTeam]:[HomeTeam]], AL$1, Table2[[ActualResult]:[ActualResult]], "OT") + SUMIFS(Table2[[AwayWon]:[AwayWon]], Table2[[GameIsOver]:[GameIsOver]],1,Table2[[HomeTeam]:[HomeTeam]],$T2, Table2[[AwayTeam]:[AwayTeam]], AL$1, Table2[[ActualResult]:[ActualResult]], "OT") + SUMIFS(Table2[[HomeWon_]:[HomeWon_]], Table2[[GameIsOver]:[GameIsOver]],1,Table2[[AwayTeam]:[AwayTeam]],$T2, Table2[[HomeTeam]:[HomeTeam]], AL$1, Table2[[ActualResult]:[ActualResult]], "SO") + SUMIFS(Table2[[AwayWon]:[AwayWon]], Table2[[GameIsOver]:[GameIsOver]],1,Table2[[HomeTeam]:[HomeTeam]],$T2, Table2[[AwayTeam]:[AwayTeam]], AL$1, Table2[[ActualResult]:[ActualResult]], "SO")))</calculatedColumnFormula>
    </tableColumn>
    <tableColumn id="21" xr3:uid="{6A449513-C359-4D34-A5E7-583BAFFFAB09}" name="CBJ" dataDxfId="166">
      <calculatedColumnFormula>(2*(SUMIFS(Table2[[AwayWon]:[AwayWon]], Table2[[GameIsOver]:[GameIsOver]],1,Table2[[AwayTeam]:[AwayTeam]],$T2, Table2[[HomeTeam]:[HomeTeam]], AM$1) + SUMIFS(Table2[[HomeWon_]:[HomeWon_]], Table2[[GameIsOver]:[GameIsOver]],1,Table2[[HomeTeam]:[HomeTeam]],$T2, Table2[[AwayTeam]:[AwayTeam]], AM$1))) + (0*(SUMIFS(Table2[[HomeWon_]:[HomeWon_]], Table2[[GameIsOver]:[GameIsOver]],1,Table2[[AwayTeam]:[AwayTeam]],$T2, Table2[[HomeTeam]:[HomeTeam]], AM$1, Table2[[ActualResult]:[ActualResult]], "REG") + SUMIFS(Table2[[AwayWon]:[AwayWon]], Table2[[GameIsOver]:[GameIsOver]],1,Table2[[HomeTeam]:[HomeTeam]],$T2, Table2[[AwayTeam]:[AwayTeam]], AM$1, Table2[[ActualResult]:[ActualResult]], "REG"))) + (1*(SUMIFS(Table2[[HomeWon_]:[HomeWon_]], Table2[[GameIsOver]:[GameIsOver]],1,Table2[[AwayTeam]:[AwayTeam]],$T2, Table2[[HomeTeam]:[HomeTeam]], AM$1, Table2[[ActualResult]:[ActualResult]], "OT") + SUMIFS(Table2[[AwayWon]:[AwayWon]], Table2[[GameIsOver]:[GameIsOver]],1,Table2[[HomeTeam]:[HomeTeam]],$T2, Table2[[AwayTeam]:[AwayTeam]], AM$1, Table2[[ActualResult]:[ActualResult]], "OT") + SUMIFS(Table2[[HomeWon_]:[HomeWon_]], Table2[[GameIsOver]:[GameIsOver]],1,Table2[[AwayTeam]:[AwayTeam]],$T2, Table2[[HomeTeam]:[HomeTeam]], AM$1, Table2[[ActualResult]:[ActualResult]], "SO") + SUMIFS(Table2[[AwayWon]:[AwayWon]], Table2[[GameIsOver]:[GameIsOver]],1,Table2[[HomeTeam]:[HomeTeam]],$T2, Table2[[AwayTeam]:[AwayTeam]], AM$1, Table2[[ActualResult]:[ActualResult]], "SO")))</calculatedColumnFormula>
    </tableColumn>
    <tableColumn id="22" xr3:uid="{7FFAB394-66E5-4015-9609-E7DC756E0AB2}" name="NJD" dataDxfId="165">
      <calculatedColumnFormula>(2*(SUMIFS(Table2[[AwayWon]:[AwayWon]], Table2[[GameIsOver]:[GameIsOver]],1,Table2[[AwayTeam]:[AwayTeam]],$T2, Table2[[HomeTeam]:[HomeTeam]], AN$1) + SUMIFS(Table2[[HomeWon_]:[HomeWon_]], Table2[[GameIsOver]:[GameIsOver]],1,Table2[[HomeTeam]:[HomeTeam]],$T2, Table2[[AwayTeam]:[AwayTeam]], AN$1))) + (0*(SUMIFS(Table2[[HomeWon_]:[HomeWon_]], Table2[[GameIsOver]:[GameIsOver]],1,Table2[[AwayTeam]:[AwayTeam]],$T2, Table2[[HomeTeam]:[HomeTeam]], AN$1, Table2[[ActualResult]:[ActualResult]], "REG") + SUMIFS(Table2[[AwayWon]:[AwayWon]], Table2[[GameIsOver]:[GameIsOver]],1,Table2[[HomeTeam]:[HomeTeam]],$T2, Table2[[AwayTeam]:[AwayTeam]], AN$1, Table2[[ActualResult]:[ActualResult]], "REG"))) + (1*(SUMIFS(Table2[[HomeWon_]:[HomeWon_]], Table2[[GameIsOver]:[GameIsOver]],1,Table2[[AwayTeam]:[AwayTeam]],$T2, Table2[[HomeTeam]:[HomeTeam]], AN$1, Table2[[ActualResult]:[ActualResult]], "OT") + SUMIFS(Table2[[AwayWon]:[AwayWon]], Table2[[GameIsOver]:[GameIsOver]],1,Table2[[HomeTeam]:[HomeTeam]],$T2, Table2[[AwayTeam]:[AwayTeam]], AN$1, Table2[[ActualResult]:[ActualResult]], "OT") + SUMIFS(Table2[[HomeWon_]:[HomeWon_]], Table2[[GameIsOver]:[GameIsOver]],1,Table2[[AwayTeam]:[AwayTeam]],$T2, Table2[[HomeTeam]:[HomeTeam]], AN$1, Table2[[ActualResult]:[ActualResult]], "SO") + SUMIFS(Table2[[AwayWon]:[AwayWon]], Table2[[GameIsOver]:[GameIsOver]],1,Table2[[HomeTeam]:[HomeTeam]],$T2, Table2[[AwayTeam]:[AwayTeam]], AN$1, Table2[[ActualResult]:[ActualResult]], "SO")))</calculatedColumnFormula>
    </tableColumn>
    <tableColumn id="23" xr3:uid="{8D754123-6B86-49DC-9065-1FDA846D26EF}" name="NYI" dataDxfId="164">
      <calculatedColumnFormula>(2*(SUMIFS(Table2[[AwayWon]:[AwayWon]], Table2[[GameIsOver]:[GameIsOver]],1,Table2[[AwayTeam]:[AwayTeam]],$T2, Table2[[HomeTeam]:[HomeTeam]], AO$1) + SUMIFS(Table2[[HomeWon_]:[HomeWon_]], Table2[[GameIsOver]:[GameIsOver]],1,Table2[[HomeTeam]:[HomeTeam]],$T2, Table2[[AwayTeam]:[AwayTeam]], AO$1))) + (0*(SUMIFS(Table2[[HomeWon_]:[HomeWon_]], Table2[[GameIsOver]:[GameIsOver]],1,Table2[[AwayTeam]:[AwayTeam]],$T2, Table2[[HomeTeam]:[HomeTeam]], AO$1, Table2[[ActualResult]:[ActualResult]], "REG") + SUMIFS(Table2[[AwayWon]:[AwayWon]], Table2[[GameIsOver]:[GameIsOver]],1,Table2[[HomeTeam]:[HomeTeam]],$T2, Table2[[AwayTeam]:[AwayTeam]], AO$1, Table2[[ActualResult]:[ActualResult]], "REG"))) + (1*(SUMIFS(Table2[[HomeWon_]:[HomeWon_]], Table2[[GameIsOver]:[GameIsOver]],1,Table2[[AwayTeam]:[AwayTeam]],$T2, Table2[[HomeTeam]:[HomeTeam]], AO$1, Table2[[ActualResult]:[ActualResult]], "OT") + SUMIFS(Table2[[AwayWon]:[AwayWon]], Table2[[GameIsOver]:[GameIsOver]],1,Table2[[HomeTeam]:[HomeTeam]],$T2, Table2[[AwayTeam]:[AwayTeam]], AO$1, Table2[[ActualResult]:[ActualResult]], "OT") + SUMIFS(Table2[[HomeWon_]:[HomeWon_]], Table2[[GameIsOver]:[GameIsOver]],1,Table2[[AwayTeam]:[AwayTeam]],$T2, Table2[[HomeTeam]:[HomeTeam]], AO$1, Table2[[ActualResult]:[ActualResult]], "SO") + SUMIFS(Table2[[AwayWon]:[AwayWon]], Table2[[GameIsOver]:[GameIsOver]],1,Table2[[HomeTeam]:[HomeTeam]],$T2, Table2[[AwayTeam]:[AwayTeam]], AO$1, Table2[[ActualResult]:[ActualResult]], "SO")))</calculatedColumnFormula>
    </tableColumn>
    <tableColumn id="24" xr3:uid="{8A0238CF-D0D1-4781-BF9F-CAF63E48D50F}" name="NYR" dataDxfId="163">
      <calculatedColumnFormula>(2*(SUMIFS(Table2[[AwayWon]:[AwayWon]], Table2[[GameIsOver]:[GameIsOver]],1,Table2[[AwayTeam]:[AwayTeam]],$T2, Table2[[HomeTeam]:[HomeTeam]], AP$1) + SUMIFS(Table2[[HomeWon_]:[HomeWon_]], Table2[[GameIsOver]:[GameIsOver]],1,Table2[[HomeTeam]:[HomeTeam]],$T2, Table2[[AwayTeam]:[AwayTeam]], AP$1))) + (0*(SUMIFS(Table2[[HomeWon_]:[HomeWon_]], Table2[[GameIsOver]:[GameIsOver]],1,Table2[[AwayTeam]:[AwayTeam]],$T2, Table2[[HomeTeam]:[HomeTeam]], AP$1, Table2[[ActualResult]:[ActualResult]], "REG") + SUMIFS(Table2[[AwayWon]:[AwayWon]], Table2[[GameIsOver]:[GameIsOver]],1,Table2[[HomeTeam]:[HomeTeam]],$T2, Table2[[AwayTeam]:[AwayTeam]], AP$1, Table2[[ActualResult]:[ActualResult]], "REG"))) + (1*(SUMIFS(Table2[[HomeWon_]:[HomeWon_]], Table2[[GameIsOver]:[GameIsOver]],1,Table2[[AwayTeam]:[AwayTeam]],$T2, Table2[[HomeTeam]:[HomeTeam]], AP$1, Table2[[ActualResult]:[ActualResult]], "OT") + SUMIFS(Table2[[AwayWon]:[AwayWon]], Table2[[GameIsOver]:[GameIsOver]],1,Table2[[HomeTeam]:[HomeTeam]],$T2, Table2[[AwayTeam]:[AwayTeam]], AP$1, Table2[[ActualResult]:[ActualResult]], "OT") + SUMIFS(Table2[[HomeWon_]:[HomeWon_]], Table2[[GameIsOver]:[GameIsOver]],1,Table2[[AwayTeam]:[AwayTeam]],$T2, Table2[[HomeTeam]:[HomeTeam]], AP$1, Table2[[ActualResult]:[ActualResult]], "SO") + SUMIFS(Table2[[AwayWon]:[AwayWon]], Table2[[GameIsOver]:[GameIsOver]],1,Table2[[HomeTeam]:[HomeTeam]],$T2, Table2[[AwayTeam]:[AwayTeam]], AP$1, Table2[[ActualResult]:[ActualResult]], "SO")))</calculatedColumnFormula>
    </tableColumn>
    <tableColumn id="25" xr3:uid="{9B110601-FA59-4B72-BC87-907275B766C4}" name="PHI" dataDxfId="162">
      <calculatedColumnFormula>(2*(SUMIFS(Table2[[AwayWon]:[AwayWon]], Table2[[GameIsOver]:[GameIsOver]],1,Table2[[AwayTeam]:[AwayTeam]],$T2, Table2[[HomeTeam]:[HomeTeam]], AQ$1) + SUMIFS(Table2[[HomeWon_]:[HomeWon_]], Table2[[GameIsOver]:[GameIsOver]],1,Table2[[HomeTeam]:[HomeTeam]],$T2, Table2[[AwayTeam]:[AwayTeam]], AQ$1))) + (0*(SUMIFS(Table2[[HomeWon_]:[HomeWon_]], Table2[[GameIsOver]:[GameIsOver]],1,Table2[[AwayTeam]:[AwayTeam]],$T2, Table2[[HomeTeam]:[HomeTeam]], AQ$1, Table2[[ActualResult]:[ActualResult]], "REG") + SUMIFS(Table2[[AwayWon]:[AwayWon]], Table2[[GameIsOver]:[GameIsOver]],1,Table2[[HomeTeam]:[HomeTeam]],$T2, Table2[[AwayTeam]:[AwayTeam]], AQ$1, Table2[[ActualResult]:[ActualResult]], "REG"))) + (1*(SUMIFS(Table2[[HomeWon_]:[HomeWon_]], Table2[[GameIsOver]:[GameIsOver]],1,Table2[[AwayTeam]:[AwayTeam]],$T2, Table2[[HomeTeam]:[HomeTeam]], AQ$1, Table2[[ActualResult]:[ActualResult]], "OT") + SUMIFS(Table2[[AwayWon]:[AwayWon]], Table2[[GameIsOver]:[GameIsOver]],1,Table2[[HomeTeam]:[HomeTeam]],$T2, Table2[[AwayTeam]:[AwayTeam]], AQ$1, Table2[[ActualResult]:[ActualResult]], "OT") + SUMIFS(Table2[[HomeWon_]:[HomeWon_]], Table2[[GameIsOver]:[GameIsOver]],1,Table2[[AwayTeam]:[AwayTeam]],$T2, Table2[[HomeTeam]:[HomeTeam]], AQ$1, Table2[[ActualResult]:[ActualResult]], "SO") + SUMIFS(Table2[[AwayWon]:[AwayWon]], Table2[[GameIsOver]:[GameIsOver]],1,Table2[[HomeTeam]:[HomeTeam]],$T2, Table2[[AwayTeam]:[AwayTeam]], AQ$1, Table2[[ActualResult]:[ActualResult]], "SO")))</calculatedColumnFormula>
    </tableColumn>
    <tableColumn id="26" xr3:uid="{31B96528-E8EC-420E-BE3E-FB58FA550464}" name="PIT" dataDxfId="161">
      <calculatedColumnFormula>(2*(SUMIFS(Table2[[AwayWon]:[AwayWon]], Table2[[GameIsOver]:[GameIsOver]],1,Table2[[AwayTeam]:[AwayTeam]],$T2, Table2[[HomeTeam]:[HomeTeam]], AR$1) + SUMIFS(Table2[[HomeWon_]:[HomeWon_]], Table2[[GameIsOver]:[GameIsOver]],1,Table2[[HomeTeam]:[HomeTeam]],$T2, Table2[[AwayTeam]:[AwayTeam]], AR$1))) + (0*(SUMIFS(Table2[[HomeWon_]:[HomeWon_]], Table2[[GameIsOver]:[GameIsOver]],1,Table2[[AwayTeam]:[AwayTeam]],$T2, Table2[[HomeTeam]:[HomeTeam]], AR$1, Table2[[ActualResult]:[ActualResult]], "REG") + SUMIFS(Table2[[AwayWon]:[AwayWon]], Table2[[GameIsOver]:[GameIsOver]],1,Table2[[HomeTeam]:[HomeTeam]],$T2, Table2[[AwayTeam]:[AwayTeam]], AR$1, Table2[[ActualResult]:[ActualResult]], "REG"))) + (1*(SUMIFS(Table2[[HomeWon_]:[HomeWon_]], Table2[[GameIsOver]:[GameIsOver]],1,Table2[[AwayTeam]:[AwayTeam]],$T2, Table2[[HomeTeam]:[HomeTeam]], AR$1, Table2[[ActualResult]:[ActualResult]], "OT") + SUMIFS(Table2[[AwayWon]:[AwayWon]], Table2[[GameIsOver]:[GameIsOver]],1,Table2[[HomeTeam]:[HomeTeam]],$T2, Table2[[AwayTeam]:[AwayTeam]], AR$1, Table2[[ActualResult]:[ActualResult]], "OT") + SUMIFS(Table2[[HomeWon_]:[HomeWon_]], Table2[[GameIsOver]:[GameIsOver]],1,Table2[[AwayTeam]:[AwayTeam]],$T2, Table2[[HomeTeam]:[HomeTeam]], AR$1, Table2[[ActualResult]:[ActualResult]], "SO") + SUMIFS(Table2[[AwayWon]:[AwayWon]], Table2[[GameIsOver]:[GameIsOver]],1,Table2[[HomeTeam]:[HomeTeam]],$T2, Table2[[AwayTeam]:[AwayTeam]], AR$1, Table2[[ActualResult]:[ActualResult]], "SO")))</calculatedColumnFormula>
    </tableColumn>
    <tableColumn id="27" xr3:uid="{C83BDDCE-1165-4684-9B56-DE35551B0E60}" name="WSH" dataDxfId="160">
      <calculatedColumnFormula>(2*(SUMIFS(Table2[[AwayWon]:[AwayWon]], Table2[[GameIsOver]:[GameIsOver]],1,Table2[[AwayTeam]:[AwayTeam]],$T2, Table2[[HomeTeam]:[HomeTeam]], AS$1) + SUMIFS(Table2[[HomeWon_]:[HomeWon_]], Table2[[GameIsOver]:[GameIsOver]],1,Table2[[HomeTeam]:[HomeTeam]],$T2, Table2[[AwayTeam]:[AwayTeam]], AS$1))) + (0*(SUMIFS(Table2[[HomeWon_]:[HomeWon_]], Table2[[GameIsOver]:[GameIsOver]],1,Table2[[AwayTeam]:[AwayTeam]],$T2, Table2[[HomeTeam]:[HomeTeam]], AS$1, Table2[[ActualResult]:[ActualResult]], "REG") + SUMIFS(Table2[[AwayWon]:[AwayWon]], Table2[[GameIsOver]:[GameIsOver]],1,Table2[[HomeTeam]:[HomeTeam]],$T2, Table2[[AwayTeam]:[AwayTeam]], AS$1, Table2[[ActualResult]:[ActualResult]], "REG"))) + (1*(SUMIFS(Table2[[HomeWon_]:[HomeWon_]], Table2[[GameIsOver]:[GameIsOver]],1,Table2[[AwayTeam]:[AwayTeam]],$T2, Table2[[HomeTeam]:[HomeTeam]], AS$1, Table2[[ActualResult]:[ActualResult]], "OT") + SUMIFS(Table2[[AwayWon]:[AwayWon]], Table2[[GameIsOver]:[GameIsOver]],1,Table2[[HomeTeam]:[HomeTeam]],$T2, Table2[[AwayTeam]:[AwayTeam]], AS$1, Table2[[ActualResult]:[ActualResult]], "OT") + SUMIFS(Table2[[HomeWon_]:[HomeWon_]], Table2[[GameIsOver]:[GameIsOver]],1,Table2[[AwayTeam]:[AwayTeam]],$T2, Table2[[HomeTeam]:[HomeTeam]], AS$1, Table2[[ActualResult]:[ActualResult]], "SO") + SUMIFS(Table2[[AwayWon]:[AwayWon]], Table2[[GameIsOver]:[GameIsOver]],1,Table2[[HomeTeam]:[HomeTeam]],$T2, Table2[[AwayTeam]:[AwayTeam]], AS$1, Table2[[ActualResult]:[ActualResult]], "SO")))</calculatedColumnFormula>
    </tableColumn>
    <tableColumn id="28" xr3:uid="{D8FCCF0D-9762-42EB-A8EF-A66D3DBD381A}" name="BOS" dataDxfId="159">
      <calculatedColumnFormula>(2*(SUMIFS(Table2[[AwayWon]:[AwayWon]], Table2[[GameIsOver]:[GameIsOver]],1,Table2[[AwayTeam]:[AwayTeam]],$T2, Table2[[HomeTeam]:[HomeTeam]], AT$1) + SUMIFS(Table2[[HomeWon_]:[HomeWon_]], Table2[[GameIsOver]:[GameIsOver]],1,Table2[[HomeTeam]:[HomeTeam]],$T2, Table2[[AwayTeam]:[AwayTeam]], AT$1))) + (0*(SUMIFS(Table2[[HomeWon_]:[HomeWon_]], Table2[[GameIsOver]:[GameIsOver]],1,Table2[[AwayTeam]:[AwayTeam]],$T2, Table2[[HomeTeam]:[HomeTeam]], AT$1, Table2[[ActualResult]:[ActualResult]], "REG") + SUMIFS(Table2[[AwayWon]:[AwayWon]], Table2[[GameIsOver]:[GameIsOver]],1,Table2[[HomeTeam]:[HomeTeam]],$T2, Table2[[AwayTeam]:[AwayTeam]], AT$1, Table2[[ActualResult]:[ActualResult]], "REG"))) + (1*(SUMIFS(Table2[[HomeWon_]:[HomeWon_]], Table2[[GameIsOver]:[GameIsOver]],1,Table2[[AwayTeam]:[AwayTeam]],$T2, Table2[[HomeTeam]:[HomeTeam]], AT$1, Table2[[ActualResult]:[ActualResult]], "OT") + SUMIFS(Table2[[AwayWon]:[AwayWon]], Table2[[GameIsOver]:[GameIsOver]],1,Table2[[HomeTeam]:[HomeTeam]],$T2, Table2[[AwayTeam]:[AwayTeam]], AT$1, Table2[[ActualResult]:[ActualResult]], "OT") + SUMIFS(Table2[[HomeWon_]:[HomeWon_]], Table2[[GameIsOver]:[GameIsOver]],1,Table2[[AwayTeam]:[AwayTeam]],$T2, Table2[[HomeTeam]:[HomeTeam]], AT$1, Table2[[ActualResult]:[ActualResult]], "SO") + SUMIFS(Table2[[AwayWon]:[AwayWon]], Table2[[GameIsOver]:[GameIsOver]],1,Table2[[HomeTeam]:[HomeTeam]],$T2, Table2[[AwayTeam]:[AwayTeam]], AT$1, Table2[[ActualResult]:[ActualResult]], "SO")))</calculatedColumnFormula>
    </tableColumn>
    <tableColumn id="29" xr3:uid="{95FC69E8-A83B-4239-A992-7AC9A69E2BD3}" name="BUF" dataDxfId="158">
      <calculatedColumnFormula>(2*(SUMIFS(Table2[[AwayWon]:[AwayWon]], Table2[[GameIsOver]:[GameIsOver]],1,Table2[[AwayTeam]:[AwayTeam]],$T2, Table2[[HomeTeam]:[HomeTeam]], AU$1) + SUMIFS(Table2[[HomeWon_]:[HomeWon_]], Table2[[GameIsOver]:[GameIsOver]],1,Table2[[HomeTeam]:[HomeTeam]],$T2, Table2[[AwayTeam]:[AwayTeam]], AU$1))) + (0*(SUMIFS(Table2[[HomeWon_]:[HomeWon_]], Table2[[GameIsOver]:[GameIsOver]],1,Table2[[AwayTeam]:[AwayTeam]],$T2, Table2[[HomeTeam]:[HomeTeam]], AU$1, Table2[[ActualResult]:[ActualResult]], "REG") + SUMIFS(Table2[[AwayWon]:[AwayWon]], Table2[[GameIsOver]:[GameIsOver]],1,Table2[[HomeTeam]:[HomeTeam]],$T2, Table2[[AwayTeam]:[AwayTeam]], AU$1, Table2[[ActualResult]:[ActualResult]], "REG"))) + (1*(SUMIFS(Table2[[HomeWon_]:[HomeWon_]], Table2[[GameIsOver]:[GameIsOver]],1,Table2[[AwayTeam]:[AwayTeam]],$T2, Table2[[HomeTeam]:[HomeTeam]], AU$1, Table2[[ActualResult]:[ActualResult]], "OT") + SUMIFS(Table2[[AwayWon]:[AwayWon]], Table2[[GameIsOver]:[GameIsOver]],1,Table2[[HomeTeam]:[HomeTeam]],$T2, Table2[[AwayTeam]:[AwayTeam]], AU$1, Table2[[ActualResult]:[ActualResult]], "OT") + SUMIFS(Table2[[HomeWon_]:[HomeWon_]], Table2[[GameIsOver]:[GameIsOver]],1,Table2[[AwayTeam]:[AwayTeam]],$T2, Table2[[HomeTeam]:[HomeTeam]], AU$1, Table2[[ActualResult]:[ActualResult]], "SO") + SUMIFS(Table2[[AwayWon]:[AwayWon]], Table2[[GameIsOver]:[GameIsOver]],1,Table2[[HomeTeam]:[HomeTeam]],$T2, Table2[[AwayTeam]:[AwayTeam]], AU$1, Table2[[ActualResult]:[ActualResult]], "SO")))</calculatedColumnFormula>
    </tableColumn>
    <tableColumn id="30" xr3:uid="{A8F739CA-49E2-4EA9-8F3F-14D92FBD5182}" name="DET" dataDxfId="157">
      <calculatedColumnFormula>(2*(SUMIFS(Table2[[AwayWon]:[AwayWon]], Table2[[GameIsOver]:[GameIsOver]],1,Table2[[AwayTeam]:[AwayTeam]],$T2, Table2[[HomeTeam]:[HomeTeam]], AV$1) + SUMIFS(Table2[[HomeWon_]:[HomeWon_]], Table2[[GameIsOver]:[GameIsOver]],1,Table2[[HomeTeam]:[HomeTeam]],$T2, Table2[[AwayTeam]:[AwayTeam]], AV$1))) + (0*(SUMIFS(Table2[[HomeWon_]:[HomeWon_]], Table2[[GameIsOver]:[GameIsOver]],1,Table2[[AwayTeam]:[AwayTeam]],$T2, Table2[[HomeTeam]:[HomeTeam]], AV$1, Table2[[ActualResult]:[ActualResult]], "REG") + SUMIFS(Table2[[AwayWon]:[AwayWon]], Table2[[GameIsOver]:[GameIsOver]],1,Table2[[HomeTeam]:[HomeTeam]],$T2, Table2[[AwayTeam]:[AwayTeam]], AV$1, Table2[[ActualResult]:[ActualResult]], "REG"))) + (1*(SUMIFS(Table2[[HomeWon_]:[HomeWon_]], Table2[[GameIsOver]:[GameIsOver]],1,Table2[[AwayTeam]:[AwayTeam]],$T2, Table2[[HomeTeam]:[HomeTeam]], AV$1, Table2[[ActualResult]:[ActualResult]], "OT") + SUMIFS(Table2[[AwayWon]:[AwayWon]], Table2[[GameIsOver]:[GameIsOver]],1,Table2[[HomeTeam]:[HomeTeam]],$T2, Table2[[AwayTeam]:[AwayTeam]], AV$1, Table2[[ActualResult]:[ActualResult]], "OT") + SUMIFS(Table2[[HomeWon_]:[HomeWon_]], Table2[[GameIsOver]:[GameIsOver]],1,Table2[[AwayTeam]:[AwayTeam]],$T2, Table2[[HomeTeam]:[HomeTeam]], AV$1, Table2[[ActualResult]:[ActualResult]], "SO") + SUMIFS(Table2[[AwayWon]:[AwayWon]], Table2[[GameIsOver]:[GameIsOver]],1,Table2[[HomeTeam]:[HomeTeam]],$T2, Table2[[AwayTeam]:[AwayTeam]], AV$1, Table2[[ActualResult]:[ActualResult]], "SO")))</calculatedColumnFormula>
    </tableColumn>
    <tableColumn id="31" xr3:uid="{45EE9027-A38C-4118-B212-36D96C265058}" name="FLA" dataDxfId="156">
      <calculatedColumnFormula>(2*(SUMIFS(Table2[[AwayWon]:[AwayWon]], Table2[[GameIsOver]:[GameIsOver]],1,Table2[[AwayTeam]:[AwayTeam]],$T2, Table2[[HomeTeam]:[HomeTeam]], AW$1) + SUMIFS(Table2[[HomeWon_]:[HomeWon_]], Table2[[GameIsOver]:[GameIsOver]],1,Table2[[HomeTeam]:[HomeTeam]],$T2, Table2[[AwayTeam]:[AwayTeam]], AW$1))) + (0*(SUMIFS(Table2[[HomeWon_]:[HomeWon_]], Table2[[GameIsOver]:[GameIsOver]],1,Table2[[AwayTeam]:[AwayTeam]],$T2, Table2[[HomeTeam]:[HomeTeam]], AW$1, Table2[[ActualResult]:[ActualResult]], "REG") + SUMIFS(Table2[[AwayWon]:[AwayWon]], Table2[[GameIsOver]:[GameIsOver]],1,Table2[[HomeTeam]:[HomeTeam]],$T2, Table2[[AwayTeam]:[AwayTeam]], AW$1, Table2[[ActualResult]:[ActualResult]], "REG"))) + (1*(SUMIFS(Table2[[HomeWon_]:[HomeWon_]], Table2[[GameIsOver]:[GameIsOver]],1,Table2[[AwayTeam]:[AwayTeam]],$T2, Table2[[HomeTeam]:[HomeTeam]], AW$1, Table2[[ActualResult]:[ActualResult]], "OT") + SUMIFS(Table2[[AwayWon]:[AwayWon]], Table2[[GameIsOver]:[GameIsOver]],1,Table2[[HomeTeam]:[HomeTeam]],$T2, Table2[[AwayTeam]:[AwayTeam]], AW$1, Table2[[ActualResult]:[ActualResult]], "OT") + SUMIFS(Table2[[HomeWon_]:[HomeWon_]], Table2[[GameIsOver]:[GameIsOver]],1,Table2[[AwayTeam]:[AwayTeam]],$T2, Table2[[HomeTeam]:[HomeTeam]], AW$1, Table2[[ActualResult]:[ActualResult]], "SO") + SUMIFS(Table2[[AwayWon]:[AwayWon]], Table2[[GameIsOver]:[GameIsOver]],1,Table2[[HomeTeam]:[HomeTeam]],$T2, Table2[[AwayTeam]:[AwayTeam]], AW$1, Table2[[ActualResult]:[ActualResult]], "SO")))</calculatedColumnFormula>
    </tableColumn>
    <tableColumn id="32" xr3:uid="{2D04AEBC-9388-4785-A0AE-2622BA830FBC}" name="MTL" dataDxfId="155">
      <calculatedColumnFormula>(2*(SUMIFS(Table2[[AwayWon]:[AwayWon]], Table2[[GameIsOver]:[GameIsOver]],1,Table2[[AwayTeam]:[AwayTeam]],$T2, Table2[[HomeTeam]:[HomeTeam]], AX$1) + SUMIFS(Table2[[HomeWon_]:[HomeWon_]], Table2[[GameIsOver]:[GameIsOver]],1,Table2[[HomeTeam]:[HomeTeam]],$T2, Table2[[AwayTeam]:[AwayTeam]], AX$1))) + (0*(SUMIFS(Table2[[HomeWon_]:[HomeWon_]], Table2[[GameIsOver]:[GameIsOver]],1,Table2[[AwayTeam]:[AwayTeam]],$T2, Table2[[HomeTeam]:[HomeTeam]], AX$1, Table2[[ActualResult]:[ActualResult]], "REG") + SUMIFS(Table2[[AwayWon]:[AwayWon]], Table2[[GameIsOver]:[GameIsOver]],1,Table2[[HomeTeam]:[HomeTeam]],$T2, Table2[[AwayTeam]:[AwayTeam]], AX$1, Table2[[ActualResult]:[ActualResult]], "REG"))) + (1*(SUMIFS(Table2[[HomeWon_]:[HomeWon_]], Table2[[GameIsOver]:[GameIsOver]],1,Table2[[AwayTeam]:[AwayTeam]],$T2, Table2[[HomeTeam]:[HomeTeam]], AX$1, Table2[[ActualResult]:[ActualResult]], "OT") + SUMIFS(Table2[[AwayWon]:[AwayWon]], Table2[[GameIsOver]:[GameIsOver]],1,Table2[[HomeTeam]:[HomeTeam]],$T2, Table2[[AwayTeam]:[AwayTeam]], AX$1, Table2[[ActualResult]:[ActualResult]], "OT") + SUMIFS(Table2[[HomeWon_]:[HomeWon_]], Table2[[GameIsOver]:[GameIsOver]],1,Table2[[AwayTeam]:[AwayTeam]],$T2, Table2[[HomeTeam]:[HomeTeam]], AX$1, Table2[[ActualResult]:[ActualResult]], "SO") + SUMIFS(Table2[[AwayWon]:[AwayWon]], Table2[[GameIsOver]:[GameIsOver]],1,Table2[[HomeTeam]:[HomeTeam]],$T2, Table2[[AwayTeam]:[AwayTeam]], AX$1, Table2[[ActualResult]:[ActualResult]], "SO")))</calculatedColumnFormula>
    </tableColumn>
    <tableColumn id="33" xr3:uid="{317A05E8-2B6D-423A-BF57-91DD3F8DD57F}" name="OTT" dataDxfId="154">
      <calculatedColumnFormula>(2*(SUMIFS(Table2[[AwayWon]:[AwayWon]], Table2[[GameIsOver]:[GameIsOver]],1,Table2[[AwayTeam]:[AwayTeam]],$T2, Table2[[HomeTeam]:[HomeTeam]], AY$1) + SUMIFS(Table2[[HomeWon_]:[HomeWon_]], Table2[[GameIsOver]:[GameIsOver]],1,Table2[[HomeTeam]:[HomeTeam]],$T2, Table2[[AwayTeam]:[AwayTeam]], AY$1))) + (0*(SUMIFS(Table2[[HomeWon_]:[HomeWon_]], Table2[[GameIsOver]:[GameIsOver]],1,Table2[[AwayTeam]:[AwayTeam]],$T2, Table2[[HomeTeam]:[HomeTeam]], AY$1, Table2[[ActualResult]:[ActualResult]], "REG") + SUMIFS(Table2[[AwayWon]:[AwayWon]], Table2[[GameIsOver]:[GameIsOver]],1,Table2[[HomeTeam]:[HomeTeam]],$T2, Table2[[AwayTeam]:[AwayTeam]], AY$1, Table2[[ActualResult]:[ActualResult]], "REG"))) + (1*(SUMIFS(Table2[[HomeWon_]:[HomeWon_]], Table2[[GameIsOver]:[GameIsOver]],1,Table2[[AwayTeam]:[AwayTeam]],$T2, Table2[[HomeTeam]:[HomeTeam]], AY$1, Table2[[ActualResult]:[ActualResult]], "OT") + SUMIFS(Table2[[AwayWon]:[AwayWon]], Table2[[GameIsOver]:[GameIsOver]],1,Table2[[HomeTeam]:[HomeTeam]],$T2, Table2[[AwayTeam]:[AwayTeam]], AY$1, Table2[[ActualResult]:[ActualResult]], "OT") + SUMIFS(Table2[[HomeWon_]:[HomeWon_]], Table2[[GameIsOver]:[GameIsOver]],1,Table2[[AwayTeam]:[AwayTeam]],$T2, Table2[[HomeTeam]:[HomeTeam]], AY$1, Table2[[ActualResult]:[ActualResult]], "SO") + SUMIFS(Table2[[AwayWon]:[AwayWon]], Table2[[GameIsOver]:[GameIsOver]],1,Table2[[HomeTeam]:[HomeTeam]],$T2, Table2[[AwayTeam]:[AwayTeam]], AY$1, Table2[[ActualResult]:[ActualResult]], "SO")))</calculatedColumnFormula>
    </tableColumn>
    <tableColumn id="34" xr3:uid="{D344D931-51BF-4DDC-9E5E-1E1B15BFFD59}" name="TBL" dataDxfId="153">
      <calculatedColumnFormula>(2*(SUMIFS(Table2[[AwayWon]:[AwayWon]], Table2[[GameIsOver]:[GameIsOver]],1,Table2[[AwayTeam]:[AwayTeam]],$T2, Table2[[HomeTeam]:[HomeTeam]], AZ$1) + SUMIFS(Table2[[HomeWon_]:[HomeWon_]], Table2[[GameIsOver]:[GameIsOver]],1,Table2[[HomeTeam]:[HomeTeam]],$T2, Table2[[AwayTeam]:[AwayTeam]], AZ$1))) + (0*(SUMIFS(Table2[[HomeWon_]:[HomeWon_]], Table2[[GameIsOver]:[GameIsOver]],1,Table2[[AwayTeam]:[AwayTeam]],$T2, Table2[[HomeTeam]:[HomeTeam]], AZ$1, Table2[[ActualResult]:[ActualResult]], "REG") + SUMIFS(Table2[[AwayWon]:[AwayWon]], Table2[[GameIsOver]:[GameIsOver]],1,Table2[[HomeTeam]:[HomeTeam]],$T2, Table2[[AwayTeam]:[AwayTeam]], AZ$1, Table2[[ActualResult]:[ActualResult]], "REG"))) + (1*(SUMIFS(Table2[[HomeWon_]:[HomeWon_]], Table2[[GameIsOver]:[GameIsOver]],1,Table2[[AwayTeam]:[AwayTeam]],$T2, Table2[[HomeTeam]:[HomeTeam]], AZ$1, Table2[[ActualResult]:[ActualResult]], "OT") + SUMIFS(Table2[[AwayWon]:[AwayWon]], Table2[[GameIsOver]:[GameIsOver]],1,Table2[[HomeTeam]:[HomeTeam]],$T2, Table2[[AwayTeam]:[AwayTeam]], AZ$1, Table2[[ActualResult]:[ActualResult]], "OT") + SUMIFS(Table2[[HomeWon_]:[HomeWon_]], Table2[[GameIsOver]:[GameIsOver]],1,Table2[[AwayTeam]:[AwayTeam]],$T2, Table2[[HomeTeam]:[HomeTeam]], AZ$1, Table2[[ActualResult]:[ActualResult]], "SO") + SUMIFS(Table2[[AwayWon]:[AwayWon]], Table2[[GameIsOver]:[GameIsOver]],1,Table2[[HomeTeam]:[HomeTeam]],$T2, Table2[[AwayTeam]:[AwayTeam]], AZ$1, Table2[[ActualResult]:[ActualResult]], "SO")))</calculatedColumnFormula>
    </tableColumn>
    <tableColumn id="35" xr3:uid="{C46F1236-0134-4CC2-B418-58DBDF12A372}" name="TOR" dataDxfId="152">
      <calculatedColumnFormula>(2*(SUMIFS(Table2[[AwayWon]:[AwayWon]], Table2[[GameIsOver]:[GameIsOver]],1,Table2[[AwayTeam]:[AwayTeam]],$T2, Table2[[HomeTeam]:[HomeTeam]], BA$1) + SUMIFS(Table2[[HomeWon_]:[HomeWon_]], Table2[[GameIsOver]:[GameIsOver]],1,Table2[[HomeTeam]:[HomeTeam]],$T2, Table2[[AwayTeam]:[AwayTeam]], BA$1))) + (0*(SUMIFS(Table2[[HomeWon_]:[HomeWon_]], Table2[[GameIsOver]:[GameIsOver]],1,Table2[[AwayTeam]:[AwayTeam]],$T2, Table2[[HomeTeam]:[HomeTeam]], BA$1, Table2[[ActualResult]:[ActualResult]], "REG") + SUMIFS(Table2[[AwayWon]:[AwayWon]], Table2[[GameIsOver]:[GameIsOver]],1,Table2[[HomeTeam]:[HomeTeam]],$T2, Table2[[AwayTeam]:[AwayTeam]], BA$1, Table2[[ActualResult]:[ActualResult]], "REG"))) + (1*(SUMIFS(Table2[[HomeWon_]:[HomeWon_]], Table2[[GameIsOver]:[GameIsOver]],1,Table2[[AwayTeam]:[AwayTeam]],$T2, Table2[[HomeTeam]:[HomeTeam]], BA$1, Table2[[ActualResult]:[ActualResult]], "OT") + SUMIFS(Table2[[AwayWon]:[AwayWon]], Table2[[GameIsOver]:[GameIsOver]],1,Table2[[HomeTeam]:[HomeTeam]],$T2, Table2[[AwayTeam]:[AwayTeam]], BA$1, Table2[[ActualResult]:[ActualResult]], "OT") + SUMIFS(Table2[[HomeWon_]:[HomeWon_]], Table2[[GameIsOver]:[GameIsOver]],1,Table2[[AwayTeam]:[AwayTeam]],$T2, Table2[[HomeTeam]:[HomeTeam]], BA$1, Table2[[ActualResult]:[ActualResult]], "SO") + SUMIFS(Table2[[AwayWon]:[AwayWon]], Table2[[GameIsOver]:[GameIsOver]],1,Table2[[HomeTeam]:[HomeTeam]],$T2, Table2[[AwayTeam]:[AwayTeam]], BA$1, Table2[[ActualResult]:[ActualResult]], "SO")))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83E1625-0C10-4461-8364-8D06B870A4DC}" name="Table710" displayName="Table710" ref="S11:BA19" totalsRowShown="0">
  <autoFilter ref="S11:BA19" xr:uid="{A83E1625-0C10-4461-8364-8D06B870A4DC}"/>
  <sortState xmlns:xlrd2="http://schemas.microsoft.com/office/spreadsheetml/2017/richdata2" ref="S12:BA19">
    <sortCondition descending="1" ref="U11:U19"/>
  </sortState>
  <tableColumns count="35">
    <tableColumn id="1" xr3:uid="{08D42834-AA50-4644-8EE1-507E2EBFA795}" name="CEN"/>
    <tableColumn id="2" xr3:uid="{0F45857A-B4C8-40EA-B0FC-6867106189D5}" name="Teams" dataDxfId="151">
      <calculatedColumnFormula array="1">INDEX(Table6[Teams], SMALL(IF(Table6[D]="C", ROW(Table6[Teams])-ROW(Table6[#Headers])), Table710[[#This Row],[CEN]]))</calculatedColumnFormula>
    </tableColumn>
    <tableColumn id="3" xr3:uid="{A603BC50-A1C5-4095-B35A-F55ABF3FC99A}" name="Pts" dataDxfId="150">
      <calculatedColumnFormula>INDEX(Table6[PTS], MATCH($T12, Table6[Teams], 0))</calculatedColumnFormula>
    </tableColumn>
    <tableColumn id="4" xr3:uid="{DA5E44C6-FE41-47EF-8152-7A78B5002053}" name="ANA" dataDxfId="149">
      <calculatedColumnFormula>(2*(SUMIFS(Table2[[AwayWon]:[AwayWon]], Table2[[GameIsOver]:[GameIsOver]],1,Table2[[AwayTeam]:[AwayTeam]],$T12, Table2[[HomeTeam]:[HomeTeam]], V$11) + SUMIFS(Table2[[HomeWon_]:[HomeWon_]], Table2[[GameIsOver]:[GameIsOver]],1,Table2[[HomeTeam]:[HomeTeam]],$T12, Table2[[AwayTeam]:[AwayTeam]], V$11))) + (0*(SUMIFS(Table2[[HomeWon_]:[HomeWon_]], Table2[[GameIsOver]:[GameIsOver]],1,Table2[[AwayTeam]:[AwayTeam]],$T12, Table2[[HomeTeam]:[HomeTeam]], V$11, Table2[[ActualResult]:[ActualResult]], "REG") + SUMIFS(Table2[[AwayWon]:[AwayWon]], Table2[[GameIsOver]:[GameIsOver]],1,Table2[[HomeTeam]:[HomeTeam]],$T12, Table2[[AwayTeam]:[AwayTeam]], V$11, Table2[[ActualResult]:[ActualResult]], "REG"))) + (1*(SUMIFS(Table2[[HomeWon_]:[HomeWon_]], Table2[[GameIsOver]:[GameIsOver]],1,Table2[[AwayTeam]:[AwayTeam]],$T12, Table2[[HomeTeam]:[HomeTeam]], V$11, Table2[[ActualResult]:[ActualResult]], "OT") + SUMIFS(Table2[[AwayWon]:[AwayWon]], Table2[[GameIsOver]:[GameIsOver]],1,Table2[[HomeTeam]:[HomeTeam]],$T12, Table2[[AwayTeam]:[AwayTeam]], V$11, Table2[[ActualResult]:[ActualResult]], "OT") + SUMIFS(Table2[[HomeWon_]:[HomeWon_]], Table2[[GameIsOver]:[GameIsOver]],1,Table2[[AwayTeam]:[AwayTeam]],$T12, Table2[[HomeTeam]:[HomeTeam]], V$11, Table2[[ActualResult]:[ActualResult]], "SO") + SUMIFS(Table2[[AwayWon]:[AwayWon]], Table2[[GameIsOver]:[GameIsOver]],1,Table2[[HomeTeam]:[HomeTeam]],$T12, Table2[[AwayTeam]:[AwayTeam]], V$11, Table2[[ActualResult]:[ActualResult]], "SO")))</calculatedColumnFormula>
    </tableColumn>
    <tableColumn id="5" xr3:uid="{2086B38E-767D-4B52-BB42-7A5A02A0800F}" name="CGY" dataDxfId="148">
      <calculatedColumnFormula>(2*(SUMIFS(Table2[[AwayWon]:[AwayWon]], Table2[[GameIsOver]:[GameIsOver]],1,Table2[[AwayTeam]:[AwayTeam]],$T12, Table2[[HomeTeam]:[HomeTeam]], W$11) + SUMIFS(Table2[[HomeWon_]:[HomeWon_]], Table2[[GameIsOver]:[GameIsOver]],1,Table2[[HomeTeam]:[HomeTeam]],$T12, Table2[[AwayTeam]:[AwayTeam]], W$11))) + (0*(SUMIFS(Table2[[HomeWon_]:[HomeWon_]], Table2[[GameIsOver]:[GameIsOver]],1,Table2[[AwayTeam]:[AwayTeam]],$T12, Table2[[HomeTeam]:[HomeTeam]], W$11, Table2[[ActualResult]:[ActualResult]], "REG") + SUMIFS(Table2[[AwayWon]:[AwayWon]], Table2[[GameIsOver]:[GameIsOver]],1,Table2[[HomeTeam]:[HomeTeam]],$T12, Table2[[AwayTeam]:[AwayTeam]], W$11, Table2[[ActualResult]:[ActualResult]], "REG"))) + (1*(SUMIFS(Table2[[HomeWon_]:[HomeWon_]], Table2[[GameIsOver]:[GameIsOver]],1,Table2[[AwayTeam]:[AwayTeam]],$T12, Table2[[HomeTeam]:[HomeTeam]], W$11, Table2[[ActualResult]:[ActualResult]], "OT") + SUMIFS(Table2[[AwayWon]:[AwayWon]], Table2[[GameIsOver]:[GameIsOver]],1,Table2[[HomeTeam]:[HomeTeam]],$T12, Table2[[AwayTeam]:[AwayTeam]], W$11, Table2[[ActualResult]:[ActualResult]], "OT") + SUMIFS(Table2[[HomeWon_]:[HomeWon_]], Table2[[GameIsOver]:[GameIsOver]],1,Table2[[AwayTeam]:[AwayTeam]],$T12, Table2[[HomeTeam]:[HomeTeam]], W$11, Table2[[ActualResult]:[ActualResult]], "SO") + SUMIFS(Table2[[AwayWon]:[AwayWon]], Table2[[GameIsOver]:[GameIsOver]],1,Table2[[HomeTeam]:[HomeTeam]],$T12, Table2[[AwayTeam]:[AwayTeam]], W$11, Table2[[ActualResult]:[ActualResult]], "SO")))</calculatedColumnFormula>
    </tableColumn>
    <tableColumn id="6" xr3:uid="{C2AF8514-B5BD-4444-AD00-2E40E77C4E06}" name="EDM" dataDxfId="147">
      <calculatedColumnFormula>(2*(SUMIFS(Table2[[AwayWon]:[AwayWon]], Table2[[GameIsOver]:[GameIsOver]],1,Table2[[AwayTeam]:[AwayTeam]],$T12, Table2[[HomeTeam]:[HomeTeam]], X$11) + SUMIFS(Table2[[HomeWon_]:[HomeWon_]], Table2[[GameIsOver]:[GameIsOver]],1,Table2[[HomeTeam]:[HomeTeam]],$T12, Table2[[AwayTeam]:[AwayTeam]], X$11))) + (0*(SUMIFS(Table2[[HomeWon_]:[HomeWon_]], Table2[[GameIsOver]:[GameIsOver]],1,Table2[[AwayTeam]:[AwayTeam]],$T12, Table2[[HomeTeam]:[HomeTeam]], X$11, Table2[[ActualResult]:[ActualResult]], "REG") + SUMIFS(Table2[[AwayWon]:[AwayWon]], Table2[[GameIsOver]:[GameIsOver]],1,Table2[[HomeTeam]:[HomeTeam]],$T12, Table2[[AwayTeam]:[AwayTeam]], X$11, Table2[[ActualResult]:[ActualResult]], "REG"))) + (1*(SUMIFS(Table2[[HomeWon_]:[HomeWon_]], Table2[[GameIsOver]:[GameIsOver]],1,Table2[[AwayTeam]:[AwayTeam]],$T12, Table2[[HomeTeam]:[HomeTeam]], X$11, Table2[[ActualResult]:[ActualResult]], "OT") + SUMIFS(Table2[[AwayWon]:[AwayWon]], Table2[[GameIsOver]:[GameIsOver]],1,Table2[[HomeTeam]:[HomeTeam]],$T12, Table2[[AwayTeam]:[AwayTeam]], X$11, Table2[[ActualResult]:[ActualResult]], "OT") + SUMIFS(Table2[[HomeWon_]:[HomeWon_]], Table2[[GameIsOver]:[GameIsOver]],1,Table2[[AwayTeam]:[AwayTeam]],$T12, Table2[[HomeTeam]:[HomeTeam]], X$11, Table2[[ActualResult]:[ActualResult]], "SO") + SUMIFS(Table2[[AwayWon]:[AwayWon]], Table2[[GameIsOver]:[GameIsOver]],1,Table2[[HomeTeam]:[HomeTeam]],$T12, Table2[[AwayTeam]:[AwayTeam]], X$11, Table2[[ActualResult]:[ActualResult]], "SO")))</calculatedColumnFormula>
    </tableColumn>
    <tableColumn id="7" xr3:uid="{30D77BC6-99AA-4BCF-AA4E-C82263AF653E}" name="LAK" dataDxfId="146">
      <calculatedColumnFormula>(2*(SUMIFS(Table2[[AwayWon]:[AwayWon]], Table2[[GameIsOver]:[GameIsOver]],1,Table2[[AwayTeam]:[AwayTeam]],$T12, Table2[[HomeTeam]:[HomeTeam]], Y$11) + SUMIFS(Table2[[HomeWon_]:[HomeWon_]], Table2[[GameIsOver]:[GameIsOver]],1,Table2[[HomeTeam]:[HomeTeam]],$T12, Table2[[AwayTeam]:[AwayTeam]], Y$11))) + (0*(SUMIFS(Table2[[HomeWon_]:[HomeWon_]], Table2[[GameIsOver]:[GameIsOver]],1,Table2[[AwayTeam]:[AwayTeam]],$T12, Table2[[HomeTeam]:[HomeTeam]], Y$11, Table2[[ActualResult]:[ActualResult]], "REG") + SUMIFS(Table2[[AwayWon]:[AwayWon]], Table2[[GameIsOver]:[GameIsOver]],1,Table2[[HomeTeam]:[HomeTeam]],$T12, Table2[[AwayTeam]:[AwayTeam]], Y$11, Table2[[ActualResult]:[ActualResult]], "REG"))) + (1*(SUMIFS(Table2[[HomeWon_]:[HomeWon_]], Table2[[GameIsOver]:[GameIsOver]],1,Table2[[AwayTeam]:[AwayTeam]],$T12, Table2[[HomeTeam]:[HomeTeam]], Y$11, Table2[[ActualResult]:[ActualResult]], "OT") + SUMIFS(Table2[[AwayWon]:[AwayWon]], Table2[[GameIsOver]:[GameIsOver]],1,Table2[[HomeTeam]:[HomeTeam]],$T12, Table2[[AwayTeam]:[AwayTeam]], Y$11, Table2[[ActualResult]:[ActualResult]], "OT") + SUMIFS(Table2[[HomeWon_]:[HomeWon_]], Table2[[GameIsOver]:[GameIsOver]],1,Table2[[AwayTeam]:[AwayTeam]],$T12, Table2[[HomeTeam]:[HomeTeam]], Y$11, Table2[[ActualResult]:[ActualResult]], "SO") + SUMIFS(Table2[[AwayWon]:[AwayWon]], Table2[[GameIsOver]:[GameIsOver]],1,Table2[[HomeTeam]:[HomeTeam]],$T12, Table2[[AwayTeam]:[AwayTeam]], Y$11, Table2[[ActualResult]:[ActualResult]], "SO")))</calculatedColumnFormula>
    </tableColumn>
    <tableColumn id="8" xr3:uid="{293593A9-E439-49F8-9524-44BE993E70EC}" name="SEA" dataDxfId="145">
      <calculatedColumnFormula>(2*(SUMIFS(Table2[[AwayWon]:[AwayWon]], Table2[[GameIsOver]:[GameIsOver]],1,Table2[[AwayTeam]:[AwayTeam]],$T12, Table2[[HomeTeam]:[HomeTeam]], Z$11) + SUMIFS(Table2[[HomeWon_]:[HomeWon_]], Table2[[GameIsOver]:[GameIsOver]],1,Table2[[HomeTeam]:[HomeTeam]],$T12, Table2[[AwayTeam]:[AwayTeam]], Z$11))) + (0*(SUMIFS(Table2[[HomeWon_]:[HomeWon_]], Table2[[GameIsOver]:[GameIsOver]],1,Table2[[AwayTeam]:[AwayTeam]],$T12, Table2[[HomeTeam]:[HomeTeam]], Z$11, Table2[[ActualResult]:[ActualResult]], "REG") + SUMIFS(Table2[[AwayWon]:[AwayWon]], Table2[[GameIsOver]:[GameIsOver]],1,Table2[[HomeTeam]:[HomeTeam]],$T12, Table2[[AwayTeam]:[AwayTeam]], Z$11, Table2[[ActualResult]:[ActualResult]], "REG"))) + (1*(SUMIFS(Table2[[HomeWon_]:[HomeWon_]], Table2[[GameIsOver]:[GameIsOver]],1,Table2[[AwayTeam]:[AwayTeam]],$T12, Table2[[HomeTeam]:[HomeTeam]], Z$11, Table2[[ActualResult]:[ActualResult]], "OT") + SUMIFS(Table2[[AwayWon]:[AwayWon]], Table2[[GameIsOver]:[GameIsOver]],1,Table2[[HomeTeam]:[HomeTeam]],$T12, Table2[[AwayTeam]:[AwayTeam]], Z$11, Table2[[ActualResult]:[ActualResult]], "OT") + SUMIFS(Table2[[HomeWon_]:[HomeWon_]], Table2[[GameIsOver]:[GameIsOver]],1,Table2[[AwayTeam]:[AwayTeam]],$T12, Table2[[HomeTeam]:[HomeTeam]], Z$11, Table2[[ActualResult]:[ActualResult]], "SO") + SUMIFS(Table2[[AwayWon]:[AwayWon]], Table2[[GameIsOver]:[GameIsOver]],1,Table2[[HomeTeam]:[HomeTeam]],$T12, Table2[[AwayTeam]:[AwayTeam]], Z$11, Table2[[ActualResult]:[ActualResult]], "SO")))</calculatedColumnFormula>
    </tableColumn>
    <tableColumn id="9" xr3:uid="{DE2A37C1-E89C-43A1-87EA-85CF18B48C3C}" name="SJS" dataDxfId="144">
      <calculatedColumnFormula>(2*(SUMIFS(Table2[[AwayWon]:[AwayWon]], Table2[[GameIsOver]:[GameIsOver]],1,Table2[[AwayTeam]:[AwayTeam]],$T12, Table2[[HomeTeam]:[HomeTeam]], AA$11) + SUMIFS(Table2[[HomeWon_]:[HomeWon_]], Table2[[GameIsOver]:[GameIsOver]],1,Table2[[HomeTeam]:[HomeTeam]],$T12, Table2[[AwayTeam]:[AwayTeam]], AA$11))) + (0*(SUMIFS(Table2[[HomeWon_]:[HomeWon_]], Table2[[GameIsOver]:[GameIsOver]],1,Table2[[AwayTeam]:[AwayTeam]],$T12, Table2[[HomeTeam]:[HomeTeam]], AA$11, Table2[[ActualResult]:[ActualResult]], "REG") + SUMIFS(Table2[[AwayWon]:[AwayWon]], Table2[[GameIsOver]:[GameIsOver]],1,Table2[[HomeTeam]:[HomeTeam]],$T12, Table2[[AwayTeam]:[AwayTeam]], AA$11, Table2[[ActualResult]:[ActualResult]], "REG"))) + (1*(SUMIFS(Table2[[HomeWon_]:[HomeWon_]], Table2[[GameIsOver]:[GameIsOver]],1,Table2[[AwayTeam]:[AwayTeam]],$T12, Table2[[HomeTeam]:[HomeTeam]], AA$11, Table2[[ActualResult]:[ActualResult]], "OT") + SUMIFS(Table2[[AwayWon]:[AwayWon]], Table2[[GameIsOver]:[GameIsOver]],1,Table2[[HomeTeam]:[HomeTeam]],$T12, Table2[[AwayTeam]:[AwayTeam]], AA$11, Table2[[ActualResult]:[ActualResult]], "OT") + SUMIFS(Table2[[HomeWon_]:[HomeWon_]], Table2[[GameIsOver]:[GameIsOver]],1,Table2[[AwayTeam]:[AwayTeam]],$T12, Table2[[HomeTeam]:[HomeTeam]], AA$11, Table2[[ActualResult]:[ActualResult]], "SO") + SUMIFS(Table2[[AwayWon]:[AwayWon]], Table2[[GameIsOver]:[GameIsOver]],1,Table2[[HomeTeam]:[HomeTeam]],$T12, Table2[[AwayTeam]:[AwayTeam]], AA$11, Table2[[ActualResult]:[ActualResult]], "SO")))</calculatedColumnFormula>
    </tableColumn>
    <tableColumn id="10" xr3:uid="{5D603D19-259B-4CE0-90E4-9EE880DE9436}" name="VAN" dataDxfId="143">
      <calculatedColumnFormula>(2*(SUMIFS(Table2[[AwayWon]:[AwayWon]], Table2[[GameIsOver]:[GameIsOver]],1,Table2[[AwayTeam]:[AwayTeam]],$T12, Table2[[HomeTeam]:[HomeTeam]], AB$11) + SUMIFS(Table2[[HomeWon_]:[HomeWon_]], Table2[[GameIsOver]:[GameIsOver]],1,Table2[[HomeTeam]:[HomeTeam]],$T12, Table2[[AwayTeam]:[AwayTeam]], AB$11))) + (0*(SUMIFS(Table2[[HomeWon_]:[HomeWon_]], Table2[[GameIsOver]:[GameIsOver]],1,Table2[[AwayTeam]:[AwayTeam]],$T12, Table2[[HomeTeam]:[HomeTeam]], AB$11, Table2[[ActualResult]:[ActualResult]], "REG") + SUMIFS(Table2[[AwayWon]:[AwayWon]], Table2[[GameIsOver]:[GameIsOver]],1,Table2[[HomeTeam]:[HomeTeam]],$T12, Table2[[AwayTeam]:[AwayTeam]], AB$11, Table2[[ActualResult]:[ActualResult]], "REG"))) + (1*(SUMIFS(Table2[[HomeWon_]:[HomeWon_]], Table2[[GameIsOver]:[GameIsOver]],1,Table2[[AwayTeam]:[AwayTeam]],$T12, Table2[[HomeTeam]:[HomeTeam]], AB$11, Table2[[ActualResult]:[ActualResult]], "OT") + SUMIFS(Table2[[AwayWon]:[AwayWon]], Table2[[GameIsOver]:[GameIsOver]],1,Table2[[HomeTeam]:[HomeTeam]],$T12, Table2[[AwayTeam]:[AwayTeam]], AB$11, Table2[[ActualResult]:[ActualResult]], "OT") + SUMIFS(Table2[[HomeWon_]:[HomeWon_]], Table2[[GameIsOver]:[GameIsOver]],1,Table2[[AwayTeam]:[AwayTeam]],$T12, Table2[[HomeTeam]:[HomeTeam]], AB$11, Table2[[ActualResult]:[ActualResult]], "SO") + SUMIFS(Table2[[AwayWon]:[AwayWon]], Table2[[GameIsOver]:[GameIsOver]],1,Table2[[HomeTeam]:[HomeTeam]],$T12, Table2[[AwayTeam]:[AwayTeam]], AB$11, Table2[[ActualResult]:[ActualResult]], "SO")))</calculatedColumnFormula>
    </tableColumn>
    <tableColumn id="11" xr3:uid="{F30A92FB-2303-4C65-9802-544D705A182A}" name="VGK" dataDxfId="142">
      <calculatedColumnFormula>(2*(SUMIFS(Table2[[AwayWon]:[AwayWon]], Table2[[GameIsOver]:[GameIsOver]],1,Table2[[AwayTeam]:[AwayTeam]],$T12, Table2[[HomeTeam]:[HomeTeam]], AC$11) + SUMIFS(Table2[[HomeWon_]:[HomeWon_]], Table2[[GameIsOver]:[GameIsOver]],1,Table2[[HomeTeam]:[HomeTeam]],$T12, Table2[[AwayTeam]:[AwayTeam]], AC$11))) + (0*(SUMIFS(Table2[[HomeWon_]:[HomeWon_]], Table2[[GameIsOver]:[GameIsOver]],1,Table2[[AwayTeam]:[AwayTeam]],$T12, Table2[[HomeTeam]:[HomeTeam]], AC$11, Table2[[ActualResult]:[ActualResult]], "REG") + SUMIFS(Table2[[AwayWon]:[AwayWon]], Table2[[GameIsOver]:[GameIsOver]],1,Table2[[HomeTeam]:[HomeTeam]],$T12, Table2[[AwayTeam]:[AwayTeam]], AC$11, Table2[[ActualResult]:[ActualResult]], "REG"))) + (1*(SUMIFS(Table2[[HomeWon_]:[HomeWon_]], Table2[[GameIsOver]:[GameIsOver]],1,Table2[[AwayTeam]:[AwayTeam]],$T12, Table2[[HomeTeam]:[HomeTeam]], AC$11, Table2[[ActualResult]:[ActualResult]], "OT") + SUMIFS(Table2[[AwayWon]:[AwayWon]], Table2[[GameIsOver]:[GameIsOver]],1,Table2[[HomeTeam]:[HomeTeam]],$T12, Table2[[AwayTeam]:[AwayTeam]], AC$11, Table2[[ActualResult]:[ActualResult]], "OT") + SUMIFS(Table2[[HomeWon_]:[HomeWon_]], Table2[[GameIsOver]:[GameIsOver]],1,Table2[[AwayTeam]:[AwayTeam]],$T12, Table2[[HomeTeam]:[HomeTeam]], AC$11, Table2[[ActualResult]:[ActualResult]], "SO") + SUMIFS(Table2[[AwayWon]:[AwayWon]], Table2[[GameIsOver]:[GameIsOver]],1,Table2[[HomeTeam]:[HomeTeam]],$T12, Table2[[AwayTeam]:[AwayTeam]], AC$11, Table2[[ActualResult]:[ActualResult]], "SO")))</calculatedColumnFormula>
    </tableColumn>
    <tableColumn id="12" xr3:uid="{A657AE01-CB41-47E2-B23C-490308603172}" name="CHI" dataDxfId="141">
      <calculatedColumnFormula>(2*(SUMIFS(Table2[[AwayWon]:[AwayWon]], Table2[[GameIsOver]:[GameIsOver]],1,Table2[[AwayTeam]:[AwayTeam]],$T12, Table2[[HomeTeam]:[HomeTeam]], AD$11) + SUMIFS(Table2[[HomeWon_]:[HomeWon_]], Table2[[GameIsOver]:[GameIsOver]],1,Table2[[HomeTeam]:[HomeTeam]],$T12, Table2[[AwayTeam]:[AwayTeam]], AD$11))) + (0*(SUMIFS(Table2[[HomeWon_]:[HomeWon_]], Table2[[GameIsOver]:[GameIsOver]],1,Table2[[AwayTeam]:[AwayTeam]],$T12, Table2[[HomeTeam]:[HomeTeam]], AD$11, Table2[[ActualResult]:[ActualResult]], "REG") + SUMIFS(Table2[[AwayWon]:[AwayWon]], Table2[[GameIsOver]:[GameIsOver]],1,Table2[[HomeTeam]:[HomeTeam]],$T12, Table2[[AwayTeam]:[AwayTeam]], AD$11, Table2[[ActualResult]:[ActualResult]], "REG"))) + (1*(SUMIFS(Table2[[HomeWon_]:[HomeWon_]], Table2[[GameIsOver]:[GameIsOver]],1,Table2[[AwayTeam]:[AwayTeam]],$T12, Table2[[HomeTeam]:[HomeTeam]], AD$11, Table2[[ActualResult]:[ActualResult]], "OT") + SUMIFS(Table2[[AwayWon]:[AwayWon]], Table2[[GameIsOver]:[GameIsOver]],1,Table2[[HomeTeam]:[HomeTeam]],$T12, Table2[[AwayTeam]:[AwayTeam]], AD$11, Table2[[ActualResult]:[ActualResult]], "OT") + SUMIFS(Table2[[HomeWon_]:[HomeWon_]], Table2[[GameIsOver]:[GameIsOver]],1,Table2[[AwayTeam]:[AwayTeam]],$T12, Table2[[HomeTeam]:[HomeTeam]], AD$11, Table2[[ActualResult]:[ActualResult]], "SO") + SUMIFS(Table2[[AwayWon]:[AwayWon]], Table2[[GameIsOver]:[GameIsOver]],1,Table2[[HomeTeam]:[HomeTeam]],$T12, Table2[[AwayTeam]:[AwayTeam]], AD$11, Table2[[ActualResult]:[ActualResult]], "SO")))</calculatedColumnFormula>
    </tableColumn>
    <tableColumn id="13" xr3:uid="{56A077B1-9BB8-42EF-A450-74ED14D46664}" name="COL" dataDxfId="140">
      <calculatedColumnFormula>(2*(SUMIFS(Table2[[AwayWon]:[AwayWon]], Table2[[GameIsOver]:[GameIsOver]],1,Table2[[AwayTeam]:[AwayTeam]],$T12, Table2[[HomeTeam]:[HomeTeam]], AE$11) + SUMIFS(Table2[[HomeWon_]:[HomeWon_]], Table2[[GameIsOver]:[GameIsOver]],1,Table2[[HomeTeam]:[HomeTeam]],$T12, Table2[[AwayTeam]:[AwayTeam]], AE$11))) + (0*(SUMIFS(Table2[[HomeWon_]:[HomeWon_]], Table2[[GameIsOver]:[GameIsOver]],1,Table2[[AwayTeam]:[AwayTeam]],$T12, Table2[[HomeTeam]:[HomeTeam]], AE$11, Table2[[ActualResult]:[ActualResult]], "REG") + SUMIFS(Table2[[AwayWon]:[AwayWon]], Table2[[GameIsOver]:[GameIsOver]],1,Table2[[HomeTeam]:[HomeTeam]],$T12, Table2[[AwayTeam]:[AwayTeam]], AE$11, Table2[[ActualResult]:[ActualResult]], "REG"))) + (1*(SUMIFS(Table2[[HomeWon_]:[HomeWon_]], Table2[[GameIsOver]:[GameIsOver]],1,Table2[[AwayTeam]:[AwayTeam]],$T12, Table2[[HomeTeam]:[HomeTeam]], AE$11, Table2[[ActualResult]:[ActualResult]], "OT") + SUMIFS(Table2[[AwayWon]:[AwayWon]], Table2[[GameIsOver]:[GameIsOver]],1,Table2[[HomeTeam]:[HomeTeam]],$T12, Table2[[AwayTeam]:[AwayTeam]], AE$11, Table2[[ActualResult]:[ActualResult]], "OT") + SUMIFS(Table2[[HomeWon_]:[HomeWon_]], Table2[[GameIsOver]:[GameIsOver]],1,Table2[[AwayTeam]:[AwayTeam]],$T12, Table2[[HomeTeam]:[HomeTeam]], AE$11, Table2[[ActualResult]:[ActualResult]], "SO") + SUMIFS(Table2[[AwayWon]:[AwayWon]], Table2[[GameIsOver]:[GameIsOver]],1,Table2[[HomeTeam]:[HomeTeam]],$T12, Table2[[AwayTeam]:[AwayTeam]], AE$11, Table2[[ActualResult]:[ActualResult]], "SO")))</calculatedColumnFormula>
    </tableColumn>
    <tableColumn id="14" xr3:uid="{B3B71C07-896D-4A9C-BD5F-311A1B8AB735}" name="DAL" dataDxfId="139">
      <calculatedColumnFormula>(2*(SUMIFS(Table2[[AwayWon]:[AwayWon]], Table2[[GameIsOver]:[GameIsOver]],1,Table2[[AwayTeam]:[AwayTeam]],$T12, Table2[[HomeTeam]:[HomeTeam]], AF$11) + SUMIFS(Table2[[HomeWon_]:[HomeWon_]], Table2[[GameIsOver]:[GameIsOver]],1,Table2[[HomeTeam]:[HomeTeam]],$T12, Table2[[AwayTeam]:[AwayTeam]], AF$11))) + (0*(SUMIFS(Table2[[HomeWon_]:[HomeWon_]], Table2[[GameIsOver]:[GameIsOver]],1,Table2[[AwayTeam]:[AwayTeam]],$T12, Table2[[HomeTeam]:[HomeTeam]], AF$11, Table2[[ActualResult]:[ActualResult]], "REG") + SUMIFS(Table2[[AwayWon]:[AwayWon]], Table2[[GameIsOver]:[GameIsOver]],1,Table2[[HomeTeam]:[HomeTeam]],$T12, Table2[[AwayTeam]:[AwayTeam]], AF$11, Table2[[ActualResult]:[ActualResult]], "REG"))) + (1*(SUMIFS(Table2[[HomeWon_]:[HomeWon_]], Table2[[GameIsOver]:[GameIsOver]],1,Table2[[AwayTeam]:[AwayTeam]],$T12, Table2[[HomeTeam]:[HomeTeam]], AF$11, Table2[[ActualResult]:[ActualResult]], "OT") + SUMIFS(Table2[[AwayWon]:[AwayWon]], Table2[[GameIsOver]:[GameIsOver]],1,Table2[[HomeTeam]:[HomeTeam]],$T12, Table2[[AwayTeam]:[AwayTeam]], AF$11, Table2[[ActualResult]:[ActualResult]], "OT") + SUMIFS(Table2[[HomeWon_]:[HomeWon_]], Table2[[GameIsOver]:[GameIsOver]],1,Table2[[AwayTeam]:[AwayTeam]],$T12, Table2[[HomeTeam]:[HomeTeam]], AF$11, Table2[[ActualResult]:[ActualResult]], "SO") + SUMIFS(Table2[[AwayWon]:[AwayWon]], Table2[[GameIsOver]:[GameIsOver]],1,Table2[[HomeTeam]:[HomeTeam]],$T12, Table2[[AwayTeam]:[AwayTeam]], AF$11, Table2[[ActualResult]:[ActualResult]], "SO")))</calculatedColumnFormula>
    </tableColumn>
    <tableColumn id="15" xr3:uid="{2B1848E0-5482-48B6-ABB4-266D93300662}" name="MIN" dataDxfId="138">
      <calculatedColumnFormula>(2*(SUMIFS(Table2[[AwayWon]:[AwayWon]], Table2[[GameIsOver]:[GameIsOver]],1,Table2[[AwayTeam]:[AwayTeam]],$T12, Table2[[HomeTeam]:[HomeTeam]], AG$11) + SUMIFS(Table2[[HomeWon_]:[HomeWon_]], Table2[[GameIsOver]:[GameIsOver]],1,Table2[[HomeTeam]:[HomeTeam]],$T12, Table2[[AwayTeam]:[AwayTeam]], AG$11))) + (0*(SUMIFS(Table2[[HomeWon_]:[HomeWon_]], Table2[[GameIsOver]:[GameIsOver]],1,Table2[[AwayTeam]:[AwayTeam]],$T12, Table2[[HomeTeam]:[HomeTeam]], AG$11, Table2[[ActualResult]:[ActualResult]], "REG") + SUMIFS(Table2[[AwayWon]:[AwayWon]], Table2[[GameIsOver]:[GameIsOver]],1,Table2[[HomeTeam]:[HomeTeam]],$T12, Table2[[AwayTeam]:[AwayTeam]], AG$11, Table2[[ActualResult]:[ActualResult]], "REG"))) + (1*(SUMIFS(Table2[[HomeWon_]:[HomeWon_]], Table2[[GameIsOver]:[GameIsOver]],1,Table2[[AwayTeam]:[AwayTeam]],$T12, Table2[[HomeTeam]:[HomeTeam]], AG$11, Table2[[ActualResult]:[ActualResult]], "OT") + SUMIFS(Table2[[AwayWon]:[AwayWon]], Table2[[GameIsOver]:[GameIsOver]],1,Table2[[HomeTeam]:[HomeTeam]],$T12, Table2[[AwayTeam]:[AwayTeam]], AG$11, Table2[[ActualResult]:[ActualResult]], "OT") + SUMIFS(Table2[[HomeWon_]:[HomeWon_]], Table2[[GameIsOver]:[GameIsOver]],1,Table2[[AwayTeam]:[AwayTeam]],$T12, Table2[[HomeTeam]:[HomeTeam]], AG$11, Table2[[ActualResult]:[ActualResult]], "SO") + SUMIFS(Table2[[AwayWon]:[AwayWon]], Table2[[GameIsOver]:[GameIsOver]],1,Table2[[HomeTeam]:[HomeTeam]],$T12, Table2[[AwayTeam]:[AwayTeam]], AG$11, Table2[[ActualResult]:[ActualResult]], "SO")))</calculatedColumnFormula>
    </tableColumn>
    <tableColumn id="16" xr3:uid="{A50F8149-8847-440F-8B00-4209C96247D5}" name="NSH" dataDxfId="137">
      <calculatedColumnFormula>(2*(SUMIFS(Table2[[AwayWon]:[AwayWon]], Table2[[GameIsOver]:[GameIsOver]],1,Table2[[AwayTeam]:[AwayTeam]],$T12, Table2[[HomeTeam]:[HomeTeam]], AH$11) + SUMIFS(Table2[[HomeWon_]:[HomeWon_]], Table2[[GameIsOver]:[GameIsOver]],1,Table2[[HomeTeam]:[HomeTeam]],$T12, Table2[[AwayTeam]:[AwayTeam]], AH$11))) + (0*(SUMIFS(Table2[[HomeWon_]:[HomeWon_]], Table2[[GameIsOver]:[GameIsOver]],1,Table2[[AwayTeam]:[AwayTeam]],$T12, Table2[[HomeTeam]:[HomeTeam]], AH$11, Table2[[ActualResult]:[ActualResult]], "REG") + SUMIFS(Table2[[AwayWon]:[AwayWon]], Table2[[GameIsOver]:[GameIsOver]],1,Table2[[HomeTeam]:[HomeTeam]],$T12, Table2[[AwayTeam]:[AwayTeam]], AH$11, Table2[[ActualResult]:[ActualResult]], "REG"))) + (1*(SUMIFS(Table2[[HomeWon_]:[HomeWon_]], Table2[[GameIsOver]:[GameIsOver]],1,Table2[[AwayTeam]:[AwayTeam]],$T12, Table2[[HomeTeam]:[HomeTeam]], AH$11, Table2[[ActualResult]:[ActualResult]], "OT") + SUMIFS(Table2[[AwayWon]:[AwayWon]], Table2[[GameIsOver]:[GameIsOver]],1,Table2[[HomeTeam]:[HomeTeam]],$T12, Table2[[AwayTeam]:[AwayTeam]], AH$11, Table2[[ActualResult]:[ActualResult]], "OT") + SUMIFS(Table2[[HomeWon_]:[HomeWon_]], Table2[[GameIsOver]:[GameIsOver]],1,Table2[[AwayTeam]:[AwayTeam]],$T12, Table2[[HomeTeam]:[HomeTeam]], AH$11, Table2[[ActualResult]:[ActualResult]], "SO") + SUMIFS(Table2[[AwayWon]:[AwayWon]], Table2[[GameIsOver]:[GameIsOver]],1,Table2[[HomeTeam]:[HomeTeam]],$T12, Table2[[AwayTeam]:[AwayTeam]], AH$11, Table2[[ActualResult]:[ActualResult]], "SO")))</calculatedColumnFormula>
    </tableColumn>
    <tableColumn id="17" xr3:uid="{7E3C30CA-C85A-4D2D-B2FA-EA790C2EAE62}" name="STL" dataDxfId="136">
      <calculatedColumnFormula>(2*(SUMIFS(Table2[[AwayWon]:[AwayWon]], Table2[[GameIsOver]:[GameIsOver]],1,Table2[[AwayTeam]:[AwayTeam]],$T12, Table2[[HomeTeam]:[HomeTeam]], AI$11) + SUMIFS(Table2[[HomeWon_]:[HomeWon_]], Table2[[GameIsOver]:[GameIsOver]],1,Table2[[HomeTeam]:[HomeTeam]],$T12, Table2[[AwayTeam]:[AwayTeam]], AI$11))) + (0*(SUMIFS(Table2[[HomeWon_]:[HomeWon_]], Table2[[GameIsOver]:[GameIsOver]],1,Table2[[AwayTeam]:[AwayTeam]],$T12, Table2[[HomeTeam]:[HomeTeam]], AI$11, Table2[[ActualResult]:[ActualResult]], "REG") + SUMIFS(Table2[[AwayWon]:[AwayWon]], Table2[[GameIsOver]:[GameIsOver]],1,Table2[[HomeTeam]:[HomeTeam]],$T12, Table2[[AwayTeam]:[AwayTeam]], AI$11, Table2[[ActualResult]:[ActualResult]], "REG"))) + (1*(SUMIFS(Table2[[HomeWon_]:[HomeWon_]], Table2[[GameIsOver]:[GameIsOver]],1,Table2[[AwayTeam]:[AwayTeam]],$T12, Table2[[HomeTeam]:[HomeTeam]], AI$11, Table2[[ActualResult]:[ActualResult]], "OT") + SUMIFS(Table2[[AwayWon]:[AwayWon]], Table2[[GameIsOver]:[GameIsOver]],1,Table2[[HomeTeam]:[HomeTeam]],$T12, Table2[[AwayTeam]:[AwayTeam]], AI$11, Table2[[ActualResult]:[ActualResult]], "OT") + SUMIFS(Table2[[HomeWon_]:[HomeWon_]], Table2[[GameIsOver]:[GameIsOver]],1,Table2[[AwayTeam]:[AwayTeam]],$T12, Table2[[HomeTeam]:[HomeTeam]], AI$11, Table2[[ActualResult]:[ActualResult]], "SO") + SUMIFS(Table2[[AwayWon]:[AwayWon]], Table2[[GameIsOver]:[GameIsOver]],1,Table2[[HomeTeam]:[HomeTeam]],$T12, Table2[[AwayTeam]:[AwayTeam]], AI$11, Table2[[ActualResult]:[ActualResult]], "SO")))</calculatedColumnFormula>
    </tableColumn>
    <tableColumn id="18" xr3:uid="{2C82F98C-C53D-4F42-899E-2A22FD9702AC}" name="UTA" dataDxfId="135">
      <calculatedColumnFormula>(2*(SUMIFS(Table2[[AwayWon]:[AwayWon]], Table2[[GameIsOver]:[GameIsOver]],1,Table2[[AwayTeam]:[AwayTeam]],$T12, Table2[[HomeTeam]:[HomeTeam]], AJ$11) + SUMIFS(Table2[[HomeWon_]:[HomeWon_]], Table2[[GameIsOver]:[GameIsOver]],1,Table2[[HomeTeam]:[HomeTeam]],$T12, Table2[[AwayTeam]:[AwayTeam]], AJ$11))) + (0*(SUMIFS(Table2[[HomeWon_]:[HomeWon_]], Table2[[GameIsOver]:[GameIsOver]],1,Table2[[AwayTeam]:[AwayTeam]],$T12, Table2[[HomeTeam]:[HomeTeam]], AJ$11, Table2[[ActualResult]:[ActualResult]], "REG") + SUMIFS(Table2[[AwayWon]:[AwayWon]], Table2[[GameIsOver]:[GameIsOver]],1,Table2[[HomeTeam]:[HomeTeam]],$T12, Table2[[AwayTeam]:[AwayTeam]], AJ$11, Table2[[ActualResult]:[ActualResult]], "REG"))) + (1*(SUMIFS(Table2[[HomeWon_]:[HomeWon_]], Table2[[GameIsOver]:[GameIsOver]],1,Table2[[AwayTeam]:[AwayTeam]],$T12, Table2[[HomeTeam]:[HomeTeam]], AJ$11, Table2[[ActualResult]:[ActualResult]], "OT") + SUMIFS(Table2[[AwayWon]:[AwayWon]], Table2[[GameIsOver]:[GameIsOver]],1,Table2[[HomeTeam]:[HomeTeam]],$T12, Table2[[AwayTeam]:[AwayTeam]], AJ$11, Table2[[ActualResult]:[ActualResult]], "OT") + SUMIFS(Table2[[HomeWon_]:[HomeWon_]], Table2[[GameIsOver]:[GameIsOver]],1,Table2[[AwayTeam]:[AwayTeam]],$T12, Table2[[HomeTeam]:[HomeTeam]], AJ$11, Table2[[ActualResult]:[ActualResult]], "SO") + SUMIFS(Table2[[AwayWon]:[AwayWon]], Table2[[GameIsOver]:[GameIsOver]],1,Table2[[HomeTeam]:[HomeTeam]],$T12, Table2[[AwayTeam]:[AwayTeam]], AJ$11, Table2[[ActualResult]:[ActualResult]], "SO")))</calculatedColumnFormula>
    </tableColumn>
    <tableColumn id="19" xr3:uid="{064858AB-7A2C-47CE-9066-7D3680123EC0}" name="WPG" dataDxfId="134">
      <calculatedColumnFormula>(2*(SUMIFS(Table2[[AwayWon]:[AwayWon]], Table2[[GameIsOver]:[GameIsOver]],1,Table2[[AwayTeam]:[AwayTeam]],$T12, Table2[[HomeTeam]:[HomeTeam]], AK$11) + SUMIFS(Table2[[HomeWon_]:[HomeWon_]], Table2[[GameIsOver]:[GameIsOver]],1,Table2[[HomeTeam]:[HomeTeam]],$T12, Table2[[AwayTeam]:[AwayTeam]], AK$11))) + (0*(SUMIFS(Table2[[HomeWon_]:[HomeWon_]], Table2[[GameIsOver]:[GameIsOver]],1,Table2[[AwayTeam]:[AwayTeam]],$T12, Table2[[HomeTeam]:[HomeTeam]], AK$11, Table2[[ActualResult]:[ActualResult]], "REG") + SUMIFS(Table2[[AwayWon]:[AwayWon]], Table2[[GameIsOver]:[GameIsOver]],1,Table2[[HomeTeam]:[HomeTeam]],$T12, Table2[[AwayTeam]:[AwayTeam]], AK$11, Table2[[ActualResult]:[ActualResult]], "REG"))) + (1*(SUMIFS(Table2[[HomeWon_]:[HomeWon_]], Table2[[GameIsOver]:[GameIsOver]],1,Table2[[AwayTeam]:[AwayTeam]],$T12, Table2[[HomeTeam]:[HomeTeam]], AK$11, Table2[[ActualResult]:[ActualResult]], "OT") + SUMIFS(Table2[[AwayWon]:[AwayWon]], Table2[[GameIsOver]:[GameIsOver]],1,Table2[[HomeTeam]:[HomeTeam]],$T12, Table2[[AwayTeam]:[AwayTeam]], AK$11, Table2[[ActualResult]:[ActualResult]], "OT") + SUMIFS(Table2[[HomeWon_]:[HomeWon_]], Table2[[GameIsOver]:[GameIsOver]],1,Table2[[AwayTeam]:[AwayTeam]],$T12, Table2[[HomeTeam]:[HomeTeam]], AK$11, Table2[[ActualResult]:[ActualResult]], "SO") + SUMIFS(Table2[[AwayWon]:[AwayWon]], Table2[[GameIsOver]:[GameIsOver]],1,Table2[[HomeTeam]:[HomeTeam]],$T12, Table2[[AwayTeam]:[AwayTeam]], AK$11, Table2[[ActualResult]:[ActualResult]], "SO")))</calculatedColumnFormula>
    </tableColumn>
    <tableColumn id="20" xr3:uid="{A82C015D-16B1-4D08-A6B9-415CA0DE6098}" name="CAR" dataDxfId="133">
      <calculatedColumnFormula>(2*(SUMIFS(Table2[[AwayWon]:[AwayWon]], Table2[[GameIsOver]:[GameIsOver]],1,Table2[[AwayTeam]:[AwayTeam]],$T12, Table2[[HomeTeam]:[HomeTeam]], AL$11) + SUMIFS(Table2[[HomeWon_]:[HomeWon_]], Table2[[GameIsOver]:[GameIsOver]],1,Table2[[HomeTeam]:[HomeTeam]],$T12, Table2[[AwayTeam]:[AwayTeam]], AL$11))) + (0*(SUMIFS(Table2[[HomeWon_]:[HomeWon_]], Table2[[GameIsOver]:[GameIsOver]],1,Table2[[AwayTeam]:[AwayTeam]],$T12, Table2[[HomeTeam]:[HomeTeam]], AL$11, Table2[[ActualResult]:[ActualResult]], "REG") + SUMIFS(Table2[[AwayWon]:[AwayWon]], Table2[[GameIsOver]:[GameIsOver]],1,Table2[[HomeTeam]:[HomeTeam]],$T12, Table2[[AwayTeam]:[AwayTeam]], AL$11, Table2[[ActualResult]:[ActualResult]], "REG"))) + (1*(SUMIFS(Table2[[HomeWon_]:[HomeWon_]], Table2[[GameIsOver]:[GameIsOver]],1,Table2[[AwayTeam]:[AwayTeam]],$T12, Table2[[HomeTeam]:[HomeTeam]], AL$11, Table2[[ActualResult]:[ActualResult]], "OT") + SUMIFS(Table2[[AwayWon]:[AwayWon]], Table2[[GameIsOver]:[GameIsOver]],1,Table2[[HomeTeam]:[HomeTeam]],$T12, Table2[[AwayTeam]:[AwayTeam]], AL$11, Table2[[ActualResult]:[ActualResult]], "OT") + SUMIFS(Table2[[HomeWon_]:[HomeWon_]], Table2[[GameIsOver]:[GameIsOver]],1,Table2[[AwayTeam]:[AwayTeam]],$T12, Table2[[HomeTeam]:[HomeTeam]], AL$11, Table2[[ActualResult]:[ActualResult]], "SO") + SUMIFS(Table2[[AwayWon]:[AwayWon]], Table2[[GameIsOver]:[GameIsOver]],1,Table2[[HomeTeam]:[HomeTeam]],$T12, Table2[[AwayTeam]:[AwayTeam]], AL$11, Table2[[ActualResult]:[ActualResult]], "SO")))</calculatedColumnFormula>
    </tableColumn>
    <tableColumn id="21" xr3:uid="{68E26000-287F-4B85-8E91-593F89757FE6}" name="CBJ" dataDxfId="132">
      <calculatedColumnFormula>(2*(SUMIFS(Table2[[AwayWon]:[AwayWon]], Table2[[GameIsOver]:[GameIsOver]],1,Table2[[AwayTeam]:[AwayTeam]],$T12, Table2[[HomeTeam]:[HomeTeam]], AM$11) + SUMIFS(Table2[[HomeWon_]:[HomeWon_]], Table2[[GameIsOver]:[GameIsOver]],1,Table2[[HomeTeam]:[HomeTeam]],$T12, Table2[[AwayTeam]:[AwayTeam]], AM$11))) + (0*(SUMIFS(Table2[[HomeWon_]:[HomeWon_]], Table2[[GameIsOver]:[GameIsOver]],1,Table2[[AwayTeam]:[AwayTeam]],$T12, Table2[[HomeTeam]:[HomeTeam]], AM$11, Table2[[ActualResult]:[ActualResult]], "REG") + SUMIFS(Table2[[AwayWon]:[AwayWon]], Table2[[GameIsOver]:[GameIsOver]],1,Table2[[HomeTeam]:[HomeTeam]],$T12, Table2[[AwayTeam]:[AwayTeam]], AM$11, Table2[[ActualResult]:[ActualResult]], "REG"))) + (1*(SUMIFS(Table2[[HomeWon_]:[HomeWon_]], Table2[[GameIsOver]:[GameIsOver]],1,Table2[[AwayTeam]:[AwayTeam]],$T12, Table2[[HomeTeam]:[HomeTeam]], AM$11, Table2[[ActualResult]:[ActualResult]], "OT") + SUMIFS(Table2[[AwayWon]:[AwayWon]], Table2[[GameIsOver]:[GameIsOver]],1,Table2[[HomeTeam]:[HomeTeam]],$T12, Table2[[AwayTeam]:[AwayTeam]], AM$11, Table2[[ActualResult]:[ActualResult]], "OT") + SUMIFS(Table2[[HomeWon_]:[HomeWon_]], Table2[[GameIsOver]:[GameIsOver]],1,Table2[[AwayTeam]:[AwayTeam]],$T12, Table2[[HomeTeam]:[HomeTeam]], AM$11, Table2[[ActualResult]:[ActualResult]], "SO") + SUMIFS(Table2[[AwayWon]:[AwayWon]], Table2[[GameIsOver]:[GameIsOver]],1,Table2[[HomeTeam]:[HomeTeam]],$T12, Table2[[AwayTeam]:[AwayTeam]], AM$11, Table2[[ActualResult]:[ActualResult]], "SO")))</calculatedColumnFormula>
    </tableColumn>
    <tableColumn id="22" xr3:uid="{803C7B96-43B7-4E98-838F-CD08E234EF0A}" name="NJD" dataDxfId="131">
      <calculatedColumnFormula>(2*(SUMIFS(Table2[[AwayWon]:[AwayWon]], Table2[[GameIsOver]:[GameIsOver]],1,Table2[[AwayTeam]:[AwayTeam]],$T12, Table2[[HomeTeam]:[HomeTeam]], AN$11) + SUMIFS(Table2[[HomeWon_]:[HomeWon_]], Table2[[GameIsOver]:[GameIsOver]],1,Table2[[HomeTeam]:[HomeTeam]],$T12, Table2[[AwayTeam]:[AwayTeam]], AN$11))) + (0*(SUMIFS(Table2[[HomeWon_]:[HomeWon_]], Table2[[GameIsOver]:[GameIsOver]],1,Table2[[AwayTeam]:[AwayTeam]],$T12, Table2[[HomeTeam]:[HomeTeam]], AN$11, Table2[[ActualResult]:[ActualResult]], "REG") + SUMIFS(Table2[[AwayWon]:[AwayWon]], Table2[[GameIsOver]:[GameIsOver]],1,Table2[[HomeTeam]:[HomeTeam]],$T12, Table2[[AwayTeam]:[AwayTeam]], AN$11, Table2[[ActualResult]:[ActualResult]], "REG"))) + (1*(SUMIFS(Table2[[HomeWon_]:[HomeWon_]], Table2[[GameIsOver]:[GameIsOver]],1,Table2[[AwayTeam]:[AwayTeam]],$T12, Table2[[HomeTeam]:[HomeTeam]], AN$11, Table2[[ActualResult]:[ActualResult]], "OT") + SUMIFS(Table2[[AwayWon]:[AwayWon]], Table2[[GameIsOver]:[GameIsOver]],1,Table2[[HomeTeam]:[HomeTeam]],$T12, Table2[[AwayTeam]:[AwayTeam]], AN$11, Table2[[ActualResult]:[ActualResult]], "OT") + SUMIFS(Table2[[HomeWon_]:[HomeWon_]], Table2[[GameIsOver]:[GameIsOver]],1,Table2[[AwayTeam]:[AwayTeam]],$T12, Table2[[HomeTeam]:[HomeTeam]], AN$11, Table2[[ActualResult]:[ActualResult]], "SO") + SUMIFS(Table2[[AwayWon]:[AwayWon]], Table2[[GameIsOver]:[GameIsOver]],1,Table2[[HomeTeam]:[HomeTeam]],$T12, Table2[[AwayTeam]:[AwayTeam]], AN$11, Table2[[ActualResult]:[ActualResult]], "SO")))</calculatedColumnFormula>
    </tableColumn>
    <tableColumn id="23" xr3:uid="{D57BBAE3-8C41-4DE2-86F4-10829601D4F2}" name="NYI" dataDxfId="130">
      <calculatedColumnFormula>(2*(SUMIFS(Table2[[AwayWon]:[AwayWon]], Table2[[GameIsOver]:[GameIsOver]],1,Table2[[AwayTeam]:[AwayTeam]],$T12, Table2[[HomeTeam]:[HomeTeam]], AO$11) + SUMIFS(Table2[[HomeWon_]:[HomeWon_]], Table2[[GameIsOver]:[GameIsOver]],1,Table2[[HomeTeam]:[HomeTeam]],$T12, Table2[[AwayTeam]:[AwayTeam]], AO$11))) + (0*(SUMIFS(Table2[[HomeWon_]:[HomeWon_]], Table2[[GameIsOver]:[GameIsOver]],1,Table2[[AwayTeam]:[AwayTeam]],$T12, Table2[[HomeTeam]:[HomeTeam]], AO$11, Table2[[ActualResult]:[ActualResult]], "REG") + SUMIFS(Table2[[AwayWon]:[AwayWon]], Table2[[GameIsOver]:[GameIsOver]],1,Table2[[HomeTeam]:[HomeTeam]],$T12, Table2[[AwayTeam]:[AwayTeam]], AO$11, Table2[[ActualResult]:[ActualResult]], "REG"))) + (1*(SUMIFS(Table2[[HomeWon_]:[HomeWon_]], Table2[[GameIsOver]:[GameIsOver]],1,Table2[[AwayTeam]:[AwayTeam]],$T12, Table2[[HomeTeam]:[HomeTeam]], AO$11, Table2[[ActualResult]:[ActualResult]], "OT") + SUMIFS(Table2[[AwayWon]:[AwayWon]], Table2[[GameIsOver]:[GameIsOver]],1,Table2[[HomeTeam]:[HomeTeam]],$T12, Table2[[AwayTeam]:[AwayTeam]], AO$11, Table2[[ActualResult]:[ActualResult]], "OT") + SUMIFS(Table2[[HomeWon_]:[HomeWon_]], Table2[[GameIsOver]:[GameIsOver]],1,Table2[[AwayTeam]:[AwayTeam]],$T12, Table2[[HomeTeam]:[HomeTeam]], AO$11, Table2[[ActualResult]:[ActualResult]], "SO") + SUMIFS(Table2[[AwayWon]:[AwayWon]], Table2[[GameIsOver]:[GameIsOver]],1,Table2[[HomeTeam]:[HomeTeam]],$T12, Table2[[AwayTeam]:[AwayTeam]], AO$11, Table2[[ActualResult]:[ActualResult]], "SO")))</calculatedColumnFormula>
    </tableColumn>
    <tableColumn id="24" xr3:uid="{474C29AF-9B1E-462E-B76C-28DF38081CB3}" name="NYR" dataDxfId="129">
      <calculatedColumnFormula>(2*(SUMIFS(Table2[[AwayWon]:[AwayWon]], Table2[[GameIsOver]:[GameIsOver]],1,Table2[[AwayTeam]:[AwayTeam]],$T12, Table2[[HomeTeam]:[HomeTeam]], AP$11) + SUMIFS(Table2[[HomeWon_]:[HomeWon_]], Table2[[GameIsOver]:[GameIsOver]],1,Table2[[HomeTeam]:[HomeTeam]],$T12, Table2[[AwayTeam]:[AwayTeam]], AP$11))) + (0*(SUMIFS(Table2[[HomeWon_]:[HomeWon_]], Table2[[GameIsOver]:[GameIsOver]],1,Table2[[AwayTeam]:[AwayTeam]],$T12, Table2[[HomeTeam]:[HomeTeam]], AP$11, Table2[[ActualResult]:[ActualResult]], "REG") + SUMIFS(Table2[[AwayWon]:[AwayWon]], Table2[[GameIsOver]:[GameIsOver]],1,Table2[[HomeTeam]:[HomeTeam]],$T12, Table2[[AwayTeam]:[AwayTeam]], AP$11, Table2[[ActualResult]:[ActualResult]], "REG"))) + (1*(SUMIFS(Table2[[HomeWon_]:[HomeWon_]], Table2[[GameIsOver]:[GameIsOver]],1,Table2[[AwayTeam]:[AwayTeam]],$T12, Table2[[HomeTeam]:[HomeTeam]], AP$11, Table2[[ActualResult]:[ActualResult]], "OT") + SUMIFS(Table2[[AwayWon]:[AwayWon]], Table2[[GameIsOver]:[GameIsOver]],1,Table2[[HomeTeam]:[HomeTeam]],$T12, Table2[[AwayTeam]:[AwayTeam]], AP$11, Table2[[ActualResult]:[ActualResult]], "OT") + SUMIFS(Table2[[HomeWon_]:[HomeWon_]], Table2[[GameIsOver]:[GameIsOver]],1,Table2[[AwayTeam]:[AwayTeam]],$T12, Table2[[HomeTeam]:[HomeTeam]], AP$11, Table2[[ActualResult]:[ActualResult]], "SO") + SUMIFS(Table2[[AwayWon]:[AwayWon]], Table2[[GameIsOver]:[GameIsOver]],1,Table2[[HomeTeam]:[HomeTeam]],$T12, Table2[[AwayTeam]:[AwayTeam]], AP$11, Table2[[ActualResult]:[ActualResult]], "SO")))</calculatedColumnFormula>
    </tableColumn>
    <tableColumn id="25" xr3:uid="{FE33EFB3-E3A7-4D66-8E46-92C6D73C7742}" name="PHI" dataDxfId="128">
      <calculatedColumnFormula>(2*(SUMIFS(Table2[[AwayWon]:[AwayWon]], Table2[[GameIsOver]:[GameIsOver]],1,Table2[[AwayTeam]:[AwayTeam]],$T12, Table2[[HomeTeam]:[HomeTeam]], AQ$11) + SUMIFS(Table2[[HomeWon_]:[HomeWon_]], Table2[[GameIsOver]:[GameIsOver]],1,Table2[[HomeTeam]:[HomeTeam]],$T12, Table2[[AwayTeam]:[AwayTeam]], AQ$11))) + (0*(SUMIFS(Table2[[HomeWon_]:[HomeWon_]], Table2[[GameIsOver]:[GameIsOver]],1,Table2[[AwayTeam]:[AwayTeam]],$T12, Table2[[HomeTeam]:[HomeTeam]], AQ$11, Table2[[ActualResult]:[ActualResult]], "REG") + SUMIFS(Table2[[AwayWon]:[AwayWon]], Table2[[GameIsOver]:[GameIsOver]],1,Table2[[HomeTeam]:[HomeTeam]],$T12, Table2[[AwayTeam]:[AwayTeam]], AQ$11, Table2[[ActualResult]:[ActualResult]], "REG"))) + (1*(SUMIFS(Table2[[HomeWon_]:[HomeWon_]], Table2[[GameIsOver]:[GameIsOver]],1,Table2[[AwayTeam]:[AwayTeam]],$T12, Table2[[HomeTeam]:[HomeTeam]], AQ$11, Table2[[ActualResult]:[ActualResult]], "OT") + SUMIFS(Table2[[AwayWon]:[AwayWon]], Table2[[GameIsOver]:[GameIsOver]],1,Table2[[HomeTeam]:[HomeTeam]],$T12, Table2[[AwayTeam]:[AwayTeam]], AQ$11, Table2[[ActualResult]:[ActualResult]], "OT") + SUMIFS(Table2[[HomeWon_]:[HomeWon_]], Table2[[GameIsOver]:[GameIsOver]],1,Table2[[AwayTeam]:[AwayTeam]],$T12, Table2[[HomeTeam]:[HomeTeam]], AQ$11, Table2[[ActualResult]:[ActualResult]], "SO") + SUMIFS(Table2[[AwayWon]:[AwayWon]], Table2[[GameIsOver]:[GameIsOver]],1,Table2[[HomeTeam]:[HomeTeam]],$T12, Table2[[AwayTeam]:[AwayTeam]], AQ$11, Table2[[ActualResult]:[ActualResult]], "SO")))</calculatedColumnFormula>
    </tableColumn>
    <tableColumn id="26" xr3:uid="{E031DDDE-E47E-455D-A7F1-28842BE72792}" name="PIT" dataDxfId="127">
      <calculatedColumnFormula>(2*(SUMIFS(Table2[[AwayWon]:[AwayWon]], Table2[[GameIsOver]:[GameIsOver]],1,Table2[[AwayTeam]:[AwayTeam]],$T12, Table2[[HomeTeam]:[HomeTeam]], AR$11) + SUMIFS(Table2[[HomeWon_]:[HomeWon_]], Table2[[GameIsOver]:[GameIsOver]],1,Table2[[HomeTeam]:[HomeTeam]],$T12, Table2[[AwayTeam]:[AwayTeam]], AR$11))) + (0*(SUMIFS(Table2[[HomeWon_]:[HomeWon_]], Table2[[GameIsOver]:[GameIsOver]],1,Table2[[AwayTeam]:[AwayTeam]],$T12, Table2[[HomeTeam]:[HomeTeam]], AR$11, Table2[[ActualResult]:[ActualResult]], "REG") + SUMIFS(Table2[[AwayWon]:[AwayWon]], Table2[[GameIsOver]:[GameIsOver]],1,Table2[[HomeTeam]:[HomeTeam]],$T12, Table2[[AwayTeam]:[AwayTeam]], AR$11, Table2[[ActualResult]:[ActualResult]], "REG"))) + (1*(SUMIFS(Table2[[HomeWon_]:[HomeWon_]], Table2[[GameIsOver]:[GameIsOver]],1,Table2[[AwayTeam]:[AwayTeam]],$T12, Table2[[HomeTeam]:[HomeTeam]], AR$11, Table2[[ActualResult]:[ActualResult]], "OT") + SUMIFS(Table2[[AwayWon]:[AwayWon]], Table2[[GameIsOver]:[GameIsOver]],1,Table2[[HomeTeam]:[HomeTeam]],$T12, Table2[[AwayTeam]:[AwayTeam]], AR$11, Table2[[ActualResult]:[ActualResult]], "OT") + SUMIFS(Table2[[HomeWon_]:[HomeWon_]], Table2[[GameIsOver]:[GameIsOver]],1,Table2[[AwayTeam]:[AwayTeam]],$T12, Table2[[HomeTeam]:[HomeTeam]], AR$11, Table2[[ActualResult]:[ActualResult]], "SO") + SUMIFS(Table2[[AwayWon]:[AwayWon]], Table2[[GameIsOver]:[GameIsOver]],1,Table2[[HomeTeam]:[HomeTeam]],$T12, Table2[[AwayTeam]:[AwayTeam]], AR$11, Table2[[ActualResult]:[ActualResult]], "SO")))</calculatedColumnFormula>
    </tableColumn>
    <tableColumn id="27" xr3:uid="{E58D33C4-878F-44E2-87F9-AFCC893D4251}" name="WSH" dataDxfId="126">
      <calculatedColumnFormula>(2*(SUMIFS(Table2[[AwayWon]:[AwayWon]], Table2[[GameIsOver]:[GameIsOver]],1,Table2[[AwayTeam]:[AwayTeam]],$T12, Table2[[HomeTeam]:[HomeTeam]], AS$11) + SUMIFS(Table2[[HomeWon_]:[HomeWon_]], Table2[[GameIsOver]:[GameIsOver]],1,Table2[[HomeTeam]:[HomeTeam]],$T12, Table2[[AwayTeam]:[AwayTeam]], AS$11))) + (0*(SUMIFS(Table2[[HomeWon_]:[HomeWon_]], Table2[[GameIsOver]:[GameIsOver]],1,Table2[[AwayTeam]:[AwayTeam]],$T12, Table2[[HomeTeam]:[HomeTeam]], AS$11, Table2[[ActualResult]:[ActualResult]], "REG") + SUMIFS(Table2[[AwayWon]:[AwayWon]], Table2[[GameIsOver]:[GameIsOver]],1,Table2[[HomeTeam]:[HomeTeam]],$T12, Table2[[AwayTeam]:[AwayTeam]], AS$11, Table2[[ActualResult]:[ActualResult]], "REG"))) + (1*(SUMIFS(Table2[[HomeWon_]:[HomeWon_]], Table2[[GameIsOver]:[GameIsOver]],1,Table2[[AwayTeam]:[AwayTeam]],$T12, Table2[[HomeTeam]:[HomeTeam]], AS$11, Table2[[ActualResult]:[ActualResult]], "OT") + SUMIFS(Table2[[AwayWon]:[AwayWon]], Table2[[GameIsOver]:[GameIsOver]],1,Table2[[HomeTeam]:[HomeTeam]],$T12, Table2[[AwayTeam]:[AwayTeam]], AS$11, Table2[[ActualResult]:[ActualResult]], "OT") + SUMIFS(Table2[[HomeWon_]:[HomeWon_]], Table2[[GameIsOver]:[GameIsOver]],1,Table2[[AwayTeam]:[AwayTeam]],$T12, Table2[[HomeTeam]:[HomeTeam]], AS$11, Table2[[ActualResult]:[ActualResult]], "SO") + SUMIFS(Table2[[AwayWon]:[AwayWon]], Table2[[GameIsOver]:[GameIsOver]],1,Table2[[HomeTeam]:[HomeTeam]],$T12, Table2[[AwayTeam]:[AwayTeam]], AS$11, Table2[[ActualResult]:[ActualResult]], "SO")))</calculatedColumnFormula>
    </tableColumn>
    <tableColumn id="28" xr3:uid="{81D2B4F1-8A89-47BB-B8AF-9CB50699A097}" name="BOS" dataDxfId="125">
      <calculatedColumnFormula>(2*(SUMIFS(Table2[[AwayWon]:[AwayWon]], Table2[[GameIsOver]:[GameIsOver]],1,Table2[[AwayTeam]:[AwayTeam]],$T12, Table2[[HomeTeam]:[HomeTeam]], AT$11) + SUMIFS(Table2[[HomeWon_]:[HomeWon_]], Table2[[GameIsOver]:[GameIsOver]],1,Table2[[HomeTeam]:[HomeTeam]],$T12, Table2[[AwayTeam]:[AwayTeam]], AT$11))) + (0*(SUMIFS(Table2[[HomeWon_]:[HomeWon_]], Table2[[GameIsOver]:[GameIsOver]],1,Table2[[AwayTeam]:[AwayTeam]],$T12, Table2[[HomeTeam]:[HomeTeam]], AT$11, Table2[[ActualResult]:[ActualResult]], "REG") + SUMIFS(Table2[[AwayWon]:[AwayWon]], Table2[[GameIsOver]:[GameIsOver]],1,Table2[[HomeTeam]:[HomeTeam]],$T12, Table2[[AwayTeam]:[AwayTeam]], AT$11, Table2[[ActualResult]:[ActualResult]], "REG"))) + (1*(SUMIFS(Table2[[HomeWon_]:[HomeWon_]], Table2[[GameIsOver]:[GameIsOver]],1,Table2[[AwayTeam]:[AwayTeam]],$T12, Table2[[HomeTeam]:[HomeTeam]], AT$11, Table2[[ActualResult]:[ActualResult]], "OT") + SUMIFS(Table2[[AwayWon]:[AwayWon]], Table2[[GameIsOver]:[GameIsOver]],1,Table2[[HomeTeam]:[HomeTeam]],$T12, Table2[[AwayTeam]:[AwayTeam]], AT$11, Table2[[ActualResult]:[ActualResult]], "OT") + SUMIFS(Table2[[HomeWon_]:[HomeWon_]], Table2[[GameIsOver]:[GameIsOver]],1,Table2[[AwayTeam]:[AwayTeam]],$T12, Table2[[HomeTeam]:[HomeTeam]], AT$11, Table2[[ActualResult]:[ActualResult]], "SO") + SUMIFS(Table2[[AwayWon]:[AwayWon]], Table2[[GameIsOver]:[GameIsOver]],1,Table2[[HomeTeam]:[HomeTeam]],$T12, Table2[[AwayTeam]:[AwayTeam]], AT$11, Table2[[ActualResult]:[ActualResult]], "SO")))</calculatedColumnFormula>
    </tableColumn>
    <tableColumn id="29" xr3:uid="{3470BF5E-8A83-4F8B-BF4E-D0CDCCDAD061}" name="BUF" dataDxfId="124">
      <calculatedColumnFormula>(2*(SUMIFS(Table2[[AwayWon]:[AwayWon]], Table2[[GameIsOver]:[GameIsOver]],1,Table2[[AwayTeam]:[AwayTeam]],$T12, Table2[[HomeTeam]:[HomeTeam]], AU$11) + SUMIFS(Table2[[HomeWon_]:[HomeWon_]], Table2[[GameIsOver]:[GameIsOver]],1,Table2[[HomeTeam]:[HomeTeam]],$T12, Table2[[AwayTeam]:[AwayTeam]], AU$11))) + (0*(SUMIFS(Table2[[HomeWon_]:[HomeWon_]], Table2[[GameIsOver]:[GameIsOver]],1,Table2[[AwayTeam]:[AwayTeam]],$T12, Table2[[HomeTeam]:[HomeTeam]], AU$11, Table2[[ActualResult]:[ActualResult]], "REG") + SUMIFS(Table2[[AwayWon]:[AwayWon]], Table2[[GameIsOver]:[GameIsOver]],1,Table2[[HomeTeam]:[HomeTeam]],$T12, Table2[[AwayTeam]:[AwayTeam]], AU$11, Table2[[ActualResult]:[ActualResult]], "REG"))) + (1*(SUMIFS(Table2[[HomeWon_]:[HomeWon_]], Table2[[GameIsOver]:[GameIsOver]],1,Table2[[AwayTeam]:[AwayTeam]],$T12, Table2[[HomeTeam]:[HomeTeam]], AU$11, Table2[[ActualResult]:[ActualResult]], "OT") + SUMIFS(Table2[[AwayWon]:[AwayWon]], Table2[[GameIsOver]:[GameIsOver]],1,Table2[[HomeTeam]:[HomeTeam]],$T12, Table2[[AwayTeam]:[AwayTeam]], AU$11, Table2[[ActualResult]:[ActualResult]], "OT") + SUMIFS(Table2[[HomeWon_]:[HomeWon_]], Table2[[GameIsOver]:[GameIsOver]],1,Table2[[AwayTeam]:[AwayTeam]],$T12, Table2[[HomeTeam]:[HomeTeam]], AU$11, Table2[[ActualResult]:[ActualResult]], "SO") + SUMIFS(Table2[[AwayWon]:[AwayWon]], Table2[[GameIsOver]:[GameIsOver]],1,Table2[[HomeTeam]:[HomeTeam]],$T12, Table2[[AwayTeam]:[AwayTeam]], AU$11, Table2[[ActualResult]:[ActualResult]], "SO")))</calculatedColumnFormula>
    </tableColumn>
    <tableColumn id="30" xr3:uid="{F635D895-26DA-424C-85AE-319D0ACA5D3B}" name="DET" dataDxfId="123">
      <calculatedColumnFormula>(2*(SUMIFS(Table2[[AwayWon]:[AwayWon]], Table2[[GameIsOver]:[GameIsOver]],1,Table2[[AwayTeam]:[AwayTeam]],$T12, Table2[[HomeTeam]:[HomeTeam]], AV$11) + SUMIFS(Table2[[HomeWon_]:[HomeWon_]], Table2[[GameIsOver]:[GameIsOver]],1,Table2[[HomeTeam]:[HomeTeam]],$T12, Table2[[AwayTeam]:[AwayTeam]], AV$11))) + (0*(SUMIFS(Table2[[HomeWon_]:[HomeWon_]], Table2[[GameIsOver]:[GameIsOver]],1,Table2[[AwayTeam]:[AwayTeam]],$T12, Table2[[HomeTeam]:[HomeTeam]], AV$11, Table2[[ActualResult]:[ActualResult]], "REG") + SUMIFS(Table2[[AwayWon]:[AwayWon]], Table2[[GameIsOver]:[GameIsOver]],1,Table2[[HomeTeam]:[HomeTeam]],$T12, Table2[[AwayTeam]:[AwayTeam]], AV$11, Table2[[ActualResult]:[ActualResult]], "REG"))) + (1*(SUMIFS(Table2[[HomeWon_]:[HomeWon_]], Table2[[GameIsOver]:[GameIsOver]],1,Table2[[AwayTeam]:[AwayTeam]],$T12, Table2[[HomeTeam]:[HomeTeam]], AV$11, Table2[[ActualResult]:[ActualResult]], "OT") + SUMIFS(Table2[[AwayWon]:[AwayWon]], Table2[[GameIsOver]:[GameIsOver]],1,Table2[[HomeTeam]:[HomeTeam]],$T12, Table2[[AwayTeam]:[AwayTeam]], AV$11, Table2[[ActualResult]:[ActualResult]], "OT") + SUMIFS(Table2[[HomeWon_]:[HomeWon_]], Table2[[GameIsOver]:[GameIsOver]],1,Table2[[AwayTeam]:[AwayTeam]],$T12, Table2[[HomeTeam]:[HomeTeam]], AV$11, Table2[[ActualResult]:[ActualResult]], "SO") + SUMIFS(Table2[[AwayWon]:[AwayWon]], Table2[[GameIsOver]:[GameIsOver]],1,Table2[[HomeTeam]:[HomeTeam]],$T12, Table2[[AwayTeam]:[AwayTeam]], AV$11, Table2[[ActualResult]:[ActualResult]], "SO")))</calculatedColumnFormula>
    </tableColumn>
    <tableColumn id="31" xr3:uid="{B9CD3270-65C8-49AA-9DFE-919A8AA5D070}" name="FLA" dataDxfId="122">
      <calculatedColumnFormula>(2*(SUMIFS(Table2[[AwayWon]:[AwayWon]], Table2[[GameIsOver]:[GameIsOver]],1,Table2[[AwayTeam]:[AwayTeam]],$T12, Table2[[HomeTeam]:[HomeTeam]], AW$11) + SUMIFS(Table2[[HomeWon_]:[HomeWon_]], Table2[[GameIsOver]:[GameIsOver]],1,Table2[[HomeTeam]:[HomeTeam]],$T12, Table2[[AwayTeam]:[AwayTeam]], AW$11))) + (0*(SUMIFS(Table2[[HomeWon_]:[HomeWon_]], Table2[[GameIsOver]:[GameIsOver]],1,Table2[[AwayTeam]:[AwayTeam]],$T12, Table2[[HomeTeam]:[HomeTeam]], AW$11, Table2[[ActualResult]:[ActualResult]], "REG") + SUMIFS(Table2[[AwayWon]:[AwayWon]], Table2[[GameIsOver]:[GameIsOver]],1,Table2[[HomeTeam]:[HomeTeam]],$T12, Table2[[AwayTeam]:[AwayTeam]], AW$11, Table2[[ActualResult]:[ActualResult]], "REG"))) + (1*(SUMIFS(Table2[[HomeWon_]:[HomeWon_]], Table2[[GameIsOver]:[GameIsOver]],1,Table2[[AwayTeam]:[AwayTeam]],$T12, Table2[[HomeTeam]:[HomeTeam]], AW$11, Table2[[ActualResult]:[ActualResult]], "OT") + SUMIFS(Table2[[AwayWon]:[AwayWon]], Table2[[GameIsOver]:[GameIsOver]],1,Table2[[HomeTeam]:[HomeTeam]],$T12, Table2[[AwayTeam]:[AwayTeam]], AW$11, Table2[[ActualResult]:[ActualResult]], "OT") + SUMIFS(Table2[[HomeWon_]:[HomeWon_]], Table2[[GameIsOver]:[GameIsOver]],1,Table2[[AwayTeam]:[AwayTeam]],$T12, Table2[[HomeTeam]:[HomeTeam]], AW$11, Table2[[ActualResult]:[ActualResult]], "SO") + SUMIFS(Table2[[AwayWon]:[AwayWon]], Table2[[GameIsOver]:[GameIsOver]],1,Table2[[HomeTeam]:[HomeTeam]],$T12, Table2[[AwayTeam]:[AwayTeam]], AW$11, Table2[[ActualResult]:[ActualResult]], "SO")))</calculatedColumnFormula>
    </tableColumn>
    <tableColumn id="32" xr3:uid="{BC5B2FE5-D192-4F27-BC5E-C5A213B58D13}" name="MTL" dataDxfId="121">
      <calculatedColumnFormula>(2*(SUMIFS(Table2[[AwayWon]:[AwayWon]], Table2[[GameIsOver]:[GameIsOver]],1,Table2[[AwayTeam]:[AwayTeam]],$T12, Table2[[HomeTeam]:[HomeTeam]], AX$11) + SUMIFS(Table2[[HomeWon_]:[HomeWon_]], Table2[[GameIsOver]:[GameIsOver]],1,Table2[[HomeTeam]:[HomeTeam]],$T12, Table2[[AwayTeam]:[AwayTeam]], AX$11))) + (0*(SUMIFS(Table2[[HomeWon_]:[HomeWon_]], Table2[[GameIsOver]:[GameIsOver]],1,Table2[[AwayTeam]:[AwayTeam]],$T12, Table2[[HomeTeam]:[HomeTeam]], AX$11, Table2[[ActualResult]:[ActualResult]], "REG") + SUMIFS(Table2[[AwayWon]:[AwayWon]], Table2[[GameIsOver]:[GameIsOver]],1,Table2[[HomeTeam]:[HomeTeam]],$T12, Table2[[AwayTeam]:[AwayTeam]], AX$11, Table2[[ActualResult]:[ActualResult]], "REG"))) + (1*(SUMIFS(Table2[[HomeWon_]:[HomeWon_]], Table2[[GameIsOver]:[GameIsOver]],1,Table2[[AwayTeam]:[AwayTeam]],$T12, Table2[[HomeTeam]:[HomeTeam]], AX$11, Table2[[ActualResult]:[ActualResult]], "OT") + SUMIFS(Table2[[AwayWon]:[AwayWon]], Table2[[GameIsOver]:[GameIsOver]],1,Table2[[HomeTeam]:[HomeTeam]],$T12, Table2[[AwayTeam]:[AwayTeam]], AX$11, Table2[[ActualResult]:[ActualResult]], "OT") + SUMIFS(Table2[[HomeWon_]:[HomeWon_]], Table2[[GameIsOver]:[GameIsOver]],1,Table2[[AwayTeam]:[AwayTeam]],$T12, Table2[[HomeTeam]:[HomeTeam]], AX$11, Table2[[ActualResult]:[ActualResult]], "SO") + SUMIFS(Table2[[AwayWon]:[AwayWon]], Table2[[GameIsOver]:[GameIsOver]],1,Table2[[HomeTeam]:[HomeTeam]],$T12, Table2[[AwayTeam]:[AwayTeam]], AX$11, Table2[[ActualResult]:[ActualResult]], "SO")))</calculatedColumnFormula>
    </tableColumn>
    <tableColumn id="33" xr3:uid="{665A68FF-FA12-4A14-B645-E03DF17A2B08}" name="OTT" dataDxfId="120">
      <calculatedColumnFormula>(2*(SUMIFS(Table2[[AwayWon]:[AwayWon]], Table2[[GameIsOver]:[GameIsOver]],1,Table2[[AwayTeam]:[AwayTeam]],$T12, Table2[[HomeTeam]:[HomeTeam]], AY$11) + SUMIFS(Table2[[HomeWon_]:[HomeWon_]], Table2[[GameIsOver]:[GameIsOver]],1,Table2[[HomeTeam]:[HomeTeam]],$T12, Table2[[AwayTeam]:[AwayTeam]], AY$11))) + (0*(SUMIFS(Table2[[HomeWon_]:[HomeWon_]], Table2[[GameIsOver]:[GameIsOver]],1,Table2[[AwayTeam]:[AwayTeam]],$T12, Table2[[HomeTeam]:[HomeTeam]], AY$11, Table2[[ActualResult]:[ActualResult]], "REG") + SUMIFS(Table2[[AwayWon]:[AwayWon]], Table2[[GameIsOver]:[GameIsOver]],1,Table2[[HomeTeam]:[HomeTeam]],$T12, Table2[[AwayTeam]:[AwayTeam]], AY$11, Table2[[ActualResult]:[ActualResult]], "REG"))) + (1*(SUMIFS(Table2[[HomeWon_]:[HomeWon_]], Table2[[GameIsOver]:[GameIsOver]],1,Table2[[AwayTeam]:[AwayTeam]],$T12, Table2[[HomeTeam]:[HomeTeam]], AY$11, Table2[[ActualResult]:[ActualResult]], "OT") + SUMIFS(Table2[[AwayWon]:[AwayWon]], Table2[[GameIsOver]:[GameIsOver]],1,Table2[[HomeTeam]:[HomeTeam]],$T12, Table2[[AwayTeam]:[AwayTeam]], AY$11, Table2[[ActualResult]:[ActualResult]], "OT") + SUMIFS(Table2[[HomeWon_]:[HomeWon_]], Table2[[GameIsOver]:[GameIsOver]],1,Table2[[AwayTeam]:[AwayTeam]],$T12, Table2[[HomeTeam]:[HomeTeam]], AY$11, Table2[[ActualResult]:[ActualResult]], "SO") + SUMIFS(Table2[[AwayWon]:[AwayWon]], Table2[[GameIsOver]:[GameIsOver]],1,Table2[[HomeTeam]:[HomeTeam]],$T12, Table2[[AwayTeam]:[AwayTeam]], AY$11, Table2[[ActualResult]:[ActualResult]], "SO")))</calculatedColumnFormula>
    </tableColumn>
    <tableColumn id="34" xr3:uid="{D0E213F8-34F1-4AFB-AC47-BA961EB6A423}" name="TBL" dataDxfId="119">
      <calculatedColumnFormula>(2*(SUMIFS(Table2[[AwayWon]:[AwayWon]], Table2[[GameIsOver]:[GameIsOver]],1,Table2[[AwayTeam]:[AwayTeam]],$T12, Table2[[HomeTeam]:[HomeTeam]], AZ$11) + SUMIFS(Table2[[HomeWon_]:[HomeWon_]], Table2[[GameIsOver]:[GameIsOver]],1,Table2[[HomeTeam]:[HomeTeam]],$T12, Table2[[AwayTeam]:[AwayTeam]], AZ$11))) + (0*(SUMIFS(Table2[[HomeWon_]:[HomeWon_]], Table2[[GameIsOver]:[GameIsOver]],1,Table2[[AwayTeam]:[AwayTeam]],$T12, Table2[[HomeTeam]:[HomeTeam]], AZ$11, Table2[[ActualResult]:[ActualResult]], "REG") + SUMIFS(Table2[[AwayWon]:[AwayWon]], Table2[[GameIsOver]:[GameIsOver]],1,Table2[[HomeTeam]:[HomeTeam]],$T12, Table2[[AwayTeam]:[AwayTeam]], AZ$11, Table2[[ActualResult]:[ActualResult]], "REG"))) + (1*(SUMIFS(Table2[[HomeWon_]:[HomeWon_]], Table2[[GameIsOver]:[GameIsOver]],1,Table2[[AwayTeam]:[AwayTeam]],$T12, Table2[[HomeTeam]:[HomeTeam]], AZ$11, Table2[[ActualResult]:[ActualResult]], "OT") + SUMIFS(Table2[[AwayWon]:[AwayWon]], Table2[[GameIsOver]:[GameIsOver]],1,Table2[[HomeTeam]:[HomeTeam]],$T12, Table2[[AwayTeam]:[AwayTeam]], AZ$11, Table2[[ActualResult]:[ActualResult]], "OT") + SUMIFS(Table2[[HomeWon_]:[HomeWon_]], Table2[[GameIsOver]:[GameIsOver]],1,Table2[[AwayTeam]:[AwayTeam]],$T12, Table2[[HomeTeam]:[HomeTeam]], AZ$11, Table2[[ActualResult]:[ActualResult]], "SO") + SUMIFS(Table2[[AwayWon]:[AwayWon]], Table2[[GameIsOver]:[GameIsOver]],1,Table2[[HomeTeam]:[HomeTeam]],$T12, Table2[[AwayTeam]:[AwayTeam]], AZ$11, Table2[[ActualResult]:[ActualResult]], "SO")))</calculatedColumnFormula>
    </tableColumn>
    <tableColumn id="35" xr3:uid="{A6DD5253-52EA-4269-BB7D-8838107A6ED3}" name="TOR" dataDxfId="118">
      <calculatedColumnFormula>(2*(SUMIFS(Table2[[AwayWon]:[AwayWon]], Table2[[GameIsOver]:[GameIsOver]],1,Table2[[AwayTeam]:[AwayTeam]],$T12, Table2[[HomeTeam]:[HomeTeam]], BA$11) + SUMIFS(Table2[[HomeWon_]:[HomeWon_]], Table2[[GameIsOver]:[GameIsOver]],1,Table2[[HomeTeam]:[HomeTeam]],$T12, Table2[[AwayTeam]:[AwayTeam]], BA$11))) + (0*(SUMIFS(Table2[[HomeWon_]:[HomeWon_]], Table2[[GameIsOver]:[GameIsOver]],1,Table2[[AwayTeam]:[AwayTeam]],$T12, Table2[[HomeTeam]:[HomeTeam]], BA$11, Table2[[ActualResult]:[ActualResult]], "REG") + SUMIFS(Table2[[AwayWon]:[AwayWon]], Table2[[GameIsOver]:[GameIsOver]],1,Table2[[HomeTeam]:[HomeTeam]],$T12, Table2[[AwayTeam]:[AwayTeam]], BA$11, Table2[[ActualResult]:[ActualResult]], "REG"))) + (1*(SUMIFS(Table2[[HomeWon_]:[HomeWon_]], Table2[[GameIsOver]:[GameIsOver]],1,Table2[[AwayTeam]:[AwayTeam]],$T12, Table2[[HomeTeam]:[HomeTeam]], BA$11, Table2[[ActualResult]:[ActualResult]], "OT") + SUMIFS(Table2[[AwayWon]:[AwayWon]], Table2[[GameIsOver]:[GameIsOver]],1,Table2[[HomeTeam]:[HomeTeam]],$T12, Table2[[AwayTeam]:[AwayTeam]], BA$11, Table2[[ActualResult]:[ActualResult]], "OT") + SUMIFS(Table2[[HomeWon_]:[HomeWon_]], Table2[[GameIsOver]:[GameIsOver]],1,Table2[[AwayTeam]:[AwayTeam]],$T12, Table2[[HomeTeam]:[HomeTeam]], BA$11, Table2[[ActualResult]:[ActualResult]], "SO") + SUMIFS(Table2[[AwayWon]:[AwayWon]], Table2[[GameIsOver]:[GameIsOver]],1,Table2[[HomeTeam]:[HomeTeam]],$T12, Table2[[AwayTeam]:[AwayTeam]], BA$11, Table2[[ActualResult]:[ActualResult]], "SO")))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CEFD489-0457-4DB6-9F36-1691C1262715}" name="Table712" displayName="Table712" ref="S21:BA29" totalsRowShown="0">
  <autoFilter ref="S21:BA29" xr:uid="{BCEFD489-0457-4DB6-9F36-1691C1262715}"/>
  <sortState xmlns:xlrd2="http://schemas.microsoft.com/office/spreadsheetml/2017/richdata2" ref="S22:BA29">
    <sortCondition descending="1" ref="U21:U29"/>
  </sortState>
  <tableColumns count="35">
    <tableColumn id="1" xr3:uid="{22988117-9135-4B5C-ACBA-5DF785136833}" name="MET"/>
    <tableColumn id="2" xr3:uid="{20D78A0B-C405-4BA0-A813-76C6C5EC9DA9}" name="Teams" dataDxfId="117">
      <calculatedColumnFormula array="1">INDEX(Table6[Teams], SMALL(IF(Table6[D]="M", ROW(Table6[Teams])-ROW(Table6[#Headers])), Table712[[#This Row],[MET]]))</calculatedColumnFormula>
    </tableColumn>
    <tableColumn id="3" xr3:uid="{1302A7B2-D840-4D4E-81B6-0A56BA0C83ED}" name="Pts" dataDxfId="116">
      <calculatedColumnFormula>INDEX(Table6[PTS], MATCH($T22, Table6[Teams], 0))</calculatedColumnFormula>
    </tableColumn>
    <tableColumn id="4" xr3:uid="{3DA1C0D4-49FC-4E4D-8B98-108051EF4486}" name="ANA" dataDxfId="115">
      <calculatedColumnFormula>(2*(SUMIFS(Table2[[AwayWon]:[AwayWon]], Table2[[GameIsOver]:[GameIsOver]],1,Table2[[AwayTeam]:[AwayTeam]],$T22, Table2[[HomeTeam]:[HomeTeam]], V$21) + SUMIFS(Table2[[HomeWon_]:[HomeWon_]], Table2[[GameIsOver]:[GameIsOver]],1,Table2[[HomeTeam]:[HomeTeam]],$T22, Table2[[AwayTeam]:[AwayTeam]], V$21))) + (0*(SUMIFS(Table2[[HomeWon_]:[HomeWon_]], Table2[[GameIsOver]:[GameIsOver]],1,Table2[[AwayTeam]:[AwayTeam]],$T22, Table2[[HomeTeam]:[HomeTeam]], V$21, Table2[[ActualResult]:[ActualResult]], "REG") + SUMIFS(Table2[[AwayWon]:[AwayWon]], Table2[[GameIsOver]:[GameIsOver]],1,Table2[[HomeTeam]:[HomeTeam]],$T22, Table2[[AwayTeam]:[AwayTeam]], V$21, Table2[[ActualResult]:[ActualResult]], "REG"))) + (1*(SUMIFS(Table2[[HomeWon_]:[HomeWon_]], Table2[[GameIsOver]:[GameIsOver]],1,Table2[[AwayTeam]:[AwayTeam]],$T22, Table2[[HomeTeam]:[HomeTeam]], V$21, Table2[[ActualResult]:[ActualResult]], "OT") + SUMIFS(Table2[[AwayWon]:[AwayWon]], Table2[[GameIsOver]:[GameIsOver]],1,Table2[[HomeTeam]:[HomeTeam]],$T22, Table2[[AwayTeam]:[AwayTeam]], V$21, Table2[[ActualResult]:[ActualResult]], "OT") + SUMIFS(Table2[[HomeWon_]:[HomeWon_]], Table2[[GameIsOver]:[GameIsOver]],1,Table2[[AwayTeam]:[AwayTeam]],$T22, Table2[[HomeTeam]:[HomeTeam]], V$21, Table2[[ActualResult]:[ActualResult]], "SO") + SUMIFS(Table2[[AwayWon]:[AwayWon]], Table2[[GameIsOver]:[GameIsOver]],1,Table2[[HomeTeam]:[HomeTeam]],$T22, Table2[[AwayTeam]:[AwayTeam]], V$21, Table2[[ActualResult]:[ActualResult]], "SO")))</calculatedColumnFormula>
    </tableColumn>
    <tableColumn id="5" xr3:uid="{8035359F-9B15-4486-9361-DCD39E9B0C0D}" name="CGY" dataDxfId="114">
      <calculatedColumnFormula>(2*(SUMIFS(Table2[[AwayWon]:[AwayWon]], Table2[[GameIsOver]:[GameIsOver]],1,Table2[[AwayTeam]:[AwayTeam]],$T22, Table2[[HomeTeam]:[HomeTeam]], W$21) + SUMIFS(Table2[[HomeWon_]:[HomeWon_]], Table2[[GameIsOver]:[GameIsOver]],1,Table2[[HomeTeam]:[HomeTeam]],$T22, Table2[[AwayTeam]:[AwayTeam]], W$21))) + (0*(SUMIFS(Table2[[HomeWon_]:[HomeWon_]], Table2[[GameIsOver]:[GameIsOver]],1,Table2[[AwayTeam]:[AwayTeam]],$T22, Table2[[HomeTeam]:[HomeTeam]], W$21, Table2[[ActualResult]:[ActualResult]], "REG") + SUMIFS(Table2[[AwayWon]:[AwayWon]], Table2[[GameIsOver]:[GameIsOver]],1,Table2[[HomeTeam]:[HomeTeam]],$T22, Table2[[AwayTeam]:[AwayTeam]], W$21, Table2[[ActualResult]:[ActualResult]], "REG"))) + (1*(SUMIFS(Table2[[HomeWon_]:[HomeWon_]], Table2[[GameIsOver]:[GameIsOver]],1,Table2[[AwayTeam]:[AwayTeam]],$T22, Table2[[HomeTeam]:[HomeTeam]], W$21, Table2[[ActualResult]:[ActualResult]], "OT") + SUMIFS(Table2[[AwayWon]:[AwayWon]], Table2[[GameIsOver]:[GameIsOver]],1,Table2[[HomeTeam]:[HomeTeam]],$T22, Table2[[AwayTeam]:[AwayTeam]], W$21, Table2[[ActualResult]:[ActualResult]], "OT") + SUMIFS(Table2[[HomeWon_]:[HomeWon_]], Table2[[GameIsOver]:[GameIsOver]],1,Table2[[AwayTeam]:[AwayTeam]],$T22, Table2[[HomeTeam]:[HomeTeam]], W$21, Table2[[ActualResult]:[ActualResult]], "SO") + SUMIFS(Table2[[AwayWon]:[AwayWon]], Table2[[GameIsOver]:[GameIsOver]],1,Table2[[HomeTeam]:[HomeTeam]],$T22, Table2[[AwayTeam]:[AwayTeam]], W$21, Table2[[ActualResult]:[ActualResult]], "SO")))</calculatedColumnFormula>
    </tableColumn>
    <tableColumn id="6" xr3:uid="{A2BD81C9-E276-4038-A688-A353BDCE093C}" name="EDM" dataDxfId="113">
      <calculatedColumnFormula>(2*(SUMIFS(Table2[[AwayWon]:[AwayWon]], Table2[[GameIsOver]:[GameIsOver]],1,Table2[[AwayTeam]:[AwayTeam]],$T22, Table2[[HomeTeam]:[HomeTeam]], X$21) + SUMIFS(Table2[[HomeWon_]:[HomeWon_]], Table2[[GameIsOver]:[GameIsOver]],1,Table2[[HomeTeam]:[HomeTeam]],$T22, Table2[[AwayTeam]:[AwayTeam]], X$21))) + (0*(SUMIFS(Table2[[HomeWon_]:[HomeWon_]], Table2[[GameIsOver]:[GameIsOver]],1,Table2[[AwayTeam]:[AwayTeam]],$T22, Table2[[HomeTeam]:[HomeTeam]], X$21, Table2[[ActualResult]:[ActualResult]], "REG") + SUMIFS(Table2[[AwayWon]:[AwayWon]], Table2[[GameIsOver]:[GameIsOver]],1,Table2[[HomeTeam]:[HomeTeam]],$T22, Table2[[AwayTeam]:[AwayTeam]], X$21, Table2[[ActualResult]:[ActualResult]], "REG"))) + (1*(SUMIFS(Table2[[HomeWon_]:[HomeWon_]], Table2[[GameIsOver]:[GameIsOver]],1,Table2[[AwayTeam]:[AwayTeam]],$T22, Table2[[HomeTeam]:[HomeTeam]], X$21, Table2[[ActualResult]:[ActualResult]], "OT") + SUMIFS(Table2[[AwayWon]:[AwayWon]], Table2[[GameIsOver]:[GameIsOver]],1,Table2[[HomeTeam]:[HomeTeam]],$T22, Table2[[AwayTeam]:[AwayTeam]], X$21, Table2[[ActualResult]:[ActualResult]], "OT") + SUMIFS(Table2[[HomeWon_]:[HomeWon_]], Table2[[GameIsOver]:[GameIsOver]],1,Table2[[AwayTeam]:[AwayTeam]],$T22, Table2[[HomeTeam]:[HomeTeam]], X$21, Table2[[ActualResult]:[ActualResult]], "SO") + SUMIFS(Table2[[AwayWon]:[AwayWon]], Table2[[GameIsOver]:[GameIsOver]],1,Table2[[HomeTeam]:[HomeTeam]],$T22, Table2[[AwayTeam]:[AwayTeam]], X$21, Table2[[ActualResult]:[ActualResult]], "SO")))</calculatedColumnFormula>
    </tableColumn>
    <tableColumn id="7" xr3:uid="{9A52156B-D892-40F1-A92A-F6E4DC4EA446}" name="LAK" dataDxfId="112">
      <calculatedColumnFormula>(2*(SUMIFS(Table2[[AwayWon]:[AwayWon]], Table2[[GameIsOver]:[GameIsOver]],1,Table2[[AwayTeam]:[AwayTeam]],$T22, Table2[[HomeTeam]:[HomeTeam]], Y$21) + SUMIFS(Table2[[HomeWon_]:[HomeWon_]], Table2[[GameIsOver]:[GameIsOver]],1,Table2[[HomeTeam]:[HomeTeam]],$T22, Table2[[AwayTeam]:[AwayTeam]], Y$21))) + (0*(SUMIFS(Table2[[HomeWon_]:[HomeWon_]], Table2[[GameIsOver]:[GameIsOver]],1,Table2[[AwayTeam]:[AwayTeam]],$T22, Table2[[HomeTeam]:[HomeTeam]], Y$21, Table2[[ActualResult]:[ActualResult]], "REG") + SUMIFS(Table2[[AwayWon]:[AwayWon]], Table2[[GameIsOver]:[GameIsOver]],1,Table2[[HomeTeam]:[HomeTeam]],$T22, Table2[[AwayTeam]:[AwayTeam]], Y$21, Table2[[ActualResult]:[ActualResult]], "REG"))) + (1*(SUMIFS(Table2[[HomeWon_]:[HomeWon_]], Table2[[GameIsOver]:[GameIsOver]],1,Table2[[AwayTeam]:[AwayTeam]],$T22, Table2[[HomeTeam]:[HomeTeam]], Y$21, Table2[[ActualResult]:[ActualResult]], "OT") + SUMIFS(Table2[[AwayWon]:[AwayWon]], Table2[[GameIsOver]:[GameIsOver]],1,Table2[[HomeTeam]:[HomeTeam]],$T22, Table2[[AwayTeam]:[AwayTeam]], Y$21, Table2[[ActualResult]:[ActualResult]], "OT") + SUMIFS(Table2[[HomeWon_]:[HomeWon_]], Table2[[GameIsOver]:[GameIsOver]],1,Table2[[AwayTeam]:[AwayTeam]],$T22, Table2[[HomeTeam]:[HomeTeam]], Y$21, Table2[[ActualResult]:[ActualResult]], "SO") + SUMIFS(Table2[[AwayWon]:[AwayWon]], Table2[[GameIsOver]:[GameIsOver]],1,Table2[[HomeTeam]:[HomeTeam]],$T22, Table2[[AwayTeam]:[AwayTeam]], Y$21, Table2[[ActualResult]:[ActualResult]], "SO")))</calculatedColumnFormula>
    </tableColumn>
    <tableColumn id="8" xr3:uid="{E3647074-7D13-4706-A59E-F45F71160853}" name="SEA" dataDxfId="111">
      <calculatedColumnFormula>(2*(SUMIFS(Table2[[AwayWon]:[AwayWon]], Table2[[GameIsOver]:[GameIsOver]],1,Table2[[AwayTeam]:[AwayTeam]],$T22, Table2[[HomeTeam]:[HomeTeam]], Z$21) + SUMIFS(Table2[[HomeWon_]:[HomeWon_]], Table2[[GameIsOver]:[GameIsOver]],1,Table2[[HomeTeam]:[HomeTeam]],$T22, Table2[[AwayTeam]:[AwayTeam]], Z$21))) + (0*(SUMIFS(Table2[[HomeWon_]:[HomeWon_]], Table2[[GameIsOver]:[GameIsOver]],1,Table2[[AwayTeam]:[AwayTeam]],$T22, Table2[[HomeTeam]:[HomeTeam]], Z$21, Table2[[ActualResult]:[ActualResult]], "REG") + SUMIFS(Table2[[AwayWon]:[AwayWon]], Table2[[GameIsOver]:[GameIsOver]],1,Table2[[HomeTeam]:[HomeTeam]],$T22, Table2[[AwayTeam]:[AwayTeam]], Z$21, Table2[[ActualResult]:[ActualResult]], "REG"))) + (1*(SUMIFS(Table2[[HomeWon_]:[HomeWon_]], Table2[[GameIsOver]:[GameIsOver]],1,Table2[[AwayTeam]:[AwayTeam]],$T22, Table2[[HomeTeam]:[HomeTeam]], Z$21, Table2[[ActualResult]:[ActualResult]], "OT") + SUMIFS(Table2[[AwayWon]:[AwayWon]], Table2[[GameIsOver]:[GameIsOver]],1,Table2[[HomeTeam]:[HomeTeam]],$T22, Table2[[AwayTeam]:[AwayTeam]], Z$21, Table2[[ActualResult]:[ActualResult]], "OT") + SUMIFS(Table2[[HomeWon_]:[HomeWon_]], Table2[[GameIsOver]:[GameIsOver]],1,Table2[[AwayTeam]:[AwayTeam]],$T22, Table2[[HomeTeam]:[HomeTeam]], Z$21, Table2[[ActualResult]:[ActualResult]], "SO") + SUMIFS(Table2[[AwayWon]:[AwayWon]], Table2[[GameIsOver]:[GameIsOver]],1,Table2[[HomeTeam]:[HomeTeam]],$T22, Table2[[AwayTeam]:[AwayTeam]], Z$21, Table2[[ActualResult]:[ActualResult]], "SO")))</calculatedColumnFormula>
    </tableColumn>
    <tableColumn id="9" xr3:uid="{AD92BB74-23E7-468D-B2CF-FD10BB2D280B}" name="SJS" dataDxfId="110">
      <calculatedColumnFormula>(2*(SUMIFS(Table2[[AwayWon]:[AwayWon]], Table2[[GameIsOver]:[GameIsOver]],1,Table2[[AwayTeam]:[AwayTeam]],$T22, Table2[[HomeTeam]:[HomeTeam]], AA$21) + SUMIFS(Table2[[HomeWon_]:[HomeWon_]], Table2[[GameIsOver]:[GameIsOver]],1,Table2[[HomeTeam]:[HomeTeam]],$T22, Table2[[AwayTeam]:[AwayTeam]], AA$21))) + (0*(SUMIFS(Table2[[HomeWon_]:[HomeWon_]], Table2[[GameIsOver]:[GameIsOver]],1,Table2[[AwayTeam]:[AwayTeam]],$T22, Table2[[HomeTeam]:[HomeTeam]], AA$21, Table2[[ActualResult]:[ActualResult]], "REG") + SUMIFS(Table2[[AwayWon]:[AwayWon]], Table2[[GameIsOver]:[GameIsOver]],1,Table2[[HomeTeam]:[HomeTeam]],$T22, Table2[[AwayTeam]:[AwayTeam]], AA$21, Table2[[ActualResult]:[ActualResult]], "REG"))) + (1*(SUMIFS(Table2[[HomeWon_]:[HomeWon_]], Table2[[GameIsOver]:[GameIsOver]],1,Table2[[AwayTeam]:[AwayTeam]],$T22, Table2[[HomeTeam]:[HomeTeam]], AA$21, Table2[[ActualResult]:[ActualResult]], "OT") + SUMIFS(Table2[[AwayWon]:[AwayWon]], Table2[[GameIsOver]:[GameIsOver]],1,Table2[[HomeTeam]:[HomeTeam]],$T22, Table2[[AwayTeam]:[AwayTeam]], AA$21, Table2[[ActualResult]:[ActualResult]], "OT") + SUMIFS(Table2[[HomeWon_]:[HomeWon_]], Table2[[GameIsOver]:[GameIsOver]],1,Table2[[AwayTeam]:[AwayTeam]],$T22, Table2[[HomeTeam]:[HomeTeam]], AA$21, Table2[[ActualResult]:[ActualResult]], "SO") + SUMIFS(Table2[[AwayWon]:[AwayWon]], Table2[[GameIsOver]:[GameIsOver]],1,Table2[[HomeTeam]:[HomeTeam]],$T22, Table2[[AwayTeam]:[AwayTeam]], AA$21, Table2[[ActualResult]:[ActualResult]], "SO")))</calculatedColumnFormula>
    </tableColumn>
    <tableColumn id="10" xr3:uid="{02FE2E3C-5AEF-4D56-BA5B-1030AE2C1DA7}" name="VAN" dataDxfId="109">
      <calculatedColumnFormula>(2*(SUMIFS(Table2[[AwayWon]:[AwayWon]], Table2[[GameIsOver]:[GameIsOver]],1,Table2[[AwayTeam]:[AwayTeam]],$T22, Table2[[HomeTeam]:[HomeTeam]], AB$21) + SUMIFS(Table2[[HomeWon_]:[HomeWon_]], Table2[[GameIsOver]:[GameIsOver]],1,Table2[[HomeTeam]:[HomeTeam]],$T22, Table2[[AwayTeam]:[AwayTeam]], AB$21))) + (0*(SUMIFS(Table2[[HomeWon_]:[HomeWon_]], Table2[[GameIsOver]:[GameIsOver]],1,Table2[[AwayTeam]:[AwayTeam]],$T22, Table2[[HomeTeam]:[HomeTeam]], AB$21, Table2[[ActualResult]:[ActualResult]], "REG") + SUMIFS(Table2[[AwayWon]:[AwayWon]], Table2[[GameIsOver]:[GameIsOver]],1,Table2[[HomeTeam]:[HomeTeam]],$T22, Table2[[AwayTeam]:[AwayTeam]], AB$21, Table2[[ActualResult]:[ActualResult]], "REG"))) + (1*(SUMIFS(Table2[[HomeWon_]:[HomeWon_]], Table2[[GameIsOver]:[GameIsOver]],1,Table2[[AwayTeam]:[AwayTeam]],$T22, Table2[[HomeTeam]:[HomeTeam]], AB$21, Table2[[ActualResult]:[ActualResult]], "OT") + SUMIFS(Table2[[AwayWon]:[AwayWon]], Table2[[GameIsOver]:[GameIsOver]],1,Table2[[HomeTeam]:[HomeTeam]],$T22, Table2[[AwayTeam]:[AwayTeam]], AB$21, Table2[[ActualResult]:[ActualResult]], "OT") + SUMIFS(Table2[[HomeWon_]:[HomeWon_]], Table2[[GameIsOver]:[GameIsOver]],1,Table2[[AwayTeam]:[AwayTeam]],$T22, Table2[[HomeTeam]:[HomeTeam]], AB$21, Table2[[ActualResult]:[ActualResult]], "SO") + SUMIFS(Table2[[AwayWon]:[AwayWon]], Table2[[GameIsOver]:[GameIsOver]],1,Table2[[HomeTeam]:[HomeTeam]],$T22, Table2[[AwayTeam]:[AwayTeam]], AB$21, Table2[[ActualResult]:[ActualResult]], "SO")))</calculatedColumnFormula>
    </tableColumn>
    <tableColumn id="11" xr3:uid="{42DD9C42-FEE8-4C92-8876-B9BDF73694A8}" name="VGK" dataDxfId="108">
      <calculatedColumnFormula>(2*(SUMIFS(Table2[[AwayWon]:[AwayWon]], Table2[[GameIsOver]:[GameIsOver]],1,Table2[[AwayTeam]:[AwayTeam]],$T22, Table2[[HomeTeam]:[HomeTeam]], AC$21) + SUMIFS(Table2[[HomeWon_]:[HomeWon_]], Table2[[GameIsOver]:[GameIsOver]],1,Table2[[HomeTeam]:[HomeTeam]],$T22, Table2[[AwayTeam]:[AwayTeam]], AC$21))) + (0*(SUMIFS(Table2[[HomeWon_]:[HomeWon_]], Table2[[GameIsOver]:[GameIsOver]],1,Table2[[AwayTeam]:[AwayTeam]],$T22, Table2[[HomeTeam]:[HomeTeam]], AC$21, Table2[[ActualResult]:[ActualResult]], "REG") + SUMIFS(Table2[[AwayWon]:[AwayWon]], Table2[[GameIsOver]:[GameIsOver]],1,Table2[[HomeTeam]:[HomeTeam]],$T22, Table2[[AwayTeam]:[AwayTeam]], AC$21, Table2[[ActualResult]:[ActualResult]], "REG"))) + (1*(SUMIFS(Table2[[HomeWon_]:[HomeWon_]], Table2[[GameIsOver]:[GameIsOver]],1,Table2[[AwayTeam]:[AwayTeam]],$T22, Table2[[HomeTeam]:[HomeTeam]], AC$21, Table2[[ActualResult]:[ActualResult]], "OT") + SUMIFS(Table2[[AwayWon]:[AwayWon]], Table2[[GameIsOver]:[GameIsOver]],1,Table2[[HomeTeam]:[HomeTeam]],$T22, Table2[[AwayTeam]:[AwayTeam]], AC$21, Table2[[ActualResult]:[ActualResult]], "OT") + SUMIFS(Table2[[HomeWon_]:[HomeWon_]], Table2[[GameIsOver]:[GameIsOver]],1,Table2[[AwayTeam]:[AwayTeam]],$T22, Table2[[HomeTeam]:[HomeTeam]], AC$21, Table2[[ActualResult]:[ActualResult]], "SO") + SUMIFS(Table2[[AwayWon]:[AwayWon]], Table2[[GameIsOver]:[GameIsOver]],1,Table2[[HomeTeam]:[HomeTeam]],$T22, Table2[[AwayTeam]:[AwayTeam]], AC$21, Table2[[ActualResult]:[ActualResult]], "SO")))</calculatedColumnFormula>
    </tableColumn>
    <tableColumn id="12" xr3:uid="{2FF9950F-5CFB-4394-A24C-90AE65447CFF}" name="CHI" dataDxfId="107">
      <calculatedColumnFormula>(2*(SUMIFS(Table2[[AwayWon]:[AwayWon]], Table2[[GameIsOver]:[GameIsOver]],1,Table2[[AwayTeam]:[AwayTeam]],$T22, Table2[[HomeTeam]:[HomeTeam]], AD$21) + SUMIFS(Table2[[HomeWon_]:[HomeWon_]], Table2[[GameIsOver]:[GameIsOver]],1,Table2[[HomeTeam]:[HomeTeam]],$T22, Table2[[AwayTeam]:[AwayTeam]], AD$21))) + (0*(SUMIFS(Table2[[HomeWon_]:[HomeWon_]], Table2[[GameIsOver]:[GameIsOver]],1,Table2[[AwayTeam]:[AwayTeam]],$T22, Table2[[HomeTeam]:[HomeTeam]], AD$21, Table2[[ActualResult]:[ActualResult]], "REG") + SUMIFS(Table2[[AwayWon]:[AwayWon]], Table2[[GameIsOver]:[GameIsOver]],1,Table2[[HomeTeam]:[HomeTeam]],$T22, Table2[[AwayTeam]:[AwayTeam]], AD$21, Table2[[ActualResult]:[ActualResult]], "REG"))) + (1*(SUMIFS(Table2[[HomeWon_]:[HomeWon_]], Table2[[GameIsOver]:[GameIsOver]],1,Table2[[AwayTeam]:[AwayTeam]],$T22, Table2[[HomeTeam]:[HomeTeam]], AD$21, Table2[[ActualResult]:[ActualResult]], "OT") + SUMIFS(Table2[[AwayWon]:[AwayWon]], Table2[[GameIsOver]:[GameIsOver]],1,Table2[[HomeTeam]:[HomeTeam]],$T22, Table2[[AwayTeam]:[AwayTeam]], AD$21, Table2[[ActualResult]:[ActualResult]], "OT") + SUMIFS(Table2[[HomeWon_]:[HomeWon_]], Table2[[GameIsOver]:[GameIsOver]],1,Table2[[AwayTeam]:[AwayTeam]],$T22, Table2[[HomeTeam]:[HomeTeam]], AD$21, Table2[[ActualResult]:[ActualResult]], "SO") + SUMIFS(Table2[[AwayWon]:[AwayWon]], Table2[[GameIsOver]:[GameIsOver]],1,Table2[[HomeTeam]:[HomeTeam]],$T22, Table2[[AwayTeam]:[AwayTeam]], AD$21, Table2[[ActualResult]:[ActualResult]], "SO")))</calculatedColumnFormula>
    </tableColumn>
    <tableColumn id="13" xr3:uid="{5BB6CF56-B19E-4A0D-A679-F38D40C1E7EB}" name="COL" dataDxfId="106">
      <calculatedColumnFormula>(2*(SUMIFS(Table2[[AwayWon]:[AwayWon]], Table2[[GameIsOver]:[GameIsOver]],1,Table2[[AwayTeam]:[AwayTeam]],$T22, Table2[[HomeTeam]:[HomeTeam]], AE$21) + SUMIFS(Table2[[HomeWon_]:[HomeWon_]], Table2[[GameIsOver]:[GameIsOver]],1,Table2[[HomeTeam]:[HomeTeam]],$T22, Table2[[AwayTeam]:[AwayTeam]], AE$21))) + (0*(SUMIFS(Table2[[HomeWon_]:[HomeWon_]], Table2[[GameIsOver]:[GameIsOver]],1,Table2[[AwayTeam]:[AwayTeam]],$T22, Table2[[HomeTeam]:[HomeTeam]], AE$21, Table2[[ActualResult]:[ActualResult]], "REG") + SUMIFS(Table2[[AwayWon]:[AwayWon]], Table2[[GameIsOver]:[GameIsOver]],1,Table2[[HomeTeam]:[HomeTeam]],$T22, Table2[[AwayTeam]:[AwayTeam]], AE$21, Table2[[ActualResult]:[ActualResult]], "REG"))) + (1*(SUMIFS(Table2[[HomeWon_]:[HomeWon_]], Table2[[GameIsOver]:[GameIsOver]],1,Table2[[AwayTeam]:[AwayTeam]],$T22, Table2[[HomeTeam]:[HomeTeam]], AE$21, Table2[[ActualResult]:[ActualResult]], "OT") + SUMIFS(Table2[[AwayWon]:[AwayWon]], Table2[[GameIsOver]:[GameIsOver]],1,Table2[[HomeTeam]:[HomeTeam]],$T22, Table2[[AwayTeam]:[AwayTeam]], AE$21, Table2[[ActualResult]:[ActualResult]], "OT") + SUMIFS(Table2[[HomeWon_]:[HomeWon_]], Table2[[GameIsOver]:[GameIsOver]],1,Table2[[AwayTeam]:[AwayTeam]],$T22, Table2[[HomeTeam]:[HomeTeam]], AE$21, Table2[[ActualResult]:[ActualResult]], "SO") + SUMIFS(Table2[[AwayWon]:[AwayWon]], Table2[[GameIsOver]:[GameIsOver]],1,Table2[[HomeTeam]:[HomeTeam]],$T22, Table2[[AwayTeam]:[AwayTeam]], AE$21, Table2[[ActualResult]:[ActualResult]], "SO")))</calculatedColumnFormula>
    </tableColumn>
    <tableColumn id="14" xr3:uid="{A6CE96EA-8BF4-4C97-BDC8-081BA6BB3DAA}" name="DAL" dataDxfId="105">
      <calculatedColumnFormula>(2*(SUMIFS(Table2[[AwayWon]:[AwayWon]], Table2[[GameIsOver]:[GameIsOver]],1,Table2[[AwayTeam]:[AwayTeam]],$T22, Table2[[HomeTeam]:[HomeTeam]], AF$21) + SUMIFS(Table2[[HomeWon_]:[HomeWon_]], Table2[[GameIsOver]:[GameIsOver]],1,Table2[[HomeTeam]:[HomeTeam]],$T22, Table2[[AwayTeam]:[AwayTeam]], AF$21))) + (0*(SUMIFS(Table2[[HomeWon_]:[HomeWon_]], Table2[[GameIsOver]:[GameIsOver]],1,Table2[[AwayTeam]:[AwayTeam]],$T22, Table2[[HomeTeam]:[HomeTeam]], AF$21, Table2[[ActualResult]:[ActualResult]], "REG") + SUMIFS(Table2[[AwayWon]:[AwayWon]], Table2[[GameIsOver]:[GameIsOver]],1,Table2[[HomeTeam]:[HomeTeam]],$T22, Table2[[AwayTeam]:[AwayTeam]], AF$21, Table2[[ActualResult]:[ActualResult]], "REG"))) + (1*(SUMIFS(Table2[[HomeWon_]:[HomeWon_]], Table2[[GameIsOver]:[GameIsOver]],1,Table2[[AwayTeam]:[AwayTeam]],$T22, Table2[[HomeTeam]:[HomeTeam]], AF$21, Table2[[ActualResult]:[ActualResult]], "OT") + SUMIFS(Table2[[AwayWon]:[AwayWon]], Table2[[GameIsOver]:[GameIsOver]],1,Table2[[HomeTeam]:[HomeTeam]],$T22, Table2[[AwayTeam]:[AwayTeam]], AF$21, Table2[[ActualResult]:[ActualResult]], "OT") + SUMIFS(Table2[[HomeWon_]:[HomeWon_]], Table2[[GameIsOver]:[GameIsOver]],1,Table2[[AwayTeam]:[AwayTeam]],$T22, Table2[[HomeTeam]:[HomeTeam]], AF$21, Table2[[ActualResult]:[ActualResult]], "SO") + SUMIFS(Table2[[AwayWon]:[AwayWon]], Table2[[GameIsOver]:[GameIsOver]],1,Table2[[HomeTeam]:[HomeTeam]],$T22, Table2[[AwayTeam]:[AwayTeam]], AF$21, Table2[[ActualResult]:[ActualResult]], "SO")))</calculatedColumnFormula>
    </tableColumn>
    <tableColumn id="15" xr3:uid="{D5CF7644-1D61-4206-9FBF-93C6E1A8A0F5}" name="MIN" dataDxfId="104">
      <calculatedColumnFormula>(2*(SUMIFS(Table2[[AwayWon]:[AwayWon]], Table2[[GameIsOver]:[GameIsOver]],1,Table2[[AwayTeam]:[AwayTeam]],$T22, Table2[[HomeTeam]:[HomeTeam]], AG$21) + SUMIFS(Table2[[HomeWon_]:[HomeWon_]], Table2[[GameIsOver]:[GameIsOver]],1,Table2[[HomeTeam]:[HomeTeam]],$T22, Table2[[AwayTeam]:[AwayTeam]], AG$21))) + (0*(SUMIFS(Table2[[HomeWon_]:[HomeWon_]], Table2[[GameIsOver]:[GameIsOver]],1,Table2[[AwayTeam]:[AwayTeam]],$T22, Table2[[HomeTeam]:[HomeTeam]], AG$21, Table2[[ActualResult]:[ActualResult]], "REG") + SUMIFS(Table2[[AwayWon]:[AwayWon]], Table2[[GameIsOver]:[GameIsOver]],1,Table2[[HomeTeam]:[HomeTeam]],$T22, Table2[[AwayTeam]:[AwayTeam]], AG$21, Table2[[ActualResult]:[ActualResult]], "REG"))) + (1*(SUMIFS(Table2[[HomeWon_]:[HomeWon_]], Table2[[GameIsOver]:[GameIsOver]],1,Table2[[AwayTeam]:[AwayTeam]],$T22, Table2[[HomeTeam]:[HomeTeam]], AG$21, Table2[[ActualResult]:[ActualResult]], "OT") + SUMIFS(Table2[[AwayWon]:[AwayWon]], Table2[[GameIsOver]:[GameIsOver]],1,Table2[[HomeTeam]:[HomeTeam]],$T22, Table2[[AwayTeam]:[AwayTeam]], AG$21, Table2[[ActualResult]:[ActualResult]], "OT") + SUMIFS(Table2[[HomeWon_]:[HomeWon_]], Table2[[GameIsOver]:[GameIsOver]],1,Table2[[AwayTeam]:[AwayTeam]],$T22, Table2[[HomeTeam]:[HomeTeam]], AG$21, Table2[[ActualResult]:[ActualResult]], "SO") + SUMIFS(Table2[[AwayWon]:[AwayWon]], Table2[[GameIsOver]:[GameIsOver]],1,Table2[[HomeTeam]:[HomeTeam]],$T22, Table2[[AwayTeam]:[AwayTeam]], AG$21, Table2[[ActualResult]:[ActualResult]], "SO")))</calculatedColumnFormula>
    </tableColumn>
    <tableColumn id="16" xr3:uid="{760B1B5F-A225-4AB3-9395-F76BDA0B806E}" name="NSH" dataDxfId="103">
      <calculatedColumnFormula>(2*(SUMIFS(Table2[[AwayWon]:[AwayWon]], Table2[[GameIsOver]:[GameIsOver]],1,Table2[[AwayTeam]:[AwayTeam]],$T22, Table2[[HomeTeam]:[HomeTeam]], AH$21) + SUMIFS(Table2[[HomeWon_]:[HomeWon_]], Table2[[GameIsOver]:[GameIsOver]],1,Table2[[HomeTeam]:[HomeTeam]],$T22, Table2[[AwayTeam]:[AwayTeam]], AH$21))) + (0*(SUMIFS(Table2[[HomeWon_]:[HomeWon_]], Table2[[GameIsOver]:[GameIsOver]],1,Table2[[AwayTeam]:[AwayTeam]],$T22, Table2[[HomeTeam]:[HomeTeam]], AH$21, Table2[[ActualResult]:[ActualResult]], "REG") + SUMIFS(Table2[[AwayWon]:[AwayWon]], Table2[[GameIsOver]:[GameIsOver]],1,Table2[[HomeTeam]:[HomeTeam]],$T22, Table2[[AwayTeam]:[AwayTeam]], AH$21, Table2[[ActualResult]:[ActualResult]], "REG"))) + (1*(SUMIFS(Table2[[HomeWon_]:[HomeWon_]], Table2[[GameIsOver]:[GameIsOver]],1,Table2[[AwayTeam]:[AwayTeam]],$T22, Table2[[HomeTeam]:[HomeTeam]], AH$21, Table2[[ActualResult]:[ActualResult]], "OT") + SUMIFS(Table2[[AwayWon]:[AwayWon]], Table2[[GameIsOver]:[GameIsOver]],1,Table2[[HomeTeam]:[HomeTeam]],$T22, Table2[[AwayTeam]:[AwayTeam]], AH$21, Table2[[ActualResult]:[ActualResult]], "OT") + SUMIFS(Table2[[HomeWon_]:[HomeWon_]], Table2[[GameIsOver]:[GameIsOver]],1,Table2[[AwayTeam]:[AwayTeam]],$T22, Table2[[HomeTeam]:[HomeTeam]], AH$21, Table2[[ActualResult]:[ActualResult]], "SO") + SUMIFS(Table2[[AwayWon]:[AwayWon]], Table2[[GameIsOver]:[GameIsOver]],1,Table2[[HomeTeam]:[HomeTeam]],$T22, Table2[[AwayTeam]:[AwayTeam]], AH$21, Table2[[ActualResult]:[ActualResult]], "SO")))</calculatedColumnFormula>
    </tableColumn>
    <tableColumn id="17" xr3:uid="{8CBB02DE-4F63-4E96-ADCA-0A5820506E13}" name="STL" dataDxfId="102">
      <calculatedColumnFormula>(2*(SUMIFS(Table2[[AwayWon]:[AwayWon]], Table2[[GameIsOver]:[GameIsOver]],1,Table2[[AwayTeam]:[AwayTeam]],$T22, Table2[[HomeTeam]:[HomeTeam]], AI$21) + SUMIFS(Table2[[HomeWon_]:[HomeWon_]], Table2[[GameIsOver]:[GameIsOver]],1,Table2[[HomeTeam]:[HomeTeam]],$T22, Table2[[AwayTeam]:[AwayTeam]], AI$21))) + (0*(SUMIFS(Table2[[HomeWon_]:[HomeWon_]], Table2[[GameIsOver]:[GameIsOver]],1,Table2[[AwayTeam]:[AwayTeam]],$T22, Table2[[HomeTeam]:[HomeTeam]], AI$21, Table2[[ActualResult]:[ActualResult]], "REG") + SUMIFS(Table2[[AwayWon]:[AwayWon]], Table2[[GameIsOver]:[GameIsOver]],1,Table2[[HomeTeam]:[HomeTeam]],$T22, Table2[[AwayTeam]:[AwayTeam]], AI$21, Table2[[ActualResult]:[ActualResult]], "REG"))) + (1*(SUMIFS(Table2[[HomeWon_]:[HomeWon_]], Table2[[GameIsOver]:[GameIsOver]],1,Table2[[AwayTeam]:[AwayTeam]],$T22, Table2[[HomeTeam]:[HomeTeam]], AI$21, Table2[[ActualResult]:[ActualResult]], "OT") + SUMIFS(Table2[[AwayWon]:[AwayWon]], Table2[[GameIsOver]:[GameIsOver]],1,Table2[[HomeTeam]:[HomeTeam]],$T22, Table2[[AwayTeam]:[AwayTeam]], AI$21, Table2[[ActualResult]:[ActualResult]], "OT") + SUMIFS(Table2[[HomeWon_]:[HomeWon_]], Table2[[GameIsOver]:[GameIsOver]],1,Table2[[AwayTeam]:[AwayTeam]],$T22, Table2[[HomeTeam]:[HomeTeam]], AI$21, Table2[[ActualResult]:[ActualResult]], "SO") + SUMIFS(Table2[[AwayWon]:[AwayWon]], Table2[[GameIsOver]:[GameIsOver]],1,Table2[[HomeTeam]:[HomeTeam]],$T22, Table2[[AwayTeam]:[AwayTeam]], AI$21, Table2[[ActualResult]:[ActualResult]], "SO")))</calculatedColumnFormula>
    </tableColumn>
    <tableColumn id="18" xr3:uid="{3F5DF882-5736-4F8A-8304-A8198345E13E}" name="UTA" dataDxfId="101">
      <calculatedColumnFormula>(2*(SUMIFS(Table2[[AwayWon]:[AwayWon]], Table2[[GameIsOver]:[GameIsOver]],1,Table2[[AwayTeam]:[AwayTeam]],$T22, Table2[[HomeTeam]:[HomeTeam]], AJ$21) + SUMIFS(Table2[[HomeWon_]:[HomeWon_]], Table2[[GameIsOver]:[GameIsOver]],1,Table2[[HomeTeam]:[HomeTeam]],$T22, Table2[[AwayTeam]:[AwayTeam]], AJ$21))) + (0*(SUMIFS(Table2[[HomeWon_]:[HomeWon_]], Table2[[GameIsOver]:[GameIsOver]],1,Table2[[AwayTeam]:[AwayTeam]],$T22, Table2[[HomeTeam]:[HomeTeam]], AJ$21, Table2[[ActualResult]:[ActualResult]], "REG") + SUMIFS(Table2[[AwayWon]:[AwayWon]], Table2[[GameIsOver]:[GameIsOver]],1,Table2[[HomeTeam]:[HomeTeam]],$T22, Table2[[AwayTeam]:[AwayTeam]], AJ$21, Table2[[ActualResult]:[ActualResult]], "REG"))) + (1*(SUMIFS(Table2[[HomeWon_]:[HomeWon_]], Table2[[GameIsOver]:[GameIsOver]],1,Table2[[AwayTeam]:[AwayTeam]],$T22, Table2[[HomeTeam]:[HomeTeam]], AJ$21, Table2[[ActualResult]:[ActualResult]], "OT") + SUMIFS(Table2[[AwayWon]:[AwayWon]], Table2[[GameIsOver]:[GameIsOver]],1,Table2[[HomeTeam]:[HomeTeam]],$T22, Table2[[AwayTeam]:[AwayTeam]], AJ$21, Table2[[ActualResult]:[ActualResult]], "OT") + SUMIFS(Table2[[HomeWon_]:[HomeWon_]], Table2[[GameIsOver]:[GameIsOver]],1,Table2[[AwayTeam]:[AwayTeam]],$T22, Table2[[HomeTeam]:[HomeTeam]], AJ$21, Table2[[ActualResult]:[ActualResult]], "SO") + SUMIFS(Table2[[AwayWon]:[AwayWon]], Table2[[GameIsOver]:[GameIsOver]],1,Table2[[HomeTeam]:[HomeTeam]],$T22, Table2[[AwayTeam]:[AwayTeam]], AJ$21, Table2[[ActualResult]:[ActualResult]], "SO")))</calculatedColumnFormula>
    </tableColumn>
    <tableColumn id="19" xr3:uid="{5094C514-85A8-4F91-9C8E-00B8681DC0A3}" name="WPG" dataDxfId="100">
      <calculatedColumnFormula>(2*(SUMIFS(Table2[[AwayWon]:[AwayWon]], Table2[[GameIsOver]:[GameIsOver]],1,Table2[[AwayTeam]:[AwayTeam]],$T22, Table2[[HomeTeam]:[HomeTeam]], AK$21) + SUMIFS(Table2[[HomeWon_]:[HomeWon_]], Table2[[GameIsOver]:[GameIsOver]],1,Table2[[HomeTeam]:[HomeTeam]],$T22, Table2[[AwayTeam]:[AwayTeam]], AK$21))) + (0*(SUMIFS(Table2[[HomeWon_]:[HomeWon_]], Table2[[GameIsOver]:[GameIsOver]],1,Table2[[AwayTeam]:[AwayTeam]],$T22, Table2[[HomeTeam]:[HomeTeam]], AK$21, Table2[[ActualResult]:[ActualResult]], "REG") + SUMIFS(Table2[[AwayWon]:[AwayWon]], Table2[[GameIsOver]:[GameIsOver]],1,Table2[[HomeTeam]:[HomeTeam]],$T22, Table2[[AwayTeam]:[AwayTeam]], AK$21, Table2[[ActualResult]:[ActualResult]], "REG"))) + (1*(SUMIFS(Table2[[HomeWon_]:[HomeWon_]], Table2[[GameIsOver]:[GameIsOver]],1,Table2[[AwayTeam]:[AwayTeam]],$T22, Table2[[HomeTeam]:[HomeTeam]], AK$21, Table2[[ActualResult]:[ActualResult]], "OT") + SUMIFS(Table2[[AwayWon]:[AwayWon]], Table2[[GameIsOver]:[GameIsOver]],1,Table2[[HomeTeam]:[HomeTeam]],$T22, Table2[[AwayTeam]:[AwayTeam]], AK$21, Table2[[ActualResult]:[ActualResult]], "OT") + SUMIFS(Table2[[HomeWon_]:[HomeWon_]], Table2[[GameIsOver]:[GameIsOver]],1,Table2[[AwayTeam]:[AwayTeam]],$T22, Table2[[HomeTeam]:[HomeTeam]], AK$21, Table2[[ActualResult]:[ActualResult]], "SO") + SUMIFS(Table2[[AwayWon]:[AwayWon]], Table2[[GameIsOver]:[GameIsOver]],1,Table2[[HomeTeam]:[HomeTeam]],$T22, Table2[[AwayTeam]:[AwayTeam]], AK$21, Table2[[ActualResult]:[ActualResult]], "SO")))</calculatedColumnFormula>
    </tableColumn>
    <tableColumn id="20" xr3:uid="{B732BE9A-0268-458C-9456-E5A12EFFD299}" name="CAR" dataDxfId="99">
      <calculatedColumnFormula>(2*(SUMIFS(Table2[[AwayWon]:[AwayWon]], Table2[[GameIsOver]:[GameIsOver]],1,Table2[[AwayTeam]:[AwayTeam]],$T22, Table2[[HomeTeam]:[HomeTeam]], AL$21) + SUMIFS(Table2[[HomeWon_]:[HomeWon_]], Table2[[GameIsOver]:[GameIsOver]],1,Table2[[HomeTeam]:[HomeTeam]],$T22, Table2[[AwayTeam]:[AwayTeam]], AL$21))) + (0*(SUMIFS(Table2[[HomeWon_]:[HomeWon_]], Table2[[GameIsOver]:[GameIsOver]],1,Table2[[AwayTeam]:[AwayTeam]],$T22, Table2[[HomeTeam]:[HomeTeam]], AL$21, Table2[[ActualResult]:[ActualResult]], "REG") + SUMIFS(Table2[[AwayWon]:[AwayWon]], Table2[[GameIsOver]:[GameIsOver]],1,Table2[[HomeTeam]:[HomeTeam]],$T22, Table2[[AwayTeam]:[AwayTeam]], AL$21, Table2[[ActualResult]:[ActualResult]], "REG"))) + (1*(SUMIFS(Table2[[HomeWon_]:[HomeWon_]], Table2[[GameIsOver]:[GameIsOver]],1,Table2[[AwayTeam]:[AwayTeam]],$T22, Table2[[HomeTeam]:[HomeTeam]], AL$21, Table2[[ActualResult]:[ActualResult]], "OT") + SUMIFS(Table2[[AwayWon]:[AwayWon]], Table2[[GameIsOver]:[GameIsOver]],1,Table2[[HomeTeam]:[HomeTeam]],$T22, Table2[[AwayTeam]:[AwayTeam]], AL$21, Table2[[ActualResult]:[ActualResult]], "OT") + SUMIFS(Table2[[HomeWon_]:[HomeWon_]], Table2[[GameIsOver]:[GameIsOver]],1,Table2[[AwayTeam]:[AwayTeam]],$T22, Table2[[HomeTeam]:[HomeTeam]], AL$21, Table2[[ActualResult]:[ActualResult]], "SO") + SUMIFS(Table2[[AwayWon]:[AwayWon]], Table2[[GameIsOver]:[GameIsOver]],1,Table2[[HomeTeam]:[HomeTeam]],$T22, Table2[[AwayTeam]:[AwayTeam]], AL$21, Table2[[ActualResult]:[ActualResult]], "SO")))</calculatedColumnFormula>
    </tableColumn>
    <tableColumn id="21" xr3:uid="{BBA21CFE-8F0C-4EFD-98BA-342B48FE066F}" name="CBJ" dataDxfId="98">
      <calculatedColumnFormula>(2*(SUMIFS(Table2[[AwayWon]:[AwayWon]], Table2[[GameIsOver]:[GameIsOver]],1,Table2[[AwayTeam]:[AwayTeam]],$T22, Table2[[HomeTeam]:[HomeTeam]], AM$21) + SUMIFS(Table2[[HomeWon_]:[HomeWon_]], Table2[[GameIsOver]:[GameIsOver]],1,Table2[[HomeTeam]:[HomeTeam]],$T22, Table2[[AwayTeam]:[AwayTeam]], AM$21))) + (0*(SUMIFS(Table2[[HomeWon_]:[HomeWon_]], Table2[[GameIsOver]:[GameIsOver]],1,Table2[[AwayTeam]:[AwayTeam]],$T22, Table2[[HomeTeam]:[HomeTeam]], AM$21, Table2[[ActualResult]:[ActualResult]], "REG") + SUMIFS(Table2[[AwayWon]:[AwayWon]], Table2[[GameIsOver]:[GameIsOver]],1,Table2[[HomeTeam]:[HomeTeam]],$T22, Table2[[AwayTeam]:[AwayTeam]], AM$21, Table2[[ActualResult]:[ActualResult]], "REG"))) + (1*(SUMIFS(Table2[[HomeWon_]:[HomeWon_]], Table2[[GameIsOver]:[GameIsOver]],1,Table2[[AwayTeam]:[AwayTeam]],$T22, Table2[[HomeTeam]:[HomeTeam]], AM$21, Table2[[ActualResult]:[ActualResult]], "OT") + SUMIFS(Table2[[AwayWon]:[AwayWon]], Table2[[GameIsOver]:[GameIsOver]],1,Table2[[HomeTeam]:[HomeTeam]],$T22, Table2[[AwayTeam]:[AwayTeam]], AM$21, Table2[[ActualResult]:[ActualResult]], "OT") + SUMIFS(Table2[[HomeWon_]:[HomeWon_]], Table2[[GameIsOver]:[GameIsOver]],1,Table2[[AwayTeam]:[AwayTeam]],$T22, Table2[[HomeTeam]:[HomeTeam]], AM$21, Table2[[ActualResult]:[ActualResult]], "SO") + SUMIFS(Table2[[AwayWon]:[AwayWon]], Table2[[GameIsOver]:[GameIsOver]],1,Table2[[HomeTeam]:[HomeTeam]],$T22, Table2[[AwayTeam]:[AwayTeam]], AM$21, Table2[[ActualResult]:[ActualResult]], "SO")))</calculatedColumnFormula>
    </tableColumn>
    <tableColumn id="22" xr3:uid="{A81CC522-68ED-49A1-A2EF-45EA4D5A93E1}" name="NJD" dataDxfId="97">
      <calculatedColumnFormula>(2*(SUMIFS(Table2[[AwayWon]:[AwayWon]], Table2[[GameIsOver]:[GameIsOver]],1,Table2[[AwayTeam]:[AwayTeam]],$T22, Table2[[HomeTeam]:[HomeTeam]], AN$21) + SUMIFS(Table2[[HomeWon_]:[HomeWon_]], Table2[[GameIsOver]:[GameIsOver]],1,Table2[[HomeTeam]:[HomeTeam]],$T22, Table2[[AwayTeam]:[AwayTeam]], AN$21))) + (0*(SUMIFS(Table2[[HomeWon_]:[HomeWon_]], Table2[[GameIsOver]:[GameIsOver]],1,Table2[[AwayTeam]:[AwayTeam]],$T22, Table2[[HomeTeam]:[HomeTeam]], AN$21, Table2[[ActualResult]:[ActualResult]], "REG") + SUMIFS(Table2[[AwayWon]:[AwayWon]], Table2[[GameIsOver]:[GameIsOver]],1,Table2[[HomeTeam]:[HomeTeam]],$T22, Table2[[AwayTeam]:[AwayTeam]], AN$21, Table2[[ActualResult]:[ActualResult]], "REG"))) + (1*(SUMIFS(Table2[[HomeWon_]:[HomeWon_]], Table2[[GameIsOver]:[GameIsOver]],1,Table2[[AwayTeam]:[AwayTeam]],$T22, Table2[[HomeTeam]:[HomeTeam]], AN$21, Table2[[ActualResult]:[ActualResult]], "OT") + SUMIFS(Table2[[AwayWon]:[AwayWon]], Table2[[GameIsOver]:[GameIsOver]],1,Table2[[HomeTeam]:[HomeTeam]],$T22, Table2[[AwayTeam]:[AwayTeam]], AN$21, Table2[[ActualResult]:[ActualResult]], "OT") + SUMIFS(Table2[[HomeWon_]:[HomeWon_]], Table2[[GameIsOver]:[GameIsOver]],1,Table2[[AwayTeam]:[AwayTeam]],$T22, Table2[[HomeTeam]:[HomeTeam]], AN$21, Table2[[ActualResult]:[ActualResult]], "SO") + SUMIFS(Table2[[AwayWon]:[AwayWon]], Table2[[GameIsOver]:[GameIsOver]],1,Table2[[HomeTeam]:[HomeTeam]],$T22, Table2[[AwayTeam]:[AwayTeam]], AN$21, Table2[[ActualResult]:[ActualResult]], "SO")))</calculatedColumnFormula>
    </tableColumn>
    <tableColumn id="23" xr3:uid="{A19D8017-FC96-4DE0-9F64-967C72EF68E3}" name="NYI" dataDxfId="96">
      <calculatedColumnFormula>(2*(SUMIFS(Table2[[AwayWon]:[AwayWon]], Table2[[GameIsOver]:[GameIsOver]],1,Table2[[AwayTeam]:[AwayTeam]],$T22, Table2[[HomeTeam]:[HomeTeam]], AO$21) + SUMIFS(Table2[[HomeWon_]:[HomeWon_]], Table2[[GameIsOver]:[GameIsOver]],1,Table2[[HomeTeam]:[HomeTeam]],$T22, Table2[[AwayTeam]:[AwayTeam]], AO$21))) + (0*(SUMIFS(Table2[[HomeWon_]:[HomeWon_]], Table2[[GameIsOver]:[GameIsOver]],1,Table2[[AwayTeam]:[AwayTeam]],$T22, Table2[[HomeTeam]:[HomeTeam]], AO$21, Table2[[ActualResult]:[ActualResult]], "REG") + SUMIFS(Table2[[AwayWon]:[AwayWon]], Table2[[GameIsOver]:[GameIsOver]],1,Table2[[HomeTeam]:[HomeTeam]],$T22, Table2[[AwayTeam]:[AwayTeam]], AO$21, Table2[[ActualResult]:[ActualResult]], "REG"))) + (1*(SUMIFS(Table2[[HomeWon_]:[HomeWon_]], Table2[[GameIsOver]:[GameIsOver]],1,Table2[[AwayTeam]:[AwayTeam]],$T22, Table2[[HomeTeam]:[HomeTeam]], AO$21, Table2[[ActualResult]:[ActualResult]], "OT") + SUMIFS(Table2[[AwayWon]:[AwayWon]], Table2[[GameIsOver]:[GameIsOver]],1,Table2[[HomeTeam]:[HomeTeam]],$T22, Table2[[AwayTeam]:[AwayTeam]], AO$21, Table2[[ActualResult]:[ActualResult]], "OT") + SUMIFS(Table2[[HomeWon_]:[HomeWon_]], Table2[[GameIsOver]:[GameIsOver]],1,Table2[[AwayTeam]:[AwayTeam]],$T22, Table2[[HomeTeam]:[HomeTeam]], AO$21, Table2[[ActualResult]:[ActualResult]], "SO") + SUMIFS(Table2[[AwayWon]:[AwayWon]], Table2[[GameIsOver]:[GameIsOver]],1,Table2[[HomeTeam]:[HomeTeam]],$T22, Table2[[AwayTeam]:[AwayTeam]], AO$21, Table2[[ActualResult]:[ActualResult]], "SO")))</calculatedColumnFormula>
    </tableColumn>
    <tableColumn id="24" xr3:uid="{576B0DF5-AFFE-4BB7-9627-D74217CF50B6}" name="NYR" dataDxfId="95">
      <calculatedColumnFormula>(2*(SUMIFS(Table2[[AwayWon]:[AwayWon]], Table2[[GameIsOver]:[GameIsOver]],1,Table2[[AwayTeam]:[AwayTeam]],$T22, Table2[[HomeTeam]:[HomeTeam]], AP$21) + SUMIFS(Table2[[HomeWon_]:[HomeWon_]], Table2[[GameIsOver]:[GameIsOver]],1,Table2[[HomeTeam]:[HomeTeam]],$T22, Table2[[AwayTeam]:[AwayTeam]], AP$21))) + (0*(SUMIFS(Table2[[HomeWon_]:[HomeWon_]], Table2[[GameIsOver]:[GameIsOver]],1,Table2[[AwayTeam]:[AwayTeam]],$T22, Table2[[HomeTeam]:[HomeTeam]], AP$21, Table2[[ActualResult]:[ActualResult]], "REG") + SUMIFS(Table2[[AwayWon]:[AwayWon]], Table2[[GameIsOver]:[GameIsOver]],1,Table2[[HomeTeam]:[HomeTeam]],$T22, Table2[[AwayTeam]:[AwayTeam]], AP$21, Table2[[ActualResult]:[ActualResult]], "REG"))) + (1*(SUMIFS(Table2[[HomeWon_]:[HomeWon_]], Table2[[GameIsOver]:[GameIsOver]],1,Table2[[AwayTeam]:[AwayTeam]],$T22, Table2[[HomeTeam]:[HomeTeam]], AP$21, Table2[[ActualResult]:[ActualResult]], "OT") + SUMIFS(Table2[[AwayWon]:[AwayWon]], Table2[[GameIsOver]:[GameIsOver]],1,Table2[[HomeTeam]:[HomeTeam]],$T22, Table2[[AwayTeam]:[AwayTeam]], AP$21, Table2[[ActualResult]:[ActualResult]], "OT") + SUMIFS(Table2[[HomeWon_]:[HomeWon_]], Table2[[GameIsOver]:[GameIsOver]],1,Table2[[AwayTeam]:[AwayTeam]],$T22, Table2[[HomeTeam]:[HomeTeam]], AP$21, Table2[[ActualResult]:[ActualResult]], "SO") + SUMIFS(Table2[[AwayWon]:[AwayWon]], Table2[[GameIsOver]:[GameIsOver]],1,Table2[[HomeTeam]:[HomeTeam]],$T22, Table2[[AwayTeam]:[AwayTeam]], AP$21, Table2[[ActualResult]:[ActualResult]], "SO")))</calculatedColumnFormula>
    </tableColumn>
    <tableColumn id="25" xr3:uid="{6B8F40D3-AC03-4BA9-8FAD-EB04DC935673}" name="PHI" dataDxfId="94">
      <calculatedColumnFormula>(2*(SUMIFS(Table2[[AwayWon]:[AwayWon]], Table2[[GameIsOver]:[GameIsOver]],1,Table2[[AwayTeam]:[AwayTeam]],$T22, Table2[[HomeTeam]:[HomeTeam]], AQ$21) + SUMIFS(Table2[[HomeWon_]:[HomeWon_]], Table2[[GameIsOver]:[GameIsOver]],1,Table2[[HomeTeam]:[HomeTeam]],$T22, Table2[[AwayTeam]:[AwayTeam]], AQ$21))) + (0*(SUMIFS(Table2[[HomeWon_]:[HomeWon_]], Table2[[GameIsOver]:[GameIsOver]],1,Table2[[AwayTeam]:[AwayTeam]],$T22, Table2[[HomeTeam]:[HomeTeam]], AQ$21, Table2[[ActualResult]:[ActualResult]], "REG") + SUMIFS(Table2[[AwayWon]:[AwayWon]], Table2[[GameIsOver]:[GameIsOver]],1,Table2[[HomeTeam]:[HomeTeam]],$T22, Table2[[AwayTeam]:[AwayTeam]], AQ$21, Table2[[ActualResult]:[ActualResult]], "REG"))) + (1*(SUMIFS(Table2[[HomeWon_]:[HomeWon_]], Table2[[GameIsOver]:[GameIsOver]],1,Table2[[AwayTeam]:[AwayTeam]],$T22, Table2[[HomeTeam]:[HomeTeam]], AQ$21, Table2[[ActualResult]:[ActualResult]], "OT") + SUMIFS(Table2[[AwayWon]:[AwayWon]], Table2[[GameIsOver]:[GameIsOver]],1,Table2[[HomeTeam]:[HomeTeam]],$T22, Table2[[AwayTeam]:[AwayTeam]], AQ$21, Table2[[ActualResult]:[ActualResult]], "OT") + SUMIFS(Table2[[HomeWon_]:[HomeWon_]], Table2[[GameIsOver]:[GameIsOver]],1,Table2[[AwayTeam]:[AwayTeam]],$T22, Table2[[HomeTeam]:[HomeTeam]], AQ$21, Table2[[ActualResult]:[ActualResult]], "SO") + SUMIFS(Table2[[AwayWon]:[AwayWon]], Table2[[GameIsOver]:[GameIsOver]],1,Table2[[HomeTeam]:[HomeTeam]],$T22, Table2[[AwayTeam]:[AwayTeam]], AQ$21, Table2[[ActualResult]:[ActualResult]], "SO")))</calculatedColumnFormula>
    </tableColumn>
    <tableColumn id="26" xr3:uid="{B38E3B3C-78B4-4B3C-A3DE-FD695B1EF3D4}" name="PIT" dataDxfId="93">
      <calculatedColumnFormula>(2*(SUMIFS(Table2[[AwayWon]:[AwayWon]], Table2[[GameIsOver]:[GameIsOver]],1,Table2[[AwayTeam]:[AwayTeam]],$T22, Table2[[HomeTeam]:[HomeTeam]], AR$21) + SUMIFS(Table2[[HomeWon_]:[HomeWon_]], Table2[[GameIsOver]:[GameIsOver]],1,Table2[[HomeTeam]:[HomeTeam]],$T22, Table2[[AwayTeam]:[AwayTeam]], AR$21))) + (0*(SUMIFS(Table2[[HomeWon_]:[HomeWon_]], Table2[[GameIsOver]:[GameIsOver]],1,Table2[[AwayTeam]:[AwayTeam]],$T22, Table2[[HomeTeam]:[HomeTeam]], AR$21, Table2[[ActualResult]:[ActualResult]], "REG") + SUMIFS(Table2[[AwayWon]:[AwayWon]], Table2[[GameIsOver]:[GameIsOver]],1,Table2[[HomeTeam]:[HomeTeam]],$T22, Table2[[AwayTeam]:[AwayTeam]], AR$21, Table2[[ActualResult]:[ActualResult]], "REG"))) + (1*(SUMIFS(Table2[[HomeWon_]:[HomeWon_]], Table2[[GameIsOver]:[GameIsOver]],1,Table2[[AwayTeam]:[AwayTeam]],$T22, Table2[[HomeTeam]:[HomeTeam]], AR$21, Table2[[ActualResult]:[ActualResult]], "OT") + SUMIFS(Table2[[AwayWon]:[AwayWon]], Table2[[GameIsOver]:[GameIsOver]],1,Table2[[HomeTeam]:[HomeTeam]],$T22, Table2[[AwayTeam]:[AwayTeam]], AR$21, Table2[[ActualResult]:[ActualResult]], "OT") + SUMIFS(Table2[[HomeWon_]:[HomeWon_]], Table2[[GameIsOver]:[GameIsOver]],1,Table2[[AwayTeam]:[AwayTeam]],$T22, Table2[[HomeTeam]:[HomeTeam]], AR$21, Table2[[ActualResult]:[ActualResult]], "SO") + SUMIFS(Table2[[AwayWon]:[AwayWon]], Table2[[GameIsOver]:[GameIsOver]],1,Table2[[HomeTeam]:[HomeTeam]],$T22, Table2[[AwayTeam]:[AwayTeam]], AR$21, Table2[[ActualResult]:[ActualResult]], "SO")))</calculatedColumnFormula>
    </tableColumn>
    <tableColumn id="27" xr3:uid="{537AB249-9872-41CA-A4F4-9E35B75E1C1E}" name="WSH" dataDxfId="92">
      <calculatedColumnFormula>(2*(SUMIFS(Table2[[AwayWon]:[AwayWon]], Table2[[GameIsOver]:[GameIsOver]],1,Table2[[AwayTeam]:[AwayTeam]],$T22, Table2[[HomeTeam]:[HomeTeam]], AS$21) + SUMIFS(Table2[[HomeWon_]:[HomeWon_]], Table2[[GameIsOver]:[GameIsOver]],1,Table2[[HomeTeam]:[HomeTeam]],$T22, Table2[[AwayTeam]:[AwayTeam]], AS$21))) + (0*(SUMIFS(Table2[[HomeWon_]:[HomeWon_]], Table2[[GameIsOver]:[GameIsOver]],1,Table2[[AwayTeam]:[AwayTeam]],$T22, Table2[[HomeTeam]:[HomeTeam]], AS$21, Table2[[ActualResult]:[ActualResult]], "REG") + SUMIFS(Table2[[AwayWon]:[AwayWon]], Table2[[GameIsOver]:[GameIsOver]],1,Table2[[HomeTeam]:[HomeTeam]],$T22, Table2[[AwayTeam]:[AwayTeam]], AS$21, Table2[[ActualResult]:[ActualResult]], "REG"))) + (1*(SUMIFS(Table2[[HomeWon_]:[HomeWon_]], Table2[[GameIsOver]:[GameIsOver]],1,Table2[[AwayTeam]:[AwayTeam]],$T22, Table2[[HomeTeam]:[HomeTeam]], AS$21, Table2[[ActualResult]:[ActualResult]], "OT") + SUMIFS(Table2[[AwayWon]:[AwayWon]], Table2[[GameIsOver]:[GameIsOver]],1,Table2[[HomeTeam]:[HomeTeam]],$T22, Table2[[AwayTeam]:[AwayTeam]], AS$21, Table2[[ActualResult]:[ActualResult]], "OT") + SUMIFS(Table2[[HomeWon_]:[HomeWon_]], Table2[[GameIsOver]:[GameIsOver]],1,Table2[[AwayTeam]:[AwayTeam]],$T22, Table2[[HomeTeam]:[HomeTeam]], AS$21, Table2[[ActualResult]:[ActualResult]], "SO") + SUMIFS(Table2[[AwayWon]:[AwayWon]], Table2[[GameIsOver]:[GameIsOver]],1,Table2[[HomeTeam]:[HomeTeam]],$T22, Table2[[AwayTeam]:[AwayTeam]], AS$21, Table2[[ActualResult]:[ActualResult]], "SO")))</calculatedColumnFormula>
    </tableColumn>
    <tableColumn id="28" xr3:uid="{99D371D8-AEEC-46A6-A436-CD4BF3771828}" name="BOS" dataDxfId="91">
      <calculatedColumnFormula>(2*(SUMIFS(Table2[[AwayWon]:[AwayWon]], Table2[[GameIsOver]:[GameIsOver]],1,Table2[[AwayTeam]:[AwayTeam]],$T22, Table2[[HomeTeam]:[HomeTeam]], AT$21) + SUMIFS(Table2[[HomeWon_]:[HomeWon_]], Table2[[GameIsOver]:[GameIsOver]],1,Table2[[HomeTeam]:[HomeTeam]],$T22, Table2[[AwayTeam]:[AwayTeam]], AT$21))) + (0*(SUMIFS(Table2[[HomeWon_]:[HomeWon_]], Table2[[GameIsOver]:[GameIsOver]],1,Table2[[AwayTeam]:[AwayTeam]],$T22, Table2[[HomeTeam]:[HomeTeam]], AT$21, Table2[[ActualResult]:[ActualResult]], "REG") + SUMIFS(Table2[[AwayWon]:[AwayWon]], Table2[[GameIsOver]:[GameIsOver]],1,Table2[[HomeTeam]:[HomeTeam]],$T22, Table2[[AwayTeam]:[AwayTeam]], AT$21, Table2[[ActualResult]:[ActualResult]], "REG"))) + (1*(SUMIFS(Table2[[HomeWon_]:[HomeWon_]], Table2[[GameIsOver]:[GameIsOver]],1,Table2[[AwayTeam]:[AwayTeam]],$T22, Table2[[HomeTeam]:[HomeTeam]], AT$21, Table2[[ActualResult]:[ActualResult]], "OT") + SUMIFS(Table2[[AwayWon]:[AwayWon]], Table2[[GameIsOver]:[GameIsOver]],1,Table2[[HomeTeam]:[HomeTeam]],$T22, Table2[[AwayTeam]:[AwayTeam]], AT$21, Table2[[ActualResult]:[ActualResult]], "OT") + SUMIFS(Table2[[HomeWon_]:[HomeWon_]], Table2[[GameIsOver]:[GameIsOver]],1,Table2[[AwayTeam]:[AwayTeam]],$T22, Table2[[HomeTeam]:[HomeTeam]], AT$21, Table2[[ActualResult]:[ActualResult]], "SO") + SUMIFS(Table2[[AwayWon]:[AwayWon]], Table2[[GameIsOver]:[GameIsOver]],1,Table2[[HomeTeam]:[HomeTeam]],$T22, Table2[[AwayTeam]:[AwayTeam]], AT$21, Table2[[ActualResult]:[ActualResult]], "SO")))</calculatedColumnFormula>
    </tableColumn>
    <tableColumn id="29" xr3:uid="{8525401C-0828-4AAF-969F-25299120D2C0}" name="BUF" dataDxfId="90">
      <calculatedColumnFormula>(2*(SUMIFS(Table2[[AwayWon]:[AwayWon]], Table2[[GameIsOver]:[GameIsOver]],1,Table2[[AwayTeam]:[AwayTeam]],$T22, Table2[[HomeTeam]:[HomeTeam]], AU$21) + SUMIFS(Table2[[HomeWon_]:[HomeWon_]], Table2[[GameIsOver]:[GameIsOver]],1,Table2[[HomeTeam]:[HomeTeam]],$T22, Table2[[AwayTeam]:[AwayTeam]], AU$21))) + (0*(SUMIFS(Table2[[HomeWon_]:[HomeWon_]], Table2[[GameIsOver]:[GameIsOver]],1,Table2[[AwayTeam]:[AwayTeam]],$T22, Table2[[HomeTeam]:[HomeTeam]], AU$21, Table2[[ActualResult]:[ActualResult]], "REG") + SUMIFS(Table2[[AwayWon]:[AwayWon]], Table2[[GameIsOver]:[GameIsOver]],1,Table2[[HomeTeam]:[HomeTeam]],$T22, Table2[[AwayTeam]:[AwayTeam]], AU$21, Table2[[ActualResult]:[ActualResult]], "REG"))) + (1*(SUMIFS(Table2[[HomeWon_]:[HomeWon_]], Table2[[GameIsOver]:[GameIsOver]],1,Table2[[AwayTeam]:[AwayTeam]],$T22, Table2[[HomeTeam]:[HomeTeam]], AU$21, Table2[[ActualResult]:[ActualResult]], "OT") + SUMIFS(Table2[[AwayWon]:[AwayWon]], Table2[[GameIsOver]:[GameIsOver]],1,Table2[[HomeTeam]:[HomeTeam]],$T22, Table2[[AwayTeam]:[AwayTeam]], AU$21, Table2[[ActualResult]:[ActualResult]], "OT") + SUMIFS(Table2[[HomeWon_]:[HomeWon_]], Table2[[GameIsOver]:[GameIsOver]],1,Table2[[AwayTeam]:[AwayTeam]],$T22, Table2[[HomeTeam]:[HomeTeam]], AU$21, Table2[[ActualResult]:[ActualResult]], "SO") + SUMIFS(Table2[[AwayWon]:[AwayWon]], Table2[[GameIsOver]:[GameIsOver]],1,Table2[[HomeTeam]:[HomeTeam]],$T22, Table2[[AwayTeam]:[AwayTeam]], AU$21, Table2[[ActualResult]:[ActualResult]], "SO")))</calculatedColumnFormula>
    </tableColumn>
    <tableColumn id="30" xr3:uid="{7B180790-A1BE-407F-BB79-380F219C5FA6}" name="DET" dataDxfId="89">
      <calculatedColumnFormula>(2*(SUMIFS(Table2[[AwayWon]:[AwayWon]], Table2[[GameIsOver]:[GameIsOver]],1,Table2[[AwayTeam]:[AwayTeam]],$T22, Table2[[HomeTeam]:[HomeTeam]], AV$21) + SUMIFS(Table2[[HomeWon_]:[HomeWon_]], Table2[[GameIsOver]:[GameIsOver]],1,Table2[[HomeTeam]:[HomeTeam]],$T22, Table2[[AwayTeam]:[AwayTeam]], AV$21))) + (0*(SUMIFS(Table2[[HomeWon_]:[HomeWon_]], Table2[[GameIsOver]:[GameIsOver]],1,Table2[[AwayTeam]:[AwayTeam]],$T22, Table2[[HomeTeam]:[HomeTeam]], AV$21, Table2[[ActualResult]:[ActualResult]], "REG") + SUMIFS(Table2[[AwayWon]:[AwayWon]], Table2[[GameIsOver]:[GameIsOver]],1,Table2[[HomeTeam]:[HomeTeam]],$T22, Table2[[AwayTeam]:[AwayTeam]], AV$21, Table2[[ActualResult]:[ActualResult]], "REG"))) + (1*(SUMIFS(Table2[[HomeWon_]:[HomeWon_]], Table2[[GameIsOver]:[GameIsOver]],1,Table2[[AwayTeam]:[AwayTeam]],$T22, Table2[[HomeTeam]:[HomeTeam]], AV$21, Table2[[ActualResult]:[ActualResult]], "OT") + SUMIFS(Table2[[AwayWon]:[AwayWon]], Table2[[GameIsOver]:[GameIsOver]],1,Table2[[HomeTeam]:[HomeTeam]],$T22, Table2[[AwayTeam]:[AwayTeam]], AV$21, Table2[[ActualResult]:[ActualResult]], "OT") + SUMIFS(Table2[[HomeWon_]:[HomeWon_]], Table2[[GameIsOver]:[GameIsOver]],1,Table2[[AwayTeam]:[AwayTeam]],$T22, Table2[[HomeTeam]:[HomeTeam]], AV$21, Table2[[ActualResult]:[ActualResult]], "SO") + SUMIFS(Table2[[AwayWon]:[AwayWon]], Table2[[GameIsOver]:[GameIsOver]],1,Table2[[HomeTeam]:[HomeTeam]],$T22, Table2[[AwayTeam]:[AwayTeam]], AV$21, Table2[[ActualResult]:[ActualResult]], "SO")))</calculatedColumnFormula>
    </tableColumn>
    <tableColumn id="31" xr3:uid="{422F958D-DB4B-42FB-B665-258504CF8004}" name="FLA" dataDxfId="88">
      <calculatedColumnFormula>(2*(SUMIFS(Table2[[AwayWon]:[AwayWon]], Table2[[GameIsOver]:[GameIsOver]],1,Table2[[AwayTeam]:[AwayTeam]],$T22, Table2[[HomeTeam]:[HomeTeam]], AW$21) + SUMIFS(Table2[[HomeWon_]:[HomeWon_]], Table2[[GameIsOver]:[GameIsOver]],1,Table2[[HomeTeam]:[HomeTeam]],$T22, Table2[[AwayTeam]:[AwayTeam]], AW$21))) + (0*(SUMIFS(Table2[[HomeWon_]:[HomeWon_]], Table2[[GameIsOver]:[GameIsOver]],1,Table2[[AwayTeam]:[AwayTeam]],$T22, Table2[[HomeTeam]:[HomeTeam]], AW$21, Table2[[ActualResult]:[ActualResult]], "REG") + SUMIFS(Table2[[AwayWon]:[AwayWon]], Table2[[GameIsOver]:[GameIsOver]],1,Table2[[HomeTeam]:[HomeTeam]],$T22, Table2[[AwayTeam]:[AwayTeam]], AW$21, Table2[[ActualResult]:[ActualResult]], "REG"))) + (1*(SUMIFS(Table2[[HomeWon_]:[HomeWon_]], Table2[[GameIsOver]:[GameIsOver]],1,Table2[[AwayTeam]:[AwayTeam]],$T22, Table2[[HomeTeam]:[HomeTeam]], AW$21, Table2[[ActualResult]:[ActualResult]], "OT") + SUMIFS(Table2[[AwayWon]:[AwayWon]], Table2[[GameIsOver]:[GameIsOver]],1,Table2[[HomeTeam]:[HomeTeam]],$T22, Table2[[AwayTeam]:[AwayTeam]], AW$21, Table2[[ActualResult]:[ActualResult]], "OT") + SUMIFS(Table2[[HomeWon_]:[HomeWon_]], Table2[[GameIsOver]:[GameIsOver]],1,Table2[[AwayTeam]:[AwayTeam]],$T22, Table2[[HomeTeam]:[HomeTeam]], AW$21, Table2[[ActualResult]:[ActualResult]], "SO") + SUMIFS(Table2[[AwayWon]:[AwayWon]], Table2[[GameIsOver]:[GameIsOver]],1,Table2[[HomeTeam]:[HomeTeam]],$T22, Table2[[AwayTeam]:[AwayTeam]], AW$21, Table2[[ActualResult]:[ActualResult]], "SO")))</calculatedColumnFormula>
    </tableColumn>
    <tableColumn id="32" xr3:uid="{0E574EBB-49B3-4F85-BBCA-629DE6AD903E}" name="MTL" dataDxfId="87">
      <calculatedColumnFormula>(2*(SUMIFS(Table2[[AwayWon]:[AwayWon]], Table2[[GameIsOver]:[GameIsOver]],1,Table2[[AwayTeam]:[AwayTeam]],$T22, Table2[[HomeTeam]:[HomeTeam]], AX$21) + SUMIFS(Table2[[HomeWon_]:[HomeWon_]], Table2[[GameIsOver]:[GameIsOver]],1,Table2[[HomeTeam]:[HomeTeam]],$T22, Table2[[AwayTeam]:[AwayTeam]], AX$21))) + (0*(SUMIFS(Table2[[HomeWon_]:[HomeWon_]], Table2[[GameIsOver]:[GameIsOver]],1,Table2[[AwayTeam]:[AwayTeam]],$T22, Table2[[HomeTeam]:[HomeTeam]], AX$21, Table2[[ActualResult]:[ActualResult]], "REG") + SUMIFS(Table2[[AwayWon]:[AwayWon]], Table2[[GameIsOver]:[GameIsOver]],1,Table2[[HomeTeam]:[HomeTeam]],$T22, Table2[[AwayTeam]:[AwayTeam]], AX$21, Table2[[ActualResult]:[ActualResult]], "REG"))) + (1*(SUMIFS(Table2[[HomeWon_]:[HomeWon_]], Table2[[GameIsOver]:[GameIsOver]],1,Table2[[AwayTeam]:[AwayTeam]],$T22, Table2[[HomeTeam]:[HomeTeam]], AX$21, Table2[[ActualResult]:[ActualResult]], "OT") + SUMIFS(Table2[[AwayWon]:[AwayWon]], Table2[[GameIsOver]:[GameIsOver]],1,Table2[[HomeTeam]:[HomeTeam]],$T22, Table2[[AwayTeam]:[AwayTeam]], AX$21, Table2[[ActualResult]:[ActualResult]], "OT") + SUMIFS(Table2[[HomeWon_]:[HomeWon_]], Table2[[GameIsOver]:[GameIsOver]],1,Table2[[AwayTeam]:[AwayTeam]],$T22, Table2[[HomeTeam]:[HomeTeam]], AX$21, Table2[[ActualResult]:[ActualResult]], "SO") + SUMIFS(Table2[[AwayWon]:[AwayWon]], Table2[[GameIsOver]:[GameIsOver]],1,Table2[[HomeTeam]:[HomeTeam]],$T22, Table2[[AwayTeam]:[AwayTeam]], AX$21, Table2[[ActualResult]:[ActualResult]], "SO")))</calculatedColumnFormula>
    </tableColumn>
    <tableColumn id="33" xr3:uid="{16240F9D-0506-4C5E-BA6E-1F62D694CFC6}" name="OTT" dataDxfId="86">
      <calculatedColumnFormula>(2*(SUMIFS(Table2[[AwayWon]:[AwayWon]], Table2[[GameIsOver]:[GameIsOver]],1,Table2[[AwayTeam]:[AwayTeam]],$T22, Table2[[HomeTeam]:[HomeTeam]], AY$21) + SUMIFS(Table2[[HomeWon_]:[HomeWon_]], Table2[[GameIsOver]:[GameIsOver]],1,Table2[[HomeTeam]:[HomeTeam]],$T22, Table2[[AwayTeam]:[AwayTeam]], AY$21))) + (0*(SUMIFS(Table2[[HomeWon_]:[HomeWon_]], Table2[[GameIsOver]:[GameIsOver]],1,Table2[[AwayTeam]:[AwayTeam]],$T22, Table2[[HomeTeam]:[HomeTeam]], AY$21, Table2[[ActualResult]:[ActualResult]], "REG") + SUMIFS(Table2[[AwayWon]:[AwayWon]], Table2[[GameIsOver]:[GameIsOver]],1,Table2[[HomeTeam]:[HomeTeam]],$T22, Table2[[AwayTeam]:[AwayTeam]], AY$21, Table2[[ActualResult]:[ActualResult]], "REG"))) + (1*(SUMIFS(Table2[[HomeWon_]:[HomeWon_]], Table2[[GameIsOver]:[GameIsOver]],1,Table2[[AwayTeam]:[AwayTeam]],$T22, Table2[[HomeTeam]:[HomeTeam]], AY$21, Table2[[ActualResult]:[ActualResult]], "OT") + SUMIFS(Table2[[AwayWon]:[AwayWon]], Table2[[GameIsOver]:[GameIsOver]],1,Table2[[HomeTeam]:[HomeTeam]],$T22, Table2[[AwayTeam]:[AwayTeam]], AY$21, Table2[[ActualResult]:[ActualResult]], "OT") + SUMIFS(Table2[[HomeWon_]:[HomeWon_]], Table2[[GameIsOver]:[GameIsOver]],1,Table2[[AwayTeam]:[AwayTeam]],$T22, Table2[[HomeTeam]:[HomeTeam]], AY$21, Table2[[ActualResult]:[ActualResult]], "SO") + SUMIFS(Table2[[AwayWon]:[AwayWon]], Table2[[GameIsOver]:[GameIsOver]],1,Table2[[HomeTeam]:[HomeTeam]],$T22, Table2[[AwayTeam]:[AwayTeam]], AY$21, Table2[[ActualResult]:[ActualResult]], "SO")))</calculatedColumnFormula>
    </tableColumn>
    <tableColumn id="34" xr3:uid="{4345BDB1-0606-4EAF-8B86-7BC430C8107E}" name="TBL" dataDxfId="85">
      <calculatedColumnFormula>(2*(SUMIFS(Table2[[AwayWon]:[AwayWon]], Table2[[GameIsOver]:[GameIsOver]],1,Table2[[AwayTeam]:[AwayTeam]],$T22, Table2[[HomeTeam]:[HomeTeam]], AZ$21) + SUMIFS(Table2[[HomeWon_]:[HomeWon_]], Table2[[GameIsOver]:[GameIsOver]],1,Table2[[HomeTeam]:[HomeTeam]],$T22, Table2[[AwayTeam]:[AwayTeam]], AZ$21))) + (0*(SUMIFS(Table2[[HomeWon_]:[HomeWon_]], Table2[[GameIsOver]:[GameIsOver]],1,Table2[[AwayTeam]:[AwayTeam]],$T22, Table2[[HomeTeam]:[HomeTeam]], AZ$21, Table2[[ActualResult]:[ActualResult]], "REG") + SUMIFS(Table2[[AwayWon]:[AwayWon]], Table2[[GameIsOver]:[GameIsOver]],1,Table2[[HomeTeam]:[HomeTeam]],$T22, Table2[[AwayTeam]:[AwayTeam]], AZ$21, Table2[[ActualResult]:[ActualResult]], "REG"))) + (1*(SUMIFS(Table2[[HomeWon_]:[HomeWon_]], Table2[[GameIsOver]:[GameIsOver]],1,Table2[[AwayTeam]:[AwayTeam]],$T22, Table2[[HomeTeam]:[HomeTeam]], AZ$21, Table2[[ActualResult]:[ActualResult]], "OT") + SUMIFS(Table2[[AwayWon]:[AwayWon]], Table2[[GameIsOver]:[GameIsOver]],1,Table2[[HomeTeam]:[HomeTeam]],$T22, Table2[[AwayTeam]:[AwayTeam]], AZ$21, Table2[[ActualResult]:[ActualResult]], "OT") + SUMIFS(Table2[[HomeWon_]:[HomeWon_]], Table2[[GameIsOver]:[GameIsOver]],1,Table2[[AwayTeam]:[AwayTeam]],$T22, Table2[[HomeTeam]:[HomeTeam]], AZ$21, Table2[[ActualResult]:[ActualResult]], "SO") + SUMIFS(Table2[[AwayWon]:[AwayWon]], Table2[[GameIsOver]:[GameIsOver]],1,Table2[[HomeTeam]:[HomeTeam]],$T22, Table2[[AwayTeam]:[AwayTeam]], AZ$21, Table2[[ActualResult]:[ActualResult]], "SO")))</calculatedColumnFormula>
    </tableColumn>
    <tableColumn id="35" xr3:uid="{9A1B5930-37C7-4E38-A1DD-CC0D0A4B694E}" name="TOR" dataDxfId="84">
      <calculatedColumnFormula>(2*(SUMIFS(Table2[[AwayWon]:[AwayWon]], Table2[[GameIsOver]:[GameIsOver]],1,Table2[[AwayTeam]:[AwayTeam]],$T22, Table2[[HomeTeam]:[HomeTeam]], BA$21) + SUMIFS(Table2[[HomeWon_]:[HomeWon_]], Table2[[GameIsOver]:[GameIsOver]],1,Table2[[HomeTeam]:[HomeTeam]],$T22, Table2[[AwayTeam]:[AwayTeam]], BA$21))) + (0*(SUMIFS(Table2[[HomeWon_]:[HomeWon_]], Table2[[GameIsOver]:[GameIsOver]],1,Table2[[AwayTeam]:[AwayTeam]],$T22, Table2[[HomeTeam]:[HomeTeam]], BA$21, Table2[[ActualResult]:[ActualResult]], "REG") + SUMIFS(Table2[[AwayWon]:[AwayWon]], Table2[[GameIsOver]:[GameIsOver]],1,Table2[[HomeTeam]:[HomeTeam]],$T22, Table2[[AwayTeam]:[AwayTeam]], BA$21, Table2[[ActualResult]:[ActualResult]], "REG"))) + (1*(SUMIFS(Table2[[HomeWon_]:[HomeWon_]], Table2[[GameIsOver]:[GameIsOver]],1,Table2[[AwayTeam]:[AwayTeam]],$T22, Table2[[HomeTeam]:[HomeTeam]], BA$21, Table2[[ActualResult]:[ActualResult]], "OT") + SUMIFS(Table2[[AwayWon]:[AwayWon]], Table2[[GameIsOver]:[GameIsOver]],1,Table2[[HomeTeam]:[HomeTeam]],$T22, Table2[[AwayTeam]:[AwayTeam]], BA$21, Table2[[ActualResult]:[ActualResult]], "OT") + SUMIFS(Table2[[HomeWon_]:[HomeWon_]], Table2[[GameIsOver]:[GameIsOver]],1,Table2[[AwayTeam]:[AwayTeam]],$T22, Table2[[HomeTeam]:[HomeTeam]], BA$21, Table2[[ActualResult]:[ActualResult]], "SO") + SUMIFS(Table2[[AwayWon]:[AwayWon]], Table2[[GameIsOver]:[GameIsOver]],1,Table2[[HomeTeam]:[HomeTeam]],$T22, Table2[[AwayTeam]:[AwayTeam]], BA$21, Table2[[ActualResult]:[ActualResult]], "SO")))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4FC6AFEE-2406-4895-973E-C9F9ECBFF422}" name="Table71214" displayName="Table71214" ref="S31:BA39" totalsRowShown="0">
  <autoFilter ref="S31:BA39" xr:uid="{4FC6AFEE-2406-4895-973E-C9F9ECBFF422}"/>
  <sortState xmlns:xlrd2="http://schemas.microsoft.com/office/spreadsheetml/2017/richdata2" ref="S32:BA39">
    <sortCondition descending="1" ref="U31:U39"/>
  </sortState>
  <tableColumns count="35">
    <tableColumn id="1" xr3:uid="{B335BE05-239D-42BE-A54F-A352B790FD2D}" name="ATL"/>
    <tableColumn id="2" xr3:uid="{C4EA4720-2B43-4EF8-8292-017A2F9CBC7D}" name="Teams" dataDxfId="83">
      <calculatedColumnFormula array="1">INDEX(Table6[Teams], SMALL(IF(Table6[D]="A", ROW(Table6[Teams])-ROW(Table6[#Headers])), Table71214[[#This Row],[ATL]]))</calculatedColumnFormula>
    </tableColumn>
    <tableColumn id="3" xr3:uid="{115D84E9-AABE-400E-A00B-CD29AC96D266}" name="Pts" dataDxfId="82">
      <calculatedColumnFormula>INDEX(Table6[PTS], MATCH($T32, Table6[Teams], 0))</calculatedColumnFormula>
    </tableColumn>
    <tableColumn id="4" xr3:uid="{55BDE359-ED2E-4B0A-858C-73F04D31F61E}" name="ANA" dataDxfId="81">
      <calculatedColumnFormula>(2*(SUMIFS(Table2[[AwayWon]:[AwayWon]], Table2[[GameIsOver]:[GameIsOver]],1,Table2[[AwayTeam]:[AwayTeam]],$T32, Table2[[HomeTeam]:[HomeTeam]], V$31) + SUMIFS(Table2[[HomeWon_]:[HomeWon_]], Table2[[GameIsOver]:[GameIsOver]],1,Table2[[HomeTeam]:[HomeTeam]],$T2, Table2[[AwayTeam]:[AwayTeam]], V$31))) + (0*(SUMIFS(Table2[[HomeWon_]:[HomeWon_]], Table2[[GameIsOver]:[GameIsOver]],1,Table2[[AwayTeam]:[AwayTeam]],$T32, Table2[[HomeTeam]:[HomeTeam]], V$31, Table2[[ActualResult]:[ActualResult]], "REG") + SUMIFS(Table2[[AwayWon]:[AwayWon]], Table2[[GameIsOver]:[GameIsOver]],1,Table2[[HomeTeam]:[HomeTeam]],$T32, Table2[[AwayTeam]:[AwayTeam]], V$31, Table2[[ActualResult]:[ActualResult]], "REG"))) + (1*(SUMIFS(Table2[[HomeWon_]:[HomeWon_]], Table2[[GameIsOver]:[GameIsOver]],1,Table2[[AwayTeam]:[AwayTeam]],$T32, Table2[[HomeTeam]:[HomeTeam]], V$31, Table2[[ActualResult]:[ActualResult]], "OT") + SUMIFS(Table2[[AwayWon]:[AwayWon]], Table2[[GameIsOver]:[GameIsOver]],1,Table2[[HomeTeam]:[HomeTeam]],$T32, Table2[[AwayTeam]:[AwayTeam]], V$31, Table2[[ActualResult]:[ActualResult]], "OT") + SUMIFS(Table2[[HomeWon_]:[HomeWon_]], Table2[[GameIsOver]:[GameIsOver]],1,Table2[[AwayTeam]:[AwayTeam]],$T32, Table2[[HomeTeam]:[HomeTeam]], V$31, Table2[[ActualResult]:[ActualResult]], "SO") + SUMIFS(Table2[[AwayWon]:[AwayWon]], Table2[[GameIsOver]:[GameIsOver]],1,Table2[[HomeTeam]:[HomeTeam]],$T32, Table2[[AwayTeam]:[AwayTeam]], V$31, Table2[[ActualResult]:[ActualResult]], "SO")))</calculatedColumnFormula>
    </tableColumn>
    <tableColumn id="5" xr3:uid="{4EFBF628-DCC1-47BD-9790-62D8CBFB5009}" name="CGY" dataDxfId="80">
      <calculatedColumnFormula>(2*(SUMIFS(Table2[[AwayWon]:[AwayWon]], Table2[[GameIsOver]:[GameIsOver]],1,Table2[[AwayTeam]:[AwayTeam]],$T32, Table2[[HomeTeam]:[HomeTeam]], W$31) + SUMIFS(Table2[[HomeWon_]:[HomeWon_]], Table2[[GameIsOver]:[GameIsOver]],1,Table2[[HomeTeam]:[HomeTeam]],$T2, Table2[[AwayTeam]:[AwayTeam]], W$31))) + (0*(SUMIFS(Table2[[HomeWon_]:[HomeWon_]], Table2[[GameIsOver]:[GameIsOver]],1,Table2[[AwayTeam]:[AwayTeam]],$T32, Table2[[HomeTeam]:[HomeTeam]], W$31, Table2[[ActualResult]:[ActualResult]], "REG") + SUMIFS(Table2[[AwayWon]:[AwayWon]], Table2[[GameIsOver]:[GameIsOver]],1,Table2[[HomeTeam]:[HomeTeam]],$T32, Table2[[AwayTeam]:[AwayTeam]], W$31, Table2[[ActualResult]:[ActualResult]], "REG"))) + (1*(SUMIFS(Table2[[HomeWon_]:[HomeWon_]], Table2[[GameIsOver]:[GameIsOver]],1,Table2[[AwayTeam]:[AwayTeam]],$T32, Table2[[HomeTeam]:[HomeTeam]], W$31, Table2[[ActualResult]:[ActualResult]], "OT") + SUMIFS(Table2[[AwayWon]:[AwayWon]], Table2[[GameIsOver]:[GameIsOver]],1,Table2[[HomeTeam]:[HomeTeam]],$T32, Table2[[AwayTeam]:[AwayTeam]], W$31, Table2[[ActualResult]:[ActualResult]], "OT") + SUMIFS(Table2[[HomeWon_]:[HomeWon_]], Table2[[GameIsOver]:[GameIsOver]],1,Table2[[AwayTeam]:[AwayTeam]],$T32, Table2[[HomeTeam]:[HomeTeam]], W$31, Table2[[ActualResult]:[ActualResult]], "SO") + SUMIFS(Table2[[AwayWon]:[AwayWon]], Table2[[GameIsOver]:[GameIsOver]],1,Table2[[HomeTeam]:[HomeTeam]],$T32, Table2[[AwayTeam]:[AwayTeam]], W$31, Table2[[ActualResult]:[ActualResult]], "SO")))</calculatedColumnFormula>
    </tableColumn>
    <tableColumn id="6" xr3:uid="{B56DF13A-3D6B-4224-AEA3-AD767D6B7219}" name="EDM" dataDxfId="79">
      <calculatedColumnFormula>(2*(SUMIFS(Table2[[AwayWon]:[AwayWon]], Table2[[GameIsOver]:[GameIsOver]],1,Table2[[AwayTeam]:[AwayTeam]],$T32, Table2[[HomeTeam]:[HomeTeam]], X$31) + SUMIFS(Table2[[HomeWon_]:[HomeWon_]], Table2[[GameIsOver]:[GameIsOver]],1,Table2[[HomeTeam]:[HomeTeam]],$T2, Table2[[AwayTeam]:[AwayTeam]], X$31))) + (0*(SUMIFS(Table2[[HomeWon_]:[HomeWon_]], Table2[[GameIsOver]:[GameIsOver]],1,Table2[[AwayTeam]:[AwayTeam]],$T32, Table2[[HomeTeam]:[HomeTeam]], X$31, Table2[[ActualResult]:[ActualResult]], "REG") + SUMIFS(Table2[[AwayWon]:[AwayWon]], Table2[[GameIsOver]:[GameIsOver]],1,Table2[[HomeTeam]:[HomeTeam]],$T32, Table2[[AwayTeam]:[AwayTeam]], X$31, Table2[[ActualResult]:[ActualResult]], "REG"))) + (1*(SUMIFS(Table2[[HomeWon_]:[HomeWon_]], Table2[[GameIsOver]:[GameIsOver]],1,Table2[[AwayTeam]:[AwayTeam]],$T32, Table2[[HomeTeam]:[HomeTeam]], X$31, Table2[[ActualResult]:[ActualResult]], "OT") + SUMIFS(Table2[[AwayWon]:[AwayWon]], Table2[[GameIsOver]:[GameIsOver]],1,Table2[[HomeTeam]:[HomeTeam]],$T32, Table2[[AwayTeam]:[AwayTeam]], X$31, Table2[[ActualResult]:[ActualResult]], "OT") + SUMIFS(Table2[[HomeWon_]:[HomeWon_]], Table2[[GameIsOver]:[GameIsOver]],1,Table2[[AwayTeam]:[AwayTeam]],$T32, Table2[[HomeTeam]:[HomeTeam]], X$31, Table2[[ActualResult]:[ActualResult]], "SO") + SUMIFS(Table2[[AwayWon]:[AwayWon]], Table2[[GameIsOver]:[GameIsOver]],1,Table2[[HomeTeam]:[HomeTeam]],$T32, Table2[[AwayTeam]:[AwayTeam]], X$31, Table2[[ActualResult]:[ActualResult]], "SO")))</calculatedColumnFormula>
    </tableColumn>
    <tableColumn id="7" xr3:uid="{7E793B4B-D050-4A00-9867-2401C924C4D0}" name="LAK" dataDxfId="78">
      <calculatedColumnFormula>(2*(SUMIFS(Table2[[AwayWon]:[AwayWon]], Table2[[GameIsOver]:[GameIsOver]],1,Table2[[AwayTeam]:[AwayTeam]],$T32, Table2[[HomeTeam]:[HomeTeam]], Y$31) + SUMIFS(Table2[[HomeWon_]:[HomeWon_]], Table2[[GameIsOver]:[GameIsOver]],1,Table2[[HomeTeam]:[HomeTeam]],$T2, Table2[[AwayTeam]:[AwayTeam]], Y$31))) + (0*(SUMIFS(Table2[[HomeWon_]:[HomeWon_]], Table2[[GameIsOver]:[GameIsOver]],1,Table2[[AwayTeam]:[AwayTeam]],$T32, Table2[[HomeTeam]:[HomeTeam]], Y$31, Table2[[ActualResult]:[ActualResult]], "REG") + SUMIFS(Table2[[AwayWon]:[AwayWon]], Table2[[GameIsOver]:[GameIsOver]],1,Table2[[HomeTeam]:[HomeTeam]],$T32, Table2[[AwayTeam]:[AwayTeam]], Y$31, Table2[[ActualResult]:[ActualResult]], "REG"))) + (1*(SUMIFS(Table2[[HomeWon_]:[HomeWon_]], Table2[[GameIsOver]:[GameIsOver]],1,Table2[[AwayTeam]:[AwayTeam]],$T32, Table2[[HomeTeam]:[HomeTeam]], Y$31, Table2[[ActualResult]:[ActualResult]], "OT") + SUMIFS(Table2[[AwayWon]:[AwayWon]], Table2[[GameIsOver]:[GameIsOver]],1,Table2[[HomeTeam]:[HomeTeam]],$T32, Table2[[AwayTeam]:[AwayTeam]], Y$31, Table2[[ActualResult]:[ActualResult]], "OT") + SUMIFS(Table2[[HomeWon_]:[HomeWon_]], Table2[[GameIsOver]:[GameIsOver]],1,Table2[[AwayTeam]:[AwayTeam]],$T32, Table2[[HomeTeam]:[HomeTeam]], Y$31, Table2[[ActualResult]:[ActualResult]], "SO") + SUMIFS(Table2[[AwayWon]:[AwayWon]], Table2[[GameIsOver]:[GameIsOver]],1,Table2[[HomeTeam]:[HomeTeam]],$T32, Table2[[AwayTeam]:[AwayTeam]], Y$31, Table2[[ActualResult]:[ActualResult]], "SO")))</calculatedColumnFormula>
    </tableColumn>
    <tableColumn id="8" xr3:uid="{AAAEB452-8924-4FD7-9793-282E9C91144E}" name="SEA" dataDxfId="77">
      <calculatedColumnFormula>(2*(SUMIFS(Table2[[AwayWon]:[AwayWon]], Table2[[GameIsOver]:[GameIsOver]],1,Table2[[AwayTeam]:[AwayTeam]],$T32, Table2[[HomeTeam]:[HomeTeam]], Z$31) + SUMIFS(Table2[[HomeWon_]:[HomeWon_]], Table2[[GameIsOver]:[GameIsOver]],1,Table2[[HomeTeam]:[HomeTeam]],$T2, Table2[[AwayTeam]:[AwayTeam]], Z$31))) + (0*(SUMIFS(Table2[[HomeWon_]:[HomeWon_]], Table2[[GameIsOver]:[GameIsOver]],1,Table2[[AwayTeam]:[AwayTeam]],$T32, Table2[[HomeTeam]:[HomeTeam]], Z$31, Table2[[ActualResult]:[ActualResult]], "REG") + SUMIFS(Table2[[AwayWon]:[AwayWon]], Table2[[GameIsOver]:[GameIsOver]],1,Table2[[HomeTeam]:[HomeTeam]],$T32, Table2[[AwayTeam]:[AwayTeam]], Z$31, Table2[[ActualResult]:[ActualResult]], "REG"))) + (1*(SUMIFS(Table2[[HomeWon_]:[HomeWon_]], Table2[[GameIsOver]:[GameIsOver]],1,Table2[[AwayTeam]:[AwayTeam]],$T32, Table2[[HomeTeam]:[HomeTeam]], Z$31, Table2[[ActualResult]:[ActualResult]], "OT") + SUMIFS(Table2[[AwayWon]:[AwayWon]], Table2[[GameIsOver]:[GameIsOver]],1,Table2[[HomeTeam]:[HomeTeam]],$T32, Table2[[AwayTeam]:[AwayTeam]], Z$31, Table2[[ActualResult]:[ActualResult]], "OT") + SUMIFS(Table2[[HomeWon_]:[HomeWon_]], Table2[[GameIsOver]:[GameIsOver]],1,Table2[[AwayTeam]:[AwayTeam]],$T32, Table2[[HomeTeam]:[HomeTeam]], Z$31, Table2[[ActualResult]:[ActualResult]], "SO") + SUMIFS(Table2[[AwayWon]:[AwayWon]], Table2[[GameIsOver]:[GameIsOver]],1,Table2[[HomeTeam]:[HomeTeam]],$T32, Table2[[AwayTeam]:[AwayTeam]], Z$31, Table2[[ActualResult]:[ActualResult]], "SO")))</calculatedColumnFormula>
    </tableColumn>
    <tableColumn id="9" xr3:uid="{1CE15632-E3B6-44BF-8DA3-2B99FD6BF7AE}" name="SJS" dataDxfId="76">
      <calculatedColumnFormula>(2*(SUMIFS(Table2[[AwayWon]:[AwayWon]], Table2[[GameIsOver]:[GameIsOver]],1,Table2[[AwayTeam]:[AwayTeam]],$T32, Table2[[HomeTeam]:[HomeTeam]], AA$31) + SUMIFS(Table2[[HomeWon_]:[HomeWon_]], Table2[[GameIsOver]:[GameIsOver]],1,Table2[[HomeTeam]:[HomeTeam]],$T2, Table2[[AwayTeam]:[AwayTeam]], AA$31))) + (0*(SUMIFS(Table2[[HomeWon_]:[HomeWon_]], Table2[[GameIsOver]:[GameIsOver]],1,Table2[[AwayTeam]:[AwayTeam]],$T32, Table2[[HomeTeam]:[HomeTeam]], AA$31, Table2[[ActualResult]:[ActualResult]], "REG") + SUMIFS(Table2[[AwayWon]:[AwayWon]], Table2[[GameIsOver]:[GameIsOver]],1,Table2[[HomeTeam]:[HomeTeam]],$T32, Table2[[AwayTeam]:[AwayTeam]], AA$31, Table2[[ActualResult]:[ActualResult]], "REG"))) + (1*(SUMIFS(Table2[[HomeWon_]:[HomeWon_]], Table2[[GameIsOver]:[GameIsOver]],1,Table2[[AwayTeam]:[AwayTeam]],$T32, Table2[[HomeTeam]:[HomeTeam]], AA$31, Table2[[ActualResult]:[ActualResult]], "OT") + SUMIFS(Table2[[AwayWon]:[AwayWon]], Table2[[GameIsOver]:[GameIsOver]],1,Table2[[HomeTeam]:[HomeTeam]],$T32, Table2[[AwayTeam]:[AwayTeam]], AA$31, Table2[[ActualResult]:[ActualResult]], "OT") + SUMIFS(Table2[[HomeWon_]:[HomeWon_]], Table2[[GameIsOver]:[GameIsOver]],1,Table2[[AwayTeam]:[AwayTeam]],$T32, Table2[[HomeTeam]:[HomeTeam]], AA$31, Table2[[ActualResult]:[ActualResult]], "SO") + SUMIFS(Table2[[AwayWon]:[AwayWon]], Table2[[GameIsOver]:[GameIsOver]],1,Table2[[HomeTeam]:[HomeTeam]],$T32, Table2[[AwayTeam]:[AwayTeam]], AA$31, Table2[[ActualResult]:[ActualResult]], "SO")))</calculatedColumnFormula>
    </tableColumn>
    <tableColumn id="10" xr3:uid="{F1C0F924-978F-4407-9E4F-18737F6F8D40}" name="VAN" dataDxfId="75">
      <calculatedColumnFormula>(2*(SUMIFS(Table2[[AwayWon]:[AwayWon]], Table2[[GameIsOver]:[GameIsOver]],1,Table2[[AwayTeam]:[AwayTeam]],$T32, Table2[[HomeTeam]:[HomeTeam]], AB$31) + SUMIFS(Table2[[HomeWon_]:[HomeWon_]], Table2[[GameIsOver]:[GameIsOver]],1,Table2[[HomeTeam]:[HomeTeam]],$T2, Table2[[AwayTeam]:[AwayTeam]], AB$31))) + (0*(SUMIFS(Table2[[HomeWon_]:[HomeWon_]], Table2[[GameIsOver]:[GameIsOver]],1,Table2[[AwayTeam]:[AwayTeam]],$T32, Table2[[HomeTeam]:[HomeTeam]], AB$31, Table2[[ActualResult]:[ActualResult]], "REG") + SUMIFS(Table2[[AwayWon]:[AwayWon]], Table2[[GameIsOver]:[GameIsOver]],1,Table2[[HomeTeam]:[HomeTeam]],$T32, Table2[[AwayTeam]:[AwayTeam]], AB$31, Table2[[ActualResult]:[ActualResult]], "REG"))) + (1*(SUMIFS(Table2[[HomeWon_]:[HomeWon_]], Table2[[GameIsOver]:[GameIsOver]],1,Table2[[AwayTeam]:[AwayTeam]],$T32, Table2[[HomeTeam]:[HomeTeam]], AB$31, Table2[[ActualResult]:[ActualResult]], "OT") + SUMIFS(Table2[[AwayWon]:[AwayWon]], Table2[[GameIsOver]:[GameIsOver]],1,Table2[[HomeTeam]:[HomeTeam]],$T32, Table2[[AwayTeam]:[AwayTeam]], AB$31, Table2[[ActualResult]:[ActualResult]], "OT") + SUMIFS(Table2[[HomeWon_]:[HomeWon_]], Table2[[GameIsOver]:[GameIsOver]],1,Table2[[AwayTeam]:[AwayTeam]],$T32, Table2[[HomeTeam]:[HomeTeam]], AB$31, Table2[[ActualResult]:[ActualResult]], "SO") + SUMIFS(Table2[[AwayWon]:[AwayWon]], Table2[[GameIsOver]:[GameIsOver]],1,Table2[[HomeTeam]:[HomeTeam]],$T32, Table2[[AwayTeam]:[AwayTeam]], AB$31, Table2[[ActualResult]:[ActualResult]], "SO")))</calculatedColumnFormula>
    </tableColumn>
    <tableColumn id="11" xr3:uid="{20D2AC88-A4A9-4DDA-A6DB-5C8B2B7C9AE4}" name="VGK" dataDxfId="74">
      <calculatedColumnFormula>(2*(SUMIFS(Table2[[AwayWon]:[AwayWon]], Table2[[GameIsOver]:[GameIsOver]],1,Table2[[AwayTeam]:[AwayTeam]],$T32, Table2[[HomeTeam]:[HomeTeam]], AC$31) + SUMIFS(Table2[[HomeWon_]:[HomeWon_]], Table2[[GameIsOver]:[GameIsOver]],1,Table2[[HomeTeam]:[HomeTeam]],$T2, Table2[[AwayTeam]:[AwayTeam]], AC$31))) + (0*(SUMIFS(Table2[[HomeWon_]:[HomeWon_]], Table2[[GameIsOver]:[GameIsOver]],1,Table2[[AwayTeam]:[AwayTeam]],$T32, Table2[[HomeTeam]:[HomeTeam]], AC$31, Table2[[ActualResult]:[ActualResult]], "REG") + SUMIFS(Table2[[AwayWon]:[AwayWon]], Table2[[GameIsOver]:[GameIsOver]],1,Table2[[HomeTeam]:[HomeTeam]],$T32, Table2[[AwayTeam]:[AwayTeam]], AC$31, Table2[[ActualResult]:[ActualResult]], "REG"))) + (1*(SUMIFS(Table2[[HomeWon_]:[HomeWon_]], Table2[[GameIsOver]:[GameIsOver]],1,Table2[[AwayTeam]:[AwayTeam]],$T32, Table2[[HomeTeam]:[HomeTeam]], AC$31, Table2[[ActualResult]:[ActualResult]], "OT") + SUMIFS(Table2[[AwayWon]:[AwayWon]], Table2[[GameIsOver]:[GameIsOver]],1,Table2[[HomeTeam]:[HomeTeam]],$T32, Table2[[AwayTeam]:[AwayTeam]], AC$31, Table2[[ActualResult]:[ActualResult]], "OT") + SUMIFS(Table2[[HomeWon_]:[HomeWon_]], Table2[[GameIsOver]:[GameIsOver]],1,Table2[[AwayTeam]:[AwayTeam]],$T32, Table2[[HomeTeam]:[HomeTeam]], AC$31, Table2[[ActualResult]:[ActualResult]], "SO") + SUMIFS(Table2[[AwayWon]:[AwayWon]], Table2[[GameIsOver]:[GameIsOver]],1,Table2[[HomeTeam]:[HomeTeam]],$T32, Table2[[AwayTeam]:[AwayTeam]], AC$31, Table2[[ActualResult]:[ActualResult]], "SO")))</calculatedColumnFormula>
    </tableColumn>
    <tableColumn id="12" xr3:uid="{4C588B5B-5BA0-4ADE-9882-D05394599C45}" name="CHI" dataDxfId="73">
      <calculatedColumnFormula>(2*(SUMIFS(Table2[[AwayWon]:[AwayWon]], Table2[[GameIsOver]:[GameIsOver]],1,Table2[[AwayTeam]:[AwayTeam]],$T32, Table2[[HomeTeam]:[HomeTeam]], AD$31) + SUMIFS(Table2[[HomeWon_]:[HomeWon_]], Table2[[GameIsOver]:[GameIsOver]],1,Table2[[HomeTeam]:[HomeTeam]],$T2, Table2[[AwayTeam]:[AwayTeam]], AD$31))) + (0*(SUMIFS(Table2[[HomeWon_]:[HomeWon_]], Table2[[GameIsOver]:[GameIsOver]],1,Table2[[AwayTeam]:[AwayTeam]],$T32, Table2[[HomeTeam]:[HomeTeam]], AD$31, Table2[[ActualResult]:[ActualResult]], "REG") + SUMIFS(Table2[[AwayWon]:[AwayWon]], Table2[[GameIsOver]:[GameIsOver]],1,Table2[[HomeTeam]:[HomeTeam]],$T32, Table2[[AwayTeam]:[AwayTeam]], AD$31, Table2[[ActualResult]:[ActualResult]], "REG"))) + (1*(SUMIFS(Table2[[HomeWon_]:[HomeWon_]], Table2[[GameIsOver]:[GameIsOver]],1,Table2[[AwayTeam]:[AwayTeam]],$T32, Table2[[HomeTeam]:[HomeTeam]], AD$31, Table2[[ActualResult]:[ActualResult]], "OT") + SUMIFS(Table2[[AwayWon]:[AwayWon]], Table2[[GameIsOver]:[GameIsOver]],1,Table2[[HomeTeam]:[HomeTeam]],$T32, Table2[[AwayTeam]:[AwayTeam]], AD$31, Table2[[ActualResult]:[ActualResult]], "OT") + SUMIFS(Table2[[HomeWon_]:[HomeWon_]], Table2[[GameIsOver]:[GameIsOver]],1,Table2[[AwayTeam]:[AwayTeam]],$T32, Table2[[HomeTeam]:[HomeTeam]], AD$31, Table2[[ActualResult]:[ActualResult]], "SO") + SUMIFS(Table2[[AwayWon]:[AwayWon]], Table2[[GameIsOver]:[GameIsOver]],1,Table2[[HomeTeam]:[HomeTeam]],$T32, Table2[[AwayTeam]:[AwayTeam]], AD$31, Table2[[ActualResult]:[ActualResult]], "SO")))</calculatedColumnFormula>
    </tableColumn>
    <tableColumn id="13" xr3:uid="{A2227B7A-BAB5-499B-B74E-1CE4AB21A2CF}" name="COL" dataDxfId="72">
      <calculatedColumnFormula>(2*(SUMIFS(Table2[[AwayWon]:[AwayWon]], Table2[[GameIsOver]:[GameIsOver]],1,Table2[[AwayTeam]:[AwayTeam]],$T32, Table2[[HomeTeam]:[HomeTeam]], AE$31) + SUMIFS(Table2[[HomeWon_]:[HomeWon_]], Table2[[GameIsOver]:[GameIsOver]],1,Table2[[HomeTeam]:[HomeTeam]],$T2, Table2[[AwayTeam]:[AwayTeam]], AE$31))) + (0*(SUMIFS(Table2[[HomeWon_]:[HomeWon_]], Table2[[GameIsOver]:[GameIsOver]],1,Table2[[AwayTeam]:[AwayTeam]],$T32, Table2[[HomeTeam]:[HomeTeam]], AE$31, Table2[[ActualResult]:[ActualResult]], "REG") + SUMIFS(Table2[[AwayWon]:[AwayWon]], Table2[[GameIsOver]:[GameIsOver]],1,Table2[[HomeTeam]:[HomeTeam]],$T32, Table2[[AwayTeam]:[AwayTeam]], AE$31, Table2[[ActualResult]:[ActualResult]], "REG"))) + (1*(SUMIFS(Table2[[HomeWon_]:[HomeWon_]], Table2[[GameIsOver]:[GameIsOver]],1,Table2[[AwayTeam]:[AwayTeam]],$T32, Table2[[HomeTeam]:[HomeTeam]], AE$31, Table2[[ActualResult]:[ActualResult]], "OT") + SUMIFS(Table2[[AwayWon]:[AwayWon]], Table2[[GameIsOver]:[GameIsOver]],1,Table2[[HomeTeam]:[HomeTeam]],$T32, Table2[[AwayTeam]:[AwayTeam]], AE$31, Table2[[ActualResult]:[ActualResult]], "OT") + SUMIFS(Table2[[HomeWon_]:[HomeWon_]], Table2[[GameIsOver]:[GameIsOver]],1,Table2[[AwayTeam]:[AwayTeam]],$T32, Table2[[HomeTeam]:[HomeTeam]], AE$31, Table2[[ActualResult]:[ActualResult]], "SO") + SUMIFS(Table2[[AwayWon]:[AwayWon]], Table2[[GameIsOver]:[GameIsOver]],1,Table2[[HomeTeam]:[HomeTeam]],$T32, Table2[[AwayTeam]:[AwayTeam]], AE$31, Table2[[ActualResult]:[ActualResult]], "SO")))</calculatedColumnFormula>
    </tableColumn>
    <tableColumn id="14" xr3:uid="{4F23DF8D-588A-4AF0-BEAF-20AFCD5AA8DD}" name="DAL" dataDxfId="71">
      <calculatedColumnFormula>(2*(SUMIFS(Table2[[AwayWon]:[AwayWon]], Table2[[GameIsOver]:[GameIsOver]],1,Table2[[AwayTeam]:[AwayTeam]],$T32, Table2[[HomeTeam]:[HomeTeam]], AF$31) + SUMIFS(Table2[[HomeWon_]:[HomeWon_]], Table2[[GameIsOver]:[GameIsOver]],1,Table2[[HomeTeam]:[HomeTeam]],$T2, Table2[[AwayTeam]:[AwayTeam]], AF$31))) + (0*(SUMIFS(Table2[[HomeWon_]:[HomeWon_]], Table2[[GameIsOver]:[GameIsOver]],1,Table2[[AwayTeam]:[AwayTeam]],$T32, Table2[[HomeTeam]:[HomeTeam]], AF$31, Table2[[ActualResult]:[ActualResult]], "REG") + SUMIFS(Table2[[AwayWon]:[AwayWon]], Table2[[GameIsOver]:[GameIsOver]],1,Table2[[HomeTeam]:[HomeTeam]],$T32, Table2[[AwayTeam]:[AwayTeam]], AF$31, Table2[[ActualResult]:[ActualResult]], "REG"))) + (1*(SUMIFS(Table2[[HomeWon_]:[HomeWon_]], Table2[[GameIsOver]:[GameIsOver]],1,Table2[[AwayTeam]:[AwayTeam]],$T32, Table2[[HomeTeam]:[HomeTeam]], AF$31, Table2[[ActualResult]:[ActualResult]], "OT") + SUMIFS(Table2[[AwayWon]:[AwayWon]], Table2[[GameIsOver]:[GameIsOver]],1,Table2[[HomeTeam]:[HomeTeam]],$T32, Table2[[AwayTeam]:[AwayTeam]], AF$31, Table2[[ActualResult]:[ActualResult]], "OT") + SUMIFS(Table2[[HomeWon_]:[HomeWon_]], Table2[[GameIsOver]:[GameIsOver]],1,Table2[[AwayTeam]:[AwayTeam]],$T32, Table2[[HomeTeam]:[HomeTeam]], AF$31, Table2[[ActualResult]:[ActualResult]], "SO") + SUMIFS(Table2[[AwayWon]:[AwayWon]], Table2[[GameIsOver]:[GameIsOver]],1,Table2[[HomeTeam]:[HomeTeam]],$T32, Table2[[AwayTeam]:[AwayTeam]], AF$31, Table2[[ActualResult]:[ActualResult]], "SO")))</calculatedColumnFormula>
    </tableColumn>
    <tableColumn id="15" xr3:uid="{084ED299-193B-437E-9F02-22EF3341E476}" name="MIN" dataDxfId="70">
      <calculatedColumnFormula>(2*(SUMIFS(Table2[[AwayWon]:[AwayWon]], Table2[[GameIsOver]:[GameIsOver]],1,Table2[[AwayTeam]:[AwayTeam]],$T32, Table2[[HomeTeam]:[HomeTeam]], AG$31) + SUMIFS(Table2[[HomeWon_]:[HomeWon_]], Table2[[GameIsOver]:[GameIsOver]],1,Table2[[HomeTeam]:[HomeTeam]],$T2, Table2[[AwayTeam]:[AwayTeam]], AG$31))) + (0*(SUMIFS(Table2[[HomeWon_]:[HomeWon_]], Table2[[GameIsOver]:[GameIsOver]],1,Table2[[AwayTeam]:[AwayTeam]],$T32, Table2[[HomeTeam]:[HomeTeam]], AG$31, Table2[[ActualResult]:[ActualResult]], "REG") + SUMIFS(Table2[[AwayWon]:[AwayWon]], Table2[[GameIsOver]:[GameIsOver]],1,Table2[[HomeTeam]:[HomeTeam]],$T32, Table2[[AwayTeam]:[AwayTeam]], AG$31, Table2[[ActualResult]:[ActualResult]], "REG"))) + (1*(SUMIFS(Table2[[HomeWon_]:[HomeWon_]], Table2[[GameIsOver]:[GameIsOver]],1,Table2[[AwayTeam]:[AwayTeam]],$T32, Table2[[HomeTeam]:[HomeTeam]], AG$31, Table2[[ActualResult]:[ActualResult]], "OT") + SUMIFS(Table2[[AwayWon]:[AwayWon]], Table2[[GameIsOver]:[GameIsOver]],1,Table2[[HomeTeam]:[HomeTeam]],$T32, Table2[[AwayTeam]:[AwayTeam]], AG$31, Table2[[ActualResult]:[ActualResult]], "OT") + SUMIFS(Table2[[HomeWon_]:[HomeWon_]], Table2[[GameIsOver]:[GameIsOver]],1,Table2[[AwayTeam]:[AwayTeam]],$T32, Table2[[HomeTeam]:[HomeTeam]], AG$31, Table2[[ActualResult]:[ActualResult]], "SO") + SUMIFS(Table2[[AwayWon]:[AwayWon]], Table2[[GameIsOver]:[GameIsOver]],1,Table2[[HomeTeam]:[HomeTeam]],$T32, Table2[[AwayTeam]:[AwayTeam]], AG$31, Table2[[ActualResult]:[ActualResult]], "SO")))</calculatedColumnFormula>
    </tableColumn>
    <tableColumn id="16" xr3:uid="{97823BEE-3211-47B4-B282-8211054FCA81}" name="NSH" dataDxfId="69">
      <calculatedColumnFormula>(2*(SUMIFS(Table2[[AwayWon]:[AwayWon]], Table2[[GameIsOver]:[GameIsOver]],1,Table2[[AwayTeam]:[AwayTeam]],$T32, Table2[[HomeTeam]:[HomeTeam]], AH$31) + SUMIFS(Table2[[HomeWon_]:[HomeWon_]], Table2[[GameIsOver]:[GameIsOver]],1,Table2[[HomeTeam]:[HomeTeam]],$T2, Table2[[AwayTeam]:[AwayTeam]], AH$31))) + (0*(SUMIFS(Table2[[HomeWon_]:[HomeWon_]], Table2[[GameIsOver]:[GameIsOver]],1,Table2[[AwayTeam]:[AwayTeam]],$T32, Table2[[HomeTeam]:[HomeTeam]], AH$31, Table2[[ActualResult]:[ActualResult]], "REG") + SUMIFS(Table2[[AwayWon]:[AwayWon]], Table2[[GameIsOver]:[GameIsOver]],1,Table2[[HomeTeam]:[HomeTeam]],$T32, Table2[[AwayTeam]:[AwayTeam]], AH$31, Table2[[ActualResult]:[ActualResult]], "REG"))) + (1*(SUMIFS(Table2[[HomeWon_]:[HomeWon_]], Table2[[GameIsOver]:[GameIsOver]],1,Table2[[AwayTeam]:[AwayTeam]],$T32, Table2[[HomeTeam]:[HomeTeam]], AH$31, Table2[[ActualResult]:[ActualResult]], "OT") + SUMIFS(Table2[[AwayWon]:[AwayWon]], Table2[[GameIsOver]:[GameIsOver]],1,Table2[[HomeTeam]:[HomeTeam]],$T32, Table2[[AwayTeam]:[AwayTeam]], AH$31, Table2[[ActualResult]:[ActualResult]], "OT") + SUMIFS(Table2[[HomeWon_]:[HomeWon_]], Table2[[GameIsOver]:[GameIsOver]],1,Table2[[AwayTeam]:[AwayTeam]],$T32, Table2[[HomeTeam]:[HomeTeam]], AH$31, Table2[[ActualResult]:[ActualResult]], "SO") + SUMIFS(Table2[[AwayWon]:[AwayWon]], Table2[[GameIsOver]:[GameIsOver]],1,Table2[[HomeTeam]:[HomeTeam]],$T32, Table2[[AwayTeam]:[AwayTeam]], AH$31, Table2[[ActualResult]:[ActualResult]], "SO")))</calculatedColumnFormula>
    </tableColumn>
    <tableColumn id="17" xr3:uid="{63D81691-6551-4159-9DB7-16B6894C4567}" name="STL" dataDxfId="68">
      <calculatedColumnFormula>(2*(SUMIFS(Table2[[AwayWon]:[AwayWon]], Table2[[GameIsOver]:[GameIsOver]],1,Table2[[AwayTeam]:[AwayTeam]],$T32, Table2[[HomeTeam]:[HomeTeam]], AI$31) + SUMIFS(Table2[[HomeWon_]:[HomeWon_]], Table2[[GameIsOver]:[GameIsOver]],1,Table2[[HomeTeam]:[HomeTeam]],$T2, Table2[[AwayTeam]:[AwayTeam]], AI$31))) + (0*(SUMIFS(Table2[[HomeWon_]:[HomeWon_]], Table2[[GameIsOver]:[GameIsOver]],1,Table2[[AwayTeam]:[AwayTeam]],$T32, Table2[[HomeTeam]:[HomeTeam]], AI$31, Table2[[ActualResult]:[ActualResult]], "REG") + SUMIFS(Table2[[AwayWon]:[AwayWon]], Table2[[GameIsOver]:[GameIsOver]],1,Table2[[HomeTeam]:[HomeTeam]],$T32, Table2[[AwayTeam]:[AwayTeam]], AI$31, Table2[[ActualResult]:[ActualResult]], "REG"))) + (1*(SUMIFS(Table2[[HomeWon_]:[HomeWon_]], Table2[[GameIsOver]:[GameIsOver]],1,Table2[[AwayTeam]:[AwayTeam]],$T32, Table2[[HomeTeam]:[HomeTeam]], AI$31, Table2[[ActualResult]:[ActualResult]], "OT") + SUMIFS(Table2[[AwayWon]:[AwayWon]], Table2[[GameIsOver]:[GameIsOver]],1,Table2[[HomeTeam]:[HomeTeam]],$T32, Table2[[AwayTeam]:[AwayTeam]], AI$31, Table2[[ActualResult]:[ActualResult]], "OT") + SUMIFS(Table2[[HomeWon_]:[HomeWon_]], Table2[[GameIsOver]:[GameIsOver]],1,Table2[[AwayTeam]:[AwayTeam]],$T32, Table2[[HomeTeam]:[HomeTeam]], AI$31, Table2[[ActualResult]:[ActualResult]], "SO") + SUMIFS(Table2[[AwayWon]:[AwayWon]], Table2[[GameIsOver]:[GameIsOver]],1,Table2[[HomeTeam]:[HomeTeam]],$T32, Table2[[AwayTeam]:[AwayTeam]], AI$31, Table2[[ActualResult]:[ActualResult]], "SO")))</calculatedColumnFormula>
    </tableColumn>
    <tableColumn id="18" xr3:uid="{974043FA-6259-4D4B-AB95-EA16DCC8367B}" name="UTA" dataDxfId="67">
      <calculatedColumnFormula>(2*(SUMIFS(Table2[[AwayWon]:[AwayWon]], Table2[[GameIsOver]:[GameIsOver]],1,Table2[[AwayTeam]:[AwayTeam]],$T32, Table2[[HomeTeam]:[HomeTeam]], AJ$31) + SUMIFS(Table2[[HomeWon_]:[HomeWon_]], Table2[[GameIsOver]:[GameIsOver]],1,Table2[[HomeTeam]:[HomeTeam]],$T2, Table2[[AwayTeam]:[AwayTeam]], AJ$31))) + (0*(SUMIFS(Table2[[HomeWon_]:[HomeWon_]], Table2[[GameIsOver]:[GameIsOver]],1,Table2[[AwayTeam]:[AwayTeam]],$T32, Table2[[HomeTeam]:[HomeTeam]], AJ$31, Table2[[ActualResult]:[ActualResult]], "REG") + SUMIFS(Table2[[AwayWon]:[AwayWon]], Table2[[GameIsOver]:[GameIsOver]],1,Table2[[HomeTeam]:[HomeTeam]],$T32, Table2[[AwayTeam]:[AwayTeam]], AJ$31, Table2[[ActualResult]:[ActualResult]], "REG"))) + (1*(SUMIFS(Table2[[HomeWon_]:[HomeWon_]], Table2[[GameIsOver]:[GameIsOver]],1,Table2[[AwayTeam]:[AwayTeam]],$T32, Table2[[HomeTeam]:[HomeTeam]], AJ$31, Table2[[ActualResult]:[ActualResult]], "OT") + SUMIFS(Table2[[AwayWon]:[AwayWon]], Table2[[GameIsOver]:[GameIsOver]],1,Table2[[HomeTeam]:[HomeTeam]],$T32, Table2[[AwayTeam]:[AwayTeam]], AJ$31, Table2[[ActualResult]:[ActualResult]], "OT") + SUMIFS(Table2[[HomeWon_]:[HomeWon_]], Table2[[GameIsOver]:[GameIsOver]],1,Table2[[AwayTeam]:[AwayTeam]],$T32, Table2[[HomeTeam]:[HomeTeam]], AJ$31, Table2[[ActualResult]:[ActualResult]], "SO") + SUMIFS(Table2[[AwayWon]:[AwayWon]], Table2[[GameIsOver]:[GameIsOver]],1,Table2[[HomeTeam]:[HomeTeam]],$T32, Table2[[AwayTeam]:[AwayTeam]], AJ$31, Table2[[ActualResult]:[ActualResult]], "SO")))</calculatedColumnFormula>
    </tableColumn>
    <tableColumn id="19" xr3:uid="{F5966E7A-59FA-4174-A9B4-778986047F42}" name="WPG" dataDxfId="66">
      <calculatedColumnFormula>(2*(SUMIFS(Table2[[AwayWon]:[AwayWon]], Table2[[GameIsOver]:[GameIsOver]],1,Table2[[AwayTeam]:[AwayTeam]],$T32, Table2[[HomeTeam]:[HomeTeam]], AK$31) + SUMIFS(Table2[[HomeWon_]:[HomeWon_]], Table2[[GameIsOver]:[GameIsOver]],1,Table2[[HomeTeam]:[HomeTeam]],$T2, Table2[[AwayTeam]:[AwayTeam]], AK$31))) + (0*(SUMIFS(Table2[[HomeWon_]:[HomeWon_]], Table2[[GameIsOver]:[GameIsOver]],1,Table2[[AwayTeam]:[AwayTeam]],$T32, Table2[[HomeTeam]:[HomeTeam]], AK$31, Table2[[ActualResult]:[ActualResult]], "REG") + SUMIFS(Table2[[AwayWon]:[AwayWon]], Table2[[GameIsOver]:[GameIsOver]],1,Table2[[HomeTeam]:[HomeTeam]],$T32, Table2[[AwayTeam]:[AwayTeam]], AK$31, Table2[[ActualResult]:[ActualResult]], "REG"))) + (1*(SUMIFS(Table2[[HomeWon_]:[HomeWon_]], Table2[[GameIsOver]:[GameIsOver]],1,Table2[[AwayTeam]:[AwayTeam]],$T32, Table2[[HomeTeam]:[HomeTeam]], AK$31, Table2[[ActualResult]:[ActualResult]], "OT") + SUMIFS(Table2[[AwayWon]:[AwayWon]], Table2[[GameIsOver]:[GameIsOver]],1,Table2[[HomeTeam]:[HomeTeam]],$T32, Table2[[AwayTeam]:[AwayTeam]], AK$31, Table2[[ActualResult]:[ActualResult]], "OT") + SUMIFS(Table2[[HomeWon_]:[HomeWon_]], Table2[[GameIsOver]:[GameIsOver]],1,Table2[[AwayTeam]:[AwayTeam]],$T32, Table2[[HomeTeam]:[HomeTeam]], AK$31, Table2[[ActualResult]:[ActualResult]], "SO") + SUMIFS(Table2[[AwayWon]:[AwayWon]], Table2[[GameIsOver]:[GameIsOver]],1,Table2[[HomeTeam]:[HomeTeam]],$T32, Table2[[AwayTeam]:[AwayTeam]], AK$31, Table2[[ActualResult]:[ActualResult]], "SO")))</calculatedColumnFormula>
    </tableColumn>
    <tableColumn id="20" xr3:uid="{B29F69CB-4CAF-49C9-8082-8407DD604C69}" name="CAR" dataDxfId="65">
      <calculatedColumnFormula>(2*(SUMIFS(Table2[[AwayWon]:[AwayWon]], Table2[[GameIsOver]:[GameIsOver]],1,Table2[[AwayTeam]:[AwayTeam]],$T32, Table2[[HomeTeam]:[HomeTeam]], AL$31) + SUMIFS(Table2[[HomeWon_]:[HomeWon_]], Table2[[GameIsOver]:[GameIsOver]],1,Table2[[HomeTeam]:[HomeTeam]],$T2, Table2[[AwayTeam]:[AwayTeam]], AL$31))) + (0*(SUMIFS(Table2[[HomeWon_]:[HomeWon_]], Table2[[GameIsOver]:[GameIsOver]],1,Table2[[AwayTeam]:[AwayTeam]],$T32, Table2[[HomeTeam]:[HomeTeam]], AL$31, Table2[[ActualResult]:[ActualResult]], "REG") + SUMIFS(Table2[[AwayWon]:[AwayWon]], Table2[[GameIsOver]:[GameIsOver]],1,Table2[[HomeTeam]:[HomeTeam]],$T32, Table2[[AwayTeam]:[AwayTeam]], AL$31, Table2[[ActualResult]:[ActualResult]], "REG"))) + (1*(SUMIFS(Table2[[HomeWon_]:[HomeWon_]], Table2[[GameIsOver]:[GameIsOver]],1,Table2[[AwayTeam]:[AwayTeam]],$T32, Table2[[HomeTeam]:[HomeTeam]], AL$31, Table2[[ActualResult]:[ActualResult]], "OT") + SUMIFS(Table2[[AwayWon]:[AwayWon]], Table2[[GameIsOver]:[GameIsOver]],1,Table2[[HomeTeam]:[HomeTeam]],$T32, Table2[[AwayTeam]:[AwayTeam]], AL$31, Table2[[ActualResult]:[ActualResult]], "OT") + SUMIFS(Table2[[HomeWon_]:[HomeWon_]], Table2[[GameIsOver]:[GameIsOver]],1,Table2[[AwayTeam]:[AwayTeam]],$T32, Table2[[HomeTeam]:[HomeTeam]], AL$31, Table2[[ActualResult]:[ActualResult]], "SO") + SUMIFS(Table2[[AwayWon]:[AwayWon]], Table2[[GameIsOver]:[GameIsOver]],1,Table2[[HomeTeam]:[HomeTeam]],$T32, Table2[[AwayTeam]:[AwayTeam]], AL$31, Table2[[ActualResult]:[ActualResult]], "SO")))</calculatedColumnFormula>
    </tableColumn>
    <tableColumn id="21" xr3:uid="{EB6FCCFC-57BF-495C-8869-7C6BDB71E8C5}" name="CBJ" dataDxfId="64">
      <calculatedColumnFormula>(2*(SUMIFS(Table2[[AwayWon]:[AwayWon]], Table2[[GameIsOver]:[GameIsOver]],1,Table2[[AwayTeam]:[AwayTeam]],$T32, Table2[[HomeTeam]:[HomeTeam]], AM$31) + SUMIFS(Table2[[HomeWon_]:[HomeWon_]], Table2[[GameIsOver]:[GameIsOver]],1,Table2[[HomeTeam]:[HomeTeam]],$T2, Table2[[AwayTeam]:[AwayTeam]], AM$31))) + (0*(SUMIFS(Table2[[HomeWon_]:[HomeWon_]], Table2[[GameIsOver]:[GameIsOver]],1,Table2[[AwayTeam]:[AwayTeam]],$T32, Table2[[HomeTeam]:[HomeTeam]], AM$31, Table2[[ActualResult]:[ActualResult]], "REG") + SUMIFS(Table2[[AwayWon]:[AwayWon]], Table2[[GameIsOver]:[GameIsOver]],1,Table2[[HomeTeam]:[HomeTeam]],$T32, Table2[[AwayTeam]:[AwayTeam]], AM$31, Table2[[ActualResult]:[ActualResult]], "REG"))) + (1*(SUMIFS(Table2[[HomeWon_]:[HomeWon_]], Table2[[GameIsOver]:[GameIsOver]],1,Table2[[AwayTeam]:[AwayTeam]],$T32, Table2[[HomeTeam]:[HomeTeam]], AM$31, Table2[[ActualResult]:[ActualResult]], "OT") + SUMIFS(Table2[[AwayWon]:[AwayWon]], Table2[[GameIsOver]:[GameIsOver]],1,Table2[[HomeTeam]:[HomeTeam]],$T32, Table2[[AwayTeam]:[AwayTeam]], AM$31, Table2[[ActualResult]:[ActualResult]], "OT") + SUMIFS(Table2[[HomeWon_]:[HomeWon_]], Table2[[GameIsOver]:[GameIsOver]],1,Table2[[AwayTeam]:[AwayTeam]],$T32, Table2[[HomeTeam]:[HomeTeam]], AM$31, Table2[[ActualResult]:[ActualResult]], "SO") + SUMIFS(Table2[[AwayWon]:[AwayWon]], Table2[[GameIsOver]:[GameIsOver]],1,Table2[[HomeTeam]:[HomeTeam]],$T32, Table2[[AwayTeam]:[AwayTeam]], AM$31, Table2[[ActualResult]:[ActualResult]], "SO")))</calculatedColumnFormula>
    </tableColumn>
    <tableColumn id="22" xr3:uid="{7B68912E-F38D-4673-8E63-085CE6D10C18}" name="NJD" dataDxfId="63">
      <calculatedColumnFormula>(2*(SUMIFS(Table2[[AwayWon]:[AwayWon]], Table2[[GameIsOver]:[GameIsOver]],1,Table2[[AwayTeam]:[AwayTeam]],$T32, Table2[[HomeTeam]:[HomeTeam]], AN$31) + SUMIFS(Table2[[HomeWon_]:[HomeWon_]], Table2[[GameIsOver]:[GameIsOver]],1,Table2[[HomeTeam]:[HomeTeam]],$T2, Table2[[AwayTeam]:[AwayTeam]], AN$31))) + (0*(SUMIFS(Table2[[HomeWon_]:[HomeWon_]], Table2[[GameIsOver]:[GameIsOver]],1,Table2[[AwayTeam]:[AwayTeam]],$T32, Table2[[HomeTeam]:[HomeTeam]], AN$31, Table2[[ActualResult]:[ActualResult]], "REG") + SUMIFS(Table2[[AwayWon]:[AwayWon]], Table2[[GameIsOver]:[GameIsOver]],1,Table2[[HomeTeam]:[HomeTeam]],$T32, Table2[[AwayTeam]:[AwayTeam]], AN$31, Table2[[ActualResult]:[ActualResult]], "REG"))) + (1*(SUMIFS(Table2[[HomeWon_]:[HomeWon_]], Table2[[GameIsOver]:[GameIsOver]],1,Table2[[AwayTeam]:[AwayTeam]],$T32, Table2[[HomeTeam]:[HomeTeam]], AN$31, Table2[[ActualResult]:[ActualResult]], "OT") + SUMIFS(Table2[[AwayWon]:[AwayWon]], Table2[[GameIsOver]:[GameIsOver]],1,Table2[[HomeTeam]:[HomeTeam]],$T32, Table2[[AwayTeam]:[AwayTeam]], AN$31, Table2[[ActualResult]:[ActualResult]], "OT") + SUMIFS(Table2[[HomeWon_]:[HomeWon_]], Table2[[GameIsOver]:[GameIsOver]],1,Table2[[AwayTeam]:[AwayTeam]],$T32, Table2[[HomeTeam]:[HomeTeam]], AN$31, Table2[[ActualResult]:[ActualResult]], "SO") + SUMIFS(Table2[[AwayWon]:[AwayWon]], Table2[[GameIsOver]:[GameIsOver]],1,Table2[[HomeTeam]:[HomeTeam]],$T32, Table2[[AwayTeam]:[AwayTeam]], AN$31, Table2[[ActualResult]:[ActualResult]], "SO")))</calculatedColumnFormula>
    </tableColumn>
    <tableColumn id="23" xr3:uid="{3876B99C-D53C-4F57-91B1-C0F0F90416A7}" name="NYI" dataDxfId="62">
      <calculatedColumnFormula>(2*(SUMIFS(Table2[[AwayWon]:[AwayWon]], Table2[[GameIsOver]:[GameIsOver]],1,Table2[[AwayTeam]:[AwayTeam]],$T32, Table2[[HomeTeam]:[HomeTeam]], AO$31) + SUMIFS(Table2[[HomeWon_]:[HomeWon_]], Table2[[GameIsOver]:[GameIsOver]],1,Table2[[HomeTeam]:[HomeTeam]],$T2, Table2[[AwayTeam]:[AwayTeam]], AO$31))) + (0*(SUMIFS(Table2[[HomeWon_]:[HomeWon_]], Table2[[GameIsOver]:[GameIsOver]],1,Table2[[AwayTeam]:[AwayTeam]],$T32, Table2[[HomeTeam]:[HomeTeam]], AO$31, Table2[[ActualResult]:[ActualResult]], "REG") + SUMIFS(Table2[[AwayWon]:[AwayWon]], Table2[[GameIsOver]:[GameIsOver]],1,Table2[[HomeTeam]:[HomeTeam]],$T32, Table2[[AwayTeam]:[AwayTeam]], AO$31, Table2[[ActualResult]:[ActualResult]], "REG"))) + (1*(SUMIFS(Table2[[HomeWon_]:[HomeWon_]], Table2[[GameIsOver]:[GameIsOver]],1,Table2[[AwayTeam]:[AwayTeam]],$T32, Table2[[HomeTeam]:[HomeTeam]], AO$31, Table2[[ActualResult]:[ActualResult]], "OT") + SUMIFS(Table2[[AwayWon]:[AwayWon]], Table2[[GameIsOver]:[GameIsOver]],1,Table2[[HomeTeam]:[HomeTeam]],$T32, Table2[[AwayTeam]:[AwayTeam]], AO$31, Table2[[ActualResult]:[ActualResult]], "OT") + SUMIFS(Table2[[HomeWon_]:[HomeWon_]], Table2[[GameIsOver]:[GameIsOver]],1,Table2[[AwayTeam]:[AwayTeam]],$T32, Table2[[HomeTeam]:[HomeTeam]], AO$31, Table2[[ActualResult]:[ActualResult]], "SO") + SUMIFS(Table2[[AwayWon]:[AwayWon]], Table2[[GameIsOver]:[GameIsOver]],1,Table2[[HomeTeam]:[HomeTeam]],$T32, Table2[[AwayTeam]:[AwayTeam]], AO$31, Table2[[ActualResult]:[ActualResult]], "SO")))</calculatedColumnFormula>
    </tableColumn>
    <tableColumn id="24" xr3:uid="{216EF9AA-B94F-4F78-8671-6A69CBAC0026}" name="NYR" dataDxfId="61">
      <calculatedColumnFormula>(2*(SUMIFS(Table2[[AwayWon]:[AwayWon]], Table2[[GameIsOver]:[GameIsOver]],1,Table2[[AwayTeam]:[AwayTeam]],$T32, Table2[[HomeTeam]:[HomeTeam]], AP$31) + SUMIFS(Table2[[HomeWon_]:[HomeWon_]], Table2[[GameIsOver]:[GameIsOver]],1,Table2[[HomeTeam]:[HomeTeam]],$T2, Table2[[AwayTeam]:[AwayTeam]], AP$31))) + (0*(SUMIFS(Table2[[HomeWon_]:[HomeWon_]], Table2[[GameIsOver]:[GameIsOver]],1,Table2[[AwayTeam]:[AwayTeam]],$T32, Table2[[HomeTeam]:[HomeTeam]], AP$31, Table2[[ActualResult]:[ActualResult]], "REG") + SUMIFS(Table2[[AwayWon]:[AwayWon]], Table2[[GameIsOver]:[GameIsOver]],1,Table2[[HomeTeam]:[HomeTeam]],$T32, Table2[[AwayTeam]:[AwayTeam]], AP$31, Table2[[ActualResult]:[ActualResult]], "REG"))) + (1*(SUMIFS(Table2[[HomeWon_]:[HomeWon_]], Table2[[GameIsOver]:[GameIsOver]],1,Table2[[AwayTeam]:[AwayTeam]],$T32, Table2[[HomeTeam]:[HomeTeam]], AP$31, Table2[[ActualResult]:[ActualResult]], "OT") + SUMIFS(Table2[[AwayWon]:[AwayWon]], Table2[[GameIsOver]:[GameIsOver]],1,Table2[[HomeTeam]:[HomeTeam]],$T32, Table2[[AwayTeam]:[AwayTeam]], AP$31, Table2[[ActualResult]:[ActualResult]], "OT") + SUMIFS(Table2[[HomeWon_]:[HomeWon_]], Table2[[GameIsOver]:[GameIsOver]],1,Table2[[AwayTeam]:[AwayTeam]],$T32, Table2[[HomeTeam]:[HomeTeam]], AP$31, Table2[[ActualResult]:[ActualResult]], "SO") + SUMIFS(Table2[[AwayWon]:[AwayWon]], Table2[[GameIsOver]:[GameIsOver]],1,Table2[[HomeTeam]:[HomeTeam]],$T32, Table2[[AwayTeam]:[AwayTeam]], AP$31, Table2[[ActualResult]:[ActualResult]], "SO")))</calculatedColumnFormula>
    </tableColumn>
    <tableColumn id="25" xr3:uid="{8C6F665D-966E-4F45-AE88-D27AE0A9F80C}" name="PHI" dataDxfId="60">
      <calculatedColumnFormula>(2*(SUMIFS(Table2[[AwayWon]:[AwayWon]], Table2[[GameIsOver]:[GameIsOver]],1,Table2[[AwayTeam]:[AwayTeam]],$T32, Table2[[HomeTeam]:[HomeTeam]], AQ$31) + SUMIFS(Table2[[HomeWon_]:[HomeWon_]], Table2[[GameIsOver]:[GameIsOver]],1,Table2[[HomeTeam]:[HomeTeam]],$T2, Table2[[AwayTeam]:[AwayTeam]], AQ$31))) + (0*(SUMIFS(Table2[[HomeWon_]:[HomeWon_]], Table2[[GameIsOver]:[GameIsOver]],1,Table2[[AwayTeam]:[AwayTeam]],$T32, Table2[[HomeTeam]:[HomeTeam]], AQ$31, Table2[[ActualResult]:[ActualResult]], "REG") + SUMIFS(Table2[[AwayWon]:[AwayWon]], Table2[[GameIsOver]:[GameIsOver]],1,Table2[[HomeTeam]:[HomeTeam]],$T32, Table2[[AwayTeam]:[AwayTeam]], AQ$31, Table2[[ActualResult]:[ActualResult]], "REG"))) + (1*(SUMIFS(Table2[[HomeWon_]:[HomeWon_]], Table2[[GameIsOver]:[GameIsOver]],1,Table2[[AwayTeam]:[AwayTeam]],$T32, Table2[[HomeTeam]:[HomeTeam]], AQ$31, Table2[[ActualResult]:[ActualResult]], "OT") + SUMIFS(Table2[[AwayWon]:[AwayWon]], Table2[[GameIsOver]:[GameIsOver]],1,Table2[[HomeTeam]:[HomeTeam]],$T32, Table2[[AwayTeam]:[AwayTeam]], AQ$31, Table2[[ActualResult]:[ActualResult]], "OT") + SUMIFS(Table2[[HomeWon_]:[HomeWon_]], Table2[[GameIsOver]:[GameIsOver]],1,Table2[[AwayTeam]:[AwayTeam]],$T32, Table2[[HomeTeam]:[HomeTeam]], AQ$31, Table2[[ActualResult]:[ActualResult]], "SO") + SUMIFS(Table2[[AwayWon]:[AwayWon]], Table2[[GameIsOver]:[GameIsOver]],1,Table2[[HomeTeam]:[HomeTeam]],$T32, Table2[[AwayTeam]:[AwayTeam]], AQ$31, Table2[[ActualResult]:[ActualResult]], "SO")))</calculatedColumnFormula>
    </tableColumn>
    <tableColumn id="26" xr3:uid="{CA8AE863-9E78-43DA-B281-E6850D0A6E9B}" name="PIT" dataDxfId="59">
      <calculatedColumnFormula>(2*(SUMIFS(Table2[[AwayWon]:[AwayWon]], Table2[[GameIsOver]:[GameIsOver]],1,Table2[[AwayTeam]:[AwayTeam]],$T32, Table2[[HomeTeam]:[HomeTeam]], AR$31) + SUMIFS(Table2[[HomeWon_]:[HomeWon_]], Table2[[GameIsOver]:[GameIsOver]],1,Table2[[HomeTeam]:[HomeTeam]],$T2, Table2[[AwayTeam]:[AwayTeam]], AR$31))) + (0*(SUMIFS(Table2[[HomeWon_]:[HomeWon_]], Table2[[GameIsOver]:[GameIsOver]],1,Table2[[AwayTeam]:[AwayTeam]],$T32, Table2[[HomeTeam]:[HomeTeam]], AR$31, Table2[[ActualResult]:[ActualResult]], "REG") + SUMIFS(Table2[[AwayWon]:[AwayWon]], Table2[[GameIsOver]:[GameIsOver]],1,Table2[[HomeTeam]:[HomeTeam]],$T32, Table2[[AwayTeam]:[AwayTeam]], AR$31, Table2[[ActualResult]:[ActualResult]], "REG"))) + (1*(SUMIFS(Table2[[HomeWon_]:[HomeWon_]], Table2[[GameIsOver]:[GameIsOver]],1,Table2[[AwayTeam]:[AwayTeam]],$T32, Table2[[HomeTeam]:[HomeTeam]], AR$31, Table2[[ActualResult]:[ActualResult]], "OT") + SUMIFS(Table2[[AwayWon]:[AwayWon]], Table2[[GameIsOver]:[GameIsOver]],1,Table2[[HomeTeam]:[HomeTeam]],$T32, Table2[[AwayTeam]:[AwayTeam]], AR$31, Table2[[ActualResult]:[ActualResult]], "OT") + SUMIFS(Table2[[HomeWon_]:[HomeWon_]], Table2[[GameIsOver]:[GameIsOver]],1,Table2[[AwayTeam]:[AwayTeam]],$T32, Table2[[HomeTeam]:[HomeTeam]], AR$31, Table2[[ActualResult]:[ActualResult]], "SO") + SUMIFS(Table2[[AwayWon]:[AwayWon]], Table2[[GameIsOver]:[GameIsOver]],1,Table2[[HomeTeam]:[HomeTeam]],$T32, Table2[[AwayTeam]:[AwayTeam]], AR$31, Table2[[ActualResult]:[ActualResult]], "SO")))</calculatedColumnFormula>
    </tableColumn>
    <tableColumn id="27" xr3:uid="{83069543-0804-4A10-8926-CA7E7CE3302D}" name="WSH" dataDxfId="58">
      <calculatedColumnFormula>(2*(SUMIFS(Table2[[AwayWon]:[AwayWon]], Table2[[GameIsOver]:[GameIsOver]],1,Table2[[AwayTeam]:[AwayTeam]],$T32, Table2[[HomeTeam]:[HomeTeam]], AS$31) + SUMIFS(Table2[[HomeWon_]:[HomeWon_]], Table2[[GameIsOver]:[GameIsOver]],1,Table2[[HomeTeam]:[HomeTeam]],$T2, Table2[[AwayTeam]:[AwayTeam]], AS$31))) + (0*(SUMIFS(Table2[[HomeWon_]:[HomeWon_]], Table2[[GameIsOver]:[GameIsOver]],1,Table2[[AwayTeam]:[AwayTeam]],$T32, Table2[[HomeTeam]:[HomeTeam]], AS$31, Table2[[ActualResult]:[ActualResult]], "REG") + SUMIFS(Table2[[AwayWon]:[AwayWon]], Table2[[GameIsOver]:[GameIsOver]],1,Table2[[HomeTeam]:[HomeTeam]],$T32, Table2[[AwayTeam]:[AwayTeam]], AS$31, Table2[[ActualResult]:[ActualResult]], "REG"))) + (1*(SUMIFS(Table2[[HomeWon_]:[HomeWon_]], Table2[[GameIsOver]:[GameIsOver]],1,Table2[[AwayTeam]:[AwayTeam]],$T32, Table2[[HomeTeam]:[HomeTeam]], AS$31, Table2[[ActualResult]:[ActualResult]], "OT") + SUMIFS(Table2[[AwayWon]:[AwayWon]], Table2[[GameIsOver]:[GameIsOver]],1,Table2[[HomeTeam]:[HomeTeam]],$T32, Table2[[AwayTeam]:[AwayTeam]], AS$31, Table2[[ActualResult]:[ActualResult]], "OT") + SUMIFS(Table2[[HomeWon_]:[HomeWon_]], Table2[[GameIsOver]:[GameIsOver]],1,Table2[[AwayTeam]:[AwayTeam]],$T32, Table2[[HomeTeam]:[HomeTeam]], AS$31, Table2[[ActualResult]:[ActualResult]], "SO") + SUMIFS(Table2[[AwayWon]:[AwayWon]], Table2[[GameIsOver]:[GameIsOver]],1,Table2[[HomeTeam]:[HomeTeam]],$T32, Table2[[AwayTeam]:[AwayTeam]], AS$31, Table2[[ActualResult]:[ActualResult]], "SO")))</calculatedColumnFormula>
    </tableColumn>
    <tableColumn id="28" xr3:uid="{8D944F8E-BC50-449E-8B2F-C05D1D9A7B25}" name="BOS" dataDxfId="57">
      <calculatedColumnFormula>(2*(SUMIFS(Table2[[AwayWon]:[AwayWon]], Table2[[GameIsOver]:[GameIsOver]],1,Table2[[AwayTeam]:[AwayTeam]],$T32, Table2[[HomeTeam]:[HomeTeam]], AT$31) + SUMIFS(Table2[[HomeWon_]:[HomeWon_]], Table2[[GameIsOver]:[GameIsOver]],1,Table2[[HomeTeam]:[HomeTeam]],$T2, Table2[[AwayTeam]:[AwayTeam]], AT$31))) + (0*(SUMIFS(Table2[[HomeWon_]:[HomeWon_]], Table2[[GameIsOver]:[GameIsOver]],1,Table2[[AwayTeam]:[AwayTeam]],$T32, Table2[[HomeTeam]:[HomeTeam]], AT$31, Table2[[ActualResult]:[ActualResult]], "REG") + SUMIFS(Table2[[AwayWon]:[AwayWon]], Table2[[GameIsOver]:[GameIsOver]],1,Table2[[HomeTeam]:[HomeTeam]],$T32, Table2[[AwayTeam]:[AwayTeam]], AT$31, Table2[[ActualResult]:[ActualResult]], "REG"))) + (1*(SUMIFS(Table2[[HomeWon_]:[HomeWon_]], Table2[[GameIsOver]:[GameIsOver]],1,Table2[[AwayTeam]:[AwayTeam]],$T32, Table2[[HomeTeam]:[HomeTeam]], AT$31, Table2[[ActualResult]:[ActualResult]], "OT") + SUMIFS(Table2[[AwayWon]:[AwayWon]], Table2[[GameIsOver]:[GameIsOver]],1,Table2[[HomeTeam]:[HomeTeam]],$T32, Table2[[AwayTeam]:[AwayTeam]], AT$31, Table2[[ActualResult]:[ActualResult]], "OT") + SUMIFS(Table2[[HomeWon_]:[HomeWon_]], Table2[[GameIsOver]:[GameIsOver]],1,Table2[[AwayTeam]:[AwayTeam]],$T32, Table2[[HomeTeam]:[HomeTeam]], AT$31, Table2[[ActualResult]:[ActualResult]], "SO") + SUMIFS(Table2[[AwayWon]:[AwayWon]], Table2[[GameIsOver]:[GameIsOver]],1,Table2[[HomeTeam]:[HomeTeam]],$T32, Table2[[AwayTeam]:[AwayTeam]], AT$31, Table2[[ActualResult]:[ActualResult]], "SO")))</calculatedColumnFormula>
    </tableColumn>
    <tableColumn id="29" xr3:uid="{94FDE02B-E332-4410-AF9D-D22DACDBC0C7}" name="BUF" dataDxfId="56">
      <calculatedColumnFormula>(2*(SUMIFS(Table2[[AwayWon]:[AwayWon]], Table2[[GameIsOver]:[GameIsOver]],1,Table2[[AwayTeam]:[AwayTeam]],$T32, Table2[[HomeTeam]:[HomeTeam]], AU$31) + SUMIFS(Table2[[HomeWon_]:[HomeWon_]], Table2[[GameIsOver]:[GameIsOver]],1,Table2[[HomeTeam]:[HomeTeam]],$T2, Table2[[AwayTeam]:[AwayTeam]], AU$31))) + (0*(SUMIFS(Table2[[HomeWon_]:[HomeWon_]], Table2[[GameIsOver]:[GameIsOver]],1,Table2[[AwayTeam]:[AwayTeam]],$T32, Table2[[HomeTeam]:[HomeTeam]], AU$31, Table2[[ActualResult]:[ActualResult]], "REG") + SUMIFS(Table2[[AwayWon]:[AwayWon]], Table2[[GameIsOver]:[GameIsOver]],1,Table2[[HomeTeam]:[HomeTeam]],$T32, Table2[[AwayTeam]:[AwayTeam]], AU$31, Table2[[ActualResult]:[ActualResult]], "REG"))) + (1*(SUMIFS(Table2[[HomeWon_]:[HomeWon_]], Table2[[GameIsOver]:[GameIsOver]],1,Table2[[AwayTeam]:[AwayTeam]],$T32, Table2[[HomeTeam]:[HomeTeam]], AU$31, Table2[[ActualResult]:[ActualResult]], "OT") + SUMIFS(Table2[[AwayWon]:[AwayWon]], Table2[[GameIsOver]:[GameIsOver]],1,Table2[[HomeTeam]:[HomeTeam]],$T32, Table2[[AwayTeam]:[AwayTeam]], AU$31, Table2[[ActualResult]:[ActualResult]], "OT") + SUMIFS(Table2[[HomeWon_]:[HomeWon_]], Table2[[GameIsOver]:[GameIsOver]],1,Table2[[AwayTeam]:[AwayTeam]],$T32, Table2[[HomeTeam]:[HomeTeam]], AU$31, Table2[[ActualResult]:[ActualResult]], "SO") + SUMIFS(Table2[[AwayWon]:[AwayWon]], Table2[[GameIsOver]:[GameIsOver]],1,Table2[[HomeTeam]:[HomeTeam]],$T32, Table2[[AwayTeam]:[AwayTeam]], AU$31, Table2[[ActualResult]:[ActualResult]], "SO")))</calculatedColumnFormula>
    </tableColumn>
    <tableColumn id="30" xr3:uid="{35194366-F40C-47F7-99DD-20AF1E2F20D4}" name="DET" dataDxfId="55">
      <calculatedColumnFormula>(2*(SUMIFS(Table2[[AwayWon]:[AwayWon]], Table2[[GameIsOver]:[GameIsOver]],1,Table2[[AwayTeam]:[AwayTeam]],$T32, Table2[[HomeTeam]:[HomeTeam]], AV$31) + SUMIFS(Table2[[HomeWon_]:[HomeWon_]], Table2[[GameIsOver]:[GameIsOver]],1,Table2[[HomeTeam]:[HomeTeam]],$T2, Table2[[AwayTeam]:[AwayTeam]], AV$31))) + (0*(SUMIFS(Table2[[HomeWon_]:[HomeWon_]], Table2[[GameIsOver]:[GameIsOver]],1,Table2[[AwayTeam]:[AwayTeam]],$T32, Table2[[HomeTeam]:[HomeTeam]], AV$31, Table2[[ActualResult]:[ActualResult]], "REG") + SUMIFS(Table2[[AwayWon]:[AwayWon]], Table2[[GameIsOver]:[GameIsOver]],1,Table2[[HomeTeam]:[HomeTeam]],$T32, Table2[[AwayTeam]:[AwayTeam]], AV$31, Table2[[ActualResult]:[ActualResult]], "REG"))) + (1*(SUMIFS(Table2[[HomeWon_]:[HomeWon_]], Table2[[GameIsOver]:[GameIsOver]],1,Table2[[AwayTeam]:[AwayTeam]],$T32, Table2[[HomeTeam]:[HomeTeam]], AV$31, Table2[[ActualResult]:[ActualResult]], "OT") + SUMIFS(Table2[[AwayWon]:[AwayWon]], Table2[[GameIsOver]:[GameIsOver]],1,Table2[[HomeTeam]:[HomeTeam]],$T32, Table2[[AwayTeam]:[AwayTeam]], AV$31, Table2[[ActualResult]:[ActualResult]], "OT") + SUMIFS(Table2[[HomeWon_]:[HomeWon_]], Table2[[GameIsOver]:[GameIsOver]],1,Table2[[AwayTeam]:[AwayTeam]],$T32, Table2[[HomeTeam]:[HomeTeam]], AV$31, Table2[[ActualResult]:[ActualResult]], "SO") + SUMIFS(Table2[[AwayWon]:[AwayWon]], Table2[[GameIsOver]:[GameIsOver]],1,Table2[[HomeTeam]:[HomeTeam]],$T32, Table2[[AwayTeam]:[AwayTeam]], AV$31, Table2[[ActualResult]:[ActualResult]], "SO")))</calculatedColumnFormula>
    </tableColumn>
    <tableColumn id="31" xr3:uid="{83960F6D-11FB-4B93-B59B-BD600A4055DC}" name="FLA" dataDxfId="54">
      <calculatedColumnFormula>(2*(SUMIFS(Table2[[AwayWon]:[AwayWon]], Table2[[GameIsOver]:[GameIsOver]],1,Table2[[AwayTeam]:[AwayTeam]],$T32, Table2[[HomeTeam]:[HomeTeam]], AW$31) + SUMIFS(Table2[[HomeWon_]:[HomeWon_]], Table2[[GameIsOver]:[GameIsOver]],1,Table2[[HomeTeam]:[HomeTeam]],$T2, Table2[[AwayTeam]:[AwayTeam]], AW$31))) + (0*(SUMIFS(Table2[[HomeWon_]:[HomeWon_]], Table2[[GameIsOver]:[GameIsOver]],1,Table2[[AwayTeam]:[AwayTeam]],$T32, Table2[[HomeTeam]:[HomeTeam]], AW$31, Table2[[ActualResult]:[ActualResult]], "REG") + SUMIFS(Table2[[AwayWon]:[AwayWon]], Table2[[GameIsOver]:[GameIsOver]],1,Table2[[HomeTeam]:[HomeTeam]],$T32, Table2[[AwayTeam]:[AwayTeam]], AW$31, Table2[[ActualResult]:[ActualResult]], "REG"))) + (1*(SUMIFS(Table2[[HomeWon_]:[HomeWon_]], Table2[[GameIsOver]:[GameIsOver]],1,Table2[[AwayTeam]:[AwayTeam]],$T32, Table2[[HomeTeam]:[HomeTeam]], AW$31, Table2[[ActualResult]:[ActualResult]], "OT") + SUMIFS(Table2[[AwayWon]:[AwayWon]], Table2[[GameIsOver]:[GameIsOver]],1,Table2[[HomeTeam]:[HomeTeam]],$T32, Table2[[AwayTeam]:[AwayTeam]], AW$31, Table2[[ActualResult]:[ActualResult]], "OT") + SUMIFS(Table2[[HomeWon_]:[HomeWon_]], Table2[[GameIsOver]:[GameIsOver]],1,Table2[[AwayTeam]:[AwayTeam]],$T32, Table2[[HomeTeam]:[HomeTeam]], AW$31, Table2[[ActualResult]:[ActualResult]], "SO") + SUMIFS(Table2[[AwayWon]:[AwayWon]], Table2[[GameIsOver]:[GameIsOver]],1,Table2[[HomeTeam]:[HomeTeam]],$T32, Table2[[AwayTeam]:[AwayTeam]], AW$31, Table2[[ActualResult]:[ActualResult]], "SO")))</calculatedColumnFormula>
    </tableColumn>
    <tableColumn id="32" xr3:uid="{669240A8-00BF-47BF-8085-C8C0A08026C1}" name="MTL" dataDxfId="53">
      <calculatedColumnFormula>(2*(SUMIFS(Table2[[AwayWon]:[AwayWon]], Table2[[GameIsOver]:[GameIsOver]],1,Table2[[AwayTeam]:[AwayTeam]],$T32, Table2[[HomeTeam]:[HomeTeam]], AX$31) + SUMIFS(Table2[[HomeWon_]:[HomeWon_]], Table2[[GameIsOver]:[GameIsOver]],1,Table2[[HomeTeam]:[HomeTeam]],$T2, Table2[[AwayTeam]:[AwayTeam]], AX$31))) + (0*(SUMIFS(Table2[[HomeWon_]:[HomeWon_]], Table2[[GameIsOver]:[GameIsOver]],1,Table2[[AwayTeam]:[AwayTeam]],$T32, Table2[[HomeTeam]:[HomeTeam]], AX$31, Table2[[ActualResult]:[ActualResult]], "REG") + SUMIFS(Table2[[AwayWon]:[AwayWon]], Table2[[GameIsOver]:[GameIsOver]],1,Table2[[HomeTeam]:[HomeTeam]],$T32, Table2[[AwayTeam]:[AwayTeam]], AX$31, Table2[[ActualResult]:[ActualResult]], "REG"))) + (1*(SUMIFS(Table2[[HomeWon_]:[HomeWon_]], Table2[[GameIsOver]:[GameIsOver]],1,Table2[[AwayTeam]:[AwayTeam]],$T32, Table2[[HomeTeam]:[HomeTeam]], AX$31, Table2[[ActualResult]:[ActualResult]], "OT") + SUMIFS(Table2[[AwayWon]:[AwayWon]], Table2[[GameIsOver]:[GameIsOver]],1,Table2[[HomeTeam]:[HomeTeam]],$T32, Table2[[AwayTeam]:[AwayTeam]], AX$31, Table2[[ActualResult]:[ActualResult]], "OT") + SUMIFS(Table2[[HomeWon_]:[HomeWon_]], Table2[[GameIsOver]:[GameIsOver]],1,Table2[[AwayTeam]:[AwayTeam]],$T32, Table2[[HomeTeam]:[HomeTeam]], AX$31, Table2[[ActualResult]:[ActualResult]], "SO") + SUMIFS(Table2[[AwayWon]:[AwayWon]], Table2[[GameIsOver]:[GameIsOver]],1,Table2[[HomeTeam]:[HomeTeam]],$T32, Table2[[AwayTeam]:[AwayTeam]], AX$31, Table2[[ActualResult]:[ActualResult]], "SO")))</calculatedColumnFormula>
    </tableColumn>
    <tableColumn id="33" xr3:uid="{9ACDCEF3-D110-4F2F-9D17-9D629352F453}" name="OTT" dataDxfId="52">
      <calculatedColumnFormula>(2*(SUMIFS(Table2[[AwayWon]:[AwayWon]], Table2[[GameIsOver]:[GameIsOver]],1,Table2[[AwayTeam]:[AwayTeam]],$T32, Table2[[HomeTeam]:[HomeTeam]], AY$31) + SUMIFS(Table2[[HomeWon_]:[HomeWon_]], Table2[[GameIsOver]:[GameIsOver]],1,Table2[[HomeTeam]:[HomeTeam]],$T2, Table2[[AwayTeam]:[AwayTeam]], AY$31))) + (0*(SUMIFS(Table2[[HomeWon_]:[HomeWon_]], Table2[[GameIsOver]:[GameIsOver]],1,Table2[[AwayTeam]:[AwayTeam]],$T32, Table2[[HomeTeam]:[HomeTeam]], AY$31, Table2[[ActualResult]:[ActualResult]], "REG") + SUMIFS(Table2[[AwayWon]:[AwayWon]], Table2[[GameIsOver]:[GameIsOver]],1,Table2[[HomeTeam]:[HomeTeam]],$T32, Table2[[AwayTeam]:[AwayTeam]], AY$31, Table2[[ActualResult]:[ActualResult]], "REG"))) + (1*(SUMIFS(Table2[[HomeWon_]:[HomeWon_]], Table2[[GameIsOver]:[GameIsOver]],1,Table2[[AwayTeam]:[AwayTeam]],$T32, Table2[[HomeTeam]:[HomeTeam]], AY$31, Table2[[ActualResult]:[ActualResult]], "OT") + SUMIFS(Table2[[AwayWon]:[AwayWon]], Table2[[GameIsOver]:[GameIsOver]],1,Table2[[HomeTeam]:[HomeTeam]],$T32, Table2[[AwayTeam]:[AwayTeam]], AY$31, Table2[[ActualResult]:[ActualResult]], "OT") + SUMIFS(Table2[[HomeWon_]:[HomeWon_]], Table2[[GameIsOver]:[GameIsOver]],1,Table2[[AwayTeam]:[AwayTeam]],$T32, Table2[[HomeTeam]:[HomeTeam]], AY$31, Table2[[ActualResult]:[ActualResult]], "SO") + SUMIFS(Table2[[AwayWon]:[AwayWon]], Table2[[GameIsOver]:[GameIsOver]],1,Table2[[HomeTeam]:[HomeTeam]],$T32, Table2[[AwayTeam]:[AwayTeam]], AY$31, Table2[[ActualResult]:[ActualResult]], "SO")))</calculatedColumnFormula>
    </tableColumn>
    <tableColumn id="34" xr3:uid="{5AD66070-9C56-47FB-B789-4ED55644BAEE}" name="TBL" dataDxfId="51">
      <calculatedColumnFormula>(2*(SUMIFS(Table2[[AwayWon]:[AwayWon]], Table2[[GameIsOver]:[GameIsOver]],1,Table2[[AwayTeam]:[AwayTeam]],$T32, Table2[[HomeTeam]:[HomeTeam]], AZ$31) + SUMIFS(Table2[[HomeWon_]:[HomeWon_]], Table2[[GameIsOver]:[GameIsOver]],1,Table2[[HomeTeam]:[HomeTeam]],$T2, Table2[[AwayTeam]:[AwayTeam]], AZ$31))) + (0*(SUMIFS(Table2[[HomeWon_]:[HomeWon_]], Table2[[GameIsOver]:[GameIsOver]],1,Table2[[AwayTeam]:[AwayTeam]],$T32, Table2[[HomeTeam]:[HomeTeam]], AZ$31, Table2[[ActualResult]:[ActualResult]], "REG") + SUMIFS(Table2[[AwayWon]:[AwayWon]], Table2[[GameIsOver]:[GameIsOver]],1,Table2[[HomeTeam]:[HomeTeam]],$T32, Table2[[AwayTeam]:[AwayTeam]], AZ$31, Table2[[ActualResult]:[ActualResult]], "REG"))) + (1*(SUMIFS(Table2[[HomeWon_]:[HomeWon_]], Table2[[GameIsOver]:[GameIsOver]],1,Table2[[AwayTeam]:[AwayTeam]],$T32, Table2[[HomeTeam]:[HomeTeam]], AZ$31, Table2[[ActualResult]:[ActualResult]], "OT") + SUMIFS(Table2[[AwayWon]:[AwayWon]], Table2[[GameIsOver]:[GameIsOver]],1,Table2[[HomeTeam]:[HomeTeam]],$T32, Table2[[AwayTeam]:[AwayTeam]], AZ$31, Table2[[ActualResult]:[ActualResult]], "OT") + SUMIFS(Table2[[HomeWon_]:[HomeWon_]], Table2[[GameIsOver]:[GameIsOver]],1,Table2[[AwayTeam]:[AwayTeam]],$T32, Table2[[HomeTeam]:[HomeTeam]], AZ$31, Table2[[ActualResult]:[ActualResult]], "SO") + SUMIFS(Table2[[AwayWon]:[AwayWon]], Table2[[GameIsOver]:[GameIsOver]],1,Table2[[HomeTeam]:[HomeTeam]],$T32, Table2[[AwayTeam]:[AwayTeam]], AZ$31, Table2[[ActualResult]:[ActualResult]], "SO")))</calculatedColumnFormula>
    </tableColumn>
    <tableColumn id="35" xr3:uid="{5D5518DF-EB37-4292-9CE6-C4859B40DF4A}" name="TOR" dataDxfId="50">
      <calculatedColumnFormula>(2*(SUMIFS(Table2[[AwayWon]:[AwayWon]], Table2[[GameIsOver]:[GameIsOver]],1,Table2[[AwayTeam]:[AwayTeam]],$T32, Table2[[HomeTeam]:[HomeTeam]], BA$31) + SUMIFS(Table2[[HomeWon_]:[HomeWon_]], Table2[[GameIsOver]:[GameIsOver]],1,Table2[[HomeTeam]:[HomeTeam]],$T2, Table2[[AwayTeam]:[AwayTeam]], BA$31))) + (0*(SUMIFS(Table2[[HomeWon_]:[HomeWon_]], Table2[[GameIsOver]:[GameIsOver]],1,Table2[[AwayTeam]:[AwayTeam]],$T32, Table2[[HomeTeam]:[HomeTeam]], BA$31, Table2[[ActualResult]:[ActualResult]], "REG") + SUMIFS(Table2[[AwayWon]:[AwayWon]], Table2[[GameIsOver]:[GameIsOver]],1,Table2[[HomeTeam]:[HomeTeam]],$T32, Table2[[AwayTeam]:[AwayTeam]], BA$31, Table2[[ActualResult]:[ActualResult]], "REG"))) + (1*(SUMIFS(Table2[[HomeWon_]:[HomeWon_]], Table2[[GameIsOver]:[GameIsOver]],1,Table2[[AwayTeam]:[AwayTeam]],$T32, Table2[[HomeTeam]:[HomeTeam]], BA$31, Table2[[ActualResult]:[ActualResult]], "OT") + SUMIFS(Table2[[AwayWon]:[AwayWon]], Table2[[GameIsOver]:[GameIsOver]],1,Table2[[HomeTeam]:[HomeTeam]],$T32, Table2[[AwayTeam]:[AwayTeam]], BA$31, Table2[[ActualResult]:[ActualResult]], "OT") + SUMIFS(Table2[[HomeWon_]:[HomeWon_]], Table2[[GameIsOver]:[GameIsOver]],1,Table2[[AwayTeam]:[AwayTeam]],$T32, Table2[[HomeTeam]:[HomeTeam]], BA$31, Table2[[ActualResult]:[ActualResult]], "SO") + SUMIFS(Table2[[AwayWon]:[AwayWon]], Table2[[GameIsOver]:[GameIsOver]],1,Table2[[HomeTeam]:[HomeTeam]],$T32, Table2[[AwayTeam]:[AwayTeam]], BA$31, Table2[[ActualResult]:[ActualResult]], "SO")))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10.xml"/><Relationship Id="rId5" Type="http://schemas.openxmlformats.org/officeDocument/2006/relationships/table" Target="../tables/table9.xml"/><Relationship Id="rId4" Type="http://schemas.openxmlformats.org/officeDocument/2006/relationships/table" Target="../tables/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92753-FCFF-4542-BEA4-B0F720F8CF4C}">
  <dimension ref="A1:CD1316"/>
  <sheetViews>
    <sheetView tabSelected="1" topLeftCell="A93" workbookViewId="0">
      <selection activeCell="B113" sqref="B113"/>
    </sheetView>
  </sheetViews>
  <sheetFormatPr defaultRowHeight="15" x14ac:dyDescent="0.25"/>
  <cols>
    <col min="1" max="1" width="10.7109375" style="2" customWidth="1"/>
    <col min="2" max="2" width="11.42578125" style="3" customWidth="1"/>
    <col min="3" max="3" width="11" bestFit="1" customWidth="1"/>
    <col min="4" max="4" width="5.42578125" style="2" customWidth="1"/>
    <col min="5" max="5" width="5.42578125" style="2" bestFit="1" customWidth="1"/>
    <col min="6" max="7" width="4" bestFit="1" customWidth="1"/>
    <col min="8" max="8" width="5.42578125" bestFit="1" customWidth="1"/>
    <col min="9" max="9" width="4.42578125" bestFit="1" customWidth="1"/>
    <col min="10" max="11" width="4" bestFit="1" customWidth="1"/>
    <col min="12" max="12" width="5.42578125" bestFit="1" customWidth="1"/>
    <col min="13" max="13" width="4.42578125" bestFit="1" customWidth="1"/>
    <col min="14" max="14" width="5" customWidth="1"/>
    <col min="15" max="17" width="5" bestFit="1" customWidth="1"/>
    <col min="18" max="18" width="4" customWidth="1"/>
    <col min="19" max="19" width="5.42578125" customWidth="1"/>
    <col min="20" max="23" width="4" customWidth="1"/>
    <col min="24" max="25" width="4.5703125" customWidth="1"/>
    <col min="26" max="28" width="4.5703125" style="146" customWidth="1"/>
    <col min="29" max="30" width="9.140625" style="24"/>
    <col min="31" max="31" width="6.42578125" customWidth="1"/>
    <col min="32" max="32" width="6.28515625" style="5" bestFit="1" customWidth="1"/>
    <col min="33" max="35" width="6.28515625" bestFit="1" customWidth="1"/>
    <col min="37" max="37" width="10.42578125" bestFit="1" customWidth="1"/>
    <col min="38" max="38" width="5.42578125" customWidth="1"/>
    <col min="39" max="39" width="4.85546875" customWidth="1"/>
    <col min="40" max="40" width="4.28515625" customWidth="1"/>
    <col min="41" max="41" width="8.5703125" customWidth="1"/>
    <col min="42" max="42" width="10.140625" customWidth="1"/>
    <col min="43" max="46" width="6.28515625" bestFit="1" customWidth="1"/>
    <col min="47" max="51" width="8.5703125" customWidth="1"/>
    <col min="55" max="55" width="25.140625" customWidth="1"/>
    <col min="56" max="56" width="17.5703125" bestFit="1" customWidth="1"/>
    <col min="71" max="71" width="10.42578125" bestFit="1" customWidth="1"/>
    <col min="72" max="72" width="10.85546875" customWidth="1"/>
    <col min="73" max="73" width="11" bestFit="1" customWidth="1"/>
    <col min="74" max="75" width="11" customWidth="1"/>
  </cols>
  <sheetData>
    <row r="1" spans="1:82" ht="60.75" customHeight="1" x14ac:dyDescent="0.25">
      <c r="C1" s="2"/>
      <c r="E1" s="162" t="s">
        <v>71</v>
      </c>
      <c r="F1" s="162"/>
      <c r="G1" s="162"/>
      <c r="H1" s="162"/>
      <c r="I1" s="162" t="s">
        <v>72</v>
      </c>
      <c r="J1" s="162"/>
      <c r="K1" s="162"/>
      <c r="L1" s="162"/>
      <c r="AC1"/>
      <c r="AD1"/>
      <c r="AE1" s="5"/>
      <c r="AF1"/>
    </row>
    <row r="2" spans="1:82" s="7" customFormat="1" ht="141.75" customHeight="1" thickBot="1" x14ac:dyDescent="0.3">
      <c r="A2" s="18" t="s">
        <v>511</v>
      </c>
      <c r="B2" s="150" t="s">
        <v>0</v>
      </c>
      <c r="C2" s="20" t="s">
        <v>38</v>
      </c>
      <c r="D2" s="18" t="s">
        <v>2</v>
      </c>
      <c r="E2" s="18" t="s">
        <v>1</v>
      </c>
      <c r="F2" s="6" t="s">
        <v>8</v>
      </c>
      <c r="G2" s="6" t="s">
        <v>7</v>
      </c>
      <c r="H2" s="6" t="s">
        <v>3</v>
      </c>
      <c r="I2" s="6" t="s">
        <v>9</v>
      </c>
      <c r="J2" s="6" t="s">
        <v>6</v>
      </c>
      <c r="K2" s="6" t="s">
        <v>5</v>
      </c>
      <c r="L2" s="6" t="s">
        <v>4</v>
      </c>
      <c r="M2" s="6" t="s">
        <v>10</v>
      </c>
      <c r="N2" s="6" t="s">
        <v>77</v>
      </c>
      <c r="O2" s="6" t="s">
        <v>54</v>
      </c>
      <c r="P2" s="6" t="s">
        <v>52</v>
      </c>
      <c r="Q2" s="6" t="s">
        <v>53</v>
      </c>
      <c r="R2" s="6" t="s">
        <v>83</v>
      </c>
      <c r="S2" s="6" t="s">
        <v>86</v>
      </c>
      <c r="T2" s="6" t="s">
        <v>109</v>
      </c>
      <c r="U2" s="6" t="s">
        <v>110</v>
      </c>
      <c r="V2" s="6" t="s">
        <v>117</v>
      </c>
      <c r="W2" s="6" t="s">
        <v>111</v>
      </c>
      <c r="X2" s="6" t="s">
        <v>131</v>
      </c>
      <c r="Y2" s="6" t="s">
        <v>132</v>
      </c>
      <c r="Z2" s="147" t="s">
        <v>155</v>
      </c>
      <c r="AA2" s="147" t="s">
        <v>159</v>
      </c>
      <c r="AB2" s="147" t="s">
        <v>158</v>
      </c>
      <c r="AC2" s="25" t="s">
        <v>437</v>
      </c>
      <c r="AD2" s="25" t="s">
        <v>445</v>
      </c>
      <c r="AE2" s="18" t="s">
        <v>444</v>
      </c>
      <c r="AF2" s="6" t="s">
        <v>454</v>
      </c>
      <c r="AG2" s="6" t="s">
        <v>455</v>
      </c>
      <c r="AH2" s="6" t="s">
        <v>456</v>
      </c>
      <c r="AI2" s="6" t="s">
        <v>457</v>
      </c>
      <c r="AJ2" s="6" t="s">
        <v>462</v>
      </c>
      <c r="AK2" s="6" t="s">
        <v>477</v>
      </c>
      <c r="AL2" s="6" t="s">
        <v>478</v>
      </c>
      <c r="AM2" s="6" t="s">
        <v>485</v>
      </c>
      <c r="AN2" s="6" t="s">
        <v>487</v>
      </c>
      <c r="AO2" s="6" t="s">
        <v>494</v>
      </c>
      <c r="AP2" s="6" t="s">
        <v>495</v>
      </c>
      <c r="AQ2" s="6" t="s">
        <v>505</v>
      </c>
      <c r="AR2" s="6" t="s">
        <v>507</v>
      </c>
      <c r="AS2" s="6" t="s">
        <v>508</v>
      </c>
      <c r="AT2" s="6" t="s">
        <v>506</v>
      </c>
      <c r="BL2" s="60"/>
      <c r="BM2" s="60"/>
      <c r="BN2" s="60"/>
      <c r="BO2" s="60"/>
      <c r="BP2" s="60"/>
    </row>
    <row r="3" spans="1:82" ht="15.75" thickTop="1" x14ac:dyDescent="0.25">
      <c r="A3" s="19">
        <v>45937</v>
      </c>
      <c r="B3" s="19">
        <v>45937</v>
      </c>
      <c r="C3" s="138">
        <v>2025020001</v>
      </c>
      <c r="D3" s="8" t="s">
        <v>16</v>
      </c>
      <c r="E3" s="8" t="s">
        <v>13</v>
      </c>
      <c r="F3" s="8">
        <v>1</v>
      </c>
      <c r="G3" s="8">
        <v>5</v>
      </c>
      <c r="H3" s="8" t="str">
        <f t="shared" ref="H3:H66" si="0">IF(AND(ISBLANK($F3),ISBLANK($G3)),"_",IF($F3&gt;$G3,$D3,$E3))</f>
        <v>FLA</v>
      </c>
      <c r="I3" s="8" t="s">
        <v>718</v>
      </c>
      <c r="J3" s="8">
        <v>2</v>
      </c>
      <c r="K3" s="8">
        <v>3</v>
      </c>
      <c r="L3" s="8" t="str">
        <f t="shared" ref="L3:L66" si="1">IF(OR($J3=$K3,AND(ISBLANK($J3),ISBLANK($K3))),"_",IF($J3&gt;$K3,$D3,$E3))</f>
        <v>FLA</v>
      </c>
      <c r="M3" s="8" t="s">
        <v>718</v>
      </c>
      <c r="N3" s="8">
        <f>IF(ISBLANK(Table2[[#This Row],[ActualResult]]), 0, 1)</f>
        <v>1</v>
      </c>
      <c r="O3" s="8" t="str">
        <f>IF(ISBLANK(Table2[[#This Row],[ActualResult]]), "_", IF(Table2[[#This Row],[ActualWinner]]=Table2[[#This Row],[PredictedWinner]], "Y", "N"))</f>
        <v>Y</v>
      </c>
      <c r="P3" s="8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" s="8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" s="8">
        <v>1</v>
      </c>
      <c r="S3" s="8" t="str">
        <f t="shared" ref="S3:S66" si="2">IF($L3="_", "_", IF($L3=$D3,$E3,$D3))</f>
        <v>CHI</v>
      </c>
      <c r="T3" s="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" s="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" s="8">
        <f>IF(Table2[[#This Row],[InterConf]]=1,IF(Table2[[#This Row],[InterDiv]]=0, 1, 0), 0)</f>
        <v>0</v>
      </c>
      <c r="W3" s="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" s="8"/>
      <c r="Y3" s="8"/>
      <c r="Z3" s="148">
        <f>IF(AND(Table2[[#This Row],[GameIsOver]]=1,Table2[[#This Row],[ActualHomeScore]]*Table2[[#This Row],[ActualAwayScore]]=0), 1,0)</f>
        <v>0</v>
      </c>
      <c r="AA3" s="148">
        <f>IF(Table2[[#This Row],[GameIsOver]]=0,0, IF(Table2[[#This Row],[ActualWinner]]=Table2[[#This Row],[AwayTeam]], 2, IF(OR(Table2[[#This Row],[ActualResult]]="OT", Table2[[#This Row],[ActualResult]]="SO"), 1, 0)))</f>
        <v>0</v>
      </c>
      <c r="AB3" s="148">
        <f>IF(Table2[[#This Row],[GameIsOver]]= 0, 0, IF(Table2[[#This Row],[ActualWinner]]=Table2[[#This Row],[HomeTeam]], 2, IF(OR(Table2[[#This Row],[ActualResult]]="OT", Table2[[#This Row],[ActualResult]]="SO"), 1, 0)))</f>
        <v>2</v>
      </c>
      <c r="AC3" s="139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" s="13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" s="19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" s="8">
        <f>Table2[[#This Row],[ActualAwayScore]]-Table2[[#This Row],[PredictedAwayScore]]</f>
        <v>1</v>
      </c>
      <c r="AG3" s="8">
        <f>Table2[[#This Row],[ActualHomeScore]]-Table2[[#This Row],[PredictedHomeScore]]</f>
        <v>-2</v>
      </c>
      <c r="AH3" s="8">
        <f t="shared" ref="AH3:AH66" si="3">SUMIF($B$3:$B$1315, $B3, $AF$3:$AF$1315)</f>
        <v>0</v>
      </c>
      <c r="AI3" s="8">
        <f t="shared" ref="AI3:AI66" si="4">SUMIF($B$3:$B$1315, $B3, $AG$3:$AG$1315)</f>
        <v>-8</v>
      </c>
      <c r="AJ3" s="8">
        <v>1</v>
      </c>
      <c r="AK3" s="3">
        <v>45937</v>
      </c>
      <c r="AL3" s="2">
        <f>IF(Table2[[#This Row],[GameIsOver]]=0,0,IF(Table2[[#This Row],[ActualWinner]]=Table2[[#This Row],[AwayTeam]], 1, 0))</f>
        <v>0</v>
      </c>
      <c r="AM3" s="2">
        <f>IF(Table2[[#This Row],[GameIsOver]]=0,0,IF(Table2[[#This Row],[ActualWinner]]=Table2[[#This Row],[HomeTeam]], 1, 0))</f>
        <v>1</v>
      </c>
      <c r="AN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" s="2" t="str">
        <f>INDEX(Sheet5!$B$2:$AG$33, MATCH(Table2[[#This Row],[AwayTeam]],Sheet5!$A$2:$A$33, 0), MATCH(Table2[[#This Row],[HomeTeam]],Sheet5!$A$2:$A$33, 0))</f>
        <v>0-1-0</v>
      </c>
      <c r="AP3" s="2" t="str">
        <f>INDEX(Sheet5!$B$2:$AG$33, MATCH(Table2[[#This Row],[HomeTeam]],Sheet5!$A$2:$A$33, 0), MATCH(Table2[[#This Row],[AwayTeam]],Sheet5!$A$2:$A$33, 0))</f>
        <v>1-0-0</v>
      </c>
      <c r="AQ3" s="2">
        <f>IF(Table2[[#This Row],[GameHasShutOut]], 1, 0)</f>
        <v>0</v>
      </c>
      <c r="AR3" s="2">
        <f>IF(Table2[[#This Row],[ActualAwayScore]] + Table2[[#This Row],[ActualHomeScore]] &gt;= 10, 1, 0)</f>
        <v>0</v>
      </c>
      <c r="AS3" s="2">
        <f>IF(ABS(Table2[[#This Row],[ActualAwayScore]]-Table2[[#This Row],[ActualHomeScore]])&gt;=5, 1, 0)</f>
        <v>0</v>
      </c>
      <c r="AT3" s="2">
        <f>IF(Table2[[#This Row],[ActualAwayScore]] + Table2[[#This Row],[ActualHomeScore]] &lt;= 3, 1, 0)</f>
        <v>0</v>
      </c>
      <c r="AU3" s="2"/>
      <c r="AV3" s="2"/>
      <c r="BH3" t="s">
        <v>126</v>
      </c>
      <c r="BI3">
        <v>100</v>
      </c>
      <c r="BK3" s="57"/>
      <c r="BL3" s="159" t="s">
        <v>472</v>
      </c>
      <c r="BM3" s="160"/>
      <c r="BN3" s="160"/>
      <c r="BO3" s="160"/>
      <c r="BP3" s="161"/>
      <c r="BR3" s="156" t="s">
        <v>466</v>
      </c>
      <c r="BS3" s="156"/>
      <c r="BT3" s="156"/>
      <c r="BU3" s="156"/>
      <c r="BV3" s="2"/>
      <c r="BW3" s="2"/>
    </row>
    <row r="4" spans="1:82" x14ac:dyDescent="0.25">
      <c r="A4" s="3">
        <v>45937</v>
      </c>
      <c r="B4" s="3">
        <v>45937</v>
      </c>
      <c r="C4" s="5">
        <v>2025020002</v>
      </c>
      <c r="D4" s="2" t="s">
        <v>20</v>
      </c>
      <c r="E4" s="2" t="s">
        <v>19</v>
      </c>
      <c r="F4" s="2">
        <v>3</v>
      </c>
      <c r="G4" s="2">
        <v>4</v>
      </c>
      <c r="H4" s="2" t="str">
        <f t="shared" si="0"/>
        <v>NYR</v>
      </c>
      <c r="I4" s="2" t="s">
        <v>719</v>
      </c>
      <c r="J4" s="2">
        <v>3</v>
      </c>
      <c r="K4" s="2">
        <v>0</v>
      </c>
      <c r="L4" s="2" t="str">
        <f t="shared" si="1"/>
        <v>PIT</v>
      </c>
      <c r="M4" s="2" t="s">
        <v>718</v>
      </c>
      <c r="N4" s="2">
        <f>IF(ISBLANK(Table2[[#This Row],[ActualResult]]), 0, 1)</f>
        <v>1</v>
      </c>
      <c r="O4" s="2" t="str">
        <f>IF(ISBLANK(Table2[[#This Row],[ActualResult]]), "_", IF(Table2[[#This Row],[ActualWinner]]=Table2[[#This Row],[PredictedWinner]], "Y", "N"))</f>
        <v>N</v>
      </c>
      <c r="P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" s="2">
        <v>1</v>
      </c>
      <c r="S4" s="2" t="str">
        <f t="shared" si="2"/>
        <v>NYR</v>
      </c>
      <c r="T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" s="2">
        <f>IF(Table2[[#This Row],[InterConf]]=1,IF(Table2[[#This Row],[InterDiv]]=0, 1, 0), 0)</f>
        <v>0</v>
      </c>
      <c r="W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" s="2"/>
      <c r="Y4" s="2"/>
      <c r="Z4" s="145">
        <f>IF(AND(Table2[[#This Row],[GameIsOver]]=1,Table2[[#This Row],[ActualHomeScore]]*Table2[[#This Row],[ActualAwayScore]]=0), 1,0)</f>
        <v>1</v>
      </c>
      <c r="AA4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" s="2">
        <f>Table2[[#This Row],[ActualAwayScore]]-Table2[[#This Row],[PredictedAwayScore]]</f>
        <v>0</v>
      </c>
      <c r="AG4" s="2">
        <f>Table2[[#This Row],[ActualHomeScore]]-Table2[[#This Row],[PredictedHomeScore]]</f>
        <v>-4</v>
      </c>
      <c r="AH4" s="2">
        <f t="shared" si="3"/>
        <v>0</v>
      </c>
      <c r="AI4" s="2">
        <f t="shared" si="4"/>
        <v>-8</v>
      </c>
      <c r="AJ4" s="2">
        <v>1</v>
      </c>
      <c r="AK4" s="3">
        <v>45937</v>
      </c>
      <c r="AL4" s="2">
        <f>IF(Table2[[#This Row],[GameIsOver]]=0,0,IF(Table2[[#This Row],[ActualWinner]]=Table2[[#This Row],[AwayTeam]], 1, 0))</f>
        <v>1</v>
      </c>
      <c r="AM4" s="2">
        <f>IF(Table2[[#This Row],[GameIsOver]]=0,0,IF(Table2[[#This Row],[ActualWinner]]=Table2[[#This Row],[HomeTeam]], 1, 0))</f>
        <v>0</v>
      </c>
      <c r="AN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" s="2" t="str">
        <f>INDEX(Sheet5!$B$2:$AG$33, MATCH(Table2[[#This Row],[AwayTeam]],Sheet5!$A$2:$A$33, 0), MATCH(Table2[[#This Row],[HomeTeam]],Sheet5!$A$2:$A$33, 0))</f>
        <v>1-1-0</v>
      </c>
      <c r="AP4" s="2" t="str">
        <f>INDEX(Sheet5!$B$2:$AG$33, MATCH(Table2[[#This Row],[HomeTeam]],Sheet5!$A$2:$A$33, 0), MATCH(Table2[[#This Row],[AwayTeam]],Sheet5!$A$2:$A$33, 0))</f>
        <v>1-1-0</v>
      </c>
      <c r="AQ4" s="2">
        <f>IF(Table2[[#This Row],[GameHasShutOut]], 1, 0)</f>
        <v>1</v>
      </c>
      <c r="AR4" s="2">
        <f>IF(Table2[[#This Row],[ActualAwayScore]] + Table2[[#This Row],[ActualHomeScore]] &gt;= 10, 1, 0)</f>
        <v>0</v>
      </c>
      <c r="AS4" s="2">
        <f>IF(ABS(Table2[[#This Row],[ActualAwayScore]]-Table2[[#This Row],[ActualHomeScore]])&gt;=5, 1, 0)</f>
        <v>0</v>
      </c>
      <c r="AT4" s="2">
        <f>IF(Table2[[#This Row],[ActualAwayScore]] + Table2[[#This Row],[ActualHomeScore]] &lt;= 3, 1, 0)</f>
        <v>1</v>
      </c>
      <c r="AU4" s="2"/>
      <c r="AV4" s="2"/>
      <c r="BC4" t="s">
        <v>80</v>
      </c>
      <c r="BD4">
        <f>COUNTA($M$3:$M$1315)</f>
        <v>107</v>
      </c>
      <c r="BH4" t="s">
        <v>127</v>
      </c>
      <c r="BI4">
        <v>50</v>
      </c>
      <c r="BK4" s="57"/>
      <c r="BL4" t="s">
        <v>118</v>
      </c>
      <c r="BM4">
        <f>COUNTIFS($O$3:$O$1315, "Y", $M$3:$M$1315, "REG")</f>
        <v>46</v>
      </c>
      <c r="BP4" s="57"/>
      <c r="BR4" s="44" t="s">
        <v>465</v>
      </c>
      <c r="BS4" s="156" t="s">
        <v>463</v>
      </c>
      <c r="BT4" s="156"/>
      <c r="BU4" s="156" t="s">
        <v>464</v>
      </c>
      <c r="BV4" s="156"/>
      <c r="BW4" s="2" t="s">
        <v>510</v>
      </c>
      <c r="BX4" s="2" t="s">
        <v>469</v>
      </c>
      <c r="CD4" t="s">
        <v>479</v>
      </c>
    </row>
    <row r="5" spans="1:82" x14ac:dyDescent="0.25">
      <c r="A5" s="141">
        <v>45937</v>
      </c>
      <c r="B5" s="141">
        <v>45937</v>
      </c>
      <c r="C5" s="142">
        <v>2025020003</v>
      </c>
      <c r="D5" s="143" t="s">
        <v>25</v>
      </c>
      <c r="E5" s="143" t="s">
        <v>27</v>
      </c>
      <c r="F5" s="143">
        <v>5</v>
      </c>
      <c r="G5" s="143">
        <v>3</v>
      </c>
      <c r="H5" s="143" t="str">
        <f t="shared" si="0"/>
        <v>COL</v>
      </c>
      <c r="I5" s="143" t="s">
        <v>718</v>
      </c>
      <c r="J5" s="143">
        <v>4</v>
      </c>
      <c r="K5" s="143">
        <v>1</v>
      </c>
      <c r="L5" s="143" t="str">
        <f t="shared" si="1"/>
        <v>COL</v>
      </c>
      <c r="M5" s="141" t="s">
        <v>718</v>
      </c>
      <c r="N5" s="143">
        <f>IF(ISBLANK(Table2[[#This Row],[ActualResult]]), 0, 1)</f>
        <v>1</v>
      </c>
      <c r="O5" s="143" t="str">
        <f>IF(ISBLANK(Table2[[#This Row],[ActualResult]]), "_", IF(Table2[[#This Row],[ActualWinner]]=Table2[[#This Row],[PredictedWinner]], "Y", "N"))</f>
        <v>Y</v>
      </c>
      <c r="P5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" s="143">
        <v>1</v>
      </c>
      <c r="S5" s="143" t="str">
        <f t="shared" si="2"/>
        <v>LAK</v>
      </c>
      <c r="T5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" s="143">
        <f>IF(Table2[[#This Row],[InterConf]]=1,IF(Table2[[#This Row],[InterDiv]]=0, 1, 0), 0)</f>
        <v>1</v>
      </c>
      <c r="W5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" s="143"/>
      <c r="Y5" s="143"/>
      <c r="Z5" s="149">
        <f>IF(AND(Table2[[#This Row],[GameIsOver]]=1,Table2[[#This Row],[ActualHomeScore]]*Table2[[#This Row],[ActualAwayScore]]=0), 1,0)</f>
        <v>0</v>
      </c>
      <c r="AA5" s="149">
        <f>IF(Table2[[#This Row],[GameIsOver]]=0,0, IF(Table2[[#This Row],[ActualWinner]]=Table2[[#This Row],[AwayTeam]], 2, IF(OR(Table2[[#This Row],[ActualResult]]="OT", Table2[[#This Row],[ActualResult]]="SO"), 1, 0)))</f>
        <v>2</v>
      </c>
      <c r="AB5" s="149">
        <f>IF(Table2[[#This Row],[GameIsOver]]= 0, 0, IF(Table2[[#This Row],[ActualWinner]]=Table2[[#This Row],[HomeTeam]], 2, IF(OR(Table2[[#This Row],[ActualResult]]="OT", Table2[[#This Row],[ActualResult]]="SO"), 1, 0)))</f>
        <v>0</v>
      </c>
      <c r="AC5" s="144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5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5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" s="143">
        <f>Table2[[#This Row],[ActualAwayScore]]-Table2[[#This Row],[PredictedAwayScore]]</f>
        <v>-1</v>
      </c>
      <c r="AG5" s="143">
        <f>Table2[[#This Row],[ActualHomeScore]]-Table2[[#This Row],[PredictedHomeScore]]</f>
        <v>-2</v>
      </c>
      <c r="AH5" s="143">
        <f t="shared" si="3"/>
        <v>0</v>
      </c>
      <c r="AI5" s="143">
        <f t="shared" si="4"/>
        <v>-8</v>
      </c>
      <c r="AJ5" s="143">
        <v>1</v>
      </c>
      <c r="AK5" s="141">
        <v>45937</v>
      </c>
      <c r="AL5" s="143">
        <f>IF(Table2[[#This Row],[GameIsOver]]=0,0,IF(Table2[[#This Row],[ActualWinner]]=Table2[[#This Row],[AwayTeam]], 1, 0))</f>
        <v>1</v>
      </c>
      <c r="AM5" s="143">
        <f>IF(Table2[[#This Row],[GameIsOver]]=0,0,IF(Table2[[#This Row],[ActualWinner]]=Table2[[#This Row],[HomeTeam]], 1, 0))</f>
        <v>0</v>
      </c>
      <c r="AN5" s="143">
        <f>IF(IFERROR(FIND(Table2[[#This Row],[AwayTeam]], _xlfn.TEXTJOIN(";", 1, $BD$31:$BD$40)), 0) &gt; 0, 1, 0) + IF(IFERROR(FIND(Table2[[#This Row],[HomeTeam]], _xlfn.TEXTJOIN(";", 1, $BD$31:$BD$40)), 0) &gt; 0, 1, 0)</f>
        <v>1</v>
      </c>
      <c r="AO5" s="143" t="str">
        <f>INDEX(Sheet5!$B$2:$AG$33, MATCH(Table2[[#This Row],[AwayTeam]],Sheet5!$A$2:$A$33, 0), MATCH(Table2[[#This Row],[HomeTeam]],Sheet5!$A$2:$A$33, 0))</f>
        <v>1-0-0</v>
      </c>
      <c r="AP5" s="143" t="str">
        <f>INDEX(Sheet5!$B$2:$AG$33, MATCH(Table2[[#This Row],[HomeTeam]],Sheet5!$A$2:$A$33, 0), MATCH(Table2[[#This Row],[AwayTeam]],Sheet5!$A$2:$A$33, 0))</f>
        <v>0-1-0</v>
      </c>
      <c r="AQ5" s="143">
        <f>IF(Table2[[#This Row],[GameHasShutOut]], 1, 0)</f>
        <v>0</v>
      </c>
      <c r="AR5" s="143">
        <f>IF(Table2[[#This Row],[ActualAwayScore]] + Table2[[#This Row],[ActualHomeScore]] &gt;= 10, 1, 0)</f>
        <v>0</v>
      </c>
      <c r="AS5" s="143">
        <f>IF(ABS(Table2[[#This Row],[ActualAwayScore]]-Table2[[#This Row],[ActualHomeScore]])&gt;=5, 1, 0)</f>
        <v>0</v>
      </c>
      <c r="AT5" s="143">
        <f>IF(Table2[[#This Row],[ActualAwayScore]] + Table2[[#This Row],[ActualHomeScore]] &lt;= 3, 1, 0)</f>
        <v>0</v>
      </c>
      <c r="AU5" s="2"/>
      <c r="AV5" s="2"/>
      <c r="BC5" t="s">
        <v>79</v>
      </c>
      <c r="BD5">
        <f>COUNTIF($O$3:$O$1315,"Y")</f>
        <v>60</v>
      </c>
      <c r="BH5" t="s">
        <v>128</v>
      </c>
      <c r="BI5">
        <v>50</v>
      </c>
      <c r="BK5" s="57"/>
      <c r="BL5" t="s">
        <v>120</v>
      </c>
      <c r="BM5">
        <f>COUNTIFS($O$3:$O$1315, "N", $M$3:$M$1315, "REG")</f>
        <v>37</v>
      </c>
      <c r="BP5" s="57"/>
      <c r="BR5" s="2">
        <v>0</v>
      </c>
      <c r="BS5" s="110" cm="1">
        <f t="array" ref="BS5">SUM(--(ABS($F$3:$F$1315 - $J$3:$J$1315) = 0)) -(((32*82)/2) - $BD$4)</f>
        <v>17</v>
      </c>
      <c r="BT5" s="111">
        <f>$BS5/$BD$4</f>
        <v>0.15887850467289719</v>
      </c>
      <c r="BU5" s="112" cm="1">
        <f t="array" ref="BU5">SUM(--(ABS($G$3:$G$1315 - $K$3:$K$1315) = 0)) -(((32*82)/2) - $BD$4)</f>
        <v>16</v>
      </c>
      <c r="BV5" s="113">
        <f>$BU5/$BD$4</f>
        <v>0.14953271028037382</v>
      </c>
      <c r="BW5" s="109">
        <f t="shared" ref="BW5:BW15" si="5">BS5+BU5</f>
        <v>33</v>
      </c>
      <c r="BX5" s="114">
        <f t="shared" ref="BX5:BX15" si="6">(BS5+BU5)/($BD$4*2)</f>
        <v>0.1542056074766355</v>
      </c>
      <c r="CD5" t="s">
        <v>480</v>
      </c>
    </row>
    <row r="6" spans="1:82" x14ac:dyDescent="0.25">
      <c r="A6" s="3">
        <v>45938</v>
      </c>
      <c r="B6" s="3">
        <v>45938</v>
      </c>
      <c r="C6" s="5">
        <v>2025020004</v>
      </c>
      <c r="D6" s="2" t="s">
        <v>18</v>
      </c>
      <c r="E6" s="2" t="s">
        <v>17</v>
      </c>
      <c r="F6" s="2">
        <v>3</v>
      </c>
      <c r="G6" s="2">
        <v>4</v>
      </c>
      <c r="H6" s="2" t="str">
        <f t="shared" si="0"/>
        <v>TOR</v>
      </c>
      <c r="I6" s="2" t="s">
        <v>718</v>
      </c>
      <c r="J6" s="2">
        <v>2</v>
      </c>
      <c r="K6" s="2">
        <v>5</v>
      </c>
      <c r="L6" s="2" t="str">
        <f t="shared" si="1"/>
        <v>TOR</v>
      </c>
      <c r="M6" s="3" t="s">
        <v>718</v>
      </c>
      <c r="N6" s="2">
        <f>IF(ISBLANK(Table2[[#This Row],[ActualResult]]), 0, 1)</f>
        <v>1</v>
      </c>
      <c r="O6" s="2" t="str">
        <f>IF(ISBLANK(Table2[[#This Row],[ActualResult]]), "_", IF(Table2[[#This Row],[ActualWinner]]=Table2[[#This Row],[PredictedWinner]], "Y", "N"))</f>
        <v>Y</v>
      </c>
      <c r="P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" s="2">
        <v>1</v>
      </c>
      <c r="S6" s="2" t="str">
        <f t="shared" si="2"/>
        <v>MTL</v>
      </c>
      <c r="T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" s="2">
        <f>IF(Table2[[#This Row],[InterConf]]=1,IF(Table2[[#This Row],[InterDiv]]=0, 1, 0), 0)</f>
        <v>0</v>
      </c>
      <c r="W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" s="2"/>
      <c r="Y6" s="2"/>
      <c r="Z6" s="145">
        <f>IF(AND(Table2[[#This Row],[GameIsOver]]=1,Table2[[#This Row],[ActualHomeScore]]*Table2[[#This Row],[ActualAwayScore]]=0), 1,0)</f>
        <v>0</v>
      </c>
      <c r="AA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" s="2">
        <f>Table2[[#This Row],[ActualAwayScore]]-Table2[[#This Row],[PredictedAwayScore]]</f>
        <v>-1</v>
      </c>
      <c r="AG6" s="2">
        <f>Table2[[#This Row],[ActualHomeScore]]-Table2[[#This Row],[PredictedHomeScore]]</f>
        <v>1</v>
      </c>
      <c r="AH6" s="2">
        <f t="shared" si="3"/>
        <v>5</v>
      </c>
      <c r="AI6" s="2">
        <f t="shared" si="4"/>
        <v>-2</v>
      </c>
      <c r="AJ6" s="2">
        <v>1</v>
      </c>
      <c r="AK6" s="3">
        <v>45938</v>
      </c>
      <c r="AL6" s="2">
        <f>IF(Table2[[#This Row],[GameIsOver]]=0,0,IF(Table2[[#This Row],[ActualWinner]]=Table2[[#This Row],[AwayTeam]], 1, 0))</f>
        <v>0</v>
      </c>
      <c r="AM6" s="2">
        <f>IF(Table2[[#This Row],[GameIsOver]]=0,0,IF(Table2[[#This Row],[ActualWinner]]=Table2[[#This Row],[HomeTeam]], 1, 0))</f>
        <v>1</v>
      </c>
      <c r="AN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" s="2" t="str">
        <f>INDEX(Sheet5!$B$2:$AG$33, MATCH(Table2[[#This Row],[AwayTeam]],Sheet5!$A$2:$A$33, 0), MATCH(Table2[[#This Row],[HomeTeam]],Sheet5!$A$2:$A$33, 0))</f>
        <v>0-1-0</v>
      </c>
      <c r="AP6" s="2" t="str">
        <f>INDEX(Sheet5!$B$2:$AG$33, MATCH(Table2[[#This Row],[HomeTeam]],Sheet5!$A$2:$A$33, 0), MATCH(Table2[[#This Row],[AwayTeam]],Sheet5!$A$2:$A$33, 0))</f>
        <v>1-0-0</v>
      </c>
      <c r="AQ6" s="2">
        <f>IF(Table2[[#This Row],[GameHasShutOut]], 1, 0)</f>
        <v>0</v>
      </c>
      <c r="AR6" s="2">
        <f>IF(Table2[[#This Row],[ActualAwayScore]] + Table2[[#This Row],[ActualHomeScore]] &gt;= 10, 1, 0)</f>
        <v>0</v>
      </c>
      <c r="AS6" s="2">
        <f>IF(ABS(Table2[[#This Row],[ActualAwayScore]]-Table2[[#This Row],[ActualHomeScore]])&gt;=5, 1, 0)</f>
        <v>0</v>
      </c>
      <c r="AT6" s="2">
        <f>IF(Table2[[#This Row],[ActualAwayScore]] + Table2[[#This Row],[ActualHomeScore]] &lt;= 3, 1, 0)</f>
        <v>0</v>
      </c>
      <c r="AU6" s="2"/>
      <c r="AV6" s="2"/>
      <c r="BC6" t="s">
        <v>81</v>
      </c>
      <c r="BD6">
        <f>BD4-BD5</f>
        <v>47</v>
      </c>
      <c r="BH6" t="s">
        <v>156</v>
      </c>
      <c r="BI6">
        <v>50</v>
      </c>
      <c r="BK6" s="57"/>
      <c r="BL6" t="s">
        <v>121</v>
      </c>
      <c r="BM6">
        <f>COUNTIFS($O$3:$O$1315, "Y", $M$3:$M$1315, "OT")</f>
        <v>12</v>
      </c>
      <c r="BP6" s="57"/>
      <c r="BR6" s="2">
        <v>1</v>
      </c>
      <c r="BS6" s="110" cm="1">
        <f t="array" ref="BS6">SUM(--(ABS($F$3:$F$1315 - $J$3:$J$1315) = $BR6))</f>
        <v>36</v>
      </c>
      <c r="BT6" s="111">
        <f t="shared" ref="BT6:BT15" si="7">$BS6/$BD$4</f>
        <v>0.3364485981308411</v>
      </c>
      <c r="BU6" s="112" cm="1">
        <f t="array" ref="BU6">SUM(--(ABS($G$3:$G$1315 - $K$3:$K$1315) = $BR6))</f>
        <v>41</v>
      </c>
      <c r="BV6" s="113">
        <f t="shared" ref="BV6:BV15" si="8">$BU6/$BD$4</f>
        <v>0.38317757009345793</v>
      </c>
      <c r="BW6" s="109">
        <f t="shared" si="5"/>
        <v>77</v>
      </c>
      <c r="BX6" s="114">
        <f t="shared" si="6"/>
        <v>0.35981308411214952</v>
      </c>
      <c r="CD6" t="s">
        <v>481</v>
      </c>
    </row>
    <row r="7" spans="1:82" x14ac:dyDescent="0.25">
      <c r="A7" s="3">
        <v>45938</v>
      </c>
      <c r="B7" s="3">
        <v>45938</v>
      </c>
      <c r="C7" s="5">
        <v>2025020005</v>
      </c>
      <c r="D7" s="2" t="s">
        <v>15</v>
      </c>
      <c r="E7" s="2" t="s">
        <v>43</v>
      </c>
      <c r="F7" s="2">
        <v>2</v>
      </c>
      <c r="G7" s="2">
        <v>5</v>
      </c>
      <c r="H7" s="2" t="str">
        <f t="shared" si="0"/>
        <v>WSH</v>
      </c>
      <c r="I7" s="2" t="s">
        <v>718</v>
      </c>
      <c r="J7" s="2">
        <v>3</v>
      </c>
      <c r="K7" s="2">
        <v>1</v>
      </c>
      <c r="L7" s="2" t="str">
        <f t="shared" si="1"/>
        <v>BOS</v>
      </c>
      <c r="M7" s="3" t="s">
        <v>718</v>
      </c>
      <c r="N7" s="2">
        <f>IF(ISBLANK(Table2[[#This Row],[ActualResult]]), 0, 1)</f>
        <v>1</v>
      </c>
      <c r="O7" s="2" t="str">
        <f>IF(ISBLANK(Table2[[#This Row],[ActualResult]]), "_", IF(Table2[[#This Row],[ActualWinner]]=Table2[[#This Row],[PredictedWinner]], "Y", "N"))</f>
        <v>N</v>
      </c>
      <c r="P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" s="2">
        <v>0</v>
      </c>
      <c r="S7" s="2" t="str">
        <f t="shared" si="2"/>
        <v>WSH</v>
      </c>
      <c r="T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" s="2">
        <f>IF(Table2[[#This Row],[InterConf]]=1,IF(Table2[[#This Row],[InterDiv]]=0, 1, 0), 0)</f>
        <v>1</v>
      </c>
      <c r="W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" s="2"/>
      <c r="Y7" s="2"/>
      <c r="Z7" s="145">
        <f>IF(AND(Table2[[#This Row],[GameIsOver]]=1,Table2[[#This Row],[ActualHomeScore]]*Table2[[#This Row],[ActualAwayScore]]=0), 1,0)</f>
        <v>0</v>
      </c>
      <c r="AA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" s="2">
        <f>Table2[[#This Row],[ActualAwayScore]]-Table2[[#This Row],[PredictedAwayScore]]</f>
        <v>1</v>
      </c>
      <c r="AG7" s="2">
        <f>Table2[[#This Row],[ActualHomeScore]]-Table2[[#This Row],[PredictedHomeScore]]</f>
        <v>-4</v>
      </c>
      <c r="AH7" s="2">
        <f t="shared" si="3"/>
        <v>5</v>
      </c>
      <c r="AI7" s="2">
        <f t="shared" si="4"/>
        <v>-2</v>
      </c>
      <c r="AJ7" s="2"/>
      <c r="AK7" s="2"/>
      <c r="AL7" s="2">
        <f>IF(Table2[[#This Row],[GameIsOver]]=0,0,IF(Table2[[#This Row],[ActualWinner]]=Table2[[#This Row],[AwayTeam]], 1, 0))</f>
        <v>1</v>
      </c>
      <c r="AM7" s="2">
        <f>IF(Table2[[#This Row],[GameIsOver]]=0,0,IF(Table2[[#This Row],[ActualWinner]]=Table2[[#This Row],[HomeTeam]], 1, 0))</f>
        <v>0</v>
      </c>
      <c r="AN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" s="2" t="str">
        <f>INDEX(Sheet5!$B$2:$AG$33, MATCH(Table2[[#This Row],[AwayTeam]],Sheet5!$A$2:$A$33, 0), MATCH(Table2[[#This Row],[HomeTeam]],Sheet5!$A$2:$A$33, 0))</f>
        <v>1-0-0</v>
      </c>
      <c r="AP7" s="2" t="str">
        <f>INDEX(Sheet5!$B$2:$AG$33, MATCH(Table2[[#This Row],[HomeTeam]],Sheet5!$A$2:$A$33, 0), MATCH(Table2[[#This Row],[AwayTeam]],Sheet5!$A$2:$A$33, 0))</f>
        <v>0-1-0</v>
      </c>
      <c r="AQ7" s="2">
        <f>IF(Table2[[#This Row],[GameHasShutOut]], 1, 0)</f>
        <v>0</v>
      </c>
      <c r="AR7" s="2">
        <f>IF(Table2[[#This Row],[ActualAwayScore]] + Table2[[#This Row],[ActualHomeScore]] &gt;= 10, 1, 0)</f>
        <v>0</v>
      </c>
      <c r="AS7" s="2">
        <f>IF(ABS(Table2[[#This Row],[ActualAwayScore]]-Table2[[#This Row],[ActualHomeScore]])&gt;=5, 1, 0)</f>
        <v>0</v>
      </c>
      <c r="AT7" s="2">
        <f>IF(Table2[[#This Row],[ActualAwayScore]] + Table2[[#This Row],[ActualHomeScore]] &lt;= 3, 1, 0)</f>
        <v>0</v>
      </c>
      <c r="AU7" s="2"/>
      <c r="AV7" s="2"/>
      <c r="BC7" t="s">
        <v>82</v>
      </c>
      <c r="BD7" s="10">
        <f>BD5/BD4</f>
        <v>0.56074766355140182</v>
      </c>
      <c r="BH7" t="s">
        <v>129</v>
      </c>
      <c r="BI7">
        <v>50</v>
      </c>
      <c r="BK7" s="57"/>
      <c r="BL7" t="s">
        <v>122</v>
      </c>
      <c r="BM7">
        <f>COUNTIFS($O$3:$O$1315, "N", $M$3:$M$1315, "OT")</f>
        <v>6</v>
      </c>
      <c r="BP7" s="57"/>
      <c r="BR7" s="2">
        <v>2</v>
      </c>
      <c r="BS7" s="110" cm="1">
        <f t="array" ref="BS7">SUM(--(ABS($F$3:$F$1315 - $J$3:$J$1315) = $BR7))</f>
        <v>26</v>
      </c>
      <c r="BT7" s="111">
        <f t="shared" si="7"/>
        <v>0.24299065420560748</v>
      </c>
      <c r="BU7" s="112" cm="1">
        <f t="array" ref="BU7">SUM(--(ABS($G$3:$G$1315 - $K$3:$K$1315) = $BR7))</f>
        <v>26</v>
      </c>
      <c r="BV7" s="113">
        <f t="shared" si="8"/>
        <v>0.24299065420560748</v>
      </c>
      <c r="BW7" s="109">
        <f t="shared" si="5"/>
        <v>52</v>
      </c>
      <c r="BX7" s="114">
        <f t="shared" si="6"/>
        <v>0.24299065420560748</v>
      </c>
      <c r="CD7" t="s">
        <v>482</v>
      </c>
    </row>
    <row r="8" spans="1:82" x14ac:dyDescent="0.25">
      <c r="A8" s="3">
        <v>45938</v>
      </c>
      <c r="B8" s="3">
        <v>45938</v>
      </c>
      <c r="C8" s="5">
        <v>2025020006</v>
      </c>
      <c r="D8" s="2" t="s">
        <v>23</v>
      </c>
      <c r="E8" s="2" t="s">
        <v>22</v>
      </c>
      <c r="F8" s="2">
        <v>2</v>
      </c>
      <c r="G8" s="2">
        <v>3</v>
      </c>
      <c r="H8" s="2" t="str">
        <f t="shared" si="0"/>
        <v>EDM</v>
      </c>
      <c r="I8" s="2" t="s">
        <v>720</v>
      </c>
      <c r="J8" s="2">
        <v>4</v>
      </c>
      <c r="K8" s="2">
        <v>3</v>
      </c>
      <c r="L8" s="2" t="str">
        <f t="shared" si="1"/>
        <v>CGY</v>
      </c>
      <c r="M8" s="3" t="s">
        <v>719</v>
      </c>
      <c r="N8" s="2">
        <f>IF(ISBLANK(Table2[[#This Row],[ActualResult]]), 0, 1)</f>
        <v>1</v>
      </c>
      <c r="O8" s="2" t="str">
        <f>IF(ISBLANK(Table2[[#This Row],[ActualResult]]), "_", IF(Table2[[#This Row],[ActualWinner]]=Table2[[#This Row],[PredictedWinner]], "Y", "N"))</f>
        <v>N</v>
      </c>
      <c r="P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8" s="2">
        <v>1</v>
      </c>
      <c r="S8" s="2" t="str">
        <f t="shared" si="2"/>
        <v>EDM</v>
      </c>
      <c r="T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" s="2">
        <f>IF(Table2[[#This Row],[InterConf]]=1,IF(Table2[[#This Row],[InterDiv]]=0, 1, 0), 0)</f>
        <v>0</v>
      </c>
      <c r="W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" s="2"/>
      <c r="Y8" s="2"/>
      <c r="Z8" s="145">
        <f>IF(AND(Table2[[#This Row],[GameIsOver]]=1,Table2[[#This Row],[ActualHomeScore]]*Table2[[#This Row],[ActualAwayScore]]=0), 1,0)</f>
        <v>0</v>
      </c>
      <c r="AA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8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8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0.86</v>
      </c>
      <c r="AE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" s="2">
        <f>Table2[[#This Row],[ActualAwayScore]]-Table2[[#This Row],[PredictedAwayScore]]</f>
        <v>2</v>
      </c>
      <c r="AG8" s="2">
        <f>Table2[[#This Row],[ActualHomeScore]]-Table2[[#This Row],[PredictedHomeScore]]</f>
        <v>0</v>
      </c>
      <c r="AH8" s="2">
        <f t="shared" si="3"/>
        <v>5</v>
      </c>
      <c r="AI8" s="2">
        <f t="shared" si="4"/>
        <v>-2</v>
      </c>
      <c r="AJ8" s="2">
        <v>2</v>
      </c>
      <c r="AK8" s="3">
        <v>45938</v>
      </c>
      <c r="AL8" s="2">
        <f>IF(Table2[[#This Row],[GameIsOver]]=0,0,IF(Table2[[#This Row],[ActualWinner]]=Table2[[#This Row],[AwayTeam]], 1, 0))</f>
        <v>1</v>
      </c>
      <c r="AM8" s="2">
        <f>IF(Table2[[#This Row],[GameIsOver]]=0,0,IF(Table2[[#This Row],[ActualWinner]]=Table2[[#This Row],[HomeTeam]], 1, 0))</f>
        <v>0</v>
      </c>
      <c r="AN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" s="2" t="str">
        <f>INDEX(Sheet5!$B$2:$AG$33, MATCH(Table2[[#This Row],[AwayTeam]],Sheet5!$A$2:$A$33, 0), MATCH(Table2[[#This Row],[HomeTeam]],Sheet5!$A$2:$A$33, 0))</f>
        <v>1-0-0</v>
      </c>
      <c r="AP8" s="2" t="str">
        <f>INDEX(Sheet5!$B$2:$AG$33, MATCH(Table2[[#This Row],[HomeTeam]],Sheet5!$A$2:$A$33, 0), MATCH(Table2[[#This Row],[AwayTeam]],Sheet5!$A$2:$A$33, 0))</f>
        <v>0-0-1</v>
      </c>
      <c r="AQ8" s="2">
        <f>IF(Table2[[#This Row],[GameHasShutOut]], 1, 0)</f>
        <v>0</v>
      </c>
      <c r="AR8" s="2">
        <f>IF(Table2[[#This Row],[ActualAwayScore]] + Table2[[#This Row],[ActualHomeScore]] &gt;= 10, 1, 0)</f>
        <v>0</v>
      </c>
      <c r="AS8" s="2">
        <f>IF(ABS(Table2[[#This Row],[ActualAwayScore]]-Table2[[#This Row],[ActualHomeScore]])&gt;=5, 1, 0)</f>
        <v>0</v>
      </c>
      <c r="AT8" s="2">
        <f>IF(Table2[[#This Row],[ActualAwayScore]] + Table2[[#This Row],[ActualHomeScore]] &lt;= 3, 1, 0)</f>
        <v>0</v>
      </c>
      <c r="AU8" s="2"/>
      <c r="AV8" s="2"/>
      <c r="BH8" t="s">
        <v>133</v>
      </c>
      <c r="BI8">
        <v>55</v>
      </c>
      <c r="BK8" s="57"/>
      <c r="BL8" t="s">
        <v>123</v>
      </c>
      <c r="BM8">
        <f>COUNTIFS($O$3:$O$1315, "Y", $M$3:$M$1315, "SO")</f>
        <v>2</v>
      </c>
      <c r="BP8" s="57"/>
      <c r="BR8" s="2">
        <v>3</v>
      </c>
      <c r="BS8" s="110" cm="1">
        <f t="array" ref="BS8">SUM(--(ABS($F$3:$F$1315 - $J$3:$J$1315) = $BR8))</f>
        <v>20</v>
      </c>
      <c r="BT8" s="111">
        <f t="shared" si="7"/>
        <v>0.18691588785046728</v>
      </c>
      <c r="BU8" s="112" cm="1">
        <f t="array" ref="BU8">SUM(--(ABS($G$3:$G$1315 - $K$3:$K$1315) = $BR8))</f>
        <v>14</v>
      </c>
      <c r="BV8" s="113">
        <f t="shared" si="8"/>
        <v>0.13084112149532709</v>
      </c>
      <c r="BW8" s="109">
        <f t="shared" si="5"/>
        <v>34</v>
      </c>
      <c r="BX8" s="114">
        <f t="shared" si="6"/>
        <v>0.15887850467289719</v>
      </c>
      <c r="CD8" t="s">
        <v>483</v>
      </c>
    </row>
    <row r="9" spans="1:82" x14ac:dyDescent="0.25">
      <c r="A9" s="141">
        <v>45938</v>
      </c>
      <c r="B9" s="141">
        <v>45938</v>
      </c>
      <c r="C9" s="142">
        <v>2025020007</v>
      </c>
      <c r="D9" s="143" t="s">
        <v>27</v>
      </c>
      <c r="E9" s="143" t="s">
        <v>26</v>
      </c>
      <c r="F9" s="143">
        <v>3</v>
      </c>
      <c r="G9" s="143">
        <v>4</v>
      </c>
      <c r="H9" s="143" t="str">
        <f t="shared" si="0"/>
        <v>VGK</v>
      </c>
      <c r="I9" s="143" t="s">
        <v>720</v>
      </c>
      <c r="J9" s="143">
        <v>6</v>
      </c>
      <c r="K9" s="143">
        <v>5</v>
      </c>
      <c r="L9" s="143" t="str">
        <f t="shared" si="1"/>
        <v>LAK</v>
      </c>
      <c r="M9" s="141" t="s">
        <v>719</v>
      </c>
      <c r="N9" s="143">
        <f>IF(ISBLANK(Table2[[#This Row],[ActualResult]]), 0, 1)</f>
        <v>1</v>
      </c>
      <c r="O9" s="143" t="str">
        <f>IF(ISBLANK(Table2[[#This Row],[ActualResult]]), "_", IF(Table2[[#This Row],[ActualWinner]]=Table2[[#This Row],[PredictedWinner]], "Y", "N"))</f>
        <v>N</v>
      </c>
      <c r="P9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" s="143">
        <v>0</v>
      </c>
      <c r="S9" s="143" t="str">
        <f t="shared" si="2"/>
        <v>VGK</v>
      </c>
      <c r="T9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" s="143">
        <f>IF(Table2[[#This Row],[InterConf]]=1,IF(Table2[[#This Row],[InterDiv]]=0, 1, 0), 0)</f>
        <v>0</v>
      </c>
      <c r="W9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" s="143"/>
      <c r="Y9" s="143"/>
      <c r="Z9" s="149">
        <f>IF(AND(Table2[[#This Row],[GameIsOver]]=1,Table2[[#This Row],[ActualHomeScore]]*Table2[[#This Row],[ActualAwayScore]]=0), 1,0)</f>
        <v>0</v>
      </c>
      <c r="AA9" s="149">
        <f>IF(Table2[[#This Row],[GameIsOver]]=0,0, IF(Table2[[#This Row],[ActualWinner]]=Table2[[#This Row],[AwayTeam]], 2, IF(OR(Table2[[#This Row],[ActualResult]]="OT", Table2[[#This Row],[ActualResult]]="SO"), 1, 0)))</f>
        <v>2</v>
      </c>
      <c r="AB9" s="149">
        <f>IF(Table2[[#This Row],[GameIsOver]]= 0, 0, IF(Table2[[#This Row],[ActualWinner]]=Table2[[#This Row],[HomeTeam]], 2, IF(OR(Table2[[#This Row],[ActualResult]]="OT", Table2[[#This Row],[ActualResult]]="SO"), 1, 0)))</f>
        <v>1</v>
      </c>
      <c r="AC9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0.76</v>
      </c>
      <c r="AE9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" s="143">
        <f>Table2[[#This Row],[ActualAwayScore]]-Table2[[#This Row],[PredictedAwayScore]]</f>
        <v>3</v>
      </c>
      <c r="AG9" s="143">
        <f>Table2[[#This Row],[ActualHomeScore]]-Table2[[#This Row],[PredictedHomeScore]]</f>
        <v>1</v>
      </c>
      <c r="AH9" s="143">
        <f t="shared" si="3"/>
        <v>5</v>
      </c>
      <c r="AI9" s="143">
        <f t="shared" si="4"/>
        <v>-2</v>
      </c>
      <c r="AJ9" s="143"/>
      <c r="AK9" s="143"/>
      <c r="AL9" s="143">
        <f>IF(Table2[[#This Row],[GameIsOver]]=0,0,IF(Table2[[#This Row],[ActualWinner]]=Table2[[#This Row],[AwayTeam]], 1, 0))</f>
        <v>1</v>
      </c>
      <c r="AM9" s="143">
        <f>IF(Table2[[#This Row],[GameIsOver]]=0,0,IF(Table2[[#This Row],[ActualWinner]]=Table2[[#This Row],[HomeTeam]], 1, 0))</f>
        <v>0</v>
      </c>
      <c r="AN9" s="143">
        <f>IF(IFERROR(FIND(Table2[[#This Row],[AwayTeam]], _xlfn.TEXTJOIN(";", 1, $BD$31:$BD$40)), 0) &gt; 0, 1, 0) + IF(IFERROR(FIND(Table2[[#This Row],[HomeTeam]], _xlfn.TEXTJOIN(";", 1, $BD$31:$BD$40)), 0) &gt; 0, 1, 0)</f>
        <v>1</v>
      </c>
      <c r="AO9" s="143" t="str">
        <f>INDEX(Sheet5!$B$2:$AG$33, MATCH(Table2[[#This Row],[AwayTeam]],Sheet5!$A$2:$A$33, 0), MATCH(Table2[[#This Row],[HomeTeam]],Sheet5!$A$2:$A$33, 0))</f>
        <v>1-0-0</v>
      </c>
      <c r="AP9" s="143" t="str">
        <f>INDEX(Sheet5!$B$2:$AG$33, MATCH(Table2[[#This Row],[HomeTeam]],Sheet5!$A$2:$A$33, 0), MATCH(Table2[[#This Row],[AwayTeam]],Sheet5!$A$2:$A$33, 0))</f>
        <v>0-0-1</v>
      </c>
      <c r="AQ9" s="143">
        <f>IF(Table2[[#This Row],[GameHasShutOut]], 1, 0)</f>
        <v>0</v>
      </c>
      <c r="AR9" s="143">
        <f>IF(Table2[[#This Row],[ActualAwayScore]] + Table2[[#This Row],[ActualHomeScore]] &gt;= 10, 1, 0)</f>
        <v>1</v>
      </c>
      <c r="AS9" s="143">
        <f>IF(ABS(Table2[[#This Row],[ActualAwayScore]]-Table2[[#This Row],[ActualHomeScore]])&gt;=5, 1, 0)</f>
        <v>0</v>
      </c>
      <c r="AT9" s="143">
        <f>IF(Table2[[#This Row],[ActualAwayScore]] + Table2[[#This Row],[ActualHomeScore]] &lt;= 3, 1, 0)</f>
        <v>0</v>
      </c>
      <c r="AU9" s="2"/>
      <c r="AV9" s="2"/>
      <c r="BC9" t="s">
        <v>438</v>
      </c>
      <c r="BD9" s="23">
        <f>SUMIF($N$3:$N$1315,1, $AC$3:$AC$1315)</f>
        <v>51.699999999999967</v>
      </c>
      <c r="BH9" t="s">
        <v>134</v>
      </c>
      <c r="BI9">
        <v>40</v>
      </c>
      <c r="BK9" s="57"/>
      <c r="BL9" t="s">
        <v>124</v>
      </c>
      <c r="BM9">
        <f>COUNTIFS($O$3:$O$1315, "N", $M$3:$M$1315, "SO")</f>
        <v>4</v>
      </c>
      <c r="BP9" s="57"/>
      <c r="BR9" s="2">
        <v>4</v>
      </c>
      <c r="BS9" s="110" cm="1">
        <f t="array" ref="BS9">SUM(--(ABS($F$3:$F$1315 - $J$3:$J$1315) = $BR9))</f>
        <v>7</v>
      </c>
      <c r="BT9" s="111">
        <f t="shared" si="7"/>
        <v>6.5420560747663545E-2</v>
      </c>
      <c r="BU9" s="112" cm="1">
        <f t="array" ref="BU9">SUM(--(ABS($G$3:$G$1315 - $K$3:$K$1315) = $BR9))</f>
        <v>10</v>
      </c>
      <c r="BV9" s="113">
        <f t="shared" si="8"/>
        <v>9.3457943925233641E-2</v>
      </c>
      <c r="BW9" s="109">
        <f t="shared" si="5"/>
        <v>17</v>
      </c>
      <c r="BX9" s="114">
        <f t="shared" si="6"/>
        <v>7.9439252336448593E-2</v>
      </c>
      <c r="CD9" t="s">
        <v>484</v>
      </c>
    </row>
    <row r="10" spans="1:82" ht="15.75" thickBot="1" x14ac:dyDescent="0.3">
      <c r="A10" s="3">
        <v>45939</v>
      </c>
      <c r="B10" s="3">
        <v>45939</v>
      </c>
      <c r="C10" s="5">
        <v>2025020008</v>
      </c>
      <c r="D10" s="2" t="s">
        <v>16</v>
      </c>
      <c r="E10" s="2" t="s">
        <v>15</v>
      </c>
      <c r="F10" s="2">
        <v>3</v>
      </c>
      <c r="G10" s="2">
        <v>4</v>
      </c>
      <c r="H10" s="2" t="str">
        <f t="shared" si="0"/>
        <v>BOS</v>
      </c>
      <c r="I10" s="2" t="s">
        <v>719</v>
      </c>
      <c r="J10" s="2">
        <v>3</v>
      </c>
      <c r="K10" s="2">
        <v>4</v>
      </c>
      <c r="L10" s="2" t="str">
        <f t="shared" si="1"/>
        <v>BOS</v>
      </c>
      <c r="M10" s="3" t="s">
        <v>720</v>
      </c>
      <c r="N10" s="2">
        <f>IF(ISBLANK(Table2[[#This Row],[ActualResult]]), 0, 1)</f>
        <v>1</v>
      </c>
      <c r="O10" s="2" t="str">
        <f>IF(ISBLANK(Table2[[#This Row],[ActualResult]]), "_", IF(Table2[[#This Row],[ActualWinner]]=Table2[[#This Row],[PredictedWinner]], "Y", "N"))</f>
        <v>Y</v>
      </c>
      <c r="P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0" s="2">
        <v>1</v>
      </c>
      <c r="S10" s="2" t="str">
        <f t="shared" si="2"/>
        <v>CHI</v>
      </c>
      <c r="T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" s="2">
        <f>IF(Table2[[#This Row],[InterConf]]=1,IF(Table2[[#This Row],[InterDiv]]=0, 1, 0), 0)</f>
        <v>0</v>
      </c>
      <c r="W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" s="2"/>
      <c r="Y10" s="2"/>
      <c r="Z10" s="145">
        <f>IF(AND(Table2[[#This Row],[GameIsOver]]=1,Table2[[#This Row],[ActualHomeScore]]*Table2[[#This Row],[ActualAwayScore]]=0), 1,0)</f>
        <v>0</v>
      </c>
      <c r="AA10" s="145">
        <f>IF(Table2[[#This Row],[GameIsOver]]=0,0, IF(Table2[[#This Row],[ActualWinner]]=Table2[[#This Row],[AwayTeam]], 2, IF(OR(Table2[[#This Row],[ActualResult]]="OT", Table2[[#This Row],[ActualResult]]="SO"), 1, 0)))</f>
        <v>1</v>
      </c>
      <c r="AB1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0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" s="2">
        <f>Table2[[#This Row],[ActualAwayScore]]-Table2[[#This Row],[PredictedAwayScore]]</f>
        <v>0</v>
      </c>
      <c r="AG10" s="2">
        <f>Table2[[#This Row],[ActualHomeScore]]-Table2[[#This Row],[PredictedHomeScore]]</f>
        <v>0</v>
      </c>
      <c r="AH10" s="2">
        <f t="shared" si="3"/>
        <v>1</v>
      </c>
      <c r="AI10" s="2">
        <f t="shared" si="4"/>
        <v>-16</v>
      </c>
      <c r="AJ10" s="2">
        <v>1</v>
      </c>
      <c r="AK10" s="3">
        <v>45939</v>
      </c>
      <c r="AL10" s="2">
        <f>IF(Table2[[#This Row],[GameIsOver]]=0,0,IF(Table2[[#This Row],[ActualWinner]]=Table2[[#This Row],[AwayTeam]], 1, 0))</f>
        <v>0</v>
      </c>
      <c r="AM10" s="2">
        <f>IF(Table2[[#This Row],[GameIsOver]]=0,0,IF(Table2[[#This Row],[ActualWinner]]=Table2[[#This Row],[HomeTeam]], 1, 0))</f>
        <v>1</v>
      </c>
      <c r="AN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" s="2" t="str">
        <f>INDEX(Sheet5!$B$2:$AG$33, MATCH(Table2[[#This Row],[AwayTeam]],Sheet5!$A$2:$A$33, 0), MATCH(Table2[[#This Row],[HomeTeam]],Sheet5!$A$2:$A$33, 0))</f>
        <v>0-0-1</v>
      </c>
      <c r="AP10" s="2" t="str">
        <f>INDEX(Sheet5!$B$2:$AG$33, MATCH(Table2[[#This Row],[HomeTeam]],Sheet5!$A$2:$A$33, 0), MATCH(Table2[[#This Row],[AwayTeam]],Sheet5!$A$2:$A$33, 0))</f>
        <v>1-0-0</v>
      </c>
      <c r="AQ10" s="2">
        <f>IF(Table2[[#This Row],[GameHasShutOut]], 1, 0)</f>
        <v>0</v>
      </c>
      <c r="AR10" s="2">
        <f>IF(Table2[[#This Row],[ActualAwayScore]] + Table2[[#This Row],[ActualHomeScore]] &gt;= 10, 1, 0)</f>
        <v>0</v>
      </c>
      <c r="AS10" s="2">
        <f>IF(ABS(Table2[[#This Row],[ActualAwayScore]]-Table2[[#This Row],[ActualHomeScore]])&gt;=5, 1, 0)</f>
        <v>0</v>
      </c>
      <c r="AT10" s="2">
        <f>IF(Table2[[#This Row],[ActualAwayScore]] + Table2[[#This Row],[ActualHomeScore]] &lt;= 3, 1, 0)</f>
        <v>0</v>
      </c>
      <c r="AU10" s="2"/>
      <c r="AV10" s="2"/>
      <c r="BC10" t="s">
        <v>439</v>
      </c>
      <c r="BD10" s="23">
        <f>BD9/$BD$4</f>
        <v>0.48317757009345763</v>
      </c>
      <c r="BH10" t="s">
        <v>136</v>
      </c>
      <c r="BI10">
        <v>75</v>
      </c>
      <c r="BK10" s="57"/>
      <c r="BP10" s="57"/>
      <c r="BR10" s="2">
        <v>5</v>
      </c>
      <c r="BS10" s="110" cm="1">
        <f t="array" ref="BS10">SUM(--(ABS($F$3:$F$1315 - $J$3:$J$1315) = $BR10))</f>
        <v>1</v>
      </c>
      <c r="BT10" s="111">
        <f t="shared" si="7"/>
        <v>9.3457943925233638E-3</v>
      </c>
      <c r="BU10" s="112" cm="1">
        <f t="array" ref="BU10">SUM(--(ABS($G$3:$G$1315 - $K$3:$K$1315) = $BR10))</f>
        <v>0</v>
      </c>
      <c r="BV10" s="113">
        <f t="shared" si="8"/>
        <v>0</v>
      </c>
      <c r="BW10" s="109">
        <f t="shared" si="5"/>
        <v>1</v>
      </c>
      <c r="BX10" s="114">
        <f t="shared" si="6"/>
        <v>4.6728971962616819E-3</v>
      </c>
    </row>
    <row r="11" spans="1:82" ht="15.75" thickBot="1" x14ac:dyDescent="0.3">
      <c r="A11" s="3">
        <v>45939</v>
      </c>
      <c r="B11" s="3">
        <v>45939</v>
      </c>
      <c r="C11" s="5">
        <v>2025020009</v>
      </c>
      <c r="D11" s="2" t="s">
        <v>19</v>
      </c>
      <c r="E11" s="2" t="s">
        <v>28</v>
      </c>
      <c r="F11" s="2">
        <v>3</v>
      </c>
      <c r="G11" s="2">
        <v>6</v>
      </c>
      <c r="H11" s="2" t="str">
        <f t="shared" si="0"/>
        <v>BUF</v>
      </c>
      <c r="I11" s="2" t="s">
        <v>718</v>
      </c>
      <c r="J11" s="2">
        <v>4</v>
      </c>
      <c r="K11" s="2">
        <v>0</v>
      </c>
      <c r="L11" s="2" t="str">
        <f t="shared" si="1"/>
        <v>NYR</v>
      </c>
      <c r="M11" s="3" t="s">
        <v>718</v>
      </c>
      <c r="N11" s="2">
        <f>IF(ISBLANK(Table2[[#This Row],[ActualResult]]), 0, 1)</f>
        <v>1</v>
      </c>
      <c r="O11" s="2" t="str">
        <f>IF(ISBLANK(Table2[[#This Row],[ActualResult]]), "_", IF(Table2[[#This Row],[ActualWinner]]=Table2[[#This Row],[PredictedWinner]], "Y", "N"))</f>
        <v>N</v>
      </c>
      <c r="P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" s="2">
        <v>0</v>
      </c>
      <c r="S11" s="2" t="str">
        <f t="shared" si="2"/>
        <v>BUF</v>
      </c>
      <c r="T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" s="2">
        <f>IF(Table2[[#This Row],[InterConf]]=1,IF(Table2[[#This Row],[InterDiv]]=0, 1, 0), 0)</f>
        <v>1</v>
      </c>
      <c r="W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" s="2"/>
      <c r="Y11" s="2"/>
      <c r="Z11" s="145">
        <f>IF(AND(Table2[[#This Row],[GameIsOver]]=1,Table2[[#This Row],[ActualHomeScore]]*Table2[[#This Row],[ActualAwayScore]]=0), 1,0)</f>
        <v>1</v>
      </c>
      <c r="AA1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" s="2">
        <f>Table2[[#This Row],[ActualAwayScore]]-Table2[[#This Row],[PredictedAwayScore]]</f>
        <v>1</v>
      </c>
      <c r="AG11" s="2">
        <f>Table2[[#This Row],[ActualHomeScore]]-Table2[[#This Row],[PredictedHomeScore]]</f>
        <v>-6</v>
      </c>
      <c r="AH11" s="2">
        <f t="shared" si="3"/>
        <v>1</v>
      </c>
      <c r="AI11" s="2">
        <f t="shared" si="4"/>
        <v>-16</v>
      </c>
      <c r="AJ11" s="2"/>
      <c r="AK11" s="2"/>
      <c r="AL11" s="2">
        <f>IF(Table2[[#This Row],[GameIsOver]]=0,0,IF(Table2[[#This Row],[ActualWinner]]=Table2[[#This Row],[AwayTeam]], 1, 0))</f>
        <v>1</v>
      </c>
      <c r="AM11" s="2">
        <f>IF(Table2[[#This Row],[GameIsOver]]=0,0,IF(Table2[[#This Row],[ActualWinner]]=Table2[[#This Row],[HomeTeam]], 1, 0))</f>
        <v>0</v>
      </c>
      <c r="AN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" s="2" t="str">
        <f>INDEX(Sheet5!$B$2:$AG$33, MATCH(Table2[[#This Row],[AwayTeam]],Sheet5!$A$2:$A$33, 0), MATCH(Table2[[#This Row],[HomeTeam]],Sheet5!$A$2:$A$33, 0))</f>
        <v>1-0-0</v>
      </c>
      <c r="AP11" s="2" t="str">
        <f>INDEX(Sheet5!$B$2:$AG$33, MATCH(Table2[[#This Row],[HomeTeam]],Sheet5!$A$2:$A$33, 0), MATCH(Table2[[#This Row],[AwayTeam]],Sheet5!$A$2:$A$33, 0))</f>
        <v>0-1-0</v>
      </c>
      <c r="AQ11" s="2">
        <f>IF(Table2[[#This Row],[GameHasShutOut]], 1, 0)</f>
        <v>1</v>
      </c>
      <c r="AR11" s="2">
        <f>IF(Table2[[#This Row],[ActualAwayScore]] + Table2[[#This Row],[ActualHomeScore]] &gt;= 10, 1, 0)</f>
        <v>0</v>
      </c>
      <c r="AS11" s="2">
        <f>IF(ABS(Table2[[#This Row],[ActualAwayScore]]-Table2[[#This Row],[ActualHomeScore]])&gt;=5, 1, 0)</f>
        <v>0</v>
      </c>
      <c r="AT11" s="2">
        <f>IF(Table2[[#This Row],[ActualAwayScore]] + Table2[[#This Row],[ActualHomeScore]] &lt;= 3, 1, 0)</f>
        <v>0</v>
      </c>
      <c r="AU11" s="2"/>
      <c r="AV11" s="2"/>
      <c r="BA11" t="s">
        <v>446</v>
      </c>
      <c r="BC11" t="s">
        <v>440</v>
      </c>
      <c r="BD11" s="23">
        <f>$BF$11*($BD$5)</f>
        <v>48</v>
      </c>
      <c r="BF11">
        <f>80/100</f>
        <v>0.8</v>
      </c>
      <c r="BH11" t="s">
        <v>135</v>
      </c>
      <c r="BI11">
        <v>65</v>
      </c>
      <c r="BK11" s="57"/>
      <c r="BL11" s="163" t="str">
        <f>_xlfn.CONCAT(TEXT(BM4+BM6+BM8, "0"),"-",TEXT(BM5, "0"),"-",TEXT(BM7+BM9, "0"))</f>
        <v>60-37-10</v>
      </c>
      <c r="BM11" s="164"/>
      <c r="BN11" t="s">
        <v>528</v>
      </c>
      <c r="BP11" s="57"/>
      <c r="BR11" s="2">
        <v>6</v>
      </c>
      <c r="BS11" s="110" cm="1">
        <f t="array" ref="BS11">SUM(--(ABS($F$3:$F$1315 - $J$3:$J$1315) = $BR11))</f>
        <v>1</v>
      </c>
      <c r="BT11" s="111">
        <f t="shared" si="7"/>
        <v>9.3457943925233638E-3</v>
      </c>
      <c r="BU11" s="112" cm="1">
        <f t="array" ref="BU11">SUM(--(ABS($G$3:$G$1315 - $K$3:$K$1315) = $BR11))</f>
        <v>1</v>
      </c>
      <c r="BV11" s="113">
        <f t="shared" si="8"/>
        <v>9.3457943925233638E-3</v>
      </c>
      <c r="BW11" s="109">
        <f t="shared" si="5"/>
        <v>2</v>
      </c>
      <c r="BX11" s="114">
        <f t="shared" si="6"/>
        <v>9.3457943925233638E-3</v>
      </c>
    </row>
    <row r="12" spans="1:82" ht="15.75" thickBot="1" x14ac:dyDescent="0.3">
      <c r="A12" s="3">
        <v>45939</v>
      </c>
      <c r="B12" s="3">
        <v>45939</v>
      </c>
      <c r="C12" s="5">
        <v>2025020010</v>
      </c>
      <c r="D12" s="2" t="s">
        <v>18</v>
      </c>
      <c r="E12" s="2" t="s">
        <v>30</v>
      </c>
      <c r="F12" s="2">
        <v>3</v>
      </c>
      <c r="G12" s="2">
        <v>2</v>
      </c>
      <c r="H12" s="2" t="str">
        <f t="shared" si="0"/>
        <v>MTL</v>
      </c>
      <c r="I12" s="2" t="s">
        <v>718</v>
      </c>
      <c r="J12" s="2">
        <v>5</v>
      </c>
      <c r="K12" s="2">
        <v>1</v>
      </c>
      <c r="L12" s="2" t="str">
        <f t="shared" si="1"/>
        <v>MTL</v>
      </c>
      <c r="M12" s="3" t="s">
        <v>718</v>
      </c>
      <c r="N12" s="2">
        <f>IF(ISBLANK(Table2[[#This Row],[ActualResult]]), 0, 1)</f>
        <v>1</v>
      </c>
      <c r="O12" s="2" t="str">
        <f>IF(ISBLANK(Table2[[#This Row],[ActualResult]]), "_", IF(Table2[[#This Row],[ActualWinner]]=Table2[[#This Row],[PredictedWinner]], "Y", "N"))</f>
        <v>Y</v>
      </c>
      <c r="P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" s="2">
        <v>1</v>
      </c>
      <c r="S12" s="2" t="str">
        <f t="shared" si="2"/>
        <v>DET</v>
      </c>
      <c r="T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" s="2">
        <f>IF(Table2[[#This Row],[InterConf]]=1,IF(Table2[[#This Row],[InterDiv]]=0, 1, 0), 0)</f>
        <v>0</v>
      </c>
      <c r="W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" s="2"/>
      <c r="Y12" s="2"/>
      <c r="Z12" s="145">
        <f>IF(AND(Table2[[#This Row],[GameIsOver]]=1,Table2[[#This Row],[ActualHomeScore]]*Table2[[#This Row],[ActualAwayScore]]=0), 1,0)</f>
        <v>0</v>
      </c>
      <c r="AA1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" s="2">
        <f>Table2[[#This Row],[ActualAwayScore]]-Table2[[#This Row],[PredictedAwayScore]]</f>
        <v>2</v>
      </c>
      <c r="AG12" s="2">
        <f>Table2[[#This Row],[ActualHomeScore]]-Table2[[#This Row],[PredictedHomeScore]]</f>
        <v>-1</v>
      </c>
      <c r="AH12" s="2">
        <f t="shared" si="3"/>
        <v>1</v>
      </c>
      <c r="AI12" s="2">
        <f t="shared" si="4"/>
        <v>-16</v>
      </c>
      <c r="AJ12" s="2">
        <v>2</v>
      </c>
      <c r="AK12" s="3">
        <v>45939</v>
      </c>
      <c r="AL12" s="2">
        <f>IF(Table2[[#This Row],[GameIsOver]]=0,0,IF(Table2[[#This Row],[ActualWinner]]=Table2[[#This Row],[AwayTeam]], 1, 0))</f>
        <v>1</v>
      </c>
      <c r="AM12" s="2">
        <f>IF(Table2[[#This Row],[GameIsOver]]=0,0,IF(Table2[[#This Row],[ActualWinner]]=Table2[[#This Row],[HomeTeam]], 1, 0))</f>
        <v>0</v>
      </c>
      <c r="AN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" s="2" t="str">
        <f>INDEX(Sheet5!$B$2:$AG$33, MATCH(Table2[[#This Row],[AwayTeam]],Sheet5!$A$2:$A$33, 0), MATCH(Table2[[#This Row],[HomeTeam]],Sheet5!$A$2:$A$33, 0))</f>
        <v>1-0-0</v>
      </c>
      <c r="AP12" s="2" t="str">
        <f>INDEX(Sheet5!$B$2:$AG$33, MATCH(Table2[[#This Row],[HomeTeam]],Sheet5!$A$2:$A$33, 0), MATCH(Table2[[#This Row],[AwayTeam]],Sheet5!$A$2:$A$33, 0))</f>
        <v>0-1-0</v>
      </c>
      <c r="AQ12" s="2">
        <f>IF(Table2[[#This Row],[GameHasShutOut]], 1, 0)</f>
        <v>0</v>
      </c>
      <c r="AR12" s="2">
        <f>IF(Table2[[#This Row],[ActualAwayScore]] + Table2[[#This Row],[ActualHomeScore]] &gt;= 10, 1, 0)</f>
        <v>0</v>
      </c>
      <c r="AS12" s="2">
        <f>IF(ABS(Table2[[#This Row],[ActualAwayScore]]-Table2[[#This Row],[ActualHomeScore]])&gt;=5, 1, 0)</f>
        <v>0</v>
      </c>
      <c r="AT12" s="2">
        <f>IF(Table2[[#This Row],[ActualAwayScore]] + Table2[[#This Row],[ActualHomeScore]] &lt;= 3, 1, 0)</f>
        <v>0</v>
      </c>
      <c r="AU12" s="2"/>
      <c r="AV12" s="2"/>
      <c r="BC12" t="s">
        <v>442</v>
      </c>
      <c r="BD12" s="23">
        <f>COUNTIFS($N$3:$N$1315,1, $P$3:$P$1315, "Y")</f>
        <v>19</v>
      </c>
      <c r="BF12">
        <f>10/100</f>
        <v>0.1</v>
      </c>
      <c r="BK12" s="57"/>
      <c r="BL12" s="157" t="str">
        <f>_xlfn.CONCAT(TEXT(BM4, "0"),"-",TEXT(BM5, "0"),"-",TEXT(BM7+BM9+BM6+BM8, "0"))</f>
        <v>46-37-24</v>
      </c>
      <c r="BM12" s="158"/>
      <c r="BN12" s="58" t="s">
        <v>473</v>
      </c>
      <c r="BO12" s="58"/>
      <c r="BP12" s="59"/>
      <c r="BR12" s="2">
        <v>7</v>
      </c>
      <c r="BS12" s="110" cm="1">
        <f t="array" ref="BS12">SUM(--(ABS($F$3:$F$1315 - $J$3:$J$1315) = $BR12))</f>
        <v>0</v>
      </c>
      <c r="BT12" s="111">
        <f t="shared" si="7"/>
        <v>0</v>
      </c>
      <c r="BU12" s="112" cm="1">
        <f t="array" ref="BU12">SUM(--(ABS($G$3:$G$1315 - $K$3:$K$1315) = $BR12))</f>
        <v>0</v>
      </c>
      <c r="BV12" s="113">
        <f t="shared" si="8"/>
        <v>0</v>
      </c>
      <c r="BW12" s="109">
        <f t="shared" si="5"/>
        <v>0</v>
      </c>
      <c r="BX12" s="114">
        <f t="shared" si="6"/>
        <v>0</v>
      </c>
    </row>
    <row r="13" spans="1:82" ht="15.75" thickTop="1" x14ac:dyDescent="0.25">
      <c r="A13" s="3">
        <v>45939</v>
      </c>
      <c r="B13" s="3">
        <v>45939</v>
      </c>
      <c r="C13" s="5">
        <v>2025020011</v>
      </c>
      <c r="D13" s="2" t="s">
        <v>29</v>
      </c>
      <c r="E13" s="2" t="s">
        <v>40</v>
      </c>
      <c r="F13" s="2">
        <v>2</v>
      </c>
      <c r="G13" s="2">
        <v>5</v>
      </c>
      <c r="H13" s="2" t="str">
        <f t="shared" si="0"/>
        <v>TBL</v>
      </c>
      <c r="I13" s="2" t="s">
        <v>718</v>
      </c>
      <c r="J13" s="2">
        <v>5</v>
      </c>
      <c r="K13" s="2">
        <v>4</v>
      </c>
      <c r="L13" s="2" t="str">
        <f t="shared" si="1"/>
        <v>OTT</v>
      </c>
      <c r="M13" s="3" t="s">
        <v>718</v>
      </c>
      <c r="N13" s="2">
        <f>IF(ISBLANK(Table2[[#This Row],[ActualResult]]), 0, 1)</f>
        <v>1</v>
      </c>
      <c r="O13" s="2" t="str">
        <f>IF(ISBLANK(Table2[[#This Row],[ActualResult]]), "_", IF(Table2[[#This Row],[ActualWinner]]=Table2[[#This Row],[PredictedWinner]], "Y", "N"))</f>
        <v>N</v>
      </c>
      <c r="P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3" s="2">
        <v>1</v>
      </c>
      <c r="S13" s="2" t="str">
        <f t="shared" si="2"/>
        <v>TBL</v>
      </c>
      <c r="T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" s="2">
        <f>IF(Table2[[#This Row],[InterConf]]=1,IF(Table2[[#This Row],[InterDiv]]=0, 1, 0), 0)</f>
        <v>0</v>
      </c>
      <c r="W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" s="2"/>
      <c r="Y13" s="2"/>
      <c r="Z13" s="145">
        <f>IF(AND(Table2[[#This Row],[GameIsOver]]=1,Table2[[#This Row],[ActualHomeScore]]*Table2[[#This Row],[ActualAwayScore]]=0), 1,0)</f>
        <v>0</v>
      </c>
      <c r="AA1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3" s="2">
        <f>Table2[[#This Row],[ActualAwayScore]]-Table2[[#This Row],[PredictedAwayScore]]</f>
        <v>3</v>
      </c>
      <c r="AG13" s="2">
        <f>Table2[[#This Row],[ActualHomeScore]]-Table2[[#This Row],[PredictedHomeScore]]</f>
        <v>-1</v>
      </c>
      <c r="AH13" s="2">
        <f t="shared" si="3"/>
        <v>1</v>
      </c>
      <c r="AI13" s="2">
        <f t="shared" si="4"/>
        <v>-16</v>
      </c>
      <c r="AJ13" s="2">
        <v>3</v>
      </c>
      <c r="AK13" s="3">
        <v>45939</v>
      </c>
      <c r="AL13" s="2">
        <f>IF(Table2[[#This Row],[GameIsOver]]=0,0,IF(Table2[[#This Row],[ActualWinner]]=Table2[[#This Row],[AwayTeam]], 1, 0))</f>
        <v>1</v>
      </c>
      <c r="AM13" s="2">
        <f>IF(Table2[[#This Row],[GameIsOver]]=0,0,IF(Table2[[#This Row],[ActualWinner]]=Table2[[#This Row],[HomeTeam]], 1, 0))</f>
        <v>0</v>
      </c>
      <c r="AN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" s="2" t="str">
        <f>INDEX(Sheet5!$B$2:$AG$33, MATCH(Table2[[#This Row],[AwayTeam]],Sheet5!$A$2:$A$33, 0), MATCH(Table2[[#This Row],[HomeTeam]],Sheet5!$A$2:$A$33, 0))</f>
        <v>1-0-0</v>
      </c>
      <c r="AP13" s="2" t="str">
        <f>INDEX(Sheet5!$B$2:$AG$33, MATCH(Table2[[#This Row],[HomeTeam]],Sheet5!$A$2:$A$33, 0), MATCH(Table2[[#This Row],[AwayTeam]],Sheet5!$A$2:$A$33, 0))</f>
        <v>0-1-0</v>
      </c>
      <c r="AQ13" s="2">
        <f>IF(Table2[[#This Row],[GameHasShutOut]], 1, 0)</f>
        <v>0</v>
      </c>
      <c r="AR13" s="2">
        <f>IF(Table2[[#This Row],[ActualAwayScore]] + Table2[[#This Row],[ActualHomeScore]] &gt;= 10, 1, 0)</f>
        <v>0</v>
      </c>
      <c r="AS13" s="2">
        <f>IF(ABS(Table2[[#This Row],[ActualAwayScore]]-Table2[[#This Row],[ActualHomeScore]])&gt;=5, 1, 0)</f>
        <v>0</v>
      </c>
      <c r="AT13" s="2">
        <f>IF(Table2[[#This Row],[ActualAwayScore]] + Table2[[#This Row],[ActualHomeScore]] &lt;= 3, 1, 0)</f>
        <v>0</v>
      </c>
      <c r="AU13" s="2"/>
      <c r="AV13" s="2"/>
      <c r="BC13" t="s">
        <v>441</v>
      </c>
      <c r="BD13" s="23">
        <f>COUNTIFS($N$3:$N$1315,1, $Q$3:$Q$1315, "Y")*$BF$13</f>
        <v>1.8</v>
      </c>
      <c r="BF13">
        <f>10/100</f>
        <v>0.1</v>
      </c>
      <c r="BH13" t="s">
        <v>157</v>
      </c>
      <c r="BI13">
        <f>SUM(BI3:BI11)</f>
        <v>535</v>
      </c>
      <c r="BR13" s="2">
        <v>8</v>
      </c>
      <c r="BS13" s="110" cm="1">
        <f t="array" ref="BS13">SUM(--(ABS($F$3:$F$1315 - $J$3:$J$1315) = $BR13))</f>
        <v>0</v>
      </c>
      <c r="BT13" s="111">
        <f t="shared" si="7"/>
        <v>0</v>
      </c>
      <c r="BU13" s="112" cm="1">
        <f t="array" ref="BU13">SUM(--(ABS($G$3:$G$1315 - $K$3:$K$1315) = $BR13))</f>
        <v>0</v>
      </c>
      <c r="BV13" s="113">
        <f t="shared" si="8"/>
        <v>0</v>
      </c>
      <c r="BW13" s="109">
        <f t="shared" si="5"/>
        <v>0</v>
      </c>
      <c r="BX13" s="114">
        <f t="shared" si="6"/>
        <v>0</v>
      </c>
    </row>
    <row r="14" spans="1:82" x14ac:dyDescent="0.25">
      <c r="A14" s="3">
        <v>45939</v>
      </c>
      <c r="B14" s="3">
        <v>45939</v>
      </c>
      <c r="C14" s="5">
        <v>2025020012</v>
      </c>
      <c r="D14" s="2" t="s">
        <v>42</v>
      </c>
      <c r="E14" s="2" t="s">
        <v>13</v>
      </c>
      <c r="F14" s="2">
        <v>1</v>
      </c>
      <c r="G14" s="2">
        <v>4</v>
      </c>
      <c r="H14" s="2" t="str">
        <f t="shared" si="0"/>
        <v>FLA</v>
      </c>
      <c r="I14" s="2" t="s">
        <v>718</v>
      </c>
      <c r="J14" s="2">
        <v>1</v>
      </c>
      <c r="K14" s="2">
        <v>2</v>
      </c>
      <c r="L14" s="2" t="str">
        <f t="shared" si="1"/>
        <v>FLA</v>
      </c>
      <c r="M14" s="3" t="s">
        <v>718</v>
      </c>
      <c r="N14" s="2">
        <f>IF(ISBLANK(Table2[[#This Row],[ActualResult]]), 0, 1)</f>
        <v>1</v>
      </c>
      <c r="O14" s="2" t="str">
        <f>IF(ISBLANK(Table2[[#This Row],[ActualResult]]), "_", IF(Table2[[#This Row],[ActualWinner]]=Table2[[#This Row],[PredictedWinner]], "Y", "N"))</f>
        <v>Y</v>
      </c>
      <c r="P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4" s="2">
        <v>0</v>
      </c>
      <c r="S14" s="2" t="str">
        <f t="shared" si="2"/>
        <v>PHI</v>
      </c>
      <c r="T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" s="2">
        <f>IF(Table2[[#This Row],[InterConf]]=1,IF(Table2[[#This Row],[InterDiv]]=0, 1, 0), 0)</f>
        <v>1</v>
      </c>
      <c r="W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" s="2"/>
      <c r="Y14" s="2"/>
      <c r="Z14" s="145">
        <f>IF(AND(Table2[[#This Row],[GameIsOver]]=1,Table2[[#This Row],[ActualHomeScore]]*Table2[[#This Row],[ActualAwayScore]]=0), 1,0)</f>
        <v>0</v>
      </c>
      <c r="AA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4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4" s="2">
        <f>Table2[[#This Row],[ActualAwayScore]]-Table2[[#This Row],[PredictedAwayScore]]</f>
        <v>0</v>
      </c>
      <c r="AG14" s="2">
        <f>Table2[[#This Row],[ActualHomeScore]]-Table2[[#This Row],[PredictedHomeScore]]</f>
        <v>-2</v>
      </c>
      <c r="AH14" s="2">
        <f t="shared" si="3"/>
        <v>1</v>
      </c>
      <c r="AI14" s="2">
        <f t="shared" si="4"/>
        <v>-16</v>
      </c>
      <c r="AJ14" s="2"/>
      <c r="AK14" s="2"/>
      <c r="AL14" s="2">
        <f>IF(Table2[[#This Row],[GameIsOver]]=0,0,IF(Table2[[#This Row],[ActualWinner]]=Table2[[#This Row],[AwayTeam]], 1, 0))</f>
        <v>0</v>
      </c>
      <c r="AM14" s="2">
        <f>IF(Table2[[#This Row],[GameIsOver]]=0,0,IF(Table2[[#This Row],[ActualWinner]]=Table2[[#This Row],[HomeTeam]], 1, 0))</f>
        <v>1</v>
      </c>
      <c r="AN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" s="2" t="str">
        <f>INDEX(Sheet5!$B$2:$AG$33, MATCH(Table2[[#This Row],[AwayTeam]],Sheet5!$A$2:$A$33, 0), MATCH(Table2[[#This Row],[HomeTeam]],Sheet5!$A$2:$A$33, 0))</f>
        <v>1-1-0</v>
      </c>
      <c r="AP14" s="2" t="str">
        <f>INDEX(Sheet5!$B$2:$AG$33, MATCH(Table2[[#This Row],[HomeTeam]],Sheet5!$A$2:$A$33, 0), MATCH(Table2[[#This Row],[AwayTeam]],Sheet5!$A$2:$A$33, 0))</f>
        <v>1-1-0</v>
      </c>
      <c r="AQ14" s="2">
        <f>IF(Table2[[#This Row],[GameHasShutOut]], 1, 0)</f>
        <v>0</v>
      </c>
      <c r="AR14" s="2">
        <f>IF(Table2[[#This Row],[ActualAwayScore]] + Table2[[#This Row],[ActualHomeScore]] &gt;= 10, 1, 0)</f>
        <v>0</v>
      </c>
      <c r="AS14" s="2">
        <f>IF(ABS(Table2[[#This Row],[ActualAwayScore]]-Table2[[#This Row],[ActualHomeScore]])&gt;=5, 1, 0)</f>
        <v>0</v>
      </c>
      <c r="AT14" s="2">
        <f>IF(Table2[[#This Row],[ActualAwayScore]] + Table2[[#This Row],[ActualHomeScore]] &lt;= 3, 1, 0)</f>
        <v>1</v>
      </c>
      <c r="AU14" s="2"/>
      <c r="AV14" s="2"/>
      <c r="BR14" s="2">
        <v>9</v>
      </c>
      <c r="BS14" s="110" cm="1">
        <f t="array" ref="BS14">SUM(--(ABS($F$3:$F$1315 - $J$3:$J$1315) = $BR14))</f>
        <v>0</v>
      </c>
      <c r="BT14" s="111">
        <f t="shared" si="7"/>
        <v>0</v>
      </c>
      <c r="BU14" s="112" cm="1">
        <f t="array" ref="BU14">SUM(--(ABS($G$3:$G$1315 - $K$3:$K$1315) = $BR14))</f>
        <v>0</v>
      </c>
      <c r="BV14" s="113">
        <f t="shared" si="8"/>
        <v>0</v>
      </c>
      <c r="BW14" s="109">
        <f t="shared" si="5"/>
        <v>0</v>
      </c>
      <c r="BX14" s="114">
        <f t="shared" si="6"/>
        <v>0</v>
      </c>
    </row>
    <row r="15" spans="1:82" x14ac:dyDescent="0.25">
      <c r="A15" s="3">
        <v>45939</v>
      </c>
      <c r="B15" s="3">
        <v>45939</v>
      </c>
      <c r="C15" s="5">
        <v>2025020013</v>
      </c>
      <c r="D15" s="2" t="s">
        <v>32</v>
      </c>
      <c r="E15" s="2" t="s">
        <v>20</v>
      </c>
      <c r="F15" s="2">
        <v>2</v>
      </c>
      <c r="G15" s="2">
        <v>4</v>
      </c>
      <c r="H15" s="2" t="str">
        <f t="shared" si="0"/>
        <v>PIT</v>
      </c>
      <c r="I15" s="2" t="s">
        <v>718</v>
      </c>
      <c r="J15" s="2">
        <v>3</v>
      </c>
      <c r="K15" s="2">
        <v>4</v>
      </c>
      <c r="L15" s="2" t="str">
        <f t="shared" si="1"/>
        <v>PIT</v>
      </c>
      <c r="M15" s="3" t="s">
        <v>718</v>
      </c>
      <c r="N15" s="2">
        <f>IF(ISBLANK(Table2[[#This Row],[ActualResult]]), 0, 1)</f>
        <v>1</v>
      </c>
      <c r="O15" s="2" t="str">
        <f>IF(ISBLANK(Table2[[#This Row],[ActualResult]]), "_", IF(Table2[[#This Row],[ActualWinner]]=Table2[[#This Row],[PredictedWinner]], "Y", "N"))</f>
        <v>Y</v>
      </c>
      <c r="P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5" s="2">
        <v>0</v>
      </c>
      <c r="S15" s="2" t="str">
        <f t="shared" si="2"/>
        <v>NYI</v>
      </c>
      <c r="T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" s="2">
        <f>IF(Table2[[#This Row],[InterConf]]=1,IF(Table2[[#This Row],[InterDiv]]=0, 1, 0), 0)</f>
        <v>0</v>
      </c>
      <c r="W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" s="2"/>
      <c r="Y15" s="2"/>
      <c r="Z15" s="145">
        <f>IF(AND(Table2[[#This Row],[GameIsOver]]=1,Table2[[#This Row],[ActualHomeScore]]*Table2[[#This Row],[ActualAwayScore]]=0), 1,0)</f>
        <v>0</v>
      </c>
      <c r="AA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5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5" s="2">
        <f>Table2[[#This Row],[ActualAwayScore]]-Table2[[#This Row],[PredictedAwayScore]]</f>
        <v>1</v>
      </c>
      <c r="AG15" s="2">
        <f>Table2[[#This Row],[ActualHomeScore]]-Table2[[#This Row],[PredictedHomeScore]]</f>
        <v>0</v>
      </c>
      <c r="AH15" s="2">
        <f t="shared" si="3"/>
        <v>1</v>
      </c>
      <c r="AI15" s="2">
        <f t="shared" si="4"/>
        <v>-16</v>
      </c>
      <c r="AJ15" s="2"/>
      <c r="AK15" s="2"/>
      <c r="AL15" s="2">
        <f>IF(Table2[[#This Row],[GameIsOver]]=0,0,IF(Table2[[#This Row],[ActualWinner]]=Table2[[#This Row],[AwayTeam]], 1, 0))</f>
        <v>0</v>
      </c>
      <c r="AM15" s="2">
        <f>IF(Table2[[#This Row],[GameIsOver]]=0,0,IF(Table2[[#This Row],[ActualWinner]]=Table2[[#This Row],[HomeTeam]], 1, 0))</f>
        <v>1</v>
      </c>
      <c r="AN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" s="2" t="str">
        <f>INDEX(Sheet5!$B$2:$AG$33, MATCH(Table2[[#This Row],[AwayTeam]],Sheet5!$A$2:$A$33, 0), MATCH(Table2[[#This Row],[HomeTeam]],Sheet5!$A$2:$A$33, 0))</f>
        <v>0-1-0</v>
      </c>
      <c r="AP15" s="2" t="str">
        <f>INDEX(Sheet5!$B$2:$AG$33, MATCH(Table2[[#This Row],[HomeTeam]],Sheet5!$A$2:$A$33, 0), MATCH(Table2[[#This Row],[AwayTeam]],Sheet5!$A$2:$A$33, 0))</f>
        <v>1-0-0</v>
      </c>
      <c r="AQ15" s="2">
        <f>IF(Table2[[#This Row],[GameHasShutOut]], 1, 0)</f>
        <v>0</v>
      </c>
      <c r="AR15" s="2">
        <f>IF(Table2[[#This Row],[ActualAwayScore]] + Table2[[#This Row],[ActualHomeScore]] &gt;= 10, 1, 0)</f>
        <v>0</v>
      </c>
      <c r="AS15" s="2">
        <f>IF(ABS(Table2[[#This Row],[ActualAwayScore]]-Table2[[#This Row],[ActualHomeScore]])&gt;=5, 1, 0)</f>
        <v>0</v>
      </c>
      <c r="AT15" s="2">
        <f>IF(Table2[[#This Row],[ActualAwayScore]] + Table2[[#This Row],[ActualHomeScore]] &lt;= 3, 1, 0)</f>
        <v>0</v>
      </c>
      <c r="AU15" s="2"/>
      <c r="AV15" s="2"/>
      <c r="BR15" s="2">
        <v>10</v>
      </c>
      <c r="BS15" s="110" cm="1">
        <f t="array" ref="BS15">SUM(--(ABS($F$3:$F$1315 - $J$3:$J$1315) = $BR15))</f>
        <v>0</v>
      </c>
      <c r="BT15" s="111">
        <f t="shared" si="7"/>
        <v>0</v>
      </c>
      <c r="BU15" s="112" cm="1">
        <f t="array" ref="BU15">SUM(--(ABS($G$3:$G$1315 - $K$3:$K$1315) = $BR15))</f>
        <v>0</v>
      </c>
      <c r="BV15" s="113">
        <f t="shared" si="8"/>
        <v>0</v>
      </c>
      <c r="BW15" s="109">
        <f t="shared" si="5"/>
        <v>0</v>
      </c>
      <c r="BX15" s="114">
        <f t="shared" si="6"/>
        <v>0</v>
      </c>
    </row>
    <row r="16" spans="1:82" x14ac:dyDescent="0.25">
      <c r="A16" s="3">
        <v>45939</v>
      </c>
      <c r="B16" s="3">
        <v>45939</v>
      </c>
      <c r="C16" s="5">
        <v>2025020014</v>
      </c>
      <c r="D16" s="2" t="s">
        <v>31</v>
      </c>
      <c r="E16" s="2" t="s">
        <v>41</v>
      </c>
      <c r="F16" s="2">
        <v>2</v>
      </c>
      <c r="G16" s="2">
        <v>4</v>
      </c>
      <c r="H16" s="2" t="str">
        <f t="shared" si="0"/>
        <v>CAR</v>
      </c>
      <c r="I16" s="2" t="s">
        <v>718</v>
      </c>
      <c r="J16" s="2">
        <v>3</v>
      </c>
      <c r="K16" s="2">
        <v>6</v>
      </c>
      <c r="L16" s="2" t="str">
        <f t="shared" si="1"/>
        <v>CAR</v>
      </c>
      <c r="M16" s="3" t="s">
        <v>718</v>
      </c>
      <c r="N16" s="2">
        <f>IF(ISBLANK(Table2[[#This Row],[ActualResult]]), 0, 1)</f>
        <v>1</v>
      </c>
      <c r="O16" s="2" t="str">
        <f>IF(ISBLANK(Table2[[#This Row],[ActualResult]]), "_", IF(Table2[[#This Row],[ActualWinner]]=Table2[[#This Row],[PredictedWinner]], "Y", "N"))</f>
        <v>Y</v>
      </c>
      <c r="P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6" s="2">
        <v>0</v>
      </c>
      <c r="S16" s="2" t="str">
        <f t="shared" si="2"/>
        <v>NJD</v>
      </c>
      <c r="T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6" s="2">
        <f>IF(Table2[[#This Row],[InterConf]]=1,IF(Table2[[#This Row],[InterDiv]]=0, 1, 0), 0)</f>
        <v>0</v>
      </c>
      <c r="W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" s="2"/>
      <c r="Y16" s="2"/>
      <c r="Z16" s="145">
        <f>IF(AND(Table2[[#This Row],[GameIsOver]]=1,Table2[[#This Row],[ActualHomeScore]]*Table2[[#This Row],[ActualAwayScore]]=0), 1,0)</f>
        <v>0</v>
      </c>
      <c r="AA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6" s="2">
        <f>Table2[[#This Row],[ActualAwayScore]]-Table2[[#This Row],[PredictedAwayScore]]</f>
        <v>1</v>
      </c>
      <c r="AG16" s="2">
        <f>Table2[[#This Row],[ActualHomeScore]]-Table2[[#This Row],[PredictedHomeScore]]</f>
        <v>2</v>
      </c>
      <c r="AH16" s="2">
        <f t="shared" si="3"/>
        <v>1</v>
      </c>
      <c r="AI16" s="2">
        <f t="shared" si="4"/>
        <v>-16</v>
      </c>
      <c r="AJ16" s="2"/>
      <c r="AK16" s="2"/>
      <c r="AL16" s="2">
        <f>IF(Table2[[#This Row],[GameIsOver]]=0,0,IF(Table2[[#This Row],[ActualWinner]]=Table2[[#This Row],[AwayTeam]], 1, 0))</f>
        <v>0</v>
      </c>
      <c r="AM16" s="2">
        <f>IF(Table2[[#This Row],[GameIsOver]]=0,0,IF(Table2[[#This Row],[ActualWinner]]=Table2[[#This Row],[HomeTeam]], 1, 0))</f>
        <v>1</v>
      </c>
      <c r="AN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" s="2" t="str">
        <f>INDEX(Sheet5!$B$2:$AG$33, MATCH(Table2[[#This Row],[AwayTeam]],Sheet5!$A$2:$A$33, 0), MATCH(Table2[[#This Row],[HomeTeam]],Sheet5!$A$2:$A$33, 0))</f>
        <v>0-1-0</v>
      </c>
      <c r="AP16" s="2" t="str">
        <f>INDEX(Sheet5!$B$2:$AG$33, MATCH(Table2[[#This Row],[HomeTeam]],Sheet5!$A$2:$A$33, 0), MATCH(Table2[[#This Row],[AwayTeam]],Sheet5!$A$2:$A$33, 0))</f>
        <v>1-0-0</v>
      </c>
      <c r="AQ16" s="2">
        <f>IF(Table2[[#This Row],[GameHasShutOut]], 1, 0)</f>
        <v>0</v>
      </c>
      <c r="AR16" s="2">
        <f>IF(Table2[[#This Row],[ActualAwayScore]] + Table2[[#This Row],[ActualHomeScore]] &gt;= 10, 1, 0)</f>
        <v>0</v>
      </c>
      <c r="AS16" s="2">
        <f>IF(ABS(Table2[[#This Row],[ActualAwayScore]]-Table2[[#This Row],[ActualHomeScore]])&gt;=5, 1, 0)</f>
        <v>0</v>
      </c>
      <c r="AT16" s="2">
        <f>IF(Table2[[#This Row],[ActualAwayScore]] + Table2[[#This Row],[ActualHomeScore]] &lt;= 3, 1, 0)</f>
        <v>0</v>
      </c>
      <c r="AU16" s="2"/>
      <c r="AV16" s="2"/>
      <c r="BR16" t="s">
        <v>467</v>
      </c>
      <c r="BS16" s="156">
        <f>((BR5*BT5)+(BT6*BR6)+(BT7*BR7)+(BT8*BR8)+(BT9*BR9)+(BT10*BR10)+(BT11*BR11)+(BT12*BR12)+(BT13*BR13)+(BT14*BR14)+(BT15*BR15))</f>
        <v>1.747663551401869</v>
      </c>
      <c r="BT16" s="156"/>
      <c r="BU16" s="156">
        <f>((BR5*BV5)+(BV6*BR6)+(BV7*BR7)+(BV8*BR8)+(BV9*BR9)+(BV10*BR10)+(BV11*BR11)+(BV12*BR12)+(BV13*BR13)+(BV14*BR14)+(BV15*BR15))</f>
        <v>1.691588785046729</v>
      </c>
      <c r="BV16" s="156"/>
      <c r="BX16">
        <f>((BR5*BX5)+(BX6*BR6)+(BX7*BR7)+(BX8*BR8)+(BX9*BR9)+(BX10*BR10)+(BX11*BR11)+(BX12*BR12)+(BX13*BR13)+(BX14*BR14)+(BX15*BR15))</f>
        <v>1.719626168224299</v>
      </c>
    </row>
    <row r="17" spans="1:61" x14ac:dyDescent="0.25">
      <c r="A17" s="3">
        <v>45939</v>
      </c>
      <c r="B17" s="3">
        <v>45939</v>
      </c>
      <c r="C17" s="5">
        <v>2025020015</v>
      </c>
      <c r="D17" s="2" t="s">
        <v>36</v>
      </c>
      <c r="E17" s="2" t="s">
        <v>12</v>
      </c>
      <c r="F17" s="2">
        <v>5</v>
      </c>
      <c r="G17" s="2">
        <v>3</v>
      </c>
      <c r="H17" s="2" t="str">
        <f t="shared" si="0"/>
        <v>MIN</v>
      </c>
      <c r="I17" s="2" t="s">
        <v>718</v>
      </c>
      <c r="J17" s="2">
        <v>5</v>
      </c>
      <c r="K17" s="2">
        <v>0</v>
      </c>
      <c r="L17" s="2" t="str">
        <f t="shared" si="1"/>
        <v>MIN</v>
      </c>
      <c r="M17" s="3" t="s">
        <v>718</v>
      </c>
      <c r="N17" s="2">
        <f>IF(ISBLANK(Table2[[#This Row],[ActualResult]]), 0, 1)</f>
        <v>1</v>
      </c>
      <c r="O17" s="2" t="str">
        <f>IF(ISBLANK(Table2[[#This Row],[ActualResult]]), "_", IF(Table2[[#This Row],[ActualWinner]]=Table2[[#This Row],[PredictedWinner]], "Y", "N"))</f>
        <v>Y</v>
      </c>
      <c r="P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7" s="2">
        <v>1</v>
      </c>
      <c r="S17" s="2" t="str">
        <f t="shared" si="2"/>
        <v>STL</v>
      </c>
      <c r="T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7" s="2">
        <f>IF(Table2[[#This Row],[InterConf]]=1,IF(Table2[[#This Row],[InterDiv]]=0, 1, 0), 0)</f>
        <v>0</v>
      </c>
      <c r="W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" s="2"/>
      <c r="Y17" s="2"/>
      <c r="Z17" s="145">
        <f>IF(AND(Table2[[#This Row],[GameIsOver]]=1,Table2[[#This Row],[ActualHomeScore]]*Table2[[#This Row],[ActualAwayScore]]=0), 1,0)</f>
        <v>1</v>
      </c>
      <c r="AA1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" s="2">
        <f>Table2[[#This Row],[ActualAwayScore]]-Table2[[#This Row],[PredictedAwayScore]]</f>
        <v>0</v>
      </c>
      <c r="AG17" s="2">
        <f>Table2[[#This Row],[ActualHomeScore]]-Table2[[#This Row],[PredictedHomeScore]]</f>
        <v>-3</v>
      </c>
      <c r="AH17" s="2">
        <f t="shared" si="3"/>
        <v>1</v>
      </c>
      <c r="AI17" s="2">
        <f t="shared" si="4"/>
        <v>-16</v>
      </c>
      <c r="AJ17" s="2">
        <v>4</v>
      </c>
      <c r="AK17" s="3">
        <v>45939</v>
      </c>
      <c r="AL17" s="2">
        <f>IF(Table2[[#This Row],[GameIsOver]]=0,0,IF(Table2[[#This Row],[ActualWinner]]=Table2[[#This Row],[AwayTeam]], 1, 0))</f>
        <v>1</v>
      </c>
      <c r="AM17" s="2">
        <f>IF(Table2[[#This Row],[GameIsOver]]=0,0,IF(Table2[[#This Row],[ActualWinner]]=Table2[[#This Row],[HomeTeam]], 1, 0))</f>
        <v>0</v>
      </c>
      <c r="AN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" s="2" t="str">
        <f>INDEX(Sheet5!$B$2:$AG$33, MATCH(Table2[[#This Row],[AwayTeam]],Sheet5!$A$2:$A$33, 0), MATCH(Table2[[#This Row],[HomeTeam]],Sheet5!$A$2:$A$33, 0))</f>
        <v>1-0-0</v>
      </c>
      <c r="AP17" s="2" t="str">
        <f>INDEX(Sheet5!$B$2:$AG$33, MATCH(Table2[[#This Row],[HomeTeam]],Sheet5!$A$2:$A$33, 0), MATCH(Table2[[#This Row],[AwayTeam]],Sheet5!$A$2:$A$33, 0))</f>
        <v>0-1-0</v>
      </c>
      <c r="AQ17" s="2">
        <f>IF(Table2[[#This Row],[GameHasShutOut]], 1, 0)</f>
        <v>1</v>
      </c>
      <c r="AR17" s="2">
        <f>IF(Table2[[#This Row],[ActualAwayScore]] + Table2[[#This Row],[ActualHomeScore]] &gt;= 10, 1, 0)</f>
        <v>0</v>
      </c>
      <c r="AS17" s="2">
        <f>IF(ABS(Table2[[#This Row],[ActualAwayScore]]-Table2[[#This Row],[ActualHomeScore]])&gt;=5, 1, 0)</f>
        <v>1</v>
      </c>
      <c r="AT17" s="2">
        <f>IF(Table2[[#This Row],[ActualAwayScore]] + Table2[[#This Row],[ActualHomeScore]] &lt;= 3, 1, 0)</f>
        <v>0</v>
      </c>
      <c r="AU17" s="2"/>
      <c r="AV17" s="2"/>
      <c r="BC17" t="s">
        <v>438</v>
      </c>
      <c r="BD17" s="23">
        <f>SUMIF($N$3:$N$1315,1, $AD$3:$AD$1315)</f>
        <v>56.779999999999966</v>
      </c>
      <c r="BH17" t="s">
        <v>486</v>
      </c>
      <c r="BI17">
        <f>COUNTIFS($N$3:$N$1315,1,$AC$3:$AC$1315,1)</f>
        <v>6</v>
      </c>
    </row>
    <row r="18" spans="1:61" x14ac:dyDescent="0.25">
      <c r="A18" s="3">
        <v>45939</v>
      </c>
      <c r="B18" s="3">
        <v>45939</v>
      </c>
      <c r="C18" s="5">
        <v>2025020016</v>
      </c>
      <c r="D18" s="2" t="s">
        <v>35</v>
      </c>
      <c r="E18" s="2" t="s">
        <v>34</v>
      </c>
      <c r="F18" s="2">
        <v>3</v>
      </c>
      <c r="G18" s="2">
        <v>4</v>
      </c>
      <c r="H18" s="2" t="str">
        <f t="shared" si="0"/>
        <v>NSH</v>
      </c>
      <c r="I18" s="2" t="s">
        <v>719</v>
      </c>
      <c r="J18" s="2">
        <v>1</v>
      </c>
      <c r="K18" s="2">
        <v>2</v>
      </c>
      <c r="L18" s="2" t="str">
        <f t="shared" si="1"/>
        <v>NSH</v>
      </c>
      <c r="M18" s="3" t="s">
        <v>718</v>
      </c>
      <c r="N18" s="2">
        <f>IF(ISBLANK(Table2[[#This Row],[ActualResult]]), 0, 1)</f>
        <v>1</v>
      </c>
      <c r="O18" s="2" t="str">
        <f>IF(ISBLANK(Table2[[#This Row],[ActualResult]]), "_", IF(Table2[[#This Row],[ActualWinner]]=Table2[[#This Row],[PredictedWinner]], "Y", "N"))</f>
        <v>Y</v>
      </c>
      <c r="P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8" s="2">
        <v>0</v>
      </c>
      <c r="S18" s="2" t="str">
        <f t="shared" si="2"/>
        <v>CBJ</v>
      </c>
      <c r="T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" s="2">
        <f>IF(Table2[[#This Row],[InterConf]]=1,IF(Table2[[#This Row],[InterDiv]]=0, 1, 0), 0)</f>
        <v>0</v>
      </c>
      <c r="W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" s="2"/>
      <c r="Y18" s="2"/>
      <c r="Z18" s="145">
        <f>IF(AND(Table2[[#This Row],[GameIsOver]]=1,Table2[[#This Row],[ActualHomeScore]]*Table2[[#This Row],[ActualAwayScore]]=0), 1,0)</f>
        <v>0</v>
      </c>
      <c r="AA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8" s="2">
        <f>Table2[[#This Row],[ActualAwayScore]]-Table2[[#This Row],[PredictedAwayScore]]</f>
        <v>-2</v>
      </c>
      <c r="AG18" s="2">
        <f>Table2[[#This Row],[ActualHomeScore]]-Table2[[#This Row],[PredictedHomeScore]]</f>
        <v>-2</v>
      </c>
      <c r="AH18" s="2">
        <f t="shared" si="3"/>
        <v>1</v>
      </c>
      <c r="AI18" s="2">
        <f t="shared" si="4"/>
        <v>-16</v>
      </c>
      <c r="AJ18" s="2"/>
      <c r="AK18" s="2"/>
      <c r="AL18" s="2">
        <f>IF(Table2[[#This Row],[GameIsOver]]=0,0,IF(Table2[[#This Row],[ActualWinner]]=Table2[[#This Row],[AwayTeam]], 1, 0))</f>
        <v>0</v>
      </c>
      <c r="AM18" s="2">
        <f>IF(Table2[[#This Row],[GameIsOver]]=0,0,IF(Table2[[#This Row],[ActualWinner]]=Table2[[#This Row],[HomeTeam]], 1, 0))</f>
        <v>1</v>
      </c>
      <c r="AN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" s="2" t="str">
        <f>INDEX(Sheet5!$B$2:$AG$33, MATCH(Table2[[#This Row],[AwayTeam]],Sheet5!$A$2:$A$33, 0), MATCH(Table2[[#This Row],[HomeTeam]],Sheet5!$A$2:$A$33, 0))</f>
        <v>0-1-0</v>
      </c>
      <c r="AP18" s="2" t="str">
        <f>INDEX(Sheet5!$B$2:$AG$33, MATCH(Table2[[#This Row],[HomeTeam]],Sheet5!$A$2:$A$33, 0), MATCH(Table2[[#This Row],[AwayTeam]],Sheet5!$A$2:$A$33, 0))</f>
        <v>1-0-0</v>
      </c>
      <c r="AQ18" s="2">
        <f>IF(Table2[[#This Row],[GameHasShutOut]], 1, 0)</f>
        <v>0</v>
      </c>
      <c r="AR18" s="2">
        <f>IF(Table2[[#This Row],[ActualAwayScore]] + Table2[[#This Row],[ActualHomeScore]] &gt;= 10, 1, 0)</f>
        <v>0</v>
      </c>
      <c r="AS18" s="2">
        <f>IF(ABS(Table2[[#This Row],[ActualAwayScore]]-Table2[[#This Row],[ActualHomeScore]])&gt;=5, 1, 0)</f>
        <v>0</v>
      </c>
      <c r="AT18" s="2">
        <f>IF(Table2[[#This Row],[ActualAwayScore]] + Table2[[#This Row],[ActualHomeScore]] &lt;= 3, 1, 0)</f>
        <v>1</v>
      </c>
      <c r="AU18" s="2"/>
      <c r="AV18" s="2"/>
      <c r="BC18" t="s">
        <v>439</v>
      </c>
      <c r="BD18" s="23">
        <f>BD17/$BD$4</f>
        <v>0.53065420560747634</v>
      </c>
    </row>
    <row r="19" spans="1:61" x14ac:dyDescent="0.25">
      <c r="A19" s="3">
        <v>45939</v>
      </c>
      <c r="B19" s="3">
        <v>45939</v>
      </c>
      <c r="C19" s="5">
        <v>2025020017</v>
      </c>
      <c r="D19" s="2" t="s">
        <v>33</v>
      </c>
      <c r="E19" s="2" t="s">
        <v>21</v>
      </c>
      <c r="F19" s="2">
        <v>4</v>
      </c>
      <c r="G19" s="2">
        <v>2</v>
      </c>
      <c r="H19" s="2" t="str">
        <f t="shared" si="0"/>
        <v>DAL</v>
      </c>
      <c r="I19" s="2" t="s">
        <v>718</v>
      </c>
      <c r="J19" s="2">
        <v>5</v>
      </c>
      <c r="K19" s="2">
        <v>4</v>
      </c>
      <c r="L19" s="2" t="str">
        <f t="shared" si="1"/>
        <v>DAL</v>
      </c>
      <c r="M19" s="3" t="s">
        <v>718</v>
      </c>
      <c r="N19" s="2">
        <f>IF(ISBLANK(Table2[[#This Row],[ActualResult]]), 0, 1)</f>
        <v>1</v>
      </c>
      <c r="O19" s="2" t="str">
        <f>IF(ISBLANK(Table2[[#This Row],[ActualResult]]), "_", IF(Table2[[#This Row],[ActualWinner]]=Table2[[#This Row],[PredictedWinner]], "Y", "N"))</f>
        <v>Y</v>
      </c>
      <c r="P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9" s="2">
        <v>0</v>
      </c>
      <c r="S19" s="2" t="str">
        <f t="shared" si="2"/>
        <v>WPG</v>
      </c>
      <c r="T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9" s="2">
        <f>IF(Table2[[#This Row],[InterConf]]=1,IF(Table2[[#This Row],[InterDiv]]=0, 1, 0), 0)</f>
        <v>0</v>
      </c>
      <c r="W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" s="2"/>
      <c r="Y19" s="2"/>
      <c r="Z19" s="145">
        <f>IF(AND(Table2[[#This Row],[GameIsOver]]=1,Table2[[#This Row],[ActualHomeScore]]*Table2[[#This Row],[ActualAwayScore]]=0), 1,0)</f>
        <v>0</v>
      </c>
      <c r="AA19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9" s="2">
        <f>Table2[[#This Row],[ActualAwayScore]]-Table2[[#This Row],[PredictedAwayScore]]</f>
        <v>1</v>
      </c>
      <c r="AG19" s="2">
        <f>Table2[[#This Row],[ActualHomeScore]]-Table2[[#This Row],[PredictedHomeScore]]</f>
        <v>2</v>
      </c>
      <c r="AH19" s="2">
        <f t="shared" si="3"/>
        <v>1</v>
      </c>
      <c r="AI19" s="2">
        <f t="shared" si="4"/>
        <v>-16</v>
      </c>
      <c r="AJ19" s="2"/>
      <c r="AK19" s="2"/>
      <c r="AL19" s="2">
        <f>IF(Table2[[#This Row],[GameIsOver]]=0,0,IF(Table2[[#This Row],[ActualWinner]]=Table2[[#This Row],[AwayTeam]], 1, 0))</f>
        <v>1</v>
      </c>
      <c r="AM19" s="2">
        <f>IF(Table2[[#This Row],[GameIsOver]]=0,0,IF(Table2[[#This Row],[ActualWinner]]=Table2[[#This Row],[HomeTeam]], 1, 0))</f>
        <v>0</v>
      </c>
      <c r="AN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" s="2" t="str">
        <f>INDEX(Sheet5!$B$2:$AG$33, MATCH(Table2[[#This Row],[AwayTeam]],Sheet5!$A$2:$A$33, 0), MATCH(Table2[[#This Row],[HomeTeam]],Sheet5!$A$2:$A$33, 0))</f>
        <v>1-0-0</v>
      </c>
      <c r="AP19" s="2" t="str">
        <f>INDEX(Sheet5!$B$2:$AG$33, MATCH(Table2[[#This Row],[HomeTeam]],Sheet5!$A$2:$A$33, 0), MATCH(Table2[[#This Row],[AwayTeam]],Sheet5!$A$2:$A$33, 0))</f>
        <v>0-1-0</v>
      </c>
      <c r="AQ19" s="2">
        <f>IF(Table2[[#This Row],[GameHasShutOut]], 1, 0)</f>
        <v>0</v>
      </c>
      <c r="AR19" s="2">
        <f>IF(Table2[[#This Row],[ActualAwayScore]] + Table2[[#This Row],[ActualHomeScore]] &gt;= 10, 1, 0)</f>
        <v>0</v>
      </c>
      <c r="AS19" s="2">
        <f>IF(ABS(Table2[[#This Row],[ActualAwayScore]]-Table2[[#This Row],[ActualHomeScore]])&gt;=5, 1, 0)</f>
        <v>0</v>
      </c>
      <c r="AT19" s="2">
        <f>IF(Table2[[#This Row],[ActualAwayScore]] + Table2[[#This Row],[ActualHomeScore]] &lt;= 3, 1, 0)</f>
        <v>0</v>
      </c>
      <c r="AU19" s="2"/>
      <c r="AV19" s="2"/>
      <c r="BA19" t="s">
        <v>447</v>
      </c>
      <c r="BC19" t="s">
        <v>448</v>
      </c>
      <c r="BD19" s="23">
        <f>COUNTIFS($I$3:$I$1315,"OT",$M$3:$M$1315,"OT",$O$3:$O$1315,"N")</f>
        <v>2</v>
      </c>
    </row>
    <row r="20" spans="1:61" x14ac:dyDescent="0.25">
      <c r="A20" s="3">
        <v>45939</v>
      </c>
      <c r="B20" s="3">
        <v>45939</v>
      </c>
      <c r="C20" s="5">
        <v>2025020018</v>
      </c>
      <c r="D20" s="2" t="s">
        <v>14</v>
      </c>
      <c r="E20" s="2" t="s">
        <v>25</v>
      </c>
      <c r="F20" s="2">
        <v>3</v>
      </c>
      <c r="G20" s="2">
        <v>6</v>
      </c>
      <c r="H20" s="2" t="str">
        <f t="shared" si="0"/>
        <v>COL</v>
      </c>
      <c r="I20" s="2" t="s">
        <v>718</v>
      </c>
      <c r="J20" s="2">
        <v>1</v>
      </c>
      <c r="K20" s="2">
        <v>2</v>
      </c>
      <c r="L20" s="2" t="str">
        <f t="shared" si="1"/>
        <v>COL</v>
      </c>
      <c r="M20" s="3" t="s">
        <v>718</v>
      </c>
      <c r="N20" s="2">
        <f>IF(ISBLANK(Table2[[#This Row],[ActualResult]]), 0, 1)</f>
        <v>1</v>
      </c>
      <c r="O20" s="2" t="str">
        <f>IF(ISBLANK(Table2[[#This Row],[ActualResult]]), "_", IF(Table2[[#This Row],[ActualWinner]]=Table2[[#This Row],[PredictedWinner]], "Y", "N"))</f>
        <v>Y</v>
      </c>
      <c r="P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0" s="2">
        <v>1</v>
      </c>
      <c r="S20" s="2" t="str">
        <f t="shared" si="2"/>
        <v>UTA</v>
      </c>
      <c r="T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0" s="2">
        <f>IF(Table2[[#This Row],[InterConf]]=1,IF(Table2[[#This Row],[InterDiv]]=0, 1, 0), 0)</f>
        <v>0</v>
      </c>
      <c r="W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" s="2"/>
      <c r="Y20" s="2"/>
      <c r="Z20" s="145">
        <f>IF(AND(Table2[[#This Row],[GameIsOver]]=1,Table2[[#This Row],[ActualHomeScore]]*Table2[[#This Row],[ActualAwayScore]]=0), 1,0)</f>
        <v>0</v>
      </c>
      <c r="AA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0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0" s="2">
        <f>Table2[[#This Row],[ActualAwayScore]]-Table2[[#This Row],[PredictedAwayScore]]</f>
        <v>-2</v>
      </c>
      <c r="AG20" s="2">
        <f>Table2[[#This Row],[ActualHomeScore]]-Table2[[#This Row],[PredictedHomeScore]]</f>
        <v>-4</v>
      </c>
      <c r="AH20" s="2">
        <f t="shared" si="3"/>
        <v>1</v>
      </c>
      <c r="AI20" s="2">
        <f t="shared" si="4"/>
        <v>-16</v>
      </c>
      <c r="AJ20" s="2">
        <v>5</v>
      </c>
      <c r="AK20" s="3">
        <v>45939</v>
      </c>
      <c r="AL20" s="2">
        <f>IF(Table2[[#This Row],[GameIsOver]]=0,0,IF(Table2[[#This Row],[ActualWinner]]=Table2[[#This Row],[AwayTeam]], 1, 0))</f>
        <v>0</v>
      </c>
      <c r="AM20" s="2">
        <f>IF(Table2[[#This Row],[GameIsOver]]=0,0,IF(Table2[[#This Row],[ActualWinner]]=Table2[[#This Row],[HomeTeam]], 1, 0))</f>
        <v>1</v>
      </c>
      <c r="AN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" s="2" t="str">
        <f>INDEX(Sheet5!$B$2:$AG$33, MATCH(Table2[[#This Row],[AwayTeam]],Sheet5!$A$2:$A$33, 0), MATCH(Table2[[#This Row],[HomeTeam]],Sheet5!$A$2:$A$33, 0))</f>
        <v>1-1-0</v>
      </c>
      <c r="AP20" s="2" t="str">
        <f>INDEX(Sheet5!$B$2:$AG$33, MATCH(Table2[[#This Row],[HomeTeam]],Sheet5!$A$2:$A$33, 0), MATCH(Table2[[#This Row],[AwayTeam]],Sheet5!$A$2:$A$33, 0))</f>
        <v>1-0-1</v>
      </c>
      <c r="AQ20" s="2">
        <f>IF(Table2[[#This Row],[GameHasShutOut]], 1, 0)</f>
        <v>0</v>
      </c>
      <c r="AR20" s="2">
        <f>IF(Table2[[#This Row],[ActualAwayScore]] + Table2[[#This Row],[ActualHomeScore]] &gt;= 10, 1, 0)</f>
        <v>0</v>
      </c>
      <c r="AS20" s="2">
        <f>IF(ABS(Table2[[#This Row],[ActualAwayScore]]-Table2[[#This Row],[ActualHomeScore]])&gt;=5, 1, 0)</f>
        <v>0</v>
      </c>
      <c r="AT20" s="2">
        <f>IF(Table2[[#This Row],[ActualAwayScore]] + Table2[[#This Row],[ActualHomeScore]] &lt;= 3, 1, 0)</f>
        <v>1</v>
      </c>
      <c r="AU20" s="2"/>
      <c r="AV20" s="2"/>
      <c r="BC20" t="s">
        <v>449</v>
      </c>
      <c r="BD20" s="23">
        <f>COUNTIFS($I$3:$I$1315,"SO",$M$3:$M$1315,"SO",$O$3:$O$1315,"N")</f>
        <v>1</v>
      </c>
      <c r="BI20">
        <f>FIND("CGY", "FLA;EDM;COL;BOS;PIT;CGY")</f>
        <v>21</v>
      </c>
    </row>
    <row r="21" spans="1:61" x14ac:dyDescent="0.25">
      <c r="A21" s="3">
        <v>45939</v>
      </c>
      <c r="B21" s="3">
        <v>45939</v>
      </c>
      <c r="C21" s="5">
        <v>2025020019</v>
      </c>
      <c r="D21" s="2" t="s">
        <v>23</v>
      </c>
      <c r="E21" s="2" t="s">
        <v>24</v>
      </c>
      <c r="F21" s="2">
        <v>2</v>
      </c>
      <c r="G21" s="2">
        <v>4</v>
      </c>
      <c r="H21" s="2" t="str">
        <f t="shared" si="0"/>
        <v>VAN</v>
      </c>
      <c r="I21" s="2" t="s">
        <v>718</v>
      </c>
      <c r="J21" s="2">
        <v>1</v>
      </c>
      <c r="K21" s="2">
        <v>5</v>
      </c>
      <c r="L21" s="2" t="str">
        <f t="shared" si="1"/>
        <v>VAN</v>
      </c>
      <c r="M21" s="3" t="s">
        <v>718</v>
      </c>
      <c r="N21" s="2">
        <f>IF(ISBLANK(Table2[[#This Row],[ActualResult]]), 0, 1)</f>
        <v>1</v>
      </c>
      <c r="O21" s="2" t="str">
        <f>IF(ISBLANK(Table2[[#This Row],[ActualResult]]), "_", IF(Table2[[#This Row],[ActualWinner]]=Table2[[#This Row],[PredictedWinner]], "Y", "N"))</f>
        <v>Y</v>
      </c>
      <c r="P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1" s="2">
        <v>1</v>
      </c>
      <c r="S21" s="2" t="str">
        <f t="shared" si="2"/>
        <v>CGY</v>
      </c>
      <c r="T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1" s="2">
        <f>IF(Table2[[#This Row],[InterConf]]=1,IF(Table2[[#This Row],[InterDiv]]=0, 1, 0), 0)</f>
        <v>0</v>
      </c>
      <c r="W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" s="2"/>
      <c r="Y21" s="2"/>
      <c r="Z21" s="145">
        <f>IF(AND(Table2[[#This Row],[GameIsOver]]=1,Table2[[#This Row],[ActualHomeScore]]*Table2[[#This Row],[ActualAwayScore]]=0), 1,0)</f>
        <v>0</v>
      </c>
      <c r="AA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" s="2">
        <f>Table2[[#This Row],[ActualAwayScore]]-Table2[[#This Row],[PredictedAwayScore]]</f>
        <v>-1</v>
      </c>
      <c r="AG21" s="2">
        <f>Table2[[#This Row],[ActualHomeScore]]-Table2[[#This Row],[PredictedHomeScore]]</f>
        <v>1</v>
      </c>
      <c r="AH21" s="2">
        <f t="shared" si="3"/>
        <v>1</v>
      </c>
      <c r="AI21" s="2">
        <f t="shared" si="4"/>
        <v>-16</v>
      </c>
      <c r="AJ21" s="2">
        <v>6</v>
      </c>
      <c r="AK21" s="3">
        <v>45939</v>
      </c>
      <c r="AL21" s="2">
        <f>IF(Table2[[#This Row],[GameIsOver]]=0,0,IF(Table2[[#This Row],[ActualWinner]]=Table2[[#This Row],[AwayTeam]], 1, 0))</f>
        <v>0</v>
      </c>
      <c r="AM21" s="2">
        <f>IF(Table2[[#This Row],[GameIsOver]]=0,0,IF(Table2[[#This Row],[ActualWinner]]=Table2[[#This Row],[HomeTeam]], 1, 0))</f>
        <v>1</v>
      </c>
      <c r="AN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" s="2" t="str">
        <f>INDEX(Sheet5!$B$2:$AG$33, MATCH(Table2[[#This Row],[AwayTeam]],Sheet5!$A$2:$A$33, 0), MATCH(Table2[[#This Row],[HomeTeam]],Sheet5!$A$2:$A$33, 0))</f>
        <v>0-1-0</v>
      </c>
      <c r="AP21" s="2" t="str">
        <f>INDEX(Sheet5!$B$2:$AG$33, MATCH(Table2[[#This Row],[HomeTeam]],Sheet5!$A$2:$A$33, 0), MATCH(Table2[[#This Row],[AwayTeam]],Sheet5!$A$2:$A$33, 0))</f>
        <v>1-0-0</v>
      </c>
      <c r="AQ21" s="2">
        <f>IF(Table2[[#This Row],[GameHasShutOut]], 1, 0)</f>
        <v>0</v>
      </c>
      <c r="AR21" s="2">
        <f>IF(Table2[[#This Row],[ActualAwayScore]] + Table2[[#This Row],[ActualHomeScore]] &gt;= 10, 1, 0)</f>
        <v>0</v>
      </c>
      <c r="AS21" s="2">
        <f>IF(ABS(Table2[[#This Row],[ActualAwayScore]]-Table2[[#This Row],[ActualHomeScore]])&gt;=5, 1, 0)</f>
        <v>0</v>
      </c>
      <c r="AT21" s="2">
        <f>IF(Table2[[#This Row],[ActualAwayScore]] + Table2[[#This Row],[ActualHomeScore]] &lt;= 3, 1, 0)</f>
        <v>0</v>
      </c>
      <c r="AU21" s="2"/>
      <c r="AV21" s="2"/>
      <c r="BC21" t="s">
        <v>450</v>
      </c>
      <c r="BD21" s="23">
        <f>COUNTIFS($I$3:$I$1315,"OT",$M$3:$M$1315,"SO",$O$3:$O$1315,"N")</f>
        <v>3</v>
      </c>
    </row>
    <row r="22" spans="1:61" x14ac:dyDescent="0.25">
      <c r="A22" s="3">
        <v>45939</v>
      </c>
      <c r="B22" s="3">
        <v>45939</v>
      </c>
      <c r="C22" s="5">
        <v>2025020020</v>
      </c>
      <c r="D22" s="2" t="s">
        <v>26</v>
      </c>
      <c r="E22" s="2" t="s">
        <v>37</v>
      </c>
      <c r="F22" s="2">
        <v>4</v>
      </c>
      <c r="G22" s="2">
        <v>3</v>
      </c>
      <c r="H22" s="2" t="str">
        <f t="shared" si="0"/>
        <v>VGK</v>
      </c>
      <c r="I22" s="2" t="s">
        <v>719</v>
      </c>
      <c r="J22" s="2">
        <v>4</v>
      </c>
      <c r="K22" s="2">
        <v>3</v>
      </c>
      <c r="L22" s="2" t="str">
        <f t="shared" si="1"/>
        <v>VGK</v>
      </c>
      <c r="M22" s="2" t="s">
        <v>720</v>
      </c>
      <c r="N22" s="2">
        <f>IF(ISBLANK(Table2[[#This Row],[ActualResult]]), 0, 1)</f>
        <v>1</v>
      </c>
      <c r="O22" s="2" t="str">
        <f>IF(ISBLANK(Table2[[#This Row],[ActualResult]]), "_", IF(Table2[[#This Row],[ActualWinner]]=Table2[[#This Row],[PredictedWinner]], "Y", "N"))</f>
        <v>Y</v>
      </c>
      <c r="P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22" s="2">
        <v>0</v>
      </c>
      <c r="S22" s="2" t="str">
        <f t="shared" si="2"/>
        <v>SJS</v>
      </c>
      <c r="T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2" s="2">
        <f>IF(Table2[[#This Row],[InterConf]]=1,IF(Table2[[#This Row],[InterDiv]]=0, 1, 0), 0)</f>
        <v>0</v>
      </c>
      <c r="W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" s="2"/>
      <c r="Y22" s="2"/>
      <c r="Z22" s="145">
        <f>IF(AND(Table2[[#This Row],[GameIsOver]]=1,Table2[[#This Row],[ActualHomeScore]]*Table2[[#This Row],[ActualAwayScore]]=0), 1,0)</f>
        <v>0</v>
      </c>
      <c r="AA2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22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22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2" s="2">
        <f>Table2[[#This Row],[ActualAwayScore]]-Table2[[#This Row],[PredictedAwayScore]]</f>
        <v>0</v>
      </c>
      <c r="AG22" s="2">
        <f>Table2[[#This Row],[ActualHomeScore]]-Table2[[#This Row],[PredictedHomeScore]]</f>
        <v>0</v>
      </c>
      <c r="AH22" s="2">
        <f t="shared" si="3"/>
        <v>1</v>
      </c>
      <c r="AI22" s="2">
        <f t="shared" si="4"/>
        <v>-16</v>
      </c>
      <c r="AJ22" s="2"/>
      <c r="AK22" s="2"/>
      <c r="AL22" s="2">
        <f>IF(Table2[[#This Row],[GameIsOver]]=0,0,IF(Table2[[#This Row],[ActualWinner]]=Table2[[#This Row],[AwayTeam]], 1, 0))</f>
        <v>1</v>
      </c>
      <c r="AM22" s="2">
        <f>IF(Table2[[#This Row],[GameIsOver]]=0,0,IF(Table2[[#This Row],[ActualWinner]]=Table2[[#This Row],[HomeTeam]], 1, 0))</f>
        <v>0</v>
      </c>
      <c r="AN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" s="2" t="str">
        <f>INDEX(Sheet5!$B$2:$AG$33, MATCH(Table2[[#This Row],[AwayTeam]],Sheet5!$A$2:$A$33, 0), MATCH(Table2[[#This Row],[HomeTeam]],Sheet5!$A$2:$A$33, 0))</f>
        <v>1-0-0</v>
      </c>
      <c r="AP22" s="2" t="str">
        <f>INDEX(Sheet5!$B$2:$AG$33, MATCH(Table2[[#This Row],[HomeTeam]],Sheet5!$A$2:$A$33, 0), MATCH(Table2[[#This Row],[AwayTeam]],Sheet5!$A$2:$A$33, 0))</f>
        <v>0-0-1</v>
      </c>
      <c r="AQ22" s="2">
        <f>IF(Table2[[#This Row],[GameHasShutOut]], 1, 0)</f>
        <v>0</v>
      </c>
      <c r="AR22" s="2">
        <f>IF(Table2[[#This Row],[ActualAwayScore]] + Table2[[#This Row],[ActualHomeScore]] &gt;= 10, 1, 0)</f>
        <v>0</v>
      </c>
      <c r="AS22" s="2">
        <f>IF(ABS(Table2[[#This Row],[ActualAwayScore]]-Table2[[#This Row],[ActualHomeScore]])&gt;=5, 1, 0)</f>
        <v>0</v>
      </c>
      <c r="AT22" s="2">
        <f>IF(Table2[[#This Row],[ActualAwayScore]] + Table2[[#This Row],[ActualHomeScore]] &lt;= 3, 1, 0)</f>
        <v>0</v>
      </c>
      <c r="AU22" s="2"/>
      <c r="AV22" s="2"/>
      <c r="BC22" t="s">
        <v>451</v>
      </c>
      <c r="BD22">
        <f>COUNTIFS($I$3:$I$1315,"SO",$M$3:$M$1315,"OT",$O$3:$O$1315,"N")</f>
        <v>1</v>
      </c>
    </row>
    <row r="23" spans="1:61" x14ac:dyDescent="0.25">
      <c r="A23" s="141">
        <v>45939</v>
      </c>
      <c r="B23" s="141">
        <v>45939</v>
      </c>
      <c r="C23" s="142">
        <v>2025020021</v>
      </c>
      <c r="D23" s="143" t="s">
        <v>44</v>
      </c>
      <c r="E23" s="143" t="s">
        <v>11</v>
      </c>
      <c r="F23" s="143">
        <v>4</v>
      </c>
      <c r="G23" s="143">
        <v>5</v>
      </c>
      <c r="H23" s="143" t="str">
        <f t="shared" si="0"/>
        <v>SEA</v>
      </c>
      <c r="I23" s="143" t="s">
        <v>720</v>
      </c>
      <c r="J23" s="143">
        <v>1</v>
      </c>
      <c r="K23" s="143">
        <v>3</v>
      </c>
      <c r="L23" s="143" t="str">
        <f t="shared" si="1"/>
        <v>SEA</v>
      </c>
      <c r="M23" s="143" t="s">
        <v>718</v>
      </c>
      <c r="N23" s="143">
        <f>IF(ISBLANK(Table2[[#This Row],[ActualResult]]), 0, 1)</f>
        <v>1</v>
      </c>
      <c r="O23" s="143" t="str">
        <f>IF(ISBLANK(Table2[[#This Row],[ActualResult]]), "_", IF(Table2[[#This Row],[ActualWinner]]=Table2[[#This Row],[PredictedWinner]], "Y", "N"))</f>
        <v>Y</v>
      </c>
      <c r="P23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3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3" s="143">
        <v>1</v>
      </c>
      <c r="S23" s="143" t="str">
        <f t="shared" si="2"/>
        <v>ANA</v>
      </c>
      <c r="T23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" s="143">
        <f>IF(Table2[[#This Row],[InterConf]]=1,IF(Table2[[#This Row],[InterDiv]]=0, 1, 0), 0)</f>
        <v>0</v>
      </c>
      <c r="W23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" s="143"/>
      <c r="Y23" s="143"/>
      <c r="Z23" s="149">
        <f>IF(AND(Table2[[#This Row],[GameIsOver]]=1,Table2[[#This Row],[ActualHomeScore]]*Table2[[#This Row],[ActualAwayScore]]=0), 1,0)</f>
        <v>0</v>
      </c>
      <c r="AA23" s="149">
        <f>IF(Table2[[#This Row],[GameIsOver]]=0,0, IF(Table2[[#This Row],[ActualWinner]]=Table2[[#This Row],[AwayTeam]], 2, IF(OR(Table2[[#This Row],[ActualResult]]="OT", Table2[[#This Row],[ActualResult]]="SO"), 1, 0)))</f>
        <v>0</v>
      </c>
      <c r="AB23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23" s="144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3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3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3" s="143">
        <f>Table2[[#This Row],[ActualAwayScore]]-Table2[[#This Row],[PredictedAwayScore]]</f>
        <v>-3</v>
      </c>
      <c r="AG23" s="143">
        <f>Table2[[#This Row],[ActualHomeScore]]-Table2[[#This Row],[PredictedHomeScore]]</f>
        <v>-2</v>
      </c>
      <c r="AH23" s="143">
        <f t="shared" si="3"/>
        <v>1</v>
      </c>
      <c r="AI23" s="143">
        <f t="shared" si="4"/>
        <v>-16</v>
      </c>
      <c r="AJ23" s="143">
        <v>7</v>
      </c>
      <c r="AK23" s="141">
        <v>45939</v>
      </c>
      <c r="AL23" s="143">
        <f>IF(Table2[[#This Row],[GameIsOver]]=0,0,IF(Table2[[#This Row],[ActualWinner]]=Table2[[#This Row],[AwayTeam]], 1, 0))</f>
        <v>0</v>
      </c>
      <c r="AM23" s="143">
        <f>IF(Table2[[#This Row],[GameIsOver]]=0,0,IF(Table2[[#This Row],[ActualWinner]]=Table2[[#This Row],[HomeTeam]], 1, 0))</f>
        <v>1</v>
      </c>
      <c r="AN23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23" s="143" t="str">
        <f>INDEX(Sheet5!$B$2:$AG$33, MATCH(Table2[[#This Row],[AwayTeam]],Sheet5!$A$2:$A$33, 0), MATCH(Table2[[#This Row],[HomeTeam]],Sheet5!$A$2:$A$33, 0))</f>
        <v>0-1-0</v>
      </c>
      <c r="AP23" s="143" t="str">
        <f>INDEX(Sheet5!$B$2:$AG$33, MATCH(Table2[[#This Row],[HomeTeam]],Sheet5!$A$2:$A$33, 0), MATCH(Table2[[#This Row],[AwayTeam]],Sheet5!$A$2:$A$33, 0))</f>
        <v>1-0-0</v>
      </c>
      <c r="AQ23" s="143">
        <f>IF(Table2[[#This Row],[GameHasShutOut]], 1, 0)</f>
        <v>0</v>
      </c>
      <c r="AR23" s="143">
        <f>IF(Table2[[#This Row],[ActualAwayScore]] + Table2[[#This Row],[ActualHomeScore]] &gt;= 10, 1, 0)</f>
        <v>0</v>
      </c>
      <c r="AS23" s="143">
        <f>IF(ABS(Table2[[#This Row],[ActualAwayScore]]-Table2[[#This Row],[ActualHomeScore]])&gt;=5, 1, 0)</f>
        <v>0</v>
      </c>
      <c r="AT23" s="143">
        <f>IF(Table2[[#This Row],[ActualAwayScore]] + Table2[[#This Row],[ActualHomeScore]] &lt;= 3, 1, 0)</f>
        <v>0</v>
      </c>
      <c r="AU23" s="2"/>
      <c r="AV23" s="2"/>
    </row>
    <row r="24" spans="1:61" x14ac:dyDescent="0.25">
      <c r="A24" s="3">
        <v>45941</v>
      </c>
      <c r="B24" s="3">
        <v>45941</v>
      </c>
      <c r="C24" s="5">
        <v>2025020022</v>
      </c>
      <c r="D24" s="2" t="s">
        <v>27</v>
      </c>
      <c r="E24" s="2" t="s">
        <v>21</v>
      </c>
      <c r="F24" s="2">
        <v>3</v>
      </c>
      <c r="G24" s="2">
        <v>4</v>
      </c>
      <c r="H24" s="2" t="str">
        <f t="shared" si="0"/>
        <v>WPG</v>
      </c>
      <c r="I24" s="2" t="s">
        <v>719</v>
      </c>
      <c r="J24" s="2">
        <v>2</v>
      </c>
      <c r="K24" s="2">
        <v>3</v>
      </c>
      <c r="L24" s="2" t="str">
        <f t="shared" si="1"/>
        <v>WPG</v>
      </c>
      <c r="M24" s="2" t="s">
        <v>718</v>
      </c>
      <c r="N24" s="2">
        <f>IF(ISBLANK(Table2[[#This Row],[ActualResult]]), 0, 1)</f>
        <v>1</v>
      </c>
      <c r="O24" s="2" t="str">
        <f>IF(ISBLANK(Table2[[#This Row],[ActualResult]]), "_", IF(Table2[[#This Row],[ActualWinner]]=Table2[[#This Row],[PredictedWinner]], "Y", "N"))</f>
        <v>Y</v>
      </c>
      <c r="P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4" s="2">
        <v>1</v>
      </c>
      <c r="S24" s="2" t="str">
        <f t="shared" si="2"/>
        <v>LAK</v>
      </c>
      <c r="T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" s="2">
        <f>IF(Table2[[#This Row],[InterConf]]=1,IF(Table2[[#This Row],[InterDiv]]=0, 1, 0), 0)</f>
        <v>1</v>
      </c>
      <c r="W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" s="2"/>
      <c r="Y24" s="2"/>
      <c r="Z24" s="145">
        <f>IF(AND(Table2[[#This Row],[GameIsOver]]=1,Table2[[#This Row],[ActualHomeScore]]*Table2[[#This Row],[ActualAwayScore]]=0), 1,0)</f>
        <v>0</v>
      </c>
      <c r="AA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4" s="2">
        <f>Table2[[#This Row],[ActualAwayScore]]-Table2[[#This Row],[PredictedAwayScore]]</f>
        <v>-1</v>
      </c>
      <c r="AG24" s="2">
        <f>Table2[[#This Row],[ActualHomeScore]]-Table2[[#This Row],[PredictedHomeScore]]</f>
        <v>-1</v>
      </c>
      <c r="AH24" s="2">
        <f t="shared" si="3"/>
        <v>2</v>
      </c>
      <c r="AI24" s="2">
        <f t="shared" si="4"/>
        <v>-7</v>
      </c>
      <c r="AJ24" s="2">
        <v>1</v>
      </c>
      <c r="AK24" s="3">
        <v>45941</v>
      </c>
      <c r="AL24" s="2">
        <f>IF(Table2[[#This Row],[GameIsOver]]=0,0,IF(Table2[[#This Row],[ActualWinner]]=Table2[[#This Row],[AwayTeam]], 1, 0))</f>
        <v>0</v>
      </c>
      <c r="AM24" s="2">
        <f>IF(Table2[[#This Row],[GameIsOver]]=0,0,IF(Table2[[#This Row],[ActualWinner]]=Table2[[#This Row],[HomeTeam]], 1, 0))</f>
        <v>1</v>
      </c>
      <c r="AN24" s="2">
        <f>IF(IFERROR(FIND(Table2[[#This Row],[AwayTeam]], _xlfn.TEXTJOIN(";", 1, $BD$31:$BD$40)), 0) &gt; 0, 1, 0) + IF(IFERROR(FIND(Table2[[#This Row],[HomeTeam]], _xlfn.TEXTJOIN(";", 1, $BD$31:$BD$40)), 0) &gt; 0, 1, 0)</f>
        <v>1</v>
      </c>
      <c r="AO24" s="2" t="str">
        <f>INDEX(Sheet5!$B$2:$AG$33, MATCH(Table2[[#This Row],[AwayTeam]],Sheet5!$A$2:$A$33, 0), MATCH(Table2[[#This Row],[HomeTeam]],Sheet5!$A$2:$A$33, 0))</f>
        <v>0-1-0</v>
      </c>
      <c r="AP24" s="2" t="str">
        <f>INDEX(Sheet5!$B$2:$AG$33, MATCH(Table2[[#This Row],[HomeTeam]],Sheet5!$A$2:$A$33, 0), MATCH(Table2[[#This Row],[AwayTeam]],Sheet5!$A$2:$A$33, 0))</f>
        <v>1-0-0</v>
      </c>
      <c r="AQ24" s="2">
        <f>IF(Table2[[#This Row],[GameHasShutOut]], 1, 0)</f>
        <v>0</v>
      </c>
      <c r="AR24" s="2">
        <f>IF(Table2[[#This Row],[ActualAwayScore]] + Table2[[#This Row],[ActualHomeScore]] &gt;= 10, 1, 0)</f>
        <v>0</v>
      </c>
      <c r="AS24" s="2">
        <f>IF(ABS(Table2[[#This Row],[ActualAwayScore]]-Table2[[#This Row],[ActualHomeScore]])&gt;=5, 1, 0)</f>
        <v>0</v>
      </c>
      <c r="AT24" s="2">
        <f>IF(Table2[[#This Row],[ActualAwayScore]] + Table2[[#This Row],[ActualHomeScore]] &lt;= 3, 1, 0)</f>
        <v>0</v>
      </c>
      <c r="AU24" s="2"/>
      <c r="AV24" s="2"/>
    </row>
    <row r="25" spans="1:61" x14ac:dyDescent="0.25">
      <c r="A25" s="3">
        <v>45941</v>
      </c>
      <c r="B25" s="3">
        <v>45941</v>
      </c>
      <c r="C25" s="5">
        <v>2025020023</v>
      </c>
      <c r="D25" s="2" t="s">
        <v>12</v>
      </c>
      <c r="E25" s="2" t="s">
        <v>23</v>
      </c>
      <c r="F25" s="2">
        <v>2</v>
      </c>
      <c r="G25" s="2">
        <v>3</v>
      </c>
      <c r="H25" s="2" t="str">
        <f t="shared" si="0"/>
        <v>CGY</v>
      </c>
      <c r="I25" s="2" t="s">
        <v>720</v>
      </c>
      <c r="J25" s="2">
        <v>4</v>
      </c>
      <c r="K25" s="2">
        <v>2</v>
      </c>
      <c r="L25" s="2" t="str">
        <f t="shared" si="1"/>
        <v>STL</v>
      </c>
      <c r="M25" s="2" t="s">
        <v>718</v>
      </c>
      <c r="N25" s="2">
        <f>IF(ISBLANK(Table2[[#This Row],[ActualResult]]), 0, 1)</f>
        <v>1</v>
      </c>
      <c r="O25" s="2" t="str">
        <f>IF(ISBLANK(Table2[[#This Row],[ActualResult]]), "_", IF(Table2[[#This Row],[ActualWinner]]=Table2[[#This Row],[PredictedWinner]], "Y", "N"))</f>
        <v>N</v>
      </c>
      <c r="P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5" s="2">
        <v>1</v>
      </c>
      <c r="S25" s="2" t="str">
        <f t="shared" si="2"/>
        <v>CGY</v>
      </c>
      <c r="T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" s="2">
        <f>IF(Table2[[#This Row],[InterConf]]=1,IF(Table2[[#This Row],[InterDiv]]=0, 1, 0), 0)</f>
        <v>1</v>
      </c>
      <c r="W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" s="2"/>
      <c r="Y25" s="2"/>
      <c r="Z25" s="145">
        <f>IF(AND(Table2[[#This Row],[GameIsOver]]=1,Table2[[#This Row],[ActualHomeScore]]*Table2[[#This Row],[ActualAwayScore]]=0), 1,0)</f>
        <v>0</v>
      </c>
      <c r="AA2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5" s="2">
        <f>Table2[[#This Row],[ActualAwayScore]]-Table2[[#This Row],[PredictedAwayScore]]</f>
        <v>2</v>
      </c>
      <c r="AG25" s="2">
        <f>Table2[[#This Row],[ActualHomeScore]]-Table2[[#This Row],[PredictedHomeScore]]</f>
        <v>-1</v>
      </c>
      <c r="AH25" s="2">
        <f t="shared" si="3"/>
        <v>2</v>
      </c>
      <c r="AI25" s="2">
        <f t="shared" si="4"/>
        <v>-7</v>
      </c>
      <c r="AJ25" s="2">
        <v>2</v>
      </c>
      <c r="AK25" s="3">
        <v>45941</v>
      </c>
      <c r="AL25" s="2">
        <f>IF(Table2[[#This Row],[GameIsOver]]=0,0,IF(Table2[[#This Row],[ActualWinner]]=Table2[[#This Row],[AwayTeam]], 1, 0))</f>
        <v>1</v>
      </c>
      <c r="AM25" s="2">
        <f>IF(Table2[[#This Row],[GameIsOver]]=0,0,IF(Table2[[#This Row],[ActualWinner]]=Table2[[#This Row],[HomeTeam]], 1, 0))</f>
        <v>0</v>
      </c>
      <c r="AN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" s="2" t="str">
        <f>INDEX(Sheet5!$B$2:$AG$33, MATCH(Table2[[#This Row],[AwayTeam]],Sheet5!$A$2:$A$33, 0), MATCH(Table2[[#This Row],[HomeTeam]],Sheet5!$A$2:$A$33, 0))</f>
        <v>1-0-0</v>
      </c>
      <c r="AP25" s="2" t="str">
        <f>INDEX(Sheet5!$B$2:$AG$33, MATCH(Table2[[#This Row],[HomeTeam]],Sheet5!$A$2:$A$33, 0), MATCH(Table2[[#This Row],[AwayTeam]],Sheet5!$A$2:$A$33, 0))</f>
        <v>0-1-0</v>
      </c>
      <c r="AQ25" s="2">
        <f>IF(Table2[[#This Row],[GameHasShutOut]], 1, 0)</f>
        <v>0</v>
      </c>
      <c r="AR25" s="2">
        <f>IF(Table2[[#This Row],[ActualAwayScore]] + Table2[[#This Row],[ActualHomeScore]] &gt;= 10, 1, 0)</f>
        <v>0</v>
      </c>
      <c r="AS25" s="2">
        <f>IF(ABS(Table2[[#This Row],[ActualAwayScore]]-Table2[[#This Row],[ActualHomeScore]])&gt;=5, 1, 0)</f>
        <v>0</v>
      </c>
      <c r="AT25" s="2">
        <f>IF(Table2[[#This Row],[ActualAwayScore]] + Table2[[#This Row],[ActualHomeScore]] &lt;= 3, 1, 0)</f>
        <v>0</v>
      </c>
      <c r="AU25" s="2"/>
      <c r="AV25" s="2"/>
    </row>
    <row r="26" spans="1:61" x14ac:dyDescent="0.25">
      <c r="A26" s="3">
        <v>45941</v>
      </c>
      <c r="B26" s="3">
        <v>45941</v>
      </c>
      <c r="C26" s="5">
        <v>2025020024</v>
      </c>
      <c r="D26" s="2" t="s">
        <v>28</v>
      </c>
      <c r="E26" s="2" t="s">
        <v>15</v>
      </c>
      <c r="F26" s="2">
        <v>3</v>
      </c>
      <c r="G26" s="2">
        <v>5</v>
      </c>
      <c r="H26" s="2" t="str">
        <f t="shared" si="0"/>
        <v>BOS</v>
      </c>
      <c r="I26" s="2" t="s">
        <v>718</v>
      </c>
      <c r="J26" s="2">
        <v>1</v>
      </c>
      <c r="K26" s="2">
        <v>3</v>
      </c>
      <c r="L26" s="2" t="str">
        <f t="shared" si="1"/>
        <v>BOS</v>
      </c>
      <c r="M26" s="2" t="s">
        <v>718</v>
      </c>
      <c r="N26" s="2">
        <f>IF(ISBLANK(Table2[[#This Row],[ActualResult]]), 0, 1)</f>
        <v>1</v>
      </c>
      <c r="O26" s="2" t="str">
        <f>IF(ISBLANK(Table2[[#This Row],[ActualResult]]), "_", IF(Table2[[#This Row],[ActualWinner]]=Table2[[#This Row],[PredictedWinner]], "Y", "N"))</f>
        <v>Y</v>
      </c>
      <c r="P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6" s="2">
        <v>0</v>
      </c>
      <c r="S26" s="2" t="str">
        <f t="shared" si="2"/>
        <v>BUF</v>
      </c>
      <c r="T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6" s="2">
        <f>IF(Table2[[#This Row],[InterConf]]=1,IF(Table2[[#This Row],[InterDiv]]=0, 1, 0), 0)</f>
        <v>0</v>
      </c>
      <c r="W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" s="2"/>
      <c r="Y26" s="2"/>
      <c r="Z26" s="145">
        <f>IF(AND(Table2[[#This Row],[GameIsOver]]=1,Table2[[#This Row],[ActualHomeScore]]*Table2[[#This Row],[ActualAwayScore]]=0), 1,0)</f>
        <v>0</v>
      </c>
      <c r="AA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6" s="2">
        <f>Table2[[#This Row],[ActualAwayScore]]-Table2[[#This Row],[PredictedAwayScore]]</f>
        <v>-2</v>
      </c>
      <c r="AG26" s="2">
        <f>Table2[[#This Row],[ActualHomeScore]]-Table2[[#This Row],[PredictedHomeScore]]</f>
        <v>-2</v>
      </c>
      <c r="AH26" s="2">
        <f t="shared" si="3"/>
        <v>2</v>
      </c>
      <c r="AI26" s="2">
        <f t="shared" si="4"/>
        <v>-7</v>
      </c>
      <c r="AJ26" s="2"/>
      <c r="AK26" s="2"/>
      <c r="AL26" s="2">
        <f>IF(Table2[[#This Row],[GameIsOver]]=0,0,IF(Table2[[#This Row],[ActualWinner]]=Table2[[#This Row],[AwayTeam]], 1, 0))</f>
        <v>0</v>
      </c>
      <c r="AM26" s="2">
        <f>IF(Table2[[#This Row],[GameIsOver]]=0,0,IF(Table2[[#This Row],[ActualWinner]]=Table2[[#This Row],[HomeTeam]], 1, 0))</f>
        <v>1</v>
      </c>
      <c r="AN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" s="2" t="str">
        <f>INDEX(Sheet5!$B$2:$AG$33, MATCH(Table2[[#This Row],[AwayTeam]],Sheet5!$A$2:$A$33, 0), MATCH(Table2[[#This Row],[HomeTeam]],Sheet5!$A$2:$A$33, 0))</f>
        <v>0-1-0</v>
      </c>
      <c r="AP26" s="2" t="str">
        <f>INDEX(Sheet5!$B$2:$AG$33, MATCH(Table2[[#This Row],[HomeTeam]],Sheet5!$A$2:$A$33, 0), MATCH(Table2[[#This Row],[AwayTeam]],Sheet5!$A$2:$A$33, 0))</f>
        <v>1-0-0</v>
      </c>
      <c r="AQ26" s="2">
        <f>IF(Table2[[#This Row],[GameHasShutOut]], 1, 0)</f>
        <v>0</v>
      </c>
      <c r="AR26" s="2">
        <f>IF(Table2[[#This Row],[ActualAwayScore]] + Table2[[#This Row],[ActualHomeScore]] &gt;= 10, 1, 0)</f>
        <v>0</v>
      </c>
      <c r="AS26" s="2">
        <f>IF(ABS(Table2[[#This Row],[ActualAwayScore]]-Table2[[#This Row],[ActualHomeScore]])&gt;=5, 1, 0)</f>
        <v>0</v>
      </c>
      <c r="AT26" s="2">
        <f>IF(Table2[[#This Row],[ActualAwayScore]] + Table2[[#This Row],[ActualHomeScore]] &lt;= 3, 1, 0)</f>
        <v>0</v>
      </c>
      <c r="AU26" s="2"/>
      <c r="AV26" s="2"/>
    </row>
    <row r="27" spans="1:61" x14ac:dyDescent="0.25">
      <c r="A27" s="3">
        <v>45941</v>
      </c>
      <c r="B27" s="3">
        <v>45941</v>
      </c>
      <c r="C27" s="5">
        <v>2025020025</v>
      </c>
      <c r="D27" s="2" t="s">
        <v>17</v>
      </c>
      <c r="E27" s="2" t="s">
        <v>30</v>
      </c>
      <c r="F27" s="2">
        <v>4</v>
      </c>
      <c r="G27" s="2">
        <v>2</v>
      </c>
      <c r="H27" s="2" t="str">
        <f t="shared" si="0"/>
        <v>TOR</v>
      </c>
      <c r="I27" s="2" t="s">
        <v>718</v>
      </c>
      <c r="J27" s="2">
        <v>3</v>
      </c>
      <c r="K27" s="2">
        <v>6</v>
      </c>
      <c r="L27" s="2" t="str">
        <f t="shared" si="1"/>
        <v>DET</v>
      </c>
      <c r="M27" s="2" t="s">
        <v>718</v>
      </c>
      <c r="N27" s="2">
        <f>IF(ISBLANK(Table2[[#This Row],[ActualResult]]), 0, 1)</f>
        <v>1</v>
      </c>
      <c r="O27" s="2" t="str">
        <f>IF(ISBLANK(Table2[[#This Row],[ActualResult]]), "_", IF(Table2[[#This Row],[ActualWinner]]=Table2[[#This Row],[PredictedWinner]], "Y", "N"))</f>
        <v>N</v>
      </c>
      <c r="P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7" s="2">
        <v>1</v>
      </c>
      <c r="S27" s="2" t="str">
        <f t="shared" si="2"/>
        <v>TOR</v>
      </c>
      <c r="T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7" s="2">
        <f>IF(Table2[[#This Row],[InterConf]]=1,IF(Table2[[#This Row],[InterDiv]]=0, 1, 0), 0)</f>
        <v>0</v>
      </c>
      <c r="W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" s="2"/>
      <c r="Y27" s="2"/>
      <c r="Z27" s="145">
        <f>IF(AND(Table2[[#This Row],[GameIsOver]]=1,Table2[[#This Row],[ActualHomeScore]]*Table2[[#This Row],[ActualAwayScore]]=0), 1,0)</f>
        <v>0</v>
      </c>
      <c r="AA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7" s="2">
        <f>Table2[[#This Row],[ActualAwayScore]]-Table2[[#This Row],[PredictedAwayScore]]</f>
        <v>-1</v>
      </c>
      <c r="AG27" s="2">
        <f>Table2[[#This Row],[ActualHomeScore]]-Table2[[#This Row],[PredictedHomeScore]]</f>
        <v>4</v>
      </c>
      <c r="AH27" s="2">
        <f t="shared" si="3"/>
        <v>2</v>
      </c>
      <c r="AI27" s="2">
        <f t="shared" si="4"/>
        <v>-7</v>
      </c>
      <c r="AJ27" s="2">
        <v>3</v>
      </c>
      <c r="AK27" s="3">
        <v>45941</v>
      </c>
      <c r="AL27" s="2">
        <f>IF(Table2[[#This Row],[GameIsOver]]=0,0,IF(Table2[[#This Row],[ActualWinner]]=Table2[[#This Row],[AwayTeam]], 1, 0))</f>
        <v>0</v>
      </c>
      <c r="AM27" s="2">
        <f>IF(Table2[[#This Row],[GameIsOver]]=0,0,IF(Table2[[#This Row],[ActualWinner]]=Table2[[#This Row],[HomeTeam]], 1, 0))</f>
        <v>1</v>
      </c>
      <c r="AN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" s="2" t="str">
        <f>INDEX(Sheet5!$B$2:$AG$33, MATCH(Table2[[#This Row],[AwayTeam]],Sheet5!$A$2:$A$33, 0), MATCH(Table2[[#This Row],[HomeTeam]],Sheet5!$A$2:$A$33, 0))</f>
        <v>0-2-0</v>
      </c>
      <c r="AP27" s="2" t="str">
        <f>INDEX(Sheet5!$B$2:$AG$33, MATCH(Table2[[#This Row],[HomeTeam]],Sheet5!$A$2:$A$33, 0), MATCH(Table2[[#This Row],[AwayTeam]],Sheet5!$A$2:$A$33, 0))</f>
        <v>2-0-0</v>
      </c>
      <c r="AQ27" s="2">
        <f>IF(Table2[[#This Row],[GameHasShutOut]], 1, 0)</f>
        <v>0</v>
      </c>
      <c r="AR27" s="2">
        <f>IF(Table2[[#This Row],[ActualAwayScore]] + Table2[[#This Row],[ActualHomeScore]] &gt;= 10, 1, 0)</f>
        <v>0</v>
      </c>
      <c r="AS27" s="2">
        <f>IF(ABS(Table2[[#This Row],[ActualAwayScore]]-Table2[[#This Row],[ActualHomeScore]])&gt;=5, 1, 0)</f>
        <v>0</v>
      </c>
      <c r="AT27" s="2">
        <f>IF(Table2[[#This Row],[ActualAwayScore]] + Table2[[#This Row],[ActualHomeScore]] &lt;= 3, 1, 0)</f>
        <v>0</v>
      </c>
      <c r="AU27" s="2"/>
      <c r="AV27" s="2"/>
      <c r="BC27" t="s">
        <v>502</v>
      </c>
      <c r="BD27">
        <v>1.8</v>
      </c>
    </row>
    <row r="28" spans="1:61" x14ac:dyDescent="0.25">
      <c r="A28" s="3">
        <v>45941</v>
      </c>
      <c r="B28" s="3">
        <v>45941</v>
      </c>
      <c r="C28" s="5">
        <v>2025020026</v>
      </c>
      <c r="D28" s="2" t="s">
        <v>31</v>
      </c>
      <c r="E28" s="2" t="s">
        <v>40</v>
      </c>
      <c r="F28" s="2">
        <v>2</v>
      </c>
      <c r="G28" s="2">
        <v>3</v>
      </c>
      <c r="H28" s="2" t="str">
        <f t="shared" si="0"/>
        <v>TBL</v>
      </c>
      <c r="I28" s="2" t="s">
        <v>720</v>
      </c>
      <c r="J28" s="2">
        <v>5</v>
      </c>
      <c r="K28" s="2">
        <v>3</v>
      </c>
      <c r="L28" s="2" t="str">
        <f t="shared" si="1"/>
        <v>NJD</v>
      </c>
      <c r="M28" s="2" t="s">
        <v>718</v>
      </c>
      <c r="N28" s="2">
        <f>IF(ISBLANK(Table2[[#This Row],[ActualResult]]), 0, 1)</f>
        <v>1</v>
      </c>
      <c r="O28" s="2" t="str">
        <f>IF(ISBLANK(Table2[[#This Row],[ActualResult]]), "_", IF(Table2[[#This Row],[ActualWinner]]=Table2[[#This Row],[PredictedWinner]], "Y", "N"))</f>
        <v>N</v>
      </c>
      <c r="P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28" s="2">
        <v>0</v>
      </c>
      <c r="S28" s="2" t="str">
        <f t="shared" si="2"/>
        <v>TBL</v>
      </c>
      <c r="T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" s="2">
        <f>IF(Table2[[#This Row],[InterConf]]=1,IF(Table2[[#This Row],[InterDiv]]=0, 1, 0), 0)</f>
        <v>1</v>
      </c>
      <c r="W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" s="2"/>
      <c r="Y28" s="2"/>
      <c r="Z28" s="145">
        <f>IF(AND(Table2[[#This Row],[GameIsOver]]=1,Table2[[#This Row],[ActualHomeScore]]*Table2[[#This Row],[ActualAwayScore]]=0), 1,0)</f>
        <v>0</v>
      </c>
      <c r="AA2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" s="2">
        <f>Table2[[#This Row],[ActualAwayScore]]-Table2[[#This Row],[PredictedAwayScore]]</f>
        <v>3</v>
      </c>
      <c r="AG28" s="2">
        <f>Table2[[#This Row],[ActualHomeScore]]-Table2[[#This Row],[PredictedHomeScore]]</f>
        <v>0</v>
      </c>
      <c r="AH28" s="2">
        <f t="shared" si="3"/>
        <v>2</v>
      </c>
      <c r="AI28" s="2">
        <f t="shared" si="4"/>
        <v>-7</v>
      </c>
      <c r="AJ28" s="2"/>
      <c r="AK28" s="2"/>
      <c r="AL28" s="2">
        <f>IF(Table2[[#This Row],[GameIsOver]]=0,0,IF(Table2[[#This Row],[ActualWinner]]=Table2[[#This Row],[AwayTeam]], 1, 0))</f>
        <v>1</v>
      </c>
      <c r="AM28" s="2">
        <f>IF(Table2[[#This Row],[GameIsOver]]=0,0,IF(Table2[[#This Row],[ActualWinner]]=Table2[[#This Row],[HomeTeam]], 1, 0))</f>
        <v>0</v>
      </c>
      <c r="AN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" s="2" t="str">
        <f>INDEX(Sheet5!$B$2:$AG$33, MATCH(Table2[[#This Row],[AwayTeam]],Sheet5!$A$2:$A$33, 0), MATCH(Table2[[#This Row],[HomeTeam]],Sheet5!$A$2:$A$33, 0))</f>
        <v>1-0-0</v>
      </c>
      <c r="AP28" s="2" t="str">
        <f>INDEX(Sheet5!$B$2:$AG$33, MATCH(Table2[[#This Row],[HomeTeam]],Sheet5!$A$2:$A$33, 0), MATCH(Table2[[#This Row],[AwayTeam]],Sheet5!$A$2:$A$33, 0))</f>
        <v>0-1-0</v>
      </c>
      <c r="AQ28" s="2">
        <f>IF(Table2[[#This Row],[GameHasShutOut]], 1, 0)</f>
        <v>0</v>
      </c>
      <c r="AR28" s="2">
        <f>IF(Table2[[#This Row],[ActualAwayScore]] + Table2[[#This Row],[ActualHomeScore]] &gt;= 10, 1, 0)</f>
        <v>0</v>
      </c>
      <c r="AS28" s="2">
        <f>IF(ABS(Table2[[#This Row],[ActualAwayScore]]-Table2[[#This Row],[ActualHomeScore]])&gt;=5, 1, 0)</f>
        <v>0</v>
      </c>
      <c r="AT28" s="2">
        <f>IF(Table2[[#This Row],[ActualAwayScore]] + Table2[[#This Row],[ActualHomeScore]] &lt;= 3, 1, 0)</f>
        <v>0</v>
      </c>
      <c r="AU28" s="2"/>
      <c r="AV28" s="2"/>
      <c r="BC28" t="s">
        <v>503</v>
      </c>
      <c r="BD28">
        <f ca="1">COUNTIFS(Table2[PredictedResult], "REG", Table2[ActualResult], "", Table2[GameDate],"&lt;" &amp; NOW())+COUNTIFS(Table2[PredictedResult], "OT", Table2[ActualResult], "", Table2[GameDate],"&lt;" &amp; NOW())+COUNTIFS(Table2[PredictedResult], "SO", Table2[ActualResult], "", Table2[GameDate],"&lt;" &amp; NOW())</f>
        <v>3</v>
      </c>
    </row>
    <row r="29" spans="1:61" x14ac:dyDescent="0.25">
      <c r="A29" s="3">
        <v>45941</v>
      </c>
      <c r="B29" s="3">
        <v>45941</v>
      </c>
      <c r="C29" s="5">
        <v>2025020027</v>
      </c>
      <c r="D29" s="2" t="s">
        <v>29</v>
      </c>
      <c r="E29" s="2" t="s">
        <v>13</v>
      </c>
      <c r="F29" s="2">
        <v>5</v>
      </c>
      <c r="G29" s="2">
        <v>3</v>
      </c>
      <c r="H29" s="2" t="str">
        <f t="shared" si="0"/>
        <v>OTT</v>
      </c>
      <c r="I29" s="2" t="s">
        <v>718</v>
      </c>
      <c r="J29" s="2">
        <v>2</v>
      </c>
      <c r="K29" s="2">
        <v>6</v>
      </c>
      <c r="L29" s="2" t="str">
        <f t="shared" si="1"/>
        <v>FLA</v>
      </c>
      <c r="M29" s="2" t="s">
        <v>718</v>
      </c>
      <c r="N29" s="2">
        <f>IF(ISBLANK(Table2[[#This Row],[ActualResult]]), 0, 1)</f>
        <v>1</v>
      </c>
      <c r="O29" s="2" t="str">
        <f>IF(ISBLANK(Table2[[#This Row],[ActualResult]]), "_", IF(Table2[[#This Row],[ActualWinner]]=Table2[[#This Row],[PredictedWinner]], "Y", "N"))</f>
        <v>N</v>
      </c>
      <c r="P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9" s="2">
        <v>1</v>
      </c>
      <c r="S29" s="2" t="str">
        <f t="shared" si="2"/>
        <v>OTT</v>
      </c>
      <c r="T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" s="2">
        <f>IF(Table2[[#This Row],[InterConf]]=1,IF(Table2[[#This Row],[InterDiv]]=0, 1, 0), 0)</f>
        <v>0</v>
      </c>
      <c r="W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" s="2"/>
      <c r="Y29" s="2"/>
      <c r="Z29" s="145">
        <f>IF(AND(Table2[[#This Row],[GameIsOver]]=1,Table2[[#This Row],[ActualHomeScore]]*Table2[[#This Row],[ActualAwayScore]]=0), 1,0)</f>
        <v>0</v>
      </c>
      <c r="AA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9" s="2">
        <f>Table2[[#This Row],[ActualAwayScore]]-Table2[[#This Row],[PredictedAwayScore]]</f>
        <v>-3</v>
      </c>
      <c r="AG29" s="2">
        <f>Table2[[#This Row],[ActualHomeScore]]-Table2[[#This Row],[PredictedHomeScore]]</f>
        <v>3</v>
      </c>
      <c r="AH29" s="2">
        <f t="shared" si="3"/>
        <v>2</v>
      </c>
      <c r="AI29" s="2">
        <f t="shared" si="4"/>
        <v>-7</v>
      </c>
      <c r="AJ29" s="2">
        <v>4</v>
      </c>
      <c r="AK29" s="3">
        <v>45941</v>
      </c>
      <c r="AL29" s="2">
        <f>IF(Table2[[#This Row],[GameIsOver]]=0,0,IF(Table2[[#This Row],[ActualWinner]]=Table2[[#This Row],[AwayTeam]], 1, 0))</f>
        <v>0</v>
      </c>
      <c r="AM29" s="2">
        <f>IF(Table2[[#This Row],[GameIsOver]]=0,0,IF(Table2[[#This Row],[ActualWinner]]=Table2[[#This Row],[HomeTeam]], 1, 0))</f>
        <v>1</v>
      </c>
      <c r="AN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" s="2" t="str">
        <f>INDEX(Sheet5!$B$2:$AG$33, MATCH(Table2[[#This Row],[AwayTeam]],Sheet5!$A$2:$A$33, 0), MATCH(Table2[[#This Row],[HomeTeam]],Sheet5!$A$2:$A$33, 0))</f>
        <v>0-1-0</v>
      </c>
      <c r="AP29" s="2" t="str">
        <f>INDEX(Sheet5!$B$2:$AG$33, MATCH(Table2[[#This Row],[HomeTeam]],Sheet5!$A$2:$A$33, 0), MATCH(Table2[[#This Row],[AwayTeam]],Sheet5!$A$2:$A$33, 0))</f>
        <v>1-0-0</v>
      </c>
      <c r="AQ29" s="2">
        <f>IF(Table2[[#This Row],[GameHasShutOut]], 1, 0)</f>
        <v>0</v>
      </c>
      <c r="AR29" s="2">
        <f>IF(Table2[[#This Row],[ActualAwayScore]] + Table2[[#This Row],[ActualHomeScore]] &gt;= 10, 1, 0)</f>
        <v>0</v>
      </c>
      <c r="AS29" s="2">
        <f>IF(ABS(Table2[[#This Row],[ActualAwayScore]]-Table2[[#This Row],[ActualHomeScore]])&gt;=5, 1, 0)</f>
        <v>0</v>
      </c>
      <c r="AT29" s="2">
        <f>IF(Table2[[#This Row],[ActualAwayScore]] + Table2[[#This Row],[ActualHomeScore]] &lt;= 3, 1, 0)</f>
        <v>0</v>
      </c>
      <c r="AU29" s="2"/>
      <c r="AV29" s="2"/>
      <c r="BC29" t="s">
        <v>504</v>
      </c>
      <c r="BD29" s="24">
        <f ca="1">BD28*BD27</f>
        <v>5.4</v>
      </c>
    </row>
    <row r="30" spans="1:61" ht="15.75" thickBot="1" x14ac:dyDescent="0.3">
      <c r="A30" s="3">
        <v>45941</v>
      </c>
      <c r="B30" s="3">
        <v>45941</v>
      </c>
      <c r="C30" s="5">
        <v>2025020028</v>
      </c>
      <c r="D30" s="2" t="s">
        <v>43</v>
      </c>
      <c r="E30" s="2" t="s">
        <v>32</v>
      </c>
      <c r="F30" s="2">
        <v>4</v>
      </c>
      <c r="G30" s="2">
        <v>2</v>
      </c>
      <c r="H30" s="2" t="str">
        <f t="shared" si="0"/>
        <v>WSH</v>
      </c>
      <c r="I30" s="2" t="s">
        <v>718</v>
      </c>
      <c r="J30" s="2">
        <v>4</v>
      </c>
      <c r="K30" s="2">
        <v>2</v>
      </c>
      <c r="L30" s="2" t="str">
        <f t="shared" si="1"/>
        <v>WSH</v>
      </c>
      <c r="M30" s="2" t="s">
        <v>718</v>
      </c>
      <c r="N30" s="2">
        <f>IF(ISBLANK(Table2[[#This Row],[ActualResult]]), 0, 1)</f>
        <v>1</v>
      </c>
      <c r="O30" s="2" t="str">
        <f>IF(ISBLANK(Table2[[#This Row],[ActualResult]]), "_", IF(Table2[[#This Row],[ActualWinner]]=Table2[[#This Row],[PredictedWinner]], "Y", "N"))</f>
        <v>Y</v>
      </c>
      <c r="P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30" s="2">
        <v>0</v>
      </c>
      <c r="S30" s="2" t="str">
        <f t="shared" si="2"/>
        <v>NYI</v>
      </c>
      <c r="T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0" s="2">
        <f>IF(Table2[[#This Row],[InterConf]]=1,IF(Table2[[#This Row],[InterDiv]]=0, 1, 0), 0)</f>
        <v>0</v>
      </c>
      <c r="W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" s="2"/>
      <c r="Y30" s="2"/>
      <c r="Z30" s="145">
        <f>IF(AND(Table2[[#This Row],[GameIsOver]]=1,Table2[[#This Row],[ActualHomeScore]]*Table2[[#This Row],[ActualAwayScore]]=0), 1,0)</f>
        <v>0</v>
      </c>
      <c r="AA30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0" s="2">
        <f>Table2[[#This Row],[ActualAwayScore]]-Table2[[#This Row],[PredictedAwayScore]]</f>
        <v>0</v>
      </c>
      <c r="AG30" s="2">
        <f>Table2[[#This Row],[ActualHomeScore]]-Table2[[#This Row],[PredictedHomeScore]]</f>
        <v>0</v>
      </c>
      <c r="AH30" s="2">
        <f t="shared" si="3"/>
        <v>2</v>
      </c>
      <c r="AI30" s="2">
        <f t="shared" si="4"/>
        <v>-7</v>
      </c>
      <c r="AJ30" s="2"/>
      <c r="AK30" s="2"/>
      <c r="AL30" s="2">
        <f>IF(Table2[[#This Row],[GameIsOver]]=0,0,IF(Table2[[#This Row],[ActualWinner]]=Table2[[#This Row],[AwayTeam]], 1, 0))</f>
        <v>1</v>
      </c>
      <c r="AM30" s="2">
        <f>IF(Table2[[#This Row],[GameIsOver]]=0,0,IF(Table2[[#This Row],[ActualWinner]]=Table2[[#This Row],[HomeTeam]], 1, 0))</f>
        <v>0</v>
      </c>
      <c r="AN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" s="2" t="str">
        <f>INDEX(Sheet5!$B$2:$AG$33, MATCH(Table2[[#This Row],[AwayTeam]],Sheet5!$A$2:$A$33, 0), MATCH(Table2[[#This Row],[HomeTeam]],Sheet5!$A$2:$A$33, 0))</f>
        <v>1-0-0</v>
      </c>
      <c r="AP30" s="2" t="str">
        <f>INDEX(Sheet5!$B$2:$AG$33, MATCH(Table2[[#This Row],[HomeTeam]],Sheet5!$A$2:$A$33, 0), MATCH(Table2[[#This Row],[AwayTeam]],Sheet5!$A$2:$A$33, 0))</f>
        <v>0-1-0</v>
      </c>
      <c r="AQ30" s="2">
        <f>IF(Table2[[#This Row],[GameHasShutOut]], 1, 0)</f>
        <v>0</v>
      </c>
      <c r="AR30" s="2">
        <f>IF(Table2[[#This Row],[ActualAwayScore]] + Table2[[#This Row],[ActualHomeScore]] &gt;= 10, 1, 0)</f>
        <v>0</v>
      </c>
      <c r="AS30" s="2">
        <f>IF(ABS(Table2[[#This Row],[ActualAwayScore]]-Table2[[#This Row],[ActualHomeScore]])&gt;=5, 1, 0)</f>
        <v>0</v>
      </c>
      <c r="AT30" s="2">
        <f>IF(Table2[[#This Row],[ActualAwayScore]] + Table2[[#This Row],[ActualHomeScore]] &lt;= 3, 1, 0)</f>
        <v>0</v>
      </c>
      <c r="AU30" s="2"/>
      <c r="AV30" s="2"/>
    </row>
    <row r="31" spans="1:61" x14ac:dyDescent="0.25">
      <c r="A31" s="3">
        <v>45941</v>
      </c>
      <c r="B31" s="3">
        <v>45941</v>
      </c>
      <c r="C31" s="5">
        <v>2025020029</v>
      </c>
      <c r="D31" s="2" t="s">
        <v>19</v>
      </c>
      <c r="E31" s="2" t="s">
        <v>20</v>
      </c>
      <c r="F31" s="2">
        <v>2</v>
      </c>
      <c r="G31" s="2">
        <v>5</v>
      </c>
      <c r="H31" s="2" t="str">
        <f t="shared" si="0"/>
        <v>PIT</v>
      </c>
      <c r="I31" s="2" t="s">
        <v>718</v>
      </c>
      <c r="J31" s="2">
        <v>6</v>
      </c>
      <c r="K31" s="2">
        <v>1</v>
      </c>
      <c r="L31" s="2" t="str">
        <f t="shared" si="1"/>
        <v>NYR</v>
      </c>
      <c r="M31" s="2" t="s">
        <v>718</v>
      </c>
      <c r="N31" s="2">
        <f>IF(ISBLANK(Table2[[#This Row],[ActualResult]]), 0, 1)</f>
        <v>1</v>
      </c>
      <c r="O31" s="2" t="str">
        <f>IF(ISBLANK(Table2[[#This Row],[ActualResult]]), "_", IF(Table2[[#This Row],[ActualWinner]]=Table2[[#This Row],[PredictedWinner]], "Y", "N"))</f>
        <v>N</v>
      </c>
      <c r="P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1" s="2">
        <v>0</v>
      </c>
      <c r="S31" s="2" t="str">
        <f t="shared" si="2"/>
        <v>PIT</v>
      </c>
      <c r="T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1" s="2">
        <f>IF(Table2[[#This Row],[InterConf]]=1,IF(Table2[[#This Row],[InterDiv]]=0, 1, 0), 0)</f>
        <v>0</v>
      </c>
      <c r="W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" s="2"/>
      <c r="Y31" s="2"/>
      <c r="Z31" s="145">
        <f>IF(AND(Table2[[#This Row],[GameIsOver]]=1,Table2[[#This Row],[ActualHomeScore]]*Table2[[#This Row],[ActualAwayScore]]=0), 1,0)</f>
        <v>0</v>
      </c>
      <c r="AA3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1" s="2">
        <f>Table2[[#This Row],[ActualAwayScore]]-Table2[[#This Row],[PredictedAwayScore]]</f>
        <v>4</v>
      </c>
      <c r="AG31" s="2">
        <f>Table2[[#This Row],[ActualHomeScore]]-Table2[[#This Row],[PredictedHomeScore]]</f>
        <v>-4</v>
      </c>
      <c r="AH31" s="2">
        <f t="shared" si="3"/>
        <v>2</v>
      </c>
      <c r="AI31" s="2">
        <f t="shared" si="4"/>
        <v>-7</v>
      </c>
      <c r="AJ31" s="2"/>
      <c r="AK31" s="3"/>
      <c r="AL31" s="2">
        <f>IF(Table2[[#This Row],[GameIsOver]]=0,0,IF(Table2[[#This Row],[ActualWinner]]=Table2[[#This Row],[AwayTeam]], 1, 0))</f>
        <v>1</v>
      </c>
      <c r="AM31" s="2">
        <f>IF(Table2[[#This Row],[GameIsOver]]=0,0,IF(Table2[[#This Row],[ActualWinner]]=Table2[[#This Row],[HomeTeam]], 1, 0))</f>
        <v>0</v>
      </c>
      <c r="AN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" s="2" t="str">
        <f>INDEX(Sheet5!$B$2:$AG$33, MATCH(Table2[[#This Row],[AwayTeam]],Sheet5!$A$2:$A$33, 0), MATCH(Table2[[#This Row],[HomeTeam]],Sheet5!$A$2:$A$33, 0))</f>
        <v>1-1-0</v>
      </c>
      <c r="AP31" s="2" t="str">
        <f>INDEX(Sheet5!$B$2:$AG$33, MATCH(Table2[[#This Row],[HomeTeam]],Sheet5!$A$2:$A$33, 0), MATCH(Table2[[#This Row],[AwayTeam]],Sheet5!$A$2:$A$33, 0))</f>
        <v>1-1-0</v>
      </c>
      <c r="AQ31" s="2">
        <f>IF(Table2[[#This Row],[GameHasShutOut]], 1, 0)</f>
        <v>0</v>
      </c>
      <c r="AR31" s="2">
        <f>IF(Table2[[#This Row],[ActualAwayScore]] + Table2[[#This Row],[ActualHomeScore]] &gt;= 10, 1, 0)</f>
        <v>0</v>
      </c>
      <c r="AS31" s="2">
        <f>IF(ABS(Table2[[#This Row],[ActualAwayScore]]-Table2[[#This Row],[ActualHomeScore]])&gt;=5, 1, 0)</f>
        <v>1</v>
      </c>
      <c r="AT31" s="2">
        <f>IF(Table2[[#This Row],[ActualAwayScore]] + Table2[[#This Row],[ActualHomeScore]] &lt;= 3, 1, 0)</f>
        <v>0</v>
      </c>
      <c r="AU31" s="2"/>
      <c r="AV31" s="2"/>
      <c r="BC31" t="s">
        <v>489</v>
      </c>
      <c r="BD31" s="66" t="s">
        <v>27</v>
      </c>
      <c r="BH31" t="str">
        <f>_xlfn.TEXTJOIN(";", 1, $BD31:$BD$40)</f>
        <v>LAK</v>
      </c>
    </row>
    <row r="32" spans="1:61" x14ac:dyDescent="0.25">
      <c r="A32" s="3">
        <v>45941</v>
      </c>
      <c r="B32" s="3">
        <v>45941</v>
      </c>
      <c r="C32" s="5">
        <v>2025020030</v>
      </c>
      <c r="D32" s="2" t="s">
        <v>42</v>
      </c>
      <c r="E32" s="2" t="s">
        <v>41</v>
      </c>
      <c r="F32" s="2">
        <v>1</v>
      </c>
      <c r="G32" s="2">
        <v>5</v>
      </c>
      <c r="H32" s="2" t="str">
        <f t="shared" si="0"/>
        <v>CAR</v>
      </c>
      <c r="I32" s="2" t="s">
        <v>718</v>
      </c>
      <c r="J32" s="2">
        <v>3</v>
      </c>
      <c r="K32" s="2">
        <v>4</v>
      </c>
      <c r="L32" s="2" t="str">
        <f t="shared" si="1"/>
        <v>CAR</v>
      </c>
      <c r="M32" s="2" t="s">
        <v>720</v>
      </c>
      <c r="N32" s="2">
        <f>IF(ISBLANK(Table2[[#This Row],[ActualResult]]), 0, 1)</f>
        <v>1</v>
      </c>
      <c r="O32" s="2" t="str">
        <f>IF(ISBLANK(Table2[[#This Row],[ActualResult]]), "_", IF(Table2[[#This Row],[ActualWinner]]=Table2[[#This Row],[PredictedWinner]], "Y", "N"))</f>
        <v>Y</v>
      </c>
      <c r="P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2" s="2">
        <v>1</v>
      </c>
      <c r="S32" s="2" t="str">
        <f t="shared" si="2"/>
        <v>PHI</v>
      </c>
      <c r="T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2" s="2">
        <f>IF(Table2[[#This Row],[InterConf]]=1,IF(Table2[[#This Row],[InterDiv]]=0, 1, 0), 0)</f>
        <v>0</v>
      </c>
      <c r="W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" s="2"/>
      <c r="Y32" s="2"/>
      <c r="Z32" s="145">
        <f>IF(AND(Table2[[#This Row],[GameIsOver]]=1,Table2[[#This Row],[ActualHomeScore]]*Table2[[#This Row],[ActualAwayScore]]=0), 1,0)</f>
        <v>0</v>
      </c>
      <c r="AA32" s="145">
        <f>IF(Table2[[#This Row],[GameIsOver]]=0,0, IF(Table2[[#This Row],[ActualWinner]]=Table2[[#This Row],[AwayTeam]], 2, IF(OR(Table2[[#This Row],[ActualResult]]="OT", Table2[[#This Row],[ActualResult]]="SO"), 1, 0)))</f>
        <v>1</v>
      </c>
      <c r="AB3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32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2" s="2">
        <f>Table2[[#This Row],[ActualAwayScore]]-Table2[[#This Row],[PredictedAwayScore]]</f>
        <v>2</v>
      </c>
      <c r="AG32" s="2">
        <f>Table2[[#This Row],[ActualHomeScore]]-Table2[[#This Row],[PredictedHomeScore]]</f>
        <v>-1</v>
      </c>
      <c r="AH32" s="2">
        <f t="shared" si="3"/>
        <v>2</v>
      </c>
      <c r="AI32" s="2">
        <f t="shared" si="4"/>
        <v>-7</v>
      </c>
      <c r="AJ32" s="2">
        <v>5</v>
      </c>
      <c r="AK32" s="3">
        <v>45941</v>
      </c>
      <c r="AL32" s="2">
        <f>IF(Table2[[#This Row],[GameIsOver]]=0,0,IF(Table2[[#This Row],[ActualWinner]]=Table2[[#This Row],[AwayTeam]], 1, 0))</f>
        <v>0</v>
      </c>
      <c r="AM32" s="2">
        <f>IF(Table2[[#This Row],[GameIsOver]]=0,0,IF(Table2[[#This Row],[ActualWinner]]=Table2[[#This Row],[HomeTeam]], 1, 0))</f>
        <v>1</v>
      </c>
      <c r="AN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" s="2" t="str">
        <f>INDEX(Sheet5!$B$2:$AG$33, MATCH(Table2[[#This Row],[AwayTeam]],Sheet5!$A$2:$A$33, 0), MATCH(Table2[[#This Row],[HomeTeam]],Sheet5!$A$2:$A$33, 0))</f>
        <v>0-0-1</v>
      </c>
      <c r="AP32" s="2" t="str">
        <f>INDEX(Sheet5!$B$2:$AG$33, MATCH(Table2[[#This Row],[HomeTeam]],Sheet5!$A$2:$A$33, 0), MATCH(Table2[[#This Row],[AwayTeam]],Sheet5!$A$2:$A$33, 0))</f>
        <v>1-0-0</v>
      </c>
      <c r="AQ32" s="2">
        <f>IF(Table2[[#This Row],[GameHasShutOut]], 1, 0)</f>
        <v>0</v>
      </c>
      <c r="AR32" s="2">
        <f>IF(Table2[[#This Row],[ActualAwayScore]] + Table2[[#This Row],[ActualHomeScore]] &gt;= 10, 1, 0)</f>
        <v>0</v>
      </c>
      <c r="AS32" s="2">
        <f>IF(ABS(Table2[[#This Row],[ActualAwayScore]]-Table2[[#This Row],[ActualHomeScore]])&gt;=5, 1, 0)</f>
        <v>0</v>
      </c>
      <c r="AT32" s="2">
        <f>IF(Table2[[#This Row],[ActualAwayScore]] + Table2[[#This Row],[ActualHomeScore]] &lt;= 3, 1, 0)</f>
        <v>0</v>
      </c>
      <c r="AU32" s="2"/>
      <c r="AV32" s="2"/>
      <c r="BD32" s="67"/>
    </row>
    <row r="33" spans="1:60" x14ac:dyDescent="0.25">
      <c r="A33" s="3">
        <v>45941</v>
      </c>
      <c r="B33" s="3">
        <v>45941</v>
      </c>
      <c r="C33" s="5">
        <v>2025020031</v>
      </c>
      <c r="D33" s="2" t="s">
        <v>18</v>
      </c>
      <c r="E33" s="2" t="s">
        <v>16</v>
      </c>
      <c r="F33" s="2">
        <v>5</v>
      </c>
      <c r="G33" s="2">
        <v>4</v>
      </c>
      <c r="H33" s="2" t="str">
        <f t="shared" si="0"/>
        <v>MTL</v>
      </c>
      <c r="I33" s="2" t="s">
        <v>719</v>
      </c>
      <c r="J33" s="2">
        <v>3</v>
      </c>
      <c r="K33" s="2">
        <v>2</v>
      </c>
      <c r="L33" s="2" t="str">
        <f t="shared" si="1"/>
        <v>MTL</v>
      </c>
      <c r="M33" s="2" t="s">
        <v>718</v>
      </c>
      <c r="N33" s="2">
        <f>IF(ISBLANK(Table2[[#This Row],[ActualResult]]), 0, 1)</f>
        <v>1</v>
      </c>
      <c r="O33" s="2" t="str">
        <f>IF(ISBLANK(Table2[[#This Row],[ActualResult]]), "_", IF(Table2[[#This Row],[ActualWinner]]=Table2[[#This Row],[PredictedWinner]], "Y", "N"))</f>
        <v>Y</v>
      </c>
      <c r="P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3" s="2">
        <v>1</v>
      </c>
      <c r="S33" s="2" t="str">
        <f t="shared" si="2"/>
        <v>CHI</v>
      </c>
      <c r="T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" s="2">
        <f>IF(Table2[[#This Row],[InterConf]]=1,IF(Table2[[#This Row],[InterDiv]]=0, 1, 0), 0)</f>
        <v>0</v>
      </c>
      <c r="W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" s="2"/>
      <c r="Y33" s="2"/>
      <c r="Z33" s="145">
        <f>IF(AND(Table2[[#This Row],[GameIsOver]]=1,Table2[[#This Row],[ActualHomeScore]]*Table2[[#This Row],[ActualAwayScore]]=0), 1,0)</f>
        <v>0</v>
      </c>
      <c r="AA3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" s="2">
        <f>Table2[[#This Row],[ActualAwayScore]]-Table2[[#This Row],[PredictedAwayScore]]</f>
        <v>-2</v>
      </c>
      <c r="AG33" s="2">
        <f>Table2[[#This Row],[ActualHomeScore]]-Table2[[#This Row],[PredictedHomeScore]]</f>
        <v>-2</v>
      </c>
      <c r="AH33" s="2">
        <f t="shared" si="3"/>
        <v>2</v>
      </c>
      <c r="AI33" s="2">
        <f t="shared" si="4"/>
        <v>-7</v>
      </c>
      <c r="AJ33" s="2">
        <v>6</v>
      </c>
      <c r="AK33" s="3">
        <v>45941</v>
      </c>
      <c r="AL33" s="2">
        <f>IF(Table2[[#This Row],[GameIsOver]]=0,0,IF(Table2[[#This Row],[ActualWinner]]=Table2[[#This Row],[AwayTeam]], 1, 0))</f>
        <v>1</v>
      </c>
      <c r="AM33" s="2">
        <f>IF(Table2[[#This Row],[GameIsOver]]=0,0,IF(Table2[[#This Row],[ActualWinner]]=Table2[[#This Row],[HomeTeam]], 1, 0))</f>
        <v>0</v>
      </c>
      <c r="AN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" s="2" t="str">
        <f>INDEX(Sheet5!$B$2:$AG$33, MATCH(Table2[[#This Row],[AwayTeam]],Sheet5!$A$2:$A$33, 0), MATCH(Table2[[#This Row],[HomeTeam]],Sheet5!$A$2:$A$33, 0))</f>
        <v>1-0-0</v>
      </c>
      <c r="AP33" s="2" t="str">
        <f>INDEX(Sheet5!$B$2:$AG$33, MATCH(Table2[[#This Row],[HomeTeam]],Sheet5!$A$2:$A$33, 0), MATCH(Table2[[#This Row],[AwayTeam]],Sheet5!$A$2:$A$33, 0))</f>
        <v>0-1-0</v>
      </c>
      <c r="AQ33" s="2">
        <f>IF(Table2[[#This Row],[GameHasShutOut]], 1, 0)</f>
        <v>0</v>
      </c>
      <c r="AR33" s="2">
        <f>IF(Table2[[#This Row],[ActualAwayScore]] + Table2[[#This Row],[ActualHomeScore]] &gt;= 10, 1, 0)</f>
        <v>0</v>
      </c>
      <c r="AS33" s="2">
        <f>IF(ABS(Table2[[#This Row],[ActualAwayScore]]-Table2[[#This Row],[ActualHomeScore]])&gt;=5, 1, 0)</f>
        <v>0</v>
      </c>
      <c r="AT33" s="2">
        <f>IF(Table2[[#This Row],[ActualAwayScore]] + Table2[[#This Row],[ActualHomeScore]] &lt;= 3, 1, 0)</f>
        <v>0</v>
      </c>
      <c r="AU33" s="2"/>
      <c r="AV33" s="2"/>
      <c r="BD33" s="67"/>
      <c r="BH33">
        <f>FIND("Avery", "BriggsAveryBriggs")</f>
        <v>7</v>
      </c>
    </row>
    <row r="34" spans="1:60" x14ac:dyDescent="0.25">
      <c r="A34" s="3">
        <v>45941</v>
      </c>
      <c r="B34" s="3">
        <v>45941</v>
      </c>
      <c r="C34" s="5">
        <v>2025020032</v>
      </c>
      <c r="D34" s="2" t="s">
        <v>14</v>
      </c>
      <c r="E34" s="2" t="s">
        <v>34</v>
      </c>
      <c r="F34" s="2">
        <v>5</v>
      </c>
      <c r="G34" s="2">
        <v>3</v>
      </c>
      <c r="H34" s="2" t="str">
        <f t="shared" si="0"/>
        <v>UTA</v>
      </c>
      <c r="I34" s="2" t="s">
        <v>718</v>
      </c>
      <c r="J34" s="2">
        <v>3</v>
      </c>
      <c r="K34" s="2">
        <v>2</v>
      </c>
      <c r="L34" s="2" t="str">
        <f t="shared" si="1"/>
        <v>UTA</v>
      </c>
      <c r="M34" s="2" t="s">
        <v>720</v>
      </c>
      <c r="N34" s="2">
        <f>IF(ISBLANK(Table2[[#This Row],[ActualResult]]), 0, 1)</f>
        <v>1</v>
      </c>
      <c r="O34" s="2" t="str">
        <f>IF(ISBLANK(Table2[[#This Row],[ActualResult]]), "_", IF(Table2[[#This Row],[ActualWinner]]=Table2[[#This Row],[PredictedWinner]], "Y", "N"))</f>
        <v>Y</v>
      </c>
      <c r="P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4" s="2">
        <v>1</v>
      </c>
      <c r="S34" s="2" t="str">
        <f t="shared" si="2"/>
        <v>NSH</v>
      </c>
      <c r="T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" s="2">
        <f>IF(Table2[[#This Row],[InterConf]]=1,IF(Table2[[#This Row],[InterDiv]]=0, 1, 0), 0)</f>
        <v>0</v>
      </c>
      <c r="W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" s="2"/>
      <c r="Y34" s="2"/>
      <c r="Z34" s="145">
        <f>IF(AND(Table2[[#This Row],[GameIsOver]]=1,Table2[[#This Row],[ActualHomeScore]]*Table2[[#This Row],[ActualAwayScore]]=0), 1,0)</f>
        <v>0</v>
      </c>
      <c r="AA34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4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3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4" s="2">
        <f>Table2[[#This Row],[ActualAwayScore]]-Table2[[#This Row],[PredictedAwayScore]]</f>
        <v>-2</v>
      </c>
      <c r="AG34" s="2">
        <f>Table2[[#This Row],[ActualHomeScore]]-Table2[[#This Row],[PredictedHomeScore]]</f>
        <v>-1</v>
      </c>
      <c r="AH34" s="2">
        <f t="shared" si="3"/>
        <v>2</v>
      </c>
      <c r="AI34" s="2">
        <f t="shared" si="4"/>
        <v>-7</v>
      </c>
      <c r="AJ34" s="2">
        <v>7</v>
      </c>
      <c r="AK34" s="3">
        <v>45941</v>
      </c>
      <c r="AL34" s="2">
        <f>IF(Table2[[#This Row],[GameIsOver]]=0,0,IF(Table2[[#This Row],[ActualWinner]]=Table2[[#This Row],[AwayTeam]], 1, 0))</f>
        <v>1</v>
      </c>
      <c r="AM34" s="2">
        <f>IF(Table2[[#This Row],[GameIsOver]]=0,0,IF(Table2[[#This Row],[ActualWinner]]=Table2[[#This Row],[HomeTeam]], 1, 0))</f>
        <v>0</v>
      </c>
      <c r="AN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" s="2" t="str">
        <f>INDEX(Sheet5!$B$2:$AG$33, MATCH(Table2[[#This Row],[AwayTeam]],Sheet5!$A$2:$A$33, 0), MATCH(Table2[[#This Row],[HomeTeam]],Sheet5!$A$2:$A$33, 0))</f>
        <v>1-0-0</v>
      </c>
      <c r="AP34" s="2" t="str">
        <f>INDEX(Sheet5!$B$2:$AG$33, MATCH(Table2[[#This Row],[HomeTeam]],Sheet5!$A$2:$A$33, 0), MATCH(Table2[[#This Row],[AwayTeam]],Sheet5!$A$2:$A$33, 0))</f>
        <v>0-0-1</v>
      </c>
      <c r="AQ34" s="2">
        <f>IF(Table2[[#This Row],[GameHasShutOut]], 1, 0)</f>
        <v>0</v>
      </c>
      <c r="AR34" s="2">
        <f>IF(Table2[[#This Row],[ActualAwayScore]] + Table2[[#This Row],[ActualHomeScore]] &gt;= 10, 1, 0)</f>
        <v>0</v>
      </c>
      <c r="AS34" s="2">
        <f>IF(ABS(Table2[[#This Row],[ActualAwayScore]]-Table2[[#This Row],[ActualHomeScore]])&gt;=5, 1, 0)</f>
        <v>0</v>
      </c>
      <c r="AT34" s="2">
        <f>IF(Table2[[#This Row],[ActualAwayScore]] + Table2[[#This Row],[ActualHomeScore]] &lt;= 3, 1, 0)</f>
        <v>0</v>
      </c>
      <c r="AU34" s="2"/>
      <c r="AV34" s="2"/>
      <c r="BD34" s="67"/>
      <c r="BH34">
        <f>IFERROR(FIND("Avery", "BriggsBriggs"), 0)</f>
        <v>0</v>
      </c>
    </row>
    <row r="35" spans="1:60" x14ac:dyDescent="0.25">
      <c r="A35" s="3">
        <v>45941</v>
      </c>
      <c r="B35" s="3">
        <v>45941</v>
      </c>
      <c r="C35" s="5">
        <v>2025020033</v>
      </c>
      <c r="D35" s="2" t="s">
        <v>35</v>
      </c>
      <c r="E35" s="2" t="s">
        <v>36</v>
      </c>
      <c r="F35" s="2">
        <v>2</v>
      </c>
      <c r="G35" s="2">
        <v>5</v>
      </c>
      <c r="H35" s="2" t="str">
        <f t="shared" si="0"/>
        <v>MIN</v>
      </c>
      <c r="I35" s="2" t="s">
        <v>718</v>
      </c>
      <c r="J35" s="2">
        <v>7</v>
      </c>
      <c r="K35" s="2">
        <v>3</v>
      </c>
      <c r="L35" s="2" t="str">
        <f t="shared" si="1"/>
        <v>CBJ</v>
      </c>
      <c r="M35" s="2" t="s">
        <v>718</v>
      </c>
      <c r="N35" s="2">
        <f>IF(ISBLANK(Table2[[#This Row],[ActualResult]]), 0, 1)</f>
        <v>1</v>
      </c>
      <c r="O35" s="2" t="str">
        <f>IF(ISBLANK(Table2[[#This Row],[ActualResult]]), "_", IF(Table2[[#This Row],[ActualWinner]]=Table2[[#This Row],[PredictedWinner]], "Y", "N"))</f>
        <v>N</v>
      </c>
      <c r="P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5" s="2">
        <v>0</v>
      </c>
      <c r="S35" s="2" t="str">
        <f t="shared" si="2"/>
        <v>MIN</v>
      </c>
      <c r="T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" s="2">
        <f>IF(Table2[[#This Row],[InterConf]]=1,IF(Table2[[#This Row],[InterDiv]]=0, 1, 0), 0)</f>
        <v>0</v>
      </c>
      <c r="W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" s="2"/>
      <c r="Y35" s="2"/>
      <c r="Z35" s="145">
        <f>IF(AND(Table2[[#This Row],[GameIsOver]]=1,Table2[[#This Row],[ActualHomeScore]]*Table2[[#This Row],[ActualAwayScore]]=0), 1,0)</f>
        <v>0</v>
      </c>
      <c r="AA3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5" s="2">
        <f>Table2[[#This Row],[ActualAwayScore]]-Table2[[#This Row],[PredictedAwayScore]]</f>
        <v>5</v>
      </c>
      <c r="AG35" s="2">
        <f>Table2[[#This Row],[ActualHomeScore]]-Table2[[#This Row],[PredictedHomeScore]]</f>
        <v>-2</v>
      </c>
      <c r="AH35" s="2">
        <f t="shared" si="3"/>
        <v>2</v>
      </c>
      <c r="AI35" s="2">
        <f t="shared" si="4"/>
        <v>-7</v>
      </c>
      <c r="AJ35" s="2"/>
      <c r="AK35" s="2"/>
      <c r="AL35" s="2">
        <f>IF(Table2[[#This Row],[GameIsOver]]=0,0,IF(Table2[[#This Row],[ActualWinner]]=Table2[[#This Row],[AwayTeam]], 1, 0))</f>
        <v>1</v>
      </c>
      <c r="AM35" s="2">
        <f>IF(Table2[[#This Row],[GameIsOver]]=0,0,IF(Table2[[#This Row],[ActualWinner]]=Table2[[#This Row],[HomeTeam]], 1, 0))</f>
        <v>0</v>
      </c>
      <c r="AN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" s="2" t="str">
        <f>INDEX(Sheet5!$B$2:$AG$33, MATCH(Table2[[#This Row],[AwayTeam]],Sheet5!$A$2:$A$33, 0), MATCH(Table2[[#This Row],[HomeTeam]],Sheet5!$A$2:$A$33, 0))</f>
        <v>1-0-0</v>
      </c>
      <c r="AP35" s="2" t="str">
        <f>INDEX(Sheet5!$B$2:$AG$33, MATCH(Table2[[#This Row],[HomeTeam]],Sheet5!$A$2:$A$33, 0), MATCH(Table2[[#This Row],[AwayTeam]],Sheet5!$A$2:$A$33, 0))</f>
        <v>0-1-0</v>
      </c>
      <c r="AQ35" s="2">
        <f>IF(Table2[[#This Row],[GameHasShutOut]], 1, 0)</f>
        <v>0</v>
      </c>
      <c r="AR35" s="2">
        <f>IF(Table2[[#This Row],[ActualAwayScore]] + Table2[[#This Row],[ActualHomeScore]] &gt;= 10, 1, 0)</f>
        <v>1</v>
      </c>
      <c r="AS35" s="2">
        <f>IF(ABS(Table2[[#This Row],[ActualAwayScore]]-Table2[[#This Row],[ActualHomeScore]])&gt;=5, 1, 0)</f>
        <v>0</v>
      </c>
      <c r="AT35" s="2">
        <f>IF(Table2[[#This Row],[ActualAwayScore]] + Table2[[#This Row],[ActualHomeScore]] &lt;= 3, 1, 0)</f>
        <v>0</v>
      </c>
      <c r="AU35" s="2"/>
      <c r="AV35" s="2"/>
      <c r="BD35" s="67"/>
      <c r="BH35">
        <f>IFERROR(FIND("Avery", "AveryBriggsBriggs"), 0)</f>
        <v>1</v>
      </c>
    </row>
    <row r="36" spans="1:60" x14ac:dyDescent="0.25">
      <c r="A36" s="3">
        <v>45941</v>
      </c>
      <c r="B36" s="3">
        <v>45941</v>
      </c>
      <c r="C36" s="5">
        <v>2025020034</v>
      </c>
      <c r="D36" s="2" t="s">
        <v>33</v>
      </c>
      <c r="E36" s="2" t="s">
        <v>25</v>
      </c>
      <c r="F36" s="2">
        <v>4</v>
      </c>
      <c r="G36" s="2">
        <v>5</v>
      </c>
      <c r="H36" s="2" t="str">
        <f t="shared" si="0"/>
        <v>COL</v>
      </c>
      <c r="I36" s="2" t="s">
        <v>720</v>
      </c>
      <c r="J36" s="2">
        <v>5</v>
      </c>
      <c r="K36" s="2">
        <v>4</v>
      </c>
      <c r="L36" s="2" t="str">
        <f t="shared" si="1"/>
        <v>DAL</v>
      </c>
      <c r="M36" s="2" t="s">
        <v>719</v>
      </c>
      <c r="N36" s="2">
        <f>IF(ISBLANK(Table2[[#This Row],[ActualResult]]), 0, 1)</f>
        <v>1</v>
      </c>
      <c r="O36" s="2" t="str">
        <f>IF(ISBLANK(Table2[[#This Row],[ActualResult]]), "_", IF(Table2[[#This Row],[ActualWinner]]=Table2[[#This Row],[PredictedWinner]], "Y", "N"))</f>
        <v>N</v>
      </c>
      <c r="P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6" s="2">
        <v>1</v>
      </c>
      <c r="S36" s="2" t="str">
        <f t="shared" si="2"/>
        <v>COL</v>
      </c>
      <c r="T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6" s="2">
        <f>IF(Table2[[#This Row],[InterConf]]=1,IF(Table2[[#This Row],[InterDiv]]=0, 1, 0), 0)</f>
        <v>0</v>
      </c>
      <c r="W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" s="2"/>
      <c r="Y36" s="2"/>
      <c r="Z36" s="145">
        <f>IF(AND(Table2[[#This Row],[GameIsOver]]=1,Table2[[#This Row],[ActualHomeScore]]*Table2[[#This Row],[ActualAwayScore]]=0), 1,0)</f>
        <v>0</v>
      </c>
      <c r="AA36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6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0.76</v>
      </c>
      <c r="AE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6" s="2">
        <f>Table2[[#This Row],[ActualAwayScore]]-Table2[[#This Row],[PredictedAwayScore]]</f>
        <v>1</v>
      </c>
      <c r="AG36" s="2">
        <f>Table2[[#This Row],[ActualHomeScore]]-Table2[[#This Row],[PredictedHomeScore]]</f>
        <v>-1</v>
      </c>
      <c r="AH36" s="2">
        <f t="shared" si="3"/>
        <v>2</v>
      </c>
      <c r="AI36" s="2">
        <f t="shared" si="4"/>
        <v>-7</v>
      </c>
      <c r="AJ36" s="2">
        <v>8</v>
      </c>
      <c r="AK36" s="3">
        <v>45941</v>
      </c>
      <c r="AL36" s="2">
        <f>IF(Table2[[#This Row],[GameIsOver]]=0,0,IF(Table2[[#This Row],[ActualWinner]]=Table2[[#This Row],[AwayTeam]], 1, 0))</f>
        <v>1</v>
      </c>
      <c r="AM36" s="2">
        <f>IF(Table2[[#This Row],[GameIsOver]]=0,0,IF(Table2[[#This Row],[ActualWinner]]=Table2[[#This Row],[HomeTeam]], 1, 0))</f>
        <v>0</v>
      </c>
      <c r="AN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" s="2" t="str">
        <f>INDEX(Sheet5!$B$2:$AG$33, MATCH(Table2[[#This Row],[AwayTeam]],Sheet5!$A$2:$A$33, 0), MATCH(Table2[[#This Row],[HomeTeam]],Sheet5!$A$2:$A$33, 0))</f>
        <v>1-0-0</v>
      </c>
      <c r="AP36" s="2" t="str">
        <f>INDEX(Sheet5!$B$2:$AG$33, MATCH(Table2[[#This Row],[HomeTeam]],Sheet5!$A$2:$A$33, 0), MATCH(Table2[[#This Row],[AwayTeam]],Sheet5!$A$2:$A$33, 0))</f>
        <v>0-0-1</v>
      </c>
      <c r="AQ36" s="2">
        <f>IF(Table2[[#This Row],[GameHasShutOut]], 1, 0)</f>
        <v>0</v>
      </c>
      <c r="AR36" s="2">
        <f>IF(Table2[[#This Row],[ActualAwayScore]] + Table2[[#This Row],[ActualHomeScore]] &gt;= 10, 1, 0)</f>
        <v>0</v>
      </c>
      <c r="AS36" s="2">
        <f>IF(ABS(Table2[[#This Row],[ActualAwayScore]]-Table2[[#This Row],[ActualHomeScore]])&gt;=5, 1, 0)</f>
        <v>0</v>
      </c>
      <c r="AT36" s="2">
        <f>IF(Table2[[#This Row],[ActualAwayScore]] + Table2[[#This Row],[ActualHomeScore]] &lt;= 3, 1, 0)</f>
        <v>0</v>
      </c>
      <c r="AU36" s="2"/>
      <c r="AV36" s="2"/>
      <c r="BD36" s="67"/>
    </row>
    <row r="37" spans="1:60" x14ac:dyDescent="0.25">
      <c r="A37" s="3">
        <v>45941</v>
      </c>
      <c r="B37" s="3">
        <v>45941</v>
      </c>
      <c r="C37" s="5">
        <v>2025020035</v>
      </c>
      <c r="D37" s="2" t="s">
        <v>24</v>
      </c>
      <c r="E37" s="2" t="s">
        <v>22</v>
      </c>
      <c r="F37" s="2">
        <v>4</v>
      </c>
      <c r="G37" s="2">
        <v>3</v>
      </c>
      <c r="H37" s="2" t="str">
        <f t="shared" si="0"/>
        <v>VAN</v>
      </c>
      <c r="I37" s="2" t="s">
        <v>720</v>
      </c>
      <c r="J37" s="2">
        <v>1</v>
      </c>
      <c r="K37" s="2">
        <v>3</v>
      </c>
      <c r="L37" s="2" t="str">
        <f t="shared" si="1"/>
        <v>EDM</v>
      </c>
      <c r="M37" s="2" t="s">
        <v>718</v>
      </c>
      <c r="N37" s="2">
        <f>IF(ISBLANK(Table2[[#This Row],[ActualResult]]), 0, 1)</f>
        <v>1</v>
      </c>
      <c r="O37" s="2" t="str">
        <f>IF(ISBLANK(Table2[[#This Row],[ActualResult]]), "_", IF(Table2[[#This Row],[ActualWinner]]=Table2[[#This Row],[PredictedWinner]], "Y", "N"))</f>
        <v>N</v>
      </c>
      <c r="P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37" s="2">
        <v>1</v>
      </c>
      <c r="S37" s="2" t="str">
        <f t="shared" si="2"/>
        <v>VAN</v>
      </c>
      <c r="T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" s="2">
        <f>IF(Table2[[#This Row],[InterConf]]=1,IF(Table2[[#This Row],[InterDiv]]=0, 1, 0), 0)</f>
        <v>0</v>
      </c>
      <c r="W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" s="2"/>
      <c r="Y37" s="2"/>
      <c r="Z37" s="145">
        <f>IF(AND(Table2[[#This Row],[GameIsOver]]=1,Table2[[#This Row],[ActualHomeScore]]*Table2[[#This Row],[ActualAwayScore]]=0), 1,0)</f>
        <v>0</v>
      </c>
      <c r="AA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37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7" s="2">
        <f>Table2[[#This Row],[ActualAwayScore]]-Table2[[#This Row],[PredictedAwayScore]]</f>
        <v>-3</v>
      </c>
      <c r="AG37" s="2">
        <f>Table2[[#This Row],[ActualHomeScore]]-Table2[[#This Row],[PredictedHomeScore]]</f>
        <v>0</v>
      </c>
      <c r="AH37" s="2">
        <f t="shared" si="3"/>
        <v>2</v>
      </c>
      <c r="AI37" s="2">
        <f t="shared" si="4"/>
        <v>-7</v>
      </c>
      <c r="AJ37" s="2">
        <v>9</v>
      </c>
      <c r="AK37" s="3">
        <v>45941</v>
      </c>
      <c r="AL37" s="2">
        <f>IF(Table2[[#This Row],[GameIsOver]]=0,0,IF(Table2[[#This Row],[ActualWinner]]=Table2[[#This Row],[AwayTeam]], 1, 0))</f>
        <v>0</v>
      </c>
      <c r="AM37" s="2">
        <f>IF(Table2[[#This Row],[GameIsOver]]=0,0,IF(Table2[[#This Row],[ActualWinner]]=Table2[[#This Row],[HomeTeam]], 1, 0))</f>
        <v>1</v>
      </c>
      <c r="AN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" s="2" t="str">
        <f>INDEX(Sheet5!$B$2:$AG$33, MATCH(Table2[[#This Row],[AwayTeam]],Sheet5!$A$2:$A$33, 0), MATCH(Table2[[#This Row],[HomeTeam]],Sheet5!$A$2:$A$33, 0))</f>
        <v>0-1-0</v>
      </c>
      <c r="AP37" s="2" t="str">
        <f>INDEX(Sheet5!$B$2:$AG$33, MATCH(Table2[[#This Row],[HomeTeam]],Sheet5!$A$2:$A$33, 0), MATCH(Table2[[#This Row],[AwayTeam]],Sheet5!$A$2:$A$33, 0))</f>
        <v>1-0-0</v>
      </c>
      <c r="AQ37" s="2">
        <f>IF(Table2[[#This Row],[GameHasShutOut]], 1, 0)</f>
        <v>0</v>
      </c>
      <c r="AR37" s="2">
        <f>IF(Table2[[#This Row],[ActualAwayScore]] + Table2[[#This Row],[ActualHomeScore]] &gt;= 10, 1, 0)</f>
        <v>0</v>
      </c>
      <c r="AS37" s="2">
        <f>IF(ABS(Table2[[#This Row],[ActualAwayScore]]-Table2[[#This Row],[ActualHomeScore]])&gt;=5, 1, 0)</f>
        <v>0</v>
      </c>
      <c r="AT37" s="2">
        <f>IF(Table2[[#This Row],[ActualAwayScore]] + Table2[[#This Row],[ActualHomeScore]] &lt;= 3, 1, 0)</f>
        <v>0</v>
      </c>
      <c r="AU37" s="2"/>
      <c r="AV37" s="2"/>
      <c r="BD37" s="67"/>
    </row>
    <row r="38" spans="1:60" x14ac:dyDescent="0.25">
      <c r="A38" s="3">
        <v>45941</v>
      </c>
      <c r="B38" s="3">
        <v>45941</v>
      </c>
      <c r="C38" s="5">
        <v>2025020036</v>
      </c>
      <c r="D38" s="2" t="s">
        <v>44</v>
      </c>
      <c r="E38" s="2" t="s">
        <v>37</v>
      </c>
      <c r="F38" s="2">
        <v>4</v>
      </c>
      <c r="G38" s="2">
        <v>3</v>
      </c>
      <c r="H38" s="2" t="str">
        <f t="shared" si="0"/>
        <v>ANA</v>
      </c>
      <c r="I38" s="2" t="s">
        <v>719</v>
      </c>
      <c r="J38" s="2">
        <v>7</v>
      </c>
      <c r="K38" s="2">
        <v>6</v>
      </c>
      <c r="L38" s="2" t="str">
        <f t="shared" si="1"/>
        <v>ANA</v>
      </c>
      <c r="M38" s="2" t="s">
        <v>720</v>
      </c>
      <c r="N38" s="2">
        <f>IF(ISBLANK(Table2[[#This Row],[ActualResult]]), 0, 1)</f>
        <v>1</v>
      </c>
      <c r="O38" s="2" t="str">
        <f>IF(ISBLANK(Table2[[#This Row],[ActualResult]]), "_", IF(Table2[[#This Row],[ActualWinner]]=Table2[[#This Row],[PredictedWinner]], "Y", "N"))</f>
        <v>Y</v>
      </c>
      <c r="P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8" s="2">
        <v>0</v>
      </c>
      <c r="S38" s="2" t="str">
        <f t="shared" si="2"/>
        <v>SJS</v>
      </c>
      <c r="T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" s="2">
        <f>IF(Table2[[#This Row],[InterConf]]=1,IF(Table2[[#This Row],[InterDiv]]=0, 1, 0), 0)</f>
        <v>0</v>
      </c>
      <c r="W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" s="2"/>
      <c r="Y38" s="2"/>
      <c r="Z38" s="145">
        <f>IF(AND(Table2[[#This Row],[GameIsOver]]=1,Table2[[#This Row],[ActualHomeScore]]*Table2[[#This Row],[ActualAwayScore]]=0), 1,0)</f>
        <v>0</v>
      </c>
      <c r="AA3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8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3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8" s="2">
        <f>Table2[[#This Row],[ActualAwayScore]]-Table2[[#This Row],[PredictedAwayScore]]</f>
        <v>3</v>
      </c>
      <c r="AG38" s="2">
        <f>Table2[[#This Row],[ActualHomeScore]]-Table2[[#This Row],[PredictedHomeScore]]</f>
        <v>3</v>
      </c>
      <c r="AH38" s="2">
        <f t="shared" si="3"/>
        <v>2</v>
      </c>
      <c r="AI38" s="2">
        <f t="shared" si="4"/>
        <v>-7</v>
      </c>
      <c r="AJ38" s="2"/>
      <c r="AK38" s="2"/>
      <c r="AL38" s="2">
        <f>IF(Table2[[#This Row],[GameIsOver]]=0,0,IF(Table2[[#This Row],[ActualWinner]]=Table2[[#This Row],[AwayTeam]], 1, 0))</f>
        <v>1</v>
      </c>
      <c r="AM38" s="2">
        <f>IF(Table2[[#This Row],[GameIsOver]]=0,0,IF(Table2[[#This Row],[ActualWinner]]=Table2[[#This Row],[HomeTeam]], 1, 0))</f>
        <v>0</v>
      </c>
      <c r="AN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" s="2" t="str">
        <f>INDEX(Sheet5!$B$2:$AG$33, MATCH(Table2[[#This Row],[AwayTeam]],Sheet5!$A$2:$A$33, 0), MATCH(Table2[[#This Row],[HomeTeam]],Sheet5!$A$2:$A$33, 0))</f>
        <v>1-0-0</v>
      </c>
      <c r="AP38" s="2" t="str">
        <f>INDEX(Sheet5!$B$2:$AG$33, MATCH(Table2[[#This Row],[HomeTeam]],Sheet5!$A$2:$A$33, 0), MATCH(Table2[[#This Row],[AwayTeam]],Sheet5!$A$2:$A$33, 0))</f>
        <v>0-0-1</v>
      </c>
      <c r="AQ38" s="2">
        <f>IF(Table2[[#This Row],[GameHasShutOut]], 1, 0)</f>
        <v>0</v>
      </c>
      <c r="AR38" s="2">
        <f>IF(Table2[[#This Row],[ActualAwayScore]] + Table2[[#This Row],[ActualHomeScore]] &gt;= 10, 1, 0)</f>
        <v>1</v>
      </c>
      <c r="AS38" s="2">
        <f>IF(ABS(Table2[[#This Row],[ActualAwayScore]]-Table2[[#This Row],[ActualHomeScore]])&gt;=5, 1, 0)</f>
        <v>0</v>
      </c>
      <c r="AT38" s="2">
        <f>IF(Table2[[#This Row],[ActualAwayScore]] + Table2[[#This Row],[ActualHomeScore]] &lt;= 3, 1, 0)</f>
        <v>0</v>
      </c>
      <c r="AU38" s="2"/>
      <c r="AV38" s="2"/>
      <c r="BD38" s="67"/>
    </row>
    <row r="39" spans="1:60" x14ac:dyDescent="0.25">
      <c r="A39" s="141">
        <v>45941</v>
      </c>
      <c r="B39" s="141">
        <v>45941</v>
      </c>
      <c r="C39" s="142">
        <v>2025020037</v>
      </c>
      <c r="D39" s="143" t="s">
        <v>26</v>
      </c>
      <c r="E39" s="143" t="s">
        <v>11</v>
      </c>
      <c r="F39" s="143">
        <v>5</v>
      </c>
      <c r="G39" s="143">
        <v>4</v>
      </c>
      <c r="H39" s="143" t="str">
        <f t="shared" si="0"/>
        <v>VGK</v>
      </c>
      <c r="I39" s="143" t="s">
        <v>718</v>
      </c>
      <c r="J39" s="143">
        <v>1</v>
      </c>
      <c r="K39" s="143">
        <v>2</v>
      </c>
      <c r="L39" s="143" t="str">
        <f t="shared" si="1"/>
        <v>SEA</v>
      </c>
      <c r="M39" s="143" t="s">
        <v>720</v>
      </c>
      <c r="N39" s="143">
        <f>IF(ISBLANK(Table2[[#This Row],[ActualResult]]), 0, 1)</f>
        <v>1</v>
      </c>
      <c r="O39" s="143" t="str">
        <f>IF(ISBLANK(Table2[[#This Row],[ActualResult]]), "_", IF(Table2[[#This Row],[ActualWinner]]=Table2[[#This Row],[PredictedWinner]], "Y", "N"))</f>
        <v>N</v>
      </c>
      <c r="P39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9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9" s="143">
        <v>0</v>
      </c>
      <c r="S39" s="143" t="str">
        <f t="shared" si="2"/>
        <v>VGK</v>
      </c>
      <c r="T39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" s="143">
        <f>IF(Table2[[#This Row],[InterConf]]=1,IF(Table2[[#This Row],[InterDiv]]=0, 1, 0), 0)</f>
        <v>0</v>
      </c>
      <c r="W39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" s="143"/>
      <c r="Y39" s="143"/>
      <c r="Z39" s="149">
        <f>IF(AND(Table2[[#This Row],[GameIsOver]]=1,Table2[[#This Row],[ActualHomeScore]]*Table2[[#This Row],[ActualAwayScore]]=0), 1,0)</f>
        <v>0</v>
      </c>
      <c r="AA39" s="149">
        <f>IF(Table2[[#This Row],[GameIsOver]]=0,0, IF(Table2[[#This Row],[ActualWinner]]=Table2[[#This Row],[AwayTeam]], 2, IF(OR(Table2[[#This Row],[ActualResult]]="OT", Table2[[#This Row],[ActualResult]]="SO"), 1, 0)))</f>
        <v>1</v>
      </c>
      <c r="AB39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39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" s="143">
        <f>Table2[[#This Row],[ActualAwayScore]]-Table2[[#This Row],[PredictedAwayScore]]</f>
        <v>-4</v>
      </c>
      <c r="AG39" s="143">
        <f>Table2[[#This Row],[ActualHomeScore]]-Table2[[#This Row],[PredictedHomeScore]]</f>
        <v>-2</v>
      </c>
      <c r="AH39" s="143">
        <f t="shared" si="3"/>
        <v>2</v>
      </c>
      <c r="AI39" s="143">
        <f t="shared" si="4"/>
        <v>-7</v>
      </c>
      <c r="AJ39" s="143"/>
      <c r="AK39" s="143"/>
      <c r="AL39" s="143">
        <f>IF(Table2[[#This Row],[GameIsOver]]=0,0,IF(Table2[[#This Row],[ActualWinner]]=Table2[[#This Row],[AwayTeam]], 1, 0))</f>
        <v>0</v>
      </c>
      <c r="AM39" s="143">
        <f>IF(Table2[[#This Row],[GameIsOver]]=0,0,IF(Table2[[#This Row],[ActualWinner]]=Table2[[#This Row],[HomeTeam]], 1, 0))</f>
        <v>1</v>
      </c>
      <c r="AN39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39" s="143" t="str">
        <f>INDEX(Sheet5!$B$2:$AG$33, MATCH(Table2[[#This Row],[AwayTeam]],Sheet5!$A$2:$A$33, 0), MATCH(Table2[[#This Row],[HomeTeam]],Sheet5!$A$2:$A$33, 0))</f>
        <v>0-0-1</v>
      </c>
      <c r="AP39" s="143" t="str">
        <f>INDEX(Sheet5!$B$2:$AG$33, MATCH(Table2[[#This Row],[HomeTeam]],Sheet5!$A$2:$A$33, 0), MATCH(Table2[[#This Row],[AwayTeam]],Sheet5!$A$2:$A$33, 0))</f>
        <v>1-0-0</v>
      </c>
      <c r="AQ39" s="143">
        <f>IF(Table2[[#This Row],[GameHasShutOut]], 1, 0)</f>
        <v>0</v>
      </c>
      <c r="AR39" s="143">
        <f>IF(Table2[[#This Row],[ActualAwayScore]] + Table2[[#This Row],[ActualHomeScore]] &gt;= 10, 1, 0)</f>
        <v>0</v>
      </c>
      <c r="AS39" s="143">
        <f>IF(ABS(Table2[[#This Row],[ActualAwayScore]]-Table2[[#This Row],[ActualHomeScore]])&gt;=5, 1, 0)</f>
        <v>0</v>
      </c>
      <c r="AT39" s="143">
        <f>IF(Table2[[#This Row],[ActualAwayScore]] + Table2[[#This Row],[ActualHomeScore]] &lt;= 3, 1, 0)</f>
        <v>1</v>
      </c>
      <c r="AU39" s="2"/>
      <c r="AV39" s="2"/>
      <c r="BD39" s="67"/>
    </row>
    <row r="40" spans="1:60" ht="15.75" thickBot="1" x14ac:dyDescent="0.3">
      <c r="A40" s="151">
        <v>45942</v>
      </c>
      <c r="B40" s="151">
        <v>45942</v>
      </c>
      <c r="C40" s="152">
        <v>2025020038</v>
      </c>
      <c r="D40" s="153" t="s">
        <v>43</v>
      </c>
      <c r="E40" s="153" t="s">
        <v>19</v>
      </c>
      <c r="F40" s="153">
        <v>5</v>
      </c>
      <c r="G40" s="153">
        <v>2</v>
      </c>
      <c r="H40" s="153" t="str">
        <f t="shared" si="0"/>
        <v>WSH</v>
      </c>
      <c r="I40" s="153" t="s">
        <v>718</v>
      </c>
      <c r="J40" s="153">
        <v>1</v>
      </c>
      <c r="K40" s="153">
        <v>0</v>
      </c>
      <c r="L40" s="153" t="str">
        <f t="shared" si="1"/>
        <v>WSH</v>
      </c>
      <c r="M40" s="153" t="s">
        <v>718</v>
      </c>
      <c r="N40" s="153">
        <f>IF(ISBLANK(Table2[[#This Row],[ActualResult]]), 0, 1)</f>
        <v>1</v>
      </c>
      <c r="O40" s="153" t="str">
        <f>IF(ISBLANK(Table2[[#This Row],[ActualResult]]), "_", IF(Table2[[#This Row],[ActualWinner]]=Table2[[#This Row],[PredictedWinner]], "Y", "N"))</f>
        <v>Y</v>
      </c>
      <c r="P40" s="15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0" s="15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0" s="153">
        <v>1</v>
      </c>
      <c r="S40" s="153" t="str">
        <f t="shared" si="2"/>
        <v>NYR</v>
      </c>
      <c r="T40" s="15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" s="15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" s="153">
        <f>IF(Table2[[#This Row],[InterConf]]=1,IF(Table2[[#This Row],[InterDiv]]=0, 1, 0), 0)</f>
        <v>0</v>
      </c>
      <c r="W40" s="15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" s="153"/>
      <c r="Y40" s="153"/>
      <c r="Z40" s="154">
        <f>IF(AND(Table2[[#This Row],[GameIsOver]]=1,Table2[[#This Row],[ActualHomeScore]]*Table2[[#This Row],[ActualAwayScore]]=0), 1,0)</f>
        <v>1</v>
      </c>
      <c r="AA40" s="154">
        <f>IF(Table2[[#This Row],[GameIsOver]]=0,0, IF(Table2[[#This Row],[ActualWinner]]=Table2[[#This Row],[AwayTeam]], 2, IF(OR(Table2[[#This Row],[ActualResult]]="OT", Table2[[#This Row],[ActualResult]]="SO"), 1, 0)))</f>
        <v>2</v>
      </c>
      <c r="AB40" s="154">
        <f>IF(Table2[[#This Row],[GameIsOver]]= 0, 0, IF(Table2[[#This Row],[ActualWinner]]=Table2[[#This Row],[HomeTeam]], 2, IF(OR(Table2[[#This Row],[ActualResult]]="OT", Table2[[#This Row],[ActualResult]]="SO"), 1, 0)))</f>
        <v>0</v>
      </c>
      <c r="AC40" s="155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0" s="155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0" s="15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" s="153">
        <f>Table2[[#This Row],[ActualAwayScore]]-Table2[[#This Row],[PredictedAwayScore]]</f>
        <v>-4</v>
      </c>
      <c r="AG40" s="153">
        <f>Table2[[#This Row],[ActualHomeScore]]-Table2[[#This Row],[PredictedHomeScore]]</f>
        <v>-2</v>
      </c>
      <c r="AH40" s="153">
        <f t="shared" si="3"/>
        <v>-4</v>
      </c>
      <c r="AI40" s="153">
        <f t="shared" si="4"/>
        <v>-2</v>
      </c>
      <c r="AJ40" s="153">
        <v>1</v>
      </c>
      <c r="AK40" s="151">
        <v>45942</v>
      </c>
      <c r="AL40" s="153">
        <f>IF(Table2[[#This Row],[GameIsOver]]=0,0,IF(Table2[[#This Row],[ActualWinner]]=Table2[[#This Row],[AwayTeam]], 1, 0))</f>
        <v>1</v>
      </c>
      <c r="AM40" s="153">
        <f>IF(Table2[[#This Row],[GameIsOver]]=0,0,IF(Table2[[#This Row],[ActualWinner]]=Table2[[#This Row],[HomeTeam]], 1, 0))</f>
        <v>0</v>
      </c>
      <c r="AN40" s="153">
        <f>IF(IFERROR(FIND(Table2[[#This Row],[AwayTeam]], _xlfn.TEXTJOIN(";", 1, $BD$31:$BD$40)), 0) &gt; 0, 1, 0) + IF(IFERROR(FIND(Table2[[#This Row],[HomeTeam]], _xlfn.TEXTJOIN(";", 1, $BD$31:$BD$40)), 0) &gt; 0, 1, 0)</f>
        <v>0</v>
      </c>
      <c r="AO40" s="153" t="str">
        <f>INDEX(Sheet5!$B$2:$AG$33, MATCH(Table2[[#This Row],[AwayTeam]],Sheet5!$A$2:$A$33, 0), MATCH(Table2[[#This Row],[HomeTeam]],Sheet5!$A$2:$A$33, 0))</f>
        <v>1-0-0</v>
      </c>
      <c r="AP40" s="153" t="str">
        <f>INDEX(Sheet5!$B$2:$AG$33, MATCH(Table2[[#This Row],[HomeTeam]],Sheet5!$A$2:$A$33, 0), MATCH(Table2[[#This Row],[AwayTeam]],Sheet5!$A$2:$A$33, 0))</f>
        <v>0-1-0</v>
      </c>
      <c r="AQ40" s="153">
        <f>IF(Table2[[#This Row],[GameHasShutOut]], 1, 0)</f>
        <v>1</v>
      </c>
      <c r="AR40" s="153">
        <f>IF(Table2[[#This Row],[ActualAwayScore]] + Table2[[#This Row],[ActualHomeScore]] &gt;= 10, 1, 0)</f>
        <v>0</v>
      </c>
      <c r="AS40" s="153">
        <f>IF(ABS(Table2[[#This Row],[ActualAwayScore]]-Table2[[#This Row],[ActualHomeScore]])&gt;=5, 1, 0)</f>
        <v>0</v>
      </c>
      <c r="AT40" s="153">
        <f>IF(Table2[[#This Row],[ActualAwayScore]] + Table2[[#This Row],[ActualHomeScore]] &lt;= 3, 1, 0)</f>
        <v>1</v>
      </c>
      <c r="AU40" s="2"/>
      <c r="AV40" s="2"/>
      <c r="BD40" s="68"/>
    </row>
    <row r="41" spans="1:60" x14ac:dyDescent="0.25">
      <c r="A41" s="3">
        <v>45943</v>
      </c>
      <c r="B41" s="3">
        <v>45943</v>
      </c>
      <c r="C41" s="5">
        <v>2025020039</v>
      </c>
      <c r="D41" s="2" t="s">
        <v>25</v>
      </c>
      <c r="E41" s="2" t="s">
        <v>28</v>
      </c>
      <c r="F41" s="2">
        <v>4</v>
      </c>
      <c r="G41" s="2">
        <v>2</v>
      </c>
      <c r="H41" s="2" t="str">
        <f t="shared" si="0"/>
        <v>COL</v>
      </c>
      <c r="I41" s="2" t="s">
        <v>718</v>
      </c>
      <c r="J41" s="2">
        <v>3</v>
      </c>
      <c r="K41" s="2">
        <v>1</v>
      </c>
      <c r="L41" s="2" t="str">
        <f t="shared" si="1"/>
        <v>COL</v>
      </c>
      <c r="M41" s="2" t="s">
        <v>718</v>
      </c>
      <c r="N41" s="2">
        <f>IF(ISBLANK(Table2[[#This Row],[ActualResult]]), 0, 1)</f>
        <v>1</v>
      </c>
      <c r="O41" s="2" t="str">
        <f>IF(ISBLANK(Table2[[#This Row],[ActualResult]]), "_", IF(Table2[[#This Row],[ActualWinner]]=Table2[[#This Row],[PredictedWinner]], "Y", "N"))</f>
        <v>Y</v>
      </c>
      <c r="P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1" s="2">
        <v>1</v>
      </c>
      <c r="S41" s="2" t="str">
        <f t="shared" si="2"/>
        <v>BUF</v>
      </c>
      <c r="T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" s="2">
        <f>IF(Table2[[#This Row],[InterConf]]=1,IF(Table2[[#This Row],[InterDiv]]=0, 1, 0), 0)</f>
        <v>0</v>
      </c>
      <c r="W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1" s="2"/>
      <c r="Y41" s="2"/>
      <c r="Z41" s="145">
        <f>IF(AND(Table2[[#This Row],[GameIsOver]]=1,Table2[[#This Row],[ActualHomeScore]]*Table2[[#This Row],[ActualAwayScore]]=0), 1,0)</f>
        <v>0</v>
      </c>
      <c r="AA4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1" s="2">
        <f>Table2[[#This Row],[ActualAwayScore]]-Table2[[#This Row],[PredictedAwayScore]]</f>
        <v>-1</v>
      </c>
      <c r="AG41" s="2">
        <f>Table2[[#This Row],[ActualHomeScore]]-Table2[[#This Row],[PredictedHomeScore]]</f>
        <v>-1</v>
      </c>
      <c r="AH41" s="2">
        <f t="shared" si="3"/>
        <v>3</v>
      </c>
      <c r="AI41" s="2">
        <f t="shared" si="4"/>
        <v>-4</v>
      </c>
      <c r="AJ41" s="2">
        <v>1</v>
      </c>
      <c r="AK41" s="3">
        <v>45943</v>
      </c>
      <c r="AL41" s="2">
        <f>IF(Table2[[#This Row],[GameIsOver]]=0,0,IF(Table2[[#This Row],[ActualWinner]]=Table2[[#This Row],[AwayTeam]], 1, 0))</f>
        <v>1</v>
      </c>
      <c r="AM41" s="2">
        <f>IF(Table2[[#This Row],[GameIsOver]]=0,0,IF(Table2[[#This Row],[ActualWinner]]=Table2[[#This Row],[HomeTeam]], 1, 0))</f>
        <v>0</v>
      </c>
      <c r="AN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" s="2" t="str">
        <f>INDEX(Sheet5!$B$2:$AG$33, MATCH(Table2[[#This Row],[AwayTeam]],Sheet5!$A$2:$A$33, 0), MATCH(Table2[[#This Row],[HomeTeam]],Sheet5!$A$2:$A$33, 0))</f>
        <v>1-0-0</v>
      </c>
      <c r="AP41" s="2" t="str">
        <f>INDEX(Sheet5!$B$2:$AG$33, MATCH(Table2[[#This Row],[HomeTeam]],Sheet5!$A$2:$A$33, 0), MATCH(Table2[[#This Row],[AwayTeam]],Sheet5!$A$2:$A$33, 0))</f>
        <v>0-1-0</v>
      </c>
      <c r="AQ41" s="2">
        <f>IF(Table2[[#This Row],[GameHasShutOut]], 1, 0)</f>
        <v>0</v>
      </c>
      <c r="AR41" s="2">
        <f>IF(Table2[[#This Row],[ActualAwayScore]] + Table2[[#This Row],[ActualHomeScore]] &gt;= 10, 1, 0)</f>
        <v>0</v>
      </c>
      <c r="AS41" s="2">
        <f>IF(ABS(Table2[[#This Row],[ActualAwayScore]]-Table2[[#This Row],[ActualHomeScore]])&gt;=5, 1, 0)</f>
        <v>0</v>
      </c>
      <c r="AT41" s="2">
        <f>IF(Table2[[#This Row],[ActualAwayScore]] + Table2[[#This Row],[ActualHomeScore]] &lt;= 3, 1, 0)</f>
        <v>0</v>
      </c>
      <c r="AU41" s="2"/>
      <c r="AV41" s="2"/>
    </row>
    <row r="42" spans="1:60" x14ac:dyDescent="0.25">
      <c r="A42" s="3">
        <v>45943</v>
      </c>
      <c r="B42" s="3">
        <v>45943</v>
      </c>
      <c r="C42" s="5">
        <v>2025020040</v>
      </c>
      <c r="D42" s="2" t="s">
        <v>40</v>
      </c>
      <c r="E42" s="2" t="s">
        <v>15</v>
      </c>
      <c r="F42" s="2">
        <v>3</v>
      </c>
      <c r="G42" s="2">
        <v>2</v>
      </c>
      <c r="H42" s="2" t="str">
        <f t="shared" si="0"/>
        <v>TBL</v>
      </c>
      <c r="I42" s="2" t="s">
        <v>719</v>
      </c>
      <c r="J42" s="2">
        <v>4</v>
      </c>
      <c r="K42" s="2">
        <v>3</v>
      </c>
      <c r="L42" s="2" t="str">
        <f t="shared" si="1"/>
        <v>TBL</v>
      </c>
      <c r="M42" s="2" t="s">
        <v>718</v>
      </c>
      <c r="N42" s="2">
        <f>IF(ISBLANK(Table2[[#This Row],[ActualResult]]), 0, 1)</f>
        <v>1</v>
      </c>
      <c r="O42" s="2" t="str">
        <f>IF(ISBLANK(Table2[[#This Row],[ActualResult]]), "_", IF(Table2[[#This Row],[ActualWinner]]=Table2[[#This Row],[PredictedWinner]], "Y", "N"))</f>
        <v>Y</v>
      </c>
      <c r="P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2" s="2">
        <v>1</v>
      </c>
      <c r="S42" s="2" t="str">
        <f t="shared" si="2"/>
        <v>BOS</v>
      </c>
      <c r="T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2" s="2">
        <f>IF(Table2[[#This Row],[InterConf]]=1,IF(Table2[[#This Row],[InterDiv]]=0, 1, 0), 0)</f>
        <v>0</v>
      </c>
      <c r="W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" s="2"/>
      <c r="Y42" s="2"/>
      <c r="Z42" s="145">
        <f>IF(AND(Table2[[#This Row],[GameIsOver]]=1,Table2[[#This Row],[ActualHomeScore]]*Table2[[#This Row],[ActualAwayScore]]=0), 1,0)</f>
        <v>0</v>
      </c>
      <c r="AA4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2" s="2">
        <f>Table2[[#This Row],[ActualAwayScore]]-Table2[[#This Row],[PredictedAwayScore]]</f>
        <v>1</v>
      </c>
      <c r="AG42" s="2">
        <f>Table2[[#This Row],[ActualHomeScore]]-Table2[[#This Row],[PredictedHomeScore]]</f>
        <v>1</v>
      </c>
      <c r="AH42" s="2">
        <f t="shared" si="3"/>
        <v>3</v>
      </c>
      <c r="AI42" s="2">
        <f t="shared" si="4"/>
        <v>-4</v>
      </c>
      <c r="AJ42" s="2">
        <v>2</v>
      </c>
      <c r="AK42" s="3">
        <v>45943</v>
      </c>
      <c r="AL42" s="2">
        <f>IF(Table2[[#This Row],[GameIsOver]]=0,0,IF(Table2[[#This Row],[ActualWinner]]=Table2[[#This Row],[AwayTeam]], 1, 0))</f>
        <v>1</v>
      </c>
      <c r="AM42" s="2">
        <f>IF(Table2[[#This Row],[GameIsOver]]=0,0,IF(Table2[[#This Row],[ActualWinner]]=Table2[[#This Row],[HomeTeam]], 1, 0))</f>
        <v>0</v>
      </c>
      <c r="AN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" s="2" t="str">
        <f>INDEX(Sheet5!$B$2:$AG$33, MATCH(Table2[[#This Row],[AwayTeam]],Sheet5!$A$2:$A$33, 0), MATCH(Table2[[#This Row],[HomeTeam]],Sheet5!$A$2:$A$33, 0))</f>
        <v>1-0-0</v>
      </c>
      <c r="AP42" s="2" t="str">
        <f>INDEX(Sheet5!$B$2:$AG$33, MATCH(Table2[[#This Row],[HomeTeam]],Sheet5!$A$2:$A$33, 0), MATCH(Table2[[#This Row],[AwayTeam]],Sheet5!$A$2:$A$33, 0))</f>
        <v>0-1-0</v>
      </c>
      <c r="AQ42" s="2">
        <f>IF(Table2[[#This Row],[GameHasShutOut]], 1, 0)</f>
        <v>0</v>
      </c>
      <c r="AR42" s="2">
        <f>IF(Table2[[#This Row],[ActualAwayScore]] + Table2[[#This Row],[ActualHomeScore]] &gt;= 10, 1, 0)</f>
        <v>0</v>
      </c>
      <c r="AS42" s="2">
        <f>IF(ABS(Table2[[#This Row],[ActualAwayScore]]-Table2[[#This Row],[ActualHomeScore]])&gt;=5, 1, 0)</f>
        <v>0</v>
      </c>
      <c r="AT42" s="2">
        <f>IF(Table2[[#This Row],[ActualAwayScore]] + Table2[[#This Row],[ActualHomeScore]] &lt;= 3, 1, 0)</f>
        <v>0</v>
      </c>
      <c r="AU42" s="2"/>
      <c r="AV42" s="2"/>
    </row>
    <row r="43" spans="1:60" x14ac:dyDescent="0.25">
      <c r="A43" s="3">
        <v>45943</v>
      </c>
      <c r="B43" s="3">
        <v>45943</v>
      </c>
      <c r="C43" s="5">
        <v>2025020041</v>
      </c>
      <c r="D43" s="2" t="s">
        <v>34</v>
      </c>
      <c r="E43" s="2" t="s">
        <v>29</v>
      </c>
      <c r="F43" s="2">
        <v>2</v>
      </c>
      <c r="G43" s="2">
        <v>5</v>
      </c>
      <c r="H43" s="2" t="str">
        <f t="shared" si="0"/>
        <v>OTT</v>
      </c>
      <c r="I43" s="2" t="s">
        <v>718</v>
      </c>
      <c r="J43" s="2">
        <v>4</v>
      </c>
      <c r="K43" s="2">
        <v>1</v>
      </c>
      <c r="L43" s="2" t="str">
        <f t="shared" si="1"/>
        <v>NSH</v>
      </c>
      <c r="M43" s="2" t="s">
        <v>718</v>
      </c>
      <c r="N43" s="2">
        <f>IF(ISBLANK(Table2[[#This Row],[ActualResult]]), 0, 1)</f>
        <v>1</v>
      </c>
      <c r="O43" s="2" t="str">
        <f>IF(ISBLANK(Table2[[#This Row],[ActualResult]]), "_", IF(Table2[[#This Row],[ActualWinner]]=Table2[[#This Row],[PredictedWinner]], "Y", "N"))</f>
        <v>N</v>
      </c>
      <c r="P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3" s="2">
        <v>0</v>
      </c>
      <c r="S43" s="2" t="str">
        <f t="shared" si="2"/>
        <v>OTT</v>
      </c>
      <c r="T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" s="2">
        <f>IF(Table2[[#This Row],[InterConf]]=1,IF(Table2[[#This Row],[InterDiv]]=0, 1, 0), 0)</f>
        <v>0</v>
      </c>
      <c r="W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" s="2"/>
      <c r="Y43" s="2"/>
      <c r="Z43" s="145">
        <f>IF(AND(Table2[[#This Row],[GameIsOver]]=1,Table2[[#This Row],[ActualHomeScore]]*Table2[[#This Row],[ActualAwayScore]]=0), 1,0)</f>
        <v>0</v>
      </c>
      <c r="AA4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3" s="2">
        <f>Table2[[#This Row],[ActualAwayScore]]-Table2[[#This Row],[PredictedAwayScore]]</f>
        <v>2</v>
      </c>
      <c r="AG43" s="2">
        <f>Table2[[#This Row],[ActualHomeScore]]-Table2[[#This Row],[PredictedHomeScore]]</f>
        <v>-4</v>
      </c>
      <c r="AH43" s="2">
        <f t="shared" si="3"/>
        <v>3</v>
      </c>
      <c r="AI43" s="2">
        <f t="shared" si="4"/>
        <v>-4</v>
      </c>
      <c r="AJ43" s="2"/>
      <c r="AK43" s="2"/>
      <c r="AL43" s="2">
        <f>IF(Table2[[#This Row],[GameIsOver]]=0,0,IF(Table2[[#This Row],[ActualWinner]]=Table2[[#This Row],[AwayTeam]], 1, 0))</f>
        <v>1</v>
      </c>
      <c r="AM43" s="2">
        <f>IF(Table2[[#This Row],[GameIsOver]]=0,0,IF(Table2[[#This Row],[ActualWinner]]=Table2[[#This Row],[HomeTeam]], 1, 0))</f>
        <v>0</v>
      </c>
      <c r="AN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" s="2" t="str">
        <f>INDEX(Sheet5!$B$2:$AG$33, MATCH(Table2[[#This Row],[AwayTeam]],Sheet5!$A$2:$A$33, 0), MATCH(Table2[[#This Row],[HomeTeam]],Sheet5!$A$2:$A$33, 0))</f>
        <v>1-0-0</v>
      </c>
      <c r="AP43" s="2" t="str">
        <f>INDEX(Sheet5!$B$2:$AG$33, MATCH(Table2[[#This Row],[HomeTeam]],Sheet5!$A$2:$A$33, 0), MATCH(Table2[[#This Row],[AwayTeam]],Sheet5!$A$2:$A$33, 0))</f>
        <v>0-1-0</v>
      </c>
      <c r="AQ43" s="2">
        <f>IF(Table2[[#This Row],[GameHasShutOut]], 1, 0)</f>
        <v>0</v>
      </c>
      <c r="AR43" s="2">
        <f>IF(Table2[[#This Row],[ActualAwayScore]] + Table2[[#This Row],[ActualHomeScore]] &gt;= 10, 1, 0)</f>
        <v>0</v>
      </c>
      <c r="AS43" s="2">
        <f>IF(ABS(Table2[[#This Row],[ActualAwayScore]]-Table2[[#This Row],[ActualHomeScore]])&gt;=5, 1, 0)</f>
        <v>0</v>
      </c>
      <c r="AT43" s="2">
        <f>IF(Table2[[#This Row],[ActualAwayScore]] + Table2[[#This Row],[ActualHomeScore]] &lt;= 3, 1, 0)</f>
        <v>0</v>
      </c>
      <c r="AU43" s="2"/>
      <c r="AV43" s="2"/>
    </row>
    <row r="44" spans="1:60" x14ac:dyDescent="0.25">
      <c r="A44" s="3">
        <v>45943</v>
      </c>
      <c r="B44" s="3">
        <v>45943</v>
      </c>
      <c r="C44" s="5">
        <v>2025020042</v>
      </c>
      <c r="D44" s="2" t="s">
        <v>21</v>
      </c>
      <c r="E44" s="2" t="s">
        <v>32</v>
      </c>
      <c r="F44" s="2">
        <v>2</v>
      </c>
      <c r="G44" s="2">
        <v>1</v>
      </c>
      <c r="H44" s="2" t="str">
        <f t="shared" si="0"/>
        <v>WPG</v>
      </c>
      <c r="I44" s="2" t="s">
        <v>718</v>
      </c>
      <c r="J44" s="2">
        <v>5</v>
      </c>
      <c r="K44" s="2">
        <v>2</v>
      </c>
      <c r="L44" s="2" t="str">
        <f t="shared" si="1"/>
        <v>WPG</v>
      </c>
      <c r="M44" s="2" t="s">
        <v>718</v>
      </c>
      <c r="N44" s="2">
        <f>IF(ISBLANK(Table2[[#This Row],[ActualResult]]), 0, 1)</f>
        <v>1</v>
      </c>
      <c r="O44" s="2" t="str">
        <f>IF(ISBLANK(Table2[[#This Row],[ActualResult]]), "_", IF(Table2[[#This Row],[ActualWinner]]=Table2[[#This Row],[PredictedWinner]], "Y", "N"))</f>
        <v>Y</v>
      </c>
      <c r="P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4" s="2">
        <v>0</v>
      </c>
      <c r="S44" s="2" t="str">
        <f t="shared" si="2"/>
        <v>NYI</v>
      </c>
      <c r="T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" s="2">
        <f>IF(Table2[[#This Row],[InterConf]]=1,IF(Table2[[#This Row],[InterDiv]]=0, 1, 0), 0)</f>
        <v>0</v>
      </c>
      <c r="W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" s="2"/>
      <c r="Y44" s="2"/>
      <c r="Z44" s="145">
        <f>IF(AND(Table2[[#This Row],[GameIsOver]]=1,Table2[[#This Row],[ActualHomeScore]]*Table2[[#This Row],[ActualAwayScore]]=0), 1,0)</f>
        <v>0</v>
      </c>
      <c r="AA44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4" s="2">
        <f>Table2[[#This Row],[ActualAwayScore]]-Table2[[#This Row],[PredictedAwayScore]]</f>
        <v>3</v>
      </c>
      <c r="AG44" s="2">
        <f>Table2[[#This Row],[ActualHomeScore]]-Table2[[#This Row],[PredictedHomeScore]]</f>
        <v>1</v>
      </c>
      <c r="AH44" s="2">
        <f t="shared" si="3"/>
        <v>3</v>
      </c>
      <c r="AI44" s="2">
        <f t="shared" si="4"/>
        <v>-4</v>
      </c>
      <c r="AJ44" s="2"/>
      <c r="AK44" s="2"/>
      <c r="AL44" s="2">
        <f>IF(Table2[[#This Row],[GameIsOver]]=0,0,IF(Table2[[#This Row],[ActualWinner]]=Table2[[#This Row],[AwayTeam]], 1, 0))</f>
        <v>1</v>
      </c>
      <c r="AM44" s="2">
        <f>IF(Table2[[#This Row],[GameIsOver]]=0,0,IF(Table2[[#This Row],[ActualWinner]]=Table2[[#This Row],[HomeTeam]], 1, 0))</f>
        <v>0</v>
      </c>
      <c r="AN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" s="2" t="str">
        <f>INDEX(Sheet5!$B$2:$AG$33, MATCH(Table2[[#This Row],[AwayTeam]],Sheet5!$A$2:$A$33, 0), MATCH(Table2[[#This Row],[HomeTeam]],Sheet5!$A$2:$A$33, 0))</f>
        <v>1-0-0</v>
      </c>
      <c r="AP44" s="2" t="str">
        <f>INDEX(Sheet5!$B$2:$AG$33, MATCH(Table2[[#This Row],[HomeTeam]],Sheet5!$A$2:$A$33, 0), MATCH(Table2[[#This Row],[AwayTeam]],Sheet5!$A$2:$A$33, 0))</f>
        <v>0-1-0</v>
      </c>
      <c r="AQ44" s="2">
        <f>IF(Table2[[#This Row],[GameHasShutOut]], 1, 0)</f>
        <v>0</v>
      </c>
      <c r="AR44" s="2">
        <f>IF(Table2[[#This Row],[ActualAwayScore]] + Table2[[#This Row],[ActualHomeScore]] &gt;= 10, 1, 0)</f>
        <v>0</v>
      </c>
      <c r="AS44" s="2">
        <f>IF(ABS(Table2[[#This Row],[ActualAwayScore]]-Table2[[#This Row],[ActualHomeScore]])&gt;=5, 1, 0)</f>
        <v>0</v>
      </c>
      <c r="AT44" s="2">
        <f>IF(Table2[[#This Row],[ActualAwayScore]] + Table2[[#This Row],[ActualHomeScore]] &lt;= 3, 1, 0)</f>
        <v>0</v>
      </c>
      <c r="AU44" s="2"/>
      <c r="AV44" s="2"/>
    </row>
    <row r="45" spans="1:60" x14ac:dyDescent="0.25">
      <c r="A45" s="3">
        <v>45943</v>
      </c>
      <c r="B45" s="3">
        <v>45943</v>
      </c>
      <c r="C45" s="5">
        <v>2025020043</v>
      </c>
      <c r="D45" s="2" t="s">
        <v>30</v>
      </c>
      <c r="E45" s="2" t="s">
        <v>17</v>
      </c>
      <c r="F45" s="2">
        <v>4</v>
      </c>
      <c r="G45" s="2">
        <v>3</v>
      </c>
      <c r="H45" s="2" t="str">
        <f t="shared" si="0"/>
        <v>DET</v>
      </c>
      <c r="I45" s="2" t="s">
        <v>720</v>
      </c>
      <c r="J45" s="2">
        <v>3</v>
      </c>
      <c r="K45" s="2">
        <v>2</v>
      </c>
      <c r="L45" s="2" t="str">
        <f t="shared" si="1"/>
        <v>DET</v>
      </c>
      <c r="M45" s="2" t="s">
        <v>718</v>
      </c>
      <c r="N45" s="2">
        <f>IF(ISBLANK(Table2[[#This Row],[ActualResult]]), 0, 1)</f>
        <v>1</v>
      </c>
      <c r="O45" s="2" t="str">
        <f>IF(ISBLANK(Table2[[#This Row],[ActualResult]]), "_", IF(Table2[[#This Row],[ActualWinner]]=Table2[[#This Row],[PredictedWinner]], "Y", "N"))</f>
        <v>Y</v>
      </c>
      <c r="P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5" s="2">
        <v>1</v>
      </c>
      <c r="S45" s="2" t="str">
        <f t="shared" si="2"/>
        <v>TOR</v>
      </c>
      <c r="T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5" s="2">
        <f>IF(Table2[[#This Row],[InterConf]]=1,IF(Table2[[#This Row],[InterDiv]]=0, 1, 0), 0)</f>
        <v>0</v>
      </c>
      <c r="W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" s="2" t="s">
        <v>750</v>
      </c>
      <c r="Y45" s="2"/>
      <c r="Z45" s="145">
        <f>IF(AND(Table2[[#This Row],[GameIsOver]]=1,Table2[[#This Row],[ActualHomeScore]]*Table2[[#This Row],[ActualAwayScore]]=0), 1,0)</f>
        <v>0</v>
      </c>
      <c r="AA4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5" s="2">
        <f>Table2[[#This Row],[ActualAwayScore]]-Table2[[#This Row],[PredictedAwayScore]]</f>
        <v>-1</v>
      </c>
      <c r="AG45" s="2">
        <f>Table2[[#This Row],[ActualHomeScore]]-Table2[[#This Row],[PredictedHomeScore]]</f>
        <v>-1</v>
      </c>
      <c r="AH45" s="2">
        <f t="shared" si="3"/>
        <v>3</v>
      </c>
      <c r="AI45" s="2">
        <f t="shared" si="4"/>
        <v>-4</v>
      </c>
      <c r="AJ45" s="2">
        <v>5</v>
      </c>
      <c r="AK45" s="3">
        <v>45943</v>
      </c>
      <c r="AL45" s="2">
        <f>IF(Table2[[#This Row],[GameIsOver]]=0,0,IF(Table2[[#This Row],[ActualWinner]]=Table2[[#This Row],[AwayTeam]], 1, 0))</f>
        <v>1</v>
      </c>
      <c r="AM45" s="2">
        <f>IF(Table2[[#This Row],[GameIsOver]]=0,0,IF(Table2[[#This Row],[ActualWinner]]=Table2[[#This Row],[HomeTeam]], 1, 0))</f>
        <v>0</v>
      </c>
      <c r="AN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" s="2" t="str">
        <f>INDEX(Sheet5!$B$2:$AG$33, MATCH(Table2[[#This Row],[AwayTeam]],Sheet5!$A$2:$A$33, 0), MATCH(Table2[[#This Row],[HomeTeam]],Sheet5!$A$2:$A$33, 0))</f>
        <v>2-0-0</v>
      </c>
      <c r="AP45" s="2" t="str">
        <f>INDEX(Sheet5!$B$2:$AG$33, MATCH(Table2[[#This Row],[HomeTeam]],Sheet5!$A$2:$A$33, 0), MATCH(Table2[[#This Row],[AwayTeam]],Sheet5!$A$2:$A$33, 0))</f>
        <v>0-2-0</v>
      </c>
      <c r="AQ45" s="2">
        <f>IF(Table2[[#This Row],[GameHasShutOut]], 1, 0)</f>
        <v>0</v>
      </c>
      <c r="AR45" s="2">
        <f>IF(Table2[[#This Row],[ActualAwayScore]] + Table2[[#This Row],[ActualHomeScore]] &gt;= 10, 1, 0)</f>
        <v>0</v>
      </c>
      <c r="AS45" s="2">
        <f>IF(ABS(Table2[[#This Row],[ActualAwayScore]]-Table2[[#This Row],[ActualHomeScore]])&gt;=5, 1, 0)</f>
        <v>0</v>
      </c>
      <c r="AT45" s="2">
        <f>IF(Table2[[#This Row],[ActualAwayScore]] + Table2[[#This Row],[ActualHomeScore]] &lt;= 3, 1, 0)</f>
        <v>0</v>
      </c>
      <c r="AU45" s="2"/>
      <c r="AV45" s="2"/>
    </row>
    <row r="46" spans="1:60" ht="15.75" thickBot="1" x14ac:dyDescent="0.3">
      <c r="A46" s="3">
        <v>45943</v>
      </c>
      <c r="B46" s="3">
        <v>45943</v>
      </c>
      <c r="C46" s="5">
        <v>2025020044</v>
      </c>
      <c r="D46" s="2" t="s">
        <v>13</v>
      </c>
      <c r="E46" s="2" t="s">
        <v>42</v>
      </c>
      <c r="F46" s="2">
        <v>3</v>
      </c>
      <c r="G46" s="2">
        <v>2</v>
      </c>
      <c r="H46" s="2" t="str">
        <f t="shared" si="0"/>
        <v>FLA</v>
      </c>
      <c r="I46" s="2" t="s">
        <v>718</v>
      </c>
      <c r="J46" s="2">
        <v>2</v>
      </c>
      <c r="K46" s="2">
        <v>5</v>
      </c>
      <c r="L46" s="2" t="str">
        <f t="shared" si="1"/>
        <v>PHI</v>
      </c>
      <c r="M46" s="2" t="s">
        <v>718</v>
      </c>
      <c r="N46" s="2">
        <f>IF(ISBLANK(Table2[[#This Row],[ActualResult]]), 0, 1)</f>
        <v>1</v>
      </c>
      <c r="O46" s="2" t="str">
        <f>IF(ISBLANK(Table2[[#This Row],[ActualResult]]), "_", IF(Table2[[#This Row],[ActualWinner]]=Table2[[#This Row],[PredictedWinner]], "Y", "N"))</f>
        <v>N</v>
      </c>
      <c r="P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6" s="2">
        <v>1</v>
      </c>
      <c r="S46" s="2" t="str">
        <f t="shared" si="2"/>
        <v>FLA</v>
      </c>
      <c r="T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" s="2">
        <f>IF(Table2[[#This Row],[InterConf]]=1,IF(Table2[[#This Row],[InterDiv]]=0, 1, 0), 0)</f>
        <v>1</v>
      </c>
      <c r="W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" s="2"/>
      <c r="Y46" s="2"/>
      <c r="Z46" s="145">
        <f>IF(AND(Table2[[#This Row],[GameIsOver]]=1,Table2[[#This Row],[ActualHomeScore]]*Table2[[#This Row],[ActualAwayScore]]=0), 1,0)</f>
        <v>0</v>
      </c>
      <c r="AA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" s="2">
        <f>Table2[[#This Row],[ActualAwayScore]]-Table2[[#This Row],[PredictedAwayScore]]</f>
        <v>-1</v>
      </c>
      <c r="AG46" s="2">
        <f>Table2[[#This Row],[ActualHomeScore]]-Table2[[#This Row],[PredictedHomeScore]]</f>
        <v>3</v>
      </c>
      <c r="AH46" s="2">
        <f t="shared" si="3"/>
        <v>3</v>
      </c>
      <c r="AI46" s="2">
        <f t="shared" si="4"/>
        <v>-4</v>
      </c>
      <c r="AJ46" s="2">
        <v>3</v>
      </c>
      <c r="AK46" s="3">
        <v>45943</v>
      </c>
      <c r="AL46" s="2">
        <f>IF(Table2[[#This Row],[GameIsOver]]=0,0,IF(Table2[[#This Row],[ActualWinner]]=Table2[[#This Row],[AwayTeam]], 1, 0))</f>
        <v>0</v>
      </c>
      <c r="AM46" s="2">
        <f>IF(Table2[[#This Row],[GameIsOver]]=0,0,IF(Table2[[#This Row],[ActualWinner]]=Table2[[#This Row],[HomeTeam]], 1, 0))</f>
        <v>1</v>
      </c>
      <c r="AN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" s="2" t="str">
        <f>INDEX(Sheet5!$B$2:$AG$33, MATCH(Table2[[#This Row],[AwayTeam]],Sheet5!$A$2:$A$33, 0), MATCH(Table2[[#This Row],[HomeTeam]],Sheet5!$A$2:$A$33, 0))</f>
        <v>1-1-0</v>
      </c>
      <c r="AP46" s="2" t="str">
        <f>INDEX(Sheet5!$B$2:$AG$33, MATCH(Table2[[#This Row],[HomeTeam]],Sheet5!$A$2:$A$33, 0), MATCH(Table2[[#This Row],[AwayTeam]],Sheet5!$A$2:$A$33, 0))</f>
        <v>1-1-0</v>
      </c>
      <c r="AQ46" s="2">
        <f>IF(Table2[[#This Row],[GameHasShutOut]], 1, 0)</f>
        <v>0</v>
      </c>
      <c r="AR46" s="2">
        <f>IF(Table2[[#This Row],[ActualAwayScore]] + Table2[[#This Row],[ActualHomeScore]] &gt;= 10, 1, 0)</f>
        <v>0</v>
      </c>
      <c r="AS46" s="2">
        <f>IF(ABS(Table2[[#This Row],[ActualAwayScore]]-Table2[[#This Row],[ActualHomeScore]])&gt;=5, 1, 0)</f>
        <v>0</v>
      </c>
      <c r="AT46" s="2">
        <f>IF(Table2[[#This Row],[ActualAwayScore]] + Table2[[#This Row],[ActualHomeScore]] &lt;= 3, 1, 0)</f>
        <v>0</v>
      </c>
      <c r="AU46" s="2"/>
      <c r="AV46" s="2"/>
      <c r="BD46" s="2" t="s">
        <v>509</v>
      </c>
    </row>
    <row r="47" spans="1:60" x14ac:dyDescent="0.25">
      <c r="A47" s="3">
        <v>45943</v>
      </c>
      <c r="B47" s="3">
        <v>45943</v>
      </c>
      <c r="C47" s="5">
        <v>2025020045</v>
      </c>
      <c r="D47" s="2" t="s">
        <v>31</v>
      </c>
      <c r="E47" s="2" t="s">
        <v>35</v>
      </c>
      <c r="F47" s="2">
        <v>2</v>
      </c>
      <c r="G47" s="2">
        <v>5</v>
      </c>
      <c r="H47" s="2" t="str">
        <f t="shared" si="0"/>
        <v>CBJ</v>
      </c>
      <c r="I47" s="2" t="s">
        <v>718</v>
      </c>
      <c r="J47" s="2">
        <v>3</v>
      </c>
      <c r="K47" s="2">
        <v>2</v>
      </c>
      <c r="L47" s="2" t="str">
        <f t="shared" si="1"/>
        <v>NJD</v>
      </c>
      <c r="M47" s="2" t="s">
        <v>718</v>
      </c>
      <c r="N47" s="2">
        <f>IF(ISBLANK(Table2[[#This Row],[ActualResult]]), 0, 1)</f>
        <v>1</v>
      </c>
      <c r="O47" s="2" t="str">
        <f>IF(ISBLANK(Table2[[#This Row],[ActualResult]]), "_", IF(Table2[[#This Row],[ActualWinner]]=Table2[[#This Row],[PredictedWinner]], "Y", "N"))</f>
        <v>N</v>
      </c>
      <c r="P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7" s="2">
        <v>0</v>
      </c>
      <c r="S47" s="2" t="str">
        <f t="shared" si="2"/>
        <v>CBJ</v>
      </c>
      <c r="T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" s="2">
        <f>IF(Table2[[#This Row],[InterConf]]=1,IF(Table2[[#This Row],[InterDiv]]=0, 1, 0), 0)</f>
        <v>0</v>
      </c>
      <c r="W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" s="2"/>
      <c r="Y47" s="2"/>
      <c r="Z47" s="145">
        <f>IF(AND(Table2[[#This Row],[GameIsOver]]=1,Table2[[#This Row],[ActualHomeScore]]*Table2[[#This Row],[ActualAwayScore]]=0), 1,0)</f>
        <v>0</v>
      </c>
      <c r="AA4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7" s="2">
        <f>Table2[[#This Row],[ActualAwayScore]]-Table2[[#This Row],[PredictedAwayScore]]</f>
        <v>1</v>
      </c>
      <c r="AG47" s="2">
        <f>Table2[[#This Row],[ActualHomeScore]]-Table2[[#This Row],[PredictedHomeScore]]</f>
        <v>-3</v>
      </c>
      <c r="AH47" s="2">
        <f t="shared" si="3"/>
        <v>3</v>
      </c>
      <c r="AI47" s="2">
        <f t="shared" si="4"/>
        <v>-4</v>
      </c>
      <c r="AJ47" s="2"/>
      <c r="AK47" s="2"/>
      <c r="AL47" s="2">
        <f>IF(Table2[[#This Row],[GameIsOver]]=0,0,IF(Table2[[#This Row],[ActualWinner]]=Table2[[#This Row],[AwayTeam]], 1, 0))</f>
        <v>1</v>
      </c>
      <c r="AM47" s="2">
        <f>IF(Table2[[#This Row],[GameIsOver]]=0,0,IF(Table2[[#This Row],[ActualWinner]]=Table2[[#This Row],[HomeTeam]], 1, 0))</f>
        <v>0</v>
      </c>
      <c r="AN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" s="2" t="str">
        <f>INDEX(Sheet5!$B$2:$AG$33, MATCH(Table2[[#This Row],[AwayTeam]],Sheet5!$A$2:$A$33, 0), MATCH(Table2[[#This Row],[HomeTeam]],Sheet5!$A$2:$A$33, 0))</f>
        <v>1-0-0</v>
      </c>
      <c r="AP47" s="2" t="str">
        <f>INDEX(Sheet5!$B$2:$AG$33, MATCH(Table2[[#This Row],[HomeTeam]],Sheet5!$A$2:$A$33, 0), MATCH(Table2[[#This Row],[AwayTeam]],Sheet5!$A$2:$A$33, 0))</f>
        <v>0-1-0</v>
      </c>
      <c r="AQ47" s="2">
        <f>IF(Table2[[#This Row],[GameHasShutOut]], 1, 0)</f>
        <v>0</v>
      </c>
      <c r="AR47" s="2">
        <f>IF(Table2[[#This Row],[ActualAwayScore]] + Table2[[#This Row],[ActualHomeScore]] &gt;= 10, 1, 0)</f>
        <v>0</v>
      </c>
      <c r="AS47" s="2">
        <f>IF(ABS(Table2[[#This Row],[ActualAwayScore]]-Table2[[#This Row],[ActualHomeScore]])&gt;=5, 1, 0)</f>
        <v>0</v>
      </c>
      <c r="AT47" s="2">
        <f>IF(Table2[[#This Row],[ActualAwayScore]] + Table2[[#This Row],[ActualHomeScore]] &lt;= 3, 1, 0)</f>
        <v>0</v>
      </c>
      <c r="AU47" s="2"/>
      <c r="AV47" s="2"/>
      <c r="BD47" s="66" t="s">
        <v>29</v>
      </c>
      <c r="BF47" s="66" t="s">
        <v>13</v>
      </c>
    </row>
    <row r="48" spans="1:60" x14ac:dyDescent="0.25">
      <c r="A48" s="3">
        <v>45943</v>
      </c>
      <c r="B48" s="3">
        <v>45943</v>
      </c>
      <c r="C48" s="5">
        <v>2025020046</v>
      </c>
      <c r="D48" s="2" t="s">
        <v>12</v>
      </c>
      <c r="E48" s="2" t="s">
        <v>24</v>
      </c>
      <c r="F48" s="2">
        <v>4</v>
      </c>
      <c r="G48" s="2">
        <v>3</v>
      </c>
      <c r="H48" s="2" t="str">
        <f t="shared" si="0"/>
        <v>STL</v>
      </c>
      <c r="I48" s="2" t="s">
        <v>719</v>
      </c>
      <c r="J48" s="2">
        <v>5</v>
      </c>
      <c r="K48" s="2">
        <v>2</v>
      </c>
      <c r="L48" s="2" t="str">
        <f t="shared" si="1"/>
        <v>STL</v>
      </c>
      <c r="M48" s="2" t="s">
        <v>718</v>
      </c>
      <c r="N48" s="2">
        <f>IF(ISBLANK(Table2[[#This Row],[ActualResult]]), 0, 1)</f>
        <v>1</v>
      </c>
      <c r="O48" s="2" t="str">
        <f>IF(ISBLANK(Table2[[#This Row],[ActualResult]]), "_", IF(Table2[[#This Row],[ActualWinner]]=Table2[[#This Row],[PredictedWinner]], "Y", "N"))</f>
        <v>Y</v>
      </c>
      <c r="P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8" s="2">
        <v>1</v>
      </c>
      <c r="S48" s="2" t="str">
        <f t="shared" si="2"/>
        <v>VAN</v>
      </c>
      <c r="T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" s="2">
        <f>IF(Table2[[#This Row],[InterConf]]=1,IF(Table2[[#This Row],[InterDiv]]=0, 1, 0), 0)</f>
        <v>1</v>
      </c>
      <c r="W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" s="2" t="s">
        <v>750</v>
      </c>
      <c r="Y48" s="2"/>
      <c r="Z48" s="145">
        <f>IF(AND(Table2[[#This Row],[GameIsOver]]=1,Table2[[#This Row],[ActualHomeScore]]*Table2[[#This Row],[ActualAwayScore]]=0), 1,0)</f>
        <v>0</v>
      </c>
      <c r="AA4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8" s="2">
        <f>Table2[[#This Row],[ActualAwayScore]]-Table2[[#This Row],[PredictedAwayScore]]</f>
        <v>1</v>
      </c>
      <c r="AG48" s="2">
        <f>Table2[[#This Row],[ActualHomeScore]]-Table2[[#This Row],[PredictedHomeScore]]</f>
        <v>-1</v>
      </c>
      <c r="AH48" s="2">
        <f t="shared" si="3"/>
        <v>3</v>
      </c>
      <c r="AI48" s="2">
        <f t="shared" si="4"/>
        <v>-4</v>
      </c>
      <c r="AJ48" s="2">
        <v>6</v>
      </c>
      <c r="AK48" s="3">
        <v>45944</v>
      </c>
      <c r="AL48" s="2">
        <f>IF(Table2[[#This Row],[GameIsOver]]=0,0,IF(Table2[[#This Row],[ActualWinner]]=Table2[[#This Row],[AwayTeam]], 1, 0))</f>
        <v>1</v>
      </c>
      <c r="AM48" s="2">
        <f>IF(Table2[[#This Row],[GameIsOver]]=0,0,IF(Table2[[#This Row],[ActualWinner]]=Table2[[#This Row],[HomeTeam]], 1, 0))</f>
        <v>0</v>
      </c>
      <c r="AN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" s="2" t="str">
        <f>INDEX(Sheet5!$B$2:$AG$33, MATCH(Table2[[#This Row],[AwayTeam]],Sheet5!$A$2:$A$33, 0), MATCH(Table2[[#This Row],[HomeTeam]],Sheet5!$A$2:$A$33, 0))</f>
        <v>1-0-0</v>
      </c>
      <c r="AP48" s="2" t="str">
        <f>INDEX(Sheet5!$B$2:$AG$33, MATCH(Table2[[#This Row],[HomeTeam]],Sheet5!$A$2:$A$33, 0), MATCH(Table2[[#This Row],[AwayTeam]],Sheet5!$A$2:$A$33, 0))</f>
        <v>0-1-0</v>
      </c>
      <c r="AQ48" s="2">
        <f>IF(Table2[[#This Row],[GameHasShutOut]], 1, 0)</f>
        <v>0</v>
      </c>
      <c r="AR48" s="2">
        <f>IF(Table2[[#This Row],[ActualAwayScore]] + Table2[[#This Row],[ActualHomeScore]] &gt;= 10, 1, 0)</f>
        <v>0</v>
      </c>
      <c r="AS48" s="2">
        <f>IF(ABS(Table2[[#This Row],[ActualAwayScore]]-Table2[[#This Row],[ActualHomeScore]])&gt;=5, 1, 0)</f>
        <v>0</v>
      </c>
      <c r="AT48" s="2">
        <f>IF(Table2[[#This Row],[ActualAwayScore]] + Table2[[#This Row],[ActualHomeScore]] &lt;= 3, 1, 0)</f>
        <v>0</v>
      </c>
      <c r="AU48" s="2"/>
      <c r="AV48" s="2"/>
      <c r="BD48" s="67" t="s">
        <v>17</v>
      </c>
      <c r="BF48" s="67" t="s">
        <v>26</v>
      </c>
    </row>
    <row r="49" spans="1:58" x14ac:dyDescent="0.25">
      <c r="A49" s="3">
        <v>45943</v>
      </c>
      <c r="B49" s="3">
        <v>45943</v>
      </c>
      <c r="C49" s="5">
        <v>2025020047</v>
      </c>
      <c r="D49" s="2" t="s">
        <v>27</v>
      </c>
      <c r="E49" s="2" t="s">
        <v>36</v>
      </c>
      <c r="F49" s="2">
        <v>2</v>
      </c>
      <c r="G49" s="2">
        <v>4</v>
      </c>
      <c r="H49" s="2" t="str">
        <f t="shared" si="0"/>
        <v>MIN</v>
      </c>
      <c r="I49" s="2" t="s">
        <v>718</v>
      </c>
      <c r="J49" s="2">
        <v>3</v>
      </c>
      <c r="K49" s="2">
        <v>4</v>
      </c>
      <c r="L49" s="2" t="str">
        <f t="shared" si="1"/>
        <v>MIN</v>
      </c>
      <c r="M49" s="2" t="s">
        <v>719</v>
      </c>
      <c r="N49" s="2">
        <f>IF(ISBLANK(Table2[[#This Row],[ActualResult]]), 0, 1)</f>
        <v>1</v>
      </c>
      <c r="O49" s="2" t="str">
        <f>IF(ISBLANK(Table2[[#This Row],[ActualResult]]), "_", IF(Table2[[#This Row],[ActualWinner]]=Table2[[#This Row],[PredictedWinner]], "Y", "N"))</f>
        <v>Y</v>
      </c>
      <c r="P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49" s="2">
        <v>0</v>
      </c>
      <c r="S49" s="2" t="str">
        <f t="shared" si="2"/>
        <v>LAK</v>
      </c>
      <c r="T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" s="2">
        <f>IF(Table2[[#This Row],[InterConf]]=1,IF(Table2[[#This Row],[InterDiv]]=0, 1, 0), 0)</f>
        <v>1</v>
      </c>
      <c r="W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" s="2"/>
      <c r="Y49" s="2"/>
      <c r="Z49" s="145">
        <f>IF(AND(Table2[[#This Row],[GameIsOver]]=1,Table2[[#This Row],[ActualHomeScore]]*Table2[[#This Row],[ActualAwayScore]]=0), 1,0)</f>
        <v>0</v>
      </c>
      <c r="AA49" s="145">
        <f>IF(Table2[[#This Row],[GameIsOver]]=0,0, IF(Table2[[#This Row],[ActualWinner]]=Table2[[#This Row],[AwayTeam]], 2, IF(OR(Table2[[#This Row],[ActualResult]]="OT", Table2[[#This Row],[ActualResult]]="SO"), 1, 0)))</f>
        <v>1</v>
      </c>
      <c r="AB4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49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9" s="2">
        <f>Table2[[#This Row],[ActualAwayScore]]-Table2[[#This Row],[PredictedAwayScore]]</f>
        <v>1</v>
      </c>
      <c r="AG49" s="2">
        <f>Table2[[#This Row],[ActualHomeScore]]-Table2[[#This Row],[PredictedHomeScore]]</f>
        <v>0</v>
      </c>
      <c r="AH49" s="2">
        <f t="shared" si="3"/>
        <v>3</v>
      </c>
      <c r="AI49" s="2">
        <f t="shared" si="4"/>
        <v>-4</v>
      </c>
      <c r="AJ49" s="2"/>
      <c r="AK49" s="2"/>
      <c r="AL49" s="2">
        <f>IF(Table2[[#This Row],[GameIsOver]]=0,0,IF(Table2[[#This Row],[ActualWinner]]=Table2[[#This Row],[AwayTeam]], 1, 0))</f>
        <v>0</v>
      </c>
      <c r="AM49" s="2">
        <f>IF(Table2[[#This Row],[GameIsOver]]=0,0,IF(Table2[[#This Row],[ActualWinner]]=Table2[[#This Row],[HomeTeam]], 1, 0))</f>
        <v>1</v>
      </c>
      <c r="AN49" s="2">
        <f>IF(IFERROR(FIND(Table2[[#This Row],[AwayTeam]], _xlfn.TEXTJOIN(";", 1, $BD$31:$BD$40)), 0) &gt; 0, 1, 0) + IF(IFERROR(FIND(Table2[[#This Row],[HomeTeam]], _xlfn.TEXTJOIN(";", 1, $BD$31:$BD$40)), 0) &gt; 0, 1, 0)</f>
        <v>1</v>
      </c>
      <c r="AO49" s="2" t="str">
        <f>INDEX(Sheet5!$B$2:$AG$33, MATCH(Table2[[#This Row],[AwayTeam]],Sheet5!$A$2:$A$33, 0), MATCH(Table2[[#This Row],[HomeTeam]],Sheet5!$A$2:$A$33, 0))</f>
        <v>0-0-1</v>
      </c>
      <c r="AP49" s="2" t="str">
        <f>INDEX(Sheet5!$B$2:$AG$33, MATCH(Table2[[#This Row],[HomeTeam]],Sheet5!$A$2:$A$33, 0), MATCH(Table2[[#This Row],[AwayTeam]],Sheet5!$A$2:$A$33, 0))</f>
        <v>1-0-0</v>
      </c>
      <c r="AQ49" s="2">
        <f>IF(Table2[[#This Row],[GameHasShutOut]], 1, 0)</f>
        <v>0</v>
      </c>
      <c r="AR49" s="2">
        <f>IF(Table2[[#This Row],[ActualAwayScore]] + Table2[[#This Row],[ActualHomeScore]] &gt;= 10, 1, 0)</f>
        <v>0</v>
      </c>
      <c r="AS49" s="2">
        <f>IF(ABS(Table2[[#This Row],[ActualAwayScore]]-Table2[[#This Row],[ActualHomeScore]])&gt;=5, 1, 0)</f>
        <v>0</v>
      </c>
      <c r="AT49" s="2">
        <f>IF(Table2[[#This Row],[ActualAwayScore]] + Table2[[#This Row],[ActualHomeScore]] &lt;= 3, 1, 0)</f>
        <v>0</v>
      </c>
      <c r="AU49" s="2"/>
      <c r="AV49" s="2"/>
      <c r="BD49" s="67" t="s">
        <v>18</v>
      </c>
      <c r="BF49" s="67" t="s">
        <v>25</v>
      </c>
    </row>
    <row r="50" spans="1:58" x14ac:dyDescent="0.25">
      <c r="A50" s="141">
        <v>45943</v>
      </c>
      <c r="B50" s="141">
        <v>45943</v>
      </c>
      <c r="C50" s="142">
        <v>2025020048</v>
      </c>
      <c r="D50" s="143" t="s">
        <v>14</v>
      </c>
      <c r="E50" s="143" t="s">
        <v>16</v>
      </c>
      <c r="F50" s="143">
        <v>4</v>
      </c>
      <c r="G50" s="143">
        <v>2</v>
      </c>
      <c r="H50" s="143" t="str">
        <f t="shared" si="0"/>
        <v>UTA</v>
      </c>
      <c r="I50" s="143" t="s">
        <v>718</v>
      </c>
      <c r="J50" s="143">
        <v>1</v>
      </c>
      <c r="K50" s="143">
        <v>3</v>
      </c>
      <c r="L50" s="143" t="str">
        <f t="shared" si="1"/>
        <v>CHI</v>
      </c>
      <c r="M50" s="143" t="s">
        <v>718</v>
      </c>
      <c r="N50" s="143">
        <f>IF(ISBLANK(Table2[[#This Row],[ActualResult]]), 0, 1)</f>
        <v>1</v>
      </c>
      <c r="O50" s="143" t="str">
        <f>IF(ISBLANK(Table2[[#This Row],[ActualResult]]), "_", IF(Table2[[#This Row],[ActualWinner]]=Table2[[#This Row],[PredictedWinner]], "Y", "N"))</f>
        <v>N</v>
      </c>
      <c r="P50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0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0" s="143">
        <v>1</v>
      </c>
      <c r="S50" s="143" t="str">
        <f t="shared" si="2"/>
        <v>UTA</v>
      </c>
      <c r="T50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" s="143">
        <f>IF(Table2[[#This Row],[InterConf]]=1,IF(Table2[[#This Row],[InterDiv]]=0, 1, 0), 0)</f>
        <v>0</v>
      </c>
      <c r="W50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" s="143"/>
      <c r="Y50" s="143"/>
      <c r="Z50" s="149">
        <f>IF(AND(Table2[[#This Row],[GameIsOver]]=1,Table2[[#This Row],[ActualHomeScore]]*Table2[[#This Row],[ActualAwayScore]]=0), 1,0)</f>
        <v>0</v>
      </c>
      <c r="AA50" s="149">
        <f>IF(Table2[[#This Row],[GameIsOver]]=0,0, IF(Table2[[#This Row],[ActualWinner]]=Table2[[#This Row],[AwayTeam]], 2, IF(OR(Table2[[#This Row],[ActualResult]]="OT", Table2[[#This Row],[ActualResult]]="SO"), 1, 0)))</f>
        <v>0</v>
      </c>
      <c r="AB50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50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0" s="143">
        <f>Table2[[#This Row],[ActualAwayScore]]-Table2[[#This Row],[PredictedAwayScore]]</f>
        <v>-3</v>
      </c>
      <c r="AG50" s="143">
        <f>Table2[[#This Row],[ActualHomeScore]]-Table2[[#This Row],[PredictedHomeScore]]</f>
        <v>1</v>
      </c>
      <c r="AH50" s="143">
        <f t="shared" si="3"/>
        <v>3</v>
      </c>
      <c r="AI50" s="143">
        <f t="shared" si="4"/>
        <v>-4</v>
      </c>
      <c r="AJ50" s="143">
        <v>4</v>
      </c>
      <c r="AK50" s="141">
        <v>45943</v>
      </c>
      <c r="AL50" s="143">
        <f>IF(Table2[[#This Row],[GameIsOver]]=0,0,IF(Table2[[#This Row],[ActualWinner]]=Table2[[#This Row],[AwayTeam]], 1, 0))</f>
        <v>0</v>
      </c>
      <c r="AM50" s="143">
        <f>IF(Table2[[#This Row],[GameIsOver]]=0,0,IF(Table2[[#This Row],[ActualWinner]]=Table2[[#This Row],[HomeTeam]], 1, 0))</f>
        <v>1</v>
      </c>
      <c r="AN50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50" s="143" t="str">
        <f>INDEX(Sheet5!$B$2:$AG$33, MATCH(Table2[[#This Row],[AwayTeam]],Sheet5!$A$2:$A$33, 0), MATCH(Table2[[#This Row],[HomeTeam]],Sheet5!$A$2:$A$33, 0))</f>
        <v>0-1-0</v>
      </c>
      <c r="AP50" s="143" t="str">
        <f>INDEX(Sheet5!$B$2:$AG$33, MATCH(Table2[[#This Row],[HomeTeam]],Sheet5!$A$2:$A$33, 0), MATCH(Table2[[#This Row],[AwayTeam]],Sheet5!$A$2:$A$33, 0))</f>
        <v>1-0-0</v>
      </c>
      <c r="AQ50" s="143">
        <f>IF(Table2[[#This Row],[GameHasShutOut]], 1, 0)</f>
        <v>0</v>
      </c>
      <c r="AR50" s="143">
        <f>IF(Table2[[#This Row],[ActualAwayScore]] + Table2[[#This Row],[ActualHomeScore]] &gt;= 10, 1, 0)</f>
        <v>0</v>
      </c>
      <c r="AS50" s="143">
        <f>IF(ABS(Table2[[#This Row],[ActualAwayScore]]-Table2[[#This Row],[ActualHomeScore]])&gt;=5, 1, 0)</f>
        <v>0</v>
      </c>
      <c r="AT50" s="143">
        <f>IF(Table2[[#This Row],[ActualAwayScore]] + Table2[[#This Row],[ActualHomeScore]] &lt;= 3, 1, 0)</f>
        <v>0</v>
      </c>
      <c r="AU50" s="2"/>
      <c r="AV50" s="2"/>
      <c r="BD50" s="67" t="s">
        <v>21</v>
      </c>
      <c r="BF50" s="67" t="s">
        <v>40</v>
      </c>
    </row>
    <row r="51" spans="1:58" x14ac:dyDescent="0.25">
      <c r="A51" s="3">
        <v>45944</v>
      </c>
      <c r="B51" s="3">
        <v>45944</v>
      </c>
      <c r="C51" s="5">
        <v>2025020049</v>
      </c>
      <c r="D51" s="2" t="s">
        <v>34</v>
      </c>
      <c r="E51" s="2" t="s">
        <v>17</v>
      </c>
      <c r="F51" s="2">
        <v>3</v>
      </c>
      <c r="G51" s="2">
        <v>4</v>
      </c>
      <c r="H51" s="2" t="str">
        <f t="shared" si="0"/>
        <v>TOR</v>
      </c>
      <c r="I51" s="2" t="s">
        <v>720</v>
      </c>
      <c r="J51" s="2">
        <v>4</v>
      </c>
      <c r="K51" s="2">
        <v>7</v>
      </c>
      <c r="L51" s="2" t="str">
        <f t="shared" si="1"/>
        <v>TOR</v>
      </c>
      <c r="M51" s="2" t="s">
        <v>718</v>
      </c>
      <c r="N51" s="2">
        <f>IF(ISBLANK(Table2[[#This Row],[ActualResult]]), 0, 1)</f>
        <v>1</v>
      </c>
      <c r="O51" s="2" t="str">
        <f>IF(ISBLANK(Table2[[#This Row],[ActualResult]]), "_", IF(Table2[[#This Row],[ActualWinner]]=Table2[[#This Row],[PredictedWinner]], "Y", "N"))</f>
        <v>Y</v>
      </c>
      <c r="P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1" s="2">
        <v>1</v>
      </c>
      <c r="S51" s="2" t="str">
        <f t="shared" si="2"/>
        <v>NSH</v>
      </c>
      <c r="T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" s="2">
        <f>IF(Table2[[#This Row],[InterConf]]=1,IF(Table2[[#This Row],[InterDiv]]=0, 1, 0), 0)</f>
        <v>0</v>
      </c>
      <c r="W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" s="2"/>
      <c r="Y51" s="2"/>
      <c r="Z51" s="145">
        <f>IF(AND(Table2[[#This Row],[GameIsOver]]=1,Table2[[#This Row],[ActualHomeScore]]*Table2[[#This Row],[ActualAwayScore]]=0), 1,0)</f>
        <v>0</v>
      </c>
      <c r="AA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" s="2">
        <f>Table2[[#This Row],[ActualAwayScore]]-Table2[[#This Row],[PredictedAwayScore]]</f>
        <v>1</v>
      </c>
      <c r="AG51" s="2">
        <f>Table2[[#This Row],[ActualHomeScore]]-Table2[[#This Row],[PredictedHomeScore]]</f>
        <v>3</v>
      </c>
      <c r="AH51" s="2">
        <f t="shared" si="3"/>
        <v>4</v>
      </c>
      <c r="AI51" s="2">
        <f t="shared" si="4"/>
        <v>-2</v>
      </c>
      <c r="AJ51" s="2">
        <v>3</v>
      </c>
      <c r="AK51" s="3">
        <v>45944</v>
      </c>
      <c r="AL51" s="2">
        <f>IF(Table2[[#This Row],[GameIsOver]]=0,0,IF(Table2[[#This Row],[ActualWinner]]=Table2[[#This Row],[AwayTeam]], 1, 0))</f>
        <v>0</v>
      </c>
      <c r="AM51" s="2">
        <f>IF(Table2[[#This Row],[GameIsOver]]=0,0,IF(Table2[[#This Row],[ActualWinner]]=Table2[[#This Row],[HomeTeam]], 1, 0))</f>
        <v>1</v>
      </c>
      <c r="AN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" s="2" t="str">
        <f>INDEX(Sheet5!$B$2:$AG$33, MATCH(Table2[[#This Row],[AwayTeam]],Sheet5!$A$2:$A$33, 0), MATCH(Table2[[#This Row],[HomeTeam]],Sheet5!$A$2:$A$33, 0))</f>
        <v>0-1-0</v>
      </c>
      <c r="AP51" s="2" t="str">
        <f>INDEX(Sheet5!$B$2:$AG$33, MATCH(Table2[[#This Row],[HomeTeam]],Sheet5!$A$2:$A$33, 0), MATCH(Table2[[#This Row],[AwayTeam]],Sheet5!$A$2:$A$33, 0))</f>
        <v>1-0-0</v>
      </c>
      <c r="AQ51" s="2">
        <f>IF(Table2[[#This Row],[GameHasShutOut]], 1, 0)</f>
        <v>0</v>
      </c>
      <c r="AR51" s="2">
        <f>IF(Table2[[#This Row],[ActualAwayScore]] + Table2[[#This Row],[ActualHomeScore]] &gt;= 10, 1, 0)</f>
        <v>1</v>
      </c>
      <c r="AS51" s="2">
        <f>IF(ABS(Table2[[#This Row],[ActualAwayScore]]-Table2[[#This Row],[ActualHomeScore]])&gt;=5, 1, 0)</f>
        <v>0</v>
      </c>
      <c r="AT51" s="2">
        <f>IF(Table2[[#This Row],[ActualAwayScore]] + Table2[[#This Row],[ActualHomeScore]] &lt;= 3, 1, 0)</f>
        <v>0</v>
      </c>
      <c r="AU51" s="2"/>
      <c r="AV51" s="2"/>
      <c r="BD51" s="67" t="s">
        <v>22</v>
      </c>
      <c r="BF51" s="67" t="s">
        <v>12</v>
      </c>
    </row>
    <row r="52" spans="1:58" x14ac:dyDescent="0.25">
      <c r="A52" s="3">
        <v>45944</v>
      </c>
      <c r="B52" s="3">
        <v>45944</v>
      </c>
      <c r="C52" s="5">
        <v>2025020050</v>
      </c>
      <c r="D52" s="2" t="s">
        <v>11</v>
      </c>
      <c r="E52" s="2" t="s">
        <v>18</v>
      </c>
      <c r="F52" s="2">
        <v>2</v>
      </c>
      <c r="G52" s="2">
        <v>5</v>
      </c>
      <c r="H52" s="2" t="str">
        <f t="shared" si="0"/>
        <v>MTL</v>
      </c>
      <c r="I52" s="2" t="s">
        <v>718</v>
      </c>
      <c r="J52" s="2">
        <v>4</v>
      </c>
      <c r="K52" s="2">
        <v>5</v>
      </c>
      <c r="L52" s="2" t="str">
        <f t="shared" si="1"/>
        <v>MTL</v>
      </c>
      <c r="M52" s="2" t="s">
        <v>720</v>
      </c>
      <c r="N52" s="2">
        <f>IF(ISBLANK(Table2[[#This Row],[ActualResult]]), 0, 1)</f>
        <v>1</v>
      </c>
      <c r="O52" s="2" t="str">
        <f>IF(ISBLANK(Table2[[#This Row],[ActualResult]]), "_", IF(Table2[[#This Row],[ActualWinner]]=Table2[[#This Row],[PredictedWinner]], "Y", "N"))</f>
        <v>Y</v>
      </c>
      <c r="P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52" s="2">
        <v>1</v>
      </c>
      <c r="S52" s="2" t="str">
        <f t="shared" si="2"/>
        <v>SEA</v>
      </c>
      <c r="T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" s="2">
        <f>IF(Table2[[#This Row],[InterConf]]=1,IF(Table2[[#This Row],[InterDiv]]=0, 1, 0), 0)</f>
        <v>0</v>
      </c>
      <c r="W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" s="2"/>
      <c r="Y52" s="2"/>
      <c r="Z52" s="145">
        <f>IF(AND(Table2[[#This Row],[GameIsOver]]=1,Table2[[#This Row],[ActualHomeScore]]*Table2[[#This Row],[ActualAwayScore]]=0), 1,0)</f>
        <v>0</v>
      </c>
      <c r="AA52" s="145">
        <f>IF(Table2[[#This Row],[GameIsOver]]=0,0, IF(Table2[[#This Row],[ActualWinner]]=Table2[[#This Row],[AwayTeam]], 2, IF(OR(Table2[[#This Row],[ActualResult]]="OT", Table2[[#This Row],[ActualResult]]="SO"), 1, 0)))</f>
        <v>1</v>
      </c>
      <c r="AB5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2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2" s="2">
        <f>Table2[[#This Row],[ActualAwayScore]]-Table2[[#This Row],[PredictedAwayScore]]</f>
        <v>2</v>
      </c>
      <c r="AG52" s="2">
        <f>Table2[[#This Row],[ActualHomeScore]]-Table2[[#This Row],[PredictedHomeScore]]</f>
        <v>0</v>
      </c>
      <c r="AH52" s="2">
        <f t="shared" si="3"/>
        <v>4</v>
      </c>
      <c r="AI52" s="2">
        <f t="shared" si="4"/>
        <v>-2</v>
      </c>
      <c r="AJ52" s="2">
        <v>2</v>
      </c>
      <c r="AK52" s="3">
        <v>45944</v>
      </c>
      <c r="AL52" s="2">
        <f>IF(Table2[[#This Row],[GameIsOver]]=0,0,IF(Table2[[#This Row],[ActualWinner]]=Table2[[#This Row],[AwayTeam]], 1, 0))</f>
        <v>0</v>
      </c>
      <c r="AM52" s="2">
        <f>IF(Table2[[#This Row],[GameIsOver]]=0,0,IF(Table2[[#This Row],[ActualWinner]]=Table2[[#This Row],[HomeTeam]], 1, 0))</f>
        <v>1</v>
      </c>
      <c r="AN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" s="2" t="str">
        <f>INDEX(Sheet5!$B$2:$AG$33, MATCH(Table2[[#This Row],[AwayTeam]],Sheet5!$A$2:$A$33, 0), MATCH(Table2[[#This Row],[HomeTeam]],Sheet5!$A$2:$A$33, 0))</f>
        <v>0-0-1</v>
      </c>
      <c r="AP52" s="2" t="str">
        <f>INDEX(Sheet5!$B$2:$AG$33, MATCH(Table2[[#This Row],[HomeTeam]],Sheet5!$A$2:$A$33, 0), MATCH(Table2[[#This Row],[AwayTeam]],Sheet5!$A$2:$A$33, 0))</f>
        <v>1-0-0</v>
      </c>
      <c r="AQ52" s="2">
        <f>IF(Table2[[#This Row],[GameHasShutOut]], 1, 0)</f>
        <v>0</v>
      </c>
      <c r="AR52" s="2">
        <f>IF(Table2[[#This Row],[ActualAwayScore]] + Table2[[#This Row],[ActualHomeScore]] &gt;= 10, 1, 0)</f>
        <v>0</v>
      </c>
      <c r="AS52" s="2">
        <f>IF(ABS(Table2[[#This Row],[ActualAwayScore]]-Table2[[#This Row],[ActualHomeScore]])&gt;=5, 1, 0)</f>
        <v>0</v>
      </c>
      <c r="AT52" s="2">
        <f>IF(Table2[[#This Row],[ActualAwayScore]] + Table2[[#This Row],[ActualHomeScore]] &lt;= 3, 1, 0)</f>
        <v>0</v>
      </c>
      <c r="AU52" s="2"/>
      <c r="AV52" s="2"/>
      <c r="BD52" s="67" t="s">
        <v>24</v>
      </c>
      <c r="BF52" s="67" t="s">
        <v>43</v>
      </c>
    </row>
    <row r="53" spans="1:58" x14ac:dyDescent="0.25">
      <c r="A53" s="3">
        <v>45944</v>
      </c>
      <c r="B53" s="3">
        <v>45944</v>
      </c>
      <c r="C53" s="5">
        <v>2025020051</v>
      </c>
      <c r="D53" s="2" t="s">
        <v>22</v>
      </c>
      <c r="E53" s="2" t="s">
        <v>19</v>
      </c>
      <c r="F53" s="2">
        <v>4</v>
      </c>
      <c r="G53" s="2">
        <v>2</v>
      </c>
      <c r="H53" s="2" t="str">
        <f t="shared" si="0"/>
        <v>EDM</v>
      </c>
      <c r="I53" s="2" t="s">
        <v>718</v>
      </c>
      <c r="J53" s="2">
        <v>2</v>
      </c>
      <c r="K53" s="2">
        <v>0</v>
      </c>
      <c r="L53" s="2" t="str">
        <f t="shared" si="1"/>
        <v>EDM</v>
      </c>
      <c r="M53" s="2" t="s">
        <v>718</v>
      </c>
      <c r="N53" s="2">
        <f>IF(ISBLANK(Table2[[#This Row],[ActualResult]]), 0, 1)</f>
        <v>1</v>
      </c>
      <c r="O53" s="2" t="str">
        <f>IF(ISBLANK(Table2[[#This Row],[ActualResult]]), "_", IF(Table2[[#This Row],[ActualWinner]]=Table2[[#This Row],[PredictedWinner]], "Y", "N"))</f>
        <v>Y</v>
      </c>
      <c r="P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3" s="2">
        <v>1</v>
      </c>
      <c r="S53" s="2" t="str">
        <f t="shared" si="2"/>
        <v>NYR</v>
      </c>
      <c r="T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" s="2">
        <f>IF(Table2[[#This Row],[InterConf]]=1,IF(Table2[[#This Row],[InterDiv]]=0, 1, 0), 0)</f>
        <v>0</v>
      </c>
      <c r="W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" s="2"/>
      <c r="Y53" s="2"/>
      <c r="Z53" s="145">
        <f>IF(AND(Table2[[#This Row],[GameIsOver]]=1,Table2[[#This Row],[ActualHomeScore]]*Table2[[#This Row],[ActualAwayScore]]=0), 1,0)</f>
        <v>1</v>
      </c>
      <c r="AA5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3" s="2">
        <f>Table2[[#This Row],[ActualAwayScore]]-Table2[[#This Row],[PredictedAwayScore]]</f>
        <v>-2</v>
      </c>
      <c r="AG53" s="2">
        <f>Table2[[#This Row],[ActualHomeScore]]-Table2[[#This Row],[PredictedHomeScore]]</f>
        <v>-2</v>
      </c>
      <c r="AH53" s="2">
        <f t="shared" si="3"/>
        <v>4</v>
      </c>
      <c r="AI53" s="2">
        <f t="shared" si="4"/>
        <v>-2</v>
      </c>
      <c r="AJ53" s="2">
        <v>1</v>
      </c>
      <c r="AK53" s="3">
        <v>45944</v>
      </c>
      <c r="AL53" s="2">
        <f>IF(Table2[[#This Row],[GameIsOver]]=0,0,IF(Table2[[#This Row],[ActualWinner]]=Table2[[#This Row],[AwayTeam]], 1, 0))</f>
        <v>1</v>
      </c>
      <c r="AM53" s="2">
        <f>IF(Table2[[#This Row],[GameIsOver]]=0,0,IF(Table2[[#This Row],[ActualWinner]]=Table2[[#This Row],[HomeTeam]], 1, 0))</f>
        <v>0</v>
      </c>
      <c r="AN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" s="2" t="str">
        <f>INDEX(Sheet5!$B$2:$AG$33, MATCH(Table2[[#This Row],[AwayTeam]],Sheet5!$A$2:$A$33, 0), MATCH(Table2[[#This Row],[HomeTeam]],Sheet5!$A$2:$A$33, 0))</f>
        <v>1-0-0</v>
      </c>
      <c r="AP53" s="2" t="str">
        <f>INDEX(Sheet5!$B$2:$AG$33, MATCH(Table2[[#This Row],[HomeTeam]],Sheet5!$A$2:$A$33, 0), MATCH(Table2[[#This Row],[AwayTeam]],Sheet5!$A$2:$A$33, 0))</f>
        <v>0-1-0</v>
      </c>
      <c r="AQ53" s="2">
        <f>IF(Table2[[#This Row],[GameHasShutOut]], 1, 0)</f>
        <v>1</v>
      </c>
      <c r="AR53" s="2">
        <f>IF(Table2[[#This Row],[ActualAwayScore]] + Table2[[#This Row],[ActualHomeScore]] &gt;= 10, 1, 0)</f>
        <v>0</v>
      </c>
      <c r="AS53" s="2">
        <f>IF(ABS(Table2[[#This Row],[ActualAwayScore]]-Table2[[#This Row],[ActualHomeScore]])&gt;=5, 1, 0)</f>
        <v>0</v>
      </c>
      <c r="AT53" s="2">
        <f>IF(Table2[[#This Row],[ActualAwayScore]] + Table2[[#This Row],[ActualHomeScore]] &lt;= 3, 1, 0)</f>
        <v>1</v>
      </c>
      <c r="AU53" s="2"/>
      <c r="AV53" s="2"/>
      <c r="BD53" s="67" t="s">
        <v>23</v>
      </c>
      <c r="BF53" s="67" t="s">
        <v>20</v>
      </c>
    </row>
    <row r="54" spans="1:58" x14ac:dyDescent="0.25">
      <c r="A54" s="3">
        <v>45944</v>
      </c>
      <c r="B54" s="3">
        <v>45944</v>
      </c>
      <c r="C54" s="5">
        <v>2025020052</v>
      </c>
      <c r="D54" s="2" t="s">
        <v>40</v>
      </c>
      <c r="E54" s="2" t="s">
        <v>43</v>
      </c>
      <c r="F54" s="2">
        <v>2</v>
      </c>
      <c r="G54" s="2">
        <v>4</v>
      </c>
      <c r="H54" s="2" t="str">
        <f t="shared" si="0"/>
        <v>WSH</v>
      </c>
      <c r="I54" s="2" t="s">
        <v>718</v>
      </c>
      <c r="J54" s="2">
        <v>2</v>
      </c>
      <c r="K54" s="2">
        <v>3</v>
      </c>
      <c r="L54" s="2" t="str">
        <f t="shared" si="1"/>
        <v>WSH</v>
      </c>
      <c r="M54" s="2" t="s">
        <v>720</v>
      </c>
      <c r="N54" s="2">
        <f>IF(ISBLANK(Table2[[#This Row],[ActualResult]]), 0, 1)</f>
        <v>1</v>
      </c>
      <c r="O54" s="2" t="str">
        <f>IF(ISBLANK(Table2[[#This Row],[ActualResult]]), "_", IF(Table2[[#This Row],[ActualWinner]]=Table2[[#This Row],[PredictedWinner]], "Y", "N"))</f>
        <v>Y</v>
      </c>
      <c r="P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4" s="2">
        <v>1</v>
      </c>
      <c r="S54" s="2" t="str">
        <f t="shared" si="2"/>
        <v>TBL</v>
      </c>
      <c r="T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" s="2">
        <f>IF(Table2[[#This Row],[InterConf]]=1,IF(Table2[[#This Row],[InterDiv]]=0, 1, 0), 0)</f>
        <v>1</v>
      </c>
      <c r="W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" s="2"/>
      <c r="Y54" s="2"/>
      <c r="Z54" s="145">
        <f>IF(AND(Table2[[#This Row],[GameIsOver]]=1,Table2[[#This Row],[ActualHomeScore]]*Table2[[#This Row],[ActualAwayScore]]=0), 1,0)</f>
        <v>0</v>
      </c>
      <c r="AA54" s="145">
        <f>IF(Table2[[#This Row],[GameIsOver]]=0,0, IF(Table2[[#This Row],[ActualWinner]]=Table2[[#This Row],[AwayTeam]], 2, IF(OR(Table2[[#This Row],[ActualResult]]="OT", Table2[[#This Row],[ActualResult]]="SO"), 1, 0)))</f>
        <v>1</v>
      </c>
      <c r="AB5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4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4" s="2">
        <f>Table2[[#This Row],[ActualAwayScore]]-Table2[[#This Row],[PredictedAwayScore]]</f>
        <v>0</v>
      </c>
      <c r="AG54" s="2">
        <f>Table2[[#This Row],[ActualHomeScore]]-Table2[[#This Row],[PredictedHomeScore]]</f>
        <v>-1</v>
      </c>
      <c r="AH54" s="2">
        <f t="shared" si="3"/>
        <v>4</v>
      </c>
      <c r="AI54" s="2">
        <f t="shared" si="4"/>
        <v>-2</v>
      </c>
      <c r="AJ54" s="2">
        <v>4</v>
      </c>
      <c r="AK54" s="3">
        <v>45944</v>
      </c>
      <c r="AL54" s="2">
        <f>IF(Table2[[#This Row],[GameIsOver]]=0,0,IF(Table2[[#This Row],[ActualWinner]]=Table2[[#This Row],[AwayTeam]], 1, 0))</f>
        <v>0</v>
      </c>
      <c r="AM54" s="2">
        <f>IF(Table2[[#This Row],[GameIsOver]]=0,0,IF(Table2[[#This Row],[ActualWinner]]=Table2[[#This Row],[HomeTeam]], 1, 0))</f>
        <v>1</v>
      </c>
      <c r="AN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" s="2" t="str">
        <f>INDEX(Sheet5!$B$2:$AG$33, MATCH(Table2[[#This Row],[AwayTeam]],Sheet5!$A$2:$A$33, 0), MATCH(Table2[[#This Row],[HomeTeam]],Sheet5!$A$2:$A$33, 0))</f>
        <v>0-0-1</v>
      </c>
      <c r="AP54" s="2" t="str">
        <f>INDEX(Sheet5!$B$2:$AG$33, MATCH(Table2[[#This Row],[HomeTeam]],Sheet5!$A$2:$A$33, 0), MATCH(Table2[[#This Row],[AwayTeam]],Sheet5!$A$2:$A$33, 0))</f>
        <v>1-0-0</v>
      </c>
      <c r="AQ54" s="2">
        <f>IF(Table2[[#This Row],[GameHasShutOut]], 1, 0)</f>
        <v>0</v>
      </c>
      <c r="AR54" s="2">
        <f>IF(Table2[[#This Row],[ActualAwayScore]] + Table2[[#This Row],[ActualHomeScore]] &gt;= 10, 1, 0)</f>
        <v>0</v>
      </c>
      <c r="AS54" s="2">
        <f>IF(ABS(Table2[[#This Row],[ActualAwayScore]]-Table2[[#This Row],[ActualHomeScore]])&gt;=5, 1, 0)</f>
        <v>0</v>
      </c>
      <c r="AT54" s="2">
        <f>IF(Table2[[#This Row],[ActualAwayScore]] + Table2[[#This Row],[ActualHomeScore]] &lt;= 3, 1, 0)</f>
        <v>0</v>
      </c>
      <c r="AU54" s="2"/>
      <c r="AV54" s="2"/>
      <c r="BD54" s="67"/>
      <c r="BF54" s="67" t="s">
        <v>16</v>
      </c>
    </row>
    <row r="55" spans="1:58" x14ac:dyDescent="0.25">
      <c r="A55" s="3">
        <v>45944</v>
      </c>
      <c r="B55" s="3">
        <v>45944</v>
      </c>
      <c r="C55" s="5">
        <v>2025020053</v>
      </c>
      <c r="D55" s="2" t="s">
        <v>26</v>
      </c>
      <c r="E55" s="2" t="s">
        <v>23</v>
      </c>
      <c r="F55" s="2">
        <v>1</v>
      </c>
      <c r="G55" s="2">
        <v>3</v>
      </c>
      <c r="H55" s="2" t="str">
        <f t="shared" si="0"/>
        <v>CGY</v>
      </c>
      <c r="I55" s="2" t="s">
        <v>718</v>
      </c>
      <c r="J55" s="2">
        <v>4</v>
      </c>
      <c r="K55" s="2">
        <v>2</v>
      </c>
      <c r="L55" s="2" t="str">
        <f t="shared" si="1"/>
        <v>VGK</v>
      </c>
      <c r="M55" s="2" t="s">
        <v>718</v>
      </c>
      <c r="N55" s="2">
        <f>IF(ISBLANK(Table2[[#This Row],[ActualResult]]), 0, 1)</f>
        <v>1</v>
      </c>
      <c r="O55" s="2" t="str">
        <f>IF(ISBLANK(Table2[[#This Row],[ActualResult]]), "_", IF(Table2[[#This Row],[ActualWinner]]=Table2[[#This Row],[PredictedWinner]], "Y", "N"))</f>
        <v>N</v>
      </c>
      <c r="P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5" s="2">
        <v>1</v>
      </c>
      <c r="S55" s="2" t="str">
        <f t="shared" si="2"/>
        <v>CGY</v>
      </c>
      <c r="T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5" s="2">
        <f>IF(Table2[[#This Row],[InterConf]]=1,IF(Table2[[#This Row],[InterDiv]]=0, 1, 0), 0)</f>
        <v>0</v>
      </c>
      <c r="W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" s="2"/>
      <c r="Y55" s="2"/>
      <c r="Z55" s="145">
        <f>IF(AND(Table2[[#This Row],[GameIsOver]]=1,Table2[[#This Row],[ActualHomeScore]]*Table2[[#This Row],[ActualAwayScore]]=0), 1,0)</f>
        <v>0</v>
      </c>
      <c r="AA5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5" s="2">
        <f>Table2[[#This Row],[ActualAwayScore]]-Table2[[#This Row],[PredictedAwayScore]]</f>
        <v>3</v>
      </c>
      <c r="AG55" s="2">
        <f>Table2[[#This Row],[ActualHomeScore]]-Table2[[#This Row],[PredictedHomeScore]]</f>
        <v>-1</v>
      </c>
      <c r="AH55" s="2">
        <f t="shared" si="3"/>
        <v>4</v>
      </c>
      <c r="AI55" s="2">
        <f t="shared" si="4"/>
        <v>-2</v>
      </c>
      <c r="AJ55" s="2">
        <v>5</v>
      </c>
      <c r="AK55" s="3">
        <v>45944</v>
      </c>
      <c r="AL55" s="2">
        <f>IF(Table2[[#This Row],[GameIsOver]]=0,0,IF(Table2[[#This Row],[ActualWinner]]=Table2[[#This Row],[AwayTeam]], 1, 0))</f>
        <v>1</v>
      </c>
      <c r="AM55" s="2">
        <f>IF(Table2[[#This Row],[GameIsOver]]=0,0,IF(Table2[[#This Row],[ActualWinner]]=Table2[[#This Row],[HomeTeam]], 1, 0))</f>
        <v>0</v>
      </c>
      <c r="AN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" s="2" t="str">
        <f>INDEX(Sheet5!$B$2:$AG$33, MATCH(Table2[[#This Row],[AwayTeam]],Sheet5!$A$2:$A$33, 0), MATCH(Table2[[#This Row],[HomeTeam]],Sheet5!$A$2:$A$33, 0))</f>
        <v>2-0-0</v>
      </c>
      <c r="AP55" s="2" t="str">
        <f>INDEX(Sheet5!$B$2:$AG$33, MATCH(Table2[[#This Row],[HomeTeam]],Sheet5!$A$2:$A$33, 0), MATCH(Table2[[#This Row],[AwayTeam]],Sheet5!$A$2:$A$33, 0))</f>
        <v>0-2-0</v>
      </c>
      <c r="AQ55" s="2">
        <f>IF(Table2[[#This Row],[GameHasShutOut]], 1, 0)</f>
        <v>0</v>
      </c>
      <c r="AR55" s="2">
        <f>IF(Table2[[#This Row],[ActualAwayScore]] + Table2[[#This Row],[ActualHomeScore]] &gt;= 10, 1, 0)</f>
        <v>0</v>
      </c>
      <c r="AS55" s="2">
        <f>IF(ABS(Table2[[#This Row],[ActualAwayScore]]-Table2[[#This Row],[ActualHomeScore]])&gt;=5, 1, 0)</f>
        <v>0</v>
      </c>
      <c r="AT55" s="2">
        <f>IF(Table2[[#This Row],[ActualAwayScore]] + Table2[[#This Row],[ActualHomeScore]] &lt;= 3, 1, 0)</f>
        <v>0</v>
      </c>
      <c r="AU55" s="2"/>
      <c r="AV55" s="2"/>
      <c r="BD55" s="67"/>
      <c r="BF55" s="67"/>
    </row>
    <row r="56" spans="1:58" ht="15.75" thickBot="1" x14ac:dyDescent="0.3">
      <c r="A56" s="3">
        <v>45944</v>
      </c>
      <c r="B56" s="3">
        <v>45944</v>
      </c>
      <c r="C56" s="5">
        <v>2025020054</v>
      </c>
      <c r="D56" s="2" t="s">
        <v>36</v>
      </c>
      <c r="E56" s="2" t="s">
        <v>33</v>
      </c>
      <c r="F56" s="2">
        <v>2</v>
      </c>
      <c r="G56" s="2">
        <v>5</v>
      </c>
      <c r="H56" s="2" t="str">
        <f t="shared" si="0"/>
        <v>DAL</v>
      </c>
      <c r="I56" s="2" t="s">
        <v>718</v>
      </c>
      <c r="J56" s="2">
        <v>2</v>
      </c>
      <c r="K56" s="2">
        <v>5</v>
      </c>
      <c r="L56" s="2" t="str">
        <f t="shared" si="1"/>
        <v>DAL</v>
      </c>
      <c r="M56" s="2" t="s">
        <v>718</v>
      </c>
      <c r="N56" s="2">
        <f>IF(ISBLANK(Table2[[#This Row],[ActualResult]]), 0, 1)</f>
        <v>1</v>
      </c>
      <c r="O56" s="2" t="str">
        <f>IF(ISBLANK(Table2[[#This Row],[ActualResult]]), "_", IF(Table2[[#This Row],[ActualWinner]]=Table2[[#This Row],[PredictedWinner]], "Y", "N"))</f>
        <v>Y</v>
      </c>
      <c r="P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56" s="2">
        <v>0</v>
      </c>
      <c r="S56" s="2" t="str">
        <f t="shared" si="2"/>
        <v>MIN</v>
      </c>
      <c r="T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" s="2">
        <f>IF(Table2[[#This Row],[InterConf]]=1,IF(Table2[[#This Row],[InterDiv]]=0, 1, 0), 0)</f>
        <v>0</v>
      </c>
      <c r="W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" s="2"/>
      <c r="Y56" s="2"/>
      <c r="Z56" s="145">
        <f>IF(AND(Table2[[#This Row],[GameIsOver]]=1,Table2[[#This Row],[ActualHomeScore]]*Table2[[#This Row],[ActualAwayScore]]=0), 1,0)</f>
        <v>0</v>
      </c>
      <c r="AA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6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6" s="2">
        <f>Table2[[#This Row],[ActualAwayScore]]-Table2[[#This Row],[PredictedAwayScore]]</f>
        <v>0</v>
      </c>
      <c r="AG56" s="2">
        <f>Table2[[#This Row],[ActualHomeScore]]-Table2[[#This Row],[PredictedHomeScore]]</f>
        <v>0</v>
      </c>
      <c r="AH56" s="2">
        <f t="shared" si="3"/>
        <v>4</v>
      </c>
      <c r="AI56" s="2">
        <f t="shared" si="4"/>
        <v>-2</v>
      </c>
      <c r="AJ56" s="2"/>
      <c r="AK56" s="2"/>
      <c r="AL56" s="2">
        <f>IF(Table2[[#This Row],[GameIsOver]]=0,0,IF(Table2[[#This Row],[ActualWinner]]=Table2[[#This Row],[AwayTeam]], 1, 0))</f>
        <v>0</v>
      </c>
      <c r="AM56" s="2">
        <f>IF(Table2[[#This Row],[GameIsOver]]=0,0,IF(Table2[[#This Row],[ActualWinner]]=Table2[[#This Row],[HomeTeam]], 1, 0))</f>
        <v>1</v>
      </c>
      <c r="AN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" s="2" t="str">
        <f>INDEX(Sheet5!$B$2:$AG$33, MATCH(Table2[[#This Row],[AwayTeam]],Sheet5!$A$2:$A$33, 0), MATCH(Table2[[#This Row],[HomeTeam]],Sheet5!$A$2:$A$33, 0))</f>
        <v>0-1-0</v>
      </c>
      <c r="AP56" s="2" t="str">
        <f>INDEX(Sheet5!$B$2:$AG$33, MATCH(Table2[[#This Row],[HomeTeam]],Sheet5!$A$2:$A$33, 0), MATCH(Table2[[#This Row],[AwayTeam]],Sheet5!$A$2:$A$33, 0))</f>
        <v>1-0-0</v>
      </c>
      <c r="AQ56" s="2">
        <f>IF(Table2[[#This Row],[GameHasShutOut]], 1, 0)</f>
        <v>0</v>
      </c>
      <c r="AR56" s="2">
        <f>IF(Table2[[#This Row],[ActualAwayScore]] + Table2[[#This Row],[ActualHomeScore]] &gt;= 10, 1, 0)</f>
        <v>0</v>
      </c>
      <c r="AS56" s="2">
        <f>IF(ABS(Table2[[#This Row],[ActualAwayScore]]-Table2[[#This Row],[ActualHomeScore]])&gt;=5, 1, 0)</f>
        <v>0</v>
      </c>
      <c r="AT56" s="2">
        <f>IF(Table2[[#This Row],[ActualAwayScore]] + Table2[[#This Row],[ActualHomeScore]] &lt;= 3, 1, 0)</f>
        <v>0</v>
      </c>
      <c r="AU56" s="2"/>
      <c r="AV56" s="2"/>
      <c r="BD56" s="68"/>
      <c r="BF56" s="68"/>
    </row>
    <row r="57" spans="1:58" x14ac:dyDescent="0.25">
      <c r="A57" s="3">
        <v>45944</v>
      </c>
      <c r="B57" s="3">
        <v>45944</v>
      </c>
      <c r="C57" s="5">
        <v>2025020055</v>
      </c>
      <c r="D57" s="2" t="s">
        <v>41</v>
      </c>
      <c r="E57" s="2" t="s">
        <v>37</v>
      </c>
      <c r="F57" s="2">
        <v>4</v>
      </c>
      <c r="G57" s="2">
        <v>3</v>
      </c>
      <c r="H57" s="2" t="str">
        <f t="shared" si="0"/>
        <v>CAR</v>
      </c>
      <c r="I57" s="2" t="s">
        <v>719</v>
      </c>
      <c r="J57" s="2">
        <v>5</v>
      </c>
      <c r="K57" s="2">
        <v>1</v>
      </c>
      <c r="L57" s="2" t="str">
        <f t="shared" si="1"/>
        <v>CAR</v>
      </c>
      <c r="M57" s="2" t="s">
        <v>718</v>
      </c>
      <c r="N57" s="2">
        <f>IF(ISBLANK(Table2[[#This Row],[ActualResult]]), 0, 1)</f>
        <v>1</v>
      </c>
      <c r="O57" s="2" t="str">
        <f>IF(ISBLANK(Table2[[#This Row],[ActualResult]]), "_", IF(Table2[[#This Row],[ActualWinner]]=Table2[[#This Row],[PredictedWinner]], "Y", "N"))</f>
        <v>Y</v>
      </c>
      <c r="P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7" s="2">
        <v>1</v>
      </c>
      <c r="S57" s="2" t="str">
        <f t="shared" si="2"/>
        <v>SJS</v>
      </c>
      <c r="T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" s="2">
        <f>IF(Table2[[#This Row],[InterConf]]=1,IF(Table2[[#This Row],[InterDiv]]=0, 1, 0), 0)</f>
        <v>0</v>
      </c>
      <c r="W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" s="2"/>
      <c r="Y57" s="2"/>
      <c r="Z57" s="145">
        <f>IF(AND(Table2[[#This Row],[GameIsOver]]=1,Table2[[#This Row],[ActualHomeScore]]*Table2[[#This Row],[ActualAwayScore]]=0), 1,0)</f>
        <v>0</v>
      </c>
      <c r="AA5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" s="2">
        <f>Table2[[#This Row],[ActualAwayScore]]-Table2[[#This Row],[PredictedAwayScore]]</f>
        <v>1</v>
      </c>
      <c r="AG57" s="2">
        <f>Table2[[#This Row],[ActualHomeScore]]-Table2[[#This Row],[PredictedHomeScore]]</f>
        <v>-2</v>
      </c>
      <c r="AH57" s="2">
        <f t="shared" si="3"/>
        <v>4</v>
      </c>
      <c r="AI57" s="2">
        <f t="shared" si="4"/>
        <v>-2</v>
      </c>
      <c r="AJ57" s="2">
        <v>6</v>
      </c>
      <c r="AK57" s="3">
        <v>45944</v>
      </c>
      <c r="AL57" s="2">
        <f>IF(Table2[[#This Row],[GameIsOver]]=0,0,IF(Table2[[#This Row],[ActualWinner]]=Table2[[#This Row],[AwayTeam]], 1, 0))</f>
        <v>1</v>
      </c>
      <c r="AM57" s="2">
        <f>IF(Table2[[#This Row],[GameIsOver]]=0,0,IF(Table2[[#This Row],[ActualWinner]]=Table2[[#This Row],[HomeTeam]], 1, 0))</f>
        <v>0</v>
      </c>
      <c r="AN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" s="2" t="str">
        <f>INDEX(Sheet5!$B$2:$AG$33, MATCH(Table2[[#This Row],[AwayTeam]],Sheet5!$A$2:$A$33, 0), MATCH(Table2[[#This Row],[HomeTeam]],Sheet5!$A$2:$A$33, 0))</f>
        <v>1-0-0</v>
      </c>
      <c r="AP57" s="2" t="str">
        <f>INDEX(Sheet5!$B$2:$AG$33, MATCH(Table2[[#This Row],[HomeTeam]],Sheet5!$A$2:$A$33, 0), MATCH(Table2[[#This Row],[AwayTeam]],Sheet5!$A$2:$A$33, 0))</f>
        <v>0-1-0</v>
      </c>
      <c r="AQ57" s="2">
        <f>IF(Table2[[#This Row],[GameHasShutOut]], 1, 0)</f>
        <v>0</v>
      </c>
      <c r="AR57" s="2">
        <f>IF(Table2[[#This Row],[ActualAwayScore]] + Table2[[#This Row],[ActualHomeScore]] &gt;= 10, 1, 0)</f>
        <v>0</v>
      </c>
      <c r="AS57" s="2">
        <f>IF(ABS(Table2[[#This Row],[ActualAwayScore]]-Table2[[#This Row],[ActualHomeScore]])&gt;=5, 1, 0)</f>
        <v>0</v>
      </c>
      <c r="AT57" s="2">
        <f>IF(Table2[[#This Row],[ActualAwayScore]] + Table2[[#This Row],[ActualHomeScore]] &lt;= 3, 1, 0)</f>
        <v>0</v>
      </c>
      <c r="AU57" s="2"/>
      <c r="AV57" s="2"/>
    </row>
    <row r="58" spans="1:58" x14ac:dyDescent="0.25">
      <c r="A58" s="141">
        <v>45944</v>
      </c>
      <c r="B58" s="141">
        <v>45944</v>
      </c>
      <c r="C58" s="142">
        <v>2025020056</v>
      </c>
      <c r="D58" s="143" t="s">
        <v>20</v>
      </c>
      <c r="E58" s="143" t="s">
        <v>44</v>
      </c>
      <c r="F58" s="143">
        <v>4</v>
      </c>
      <c r="G58" s="143">
        <v>3</v>
      </c>
      <c r="H58" s="143" t="str">
        <f t="shared" si="0"/>
        <v>PIT</v>
      </c>
      <c r="I58" s="143" t="s">
        <v>719</v>
      </c>
      <c r="J58" s="143">
        <v>3</v>
      </c>
      <c r="K58" s="143">
        <v>4</v>
      </c>
      <c r="L58" s="143" t="str">
        <f t="shared" si="1"/>
        <v>ANA</v>
      </c>
      <c r="M58" s="143" t="s">
        <v>718</v>
      </c>
      <c r="N58" s="143">
        <f>IF(ISBLANK(Table2[[#This Row],[ActualResult]]), 0, 1)</f>
        <v>1</v>
      </c>
      <c r="O58" s="143" t="str">
        <f>IF(ISBLANK(Table2[[#This Row],[ActualResult]]), "_", IF(Table2[[#This Row],[ActualWinner]]=Table2[[#This Row],[PredictedWinner]], "Y", "N"))</f>
        <v>N</v>
      </c>
      <c r="P58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8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8" s="143">
        <v>1</v>
      </c>
      <c r="S58" s="143" t="str">
        <f t="shared" si="2"/>
        <v>PIT</v>
      </c>
      <c r="T58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8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" s="143">
        <f>IF(Table2[[#This Row],[InterConf]]=1,IF(Table2[[#This Row],[InterDiv]]=0, 1, 0), 0)</f>
        <v>0</v>
      </c>
      <c r="W58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8" s="143"/>
      <c r="Y58" s="143"/>
      <c r="Z58" s="149">
        <f>IF(AND(Table2[[#This Row],[GameIsOver]]=1,Table2[[#This Row],[ActualHomeScore]]*Table2[[#This Row],[ActualAwayScore]]=0), 1,0)</f>
        <v>0</v>
      </c>
      <c r="AA58" s="149">
        <f>IF(Table2[[#This Row],[GameIsOver]]=0,0, IF(Table2[[#This Row],[ActualWinner]]=Table2[[#This Row],[AwayTeam]], 2, IF(OR(Table2[[#This Row],[ActualResult]]="OT", Table2[[#This Row],[ActualResult]]="SO"), 1, 0)))</f>
        <v>0</v>
      </c>
      <c r="AB58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58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8" s="143">
        <f>Table2[[#This Row],[ActualAwayScore]]-Table2[[#This Row],[PredictedAwayScore]]</f>
        <v>-1</v>
      </c>
      <c r="AG58" s="143">
        <f>Table2[[#This Row],[ActualHomeScore]]-Table2[[#This Row],[PredictedHomeScore]]</f>
        <v>1</v>
      </c>
      <c r="AH58" s="143">
        <f t="shared" si="3"/>
        <v>4</v>
      </c>
      <c r="AI58" s="143">
        <f t="shared" si="4"/>
        <v>-2</v>
      </c>
      <c r="AJ58" s="143">
        <v>7</v>
      </c>
      <c r="AK58" s="141">
        <v>45944</v>
      </c>
      <c r="AL58" s="143">
        <f>IF(Table2[[#This Row],[GameIsOver]]=0,0,IF(Table2[[#This Row],[ActualWinner]]=Table2[[#This Row],[AwayTeam]], 1, 0))</f>
        <v>0</v>
      </c>
      <c r="AM58" s="143">
        <f>IF(Table2[[#This Row],[GameIsOver]]=0,0,IF(Table2[[#This Row],[ActualWinner]]=Table2[[#This Row],[HomeTeam]], 1, 0))</f>
        <v>1</v>
      </c>
      <c r="AN58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58" s="143" t="str">
        <f>INDEX(Sheet5!$B$2:$AG$33, MATCH(Table2[[#This Row],[AwayTeam]],Sheet5!$A$2:$A$33, 0), MATCH(Table2[[#This Row],[HomeTeam]],Sheet5!$A$2:$A$33, 0))</f>
        <v>0-1-0</v>
      </c>
      <c r="AP58" s="143" t="str">
        <f>INDEX(Sheet5!$B$2:$AG$33, MATCH(Table2[[#This Row],[HomeTeam]],Sheet5!$A$2:$A$33, 0), MATCH(Table2[[#This Row],[AwayTeam]],Sheet5!$A$2:$A$33, 0))</f>
        <v>1-0-0</v>
      </c>
      <c r="AQ58" s="143">
        <f>IF(Table2[[#This Row],[GameHasShutOut]], 1, 0)</f>
        <v>0</v>
      </c>
      <c r="AR58" s="143">
        <f>IF(Table2[[#This Row],[ActualAwayScore]] + Table2[[#This Row],[ActualHomeScore]] &gt;= 10, 1, 0)</f>
        <v>0</v>
      </c>
      <c r="AS58" s="143">
        <f>IF(ABS(Table2[[#This Row],[ActualAwayScore]]-Table2[[#This Row],[ActualHomeScore]])&gt;=5, 1, 0)</f>
        <v>0</v>
      </c>
      <c r="AT58" s="143">
        <f>IF(Table2[[#This Row],[ActualAwayScore]] + Table2[[#This Row],[ActualHomeScore]] &lt;= 3, 1, 0)</f>
        <v>0</v>
      </c>
      <c r="AU58" s="2"/>
      <c r="AV58" s="2"/>
    </row>
    <row r="59" spans="1:58" x14ac:dyDescent="0.25">
      <c r="A59" s="3">
        <v>45945</v>
      </c>
      <c r="B59" s="3">
        <v>45945</v>
      </c>
      <c r="C59" s="5">
        <v>2025020057</v>
      </c>
      <c r="D59" s="2" t="s">
        <v>29</v>
      </c>
      <c r="E59" s="2" t="s">
        <v>28</v>
      </c>
      <c r="F59" s="2">
        <v>4</v>
      </c>
      <c r="G59" s="2">
        <v>5</v>
      </c>
      <c r="H59" s="2" t="str">
        <f t="shared" si="0"/>
        <v>BUF</v>
      </c>
      <c r="I59" s="2" t="s">
        <v>719</v>
      </c>
      <c r="J59" s="2">
        <v>4</v>
      </c>
      <c r="K59" s="2">
        <v>8</v>
      </c>
      <c r="L59" s="2" t="str">
        <f t="shared" si="1"/>
        <v>BUF</v>
      </c>
      <c r="M59" s="2" t="s">
        <v>718</v>
      </c>
      <c r="N59" s="2">
        <f>IF(ISBLANK(Table2[[#This Row],[ActualResult]]), 0, 1)</f>
        <v>1</v>
      </c>
      <c r="O59" s="2" t="str">
        <f>IF(ISBLANK(Table2[[#This Row],[ActualResult]]), "_", IF(Table2[[#This Row],[ActualWinner]]=Table2[[#This Row],[PredictedWinner]], "Y", "N"))</f>
        <v>Y</v>
      </c>
      <c r="P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9" s="2">
        <v>1</v>
      </c>
      <c r="S59" s="2" t="str">
        <f t="shared" si="2"/>
        <v>OTT</v>
      </c>
      <c r="T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" s="2">
        <f>IF(Table2[[#This Row],[InterConf]]=1,IF(Table2[[#This Row],[InterDiv]]=0, 1, 0), 0)</f>
        <v>0</v>
      </c>
      <c r="W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" s="2"/>
      <c r="Y59" s="2"/>
      <c r="Z59" s="145">
        <f>IF(AND(Table2[[#This Row],[GameIsOver]]=1,Table2[[#This Row],[ActualHomeScore]]*Table2[[#This Row],[ActualAwayScore]]=0), 1,0)</f>
        <v>0</v>
      </c>
      <c r="AA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9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9" s="2">
        <f>Table2[[#This Row],[ActualAwayScore]]-Table2[[#This Row],[PredictedAwayScore]]</f>
        <v>0</v>
      </c>
      <c r="AG59" s="2">
        <f>Table2[[#This Row],[ActualHomeScore]]-Table2[[#This Row],[PredictedHomeScore]]</f>
        <v>3</v>
      </c>
      <c r="AH59" s="2">
        <f t="shared" si="3"/>
        <v>1</v>
      </c>
      <c r="AI59" s="2">
        <f t="shared" si="4"/>
        <v>2</v>
      </c>
      <c r="AJ59" s="2">
        <v>2</v>
      </c>
      <c r="AK59" s="3">
        <v>45945</v>
      </c>
      <c r="AL59" s="2">
        <f>IF(Table2[[#This Row],[GameIsOver]]=0,0,IF(Table2[[#This Row],[ActualWinner]]=Table2[[#This Row],[AwayTeam]], 1, 0))</f>
        <v>0</v>
      </c>
      <c r="AM59" s="2">
        <f>IF(Table2[[#This Row],[GameIsOver]]=0,0,IF(Table2[[#This Row],[ActualWinner]]=Table2[[#This Row],[HomeTeam]], 1, 0))</f>
        <v>1</v>
      </c>
      <c r="AN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" s="2" t="str">
        <f>INDEX(Sheet5!$B$2:$AG$33, MATCH(Table2[[#This Row],[AwayTeam]],Sheet5!$A$2:$A$33, 0), MATCH(Table2[[#This Row],[HomeTeam]],Sheet5!$A$2:$A$33, 0))</f>
        <v>0-1-0</v>
      </c>
      <c r="AP59" s="2" t="str">
        <f>INDEX(Sheet5!$B$2:$AG$33, MATCH(Table2[[#This Row],[HomeTeam]],Sheet5!$A$2:$A$33, 0), MATCH(Table2[[#This Row],[AwayTeam]],Sheet5!$A$2:$A$33, 0))</f>
        <v>1-0-0</v>
      </c>
      <c r="AQ59" s="2">
        <f>IF(Table2[[#This Row],[GameHasShutOut]], 1, 0)</f>
        <v>0</v>
      </c>
      <c r="AR59" s="2">
        <f>IF(Table2[[#This Row],[ActualAwayScore]] + Table2[[#This Row],[ActualHomeScore]] &gt;= 10, 1, 0)</f>
        <v>1</v>
      </c>
      <c r="AS59" s="2">
        <f>IF(ABS(Table2[[#This Row],[ActualAwayScore]]-Table2[[#This Row],[ActualHomeScore]])&gt;=5, 1, 0)</f>
        <v>0</v>
      </c>
      <c r="AT59" s="2">
        <f>IF(Table2[[#This Row],[ActualAwayScore]] + Table2[[#This Row],[ActualHomeScore]] &lt;= 3, 1, 0)</f>
        <v>0</v>
      </c>
      <c r="AU59" s="2"/>
      <c r="AV59" s="2"/>
    </row>
    <row r="60" spans="1:58" x14ac:dyDescent="0.25">
      <c r="A60" s="3">
        <v>45945</v>
      </c>
      <c r="B60" s="3">
        <v>45945</v>
      </c>
      <c r="C60" s="5">
        <v>2025020058</v>
      </c>
      <c r="D60" s="2" t="s">
        <v>13</v>
      </c>
      <c r="E60" s="2" t="s">
        <v>30</v>
      </c>
      <c r="F60" s="2">
        <v>3</v>
      </c>
      <c r="G60" s="2">
        <v>4</v>
      </c>
      <c r="H60" s="2" t="str">
        <f t="shared" si="0"/>
        <v>DET</v>
      </c>
      <c r="I60" s="2" t="s">
        <v>720</v>
      </c>
      <c r="J60" s="2">
        <v>1</v>
      </c>
      <c r="K60" s="2">
        <v>4</v>
      </c>
      <c r="L60" s="2" t="str">
        <f t="shared" si="1"/>
        <v>DET</v>
      </c>
      <c r="M60" s="2" t="s">
        <v>718</v>
      </c>
      <c r="N60" s="2">
        <f>IF(ISBLANK(Table2[[#This Row],[ActualResult]]), 0, 1)</f>
        <v>1</v>
      </c>
      <c r="O60" s="2" t="str">
        <f>IF(ISBLANK(Table2[[#This Row],[ActualResult]]), "_", IF(Table2[[#This Row],[ActualWinner]]=Table2[[#This Row],[PredictedWinner]], "Y", "N"))</f>
        <v>Y</v>
      </c>
      <c r="P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60" s="2">
        <v>1</v>
      </c>
      <c r="S60" s="2" t="str">
        <f t="shared" si="2"/>
        <v>FLA</v>
      </c>
      <c r="T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" s="2">
        <f>IF(Table2[[#This Row],[InterConf]]=1,IF(Table2[[#This Row],[InterDiv]]=0, 1, 0), 0)</f>
        <v>0</v>
      </c>
      <c r="W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" s="2"/>
      <c r="Y60" s="2"/>
      <c r="Z60" s="145">
        <f>IF(AND(Table2[[#This Row],[GameIsOver]]=1,Table2[[#This Row],[ActualHomeScore]]*Table2[[#This Row],[ActualAwayScore]]=0), 1,0)</f>
        <v>0</v>
      </c>
      <c r="AA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0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0" s="2">
        <f>Table2[[#This Row],[ActualAwayScore]]-Table2[[#This Row],[PredictedAwayScore]]</f>
        <v>-2</v>
      </c>
      <c r="AG60" s="2">
        <f>Table2[[#This Row],[ActualHomeScore]]-Table2[[#This Row],[PredictedHomeScore]]</f>
        <v>0</v>
      </c>
      <c r="AH60" s="2">
        <f t="shared" si="3"/>
        <v>1</v>
      </c>
      <c r="AI60" s="2">
        <f t="shared" si="4"/>
        <v>2</v>
      </c>
      <c r="AJ60" s="2">
        <v>1</v>
      </c>
      <c r="AK60" s="3">
        <v>45945</v>
      </c>
      <c r="AL60" s="2">
        <f>IF(Table2[[#This Row],[GameIsOver]]=0,0,IF(Table2[[#This Row],[ActualWinner]]=Table2[[#This Row],[AwayTeam]], 1, 0))</f>
        <v>0</v>
      </c>
      <c r="AM60" s="2">
        <f>IF(Table2[[#This Row],[GameIsOver]]=0,0,IF(Table2[[#This Row],[ActualWinner]]=Table2[[#This Row],[HomeTeam]], 1, 0))</f>
        <v>1</v>
      </c>
      <c r="AN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" s="2" t="str">
        <f>INDEX(Sheet5!$B$2:$AG$33, MATCH(Table2[[#This Row],[AwayTeam]],Sheet5!$A$2:$A$33, 0), MATCH(Table2[[#This Row],[HomeTeam]],Sheet5!$A$2:$A$33, 0))</f>
        <v>0-1-0</v>
      </c>
      <c r="AP60" s="2" t="str">
        <f>INDEX(Sheet5!$B$2:$AG$33, MATCH(Table2[[#This Row],[HomeTeam]],Sheet5!$A$2:$A$33, 0), MATCH(Table2[[#This Row],[AwayTeam]],Sheet5!$A$2:$A$33, 0))</f>
        <v>1-0-0</v>
      </c>
      <c r="AQ60" s="2">
        <f>IF(Table2[[#This Row],[GameHasShutOut]], 1, 0)</f>
        <v>0</v>
      </c>
      <c r="AR60" s="2">
        <f>IF(Table2[[#This Row],[ActualAwayScore]] + Table2[[#This Row],[ActualHomeScore]] &gt;= 10, 1, 0)</f>
        <v>0</v>
      </c>
      <c r="AS60" s="2">
        <f>IF(ABS(Table2[[#This Row],[ActualAwayScore]]-Table2[[#This Row],[ActualHomeScore]])&gt;=5, 1, 0)</f>
        <v>0</v>
      </c>
      <c r="AT60" s="2">
        <f>IF(Table2[[#This Row],[ActualAwayScore]] + Table2[[#This Row],[ActualHomeScore]] &lt;= 3, 1, 0)</f>
        <v>0</v>
      </c>
      <c r="AU60" s="2"/>
      <c r="AV60" s="2"/>
    </row>
    <row r="61" spans="1:58" x14ac:dyDescent="0.25">
      <c r="A61" s="3">
        <v>45945</v>
      </c>
      <c r="B61" s="3">
        <v>45945</v>
      </c>
      <c r="C61" s="5">
        <v>2025020059</v>
      </c>
      <c r="D61" s="2" t="s">
        <v>16</v>
      </c>
      <c r="E61" s="2" t="s">
        <v>12</v>
      </c>
      <c r="F61" s="2">
        <v>2</v>
      </c>
      <c r="G61" s="2">
        <v>4</v>
      </c>
      <c r="H61" s="2" t="str">
        <f t="shared" si="0"/>
        <v>STL</v>
      </c>
      <c r="I61" s="2" t="s">
        <v>718</v>
      </c>
      <c r="J61" s="2">
        <v>8</v>
      </c>
      <c r="K61" s="2">
        <v>3</v>
      </c>
      <c r="L61" s="2" t="str">
        <f t="shared" si="1"/>
        <v>CHI</v>
      </c>
      <c r="M61" s="2" t="s">
        <v>718</v>
      </c>
      <c r="N61" s="2">
        <f>IF(ISBLANK(Table2[[#This Row],[ActualResult]]), 0, 1)</f>
        <v>1</v>
      </c>
      <c r="O61" s="2" t="str">
        <f>IF(ISBLANK(Table2[[#This Row],[ActualResult]]), "_", IF(Table2[[#This Row],[ActualWinner]]=Table2[[#This Row],[PredictedWinner]], "Y", "N"))</f>
        <v>N</v>
      </c>
      <c r="P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1" s="2">
        <v>1</v>
      </c>
      <c r="S61" s="2" t="str">
        <f t="shared" si="2"/>
        <v>STL</v>
      </c>
      <c r="T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" s="2">
        <f>IF(Table2[[#This Row],[InterConf]]=1,IF(Table2[[#This Row],[InterDiv]]=0, 1, 0), 0)</f>
        <v>0</v>
      </c>
      <c r="W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" s="2"/>
      <c r="Y61" s="2"/>
      <c r="Z61" s="145">
        <f>IF(AND(Table2[[#This Row],[GameIsOver]]=1,Table2[[#This Row],[ActualHomeScore]]*Table2[[#This Row],[ActualAwayScore]]=0), 1,0)</f>
        <v>0</v>
      </c>
      <c r="AA6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1" s="2">
        <f>Table2[[#This Row],[ActualAwayScore]]-Table2[[#This Row],[PredictedAwayScore]]</f>
        <v>6</v>
      </c>
      <c r="AG61" s="2">
        <f>Table2[[#This Row],[ActualHomeScore]]-Table2[[#This Row],[PredictedHomeScore]]</f>
        <v>-1</v>
      </c>
      <c r="AH61" s="2">
        <f t="shared" si="3"/>
        <v>1</v>
      </c>
      <c r="AI61" s="2">
        <f t="shared" si="4"/>
        <v>2</v>
      </c>
      <c r="AJ61" s="2">
        <v>4</v>
      </c>
      <c r="AK61" s="3">
        <v>45945</v>
      </c>
      <c r="AL61" s="2">
        <f>IF(Table2[[#This Row],[GameIsOver]]=0,0,IF(Table2[[#This Row],[ActualWinner]]=Table2[[#This Row],[AwayTeam]], 1, 0))</f>
        <v>1</v>
      </c>
      <c r="AM61" s="2">
        <f>IF(Table2[[#This Row],[GameIsOver]]=0,0,IF(Table2[[#This Row],[ActualWinner]]=Table2[[#This Row],[HomeTeam]], 1, 0))</f>
        <v>0</v>
      </c>
      <c r="AN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" s="2" t="str">
        <f>INDEX(Sheet5!$B$2:$AG$33, MATCH(Table2[[#This Row],[AwayTeam]],Sheet5!$A$2:$A$33, 0), MATCH(Table2[[#This Row],[HomeTeam]],Sheet5!$A$2:$A$33, 0))</f>
        <v>1-0-0</v>
      </c>
      <c r="AP61" s="2" t="str">
        <f>INDEX(Sheet5!$B$2:$AG$33, MATCH(Table2[[#This Row],[HomeTeam]],Sheet5!$A$2:$A$33, 0), MATCH(Table2[[#This Row],[AwayTeam]],Sheet5!$A$2:$A$33, 0))</f>
        <v>0-1-0</v>
      </c>
      <c r="AQ61" s="2">
        <f>IF(Table2[[#This Row],[GameHasShutOut]], 1, 0)</f>
        <v>0</v>
      </c>
      <c r="AR61" s="2">
        <f>IF(Table2[[#This Row],[ActualAwayScore]] + Table2[[#This Row],[ActualHomeScore]] &gt;= 10, 1, 0)</f>
        <v>1</v>
      </c>
      <c r="AS61" s="2">
        <f>IF(ABS(Table2[[#This Row],[ActualAwayScore]]-Table2[[#This Row],[ActualHomeScore]])&gt;=5, 1, 0)</f>
        <v>1</v>
      </c>
      <c r="AT61" s="2">
        <f>IF(Table2[[#This Row],[ActualAwayScore]] + Table2[[#This Row],[ActualHomeScore]] &lt;= 3, 1, 0)</f>
        <v>0</v>
      </c>
      <c r="AU61" s="2"/>
      <c r="AV61" s="2"/>
    </row>
    <row r="62" spans="1:58" x14ac:dyDescent="0.25">
      <c r="A62" s="141">
        <v>45945</v>
      </c>
      <c r="B62" s="141">
        <v>45945</v>
      </c>
      <c r="C62" s="142">
        <v>2025020060</v>
      </c>
      <c r="D62" s="143" t="s">
        <v>23</v>
      </c>
      <c r="E62" s="143" t="s">
        <v>14</v>
      </c>
      <c r="F62" s="143">
        <v>4</v>
      </c>
      <c r="G62" s="143">
        <v>3</v>
      </c>
      <c r="H62" s="143" t="str">
        <f t="shared" si="0"/>
        <v>CGY</v>
      </c>
      <c r="I62" s="143" t="s">
        <v>719</v>
      </c>
      <c r="J62" s="143">
        <v>1</v>
      </c>
      <c r="K62" s="143">
        <v>3</v>
      </c>
      <c r="L62" s="143" t="str">
        <f t="shared" si="1"/>
        <v>UTA</v>
      </c>
      <c r="M62" s="143" t="s">
        <v>718</v>
      </c>
      <c r="N62" s="143">
        <f>IF(ISBLANK(Table2[[#This Row],[ActualResult]]), 0, 1)</f>
        <v>1</v>
      </c>
      <c r="O62" s="143" t="str">
        <f>IF(ISBLANK(Table2[[#This Row],[ActualResult]]), "_", IF(Table2[[#This Row],[ActualWinner]]=Table2[[#This Row],[PredictedWinner]], "Y", "N"))</f>
        <v>N</v>
      </c>
      <c r="P62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2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62" s="143">
        <v>1</v>
      </c>
      <c r="S62" s="143" t="str">
        <f t="shared" si="2"/>
        <v>CGY</v>
      </c>
      <c r="T62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" s="143">
        <f>IF(Table2[[#This Row],[InterConf]]=1,IF(Table2[[#This Row],[InterDiv]]=0, 1, 0), 0)</f>
        <v>1</v>
      </c>
      <c r="W62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" s="143"/>
      <c r="Y62" s="143"/>
      <c r="Z62" s="149">
        <f>IF(AND(Table2[[#This Row],[GameIsOver]]=1,Table2[[#This Row],[ActualHomeScore]]*Table2[[#This Row],[ActualAwayScore]]=0), 1,0)</f>
        <v>0</v>
      </c>
      <c r="AA62" s="149">
        <f>IF(Table2[[#This Row],[GameIsOver]]=0,0, IF(Table2[[#This Row],[ActualWinner]]=Table2[[#This Row],[AwayTeam]], 2, IF(OR(Table2[[#This Row],[ActualResult]]="OT", Table2[[#This Row],[ActualResult]]="SO"), 1, 0)))</f>
        <v>0</v>
      </c>
      <c r="AB62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62" s="144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62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62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" s="143">
        <f>Table2[[#This Row],[ActualAwayScore]]-Table2[[#This Row],[PredictedAwayScore]]</f>
        <v>-3</v>
      </c>
      <c r="AG62" s="143">
        <f>Table2[[#This Row],[ActualHomeScore]]-Table2[[#This Row],[PredictedHomeScore]]</f>
        <v>0</v>
      </c>
      <c r="AH62" s="143">
        <f t="shared" si="3"/>
        <v>1</v>
      </c>
      <c r="AI62" s="143">
        <f t="shared" si="4"/>
        <v>2</v>
      </c>
      <c r="AJ62" s="143">
        <v>3</v>
      </c>
      <c r="AK62" s="141">
        <v>45945</v>
      </c>
      <c r="AL62" s="143">
        <f>IF(Table2[[#This Row],[GameIsOver]]=0,0,IF(Table2[[#This Row],[ActualWinner]]=Table2[[#This Row],[AwayTeam]], 1, 0))</f>
        <v>0</v>
      </c>
      <c r="AM62" s="143">
        <f>IF(Table2[[#This Row],[GameIsOver]]=0,0,IF(Table2[[#This Row],[ActualWinner]]=Table2[[#This Row],[HomeTeam]], 1, 0))</f>
        <v>1</v>
      </c>
      <c r="AN62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62" s="143" t="str">
        <f>INDEX(Sheet5!$B$2:$AG$33, MATCH(Table2[[#This Row],[AwayTeam]],Sheet5!$A$2:$A$33, 0), MATCH(Table2[[#This Row],[HomeTeam]],Sheet5!$A$2:$A$33, 0))</f>
        <v>0-1-0</v>
      </c>
      <c r="AP62" s="143" t="str">
        <f>INDEX(Sheet5!$B$2:$AG$33, MATCH(Table2[[#This Row],[HomeTeam]],Sheet5!$A$2:$A$33, 0), MATCH(Table2[[#This Row],[AwayTeam]],Sheet5!$A$2:$A$33, 0))</f>
        <v>1-0-0</v>
      </c>
      <c r="AQ62" s="143">
        <f>IF(Table2[[#This Row],[GameHasShutOut]], 1, 0)</f>
        <v>0</v>
      </c>
      <c r="AR62" s="143">
        <f>IF(Table2[[#This Row],[ActualAwayScore]] + Table2[[#This Row],[ActualHomeScore]] &gt;= 10, 1, 0)</f>
        <v>0</v>
      </c>
      <c r="AS62" s="143">
        <f>IF(ABS(Table2[[#This Row],[ActualAwayScore]]-Table2[[#This Row],[ActualHomeScore]])&gt;=5, 1, 0)</f>
        <v>0</v>
      </c>
      <c r="AT62" s="143">
        <f>IF(Table2[[#This Row],[ActualAwayScore]] + Table2[[#This Row],[ActualHomeScore]] &lt;= 3, 1, 0)</f>
        <v>0</v>
      </c>
      <c r="AU62" s="2"/>
      <c r="AV62" s="2"/>
    </row>
    <row r="63" spans="1:58" x14ac:dyDescent="0.25">
      <c r="A63" s="3">
        <v>45946</v>
      </c>
      <c r="B63" s="3">
        <v>45946</v>
      </c>
      <c r="C63" s="5">
        <v>2025020061</v>
      </c>
      <c r="D63" s="2" t="s">
        <v>19</v>
      </c>
      <c r="E63" s="2" t="s">
        <v>17</v>
      </c>
      <c r="F63" s="2">
        <v>4</v>
      </c>
      <c r="G63" s="2">
        <v>3</v>
      </c>
      <c r="H63" s="2" t="str">
        <f t="shared" si="0"/>
        <v>NYR</v>
      </c>
      <c r="I63" s="2" t="s">
        <v>720</v>
      </c>
      <c r="J63" s="2">
        <v>1</v>
      </c>
      <c r="K63" s="2">
        <v>2</v>
      </c>
      <c r="L63" s="2" t="str">
        <f t="shared" si="1"/>
        <v>TOR</v>
      </c>
      <c r="M63" s="2" t="s">
        <v>720</v>
      </c>
      <c r="N63" s="2">
        <f>IF(ISBLANK(Table2[[#This Row],[ActualResult]]), 0, 1)</f>
        <v>1</v>
      </c>
      <c r="O63" s="2" t="str">
        <f>IF(ISBLANK(Table2[[#This Row],[ActualResult]]), "_", IF(Table2[[#This Row],[ActualWinner]]=Table2[[#This Row],[PredictedWinner]], "Y", "N"))</f>
        <v>N</v>
      </c>
      <c r="P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3" s="2">
        <v>1</v>
      </c>
      <c r="S63" s="2" t="str">
        <f t="shared" si="2"/>
        <v>NYR</v>
      </c>
      <c r="T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" s="2">
        <f>IF(Table2[[#This Row],[InterConf]]=1,IF(Table2[[#This Row],[InterDiv]]=0, 1, 0), 0)</f>
        <v>1</v>
      </c>
      <c r="W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" s="2"/>
      <c r="Y63" s="2"/>
      <c r="Z63" s="145">
        <f>IF(AND(Table2[[#This Row],[GameIsOver]]=1,Table2[[#This Row],[ActualHomeScore]]*Table2[[#This Row],[ActualAwayScore]]=0), 1,0)</f>
        <v>0</v>
      </c>
      <c r="AA63" s="145">
        <f>IF(Table2[[#This Row],[GameIsOver]]=0,0, IF(Table2[[#This Row],[ActualWinner]]=Table2[[#This Row],[AwayTeam]], 2, IF(OR(Table2[[#This Row],[ActualResult]]="OT", Table2[[#This Row],[ActualResult]]="SO"), 1, 0)))</f>
        <v>1</v>
      </c>
      <c r="AB63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0.68</v>
      </c>
      <c r="AE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" s="2">
        <f>Table2[[#This Row],[ActualAwayScore]]-Table2[[#This Row],[PredictedAwayScore]]</f>
        <v>-3</v>
      </c>
      <c r="AG63" s="2">
        <f>Table2[[#This Row],[ActualHomeScore]]-Table2[[#This Row],[PredictedHomeScore]]</f>
        <v>-1</v>
      </c>
      <c r="AH63" s="2">
        <f t="shared" si="3"/>
        <v>3</v>
      </c>
      <c r="AI63" s="2">
        <f t="shared" si="4"/>
        <v>-9</v>
      </c>
      <c r="AJ63" s="2">
        <v>5</v>
      </c>
      <c r="AK63" s="3">
        <v>45946</v>
      </c>
      <c r="AL63" s="2">
        <f>IF(Table2[[#This Row],[GameIsOver]]=0,0,IF(Table2[[#This Row],[ActualWinner]]=Table2[[#This Row],[AwayTeam]], 1, 0))</f>
        <v>0</v>
      </c>
      <c r="AM63" s="2">
        <f>IF(Table2[[#This Row],[GameIsOver]]=0,0,IF(Table2[[#This Row],[ActualWinner]]=Table2[[#This Row],[HomeTeam]], 1, 0))</f>
        <v>1</v>
      </c>
      <c r="AN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" s="2" t="str">
        <f>INDEX(Sheet5!$B$2:$AG$33, MATCH(Table2[[#This Row],[AwayTeam]],Sheet5!$A$2:$A$33, 0), MATCH(Table2[[#This Row],[HomeTeam]],Sheet5!$A$2:$A$33, 0))</f>
        <v>0-0-1</v>
      </c>
      <c r="AP63" s="2" t="str">
        <f>INDEX(Sheet5!$B$2:$AG$33, MATCH(Table2[[#This Row],[HomeTeam]],Sheet5!$A$2:$A$33, 0), MATCH(Table2[[#This Row],[AwayTeam]],Sheet5!$A$2:$A$33, 0))</f>
        <v>1-0-0</v>
      </c>
      <c r="AQ63" s="2">
        <f>IF(Table2[[#This Row],[GameHasShutOut]], 1, 0)</f>
        <v>0</v>
      </c>
      <c r="AR63" s="2">
        <f>IF(Table2[[#This Row],[ActualAwayScore]] + Table2[[#This Row],[ActualHomeScore]] &gt;= 10, 1, 0)</f>
        <v>0</v>
      </c>
      <c r="AS63" s="2">
        <f>IF(ABS(Table2[[#This Row],[ActualAwayScore]]-Table2[[#This Row],[ActualHomeScore]])&gt;=5, 1, 0)</f>
        <v>0</v>
      </c>
      <c r="AT63" s="2">
        <f>IF(Table2[[#This Row],[ActualAwayScore]] + Table2[[#This Row],[ActualHomeScore]] &lt;= 3, 1, 0)</f>
        <v>1</v>
      </c>
      <c r="AU63" s="2"/>
      <c r="AV63" s="2"/>
    </row>
    <row r="64" spans="1:58" x14ac:dyDescent="0.25">
      <c r="A64" s="3">
        <v>45946</v>
      </c>
      <c r="B64" s="3">
        <v>45946</v>
      </c>
      <c r="C64" s="5">
        <v>2025020062</v>
      </c>
      <c r="D64" s="2" t="s">
        <v>34</v>
      </c>
      <c r="E64" s="2" t="s">
        <v>18</v>
      </c>
      <c r="F64" s="2">
        <v>3</v>
      </c>
      <c r="G64" s="2">
        <v>5</v>
      </c>
      <c r="H64" s="2" t="str">
        <f t="shared" si="0"/>
        <v>MTL</v>
      </c>
      <c r="I64" s="2" t="s">
        <v>718</v>
      </c>
      <c r="J64" s="2">
        <v>2</v>
      </c>
      <c r="K64" s="2">
        <v>3</v>
      </c>
      <c r="L64" s="2" t="str">
        <f t="shared" si="1"/>
        <v>MTL</v>
      </c>
      <c r="M64" s="2" t="s">
        <v>720</v>
      </c>
      <c r="N64" s="2">
        <f>IF(ISBLANK(Table2[[#This Row],[ActualResult]]), 0, 1)</f>
        <v>1</v>
      </c>
      <c r="O64" s="2" t="str">
        <f>IF(ISBLANK(Table2[[#This Row],[ActualResult]]), "_", IF(Table2[[#This Row],[ActualWinner]]=Table2[[#This Row],[PredictedWinner]], "Y", "N"))</f>
        <v>Y</v>
      </c>
      <c r="P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4" s="2">
        <v>1</v>
      </c>
      <c r="S64" s="2" t="str">
        <f t="shared" si="2"/>
        <v>NSH</v>
      </c>
      <c r="T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" s="2">
        <f>IF(Table2[[#This Row],[InterConf]]=1,IF(Table2[[#This Row],[InterDiv]]=0, 1, 0), 0)</f>
        <v>0</v>
      </c>
      <c r="W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" s="2"/>
      <c r="Y64" s="2"/>
      <c r="Z64" s="145">
        <f>IF(AND(Table2[[#This Row],[GameIsOver]]=1,Table2[[#This Row],[ActualHomeScore]]*Table2[[#This Row],[ActualAwayScore]]=0), 1,0)</f>
        <v>0</v>
      </c>
      <c r="AA64" s="145">
        <f>IF(Table2[[#This Row],[GameIsOver]]=0,0, IF(Table2[[#This Row],[ActualWinner]]=Table2[[#This Row],[AwayTeam]], 2, IF(OR(Table2[[#This Row],[ActualResult]]="OT", Table2[[#This Row],[ActualResult]]="SO"), 1, 0)))</f>
        <v>1</v>
      </c>
      <c r="AB6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4" s="2">
        <f>Table2[[#This Row],[ActualAwayScore]]-Table2[[#This Row],[PredictedAwayScore]]</f>
        <v>-1</v>
      </c>
      <c r="AG64" s="2">
        <f>Table2[[#This Row],[ActualHomeScore]]-Table2[[#This Row],[PredictedHomeScore]]</f>
        <v>-2</v>
      </c>
      <c r="AH64" s="2">
        <f t="shared" si="3"/>
        <v>3</v>
      </c>
      <c r="AI64" s="2">
        <f t="shared" si="4"/>
        <v>-9</v>
      </c>
      <c r="AJ64" s="2">
        <v>3</v>
      </c>
      <c r="AK64" s="3">
        <v>45946</v>
      </c>
      <c r="AL64" s="2">
        <f>IF(Table2[[#This Row],[GameIsOver]]=0,0,IF(Table2[[#This Row],[ActualWinner]]=Table2[[#This Row],[AwayTeam]], 1, 0))</f>
        <v>0</v>
      </c>
      <c r="AM64" s="2">
        <f>IF(Table2[[#This Row],[GameIsOver]]=0,0,IF(Table2[[#This Row],[ActualWinner]]=Table2[[#This Row],[HomeTeam]], 1, 0))</f>
        <v>1</v>
      </c>
      <c r="AN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" s="2" t="str">
        <f>INDEX(Sheet5!$B$2:$AG$33, MATCH(Table2[[#This Row],[AwayTeam]],Sheet5!$A$2:$A$33, 0), MATCH(Table2[[#This Row],[HomeTeam]],Sheet5!$A$2:$A$33, 0))</f>
        <v>0-0-1</v>
      </c>
      <c r="AP64" s="2" t="str">
        <f>INDEX(Sheet5!$B$2:$AG$33, MATCH(Table2[[#This Row],[HomeTeam]],Sheet5!$A$2:$A$33, 0), MATCH(Table2[[#This Row],[AwayTeam]],Sheet5!$A$2:$A$33, 0))</f>
        <v>1-0-0</v>
      </c>
      <c r="AQ64" s="2">
        <f>IF(Table2[[#This Row],[GameHasShutOut]], 1, 0)</f>
        <v>0</v>
      </c>
      <c r="AR64" s="2">
        <f>IF(Table2[[#This Row],[ActualAwayScore]] + Table2[[#This Row],[ActualHomeScore]] &gt;= 10, 1, 0)</f>
        <v>0</v>
      </c>
      <c r="AS64" s="2">
        <f>IF(ABS(Table2[[#This Row],[ActualAwayScore]]-Table2[[#This Row],[ActualHomeScore]])&gt;=5, 1, 0)</f>
        <v>0</v>
      </c>
      <c r="AT64" s="2">
        <f>IF(Table2[[#This Row],[ActualAwayScore]] + Table2[[#This Row],[ActualHomeScore]] &lt;= 3, 1, 0)</f>
        <v>0</v>
      </c>
      <c r="AU64" s="2"/>
      <c r="AV64" s="2"/>
    </row>
    <row r="65" spans="1:48" x14ac:dyDescent="0.25">
      <c r="A65" s="3">
        <v>45946</v>
      </c>
      <c r="B65" s="3">
        <v>45946</v>
      </c>
      <c r="C65" s="5">
        <v>2025020063</v>
      </c>
      <c r="D65" s="2" t="s">
        <v>11</v>
      </c>
      <c r="E65" s="2" t="s">
        <v>29</v>
      </c>
      <c r="F65" s="2">
        <v>4</v>
      </c>
      <c r="G65" s="2">
        <v>3</v>
      </c>
      <c r="H65" s="2" t="str">
        <f t="shared" si="0"/>
        <v>SEA</v>
      </c>
      <c r="I65" s="2" t="s">
        <v>719</v>
      </c>
      <c r="J65" s="2">
        <v>3</v>
      </c>
      <c r="K65" s="2">
        <v>4</v>
      </c>
      <c r="L65" s="2" t="str">
        <f t="shared" si="1"/>
        <v>OTT</v>
      </c>
      <c r="M65" s="2" t="s">
        <v>719</v>
      </c>
      <c r="N65" s="2">
        <f>IF(ISBLANK(Table2[[#This Row],[ActualResult]]), 0, 1)</f>
        <v>1</v>
      </c>
      <c r="O65" s="2" t="str">
        <f>IF(ISBLANK(Table2[[#This Row],[ActualResult]]), "_", IF(Table2[[#This Row],[ActualWinner]]=Table2[[#This Row],[PredictedWinner]], "Y", "N"))</f>
        <v>N</v>
      </c>
      <c r="P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5" s="2">
        <v>1</v>
      </c>
      <c r="S65" s="2" t="str">
        <f t="shared" si="2"/>
        <v>SEA</v>
      </c>
      <c r="T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" s="2">
        <f>IF(Table2[[#This Row],[InterConf]]=1,IF(Table2[[#This Row],[InterDiv]]=0, 1, 0), 0)</f>
        <v>0</v>
      </c>
      <c r="W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" s="2"/>
      <c r="Y65" s="2"/>
      <c r="Z65" s="145">
        <f>IF(AND(Table2[[#This Row],[GameIsOver]]=1,Table2[[#This Row],[ActualHomeScore]]*Table2[[#This Row],[ActualAwayScore]]=0), 1,0)</f>
        <v>0</v>
      </c>
      <c r="AA65" s="145">
        <f>IF(Table2[[#This Row],[GameIsOver]]=0,0, IF(Table2[[#This Row],[ActualWinner]]=Table2[[#This Row],[AwayTeam]], 2, IF(OR(Table2[[#This Row],[ActualResult]]="OT", Table2[[#This Row],[ActualResult]]="SO"), 1, 0)))</f>
        <v>1</v>
      </c>
      <c r="AB6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0.76</v>
      </c>
      <c r="AE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5" s="2">
        <f>Table2[[#This Row],[ActualAwayScore]]-Table2[[#This Row],[PredictedAwayScore]]</f>
        <v>-1</v>
      </c>
      <c r="AG65" s="2">
        <f>Table2[[#This Row],[ActualHomeScore]]-Table2[[#This Row],[PredictedHomeScore]]</f>
        <v>1</v>
      </c>
      <c r="AH65" s="2">
        <f t="shared" si="3"/>
        <v>3</v>
      </c>
      <c r="AI65" s="2">
        <f t="shared" si="4"/>
        <v>-9</v>
      </c>
      <c r="AJ65" s="2">
        <v>4</v>
      </c>
      <c r="AK65" s="3">
        <v>45946</v>
      </c>
      <c r="AL65" s="2">
        <f>IF(Table2[[#This Row],[GameIsOver]]=0,0,IF(Table2[[#This Row],[ActualWinner]]=Table2[[#This Row],[AwayTeam]], 1, 0))</f>
        <v>0</v>
      </c>
      <c r="AM65" s="2">
        <f>IF(Table2[[#This Row],[GameIsOver]]=0,0,IF(Table2[[#This Row],[ActualWinner]]=Table2[[#This Row],[HomeTeam]], 1, 0))</f>
        <v>1</v>
      </c>
      <c r="AN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" s="2" t="str">
        <f>INDEX(Sheet5!$B$2:$AG$33, MATCH(Table2[[#This Row],[AwayTeam]],Sheet5!$A$2:$A$33, 0), MATCH(Table2[[#This Row],[HomeTeam]],Sheet5!$A$2:$A$33, 0))</f>
        <v>0-0-1</v>
      </c>
      <c r="AP65" s="2" t="str">
        <f>INDEX(Sheet5!$B$2:$AG$33, MATCH(Table2[[#This Row],[HomeTeam]],Sheet5!$A$2:$A$33, 0), MATCH(Table2[[#This Row],[AwayTeam]],Sheet5!$A$2:$A$33, 0))</f>
        <v>1-0-0</v>
      </c>
      <c r="AQ65" s="2">
        <f>IF(Table2[[#This Row],[GameHasShutOut]], 1, 0)</f>
        <v>0</v>
      </c>
      <c r="AR65" s="2">
        <f>IF(Table2[[#This Row],[ActualAwayScore]] + Table2[[#This Row],[ActualHomeScore]] &gt;= 10, 1, 0)</f>
        <v>0</v>
      </c>
      <c r="AS65" s="2">
        <f>IF(ABS(Table2[[#This Row],[ActualAwayScore]]-Table2[[#This Row],[ActualHomeScore]])&gt;=5, 1, 0)</f>
        <v>0</v>
      </c>
      <c r="AT65" s="2">
        <f>IF(Table2[[#This Row],[ActualAwayScore]] + Table2[[#This Row],[ActualHomeScore]] &lt;= 3, 1, 0)</f>
        <v>0</v>
      </c>
      <c r="AU65" s="2"/>
      <c r="AV65" s="2"/>
    </row>
    <row r="66" spans="1:48" x14ac:dyDescent="0.25">
      <c r="A66" s="3">
        <v>45946</v>
      </c>
      <c r="B66" s="3">
        <v>45946</v>
      </c>
      <c r="C66" s="5">
        <v>2025020064</v>
      </c>
      <c r="D66" s="2" t="s">
        <v>13</v>
      </c>
      <c r="E66" s="2" t="s">
        <v>31</v>
      </c>
      <c r="F66" s="2">
        <v>1</v>
      </c>
      <c r="G66" s="2">
        <v>4</v>
      </c>
      <c r="H66" s="2" t="str">
        <f t="shared" si="0"/>
        <v>NJD</v>
      </c>
      <c r="I66" s="2" t="s">
        <v>718</v>
      </c>
      <c r="J66" s="2">
        <v>1</v>
      </c>
      <c r="K66" s="2">
        <v>3</v>
      </c>
      <c r="L66" s="2" t="str">
        <f t="shared" si="1"/>
        <v>NJD</v>
      </c>
      <c r="M66" s="2" t="s">
        <v>718</v>
      </c>
      <c r="N66" s="2">
        <f>IF(ISBLANK(Table2[[#This Row],[ActualResult]]), 0, 1)</f>
        <v>1</v>
      </c>
      <c r="O66" s="2" t="str">
        <f>IF(ISBLANK(Table2[[#This Row],[ActualResult]]), "_", IF(Table2[[#This Row],[ActualWinner]]=Table2[[#This Row],[PredictedWinner]], "Y", "N"))</f>
        <v>Y</v>
      </c>
      <c r="P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6" s="2">
        <v>1</v>
      </c>
      <c r="S66" s="2" t="str">
        <f t="shared" si="2"/>
        <v>FLA</v>
      </c>
      <c r="T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" s="2">
        <f>IF(Table2[[#This Row],[InterConf]]=1,IF(Table2[[#This Row],[InterDiv]]=0, 1, 0), 0)</f>
        <v>1</v>
      </c>
      <c r="W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" s="2"/>
      <c r="Y66" s="2"/>
      <c r="Z66" s="145">
        <f>IF(AND(Table2[[#This Row],[GameIsOver]]=1,Table2[[#This Row],[ActualHomeScore]]*Table2[[#This Row],[ActualAwayScore]]=0), 1,0)</f>
        <v>0</v>
      </c>
      <c r="AA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6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6" s="2">
        <f>Table2[[#This Row],[ActualAwayScore]]-Table2[[#This Row],[PredictedAwayScore]]</f>
        <v>0</v>
      </c>
      <c r="AG66" s="2">
        <f>Table2[[#This Row],[ActualHomeScore]]-Table2[[#This Row],[PredictedHomeScore]]</f>
        <v>-1</v>
      </c>
      <c r="AH66" s="2">
        <f t="shared" si="3"/>
        <v>3</v>
      </c>
      <c r="AI66" s="2">
        <f t="shared" si="4"/>
        <v>-9</v>
      </c>
      <c r="AJ66" s="2">
        <v>1</v>
      </c>
      <c r="AK66" s="3">
        <v>45946</v>
      </c>
      <c r="AL66" s="2">
        <f>IF(Table2[[#This Row],[GameIsOver]]=0,0,IF(Table2[[#This Row],[ActualWinner]]=Table2[[#This Row],[AwayTeam]], 1, 0))</f>
        <v>0</v>
      </c>
      <c r="AM66" s="2">
        <f>IF(Table2[[#This Row],[GameIsOver]]=0,0,IF(Table2[[#This Row],[ActualWinner]]=Table2[[#This Row],[HomeTeam]], 1, 0))</f>
        <v>1</v>
      </c>
      <c r="AN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" s="2" t="str">
        <f>INDEX(Sheet5!$B$2:$AG$33, MATCH(Table2[[#This Row],[AwayTeam]],Sheet5!$A$2:$A$33, 0), MATCH(Table2[[#This Row],[HomeTeam]],Sheet5!$A$2:$A$33, 0))</f>
        <v>0-1-0</v>
      </c>
      <c r="AP66" s="2" t="str">
        <f>INDEX(Sheet5!$B$2:$AG$33, MATCH(Table2[[#This Row],[HomeTeam]],Sheet5!$A$2:$A$33, 0), MATCH(Table2[[#This Row],[AwayTeam]],Sheet5!$A$2:$A$33, 0))</f>
        <v>1-0-0</v>
      </c>
      <c r="AQ66" s="2">
        <f>IF(Table2[[#This Row],[GameHasShutOut]], 1, 0)</f>
        <v>0</v>
      </c>
      <c r="AR66" s="2">
        <f>IF(Table2[[#This Row],[ActualAwayScore]] + Table2[[#This Row],[ActualHomeScore]] &gt;= 10, 1, 0)</f>
        <v>0</v>
      </c>
      <c r="AS66" s="2">
        <f>IF(ABS(Table2[[#This Row],[ActualAwayScore]]-Table2[[#This Row],[ActualHomeScore]])&gt;=5, 1, 0)</f>
        <v>0</v>
      </c>
      <c r="AT66" s="2">
        <f>IF(Table2[[#This Row],[ActualAwayScore]] + Table2[[#This Row],[ActualHomeScore]] &lt;= 3, 1, 0)</f>
        <v>0</v>
      </c>
      <c r="AU66" s="2"/>
      <c r="AV66" s="2"/>
    </row>
    <row r="67" spans="1:48" x14ac:dyDescent="0.25">
      <c r="A67" s="3">
        <v>45946</v>
      </c>
      <c r="B67" s="3">
        <v>45946</v>
      </c>
      <c r="C67" s="5">
        <v>2025020065</v>
      </c>
      <c r="D67" s="2" t="s">
        <v>22</v>
      </c>
      <c r="E67" s="2" t="s">
        <v>32</v>
      </c>
      <c r="F67" s="2">
        <v>2</v>
      </c>
      <c r="G67" s="2">
        <v>1</v>
      </c>
      <c r="H67" s="2" t="str">
        <f t="shared" ref="H67:H130" si="9">IF(AND(ISBLANK($F67),ISBLANK($G67)),"_",IF($F67&gt;$G67,$D67,$E67))</f>
        <v>EDM</v>
      </c>
      <c r="I67" s="2" t="s">
        <v>720</v>
      </c>
      <c r="J67" s="2">
        <v>2</v>
      </c>
      <c r="K67" s="2">
        <v>4</v>
      </c>
      <c r="L67" s="2" t="str">
        <f t="shared" ref="L67:L130" si="10">IF(OR($J67=$K67,AND(ISBLANK($J67),ISBLANK($K67))),"_",IF($J67&gt;$K67,$D67,$E67))</f>
        <v>NYI</v>
      </c>
      <c r="M67" s="2" t="s">
        <v>718</v>
      </c>
      <c r="N67" s="2">
        <f>IF(ISBLANK(Table2[[#This Row],[ActualResult]]), 0, 1)</f>
        <v>1</v>
      </c>
      <c r="O67" s="2" t="str">
        <f>IF(ISBLANK(Table2[[#This Row],[ActualResult]]), "_", IF(Table2[[#This Row],[ActualWinner]]=Table2[[#This Row],[PredictedWinner]], "Y", "N"))</f>
        <v>N</v>
      </c>
      <c r="P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7" s="2">
        <v>1</v>
      </c>
      <c r="S67" s="2" t="str">
        <f t="shared" ref="S67:S130" si="11">IF($L67="_", "_", IF($L67=$D67,$E67,$D67))</f>
        <v>EDM</v>
      </c>
      <c r="T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" s="2">
        <f>IF(Table2[[#This Row],[InterConf]]=1,IF(Table2[[#This Row],[InterDiv]]=0, 1, 0), 0)</f>
        <v>0</v>
      </c>
      <c r="W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" s="2"/>
      <c r="Y67" s="2"/>
      <c r="Z67" s="145">
        <f>IF(AND(Table2[[#This Row],[GameIsOver]]=1,Table2[[#This Row],[ActualHomeScore]]*Table2[[#This Row],[ActualAwayScore]]=0), 1,0)</f>
        <v>0</v>
      </c>
      <c r="AA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7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7" s="2">
        <f>Table2[[#This Row],[ActualAwayScore]]-Table2[[#This Row],[PredictedAwayScore]]</f>
        <v>0</v>
      </c>
      <c r="AG67" s="2">
        <f>Table2[[#This Row],[ActualHomeScore]]-Table2[[#This Row],[PredictedHomeScore]]</f>
        <v>3</v>
      </c>
      <c r="AH67" s="2">
        <f t="shared" ref="AH67:AH130" si="12">SUMIF($B$3:$B$1315, $B67, $AF$3:$AF$1315)</f>
        <v>3</v>
      </c>
      <c r="AI67" s="2">
        <f t="shared" ref="AI67:AI130" si="13">SUMIF($B$3:$B$1315, $B67, $AG$3:$AG$1315)</f>
        <v>-9</v>
      </c>
      <c r="AJ67" s="2">
        <v>2</v>
      </c>
      <c r="AK67" s="3">
        <v>45946</v>
      </c>
      <c r="AL67" s="2">
        <f>IF(Table2[[#This Row],[GameIsOver]]=0,0,IF(Table2[[#This Row],[ActualWinner]]=Table2[[#This Row],[AwayTeam]], 1, 0))</f>
        <v>0</v>
      </c>
      <c r="AM67" s="2">
        <f>IF(Table2[[#This Row],[GameIsOver]]=0,0,IF(Table2[[#This Row],[ActualWinner]]=Table2[[#This Row],[HomeTeam]], 1, 0))</f>
        <v>1</v>
      </c>
      <c r="AN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" s="2" t="str">
        <f>INDEX(Sheet5!$B$2:$AG$33, MATCH(Table2[[#This Row],[AwayTeam]],Sheet5!$A$2:$A$33, 0), MATCH(Table2[[#This Row],[HomeTeam]],Sheet5!$A$2:$A$33, 0))</f>
        <v>0-1-0</v>
      </c>
      <c r="AP67" s="2" t="str">
        <f>INDEX(Sheet5!$B$2:$AG$33, MATCH(Table2[[#This Row],[HomeTeam]],Sheet5!$A$2:$A$33, 0), MATCH(Table2[[#This Row],[AwayTeam]],Sheet5!$A$2:$A$33, 0))</f>
        <v>1-0-0</v>
      </c>
      <c r="AQ67" s="2">
        <f>IF(Table2[[#This Row],[GameHasShutOut]], 1, 0)</f>
        <v>0</v>
      </c>
      <c r="AR67" s="2">
        <f>IF(Table2[[#This Row],[ActualAwayScore]] + Table2[[#This Row],[ActualHomeScore]] &gt;= 10, 1, 0)</f>
        <v>0</v>
      </c>
      <c r="AS67" s="2">
        <f>IF(ABS(Table2[[#This Row],[ActualAwayScore]]-Table2[[#This Row],[ActualHomeScore]])&gt;=5, 1, 0)</f>
        <v>0</v>
      </c>
      <c r="AT67" s="2">
        <f>IF(Table2[[#This Row],[ActualAwayScore]] + Table2[[#This Row],[ActualHomeScore]] &lt;= 3, 1, 0)</f>
        <v>0</v>
      </c>
      <c r="AU67" s="2"/>
      <c r="AV67" s="2"/>
    </row>
    <row r="68" spans="1:48" x14ac:dyDescent="0.25">
      <c r="A68" s="3">
        <v>45946</v>
      </c>
      <c r="B68" s="3">
        <v>45946</v>
      </c>
      <c r="C68" s="5">
        <v>2025020066</v>
      </c>
      <c r="D68" s="2" t="s">
        <v>21</v>
      </c>
      <c r="E68" s="2" t="s">
        <v>42</v>
      </c>
      <c r="F68" s="2">
        <v>5</v>
      </c>
      <c r="G68" s="2">
        <v>2</v>
      </c>
      <c r="H68" s="2" t="str">
        <f t="shared" si="9"/>
        <v>WPG</v>
      </c>
      <c r="I68" s="2" t="s">
        <v>718</v>
      </c>
      <c r="J68" s="2">
        <v>5</v>
      </c>
      <c r="K68" s="2">
        <v>2</v>
      </c>
      <c r="L68" s="2" t="str">
        <f t="shared" si="10"/>
        <v>WPG</v>
      </c>
      <c r="M68" s="2" t="s">
        <v>718</v>
      </c>
      <c r="N68" s="2">
        <f>IF(ISBLANK(Table2[[#This Row],[ActualResult]]), 0, 1)</f>
        <v>1</v>
      </c>
      <c r="O68" s="2" t="str">
        <f>IF(ISBLANK(Table2[[#This Row],[ActualResult]]), "_", IF(Table2[[#This Row],[ActualWinner]]=Table2[[#This Row],[PredictedWinner]], "Y", "N"))</f>
        <v>Y</v>
      </c>
      <c r="P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68" s="2">
        <v>0</v>
      </c>
      <c r="S68" s="2" t="str">
        <f t="shared" si="11"/>
        <v>PHI</v>
      </c>
      <c r="T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" s="2">
        <f>IF(Table2[[#This Row],[InterConf]]=1,IF(Table2[[#This Row],[InterDiv]]=0, 1, 0), 0)</f>
        <v>0</v>
      </c>
      <c r="W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" s="2"/>
      <c r="Y68" s="2"/>
      <c r="Z68" s="145">
        <f>IF(AND(Table2[[#This Row],[GameIsOver]]=1,Table2[[#This Row],[ActualHomeScore]]*Table2[[#This Row],[ActualAwayScore]]=0), 1,0)</f>
        <v>0</v>
      </c>
      <c r="AA6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" s="2">
        <f>Table2[[#This Row],[ActualAwayScore]]-Table2[[#This Row],[PredictedAwayScore]]</f>
        <v>0</v>
      </c>
      <c r="AG68" s="2">
        <f>Table2[[#This Row],[ActualHomeScore]]-Table2[[#This Row],[PredictedHomeScore]]</f>
        <v>0</v>
      </c>
      <c r="AH68" s="2">
        <f t="shared" si="12"/>
        <v>3</v>
      </c>
      <c r="AI68" s="2">
        <f t="shared" si="13"/>
        <v>-9</v>
      </c>
      <c r="AJ68" s="2"/>
      <c r="AK68" s="2"/>
      <c r="AL68" s="2">
        <f>IF(Table2[[#This Row],[GameIsOver]]=0,0,IF(Table2[[#This Row],[ActualWinner]]=Table2[[#This Row],[AwayTeam]], 1, 0))</f>
        <v>1</v>
      </c>
      <c r="AM68" s="2">
        <f>IF(Table2[[#This Row],[GameIsOver]]=0,0,IF(Table2[[#This Row],[ActualWinner]]=Table2[[#This Row],[HomeTeam]], 1, 0))</f>
        <v>0</v>
      </c>
      <c r="AN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" s="2" t="str">
        <f>INDEX(Sheet5!$B$2:$AG$33, MATCH(Table2[[#This Row],[AwayTeam]],Sheet5!$A$2:$A$33, 0), MATCH(Table2[[#This Row],[HomeTeam]],Sheet5!$A$2:$A$33, 0))</f>
        <v>1-0-0</v>
      </c>
      <c r="AP68" s="2" t="str">
        <f>INDEX(Sheet5!$B$2:$AG$33, MATCH(Table2[[#This Row],[HomeTeam]],Sheet5!$A$2:$A$33, 0), MATCH(Table2[[#This Row],[AwayTeam]],Sheet5!$A$2:$A$33, 0))</f>
        <v>0-1-0</v>
      </c>
      <c r="AQ68" s="2">
        <f>IF(Table2[[#This Row],[GameHasShutOut]], 1, 0)</f>
        <v>0</v>
      </c>
      <c r="AR68" s="2">
        <f>IF(Table2[[#This Row],[ActualAwayScore]] + Table2[[#This Row],[ActualHomeScore]] &gt;= 10, 1, 0)</f>
        <v>0</v>
      </c>
      <c r="AS68" s="2">
        <f>IF(ABS(Table2[[#This Row],[ActualAwayScore]]-Table2[[#This Row],[ActualHomeScore]])&gt;=5, 1, 0)</f>
        <v>0</v>
      </c>
      <c r="AT68" s="2">
        <f>IF(Table2[[#This Row],[ActualAwayScore]] + Table2[[#This Row],[ActualHomeScore]] &lt;= 3, 1, 0)</f>
        <v>0</v>
      </c>
      <c r="AU68" s="2"/>
      <c r="AV68" s="2"/>
    </row>
    <row r="69" spans="1:48" x14ac:dyDescent="0.25">
      <c r="A69" s="3">
        <v>45946</v>
      </c>
      <c r="B69" s="3">
        <v>45946</v>
      </c>
      <c r="C69" s="5">
        <v>2025020067</v>
      </c>
      <c r="D69" s="2" t="s">
        <v>25</v>
      </c>
      <c r="E69" s="2" t="s">
        <v>35</v>
      </c>
      <c r="F69" s="2">
        <v>6</v>
      </c>
      <c r="G69" s="2">
        <v>3</v>
      </c>
      <c r="H69" s="2" t="str">
        <f t="shared" si="9"/>
        <v>COL</v>
      </c>
      <c r="I69" s="2" t="s">
        <v>718</v>
      </c>
      <c r="J69" s="2">
        <v>4</v>
      </c>
      <c r="K69" s="2">
        <v>1</v>
      </c>
      <c r="L69" s="2" t="str">
        <f t="shared" si="10"/>
        <v>COL</v>
      </c>
      <c r="M69" s="2" t="s">
        <v>718</v>
      </c>
      <c r="N69" s="2">
        <f>IF(ISBLANK(Table2[[#This Row],[ActualResult]]), 0, 1)</f>
        <v>1</v>
      </c>
      <c r="O69" s="2" t="str">
        <f>IF(ISBLANK(Table2[[#This Row],[ActualResult]]), "_", IF(Table2[[#This Row],[ActualWinner]]=Table2[[#This Row],[PredictedWinner]], "Y", "N"))</f>
        <v>Y</v>
      </c>
      <c r="P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9" s="2">
        <v>0</v>
      </c>
      <c r="S69" s="2" t="str">
        <f t="shared" si="11"/>
        <v>CBJ</v>
      </c>
      <c r="T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" s="2">
        <f>IF(Table2[[#This Row],[InterConf]]=1,IF(Table2[[#This Row],[InterDiv]]=0, 1, 0), 0)</f>
        <v>0</v>
      </c>
      <c r="W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" s="2"/>
      <c r="Y69" s="2"/>
      <c r="Z69" s="145">
        <f>IF(AND(Table2[[#This Row],[GameIsOver]]=1,Table2[[#This Row],[ActualHomeScore]]*Table2[[#This Row],[ActualAwayScore]]=0), 1,0)</f>
        <v>0</v>
      </c>
      <c r="AA69" s="145">
        <f>IF(Table2[[#This Row],[GameIsOver]]=0,0, IF(Table2[[#This Row],[ActualWinner]]=Table2[[#This Row],[AwayTeam]], 2, IF(OR(Table2[[#This Row],[ActualResult]]="OT", Table2[[#This Row],[ActualResult]]="SO"), 1, 0)))</f>
        <v>2</v>
      </c>
      <c r="AB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9" s="2">
        <f>Table2[[#This Row],[ActualAwayScore]]-Table2[[#This Row],[PredictedAwayScore]]</f>
        <v>-2</v>
      </c>
      <c r="AG69" s="2">
        <f>Table2[[#This Row],[ActualHomeScore]]-Table2[[#This Row],[PredictedHomeScore]]</f>
        <v>-2</v>
      </c>
      <c r="AH69" s="2">
        <f t="shared" si="12"/>
        <v>3</v>
      </c>
      <c r="AI69" s="2">
        <f t="shared" si="13"/>
        <v>-9</v>
      </c>
      <c r="AJ69" s="2"/>
      <c r="AK69" s="2"/>
      <c r="AL69" s="2">
        <f>IF(Table2[[#This Row],[GameIsOver]]=0,0,IF(Table2[[#This Row],[ActualWinner]]=Table2[[#This Row],[AwayTeam]], 1, 0))</f>
        <v>1</v>
      </c>
      <c r="AM69" s="2">
        <f>IF(Table2[[#This Row],[GameIsOver]]=0,0,IF(Table2[[#This Row],[ActualWinner]]=Table2[[#This Row],[HomeTeam]], 1, 0))</f>
        <v>0</v>
      </c>
      <c r="AN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" s="2" t="str">
        <f>INDEX(Sheet5!$B$2:$AG$33, MATCH(Table2[[#This Row],[AwayTeam]],Sheet5!$A$2:$A$33, 0), MATCH(Table2[[#This Row],[HomeTeam]],Sheet5!$A$2:$A$33, 0))</f>
        <v>1-0-0</v>
      </c>
      <c r="AP69" s="2" t="str">
        <f>INDEX(Sheet5!$B$2:$AG$33, MATCH(Table2[[#This Row],[HomeTeam]],Sheet5!$A$2:$A$33, 0), MATCH(Table2[[#This Row],[AwayTeam]],Sheet5!$A$2:$A$33, 0))</f>
        <v>0-1-0</v>
      </c>
      <c r="AQ69" s="2">
        <f>IF(Table2[[#This Row],[GameHasShutOut]], 1, 0)</f>
        <v>0</v>
      </c>
      <c r="AR69" s="2">
        <f>IF(Table2[[#This Row],[ActualAwayScore]] + Table2[[#This Row],[ActualHomeScore]] &gt;= 10, 1, 0)</f>
        <v>0</v>
      </c>
      <c r="AS69" s="2">
        <f>IF(ABS(Table2[[#This Row],[ActualAwayScore]]-Table2[[#This Row],[ActualHomeScore]])&gt;=5, 1, 0)</f>
        <v>0</v>
      </c>
      <c r="AT69" s="2">
        <f>IF(Table2[[#This Row],[ActualAwayScore]] + Table2[[#This Row],[ActualHomeScore]] &lt;= 3, 1, 0)</f>
        <v>0</v>
      </c>
      <c r="AU69" s="2"/>
      <c r="AV69" s="2"/>
    </row>
    <row r="70" spans="1:48" x14ac:dyDescent="0.25">
      <c r="A70" s="3">
        <v>45946</v>
      </c>
      <c r="B70" s="3">
        <v>45946</v>
      </c>
      <c r="C70" s="5">
        <v>2025020068</v>
      </c>
      <c r="D70" s="2" t="s">
        <v>24</v>
      </c>
      <c r="E70" s="2" t="s">
        <v>33</v>
      </c>
      <c r="F70" s="2">
        <v>2</v>
      </c>
      <c r="G70" s="2">
        <v>6</v>
      </c>
      <c r="H70" s="2" t="str">
        <f t="shared" si="9"/>
        <v>DAL</v>
      </c>
      <c r="I70" s="2" t="s">
        <v>718</v>
      </c>
      <c r="J70" s="2">
        <v>5</v>
      </c>
      <c r="K70" s="2">
        <v>3</v>
      </c>
      <c r="L70" s="2" t="str">
        <f t="shared" si="10"/>
        <v>VAN</v>
      </c>
      <c r="M70" s="2" t="s">
        <v>718</v>
      </c>
      <c r="N70" s="2">
        <f>IF(ISBLANK(Table2[[#This Row],[ActualResult]]), 0, 1)</f>
        <v>1</v>
      </c>
      <c r="O70" s="2" t="str">
        <f>IF(ISBLANK(Table2[[#This Row],[ActualResult]]), "_", IF(Table2[[#This Row],[ActualWinner]]=Table2[[#This Row],[PredictedWinner]], "Y", "N"))</f>
        <v>N</v>
      </c>
      <c r="P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0" s="2">
        <v>1</v>
      </c>
      <c r="S70" s="2" t="str">
        <f t="shared" si="11"/>
        <v>DAL</v>
      </c>
      <c r="T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" s="2">
        <f>IF(Table2[[#This Row],[InterConf]]=1,IF(Table2[[#This Row],[InterDiv]]=0, 1, 0), 0)</f>
        <v>1</v>
      </c>
      <c r="W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" s="2"/>
      <c r="Y70" s="2"/>
      <c r="Z70" s="145">
        <f>IF(AND(Table2[[#This Row],[GameIsOver]]=1,Table2[[#This Row],[ActualHomeScore]]*Table2[[#This Row],[ActualAwayScore]]=0), 1,0)</f>
        <v>0</v>
      </c>
      <c r="AA70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0" s="2">
        <f>Table2[[#This Row],[ActualAwayScore]]-Table2[[#This Row],[PredictedAwayScore]]</f>
        <v>3</v>
      </c>
      <c r="AG70" s="2">
        <f>Table2[[#This Row],[ActualHomeScore]]-Table2[[#This Row],[PredictedHomeScore]]</f>
        <v>-3</v>
      </c>
      <c r="AH70" s="2">
        <f t="shared" si="12"/>
        <v>3</v>
      </c>
      <c r="AI70" s="2">
        <f t="shared" si="13"/>
        <v>-9</v>
      </c>
      <c r="AJ70" s="2">
        <v>6</v>
      </c>
      <c r="AK70" s="3">
        <v>45946</v>
      </c>
      <c r="AL70" s="2">
        <f>IF(Table2[[#This Row],[GameIsOver]]=0,0,IF(Table2[[#This Row],[ActualWinner]]=Table2[[#This Row],[AwayTeam]], 1, 0))</f>
        <v>1</v>
      </c>
      <c r="AM70" s="2">
        <f>IF(Table2[[#This Row],[GameIsOver]]=0,0,IF(Table2[[#This Row],[ActualWinner]]=Table2[[#This Row],[HomeTeam]], 1, 0))</f>
        <v>0</v>
      </c>
      <c r="AN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" s="2" t="str">
        <f>INDEX(Sheet5!$B$2:$AG$33, MATCH(Table2[[#This Row],[AwayTeam]],Sheet5!$A$2:$A$33, 0), MATCH(Table2[[#This Row],[HomeTeam]],Sheet5!$A$2:$A$33, 0))</f>
        <v>1-0-0</v>
      </c>
      <c r="AP70" s="2" t="str">
        <f>INDEX(Sheet5!$B$2:$AG$33, MATCH(Table2[[#This Row],[HomeTeam]],Sheet5!$A$2:$A$33, 0), MATCH(Table2[[#This Row],[AwayTeam]],Sheet5!$A$2:$A$33, 0))</f>
        <v>0-1-0</v>
      </c>
      <c r="AQ70" s="2">
        <f>IF(Table2[[#This Row],[GameHasShutOut]], 1, 0)</f>
        <v>0</v>
      </c>
      <c r="AR70" s="2">
        <f>IF(Table2[[#This Row],[ActualAwayScore]] + Table2[[#This Row],[ActualHomeScore]] &gt;= 10, 1, 0)</f>
        <v>0</v>
      </c>
      <c r="AS70" s="2">
        <f>IF(ABS(Table2[[#This Row],[ActualAwayScore]]-Table2[[#This Row],[ActualHomeScore]])&gt;=5, 1, 0)</f>
        <v>0</v>
      </c>
      <c r="AT70" s="2">
        <f>IF(Table2[[#This Row],[ActualAwayScore]] + Table2[[#This Row],[ActualHomeScore]] &lt;= 3, 1, 0)</f>
        <v>0</v>
      </c>
      <c r="AU70" s="2"/>
      <c r="AV70" s="2"/>
    </row>
    <row r="71" spans="1:48" x14ac:dyDescent="0.25">
      <c r="A71" s="3">
        <v>45946</v>
      </c>
      <c r="B71" s="3">
        <v>45946</v>
      </c>
      <c r="C71" s="5">
        <v>2025020069</v>
      </c>
      <c r="D71" s="2" t="s">
        <v>15</v>
      </c>
      <c r="E71" s="2" t="s">
        <v>26</v>
      </c>
      <c r="F71" s="2">
        <v>2</v>
      </c>
      <c r="G71" s="2">
        <v>5</v>
      </c>
      <c r="H71" s="2" t="str">
        <f t="shared" si="9"/>
        <v>VGK</v>
      </c>
      <c r="I71" s="2" t="s">
        <v>718</v>
      </c>
      <c r="J71" s="2">
        <v>5</v>
      </c>
      <c r="K71" s="2">
        <v>6</v>
      </c>
      <c r="L71" s="2" t="str">
        <f t="shared" si="10"/>
        <v>VGK</v>
      </c>
      <c r="M71" s="2" t="s">
        <v>718</v>
      </c>
      <c r="N71" s="2">
        <f>IF(ISBLANK(Table2[[#This Row],[ActualResult]]), 0, 1)</f>
        <v>1</v>
      </c>
      <c r="O71" s="2" t="str">
        <f>IF(ISBLANK(Table2[[#This Row],[ActualResult]]), "_", IF(Table2[[#This Row],[ActualWinner]]=Table2[[#This Row],[PredictedWinner]], "Y", "N"))</f>
        <v>Y</v>
      </c>
      <c r="P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1" s="2">
        <v>1</v>
      </c>
      <c r="S71" s="2" t="str">
        <f t="shared" si="11"/>
        <v>BOS</v>
      </c>
      <c r="T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" s="2">
        <f>IF(Table2[[#This Row],[InterConf]]=1,IF(Table2[[#This Row],[InterDiv]]=0, 1, 0), 0)</f>
        <v>0</v>
      </c>
      <c r="W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" s="2"/>
      <c r="Y71" s="2"/>
      <c r="Z71" s="145">
        <f>IF(AND(Table2[[#This Row],[GameIsOver]]=1,Table2[[#This Row],[ActualHomeScore]]*Table2[[#This Row],[ActualAwayScore]]=0), 1,0)</f>
        <v>0</v>
      </c>
      <c r="AA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7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1" s="2">
        <f>Table2[[#This Row],[ActualAwayScore]]-Table2[[#This Row],[PredictedAwayScore]]</f>
        <v>3</v>
      </c>
      <c r="AG71" s="2">
        <f>Table2[[#This Row],[ActualHomeScore]]-Table2[[#This Row],[PredictedHomeScore]]</f>
        <v>1</v>
      </c>
      <c r="AH71" s="2">
        <f t="shared" si="12"/>
        <v>3</v>
      </c>
      <c r="AI71" s="2">
        <f t="shared" si="13"/>
        <v>-9</v>
      </c>
      <c r="AJ71" s="2">
        <v>7</v>
      </c>
      <c r="AK71" s="3">
        <v>45946</v>
      </c>
      <c r="AL71" s="2">
        <f>IF(Table2[[#This Row],[GameIsOver]]=0,0,IF(Table2[[#This Row],[ActualWinner]]=Table2[[#This Row],[AwayTeam]], 1, 0))</f>
        <v>0</v>
      </c>
      <c r="AM71" s="2">
        <f>IF(Table2[[#This Row],[GameIsOver]]=0,0,IF(Table2[[#This Row],[ActualWinner]]=Table2[[#This Row],[HomeTeam]], 1, 0))</f>
        <v>1</v>
      </c>
      <c r="AN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" s="2" t="str">
        <f>INDEX(Sheet5!$B$2:$AG$33, MATCH(Table2[[#This Row],[AwayTeam]],Sheet5!$A$2:$A$33, 0), MATCH(Table2[[#This Row],[HomeTeam]],Sheet5!$A$2:$A$33, 0))</f>
        <v>0-1-0</v>
      </c>
      <c r="AP71" s="2" t="str">
        <f>INDEX(Sheet5!$B$2:$AG$33, MATCH(Table2[[#This Row],[HomeTeam]],Sheet5!$A$2:$A$33, 0), MATCH(Table2[[#This Row],[AwayTeam]],Sheet5!$A$2:$A$33, 0))</f>
        <v>1-0-0</v>
      </c>
      <c r="AQ71" s="2">
        <f>IF(Table2[[#This Row],[GameHasShutOut]], 1, 0)</f>
        <v>0</v>
      </c>
      <c r="AR71" s="2">
        <f>IF(Table2[[#This Row],[ActualAwayScore]] + Table2[[#This Row],[ActualHomeScore]] &gt;= 10, 1, 0)</f>
        <v>1</v>
      </c>
      <c r="AS71" s="2">
        <f>IF(ABS(Table2[[#This Row],[ActualAwayScore]]-Table2[[#This Row],[ActualHomeScore]])&gt;=5, 1, 0)</f>
        <v>0</v>
      </c>
      <c r="AT71" s="2">
        <f>IF(Table2[[#This Row],[ActualAwayScore]] + Table2[[#This Row],[ActualHomeScore]] &lt;= 3, 1, 0)</f>
        <v>0</v>
      </c>
      <c r="AU71" s="2"/>
      <c r="AV71" s="2"/>
    </row>
    <row r="72" spans="1:48" x14ac:dyDescent="0.25">
      <c r="A72" s="3">
        <v>45946</v>
      </c>
      <c r="B72" s="3">
        <v>45946</v>
      </c>
      <c r="C72" s="5">
        <v>2025020070</v>
      </c>
      <c r="D72" s="2" t="s">
        <v>41</v>
      </c>
      <c r="E72" s="2" t="s">
        <v>44</v>
      </c>
      <c r="F72" s="2">
        <v>1</v>
      </c>
      <c r="G72" s="2">
        <v>4</v>
      </c>
      <c r="H72" s="2" t="str">
        <f t="shared" si="9"/>
        <v>ANA</v>
      </c>
      <c r="I72" s="2" t="s">
        <v>718</v>
      </c>
      <c r="J72" s="2">
        <v>4</v>
      </c>
      <c r="K72" s="2">
        <v>1</v>
      </c>
      <c r="L72" s="2" t="str">
        <f t="shared" si="10"/>
        <v>CAR</v>
      </c>
      <c r="M72" s="2" t="s">
        <v>718</v>
      </c>
      <c r="N72" s="2">
        <f>IF(ISBLANK(Table2[[#This Row],[ActualResult]]), 0, 1)</f>
        <v>1</v>
      </c>
      <c r="O72" s="2" t="str">
        <f>IF(ISBLANK(Table2[[#This Row],[ActualResult]]), "_", IF(Table2[[#This Row],[ActualWinner]]=Table2[[#This Row],[PredictedWinner]], "Y", "N"))</f>
        <v>N</v>
      </c>
      <c r="P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2" s="2">
        <v>1</v>
      </c>
      <c r="S72" s="2" t="str">
        <f t="shared" si="11"/>
        <v>ANA</v>
      </c>
      <c r="T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" s="2">
        <f>IF(Table2[[#This Row],[InterConf]]=1,IF(Table2[[#This Row],[InterDiv]]=0, 1, 0), 0)</f>
        <v>0</v>
      </c>
      <c r="W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" s="2"/>
      <c r="Y72" s="2"/>
      <c r="Z72" s="145">
        <f>IF(AND(Table2[[#This Row],[GameIsOver]]=1,Table2[[#This Row],[ActualHomeScore]]*Table2[[#This Row],[ActualAwayScore]]=0), 1,0)</f>
        <v>0</v>
      </c>
      <c r="AA7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2" s="2">
        <f>Table2[[#This Row],[ActualAwayScore]]-Table2[[#This Row],[PredictedAwayScore]]</f>
        <v>3</v>
      </c>
      <c r="AG72" s="2">
        <f>Table2[[#This Row],[ActualHomeScore]]-Table2[[#This Row],[PredictedHomeScore]]</f>
        <v>-3</v>
      </c>
      <c r="AH72" s="2">
        <f t="shared" si="12"/>
        <v>3</v>
      </c>
      <c r="AI72" s="2">
        <f t="shared" si="13"/>
        <v>-9</v>
      </c>
      <c r="AJ72" s="2">
        <v>8</v>
      </c>
      <c r="AK72" s="3">
        <v>45946</v>
      </c>
      <c r="AL72" s="2">
        <f>IF(Table2[[#This Row],[GameIsOver]]=0,0,IF(Table2[[#This Row],[ActualWinner]]=Table2[[#This Row],[AwayTeam]], 1, 0))</f>
        <v>1</v>
      </c>
      <c r="AM72" s="2">
        <f>IF(Table2[[#This Row],[GameIsOver]]=0,0,IF(Table2[[#This Row],[ActualWinner]]=Table2[[#This Row],[HomeTeam]], 1, 0))</f>
        <v>0</v>
      </c>
      <c r="AN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" s="2" t="str">
        <f>INDEX(Sheet5!$B$2:$AG$33, MATCH(Table2[[#This Row],[AwayTeam]],Sheet5!$A$2:$A$33, 0), MATCH(Table2[[#This Row],[HomeTeam]],Sheet5!$A$2:$A$33, 0))</f>
        <v>1-0-0</v>
      </c>
      <c r="AP72" s="2" t="str">
        <f>INDEX(Sheet5!$B$2:$AG$33, MATCH(Table2[[#This Row],[HomeTeam]],Sheet5!$A$2:$A$33, 0), MATCH(Table2[[#This Row],[AwayTeam]],Sheet5!$A$2:$A$33, 0))</f>
        <v>0-1-0</v>
      </c>
      <c r="AQ72" s="2">
        <f>IF(Table2[[#This Row],[GameHasShutOut]], 1, 0)</f>
        <v>0</v>
      </c>
      <c r="AR72" s="2">
        <f>IF(Table2[[#This Row],[ActualAwayScore]] + Table2[[#This Row],[ActualHomeScore]] &gt;= 10, 1, 0)</f>
        <v>0</v>
      </c>
      <c r="AS72" s="2">
        <f>IF(ABS(Table2[[#This Row],[ActualAwayScore]]-Table2[[#This Row],[ActualHomeScore]])&gt;=5, 1, 0)</f>
        <v>0</v>
      </c>
      <c r="AT72" s="2">
        <f>IF(Table2[[#This Row],[ActualAwayScore]] + Table2[[#This Row],[ActualHomeScore]] &lt;= 3, 1, 0)</f>
        <v>0</v>
      </c>
      <c r="AU72" s="2"/>
      <c r="AV72" s="2"/>
    </row>
    <row r="73" spans="1:48" x14ac:dyDescent="0.25">
      <c r="A73" s="141">
        <v>45946</v>
      </c>
      <c r="B73" s="141">
        <v>45946</v>
      </c>
      <c r="C73" s="142">
        <v>2025020071</v>
      </c>
      <c r="D73" s="143" t="s">
        <v>20</v>
      </c>
      <c r="E73" s="143" t="s">
        <v>27</v>
      </c>
      <c r="F73" s="143">
        <v>3</v>
      </c>
      <c r="G73" s="143">
        <v>4</v>
      </c>
      <c r="H73" s="143" t="str">
        <f t="shared" si="9"/>
        <v>LAK</v>
      </c>
      <c r="I73" s="143" t="s">
        <v>719</v>
      </c>
      <c r="J73" s="143">
        <v>4</v>
      </c>
      <c r="K73" s="143">
        <v>2</v>
      </c>
      <c r="L73" s="143" t="str">
        <f t="shared" si="10"/>
        <v>PIT</v>
      </c>
      <c r="M73" s="143" t="s">
        <v>718</v>
      </c>
      <c r="N73" s="143">
        <f>IF(ISBLANK(Table2[[#This Row],[ActualResult]]), 0, 1)</f>
        <v>1</v>
      </c>
      <c r="O73" s="143" t="str">
        <f>IF(ISBLANK(Table2[[#This Row],[ActualResult]]), "_", IF(Table2[[#This Row],[ActualWinner]]=Table2[[#This Row],[PredictedWinner]], "Y", "N"))</f>
        <v>N</v>
      </c>
      <c r="P73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3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3" s="143">
        <v>0</v>
      </c>
      <c r="S73" s="143" t="str">
        <f t="shared" si="11"/>
        <v>LAK</v>
      </c>
      <c r="T73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" s="143">
        <f>IF(Table2[[#This Row],[InterConf]]=1,IF(Table2[[#This Row],[InterDiv]]=0, 1, 0), 0)</f>
        <v>0</v>
      </c>
      <c r="W73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" s="143"/>
      <c r="Y73" s="143"/>
      <c r="Z73" s="149">
        <f>IF(AND(Table2[[#This Row],[GameIsOver]]=1,Table2[[#This Row],[ActualHomeScore]]*Table2[[#This Row],[ActualAwayScore]]=0), 1,0)</f>
        <v>0</v>
      </c>
      <c r="AA73" s="149">
        <f>IF(Table2[[#This Row],[GameIsOver]]=0,0, IF(Table2[[#This Row],[ActualWinner]]=Table2[[#This Row],[AwayTeam]], 2, IF(OR(Table2[[#This Row],[ActualResult]]="OT", Table2[[#This Row],[ActualResult]]="SO"), 1, 0)))</f>
        <v>2</v>
      </c>
      <c r="AB73" s="149">
        <f>IF(Table2[[#This Row],[GameIsOver]]= 0, 0, IF(Table2[[#This Row],[ActualWinner]]=Table2[[#This Row],[HomeTeam]], 2, IF(OR(Table2[[#This Row],[ActualResult]]="OT", Table2[[#This Row],[ActualResult]]="SO"), 1, 0)))</f>
        <v>0</v>
      </c>
      <c r="AC73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" s="143">
        <f>Table2[[#This Row],[ActualAwayScore]]-Table2[[#This Row],[PredictedAwayScore]]</f>
        <v>1</v>
      </c>
      <c r="AG73" s="143">
        <f>Table2[[#This Row],[ActualHomeScore]]-Table2[[#This Row],[PredictedHomeScore]]</f>
        <v>-2</v>
      </c>
      <c r="AH73" s="143">
        <f t="shared" si="12"/>
        <v>3</v>
      </c>
      <c r="AI73" s="143">
        <f t="shared" si="13"/>
        <v>-9</v>
      </c>
      <c r="AJ73" s="143"/>
      <c r="AK73" s="143"/>
      <c r="AL73" s="143">
        <f>IF(Table2[[#This Row],[GameIsOver]]=0,0,IF(Table2[[#This Row],[ActualWinner]]=Table2[[#This Row],[AwayTeam]], 1, 0))</f>
        <v>1</v>
      </c>
      <c r="AM73" s="143">
        <f>IF(Table2[[#This Row],[GameIsOver]]=0,0,IF(Table2[[#This Row],[ActualWinner]]=Table2[[#This Row],[HomeTeam]], 1, 0))</f>
        <v>0</v>
      </c>
      <c r="AN73" s="143">
        <f>IF(IFERROR(FIND(Table2[[#This Row],[AwayTeam]], _xlfn.TEXTJOIN(";", 1, $BD$31:$BD$40)), 0) &gt; 0, 1, 0) + IF(IFERROR(FIND(Table2[[#This Row],[HomeTeam]], _xlfn.TEXTJOIN(";", 1, $BD$31:$BD$40)), 0) &gt; 0, 1, 0)</f>
        <v>1</v>
      </c>
      <c r="AO73" s="143" t="str">
        <f>INDEX(Sheet5!$B$2:$AG$33, MATCH(Table2[[#This Row],[AwayTeam]],Sheet5!$A$2:$A$33, 0), MATCH(Table2[[#This Row],[HomeTeam]],Sheet5!$A$2:$A$33, 0))</f>
        <v>1-0-0</v>
      </c>
      <c r="AP73" s="143" t="str">
        <f>INDEX(Sheet5!$B$2:$AG$33, MATCH(Table2[[#This Row],[HomeTeam]],Sheet5!$A$2:$A$33, 0), MATCH(Table2[[#This Row],[AwayTeam]],Sheet5!$A$2:$A$33, 0))</f>
        <v>0-1-0</v>
      </c>
      <c r="AQ73" s="143">
        <f>IF(Table2[[#This Row],[GameHasShutOut]], 1, 0)</f>
        <v>0</v>
      </c>
      <c r="AR73" s="143">
        <f>IF(Table2[[#This Row],[ActualAwayScore]] + Table2[[#This Row],[ActualHomeScore]] &gt;= 10, 1, 0)</f>
        <v>0</v>
      </c>
      <c r="AS73" s="143">
        <f>IF(ABS(Table2[[#This Row],[ActualAwayScore]]-Table2[[#This Row],[ActualHomeScore]])&gt;=5, 1, 0)</f>
        <v>0</v>
      </c>
      <c r="AT73" s="143">
        <f>IF(Table2[[#This Row],[ActualAwayScore]] + Table2[[#This Row],[ActualHomeScore]] &lt;= 3, 1, 0)</f>
        <v>0</v>
      </c>
      <c r="AU73" s="2"/>
      <c r="AV73" s="2"/>
    </row>
    <row r="74" spans="1:48" x14ac:dyDescent="0.25">
      <c r="A74" s="3">
        <v>45947</v>
      </c>
      <c r="B74" s="3">
        <v>45947</v>
      </c>
      <c r="C74" s="5">
        <v>2025020072</v>
      </c>
      <c r="D74" s="2" t="s">
        <v>40</v>
      </c>
      <c r="E74" s="2" t="s">
        <v>30</v>
      </c>
      <c r="F74" s="2">
        <v>4</v>
      </c>
      <c r="G74" s="2">
        <v>6</v>
      </c>
      <c r="H74" s="2" t="str">
        <f t="shared" si="9"/>
        <v>DET</v>
      </c>
      <c r="I74" s="2" t="s">
        <v>718</v>
      </c>
      <c r="J74" s="2">
        <v>1</v>
      </c>
      <c r="K74" s="2">
        <v>2</v>
      </c>
      <c r="L74" s="2" t="str">
        <f t="shared" si="10"/>
        <v>DET</v>
      </c>
      <c r="M74" s="2" t="s">
        <v>720</v>
      </c>
      <c r="N74" s="2">
        <f>IF(ISBLANK(Table2[[#This Row],[ActualResult]]), 0, 1)</f>
        <v>1</v>
      </c>
      <c r="O74" s="2" t="str">
        <f>IF(ISBLANK(Table2[[#This Row],[ActualResult]]), "_", IF(Table2[[#This Row],[ActualWinner]]=Table2[[#This Row],[PredictedWinner]], "Y", "N"))</f>
        <v>Y</v>
      </c>
      <c r="P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4" s="2">
        <v>1</v>
      </c>
      <c r="S74" s="2" t="str">
        <f t="shared" si="11"/>
        <v>TBL</v>
      </c>
      <c r="T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" s="2">
        <f>IF(Table2[[#This Row],[InterConf]]=1,IF(Table2[[#This Row],[InterDiv]]=0, 1, 0), 0)</f>
        <v>0</v>
      </c>
      <c r="W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" s="2"/>
      <c r="Y74" s="2"/>
      <c r="Z74" s="145">
        <f>IF(AND(Table2[[#This Row],[GameIsOver]]=1,Table2[[#This Row],[ActualHomeScore]]*Table2[[#This Row],[ActualAwayScore]]=0), 1,0)</f>
        <v>0</v>
      </c>
      <c r="AA74" s="145">
        <f>IF(Table2[[#This Row],[GameIsOver]]=0,0, IF(Table2[[#This Row],[ActualWinner]]=Table2[[#This Row],[AwayTeam]], 2, IF(OR(Table2[[#This Row],[ActualResult]]="OT", Table2[[#This Row],[ActualResult]]="SO"), 1, 0)))</f>
        <v>1</v>
      </c>
      <c r="AB7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7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" s="2">
        <f>Table2[[#This Row],[ActualAwayScore]]-Table2[[#This Row],[PredictedAwayScore]]</f>
        <v>-3</v>
      </c>
      <c r="AG74" s="2">
        <f>Table2[[#This Row],[ActualHomeScore]]-Table2[[#This Row],[PredictedHomeScore]]</f>
        <v>-4</v>
      </c>
      <c r="AH74" s="2">
        <f t="shared" si="12"/>
        <v>-6</v>
      </c>
      <c r="AI74" s="2">
        <f t="shared" si="13"/>
        <v>-1</v>
      </c>
      <c r="AJ74" s="2">
        <v>1</v>
      </c>
      <c r="AK74" s="3">
        <v>45947</v>
      </c>
      <c r="AL74" s="2">
        <f>IF(Table2[[#This Row],[GameIsOver]]=0,0,IF(Table2[[#This Row],[ActualWinner]]=Table2[[#This Row],[AwayTeam]], 1, 0))</f>
        <v>0</v>
      </c>
      <c r="AM74" s="2">
        <f>IF(Table2[[#This Row],[GameIsOver]]=0,0,IF(Table2[[#This Row],[ActualWinner]]=Table2[[#This Row],[HomeTeam]], 1, 0))</f>
        <v>1</v>
      </c>
      <c r="AN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" s="2" t="str">
        <f>INDEX(Sheet5!$B$2:$AG$33, MATCH(Table2[[#This Row],[AwayTeam]],Sheet5!$A$2:$A$33, 0), MATCH(Table2[[#This Row],[HomeTeam]],Sheet5!$A$2:$A$33, 0))</f>
        <v>0-0-1</v>
      </c>
      <c r="AP74" s="2" t="str">
        <f>INDEX(Sheet5!$B$2:$AG$33, MATCH(Table2[[#This Row],[HomeTeam]],Sheet5!$A$2:$A$33, 0), MATCH(Table2[[#This Row],[AwayTeam]],Sheet5!$A$2:$A$33, 0))</f>
        <v>1-0-0</v>
      </c>
      <c r="AQ74" s="2">
        <f>IF(Table2[[#This Row],[GameHasShutOut]], 1, 0)</f>
        <v>0</v>
      </c>
      <c r="AR74" s="2">
        <f>IF(Table2[[#This Row],[ActualAwayScore]] + Table2[[#This Row],[ActualHomeScore]] &gt;= 10, 1, 0)</f>
        <v>0</v>
      </c>
      <c r="AS74" s="2">
        <f>IF(ABS(Table2[[#This Row],[ActualAwayScore]]-Table2[[#This Row],[ActualHomeScore]])&gt;=5, 1, 0)</f>
        <v>0</v>
      </c>
      <c r="AT74" s="2">
        <f>IF(Table2[[#This Row],[ActualAwayScore]] + Table2[[#This Row],[ActualHomeScore]] &lt;= 3, 1, 0)</f>
        <v>1</v>
      </c>
      <c r="AU74" s="2"/>
      <c r="AV74" s="2"/>
    </row>
    <row r="75" spans="1:48" x14ac:dyDescent="0.25">
      <c r="A75" s="3">
        <v>45947</v>
      </c>
      <c r="B75" s="3">
        <v>45947</v>
      </c>
      <c r="C75" s="5">
        <v>2025020073</v>
      </c>
      <c r="D75" s="2" t="s">
        <v>36</v>
      </c>
      <c r="E75" s="2" t="s">
        <v>43</v>
      </c>
      <c r="F75" s="2">
        <v>2</v>
      </c>
      <c r="G75" s="2">
        <v>4</v>
      </c>
      <c r="H75" s="2" t="str">
        <f t="shared" si="9"/>
        <v>WSH</v>
      </c>
      <c r="I75" s="2" t="s">
        <v>718</v>
      </c>
      <c r="J75" s="2">
        <v>1</v>
      </c>
      <c r="K75" s="2">
        <v>5</v>
      </c>
      <c r="L75" s="2" t="str">
        <f t="shared" si="10"/>
        <v>WSH</v>
      </c>
      <c r="M75" s="2" t="s">
        <v>718</v>
      </c>
      <c r="N75" s="2">
        <f>IF(ISBLANK(Table2[[#This Row],[ActualResult]]), 0, 1)</f>
        <v>1</v>
      </c>
      <c r="O75" s="2" t="str">
        <f>IF(ISBLANK(Table2[[#This Row],[ActualResult]]), "_", IF(Table2[[#This Row],[ActualWinner]]=Table2[[#This Row],[PredictedWinner]], "Y", "N"))</f>
        <v>Y</v>
      </c>
      <c r="P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5" s="2">
        <v>1</v>
      </c>
      <c r="S75" s="2" t="str">
        <f t="shared" si="11"/>
        <v>MIN</v>
      </c>
      <c r="T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" s="2">
        <f>IF(Table2[[#This Row],[InterConf]]=1,IF(Table2[[#This Row],[InterDiv]]=0, 1, 0), 0)</f>
        <v>0</v>
      </c>
      <c r="W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" s="2"/>
      <c r="Y75" s="2"/>
      <c r="Z75" s="145">
        <f>IF(AND(Table2[[#This Row],[GameIsOver]]=1,Table2[[#This Row],[ActualHomeScore]]*Table2[[#This Row],[ActualAwayScore]]=0), 1,0)</f>
        <v>0</v>
      </c>
      <c r="AA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75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5" s="2">
        <f>Table2[[#This Row],[ActualAwayScore]]-Table2[[#This Row],[PredictedAwayScore]]</f>
        <v>-1</v>
      </c>
      <c r="AG75" s="2">
        <f>Table2[[#This Row],[ActualHomeScore]]-Table2[[#This Row],[PredictedHomeScore]]</f>
        <v>1</v>
      </c>
      <c r="AH75" s="2">
        <f t="shared" si="12"/>
        <v>-6</v>
      </c>
      <c r="AI75" s="2">
        <f t="shared" si="13"/>
        <v>-1</v>
      </c>
      <c r="AJ75" s="2">
        <v>2</v>
      </c>
      <c r="AK75" s="3">
        <v>45947</v>
      </c>
      <c r="AL75" s="2">
        <f>IF(Table2[[#This Row],[GameIsOver]]=0,0,IF(Table2[[#This Row],[ActualWinner]]=Table2[[#This Row],[AwayTeam]], 1, 0))</f>
        <v>0</v>
      </c>
      <c r="AM75" s="2">
        <f>IF(Table2[[#This Row],[GameIsOver]]=0,0,IF(Table2[[#This Row],[ActualWinner]]=Table2[[#This Row],[HomeTeam]], 1, 0))</f>
        <v>1</v>
      </c>
      <c r="AN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" s="2" t="str">
        <f>INDEX(Sheet5!$B$2:$AG$33, MATCH(Table2[[#This Row],[AwayTeam]],Sheet5!$A$2:$A$33, 0), MATCH(Table2[[#This Row],[HomeTeam]],Sheet5!$A$2:$A$33, 0))</f>
        <v>0-1-0</v>
      </c>
      <c r="AP75" s="2" t="str">
        <f>INDEX(Sheet5!$B$2:$AG$33, MATCH(Table2[[#This Row],[HomeTeam]],Sheet5!$A$2:$A$33, 0), MATCH(Table2[[#This Row],[AwayTeam]],Sheet5!$A$2:$A$33, 0))</f>
        <v>1-0-0</v>
      </c>
      <c r="AQ75" s="2">
        <f>IF(Table2[[#This Row],[GameHasShutOut]], 1, 0)</f>
        <v>0</v>
      </c>
      <c r="AR75" s="2">
        <f>IF(Table2[[#This Row],[ActualAwayScore]] + Table2[[#This Row],[ActualHomeScore]] &gt;= 10, 1, 0)</f>
        <v>0</v>
      </c>
      <c r="AS75" s="2">
        <f>IF(ABS(Table2[[#This Row],[ActualAwayScore]]-Table2[[#This Row],[ActualHomeScore]])&gt;=5, 1, 0)</f>
        <v>0</v>
      </c>
      <c r="AT75" s="2">
        <f>IF(Table2[[#This Row],[ActualAwayScore]] + Table2[[#This Row],[ActualHomeScore]] &lt;= 3, 1, 0)</f>
        <v>0</v>
      </c>
      <c r="AU75" s="2"/>
      <c r="AV75" s="2"/>
    </row>
    <row r="76" spans="1:48" x14ac:dyDescent="0.25">
      <c r="A76" s="3">
        <v>45947</v>
      </c>
      <c r="B76" s="3">
        <v>45947</v>
      </c>
      <c r="C76" s="5">
        <v>2025020074</v>
      </c>
      <c r="D76" s="2" t="s">
        <v>24</v>
      </c>
      <c r="E76" s="2" t="s">
        <v>16</v>
      </c>
      <c r="F76" s="2">
        <v>5</v>
      </c>
      <c r="G76" s="2">
        <v>4</v>
      </c>
      <c r="H76" s="2" t="str">
        <f t="shared" si="9"/>
        <v>VAN</v>
      </c>
      <c r="I76" s="2" t="s">
        <v>719</v>
      </c>
      <c r="J76" s="2">
        <v>3</v>
      </c>
      <c r="K76" s="2">
        <v>2</v>
      </c>
      <c r="L76" s="2" t="str">
        <f t="shared" si="10"/>
        <v>VAN</v>
      </c>
      <c r="M76" s="2" t="s">
        <v>719</v>
      </c>
      <c r="N76" s="2">
        <f>IF(ISBLANK(Table2[[#This Row],[ActualResult]]), 0, 1)</f>
        <v>1</v>
      </c>
      <c r="O76" s="2" t="str">
        <f>IF(ISBLANK(Table2[[#This Row],[ActualResult]]), "_", IF(Table2[[#This Row],[ActualWinner]]=Table2[[#This Row],[PredictedWinner]], "Y", "N"))</f>
        <v>Y</v>
      </c>
      <c r="P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6" s="2">
        <v>1</v>
      </c>
      <c r="S76" s="2" t="str">
        <f t="shared" si="11"/>
        <v>CHI</v>
      </c>
      <c r="T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" s="2">
        <f>IF(Table2[[#This Row],[InterConf]]=1,IF(Table2[[#This Row],[InterDiv]]=0, 1, 0), 0)</f>
        <v>1</v>
      </c>
      <c r="W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" s="2"/>
      <c r="Y76" s="2"/>
      <c r="Z76" s="145">
        <f>IF(AND(Table2[[#This Row],[GameIsOver]]=1,Table2[[#This Row],[ActualHomeScore]]*Table2[[#This Row],[ActualAwayScore]]=0), 1,0)</f>
        <v>0</v>
      </c>
      <c r="AA76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6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7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6" s="2">
        <f>Table2[[#This Row],[ActualAwayScore]]-Table2[[#This Row],[PredictedAwayScore]]</f>
        <v>-2</v>
      </c>
      <c r="AG76" s="2">
        <f>Table2[[#This Row],[ActualHomeScore]]-Table2[[#This Row],[PredictedHomeScore]]</f>
        <v>-2</v>
      </c>
      <c r="AH76" s="2">
        <f t="shared" si="12"/>
        <v>-6</v>
      </c>
      <c r="AI76" s="2">
        <f t="shared" si="13"/>
        <v>-1</v>
      </c>
      <c r="AJ76" s="2">
        <v>3</v>
      </c>
      <c r="AK76" s="3">
        <v>45947</v>
      </c>
      <c r="AL76" s="2">
        <f>IF(Table2[[#This Row],[GameIsOver]]=0,0,IF(Table2[[#This Row],[ActualWinner]]=Table2[[#This Row],[AwayTeam]], 1, 0))</f>
        <v>1</v>
      </c>
      <c r="AM76" s="2">
        <f>IF(Table2[[#This Row],[GameIsOver]]=0,0,IF(Table2[[#This Row],[ActualWinner]]=Table2[[#This Row],[HomeTeam]], 1, 0))</f>
        <v>0</v>
      </c>
      <c r="AN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" s="2" t="str">
        <f>INDEX(Sheet5!$B$2:$AG$33, MATCH(Table2[[#This Row],[AwayTeam]],Sheet5!$A$2:$A$33, 0), MATCH(Table2[[#This Row],[HomeTeam]],Sheet5!$A$2:$A$33, 0))</f>
        <v>1-0-0</v>
      </c>
      <c r="AP76" s="2" t="str">
        <f>INDEX(Sheet5!$B$2:$AG$33, MATCH(Table2[[#This Row],[HomeTeam]],Sheet5!$A$2:$A$33, 0), MATCH(Table2[[#This Row],[AwayTeam]],Sheet5!$A$2:$A$33, 0))</f>
        <v>0-0-1</v>
      </c>
      <c r="AQ76" s="2">
        <f>IF(Table2[[#This Row],[GameHasShutOut]], 1, 0)</f>
        <v>0</v>
      </c>
      <c r="AR76" s="2">
        <f>IF(Table2[[#This Row],[ActualAwayScore]] + Table2[[#This Row],[ActualHomeScore]] &gt;= 10, 1, 0)</f>
        <v>0</v>
      </c>
      <c r="AS76" s="2">
        <f>IF(ABS(Table2[[#This Row],[ActualAwayScore]]-Table2[[#This Row],[ActualHomeScore]])&gt;=5, 1, 0)</f>
        <v>0</v>
      </c>
      <c r="AT76" s="2">
        <f>IF(Table2[[#This Row],[ActualAwayScore]] + Table2[[#This Row],[ActualHomeScore]] &lt;= 3, 1, 0)</f>
        <v>0</v>
      </c>
      <c r="AU76" s="2"/>
      <c r="AV76" s="2"/>
    </row>
    <row r="77" spans="1:48" x14ac:dyDescent="0.25">
      <c r="A77" s="141">
        <v>45947</v>
      </c>
      <c r="B77" s="141">
        <v>45947</v>
      </c>
      <c r="C77" s="142">
        <v>2025020075</v>
      </c>
      <c r="D77" s="143" t="s">
        <v>37</v>
      </c>
      <c r="E77" s="143" t="s">
        <v>14</v>
      </c>
      <c r="F77" s="143">
        <v>3</v>
      </c>
      <c r="G77" s="143">
        <v>2</v>
      </c>
      <c r="H77" s="143" t="str">
        <f t="shared" si="9"/>
        <v>SJS</v>
      </c>
      <c r="I77" s="143" t="s">
        <v>718</v>
      </c>
      <c r="J77" s="143">
        <v>3</v>
      </c>
      <c r="K77" s="143">
        <v>6</v>
      </c>
      <c r="L77" s="143" t="str">
        <f t="shared" si="10"/>
        <v>UTA</v>
      </c>
      <c r="M77" s="143" t="s">
        <v>718</v>
      </c>
      <c r="N77" s="143">
        <f>IF(ISBLANK(Table2[[#This Row],[ActualResult]]), 0, 1)</f>
        <v>1</v>
      </c>
      <c r="O77" s="143" t="str">
        <f>IF(ISBLANK(Table2[[#This Row],[ActualResult]]), "_", IF(Table2[[#This Row],[ActualWinner]]=Table2[[#This Row],[PredictedWinner]], "Y", "N"))</f>
        <v>N</v>
      </c>
      <c r="P77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77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7" s="143">
        <v>1</v>
      </c>
      <c r="S77" s="143" t="str">
        <f t="shared" si="11"/>
        <v>SJS</v>
      </c>
      <c r="T77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" s="143">
        <f>IF(Table2[[#This Row],[InterConf]]=1,IF(Table2[[#This Row],[InterDiv]]=0, 1, 0), 0)</f>
        <v>1</v>
      </c>
      <c r="W77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" s="143"/>
      <c r="Y77" s="143"/>
      <c r="Z77" s="149">
        <f>IF(AND(Table2[[#This Row],[GameIsOver]]=1,Table2[[#This Row],[ActualHomeScore]]*Table2[[#This Row],[ActualAwayScore]]=0), 1,0)</f>
        <v>0</v>
      </c>
      <c r="AA77" s="149">
        <f>IF(Table2[[#This Row],[GameIsOver]]=0,0, IF(Table2[[#This Row],[ActualWinner]]=Table2[[#This Row],[AwayTeam]], 2, IF(OR(Table2[[#This Row],[ActualResult]]="OT", Table2[[#This Row],[ActualResult]]="SO"), 1, 0)))</f>
        <v>0</v>
      </c>
      <c r="AB77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77" s="144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77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77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7" s="143">
        <f>Table2[[#This Row],[ActualAwayScore]]-Table2[[#This Row],[PredictedAwayScore]]</f>
        <v>0</v>
      </c>
      <c r="AG77" s="143">
        <f>Table2[[#This Row],[ActualHomeScore]]-Table2[[#This Row],[PredictedHomeScore]]</f>
        <v>4</v>
      </c>
      <c r="AH77" s="143">
        <f t="shared" si="12"/>
        <v>-6</v>
      </c>
      <c r="AI77" s="143">
        <f t="shared" si="13"/>
        <v>-1</v>
      </c>
      <c r="AJ77" s="143">
        <v>4</v>
      </c>
      <c r="AK77" s="141">
        <v>45947</v>
      </c>
      <c r="AL77" s="143">
        <f>IF(Table2[[#This Row],[GameIsOver]]=0,0,IF(Table2[[#This Row],[ActualWinner]]=Table2[[#This Row],[AwayTeam]], 1, 0))</f>
        <v>0</v>
      </c>
      <c r="AM77" s="143">
        <f>IF(Table2[[#This Row],[GameIsOver]]=0,0,IF(Table2[[#This Row],[ActualWinner]]=Table2[[#This Row],[HomeTeam]], 1, 0))</f>
        <v>1</v>
      </c>
      <c r="AN77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77" s="143" t="str">
        <f>INDEX(Sheet5!$B$2:$AG$33, MATCH(Table2[[#This Row],[AwayTeam]],Sheet5!$A$2:$A$33, 0), MATCH(Table2[[#This Row],[HomeTeam]],Sheet5!$A$2:$A$33, 0))</f>
        <v>0-1-0</v>
      </c>
      <c r="AP77" s="143" t="str">
        <f>INDEX(Sheet5!$B$2:$AG$33, MATCH(Table2[[#This Row],[HomeTeam]],Sheet5!$A$2:$A$33, 0), MATCH(Table2[[#This Row],[AwayTeam]],Sheet5!$A$2:$A$33, 0))</f>
        <v>1-0-0</v>
      </c>
      <c r="AQ77" s="143">
        <f>IF(Table2[[#This Row],[GameHasShutOut]], 1, 0)</f>
        <v>0</v>
      </c>
      <c r="AR77" s="143">
        <f>IF(Table2[[#This Row],[ActualAwayScore]] + Table2[[#This Row],[ActualHomeScore]] &gt;= 10, 1, 0)</f>
        <v>0</v>
      </c>
      <c r="AS77" s="143">
        <f>IF(ABS(Table2[[#This Row],[ActualAwayScore]]-Table2[[#This Row],[ActualHomeScore]])&gt;=5, 1, 0)</f>
        <v>0</v>
      </c>
      <c r="AT77" s="143">
        <f>IF(Table2[[#This Row],[ActualAwayScore]] + Table2[[#This Row],[ActualHomeScore]] &lt;= 3, 1, 0)</f>
        <v>0</v>
      </c>
      <c r="AU77" s="2"/>
      <c r="AV77" s="2"/>
    </row>
    <row r="78" spans="1:48" x14ac:dyDescent="0.25">
      <c r="A78" s="3">
        <v>45948</v>
      </c>
      <c r="B78" s="3">
        <v>45948</v>
      </c>
      <c r="C78" s="5">
        <v>2025020076</v>
      </c>
      <c r="D78" s="2" t="s">
        <v>13</v>
      </c>
      <c r="E78" s="2" t="s">
        <v>28</v>
      </c>
      <c r="F78" s="2">
        <v>2</v>
      </c>
      <c r="G78" s="2">
        <v>4</v>
      </c>
      <c r="H78" s="2" t="str">
        <f t="shared" si="9"/>
        <v>BUF</v>
      </c>
      <c r="I78" s="2" t="s">
        <v>718</v>
      </c>
      <c r="J78" s="2">
        <v>0</v>
      </c>
      <c r="K78" s="2">
        <v>3</v>
      </c>
      <c r="L78" s="2" t="str">
        <f t="shared" si="10"/>
        <v>BUF</v>
      </c>
      <c r="M78" s="2" t="s">
        <v>718</v>
      </c>
      <c r="N78" s="2">
        <f>IF(ISBLANK(Table2[[#This Row],[ActualResult]]), 0, 1)</f>
        <v>1</v>
      </c>
      <c r="O78" s="2" t="str">
        <f>IF(ISBLANK(Table2[[#This Row],[ActualResult]]), "_", IF(Table2[[#This Row],[ActualWinner]]=Table2[[#This Row],[PredictedWinner]], "Y", "N"))</f>
        <v>Y</v>
      </c>
      <c r="P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8" s="2">
        <v>1</v>
      </c>
      <c r="S78" s="2" t="str">
        <f t="shared" si="11"/>
        <v>FLA</v>
      </c>
      <c r="T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8" s="2">
        <f>IF(Table2[[#This Row],[InterConf]]=1,IF(Table2[[#This Row],[InterDiv]]=0, 1, 0), 0)</f>
        <v>0</v>
      </c>
      <c r="W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8" s="2"/>
      <c r="Y78" s="2"/>
      <c r="Z78" s="145">
        <f>IF(AND(Table2[[#This Row],[GameIsOver]]=1,Table2[[#This Row],[ActualHomeScore]]*Table2[[#This Row],[ActualAwayScore]]=0), 1,0)</f>
        <v>1</v>
      </c>
      <c r="AA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7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8" s="2">
        <f>Table2[[#This Row],[ActualAwayScore]]-Table2[[#This Row],[PredictedAwayScore]]</f>
        <v>-2</v>
      </c>
      <c r="AG78" s="2">
        <f>Table2[[#This Row],[ActualHomeScore]]-Table2[[#This Row],[PredictedHomeScore]]</f>
        <v>-1</v>
      </c>
      <c r="AH78" s="2">
        <f t="shared" si="12"/>
        <v>-4</v>
      </c>
      <c r="AI78" s="2">
        <f t="shared" si="13"/>
        <v>2</v>
      </c>
      <c r="AJ78" s="2">
        <v>1</v>
      </c>
      <c r="AK78" s="3">
        <v>45948</v>
      </c>
      <c r="AL78" s="2">
        <f>IF(Table2[[#This Row],[GameIsOver]]=0,0,IF(Table2[[#This Row],[ActualWinner]]=Table2[[#This Row],[AwayTeam]], 1, 0))</f>
        <v>0</v>
      </c>
      <c r="AM78" s="2">
        <f>IF(Table2[[#This Row],[GameIsOver]]=0,0,IF(Table2[[#This Row],[ActualWinner]]=Table2[[#This Row],[HomeTeam]], 1, 0))</f>
        <v>1</v>
      </c>
      <c r="AN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" s="2" t="str">
        <f>INDEX(Sheet5!$B$2:$AG$33, MATCH(Table2[[#This Row],[AwayTeam]],Sheet5!$A$2:$A$33, 0), MATCH(Table2[[#This Row],[HomeTeam]],Sheet5!$A$2:$A$33, 0))</f>
        <v>0-1-0</v>
      </c>
      <c r="AP78" s="2" t="str">
        <f>INDEX(Sheet5!$B$2:$AG$33, MATCH(Table2[[#This Row],[HomeTeam]],Sheet5!$A$2:$A$33, 0), MATCH(Table2[[#This Row],[AwayTeam]],Sheet5!$A$2:$A$33, 0))</f>
        <v>1-0-0</v>
      </c>
      <c r="AQ78" s="2">
        <f>IF(Table2[[#This Row],[GameHasShutOut]], 1, 0)</f>
        <v>1</v>
      </c>
      <c r="AR78" s="2">
        <f>IF(Table2[[#This Row],[ActualAwayScore]] + Table2[[#This Row],[ActualHomeScore]] &gt;= 10, 1, 0)</f>
        <v>0</v>
      </c>
      <c r="AS78" s="2">
        <f>IF(ABS(Table2[[#This Row],[ActualAwayScore]]-Table2[[#This Row],[ActualHomeScore]])&gt;=5, 1, 0)</f>
        <v>0</v>
      </c>
      <c r="AT78" s="2">
        <f>IF(Table2[[#This Row],[ActualAwayScore]] + Table2[[#This Row],[ActualHomeScore]] &lt;= 3, 1, 0)</f>
        <v>1</v>
      </c>
      <c r="AU78" s="2"/>
      <c r="AV78" s="2"/>
    </row>
    <row r="79" spans="1:48" x14ac:dyDescent="0.25">
      <c r="A79" s="3">
        <v>45948</v>
      </c>
      <c r="B79" s="3">
        <v>45948</v>
      </c>
      <c r="C79" s="5">
        <v>2025020077</v>
      </c>
      <c r="D79" s="2" t="s">
        <v>32</v>
      </c>
      <c r="E79" s="2" t="s">
        <v>29</v>
      </c>
      <c r="F79" s="2">
        <v>1</v>
      </c>
      <c r="G79" s="2">
        <v>2</v>
      </c>
      <c r="H79" s="2" t="str">
        <f t="shared" si="9"/>
        <v>OTT</v>
      </c>
      <c r="I79" s="2" t="s">
        <v>719</v>
      </c>
      <c r="J79" s="2">
        <v>5</v>
      </c>
      <c r="K79" s="2">
        <v>4</v>
      </c>
      <c r="L79" s="2" t="str">
        <f t="shared" si="10"/>
        <v>NYI</v>
      </c>
      <c r="M79" s="2" t="s">
        <v>718</v>
      </c>
      <c r="N79" s="2">
        <f>IF(ISBLANK(Table2[[#This Row],[ActualResult]]), 0, 1)</f>
        <v>1</v>
      </c>
      <c r="O79" s="2" t="str">
        <f>IF(ISBLANK(Table2[[#This Row],[ActualResult]]), "_", IF(Table2[[#This Row],[ActualWinner]]=Table2[[#This Row],[PredictedWinner]], "Y", "N"))</f>
        <v>N</v>
      </c>
      <c r="P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9" s="2">
        <v>1</v>
      </c>
      <c r="S79" s="2" t="str">
        <f t="shared" si="11"/>
        <v>OTT</v>
      </c>
      <c r="T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" s="2">
        <f>IF(Table2[[#This Row],[InterConf]]=1,IF(Table2[[#This Row],[InterDiv]]=0, 1, 0), 0)</f>
        <v>1</v>
      </c>
      <c r="W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" s="2"/>
      <c r="Y79" s="2"/>
      <c r="Z79" s="145">
        <f>IF(AND(Table2[[#This Row],[GameIsOver]]=1,Table2[[#This Row],[ActualHomeScore]]*Table2[[#This Row],[ActualAwayScore]]=0), 1,0)</f>
        <v>0</v>
      </c>
      <c r="AA79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9" s="2">
        <f>Table2[[#This Row],[ActualAwayScore]]-Table2[[#This Row],[PredictedAwayScore]]</f>
        <v>4</v>
      </c>
      <c r="AG79" s="2">
        <f>Table2[[#This Row],[ActualHomeScore]]-Table2[[#This Row],[PredictedHomeScore]]</f>
        <v>2</v>
      </c>
      <c r="AH79" s="2">
        <f t="shared" si="12"/>
        <v>-4</v>
      </c>
      <c r="AI79" s="2">
        <f t="shared" si="13"/>
        <v>2</v>
      </c>
      <c r="AJ79" s="2">
        <v>2</v>
      </c>
      <c r="AK79" s="3">
        <v>45948</v>
      </c>
      <c r="AL79" s="2">
        <f>IF(Table2[[#This Row],[GameIsOver]]=0,0,IF(Table2[[#This Row],[ActualWinner]]=Table2[[#This Row],[AwayTeam]], 1, 0))</f>
        <v>1</v>
      </c>
      <c r="AM79" s="2">
        <f>IF(Table2[[#This Row],[GameIsOver]]=0,0,IF(Table2[[#This Row],[ActualWinner]]=Table2[[#This Row],[HomeTeam]], 1, 0))</f>
        <v>0</v>
      </c>
      <c r="AN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" s="2" t="str">
        <f>INDEX(Sheet5!$B$2:$AG$33, MATCH(Table2[[#This Row],[AwayTeam]],Sheet5!$A$2:$A$33, 0), MATCH(Table2[[#This Row],[HomeTeam]],Sheet5!$A$2:$A$33, 0))</f>
        <v>1-0-0</v>
      </c>
      <c r="AP79" s="2" t="str">
        <f>INDEX(Sheet5!$B$2:$AG$33, MATCH(Table2[[#This Row],[HomeTeam]],Sheet5!$A$2:$A$33, 0), MATCH(Table2[[#This Row],[AwayTeam]],Sheet5!$A$2:$A$33, 0))</f>
        <v>0-1-0</v>
      </c>
      <c r="AQ79" s="2">
        <f>IF(Table2[[#This Row],[GameHasShutOut]], 1, 0)</f>
        <v>0</v>
      </c>
      <c r="AR79" s="2">
        <f>IF(Table2[[#This Row],[ActualAwayScore]] + Table2[[#This Row],[ActualHomeScore]] &gt;= 10, 1, 0)</f>
        <v>0</v>
      </c>
      <c r="AS79" s="2">
        <f>IF(ABS(Table2[[#This Row],[ActualAwayScore]]-Table2[[#This Row],[ActualHomeScore]])&gt;=5, 1, 0)</f>
        <v>0</v>
      </c>
      <c r="AT79" s="2">
        <f>IF(Table2[[#This Row],[ActualAwayScore]] + Table2[[#This Row],[ActualHomeScore]] &lt;= 3, 1, 0)</f>
        <v>0</v>
      </c>
      <c r="AU79" s="2"/>
      <c r="AV79" s="2"/>
    </row>
    <row r="80" spans="1:48" x14ac:dyDescent="0.25">
      <c r="A80" s="3">
        <v>45948</v>
      </c>
      <c r="B80" s="3">
        <v>45948</v>
      </c>
      <c r="C80" s="5">
        <v>2025020078</v>
      </c>
      <c r="D80" s="2" t="s">
        <v>22</v>
      </c>
      <c r="E80" s="2" t="s">
        <v>31</v>
      </c>
      <c r="F80" s="2">
        <v>3</v>
      </c>
      <c r="G80" s="2">
        <v>4</v>
      </c>
      <c r="H80" s="2" t="str">
        <f t="shared" si="9"/>
        <v>NJD</v>
      </c>
      <c r="I80" s="2" t="s">
        <v>718</v>
      </c>
      <c r="J80" s="2">
        <v>3</v>
      </c>
      <c r="K80" s="2">
        <v>5</v>
      </c>
      <c r="L80" s="2" t="str">
        <f t="shared" si="10"/>
        <v>NJD</v>
      </c>
      <c r="M80" s="2" t="s">
        <v>718</v>
      </c>
      <c r="N80" s="2">
        <f>IF(ISBLANK(Table2[[#This Row],[ActualResult]]), 0, 1)</f>
        <v>1</v>
      </c>
      <c r="O80" s="2" t="str">
        <f>IF(ISBLANK(Table2[[#This Row],[ActualResult]]), "_", IF(Table2[[#This Row],[ActualWinner]]=Table2[[#This Row],[PredictedWinner]], "Y", "N"))</f>
        <v>Y</v>
      </c>
      <c r="P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0" s="2">
        <v>1</v>
      </c>
      <c r="S80" s="2" t="str">
        <f t="shared" si="11"/>
        <v>EDM</v>
      </c>
      <c r="T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" s="2">
        <f>IF(Table2[[#This Row],[InterConf]]=1,IF(Table2[[#This Row],[InterDiv]]=0, 1, 0), 0)</f>
        <v>0</v>
      </c>
      <c r="W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" s="2"/>
      <c r="Y80" s="2"/>
      <c r="Z80" s="145">
        <f>IF(AND(Table2[[#This Row],[GameIsOver]]=1,Table2[[#This Row],[ActualHomeScore]]*Table2[[#This Row],[ActualAwayScore]]=0), 1,0)</f>
        <v>0</v>
      </c>
      <c r="AA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0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" s="2">
        <f>Table2[[#This Row],[ActualAwayScore]]-Table2[[#This Row],[PredictedAwayScore]]</f>
        <v>0</v>
      </c>
      <c r="AG80" s="2">
        <f>Table2[[#This Row],[ActualHomeScore]]-Table2[[#This Row],[PredictedHomeScore]]</f>
        <v>1</v>
      </c>
      <c r="AH80" s="2">
        <f t="shared" si="12"/>
        <v>-4</v>
      </c>
      <c r="AI80" s="2">
        <f t="shared" si="13"/>
        <v>2</v>
      </c>
      <c r="AJ80" s="2">
        <v>3</v>
      </c>
      <c r="AK80" s="3">
        <v>45948</v>
      </c>
      <c r="AL80" s="2">
        <f>IF(Table2[[#This Row],[GameIsOver]]=0,0,IF(Table2[[#This Row],[ActualWinner]]=Table2[[#This Row],[AwayTeam]], 1, 0))</f>
        <v>0</v>
      </c>
      <c r="AM80" s="2">
        <f>IF(Table2[[#This Row],[GameIsOver]]=0,0,IF(Table2[[#This Row],[ActualWinner]]=Table2[[#This Row],[HomeTeam]], 1, 0))</f>
        <v>1</v>
      </c>
      <c r="AN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" s="2" t="str">
        <f>INDEX(Sheet5!$B$2:$AG$33, MATCH(Table2[[#This Row],[AwayTeam]],Sheet5!$A$2:$A$33, 0), MATCH(Table2[[#This Row],[HomeTeam]],Sheet5!$A$2:$A$33, 0))</f>
        <v>0-1-0</v>
      </c>
      <c r="AP80" s="2" t="str">
        <f>INDEX(Sheet5!$B$2:$AG$33, MATCH(Table2[[#This Row],[HomeTeam]],Sheet5!$A$2:$A$33, 0), MATCH(Table2[[#This Row],[AwayTeam]],Sheet5!$A$2:$A$33, 0))</f>
        <v>1-0-0</v>
      </c>
      <c r="AQ80" s="2">
        <f>IF(Table2[[#This Row],[GameHasShutOut]], 1, 0)</f>
        <v>0</v>
      </c>
      <c r="AR80" s="2">
        <f>IF(Table2[[#This Row],[ActualAwayScore]] + Table2[[#This Row],[ActualHomeScore]] &gt;= 10, 1, 0)</f>
        <v>0</v>
      </c>
      <c r="AS80" s="2">
        <f>IF(ABS(Table2[[#This Row],[ActualAwayScore]]-Table2[[#This Row],[ActualHomeScore]])&gt;=5, 1, 0)</f>
        <v>0</v>
      </c>
      <c r="AT80" s="2">
        <f>IF(Table2[[#This Row],[ActualAwayScore]] + Table2[[#This Row],[ActualHomeScore]] &lt;= 3, 1, 0)</f>
        <v>0</v>
      </c>
      <c r="AU80" s="2"/>
      <c r="AV80" s="2"/>
    </row>
    <row r="81" spans="1:48" x14ac:dyDescent="0.25">
      <c r="A81" s="3">
        <v>45948</v>
      </c>
      <c r="B81" s="3">
        <v>45948</v>
      </c>
      <c r="C81" s="5">
        <v>2025020079</v>
      </c>
      <c r="D81" s="2" t="s">
        <v>11</v>
      </c>
      <c r="E81" s="2" t="s">
        <v>17</v>
      </c>
      <c r="F81" s="2">
        <v>3</v>
      </c>
      <c r="G81" s="2">
        <v>4</v>
      </c>
      <c r="H81" s="2" t="str">
        <f t="shared" si="9"/>
        <v>TOR</v>
      </c>
      <c r="I81" s="2" t="s">
        <v>720</v>
      </c>
      <c r="J81" s="2">
        <v>4</v>
      </c>
      <c r="K81" s="2">
        <v>3</v>
      </c>
      <c r="L81" s="2" t="str">
        <f t="shared" si="10"/>
        <v>SEA</v>
      </c>
      <c r="M81" s="2" t="s">
        <v>720</v>
      </c>
      <c r="N81" s="2">
        <f>IF(ISBLANK(Table2[[#This Row],[ActualResult]]), 0, 1)</f>
        <v>1</v>
      </c>
      <c r="O81" s="2" t="str">
        <f>IF(ISBLANK(Table2[[#This Row],[ActualResult]]), "_", IF(Table2[[#This Row],[ActualWinner]]=Table2[[#This Row],[PredictedWinner]], "Y", "N"))</f>
        <v>N</v>
      </c>
      <c r="P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1" s="2">
        <v>1</v>
      </c>
      <c r="S81" s="2" t="str">
        <f t="shared" si="11"/>
        <v>TOR</v>
      </c>
      <c r="T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" s="2">
        <f>IF(Table2[[#This Row],[InterConf]]=1,IF(Table2[[#This Row],[InterDiv]]=0, 1, 0), 0)</f>
        <v>0</v>
      </c>
      <c r="W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" s="2"/>
      <c r="Y81" s="2"/>
      <c r="Z81" s="145">
        <f>IF(AND(Table2[[#This Row],[GameIsOver]]=1,Table2[[#This Row],[ActualHomeScore]]*Table2[[#This Row],[ActualAwayScore]]=0), 1,0)</f>
        <v>0</v>
      </c>
      <c r="AA8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81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0.68</v>
      </c>
      <c r="AE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" s="2">
        <f>Table2[[#This Row],[ActualAwayScore]]-Table2[[#This Row],[PredictedAwayScore]]</f>
        <v>1</v>
      </c>
      <c r="AG81" s="2">
        <f>Table2[[#This Row],[ActualHomeScore]]-Table2[[#This Row],[PredictedHomeScore]]</f>
        <v>-1</v>
      </c>
      <c r="AH81" s="2">
        <f t="shared" si="12"/>
        <v>-4</v>
      </c>
      <c r="AI81" s="2">
        <f t="shared" si="13"/>
        <v>2</v>
      </c>
      <c r="AJ81" s="2">
        <v>4</v>
      </c>
      <c r="AK81" s="3">
        <v>45948</v>
      </c>
      <c r="AL81" s="2">
        <f>IF(Table2[[#This Row],[GameIsOver]]=0,0,IF(Table2[[#This Row],[ActualWinner]]=Table2[[#This Row],[AwayTeam]], 1, 0))</f>
        <v>1</v>
      </c>
      <c r="AM81" s="2">
        <f>IF(Table2[[#This Row],[GameIsOver]]=0,0,IF(Table2[[#This Row],[ActualWinner]]=Table2[[#This Row],[HomeTeam]], 1, 0))</f>
        <v>0</v>
      </c>
      <c r="AN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" s="2" t="str">
        <f>INDEX(Sheet5!$B$2:$AG$33, MATCH(Table2[[#This Row],[AwayTeam]],Sheet5!$A$2:$A$33, 0), MATCH(Table2[[#This Row],[HomeTeam]],Sheet5!$A$2:$A$33, 0))</f>
        <v>1-0-0</v>
      </c>
      <c r="AP81" s="2" t="str">
        <f>INDEX(Sheet5!$B$2:$AG$33, MATCH(Table2[[#This Row],[HomeTeam]],Sheet5!$A$2:$A$33, 0), MATCH(Table2[[#This Row],[AwayTeam]],Sheet5!$A$2:$A$33, 0))</f>
        <v>0-0-1</v>
      </c>
      <c r="AQ81" s="2">
        <f>IF(Table2[[#This Row],[GameHasShutOut]], 1, 0)</f>
        <v>0</v>
      </c>
      <c r="AR81" s="2">
        <f>IF(Table2[[#This Row],[ActualAwayScore]] + Table2[[#This Row],[ActualHomeScore]] &gt;= 10, 1, 0)</f>
        <v>0</v>
      </c>
      <c r="AS81" s="2">
        <f>IF(ABS(Table2[[#This Row],[ActualAwayScore]]-Table2[[#This Row],[ActualHomeScore]])&gt;=5, 1, 0)</f>
        <v>0</v>
      </c>
      <c r="AT81" s="2">
        <f>IF(Table2[[#This Row],[ActualAwayScore]] + Table2[[#This Row],[ActualHomeScore]] &lt;= 3, 1, 0)</f>
        <v>0</v>
      </c>
      <c r="AU81" s="2"/>
      <c r="AV81" s="2"/>
    </row>
    <row r="82" spans="1:48" x14ac:dyDescent="0.25">
      <c r="A82" s="3">
        <v>45948</v>
      </c>
      <c r="B82" s="3">
        <v>45948</v>
      </c>
      <c r="C82" s="5">
        <v>2025020080</v>
      </c>
      <c r="D82" s="2" t="s">
        <v>19</v>
      </c>
      <c r="E82" s="2" t="s">
        <v>18</v>
      </c>
      <c r="F82" s="2">
        <v>1</v>
      </c>
      <c r="G82" s="2">
        <v>2</v>
      </c>
      <c r="H82" s="2" t="str">
        <f t="shared" si="9"/>
        <v>MTL</v>
      </c>
      <c r="I82" s="2" t="s">
        <v>719</v>
      </c>
      <c r="J82" s="2">
        <v>4</v>
      </c>
      <c r="K82" s="2">
        <v>3</v>
      </c>
      <c r="L82" s="2" t="str">
        <f t="shared" si="10"/>
        <v>NYR</v>
      </c>
      <c r="M82" s="2" t="s">
        <v>718</v>
      </c>
      <c r="N82" s="2">
        <f>IF(ISBLANK(Table2[[#This Row],[ActualResult]]), 0, 1)</f>
        <v>1</v>
      </c>
      <c r="O82" s="2" t="str">
        <f>IF(ISBLANK(Table2[[#This Row],[ActualResult]]), "_", IF(Table2[[#This Row],[ActualWinner]]=Table2[[#This Row],[PredictedWinner]], "Y", "N"))</f>
        <v>N</v>
      </c>
      <c r="P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2" s="2">
        <v>1</v>
      </c>
      <c r="S82" s="2" t="str">
        <f t="shared" si="11"/>
        <v>MTL</v>
      </c>
      <c r="T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" s="2">
        <f>IF(Table2[[#This Row],[InterConf]]=1,IF(Table2[[#This Row],[InterDiv]]=0, 1, 0), 0)</f>
        <v>1</v>
      </c>
      <c r="W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" s="2"/>
      <c r="Y82" s="2"/>
      <c r="Z82" s="145">
        <f>IF(AND(Table2[[#This Row],[GameIsOver]]=1,Table2[[#This Row],[ActualHomeScore]]*Table2[[#This Row],[ActualAwayScore]]=0), 1,0)</f>
        <v>0</v>
      </c>
      <c r="AA8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2" s="2">
        <f>Table2[[#This Row],[ActualAwayScore]]-Table2[[#This Row],[PredictedAwayScore]]</f>
        <v>3</v>
      </c>
      <c r="AG82" s="2">
        <f>Table2[[#This Row],[ActualHomeScore]]-Table2[[#This Row],[PredictedHomeScore]]</f>
        <v>1</v>
      </c>
      <c r="AH82" s="2">
        <f t="shared" si="12"/>
        <v>-4</v>
      </c>
      <c r="AI82" s="2">
        <f t="shared" si="13"/>
        <v>2</v>
      </c>
      <c r="AJ82" s="2">
        <v>5</v>
      </c>
      <c r="AK82" s="3">
        <v>45948</v>
      </c>
      <c r="AL82" s="2">
        <f>IF(Table2[[#This Row],[GameIsOver]]=0,0,IF(Table2[[#This Row],[ActualWinner]]=Table2[[#This Row],[AwayTeam]], 1, 0))</f>
        <v>1</v>
      </c>
      <c r="AM82" s="2">
        <f>IF(Table2[[#This Row],[GameIsOver]]=0,0,IF(Table2[[#This Row],[ActualWinner]]=Table2[[#This Row],[HomeTeam]], 1, 0))</f>
        <v>0</v>
      </c>
      <c r="AN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" s="2" t="str">
        <f>INDEX(Sheet5!$B$2:$AG$33, MATCH(Table2[[#This Row],[AwayTeam]],Sheet5!$A$2:$A$33, 0), MATCH(Table2[[#This Row],[HomeTeam]],Sheet5!$A$2:$A$33, 0))</f>
        <v>1-0-0</v>
      </c>
      <c r="AP82" s="2" t="str">
        <f>INDEX(Sheet5!$B$2:$AG$33, MATCH(Table2[[#This Row],[HomeTeam]],Sheet5!$A$2:$A$33, 0), MATCH(Table2[[#This Row],[AwayTeam]],Sheet5!$A$2:$A$33, 0))</f>
        <v>0-1-0</v>
      </c>
      <c r="AQ82" s="2">
        <f>IF(Table2[[#This Row],[GameHasShutOut]], 1, 0)</f>
        <v>0</v>
      </c>
      <c r="AR82" s="2">
        <f>IF(Table2[[#This Row],[ActualAwayScore]] + Table2[[#This Row],[ActualHomeScore]] &gt;= 10, 1, 0)</f>
        <v>0</v>
      </c>
      <c r="AS82" s="2">
        <f>IF(ABS(Table2[[#This Row],[ActualAwayScore]]-Table2[[#This Row],[ActualHomeScore]])&gt;=5, 1, 0)</f>
        <v>0</v>
      </c>
      <c r="AT82" s="2">
        <f>IF(Table2[[#This Row],[ActualAwayScore]] + Table2[[#This Row],[ActualHomeScore]] &lt;= 3, 1, 0)</f>
        <v>0</v>
      </c>
      <c r="AU82" s="2"/>
      <c r="AV82" s="2"/>
    </row>
    <row r="83" spans="1:48" x14ac:dyDescent="0.25">
      <c r="A83" s="3">
        <v>45948</v>
      </c>
      <c r="B83" s="3">
        <v>45948</v>
      </c>
      <c r="C83" s="5">
        <v>2025020081</v>
      </c>
      <c r="D83" s="2" t="s">
        <v>36</v>
      </c>
      <c r="E83" s="2" t="s">
        <v>42</v>
      </c>
      <c r="F83" s="2">
        <v>5</v>
      </c>
      <c r="G83" s="2">
        <v>2</v>
      </c>
      <c r="H83" s="2" t="str">
        <f t="shared" si="9"/>
        <v>MIN</v>
      </c>
      <c r="I83" s="2" t="s">
        <v>718</v>
      </c>
      <c r="J83" s="2">
        <v>1</v>
      </c>
      <c r="K83" s="2">
        <v>2</v>
      </c>
      <c r="L83" s="2" t="str">
        <f t="shared" si="10"/>
        <v>PHI</v>
      </c>
      <c r="M83" s="2" t="s">
        <v>720</v>
      </c>
      <c r="N83" s="2">
        <f>IF(ISBLANK(Table2[[#This Row],[ActualResult]]), 0, 1)</f>
        <v>1</v>
      </c>
      <c r="O83" s="2" t="str">
        <f>IF(ISBLANK(Table2[[#This Row],[ActualResult]]), "_", IF(Table2[[#This Row],[ActualWinner]]=Table2[[#This Row],[PredictedWinner]], "Y", "N"))</f>
        <v>N</v>
      </c>
      <c r="P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83" s="2">
        <v>1</v>
      </c>
      <c r="S83" s="2" t="str">
        <f t="shared" si="11"/>
        <v>MIN</v>
      </c>
      <c r="T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" s="2">
        <f>IF(Table2[[#This Row],[InterConf]]=1,IF(Table2[[#This Row],[InterDiv]]=0, 1, 0), 0)</f>
        <v>0</v>
      </c>
      <c r="W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" s="2"/>
      <c r="Y83" s="2"/>
      <c r="Z83" s="145">
        <f>IF(AND(Table2[[#This Row],[GameIsOver]]=1,Table2[[#This Row],[ActualHomeScore]]*Table2[[#This Row],[ActualAwayScore]]=0), 1,0)</f>
        <v>0</v>
      </c>
      <c r="AA83" s="145">
        <f>IF(Table2[[#This Row],[GameIsOver]]=0,0, IF(Table2[[#This Row],[ActualWinner]]=Table2[[#This Row],[AwayTeam]], 2, IF(OR(Table2[[#This Row],[ActualResult]]="OT", Table2[[#This Row],[ActualResult]]="SO"), 1, 0)))</f>
        <v>1</v>
      </c>
      <c r="AB83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3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3" s="2">
        <f>Table2[[#This Row],[ActualAwayScore]]-Table2[[#This Row],[PredictedAwayScore]]</f>
        <v>-4</v>
      </c>
      <c r="AG83" s="2">
        <f>Table2[[#This Row],[ActualHomeScore]]-Table2[[#This Row],[PredictedHomeScore]]</f>
        <v>0</v>
      </c>
      <c r="AH83" s="2">
        <f t="shared" si="12"/>
        <v>-4</v>
      </c>
      <c r="AI83" s="2">
        <f t="shared" si="13"/>
        <v>2</v>
      </c>
      <c r="AJ83" s="2">
        <v>8</v>
      </c>
      <c r="AK83" s="3">
        <v>45948</v>
      </c>
      <c r="AL83" s="2">
        <f>IF(Table2[[#This Row],[GameIsOver]]=0,0,IF(Table2[[#This Row],[ActualWinner]]=Table2[[#This Row],[AwayTeam]], 1, 0))</f>
        <v>0</v>
      </c>
      <c r="AM83" s="2">
        <f>IF(Table2[[#This Row],[GameIsOver]]=0,0,IF(Table2[[#This Row],[ActualWinner]]=Table2[[#This Row],[HomeTeam]], 1, 0))</f>
        <v>1</v>
      </c>
      <c r="AN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" s="2" t="str">
        <f>INDEX(Sheet5!$B$2:$AG$33, MATCH(Table2[[#This Row],[AwayTeam]],Sheet5!$A$2:$A$33, 0), MATCH(Table2[[#This Row],[HomeTeam]],Sheet5!$A$2:$A$33, 0))</f>
        <v>0-0-1</v>
      </c>
      <c r="AP83" s="2" t="str">
        <f>INDEX(Sheet5!$B$2:$AG$33, MATCH(Table2[[#This Row],[HomeTeam]],Sheet5!$A$2:$A$33, 0), MATCH(Table2[[#This Row],[AwayTeam]],Sheet5!$A$2:$A$33, 0))</f>
        <v>1-0-0</v>
      </c>
      <c r="AQ83" s="2">
        <f>IF(Table2[[#This Row],[GameHasShutOut]], 1, 0)</f>
        <v>0</v>
      </c>
      <c r="AR83" s="2">
        <f>IF(Table2[[#This Row],[ActualAwayScore]] + Table2[[#This Row],[ActualHomeScore]] &gt;= 10, 1, 0)</f>
        <v>0</v>
      </c>
      <c r="AS83" s="2">
        <f>IF(ABS(Table2[[#This Row],[ActualAwayScore]]-Table2[[#This Row],[ActualHomeScore]])&gt;=5, 1, 0)</f>
        <v>0</v>
      </c>
      <c r="AT83" s="2">
        <f>IF(Table2[[#This Row],[ActualAwayScore]] + Table2[[#This Row],[ActualHomeScore]] &lt;= 3, 1, 0)</f>
        <v>1</v>
      </c>
      <c r="AU83" s="2"/>
      <c r="AV83" s="2"/>
    </row>
    <row r="84" spans="1:48" x14ac:dyDescent="0.25">
      <c r="A84" s="3">
        <v>45948</v>
      </c>
      <c r="B84" s="3">
        <v>45948</v>
      </c>
      <c r="C84" s="5">
        <v>2025020082</v>
      </c>
      <c r="D84" s="2" t="s">
        <v>40</v>
      </c>
      <c r="E84" s="2" t="s">
        <v>35</v>
      </c>
      <c r="F84" s="2">
        <v>3</v>
      </c>
      <c r="G84" s="2">
        <v>2</v>
      </c>
      <c r="H84" s="2" t="str">
        <f t="shared" si="9"/>
        <v>TBL</v>
      </c>
      <c r="I84" s="2" t="s">
        <v>718</v>
      </c>
      <c r="J84" s="2">
        <v>2</v>
      </c>
      <c r="K84" s="2">
        <v>3</v>
      </c>
      <c r="L84" s="2" t="str">
        <f t="shared" si="10"/>
        <v>CBJ</v>
      </c>
      <c r="M84" s="2" t="s">
        <v>718</v>
      </c>
      <c r="N84" s="2">
        <f>IF(ISBLANK(Table2[[#This Row],[ActualResult]]), 0, 1)</f>
        <v>1</v>
      </c>
      <c r="O84" s="2" t="str">
        <f>IF(ISBLANK(Table2[[#This Row],[ActualResult]]), "_", IF(Table2[[#This Row],[ActualWinner]]=Table2[[#This Row],[PredictedWinner]], "Y", "N"))</f>
        <v>N</v>
      </c>
      <c r="P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4" s="2">
        <v>1</v>
      </c>
      <c r="S84" s="2" t="str">
        <f t="shared" si="11"/>
        <v>TBL</v>
      </c>
      <c r="T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" s="2">
        <f>IF(Table2[[#This Row],[InterConf]]=1,IF(Table2[[#This Row],[InterDiv]]=0, 1, 0), 0)</f>
        <v>1</v>
      </c>
      <c r="W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" s="2"/>
      <c r="Y84" s="2"/>
      <c r="Z84" s="145">
        <f>IF(AND(Table2[[#This Row],[GameIsOver]]=1,Table2[[#This Row],[ActualHomeScore]]*Table2[[#This Row],[ActualAwayScore]]=0), 1,0)</f>
        <v>0</v>
      </c>
      <c r="AA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4" s="2">
        <f>Table2[[#This Row],[ActualAwayScore]]-Table2[[#This Row],[PredictedAwayScore]]</f>
        <v>-1</v>
      </c>
      <c r="AG84" s="2">
        <f>Table2[[#This Row],[ActualHomeScore]]-Table2[[#This Row],[PredictedHomeScore]]</f>
        <v>1</v>
      </c>
      <c r="AH84" s="2">
        <f t="shared" si="12"/>
        <v>-4</v>
      </c>
      <c r="AI84" s="2">
        <f t="shared" si="13"/>
        <v>2</v>
      </c>
      <c r="AJ84" s="2">
        <v>9</v>
      </c>
      <c r="AK84" s="3">
        <v>45948</v>
      </c>
      <c r="AL84" s="2">
        <f>IF(Table2[[#This Row],[GameIsOver]]=0,0,IF(Table2[[#This Row],[ActualWinner]]=Table2[[#This Row],[AwayTeam]], 1, 0))</f>
        <v>0</v>
      </c>
      <c r="AM84" s="2">
        <f>IF(Table2[[#This Row],[GameIsOver]]=0,0,IF(Table2[[#This Row],[ActualWinner]]=Table2[[#This Row],[HomeTeam]], 1, 0))</f>
        <v>1</v>
      </c>
      <c r="AN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" s="2" t="str">
        <f>INDEX(Sheet5!$B$2:$AG$33, MATCH(Table2[[#This Row],[AwayTeam]],Sheet5!$A$2:$A$33, 0), MATCH(Table2[[#This Row],[HomeTeam]],Sheet5!$A$2:$A$33, 0))</f>
        <v>0-1-0</v>
      </c>
      <c r="AP84" s="2" t="str">
        <f>INDEX(Sheet5!$B$2:$AG$33, MATCH(Table2[[#This Row],[HomeTeam]],Sheet5!$A$2:$A$33, 0), MATCH(Table2[[#This Row],[AwayTeam]],Sheet5!$A$2:$A$33, 0))</f>
        <v>1-0-0</v>
      </c>
      <c r="AQ84" s="2">
        <f>IF(Table2[[#This Row],[GameHasShutOut]], 1, 0)</f>
        <v>0</v>
      </c>
      <c r="AR84" s="2">
        <f>IF(Table2[[#This Row],[ActualAwayScore]] + Table2[[#This Row],[ActualHomeScore]] &gt;= 10, 1, 0)</f>
        <v>0</v>
      </c>
      <c r="AS84" s="2">
        <f>IF(ABS(Table2[[#This Row],[ActualAwayScore]]-Table2[[#This Row],[ActualHomeScore]])&gt;=5, 1, 0)</f>
        <v>0</v>
      </c>
      <c r="AT84" s="2">
        <f>IF(Table2[[#This Row],[ActualAwayScore]] + Table2[[#This Row],[ActualHomeScore]] &lt;= 3, 1, 0)</f>
        <v>0</v>
      </c>
      <c r="AU84" s="2"/>
      <c r="AV84" s="2"/>
    </row>
    <row r="85" spans="1:48" x14ac:dyDescent="0.25">
      <c r="A85" s="3">
        <v>45948</v>
      </c>
      <c r="B85" s="3">
        <v>45948</v>
      </c>
      <c r="C85" s="5">
        <v>2025020083</v>
      </c>
      <c r="D85" s="2" t="s">
        <v>33</v>
      </c>
      <c r="E85" s="2" t="s">
        <v>12</v>
      </c>
      <c r="F85" s="2">
        <v>4</v>
      </c>
      <c r="G85" s="2">
        <v>2</v>
      </c>
      <c r="H85" s="2" t="str">
        <f t="shared" si="9"/>
        <v>DAL</v>
      </c>
      <c r="I85" s="2" t="s">
        <v>718</v>
      </c>
      <c r="J85" s="2">
        <v>1</v>
      </c>
      <c r="K85" s="2">
        <v>3</v>
      </c>
      <c r="L85" s="2" t="str">
        <f t="shared" si="10"/>
        <v>STL</v>
      </c>
      <c r="M85" s="2" t="s">
        <v>718</v>
      </c>
      <c r="N85" s="2">
        <f>IF(ISBLANK(Table2[[#This Row],[ActualResult]]), 0, 1)</f>
        <v>1</v>
      </c>
      <c r="O85" s="2" t="str">
        <f>IF(ISBLANK(Table2[[#This Row],[ActualResult]]), "_", IF(Table2[[#This Row],[ActualWinner]]=Table2[[#This Row],[PredictedWinner]], "Y", "N"))</f>
        <v>N</v>
      </c>
      <c r="P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5" s="2">
        <v>1</v>
      </c>
      <c r="S85" s="2" t="str">
        <f t="shared" si="11"/>
        <v>DAL</v>
      </c>
      <c r="T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" s="2">
        <f>IF(Table2[[#This Row],[InterConf]]=1,IF(Table2[[#This Row],[InterDiv]]=0, 1, 0), 0)</f>
        <v>0</v>
      </c>
      <c r="W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" s="2"/>
      <c r="Y85" s="2"/>
      <c r="Z85" s="145">
        <f>IF(AND(Table2[[#This Row],[GameIsOver]]=1,Table2[[#This Row],[ActualHomeScore]]*Table2[[#This Row],[ActualAwayScore]]=0), 1,0)</f>
        <v>0</v>
      </c>
      <c r="AA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5" s="2">
        <f>Table2[[#This Row],[ActualAwayScore]]-Table2[[#This Row],[PredictedAwayScore]]</f>
        <v>-3</v>
      </c>
      <c r="AG85" s="2">
        <f>Table2[[#This Row],[ActualHomeScore]]-Table2[[#This Row],[PredictedHomeScore]]</f>
        <v>1</v>
      </c>
      <c r="AH85" s="2">
        <f t="shared" si="12"/>
        <v>-4</v>
      </c>
      <c r="AI85" s="2">
        <f t="shared" si="13"/>
        <v>2</v>
      </c>
      <c r="AJ85" s="2">
        <v>7</v>
      </c>
      <c r="AK85" s="3">
        <v>45948</v>
      </c>
      <c r="AL85" s="2">
        <f>IF(Table2[[#This Row],[GameIsOver]]=0,0,IF(Table2[[#This Row],[ActualWinner]]=Table2[[#This Row],[AwayTeam]], 1, 0))</f>
        <v>0</v>
      </c>
      <c r="AM85" s="2">
        <f>IF(Table2[[#This Row],[GameIsOver]]=0,0,IF(Table2[[#This Row],[ActualWinner]]=Table2[[#This Row],[HomeTeam]], 1, 0))</f>
        <v>1</v>
      </c>
      <c r="AN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" s="2" t="str">
        <f>INDEX(Sheet5!$B$2:$AG$33, MATCH(Table2[[#This Row],[AwayTeam]],Sheet5!$A$2:$A$33, 0), MATCH(Table2[[#This Row],[HomeTeam]],Sheet5!$A$2:$A$33, 0))</f>
        <v>0-1-0</v>
      </c>
      <c r="AP85" s="2" t="str">
        <f>INDEX(Sheet5!$B$2:$AG$33, MATCH(Table2[[#This Row],[HomeTeam]],Sheet5!$A$2:$A$33, 0), MATCH(Table2[[#This Row],[AwayTeam]],Sheet5!$A$2:$A$33, 0))</f>
        <v>1-0-0</v>
      </c>
      <c r="AQ85" s="2">
        <f>IF(Table2[[#This Row],[GameHasShutOut]], 1, 0)</f>
        <v>0</v>
      </c>
      <c r="AR85" s="2">
        <f>IF(Table2[[#This Row],[ActualAwayScore]] + Table2[[#This Row],[ActualHomeScore]] &gt;= 10, 1, 0)</f>
        <v>0</v>
      </c>
      <c r="AS85" s="2">
        <f>IF(ABS(Table2[[#This Row],[ActualAwayScore]]-Table2[[#This Row],[ActualHomeScore]])&gt;=5, 1, 0)</f>
        <v>0</v>
      </c>
      <c r="AT85" s="2">
        <f>IF(Table2[[#This Row],[ActualAwayScore]] + Table2[[#This Row],[ActualHomeScore]] &lt;= 3, 1, 0)</f>
        <v>0</v>
      </c>
      <c r="AU85" s="2"/>
      <c r="AV85" s="2"/>
    </row>
    <row r="86" spans="1:48" x14ac:dyDescent="0.25">
      <c r="A86" s="3">
        <v>45948</v>
      </c>
      <c r="B86" s="3">
        <v>45948</v>
      </c>
      <c r="C86" s="5">
        <v>2025020084</v>
      </c>
      <c r="D86" s="2" t="s">
        <v>34</v>
      </c>
      <c r="E86" s="2" t="s">
        <v>21</v>
      </c>
      <c r="F86" s="2">
        <v>1</v>
      </c>
      <c r="G86" s="2">
        <v>4</v>
      </c>
      <c r="H86" s="2" t="str">
        <f t="shared" si="9"/>
        <v>WPG</v>
      </c>
      <c r="I86" s="2" t="s">
        <v>718</v>
      </c>
      <c r="J86" s="2">
        <v>1</v>
      </c>
      <c r="K86" s="2">
        <v>4</v>
      </c>
      <c r="L86" s="2" t="str">
        <f t="shared" si="10"/>
        <v>WPG</v>
      </c>
      <c r="M86" s="2" t="s">
        <v>718</v>
      </c>
      <c r="N86" s="2">
        <f>IF(ISBLANK(Table2[[#This Row],[ActualResult]]), 0, 1)</f>
        <v>1</v>
      </c>
      <c r="O86" s="2" t="str">
        <f>IF(ISBLANK(Table2[[#This Row],[ActualResult]]), "_", IF(Table2[[#This Row],[ActualWinner]]=Table2[[#This Row],[PredictedWinner]], "Y", "N"))</f>
        <v>Y</v>
      </c>
      <c r="P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86" s="2">
        <v>1</v>
      </c>
      <c r="S86" s="2" t="str">
        <f t="shared" si="11"/>
        <v>NSH</v>
      </c>
      <c r="T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" s="2">
        <f>IF(Table2[[#This Row],[InterConf]]=1,IF(Table2[[#This Row],[InterDiv]]=0, 1, 0), 0)</f>
        <v>0</v>
      </c>
      <c r="W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" s="2"/>
      <c r="Y86" s="2"/>
      <c r="Z86" s="145">
        <f>IF(AND(Table2[[#This Row],[GameIsOver]]=1,Table2[[#This Row],[ActualHomeScore]]*Table2[[#This Row],[ActualAwayScore]]=0), 1,0)</f>
        <v>0</v>
      </c>
      <c r="AA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6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" s="2">
        <f>Table2[[#This Row],[ActualAwayScore]]-Table2[[#This Row],[PredictedAwayScore]]</f>
        <v>0</v>
      </c>
      <c r="AG86" s="2">
        <f>Table2[[#This Row],[ActualHomeScore]]-Table2[[#This Row],[PredictedHomeScore]]</f>
        <v>0</v>
      </c>
      <c r="AH86" s="2">
        <f t="shared" si="12"/>
        <v>-4</v>
      </c>
      <c r="AI86" s="2">
        <f t="shared" si="13"/>
        <v>2</v>
      </c>
      <c r="AJ86" s="2">
        <v>6</v>
      </c>
      <c r="AK86" s="3">
        <v>45948</v>
      </c>
      <c r="AL86" s="2">
        <f>IF(Table2[[#This Row],[GameIsOver]]=0,0,IF(Table2[[#This Row],[ActualWinner]]=Table2[[#This Row],[AwayTeam]], 1, 0))</f>
        <v>0</v>
      </c>
      <c r="AM86" s="2">
        <f>IF(Table2[[#This Row],[GameIsOver]]=0,0,IF(Table2[[#This Row],[ActualWinner]]=Table2[[#This Row],[HomeTeam]], 1, 0))</f>
        <v>1</v>
      </c>
      <c r="AN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" s="2" t="str">
        <f>INDEX(Sheet5!$B$2:$AG$33, MATCH(Table2[[#This Row],[AwayTeam]],Sheet5!$A$2:$A$33, 0), MATCH(Table2[[#This Row],[HomeTeam]],Sheet5!$A$2:$A$33, 0))</f>
        <v>0-1-0</v>
      </c>
      <c r="AP86" s="2" t="str">
        <f>INDEX(Sheet5!$B$2:$AG$33, MATCH(Table2[[#This Row],[HomeTeam]],Sheet5!$A$2:$A$33, 0), MATCH(Table2[[#This Row],[AwayTeam]],Sheet5!$A$2:$A$33, 0))</f>
        <v>1-0-0</v>
      </c>
      <c r="AQ86" s="2">
        <f>IF(Table2[[#This Row],[GameHasShutOut]], 1, 0)</f>
        <v>0</v>
      </c>
      <c r="AR86" s="2">
        <f>IF(Table2[[#This Row],[ActualAwayScore]] + Table2[[#This Row],[ActualHomeScore]] &gt;= 10, 1, 0)</f>
        <v>0</v>
      </c>
      <c r="AS86" s="2">
        <f>IF(ABS(Table2[[#This Row],[ActualAwayScore]]-Table2[[#This Row],[ActualHomeScore]])&gt;=5, 1, 0)</f>
        <v>0</v>
      </c>
      <c r="AT86" s="2">
        <f>IF(Table2[[#This Row],[ActualAwayScore]] + Table2[[#This Row],[ActualHomeScore]] &lt;= 3, 1, 0)</f>
        <v>0</v>
      </c>
      <c r="AU86" s="2"/>
      <c r="AV86" s="2"/>
    </row>
    <row r="87" spans="1:48" x14ac:dyDescent="0.25">
      <c r="A87" s="3">
        <v>45948</v>
      </c>
      <c r="B87" s="3">
        <v>45948</v>
      </c>
      <c r="C87" s="5">
        <v>2025020085</v>
      </c>
      <c r="D87" s="2" t="s">
        <v>15</v>
      </c>
      <c r="E87" s="2" t="s">
        <v>25</v>
      </c>
      <c r="F87" s="2">
        <v>2</v>
      </c>
      <c r="G87" s="2">
        <v>5</v>
      </c>
      <c r="H87" s="2" t="str">
        <f t="shared" si="9"/>
        <v>COL</v>
      </c>
      <c r="I87" s="2" t="s">
        <v>718</v>
      </c>
      <c r="J87" s="2">
        <v>1</v>
      </c>
      <c r="K87" s="2">
        <v>4</v>
      </c>
      <c r="L87" s="2" t="str">
        <f t="shared" si="10"/>
        <v>COL</v>
      </c>
      <c r="M87" s="2" t="s">
        <v>718</v>
      </c>
      <c r="N87" s="2">
        <f>IF(ISBLANK(Table2[[#This Row],[ActualResult]]), 0, 1)</f>
        <v>1</v>
      </c>
      <c r="O87" s="2" t="str">
        <f>IF(ISBLANK(Table2[[#This Row],[ActualResult]]), "_", IF(Table2[[#This Row],[ActualWinner]]=Table2[[#This Row],[PredictedWinner]], "Y", "N"))</f>
        <v>Y</v>
      </c>
      <c r="P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7" s="2">
        <v>1</v>
      </c>
      <c r="S87" s="2" t="str">
        <f t="shared" si="11"/>
        <v>BOS</v>
      </c>
      <c r="T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" s="2">
        <f>IF(Table2[[#This Row],[InterConf]]=1,IF(Table2[[#This Row],[InterDiv]]=0, 1, 0), 0)</f>
        <v>0</v>
      </c>
      <c r="W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" s="2"/>
      <c r="Y87" s="2"/>
      <c r="Z87" s="145">
        <f>IF(AND(Table2[[#This Row],[GameIsOver]]=1,Table2[[#This Row],[ActualHomeScore]]*Table2[[#This Row],[ActualAwayScore]]=0), 1,0)</f>
        <v>0</v>
      </c>
      <c r="AA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7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7" s="2">
        <f>Table2[[#This Row],[ActualAwayScore]]-Table2[[#This Row],[PredictedAwayScore]]</f>
        <v>-1</v>
      </c>
      <c r="AG87" s="2">
        <f>Table2[[#This Row],[ActualHomeScore]]-Table2[[#This Row],[PredictedHomeScore]]</f>
        <v>-1</v>
      </c>
      <c r="AH87" s="2">
        <f t="shared" si="12"/>
        <v>-4</v>
      </c>
      <c r="AI87" s="2">
        <f t="shared" si="13"/>
        <v>2</v>
      </c>
      <c r="AJ87" s="2">
        <v>10</v>
      </c>
      <c r="AK87" s="3">
        <v>45948</v>
      </c>
      <c r="AL87" s="2">
        <f>IF(Table2[[#This Row],[GameIsOver]]=0,0,IF(Table2[[#This Row],[ActualWinner]]=Table2[[#This Row],[AwayTeam]], 1, 0))</f>
        <v>0</v>
      </c>
      <c r="AM87" s="2">
        <f>IF(Table2[[#This Row],[GameIsOver]]=0,0,IF(Table2[[#This Row],[ActualWinner]]=Table2[[#This Row],[HomeTeam]], 1, 0))</f>
        <v>1</v>
      </c>
      <c r="AN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" s="2" t="str">
        <f>INDEX(Sheet5!$B$2:$AG$33, MATCH(Table2[[#This Row],[AwayTeam]],Sheet5!$A$2:$A$33, 0), MATCH(Table2[[#This Row],[HomeTeam]],Sheet5!$A$2:$A$33, 0))</f>
        <v>0-1-0</v>
      </c>
      <c r="AP87" s="2" t="str">
        <f>INDEX(Sheet5!$B$2:$AG$33, MATCH(Table2[[#This Row],[HomeTeam]],Sheet5!$A$2:$A$33, 0), MATCH(Table2[[#This Row],[AwayTeam]],Sheet5!$A$2:$A$33, 0))</f>
        <v>1-0-0</v>
      </c>
      <c r="AQ87" s="2">
        <f>IF(Table2[[#This Row],[GameHasShutOut]], 1, 0)</f>
        <v>0</v>
      </c>
      <c r="AR87" s="2">
        <f>IF(Table2[[#This Row],[ActualAwayScore]] + Table2[[#This Row],[ActualHomeScore]] &gt;= 10, 1, 0)</f>
        <v>0</v>
      </c>
      <c r="AS87" s="2">
        <f>IF(ABS(Table2[[#This Row],[ActualAwayScore]]-Table2[[#This Row],[ActualHomeScore]])&gt;=5, 1, 0)</f>
        <v>0</v>
      </c>
      <c r="AT87" s="2">
        <f>IF(Table2[[#This Row],[ActualAwayScore]] + Table2[[#This Row],[ActualHomeScore]] &lt;= 3, 1, 0)</f>
        <v>0</v>
      </c>
      <c r="AU87" s="2"/>
      <c r="AV87" s="2"/>
    </row>
    <row r="88" spans="1:48" x14ac:dyDescent="0.25">
      <c r="A88" s="3">
        <v>45948</v>
      </c>
      <c r="B88" s="3">
        <v>45948</v>
      </c>
      <c r="C88" s="5">
        <v>2025020086</v>
      </c>
      <c r="D88" s="2" t="s">
        <v>41</v>
      </c>
      <c r="E88" s="2" t="s">
        <v>27</v>
      </c>
      <c r="F88" s="2">
        <v>3</v>
      </c>
      <c r="G88" s="2">
        <v>2</v>
      </c>
      <c r="H88" s="2" t="str">
        <f t="shared" si="9"/>
        <v>CAR</v>
      </c>
      <c r="I88" s="2" t="s">
        <v>718</v>
      </c>
      <c r="J88" s="2">
        <v>4</v>
      </c>
      <c r="K88" s="2">
        <v>3</v>
      </c>
      <c r="L88" s="2" t="str">
        <f t="shared" si="10"/>
        <v>CAR</v>
      </c>
      <c r="M88" s="2" t="s">
        <v>720</v>
      </c>
      <c r="N88" s="2">
        <f>IF(ISBLANK(Table2[[#This Row],[ActualResult]]), 0, 1)</f>
        <v>1</v>
      </c>
      <c r="O88" s="2" t="str">
        <f>IF(ISBLANK(Table2[[#This Row],[ActualResult]]), "_", IF(Table2[[#This Row],[ActualWinner]]=Table2[[#This Row],[PredictedWinner]], "Y", "N"))</f>
        <v>Y</v>
      </c>
      <c r="P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8" s="2">
        <v>1</v>
      </c>
      <c r="S88" s="2" t="str">
        <f t="shared" si="11"/>
        <v>LAK</v>
      </c>
      <c r="T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" s="2">
        <f>IF(Table2[[#This Row],[InterConf]]=1,IF(Table2[[#This Row],[InterDiv]]=0, 1, 0), 0)</f>
        <v>0</v>
      </c>
      <c r="W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" s="2"/>
      <c r="Y88" s="2"/>
      <c r="Z88" s="145">
        <f>IF(AND(Table2[[#This Row],[GameIsOver]]=1,Table2[[#This Row],[ActualHomeScore]]*Table2[[#This Row],[ActualAwayScore]]=0), 1,0)</f>
        <v>0</v>
      </c>
      <c r="AA8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88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8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8" s="2">
        <f>Table2[[#This Row],[ActualAwayScore]]-Table2[[#This Row],[PredictedAwayScore]]</f>
        <v>1</v>
      </c>
      <c r="AG88" s="2">
        <f>Table2[[#This Row],[ActualHomeScore]]-Table2[[#This Row],[PredictedHomeScore]]</f>
        <v>1</v>
      </c>
      <c r="AH88" s="2">
        <f t="shared" si="12"/>
        <v>-4</v>
      </c>
      <c r="AI88" s="2">
        <f t="shared" si="13"/>
        <v>2</v>
      </c>
      <c r="AJ88" s="2">
        <v>11</v>
      </c>
      <c r="AK88" s="3">
        <v>45948</v>
      </c>
      <c r="AL88" s="2">
        <f>IF(Table2[[#This Row],[GameIsOver]]=0,0,IF(Table2[[#This Row],[ActualWinner]]=Table2[[#This Row],[AwayTeam]], 1, 0))</f>
        <v>1</v>
      </c>
      <c r="AM88" s="2">
        <f>IF(Table2[[#This Row],[GameIsOver]]=0,0,IF(Table2[[#This Row],[ActualWinner]]=Table2[[#This Row],[HomeTeam]], 1, 0))</f>
        <v>0</v>
      </c>
      <c r="AN88" s="2">
        <f>IF(IFERROR(FIND(Table2[[#This Row],[AwayTeam]], _xlfn.TEXTJOIN(";", 1, $BD$31:$BD$40)), 0) &gt; 0, 1, 0) + IF(IFERROR(FIND(Table2[[#This Row],[HomeTeam]], _xlfn.TEXTJOIN(";", 1, $BD$31:$BD$40)), 0) &gt; 0, 1, 0)</f>
        <v>1</v>
      </c>
      <c r="AO88" s="2" t="str">
        <f>INDEX(Sheet5!$B$2:$AG$33, MATCH(Table2[[#This Row],[AwayTeam]],Sheet5!$A$2:$A$33, 0), MATCH(Table2[[#This Row],[HomeTeam]],Sheet5!$A$2:$A$33, 0))</f>
        <v>1-0-0</v>
      </c>
      <c r="AP88" s="2" t="str">
        <f>INDEX(Sheet5!$B$2:$AG$33, MATCH(Table2[[#This Row],[HomeTeam]],Sheet5!$A$2:$A$33, 0), MATCH(Table2[[#This Row],[AwayTeam]],Sheet5!$A$2:$A$33, 0))</f>
        <v>0-0-1</v>
      </c>
      <c r="AQ88" s="2">
        <f>IF(Table2[[#This Row],[GameHasShutOut]], 1, 0)</f>
        <v>0</v>
      </c>
      <c r="AR88" s="2">
        <f>IF(Table2[[#This Row],[ActualAwayScore]] + Table2[[#This Row],[ActualHomeScore]] &gt;= 10, 1, 0)</f>
        <v>0</v>
      </c>
      <c r="AS88" s="2">
        <f>IF(ABS(Table2[[#This Row],[ActualAwayScore]]-Table2[[#This Row],[ActualHomeScore]])&gt;=5, 1, 0)</f>
        <v>0</v>
      </c>
      <c r="AT88" s="2">
        <f>IF(Table2[[#This Row],[ActualAwayScore]] + Table2[[#This Row],[ActualHomeScore]] &lt;= 3, 1, 0)</f>
        <v>0</v>
      </c>
      <c r="AU88" s="2"/>
      <c r="AV88" s="2"/>
    </row>
    <row r="89" spans="1:48" x14ac:dyDescent="0.25">
      <c r="A89" s="3">
        <v>45948</v>
      </c>
      <c r="B89" s="3">
        <v>45948</v>
      </c>
      <c r="C89" s="5">
        <v>2025020087</v>
      </c>
      <c r="D89" s="2" t="s">
        <v>23</v>
      </c>
      <c r="E89" s="2" t="s">
        <v>26</v>
      </c>
      <c r="F89" s="2">
        <v>3</v>
      </c>
      <c r="G89" s="2">
        <v>4</v>
      </c>
      <c r="H89" s="2" t="str">
        <f t="shared" si="9"/>
        <v>VGK</v>
      </c>
      <c r="I89" s="2" t="s">
        <v>720</v>
      </c>
      <c r="J89" s="2">
        <v>1</v>
      </c>
      <c r="K89" s="2">
        <v>6</v>
      </c>
      <c r="L89" s="2" t="str">
        <f t="shared" si="10"/>
        <v>VGK</v>
      </c>
      <c r="M89" s="2" t="s">
        <v>718</v>
      </c>
      <c r="N89" s="2">
        <f>IF(ISBLANK(Table2[[#This Row],[ActualResult]]), 0, 1)</f>
        <v>1</v>
      </c>
      <c r="O89" s="2" t="str">
        <f>IF(ISBLANK(Table2[[#This Row],[ActualResult]]), "_", IF(Table2[[#This Row],[ActualWinner]]=Table2[[#This Row],[PredictedWinner]], "Y", "N"))</f>
        <v>Y</v>
      </c>
      <c r="P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9" s="2">
        <v>1</v>
      </c>
      <c r="S89" s="2" t="str">
        <f t="shared" si="11"/>
        <v>CGY</v>
      </c>
      <c r="T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" s="2">
        <f>IF(Table2[[#This Row],[InterConf]]=1,IF(Table2[[#This Row],[InterDiv]]=0, 1, 0), 0)</f>
        <v>0</v>
      </c>
      <c r="W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" s="2"/>
      <c r="Y89" s="2"/>
      <c r="Z89" s="145">
        <f>IF(AND(Table2[[#This Row],[GameIsOver]]=1,Table2[[#This Row],[ActualHomeScore]]*Table2[[#This Row],[ActualAwayScore]]=0), 1,0)</f>
        <v>0</v>
      </c>
      <c r="AA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9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9" s="2">
        <f>Table2[[#This Row],[ActualAwayScore]]-Table2[[#This Row],[PredictedAwayScore]]</f>
        <v>-2</v>
      </c>
      <c r="AG89" s="2">
        <f>Table2[[#This Row],[ActualHomeScore]]-Table2[[#This Row],[PredictedHomeScore]]</f>
        <v>2</v>
      </c>
      <c r="AH89" s="2">
        <f t="shared" si="12"/>
        <v>-4</v>
      </c>
      <c r="AI89" s="2">
        <f t="shared" si="13"/>
        <v>2</v>
      </c>
      <c r="AJ89" s="2">
        <v>12</v>
      </c>
      <c r="AK89" s="3">
        <v>45948</v>
      </c>
      <c r="AL89" s="2">
        <f>IF(Table2[[#This Row],[GameIsOver]]=0,0,IF(Table2[[#This Row],[ActualWinner]]=Table2[[#This Row],[AwayTeam]], 1, 0))</f>
        <v>0</v>
      </c>
      <c r="AM89" s="2">
        <f>IF(Table2[[#This Row],[GameIsOver]]=0,0,IF(Table2[[#This Row],[ActualWinner]]=Table2[[#This Row],[HomeTeam]], 1, 0))</f>
        <v>1</v>
      </c>
      <c r="AN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" s="2" t="str">
        <f>INDEX(Sheet5!$B$2:$AG$33, MATCH(Table2[[#This Row],[AwayTeam]],Sheet5!$A$2:$A$33, 0), MATCH(Table2[[#This Row],[HomeTeam]],Sheet5!$A$2:$A$33, 0))</f>
        <v>0-2-0</v>
      </c>
      <c r="AP89" s="2" t="str">
        <f>INDEX(Sheet5!$B$2:$AG$33, MATCH(Table2[[#This Row],[HomeTeam]],Sheet5!$A$2:$A$33, 0), MATCH(Table2[[#This Row],[AwayTeam]],Sheet5!$A$2:$A$33, 0))</f>
        <v>2-0-0</v>
      </c>
      <c r="AQ89" s="2">
        <f>IF(Table2[[#This Row],[GameHasShutOut]], 1, 0)</f>
        <v>0</v>
      </c>
      <c r="AR89" s="2">
        <f>IF(Table2[[#This Row],[ActualAwayScore]] + Table2[[#This Row],[ActualHomeScore]] &gt;= 10, 1, 0)</f>
        <v>0</v>
      </c>
      <c r="AS89" s="2">
        <f>IF(ABS(Table2[[#This Row],[ActualAwayScore]]-Table2[[#This Row],[ActualHomeScore]])&gt;=5, 1, 0)</f>
        <v>1</v>
      </c>
      <c r="AT89" s="2">
        <f>IF(Table2[[#This Row],[ActualAwayScore]] + Table2[[#This Row],[ActualHomeScore]] &lt;= 3, 1, 0)</f>
        <v>0</v>
      </c>
      <c r="AU89" s="2"/>
      <c r="AV89" s="2"/>
    </row>
    <row r="90" spans="1:48" x14ac:dyDescent="0.25">
      <c r="A90" s="141">
        <v>45948</v>
      </c>
      <c r="B90" s="141">
        <v>45948</v>
      </c>
      <c r="C90" s="142">
        <v>2025020088</v>
      </c>
      <c r="D90" s="143" t="s">
        <v>20</v>
      </c>
      <c r="E90" s="143" t="s">
        <v>37</v>
      </c>
      <c r="F90" s="143">
        <v>3</v>
      </c>
      <c r="G90" s="143">
        <v>4</v>
      </c>
      <c r="H90" s="143" t="str">
        <f t="shared" si="9"/>
        <v>SJS</v>
      </c>
      <c r="I90" s="143" t="s">
        <v>719</v>
      </c>
      <c r="J90" s="143">
        <v>3</v>
      </c>
      <c r="K90" s="143">
        <v>0</v>
      </c>
      <c r="L90" s="143" t="str">
        <f t="shared" si="10"/>
        <v>PIT</v>
      </c>
      <c r="M90" s="143" t="s">
        <v>718</v>
      </c>
      <c r="N90" s="143">
        <f>IF(ISBLANK(Table2[[#This Row],[ActualResult]]), 0, 1)</f>
        <v>1</v>
      </c>
      <c r="O90" s="143" t="str">
        <f>IF(ISBLANK(Table2[[#This Row],[ActualResult]]), "_", IF(Table2[[#This Row],[ActualWinner]]=Table2[[#This Row],[PredictedWinner]], "Y", "N"))</f>
        <v>N</v>
      </c>
      <c r="P90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90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0" s="143">
        <v>1</v>
      </c>
      <c r="S90" s="143" t="str">
        <f t="shared" si="11"/>
        <v>SJS</v>
      </c>
      <c r="T90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0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" s="143">
        <f>IF(Table2[[#This Row],[InterConf]]=1,IF(Table2[[#This Row],[InterDiv]]=0, 1, 0), 0)</f>
        <v>0</v>
      </c>
      <c r="W90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0" s="143"/>
      <c r="Y90" s="143"/>
      <c r="Z90" s="149">
        <f>IF(AND(Table2[[#This Row],[GameIsOver]]=1,Table2[[#This Row],[ActualHomeScore]]*Table2[[#This Row],[ActualAwayScore]]=0), 1,0)</f>
        <v>1</v>
      </c>
      <c r="AA90" s="149">
        <f>IF(Table2[[#This Row],[GameIsOver]]=0,0, IF(Table2[[#This Row],[ActualWinner]]=Table2[[#This Row],[AwayTeam]], 2, IF(OR(Table2[[#This Row],[ActualResult]]="OT", Table2[[#This Row],[ActualResult]]="SO"), 1, 0)))</f>
        <v>2</v>
      </c>
      <c r="AB90" s="149">
        <f>IF(Table2[[#This Row],[GameIsOver]]= 0, 0, IF(Table2[[#This Row],[ActualWinner]]=Table2[[#This Row],[HomeTeam]], 2, IF(OR(Table2[[#This Row],[ActualResult]]="OT", Table2[[#This Row],[ActualResult]]="SO"), 1, 0)))</f>
        <v>0</v>
      </c>
      <c r="AC90" s="144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90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90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0" s="143">
        <f>Table2[[#This Row],[ActualAwayScore]]-Table2[[#This Row],[PredictedAwayScore]]</f>
        <v>0</v>
      </c>
      <c r="AG90" s="143">
        <f>Table2[[#This Row],[ActualHomeScore]]-Table2[[#This Row],[PredictedHomeScore]]</f>
        <v>-4</v>
      </c>
      <c r="AH90" s="143">
        <f t="shared" si="12"/>
        <v>-4</v>
      </c>
      <c r="AI90" s="143">
        <f t="shared" si="13"/>
        <v>2</v>
      </c>
      <c r="AJ90" s="143">
        <v>13</v>
      </c>
      <c r="AK90" s="141">
        <v>45948</v>
      </c>
      <c r="AL90" s="143">
        <f>IF(Table2[[#This Row],[GameIsOver]]=0,0,IF(Table2[[#This Row],[ActualWinner]]=Table2[[#This Row],[AwayTeam]], 1, 0))</f>
        <v>1</v>
      </c>
      <c r="AM90" s="143">
        <f>IF(Table2[[#This Row],[GameIsOver]]=0,0,IF(Table2[[#This Row],[ActualWinner]]=Table2[[#This Row],[HomeTeam]], 1, 0))</f>
        <v>0</v>
      </c>
      <c r="AN90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90" s="143" t="str">
        <f>INDEX(Sheet5!$B$2:$AG$33, MATCH(Table2[[#This Row],[AwayTeam]],Sheet5!$A$2:$A$33, 0), MATCH(Table2[[#This Row],[HomeTeam]],Sheet5!$A$2:$A$33, 0))</f>
        <v>1-0-0</v>
      </c>
      <c r="AP90" s="143" t="str">
        <f>INDEX(Sheet5!$B$2:$AG$33, MATCH(Table2[[#This Row],[HomeTeam]],Sheet5!$A$2:$A$33, 0), MATCH(Table2[[#This Row],[AwayTeam]],Sheet5!$A$2:$A$33, 0))</f>
        <v>0-1-0</v>
      </c>
      <c r="AQ90" s="143">
        <f>IF(Table2[[#This Row],[GameHasShutOut]], 1, 0)</f>
        <v>1</v>
      </c>
      <c r="AR90" s="143">
        <f>IF(Table2[[#This Row],[ActualAwayScore]] + Table2[[#This Row],[ActualHomeScore]] &gt;= 10, 1, 0)</f>
        <v>0</v>
      </c>
      <c r="AS90" s="143">
        <f>IF(ABS(Table2[[#This Row],[ActualAwayScore]]-Table2[[#This Row],[ActualHomeScore]])&gt;=5, 1, 0)</f>
        <v>0</v>
      </c>
      <c r="AT90" s="143">
        <f>IF(Table2[[#This Row],[ActualAwayScore]] + Table2[[#This Row],[ActualHomeScore]] &lt;= 3, 1, 0)</f>
        <v>1</v>
      </c>
      <c r="AU90" s="2"/>
      <c r="AV90" s="2"/>
    </row>
    <row r="91" spans="1:48" x14ac:dyDescent="0.25">
      <c r="A91" s="3">
        <v>45949</v>
      </c>
      <c r="B91" s="3">
        <v>45949</v>
      </c>
      <c r="C91" s="5">
        <v>2025020089</v>
      </c>
      <c r="D91" s="2" t="s">
        <v>24</v>
      </c>
      <c r="E91" s="2" t="s">
        <v>43</v>
      </c>
      <c r="F91" s="2">
        <v>3</v>
      </c>
      <c r="G91" s="2">
        <v>4</v>
      </c>
      <c r="H91" s="2" t="str">
        <f t="shared" si="9"/>
        <v>WSH</v>
      </c>
      <c r="I91" s="2" t="s">
        <v>720</v>
      </c>
      <c r="J91" s="2">
        <v>4</v>
      </c>
      <c r="K91" s="2">
        <v>3</v>
      </c>
      <c r="L91" s="2" t="str">
        <f t="shared" si="10"/>
        <v>VAN</v>
      </c>
      <c r="M91" s="2" t="s">
        <v>718</v>
      </c>
      <c r="N91" s="2">
        <f>IF(ISBLANK(Table2[[#This Row],[ActualResult]]), 0, 1)</f>
        <v>1</v>
      </c>
      <c r="O91" s="2" t="str">
        <f>IF(ISBLANK(Table2[[#This Row],[ActualResult]]), "_", IF(Table2[[#This Row],[ActualWinner]]=Table2[[#This Row],[PredictedWinner]], "Y", "N"))</f>
        <v>N</v>
      </c>
      <c r="P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1" s="2">
        <v>0</v>
      </c>
      <c r="S91" s="2" t="str">
        <f t="shared" si="11"/>
        <v>WSH</v>
      </c>
      <c r="T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" s="2">
        <f>IF(Table2[[#This Row],[InterConf]]=1,IF(Table2[[#This Row],[InterDiv]]=0, 1, 0), 0)</f>
        <v>0</v>
      </c>
      <c r="W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1" s="2"/>
      <c r="Y91" s="2"/>
      <c r="Z91" s="145">
        <f>IF(AND(Table2[[#This Row],[GameIsOver]]=1,Table2[[#This Row],[ActualHomeScore]]*Table2[[#This Row],[ActualAwayScore]]=0), 1,0)</f>
        <v>0</v>
      </c>
      <c r="AA9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1" s="2">
        <f>Table2[[#This Row],[ActualAwayScore]]-Table2[[#This Row],[PredictedAwayScore]]</f>
        <v>1</v>
      </c>
      <c r="AG91" s="2">
        <f>Table2[[#This Row],[ActualHomeScore]]-Table2[[#This Row],[PredictedHomeScore]]</f>
        <v>-1</v>
      </c>
      <c r="AH91" s="2">
        <f t="shared" si="12"/>
        <v>-3</v>
      </c>
      <c r="AI91" s="2">
        <f t="shared" si="13"/>
        <v>-2</v>
      </c>
      <c r="AJ91" s="2"/>
      <c r="AK91" s="2"/>
      <c r="AL91" s="2">
        <f>IF(Table2[[#This Row],[GameIsOver]]=0,0,IF(Table2[[#This Row],[ActualWinner]]=Table2[[#This Row],[AwayTeam]], 1, 0))</f>
        <v>1</v>
      </c>
      <c r="AM91" s="2">
        <f>IF(Table2[[#This Row],[GameIsOver]]=0,0,IF(Table2[[#This Row],[ActualWinner]]=Table2[[#This Row],[HomeTeam]], 1, 0))</f>
        <v>0</v>
      </c>
      <c r="AN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" s="2" t="str">
        <f>INDEX(Sheet5!$B$2:$AG$33, MATCH(Table2[[#This Row],[AwayTeam]],Sheet5!$A$2:$A$33, 0), MATCH(Table2[[#This Row],[HomeTeam]],Sheet5!$A$2:$A$33, 0))</f>
        <v>1-0-0</v>
      </c>
      <c r="AP91" s="2" t="str">
        <f>INDEX(Sheet5!$B$2:$AG$33, MATCH(Table2[[#This Row],[HomeTeam]],Sheet5!$A$2:$A$33, 0), MATCH(Table2[[#This Row],[AwayTeam]],Sheet5!$A$2:$A$33, 0))</f>
        <v>0-1-0</v>
      </c>
      <c r="AQ91" s="2">
        <f>IF(Table2[[#This Row],[GameHasShutOut]], 1, 0)</f>
        <v>0</v>
      </c>
      <c r="AR91" s="2">
        <f>IF(Table2[[#This Row],[ActualAwayScore]] + Table2[[#This Row],[ActualHomeScore]] &gt;= 10, 1, 0)</f>
        <v>0</v>
      </c>
      <c r="AS91" s="2">
        <f>IF(ABS(Table2[[#This Row],[ActualAwayScore]]-Table2[[#This Row],[ActualHomeScore]])&gt;=5, 1, 0)</f>
        <v>0</v>
      </c>
      <c r="AT91" s="2">
        <f>IF(Table2[[#This Row],[ActualAwayScore]] + Table2[[#This Row],[ActualHomeScore]] &lt;= 3, 1, 0)</f>
        <v>0</v>
      </c>
      <c r="AU91" s="2"/>
      <c r="AV91" s="2"/>
    </row>
    <row r="92" spans="1:48" x14ac:dyDescent="0.25">
      <c r="A92" s="3">
        <v>45949</v>
      </c>
      <c r="B92" s="3">
        <v>45949</v>
      </c>
      <c r="C92" s="5">
        <v>2025020090</v>
      </c>
      <c r="D92" s="2" t="s">
        <v>22</v>
      </c>
      <c r="E92" s="2" t="s">
        <v>30</v>
      </c>
      <c r="F92" s="2">
        <v>4</v>
      </c>
      <c r="G92" s="2">
        <v>3</v>
      </c>
      <c r="H92" s="2" t="str">
        <f t="shared" si="9"/>
        <v>EDM</v>
      </c>
      <c r="I92" s="2" t="s">
        <v>720</v>
      </c>
      <c r="J92" s="2">
        <v>2</v>
      </c>
      <c r="K92" s="2">
        <v>4</v>
      </c>
      <c r="L92" s="2" t="str">
        <f t="shared" si="10"/>
        <v>DET</v>
      </c>
      <c r="M92" s="2" t="s">
        <v>718</v>
      </c>
      <c r="N92" s="2">
        <f>IF(ISBLANK(Table2[[#This Row],[ActualResult]]), 0, 1)</f>
        <v>1</v>
      </c>
      <c r="O92" s="2" t="str">
        <f>IF(ISBLANK(Table2[[#This Row],[ActualResult]]), "_", IF(Table2[[#This Row],[ActualWinner]]=Table2[[#This Row],[PredictedWinner]], "Y", "N"))</f>
        <v>N</v>
      </c>
      <c r="P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2" s="2">
        <v>1</v>
      </c>
      <c r="S92" s="2" t="str">
        <f t="shared" si="11"/>
        <v>EDM</v>
      </c>
      <c r="T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" s="2">
        <f>IF(Table2[[#This Row],[InterConf]]=1,IF(Table2[[#This Row],[InterDiv]]=0, 1, 0), 0)</f>
        <v>0</v>
      </c>
      <c r="W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2" s="2"/>
      <c r="Y92" s="2"/>
      <c r="Z92" s="145">
        <f>IF(AND(Table2[[#This Row],[GameIsOver]]=1,Table2[[#This Row],[ActualHomeScore]]*Table2[[#This Row],[ActualAwayScore]]=0), 1,0)</f>
        <v>0</v>
      </c>
      <c r="AA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2" s="2">
        <f>Table2[[#This Row],[ActualAwayScore]]-Table2[[#This Row],[PredictedAwayScore]]</f>
        <v>-2</v>
      </c>
      <c r="AG92" s="2">
        <f>Table2[[#This Row],[ActualHomeScore]]-Table2[[#This Row],[PredictedHomeScore]]</f>
        <v>1</v>
      </c>
      <c r="AH92" s="2">
        <f t="shared" si="12"/>
        <v>-3</v>
      </c>
      <c r="AI92" s="2">
        <f t="shared" si="13"/>
        <v>-2</v>
      </c>
      <c r="AJ92" s="2">
        <v>1</v>
      </c>
      <c r="AK92" s="3">
        <v>45949</v>
      </c>
      <c r="AL92" s="2">
        <f>IF(Table2[[#This Row],[GameIsOver]]=0,0,IF(Table2[[#This Row],[ActualWinner]]=Table2[[#This Row],[AwayTeam]], 1, 0))</f>
        <v>0</v>
      </c>
      <c r="AM92" s="2">
        <f>IF(Table2[[#This Row],[GameIsOver]]=0,0,IF(Table2[[#This Row],[ActualWinner]]=Table2[[#This Row],[HomeTeam]], 1, 0))</f>
        <v>1</v>
      </c>
      <c r="AN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" s="2" t="str">
        <f>INDEX(Sheet5!$B$2:$AG$33, MATCH(Table2[[#This Row],[AwayTeam]],Sheet5!$A$2:$A$33, 0), MATCH(Table2[[#This Row],[HomeTeam]],Sheet5!$A$2:$A$33, 0))</f>
        <v>0-1-0</v>
      </c>
      <c r="AP92" s="2" t="str">
        <f>INDEX(Sheet5!$B$2:$AG$33, MATCH(Table2[[#This Row],[HomeTeam]],Sheet5!$A$2:$A$33, 0), MATCH(Table2[[#This Row],[AwayTeam]],Sheet5!$A$2:$A$33, 0))</f>
        <v>1-0-0</v>
      </c>
      <c r="AQ92" s="2">
        <f>IF(Table2[[#This Row],[GameHasShutOut]], 1, 0)</f>
        <v>0</v>
      </c>
      <c r="AR92" s="2">
        <f>IF(Table2[[#This Row],[ActualAwayScore]] + Table2[[#This Row],[ActualHomeScore]] &gt;= 10, 1, 0)</f>
        <v>0</v>
      </c>
      <c r="AS92" s="2">
        <f>IF(ABS(Table2[[#This Row],[ActualAwayScore]]-Table2[[#This Row],[ActualHomeScore]])&gt;=5, 1, 0)</f>
        <v>0</v>
      </c>
      <c r="AT92" s="2">
        <f>IF(Table2[[#This Row],[ActualAwayScore]] + Table2[[#This Row],[ActualHomeScore]] &lt;= 3, 1, 0)</f>
        <v>0</v>
      </c>
      <c r="AU92" s="2"/>
      <c r="AV92" s="2"/>
    </row>
    <row r="93" spans="1:48" x14ac:dyDescent="0.25">
      <c r="A93" s="3">
        <v>45949</v>
      </c>
      <c r="B93" s="3">
        <v>45949</v>
      </c>
      <c r="C93" s="5">
        <v>2025020091</v>
      </c>
      <c r="D93" s="2" t="s">
        <v>44</v>
      </c>
      <c r="E93" s="2" t="s">
        <v>16</v>
      </c>
      <c r="F93" s="2">
        <v>3</v>
      </c>
      <c r="G93" s="2">
        <v>2</v>
      </c>
      <c r="H93" s="2" t="str">
        <f t="shared" si="9"/>
        <v>ANA</v>
      </c>
      <c r="I93" s="2" t="s">
        <v>719</v>
      </c>
      <c r="J93" s="2">
        <v>1</v>
      </c>
      <c r="K93" s="2">
        <v>2</v>
      </c>
      <c r="L93" s="2" t="str">
        <f t="shared" si="10"/>
        <v>CHI</v>
      </c>
      <c r="M93" s="2" t="s">
        <v>720</v>
      </c>
      <c r="N93" s="2">
        <f>IF(ISBLANK(Table2[[#This Row],[ActualResult]]), 0, 1)</f>
        <v>1</v>
      </c>
      <c r="O93" s="2" t="str">
        <f>IF(ISBLANK(Table2[[#This Row],[ActualResult]]), "_", IF(Table2[[#This Row],[ActualWinner]]=Table2[[#This Row],[PredictedWinner]], "Y", "N"))</f>
        <v>N</v>
      </c>
      <c r="P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93" s="2">
        <v>1</v>
      </c>
      <c r="S93" s="2" t="str">
        <f t="shared" si="11"/>
        <v>ANA</v>
      </c>
      <c r="T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" s="2">
        <f>IF(Table2[[#This Row],[InterConf]]=1,IF(Table2[[#This Row],[InterDiv]]=0, 1, 0), 0)</f>
        <v>1</v>
      </c>
      <c r="W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" s="2"/>
      <c r="Y93" s="2"/>
      <c r="Z93" s="145">
        <f>IF(AND(Table2[[#This Row],[GameIsOver]]=1,Table2[[#This Row],[ActualHomeScore]]*Table2[[#This Row],[ActualAwayScore]]=0), 1,0)</f>
        <v>0</v>
      </c>
      <c r="AA93" s="145">
        <f>IF(Table2[[#This Row],[GameIsOver]]=0,0, IF(Table2[[#This Row],[ActualWinner]]=Table2[[#This Row],[AwayTeam]], 2, IF(OR(Table2[[#This Row],[ActualResult]]="OT", Table2[[#This Row],[ActualResult]]="SO"), 1, 0)))</f>
        <v>1</v>
      </c>
      <c r="AB93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93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0.78</v>
      </c>
      <c r="AE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3" s="2">
        <f>Table2[[#This Row],[ActualAwayScore]]-Table2[[#This Row],[PredictedAwayScore]]</f>
        <v>-2</v>
      </c>
      <c r="AG93" s="2">
        <f>Table2[[#This Row],[ActualHomeScore]]-Table2[[#This Row],[PredictedHomeScore]]</f>
        <v>0</v>
      </c>
      <c r="AH93" s="2">
        <f t="shared" si="12"/>
        <v>-3</v>
      </c>
      <c r="AI93" s="2">
        <f t="shared" si="13"/>
        <v>-2</v>
      </c>
      <c r="AJ93" s="2">
        <v>2</v>
      </c>
      <c r="AK93" s="3">
        <v>45949</v>
      </c>
      <c r="AL93" s="2">
        <f>IF(Table2[[#This Row],[GameIsOver]]=0,0,IF(Table2[[#This Row],[ActualWinner]]=Table2[[#This Row],[AwayTeam]], 1, 0))</f>
        <v>0</v>
      </c>
      <c r="AM93" s="2">
        <f>IF(Table2[[#This Row],[GameIsOver]]=0,0,IF(Table2[[#This Row],[ActualWinner]]=Table2[[#This Row],[HomeTeam]], 1, 0))</f>
        <v>1</v>
      </c>
      <c r="AN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" s="2" t="str">
        <f>INDEX(Sheet5!$B$2:$AG$33, MATCH(Table2[[#This Row],[AwayTeam]],Sheet5!$A$2:$A$33, 0), MATCH(Table2[[#This Row],[HomeTeam]],Sheet5!$A$2:$A$33, 0))</f>
        <v>0-0-1</v>
      </c>
      <c r="AP93" s="2" t="str">
        <f>INDEX(Sheet5!$B$2:$AG$33, MATCH(Table2[[#This Row],[HomeTeam]],Sheet5!$A$2:$A$33, 0), MATCH(Table2[[#This Row],[AwayTeam]],Sheet5!$A$2:$A$33, 0))</f>
        <v>1-0-0</v>
      </c>
      <c r="AQ93" s="2">
        <f>IF(Table2[[#This Row],[GameHasShutOut]], 1, 0)</f>
        <v>0</v>
      </c>
      <c r="AR93" s="2">
        <f>IF(Table2[[#This Row],[ActualAwayScore]] + Table2[[#This Row],[ActualHomeScore]] &gt;= 10, 1, 0)</f>
        <v>0</v>
      </c>
      <c r="AS93" s="2">
        <f>IF(ABS(Table2[[#This Row],[ActualAwayScore]]-Table2[[#This Row],[ActualHomeScore]])&gt;=5, 1, 0)</f>
        <v>0</v>
      </c>
      <c r="AT93" s="2">
        <f>IF(Table2[[#This Row],[ActualAwayScore]] + Table2[[#This Row],[ActualHomeScore]] &lt;= 3, 1, 0)</f>
        <v>1</v>
      </c>
      <c r="AU93" s="2"/>
      <c r="AV93" s="2"/>
    </row>
    <row r="94" spans="1:48" x14ac:dyDescent="0.25">
      <c r="A94" s="141">
        <v>45949</v>
      </c>
      <c r="B94" s="141">
        <v>45949</v>
      </c>
      <c r="C94" s="142">
        <v>2025020092</v>
      </c>
      <c r="D94" s="143" t="s">
        <v>15</v>
      </c>
      <c r="E94" s="143" t="s">
        <v>14</v>
      </c>
      <c r="F94" s="143">
        <v>2</v>
      </c>
      <c r="G94" s="143">
        <v>5</v>
      </c>
      <c r="H94" s="143" t="str">
        <f t="shared" si="9"/>
        <v>UTA</v>
      </c>
      <c r="I94" s="143" t="s">
        <v>718</v>
      </c>
      <c r="J94" s="143">
        <v>2</v>
      </c>
      <c r="K94" s="143">
        <v>3</v>
      </c>
      <c r="L94" s="143" t="str">
        <f t="shared" si="10"/>
        <v>UTA</v>
      </c>
      <c r="M94" s="143" t="s">
        <v>718</v>
      </c>
      <c r="N94" s="143">
        <f>IF(ISBLANK(Table2[[#This Row],[ActualResult]]), 0, 1)</f>
        <v>1</v>
      </c>
      <c r="O94" s="143" t="str">
        <f>IF(ISBLANK(Table2[[#This Row],[ActualResult]]), "_", IF(Table2[[#This Row],[ActualWinner]]=Table2[[#This Row],[PredictedWinner]], "Y", "N"))</f>
        <v>Y</v>
      </c>
      <c r="P94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94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4" s="143">
        <v>1</v>
      </c>
      <c r="S94" s="143" t="str">
        <f t="shared" si="11"/>
        <v>BOS</v>
      </c>
      <c r="T94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4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" s="143">
        <f>IF(Table2[[#This Row],[InterConf]]=1,IF(Table2[[#This Row],[InterDiv]]=0, 1, 0), 0)</f>
        <v>0</v>
      </c>
      <c r="W94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4" s="143"/>
      <c r="Y94" s="143"/>
      <c r="Z94" s="149">
        <f>IF(AND(Table2[[#This Row],[GameIsOver]]=1,Table2[[#This Row],[ActualHomeScore]]*Table2[[#This Row],[ActualAwayScore]]=0), 1,0)</f>
        <v>0</v>
      </c>
      <c r="AA94" s="149">
        <f>IF(Table2[[#This Row],[GameIsOver]]=0,0, IF(Table2[[#This Row],[ActualWinner]]=Table2[[#This Row],[AwayTeam]], 2, IF(OR(Table2[[#This Row],[ActualResult]]="OT", Table2[[#This Row],[ActualResult]]="SO"), 1, 0)))</f>
        <v>0</v>
      </c>
      <c r="AB94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94" s="144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94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94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" s="143">
        <f>Table2[[#This Row],[ActualAwayScore]]-Table2[[#This Row],[PredictedAwayScore]]</f>
        <v>0</v>
      </c>
      <c r="AG94" s="143">
        <f>Table2[[#This Row],[ActualHomeScore]]-Table2[[#This Row],[PredictedHomeScore]]</f>
        <v>-2</v>
      </c>
      <c r="AH94" s="143">
        <f t="shared" si="12"/>
        <v>-3</v>
      </c>
      <c r="AI94" s="143">
        <f t="shared" si="13"/>
        <v>-2</v>
      </c>
      <c r="AJ94" s="143">
        <v>3</v>
      </c>
      <c r="AK94" s="141">
        <v>45949</v>
      </c>
      <c r="AL94" s="143">
        <f>IF(Table2[[#This Row],[GameIsOver]]=0,0,IF(Table2[[#This Row],[ActualWinner]]=Table2[[#This Row],[AwayTeam]], 1, 0))</f>
        <v>0</v>
      </c>
      <c r="AM94" s="143">
        <f>IF(Table2[[#This Row],[GameIsOver]]=0,0,IF(Table2[[#This Row],[ActualWinner]]=Table2[[#This Row],[HomeTeam]], 1, 0))</f>
        <v>1</v>
      </c>
      <c r="AN94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94" s="143" t="str">
        <f>INDEX(Sheet5!$B$2:$AG$33, MATCH(Table2[[#This Row],[AwayTeam]],Sheet5!$A$2:$A$33, 0), MATCH(Table2[[#This Row],[HomeTeam]],Sheet5!$A$2:$A$33, 0))</f>
        <v>0-1-0</v>
      </c>
      <c r="AP94" s="143" t="str">
        <f>INDEX(Sheet5!$B$2:$AG$33, MATCH(Table2[[#This Row],[HomeTeam]],Sheet5!$A$2:$A$33, 0), MATCH(Table2[[#This Row],[AwayTeam]],Sheet5!$A$2:$A$33, 0))</f>
        <v>1-0-0</v>
      </c>
      <c r="AQ94" s="143">
        <f>IF(Table2[[#This Row],[GameHasShutOut]], 1, 0)</f>
        <v>0</v>
      </c>
      <c r="AR94" s="143">
        <f>IF(Table2[[#This Row],[ActualAwayScore]] + Table2[[#This Row],[ActualHomeScore]] &gt;= 10, 1, 0)</f>
        <v>0</v>
      </c>
      <c r="AS94" s="143">
        <f>IF(ABS(Table2[[#This Row],[ActualAwayScore]]-Table2[[#This Row],[ActualHomeScore]])&gt;=5, 1, 0)</f>
        <v>0</v>
      </c>
      <c r="AT94" s="143">
        <f>IF(Table2[[#This Row],[ActualAwayScore]] + Table2[[#This Row],[ActualHomeScore]] &lt;= 3, 1, 0)</f>
        <v>0</v>
      </c>
      <c r="AU94" s="2"/>
      <c r="AV94" s="2"/>
    </row>
    <row r="95" spans="1:48" x14ac:dyDescent="0.25">
      <c r="A95" s="3">
        <v>45950</v>
      </c>
      <c r="B95" s="3">
        <v>45950</v>
      </c>
      <c r="C95" s="5">
        <v>2025020093</v>
      </c>
      <c r="D95" s="2" t="s">
        <v>36</v>
      </c>
      <c r="E95" s="2" t="s">
        <v>19</v>
      </c>
      <c r="F95" s="2">
        <v>4</v>
      </c>
      <c r="G95" s="2">
        <v>2</v>
      </c>
      <c r="H95" s="2" t="str">
        <f t="shared" si="9"/>
        <v>MIN</v>
      </c>
      <c r="I95" s="2" t="s">
        <v>718</v>
      </c>
      <c r="J95" s="2">
        <v>3</v>
      </c>
      <c r="K95" s="2">
        <v>1</v>
      </c>
      <c r="L95" s="2" t="str">
        <f t="shared" si="10"/>
        <v>MIN</v>
      </c>
      <c r="M95" s="2" t="s">
        <v>718</v>
      </c>
      <c r="N95" s="2">
        <f>IF(ISBLANK(Table2[[#This Row],[ActualResult]]), 0, 1)</f>
        <v>1</v>
      </c>
      <c r="O95" s="2" t="str">
        <f>IF(ISBLANK(Table2[[#This Row],[ActualResult]]), "_", IF(Table2[[#This Row],[ActualWinner]]=Table2[[#This Row],[PredictedWinner]], "Y", "N"))</f>
        <v>Y</v>
      </c>
      <c r="P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5" s="2">
        <v>1</v>
      </c>
      <c r="S95" s="2" t="str">
        <f t="shared" si="11"/>
        <v>NYR</v>
      </c>
      <c r="T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" s="2">
        <f>IF(Table2[[#This Row],[InterConf]]=1,IF(Table2[[#This Row],[InterDiv]]=0, 1, 0), 0)</f>
        <v>0</v>
      </c>
      <c r="W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5" s="2"/>
      <c r="Y95" s="2"/>
      <c r="Z95" s="145">
        <f>IF(AND(Table2[[#This Row],[GameIsOver]]=1,Table2[[#This Row],[ActualHomeScore]]*Table2[[#This Row],[ActualAwayScore]]=0), 1,0)</f>
        <v>0</v>
      </c>
      <c r="AA9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5" s="2">
        <f>Table2[[#This Row],[ActualAwayScore]]-Table2[[#This Row],[PredictedAwayScore]]</f>
        <v>-1</v>
      </c>
      <c r="AG95" s="2">
        <f>Table2[[#This Row],[ActualHomeScore]]-Table2[[#This Row],[PredictedHomeScore]]</f>
        <v>-1</v>
      </c>
      <c r="AH95" s="2">
        <f t="shared" si="12"/>
        <v>-5</v>
      </c>
      <c r="AI95" s="2">
        <f t="shared" si="13"/>
        <v>0</v>
      </c>
      <c r="AJ95" s="2">
        <v>1</v>
      </c>
      <c r="AK95" s="3">
        <v>45950</v>
      </c>
      <c r="AL95" s="2">
        <f>IF(Table2[[#This Row],[GameIsOver]]=0,0,IF(Table2[[#This Row],[ActualWinner]]=Table2[[#This Row],[AwayTeam]], 1, 0))</f>
        <v>1</v>
      </c>
      <c r="AM95" s="2">
        <f>IF(Table2[[#This Row],[GameIsOver]]=0,0,IF(Table2[[#This Row],[ActualWinner]]=Table2[[#This Row],[HomeTeam]], 1, 0))</f>
        <v>0</v>
      </c>
      <c r="AN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" s="2" t="str">
        <f>INDEX(Sheet5!$B$2:$AG$33, MATCH(Table2[[#This Row],[AwayTeam]],Sheet5!$A$2:$A$33, 0), MATCH(Table2[[#This Row],[HomeTeam]],Sheet5!$A$2:$A$33, 0))</f>
        <v>1-0-0</v>
      </c>
      <c r="AP95" s="2" t="str">
        <f>INDEX(Sheet5!$B$2:$AG$33, MATCH(Table2[[#This Row],[HomeTeam]],Sheet5!$A$2:$A$33, 0), MATCH(Table2[[#This Row],[AwayTeam]],Sheet5!$A$2:$A$33, 0))</f>
        <v>0-1-0</v>
      </c>
      <c r="AQ95" s="2">
        <f>IF(Table2[[#This Row],[GameHasShutOut]], 1, 0)</f>
        <v>0</v>
      </c>
      <c r="AR95" s="2">
        <f>IF(Table2[[#This Row],[ActualAwayScore]] + Table2[[#This Row],[ActualHomeScore]] &gt;= 10, 1, 0)</f>
        <v>0</v>
      </c>
      <c r="AS95" s="2">
        <f>IF(ABS(Table2[[#This Row],[ActualAwayScore]]-Table2[[#This Row],[ActualHomeScore]])&gt;=5, 1, 0)</f>
        <v>0</v>
      </c>
      <c r="AT95" s="2">
        <f>IF(Table2[[#This Row],[ActualAwayScore]] + Table2[[#This Row],[ActualHomeScore]] &lt;= 3, 1, 0)</f>
        <v>0</v>
      </c>
      <c r="AU95" s="2"/>
      <c r="AV95" s="2"/>
    </row>
    <row r="96" spans="1:48" x14ac:dyDescent="0.25">
      <c r="A96" s="3">
        <v>45950</v>
      </c>
      <c r="B96" s="3">
        <v>45950</v>
      </c>
      <c r="C96" s="5">
        <v>2025020094</v>
      </c>
      <c r="D96" s="2" t="s">
        <v>11</v>
      </c>
      <c r="E96" s="2" t="s">
        <v>42</v>
      </c>
      <c r="F96" s="2">
        <v>4</v>
      </c>
      <c r="G96" s="2">
        <v>2</v>
      </c>
      <c r="H96" s="2" t="str">
        <f t="shared" si="9"/>
        <v>SEA</v>
      </c>
      <c r="I96" s="2" t="s">
        <v>718</v>
      </c>
      <c r="J96" s="2">
        <v>2</v>
      </c>
      <c r="K96" s="2">
        <v>5</v>
      </c>
      <c r="L96" s="2" t="str">
        <f t="shared" si="10"/>
        <v>PHI</v>
      </c>
      <c r="M96" s="2" t="s">
        <v>718</v>
      </c>
      <c r="N96" s="2">
        <f>IF(ISBLANK(Table2[[#This Row],[ActualResult]]), 0, 1)</f>
        <v>1</v>
      </c>
      <c r="O96" s="2" t="str">
        <f>IF(ISBLANK(Table2[[#This Row],[ActualResult]]), "_", IF(Table2[[#This Row],[ActualWinner]]=Table2[[#This Row],[PredictedWinner]], "Y", "N"))</f>
        <v>N</v>
      </c>
      <c r="P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6" s="2">
        <v>1</v>
      </c>
      <c r="S96" s="2" t="str">
        <f t="shared" si="11"/>
        <v>SEA</v>
      </c>
      <c r="T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" s="2">
        <f>IF(Table2[[#This Row],[InterConf]]=1,IF(Table2[[#This Row],[InterDiv]]=0, 1, 0), 0)</f>
        <v>0</v>
      </c>
      <c r="W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" s="2"/>
      <c r="Y96" s="2"/>
      <c r="Z96" s="145">
        <f>IF(AND(Table2[[#This Row],[GameIsOver]]=1,Table2[[#This Row],[ActualHomeScore]]*Table2[[#This Row],[ActualAwayScore]]=0), 1,0)</f>
        <v>0</v>
      </c>
      <c r="AA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6" s="2">
        <f>Table2[[#This Row],[ActualAwayScore]]-Table2[[#This Row],[PredictedAwayScore]]</f>
        <v>-2</v>
      </c>
      <c r="AG96" s="2">
        <f>Table2[[#This Row],[ActualHomeScore]]-Table2[[#This Row],[PredictedHomeScore]]</f>
        <v>3</v>
      </c>
      <c r="AH96" s="2">
        <f t="shared" si="12"/>
        <v>-5</v>
      </c>
      <c r="AI96" s="2">
        <f t="shared" si="13"/>
        <v>0</v>
      </c>
      <c r="AJ96" s="2">
        <v>2</v>
      </c>
      <c r="AK96" s="3">
        <v>45950</v>
      </c>
      <c r="AL96" s="2">
        <f>IF(Table2[[#This Row],[GameIsOver]]=0,0,IF(Table2[[#This Row],[ActualWinner]]=Table2[[#This Row],[AwayTeam]], 1, 0))</f>
        <v>0</v>
      </c>
      <c r="AM96" s="2">
        <f>IF(Table2[[#This Row],[GameIsOver]]=0,0,IF(Table2[[#This Row],[ActualWinner]]=Table2[[#This Row],[HomeTeam]], 1, 0))</f>
        <v>1</v>
      </c>
      <c r="AN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" s="2" t="str">
        <f>INDEX(Sheet5!$B$2:$AG$33, MATCH(Table2[[#This Row],[AwayTeam]],Sheet5!$A$2:$A$33, 0), MATCH(Table2[[#This Row],[HomeTeam]],Sheet5!$A$2:$A$33, 0))</f>
        <v>0-1-0</v>
      </c>
      <c r="AP96" s="2" t="str">
        <f>INDEX(Sheet5!$B$2:$AG$33, MATCH(Table2[[#This Row],[HomeTeam]],Sheet5!$A$2:$A$33, 0), MATCH(Table2[[#This Row],[AwayTeam]],Sheet5!$A$2:$A$33, 0))</f>
        <v>1-0-0</v>
      </c>
      <c r="AQ96" s="2">
        <f>IF(Table2[[#This Row],[GameHasShutOut]], 1, 0)</f>
        <v>0</v>
      </c>
      <c r="AR96" s="2">
        <f>IF(Table2[[#This Row],[ActualAwayScore]] + Table2[[#This Row],[ActualHomeScore]] &gt;= 10, 1, 0)</f>
        <v>0</v>
      </c>
      <c r="AS96" s="2">
        <f>IF(ABS(Table2[[#This Row],[ActualAwayScore]]-Table2[[#This Row],[ActualHomeScore]])&gt;=5, 1, 0)</f>
        <v>0</v>
      </c>
      <c r="AT96" s="2">
        <f>IF(Table2[[#This Row],[ActualAwayScore]] + Table2[[#This Row],[ActualHomeScore]] &lt;= 3, 1, 0)</f>
        <v>0</v>
      </c>
      <c r="AU96" s="2"/>
      <c r="AV96" s="2"/>
    </row>
    <row r="97" spans="1:48" x14ac:dyDescent="0.25">
      <c r="A97" s="3">
        <v>45950</v>
      </c>
      <c r="B97" s="3">
        <v>45950</v>
      </c>
      <c r="C97" s="5">
        <v>2025020095</v>
      </c>
      <c r="D97" s="2" t="s">
        <v>28</v>
      </c>
      <c r="E97" s="2" t="s">
        <v>18</v>
      </c>
      <c r="F97" s="2">
        <v>3</v>
      </c>
      <c r="G97" s="2">
        <v>5</v>
      </c>
      <c r="H97" s="2" t="str">
        <f t="shared" si="9"/>
        <v>MTL</v>
      </c>
      <c r="I97" s="2" t="s">
        <v>718</v>
      </c>
      <c r="J97" s="2">
        <v>2</v>
      </c>
      <c r="K97" s="2">
        <v>4</v>
      </c>
      <c r="L97" s="2" t="str">
        <f t="shared" si="10"/>
        <v>MTL</v>
      </c>
      <c r="M97" s="2" t="s">
        <v>718</v>
      </c>
      <c r="N97" s="2">
        <f>IF(ISBLANK(Table2[[#This Row],[ActualResult]]), 0, 1)</f>
        <v>1</v>
      </c>
      <c r="O97" s="2" t="str">
        <f>IF(ISBLANK(Table2[[#This Row],[ActualResult]]), "_", IF(Table2[[#This Row],[ActualWinner]]=Table2[[#This Row],[PredictedWinner]], "Y", "N"))</f>
        <v>Y</v>
      </c>
      <c r="P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7" s="2">
        <v>1</v>
      </c>
      <c r="S97" s="2" t="str">
        <f t="shared" si="11"/>
        <v>BUF</v>
      </c>
      <c r="T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7" s="2">
        <f>IF(Table2[[#This Row],[InterConf]]=1,IF(Table2[[#This Row],[InterDiv]]=0, 1, 0), 0)</f>
        <v>0</v>
      </c>
      <c r="W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" s="2" t="s">
        <v>750</v>
      </c>
      <c r="Y97" s="2"/>
      <c r="Z97" s="145">
        <f>IF(AND(Table2[[#This Row],[GameIsOver]]=1,Table2[[#This Row],[ActualHomeScore]]*Table2[[#This Row],[ActualAwayScore]]=0), 1,0)</f>
        <v>0</v>
      </c>
      <c r="AA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97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7" s="2">
        <f>Table2[[#This Row],[ActualAwayScore]]-Table2[[#This Row],[PredictedAwayScore]]</f>
        <v>-1</v>
      </c>
      <c r="AG97" s="2">
        <f>Table2[[#This Row],[ActualHomeScore]]-Table2[[#This Row],[PredictedHomeScore]]</f>
        <v>-1</v>
      </c>
      <c r="AH97" s="2">
        <f t="shared" si="12"/>
        <v>-5</v>
      </c>
      <c r="AI97" s="2">
        <f t="shared" si="13"/>
        <v>0</v>
      </c>
      <c r="AJ97" s="2">
        <v>4</v>
      </c>
      <c r="AK97" s="3">
        <v>45950</v>
      </c>
      <c r="AL97" s="2">
        <f>IF(Table2[[#This Row],[GameIsOver]]=0,0,IF(Table2[[#This Row],[ActualWinner]]=Table2[[#This Row],[AwayTeam]], 1, 0))</f>
        <v>0</v>
      </c>
      <c r="AM97" s="2">
        <f>IF(Table2[[#This Row],[GameIsOver]]=0,0,IF(Table2[[#This Row],[ActualWinner]]=Table2[[#This Row],[HomeTeam]], 1, 0))</f>
        <v>1</v>
      </c>
      <c r="AN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" s="2" t="str">
        <f>INDEX(Sheet5!$B$2:$AG$33, MATCH(Table2[[#This Row],[AwayTeam]],Sheet5!$A$2:$A$33, 0), MATCH(Table2[[#This Row],[HomeTeam]],Sheet5!$A$2:$A$33, 0))</f>
        <v>0-1-0</v>
      </c>
      <c r="AP97" s="2" t="str">
        <f>INDEX(Sheet5!$B$2:$AG$33, MATCH(Table2[[#This Row],[HomeTeam]],Sheet5!$A$2:$A$33, 0), MATCH(Table2[[#This Row],[AwayTeam]],Sheet5!$A$2:$A$33, 0))</f>
        <v>1-0-0</v>
      </c>
      <c r="AQ97" s="2">
        <f>IF(Table2[[#This Row],[GameHasShutOut]], 1, 0)</f>
        <v>0</v>
      </c>
      <c r="AR97" s="2">
        <f>IF(Table2[[#This Row],[ActualAwayScore]] + Table2[[#This Row],[ActualHomeScore]] &gt;= 10, 1, 0)</f>
        <v>0</v>
      </c>
      <c r="AS97" s="2">
        <f>IF(ABS(Table2[[#This Row],[ActualAwayScore]]-Table2[[#This Row],[ActualHomeScore]])&gt;=5, 1, 0)</f>
        <v>0</v>
      </c>
      <c r="AT97" s="2">
        <f>IF(Table2[[#This Row],[ActualAwayScore]] + Table2[[#This Row],[ActualHomeScore]] &lt;= 3, 1, 0)</f>
        <v>0</v>
      </c>
      <c r="AU97" s="2"/>
      <c r="AV97" s="2"/>
    </row>
    <row r="98" spans="1:48" x14ac:dyDescent="0.25">
      <c r="A98" s="3">
        <v>45950</v>
      </c>
      <c r="B98" s="3">
        <v>45950</v>
      </c>
      <c r="C98" s="5">
        <v>2025020096</v>
      </c>
      <c r="D98" s="2" t="s">
        <v>21</v>
      </c>
      <c r="E98" s="2" t="s">
        <v>23</v>
      </c>
      <c r="F98" s="2">
        <v>2</v>
      </c>
      <c r="G98" s="2">
        <v>3</v>
      </c>
      <c r="H98" s="2" t="str">
        <f t="shared" si="9"/>
        <v>CGY</v>
      </c>
      <c r="I98" s="2" t="s">
        <v>720</v>
      </c>
      <c r="J98" s="2">
        <v>2</v>
      </c>
      <c r="K98" s="2">
        <v>1</v>
      </c>
      <c r="L98" s="2" t="str">
        <f t="shared" si="10"/>
        <v>WPG</v>
      </c>
      <c r="M98" s="2" t="s">
        <v>718</v>
      </c>
      <c r="N98" s="2">
        <f>IF(ISBLANK(Table2[[#This Row],[ActualResult]]), 0, 1)</f>
        <v>1</v>
      </c>
      <c r="O98" s="2" t="str">
        <f>IF(ISBLANK(Table2[[#This Row],[ActualResult]]), "_", IF(Table2[[#This Row],[ActualWinner]]=Table2[[#This Row],[PredictedWinner]], "Y", "N"))</f>
        <v>N</v>
      </c>
      <c r="P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8" s="2">
        <v>1</v>
      </c>
      <c r="S98" s="2" t="str">
        <f t="shared" si="11"/>
        <v>CGY</v>
      </c>
      <c r="T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" s="2">
        <f>IF(Table2[[#This Row],[InterConf]]=1,IF(Table2[[#This Row],[InterDiv]]=0, 1, 0), 0)</f>
        <v>1</v>
      </c>
      <c r="W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" s="2"/>
      <c r="Y98" s="2"/>
      <c r="Z98" s="145">
        <f>IF(AND(Table2[[#This Row],[GameIsOver]]=1,Table2[[#This Row],[ActualHomeScore]]*Table2[[#This Row],[ActualAwayScore]]=0), 1,0)</f>
        <v>0</v>
      </c>
      <c r="AA9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8" s="2">
        <f>Table2[[#This Row],[ActualAwayScore]]-Table2[[#This Row],[PredictedAwayScore]]</f>
        <v>0</v>
      </c>
      <c r="AG98" s="2">
        <f>Table2[[#This Row],[ActualHomeScore]]-Table2[[#This Row],[PredictedHomeScore]]</f>
        <v>-2</v>
      </c>
      <c r="AH98" s="2">
        <f t="shared" si="12"/>
        <v>-5</v>
      </c>
      <c r="AI98" s="2">
        <f t="shared" si="13"/>
        <v>0</v>
      </c>
      <c r="AJ98" s="2">
        <v>3</v>
      </c>
      <c r="AK98" s="3">
        <v>45950</v>
      </c>
      <c r="AL98" s="2">
        <f>IF(Table2[[#This Row],[GameIsOver]]=0,0,IF(Table2[[#This Row],[ActualWinner]]=Table2[[#This Row],[AwayTeam]], 1, 0))</f>
        <v>1</v>
      </c>
      <c r="AM98" s="2">
        <f>IF(Table2[[#This Row],[GameIsOver]]=0,0,IF(Table2[[#This Row],[ActualWinner]]=Table2[[#This Row],[HomeTeam]], 1, 0))</f>
        <v>0</v>
      </c>
      <c r="AN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" s="2" t="str">
        <f>INDEX(Sheet5!$B$2:$AG$33, MATCH(Table2[[#This Row],[AwayTeam]],Sheet5!$A$2:$A$33, 0), MATCH(Table2[[#This Row],[HomeTeam]],Sheet5!$A$2:$A$33, 0))</f>
        <v>1-0-0</v>
      </c>
      <c r="AP98" s="2" t="str">
        <f>INDEX(Sheet5!$B$2:$AG$33, MATCH(Table2[[#This Row],[HomeTeam]],Sheet5!$A$2:$A$33, 0), MATCH(Table2[[#This Row],[AwayTeam]],Sheet5!$A$2:$A$33, 0))</f>
        <v>0-1-0</v>
      </c>
      <c r="AQ98" s="2">
        <f>IF(Table2[[#This Row],[GameHasShutOut]], 1, 0)</f>
        <v>0</v>
      </c>
      <c r="AR98" s="2">
        <f>IF(Table2[[#This Row],[ActualAwayScore]] + Table2[[#This Row],[ActualHomeScore]] &gt;= 10, 1, 0)</f>
        <v>0</v>
      </c>
      <c r="AS98" s="2">
        <f>IF(ABS(Table2[[#This Row],[ActualAwayScore]]-Table2[[#This Row],[ActualHomeScore]])&gt;=5, 1, 0)</f>
        <v>0</v>
      </c>
      <c r="AT98" s="2">
        <f>IF(Table2[[#This Row],[ActualAwayScore]] + Table2[[#This Row],[ActualHomeScore]] &lt;= 3, 1, 0)</f>
        <v>1</v>
      </c>
      <c r="AU98" s="2"/>
      <c r="AV98" s="2"/>
    </row>
    <row r="99" spans="1:48" x14ac:dyDescent="0.25">
      <c r="A99" s="141">
        <v>45950</v>
      </c>
      <c r="B99" s="141">
        <v>45950</v>
      </c>
      <c r="C99" s="142">
        <v>2025020097</v>
      </c>
      <c r="D99" s="143" t="s">
        <v>41</v>
      </c>
      <c r="E99" s="143" t="s">
        <v>26</v>
      </c>
      <c r="F99" s="143">
        <v>2</v>
      </c>
      <c r="G99" s="143">
        <v>3</v>
      </c>
      <c r="H99" s="143" t="str">
        <f t="shared" si="9"/>
        <v>VGK</v>
      </c>
      <c r="I99" s="143" t="s">
        <v>719</v>
      </c>
      <c r="J99" s="143">
        <v>1</v>
      </c>
      <c r="K99" s="143">
        <v>4</v>
      </c>
      <c r="L99" s="143" t="str">
        <f t="shared" si="10"/>
        <v>VGK</v>
      </c>
      <c r="M99" s="143" t="s">
        <v>718</v>
      </c>
      <c r="N99" s="143">
        <f>IF(ISBLANK(Table2[[#This Row],[ActualResult]]), 0, 1)</f>
        <v>1</v>
      </c>
      <c r="O99" s="143" t="str">
        <f>IF(ISBLANK(Table2[[#This Row],[ActualResult]]), "_", IF(Table2[[#This Row],[ActualWinner]]=Table2[[#This Row],[PredictedWinner]], "Y", "N"))</f>
        <v>Y</v>
      </c>
      <c r="P99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9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9" s="143">
        <v>1</v>
      </c>
      <c r="S99" s="143" t="str">
        <f t="shared" si="11"/>
        <v>CAR</v>
      </c>
      <c r="T99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" s="143">
        <f>IF(Table2[[#This Row],[InterConf]]=1,IF(Table2[[#This Row],[InterDiv]]=0, 1, 0), 0)</f>
        <v>0</v>
      </c>
      <c r="W99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" s="143"/>
      <c r="Y99" s="143"/>
      <c r="Z99" s="149">
        <f>IF(AND(Table2[[#This Row],[GameIsOver]]=1,Table2[[#This Row],[ActualHomeScore]]*Table2[[#This Row],[ActualAwayScore]]=0), 1,0)</f>
        <v>0</v>
      </c>
      <c r="AA99" s="149">
        <f>IF(Table2[[#This Row],[GameIsOver]]=0,0, IF(Table2[[#This Row],[ActualWinner]]=Table2[[#This Row],[AwayTeam]], 2, IF(OR(Table2[[#This Row],[ActualResult]]="OT", Table2[[#This Row],[ActualResult]]="SO"), 1, 0)))</f>
        <v>0</v>
      </c>
      <c r="AB99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99" s="144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99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99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9" s="143">
        <f>Table2[[#This Row],[ActualAwayScore]]-Table2[[#This Row],[PredictedAwayScore]]</f>
        <v>-1</v>
      </c>
      <c r="AG99" s="143">
        <f>Table2[[#This Row],[ActualHomeScore]]-Table2[[#This Row],[PredictedHomeScore]]</f>
        <v>1</v>
      </c>
      <c r="AH99" s="143">
        <f t="shared" si="12"/>
        <v>-5</v>
      </c>
      <c r="AI99" s="143">
        <f t="shared" si="13"/>
        <v>0</v>
      </c>
      <c r="AJ99" s="143">
        <v>5</v>
      </c>
      <c r="AK99" s="141">
        <v>45950</v>
      </c>
      <c r="AL99" s="143">
        <f>IF(Table2[[#This Row],[GameIsOver]]=0,0,IF(Table2[[#This Row],[ActualWinner]]=Table2[[#This Row],[AwayTeam]], 1, 0))</f>
        <v>0</v>
      </c>
      <c r="AM99" s="143">
        <f>IF(Table2[[#This Row],[GameIsOver]]=0,0,IF(Table2[[#This Row],[ActualWinner]]=Table2[[#This Row],[HomeTeam]], 1, 0))</f>
        <v>1</v>
      </c>
      <c r="AN99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99" s="143" t="str">
        <f>INDEX(Sheet5!$B$2:$AG$33, MATCH(Table2[[#This Row],[AwayTeam]],Sheet5!$A$2:$A$33, 0), MATCH(Table2[[#This Row],[HomeTeam]],Sheet5!$A$2:$A$33, 0))</f>
        <v>0-1-0</v>
      </c>
      <c r="AP99" s="143" t="str">
        <f>INDEX(Sheet5!$B$2:$AG$33, MATCH(Table2[[#This Row],[HomeTeam]],Sheet5!$A$2:$A$33, 0), MATCH(Table2[[#This Row],[AwayTeam]],Sheet5!$A$2:$A$33, 0))</f>
        <v>1-0-0</v>
      </c>
      <c r="AQ99" s="143">
        <f>IF(Table2[[#This Row],[GameHasShutOut]], 1, 0)</f>
        <v>0</v>
      </c>
      <c r="AR99" s="143">
        <f>IF(Table2[[#This Row],[ActualAwayScore]] + Table2[[#This Row],[ActualHomeScore]] &gt;= 10, 1, 0)</f>
        <v>0</v>
      </c>
      <c r="AS99" s="143">
        <f>IF(ABS(Table2[[#This Row],[ActualAwayScore]]-Table2[[#This Row],[ActualHomeScore]])&gt;=5, 1, 0)</f>
        <v>0</v>
      </c>
      <c r="AT99" s="143">
        <f>IF(Table2[[#This Row],[ActualAwayScore]] + Table2[[#This Row],[ActualHomeScore]] &lt;= 3, 1, 0)</f>
        <v>0</v>
      </c>
      <c r="AU99" s="2"/>
      <c r="AV99" s="2"/>
    </row>
    <row r="100" spans="1:48" x14ac:dyDescent="0.25">
      <c r="A100" s="3">
        <v>45951</v>
      </c>
      <c r="B100" s="3">
        <v>45951</v>
      </c>
      <c r="C100" s="5">
        <v>2025020098</v>
      </c>
      <c r="D100" s="2" t="s">
        <v>31</v>
      </c>
      <c r="E100" s="2" t="s">
        <v>17</v>
      </c>
      <c r="F100" s="2">
        <v>4</v>
      </c>
      <c r="G100" s="2">
        <v>2</v>
      </c>
      <c r="H100" s="2" t="str">
        <f t="shared" si="9"/>
        <v>NJD</v>
      </c>
      <c r="I100" s="2" t="s">
        <v>718</v>
      </c>
      <c r="J100" s="2">
        <v>5</v>
      </c>
      <c r="K100" s="2">
        <v>2</v>
      </c>
      <c r="L100" s="2" t="str">
        <f t="shared" si="10"/>
        <v>NJD</v>
      </c>
      <c r="M100" s="2" t="s">
        <v>718</v>
      </c>
      <c r="N100" s="2">
        <f>IF(ISBLANK(Table2[[#This Row],[ActualResult]]), 0, 1)</f>
        <v>1</v>
      </c>
      <c r="O100" s="2" t="str">
        <f>IF(ISBLANK(Table2[[#This Row],[ActualResult]]), "_", IF(Table2[[#This Row],[ActualWinner]]=Table2[[#This Row],[PredictedWinner]], "Y", "N"))</f>
        <v>Y</v>
      </c>
      <c r="P1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00" s="2">
        <v>1</v>
      </c>
      <c r="S100" s="2" t="str">
        <f t="shared" si="11"/>
        <v>TOR</v>
      </c>
      <c r="T1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" s="2">
        <f>IF(Table2[[#This Row],[InterConf]]=1,IF(Table2[[#This Row],[InterDiv]]=0, 1, 0), 0)</f>
        <v>1</v>
      </c>
      <c r="W1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" s="2"/>
      <c r="Y100" s="2"/>
      <c r="Z100" s="145">
        <f>IF(AND(Table2[[#This Row],[GameIsOver]]=1,Table2[[#This Row],[ActualHomeScore]]*Table2[[#This Row],[ActualAwayScore]]=0), 1,0)</f>
        <v>0</v>
      </c>
      <c r="AA100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0" s="2">
        <f>Table2[[#This Row],[ActualAwayScore]]-Table2[[#This Row],[PredictedAwayScore]]</f>
        <v>1</v>
      </c>
      <c r="AG100" s="2">
        <f>Table2[[#This Row],[ActualHomeScore]]-Table2[[#This Row],[PredictedHomeScore]]</f>
        <v>0</v>
      </c>
      <c r="AH100" s="2">
        <f t="shared" si="12"/>
        <v>1</v>
      </c>
      <c r="AI100" s="2">
        <f t="shared" si="13"/>
        <v>-7</v>
      </c>
      <c r="AJ100" s="2">
        <v>2</v>
      </c>
      <c r="AK100" s="3">
        <v>45951</v>
      </c>
      <c r="AL100" s="2">
        <f>IF(Table2[[#This Row],[GameIsOver]]=0,0,IF(Table2[[#This Row],[ActualWinner]]=Table2[[#This Row],[AwayTeam]], 1, 0))</f>
        <v>1</v>
      </c>
      <c r="AM100" s="2">
        <f>IF(Table2[[#This Row],[GameIsOver]]=0,0,IF(Table2[[#This Row],[ActualWinner]]=Table2[[#This Row],[HomeTeam]], 1, 0))</f>
        <v>0</v>
      </c>
      <c r="AN1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" s="2" t="str">
        <f>INDEX(Sheet5!$B$2:$AG$33, MATCH(Table2[[#This Row],[AwayTeam]],Sheet5!$A$2:$A$33, 0), MATCH(Table2[[#This Row],[HomeTeam]],Sheet5!$A$2:$A$33, 0))</f>
        <v>1-0-0</v>
      </c>
      <c r="AP100" s="2" t="str">
        <f>INDEX(Sheet5!$B$2:$AG$33, MATCH(Table2[[#This Row],[HomeTeam]],Sheet5!$A$2:$A$33, 0), MATCH(Table2[[#This Row],[AwayTeam]],Sheet5!$A$2:$A$33, 0))</f>
        <v>0-1-0</v>
      </c>
      <c r="AQ100" s="2">
        <f>IF(Table2[[#This Row],[GameHasShutOut]], 1, 0)</f>
        <v>0</v>
      </c>
      <c r="AR100" s="2">
        <f>IF(Table2[[#This Row],[ActualAwayScore]] + Table2[[#This Row],[ActualHomeScore]] &gt;= 10, 1, 0)</f>
        <v>0</v>
      </c>
      <c r="AS100" s="2">
        <f>IF(ABS(Table2[[#This Row],[ActualAwayScore]]-Table2[[#This Row],[ActualHomeScore]])&gt;=5, 1, 0)</f>
        <v>0</v>
      </c>
      <c r="AT100" s="2">
        <f>IF(Table2[[#This Row],[ActualAwayScore]] + Table2[[#This Row],[ActualHomeScore]] &lt;= 3, 1, 0)</f>
        <v>0</v>
      </c>
      <c r="AU100" s="2"/>
      <c r="AV100" s="2"/>
    </row>
    <row r="101" spans="1:48" x14ac:dyDescent="0.25">
      <c r="A101" s="3">
        <v>45951</v>
      </c>
      <c r="B101" s="3">
        <v>45951</v>
      </c>
      <c r="C101" s="5">
        <v>2025020099</v>
      </c>
      <c r="D101" s="2" t="s">
        <v>22</v>
      </c>
      <c r="E101" s="2" t="s">
        <v>29</v>
      </c>
      <c r="F101" s="2">
        <v>5</v>
      </c>
      <c r="G101" s="2">
        <v>4</v>
      </c>
      <c r="H101" s="2" t="str">
        <f t="shared" si="9"/>
        <v>EDM</v>
      </c>
      <c r="I101" s="2" t="s">
        <v>720</v>
      </c>
      <c r="J101" s="2">
        <v>3</v>
      </c>
      <c r="K101" s="2">
        <v>2</v>
      </c>
      <c r="L101" s="2" t="str">
        <f t="shared" si="10"/>
        <v>EDM</v>
      </c>
      <c r="M101" s="2" t="s">
        <v>720</v>
      </c>
      <c r="N101" s="2">
        <f>IF(ISBLANK(Table2[[#This Row],[ActualResult]]), 0, 1)</f>
        <v>1</v>
      </c>
      <c r="O101" s="2" t="str">
        <f>IF(ISBLANK(Table2[[#This Row],[ActualResult]]), "_", IF(Table2[[#This Row],[ActualWinner]]=Table2[[#This Row],[PredictedWinner]], "Y", "N"))</f>
        <v>Y</v>
      </c>
      <c r="P1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1" s="2">
        <v>1</v>
      </c>
      <c r="S101" s="2" t="str">
        <f t="shared" si="11"/>
        <v>OTT</v>
      </c>
      <c r="T1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" s="2">
        <f>IF(Table2[[#This Row],[InterConf]]=1,IF(Table2[[#This Row],[InterDiv]]=0, 1, 0), 0)</f>
        <v>0</v>
      </c>
      <c r="W1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" s="2"/>
      <c r="Y101" s="2"/>
      <c r="Z101" s="145">
        <f>IF(AND(Table2[[#This Row],[GameIsOver]]=1,Table2[[#This Row],[ActualHomeScore]]*Table2[[#This Row],[ActualAwayScore]]=0), 1,0)</f>
        <v>0</v>
      </c>
      <c r="AA10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01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10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" s="2">
        <f>Table2[[#This Row],[ActualAwayScore]]-Table2[[#This Row],[PredictedAwayScore]]</f>
        <v>-2</v>
      </c>
      <c r="AG101" s="2">
        <f>Table2[[#This Row],[ActualHomeScore]]-Table2[[#This Row],[PredictedHomeScore]]</f>
        <v>-2</v>
      </c>
      <c r="AH101" s="2">
        <f t="shared" si="12"/>
        <v>1</v>
      </c>
      <c r="AI101" s="2">
        <f t="shared" si="13"/>
        <v>-7</v>
      </c>
      <c r="AJ101" s="2">
        <v>1</v>
      </c>
      <c r="AK101" s="3">
        <v>45951</v>
      </c>
      <c r="AL101" s="2">
        <f>IF(Table2[[#This Row],[GameIsOver]]=0,0,IF(Table2[[#This Row],[ActualWinner]]=Table2[[#This Row],[AwayTeam]], 1, 0))</f>
        <v>1</v>
      </c>
      <c r="AM101" s="2">
        <f>IF(Table2[[#This Row],[GameIsOver]]=0,0,IF(Table2[[#This Row],[ActualWinner]]=Table2[[#This Row],[HomeTeam]], 1, 0))</f>
        <v>0</v>
      </c>
      <c r="AN1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" s="2" t="str">
        <f>INDEX(Sheet5!$B$2:$AG$33, MATCH(Table2[[#This Row],[AwayTeam]],Sheet5!$A$2:$A$33, 0), MATCH(Table2[[#This Row],[HomeTeam]],Sheet5!$A$2:$A$33, 0))</f>
        <v>1-0-0</v>
      </c>
      <c r="AP101" s="2" t="str">
        <f>INDEX(Sheet5!$B$2:$AG$33, MATCH(Table2[[#This Row],[HomeTeam]],Sheet5!$A$2:$A$33, 0), MATCH(Table2[[#This Row],[AwayTeam]],Sheet5!$A$2:$A$33, 0))</f>
        <v>0-0-1</v>
      </c>
      <c r="AQ101" s="2">
        <f>IF(Table2[[#This Row],[GameHasShutOut]], 1, 0)</f>
        <v>0</v>
      </c>
      <c r="AR101" s="2">
        <f>IF(Table2[[#This Row],[ActualAwayScore]] + Table2[[#This Row],[ActualHomeScore]] &gt;= 10, 1, 0)</f>
        <v>0</v>
      </c>
      <c r="AS101" s="2">
        <f>IF(ABS(Table2[[#This Row],[ActualAwayScore]]-Table2[[#This Row],[ActualHomeScore]])&gt;=5, 1, 0)</f>
        <v>0</v>
      </c>
      <c r="AT101" s="2">
        <f>IF(Table2[[#This Row],[ActualAwayScore]] + Table2[[#This Row],[ActualHomeScore]] &lt;= 3, 1, 0)</f>
        <v>0</v>
      </c>
      <c r="AU101" s="2"/>
      <c r="AV101" s="2"/>
    </row>
    <row r="102" spans="1:48" x14ac:dyDescent="0.25">
      <c r="A102" s="3">
        <v>45951</v>
      </c>
      <c r="B102" s="3">
        <v>45951</v>
      </c>
      <c r="C102" s="5">
        <v>2025020100</v>
      </c>
      <c r="D102" s="2" t="s">
        <v>37</v>
      </c>
      <c r="E102" s="2" t="s">
        <v>32</v>
      </c>
      <c r="F102" s="2">
        <v>3</v>
      </c>
      <c r="G102" s="2">
        <v>2</v>
      </c>
      <c r="H102" s="2" t="str">
        <f t="shared" si="9"/>
        <v>SJS</v>
      </c>
      <c r="I102" s="2" t="s">
        <v>718</v>
      </c>
      <c r="J102" s="2">
        <v>3</v>
      </c>
      <c r="K102" s="2">
        <v>4</v>
      </c>
      <c r="L102" s="2" t="str">
        <f t="shared" si="10"/>
        <v>NYI</v>
      </c>
      <c r="M102" s="2" t="s">
        <v>718</v>
      </c>
      <c r="N102" s="2">
        <f>IF(ISBLANK(Table2[[#This Row],[ActualResult]]), 0, 1)</f>
        <v>1</v>
      </c>
      <c r="O102" s="2" t="str">
        <f>IF(ISBLANK(Table2[[#This Row],[ActualResult]]), "_", IF(Table2[[#This Row],[ActualWinner]]=Table2[[#This Row],[PredictedWinner]], "Y", "N"))</f>
        <v>N</v>
      </c>
      <c r="P1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2" s="2">
        <v>0</v>
      </c>
      <c r="S102" s="2" t="str">
        <f t="shared" si="11"/>
        <v>SJS</v>
      </c>
      <c r="T1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" s="2">
        <f>IF(Table2[[#This Row],[InterConf]]=1,IF(Table2[[#This Row],[InterDiv]]=0, 1, 0), 0)</f>
        <v>0</v>
      </c>
      <c r="W1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2" s="2"/>
      <c r="Y102" s="2"/>
      <c r="Z102" s="145">
        <f>IF(AND(Table2[[#This Row],[GameIsOver]]=1,Table2[[#This Row],[ActualHomeScore]]*Table2[[#This Row],[ActualAwayScore]]=0), 1,0)</f>
        <v>0</v>
      </c>
      <c r="AA1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02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2" s="2">
        <f>Table2[[#This Row],[ActualAwayScore]]-Table2[[#This Row],[PredictedAwayScore]]</f>
        <v>0</v>
      </c>
      <c r="AG102" s="2">
        <f>Table2[[#This Row],[ActualHomeScore]]-Table2[[#This Row],[PredictedHomeScore]]</f>
        <v>2</v>
      </c>
      <c r="AH102" s="2">
        <f t="shared" si="12"/>
        <v>1</v>
      </c>
      <c r="AI102" s="2">
        <f t="shared" si="13"/>
        <v>-7</v>
      </c>
      <c r="AJ102" s="2"/>
      <c r="AK102" s="2"/>
      <c r="AL102" s="2">
        <f>IF(Table2[[#This Row],[GameIsOver]]=0,0,IF(Table2[[#This Row],[ActualWinner]]=Table2[[#This Row],[AwayTeam]], 1, 0))</f>
        <v>0</v>
      </c>
      <c r="AM102" s="2">
        <f>IF(Table2[[#This Row],[GameIsOver]]=0,0,IF(Table2[[#This Row],[ActualWinner]]=Table2[[#This Row],[HomeTeam]], 1, 0))</f>
        <v>1</v>
      </c>
      <c r="AN1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" s="2" t="str">
        <f>INDEX(Sheet5!$B$2:$AG$33, MATCH(Table2[[#This Row],[AwayTeam]],Sheet5!$A$2:$A$33, 0), MATCH(Table2[[#This Row],[HomeTeam]],Sheet5!$A$2:$A$33, 0))</f>
        <v>0-1-0</v>
      </c>
      <c r="AP102" s="2" t="str">
        <f>INDEX(Sheet5!$B$2:$AG$33, MATCH(Table2[[#This Row],[HomeTeam]],Sheet5!$A$2:$A$33, 0), MATCH(Table2[[#This Row],[AwayTeam]],Sheet5!$A$2:$A$33, 0))</f>
        <v>1-0-0</v>
      </c>
      <c r="AQ102" s="2">
        <f>IF(Table2[[#This Row],[GameHasShutOut]], 1, 0)</f>
        <v>0</v>
      </c>
      <c r="AR102" s="2">
        <f>IF(Table2[[#This Row],[ActualAwayScore]] + Table2[[#This Row],[ActualHomeScore]] &gt;= 10, 1, 0)</f>
        <v>0</v>
      </c>
      <c r="AS102" s="2">
        <f>IF(ABS(Table2[[#This Row],[ActualAwayScore]]-Table2[[#This Row],[ActualHomeScore]])&gt;=5, 1, 0)</f>
        <v>0</v>
      </c>
      <c r="AT102" s="2">
        <f>IF(Table2[[#This Row],[ActualAwayScore]] + Table2[[#This Row],[ActualHomeScore]] &lt;= 3, 1, 0)</f>
        <v>0</v>
      </c>
      <c r="AU102" s="2"/>
      <c r="AV102" s="2"/>
    </row>
    <row r="103" spans="1:48" x14ac:dyDescent="0.25">
      <c r="A103" s="3">
        <v>45951</v>
      </c>
      <c r="B103" s="3">
        <v>45951</v>
      </c>
      <c r="C103" s="5">
        <v>2025020101</v>
      </c>
      <c r="D103" s="2" t="s">
        <v>24</v>
      </c>
      <c r="E103" s="2" t="s">
        <v>20</v>
      </c>
      <c r="F103" s="2">
        <v>3</v>
      </c>
      <c r="G103" s="2">
        <v>4</v>
      </c>
      <c r="H103" s="2" t="str">
        <f t="shared" si="9"/>
        <v>PIT</v>
      </c>
      <c r="I103" s="2" t="s">
        <v>719</v>
      </c>
      <c r="J103" s="2">
        <v>1</v>
      </c>
      <c r="K103" s="2">
        <v>5</v>
      </c>
      <c r="L103" s="2" t="str">
        <f t="shared" si="10"/>
        <v>PIT</v>
      </c>
      <c r="M103" s="2" t="s">
        <v>718</v>
      </c>
      <c r="N103" s="2">
        <f>IF(ISBLANK(Table2[[#This Row],[ActualResult]]), 0, 1)</f>
        <v>1</v>
      </c>
      <c r="O103" s="2" t="str">
        <f>IF(ISBLANK(Table2[[#This Row],[ActualResult]]), "_", IF(Table2[[#This Row],[ActualWinner]]=Table2[[#This Row],[PredictedWinner]], "Y", "N"))</f>
        <v>Y</v>
      </c>
      <c r="P1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3" s="2">
        <v>1</v>
      </c>
      <c r="S103" s="2" t="str">
        <f t="shared" si="11"/>
        <v>VAN</v>
      </c>
      <c r="T1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" s="2">
        <f>IF(Table2[[#This Row],[InterConf]]=1,IF(Table2[[#This Row],[InterDiv]]=0, 1, 0), 0)</f>
        <v>0</v>
      </c>
      <c r="W1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" s="2"/>
      <c r="Y103" s="2"/>
      <c r="Z103" s="145">
        <f>IF(AND(Table2[[#This Row],[GameIsOver]]=1,Table2[[#This Row],[ActualHomeScore]]*Table2[[#This Row],[ActualAwayScore]]=0), 1,0)</f>
        <v>0</v>
      </c>
      <c r="AA1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03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3" s="2">
        <f>Table2[[#This Row],[ActualAwayScore]]-Table2[[#This Row],[PredictedAwayScore]]</f>
        <v>-2</v>
      </c>
      <c r="AG103" s="2">
        <f>Table2[[#This Row],[ActualHomeScore]]-Table2[[#This Row],[PredictedHomeScore]]</f>
        <v>1</v>
      </c>
      <c r="AH103" s="2">
        <f t="shared" si="12"/>
        <v>1</v>
      </c>
      <c r="AI103" s="2">
        <f t="shared" si="13"/>
        <v>-7</v>
      </c>
      <c r="AJ103" s="2">
        <v>3</v>
      </c>
      <c r="AK103" s="3">
        <v>45951</v>
      </c>
      <c r="AL103" s="2">
        <f>IF(Table2[[#This Row],[GameIsOver]]=0,0,IF(Table2[[#This Row],[ActualWinner]]=Table2[[#This Row],[AwayTeam]], 1, 0))</f>
        <v>0</v>
      </c>
      <c r="AM103" s="2">
        <f>IF(Table2[[#This Row],[GameIsOver]]=0,0,IF(Table2[[#This Row],[ActualWinner]]=Table2[[#This Row],[HomeTeam]], 1, 0))</f>
        <v>1</v>
      </c>
      <c r="AN1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" s="2" t="str">
        <f>INDEX(Sheet5!$B$2:$AG$33, MATCH(Table2[[#This Row],[AwayTeam]],Sheet5!$A$2:$A$33, 0), MATCH(Table2[[#This Row],[HomeTeam]],Sheet5!$A$2:$A$33, 0))</f>
        <v>0-1-0</v>
      </c>
      <c r="AP103" s="2" t="str">
        <f>INDEX(Sheet5!$B$2:$AG$33, MATCH(Table2[[#This Row],[HomeTeam]],Sheet5!$A$2:$A$33, 0), MATCH(Table2[[#This Row],[AwayTeam]],Sheet5!$A$2:$A$33, 0))</f>
        <v>1-0-0</v>
      </c>
      <c r="AQ103" s="2">
        <f>IF(Table2[[#This Row],[GameHasShutOut]], 1, 0)</f>
        <v>0</v>
      </c>
      <c r="AR103" s="2">
        <f>IF(Table2[[#This Row],[ActualAwayScore]] + Table2[[#This Row],[ActualHomeScore]] &gt;= 10, 1, 0)</f>
        <v>0</v>
      </c>
      <c r="AS103" s="2">
        <f>IF(ABS(Table2[[#This Row],[ActualAwayScore]]-Table2[[#This Row],[ActualHomeScore]])&gt;=5, 1, 0)</f>
        <v>0</v>
      </c>
      <c r="AT103" s="2">
        <f>IF(Table2[[#This Row],[ActualAwayScore]] + Table2[[#This Row],[ActualHomeScore]] &lt;= 3, 1, 0)</f>
        <v>0</v>
      </c>
      <c r="AU103" s="2"/>
      <c r="AV103" s="2"/>
    </row>
    <row r="104" spans="1:48" x14ac:dyDescent="0.25">
      <c r="A104" s="3">
        <v>45951</v>
      </c>
      <c r="B104" s="3">
        <v>45951</v>
      </c>
      <c r="C104" s="5">
        <v>2025020102</v>
      </c>
      <c r="D104" s="2" t="s">
        <v>11</v>
      </c>
      <c r="E104" s="2" t="s">
        <v>43</v>
      </c>
      <c r="F104" s="2">
        <v>2</v>
      </c>
      <c r="G104" s="2">
        <v>5</v>
      </c>
      <c r="H104" s="2" t="str">
        <f t="shared" si="9"/>
        <v>WSH</v>
      </c>
      <c r="I104" s="2" t="s">
        <v>718</v>
      </c>
      <c r="J104" s="2">
        <v>1</v>
      </c>
      <c r="K104" s="2">
        <v>4</v>
      </c>
      <c r="L104" s="2" t="str">
        <f t="shared" si="10"/>
        <v>WSH</v>
      </c>
      <c r="M104" s="2" t="s">
        <v>718</v>
      </c>
      <c r="N104" s="2">
        <f>IF(ISBLANK(Table2[[#This Row],[ActualResult]]), 0, 1)</f>
        <v>1</v>
      </c>
      <c r="O104" s="2" t="str">
        <f>IF(ISBLANK(Table2[[#This Row],[ActualResult]]), "_", IF(Table2[[#This Row],[ActualWinner]]=Table2[[#This Row],[PredictedWinner]], "Y", "N"))</f>
        <v>Y</v>
      </c>
      <c r="P1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4" s="2">
        <v>1</v>
      </c>
      <c r="S104" s="2" t="str">
        <f t="shared" si="11"/>
        <v>SEA</v>
      </c>
      <c r="T1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" s="2">
        <f>IF(Table2[[#This Row],[InterConf]]=1,IF(Table2[[#This Row],[InterDiv]]=0, 1, 0), 0)</f>
        <v>0</v>
      </c>
      <c r="W1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" s="2"/>
      <c r="Y104" s="2"/>
      <c r="Z104" s="145">
        <f>IF(AND(Table2[[#This Row],[GameIsOver]]=1,Table2[[#This Row],[ActualHomeScore]]*Table2[[#This Row],[ActualAwayScore]]=0), 1,0)</f>
        <v>0</v>
      </c>
      <c r="AA1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0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4" s="2">
        <f>Table2[[#This Row],[ActualAwayScore]]-Table2[[#This Row],[PredictedAwayScore]]</f>
        <v>-1</v>
      </c>
      <c r="AG104" s="2">
        <f>Table2[[#This Row],[ActualHomeScore]]-Table2[[#This Row],[PredictedHomeScore]]</f>
        <v>-1</v>
      </c>
      <c r="AH104" s="2">
        <f t="shared" si="12"/>
        <v>1</v>
      </c>
      <c r="AI104" s="2">
        <f t="shared" si="13"/>
        <v>-7</v>
      </c>
      <c r="AJ104" s="2">
        <v>5</v>
      </c>
      <c r="AK104" s="3">
        <v>45951</v>
      </c>
      <c r="AL104" s="2">
        <f>IF(Table2[[#This Row],[GameIsOver]]=0,0,IF(Table2[[#This Row],[ActualWinner]]=Table2[[#This Row],[AwayTeam]], 1, 0))</f>
        <v>0</v>
      </c>
      <c r="AM104" s="2">
        <f>IF(Table2[[#This Row],[GameIsOver]]=0,0,IF(Table2[[#This Row],[ActualWinner]]=Table2[[#This Row],[HomeTeam]], 1, 0))</f>
        <v>1</v>
      </c>
      <c r="AN1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" s="2" t="str">
        <f>INDEX(Sheet5!$B$2:$AG$33, MATCH(Table2[[#This Row],[AwayTeam]],Sheet5!$A$2:$A$33, 0), MATCH(Table2[[#This Row],[HomeTeam]],Sheet5!$A$2:$A$33, 0))</f>
        <v>0-1-0</v>
      </c>
      <c r="AP104" s="2" t="str">
        <f>INDEX(Sheet5!$B$2:$AG$33, MATCH(Table2[[#This Row],[HomeTeam]],Sheet5!$A$2:$A$33, 0), MATCH(Table2[[#This Row],[AwayTeam]],Sheet5!$A$2:$A$33, 0))</f>
        <v>1-0-0</v>
      </c>
      <c r="AQ104" s="2">
        <f>IF(Table2[[#This Row],[GameHasShutOut]], 1, 0)</f>
        <v>0</v>
      </c>
      <c r="AR104" s="2">
        <f>IF(Table2[[#This Row],[ActualAwayScore]] + Table2[[#This Row],[ActualHomeScore]] &gt;= 10, 1, 0)</f>
        <v>0</v>
      </c>
      <c r="AS104" s="2">
        <f>IF(ABS(Table2[[#This Row],[ActualAwayScore]]-Table2[[#This Row],[ActualHomeScore]])&gt;=5, 1, 0)</f>
        <v>0</v>
      </c>
      <c r="AT104" s="2">
        <f>IF(Table2[[#This Row],[ActualAwayScore]] + Table2[[#This Row],[ActualHomeScore]] &lt;= 3, 1, 0)</f>
        <v>0</v>
      </c>
      <c r="AU104" s="2"/>
      <c r="AV104" s="2"/>
    </row>
    <row r="105" spans="1:48" x14ac:dyDescent="0.25">
      <c r="A105" s="3">
        <v>45951</v>
      </c>
      <c r="B105" s="3">
        <v>45951</v>
      </c>
      <c r="C105" s="5">
        <v>2025020103</v>
      </c>
      <c r="D105" s="2" t="s">
        <v>13</v>
      </c>
      <c r="E105" s="2" t="s">
        <v>15</v>
      </c>
      <c r="F105" s="2">
        <v>2</v>
      </c>
      <c r="G105" s="2">
        <v>3</v>
      </c>
      <c r="H105" s="2" t="str">
        <f t="shared" si="9"/>
        <v>BOS</v>
      </c>
      <c r="I105" s="2" t="s">
        <v>718</v>
      </c>
      <c r="J105" s="2">
        <v>4</v>
      </c>
      <c r="K105" s="2">
        <v>3</v>
      </c>
      <c r="L105" s="2" t="str">
        <f t="shared" si="10"/>
        <v>FLA</v>
      </c>
      <c r="M105" s="2" t="s">
        <v>718</v>
      </c>
      <c r="N105" s="2">
        <f>IF(ISBLANK(Table2[[#This Row],[ActualResult]]), 0, 1)</f>
        <v>1</v>
      </c>
      <c r="O105" s="2" t="str">
        <f>IF(ISBLANK(Table2[[#This Row],[ActualResult]]), "_", IF(Table2[[#This Row],[ActualWinner]]=Table2[[#This Row],[PredictedWinner]], "Y", "N"))</f>
        <v>N</v>
      </c>
      <c r="P1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05" s="2">
        <v>1</v>
      </c>
      <c r="S105" s="2" t="str">
        <f t="shared" si="11"/>
        <v>BOS</v>
      </c>
      <c r="T1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" s="2">
        <f>IF(Table2[[#This Row],[InterConf]]=1,IF(Table2[[#This Row],[InterDiv]]=0, 1, 0), 0)</f>
        <v>0</v>
      </c>
      <c r="W1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" s="2"/>
      <c r="Y105" s="2"/>
      <c r="Z105" s="145">
        <f>IF(AND(Table2[[#This Row],[GameIsOver]]=1,Table2[[#This Row],[ActualHomeScore]]*Table2[[#This Row],[ActualAwayScore]]=0), 1,0)</f>
        <v>0</v>
      </c>
      <c r="AA10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5" s="2">
        <f>Table2[[#This Row],[ActualAwayScore]]-Table2[[#This Row],[PredictedAwayScore]]</f>
        <v>2</v>
      </c>
      <c r="AG105" s="2">
        <f>Table2[[#This Row],[ActualHomeScore]]-Table2[[#This Row],[PredictedHomeScore]]</f>
        <v>0</v>
      </c>
      <c r="AH105" s="2">
        <f t="shared" si="12"/>
        <v>1</v>
      </c>
      <c r="AI105" s="2">
        <f t="shared" si="13"/>
        <v>-7</v>
      </c>
      <c r="AJ105" s="2">
        <v>4</v>
      </c>
      <c r="AK105" s="3">
        <v>45951</v>
      </c>
      <c r="AL105" s="2">
        <f>IF(Table2[[#This Row],[GameIsOver]]=0,0,IF(Table2[[#This Row],[ActualWinner]]=Table2[[#This Row],[AwayTeam]], 1, 0))</f>
        <v>1</v>
      </c>
      <c r="AM105" s="2">
        <f>IF(Table2[[#This Row],[GameIsOver]]=0,0,IF(Table2[[#This Row],[ActualWinner]]=Table2[[#This Row],[HomeTeam]], 1, 0))</f>
        <v>0</v>
      </c>
      <c r="AN1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" s="2" t="str">
        <f>INDEX(Sheet5!$B$2:$AG$33, MATCH(Table2[[#This Row],[AwayTeam]],Sheet5!$A$2:$A$33, 0), MATCH(Table2[[#This Row],[HomeTeam]],Sheet5!$A$2:$A$33, 0))</f>
        <v>1-0-0</v>
      </c>
      <c r="AP105" s="2" t="str">
        <f>INDEX(Sheet5!$B$2:$AG$33, MATCH(Table2[[#This Row],[HomeTeam]],Sheet5!$A$2:$A$33, 0), MATCH(Table2[[#This Row],[AwayTeam]],Sheet5!$A$2:$A$33, 0))</f>
        <v>0-1-0</v>
      </c>
      <c r="AQ105" s="2">
        <f>IF(Table2[[#This Row],[GameHasShutOut]], 1, 0)</f>
        <v>0</v>
      </c>
      <c r="AR105" s="2">
        <f>IF(Table2[[#This Row],[ActualAwayScore]] + Table2[[#This Row],[ActualHomeScore]] &gt;= 10, 1, 0)</f>
        <v>0</v>
      </c>
      <c r="AS105" s="2">
        <f>IF(ABS(Table2[[#This Row],[ActualAwayScore]]-Table2[[#This Row],[ActualHomeScore]])&gt;=5, 1, 0)</f>
        <v>0</v>
      </c>
      <c r="AT105" s="2">
        <f>IF(Table2[[#This Row],[ActualAwayScore]] + Table2[[#This Row],[ActualHomeScore]] &lt;= 3, 1, 0)</f>
        <v>0</v>
      </c>
      <c r="AU105" s="2"/>
      <c r="AV105" s="2"/>
    </row>
    <row r="106" spans="1:48" x14ac:dyDescent="0.25">
      <c r="A106" s="3">
        <v>45951</v>
      </c>
      <c r="B106" s="3">
        <v>45951</v>
      </c>
      <c r="C106" s="5">
        <v>2025020104</v>
      </c>
      <c r="D106" s="2" t="s">
        <v>27</v>
      </c>
      <c r="E106" s="2" t="s">
        <v>12</v>
      </c>
      <c r="F106" s="2">
        <v>4</v>
      </c>
      <c r="G106" s="2">
        <v>3</v>
      </c>
      <c r="H106" s="2" t="str">
        <f t="shared" si="9"/>
        <v>LAK</v>
      </c>
      <c r="I106" s="2" t="s">
        <v>720</v>
      </c>
      <c r="J106" s="2">
        <v>2</v>
      </c>
      <c r="K106" s="2">
        <v>1</v>
      </c>
      <c r="L106" s="2" t="str">
        <f t="shared" si="10"/>
        <v>LAK</v>
      </c>
      <c r="M106" s="2" t="s">
        <v>720</v>
      </c>
      <c r="N106" s="2">
        <f>IF(ISBLANK(Table2[[#This Row],[ActualResult]]), 0, 1)</f>
        <v>1</v>
      </c>
      <c r="O106" s="2" t="str">
        <f>IF(ISBLANK(Table2[[#This Row],[ActualResult]]), "_", IF(Table2[[#This Row],[ActualWinner]]=Table2[[#This Row],[PredictedWinner]], "Y", "N"))</f>
        <v>Y</v>
      </c>
      <c r="P1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6" s="2">
        <v>0</v>
      </c>
      <c r="S106" s="2" t="str">
        <f t="shared" si="11"/>
        <v>STL</v>
      </c>
      <c r="T1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" s="2">
        <f>IF(Table2[[#This Row],[InterConf]]=1,IF(Table2[[#This Row],[InterDiv]]=0, 1, 0), 0)</f>
        <v>1</v>
      </c>
      <c r="W1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" s="2"/>
      <c r="Y106" s="2"/>
      <c r="Z106" s="145">
        <f>IF(AND(Table2[[#This Row],[GameIsOver]]=1,Table2[[#This Row],[ActualHomeScore]]*Table2[[#This Row],[ActualAwayScore]]=0), 1,0)</f>
        <v>0</v>
      </c>
      <c r="AA106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06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10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6" s="2">
        <f>Table2[[#This Row],[ActualAwayScore]]-Table2[[#This Row],[PredictedAwayScore]]</f>
        <v>-2</v>
      </c>
      <c r="AG106" s="2">
        <f>Table2[[#This Row],[ActualHomeScore]]-Table2[[#This Row],[PredictedHomeScore]]</f>
        <v>-2</v>
      </c>
      <c r="AH106" s="2">
        <f t="shared" si="12"/>
        <v>1</v>
      </c>
      <c r="AI106" s="2">
        <f t="shared" si="13"/>
        <v>-7</v>
      </c>
      <c r="AJ106" s="2"/>
      <c r="AK106" s="2"/>
      <c r="AL106" s="2">
        <f>IF(Table2[[#This Row],[GameIsOver]]=0,0,IF(Table2[[#This Row],[ActualWinner]]=Table2[[#This Row],[AwayTeam]], 1, 0))</f>
        <v>1</v>
      </c>
      <c r="AM106" s="2">
        <f>IF(Table2[[#This Row],[GameIsOver]]=0,0,IF(Table2[[#This Row],[ActualWinner]]=Table2[[#This Row],[HomeTeam]], 1, 0))</f>
        <v>0</v>
      </c>
      <c r="AN106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6" s="2" t="str">
        <f>INDEX(Sheet5!$B$2:$AG$33, MATCH(Table2[[#This Row],[AwayTeam]],Sheet5!$A$2:$A$33, 0), MATCH(Table2[[#This Row],[HomeTeam]],Sheet5!$A$2:$A$33, 0))</f>
        <v>1-0-0</v>
      </c>
      <c r="AP106" s="2" t="str">
        <f>INDEX(Sheet5!$B$2:$AG$33, MATCH(Table2[[#This Row],[HomeTeam]],Sheet5!$A$2:$A$33, 0), MATCH(Table2[[#This Row],[AwayTeam]],Sheet5!$A$2:$A$33, 0))</f>
        <v>0-0-1</v>
      </c>
      <c r="AQ106" s="2">
        <f>IF(Table2[[#This Row],[GameHasShutOut]], 1, 0)</f>
        <v>0</v>
      </c>
      <c r="AR106" s="2">
        <f>IF(Table2[[#This Row],[ActualAwayScore]] + Table2[[#This Row],[ActualHomeScore]] &gt;= 10, 1, 0)</f>
        <v>0</v>
      </c>
      <c r="AS106" s="2">
        <f>IF(ABS(Table2[[#This Row],[ActualAwayScore]]-Table2[[#This Row],[ActualHomeScore]])&gt;=5, 1, 0)</f>
        <v>0</v>
      </c>
      <c r="AT106" s="2">
        <f>IF(Table2[[#This Row],[ActualAwayScore]] + Table2[[#This Row],[ActualHomeScore]] &lt;= 3, 1, 0)</f>
        <v>1</v>
      </c>
      <c r="AU106" s="2"/>
      <c r="AV106" s="2"/>
    </row>
    <row r="107" spans="1:48" x14ac:dyDescent="0.25">
      <c r="A107" s="3">
        <v>45951</v>
      </c>
      <c r="B107" s="3">
        <v>45951</v>
      </c>
      <c r="C107" s="5">
        <v>2025020105</v>
      </c>
      <c r="D107" s="2" t="s">
        <v>44</v>
      </c>
      <c r="E107" s="2" t="s">
        <v>34</v>
      </c>
      <c r="F107" s="2">
        <v>2</v>
      </c>
      <c r="G107" s="2">
        <v>5</v>
      </c>
      <c r="H107" s="2" t="str">
        <f t="shared" si="9"/>
        <v>NSH</v>
      </c>
      <c r="I107" s="2" t="s">
        <v>718</v>
      </c>
      <c r="J107" s="2">
        <v>5</v>
      </c>
      <c r="K107" s="2">
        <v>2</v>
      </c>
      <c r="L107" s="2" t="str">
        <f t="shared" si="10"/>
        <v>ANA</v>
      </c>
      <c r="M107" s="2" t="s">
        <v>718</v>
      </c>
      <c r="N107" s="2">
        <f>IF(ISBLANK(Table2[[#This Row],[ActualResult]]), 0, 1)</f>
        <v>1</v>
      </c>
      <c r="O107" s="2" t="str">
        <f>IF(ISBLANK(Table2[[#This Row],[ActualResult]]), "_", IF(Table2[[#This Row],[ActualWinner]]=Table2[[#This Row],[PredictedWinner]], "Y", "N"))</f>
        <v>N</v>
      </c>
      <c r="P1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7" s="2">
        <v>1</v>
      </c>
      <c r="S107" s="2" t="str">
        <f t="shared" si="11"/>
        <v>NSH</v>
      </c>
      <c r="T1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" s="2">
        <f>IF(Table2[[#This Row],[InterConf]]=1,IF(Table2[[#This Row],[InterDiv]]=0, 1, 0), 0)</f>
        <v>1</v>
      </c>
      <c r="W1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" s="2"/>
      <c r="Y107" s="2"/>
      <c r="Z107" s="145">
        <f>IF(AND(Table2[[#This Row],[GameIsOver]]=1,Table2[[#This Row],[ActualHomeScore]]*Table2[[#This Row],[ActualAwayScore]]=0), 1,0)</f>
        <v>0</v>
      </c>
      <c r="AA10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" s="2">
        <f>Table2[[#This Row],[ActualAwayScore]]-Table2[[#This Row],[PredictedAwayScore]]</f>
        <v>3</v>
      </c>
      <c r="AG107" s="2">
        <f>Table2[[#This Row],[ActualHomeScore]]-Table2[[#This Row],[PredictedHomeScore]]</f>
        <v>-3</v>
      </c>
      <c r="AH107" s="2">
        <f t="shared" si="12"/>
        <v>1</v>
      </c>
      <c r="AI107" s="2">
        <f t="shared" si="13"/>
        <v>-7</v>
      </c>
      <c r="AJ107" s="2">
        <v>6</v>
      </c>
      <c r="AK107" s="3">
        <v>45951</v>
      </c>
      <c r="AL107" s="2">
        <f>IF(Table2[[#This Row],[GameIsOver]]=0,0,IF(Table2[[#This Row],[ActualWinner]]=Table2[[#This Row],[AwayTeam]], 1, 0))</f>
        <v>1</v>
      </c>
      <c r="AM107" s="2">
        <f>IF(Table2[[#This Row],[GameIsOver]]=0,0,IF(Table2[[#This Row],[ActualWinner]]=Table2[[#This Row],[HomeTeam]], 1, 0))</f>
        <v>0</v>
      </c>
      <c r="AN1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" s="2" t="str">
        <f>INDEX(Sheet5!$B$2:$AG$33, MATCH(Table2[[#This Row],[AwayTeam]],Sheet5!$A$2:$A$33, 0), MATCH(Table2[[#This Row],[HomeTeam]],Sheet5!$A$2:$A$33, 0))</f>
        <v>1-0-0</v>
      </c>
      <c r="AP107" s="2" t="str">
        <f>INDEX(Sheet5!$B$2:$AG$33, MATCH(Table2[[#This Row],[HomeTeam]],Sheet5!$A$2:$A$33, 0), MATCH(Table2[[#This Row],[AwayTeam]],Sheet5!$A$2:$A$33, 0))</f>
        <v>0-1-0</v>
      </c>
      <c r="AQ107" s="2">
        <f>IF(Table2[[#This Row],[GameHasShutOut]], 1, 0)</f>
        <v>0</v>
      </c>
      <c r="AR107" s="2">
        <f>IF(Table2[[#This Row],[ActualAwayScore]] + Table2[[#This Row],[ActualHomeScore]] &gt;= 10, 1, 0)</f>
        <v>0</v>
      </c>
      <c r="AS107" s="2">
        <f>IF(ABS(Table2[[#This Row],[ActualAwayScore]]-Table2[[#This Row],[ActualHomeScore]])&gt;=5, 1, 0)</f>
        <v>0</v>
      </c>
      <c r="AT107" s="2">
        <f>IF(Table2[[#This Row],[ActualAwayScore]] + Table2[[#This Row],[ActualHomeScore]] &lt;= 3, 1, 0)</f>
        <v>0</v>
      </c>
      <c r="AU107" s="2"/>
      <c r="AV107" s="2"/>
    </row>
    <row r="108" spans="1:48" x14ac:dyDescent="0.25">
      <c r="A108" s="3">
        <v>45951</v>
      </c>
      <c r="B108" s="3">
        <v>45951</v>
      </c>
      <c r="C108" s="5">
        <v>2025020106</v>
      </c>
      <c r="D108" s="2" t="s">
        <v>35</v>
      </c>
      <c r="E108" s="2" t="s">
        <v>33</v>
      </c>
      <c r="F108" s="2">
        <v>1</v>
      </c>
      <c r="G108" s="2">
        <v>4</v>
      </c>
      <c r="H108" s="2" t="str">
        <f t="shared" si="9"/>
        <v>DAL</v>
      </c>
      <c r="I108" s="2" t="s">
        <v>718</v>
      </c>
      <c r="J108" s="2">
        <v>5</v>
      </c>
      <c r="K108" s="2">
        <v>1</v>
      </c>
      <c r="L108" s="2" t="str">
        <f t="shared" si="10"/>
        <v>CBJ</v>
      </c>
      <c r="M108" s="2" t="s">
        <v>718</v>
      </c>
      <c r="N108" s="2">
        <f>IF(ISBLANK(Table2[[#This Row],[ActualResult]]), 0, 1)</f>
        <v>1</v>
      </c>
      <c r="O108" s="2" t="str">
        <f>IF(ISBLANK(Table2[[#This Row],[ActualResult]]), "_", IF(Table2[[#This Row],[ActualWinner]]=Table2[[#This Row],[PredictedWinner]], "Y", "N"))</f>
        <v>N</v>
      </c>
      <c r="P1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8" s="2">
        <v>0</v>
      </c>
      <c r="S108" s="2" t="str">
        <f t="shared" si="11"/>
        <v>DAL</v>
      </c>
      <c r="T1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" s="2">
        <f>IF(Table2[[#This Row],[InterConf]]=1,IF(Table2[[#This Row],[InterDiv]]=0, 1, 0), 0)</f>
        <v>0</v>
      </c>
      <c r="W1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8" s="2"/>
      <c r="Y108" s="2"/>
      <c r="Z108" s="145">
        <f>IF(AND(Table2[[#This Row],[GameIsOver]]=1,Table2[[#This Row],[ActualHomeScore]]*Table2[[#This Row],[ActualAwayScore]]=0), 1,0)</f>
        <v>0</v>
      </c>
      <c r="AA10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8" s="2">
        <f>Table2[[#This Row],[ActualAwayScore]]-Table2[[#This Row],[PredictedAwayScore]]</f>
        <v>4</v>
      </c>
      <c r="AG108" s="2">
        <f>Table2[[#This Row],[ActualHomeScore]]-Table2[[#This Row],[PredictedHomeScore]]</f>
        <v>-3</v>
      </c>
      <c r="AH108" s="2">
        <f t="shared" si="12"/>
        <v>1</v>
      </c>
      <c r="AI108" s="2">
        <f t="shared" si="13"/>
        <v>-7</v>
      </c>
      <c r="AJ108" s="2"/>
      <c r="AK108" s="2"/>
      <c r="AL108" s="2">
        <f>IF(Table2[[#This Row],[GameIsOver]]=0,0,IF(Table2[[#This Row],[ActualWinner]]=Table2[[#This Row],[AwayTeam]], 1, 0))</f>
        <v>1</v>
      </c>
      <c r="AM108" s="2">
        <f>IF(Table2[[#This Row],[GameIsOver]]=0,0,IF(Table2[[#This Row],[ActualWinner]]=Table2[[#This Row],[HomeTeam]], 1, 0))</f>
        <v>0</v>
      </c>
      <c r="AN1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" s="2" t="str">
        <f>INDEX(Sheet5!$B$2:$AG$33, MATCH(Table2[[#This Row],[AwayTeam]],Sheet5!$A$2:$A$33, 0), MATCH(Table2[[#This Row],[HomeTeam]],Sheet5!$A$2:$A$33, 0))</f>
        <v>1-0-0</v>
      </c>
      <c r="AP108" s="2" t="str">
        <f>INDEX(Sheet5!$B$2:$AG$33, MATCH(Table2[[#This Row],[HomeTeam]],Sheet5!$A$2:$A$33, 0), MATCH(Table2[[#This Row],[AwayTeam]],Sheet5!$A$2:$A$33, 0))</f>
        <v>0-1-0</v>
      </c>
      <c r="AQ108" s="2">
        <f>IF(Table2[[#This Row],[GameHasShutOut]], 1, 0)</f>
        <v>0</v>
      </c>
      <c r="AR108" s="2">
        <f>IF(Table2[[#This Row],[ActualAwayScore]] + Table2[[#This Row],[ActualHomeScore]] &gt;= 10, 1, 0)</f>
        <v>0</v>
      </c>
      <c r="AS108" s="2">
        <f>IF(ABS(Table2[[#This Row],[ActualAwayScore]]-Table2[[#This Row],[ActualHomeScore]])&gt;=5, 1, 0)</f>
        <v>0</v>
      </c>
      <c r="AT108" s="2">
        <f>IF(Table2[[#This Row],[ActualAwayScore]] + Table2[[#This Row],[ActualHomeScore]] &lt;= 3, 1, 0)</f>
        <v>0</v>
      </c>
      <c r="AU108" s="2"/>
      <c r="AV108" s="2"/>
    </row>
    <row r="109" spans="1:48" x14ac:dyDescent="0.25">
      <c r="A109" s="141">
        <v>45951</v>
      </c>
      <c r="B109" s="141">
        <v>45951</v>
      </c>
      <c r="C109" s="142">
        <v>2025020107</v>
      </c>
      <c r="D109" s="143" t="s">
        <v>25</v>
      </c>
      <c r="E109" s="143" t="s">
        <v>14</v>
      </c>
      <c r="F109" s="143">
        <v>5</v>
      </c>
      <c r="G109" s="143">
        <v>3</v>
      </c>
      <c r="H109" s="143" t="str">
        <f t="shared" si="9"/>
        <v>COL</v>
      </c>
      <c r="I109" s="143" t="s">
        <v>718</v>
      </c>
      <c r="J109" s="143">
        <v>3</v>
      </c>
      <c r="K109" s="143">
        <v>4</v>
      </c>
      <c r="L109" s="143" t="str">
        <f t="shared" si="10"/>
        <v>UTA</v>
      </c>
      <c r="M109" s="143" t="s">
        <v>720</v>
      </c>
      <c r="N109" s="143">
        <f>IF(ISBLANK(Table2[[#This Row],[ActualResult]]), 0, 1)</f>
        <v>1</v>
      </c>
      <c r="O109" s="143" t="str">
        <f>IF(ISBLANK(Table2[[#This Row],[ActualResult]]), "_", IF(Table2[[#This Row],[ActualWinner]]=Table2[[#This Row],[PredictedWinner]], "Y", "N"))</f>
        <v>N</v>
      </c>
      <c r="P109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9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9" s="143">
        <v>1</v>
      </c>
      <c r="S109" s="143" t="str">
        <f t="shared" si="11"/>
        <v>COL</v>
      </c>
      <c r="T109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" s="143">
        <f>IF(Table2[[#This Row],[InterConf]]=1,IF(Table2[[#This Row],[InterDiv]]=0, 1, 0), 0)</f>
        <v>0</v>
      </c>
      <c r="W109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" s="143"/>
      <c r="Y109" s="143"/>
      <c r="Z109" s="149">
        <f>IF(AND(Table2[[#This Row],[GameIsOver]]=1,Table2[[#This Row],[ActualHomeScore]]*Table2[[#This Row],[ActualAwayScore]]=0), 1,0)</f>
        <v>0</v>
      </c>
      <c r="AA109" s="149">
        <f>IF(Table2[[#This Row],[GameIsOver]]=0,0, IF(Table2[[#This Row],[ActualWinner]]=Table2[[#This Row],[AwayTeam]], 2, IF(OR(Table2[[#This Row],[ActualResult]]="OT", Table2[[#This Row],[ActualResult]]="SO"), 1, 0)))</f>
        <v>1</v>
      </c>
      <c r="AB109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109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9" s="143">
        <f>Table2[[#This Row],[ActualAwayScore]]-Table2[[#This Row],[PredictedAwayScore]]</f>
        <v>-2</v>
      </c>
      <c r="AG109" s="143">
        <f>Table2[[#This Row],[ActualHomeScore]]-Table2[[#This Row],[PredictedHomeScore]]</f>
        <v>1</v>
      </c>
      <c r="AH109" s="143">
        <f t="shared" si="12"/>
        <v>1</v>
      </c>
      <c r="AI109" s="143">
        <f t="shared" si="13"/>
        <v>-7</v>
      </c>
      <c r="AJ109" s="143">
        <v>7</v>
      </c>
      <c r="AK109" s="141">
        <v>45951</v>
      </c>
      <c r="AL109" s="143">
        <f>IF(Table2[[#This Row],[GameIsOver]]=0,0,IF(Table2[[#This Row],[ActualWinner]]=Table2[[#This Row],[AwayTeam]], 1, 0))</f>
        <v>0</v>
      </c>
      <c r="AM109" s="143">
        <f>IF(Table2[[#This Row],[GameIsOver]]=0,0,IF(Table2[[#This Row],[ActualWinner]]=Table2[[#This Row],[HomeTeam]], 1, 0))</f>
        <v>1</v>
      </c>
      <c r="AN109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109" s="143" t="str">
        <f>INDEX(Sheet5!$B$2:$AG$33, MATCH(Table2[[#This Row],[AwayTeam]],Sheet5!$A$2:$A$33, 0), MATCH(Table2[[#This Row],[HomeTeam]],Sheet5!$A$2:$A$33, 0))</f>
        <v>1-0-1</v>
      </c>
      <c r="AP109" s="143" t="str">
        <f>INDEX(Sheet5!$B$2:$AG$33, MATCH(Table2[[#This Row],[HomeTeam]],Sheet5!$A$2:$A$33, 0), MATCH(Table2[[#This Row],[AwayTeam]],Sheet5!$A$2:$A$33, 0))</f>
        <v>1-1-0</v>
      </c>
      <c r="AQ109" s="143">
        <f>IF(Table2[[#This Row],[GameHasShutOut]], 1, 0)</f>
        <v>0</v>
      </c>
      <c r="AR109" s="143">
        <f>IF(Table2[[#This Row],[ActualAwayScore]] + Table2[[#This Row],[ActualHomeScore]] &gt;= 10, 1, 0)</f>
        <v>0</v>
      </c>
      <c r="AS109" s="143">
        <f>IF(ABS(Table2[[#This Row],[ActualAwayScore]]-Table2[[#This Row],[ActualHomeScore]])&gt;=5, 1, 0)</f>
        <v>0</v>
      </c>
      <c r="AT109" s="143">
        <f>IF(Table2[[#This Row],[ActualAwayScore]] + Table2[[#This Row],[ActualHomeScore]] &lt;= 3, 1, 0)</f>
        <v>0</v>
      </c>
      <c r="AU109" s="2"/>
      <c r="AV109" s="2"/>
    </row>
    <row r="110" spans="1:48" x14ac:dyDescent="0.25">
      <c r="A110" s="3">
        <v>45952</v>
      </c>
      <c r="B110" s="3">
        <v>45952</v>
      </c>
      <c r="C110" s="5">
        <v>2025020108</v>
      </c>
      <c r="D110" s="2" t="s">
        <v>36</v>
      </c>
      <c r="E110" s="2" t="s">
        <v>31</v>
      </c>
      <c r="F110" s="2">
        <v>3</v>
      </c>
      <c r="G110" s="2">
        <v>4</v>
      </c>
      <c r="H110" s="2" t="str">
        <f t="shared" si="9"/>
        <v>NJD</v>
      </c>
      <c r="I110" s="2" t="s">
        <v>720</v>
      </c>
      <c r="J110" s="2"/>
      <c r="K110" s="2"/>
      <c r="L110" s="2" t="str">
        <f t="shared" si="10"/>
        <v>_</v>
      </c>
      <c r="M110" s="2"/>
      <c r="N110" s="2">
        <f>IF(ISBLANK(Table2[[#This Row],[ActualResult]]), 0, 1)</f>
        <v>0</v>
      </c>
      <c r="O110" s="2" t="str">
        <f>IF(ISBLANK(Table2[[#This Row],[ActualResult]]), "_", IF(Table2[[#This Row],[ActualWinner]]=Table2[[#This Row],[PredictedWinner]], "Y", "N"))</f>
        <v>_</v>
      </c>
      <c r="P1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" s="2"/>
      <c r="S110" s="2" t="str">
        <f t="shared" si="11"/>
        <v>_</v>
      </c>
      <c r="T1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" s="2">
        <f>IF(Table2[[#This Row],[InterConf]]=1,IF(Table2[[#This Row],[InterDiv]]=0, 1, 0), 0)</f>
        <v>0</v>
      </c>
      <c r="W1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" s="2"/>
      <c r="Y110" s="2"/>
      <c r="Z110" s="145">
        <f>IF(AND(Table2[[#This Row],[GameIsOver]]=1,Table2[[#This Row],[ActualHomeScore]]*Table2[[#This Row],[ActualAwayScore]]=0), 1,0)</f>
        <v>0</v>
      </c>
      <c r="AA1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0" s="2">
        <f>Table2[[#This Row],[ActualAwayScore]]-Table2[[#This Row],[PredictedAwayScore]]</f>
        <v>-3</v>
      </c>
      <c r="AG110" s="2">
        <f>Table2[[#This Row],[ActualHomeScore]]-Table2[[#This Row],[PredictedHomeScore]]</f>
        <v>-4</v>
      </c>
      <c r="AH110" s="2">
        <f t="shared" si="12"/>
        <v>-9</v>
      </c>
      <c r="AI110" s="2">
        <f t="shared" si="13"/>
        <v>-9</v>
      </c>
      <c r="AJ110" s="2"/>
      <c r="AK110" s="2"/>
      <c r="AL110" s="2">
        <f>IF(Table2[[#This Row],[GameIsOver]]=0,0,IF(Table2[[#This Row],[ActualWinner]]=Table2[[#This Row],[AwayTeam]], 1, 0))</f>
        <v>0</v>
      </c>
      <c r="AM110" s="2">
        <f>IF(Table2[[#This Row],[GameIsOver]]=0,0,IF(Table2[[#This Row],[ActualWinner]]=Table2[[#This Row],[HomeTeam]], 1, 0))</f>
        <v>0</v>
      </c>
      <c r="AN1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" s="2" t="str">
        <f>INDEX(Sheet5!$B$2:$AG$33, MATCH(Table2[[#This Row],[AwayTeam]],Sheet5!$A$2:$A$33, 0), MATCH(Table2[[#This Row],[HomeTeam]],Sheet5!$A$2:$A$33, 0))</f>
        <v>0-0-0</v>
      </c>
      <c r="AP110" s="2" t="str">
        <f>INDEX(Sheet5!$B$2:$AG$33, MATCH(Table2[[#This Row],[HomeTeam]],Sheet5!$A$2:$A$33, 0), MATCH(Table2[[#This Row],[AwayTeam]],Sheet5!$A$2:$A$33, 0))</f>
        <v>0-0-0</v>
      </c>
      <c r="AQ110" s="2">
        <f>IF(Table2[[#This Row],[GameHasShutOut]], 1, 0)</f>
        <v>0</v>
      </c>
      <c r="AR110" s="2">
        <f>IF(Table2[[#This Row],[ActualAwayScore]] + Table2[[#This Row],[ActualHomeScore]] &gt;= 10, 1, 0)</f>
        <v>0</v>
      </c>
      <c r="AS110" s="2">
        <f>IF(ABS(Table2[[#This Row],[ActualAwayScore]]-Table2[[#This Row],[ActualHomeScore]])&gt;=5, 1, 0)</f>
        <v>0</v>
      </c>
      <c r="AT110" s="2">
        <f>IF(Table2[[#This Row],[ActualAwayScore]] + Table2[[#This Row],[ActualHomeScore]] &lt;= 3, 1, 0)</f>
        <v>1</v>
      </c>
      <c r="AU110" s="2"/>
      <c r="AV110" s="2"/>
    </row>
    <row r="111" spans="1:48" x14ac:dyDescent="0.25">
      <c r="A111" s="3">
        <v>45952</v>
      </c>
      <c r="B111" s="3">
        <v>45952</v>
      </c>
      <c r="C111" s="5">
        <v>2025020109</v>
      </c>
      <c r="D111" s="2" t="s">
        <v>30</v>
      </c>
      <c r="E111" s="2" t="s">
        <v>28</v>
      </c>
      <c r="F111" s="2">
        <v>4</v>
      </c>
      <c r="G111" s="2">
        <v>2</v>
      </c>
      <c r="H111" s="2" t="str">
        <f t="shared" si="9"/>
        <v>DET</v>
      </c>
      <c r="I111" s="2" t="s">
        <v>718</v>
      </c>
      <c r="J111" s="2"/>
      <c r="K111" s="2"/>
      <c r="L111" s="2" t="str">
        <f t="shared" si="10"/>
        <v>_</v>
      </c>
      <c r="M111" s="2"/>
      <c r="N111" s="2">
        <f>IF(ISBLANK(Table2[[#This Row],[ActualResult]]), 0, 1)</f>
        <v>0</v>
      </c>
      <c r="O111" s="2" t="str">
        <f>IF(ISBLANK(Table2[[#This Row],[ActualResult]]), "_", IF(Table2[[#This Row],[ActualWinner]]=Table2[[#This Row],[PredictedWinner]], "Y", "N"))</f>
        <v>_</v>
      </c>
      <c r="P1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" s="2"/>
      <c r="S111" s="2" t="str">
        <f t="shared" si="11"/>
        <v>_</v>
      </c>
      <c r="T1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" s="2">
        <f>IF(Table2[[#This Row],[InterConf]]=1,IF(Table2[[#This Row],[InterDiv]]=0, 1, 0), 0)</f>
        <v>0</v>
      </c>
      <c r="W1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" s="2"/>
      <c r="Y111" s="2"/>
      <c r="Z111" s="145">
        <f>IF(AND(Table2[[#This Row],[GameIsOver]]=1,Table2[[#This Row],[ActualHomeScore]]*Table2[[#This Row],[ActualAwayScore]]=0), 1,0)</f>
        <v>0</v>
      </c>
      <c r="AA1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1" s="2">
        <f>Table2[[#This Row],[ActualAwayScore]]-Table2[[#This Row],[PredictedAwayScore]]</f>
        <v>-4</v>
      </c>
      <c r="AG111" s="2">
        <f>Table2[[#This Row],[ActualHomeScore]]-Table2[[#This Row],[PredictedHomeScore]]</f>
        <v>-2</v>
      </c>
      <c r="AH111" s="2">
        <f t="shared" si="12"/>
        <v>-9</v>
      </c>
      <c r="AI111" s="2">
        <f t="shared" si="13"/>
        <v>-9</v>
      </c>
      <c r="AJ111" s="2"/>
      <c r="AK111" s="2"/>
      <c r="AL111" s="2">
        <f>IF(Table2[[#This Row],[GameIsOver]]=0,0,IF(Table2[[#This Row],[ActualWinner]]=Table2[[#This Row],[AwayTeam]], 1, 0))</f>
        <v>0</v>
      </c>
      <c r="AM111" s="2">
        <f>IF(Table2[[#This Row],[GameIsOver]]=0,0,IF(Table2[[#This Row],[ActualWinner]]=Table2[[#This Row],[HomeTeam]], 1, 0))</f>
        <v>0</v>
      </c>
      <c r="AN1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" s="2" t="str">
        <f>INDEX(Sheet5!$B$2:$AG$33, MATCH(Table2[[#This Row],[AwayTeam]],Sheet5!$A$2:$A$33, 0), MATCH(Table2[[#This Row],[HomeTeam]],Sheet5!$A$2:$A$33, 0))</f>
        <v>0-0-0</v>
      </c>
      <c r="AP111" s="2" t="str">
        <f>INDEX(Sheet5!$B$2:$AG$33, MATCH(Table2[[#This Row],[HomeTeam]],Sheet5!$A$2:$A$33, 0), MATCH(Table2[[#This Row],[AwayTeam]],Sheet5!$A$2:$A$33, 0))</f>
        <v>0-0-0</v>
      </c>
      <c r="AQ111" s="2">
        <f>IF(Table2[[#This Row],[GameHasShutOut]], 1, 0)</f>
        <v>0</v>
      </c>
      <c r="AR111" s="2">
        <f>IF(Table2[[#This Row],[ActualAwayScore]] + Table2[[#This Row],[ActualHomeScore]] &gt;= 10, 1, 0)</f>
        <v>0</v>
      </c>
      <c r="AS111" s="2">
        <f>IF(ABS(Table2[[#This Row],[ActualAwayScore]]-Table2[[#This Row],[ActualHomeScore]])&gt;=5, 1, 0)</f>
        <v>0</v>
      </c>
      <c r="AT111" s="2">
        <f>IF(Table2[[#This Row],[ActualAwayScore]] + Table2[[#This Row],[ActualHomeScore]] &lt;= 3, 1, 0)</f>
        <v>1</v>
      </c>
      <c r="AU111" s="2"/>
      <c r="AV111" s="2"/>
    </row>
    <row r="112" spans="1:48" x14ac:dyDescent="0.25">
      <c r="A112" s="141">
        <v>45952</v>
      </c>
      <c r="B112" s="141">
        <v>45952</v>
      </c>
      <c r="C112" s="142">
        <v>2025020110</v>
      </c>
      <c r="D112" s="143" t="s">
        <v>18</v>
      </c>
      <c r="E112" s="143" t="s">
        <v>23</v>
      </c>
      <c r="F112" s="143">
        <v>2</v>
      </c>
      <c r="G112" s="143">
        <v>3</v>
      </c>
      <c r="H112" s="143" t="str">
        <f t="shared" si="9"/>
        <v>CGY</v>
      </c>
      <c r="I112" s="143" t="s">
        <v>719</v>
      </c>
      <c r="J112" s="143"/>
      <c r="K112" s="143"/>
      <c r="L112" s="143" t="str">
        <f t="shared" si="10"/>
        <v>_</v>
      </c>
      <c r="M112" s="143"/>
      <c r="N112" s="143">
        <f>IF(ISBLANK(Table2[[#This Row],[ActualResult]]), 0, 1)</f>
        <v>0</v>
      </c>
      <c r="O112" s="143" t="str">
        <f>IF(ISBLANK(Table2[[#This Row],[ActualResult]]), "_", IF(Table2[[#This Row],[ActualWinner]]=Table2[[#This Row],[PredictedWinner]], "Y", "N"))</f>
        <v>_</v>
      </c>
      <c r="P112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" s="143"/>
      <c r="S112" s="143" t="str">
        <f t="shared" si="11"/>
        <v>_</v>
      </c>
      <c r="T112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" s="143">
        <f>IF(Table2[[#This Row],[InterConf]]=1,IF(Table2[[#This Row],[InterDiv]]=0, 1, 0), 0)</f>
        <v>0</v>
      </c>
      <c r="W112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" s="143"/>
      <c r="Y112" s="143"/>
      <c r="Z112" s="149">
        <f>IF(AND(Table2[[#This Row],[GameIsOver]]=1,Table2[[#This Row],[ActualHomeScore]]*Table2[[#This Row],[ActualAwayScore]]=0), 1,0)</f>
        <v>0</v>
      </c>
      <c r="AA112" s="149">
        <f>IF(Table2[[#This Row],[GameIsOver]]=0,0, IF(Table2[[#This Row],[ActualWinner]]=Table2[[#This Row],[AwayTeam]], 2, IF(OR(Table2[[#This Row],[ActualResult]]="OT", Table2[[#This Row],[ActualResult]]="SO"), 1, 0)))</f>
        <v>0</v>
      </c>
      <c r="AB112" s="149">
        <f>IF(Table2[[#This Row],[GameIsOver]]= 0, 0, IF(Table2[[#This Row],[ActualWinner]]=Table2[[#This Row],[HomeTeam]], 2, IF(OR(Table2[[#This Row],[ActualResult]]="OT", Table2[[#This Row],[ActualResult]]="SO"), 1, 0)))</f>
        <v>0</v>
      </c>
      <c r="AC112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2" s="143">
        <f>Table2[[#This Row],[ActualAwayScore]]-Table2[[#This Row],[PredictedAwayScore]]</f>
        <v>-2</v>
      </c>
      <c r="AG112" s="143">
        <f>Table2[[#This Row],[ActualHomeScore]]-Table2[[#This Row],[PredictedHomeScore]]</f>
        <v>-3</v>
      </c>
      <c r="AH112" s="143">
        <f t="shared" si="12"/>
        <v>-9</v>
      </c>
      <c r="AI112" s="143">
        <f t="shared" si="13"/>
        <v>-9</v>
      </c>
      <c r="AJ112" s="143"/>
      <c r="AK112" s="143"/>
      <c r="AL112" s="143">
        <f>IF(Table2[[#This Row],[GameIsOver]]=0,0,IF(Table2[[#This Row],[ActualWinner]]=Table2[[#This Row],[AwayTeam]], 1, 0))</f>
        <v>0</v>
      </c>
      <c r="AM112" s="143">
        <f>IF(Table2[[#This Row],[GameIsOver]]=0,0,IF(Table2[[#This Row],[ActualWinner]]=Table2[[#This Row],[HomeTeam]], 1, 0))</f>
        <v>0</v>
      </c>
      <c r="AN112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112" s="143" t="str">
        <f>INDEX(Sheet5!$B$2:$AG$33, MATCH(Table2[[#This Row],[AwayTeam]],Sheet5!$A$2:$A$33, 0), MATCH(Table2[[#This Row],[HomeTeam]],Sheet5!$A$2:$A$33, 0))</f>
        <v>0-0-0</v>
      </c>
      <c r="AP112" s="143" t="str">
        <f>INDEX(Sheet5!$B$2:$AG$33, MATCH(Table2[[#This Row],[HomeTeam]],Sheet5!$A$2:$A$33, 0), MATCH(Table2[[#This Row],[AwayTeam]],Sheet5!$A$2:$A$33, 0))</f>
        <v>0-0-0</v>
      </c>
      <c r="AQ112" s="143">
        <f>IF(Table2[[#This Row],[GameHasShutOut]], 1, 0)</f>
        <v>0</v>
      </c>
      <c r="AR112" s="143">
        <f>IF(Table2[[#This Row],[ActualAwayScore]] + Table2[[#This Row],[ActualHomeScore]] &gt;= 10, 1, 0)</f>
        <v>0</v>
      </c>
      <c r="AS112" s="143">
        <f>IF(ABS(Table2[[#This Row],[ActualAwayScore]]-Table2[[#This Row],[ActualHomeScore]])&gt;=5, 1, 0)</f>
        <v>0</v>
      </c>
      <c r="AT112" s="143">
        <f>IF(Table2[[#This Row],[ActualAwayScore]] + Table2[[#This Row],[ActualHomeScore]] &lt;= 3, 1, 0)</f>
        <v>1</v>
      </c>
      <c r="AU112" s="2"/>
      <c r="AV112" s="2"/>
    </row>
    <row r="113" spans="1:48" x14ac:dyDescent="0.25">
      <c r="A113" s="3"/>
      <c r="B113" s="3">
        <v>45953</v>
      </c>
      <c r="C113" s="5">
        <v>2025020111</v>
      </c>
      <c r="D113" s="2" t="s">
        <v>44</v>
      </c>
      <c r="E113" s="2" t="s">
        <v>15</v>
      </c>
      <c r="F113" s="2"/>
      <c r="G113" s="2"/>
      <c r="H113" s="2" t="str">
        <f t="shared" si="9"/>
        <v>_</v>
      </c>
      <c r="I113" s="2"/>
      <c r="J113" s="2"/>
      <c r="K113" s="2"/>
      <c r="L113" s="2" t="str">
        <f t="shared" si="10"/>
        <v>_</v>
      </c>
      <c r="M113" s="2"/>
      <c r="N113" s="2">
        <f>IF(ISBLANK(Table2[[#This Row],[ActualResult]]), 0, 1)</f>
        <v>0</v>
      </c>
      <c r="O113" s="2" t="str">
        <f>IF(ISBLANK(Table2[[#This Row],[ActualResult]]), "_", IF(Table2[[#This Row],[ActualWinner]]=Table2[[#This Row],[PredictedWinner]], "Y", "N"))</f>
        <v>_</v>
      </c>
      <c r="P1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" s="2"/>
      <c r="S113" s="2" t="str">
        <f t="shared" si="11"/>
        <v>_</v>
      </c>
      <c r="T1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" s="2">
        <f>IF(Table2[[#This Row],[InterConf]]=1,IF(Table2[[#This Row],[InterDiv]]=0, 1, 0), 0)</f>
        <v>0</v>
      </c>
      <c r="W1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3" s="2"/>
      <c r="Y113" s="2"/>
      <c r="Z113" s="145">
        <f>IF(AND(Table2[[#This Row],[GameIsOver]]=1,Table2[[#This Row],[ActualHomeScore]]*Table2[[#This Row],[ActualAwayScore]]=0), 1,0)</f>
        <v>0</v>
      </c>
      <c r="AA1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3" s="2">
        <f>Table2[[#This Row],[ActualAwayScore]]-Table2[[#This Row],[PredictedAwayScore]]</f>
        <v>0</v>
      </c>
      <c r="AG113" s="2">
        <f>Table2[[#This Row],[ActualHomeScore]]-Table2[[#This Row],[PredictedHomeScore]]</f>
        <v>0</v>
      </c>
      <c r="AH113" s="2">
        <f t="shared" si="12"/>
        <v>0</v>
      </c>
      <c r="AI113" s="2">
        <f t="shared" si="13"/>
        <v>0</v>
      </c>
      <c r="AJ113" s="2"/>
      <c r="AK113" s="2"/>
      <c r="AL113" s="2">
        <f>IF(Table2[[#This Row],[GameIsOver]]=0,0,IF(Table2[[#This Row],[ActualWinner]]=Table2[[#This Row],[AwayTeam]], 1, 0))</f>
        <v>0</v>
      </c>
      <c r="AM113" s="2">
        <f>IF(Table2[[#This Row],[GameIsOver]]=0,0,IF(Table2[[#This Row],[ActualWinner]]=Table2[[#This Row],[HomeTeam]], 1, 0))</f>
        <v>0</v>
      </c>
      <c r="AN1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" s="2" t="str">
        <f>INDEX(Sheet5!$B$2:$AG$33, MATCH(Table2[[#This Row],[AwayTeam]],Sheet5!$A$2:$A$33, 0), MATCH(Table2[[#This Row],[HomeTeam]],Sheet5!$A$2:$A$33, 0))</f>
        <v>0-0-0</v>
      </c>
      <c r="AP113" s="2" t="str">
        <f>INDEX(Sheet5!$B$2:$AG$33, MATCH(Table2[[#This Row],[HomeTeam]],Sheet5!$A$2:$A$33, 0), MATCH(Table2[[#This Row],[AwayTeam]],Sheet5!$A$2:$A$33, 0))</f>
        <v>0-0-0</v>
      </c>
      <c r="AQ113" s="2">
        <f>IF(Table2[[#This Row],[GameHasShutOut]], 1, 0)</f>
        <v>0</v>
      </c>
      <c r="AR113" s="2">
        <f>IF(Table2[[#This Row],[ActualAwayScore]] + Table2[[#This Row],[ActualHomeScore]] &gt;= 10, 1, 0)</f>
        <v>0</v>
      </c>
      <c r="AS113" s="2">
        <f>IF(ABS(Table2[[#This Row],[ActualAwayScore]]-Table2[[#This Row],[ActualHomeScore]])&gt;=5, 1, 0)</f>
        <v>0</v>
      </c>
      <c r="AT113" s="2">
        <f>IF(Table2[[#This Row],[ActualAwayScore]] + Table2[[#This Row],[ActualHomeScore]] &lt;= 3, 1, 0)</f>
        <v>1</v>
      </c>
      <c r="AU113" s="2"/>
      <c r="AV113" s="2"/>
    </row>
    <row r="114" spans="1:48" x14ac:dyDescent="0.25">
      <c r="A114" s="3"/>
      <c r="B114" s="3">
        <v>45953</v>
      </c>
      <c r="C114" s="5">
        <v>2025020112</v>
      </c>
      <c r="D114" s="2" t="s">
        <v>42</v>
      </c>
      <c r="E114" s="2" t="s">
        <v>29</v>
      </c>
      <c r="F114" s="2"/>
      <c r="G114" s="2"/>
      <c r="H114" s="2" t="str">
        <f t="shared" si="9"/>
        <v>_</v>
      </c>
      <c r="I114" s="2"/>
      <c r="J114" s="2"/>
      <c r="K114" s="2"/>
      <c r="L114" s="2" t="str">
        <f t="shared" si="10"/>
        <v>_</v>
      </c>
      <c r="M114" s="2"/>
      <c r="N114" s="2">
        <f>IF(ISBLANK(Table2[[#This Row],[ActualResult]]), 0, 1)</f>
        <v>0</v>
      </c>
      <c r="O114" s="2" t="str">
        <f>IF(ISBLANK(Table2[[#This Row],[ActualResult]]), "_", IF(Table2[[#This Row],[ActualWinner]]=Table2[[#This Row],[PredictedWinner]], "Y", "N"))</f>
        <v>_</v>
      </c>
      <c r="P1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" s="2"/>
      <c r="S114" s="2" t="str">
        <f t="shared" si="11"/>
        <v>_</v>
      </c>
      <c r="T1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" s="2">
        <f>IF(Table2[[#This Row],[InterConf]]=1,IF(Table2[[#This Row],[InterDiv]]=0, 1, 0), 0)</f>
        <v>1</v>
      </c>
      <c r="W1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" s="2"/>
      <c r="Y114" s="2"/>
      <c r="Z114" s="145">
        <f>IF(AND(Table2[[#This Row],[GameIsOver]]=1,Table2[[#This Row],[ActualHomeScore]]*Table2[[#This Row],[ActualAwayScore]]=0), 1,0)</f>
        <v>0</v>
      </c>
      <c r="AA1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" s="2">
        <f>Table2[[#This Row],[ActualAwayScore]]-Table2[[#This Row],[PredictedAwayScore]]</f>
        <v>0</v>
      </c>
      <c r="AG114" s="2">
        <f>Table2[[#This Row],[ActualHomeScore]]-Table2[[#This Row],[PredictedHomeScore]]</f>
        <v>0</v>
      </c>
      <c r="AH114" s="2">
        <f t="shared" si="12"/>
        <v>0</v>
      </c>
      <c r="AI114" s="2">
        <f t="shared" si="13"/>
        <v>0</v>
      </c>
      <c r="AJ114" s="2"/>
      <c r="AK114" s="2"/>
      <c r="AL114" s="2">
        <f>IF(Table2[[#This Row],[GameIsOver]]=0,0,IF(Table2[[#This Row],[ActualWinner]]=Table2[[#This Row],[AwayTeam]], 1, 0))</f>
        <v>0</v>
      </c>
      <c r="AM114" s="2">
        <f>IF(Table2[[#This Row],[GameIsOver]]=0,0,IF(Table2[[#This Row],[ActualWinner]]=Table2[[#This Row],[HomeTeam]], 1, 0))</f>
        <v>0</v>
      </c>
      <c r="AN1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" s="2" t="str">
        <f>INDEX(Sheet5!$B$2:$AG$33, MATCH(Table2[[#This Row],[AwayTeam]],Sheet5!$A$2:$A$33, 0), MATCH(Table2[[#This Row],[HomeTeam]],Sheet5!$A$2:$A$33, 0))</f>
        <v>0-0-0</v>
      </c>
      <c r="AP114" s="2" t="str">
        <f>INDEX(Sheet5!$B$2:$AG$33, MATCH(Table2[[#This Row],[HomeTeam]],Sheet5!$A$2:$A$33, 0), MATCH(Table2[[#This Row],[AwayTeam]],Sheet5!$A$2:$A$33, 0))</f>
        <v>0-0-0</v>
      </c>
      <c r="AQ114" s="2">
        <f>IF(Table2[[#This Row],[GameHasShutOut]], 1, 0)</f>
        <v>0</v>
      </c>
      <c r="AR114" s="2">
        <f>IF(Table2[[#This Row],[ActualAwayScore]] + Table2[[#This Row],[ActualHomeScore]] &gt;= 10, 1, 0)</f>
        <v>0</v>
      </c>
      <c r="AS114" s="2">
        <f>IF(ABS(Table2[[#This Row],[ActualAwayScore]]-Table2[[#This Row],[ActualHomeScore]])&gt;=5, 1, 0)</f>
        <v>0</v>
      </c>
      <c r="AT114" s="2">
        <f>IF(Table2[[#This Row],[ActualAwayScore]] + Table2[[#This Row],[ActualHomeScore]] &lt;= 3, 1, 0)</f>
        <v>1</v>
      </c>
      <c r="AU114" s="2"/>
      <c r="AV114" s="2"/>
    </row>
    <row r="115" spans="1:48" x14ac:dyDescent="0.25">
      <c r="A115" s="3"/>
      <c r="B115" s="3">
        <v>45953</v>
      </c>
      <c r="C115" s="5">
        <v>2025020113</v>
      </c>
      <c r="D115" s="2" t="s">
        <v>16</v>
      </c>
      <c r="E115" s="2" t="s">
        <v>40</v>
      </c>
      <c r="F115" s="2"/>
      <c r="G115" s="2"/>
      <c r="H115" s="2" t="str">
        <f t="shared" si="9"/>
        <v>_</v>
      </c>
      <c r="I115" s="2"/>
      <c r="J115" s="2"/>
      <c r="K115" s="2"/>
      <c r="L115" s="2" t="str">
        <f t="shared" si="10"/>
        <v>_</v>
      </c>
      <c r="M115" s="2"/>
      <c r="N115" s="2">
        <f>IF(ISBLANK(Table2[[#This Row],[ActualResult]]), 0, 1)</f>
        <v>0</v>
      </c>
      <c r="O115" s="2" t="str">
        <f>IF(ISBLANK(Table2[[#This Row],[ActualResult]]), "_", IF(Table2[[#This Row],[ActualWinner]]=Table2[[#This Row],[PredictedWinner]], "Y", "N"))</f>
        <v>_</v>
      </c>
      <c r="P1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" s="2"/>
      <c r="S115" s="2" t="str">
        <f t="shared" si="11"/>
        <v>_</v>
      </c>
      <c r="T1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" s="2">
        <f>IF(Table2[[#This Row],[InterConf]]=1,IF(Table2[[#This Row],[InterDiv]]=0, 1, 0), 0)</f>
        <v>0</v>
      </c>
      <c r="W1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" s="2"/>
      <c r="Y115" s="2"/>
      <c r="Z115" s="145">
        <f>IF(AND(Table2[[#This Row],[GameIsOver]]=1,Table2[[#This Row],[ActualHomeScore]]*Table2[[#This Row],[ActualAwayScore]]=0), 1,0)</f>
        <v>0</v>
      </c>
      <c r="AA1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5" s="2">
        <f>Table2[[#This Row],[ActualAwayScore]]-Table2[[#This Row],[PredictedAwayScore]]</f>
        <v>0</v>
      </c>
      <c r="AG115" s="2">
        <f>Table2[[#This Row],[ActualHomeScore]]-Table2[[#This Row],[PredictedHomeScore]]</f>
        <v>0</v>
      </c>
      <c r="AH115" s="2">
        <f t="shared" si="12"/>
        <v>0</v>
      </c>
      <c r="AI115" s="2">
        <f t="shared" si="13"/>
        <v>0</v>
      </c>
      <c r="AJ115" s="2"/>
      <c r="AK115" s="2"/>
      <c r="AL115" s="2">
        <f>IF(Table2[[#This Row],[GameIsOver]]=0,0,IF(Table2[[#This Row],[ActualWinner]]=Table2[[#This Row],[AwayTeam]], 1, 0))</f>
        <v>0</v>
      </c>
      <c r="AM115" s="2">
        <f>IF(Table2[[#This Row],[GameIsOver]]=0,0,IF(Table2[[#This Row],[ActualWinner]]=Table2[[#This Row],[HomeTeam]], 1, 0))</f>
        <v>0</v>
      </c>
      <c r="AN1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" s="2" t="str">
        <f>INDEX(Sheet5!$B$2:$AG$33, MATCH(Table2[[#This Row],[AwayTeam]],Sheet5!$A$2:$A$33, 0), MATCH(Table2[[#This Row],[HomeTeam]],Sheet5!$A$2:$A$33, 0))</f>
        <v>0-0-0</v>
      </c>
      <c r="AP115" s="2" t="str">
        <f>INDEX(Sheet5!$B$2:$AG$33, MATCH(Table2[[#This Row],[HomeTeam]],Sheet5!$A$2:$A$33, 0), MATCH(Table2[[#This Row],[AwayTeam]],Sheet5!$A$2:$A$33, 0))</f>
        <v>0-0-0</v>
      </c>
      <c r="AQ115" s="2">
        <f>IF(Table2[[#This Row],[GameHasShutOut]], 1, 0)</f>
        <v>0</v>
      </c>
      <c r="AR115" s="2">
        <f>IF(Table2[[#This Row],[ActualAwayScore]] + Table2[[#This Row],[ActualHomeScore]] &gt;= 10, 1, 0)</f>
        <v>0</v>
      </c>
      <c r="AS115" s="2">
        <f>IF(ABS(Table2[[#This Row],[ActualAwayScore]]-Table2[[#This Row],[ActualHomeScore]])&gt;=5, 1, 0)</f>
        <v>0</v>
      </c>
      <c r="AT115" s="2">
        <f>IF(Table2[[#This Row],[ActualAwayScore]] + Table2[[#This Row],[ActualHomeScore]] &lt;= 3, 1, 0)</f>
        <v>1</v>
      </c>
      <c r="AU115" s="2"/>
      <c r="AV115" s="2"/>
    </row>
    <row r="116" spans="1:48" x14ac:dyDescent="0.25">
      <c r="A116" s="3"/>
      <c r="B116" s="3">
        <v>45953</v>
      </c>
      <c r="C116" s="5">
        <v>2025020114</v>
      </c>
      <c r="D116" s="2" t="s">
        <v>20</v>
      </c>
      <c r="E116" s="2" t="s">
        <v>13</v>
      </c>
      <c r="F116" s="2"/>
      <c r="G116" s="2"/>
      <c r="H116" s="2" t="str">
        <f t="shared" si="9"/>
        <v>_</v>
      </c>
      <c r="I116" s="2"/>
      <c r="J116" s="2"/>
      <c r="K116" s="2"/>
      <c r="L116" s="2" t="str">
        <f t="shared" si="10"/>
        <v>_</v>
      </c>
      <c r="M116" s="2"/>
      <c r="N116" s="2">
        <f>IF(ISBLANK(Table2[[#This Row],[ActualResult]]), 0, 1)</f>
        <v>0</v>
      </c>
      <c r="O116" s="2" t="str">
        <f>IF(ISBLANK(Table2[[#This Row],[ActualResult]]), "_", IF(Table2[[#This Row],[ActualWinner]]=Table2[[#This Row],[PredictedWinner]], "Y", "N"))</f>
        <v>_</v>
      </c>
      <c r="P1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" s="2"/>
      <c r="S116" s="2" t="str">
        <f t="shared" si="11"/>
        <v>_</v>
      </c>
      <c r="T1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" s="2">
        <f>IF(Table2[[#This Row],[InterConf]]=1,IF(Table2[[#This Row],[InterDiv]]=0, 1, 0), 0)</f>
        <v>1</v>
      </c>
      <c r="W1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" s="2"/>
      <c r="Y116" s="2"/>
      <c r="Z116" s="145">
        <f>IF(AND(Table2[[#This Row],[GameIsOver]]=1,Table2[[#This Row],[ActualHomeScore]]*Table2[[#This Row],[ActualAwayScore]]=0), 1,0)</f>
        <v>0</v>
      </c>
      <c r="AA1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6" s="2">
        <f>Table2[[#This Row],[ActualAwayScore]]-Table2[[#This Row],[PredictedAwayScore]]</f>
        <v>0</v>
      </c>
      <c r="AG116" s="2">
        <f>Table2[[#This Row],[ActualHomeScore]]-Table2[[#This Row],[PredictedHomeScore]]</f>
        <v>0</v>
      </c>
      <c r="AH116" s="2">
        <f t="shared" si="12"/>
        <v>0</v>
      </c>
      <c r="AI116" s="2">
        <f t="shared" si="13"/>
        <v>0</v>
      </c>
      <c r="AJ116" s="2"/>
      <c r="AK116" s="2"/>
      <c r="AL116" s="2">
        <f>IF(Table2[[#This Row],[GameIsOver]]=0,0,IF(Table2[[#This Row],[ActualWinner]]=Table2[[#This Row],[AwayTeam]], 1, 0))</f>
        <v>0</v>
      </c>
      <c r="AM116" s="2">
        <f>IF(Table2[[#This Row],[GameIsOver]]=0,0,IF(Table2[[#This Row],[ActualWinner]]=Table2[[#This Row],[HomeTeam]], 1, 0))</f>
        <v>0</v>
      </c>
      <c r="AN1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" s="2" t="str">
        <f>INDEX(Sheet5!$B$2:$AG$33, MATCH(Table2[[#This Row],[AwayTeam]],Sheet5!$A$2:$A$33, 0), MATCH(Table2[[#This Row],[HomeTeam]],Sheet5!$A$2:$A$33, 0))</f>
        <v>0-0-0</v>
      </c>
      <c r="AP116" s="2" t="str">
        <f>INDEX(Sheet5!$B$2:$AG$33, MATCH(Table2[[#This Row],[HomeTeam]],Sheet5!$A$2:$A$33, 0), MATCH(Table2[[#This Row],[AwayTeam]],Sheet5!$A$2:$A$33, 0))</f>
        <v>0-0-0</v>
      </c>
      <c r="AQ116" s="2">
        <f>IF(Table2[[#This Row],[GameHasShutOut]], 1, 0)</f>
        <v>0</v>
      </c>
      <c r="AR116" s="2">
        <f>IF(Table2[[#This Row],[ActualAwayScore]] + Table2[[#This Row],[ActualHomeScore]] &gt;= 10, 1, 0)</f>
        <v>0</v>
      </c>
      <c r="AS116" s="2">
        <f>IF(ABS(Table2[[#This Row],[ActualAwayScore]]-Table2[[#This Row],[ActualHomeScore]])&gt;=5, 1, 0)</f>
        <v>0</v>
      </c>
      <c r="AT116" s="2">
        <f>IF(Table2[[#This Row],[ActualAwayScore]] + Table2[[#This Row],[ActualHomeScore]] &lt;= 3, 1, 0)</f>
        <v>1</v>
      </c>
      <c r="AU116" s="2"/>
      <c r="AV116" s="2"/>
    </row>
    <row r="117" spans="1:48" x14ac:dyDescent="0.25">
      <c r="A117" s="3"/>
      <c r="B117" s="3">
        <v>45953</v>
      </c>
      <c r="C117" s="5">
        <v>2025020115</v>
      </c>
      <c r="D117" s="2" t="s">
        <v>30</v>
      </c>
      <c r="E117" s="2" t="s">
        <v>32</v>
      </c>
      <c r="F117" s="2"/>
      <c r="G117" s="2"/>
      <c r="H117" s="2" t="str">
        <f t="shared" si="9"/>
        <v>_</v>
      </c>
      <c r="I117" s="2"/>
      <c r="J117" s="2"/>
      <c r="K117" s="2"/>
      <c r="L117" s="2" t="str">
        <f t="shared" si="10"/>
        <v>_</v>
      </c>
      <c r="M117" s="2"/>
      <c r="N117" s="2">
        <f>IF(ISBLANK(Table2[[#This Row],[ActualResult]]), 0, 1)</f>
        <v>0</v>
      </c>
      <c r="O117" s="2" t="str">
        <f>IF(ISBLANK(Table2[[#This Row],[ActualResult]]), "_", IF(Table2[[#This Row],[ActualWinner]]=Table2[[#This Row],[PredictedWinner]], "Y", "N"))</f>
        <v>_</v>
      </c>
      <c r="P1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" s="2"/>
      <c r="S117" s="2" t="str">
        <f t="shared" si="11"/>
        <v>_</v>
      </c>
      <c r="T1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" s="2">
        <f>IF(Table2[[#This Row],[InterConf]]=1,IF(Table2[[#This Row],[InterDiv]]=0, 1, 0), 0)</f>
        <v>1</v>
      </c>
      <c r="W1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" s="2"/>
      <c r="Y117" s="2"/>
      <c r="Z117" s="145">
        <f>IF(AND(Table2[[#This Row],[GameIsOver]]=1,Table2[[#This Row],[ActualHomeScore]]*Table2[[#This Row],[ActualAwayScore]]=0), 1,0)</f>
        <v>0</v>
      </c>
      <c r="AA1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7" s="2">
        <f>Table2[[#This Row],[ActualAwayScore]]-Table2[[#This Row],[PredictedAwayScore]]</f>
        <v>0</v>
      </c>
      <c r="AG117" s="2">
        <f>Table2[[#This Row],[ActualHomeScore]]-Table2[[#This Row],[PredictedHomeScore]]</f>
        <v>0</v>
      </c>
      <c r="AH117" s="2">
        <f t="shared" si="12"/>
        <v>0</v>
      </c>
      <c r="AI117" s="2">
        <f t="shared" si="13"/>
        <v>0</v>
      </c>
      <c r="AJ117" s="2"/>
      <c r="AK117" s="2"/>
      <c r="AL117" s="2">
        <f>IF(Table2[[#This Row],[GameIsOver]]=0,0,IF(Table2[[#This Row],[ActualWinner]]=Table2[[#This Row],[AwayTeam]], 1, 0))</f>
        <v>0</v>
      </c>
      <c r="AM117" s="2">
        <f>IF(Table2[[#This Row],[GameIsOver]]=0,0,IF(Table2[[#This Row],[ActualWinner]]=Table2[[#This Row],[HomeTeam]], 1, 0))</f>
        <v>0</v>
      </c>
      <c r="AN1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" s="2" t="str">
        <f>INDEX(Sheet5!$B$2:$AG$33, MATCH(Table2[[#This Row],[AwayTeam]],Sheet5!$A$2:$A$33, 0), MATCH(Table2[[#This Row],[HomeTeam]],Sheet5!$A$2:$A$33, 0))</f>
        <v>0-0-0</v>
      </c>
      <c r="AP117" s="2" t="str">
        <f>INDEX(Sheet5!$B$2:$AG$33, MATCH(Table2[[#This Row],[HomeTeam]],Sheet5!$A$2:$A$33, 0), MATCH(Table2[[#This Row],[AwayTeam]],Sheet5!$A$2:$A$33, 0))</f>
        <v>0-0-0</v>
      </c>
      <c r="AQ117" s="2">
        <f>IF(Table2[[#This Row],[GameHasShutOut]], 1, 0)</f>
        <v>0</v>
      </c>
      <c r="AR117" s="2">
        <f>IF(Table2[[#This Row],[ActualAwayScore]] + Table2[[#This Row],[ActualHomeScore]] &gt;= 10, 1, 0)</f>
        <v>0</v>
      </c>
      <c r="AS117" s="2">
        <f>IF(ABS(Table2[[#This Row],[ActualAwayScore]]-Table2[[#This Row],[ActualHomeScore]])&gt;=5, 1, 0)</f>
        <v>0</v>
      </c>
      <c r="AT117" s="2">
        <f>IF(Table2[[#This Row],[ActualAwayScore]] + Table2[[#This Row],[ActualHomeScore]] &lt;= 3, 1, 0)</f>
        <v>1</v>
      </c>
      <c r="AU117" s="2"/>
      <c r="AV117" s="2"/>
    </row>
    <row r="118" spans="1:48" x14ac:dyDescent="0.25">
      <c r="A118" s="3"/>
      <c r="B118" s="3">
        <v>45953</v>
      </c>
      <c r="C118" s="5">
        <v>2025020116</v>
      </c>
      <c r="D118" s="2" t="s">
        <v>37</v>
      </c>
      <c r="E118" s="2" t="s">
        <v>19</v>
      </c>
      <c r="F118" s="2"/>
      <c r="G118" s="2"/>
      <c r="H118" s="2" t="str">
        <f t="shared" si="9"/>
        <v>_</v>
      </c>
      <c r="I118" s="2"/>
      <c r="J118" s="2"/>
      <c r="K118" s="2"/>
      <c r="L118" s="2" t="str">
        <f t="shared" si="10"/>
        <v>_</v>
      </c>
      <c r="M118" s="2"/>
      <c r="N118" s="2">
        <f>IF(ISBLANK(Table2[[#This Row],[ActualResult]]), 0, 1)</f>
        <v>0</v>
      </c>
      <c r="O118" s="2" t="str">
        <f>IF(ISBLANK(Table2[[#This Row],[ActualResult]]), "_", IF(Table2[[#This Row],[ActualWinner]]=Table2[[#This Row],[PredictedWinner]], "Y", "N"))</f>
        <v>_</v>
      </c>
      <c r="P1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" s="2"/>
      <c r="S118" s="2" t="str">
        <f t="shared" si="11"/>
        <v>_</v>
      </c>
      <c r="T1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" s="2">
        <f>IF(Table2[[#This Row],[InterConf]]=1,IF(Table2[[#This Row],[InterDiv]]=0, 1, 0), 0)</f>
        <v>0</v>
      </c>
      <c r="W1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8" s="2"/>
      <c r="Y118" s="2"/>
      <c r="Z118" s="145">
        <f>IF(AND(Table2[[#This Row],[GameIsOver]]=1,Table2[[#This Row],[ActualHomeScore]]*Table2[[#This Row],[ActualAwayScore]]=0), 1,0)</f>
        <v>0</v>
      </c>
      <c r="AA1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8" s="2">
        <f>Table2[[#This Row],[ActualAwayScore]]-Table2[[#This Row],[PredictedAwayScore]]</f>
        <v>0</v>
      </c>
      <c r="AG118" s="2">
        <f>Table2[[#This Row],[ActualHomeScore]]-Table2[[#This Row],[PredictedHomeScore]]</f>
        <v>0</v>
      </c>
      <c r="AH118" s="2">
        <f t="shared" si="12"/>
        <v>0</v>
      </c>
      <c r="AI118" s="2">
        <f t="shared" si="13"/>
        <v>0</v>
      </c>
      <c r="AJ118" s="2"/>
      <c r="AK118" s="2"/>
      <c r="AL118" s="2">
        <f>IF(Table2[[#This Row],[GameIsOver]]=0,0,IF(Table2[[#This Row],[ActualWinner]]=Table2[[#This Row],[AwayTeam]], 1, 0))</f>
        <v>0</v>
      </c>
      <c r="AM118" s="2">
        <f>IF(Table2[[#This Row],[GameIsOver]]=0,0,IF(Table2[[#This Row],[ActualWinner]]=Table2[[#This Row],[HomeTeam]], 1, 0))</f>
        <v>0</v>
      </c>
      <c r="AN1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" s="2" t="str">
        <f>INDEX(Sheet5!$B$2:$AG$33, MATCH(Table2[[#This Row],[AwayTeam]],Sheet5!$A$2:$A$33, 0), MATCH(Table2[[#This Row],[HomeTeam]],Sheet5!$A$2:$A$33, 0))</f>
        <v>0-0-0</v>
      </c>
      <c r="AP118" s="2" t="str">
        <f>INDEX(Sheet5!$B$2:$AG$33, MATCH(Table2[[#This Row],[HomeTeam]],Sheet5!$A$2:$A$33, 0), MATCH(Table2[[#This Row],[AwayTeam]],Sheet5!$A$2:$A$33, 0))</f>
        <v>0-0-0</v>
      </c>
      <c r="AQ118" s="2">
        <f>IF(Table2[[#This Row],[GameHasShutOut]], 1, 0)</f>
        <v>0</v>
      </c>
      <c r="AR118" s="2">
        <f>IF(Table2[[#This Row],[ActualAwayScore]] + Table2[[#This Row],[ActualHomeScore]] &gt;= 10, 1, 0)</f>
        <v>0</v>
      </c>
      <c r="AS118" s="2">
        <f>IF(ABS(Table2[[#This Row],[ActualAwayScore]]-Table2[[#This Row],[ActualHomeScore]])&gt;=5, 1, 0)</f>
        <v>0</v>
      </c>
      <c r="AT118" s="2">
        <f>IF(Table2[[#This Row],[ActualAwayScore]] + Table2[[#This Row],[ActualHomeScore]] &lt;= 3, 1, 0)</f>
        <v>1</v>
      </c>
      <c r="AU118" s="2"/>
      <c r="AV118" s="2"/>
    </row>
    <row r="119" spans="1:48" x14ac:dyDescent="0.25">
      <c r="A119" s="3"/>
      <c r="B119" s="3">
        <v>45954</v>
      </c>
      <c r="C119" s="5">
        <v>2025020117</v>
      </c>
      <c r="D119" s="2" t="s">
        <v>14</v>
      </c>
      <c r="E119" s="2" t="s">
        <v>12</v>
      </c>
      <c r="F119" s="2"/>
      <c r="G119" s="2"/>
      <c r="H119" s="2" t="str">
        <f t="shared" si="9"/>
        <v>_</v>
      </c>
      <c r="I119" s="2"/>
      <c r="J119" s="2"/>
      <c r="K119" s="2"/>
      <c r="L119" s="2" t="str">
        <f t="shared" si="10"/>
        <v>_</v>
      </c>
      <c r="M119" s="2"/>
      <c r="N119" s="2">
        <f>IF(ISBLANK(Table2[[#This Row],[ActualResult]]), 0, 1)</f>
        <v>0</v>
      </c>
      <c r="O119" s="2" t="str">
        <f>IF(ISBLANK(Table2[[#This Row],[ActualResult]]), "_", IF(Table2[[#This Row],[ActualWinner]]=Table2[[#This Row],[PredictedWinner]], "Y", "N"))</f>
        <v>_</v>
      </c>
      <c r="P1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" s="2"/>
      <c r="S119" s="2" t="str">
        <f t="shared" si="11"/>
        <v>_</v>
      </c>
      <c r="T1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" s="2">
        <f>IF(Table2[[#This Row],[InterConf]]=1,IF(Table2[[#This Row],[InterDiv]]=0, 1, 0), 0)</f>
        <v>0</v>
      </c>
      <c r="W1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" s="2"/>
      <c r="Y119" s="2"/>
      <c r="Z119" s="145">
        <f>IF(AND(Table2[[#This Row],[GameIsOver]]=1,Table2[[#This Row],[ActualHomeScore]]*Table2[[#This Row],[ActualAwayScore]]=0), 1,0)</f>
        <v>0</v>
      </c>
      <c r="AA1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9" s="2">
        <f>Table2[[#This Row],[ActualAwayScore]]-Table2[[#This Row],[PredictedAwayScore]]</f>
        <v>0</v>
      </c>
      <c r="AG119" s="2">
        <f>Table2[[#This Row],[ActualHomeScore]]-Table2[[#This Row],[PredictedHomeScore]]</f>
        <v>0</v>
      </c>
      <c r="AH119" s="2">
        <f t="shared" si="12"/>
        <v>0</v>
      </c>
      <c r="AI119" s="2">
        <f t="shared" si="13"/>
        <v>0</v>
      </c>
      <c r="AJ119" s="2"/>
      <c r="AK119" s="2"/>
      <c r="AL119" s="2">
        <f>IF(Table2[[#This Row],[GameIsOver]]=0,0,IF(Table2[[#This Row],[ActualWinner]]=Table2[[#This Row],[AwayTeam]], 1, 0))</f>
        <v>0</v>
      </c>
      <c r="AM119" s="2">
        <f>IF(Table2[[#This Row],[GameIsOver]]=0,0,IF(Table2[[#This Row],[ActualWinner]]=Table2[[#This Row],[HomeTeam]], 1, 0))</f>
        <v>0</v>
      </c>
      <c r="AN1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" s="2" t="str">
        <f>INDEX(Sheet5!$B$2:$AG$33, MATCH(Table2[[#This Row],[AwayTeam]],Sheet5!$A$2:$A$33, 0), MATCH(Table2[[#This Row],[HomeTeam]],Sheet5!$A$2:$A$33, 0))</f>
        <v>0-0-0</v>
      </c>
      <c r="AP119" s="2" t="str">
        <f>INDEX(Sheet5!$B$2:$AG$33, MATCH(Table2[[#This Row],[HomeTeam]],Sheet5!$A$2:$A$33, 0), MATCH(Table2[[#This Row],[AwayTeam]],Sheet5!$A$2:$A$33, 0))</f>
        <v>0-0-0</v>
      </c>
      <c r="AQ119" s="2">
        <f>IF(Table2[[#This Row],[GameHasShutOut]], 1, 0)</f>
        <v>0</v>
      </c>
      <c r="AR119" s="2">
        <f>IF(Table2[[#This Row],[ActualAwayScore]] + Table2[[#This Row],[ActualHomeScore]] &gt;= 10, 1, 0)</f>
        <v>0</v>
      </c>
      <c r="AS119" s="2">
        <f>IF(ABS(Table2[[#This Row],[ActualAwayScore]]-Table2[[#This Row],[ActualHomeScore]])&gt;=5, 1, 0)</f>
        <v>0</v>
      </c>
      <c r="AT119" s="2">
        <f>IF(Table2[[#This Row],[ActualAwayScore]] + Table2[[#This Row],[ActualHomeScore]] &lt;= 3, 1, 0)</f>
        <v>1</v>
      </c>
      <c r="AU119" s="2"/>
      <c r="AV119" s="2"/>
    </row>
    <row r="120" spans="1:48" x14ac:dyDescent="0.25">
      <c r="A120" s="3"/>
      <c r="B120" s="3">
        <v>45954</v>
      </c>
      <c r="C120" s="5">
        <v>2025020118</v>
      </c>
      <c r="D120" s="2" t="s">
        <v>24</v>
      </c>
      <c r="E120" s="2" t="s">
        <v>34</v>
      </c>
      <c r="F120" s="2"/>
      <c r="G120" s="2"/>
      <c r="H120" s="2" t="str">
        <f t="shared" si="9"/>
        <v>_</v>
      </c>
      <c r="I120" s="2"/>
      <c r="J120" s="2"/>
      <c r="K120" s="2"/>
      <c r="L120" s="2" t="str">
        <f t="shared" si="10"/>
        <v>_</v>
      </c>
      <c r="M120" s="2"/>
      <c r="N120" s="2">
        <f>IF(ISBLANK(Table2[[#This Row],[ActualResult]]), 0, 1)</f>
        <v>0</v>
      </c>
      <c r="O120" s="2" t="str">
        <f>IF(ISBLANK(Table2[[#This Row],[ActualResult]]), "_", IF(Table2[[#This Row],[ActualWinner]]=Table2[[#This Row],[PredictedWinner]], "Y", "N"))</f>
        <v>_</v>
      </c>
      <c r="P1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" s="2"/>
      <c r="S120" s="2" t="str">
        <f t="shared" si="11"/>
        <v>_</v>
      </c>
      <c r="T1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" s="2">
        <f>IF(Table2[[#This Row],[InterConf]]=1,IF(Table2[[#This Row],[InterDiv]]=0, 1, 0), 0)</f>
        <v>1</v>
      </c>
      <c r="W1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" s="2"/>
      <c r="Y120" s="2"/>
      <c r="Z120" s="145">
        <f>IF(AND(Table2[[#This Row],[GameIsOver]]=1,Table2[[#This Row],[ActualHomeScore]]*Table2[[#This Row],[ActualAwayScore]]=0), 1,0)</f>
        <v>0</v>
      </c>
      <c r="AA1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" s="2">
        <f>Table2[[#This Row],[ActualAwayScore]]-Table2[[#This Row],[PredictedAwayScore]]</f>
        <v>0</v>
      </c>
      <c r="AG120" s="2">
        <f>Table2[[#This Row],[ActualHomeScore]]-Table2[[#This Row],[PredictedHomeScore]]</f>
        <v>0</v>
      </c>
      <c r="AH120" s="2">
        <f t="shared" si="12"/>
        <v>0</v>
      </c>
      <c r="AI120" s="2">
        <f t="shared" si="13"/>
        <v>0</v>
      </c>
      <c r="AJ120" s="2"/>
      <c r="AK120" s="2"/>
      <c r="AL120" s="2">
        <f>IF(Table2[[#This Row],[GameIsOver]]=0,0,IF(Table2[[#This Row],[ActualWinner]]=Table2[[#This Row],[AwayTeam]], 1, 0))</f>
        <v>0</v>
      </c>
      <c r="AM120" s="2">
        <f>IF(Table2[[#This Row],[GameIsOver]]=0,0,IF(Table2[[#This Row],[ActualWinner]]=Table2[[#This Row],[HomeTeam]], 1, 0))</f>
        <v>0</v>
      </c>
      <c r="AN1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" s="2" t="str">
        <f>INDEX(Sheet5!$B$2:$AG$33, MATCH(Table2[[#This Row],[AwayTeam]],Sheet5!$A$2:$A$33, 0), MATCH(Table2[[#This Row],[HomeTeam]],Sheet5!$A$2:$A$33, 0))</f>
        <v>0-0-0</v>
      </c>
      <c r="AP120" s="2" t="str">
        <f>INDEX(Sheet5!$B$2:$AG$33, MATCH(Table2[[#This Row],[HomeTeam]],Sheet5!$A$2:$A$33, 0), MATCH(Table2[[#This Row],[AwayTeam]],Sheet5!$A$2:$A$33, 0))</f>
        <v>0-0-0</v>
      </c>
      <c r="AQ120" s="2">
        <f>IF(Table2[[#This Row],[GameHasShutOut]], 1, 0)</f>
        <v>0</v>
      </c>
      <c r="AR120" s="2">
        <f>IF(Table2[[#This Row],[ActualAwayScore]] + Table2[[#This Row],[ActualHomeScore]] &gt;= 10, 1, 0)</f>
        <v>0</v>
      </c>
      <c r="AS120" s="2">
        <f>IF(ABS(Table2[[#This Row],[ActualAwayScore]]-Table2[[#This Row],[ActualHomeScore]])&gt;=5, 1, 0)</f>
        <v>0</v>
      </c>
      <c r="AT120" s="2">
        <f>IF(Table2[[#This Row],[ActualAwayScore]] + Table2[[#This Row],[ActualHomeScore]] &lt;= 3, 1, 0)</f>
        <v>1</v>
      </c>
      <c r="AU120" s="2"/>
      <c r="AV120" s="2"/>
    </row>
    <row r="121" spans="1:48" x14ac:dyDescent="0.25">
      <c r="A121" s="3"/>
      <c r="B121" s="3">
        <v>45954</v>
      </c>
      <c r="C121" s="5">
        <v>2025020119</v>
      </c>
      <c r="D121" s="2" t="s">
        <v>27</v>
      </c>
      <c r="E121" s="2" t="s">
        <v>33</v>
      </c>
      <c r="F121" s="2"/>
      <c r="G121" s="2"/>
      <c r="H121" s="2" t="str">
        <f t="shared" si="9"/>
        <v>_</v>
      </c>
      <c r="I121" s="2"/>
      <c r="J121" s="2"/>
      <c r="K121" s="2"/>
      <c r="L121" s="2" t="str">
        <f t="shared" si="10"/>
        <v>_</v>
      </c>
      <c r="M121" s="2"/>
      <c r="N121" s="2">
        <f>IF(ISBLANK(Table2[[#This Row],[ActualResult]]), 0, 1)</f>
        <v>0</v>
      </c>
      <c r="O121" s="2" t="str">
        <f>IF(ISBLANK(Table2[[#This Row],[ActualResult]]), "_", IF(Table2[[#This Row],[ActualWinner]]=Table2[[#This Row],[PredictedWinner]], "Y", "N"))</f>
        <v>_</v>
      </c>
      <c r="P1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" s="2"/>
      <c r="S121" s="2" t="str">
        <f t="shared" si="11"/>
        <v>_</v>
      </c>
      <c r="T1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" s="2">
        <f>IF(Table2[[#This Row],[InterConf]]=1,IF(Table2[[#This Row],[InterDiv]]=0, 1, 0), 0)</f>
        <v>1</v>
      </c>
      <c r="W1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" s="2"/>
      <c r="Y121" s="2"/>
      <c r="Z121" s="145">
        <f>IF(AND(Table2[[#This Row],[GameIsOver]]=1,Table2[[#This Row],[ActualHomeScore]]*Table2[[#This Row],[ActualAwayScore]]=0), 1,0)</f>
        <v>0</v>
      </c>
      <c r="AA1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1" s="2">
        <f>Table2[[#This Row],[ActualAwayScore]]-Table2[[#This Row],[PredictedAwayScore]]</f>
        <v>0</v>
      </c>
      <c r="AG121" s="2">
        <f>Table2[[#This Row],[ActualHomeScore]]-Table2[[#This Row],[PredictedHomeScore]]</f>
        <v>0</v>
      </c>
      <c r="AH121" s="2">
        <f t="shared" si="12"/>
        <v>0</v>
      </c>
      <c r="AI121" s="2">
        <f t="shared" si="13"/>
        <v>0</v>
      </c>
      <c r="AJ121" s="2"/>
      <c r="AK121" s="2"/>
      <c r="AL121" s="2">
        <f>IF(Table2[[#This Row],[GameIsOver]]=0,0,IF(Table2[[#This Row],[ActualWinner]]=Table2[[#This Row],[AwayTeam]], 1, 0))</f>
        <v>0</v>
      </c>
      <c r="AM121" s="2">
        <f>IF(Table2[[#This Row],[GameIsOver]]=0,0,IF(Table2[[#This Row],[ActualWinner]]=Table2[[#This Row],[HomeTeam]], 1, 0))</f>
        <v>0</v>
      </c>
      <c r="AN121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1" s="2" t="str">
        <f>INDEX(Sheet5!$B$2:$AG$33, MATCH(Table2[[#This Row],[AwayTeam]],Sheet5!$A$2:$A$33, 0), MATCH(Table2[[#This Row],[HomeTeam]],Sheet5!$A$2:$A$33, 0))</f>
        <v>0-0-0</v>
      </c>
      <c r="AP121" s="2" t="str">
        <f>INDEX(Sheet5!$B$2:$AG$33, MATCH(Table2[[#This Row],[HomeTeam]],Sheet5!$A$2:$A$33, 0), MATCH(Table2[[#This Row],[AwayTeam]],Sheet5!$A$2:$A$33, 0))</f>
        <v>0-0-0</v>
      </c>
      <c r="AQ121" s="2">
        <f>IF(Table2[[#This Row],[GameHasShutOut]], 1, 0)</f>
        <v>0</v>
      </c>
      <c r="AR121" s="2">
        <f>IF(Table2[[#This Row],[ActualAwayScore]] + Table2[[#This Row],[ActualHomeScore]] &gt;= 10, 1, 0)</f>
        <v>0</v>
      </c>
      <c r="AS121" s="2">
        <f>IF(ABS(Table2[[#This Row],[ActualAwayScore]]-Table2[[#This Row],[ActualHomeScore]])&gt;=5, 1, 0)</f>
        <v>0</v>
      </c>
      <c r="AT121" s="2">
        <f>IF(Table2[[#This Row],[ActualAwayScore]] + Table2[[#This Row],[ActualHomeScore]] &lt;= 3, 1, 0)</f>
        <v>1</v>
      </c>
      <c r="AU121" s="2"/>
      <c r="AV121" s="2"/>
    </row>
    <row r="122" spans="1:48" x14ac:dyDescent="0.25">
      <c r="A122" s="3"/>
      <c r="B122" s="3">
        <v>45954</v>
      </c>
      <c r="C122" s="5">
        <v>2025020120</v>
      </c>
      <c r="D122" s="2" t="s">
        <v>11</v>
      </c>
      <c r="E122" s="2" t="s">
        <v>21</v>
      </c>
      <c r="F122" s="2"/>
      <c r="G122" s="2"/>
      <c r="H122" s="2" t="str">
        <f t="shared" si="9"/>
        <v>_</v>
      </c>
      <c r="I122" s="2"/>
      <c r="J122" s="2"/>
      <c r="K122" s="2"/>
      <c r="L122" s="2" t="str">
        <f t="shared" si="10"/>
        <v>_</v>
      </c>
      <c r="M122" s="2"/>
      <c r="N122" s="2">
        <f>IF(ISBLANK(Table2[[#This Row],[ActualResult]]), 0, 1)</f>
        <v>0</v>
      </c>
      <c r="O122" s="2" t="str">
        <f>IF(ISBLANK(Table2[[#This Row],[ActualResult]]), "_", IF(Table2[[#This Row],[ActualWinner]]=Table2[[#This Row],[PredictedWinner]], "Y", "N"))</f>
        <v>_</v>
      </c>
      <c r="P1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" s="2"/>
      <c r="S122" s="2" t="str">
        <f t="shared" si="11"/>
        <v>_</v>
      </c>
      <c r="T1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" s="2">
        <f>IF(Table2[[#This Row],[InterConf]]=1,IF(Table2[[#This Row],[InterDiv]]=0, 1, 0), 0)</f>
        <v>1</v>
      </c>
      <c r="W1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" s="2"/>
      <c r="Y122" s="2"/>
      <c r="Z122" s="145">
        <f>IF(AND(Table2[[#This Row],[GameIsOver]]=1,Table2[[#This Row],[ActualHomeScore]]*Table2[[#This Row],[ActualAwayScore]]=0), 1,0)</f>
        <v>0</v>
      </c>
      <c r="AA1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2" s="2">
        <f>Table2[[#This Row],[ActualAwayScore]]-Table2[[#This Row],[PredictedAwayScore]]</f>
        <v>0</v>
      </c>
      <c r="AG122" s="2">
        <f>Table2[[#This Row],[ActualHomeScore]]-Table2[[#This Row],[PredictedHomeScore]]</f>
        <v>0</v>
      </c>
      <c r="AH122" s="2">
        <f t="shared" si="12"/>
        <v>0</v>
      </c>
      <c r="AI122" s="2">
        <f t="shared" si="13"/>
        <v>0</v>
      </c>
      <c r="AJ122" s="2"/>
      <c r="AK122" s="2"/>
      <c r="AL122" s="2">
        <f>IF(Table2[[#This Row],[GameIsOver]]=0,0,IF(Table2[[#This Row],[ActualWinner]]=Table2[[#This Row],[AwayTeam]], 1, 0))</f>
        <v>0</v>
      </c>
      <c r="AM122" s="2">
        <f>IF(Table2[[#This Row],[GameIsOver]]=0,0,IF(Table2[[#This Row],[ActualWinner]]=Table2[[#This Row],[HomeTeam]], 1, 0))</f>
        <v>0</v>
      </c>
      <c r="AN1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" s="2" t="str">
        <f>INDEX(Sheet5!$B$2:$AG$33, MATCH(Table2[[#This Row],[AwayTeam]],Sheet5!$A$2:$A$33, 0), MATCH(Table2[[#This Row],[HomeTeam]],Sheet5!$A$2:$A$33, 0))</f>
        <v>0-0-0</v>
      </c>
      <c r="AP122" s="2" t="str">
        <f>INDEX(Sheet5!$B$2:$AG$33, MATCH(Table2[[#This Row],[HomeTeam]],Sheet5!$A$2:$A$33, 0), MATCH(Table2[[#This Row],[AwayTeam]],Sheet5!$A$2:$A$33, 0))</f>
        <v>0-0-0</v>
      </c>
      <c r="AQ122" s="2">
        <f>IF(Table2[[#This Row],[GameHasShutOut]], 1, 0)</f>
        <v>0</v>
      </c>
      <c r="AR122" s="2">
        <f>IF(Table2[[#This Row],[ActualAwayScore]] + Table2[[#This Row],[ActualHomeScore]] &gt;= 10, 1, 0)</f>
        <v>0</v>
      </c>
      <c r="AS122" s="2">
        <f>IF(ABS(Table2[[#This Row],[ActualAwayScore]]-Table2[[#This Row],[ActualHomeScore]])&gt;=5, 1, 0)</f>
        <v>0</v>
      </c>
      <c r="AT122" s="2">
        <f>IF(Table2[[#This Row],[ActualAwayScore]] + Table2[[#This Row],[ActualHomeScore]] &lt;= 3, 1, 0)</f>
        <v>1</v>
      </c>
      <c r="AU122" s="2"/>
      <c r="AV122" s="2"/>
    </row>
    <row r="123" spans="1:48" x14ac:dyDescent="0.25">
      <c r="A123" s="3"/>
      <c r="B123" s="3">
        <v>45954</v>
      </c>
      <c r="C123" s="5">
        <v>2025020121</v>
      </c>
      <c r="D123" s="2" t="s">
        <v>41</v>
      </c>
      <c r="E123" s="2" t="s">
        <v>25</v>
      </c>
      <c r="F123" s="2"/>
      <c r="G123" s="2"/>
      <c r="H123" s="2" t="str">
        <f t="shared" si="9"/>
        <v>_</v>
      </c>
      <c r="I123" s="2"/>
      <c r="J123" s="2"/>
      <c r="K123" s="2"/>
      <c r="L123" s="2" t="str">
        <f t="shared" si="10"/>
        <v>_</v>
      </c>
      <c r="M123" s="2"/>
      <c r="N123" s="2">
        <f>IF(ISBLANK(Table2[[#This Row],[ActualResult]]), 0, 1)</f>
        <v>0</v>
      </c>
      <c r="O123" s="2" t="str">
        <f>IF(ISBLANK(Table2[[#This Row],[ActualResult]]), "_", IF(Table2[[#This Row],[ActualWinner]]=Table2[[#This Row],[PredictedWinner]], "Y", "N"))</f>
        <v>_</v>
      </c>
      <c r="P1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" s="2"/>
      <c r="S123" s="2" t="str">
        <f t="shared" si="11"/>
        <v>_</v>
      </c>
      <c r="T1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" s="2">
        <f>IF(Table2[[#This Row],[InterConf]]=1,IF(Table2[[#This Row],[InterDiv]]=0, 1, 0), 0)</f>
        <v>0</v>
      </c>
      <c r="W1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3" s="2"/>
      <c r="Y123" s="2"/>
      <c r="Z123" s="145">
        <f>IF(AND(Table2[[#This Row],[GameIsOver]]=1,Table2[[#This Row],[ActualHomeScore]]*Table2[[#This Row],[ActualAwayScore]]=0), 1,0)</f>
        <v>0</v>
      </c>
      <c r="AA1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3" s="2">
        <f>Table2[[#This Row],[ActualAwayScore]]-Table2[[#This Row],[PredictedAwayScore]]</f>
        <v>0</v>
      </c>
      <c r="AG123" s="2">
        <f>Table2[[#This Row],[ActualHomeScore]]-Table2[[#This Row],[PredictedHomeScore]]</f>
        <v>0</v>
      </c>
      <c r="AH123" s="2">
        <f t="shared" si="12"/>
        <v>0</v>
      </c>
      <c r="AI123" s="2">
        <f t="shared" si="13"/>
        <v>0</v>
      </c>
      <c r="AJ123" s="2"/>
      <c r="AK123" s="2"/>
      <c r="AL123" s="2">
        <f>IF(Table2[[#This Row],[GameIsOver]]=0,0,IF(Table2[[#This Row],[ActualWinner]]=Table2[[#This Row],[AwayTeam]], 1, 0))</f>
        <v>0</v>
      </c>
      <c r="AM123" s="2">
        <f>IF(Table2[[#This Row],[GameIsOver]]=0,0,IF(Table2[[#This Row],[ActualWinner]]=Table2[[#This Row],[HomeTeam]], 1, 0))</f>
        <v>0</v>
      </c>
      <c r="AN1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" s="2" t="str">
        <f>INDEX(Sheet5!$B$2:$AG$33, MATCH(Table2[[#This Row],[AwayTeam]],Sheet5!$A$2:$A$33, 0), MATCH(Table2[[#This Row],[HomeTeam]],Sheet5!$A$2:$A$33, 0))</f>
        <v>0-0-0</v>
      </c>
      <c r="AP123" s="2" t="str">
        <f>INDEX(Sheet5!$B$2:$AG$33, MATCH(Table2[[#This Row],[HomeTeam]],Sheet5!$A$2:$A$33, 0), MATCH(Table2[[#This Row],[AwayTeam]],Sheet5!$A$2:$A$33, 0))</f>
        <v>0-0-0</v>
      </c>
      <c r="AQ123" s="2">
        <f>IF(Table2[[#This Row],[GameHasShutOut]], 1, 0)</f>
        <v>0</v>
      </c>
      <c r="AR123" s="2">
        <f>IF(Table2[[#This Row],[ActualAwayScore]] + Table2[[#This Row],[ActualHomeScore]] &gt;= 10, 1, 0)</f>
        <v>0</v>
      </c>
      <c r="AS123" s="2">
        <f>IF(ABS(Table2[[#This Row],[ActualAwayScore]]-Table2[[#This Row],[ActualHomeScore]])&gt;=5, 1, 0)</f>
        <v>0</v>
      </c>
      <c r="AT123" s="2">
        <f>IF(Table2[[#This Row],[ActualAwayScore]] + Table2[[#This Row],[ActualHomeScore]] &lt;= 3, 1, 0)</f>
        <v>1</v>
      </c>
      <c r="AU123" s="2"/>
      <c r="AV123" s="2"/>
    </row>
    <row r="124" spans="1:48" x14ac:dyDescent="0.25">
      <c r="A124" s="3"/>
      <c r="B124" s="3">
        <v>45954</v>
      </c>
      <c r="C124" s="5">
        <v>2025020122</v>
      </c>
      <c r="D124" s="2" t="s">
        <v>18</v>
      </c>
      <c r="E124" s="2" t="s">
        <v>22</v>
      </c>
      <c r="F124" s="2"/>
      <c r="G124" s="2"/>
      <c r="H124" s="2" t="str">
        <f t="shared" si="9"/>
        <v>_</v>
      </c>
      <c r="I124" s="2"/>
      <c r="J124" s="2"/>
      <c r="K124" s="2"/>
      <c r="L124" s="2" t="str">
        <f t="shared" si="10"/>
        <v>_</v>
      </c>
      <c r="M124" s="2"/>
      <c r="N124" s="2">
        <f>IF(ISBLANK(Table2[[#This Row],[ActualResult]]), 0, 1)</f>
        <v>0</v>
      </c>
      <c r="O124" s="2" t="str">
        <f>IF(ISBLANK(Table2[[#This Row],[ActualResult]]), "_", IF(Table2[[#This Row],[ActualWinner]]=Table2[[#This Row],[PredictedWinner]], "Y", "N"))</f>
        <v>_</v>
      </c>
      <c r="P1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" s="2"/>
      <c r="S124" s="2" t="str">
        <f t="shared" si="11"/>
        <v>_</v>
      </c>
      <c r="T1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" s="2">
        <f>IF(Table2[[#This Row],[InterConf]]=1,IF(Table2[[#This Row],[InterDiv]]=0, 1, 0), 0)</f>
        <v>0</v>
      </c>
      <c r="W1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4" s="2"/>
      <c r="Y124" s="2"/>
      <c r="Z124" s="145">
        <f>IF(AND(Table2[[#This Row],[GameIsOver]]=1,Table2[[#This Row],[ActualHomeScore]]*Table2[[#This Row],[ActualAwayScore]]=0), 1,0)</f>
        <v>0</v>
      </c>
      <c r="AA1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4" s="2">
        <f>Table2[[#This Row],[ActualAwayScore]]-Table2[[#This Row],[PredictedAwayScore]]</f>
        <v>0</v>
      </c>
      <c r="AG124" s="2">
        <f>Table2[[#This Row],[ActualHomeScore]]-Table2[[#This Row],[PredictedHomeScore]]</f>
        <v>0</v>
      </c>
      <c r="AH124" s="2">
        <f t="shared" si="12"/>
        <v>0</v>
      </c>
      <c r="AI124" s="2">
        <f t="shared" si="13"/>
        <v>0</v>
      </c>
      <c r="AJ124" s="2"/>
      <c r="AK124" s="2"/>
      <c r="AL124" s="2">
        <f>IF(Table2[[#This Row],[GameIsOver]]=0,0,IF(Table2[[#This Row],[ActualWinner]]=Table2[[#This Row],[AwayTeam]], 1, 0))</f>
        <v>0</v>
      </c>
      <c r="AM124" s="2">
        <f>IF(Table2[[#This Row],[GameIsOver]]=0,0,IF(Table2[[#This Row],[ActualWinner]]=Table2[[#This Row],[HomeTeam]], 1, 0))</f>
        <v>0</v>
      </c>
      <c r="AN1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" s="2" t="str">
        <f>INDEX(Sheet5!$B$2:$AG$33, MATCH(Table2[[#This Row],[AwayTeam]],Sheet5!$A$2:$A$33, 0), MATCH(Table2[[#This Row],[HomeTeam]],Sheet5!$A$2:$A$33, 0))</f>
        <v>0-0-0</v>
      </c>
      <c r="AP124" s="2" t="str">
        <f>INDEX(Sheet5!$B$2:$AG$33, MATCH(Table2[[#This Row],[HomeTeam]],Sheet5!$A$2:$A$33, 0), MATCH(Table2[[#This Row],[AwayTeam]],Sheet5!$A$2:$A$33, 0))</f>
        <v>0-0-0</v>
      </c>
      <c r="AQ124" s="2">
        <f>IF(Table2[[#This Row],[GameHasShutOut]], 1, 0)</f>
        <v>0</v>
      </c>
      <c r="AR124" s="2">
        <f>IF(Table2[[#This Row],[ActualAwayScore]] + Table2[[#This Row],[ActualHomeScore]] &gt;= 10, 1, 0)</f>
        <v>0</v>
      </c>
      <c r="AS124" s="2">
        <f>IF(ABS(Table2[[#This Row],[ActualAwayScore]]-Table2[[#This Row],[ActualHomeScore]])&gt;=5, 1, 0)</f>
        <v>0</v>
      </c>
      <c r="AT124" s="2">
        <f>IF(Table2[[#This Row],[ActualAwayScore]] + Table2[[#This Row],[ActualHomeScore]] &lt;= 3, 1, 0)</f>
        <v>1</v>
      </c>
      <c r="AU124" s="2"/>
      <c r="AV124" s="2"/>
    </row>
    <row r="125" spans="1:48" x14ac:dyDescent="0.25">
      <c r="A125" s="3"/>
      <c r="B125" s="3">
        <v>45954</v>
      </c>
      <c r="C125" s="5">
        <v>2025020123</v>
      </c>
      <c r="D125" s="2" t="s">
        <v>17</v>
      </c>
      <c r="E125" s="2" t="s">
        <v>28</v>
      </c>
      <c r="F125" s="2"/>
      <c r="G125" s="2"/>
      <c r="H125" s="2" t="str">
        <f t="shared" si="9"/>
        <v>_</v>
      </c>
      <c r="I125" s="2"/>
      <c r="J125" s="2"/>
      <c r="K125" s="2"/>
      <c r="L125" s="2" t="str">
        <f t="shared" si="10"/>
        <v>_</v>
      </c>
      <c r="M125" s="2"/>
      <c r="N125" s="2">
        <f>IF(ISBLANK(Table2[[#This Row],[ActualResult]]), 0, 1)</f>
        <v>0</v>
      </c>
      <c r="O125" s="2" t="str">
        <f>IF(ISBLANK(Table2[[#This Row],[ActualResult]]), "_", IF(Table2[[#This Row],[ActualWinner]]=Table2[[#This Row],[PredictedWinner]], "Y", "N"))</f>
        <v>_</v>
      </c>
      <c r="P1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" s="2"/>
      <c r="S125" s="2" t="str">
        <f t="shared" si="11"/>
        <v>_</v>
      </c>
      <c r="T1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" s="2">
        <f>IF(Table2[[#This Row],[InterConf]]=1,IF(Table2[[#This Row],[InterDiv]]=0, 1, 0), 0)</f>
        <v>0</v>
      </c>
      <c r="W1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" s="2"/>
      <c r="Y125" s="2"/>
      <c r="Z125" s="145">
        <f>IF(AND(Table2[[#This Row],[GameIsOver]]=1,Table2[[#This Row],[ActualHomeScore]]*Table2[[#This Row],[ActualAwayScore]]=0), 1,0)</f>
        <v>0</v>
      </c>
      <c r="AA1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" s="2">
        <f>Table2[[#This Row],[ActualAwayScore]]-Table2[[#This Row],[PredictedAwayScore]]</f>
        <v>0</v>
      </c>
      <c r="AG125" s="2">
        <f>Table2[[#This Row],[ActualHomeScore]]-Table2[[#This Row],[PredictedHomeScore]]</f>
        <v>0</v>
      </c>
      <c r="AH125" s="2">
        <f t="shared" si="12"/>
        <v>0</v>
      </c>
      <c r="AI125" s="2">
        <f t="shared" si="13"/>
        <v>0</v>
      </c>
      <c r="AJ125" s="2"/>
      <c r="AK125" s="2"/>
      <c r="AL125" s="2">
        <f>IF(Table2[[#This Row],[GameIsOver]]=0,0,IF(Table2[[#This Row],[ActualWinner]]=Table2[[#This Row],[AwayTeam]], 1, 0))</f>
        <v>0</v>
      </c>
      <c r="AM125" s="2">
        <f>IF(Table2[[#This Row],[GameIsOver]]=0,0,IF(Table2[[#This Row],[ActualWinner]]=Table2[[#This Row],[HomeTeam]], 1, 0))</f>
        <v>0</v>
      </c>
      <c r="AN1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" s="2" t="str">
        <f>INDEX(Sheet5!$B$2:$AG$33, MATCH(Table2[[#This Row],[AwayTeam]],Sheet5!$A$2:$A$33, 0), MATCH(Table2[[#This Row],[HomeTeam]],Sheet5!$A$2:$A$33, 0))</f>
        <v>0-0-0</v>
      </c>
      <c r="AP125" s="2" t="str">
        <f>INDEX(Sheet5!$B$2:$AG$33, MATCH(Table2[[#This Row],[HomeTeam]],Sheet5!$A$2:$A$33, 0), MATCH(Table2[[#This Row],[AwayTeam]],Sheet5!$A$2:$A$33, 0))</f>
        <v>0-0-0</v>
      </c>
      <c r="AQ125" s="2">
        <f>IF(Table2[[#This Row],[GameHasShutOut]], 1, 0)</f>
        <v>0</v>
      </c>
      <c r="AR125" s="2">
        <f>IF(Table2[[#This Row],[ActualAwayScore]] + Table2[[#This Row],[ActualHomeScore]] &gt;= 10, 1, 0)</f>
        <v>0</v>
      </c>
      <c r="AS125" s="2">
        <f>IF(ABS(Table2[[#This Row],[ActualAwayScore]]-Table2[[#This Row],[ActualHomeScore]])&gt;=5, 1, 0)</f>
        <v>0</v>
      </c>
      <c r="AT125" s="2">
        <f>IF(Table2[[#This Row],[ActualAwayScore]] + Table2[[#This Row],[ActualHomeScore]] &lt;= 3, 1, 0)</f>
        <v>1</v>
      </c>
      <c r="AU125" s="2"/>
      <c r="AV125" s="2"/>
    </row>
    <row r="126" spans="1:48" x14ac:dyDescent="0.25">
      <c r="A126" s="3"/>
      <c r="B126" s="3">
        <v>45954</v>
      </c>
      <c r="C126" s="5">
        <v>2025020124</v>
      </c>
      <c r="D126" s="2" t="s">
        <v>37</v>
      </c>
      <c r="E126" s="2" t="s">
        <v>31</v>
      </c>
      <c r="F126" s="2"/>
      <c r="G126" s="2"/>
      <c r="H126" s="2" t="str">
        <f t="shared" si="9"/>
        <v>_</v>
      </c>
      <c r="I126" s="2"/>
      <c r="J126" s="2"/>
      <c r="K126" s="2"/>
      <c r="L126" s="2" t="str">
        <f t="shared" si="10"/>
        <v>_</v>
      </c>
      <c r="M126" s="2"/>
      <c r="N126" s="2">
        <f>IF(ISBLANK(Table2[[#This Row],[ActualResult]]), 0, 1)</f>
        <v>0</v>
      </c>
      <c r="O126" s="2" t="str">
        <f>IF(ISBLANK(Table2[[#This Row],[ActualResult]]), "_", IF(Table2[[#This Row],[ActualWinner]]=Table2[[#This Row],[PredictedWinner]], "Y", "N"))</f>
        <v>_</v>
      </c>
      <c r="P1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" s="2"/>
      <c r="S126" s="2" t="str">
        <f t="shared" si="11"/>
        <v>_</v>
      </c>
      <c r="T1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6" s="2">
        <f>IF(Table2[[#This Row],[InterConf]]=1,IF(Table2[[#This Row],[InterDiv]]=0, 1, 0), 0)</f>
        <v>0</v>
      </c>
      <c r="W1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6" s="2"/>
      <c r="Y126" s="2"/>
      <c r="Z126" s="145">
        <f>IF(AND(Table2[[#This Row],[GameIsOver]]=1,Table2[[#This Row],[ActualHomeScore]]*Table2[[#This Row],[ActualAwayScore]]=0), 1,0)</f>
        <v>0</v>
      </c>
      <c r="AA1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" s="2">
        <f>Table2[[#This Row],[ActualAwayScore]]-Table2[[#This Row],[PredictedAwayScore]]</f>
        <v>0</v>
      </c>
      <c r="AG126" s="2">
        <f>Table2[[#This Row],[ActualHomeScore]]-Table2[[#This Row],[PredictedHomeScore]]</f>
        <v>0</v>
      </c>
      <c r="AH126" s="2">
        <f t="shared" si="12"/>
        <v>0</v>
      </c>
      <c r="AI126" s="2">
        <f t="shared" si="13"/>
        <v>0</v>
      </c>
      <c r="AJ126" s="2"/>
      <c r="AK126" s="2"/>
      <c r="AL126" s="2">
        <f>IF(Table2[[#This Row],[GameIsOver]]=0,0,IF(Table2[[#This Row],[ActualWinner]]=Table2[[#This Row],[AwayTeam]], 1, 0))</f>
        <v>0</v>
      </c>
      <c r="AM126" s="2">
        <f>IF(Table2[[#This Row],[GameIsOver]]=0,0,IF(Table2[[#This Row],[ActualWinner]]=Table2[[#This Row],[HomeTeam]], 1, 0))</f>
        <v>0</v>
      </c>
      <c r="AN1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" s="2" t="str">
        <f>INDEX(Sheet5!$B$2:$AG$33, MATCH(Table2[[#This Row],[AwayTeam]],Sheet5!$A$2:$A$33, 0), MATCH(Table2[[#This Row],[HomeTeam]],Sheet5!$A$2:$A$33, 0))</f>
        <v>0-0-0</v>
      </c>
      <c r="AP126" s="2" t="str">
        <f>INDEX(Sheet5!$B$2:$AG$33, MATCH(Table2[[#This Row],[HomeTeam]],Sheet5!$A$2:$A$33, 0), MATCH(Table2[[#This Row],[AwayTeam]],Sheet5!$A$2:$A$33, 0))</f>
        <v>0-0-0</v>
      </c>
      <c r="AQ126" s="2">
        <f>IF(Table2[[#This Row],[GameHasShutOut]], 1, 0)</f>
        <v>0</v>
      </c>
      <c r="AR126" s="2">
        <f>IF(Table2[[#This Row],[ActualAwayScore]] + Table2[[#This Row],[ActualHomeScore]] &gt;= 10, 1, 0)</f>
        <v>0</v>
      </c>
      <c r="AS126" s="2">
        <f>IF(ABS(Table2[[#This Row],[ActualAwayScore]]-Table2[[#This Row],[ActualHomeScore]])&gt;=5, 1, 0)</f>
        <v>0</v>
      </c>
      <c r="AT126" s="2">
        <f>IF(Table2[[#This Row],[ActualAwayScore]] + Table2[[#This Row],[ActualHomeScore]] &lt;= 3, 1, 0)</f>
        <v>1</v>
      </c>
      <c r="AU126" s="2"/>
      <c r="AV126" s="2"/>
    </row>
    <row r="127" spans="1:48" x14ac:dyDescent="0.25">
      <c r="A127" s="3"/>
      <c r="B127" s="3">
        <v>45954</v>
      </c>
      <c r="C127" s="5">
        <v>2025020125</v>
      </c>
      <c r="D127" s="2" t="s">
        <v>43</v>
      </c>
      <c r="E127" s="2" t="s">
        <v>35</v>
      </c>
      <c r="F127" s="2"/>
      <c r="G127" s="2"/>
      <c r="H127" s="2" t="str">
        <f t="shared" si="9"/>
        <v>_</v>
      </c>
      <c r="I127" s="2"/>
      <c r="J127" s="2"/>
      <c r="K127" s="2"/>
      <c r="L127" s="2" t="str">
        <f t="shared" si="10"/>
        <v>_</v>
      </c>
      <c r="M127" s="2"/>
      <c r="N127" s="2">
        <f>IF(ISBLANK(Table2[[#This Row],[ActualResult]]), 0, 1)</f>
        <v>0</v>
      </c>
      <c r="O127" s="2" t="str">
        <f>IF(ISBLANK(Table2[[#This Row],[ActualResult]]), "_", IF(Table2[[#This Row],[ActualWinner]]=Table2[[#This Row],[PredictedWinner]], "Y", "N"))</f>
        <v>_</v>
      </c>
      <c r="P1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" s="2"/>
      <c r="S127" s="2" t="str">
        <f t="shared" si="11"/>
        <v>_</v>
      </c>
      <c r="T1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" s="2">
        <f>IF(Table2[[#This Row],[InterConf]]=1,IF(Table2[[#This Row],[InterDiv]]=0, 1, 0), 0)</f>
        <v>0</v>
      </c>
      <c r="W1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" s="2"/>
      <c r="Y127" s="2"/>
      <c r="Z127" s="145">
        <f>IF(AND(Table2[[#This Row],[GameIsOver]]=1,Table2[[#This Row],[ActualHomeScore]]*Table2[[#This Row],[ActualAwayScore]]=0), 1,0)</f>
        <v>0</v>
      </c>
      <c r="AA1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7" s="2">
        <f>Table2[[#This Row],[ActualAwayScore]]-Table2[[#This Row],[PredictedAwayScore]]</f>
        <v>0</v>
      </c>
      <c r="AG127" s="2">
        <f>Table2[[#This Row],[ActualHomeScore]]-Table2[[#This Row],[PredictedHomeScore]]</f>
        <v>0</v>
      </c>
      <c r="AH127" s="2">
        <f t="shared" si="12"/>
        <v>0</v>
      </c>
      <c r="AI127" s="2">
        <f t="shared" si="13"/>
        <v>0</v>
      </c>
      <c r="AJ127" s="2"/>
      <c r="AK127" s="2"/>
      <c r="AL127" s="2">
        <f>IF(Table2[[#This Row],[GameIsOver]]=0,0,IF(Table2[[#This Row],[ActualWinner]]=Table2[[#This Row],[AwayTeam]], 1, 0))</f>
        <v>0</v>
      </c>
      <c r="AM127" s="2">
        <f>IF(Table2[[#This Row],[GameIsOver]]=0,0,IF(Table2[[#This Row],[ActualWinner]]=Table2[[#This Row],[HomeTeam]], 1, 0))</f>
        <v>0</v>
      </c>
      <c r="AN1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" s="2" t="str">
        <f>INDEX(Sheet5!$B$2:$AG$33, MATCH(Table2[[#This Row],[AwayTeam]],Sheet5!$A$2:$A$33, 0), MATCH(Table2[[#This Row],[HomeTeam]],Sheet5!$A$2:$A$33, 0))</f>
        <v>0-0-0</v>
      </c>
      <c r="AP127" s="2" t="str">
        <f>INDEX(Sheet5!$B$2:$AG$33, MATCH(Table2[[#This Row],[HomeTeam]],Sheet5!$A$2:$A$33, 0), MATCH(Table2[[#This Row],[AwayTeam]],Sheet5!$A$2:$A$33, 0))</f>
        <v>0-0-0</v>
      </c>
      <c r="AQ127" s="2">
        <f>IF(Table2[[#This Row],[GameHasShutOut]], 1, 0)</f>
        <v>0</v>
      </c>
      <c r="AR127" s="2">
        <f>IF(Table2[[#This Row],[ActualAwayScore]] + Table2[[#This Row],[ActualHomeScore]] &gt;= 10, 1, 0)</f>
        <v>0</v>
      </c>
      <c r="AS127" s="2">
        <f>IF(ABS(Table2[[#This Row],[ActualAwayScore]]-Table2[[#This Row],[ActualHomeScore]])&gt;=5, 1, 0)</f>
        <v>0</v>
      </c>
      <c r="AT127" s="2">
        <f>IF(Table2[[#This Row],[ActualAwayScore]] + Table2[[#This Row],[ActualHomeScore]] &lt;= 3, 1, 0)</f>
        <v>1</v>
      </c>
      <c r="AU127" s="2"/>
      <c r="AV127" s="2"/>
    </row>
    <row r="128" spans="1:48" x14ac:dyDescent="0.25">
      <c r="A128" s="3"/>
      <c r="B128" s="3">
        <v>45955</v>
      </c>
      <c r="C128" s="5">
        <v>2025020126</v>
      </c>
      <c r="D128" s="2" t="s">
        <v>23</v>
      </c>
      <c r="E128" s="2" t="s">
        <v>21</v>
      </c>
      <c r="F128" s="2"/>
      <c r="G128" s="2"/>
      <c r="H128" s="2" t="str">
        <f t="shared" si="9"/>
        <v>_</v>
      </c>
      <c r="I128" s="2"/>
      <c r="J128" s="2"/>
      <c r="K128" s="2"/>
      <c r="L128" s="2" t="str">
        <f t="shared" si="10"/>
        <v>_</v>
      </c>
      <c r="M128" s="2"/>
      <c r="N128" s="2">
        <f>IF(ISBLANK(Table2[[#This Row],[ActualResult]]), 0, 1)</f>
        <v>0</v>
      </c>
      <c r="O128" s="2" t="str">
        <f>IF(ISBLANK(Table2[[#This Row],[ActualResult]]), "_", IF(Table2[[#This Row],[ActualWinner]]=Table2[[#This Row],[PredictedWinner]], "Y", "N"))</f>
        <v>_</v>
      </c>
      <c r="P1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" s="2"/>
      <c r="S128" s="2" t="str">
        <f t="shared" si="11"/>
        <v>_</v>
      </c>
      <c r="T1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" s="2">
        <f>IF(Table2[[#This Row],[InterConf]]=1,IF(Table2[[#This Row],[InterDiv]]=0, 1, 0), 0)</f>
        <v>1</v>
      </c>
      <c r="W1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" s="2"/>
      <c r="Y128" s="2"/>
      <c r="Z128" s="145">
        <f>IF(AND(Table2[[#This Row],[GameIsOver]]=1,Table2[[#This Row],[ActualHomeScore]]*Table2[[#This Row],[ActualAwayScore]]=0), 1,0)</f>
        <v>0</v>
      </c>
      <c r="AA1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8" s="2">
        <f>Table2[[#This Row],[ActualAwayScore]]-Table2[[#This Row],[PredictedAwayScore]]</f>
        <v>0</v>
      </c>
      <c r="AG128" s="2">
        <f>Table2[[#This Row],[ActualHomeScore]]-Table2[[#This Row],[PredictedHomeScore]]</f>
        <v>0</v>
      </c>
      <c r="AH128" s="2">
        <f t="shared" si="12"/>
        <v>0</v>
      </c>
      <c r="AI128" s="2">
        <f t="shared" si="13"/>
        <v>0</v>
      </c>
      <c r="AJ128" s="2"/>
      <c r="AK128" s="2"/>
      <c r="AL128" s="2">
        <f>IF(Table2[[#This Row],[GameIsOver]]=0,0,IF(Table2[[#This Row],[ActualWinner]]=Table2[[#This Row],[AwayTeam]], 1, 0))</f>
        <v>0</v>
      </c>
      <c r="AM128" s="2">
        <f>IF(Table2[[#This Row],[GameIsOver]]=0,0,IF(Table2[[#This Row],[ActualWinner]]=Table2[[#This Row],[HomeTeam]], 1, 0))</f>
        <v>0</v>
      </c>
      <c r="AN1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" s="2" t="str">
        <f>INDEX(Sheet5!$B$2:$AG$33, MATCH(Table2[[#This Row],[AwayTeam]],Sheet5!$A$2:$A$33, 0), MATCH(Table2[[#This Row],[HomeTeam]],Sheet5!$A$2:$A$33, 0))</f>
        <v>0-1-0</v>
      </c>
      <c r="AP128" s="2" t="str">
        <f>INDEX(Sheet5!$B$2:$AG$33, MATCH(Table2[[#This Row],[HomeTeam]],Sheet5!$A$2:$A$33, 0), MATCH(Table2[[#This Row],[AwayTeam]],Sheet5!$A$2:$A$33, 0))</f>
        <v>1-0-0</v>
      </c>
      <c r="AQ128" s="2">
        <f>IF(Table2[[#This Row],[GameHasShutOut]], 1, 0)</f>
        <v>0</v>
      </c>
      <c r="AR128" s="2">
        <f>IF(Table2[[#This Row],[ActualAwayScore]] + Table2[[#This Row],[ActualHomeScore]] &gt;= 10, 1, 0)</f>
        <v>0</v>
      </c>
      <c r="AS128" s="2">
        <f>IF(ABS(Table2[[#This Row],[ActualAwayScore]]-Table2[[#This Row],[ActualHomeScore]])&gt;=5, 1, 0)</f>
        <v>0</v>
      </c>
      <c r="AT128" s="2">
        <f>IF(Table2[[#This Row],[ActualAwayScore]] + Table2[[#This Row],[ActualHomeScore]] &lt;= 3, 1, 0)</f>
        <v>1</v>
      </c>
      <c r="AU128" s="2"/>
      <c r="AV128" s="2"/>
    </row>
    <row r="129" spans="1:48" x14ac:dyDescent="0.25">
      <c r="A129" s="3"/>
      <c r="B129" s="3">
        <v>45955</v>
      </c>
      <c r="C129" s="5">
        <v>2025020127</v>
      </c>
      <c r="D129" s="2" t="s">
        <v>32</v>
      </c>
      <c r="E129" s="2" t="s">
        <v>42</v>
      </c>
      <c r="F129" s="2"/>
      <c r="G129" s="2"/>
      <c r="H129" s="2" t="str">
        <f t="shared" si="9"/>
        <v>_</v>
      </c>
      <c r="I129" s="2"/>
      <c r="J129" s="2"/>
      <c r="K129" s="2"/>
      <c r="L129" s="2" t="str">
        <f t="shared" si="10"/>
        <v>_</v>
      </c>
      <c r="M129" s="2"/>
      <c r="N129" s="2">
        <f>IF(ISBLANK(Table2[[#This Row],[ActualResult]]), 0, 1)</f>
        <v>0</v>
      </c>
      <c r="O129" s="2" t="str">
        <f>IF(ISBLANK(Table2[[#This Row],[ActualResult]]), "_", IF(Table2[[#This Row],[ActualWinner]]=Table2[[#This Row],[PredictedWinner]], "Y", "N"))</f>
        <v>_</v>
      </c>
      <c r="P1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" s="2"/>
      <c r="S129" s="2" t="str">
        <f t="shared" si="11"/>
        <v>_</v>
      </c>
      <c r="T1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" s="2">
        <f>IF(Table2[[#This Row],[InterConf]]=1,IF(Table2[[#This Row],[InterDiv]]=0, 1, 0), 0)</f>
        <v>0</v>
      </c>
      <c r="W1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" s="2"/>
      <c r="Y129" s="2"/>
      <c r="Z129" s="145">
        <f>IF(AND(Table2[[#This Row],[GameIsOver]]=1,Table2[[#This Row],[ActualHomeScore]]*Table2[[#This Row],[ActualAwayScore]]=0), 1,0)</f>
        <v>0</v>
      </c>
      <c r="AA1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9" s="2">
        <f>Table2[[#This Row],[ActualAwayScore]]-Table2[[#This Row],[PredictedAwayScore]]</f>
        <v>0</v>
      </c>
      <c r="AG129" s="2">
        <f>Table2[[#This Row],[ActualHomeScore]]-Table2[[#This Row],[PredictedHomeScore]]</f>
        <v>0</v>
      </c>
      <c r="AH129" s="2">
        <f t="shared" si="12"/>
        <v>0</v>
      </c>
      <c r="AI129" s="2">
        <f t="shared" si="13"/>
        <v>0</v>
      </c>
      <c r="AJ129" s="2"/>
      <c r="AK129" s="2"/>
      <c r="AL129" s="2">
        <f>IF(Table2[[#This Row],[GameIsOver]]=0,0,IF(Table2[[#This Row],[ActualWinner]]=Table2[[#This Row],[AwayTeam]], 1, 0))</f>
        <v>0</v>
      </c>
      <c r="AM129" s="2">
        <f>IF(Table2[[#This Row],[GameIsOver]]=0,0,IF(Table2[[#This Row],[ActualWinner]]=Table2[[#This Row],[HomeTeam]], 1, 0))</f>
        <v>0</v>
      </c>
      <c r="AN1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" s="2" t="str">
        <f>INDEX(Sheet5!$B$2:$AG$33, MATCH(Table2[[#This Row],[AwayTeam]],Sheet5!$A$2:$A$33, 0), MATCH(Table2[[#This Row],[HomeTeam]],Sheet5!$A$2:$A$33, 0))</f>
        <v>0-0-0</v>
      </c>
      <c r="AP129" s="2" t="str">
        <f>INDEX(Sheet5!$B$2:$AG$33, MATCH(Table2[[#This Row],[HomeTeam]],Sheet5!$A$2:$A$33, 0), MATCH(Table2[[#This Row],[AwayTeam]],Sheet5!$A$2:$A$33, 0))</f>
        <v>0-0-0</v>
      </c>
      <c r="AQ129" s="2">
        <f>IF(Table2[[#This Row],[GameHasShutOut]], 1, 0)</f>
        <v>0</v>
      </c>
      <c r="AR129" s="2">
        <f>IF(Table2[[#This Row],[ActualAwayScore]] + Table2[[#This Row],[ActualHomeScore]] &gt;= 10, 1, 0)</f>
        <v>0</v>
      </c>
      <c r="AS129" s="2">
        <f>IF(ABS(Table2[[#This Row],[ActualAwayScore]]-Table2[[#This Row],[ActualHomeScore]])&gt;=5, 1, 0)</f>
        <v>0</v>
      </c>
      <c r="AT129" s="2">
        <f>IF(Table2[[#This Row],[ActualAwayScore]] + Table2[[#This Row],[ActualHomeScore]] &lt;= 3, 1, 0)</f>
        <v>1</v>
      </c>
      <c r="AU129" s="2"/>
      <c r="AV129" s="2"/>
    </row>
    <row r="130" spans="1:48" x14ac:dyDescent="0.25">
      <c r="A130" s="3"/>
      <c r="B130" s="3">
        <v>45955</v>
      </c>
      <c r="C130" s="5">
        <v>2025020128</v>
      </c>
      <c r="D130" s="2" t="s">
        <v>25</v>
      </c>
      <c r="E130" s="2" t="s">
        <v>15</v>
      </c>
      <c r="F130" s="2"/>
      <c r="G130" s="2"/>
      <c r="H130" s="2" t="str">
        <f t="shared" si="9"/>
        <v>_</v>
      </c>
      <c r="I130" s="2"/>
      <c r="J130" s="2"/>
      <c r="K130" s="2"/>
      <c r="L130" s="2" t="str">
        <f t="shared" si="10"/>
        <v>_</v>
      </c>
      <c r="M130" s="2"/>
      <c r="N130" s="2">
        <f>IF(ISBLANK(Table2[[#This Row],[ActualResult]]), 0, 1)</f>
        <v>0</v>
      </c>
      <c r="O130" s="2" t="str">
        <f>IF(ISBLANK(Table2[[#This Row],[ActualResult]]), "_", IF(Table2[[#This Row],[ActualWinner]]=Table2[[#This Row],[PredictedWinner]], "Y", "N"))</f>
        <v>_</v>
      </c>
      <c r="P1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" s="2"/>
      <c r="S130" s="2" t="str">
        <f t="shared" si="11"/>
        <v>_</v>
      </c>
      <c r="T1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" s="2">
        <f>IF(Table2[[#This Row],[InterConf]]=1,IF(Table2[[#This Row],[InterDiv]]=0, 1, 0), 0)</f>
        <v>0</v>
      </c>
      <c r="W1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0" s="2"/>
      <c r="Y130" s="2"/>
      <c r="Z130" s="145">
        <f>IF(AND(Table2[[#This Row],[GameIsOver]]=1,Table2[[#This Row],[ActualHomeScore]]*Table2[[#This Row],[ActualAwayScore]]=0), 1,0)</f>
        <v>0</v>
      </c>
      <c r="AA1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0" s="2">
        <f>Table2[[#This Row],[ActualAwayScore]]-Table2[[#This Row],[PredictedAwayScore]]</f>
        <v>0</v>
      </c>
      <c r="AG130" s="2">
        <f>Table2[[#This Row],[ActualHomeScore]]-Table2[[#This Row],[PredictedHomeScore]]</f>
        <v>0</v>
      </c>
      <c r="AH130" s="2">
        <f t="shared" si="12"/>
        <v>0</v>
      </c>
      <c r="AI130" s="2">
        <f t="shared" si="13"/>
        <v>0</v>
      </c>
      <c r="AJ130" s="2"/>
      <c r="AK130" s="2"/>
      <c r="AL130" s="2">
        <f>IF(Table2[[#This Row],[GameIsOver]]=0,0,IF(Table2[[#This Row],[ActualWinner]]=Table2[[#This Row],[AwayTeam]], 1, 0))</f>
        <v>0</v>
      </c>
      <c r="AM130" s="2">
        <f>IF(Table2[[#This Row],[GameIsOver]]=0,0,IF(Table2[[#This Row],[ActualWinner]]=Table2[[#This Row],[HomeTeam]], 1, 0))</f>
        <v>0</v>
      </c>
      <c r="AN1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" s="2" t="str">
        <f>INDEX(Sheet5!$B$2:$AG$33, MATCH(Table2[[#This Row],[AwayTeam]],Sheet5!$A$2:$A$33, 0), MATCH(Table2[[#This Row],[HomeTeam]],Sheet5!$A$2:$A$33, 0))</f>
        <v>1-0-0</v>
      </c>
      <c r="AP130" s="2" t="str">
        <f>INDEX(Sheet5!$B$2:$AG$33, MATCH(Table2[[#This Row],[HomeTeam]],Sheet5!$A$2:$A$33, 0), MATCH(Table2[[#This Row],[AwayTeam]],Sheet5!$A$2:$A$33, 0))</f>
        <v>0-1-0</v>
      </c>
      <c r="AQ130" s="2">
        <f>IF(Table2[[#This Row],[GameHasShutOut]], 1, 0)</f>
        <v>0</v>
      </c>
      <c r="AR130" s="2">
        <f>IF(Table2[[#This Row],[ActualAwayScore]] + Table2[[#This Row],[ActualHomeScore]] &gt;= 10, 1, 0)</f>
        <v>0</v>
      </c>
      <c r="AS130" s="2">
        <f>IF(ABS(Table2[[#This Row],[ActualAwayScore]]-Table2[[#This Row],[ActualHomeScore]])&gt;=5, 1, 0)</f>
        <v>0</v>
      </c>
      <c r="AT130" s="2">
        <f>IF(Table2[[#This Row],[ActualAwayScore]] + Table2[[#This Row],[ActualHomeScore]] &lt;= 3, 1, 0)</f>
        <v>1</v>
      </c>
      <c r="AU130" s="2"/>
      <c r="AV130" s="2"/>
    </row>
    <row r="131" spans="1:48" x14ac:dyDescent="0.25">
      <c r="A131" s="3"/>
      <c r="B131" s="3">
        <v>45955</v>
      </c>
      <c r="C131" s="5">
        <v>2025020129</v>
      </c>
      <c r="D131" s="2" t="s">
        <v>44</v>
      </c>
      <c r="E131" s="2" t="s">
        <v>40</v>
      </c>
      <c r="F131" s="2"/>
      <c r="G131" s="2"/>
      <c r="H131" s="2" t="str">
        <f t="shared" ref="H131:H194" si="14">IF(AND(ISBLANK($F131),ISBLANK($G131)),"_",IF($F131&gt;$G131,$D131,$E131))</f>
        <v>_</v>
      </c>
      <c r="I131" s="2"/>
      <c r="J131" s="2"/>
      <c r="K131" s="2"/>
      <c r="L131" s="2" t="str">
        <f t="shared" ref="L131:L194" si="15">IF(OR($J131=$K131,AND(ISBLANK($J131),ISBLANK($K131))),"_",IF($J131&gt;$K131,$D131,$E131))</f>
        <v>_</v>
      </c>
      <c r="M131" s="2"/>
      <c r="N131" s="2">
        <f>IF(ISBLANK(Table2[[#This Row],[ActualResult]]), 0, 1)</f>
        <v>0</v>
      </c>
      <c r="O131" s="2" t="str">
        <f>IF(ISBLANK(Table2[[#This Row],[ActualResult]]), "_", IF(Table2[[#This Row],[ActualWinner]]=Table2[[#This Row],[PredictedWinner]], "Y", "N"))</f>
        <v>_</v>
      </c>
      <c r="P1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" s="2"/>
      <c r="S131" s="2" t="str">
        <f t="shared" ref="S131:S194" si="16">IF($L131="_", "_", IF($L131=$D131,$E131,$D131))</f>
        <v>_</v>
      </c>
      <c r="T1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1" s="2">
        <f>IF(Table2[[#This Row],[InterConf]]=1,IF(Table2[[#This Row],[InterDiv]]=0, 1, 0), 0)</f>
        <v>0</v>
      </c>
      <c r="W1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1" s="2"/>
      <c r="Y131" s="2"/>
      <c r="Z131" s="145">
        <f>IF(AND(Table2[[#This Row],[GameIsOver]]=1,Table2[[#This Row],[ActualHomeScore]]*Table2[[#This Row],[ActualAwayScore]]=0), 1,0)</f>
        <v>0</v>
      </c>
      <c r="AA1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1" s="2">
        <f>Table2[[#This Row],[ActualAwayScore]]-Table2[[#This Row],[PredictedAwayScore]]</f>
        <v>0</v>
      </c>
      <c r="AG131" s="2">
        <f>Table2[[#This Row],[ActualHomeScore]]-Table2[[#This Row],[PredictedHomeScore]]</f>
        <v>0</v>
      </c>
      <c r="AH131" s="2">
        <f t="shared" ref="AH131:AH194" si="17">SUMIF($B$3:$B$1315, $B131, $AF$3:$AF$1315)</f>
        <v>0</v>
      </c>
      <c r="AI131" s="2">
        <f t="shared" ref="AI131:AI194" si="18">SUMIF($B$3:$B$1315, $B131, $AG$3:$AG$1315)</f>
        <v>0</v>
      </c>
      <c r="AJ131" s="2"/>
      <c r="AK131" s="2"/>
      <c r="AL131" s="2">
        <f>IF(Table2[[#This Row],[GameIsOver]]=0,0,IF(Table2[[#This Row],[ActualWinner]]=Table2[[#This Row],[AwayTeam]], 1, 0))</f>
        <v>0</v>
      </c>
      <c r="AM131" s="2">
        <f>IF(Table2[[#This Row],[GameIsOver]]=0,0,IF(Table2[[#This Row],[ActualWinner]]=Table2[[#This Row],[HomeTeam]], 1, 0))</f>
        <v>0</v>
      </c>
      <c r="AN1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1" s="2" t="str">
        <f>INDEX(Sheet5!$B$2:$AG$33, MATCH(Table2[[#This Row],[AwayTeam]],Sheet5!$A$2:$A$33, 0), MATCH(Table2[[#This Row],[HomeTeam]],Sheet5!$A$2:$A$33, 0))</f>
        <v>0-0-0</v>
      </c>
      <c r="AP131" s="2" t="str">
        <f>INDEX(Sheet5!$B$2:$AG$33, MATCH(Table2[[#This Row],[HomeTeam]],Sheet5!$A$2:$A$33, 0), MATCH(Table2[[#This Row],[AwayTeam]],Sheet5!$A$2:$A$33, 0))</f>
        <v>0-0-0</v>
      </c>
      <c r="AQ131" s="2">
        <f>IF(Table2[[#This Row],[GameHasShutOut]], 1, 0)</f>
        <v>0</v>
      </c>
      <c r="AR131" s="2">
        <f>IF(Table2[[#This Row],[ActualAwayScore]] + Table2[[#This Row],[ActualHomeScore]] &gt;= 10, 1, 0)</f>
        <v>0</v>
      </c>
      <c r="AS131" s="2">
        <f>IF(ABS(Table2[[#This Row],[ActualAwayScore]]-Table2[[#This Row],[ActualHomeScore]])&gt;=5, 1, 0)</f>
        <v>0</v>
      </c>
      <c r="AT131" s="2">
        <f>IF(Table2[[#This Row],[ActualAwayScore]] + Table2[[#This Row],[ActualHomeScore]] &lt;= 3, 1, 0)</f>
        <v>1</v>
      </c>
      <c r="AU131" s="2"/>
      <c r="AV131" s="2"/>
    </row>
    <row r="132" spans="1:48" x14ac:dyDescent="0.25">
      <c r="A132" s="3"/>
      <c r="B132" s="3">
        <v>45955</v>
      </c>
      <c r="C132" s="5">
        <v>2025020130</v>
      </c>
      <c r="D132" s="2" t="s">
        <v>26</v>
      </c>
      <c r="E132" s="2" t="s">
        <v>13</v>
      </c>
      <c r="F132" s="2"/>
      <c r="G132" s="2"/>
      <c r="H132" s="2" t="str">
        <f t="shared" si="14"/>
        <v>_</v>
      </c>
      <c r="I132" s="2"/>
      <c r="J132" s="2"/>
      <c r="K132" s="2"/>
      <c r="L132" s="2" t="str">
        <f t="shared" si="15"/>
        <v>_</v>
      </c>
      <c r="M132" s="2"/>
      <c r="N132" s="2">
        <f>IF(ISBLANK(Table2[[#This Row],[ActualResult]]), 0, 1)</f>
        <v>0</v>
      </c>
      <c r="O132" s="2" t="str">
        <f>IF(ISBLANK(Table2[[#This Row],[ActualResult]]), "_", IF(Table2[[#This Row],[ActualWinner]]=Table2[[#This Row],[PredictedWinner]], "Y", "N"))</f>
        <v>_</v>
      </c>
      <c r="P1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2" s="2"/>
      <c r="S132" s="2" t="str">
        <f t="shared" si="16"/>
        <v>_</v>
      </c>
      <c r="T1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2" s="2">
        <f>IF(Table2[[#This Row],[InterConf]]=1,IF(Table2[[#This Row],[InterDiv]]=0, 1, 0), 0)</f>
        <v>0</v>
      </c>
      <c r="W1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2" s="2"/>
      <c r="Y132" s="2"/>
      <c r="Z132" s="145">
        <f>IF(AND(Table2[[#This Row],[GameIsOver]]=1,Table2[[#This Row],[ActualHomeScore]]*Table2[[#This Row],[ActualAwayScore]]=0), 1,0)</f>
        <v>0</v>
      </c>
      <c r="AA1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2" s="2">
        <f>Table2[[#This Row],[ActualAwayScore]]-Table2[[#This Row],[PredictedAwayScore]]</f>
        <v>0</v>
      </c>
      <c r="AG132" s="2">
        <f>Table2[[#This Row],[ActualHomeScore]]-Table2[[#This Row],[PredictedHomeScore]]</f>
        <v>0</v>
      </c>
      <c r="AH132" s="2">
        <f t="shared" si="17"/>
        <v>0</v>
      </c>
      <c r="AI132" s="2">
        <f t="shared" si="18"/>
        <v>0</v>
      </c>
      <c r="AJ132" s="2"/>
      <c r="AK132" s="2"/>
      <c r="AL132" s="2">
        <f>IF(Table2[[#This Row],[GameIsOver]]=0,0,IF(Table2[[#This Row],[ActualWinner]]=Table2[[#This Row],[AwayTeam]], 1, 0))</f>
        <v>0</v>
      </c>
      <c r="AM132" s="2">
        <f>IF(Table2[[#This Row],[GameIsOver]]=0,0,IF(Table2[[#This Row],[ActualWinner]]=Table2[[#This Row],[HomeTeam]], 1, 0))</f>
        <v>0</v>
      </c>
      <c r="AN1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2" s="2" t="str">
        <f>INDEX(Sheet5!$B$2:$AG$33, MATCH(Table2[[#This Row],[AwayTeam]],Sheet5!$A$2:$A$33, 0), MATCH(Table2[[#This Row],[HomeTeam]],Sheet5!$A$2:$A$33, 0))</f>
        <v>0-0-0</v>
      </c>
      <c r="AP132" s="2" t="str">
        <f>INDEX(Sheet5!$B$2:$AG$33, MATCH(Table2[[#This Row],[HomeTeam]],Sheet5!$A$2:$A$33, 0), MATCH(Table2[[#This Row],[AwayTeam]],Sheet5!$A$2:$A$33, 0))</f>
        <v>0-0-0</v>
      </c>
      <c r="AQ132" s="2">
        <f>IF(Table2[[#This Row],[GameHasShutOut]], 1, 0)</f>
        <v>0</v>
      </c>
      <c r="AR132" s="2">
        <f>IF(Table2[[#This Row],[ActualAwayScore]] + Table2[[#This Row],[ActualHomeScore]] &gt;= 10, 1, 0)</f>
        <v>0</v>
      </c>
      <c r="AS132" s="2">
        <f>IF(ABS(Table2[[#This Row],[ActualAwayScore]]-Table2[[#This Row],[ActualHomeScore]])&gt;=5, 1, 0)</f>
        <v>0</v>
      </c>
      <c r="AT132" s="2">
        <f>IF(Table2[[#This Row],[ActualAwayScore]] + Table2[[#This Row],[ActualHomeScore]] &lt;= 3, 1, 0)</f>
        <v>1</v>
      </c>
      <c r="AU132" s="2"/>
      <c r="AV132" s="2"/>
    </row>
    <row r="133" spans="1:48" x14ac:dyDescent="0.25">
      <c r="A133" s="3"/>
      <c r="B133" s="3">
        <v>45955</v>
      </c>
      <c r="C133" s="5">
        <v>2025020131</v>
      </c>
      <c r="D133" s="2" t="s">
        <v>14</v>
      </c>
      <c r="E133" s="2" t="s">
        <v>36</v>
      </c>
      <c r="F133" s="2"/>
      <c r="G133" s="2"/>
      <c r="H133" s="2" t="str">
        <f t="shared" si="14"/>
        <v>_</v>
      </c>
      <c r="I133" s="2"/>
      <c r="J133" s="2"/>
      <c r="K133" s="2"/>
      <c r="L133" s="2" t="str">
        <f t="shared" si="15"/>
        <v>_</v>
      </c>
      <c r="M133" s="2"/>
      <c r="N133" s="2">
        <f>IF(ISBLANK(Table2[[#This Row],[ActualResult]]), 0, 1)</f>
        <v>0</v>
      </c>
      <c r="O133" s="2" t="str">
        <f>IF(ISBLANK(Table2[[#This Row],[ActualResult]]), "_", IF(Table2[[#This Row],[ActualWinner]]=Table2[[#This Row],[PredictedWinner]], "Y", "N"))</f>
        <v>_</v>
      </c>
      <c r="P1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3" s="2"/>
      <c r="S133" s="2" t="str">
        <f t="shared" si="16"/>
        <v>_</v>
      </c>
      <c r="T1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3" s="2">
        <f>IF(Table2[[#This Row],[InterConf]]=1,IF(Table2[[#This Row],[InterDiv]]=0, 1, 0), 0)</f>
        <v>0</v>
      </c>
      <c r="W1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3" s="2"/>
      <c r="Y133" s="2"/>
      <c r="Z133" s="145">
        <f>IF(AND(Table2[[#This Row],[GameIsOver]]=1,Table2[[#This Row],[ActualHomeScore]]*Table2[[#This Row],[ActualAwayScore]]=0), 1,0)</f>
        <v>0</v>
      </c>
      <c r="AA1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3" s="2">
        <f>Table2[[#This Row],[ActualAwayScore]]-Table2[[#This Row],[PredictedAwayScore]]</f>
        <v>0</v>
      </c>
      <c r="AG133" s="2">
        <f>Table2[[#This Row],[ActualHomeScore]]-Table2[[#This Row],[PredictedHomeScore]]</f>
        <v>0</v>
      </c>
      <c r="AH133" s="2">
        <f t="shared" si="17"/>
        <v>0</v>
      </c>
      <c r="AI133" s="2">
        <f t="shared" si="18"/>
        <v>0</v>
      </c>
      <c r="AJ133" s="2"/>
      <c r="AK133" s="2"/>
      <c r="AL133" s="2">
        <f>IF(Table2[[#This Row],[GameIsOver]]=0,0,IF(Table2[[#This Row],[ActualWinner]]=Table2[[#This Row],[AwayTeam]], 1, 0))</f>
        <v>0</v>
      </c>
      <c r="AM133" s="2">
        <f>IF(Table2[[#This Row],[GameIsOver]]=0,0,IF(Table2[[#This Row],[ActualWinner]]=Table2[[#This Row],[HomeTeam]], 1, 0))</f>
        <v>0</v>
      </c>
      <c r="AN1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3" s="2" t="str">
        <f>INDEX(Sheet5!$B$2:$AG$33, MATCH(Table2[[#This Row],[AwayTeam]],Sheet5!$A$2:$A$33, 0), MATCH(Table2[[#This Row],[HomeTeam]],Sheet5!$A$2:$A$33, 0))</f>
        <v>0-0-0</v>
      </c>
      <c r="AP133" s="2" t="str">
        <f>INDEX(Sheet5!$B$2:$AG$33, MATCH(Table2[[#This Row],[HomeTeam]],Sheet5!$A$2:$A$33, 0), MATCH(Table2[[#This Row],[AwayTeam]],Sheet5!$A$2:$A$33, 0))</f>
        <v>0-0-0</v>
      </c>
      <c r="AQ133" s="2">
        <f>IF(Table2[[#This Row],[GameHasShutOut]], 1, 0)</f>
        <v>0</v>
      </c>
      <c r="AR133" s="2">
        <f>IF(Table2[[#This Row],[ActualAwayScore]] + Table2[[#This Row],[ActualHomeScore]] &gt;= 10, 1, 0)</f>
        <v>0</v>
      </c>
      <c r="AS133" s="2">
        <f>IF(ABS(Table2[[#This Row],[ActualAwayScore]]-Table2[[#This Row],[ActualHomeScore]])&gt;=5, 1, 0)</f>
        <v>0</v>
      </c>
      <c r="AT133" s="2">
        <f>IF(Table2[[#This Row],[ActualAwayScore]] + Table2[[#This Row],[ActualHomeScore]] &lt;= 3, 1, 0)</f>
        <v>1</v>
      </c>
      <c r="AU133" s="2"/>
      <c r="AV133" s="2"/>
    </row>
    <row r="134" spans="1:48" x14ac:dyDescent="0.25">
      <c r="A134" s="3"/>
      <c r="B134" s="3">
        <v>45955</v>
      </c>
      <c r="C134" s="5">
        <v>2025020132</v>
      </c>
      <c r="D134" s="2" t="s">
        <v>28</v>
      </c>
      <c r="E134" s="2" t="s">
        <v>17</v>
      </c>
      <c r="F134" s="2"/>
      <c r="G134" s="2"/>
      <c r="H134" s="2" t="str">
        <f t="shared" si="14"/>
        <v>_</v>
      </c>
      <c r="I134" s="2"/>
      <c r="J134" s="2"/>
      <c r="K134" s="2"/>
      <c r="L134" s="2" t="str">
        <f t="shared" si="15"/>
        <v>_</v>
      </c>
      <c r="M134" s="2"/>
      <c r="N134" s="2">
        <f>IF(ISBLANK(Table2[[#This Row],[ActualResult]]), 0, 1)</f>
        <v>0</v>
      </c>
      <c r="O134" s="2" t="str">
        <f>IF(ISBLANK(Table2[[#This Row],[ActualResult]]), "_", IF(Table2[[#This Row],[ActualWinner]]=Table2[[#This Row],[PredictedWinner]], "Y", "N"))</f>
        <v>_</v>
      </c>
      <c r="P1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4" s="2"/>
      <c r="S134" s="2" t="str">
        <f t="shared" si="16"/>
        <v>_</v>
      </c>
      <c r="T1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4" s="2">
        <f>IF(Table2[[#This Row],[InterConf]]=1,IF(Table2[[#This Row],[InterDiv]]=0, 1, 0), 0)</f>
        <v>0</v>
      </c>
      <c r="W1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4" s="2"/>
      <c r="Y134" s="2"/>
      <c r="Z134" s="145">
        <f>IF(AND(Table2[[#This Row],[GameIsOver]]=1,Table2[[#This Row],[ActualHomeScore]]*Table2[[#This Row],[ActualAwayScore]]=0), 1,0)</f>
        <v>0</v>
      </c>
      <c r="AA1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4" s="2">
        <f>Table2[[#This Row],[ActualAwayScore]]-Table2[[#This Row],[PredictedAwayScore]]</f>
        <v>0</v>
      </c>
      <c r="AG134" s="2">
        <f>Table2[[#This Row],[ActualHomeScore]]-Table2[[#This Row],[PredictedHomeScore]]</f>
        <v>0</v>
      </c>
      <c r="AH134" s="2">
        <f t="shared" si="17"/>
        <v>0</v>
      </c>
      <c r="AI134" s="2">
        <f t="shared" si="18"/>
        <v>0</v>
      </c>
      <c r="AJ134" s="2"/>
      <c r="AK134" s="2"/>
      <c r="AL134" s="2">
        <f>IF(Table2[[#This Row],[GameIsOver]]=0,0,IF(Table2[[#This Row],[ActualWinner]]=Table2[[#This Row],[AwayTeam]], 1, 0))</f>
        <v>0</v>
      </c>
      <c r="AM134" s="2">
        <f>IF(Table2[[#This Row],[GameIsOver]]=0,0,IF(Table2[[#This Row],[ActualWinner]]=Table2[[#This Row],[HomeTeam]], 1, 0))</f>
        <v>0</v>
      </c>
      <c r="AN1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4" s="2" t="str">
        <f>INDEX(Sheet5!$B$2:$AG$33, MATCH(Table2[[#This Row],[AwayTeam]],Sheet5!$A$2:$A$33, 0), MATCH(Table2[[#This Row],[HomeTeam]],Sheet5!$A$2:$A$33, 0))</f>
        <v>0-0-0</v>
      </c>
      <c r="AP134" s="2" t="str">
        <f>INDEX(Sheet5!$B$2:$AG$33, MATCH(Table2[[#This Row],[HomeTeam]],Sheet5!$A$2:$A$33, 0), MATCH(Table2[[#This Row],[AwayTeam]],Sheet5!$A$2:$A$33, 0))</f>
        <v>0-0-0</v>
      </c>
      <c r="AQ134" s="2">
        <f>IF(Table2[[#This Row],[GameHasShutOut]], 1, 0)</f>
        <v>0</v>
      </c>
      <c r="AR134" s="2">
        <f>IF(Table2[[#This Row],[ActualAwayScore]] + Table2[[#This Row],[ActualHomeScore]] &gt;= 10, 1, 0)</f>
        <v>0</v>
      </c>
      <c r="AS134" s="2">
        <f>IF(ABS(Table2[[#This Row],[ActualAwayScore]]-Table2[[#This Row],[ActualHomeScore]])&gt;=5, 1, 0)</f>
        <v>0</v>
      </c>
      <c r="AT134" s="2">
        <f>IF(Table2[[#This Row],[ActualAwayScore]] + Table2[[#This Row],[ActualHomeScore]] &lt;= 3, 1, 0)</f>
        <v>1</v>
      </c>
      <c r="AU134" s="2"/>
      <c r="AV134" s="2"/>
    </row>
    <row r="135" spans="1:48" x14ac:dyDescent="0.25">
      <c r="A135" s="3"/>
      <c r="B135" s="3">
        <v>45955</v>
      </c>
      <c r="C135" s="5">
        <v>2025020133</v>
      </c>
      <c r="D135" s="2" t="s">
        <v>12</v>
      </c>
      <c r="E135" s="2" t="s">
        <v>30</v>
      </c>
      <c r="F135" s="2"/>
      <c r="G135" s="2"/>
      <c r="H135" s="2" t="str">
        <f t="shared" si="14"/>
        <v>_</v>
      </c>
      <c r="I135" s="2"/>
      <c r="J135" s="2"/>
      <c r="K135" s="2"/>
      <c r="L135" s="2" t="str">
        <f t="shared" si="15"/>
        <v>_</v>
      </c>
      <c r="M135" s="2"/>
      <c r="N135" s="2">
        <f>IF(ISBLANK(Table2[[#This Row],[ActualResult]]), 0, 1)</f>
        <v>0</v>
      </c>
      <c r="O135" s="2" t="str">
        <f>IF(ISBLANK(Table2[[#This Row],[ActualResult]]), "_", IF(Table2[[#This Row],[ActualWinner]]=Table2[[#This Row],[PredictedWinner]], "Y", "N"))</f>
        <v>_</v>
      </c>
      <c r="P1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5" s="2"/>
      <c r="S135" s="2" t="str">
        <f t="shared" si="16"/>
        <v>_</v>
      </c>
      <c r="T1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5" s="2">
        <f>IF(Table2[[#This Row],[InterConf]]=1,IF(Table2[[#This Row],[InterDiv]]=0, 1, 0), 0)</f>
        <v>0</v>
      </c>
      <c r="W1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5" s="2"/>
      <c r="Y135" s="2"/>
      <c r="Z135" s="145">
        <f>IF(AND(Table2[[#This Row],[GameIsOver]]=1,Table2[[#This Row],[ActualHomeScore]]*Table2[[#This Row],[ActualAwayScore]]=0), 1,0)</f>
        <v>0</v>
      </c>
      <c r="AA1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5" s="2">
        <f>Table2[[#This Row],[ActualAwayScore]]-Table2[[#This Row],[PredictedAwayScore]]</f>
        <v>0</v>
      </c>
      <c r="AG135" s="2">
        <f>Table2[[#This Row],[ActualHomeScore]]-Table2[[#This Row],[PredictedHomeScore]]</f>
        <v>0</v>
      </c>
      <c r="AH135" s="2">
        <f t="shared" si="17"/>
        <v>0</v>
      </c>
      <c r="AI135" s="2">
        <f t="shared" si="18"/>
        <v>0</v>
      </c>
      <c r="AJ135" s="2"/>
      <c r="AK135" s="2"/>
      <c r="AL135" s="2">
        <f>IF(Table2[[#This Row],[GameIsOver]]=0,0,IF(Table2[[#This Row],[ActualWinner]]=Table2[[#This Row],[AwayTeam]], 1, 0))</f>
        <v>0</v>
      </c>
      <c r="AM135" s="2">
        <f>IF(Table2[[#This Row],[GameIsOver]]=0,0,IF(Table2[[#This Row],[ActualWinner]]=Table2[[#This Row],[HomeTeam]], 1, 0))</f>
        <v>0</v>
      </c>
      <c r="AN1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5" s="2" t="str">
        <f>INDEX(Sheet5!$B$2:$AG$33, MATCH(Table2[[#This Row],[AwayTeam]],Sheet5!$A$2:$A$33, 0), MATCH(Table2[[#This Row],[HomeTeam]],Sheet5!$A$2:$A$33, 0))</f>
        <v>0-0-0</v>
      </c>
      <c r="AP135" s="2" t="str">
        <f>INDEX(Sheet5!$B$2:$AG$33, MATCH(Table2[[#This Row],[HomeTeam]],Sheet5!$A$2:$A$33, 0), MATCH(Table2[[#This Row],[AwayTeam]],Sheet5!$A$2:$A$33, 0))</f>
        <v>0-0-0</v>
      </c>
      <c r="AQ135" s="2">
        <f>IF(Table2[[#This Row],[GameHasShutOut]], 1, 0)</f>
        <v>0</v>
      </c>
      <c r="AR135" s="2">
        <f>IF(Table2[[#This Row],[ActualAwayScore]] + Table2[[#This Row],[ActualHomeScore]] &gt;= 10, 1, 0)</f>
        <v>0</v>
      </c>
      <c r="AS135" s="2">
        <f>IF(ABS(Table2[[#This Row],[ActualAwayScore]]-Table2[[#This Row],[ActualHomeScore]])&gt;=5, 1, 0)</f>
        <v>0</v>
      </c>
      <c r="AT135" s="2">
        <f>IF(Table2[[#This Row],[ActualAwayScore]] + Table2[[#This Row],[ActualHomeScore]] &lt;= 3, 1, 0)</f>
        <v>1</v>
      </c>
      <c r="AU135" s="2"/>
      <c r="AV135" s="2"/>
    </row>
    <row r="136" spans="1:48" x14ac:dyDescent="0.25">
      <c r="A136" s="3"/>
      <c r="B136" s="3">
        <v>45955</v>
      </c>
      <c r="C136" s="5">
        <v>2025020134</v>
      </c>
      <c r="D136" s="2" t="s">
        <v>35</v>
      </c>
      <c r="E136" s="2" t="s">
        <v>20</v>
      </c>
      <c r="F136" s="2"/>
      <c r="G136" s="2"/>
      <c r="H136" s="2" t="str">
        <f t="shared" si="14"/>
        <v>_</v>
      </c>
      <c r="I136" s="2"/>
      <c r="J136" s="2"/>
      <c r="K136" s="2"/>
      <c r="L136" s="2" t="str">
        <f t="shared" si="15"/>
        <v>_</v>
      </c>
      <c r="M136" s="2"/>
      <c r="N136" s="2">
        <f>IF(ISBLANK(Table2[[#This Row],[ActualResult]]), 0, 1)</f>
        <v>0</v>
      </c>
      <c r="O136" s="2" t="str">
        <f>IF(ISBLANK(Table2[[#This Row],[ActualResult]]), "_", IF(Table2[[#This Row],[ActualWinner]]=Table2[[#This Row],[PredictedWinner]], "Y", "N"))</f>
        <v>_</v>
      </c>
      <c r="P1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6" s="2"/>
      <c r="S136" s="2" t="str">
        <f t="shared" si="16"/>
        <v>_</v>
      </c>
      <c r="T1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6" s="2">
        <f>IF(Table2[[#This Row],[InterConf]]=1,IF(Table2[[#This Row],[InterDiv]]=0, 1, 0), 0)</f>
        <v>0</v>
      </c>
      <c r="W1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6" s="2"/>
      <c r="Y136" s="2"/>
      <c r="Z136" s="145">
        <f>IF(AND(Table2[[#This Row],[GameIsOver]]=1,Table2[[#This Row],[ActualHomeScore]]*Table2[[#This Row],[ActualAwayScore]]=0), 1,0)</f>
        <v>0</v>
      </c>
      <c r="AA1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6" s="2">
        <f>Table2[[#This Row],[ActualAwayScore]]-Table2[[#This Row],[PredictedAwayScore]]</f>
        <v>0</v>
      </c>
      <c r="AG136" s="2">
        <f>Table2[[#This Row],[ActualHomeScore]]-Table2[[#This Row],[PredictedHomeScore]]</f>
        <v>0</v>
      </c>
      <c r="AH136" s="2">
        <f t="shared" si="17"/>
        <v>0</v>
      </c>
      <c r="AI136" s="2">
        <f t="shared" si="18"/>
        <v>0</v>
      </c>
      <c r="AJ136" s="2"/>
      <c r="AK136" s="2"/>
      <c r="AL136" s="2">
        <f>IF(Table2[[#This Row],[GameIsOver]]=0,0,IF(Table2[[#This Row],[ActualWinner]]=Table2[[#This Row],[AwayTeam]], 1, 0))</f>
        <v>0</v>
      </c>
      <c r="AM136" s="2">
        <f>IF(Table2[[#This Row],[GameIsOver]]=0,0,IF(Table2[[#This Row],[ActualWinner]]=Table2[[#This Row],[HomeTeam]], 1, 0))</f>
        <v>0</v>
      </c>
      <c r="AN1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6" s="2" t="str">
        <f>INDEX(Sheet5!$B$2:$AG$33, MATCH(Table2[[#This Row],[AwayTeam]],Sheet5!$A$2:$A$33, 0), MATCH(Table2[[#This Row],[HomeTeam]],Sheet5!$A$2:$A$33, 0))</f>
        <v>0-0-0</v>
      </c>
      <c r="AP136" s="2" t="str">
        <f>INDEX(Sheet5!$B$2:$AG$33, MATCH(Table2[[#This Row],[HomeTeam]],Sheet5!$A$2:$A$33, 0), MATCH(Table2[[#This Row],[AwayTeam]],Sheet5!$A$2:$A$33, 0))</f>
        <v>0-0-0</v>
      </c>
      <c r="AQ136" s="2">
        <f>IF(Table2[[#This Row],[GameHasShutOut]], 1, 0)</f>
        <v>0</v>
      </c>
      <c r="AR136" s="2">
        <f>IF(Table2[[#This Row],[ActualAwayScore]] + Table2[[#This Row],[ActualHomeScore]] &gt;= 10, 1, 0)</f>
        <v>0</v>
      </c>
      <c r="AS136" s="2">
        <f>IF(ABS(Table2[[#This Row],[ActualAwayScore]]-Table2[[#This Row],[ActualHomeScore]])&gt;=5, 1, 0)</f>
        <v>0</v>
      </c>
      <c r="AT136" s="2">
        <f>IF(Table2[[#This Row],[ActualAwayScore]] + Table2[[#This Row],[ActualHomeScore]] &lt;= 3, 1, 0)</f>
        <v>1</v>
      </c>
      <c r="AU136" s="2"/>
      <c r="AV136" s="2"/>
    </row>
    <row r="137" spans="1:48" x14ac:dyDescent="0.25">
      <c r="A137" s="3"/>
      <c r="B137" s="3">
        <v>45955</v>
      </c>
      <c r="C137" s="5">
        <v>2025020135</v>
      </c>
      <c r="D137" s="2" t="s">
        <v>29</v>
      </c>
      <c r="E137" s="2" t="s">
        <v>43</v>
      </c>
      <c r="F137" s="2"/>
      <c r="G137" s="2"/>
      <c r="H137" s="2" t="str">
        <f t="shared" si="14"/>
        <v>_</v>
      </c>
      <c r="I137" s="2"/>
      <c r="J137" s="2"/>
      <c r="K137" s="2"/>
      <c r="L137" s="2" t="str">
        <f t="shared" si="15"/>
        <v>_</v>
      </c>
      <c r="M137" s="2"/>
      <c r="N137" s="2">
        <f>IF(ISBLANK(Table2[[#This Row],[ActualResult]]), 0, 1)</f>
        <v>0</v>
      </c>
      <c r="O137" s="2" t="str">
        <f>IF(ISBLANK(Table2[[#This Row],[ActualResult]]), "_", IF(Table2[[#This Row],[ActualWinner]]=Table2[[#This Row],[PredictedWinner]], "Y", "N"))</f>
        <v>_</v>
      </c>
      <c r="P1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7" s="2"/>
      <c r="S137" s="2" t="str">
        <f t="shared" si="16"/>
        <v>_</v>
      </c>
      <c r="T1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7" s="2">
        <f>IF(Table2[[#This Row],[InterConf]]=1,IF(Table2[[#This Row],[InterDiv]]=0, 1, 0), 0)</f>
        <v>1</v>
      </c>
      <c r="W1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7" s="2"/>
      <c r="Y137" s="2"/>
      <c r="Z137" s="145">
        <f>IF(AND(Table2[[#This Row],[GameIsOver]]=1,Table2[[#This Row],[ActualHomeScore]]*Table2[[#This Row],[ActualAwayScore]]=0), 1,0)</f>
        <v>0</v>
      </c>
      <c r="AA1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7" s="2">
        <f>Table2[[#This Row],[ActualAwayScore]]-Table2[[#This Row],[PredictedAwayScore]]</f>
        <v>0</v>
      </c>
      <c r="AG137" s="2">
        <f>Table2[[#This Row],[ActualHomeScore]]-Table2[[#This Row],[PredictedHomeScore]]</f>
        <v>0</v>
      </c>
      <c r="AH137" s="2">
        <f t="shared" si="17"/>
        <v>0</v>
      </c>
      <c r="AI137" s="2">
        <f t="shared" si="18"/>
        <v>0</v>
      </c>
      <c r="AJ137" s="2"/>
      <c r="AK137" s="2"/>
      <c r="AL137" s="2">
        <f>IF(Table2[[#This Row],[GameIsOver]]=0,0,IF(Table2[[#This Row],[ActualWinner]]=Table2[[#This Row],[AwayTeam]], 1, 0))</f>
        <v>0</v>
      </c>
      <c r="AM137" s="2">
        <f>IF(Table2[[#This Row],[GameIsOver]]=0,0,IF(Table2[[#This Row],[ActualWinner]]=Table2[[#This Row],[HomeTeam]], 1, 0))</f>
        <v>0</v>
      </c>
      <c r="AN1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7" s="2" t="str">
        <f>INDEX(Sheet5!$B$2:$AG$33, MATCH(Table2[[#This Row],[AwayTeam]],Sheet5!$A$2:$A$33, 0), MATCH(Table2[[#This Row],[HomeTeam]],Sheet5!$A$2:$A$33, 0))</f>
        <v>0-0-0</v>
      </c>
      <c r="AP137" s="2" t="str">
        <f>INDEX(Sheet5!$B$2:$AG$33, MATCH(Table2[[#This Row],[HomeTeam]],Sheet5!$A$2:$A$33, 0), MATCH(Table2[[#This Row],[AwayTeam]],Sheet5!$A$2:$A$33, 0))</f>
        <v>0-0-0</v>
      </c>
      <c r="AQ137" s="2">
        <f>IF(Table2[[#This Row],[GameHasShutOut]], 1, 0)</f>
        <v>0</v>
      </c>
      <c r="AR137" s="2">
        <f>IF(Table2[[#This Row],[ActualAwayScore]] + Table2[[#This Row],[ActualHomeScore]] &gt;= 10, 1, 0)</f>
        <v>0</v>
      </c>
      <c r="AS137" s="2">
        <f>IF(ABS(Table2[[#This Row],[ActualAwayScore]]-Table2[[#This Row],[ActualHomeScore]])&gt;=5, 1, 0)</f>
        <v>0</v>
      </c>
      <c r="AT137" s="2">
        <f>IF(Table2[[#This Row],[ActualAwayScore]] + Table2[[#This Row],[ActualHomeScore]] &lt;= 3, 1, 0)</f>
        <v>1</v>
      </c>
      <c r="AU137" s="2"/>
      <c r="AV137" s="2"/>
    </row>
    <row r="138" spans="1:48" x14ac:dyDescent="0.25">
      <c r="A138" s="3"/>
      <c r="B138" s="3">
        <v>45955</v>
      </c>
      <c r="C138" s="5">
        <v>2025020136</v>
      </c>
      <c r="D138" s="2" t="s">
        <v>18</v>
      </c>
      <c r="E138" s="2" t="s">
        <v>24</v>
      </c>
      <c r="F138" s="2"/>
      <c r="G138" s="2"/>
      <c r="H138" s="2" t="str">
        <f t="shared" si="14"/>
        <v>_</v>
      </c>
      <c r="I138" s="2"/>
      <c r="J138" s="2"/>
      <c r="K138" s="2"/>
      <c r="L138" s="2" t="str">
        <f t="shared" si="15"/>
        <v>_</v>
      </c>
      <c r="M138" s="2"/>
      <c r="N138" s="2">
        <f>IF(ISBLANK(Table2[[#This Row],[ActualResult]]), 0, 1)</f>
        <v>0</v>
      </c>
      <c r="O138" s="2" t="str">
        <f>IF(ISBLANK(Table2[[#This Row],[ActualResult]]), "_", IF(Table2[[#This Row],[ActualWinner]]=Table2[[#This Row],[PredictedWinner]], "Y", "N"))</f>
        <v>_</v>
      </c>
      <c r="P1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8" s="2"/>
      <c r="S138" s="2" t="str">
        <f t="shared" si="16"/>
        <v>_</v>
      </c>
      <c r="T1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8" s="2">
        <f>IF(Table2[[#This Row],[InterConf]]=1,IF(Table2[[#This Row],[InterDiv]]=0, 1, 0), 0)</f>
        <v>0</v>
      </c>
      <c r="W1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8" s="2"/>
      <c r="Y138" s="2"/>
      <c r="Z138" s="145">
        <f>IF(AND(Table2[[#This Row],[GameIsOver]]=1,Table2[[#This Row],[ActualHomeScore]]*Table2[[#This Row],[ActualAwayScore]]=0), 1,0)</f>
        <v>0</v>
      </c>
      <c r="AA1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8" s="2">
        <f>Table2[[#This Row],[ActualAwayScore]]-Table2[[#This Row],[PredictedAwayScore]]</f>
        <v>0</v>
      </c>
      <c r="AG138" s="2">
        <f>Table2[[#This Row],[ActualHomeScore]]-Table2[[#This Row],[PredictedHomeScore]]</f>
        <v>0</v>
      </c>
      <c r="AH138" s="2">
        <f t="shared" si="17"/>
        <v>0</v>
      </c>
      <c r="AI138" s="2">
        <f t="shared" si="18"/>
        <v>0</v>
      </c>
      <c r="AJ138" s="2"/>
      <c r="AK138" s="2"/>
      <c r="AL138" s="2">
        <f>IF(Table2[[#This Row],[GameIsOver]]=0,0,IF(Table2[[#This Row],[ActualWinner]]=Table2[[#This Row],[AwayTeam]], 1, 0))</f>
        <v>0</v>
      </c>
      <c r="AM138" s="2">
        <f>IF(Table2[[#This Row],[GameIsOver]]=0,0,IF(Table2[[#This Row],[ActualWinner]]=Table2[[#This Row],[HomeTeam]], 1, 0))</f>
        <v>0</v>
      </c>
      <c r="AN1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8" s="2" t="str">
        <f>INDEX(Sheet5!$B$2:$AG$33, MATCH(Table2[[#This Row],[AwayTeam]],Sheet5!$A$2:$A$33, 0), MATCH(Table2[[#This Row],[HomeTeam]],Sheet5!$A$2:$A$33, 0))</f>
        <v>0-0-0</v>
      </c>
      <c r="AP138" s="2" t="str">
        <f>INDEX(Sheet5!$B$2:$AG$33, MATCH(Table2[[#This Row],[HomeTeam]],Sheet5!$A$2:$A$33, 0), MATCH(Table2[[#This Row],[AwayTeam]],Sheet5!$A$2:$A$33, 0))</f>
        <v>0-0-0</v>
      </c>
      <c r="AQ138" s="2">
        <f>IF(Table2[[#This Row],[GameHasShutOut]], 1, 0)</f>
        <v>0</v>
      </c>
      <c r="AR138" s="2">
        <f>IF(Table2[[#This Row],[ActualAwayScore]] + Table2[[#This Row],[ActualHomeScore]] &gt;= 10, 1, 0)</f>
        <v>0</v>
      </c>
      <c r="AS138" s="2">
        <f>IF(ABS(Table2[[#This Row],[ActualAwayScore]]-Table2[[#This Row],[ActualHomeScore]])&gt;=5, 1, 0)</f>
        <v>0</v>
      </c>
      <c r="AT138" s="2">
        <f>IF(Table2[[#This Row],[ActualAwayScore]] + Table2[[#This Row],[ActualHomeScore]] &lt;= 3, 1, 0)</f>
        <v>1</v>
      </c>
      <c r="AU138" s="2"/>
      <c r="AV138" s="2"/>
    </row>
    <row r="139" spans="1:48" x14ac:dyDescent="0.25">
      <c r="A139" s="3"/>
      <c r="B139" s="3">
        <v>45956</v>
      </c>
      <c r="C139" s="5">
        <v>2025020137</v>
      </c>
      <c r="D139" s="2" t="s">
        <v>27</v>
      </c>
      <c r="E139" s="2" t="s">
        <v>34</v>
      </c>
      <c r="F139" s="2"/>
      <c r="G139" s="2"/>
      <c r="H139" s="2" t="str">
        <f t="shared" si="14"/>
        <v>_</v>
      </c>
      <c r="I139" s="2"/>
      <c r="J139" s="2"/>
      <c r="K139" s="2"/>
      <c r="L139" s="2" t="str">
        <f t="shared" si="15"/>
        <v>_</v>
      </c>
      <c r="M139" s="2"/>
      <c r="N139" s="2">
        <f>IF(ISBLANK(Table2[[#This Row],[ActualResult]]), 0, 1)</f>
        <v>0</v>
      </c>
      <c r="O139" s="2" t="str">
        <f>IF(ISBLANK(Table2[[#This Row],[ActualResult]]), "_", IF(Table2[[#This Row],[ActualWinner]]=Table2[[#This Row],[PredictedWinner]], "Y", "N"))</f>
        <v>_</v>
      </c>
      <c r="P1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9" s="2"/>
      <c r="S139" s="2" t="str">
        <f t="shared" si="16"/>
        <v>_</v>
      </c>
      <c r="T1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9" s="2">
        <f>IF(Table2[[#This Row],[InterConf]]=1,IF(Table2[[#This Row],[InterDiv]]=0, 1, 0), 0)</f>
        <v>1</v>
      </c>
      <c r="W1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9" s="2"/>
      <c r="Y139" s="2"/>
      <c r="Z139" s="145">
        <f>IF(AND(Table2[[#This Row],[GameIsOver]]=1,Table2[[#This Row],[ActualHomeScore]]*Table2[[#This Row],[ActualAwayScore]]=0), 1,0)</f>
        <v>0</v>
      </c>
      <c r="AA1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39" s="2">
        <f>Table2[[#This Row],[ActualAwayScore]]-Table2[[#This Row],[PredictedAwayScore]]</f>
        <v>0</v>
      </c>
      <c r="AG139" s="2">
        <f>Table2[[#This Row],[ActualHomeScore]]-Table2[[#This Row],[PredictedHomeScore]]</f>
        <v>0</v>
      </c>
      <c r="AH139" s="2">
        <f t="shared" si="17"/>
        <v>0</v>
      </c>
      <c r="AI139" s="2">
        <f t="shared" si="18"/>
        <v>0</v>
      </c>
      <c r="AJ139" s="2"/>
      <c r="AK139" s="2"/>
      <c r="AL139" s="2">
        <f>IF(Table2[[#This Row],[GameIsOver]]=0,0,IF(Table2[[#This Row],[ActualWinner]]=Table2[[#This Row],[AwayTeam]], 1, 0))</f>
        <v>0</v>
      </c>
      <c r="AM139" s="2">
        <f>IF(Table2[[#This Row],[GameIsOver]]=0,0,IF(Table2[[#This Row],[ActualWinner]]=Table2[[#This Row],[HomeTeam]], 1, 0))</f>
        <v>0</v>
      </c>
      <c r="AN139" s="2">
        <f>IF(IFERROR(FIND(Table2[[#This Row],[AwayTeam]], _xlfn.TEXTJOIN(";", 1, $BD$31:$BD$40)), 0) &gt; 0, 1, 0) + IF(IFERROR(FIND(Table2[[#This Row],[HomeTeam]], _xlfn.TEXTJOIN(";", 1, $BD$31:$BD$40)), 0) &gt; 0, 1, 0)</f>
        <v>1</v>
      </c>
      <c r="AO139" s="2" t="str">
        <f>INDEX(Sheet5!$B$2:$AG$33, MATCH(Table2[[#This Row],[AwayTeam]],Sheet5!$A$2:$A$33, 0), MATCH(Table2[[#This Row],[HomeTeam]],Sheet5!$A$2:$A$33, 0))</f>
        <v>0-0-0</v>
      </c>
      <c r="AP139" s="2" t="str">
        <f>INDEX(Sheet5!$B$2:$AG$33, MATCH(Table2[[#This Row],[HomeTeam]],Sheet5!$A$2:$A$33, 0), MATCH(Table2[[#This Row],[AwayTeam]],Sheet5!$A$2:$A$33, 0))</f>
        <v>0-0-0</v>
      </c>
      <c r="AQ139" s="2">
        <f>IF(Table2[[#This Row],[GameHasShutOut]], 1, 0)</f>
        <v>0</v>
      </c>
      <c r="AR139" s="2">
        <f>IF(Table2[[#This Row],[ActualAwayScore]] + Table2[[#This Row],[ActualHomeScore]] &gt;= 10, 1, 0)</f>
        <v>0</v>
      </c>
      <c r="AS139" s="2">
        <f>IF(ABS(Table2[[#This Row],[ActualAwayScore]]-Table2[[#This Row],[ActualHomeScore]])&gt;=5, 1, 0)</f>
        <v>0</v>
      </c>
      <c r="AT139" s="2">
        <f>IF(Table2[[#This Row],[ActualAwayScore]] + Table2[[#This Row],[ActualHomeScore]] &lt;= 3, 1, 0)</f>
        <v>1</v>
      </c>
      <c r="AU139" s="2"/>
      <c r="AV139" s="2"/>
    </row>
    <row r="140" spans="1:48" x14ac:dyDescent="0.25">
      <c r="A140" s="3"/>
      <c r="B140" s="3">
        <v>45956</v>
      </c>
      <c r="C140" s="5">
        <v>2025020138</v>
      </c>
      <c r="D140" s="2" t="s">
        <v>41</v>
      </c>
      <c r="E140" s="2" t="s">
        <v>33</v>
      </c>
      <c r="F140" s="2"/>
      <c r="G140" s="2"/>
      <c r="H140" s="2" t="str">
        <f t="shared" si="14"/>
        <v>_</v>
      </c>
      <c r="I140" s="2"/>
      <c r="J140" s="2"/>
      <c r="K140" s="2"/>
      <c r="L140" s="2" t="str">
        <f t="shared" si="15"/>
        <v>_</v>
      </c>
      <c r="M140" s="2"/>
      <c r="N140" s="2">
        <f>IF(ISBLANK(Table2[[#This Row],[ActualResult]]), 0, 1)</f>
        <v>0</v>
      </c>
      <c r="O140" s="2" t="str">
        <f>IF(ISBLANK(Table2[[#This Row],[ActualResult]]), "_", IF(Table2[[#This Row],[ActualWinner]]=Table2[[#This Row],[PredictedWinner]], "Y", "N"))</f>
        <v>_</v>
      </c>
      <c r="P1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0" s="2"/>
      <c r="S140" s="2" t="str">
        <f t="shared" si="16"/>
        <v>_</v>
      </c>
      <c r="T1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0" s="2">
        <f>IF(Table2[[#This Row],[InterConf]]=1,IF(Table2[[#This Row],[InterDiv]]=0, 1, 0), 0)</f>
        <v>0</v>
      </c>
      <c r="W1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0" s="2"/>
      <c r="Y140" s="2"/>
      <c r="Z140" s="145">
        <f>IF(AND(Table2[[#This Row],[GameIsOver]]=1,Table2[[#This Row],[ActualHomeScore]]*Table2[[#This Row],[ActualAwayScore]]=0), 1,0)</f>
        <v>0</v>
      </c>
      <c r="AA1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0" s="2">
        <f>Table2[[#This Row],[ActualAwayScore]]-Table2[[#This Row],[PredictedAwayScore]]</f>
        <v>0</v>
      </c>
      <c r="AG140" s="2">
        <f>Table2[[#This Row],[ActualHomeScore]]-Table2[[#This Row],[PredictedHomeScore]]</f>
        <v>0</v>
      </c>
      <c r="AH140" s="2">
        <f t="shared" si="17"/>
        <v>0</v>
      </c>
      <c r="AI140" s="2">
        <f t="shared" si="18"/>
        <v>0</v>
      </c>
      <c r="AJ140" s="2"/>
      <c r="AK140" s="2"/>
      <c r="AL140" s="2">
        <f>IF(Table2[[#This Row],[GameIsOver]]=0,0,IF(Table2[[#This Row],[ActualWinner]]=Table2[[#This Row],[AwayTeam]], 1, 0))</f>
        <v>0</v>
      </c>
      <c r="AM140" s="2">
        <f>IF(Table2[[#This Row],[GameIsOver]]=0,0,IF(Table2[[#This Row],[ActualWinner]]=Table2[[#This Row],[HomeTeam]], 1, 0))</f>
        <v>0</v>
      </c>
      <c r="AN1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0" s="2" t="str">
        <f>INDEX(Sheet5!$B$2:$AG$33, MATCH(Table2[[#This Row],[AwayTeam]],Sheet5!$A$2:$A$33, 0), MATCH(Table2[[#This Row],[HomeTeam]],Sheet5!$A$2:$A$33, 0))</f>
        <v>0-0-0</v>
      </c>
      <c r="AP140" s="2" t="str">
        <f>INDEX(Sheet5!$B$2:$AG$33, MATCH(Table2[[#This Row],[HomeTeam]],Sheet5!$A$2:$A$33, 0), MATCH(Table2[[#This Row],[AwayTeam]],Sheet5!$A$2:$A$33, 0))</f>
        <v>0-0-0</v>
      </c>
      <c r="AQ140" s="2">
        <f>IF(Table2[[#This Row],[GameHasShutOut]], 1, 0)</f>
        <v>0</v>
      </c>
      <c r="AR140" s="2">
        <f>IF(Table2[[#This Row],[ActualAwayScore]] + Table2[[#This Row],[ActualHomeScore]] &gt;= 10, 1, 0)</f>
        <v>0</v>
      </c>
      <c r="AS140" s="2">
        <f>IF(ABS(Table2[[#This Row],[ActualAwayScore]]-Table2[[#This Row],[ActualHomeScore]])&gt;=5, 1, 0)</f>
        <v>0</v>
      </c>
      <c r="AT140" s="2">
        <f>IF(Table2[[#This Row],[ActualAwayScore]] + Table2[[#This Row],[ActualHomeScore]] &lt;= 3, 1, 0)</f>
        <v>1</v>
      </c>
      <c r="AU140" s="2"/>
      <c r="AV140" s="2"/>
    </row>
    <row r="141" spans="1:48" x14ac:dyDescent="0.25">
      <c r="A141" s="3"/>
      <c r="B141" s="3">
        <v>45956</v>
      </c>
      <c r="C141" s="5">
        <v>2025020139</v>
      </c>
      <c r="D141" s="2" t="s">
        <v>22</v>
      </c>
      <c r="E141" s="2" t="s">
        <v>11</v>
      </c>
      <c r="F141" s="2"/>
      <c r="G141" s="2"/>
      <c r="H141" s="2" t="str">
        <f t="shared" si="14"/>
        <v>_</v>
      </c>
      <c r="I141" s="2"/>
      <c r="J141" s="2"/>
      <c r="K141" s="2"/>
      <c r="L141" s="2" t="str">
        <f t="shared" si="15"/>
        <v>_</v>
      </c>
      <c r="M141" s="2"/>
      <c r="N141" s="2">
        <f>IF(ISBLANK(Table2[[#This Row],[ActualResult]]), 0, 1)</f>
        <v>0</v>
      </c>
      <c r="O141" s="2" t="str">
        <f>IF(ISBLANK(Table2[[#This Row],[ActualResult]]), "_", IF(Table2[[#This Row],[ActualWinner]]=Table2[[#This Row],[PredictedWinner]], "Y", "N"))</f>
        <v>_</v>
      </c>
      <c r="P1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1" s="2"/>
      <c r="S141" s="2" t="str">
        <f t="shared" si="16"/>
        <v>_</v>
      </c>
      <c r="T1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1" s="2">
        <f>IF(Table2[[#This Row],[InterConf]]=1,IF(Table2[[#This Row],[InterDiv]]=0, 1, 0), 0)</f>
        <v>0</v>
      </c>
      <c r="W1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1" s="2"/>
      <c r="Y141" s="2"/>
      <c r="Z141" s="145">
        <f>IF(AND(Table2[[#This Row],[GameIsOver]]=1,Table2[[#This Row],[ActualHomeScore]]*Table2[[#This Row],[ActualAwayScore]]=0), 1,0)</f>
        <v>0</v>
      </c>
      <c r="AA1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1" s="2">
        <f>Table2[[#This Row],[ActualAwayScore]]-Table2[[#This Row],[PredictedAwayScore]]</f>
        <v>0</v>
      </c>
      <c r="AG141" s="2">
        <f>Table2[[#This Row],[ActualHomeScore]]-Table2[[#This Row],[PredictedHomeScore]]</f>
        <v>0</v>
      </c>
      <c r="AH141" s="2">
        <f t="shared" si="17"/>
        <v>0</v>
      </c>
      <c r="AI141" s="2">
        <f t="shared" si="18"/>
        <v>0</v>
      </c>
      <c r="AJ141" s="2"/>
      <c r="AK141" s="2"/>
      <c r="AL141" s="2">
        <f>IF(Table2[[#This Row],[GameIsOver]]=0,0,IF(Table2[[#This Row],[ActualWinner]]=Table2[[#This Row],[AwayTeam]], 1, 0))</f>
        <v>0</v>
      </c>
      <c r="AM141" s="2">
        <f>IF(Table2[[#This Row],[GameIsOver]]=0,0,IF(Table2[[#This Row],[ActualWinner]]=Table2[[#This Row],[HomeTeam]], 1, 0))</f>
        <v>0</v>
      </c>
      <c r="AN1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1" s="2" t="str">
        <f>INDEX(Sheet5!$B$2:$AG$33, MATCH(Table2[[#This Row],[AwayTeam]],Sheet5!$A$2:$A$33, 0), MATCH(Table2[[#This Row],[HomeTeam]],Sheet5!$A$2:$A$33, 0))</f>
        <v>0-0-0</v>
      </c>
      <c r="AP141" s="2" t="str">
        <f>INDEX(Sheet5!$B$2:$AG$33, MATCH(Table2[[#This Row],[HomeTeam]],Sheet5!$A$2:$A$33, 0), MATCH(Table2[[#This Row],[AwayTeam]],Sheet5!$A$2:$A$33, 0))</f>
        <v>0-0-0</v>
      </c>
      <c r="AQ141" s="2">
        <f>IF(Table2[[#This Row],[GameHasShutOut]], 1, 0)</f>
        <v>0</v>
      </c>
      <c r="AR141" s="2">
        <f>IF(Table2[[#This Row],[ActualAwayScore]] + Table2[[#This Row],[ActualHomeScore]] &gt;= 10, 1, 0)</f>
        <v>0</v>
      </c>
      <c r="AS141" s="2">
        <f>IF(ABS(Table2[[#This Row],[ActualAwayScore]]-Table2[[#This Row],[ActualHomeScore]])&gt;=5, 1, 0)</f>
        <v>0</v>
      </c>
      <c r="AT141" s="2">
        <f>IF(Table2[[#This Row],[ActualAwayScore]] + Table2[[#This Row],[ActualHomeScore]] &lt;= 3, 1, 0)</f>
        <v>1</v>
      </c>
      <c r="AU141" s="2"/>
      <c r="AV141" s="2"/>
    </row>
    <row r="142" spans="1:48" x14ac:dyDescent="0.25">
      <c r="A142" s="3"/>
      <c r="B142" s="3">
        <v>45956</v>
      </c>
      <c r="C142" s="5">
        <v>2025020140</v>
      </c>
      <c r="D142" s="2" t="s">
        <v>25</v>
      </c>
      <c r="E142" s="2" t="s">
        <v>31</v>
      </c>
      <c r="F142" s="2"/>
      <c r="G142" s="2"/>
      <c r="H142" s="2" t="str">
        <f t="shared" si="14"/>
        <v>_</v>
      </c>
      <c r="I142" s="2"/>
      <c r="J142" s="2"/>
      <c r="K142" s="2"/>
      <c r="L142" s="2" t="str">
        <f t="shared" si="15"/>
        <v>_</v>
      </c>
      <c r="M142" s="2"/>
      <c r="N142" s="2">
        <f>IF(ISBLANK(Table2[[#This Row],[ActualResult]]), 0, 1)</f>
        <v>0</v>
      </c>
      <c r="O142" s="2" t="str">
        <f>IF(ISBLANK(Table2[[#This Row],[ActualResult]]), "_", IF(Table2[[#This Row],[ActualWinner]]=Table2[[#This Row],[PredictedWinner]], "Y", "N"))</f>
        <v>_</v>
      </c>
      <c r="P1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2" s="2"/>
      <c r="S142" s="2" t="str">
        <f t="shared" si="16"/>
        <v>_</v>
      </c>
      <c r="T1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2" s="2">
        <f>IF(Table2[[#This Row],[InterConf]]=1,IF(Table2[[#This Row],[InterDiv]]=0, 1, 0), 0)</f>
        <v>0</v>
      </c>
      <c r="W1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2" s="2"/>
      <c r="Y142" s="2"/>
      <c r="Z142" s="145">
        <f>IF(AND(Table2[[#This Row],[GameIsOver]]=1,Table2[[#This Row],[ActualHomeScore]]*Table2[[#This Row],[ActualAwayScore]]=0), 1,0)</f>
        <v>0</v>
      </c>
      <c r="AA1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2" s="2">
        <f>Table2[[#This Row],[ActualAwayScore]]-Table2[[#This Row],[PredictedAwayScore]]</f>
        <v>0</v>
      </c>
      <c r="AG142" s="2">
        <f>Table2[[#This Row],[ActualHomeScore]]-Table2[[#This Row],[PredictedHomeScore]]</f>
        <v>0</v>
      </c>
      <c r="AH142" s="2">
        <f t="shared" si="17"/>
        <v>0</v>
      </c>
      <c r="AI142" s="2">
        <f t="shared" si="18"/>
        <v>0</v>
      </c>
      <c r="AJ142" s="2"/>
      <c r="AK142" s="2"/>
      <c r="AL142" s="2">
        <f>IF(Table2[[#This Row],[GameIsOver]]=0,0,IF(Table2[[#This Row],[ActualWinner]]=Table2[[#This Row],[AwayTeam]], 1, 0))</f>
        <v>0</v>
      </c>
      <c r="AM142" s="2">
        <f>IF(Table2[[#This Row],[GameIsOver]]=0,0,IF(Table2[[#This Row],[ActualWinner]]=Table2[[#This Row],[HomeTeam]], 1, 0))</f>
        <v>0</v>
      </c>
      <c r="AN1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2" s="2" t="str">
        <f>INDEX(Sheet5!$B$2:$AG$33, MATCH(Table2[[#This Row],[AwayTeam]],Sheet5!$A$2:$A$33, 0), MATCH(Table2[[#This Row],[HomeTeam]],Sheet5!$A$2:$A$33, 0))</f>
        <v>0-0-0</v>
      </c>
      <c r="AP142" s="2" t="str">
        <f>INDEX(Sheet5!$B$2:$AG$33, MATCH(Table2[[#This Row],[HomeTeam]],Sheet5!$A$2:$A$33, 0), MATCH(Table2[[#This Row],[AwayTeam]],Sheet5!$A$2:$A$33, 0))</f>
        <v>0-0-0</v>
      </c>
      <c r="AQ142" s="2">
        <f>IF(Table2[[#This Row],[GameHasShutOut]], 1, 0)</f>
        <v>0</v>
      </c>
      <c r="AR142" s="2">
        <f>IF(Table2[[#This Row],[ActualAwayScore]] + Table2[[#This Row],[ActualHomeScore]] &gt;= 10, 1, 0)</f>
        <v>0</v>
      </c>
      <c r="AS142" s="2">
        <f>IF(ABS(Table2[[#This Row],[ActualAwayScore]]-Table2[[#This Row],[ActualHomeScore]])&gt;=5, 1, 0)</f>
        <v>0</v>
      </c>
      <c r="AT142" s="2">
        <f>IF(Table2[[#This Row],[ActualAwayScore]] + Table2[[#This Row],[ActualHomeScore]] &lt;= 3, 1, 0)</f>
        <v>1</v>
      </c>
      <c r="AU142" s="2"/>
      <c r="AV142" s="2"/>
    </row>
    <row r="143" spans="1:48" x14ac:dyDescent="0.25">
      <c r="A143" s="3"/>
      <c r="B143" s="3">
        <v>45956</v>
      </c>
      <c r="C143" s="5">
        <v>2025020141</v>
      </c>
      <c r="D143" s="2" t="s">
        <v>26</v>
      </c>
      <c r="E143" s="2" t="s">
        <v>40</v>
      </c>
      <c r="F143" s="2"/>
      <c r="G143" s="2"/>
      <c r="H143" s="2" t="str">
        <f t="shared" si="14"/>
        <v>_</v>
      </c>
      <c r="I143" s="2"/>
      <c r="J143" s="2"/>
      <c r="K143" s="2"/>
      <c r="L143" s="2" t="str">
        <f t="shared" si="15"/>
        <v>_</v>
      </c>
      <c r="M143" s="2"/>
      <c r="N143" s="2">
        <f>IF(ISBLANK(Table2[[#This Row],[ActualResult]]), 0, 1)</f>
        <v>0</v>
      </c>
      <c r="O143" s="2" t="str">
        <f>IF(ISBLANK(Table2[[#This Row],[ActualResult]]), "_", IF(Table2[[#This Row],[ActualWinner]]=Table2[[#This Row],[PredictedWinner]], "Y", "N"))</f>
        <v>_</v>
      </c>
      <c r="P1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3" s="2"/>
      <c r="S143" s="2" t="str">
        <f t="shared" si="16"/>
        <v>_</v>
      </c>
      <c r="T1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3" s="2">
        <f>IF(Table2[[#This Row],[InterConf]]=1,IF(Table2[[#This Row],[InterDiv]]=0, 1, 0), 0)</f>
        <v>0</v>
      </c>
      <c r="W1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3" s="2"/>
      <c r="Y143" s="2"/>
      <c r="Z143" s="145">
        <f>IF(AND(Table2[[#This Row],[GameIsOver]]=1,Table2[[#This Row],[ActualHomeScore]]*Table2[[#This Row],[ActualAwayScore]]=0), 1,0)</f>
        <v>0</v>
      </c>
      <c r="AA1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3" s="2">
        <f>Table2[[#This Row],[ActualAwayScore]]-Table2[[#This Row],[PredictedAwayScore]]</f>
        <v>0</v>
      </c>
      <c r="AG143" s="2">
        <f>Table2[[#This Row],[ActualHomeScore]]-Table2[[#This Row],[PredictedHomeScore]]</f>
        <v>0</v>
      </c>
      <c r="AH143" s="2">
        <f t="shared" si="17"/>
        <v>0</v>
      </c>
      <c r="AI143" s="2">
        <f t="shared" si="18"/>
        <v>0</v>
      </c>
      <c r="AJ143" s="2"/>
      <c r="AK143" s="2"/>
      <c r="AL143" s="2">
        <f>IF(Table2[[#This Row],[GameIsOver]]=0,0,IF(Table2[[#This Row],[ActualWinner]]=Table2[[#This Row],[AwayTeam]], 1, 0))</f>
        <v>0</v>
      </c>
      <c r="AM143" s="2">
        <f>IF(Table2[[#This Row],[GameIsOver]]=0,0,IF(Table2[[#This Row],[ActualWinner]]=Table2[[#This Row],[HomeTeam]], 1, 0))</f>
        <v>0</v>
      </c>
      <c r="AN1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3" s="2" t="str">
        <f>INDEX(Sheet5!$B$2:$AG$33, MATCH(Table2[[#This Row],[AwayTeam]],Sheet5!$A$2:$A$33, 0), MATCH(Table2[[#This Row],[HomeTeam]],Sheet5!$A$2:$A$33, 0))</f>
        <v>0-0-0</v>
      </c>
      <c r="AP143" s="2" t="str">
        <f>INDEX(Sheet5!$B$2:$AG$33, MATCH(Table2[[#This Row],[HomeTeam]],Sheet5!$A$2:$A$33, 0), MATCH(Table2[[#This Row],[AwayTeam]],Sheet5!$A$2:$A$33, 0))</f>
        <v>0-0-0</v>
      </c>
      <c r="AQ143" s="2">
        <f>IF(Table2[[#This Row],[GameHasShutOut]], 1, 0)</f>
        <v>0</v>
      </c>
      <c r="AR143" s="2">
        <f>IF(Table2[[#This Row],[ActualAwayScore]] + Table2[[#This Row],[ActualHomeScore]] &gt;= 10, 1, 0)</f>
        <v>0</v>
      </c>
      <c r="AS143" s="2">
        <f>IF(ABS(Table2[[#This Row],[ActualAwayScore]]-Table2[[#This Row],[ActualHomeScore]])&gt;=5, 1, 0)</f>
        <v>0</v>
      </c>
      <c r="AT143" s="2">
        <f>IF(Table2[[#This Row],[ActualAwayScore]] + Table2[[#This Row],[ActualHomeScore]] &lt;= 3, 1, 0)</f>
        <v>1</v>
      </c>
      <c r="AU143" s="2"/>
      <c r="AV143" s="2"/>
    </row>
    <row r="144" spans="1:48" x14ac:dyDescent="0.25">
      <c r="A144" s="3"/>
      <c r="B144" s="3">
        <v>45956</v>
      </c>
      <c r="C144" s="5">
        <v>2025020142</v>
      </c>
      <c r="D144" s="2" t="s">
        <v>37</v>
      </c>
      <c r="E144" s="2" t="s">
        <v>36</v>
      </c>
      <c r="F144" s="2"/>
      <c r="G144" s="2"/>
      <c r="H144" s="2" t="str">
        <f t="shared" si="14"/>
        <v>_</v>
      </c>
      <c r="I144" s="2"/>
      <c r="J144" s="2"/>
      <c r="K144" s="2"/>
      <c r="L144" s="2" t="str">
        <f t="shared" si="15"/>
        <v>_</v>
      </c>
      <c r="M144" s="2"/>
      <c r="N144" s="2">
        <f>IF(ISBLANK(Table2[[#This Row],[ActualResult]]), 0, 1)</f>
        <v>0</v>
      </c>
      <c r="O144" s="2" t="str">
        <f>IF(ISBLANK(Table2[[#This Row],[ActualResult]]), "_", IF(Table2[[#This Row],[ActualWinner]]=Table2[[#This Row],[PredictedWinner]], "Y", "N"))</f>
        <v>_</v>
      </c>
      <c r="P1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4" s="2"/>
      <c r="S144" s="2" t="str">
        <f t="shared" si="16"/>
        <v>_</v>
      </c>
      <c r="T1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4" s="2">
        <f>IF(Table2[[#This Row],[InterConf]]=1,IF(Table2[[#This Row],[InterDiv]]=0, 1, 0), 0)</f>
        <v>1</v>
      </c>
      <c r="W1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4" s="2"/>
      <c r="Y144" s="2"/>
      <c r="Z144" s="145">
        <f>IF(AND(Table2[[#This Row],[GameIsOver]]=1,Table2[[#This Row],[ActualHomeScore]]*Table2[[#This Row],[ActualAwayScore]]=0), 1,0)</f>
        <v>0</v>
      </c>
      <c r="AA1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4" s="2">
        <f>Table2[[#This Row],[ActualAwayScore]]-Table2[[#This Row],[PredictedAwayScore]]</f>
        <v>0</v>
      </c>
      <c r="AG144" s="2">
        <f>Table2[[#This Row],[ActualHomeScore]]-Table2[[#This Row],[PredictedHomeScore]]</f>
        <v>0</v>
      </c>
      <c r="AH144" s="2">
        <f t="shared" si="17"/>
        <v>0</v>
      </c>
      <c r="AI144" s="2">
        <f t="shared" si="18"/>
        <v>0</v>
      </c>
      <c r="AJ144" s="2"/>
      <c r="AK144" s="2"/>
      <c r="AL144" s="2">
        <f>IF(Table2[[#This Row],[GameIsOver]]=0,0,IF(Table2[[#This Row],[ActualWinner]]=Table2[[#This Row],[AwayTeam]], 1, 0))</f>
        <v>0</v>
      </c>
      <c r="AM144" s="2">
        <f>IF(Table2[[#This Row],[GameIsOver]]=0,0,IF(Table2[[#This Row],[ActualWinner]]=Table2[[#This Row],[HomeTeam]], 1, 0))</f>
        <v>0</v>
      </c>
      <c r="AN1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4" s="2" t="str">
        <f>INDEX(Sheet5!$B$2:$AG$33, MATCH(Table2[[#This Row],[AwayTeam]],Sheet5!$A$2:$A$33, 0), MATCH(Table2[[#This Row],[HomeTeam]],Sheet5!$A$2:$A$33, 0))</f>
        <v>0-0-0</v>
      </c>
      <c r="AP144" s="2" t="str">
        <f>INDEX(Sheet5!$B$2:$AG$33, MATCH(Table2[[#This Row],[HomeTeam]],Sheet5!$A$2:$A$33, 0), MATCH(Table2[[#This Row],[AwayTeam]],Sheet5!$A$2:$A$33, 0))</f>
        <v>0-0-0</v>
      </c>
      <c r="AQ144" s="2">
        <f>IF(Table2[[#This Row],[GameHasShutOut]], 1, 0)</f>
        <v>0</v>
      </c>
      <c r="AR144" s="2">
        <f>IF(Table2[[#This Row],[ActualAwayScore]] + Table2[[#This Row],[ActualHomeScore]] &gt;= 10, 1, 0)</f>
        <v>0</v>
      </c>
      <c r="AS144" s="2">
        <f>IF(ABS(Table2[[#This Row],[ActualAwayScore]]-Table2[[#This Row],[ActualHomeScore]])&gt;=5, 1, 0)</f>
        <v>0</v>
      </c>
      <c r="AT144" s="2">
        <f>IF(Table2[[#This Row],[ActualAwayScore]] + Table2[[#This Row],[ActualHomeScore]] &lt;= 3, 1, 0)</f>
        <v>1</v>
      </c>
      <c r="AU144" s="2"/>
      <c r="AV144" s="2"/>
    </row>
    <row r="145" spans="1:48" x14ac:dyDescent="0.25">
      <c r="A145" s="3"/>
      <c r="B145" s="3">
        <v>45956</v>
      </c>
      <c r="C145" s="5">
        <v>2025020143</v>
      </c>
      <c r="D145" s="2" t="s">
        <v>14</v>
      </c>
      <c r="E145" s="2" t="s">
        <v>21</v>
      </c>
      <c r="F145" s="2"/>
      <c r="G145" s="2"/>
      <c r="H145" s="2" t="str">
        <f t="shared" si="14"/>
        <v>_</v>
      </c>
      <c r="I145" s="2"/>
      <c r="J145" s="2"/>
      <c r="K145" s="2"/>
      <c r="L145" s="2" t="str">
        <f t="shared" si="15"/>
        <v>_</v>
      </c>
      <c r="M145" s="2"/>
      <c r="N145" s="2">
        <f>IF(ISBLANK(Table2[[#This Row],[ActualResult]]), 0, 1)</f>
        <v>0</v>
      </c>
      <c r="O145" s="2" t="str">
        <f>IF(ISBLANK(Table2[[#This Row],[ActualResult]]), "_", IF(Table2[[#This Row],[ActualWinner]]=Table2[[#This Row],[PredictedWinner]], "Y", "N"))</f>
        <v>_</v>
      </c>
      <c r="P1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5" s="2"/>
      <c r="S145" s="2" t="str">
        <f t="shared" si="16"/>
        <v>_</v>
      </c>
      <c r="T1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5" s="2">
        <f>IF(Table2[[#This Row],[InterConf]]=1,IF(Table2[[#This Row],[InterDiv]]=0, 1, 0), 0)</f>
        <v>0</v>
      </c>
      <c r="W1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5" s="2"/>
      <c r="Y145" s="2"/>
      <c r="Z145" s="145">
        <f>IF(AND(Table2[[#This Row],[GameIsOver]]=1,Table2[[#This Row],[ActualHomeScore]]*Table2[[#This Row],[ActualAwayScore]]=0), 1,0)</f>
        <v>0</v>
      </c>
      <c r="AA1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5" s="2">
        <f>Table2[[#This Row],[ActualAwayScore]]-Table2[[#This Row],[PredictedAwayScore]]</f>
        <v>0</v>
      </c>
      <c r="AG145" s="2">
        <f>Table2[[#This Row],[ActualHomeScore]]-Table2[[#This Row],[PredictedHomeScore]]</f>
        <v>0</v>
      </c>
      <c r="AH145" s="2">
        <f t="shared" si="17"/>
        <v>0</v>
      </c>
      <c r="AI145" s="2">
        <f t="shared" si="18"/>
        <v>0</v>
      </c>
      <c r="AJ145" s="2"/>
      <c r="AK145" s="2"/>
      <c r="AL145" s="2">
        <f>IF(Table2[[#This Row],[GameIsOver]]=0,0,IF(Table2[[#This Row],[ActualWinner]]=Table2[[#This Row],[AwayTeam]], 1, 0))</f>
        <v>0</v>
      </c>
      <c r="AM145" s="2">
        <f>IF(Table2[[#This Row],[GameIsOver]]=0,0,IF(Table2[[#This Row],[ActualWinner]]=Table2[[#This Row],[HomeTeam]], 1, 0))</f>
        <v>0</v>
      </c>
      <c r="AN1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5" s="2" t="str">
        <f>INDEX(Sheet5!$B$2:$AG$33, MATCH(Table2[[#This Row],[AwayTeam]],Sheet5!$A$2:$A$33, 0), MATCH(Table2[[#This Row],[HomeTeam]],Sheet5!$A$2:$A$33, 0))</f>
        <v>0-0-0</v>
      </c>
      <c r="AP145" s="2" t="str">
        <f>INDEX(Sheet5!$B$2:$AG$33, MATCH(Table2[[#This Row],[HomeTeam]],Sheet5!$A$2:$A$33, 0), MATCH(Table2[[#This Row],[AwayTeam]],Sheet5!$A$2:$A$33, 0))</f>
        <v>0-0-0</v>
      </c>
      <c r="AQ145" s="2">
        <f>IF(Table2[[#This Row],[GameHasShutOut]], 1, 0)</f>
        <v>0</v>
      </c>
      <c r="AR145" s="2">
        <f>IF(Table2[[#This Row],[ActualAwayScore]] + Table2[[#This Row],[ActualHomeScore]] &gt;= 10, 1, 0)</f>
        <v>0</v>
      </c>
      <c r="AS145" s="2">
        <f>IF(ABS(Table2[[#This Row],[ActualAwayScore]]-Table2[[#This Row],[ActualHomeScore]])&gt;=5, 1, 0)</f>
        <v>0</v>
      </c>
      <c r="AT145" s="2">
        <f>IF(Table2[[#This Row],[ActualAwayScore]] + Table2[[#This Row],[ActualHomeScore]] &lt;= 3, 1, 0)</f>
        <v>1</v>
      </c>
      <c r="AU145" s="2"/>
      <c r="AV145" s="2"/>
    </row>
    <row r="146" spans="1:48" x14ac:dyDescent="0.25">
      <c r="A146" s="3"/>
      <c r="B146" s="3">
        <v>45956</v>
      </c>
      <c r="C146" s="5">
        <v>2025020144</v>
      </c>
      <c r="D146" s="2" t="s">
        <v>27</v>
      </c>
      <c r="E146" s="2" t="s">
        <v>16</v>
      </c>
      <c r="F146" s="2"/>
      <c r="G146" s="2"/>
      <c r="H146" s="2" t="str">
        <f t="shared" si="14"/>
        <v>_</v>
      </c>
      <c r="I146" s="2"/>
      <c r="J146" s="2"/>
      <c r="K146" s="2"/>
      <c r="L146" s="2" t="str">
        <f t="shared" si="15"/>
        <v>_</v>
      </c>
      <c r="M146" s="2"/>
      <c r="N146" s="2">
        <f>IF(ISBLANK(Table2[[#This Row],[ActualResult]]), 0, 1)</f>
        <v>0</v>
      </c>
      <c r="O146" s="2" t="str">
        <f>IF(ISBLANK(Table2[[#This Row],[ActualResult]]), "_", IF(Table2[[#This Row],[ActualWinner]]=Table2[[#This Row],[PredictedWinner]], "Y", "N"))</f>
        <v>_</v>
      </c>
      <c r="P1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6" s="2"/>
      <c r="S146" s="2" t="str">
        <f t="shared" si="16"/>
        <v>_</v>
      </c>
      <c r="T1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6" s="2">
        <f>IF(Table2[[#This Row],[InterConf]]=1,IF(Table2[[#This Row],[InterDiv]]=0, 1, 0), 0)</f>
        <v>1</v>
      </c>
      <c r="W1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6" s="2"/>
      <c r="Y146" s="2"/>
      <c r="Z146" s="145">
        <f>IF(AND(Table2[[#This Row],[GameIsOver]]=1,Table2[[#This Row],[ActualHomeScore]]*Table2[[#This Row],[ActualAwayScore]]=0), 1,0)</f>
        <v>0</v>
      </c>
      <c r="AA1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6" s="2">
        <f>Table2[[#This Row],[ActualAwayScore]]-Table2[[#This Row],[PredictedAwayScore]]</f>
        <v>0</v>
      </c>
      <c r="AG146" s="2">
        <f>Table2[[#This Row],[ActualHomeScore]]-Table2[[#This Row],[PredictedHomeScore]]</f>
        <v>0</v>
      </c>
      <c r="AH146" s="2">
        <f t="shared" si="17"/>
        <v>0</v>
      </c>
      <c r="AI146" s="2">
        <f t="shared" si="18"/>
        <v>0</v>
      </c>
      <c r="AJ146" s="2"/>
      <c r="AK146" s="2"/>
      <c r="AL146" s="2">
        <f>IF(Table2[[#This Row],[GameIsOver]]=0,0,IF(Table2[[#This Row],[ActualWinner]]=Table2[[#This Row],[AwayTeam]], 1, 0))</f>
        <v>0</v>
      </c>
      <c r="AM146" s="2">
        <f>IF(Table2[[#This Row],[GameIsOver]]=0,0,IF(Table2[[#This Row],[ActualWinner]]=Table2[[#This Row],[HomeTeam]], 1, 0))</f>
        <v>0</v>
      </c>
      <c r="AN146" s="2">
        <f>IF(IFERROR(FIND(Table2[[#This Row],[AwayTeam]], _xlfn.TEXTJOIN(";", 1, $BD$31:$BD$40)), 0) &gt; 0, 1, 0) + IF(IFERROR(FIND(Table2[[#This Row],[HomeTeam]], _xlfn.TEXTJOIN(";", 1, $BD$31:$BD$40)), 0) &gt; 0, 1, 0)</f>
        <v>1</v>
      </c>
      <c r="AO146" s="2" t="str">
        <f>INDEX(Sheet5!$B$2:$AG$33, MATCH(Table2[[#This Row],[AwayTeam]],Sheet5!$A$2:$A$33, 0), MATCH(Table2[[#This Row],[HomeTeam]],Sheet5!$A$2:$A$33, 0))</f>
        <v>0-0-0</v>
      </c>
      <c r="AP146" s="2" t="str">
        <f>INDEX(Sheet5!$B$2:$AG$33, MATCH(Table2[[#This Row],[HomeTeam]],Sheet5!$A$2:$A$33, 0), MATCH(Table2[[#This Row],[AwayTeam]],Sheet5!$A$2:$A$33, 0))</f>
        <v>0-0-0</v>
      </c>
      <c r="AQ146" s="2">
        <f>IF(Table2[[#This Row],[GameHasShutOut]], 1, 0)</f>
        <v>0</v>
      </c>
      <c r="AR146" s="2">
        <f>IF(Table2[[#This Row],[ActualAwayScore]] + Table2[[#This Row],[ActualHomeScore]] &gt;= 10, 1, 0)</f>
        <v>0</v>
      </c>
      <c r="AS146" s="2">
        <f>IF(ABS(Table2[[#This Row],[ActualAwayScore]]-Table2[[#This Row],[ActualHomeScore]])&gt;=5, 1, 0)</f>
        <v>0</v>
      </c>
      <c r="AT146" s="2">
        <f>IF(Table2[[#This Row],[ActualAwayScore]] + Table2[[#This Row],[ActualHomeScore]] &lt;= 3, 1, 0)</f>
        <v>1</v>
      </c>
      <c r="AU146" s="2"/>
      <c r="AV146" s="2"/>
    </row>
    <row r="147" spans="1:48" x14ac:dyDescent="0.25">
      <c r="A147" s="3"/>
      <c r="B147" s="3">
        <v>45956</v>
      </c>
      <c r="C147" s="5">
        <v>2025020145</v>
      </c>
      <c r="D147" s="2" t="s">
        <v>33</v>
      </c>
      <c r="E147" s="2" t="s">
        <v>34</v>
      </c>
      <c r="F147" s="2"/>
      <c r="G147" s="2"/>
      <c r="H147" s="2" t="str">
        <f t="shared" si="14"/>
        <v>_</v>
      </c>
      <c r="I147" s="2"/>
      <c r="J147" s="2"/>
      <c r="K147" s="2"/>
      <c r="L147" s="2" t="str">
        <f t="shared" si="15"/>
        <v>_</v>
      </c>
      <c r="M147" s="2"/>
      <c r="N147" s="2">
        <f>IF(ISBLANK(Table2[[#This Row],[ActualResult]]), 0, 1)</f>
        <v>0</v>
      </c>
      <c r="O147" s="2" t="str">
        <f>IF(ISBLANK(Table2[[#This Row],[ActualResult]]), "_", IF(Table2[[#This Row],[ActualWinner]]=Table2[[#This Row],[PredictedWinner]], "Y", "N"))</f>
        <v>_</v>
      </c>
      <c r="P1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7" s="2"/>
      <c r="S147" s="2" t="str">
        <f t="shared" si="16"/>
        <v>_</v>
      </c>
      <c r="T1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7" s="2">
        <f>IF(Table2[[#This Row],[InterConf]]=1,IF(Table2[[#This Row],[InterDiv]]=0, 1, 0), 0)</f>
        <v>0</v>
      </c>
      <c r="W1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7" s="2"/>
      <c r="Y147" s="2"/>
      <c r="Z147" s="145">
        <f>IF(AND(Table2[[#This Row],[GameIsOver]]=1,Table2[[#This Row],[ActualHomeScore]]*Table2[[#This Row],[ActualAwayScore]]=0), 1,0)</f>
        <v>0</v>
      </c>
      <c r="AA1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7" s="2">
        <f>Table2[[#This Row],[ActualAwayScore]]-Table2[[#This Row],[PredictedAwayScore]]</f>
        <v>0</v>
      </c>
      <c r="AG147" s="2">
        <f>Table2[[#This Row],[ActualHomeScore]]-Table2[[#This Row],[PredictedHomeScore]]</f>
        <v>0</v>
      </c>
      <c r="AH147" s="2">
        <f t="shared" si="17"/>
        <v>0</v>
      </c>
      <c r="AI147" s="2">
        <f t="shared" si="18"/>
        <v>0</v>
      </c>
      <c r="AJ147" s="2"/>
      <c r="AK147" s="2"/>
      <c r="AL147" s="2">
        <f>IF(Table2[[#This Row],[GameIsOver]]=0,0,IF(Table2[[#This Row],[ActualWinner]]=Table2[[#This Row],[AwayTeam]], 1, 0))</f>
        <v>0</v>
      </c>
      <c r="AM147" s="2">
        <f>IF(Table2[[#This Row],[GameIsOver]]=0,0,IF(Table2[[#This Row],[ActualWinner]]=Table2[[#This Row],[HomeTeam]], 1, 0))</f>
        <v>0</v>
      </c>
      <c r="AN1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7" s="2" t="str">
        <f>INDEX(Sheet5!$B$2:$AG$33, MATCH(Table2[[#This Row],[AwayTeam]],Sheet5!$A$2:$A$33, 0), MATCH(Table2[[#This Row],[HomeTeam]],Sheet5!$A$2:$A$33, 0))</f>
        <v>0-0-0</v>
      </c>
      <c r="AP147" s="2" t="str">
        <f>INDEX(Sheet5!$B$2:$AG$33, MATCH(Table2[[#This Row],[HomeTeam]],Sheet5!$A$2:$A$33, 0), MATCH(Table2[[#This Row],[AwayTeam]],Sheet5!$A$2:$A$33, 0))</f>
        <v>0-0-0</v>
      </c>
      <c r="AQ147" s="2">
        <f>IF(Table2[[#This Row],[GameHasShutOut]], 1, 0)</f>
        <v>0</v>
      </c>
      <c r="AR147" s="2">
        <f>IF(Table2[[#This Row],[ActualAwayScore]] + Table2[[#This Row],[ActualHomeScore]] &gt;= 10, 1, 0)</f>
        <v>0</v>
      </c>
      <c r="AS147" s="2">
        <f>IF(ABS(Table2[[#This Row],[ActualAwayScore]]-Table2[[#This Row],[ActualHomeScore]])&gt;=5, 1, 0)</f>
        <v>0</v>
      </c>
      <c r="AT147" s="2">
        <f>IF(Table2[[#This Row],[ActualAwayScore]] + Table2[[#This Row],[ActualHomeScore]] &lt;= 3, 1, 0)</f>
        <v>1</v>
      </c>
      <c r="AU147" s="2"/>
      <c r="AV147" s="2"/>
    </row>
    <row r="148" spans="1:48" x14ac:dyDescent="0.25">
      <c r="A148" s="3"/>
      <c r="B148" s="3">
        <v>45957</v>
      </c>
      <c r="C148" s="5">
        <v>2025020146</v>
      </c>
      <c r="D148" s="2" t="s">
        <v>19</v>
      </c>
      <c r="E148" s="2" t="s">
        <v>23</v>
      </c>
      <c r="F148" s="2"/>
      <c r="G148" s="2"/>
      <c r="H148" s="2" t="str">
        <f t="shared" si="14"/>
        <v>_</v>
      </c>
      <c r="I148" s="2"/>
      <c r="J148" s="2"/>
      <c r="K148" s="2"/>
      <c r="L148" s="2" t="str">
        <f t="shared" si="15"/>
        <v>_</v>
      </c>
      <c r="M148" s="2"/>
      <c r="N148" s="2">
        <f>IF(ISBLANK(Table2[[#This Row],[ActualResult]]), 0, 1)</f>
        <v>0</v>
      </c>
      <c r="O148" s="2" t="str">
        <f>IF(ISBLANK(Table2[[#This Row],[ActualResult]]), "_", IF(Table2[[#This Row],[ActualWinner]]=Table2[[#This Row],[PredictedWinner]], "Y", "N"))</f>
        <v>_</v>
      </c>
      <c r="P1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8" s="2"/>
      <c r="S148" s="2" t="str">
        <f t="shared" si="16"/>
        <v>_</v>
      </c>
      <c r="T1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8" s="2">
        <f>IF(Table2[[#This Row],[InterConf]]=1,IF(Table2[[#This Row],[InterDiv]]=0, 1, 0), 0)</f>
        <v>0</v>
      </c>
      <c r="W1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8" s="2"/>
      <c r="Y148" s="2"/>
      <c r="Z148" s="145">
        <f>IF(AND(Table2[[#This Row],[GameIsOver]]=1,Table2[[#This Row],[ActualHomeScore]]*Table2[[#This Row],[ActualAwayScore]]=0), 1,0)</f>
        <v>0</v>
      </c>
      <c r="AA1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48" s="2">
        <f>Table2[[#This Row],[ActualAwayScore]]-Table2[[#This Row],[PredictedAwayScore]]</f>
        <v>0</v>
      </c>
      <c r="AG148" s="2">
        <f>Table2[[#This Row],[ActualHomeScore]]-Table2[[#This Row],[PredictedHomeScore]]</f>
        <v>0</v>
      </c>
      <c r="AH148" s="2">
        <f t="shared" si="17"/>
        <v>0</v>
      </c>
      <c r="AI148" s="2">
        <f t="shared" si="18"/>
        <v>0</v>
      </c>
      <c r="AJ148" s="2"/>
      <c r="AK148" s="2"/>
      <c r="AL148" s="2">
        <f>IF(Table2[[#This Row],[GameIsOver]]=0,0,IF(Table2[[#This Row],[ActualWinner]]=Table2[[#This Row],[AwayTeam]], 1, 0))</f>
        <v>0</v>
      </c>
      <c r="AM148" s="2">
        <f>IF(Table2[[#This Row],[GameIsOver]]=0,0,IF(Table2[[#This Row],[ActualWinner]]=Table2[[#This Row],[HomeTeam]], 1, 0))</f>
        <v>0</v>
      </c>
      <c r="AN1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8" s="2" t="str">
        <f>INDEX(Sheet5!$B$2:$AG$33, MATCH(Table2[[#This Row],[AwayTeam]],Sheet5!$A$2:$A$33, 0), MATCH(Table2[[#This Row],[HomeTeam]],Sheet5!$A$2:$A$33, 0))</f>
        <v>0-0-0</v>
      </c>
      <c r="AP148" s="2" t="str">
        <f>INDEX(Sheet5!$B$2:$AG$33, MATCH(Table2[[#This Row],[HomeTeam]],Sheet5!$A$2:$A$33, 0), MATCH(Table2[[#This Row],[AwayTeam]],Sheet5!$A$2:$A$33, 0))</f>
        <v>0-0-0</v>
      </c>
      <c r="AQ148" s="2">
        <f>IF(Table2[[#This Row],[GameHasShutOut]], 1, 0)</f>
        <v>0</v>
      </c>
      <c r="AR148" s="2">
        <f>IF(Table2[[#This Row],[ActualAwayScore]] + Table2[[#This Row],[ActualHomeScore]] &gt;= 10, 1, 0)</f>
        <v>0</v>
      </c>
      <c r="AS148" s="2">
        <f>IF(ABS(Table2[[#This Row],[ActualAwayScore]]-Table2[[#This Row],[ActualHomeScore]])&gt;=5, 1, 0)</f>
        <v>0</v>
      </c>
      <c r="AT148" s="2">
        <f>IF(Table2[[#This Row],[ActualAwayScore]] + Table2[[#This Row],[ActualHomeScore]] &lt;= 3, 1, 0)</f>
        <v>1</v>
      </c>
      <c r="AU148" s="2"/>
      <c r="AV148" s="2"/>
    </row>
    <row r="149" spans="1:48" x14ac:dyDescent="0.25">
      <c r="A149" s="3"/>
      <c r="B149" s="3">
        <v>45957</v>
      </c>
      <c r="C149" s="5">
        <v>2025020147</v>
      </c>
      <c r="D149" s="2" t="s">
        <v>22</v>
      </c>
      <c r="E149" s="2" t="s">
        <v>24</v>
      </c>
      <c r="F149" s="2"/>
      <c r="G149" s="2"/>
      <c r="H149" s="2" t="str">
        <f t="shared" si="14"/>
        <v>_</v>
      </c>
      <c r="I149" s="2"/>
      <c r="J149" s="2"/>
      <c r="K149" s="2"/>
      <c r="L149" s="2" t="str">
        <f t="shared" si="15"/>
        <v>_</v>
      </c>
      <c r="M149" s="2"/>
      <c r="N149" s="2">
        <f>IF(ISBLANK(Table2[[#This Row],[ActualResult]]), 0, 1)</f>
        <v>0</v>
      </c>
      <c r="O149" s="2" t="str">
        <f>IF(ISBLANK(Table2[[#This Row],[ActualResult]]), "_", IF(Table2[[#This Row],[ActualWinner]]=Table2[[#This Row],[PredictedWinner]], "Y", "N"))</f>
        <v>_</v>
      </c>
      <c r="P1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9" s="2"/>
      <c r="S149" s="2" t="str">
        <f t="shared" si="16"/>
        <v>_</v>
      </c>
      <c r="T1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9" s="2">
        <f>IF(Table2[[#This Row],[InterConf]]=1,IF(Table2[[#This Row],[InterDiv]]=0, 1, 0), 0)</f>
        <v>0</v>
      </c>
      <c r="W1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9" s="2"/>
      <c r="Y149" s="2"/>
      <c r="Z149" s="145">
        <f>IF(AND(Table2[[#This Row],[GameIsOver]]=1,Table2[[#This Row],[ActualHomeScore]]*Table2[[#This Row],[ActualAwayScore]]=0), 1,0)</f>
        <v>0</v>
      </c>
      <c r="AA1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49" s="2">
        <f>Table2[[#This Row],[ActualAwayScore]]-Table2[[#This Row],[PredictedAwayScore]]</f>
        <v>0</v>
      </c>
      <c r="AG149" s="2">
        <f>Table2[[#This Row],[ActualHomeScore]]-Table2[[#This Row],[PredictedHomeScore]]</f>
        <v>0</v>
      </c>
      <c r="AH149" s="2">
        <f t="shared" si="17"/>
        <v>0</v>
      </c>
      <c r="AI149" s="2">
        <f t="shared" si="18"/>
        <v>0</v>
      </c>
      <c r="AJ149" s="2"/>
      <c r="AK149" s="2"/>
      <c r="AL149" s="2">
        <f>IF(Table2[[#This Row],[GameIsOver]]=0,0,IF(Table2[[#This Row],[ActualWinner]]=Table2[[#This Row],[AwayTeam]], 1, 0))</f>
        <v>0</v>
      </c>
      <c r="AM149" s="2">
        <f>IF(Table2[[#This Row],[GameIsOver]]=0,0,IF(Table2[[#This Row],[ActualWinner]]=Table2[[#This Row],[HomeTeam]], 1, 0))</f>
        <v>0</v>
      </c>
      <c r="AN1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9" s="2" t="str">
        <f>INDEX(Sheet5!$B$2:$AG$33, MATCH(Table2[[#This Row],[AwayTeam]],Sheet5!$A$2:$A$33, 0), MATCH(Table2[[#This Row],[HomeTeam]],Sheet5!$A$2:$A$33, 0))</f>
        <v>1-0-0</v>
      </c>
      <c r="AP149" s="2" t="str">
        <f>INDEX(Sheet5!$B$2:$AG$33, MATCH(Table2[[#This Row],[HomeTeam]],Sheet5!$A$2:$A$33, 0), MATCH(Table2[[#This Row],[AwayTeam]],Sheet5!$A$2:$A$33, 0))</f>
        <v>0-1-0</v>
      </c>
      <c r="AQ149" s="2">
        <f>IF(Table2[[#This Row],[GameHasShutOut]], 1, 0)</f>
        <v>0</v>
      </c>
      <c r="AR149" s="2">
        <f>IF(Table2[[#This Row],[ActualAwayScore]] + Table2[[#This Row],[ActualHomeScore]] &gt;= 10, 1, 0)</f>
        <v>0</v>
      </c>
      <c r="AS149" s="2">
        <f>IF(ABS(Table2[[#This Row],[ActualAwayScore]]-Table2[[#This Row],[ActualHomeScore]])&gt;=5, 1, 0)</f>
        <v>0</v>
      </c>
      <c r="AT149" s="2">
        <f>IF(Table2[[#This Row],[ActualAwayScore]] + Table2[[#This Row],[ActualHomeScore]] &lt;= 3, 1, 0)</f>
        <v>1</v>
      </c>
      <c r="AU149" s="2"/>
      <c r="AV149" s="2"/>
    </row>
    <row r="150" spans="1:48" x14ac:dyDescent="0.25">
      <c r="A150" s="3"/>
      <c r="B150" s="3">
        <v>45957</v>
      </c>
      <c r="C150" s="5">
        <v>2025020148</v>
      </c>
      <c r="D150" s="2" t="s">
        <v>12</v>
      </c>
      <c r="E150" s="2" t="s">
        <v>20</v>
      </c>
      <c r="F150" s="2"/>
      <c r="G150" s="2"/>
      <c r="H150" s="2" t="str">
        <f t="shared" si="14"/>
        <v>_</v>
      </c>
      <c r="I150" s="2"/>
      <c r="J150" s="2"/>
      <c r="K150" s="2"/>
      <c r="L150" s="2" t="str">
        <f t="shared" si="15"/>
        <v>_</v>
      </c>
      <c r="M150" s="2"/>
      <c r="N150" s="2">
        <f>IF(ISBLANK(Table2[[#This Row],[ActualResult]]), 0, 1)</f>
        <v>0</v>
      </c>
      <c r="O150" s="2" t="str">
        <f>IF(ISBLANK(Table2[[#This Row],[ActualResult]]), "_", IF(Table2[[#This Row],[ActualWinner]]=Table2[[#This Row],[PredictedWinner]], "Y", "N"))</f>
        <v>_</v>
      </c>
      <c r="P1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0" s="2"/>
      <c r="S150" s="2" t="str">
        <f t="shared" si="16"/>
        <v>_</v>
      </c>
      <c r="T1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0" s="2">
        <f>IF(Table2[[#This Row],[InterConf]]=1,IF(Table2[[#This Row],[InterDiv]]=0, 1, 0), 0)</f>
        <v>0</v>
      </c>
      <c r="W1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0" s="2"/>
      <c r="Y150" s="2"/>
      <c r="Z150" s="145">
        <f>IF(AND(Table2[[#This Row],[GameIsOver]]=1,Table2[[#This Row],[ActualHomeScore]]*Table2[[#This Row],[ActualAwayScore]]=0), 1,0)</f>
        <v>0</v>
      </c>
      <c r="AA1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50" s="2">
        <f>Table2[[#This Row],[ActualAwayScore]]-Table2[[#This Row],[PredictedAwayScore]]</f>
        <v>0</v>
      </c>
      <c r="AG150" s="2">
        <f>Table2[[#This Row],[ActualHomeScore]]-Table2[[#This Row],[PredictedHomeScore]]</f>
        <v>0</v>
      </c>
      <c r="AH150" s="2">
        <f t="shared" si="17"/>
        <v>0</v>
      </c>
      <c r="AI150" s="2">
        <f t="shared" si="18"/>
        <v>0</v>
      </c>
      <c r="AJ150" s="2"/>
      <c r="AK150" s="2"/>
      <c r="AL150" s="2">
        <f>IF(Table2[[#This Row],[GameIsOver]]=0,0,IF(Table2[[#This Row],[ActualWinner]]=Table2[[#This Row],[AwayTeam]], 1, 0))</f>
        <v>0</v>
      </c>
      <c r="AM150" s="2">
        <f>IF(Table2[[#This Row],[GameIsOver]]=0,0,IF(Table2[[#This Row],[ActualWinner]]=Table2[[#This Row],[HomeTeam]], 1, 0))</f>
        <v>0</v>
      </c>
      <c r="AN1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0" s="2" t="str">
        <f>INDEX(Sheet5!$B$2:$AG$33, MATCH(Table2[[#This Row],[AwayTeam]],Sheet5!$A$2:$A$33, 0), MATCH(Table2[[#This Row],[HomeTeam]],Sheet5!$A$2:$A$33, 0))</f>
        <v>0-0-0</v>
      </c>
      <c r="AP150" s="2" t="str">
        <f>INDEX(Sheet5!$B$2:$AG$33, MATCH(Table2[[#This Row],[HomeTeam]],Sheet5!$A$2:$A$33, 0), MATCH(Table2[[#This Row],[AwayTeam]],Sheet5!$A$2:$A$33, 0))</f>
        <v>0-0-0</v>
      </c>
      <c r="AQ150" s="2">
        <f>IF(Table2[[#This Row],[GameHasShutOut]], 1, 0)</f>
        <v>0</v>
      </c>
      <c r="AR150" s="2">
        <f>IF(Table2[[#This Row],[ActualAwayScore]] + Table2[[#This Row],[ActualHomeScore]] &gt;= 10, 1, 0)</f>
        <v>0</v>
      </c>
      <c r="AS150" s="2">
        <f>IF(ABS(Table2[[#This Row],[ActualAwayScore]]-Table2[[#This Row],[ActualHomeScore]])&gt;=5, 1, 0)</f>
        <v>0</v>
      </c>
      <c r="AT150" s="2">
        <f>IF(Table2[[#This Row],[ActualAwayScore]] + Table2[[#This Row],[ActualHomeScore]] &lt;= 3, 1, 0)</f>
        <v>1</v>
      </c>
      <c r="AU150" s="2"/>
      <c r="AV150" s="2"/>
    </row>
    <row r="151" spans="1:48" x14ac:dyDescent="0.25">
      <c r="A151" s="3"/>
      <c r="B151" s="3">
        <v>45957</v>
      </c>
      <c r="C151" s="5">
        <v>2025020149</v>
      </c>
      <c r="D151" s="2" t="s">
        <v>15</v>
      </c>
      <c r="E151" s="2" t="s">
        <v>29</v>
      </c>
      <c r="F151" s="2"/>
      <c r="G151" s="2"/>
      <c r="H151" s="2" t="str">
        <f t="shared" si="14"/>
        <v>_</v>
      </c>
      <c r="I151" s="2"/>
      <c r="J151" s="2"/>
      <c r="K151" s="2"/>
      <c r="L151" s="2" t="str">
        <f t="shared" si="15"/>
        <v>_</v>
      </c>
      <c r="M151" s="2"/>
      <c r="N151" s="2">
        <f>IF(ISBLANK(Table2[[#This Row],[ActualResult]]), 0, 1)</f>
        <v>0</v>
      </c>
      <c r="O151" s="2" t="str">
        <f>IF(ISBLANK(Table2[[#This Row],[ActualResult]]), "_", IF(Table2[[#This Row],[ActualWinner]]=Table2[[#This Row],[PredictedWinner]], "Y", "N"))</f>
        <v>_</v>
      </c>
      <c r="P1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1" s="2"/>
      <c r="S151" s="2" t="str">
        <f t="shared" si="16"/>
        <v>_</v>
      </c>
      <c r="T1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1" s="2">
        <f>IF(Table2[[#This Row],[InterConf]]=1,IF(Table2[[#This Row],[InterDiv]]=0, 1, 0), 0)</f>
        <v>0</v>
      </c>
      <c r="W1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1" s="2"/>
      <c r="Y151" s="2"/>
      <c r="Z151" s="145">
        <f>IF(AND(Table2[[#This Row],[GameIsOver]]=1,Table2[[#This Row],[ActualHomeScore]]*Table2[[#This Row],[ActualAwayScore]]=0), 1,0)</f>
        <v>0</v>
      </c>
      <c r="AA1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51" s="2">
        <f>Table2[[#This Row],[ActualAwayScore]]-Table2[[#This Row],[PredictedAwayScore]]</f>
        <v>0</v>
      </c>
      <c r="AG151" s="2">
        <f>Table2[[#This Row],[ActualHomeScore]]-Table2[[#This Row],[PredictedHomeScore]]</f>
        <v>0</v>
      </c>
      <c r="AH151" s="2">
        <f t="shared" si="17"/>
        <v>0</v>
      </c>
      <c r="AI151" s="2">
        <f t="shared" si="18"/>
        <v>0</v>
      </c>
      <c r="AJ151" s="2"/>
      <c r="AK151" s="2"/>
      <c r="AL151" s="2">
        <f>IF(Table2[[#This Row],[GameIsOver]]=0,0,IF(Table2[[#This Row],[ActualWinner]]=Table2[[#This Row],[AwayTeam]], 1, 0))</f>
        <v>0</v>
      </c>
      <c r="AM151" s="2">
        <f>IF(Table2[[#This Row],[GameIsOver]]=0,0,IF(Table2[[#This Row],[ActualWinner]]=Table2[[#This Row],[HomeTeam]], 1, 0))</f>
        <v>0</v>
      </c>
      <c r="AN1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1" s="2" t="str">
        <f>INDEX(Sheet5!$B$2:$AG$33, MATCH(Table2[[#This Row],[AwayTeam]],Sheet5!$A$2:$A$33, 0), MATCH(Table2[[#This Row],[HomeTeam]],Sheet5!$A$2:$A$33, 0))</f>
        <v>0-0-0</v>
      </c>
      <c r="AP151" s="2" t="str">
        <f>INDEX(Sheet5!$B$2:$AG$33, MATCH(Table2[[#This Row],[HomeTeam]],Sheet5!$A$2:$A$33, 0), MATCH(Table2[[#This Row],[AwayTeam]],Sheet5!$A$2:$A$33, 0))</f>
        <v>0-0-0</v>
      </c>
      <c r="AQ151" s="2">
        <f>IF(Table2[[#This Row],[GameHasShutOut]], 1, 0)</f>
        <v>0</v>
      </c>
      <c r="AR151" s="2">
        <f>IF(Table2[[#This Row],[ActualAwayScore]] + Table2[[#This Row],[ActualHomeScore]] &gt;= 10, 1, 0)</f>
        <v>0</v>
      </c>
      <c r="AS151" s="2">
        <f>IF(ABS(Table2[[#This Row],[ActualAwayScore]]-Table2[[#This Row],[ActualHomeScore]])&gt;=5, 1, 0)</f>
        <v>0</v>
      </c>
      <c r="AT151" s="2">
        <f>IF(Table2[[#This Row],[ActualAwayScore]] + Table2[[#This Row],[ActualHomeScore]] &lt;= 3, 1, 0)</f>
        <v>1</v>
      </c>
      <c r="AU151" s="2"/>
      <c r="AV151" s="2"/>
    </row>
    <row r="152" spans="1:48" x14ac:dyDescent="0.25">
      <c r="A152" s="3"/>
      <c r="B152" s="3">
        <v>45958</v>
      </c>
      <c r="C152" s="5">
        <v>2025020150</v>
      </c>
      <c r="D152" s="2" t="s">
        <v>20</v>
      </c>
      <c r="E152" s="2" t="s">
        <v>42</v>
      </c>
      <c r="F152" s="2"/>
      <c r="G152" s="2"/>
      <c r="H152" s="2" t="str">
        <f t="shared" si="14"/>
        <v>_</v>
      </c>
      <c r="I152" s="2"/>
      <c r="J152" s="2"/>
      <c r="K152" s="2"/>
      <c r="L152" s="2" t="str">
        <f t="shared" si="15"/>
        <v>_</v>
      </c>
      <c r="M152" s="2"/>
      <c r="N152" s="2">
        <f>IF(ISBLANK(Table2[[#This Row],[ActualResult]]), 0, 1)</f>
        <v>0</v>
      </c>
      <c r="O152" s="2" t="str">
        <f>IF(ISBLANK(Table2[[#This Row],[ActualResult]]), "_", IF(Table2[[#This Row],[ActualWinner]]=Table2[[#This Row],[PredictedWinner]], "Y", "N"))</f>
        <v>_</v>
      </c>
      <c r="P1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2" s="2"/>
      <c r="S152" s="2" t="str">
        <f t="shared" si="16"/>
        <v>_</v>
      </c>
      <c r="T1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2" s="2">
        <f>IF(Table2[[#This Row],[InterConf]]=1,IF(Table2[[#This Row],[InterDiv]]=0, 1, 0), 0)</f>
        <v>0</v>
      </c>
      <c r="W1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2" s="2"/>
      <c r="Y152" s="2"/>
      <c r="Z152" s="145">
        <f>IF(AND(Table2[[#This Row],[GameIsOver]]=1,Table2[[#This Row],[ActualHomeScore]]*Table2[[#This Row],[ActualAwayScore]]=0), 1,0)</f>
        <v>0</v>
      </c>
      <c r="AA1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2" s="2">
        <f>Table2[[#This Row],[ActualAwayScore]]-Table2[[#This Row],[PredictedAwayScore]]</f>
        <v>0</v>
      </c>
      <c r="AG152" s="2">
        <f>Table2[[#This Row],[ActualHomeScore]]-Table2[[#This Row],[PredictedHomeScore]]</f>
        <v>0</v>
      </c>
      <c r="AH152" s="2">
        <f t="shared" si="17"/>
        <v>0</v>
      </c>
      <c r="AI152" s="2">
        <f t="shared" si="18"/>
        <v>0</v>
      </c>
      <c r="AJ152" s="2"/>
      <c r="AK152" s="2"/>
      <c r="AL152" s="2">
        <f>IF(Table2[[#This Row],[GameIsOver]]=0,0,IF(Table2[[#This Row],[ActualWinner]]=Table2[[#This Row],[AwayTeam]], 1, 0))</f>
        <v>0</v>
      </c>
      <c r="AM152" s="2">
        <f>IF(Table2[[#This Row],[GameIsOver]]=0,0,IF(Table2[[#This Row],[ActualWinner]]=Table2[[#This Row],[HomeTeam]], 1, 0))</f>
        <v>0</v>
      </c>
      <c r="AN1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2" s="2" t="str">
        <f>INDEX(Sheet5!$B$2:$AG$33, MATCH(Table2[[#This Row],[AwayTeam]],Sheet5!$A$2:$A$33, 0), MATCH(Table2[[#This Row],[HomeTeam]],Sheet5!$A$2:$A$33, 0))</f>
        <v>0-0-0</v>
      </c>
      <c r="AP152" s="2" t="str">
        <f>INDEX(Sheet5!$B$2:$AG$33, MATCH(Table2[[#This Row],[HomeTeam]],Sheet5!$A$2:$A$33, 0), MATCH(Table2[[#This Row],[AwayTeam]],Sheet5!$A$2:$A$33, 0))</f>
        <v>0-0-0</v>
      </c>
      <c r="AQ152" s="2">
        <f>IF(Table2[[#This Row],[GameHasShutOut]], 1, 0)</f>
        <v>0</v>
      </c>
      <c r="AR152" s="2">
        <f>IF(Table2[[#This Row],[ActualAwayScore]] + Table2[[#This Row],[ActualHomeScore]] &gt;= 10, 1, 0)</f>
        <v>0</v>
      </c>
      <c r="AS152" s="2">
        <f>IF(ABS(Table2[[#This Row],[ActualAwayScore]]-Table2[[#This Row],[ActualHomeScore]])&gt;=5, 1, 0)</f>
        <v>0</v>
      </c>
      <c r="AT152" s="2">
        <f>IF(Table2[[#This Row],[ActualAwayScore]] + Table2[[#This Row],[ActualHomeScore]] &lt;= 3, 1, 0)</f>
        <v>1</v>
      </c>
      <c r="AU152" s="2"/>
      <c r="AV152" s="2"/>
    </row>
    <row r="153" spans="1:48" x14ac:dyDescent="0.25">
      <c r="A153" s="3"/>
      <c r="B153" s="3">
        <v>45958</v>
      </c>
      <c r="C153" s="5">
        <v>2025020151</v>
      </c>
      <c r="D153" s="2" t="s">
        <v>23</v>
      </c>
      <c r="E153" s="2" t="s">
        <v>17</v>
      </c>
      <c r="F153" s="2"/>
      <c r="G153" s="2"/>
      <c r="H153" s="2" t="str">
        <f t="shared" si="14"/>
        <v>_</v>
      </c>
      <c r="I153" s="2"/>
      <c r="J153" s="2"/>
      <c r="K153" s="2"/>
      <c r="L153" s="2" t="str">
        <f t="shared" si="15"/>
        <v>_</v>
      </c>
      <c r="M153" s="2"/>
      <c r="N153" s="2">
        <f>IF(ISBLANK(Table2[[#This Row],[ActualResult]]), 0, 1)</f>
        <v>0</v>
      </c>
      <c r="O153" s="2" t="str">
        <f>IF(ISBLANK(Table2[[#This Row],[ActualResult]]), "_", IF(Table2[[#This Row],[ActualWinner]]=Table2[[#This Row],[PredictedWinner]], "Y", "N"))</f>
        <v>_</v>
      </c>
      <c r="P1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3" s="2"/>
      <c r="S153" s="2" t="str">
        <f t="shared" si="16"/>
        <v>_</v>
      </c>
      <c r="T1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3" s="2">
        <f>IF(Table2[[#This Row],[InterConf]]=1,IF(Table2[[#This Row],[InterDiv]]=0, 1, 0), 0)</f>
        <v>0</v>
      </c>
      <c r="W1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3" s="2"/>
      <c r="Y153" s="2"/>
      <c r="Z153" s="145">
        <f>IF(AND(Table2[[#This Row],[GameIsOver]]=1,Table2[[#This Row],[ActualHomeScore]]*Table2[[#This Row],[ActualAwayScore]]=0), 1,0)</f>
        <v>0</v>
      </c>
      <c r="AA1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3" s="2">
        <f>Table2[[#This Row],[ActualAwayScore]]-Table2[[#This Row],[PredictedAwayScore]]</f>
        <v>0</v>
      </c>
      <c r="AG153" s="2">
        <f>Table2[[#This Row],[ActualHomeScore]]-Table2[[#This Row],[PredictedHomeScore]]</f>
        <v>0</v>
      </c>
      <c r="AH153" s="2">
        <f t="shared" si="17"/>
        <v>0</v>
      </c>
      <c r="AI153" s="2">
        <f t="shared" si="18"/>
        <v>0</v>
      </c>
      <c r="AJ153" s="2"/>
      <c r="AK153" s="2"/>
      <c r="AL153" s="2">
        <f>IF(Table2[[#This Row],[GameIsOver]]=0,0,IF(Table2[[#This Row],[ActualWinner]]=Table2[[#This Row],[AwayTeam]], 1, 0))</f>
        <v>0</v>
      </c>
      <c r="AM153" s="2">
        <f>IF(Table2[[#This Row],[GameIsOver]]=0,0,IF(Table2[[#This Row],[ActualWinner]]=Table2[[#This Row],[HomeTeam]], 1, 0))</f>
        <v>0</v>
      </c>
      <c r="AN1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3" s="2" t="str">
        <f>INDEX(Sheet5!$B$2:$AG$33, MATCH(Table2[[#This Row],[AwayTeam]],Sheet5!$A$2:$A$33, 0), MATCH(Table2[[#This Row],[HomeTeam]],Sheet5!$A$2:$A$33, 0))</f>
        <v>0-0-0</v>
      </c>
      <c r="AP153" s="2" t="str">
        <f>INDEX(Sheet5!$B$2:$AG$33, MATCH(Table2[[#This Row],[HomeTeam]],Sheet5!$A$2:$A$33, 0), MATCH(Table2[[#This Row],[AwayTeam]],Sheet5!$A$2:$A$33, 0))</f>
        <v>0-0-0</v>
      </c>
      <c r="AQ153" s="2">
        <f>IF(Table2[[#This Row],[GameHasShutOut]], 1, 0)</f>
        <v>0</v>
      </c>
      <c r="AR153" s="2">
        <f>IF(Table2[[#This Row],[ActualAwayScore]] + Table2[[#This Row],[ActualHomeScore]] &gt;= 10, 1, 0)</f>
        <v>0</v>
      </c>
      <c r="AS153" s="2">
        <f>IF(ABS(Table2[[#This Row],[ActualAwayScore]]-Table2[[#This Row],[ActualHomeScore]])&gt;=5, 1, 0)</f>
        <v>0</v>
      </c>
      <c r="AT153" s="2">
        <f>IF(Table2[[#This Row],[ActualAwayScore]] + Table2[[#This Row],[ActualHomeScore]] &lt;= 3, 1, 0)</f>
        <v>1</v>
      </c>
      <c r="AU153" s="2"/>
      <c r="AV153" s="2"/>
    </row>
    <row r="154" spans="1:48" x14ac:dyDescent="0.25">
      <c r="A154" s="3"/>
      <c r="B154" s="3">
        <v>45958</v>
      </c>
      <c r="C154" s="5">
        <v>2025020152</v>
      </c>
      <c r="D154" s="2" t="s">
        <v>35</v>
      </c>
      <c r="E154" s="2" t="s">
        <v>28</v>
      </c>
      <c r="F154" s="2"/>
      <c r="G154" s="2"/>
      <c r="H154" s="2" t="str">
        <f t="shared" si="14"/>
        <v>_</v>
      </c>
      <c r="I154" s="2"/>
      <c r="J154" s="2"/>
      <c r="K154" s="2"/>
      <c r="L154" s="2" t="str">
        <f t="shared" si="15"/>
        <v>_</v>
      </c>
      <c r="M154" s="2"/>
      <c r="N154" s="2">
        <f>IF(ISBLANK(Table2[[#This Row],[ActualResult]]), 0, 1)</f>
        <v>0</v>
      </c>
      <c r="O154" s="2" t="str">
        <f>IF(ISBLANK(Table2[[#This Row],[ActualResult]]), "_", IF(Table2[[#This Row],[ActualWinner]]=Table2[[#This Row],[PredictedWinner]], "Y", "N"))</f>
        <v>_</v>
      </c>
      <c r="P1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4" s="2"/>
      <c r="S154" s="2" t="str">
        <f t="shared" si="16"/>
        <v>_</v>
      </c>
      <c r="T1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4" s="2">
        <f>IF(Table2[[#This Row],[InterConf]]=1,IF(Table2[[#This Row],[InterDiv]]=0, 1, 0), 0)</f>
        <v>1</v>
      </c>
      <c r="W1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4" s="2"/>
      <c r="Y154" s="2"/>
      <c r="Z154" s="145">
        <f>IF(AND(Table2[[#This Row],[GameIsOver]]=1,Table2[[#This Row],[ActualHomeScore]]*Table2[[#This Row],[ActualAwayScore]]=0), 1,0)</f>
        <v>0</v>
      </c>
      <c r="AA1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4" s="2">
        <f>Table2[[#This Row],[ActualAwayScore]]-Table2[[#This Row],[PredictedAwayScore]]</f>
        <v>0</v>
      </c>
      <c r="AG154" s="2">
        <f>Table2[[#This Row],[ActualHomeScore]]-Table2[[#This Row],[PredictedHomeScore]]</f>
        <v>0</v>
      </c>
      <c r="AH154" s="2">
        <f t="shared" si="17"/>
        <v>0</v>
      </c>
      <c r="AI154" s="2">
        <f t="shared" si="18"/>
        <v>0</v>
      </c>
      <c r="AJ154" s="2"/>
      <c r="AK154" s="2"/>
      <c r="AL154" s="2">
        <f>IF(Table2[[#This Row],[GameIsOver]]=0,0,IF(Table2[[#This Row],[ActualWinner]]=Table2[[#This Row],[AwayTeam]], 1, 0))</f>
        <v>0</v>
      </c>
      <c r="AM154" s="2">
        <f>IF(Table2[[#This Row],[GameIsOver]]=0,0,IF(Table2[[#This Row],[ActualWinner]]=Table2[[#This Row],[HomeTeam]], 1, 0))</f>
        <v>0</v>
      </c>
      <c r="AN1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4" s="2" t="str">
        <f>INDEX(Sheet5!$B$2:$AG$33, MATCH(Table2[[#This Row],[AwayTeam]],Sheet5!$A$2:$A$33, 0), MATCH(Table2[[#This Row],[HomeTeam]],Sheet5!$A$2:$A$33, 0))</f>
        <v>0-0-0</v>
      </c>
      <c r="AP154" s="2" t="str">
        <f>INDEX(Sheet5!$B$2:$AG$33, MATCH(Table2[[#This Row],[HomeTeam]],Sheet5!$A$2:$A$33, 0), MATCH(Table2[[#This Row],[AwayTeam]],Sheet5!$A$2:$A$33, 0))</f>
        <v>0-0-0</v>
      </c>
      <c r="AQ154" s="2">
        <f>IF(Table2[[#This Row],[GameHasShutOut]], 1, 0)</f>
        <v>0</v>
      </c>
      <c r="AR154" s="2">
        <f>IF(Table2[[#This Row],[ActualAwayScore]] + Table2[[#This Row],[ActualHomeScore]] &gt;= 10, 1, 0)</f>
        <v>0</v>
      </c>
      <c r="AS154" s="2">
        <f>IF(ABS(Table2[[#This Row],[ActualAwayScore]]-Table2[[#This Row],[ActualHomeScore]])&gt;=5, 1, 0)</f>
        <v>0</v>
      </c>
      <c r="AT154" s="2">
        <f>IF(Table2[[#This Row],[ActualAwayScore]] + Table2[[#This Row],[ActualHomeScore]] &lt;= 3, 1, 0)</f>
        <v>1</v>
      </c>
      <c r="AU154" s="2"/>
      <c r="AV154" s="2"/>
    </row>
    <row r="155" spans="1:48" x14ac:dyDescent="0.25">
      <c r="A155" s="3"/>
      <c r="B155" s="3">
        <v>45958</v>
      </c>
      <c r="C155" s="5">
        <v>2025020153</v>
      </c>
      <c r="D155" s="2" t="s">
        <v>44</v>
      </c>
      <c r="E155" s="2" t="s">
        <v>13</v>
      </c>
      <c r="F155" s="2"/>
      <c r="G155" s="2"/>
      <c r="H155" s="2" t="str">
        <f t="shared" si="14"/>
        <v>_</v>
      </c>
      <c r="I155" s="2"/>
      <c r="J155" s="2"/>
      <c r="K155" s="2"/>
      <c r="L155" s="2" t="str">
        <f t="shared" si="15"/>
        <v>_</v>
      </c>
      <c r="M155" s="2"/>
      <c r="N155" s="2">
        <f>IF(ISBLANK(Table2[[#This Row],[ActualResult]]), 0, 1)</f>
        <v>0</v>
      </c>
      <c r="O155" s="2" t="str">
        <f>IF(ISBLANK(Table2[[#This Row],[ActualResult]]), "_", IF(Table2[[#This Row],[ActualWinner]]=Table2[[#This Row],[PredictedWinner]], "Y", "N"))</f>
        <v>_</v>
      </c>
      <c r="P1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5" s="2"/>
      <c r="S155" s="2" t="str">
        <f t="shared" si="16"/>
        <v>_</v>
      </c>
      <c r="T1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5" s="2">
        <f>IF(Table2[[#This Row],[InterConf]]=1,IF(Table2[[#This Row],[InterDiv]]=0, 1, 0), 0)</f>
        <v>0</v>
      </c>
      <c r="W1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5" s="2"/>
      <c r="Y155" s="2"/>
      <c r="Z155" s="145">
        <f>IF(AND(Table2[[#This Row],[GameIsOver]]=1,Table2[[#This Row],[ActualHomeScore]]*Table2[[#This Row],[ActualAwayScore]]=0), 1,0)</f>
        <v>0</v>
      </c>
      <c r="AA1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5" s="2">
        <f>Table2[[#This Row],[ActualAwayScore]]-Table2[[#This Row],[PredictedAwayScore]]</f>
        <v>0</v>
      </c>
      <c r="AG155" s="2">
        <f>Table2[[#This Row],[ActualHomeScore]]-Table2[[#This Row],[PredictedHomeScore]]</f>
        <v>0</v>
      </c>
      <c r="AH155" s="2">
        <f t="shared" si="17"/>
        <v>0</v>
      </c>
      <c r="AI155" s="2">
        <f t="shared" si="18"/>
        <v>0</v>
      </c>
      <c r="AJ155" s="2"/>
      <c r="AK155" s="2"/>
      <c r="AL155" s="2">
        <f>IF(Table2[[#This Row],[GameIsOver]]=0,0,IF(Table2[[#This Row],[ActualWinner]]=Table2[[#This Row],[AwayTeam]], 1, 0))</f>
        <v>0</v>
      </c>
      <c r="AM155" s="2">
        <f>IF(Table2[[#This Row],[GameIsOver]]=0,0,IF(Table2[[#This Row],[ActualWinner]]=Table2[[#This Row],[HomeTeam]], 1, 0))</f>
        <v>0</v>
      </c>
      <c r="AN1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5" s="2" t="str">
        <f>INDEX(Sheet5!$B$2:$AG$33, MATCH(Table2[[#This Row],[AwayTeam]],Sheet5!$A$2:$A$33, 0), MATCH(Table2[[#This Row],[HomeTeam]],Sheet5!$A$2:$A$33, 0))</f>
        <v>0-0-0</v>
      </c>
      <c r="AP155" s="2" t="str">
        <f>INDEX(Sheet5!$B$2:$AG$33, MATCH(Table2[[#This Row],[HomeTeam]],Sheet5!$A$2:$A$33, 0), MATCH(Table2[[#This Row],[AwayTeam]],Sheet5!$A$2:$A$33, 0))</f>
        <v>0-0-0</v>
      </c>
      <c r="AQ155" s="2">
        <f>IF(Table2[[#This Row],[GameHasShutOut]], 1, 0)</f>
        <v>0</v>
      </c>
      <c r="AR155" s="2">
        <f>IF(Table2[[#This Row],[ActualAwayScore]] + Table2[[#This Row],[ActualHomeScore]] &gt;= 10, 1, 0)</f>
        <v>0</v>
      </c>
      <c r="AS155" s="2">
        <f>IF(ABS(Table2[[#This Row],[ActualAwayScore]]-Table2[[#This Row],[ActualHomeScore]])&gt;=5, 1, 0)</f>
        <v>0</v>
      </c>
      <c r="AT155" s="2">
        <f>IF(Table2[[#This Row],[ActualAwayScore]] + Table2[[#This Row],[ActualHomeScore]] &lt;= 3, 1, 0)</f>
        <v>1</v>
      </c>
      <c r="AU155" s="2"/>
      <c r="AV155" s="2"/>
    </row>
    <row r="156" spans="1:48" x14ac:dyDescent="0.25">
      <c r="A156" s="3"/>
      <c r="B156" s="3">
        <v>45958</v>
      </c>
      <c r="C156" s="5">
        <v>2025020154</v>
      </c>
      <c r="D156" s="2" t="s">
        <v>32</v>
      </c>
      <c r="E156" s="2" t="s">
        <v>15</v>
      </c>
      <c r="F156" s="2"/>
      <c r="G156" s="2"/>
      <c r="H156" s="2" t="str">
        <f t="shared" si="14"/>
        <v>_</v>
      </c>
      <c r="I156" s="2"/>
      <c r="J156" s="2"/>
      <c r="K156" s="2"/>
      <c r="L156" s="2" t="str">
        <f t="shared" si="15"/>
        <v>_</v>
      </c>
      <c r="M156" s="2"/>
      <c r="N156" s="2">
        <f>IF(ISBLANK(Table2[[#This Row],[ActualResult]]), 0, 1)</f>
        <v>0</v>
      </c>
      <c r="O156" s="2" t="str">
        <f>IF(ISBLANK(Table2[[#This Row],[ActualResult]]), "_", IF(Table2[[#This Row],[ActualWinner]]=Table2[[#This Row],[PredictedWinner]], "Y", "N"))</f>
        <v>_</v>
      </c>
      <c r="P1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6" s="2"/>
      <c r="S156" s="2" t="str">
        <f t="shared" si="16"/>
        <v>_</v>
      </c>
      <c r="T1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6" s="2">
        <f>IF(Table2[[#This Row],[InterConf]]=1,IF(Table2[[#This Row],[InterDiv]]=0, 1, 0), 0)</f>
        <v>1</v>
      </c>
      <c r="W1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6" s="2"/>
      <c r="Y156" s="2"/>
      <c r="Z156" s="145">
        <f>IF(AND(Table2[[#This Row],[GameIsOver]]=1,Table2[[#This Row],[ActualHomeScore]]*Table2[[#This Row],[ActualAwayScore]]=0), 1,0)</f>
        <v>0</v>
      </c>
      <c r="AA1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6" s="2">
        <f>Table2[[#This Row],[ActualAwayScore]]-Table2[[#This Row],[PredictedAwayScore]]</f>
        <v>0</v>
      </c>
      <c r="AG156" s="2">
        <f>Table2[[#This Row],[ActualHomeScore]]-Table2[[#This Row],[PredictedHomeScore]]</f>
        <v>0</v>
      </c>
      <c r="AH156" s="2">
        <f t="shared" si="17"/>
        <v>0</v>
      </c>
      <c r="AI156" s="2">
        <f t="shared" si="18"/>
        <v>0</v>
      </c>
      <c r="AJ156" s="2"/>
      <c r="AK156" s="2"/>
      <c r="AL156" s="2">
        <f>IF(Table2[[#This Row],[GameIsOver]]=0,0,IF(Table2[[#This Row],[ActualWinner]]=Table2[[#This Row],[AwayTeam]], 1, 0))</f>
        <v>0</v>
      </c>
      <c r="AM156" s="2">
        <f>IF(Table2[[#This Row],[GameIsOver]]=0,0,IF(Table2[[#This Row],[ActualWinner]]=Table2[[#This Row],[HomeTeam]], 1, 0))</f>
        <v>0</v>
      </c>
      <c r="AN1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6" s="2" t="str">
        <f>INDEX(Sheet5!$B$2:$AG$33, MATCH(Table2[[#This Row],[AwayTeam]],Sheet5!$A$2:$A$33, 0), MATCH(Table2[[#This Row],[HomeTeam]],Sheet5!$A$2:$A$33, 0))</f>
        <v>0-0-0</v>
      </c>
      <c r="AP156" s="2" t="str">
        <f>INDEX(Sheet5!$B$2:$AG$33, MATCH(Table2[[#This Row],[HomeTeam]],Sheet5!$A$2:$A$33, 0), MATCH(Table2[[#This Row],[AwayTeam]],Sheet5!$A$2:$A$33, 0))</f>
        <v>0-0-0</v>
      </c>
      <c r="AQ156" s="2">
        <f>IF(Table2[[#This Row],[GameHasShutOut]], 1, 0)</f>
        <v>0</v>
      </c>
      <c r="AR156" s="2">
        <f>IF(Table2[[#This Row],[ActualAwayScore]] + Table2[[#This Row],[ActualHomeScore]] &gt;= 10, 1, 0)</f>
        <v>0</v>
      </c>
      <c r="AS156" s="2">
        <f>IF(ABS(Table2[[#This Row],[ActualAwayScore]]-Table2[[#This Row],[ActualHomeScore]])&gt;=5, 1, 0)</f>
        <v>0</v>
      </c>
      <c r="AT156" s="2">
        <f>IF(Table2[[#This Row],[ActualAwayScore]] + Table2[[#This Row],[ActualHomeScore]] &lt;= 3, 1, 0)</f>
        <v>1</v>
      </c>
      <c r="AU156" s="2"/>
      <c r="AV156" s="2"/>
    </row>
    <row r="157" spans="1:48" x14ac:dyDescent="0.25">
      <c r="A157" s="3"/>
      <c r="B157" s="3">
        <v>45958</v>
      </c>
      <c r="C157" s="5">
        <v>2025020155</v>
      </c>
      <c r="D157" s="2" t="s">
        <v>26</v>
      </c>
      <c r="E157" s="2" t="s">
        <v>41</v>
      </c>
      <c r="F157" s="2"/>
      <c r="G157" s="2"/>
      <c r="H157" s="2" t="str">
        <f t="shared" si="14"/>
        <v>_</v>
      </c>
      <c r="I157" s="2"/>
      <c r="J157" s="2"/>
      <c r="K157" s="2"/>
      <c r="L157" s="2" t="str">
        <f t="shared" si="15"/>
        <v>_</v>
      </c>
      <c r="M157" s="2"/>
      <c r="N157" s="2">
        <f>IF(ISBLANK(Table2[[#This Row],[ActualResult]]), 0, 1)</f>
        <v>0</v>
      </c>
      <c r="O157" s="2" t="str">
        <f>IF(ISBLANK(Table2[[#This Row],[ActualResult]]), "_", IF(Table2[[#This Row],[ActualWinner]]=Table2[[#This Row],[PredictedWinner]], "Y", "N"))</f>
        <v>_</v>
      </c>
      <c r="P1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7" s="2"/>
      <c r="S157" s="2" t="str">
        <f t="shared" si="16"/>
        <v>_</v>
      </c>
      <c r="T1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7" s="2">
        <f>IF(Table2[[#This Row],[InterConf]]=1,IF(Table2[[#This Row],[InterDiv]]=0, 1, 0), 0)</f>
        <v>0</v>
      </c>
      <c r="W1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7" s="2"/>
      <c r="Y157" s="2"/>
      <c r="Z157" s="145">
        <f>IF(AND(Table2[[#This Row],[GameIsOver]]=1,Table2[[#This Row],[ActualHomeScore]]*Table2[[#This Row],[ActualAwayScore]]=0), 1,0)</f>
        <v>0</v>
      </c>
      <c r="AA1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7" s="2">
        <f>Table2[[#This Row],[ActualAwayScore]]-Table2[[#This Row],[PredictedAwayScore]]</f>
        <v>0</v>
      </c>
      <c r="AG157" s="2">
        <f>Table2[[#This Row],[ActualHomeScore]]-Table2[[#This Row],[PredictedHomeScore]]</f>
        <v>0</v>
      </c>
      <c r="AH157" s="2">
        <f t="shared" si="17"/>
        <v>0</v>
      </c>
      <c r="AI157" s="2">
        <f t="shared" si="18"/>
        <v>0</v>
      </c>
      <c r="AJ157" s="2"/>
      <c r="AK157" s="2"/>
      <c r="AL157" s="2">
        <f>IF(Table2[[#This Row],[GameIsOver]]=0,0,IF(Table2[[#This Row],[ActualWinner]]=Table2[[#This Row],[AwayTeam]], 1, 0))</f>
        <v>0</v>
      </c>
      <c r="AM157" s="2">
        <f>IF(Table2[[#This Row],[GameIsOver]]=0,0,IF(Table2[[#This Row],[ActualWinner]]=Table2[[#This Row],[HomeTeam]], 1, 0))</f>
        <v>0</v>
      </c>
      <c r="AN1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7" s="2" t="str">
        <f>INDEX(Sheet5!$B$2:$AG$33, MATCH(Table2[[#This Row],[AwayTeam]],Sheet5!$A$2:$A$33, 0), MATCH(Table2[[#This Row],[HomeTeam]],Sheet5!$A$2:$A$33, 0))</f>
        <v>1-0-0</v>
      </c>
      <c r="AP157" s="2" t="str">
        <f>INDEX(Sheet5!$B$2:$AG$33, MATCH(Table2[[#This Row],[HomeTeam]],Sheet5!$A$2:$A$33, 0), MATCH(Table2[[#This Row],[AwayTeam]],Sheet5!$A$2:$A$33, 0))</f>
        <v>0-1-0</v>
      </c>
      <c r="AQ157" s="2">
        <f>IF(Table2[[#This Row],[GameHasShutOut]], 1, 0)</f>
        <v>0</v>
      </c>
      <c r="AR157" s="2">
        <f>IF(Table2[[#This Row],[ActualAwayScore]] + Table2[[#This Row],[ActualHomeScore]] &gt;= 10, 1, 0)</f>
        <v>0</v>
      </c>
      <c r="AS157" s="2">
        <f>IF(ABS(Table2[[#This Row],[ActualAwayScore]]-Table2[[#This Row],[ActualHomeScore]])&gt;=5, 1, 0)</f>
        <v>0</v>
      </c>
      <c r="AT157" s="2">
        <f>IF(Table2[[#This Row],[ActualAwayScore]] + Table2[[#This Row],[ActualHomeScore]] &lt;= 3, 1, 0)</f>
        <v>1</v>
      </c>
      <c r="AU157" s="2"/>
      <c r="AV157" s="2"/>
    </row>
    <row r="158" spans="1:48" x14ac:dyDescent="0.25">
      <c r="A158" s="3"/>
      <c r="B158" s="3">
        <v>45958</v>
      </c>
      <c r="C158" s="5">
        <v>2025020156</v>
      </c>
      <c r="D158" s="2" t="s">
        <v>40</v>
      </c>
      <c r="E158" s="2" t="s">
        <v>34</v>
      </c>
      <c r="F158" s="2"/>
      <c r="G158" s="2"/>
      <c r="H158" s="2" t="str">
        <f t="shared" si="14"/>
        <v>_</v>
      </c>
      <c r="I158" s="2"/>
      <c r="J158" s="2"/>
      <c r="K158" s="2"/>
      <c r="L158" s="2" t="str">
        <f t="shared" si="15"/>
        <v>_</v>
      </c>
      <c r="M158" s="2"/>
      <c r="N158" s="2">
        <f>IF(ISBLANK(Table2[[#This Row],[ActualResult]]), 0, 1)</f>
        <v>0</v>
      </c>
      <c r="O158" s="2" t="str">
        <f>IF(ISBLANK(Table2[[#This Row],[ActualResult]]), "_", IF(Table2[[#This Row],[ActualWinner]]=Table2[[#This Row],[PredictedWinner]], "Y", "N"))</f>
        <v>_</v>
      </c>
      <c r="P1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8" s="2"/>
      <c r="S158" s="2" t="str">
        <f t="shared" si="16"/>
        <v>_</v>
      </c>
      <c r="T1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8" s="2">
        <f>IF(Table2[[#This Row],[InterConf]]=1,IF(Table2[[#This Row],[InterDiv]]=0, 1, 0), 0)</f>
        <v>0</v>
      </c>
      <c r="W1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8" s="2"/>
      <c r="Y158" s="2"/>
      <c r="Z158" s="145">
        <f>IF(AND(Table2[[#This Row],[GameIsOver]]=1,Table2[[#This Row],[ActualHomeScore]]*Table2[[#This Row],[ActualAwayScore]]=0), 1,0)</f>
        <v>0</v>
      </c>
      <c r="AA1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8" s="2">
        <f>Table2[[#This Row],[ActualAwayScore]]-Table2[[#This Row],[PredictedAwayScore]]</f>
        <v>0</v>
      </c>
      <c r="AG158" s="2">
        <f>Table2[[#This Row],[ActualHomeScore]]-Table2[[#This Row],[PredictedHomeScore]]</f>
        <v>0</v>
      </c>
      <c r="AH158" s="2">
        <f t="shared" si="17"/>
        <v>0</v>
      </c>
      <c r="AI158" s="2">
        <f t="shared" si="18"/>
        <v>0</v>
      </c>
      <c r="AJ158" s="2"/>
      <c r="AK158" s="2"/>
      <c r="AL158" s="2">
        <f>IF(Table2[[#This Row],[GameIsOver]]=0,0,IF(Table2[[#This Row],[ActualWinner]]=Table2[[#This Row],[AwayTeam]], 1, 0))</f>
        <v>0</v>
      </c>
      <c r="AM158" s="2">
        <f>IF(Table2[[#This Row],[GameIsOver]]=0,0,IF(Table2[[#This Row],[ActualWinner]]=Table2[[#This Row],[HomeTeam]], 1, 0))</f>
        <v>0</v>
      </c>
      <c r="AN1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8" s="2" t="str">
        <f>INDEX(Sheet5!$B$2:$AG$33, MATCH(Table2[[#This Row],[AwayTeam]],Sheet5!$A$2:$A$33, 0), MATCH(Table2[[#This Row],[HomeTeam]],Sheet5!$A$2:$A$33, 0))</f>
        <v>0-0-0</v>
      </c>
      <c r="AP158" s="2" t="str">
        <f>INDEX(Sheet5!$B$2:$AG$33, MATCH(Table2[[#This Row],[HomeTeam]],Sheet5!$A$2:$A$33, 0), MATCH(Table2[[#This Row],[AwayTeam]],Sheet5!$A$2:$A$33, 0))</f>
        <v>0-0-0</v>
      </c>
      <c r="AQ158" s="2">
        <f>IF(Table2[[#This Row],[GameHasShutOut]], 1, 0)</f>
        <v>0</v>
      </c>
      <c r="AR158" s="2">
        <f>IF(Table2[[#This Row],[ActualAwayScore]] + Table2[[#This Row],[ActualHomeScore]] &gt;= 10, 1, 0)</f>
        <v>0</v>
      </c>
      <c r="AS158" s="2">
        <f>IF(ABS(Table2[[#This Row],[ActualAwayScore]]-Table2[[#This Row],[ActualHomeScore]])&gt;=5, 1, 0)</f>
        <v>0</v>
      </c>
      <c r="AT158" s="2">
        <f>IF(Table2[[#This Row],[ActualAwayScore]] + Table2[[#This Row],[ActualHomeScore]] &lt;= 3, 1, 0)</f>
        <v>1</v>
      </c>
      <c r="AU158" s="2"/>
      <c r="AV158" s="2"/>
    </row>
    <row r="159" spans="1:48" x14ac:dyDescent="0.25">
      <c r="A159" s="3"/>
      <c r="B159" s="3">
        <v>45959</v>
      </c>
      <c r="C159" s="5">
        <v>2025020157</v>
      </c>
      <c r="D159" s="2" t="s">
        <v>21</v>
      </c>
      <c r="E159" s="2" t="s">
        <v>36</v>
      </c>
      <c r="F159" s="2"/>
      <c r="G159" s="2"/>
      <c r="H159" s="2" t="str">
        <f t="shared" si="14"/>
        <v>_</v>
      </c>
      <c r="I159" s="2"/>
      <c r="J159" s="2"/>
      <c r="K159" s="2"/>
      <c r="L159" s="2" t="str">
        <f t="shared" si="15"/>
        <v>_</v>
      </c>
      <c r="M159" s="2"/>
      <c r="N159" s="2">
        <f>IF(ISBLANK(Table2[[#This Row],[ActualResult]]), 0, 1)</f>
        <v>0</v>
      </c>
      <c r="O159" s="2" t="str">
        <f>IF(ISBLANK(Table2[[#This Row],[ActualResult]]), "_", IF(Table2[[#This Row],[ActualWinner]]=Table2[[#This Row],[PredictedWinner]], "Y", "N"))</f>
        <v>_</v>
      </c>
      <c r="P1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9" s="2"/>
      <c r="S159" s="2" t="str">
        <f t="shared" si="16"/>
        <v>_</v>
      </c>
      <c r="T1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9" s="2">
        <f>IF(Table2[[#This Row],[InterConf]]=1,IF(Table2[[#This Row],[InterDiv]]=0, 1, 0), 0)</f>
        <v>0</v>
      </c>
      <c r="W1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9" s="2"/>
      <c r="Y159" s="2"/>
      <c r="Z159" s="145">
        <f>IF(AND(Table2[[#This Row],[GameIsOver]]=1,Table2[[#This Row],[ActualHomeScore]]*Table2[[#This Row],[ActualAwayScore]]=0), 1,0)</f>
        <v>0</v>
      </c>
      <c r="AA1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59" s="2">
        <f>Table2[[#This Row],[ActualAwayScore]]-Table2[[#This Row],[PredictedAwayScore]]</f>
        <v>0</v>
      </c>
      <c r="AG159" s="2">
        <f>Table2[[#This Row],[ActualHomeScore]]-Table2[[#This Row],[PredictedHomeScore]]</f>
        <v>0</v>
      </c>
      <c r="AH159" s="2">
        <f t="shared" si="17"/>
        <v>0</v>
      </c>
      <c r="AI159" s="2">
        <f t="shared" si="18"/>
        <v>0</v>
      </c>
      <c r="AJ159" s="2"/>
      <c r="AK159" s="2"/>
      <c r="AL159" s="2">
        <f>IF(Table2[[#This Row],[GameIsOver]]=0,0,IF(Table2[[#This Row],[ActualWinner]]=Table2[[#This Row],[AwayTeam]], 1, 0))</f>
        <v>0</v>
      </c>
      <c r="AM159" s="2">
        <f>IF(Table2[[#This Row],[GameIsOver]]=0,0,IF(Table2[[#This Row],[ActualWinner]]=Table2[[#This Row],[HomeTeam]], 1, 0))</f>
        <v>0</v>
      </c>
      <c r="AN1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9" s="2" t="str">
        <f>INDEX(Sheet5!$B$2:$AG$33, MATCH(Table2[[#This Row],[AwayTeam]],Sheet5!$A$2:$A$33, 0), MATCH(Table2[[#This Row],[HomeTeam]],Sheet5!$A$2:$A$33, 0))</f>
        <v>0-0-0</v>
      </c>
      <c r="AP159" s="2" t="str">
        <f>INDEX(Sheet5!$B$2:$AG$33, MATCH(Table2[[#This Row],[HomeTeam]],Sheet5!$A$2:$A$33, 0), MATCH(Table2[[#This Row],[AwayTeam]],Sheet5!$A$2:$A$33, 0))</f>
        <v>0-0-0</v>
      </c>
      <c r="AQ159" s="2">
        <f>IF(Table2[[#This Row],[GameHasShutOut]], 1, 0)</f>
        <v>0</v>
      </c>
      <c r="AR159" s="2">
        <f>IF(Table2[[#This Row],[ActualAwayScore]] + Table2[[#This Row],[ActualHomeScore]] &gt;= 10, 1, 0)</f>
        <v>0</v>
      </c>
      <c r="AS159" s="2">
        <f>IF(ABS(Table2[[#This Row],[ActualAwayScore]]-Table2[[#This Row],[ActualHomeScore]])&gt;=5, 1, 0)</f>
        <v>0</v>
      </c>
      <c r="AT159" s="2">
        <f>IF(Table2[[#This Row],[ActualAwayScore]] + Table2[[#This Row],[ActualHomeScore]] &lt;= 3, 1, 0)</f>
        <v>1</v>
      </c>
      <c r="AU159" s="2"/>
      <c r="AV159" s="2"/>
    </row>
    <row r="160" spans="1:48" x14ac:dyDescent="0.25">
      <c r="A160" s="3"/>
      <c r="B160" s="3">
        <v>45959</v>
      </c>
      <c r="C160" s="5">
        <v>2025020158</v>
      </c>
      <c r="D160" s="2" t="s">
        <v>30</v>
      </c>
      <c r="E160" s="2" t="s">
        <v>12</v>
      </c>
      <c r="F160" s="2"/>
      <c r="G160" s="2"/>
      <c r="H160" s="2" t="str">
        <f t="shared" si="14"/>
        <v>_</v>
      </c>
      <c r="I160" s="2"/>
      <c r="J160" s="2"/>
      <c r="K160" s="2"/>
      <c r="L160" s="2" t="str">
        <f t="shared" si="15"/>
        <v>_</v>
      </c>
      <c r="M160" s="2"/>
      <c r="N160" s="2">
        <f>IF(ISBLANK(Table2[[#This Row],[ActualResult]]), 0, 1)</f>
        <v>0</v>
      </c>
      <c r="O160" s="2" t="str">
        <f>IF(ISBLANK(Table2[[#This Row],[ActualResult]]), "_", IF(Table2[[#This Row],[ActualWinner]]=Table2[[#This Row],[PredictedWinner]], "Y", "N"))</f>
        <v>_</v>
      </c>
      <c r="P1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0" s="2"/>
      <c r="S160" s="2" t="str">
        <f t="shared" si="16"/>
        <v>_</v>
      </c>
      <c r="T1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0" s="2">
        <f>IF(Table2[[#This Row],[InterConf]]=1,IF(Table2[[#This Row],[InterDiv]]=0, 1, 0), 0)</f>
        <v>0</v>
      </c>
      <c r="W1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0" s="2"/>
      <c r="Y160" s="2"/>
      <c r="Z160" s="145">
        <f>IF(AND(Table2[[#This Row],[GameIsOver]]=1,Table2[[#This Row],[ActualHomeScore]]*Table2[[#This Row],[ActualAwayScore]]=0), 1,0)</f>
        <v>0</v>
      </c>
      <c r="AA1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0" s="2">
        <f>Table2[[#This Row],[ActualAwayScore]]-Table2[[#This Row],[PredictedAwayScore]]</f>
        <v>0</v>
      </c>
      <c r="AG160" s="2">
        <f>Table2[[#This Row],[ActualHomeScore]]-Table2[[#This Row],[PredictedHomeScore]]</f>
        <v>0</v>
      </c>
      <c r="AH160" s="2">
        <f t="shared" si="17"/>
        <v>0</v>
      </c>
      <c r="AI160" s="2">
        <f t="shared" si="18"/>
        <v>0</v>
      </c>
      <c r="AJ160" s="2"/>
      <c r="AK160" s="2"/>
      <c r="AL160" s="2">
        <f>IF(Table2[[#This Row],[GameIsOver]]=0,0,IF(Table2[[#This Row],[ActualWinner]]=Table2[[#This Row],[AwayTeam]], 1, 0))</f>
        <v>0</v>
      </c>
      <c r="AM160" s="2">
        <f>IF(Table2[[#This Row],[GameIsOver]]=0,0,IF(Table2[[#This Row],[ActualWinner]]=Table2[[#This Row],[HomeTeam]], 1, 0))</f>
        <v>0</v>
      </c>
      <c r="AN1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0" s="2" t="str">
        <f>INDEX(Sheet5!$B$2:$AG$33, MATCH(Table2[[#This Row],[AwayTeam]],Sheet5!$A$2:$A$33, 0), MATCH(Table2[[#This Row],[HomeTeam]],Sheet5!$A$2:$A$33, 0))</f>
        <v>0-0-0</v>
      </c>
      <c r="AP160" s="2" t="str">
        <f>INDEX(Sheet5!$B$2:$AG$33, MATCH(Table2[[#This Row],[HomeTeam]],Sheet5!$A$2:$A$33, 0), MATCH(Table2[[#This Row],[AwayTeam]],Sheet5!$A$2:$A$33, 0))</f>
        <v>0-0-0</v>
      </c>
      <c r="AQ160" s="2">
        <f>IF(Table2[[#This Row],[GameHasShutOut]], 1, 0)</f>
        <v>0</v>
      </c>
      <c r="AR160" s="2">
        <f>IF(Table2[[#This Row],[ActualAwayScore]] + Table2[[#This Row],[ActualHomeScore]] &gt;= 10, 1, 0)</f>
        <v>0</v>
      </c>
      <c r="AS160" s="2">
        <f>IF(ABS(Table2[[#This Row],[ActualAwayScore]]-Table2[[#This Row],[ActualHomeScore]])&gt;=5, 1, 0)</f>
        <v>0</v>
      </c>
      <c r="AT160" s="2">
        <f>IF(Table2[[#This Row],[ActualAwayScore]] + Table2[[#This Row],[ActualHomeScore]] &lt;= 3, 1, 0)</f>
        <v>1</v>
      </c>
      <c r="AU160" s="2"/>
      <c r="AV160" s="2"/>
    </row>
    <row r="161" spans="1:48" x14ac:dyDescent="0.25">
      <c r="A161" s="3"/>
      <c r="B161" s="3">
        <v>45959</v>
      </c>
      <c r="C161" s="5">
        <v>2025020159</v>
      </c>
      <c r="D161" s="2" t="s">
        <v>43</v>
      </c>
      <c r="E161" s="2" t="s">
        <v>33</v>
      </c>
      <c r="F161" s="2"/>
      <c r="G161" s="2"/>
      <c r="H161" s="2" t="str">
        <f t="shared" si="14"/>
        <v>_</v>
      </c>
      <c r="I161" s="2"/>
      <c r="J161" s="2"/>
      <c r="K161" s="2"/>
      <c r="L161" s="2" t="str">
        <f t="shared" si="15"/>
        <v>_</v>
      </c>
      <c r="M161" s="2"/>
      <c r="N161" s="2">
        <f>IF(ISBLANK(Table2[[#This Row],[ActualResult]]), 0, 1)</f>
        <v>0</v>
      </c>
      <c r="O161" s="2" t="str">
        <f>IF(ISBLANK(Table2[[#This Row],[ActualResult]]), "_", IF(Table2[[#This Row],[ActualWinner]]=Table2[[#This Row],[PredictedWinner]], "Y", "N"))</f>
        <v>_</v>
      </c>
      <c r="P1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1" s="2"/>
      <c r="S161" s="2" t="str">
        <f t="shared" si="16"/>
        <v>_</v>
      </c>
      <c r="T1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1" s="2">
        <f>IF(Table2[[#This Row],[InterConf]]=1,IF(Table2[[#This Row],[InterDiv]]=0, 1, 0), 0)</f>
        <v>0</v>
      </c>
      <c r="W1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1" s="2"/>
      <c r="Y161" s="2"/>
      <c r="Z161" s="145">
        <f>IF(AND(Table2[[#This Row],[GameIsOver]]=1,Table2[[#This Row],[ActualHomeScore]]*Table2[[#This Row],[ActualAwayScore]]=0), 1,0)</f>
        <v>0</v>
      </c>
      <c r="AA1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1" s="2">
        <f>Table2[[#This Row],[ActualAwayScore]]-Table2[[#This Row],[PredictedAwayScore]]</f>
        <v>0</v>
      </c>
      <c r="AG161" s="2">
        <f>Table2[[#This Row],[ActualHomeScore]]-Table2[[#This Row],[PredictedHomeScore]]</f>
        <v>0</v>
      </c>
      <c r="AH161" s="2">
        <f t="shared" si="17"/>
        <v>0</v>
      </c>
      <c r="AI161" s="2">
        <f t="shared" si="18"/>
        <v>0</v>
      </c>
      <c r="AJ161" s="2"/>
      <c r="AK161" s="2"/>
      <c r="AL161" s="2">
        <f>IF(Table2[[#This Row],[GameIsOver]]=0,0,IF(Table2[[#This Row],[ActualWinner]]=Table2[[#This Row],[AwayTeam]], 1, 0))</f>
        <v>0</v>
      </c>
      <c r="AM161" s="2">
        <f>IF(Table2[[#This Row],[GameIsOver]]=0,0,IF(Table2[[#This Row],[ActualWinner]]=Table2[[#This Row],[HomeTeam]], 1, 0))</f>
        <v>0</v>
      </c>
      <c r="AN1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1" s="2" t="str">
        <f>INDEX(Sheet5!$B$2:$AG$33, MATCH(Table2[[#This Row],[AwayTeam]],Sheet5!$A$2:$A$33, 0), MATCH(Table2[[#This Row],[HomeTeam]],Sheet5!$A$2:$A$33, 0))</f>
        <v>0-0-0</v>
      </c>
      <c r="AP161" s="2" t="str">
        <f>INDEX(Sheet5!$B$2:$AG$33, MATCH(Table2[[#This Row],[HomeTeam]],Sheet5!$A$2:$A$33, 0), MATCH(Table2[[#This Row],[AwayTeam]],Sheet5!$A$2:$A$33, 0))</f>
        <v>0-0-0</v>
      </c>
      <c r="AQ161" s="2">
        <f>IF(Table2[[#This Row],[GameHasShutOut]], 1, 0)</f>
        <v>0</v>
      </c>
      <c r="AR161" s="2">
        <f>IF(Table2[[#This Row],[ActualAwayScore]] + Table2[[#This Row],[ActualHomeScore]] &gt;= 10, 1, 0)</f>
        <v>0</v>
      </c>
      <c r="AS161" s="2">
        <f>IF(ABS(Table2[[#This Row],[ActualAwayScore]]-Table2[[#This Row],[ActualHomeScore]])&gt;=5, 1, 0)</f>
        <v>0</v>
      </c>
      <c r="AT161" s="2">
        <f>IF(Table2[[#This Row],[ActualAwayScore]] + Table2[[#This Row],[ActualHomeScore]] &lt;= 3, 1, 0)</f>
        <v>1</v>
      </c>
      <c r="AU161" s="2"/>
      <c r="AV161" s="2"/>
    </row>
    <row r="162" spans="1:48" x14ac:dyDescent="0.25">
      <c r="A162" s="3"/>
      <c r="B162" s="3">
        <v>45959</v>
      </c>
      <c r="C162" s="5">
        <v>2025020160</v>
      </c>
      <c r="D162" s="2" t="s">
        <v>29</v>
      </c>
      <c r="E162" s="2" t="s">
        <v>16</v>
      </c>
      <c r="F162" s="2"/>
      <c r="G162" s="2"/>
      <c r="H162" s="2" t="str">
        <f t="shared" si="14"/>
        <v>_</v>
      </c>
      <c r="I162" s="2"/>
      <c r="J162" s="2"/>
      <c r="K162" s="2"/>
      <c r="L162" s="2" t="str">
        <f t="shared" si="15"/>
        <v>_</v>
      </c>
      <c r="M162" s="2"/>
      <c r="N162" s="2">
        <f>IF(ISBLANK(Table2[[#This Row],[ActualResult]]), 0, 1)</f>
        <v>0</v>
      </c>
      <c r="O162" s="2" t="str">
        <f>IF(ISBLANK(Table2[[#This Row],[ActualResult]]), "_", IF(Table2[[#This Row],[ActualWinner]]=Table2[[#This Row],[PredictedWinner]], "Y", "N"))</f>
        <v>_</v>
      </c>
      <c r="P1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2" s="2"/>
      <c r="S162" s="2" t="str">
        <f t="shared" si="16"/>
        <v>_</v>
      </c>
      <c r="T1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2" s="2">
        <f>IF(Table2[[#This Row],[InterConf]]=1,IF(Table2[[#This Row],[InterDiv]]=0, 1, 0), 0)</f>
        <v>0</v>
      </c>
      <c r="W1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2" s="2"/>
      <c r="Y162" s="2"/>
      <c r="Z162" s="145">
        <f>IF(AND(Table2[[#This Row],[GameIsOver]]=1,Table2[[#This Row],[ActualHomeScore]]*Table2[[#This Row],[ActualAwayScore]]=0), 1,0)</f>
        <v>0</v>
      </c>
      <c r="AA1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2" s="2">
        <f>Table2[[#This Row],[ActualAwayScore]]-Table2[[#This Row],[PredictedAwayScore]]</f>
        <v>0</v>
      </c>
      <c r="AG162" s="2">
        <f>Table2[[#This Row],[ActualHomeScore]]-Table2[[#This Row],[PredictedHomeScore]]</f>
        <v>0</v>
      </c>
      <c r="AH162" s="2">
        <f t="shared" si="17"/>
        <v>0</v>
      </c>
      <c r="AI162" s="2">
        <f t="shared" si="18"/>
        <v>0</v>
      </c>
      <c r="AJ162" s="2"/>
      <c r="AK162" s="2"/>
      <c r="AL162" s="2">
        <f>IF(Table2[[#This Row],[GameIsOver]]=0,0,IF(Table2[[#This Row],[ActualWinner]]=Table2[[#This Row],[AwayTeam]], 1, 0))</f>
        <v>0</v>
      </c>
      <c r="AM162" s="2">
        <f>IF(Table2[[#This Row],[GameIsOver]]=0,0,IF(Table2[[#This Row],[ActualWinner]]=Table2[[#This Row],[HomeTeam]], 1, 0))</f>
        <v>0</v>
      </c>
      <c r="AN1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2" s="2" t="str">
        <f>INDEX(Sheet5!$B$2:$AG$33, MATCH(Table2[[#This Row],[AwayTeam]],Sheet5!$A$2:$A$33, 0), MATCH(Table2[[#This Row],[HomeTeam]],Sheet5!$A$2:$A$33, 0))</f>
        <v>0-0-0</v>
      </c>
      <c r="AP162" s="2" t="str">
        <f>INDEX(Sheet5!$B$2:$AG$33, MATCH(Table2[[#This Row],[HomeTeam]],Sheet5!$A$2:$A$33, 0), MATCH(Table2[[#This Row],[AwayTeam]],Sheet5!$A$2:$A$33, 0))</f>
        <v>0-0-0</v>
      </c>
      <c r="AQ162" s="2">
        <f>IF(Table2[[#This Row],[GameHasShutOut]], 1, 0)</f>
        <v>0</v>
      </c>
      <c r="AR162" s="2">
        <f>IF(Table2[[#This Row],[ActualAwayScore]] + Table2[[#This Row],[ActualHomeScore]] &gt;= 10, 1, 0)</f>
        <v>0</v>
      </c>
      <c r="AS162" s="2">
        <f>IF(ABS(Table2[[#This Row],[ActualAwayScore]]-Table2[[#This Row],[ActualHomeScore]])&gt;=5, 1, 0)</f>
        <v>0</v>
      </c>
      <c r="AT162" s="2">
        <f>IF(Table2[[#This Row],[ActualAwayScore]] + Table2[[#This Row],[ActualHomeScore]] &lt;= 3, 1, 0)</f>
        <v>1</v>
      </c>
      <c r="AU162" s="2"/>
      <c r="AV162" s="2"/>
    </row>
    <row r="163" spans="1:48" x14ac:dyDescent="0.25">
      <c r="A163" s="3"/>
      <c r="B163" s="3">
        <v>45959</v>
      </c>
      <c r="C163" s="5">
        <v>2025020161</v>
      </c>
      <c r="D163" s="2" t="s">
        <v>31</v>
      </c>
      <c r="E163" s="2" t="s">
        <v>25</v>
      </c>
      <c r="F163" s="2"/>
      <c r="G163" s="2"/>
      <c r="H163" s="2" t="str">
        <f t="shared" si="14"/>
        <v>_</v>
      </c>
      <c r="I163" s="2"/>
      <c r="J163" s="2"/>
      <c r="K163" s="2"/>
      <c r="L163" s="2" t="str">
        <f t="shared" si="15"/>
        <v>_</v>
      </c>
      <c r="M163" s="2"/>
      <c r="N163" s="2">
        <f>IF(ISBLANK(Table2[[#This Row],[ActualResult]]), 0, 1)</f>
        <v>0</v>
      </c>
      <c r="O163" s="2" t="str">
        <f>IF(ISBLANK(Table2[[#This Row],[ActualResult]]), "_", IF(Table2[[#This Row],[ActualWinner]]=Table2[[#This Row],[PredictedWinner]], "Y", "N"))</f>
        <v>_</v>
      </c>
      <c r="P1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3" s="2"/>
      <c r="S163" s="2" t="str">
        <f t="shared" si="16"/>
        <v>_</v>
      </c>
      <c r="T1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3" s="2">
        <f>IF(Table2[[#This Row],[InterConf]]=1,IF(Table2[[#This Row],[InterDiv]]=0, 1, 0), 0)</f>
        <v>0</v>
      </c>
      <c r="W1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3" s="2"/>
      <c r="Y163" s="2"/>
      <c r="Z163" s="145">
        <f>IF(AND(Table2[[#This Row],[GameIsOver]]=1,Table2[[#This Row],[ActualHomeScore]]*Table2[[#This Row],[ActualAwayScore]]=0), 1,0)</f>
        <v>0</v>
      </c>
      <c r="AA1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3" s="2">
        <f>Table2[[#This Row],[ActualAwayScore]]-Table2[[#This Row],[PredictedAwayScore]]</f>
        <v>0</v>
      </c>
      <c r="AG163" s="2">
        <f>Table2[[#This Row],[ActualHomeScore]]-Table2[[#This Row],[PredictedHomeScore]]</f>
        <v>0</v>
      </c>
      <c r="AH163" s="2">
        <f t="shared" si="17"/>
        <v>0</v>
      </c>
      <c r="AI163" s="2">
        <f t="shared" si="18"/>
        <v>0</v>
      </c>
      <c r="AJ163" s="2"/>
      <c r="AK163" s="2"/>
      <c r="AL163" s="2">
        <f>IF(Table2[[#This Row],[GameIsOver]]=0,0,IF(Table2[[#This Row],[ActualWinner]]=Table2[[#This Row],[AwayTeam]], 1, 0))</f>
        <v>0</v>
      </c>
      <c r="AM163" s="2">
        <f>IF(Table2[[#This Row],[GameIsOver]]=0,0,IF(Table2[[#This Row],[ActualWinner]]=Table2[[#This Row],[HomeTeam]], 1, 0))</f>
        <v>0</v>
      </c>
      <c r="AN1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3" s="2" t="str">
        <f>INDEX(Sheet5!$B$2:$AG$33, MATCH(Table2[[#This Row],[AwayTeam]],Sheet5!$A$2:$A$33, 0), MATCH(Table2[[#This Row],[HomeTeam]],Sheet5!$A$2:$A$33, 0))</f>
        <v>0-0-0</v>
      </c>
      <c r="AP163" s="2" t="str">
        <f>INDEX(Sheet5!$B$2:$AG$33, MATCH(Table2[[#This Row],[HomeTeam]],Sheet5!$A$2:$A$33, 0), MATCH(Table2[[#This Row],[AwayTeam]],Sheet5!$A$2:$A$33, 0))</f>
        <v>0-0-0</v>
      </c>
      <c r="AQ163" s="2">
        <f>IF(Table2[[#This Row],[GameHasShutOut]], 1, 0)</f>
        <v>0</v>
      </c>
      <c r="AR163" s="2">
        <f>IF(Table2[[#This Row],[ActualAwayScore]] + Table2[[#This Row],[ActualHomeScore]] &gt;= 10, 1, 0)</f>
        <v>0</v>
      </c>
      <c r="AS163" s="2">
        <f>IF(ABS(Table2[[#This Row],[ActualAwayScore]]-Table2[[#This Row],[ActualHomeScore]])&gt;=5, 1, 0)</f>
        <v>0</v>
      </c>
      <c r="AT163" s="2">
        <f>IF(Table2[[#This Row],[ActualAwayScore]] + Table2[[#This Row],[ActualHomeScore]] &lt;= 3, 1, 0)</f>
        <v>1</v>
      </c>
      <c r="AU163" s="2"/>
      <c r="AV163" s="2"/>
    </row>
    <row r="164" spans="1:48" x14ac:dyDescent="0.25">
      <c r="A164" s="3"/>
      <c r="B164" s="3">
        <v>45959</v>
      </c>
      <c r="C164" s="5">
        <v>2025020162</v>
      </c>
      <c r="D164" s="2" t="s">
        <v>14</v>
      </c>
      <c r="E164" s="2" t="s">
        <v>22</v>
      </c>
      <c r="F164" s="2"/>
      <c r="G164" s="2"/>
      <c r="H164" s="2" t="str">
        <f t="shared" si="14"/>
        <v>_</v>
      </c>
      <c r="I164" s="2"/>
      <c r="J164" s="2"/>
      <c r="K164" s="2"/>
      <c r="L164" s="2" t="str">
        <f t="shared" si="15"/>
        <v>_</v>
      </c>
      <c r="M164" s="2"/>
      <c r="N164" s="2">
        <f>IF(ISBLANK(Table2[[#This Row],[ActualResult]]), 0, 1)</f>
        <v>0</v>
      </c>
      <c r="O164" s="2" t="str">
        <f>IF(ISBLANK(Table2[[#This Row],[ActualResult]]), "_", IF(Table2[[#This Row],[ActualWinner]]=Table2[[#This Row],[PredictedWinner]], "Y", "N"))</f>
        <v>_</v>
      </c>
      <c r="P1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4" s="2"/>
      <c r="S164" s="2" t="str">
        <f t="shared" si="16"/>
        <v>_</v>
      </c>
      <c r="T1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4" s="2">
        <f>IF(Table2[[#This Row],[InterConf]]=1,IF(Table2[[#This Row],[InterDiv]]=0, 1, 0), 0)</f>
        <v>1</v>
      </c>
      <c r="W1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4" s="2"/>
      <c r="Y164" s="2"/>
      <c r="Z164" s="145">
        <f>IF(AND(Table2[[#This Row],[GameIsOver]]=1,Table2[[#This Row],[ActualHomeScore]]*Table2[[#This Row],[ActualAwayScore]]=0), 1,0)</f>
        <v>0</v>
      </c>
      <c r="AA1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4" s="2">
        <f>Table2[[#This Row],[ActualAwayScore]]-Table2[[#This Row],[PredictedAwayScore]]</f>
        <v>0</v>
      </c>
      <c r="AG164" s="2">
        <f>Table2[[#This Row],[ActualHomeScore]]-Table2[[#This Row],[PredictedHomeScore]]</f>
        <v>0</v>
      </c>
      <c r="AH164" s="2">
        <f t="shared" si="17"/>
        <v>0</v>
      </c>
      <c r="AI164" s="2">
        <f t="shared" si="18"/>
        <v>0</v>
      </c>
      <c r="AJ164" s="2"/>
      <c r="AK164" s="2"/>
      <c r="AL164" s="2">
        <f>IF(Table2[[#This Row],[GameIsOver]]=0,0,IF(Table2[[#This Row],[ActualWinner]]=Table2[[#This Row],[AwayTeam]], 1, 0))</f>
        <v>0</v>
      </c>
      <c r="AM164" s="2">
        <f>IF(Table2[[#This Row],[GameIsOver]]=0,0,IF(Table2[[#This Row],[ActualWinner]]=Table2[[#This Row],[HomeTeam]], 1, 0))</f>
        <v>0</v>
      </c>
      <c r="AN1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4" s="2" t="str">
        <f>INDEX(Sheet5!$B$2:$AG$33, MATCH(Table2[[#This Row],[AwayTeam]],Sheet5!$A$2:$A$33, 0), MATCH(Table2[[#This Row],[HomeTeam]],Sheet5!$A$2:$A$33, 0))</f>
        <v>0-0-0</v>
      </c>
      <c r="AP164" s="2" t="str">
        <f>INDEX(Sheet5!$B$2:$AG$33, MATCH(Table2[[#This Row],[HomeTeam]],Sheet5!$A$2:$A$33, 0), MATCH(Table2[[#This Row],[AwayTeam]],Sheet5!$A$2:$A$33, 0))</f>
        <v>0-0-0</v>
      </c>
      <c r="AQ164" s="2">
        <f>IF(Table2[[#This Row],[GameHasShutOut]], 1, 0)</f>
        <v>0</v>
      </c>
      <c r="AR164" s="2">
        <f>IF(Table2[[#This Row],[ActualAwayScore]] + Table2[[#This Row],[ActualHomeScore]] &gt;= 10, 1, 0)</f>
        <v>0</v>
      </c>
      <c r="AS164" s="2">
        <f>IF(ABS(Table2[[#This Row],[ActualAwayScore]]-Table2[[#This Row],[ActualHomeScore]])&gt;=5, 1, 0)</f>
        <v>0</v>
      </c>
      <c r="AT164" s="2">
        <f>IF(Table2[[#This Row],[ActualAwayScore]] + Table2[[#This Row],[ActualHomeScore]] &lt;= 3, 1, 0)</f>
        <v>1</v>
      </c>
      <c r="AU164" s="2"/>
      <c r="AV164" s="2"/>
    </row>
    <row r="165" spans="1:48" x14ac:dyDescent="0.25">
      <c r="A165" s="3"/>
      <c r="B165" s="3">
        <v>45959</v>
      </c>
      <c r="C165" s="5">
        <v>2025020163</v>
      </c>
      <c r="D165" s="2" t="s">
        <v>19</v>
      </c>
      <c r="E165" s="2" t="s">
        <v>24</v>
      </c>
      <c r="F165" s="2"/>
      <c r="G165" s="2"/>
      <c r="H165" s="2" t="str">
        <f t="shared" si="14"/>
        <v>_</v>
      </c>
      <c r="I165" s="2"/>
      <c r="J165" s="2"/>
      <c r="K165" s="2"/>
      <c r="L165" s="2" t="str">
        <f t="shared" si="15"/>
        <v>_</v>
      </c>
      <c r="M165" s="2"/>
      <c r="N165" s="2">
        <f>IF(ISBLANK(Table2[[#This Row],[ActualResult]]), 0, 1)</f>
        <v>0</v>
      </c>
      <c r="O165" s="2" t="str">
        <f>IF(ISBLANK(Table2[[#This Row],[ActualResult]]), "_", IF(Table2[[#This Row],[ActualWinner]]=Table2[[#This Row],[PredictedWinner]], "Y", "N"))</f>
        <v>_</v>
      </c>
      <c r="P1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5" s="2"/>
      <c r="S165" s="2" t="str">
        <f t="shared" si="16"/>
        <v>_</v>
      </c>
      <c r="T1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5" s="2">
        <f>IF(Table2[[#This Row],[InterConf]]=1,IF(Table2[[#This Row],[InterDiv]]=0, 1, 0), 0)</f>
        <v>0</v>
      </c>
      <c r="W1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5" s="2"/>
      <c r="Y165" s="2"/>
      <c r="Z165" s="145">
        <f>IF(AND(Table2[[#This Row],[GameIsOver]]=1,Table2[[#This Row],[ActualHomeScore]]*Table2[[#This Row],[ActualAwayScore]]=0), 1,0)</f>
        <v>0</v>
      </c>
      <c r="AA1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5" s="2">
        <f>Table2[[#This Row],[ActualAwayScore]]-Table2[[#This Row],[PredictedAwayScore]]</f>
        <v>0</v>
      </c>
      <c r="AG165" s="2">
        <f>Table2[[#This Row],[ActualHomeScore]]-Table2[[#This Row],[PredictedHomeScore]]</f>
        <v>0</v>
      </c>
      <c r="AH165" s="2">
        <f t="shared" si="17"/>
        <v>0</v>
      </c>
      <c r="AI165" s="2">
        <f t="shared" si="18"/>
        <v>0</v>
      </c>
      <c r="AJ165" s="2"/>
      <c r="AK165" s="2"/>
      <c r="AL165" s="2">
        <f>IF(Table2[[#This Row],[GameIsOver]]=0,0,IF(Table2[[#This Row],[ActualWinner]]=Table2[[#This Row],[AwayTeam]], 1, 0))</f>
        <v>0</v>
      </c>
      <c r="AM165" s="2">
        <f>IF(Table2[[#This Row],[GameIsOver]]=0,0,IF(Table2[[#This Row],[ActualWinner]]=Table2[[#This Row],[HomeTeam]], 1, 0))</f>
        <v>0</v>
      </c>
      <c r="AN1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5" s="2" t="str">
        <f>INDEX(Sheet5!$B$2:$AG$33, MATCH(Table2[[#This Row],[AwayTeam]],Sheet5!$A$2:$A$33, 0), MATCH(Table2[[#This Row],[HomeTeam]],Sheet5!$A$2:$A$33, 0))</f>
        <v>0-0-0</v>
      </c>
      <c r="AP165" s="2" t="str">
        <f>INDEX(Sheet5!$B$2:$AG$33, MATCH(Table2[[#This Row],[HomeTeam]],Sheet5!$A$2:$A$33, 0), MATCH(Table2[[#This Row],[AwayTeam]],Sheet5!$A$2:$A$33, 0))</f>
        <v>0-0-0</v>
      </c>
      <c r="AQ165" s="2">
        <f>IF(Table2[[#This Row],[GameHasShutOut]], 1, 0)</f>
        <v>0</v>
      </c>
      <c r="AR165" s="2">
        <f>IF(Table2[[#This Row],[ActualAwayScore]] + Table2[[#This Row],[ActualHomeScore]] &gt;= 10, 1, 0)</f>
        <v>0</v>
      </c>
      <c r="AS165" s="2">
        <f>IF(ABS(Table2[[#This Row],[ActualAwayScore]]-Table2[[#This Row],[ActualHomeScore]])&gt;=5, 1, 0)</f>
        <v>0</v>
      </c>
      <c r="AT165" s="2">
        <f>IF(Table2[[#This Row],[ActualAwayScore]] + Table2[[#This Row],[ActualHomeScore]] &lt;= 3, 1, 0)</f>
        <v>1</v>
      </c>
      <c r="AU165" s="2"/>
      <c r="AV165" s="2"/>
    </row>
    <row r="166" spans="1:48" x14ac:dyDescent="0.25">
      <c r="A166" s="3"/>
      <c r="B166" s="3">
        <v>45959</v>
      </c>
      <c r="C166" s="5">
        <v>2025020164</v>
      </c>
      <c r="D166" s="2" t="s">
        <v>18</v>
      </c>
      <c r="E166" s="2" t="s">
        <v>11</v>
      </c>
      <c r="F166" s="2"/>
      <c r="G166" s="2"/>
      <c r="H166" s="2" t="str">
        <f t="shared" si="14"/>
        <v>_</v>
      </c>
      <c r="I166" s="2"/>
      <c r="J166" s="2"/>
      <c r="K166" s="2"/>
      <c r="L166" s="2" t="str">
        <f t="shared" si="15"/>
        <v>_</v>
      </c>
      <c r="M166" s="2"/>
      <c r="N166" s="2">
        <f>IF(ISBLANK(Table2[[#This Row],[ActualResult]]), 0, 1)</f>
        <v>0</v>
      </c>
      <c r="O166" s="2" t="str">
        <f>IF(ISBLANK(Table2[[#This Row],[ActualResult]]), "_", IF(Table2[[#This Row],[ActualWinner]]=Table2[[#This Row],[PredictedWinner]], "Y", "N"))</f>
        <v>_</v>
      </c>
      <c r="P1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6" s="2"/>
      <c r="S166" s="2" t="str">
        <f t="shared" si="16"/>
        <v>_</v>
      </c>
      <c r="T1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6" s="2">
        <f>IF(Table2[[#This Row],[InterConf]]=1,IF(Table2[[#This Row],[InterDiv]]=0, 1, 0), 0)</f>
        <v>0</v>
      </c>
      <c r="W1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6" s="2"/>
      <c r="Y166" s="2"/>
      <c r="Z166" s="145">
        <f>IF(AND(Table2[[#This Row],[GameIsOver]]=1,Table2[[#This Row],[ActualHomeScore]]*Table2[[#This Row],[ActualAwayScore]]=0), 1,0)</f>
        <v>0</v>
      </c>
      <c r="AA1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6" s="2">
        <f>Table2[[#This Row],[ActualAwayScore]]-Table2[[#This Row],[PredictedAwayScore]]</f>
        <v>0</v>
      </c>
      <c r="AG166" s="2">
        <f>Table2[[#This Row],[ActualHomeScore]]-Table2[[#This Row],[PredictedHomeScore]]</f>
        <v>0</v>
      </c>
      <c r="AH166" s="2">
        <f t="shared" si="17"/>
        <v>0</v>
      </c>
      <c r="AI166" s="2">
        <f t="shared" si="18"/>
        <v>0</v>
      </c>
      <c r="AJ166" s="2"/>
      <c r="AK166" s="2"/>
      <c r="AL166" s="2">
        <f>IF(Table2[[#This Row],[GameIsOver]]=0,0,IF(Table2[[#This Row],[ActualWinner]]=Table2[[#This Row],[AwayTeam]], 1, 0))</f>
        <v>0</v>
      </c>
      <c r="AM166" s="2">
        <f>IF(Table2[[#This Row],[GameIsOver]]=0,0,IF(Table2[[#This Row],[ActualWinner]]=Table2[[#This Row],[HomeTeam]], 1, 0))</f>
        <v>0</v>
      </c>
      <c r="AN1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6" s="2" t="str">
        <f>INDEX(Sheet5!$B$2:$AG$33, MATCH(Table2[[#This Row],[AwayTeam]],Sheet5!$A$2:$A$33, 0), MATCH(Table2[[#This Row],[HomeTeam]],Sheet5!$A$2:$A$33, 0))</f>
        <v>1-0-0</v>
      </c>
      <c r="AP166" s="2" t="str">
        <f>INDEX(Sheet5!$B$2:$AG$33, MATCH(Table2[[#This Row],[HomeTeam]],Sheet5!$A$2:$A$33, 0), MATCH(Table2[[#This Row],[AwayTeam]],Sheet5!$A$2:$A$33, 0))</f>
        <v>0-0-1</v>
      </c>
      <c r="AQ166" s="2">
        <f>IF(Table2[[#This Row],[GameHasShutOut]], 1, 0)</f>
        <v>0</v>
      </c>
      <c r="AR166" s="2">
        <f>IF(Table2[[#This Row],[ActualAwayScore]] + Table2[[#This Row],[ActualHomeScore]] &gt;= 10, 1, 0)</f>
        <v>0</v>
      </c>
      <c r="AS166" s="2">
        <f>IF(ABS(Table2[[#This Row],[ActualAwayScore]]-Table2[[#This Row],[ActualHomeScore]])&gt;=5, 1, 0)</f>
        <v>0</v>
      </c>
      <c r="AT166" s="2">
        <f>IF(Table2[[#This Row],[ActualAwayScore]] + Table2[[#This Row],[ActualHomeScore]] &lt;= 3, 1, 0)</f>
        <v>1</v>
      </c>
      <c r="AU166" s="2"/>
      <c r="AV166" s="2"/>
    </row>
    <row r="167" spans="1:48" x14ac:dyDescent="0.25">
      <c r="A167" s="3"/>
      <c r="B167" s="3">
        <v>45959</v>
      </c>
      <c r="C167" s="5">
        <v>2025020165</v>
      </c>
      <c r="D167" s="2" t="s">
        <v>27</v>
      </c>
      <c r="E167" s="2" t="s">
        <v>37</v>
      </c>
      <c r="F167" s="2"/>
      <c r="G167" s="2"/>
      <c r="H167" s="2" t="str">
        <f t="shared" si="14"/>
        <v>_</v>
      </c>
      <c r="I167" s="2"/>
      <c r="J167" s="2"/>
      <c r="K167" s="2"/>
      <c r="L167" s="2" t="str">
        <f t="shared" si="15"/>
        <v>_</v>
      </c>
      <c r="M167" s="2"/>
      <c r="N167" s="2">
        <f>IF(ISBLANK(Table2[[#This Row],[ActualResult]]), 0, 1)</f>
        <v>0</v>
      </c>
      <c r="O167" s="2" t="str">
        <f>IF(ISBLANK(Table2[[#This Row],[ActualResult]]), "_", IF(Table2[[#This Row],[ActualWinner]]=Table2[[#This Row],[PredictedWinner]], "Y", "N"))</f>
        <v>_</v>
      </c>
      <c r="P1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7" s="2"/>
      <c r="S167" s="2" t="str">
        <f t="shared" si="16"/>
        <v>_</v>
      </c>
      <c r="T1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67" s="2">
        <f>IF(Table2[[#This Row],[InterConf]]=1,IF(Table2[[#This Row],[InterDiv]]=0, 1, 0), 0)</f>
        <v>0</v>
      </c>
      <c r="W1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7" s="2"/>
      <c r="Y167" s="2"/>
      <c r="Z167" s="145">
        <f>IF(AND(Table2[[#This Row],[GameIsOver]]=1,Table2[[#This Row],[ActualHomeScore]]*Table2[[#This Row],[ActualAwayScore]]=0), 1,0)</f>
        <v>0</v>
      </c>
      <c r="AA1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7" s="2">
        <f>Table2[[#This Row],[ActualAwayScore]]-Table2[[#This Row],[PredictedAwayScore]]</f>
        <v>0</v>
      </c>
      <c r="AG167" s="2">
        <f>Table2[[#This Row],[ActualHomeScore]]-Table2[[#This Row],[PredictedHomeScore]]</f>
        <v>0</v>
      </c>
      <c r="AH167" s="2">
        <f t="shared" si="17"/>
        <v>0</v>
      </c>
      <c r="AI167" s="2">
        <f t="shared" si="18"/>
        <v>0</v>
      </c>
      <c r="AJ167" s="2"/>
      <c r="AK167" s="2"/>
      <c r="AL167" s="2">
        <f>IF(Table2[[#This Row],[GameIsOver]]=0,0,IF(Table2[[#This Row],[ActualWinner]]=Table2[[#This Row],[AwayTeam]], 1, 0))</f>
        <v>0</v>
      </c>
      <c r="AM167" s="2">
        <f>IF(Table2[[#This Row],[GameIsOver]]=0,0,IF(Table2[[#This Row],[ActualWinner]]=Table2[[#This Row],[HomeTeam]], 1, 0))</f>
        <v>0</v>
      </c>
      <c r="AN167" s="2">
        <f>IF(IFERROR(FIND(Table2[[#This Row],[AwayTeam]], _xlfn.TEXTJOIN(";", 1, $BD$31:$BD$40)), 0) &gt; 0, 1, 0) + IF(IFERROR(FIND(Table2[[#This Row],[HomeTeam]], _xlfn.TEXTJOIN(";", 1, $BD$31:$BD$40)), 0) &gt; 0, 1, 0)</f>
        <v>1</v>
      </c>
      <c r="AO167" s="2" t="str">
        <f>INDEX(Sheet5!$B$2:$AG$33, MATCH(Table2[[#This Row],[AwayTeam]],Sheet5!$A$2:$A$33, 0), MATCH(Table2[[#This Row],[HomeTeam]],Sheet5!$A$2:$A$33, 0))</f>
        <v>0-0-0</v>
      </c>
      <c r="AP167" s="2" t="str">
        <f>INDEX(Sheet5!$B$2:$AG$33, MATCH(Table2[[#This Row],[HomeTeam]],Sheet5!$A$2:$A$33, 0), MATCH(Table2[[#This Row],[AwayTeam]],Sheet5!$A$2:$A$33, 0))</f>
        <v>0-0-0</v>
      </c>
      <c r="AQ167" s="2">
        <f>IF(Table2[[#This Row],[GameHasShutOut]], 1, 0)</f>
        <v>0</v>
      </c>
      <c r="AR167" s="2">
        <f>IF(Table2[[#This Row],[ActualAwayScore]] + Table2[[#This Row],[ActualHomeScore]] &gt;= 10, 1, 0)</f>
        <v>0</v>
      </c>
      <c r="AS167" s="2">
        <f>IF(ABS(Table2[[#This Row],[ActualAwayScore]]-Table2[[#This Row],[ActualHomeScore]])&gt;=5, 1, 0)</f>
        <v>0</v>
      </c>
      <c r="AT167" s="2">
        <f>IF(Table2[[#This Row],[ActualAwayScore]] + Table2[[#This Row],[ActualHomeScore]] &lt;= 3, 1, 0)</f>
        <v>1</v>
      </c>
      <c r="AU167" s="2"/>
      <c r="AV167" s="2"/>
    </row>
    <row r="168" spans="1:48" x14ac:dyDescent="0.25">
      <c r="A168" s="3"/>
      <c r="B168" s="3">
        <v>45959</v>
      </c>
      <c r="C168" s="5">
        <v>2025020166</v>
      </c>
      <c r="D168" s="2" t="s">
        <v>17</v>
      </c>
      <c r="E168" s="2" t="s">
        <v>35</v>
      </c>
      <c r="F168" s="2"/>
      <c r="G168" s="2"/>
      <c r="H168" s="2" t="str">
        <f t="shared" si="14"/>
        <v>_</v>
      </c>
      <c r="I168" s="2"/>
      <c r="J168" s="2"/>
      <c r="K168" s="2"/>
      <c r="L168" s="2" t="str">
        <f t="shared" si="15"/>
        <v>_</v>
      </c>
      <c r="M168" s="2"/>
      <c r="N168" s="2">
        <f>IF(ISBLANK(Table2[[#This Row],[ActualResult]]), 0, 1)</f>
        <v>0</v>
      </c>
      <c r="O168" s="2" t="str">
        <f>IF(ISBLANK(Table2[[#This Row],[ActualResult]]), "_", IF(Table2[[#This Row],[ActualWinner]]=Table2[[#This Row],[PredictedWinner]], "Y", "N"))</f>
        <v>_</v>
      </c>
      <c r="P1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8" s="2"/>
      <c r="S168" s="2" t="str">
        <f t="shared" si="16"/>
        <v>_</v>
      </c>
      <c r="T1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8" s="2">
        <f>IF(Table2[[#This Row],[InterConf]]=1,IF(Table2[[#This Row],[InterDiv]]=0, 1, 0), 0)</f>
        <v>1</v>
      </c>
      <c r="W1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8" s="2"/>
      <c r="Y168" s="2"/>
      <c r="Z168" s="145">
        <f>IF(AND(Table2[[#This Row],[GameIsOver]]=1,Table2[[#This Row],[ActualHomeScore]]*Table2[[#This Row],[ActualAwayScore]]=0), 1,0)</f>
        <v>0</v>
      </c>
      <c r="AA1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8" s="2">
        <f>Table2[[#This Row],[ActualAwayScore]]-Table2[[#This Row],[PredictedAwayScore]]</f>
        <v>0</v>
      </c>
      <c r="AG168" s="2">
        <f>Table2[[#This Row],[ActualHomeScore]]-Table2[[#This Row],[PredictedHomeScore]]</f>
        <v>0</v>
      </c>
      <c r="AH168" s="2">
        <f t="shared" si="17"/>
        <v>0</v>
      </c>
      <c r="AI168" s="2">
        <f t="shared" si="18"/>
        <v>0</v>
      </c>
      <c r="AJ168" s="2"/>
      <c r="AK168" s="2"/>
      <c r="AL168" s="2">
        <f>IF(Table2[[#This Row],[GameIsOver]]=0,0,IF(Table2[[#This Row],[ActualWinner]]=Table2[[#This Row],[AwayTeam]], 1, 0))</f>
        <v>0</v>
      </c>
      <c r="AM168" s="2">
        <f>IF(Table2[[#This Row],[GameIsOver]]=0,0,IF(Table2[[#This Row],[ActualWinner]]=Table2[[#This Row],[HomeTeam]], 1, 0))</f>
        <v>0</v>
      </c>
      <c r="AN1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8" s="2" t="str">
        <f>INDEX(Sheet5!$B$2:$AG$33, MATCH(Table2[[#This Row],[AwayTeam]],Sheet5!$A$2:$A$33, 0), MATCH(Table2[[#This Row],[HomeTeam]],Sheet5!$A$2:$A$33, 0))</f>
        <v>0-0-0</v>
      </c>
      <c r="AP168" s="2" t="str">
        <f>INDEX(Sheet5!$B$2:$AG$33, MATCH(Table2[[#This Row],[HomeTeam]],Sheet5!$A$2:$A$33, 0), MATCH(Table2[[#This Row],[AwayTeam]],Sheet5!$A$2:$A$33, 0))</f>
        <v>0-0-0</v>
      </c>
      <c r="AQ168" s="2">
        <f>IF(Table2[[#This Row],[GameHasShutOut]], 1, 0)</f>
        <v>0</v>
      </c>
      <c r="AR168" s="2">
        <f>IF(Table2[[#This Row],[ActualAwayScore]] + Table2[[#This Row],[ActualHomeScore]] &gt;= 10, 1, 0)</f>
        <v>0</v>
      </c>
      <c r="AS168" s="2">
        <f>IF(ABS(Table2[[#This Row],[ActualAwayScore]]-Table2[[#This Row],[ActualHomeScore]])&gt;=5, 1, 0)</f>
        <v>0</v>
      </c>
      <c r="AT168" s="2">
        <f>IF(Table2[[#This Row],[ActualAwayScore]] + Table2[[#This Row],[ActualHomeScore]] &lt;= 3, 1, 0)</f>
        <v>1</v>
      </c>
      <c r="AU168" s="2"/>
      <c r="AV168" s="2"/>
    </row>
    <row r="169" spans="1:48" x14ac:dyDescent="0.25">
      <c r="A169" s="3"/>
      <c r="B169" s="3">
        <v>45960</v>
      </c>
      <c r="C169" s="5">
        <v>2025020167</v>
      </c>
      <c r="D169" s="2" t="s">
        <v>28</v>
      </c>
      <c r="E169" s="2" t="s">
        <v>15</v>
      </c>
      <c r="F169" s="2"/>
      <c r="G169" s="2"/>
      <c r="H169" s="2" t="str">
        <f t="shared" si="14"/>
        <v>_</v>
      </c>
      <c r="I169" s="2"/>
      <c r="J169" s="2"/>
      <c r="K169" s="2"/>
      <c r="L169" s="2" t="str">
        <f t="shared" si="15"/>
        <v>_</v>
      </c>
      <c r="M169" s="2"/>
      <c r="N169" s="2">
        <f>IF(ISBLANK(Table2[[#This Row],[ActualResult]]), 0, 1)</f>
        <v>0</v>
      </c>
      <c r="O169" s="2" t="str">
        <f>IF(ISBLANK(Table2[[#This Row],[ActualResult]]), "_", IF(Table2[[#This Row],[ActualWinner]]=Table2[[#This Row],[PredictedWinner]], "Y", "N"))</f>
        <v>_</v>
      </c>
      <c r="P1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9" s="2"/>
      <c r="S169" s="2" t="str">
        <f t="shared" si="16"/>
        <v>_</v>
      </c>
      <c r="T1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69" s="2">
        <f>IF(Table2[[#This Row],[InterConf]]=1,IF(Table2[[#This Row],[InterDiv]]=0, 1, 0), 0)</f>
        <v>0</v>
      </c>
      <c r="W1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9" s="2"/>
      <c r="Y169" s="2"/>
      <c r="Z169" s="145">
        <f>IF(AND(Table2[[#This Row],[GameIsOver]]=1,Table2[[#This Row],[ActualHomeScore]]*Table2[[#This Row],[ActualAwayScore]]=0), 1,0)</f>
        <v>0</v>
      </c>
      <c r="AA1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69" s="2">
        <f>Table2[[#This Row],[ActualAwayScore]]-Table2[[#This Row],[PredictedAwayScore]]</f>
        <v>0</v>
      </c>
      <c r="AG169" s="2">
        <f>Table2[[#This Row],[ActualHomeScore]]-Table2[[#This Row],[PredictedHomeScore]]</f>
        <v>0</v>
      </c>
      <c r="AH169" s="2">
        <f t="shared" si="17"/>
        <v>0</v>
      </c>
      <c r="AI169" s="2">
        <f t="shared" si="18"/>
        <v>0</v>
      </c>
      <c r="AJ169" s="2"/>
      <c r="AK169" s="2"/>
      <c r="AL169" s="2">
        <f>IF(Table2[[#This Row],[GameIsOver]]=0,0,IF(Table2[[#This Row],[ActualWinner]]=Table2[[#This Row],[AwayTeam]], 1, 0))</f>
        <v>0</v>
      </c>
      <c r="AM169" s="2">
        <f>IF(Table2[[#This Row],[GameIsOver]]=0,0,IF(Table2[[#This Row],[ActualWinner]]=Table2[[#This Row],[HomeTeam]], 1, 0))</f>
        <v>0</v>
      </c>
      <c r="AN1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9" s="2" t="str">
        <f>INDEX(Sheet5!$B$2:$AG$33, MATCH(Table2[[#This Row],[AwayTeam]],Sheet5!$A$2:$A$33, 0), MATCH(Table2[[#This Row],[HomeTeam]],Sheet5!$A$2:$A$33, 0))</f>
        <v>0-1-0</v>
      </c>
      <c r="AP169" s="2" t="str">
        <f>INDEX(Sheet5!$B$2:$AG$33, MATCH(Table2[[#This Row],[HomeTeam]],Sheet5!$A$2:$A$33, 0), MATCH(Table2[[#This Row],[AwayTeam]],Sheet5!$A$2:$A$33, 0))</f>
        <v>1-0-0</v>
      </c>
      <c r="AQ169" s="2">
        <f>IF(Table2[[#This Row],[GameHasShutOut]], 1, 0)</f>
        <v>0</v>
      </c>
      <c r="AR169" s="2">
        <f>IF(Table2[[#This Row],[ActualAwayScore]] + Table2[[#This Row],[ActualHomeScore]] &gt;= 10, 1, 0)</f>
        <v>0</v>
      </c>
      <c r="AS169" s="2">
        <f>IF(ABS(Table2[[#This Row],[ActualAwayScore]]-Table2[[#This Row],[ActualHomeScore]])&gt;=5, 1, 0)</f>
        <v>0</v>
      </c>
      <c r="AT169" s="2">
        <f>IF(Table2[[#This Row],[ActualAwayScore]] + Table2[[#This Row],[ActualHomeScore]] &lt;= 3, 1, 0)</f>
        <v>1</v>
      </c>
      <c r="AU169" s="2"/>
      <c r="AV169" s="2"/>
    </row>
    <row r="170" spans="1:48" x14ac:dyDescent="0.25">
      <c r="A170" s="3"/>
      <c r="B170" s="3">
        <v>45960</v>
      </c>
      <c r="C170" s="5">
        <v>2025020168</v>
      </c>
      <c r="D170" s="2" t="s">
        <v>23</v>
      </c>
      <c r="E170" s="2" t="s">
        <v>29</v>
      </c>
      <c r="F170" s="2"/>
      <c r="G170" s="2"/>
      <c r="H170" s="2" t="str">
        <f t="shared" si="14"/>
        <v>_</v>
      </c>
      <c r="I170" s="2"/>
      <c r="J170" s="2"/>
      <c r="K170" s="2"/>
      <c r="L170" s="2" t="str">
        <f t="shared" si="15"/>
        <v>_</v>
      </c>
      <c r="M170" s="2"/>
      <c r="N170" s="2">
        <f>IF(ISBLANK(Table2[[#This Row],[ActualResult]]), 0, 1)</f>
        <v>0</v>
      </c>
      <c r="O170" s="2" t="str">
        <f>IF(ISBLANK(Table2[[#This Row],[ActualResult]]), "_", IF(Table2[[#This Row],[ActualWinner]]=Table2[[#This Row],[PredictedWinner]], "Y", "N"))</f>
        <v>_</v>
      </c>
      <c r="P1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0" s="2"/>
      <c r="S170" s="2" t="str">
        <f t="shared" si="16"/>
        <v>_</v>
      </c>
      <c r="T1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0" s="2">
        <f>IF(Table2[[#This Row],[InterConf]]=1,IF(Table2[[#This Row],[InterDiv]]=0, 1, 0), 0)</f>
        <v>0</v>
      </c>
      <c r="W1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0" s="2"/>
      <c r="Y170" s="2"/>
      <c r="Z170" s="145">
        <f>IF(AND(Table2[[#This Row],[GameIsOver]]=1,Table2[[#This Row],[ActualHomeScore]]*Table2[[#This Row],[ActualAwayScore]]=0), 1,0)</f>
        <v>0</v>
      </c>
      <c r="AA1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0" s="2">
        <f>Table2[[#This Row],[ActualAwayScore]]-Table2[[#This Row],[PredictedAwayScore]]</f>
        <v>0</v>
      </c>
      <c r="AG170" s="2">
        <f>Table2[[#This Row],[ActualHomeScore]]-Table2[[#This Row],[PredictedHomeScore]]</f>
        <v>0</v>
      </c>
      <c r="AH170" s="2">
        <f t="shared" si="17"/>
        <v>0</v>
      </c>
      <c r="AI170" s="2">
        <f t="shared" si="18"/>
        <v>0</v>
      </c>
      <c r="AJ170" s="2"/>
      <c r="AK170" s="2"/>
      <c r="AL170" s="2">
        <f>IF(Table2[[#This Row],[GameIsOver]]=0,0,IF(Table2[[#This Row],[ActualWinner]]=Table2[[#This Row],[AwayTeam]], 1, 0))</f>
        <v>0</v>
      </c>
      <c r="AM170" s="2">
        <f>IF(Table2[[#This Row],[GameIsOver]]=0,0,IF(Table2[[#This Row],[ActualWinner]]=Table2[[#This Row],[HomeTeam]], 1, 0))</f>
        <v>0</v>
      </c>
      <c r="AN1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0" s="2" t="str">
        <f>INDEX(Sheet5!$B$2:$AG$33, MATCH(Table2[[#This Row],[AwayTeam]],Sheet5!$A$2:$A$33, 0), MATCH(Table2[[#This Row],[HomeTeam]],Sheet5!$A$2:$A$33, 0))</f>
        <v>0-0-0</v>
      </c>
      <c r="AP170" s="2" t="str">
        <f>INDEX(Sheet5!$B$2:$AG$33, MATCH(Table2[[#This Row],[HomeTeam]],Sheet5!$A$2:$A$33, 0), MATCH(Table2[[#This Row],[AwayTeam]],Sheet5!$A$2:$A$33, 0))</f>
        <v>0-0-0</v>
      </c>
      <c r="AQ170" s="2">
        <f>IF(Table2[[#This Row],[GameHasShutOut]], 1, 0)</f>
        <v>0</v>
      </c>
      <c r="AR170" s="2">
        <f>IF(Table2[[#This Row],[ActualAwayScore]] + Table2[[#This Row],[ActualHomeScore]] &gt;= 10, 1, 0)</f>
        <v>0</v>
      </c>
      <c r="AS170" s="2">
        <f>IF(ABS(Table2[[#This Row],[ActualAwayScore]]-Table2[[#This Row],[ActualHomeScore]])&gt;=5, 1, 0)</f>
        <v>0</v>
      </c>
      <c r="AT170" s="2">
        <f>IF(Table2[[#This Row],[ActualAwayScore]] + Table2[[#This Row],[ActualHomeScore]] &lt;= 3, 1, 0)</f>
        <v>1</v>
      </c>
      <c r="AU170" s="2"/>
      <c r="AV170" s="2"/>
    </row>
    <row r="171" spans="1:48" x14ac:dyDescent="0.25">
      <c r="A171" s="3"/>
      <c r="B171" s="3">
        <v>45960</v>
      </c>
      <c r="C171" s="5">
        <v>2025020169</v>
      </c>
      <c r="D171" s="2" t="s">
        <v>33</v>
      </c>
      <c r="E171" s="2" t="s">
        <v>40</v>
      </c>
      <c r="F171" s="2"/>
      <c r="G171" s="2"/>
      <c r="H171" s="2" t="str">
        <f t="shared" si="14"/>
        <v>_</v>
      </c>
      <c r="I171" s="2"/>
      <c r="J171" s="2"/>
      <c r="K171" s="2"/>
      <c r="L171" s="2" t="str">
        <f t="shared" si="15"/>
        <v>_</v>
      </c>
      <c r="M171" s="2"/>
      <c r="N171" s="2">
        <f>IF(ISBLANK(Table2[[#This Row],[ActualResult]]), 0, 1)</f>
        <v>0</v>
      </c>
      <c r="O171" s="2" t="str">
        <f>IF(ISBLANK(Table2[[#This Row],[ActualResult]]), "_", IF(Table2[[#This Row],[ActualWinner]]=Table2[[#This Row],[PredictedWinner]], "Y", "N"))</f>
        <v>_</v>
      </c>
      <c r="P1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1" s="2"/>
      <c r="S171" s="2" t="str">
        <f t="shared" si="16"/>
        <v>_</v>
      </c>
      <c r="T1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1" s="2">
        <f>IF(Table2[[#This Row],[InterConf]]=1,IF(Table2[[#This Row],[InterDiv]]=0, 1, 0), 0)</f>
        <v>0</v>
      </c>
      <c r="W1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1" s="2"/>
      <c r="Y171" s="2"/>
      <c r="Z171" s="145">
        <f>IF(AND(Table2[[#This Row],[GameIsOver]]=1,Table2[[#This Row],[ActualHomeScore]]*Table2[[#This Row],[ActualAwayScore]]=0), 1,0)</f>
        <v>0</v>
      </c>
      <c r="AA1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1" s="2">
        <f>Table2[[#This Row],[ActualAwayScore]]-Table2[[#This Row],[PredictedAwayScore]]</f>
        <v>0</v>
      </c>
      <c r="AG171" s="2">
        <f>Table2[[#This Row],[ActualHomeScore]]-Table2[[#This Row],[PredictedHomeScore]]</f>
        <v>0</v>
      </c>
      <c r="AH171" s="2">
        <f t="shared" si="17"/>
        <v>0</v>
      </c>
      <c r="AI171" s="2">
        <f t="shared" si="18"/>
        <v>0</v>
      </c>
      <c r="AJ171" s="2"/>
      <c r="AK171" s="2"/>
      <c r="AL171" s="2">
        <f>IF(Table2[[#This Row],[GameIsOver]]=0,0,IF(Table2[[#This Row],[ActualWinner]]=Table2[[#This Row],[AwayTeam]], 1, 0))</f>
        <v>0</v>
      </c>
      <c r="AM171" s="2">
        <f>IF(Table2[[#This Row],[GameIsOver]]=0,0,IF(Table2[[#This Row],[ActualWinner]]=Table2[[#This Row],[HomeTeam]], 1, 0))</f>
        <v>0</v>
      </c>
      <c r="AN1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1" s="2" t="str">
        <f>INDEX(Sheet5!$B$2:$AG$33, MATCH(Table2[[#This Row],[AwayTeam]],Sheet5!$A$2:$A$33, 0), MATCH(Table2[[#This Row],[HomeTeam]],Sheet5!$A$2:$A$33, 0))</f>
        <v>0-0-0</v>
      </c>
      <c r="AP171" s="2" t="str">
        <f>INDEX(Sheet5!$B$2:$AG$33, MATCH(Table2[[#This Row],[HomeTeam]],Sheet5!$A$2:$A$33, 0), MATCH(Table2[[#This Row],[AwayTeam]],Sheet5!$A$2:$A$33, 0))</f>
        <v>0-0-0</v>
      </c>
      <c r="AQ171" s="2">
        <f>IF(Table2[[#This Row],[GameHasShutOut]], 1, 0)</f>
        <v>0</v>
      </c>
      <c r="AR171" s="2">
        <f>IF(Table2[[#This Row],[ActualAwayScore]] + Table2[[#This Row],[ActualHomeScore]] &gt;= 10, 1, 0)</f>
        <v>0</v>
      </c>
      <c r="AS171" s="2">
        <f>IF(ABS(Table2[[#This Row],[ActualAwayScore]]-Table2[[#This Row],[ActualHomeScore]])&gt;=5, 1, 0)</f>
        <v>0</v>
      </c>
      <c r="AT171" s="2">
        <f>IF(Table2[[#This Row],[ActualAwayScore]] + Table2[[#This Row],[ActualHomeScore]] &lt;= 3, 1, 0)</f>
        <v>1</v>
      </c>
      <c r="AU171" s="2"/>
      <c r="AV171" s="2"/>
    </row>
    <row r="172" spans="1:48" x14ac:dyDescent="0.25">
      <c r="A172" s="3"/>
      <c r="B172" s="3">
        <v>45960</v>
      </c>
      <c r="C172" s="5">
        <v>2025020170</v>
      </c>
      <c r="D172" s="2" t="s">
        <v>34</v>
      </c>
      <c r="E172" s="2" t="s">
        <v>42</v>
      </c>
      <c r="F172" s="2"/>
      <c r="G172" s="2"/>
      <c r="H172" s="2" t="str">
        <f t="shared" si="14"/>
        <v>_</v>
      </c>
      <c r="I172" s="2"/>
      <c r="J172" s="2"/>
      <c r="K172" s="2"/>
      <c r="L172" s="2" t="str">
        <f t="shared" si="15"/>
        <v>_</v>
      </c>
      <c r="M172" s="2"/>
      <c r="N172" s="2">
        <f>IF(ISBLANK(Table2[[#This Row],[ActualResult]]), 0, 1)</f>
        <v>0</v>
      </c>
      <c r="O172" s="2" t="str">
        <f>IF(ISBLANK(Table2[[#This Row],[ActualResult]]), "_", IF(Table2[[#This Row],[ActualWinner]]=Table2[[#This Row],[PredictedWinner]], "Y", "N"))</f>
        <v>_</v>
      </c>
      <c r="P1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2" s="2"/>
      <c r="S172" s="2" t="str">
        <f t="shared" si="16"/>
        <v>_</v>
      </c>
      <c r="T1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2" s="2">
        <f>IF(Table2[[#This Row],[InterConf]]=1,IF(Table2[[#This Row],[InterDiv]]=0, 1, 0), 0)</f>
        <v>0</v>
      </c>
      <c r="W1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2" s="2"/>
      <c r="Y172" s="2"/>
      <c r="Z172" s="145">
        <f>IF(AND(Table2[[#This Row],[GameIsOver]]=1,Table2[[#This Row],[ActualHomeScore]]*Table2[[#This Row],[ActualAwayScore]]=0), 1,0)</f>
        <v>0</v>
      </c>
      <c r="AA1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2" s="2">
        <f>Table2[[#This Row],[ActualAwayScore]]-Table2[[#This Row],[PredictedAwayScore]]</f>
        <v>0</v>
      </c>
      <c r="AG172" s="2">
        <f>Table2[[#This Row],[ActualHomeScore]]-Table2[[#This Row],[PredictedHomeScore]]</f>
        <v>0</v>
      </c>
      <c r="AH172" s="2">
        <f t="shared" si="17"/>
        <v>0</v>
      </c>
      <c r="AI172" s="2">
        <f t="shared" si="18"/>
        <v>0</v>
      </c>
      <c r="AJ172" s="2"/>
      <c r="AK172" s="2"/>
      <c r="AL172" s="2">
        <f>IF(Table2[[#This Row],[GameIsOver]]=0,0,IF(Table2[[#This Row],[ActualWinner]]=Table2[[#This Row],[AwayTeam]], 1, 0))</f>
        <v>0</v>
      </c>
      <c r="AM172" s="2">
        <f>IF(Table2[[#This Row],[GameIsOver]]=0,0,IF(Table2[[#This Row],[ActualWinner]]=Table2[[#This Row],[HomeTeam]], 1, 0))</f>
        <v>0</v>
      </c>
      <c r="AN1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2" s="2" t="str">
        <f>INDEX(Sheet5!$B$2:$AG$33, MATCH(Table2[[#This Row],[AwayTeam]],Sheet5!$A$2:$A$33, 0), MATCH(Table2[[#This Row],[HomeTeam]],Sheet5!$A$2:$A$33, 0))</f>
        <v>0-0-0</v>
      </c>
      <c r="AP172" s="2" t="str">
        <f>INDEX(Sheet5!$B$2:$AG$33, MATCH(Table2[[#This Row],[HomeTeam]],Sheet5!$A$2:$A$33, 0), MATCH(Table2[[#This Row],[AwayTeam]],Sheet5!$A$2:$A$33, 0))</f>
        <v>0-0-0</v>
      </c>
      <c r="AQ172" s="2">
        <f>IF(Table2[[#This Row],[GameHasShutOut]], 1, 0)</f>
        <v>0</v>
      </c>
      <c r="AR172" s="2">
        <f>IF(Table2[[#This Row],[ActualAwayScore]] + Table2[[#This Row],[ActualHomeScore]] &gt;= 10, 1, 0)</f>
        <v>0</v>
      </c>
      <c r="AS172" s="2">
        <f>IF(ABS(Table2[[#This Row],[ActualAwayScore]]-Table2[[#This Row],[ActualHomeScore]])&gt;=5, 1, 0)</f>
        <v>0</v>
      </c>
      <c r="AT172" s="2">
        <f>IF(Table2[[#This Row],[ActualAwayScore]] + Table2[[#This Row],[ActualHomeScore]] &lt;= 3, 1, 0)</f>
        <v>1</v>
      </c>
      <c r="AU172" s="2"/>
      <c r="AV172" s="2"/>
    </row>
    <row r="173" spans="1:48" x14ac:dyDescent="0.25">
      <c r="A173" s="3"/>
      <c r="B173" s="3">
        <v>45960</v>
      </c>
      <c r="C173" s="5">
        <v>2025020171</v>
      </c>
      <c r="D173" s="2" t="s">
        <v>32</v>
      </c>
      <c r="E173" s="2" t="s">
        <v>41</v>
      </c>
      <c r="F173" s="2"/>
      <c r="G173" s="2"/>
      <c r="H173" s="2" t="str">
        <f t="shared" si="14"/>
        <v>_</v>
      </c>
      <c r="I173" s="2"/>
      <c r="J173" s="2"/>
      <c r="K173" s="2"/>
      <c r="L173" s="2" t="str">
        <f t="shared" si="15"/>
        <v>_</v>
      </c>
      <c r="M173" s="2"/>
      <c r="N173" s="2">
        <f>IF(ISBLANK(Table2[[#This Row],[ActualResult]]), 0, 1)</f>
        <v>0</v>
      </c>
      <c r="O173" s="2" t="str">
        <f>IF(ISBLANK(Table2[[#This Row],[ActualResult]]), "_", IF(Table2[[#This Row],[ActualWinner]]=Table2[[#This Row],[PredictedWinner]], "Y", "N"))</f>
        <v>_</v>
      </c>
      <c r="P1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3" s="2"/>
      <c r="S173" s="2" t="str">
        <f t="shared" si="16"/>
        <v>_</v>
      </c>
      <c r="T1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73" s="2">
        <f>IF(Table2[[#This Row],[InterConf]]=1,IF(Table2[[#This Row],[InterDiv]]=0, 1, 0), 0)</f>
        <v>0</v>
      </c>
      <c r="W1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3" s="2"/>
      <c r="Y173" s="2"/>
      <c r="Z173" s="145">
        <f>IF(AND(Table2[[#This Row],[GameIsOver]]=1,Table2[[#This Row],[ActualHomeScore]]*Table2[[#This Row],[ActualAwayScore]]=0), 1,0)</f>
        <v>0</v>
      </c>
      <c r="AA1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3" s="2">
        <f>Table2[[#This Row],[ActualAwayScore]]-Table2[[#This Row],[PredictedAwayScore]]</f>
        <v>0</v>
      </c>
      <c r="AG173" s="2">
        <f>Table2[[#This Row],[ActualHomeScore]]-Table2[[#This Row],[PredictedHomeScore]]</f>
        <v>0</v>
      </c>
      <c r="AH173" s="2">
        <f t="shared" si="17"/>
        <v>0</v>
      </c>
      <c r="AI173" s="2">
        <f t="shared" si="18"/>
        <v>0</v>
      </c>
      <c r="AJ173" s="2"/>
      <c r="AK173" s="2"/>
      <c r="AL173" s="2">
        <f>IF(Table2[[#This Row],[GameIsOver]]=0,0,IF(Table2[[#This Row],[ActualWinner]]=Table2[[#This Row],[AwayTeam]], 1, 0))</f>
        <v>0</v>
      </c>
      <c r="AM173" s="2">
        <f>IF(Table2[[#This Row],[GameIsOver]]=0,0,IF(Table2[[#This Row],[ActualWinner]]=Table2[[#This Row],[HomeTeam]], 1, 0))</f>
        <v>0</v>
      </c>
      <c r="AN1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3" s="2" t="str">
        <f>INDEX(Sheet5!$B$2:$AG$33, MATCH(Table2[[#This Row],[AwayTeam]],Sheet5!$A$2:$A$33, 0), MATCH(Table2[[#This Row],[HomeTeam]],Sheet5!$A$2:$A$33, 0))</f>
        <v>0-0-0</v>
      </c>
      <c r="AP173" s="2" t="str">
        <f>INDEX(Sheet5!$B$2:$AG$33, MATCH(Table2[[#This Row],[HomeTeam]],Sheet5!$A$2:$A$33, 0), MATCH(Table2[[#This Row],[AwayTeam]],Sheet5!$A$2:$A$33, 0))</f>
        <v>0-0-0</v>
      </c>
      <c r="AQ173" s="2">
        <f>IF(Table2[[#This Row],[GameHasShutOut]], 1, 0)</f>
        <v>0</v>
      </c>
      <c r="AR173" s="2">
        <f>IF(Table2[[#This Row],[ActualAwayScore]] + Table2[[#This Row],[ActualHomeScore]] &gt;= 10, 1, 0)</f>
        <v>0</v>
      </c>
      <c r="AS173" s="2">
        <f>IF(ABS(Table2[[#This Row],[ActualAwayScore]]-Table2[[#This Row],[ActualHomeScore]])&gt;=5, 1, 0)</f>
        <v>0</v>
      </c>
      <c r="AT173" s="2">
        <f>IF(Table2[[#This Row],[ActualAwayScore]] + Table2[[#This Row],[ActualHomeScore]] &lt;= 3, 1, 0)</f>
        <v>1</v>
      </c>
      <c r="AU173" s="2"/>
      <c r="AV173" s="2"/>
    </row>
    <row r="174" spans="1:48" x14ac:dyDescent="0.25">
      <c r="A174" s="3"/>
      <c r="B174" s="3">
        <v>45961</v>
      </c>
      <c r="C174" s="5">
        <v>2025020172</v>
      </c>
      <c r="D174" s="2" t="s">
        <v>24</v>
      </c>
      <c r="E174" s="2" t="s">
        <v>12</v>
      </c>
      <c r="F174" s="2"/>
      <c r="G174" s="2"/>
      <c r="H174" s="2" t="str">
        <f t="shared" si="14"/>
        <v>_</v>
      </c>
      <c r="I174" s="2"/>
      <c r="J174" s="2"/>
      <c r="K174" s="2"/>
      <c r="L174" s="2" t="str">
        <f t="shared" si="15"/>
        <v>_</v>
      </c>
      <c r="M174" s="2"/>
      <c r="N174" s="2">
        <f>IF(ISBLANK(Table2[[#This Row],[ActualResult]]), 0, 1)</f>
        <v>0</v>
      </c>
      <c r="O174" s="2" t="str">
        <f>IF(ISBLANK(Table2[[#This Row],[ActualResult]]), "_", IF(Table2[[#This Row],[ActualWinner]]=Table2[[#This Row],[PredictedWinner]], "Y", "N"))</f>
        <v>_</v>
      </c>
      <c r="P1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4" s="2"/>
      <c r="S174" s="2" t="str">
        <f t="shared" si="16"/>
        <v>_</v>
      </c>
      <c r="T1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4" s="2">
        <f>IF(Table2[[#This Row],[InterConf]]=1,IF(Table2[[#This Row],[InterDiv]]=0, 1, 0), 0)</f>
        <v>1</v>
      </c>
      <c r="W1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4" s="2"/>
      <c r="Y174" s="2"/>
      <c r="Z174" s="145">
        <f>IF(AND(Table2[[#This Row],[GameIsOver]]=1,Table2[[#This Row],[ActualHomeScore]]*Table2[[#This Row],[ActualAwayScore]]=0), 1,0)</f>
        <v>0</v>
      </c>
      <c r="AA1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4" s="2">
        <f>Table2[[#This Row],[ActualAwayScore]]-Table2[[#This Row],[PredictedAwayScore]]</f>
        <v>0</v>
      </c>
      <c r="AG174" s="2">
        <f>Table2[[#This Row],[ActualHomeScore]]-Table2[[#This Row],[PredictedHomeScore]]</f>
        <v>0</v>
      </c>
      <c r="AH174" s="2">
        <f t="shared" si="17"/>
        <v>0</v>
      </c>
      <c r="AI174" s="2">
        <f t="shared" si="18"/>
        <v>0</v>
      </c>
      <c r="AJ174" s="2"/>
      <c r="AK174" s="2"/>
      <c r="AL174" s="2">
        <f>IF(Table2[[#This Row],[GameIsOver]]=0,0,IF(Table2[[#This Row],[ActualWinner]]=Table2[[#This Row],[AwayTeam]], 1, 0))</f>
        <v>0</v>
      </c>
      <c r="AM174" s="2">
        <f>IF(Table2[[#This Row],[GameIsOver]]=0,0,IF(Table2[[#This Row],[ActualWinner]]=Table2[[#This Row],[HomeTeam]], 1, 0))</f>
        <v>0</v>
      </c>
      <c r="AN1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4" s="2" t="str">
        <f>INDEX(Sheet5!$B$2:$AG$33, MATCH(Table2[[#This Row],[AwayTeam]],Sheet5!$A$2:$A$33, 0), MATCH(Table2[[#This Row],[HomeTeam]],Sheet5!$A$2:$A$33, 0))</f>
        <v>0-1-0</v>
      </c>
      <c r="AP174" s="2" t="str">
        <f>INDEX(Sheet5!$B$2:$AG$33, MATCH(Table2[[#This Row],[HomeTeam]],Sheet5!$A$2:$A$33, 0), MATCH(Table2[[#This Row],[AwayTeam]],Sheet5!$A$2:$A$33, 0))</f>
        <v>1-0-0</v>
      </c>
      <c r="AQ174" s="2">
        <f>IF(Table2[[#This Row],[GameHasShutOut]], 1, 0)</f>
        <v>0</v>
      </c>
      <c r="AR174" s="2">
        <f>IF(Table2[[#This Row],[ActualAwayScore]] + Table2[[#This Row],[ActualHomeScore]] &gt;= 10, 1, 0)</f>
        <v>0</v>
      </c>
      <c r="AS174" s="2">
        <f>IF(ABS(Table2[[#This Row],[ActualAwayScore]]-Table2[[#This Row],[ActualHomeScore]])&gt;=5, 1, 0)</f>
        <v>0</v>
      </c>
      <c r="AT174" s="2">
        <f>IF(Table2[[#This Row],[ActualAwayScore]] + Table2[[#This Row],[ActualHomeScore]] &lt;= 3, 1, 0)</f>
        <v>1</v>
      </c>
      <c r="AU174" s="2"/>
      <c r="AV174" s="2"/>
    </row>
    <row r="175" spans="1:48" x14ac:dyDescent="0.25">
      <c r="A175" s="3"/>
      <c r="B175" s="3">
        <v>45961</v>
      </c>
      <c r="C175" s="5">
        <v>2025020173</v>
      </c>
      <c r="D175" s="2" t="s">
        <v>20</v>
      </c>
      <c r="E175" s="2" t="s">
        <v>36</v>
      </c>
      <c r="F175" s="2"/>
      <c r="G175" s="2"/>
      <c r="H175" s="2" t="str">
        <f t="shared" si="14"/>
        <v>_</v>
      </c>
      <c r="I175" s="2"/>
      <c r="J175" s="2"/>
      <c r="K175" s="2"/>
      <c r="L175" s="2" t="str">
        <f t="shared" si="15"/>
        <v>_</v>
      </c>
      <c r="M175" s="2"/>
      <c r="N175" s="2">
        <f>IF(ISBLANK(Table2[[#This Row],[ActualResult]]), 0, 1)</f>
        <v>0</v>
      </c>
      <c r="O175" s="2" t="str">
        <f>IF(ISBLANK(Table2[[#This Row],[ActualResult]]), "_", IF(Table2[[#This Row],[ActualWinner]]=Table2[[#This Row],[PredictedWinner]], "Y", "N"))</f>
        <v>_</v>
      </c>
      <c r="P1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5" s="2"/>
      <c r="S175" s="2" t="str">
        <f t="shared" si="16"/>
        <v>_</v>
      </c>
      <c r="T1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5" s="2">
        <f>IF(Table2[[#This Row],[InterConf]]=1,IF(Table2[[#This Row],[InterDiv]]=0, 1, 0), 0)</f>
        <v>0</v>
      </c>
      <c r="W1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5" s="2"/>
      <c r="Y175" s="2"/>
      <c r="Z175" s="145">
        <f>IF(AND(Table2[[#This Row],[GameIsOver]]=1,Table2[[#This Row],[ActualHomeScore]]*Table2[[#This Row],[ActualAwayScore]]=0), 1,0)</f>
        <v>0</v>
      </c>
      <c r="AA1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5" s="2">
        <f>Table2[[#This Row],[ActualAwayScore]]-Table2[[#This Row],[PredictedAwayScore]]</f>
        <v>0</v>
      </c>
      <c r="AG175" s="2">
        <f>Table2[[#This Row],[ActualHomeScore]]-Table2[[#This Row],[PredictedHomeScore]]</f>
        <v>0</v>
      </c>
      <c r="AH175" s="2">
        <f t="shared" si="17"/>
        <v>0</v>
      </c>
      <c r="AI175" s="2">
        <f t="shared" si="18"/>
        <v>0</v>
      </c>
      <c r="AJ175" s="2"/>
      <c r="AK175" s="2"/>
      <c r="AL175" s="2">
        <f>IF(Table2[[#This Row],[GameIsOver]]=0,0,IF(Table2[[#This Row],[ActualWinner]]=Table2[[#This Row],[AwayTeam]], 1, 0))</f>
        <v>0</v>
      </c>
      <c r="AM175" s="2">
        <f>IF(Table2[[#This Row],[GameIsOver]]=0,0,IF(Table2[[#This Row],[ActualWinner]]=Table2[[#This Row],[HomeTeam]], 1, 0))</f>
        <v>0</v>
      </c>
      <c r="AN1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5" s="2" t="str">
        <f>INDEX(Sheet5!$B$2:$AG$33, MATCH(Table2[[#This Row],[AwayTeam]],Sheet5!$A$2:$A$33, 0), MATCH(Table2[[#This Row],[HomeTeam]],Sheet5!$A$2:$A$33, 0))</f>
        <v>0-0-0</v>
      </c>
      <c r="AP175" s="2" t="str">
        <f>INDEX(Sheet5!$B$2:$AG$33, MATCH(Table2[[#This Row],[HomeTeam]],Sheet5!$A$2:$A$33, 0), MATCH(Table2[[#This Row],[AwayTeam]],Sheet5!$A$2:$A$33, 0))</f>
        <v>0-0-0</v>
      </c>
      <c r="AQ175" s="2">
        <f>IF(Table2[[#This Row],[GameHasShutOut]], 1, 0)</f>
        <v>0</v>
      </c>
      <c r="AR175" s="2">
        <f>IF(Table2[[#This Row],[ActualAwayScore]] + Table2[[#This Row],[ActualHomeScore]] &gt;= 10, 1, 0)</f>
        <v>0</v>
      </c>
      <c r="AS175" s="2">
        <f>IF(ABS(Table2[[#This Row],[ActualAwayScore]]-Table2[[#This Row],[ActualHomeScore]])&gt;=5, 1, 0)</f>
        <v>0</v>
      </c>
      <c r="AT175" s="2">
        <f>IF(Table2[[#This Row],[ActualAwayScore]] + Table2[[#This Row],[ActualHomeScore]] &lt;= 3, 1, 0)</f>
        <v>1</v>
      </c>
      <c r="AU175" s="2"/>
      <c r="AV175" s="2"/>
    </row>
    <row r="176" spans="1:48" x14ac:dyDescent="0.25">
      <c r="A176" s="3"/>
      <c r="B176" s="3">
        <v>45961</v>
      </c>
      <c r="C176" s="5">
        <v>2025020174</v>
      </c>
      <c r="D176" s="2" t="s">
        <v>16</v>
      </c>
      <c r="E176" s="2" t="s">
        <v>21</v>
      </c>
      <c r="F176" s="2"/>
      <c r="G176" s="2"/>
      <c r="H176" s="2" t="str">
        <f t="shared" si="14"/>
        <v>_</v>
      </c>
      <c r="I176" s="2"/>
      <c r="J176" s="2"/>
      <c r="K176" s="2"/>
      <c r="L176" s="2" t="str">
        <f t="shared" si="15"/>
        <v>_</v>
      </c>
      <c r="M176" s="2"/>
      <c r="N176" s="2">
        <f>IF(ISBLANK(Table2[[#This Row],[ActualResult]]), 0, 1)</f>
        <v>0</v>
      </c>
      <c r="O176" s="2" t="str">
        <f>IF(ISBLANK(Table2[[#This Row],[ActualResult]]), "_", IF(Table2[[#This Row],[ActualWinner]]=Table2[[#This Row],[PredictedWinner]], "Y", "N"))</f>
        <v>_</v>
      </c>
      <c r="P1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6" s="2"/>
      <c r="S176" s="2" t="str">
        <f t="shared" si="16"/>
        <v>_</v>
      </c>
      <c r="T1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76" s="2">
        <f>IF(Table2[[#This Row],[InterConf]]=1,IF(Table2[[#This Row],[InterDiv]]=0, 1, 0), 0)</f>
        <v>0</v>
      </c>
      <c r="W1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6" s="2"/>
      <c r="Y176" s="2"/>
      <c r="Z176" s="145">
        <f>IF(AND(Table2[[#This Row],[GameIsOver]]=1,Table2[[#This Row],[ActualHomeScore]]*Table2[[#This Row],[ActualAwayScore]]=0), 1,0)</f>
        <v>0</v>
      </c>
      <c r="AA1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6" s="2">
        <f>Table2[[#This Row],[ActualAwayScore]]-Table2[[#This Row],[PredictedAwayScore]]</f>
        <v>0</v>
      </c>
      <c r="AG176" s="2">
        <f>Table2[[#This Row],[ActualHomeScore]]-Table2[[#This Row],[PredictedHomeScore]]</f>
        <v>0</v>
      </c>
      <c r="AH176" s="2">
        <f t="shared" si="17"/>
        <v>0</v>
      </c>
      <c r="AI176" s="2">
        <f t="shared" si="18"/>
        <v>0</v>
      </c>
      <c r="AJ176" s="2"/>
      <c r="AK176" s="2"/>
      <c r="AL176" s="2">
        <f>IF(Table2[[#This Row],[GameIsOver]]=0,0,IF(Table2[[#This Row],[ActualWinner]]=Table2[[#This Row],[AwayTeam]], 1, 0))</f>
        <v>0</v>
      </c>
      <c r="AM176" s="2">
        <f>IF(Table2[[#This Row],[GameIsOver]]=0,0,IF(Table2[[#This Row],[ActualWinner]]=Table2[[#This Row],[HomeTeam]], 1, 0))</f>
        <v>0</v>
      </c>
      <c r="AN1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6" s="2" t="str">
        <f>INDEX(Sheet5!$B$2:$AG$33, MATCH(Table2[[#This Row],[AwayTeam]],Sheet5!$A$2:$A$33, 0), MATCH(Table2[[#This Row],[HomeTeam]],Sheet5!$A$2:$A$33, 0))</f>
        <v>0-0-0</v>
      </c>
      <c r="AP176" s="2" t="str">
        <f>INDEX(Sheet5!$B$2:$AG$33, MATCH(Table2[[#This Row],[HomeTeam]],Sheet5!$A$2:$A$33, 0), MATCH(Table2[[#This Row],[AwayTeam]],Sheet5!$A$2:$A$33, 0))</f>
        <v>0-0-0</v>
      </c>
      <c r="AQ176" s="2">
        <f>IF(Table2[[#This Row],[GameHasShutOut]], 1, 0)</f>
        <v>0</v>
      </c>
      <c r="AR176" s="2">
        <f>IF(Table2[[#This Row],[ActualAwayScore]] + Table2[[#This Row],[ActualHomeScore]] &gt;= 10, 1, 0)</f>
        <v>0</v>
      </c>
      <c r="AS176" s="2">
        <f>IF(ABS(Table2[[#This Row],[ActualAwayScore]]-Table2[[#This Row],[ActualHomeScore]])&gt;=5, 1, 0)</f>
        <v>0</v>
      </c>
      <c r="AT176" s="2">
        <f>IF(Table2[[#This Row],[ActualAwayScore]] + Table2[[#This Row],[ActualHomeScore]] &lt;= 3, 1, 0)</f>
        <v>1</v>
      </c>
      <c r="AU176" s="2"/>
      <c r="AV176" s="2"/>
    </row>
    <row r="177" spans="1:48" x14ac:dyDescent="0.25">
      <c r="A177" s="3"/>
      <c r="B177" s="3">
        <v>45961</v>
      </c>
      <c r="C177" s="5">
        <v>2025020175</v>
      </c>
      <c r="D177" s="2" t="s">
        <v>19</v>
      </c>
      <c r="E177" s="2" t="s">
        <v>22</v>
      </c>
      <c r="F177" s="2"/>
      <c r="G177" s="2"/>
      <c r="H177" s="2" t="str">
        <f t="shared" si="14"/>
        <v>_</v>
      </c>
      <c r="I177" s="2"/>
      <c r="J177" s="2"/>
      <c r="K177" s="2"/>
      <c r="L177" s="2" t="str">
        <f t="shared" si="15"/>
        <v>_</v>
      </c>
      <c r="M177" s="2"/>
      <c r="N177" s="2">
        <f>IF(ISBLANK(Table2[[#This Row],[ActualResult]]), 0, 1)</f>
        <v>0</v>
      </c>
      <c r="O177" s="2" t="str">
        <f>IF(ISBLANK(Table2[[#This Row],[ActualResult]]), "_", IF(Table2[[#This Row],[ActualWinner]]=Table2[[#This Row],[PredictedWinner]], "Y", "N"))</f>
        <v>_</v>
      </c>
      <c r="P1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7" s="2"/>
      <c r="S177" s="2" t="str">
        <f t="shared" si="16"/>
        <v>_</v>
      </c>
      <c r="T1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7" s="2">
        <f>IF(Table2[[#This Row],[InterConf]]=1,IF(Table2[[#This Row],[InterDiv]]=0, 1, 0), 0)</f>
        <v>0</v>
      </c>
      <c r="W1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7" s="2"/>
      <c r="Y177" s="2"/>
      <c r="Z177" s="145">
        <f>IF(AND(Table2[[#This Row],[GameIsOver]]=1,Table2[[#This Row],[ActualHomeScore]]*Table2[[#This Row],[ActualAwayScore]]=0), 1,0)</f>
        <v>0</v>
      </c>
      <c r="AA1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7" s="2">
        <f>Table2[[#This Row],[ActualAwayScore]]-Table2[[#This Row],[PredictedAwayScore]]</f>
        <v>0</v>
      </c>
      <c r="AG177" s="2">
        <f>Table2[[#This Row],[ActualHomeScore]]-Table2[[#This Row],[PredictedHomeScore]]</f>
        <v>0</v>
      </c>
      <c r="AH177" s="2">
        <f t="shared" si="17"/>
        <v>0</v>
      </c>
      <c r="AI177" s="2">
        <f t="shared" si="18"/>
        <v>0</v>
      </c>
      <c r="AJ177" s="2"/>
      <c r="AK177" s="2"/>
      <c r="AL177" s="2">
        <f>IF(Table2[[#This Row],[GameIsOver]]=0,0,IF(Table2[[#This Row],[ActualWinner]]=Table2[[#This Row],[AwayTeam]], 1, 0))</f>
        <v>0</v>
      </c>
      <c r="AM177" s="2">
        <f>IF(Table2[[#This Row],[GameIsOver]]=0,0,IF(Table2[[#This Row],[ActualWinner]]=Table2[[#This Row],[HomeTeam]], 1, 0))</f>
        <v>0</v>
      </c>
      <c r="AN1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7" s="2" t="str">
        <f>INDEX(Sheet5!$B$2:$AG$33, MATCH(Table2[[#This Row],[AwayTeam]],Sheet5!$A$2:$A$33, 0), MATCH(Table2[[#This Row],[HomeTeam]],Sheet5!$A$2:$A$33, 0))</f>
        <v>0-1-0</v>
      </c>
      <c r="AP177" s="2" t="str">
        <f>INDEX(Sheet5!$B$2:$AG$33, MATCH(Table2[[#This Row],[HomeTeam]],Sheet5!$A$2:$A$33, 0), MATCH(Table2[[#This Row],[AwayTeam]],Sheet5!$A$2:$A$33, 0))</f>
        <v>1-0-0</v>
      </c>
      <c r="AQ177" s="2">
        <f>IF(Table2[[#This Row],[GameHasShutOut]], 1, 0)</f>
        <v>0</v>
      </c>
      <c r="AR177" s="2">
        <f>IF(Table2[[#This Row],[ActualAwayScore]] + Table2[[#This Row],[ActualHomeScore]] &gt;= 10, 1, 0)</f>
        <v>0</v>
      </c>
      <c r="AS177" s="2">
        <f>IF(ABS(Table2[[#This Row],[ActualAwayScore]]-Table2[[#This Row],[ActualHomeScore]])&gt;=5, 1, 0)</f>
        <v>0</v>
      </c>
      <c r="AT177" s="2">
        <f>IF(Table2[[#This Row],[ActualAwayScore]] + Table2[[#This Row],[ActualHomeScore]] &lt;= 3, 1, 0)</f>
        <v>1</v>
      </c>
      <c r="AU177" s="2"/>
      <c r="AV177" s="2"/>
    </row>
    <row r="178" spans="1:48" x14ac:dyDescent="0.25">
      <c r="A178" s="3"/>
      <c r="B178" s="3">
        <v>45961</v>
      </c>
      <c r="C178" s="5">
        <v>2025020176</v>
      </c>
      <c r="D178" s="2" t="s">
        <v>31</v>
      </c>
      <c r="E178" s="2" t="s">
        <v>37</v>
      </c>
      <c r="F178" s="2"/>
      <c r="G178" s="2"/>
      <c r="H178" s="2" t="str">
        <f t="shared" si="14"/>
        <v>_</v>
      </c>
      <c r="I178" s="2"/>
      <c r="J178" s="2"/>
      <c r="K178" s="2"/>
      <c r="L178" s="2" t="str">
        <f t="shared" si="15"/>
        <v>_</v>
      </c>
      <c r="M178" s="2"/>
      <c r="N178" s="2">
        <f>IF(ISBLANK(Table2[[#This Row],[ActualResult]]), 0, 1)</f>
        <v>0</v>
      </c>
      <c r="O178" s="2" t="str">
        <f>IF(ISBLANK(Table2[[#This Row],[ActualResult]]), "_", IF(Table2[[#This Row],[ActualWinner]]=Table2[[#This Row],[PredictedWinner]], "Y", "N"))</f>
        <v>_</v>
      </c>
      <c r="P1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8" s="2"/>
      <c r="S178" s="2" t="str">
        <f t="shared" si="16"/>
        <v>_</v>
      </c>
      <c r="T1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8" s="2">
        <f>IF(Table2[[#This Row],[InterConf]]=1,IF(Table2[[#This Row],[InterDiv]]=0, 1, 0), 0)</f>
        <v>0</v>
      </c>
      <c r="W1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8" s="2"/>
      <c r="Y178" s="2"/>
      <c r="Z178" s="145">
        <f>IF(AND(Table2[[#This Row],[GameIsOver]]=1,Table2[[#This Row],[ActualHomeScore]]*Table2[[#This Row],[ActualAwayScore]]=0), 1,0)</f>
        <v>0</v>
      </c>
      <c r="AA1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8" s="2">
        <f>Table2[[#This Row],[ActualAwayScore]]-Table2[[#This Row],[PredictedAwayScore]]</f>
        <v>0</v>
      </c>
      <c r="AG178" s="2">
        <f>Table2[[#This Row],[ActualHomeScore]]-Table2[[#This Row],[PredictedHomeScore]]</f>
        <v>0</v>
      </c>
      <c r="AH178" s="2">
        <f t="shared" si="17"/>
        <v>0</v>
      </c>
      <c r="AI178" s="2">
        <f t="shared" si="18"/>
        <v>0</v>
      </c>
      <c r="AJ178" s="2"/>
      <c r="AK178" s="2"/>
      <c r="AL178" s="2">
        <f>IF(Table2[[#This Row],[GameIsOver]]=0,0,IF(Table2[[#This Row],[ActualWinner]]=Table2[[#This Row],[AwayTeam]], 1, 0))</f>
        <v>0</v>
      </c>
      <c r="AM178" s="2">
        <f>IF(Table2[[#This Row],[GameIsOver]]=0,0,IF(Table2[[#This Row],[ActualWinner]]=Table2[[#This Row],[HomeTeam]], 1, 0))</f>
        <v>0</v>
      </c>
      <c r="AN1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8" s="2" t="str">
        <f>INDEX(Sheet5!$B$2:$AG$33, MATCH(Table2[[#This Row],[AwayTeam]],Sheet5!$A$2:$A$33, 0), MATCH(Table2[[#This Row],[HomeTeam]],Sheet5!$A$2:$A$33, 0))</f>
        <v>0-0-0</v>
      </c>
      <c r="AP178" s="2" t="str">
        <f>INDEX(Sheet5!$B$2:$AG$33, MATCH(Table2[[#This Row],[HomeTeam]],Sheet5!$A$2:$A$33, 0), MATCH(Table2[[#This Row],[AwayTeam]],Sheet5!$A$2:$A$33, 0))</f>
        <v>0-0-0</v>
      </c>
      <c r="AQ178" s="2">
        <f>IF(Table2[[#This Row],[GameHasShutOut]], 1, 0)</f>
        <v>0</v>
      </c>
      <c r="AR178" s="2">
        <f>IF(Table2[[#This Row],[ActualAwayScore]] + Table2[[#This Row],[ActualHomeScore]] &gt;= 10, 1, 0)</f>
        <v>0</v>
      </c>
      <c r="AS178" s="2">
        <f>IF(ABS(Table2[[#This Row],[ActualAwayScore]]-Table2[[#This Row],[ActualHomeScore]])&gt;=5, 1, 0)</f>
        <v>0</v>
      </c>
      <c r="AT178" s="2">
        <f>IF(Table2[[#This Row],[ActualAwayScore]] + Table2[[#This Row],[ActualHomeScore]] &lt;= 3, 1, 0)</f>
        <v>1</v>
      </c>
      <c r="AU178" s="2"/>
      <c r="AV178" s="2"/>
    </row>
    <row r="179" spans="1:48" x14ac:dyDescent="0.25">
      <c r="A179" s="3"/>
      <c r="B179" s="3">
        <v>45961</v>
      </c>
      <c r="C179" s="5">
        <v>2025020177</v>
      </c>
      <c r="D179" s="2" t="s">
        <v>30</v>
      </c>
      <c r="E179" s="2" t="s">
        <v>27</v>
      </c>
      <c r="F179" s="2"/>
      <c r="G179" s="2"/>
      <c r="H179" s="2" t="str">
        <f t="shared" si="14"/>
        <v>_</v>
      </c>
      <c r="I179" s="2"/>
      <c r="J179" s="2"/>
      <c r="K179" s="2"/>
      <c r="L179" s="2" t="str">
        <f t="shared" si="15"/>
        <v>_</v>
      </c>
      <c r="M179" s="2"/>
      <c r="N179" s="2">
        <f>IF(ISBLANK(Table2[[#This Row],[ActualResult]]), 0, 1)</f>
        <v>0</v>
      </c>
      <c r="O179" s="2" t="str">
        <f>IF(ISBLANK(Table2[[#This Row],[ActualResult]]), "_", IF(Table2[[#This Row],[ActualWinner]]=Table2[[#This Row],[PredictedWinner]], "Y", "N"))</f>
        <v>_</v>
      </c>
      <c r="P1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9" s="2"/>
      <c r="S179" s="2" t="str">
        <f t="shared" si="16"/>
        <v>_</v>
      </c>
      <c r="T1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9" s="2">
        <f>IF(Table2[[#This Row],[InterConf]]=1,IF(Table2[[#This Row],[InterDiv]]=0, 1, 0), 0)</f>
        <v>0</v>
      </c>
      <c r="W1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9" s="2"/>
      <c r="Y179" s="2"/>
      <c r="Z179" s="145">
        <f>IF(AND(Table2[[#This Row],[GameIsOver]]=1,Table2[[#This Row],[ActualHomeScore]]*Table2[[#This Row],[ActualAwayScore]]=0), 1,0)</f>
        <v>0</v>
      </c>
      <c r="AA1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9" s="2">
        <f>Table2[[#This Row],[ActualAwayScore]]-Table2[[#This Row],[PredictedAwayScore]]</f>
        <v>0</v>
      </c>
      <c r="AG179" s="2">
        <f>Table2[[#This Row],[ActualHomeScore]]-Table2[[#This Row],[PredictedHomeScore]]</f>
        <v>0</v>
      </c>
      <c r="AH179" s="2">
        <f t="shared" si="17"/>
        <v>0</v>
      </c>
      <c r="AI179" s="2">
        <f t="shared" si="18"/>
        <v>0</v>
      </c>
      <c r="AJ179" s="2"/>
      <c r="AK179" s="2"/>
      <c r="AL179" s="2">
        <f>IF(Table2[[#This Row],[GameIsOver]]=0,0,IF(Table2[[#This Row],[ActualWinner]]=Table2[[#This Row],[AwayTeam]], 1, 0))</f>
        <v>0</v>
      </c>
      <c r="AM179" s="2">
        <f>IF(Table2[[#This Row],[GameIsOver]]=0,0,IF(Table2[[#This Row],[ActualWinner]]=Table2[[#This Row],[HomeTeam]], 1, 0))</f>
        <v>0</v>
      </c>
      <c r="AN179" s="2">
        <f>IF(IFERROR(FIND(Table2[[#This Row],[AwayTeam]], _xlfn.TEXTJOIN(";", 1, $BD$31:$BD$40)), 0) &gt; 0, 1, 0) + IF(IFERROR(FIND(Table2[[#This Row],[HomeTeam]], _xlfn.TEXTJOIN(";", 1, $BD$31:$BD$40)), 0) &gt; 0, 1, 0)</f>
        <v>1</v>
      </c>
      <c r="AO179" s="2" t="str">
        <f>INDEX(Sheet5!$B$2:$AG$33, MATCH(Table2[[#This Row],[AwayTeam]],Sheet5!$A$2:$A$33, 0), MATCH(Table2[[#This Row],[HomeTeam]],Sheet5!$A$2:$A$33, 0))</f>
        <v>0-0-0</v>
      </c>
      <c r="AP179" s="2" t="str">
        <f>INDEX(Sheet5!$B$2:$AG$33, MATCH(Table2[[#This Row],[HomeTeam]],Sheet5!$A$2:$A$33, 0), MATCH(Table2[[#This Row],[AwayTeam]],Sheet5!$A$2:$A$33, 0))</f>
        <v>0-0-0</v>
      </c>
      <c r="AQ179" s="2">
        <f>IF(Table2[[#This Row],[GameHasShutOut]], 1, 0)</f>
        <v>0</v>
      </c>
      <c r="AR179" s="2">
        <f>IF(Table2[[#This Row],[ActualAwayScore]] + Table2[[#This Row],[ActualHomeScore]] &gt;= 10, 1, 0)</f>
        <v>0</v>
      </c>
      <c r="AS179" s="2">
        <f>IF(ABS(Table2[[#This Row],[ActualAwayScore]]-Table2[[#This Row],[ActualHomeScore]])&gt;=5, 1, 0)</f>
        <v>0</v>
      </c>
      <c r="AT179" s="2">
        <f>IF(Table2[[#This Row],[ActualAwayScore]] + Table2[[#This Row],[ActualHomeScore]] &lt;= 3, 1, 0)</f>
        <v>1</v>
      </c>
      <c r="AU179" s="2"/>
      <c r="AV179" s="2"/>
    </row>
    <row r="180" spans="1:48" x14ac:dyDescent="0.25">
      <c r="A180" s="3"/>
      <c r="B180" s="3">
        <v>45961</v>
      </c>
      <c r="C180" s="5">
        <v>2025020178</v>
      </c>
      <c r="D180" s="2" t="s">
        <v>25</v>
      </c>
      <c r="E180" s="2" t="s">
        <v>26</v>
      </c>
      <c r="F180" s="2"/>
      <c r="G180" s="2"/>
      <c r="H180" s="2" t="str">
        <f t="shared" si="14"/>
        <v>_</v>
      </c>
      <c r="I180" s="2"/>
      <c r="J180" s="2"/>
      <c r="K180" s="2"/>
      <c r="L180" s="2" t="str">
        <f t="shared" si="15"/>
        <v>_</v>
      </c>
      <c r="M180" s="2"/>
      <c r="N180" s="2">
        <f>IF(ISBLANK(Table2[[#This Row],[ActualResult]]), 0, 1)</f>
        <v>0</v>
      </c>
      <c r="O180" s="2" t="str">
        <f>IF(ISBLANK(Table2[[#This Row],[ActualResult]]), "_", IF(Table2[[#This Row],[ActualWinner]]=Table2[[#This Row],[PredictedWinner]], "Y", "N"))</f>
        <v>_</v>
      </c>
      <c r="P1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0" s="2"/>
      <c r="S180" s="2" t="str">
        <f t="shared" si="16"/>
        <v>_</v>
      </c>
      <c r="T1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0" s="2">
        <f>IF(Table2[[#This Row],[InterConf]]=1,IF(Table2[[#This Row],[InterDiv]]=0, 1, 0), 0)</f>
        <v>1</v>
      </c>
      <c r="W1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0" s="2"/>
      <c r="Y180" s="2"/>
      <c r="Z180" s="145">
        <f>IF(AND(Table2[[#This Row],[GameIsOver]]=1,Table2[[#This Row],[ActualHomeScore]]*Table2[[#This Row],[ActualAwayScore]]=0), 1,0)</f>
        <v>0</v>
      </c>
      <c r="AA1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80" s="2">
        <f>Table2[[#This Row],[ActualAwayScore]]-Table2[[#This Row],[PredictedAwayScore]]</f>
        <v>0</v>
      </c>
      <c r="AG180" s="2">
        <f>Table2[[#This Row],[ActualHomeScore]]-Table2[[#This Row],[PredictedHomeScore]]</f>
        <v>0</v>
      </c>
      <c r="AH180" s="2">
        <f t="shared" si="17"/>
        <v>0</v>
      </c>
      <c r="AI180" s="2">
        <f t="shared" si="18"/>
        <v>0</v>
      </c>
      <c r="AJ180" s="2"/>
      <c r="AK180" s="2"/>
      <c r="AL180" s="2">
        <f>IF(Table2[[#This Row],[GameIsOver]]=0,0,IF(Table2[[#This Row],[ActualWinner]]=Table2[[#This Row],[AwayTeam]], 1, 0))</f>
        <v>0</v>
      </c>
      <c r="AM180" s="2">
        <f>IF(Table2[[#This Row],[GameIsOver]]=0,0,IF(Table2[[#This Row],[ActualWinner]]=Table2[[#This Row],[HomeTeam]], 1, 0))</f>
        <v>0</v>
      </c>
      <c r="AN1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0" s="2" t="str">
        <f>INDEX(Sheet5!$B$2:$AG$33, MATCH(Table2[[#This Row],[AwayTeam]],Sheet5!$A$2:$A$33, 0), MATCH(Table2[[#This Row],[HomeTeam]],Sheet5!$A$2:$A$33, 0))</f>
        <v>0-0-0</v>
      </c>
      <c r="AP180" s="2" t="str">
        <f>INDEX(Sheet5!$B$2:$AG$33, MATCH(Table2[[#This Row],[HomeTeam]],Sheet5!$A$2:$A$33, 0), MATCH(Table2[[#This Row],[AwayTeam]],Sheet5!$A$2:$A$33, 0))</f>
        <v>0-0-0</v>
      </c>
      <c r="AQ180" s="2">
        <f>IF(Table2[[#This Row],[GameHasShutOut]], 1, 0)</f>
        <v>0</v>
      </c>
      <c r="AR180" s="2">
        <f>IF(Table2[[#This Row],[ActualAwayScore]] + Table2[[#This Row],[ActualHomeScore]] &gt;= 10, 1, 0)</f>
        <v>0</v>
      </c>
      <c r="AS180" s="2">
        <f>IF(ABS(Table2[[#This Row],[ActualAwayScore]]-Table2[[#This Row],[ActualHomeScore]])&gt;=5, 1, 0)</f>
        <v>0</v>
      </c>
      <c r="AT180" s="2">
        <f>IF(Table2[[#This Row],[ActualAwayScore]] + Table2[[#This Row],[ActualHomeScore]] &lt;= 3, 1, 0)</f>
        <v>1</v>
      </c>
      <c r="AU180" s="2"/>
      <c r="AV180" s="2"/>
    </row>
    <row r="181" spans="1:48" x14ac:dyDescent="0.25">
      <c r="A181" s="3"/>
      <c r="B181" s="3">
        <v>45961</v>
      </c>
      <c r="C181" s="5">
        <v>2025020179</v>
      </c>
      <c r="D181" s="2" t="s">
        <v>32</v>
      </c>
      <c r="E181" s="2" t="s">
        <v>43</v>
      </c>
      <c r="F181" s="2"/>
      <c r="G181" s="2"/>
      <c r="H181" s="2" t="str">
        <f t="shared" si="14"/>
        <v>_</v>
      </c>
      <c r="I181" s="2"/>
      <c r="J181" s="2"/>
      <c r="K181" s="2"/>
      <c r="L181" s="2" t="str">
        <f t="shared" si="15"/>
        <v>_</v>
      </c>
      <c r="M181" s="2"/>
      <c r="N181" s="2">
        <f>IF(ISBLANK(Table2[[#This Row],[ActualResult]]), 0, 1)</f>
        <v>0</v>
      </c>
      <c r="O181" s="2" t="str">
        <f>IF(ISBLANK(Table2[[#This Row],[ActualResult]]), "_", IF(Table2[[#This Row],[ActualWinner]]=Table2[[#This Row],[PredictedWinner]], "Y", "N"))</f>
        <v>_</v>
      </c>
      <c r="P1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1" s="2"/>
      <c r="S181" s="2" t="str">
        <f t="shared" si="16"/>
        <v>_</v>
      </c>
      <c r="T1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81" s="2">
        <f>IF(Table2[[#This Row],[InterConf]]=1,IF(Table2[[#This Row],[InterDiv]]=0, 1, 0), 0)</f>
        <v>0</v>
      </c>
      <c r="W1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1" s="2"/>
      <c r="Y181" s="2"/>
      <c r="Z181" s="145">
        <f>IF(AND(Table2[[#This Row],[GameIsOver]]=1,Table2[[#This Row],[ActualHomeScore]]*Table2[[#This Row],[ActualAwayScore]]=0), 1,0)</f>
        <v>0</v>
      </c>
      <c r="AA1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81" s="2">
        <f>Table2[[#This Row],[ActualAwayScore]]-Table2[[#This Row],[PredictedAwayScore]]</f>
        <v>0</v>
      </c>
      <c r="AG181" s="2">
        <f>Table2[[#This Row],[ActualHomeScore]]-Table2[[#This Row],[PredictedHomeScore]]</f>
        <v>0</v>
      </c>
      <c r="AH181" s="2">
        <f t="shared" si="17"/>
        <v>0</v>
      </c>
      <c r="AI181" s="2">
        <f t="shared" si="18"/>
        <v>0</v>
      </c>
      <c r="AJ181" s="2"/>
      <c r="AK181" s="2"/>
      <c r="AL181" s="2">
        <f>IF(Table2[[#This Row],[GameIsOver]]=0,0,IF(Table2[[#This Row],[ActualWinner]]=Table2[[#This Row],[AwayTeam]], 1, 0))</f>
        <v>0</v>
      </c>
      <c r="AM181" s="2">
        <f>IF(Table2[[#This Row],[GameIsOver]]=0,0,IF(Table2[[#This Row],[ActualWinner]]=Table2[[#This Row],[HomeTeam]], 1, 0))</f>
        <v>0</v>
      </c>
      <c r="AN1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1" s="2" t="str">
        <f>INDEX(Sheet5!$B$2:$AG$33, MATCH(Table2[[#This Row],[AwayTeam]],Sheet5!$A$2:$A$33, 0), MATCH(Table2[[#This Row],[HomeTeam]],Sheet5!$A$2:$A$33, 0))</f>
        <v>0-1-0</v>
      </c>
      <c r="AP181" s="2" t="str">
        <f>INDEX(Sheet5!$B$2:$AG$33, MATCH(Table2[[#This Row],[HomeTeam]],Sheet5!$A$2:$A$33, 0), MATCH(Table2[[#This Row],[AwayTeam]],Sheet5!$A$2:$A$33, 0))</f>
        <v>1-0-0</v>
      </c>
      <c r="AQ181" s="2">
        <f>IF(Table2[[#This Row],[GameHasShutOut]], 1, 0)</f>
        <v>0</v>
      </c>
      <c r="AR181" s="2">
        <f>IF(Table2[[#This Row],[ActualAwayScore]] + Table2[[#This Row],[ActualHomeScore]] &gt;= 10, 1, 0)</f>
        <v>0</v>
      </c>
      <c r="AS181" s="2">
        <f>IF(ABS(Table2[[#This Row],[ActualAwayScore]]-Table2[[#This Row],[ActualHomeScore]])&gt;=5, 1, 0)</f>
        <v>0</v>
      </c>
      <c r="AT181" s="2">
        <f>IF(Table2[[#This Row],[ActualAwayScore]] + Table2[[#This Row],[ActualHomeScore]] &lt;= 3, 1, 0)</f>
        <v>1</v>
      </c>
      <c r="AU181" s="2"/>
      <c r="AV181" s="2"/>
    </row>
    <row r="182" spans="1:48" x14ac:dyDescent="0.25">
      <c r="A182" s="3"/>
      <c r="B182" s="3">
        <v>45962</v>
      </c>
      <c r="C182" s="5">
        <v>2025020180</v>
      </c>
      <c r="D182" s="2" t="s">
        <v>30</v>
      </c>
      <c r="E182" s="2" t="s">
        <v>44</v>
      </c>
      <c r="F182" s="2"/>
      <c r="G182" s="2"/>
      <c r="H182" s="2" t="str">
        <f t="shared" si="14"/>
        <v>_</v>
      </c>
      <c r="I182" s="2"/>
      <c r="J182" s="2"/>
      <c r="K182" s="2"/>
      <c r="L182" s="2" t="str">
        <f t="shared" si="15"/>
        <v>_</v>
      </c>
      <c r="M182" s="2"/>
      <c r="N182" s="2">
        <f>IF(ISBLANK(Table2[[#This Row],[ActualResult]]), 0, 1)</f>
        <v>0</v>
      </c>
      <c r="O182" s="2" t="str">
        <f>IF(ISBLANK(Table2[[#This Row],[ActualResult]]), "_", IF(Table2[[#This Row],[ActualWinner]]=Table2[[#This Row],[PredictedWinner]], "Y", "N"))</f>
        <v>_</v>
      </c>
      <c r="P1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2" s="2"/>
      <c r="S182" s="2" t="str">
        <f t="shared" si="16"/>
        <v>_</v>
      </c>
      <c r="T1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2" s="2">
        <f>IF(Table2[[#This Row],[InterConf]]=1,IF(Table2[[#This Row],[InterDiv]]=0, 1, 0), 0)</f>
        <v>0</v>
      </c>
      <c r="W1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2" s="2"/>
      <c r="Y182" s="2"/>
      <c r="Z182" s="145">
        <f>IF(AND(Table2[[#This Row],[GameIsOver]]=1,Table2[[#This Row],[ActualHomeScore]]*Table2[[#This Row],[ActualAwayScore]]=0), 1,0)</f>
        <v>0</v>
      </c>
      <c r="AA1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2" s="2">
        <f>Table2[[#This Row],[ActualAwayScore]]-Table2[[#This Row],[PredictedAwayScore]]</f>
        <v>0</v>
      </c>
      <c r="AG182" s="2">
        <f>Table2[[#This Row],[ActualHomeScore]]-Table2[[#This Row],[PredictedHomeScore]]</f>
        <v>0</v>
      </c>
      <c r="AH182" s="2">
        <f t="shared" si="17"/>
        <v>0</v>
      </c>
      <c r="AI182" s="2">
        <f t="shared" si="18"/>
        <v>0</v>
      </c>
      <c r="AJ182" s="2"/>
      <c r="AK182" s="2"/>
      <c r="AL182" s="2">
        <f>IF(Table2[[#This Row],[GameIsOver]]=0,0,IF(Table2[[#This Row],[ActualWinner]]=Table2[[#This Row],[AwayTeam]], 1, 0))</f>
        <v>0</v>
      </c>
      <c r="AM182" s="2">
        <f>IF(Table2[[#This Row],[GameIsOver]]=0,0,IF(Table2[[#This Row],[ActualWinner]]=Table2[[#This Row],[HomeTeam]], 1, 0))</f>
        <v>0</v>
      </c>
      <c r="AN1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2" s="2" t="str">
        <f>INDEX(Sheet5!$B$2:$AG$33, MATCH(Table2[[#This Row],[AwayTeam]],Sheet5!$A$2:$A$33, 0), MATCH(Table2[[#This Row],[HomeTeam]],Sheet5!$A$2:$A$33, 0))</f>
        <v>0-0-0</v>
      </c>
      <c r="AP182" s="2" t="str">
        <f>INDEX(Sheet5!$B$2:$AG$33, MATCH(Table2[[#This Row],[HomeTeam]],Sheet5!$A$2:$A$33, 0), MATCH(Table2[[#This Row],[AwayTeam]],Sheet5!$A$2:$A$33, 0))</f>
        <v>0-0-0</v>
      </c>
      <c r="AQ182" s="2">
        <f>IF(Table2[[#This Row],[GameHasShutOut]], 1, 0)</f>
        <v>0</v>
      </c>
      <c r="AR182" s="2">
        <f>IF(Table2[[#This Row],[ActualAwayScore]] + Table2[[#This Row],[ActualHomeScore]] &gt;= 10, 1, 0)</f>
        <v>0</v>
      </c>
      <c r="AS182" s="2">
        <f>IF(ABS(Table2[[#This Row],[ActualAwayScore]]-Table2[[#This Row],[ActualHomeScore]])&gt;=5, 1, 0)</f>
        <v>0</v>
      </c>
      <c r="AT182" s="2">
        <f>IF(Table2[[#This Row],[ActualAwayScore]] + Table2[[#This Row],[ActualHomeScore]] &lt;= 3, 1, 0)</f>
        <v>1</v>
      </c>
      <c r="AU182" s="2"/>
      <c r="AV182" s="2"/>
    </row>
    <row r="183" spans="1:48" x14ac:dyDescent="0.25">
      <c r="A183" s="3"/>
      <c r="B183" s="3">
        <v>45962</v>
      </c>
      <c r="C183" s="5">
        <v>2025020181</v>
      </c>
      <c r="D183" s="2" t="s">
        <v>41</v>
      </c>
      <c r="E183" s="2" t="s">
        <v>15</v>
      </c>
      <c r="F183" s="2"/>
      <c r="G183" s="2"/>
      <c r="H183" s="2" t="str">
        <f t="shared" si="14"/>
        <v>_</v>
      </c>
      <c r="I183" s="2"/>
      <c r="J183" s="2"/>
      <c r="K183" s="2"/>
      <c r="L183" s="2" t="str">
        <f t="shared" si="15"/>
        <v>_</v>
      </c>
      <c r="M183" s="2"/>
      <c r="N183" s="2">
        <f>IF(ISBLANK(Table2[[#This Row],[ActualResult]]), 0, 1)</f>
        <v>0</v>
      </c>
      <c r="O183" s="2" t="str">
        <f>IF(ISBLANK(Table2[[#This Row],[ActualResult]]), "_", IF(Table2[[#This Row],[ActualWinner]]=Table2[[#This Row],[PredictedWinner]], "Y", "N"))</f>
        <v>_</v>
      </c>
      <c r="P1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3" s="2"/>
      <c r="S183" s="2" t="str">
        <f t="shared" si="16"/>
        <v>_</v>
      </c>
      <c r="T1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3" s="2">
        <f>IF(Table2[[#This Row],[InterConf]]=1,IF(Table2[[#This Row],[InterDiv]]=0, 1, 0), 0)</f>
        <v>1</v>
      </c>
      <c r="W1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3" s="2"/>
      <c r="Y183" s="2"/>
      <c r="Z183" s="145">
        <f>IF(AND(Table2[[#This Row],[GameIsOver]]=1,Table2[[#This Row],[ActualHomeScore]]*Table2[[#This Row],[ActualAwayScore]]=0), 1,0)</f>
        <v>0</v>
      </c>
      <c r="AA1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3" s="2">
        <f>Table2[[#This Row],[ActualAwayScore]]-Table2[[#This Row],[PredictedAwayScore]]</f>
        <v>0</v>
      </c>
      <c r="AG183" s="2">
        <f>Table2[[#This Row],[ActualHomeScore]]-Table2[[#This Row],[PredictedHomeScore]]</f>
        <v>0</v>
      </c>
      <c r="AH183" s="2">
        <f t="shared" si="17"/>
        <v>0</v>
      </c>
      <c r="AI183" s="2">
        <f t="shared" si="18"/>
        <v>0</v>
      </c>
      <c r="AJ183" s="2"/>
      <c r="AK183" s="2"/>
      <c r="AL183" s="2">
        <f>IF(Table2[[#This Row],[GameIsOver]]=0,0,IF(Table2[[#This Row],[ActualWinner]]=Table2[[#This Row],[AwayTeam]], 1, 0))</f>
        <v>0</v>
      </c>
      <c r="AM183" s="2">
        <f>IF(Table2[[#This Row],[GameIsOver]]=0,0,IF(Table2[[#This Row],[ActualWinner]]=Table2[[#This Row],[HomeTeam]], 1, 0))</f>
        <v>0</v>
      </c>
      <c r="AN1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3" s="2" t="str">
        <f>INDEX(Sheet5!$B$2:$AG$33, MATCH(Table2[[#This Row],[AwayTeam]],Sheet5!$A$2:$A$33, 0), MATCH(Table2[[#This Row],[HomeTeam]],Sheet5!$A$2:$A$33, 0))</f>
        <v>0-0-0</v>
      </c>
      <c r="AP183" s="2" t="str">
        <f>INDEX(Sheet5!$B$2:$AG$33, MATCH(Table2[[#This Row],[HomeTeam]],Sheet5!$A$2:$A$33, 0), MATCH(Table2[[#This Row],[AwayTeam]],Sheet5!$A$2:$A$33, 0))</f>
        <v>0-0-0</v>
      </c>
      <c r="AQ183" s="2">
        <f>IF(Table2[[#This Row],[GameHasShutOut]], 1, 0)</f>
        <v>0</v>
      </c>
      <c r="AR183" s="2">
        <f>IF(Table2[[#This Row],[ActualAwayScore]] + Table2[[#This Row],[ActualHomeScore]] &gt;= 10, 1, 0)</f>
        <v>0</v>
      </c>
      <c r="AS183" s="2">
        <f>IF(ABS(Table2[[#This Row],[ActualAwayScore]]-Table2[[#This Row],[ActualHomeScore]])&gt;=5, 1, 0)</f>
        <v>0</v>
      </c>
      <c r="AT183" s="2">
        <f>IF(Table2[[#This Row],[ActualAwayScore]] + Table2[[#This Row],[ActualHomeScore]] &lt;= 3, 1, 0)</f>
        <v>1</v>
      </c>
      <c r="AU183" s="2"/>
      <c r="AV183" s="2"/>
    </row>
    <row r="184" spans="1:48" x14ac:dyDescent="0.25">
      <c r="A184" s="3"/>
      <c r="B184" s="3">
        <v>45962</v>
      </c>
      <c r="C184" s="5">
        <v>2025020182</v>
      </c>
      <c r="D184" s="2" t="s">
        <v>20</v>
      </c>
      <c r="E184" s="2" t="s">
        <v>21</v>
      </c>
      <c r="F184" s="2"/>
      <c r="G184" s="2"/>
      <c r="H184" s="2" t="str">
        <f t="shared" si="14"/>
        <v>_</v>
      </c>
      <c r="I184" s="2"/>
      <c r="J184" s="2"/>
      <c r="K184" s="2"/>
      <c r="L184" s="2" t="str">
        <f t="shared" si="15"/>
        <v>_</v>
      </c>
      <c r="M184" s="2"/>
      <c r="N184" s="2">
        <f>IF(ISBLANK(Table2[[#This Row],[ActualResult]]), 0, 1)</f>
        <v>0</v>
      </c>
      <c r="O184" s="2" t="str">
        <f>IF(ISBLANK(Table2[[#This Row],[ActualResult]]), "_", IF(Table2[[#This Row],[ActualWinner]]=Table2[[#This Row],[PredictedWinner]], "Y", "N"))</f>
        <v>_</v>
      </c>
      <c r="P1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4" s="2"/>
      <c r="S184" s="2" t="str">
        <f t="shared" si="16"/>
        <v>_</v>
      </c>
      <c r="T1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4" s="2">
        <f>IF(Table2[[#This Row],[InterConf]]=1,IF(Table2[[#This Row],[InterDiv]]=0, 1, 0), 0)</f>
        <v>0</v>
      </c>
      <c r="W1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4" s="2"/>
      <c r="Y184" s="2"/>
      <c r="Z184" s="145">
        <f>IF(AND(Table2[[#This Row],[GameIsOver]]=1,Table2[[#This Row],[ActualHomeScore]]*Table2[[#This Row],[ActualAwayScore]]=0), 1,0)</f>
        <v>0</v>
      </c>
      <c r="AA1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4" s="2">
        <f>Table2[[#This Row],[ActualAwayScore]]-Table2[[#This Row],[PredictedAwayScore]]</f>
        <v>0</v>
      </c>
      <c r="AG184" s="2">
        <f>Table2[[#This Row],[ActualHomeScore]]-Table2[[#This Row],[PredictedHomeScore]]</f>
        <v>0</v>
      </c>
      <c r="AH184" s="2">
        <f t="shared" si="17"/>
        <v>0</v>
      </c>
      <c r="AI184" s="2">
        <f t="shared" si="18"/>
        <v>0</v>
      </c>
      <c r="AJ184" s="2"/>
      <c r="AK184" s="2"/>
      <c r="AL184" s="2">
        <f>IF(Table2[[#This Row],[GameIsOver]]=0,0,IF(Table2[[#This Row],[ActualWinner]]=Table2[[#This Row],[AwayTeam]], 1, 0))</f>
        <v>0</v>
      </c>
      <c r="AM184" s="2">
        <f>IF(Table2[[#This Row],[GameIsOver]]=0,0,IF(Table2[[#This Row],[ActualWinner]]=Table2[[#This Row],[HomeTeam]], 1, 0))</f>
        <v>0</v>
      </c>
      <c r="AN1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4" s="2" t="str">
        <f>INDEX(Sheet5!$B$2:$AG$33, MATCH(Table2[[#This Row],[AwayTeam]],Sheet5!$A$2:$A$33, 0), MATCH(Table2[[#This Row],[HomeTeam]],Sheet5!$A$2:$A$33, 0))</f>
        <v>0-0-0</v>
      </c>
      <c r="AP184" s="2" t="str">
        <f>INDEX(Sheet5!$B$2:$AG$33, MATCH(Table2[[#This Row],[HomeTeam]],Sheet5!$A$2:$A$33, 0), MATCH(Table2[[#This Row],[AwayTeam]],Sheet5!$A$2:$A$33, 0))</f>
        <v>0-0-0</v>
      </c>
      <c r="AQ184" s="2">
        <f>IF(Table2[[#This Row],[GameHasShutOut]], 1, 0)</f>
        <v>0</v>
      </c>
      <c r="AR184" s="2">
        <f>IF(Table2[[#This Row],[ActualAwayScore]] + Table2[[#This Row],[ActualHomeScore]] &gt;= 10, 1, 0)</f>
        <v>0</v>
      </c>
      <c r="AS184" s="2">
        <f>IF(ABS(Table2[[#This Row],[ActualAwayScore]]-Table2[[#This Row],[ActualHomeScore]])&gt;=5, 1, 0)</f>
        <v>0</v>
      </c>
      <c r="AT184" s="2">
        <f>IF(Table2[[#This Row],[ActualAwayScore]] + Table2[[#This Row],[ActualHomeScore]] &lt;= 3, 1, 0)</f>
        <v>1</v>
      </c>
      <c r="AU184" s="2"/>
      <c r="AV184" s="2"/>
    </row>
    <row r="185" spans="1:48" x14ac:dyDescent="0.25">
      <c r="A185" s="3"/>
      <c r="B185" s="3">
        <v>45962</v>
      </c>
      <c r="C185" s="5">
        <v>2025020183</v>
      </c>
      <c r="D185" s="2" t="s">
        <v>23</v>
      </c>
      <c r="E185" s="2" t="s">
        <v>34</v>
      </c>
      <c r="F185" s="2"/>
      <c r="G185" s="2"/>
      <c r="H185" s="2" t="str">
        <f t="shared" si="14"/>
        <v>_</v>
      </c>
      <c r="I185" s="2"/>
      <c r="J185" s="2"/>
      <c r="K185" s="2"/>
      <c r="L185" s="2" t="str">
        <f t="shared" si="15"/>
        <v>_</v>
      </c>
      <c r="M185" s="2"/>
      <c r="N185" s="2">
        <f>IF(ISBLANK(Table2[[#This Row],[ActualResult]]), 0, 1)</f>
        <v>0</v>
      </c>
      <c r="O185" s="2" t="str">
        <f>IF(ISBLANK(Table2[[#This Row],[ActualResult]]), "_", IF(Table2[[#This Row],[ActualWinner]]=Table2[[#This Row],[PredictedWinner]], "Y", "N"))</f>
        <v>_</v>
      </c>
      <c r="P1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5" s="2"/>
      <c r="S185" s="2" t="str">
        <f t="shared" si="16"/>
        <v>_</v>
      </c>
      <c r="T1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5" s="2">
        <f>IF(Table2[[#This Row],[InterConf]]=1,IF(Table2[[#This Row],[InterDiv]]=0, 1, 0), 0)</f>
        <v>1</v>
      </c>
      <c r="W1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5" s="2"/>
      <c r="Y185" s="2"/>
      <c r="Z185" s="145">
        <f>IF(AND(Table2[[#This Row],[GameIsOver]]=1,Table2[[#This Row],[ActualHomeScore]]*Table2[[#This Row],[ActualAwayScore]]=0), 1,0)</f>
        <v>0</v>
      </c>
      <c r="AA1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5" s="2">
        <f>Table2[[#This Row],[ActualAwayScore]]-Table2[[#This Row],[PredictedAwayScore]]</f>
        <v>0</v>
      </c>
      <c r="AG185" s="2">
        <f>Table2[[#This Row],[ActualHomeScore]]-Table2[[#This Row],[PredictedHomeScore]]</f>
        <v>0</v>
      </c>
      <c r="AH185" s="2">
        <f t="shared" si="17"/>
        <v>0</v>
      </c>
      <c r="AI185" s="2">
        <f t="shared" si="18"/>
        <v>0</v>
      </c>
      <c r="AJ185" s="2"/>
      <c r="AK185" s="2"/>
      <c r="AL185" s="2">
        <f>IF(Table2[[#This Row],[GameIsOver]]=0,0,IF(Table2[[#This Row],[ActualWinner]]=Table2[[#This Row],[AwayTeam]], 1, 0))</f>
        <v>0</v>
      </c>
      <c r="AM185" s="2">
        <f>IF(Table2[[#This Row],[GameIsOver]]=0,0,IF(Table2[[#This Row],[ActualWinner]]=Table2[[#This Row],[HomeTeam]], 1, 0))</f>
        <v>0</v>
      </c>
      <c r="AN1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5" s="2" t="str">
        <f>INDEX(Sheet5!$B$2:$AG$33, MATCH(Table2[[#This Row],[AwayTeam]],Sheet5!$A$2:$A$33, 0), MATCH(Table2[[#This Row],[HomeTeam]],Sheet5!$A$2:$A$33, 0))</f>
        <v>0-0-0</v>
      </c>
      <c r="AP185" s="2" t="str">
        <f>INDEX(Sheet5!$B$2:$AG$33, MATCH(Table2[[#This Row],[HomeTeam]],Sheet5!$A$2:$A$33, 0), MATCH(Table2[[#This Row],[AwayTeam]],Sheet5!$A$2:$A$33, 0))</f>
        <v>0-0-0</v>
      </c>
      <c r="AQ185" s="2">
        <f>IF(Table2[[#This Row],[GameHasShutOut]], 1, 0)</f>
        <v>0</v>
      </c>
      <c r="AR185" s="2">
        <f>IF(Table2[[#This Row],[ActualAwayScore]] + Table2[[#This Row],[ActualHomeScore]] &gt;= 10, 1, 0)</f>
        <v>0</v>
      </c>
      <c r="AS185" s="2">
        <f>IF(ABS(Table2[[#This Row],[ActualAwayScore]]-Table2[[#This Row],[ActualHomeScore]])&gt;=5, 1, 0)</f>
        <v>0</v>
      </c>
      <c r="AT185" s="2">
        <f>IF(Table2[[#This Row],[ActualAwayScore]] + Table2[[#This Row],[ActualHomeScore]] &lt;= 3, 1, 0)</f>
        <v>1</v>
      </c>
      <c r="AU185" s="2"/>
      <c r="AV185" s="2"/>
    </row>
    <row r="186" spans="1:48" x14ac:dyDescent="0.25">
      <c r="A186" s="3"/>
      <c r="B186" s="3">
        <v>45962</v>
      </c>
      <c r="C186" s="5">
        <v>2025020184</v>
      </c>
      <c r="D186" s="2" t="s">
        <v>25</v>
      </c>
      <c r="E186" s="2" t="s">
        <v>37</v>
      </c>
      <c r="F186" s="2"/>
      <c r="G186" s="2"/>
      <c r="H186" s="2" t="str">
        <f t="shared" si="14"/>
        <v>_</v>
      </c>
      <c r="I186" s="2"/>
      <c r="J186" s="2"/>
      <c r="K186" s="2"/>
      <c r="L186" s="2" t="str">
        <f t="shared" si="15"/>
        <v>_</v>
      </c>
      <c r="M186" s="2"/>
      <c r="N186" s="2">
        <f>IF(ISBLANK(Table2[[#This Row],[ActualResult]]), 0, 1)</f>
        <v>0</v>
      </c>
      <c r="O186" s="2" t="str">
        <f>IF(ISBLANK(Table2[[#This Row],[ActualResult]]), "_", IF(Table2[[#This Row],[ActualWinner]]=Table2[[#This Row],[PredictedWinner]], "Y", "N"))</f>
        <v>_</v>
      </c>
      <c r="P1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6" s="2"/>
      <c r="S186" s="2" t="str">
        <f t="shared" si="16"/>
        <v>_</v>
      </c>
      <c r="T1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6" s="2">
        <f>IF(Table2[[#This Row],[InterConf]]=1,IF(Table2[[#This Row],[InterDiv]]=0, 1, 0), 0)</f>
        <v>1</v>
      </c>
      <c r="W1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6" s="2"/>
      <c r="Y186" s="2"/>
      <c r="Z186" s="145">
        <f>IF(AND(Table2[[#This Row],[GameIsOver]]=1,Table2[[#This Row],[ActualHomeScore]]*Table2[[#This Row],[ActualAwayScore]]=0), 1,0)</f>
        <v>0</v>
      </c>
      <c r="AA1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6" s="2">
        <f>Table2[[#This Row],[ActualAwayScore]]-Table2[[#This Row],[PredictedAwayScore]]</f>
        <v>0</v>
      </c>
      <c r="AG186" s="2">
        <f>Table2[[#This Row],[ActualHomeScore]]-Table2[[#This Row],[PredictedHomeScore]]</f>
        <v>0</v>
      </c>
      <c r="AH186" s="2">
        <f t="shared" si="17"/>
        <v>0</v>
      </c>
      <c r="AI186" s="2">
        <f t="shared" si="18"/>
        <v>0</v>
      </c>
      <c r="AJ186" s="2"/>
      <c r="AK186" s="2"/>
      <c r="AL186" s="2">
        <f>IF(Table2[[#This Row],[GameIsOver]]=0,0,IF(Table2[[#This Row],[ActualWinner]]=Table2[[#This Row],[AwayTeam]], 1, 0))</f>
        <v>0</v>
      </c>
      <c r="AM186" s="2">
        <f>IF(Table2[[#This Row],[GameIsOver]]=0,0,IF(Table2[[#This Row],[ActualWinner]]=Table2[[#This Row],[HomeTeam]], 1, 0))</f>
        <v>0</v>
      </c>
      <c r="AN1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6" s="2" t="str">
        <f>INDEX(Sheet5!$B$2:$AG$33, MATCH(Table2[[#This Row],[AwayTeam]],Sheet5!$A$2:$A$33, 0), MATCH(Table2[[#This Row],[HomeTeam]],Sheet5!$A$2:$A$33, 0))</f>
        <v>0-0-0</v>
      </c>
      <c r="AP186" s="2" t="str">
        <f>INDEX(Sheet5!$B$2:$AG$33, MATCH(Table2[[#This Row],[HomeTeam]],Sheet5!$A$2:$A$33, 0), MATCH(Table2[[#This Row],[AwayTeam]],Sheet5!$A$2:$A$33, 0))</f>
        <v>0-0-0</v>
      </c>
      <c r="AQ186" s="2">
        <f>IF(Table2[[#This Row],[GameHasShutOut]], 1, 0)</f>
        <v>0</v>
      </c>
      <c r="AR186" s="2">
        <f>IF(Table2[[#This Row],[ActualAwayScore]] + Table2[[#This Row],[ActualHomeScore]] &gt;= 10, 1, 0)</f>
        <v>0</v>
      </c>
      <c r="AS186" s="2">
        <f>IF(ABS(Table2[[#This Row],[ActualAwayScore]]-Table2[[#This Row],[ActualHomeScore]])&gt;=5, 1, 0)</f>
        <v>0</v>
      </c>
      <c r="AT186" s="2">
        <f>IF(Table2[[#This Row],[ActualAwayScore]] + Table2[[#This Row],[ActualHomeScore]] &lt;= 3, 1, 0)</f>
        <v>1</v>
      </c>
      <c r="AU186" s="2"/>
      <c r="AV186" s="2"/>
    </row>
    <row r="187" spans="1:48" x14ac:dyDescent="0.25">
      <c r="A187" s="3"/>
      <c r="B187" s="3">
        <v>45962</v>
      </c>
      <c r="C187" s="5">
        <v>2025020185</v>
      </c>
      <c r="D187" s="2" t="s">
        <v>33</v>
      </c>
      <c r="E187" s="2" t="s">
        <v>13</v>
      </c>
      <c r="F187" s="2"/>
      <c r="G187" s="2"/>
      <c r="H187" s="2" t="str">
        <f t="shared" si="14"/>
        <v>_</v>
      </c>
      <c r="I187" s="2"/>
      <c r="J187" s="2"/>
      <c r="K187" s="2"/>
      <c r="L187" s="2" t="str">
        <f t="shared" si="15"/>
        <v>_</v>
      </c>
      <c r="M187" s="2"/>
      <c r="N187" s="2">
        <f>IF(ISBLANK(Table2[[#This Row],[ActualResult]]), 0, 1)</f>
        <v>0</v>
      </c>
      <c r="O187" s="2" t="str">
        <f>IF(ISBLANK(Table2[[#This Row],[ActualResult]]), "_", IF(Table2[[#This Row],[ActualWinner]]=Table2[[#This Row],[PredictedWinner]], "Y", "N"))</f>
        <v>_</v>
      </c>
      <c r="P1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7" s="2"/>
      <c r="S187" s="2" t="str">
        <f t="shared" si="16"/>
        <v>_</v>
      </c>
      <c r="T1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7" s="2">
        <f>IF(Table2[[#This Row],[InterConf]]=1,IF(Table2[[#This Row],[InterDiv]]=0, 1, 0), 0)</f>
        <v>0</v>
      </c>
      <c r="W1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7" s="2"/>
      <c r="Y187" s="2"/>
      <c r="Z187" s="145">
        <f>IF(AND(Table2[[#This Row],[GameIsOver]]=1,Table2[[#This Row],[ActualHomeScore]]*Table2[[#This Row],[ActualAwayScore]]=0), 1,0)</f>
        <v>0</v>
      </c>
      <c r="AA1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7" s="2">
        <f>Table2[[#This Row],[ActualAwayScore]]-Table2[[#This Row],[PredictedAwayScore]]</f>
        <v>0</v>
      </c>
      <c r="AG187" s="2">
        <f>Table2[[#This Row],[ActualHomeScore]]-Table2[[#This Row],[PredictedHomeScore]]</f>
        <v>0</v>
      </c>
      <c r="AH187" s="2">
        <f t="shared" si="17"/>
        <v>0</v>
      </c>
      <c r="AI187" s="2">
        <f t="shared" si="18"/>
        <v>0</v>
      </c>
      <c r="AJ187" s="2"/>
      <c r="AK187" s="2"/>
      <c r="AL187" s="2">
        <f>IF(Table2[[#This Row],[GameIsOver]]=0,0,IF(Table2[[#This Row],[ActualWinner]]=Table2[[#This Row],[AwayTeam]], 1, 0))</f>
        <v>0</v>
      </c>
      <c r="AM187" s="2">
        <f>IF(Table2[[#This Row],[GameIsOver]]=0,0,IF(Table2[[#This Row],[ActualWinner]]=Table2[[#This Row],[HomeTeam]], 1, 0))</f>
        <v>0</v>
      </c>
      <c r="AN1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7" s="2" t="str">
        <f>INDEX(Sheet5!$B$2:$AG$33, MATCH(Table2[[#This Row],[AwayTeam]],Sheet5!$A$2:$A$33, 0), MATCH(Table2[[#This Row],[HomeTeam]],Sheet5!$A$2:$A$33, 0))</f>
        <v>0-0-0</v>
      </c>
      <c r="AP187" s="2" t="str">
        <f>INDEX(Sheet5!$B$2:$AG$33, MATCH(Table2[[#This Row],[HomeTeam]],Sheet5!$A$2:$A$33, 0), MATCH(Table2[[#This Row],[AwayTeam]],Sheet5!$A$2:$A$33, 0))</f>
        <v>0-0-0</v>
      </c>
      <c r="AQ187" s="2">
        <f>IF(Table2[[#This Row],[GameHasShutOut]], 1, 0)</f>
        <v>0</v>
      </c>
      <c r="AR187" s="2">
        <f>IF(Table2[[#This Row],[ActualAwayScore]] + Table2[[#This Row],[ActualHomeScore]] &gt;= 10, 1, 0)</f>
        <v>0</v>
      </c>
      <c r="AS187" s="2">
        <f>IF(ABS(Table2[[#This Row],[ActualAwayScore]]-Table2[[#This Row],[ActualHomeScore]])&gt;=5, 1, 0)</f>
        <v>0</v>
      </c>
      <c r="AT187" s="2">
        <f>IF(Table2[[#This Row],[ActualAwayScore]] + Table2[[#This Row],[ActualHomeScore]] &lt;= 3, 1, 0)</f>
        <v>1</v>
      </c>
      <c r="AU187" s="2"/>
      <c r="AV187" s="2"/>
    </row>
    <row r="188" spans="1:48" x14ac:dyDescent="0.25">
      <c r="A188" s="3"/>
      <c r="B188" s="3">
        <v>45962</v>
      </c>
      <c r="C188" s="5">
        <v>2025020186</v>
      </c>
      <c r="D188" s="2" t="s">
        <v>43</v>
      </c>
      <c r="E188" s="2" t="s">
        <v>28</v>
      </c>
      <c r="F188" s="2"/>
      <c r="G188" s="2"/>
      <c r="H188" s="2" t="str">
        <f t="shared" si="14"/>
        <v>_</v>
      </c>
      <c r="I188" s="2"/>
      <c r="J188" s="2"/>
      <c r="K188" s="2"/>
      <c r="L188" s="2" t="str">
        <f t="shared" si="15"/>
        <v>_</v>
      </c>
      <c r="M188" s="2"/>
      <c r="N188" s="2">
        <f>IF(ISBLANK(Table2[[#This Row],[ActualResult]]), 0, 1)</f>
        <v>0</v>
      </c>
      <c r="O188" s="2" t="str">
        <f>IF(ISBLANK(Table2[[#This Row],[ActualResult]]), "_", IF(Table2[[#This Row],[ActualWinner]]=Table2[[#This Row],[PredictedWinner]], "Y", "N"))</f>
        <v>_</v>
      </c>
      <c r="P1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8" s="2"/>
      <c r="S188" s="2" t="str">
        <f t="shared" si="16"/>
        <v>_</v>
      </c>
      <c r="T1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8" s="2">
        <f>IF(Table2[[#This Row],[InterConf]]=1,IF(Table2[[#This Row],[InterDiv]]=0, 1, 0), 0)</f>
        <v>1</v>
      </c>
      <c r="W1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8" s="2"/>
      <c r="Y188" s="2"/>
      <c r="Z188" s="145">
        <f>IF(AND(Table2[[#This Row],[GameIsOver]]=1,Table2[[#This Row],[ActualHomeScore]]*Table2[[#This Row],[ActualAwayScore]]=0), 1,0)</f>
        <v>0</v>
      </c>
      <c r="AA1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8" s="2">
        <f>Table2[[#This Row],[ActualAwayScore]]-Table2[[#This Row],[PredictedAwayScore]]</f>
        <v>0</v>
      </c>
      <c r="AG188" s="2">
        <f>Table2[[#This Row],[ActualHomeScore]]-Table2[[#This Row],[PredictedHomeScore]]</f>
        <v>0</v>
      </c>
      <c r="AH188" s="2">
        <f t="shared" si="17"/>
        <v>0</v>
      </c>
      <c r="AI188" s="2">
        <f t="shared" si="18"/>
        <v>0</v>
      </c>
      <c r="AJ188" s="2"/>
      <c r="AK188" s="2"/>
      <c r="AL188" s="2">
        <f>IF(Table2[[#This Row],[GameIsOver]]=0,0,IF(Table2[[#This Row],[ActualWinner]]=Table2[[#This Row],[AwayTeam]], 1, 0))</f>
        <v>0</v>
      </c>
      <c r="AM188" s="2">
        <f>IF(Table2[[#This Row],[GameIsOver]]=0,0,IF(Table2[[#This Row],[ActualWinner]]=Table2[[#This Row],[HomeTeam]], 1, 0))</f>
        <v>0</v>
      </c>
      <c r="AN1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8" s="2" t="str">
        <f>INDEX(Sheet5!$B$2:$AG$33, MATCH(Table2[[#This Row],[AwayTeam]],Sheet5!$A$2:$A$33, 0), MATCH(Table2[[#This Row],[HomeTeam]],Sheet5!$A$2:$A$33, 0))</f>
        <v>0-0-0</v>
      </c>
      <c r="AP188" s="2" t="str">
        <f>INDEX(Sheet5!$B$2:$AG$33, MATCH(Table2[[#This Row],[HomeTeam]],Sheet5!$A$2:$A$33, 0), MATCH(Table2[[#This Row],[AwayTeam]],Sheet5!$A$2:$A$33, 0))</f>
        <v>0-0-0</v>
      </c>
      <c r="AQ188" s="2">
        <f>IF(Table2[[#This Row],[GameHasShutOut]], 1, 0)</f>
        <v>0</v>
      </c>
      <c r="AR188" s="2">
        <f>IF(Table2[[#This Row],[ActualAwayScore]] + Table2[[#This Row],[ActualHomeScore]] &gt;= 10, 1, 0)</f>
        <v>0</v>
      </c>
      <c r="AS188" s="2">
        <f>IF(ABS(Table2[[#This Row],[ActualAwayScore]]-Table2[[#This Row],[ActualHomeScore]])&gt;=5, 1, 0)</f>
        <v>0</v>
      </c>
      <c r="AT188" s="2">
        <f>IF(Table2[[#This Row],[ActualAwayScore]] + Table2[[#This Row],[ActualHomeScore]] &lt;= 3, 1, 0)</f>
        <v>1</v>
      </c>
      <c r="AU188" s="2"/>
      <c r="AV188" s="2"/>
    </row>
    <row r="189" spans="1:48" x14ac:dyDescent="0.25">
      <c r="A189" s="3"/>
      <c r="B189" s="3">
        <v>45962</v>
      </c>
      <c r="C189" s="5">
        <v>2025020187</v>
      </c>
      <c r="D189" s="2" t="s">
        <v>29</v>
      </c>
      <c r="E189" s="2" t="s">
        <v>18</v>
      </c>
      <c r="F189" s="2"/>
      <c r="G189" s="2"/>
      <c r="H189" s="2" t="str">
        <f t="shared" si="14"/>
        <v>_</v>
      </c>
      <c r="I189" s="2"/>
      <c r="J189" s="2"/>
      <c r="K189" s="2"/>
      <c r="L189" s="2" t="str">
        <f t="shared" si="15"/>
        <v>_</v>
      </c>
      <c r="M189" s="2"/>
      <c r="N189" s="2">
        <f>IF(ISBLANK(Table2[[#This Row],[ActualResult]]), 0, 1)</f>
        <v>0</v>
      </c>
      <c r="O189" s="2" t="str">
        <f>IF(ISBLANK(Table2[[#This Row],[ActualResult]]), "_", IF(Table2[[#This Row],[ActualWinner]]=Table2[[#This Row],[PredictedWinner]], "Y", "N"))</f>
        <v>_</v>
      </c>
      <c r="P1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9" s="2"/>
      <c r="S189" s="2" t="str">
        <f t="shared" si="16"/>
        <v>_</v>
      </c>
      <c r="T1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89" s="2">
        <f>IF(Table2[[#This Row],[InterConf]]=1,IF(Table2[[#This Row],[InterDiv]]=0, 1, 0), 0)</f>
        <v>0</v>
      </c>
      <c r="W1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9" s="2"/>
      <c r="Y189" s="2"/>
      <c r="Z189" s="145">
        <f>IF(AND(Table2[[#This Row],[GameIsOver]]=1,Table2[[#This Row],[ActualHomeScore]]*Table2[[#This Row],[ActualAwayScore]]=0), 1,0)</f>
        <v>0</v>
      </c>
      <c r="AA1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9" s="2">
        <f>Table2[[#This Row],[ActualAwayScore]]-Table2[[#This Row],[PredictedAwayScore]]</f>
        <v>0</v>
      </c>
      <c r="AG189" s="2">
        <f>Table2[[#This Row],[ActualHomeScore]]-Table2[[#This Row],[PredictedHomeScore]]</f>
        <v>0</v>
      </c>
      <c r="AH189" s="2">
        <f t="shared" si="17"/>
        <v>0</v>
      </c>
      <c r="AI189" s="2">
        <f t="shared" si="18"/>
        <v>0</v>
      </c>
      <c r="AJ189" s="2"/>
      <c r="AK189" s="2"/>
      <c r="AL189" s="2">
        <f>IF(Table2[[#This Row],[GameIsOver]]=0,0,IF(Table2[[#This Row],[ActualWinner]]=Table2[[#This Row],[AwayTeam]], 1, 0))</f>
        <v>0</v>
      </c>
      <c r="AM189" s="2">
        <f>IF(Table2[[#This Row],[GameIsOver]]=0,0,IF(Table2[[#This Row],[ActualWinner]]=Table2[[#This Row],[HomeTeam]], 1, 0))</f>
        <v>0</v>
      </c>
      <c r="AN1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9" s="2" t="str">
        <f>INDEX(Sheet5!$B$2:$AG$33, MATCH(Table2[[#This Row],[AwayTeam]],Sheet5!$A$2:$A$33, 0), MATCH(Table2[[#This Row],[HomeTeam]],Sheet5!$A$2:$A$33, 0))</f>
        <v>0-0-0</v>
      </c>
      <c r="AP189" s="2" t="str">
        <f>INDEX(Sheet5!$B$2:$AG$33, MATCH(Table2[[#This Row],[HomeTeam]],Sheet5!$A$2:$A$33, 0), MATCH(Table2[[#This Row],[AwayTeam]],Sheet5!$A$2:$A$33, 0))</f>
        <v>0-0-0</v>
      </c>
      <c r="AQ189" s="2">
        <f>IF(Table2[[#This Row],[GameHasShutOut]], 1, 0)</f>
        <v>0</v>
      </c>
      <c r="AR189" s="2">
        <f>IF(Table2[[#This Row],[ActualAwayScore]] + Table2[[#This Row],[ActualHomeScore]] &gt;= 10, 1, 0)</f>
        <v>0</v>
      </c>
      <c r="AS189" s="2">
        <f>IF(ABS(Table2[[#This Row],[ActualAwayScore]]-Table2[[#This Row],[ActualHomeScore]])&gt;=5, 1, 0)</f>
        <v>0</v>
      </c>
      <c r="AT189" s="2">
        <f>IF(Table2[[#This Row],[ActualAwayScore]] + Table2[[#This Row],[ActualHomeScore]] &lt;= 3, 1, 0)</f>
        <v>1</v>
      </c>
      <c r="AU189" s="2"/>
      <c r="AV189" s="2"/>
    </row>
    <row r="190" spans="1:48" x14ac:dyDescent="0.25">
      <c r="A190" s="3"/>
      <c r="B190" s="3">
        <v>45962</v>
      </c>
      <c r="C190" s="5">
        <v>2025020188</v>
      </c>
      <c r="D190" s="2" t="s">
        <v>17</v>
      </c>
      <c r="E190" s="2" t="s">
        <v>42</v>
      </c>
      <c r="F190" s="2"/>
      <c r="G190" s="2"/>
      <c r="H190" s="2" t="str">
        <f t="shared" si="14"/>
        <v>_</v>
      </c>
      <c r="I190" s="2"/>
      <c r="J190" s="2"/>
      <c r="K190" s="2"/>
      <c r="L190" s="2" t="str">
        <f t="shared" si="15"/>
        <v>_</v>
      </c>
      <c r="M190" s="2"/>
      <c r="N190" s="2">
        <f>IF(ISBLANK(Table2[[#This Row],[ActualResult]]), 0, 1)</f>
        <v>0</v>
      </c>
      <c r="O190" s="2" t="str">
        <f>IF(ISBLANK(Table2[[#This Row],[ActualResult]]), "_", IF(Table2[[#This Row],[ActualWinner]]=Table2[[#This Row],[PredictedWinner]], "Y", "N"))</f>
        <v>_</v>
      </c>
      <c r="P1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0" s="2"/>
      <c r="S190" s="2" t="str">
        <f t="shared" si="16"/>
        <v>_</v>
      </c>
      <c r="T1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0" s="2">
        <f>IF(Table2[[#This Row],[InterConf]]=1,IF(Table2[[#This Row],[InterDiv]]=0, 1, 0), 0)</f>
        <v>1</v>
      </c>
      <c r="W1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0" s="2"/>
      <c r="Y190" s="2"/>
      <c r="Z190" s="145">
        <f>IF(AND(Table2[[#This Row],[GameIsOver]]=1,Table2[[#This Row],[ActualHomeScore]]*Table2[[#This Row],[ActualAwayScore]]=0), 1,0)</f>
        <v>0</v>
      </c>
      <c r="AA1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90" s="2">
        <f>Table2[[#This Row],[ActualAwayScore]]-Table2[[#This Row],[PredictedAwayScore]]</f>
        <v>0</v>
      </c>
      <c r="AG190" s="2">
        <f>Table2[[#This Row],[ActualHomeScore]]-Table2[[#This Row],[PredictedHomeScore]]</f>
        <v>0</v>
      </c>
      <c r="AH190" s="2">
        <f t="shared" si="17"/>
        <v>0</v>
      </c>
      <c r="AI190" s="2">
        <f t="shared" si="18"/>
        <v>0</v>
      </c>
      <c r="AJ190" s="2"/>
      <c r="AK190" s="2"/>
      <c r="AL190" s="2">
        <f>IF(Table2[[#This Row],[GameIsOver]]=0,0,IF(Table2[[#This Row],[ActualWinner]]=Table2[[#This Row],[AwayTeam]], 1, 0))</f>
        <v>0</v>
      </c>
      <c r="AM190" s="2">
        <f>IF(Table2[[#This Row],[GameIsOver]]=0,0,IF(Table2[[#This Row],[ActualWinner]]=Table2[[#This Row],[HomeTeam]], 1, 0))</f>
        <v>0</v>
      </c>
      <c r="AN1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0" s="2" t="str">
        <f>INDEX(Sheet5!$B$2:$AG$33, MATCH(Table2[[#This Row],[AwayTeam]],Sheet5!$A$2:$A$33, 0), MATCH(Table2[[#This Row],[HomeTeam]],Sheet5!$A$2:$A$33, 0))</f>
        <v>0-0-0</v>
      </c>
      <c r="AP190" s="2" t="str">
        <f>INDEX(Sheet5!$B$2:$AG$33, MATCH(Table2[[#This Row],[HomeTeam]],Sheet5!$A$2:$A$33, 0), MATCH(Table2[[#This Row],[AwayTeam]],Sheet5!$A$2:$A$33, 0))</f>
        <v>0-0-0</v>
      </c>
      <c r="AQ190" s="2">
        <f>IF(Table2[[#This Row],[GameHasShutOut]], 1, 0)</f>
        <v>0</v>
      </c>
      <c r="AR190" s="2">
        <f>IF(Table2[[#This Row],[ActualAwayScore]] + Table2[[#This Row],[ActualHomeScore]] &gt;= 10, 1, 0)</f>
        <v>0</v>
      </c>
      <c r="AS190" s="2">
        <f>IF(ABS(Table2[[#This Row],[ActualAwayScore]]-Table2[[#This Row],[ActualHomeScore]])&gt;=5, 1, 0)</f>
        <v>0</v>
      </c>
      <c r="AT190" s="2">
        <f>IF(Table2[[#This Row],[ActualAwayScore]] + Table2[[#This Row],[ActualHomeScore]] &lt;= 3, 1, 0)</f>
        <v>1</v>
      </c>
      <c r="AU190" s="2"/>
      <c r="AV190" s="2"/>
    </row>
    <row r="191" spans="1:48" x14ac:dyDescent="0.25">
      <c r="A191" s="3"/>
      <c r="B191" s="3">
        <v>45962</v>
      </c>
      <c r="C191" s="5">
        <v>2025020189</v>
      </c>
      <c r="D191" s="2" t="s">
        <v>12</v>
      </c>
      <c r="E191" s="2" t="s">
        <v>35</v>
      </c>
      <c r="F191" s="2"/>
      <c r="G191" s="2"/>
      <c r="H191" s="2" t="str">
        <f t="shared" si="14"/>
        <v>_</v>
      </c>
      <c r="I191" s="2"/>
      <c r="J191" s="2"/>
      <c r="K191" s="2"/>
      <c r="L191" s="2" t="str">
        <f t="shared" si="15"/>
        <v>_</v>
      </c>
      <c r="M191" s="2"/>
      <c r="N191" s="2">
        <f>IF(ISBLANK(Table2[[#This Row],[ActualResult]]), 0, 1)</f>
        <v>0</v>
      </c>
      <c r="O191" s="2" t="str">
        <f>IF(ISBLANK(Table2[[#This Row],[ActualResult]]), "_", IF(Table2[[#This Row],[ActualWinner]]=Table2[[#This Row],[PredictedWinner]], "Y", "N"))</f>
        <v>_</v>
      </c>
      <c r="P1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1" s="2"/>
      <c r="S191" s="2" t="str">
        <f t="shared" si="16"/>
        <v>_</v>
      </c>
      <c r="T1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1" s="2">
        <f>IF(Table2[[#This Row],[InterConf]]=1,IF(Table2[[#This Row],[InterDiv]]=0, 1, 0), 0)</f>
        <v>0</v>
      </c>
      <c r="W1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1" s="2"/>
      <c r="Y191" s="2"/>
      <c r="Z191" s="145">
        <f>IF(AND(Table2[[#This Row],[GameIsOver]]=1,Table2[[#This Row],[ActualHomeScore]]*Table2[[#This Row],[ActualAwayScore]]=0), 1,0)</f>
        <v>0</v>
      </c>
      <c r="AA1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91" s="2">
        <f>Table2[[#This Row],[ActualAwayScore]]-Table2[[#This Row],[PredictedAwayScore]]</f>
        <v>0</v>
      </c>
      <c r="AG191" s="2">
        <f>Table2[[#This Row],[ActualHomeScore]]-Table2[[#This Row],[PredictedHomeScore]]</f>
        <v>0</v>
      </c>
      <c r="AH191" s="2">
        <f t="shared" si="17"/>
        <v>0</v>
      </c>
      <c r="AI191" s="2">
        <f t="shared" si="18"/>
        <v>0</v>
      </c>
      <c r="AJ191" s="2"/>
      <c r="AK191" s="2"/>
      <c r="AL191" s="2">
        <f>IF(Table2[[#This Row],[GameIsOver]]=0,0,IF(Table2[[#This Row],[ActualWinner]]=Table2[[#This Row],[AwayTeam]], 1, 0))</f>
        <v>0</v>
      </c>
      <c r="AM191" s="2">
        <f>IF(Table2[[#This Row],[GameIsOver]]=0,0,IF(Table2[[#This Row],[ActualWinner]]=Table2[[#This Row],[HomeTeam]], 1, 0))</f>
        <v>0</v>
      </c>
      <c r="AN1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1" s="2" t="str">
        <f>INDEX(Sheet5!$B$2:$AG$33, MATCH(Table2[[#This Row],[AwayTeam]],Sheet5!$A$2:$A$33, 0), MATCH(Table2[[#This Row],[HomeTeam]],Sheet5!$A$2:$A$33, 0))</f>
        <v>0-0-0</v>
      </c>
      <c r="AP191" s="2" t="str">
        <f>INDEX(Sheet5!$B$2:$AG$33, MATCH(Table2[[#This Row],[HomeTeam]],Sheet5!$A$2:$A$33, 0), MATCH(Table2[[#This Row],[AwayTeam]],Sheet5!$A$2:$A$33, 0))</f>
        <v>0-0-0</v>
      </c>
      <c r="AQ191" s="2">
        <f>IF(Table2[[#This Row],[GameHasShutOut]], 1, 0)</f>
        <v>0</v>
      </c>
      <c r="AR191" s="2">
        <f>IF(Table2[[#This Row],[ActualAwayScore]] + Table2[[#This Row],[ActualHomeScore]] &gt;= 10, 1, 0)</f>
        <v>0</v>
      </c>
      <c r="AS191" s="2">
        <f>IF(ABS(Table2[[#This Row],[ActualAwayScore]]-Table2[[#This Row],[ActualHomeScore]])&gt;=5, 1, 0)</f>
        <v>0</v>
      </c>
      <c r="AT191" s="2">
        <f>IF(Table2[[#This Row],[ActualAwayScore]] + Table2[[#This Row],[ActualHomeScore]] &lt;= 3, 1, 0)</f>
        <v>1</v>
      </c>
      <c r="AU191" s="2"/>
      <c r="AV191" s="2"/>
    </row>
    <row r="192" spans="1:48" x14ac:dyDescent="0.25">
      <c r="A192" s="3"/>
      <c r="B192" s="3">
        <v>45962</v>
      </c>
      <c r="C192" s="5">
        <v>2025020190</v>
      </c>
      <c r="D192" s="2" t="s">
        <v>24</v>
      </c>
      <c r="E192" s="2" t="s">
        <v>36</v>
      </c>
      <c r="F192" s="2"/>
      <c r="G192" s="2"/>
      <c r="H192" s="2" t="str">
        <f t="shared" si="14"/>
        <v>_</v>
      </c>
      <c r="I192" s="2"/>
      <c r="J192" s="2"/>
      <c r="K192" s="2"/>
      <c r="L192" s="2" t="str">
        <f t="shared" si="15"/>
        <v>_</v>
      </c>
      <c r="M192" s="2"/>
      <c r="N192" s="2">
        <f>IF(ISBLANK(Table2[[#This Row],[ActualResult]]), 0, 1)</f>
        <v>0</v>
      </c>
      <c r="O192" s="2" t="str">
        <f>IF(ISBLANK(Table2[[#This Row],[ActualResult]]), "_", IF(Table2[[#This Row],[ActualWinner]]=Table2[[#This Row],[PredictedWinner]], "Y", "N"))</f>
        <v>_</v>
      </c>
      <c r="P1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2" s="2"/>
      <c r="S192" s="2" t="str">
        <f t="shared" si="16"/>
        <v>_</v>
      </c>
      <c r="T1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2" s="2">
        <f>IF(Table2[[#This Row],[InterConf]]=1,IF(Table2[[#This Row],[InterDiv]]=0, 1, 0), 0)</f>
        <v>1</v>
      </c>
      <c r="W1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2" s="2"/>
      <c r="Y192" s="2"/>
      <c r="Z192" s="145">
        <f>IF(AND(Table2[[#This Row],[GameIsOver]]=1,Table2[[#This Row],[ActualHomeScore]]*Table2[[#This Row],[ActualAwayScore]]=0), 1,0)</f>
        <v>0</v>
      </c>
      <c r="AA1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92" s="2">
        <f>Table2[[#This Row],[ActualAwayScore]]-Table2[[#This Row],[PredictedAwayScore]]</f>
        <v>0</v>
      </c>
      <c r="AG192" s="2">
        <f>Table2[[#This Row],[ActualHomeScore]]-Table2[[#This Row],[PredictedHomeScore]]</f>
        <v>0</v>
      </c>
      <c r="AH192" s="2">
        <f t="shared" si="17"/>
        <v>0</v>
      </c>
      <c r="AI192" s="2">
        <f t="shared" si="18"/>
        <v>0</v>
      </c>
      <c r="AJ192" s="2"/>
      <c r="AK192" s="2"/>
      <c r="AL192" s="2">
        <f>IF(Table2[[#This Row],[GameIsOver]]=0,0,IF(Table2[[#This Row],[ActualWinner]]=Table2[[#This Row],[AwayTeam]], 1, 0))</f>
        <v>0</v>
      </c>
      <c r="AM192" s="2">
        <f>IF(Table2[[#This Row],[GameIsOver]]=0,0,IF(Table2[[#This Row],[ActualWinner]]=Table2[[#This Row],[HomeTeam]], 1, 0))</f>
        <v>0</v>
      </c>
      <c r="AN1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2" s="2" t="str">
        <f>INDEX(Sheet5!$B$2:$AG$33, MATCH(Table2[[#This Row],[AwayTeam]],Sheet5!$A$2:$A$33, 0), MATCH(Table2[[#This Row],[HomeTeam]],Sheet5!$A$2:$A$33, 0))</f>
        <v>0-0-0</v>
      </c>
      <c r="AP192" s="2" t="str">
        <f>INDEX(Sheet5!$B$2:$AG$33, MATCH(Table2[[#This Row],[HomeTeam]],Sheet5!$A$2:$A$33, 0), MATCH(Table2[[#This Row],[AwayTeam]],Sheet5!$A$2:$A$33, 0))</f>
        <v>0-0-0</v>
      </c>
      <c r="AQ192" s="2">
        <f>IF(Table2[[#This Row],[GameHasShutOut]], 1, 0)</f>
        <v>0</v>
      </c>
      <c r="AR192" s="2">
        <f>IF(Table2[[#This Row],[ActualAwayScore]] + Table2[[#This Row],[ActualHomeScore]] &gt;= 10, 1, 0)</f>
        <v>0</v>
      </c>
      <c r="AS192" s="2">
        <f>IF(ABS(Table2[[#This Row],[ActualAwayScore]]-Table2[[#This Row],[ActualHomeScore]])&gt;=5, 1, 0)</f>
        <v>0</v>
      </c>
      <c r="AT192" s="2">
        <f>IF(Table2[[#This Row],[ActualAwayScore]] + Table2[[#This Row],[ActualHomeScore]] &lt;= 3, 1, 0)</f>
        <v>1</v>
      </c>
      <c r="AU192" s="2"/>
      <c r="AV192" s="2"/>
    </row>
    <row r="193" spans="1:48" x14ac:dyDescent="0.25">
      <c r="A193" s="3"/>
      <c r="B193" s="3">
        <v>45963</v>
      </c>
      <c r="C193" s="5">
        <v>2025020191</v>
      </c>
      <c r="D193" s="2" t="s">
        <v>31</v>
      </c>
      <c r="E193" s="2" t="s">
        <v>27</v>
      </c>
      <c r="F193" s="2"/>
      <c r="G193" s="2"/>
      <c r="H193" s="2" t="str">
        <f t="shared" si="14"/>
        <v>_</v>
      </c>
      <c r="I193" s="2"/>
      <c r="J193" s="2"/>
      <c r="K193" s="2"/>
      <c r="L193" s="2" t="str">
        <f t="shared" si="15"/>
        <v>_</v>
      </c>
      <c r="M193" s="2"/>
      <c r="N193" s="2">
        <f>IF(ISBLANK(Table2[[#This Row],[ActualResult]]), 0, 1)</f>
        <v>0</v>
      </c>
      <c r="O193" s="2" t="str">
        <f>IF(ISBLANK(Table2[[#This Row],[ActualResult]]), "_", IF(Table2[[#This Row],[ActualWinner]]=Table2[[#This Row],[PredictedWinner]], "Y", "N"))</f>
        <v>_</v>
      </c>
      <c r="P1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3" s="2"/>
      <c r="S193" s="2" t="str">
        <f t="shared" si="16"/>
        <v>_</v>
      </c>
      <c r="T1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3" s="2">
        <f>IF(Table2[[#This Row],[InterConf]]=1,IF(Table2[[#This Row],[InterDiv]]=0, 1, 0), 0)</f>
        <v>0</v>
      </c>
      <c r="W1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3" s="2"/>
      <c r="Y193" s="2"/>
      <c r="Z193" s="145">
        <f>IF(AND(Table2[[#This Row],[GameIsOver]]=1,Table2[[#This Row],[ActualHomeScore]]*Table2[[#This Row],[ActualAwayScore]]=0), 1,0)</f>
        <v>0</v>
      </c>
      <c r="AA1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3" s="2">
        <f>Table2[[#This Row],[ActualAwayScore]]-Table2[[#This Row],[PredictedAwayScore]]</f>
        <v>0</v>
      </c>
      <c r="AG193" s="2">
        <f>Table2[[#This Row],[ActualHomeScore]]-Table2[[#This Row],[PredictedHomeScore]]</f>
        <v>0</v>
      </c>
      <c r="AH193" s="2">
        <f t="shared" si="17"/>
        <v>0</v>
      </c>
      <c r="AI193" s="2">
        <f t="shared" si="18"/>
        <v>0</v>
      </c>
      <c r="AJ193" s="2"/>
      <c r="AK193" s="2"/>
      <c r="AL193" s="2">
        <f>IF(Table2[[#This Row],[GameIsOver]]=0,0,IF(Table2[[#This Row],[ActualWinner]]=Table2[[#This Row],[AwayTeam]], 1, 0))</f>
        <v>0</v>
      </c>
      <c r="AM193" s="2">
        <f>IF(Table2[[#This Row],[GameIsOver]]=0,0,IF(Table2[[#This Row],[ActualWinner]]=Table2[[#This Row],[HomeTeam]], 1, 0))</f>
        <v>0</v>
      </c>
      <c r="AN193" s="2">
        <f>IF(IFERROR(FIND(Table2[[#This Row],[AwayTeam]], _xlfn.TEXTJOIN(";", 1, $BD$31:$BD$40)), 0) &gt; 0, 1, 0) + IF(IFERROR(FIND(Table2[[#This Row],[HomeTeam]], _xlfn.TEXTJOIN(";", 1, $BD$31:$BD$40)), 0) &gt; 0, 1, 0)</f>
        <v>1</v>
      </c>
      <c r="AO193" s="2" t="str">
        <f>INDEX(Sheet5!$B$2:$AG$33, MATCH(Table2[[#This Row],[AwayTeam]],Sheet5!$A$2:$A$33, 0), MATCH(Table2[[#This Row],[HomeTeam]],Sheet5!$A$2:$A$33, 0))</f>
        <v>0-0-0</v>
      </c>
      <c r="AP193" s="2" t="str">
        <f>INDEX(Sheet5!$B$2:$AG$33, MATCH(Table2[[#This Row],[HomeTeam]],Sheet5!$A$2:$A$33, 0), MATCH(Table2[[#This Row],[AwayTeam]],Sheet5!$A$2:$A$33, 0))</f>
        <v>0-0-0</v>
      </c>
      <c r="AQ193" s="2">
        <f>IF(Table2[[#This Row],[GameHasShutOut]], 1, 0)</f>
        <v>0</v>
      </c>
      <c r="AR193" s="2">
        <f>IF(Table2[[#This Row],[ActualAwayScore]] + Table2[[#This Row],[ActualHomeScore]] &gt;= 10, 1, 0)</f>
        <v>0</v>
      </c>
      <c r="AS193" s="2">
        <f>IF(ABS(Table2[[#This Row],[ActualAwayScore]]-Table2[[#This Row],[ActualHomeScore]])&gt;=5, 1, 0)</f>
        <v>0</v>
      </c>
      <c r="AT193" s="2">
        <f>IF(Table2[[#This Row],[ActualAwayScore]] + Table2[[#This Row],[ActualHomeScore]] &lt;= 3, 1, 0)</f>
        <v>1</v>
      </c>
      <c r="AU193" s="2"/>
      <c r="AV193" s="2"/>
    </row>
    <row r="194" spans="1:48" x14ac:dyDescent="0.25">
      <c r="A194" s="3"/>
      <c r="B194" s="3">
        <v>45963</v>
      </c>
      <c r="C194" s="5">
        <v>2025020192</v>
      </c>
      <c r="D194" s="2" t="s">
        <v>16</v>
      </c>
      <c r="E194" s="2" t="s">
        <v>22</v>
      </c>
      <c r="F194" s="2"/>
      <c r="G194" s="2"/>
      <c r="H194" s="2" t="str">
        <f t="shared" si="14"/>
        <v>_</v>
      </c>
      <c r="I194" s="2"/>
      <c r="J194" s="2"/>
      <c r="K194" s="2"/>
      <c r="L194" s="2" t="str">
        <f t="shared" si="15"/>
        <v>_</v>
      </c>
      <c r="M194" s="2"/>
      <c r="N194" s="2">
        <f>IF(ISBLANK(Table2[[#This Row],[ActualResult]]), 0, 1)</f>
        <v>0</v>
      </c>
      <c r="O194" s="2" t="str">
        <f>IF(ISBLANK(Table2[[#This Row],[ActualResult]]), "_", IF(Table2[[#This Row],[ActualWinner]]=Table2[[#This Row],[PredictedWinner]], "Y", "N"))</f>
        <v>_</v>
      </c>
      <c r="P1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4" s="2"/>
      <c r="S194" s="2" t="str">
        <f t="shared" si="16"/>
        <v>_</v>
      </c>
      <c r="T1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4" s="2">
        <f>IF(Table2[[#This Row],[InterConf]]=1,IF(Table2[[#This Row],[InterDiv]]=0, 1, 0), 0)</f>
        <v>1</v>
      </c>
      <c r="W1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4" s="2"/>
      <c r="Y194" s="2"/>
      <c r="Z194" s="145">
        <f>IF(AND(Table2[[#This Row],[GameIsOver]]=1,Table2[[#This Row],[ActualHomeScore]]*Table2[[#This Row],[ActualAwayScore]]=0), 1,0)</f>
        <v>0</v>
      </c>
      <c r="AA1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4" s="2">
        <f>Table2[[#This Row],[ActualAwayScore]]-Table2[[#This Row],[PredictedAwayScore]]</f>
        <v>0</v>
      </c>
      <c r="AG194" s="2">
        <f>Table2[[#This Row],[ActualHomeScore]]-Table2[[#This Row],[PredictedHomeScore]]</f>
        <v>0</v>
      </c>
      <c r="AH194" s="2">
        <f t="shared" si="17"/>
        <v>0</v>
      </c>
      <c r="AI194" s="2">
        <f t="shared" si="18"/>
        <v>0</v>
      </c>
      <c r="AJ194" s="2"/>
      <c r="AK194" s="2"/>
      <c r="AL194" s="2">
        <f>IF(Table2[[#This Row],[GameIsOver]]=0,0,IF(Table2[[#This Row],[ActualWinner]]=Table2[[#This Row],[AwayTeam]], 1, 0))</f>
        <v>0</v>
      </c>
      <c r="AM194" s="2">
        <f>IF(Table2[[#This Row],[GameIsOver]]=0,0,IF(Table2[[#This Row],[ActualWinner]]=Table2[[#This Row],[HomeTeam]], 1, 0))</f>
        <v>0</v>
      </c>
      <c r="AN1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4" s="2" t="str">
        <f>INDEX(Sheet5!$B$2:$AG$33, MATCH(Table2[[#This Row],[AwayTeam]],Sheet5!$A$2:$A$33, 0), MATCH(Table2[[#This Row],[HomeTeam]],Sheet5!$A$2:$A$33, 0))</f>
        <v>0-0-0</v>
      </c>
      <c r="AP194" s="2" t="str">
        <f>INDEX(Sheet5!$B$2:$AG$33, MATCH(Table2[[#This Row],[HomeTeam]],Sheet5!$A$2:$A$33, 0), MATCH(Table2[[#This Row],[AwayTeam]],Sheet5!$A$2:$A$33, 0))</f>
        <v>0-0-0</v>
      </c>
      <c r="AQ194" s="2">
        <f>IF(Table2[[#This Row],[GameHasShutOut]], 1, 0)</f>
        <v>0</v>
      </c>
      <c r="AR194" s="2">
        <f>IF(Table2[[#This Row],[ActualAwayScore]] + Table2[[#This Row],[ActualHomeScore]] &gt;= 10, 1, 0)</f>
        <v>0</v>
      </c>
      <c r="AS194" s="2">
        <f>IF(ABS(Table2[[#This Row],[ActualAwayScore]]-Table2[[#This Row],[ActualHomeScore]])&gt;=5, 1, 0)</f>
        <v>0</v>
      </c>
      <c r="AT194" s="2">
        <f>IF(Table2[[#This Row],[ActualAwayScore]] + Table2[[#This Row],[ActualHomeScore]] &lt;= 3, 1, 0)</f>
        <v>1</v>
      </c>
      <c r="AU194" s="2"/>
      <c r="AV194" s="2"/>
    </row>
    <row r="195" spans="1:48" x14ac:dyDescent="0.25">
      <c r="A195" s="3"/>
      <c r="B195" s="3">
        <v>45963</v>
      </c>
      <c r="C195" s="5">
        <v>2025020193</v>
      </c>
      <c r="D195" s="2" t="s">
        <v>19</v>
      </c>
      <c r="E195" s="2" t="s">
        <v>11</v>
      </c>
      <c r="F195" s="2"/>
      <c r="G195" s="2"/>
      <c r="H195" s="2" t="str">
        <f t="shared" ref="H195:H258" si="19">IF(AND(ISBLANK($F195),ISBLANK($G195)),"_",IF($F195&gt;$G195,$D195,$E195))</f>
        <v>_</v>
      </c>
      <c r="I195" s="2"/>
      <c r="J195" s="2"/>
      <c r="K195" s="2"/>
      <c r="L195" s="2" t="str">
        <f t="shared" ref="L195:L258" si="20">IF(OR($J195=$K195,AND(ISBLANK($J195),ISBLANK($K195))),"_",IF($J195&gt;$K195,$D195,$E195))</f>
        <v>_</v>
      </c>
      <c r="M195" s="2"/>
      <c r="N195" s="2">
        <f>IF(ISBLANK(Table2[[#This Row],[ActualResult]]), 0, 1)</f>
        <v>0</v>
      </c>
      <c r="O195" s="2" t="str">
        <f>IF(ISBLANK(Table2[[#This Row],[ActualResult]]), "_", IF(Table2[[#This Row],[ActualWinner]]=Table2[[#This Row],[PredictedWinner]], "Y", "N"))</f>
        <v>_</v>
      </c>
      <c r="P1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5" s="2"/>
      <c r="S195" s="2" t="str">
        <f t="shared" ref="S195:S258" si="21">IF($L195="_", "_", IF($L195=$D195,$E195,$D195))</f>
        <v>_</v>
      </c>
      <c r="T1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5" s="2">
        <f>IF(Table2[[#This Row],[InterConf]]=1,IF(Table2[[#This Row],[InterDiv]]=0, 1, 0), 0)</f>
        <v>0</v>
      </c>
      <c r="W1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5" s="2"/>
      <c r="Y195" s="2"/>
      <c r="Z195" s="145">
        <f>IF(AND(Table2[[#This Row],[GameIsOver]]=1,Table2[[#This Row],[ActualHomeScore]]*Table2[[#This Row],[ActualAwayScore]]=0), 1,0)</f>
        <v>0</v>
      </c>
      <c r="AA1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5" s="2">
        <f>Table2[[#This Row],[ActualAwayScore]]-Table2[[#This Row],[PredictedAwayScore]]</f>
        <v>0</v>
      </c>
      <c r="AG195" s="2">
        <f>Table2[[#This Row],[ActualHomeScore]]-Table2[[#This Row],[PredictedHomeScore]]</f>
        <v>0</v>
      </c>
      <c r="AH195" s="2">
        <f t="shared" ref="AH195:AH258" si="22">SUMIF($B$3:$B$1315, $B195, $AF$3:$AF$1315)</f>
        <v>0</v>
      </c>
      <c r="AI195" s="2">
        <f t="shared" ref="AI195:AI258" si="23">SUMIF($B$3:$B$1315, $B195, $AG$3:$AG$1315)</f>
        <v>0</v>
      </c>
      <c r="AJ195" s="2"/>
      <c r="AK195" s="2"/>
      <c r="AL195" s="2">
        <f>IF(Table2[[#This Row],[GameIsOver]]=0,0,IF(Table2[[#This Row],[ActualWinner]]=Table2[[#This Row],[AwayTeam]], 1, 0))</f>
        <v>0</v>
      </c>
      <c r="AM195" s="2">
        <f>IF(Table2[[#This Row],[GameIsOver]]=0,0,IF(Table2[[#This Row],[ActualWinner]]=Table2[[#This Row],[HomeTeam]], 1, 0))</f>
        <v>0</v>
      </c>
      <c r="AN1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5" s="2" t="str">
        <f>INDEX(Sheet5!$B$2:$AG$33, MATCH(Table2[[#This Row],[AwayTeam]],Sheet5!$A$2:$A$33, 0), MATCH(Table2[[#This Row],[HomeTeam]],Sheet5!$A$2:$A$33, 0))</f>
        <v>0-0-0</v>
      </c>
      <c r="AP195" s="2" t="str">
        <f>INDEX(Sheet5!$B$2:$AG$33, MATCH(Table2[[#This Row],[HomeTeam]],Sheet5!$A$2:$A$33, 0), MATCH(Table2[[#This Row],[AwayTeam]],Sheet5!$A$2:$A$33, 0))</f>
        <v>0-0-0</v>
      </c>
      <c r="AQ195" s="2">
        <f>IF(Table2[[#This Row],[GameHasShutOut]], 1, 0)</f>
        <v>0</v>
      </c>
      <c r="AR195" s="2">
        <f>IF(Table2[[#This Row],[ActualAwayScore]] + Table2[[#This Row],[ActualHomeScore]] &gt;= 10, 1, 0)</f>
        <v>0</v>
      </c>
      <c r="AS195" s="2">
        <f>IF(ABS(Table2[[#This Row],[ActualAwayScore]]-Table2[[#This Row],[ActualHomeScore]])&gt;=5, 1, 0)</f>
        <v>0</v>
      </c>
      <c r="AT195" s="2">
        <f>IF(Table2[[#This Row],[ActualAwayScore]] + Table2[[#This Row],[ActualHomeScore]] &lt;= 3, 1, 0)</f>
        <v>1</v>
      </c>
      <c r="AU195" s="2"/>
      <c r="AV195" s="2"/>
    </row>
    <row r="196" spans="1:48" x14ac:dyDescent="0.25">
      <c r="A196" s="3"/>
      <c r="B196" s="3">
        <v>45963</v>
      </c>
      <c r="C196" s="5">
        <v>2025020194</v>
      </c>
      <c r="D196" s="2" t="s">
        <v>40</v>
      </c>
      <c r="E196" s="2" t="s">
        <v>14</v>
      </c>
      <c r="F196" s="2"/>
      <c r="G196" s="2"/>
      <c r="H196" s="2" t="str">
        <f t="shared" si="19"/>
        <v>_</v>
      </c>
      <c r="I196" s="2"/>
      <c r="J196" s="2"/>
      <c r="K196" s="2"/>
      <c r="L196" s="2" t="str">
        <f t="shared" si="20"/>
        <v>_</v>
      </c>
      <c r="M196" s="2"/>
      <c r="N196" s="2">
        <f>IF(ISBLANK(Table2[[#This Row],[ActualResult]]), 0, 1)</f>
        <v>0</v>
      </c>
      <c r="O196" s="2" t="str">
        <f>IF(ISBLANK(Table2[[#This Row],[ActualResult]]), "_", IF(Table2[[#This Row],[ActualWinner]]=Table2[[#This Row],[PredictedWinner]], "Y", "N"))</f>
        <v>_</v>
      </c>
      <c r="P1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6" s="2"/>
      <c r="S196" s="2" t="str">
        <f t="shared" si="21"/>
        <v>_</v>
      </c>
      <c r="T1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6" s="2">
        <f>IF(Table2[[#This Row],[InterConf]]=1,IF(Table2[[#This Row],[InterDiv]]=0, 1, 0), 0)</f>
        <v>0</v>
      </c>
      <c r="W1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6" s="2"/>
      <c r="Y196" s="2"/>
      <c r="Z196" s="145">
        <f>IF(AND(Table2[[#This Row],[GameIsOver]]=1,Table2[[#This Row],[ActualHomeScore]]*Table2[[#This Row],[ActualAwayScore]]=0), 1,0)</f>
        <v>0</v>
      </c>
      <c r="AA1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6" s="2">
        <f>Table2[[#This Row],[ActualAwayScore]]-Table2[[#This Row],[PredictedAwayScore]]</f>
        <v>0</v>
      </c>
      <c r="AG196" s="2">
        <f>Table2[[#This Row],[ActualHomeScore]]-Table2[[#This Row],[PredictedHomeScore]]</f>
        <v>0</v>
      </c>
      <c r="AH196" s="2">
        <f t="shared" si="22"/>
        <v>0</v>
      </c>
      <c r="AI196" s="2">
        <f t="shared" si="23"/>
        <v>0</v>
      </c>
      <c r="AJ196" s="2"/>
      <c r="AK196" s="2"/>
      <c r="AL196" s="2">
        <f>IF(Table2[[#This Row],[GameIsOver]]=0,0,IF(Table2[[#This Row],[ActualWinner]]=Table2[[#This Row],[AwayTeam]], 1, 0))</f>
        <v>0</v>
      </c>
      <c r="AM196" s="2">
        <f>IF(Table2[[#This Row],[GameIsOver]]=0,0,IF(Table2[[#This Row],[ActualWinner]]=Table2[[#This Row],[HomeTeam]], 1, 0))</f>
        <v>0</v>
      </c>
      <c r="AN1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6" s="2" t="str">
        <f>INDEX(Sheet5!$B$2:$AG$33, MATCH(Table2[[#This Row],[AwayTeam]],Sheet5!$A$2:$A$33, 0), MATCH(Table2[[#This Row],[HomeTeam]],Sheet5!$A$2:$A$33, 0))</f>
        <v>0-0-0</v>
      </c>
      <c r="AP196" s="2" t="str">
        <f>INDEX(Sheet5!$B$2:$AG$33, MATCH(Table2[[#This Row],[HomeTeam]],Sheet5!$A$2:$A$33, 0), MATCH(Table2[[#This Row],[AwayTeam]],Sheet5!$A$2:$A$33, 0))</f>
        <v>0-0-0</v>
      </c>
      <c r="AQ196" s="2">
        <f>IF(Table2[[#This Row],[GameHasShutOut]], 1, 0)</f>
        <v>0</v>
      </c>
      <c r="AR196" s="2">
        <f>IF(Table2[[#This Row],[ActualAwayScore]] + Table2[[#This Row],[ActualHomeScore]] &gt;= 10, 1, 0)</f>
        <v>0</v>
      </c>
      <c r="AS196" s="2">
        <f>IF(ABS(Table2[[#This Row],[ActualAwayScore]]-Table2[[#This Row],[ActualHomeScore]])&gt;=5, 1, 0)</f>
        <v>0</v>
      </c>
      <c r="AT196" s="2">
        <f>IF(Table2[[#This Row],[ActualAwayScore]] + Table2[[#This Row],[ActualHomeScore]] &lt;= 3, 1, 0)</f>
        <v>1</v>
      </c>
      <c r="AU196" s="2"/>
      <c r="AV196" s="2"/>
    </row>
    <row r="197" spans="1:48" x14ac:dyDescent="0.25">
      <c r="A197" s="3"/>
      <c r="B197" s="3">
        <v>45963</v>
      </c>
      <c r="C197" s="5">
        <v>2025020195</v>
      </c>
      <c r="D197" s="2" t="s">
        <v>35</v>
      </c>
      <c r="E197" s="2" t="s">
        <v>32</v>
      </c>
      <c r="F197" s="2"/>
      <c r="G197" s="2"/>
      <c r="H197" s="2" t="str">
        <f t="shared" si="19"/>
        <v>_</v>
      </c>
      <c r="I197" s="2"/>
      <c r="J197" s="2"/>
      <c r="K197" s="2"/>
      <c r="L197" s="2" t="str">
        <f t="shared" si="20"/>
        <v>_</v>
      </c>
      <c r="M197" s="2"/>
      <c r="N197" s="2">
        <f>IF(ISBLANK(Table2[[#This Row],[ActualResult]]), 0, 1)</f>
        <v>0</v>
      </c>
      <c r="O197" s="2" t="str">
        <f>IF(ISBLANK(Table2[[#This Row],[ActualResult]]), "_", IF(Table2[[#This Row],[ActualWinner]]=Table2[[#This Row],[PredictedWinner]], "Y", "N"))</f>
        <v>_</v>
      </c>
      <c r="P1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7" s="2"/>
      <c r="S197" s="2" t="str">
        <f t="shared" si="21"/>
        <v>_</v>
      </c>
      <c r="T1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97" s="2">
        <f>IF(Table2[[#This Row],[InterConf]]=1,IF(Table2[[#This Row],[InterDiv]]=0, 1, 0), 0)</f>
        <v>0</v>
      </c>
      <c r="W1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7" s="2"/>
      <c r="Y197" s="2"/>
      <c r="Z197" s="145">
        <f>IF(AND(Table2[[#This Row],[GameIsOver]]=1,Table2[[#This Row],[ActualHomeScore]]*Table2[[#This Row],[ActualAwayScore]]=0), 1,0)</f>
        <v>0</v>
      </c>
      <c r="AA1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7" s="2">
        <f>Table2[[#This Row],[ActualAwayScore]]-Table2[[#This Row],[PredictedAwayScore]]</f>
        <v>0</v>
      </c>
      <c r="AG197" s="2">
        <f>Table2[[#This Row],[ActualHomeScore]]-Table2[[#This Row],[PredictedHomeScore]]</f>
        <v>0</v>
      </c>
      <c r="AH197" s="2">
        <f t="shared" si="22"/>
        <v>0</v>
      </c>
      <c r="AI197" s="2">
        <f t="shared" si="23"/>
        <v>0</v>
      </c>
      <c r="AJ197" s="2"/>
      <c r="AK197" s="2"/>
      <c r="AL197" s="2">
        <f>IF(Table2[[#This Row],[GameIsOver]]=0,0,IF(Table2[[#This Row],[ActualWinner]]=Table2[[#This Row],[AwayTeam]], 1, 0))</f>
        <v>0</v>
      </c>
      <c r="AM197" s="2">
        <f>IF(Table2[[#This Row],[GameIsOver]]=0,0,IF(Table2[[#This Row],[ActualWinner]]=Table2[[#This Row],[HomeTeam]], 1, 0))</f>
        <v>0</v>
      </c>
      <c r="AN1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7" s="2" t="str">
        <f>INDEX(Sheet5!$B$2:$AG$33, MATCH(Table2[[#This Row],[AwayTeam]],Sheet5!$A$2:$A$33, 0), MATCH(Table2[[#This Row],[HomeTeam]],Sheet5!$A$2:$A$33, 0))</f>
        <v>0-0-0</v>
      </c>
      <c r="AP197" s="2" t="str">
        <f>INDEX(Sheet5!$B$2:$AG$33, MATCH(Table2[[#This Row],[HomeTeam]],Sheet5!$A$2:$A$33, 0), MATCH(Table2[[#This Row],[AwayTeam]],Sheet5!$A$2:$A$33, 0))</f>
        <v>0-0-0</v>
      </c>
      <c r="AQ197" s="2">
        <f>IF(Table2[[#This Row],[GameHasShutOut]], 1, 0)</f>
        <v>0</v>
      </c>
      <c r="AR197" s="2">
        <f>IF(Table2[[#This Row],[ActualAwayScore]] + Table2[[#This Row],[ActualHomeScore]] &gt;= 10, 1, 0)</f>
        <v>0</v>
      </c>
      <c r="AS197" s="2">
        <f>IF(ABS(Table2[[#This Row],[ActualAwayScore]]-Table2[[#This Row],[ActualHomeScore]])&gt;=5, 1, 0)</f>
        <v>0</v>
      </c>
      <c r="AT197" s="2">
        <f>IF(Table2[[#This Row],[ActualAwayScore]] + Table2[[#This Row],[ActualHomeScore]] &lt;= 3, 1, 0)</f>
        <v>1</v>
      </c>
      <c r="AU197" s="2"/>
      <c r="AV197" s="2"/>
    </row>
    <row r="198" spans="1:48" x14ac:dyDescent="0.25">
      <c r="A198" s="3"/>
      <c r="B198" s="3">
        <v>45964</v>
      </c>
      <c r="C198" s="5">
        <v>2025020196</v>
      </c>
      <c r="D198" s="2" t="s">
        <v>23</v>
      </c>
      <c r="E198" s="2" t="s">
        <v>42</v>
      </c>
      <c r="F198" s="2"/>
      <c r="G198" s="2"/>
      <c r="H198" s="2" t="str">
        <f t="shared" si="19"/>
        <v>_</v>
      </c>
      <c r="I198" s="2"/>
      <c r="J198" s="2"/>
      <c r="K198" s="2"/>
      <c r="L198" s="2" t="str">
        <f t="shared" si="20"/>
        <v>_</v>
      </c>
      <c r="M198" s="2"/>
      <c r="N198" s="2">
        <f>IF(ISBLANK(Table2[[#This Row],[ActualResult]]), 0, 1)</f>
        <v>0</v>
      </c>
      <c r="O198" s="2" t="str">
        <f>IF(ISBLANK(Table2[[#This Row],[ActualResult]]), "_", IF(Table2[[#This Row],[ActualWinner]]=Table2[[#This Row],[PredictedWinner]], "Y", "N"))</f>
        <v>_</v>
      </c>
      <c r="P1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8" s="2"/>
      <c r="S198" s="2" t="str">
        <f t="shared" si="21"/>
        <v>_</v>
      </c>
      <c r="T1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8" s="2">
        <f>IF(Table2[[#This Row],[InterConf]]=1,IF(Table2[[#This Row],[InterDiv]]=0, 1, 0), 0)</f>
        <v>0</v>
      </c>
      <c r="W1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8" s="2"/>
      <c r="Y198" s="2"/>
      <c r="Z198" s="145">
        <f>IF(AND(Table2[[#This Row],[GameIsOver]]=1,Table2[[#This Row],[ActualHomeScore]]*Table2[[#This Row],[ActualAwayScore]]=0), 1,0)</f>
        <v>0</v>
      </c>
      <c r="AA1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98" s="2">
        <f>Table2[[#This Row],[ActualAwayScore]]-Table2[[#This Row],[PredictedAwayScore]]</f>
        <v>0</v>
      </c>
      <c r="AG198" s="2">
        <f>Table2[[#This Row],[ActualHomeScore]]-Table2[[#This Row],[PredictedHomeScore]]</f>
        <v>0</v>
      </c>
      <c r="AH198" s="2">
        <f t="shared" si="22"/>
        <v>0</v>
      </c>
      <c r="AI198" s="2">
        <f t="shared" si="23"/>
        <v>0</v>
      </c>
      <c r="AJ198" s="2"/>
      <c r="AK198" s="2"/>
      <c r="AL198" s="2">
        <f>IF(Table2[[#This Row],[GameIsOver]]=0,0,IF(Table2[[#This Row],[ActualWinner]]=Table2[[#This Row],[AwayTeam]], 1, 0))</f>
        <v>0</v>
      </c>
      <c r="AM198" s="2">
        <f>IF(Table2[[#This Row],[GameIsOver]]=0,0,IF(Table2[[#This Row],[ActualWinner]]=Table2[[#This Row],[HomeTeam]], 1, 0))</f>
        <v>0</v>
      </c>
      <c r="AN1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8" s="2" t="str">
        <f>INDEX(Sheet5!$B$2:$AG$33, MATCH(Table2[[#This Row],[AwayTeam]],Sheet5!$A$2:$A$33, 0), MATCH(Table2[[#This Row],[HomeTeam]],Sheet5!$A$2:$A$33, 0))</f>
        <v>0-0-0</v>
      </c>
      <c r="AP198" s="2" t="str">
        <f>INDEX(Sheet5!$B$2:$AG$33, MATCH(Table2[[#This Row],[HomeTeam]],Sheet5!$A$2:$A$33, 0), MATCH(Table2[[#This Row],[AwayTeam]],Sheet5!$A$2:$A$33, 0))</f>
        <v>0-0-0</v>
      </c>
      <c r="AQ198" s="2">
        <f>IF(Table2[[#This Row],[GameHasShutOut]], 1, 0)</f>
        <v>0</v>
      </c>
      <c r="AR198" s="2">
        <f>IF(Table2[[#This Row],[ActualAwayScore]] + Table2[[#This Row],[ActualHomeScore]] &gt;= 10, 1, 0)</f>
        <v>0</v>
      </c>
      <c r="AS198" s="2">
        <f>IF(ABS(Table2[[#This Row],[ActualAwayScore]]-Table2[[#This Row],[ActualHomeScore]])&gt;=5, 1, 0)</f>
        <v>0</v>
      </c>
      <c r="AT198" s="2">
        <f>IF(Table2[[#This Row],[ActualAwayScore]] + Table2[[#This Row],[ActualHomeScore]] &lt;= 3, 1, 0)</f>
        <v>1</v>
      </c>
      <c r="AU198" s="2"/>
      <c r="AV198" s="2"/>
    </row>
    <row r="199" spans="1:48" x14ac:dyDescent="0.25">
      <c r="A199" s="3"/>
      <c r="B199" s="3">
        <v>45964</v>
      </c>
      <c r="C199" s="5">
        <v>2025020197</v>
      </c>
      <c r="D199" s="2" t="s">
        <v>31</v>
      </c>
      <c r="E199" s="2" t="s">
        <v>44</v>
      </c>
      <c r="F199" s="2"/>
      <c r="G199" s="2"/>
      <c r="H199" s="2" t="str">
        <f t="shared" si="19"/>
        <v>_</v>
      </c>
      <c r="I199" s="2"/>
      <c r="J199" s="2"/>
      <c r="K199" s="2"/>
      <c r="L199" s="2" t="str">
        <f t="shared" si="20"/>
        <v>_</v>
      </c>
      <c r="M199" s="2"/>
      <c r="N199" s="2">
        <f>IF(ISBLANK(Table2[[#This Row],[ActualResult]]), 0, 1)</f>
        <v>0</v>
      </c>
      <c r="O199" s="2" t="str">
        <f>IF(ISBLANK(Table2[[#This Row],[ActualResult]]), "_", IF(Table2[[#This Row],[ActualWinner]]=Table2[[#This Row],[PredictedWinner]], "Y", "N"))</f>
        <v>_</v>
      </c>
      <c r="P1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9" s="2"/>
      <c r="S199" s="2" t="str">
        <f t="shared" si="21"/>
        <v>_</v>
      </c>
      <c r="T1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9" s="2">
        <f>IF(Table2[[#This Row],[InterConf]]=1,IF(Table2[[#This Row],[InterDiv]]=0, 1, 0), 0)</f>
        <v>0</v>
      </c>
      <c r="W1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9" s="2"/>
      <c r="Y199" s="2"/>
      <c r="Z199" s="145">
        <f>IF(AND(Table2[[#This Row],[GameIsOver]]=1,Table2[[#This Row],[ActualHomeScore]]*Table2[[#This Row],[ActualAwayScore]]=0), 1,0)</f>
        <v>0</v>
      </c>
      <c r="AA1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99" s="2">
        <f>Table2[[#This Row],[ActualAwayScore]]-Table2[[#This Row],[PredictedAwayScore]]</f>
        <v>0</v>
      </c>
      <c r="AG199" s="2">
        <f>Table2[[#This Row],[ActualHomeScore]]-Table2[[#This Row],[PredictedHomeScore]]</f>
        <v>0</v>
      </c>
      <c r="AH199" s="2">
        <f t="shared" si="22"/>
        <v>0</v>
      </c>
      <c r="AI199" s="2">
        <f t="shared" si="23"/>
        <v>0</v>
      </c>
      <c r="AJ199" s="2"/>
      <c r="AK199" s="2"/>
      <c r="AL199" s="2">
        <f>IF(Table2[[#This Row],[GameIsOver]]=0,0,IF(Table2[[#This Row],[ActualWinner]]=Table2[[#This Row],[AwayTeam]], 1, 0))</f>
        <v>0</v>
      </c>
      <c r="AM199" s="2">
        <f>IF(Table2[[#This Row],[GameIsOver]]=0,0,IF(Table2[[#This Row],[ActualWinner]]=Table2[[#This Row],[HomeTeam]], 1, 0))</f>
        <v>0</v>
      </c>
      <c r="AN1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9" s="2" t="str">
        <f>INDEX(Sheet5!$B$2:$AG$33, MATCH(Table2[[#This Row],[AwayTeam]],Sheet5!$A$2:$A$33, 0), MATCH(Table2[[#This Row],[HomeTeam]],Sheet5!$A$2:$A$33, 0))</f>
        <v>0-0-0</v>
      </c>
      <c r="AP199" s="2" t="str">
        <f>INDEX(Sheet5!$B$2:$AG$33, MATCH(Table2[[#This Row],[HomeTeam]],Sheet5!$A$2:$A$33, 0), MATCH(Table2[[#This Row],[AwayTeam]],Sheet5!$A$2:$A$33, 0))</f>
        <v>0-0-0</v>
      </c>
      <c r="AQ199" s="2">
        <f>IF(Table2[[#This Row],[GameHasShutOut]], 1, 0)</f>
        <v>0</v>
      </c>
      <c r="AR199" s="2">
        <f>IF(Table2[[#This Row],[ActualAwayScore]] + Table2[[#This Row],[ActualHomeScore]] &gt;= 10, 1, 0)</f>
        <v>0</v>
      </c>
      <c r="AS199" s="2">
        <f>IF(ABS(Table2[[#This Row],[ActualAwayScore]]-Table2[[#This Row],[ActualHomeScore]])&gt;=5, 1, 0)</f>
        <v>0</v>
      </c>
      <c r="AT199" s="2">
        <f>IF(Table2[[#This Row],[ActualAwayScore]] + Table2[[#This Row],[ActualHomeScore]] &lt;= 3, 1, 0)</f>
        <v>1</v>
      </c>
      <c r="AU199" s="2"/>
      <c r="AV199" s="2"/>
    </row>
    <row r="200" spans="1:48" x14ac:dyDescent="0.25">
      <c r="A200" s="3"/>
      <c r="B200" s="3">
        <v>45964</v>
      </c>
      <c r="C200" s="5">
        <v>2025020198</v>
      </c>
      <c r="D200" s="2" t="s">
        <v>30</v>
      </c>
      <c r="E200" s="2" t="s">
        <v>37</v>
      </c>
      <c r="F200" s="2"/>
      <c r="G200" s="2"/>
      <c r="H200" s="2" t="str">
        <f t="shared" si="19"/>
        <v>_</v>
      </c>
      <c r="I200" s="2"/>
      <c r="J200" s="2"/>
      <c r="K200" s="2"/>
      <c r="L200" s="2" t="str">
        <f t="shared" si="20"/>
        <v>_</v>
      </c>
      <c r="M200" s="2"/>
      <c r="N200" s="2">
        <f>IF(ISBLANK(Table2[[#This Row],[ActualResult]]), 0, 1)</f>
        <v>0</v>
      </c>
      <c r="O200" s="2" t="str">
        <f>IF(ISBLANK(Table2[[#This Row],[ActualResult]]), "_", IF(Table2[[#This Row],[ActualWinner]]=Table2[[#This Row],[PredictedWinner]], "Y", "N"))</f>
        <v>_</v>
      </c>
      <c r="P2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0" s="2"/>
      <c r="S200" s="2" t="str">
        <f t="shared" si="21"/>
        <v>_</v>
      </c>
      <c r="T2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0" s="2">
        <f>IF(Table2[[#This Row],[InterConf]]=1,IF(Table2[[#This Row],[InterDiv]]=0, 1, 0), 0)</f>
        <v>0</v>
      </c>
      <c r="W2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00" s="2"/>
      <c r="Y200" s="2"/>
      <c r="Z200" s="145">
        <f>IF(AND(Table2[[#This Row],[GameIsOver]]=1,Table2[[#This Row],[ActualHomeScore]]*Table2[[#This Row],[ActualAwayScore]]=0), 1,0)</f>
        <v>0</v>
      </c>
      <c r="AA2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00" s="2">
        <f>Table2[[#This Row],[ActualAwayScore]]-Table2[[#This Row],[PredictedAwayScore]]</f>
        <v>0</v>
      </c>
      <c r="AG200" s="2">
        <f>Table2[[#This Row],[ActualHomeScore]]-Table2[[#This Row],[PredictedHomeScore]]</f>
        <v>0</v>
      </c>
      <c r="AH200" s="2">
        <f t="shared" si="22"/>
        <v>0</v>
      </c>
      <c r="AI200" s="2">
        <f t="shared" si="23"/>
        <v>0</v>
      </c>
      <c r="AJ200" s="2"/>
      <c r="AK200" s="2"/>
      <c r="AL200" s="2">
        <f>IF(Table2[[#This Row],[GameIsOver]]=0,0,IF(Table2[[#This Row],[ActualWinner]]=Table2[[#This Row],[AwayTeam]], 1, 0))</f>
        <v>0</v>
      </c>
      <c r="AM200" s="2">
        <f>IF(Table2[[#This Row],[GameIsOver]]=0,0,IF(Table2[[#This Row],[ActualWinner]]=Table2[[#This Row],[HomeTeam]], 1, 0))</f>
        <v>0</v>
      </c>
      <c r="AN2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0" s="2" t="str">
        <f>INDEX(Sheet5!$B$2:$AG$33, MATCH(Table2[[#This Row],[AwayTeam]],Sheet5!$A$2:$A$33, 0), MATCH(Table2[[#This Row],[HomeTeam]],Sheet5!$A$2:$A$33, 0))</f>
        <v>0-0-0</v>
      </c>
      <c r="AP200" s="2" t="str">
        <f>INDEX(Sheet5!$B$2:$AG$33, MATCH(Table2[[#This Row],[HomeTeam]],Sheet5!$A$2:$A$33, 0), MATCH(Table2[[#This Row],[AwayTeam]],Sheet5!$A$2:$A$33, 0))</f>
        <v>0-0-0</v>
      </c>
      <c r="AQ200" s="2">
        <f>IF(Table2[[#This Row],[GameHasShutOut]], 1, 0)</f>
        <v>0</v>
      </c>
      <c r="AR200" s="2">
        <f>IF(Table2[[#This Row],[ActualAwayScore]] + Table2[[#This Row],[ActualHomeScore]] &gt;= 10, 1, 0)</f>
        <v>0</v>
      </c>
      <c r="AS200" s="2">
        <f>IF(ABS(Table2[[#This Row],[ActualAwayScore]]-Table2[[#This Row],[ActualHomeScore]])&gt;=5, 1, 0)</f>
        <v>0</v>
      </c>
      <c r="AT200" s="2">
        <f>IF(Table2[[#This Row],[ActualAwayScore]] + Table2[[#This Row],[ActualHomeScore]] &lt;= 3, 1, 0)</f>
        <v>1</v>
      </c>
      <c r="AU200" s="2"/>
      <c r="AV200" s="2"/>
    </row>
    <row r="201" spans="1:48" x14ac:dyDescent="0.25">
      <c r="A201" s="3"/>
      <c r="B201" s="3">
        <v>45965</v>
      </c>
      <c r="C201" s="5">
        <v>2025020199</v>
      </c>
      <c r="D201" s="2" t="s">
        <v>20</v>
      </c>
      <c r="E201" s="2" t="s">
        <v>17</v>
      </c>
      <c r="F201" s="2"/>
      <c r="G201" s="2"/>
      <c r="H201" s="2" t="str">
        <f t="shared" si="19"/>
        <v>_</v>
      </c>
      <c r="I201" s="2"/>
      <c r="J201" s="2"/>
      <c r="K201" s="2"/>
      <c r="L201" s="2" t="str">
        <f t="shared" si="20"/>
        <v>_</v>
      </c>
      <c r="M201" s="2"/>
      <c r="N201" s="2">
        <f>IF(ISBLANK(Table2[[#This Row],[ActualResult]]), 0, 1)</f>
        <v>0</v>
      </c>
      <c r="O201" s="2" t="str">
        <f>IF(ISBLANK(Table2[[#This Row],[ActualResult]]), "_", IF(Table2[[#This Row],[ActualWinner]]=Table2[[#This Row],[PredictedWinner]], "Y", "N"))</f>
        <v>_</v>
      </c>
      <c r="P2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1" s="2"/>
      <c r="S201" s="2" t="str">
        <f t="shared" si="21"/>
        <v>_</v>
      </c>
      <c r="T2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1" s="2">
        <f>IF(Table2[[#This Row],[InterConf]]=1,IF(Table2[[#This Row],[InterDiv]]=0, 1, 0), 0)</f>
        <v>1</v>
      </c>
      <c r="W2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1" s="2"/>
      <c r="Y201" s="2"/>
      <c r="Z201" s="145">
        <f>IF(AND(Table2[[#This Row],[GameIsOver]]=1,Table2[[#This Row],[ActualHomeScore]]*Table2[[#This Row],[ActualAwayScore]]=0), 1,0)</f>
        <v>0</v>
      </c>
      <c r="AA2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1" s="2">
        <f>Table2[[#This Row],[ActualAwayScore]]-Table2[[#This Row],[PredictedAwayScore]]</f>
        <v>0</v>
      </c>
      <c r="AG201" s="2">
        <f>Table2[[#This Row],[ActualHomeScore]]-Table2[[#This Row],[PredictedHomeScore]]</f>
        <v>0</v>
      </c>
      <c r="AH201" s="2">
        <f t="shared" si="22"/>
        <v>0</v>
      </c>
      <c r="AI201" s="2">
        <f t="shared" si="23"/>
        <v>0</v>
      </c>
      <c r="AJ201" s="2"/>
      <c r="AK201" s="2"/>
      <c r="AL201" s="2">
        <f>IF(Table2[[#This Row],[GameIsOver]]=0,0,IF(Table2[[#This Row],[ActualWinner]]=Table2[[#This Row],[AwayTeam]], 1, 0))</f>
        <v>0</v>
      </c>
      <c r="AM201" s="2">
        <f>IF(Table2[[#This Row],[GameIsOver]]=0,0,IF(Table2[[#This Row],[ActualWinner]]=Table2[[#This Row],[HomeTeam]], 1, 0))</f>
        <v>0</v>
      </c>
      <c r="AN2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1" s="2" t="str">
        <f>INDEX(Sheet5!$B$2:$AG$33, MATCH(Table2[[#This Row],[AwayTeam]],Sheet5!$A$2:$A$33, 0), MATCH(Table2[[#This Row],[HomeTeam]],Sheet5!$A$2:$A$33, 0))</f>
        <v>0-0-0</v>
      </c>
      <c r="AP201" s="2" t="str">
        <f>INDEX(Sheet5!$B$2:$AG$33, MATCH(Table2[[#This Row],[HomeTeam]],Sheet5!$A$2:$A$33, 0), MATCH(Table2[[#This Row],[AwayTeam]],Sheet5!$A$2:$A$33, 0))</f>
        <v>0-0-0</v>
      </c>
      <c r="AQ201" s="2">
        <f>IF(Table2[[#This Row],[GameHasShutOut]], 1, 0)</f>
        <v>0</v>
      </c>
      <c r="AR201" s="2">
        <f>IF(Table2[[#This Row],[ActualAwayScore]] + Table2[[#This Row],[ActualHomeScore]] &gt;= 10, 1, 0)</f>
        <v>0</v>
      </c>
      <c r="AS201" s="2">
        <f>IF(ABS(Table2[[#This Row],[ActualAwayScore]]-Table2[[#This Row],[ActualHomeScore]])&gt;=5, 1, 0)</f>
        <v>0</v>
      </c>
      <c r="AT201" s="2">
        <f>IF(Table2[[#This Row],[ActualAwayScore]] + Table2[[#This Row],[ActualHomeScore]] &lt;= 3, 1, 0)</f>
        <v>1</v>
      </c>
      <c r="AU201" s="2"/>
      <c r="AV201" s="2"/>
    </row>
    <row r="202" spans="1:48" x14ac:dyDescent="0.25">
      <c r="A202" s="3"/>
      <c r="B202" s="3">
        <v>45965</v>
      </c>
      <c r="C202" s="5">
        <v>2025020200</v>
      </c>
      <c r="D202" s="2" t="s">
        <v>22</v>
      </c>
      <c r="E202" s="2" t="s">
        <v>12</v>
      </c>
      <c r="F202" s="2"/>
      <c r="G202" s="2"/>
      <c r="H202" s="2" t="str">
        <f t="shared" si="19"/>
        <v>_</v>
      </c>
      <c r="I202" s="2"/>
      <c r="J202" s="2"/>
      <c r="K202" s="2"/>
      <c r="L202" s="2" t="str">
        <f t="shared" si="20"/>
        <v>_</v>
      </c>
      <c r="M202" s="2"/>
      <c r="N202" s="2">
        <f>IF(ISBLANK(Table2[[#This Row],[ActualResult]]), 0, 1)</f>
        <v>0</v>
      </c>
      <c r="O202" s="2" t="str">
        <f>IF(ISBLANK(Table2[[#This Row],[ActualResult]]), "_", IF(Table2[[#This Row],[ActualWinner]]=Table2[[#This Row],[PredictedWinner]], "Y", "N"))</f>
        <v>_</v>
      </c>
      <c r="P2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2" s="2"/>
      <c r="S202" s="2" t="str">
        <f t="shared" si="21"/>
        <v>_</v>
      </c>
      <c r="T2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2" s="2">
        <f>IF(Table2[[#This Row],[InterConf]]=1,IF(Table2[[#This Row],[InterDiv]]=0, 1, 0), 0)</f>
        <v>1</v>
      </c>
      <c r="W2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2" s="2"/>
      <c r="Y202" s="2"/>
      <c r="Z202" s="145">
        <f>IF(AND(Table2[[#This Row],[GameIsOver]]=1,Table2[[#This Row],[ActualHomeScore]]*Table2[[#This Row],[ActualAwayScore]]=0), 1,0)</f>
        <v>0</v>
      </c>
      <c r="AA2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2" s="2">
        <f>Table2[[#This Row],[ActualAwayScore]]-Table2[[#This Row],[PredictedAwayScore]]</f>
        <v>0</v>
      </c>
      <c r="AG202" s="2">
        <f>Table2[[#This Row],[ActualHomeScore]]-Table2[[#This Row],[PredictedHomeScore]]</f>
        <v>0</v>
      </c>
      <c r="AH202" s="2">
        <f t="shared" si="22"/>
        <v>0</v>
      </c>
      <c r="AI202" s="2">
        <f t="shared" si="23"/>
        <v>0</v>
      </c>
      <c r="AJ202" s="2"/>
      <c r="AK202" s="2"/>
      <c r="AL202" s="2">
        <f>IF(Table2[[#This Row],[GameIsOver]]=0,0,IF(Table2[[#This Row],[ActualWinner]]=Table2[[#This Row],[AwayTeam]], 1, 0))</f>
        <v>0</v>
      </c>
      <c r="AM202" s="2">
        <f>IF(Table2[[#This Row],[GameIsOver]]=0,0,IF(Table2[[#This Row],[ActualWinner]]=Table2[[#This Row],[HomeTeam]], 1, 0))</f>
        <v>0</v>
      </c>
      <c r="AN2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2" s="2" t="str">
        <f>INDEX(Sheet5!$B$2:$AG$33, MATCH(Table2[[#This Row],[AwayTeam]],Sheet5!$A$2:$A$33, 0), MATCH(Table2[[#This Row],[HomeTeam]],Sheet5!$A$2:$A$33, 0))</f>
        <v>0-0-0</v>
      </c>
      <c r="AP202" s="2" t="str">
        <f>INDEX(Sheet5!$B$2:$AG$33, MATCH(Table2[[#This Row],[HomeTeam]],Sheet5!$A$2:$A$33, 0), MATCH(Table2[[#This Row],[AwayTeam]],Sheet5!$A$2:$A$33, 0))</f>
        <v>0-0-0</v>
      </c>
      <c r="AQ202" s="2">
        <f>IF(Table2[[#This Row],[GameHasShutOut]], 1, 0)</f>
        <v>0</v>
      </c>
      <c r="AR202" s="2">
        <f>IF(Table2[[#This Row],[ActualAwayScore]] + Table2[[#This Row],[ActualHomeScore]] &gt;= 10, 1, 0)</f>
        <v>0</v>
      </c>
      <c r="AS202" s="2">
        <f>IF(ABS(Table2[[#This Row],[ActualAwayScore]]-Table2[[#This Row],[ActualHomeScore]])&gt;=5, 1, 0)</f>
        <v>0</v>
      </c>
      <c r="AT202" s="2">
        <f>IF(Table2[[#This Row],[ActualAwayScore]] + Table2[[#This Row],[ActualHomeScore]] &lt;= 3, 1, 0)</f>
        <v>1</v>
      </c>
      <c r="AU202" s="2"/>
      <c r="AV202" s="2"/>
    </row>
    <row r="203" spans="1:48" x14ac:dyDescent="0.25">
      <c r="A203" s="3"/>
      <c r="B203" s="3">
        <v>45965</v>
      </c>
      <c r="C203" s="5">
        <v>2025020201</v>
      </c>
      <c r="D203" s="2" t="s">
        <v>24</v>
      </c>
      <c r="E203" s="2" t="s">
        <v>34</v>
      </c>
      <c r="F203" s="2"/>
      <c r="G203" s="2"/>
      <c r="H203" s="2" t="str">
        <f t="shared" si="19"/>
        <v>_</v>
      </c>
      <c r="I203" s="2"/>
      <c r="J203" s="2"/>
      <c r="K203" s="2"/>
      <c r="L203" s="2" t="str">
        <f t="shared" si="20"/>
        <v>_</v>
      </c>
      <c r="M203" s="2"/>
      <c r="N203" s="2">
        <f>IF(ISBLANK(Table2[[#This Row],[ActualResult]]), 0, 1)</f>
        <v>0</v>
      </c>
      <c r="O203" s="2" t="str">
        <f>IF(ISBLANK(Table2[[#This Row],[ActualResult]]), "_", IF(Table2[[#This Row],[ActualWinner]]=Table2[[#This Row],[PredictedWinner]], "Y", "N"))</f>
        <v>_</v>
      </c>
      <c r="P2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3" s="2"/>
      <c r="S203" s="2" t="str">
        <f t="shared" si="21"/>
        <v>_</v>
      </c>
      <c r="T2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3" s="2">
        <f>IF(Table2[[#This Row],[InterConf]]=1,IF(Table2[[#This Row],[InterDiv]]=0, 1, 0), 0)</f>
        <v>1</v>
      </c>
      <c r="W2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3" s="2"/>
      <c r="Y203" s="2"/>
      <c r="Z203" s="145">
        <f>IF(AND(Table2[[#This Row],[GameIsOver]]=1,Table2[[#This Row],[ActualHomeScore]]*Table2[[#This Row],[ActualAwayScore]]=0), 1,0)</f>
        <v>0</v>
      </c>
      <c r="AA2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3" s="2">
        <f>Table2[[#This Row],[ActualAwayScore]]-Table2[[#This Row],[PredictedAwayScore]]</f>
        <v>0</v>
      </c>
      <c r="AG203" s="2">
        <f>Table2[[#This Row],[ActualHomeScore]]-Table2[[#This Row],[PredictedHomeScore]]</f>
        <v>0</v>
      </c>
      <c r="AH203" s="2">
        <f t="shared" si="22"/>
        <v>0</v>
      </c>
      <c r="AI203" s="2">
        <f t="shared" si="23"/>
        <v>0</v>
      </c>
      <c r="AJ203" s="2"/>
      <c r="AK203" s="2"/>
      <c r="AL203" s="2">
        <f>IF(Table2[[#This Row],[GameIsOver]]=0,0,IF(Table2[[#This Row],[ActualWinner]]=Table2[[#This Row],[AwayTeam]], 1, 0))</f>
        <v>0</v>
      </c>
      <c r="AM203" s="2">
        <f>IF(Table2[[#This Row],[GameIsOver]]=0,0,IF(Table2[[#This Row],[ActualWinner]]=Table2[[#This Row],[HomeTeam]], 1, 0))</f>
        <v>0</v>
      </c>
      <c r="AN2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3" s="2" t="str">
        <f>INDEX(Sheet5!$B$2:$AG$33, MATCH(Table2[[#This Row],[AwayTeam]],Sheet5!$A$2:$A$33, 0), MATCH(Table2[[#This Row],[HomeTeam]],Sheet5!$A$2:$A$33, 0))</f>
        <v>0-0-0</v>
      </c>
      <c r="AP203" s="2" t="str">
        <f>INDEX(Sheet5!$B$2:$AG$33, MATCH(Table2[[#This Row],[HomeTeam]],Sheet5!$A$2:$A$33, 0), MATCH(Table2[[#This Row],[AwayTeam]],Sheet5!$A$2:$A$33, 0))</f>
        <v>0-0-0</v>
      </c>
      <c r="AQ203" s="2">
        <f>IF(Table2[[#This Row],[GameHasShutOut]], 1, 0)</f>
        <v>0</v>
      </c>
      <c r="AR203" s="2">
        <f>IF(Table2[[#This Row],[ActualAwayScore]] + Table2[[#This Row],[ActualHomeScore]] &gt;= 10, 1, 0)</f>
        <v>0</v>
      </c>
      <c r="AS203" s="2">
        <f>IF(ABS(Table2[[#This Row],[ActualAwayScore]]-Table2[[#This Row],[ActualHomeScore]])&gt;=5, 1, 0)</f>
        <v>0</v>
      </c>
      <c r="AT203" s="2">
        <f>IF(Table2[[#This Row],[ActualAwayScore]] + Table2[[#This Row],[ActualHomeScore]] &lt;= 3, 1, 0)</f>
        <v>1</v>
      </c>
      <c r="AU203" s="2"/>
      <c r="AV203" s="2"/>
    </row>
    <row r="204" spans="1:48" x14ac:dyDescent="0.25">
      <c r="A204" s="3"/>
      <c r="B204" s="3">
        <v>45965</v>
      </c>
      <c r="C204" s="5">
        <v>2025020202</v>
      </c>
      <c r="D204" s="2" t="s">
        <v>16</v>
      </c>
      <c r="E204" s="2" t="s">
        <v>11</v>
      </c>
      <c r="F204" s="2"/>
      <c r="G204" s="2"/>
      <c r="H204" s="2" t="str">
        <f t="shared" si="19"/>
        <v>_</v>
      </c>
      <c r="I204" s="2"/>
      <c r="J204" s="2"/>
      <c r="K204" s="2"/>
      <c r="L204" s="2" t="str">
        <f t="shared" si="20"/>
        <v>_</v>
      </c>
      <c r="M204" s="2"/>
      <c r="N204" s="2">
        <f>IF(ISBLANK(Table2[[#This Row],[ActualResult]]), 0, 1)</f>
        <v>0</v>
      </c>
      <c r="O204" s="2" t="str">
        <f>IF(ISBLANK(Table2[[#This Row],[ActualResult]]), "_", IF(Table2[[#This Row],[ActualWinner]]=Table2[[#This Row],[PredictedWinner]], "Y", "N"))</f>
        <v>_</v>
      </c>
      <c r="P2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4" s="2"/>
      <c r="S204" s="2" t="str">
        <f t="shared" si="21"/>
        <v>_</v>
      </c>
      <c r="T2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4" s="2">
        <f>IF(Table2[[#This Row],[InterConf]]=1,IF(Table2[[#This Row],[InterDiv]]=0, 1, 0), 0)</f>
        <v>1</v>
      </c>
      <c r="W2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4" s="2"/>
      <c r="Y204" s="2"/>
      <c r="Z204" s="145">
        <f>IF(AND(Table2[[#This Row],[GameIsOver]]=1,Table2[[#This Row],[ActualHomeScore]]*Table2[[#This Row],[ActualAwayScore]]=0), 1,0)</f>
        <v>0</v>
      </c>
      <c r="AA2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4" s="2">
        <f>Table2[[#This Row],[ActualAwayScore]]-Table2[[#This Row],[PredictedAwayScore]]</f>
        <v>0</v>
      </c>
      <c r="AG204" s="2">
        <f>Table2[[#This Row],[ActualHomeScore]]-Table2[[#This Row],[PredictedHomeScore]]</f>
        <v>0</v>
      </c>
      <c r="AH204" s="2">
        <f t="shared" si="22"/>
        <v>0</v>
      </c>
      <c r="AI204" s="2">
        <f t="shared" si="23"/>
        <v>0</v>
      </c>
      <c r="AJ204" s="2"/>
      <c r="AK204" s="2"/>
      <c r="AL204" s="2">
        <f>IF(Table2[[#This Row],[GameIsOver]]=0,0,IF(Table2[[#This Row],[ActualWinner]]=Table2[[#This Row],[AwayTeam]], 1, 0))</f>
        <v>0</v>
      </c>
      <c r="AM204" s="2">
        <f>IF(Table2[[#This Row],[GameIsOver]]=0,0,IF(Table2[[#This Row],[ActualWinner]]=Table2[[#This Row],[HomeTeam]], 1, 0))</f>
        <v>0</v>
      </c>
      <c r="AN2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4" s="2" t="str">
        <f>INDEX(Sheet5!$B$2:$AG$33, MATCH(Table2[[#This Row],[AwayTeam]],Sheet5!$A$2:$A$33, 0), MATCH(Table2[[#This Row],[HomeTeam]],Sheet5!$A$2:$A$33, 0))</f>
        <v>0-0-0</v>
      </c>
      <c r="AP204" s="2" t="str">
        <f>INDEX(Sheet5!$B$2:$AG$33, MATCH(Table2[[#This Row],[HomeTeam]],Sheet5!$A$2:$A$33, 0), MATCH(Table2[[#This Row],[AwayTeam]],Sheet5!$A$2:$A$33, 0))</f>
        <v>0-0-0</v>
      </c>
      <c r="AQ204" s="2">
        <f>IF(Table2[[#This Row],[GameHasShutOut]], 1, 0)</f>
        <v>0</v>
      </c>
      <c r="AR204" s="2">
        <f>IF(Table2[[#This Row],[ActualAwayScore]] + Table2[[#This Row],[ActualHomeScore]] &gt;= 10, 1, 0)</f>
        <v>0</v>
      </c>
      <c r="AS204" s="2">
        <f>IF(ABS(Table2[[#This Row],[ActualAwayScore]]-Table2[[#This Row],[ActualHomeScore]])&gt;=5, 1, 0)</f>
        <v>0</v>
      </c>
      <c r="AT204" s="2">
        <f>IF(Table2[[#This Row],[ActualAwayScore]] + Table2[[#This Row],[ActualHomeScore]] &lt;= 3, 1, 0)</f>
        <v>1</v>
      </c>
      <c r="AU204" s="2"/>
      <c r="AV204" s="2"/>
    </row>
    <row r="205" spans="1:48" x14ac:dyDescent="0.25">
      <c r="A205" s="3"/>
      <c r="B205" s="3">
        <v>45966</v>
      </c>
      <c r="C205" s="5">
        <v>2025020203</v>
      </c>
      <c r="D205" s="2" t="s">
        <v>14</v>
      </c>
      <c r="E205" s="2" t="s">
        <v>28</v>
      </c>
      <c r="F205" s="2"/>
      <c r="G205" s="2"/>
      <c r="H205" s="2" t="str">
        <f t="shared" si="19"/>
        <v>_</v>
      </c>
      <c r="I205" s="2"/>
      <c r="J205" s="2"/>
      <c r="K205" s="2"/>
      <c r="L205" s="2" t="str">
        <f t="shared" si="20"/>
        <v>_</v>
      </c>
      <c r="M205" s="2"/>
      <c r="N205" s="2">
        <f>IF(ISBLANK(Table2[[#This Row],[ActualResult]]), 0, 1)</f>
        <v>0</v>
      </c>
      <c r="O205" s="2" t="str">
        <f>IF(ISBLANK(Table2[[#This Row],[ActualResult]]), "_", IF(Table2[[#This Row],[ActualWinner]]=Table2[[#This Row],[PredictedWinner]], "Y", "N"))</f>
        <v>_</v>
      </c>
      <c r="P2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5" s="2"/>
      <c r="S205" s="2" t="str">
        <f t="shared" si="21"/>
        <v>_</v>
      </c>
      <c r="T2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5" s="2">
        <f>IF(Table2[[#This Row],[InterConf]]=1,IF(Table2[[#This Row],[InterDiv]]=0, 1, 0), 0)</f>
        <v>0</v>
      </c>
      <c r="W2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05" s="2"/>
      <c r="Y205" s="2"/>
      <c r="Z205" s="145">
        <f>IF(AND(Table2[[#This Row],[GameIsOver]]=1,Table2[[#This Row],[ActualHomeScore]]*Table2[[#This Row],[ActualAwayScore]]=0), 1,0)</f>
        <v>0</v>
      </c>
      <c r="AA2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5" s="2">
        <f>Table2[[#This Row],[ActualAwayScore]]-Table2[[#This Row],[PredictedAwayScore]]</f>
        <v>0</v>
      </c>
      <c r="AG205" s="2">
        <f>Table2[[#This Row],[ActualHomeScore]]-Table2[[#This Row],[PredictedHomeScore]]</f>
        <v>0</v>
      </c>
      <c r="AH205" s="2">
        <f t="shared" si="22"/>
        <v>0</v>
      </c>
      <c r="AI205" s="2">
        <f t="shared" si="23"/>
        <v>0</v>
      </c>
      <c r="AJ205" s="2"/>
      <c r="AK205" s="2"/>
      <c r="AL205" s="2">
        <f>IF(Table2[[#This Row],[GameIsOver]]=0,0,IF(Table2[[#This Row],[ActualWinner]]=Table2[[#This Row],[AwayTeam]], 1, 0))</f>
        <v>0</v>
      </c>
      <c r="AM205" s="2">
        <f>IF(Table2[[#This Row],[GameIsOver]]=0,0,IF(Table2[[#This Row],[ActualWinner]]=Table2[[#This Row],[HomeTeam]], 1, 0))</f>
        <v>0</v>
      </c>
      <c r="AN2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5" s="2" t="str">
        <f>INDEX(Sheet5!$B$2:$AG$33, MATCH(Table2[[#This Row],[AwayTeam]],Sheet5!$A$2:$A$33, 0), MATCH(Table2[[#This Row],[HomeTeam]],Sheet5!$A$2:$A$33, 0))</f>
        <v>0-0-0</v>
      </c>
      <c r="AP205" s="2" t="str">
        <f>INDEX(Sheet5!$B$2:$AG$33, MATCH(Table2[[#This Row],[HomeTeam]],Sheet5!$A$2:$A$33, 0), MATCH(Table2[[#This Row],[AwayTeam]],Sheet5!$A$2:$A$33, 0))</f>
        <v>0-0-0</v>
      </c>
      <c r="AQ205" s="2">
        <f>IF(Table2[[#This Row],[GameHasShutOut]], 1, 0)</f>
        <v>0</v>
      </c>
      <c r="AR205" s="2">
        <f>IF(Table2[[#This Row],[ActualAwayScore]] + Table2[[#This Row],[ActualHomeScore]] &gt;= 10, 1, 0)</f>
        <v>0</v>
      </c>
      <c r="AS205" s="2">
        <f>IF(ABS(Table2[[#This Row],[ActualAwayScore]]-Table2[[#This Row],[ActualHomeScore]])&gt;=5, 1, 0)</f>
        <v>0</v>
      </c>
      <c r="AT205" s="2">
        <f>IF(Table2[[#This Row],[ActualAwayScore]] + Table2[[#This Row],[ActualHomeScore]] &lt;= 3, 1, 0)</f>
        <v>1</v>
      </c>
      <c r="AU205" s="2"/>
      <c r="AV205" s="2"/>
    </row>
    <row r="206" spans="1:48" x14ac:dyDescent="0.25">
      <c r="A206" s="3"/>
      <c r="B206" s="3">
        <v>45966</v>
      </c>
      <c r="C206" s="5">
        <v>2025020204</v>
      </c>
      <c r="D206" s="2" t="s">
        <v>42</v>
      </c>
      <c r="E206" s="2" t="s">
        <v>18</v>
      </c>
      <c r="F206" s="2"/>
      <c r="G206" s="2"/>
      <c r="H206" s="2" t="str">
        <f t="shared" si="19"/>
        <v>_</v>
      </c>
      <c r="I206" s="2"/>
      <c r="J206" s="2"/>
      <c r="K206" s="2"/>
      <c r="L206" s="2" t="str">
        <f t="shared" si="20"/>
        <v>_</v>
      </c>
      <c r="M206" s="2"/>
      <c r="N206" s="2">
        <f>IF(ISBLANK(Table2[[#This Row],[ActualResult]]), 0, 1)</f>
        <v>0</v>
      </c>
      <c r="O206" s="2" t="str">
        <f>IF(ISBLANK(Table2[[#This Row],[ActualResult]]), "_", IF(Table2[[#This Row],[ActualWinner]]=Table2[[#This Row],[PredictedWinner]], "Y", "N"))</f>
        <v>_</v>
      </c>
      <c r="P2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6" s="2"/>
      <c r="S206" s="2" t="str">
        <f t="shared" si="21"/>
        <v>_</v>
      </c>
      <c r="T2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6" s="2">
        <f>IF(Table2[[#This Row],[InterConf]]=1,IF(Table2[[#This Row],[InterDiv]]=0, 1, 0), 0)</f>
        <v>1</v>
      </c>
      <c r="W2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6" s="2"/>
      <c r="Y206" s="2"/>
      <c r="Z206" s="145">
        <f>IF(AND(Table2[[#This Row],[GameIsOver]]=1,Table2[[#This Row],[ActualHomeScore]]*Table2[[#This Row],[ActualAwayScore]]=0), 1,0)</f>
        <v>0</v>
      </c>
      <c r="AA2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6" s="2">
        <f>Table2[[#This Row],[ActualAwayScore]]-Table2[[#This Row],[PredictedAwayScore]]</f>
        <v>0</v>
      </c>
      <c r="AG206" s="2">
        <f>Table2[[#This Row],[ActualHomeScore]]-Table2[[#This Row],[PredictedHomeScore]]</f>
        <v>0</v>
      </c>
      <c r="AH206" s="2">
        <f t="shared" si="22"/>
        <v>0</v>
      </c>
      <c r="AI206" s="2">
        <f t="shared" si="23"/>
        <v>0</v>
      </c>
      <c r="AJ206" s="2"/>
      <c r="AK206" s="2"/>
      <c r="AL206" s="2">
        <f>IF(Table2[[#This Row],[GameIsOver]]=0,0,IF(Table2[[#This Row],[ActualWinner]]=Table2[[#This Row],[AwayTeam]], 1, 0))</f>
        <v>0</v>
      </c>
      <c r="AM206" s="2">
        <f>IF(Table2[[#This Row],[GameIsOver]]=0,0,IF(Table2[[#This Row],[ActualWinner]]=Table2[[#This Row],[HomeTeam]], 1, 0))</f>
        <v>0</v>
      </c>
      <c r="AN2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6" s="2" t="str">
        <f>INDEX(Sheet5!$B$2:$AG$33, MATCH(Table2[[#This Row],[AwayTeam]],Sheet5!$A$2:$A$33, 0), MATCH(Table2[[#This Row],[HomeTeam]],Sheet5!$A$2:$A$33, 0))</f>
        <v>0-0-0</v>
      </c>
      <c r="AP206" s="2" t="str">
        <f>INDEX(Sheet5!$B$2:$AG$33, MATCH(Table2[[#This Row],[HomeTeam]],Sheet5!$A$2:$A$33, 0), MATCH(Table2[[#This Row],[AwayTeam]],Sheet5!$A$2:$A$33, 0))</f>
        <v>0-0-0</v>
      </c>
      <c r="AQ206" s="2">
        <f>IF(Table2[[#This Row],[GameHasShutOut]], 1, 0)</f>
        <v>0</v>
      </c>
      <c r="AR206" s="2">
        <f>IF(Table2[[#This Row],[ActualAwayScore]] + Table2[[#This Row],[ActualHomeScore]] &gt;= 10, 1, 0)</f>
        <v>0</v>
      </c>
      <c r="AS206" s="2">
        <f>IF(ABS(Table2[[#This Row],[ActualAwayScore]]-Table2[[#This Row],[ActualHomeScore]])&gt;=5, 1, 0)</f>
        <v>0</v>
      </c>
      <c r="AT206" s="2">
        <f>IF(Table2[[#This Row],[ActualAwayScore]] + Table2[[#This Row],[ActualHomeScore]] &lt;= 3, 1, 0)</f>
        <v>1</v>
      </c>
      <c r="AU206" s="2"/>
      <c r="AV206" s="2"/>
    </row>
    <row r="207" spans="1:48" x14ac:dyDescent="0.25">
      <c r="A207" s="3"/>
      <c r="B207" s="3">
        <v>45966</v>
      </c>
      <c r="C207" s="5">
        <v>2025020205</v>
      </c>
      <c r="D207" s="2" t="s">
        <v>15</v>
      </c>
      <c r="E207" s="2" t="s">
        <v>32</v>
      </c>
      <c r="F207" s="2"/>
      <c r="G207" s="2"/>
      <c r="H207" s="2" t="str">
        <f t="shared" si="19"/>
        <v>_</v>
      </c>
      <c r="I207" s="2"/>
      <c r="J207" s="2"/>
      <c r="K207" s="2"/>
      <c r="L207" s="2" t="str">
        <f t="shared" si="20"/>
        <v>_</v>
      </c>
      <c r="M207" s="2"/>
      <c r="N207" s="2">
        <f>IF(ISBLANK(Table2[[#This Row],[ActualResult]]), 0, 1)</f>
        <v>0</v>
      </c>
      <c r="O207" s="2" t="str">
        <f>IF(ISBLANK(Table2[[#This Row],[ActualResult]]), "_", IF(Table2[[#This Row],[ActualWinner]]=Table2[[#This Row],[PredictedWinner]], "Y", "N"))</f>
        <v>_</v>
      </c>
      <c r="P2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7" s="2"/>
      <c r="S207" s="2" t="str">
        <f t="shared" si="21"/>
        <v>_</v>
      </c>
      <c r="T2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7" s="2">
        <f>IF(Table2[[#This Row],[InterConf]]=1,IF(Table2[[#This Row],[InterDiv]]=0, 1, 0), 0)</f>
        <v>1</v>
      </c>
      <c r="W2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7" s="2"/>
      <c r="Y207" s="2"/>
      <c r="Z207" s="145">
        <f>IF(AND(Table2[[#This Row],[GameIsOver]]=1,Table2[[#This Row],[ActualHomeScore]]*Table2[[#This Row],[ActualAwayScore]]=0), 1,0)</f>
        <v>0</v>
      </c>
      <c r="AA2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7" s="2">
        <f>Table2[[#This Row],[ActualAwayScore]]-Table2[[#This Row],[PredictedAwayScore]]</f>
        <v>0</v>
      </c>
      <c r="AG207" s="2">
        <f>Table2[[#This Row],[ActualHomeScore]]-Table2[[#This Row],[PredictedHomeScore]]</f>
        <v>0</v>
      </c>
      <c r="AH207" s="2">
        <f t="shared" si="22"/>
        <v>0</v>
      </c>
      <c r="AI207" s="2">
        <f t="shared" si="23"/>
        <v>0</v>
      </c>
      <c r="AJ207" s="2"/>
      <c r="AK207" s="2"/>
      <c r="AL207" s="2">
        <f>IF(Table2[[#This Row],[GameIsOver]]=0,0,IF(Table2[[#This Row],[ActualWinner]]=Table2[[#This Row],[AwayTeam]], 1, 0))</f>
        <v>0</v>
      </c>
      <c r="AM207" s="2">
        <f>IF(Table2[[#This Row],[GameIsOver]]=0,0,IF(Table2[[#This Row],[ActualWinner]]=Table2[[#This Row],[HomeTeam]], 1, 0))</f>
        <v>0</v>
      </c>
      <c r="AN2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7" s="2" t="str">
        <f>INDEX(Sheet5!$B$2:$AG$33, MATCH(Table2[[#This Row],[AwayTeam]],Sheet5!$A$2:$A$33, 0), MATCH(Table2[[#This Row],[HomeTeam]],Sheet5!$A$2:$A$33, 0))</f>
        <v>0-0-0</v>
      </c>
      <c r="AP207" s="2" t="str">
        <f>INDEX(Sheet5!$B$2:$AG$33, MATCH(Table2[[#This Row],[HomeTeam]],Sheet5!$A$2:$A$33, 0), MATCH(Table2[[#This Row],[AwayTeam]],Sheet5!$A$2:$A$33, 0))</f>
        <v>0-0-0</v>
      </c>
      <c r="AQ207" s="2">
        <f>IF(Table2[[#This Row],[GameHasShutOut]], 1, 0)</f>
        <v>0</v>
      </c>
      <c r="AR207" s="2">
        <f>IF(Table2[[#This Row],[ActualAwayScore]] + Table2[[#This Row],[ActualHomeScore]] &gt;= 10, 1, 0)</f>
        <v>0</v>
      </c>
      <c r="AS207" s="2">
        <f>IF(ABS(Table2[[#This Row],[ActualAwayScore]]-Table2[[#This Row],[ActualHomeScore]])&gt;=5, 1, 0)</f>
        <v>0</v>
      </c>
      <c r="AT207" s="2">
        <f>IF(Table2[[#This Row],[ActualAwayScore]] + Table2[[#This Row],[ActualHomeScore]] &lt;= 3, 1, 0)</f>
        <v>1</v>
      </c>
      <c r="AU207" s="2"/>
      <c r="AV207" s="2"/>
    </row>
    <row r="208" spans="1:48" x14ac:dyDescent="0.25">
      <c r="A208" s="3"/>
      <c r="B208" s="3">
        <v>45966</v>
      </c>
      <c r="C208" s="5">
        <v>2025020206</v>
      </c>
      <c r="D208" s="2" t="s">
        <v>41</v>
      </c>
      <c r="E208" s="2" t="s">
        <v>19</v>
      </c>
      <c r="F208" s="2"/>
      <c r="G208" s="2"/>
      <c r="H208" s="2" t="str">
        <f t="shared" si="19"/>
        <v>_</v>
      </c>
      <c r="I208" s="2"/>
      <c r="J208" s="2"/>
      <c r="K208" s="2"/>
      <c r="L208" s="2" t="str">
        <f t="shared" si="20"/>
        <v>_</v>
      </c>
      <c r="M208" s="2"/>
      <c r="N208" s="2">
        <f>IF(ISBLANK(Table2[[#This Row],[ActualResult]]), 0, 1)</f>
        <v>0</v>
      </c>
      <c r="O208" s="2" t="str">
        <f>IF(ISBLANK(Table2[[#This Row],[ActualResult]]), "_", IF(Table2[[#This Row],[ActualWinner]]=Table2[[#This Row],[PredictedWinner]], "Y", "N"))</f>
        <v>_</v>
      </c>
      <c r="P2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8" s="2"/>
      <c r="S208" s="2" t="str">
        <f t="shared" si="21"/>
        <v>_</v>
      </c>
      <c r="T2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08" s="2">
        <f>IF(Table2[[#This Row],[InterConf]]=1,IF(Table2[[#This Row],[InterDiv]]=0, 1, 0), 0)</f>
        <v>0</v>
      </c>
      <c r="W2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8" s="2"/>
      <c r="Y208" s="2"/>
      <c r="Z208" s="145">
        <f>IF(AND(Table2[[#This Row],[GameIsOver]]=1,Table2[[#This Row],[ActualHomeScore]]*Table2[[#This Row],[ActualAwayScore]]=0), 1,0)</f>
        <v>0</v>
      </c>
      <c r="AA2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8" s="2">
        <f>Table2[[#This Row],[ActualAwayScore]]-Table2[[#This Row],[PredictedAwayScore]]</f>
        <v>0</v>
      </c>
      <c r="AG208" s="2">
        <f>Table2[[#This Row],[ActualHomeScore]]-Table2[[#This Row],[PredictedHomeScore]]</f>
        <v>0</v>
      </c>
      <c r="AH208" s="2">
        <f t="shared" si="22"/>
        <v>0</v>
      </c>
      <c r="AI208" s="2">
        <f t="shared" si="23"/>
        <v>0</v>
      </c>
      <c r="AJ208" s="2"/>
      <c r="AK208" s="2"/>
      <c r="AL208" s="2">
        <f>IF(Table2[[#This Row],[GameIsOver]]=0,0,IF(Table2[[#This Row],[ActualWinner]]=Table2[[#This Row],[AwayTeam]], 1, 0))</f>
        <v>0</v>
      </c>
      <c r="AM208" s="2">
        <f>IF(Table2[[#This Row],[GameIsOver]]=0,0,IF(Table2[[#This Row],[ActualWinner]]=Table2[[#This Row],[HomeTeam]], 1, 0))</f>
        <v>0</v>
      </c>
      <c r="AN2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8" s="2" t="str">
        <f>INDEX(Sheet5!$B$2:$AG$33, MATCH(Table2[[#This Row],[AwayTeam]],Sheet5!$A$2:$A$33, 0), MATCH(Table2[[#This Row],[HomeTeam]],Sheet5!$A$2:$A$33, 0))</f>
        <v>0-0-0</v>
      </c>
      <c r="AP208" s="2" t="str">
        <f>INDEX(Sheet5!$B$2:$AG$33, MATCH(Table2[[#This Row],[HomeTeam]],Sheet5!$A$2:$A$33, 0), MATCH(Table2[[#This Row],[AwayTeam]],Sheet5!$A$2:$A$33, 0))</f>
        <v>0-0-0</v>
      </c>
      <c r="AQ208" s="2">
        <f>IF(Table2[[#This Row],[GameHasShutOut]], 1, 0)</f>
        <v>0</v>
      </c>
      <c r="AR208" s="2">
        <f>IF(Table2[[#This Row],[ActualAwayScore]] + Table2[[#This Row],[ActualHomeScore]] &gt;= 10, 1, 0)</f>
        <v>0</v>
      </c>
      <c r="AS208" s="2">
        <f>IF(ABS(Table2[[#This Row],[ActualAwayScore]]-Table2[[#This Row],[ActualHomeScore]])&gt;=5, 1, 0)</f>
        <v>0</v>
      </c>
      <c r="AT208" s="2">
        <f>IF(Table2[[#This Row],[ActualAwayScore]] + Table2[[#This Row],[ActualHomeScore]] &lt;= 3, 1, 0)</f>
        <v>1</v>
      </c>
      <c r="AU208" s="2"/>
      <c r="AV208" s="2"/>
    </row>
    <row r="209" spans="1:48" x14ac:dyDescent="0.25">
      <c r="A209" s="3"/>
      <c r="B209" s="3">
        <v>45966</v>
      </c>
      <c r="C209" s="5">
        <v>2025020207</v>
      </c>
      <c r="D209" s="2" t="s">
        <v>22</v>
      </c>
      <c r="E209" s="2" t="s">
        <v>33</v>
      </c>
      <c r="F209" s="2"/>
      <c r="G209" s="2"/>
      <c r="H209" s="2" t="str">
        <f t="shared" si="19"/>
        <v>_</v>
      </c>
      <c r="I209" s="2"/>
      <c r="J209" s="2"/>
      <c r="K209" s="2"/>
      <c r="L209" s="2" t="str">
        <f t="shared" si="20"/>
        <v>_</v>
      </c>
      <c r="M209" s="2"/>
      <c r="N209" s="2">
        <f>IF(ISBLANK(Table2[[#This Row],[ActualResult]]), 0, 1)</f>
        <v>0</v>
      </c>
      <c r="O209" s="2" t="str">
        <f>IF(ISBLANK(Table2[[#This Row],[ActualResult]]), "_", IF(Table2[[#This Row],[ActualWinner]]=Table2[[#This Row],[PredictedWinner]], "Y", "N"))</f>
        <v>_</v>
      </c>
      <c r="P2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9" s="2"/>
      <c r="S209" s="2" t="str">
        <f t="shared" si="21"/>
        <v>_</v>
      </c>
      <c r="T2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9" s="2">
        <f>IF(Table2[[#This Row],[InterConf]]=1,IF(Table2[[#This Row],[InterDiv]]=0, 1, 0), 0)</f>
        <v>1</v>
      </c>
      <c r="W2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9" s="2"/>
      <c r="Y209" s="2"/>
      <c r="Z209" s="145">
        <f>IF(AND(Table2[[#This Row],[GameIsOver]]=1,Table2[[#This Row],[ActualHomeScore]]*Table2[[#This Row],[ActualAwayScore]]=0), 1,0)</f>
        <v>0</v>
      </c>
      <c r="AA2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9" s="2">
        <f>Table2[[#This Row],[ActualAwayScore]]-Table2[[#This Row],[PredictedAwayScore]]</f>
        <v>0</v>
      </c>
      <c r="AG209" s="2">
        <f>Table2[[#This Row],[ActualHomeScore]]-Table2[[#This Row],[PredictedHomeScore]]</f>
        <v>0</v>
      </c>
      <c r="AH209" s="2">
        <f t="shared" si="22"/>
        <v>0</v>
      </c>
      <c r="AI209" s="2">
        <f t="shared" si="23"/>
        <v>0</v>
      </c>
      <c r="AJ209" s="2"/>
      <c r="AK209" s="2"/>
      <c r="AL209" s="2">
        <f>IF(Table2[[#This Row],[GameIsOver]]=0,0,IF(Table2[[#This Row],[ActualWinner]]=Table2[[#This Row],[AwayTeam]], 1, 0))</f>
        <v>0</v>
      </c>
      <c r="AM209" s="2">
        <f>IF(Table2[[#This Row],[GameIsOver]]=0,0,IF(Table2[[#This Row],[ActualWinner]]=Table2[[#This Row],[HomeTeam]], 1, 0))</f>
        <v>0</v>
      </c>
      <c r="AN2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9" s="2" t="str">
        <f>INDEX(Sheet5!$B$2:$AG$33, MATCH(Table2[[#This Row],[AwayTeam]],Sheet5!$A$2:$A$33, 0), MATCH(Table2[[#This Row],[HomeTeam]],Sheet5!$A$2:$A$33, 0))</f>
        <v>0-0-0</v>
      </c>
      <c r="AP209" s="2" t="str">
        <f>INDEX(Sheet5!$B$2:$AG$33, MATCH(Table2[[#This Row],[HomeTeam]],Sheet5!$A$2:$A$33, 0), MATCH(Table2[[#This Row],[AwayTeam]],Sheet5!$A$2:$A$33, 0))</f>
        <v>0-0-0</v>
      </c>
      <c r="AQ209" s="2">
        <f>IF(Table2[[#This Row],[GameHasShutOut]], 1, 0)</f>
        <v>0</v>
      </c>
      <c r="AR209" s="2">
        <f>IF(Table2[[#This Row],[ActualAwayScore]] + Table2[[#This Row],[ActualHomeScore]] &gt;= 10, 1, 0)</f>
        <v>0</v>
      </c>
      <c r="AS209" s="2">
        <f>IF(ABS(Table2[[#This Row],[ActualAwayScore]]-Table2[[#This Row],[ActualHomeScore]])&gt;=5, 1, 0)</f>
        <v>0</v>
      </c>
      <c r="AT209" s="2">
        <f>IF(Table2[[#This Row],[ActualAwayScore]] + Table2[[#This Row],[ActualHomeScore]] &lt;= 3, 1, 0)</f>
        <v>1</v>
      </c>
      <c r="AU209" s="2"/>
      <c r="AV209" s="2"/>
    </row>
    <row r="210" spans="1:48" x14ac:dyDescent="0.25">
      <c r="A210" s="3"/>
      <c r="B210" s="3">
        <v>45966</v>
      </c>
      <c r="C210" s="5">
        <v>2025020208</v>
      </c>
      <c r="D210" s="2" t="s">
        <v>34</v>
      </c>
      <c r="E210" s="2" t="s">
        <v>36</v>
      </c>
      <c r="F210" s="2"/>
      <c r="G210" s="2"/>
      <c r="H210" s="2" t="str">
        <f t="shared" si="19"/>
        <v>_</v>
      </c>
      <c r="I210" s="2"/>
      <c r="J210" s="2"/>
      <c r="K210" s="2"/>
      <c r="L210" s="2" t="str">
        <f t="shared" si="20"/>
        <v>_</v>
      </c>
      <c r="M210" s="2"/>
      <c r="N210" s="2">
        <f>IF(ISBLANK(Table2[[#This Row],[ActualResult]]), 0, 1)</f>
        <v>0</v>
      </c>
      <c r="O210" s="2" t="str">
        <f>IF(ISBLANK(Table2[[#This Row],[ActualResult]]), "_", IF(Table2[[#This Row],[ActualWinner]]=Table2[[#This Row],[PredictedWinner]], "Y", "N"))</f>
        <v>_</v>
      </c>
      <c r="P2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0" s="2"/>
      <c r="S210" s="2" t="str">
        <f t="shared" si="21"/>
        <v>_</v>
      </c>
      <c r="T2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10" s="2">
        <f>IF(Table2[[#This Row],[InterConf]]=1,IF(Table2[[#This Row],[InterDiv]]=0, 1, 0), 0)</f>
        <v>0</v>
      </c>
      <c r="W2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0" s="2"/>
      <c r="Y210" s="2"/>
      <c r="Z210" s="145">
        <f>IF(AND(Table2[[#This Row],[GameIsOver]]=1,Table2[[#This Row],[ActualHomeScore]]*Table2[[#This Row],[ActualAwayScore]]=0), 1,0)</f>
        <v>0</v>
      </c>
      <c r="AA2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0" s="2">
        <f>Table2[[#This Row],[ActualAwayScore]]-Table2[[#This Row],[PredictedAwayScore]]</f>
        <v>0</v>
      </c>
      <c r="AG210" s="2">
        <f>Table2[[#This Row],[ActualHomeScore]]-Table2[[#This Row],[PredictedHomeScore]]</f>
        <v>0</v>
      </c>
      <c r="AH210" s="2">
        <f t="shared" si="22"/>
        <v>0</v>
      </c>
      <c r="AI210" s="2">
        <f t="shared" si="23"/>
        <v>0</v>
      </c>
      <c r="AJ210" s="2"/>
      <c r="AK210" s="2"/>
      <c r="AL210" s="2">
        <f>IF(Table2[[#This Row],[GameIsOver]]=0,0,IF(Table2[[#This Row],[ActualWinner]]=Table2[[#This Row],[AwayTeam]], 1, 0))</f>
        <v>0</v>
      </c>
      <c r="AM210" s="2">
        <f>IF(Table2[[#This Row],[GameIsOver]]=0,0,IF(Table2[[#This Row],[ActualWinner]]=Table2[[#This Row],[HomeTeam]], 1, 0))</f>
        <v>0</v>
      </c>
      <c r="AN2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0" s="2" t="str">
        <f>INDEX(Sheet5!$B$2:$AG$33, MATCH(Table2[[#This Row],[AwayTeam]],Sheet5!$A$2:$A$33, 0), MATCH(Table2[[#This Row],[HomeTeam]],Sheet5!$A$2:$A$33, 0))</f>
        <v>0-0-0</v>
      </c>
      <c r="AP210" s="2" t="str">
        <f>INDEX(Sheet5!$B$2:$AG$33, MATCH(Table2[[#This Row],[HomeTeam]],Sheet5!$A$2:$A$33, 0), MATCH(Table2[[#This Row],[AwayTeam]],Sheet5!$A$2:$A$33, 0))</f>
        <v>0-0-0</v>
      </c>
      <c r="AQ210" s="2">
        <f>IF(Table2[[#This Row],[GameHasShutOut]], 1, 0)</f>
        <v>0</v>
      </c>
      <c r="AR210" s="2">
        <f>IF(Table2[[#This Row],[ActualAwayScore]] + Table2[[#This Row],[ActualHomeScore]] &gt;= 10, 1, 0)</f>
        <v>0</v>
      </c>
      <c r="AS210" s="2">
        <f>IF(ABS(Table2[[#This Row],[ActualAwayScore]]-Table2[[#This Row],[ActualHomeScore]])&gt;=5, 1, 0)</f>
        <v>0</v>
      </c>
      <c r="AT210" s="2">
        <f>IF(Table2[[#This Row],[ActualAwayScore]] + Table2[[#This Row],[ActualHomeScore]] &lt;= 3, 1, 0)</f>
        <v>1</v>
      </c>
      <c r="AU210" s="2"/>
      <c r="AV210" s="2"/>
    </row>
    <row r="211" spans="1:48" x14ac:dyDescent="0.25">
      <c r="A211" s="3"/>
      <c r="B211" s="3">
        <v>45966</v>
      </c>
      <c r="C211" s="5">
        <v>2025020209</v>
      </c>
      <c r="D211" s="2" t="s">
        <v>40</v>
      </c>
      <c r="E211" s="2" t="s">
        <v>25</v>
      </c>
      <c r="F211" s="2"/>
      <c r="G211" s="2"/>
      <c r="H211" s="2" t="str">
        <f t="shared" si="19"/>
        <v>_</v>
      </c>
      <c r="I211" s="2"/>
      <c r="J211" s="2"/>
      <c r="K211" s="2"/>
      <c r="L211" s="2" t="str">
        <f t="shared" si="20"/>
        <v>_</v>
      </c>
      <c r="M211" s="2"/>
      <c r="N211" s="2">
        <f>IF(ISBLANK(Table2[[#This Row],[ActualResult]]), 0, 1)</f>
        <v>0</v>
      </c>
      <c r="O211" s="2" t="str">
        <f>IF(ISBLANK(Table2[[#This Row],[ActualResult]]), "_", IF(Table2[[#This Row],[ActualWinner]]=Table2[[#This Row],[PredictedWinner]], "Y", "N"))</f>
        <v>_</v>
      </c>
      <c r="P2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1" s="2"/>
      <c r="S211" s="2" t="str">
        <f t="shared" si="21"/>
        <v>_</v>
      </c>
      <c r="T2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1" s="2">
        <f>IF(Table2[[#This Row],[InterConf]]=1,IF(Table2[[#This Row],[InterDiv]]=0, 1, 0), 0)</f>
        <v>0</v>
      </c>
      <c r="W2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1" s="2"/>
      <c r="Y211" s="2"/>
      <c r="Z211" s="145">
        <f>IF(AND(Table2[[#This Row],[GameIsOver]]=1,Table2[[#This Row],[ActualHomeScore]]*Table2[[#This Row],[ActualAwayScore]]=0), 1,0)</f>
        <v>0</v>
      </c>
      <c r="AA2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1" s="2">
        <f>Table2[[#This Row],[ActualAwayScore]]-Table2[[#This Row],[PredictedAwayScore]]</f>
        <v>0</v>
      </c>
      <c r="AG211" s="2">
        <f>Table2[[#This Row],[ActualHomeScore]]-Table2[[#This Row],[PredictedHomeScore]]</f>
        <v>0</v>
      </c>
      <c r="AH211" s="2">
        <f t="shared" si="22"/>
        <v>0</v>
      </c>
      <c r="AI211" s="2">
        <f t="shared" si="23"/>
        <v>0</v>
      </c>
      <c r="AJ211" s="2"/>
      <c r="AK211" s="2"/>
      <c r="AL211" s="2">
        <f>IF(Table2[[#This Row],[GameIsOver]]=0,0,IF(Table2[[#This Row],[ActualWinner]]=Table2[[#This Row],[AwayTeam]], 1, 0))</f>
        <v>0</v>
      </c>
      <c r="AM211" s="2">
        <f>IF(Table2[[#This Row],[GameIsOver]]=0,0,IF(Table2[[#This Row],[ActualWinner]]=Table2[[#This Row],[HomeTeam]], 1, 0))</f>
        <v>0</v>
      </c>
      <c r="AN2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1" s="2" t="str">
        <f>INDEX(Sheet5!$B$2:$AG$33, MATCH(Table2[[#This Row],[AwayTeam]],Sheet5!$A$2:$A$33, 0), MATCH(Table2[[#This Row],[HomeTeam]],Sheet5!$A$2:$A$33, 0))</f>
        <v>0-0-0</v>
      </c>
      <c r="AP211" s="2" t="str">
        <f>INDEX(Sheet5!$B$2:$AG$33, MATCH(Table2[[#This Row],[HomeTeam]],Sheet5!$A$2:$A$33, 0), MATCH(Table2[[#This Row],[AwayTeam]],Sheet5!$A$2:$A$33, 0))</f>
        <v>0-0-0</v>
      </c>
      <c r="AQ211" s="2">
        <f>IF(Table2[[#This Row],[GameHasShutOut]], 1, 0)</f>
        <v>0</v>
      </c>
      <c r="AR211" s="2">
        <f>IF(Table2[[#This Row],[ActualAwayScore]] + Table2[[#This Row],[ActualHomeScore]] &gt;= 10, 1, 0)</f>
        <v>0</v>
      </c>
      <c r="AS211" s="2">
        <f>IF(ABS(Table2[[#This Row],[ActualAwayScore]]-Table2[[#This Row],[ActualHomeScore]])&gt;=5, 1, 0)</f>
        <v>0</v>
      </c>
      <c r="AT211" s="2">
        <f>IF(Table2[[#This Row],[ActualAwayScore]] + Table2[[#This Row],[ActualHomeScore]] &lt;= 3, 1, 0)</f>
        <v>1</v>
      </c>
      <c r="AU211" s="2"/>
      <c r="AV211" s="2"/>
    </row>
    <row r="212" spans="1:48" x14ac:dyDescent="0.25">
      <c r="A212" s="3"/>
      <c r="B212" s="3">
        <v>45966</v>
      </c>
      <c r="C212" s="5">
        <v>2025020210</v>
      </c>
      <c r="D212" s="2" t="s">
        <v>30</v>
      </c>
      <c r="E212" s="2" t="s">
        <v>26</v>
      </c>
      <c r="F212" s="2"/>
      <c r="G212" s="2"/>
      <c r="H212" s="2" t="str">
        <f t="shared" si="19"/>
        <v>_</v>
      </c>
      <c r="I212" s="2"/>
      <c r="J212" s="2"/>
      <c r="K212" s="2"/>
      <c r="L212" s="2" t="str">
        <f t="shared" si="20"/>
        <v>_</v>
      </c>
      <c r="M212" s="2"/>
      <c r="N212" s="2">
        <f>IF(ISBLANK(Table2[[#This Row],[ActualResult]]), 0, 1)</f>
        <v>0</v>
      </c>
      <c r="O212" s="2" t="str">
        <f>IF(ISBLANK(Table2[[#This Row],[ActualResult]]), "_", IF(Table2[[#This Row],[ActualWinner]]=Table2[[#This Row],[PredictedWinner]], "Y", "N"))</f>
        <v>_</v>
      </c>
      <c r="P2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2" s="2"/>
      <c r="S212" s="2" t="str">
        <f t="shared" si="21"/>
        <v>_</v>
      </c>
      <c r="T2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2" s="2">
        <f>IF(Table2[[#This Row],[InterConf]]=1,IF(Table2[[#This Row],[InterDiv]]=0, 1, 0), 0)</f>
        <v>0</v>
      </c>
      <c r="W2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2" s="2"/>
      <c r="Y212" s="2"/>
      <c r="Z212" s="145">
        <f>IF(AND(Table2[[#This Row],[GameIsOver]]=1,Table2[[#This Row],[ActualHomeScore]]*Table2[[#This Row],[ActualAwayScore]]=0), 1,0)</f>
        <v>0</v>
      </c>
      <c r="AA2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2" s="2">
        <f>Table2[[#This Row],[ActualAwayScore]]-Table2[[#This Row],[PredictedAwayScore]]</f>
        <v>0</v>
      </c>
      <c r="AG212" s="2">
        <f>Table2[[#This Row],[ActualHomeScore]]-Table2[[#This Row],[PredictedHomeScore]]</f>
        <v>0</v>
      </c>
      <c r="AH212" s="2">
        <f t="shared" si="22"/>
        <v>0</v>
      </c>
      <c r="AI212" s="2">
        <f t="shared" si="23"/>
        <v>0</v>
      </c>
      <c r="AJ212" s="2"/>
      <c r="AK212" s="2"/>
      <c r="AL212" s="2">
        <f>IF(Table2[[#This Row],[GameIsOver]]=0,0,IF(Table2[[#This Row],[ActualWinner]]=Table2[[#This Row],[AwayTeam]], 1, 0))</f>
        <v>0</v>
      </c>
      <c r="AM212" s="2">
        <f>IF(Table2[[#This Row],[GameIsOver]]=0,0,IF(Table2[[#This Row],[ActualWinner]]=Table2[[#This Row],[HomeTeam]], 1, 0))</f>
        <v>0</v>
      </c>
      <c r="AN2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2" s="2" t="str">
        <f>INDEX(Sheet5!$B$2:$AG$33, MATCH(Table2[[#This Row],[AwayTeam]],Sheet5!$A$2:$A$33, 0), MATCH(Table2[[#This Row],[HomeTeam]],Sheet5!$A$2:$A$33, 0))</f>
        <v>0-0-0</v>
      </c>
      <c r="AP212" s="2" t="str">
        <f>INDEX(Sheet5!$B$2:$AG$33, MATCH(Table2[[#This Row],[HomeTeam]],Sheet5!$A$2:$A$33, 0), MATCH(Table2[[#This Row],[AwayTeam]],Sheet5!$A$2:$A$33, 0))</f>
        <v>0-0-0</v>
      </c>
      <c r="AQ212" s="2">
        <f>IF(Table2[[#This Row],[GameHasShutOut]], 1, 0)</f>
        <v>0</v>
      </c>
      <c r="AR212" s="2">
        <f>IF(Table2[[#This Row],[ActualAwayScore]] + Table2[[#This Row],[ActualHomeScore]] &gt;= 10, 1, 0)</f>
        <v>0</v>
      </c>
      <c r="AS212" s="2">
        <f>IF(ABS(Table2[[#This Row],[ActualAwayScore]]-Table2[[#This Row],[ActualHomeScore]])&gt;=5, 1, 0)</f>
        <v>0</v>
      </c>
      <c r="AT212" s="2">
        <f>IF(Table2[[#This Row],[ActualAwayScore]] + Table2[[#This Row],[ActualHomeScore]] &lt;= 3, 1, 0)</f>
        <v>1</v>
      </c>
      <c r="AU212" s="2"/>
      <c r="AV212" s="2"/>
    </row>
    <row r="213" spans="1:48" x14ac:dyDescent="0.25">
      <c r="A213" s="3"/>
      <c r="B213" s="3">
        <v>45966</v>
      </c>
      <c r="C213" s="5">
        <v>2025020211</v>
      </c>
      <c r="D213" s="2" t="s">
        <v>13</v>
      </c>
      <c r="E213" s="2" t="s">
        <v>44</v>
      </c>
      <c r="F213" s="2"/>
      <c r="G213" s="2"/>
      <c r="H213" s="2" t="str">
        <f t="shared" si="19"/>
        <v>_</v>
      </c>
      <c r="I213" s="2"/>
      <c r="J213" s="2"/>
      <c r="K213" s="2"/>
      <c r="L213" s="2" t="str">
        <f t="shared" si="20"/>
        <v>_</v>
      </c>
      <c r="M213" s="2"/>
      <c r="N213" s="2">
        <f>IF(ISBLANK(Table2[[#This Row],[ActualResult]]), 0, 1)</f>
        <v>0</v>
      </c>
      <c r="O213" s="2" t="str">
        <f>IF(ISBLANK(Table2[[#This Row],[ActualResult]]), "_", IF(Table2[[#This Row],[ActualWinner]]=Table2[[#This Row],[PredictedWinner]], "Y", "N"))</f>
        <v>_</v>
      </c>
      <c r="P2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3" s="2"/>
      <c r="S213" s="2" t="str">
        <f t="shared" si="21"/>
        <v>_</v>
      </c>
      <c r="T2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3" s="2">
        <f>IF(Table2[[#This Row],[InterConf]]=1,IF(Table2[[#This Row],[InterDiv]]=0, 1, 0), 0)</f>
        <v>0</v>
      </c>
      <c r="W2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3" s="2"/>
      <c r="Y213" s="2"/>
      <c r="Z213" s="145">
        <f>IF(AND(Table2[[#This Row],[GameIsOver]]=1,Table2[[#This Row],[ActualHomeScore]]*Table2[[#This Row],[ActualAwayScore]]=0), 1,0)</f>
        <v>0</v>
      </c>
      <c r="AA2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3" s="2">
        <f>Table2[[#This Row],[ActualAwayScore]]-Table2[[#This Row],[PredictedAwayScore]]</f>
        <v>0</v>
      </c>
      <c r="AG213" s="2">
        <f>Table2[[#This Row],[ActualHomeScore]]-Table2[[#This Row],[PredictedHomeScore]]</f>
        <v>0</v>
      </c>
      <c r="AH213" s="2">
        <f t="shared" si="22"/>
        <v>0</v>
      </c>
      <c r="AI213" s="2">
        <f t="shared" si="23"/>
        <v>0</v>
      </c>
      <c r="AJ213" s="2"/>
      <c r="AK213" s="2"/>
      <c r="AL213" s="2">
        <f>IF(Table2[[#This Row],[GameIsOver]]=0,0,IF(Table2[[#This Row],[ActualWinner]]=Table2[[#This Row],[AwayTeam]], 1, 0))</f>
        <v>0</v>
      </c>
      <c r="AM213" s="2">
        <f>IF(Table2[[#This Row],[GameIsOver]]=0,0,IF(Table2[[#This Row],[ActualWinner]]=Table2[[#This Row],[HomeTeam]], 1, 0))</f>
        <v>0</v>
      </c>
      <c r="AN2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3" s="2" t="str">
        <f>INDEX(Sheet5!$B$2:$AG$33, MATCH(Table2[[#This Row],[AwayTeam]],Sheet5!$A$2:$A$33, 0), MATCH(Table2[[#This Row],[HomeTeam]],Sheet5!$A$2:$A$33, 0))</f>
        <v>0-0-0</v>
      </c>
      <c r="AP213" s="2" t="str">
        <f>INDEX(Sheet5!$B$2:$AG$33, MATCH(Table2[[#This Row],[HomeTeam]],Sheet5!$A$2:$A$33, 0), MATCH(Table2[[#This Row],[AwayTeam]],Sheet5!$A$2:$A$33, 0))</f>
        <v>0-0-0</v>
      </c>
      <c r="AQ213" s="2">
        <f>IF(Table2[[#This Row],[GameHasShutOut]], 1, 0)</f>
        <v>0</v>
      </c>
      <c r="AR213" s="2">
        <f>IF(Table2[[#This Row],[ActualAwayScore]] + Table2[[#This Row],[ActualHomeScore]] &gt;= 10, 1, 0)</f>
        <v>0</v>
      </c>
      <c r="AS213" s="2">
        <f>IF(ABS(Table2[[#This Row],[ActualAwayScore]]-Table2[[#This Row],[ActualHomeScore]])&gt;=5, 1, 0)</f>
        <v>0</v>
      </c>
      <c r="AT213" s="2">
        <f>IF(Table2[[#This Row],[ActualAwayScore]] + Table2[[#This Row],[ActualHomeScore]] &lt;= 3, 1, 0)</f>
        <v>1</v>
      </c>
      <c r="AU213" s="2"/>
      <c r="AV213" s="2"/>
    </row>
    <row r="214" spans="1:48" x14ac:dyDescent="0.25">
      <c r="A214" s="3"/>
      <c r="B214" s="3">
        <v>45966</v>
      </c>
      <c r="C214" s="5">
        <v>2025020212</v>
      </c>
      <c r="D214" s="2" t="s">
        <v>21</v>
      </c>
      <c r="E214" s="2" t="s">
        <v>27</v>
      </c>
      <c r="F214" s="2"/>
      <c r="G214" s="2"/>
      <c r="H214" s="2" t="str">
        <f t="shared" si="19"/>
        <v>_</v>
      </c>
      <c r="I214" s="2"/>
      <c r="J214" s="2"/>
      <c r="K214" s="2"/>
      <c r="L214" s="2" t="str">
        <f t="shared" si="20"/>
        <v>_</v>
      </c>
      <c r="M214" s="2"/>
      <c r="N214" s="2">
        <f>IF(ISBLANK(Table2[[#This Row],[ActualResult]]), 0, 1)</f>
        <v>0</v>
      </c>
      <c r="O214" s="2" t="str">
        <f>IF(ISBLANK(Table2[[#This Row],[ActualResult]]), "_", IF(Table2[[#This Row],[ActualWinner]]=Table2[[#This Row],[PredictedWinner]], "Y", "N"))</f>
        <v>_</v>
      </c>
      <c r="P2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4" s="2"/>
      <c r="S214" s="2" t="str">
        <f t="shared" si="21"/>
        <v>_</v>
      </c>
      <c r="T2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4" s="2">
        <f>IF(Table2[[#This Row],[InterConf]]=1,IF(Table2[[#This Row],[InterDiv]]=0, 1, 0), 0)</f>
        <v>1</v>
      </c>
      <c r="W2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4" s="2"/>
      <c r="Y214" s="2"/>
      <c r="Z214" s="145">
        <f>IF(AND(Table2[[#This Row],[GameIsOver]]=1,Table2[[#This Row],[ActualHomeScore]]*Table2[[#This Row],[ActualAwayScore]]=0), 1,0)</f>
        <v>0</v>
      </c>
      <c r="AA2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4" s="2">
        <f>Table2[[#This Row],[ActualAwayScore]]-Table2[[#This Row],[PredictedAwayScore]]</f>
        <v>0</v>
      </c>
      <c r="AG214" s="2">
        <f>Table2[[#This Row],[ActualHomeScore]]-Table2[[#This Row],[PredictedHomeScore]]</f>
        <v>0</v>
      </c>
      <c r="AH214" s="2">
        <f t="shared" si="22"/>
        <v>0</v>
      </c>
      <c r="AI214" s="2">
        <f t="shared" si="23"/>
        <v>0</v>
      </c>
      <c r="AJ214" s="2"/>
      <c r="AK214" s="2"/>
      <c r="AL214" s="2">
        <f>IF(Table2[[#This Row],[GameIsOver]]=0,0,IF(Table2[[#This Row],[ActualWinner]]=Table2[[#This Row],[AwayTeam]], 1, 0))</f>
        <v>0</v>
      </c>
      <c r="AM214" s="2">
        <f>IF(Table2[[#This Row],[GameIsOver]]=0,0,IF(Table2[[#This Row],[ActualWinner]]=Table2[[#This Row],[HomeTeam]], 1, 0))</f>
        <v>0</v>
      </c>
      <c r="AN214" s="2">
        <f>IF(IFERROR(FIND(Table2[[#This Row],[AwayTeam]], _xlfn.TEXTJOIN(";", 1, $BD$31:$BD$40)), 0) &gt; 0, 1, 0) + IF(IFERROR(FIND(Table2[[#This Row],[HomeTeam]], _xlfn.TEXTJOIN(";", 1, $BD$31:$BD$40)), 0) &gt; 0, 1, 0)</f>
        <v>1</v>
      </c>
      <c r="AO214" s="2" t="str">
        <f>INDEX(Sheet5!$B$2:$AG$33, MATCH(Table2[[#This Row],[AwayTeam]],Sheet5!$A$2:$A$33, 0), MATCH(Table2[[#This Row],[HomeTeam]],Sheet5!$A$2:$A$33, 0))</f>
        <v>1-0-0</v>
      </c>
      <c r="AP214" s="2" t="str">
        <f>INDEX(Sheet5!$B$2:$AG$33, MATCH(Table2[[#This Row],[HomeTeam]],Sheet5!$A$2:$A$33, 0), MATCH(Table2[[#This Row],[AwayTeam]],Sheet5!$A$2:$A$33, 0))</f>
        <v>0-1-0</v>
      </c>
      <c r="AQ214" s="2">
        <f>IF(Table2[[#This Row],[GameHasShutOut]], 1, 0)</f>
        <v>0</v>
      </c>
      <c r="AR214" s="2">
        <f>IF(Table2[[#This Row],[ActualAwayScore]] + Table2[[#This Row],[ActualHomeScore]] &gt;= 10, 1, 0)</f>
        <v>0</v>
      </c>
      <c r="AS214" s="2">
        <f>IF(ABS(Table2[[#This Row],[ActualAwayScore]]-Table2[[#This Row],[ActualHomeScore]])&gt;=5, 1, 0)</f>
        <v>0</v>
      </c>
      <c r="AT214" s="2">
        <f>IF(Table2[[#This Row],[ActualAwayScore]] + Table2[[#This Row],[ActualHomeScore]] &lt;= 3, 1, 0)</f>
        <v>1</v>
      </c>
      <c r="AU214" s="2"/>
      <c r="AV214" s="2"/>
    </row>
    <row r="215" spans="1:48" x14ac:dyDescent="0.25">
      <c r="A215" s="3"/>
      <c r="B215" s="3">
        <v>45967</v>
      </c>
      <c r="C215" s="5">
        <v>2025020213</v>
      </c>
      <c r="D215" s="2" t="s">
        <v>14</v>
      </c>
      <c r="E215" s="2" t="s">
        <v>17</v>
      </c>
      <c r="F215" s="2"/>
      <c r="G215" s="2"/>
      <c r="H215" s="2" t="str">
        <f t="shared" si="19"/>
        <v>_</v>
      </c>
      <c r="I215" s="2"/>
      <c r="J215" s="2"/>
      <c r="K215" s="2"/>
      <c r="L215" s="2" t="str">
        <f t="shared" si="20"/>
        <v>_</v>
      </c>
      <c r="M215" s="2"/>
      <c r="N215" s="2">
        <f>IF(ISBLANK(Table2[[#This Row],[ActualResult]]), 0, 1)</f>
        <v>0</v>
      </c>
      <c r="O215" s="2" t="str">
        <f>IF(ISBLANK(Table2[[#This Row],[ActualResult]]), "_", IF(Table2[[#This Row],[ActualWinner]]=Table2[[#This Row],[PredictedWinner]], "Y", "N"))</f>
        <v>_</v>
      </c>
      <c r="P2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5" s="2"/>
      <c r="S215" s="2" t="str">
        <f t="shared" si="21"/>
        <v>_</v>
      </c>
      <c r="T2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5" s="2">
        <f>IF(Table2[[#This Row],[InterConf]]=1,IF(Table2[[#This Row],[InterDiv]]=0, 1, 0), 0)</f>
        <v>0</v>
      </c>
      <c r="W2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5" s="2"/>
      <c r="Y215" s="2"/>
      <c r="Z215" s="145">
        <f>IF(AND(Table2[[#This Row],[GameIsOver]]=1,Table2[[#This Row],[ActualHomeScore]]*Table2[[#This Row],[ActualAwayScore]]=0), 1,0)</f>
        <v>0</v>
      </c>
      <c r="AA2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5" s="2">
        <f>Table2[[#This Row],[ActualAwayScore]]-Table2[[#This Row],[PredictedAwayScore]]</f>
        <v>0</v>
      </c>
      <c r="AG215" s="2">
        <f>Table2[[#This Row],[ActualHomeScore]]-Table2[[#This Row],[PredictedHomeScore]]</f>
        <v>0</v>
      </c>
      <c r="AH215" s="2">
        <f t="shared" si="22"/>
        <v>0</v>
      </c>
      <c r="AI215" s="2">
        <f t="shared" si="23"/>
        <v>0</v>
      </c>
      <c r="AJ215" s="2"/>
      <c r="AK215" s="2"/>
      <c r="AL215" s="2">
        <f>IF(Table2[[#This Row],[GameIsOver]]=0,0,IF(Table2[[#This Row],[ActualWinner]]=Table2[[#This Row],[AwayTeam]], 1, 0))</f>
        <v>0</v>
      </c>
      <c r="AM215" s="2">
        <f>IF(Table2[[#This Row],[GameIsOver]]=0,0,IF(Table2[[#This Row],[ActualWinner]]=Table2[[#This Row],[HomeTeam]], 1, 0))</f>
        <v>0</v>
      </c>
      <c r="AN2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5" s="2" t="str">
        <f>INDEX(Sheet5!$B$2:$AG$33, MATCH(Table2[[#This Row],[AwayTeam]],Sheet5!$A$2:$A$33, 0), MATCH(Table2[[#This Row],[HomeTeam]],Sheet5!$A$2:$A$33, 0))</f>
        <v>0-0-0</v>
      </c>
      <c r="AP215" s="2" t="str">
        <f>INDEX(Sheet5!$B$2:$AG$33, MATCH(Table2[[#This Row],[HomeTeam]],Sheet5!$A$2:$A$33, 0), MATCH(Table2[[#This Row],[AwayTeam]],Sheet5!$A$2:$A$33, 0))</f>
        <v>0-0-0</v>
      </c>
      <c r="AQ215" s="2">
        <f>IF(Table2[[#This Row],[GameHasShutOut]], 1, 0)</f>
        <v>0</v>
      </c>
      <c r="AR215" s="2">
        <f>IF(Table2[[#This Row],[ActualAwayScore]] + Table2[[#This Row],[ActualHomeScore]] &gt;= 10, 1, 0)</f>
        <v>0</v>
      </c>
      <c r="AS215" s="2">
        <f>IF(ABS(Table2[[#This Row],[ActualAwayScore]]-Table2[[#This Row],[ActualHomeScore]])&gt;=5, 1, 0)</f>
        <v>0</v>
      </c>
      <c r="AT215" s="2">
        <f>IF(Table2[[#This Row],[ActualAwayScore]] + Table2[[#This Row],[ActualHomeScore]] &lt;= 3, 1, 0)</f>
        <v>1</v>
      </c>
      <c r="AU215" s="2"/>
      <c r="AV215" s="2"/>
    </row>
    <row r="216" spans="1:48" x14ac:dyDescent="0.25">
      <c r="A216" s="3"/>
      <c r="B216" s="3">
        <v>45967</v>
      </c>
      <c r="C216" s="5">
        <v>2025020214</v>
      </c>
      <c r="D216" s="2" t="s">
        <v>12</v>
      </c>
      <c r="E216" s="2" t="s">
        <v>43</v>
      </c>
      <c r="F216" s="2"/>
      <c r="G216" s="2"/>
      <c r="H216" s="2" t="str">
        <f t="shared" si="19"/>
        <v>_</v>
      </c>
      <c r="I216" s="2"/>
      <c r="J216" s="2"/>
      <c r="K216" s="2"/>
      <c r="L216" s="2" t="str">
        <f t="shared" si="20"/>
        <v>_</v>
      </c>
      <c r="M216" s="2"/>
      <c r="N216" s="2">
        <f>IF(ISBLANK(Table2[[#This Row],[ActualResult]]), 0, 1)</f>
        <v>0</v>
      </c>
      <c r="O216" s="2" t="str">
        <f>IF(ISBLANK(Table2[[#This Row],[ActualResult]]), "_", IF(Table2[[#This Row],[ActualWinner]]=Table2[[#This Row],[PredictedWinner]], "Y", "N"))</f>
        <v>_</v>
      </c>
      <c r="P2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6" s="2"/>
      <c r="S216" s="2" t="str">
        <f t="shared" si="21"/>
        <v>_</v>
      </c>
      <c r="T2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6" s="2">
        <f>IF(Table2[[#This Row],[InterConf]]=1,IF(Table2[[#This Row],[InterDiv]]=0, 1, 0), 0)</f>
        <v>0</v>
      </c>
      <c r="W2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6" s="2"/>
      <c r="Y216" s="2"/>
      <c r="Z216" s="145">
        <f>IF(AND(Table2[[#This Row],[GameIsOver]]=1,Table2[[#This Row],[ActualHomeScore]]*Table2[[#This Row],[ActualAwayScore]]=0), 1,0)</f>
        <v>0</v>
      </c>
      <c r="AA2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6" s="2">
        <f>Table2[[#This Row],[ActualAwayScore]]-Table2[[#This Row],[PredictedAwayScore]]</f>
        <v>0</v>
      </c>
      <c r="AG216" s="2">
        <f>Table2[[#This Row],[ActualHomeScore]]-Table2[[#This Row],[PredictedHomeScore]]</f>
        <v>0</v>
      </c>
      <c r="AH216" s="2">
        <f t="shared" si="22"/>
        <v>0</v>
      </c>
      <c r="AI216" s="2">
        <f t="shared" si="23"/>
        <v>0</v>
      </c>
      <c r="AJ216" s="2"/>
      <c r="AK216" s="2"/>
      <c r="AL216" s="2">
        <f>IF(Table2[[#This Row],[GameIsOver]]=0,0,IF(Table2[[#This Row],[ActualWinner]]=Table2[[#This Row],[AwayTeam]], 1, 0))</f>
        <v>0</v>
      </c>
      <c r="AM216" s="2">
        <f>IF(Table2[[#This Row],[GameIsOver]]=0,0,IF(Table2[[#This Row],[ActualWinner]]=Table2[[#This Row],[HomeTeam]], 1, 0))</f>
        <v>0</v>
      </c>
      <c r="AN2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6" s="2" t="str">
        <f>INDEX(Sheet5!$B$2:$AG$33, MATCH(Table2[[#This Row],[AwayTeam]],Sheet5!$A$2:$A$33, 0), MATCH(Table2[[#This Row],[HomeTeam]],Sheet5!$A$2:$A$33, 0))</f>
        <v>0-0-0</v>
      </c>
      <c r="AP216" s="2" t="str">
        <f>INDEX(Sheet5!$B$2:$AG$33, MATCH(Table2[[#This Row],[HomeTeam]],Sheet5!$A$2:$A$33, 0), MATCH(Table2[[#This Row],[AwayTeam]],Sheet5!$A$2:$A$33, 0))</f>
        <v>0-0-0</v>
      </c>
      <c r="AQ216" s="2">
        <f>IF(Table2[[#This Row],[GameHasShutOut]], 1, 0)</f>
        <v>0</v>
      </c>
      <c r="AR216" s="2">
        <f>IF(Table2[[#This Row],[ActualAwayScore]] + Table2[[#This Row],[ActualHomeScore]] &gt;= 10, 1, 0)</f>
        <v>0</v>
      </c>
      <c r="AS216" s="2">
        <f>IF(ABS(Table2[[#This Row],[ActualAwayScore]]-Table2[[#This Row],[ActualHomeScore]])&gt;=5, 1, 0)</f>
        <v>0</v>
      </c>
      <c r="AT216" s="2">
        <f>IF(Table2[[#This Row],[ActualAwayScore]] + Table2[[#This Row],[ActualHomeScore]] &lt;= 3, 1, 0)</f>
        <v>1</v>
      </c>
      <c r="AU216" s="2"/>
      <c r="AV216" s="2"/>
    </row>
    <row r="217" spans="1:48" x14ac:dyDescent="0.25">
      <c r="A217" s="3"/>
      <c r="B217" s="3">
        <v>45967</v>
      </c>
      <c r="C217" s="5">
        <v>2025020215</v>
      </c>
      <c r="D217" s="2" t="s">
        <v>35</v>
      </c>
      <c r="E217" s="2" t="s">
        <v>23</v>
      </c>
      <c r="F217" s="2"/>
      <c r="G217" s="2"/>
      <c r="H217" s="2" t="str">
        <f t="shared" si="19"/>
        <v>_</v>
      </c>
      <c r="I217" s="2"/>
      <c r="J217" s="2"/>
      <c r="K217" s="2"/>
      <c r="L217" s="2" t="str">
        <f t="shared" si="20"/>
        <v>_</v>
      </c>
      <c r="M217" s="2"/>
      <c r="N217" s="2">
        <f>IF(ISBLANK(Table2[[#This Row],[ActualResult]]), 0, 1)</f>
        <v>0</v>
      </c>
      <c r="O217" s="2" t="str">
        <f>IF(ISBLANK(Table2[[#This Row],[ActualResult]]), "_", IF(Table2[[#This Row],[ActualWinner]]=Table2[[#This Row],[PredictedWinner]], "Y", "N"))</f>
        <v>_</v>
      </c>
      <c r="P2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7" s="2"/>
      <c r="S217" s="2" t="str">
        <f t="shared" si="21"/>
        <v>_</v>
      </c>
      <c r="T2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7" s="2">
        <f>IF(Table2[[#This Row],[InterConf]]=1,IF(Table2[[#This Row],[InterDiv]]=0, 1, 0), 0)</f>
        <v>0</v>
      </c>
      <c r="W2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7" s="2"/>
      <c r="Y217" s="2"/>
      <c r="Z217" s="145">
        <f>IF(AND(Table2[[#This Row],[GameIsOver]]=1,Table2[[#This Row],[ActualHomeScore]]*Table2[[#This Row],[ActualAwayScore]]=0), 1,0)</f>
        <v>0</v>
      </c>
      <c r="AA2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7" s="2">
        <f>Table2[[#This Row],[ActualAwayScore]]-Table2[[#This Row],[PredictedAwayScore]]</f>
        <v>0</v>
      </c>
      <c r="AG217" s="2">
        <f>Table2[[#This Row],[ActualHomeScore]]-Table2[[#This Row],[PredictedHomeScore]]</f>
        <v>0</v>
      </c>
      <c r="AH217" s="2">
        <f t="shared" si="22"/>
        <v>0</v>
      </c>
      <c r="AI217" s="2">
        <f t="shared" si="23"/>
        <v>0</v>
      </c>
      <c r="AJ217" s="2"/>
      <c r="AK217" s="2"/>
      <c r="AL217" s="2">
        <f>IF(Table2[[#This Row],[GameIsOver]]=0,0,IF(Table2[[#This Row],[ActualWinner]]=Table2[[#This Row],[AwayTeam]], 1, 0))</f>
        <v>0</v>
      </c>
      <c r="AM217" s="2">
        <f>IF(Table2[[#This Row],[GameIsOver]]=0,0,IF(Table2[[#This Row],[ActualWinner]]=Table2[[#This Row],[HomeTeam]], 1, 0))</f>
        <v>0</v>
      </c>
      <c r="AN2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7" s="2" t="str">
        <f>INDEX(Sheet5!$B$2:$AG$33, MATCH(Table2[[#This Row],[AwayTeam]],Sheet5!$A$2:$A$33, 0), MATCH(Table2[[#This Row],[HomeTeam]],Sheet5!$A$2:$A$33, 0))</f>
        <v>0-0-0</v>
      </c>
      <c r="AP217" s="2" t="str">
        <f>INDEX(Sheet5!$B$2:$AG$33, MATCH(Table2[[#This Row],[HomeTeam]],Sheet5!$A$2:$A$33, 0), MATCH(Table2[[#This Row],[AwayTeam]],Sheet5!$A$2:$A$33, 0))</f>
        <v>0-0-0</v>
      </c>
      <c r="AQ217" s="2">
        <f>IF(Table2[[#This Row],[GameHasShutOut]], 1, 0)</f>
        <v>0</v>
      </c>
      <c r="AR217" s="2">
        <f>IF(Table2[[#This Row],[ActualAwayScore]] + Table2[[#This Row],[ActualHomeScore]] &gt;= 10, 1, 0)</f>
        <v>0</v>
      </c>
      <c r="AS217" s="2">
        <f>IF(ABS(Table2[[#This Row],[ActualAwayScore]]-Table2[[#This Row],[ActualHomeScore]])&gt;=5, 1, 0)</f>
        <v>0</v>
      </c>
      <c r="AT217" s="2">
        <f>IF(Table2[[#This Row],[ActualAwayScore]] + Table2[[#This Row],[ActualHomeScore]] &lt;= 3, 1, 0)</f>
        <v>1</v>
      </c>
      <c r="AU217" s="2"/>
      <c r="AV217" s="2"/>
    </row>
    <row r="218" spans="1:48" x14ac:dyDescent="0.25">
      <c r="A218" s="3"/>
      <c r="B218" s="3">
        <v>45967</v>
      </c>
      <c r="C218" s="5">
        <v>2025020216</v>
      </c>
      <c r="D218" s="2" t="s">
        <v>16</v>
      </c>
      <c r="E218" s="2" t="s">
        <v>24</v>
      </c>
      <c r="F218" s="2"/>
      <c r="G218" s="2"/>
      <c r="H218" s="2" t="str">
        <f t="shared" si="19"/>
        <v>_</v>
      </c>
      <c r="I218" s="2"/>
      <c r="J218" s="2"/>
      <c r="K218" s="2"/>
      <c r="L218" s="2" t="str">
        <f t="shared" si="20"/>
        <v>_</v>
      </c>
      <c r="M218" s="2"/>
      <c r="N218" s="2">
        <f>IF(ISBLANK(Table2[[#This Row],[ActualResult]]), 0, 1)</f>
        <v>0</v>
      </c>
      <c r="O218" s="2" t="str">
        <f>IF(ISBLANK(Table2[[#This Row],[ActualResult]]), "_", IF(Table2[[#This Row],[ActualWinner]]=Table2[[#This Row],[PredictedWinner]], "Y", "N"))</f>
        <v>_</v>
      </c>
      <c r="P2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8" s="2"/>
      <c r="S218" s="2" t="str">
        <f t="shared" si="21"/>
        <v>_</v>
      </c>
      <c r="T2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8" s="2">
        <f>IF(Table2[[#This Row],[InterConf]]=1,IF(Table2[[#This Row],[InterDiv]]=0, 1, 0), 0)</f>
        <v>1</v>
      </c>
      <c r="W2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8" s="2"/>
      <c r="Y218" s="2"/>
      <c r="Z218" s="145">
        <f>IF(AND(Table2[[#This Row],[GameIsOver]]=1,Table2[[#This Row],[ActualHomeScore]]*Table2[[#This Row],[ActualAwayScore]]=0), 1,0)</f>
        <v>0</v>
      </c>
      <c r="AA2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8" s="2">
        <f>Table2[[#This Row],[ActualAwayScore]]-Table2[[#This Row],[PredictedAwayScore]]</f>
        <v>0</v>
      </c>
      <c r="AG218" s="2">
        <f>Table2[[#This Row],[ActualHomeScore]]-Table2[[#This Row],[PredictedHomeScore]]</f>
        <v>0</v>
      </c>
      <c r="AH218" s="2">
        <f t="shared" si="22"/>
        <v>0</v>
      </c>
      <c r="AI218" s="2">
        <f t="shared" si="23"/>
        <v>0</v>
      </c>
      <c r="AJ218" s="2"/>
      <c r="AK218" s="2"/>
      <c r="AL218" s="2">
        <f>IF(Table2[[#This Row],[GameIsOver]]=0,0,IF(Table2[[#This Row],[ActualWinner]]=Table2[[#This Row],[AwayTeam]], 1, 0))</f>
        <v>0</v>
      </c>
      <c r="AM218" s="2">
        <f>IF(Table2[[#This Row],[GameIsOver]]=0,0,IF(Table2[[#This Row],[ActualWinner]]=Table2[[#This Row],[HomeTeam]], 1, 0))</f>
        <v>0</v>
      </c>
      <c r="AN2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8" s="2" t="str">
        <f>INDEX(Sheet5!$B$2:$AG$33, MATCH(Table2[[#This Row],[AwayTeam]],Sheet5!$A$2:$A$33, 0), MATCH(Table2[[#This Row],[HomeTeam]],Sheet5!$A$2:$A$33, 0))</f>
        <v>0-0-1</v>
      </c>
      <c r="AP218" s="2" t="str">
        <f>INDEX(Sheet5!$B$2:$AG$33, MATCH(Table2[[#This Row],[HomeTeam]],Sheet5!$A$2:$A$33, 0), MATCH(Table2[[#This Row],[AwayTeam]],Sheet5!$A$2:$A$33, 0))</f>
        <v>1-0-0</v>
      </c>
      <c r="AQ218" s="2">
        <f>IF(Table2[[#This Row],[GameHasShutOut]], 1, 0)</f>
        <v>0</v>
      </c>
      <c r="AR218" s="2">
        <f>IF(Table2[[#This Row],[ActualAwayScore]] + Table2[[#This Row],[ActualHomeScore]] &gt;= 10, 1, 0)</f>
        <v>0</v>
      </c>
      <c r="AS218" s="2">
        <f>IF(ABS(Table2[[#This Row],[ActualAwayScore]]-Table2[[#This Row],[ActualHomeScore]])&gt;=5, 1, 0)</f>
        <v>0</v>
      </c>
      <c r="AT218" s="2">
        <f>IF(Table2[[#This Row],[ActualAwayScore]] + Table2[[#This Row],[ActualHomeScore]] &lt;= 3, 1, 0)</f>
        <v>1</v>
      </c>
      <c r="AU218" s="2"/>
      <c r="AV218" s="2"/>
    </row>
    <row r="219" spans="1:48" x14ac:dyDescent="0.25">
      <c r="A219" s="3"/>
      <c r="B219" s="3">
        <v>45967</v>
      </c>
      <c r="C219" s="5">
        <v>2025020217</v>
      </c>
      <c r="D219" s="2" t="s">
        <v>37</v>
      </c>
      <c r="E219" s="2" t="s">
        <v>11</v>
      </c>
      <c r="F219" s="2"/>
      <c r="G219" s="2"/>
      <c r="H219" s="2" t="str">
        <f t="shared" si="19"/>
        <v>_</v>
      </c>
      <c r="I219" s="2"/>
      <c r="J219" s="2"/>
      <c r="K219" s="2"/>
      <c r="L219" s="2" t="str">
        <f t="shared" si="20"/>
        <v>_</v>
      </c>
      <c r="M219" s="2"/>
      <c r="N219" s="2">
        <f>IF(ISBLANK(Table2[[#This Row],[ActualResult]]), 0, 1)</f>
        <v>0</v>
      </c>
      <c r="O219" s="2" t="str">
        <f>IF(ISBLANK(Table2[[#This Row],[ActualResult]]), "_", IF(Table2[[#This Row],[ActualWinner]]=Table2[[#This Row],[PredictedWinner]], "Y", "N"))</f>
        <v>_</v>
      </c>
      <c r="P2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9" s="2"/>
      <c r="S219" s="2" t="str">
        <f t="shared" si="21"/>
        <v>_</v>
      </c>
      <c r="T2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19" s="2">
        <f>IF(Table2[[#This Row],[InterConf]]=1,IF(Table2[[#This Row],[InterDiv]]=0, 1, 0), 0)</f>
        <v>0</v>
      </c>
      <c r="W2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9" s="2"/>
      <c r="Y219" s="2"/>
      <c r="Z219" s="145">
        <f>IF(AND(Table2[[#This Row],[GameIsOver]]=1,Table2[[#This Row],[ActualHomeScore]]*Table2[[#This Row],[ActualAwayScore]]=0), 1,0)</f>
        <v>0</v>
      </c>
      <c r="AA2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9" s="2">
        <f>Table2[[#This Row],[ActualAwayScore]]-Table2[[#This Row],[PredictedAwayScore]]</f>
        <v>0</v>
      </c>
      <c r="AG219" s="2">
        <f>Table2[[#This Row],[ActualHomeScore]]-Table2[[#This Row],[PredictedHomeScore]]</f>
        <v>0</v>
      </c>
      <c r="AH219" s="2">
        <f t="shared" si="22"/>
        <v>0</v>
      </c>
      <c r="AI219" s="2">
        <f t="shared" si="23"/>
        <v>0</v>
      </c>
      <c r="AJ219" s="2"/>
      <c r="AK219" s="2"/>
      <c r="AL219" s="2">
        <f>IF(Table2[[#This Row],[GameIsOver]]=0,0,IF(Table2[[#This Row],[ActualWinner]]=Table2[[#This Row],[AwayTeam]], 1, 0))</f>
        <v>0</v>
      </c>
      <c r="AM219" s="2">
        <f>IF(Table2[[#This Row],[GameIsOver]]=0,0,IF(Table2[[#This Row],[ActualWinner]]=Table2[[#This Row],[HomeTeam]], 1, 0))</f>
        <v>0</v>
      </c>
      <c r="AN2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9" s="2" t="str">
        <f>INDEX(Sheet5!$B$2:$AG$33, MATCH(Table2[[#This Row],[AwayTeam]],Sheet5!$A$2:$A$33, 0), MATCH(Table2[[#This Row],[HomeTeam]],Sheet5!$A$2:$A$33, 0))</f>
        <v>0-0-0</v>
      </c>
      <c r="AP219" s="2" t="str">
        <f>INDEX(Sheet5!$B$2:$AG$33, MATCH(Table2[[#This Row],[HomeTeam]],Sheet5!$A$2:$A$33, 0), MATCH(Table2[[#This Row],[AwayTeam]],Sheet5!$A$2:$A$33, 0))</f>
        <v>0-0-0</v>
      </c>
      <c r="AQ219" s="2">
        <f>IF(Table2[[#This Row],[GameHasShutOut]], 1, 0)</f>
        <v>0</v>
      </c>
      <c r="AR219" s="2">
        <f>IF(Table2[[#This Row],[ActualAwayScore]] + Table2[[#This Row],[ActualHomeScore]] &gt;= 10, 1, 0)</f>
        <v>0</v>
      </c>
      <c r="AS219" s="2">
        <f>IF(ABS(Table2[[#This Row],[ActualAwayScore]]-Table2[[#This Row],[ActualHomeScore]])&gt;=5, 1, 0)</f>
        <v>0</v>
      </c>
      <c r="AT219" s="2">
        <f>IF(Table2[[#This Row],[ActualAwayScore]] + Table2[[#This Row],[ActualHomeScore]] &lt;= 3, 1, 0)</f>
        <v>1</v>
      </c>
      <c r="AU219" s="2"/>
      <c r="AV219" s="2"/>
    </row>
    <row r="220" spans="1:48" x14ac:dyDescent="0.25">
      <c r="A220" s="3"/>
      <c r="B220" s="3">
        <v>45968</v>
      </c>
      <c r="C220" s="5">
        <v>2025020218</v>
      </c>
      <c r="D220" s="2" t="s">
        <v>29</v>
      </c>
      <c r="E220" s="2" t="s">
        <v>15</v>
      </c>
      <c r="F220" s="2"/>
      <c r="G220" s="2"/>
      <c r="H220" s="2" t="str">
        <f t="shared" si="19"/>
        <v>_</v>
      </c>
      <c r="I220" s="2"/>
      <c r="J220" s="2"/>
      <c r="K220" s="2"/>
      <c r="L220" s="2" t="str">
        <f t="shared" si="20"/>
        <v>_</v>
      </c>
      <c r="M220" s="2"/>
      <c r="N220" s="2">
        <f>IF(ISBLANK(Table2[[#This Row],[ActualResult]]), 0, 1)</f>
        <v>0</v>
      </c>
      <c r="O220" s="2" t="str">
        <f>IF(ISBLANK(Table2[[#This Row],[ActualResult]]), "_", IF(Table2[[#This Row],[ActualWinner]]=Table2[[#This Row],[PredictedWinner]], "Y", "N"))</f>
        <v>_</v>
      </c>
      <c r="P2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0" s="2"/>
      <c r="S220" s="2" t="str">
        <f t="shared" si="21"/>
        <v>_</v>
      </c>
      <c r="T2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20" s="2">
        <f>IF(Table2[[#This Row],[InterConf]]=1,IF(Table2[[#This Row],[InterDiv]]=0, 1, 0), 0)</f>
        <v>0</v>
      </c>
      <c r="W2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0" s="2"/>
      <c r="Y220" s="2"/>
      <c r="Z220" s="145">
        <f>IF(AND(Table2[[#This Row],[GameIsOver]]=1,Table2[[#This Row],[ActualHomeScore]]*Table2[[#This Row],[ActualAwayScore]]=0), 1,0)</f>
        <v>0</v>
      </c>
      <c r="AA2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0" s="2">
        <f>Table2[[#This Row],[ActualAwayScore]]-Table2[[#This Row],[PredictedAwayScore]]</f>
        <v>0</v>
      </c>
      <c r="AG220" s="2">
        <f>Table2[[#This Row],[ActualHomeScore]]-Table2[[#This Row],[PredictedHomeScore]]</f>
        <v>0</v>
      </c>
      <c r="AH220" s="2">
        <f t="shared" si="22"/>
        <v>0</v>
      </c>
      <c r="AI220" s="2">
        <f t="shared" si="23"/>
        <v>0</v>
      </c>
      <c r="AJ220" s="2"/>
      <c r="AK220" s="2"/>
      <c r="AL220" s="2">
        <f>IF(Table2[[#This Row],[GameIsOver]]=0,0,IF(Table2[[#This Row],[ActualWinner]]=Table2[[#This Row],[AwayTeam]], 1, 0))</f>
        <v>0</v>
      </c>
      <c r="AM220" s="2">
        <f>IF(Table2[[#This Row],[GameIsOver]]=0,0,IF(Table2[[#This Row],[ActualWinner]]=Table2[[#This Row],[HomeTeam]], 1, 0))</f>
        <v>0</v>
      </c>
      <c r="AN2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0" s="2" t="str">
        <f>INDEX(Sheet5!$B$2:$AG$33, MATCH(Table2[[#This Row],[AwayTeam]],Sheet5!$A$2:$A$33, 0), MATCH(Table2[[#This Row],[HomeTeam]],Sheet5!$A$2:$A$33, 0))</f>
        <v>0-0-0</v>
      </c>
      <c r="AP220" s="2" t="str">
        <f>INDEX(Sheet5!$B$2:$AG$33, MATCH(Table2[[#This Row],[HomeTeam]],Sheet5!$A$2:$A$33, 0), MATCH(Table2[[#This Row],[AwayTeam]],Sheet5!$A$2:$A$33, 0))</f>
        <v>0-0-0</v>
      </c>
      <c r="AQ220" s="2">
        <f>IF(Table2[[#This Row],[GameHasShutOut]], 1, 0)</f>
        <v>0</v>
      </c>
      <c r="AR220" s="2">
        <f>IF(Table2[[#This Row],[ActualAwayScore]] + Table2[[#This Row],[ActualHomeScore]] &gt;= 10, 1, 0)</f>
        <v>0</v>
      </c>
      <c r="AS220" s="2">
        <f>IF(ABS(Table2[[#This Row],[ActualAwayScore]]-Table2[[#This Row],[ActualHomeScore]])&gt;=5, 1, 0)</f>
        <v>0</v>
      </c>
      <c r="AT220" s="2">
        <f>IF(Table2[[#This Row],[ActualAwayScore]] + Table2[[#This Row],[ActualHomeScore]] &lt;= 3, 1, 0)</f>
        <v>1</v>
      </c>
      <c r="AU220" s="2"/>
      <c r="AV220" s="2"/>
    </row>
    <row r="221" spans="1:48" x14ac:dyDescent="0.25">
      <c r="A221" s="3"/>
      <c r="B221" s="3">
        <v>45968</v>
      </c>
      <c r="C221" s="5">
        <v>2025020219</v>
      </c>
      <c r="D221" s="2" t="s">
        <v>12</v>
      </c>
      <c r="E221" s="2" t="s">
        <v>28</v>
      </c>
      <c r="F221" s="2"/>
      <c r="G221" s="2"/>
      <c r="H221" s="2" t="str">
        <f t="shared" si="19"/>
        <v>_</v>
      </c>
      <c r="I221" s="2"/>
      <c r="J221" s="2"/>
      <c r="K221" s="2"/>
      <c r="L221" s="2" t="str">
        <f t="shared" si="20"/>
        <v>_</v>
      </c>
      <c r="M221" s="2"/>
      <c r="N221" s="2">
        <f>IF(ISBLANK(Table2[[#This Row],[ActualResult]]), 0, 1)</f>
        <v>0</v>
      </c>
      <c r="O221" s="2" t="str">
        <f>IF(ISBLANK(Table2[[#This Row],[ActualResult]]), "_", IF(Table2[[#This Row],[ActualWinner]]=Table2[[#This Row],[PredictedWinner]], "Y", "N"))</f>
        <v>_</v>
      </c>
      <c r="P2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1" s="2"/>
      <c r="S221" s="2" t="str">
        <f t="shared" si="21"/>
        <v>_</v>
      </c>
      <c r="T2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1" s="2">
        <f>IF(Table2[[#This Row],[InterConf]]=1,IF(Table2[[#This Row],[InterDiv]]=0, 1, 0), 0)</f>
        <v>0</v>
      </c>
      <c r="W2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1" s="2"/>
      <c r="Y221" s="2"/>
      <c r="Z221" s="145">
        <f>IF(AND(Table2[[#This Row],[GameIsOver]]=1,Table2[[#This Row],[ActualHomeScore]]*Table2[[#This Row],[ActualAwayScore]]=0), 1,0)</f>
        <v>0</v>
      </c>
      <c r="AA2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1" s="2">
        <f>Table2[[#This Row],[ActualAwayScore]]-Table2[[#This Row],[PredictedAwayScore]]</f>
        <v>0</v>
      </c>
      <c r="AG221" s="2">
        <f>Table2[[#This Row],[ActualHomeScore]]-Table2[[#This Row],[PredictedHomeScore]]</f>
        <v>0</v>
      </c>
      <c r="AH221" s="2">
        <f t="shared" si="22"/>
        <v>0</v>
      </c>
      <c r="AI221" s="2">
        <f t="shared" si="23"/>
        <v>0</v>
      </c>
      <c r="AJ221" s="2"/>
      <c r="AK221" s="2"/>
      <c r="AL221" s="2">
        <f>IF(Table2[[#This Row],[GameIsOver]]=0,0,IF(Table2[[#This Row],[ActualWinner]]=Table2[[#This Row],[AwayTeam]], 1, 0))</f>
        <v>0</v>
      </c>
      <c r="AM221" s="2">
        <f>IF(Table2[[#This Row],[GameIsOver]]=0,0,IF(Table2[[#This Row],[ActualWinner]]=Table2[[#This Row],[HomeTeam]], 1, 0))</f>
        <v>0</v>
      </c>
      <c r="AN2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1" s="2" t="str">
        <f>INDEX(Sheet5!$B$2:$AG$33, MATCH(Table2[[#This Row],[AwayTeam]],Sheet5!$A$2:$A$33, 0), MATCH(Table2[[#This Row],[HomeTeam]],Sheet5!$A$2:$A$33, 0))</f>
        <v>0-0-0</v>
      </c>
      <c r="AP221" s="2" t="str">
        <f>INDEX(Sheet5!$B$2:$AG$33, MATCH(Table2[[#This Row],[HomeTeam]],Sheet5!$A$2:$A$33, 0), MATCH(Table2[[#This Row],[AwayTeam]],Sheet5!$A$2:$A$33, 0))</f>
        <v>0-0-0</v>
      </c>
      <c r="AQ221" s="2">
        <f>IF(Table2[[#This Row],[GameHasShutOut]], 1, 0)</f>
        <v>0</v>
      </c>
      <c r="AR221" s="2">
        <f>IF(Table2[[#This Row],[ActualAwayScore]] + Table2[[#This Row],[ActualHomeScore]] &gt;= 10, 1, 0)</f>
        <v>0</v>
      </c>
      <c r="AS221" s="2">
        <f>IF(ABS(Table2[[#This Row],[ActualAwayScore]]-Table2[[#This Row],[ActualHomeScore]])&gt;=5, 1, 0)</f>
        <v>0</v>
      </c>
      <c r="AT221" s="2">
        <f>IF(Table2[[#This Row],[ActualAwayScore]] + Table2[[#This Row],[ActualHomeScore]] &lt;= 3, 1, 0)</f>
        <v>1</v>
      </c>
      <c r="AU221" s="2"/>
      <c r="AV221" s="2"/>
    </row>
    <row r="222" spans="1:48" x14ac:dyDescent="0.25">
      <c r="A222" s="3"/>
      <c r="B222" s="3">
        <v>45968</v>
      </c>
      <c r="C222" s="5">
        <v>2025020220</v>
      </c>
      <c r="D222" s="2" t="s">
        <v>18</v>
      </c>
      <c r="E222" s="2" t="s">
        <v>31</v>
      </c>
      <c r="F222" s="2"/>
      <c r="G222" s="2"/>
      <c r="H222" s="2" t="str">
        <f t="shared" si="19"/>
        <v>_</v>
      </c>
      <c r="I222" s="2"/>
      <c r="J222" s="2"/>
      <c r="K222" s="2"/>
      <c r="L222" s="2" t="str">
        <f t="shared" si="20"/>
        <v>_</v>
      </c>
      <c r="M222" s="2"/>
      <c r="N222" s="2">
        <f>IF(ISBLANK(Table2[[#This Row],[ActualResult]]), 0, 1)</f>
        <v>0</v>
      </c>
      <c r="O222" s="2" t="str">
        <f>IF(ISBLANK(Table2[[#This Row],[ActualResult]]), "_", IF(Table2[[#This Row],[ActualWinner]]=Table2[[#This Row],[PredictedWinner]], "Y", "N"))</f>
        <v>_</v>
      </c>
      <c r="P2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2" s="2"/>
      <c r="S222" s="2" t="str">
        <f t="shared" si="21"/>
        <v>_</v>
      </c>
      <c r="T2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2" s="2">
        <f>IF(Table2[[#This Row],[InterConf]]=1,IF(Table2[[#This Row],[InterDiv]]=0, 1, 0), 0)</f>
        <v>1</v>
      </c>
      <c r="W2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2" s="2"/>
      <c r="Y222" s="2"/>
      <c r="Z222" s="145">
        <f>IF(AND(Table2[[#This Row],[GameIsOver]]=1,Table2[[#This Row],[ActualHomeScore]]*Table2[[#This Row],[ActualAwayScore]]=0), 1,0)</f>
        <v>0</v>
      </c>
      <c r="AA2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2" s="2">
        <f>Table2[[#This Row],[ActualAwayScore]]-Table2[[#This Row],[PredictedAwayScore]]</f>
        <v>0</v>
      </c>
      <c r="AG222" s="2">
        <f>Table2[[#This Row],[ActualHomeScore]]-Table2[[#This Row],[PredictedHomeScore]]</f>
        <v>0</v>
      </c>
      <c r="AH222" s="2">
        <f t="shared" si="22"/>
        <v>0</v>
      </c>
      <c r="AI222" s="2">
        <f t="shared" si="23"/>
        <v>0</v>
      </c>
      <c r="AJ222" s="2"/>
      <c r="AK222" s="2"/>
      <c r="AL222" s="2">
        <f>IF(Table2[[#This Row],[GameIsOver]]=0,0,IF(Table2[[#This Row],[ActualWinner]]=Table2[[#This Row],[AwayTeam]], 1, 0))</f>
        <v>0</v>
      </c>
      <c r="AM222" s="2">
        <f>IF(Table2[[#This Row],[GameIsOver]]=0,0,IF(Table2[[#This Row],[ActualWinner]]=Table2[[#This Row],[HomeTeam]], 1, 0))</f>
        <v>0</v>
      </c>
      <c r="AN2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2" s="2" t="str">
        <f>INDEX(Sheet5!$B$2:$AG$33, MATCH(Table2[[#This Row],[AwayTeam]],Sheet5!$A$2:$A$33, 0), MATCH(Table2[[#This Row],[HomeTeam]],Sheet5!$A$2:$A$33, 0))</f>
        <v>0-0-0</v>
      </c>
      <c r="AP222" s="2" t="str">
        <f>INDEX(Sheet5!$B$2:$AG$33, MATCH(Table2[[#This Row],[HomeTeam]],Sheet5!$A$2:$A$33, 0), MATCH(Table2[[#This Row],[AwayTeam]],Sheet5!$A$2:$A$33, 0))</f>
        <v>0-0-0</v>
      </c>
      <c r="AQ222" s="2">
        <f>IF(Table2[[#This Row],[GameHasShutOut]], 1, 0)</f>
        <v>0</v>
      </c>
      <c r="AR222" s="2">
        <f>IF(Table2[[#This Row],[ActualAwayScore]] + Table2[[#This Row],[ActualHomeScore]] &gt;= 10, 1, 0)</f>
        <v>0</v>
      </c>
      <c r="AS222" s="2">
        <f>IF(ABS(Table2[[#This Row],[ActualAwayScore]]-Table2[[#This Row],[ActualHomeScore]])&gt;=5, 1, 0)</f>
        <v>0</v>
      </c>
      <c r="AT222" s="2">
        <f>IF(Table2[[#This Row],[ActualAwayScore]] + Table2[[#This Row],[ActualHomeScore]] &lt;= 3, 1, 0)</f>
        <v>1</v>
      </c>
      <c r="AU222" s="2"/>
      <c r="AV222" s="2"/>
    </row>
    <row r="223" spans="1:48" x14ac:dyDescent="0.25">
      <c r="A223" s="3"/>
      <c r="B223" s="3">
        <v>45968</v>
      </c>
      <c r="C223" s="5">
        <v>2025020221</v>
      </c>
      <c r="D223" s="2" t="s">
        <v>43</v>
      </c>
      <c r="E223" s="2" t="s">
        <v>20</v>
      </c>
      <c r="F223" s="2"/>
      <c r="G223" s="2"/>
      <c r="H223" s="2" t="str">
        <f t="shared" si="19"/>
        <v>_</v>
      </c>
      <c r="I223" s="2"/>
      <c r="J223" s="2"/>
      <c r="K223" s="2"/>
      <c r="L223" s="2" t="str">
        <f t="shared" si="20"/>
        <v>_</v>
      </c>
      <c r="M223" s="2"/>
      <c r="N223" s="2">
        <f>IF(ISBLANK(Table2[[#This Row],[ActualResult]]), 0, 1)</f>
        <v>0</v>
      </c>
      <c r="O223" s="2" t="str">
        <f>IF(ISBLANK(Table2[[#This Row],[ActualResult]]), "_", IF(Table2[[#This Row],[ActualWinner]]=Table2[[#This Row],[PredictedWinner]], "Y", "N"))</f>
        <v>_</v>
      </c>
      <c r="P2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3" s="2"/>
      <c r="S223" s="2" t="str">
        <f t="shared" si="21"/>
        <v>_</v>
      </c>
      <c r="T2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23" s="2">
        <f>IF(Table2[[#This Row],[InterConf]]=1,IF(Table2[[#This Row],[InterDiv]]=0, 1, 0), 0)</f>
        <v>0</v>
      </c>
      <c r="W2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3" s="2"/>
      <c r="Y223" s="2"/>
      <c r="Z223" s="145">
        <f>IF(AND(Table2[[#This Row],[GameIsOver]]=1,Table2[[#This Row],[ActualHomeScore]]*Table2[[#This Row],[ActualAwayScore]]=0), 1,0)</f>
        <v>0</v>
      </c>
      <c r="AA2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3" s="2">
        <f>Table2[[#This Row],[ActualAwayScore]]-Table2[[#This Row],[PredictedAwayScore]]</f>
        <v>0</v>
      </c>
      <c r="AG223" s="2">
        <f>Table2[[#This Row],[ActualHomeScore]]-Table2[[#This Row],[PredictedHomeScore]]</f>
        <v>0</v>
      </c>
      <c r="AH223" s="2">
        <f t="shared" si="22"/>
        <v>0</v>
      </c>
      <c r="AI223" s="2">
        <f t="shared" si="23"/>
        <v>0</v>
      </c>
      <c r="AJ223" s="2"/>
      <c r="AK223" s="2"/>
      <c r="AL223" s="2">
        <f>IF(Table2[[#This Row],[GameIsOver]]=0,0,IF(Table2[[#This Row],[ActualWinner]]=Table2[[#This Row],[AwayTeam]], 1, 0))</f>
        <v>0</v>
      </c>
      <c r="AM223" s="2">
        <f>IF(Table2[[#This Row],[GameIsOver]]=0,0,IF(Table2[[#This Row],[ActualWinner]]=Table2[[#This Row],[HomeTeam]], 1, 0))</f>
        <v>0</v>
      </c>
      <c r="AN2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3" s="2" t="str">
        <f>INDEX(Sheet5!$B$2:$AG$33, MATCH(Table2[[#This Row],[AwayTeam]],Sheet5!$A$2:$A$33, 0), MATCH(Table2[[#This Row],[HomeTeam]],Sheet5!$A$2:$A$33, 0))</f>
        <v>0-0-0</v>
      </c>
      <c r="AP223" s="2" t="str">
        <f>INDEX(Sheet5!$B$2:$AG$33, MATCH(Table2[[#This Row],[HomeTeam]],Sheet5!$A$2:$A$33, 0), MATCH(Table2[[#This Row],[AwayTeam]],Sheet5!$A$2:$A$33, 0))</f>
        <v>0-0-0</v>
      </c>
      <c r="AQ223" s="2">
        <f>IF(Table2[[#This Row],[GameHasShutOut]], 1, 0)</f>
        <v>0</v>
      </c>
      <c r="AR223" s="2">
        <f>IF(Table2[[#This Row],[ActualAwayScore]] + Table2[[#This Row],[ActualHomeScore]] &gt;= 10, 1, 0)</f>
        <v>0</v>
      </c>
      <c r="AS223" s="2">
        <f>IF(ABS(Table2[[#This Row],[ActualAwayScore]]-Table2[[#This Row],[ActualHomeScore]])&gt;=5, 1, 0)</f>
        <v>0</v>
      </c>
      <c r="AT223" s="2">
        <f>IF(Table2[[#This Row],[ActualAwayScore]] + Table2[[#This Row],[ActualHomeScore]] &lt;= 3, 1, 0)</f>
        <v>1</v>
      </c>
      <c r="AU223" s="2"/>
      <c r="AV223" s="2"/>
    </row>
    <row r="224" spans="1:48" x14ac:dyDescent="0.25">
      <c r="A224" s="3"/>
      <c r="B224" s="3">
        <v>45968</v>
      </c>
      <c r="C224" s="5">
        <v>2025020222</v>
      </c>
      <c r="D224" s="2" t="s">
        <v>36</v>
      </c>
      <c r="E224" s="2" t="s">
        <v>41</v>
      </c>
      <c r="F224" s="2"/>
      <c r="G224" s="2"/>
      <c r="H224" s="2" t="str">
        <f t="shared" si="19"/>
        <v>_</v>
      </c>
      <c r="I224" s="2"/>
      <c r="J224" s="2"/>
      <c r="K224" s="2"/>
      <c r="L224" s="2" t="str">
        <f t="shared" si="20"/>
        <v>_</v>
      </c>
      <c r="M224" s="2"/>
      <c r="N224" s="2">
        <f>IF(ISBLANK(Table2[[#This Row],[ActualResult]]), 0, 1)</f>
        <v>0</v>
      </c>
      <c r="O224" s="2" t="str">
        <f>IF(ISBLANK(Table2[[#This Row],[ActualResult]]), "_", IF(Table2[[#This Row],[ActualWinner]]=Table2[[#This Row],[PredictedWinner]], "Y", "N"))</f>
        <v>_</v>
      </c>
      <c r="P2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4" s="2"/>
      <c r="S224" s="2" t="str">
        <f t="shared" si="21"/>
        <v>_</v>
      </c>
      <c r="T2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4" s="2">
        <f>IF(Table2[[#This Row],[InterConf]]=1,IF(Table2[[#This Row],[InterDiv]]=0, 1, 0), 0)</f>
        <v>0</v>
      </c>
      <c r="W2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4" s="2"/>
      <c r="Y224" s="2"/>
      <c r="Z224" s="145">
        <f>IF(AND(Table2[[#This Row],[GameIsOver]]=1,Table2[[#This Row],[ActualHomeScore]]*Table2[[#This Row],[ActualAwayScore]]=0), 1,0)</f>
        <v>0</v>
      </c>
      <c r="AA2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4" s="2">
        <f>Table2[[#This Row],[ActualAwayScore]]-Table2[[#This Row],[PredictedAwayScore]]</f>
        <v>0</v>
      </c>
      <c r="AG224" s="2">
        <f>Table2[[#This Row],[ActualHomeScore]]-Table2[[#This Row],[PredictedHomeScore]]</f>
        <v>0</v>
      </c>
      <c r="AH224" s="2">
        <f t="shared" si="22"/>
        <v>0</v>
      </c>
      <c r="AI224" s="2">
        <f t="shared" si="23"/>
        <v>0</v>
      </c>
      <c r="AJ224" s="2"/>
      <c r="AK224" s="2"/>
      <c r="AL224" s="2">
        <f>IF(Table2[[#This Row],[GameIsOver]]=0,0,IF(Table2[[#This Row],[ActualWinner]]=Table2[[#This Row],[AwayTeam]], 1, 0))</f>
        <v>0</v>
      </c>
      <c r="AM224" s="2">
        <f>IF(Table2[[#This Row],[GameIsOver]]=0,0,IF(Table2[[#This Row],[ActualWinner]]=Table2[[#This Row],[HomeTeam]], 1, 0))</f>
        <v>0</v>
      </c>
      <c r="AN2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4" s="2" t="str">
        <f>INDEX(Sheet5!$B$2:$AG$33, MATCH(Table2[[#This Row],[AwayTeam]],Sheet5!$A$2:$A$33, 0), MATCH(Table2[[#This Row],[HomeTeam]],Sheet5!$A$2:$A$33, 0))</f>
        <v>0-0-0</v>
      </c>
      <c r="AP224" s="2" t="str">
        <f>INDEX(Sheet5!$B$2:$AG$33, MATCH(Table2[[#This Row],[HomeTeam]],Sheet5!$A$2:$A$33, 0), MATCH(Table2[[#This Row],[AwayTeam]],Sheet5!$A$2:$A$33, 0))</f>
        <v>0-0-0</v>
      </c>
      <c r="AQ224" s="2">
        <f>IF(Table2[[#This Row],[GameHasShutOut]], 1, 0)</f>
        <v>0</v>
      </c>
      <c r="AR224" s="2">
        <f>IF(Table2[[#This Row],[ActualAwayScore]] + Table2[[#This Row],[ActualHomeScore]] &gt;= 10, 1, 0)</f>
        <v>0</v>
      </c>
      <c r="AS224" s="2">
        <f>IF(ABS(Table2[[#This Row],[ActualAwayScore]]-Table2[[#This Row],[ActualHomeScore]])&gt;=5, 1, 0)</f>
        <v>0</v>
      </c>
      <c r="AT224" s="2">
        <f>IF(Table2[[#This Row],[ActualAwayScore]] + Table2[[#This Row],[ActualHomeScore]] &lt;= 3, 1, 0)</f>
        <v>1</v>
      </c>
      <c r="AU224" s="2"/>
      <c r="AV224" s="2"/>
    </row>
    <row r="225" spans="1:48" x14ac:dyDescent="0.25">
      <c r="A225" s="3"/>
      <c r="B225" s="3">
        <v>45968</v>
      </c>
      <c r="C225" s="5">
        <v>2025020223</v>
      </c>
      <c r="D225" s="2" t="s">
        <v>42</v>
      </c>
      <c r="E225" s="2" t="s">
        <v>34</v>
      </c>
      <c r="F225" s="2"/>
      <c r="G225" s="2"/>
      <c r="H225" s="2" t="str">
        <f t="shared" si="19"/>
        <v>_</v>
      </c>
      <c r="I225" s="2"/>
      <c r="J225" s="2"/>
      <c r="K225" s="2"/>
      <c r="L225" s="2" t="str">
        <f t="shared" si="20"/>
        <v>_</v>
      </c>
      <c r="M225" s="2"/>
      <c r="N225" s="2">
        <f>IF(ISBLANK(Table2[[#This Row],[ActualResult]]), 0, 1)</f>
        <v>0</v>
      </c>
      <c r="O225" s="2" t="str">
        <f>IF(ISBLANK(Table2[[#This Row],[ActualResult]]), "_", IF(Table2[[#This Row],[ActualWinner]]=Table2[[#This Row],[PredictedWinner]], "Y", "N"))</f>
        <v>_</v>
      </c>
      <c r="P2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5" s="2"/>
      <c r="S225" s="2" t="str">
        <f t="shared" si="21"/>
        <v>_</v>
      </c>
      <c r="T2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5" s="2">
        <f>IF(Table2[[#This Row],[InterConf]]=1,IF(Table2[[#This Row],[InterDiv]]=0, 1, 0), 0)</f>
        <v>0</v>
      </c>
      <c r="W2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5" s="2"/>
      <c r="Y225" s="2"/>
      <c r="Z225" s="145">
        <f>IF(AND(Table2[[#This Row],[GameIsOver]]=1,Table2[[#This Row],[ActualHomeScore]]*Table2[[#This Row],[ActualAwayScore]]=0), 1,0)</f>
        <v>0</v>
      </c>
      <c r="AA2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5" s="2">
        <f>Table2[[#This Row],[ActualAwayScore]]-Table2[[#This Row],[PredictedAwayScore]]</f>
        <v>0</v>
      </c>
      <c r="AG225" s="2">
        <f>Table2[[#This Row],[ActualHomeScore]]-Table2[[#This Row],[PredictedHomeScore]]</f>
        <v>0</v>
      </c>
      <c r="AH225" s="2">
        <f t="shared" si="22"/>
        <v>0</v>
      </c>
      <c r="AI225" s="2">
        <f t="shared" si="23"/>
        <v>0</v>
      </c>
      <c r="AJ225" s="2"/>
      <c r="AK225" s="2"/>
      <c r="AL225" s="2">
        <f>IF(Table2[[#This Row],[GameIsOver]]=0,0,IF(Table2[[#This Row],[ActualWinner]]=Table2[[#This Row],[AwayTeam]], 1, 0))</f>
        <v>0</v>
      </c>
      <c r="AM225" s="2">
        <f>IF(Table2[[#This Row],[GameIsOver]]=0,0,IF(Table2[[#This Row],[ActualWinner]]=Table2[[#This Row],[HomeTeam]], 1, 0))</f>
        <v>0</v>
      </c>
      <c r="AN2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5" s="2" t="str">
        <f>INDEX(Sheet5!$B$2:$AG$33, MATCH(Table2[[#This Row],[AwayTeam]],Sheet5!$A$2:$A$33, 0), MATCH(Table2[[#This Row],[HomeTeam]],Sheet5!$A$2:$A$33, 0))</f>
        <v>0-0-0</v>
      </c>
      <c r="AP225" s="2" t="str">
        <f>INDEX(Sheet5!$B$2:$AG$33, MATCH(Table2[[#This Row],[HomeTeam]],Sheet5!$A$2:$A$33, 0), MATCH(Table2[[#This Row],[AwayTeam]],Sheet5!$A$2:$A$33, 0))</f>
        <v>0-0-0</v>
      </c>
      <c r="AQ225" s="2">
        <f>IF(Table2[[#This Row],[GameHasShutOut]], 1, 0)</f>
        <v>0</v>
      </c>
      <c r="AR225" s="2">
        <f>IF(Table2[[#This Row],[ActualAwayScore]] + Table2[[#This Row],[ActualHomeScore]] &gt;= 10, 1, 0)</f>
        <v>0</v>
      </c>
      <c r="AS225" s="2">
        <f>IF(ABS(Table2[[#This Row],[ActualAwayScore]]-Table2[[#This Row],[ActualHomeScore]])&gt;=5, 1, 0)</f>
        <v>0</v>
      </c>
      <c r="AT225" s="2">
        <f>IF(Table2[[#This Row],[ActualAwayScore]] + Table2[[#This Row],[ActualHomeScore]] &lt;= 3, 1, 0)</f>
        <v>1</v>
      </c>
      <c r="AU225" s="2"/>
      <c r="AV225" s="2"/>
    </row>
    <row r="226" spans="1:48" x14ac:dyDescent="0.25">
      <c r="A226" s="3"/>
      <c r="B226" s="3">
        <v>45968</v>
      </c>
      <c r="C226" s="5">
        <v>2025020224</v>
      </c>
      <c r="D226" s="2" t="s">
        <v>44</v>
      </c>
      <c r="E226" s="2" t="s">
        <v>33</v>
      </c>
      <c r="F226" s="2"/>
      <c r="G226" s="2"/>
      <c r="H226" s="2" t="str">
        <f t="shared" si="19"/>
        <v>_</v>
      </c>
      <c r="I226" s="2"/>
      <c r="J226" s="2"/>
      <c r="K226" s="2"/>
      <c r="L226" s="2" t="str">
        <f t="shared" si="20"/>
        <v>_</v>
      </c>
      <c r="M226" s="2"/>
      <c r="N226" s="2">
        <f>IF(ISBLANK(Table2[[#This Row],[ActualResult]]), 0, 1)</f>
        <v>0</v>
      </c>
      <c r="O226" s="2" t="str">
        <f>IF(ISBLANK(Table2[[#This Row],[ActualResult]]), "_", IF(Table2[[#This Row],[ActualWinner]]=Table2[[#This Row],[PredictedWinner]], "Y", "N"))</f>
        <v>_</v>
      </c>
      <c r="P2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6" s="2"/>
      <c r="S226" s="2" t="str">
        <f t="shared" si="21"/>
        <v>_</v>
      </c>
      <c r="T2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6" s="2">
        <f>IF(Table2[[#This Row],[InterConf]]=1,IF(Table2[[#This Row],[InterDiv]]=0, 1, 0), 0)</f>
        <v>1</v>
      </c>
      <c r="W2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6" s="2"/>
      <c r="Y226" s="2"/>
      <c r="Z226" s="145">
        <f>IF(AND(Table2[[#This Row],[GameIsOver]]=1,Table2[[#This Row],[ActualHomeScore]]*Table2[[#This Row],[ActualAwayScore]]=0), 1,0)</f>
        <v>0</v>
      </c>
      <c r="AA2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6" s="2">
        <f>Table2[[#This Row],[ActualAwayScore]]-Table2[[#This Row],[PredictedAwayScore]]</f>
        <v>0</v>
      </c>
      <c r="AG226" s="2">
        <f>Table2[[#This Row],[ActualHomeScore]]-Table2[[#This Row],[PredictedHomeScore]]</f>
        <v>0</v>
      </c>
      <c r="AH226" s="2">
        <f t="shared" si="22"/>
        <v>0</v>
      </c>
      <c r="AI226" s="2">
        <f t="shared" si="23"/>
        <v>0</v>
      </c>
      <c r="AJ226" s="2"/>
      <c r="AK226" s="2"/>
      <c r="AL226" s="2">
        <f>IF(Table2[[#This Row],[GameIsOver]]=0,0,IF(Table2[[#This Row],[ActualWinner]]=Table2[[#This Row],[AwayTeam]], 1, 0))</f>
        <v>0</v>
      </c>
      <c r="AM226" s="2">
        <f>IF(Table2[[#This Row],[GameIsOver]]=0,0,IF(Table2[[#This Row],[ActualWinner]]=Table2[[#This Row],[HomeTeam]], 1, 0))</f>
        <v>0</v>
      </c>
      <c r="AN2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6" s="2" t="str">
        <f>INDEX(Sheet5!$B$2:$AG$33, MATCH(Table2[[#This Row],[AwayTeam]],Sheet5!$A$2:$A$33, 0), MATCH(Table2[[#This Row],[HomeTeam]],Sheet5!$A$2:$A$33, 0))</f>
        <v>0-0-0</v>
      </c>
      <c r="AP226" s="2" t="str">
        <f>INDEX(Sheet5!$B$2:$AG$33, MATCH(Table2[[#This Row],[HomeTeam]],Sheet5!$A$2:$A$33, 0), MATCH(Table2[[#This Row],[AwayTeam]],Sheet5!$A$2:$A$33, 0))</f>
        <v>0-0-0</v>
      </c>
      <c r="AQ226" s="2">
        <f>IF(Table2[[#This Row],[GameHasShutOut]], 1, 0)</f>
        <v>0</v>
      </c>
      <c r="AR226" s="2">
        <f>IF(Table2[[#This Row],[ActualAwayScore]] + Table2[[#This Row],[ActualHomeScore]] &gt;= 10, 1, 0)</f>
        <v>0</v>
      </c>
      <c r="AS226" s="2">
        <f>IF(ABS(Table2[[#This Row],[ActualAwayScore]]-Table2[[#This Row],[ActualHomeScore]])&gt;=5, 1, 0)</f>
        <v>0</v>
      </c>
      <c r="AT226" s="2">
        <f>IF(Table2[[#This Row],[ActualAwayScore]] + Table2[[#This Row],[ActualHomeScore]] &lt;= 3, 1, 0)</f>
        <v>1</v>
      </c>
      <c r="AU226" s="2"/>
      <c r="AV226" s="2"/>
    </row>
    <row r="227" spans="1:48" x14ac:dyDescent="0.25">
      <c r="A227" s="3"/>
      <c r="B227" s="3">
        <v>45968</v>
      </c>
      <c r="C227" s="5">
        <v>2025020225</v>
      </c>
      <c r="D227" s="2" t="s">
        <v>40</v>
      </c>
      <c r="E227" s="2" t="s">
        <v>26</v>
      </c>
      <c r="F227" s="2"/>
      <c r="G227" s="2"/>
      <c r="H227" s="2" t="str">
        <f t="shared" si="19"/>
        <v>_</v>
      </c>
      <c r="I227" s="2"/>
      <c r="J227" s="2"/>
      <c r="K227" s="2"/>
      <c r="L227" s="2" t="str">
        <f t="shared" si="20"/>
        <v>_</v>
      </c>
      <c r="M227" s="2"/>
      <c r="N227" s="2">
        <f>IF(ISBLANK(Table2[[#This Row],[ActualResult]]), 0, 1)</f>
        <v>0</v>
      </c>
      <c r="O227" s="2" t="str">
        <f>IF(ISBLANK(Table2[[#This Row],[ActualResult]]), "_", IF(Table2[[#This Row],[ActualWinner]]=Table2[[#This Row],[PredictedWinner]], "Y", "N"))</f>
        <v>_</v>
      </c>
      <c r="P2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7" s="2"/>
      <c r="S227" s="2" t="str">
        <f t="shared" si="21"/>
        <v>_</v>
      </c>
      <c r="T2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7" s="2">
        <f>IF(Table2[[#This Row],[InterConf]]=1,IF(Table2[[#This Row],[InterDiv]]=0, 1, 0), 0)</f>
        <v>0</v>
      </c>
      <c r="W2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7" s="2"/>
      <c r="Y227" s="2"/>
      <c r="Z227" s="145">
        <f>IF(AND(Table2[[#This Row],[GameIsOver]]=1,Table2[[#This Row],[ActualHomeScore]]*Table2[[#This Row],[ActualAwayScore]]=0), 1,0)</f>
        <v>0</v>
      </c>
      <c r="AA2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7" s="2">
        <f>Table2[[#This Row],[ActualAwayScore]]-Table2[[#This Row],[PredictedAwayScore]]</f>
        <v>0</v>
      </c>
      <c r="AG227" s="2">
        <f>Table2[[#This Row],[ActualHomeScore]]-Table2[[#This Row],[PredictedHomeScore]]</f>
        <v>0</v>
      </c>
      <c r="AH227" s="2">
        <f t="shared" si="22"/>
        <v>0</v>
      </c>
      <c r="AI227" s="2">
        <f t="shared" si="23"/>
        <v>0</v>
      </c>
      <c r="AJ227" s="2"/>
      <c r="AK227" s="2"/>
      <c r="AL227" s="2">
        <f>IF(Table2[[#This Row],[GameIsOver]]=0,0,IF(Table2[[#This Row],[ActualWinner]]=Table2[[#This Row],[AwayTeam]], 1, 0))</f>
        <v>0</v>
      </c>
      <c r="AM227" s="2">
        <f>IF(Table2[[#This Row],[GameIsOver]]=0,0,IF(Table2[[#This Row],[ActualWinner]]=Table2[[#This Row],[HomeTeam]], 1, 0))</f>
        <v>0</v>
      </c>
      <c r="AN2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7" s="2" t="str">
        <f>INDEX(Sheet5!$B$2:$AG$33, MATCH(Table2[[#This Row],[AwayTeam]],Sheet5!$A$2:$A$33, 0), MATCH(Table2[[#This Row],[HomeTeam]],Sheet5!$A$2:$A$33, 0))</f>
        <v>0-0-0</v>
      </c>
      <c r="AP227" s="2" t="str">
        <f>INDEX(Sheet5!$B$2:$AG$33, MATCH(Table2[[#This Row],[HomeTeam]],Sheet5!$A$2:$A$33, 0), MATCH(Table2[[#This Row],[AwayTeam]],Sheet5!$A$2:$A$33, 0))</f>
        <v>0-0-0</v>
      </c>
      <c r="AQ227" s="2">
        <f>IF(Table2[[#This Row],[GameHasShutOut]], 1, 0)</f>
        <v>0</v>
      </c>
      <c r="AR227" s="2">
        <f>IF(Table2[[#This Row],[ActualAwayScore]] + Table2[[#This Row],[ActualHomeScore]] &gt;= 10, 1, 0)</f>
        <v>0</v>
      </c>
      <c r="AS227" s="2">
        <f>IF(ABS(Table2[[#This Row],[ActualAwayScore]]-Table2[[#This Row],[ActualHomeScore]])&gt;=5, 1, 0)</f>
        <v>0</v>
      </c>
      <c r="AT227" s="2">
        <f>IF(Table2[[#This Row],[ActualAwayScore]] + Table2[[#This Row],[ActualHomeScore]] &lt;= 3, 1, 0)</f>
        <v>1</v>
      </c>
      <c r="AU227" s="2"/>
      <c r="AV227" s="2"/>
    </row>
    <row r="228" spans="1:48" x14ac:dyDescent="0.25">
      <c r="A228" s="3"/>
      <c r="B228" s="3">
        <v>45968</v>
      </c>
      <c r="C228" s="5">
        <v>2025020226</v>
      </c>
      <c r="D228" s="2" t="s">
        <v>13</v>
      </c>
      <c r="E228" s="2" t="s">
        <v>27</v>
      </c>
      <c r="F228" s="2"/>
      <c r="G228" s="2"/>
      <c r="H228" s="2" t="str">
        <f t="shared" si="19"/>
        <v>_</v>
      </c>
      <c r="I228" s="2"/>
      <c r="J228" s="2"/>
      <c r="K228" s="2"/>
      <c r="L228" s="2" t="str">
        <f t="shared" si="20"/>
        <v>_</v>
      </c>
      <c r="M228" s="2"/>
      <c r="N228" s="2">
        <f>IF(ISBLANK(Table2[[#This Row],[ActualResult]]), 0, 1)</f>
        <v>0</v>
      </c>
      <c r="O228" s="2" t="str">
        <f>IF(ISBLANK(Table2[[#This Row],[ActualResult]]), "_", IF(Table2[[#This Row],[ActualWinner]]=Table2[[#This Row],[PredictedWinner]], "Y", "N"))</f>
        <v>_</v>
      </c>
      <c r="P2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8" s="2"/>
      <c r="S228" s="2" t="str">
        <f t="shared" si="21"/>
        <v>_</v>
      </c>
      <c r="T2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8" s="2">
        <f>IF(Table2[[#This Row],[InterConf]]=1,IF(Table2[[#This Row],[InterDiv]]=0, 1, 0), 0)</f>
        <v>0</v>
      </c>
      <c r="W2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8" s="2"/>
      <c r="Y228" s="2"/>
      <c r="Z228" s="145">
        <f>IF(AND(Table2[[#This Row],[GameIsOver]]=1,Table2[[#This Row],[ActualHomeScore]]*Table2[[#This Row],[ActualAwayScore]]=0), 1,0)</f>
        <v>0</v>
      </c>
      <c r="AA2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8" s="2">
        <f>Table2[[#This Row],[ActualAwayScore]]-Table2[[#This Row],[PredictedAwayScore]]</f>
        <v>0</v>
      </c>
      <c r="AG228" s="2">
        <f>Table2[[#This Row],[ActualHomeScore]]-Table2[[#This Row],[PredictedHomeScore]]</f>
        <v>0</v>
      </c>
      <c r="AH228" s="2">
        <f t="shared" si="22"/>
        <v>0</v>
      </c>
      <c r="AI228" s="2">
        <f t="shared" si="23"/>
        <v>0</v>
      </c>
      <c r="AJ228" s="2"/>
      <c r="AK228" s="2"/>
      <c r="AL228" s="2">
        <f>IF(Table2[[#This Row],[GameIsOver]]=0,0,IF(Table2[[#This Row],[ActualWinner]]=Table2[[#This Row],[AwayTeam]], 1, 0))</f>
        <v>0</v>
      </c>
      <c r="AM228" s="2">
        <f>IF(Table2[[#This Row],[GameIsOver]]=0,0,IF(Table2[[#This Row],[ActualWinner]]=Table2[[#This Row],[HomeTeam]], 1, 0))</f>
        <v>0</v>
      </c>
      <c r="AN228" s="2">
        <f>IF(IFERROR(FIND(Table2[[#This Row],[AwayTeam]], _xlfn.TEXTJOIN(";", 1, $BD$31:$BD$40)), 0) &gt; 0, 1, 0) + IF(IFERROR(FIND(Table2[[#This Row],[HomeTeam]], _xlfn.TEXTJOIN(";", 1, $BD$31:$BD$40)), 0) &gt; 0, 1, 0)</f>
        <v>1</v>
      </c>
      <c r="AO228" s="2" t="str">
        <f>INDEX(Sheet5!$B$2:$AG$33, MATCH(Table2[[#This Row],[AwayTeam]],Sheet5!$A$2:$A$33, 0), MATCH(Table2[[#This Row],[HomeTeam]],Sheet5!$A$2:$A$33, 0))</f>
        <v>0-0-0</v>
      </c>
      <c r="AP228" s="2" t="str">
        <f>INDEX(Sheet5!$B$2:$AG$33, MATCH(Table2[[#This Row],[HomeTeam]],Sheet5!$A$2:$A$33, 0), MATCH(Table2[[#This Row],[AwayTeam]],Sheet5!$A$2:$A$33, 0))</f>
        <v>0-0-0</v>
      </c>
      <c r="AQ228" s="2">
        <f>IF(Table2[[#This Row],[GameHasShutOut]], 1, 0)</f>
        <v>0</v>
      </c>
      <c r="AR228" s="2">
        <f>IF(Table2[[#This Row],[ActualAwayScore]] + Table2[[#This Row],[ActualHomeScore]] &gt;= 10, 1, 0)</f>
        <v>0</v>
      </c>
      <c r="AS228" s="2">
        <f>IF(ABS(Table2[[#This Row],[ActualAwayScore]]-Table2[[#This Row],[ActualHomeScore]])&gt;=5, 1, 0)</f>
        <v>0</v>
      </c>
      <c r="AT228" s="2">
        <f>IF(Table2[[#This Row],[ActualAwayScore]] + Table2[[#This Row],[ActualHomeScore]] &lt;= 3, 1, 0)</f>
        <v>1</v>
      </c>
      <c r="AU228" s="2"/>
      <c r="AV228" s="2"/>
    </row>
    <row r="229" spans="1:48" x14ac:dyDescent="0.25">
      <c r="A229" s="3"/>
      <c r="B229" s="3">
        <v>45969</v>
      </c>
      <c r="C229" s="5">
        <v>2025020227</v>
      </c>
      <c r="D229" s="2" t="s">
        <v>19</v>
      </c>
      <c r="E229" s="2" t="s">
        <v>30</v>
      </c>
      <c r="F229" s="2"/>
      <c r="G229" s="2"/>
      <c r="H229" s="2" t="str">
        <f t="shared" si="19"/>
        <v>_</v>
      </c>
      <c r="I229" s="2"/>
      <c r="J229" s="2"/>
      <c r="K229" s="2"/>
      <c r="L229" s="2" t="str">
        <f t="shared" si="20"/>
        <v>_</v>
      </c>
      <c r="M229" s="2"/>
      <c r="N229" s="2">
        <f>IF(ISBLANK(Table2[[#This Row],[ActualResult]]), 0, 1)</f>
        <v>0</v>
      </c>
      <c r="O229" s="2" t="str">
        <f>IF(ISBLANK(Table2[[#This Row],[ActualResult]]), "_", IF(Table2[[#This Row],[ActualWinner]]=Table2[[#This Row],[PredictedWinner]], "Y", "N"))</f>
        <v>_</v>
      </c>
      <c r="P2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9" s="2"/>
      <c r="S229" s="2" t="str">
        <f t="shared" si="21"/>
        <v>_</v>
      </c>
      <c r="T2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9" s="2">
        <f>IF(Table2[[#This Row],[InterConf]]=1,IF(Table2[[#This Row],[InterDiv]]=0, 1, 0), 0)</f>
        <v>1</v>
      </c>
      <c r="W2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9" s="2"/>
      <c r="Y229" s="2"/>
      <c r="Z229" s="145">
        <f>IF(AND(Table2[[#This Row],[GameIsOver]]=1,Table2[[#This Row],[ActualHomeScore]]*Table2[[#This Row],[ActualAwayScore]]=0), 1,0)</f>
        <v>0</v>
      </c>
      <c r="AA2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29" s="2">
        <f>Table2[[#This Row],[ActualAwayScore]]-Table2[[#This Row],[PredictedAwayScore]]</f>
        <v>0</v>
      </c>
      <c r="AG229" s="2">
        <f>Table2[[#This Row],[ActualHomeScore]]-Table2[[#This Row],[PredictedHomeScore]]</f>
        <v>0</v>
      </c>
      <c r="AH229" s="2">
        <f t="shared" si="22"/>
        <v>0</v>
      </c>
      <c r="AI229" s="2">
        <f t="shared" si="23"/>
        <v>0</v>
      </c>
      <c r="AJ229" s="2"/>
      <c r="AK229" s="2"/>
      <c r="AL229" s="2">
        <f>IF(Table2[[#This Row],[GameIsOver]]=0,0,IF(Table2[[#This Row],[ActualWinner]]=Table2[[#This Row],[AwayTeam]], 1, 0))</f>
        <v>0</v>
      </c>
      <c r="AM229" s="2">
        <f>IF(Table2[[#This Row],[GameIsOver]]=0,0,IF(Table2[[#This Row],[ActualWinner]]=Table2[[#This Row],[HomeTeam]], 1, 0))</f>
        <v>0</v>
      </c>
      <c r="AN2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9" s="2" t="str">
        <f>INDEX(Sheet5!$B$2:$AG$33, MATCH(Table2[[#This Row],[AwayTeam]],Sheet5!$A$2:$A$33, 0), MATCH(Table2[[#This Row],[HomeTeam]],Sheet5!$A$2:$A$33, 0))</f>
        <v>0-0-0</v>
      </c>
      <c r="AP229" s="2" t="str">
        <f>INDEX(Sheet5!$B$2:$AG$33, MATCH(Table2[[#This Row],[HomeTeam]],Sheet5!$A$2:$A$33, 0), MATCH(Table2[[#This Row],[AwayTeam]],Sheet5!$A$2:$A$33, 0))</f>
        <v>0-0-0</v>
      </c>
      <c r="AQ229" s="2">
        <f>IF(Table2[[#This Row],[GameHasShutOut]], 1, 0)</f>
        <v>0</v>
      </c>
      <c r="AR229" s="2">
        <f>IF(Table2[[#This Row],[ActualAwayScore]] + Table2[[#This Row],[ActualHomeScore]] &gt;= 10, 1, 0)</f>
        <v>0</v>
      </c>
      <c r="AS229" s="2">
        <f>IF(ABS(Table2[[#This Row],[ActualAwayScore]]-Table2[[#This Row],[ActualHomeScore]])&gt;=5, 1, 0)</f>
        <v>0</v>
      </c>
      <c r="AT229" s="2">
        <f>IF(Table2[[#This Row],[ActualAwayScore]] + Table2[[#This Row],[ActualHomeScore]] &lt;= 3, 1, 0)</f>
        <v>1</v>
      </c>
      <c r="AU229" s="2"/>
      <c r="AV229" s="2"/>
    </row>
    <row r="230" spans="1:48" x14ac:dyDescent="0.25">
      <c r="A230" s="3"/>
      <c r="B230" s="3">
        <v>45969</v>
      </c>
      <c r="C230" s="5">
        <v>2025020228</v>
      </c>
      <c r="D230" s="2" t="s">
        <v>36</v>
      </c>
      <c r="E230" s="2" t="s">
        <v>32</v>
      </c>
      <c r="F230" s="2"/>
      <c r="G230" s="2"/>
      <c r="H230" s="2" t="str">
        <f t="shared" si="19"/>
        <v>_</v>
      </c>
      <c r="I230" s="2"/>
      <c r="J230" s="2"/>
      <c r="K230" s="2"/>
      <c r="L230" s="2" t="str">
        <f t="shared" si="20"/>
        <v>_</v>
      </c>
      <c r="M230" s="2"/>
      <c r="N230" s="2">
        <f>IF(ISBLANK(Table2[[#This Row],[ActualResult]]), 0, 1)</f>
        <v>0</v>
      </c>
      <c r="O230" s="2" t="str">
        <f>IF(ISBLANK(Table2[[#This Row],[ActualResult]]), "_", IF(Table2[[#This Row],[ActualWinner]]=Table2[[#This Row],[PredictedWinner]], "Y", "N"))</f>
        <v>_</v>
      </c>
      <c r="P2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0" s="2"/>
      <c r="S230" s="2" t="str">
        <f t="shared" si="21"/>
        <v>_</v>
      </c>
      <c r="T2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0" s="2">
        <f>IF(Table2[[#This Row],[InterConf]]=1,IF(Table2[[#This Row],[InterDiv]]=0, 1, 0), 0)</f>
        <v>0</v>
      </c>
      <c r="W2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30" s="2"/>
      <c r="Y230" s="2"/>
      <c r="Z230" s="145">
        <f>IF(AND(Table2[[#This Row],[GameIsOver]]=1,Table2[[#This Row],[ActualHomeScore]]*Table2[[#This Row],[ActualAwayScore]]=0), 1,0)</f>
        <v>0</v>
      </c>
      <c r="AA2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0" s="2">
        <f>Table2[[#This Row],[ActualAwayScore]]-Table2[[#This Row],[PredictedAwayScore]]</f>
        <v>0</v>
      </c>
      <c r="AG230" s="2">
        <f>Table2[[#This Row],[ActualHomeScore]]-Table2[[#This Row],[PredictedHomeScore]]</f>
        <v>0</v>
      </c>
      <c r="AH230" s="2">
        <f t="shared" si="22"/>
        <v>0</v>
      </c>
      <c r="AI230" s="2">
        <f t="shared" si="23"/>
        <v>0</v>
      </c>
      <c r="AJ230" s="2"/>
      <c r="AK230" s="2"/>
      <c r="AL230" s="2">
        <f>IF(Table2[[#This Row],[GameIsOver]]=0,0,IF(Table2[[#This Row],[ActualWinner]]=Table2[[#This Row],[AwayTeam]], 1, 0))</f>
        <v>0</v>
      </c>
      <c r="AM230" s="2">
        <f>IF(Table2[[#This Row],[GameIsOver]]=0,0,IF(Table2[[#This Row],[ActualWinner]]=Table2[[#This Row],[HomeTeam]], 1, 0))</f>
        <v>0</v>
      </c>
      <c r="AN2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0" s="2" t="str">
        <f>INDEX(Sheet5!$B$2:$AG$33, MATCH(Table2[[#This Row],[AwayTeam]],Sheet5!$A$2:$A$33, 0), MATCH(Table2[[#This Row],[HomeTeam]],Sheet5!$A$2:$A$33, 0))</f>
        <v>0-0-0</v>
      </c>
      <c r="AP230" s="2" t="str">
        <f>INDEX(Sheet5!$B$2:$AG$33, MATCH(Table2[[#This Row],[HomeTeam]],Sheet5!$A$2:$A$33, 0), MATCH(Table2[[#This Row],[AwayTeam]],Sheet5!$A$2:$A$33, 0))</f>
        <v>0-0-0</v>
      </c>
      <c r="AQ230" s="2">
        <f>IF(Table2[[#This Row],[GameHasShutOut]], 1, 0)</f>
        <v>0</v>
      </c>
      <c r="AR230" s="2">
        <f>IF(Table2[[#This Row],[ActualAwayScore]] + Table2[[#This Row],[ActualHomeScore]] &gt;= 10, 1, 0)</f>
        <v>0</v>
      </c>
      <c r="AS230" s="2">
        <f>IF(ABS(Table2[[#This Row],[ActualAwayScore]]-Table2[[#This Row],[ActualHomeScore]])&gt;=5, 1, 0)</f>
        <v>0</v>
      </c>
      <c r="AT230" s="2">
        <f>IF(Table2[[#This Row],[ActualAwayScore]] + Table2[[#This Row],[ActualHomeScore]] &lt;= 3, 1, 0)</f>
        <v>1</v>
      </c>
      <c r="AU230" s="2"/>
      <c r="AV230" s="2"/>
    </row>
    <row r="231" spans="1:48" x14ac:dyDescent="0.25">
      <c r="A231" s="3"/>
      <c r="B231" s="3">
        <v>45969</v>
      </c>
      <c r="C231" s="5">
        <v>2025020229</v>
      </c>
      <c r="D231" s="2" t="s">
        <v>16</v>
      </c>
      <c r="E231" s="2" t="s">
        <v>23</v>
      </c>
      <c r="F231" s="2"/>
      <c r="G231" s="2"/>
      <c r="H231" s="2" t="str">
        <f t="shared" si="19"/>
        <v>_</v>
      </c>
      <c r="I231" s="2"/>
      <c r="J231" s="2"/>
      <c r="K231" s="2"/>
      <c r="L231" s="2" t="str">
        <f t="shared" si="20"/>
        <v>_</v>
      </c>
      <c r="M231" s="2"/>
      <c r="N231" s="2">
        <f>IF(ISBLANK(Table2[[#This Row],[ActualResult]]), 0, 1)</f>
        <v>0</v>
      </c>
      <c r="O231" s="2" t="str">
        <f>IF(ISBLANK(Table2[[#This Row],[ActualResult]]), "_", IF(Table2[[#This Row],[ActualWinner]]=Table2[[#This Row],[PredictedWinner]], "Y", "N"))</f>
        <v>_</v>
      </c>
      <c r="P2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1" s="2"/>
      <c r="S231" s="2" t="str">
        <f t="shared" si="21"/>
        <v>_</v>
      </c>
      <c r="T2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1" s="2">
        <f>IF(Table2[[#This Row],[InterConf]]=1,IF(Table2[[#This Row],[InterDiv]]=0, 1, 0), 0)</f>
        <v>1</v>
      </c>
      <c r="W2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1" s="2"/>
      <c r="Y231" s="2"/>
      <c r="Z231" s="145">
        <f>IF(AND(Table2[[#This Row],[GameIsOver]]=1,Table2[[#This Row],[ActualHomeScore]]*Table2[[#This Row],[ActualAwayScore]]=0), 1,0)</f>
        <v>0</v>
      </c>
      <c r="AA2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1" s="2">
        <f>Table2[[#This Row],[ActualAwayScore]]-Table2[[#This Row],[PredictedAwayScore]]</f>
        <v>0</v>
      </c>
      <c r="AG231" s="2">
        <f>Table2[[#This Row],[ActualHomeScore]]-Table2[[#This Row],[PredictedHomeScore]]</f>
        <v>0</v>
      </c>
      <c r="AH231" s="2">
        <f t="shared" si="22"/>
        <v>0</v>
      </c>
      <c r="AI231" s="2">
        <f t="shared" si="23"/>
        <v>0</v>
      </c>
      <c r="AJ231" s="2"/>
      <c r="AK231" s="2"/>
      <c r="AL231" s="2">
        <f>IF(Table2[[#This Row],[GameIsOver]]=0,0,IF(Table2[[#This Row],[ActualWinner]]=Table2[[#This Row],[AwayTeam]], 1, 0))</f>
        <v>0</v>
      </c>
      <c r="AM231" s="2">
        <f>IF(Table2[[#This Row],[GameIsOver]]=0,0,IF(Table2[[#This Row],[ActualWinner]]=Table2[[#This Row],[HomeTeam]], 1, 0))</f>
        <v>0</v>
      </c>
      <c r="AN2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1" s="2" t="str">
        <f>INDEX(Sheet5!$B$2:$AG$33, MATCH(Table2[[#This Row],[AwayTeam]],Sheet5!$A$2:$A$33, 0), MATCH(Table2[[#This Row],[HomeTeam]],Sheet5!$A$2:$A$33, 0))</f>
        <v>0-0-0</v>
      </c>
      <c r="AP231" s="2" t="str">
        <f>INDEX(Sheet5!$B$2:$AG$33, MATCH(Table2[[#This Row],[HomeTeam]],Sheet5!$A$2:$A$33, 0), MATCH(Table2[[#This Row],[AwayTeam]],Sheet5!$A$2:$A$33, 0))</f>
        <v>0-0-0</v>
      </c>
      <c r="AQ231" s="2">
        <f>IF(Table2[[#This Row],[GameHasShutOut]], 1, 0)</f>
        <v>0</v>
      </c>
      <c r="AR231" s="2">
        <f>IF(Table2[[#This Row],[ActualAwayScore]] + Table2[[#This Row],[ActualHomeScore]] &gt;= 10, 1, 0)</f>
        <v>0</v>
      </c>
      <c r="AS231" s="2">
        <f>IF(ABS(Table2[[#This Row],[ActualAwayScore]]-Table2[[#This Row],[ActualHomeScore]])&gt;=5, 1, 0)</f>
        <v>0</v>
      </c>
      <c r="AT231" s="2">
        <f>IF(Table2[[#This Row],[ActualAwayScore]] + Table2[[#This Row],[ActualHomeScore]] &lt;= 3, 1, 0)</f>
        <v>1</v>
      </c>
      <c r="AU231" s="2"/>
      <c r="AV231" s="2"/>
    </row>
    <row r="232" spans="1:48" x14ac:dyDescent="0.25">
      <c r="A232" s="3"/>
      <c r="B232" s="3">
        <v>45969</v>
      </c>
      <c r="C232" s="5">
        <v>2025020230</v>
      </c>
      <c r="D232" s="2" t="s">
        <v>21</v>
      </c>
      <c r="E232" s="2" t="s">
        <v>37</v>
      </c>
      <c r="F232" s="2"/>
      <c r="G232" s="2"/>
      <c r="H232" s="2" t="str">
        <f t="shared" si="19"/>
        <v>_</v>
      </c>
      <c r="I232" s="2"/>
      <c r="J232" s="2"/>
      <c r="K232" s="2"/>
      <c r="L232" s="2" t="str">
        <f t="shared" si="20"/>
        <v>_</v>
      </c>
      <c r="M232" s="2"/>
      <c r="N232" s="2">
        <f>IF(ISBLANK(Table2[[#This Row],[ActualResult]]), 0, 1)</f>
        <v>0</v>
      </c>
      <c r="O232" s="2" t="str">
        <f>IF(ISBLANK(Table2[[#This Row],[ActualResult]]), "_", IF(Table2[[#This Row],[ActualWinner]]=Table2[[#This Row],[PredictedWinner]], "Y", "N"))</f>
        <v>_</v>
      </c>
      <c r="P2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2" s="2"/>
      <c r="S232" s="2" t="str">
        <f t="shared" si="21"/>
        <v>_</v>
      </c>
      <c r="T2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2" s="2">
        <f>IF(Table2[[#This Row],[InterConf]]=1,IF(Table2[[#This Row],[InterDiv]]=0, 1, 0), 0)</f>
        <v>1</v>
      </c>
      <c r="W2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2" s="2"/>
      <c r="Y232" s="2"/>
      <c r="Z232" s="145">
        <f>IF(AND(Table2[[#This Row],[GameIsOver]]=1,Table2[[#This Row],[ActualHomeScore]]*Table2[[#This Row],[ActualAwayScore]]=0), 1,0)</f>
        <v>0</v>
      </c>
      <c r="AA2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2" s="2">
        <f>Table2[[#This Row],[ActualAwayScore]]-Table2[[#This Row],[PredictedAwayScore]]</f>
        <v>0</v>
      </c>
      <c r="AG232" s="2">
        <f>Table2[[#This Row],[ActualHomeScore]]-Table2[[#This Row],[PredictedHomeScore]]</f>
        <v>0</v>
      </c>
      <c r="AH232" s="2">
        <f t="shared" si="22"/>
        <v>0</v>
      </c>
      <c r="AI232" s="2">
        <f t="shared" si="23"/>
        <v>0</v>
      </c>
      <c r="AJ232" s="2"/>
      <c r="AK232" s="2"/>
      <c r="AL232" s="2">
        <f>IF(Table2[[#This Row],[GameIsOver]]=0,0,IF(Table2[[#This Row],[ActualWinner]]=Table2[[#This Row],[AwayTeam]], 1, 0))</f>
        <v>0</v>
      </c>
      <c r="AM232" s="2">
        <f>IF(Table2[[#This Row],[GameIsOver]]=0,0,IF(Table2[[#This Row],[ActualWinner]]=Table2[[#This Row],[HomeTeam]], 1, 0))</f>
        <v>0</v>
      </c>
      <c r="AN2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2" s="2" t="str">
        <f>INDEX(Sheet5!$B$2:$AG$33, MATCH(Table2[[#This Row],[AwayTeam]],Sheet5!$A$2:$A$33, 0), MATCH(Table2[[#This Row],[HomeTeam]],Sheet5!$A$2:$A$33, 0))</f>
        <v>0-0-0</v>
      </c>
      <c r="AP232" s="2" t="str">
        <f>INDEX(Sheet5!$B$2:$AG$33, MATCH(Table2[[#This Row],[HomeTeam]],Sheet5!$A$2:$A$33, 0), MATCH(Table2[[#This Row],[AwayTeam]],Sheet5!$A$2:$A$33, 0))</f>
        <v>0-0-0</v>
      </c>
      <c r="AQ232" s="2">
        <f>IF(Table2[[#This Row],[GameHasShutOut]], 1, 0)</f>
        <v>0</v>
      </c>
      <c r="AR232" s="2">
        <f>IF(Table2[[#This Row],[ActualAwayScore]] + Table2[[#This Row],[ActualHomeScore]] &gt;= 10, 1, 0)</f>
        <v>0</v>
      </c>
      <c r="AS232" s="2">
        <f>IF(ABS(Table2[[#This Row],[ActualAwayScore]]-Table2[[#This Row],[ActualHomeScore]])&gt;=5, 1, 0)</f>
        <v>0</v>
      </c>
      <c r="AT232" s="2">
        <f>IF(Table2[[#This Row],[ActualAwayScore]] + Table2[[#This Row],[ActualHomeScore]] &lt;= 3, 1, 0)</f>
        <v>1</v>
      </c>
      <c r="AU232" s="2"/>
      <c r="AV232" s="2"/>
    </row>
    <row r="233" spans="1:48" x14ac:dyDescent="0.25">
      <c r="A233" s="3"/>
      <c r="B233" s="3">
        <v>45969</v>
      </c>
      <c r="C233" s="5">
        <v>2025020231</v>
      </c>
      <c r="D233" s="2" t="s">
        <v>20</v>
      </c>
      <c r="E233" s="2" t="s">
        <v>31</v>
      </c>
      <c r="F233" s="2"/>
      <c r="G233" s="2"/>
      <c r="H233" s="2" t="str">
        <f t="shared" si="19"/>
        <v>_</v>
      </c>
      <c r="I233" s="2"/>
      <c r="J233" s="2"/>
      <c r="K233" s="2"/>
      <c r="L233" s="2" t="str">
        <f t="shared" si="20"/>
        <v>_</v>
      </c>
      <c r="M233" s="2"/>
      <c r="N233" s="2">
        <f>IF(ISBLANK(Table2[[#This Row],[ActualResult]]), 0, 1)</f>
        <v>0</v>
      </c>
      <c r="O233" s="2" t="str">
        <f>IF(ISBLANK(Table2[[#This Row],[ActualResult]]), "_", IF(Table2[[#This Row],[ActualWinner]]=Table2[[#This Row],[PredictedWinner]], "Y", "N"))</f>
        <v>_</v>
      </c>
      <c r="P2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3" s="2"/>
      <c r="S233" s="2" t="str">
        <f t="shared" si="21"/>
        <v>_</v>
      </c>
      <c r="T2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3" s="2">
        <f>IF(Table2[[#This Row],[InterConf]]=1,IF(Table2[[#This Row],[InterDiv]]=0, 1, 0), 0)</f>
        <v>0</v>
      </c>
      <c r="W2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3" s="2"/>
      <c r="Y233" s="2"/>
      <c r="Z233" s="145">
        <f>IF(AND(Table2[[#This Row],[GameIsOver]]=1,Table2[[#This Row],[ActualHomeScore]]*Table2[[#This Row],[ActualAwayScore]]=0), 1,0)</f>
        <v>0</v>
      </c>
      <c r="AA2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3" s="2">
        <f>Table2[[#This Row],[ActualAwayScore]]-Table2[[#This Row],[PredictedAwayScore]]</f>
        <v>0</v>
      </c>
      <c r="AG233" s="2">
        <f>Table2[[#This Row],[ActualHomeScore]]-Table2[[#This Row],[PredictedHomeScore]]</f>
        <v>0</v>
      </c>
      <c r="AH233" s="2">
        <f t="shared" si="22"/>
        <v>0</v>
      </c>
      <c r="AI233" s="2">
        <f t="shared" si="23"/>
        <v>0</v>
      </c>
      <c r="AJ233" s="2"/>
      <c r="AK233" s="2"/>
      <c r="AL233" s="2">
        <f>IF(Table2[[#This Row],[GameIsOver]]=0,0,IF(Table2[[#This Row],[ActualWinner]]=Table2[[#This Row],[AwayTeam]], 1, 0))</f>
        <v>0</v>
      </c>
      <c r="AM233" s="2">
        <f>IF(Table2[[#This Row],[GameIsOver]]=0,0,IF(Table2[[#This Row],[ActualWinner]]=Table2[[#This Row],[HomeTeam]], 1, 0))</f>
        <v>0</v>
      </c>
      <c r="AN2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3" s="2" t="str">
        <f>INDEX(Sheet5!$B$2:$AG$33, MATCH(Table2[[#This Row],[AwayTeam]],Sheet5!$A$2:$A$33, 0), MATCH(Table2[[#This Row],[HomeTeam]],Sheet5!$A$2:$A$33, 0))</f>
        <v>0-0-0</v>
      </c>
      <c r="AP233" s="2" t="str">
        <f>INDEX(Sheet5!$B$2:$AG$33, MATCH(Table2[[#This Row],[HomeTeam]],Sheet5!$A$2:$A$33, 0), MATCH(Table2[[#This Row],[AwayTeam]],Sheet5!$A$2:$A$33, 0))</f>
        <v>0-0-0</v>
      </c>
      <c r="AQ233" s="2">
        <f>IF(Table2[[#This Row],[GameHasShutOut]], 1, 0)</f>
        <v>0</v>
      </c>
      <c r="AR233" s="2">
        <f>IF(Table2[[#This Row],[ActualAwayScore]] + Table2[[#This Row],[ActualHomeScore]] &gt;= 10, 1, 0)</f>
        <v>0</v>
      </c>
      <c r="AS233" s="2">
        <f>IF(ABS(Table2[[#This Row],[ActualAwayScore]]-Table2[[#This Row],[ActualHomeScore]])&gt;=5, 1, 0)</f>
        <v>0</v>
      </c>
      <c r="AT233" s="2">
        <f>IF(Table2[[#This Row],[ActualAwayScore]] + Table2[[#This Row],[ActualHomeScore]] &lt;= 3, 1, 0)</f>
        <v>1</v>
      </c>
      <c r="AU233" s="2"/>
      <c r="AV233" s="2"/>
    </row>
    <row r="234" spans="1:48" x14ac:dyDescent="0.25">
      <c r="A234" s="3"/>
      <c r="B234" s="3">
        <v>45969</v>
      </c>
      <c r="C234" s="5">
        <v>2025020232</v>
      </c>
      <c r="D234" s="2" t="s">
        <v>29</v>
      </c>
      <c r="E234" s="2" t="s">
        <v>42</v>
      </c>
      <c r="F234" s="2"/>
      <c r="G234" s="2"/>
      <c r="H234" s="2" t="str">
        <f t="shared" si="19"/>
        <v>_</v>
      </c>
      <c r="I234" s="2"/>
      <c r="J234" s="2"/>
      <c r="K234" s="2"/>
      <c r="L234" s="2" t="str">
        <f t="shared" si="20"/>
        <v>_</v>
      </c>
      <c r="M234" s="2"/>
      <c r="N234" s="2">
        <f>IF(ISBLANK(Table2[[#This Row],[ActualResult]]), 0, 1)</f>
        <v>0</v>
      </c>
      <c r="O234" s="2" t="str">
        <f>IF(ISBLANK(Table2[[#This Row],[ActualResult]]), "_", IF(Table2[[#This Row],[ActualWinner]]=Table2[[#This Row],[PredictedWinner]], "Y", "N"))</f>
        <v>_</v>
      </c>
      <c r="P2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4" s="2"/>
      <c r="S234" s="2" t="str">
        <f t="shared" si="21"/>
        <v>_</v>
      </c>
      <c r="T2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4" s="2">
        <f>IF(Table2[[#This Row],[InterConf]]=1,IF(Table2[[#This Row],[InterDiv]]=0, 1, 0), 0)</f>
        <v>1</v>
      </c>
      <c r="W2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4" s="2"/>
      <c r="Y234" s="2"/>
      <c r="Z234" s="145">
        <f>IF(AND(Table2[[#This Row],[GameIsOver]]=1,Table2[[#This Row],[ActualHomeScore]]*Table2[[#This Row],[ActualAwayScore]]=0), 1,0)</f>
        <v>0</v>
      </c>
      <c r="AA2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4" s="2">
        <f>Table2[[#This Row],[ActualAwayScore]]-Table2[[#This Row],[PredictedAwayScore]]</f>
        <v>0</v>
      </c>
      <c r="AG234" s="2">
        <f>Table2[[#This Row],[ActualHomeScore]]-Table2[[#This Row],[PredictedHomeScore]]</f>
        <v>0</v>
      </c>
      <c r="AH234" s="2">
        <f t="shared" si="22"/>
        <v>0</v>
      </c>
      <c r="AI234" s="2">
        <f t="shared" si="23"/>
        <v>0</v>
      </c>
      <c r="AJ234" s="2"/>
      <c r="AK234" s="2"/>
      <c r="AL234" s="2">
        <f>IF(Table2[[#This Row],[GameIsOver]]=0,0,IF(Table2[[#This Row],[ActualWinner]]=Table2[[#This Row],[AwayTeam]], 1, 0))</f>
        <v>0</v>
      </c>
      <c r="AM234" s="2">
        <f>IF(Table2[[#This Row],[GameIsOver]]=0,0,IF(Table2[[#This Row],[ActualWinner]]=Table2[[#This Row],[HomeTeam]], 1, 0))</f>
        <v>0</v>
      </c>
      <c r="AN2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4" s="2" t="str">
        <f>INDEX(Sheet5!$B$2:$AG$33, MATCH(Table2[[#This Row],[AwayTeam]],Sheet5!$A$2:$A$33, 0), MATCH(Table2[[#This Row],[HomeTeam]],Sheet5!$A$2:$A$33, 0))</f>
        <v>0-0-0</v>
      </c>
      <c r="AP234" s="2" t="str">
        <f>INDEX(Sheet5!$B$2:$AG$33, MATCH(Table2[[#This Row],[HomeTeam]],Sheet5!$A$2:$A$33, 0), MATCH(Table2[[#This Row],[AwayTeam]],Sheet5!$A$2:$A$33, 0))</f>
        <v>0-0-0</v>
      </c>
      <c r="AQ234" s="2">
        <f>IF(Table2[[#This Row],[GameHasShutOut]], 1, 0)</f>
        <v>0</v>
      </c>
      <c r="AR234" s="2">
        <f>IF(Table2[[#This Row],[ActualAwayScore]] + Table2[[#This Row],[ActualHomeScore]] &gt;= 10, 1, 0)</f>
        <v>0</v>
      </c>
      <c r="AS234" s="2">
        <f>IF(ABS(Table2[[#This Row],[ActualAwayScore]]-Table2[[#This Row],[ActualHomeScore]])&gt;=5, 1, 0)</f>
        <v>0</v>
      </c>
      <c r="AT234" s="2">
        <f>IF(Table2[[#This Row],[ActualAwayScore]] + Table2[[#This Row],[ActualHomeScore]] &lt;= 3, 1, 0)</f>
        <v>1</v>
      </c>
      <c r="AU234" s="2"/>
      <c r="AV234" s="2"/>
    </row>
    <row r="235" spans="1:48" x14ac:dyDescent="0.25">
      <c r="A235" s="3"/>
      <c r="B235" s="3">
        <v>45969</v>
      </c>
      <c r="C235" s="5">
        <v>2025020233</v>
      </c>
      <c r="D235" s="2" t="s">
        <v>33</v>
      </c>
      <c r="E235" s="2" t="s">
        <v>34</v>
      </c>
      <c r="F235" s="2"/>
      <c r="G235" s="2"/>
      <c r="H235" s="2" t="str">
        <f t="shared" si="19"/>
        <v>_</v>
      </c>
      <c r="I235" s="2"/>
      <c r="J235" s="2"/>
      <c r="K235" s="2"/>
      <c r="L235" s="2" t="str">
        <f t="shared" si="20"/>
        <v>_</v>
      </c>
      <c r="M235" s="2"/>
      <c r="N235" s="2">
        <f>IF(ISBLANK(Table2[[#This Row],[ActualResult]]), 0, 1)</f>
        <v>0</v>
      </c>
      <c r="O235" s="2" t="str">
        <f>IF(ISBLANK(Table2[[#This Row],[ActualResult]]), "_", IF(Table2[[#This Row],[ActualWinner]]=Table2[[#This Row],[PredictedWinner]], "Y", "N"))</f>
        <v>_</v>
      </c>
      <c r="P2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5" s="2"/>
      <c r="S235" s="2" t="str">
        <f t="shared" si="21"/>
        <v>_</v>
      </c>
      <c r="T2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5" s="2">
        <f>IF(Table2[[#This Row],[InterConf]]=1,IF(Table2[[#This Row],[InterDiv]]=0, 1, 0), 0)</f>
        <v>0</v>
      </c>
      <c r="W2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5" s="2"/>
      <c r="Y235" s="2"/>
      <c r="Z235" s="145">
        <f>IF(AND(Table2[[#This Row],[GameIsOver]]=1,Table2[[#This Row],[ActualHomeScore]]*Table2[[#This Row],[ActualAwayScore]]=0), 1,0)</f>
        <v>0</v>
      </c>
      <c r="AA2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5" s="2">
        <f>Table2[[#This Row],[ActualAwayScore]]-Table2[[#This Row],[PredictedAwayScore]]</f>
        <v>0</v>
      </c>
      <c r="AG235" s="2">
        <f>Table2[[#This Row],[ActualHomeScore]]-Table2[[#This Row],[PredictedHomeScore]]</f>
        <v>0</v>
      </c>
      <c r="AH235" s="2">
        <f t="shared" si="22"/>
        <v>0</v>
      </c>
      <c r="AI235" s="2">
        <f t="shared" si="23"/>
        <v>0</v>
      </c>
      <c r="AJ235" s="2"/>
      <c r="AK235" s="2"/>
      <c r="AL235" s="2">
        <f>IF(Table2[[#This Row],[GameIsOver]]=0,0,IF(Table2[[#This Row],[ActualWinner]]=Table2[[#This Row],[AwayTeam]], 1, 0))</f>
        <v>0</v>
      </c>
      <c r="AM235" s="2">
        <f>IF(Table2[[#This Row],[GameIsOver]]=0,0,IF(Table2[[#This Row],[ActualWinner]]=Table2[[#This Row],[HomeTeam]], 1, 0))</f>
        <v>0</v>
      </c>
      <c r="AN2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5" s="2" t="str">
        <f>INDEX(Sheet5!$B$2:$AG$33, MATCH(Table2[[#This Row],[AwayTeam]],Sheet5!$A$2:$A$33, 0), MATCH(Table2[[#This Row],[HomeTeam]],Sheet5!$A$2:$A$33, 0))</f>
        <v>0-0-0</v>
      </c>
      <c r="AP235" s="2" t="str">
        <f>INDEX(Sheet5!$B$2:$AG$33, MATCH(Table2[[#This Row],[HomeTeam]],Sheet5!$A$2:$A$33, 0), MATCH(Table2[[#This Row],[AwayTeam]],Sheet5!$A$2:$A$33, 0))</f>
        <v>0-0-0</v>
      </c>
      <c r="AQ235" s="2">
        <f>IF(Table2[[#This Row],[GameHasShutOut]], 1, 0)</f>
        <v>0</v>
      </c>
      <c r="AR235" s="2">
        <f>IF(Table2[[#This Row],[ActualAwayScore]] + Table2[[#This Row],[ActualHomeScore]] &gt;= 10, 1, 0)</f>
        <v>0</v>
      </c>
      <c r="AS235" s="2">
        <f>IF(ABS(Table2[[#This Row],[ActualAwayScore]]-Table2[[#This Row],[ActualHomeScore]])&gt;=5, 1, 0)</f>
        <v>0</v>
      </c>
      <c r="AT235" s="2">
        <f>IF(Table2[[#This Row],[ActualAwayScore]] + Table2[[#This Row],[ActualHomeScore]] &lt;= 3, 1, 0)</f>
        <v>1</v>
      </c>
      <c r="AU235" s="2"/>
      <c r="AV235" s="2"/>
    </row>
    <row r="236" spans="1:48" x14ac:dyDescent="0.25">
      <c r="A236" s="3"/>
      <c r="B236" s="3">
        <v>45970</v>
      </c>
      <c r="C236" s="5">
        <v>2025020234</v>
      </c>
      <c r="D236" s="2" t="s">
        <v>15</v>
      </c>
      <c r="E236" s="2" t="s">
        <v>17</v>
      </c>
      <c r="F236" s="2"/>
      <c r="G236" s="2"/>
      <c r="H236" s="2" t="str">
        <f t="shared" si="19"/>
        <v>_</v>
      </c>
      <c r="I236" s="2"/>
      <c r="J236" s="2"/>
      <c r="K236" s="2"/>
      <c r="L236" s="2" t="str">
        <f t="shared" si="20"/>
        <v>_</v>
      </c>
      <c r="M236" s="2"/>
      <c r="N236" s="2">
        <f>IF(ISBLANK(Table2[[#This Row],[ActualResult]]), 0, 1)</f>
        <v>0</v>
      </c>
      <c r="O236" s="2" t="str">
        <f>IF(ISBLANK(Table2[[#This Row],[ActualResult]]), "_", IF(Table2[[#This Row],[ActualWinner]]=Table2[[#This Row],[PredictedWinner]], "Y", "N"))</f>
        <v>_</v>
      </c>
      <c r="P2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6" s="2"/>
      <c r="S236" s="2" t="str">
        <f t="shared" si="21"/>
        <v>_</v>
      </c>
      <c r="T2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6" s="2">
        <f>IF(Table2[[#This Row],[InterConf]]=1,IF(Table2[[#This Row],[InterDiv]]=0, 1, 0), 0)</f>
        <v>0</v>
      </c>
      <c r="W2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6" s="2"/>
      <c r="Y236" s="2"/>
      <c r="Z236" s="145">
        <f>IF(AND(Table2[[#This Row],[GameIsOver]]=1,Table2[[#This Row],[ActualHomeScore]]*Table2[[#This Row],[ActualAwayScore]]=0), 1,0)</f>
        <v>0</v>
      </c>
      <c r="AA2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6" s="2">
        <f>Table2[[#This Row],[ActualAwayScore]]-Table2[[#This Row],[PredictedAwayScore]]</f>
        <v>0</v>
      </c>
      <c r="AG236" s="2">
        <f>Table2[[#This Row],[ActualHomeScore]]-Table2[[#This Row],[PredictedHomeScore]]</f>
        <v>0</v>
      </c>
      <c r="AH236" s="2">
        <f t="shared" si="22"/>
        <v>0</v>
      </c>
      <c r="AI236" s="2">
        <f t="shared" si="23"/>
        <v>0</v>
      </c>
      <c r="AJ236" s="2"/>
      <c r="AK236" s="2"/>
      <c r="AL236" s="2">
        <f>IF(Table2[[#This Row],[GameIsOver]]=0,0,IF(Table2[[#This Row],[ActualWinner]]=Table2[[#This Row],[AwayTeam]], 1, 0))</f>
        <v>0</v>
      </c>
      <c r="AM236" s="2">
        <f>IF(Table2[[#This Row],[GameIsOver]]=0,0,IF(Table2[[#This Row],[ActualWinner]]=Table2[[#This Row],[HomeTeam]], 1, 0))</f>
        <v>0</v>
      </c>
      <c r="AN2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6" s="2" t="str">
        <f>INDEX(Sheet5!$B$2:$AG$33, MATCH(Table2[[#This Row],[AwayTeam]],Sheet5!$A$2:$A$33, 0), MATCH(Table2[[#This Row],[HomeTeam]],Sheet5!$A$2:$A$33, 0))</f>
        <v>0-0-0</v>
      </c>
      <c r="AP236" s="2" t="str">
        <f>INDEX(Sheet5!$B$2:$AG$33, MATCH(Table2[[#This Row],[HomeTeam]],Sheet5!$A$2:$A$33, 0), MATCH(Table2[[#This Row],[AwayTeam]],Sheet5!$A$2:$A$33, 0))</f>
        <v>0-0-0</v>
      </c>
      <c r="AQ236" s="2">
        <f>IF(Table2[[#This Row],[GameHasShutOut]], 1, 0)</f>
        <v>0</v>
      </c>
      <c r="AR236" s="2">
        <f>IF(Table2[[#This Row],[ActualAwayScore]] + Table2[[#This Row],[ActualHomeScore]] &gt;= 10, 1, 0)</f>
        <v>0</v>
      </c>
      <c r="AS236" s="2">
        <f>IF(ABS(Table2[[#This Row],[ActualAwayScore]]-Table2[[#This Row],[ActualHomeScore]])&gt;=5, 1, 0)</f>
        <v>0</v>
      </c>
      <c r="AT236" s="2">
        <f>IF(Table2[[#This Row],[ActualAwayScore]] + Table2[[#This Row],[ActualHomeScore]] &lt;= 3, 1, 0)</f>
        <v>1</v>
      </c>
      <c r="AU236" s="2"/>
      <c r="AV236" s="2"/>
    </row>
    <row r="237" spans="1:48" x14ac:dyDescent="0.25">
      <c r="A237" s="3"/>
      <c r="B237" s="3">
        <v>45970</v>
      </c>
      <c r="C237" s="5">
        <v>2025020235</v>
      </c>
      <c r="D237" s="2" t="s">
        <v>14</v>
      </c>
      <c r="E237" s="2" t="s">
        <v>18</v>
      </c>
      <c r="F237" s="2"/>
      <c r="G237" s="2"/>
      <c r="H237" s="2" t="str">
        <f t="shared" si="19"/>
        <v>_</v>
      </c>
      <c r="I237" s="2"/>
      <c r="J237" s="2"/>
      <c r="K237" s="2"/>
      <c r="L237" s="2" t="str">
        <f t="shared" si="20"/>
        <v>_</v>
      </c>
      <c r="M237" s="2"/>
      <c r="N237" s="2">
        <f>IF(ISBLANK(Table2[[#This Row],[ActualResult]]), 0, 1)</f>
        <v>0</v>
      </c>
      <c r="O237" s="2" t="str">
        <f>IF(ISBLANK(Table2[[#This Row],[ActualResult]]), "_", IF(Table2[[#This Row],[ActualWinner]]=Table2[[#This Row],[PredictedWinner]], "Y", "N"))</f>
        <v>_</v>
      </c>
      <c r="P2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7" s="2"/>
      <c r="S237" s="2" t="str">
        <f t="shared" si="21"/>
        <v>_</v>
      </c>
      <c r="T2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7" s="2">
        <f>IF(Table2[[#This Row],[InterConf]]=1,IF(Table2[[#This Row],[InterDiv]]=0, 1, 0), 0)</f>
        <v>0</v>
      </c>
      <c r="W2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37" s="2"/>
      <c r="Y237" s="2"/>
      <c r="Z237" s="145">
        <f>IF(AND(Table2[[#This Row],[GameIsOver]]=1,Table2[[#This Row],[ActualHomeScore]]*Table2[[#This Row],[ActualAwayScore]]=0), 1,0)</f>
        <v>0</v>
      </c>
      <c r="AA2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7" s="2">
        <f>Table2[[#This Row],[ActualAwayScore]]-Table2[[#This Row],[PredictedAwayScore]]</f>
        <v>0</v>
      </c>
      <c r="AG237" s="2">
        <f>Table2[[#This Row],[ActualHomeScore]]-Table2[[#This Row],[PredictedHomeScore]]</f>
        <v>0</v>
      </c>
      <c r="AH237" s="2">
        <f t="shared" si="22"/>
        <v>0</v>
      </c>
      <c r="AI237" s="2">
        <f t="shared" si="23"/>
        <v>0</v>
      </c>
      <c r="AJ237" s="2"/>
      <c r="AK237" s="2"/>
      <c r="AL237" s="2">
        <f>IF(Table2[[#This Row],[GameIsOver]]=0,0,IF(Table2[[#This Row],[ActualWinner]]=Table2[[#This Row],[AwayTeam]], 1, 0))</f>
        <v>0</v>
      </c>
      <c r="AM237" s="2">
        <f>IF(Table2[[#This Row],[GameIsOver]]=0,0,IF(Table2[[#This Row],[ActualWinner]]=Table2[[#This Row],[HomeTeam]], 1, 0))</f>
        <v>0</v>
      </c>
      <c r="AN2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7" s="2" t="str">
        <f>INDEX(Sheet5!$B$2:$AG$33, MATCH(Table2[[#This Row],[AwayTeam]],Sheet5!$A$2:$A$33, 0), MATCH(Table2[[#This Row],[HomeTeam]],Sheet5!$A$2:$A$33, 0))</f>
        <v>0-0-0</v>
      </c>
      <c r="AP237" s="2" t="str">
        <f>INDEX(Sheet5!$B$2:$AG$33, MATCH(Table2[[#This Row],[HomeTeam]],Sheet5!$A$2:$A$33, 0), MATCH(Table2[[#This Row],[AwayTeam]],Sheet5!$A$2:$A$33, 0))</f>
        <v>0-0-0</v>
      </c>
      <c r="AQ237" s="2">
        <f>IF(Table2[[#This Row],[GameHasShutOut]], 1, 0)</f>
        <v>0</v>
      </c>
      <c r="AR237" s="2">
        <f>IF(Table2[[#This Row],[ActualAwayScore]] + Table2[[#This Row],[ActualHomeScore]] &gt;= 10, 1, 0)</f>
        <v>0</v>
      </c>
      <c r="AS237" s="2">
        <f>IF(ABS(Table2[[#This Row],[ActualAwayScore]]-Table2[[#This Row],[ActualHomeScore]])&gt;=5, 1, 0)</f>
        <v>0</v>
      </c>
      <c r="AT237" s="2">
        <f>IF(Table2[[#This Row],[ActualAwayScore]] + Table2[[#This Row],[ActualHomeScore]] &lt;= 3, 1, 0)</f>
        <v>1</v>
      </c>
      <c r="AU237" s="2"/>
      <c r="AV237" s="2"/>
    </row>
    <row r="238" spans="1:48" x14ac:dyDescent="0.25">
      <c r="A238" s="3"/>
      <c r="B238" s="3">
        <v>45970</v>
      </c>
      <c r="C238" s="5">
        <v>2025020236</v>
      </c>
      <c r="D238" s="2" t="s">
        <v>43</v>
      </c>
      <c r="E238" s="2" t="s">
        <v>40</v>
      </c>
      <c r="F238" s="2"/>
      <c r="G238" s="2"/>
      <c r="H238" s="2" t="str">
        <f t="shared" si="19"/>
        <v>_</v>
      </c>
      <c r="I238" s="2"/>
      <c r="J238" s="2"/>
      <c r="K238" s="2"/>
      <c r="L238" s="2" t="str">
        <f t="shared" si="20"/>
        <v>_</v>
      </c>
      <c r="M238" s="2"/>
      <c r="N238" s="2">
        <f>IF(ISBLANK(Table2[[#This Row],[ActualResult]]), 0, 1)</f>
        <v>0</v>
      </c>
      <c r="O238" s="2" t="str">
        <f>IF(ISBLANK(Table2[[#This Row],[ActualResult]]), "_", IF(Table2[[#This Row],[ActualWinner]]=Table2[[#This Row],[PredictedWinner]], "Y", "N"))</f>
        <v>_</v>
      </c>
      <c r="P2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8" s="2"/>
      <c r="S238" s="2" t="str">
        <f t="shared" si="21"/>
        <v>_</v>
      </c>
      <c r="T2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8" s="2">
        <f>IF(Table2[[#This Row],[InterConf]]=1,IF(Table2[[#This Row],[InterDiv]]=0, 1, 0), 0)</f>
        <v>1</v>
      </c>
      <c r="W2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8" s="2"/>
      <c r="Y238" s="2"/>
      <c r="Z238" s="145">
        <f>IF(AND(Table2[[#This Row],[GameIsOver]]=1,Table2[[#This Row],[ActualHomeScore]]*Table2[[#This Row],[ActualAwayScore]]=0), 1,0)</f>
        <v>0</v>
      </c>
      <c r="AA2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8" s="2">
        <f>Table2[[#This Row],[ActualAwayScore]]-Table2[[#This Row],[PredictedAwayScore]]</f>
        <v>0</v>
      </c>
      <c r="AG238" s="2">
        <f>Table2[[#This Row],[ActualHomeScore]]-Table2[[#This Row],[PredictedHomeScore]]</f>
        <v>0</v>
      </c>
      <c r="AH238" s="2">
        <f t="shared" si="22"/>
        <v>0</v>
      </c>
      <c r="AI238" s="2">
        <f t="shared" si="23"/>
        <v>0</v>
      </c>
      <c r="AJ238" s="2"/>
      <c r="AK238" s="2"/>
      <c r="AL238" s="2">
        <f>IF(Table2[[#This Row],[GameIsOver]]=0,0,IF(Table2[[#This Row],[ActualWinner]]=Table2[[#This Row],[AwayTeam]], 1, 0))</f>
        <v>0</v>
      </c>
      <c r="AM238" s="2">
        <f>IF(Table2[[#This Row],[GameIsOver]]=0,0,IF(Table2[[#This Row],[ActualWinner]]=Table2[[#This Row],[HomeTeam]], 1, 0))</f>
        <v>0</v>
      </c>
      <c r="AN2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8" s="2" t="str">
        <f>INDEX(Sheet5!$B$2:$AG$33, MATCH(Table2[[#This Row],[AwayTeam]],Sheet5!$A$2:$A$33, 0), MATCH(Table2[[#This Row],[HomeTeam]],Sheet5!$A$2:$A$33, 0))</f>
        <v>1-0-0</v>
      </c>
      <c r="AP238" s="2" t="str">
        <f>INDEX(Sheet5!$B$2:$AG$33, MATCH(Table2[[#This Row],[HomeTeam]],Sheet5!$A$2:$A$33, 0), MATCH(Table2[[#This Row],[AwayTeam]],Sheet5!$A$2:$A$33, 0))</f>
        <v>0-0-1</v>
      </c>
      <c r="AQ238" s="2">
        <f>IF(Table2[[#This Row],[GameHasShutOut]], 1, 0)</f>
        <v>0</v>
      </c>
      <c r="AR238" s="2">
        <f>IF(Table2[[#This Row],[ActualAwayScore]] + Table2[[#This Row],[ActualHomeScore]] &gt;= 10, 1, 0)</f>
        <v>0</v>
      </c>
      <c r="AS238" s="2">
        <f>IF(ABS(Table2[[#This Row],[ActualAwayScore]]-Table2[[#This Row],[ActualHomeScore]])&gt;=5, 1, 0)</f>
        <v>0</v>
      </c>
      <c r="AT238" s="2">
        <f>IF(Table2[[#This Row],[ActualAwayScore]] + Table2[[#This Row],[ActualHomeScore]] &lt;= 3, 1, 0)</f>
        <v>1</v>
      </c>
      <c r="AU238" s="2"/>
      <c r="AV238" s="2"/>
    </row>
    <row r="239" spans="1:48" x14ac:dyDescent="0.25">
      <c r="A239" s="3"/>
      <c r="B239" s="3">
        <v>45970</v>
      </c>
      <c r="C239" s="5">
        <v>2025020237</v>
      </c>
      <c r="D239" s="2" t="s">
        <v>32</v>
      </c>
      <c r="E239" s="2" t="s">
        <v>19</v>
      </c>
      <c r="F239" s="2"/>
      <c r="G239" s="2"/>
      <c r="H239" s="2" t="str">
        <f t="shared" si="19"/>
        <v>_</v>
      </c>
      <c r="I239" s="2"/>
      <c r="J239" s="2"/>
      <c r="K239" s="2"/>
      <c r="L239" s="2" t="str">
        <f t="shared" si="20"/>
        <v>_</v>
      </c>
      <c r="M239" s="2"/>
      <c r="N239" s="2">
        <f>IF(ISBLANK(Table2[[#This Row],[ActualResult]]), 0, 1)</f>
        <v>0</v>
      </c>
      <c r="O239" s="2" t="str">
        <f>IF(ISBLANK(Table2[[#This Row],[ActualResult]]), "_", IF(Table2[[#This Row],[ActualWinner]]=Table2[[#This Row],[PredictedWinner]], "Y", "N"))</f>
        <v>_</v>
      </c>
      <c r="P2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9" s="2"/>
      <c r="S239" s="2" t="str">
        <f t="shared" si="21"/>
        <v>_</v>
      </c>
      <c r="T2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9" s="2">
        <f>IF(Table2[[#This Row],[InterConf]]=1,IF(Table2[[#This Row],[InterDiv]]=0, 1, 0), 0)</f>
        <v>0</v>
      </c>
      <c r="W2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9" s="2"/>
      <c r="Y239" s="2"/>
      <c r="Z239" s="145">
        <f>IF(AND(Table2[[#This Row],[GameIsOver]]=1,Table2[[#This Row],[ActualHomeScore]]*Table2[[#This Row],[ActualAwayScore]]=0), 1,0)</f>
        <v>0</v>
      </c>
      <c r="AA2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9" s="2">
        <f>Table2[[#This Row],[ActualAwayScore]]-Table2[[#This Row],[PredictedAwayScore]]</f>
        <v>0</v>
      </c>
      <c r="AG239" s="2">
        <f>Table2[[#This Row],[ActualHomeScore]]-Table2[[#This Row],[PredictedHomeScore]]</f>
        <v>0</v>
      </c>
      <c r="AH239" s="2">
        <f t="shared" si="22"/>
        <v>0</v>
      </c>
      <c r="AI239" s="2">
        <f t="shared" si="23"/>
        <v>0</v>
      </c>
      <c r="AJ239" s="2"/>
      <c r="AK239" s="2"/>
      <c r="AL239" s="2">
        <f>IF(Table2[[#This Row],[GameIsOver]]=0,0,IF(Table2[[#This Row],[ActualWinner]]=Table2[[#This Row],[AwayTeam]], 1, 0))</f>
        <v>0</v>
      </c>
      <c r="AM239" s="2">
        <f>IF(Table2[[#This Row],[GameIsOver]]=0,0,IF(Table2[[#This Row],[ActualWinner]]=Table2[[#This Row],[HomeTeam]], 1, 0))</f>
        <v>0</v>
      </c>
      <c r="AN2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9" s="2" t="str">
        <f>INDEX(Sheet5!$B$2:$AG$33, MATCH(Table2[[#This Row],[AwayTeam]],Sheet5!$A$2:$A$33, 0), MATCH(Table2[[#This Row],[HomeTeam]],Sheet5!$A$2:$A$33, 0))</f>
        <v>0-0-0</v>
      </c>
      <c r="AP239" s="2" t="str">
        <f>INDEX(Sheet5!$B$2:$AG$33, MATCH(Table2[[#This Row],[HomeTeam]],Sheet5!$A$2:$A$33, 0), MATCH(Table2[[#This Row],[AwayTeam]],Sheet5!$A$2:$A$33, 0))</f>
        <v>0-0-0</v>
      </c>
      <c r="AQ239" s="2">
        <f>IF(Table2[[#This Row],[GameHasShutOut]], 1, 0)</f>
        <v>0</v>
      </c>
      <c r="AR239" s="2">
        <f>IF(Table2[[#This Row],[ActualAwayScore]] + Table2[[#This Row],[ActualHomeScore]] &gt;= 10, 1, 0)</f>
        <v>0</v>
      </c>
      <c r="AS239" s="2">
        <f>IF(ABS(Table2[[#This Row],[ActualAwayScore]]-Table2[[#This Row],[ActualHomeScore]])&gt;=5, 1, 0)</f>
        <v>0</v>
      </c>
      <c r="AT239" s="2">
        <f>IF(Table2[[#This Row],[ActualAwayScore]] + Table2[[#This Row],[ActualHomeScore]] &lt;= 3, 1, 0)</f>
        <v>1</v>
      </c>
      <c r="AU239" s="2"/>
      <c r="AV239" s="2"/>
    </row>
    <row r="240" spans="1:48" x14ac:dyDescent="0.25">
      <c r="A240" s="3"/>
      <c r="B240" s="3">
        <v>45970</v>
      </c>
      <c r="C240" s="5">
        <v>2025020238</v>
      </c>
      <c r="D240" s="2" t="s">
        <v>28</v>
      </c>
      <c r="E240" s="2" t="s">
        <v>41</v>
      </c>
      <c r="F240" s="2"/>
      <c r="G240" s="2"/>
      <c r="H240" s="2" t="str">
        <f t="shared" si="19"/>
        <v>_</v>
      </c>
      <c r="I240" s="2"/>
      <c r="J240" s="2"/>
      <c r="K240" s="2"/>
      <c r="L240" s="2" t="str">
        <f t="shared" si="20"/>
        <v>_</v>
      </c>
      <c r="M240" s="2"/>
      <c r="N240" s="2">
        <f>IF(ISBLANK(Table2[[#This Row],[ActualResult]]), 0, 1)</f>
        <v>0</v>
      </c>
      <c r="O240" s="2" t="str">
        <f>IF(ISBLANK(Table2[[#This Row],[ActualResult]]), "_", IF(Table2[[#This Row],[ActualWinner]]=Table2[[#This Row],[PredictedWinner]], "Y", "N"))</f>
        <v>_</v>
      </c>
      <c r="P2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0" s="2"/>
      <c r="S240" s="2" t="str">
        <f t="shared" si="21"/>
        <v>_</v>
      </c>
      <c r="T2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0" s="2">
        <f>IF(Table2[[#This Row],[InterConf]]=1,IF(Table2[[#This Row],[InterDiv]]=0, 1, 0), 0)</f>
        <v>1</v>
      </c>
      <c r="W2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0" s="2"/>
      <c r="Y240" s="2"/>
      <c r="Z240" s="145">
        <f>IF(AND(Table2[[#This Row],[GameIsOver]]=1,Table2[[#This Row],[ActualHomeScore]]*Table2[[#This Row],[ActualAwayScore]]=0), 1,0)</f>
        <v>0</v>
      </c>
      <c r="AA2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0" s="2">
        <f>Table2[[#This Row],[ActualAwayScore]]-Table2[[#This Row],[PredictedAwayScore]]</f>
        <v>0</v>
      </c>
      <c r="AG240" s="2">
        <f>Table2[[#This Row],[ActualHomeScore]]-Table2[[#This Row],[PredictedHomeScore]]</f>
        <v>0</v>
      </c>
      <c r="AH240" s="2">
        <f t="shared" si="22"/>
        <v>0</v>
      </c>
      <c r="AI240" s="2">
        <f t="shared" si="23"/>
        <v>0</v>
      </c>
      <c r="AJ240" s="2"/>
      <c r="AK240" s="2"/>
      <c r="AL240" s="2">
        <f>IF(Table2[[#This Row],[GameIsOver]]=0,0,IF(Table2[[#This Row],[ActualWinner]]=Table2[[#This Row],[AwayTeam]], 1, 0))</f>
        <v>0</v>
      </c>
      <c r="AM240" s="2">
        <f>IF(Table2[[#This Row],[GameIsOver]]=0,0,IF(Table2[[#This Row],[ActualWinner]]=Table2[[#This Row],[HomeTeam]], 1, 0))</f>
        <v>0</v>
      </c>
      <c r="AN2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0" s="2" t="str">
        <f>INDEX(Sheet5!$B$2:$AG$33, MATCH(Table2[[#This Row],[AwayTeam]],Sheet5!$A$2:$A$33, 0), MATCH(Table2[[#This Row],[HomeTeam]],Sheet5!$A$2:$A$33, 0))</f>
        <v>0-0-0</v>
      </c>
      <c r="AP240" s="2" t="str">
        <f>INDEX(Sheet5!$B$2:$AG$33, MATCH(Table2[[#This Row],[HomeTeam]],Sheet5!$A$2:$A$33, 0), MATCH(Table2[[#This Row],[AwayTeam]],Sheet5!$A$2:$A$33, 0))</f>
        <v>0-0-0</v>
      </c>
      <c r="AQ240" s="2">
        <f>IF(Table2[[#This Row],[GameHasShutOut]], 1, 0)</f>
        <v>0</v>
      </c>
      <c r="AR240" s="2">
        <f>IF(Table2[[#This Row],[ActualAwayScore]] + Table2[[#This Row],[ActualHomeScore]] &gt;= 10, 1, 0)</f>
        <v>0</v>
      </c>
      <c r="AS240" s="2">
        <f>IF(ABS(Table2[[#This Row],[ActualAwayScore]]-Table2[[#This Row],[ActualHomeScore]])&gt;=5, 1, 0)</f>
        <v>0</v>
      </c>
      <c r="AT240" s="2">
        <f>IF(Table2[[#This Row],[ActualAwayScore]] + Table2[[#This Row],[ActualHomeScore]] &lt;= 3, 1, 0)</f>
        <v>1</v>
      </c>
      <c r="AU240" s="2"/>
      <c r="AV240" s="2"/>
    </row>
    <row r="241" spans="1:48" x14ac:dyDescent="0.25">
      <c r="A241" s="3"/>
      <c r="B241" s="3">
        <v>45970</v>
      </c>
      <c r="C241" s="5">
        <v>2025020239</v>
      </c>
      <c r="D241" s="2" t="s">
        <v>11</v>
      </c>
      <c r="E241" s="2" t="s">
        <v>12</v>
      </c>
      <c r="F241" s="2"/>
      <c r="G241" s="2"/>
      <c r="H241" s="2" t="str">
        <f t="shared" si="19"/>
        <v>_</v>
      </c>
      <c r="I241" s="2"/>
      <c r="J241" s="2"/>
      <c r="K241" s="2"/>
      <c r="L241" s="2" t="str">
        <f t="shared" si="20"/>
        <v>_</v>
      </c>
      <c r="M241" s="2"/>
      <c r="N241" s="2">
        <f>IF(ISBLANK(Table2[[#This Row],[ActualResult]]), 0, 1)</f>
        <v>0</v>
      </c>
      <c r="O241" s="2" t="str">
        <f>IF(ISBLANK(Table2[[#This Row],[ActualResult]]), "_", IF(Table2[[#This Row],[ActualWinner]]=Table2[[#This Row],[PredictedWinner]], "Y", "N"))</f>
        <v>_</v>
      </c>
      <c r="P2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1" s="2"/>
      <c r="S241" s="2" t="str">
        <f t="shared" si="21"/>
        <v>_</v>
      </c>
      <c r="T2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1" s="2">
        <f>IF(Table2[[#This Row],[InterConf]]=1,IF(Table2[[#This Row],[InterDiv]]=0, 1, 0), 0)</f>
        <v>1</v>
      </c>
      <c r="W2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1" s="2"/>
      <c r="Y241" s="2"/>
      <c r="Z241" s="145">
        <f>IF(AND(Table2[[#This Row],[GameIsOver]]=1,Table2[[#This Row],[ActualHomeScore]]*Table2[[#This Row],[ActualAwayScore]]=0), 1,0)</f>
        <v>0</v>
      </c>
      <c r="AA2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1" s="2">
        <f>Table2[[#This Row],[ActualAwayScore]]-Table2[[#This Row],[PredictedAwayScore]]</f>
        <v>0</v>
      </c>
      <c r="AG241" s="2">
        <f>Table2[[#This Row],[ActualHomeScore]]-Table2[[#This Row],[PredictedHomeScore]]</f>
        <v>0</v>
      </c>
      <c r="AH241" s="2">
        <f t="shared" si="22"/>
        <v>0</v>
      </c>
      <c r="AI241" s="2">
        <f t="shared" si="23"/>
        <v>0</v>
      </c>
      <c r="AJ241" s="2"/>
      <c r="AK241" s="2"/>
      <c r="AL241" s="2">
        <f>IF(Table2[[#This Row],[GameIsOver]]=0,0,IF(Table2[[#This Row],[ActualWinner]]=Table2[[#This Row],[AwayTeam]], 1, 0))</f>
        <v>0</v>
      </c>
      <c r="AM241" s="2">
        <f>IF(Table2[[#This Row],[GameIsOver]]=0,0,IF(Table2[[#This Row],[ActualWinner]]=Table2[[#This Row],[HomeTeam]], 1, 0))</f>
        <v>0</v>
      </c>
      <c r="AN2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1" s="2" t="str">
        <f>INDEX(Sheet5!$B$2:$AG$33, MATCH(Table2[[#This Row],[AwayTeam]],Sheet5!$A$2:$A$33, 0), MATCH(Table2[[#This Row],[HomeTeam]],Sheet5!$A$2:$A$33, 0))</f>
        <v>0-0-0</v>
      </c>
      <c r="AP241" s="2" t="str">
        <f>INDEX(Sheet5!$B$2:$AG$33, MATCH(Table2[[#This Row],[HomeTeam]],Sheet5!$A$2:$A$33, 0), MATCH(Table2[[#This Row],[AwayTeam]],Sheet5!$A$2:$A$33, 0))</f>
        <v>0-0-0</v>
      </c>
      <c r="AQ241" s="2">
        <f>IF(Table2[[#This Row],[GameHasShutOut]], 1, 0)</f>
        <v>0</v>
      </c>
      <c r="AR241" s="2">
        <f>IF(Table2[[#This Row],[ActualAwayScore]] + Table2[[#This Row],[ActualHomeScore]] &gt;= 10, 1, 0)</f>
        <v>0</v>
      </c>
      <c r="AS241" s="2">
        <f>IF(ABS(Table2[[#This Row],[ActualAwayScore]]-Table2[[#This Row],[ActualHomeScore]])&gt;=5, 1, 0)</f>
        <v>0</v>
      </c>
      <c r="AT241" s="2">
        <f>IF(Table2[[#This Row],[ActualAwayScore]] + Table2[[#This Row],[ActualHomeScore]] &lt;= 3, 1, 0)</f>
        <v>1</v>
      </c>
      <c r="AU241" s="2"/>
      <c r="AV241" s="2"/>
    </row>
    <row r="242" spans="1:48" x14ac:dyDescent="0.25">
      <c r="A242" s="3"/>
      <c r="B242" s="3">
        <v>45970</v>
      </c>
      <c r="C242" s="5">
        <v>2025020240</v>
      </c>
      <c r="D242" s="2" t="s">
        <v>25</v>
      </c>
      <c r="E242" s="2" t="s">
        <v>22</v>
      </c>
      <c r="F242" s="2"/>
      <c r="G242" s="2"/>
      <c r="H242" s="2" t="str">
        <f t="shared" si="19"/>
        <v>_</v>
      </c>
      <c r="I242" s="2"/>
      <c r="J242" s="2"/>
      <c r="K242" s="2"/>
      <c r="L242" s="2" t="str">
        <f t="shared" si="20"/>
        <v>_</v>
      </c>
      <c r="M242" s="2"/>
      <c r="N242" s="2">
        <f>IF(ISBLANK(Table2[[#This Row],[ActualResult]]), 0, 1)</f>
        <v>0</v>
      </c>
      <c r="O242" s="2" t="str">
        <f>IF(ISBLANK(Table2[[#This Row],[ActualResult]]), "_", IF(Table2[[#This Row],[ActualWinner]]=Table2[[#This Row],[PredictedWinner]], "Y", "N"))</f>
        <v>_</v>
      </c>
      <c r="P2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2" s="2"/>
      <c r="S242" s="2" t="str">
        <f t="shared" si="21"/>
        <v>_</v>
      </c>
      <c r="T2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2" s="2">
        <f>IF(Table2[[#This Row],[InterConf]]=1,IF(Table2[[#This Row],[InterDiv]]=0, 1, 0), 0)</f>
        <v>1</v>
      </c>
      <c r="W2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2" s="2"/>
      <c r="Y242" s="2"/>
      <c r="Z242" s="145">
        <f>IF(AND(Table2[[#This Row],[GameIsOver]]=1,Table2[[#This Row],[ActualHomeScore]]*Table2[[#This Row],[ActualAwayScore]]=0), 1,0)</f>
        <v>0</v>
      </c>
      <c r="AA2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2" s="2">
        <f>Table2[[#This Row],[ActualAwayScore]]-Table2[[#This Row],[PredictedAwayScore]]</f>
        <v>0</v>
      </c>
      <c r="AG242" s="2">
        <f>Table2[[#This Row],[ActualHomeScore]]-Table2[[#This Row],[PredictedHomeScore]]</f>
        <v>0</v>
      </c>
      <c r="AH242" s="2">
        <f t="shared" si="22"/>
        <v>0</v>
      </c>
      <c r="AI242" s="2">
        <f t="shared" si="23"/>
        <v>0</v>
      </c>
      <c r="AJ242" s="2"/>
      <c r="AK242" s="2"/>
      <c r="AL242" s="2">
        <f>IF(Table2[[#This Row],[GameIsOver]]=0,0,IF(Table2[[#This Row],[ActualWinner]]=Table2[[#This Row],[AwayTeam]], 1, 0))</f>
        <v>0</v>
      </c>
      <c r="AM242" s="2">
        <f>IF(Table2[[#This Row],[GameIsOver]]=0,0,IF(Table2[[#This Row],[ActualWinner]]=Table2[[#This Row],[HomeTeam]], 1, 0))</f>
        <v>0</v>
      </c>
      <c r="AN2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2" s="2" t="str">
        <f>INDEX(Sheet5!$B$2:$AG$33, MATCH(Table2[[#This Row],[AwayTeam]],Sheet5!$A$2:$A$33, 0), MATCH(Table2[[#This Row],[HomeTeam]],Sheet5!$A$2:$A$33, 0))</f>
        <v>0-0-0</v>
      </c>
      <c r="AP242" s="2" t="str">
        <f>INDEX(Sheet5!$B$2:$AG$33, MATCH(Table2[[#This Row],[HomeTeam]],Sheet5!$A$2:$A$33, 0), MATCH(Table2[[#This Row],[AwayTeam]],Sheet5!$A$2:$A$33, 0))</f>
        <v>0-0-0</v>
      </c>
      <c r="AQ242" s="2">
        <f>IF(Table2[[#This Row],[GameHasShutOut]], 1, 0)</f>
        <v>0</v>
      </c>
      <c r="AR242" s="2">
        <f>IF(Table2[[#This Row],[ActualAwayScore]] + Table2[[#This Row],[ActualHomeScore]] &gt;= 10, 1, 0)</f>
        <v>0</v>
      </c>
      <c r="AS242" s="2">
        <f>IF(ABS(Table2[[#This Row],[ActualAwayScore]]-Table2[[#This Row],[ActualHomeScore]])&gt;=5, 1, 0)</f>
        <v>0</v>
      </c>
      <c r="AT242" s="2">
        <f>IF(Table2[[#This Row],[ActualAwayScore]] + Table2[[#This Row],[ActualHomeScore]] &lt;= 3, 1, 0)</f>
        <v>1</v>
      </c>
      <c r="AU242" s="2"/>
      <c r="AV242" s="2"/>
    </row>
    <row r="243" spans="1:48" x14ac:dyDescent="0.25">
      <c r="A243" s="3"/>
      <c r="B243" s="3">
        <v>45970</v>
      </c>
      <c r="C243" s="5">
        <v>2025020241</v>
      </c>
      <c r="D243" s="2" t="s">
        <v>35</v>
      </c>
      <c r="E243" s="2" t="s">
        <v>24</v>
      </c>
      <c r="F243" s="2"/>
      <c r="G243" s="2"/>
      <c r="H243" s="2" t="str">
        <f t="shared" si="19"/>
        <v>_</v>
      </c>
      <c r="I243" s="2"/>
      <c r="J243" s="2"/>
      <c r="K243" s="2"/>
      <c r="L243" s="2" t="str">
        <f t="shared" si="20"/>
        <v>_</v>
      </c>
      <c r="M243" s="2"/>
      <c r="N243" s="2">
        <f>IF(ISBLANK(Table2[[#This Row],[ActualResult]]), 0, 1)</f>
        <v>0</v>
      </c>
      <c r="O243" s="2" t="str">
        <f>IF(ISBLANK(Table2[[#This Row],[ActualResult]]), "_", IF(Table2[[#This Row],[ActualWinner]]=Table2[[#This Row],[PredictedWinner]], "Y", "N"))</f>
        <v>_</v>
      </c>
      <c r="P2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3" s="2"/>
      <c r="S243" s="2" t="str">
        <f t="shared" si="21"/>
        <v>_</v>
      </c>
      <c r="T2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3" s="2">
        <f>IF(Table2[[#This Row],[InterConf]]=1,IF(Table2[[#This Row],[InterDiv]]=0, 1, 0), 0)</f>
        <v>0</v>
      </c>
      <c r="W2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3" s="2"/>
      <c r="Y243" s="2"/>
      <c r="Z243" s="145">
        <f>IF(AND(Table2[[#This Row],[GameIsOver]]=1,Table2[[#This Row],[ActualHomeScore]]*Table2[[#This Row],[ActualAwayScore]]=0), 1,0)</f>
        <v>0</v>
      </c>
      <c r="AA2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3" s="2">
        <f>Table2[[#This Row],[ActualAwayScore]]-Table2[[#This Row],[PredictedAwayScore]]</f>
        <v>0</v>
      </c>
      <c r="AG243" s="2">
        <f>Table2[[#This Row],[ActualHomeScore]]-Table2[[#This Row],[PredictedHomeScore]]</f>
        <v>0</v>
      </c>
      <c r="AH243" s="2">
        <f t="shared" si="22"/>
        <v>0</v>
      </c>
      <c r="AI243" s="2">
        <f t="shared" si="23"/>
        <v>0</v>
      </c>
      <c r="AJ243" s="2"/>
      <c r="AK243" s="2"/>
      <c r="AL243" s="2">
        <f>IF(Table2[[#This Row],[GameIsOver]]=0,0,IF(Table2[[#This Row],[ActualWinner]]=Table2[[#This Row],[AwayTeam]], 1, 0))</f>
        <v>0</v>
      </c>
      <c r="AM243" s="2">
        <f>IF(Table2[[#This Row],[GameIsOver]]=0,0,IF(Table2[[#This Row],[ActualWinner]]=Table2[[#This Row],[HomeTeam]], 1, 0))</f>
        <v>0</v>
      </c>
      <c r="AN2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3" s="2" t="str">
        <f>INDEX(Sheet5!$B$2:$AG$33, MATCH(Table2[[#This Row],[AwayTeam]],Sheet5!$A$2:$A$33, 0), MATCH(Table2[[#This Row],[HomeTeam]],Sheet5!$A$2:$A$33, 0))</f>
        <v>0-0-0</v>
      </c>
      <c r="AP243" s="2" t="str">
        <f>INDEX(Sheet5!$B$2:$AG$33, MATCH(Table2[[#This Row],[HomeTeam]],Sheet5!$A$2:$A$33, 0), MATCH(Table2[[#This Row],[AwayTeam]],Sheet5!$A$2:$A$33, 0))</f>
        <v>0-0-0</v>
      </c>
      <c r="AQ243" s="2">
        <f>IF(Table2[[#This Row],[GameHasShutOut]], 1, 0)</f>
        <v>0</v>
      </c>
      <c r="AR243" s="2">
        <f>IF(Table2[[#This Row],[ActualAwayScore]] + Table2[[#This Row],[ActualHomeScore]] &gt;= 10, 1, 0)</f>
        <v>0</v>
      </c>
      <c r="AS243" s="2">
        <f>IF(ABS(Table2[[#This Row],[ActualAwayScore]]-Table2[[#This Row],[ActualHomeScore]])&gt;=5, 1, 0)</f>
        <v>0</v>
      </c>
      <c r="AT243" s="2">
        <f>IF(Table2[[#This Row],[ActualAwayScore]] + Table2[[#This Row],[ActualHomeScore]] &lt;= 3, 1, 0)</f>
        <v>1</v>
      </c>
      <c r="AU243" s="2"/>
      <c r="AV243" s="2"/>
    </row>
    <row r="244" spans="1:48" x14ac:dyDescent="0.25">
      <c r="A244" s="3"/>
      <c r="B244" s="3">
        <v>45970</v>
      </c>
      <c r="C244" s="5">
        <v>2025020242</v>
      </c>
      <c r="D244" s="2" t="s">
        <v>44</v>
      </c>
      <c r="E244" s="2" t="s">
        <v>26</v>
      </c>
      <c r="F244" s="2"/>
      <c r="G244" s="2"/>
      <c r="H244" s="2" t="str">
        <f t="shared" si="19"/>
        <v>_</v>
      </c>
      <c r="I244" s="2"/>
      <c r="J244" s="2"/>
      <c r="K244" s="2"/>
      <c r="L244" s="2" t="str">
        <f t="shared" si="20"/>
        <v>_</v>
      </c>
      <c r="M244" s="2"/>
      <c r="N244" s="2">
        <f>IF(ISBLANK(Table2[[#This Row],[ActualResult]]), 0, 1)</f>
        <v>0</v>
      </c>
      <c r="O244" s="2" t="str">
        <f>IF(ISBLANK(Table2[[#This Row],[ActualResult]]), "_", IF(Table2[[#This Row],[ActualWinner]]=Table2[[#This Row],[PredictedWinner]], "Y", "N"))</f>
        <v>_</v>
      </c>
      <c r="P2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4" s="2"/>
      <c r="S244" s="2" t="str">
        <f t="shared" si="21"/>
        <v>_</v>
      </c>
      <c r="T2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44" s="2">
        <f>IF(Table2[[#This Row],[InterConf]]=1,IF(Table2[[#This Row],[InterDiv]]=0, 1, 0), 0)</f>
        <v>0</v>
      </c>
      <c r="W2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4" s="2"/>
      <c r="Y244" s="2"/>
      <c r="Z244" s="145">
        <f>IF(AND(Table2[[#This Row],[GameIsOver]]=1,Table2[[#This Row],[ActualHomeScore]]*Table2[[#This Row],[ActualAwayScore]]=0), 1,0)</f>
        <v>0</v>
      </c>
      <c r="AA2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4" s="2">
        <f>Table2[[#This Row],[ActualAwayScore]]-Table2[[#This Row],[PredictedAwayScore]]</f>
        <v>0</v>
      </c>
      <c r="AG244" s="2">
        <f>Table2[[#This Row],[ActualHomeScore]]-Table2[[#This Row],[PredictedHomeScore]]</f>
        <v>0</v>
      </c>
      <c r="AH244" s="2">
        <f t="shared" si="22"/>
        <v>0</v>
      </c>
      <c r="AI244" s="2">
        <f t="shared" si="23"/>
        <v>0</v>
      </c>
      <c r="AJ244" s="2"/>
      <c r="AK244" s="2"/>
      <c r="AL244" s="2">
        <f>IF(Table2[[#This Row],[GameIsOver]]=0,0,IF(Table2[[#This Row],[ActualWinner]]=Table2[[#This Row],[AwayTeam]], 1, 0))</f>
        <v>0</v>
      </c>
      <c r="AM244" s="2">
        <f>IF(Table2[[#This Row],[GameIsOver]]=0,0,IF(Table2[[#This Row],[ActualWinner]]=Table2[[#This Row],[HomeTeam]], 1, 0))</f>
        <v>0</v>
      </c>
      <c r="AN2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4" s="2" t="str">
        <f>INDEX(Sheet5!$B$2:$AG$33, MATCH(Table2[[#This Row],[AwayTeam]],Sheet5!$A$2:$A$33, 0), MATCH(Table2[[#This Row],[HomeTeam]],Sheet5!$A$2:$A$33, 0))</f>
        <v>0-0-0</v>
      </c>
      <c r="AP244" s="2" t="str">
        <f>INDEX(Sheet5!$B$2:$AG$33, MATCH(Table2[[#This Row],[HomeTeam]],Sheet5!$A$2:$A$33, 0), MATCH(Table2[[#This Row],[AwayTeam]],Sheet5!$A$2:$A$33, 0))</f>
        <v>0-0-0</v>
      </c>
      <c r="AQ244" s="2">
        <f>IF(Table2[[#This Row],[GameHasShutOut]], 1, 0)</f>
        <v>0</v>
      </c>
      <c r="AR244" s="2">
        <f>IF(Table2[[#This Row],[ActualAwayScore]] + Table2[[#This Row],[ActualHomeScore]] &gt;= 10, 1, 0)</f>
        <v>0</v>
      </c>
      <c r="AS244" s="2">
        <f>IF(ABS(Table2[[#This Row],[ActualAwayScore]]-Table2[[#This Row],[ActualHomeScore]])&gt;=5, 1, 0)</f>
        <v>0</v>
      </c>
      <c r="AT244" s="2">
        <f>IF(Table2[[#This Row],[ActualAwayScore]] + Table2[[#This Row],[ActualHomeScore]] &lt;= 3, 1, 0)</f>
        <v>1</v>
      </c>
      <c r="AU244" s="2"/>
      <c r="AV244" s="2"/>
    </row>
    <row r="245" spans="1:48" x14ac:dyDescent="0.25">
      <c r="A245" s="3"/>
      <c r="B245" s="3">
        <v>45970</v>
      </c>
      <c r="C245" s="5">
        <v>2025020243</v>
      </c>
      <c r="D245" s="2" t="s">
        <v>13</v>
      </c>
      <c r="E245" s="2" t="s">
        <v>37</v>
      </c>
      <c r="F245" s="2"/>
      <c r="G245" s="2"/>
      <c r="H245" s="2" t="str">
        <f t="shared" si="19"/>
        <v>_</v>
      </c>
      <c r="I245" s="2"/>
      <c r="J245" s="2"/>
      <c r="K245" s="2"/>
      <c r="L245" s="2" t="str">
        <f t="shared" si="20"/>
        <v>_</v>
      </c>
      <c r="M245" s="2"/>
      <c r="N245" s="2">
        <f>IF(ISBLANK(Table2[[#This Row],[ActualResult]]), 0, 1)</f>
        <v>0</v>
      </c>
      <c r="O245" s="2" t="str">
        <f>IF(ISBLANK(Table2[[#This Row],[ActualResult]]), "_", IF(Table2[[#This Row],[ActualWinner]]=Table2[[#This Row],[PredictedWinner]], "Y", "N"))</f>
        <v>_</v>
      </c>
      <c r="P2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5" s="2"/>
      <c r="S245" s="2" t="str">
        <f t="shared" si="21"/>
        <v>_</v>
      </c>
      <c r="T2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5" s="2">
        <f>IF(Table2[[#This Row],[InterConf]]=1,IF(Table2[[#This Row],[InterDiv]]=0, 1, 0), 0)</f>
        <v>0</v>
      </c>
      <c r="W2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5" s="2"/>
      <c r="Y245" s="2"/>
      <c r="Z245" s="145">
        <f>IF(AND(Table2[[#This Row],[GameIsOver]]=1,Table2[[#This Row],[ActualHomeScore]]*Table2[[#This Row],[ActualAwayScore]]=0), 1,0)</f>
        <v>0</v>
      </c>
      <c r="AA2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5" s="2">
        <f>Table2[[#This Row],[ActualAwayScore]]-Table2[[#This Row],[PredictedAwayScore]]</f>
        <v>0</v>
      </c>
      <c r="AG245" s="2">
        <f>Table2[[#This Row],[ActualHomeScore]]-Table2[[#This Row],[PredictedHomeScore]]</f>
        <v>0</v>
      </c>
      <c r="AH245" s="2">
        <f t="shared" si="22"/>
        <v>0</v>
      </c>
      <c r="AI245" s="2">
        <f t="shared" si="23"/>
        <v>0</v>
      </c>
      <c r="AJ245" s="2"/>
      <c r="AK245" s="2"/>
      <c r="AL245" s="2">
        <f>IF(Table2[[#This Row],[GameIsOver]]=0,0,IF(Table2[[#This Row],[ActualWinner]]=Table2[[#This Row],[AwayTeam]], 1, 0))</f>
        <v>0</v>
      </c>
      <c r="AM245" s="2">
        <f>IF(Table2[[#This Row],[GameIsOver]]=0,0,IF(Table2[[#This Row],[ActualWinner]]=Table2[[#This Row],[HomeTeam]], 1, 0))</f>
        <v>0</v>
      </c>
      <c r="AN2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5" s="2" t="str">
        <f>INDEX(Sheet5!$B$2:$AG$33, MATCH(Table2[[#This Row],[AwayTeam]],Sheet5!$A$2:$A$33, 0), MATCH(Table2[[#This Row],[HomeTeam]],Sheet5!$A$2:$A$33, 0))</f>
        <v>0-0-0</v>
      </c>
      <c r="AP245" s="2" t="str">
        <f>INDEX(Sheet5!$B$2:$AG$33, MATCH(Table2[[#This Row],[HomeTeam]],Sheet5!$A$2:$A$33, 0), MATCH(Table2[[#This Row],[AwayTeam]],Sheet5!$A$2:$A$33, 0))</f>
        <v>0-0-0</v>
      </c>
      <c r="AQ245" s="2">
        <f>IF(Table2[[#This Row],[GameHasShutOut]], 1, 0)</f>
        <v>0</v>
      </c>
      <c r="AR245" s="2">
        <f>IF(Table2[[#This Row],[ActualAwayScore]] + Table2[[#This Row],[ActualHomeScore]] &gt;= 10, 1, 0)</f>
        <v>0</v>
      </c>
      <c r="AS245" s="2">
        <f>IF(ABS(Table2[[#This Row],[ActualAwayScore]]-Table2[[#This Row],[ActualHomeScore]])&gt;=5, 1, 0)</f>
        <v>0</v>
      </c>
      <c r="AT245" s="2">
        <f>IF(Table2[[#This Row],[ActualAwayScore]] + Table2[[#This Row],[ActualHomeScore]] &lt;= 3, 1, 0)</f>
        <v>1</v>
      </c>
      <c r="AU245" s="2"/>
      <c r="AV245" s="2"/>
    </row>
    <row r="246" spans="1:48" x14ac:dyDescent="0.25">
      <c r="A246" s="3"/>
      <c r="B246" s="3">
        <v>45970</v>
      </c>
      <c r="C246" s="5">
        <v>2025020244</v>
      </c>
      <c r="D246" s="2" t="s">
        <v>16</v>
      </c>
      <c r="E246" s="2" t="s">
        <v>30</v>
      </c>
      <c r="F246" s="2"/>
      <c r="G246" s="2"/>
      <c r="H246" s="2" t="str">
        <f t="shared" si="19"/>
        <v>_</v>
      </c>
      <c r="I246" s="2"/>
      <c r="J246" s="2"/>
      <c r="K246" s="2"/>
      <c r="L246" s="2" t="str">
        <f t="shared" si="20"/>
        <v>_</v>
      </c>
      <c r="M246" s="2"/>
      <c r="N246" s="2">
        <f>IF(ISBLANK(Table2[[#This Row],[ActualResult]]), 0, 1)</f>
        <v>0</v>
      </c>
      <c r="O246" s="2" t="str">
        <f>IF(ISBLANK(Table2[[#This Row],[ActualResult]]), "_", IF(Table2[[#This Row],[ActualWinner]]=Table2[[#This Row],[PredictedWinner]], "Y", "N"))</f>
        <v>_</v>
      </c>
      <c r="P2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6" s="2"/>
      <c r="S246" s="2" t="str">
        <f t="shared" si="21"/>
        <v>_</v>
      </c>
      <c r="T2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6" s="2">
        <f>IF(Table2[[#This Row],[InterConf]]=1,IF(Table2[[#This Row],[InterDiv]]=0, 1, 0), 0)</f>
        <v>0</v>
      </c>
      <c r="W2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6" s="2"/>
      <c r="Y246" s="2"/>
      <c r="Z246" s="145">
        <f>IF(AND(Table2[[#This Row],[GameIsOver]]=1,Table2[[#This Row],[ActualHomeScore]]*Table2[[#This Row],[ActualAwayScore]]=0), 1,0)</f>
        <v>0</v>
      </c>
      <c r="AA2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6" s="2">
        <f>Table2[[#This Row],[ActualAwayScore]]-Table2[[#This Row],[PredictedAwayScore]]</f>
        <v>0</v>
      </c>
      <c r="AG246" s="2">
        <f>Table2[[#This Row],[ActualHomeScore]]-Table2[[#This Row],[PredictedHomeScore]]</f>
        <v>0</v>
      </c>
      <c r="AH246" s="2">
        <f t="shared" si="22"/>
        <v>0</v>
      </c>
      <c r="AI246" s="2">
        <f t="shared" si="23"/>
        <v>0</v>
      </c>
      <c r="AJ246" s="2"/>
      <c r="AK246" s="2"/>
      <c r="AL246" s="2">
        <f>IF(Table2[[#This Row],[GameIsOver]]=0,0,IF(Table2[[#This Row],[ActualWinner]]=Table2[[#This Row],[AwayTeam]], 1, 0))</f>
        <v>0</v>
      </c>
      <c r="AM246" s="2">
        <f>IF(Table2[[#This Row],[GameIsOver]]=0,0,IF(Table2[[#This Row],[ActualWinner]]=Table2[[#This Row],[HomeTeam]], 1, 0))</f>
        <v>0</v>
      </c>
      <c r="AN2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6" s="2" t="str">
        <f>INDEX(Sheet5!$B$2:$AG$33, MATCH(Table2[[#This Row],[AwayTeam]],Sheet5!$A$2:$A$33, 0), MATCH(Table2[[#This Row],[HomeTeam]],Sheet5!$A$2:$A$33, 0))</f>
        <v>0-0-0</v>
      </c>
      <c r="AP246" s="2" t="str">
        <f>INDEX(Sheet5!$B$2:$AG$33, MATCH(Table2[[#This Row],[HomeTeam]],Sheet5!$A$2:$A$33, 0), MATCH(Table2[[#This Row],[AwayTeam]],Sheet5!$A$2:$A$33, 0))</f>
        <v>0-0-0</v>
      </c>
      <c r="AQ246" s="2">
        <f>IF(Table2[[#This Row],[GameHasShutOut]], 1, 0)</f>
        <v>0</v>
      </c>
      <c r="AR246" s="2">
        <f>IF(Table2[[#This Row],[ActualAwayScore]] + Table2[[#This Row],[ActualHomeScore]] &gt;= 10, 1, 0)</f>
        <v>0</v>
      </c>
      <c r="AS246" s="2">
        <f>IF(ABS(Table2[[#This Row],[ActualAwayScore]]-Table2[[#This Row],[ActualHomeScore]])&gt;=5, 1, 0)</f>
        <v>0</v>
      </c>
      <c r="AT246" s="2">
        <f>IF(Table2[[#This Row],[ActualAwayScore]] + Table2[[#This Row],[ActualHomeScore]] &lt;= 3, 1, 0)</f>
        <v>1</v>
      </c>
      <c r="AU246" s="2"/>
      <c r="AV246" s="2"/>
    </row>
    <row r="247" spans="1:48" x14ac:dyDescent="0.25">
      <c r="A247" s="3"/>
      <c r="B247" s="3">
        <v>45970</v>
      </c>
      <c r="C247" s="5">
        <v>2025020245</v>
      </c>
      <c r="D247" s="2" t="s">
        <v>27</v>
      </c>
      <c r="E247" s="2" t="s">
        <v>20</v>
      </c>
      <c r="F247" s="2"/>
      <c r="G247" s="2"/>
      <c r="H247" s="2" t="str">
        <f t="shared" si="19"/>
        <v>_</v>
      </c>
      <c r="I247" s="2"/>
      <c r="J247" s="2"/>
      <c r="K247" s="2"/>
      <c r="L247" s="2" t="str">
        <f t="shared" si="20"/>
        <v>_</v>
      </c>
      <c r="M247" s="2"/>
      <c r="N247" s="2">
        <f>IF(ISBLANK(Table2[[#This Row],[ActualResult]]), 0, 1)</f>
        <v>0</v>
      </c>
      <c r="O247" s="2" t="str">
        <f>IF(ISBLANK(Table2[[#This Row],[ActualResult]]), "_", IF(Table2[[#This Row],[ActualWinner]]=Table2[[#This Row],[PredictedWinner]], "Y", "N"))</f>
        <v>_</v>
      </c>
      <c r="P2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7" s="2"/>
      <c r="S247" s="2" t="str">
        <f t="shared" si="21"/>
        <v>_</v>
      </c>
      <c r="T2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7" s="2">
        <f>IF(Table2[[#This Row],[InterConf]]=1,IF(Table2[[#This Row],[InterDiv]]=0, 1, 0), 0)</f>
        <v>0</v>
      </c>
      <c r="W2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7" s="2"/>
      <c r="Y247" s="2"/>
      <c r="Z247" s="145">
        <f>IF(AND(Table2[[#This Row],[GameIsOver]]=1,Table2[[#This Row],[ActualHomeScore]]*Table2[[#This Row],[ActualAwayScore]]=0), 1,0)</f>
        <v>0</v>
      </c>
      <c r="AA2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7" s="2">
        <f>Table2[[#This Row],[ActualAwayScore]]-Table2[[#This Row],[PredictedAwayScore]]</f>
        <v>0</v>
      </c>
      <c r="AG247" s="2">
        <f>Table2[[#This Row],[ActualHomeScore]]-Table2[[#This Row],[PredictedHomeScore]]</f>
        <v>0</v>
      </c>
      <c r="AH247" s="2">
        <f t="shared" si="22"/>
        <v>0</v>
      </c>
      <c r="AI247" s="2">
        <f t="shared" si="23"/>
        <v>0</v>
      </c>
      <c r="AJ247" s="2"/>
      <c r="AK247" s="2"/>
      <c r="AL247" s="2">
        <f>IF(Table2[[#This Row],[GameIsOver]]=0,0,IF(Table2[[#This Row],[ActualWinner]]=Table2[[#This Row],[AwayTeam]], 1, 0))</f>
        <v>0</v>
      </c>
      <c r="AM247" s="2">
        <f>IF(Table2[[#This Row],[GameIsOver]]=0,0,IF(Table2[[#This Row],[ActualWinner]]=Table2[[#This Row],[HomeTeam]], 1, 0))</f>
        <v>0</v>
      </c>
      <c r="AN247" s="2">
        <f>IF(IFERROR(FIND(Table2[[#This Row],[AwayTeam]], _xlfn.TEXTJOIN(";", 1, $BD$31:$BD$40)), 0) &gt; 0, 1, 0) + IF(IFERROR(FIND(Table2[[#This Row],[HomeTeam]], _xlfn.TEXTJOIN(";", 1, $BD$31:$BD$40)), 0) &gt; 0, 1, 0)</f>
        <v>1</v>
      </c>
      <c r="AO247" s="2" t="str">
        <f>INDEX(Sheet5!$B$2:$AG$33, MATCH(Table2[[#This Row],[AwayTeam]],Sheet5!$A$2:$A$33, 0), MATCH(Table2[[#This Row],[HomeTeam]],Sheet5!$A$2:$A$33, 0))</f>
        <v>0-1-0</v>
      </c>
      <c r="AP247" s="2" t="str">
        <f>INDEX(Sheet5!$B$2:$AG$33, MATCH(Table2[[#This Row],[HomeTeam]],Sheet5!$A$2:$A$33, 0), MATCH(Table2[[#This Row],[AwayTeam]],Sheet5!$A$2:$A$33, 0))</f>
        <v>1-0-0</v>
      </c>
      <c r="AQ247" s="2">
        <f>IF(Table2[[#This Row],[GameHasShutOut]], 1, 0)</f>
        <v>0</v>
      </c>
      <c r="AR247" s="2">
        <f>IF(Table2[[#This Row],[ActualAwayScore]] + Table2[[#This Row],[ActualHomeScore]] &gt;= 10, 1, 0)</f>
        <v>0</v>
      </c>
      <c r="AS247" s="2">
        <f>IF(ABS(Table2[[#This Row],[ActualAwayScore]]-Table2[[#This Row],[ActualHomeScore]])&gt;=5, 1, 0)</f>
        <v>0</v>
      </c>
      <c r="AT247" s="2">
        <f>IF(Table2[[#This Row],[ActualAwayScore]] + Table2[[#This Row],[ActualHomeScore]] &lt;= 3, 1, 0)</f>
        <v>1</v>
      </c>
      <c r="AU247" s="2"/>
      <c r="AV247" s="2"/>
    </row>
    <row r="248" spans="1:48" x14ac:dyDescent="0.25">
      <c r="A248" s="3"/>
      <c r="B248" s="3">
        <v>45971</v>
      </c>
      <c r="C248" s="5">
        <v>2025020246</v>
      </c>
      <c r="D248" s="2" t="s">
        <v>41</v>
      </c>
      <c r="E248" s="2" t="s">
        <v>17</v>
      </c>
      <c r="F248" s="2"/>
      <c r="G248" s="2"/>
      <c r="H248" s="2" t="str">
        <f t="shared" si="19"/>
        <v>_</v>
      </c>
      <c r="I248" s="2"/>
      <c r="J248" s="2"/>
      <c r="K248" s="2"/>
      <c r="L248" s="2" t="str">
        <f t="shared" si="20"/>
        <v>_</v>
      </c>
      <c r="M248" s="2"/>
      <c r="N248" s="2">
        <f>IF(ISBLANK(Table2[[#This Row],[ActualResult]]), 0, 1)</f>
        <v>0</v>
      </c>
      <c r="O248" s="2" t="str">
        <f>IF(ISBLANK(Table2[[#This Row],[ActualResult]]), "_", IF(Table2[[#This Row],[ActualWinner]]=Table2[[#This Row],[PredictedWinner]], "Y", "N"))</f>
        <v>_</v>
      </c>
      <c r="P2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8" s="2"/>
      <c r="S248" s="2" t="str">
        <f t="shared" si="21"/>
        <v>_</v>
      </c>
      <c r="T2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8" s="2">
        <f>IF(Table2[[#This Row],[InterConf]]=1,IF(Table2[[#This Row],[InterDiv]]=0, 1, 0), 0)</f>
        <v>1</v>
      </c>
      <c r="W2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8" s="2"/>
      <c r="Y248" s="2"/>
      <c r="Z248" s="145">
        <f>IF(AND(Table2[[#This Row],[GameIsOver]]=1,Table2[[#This Row],[ActualHomeScore]]*Table2[[#This Row],[ActualAwayScore]]=0), 1,0)</f>
        <v>0</v>
      </c>
      <c r="AA2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48" s="2">
        <f>Table2[[#This Row],[ActualAwayScore]]-Table2[[#This Row],[PredictedAwayScore]]</f>
        <v>0</v>
      </c>
      <c r="AG248" s="2">
        <f>Table2[[#This Row],[ActualHomeScore]]-Table2[[#This Row],[PredictedHomeScore]]</f>
        <v>0</v>
      </c>
      <c r="AH248" s="2">
        <f t="shared" si="22"/>
        <v>0</v>
      </c>
      <c r="AI248" s="2">
        <f t="shared" si="23"/>
        <v>0</v>
      </c>
      <c r="AJ248" s="2"/>
      <c r="AK248" s="2"/>
      <c r="AL248" s="2">
        <f>IF(Table2[[#This Row],[GameIsOver]]=0,0,IF(Table2[[#This Row],[ActualWinner]]=Table2[[#This Row],[AwayTeam]], 1, 0))</f>
        <v>0</v>
      </c>
      <c r="AM248" s="2">
        <f>IF(Table2[[#This Row],[GameIsOver]]=0,0,IF(Table2[[#This Row],[ActualWinner]]=Table2[[#This Row],[HomeTeam]], 1, 0))</f>
        <v>0</v>
      </c>
      <c r="AN2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8" s="2" t="str">
        <f>INDEX(Sheet5!$B$2:$AG$33, MATCH(Table2[[#This Row],[AwayTeam]],Sheet5!$A$2:$A$33, 0), MATCH(Table2[[#This Row],[HomeTeam]],Sheet5!$A$2:$A$33, 0))</f>
        <v>0-0-0</v>
      </c>
      <c r="AP248" s="2" t="str">
        <f>INDEX(Sheet5!$B$2:$AG$33, MATCH(Table2[[#This Row],[HomeTeam]],Sheet5!$A$2:$A$33, 0), MATCH(Table2[[#This Row],[AwayTeam]],Sheet5!$A$2:$A$33, 0))</f>
        <v>0-0-0</v>
      </c>
      <c r="AQ248" s="2">
        <f>IF(Table2[[#This Row],[GameHasShutOut]], 1, 0)</f>
        <v>0</v>
      </c>
      <c r="AR248" s="2">
        <f>IF(Table2[[#This Row],[ActualAwayScore]] + Table2[[#This Row],[ActualHomeScore]] &gt;= 10, 1, 0)</f>
        <v>0</v>
      </c>
      <c r="AS248" s="2">
        <f>IF(ABS(Table2[[#This Row],[ActualAwayScore]]-Table2[[#This Row],[ActualHomeScore]])&gt;=5, 1, 0)</f>
        <v>0</v>
      </c>
      <c r="AT248" s="2">
        <f>IF(Table2[[#This Row],[ActualAwayScore]] + Table2[[#This Row],[ActualHomeScore]] &lt;= 3, 1, 0)</f>
        <v>1</v>
      </c>
      <c r="AU248" s="2"/>
      <c r="AV248" s="2"/>
    </row>
    <row r="249" spans="1:48" x14ac:dyDescent="0.25">
      <c r="A249" s="3"/>
      <c r="B249" s="3">
        <v>45971</v>
      </c>
      <c r="C249" s="5">
        <v>2025020247</v>
      </c>
      <c r="D249" s="2" t="s">
        <v>14</v>
      </c>
      <c r="E249" s="2" t="s">
        <v>29</v>
      </c>
      <c r="F249" s="2"/>
      <c r="G249" s="2"/>
      <c r="H249" s="2" t="str">
        <f t="shared" si="19"/>
        <v>_</v>
      </c>
      <c r="I249" s="2"/>
      <c r="J249" s="2"/>
      <c r="K249" s="2"/>
      <c r="L249" s="2" t="str">
        <f t="shared" si="20"/>
        <v>_</v>
      </c>
      <c r="M249" s="2"/>
      <c r="N249" s="2">
        <f>IF(ISBLANK(Table2[[#This Row],[ActualResult]]), 0, 1)</f>
        <v>0</v>
      </c>
      <c r="O249" s="2" t="str">
        <f>IF(ISBLANK(Table2[[#This Row],[ActualResult]]), "_", IF(Table2[[#This Row],[ActualWinner]]=Table2[[#This Row],[PredictedWinner]], "Y", "N"))</f>
        <v>_</v>
      </c>
      <c r="P2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9" s="2"/>
      <c r="S249" s="2" t="str">
        <f t="shared" si="21"/>
        <v>_</v>
      </c>
      <c r="T2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9" s="2">
        <f>IF(Table2[[#This Row],[InterConf]]=1,IF(Table2[[#This Row],[InterDiv]]=0, 1, 0), 0)</f>
        <v>0</v>
      </c>
      <c r="W2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9" s="2"/>
      <c r="Y249" s="2"/>
      <c r="Z249" s="145">
        <f>IF(AND(Table2[[#This Row],[GameIsOver]]=1,Table2[[#This Row],[ActualHomeScore]]*Table2[[#This Row],[ActualAwayScore]]=0), 1,0)</f>
        <v>0</v>
      </c>
      <c r="AA2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49" s="2">
        <f>Table2[[#This Row],[ActualAwayScore]]-Table2[[#This Row],[PredictedAwayScore]]</f>
        <v>0</v>
      </c>
      <c r="AG249" s="2">
        <f>Table2[[#This Row],[ActualHomeScore]]-Table2[[#This Row],[PredictedHomeScore]]</f>
        <v>0</v>
      </c>
      <c r="AH249" s="2">
        <f t="shared" si="22"/>
        <v>0</v>
      </c>
      <c r="AI249" s="2">
        <f t="shared" si="23"/>
        <v>0</v>
      </c>
      <c r="AJ249" s="2"/>
      <c r="AK249" s="2"/>
      <c r="AL249" s="2">
        <f>IF(Table2[[#This Row],[GameIsOver]]=0,0,IF(Table2[[#This Row],[ActualWinner]]=Table2[[#This Row],[AwayTeam]], 1, 0))</f>
        <v>0</v>
      </c>
      <c r="AM249" s="2">
        <f>IF(Table2[[#This Row],[GameIsOver]]=0,0,IF(Table2[[#This Row],[ActualWinner]]=Table2[[#This Row],[HomeTeam]], 1, 0))</f>
        <v>0</v>
      </c>
      <c r="AN2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9" s="2" t="str">
        <f>INDEX(Sheet5!$B$2:$AG$33, MATCH(Table2[[#This Row],[AwayTeam]],Sheet5!$A$2:$A$33, 0), MATCH(Table2[[#This Row],[HomeTeam]],Sheet5!$A$2:$A$33, 0))</f>
        <v>0-0-0</v>
      </c>
      <c r="AP249" s="2" t="str">
        <f>INDEX(Sheet5!$B$2:$AG$33, MATCH(Table2[[#This Row],[HomeTeam]],Sheet5!$A$2:$A$33, 0), MATCH(Table2[[#This Row],[AwayTeam]],Sheet5!$A$2:$A$33, 0))</f>
        <v>0-0-0</v>
      </c>
      <c r="AQ249" s="2">
        <f>IF(Table2[[#This Row],[GameHasShutOut]], 1, 0)</f>
        <v>0</v>
      </c>
      <c r="AR249" s="2">
        <f>IF(Table2[[#This Row],[ActualAwayScore]] + Table2[[#This Row],[ActualHomeScore]] &gt;= 10, 1, 0)</f>
        <v>0</v>
      </c>
      <c r="AS249" s="2">
        <f>IF(ABS(Table2[[#This Row],[ActualAwayScore]]-Table2[[#This Row],[ActualHomeScore]])&gt;=5, 1, 0)</f>
        <v>0</v>
      </c>
      <c r="AT249" s="2">
        <f>IF(Table2[[#This Row],[ActualAwayScore]] + Table2[[#This Row],[ActualHomeScore]] &lt;= 3, 1, 0)</f>
        <v>1</v>
      </c>
      <c r="AU249" s="2"/>
      <c r="AV249" s="2"/>
    </row>
    <row r="250" spans="1:48" x14ac:dyDescent="0.25">
      <c r="A250" s="3"/>
      <c r="B250" s="3">
        <v>45971</v>
      </c>
      <c r="C250" s="5">
        <v>2025020248</v>
      </c>
      <c r="D250" s="2" t="s">
        <v>11</v>
      </c>
      <c r="E250" s="2" t="s">
        <v>33</v>
      </c>
      <c r="F250" s="2"/>
      <c r="G250" s="2"/>
      <c r="H250" s="2" t="str">
        <f t="shared" si="19"/>
        <v>_</v>
      </c>
      <c r="I250" s="2"/>
      <c r="J250" s="2"/>
      <c r="K250" s="2"/>
      <c r="L250" s="2" t="str">
        <f t="shared" si="20"/>
        <v>_</v>
      </c>
      <c r="M250" s="2"/>
      <c r="N250" s="2">
        <f>IF(ISBLANK(Table2[[#This Row],[ActualResult]]), 0, 1)</f>
        <v>0</v>
      </c>
      <c r="O250" s="2" t="str">
        <f>IF(ISBLANK(Table2[[#This Row],[ActualResult]]), "_", IF(Table2[[#This Row],[ActualWinner]]=Table2[[#This Row],[PredictedWinner]], "Y", "N"))</f>
        <v>_</v>
      </c>
      <c r="P2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0" s="2"/>
      <c r="S250" s="2" t="str">
        <f t="shared" si="21"/>
        <v>_</v>
      </c>
      <c r="T2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0" s="2">
        <f>IF(Table2[[#This Row],[InterConf]]=1,IF(Table2[[#This Row],[InterDiv]]=0, 1, 0), 0)</f>
        <v>1</v>
      </c>
      <c r="W2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0" s="2"/>
      <c r="Y250" s="2"/>
      <c r="Z250" s="145">
        <f>IF(AND(Table2[[#This Row],[GameIsOver]]=1,Table2[[#This Row],[ActualHomeScore]]*Table2[[#This Row],[ActualAwayScore]]=0), 1,0)</f>
        <v>0</v>
      </c>
      <c r="AA2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0" s="2">
        <f>Table2[[#This Row],[ActualAwayScore]]-Table2[[#This Row],[PredictedAwayScore]]</f>
        <v>0</v>
      </c>
      <c r="AG250" s="2">
        <f>Table2[[#This Row],[ActualHomeScore]]-Table2[[#This Row],[PredictedHomeScore]]</f>
        <v>0</v>
      </c>
      <c r="AH250" s="2">
        <f t="shared" si="22"/>
        <v>0</v>
      </c>
      <c r="AI250" s="2">
        <f t="shared" si="23"/>
        <v>0</v>
      </c>
      <c r="AJ250" s="2"/>
      <c r="AK250" s="2"/>
      <c r="AL250" s="2">
        <f>IF(Table2[[#This Row],[GameIsOver]]=0,0,IF(Table2[[#This Row],[ActualWinner]]=Table2[[#This Row],[AwayTeam]], 1, 0))</f>
        <v>0</v>
      </c>
      <c r="AM250" s="2">
        <f>IF(Table2[[#This Row],[GameIsOver]]=0,0,IF(Table2[[#This Row],[ActualWinner]]=Table2[[#This Row],[HomeTeam]], 1, 0))</f>
        <v>0</v>
      </c>
      <c r="AN2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0" s="2" t="str">
        <f>INDEX(Sheet5!$B$2:$AG$33, MATCH(Table2[[#This Row],[AwayTeam]],Sheet5!$A$2:$A$33, 0), MATCH(Table2[[#This Row],[HomeTeam]],Sheet5!$A$2:$A$33, 0))</f>
        <v>0-0-0</v>
      </c>
      <c r="AP250" s="2" t="str">
        <f>INDEX(Sheet5!$B$2:$AG$33, MATCH(Table2[[#This Row],[HomeTeam]],Sheet5!$A$2:$A$33, 0), MATCH(Table2[[#This Row],[AwayTeam]],Sheet5!$A$2:$A$33, 0))</f>
        <v>0-0-0</v>
      </c>
      <c r="AQ250" s="2">
        <f>IF(Table2[[#This Row],[GameHasShutOut]], 1, 0)</f>
        <v>0</v>
      </c>
      <c r="AR250" s="2">
        <f>IF(Table2[[#This Row],[ActualAwayScore]] + Table2[[#This Row],[ActualHomeScore]] &gt;= 10, 1, 0)</f>
        <v>0</v>
      </c>
      <c r="AS250" s="2">
        <f>IF(ABS(Table2[[#This Row],[ActualAwayScore]]-Table2[[#This Row],[ActualHomeScore]])&gt;=5, 1, 0)</f>
        <v>0</v>
      </c>
      <c r="AT250" s="2">
        <f>IF(Table2[[#This Row],[ActualAwayScore]] + Table2[[#This Row],[ActualHomeScore]] &lt;= 3, 1, 0)</f>
        <v>1</v>
      </c>
      <c r="AU250" s="2"/>
      <c r="AV250" s="2"/>
    </row>
    <row r="251" spans="1:48" x14ac:dyDescent="0.25">
      <c r="A251" s="3"/>
      <c r="B251" s="3">
        <v>45971</v>
      </c>
      <c r="C251" s="5">
        <v>2025020249</v>
      </c>
      <c r="D251" s="2" t="s">
        <v>23</v>
      </c>
      <c r="E251" s="2" t="s">
        <v>36</v>
      </c>
      <c r="F251" s="2"/>
      <c r="G251" s="2"/>
      <c r="H251" s="2" t="str">
        <f t="shared" si="19"/>
        <v>_</v>
      </c>
      <c r="I251" s="2"/>
      <c r="J251" s="2"/>
      <c r="K251" s="2"/>
      <c r="L251" s="2" t="str">
        <f t="shared" si="20"/>
        <v>_</v>
      </c>
      <c r="M251" s="2"/>
      <c r="N251" s="2">
        <f>IF(ISBLANK(Table2[[#This Row],[ActualResult]]), 0, 1)</f>
        <v>0</v>
      </c>
      <c r="O251" s="2" t="str">
        <f>IF(ISBLANK(Table2[[#This Row],[ActualResult]]), "_", IF(Table2[[#This Row],[ActualWinner]]=Table2[[#This Row],[PredictedWinner]], "Y", "N"))</f>
        <v>_</v>
      </c>
      <c r="P2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1" s="2"/>
      <c r="S251" s="2" t="str">
        <f t="shared" si="21"/>
        <v>_</v>
      </c>
      <c r="T2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1" s="2">
        <f>IF(Table2[[#This Row],[InterConf]]=1,IF(Table2[[#This Row],[InterDiv]]=0, 1, 0), 0)</f>
        <v>1</v>
      </c>
      <c r="W2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1" s="2"/>
      <c r="Y251" s="2"/>
      <c r="Z251" s="145">
        <f>IF(AND(Table2[[#This Row],[GameIsOver]]=1,Table2[[#This Row],[ActualHomeScore]]*Table2[[#This Row],[ActualAwayScore]]=0), 1,0)</f>
        <v>0</v>
      </c>
      <c r="AA2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1" s="2">
        <f>Table2[[#This Row],[ActualAwayScore]]-Table2[[#This Row],[PredictedAwayScore]]</f>
        <v>0</v>
      </c>
      <c r="AG251" s="2">
        <f>Table2[[#This Row],[ActualHomeScore]]-Table2[[#This Row],[PredictedHomeScore]]</f>
        <v>0</v>
      </c>
      <c r="AH251" s="2">
        <f t="shared" si="22"/>
        <v>0</v>
      </c>
      <c r="AI251" s="2">
        <f t="shared" si="23"/>
        <v>0</v>
      </c>
      <c r="AJ251" s="2"/>
      <c r="AK251" s="2"/>
      <c r="AL251" s="2">
        <f>IF(Table2[[#This Row],[GameIsOver]]=0,0,IF(Table2[[#This Row],[ActualWinner]]=Table2[[#This Row],[AwayTeam]], 1, 0))</f>
        <v>0</v>
      </c>
      <c r="AM251" s="2">
        <f>IF(Table2[[#This Row],[GameIsOver]]=0,0,IF(Table2[[#This Row],[ActualWinner]]=Table2[[#This Row],[HomeTeam]], 1, 0))</f>
        <v>0</v>
      </c>
      <c r="AN2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1" s="2" t="str">
        <f>INDEX(Sheet5!$B$2:$AG$33, MATCH(Table2[[#This Row],[AwayTeam]],Sheet5!$A$2:$A$33, 0), MATCH(Table2[[#This Row],[HomeTeam]],Sheet5!$A$2:$A$33, 0))</f>
        <v>0-0-0</v>
      </c>
      <c r="AP251" s="2" t="str">
        <f>INDEX(Sheet5!$B$2:$AG$33, MATCH(Table2[[#This Row],[HomeTeam]],Sheet5!$A$2:$A$33, 0), MATCH(Table2[[#This Row],[AwayTeam]],Sheet5!$A$2:$A$33, 0))</f>
        <v>0-0-0</v>
      </c>
      <c r="AQ251" s="2">
        <f>IF(Table2[[#This Row],[GameHasShutOut]], 1, 0)</f>
        <v>0</v>
      </c>
      <c r="AR251" s="2">
        <f>IF(Table2[[#This Row],[ActualAwayScore]] + Table2[[#This Row],[ActualHomeScore]] &gt;= 10, 1, 0)</f>
        <v>0</v>
      </c>
      <c r="AS251" s="2">
        <f>IF(ABS(Table2[[#This Row],[ActualAwayScore]]-Table2[[#This Row],[ActualHomeScore]])&gt;=5, 1, 0)</f>
        <v>0</v>
      </c>
      <c r="AT251" s="2">
        <f>IF(Table2[[#This Row],[ActualAwayScore]] + Table2[[#This Row],[ActualHomeScore]] &lt;= 3, 1, 0)</f>
        <v>1</v>
      </c>
      <c r="AU251" s="2"/>
      <c r="AV251" s="2"/>
    </row>
    <row r="252" spans="1:48" x14ac:dyDescent="0.25">
      <c r="A252" s="3"/>
      <c r="B252" s="3">
        <v>45971</v>
      </c>
      <c r="C252" s="5">
        <v>2025020250</v>
      </c>
      <c r="D252" s="2" t="s">
        <v>25</v>
      </c>
      <c r="E252" s="2" t="s">
        <v>24</v>
      </c>
      <c r="F252" s="2"/>
      <c r="G252" s="2"/>
      <c r="H252" s="2" t="str">
        <f t="shared" si="19"/>
        <v>_</v>
      </c>
      <c r="I252" s="2"/>
      <c r="J252" s="2"/>
      <c r="K252" s="2"/>
      <c r="L252" s="2" t="str">
        <f t="shared" si="20"/>
        <v>_</v>
      </c>
      <c r="M252" s="2"/>
      <c r="N252" s="2">
        <f>IF(ISBLANK(Table2[[#This Row],[ActualResult]]), 0, 1)</f>
        <v>0</v>
      </c>
      <c r="O252" s="2" t="str">
        <f>IF(ISBLANK(Table2[[#This Row],[ActualResult]]), "_", IF(Table2[[#This Row],[ActualWinner]]=Table2[[#This Row],[PredictedWinner]], "Y", "N"))</f>
        <v>_</v>
      </c>
      <c r="P2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2" s="2"/>
      <c r="S252" s="2" t="str">
        <f t="shared" si="21"/>
        <v>_</v>
      </c>
      <c r="T2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2" s="2">
        <f>IF(Table2[[#This Row],[InterConf]]=1,IF(Table2[[#This Row],[InterDiv]]=0, 1, 0), 0)</f>
        <v>1</v>
      </c>
      <c r="W2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2" s="2"/>
      <c r="Y252" s="2"/>
      <c r="Z252" s="145">
        <f>IF(AND(Table2[[#This Row],[GameIsOver]]=1,Table2[[#This Row],[ActualHomeScore]]*Table2[[#This Row],[ActualAwayScore]]=0), 1,0)</f>
        <v>0</v>
      </c>
      <c r="AA2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2" s="2">
        <f>Table2[[#This Row],[ActualAwayScore]]-Table2[[#This Row],[PredictedAwayScore]]</f>
        <v>0</v>
      </c>
      <c r="AG252" s="2">
        <f>Table2[[#This Row],[ActualHomeScore]]-Table2[[#This Row],[PredictedHomeScore]]</f>
        <v>0</v>
      </c>
      <c r="AH252" s="2">
        <f t="shared" si="22"/>
        <v>0</v>
      </c>
      <c r="AI252" s="2">
        <f t="shared" si="23"/>
        <v>0</v>
      </c>
      <c r="AJ252" s="2"/>
      <c r="AK252" s="2"/>
      <c r="AL252" s="2">
        <f>IF(Table2[[#This Row],[GameIsOver]]=0,0,IF(Table2[[#This Row],[ActualWinner]]=Table2[[#This Row],[AwayTeam]], 1, 0))</f>
        <v>0</v>
      </c>
      <c r="AM252" s="2">
        <f>IF(Table2[[#This Row],[GameIsOver]]=0,0,IF(Table2[[#This Row],[ActualWinner]]=Table2[[#This Row],[HomeTeam]], 1, 0))</f>
        <v>0</v>
      </c>
      <c r="AN2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2" s="2" t="str">
        <f>INDEX(Sheet5!$B$2:$AG$33, MATCH(Table2[[#This Row],[AwayTeam]],Sheet5!$A$2:$A$33, 0), MATCH(Table2[[#This Row],[HomeTeam]],Sheet5!$A$2:$A$33, 0))</f>
        <v>0-0-0</v>
      </c>
      <c r="AP252" s="2" t="str">
        <f>INDEX(Sheet5!$B$2:$AG$33, MATCH(Table2[[#This Row],[HomeTeam]],Sheet5!$A$2:$A$33, 0), MATCH(Table2[[#This Row],[AwayTeam]],Sheet5!$A$2:$A$33, 0))</f>
        <v>0-0-0</v>
      </c>
      <c r="AQ252" s="2">
        <f>IF(Table2[[#This Row],[GameHasShutOut]], 1, 0)</f>
        <v>0</v>
      </c>
      <c r="AR252" s="2">
        <f>IF(Table2[[#This Row],[ActualAwayScore]] + Table2[[#This Row],[ActualHomeScore]] &gt;= 10, 1, 0)</f>
        <v>0</v>
      </c>
      <c r="AS252" s="2">
        <f>IF(ABS(Table2[[#This Row],[ActualAwayScore]]-Table2[[#This Row],[ActualHomeScore]])&gt;=5, 1, 0)</f>
        <v>0</v>
      </c>
      <c r="AT252" s="2">
        <f>IF(Table2[[#This Row],[ActualAwayScore]] + Table2[[#This Row],[ActualHomeScore]] &lt;= 3, 1, 0)</f>
        <v>1</v>
      </c>
      <c r="AU252" s="2"/>
      <c r="AV252" s="2"/>
    </row>
    <row r="253" spans="1:48" x14ac:dyDescent="0.25">
      <c r="A253" s="3"/>
      <c r="B253" s="3">
        <v>45971</v>
      </c>
      <c r="C253" s="5">
        <v>2025020251</v>
      </c>
      <c r="D253" s="2" t="s">
        <v>21</v>
      </c>
      <c r="E253" s="2" t="s">
        <v>44</v>
      </c>
      <c r="F253" s="2"/>
      <c r="G253" s="2"/>
      <c r="H253" s="2" t="str">
        <f t="shared" si="19"/>
        <v>_</v>
      </c>
      <c r="I253" s="2"/>
      <c r="J253" s="2"/>
      <c r="K253" s="2"/>
      <c r="L253" s="2" t="str">
        <f t="shared" si="20"/>
        <v>_</v>
      </c>
      <c r="M253" s="2"/>
      <c r="N253" s="2">
        <f>IF(ISBLANK(Table2[[#This Row],[ActualResult]]), 0, 1)</f>
        <v>0</v>
      </c>
      <c r="O253" s="2" t="str">
        <f>IF(ISBLANK(Table2[[#This Row],[ActualResult]]), "_", IF(Table2[[#This Row],[ActualWinner]]=Table2[[#This Row],[PredictedWinner]], "Y", "N"))</f>
        <v>_</v>
      </c>
      <c r="P2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3" s="2"/>
      <c r="S253" s="2" t="str">
        <f t="shared" si="21"/>
        <v>_</v>
      </c>
      <c r="T2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3" s="2">
        <f>IF(Table2[[#This Row],[InterConf]]=1,IF(Table2[[#This Row],[InterDiv]]=0, 1, 0), 0)</f>
        <v>1</v>
      </c>
      <c r="W2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3" s="2"/>
      <c r="Y253" s="2"/>
      <c r="Z253" s="145">
        <f>IF(AND(Table2[[#This Row],[GameIsOver]]=1,Table2[[#This Row],[ActualHomeScore]]*Table2[[#This Row],[ActualAwayScore]]=0), 1,0)</f>
        <v>0</v>
      </c>
      <c r="AA2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3" s="2">
        <f>Table2[[#This Row],[ActualAwayScore]]-Table2[[#This Row],[PredictedAwayScore]]</f>
        <v>0</v>
      </c>
      <c r="AG253" s="2">
        <f>Table2[[#This Row],[ActualHomeScore]]-Table2[[#This Row],[PredictedHomeScore]]</f>
        <v>0</v>
      </c>
      <c r="AH253" s="2">
        <f t="shared" si="22"/>
        <v>0</v>
      </c>
      <c r="AI253" s="2">
        <f t="shared" si="23"/>
        <v>0</v>
      </c>
      <c r="AJ253" s="2"/>
      <c r="AK253" s="2"/>
      <c r="AL253" s="2">
        <f>IF(Table2[[#This Row],[GameIsOver]]=0,0,IF(Table2[[#This Row],[ActualWinner]]=Table2[[#This Row],[AwayTeam]], 1, 0))</f>
        <v>0</v>
      </c>
      <c r="AM253" s="2">
        <f>IF(Table2[[#This Row],[GameIsOver]]=0,0,IF(Table2[[#This Row],[ActualWinner]]=Table2[[#This Row],[HomeTeam]], 1, 0))</f>
        <v>0</v>
      </c>
      <c r="AN2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3" s="2" t="str">
        <f>INDEX(Sheet5!$B$2:$AG$33, MATCH(Table2[[#This Row],[AwayTeam]],Sheet5!$A$2:$A$33, 0), MATCH(Table2[[#This Row],[HomeTeam]],Sheet5!$A$2:$A$33, 0))</f>
        <v>0-0-0</v>
      </c>
      <c r="AP253" s="2" t="str">
        <f>INDEX(Sheet5!$B$2:$AG$33, MATCH(Table2[[#This Row],[HomeTeam]],Sheet5!$A$2:$A$33, 0), MATCH(Table2[[#This Row],[AwayTeam]],Sheet5!$A$2:$A$33, 0))</f>
        <v>0-0-0</v>
      </c>
      <c r="AQ253" s="2">
        <f>IF(Table2[[#This Row],[GameHasShutOut]], 1, 0)</f>
        <v>0</v>
      </c>
      <c r="AR253" s="2">
        <f>IF(Table2[[#This Row],[ActualAwayScore]] + Table2[[#This Row],[ActualHomeScore]] &gt;= 10, 1, 0)</f>
        <v>0</v>
      </c>
      <c r="AS253" s="2">
        <f>IF(ABS(Table2[[#This Row],[ActualAwayScore]]-Table2[[#This Row],[ActualHomeScore]])&gt;=5, 1, 0)</f>
        <v>0</v>
      </c>
      <c r="AT253" s="2">
        <f>IF(Table2[[#This Row],[ActualAwayScore]] + Table2[[#This Row],[ActualHomeScore]] &lt;= 3, 1, 0)</f>
        <v>1</v>
      </c>
      <c r="AU253" s="2"/>
      <c r="AV253" s="2"/>
    </row>
    <row r="254" spans="1:48" x14ac:dyDescent="0.25">
      <c r="A254" s="3"/>
      <c r="B254" s="3">
        <v>45972</v>
      </c>
      <c r="C254" s="5">
        <v>2025020252</v>
      </c>
      <c r="D254" s="2" t="s">
        <v>32</v>
      </c>
      <c r="E254" s="2" t="s">
        <v>31</v>
      </c>
      <c r="F254" s="2"/>
      <c r="G254" s="2"/>
      <c r="H254" s="2" t="str">
        <f t="shared" si="19"/>
        <v>_</v>
      </c>
      <c r="I254" s="2"/>
      <c r="J254" s="2"/>
      <c r="K254" s="2"/>
      <c r="L254" s="2" t="str">
        <f t="shared" si="20"/>
        <v>_</v>
      </c>
      <c r="M254" s="2"/>
      <c r="N254" s="2">
        <f>IF(ISBLANK(Table2[[#This Row],[ActualResult]]), 0, 1)</f>
        <v>0</v>
      </c>
      <c r="O254" s="2" t="str">
        <f>IF(ISBLANK(Table2[[#This Row],[ActualResult]]), "_", IF(Table2[[#This Row],[ActualWinner]]=Table2[[#This Row],[PredictedWinner]], "Y", "N"))</f>
        <v>_</v>
      </c>
      <c r="P2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4" s="2"/>
      <c r="S254" s="2" t="str">
        <f t="shared" si="21"/>
        <v>_</v>
      </c>
      <c r="T2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54" s="2">
        <f>IF(Table2[[#This Row],[InterConf]]=1,IF(Table2[[#This Row],[InterDiv]]=0, 1, 0), 0)</f>
        <v>0</v>
      </c>
      <c r="W2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4" s="2"/>
      <c r="Y254" s="2"/>
      <c r="Z254" s="145">
        <f>IF(AND(Table2[[#This Row],[GameIsOver]]=1,Table2[[#This Row],[ActualHomeScore]]*Table2[[#This Row],[ActualAwayScore]]=0), 1,0)</f>
        <v>0</v>
      </c>
      <c r="AA2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4" s="2">
        <f>Table2[[#This Row],[ActualAwayScore]]-Table2[[#This Row],[PredictedAwayScore]]</f>
        <v>0</v>
      </c>
      <c r="AG254" s="2">
        <f>Table2[[#This Row],[ActualHomeScore]]-Table2[[#This Row],[PredictedHomeScore]]</f>
        <v>0</v>
      </c>
      <c r="AH254" s="2">
        <f t="shared" si="22"/>
        <v>0</v>
      </c>
      <c r="AI254" s="2">
        <f t="shared" si="23"/>
        <v>0</v>
      </c>
      <c r="AJ254" s="2"/>
      <c r="AK254" s="2"/>
      <c r="AL254" s="2">
        <f>IF(Table2[[#This Row],[GameIsOver]]=0,0,IF(Table2[[#This Row],[ActualWinner]]=Table2[[#This Row],[AwayTeam]], 1, 0))</f>
        <v>0</v>
      </c>
      <c r="AM254" s="2">
        <f>IF(Table2[[#This Row],[GameIsOver]]=0,0,IF(Table2[[#This Row],[ActualWinner]]=Table2[[#This Row],[HomeTeam]], 1, 0))</f>
        <v>0</v>
      </c>
      <c r="AN2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4" s="2" t="str">
        <f>INDEX(Sheet5!$B$2:$AG$33, MATCH(Table2[[#This Row],[AwayTeam]],Sheet5!$A$2:$A$33, 0), MATCH(Table2[[#This Row],[HomeTeam]],Sheet5!$A$2:$A$33, 0))</f>
        <v>0-0-0</v>
      </c>
      <c r="AP254" s="2" t="str">
        <f>INDEX(Sheet5!$B$2:$AG$33, MATCH(Table2[[#This Row],[HomeTeam]],Sheet5!$A$2:$A$33, 0), MATCH(Table2[[#This Row],[AwayTeam]],Sheet5!$A$2:$A$33, 0))</f>
        <v>0-0-0</v>
      </c>
      <c r="AQ254" s="2">
        <f>IF(Table2[[#This Row],[GameHasShutOut]], 1, 0)</f>
        <v>0</v>
      </c>
      <c r="AR254" s="2">
        <f>IF(Table2[[#This Row],[ActualAwayScore]] + Table2[[#This Row],[ActualHomeScore]] &gt;= 10, 1, 0)</f>
        <v>0</v>
      </c>
      <c r="AS254" s="2">
        <f>IF(ABS(Table2[[#This Row],[ActualAwayScore]]-Table2[[#This Row],[ActualHomeScore]])&gt;=5, 1, 0)</f>
        <v>0</v>
      </c>
      <c r="AT254" s="2">
        <f>IF(Table2[[#This Row],[ActualAwayScore]] + Table2[[#This Row],[ActualHomeScore]] &lt;= 3, 1, 0)</f>
        <v>1</v>
      </c>
      <c r="AU254" s="2"/>
      <c r="AV254" s="2"/>
    </row>
    <row r="255" spans="1:48" x14ac:dyDescent="0.25">
      <c r="A255" s="3"/>
      <c r="B255" s="3">
        <v>45972</v>
      </c>
      <c r="C255" s="5">
        <v>2025020253</v>
      </c>
      <c r="D255" s="2" t="s">
        <v>34</v>
      </c>
      <c r="E255" s="2" t="s">
        <v>19</v>
      </c>
      <c r="F255" s="2"/>
      <c r="G255" s="2"/>
      <c r="H255" s="2" t="str">
        <f t="shared" si="19"/>
        <v>_</v>
      </c>
      <c r="I255" s="2"/>
      <c r="J255" s="2"/>
      <c r="K255" s="2"/>
      <c r="L255" s="2" t="str">
        <f t="shared" si="20"/>
        <v>_</v>
      </c>
      <c r="M255" s="2"/>
      <c r="N255" s="2">
        <f>IF(ISBLANK(Table2[[#This Row],[ActualResult]]), 0, 1)</f>
        <v>0</v>
      </c>
      <c r="O255" s="2" t="str">
        <f>IF(ISBLANK(Table2[[#This Row],[ActualResult]]), "_", IF(Table2[[#This Row],[ActualWinner]]=Table2[[#This Row],[PredictedWinner]], "Y", "N"))</f>
        <v>_</v>
      </c>
      <c r="P2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5" s="2"/>
      <c r="S255" s="2" t="str">
        <f t="shared" si="21"/>
        <v>_</v>
      </c>
      <c r="T2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5" s="2">
        <f>IF(Table2[[#This Row],[InterConf]]=1,IF(Table2[[#This Row],[InterDiv]]=0, 1, 0), 0)</f>
        <v>0</v>
      </c>
      <c r="W2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5" s="2"/>
      <c r="Y255" s="2"/>
      <c r="Z255" s="145">
        <f>IF(AND(Table2[[#This Row],[GameIsOver]]=1,Table2[[#This Row],[ActualHomeScore]]*Table2[[#This Row],[ActualAwayScore]]=0), 1,0)</f>
        <v>0</v>
      </c>
      <c r="AA2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5" s="2">
        <f>Table2[[#This Row],[ActualAwayScore]]-Table2[[#This Row],[PredictedAwayScore]]</f>
        <v>0</v>
      </c>
      <c r="AG255" s="2">
        <f>Table2[[#This Row],[ActualHomeScore]]-Table2[[#This Row],[PredictedHomeScore]]</f>
        <v>0</v>
      </c>
      <c r="AH255" s="2">
        <f t="shared" si="22"/>
        <v>0</v>
      </c>
      <c r="AI255" s="2">
        <f t="shared" si="23"/>
        <v>0</v>
      </c>
      <c r="AJ255" s="2"/>
      <c r="AK255" s="2"/>
      <c r="AL255" s="2">
        <f>IF(Table2[[#This Row],[GameIsOver]]=0,0,IF(Table2[[#This Row],[ActualWinner]]=Table2[[#This Row],[AwayTeam]], 1, 0))</f>
        <v>0</v>
      </c>
      <c r="AM255" s="2">
        <f>IF(Table2[[#This Row],[GameIsOver]]=0,0,IF(Table2[[#This Row],[ActualWinner]]=Table2[[#This Row],[HomeTeam]], 1, 0))</f>
        <v>0</v>
      </c>
      <c r="AN2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5" s="2" t="str">
        <f>INDEX(Sheet5!$B$2:$AG$33, MATCH(Table2[[#This Row],[AwayTeam]],Sheet5!$A$2:$A$33, 0), MATCH(Table2[[#This Row],[HomeTeam]],Sheet5!$A$2:$A$33, 0))</f>
        <v>0-0-0</v>
      </c>
      <c r="AP255" s="2" t="str">
        <f>INDEX(Sheet5!$B$2:$AG$33, MATCH(Table2[[#This Row],[HomeTeam]],Sheet5!$A$2:$A$33, 0), MATCH(Table2[[#This Row],[AwayTeam]],Sheet5!$A$2:$A$33, 0))</f>
        <v>0-0-0</v>
      </c>
      <c r="AQ255" s="2">
        <f>IF(Table2[[#This Row],[GameHasShutOut]], 1, 0)</f>
        <v>0</v>
      </c>
      <c r="AR255" s="2">
        <f>IF(Table2[[#This Row],[ActualAwayScore]] + Table2[[#This Row],[ActualHomeScore]] &gt;= 10, 1, 0)</f>
        <v>0</v>
      </c>
      <c r="AS255" s="2">
        <f>IF(ABS(Table2[[#This Row],[ActualAwayScore]]-Table2[[#This Row],[ActualHomeScore]])&gt;=5, 1, 0)</f>
        <v>0</v>
      </c>
      <c r="AT255" s="2">
        <f>IF(Table2[[#This Row],[ActualAwayScore]] + Table2[[#This Row],[ActualHomeScore]] &lt;= 3, 1, 0)</f>
        <v>1</v>
      </c>
      <c r="AU255" s="2"/>
      <c r="AV255" s="2"/>
    </row>
    <row r="256" spans="1:48" x14ac:dyDescent="0.25">
      <c r="A256" s="3"/>
      <c r="B256" s="3">
        <v>45972</v>
      </c>
      <c r="C256" s="5">
        <v>2025020254</v>
      </c>
      <c r="D256" s="2" t="s">
        <v>35</v>
      </c>
      <c r="E256" s="2" t="s">
        <v>22</v>
      </c>
      <c r="F256" s="2"/>
      <c r="G256" s="2"/>
      <c r="H256" s="2" t="str">
        <f t="shared" si="19"/>
        <v>_</v>
      </c>
      <c r="I256" s="2"/>
      <c r="J256" s="2"/>
      <c r="K256" s="2"/>
      <c r="L256" s="2" t="str">
        <f t="shared" si="20"/>
        <v>_</v>
      </c>
      <c r="M256" s="2"/>
      <c r="N256" s="2">
        <f>IF(ISBLANK(Table2[[#This Row],[ActualResult]]), 0, 1)</f>
        <v>0</v>
      </c>
      <c r="O256" s="2" t="str">
        <f>IF(ISBLANK(Table2[[#This Row],[ActualResult]]), "_", IF(Table2[[#This Row],[ActualWinner]]=Table2[[#This Row],[PredictedWinner]], "Y", "N"))</f>
        <v>_</v>
      </c>
      <c r="P2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6" s="2"/>
      <c r="S256" s="2" t="str">
        <f t="shared" si="21"/>
        <v>_</v>
      </c>
      <c r="T2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6" s="2">
        <f>IF(Table2[[#This Row],[InterConf]]=1,IF(Table2[[#This Row],[InterDiv]]=0, 1, 0), 0)</f>
        <v>0</v>
      </c>
      <c r="W2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6" s="2"/>
      <c r="Y256" s="2"/>
      <c r="Z256" s="145">
        <f>IF(AND(Table2[[#This Row],[GameIsOver]]=1,Table2[[#This Row],[ActualHomeScore]]*Table2[[#This Row],[ActualAwayScore]]=0), 1,0)</f>
        <v>0</v>
      </c>
      <c r="AA2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6" s="2">
        <f>Table2[[#This Row],[ActualAwayScore]]-Table2[[#This Row],[PredictedAwayScore]]</f>
        <v>0</v>
      </c>
      <c r="AG256" s="2">
        <f>Table2[[#This Row],[ActualHomeScore]]-Table2[[#This Row],[PredictedHomeScore]]</f>
        <v>0</v>
      </c>
      <c r="AH256" s="2">
        <f t="shared" si="22"/>
        <v>0</v>
      </c>
      <c r="AI256" s="2">
        <f t="shared" si="23"/>
        <v>0</v>
      </c>
      <c r="AJ256" s="2"/>
      <c r="AK256" s="2"/>
      <c r="AL256" s="2">
        <f>IF(Table2[[#This Row],[GameIsOver]]=0,0,IF(Table2[[#This Row],[ActualWinner]]=Table2[[#This Row],[AwayTeam]], 1, 0))</f>
        <v>0</v>
      </c>
      <c r="AM256" s="2">
        <f>IF(Table2[[#This Row],[GameIsOver]]=0,0,IF(Table2[[#This Row],[ActualWinner]]=Table2[[#This Row],[HomeTeam]], 1, 0))</f>
        <v>0</v>
      </c>
      <c r="AN2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6" s="2" t="str">
        <f>INDEX(Sheet5!$B$2:$AG$33, MATCH(Table2[[#This Row],[AwayTeam]],Sheet5!$A$2:$A$33, 0), MATCH(Table2[[#This Row],[HomeTeam]],Sheet5!$A$2:$A$33, 0))</f>
        <v>0-0-0</v>
      </c>
      <c r="AP256" s="2" t="str">
        <f>INDEX(Sheet5!$B$2:$AG$33, MATCH(Table2[[#This Row],[HomeTeam]],Sheet5!$A$2:$A$33, 0), MATCH(Table2[[#This Row],[AwayTeam]],Sheet5!$A$2:$A$33, 0))</f>
        <v>0-0-0</v>
      </c>
      <c r="AQ256" s="2">
        <f>IF(Table2[[#This Row],[GameHasShutOut]], 1, 0)</f>
        <v>0</v>
      </c>
      <c r="AR256" s="2">
        <f>IF(Table2[[#This Row],[ActualAwayScore]] + Table2[[#This Row],[ActualHomeScore]] &gt;= 10, 1, 0)</f>
        <v>0</v>
      </c>
      <c r="AS256" s="2">
        <f>IF(ABS(Table2[[#This Row],[ActualAwayScore]]-Table2[[#This Row],[ActualHomeScore]])&gt;=5, 1, 0)</f>
        <v>0</v>
      </c>
      <c r="AT256" s="2">
        <f>IF(Table2[[#This Row],[ActualAwayScore]] + Table2[[#This Row],[ActualHomeScore]] &lt;= 3, 1, 0)</f>
        <v>1</v>
      </c>
      <c r="AU256" s="2"/>
      <c r="AV256" s="2"/>
    </row>
    <row r="257" spans="1:48" x14ac:dyDescent="0.25">
      <c r="A257" s="3"/>
      <c r="B257" s="3">
        <v>45972</v>
      </c>
      <c r="C257" s="5">
        <v>2025020255</v>
      </c>
      <c r="D257" s="2" t="s">
        <v>13</v>
      </c>
      <c r="E257" s="2" t="s">
        <v>26</v>
      </c>
      <c r="F257" s="2"/>
      <c r="G257" s="2"/>
      <c r="H257" s="2" t="str">
        <f t="shared" si="19"/>
        <v>_</v>
      </c>
      <c r="I257" s="2"/>
      <c r="J257" s="2"/>
      <c r="K257" s="2"/>
      <c r="L257" s="2" t="str">
        <f t="shared" si="20"/>
        <v>_</v>
      </c>
      <c r="M257" s="2"/>
      <c r="N257" s="2">
        <f>IF(ISBLANK(Table2[[#This Row],[ActualResult]]), 0, 1)</f>
        <v>0</v>
      </c>
      <c r="O257" s="2" t="str">
        <f>IF(ISBLANK(Table2[[#This Row],[ActualResult]]), "_", IF(Table2[[#This Row],[ActualWinner]]=Table2[[#This Row],[PredictedWinner]], "Y", "N"))</f>
        <v>_</v>
      </c>
      <c r="P2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7" s="2"/>
      <c r="S257" s="2" t="str">
        <f t="shared" si="21"/>
        <v>_</v>
      </c>
      <c r="T2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7" s="2">
        <f>IF(Table2[[#This Row],[InterConf]]=1,IF(Table2[[#This Row],[InterDiv]]=0, 1, 0), 0)</f>
        <v>0</v>
      </c>
      <c r="W2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7" s="2"/>
      <c r="Y257" s="2"/>
      <c r="Z257" s="145">
        <f>IF(AND(Table2[[#This Row],[GameIsOver]]=1,Table2[[#This Row],[ActualHomeScore]]*Table2[[#This Row],[ActualAwayScore]]=0), 1,0)</f>
        <v>0</v>
      </c>
      <c r="AA2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7" s="2">
        <f>Table2[[#This Row],[ActualAwayScore]]-Table2[[#This Row],[PredictedAwayScore]]</f>
        <v>0</v>
      </c>
      <c r="AG257" s="2">
        <f>Table2[[#This Row],[ActualHomeScore]]-Table2[[#This Row],[PredictedHomeScore]]</f>
        <v>0</v>
      </c>
      <c r="AH257" s="2">
        <f t="shared" si="22"/>
        <v>0</v>
      </c>
      <c r="AI257" s="2">
        <f t="shared" si="23"/>
        <v>0</v>
      </c>
      <c r="AJ257" s="2"/>
      <c r="AK257" s="2"/>
      <c r="AL257" s="2">
        <f>IF(Table2[[#This Row],[GameIsOver]]=0,0,IF(Table2[[#This Row],[ActualWinner]]=Table2[[#This Row],[AwayTeam]], 1, 0))</f>
        <v>0</v>
      </c>
      <c r="AM257" s="2">
        <f>IF(Table2[[#This Row],[GameIsOver]]=0,0,IF(Table2[[#This Row],[ActualWinner]]=Table2[[#This Row],[HomeTeam]], 1, 0))</f>
        <v>0</v>
      </c>
      <c r="AN2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7" s="2" t="str">
        <f>INDEX(Sheet5!$B$2:$AG$33, MATCH(Table2[[#This Row],[AwayTeam]],Sheet5!$A$2:$A$33, 0), MATCH(Table2[[#This Row],[HomeTeam]],Sheet5!$A$2:$A$33, 0))</f>
        <v>0-0-0</v>
      </c>
      <c r="AP257" s="2" t="str">
        <f>INDEX(Sheet5!$B$2:$AG$33, MATCH(Table2[[#This Row],[HomeTeam]],Sheet5!$A$2:$A$33, 0), MATCH(Table2[[#This Row],[AwayTeam]],Sheet5!$A$2:$A$33, 0))</f>
        <v>0-0-0</v>
      </c>
      <c r="AQ257" s="2">
        <f>IF(Table2[[#This Row],[GameHasShutOut]], 1, 0)</f>
        <v>0</v>
      </c>
      <c r="AR257" s="2">
        <f>IF(Table2[[#This Row],[ActualAwayScore]] + Table2[[#This Row],[ActualHomeScore]] &gt;= 10, 1, 0)</f>
        <v>0</v>
      </c>
      <c r="AS257" s="2">
        <f>IF(ABS(Table2[[#This Row],[ActualAwayScore]]-Table2[[#This Row],[ActualHomeScore]])&gt;=5, 1, 0)</f>
        <v>0</v>
      </c>
      <c r="AT257" s="2">
        <f>IF(Table2[[#This Row],[ActualAwayScore]] + Table2[[#This Row],[ActualHomeScore]] &lt;= 3, 1, 0)</f>
        <v>1</v>
      </c>
      <c r="AU257" s="2"/>
      <c r="AV257" s="2"/>
    </row>
    <row r="258" spans="1:48" x14ac:dyDescent="0.25">
      <c r="A258" s="3"/>
      <c r="B258" s="3">
        <v>45973</v>
      </c>
      <c r="C258" s="5">
        <v>2025020256</v>
      </c>
      <c r="D258" s="2" t="s">
        <v>17</v>
      </c>
      <c r="E258" s="2" t="s">
        <v>15</v>
      </c>
      <c r="F258" s="2"/>
      <c r="G258" s="2"/>
      <c r="H258" s="2" t="str">
        <f t="shared" si="19"/>
        <v>_</v>
      </c>
      <c r="I258" s="2"/>
      <c r="J258" s="2"/>
      <c r="K258" s="2"/>
      <c r="L258" s="2" t="str">
        <f t="shared" si="20"/>
        <v>_</v>
      </c>
      <c r="M258" s="2"/>
      <c r="N258" s="2">
        <f>IF(ISBLANK(Table2[[#This Row],[ActualResult]]), 0, 1)</f>
        <v>0</v>
      </c>
      <c r="O258" s="2" t="str">
        <f>IF(ISBLANK(Table2[[#This Row],[ActualResult]]), "_", IF(Table2[[#This Row],[ActualWinner]]=Table2[[#This Row],[PredictedWinner]], "Y", "N"))</f>
        <v>_</v>
      </c>
      <c r="P2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8" s="2"/>
      <c r="S258" s="2" t="str">
        <f t="shared" si="21"/>
        <v>_</v>
      </c>
      <c r="T2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58" s="2">
        <f>IF(Table2[[#This Row],[InterConf]]=1,IF(Table2[[#This Row],[InterDiv]]=0, 1, 0), 0)</f>
        <v>0</v>
      </c>
      <c r="W2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8" s="2"/>
      <c r="Y258" s="2"/>
      <c r="Z258" s="145">
        <f>IF(AND(Table2[[#This Row],[GameIsOver]]=1,Table2[[#This Row],[ActualHomeScore]]*Table2[[#This Row],[ActualAwayScore]]=0), 1,0)</f>
        <v>0</v>
      </c>
      <c r="AA2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58" s="2">
        <f>Table2[[#This Row],[ActualAwayScore]]-Table2[[#This Row],[PredictedAwayScore]]</f>
        <v>0</v>
      </c>
      <c r="AG258" s="2">
        <f>Table2[[#This Row],[ActualHomeScore]]-Table2[[#This Row],[PredictedHomeScore]]</f>
        <v>0</v>
      </c>
      <c r="AH258" s="2">
        <f t="shared" si="22"/>
        <v>0</v>
      </c>
      <c r="AI258" s="2">
        <f t="shared" si="23"/>
        <v>0</v>
      </c>
      <c r="AJ258" s="2"/>
      <c r="AK258" s="2"/>
      <c r="AL258" s="2">
        <f>IF(Table2[[#This Row],[GameIsOver]]=0,0,IF(Table2[[#This Row],[ActualWinner]]=Table2[[#This Row],[AwayTeam]], 1, 0))</f>
        <v>0</v>
      </c>
      <c r="AM258" s="2">
        <f>IF(Table2[[#This Row],[GameIsOver]]=0,0,IF(Table2[[#This Row],[ActualWinner]]=Table2[[#This Row],[HomeTeam]], 1, 0))</f>
        <v>0</v>
      </c>
      <c r="AN2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8" s="2" t="str">
        <f>INDEX(Sheet5!$B$2:$AG$33, MATCH(Table2[[#This Row],[AwayTeam]],Sheet5!$A$2:$A$33, 0), MATCH(Table2[[#This Row],[HomeTeam]],Sheet5!$A$2:$A$33, 0))</f>
        <v>0-0-0</v>
      </c>
      <c r="AP258" s="2" t="str">
        <f>INDEX(Sheet5!$B$2:$AG$33, MATCH(Table2[[#This Row],[HomeTeam]],Sheet5!$A$2:$A$33, 0), MATCH(Table2[[#This Row],[AwayTeam]],Sheet5!$A$2:$A$33, 0))</f>
        <v>0-0-0</v>
      </c>
      <c r="AQ258" s="2">
        <f>IF(Table2[[#This Row],[GameHasShutOut]], 1, 0)</f>
        <v>0</v>
      </c>
      <c r="AR258" s="2">
        <f>IF(Table2[[#This Row],[ActualAwayScore]] + Table2[[#This Row],[ActualHomeScore]] &gt;= 10, 1, 0)</f>
        <v>0</v>
      </c>
      <c r="AS258" s="2">
        <f>IF(ABS(Table2[[#This Row],[ActualAwayScore]]-Table2[[#This Row],[ActualHomeScore]])&gt;=5, 1, 0)</f>
        <v>0</v>
      </c>
      <c r="AT258" s="2">
        <f>IF(Table2[[#This Row],[ActualAwayScore]] + Table2[[#This Row],[ActualHomeScore]] &lt;= 3, 1, 0)</f>
        <v>1</v>
      </c>
      <c r="AU258" s="2"/>
      <c r="AV258" s="2"/>
    </row>
    <row r="259" spans="1:48" x14ac:dyDescent="0.25">
      <c r="A259" s="3"/>
      <c r="B259" s="3">
        <v>45973</v>
      </c>
      <c r="C259" s="5">
        <v>2025020257</v>
      </c>
      <c r="D259" s="2" t="s">
        <v>27</v>
      </c>
      <c r="E259" s="2" t="s">
        <v>18</v>
      </c>
      <c r="F259" s="2"/>
      <c r="G259" s="2"/>
      <c r="H259" s="2" t="str">
        <f t="shared" ref="H259:H322" si="24">IF(AND(ISBLANK($F259),ISBLANK($G259)),"_",IF($F259&gt;$G259,$D259,$E259))</f>
        <v>_</v>
      </c>
      <c r="I259" s="2"/>
      <c r="J259" s="2"/>
      <c r="K259" s="2"/>
      <c r="L259" s="2" t="str">
        <f t="shared" ref="L259:L322" si="25">IF(OR($J259=$K259,AND(ISBLANK($J259),ISBLANK($K259))),"_",IF($J259&gt;$K259,$D259,$E259))</f>
        <v>_</v>
      </c>
      <c r="M259" s="2"/>
      <c r="N259" s="2">
        <f>IF(ISBLANK(Table2[[#This Row],[ActualResult]]), 0, 1)</f>
        <v>0</v>
      </c>
      <c r="O259" s="2" t="str">
        <f>IF(ISBLANK(Table2[[#This Row],[ActualResult]]), "_", IF(Table2[[#This Row],[ActualWinner]]=Table2[[#This Row],[PredictedWinner]], "Y", "N"))</f>
        <v>_</v>
      </c>
      <c r="P2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9" s="2"/>
      <c r="S259" s="2" t="str">
        <f t="shared" ref="S259:S322" si="26">IF($L259="_", "_", IF($L259=$D259,$E259,$D259))</f>
        <v>_</v>
      </c>
      <c r="T2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9" s="2">
        <f>IF(Table2[[#This Row],[InterConf]]=1,IF(Table2[[#This Row],[InterDiv]]=0, 1, 0), 0)</f>
        <v>0</v>
      </c>
      <c r="W2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9" s="2"/>
      <c r="Y259" s="2"/>
      <c r="Z259" s="145">
        <f>IF(AND(Table2[[#This Row],[GameIsOver]]=1,Table2[[#This Row],[ActualHomeScore]]*Table2[[#This Row],[ActualAwayScore]]=0), 1,0)</f>
        <v>0</v>
      </c>
      <c r="AA2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59" s="2">
        <f>Table2[[#This Row],[ActualAwayScore]]-Table2[[#This Row],[PredictedAwayScore]]</f>
        <v>0</v>
      </c>
      <c r="AG259" s="2">
        <f>Table2[[#This Row],[ActualHomeScore]]-Table2[[#This Row],[PredictedHomeScore]]</f>
        <v>0</v>
      </c>
      <c r="AH259" s="2">
        <f t="shared" ref="AH259:AH322" si="27">SUMIF($B$3:$B$1315, $B259, $AF$3:$AF$1315)</f>
        <v>0</v>
      </c>
      <c r="AI259" s="2">
        <f t="shared" ref="AI259:AI322" si="28">SUMIF($B$3:$B$1315, $B259, $AG$3:$AG$1315)</f>
        <v>0</v>
      </c>
      <c r="AJ259" s="2"/>
      <c r="AK259" s="2"/>
      <c r="AL259" s="2">
        <f>IF(Table2[[#This Row],[GameIsOver]]=0,0,IF(Table2[[#This Row],[ActualWinner]]=Table2[[#This Row],[AwayTeam]], 1, 0))</f>
        <v>0</v>
      </c>
      <c r="AM259" s="2">
        <f>IF(Table2[[#This Row],[GameIsOver]]=0,0,IF(Table2[[#This Row],[ActualWinner]]=Table2[[#This Row],[HomeTeam]], 1, 0))</f>
        <v>0</v>
      </c>
      <c r="AN259" s="2">
        <f>IF(IFERROR(FIND(Table2[[#This Row],[AwayTeam]], _xlfn.TEXTJOIN(";", 1, $BD$31:$BD$40)), 0) &gt; 0, 1, 0) + IF(IFERROR(FIND(Table2[[#This Row],[HomeTeam]], _xlfn.TEXTJOIN(";", 1, $BD$31:$BD$40)), 0) &gt; 0, 1, 0)</f>
        <v>1</v>
      </c>
      <c r="AO259" s="2" t="str">
        <f>INDEX(Sheet5!$B$2:$AG$33, MATCH(Table2[[#This Row],[AwayTeam]],Sheet5!$A$2:$A$33, 0), MATCH(Table2[[#This Row],[HomeTeam]],Sheet5!$A$2:$A$33, 0))</f>
        <v>0-0-0</v>
      </c>
      <c r="AP259" s="2" t="str">
        <f>INDEX(Sheet5!$B$2:$AG$33, MATCH(Table2[[#This Row],[HomeTeam]],Sheet5!$A$2:$A$33, 0), MATCH(Table2[[#This Row],[AwayTeam]],Sheet5!$A$2:$A$33, 0))</f>
        <v>0-0-0</v>
      </c>
      <c r="AQ259" s="2">
        <f>IF(Table2[[#This Row],[GameHasShutOut]], 1, 0)</f>
        <v>0</v>
      </c>
      <c r="AR259" s="2">
        <f>IF(Table2[[#This Row],[ActualAwayScore]] + Table2[[#This Row],[ActualHomeScore]] &gt;= 10, 1, 0)</f>
        <v>0</v>
      </c>
      <c r="AS259" s="2">
        <f>IF(ABS(Table2[[#This Row],[ActualAwayScore]]-Table2[[#This Row],[ActualHomeScore]])&gt;=5, 1, 0)</f>
        <v>0</v>
      </c>
      <c r="AT259" s="2">
        <f>IF(Table2[[#This Row],[ActualAwayScore]] + Table2[[#This Row],[ActualHomeScore]] &lt;= 3, 1, 0)</f>
        <v>1</v>
      </c>
      <c r="AU259" s="2"/>
      <c r="AV259" s="2"/>
    </row>
    <row r="260" spans="1:48" x14ac:dyDescent="0.25">
      <c r="A260" s="3"/>
      <c r="B260" s="3">
        <v>45973</v>
      </c>
      <c r="C260" s="5">
        <v>2025020258</v>
      </c>
      <c r="D260" s="2" t="s">
        <v>33</v>
      </c>
      <c r="E260" s="2" t="s">
        <v>29</v>
      </c>
      <c r="F260" s="2"/>
      <c r="G260" s="2"/>
      <c r="H260" s="2" t="str">
        <f t="shared" si="24"/>
        <v>_</v>
      </c>
      <c r="I260" s="2"/>
      <c r="J260" s="2"/>
      <c r="K260" s="2"/>
      <c r="L260" s="2" t="str">
        <f t="shared" si="25"/>
        <v>_</v>
      </c>
      <c r="M260" s="2"/>
      <c r="N260" s="2">
        <f>IF(ISBLANK(Table2[[#This Row],[ActualResult]]), 0, 1)</f>
        <v>0</v>
      </c>
      <c r="O260" s="2" t="str">
        <f>IF(ISBLANK(Table2[[#This Row],[ActualResult]]), "_", IF(Table2[[#This Row],[ActualWinner]]=Table2[[#This Row],[PredictedWinner]], "Y", "N"))</f>
        <v>_</v>
      </c>
      <c r="P2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0" s="2"/>
      <c r="S260" s="2" t="str">
        <f t="shared" si="26"/>
        <v>_</v>
      </c>
      <c r="T2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0" s="2">
        <f>IF(Table2[[#This Row],[InterConf]]=1,IF(Table2[[#This Row],[InterDiv]]=0, 1, 0), 0)</f>
        <v>0</v>
      </c>
      <c r="W2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0" s="2"/>
      <c r="Y260" s="2"/>
      <c r="Z260" s="145">
        <f>IF(AND(Table2[[#This Row],[GameIsOver]]=1,Table2[[#This Row],[ActualHomeScore]]*Table2[[#This Row],[ActualAwayScore]]=0), 1,0)</f>
        <v>0</v>
      </c>
      <c r="AA2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0" s="2">
        <f>Table2[[#This Row],[ActualAwayScore]]-Table2[[#This Row],[PredictedAwayScore]]</f>
        <v>0</v>
      </c>
      <c r="AG260" s="2">
        <f>Table2[[#This Row],[ActualHomeScore]]-Table2[[#This Row],[PredictedHomeScore]]</f>
        <v>0</v>
      </c>
      <c r="AH260" s="2">
        <f t="shared" si="27"/>
        <v>0</v>
      </c>
      <c r="AI260" s="2">
        <f t="shared" si="28"/>
        <v>0</v>
      </c>
      <c r="AJ260" s="2"/>
      <c r="AK260" s="2"/>
      <c r="AL260" s="2">
        <f>IF(Table2[[#This Row],[GameIsOver]]=0,0,IF(Table2[[#This Row],[ActualWinner]]=Table2[[#This Row],[AwayTeam]], 1, 0))</f>
        <v>0</v>
      </c>
      <c r="AM260" s="2">
        <f>IF(Table2[[#This Row],[GameIsOver]]=0,0,IF(Table2[[#This Row],[ActualWinner]]=Table2[[#This Row],[HomeTeam]], 1, 0))</f>
        <v>0</v>
      </c>
      <c r="AN2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0" s="2" t="str">
        <f>INDEX(Sheet5!$B$2:$AG$33, MATCH(Table2[[#This Row],[AwayTeam]],Sheet5!$A$2:$A$33, 0), MATCH(Table2[[#This Row],[HomeTeam]],Sheet5!$A$2:$A$33, 0))</f>
        <v>0-0-0</v>
      </c>
      <c r="AP260" s="2" t="str">
        <f>INDEX(Sheet5!$B$2:$AG$33, MATCH(Table2[[#This Row],[HomeTeam]],Sheet5!$A$2:$A$33, 0), MATCH(Table2[[#This Row],[AwayTeam]],Sheet5!$A$2:$A$33, 0))</f>
        <v>0-0-0</v>
      </c>
      <c r="AQ260" s="2">
        <f>IF(Table2[[#This Row],[GameHasShutOut]], 1, 0)</f>
        <v>0</v>
      </c>
      <c r="AR260" s="2">
        <f>IF(Table2[[#This Row],[ActualAwayScore]] + Table2[[#This Row],[ActualHomeScore]] &gt;= 10, 1, 0)</f>
        <v>0</v>
      </c>
      <c r="AS260" s="2">
        <f>IF(ABS(Table2[[#This Row],[ActualAwayScore]]-Table2[[#This Row],[ActualHomeScore]])&gt;=5, 1, 0)</f>
        <v>0</v>
      </c>
      <c r="AT260" s="2">
        <f>IF(Table2[[#This Row],[ActualAwayScore]] + Table2[[#This Row],[ActualHomeScore]] &lt;= 3, 1, 0)</f>
        <v>1</v>
      </c>
      <c r="AU260" s="2"/>
      <c r="AV260" s="2"/>
    </row>
    <row r="261" spans="1:48" x14ac:dyDescent="0.25">
      <c r="A261" s="3"/>
      <c r="B261" s="3">
        <v>45973</v>
      </c>
      <c r="C261" s="5">
        <v>2025020259</v>
      </c>
      <c r="D261" s="2" t="s">
        <v>43</v>
      </c>
      <c r="E261" s="2" t="s">
        <v>41</v>
      </c>
      <c r="F261" s="2"/>
      <c r="G261" s="2"/>
      <c r="H261" s="2" t="str">
        <f t="shared" si="24"/>
        <v>_</v>
      </c>
      <c r="I261" s="2"/>
      <c r="J261" s="2"/>
      <c r="K261" s="2"/>
      <c r="L261" s="2" t="str">
        <f t="shared" si="25"/>
        <v>_</v>
      </c>
      <c r="M261" s="2"/>
      <c r="N261" s="2">
        <f>IF(ISBLANK(Table2[[#This Row],[ActualResult]]), 0, 1)</f>
        <v>0</v>
      </c>
      <c r="O261" s="2" t="str">
        <f>IF(ISBLANK(Table2[[#This Row],[ActualResult]]), "_", IF(Table2[[#This Row],[ActualWinner]]=Table2[[#This Row],[PredictedWinner]], "Y", "N"))</f>
        <v>_</v>
      </c>
      <c r="P2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1" s="2"/>
      <c r="S261" s="2" t="str">
        <f t="shared" si="26"/>
        <v>_</v>
      </c>
      <c r="T2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61" s="2">
        <f>IF(Table2[[#This Row],[InterConf]]=1,IF(Table2[[#This Row],[InterDiv]]=0, 1, 0), 0)</f>
        <v>0</v>
      </c>
      <c r="W2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1" s="2"/>
      <c r="Y261" s="2"/>
      <c r="Z261" s="145">
        <f>IF(AND(Table2[[#This Row],[GameIsOver]]=1,Table2[[#This Row],[ActualHomeScore]]*Table2[[#This Row],[ActualAwayScore]]=0), 1,0)</f>
        <v>0</v>
      </c>
      <c r="AA2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1" s="2">
        <f>Table2[[#This Row],[ActualAwayScore]]-Table2[[#This Row],[PredictedAwayScore]]</f>
        <v>0</v>
      </c>
      <c r="AG261" s="2">
        <f>Table2[[#This Row],[ActualHomeScore]]-Table2[[#This Row],[PredictedHomeScore]]</f>
        <v>0</v>
      </c>
      <c r="AH261" s="2">
        <f t="shared" si="27"/>
        <v>0</v>
      </c>
      <c r="AI261" s="2">
        <f t="shared" si="28"/>
        <v>0</v>
      </c>
      <c r="AJ261" s="2"/>
      <c r="AK261" s="2"/>
      <c r="AL261" s="2">
        <f>IF(Table2[[#This Row],[GameIsOver]]=0,0,IF(Table2[[#This Row],[ActualWinner]]=Table2[[#This Row],[AwayTeam]], 1, 0))</f>
        <v>0</v>
      </c>
      <c r="AM261" s="2">
        <f>IF(Table2[[#This Row],[GameIsOver]]=0,0,IF(Table2[[#This Row],[ActualWinner]]=Table2[[#This Row],[HomeTeam]], 1, 0))</f>
        <v>0</v>
      </c>
      <c r="AN2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1" s="2" t="str">
        <f>INDEX(Sheet5!$B$2:$AG$33, MATCH(Table2[[#This Row],[AwayTeam]],Sheet5!$A$2:$A$33, 0), MATCH(Table2[[#This Row],[HomeTeam]],Sheet5!$A$2:$A$33, 0))</f>
        <v>0-0-0</v>
      </c>
      <c r="AP261" s="2" t="str">
        <f>INDEX(Sheet5!$B$2:$AG$33, MATCH(Table2[[#This Row],[HomeTeam]],Sheet5!$A$2:$A$33, 0), MATCH(Table2[[#This Row],[AwayTeam]],Sheet5!$A$2:$A$33, 0))</f>
        <v>0-0-0</v>
      </c>
      <c r="AQ261" s="2">
        <f>IF(Table2[[#This Row],[GameHasShutOut]], 1, 0)</f>
        <v>0</v>
      </c>
      <c r="AR261" s="2">
        <f>IF(Table2[[#This Row],[ActualAwayScore]] + Table2[[#This Row],[ActualHomeScore]] &gt;= 10, 1, 0)</f>
        <v>0</v>
      </c>
      <c r="AS261" s="2">
        <f>IF(ABS(Table2[[#This Row],[ActualAwayScore]]-Table2[[#This Row],[ActualHomeScore]])&gt;=5, 1, 0)</f>
        <v>0</v>
      </c>
      <c r="AT261" s="2">
        <f>IF(Table2[[#This Row],[ActualAwayScore]] + Table2[[#This Row],[ActualHomeScore]] &lt;= 3, 1, 0)</f>
        <v>1</v>
      </c>
      <c r="AU261" s="2"/>
      <c r="AV261" s="2"/>
    </row>
    <row r="262" spans="1:48" x14ac:dyDescent="0.25">
      <c r="A262" s="3"/>
      <c r="B262" s="3">
        <v>45973</v>
      </c>
      <c r="C262" s="5">
        <v>2025020260</v>
      </c>
      <c r="D262" s="2" t="s">
        <v>23</v>
      </c>
      <c r="E262" s="2" t="s">
        <v>12</v>
      </c>
      <c r="F262" s="2"/>
      <c r="G262" s="2"/>
      <c r="H262" s="2" t="str">
        <f t="shared" si="24"/>
        <v>_</v>
      </c>
      <c r="I262" s="2"/>
      <c r="J262" s="2"/>
      <c r="K262" s="2"/>
      <c r="L262" s="2" t="str">
        <f t="shared" si="25"/>
        <v>_</v>
      </c>
      <c r="M262" s="2"/>
      <c r="N262" s="2">
        <f>IF(ISBLANK(Table2[[#This Row],[ActualResult]]), 0, 1)</f>
        <v>0</v>
      </c>
      <c r="O262" s="2" t="str">
        <f>IF(ISBLANK(Table2[[#This Row],[ActualResult]]), "_", IF(Table2[[#This Row],[ActualWinner]]=Table2[[#This Row],[PredictedWinner]], "Y", "N"))</f>
        <v>_</v>
      </c>
      <c r="P2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2" s="2"/>
      <c r="S262" s="2" t="str">
        <f t="shared" si="26"/>
        <v>_</v>
      </c>
      <c r="T2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2" s="2">
        <f>IF(Table2[[#This Row],[InterConf]]=1,IF(Table2[[#This Row],[InterDiv]]=0, 1, 0), 0)</f>
        <v>1</v>
      </c>
      <c r="W2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2" s="2"/>
      <c r="Y262" s="2"/>
      <c r="Z262" s="145">
        <f>IF(AND(Table2[[#This Row],[GameIsOver]]=1,Table2[[#This Row],[ActualHomeScore]]*Table2[[#This Row],[ActualAwayScore]]=0), 1,0)</f>
        <v>0</v>
      </c>
      <c r="AA2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2" s="2">
        <f>Table2[[#This Row],[ActualAwayScore]]-Table2[[#This Row],[PredictedAwayScore]]</f>
        <v>0</v>
      </c>
      <c r="AG262" s="2">
        <f>Table2[[#This Row],[ActualHomeScore]]-Table2[[#This Row],[PredictedHomeScore]]</f>
        <v>0</v>
      </c>
      <c r="AH262" s="2">
        <f t="shared" si="27"/>
        <v>0</v>
      </c>
      <c r="AI262" s="2">
        <f t="shared" si="28"/>
        <v>0</v>
      </c>
      <c r="AJ262" s="2"/>
      <c r="AK262" s="2"/>
      <c r="AL262" s="2">
        <f>IF(Table2[[#This Row],[GameIsOver]]=0,0,IF(Table2[[#This Row],[ActualWinner]]=Table2[[#This Row],[AwayTeam]], 1, 0))</f>
        <v>0</v>
      </c>
      <c r="AM262" s="2">
        <f>IF(Table2[[#This Row],[GameIsOver]]=0,0,IF(Table2[[#This Row],[ActualWinner]]=Table2[[#This Row],[HomeTeam]], 1, 0))</f>
        <v>0</v>
      </c>
      <c r="AN2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2" s="2" t="str">
        <f>INDEX(Sheet5!$B$2:$AG$33, MATCH(Table2[[#This Row],[AwayTeam]],Sheet5!$A$2:$A$33, 0), MATCH(Table2[[#This Row],[HomeTeam]],Sheet5!$A$2:$A$33, 0))</f>
        <v>0-1-0</v>
      </c>
      <c r="AP262" s="2" t="str">
        <f>INDEX(Sheet5!$B$2:$AG$33, MATCH(Table2[[#This Row],[HomeTeam]],Sheet5!$A$2:$A$33, 0), MATCH(Table2[[#This Row],[AwayTeam]],Sheet5!$A$2:$A$33, 0))</f>
        <v>1-0-0</v>
      </c>
      <c r="AQ262" s="2">
        <f>IF(Table2[[#This Row],[GameHasShutOut]], 1, 0)</f>
        <v>0</v>
      </c>
      <c r="AR262" s="2">
        <f>IF(Table2[[#This Row],[ActualAwayScore]] + Table2[[#This Row],[ActualHomeScore]] &gt;= 10, 1, 0)</f>
        <v>0</v>
      </c>
      <c r="AS262" s="2">
        <f>IF(ABS(Table2[[#This Row],[ActualAwayScore]]-Table2[[#This Row],[ActualHomeScore]])&gt;=5, 1, 0)</f>
        <v>0</v>
      </c>
      <c r="AT262" s="2">
        <f>IF(Table2[[#This Row],[ActualAwayScore]] + Table2[[#This Row],[ActualHomeScore]] &lt;= 3, 1, 0)</f>
        <v>1</v>
      </c>
      <c r="AU262" s="2"/>
      <c r="AV262" s="2"/>
    </row>
    <row r="263" spans="1:48" x14ac:dyDescent="0.25">
      <c r="A263" s="3"/>
      <c r="B263" s="3">
        <v>45973</v>
      </c>
      <c r="C263" s="5">
        <v>2025020261</v>
      </c>
      <c r="D263" s="2" t="s">
        <v>37</v>
      </c>
      <c r="E263" s="2" t="s">
        <v>36</v>
      </c>
      <c r="F263" s="2"/>
      <c r="G263" s="2"/>
      <c r="H263" s="2" t="str">
        <f t="shared" si="24"/>
        <v>_</v>
      </c>
      <c r="I263" s="2"/>
      <c r="J263" s="2"/>
      <c r="K263" s="2"/>
      <c r="L263" s="2" t="str">
        <f t="shared" si="25"/>
        <v>_</v>
      </c>
      <c r="M263" s="2"/>
      <c r="N263" s="2">
        <f>IF(ISBLANK(Table2[[#This Row],[ActualResult]]), 0, 1)</f>
        <v>0</v>
      </c>
      <c r="O263" s="2" t="str">
        <f>IF(ISBLANK(Table2[[#This Row],[ActualResult]]), "_", IF(Table2[[#This Row],[ActualWinner]]=Table2[[#This Row],[PredictedWinner]], "Y", "N"))</f>
        <v>_</v>
      </c>
      <c r="P2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3" s="2"/>
      <c r="S263" s="2" t="str">
        <f t="shared" si="26"/>
        <v>_</v>
      </c>
      <c r="T2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3" s="2">
        <f>IF(Table2[[#This Row],[InterConf]]=1,IF(Table2[[#This Row],[InterDiv]]=0, 1, 0), 0)</f>
        <v>1</v>
      </c>
      <c r="W2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3" s="2"/>
      <c r="Y263" s="2"/>
      <c r="Z263" s="145">
        <f>IF(AND(Table2[[#This Row],[GameIsOver]]=1,Table2[[#This Row],[ActualHomeScore]]*Table2[[#This Row],[ActualAwayScore]]=0), 1,0)</f>
        <v>0</v>
      </c>
      <c r="AA2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3" s="2">
        <f>Table2[[#This Row],[ActualAwayScore]]-Table2[[#This Row],[PredictedAwayScore]]</f>
        <v>0</v>
      </c>
      <c r="AG263" s="2">
        <f>Table2[[#This Row],[ActualHomeScore]]-Table2[[#This Row],[PredictedHomeScore]]</f>
        <v>0</v>
      </c>
      <c r="AH263" s="2">
        <f t="shared" si="27"/>
        <v>0</v>
      </c>
      <c r="AI263" s="2">
        <f t="shared" si="28"/>
        <v>0</v>
      </c>
      <c r="AJ263" s="2"/>
      <c r="AK263" s="2"/>
      <c r="AL263" s="2">
        <f>IF(Table2[[#This Row],[GameIsOver]]=0,0,IF(Table2[[#This Row],[ActualWinner]]=Table2[[#This Row],[AwayTeam]], 1, 0))</f>
        <v>0</v>
      </c>
      <c r="AM263" s="2">
        <f>IF(Table2[[#This Row],[GameIsOver]]=0,0,IF(Table2[[#This Row],[ActualWinner]]=Table2[[#This Row],[HomeTeam]], 1, 0))</f>
        <v>0</v>
      </c>
      <c r="AN2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3" s="2" t="str">
        <f>INDEX(Sheet5!$B$2:$AG$33, MATCH(Table2[[#This Row],[AwayTeam]],Sheet5!$A$2:$A$33, 0), MATCH(Table2[[#This Row],[HomeTeam]],Sheet5!$A$2:$A$33, 0))</f>
        <v>0-0-0</v>
      </c>
      <c r="AP263" s="2" t="str">
        <f>INDEX(Sheet5!$B$2:$AG$33, MATCH(Table2[[#This Row],[HomeTeam]],Sheet5!$A$2:$A$33, 0), MATCH(Table2[[#This Row],[AwayTeam]],Sheet5!$A$2:$A$33, 0))</f>
        <v>0-0-0</v>
      </c>
      <c r="AQ263" s="2">
        <f>IF(Table2[[#This Row],[GameHasShutOut]], 1, 0)</f>
        <v>0</v>
      </c>
      <c r="AR263" s="2">
        <f>IF(Table2[[#This Row],[ActualAwayScore]] + Table2[[#This Row],[ActualHomeScore]] &gt;= 10, 1, 0)</f>
        <v>0</v>
      </c>
      <c r="AS263" s="2">
        <f>IF(ABS(Table2[[#This Row],[ActualAwayScore]]-Table2[[#This Row],[ActualHomeScore]])&gt;=5, 1, 0)</f>
        <v>0</v>
      </c>
      <c r="AT263" s="2">
        <f>IF(Table2[[#This Row],[ActualAwayScore]] + Table2[[#This Row],[ActualHomeScore]] &lt;= 3, 1, 0)</f>
        <v>1</v>
      </c>
      <c r="AU263" s="2"/>
      <c r="AV263" s="2"/>
    </row>
    <row r="264" spans="1:48" x14ac:dyDescent="0.25">
      <c r="A264" s="3"/>
      <c r="B264" s="3">
        <v>45973</v>
      </c>
      <c r="C264" s="5">
        <v>2025020262</v>
      </c>
      <c r="D264" s="2" t="s">
        <v>44</v>
      </c>
      <c r="E264" s="2" t="s">
        <v>25</v>
      </c>
      <c r="F264" s="2"/>
      <c r="G264" s="2"/>
      <c r="H264" s="2" t="str">
        <f t="shared" si="24"/>
        <v>_</v>
      </c>
      <c r="I264" s="2"/>
      <c r="J264" s="2"/>
      <c r="K264" s="2"/>
      <c r="L264" s="2" t="str">
        <f t="shared" si="25"/>
        <v>_</v>
      </c>
      <c r="M264" s="2"/>
      <c r="N264" s="2">
        <f>IF(ISBLANK(Table2[[#This Row],[ActualResult]]), 0, 1)</f>
        <v>0</v>
      </c>
      <c r="O264" s="2" t="str">
        <f>IF(ISBLANK(Table2[[#This Row],[ActualResult]]), "_", IF(Table2[[#This Row],[ActualWinner]]=Table2[[#This Row],[PredictedWinner]], "Y", "N"))</f>
        <v>_</v>
      </c>
      <c r="P2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4" s="2"/>
      <c r="S264" s="2" t="str">
        <f t="shared" si="26"/>
        <v>_</v>
      </c>
      <c r="T2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4" s="2">
        <f>IF(Table2[[#This Row],[InterConf]]=1,IF(Table2[[#This Row],[InterDiv]]=0, 1, 0), 0)</f>
        <v>1</v>
      </c>
      <c r="W2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4" s="2"/>
      <c r="Y264" s="2"/>
      <c r="Z264" s="145">
        <f>IF(AND(Table2[[#This Row],[GameIsOver]]=1,Table2[[#This Row],[ActualHomeScore]]*Table2[[#This Row],[ActualAwayScore]]=0), 1,0)</f>
        <v>0</v>
      </c>
      <c r="AA2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4" s="2">
        <f>Table2[[#This Row],[ActualAwayScore]]-Table2[[#This Row],[PredictedAwayScore]]</f>
        <v>0</v>
      </c>
      <c r="AG264" s="2">
        <f>Table2[[#This Row],[ActualHomeScore]]-Table2[[#This Row],[PredictedHomeScore]]</f>
        <v>0</v>
      </c>
      <c r="AH264" s="2">
        <f t="shared" si="27"/>
        <v>0</v>
      </c>
      <c r="AI264" s="2">
        <f t="shared" si="28"/>
        <v>0</v>
      </c>
      <c r="AJ264" s="2"/>
      <c r="AK264" s="2"/>
      <c r="AL264" s="2">
        <f>IF(Table2[[#This Row],[GameIsOver]]=0,0,IF(Table2[[#This Row],[ActualWinner]]=Table2[[#This Row],[AwayTeam]], 1, 0))</f>
        <v>0</v>
      </c>
      <c r="AM264" s="2">
        <f>IF(Table2[[#This Row],[GameIsOver]]=0,0,IF(Table2[[#This Row],[ActualWinner]]=Table2[[#This Row],[HomeTeam]], 1, 0))</f>
        <v>0</v>
      </c>
      <c r="AN2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4" s="2" t="str">
        <f>INDEX(Sheet5!$B$2:$AG$33, MATCH(Table2[[#This Row],[AwayTeam]],Sheet5!$A$2:$A$33, 0), MATCH(Table2[[#This Row],[HomeTeam]],Sheet5!$A$2:$A$33, 0))</f>
        <v>0-0-0</v>
      </c>
      <c r="AP264" s="2" t="str">
        <f>INDEX(Sheet5!$B$2:$AG$33, MATCH(Table2[[#This Row],[HomeTeam]],Sheet5!$A$2:$A$33, 0), MATCH(Table2[[#This Row],[AwayTeam]],Sheet5!$A$2:$A$33, 0))</f>
        <v>0-0-0</v>
      </c>
      <c r="AQ264" s="2">
        <f>IF(Table2[[#This Row],[GameHasShutOut]], 1, 0)</f>
        <v>0</v>
      </c>
      <c r="AR264" s="2">
        <f>IF(Table2[[#This Row],[ActualAwayScore]] + Table2[[#This Row],[ActualHomeScore]] &gt;= 10, 1, 0)</f>
        <v>0</v>
      </c>
      <c r="AS264" s="2">
        <f>IF(ABS(Table2[[#This Row],[ActualAwayScore]]-Table2[[#This Row],[ActualHomeScore]])&gt;=5, 1, 0)</f>
        <v>0</v>
      </c>
      <c r="AT264" s="2">
        <f>IF(Table2[[#This Row],[ActualAwayScore]] + Table2[[#This Row],[ActualHomeScore]] &lt;= 3, 1, 0)</f>
        <v>1</v>
      </c>
      <c r="AU264" s="2"/>
      <c r="AV264" s="2"/>
    </row>
    <row r="265" spans="1:48" x14ac:dyDescent="0.25">
      <c r="A265" s="3"/>
      <c r="B265" s="3">
        <v>45973</v>
      </c>
      <c r="C265" s="5">
        <v>2025020263</v>
      </c>
      <c r="D265" s="2" t="s">
        <v>21</v>
      </c>
      <c r="E265" s="2" t="s">
        <v>24</v>
      </c>
      <c r="F265" s="2"/>
      <c r="G265" s="2"/>
      <c r="H265" s="2" t="str">
        <f t="shared" si="24"/>
        <v>_</v>
      </c>
      <c r="I265" s="2"/>
      <c r="J265" s="2"/>
      <c r="K265" s="2"/>
      <c r="L265" s="2" t="str">
        <f t="shared" si="25"/>
        <v>_</v>
      </c>
      <c r="M265" s="2"/>
      <c r="N265" s="2">
        <f>IF(ISBLANK(Table2[[#This Row],[ActualResult]]), 0, 1)</f>
        <v>0</v>
      </c>
      <c r="O265" s="2" t="str">
        <f>IF(ISBLANK(Table2[[#This Row],[ActualResult]]), "_", IF(Table2[[#This Row],[ActualWinner]]=Table2[[#This Row],[PredictedWinner]], "Y", "N"))</f>
        <v>_</v>
      </c>
      <c r="P2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5" s="2"/>
      <c r="S265" s="2" t="str">
        <f t="shared" si="26"/>
        <v>_</v>
      </c>
      <c r="T2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5" s="2">
        <f>IF(Table2[[#This Row],[InterConf]]=1,IF(Table2[[#This Row],[InterDiv]]=0, 1, 0), 0)</f>
        <v>1</v>
      </c>
      <c r="W2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5" s="2"/>
      <c r="Y265" s="2"/>
      <c r="Z265" s="145">
        <f>IF(AND(Table2[[#This Row],[GameIsOver]]=1,Table2[[#This Row],[ActualHomeScore]]*Table2[[#This Row],[ActualAwayScore]]=0), 1,0)</f>
        <v>0</v>
      </c>
      <c r="AA2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5" s="2">
        <f>Table2[[#This Row],[ActualAwayScore]]-Table2[[#This Row],[PredictedAwayScore]]</f>
        <v>0</v>
      </c>
      <c r="AG265" s="2">
        <f>Table2[[#This Row],[ActualHomeScore]]-Table2[[#This Row],[PredictedHomeScore]]</f>
        <v>0</v>
      </c>
      <c r="AH265" s="2">
        <f t="shared" si="27"/>
        <v>0</v>
      </c>
      <c r="AI265" s="2">
        <f t="shared" si="28"/>
        <v>0</v>
      </c>
      <c r="AJ265" s="2"/>
      <c r="AK265" s="2"/>
      <c r="AL265" s="2">
        <f>IF(Table2[[#This Row],[GameIsOver]]=0,0,IF(Table2[[#This Row],[ActualWinner]]=Table2[[#This Row],[AwayTeam]], 1, 0))</f>
        <v>0</v>
      </c>
      <c r="AM265" s="2">
        <f>IF(Table2[[#This Row],[GameIsOver]]=0,0,IF(Table2[[#This Row],[ActualWinner]]=Table2[[#This Row],[HomeTeam]], 1, 0))</f>
        <v>0</v>
      </c>
      <c r="AN2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5" s="2" t="str">
        <f>INDEX(Sheet5!$B$2:$AG$33, MATCH(Table2[[#This Row],[AwayTeam]],Sheet5!$A$2:$A$33, 0), MATCH(Table2[[#This Row],[HomeTeam]],Sheet5!$A$2:$A$33, 0))</f>
        <v>0-0-0</v>
      </c>
      <c r="AP265" s="2" t="str">
        <f>INDEX(Sheet5!$B$2:$AG$33, MATCH(Table2[[#This Row],[HomeTeam]],Sheet5!$A$2:$A$33, 0), MATCH(Table2[[#This Row],[AwayTeam]],Sheet5!$A$2:$A$33, 0))</f>
        <v>0-0-0</v>
      </c>
      <c r="AQ265" s="2">
        <f>IF(Table2[[#This Row],[GameHasShutOut]], 1, 0)</f>
        <v>0</v>
      </c>
      <c r="AR265" s="2">
        <f>IF(Table2[[#This Row],[ActualAwayScore]] + Table2[[#This Row],[ActualHomeScore]] &gt;= 10, 1, 0)</f>
        <v>0</v>
      </c>
      <c r="AS265" s="2">
        <f>IF(ABS(Table2[[#This Row],[ActualAwayScore]]-Table2[[#This Row],[ActualHomeScore]])&gt;=5, 1, 0)</f>
        <v>0</v>
      </c>
      <c r="AT265" s="2">
        <f>IF(Table2[[#This Row],[ActualAwayScore]] + Table2[[#This Row],[ActualHomeScore]] &lt;= 3, 1, 0)</f>
        <v>1</v>
      </c>
      <c r="AU265" s="2"/>
      <c r="AV265" s="2"/>
    </row>
    <row r="266" spans="1:48" x14ac:dyDescent="0.25">
      <c r="A266" s="3"/>
      <c r="B266" s="3">
        <v>45973</v>
      </c>
      <c r="C266" s="5">
        <v>2025020264</v>
      </c>
      <c r="D266" s="2" t="s">
        <v>35</v>
      </c>
      <c r="E266" s="2" t="s">
        <v>11</v>
      </c>
      <c r="F266" s="2"/>
      <c r="G266" s="2"/>
      <c r="H266" s="2" t="str">
        <f t="shared" si="24"/>
        <v>_</v>
      </c>
      <c r="I266" s="2"/>
      <c r="J266" s="2"/>
      <c r="K266" s="2"/>
      <c r="L266" s="2" t="str">
        <f t="shared" si="25"/>
        <v>_</v>
      </c>
      <c r="M266" s="2"/>
      <c r="N266" s="2">
        <f>IF(ISBLANK(Table2[[#This Row],[ActualResult]]), 0, 1)</f>
        <v>0</v>
      </c>
      <c r="O266" s="2" t="str">
        <f>IF(ISBLANK(Table2[[#This Row],[ActualResult]]), "_", IF(Table2[[#This Row],[ActualWinner]]=Table2[[#This Row],[PredictedWinner]], "Y", "N"))</f>
        <v>_</v>
      </c>
      <c r="P2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6" s="2"/>
      <c r="S266" s="2" t="str">
        <f t="shared" si="26"/>
        <v>_</v>
      </c>
      <c r="T2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6" s="2">
        <f>IF(Table2[[#This Row],[InterConf]]=1,IF(Table2[[#This Row],[InterDiv]]=0, 1, 0), 0)</f>
        <v>0</v>
      </c>
      <c r="W2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6" s="2"/>
      <c r="Y266" s="2"/>
      <c r="Z266" s="145">
        <f>IF(AND(Table2[[#This Row],[GameIsOver]]=1,Table2[[#This Row],[ActualHomeScore]]*Table2[[#This Row],[ActualAwayScore]]=0), 1,0)</f>
        <v>0</v>
      </c>
      <c r="AA2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6" s="2">
        <f>Table2[[#This Row],[ActualAwayScore]]-Table2[[#This Row],[PredictedAwayScore]]</f>
        <v>0</v>
      </c>
      <c r="AG266" s="2">
        <f>Table2[[#This Row],[ActualHomeScore]]-Table2[[#This Row],[PredictedHomeScore]]</f>
        <v>0</v>
      </c>
      <c r="AH266" s="2">
        <f t="shared" si="27"/>
        <v>0</v>
      </c>
      <c r="AI266" s="2">
        <f t="shared" si="28"/>
        <v>0</v>
      </c>
      <c r="AJ266" s="2"/>
      <c r="AK266" s="2"/>
      <c r="AL266" s="2">
        <f>IF(Table2[[#This Row],[GameIsOver]]=0,0,IF(Table2[[#This Row],[ActualWinner]]=Table2[[#This Row],[AwayTeam]], 1, 0))</f>
        <v>0</v>
      </c>
      <c r="AM266" s="2">
        <f>IF(Table2[[#This Row],[GameIsOver]]=0,0,IF(Table2[[#This Row],[ActualWinner]]=Table2[[#This Row],[HomeTeam]], 1, 0))</f>
        <v>0</v>
      </c>
      <c r="AN2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6" s="2" t="str">
        <f>INDEX(Sheet5!$B$2:$AG$33, MATCH(Table2[[#This Row],[AwayTeam]],Sheet5!$A$2:$A$33, 0), MATCH(Table2[[#This Row],[HomeTeam]],Sheet5!$A$2:$A$33, 0))</f>
        <v>0-0-0</v>
      </c>
      <c r="AP266" s="2" t="str">
        <f>INDEX(Sheet5!$B$2:$AG$33, MATCH(Table2[[#This Row],[HomeTeam]],Sheet5!$A$2:$A$33, 0), MATCH(Table2[[#This Row],[AwayTeam]],Sheet5!$A$2:$A$33, 0))</f>
        <v>0-0-0</v>
      </c>
      <c r="AQ266" s="2">
        <f>IF(Table2[[#This Row],[GameHasShutOut]], 1, 0)</f>
        <v>0</v>
      </c>
      <c r="AR266" s="2">
        <f>IF(Table2[[#This Row],[ActualAwayScore]] + Table2[[#This Row],[ActualHomeScore]] &gt;= 10, 1, 0)</f>
        <v>0</v>
      </c>
      <c r="AS266" s="2">
        <f>IF(ABS(Table2[[#This Row],[ActualAwayScore]]-Table2[[#This Row],[ActualHomeScore]])&gt;=5, 1, 0)</f>
        <v>0</v>
      </c>
      <c r="AT266" s="2">
        <f>IF(Table2[[#This Row],[ActualAwayScore]] + Table2[[#This Row],[ActualHomeScore]] &lt;= 3, 1, 0)</f>
        <v>1</v>
      </c>
      <c r="AU266" s="2"/>
      <c r="AV266" s="2"/>
    </row>
    <row r="267" spans="1:48" x14ac:dyDescent="0.25">
      <c r="A267" s="3"/>
      <c r="B267" s="3">
        <v>45974</v>
      </c>
      <c r="C267" s="5">
        <v>2025020265</v>
      </c>
      <c r="D267" s="2" t="s">
        <v>19</v>
      </c>
      <c r="E267" s="2" t="s">
        <v>40</v>
      </c>
      <c r="F267" s="2"/>
      <c r="G267" s="2"/>
      <c r="H267" s="2" t="str">
        <f t="shared" si="24"/>
        <v>_</v>
      </c>
      <c r="I267" s="2"/>
      <c r="J267" s="2"/>
      <c r="K267" s="2"/>
      <c r="L267" s="2" t="str">
        <f t="shared" si="25"/>
        <v>_</v>
      </c>
      <c r="M267" s="2"/>
      <c r="N267" s="2">
        <f>IF(ISBLANK(Table2[[#This Row],[ActualResult]]), 0, 1)</f>
        <v>0</v>
      </c>
      <c r="O267" s="2" t="str">
        <f>IF(ISBLANK(Table2[[#This Row],[ActualResult]]), "_", IF(Table2[[#This Row],[ActualWinner]]=Table2[[#This Row],[PredictedWinner]], "Y", "N"))</f>
        <v>_</v>
      </c>
      <c r="P2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7" s="2"/>
      <c r="S267" s="2" t="str">
        <f t="shared" si="26"/>
        <v>_</v>
      </c>
      <c r="T2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7" s="2">
        <f>IF(Table2[[#This Row],[InterConf]]=1,IF(Table2[[#This Row],[InterDiv]]=0, 1, 0), 0)</f>
        <v>1</v>
      </c>
      <c r="W2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7" s="2"/>
      <c r="Y267" s="2"/>
      <c r="Z267" s="145">
        <f>IF(AND(Table2[[#This Row],[GameIsOver]]=1,Table2[[#This Row],[ActualHomeScore]]*Table2[[#This Row],[ActualAwayScore]]=0), 1,0)</f>
        <v>0</v>
      </c>
      <c r="AA2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67" s="2">
        <f>Table2[[#This Row],[ActualAwayScore]]-Table2[[#This Row],[PredictedAwayScore]]</f>
        <v>0</v>
      </c>
      <c r="AG267" s="2">
        <f>Table2[[#This Row],[ActualHomeScore]]-Table2[[#This Row],[PredictedHomeScore]]</f>
        <v>0</v>
      </c>
      <c r="AH267" s="2">
        <f t="shared" si="27"/>
        <v>0</v>
      </c>
      <c r="AI267" s="2">
        <f t="shared" si="28"/>
        <v>0</v>
      </c>
      <c r="AJ267" s="2"/>
      <c r="AK267" s="2"/>
      <c r="AL267" s="2">
        <f>IF(Table2[[#This Row],[GameIsOver]]=0,0,IF(Table2[[#This Row],[ActualWinner]]=Table2[[#This Row],[AwayTeam]], 1, 0))</f>
        <v>0</v>
      </c>
      <c r="AM267" s="2">
        <f>IF(Table2[[#This Row],[GameIsOver]]=0,0,IF(Table2[[#This Row],[ActualWinner]]=Table2[[#This Row],[HomeTeam]], 1, 0))</f>
        <v>0</v>
      </c>
      <c r="AN2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7" s="2" t="str">
        <f>INDEX(Sheet5!$B$2:$AG$33, MATCH(Table2[[#This Row],[AwayTeam]],Sheet5!$A$2:$A$33, 0), MATCH(Table2[[#This Row],[HomeTeam]],Sheet5!$A$2:$A$33, 0))</f>
        <v>0-0-0</v>
      </c>
      <c r="AP267" s="2" t="str">
        <f>INDEX(Sheet5!$B$2:$AG$33, MATCH(Table2[[#This Row],[HomeTeam]],Sheet5!$A$2:$A$33, 0), MATCH(Table2[[#This Row],[AwayTeam]],Sheet5!$A$2:$A$33, 0))</f>
        <v>0-0-0</v>
      </c>
      <c r="AQ267" s="2">
        <f>IF(Table2[[#This Row],[GameHasShutOut]], 1, 0)</f>
        <v>0</v>
      </c>
      <c r="AR267" s="2">
        <f>IF(Table2[[#This Row],[ActualAwayScore]] + Table2[[#This Row],[ActualHomeScore]] &gt;= 10, 1, 0)</f>
        <v>0</v>
      </c>
      <c r="AS267" s="2">
        <f>IF(ABS(Table2[[#This Row],[ActualAwayScore]]-Table2[[#This Row],[ActualHomeScore]])&gt;=5, 1, 0)</f>
        <v>0</v>
      </c>
      <c r="AT267" s="2">
        <f>IF(Table2[[#This Row],[ActualAwayScore]] + Table2[[#This Row],[ActualHomeScore]] &lt;= 3, 1, 0)</f>
        <v>1</v>
      </c>
      <c r="AU267" s="2"/>
      <c r="AV267" s="2"/>
    </row>
    <row r="268" spans="1:48" x14ac:dyDescent="0.25">
      <c r="A268" s="3"/>
      <c r="B268" s="3">
        <v>45974</v>
      </c>
      <c r="C268" s="5">
        <v>2025020266</v>
      </c>
      <c r="D268" s="2" t="s">
        <v>22</v>
      </c>
      <c r="E268" s="2" t="s">
        <v>42</v>
      </c>
      <c r="F268" s="2"/>
      <c r="G268" s="2"/>
      <c r="H268" s="2" t="str">
        <f t="shared" si="24"/>
        <v>_</v>
      </c>
      <c r="I268" s="2"/>
      <c r="J268" s="2"/>
      <c r="K268" s="2"/>
      <c r="L268" s="2" t="str">
        <f t="shared" si="25"/>
        <v>_</v>
      </c>
      <c r="M268" s="2"/>
      <c r="N268" s="2">
        <f>IF(ISBLANK(Table2[[#This Row],[ActualResult]]), 0, 1)</f>
        <v>0</v>
      </c>
      <c r="O268" s="2" t="str">
        <f>IF(ISBLANK(Table2[[#This Row],[ActualResult]]), "_", IF(Table2[[#This Row],[ActualWinner]]=Table2[[#This Row],[PredictedWinner]], "Y", "N"))</f>
        <v>_</v>
      </c>
      <c r="P2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8" s="2"/>
      <c r="S268" s="2" t="str">
        <f t="shared" si="26"/>
        <v>_</v>
      </c>
      <c r="T2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8" s="2">
        <f>IF(Table2[[#This Row],[InterConf]]=1,IF(Table2[[#This Row],[InterDiv]]=0, 1, 0), 0)</f>
        <v>0</v>
      </c>
      <c r="W2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8" s="2"/>
      <c r="Y268" s="2"/>
      <c r="Z268" s="145">
        <f>IF(AND(Table2[[#This Row],[GameIsOver]]=1,Table2[[#This Row],[ActualHomeScore]]*Table2[[#This Row],[ActualAwayScore]]=0), 1,0)</f>
        <v>0</v>
      </c>
      <c r="AA2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68" s="2">
        <f>Table2[[#This Row],[ActualAwayScore]]-Table2[[#This Row],[PredictedAwayScore]]</f>
        <v>0</v>
      </c>
      <c r="AG268" s="2">
        <f>Table2[[#This Row],[ActualHomeScore]]-Table2[[#This Row],[PredictedHomeScore]]</f>
        <v>0</v>
      </c>
      <c r="AH268" s="2">
        <f t="shared" si="27"/>
        <v>0</v>
      </c>
      <c r="AI268" s="2">
        <f t="shared" si="28"/>
        <v>0</v>
      </c>
      <c r="AJ268" s="2"/>
      <c r="AK268" s="2"/>
      <c r="AL268" s="2">
        <f>IF(Table2[[#This Row],[GameIsOver]]=0,0,IF(Table2[[#This Row],[ActualWinner]]=Table2[[#This Row],[AwayTeam]], 1, 0))</f>
        <v>0</v>
      </c>
      <c r="AM268" s="2">
        <f>IF(Table2[[#This Row],[GameIsOver]]=0,0,IF(Table2[[#This Row],[ActualWinner]]=Table2[[#This Row],[HomeTeam]], 1, 0))</f>
        <v>0</v>
      </c>
      <c r="AN2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8" s="2" t="str">
        <f>INDEX(Sheet5!$B$2:$AG$33, MATCH(Table2[[#This Row],[AwayTeam]],Sheet5!$A$2:$A$33, 0), MATCH(Table2[[#This Row],[HomeTeam]],Sheet5!$A$2:$A$33, 0))</f>
        <v>0-0-0</v>
      </c>
      <c r="AP268" s="2" t="str">
        <f>INDEX(Sheet5!$B$2:$AG$33, MATCH(Table2[[#This Row],[HomeTeam]],Sheet5!$A$2:$A$33, 0), MATCH(Table2[[#This Row],[AwayTeam]],Sheet5!$A$2:$A$33, 0))</f>
        <v>0-0-0</v>
      </c>
      <c r="AQ268" s="2">
        <f>IF(Table2[[#This Row],[GameHasShutOut]], 1, 0)</f>
        <v>0</v>
      </c>
      <c r="AR268" s="2">
        <f>IF(Table2[[#This Row],[ActualAwayScore]] + Table2[[#This Row],[ActualHomeScore]] &gt;= 10, 1, 0)</f>
        <v>0</v>
      </c>
      <c r="AS268" s="2">
        <f>IF(ABS(Table2[[#This Row],[ActualAwayScore]]-Table2[[#This Row],[ActualHomeScore]])&gt;=5, 1, 0)</f>
        <v>0</v>
      </c>
      <c r="AT268" s="2">
        <f>IF(Table2[[#This Row],[ActualAwayScore]] + Table2[[#This Row],[ActualHomeScore]] &lt;= 3, 1, 0)</f>
        <v>1</v>
      </c>
      <c r="AU268" s="2"/>
      <c r="AV268" s="2"/>
    </row>
    <row r="269" spans="1:48" x14ac:dyDescent="0.25">
      <c r="A269" s="3"/>
      <c r="B269" s="3">
        <v>45974</v>
      </c>
      <c r="C269" s="5">
        <v>2025020267</v>
      </c>
      <c r="D269" s="2" t="s">
        <v>28</v>
      </c>
      <c r="E269" s="2" t="s">
        <v>14</v>
      </c>
      <c r="F269" s="2"/>
      <c r="G269" s="2"/>
      <c r="H269" s="2" t="str">
        <f t="shared" si="24"/>
        <v>_</v>
      </c>
      <c r="I269" s="2"/>
      <c r="J269" s="2"/>
      <c r="K269" s="2"/>
      <c r="L269" s="2" t="str">
        <f t="shared" si="25"/>
        <v>_</v>
      </c>
      <c r="M269" s="2"/>
      <c r="N269" s="2">
        <f>IF(ISBLANK(Table2[[#This Row],[ActualResult]]), 0, 1)</f>
        <v>0</v>
      </c>
      <c r="O269" s="2" t="str">
        <f>IF(ISBLANK(Table2[[#This Row],[ActualResult]]), "_", IF(Table2[[#This Row],[ActualWinner]]=Table2[[#This Row],[PredictedWinner]], "Y", "N"))</f>
        <v>_</v>
      </c>
      <c r="P2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9" s="2"/>
      <c r="S269" s="2" t="str">
        <f t="shared" si="26"/>
        <v>_</v>
      </c>
      <c r="T2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9" s="2">
        <f>IF(Table2[[#This Row],[InterConf]]=1,IF(Table2[[#This Row],[InterDiv]]=0, 1, 0), 0)</f>
        <v>0</v>
      </c>
      <c r="W2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9" s="2"/>
      <c r="Y269" s="2"/>
      <c r="Z269" s="145">
        <f>IF(AND(Table2[[#This Row],[GameIsOver]]=1,Table2[[#This Row],[ActualHomeScore]]*Table2[[#This Row],[ActualAwayScore]]=0), 1,0)</f>
        <v>0</v>
      </c>
      <c r="AA2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69" s="2">
        <f>Table2[[#This Row],[ActualAwayScore]]-Table2[[#This Row],[PredictedAwayScore]]</f>
        <v>0</v>
      </c>
      <c r="AG269" s="2">
        <f>Table2[[#This Row],[ActualHomeScore]]-Table2[[#This Row],[PredictedHomeScore]]</f>
        <v>0</v>
      </c>
      <c r="AH269" s="2">
        <f t="shared" si="27"/>
        <v>0</v>
      </c>
      <c r="AI269" s="2">
        <f t="shared" si="28"/>
        <v>0</v>
      </c>
      <c r="AJ269" s="2"/>
      <c r="AK269" s="2"/>
      <c r="AL269" s="2">
        <f>IF(Table2[[#This Row],[GameIsOver]]=0,0,IF(Table2[[#This Row],[ActualWinner]]=Table2[[#This Row],[AwayTeam]], 1, 0))</f>
        <v>0</v>
      </c>
      <c r="AM269" s="2">
        <f>IF(Table2[[#This Row],[GameIsOver]]=0,0,IF(Table2[[#This Row],[ActualWinner]]=Table2[[#This Row],[HomeTeam]], 1, 0))</f>
        <v>0</v>
      </c>
      <c r="AN2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9" s="2" t="str">
        <f>INDEX(Sheet5!$B$2:$AG$33, MATCH(Table2[[#This Row],[AwayTeam]],Sheet5!$A$2:$A$33, 0), MATCH(Table2[[#This Row],[HomeTeam]],Sheet5!$A$2:$A$33, 0))</f>
        <v>0-0-0</v>
      </c>
      <c r="AP269" s="2" t="str">
        <f>INDEX(Sheet5!$B$2:$AG$33, MATCH(Table2[[#This Row],[HomeTeam]],Sheet5!$A$2:$A$33, 0), MATCH(Table2[[#This Row],[AwayTeam]],Sheet5!$A$2:$A$33, 0))</f>
        <v>0-0-0</v>
      </c>
      <c r="AQ269" s="2">
        <f>IF(Table2[[#This Row],[GameHasShutOut]], 1, 0)</f>
        <v>0</v>
      </c>
      <c r="AR269" s="2">
        <f>IF(Table2[[#This Row],[ActualAwayScore]] + Table2[[#This Row],[ActualHomeScore]] &gt;= 10, 1, 0)</f>
        <v>0</v>
      </c>
      <c r="AS269" s="2">
        <f>IF(ABS(Table2[[#This Row],[ActualAwayScore]]-Table2[[#This Row],[ActualHomeScore]])&gt;=5, 1, 0)</f>
        <v>0</v>
      </c>
      <c r="AT269" s="2">
        <f>IF(Table2[[#This Row],[ActualAwayScore]] + Table2[[#This Row],[ActualHomeScore]] &lt;= 3, 1, 0)</f>
        <v>1</v>
      </c>
      <c r="AU269" s="2"/>
      <c r="AV269" s="2"/>
    </row>
    <row r="270" spans="1:48" x14ac:dyDescent="0.25">
      <c r="A270" s="3"/>
      <c r="B270" s="3">
        <v>45974</v>
      </c>
      <c r="C270" s="5">
        <v>2025020268</v>
      </c>
      <c r="D270" s="2" t="s">
        <v>31</v>
      </c>
      <c r="E270" s="2" t="s">
        <v>16</v>
      </c>
      <c r="F270" s="2"/>
      <c r="G270" s="2"/>
      <c r="H270" s="2" t="str">
        <f t="shared" si="24"/>
        <v>_</v>
      </c>
      <c r="I270" s="2"/>
      <c r="J270" s="2"/>
      <c r="K270" s="2"/>
      <c r="L270" s="2" t="str">
        <f t="shared" si="25"/>
        <v>_</v>
      </c>
      <c r="M270" s="2"/>
      <c r="N270" s="2">
        <f>IF(ISBLANK(Table2[[#This Row],[ActualResult]]), 0, 1)</f>
        <v>0</v>
      </c>
      <c r="O270" s="2" t="str">
        <f>IF(ISBLANK(Table2[[#This Row],[ActualResult]]), "_", IF(Table2[[#This Row],[ActualWinner]]=Table2[[#This Row],[PredictedWinner]], "Y", "N"))</f>
        <v>_</v>
      </c>
      <c r="P2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0" s="2"/>
      <c r="S270" s="2" t="str">
        <f t="shared" si="26"/>
        <v>_</v>
      </c>
      <c r="T2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0" s="2">
        <f>IF(Table2[[#This Row],[InterConf]]=1,IF(Table2[[#This Row],[InterDiv]]=0, 1, 0), 0)</f>
        <v>0</v>
      </c>
      <c r="W2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0" s="2"/>
      <c r="Y270" s="2"/>
      <c r="Z270" s="145">
        <f>IF(AND(Table2[[#This Row],[GameIsOver]]=1,Table2[[#This Row],[ActualHomeScore]]*Table2[[#This Row],[ActualAwayScore]]=0), 1,0)</f>
        <v>0</v>
      </c>
      <c r="AA2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70" s="2">
        <f>Table2[[#This Row],[ActualAwayScore]]-Table2[[#This Row],[PredictedAwayScore]]</f>
        <v>0</v>
      </c>
      <c r="AG270" s="2">
        <f>Table2[[#This Row],[ActualHomeScore]]-Table2[[#This Row],[PredictedHomeScore]]</f>
        <v>0</v>
      </c>
      <c r="AH270" s="2">
        <f t="shared" si="27"/>
        <v>0</v>
      </c>
      <c r="AI270" s="2">
        <f t="shared" si="28"/>
        <v>0</v>
      </c>
      <c r="AJ270" s="2"/>
      <c r="AK270" s="2"/>
      <c r="AL270" s="2">
        <f>IF(Table2[[#This Row],[GameIsOver]]=0,0,IF(Table2[[#This Row],[ActualWinner]]=Table2[[#This Row],[AwayTeam]], 1, 0))</f>
        <v>0</v>
      </c>
      <c r="AM270" s="2">
        <f>IF(Table2[[#This Row],[GameIsOver]]=0,0,IF(Table2[[#This Row],[ActualWinner]]=Table2[[#This Row],[HomeTeam]], 1, 0))</f>
        <v>0</v>
      </c>
      <c r="AN2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0" s="2" t="str">
        <f>INDEX(Sheet5!$B$2:$AG$33, MATCH(Table2[[#This Row],[AwayTeam]],Sheet5!$A$2:$A$33, 0), MATCH(Table2[[#This Row],[HomeTeam]],Sheet5!$A$2:$A$33, 0))</f>
        <v>0-0-0</v>
      </c>
      <c r="AP270" s="2" t="str">
        <f>INDEX(Sheet5!$B$2:$AG$33, MATCH(Table2[[#This Row],[HomeTeam]],Sheet5!$A$2:$A$33, 0), MATCH(Table2[[#This Row],[AwayTeam]],Sheet5!$A$2:$A$33, 0))</f>
        <v>0-0-0</v>
      </c>
      <c r="AQ270" s="2">
        <f>IF(Table2[[#This Row],[GameHasShutOut]], 1, 0)</f>
        <v>0</v>
      </c>
      <c r="AR270" s="2">
        <f>IF(Table2[[#This Row],[ActualAwayScore]] + Table2[[#This Row],[ActualHomeScore]] &gt;= 10, 1, 0)</f>
        <v>0</v>
      </c>
      <c r="AS270" s="2">
        <f>IF(ABS(Table2[[#This Row],[ActualAwayScore]]-Table2[[#This Row],[ActualHomeScore]])&gt;=5, 1, 0)</f>
        <v>0</v>
      </c>
      <c r="AT270" s="2">
        <f>IF(Table2[[#This Row],[ActualAwayScore]] + Table2[[#This Row],[ActualHomeScore]] &lt;= 3, 1, 0)</f>
        <v>1</v>
      </c>
      <c r="AU270" s="2"/>
      <c r="AV270" s="2"/>
    </row>
    <row r="271" spans="1:48" x14ac:dyDescent="0.25">
      <c r="A271" s="3"/>
      <c r="B271" s="3">
        <v>45975</v>
      </c>
      <c r="C271" s="5">
        <v>2025020269</v>
      </c>
      <c r="D271" s="2" t="s">
        <v>27</v>
      </c>
      <c r="E271" s="2" t="s">
        <v>17</v>
      </c>
      <c r="F271" s="2"/>
      <c r="G271" s="2"/>
      <c r="H271" s="2" t="str">
        <f t="shared" si="24"/>
        <v>_</v>
      </c>
      <c r="I271" s="2"/>
      <c r="J271" s="2"/>
      <c r="K271" s="2"/>
      <c r="L271" s="2" t="str">
        <f t="shared" si="25"/>
        <v>_</v>
      </c>
      <c r="M271" s="2"/>
      <c r="N271" s="2">
        <f>IF(ISBLANK(Table2[[#This Row],[ActualResult]]), 0, 1)</f>
        <v>0</v>
      </c>
      <c r="O271" s="2" t="str">
        <f>IF(ISBLANK(Table2[[#This Row],[ActualResult]]), "_", IF(Table2[[#This Row],[ActualWinner]]=Table2[[#This Row],[PredictedWinner]], "Y", "N"))</f>
        <v>_</v>
      </c>
      <c r="P2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1" s="2"/>
      <c r="S271" s="2" t="str">
        <f t="shared" si="26"/>
        <v>_</v>
      </c>
      <c r="T2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1" s="2">
        <f>IF(Table2[[#This Row],[InterConf]]=1,IF(Table2[[#This Row],[InterDiv]]=0, 1, 0), 0)</f>
        <v>0</v>
      </c>
      <c r="W2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1" s="2"/>
      <c r="Y271" s="2"/>
      <c r="Z271" s="145">
        <f>IF(AND(Table2[[#This Row],[GameIsOver]]=1,Table2[[#This Row],[ActualHomeScore]]*Table2[[#This Row],[ActualAwayScore]]=0), 1,0)</f>
        <v>0</v>
      </c>
      <c r="AA2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1" s="2">
        <f>Table2[[#This Row],[ActualAwayScore]]-Table2[[#This Row],[PredictedAwayScore]]</f>
        <v>0</v>
      </c>
      <c r="AG271" s="2">
        <f>Table2[[#This Row],[ActualHomeScore]]-Table2[[#This Row],[PredictedHomeScore]]</f>
        <v>0</v>
      </c>
      <c r="AH271" s="2">
        <f t="shared" si="27"/>
        <v>0</v>
      </c>
      <c r="AI271" s="2">
        <f t="shared" si="28"/>
        <v>0</v>
      </c>
      <c r="AJ271" s="2"/>
      <c r="AK271" s="2"/>
      <c r="AL271" s="2">
        <f>IF(Table2[[#This Row],[GameIsOver]]=0,0,IF(Table2[[#This Row],[ActualWinner]]=Table2[[#This Row],[AwayTeam]], 1, 0))</f>
        <v>0</v>
      </c>
      <c r="AM271" s="2">
        <f>IF(Table2[[#This Row],[GameIsOver]]=0,0,IF(Table2[[#This Row],[ActualWinner]]=Table2[[#This Row],[HomeTeam]], 1, 0))</f>
        <v>0</v>
      </c>
      <c r="AN271" s="2">
        <f>IF(IFERROR(FIND(Table2[[#This Row],[AwayTeam]], _xlfn.TEXTJOIN(";", 1, $BD$31:$BD$40)), 0) &gt; 0, 1, 0) + IF(IFERROR(FIND(Table2[[#This Row],[HomeTeam]], _xlfn.TEXTJOIN(";", 1, $BD$31:$BD$40)), 0) &gt; 0, 1, 0)</f>
        <v>1</v>
      </c>
      <c r="AO271" s="2" t="str">
        <f>INDEX(Sheet5!$B$2:$AG$33, MATCH(Table2[[#This Row],[AwayTeam]],Sheet5!$A$2:$A$33, 0), MATCH(Table2[[#This Row],[HomeTeam]],Sheet5!$A$2:$A$33, 0))</f>
        <v>0-0-0</v>
      </c>
      <c r="AP271" s="2" t="str">
        <f>INDEX(Sheet5!$B$2:$AG$33, MATCH(Table2[[#This Row],[HomeTeam]],Sheet5!$A$2:$A$33, 0), MATCH(Table2[[#This Row],[AwayTeam]],Sheet5!$A$2:$A$33, 0))</f>
        <v>0-0-0</v>
      </c>
      <c r="AQ271" s="2">
        <f>IF(Table2[[#This Row],[GameHasShutOut]], 1, 0)</f>
        <v>0</v>
      </c>
      <c r="AR271" s="2">
        <f>IF(Table2[[#This Row],[ActualAwayScore]] + Table2[[#This Row],[ActualHomeScore]] &gt;= 10, 1, 0)</f>
        <v>0</v>
      </c>
      <c r="AS271" s="2">
        <f>IF(ABS(Table2[[#This Row],[ActualAwayScore]]-Table2[[#This Row],[ActualHomeScore]])&gt;=5, 1, 0)</f>
        <v>0</v>
      </c>
      <c r="AT271" s="2">
        <f>IF(Table2[[#This Row],[ActualAwayScore]] + Table2[[#This Row],[ActualHomeScore]] &lt;= 3, 1, 0)</f>
        <v>1</v>
      </c>
      <c r="AU271" s="2"/>
      <c r="AV271" s="2"/>
    </row>
    <row r="272" spans="1:48" x14ac:dyDescent="0.25">
      <c r="A272" s="3"/>
      <c r="B272" s="3">
        <v>45975</v>
      </c>
      <c r="C272" s="5">
        <v>2025020270</v>
      </c>
      <c r="D272" s="2" t="s">
        <v>33</v>
      </c>
      <c r="E272" s="2" t="s">
        <v>18</v>
      </c>
      <c r="F272" s="2"/>
      <c r="G272" s="2"/>
      <c r="H272" s="2" t="str">
        <f t="shared" si="24"/>
        <v>_</v>
      </c>
      <c r="I272" s="2"/>
      <c r="J272" s="2"/>
      <c r="K272" s="2"/>
      <c r="L272" s="2" t="str">
        <f t="shared" si="25"/>
        <v>_</v>
      </c>
      <c r="M272" s="2"/>
      <c r="N272" s="2">
        <f>IF(ISBLANK(Table2[[#This Row],[ActualResult]]), 0, 1)</f>
        <v>0</v>
      </c>
      <c r="O272" s="2" t="str">
        <f>IF(ISBLANK(Table2[[#This Row],[ActualResult]]), "_", IF(Table2[[#This Row],[ActualWinner]]=Table2[[#This Row],[PredictedWinner]], "Y", "N"))</f>
        <v>_</v>
      </c>
      <c r="P2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2" s="2"/>
      <c r="S272" s="2" t="str">
        <f t="shared" si="26"/>
        <v>_</v>
      </c>
      <c r="T2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2" s="2">
        <f>IF(Table2[[#This Row],[InterConf]]=1,IF(Table2[[#This Row],[InterDiv]]=0, 1, 0), 0)</f>
        <v>0</v>
      </c>
      <c r="W2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2" s="2"/>
      <c r="Y272" s="2"/>
      <c r="Z272" s="145">
        <f>IF(AND(Table2[[#This Row],[GameIsOver]]=1,Table2[[#This Row],[ActualHomeScore]]*Table2[[#This Row],[ActualAwayScore]]=0), 1,0)</f>
        <v>0</v>
      </c>
      <c r="AA2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2" s="2">
        <f>Table2[[#This Row],[ActualAwayScore]]-Table2[[#This Row],[PredictedAwayScore]]</f>
        <v>0</v>
      </c>
      <c r="AG272" s="2">
        <f>Table2[[#This Row],[ActualHomeScore]]-Table2[[#This Row],[PredictedHomeScore]]</f>
        <v>0</v>
      </c>
      <c r="AH272" s="2">
        <f t="shared" si="27"/>
        <v>0</v>
      </c>
      <c r="AI272" s="2">
        <f t="shared" si="28"/>
        <v>0</v>
      </c>
      <c r="AJ272" s="2"/>
      <c r="AK272" s="2"/>
      <c r="AL272" s="2">
        <f>IF(Table2[[#This Row],[GameIsOver]]=0,0,IF(Table2[[#This Row],[ActualWinner]]=Table2[[#This Row],[AwayTeam]], 1, 0))</f>
        <v>0</v>
      </c>
      <c r="AM272" s="2">
        <f>IF(Table2[[#This Row],[GameIsOver]]=0,0,IF(Table2[[#This Row],[ActualWinner]]=Table2[[#This Row],[HomeTeam]], 1, 0))</f>
        <v>0</v>
      </c>
      <c r="AN2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2" s="2" t="str">
        <f>INDEX(Sheet5!$B$2:$AG$33, MATCH(Table2[[#This Row],[AwayTeam]],Sheet5!$A$2:$A$33, 0), MATCH(Table2[[#This Row],[HomeTeam]],Sheet5!$A$2:$A$33, 0))</f>
        <v>0-0-0</v>
      </c>
      <c r="AP272" s="2" t="str">
        <f>INDEX(Sheet5!$B$2:$AG$33, MATCH(Table2[[#This Row],[HomeTeam]],Sheet5!$A$2:$A$33, 0), MATCH(Table2[[#This Row],[AwayTeam]],Sheet5!$A$2:$A$33, 0))</f>
        <v>0-0-0</v>
      </c>
      <c r="AQ272" s="2">
        <f>IF(Table2[[#This Row],[GameHasShutOut]], 1, 0)</f>
        <v>0</v>
      </c>
      <c r="AR272" s="2">
        <f>IF(Table2[[#This Row],[ActualAwayScore]] + Table2[[#This Row],[ActualHomeScore]] &gt;= 10, 1, 0)</f>
        <v>0</v>
      </c>
      <c r="AS272" s="2">
        <f>IF(ABS(Table2[[#This Row],[ActualAwayScore]]-Table2[[#This Row],[ActualHomeScore]])&gt;=5, 1, 0)</f>
        <v>0</v>
      </c>
      <c r="AT272" s="2">
        <f>IF(Table2[[#This Row],[ActualAwayScore]] + Table2[[#This Row],[ActualHomeScore]] &lt;= 3, 1, 0)</f>
        <v>1</v>
      </c>
      <c r="AU272" s="2"/>
      <c r="AV272" s="2"/>
    </row>
    <row r="273" spans="1:48" x14ac:dyDescent="0.25">
      <c r="A273" s="3"/>
      <c r="B273" s="3">
        <v>45975</v>
      </c>
      <c r="C273" s="5">
        <v>2025020271</v>
      </c>
      <c r="D273" s="2" t="s">
        <v>15</v>
      </c>
      <c r="E273" s="2" t="s">
        <v>29</v>
      </c>
      <c r="F273" s="2"/>
      <c r="G273" s="2"/>
      <c r="H273" s="2" t="str">
        <f t="shared" si="24"/>
        <v>_</v>
      </c>
      <c r="I273" s="2"/>
      <c r="J273" s="2"/>
      <c r="K273" s="2"/>
      <c r="L273" s="2" t="str">
        <f t="shared" si="25"/>
        <v>_</v>
      </c>
      <c r="M273" s="2"/>
      <c r="N273" s="2">
        <f>IF(ISBLANK(Table2[[#This Row],[ActualResult]]), 0, 1)</f>
        <v>0</v>
      </c>
      <c r="O273" s="2" t="str">
        <f>IF(ISBLANK(Table2[[#This Row],[ActualResult]]), "_", IF(Table2[[#This Row],[ActualWinner]]=Table2[[#This Row],[PredictedWinner]], "Y", "N"))</f>
        <v>_</v>
      </c>
      <c r="P2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3" s="2"/>
      <c r="S273" s="2" t="str">
        <f t="shared" si="26"/>
        <v>_</v>
      </c>
      <c r="T2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73" s="2">
        <f>IF(Table2[[#This Row],[InterConf]]=1,IF(Table2[[#This Row],[InterDiv]]=0, 1, 0), 0)</f>
        <v>0</v>
      </c>
      <c r="W2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3" s="2"/>
      <c r="Y273" s="2"/>
      <c r="Z273" s="145">
        <f>IF(AND(Table2[[#This Row],[GameIsOver]]=1,Table2[[#This Row],[ActualHomeScore]]*Table2[[#This Row],[ActualAwayScore]]=0), 1,0)</f>
        <v>0</v>
      </c>
      <c r="AA2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3" s="2">
        <f>Table2[[#This Row],[ActualAwayScore]]-Table2[[#This Row],[PredictedAwayScore]]</f>
        <v>0</v>
      </c>
      <c r="AG273" s="2">
        <f>Table2[[#This Row],[ActualHomeScore]]-Table2[[#This Row],[PredictedHomeScore]]</f>
        <v>0</v>
      </c>
      <c r="AH273" s="2">
        <f t="shared" si="27"/>
        <v>0</v>
      </c>
      <c r="AI273" s="2">
        <f t="shared" si="28"/>
        <v>0</v>
      </c>
      <c r="AJ273" s="2"/>
      <c r="AK273" s="2"/>
      <c r="AL273" s="2">
        <f>IF(Table2[[#This Row],[GameIsOver]]=0,0,IF(Table2[[#This Row],[ActualWinner]]=Table2[[#This Row],[AwayTeam]], 1, 0))</f>
        <v>0</v>
      </c>
      <c r="AM273" s="2">
        <f>IF(Table2[[#This Row],[GameIsOver]]=0,0,IF(Table2[[#This Row],[ActualWinner]]=Table2[[#This Row],[HomeTeam]], 1, 0))</f>
        <v>0</v>
      </c>
      <c r="AN2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3" s="2" t="str">
        <f>INDEX(Sheet5!$B$2:$AG$33, MATCH(Table2[[#This Row],[AwayTeam]],Sheet5!$A$2:$A$33, 0), MATCH(Table2[[#This Row],[HomeTeam]],Sheet5!$A$2:$A$33, 0))</f>
        <v>0-0-0</v>
      </c>
      <c r="AP273" s="2" t="str">
        <f>INDEX(Sheet5!$B$2:$AG$33, MATCH(Table2[[#This Row],[HomeTeam]],Sheet5!$A$2:$A$33, 0), MATCH(Table2[[#This Row],[AwayTeam]],Sheet5!$A$2:$A$33, 0))</f>
        <v>0-0-0</v>
      </c>
      <c r="AQ273" s="2">
        <f>IF(Table2[[#This Row],[GameHasShutOut]], 1, 0)</f>
        <v>0</v>
      </c>
      <c r="AR273" s="2">
        <f>IF(Table2[[#This Row],[ActualAwayScore]] + Table2[[#This Row],[ActualHomeScore]] &gt;= 10, 1, 0)</f>
        <v>0</v>
      </c>
      <c r="AS273" s="2">
        <f>IF(ABS(Table2[[#This Row],[ActualAwayScore]]-Table2[[#This Row],[ActualHomeScore]])&gt;=5, 1, 0)</f>
        <v>0</v>
      </c>
      <c r="AT273" s="2">
        <f>IF(Table2[[#This Row],[ActualAwayScore]] + Table2[[#This Row],[ActualHomeScore]] &lt;= 3, 1, 0)</f>
        <v>1</v>
      </c>
      <c r="AU273" s="2"/>
      <c r="AV273" s="2"/>
    </row>
    <row r="274" spans="1:48" x14ac:dyDescent="0.25">
      <c r="A274" s="3"/>
      <c r="B274" s="3">
        <v>45975</v>
      </c>
      <c r="C274" s="5">
        <v>2025020272</v>
      </c>
      <c r="D274" s="2" t="s">
        <v>44</v>
      </c>
      <c r="E274" s="2" t="s">
        <v>30</v>
      </c>
      <c r="F274" s="2"/>
      <c r="G274" s="2"/>
      <c r="H274" s="2" t="str">
        <f t="shared" si="24"/>
        <v>_</v>
      </c>
      <c r="I274" s="2"/>
      <c r="J274" s="2"/>
      <c r="K274" s="2"/>
      <c r="L274" s="2" t="str">
        <f t="shared" si="25"/>
        <v>_</v>
      </c>
      <c r="M274" s="2"/>
      <c r="N274" s="2">
        <f>IF(ISBLANK(Table2[[#This Row],[ActualResult]]), 0, 1)</f>
        <v>0</v>
      </c>
      <c r="O274" s="2" t="str">
        <f>IF(ISBLANK(Table2[[#This Row],[ActualResult]]), "_", IF(Table2[[#This Row],[ActualWinner]]=Table2[[#This Row],[PredictedWinner]], "Y", "N"))</f>
        <v>_</v>
      </c>
      <c r="P2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4" s="2"/>
      <c r="S274" s="2" t="str">
        <f t="shared" si="26"/>
        <v>_</v>
      </c>
      <c r="T2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4" s="2">
        <f>IF(Table2[[#This Row],[InterConf]]=1,IF(Table2[[#This Row],[InterDiv]]=0, 1, 0), 0)</f>
        <v>0</v>
      </c>
      <c r="W2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4" s="2"/>
      <c r="Y274" s="2"/>
      <c r="Z274" s="145">
        <f>IF(AND(Table2[[#This Row],[GameIsOver]]=1,Table2[[#This Row],[ActualHomeScore]]*Table2[[#This Row],[ActualAwayScore]]=0), 1,0)</f>
        <v>0</v>
      </c>
      <c r="AA2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4" s="2">
        <f>Table2[[#This Row],[ActualAwayScore]]-Table2[[#This Row],[PredictedAwayScore]]</f>
        <v>0</v>
      </c>
      <c r="AG274" s="2">
        <f>Table2[[#This Row],[ActualHomeScore]]-Table2[[#This Row],[PredictedHomeScore]]</f>
        <v>0</v>
      </c>
      <c r="AH274" s="2">
        <f t="shared" si="27"/>
        <v>0</v>
      </c>
      <c r="AI274" s="2">
        <f t="shared" si="28"/>
        <v>0</v>
      </c>
      <c r="AJ274" s="2"/>
      <c r="AK274" s="2"/>
      <c r="AL274" s="2">
        <f>IF(Table2[[#This Row],[GameIsOver]]=0,0,IF(Table2[[#This Row],[ActualWinner]]=Table2[[#This Row],[AwayTeam]], 1, 0))</f>
        <v>0</v>
      </c>
      <c r="AM274" s="2">
        <f>IF(Table2[[#This Row],[GameIsOver]]=0,0,IF(Table2[[#This Row],[ActualWinner]]=Table2[[#This Row],[HomeTeam]], 1, 0))</f>
        <v>0</v>
      </c>
      <c r="AN2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4" s="2" t="str">
        <f>INDEX(Sheet5!$B$2:$AG$33, MATCH(Table2[[#This Row],[AwayTeam]],Sheet5!$A$2:$A$33, 0), MATCH(Table2[[#This Row],[HomeTeam]],Sheet5!$A$2:$A$33, 0))</f>
        <v>0-0-0</v>
      </c>
      <c r="AP274" s="2" t="str">
        <f>INDEX(Sheet5!$B$2:$AG$33, MATCH(Table2[[#This Row],[HomeTeam]],Sheet5!$A$2:$A$33, 0), MATCH(Table2[[#This Row],[AwayTeam]],Sheet5!$A$2:$A$33, 0))</f>
        <v>0-0-0</v>
      </c>
      <c r="AQ274" s="2">
        <f>IF(Table2[[#This Row],[GameHasShutOut]], 1, 0)</f>
        <v>0</v>
      </c>
      <c r="AR274" s="2">
        <f>IF(Table2[[#This Row],[ActualAwayScore]] + Table2[[#This Row],[ActualHomeScore]] &gt;= 10, 1, 0)</f>
        <v>0</v>
      </c>
      <c r="AS274" s="2">
        <f>IF(ABS(Table2[[#This Row],[ActualAwayScore]]-Table2[[#This Row],[ActualHomeScore]])&gt;=5, 1, 0)</f>
        <v>0</v>
      </c>
      <c r="AT274" s="2">
        <f>IF(Table2[[#This Row],[ActualAwayScore]] + Table2[[#This Row],[ActualHomeScore]] &lt;= 3, 1, 0)</f>
        <v>1</v>
      </c>
      <c r="AU274" s="2"/>
      <c r="AV274" s="2"/>
    </row>
    <row r="275" spans="1:48" x14ac:dyDescent="0.25">
      <c r="A275" s="3"/>
      <c r="B275" s="3">
        <v>45975</v>
      </c>
      <c r="C275" s="5">
        <v>2025020273</v>
      </c>
      <c r="D275" s="2" t="s">
        <v>43</v>
      </c>
      <c r="E275" s="2" t="s">
        <v>13</v>
      </c>
      <c r="F275" s="2"/>
      <c r="G275" s="2"/>
      <c r="H275" s="2" t="str">
        <f t="shared" si="24"/>
        <v>_</v>
      </c>
      <c r="I275" s="2"/>
      <c r="J275" s="2"/>
      <c r="K275" s="2"/>
      <c r="L275" s="2" t="str">
        <f t="shared" si="25"/>
        <v>_</v>
      </c>
      <c r="M275" s="2"/>
      <c r="N275" s="2">
        <f>IF(ISBLANK(Table2[[#This Row],[ActualResult]]), 0, 1)</f>
        <v>0</v>
      </c>
      <c r="O275" s="2" t="str">
        <f>IF(ISBLANK(Table2[[#This Row],[ActualResult]]), "_", IF(Table2[[#This Row],[ActualWinner]]=Table2[[#This Row],[PredictedWinner]], "Y", "N"))</f>
        <v>_</v>
      </c>
      <c r="P2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5" s="2"/>
      <c r="S275" s="2" t="str">
        <f t="shared" si="26"/>
        <v>_</v>
      </c>
      <c r="T2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5" s="2">
        <f>IF(Table2[[#This Row],[InterConf]]=1,IF(Table2[[#This Row],[InterDiv]]=0, 1, 0), 0)</f>
        <v>1</v>
      </c>
      <c r="W2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5" s="2"/>
      <c r="Y275" s="2"/>
      <c r="Z275" s="145">
        <f>IF(AND(Table2[[#This Row],[GameIsOver]]=1,Table2[[#This Row],[ActualHomeScore]]*Table2[[#This Row],[ActualAwayScore]]=0), 1,0)</f>
        <v>0</v>
      </c>
      <c r="AA2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5" s="2">
        <f>Table2[[#This Row],[ActualAwayScore]]-Table2[[#This Row],[PredictedAwayScore]]</f>
        <v>0</v>
      </c>
      <c r="AG275" s="2">
        <f>Table2[[#This Row],[ActualHomeScore]]-Table2[[#This Row],[PredictedHomeScore]]</f>
        <v>0</v>
      </c>
      <c r="AH275" s="2">
        <f t="shared" si="27"/>
        <v>0</v>
      </c>
      <c r="AI275" s="2">
        <f t="shared" si="28"/>
        <v>0</v>
      </c>
      <c r="AJ275" s="2"/>
      <c r="AK275" s="2"/>
      <c r="AL275" s="2">
        <f>IF(Table2[[#This Row],[GameIsOver]]=0,0,IF(Table2[[#This Row],[ActualWinner]]=Table2[[#This Row],[AwayTeam]], 1, 0))</f>
        <v>0</v>
      </c>
      <c r="AM275" s="2">
        <f>IF(Table2[[#This Row],[GameIsOver]]=0,0,IF(Table2[[#This Row],[ActualWinner]]=Table2[[#This Row],[HomeTeam]], 1, 0))</f>
        <v>0</v>
      </c>
      <c r="AN2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5" s="2" t="str">
        <f>INDEX(Sheet5!$B$2:$AG$33, MATCH(Table2[[#This Row],[AwayTeam]],Sheet5!$A$2:$A$33, 0), MATCH(Table2[[#This Row],[HomeTeam]],Sheet5!$A$2:$A$33, 0))</f>
        <v>0-0-0</v>
      </c>
      <c r="AP275" s="2" t="str">
        <f>INDEX(Sheet5!$B$2:$AG$33, MATCH(Table2[[#This Row],[HomeTeam]],Sheet5!$A$2:$A$33, 0), MATCH(Table2[[#This Row],[AwayTeam]],Sheet5!$A$2:$A$33, 0))</f>
        <v>0-0-0</v>
      </c>
      <c r="AQ275" s="2">
        <f>IF(Table2[[#This Row],[GameHasShutOut]], 1, 0)</f>
        <v>0</v>
      </c>
      <c r="AR275" s="2">
        <f>IF(Table2[[#This Row],[ActualAwayScore]] + Table2[[#This Row],[ActualHomeScore]] &gt;= 10, 1, 0)</f>
        <v>0</v>
      </c>
      <c r="AS275" s="2">
        <f>IF(ABS(Table2[[#This Row],[ActualAwayScore]]-Table2[[#This Row],[ActualHomeScore]])&gt;=5, 1, 0)</f>
        <v>0</v>
      </c>
      <c r="AT275" s="2">
        <f>IF(Table2[[#This Row],[ActualAwayScore]] + Table2[[#This Row],[ActualHomeScore]] &lt;= 3, 1, 0)</f>
        <v>1</v>
      </c>
      <c r="AU275" s="2"/>
      <c r="AV275" s="2"/>
    </row>
    <row r="276" spans="1:48" x14ac:dyDescent="0.25">
      <c r="A276" s="3"/>
      <c r="B276" s="3">
        <v>45975</v>
      </c>
      <c r="C276" s="5">
        <v>2025020274</v>
      </c>
      <c r="D276" s="2" t="s">
        <v>22</v>
      </c>
      <c r="E276" s="2" t="s">
        <v>35</v>
      </c>
      <c r="F276" s="2"/>
      <c r="G276" s="2"/>
      <c r="H276" s="2" t="str">
        <f t="shared" si="24"/>
        <v>_</v>
      </c>
      <c r="I276" s="2"/>
      <c r="J276" s="2"/>
      <c r="K276" s="2"/>
      <c r="L276" s="2" t="str">
        <f t="shared" si="25"/>
        <v>_</v>
      </c>
      <c r="M276" s="2"/>
      <c r="N276" s="2">
        <f>IF(ISBLANK(Table2[[#This Row],[ActualResult]]), 0, 1)</f>
        <v>0</v>
      </c>
      <c r="O276" s="2" t="str">
        <f>IF(ISBLANK(Table2[[#This Row],[ActualResult]]), "_", IF(Table2[[#This Row],[ActualWinner]]=Table2[[#This Row],[PredictedWinner]], "Y", "N"))</f>
        <v>_</v>
      </c>
      <c r="P2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6" s="2"/>
      <c r="S276" s="2" t="str">
        <f t="shared" si="26"/>
        <v>_</v>
      </c>
      <c r="T2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6" s="2">
        <f>IF(Table2[[#This Row],[InterConf]]=1,IF(Table2[[#This Row],[InterDiv]]=0, 1, 0), 0)</f>
        <v>0</v>
      </c>
      <c r="W2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6" s="2"/>
      <c r="Y276" s="2"/>
      <c r="Z276" s="145">
        <f>IF(AND(Table2[[#This Row],[GameIsOver]]=1,Table2[[#This Row],[ActualHomeScore]]*Table2[[#This Row],[ActualAwayScore]]=0), 1,0)</f>
        <v>0</v>
      </c>
      <c r="AA2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6" s="2">
        <f>Table2[[#This Row],[ActualAwayScore]]-Table2[[#This Row],[PredictedAwayScore]]</f>
        <v>0</v>
      </c>
      <c r="AG276" s="2">
        <f>Table2[[#This Row],[ActualHomeScore]]-Table2[[#This Row],[PredictedHomeScore]]</f>
        <v>0</v>
      </c>
      <c r="AH276" s="2">
        <f t="shared" si="27"/>
        <v>0</v>
      </c>
      <c r="AI276" s="2">
        <f t="shared" si="28"/>
        <v>0</v>
      </c>
      <c r="AJ276" s="2"/>
      <c r="AK276" s="2"/>
      <c r="AL276" s="2">
        <f>IF(Table2[[#This Row],[GameIsOver]]=0,0,IF(Table2[[#This Row],[ActualWinner]]=Table2[[#This Row],[AwayTeam]], 1, 0))</f>
        <v>0</v>
      </c>
      <c r="AM276" s="2">
        <f>IF(Table2[[#This Row],[GameIsOver]]=0,0,IF(Table2[[#This Row],[ActualWinner]]=Table2[[#This Row],[HomeTeam]], 1, 0))</f>
        <v>0</v>
      </c>
      <c r="AN2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6" s="2" t="str">
        <f>INDEX(Sheet5!$B$2:$AG$33, MATCH(Table2[[#This Row],[AwayTeam]],Sheet5!$A$2:$A$33, 0), MATCH(Table2[[#This Row],[HomeTeam]],Sheet5!$A$2:$A$33, 0))</f>
        <v>0-0-0</v>
      </c>
      <c r="AP276" s="2" t="str">
        <f>INDEX(Sheet5!$B$2:$AG$33, MATCH(Table2[[#This Row],[HomeTeam]],Sheet5!$A$2:$A$33, 0), MATCH(Table2[[#This Row],[AwayTeam]],Sheet5!$A$2:$A$33, 0))</f>
        <v>0-0-0</v>
      </c>
      <c r="AQ276" s="2">
        <f>IF(Table2[[#This Row],[GameHasShutOut]], 1, 0)</f>
        <v>0</v>
      </c>
      <c r="AR276" s="2">
        <f>IF(Table2[[#This Row],[ActualAwayScore]] + Table2[[#This Row],[ActualHomeScore]] &gt;= 10, 1, 0)</f>
        <v>0</v>
      </c>
      <c r="AS276" s="2">
        <f>IF(ABS(Table2[[#This Row],[ActualAwayScore]]-Table2[[#This Row],[ActualHomeScore]])&gt;=5, 1, 0)</f>
        <v>0</v>
      </c>
      <c r="AT276" s="2">
        <f>IF(Table2[[#This Row],[ActualAwayScore]] + Table2[[#This Row],[ActualHomeScore]] &lt;= 3, 1, 0)</f>
        <v>1</v>
      </c>
      <c r="AU276" s="2"/>
      <c r="AV276" s="2"/>
    </row>
    <row r="277" spans="1:48" x14ac:dyDescent="0.25">
      <c r="A277" s="3"/>
      <c r="B277" s="3">
        <v>45975</v>
      </c>
      <c r="C277" s="5">
        <v>2025020275</v>
      </c>
      <c r="D277" s="2" t="s">
        <v>28</v>
      </c>
      <c r="E277" s="2" t="s">
        <v>25</v>
      </c>
      <c r="F277" s="2"/>
      <c r="G277" s="2"/>
      <c r="H277" s="2" t="str">
        <f t="shared" si="24"/>
        <v>_</v>
      </c>
      <c r="I277" s="2"/>
      <c r="J277" s="2"/>
      <c r="K277" s="2"/>
      <c r="L277" s="2" t="str">
        <f t="shared" si="25"/>
        <v>_</v>
      </c>
      <c r="M277" s="2"/>
      <c r="N277" s="2">
        <f>IF(ISBLANK(Table2[[#This Row],[ActualResult]]), 0, 1)</f>
        <v>0</v>
      </c>
      <c r="O277" s="2" t="str">
        <f>IF(ISBLANK(Table2[[#This Row],[ActualResult]]), "_", IF(Table2[[#This Row],[ActualWinner]]=Table2[[#This Row],[PredictedWinner]], "Y", "N"))</f>
        <v>_</v>
      </c>
      <c r="P2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7" s="2"/>
      <c r="S277" s="2" t="str">
        <f t="shared" si="26"/>
        <v>_</v>
      </c>
      <c r="T2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7" s="2">
        <f>IF(Table2[[#This Row],[InterConf]]=1,IF(Table2[[#This Row],[InterDiv]]=0, 1, 0), 0)</f>
        <v>0</v>
      </c>
      <c r="W2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7" s="2"/>
      <c r="Y277" s="2"/>
      <c r="Z277" s="145">
        <f>IF(AND(Table2[[#This Row],[GameIsOver]]=1,Table2[[#This Row],[ActualHomeScore]]*Table2[[#This Row],[ActualAwayScore]]=0), 1,0)</f>
        <v>0</v>
      </c>
      <c r="AA2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7" s="2">
        <f>Table2[[#This Row],[ActualAwayScore]]-Table2[[#This Row],[PredictedAwayScore]]</f>
        <v>0</v>
      </c>
      <c r="AG277" s="2">
        <f>Table2[[#This Row],[ActualHomeScore]]-Table2[[#This Row],[PredictedHomeScore]]</f>
        <v>0</v>
      </c>
      <c r="AH277" s="2">
        <f t="shared" si="27"/>
        <v>0</v>
      </c>
      <c r="AI277" s="2">
        <f t="shared" si="28"/>
        <v>0</v>
      </c>
      <c r="AJ277" s="2"/>
      <c r="AK277" s="2"/>
      <c r="AL277" s="2">
        <f>IF(Table2[[#This Row],[GameIsOver]]=0,0,IF(Table2[[#This Row],[ActualWinner]]=Table2[[#This Row],[AwayTeam]], 1, 0))</f>
        <v>0</v>
      </c>
      <c r="AM277" s="2">
        <f>IF(Table2[[#This Row],[GameIsOver]]=0,0,IF(Table2[[#This Row],[ActualWinner]]=Table2[[#This Row],[HomeTeam]], 1, 0))</f>
        <v>0</v>
      </c>
      <c r="AN2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7" s="2" t="str">
        <f>INDEX(Sheet5!$B$2:$AG$33, MATCH(Table2[[#This Row],[AwayTeam]],Sheet5!$A$2:$A$33, 0), MATCH(Table2[[#This Row],[HomeTeam]],Sheet5!$A$2:$A$33, 0))</f>
        <v>0-1-0</v>
      </c>
      <c r="AP277" s="2" t="str">
        <f>INDEX(Sheet5!$B$2:$AG$33, MATCH(Table2[[#This Row],[HomeTeam]],Sheet5!$A$2:$A$33, 0), MATCH(Table2[[#This Row],[AwayTeam]],Sheet5!$A$2:$A$33, 0))</f>
        <v>1-0-0</v>
      </c>
      <c r="AQ277" s="2">
        <f>IF(Table2[[#This Row],[GameHasShutOut]], 1, 0)</f>
        <v>0</v>
      </c>
      <c r="AR277" s="2">
        <f>IF(Table2[[#This Row],[ActualAwayScore]] + Table2[[#This Row],[ActualHomeScore]] &gt;= 10, 1, 0)</f>
        <v>0</v>
      </c>
      <c r="AS277" s="2">
        <f>IF(ABS(Table2[[#This Row],[ActualAwayScore]]-Table2[[#This Row],[ActualHomeScore]])&gt;=5, 1, 0)</f>
        <v>0</v>
      </c>
      <c r="AT277" s="2">
        <f>IF(Table2[[#This Row],[ActualAwayScore]] + Table2[[#This Row],[ActualHomeScore]] &lt;= 3, 1, 0)</f>
        <v>1</v>
      </c>
      <c r="AU277" s="2"/>
      <c r="AV277" s="2"/>
    </row>
    <row r="278" spans="1:48" x14ac:dyDescent="0.25">
      <c r="A278" s="3"/>
      <c r="B278" s="3">
        <v>45975</v>
      </c>
      <c r="C278" s="5">
        <v>2025020276</v>
      </c>
      <c r="D278" s="2" t="s">
        <v>37</v>
      </c>
      <c r="E278" s="2" t="s">
        <v>23</v>
      </c>
      <c r="F278" s="2"/>
      <c r="G278" s="2"/>
      <c r="H278" s="2" t="str">
        <f t="shared" si="24"/>
        <v>_</v>
      </c>
      <c r="I278" s="2"/>
      <c r="J278" s="2"/>
      <c r="K278" s="2"/>
      <c r="L278" s="2" t="str">
        <f t="shared" si="25"/>
        <v>_</v>
      </c>
      <c r="M278" s="2"/>
      <c r="N278" s="2">
        <f>IF(ISBLANK(Table2[[#This Row],[ActualResult]]), 0, 1)</f>
        <v>0</v>
      </c>
      <c r="O278" s="2" t="str">
        <f>IF(ISBLANK(Table2[[#This Row],[ActualResult]]), "_", IF(Table2[[#This Row],[ActualWinner]]=Table2[[#This Row],[PredictedWinner]], "Y", "N"))</f>
        <v>_</v>
      </c>
      <c r="P2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8" s="2"/>
      <c r="S278" s="2" t="str">
        <f t="shared" si="26"/>
        <v>_</v>
      </c>
      <c r="T2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78" s="2">
        <f>IF(Table2[[#This Row],[InterConf]]=1,IF(Table2[[#This Row],[InterDiv]]=0, 1, 0), 0)</f>
        <v>0</v>
      </c>
      <c r="W2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8" s="2"/>
      <c r="Y278" s="2"/>
      <c r="Z278" s="145">
        <f>IF(AND(Table2[[#This Row],[GameIsOver]]=1,Table2[[#This Row],[ActualHomeScore]]*Table2[[#This Row],[ActualAwayScore]]=0), 1,0)</f>
        <v>0</v>
      </c>
      <c r="AA2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8" s="2">
        <f>Table2[[#This Row],[ActualAwayScore]]-Table2[[#This Row],[PredictedAwayScore]]</f>
        <v>0</v>
      </c>
      <c r="AG278" s="2">
        <f>Table2[[#This Row],[ActualHomeScore]]-Table2[[#This Row],[PredictedHomeScore]]</f>
        <v>0</v>
      </c>
      <c r="AH278" s="2">
        <f t="shared" si="27"/>
        <v>0</v>
      </c>
      <c r="AI278" s="2">
        <f t="shared" si="28"/>
        <v>0</v>
      </c>
      <c r="AJ278" s="2"/>
      <c r="AK278" s="2"/>
      <c r="AL278" s="2">
        <f>IF(Table2[[#This Row],[GameIsOver]]=0,0,IF(Table2[[#This Row],[ActualWinner]]=Table2[[#This Row],[AwayTeam]], 1, 0))</f>
        <v>0</v>
      </c>
      <c r="AM278" s="2">
        <f>IF(Table2[[#This Row],[GameIsOver]]=0,0,IF(Table2[[#This Row],[ActualWinner]]=Table2[[#This Row],[HomeTeam]], 1, 0))</f>
        <v>0</v>
      </c>
      <c r="AN2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8" s="2" t="str">
        <f>INDEX(Sheet5!$B$2:$AG$33, MATCH(Table2[[#This Row],[AwayTeam]],Sheet5!$A$2:$A$33, 0), MATCH(Table2[[#This Row],[HomeTeam]],Sheet5!$A$2:$A$33, 0))</f>
        <v>0-0-0</v>
      </c>
      <c r="AP278" s="2" t="str">
        <f>INDEX(Sheet5!$B$2:$AG$33, MATCH(Table2[[#This Row],[HomeTeam]],Sheet5!$A$2:$A$33, 0), MATCH(Table2[[#This Row],[AwayTeam]],Sheet5!$A$2:$A$33, 0))</f>
        <v>0-0-0</v>
      </c>
      <c r="AQ278" s="2">
        <f>IF(Table2[[#This Row],[GameHasShutOut]], 1, 0)</f>
        <v>0</v>
      </c>
      <c r="AR278" s="2">
        <f>IF(Table2[[#This Row],[ActualAwayScore]] + Table2[[#This Row],[ActualHomeScore]] &gt;= 10, 1, 0)</f>
        <v>0</v>
      </c>
      <c r="AS278" s="2">
        <f>IF(ABS(Table2[[#This Row],[ActualAwayScore]]-Table2[[#This Row],[ActualHomeScore]])&gt;=5, 1, 0)</f>
        <v>0</v>
      </c>
      <c r="AT278" s="2">
        <f>IF(Table2[[#This Row],[ActualAwayScore]] + Table2[[#This Row],[ActualHomeScore]] &lt;= 3, 1, 0)</f>
        <v>1</v>
      </c>
      <c r="AU278" s="2"/>
      <c r="AV278" s="2"/>
    </row>
    <row r="279" spans="1:48" x14ac:dyDescent="0.25">
      <c r="A279" s="3"/>
      <c r="B279" s="3">
        <v>45975</v>
      </c>
      <c r="C279" s="5">
        <v>2025020277</v>
      </c>
      <c r="D279" s="2" t="s">
        <v>32</v>
      </c>
      <c r="E279" s="2" t="s">
        <v>26</v>
      </c>
      <c r="F279" s="2"/>
      <c r="G279" s="2"/>
      <c r="H279" s="2" t="str">
        <f t="shared" si="24"/>
        <v>_</v>
      </c>
      <c r="I279" s="2"/>
      <c r="J279" s="2"/>
      <c r="K279" s="2"/>
      <c r="L279" s="2" t="str">
        <f t="shared" si="25"/>
        <v>_</v>
      </c>
      <c r="M279" s="2"/>
      <c r="N279" s="2">
        <f>IF(ISBLANK(Table2[[#This Row],[ActualResult]]), 0, 1)</f>
        <v>0</v>
      </c>
      <c r="O279" s="2" t="str">
        <f>IF(ISBLANK(Table2[[#This Row],[ActualResult]]), "_", IF(Table2[[#This Row],[ActualWinner]]=Table2[[#This Row],[PredictedWinner]], "Y", "N"))</f>
        <v>_</v>
      </c>
      <c r="P2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9" s="2"/>
      <c r="S279" s="2" t="str">
        <f t="shared" si="26"/>
        <v>_</v>
      </c>
      <c r="T2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9" s="2">
        <f>IF(Table2[[#This Row],[InterConf]]=1,IF(Table2[[#This Row],[InterDiv]]=0, 1, 0), 0)</f>
        <v>0</v>
      </c>
      <c r="W2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9" s="2"/>
      <c r="Y279" s="2"/>
      <c r="Z279" s="145">
        <f>IF(AND(Table2[[#This Row],[GameIsOver]]=1,Table2[[#This Row],[ActualHomeScore]]*Table2[[#This Row],[ActualAwayScore]]=0), 1,0)</f>
        <v>0</v>
      </c>
      <c r="AA2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9" s="2">
        <f>Table2[[#This Row],[ActualAwayScore]]-Table2[[#This Row],[PredictedAwayScore]]</f>
        <v>0</v>
      </c>
      <c r="AG279" s="2">
        <f>Table2[[#This Row],[ActualHomeScore]]-Table2[[#This Row],[PredictedHomeScore]]</f>
        <v>0</v>
      </c>
      <c r="AH279" s="2">
        <f t="shared" si="27"/>
        <v>0</v>
      </c>
      <c r="AI279" s="2">
        <f t="shared" si="28"/>
        <v>0</v>
      </c>
      <c r="AJ279" s="2"/>
      <c r="AK279" s="2"/>
      <c r="AL279" s="2">
        <f>IF(Table2[[#This Row],[GameIsOver]]=0,0,IF(Table2[[#This Row],[ActualWinner]]=Table2[[#This Row],[AwayTeam]], 1, 0))</f>
        <v>0</v>
      </c>
      <c r="AM279" s="2">
        <f>IF(Table2[[#This Row],[GameIsOver]]=0,0,IF(Table2[[#This Row],[ActualWinner]]=Table2[[#This Row],[HomeTeam]], 1, 0))</f>
        <v>0</v>
      </c>
      <c r="AN2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9" s="2" t="str">
        <f>INDEX(Sheet5!$B$2:$AG$33, MATCH(Table2[[#This Row],[AwayTeam]],Sheet5!$A$2:$A$33, 0), MATCH(Table2[[#This Row],[HomeTeam]],Sheet5!$A$2:$A$33, 0))</f>
        <v>0-0-0</v>
      </c>
      <c r="AP279" s="2" t="str">
        <f>INDEX(Sheet5!$B$2:$AG$33, MATCH(Table2[[#This Row],[HomeTeam]],Sheet5!$A$2:$A$33, 0), MATCH(Table2[[#This Row],[AwayTeam]],Sheet5!$A$2:$A$33, 0))</f>
        <v>0-0-0</v>
      </c>
      <c r="AQ279" s="2">
        <f>IF(Table2[[#This Row],[GameHasShutOut]], 1, 0)</f>
        <v>0</v>
      </c>
      <c r="AR279" s="2">
        <f>IF(Table2[[#This Row],[ActualAwayScore]] + Table2[[#This Row],[ActualHomeScore]] &gt;= 10, 1, 0)</f>
        <v>0</v>
      </c>
      <c r="AS279" s="2">
        <f>IF(ABS(Table2[[#This Row],[ActualAwayScore]]-Table2[[#This Row],[ActualHomeScore]])&gt;=5, 1, 0)</f>
        <v>0</v>
      </c>
      <c r="AT279" s="2">
        <f>IF(Table2[[#This Row],[ActualAwayScore]] + Table2[[#This Row],[ActualHomeScore]] &lt;= 3, 1, 0)</f>
        <v>1</v>
      </c>
      <c r="AU279" s="2"/>
      <c r="AV279" s="2"/>
    </row>
    <row r="280" spans="1:48" x14ac:dyDescent="0.25">
      <c r="A280" s="3"/>
      <c r="B280" s="3">
        <v>45975</v>
      </c>
      <c r="C280" s="5">
        <v>2025020278</v>
      </c>
      <c r="D280" s="2" t="s">
        <v>21</v>
      </c>
      <c r="E280" s="2" t="s">
        <v>11</v>
      </c>
      <c r="F280" s="2"/>
      <c r="G280" s="2"/>
      <c r="H280" s="2" t="str">
        <f t="shared" si="24"/>
        <v>_</v>
      </c>
      <c r="I280" s="2"/>
      <c r="J280" s="2"/>
      <c r="K280" s="2"/>
      <c r="L280" s="2" t="str">
        <f t="shared" si="25"/>
        <v>_</v>
      </c>
      <c r="M280" s="2"/>
      <c r="N280" s="2">
        <f>IF(ISBLANK(Table2[[#This Row],[ActualResult]]), 0, 1)</f>
        <v>0</v>
      </c>
      <c r="O280" s="2" t="str">
        <f>IF(ISBLANK(Table2[[#This Row],[ActualResult]]), "_", IF(Table2[[#This Row],[ActualWinner]]=Table2[[#This Row],[PredictedWinner]], "Y", "N"))</f>
        <v>_</v>
      </c>
      <c r="P2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0" s="2"/>
      <c r="S280" s="2" t="str">
        <f t="shared" si="26"/>
        <v>_</v>
      </c>
      <c r="T2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0" s="2">
        <f>IF(Table2[[#This Row],[InterConf]]=1,IF(Table2[[#This Row],[InterDiv]]=0, 1, 0), 0)</f>
        <v>1</v>
      </c>
      <c r="W2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0" s="2"/>
      <c r="Y280" s="2"/>
      <c r="Z280" s="145">
        <f>IF(AND(Table2[[#This Row],[GameIsOver]]=1,Table2[[#This Row],[ActualHomeScore]]*Table2[[#This Row],[ActualAwayScore]]=0), 1,0)</f>
        <v>0</v>
      </c>
      <c r="AA2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80" s="2">
        <f>Table2[[#This Row],[ActualAwayScore]]-Table2[[#This Row],[PredictedAwayScore]]</f>
        <v>0</v>
      </c>
      <c r="AG280" s="2">
        <f>Table2[[#This Row],[ActualHomeScore]]-Table2[[#This Row],[PredictedHomeScore]]</f>
        <v>0</v>
      </c>
      <c r="AH280" s="2">
        <f t="shared" si="27"/>
        <v>0</v>
      </c>
      <c r="AI280" s="2">
        <f t="shared" si="28"/>
        <v>0</v>
      </c>
      <c r="AJ280" s="2"/>
      <c r="AK280" s="2"/>
      <c r="AL280" s="2">
        <f>IF(Table2[[#This Row],[GameIsOver]]=0,0,IF(Table2[[#This Row],[ActualWinner]]=Table2[[#This Row],[AwayTeam]], 1, 0))</f>
        <v>0</v>
      </c>
      <c r="AM280" s="2">
        <f>IF(Table2[[#This Row],[GameIsOver]]=0,0,IF(Table2[[#This Row],[ActualWinner]]=Table2[[#This Row],[HomeTeam]], 1, 0))</f>
        <v>0</v>
      </c>
      <c r="AN2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0" s="2" t="str">
        <f>INDEX(Sheet5!$B$2:$AG$33, MATCH(Table2[[#This Row],[AwayTeam]],Sheet5!$A$2:$A$33, 0), MATCH(Table2[[#This Row],[HomeTeam]],Sheet5!$A$2:$A$33, 0))</f>
        <v>0-0-0</v>
      </c>
      <c r="AP280" s="2" t="str">
        <f>INDEX(Sheet5!$B$2:$AG$33, MATCH(Table2[[#This Row],[HomeTeam]],Sheet5!$A$2:$A$33, 0), MATCH(Table2[[#This Row],[AwayTeam]],Sheet5!$A$2:$A$33, 0))</f>
        <v>0-0-0</v>
      </c>
      <c r="AQ280" s="2">
        <f>IF(Table2[[#This Row],[GameHasShutOut]], 1, 0)</f>
        <v>0</v>
      </c>
      <c r="AR280" s="2">
        <f>IF(Table2[[#This Row],[ActualAwayScore]] + Table2[[#This Row],[ActualHomeScore]] &gt;= 10, 1, 0)</f>
        <v>0</v>
      </c>
      <c r="AS280" s="2">
        <f>IF(ABS(Table2[[#This Row],[ActualAwayScore]]-Table2[[#This Row],[ActualHomeScore]])&gt;=5, 1, 0)</f>
        <v>0</v>
      </c>
      <c r="AT280" s="2">
        <f>IF(Table2[[#This Row],[ActualAwayScore]] + Table2[[#This Row],[ActualHomeScore]] &lt;= 3, 1, 0)</f>
        <v>1</v>
      </c>
      <c r="AU280" s="2"/>
      <c r="AV280" s="2"/>
    </row>
    <row r="281" spans="1:48" x14ac:dyDescent="0.25">
      <c r="A281" s="3"/>
      <c r="B281" s="3">
        <v>45975</v>
      </c>
      <c r="C281" s="5">
        <v>2025020281</v>
      </c>
      <c r="D281" s="2" t="s">
        <v>20</v>
      </c>
      <c r="E281" s="2" t="s">
        <v>34</v>
      </c>
      <c r="F281" s="2"/>
      <c r="G281" s="2"/>
      <c r="H281" s="2" t="str">
        <f t="shared" si="24"/>
        <v>_</v>
      </c>
      <c r="I281" s="2"/>
      <c r="J281" s="2"/>
      <c r="K281" s="2"/>
      <c r="L281" s="2" t="str">
        <f t="shared" si="25"/>
        <v>_</v>
      </c>
      <c r="M281" s="2"/>
      <c r="N281" s="2">
        <f>IF(ISBLANK(Table2[[#This Row],[ActualResult]]), 0, 1)</f>
        <v>0</v>
      </c>
      <c r="O281" s="2" t="str">
        <f>IF(ISBLANK(Table2[[#This Row],[ActualResult]]), "_", IF(Table2[[#This Row],[ActualWinner]]=Table2[[#This Row],[PredictedWinner]], "Y", "N"))</f>
        <v>_</v>
      </c>
      <c r="P2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1" s="2"/>
      <c r="S281" s="2" t="str">
        <f t="shared" si="26"/>
        <v>_</v>
      </c>
      <c r="T2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1" s="2">
        <f>IF(Table2[[#This Row],[InterConf]]=1,IF(Table2[[#This Row],[InterDiv]]=0, 1, 0), 0)</f>
        <v>0</v>
      </c>
      <c r="W2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1" s="2"/>
      <c r="Y281" s="2"/>
      <c r="Z281" s="145">
        <f>IF(AND(Table2[[#This Row],[GameIsOver]]=1,Table2[[#This Row],[ActualHomeScore]]*Table2[[#This Row],[ActualAwayScore]]=0), 1,0)</f>
        <v>0</v>
      </c>
      <c r="AA2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81" s="2">
        <f>Table2[[#This Row],[ActualAwayScore]]-Table2[[#This Row],[PredictedAwayScore]]</f>
        <v>0</v>
      </c>
      <c r="AG281" s="2">
        <f>Table2[[#This Row],[ActualHomeScore]]-Table2[[#This Row],[PredictedHomeScore]]</f>
        <v>0</v>
      </c>
      <c r="AH281" s="2">
        <f t="shared" si="27"/>
        <v>0</v>
      </c>
      <c r="AI281" s="2">
        <f t="shared" si="28"/>
        <v>0</v>
      </c>
      <c r="AJ281" s="2"/>
      <c r="AK281" s="2"/>
      <c r="AL281" s="2">
        <f>IF(Table2[[#This Row],[GameIsOver]]=0,0,IF(Table2[[#This Row],[ActualWinner]]=Table2[[#This Row],[AwayTeam]], 1, 0))</f>
        <v>0</v>
      </c>
      <c r="AM281" s="2">
        <f>IF(Table2[[#This Row],[GameIsOver]]=0,0,IF(Table2[[#This Row],[ActualWinner]]=Table2[[#This Row],[HomeTeam]], 1, 0))</f>
        <v>0</v>
      </c>
      <c r="AN2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1" s="2" t="str">
        <f>INDEX(Sheet5!$B$2:$AG$33, MATCH(Table2[[#This Row],[AwayTeam]],Sheet5!$A$2:$A$33, 0), MATCH(Table2[[#This Row],[HomeTeam]],Sheet5!$A$2:$A$33, 0))</f>
        <v>0-0-0</v>
      </c>
      <c r="AP281" s="2" t="str">
        <f>INDEX(Sheet5!$B$2:$AG$33, MATCH(Table2[[#This Row],[HomeTeam]],Sheet5!$A$2:$A$33, 0), MATCH(Table2[[#This Row],[AwayTeam]],Sheet5!$A$2:$A$33, 0))</f>
        <v>0-0-0</v>
      </c>
      <c r="AQ281" s="2">
        <f>IF(Table2[[#This Row],[GameHasShutOut]], 1, 0)</f>
        <v>0</v>
      </c>
      <c r="AR281" s="2">
        <f>IF(Table2[[#This Row],[ActualAwayScore]] + Table2[[#This Row],[ActualHomeScore]] &gt;= 10, 1, 0)</f>
        <v>0</v>
      </c>
      <c r="AS281" s="2">
        <f>IF(ABS(Table2[[#This Row],[ActualAwayScore]]-Table2[[#This Row],[ActualHomeScore]])&gt;=5, 1, 0)</f>
        <v>0</v>
      </c>
      <c r="AT281" s="2">
        <f>IF(Table2[[#This Row],[ActualAwayScore]] + Table2[[#This Row],[ActualHomeScore]] &lt;= 3, 1, 0)</f>
        <v>1</v>
      </c>
      <c r="AU281" s="2"/>
      <c r="AV281" s="2"/>
    </row>
    <row r="282" spans="1:48" x14ac:dyDescent="0.25">
      <c r="A282" s="3"/>
      <c r="B282" s="3">
        <v>45976</v>
      </c>
      <c r="C282" s="5">
        <v>2025020279</v>
      </c>
      <c r="D282" s="2" t="s">
        <v>24</v>
      </c>
      <c r="E282" s="2" t="s">
        <v>41</v>
      </c>
      <c r="F282" s="2"/>
      <c r="G282" s="2"/>
      <c r="H282" s="2" t="str">
        <f t="shared" si="24"/>
        <v>_</v>
      </c>
      <c r="I282" s="2"/>
      <c r="J282" s="2"/>
      <c r="K282" s="2"/>
      <c r="L282" s="2" t="str">
        <f t="shared" si="25"/>
        <v>_</v>
      </c>
      <c r="M282" s="2"/>
      <c r="N282" s="2">
        <f>IF(ISBLANK(Table2[[#This Row],[ActualResult]]), 0, 1)</f>
        <v>0</v>
      </c>
      <c r="O282" s="2" t="str">
        <f>IF(ISBLANK(Table2[[#This Row],[ActualResult]]), "_", IF(Table2[[#This Row],[ActualWinner]]=Table2[[#This Row],[PredictedWinner]], "Y", "N"))</f>
        <v>_</v>
      </c>
      <c r="P2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2" s="2"/>
      <c r="S282" s="2" t="str">
        <f t="shared" si="26"/>
        <v>_</v>
      </c>
      <c r="T2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2" s="2">
        <f>IF(Table2[[#This Row],[InterConf]]=1,IF(Table2[[#This Row],[InterDiv]]=0, 1, 0), 0)</f>
        <v>0</v>
      </c>
      <c r="W2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2" s="2"/>
      <c r="Y282" s="2"/>
      <c r="Z282" s="145">
        <f>IF(AND(Table2[[#This Row],[GameIsOver]]=1,Table2[[#This Row],[ActualHomeScore]]*Table2[[#This Row],[ActualAwayScore]]=0), 1,0)</f>
        <v>0</v>
      </c>
      <c r="AA2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2" s="2">
        <f>Table2[[#This Row],[ActualAwayScore]]-Table2[[#This Row],[PredictedAwayScore]]</f>
        <v>0</v>
      </c>
      <c r="AG282" s="2">
        <f>Table2[[#This Row],[ActualHomeScore]]-Table2[[#This Row],[PredictedHomeScore]]</f>
        <v>0</v>
      </c>
      <c r="AH282" s="2">
        <f t="shared" si="27"/>
        <v>0</v>
      </c>
      <c r="AI282" s="2">
        <f t="shared" si="28"/>
        <v>0</v>
      </c>
      <c r="AJ282" s="2"/>
      <c r="AK282" s="2"/>
      <c r="AL282" s="2">
        <f>IF(Table2[[#This Row],[GameIsOver]]=0,0,IF(Table2[[#This Row],[ActualWinner]]=Table2[[#This Row],[AwayTeam]], 1, 0))</f>
        <v>0</v>
      </c>
      <c r="AM282" s="2">
        <f>IF(Table2[[#This Row],[GameIsOver]]=0,0,IF(Table2[[#This Row],[ActualWinner]]=Table2[[#This Row],[HomeTeam]], 1, 0))</f>
        <v>0</v>
      </c>
      <c r="AN2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2" s="2" t="str">
        <f>INDEX(Sheet5!$B$2:$AG$33, MATCH(Table2[[#This Row],[AwayTeam]],Sheet5!$A$2:$A$33, 0), MATCH(Table2[[#This Row],[HomeTeam]],Sheet5!$A$2:$A$33, 0))</f>
        <v>0-0-0</v>
      </c>
      <c r="AP282" s="2" t="str">
        <f>INDEX(Sheet5!$B$2:$AG$33, MATCH(Table2[[#This Row],[HomeTeam]],Sheet5!$A$2:$A$33, 0), MATCH(Table2[[#This Row],[AwayTeam]],Sheet5!$A$2:$A$33, 0))</f>
        <v>0-0-0</v>
      </c>
      <c r="AQ282" s="2">
        <f>IF(Table2[[#This Row],[GameHasShutOut]], 1, 0)</f>
        <v>0</v>
      </c>
      <c r="AR282" s="2">
        <f>IF(Table2[[#This Row],[ActualAwayScore]] + Table2[[#This Row],[ActualHomeScore]] &gt;= 10, 1, 0)</f>
        <v>0</v>
      </c>
      <c r="AS282" s="2">
        <f>IF(ABS(Table2[[#This Row],[ActualAwayScore]]-Table2[[#This Row],[ActualHomeScore]])&gt;=5, 1, 0)</f>
        <v>0</v>
      </c>
      <c r="AT282" s="2">
        <f>IF(Table2[[#This Row],[ActualAwayScore]] + Table2[[#This Row],[ActualHomeScore]] &lt;= 3, 1, 0)</f>
        <v>1</v>
      </c>
      <c r="AU282" s="2"/>
      <c r="AV282" s="2"/>
    </row>
    <row r="283" spans="1:48" x14ac:dyDescent="0.25">
      <c r="A283" s="3"/>
      <c r="B283" s="3">
        <v>45976</v>
      </c>
      <c r="C283" s="5">
        <v>2025020280</v>
      </c>
      <c r="D283" s="2" t="s">
        <v>42</v>
      </c>
      <c r="E283" s="2" t="s">
        <v>12</v>
      </c>
      <c r="F283" s="2"/>
      <c r="G283" s="2"/>
      <c r="H283" s="2" t="str">
        <f t="shared" si="24"/>
        <v>_</v>
      </c>
      <c r="I283" s="2"/>
      <c r="J283" s="2"/>
      <c r="K283" s="2"/>
      <c r="L283" s="2" t="str">
        <f t="shared" si="25"/>
        <v>_</v>
      </c>
      <c r="M283" s="2"/>
      <c r="N283" s="2">
        <f>IF(ISBLANK(Table2[[#This Row],[ActualResult]]), 0, 1)</f>
        <v>0</v>
      </c>
      <c r="O283" s="2" t="str">
        <f>IF(ISBLANK(Table2[[#This Row],[ActualResult]]), "_", IF(Table2[[#This Row],[ActualWinner]]=Table2[[#This Row],[PredictedWinner]], "Y", "N"))</f>
        <v>_</v>
      </c>
      <c r="P2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3" s="2"/>
      <c r="S283" s="2" t="str">
        <f t="shared" si="26"/>
        <v>_</v>
      </c>
      <c r="T2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3" s="2">
        <f>IF(Table2[[#This Row],[InterConf]]=1,IF(Table2[[#This Row],[InterDiv]]=0, 1, 0), 0)</f>
        <v>0</v>
      </c>
      <c r="W2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3" s="2"/>
      <c r="Y283" s="2"/>
      <c r="Z283" s="145">
        <f>IF(AND(Table2[[#This Row],[GameIsOver]]=1,Table2[[#This Row],[ActualHomeScore]]*Table2[[#This Row],[ActualAwayScore]]=0), 1,0)</f>
        <v>0</v>
      </c>
      <c r="AA2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3" s="2">
        <f>Table2[[#This Row],[ActualAwayScore]]-Table2[[#This Row],[PredictedAwayScore]]</f>
        <v>0</v>
      </c>
      <c r="AG283" s="2">
        <f>Table2[[#This Row],[ActualHomeScore]]-Table2[[#This Row],[PredictedHomeScore]]</f>
        <v>0</v>
      </c>
      <c r="AH283" s="2">
        <f t="shared" si="27"/>
        <v>0</v>
      </c>
      <c r="AI283" s="2">
        <f t="shared" si="28"/>
        <v>0</v>
      </c>
      <c r="AJ283" s="2"/>
      <c r="AK283" s="2"/>
      <c r="AL283" s="2">
        <f>IF(Table2[[#This Row],[GameIsOver]]=0,0,IF(Table2[[#This Row],[ActualWinner]]=Table2[[#This Row],[AwayTeam]], 1, 0))</f>
        <v>0</v>
      </c>
      <c r="AM283" s="2">
        <f>IF(Table2[[#This Row],[GameIsOver]]=0,0,IF(Table2[[#This Row],[ActualWinner]]=Table2[[#This Row],[HomeTeam]], 1, 0))</f>
        <v>0</v>
      </c>
      <c r="AN2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3" s="2" t="str">
        <f>INDEX(Sheet5!$B$2:$AG$33, MATCH(Table2[[#This Row],[AwayTeam]],Sheet5!$A$2:$A$33, 0), MATCH(Table2[[#This Row],[HomeTeam]],Sheet5!$A$2:$A$33, 0))</f>
        <v>0-0-0</v>
      </c>
      <c r="AP283" s="2" t="str">
        <f>INDEX(Sheet5!$B$2:$AG$33, MATCH(Table2[[#This Row],[HomeTeam]],Sheet5!$A$2:$A$33, 0), MATCH(Table2[[#This Row],[AwayTeam]],Sheet5!$A$2:$A$33, 0))</f>
        <v>0-0-0</v>
      </c>
      <c r="AQ283" s="2">
        <f>IF(Table2[[#This Row],[GameHasShutOut]], 1, 0)</f>
        <v>0</v>
      </c>
      <c r="AR283" s="2">
        <f>IF(Table2[[#This Row],[ActualAwayScore]] + Table2[[#This Row],[ActualHomeScore]] &gt;= 10, 1, 0)</f>
        <v>0</v>
      </c>
      <c r="AS283" s="2">
        <f>IF(ABS(Table2[[#This Row],[ActualAwayScore]]-Table2[[#This Row],[ActualHomeScore]])&gt;=5, 1, 0)</f>
        <v>0</v>
      </c>
      <c r="AT283" s="2">
        <f>IF(Table2[[#This Row],[ActualAwayScore]] + Table2[[#This Row],[ActualHomeScore]] &lt;= 3, 1, 0)</f>
        <v>1</v>
      </c>
      <c r="AU283" s="2"/>
      <c r="AV283" s="2"/>
    </row>
    <row r="284" spans="1:48" x14ac:dyDescent="0.25">
      <c r="A284" s="3"/>
      <c r="B284" s="3">
        <v>45976</v>
      </c>
      <c r="C284" s="5">
        <v>2025020282</v>
      </c>
      <c r="D284" s="2" t="s">
        <v>32</v>
      </c>
      <c r="E284" s="2" t="s">
        <v>14</v>
      </c>
      <c r="F284" s="2"/>
      <c r="G284" s="2"/>
      <c r="H284" s="2" t="str">
        <f t="shared" si="24"/>
        <v>_</v>
      </c>
      <c r="I284" s="2"/>
      <c r="J284" s="2"/>
      <c r="K284" s="2"/>
      <c r="L284" s="2" t="str">
        <f t="shared" si="25"/>
        <v>_</v>
      </c>
      <c r="M284" s="2"/>
      <c r="N284" s="2">
        <f>IF(ISBLANK(Table2[[#This Row],[ActualResult]]), 0, 1)</f>
        <v>0</v>
      </c>
      <c r="O284" s="2" t="str">
        <f>IF(ISBLANK(Table2[[#This Row],[ActualResult]]), "_", IF(Table2[[#This Row],[ActualWinner]]=Table2[[#This Row],[PredictedWinner]], "Y", "N"))</f>
        <v>_</v>
      </c>
      <c r="P2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4" s="2"/>
      <c r="S284" s="2" t="str">
        <f t="shared" si="26"/>
        <v>_</v>
      </c>
      <c r="T2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4" s="2">
        <f>IF(Table2[[#This Row],[InterConf]]=1,IF(Table2[[#This Row],[InterDiv]]=0, 1, 0), 0)</f>
        <v>0</v>
      </c>
      <c r="W2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4" s="2"/>
      <c r="Y284" s="2"/>
      <c r="Z284" s="145">
        <f>IF(AND(Table2[[#This Row],[GameIsOver]]=1,Table2[[#This Row],[ActualHomeScore]]*Table2[[#This Row],[ActualAwayScore]]=0), 1,0)</f>
        <v>0</v>
      </c>
      <c r="AA2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4" s="2">
        <f>Table2[[#This Row],[ActualAwayScore]]-Table2[[#This Row],[PredictedAwayScore]]</f>
        <v>0</v>
      </c>
      <c r="AG284" s="2">
        <f>Table2[[#This Row],[ActualHomeScore]]-Table2[[#This Row],[PredictedHomeScore]]</f>
        <v>0</v>
      </c>
      <c r="AH284" s="2">
        <f t="shared" si="27"/>
        <v>0</v>
      </c>
      <c r="AI284" s="2">
        <f t="shared" si="28"/>
        <v>0</v>
      </c>
      <c r="AJ284" s="2"/>
      <c r="AK284" s="2"/>
      <c r="AL284" s="2">
        <f>IF(Table2[[#This Row],[GameIsOver]]=0,0,IF(Table2[[#This Row],[ActualWinner]]=Table2[[#This Row],[AwayTeam]], 1, 0))</f>
        <v>0</v>
      </c>
      <c r="AM284" s="2">
        <f>IF(Table2[[#This Row],[GameIsOver]]=0,0,IF(Table2[[#This Row],[ActualWinner]]=Table2[[#This Row],[HomeTeam]], 1, 0))</f>
        <v>0</v>
      </c>
      <c r="AN2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4" s="2" t="str">
        <f>INDEX(Sheet5!$B$2:$AG$33, MATCH(Table2[[#This Row],[AwayTeam]],Sheet5!$A$2:$A$33, 0), MATCH(Table2[[#This Row],[HomeTeam]],Sheet5!$A$2:$A$33, 0))</f>
        <v>0-0-0</v>
      </c>
      <c r="AP284" s="2" t="str">
        <f>INDEX(Sheet5!$B$2:$AG$33, MATCH(Table2[[#This Row],[HomeTeam]],Sheet5!$A$2:$A$33, 0), MATCH(Table2[[#This Row],[AwayTeam]],Sheet5!$A$2:$A$33, 0))</f>
        <v>0-0-0</v>
      </c>
      <c r="AQ284" s="2">
        <f>IF(Table2[[#This Row],[GameHasShutOut]], 1, 0)</f>
        <v>0</v>
      </c>
      <c r="AR284" s="2">
        <f>IF(Table2[[#This Row],[ActualAwayScore]] + Table2[[#This Row],[ActualHomeScore]] &gt;= 10, 1, 0)</f>
        <v>0</v>
      </c>
      <c r="AS284" s="2">
        <f>IF(ABS(Table2[[#This Row],[ActualAwayScore]]-Table2[[#This Row],[ActualHomeScore]])&gt;=5, 1, 0)</f>
        <v>0</v>
      </c>
      <c r="AT284" s="2">
        <f>IF(Table2[[#This Row],[ActualAwayScore]] + Table2[[#This Row],[ActualHomeScore]] &lt;= 3, 1, 0)</f>
        <v>1</v>
      </c>
      <c r="AU284" s="2"/>
      <c r="AV284" s="2"/>
    </row>
    <row r="285" spans="1:48" x14ac:dyDescent="0.25">
      <c r="A285" s="3"/>
      <c r="B285" s="3">
        <v>45976</v>
      </c>
      <c r="C285" s="5">
        <v>2025020283</v>
      </c>
      <c r="D285" s="2" t="s">
        <v>40</v>
      </c>
      <c r="E285" s="2" t="s">
        <v>13</v>
      </c>
      <c r="F285" s="2"/>
      <c r="G285" s="2"/>
      <c r="H285" s="2" t="str">
        <f t="shared" si="24"/>
        <v>_</v>
      </c>
      <c r="I285" s="2"/>
      <c r="J285" s="2"/>
      <c r="K285" s="2"/>
      <c r="L285" s="2" t="str">
        <f t="shared" si="25"/>
        <v>_</v>
      </c>
      <c r="M285" s="2"/>
      <c r="N285" s="2">
        <f>IF(ISBLANK(Table2[[#This Row],[ActualResult]]), 0, 1)</f>
        <v>0</v>
      </c>
      <c r="O285" s="2" t="str">
        <f>IF(ISBLANK(Table2[[#This Row],[ActualResult]]), "_", IF(Table2[[#This Row],[ActualWinner]]=Table2[[#This Row],[PredictedWinner]], "Y", "N"))</f>
        <v>_</v>
      </c>
      <c r="P2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5" s="2"/>
      <c r="S285" s="2" t="str">
        <f t="shared" si="26"/>
        <v>_</v>
      </c>
      <c r="T2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85" s="2">
        <f>IF(Table2[[#This Row],[InterConf]]=1,IF(Table2[[#This Row],[InterDiv]]=0, 1, 0), 0)</f>
        <v>0</v>
      </c>
      <c r="W2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5" s="2"/>
      <c r="Y285" s="2"/>
      <c r="Z285" s="145">
        <f>IF(AND(Table2[[#This Row],[GameIsOver]]=1,Table2[[#This Row],[ActualHomeScore]]*Table2[[#This Row],[ActualAwayScore]]=0), 1,0)</f>
        <v>0</v>
      </c>
      <c r="AA2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5" s="2">
        <f>Table2[[#This Row],[ActualAwayScore]]-Table2[[#This Row],[PredictedAwayScore]]</f>
        <v>0</v>
      </c>
      <c r="AG285" s="2">
        <f>Table2[[#This Row],[ActualHomeScore]]-Table2[[#This Row],[PredictedHomeScore]]</f>
        <v>0</v>
      </c>
      <c r="AH285" s="2">
        <f t="shared" si="27"/>
        <v>0</v>
      </c>
      <c r="AI285" s="2">
        <f t="shared" si="28"/>
        <v>0</v>
      </c>
      <c r="AJ285" s="2"/>
      <c r="AK285" s="2"/>
      <c r="AL285" s="2">
        <f>IF(Table2[[#This Row],[GameIsOver]]=0,0,IF(Table2[[#This Row],[ActualWinner]]=Table2[[#This Row],[AwayTeam]], 1, 0))</f>
        <v>0</v>
      </c>
      <c r="AM285" s="2">
        <f>IF(Table2[[#This Row],[GameIsOver]]=0,0,IF(Table2[[#This Row],[ActualWinner]]=Table2[[#This Row],[HomeTeam]], 1, 0))</f>
        <v>0</v>
      </c>
      <c r="AN2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5" s="2" t="str">
        <f>INDEX(Sheet5!$B$2:$AG$33, MATCH(Table2[[#This Row],[AwayTeam]],Sheet5!$A$2:$A$33, 0), MATCH(Table2[[#This Row],[HomeTeam]],Sheet5!$A$2:$A$33, 0))</f>
        <v>0-0-0</v>
      </c>
      <c r="AP285" s="2" t="str">
        <f>INDEX(Sheet5!$B$2:$AG$33, MATCH(Table2[[#This Row],[HomeTeam]],Sheet5!$A$2:$A$33, 0), MATCH(Table2[[#This Row],[AwayTeam]],Sheet5!$A$2:$A$33, 0))</f>
        <v>0-0-0</v>
      </c>
      <c r="AQ285" s="2">
        <f>IF(Table2[[#This Row],[GameHasShutOut]], 1, 0)</f>
        <v>0</v>
      </c>
      <c r="AR285" s="2">
        <f>IF(Table2[[#This Row],[ActualAwayScore]] + Table2[[#This Row],[ActualHomeScore]] &gt;= 10, 1, 0)</f>
        <v>0</v>
      </c>
      <c r="AS285" s="2">
        <f>IF(ABS(Table2[[#This Row],[ActualAwayScore]]-Table2[[#This Row],[ActualHomeScore]])&gt;=5, 1, 0)</f>
        <v>0</v>
      </c>
      <c r="AT285" s="2">
        <f>IF(Table2[[#This Row],[ActualAwayScore]] + Table2[[#This Row],[ActualHomeScore]] &lt;= 3, 1, 0)</f>
        <v>1</v>
      </c>
      <c r="AU285" s="2"/>
      <c r="AV285" s="2"/>
    </row>
    <row r="286" spans="1:48" x14ac:dyDescent="0.25">
      <c r="A286" s="3"/>
      <c r="B286" s="3">
        <v>45976</v>
      </c>
      <c r="C286" s="5">
        <v>2025020284</v>
      </c>
      <c r="D286" s="2" t="s">
        <v>44</v>
      </c>
      <c r="E286" s="2" t="s">
        <v>36</v>
      </c>
      <c r="F286" s="2"/>
      <c r="G286" s="2"/>
      <c r="H286" s="2" t="str">
        <f t="shared" si="24"/>
        <v>_</v>
      </c>
      <c r="I286" s="2"/>
      <c r="J286" s="2"/>
      <c r="K286" s="2"/>
      <c r="L286" s="2" t="str">
        <f t="shared" si="25"/>
        <v>_</v>
      </c>
      <c r="M286" s="2"/>
      <c r="N286" s="2">
        <f>IF(ISBLANK(Table2[[#This Row],[ActualResult]]), 0, 1)</f>
        <v>0</v>
      </c>
      <c r="O286" s="2" t="str">
        <f>IF(ISBLANK(Table2[[#This Row],[ActualResult]]), "_", IF(Table2[[#This Row],[ActualWinner]]=Table2[[#This Row],[PredictedWinner]], "Y", "N"))</f>
        <v>_</v>
      </c>
      <c r="P2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6" s="2"/>
      <c r="S286" s="2" t="str">
        <f t="shared" si="26"/>
        <v>_</v>
      </c>
      <c r="T2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6" s="2">
        <f>IF(Table2[[#This Row],[InterConf]]=1,IF(Table2[[#This Row],[InterDiv]]=0, 1, 0), 0)</f>
        <v>1</v>
      </c>
      <c r="W2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6" s="2"/>
      <c r="Y286" s="2"/>
      <c r="Z286" s="145">
        <f>IF(AND(Table2[[#This Row],[GameIsOver]]=1,Table2[[#This Row],[ActualHomeScore]]*Table2[[#This Row],[ActualAwayScore]]=0), 1,0)</f>
        <v>0</v>
      </c>
      <c r="AA2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6" s="2">
        <f>Table2[[#This Row],[ActualAwayScore]]-Table2[[#This Row],[PredictedAwayScore]]</f>
        <v>0</v>
      </c>
      <c r="AG286" s="2">
        <f>Table2[[#This Row],[ActualHomeScore]]-Table2[[#This Row],[PredictedHomeScore]]</f>
        <v>0</v>
      </c>
      <c r="AH286" s="2">
        <f t="shared" si="27"/>
        <v>0</v>
      </c>
      <c r="AI286" s="2">
        <f t="shared" si="28"/>
        <v>0</v>
      </c>
      <c r="AJ286" s="2"/>
      <c r="AK286" s="2"/>
      <c r="AL286" s="2">
        <f>IF(Table2[[#This Row],[GameIsOver]]=0,0,IF(Table2[[#This Row],[ActualWinner]]=Table2[[#This Row],[AwayTeam]], 1, 0))</f>
        <v>0</v>
      </c>
      <c r="AM286" s="2">
        <f>IF(Table2[[#This Row],[GameIsOver]]=0,0,IF(Table2[[#This Row],[ActualWinner]]=Table2[[#This Row],[HomeTeam]], 1, 0))</f>
        <v>0</v>
      </c>
      <c r="AN2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6" s="2" t="str">
        <f>INDEX(Sheet5!$B$2:$AG$33, MATCH(Table2[[#This Row],[AwayTeam]],Sheet5!$A$2:$A$33, 0), MATCH(Table2[[#This Row],[HomeTeam]],Sheet5!$A$2:$A$33, 0))</f>
        <v>0-0-0</v>
      </c>
      <c r="AP286" s="2" t="str">
        <f>INDEX(Sheet5!$B$2:$AG$33, MATCH(Table2[[#This Row],[HomeTeam]],Sheet5!$A$2:$A$33, 0), MATCH(Table2[[#This Row],[AwayTeam]],Sheet5!$A$2:$A$33, 0))</f>
        <v>0-0-0</v>
      </c>
      <c r="AQ286" s="2">
        <f>IF(Table2[[#This Row],[GameHasShutOut]], 1, 0)</f>
        <v>0</v>
      </c>
      <c r="AR286" s="2">
        <f>IF(Table2[[#This Row],[ActualAwayScore]] + Table2[[#This Row],[ActualHomeScore]] &gt;= 10, 1, 0)</f>
        <v>0</v>
      </c>
      <c r="AS286" s="2">
        <f>IF(ABS(Table2[[#This Row],[ActualAwayScore]]-Table2[[#This Row],[ActualHomeScore]])&gt;=5, 1, 0)</f>
        <v>0</v>
      </c>
      <c r="AT286" s="2">
        <f>IF(Table2[[#This Row],[ActualAwayScore]] + Table2[[#This Row],[ActualHomeScore]] &lt;= 3, 1, 0)</f>
        <v>1</v>
      </c>
      <c r="AU286" s="2"/>
      <c r="AV286" s="2"/>
    </row>
    <row r="287" spans="1:48" x14ac:dyDescent="0.25">
      <c r="A287" s="3"/>
      <c r="B287" s="3">
        <v>45977</v>
      </c>
      <c r="C287" s="5">
        <v>2025020285</v>
      </c>
      <c r="D287" s="2" t="s">
        <v>15</v>
      </c>
      <c r="E287" s="2" t="s">
        <v>18</v>
      </c>
      <c r="F287" s="2"/>
      <c r="G287" s="2"/>
      <c r="H287" s="2" t="str">
        <f t="shared" si="24"/>
        <v>_</v>
      </c>
      <c r="I287" s="2"/>
      <c r="J287" s="2"/>
      <c r="K287" s="2"/>
      <c r="L287" s="2" t="str">
        <f t="shared" si="25"/>
        <v>_</v>
      </c>
      <c r="M287" s="2"/>
      <c r="N287" s="2">
        <f>IF(ISBLANK(Table2[[#This Row],[ActualResult]]), 0, 1)</f>
        <v>0</v>
      </c>
      <c r="O287" s="2" t="str">
        <f>IF(ISBLANK(Table2[[#This Row],[ActualResult]]), "_", IF(Table2[[#This Row],[ActualWinner]]=Table2[[#This Row],[PredictedWinner]], "Y", "N"))</f>
        <v>_</v>
      </c>
      <c r="P2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7" s="2"/>
      <c r="S287" s="2" t="str">
        <f t="shared" si="26"/>
        <v>_</v>
      </c>
      <c r="T2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87" s="2">
        <f>IF(Table2[[#This Row],[InterConf]]=1,IF(Table2[[#This Row],[InterDiv]]=0, 1, 0), 0)</f>
        <v>0</v>
      </c>
      <c r="W2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7" s="2"/>
      <c r="Y287" s="2"/>
      <c r="Z287" s="145">
        <f>IF(AND(Table2[[#This Row],[GameIsOver]]=1,Table2[[#This Row],[ActualHomeScore]]*Table2[[#This Row],[ActualAwayScore]]=0), 1,0)</f>
        <v>0</v>
      </c>
      <c r="AA2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87" s="2">
        <f>Table2[[#This Row],[ActualAwayScore]]-Table2[[#This Row],[PredictedAwayScore]]</f>
        <v>0</v>
      </c>
      <c r="AG287" s="2">
        <f>Table2[[#This Row],[ActualHomeScore]]-Table2[[#This Row],[PredictedHomeScore]]</f>
        <v>0</v>
      </c>
      <c r="AH287" s="2">
        <f t="shared" si="27"/>
        <v>0</v>
      </c>
      <c r="AI287" s="2">
        <f t="shared" si="28"/>
        <v>0</v>
      </c>
      <c r="AJ287" s="2"/>
      <c r="AK287" s="2"/>
      <c r="AL287" s="2">
        <f>IF(Table2[[#This Row],[GameIsOver]]=0,0,IF(Table2[[#This Row],[ActualWinner]]=Table2[[#This Row],[AwayTeam]], 1, 0))</f>
        <v>0</v>
      </c>
      <c r="AM287" s="2">
        <f>IF(Table2[[#This Row],[GameIsOver]]=0,0,IF(Table2[[#This Row],[ActualWinner]]=Table2[[#This Row],[HomeTeam]], 1, 0))</f>
        <v>0</v>
      </c>
      <c r="AN2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7" s="2" t="str">
        <f>INDEX(Sheet5!$B$2:$AG$33, MATCH(Table2[[#This Row],[AwayTeam]],Sheet5!$A$2:$A$33, 0), MATCH(Table2[[#This Row],[HomeTeam]],Sheet5!$A$2:$A$33, 0))</f>
        <v>0-0-0</v>
      </c>
      <c r="AP287" s="2" t="str">
        <f>INDEX(Sheet5!$B$2:$AG$33, MATCH(Table2[[#This Row],[HomeTeam]],Sheet5!$A$2:$A$33, 0), MATCH(Table2[[#This Row],[AwayTeam]],Sheet5!$A$2:$A$33, 0))</f>
        <v>0-0-0</v>
      </c>
      <c r="AQ287" s="2">
        <f>IF(Table2[[#This Row],[GameHasShutOut]], 1, 0)</f>
        <v>0</v>
      </c>
      <c r="AR287" s="2">
        <f>IF(Table2[[#This Row],[ActualAwayScore]] + Table2[[#This Row],[ActualHomeScore]] &gt;= 10, 1, 0)</f>
        <v>0</v>
      </c>
      <c r="AS287" s="2">
        <f>IF(ABS(Table2[[#This Row],[ActualAwayScore]]-Table2[[#This Row],[ActualHomeScore]])&gt;=5, 1, 0)</f>
        <v>0</v>
      </c>
      <c r="AT287" s="2">
        <f>IF(Table2[[#This Row],[ActualAwayScore]] + Table2[[#This Row],[ActualHomeScore]] &lt;= 3, 1, 0)</f>
        <v>1</v>
      </c>
      <c r="AU287" s="2"/>
      <c r="AV287" s="2"/>
    </row>
    <row r="288" spans="1:48" x14ac:dyDescent="0.25">
      <c r="A288" s="3"/>
      <c r="B288" s="3">
        <v>45977</v>
      </c>
      <c r="C288" s="5">
        <v>2025020286</v>
      </c>
      <c r="D288" s="2" t="s">
        <v>27</v>
      </c>
      <c r="E288" s="2" t="s">
        <v>29</v>
      </c>
      <c r="F288" s="2"/>
      <c r="G288" s="2"/>
      <c r="H288" s="2" t="str">
        <f t="shared" si="24"/>
        <v>_</v>
      </c>
      <c r="I288" s="2"/>
      <c r="J288" s="2"/>
      <c r="K288" s="2"/>
      <c r="L288" s="2" t="str">
        <f t="shared" si="25"/>
        <v>_</v>
      </c>
      <c r="M288" s="2"/>
      <c r="N288" s="2">
        <f>IF(ISBLANK(Table2[[#This Row],[ActualResult]]), 0, 1)</f>
        <v>0</v>
      </c>
      <c r="O288" s="2" t="str">
        <f>IF(ISBLANK(Table2[[#This Row],[ActualResult]]), "_", IF(Table2[[#This Row],[ActualWinner]]=Table2[[#This Row],[PredictedWinner]], "Y", "N"))</f>
        <v>_</v>
      </c>
      <c r="P2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8" s="2"/>
      <c r="S288" s="2" t="str">
        <f t="shared" si="26"/>
        <v>_</v>
      </c>
      <c r="T2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8" s="2">
        <f>IF(Table2[[#This Row],[InterConf]]=1,IF(Table2[[#This Row],[InterDiv]]=0, 1, 0), 0)</f>
        <v>0</v>
      </c>
      <c r="W2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8" s="2"/>
      <c r="Y288" s="2"/>
      <c r="Z288" s="145">
        <f>IF(AND(Table2[[#This Row],[GameIsOver]]=1,Table2[[#This Row],[ActualHomeScore]]*Table2[[#This Row],[ActualAwayScore]]=0), 1,0)</f>
        <v>0</v>
      </c>
      <c r="AA2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88" s="2">
        <f>Table2[[#This Row],[ActualAwayScore]]-Table2[[#This Row],[PredictedAwayScore]]</f>
        <v>0</v>
      </c>
      <c r="AG288" s="2">
        <f>Table2[[#This Row],[ActualHomeScore]]-Table2[[#This Row],[PredictedHomeScore]]</f>
        <v>0</v>
      </c>
      <c r="AH288" s="2">
        <f t="shared" si="27"/>
        <v>0</v>
      </c>
      <c r="AI288" s="2">
        <f t="shared" si="28"/>
        <v>0</v>
      </c>
      <c r="AJ288" s="2"/>
      <c r="AK288" s="2"/>
      <c r="AL288" s="2">
        <f>IF(Table2[[#This Row],[GameIsOver]]=0,0,IF(Table2[[#This Row],[ActualWinner]]=Table2[[#This Row],[AwayTeam]], 1, 0))</f>
        <v>0</v>
      </c>
      <c r="AM288" s="2">
        <f>IF(Table2[[#This Row],[GameIsOver]]=0,0,IF(Table2[[#This Row],[ActualWinner]]=Table2[[#This Row],[HomeTeam]], 1, 0))</f>
        <v>0</v>
      </c>
      <c r="AN288" s="2">
        <f>IF(IFERROR(FIND(Table2[[#This Row],[AwayTeam]], _xlfn.TEXTJOIN(";", 1, $BD$31:$BD$40)), 0) &gt; 0, 1, 0) + IF(IFERROR(FIND(Table2[[#This Row],[HomeTeam]], _xlfn.TEXTJOIN(";", 1, $BD$31:$BD$40)), 0) &gt; 0, 1, 0)</f>
        <v>1</v>
      </c>
      <c r="AO288" s="2" t="str">
        <f>INDEX(Sheet5!$B$2:$AG$33, MATCH(Table2[[#This Row],[AwayTeam]],Sheet5!$A$2:$A$33, 0), MATCH(Table2[[#This Row],[HomeTeam]],Sheet5!$A$2:$A$33, 0))</f>
        <v>0-0-0</v>
      </c>
      <c r="AP288" s="2" t="str">
        <f>INDEX(Sheet5!$B$2:$AG$33, MATCH(Table2[[#This Row],[HomeTeam]],Sheet5!$A$2:$A$33, 0), MATCH(Table2[[#This Row],[AwayTeam]],Sheet5!$A$2:$A$33, 0))</f>
        <v>0-0-0</v>
      </c>
      <c r="AQ288" s="2">
        <f>IF(Table2[[#This Row],[GameHasShutOut]], 1, 0)</f>
        <v>0</v>
      </c>
      <c r="AR288" s="2">
        <f>IF(Table2[[#This Row],[ActualAwayScore]] + Table2[[#This Row],[ActualHomeScore]] &gt;= 10, 1, 0)</f>
        <v>0</v>
      </c>
      <c r="AS288" s="2">
        <f>IF(ABS(Table2[[#This Row],[ActualAwayScore]]-Table2[[#This Row],[ActualHomeScore]])&gt;=5, 1, 0)</f>
        <v>0</v>
      </c>
      <c r="AT288" s="2">
        <f>IF(Table2[[#This Row],[ActualAwayScore]] + Table2[[#This Row],[ActualHomeScore]] &lt;= 3, 1, 0)</f>
        <v>1</v>
      </c>
      <c r="AU288" s="2"/>
      <c r="AV288" s="2"/>
    </row>
    <row r="289" spans="1:48" x14ac:dyDescent="0.25">
      <c r="A289" s="3"/>
      <c r="B289" s="3">
        <v>45977</v>
      </c>
      <c r="C289" s="5">
        <v>2025020287</v>
      </c>
      <c r="D289" s="2" t="s">
        <v>28</v>
      </c>
      <c r="E289" s="2" t="s">
        <v>30</v>
      </c>
      <c r="F289" s="2"/>
      <c r="G289" s="2"/>
      <c r="H289" s="2" t="str">
        <f t="shared" si="24"/>
        <v>_</v>
      </c>
      <c r="I289" s="2"/>
      <c r="J289" s="2"/>
      <c r="K289" s="2"/>
      <c r="L289" s="2" t="str">
        <f t="shared" si="25"/>
        <v>_</v>
      </c>
      <c r="M289" s="2"/>
      <c r="N289" s="2">
        <f>IF(ISBLANK(Table2[[#This Row],[ActualResult]]), 0, 1)</f>
        <v>0</v>
      </c>
      <c r="O289" s="2" t="str">
        <f>IF(ISBLANK(Table2[[#This Row],[ActualResult]]), "_", IF(Table2[[#This Row],[ActualWinner]]=Table2[[#This Row],[PredictedWinner]], "Y", "N"))</f>
        <v>_</v>
      </c>
      <c r="P2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9" s="2"/>
      <c r="S289" s="2" t="str">
        <f t="shared" si="26"/>
        <v>_</v>
      </c>
      <c r="T2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89" s="2">
        <f>IF(Table2[[#This Row],[InterConf]]=1,IF(Table2[[#This Row],[InterDiv]]=0, 1, 0), 0)</f>
        <v>0</v>
      </c>
      <c r="W2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9" s="2"/>
      <c r="Y289" s="2"/>
      <c r="Z289" s="145">
        <f>IF(AND(Table2[[#This Row],[GameIsOver]]=1,Table2[[#This Row],[ActualHomeScore]]*Table2[[#This Row],[ActualAwayScore]]=0), 1,0)</f>
        <v>0</v>
      </c>
      <c r="AA2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89" s="2">
        <f>Table2[[#This Row],[ActualAwayScore]]-Table2[[#This Row],[PredictedAwayScore]]</f>
        <v>0</v>
      </c>
      <c r="AG289" s="2">
        <f>Table2[[#This Row],[ActualHomeScore]]-Table2[[#This Row],[PredictedHomeScore]]</f>
        <v>0</v>
      </c>
      <c r="AH289" s="2">
        <f t="shared" si="27"/>
        <v>0</v>
      </c>
      <c r="AI289" s="2">
        <f t="shared" si="28"/>
        <v>0</v>
      </c>
      <c r="AJ289" s="2"/>
      <c r="AK289" s="2"/>
      <c r="AL289" s="2">
        <f>IF(Table2[[#This Row],[GameIsOver]]=0,0,IF(Table2[[#This Row],[ActualWinner]]=Table2[[#This Row],[AwayTeam]], 1, 0))</f>
        <v>0</v>
      </c>
      <c r="AM289" s="2">
        <f>IF(Table2[[#This Row],[GameIsOver]]=0,0,IF(Table2[[#This Row],[ActualWinner]]=Table2[[#This Row],[HomeTeam]], 1, 0))</f>
        <v>0</v>
      </c>
      <c r="AN2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9" s="2" t="str">
        <f>INDEX(Sheet5!$B$2:$AG$33, MATCH(Table2[[#This Row],[AwayTeam]],Sheet5!$A$2:$A$33, 0), MATCH(Table2[[#This Row],[HomeTeam]],Sheet5!$A$2:$A$33, 0))</f>
        <v>0-0-0</v>
      </c>
      <c r="AP289" s="2" t="str">
        <f>INDEX(Sheet5!$B$2:$AG$33, MATCH(Table2[[#This Row],[HomeTeam]],Sheet5!$A$2:$A$33, 0), MATCH(Table2[[#This Row],[AwayTeam]],Sheet5!$A$2:$A$33, 0))</f>
        <v>0-0-0</v>
      </c>
      <c r="AQ289" s="2">
        <f>IF(Table2[[#This Row],[GameHasShutOut]], 1, 0)</f>
        <v>0</v>
      </c>
      <c r="AR289" s="2">
        <f>IF(Table2[[#This Row],[ActualAwayScore]] + Table2[[#This Row],[ActualHomeScore]] &gt;= 10, 1, 0)</f>
        <v>0</v>
      </c>
      <c r="AS289" s="2">
        <f>IF(ABS(Table2[[#This Row],[ActualAwayScore]]-Table2[[#This Row],[ActualHomeScore]])&gt;=5, 1, 0)</f>
        <v>0</v>
      </c>
      <c r="AT289" s="2">
        <f>IF(Table2[[#This Row],[ActualAwayScore]] + Table2[[#This Row],[ActualHomeScore]] &lt;= 3, 1, 0)</f>
        <v>1</v>
      </c>
      <c r="AU289" s="2"/>
      <c r="AV289" s="2"/>
    </row>
    <row r="290" spans="1:48" x14ac:dyDescent="0.25">
      <c r="A290" s="3"/>
      <c r="B290" s="3">
        <v>45977</v>
      </c>
      <c r="C290" s="5">
        <v>2025020288</v>
      </c>
      <c r="D290" s="2" t="s">
        <v>31</v>
      </c>
      <c r="E290" s="2" t="s">
        <v>43</v>
      </c>
      <c r="F290" s="2"/>
      <c r="G290" s="2"/>
      <c r="H290" s="2" t="str">
        <f>IF(AND(ISBLANK($F290),ISBLANK($G290)),"_",IF($F290&gt;$G290,$D290,$E290))</f>
        <v>_</v>
      </c>
      <c r="I290" s="2"/>
      <c r="J290" s="2"/>
      <c r="K290" s="2"/>
      <c r="L290" s="2" t="str">
        <f t="shared" si="25"/>
        <v>_</v>
      </c>
      <c r="M290" s="2"/>
      <c r="N290" s="2">
        <f>IF(ISBLANK(Table2[[#This Row],[ActualResult]]), 0, 1)</f>
        <v>0</v>
      </c>
      <c r="O290" s="2" t="str">
        <f>IF(ISBLANK(Table2[[#This Row],[ActualResult]]), "_", IF(Table2[[#This Row],[ActualWinner]]=Table2[[#This Row],[PredictedWinner]], "Y", "N"))</f>
        <v>_</v>
      </c>
      <c r="P2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0" s="2"/>
      <c r="S290" s="2" t="str">
        <f t="shared" si="26"/>
        <v>_</v>
      </c>
      <c r="T2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0" s="2">
        <f>IF(Table2[[#This Row],[InterConf]]=1,IF(Table2[[#This Row],[InterDiv]]=0, 1, 0), 0)</f>
        <v>0</v>
      </c>
      <c r="W2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0" s="2"/>
      <c r="Y290" s="2"/>
      <c r="Z290" s="145">
        <f>IF(AND(Table2[[#This Row],[GameIsOver]]=1,Table2[[#This Row],[ActualHomeScore]]*Table2[[#This Row],[ActualAwayScore]]=0), 1,0)</f>
        <v>0</v>
      </c>
      <c r="AA2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0" s="2">
        <f>Table2[[#This Row],[ActualAwayScore]]-Table2[[#This Row],[PredictedAwayScore]]</f>
        <v>0</v>
      </c>
      <c r="AG290" s="2">
        <f>Table2[[#This Row],[ActualHomeScore]]-Table2[[#This Row],[PredictedHomeScore]]</f>
        <v>0</v>
      </c>
      <c r="AH290" s="2">
        <f t="shared" si="27"/>
        <v>0</v>
      </c>
      <c r="AI290" s="2">
        <f t="shared" si="28"/>
        <v>0</v>
      </c>
      <c r="AJ290" s="2"/>
      <c r="AK290" s="2"/>
      <c r="AL290" s="2">
        <f>IF(Table2[[#This Row],[GameIsOver]]=0,0,IF(Table2[[#This Row],[ActualWinner]]=Table2[[#This Row],[AwayTeam]], 1, 0))</f>
        <v>0</v>
      </c>
      <c r="AM290" s="2">
        <f>IF(Table2[[#This Row],[GameIsOver]]=0,0,IF(Table2[[#This Row],[ActualWinner]]=Table2[[#This Row],[HomeTeam]], 1, 0))</f>
        <v>0</v>
      </c>
      <c r="AN2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0" s="2" t="str">
        <f>INDEX(Sheet5!$B$2:$AG$33, MATCH(Table2[[#This Row],[AwayTeam]],Sheet5!$A$2:$A$33, 0), MATCH(Table2[[#This Row],[HomeTeam]],Sheet5!$A$2:$A$33, 0))</f>
        <v>0-0-0</v>
      </c>
      <c r="AP290" s="2" t="str">
        <f>INDEX(Sheet5!$B$2:$AG$33, MATCH(Table2[[#This Row],[HomeTeam]],Sheet5!$A$2:$A$33, 0), MATCH(Table2[[#This Row],[AwayTeam]],Sheet5!$A$2:$A$33, 0))</f>
        <v>0-0-0</v>
      </c>
      <c r="AQ290" s="2">
        <f>IF(Table2[[#This Row],[GameHasShutOut]], 1, 0)</f>
        <v>0</v>
      </c>
      <c r="AR290" s="2">
        <f>IF(Table2[[#This Row],[ActualAwayScore]] + Table2[[#This Row],[ActualHomeScore]] &gt;= 10, 1, 0)</f>
        <v>0</v>
      </c>
      <c r="AS290" s="2">
        <f>IF(ABS(Table2[[#This Row],[ActualAwayScore]]-Table2[[#This Row],[ActualHomeScore]])&gt;=5, 1, 0)</f>
        <v>0</v>
      </c>
      <c r="AT290" s="2">
        <f>IF(Table2[[#This Row],[ActualAwayScore]] + Table2[[#This Row],[ActualHomeScore]] &lt;= 3, 1, 0)</f>
        <v>1</v>
      </c>
      <c r="AU290" s="2"/>
      <c r="AV290" s="2"/>
    </row>
    <row r="291" spans="1:48" x14ac:dyDescent="0.25">
      <c r="A291" s="3"/>
      <c r="B291" s="3">
        <v>45977</v>
      </c>
      <c r="C291" s="5">
        <v>2025020289</v>
      </c>
      <c r="D291" s="2" t="s">
        <v>22</v>
      </c>
      <c r="E291" s="2" t="s">
        <v>41</v>
      </c>
      <c r="F291" s="2"/>
      <c r="G291" s="2"/>
      <c r="H291" s="2" t="str">
        <f>IF(AND(ISBLANK($F291),ISBLANK($G291)),"_",IF($F291&gt;$G291,$D291,$E291))</f>
        <v>_</v>
      </c>
      <c r="I291" s="2"/>
      <c r="J291" s="2"/>
      <c r="K291" s="2"/>
      <c r="L291" s="2" t="str">
        <f t="shared" si="25"/>
        <v>_</v>
      </c>
      <c r="M291" s="2"/>
      <c r="N291" s="2">
        <f>IF(ISBLANK(Table2[[#This Row],[ActualResult]]), 0, 1)</f>
        <v>0</v>
      </c>
      <c r="O291" s="2" t="str">
        <f>IF(ISBLANK(Table2[[#This Row],[ActualResult]]), "_", IF(Table2[[#This Row],[ActualWinner]]=Table2[[#This Row],[PredictedWinner]], "Y", "N"))</f>
        <v>_</v>
      </c>
      <c r="P2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1" s="2"/>
      <c r="S291" s="2" t="str">
        <f t="shared" si="26"/>
        <v>_</v>
      </c>
      <c r="T2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1" s="2">
        <f>IF(Table2[[#This Row],[InterConf]]=1,IF(Table2[[#This Row],[InterDiv]]=0, 1, 0), 0)</f>
        <v>0</v>
      </c>
      <c r="W2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1" s="2"/>
      <c r="Y291" s="2"/>
      <c r="Z291" s="145">
        <f>IF(AND(Table2[[#This Row],[GameIsOver]]=1,Table2[[#This Row],[ActualHomeScore]]*Table2[[#This Row],[ActualAwayScore]]=0), 1,0)</f>
        <v>0</v>
      </c>
      <c r="AA2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1" s="2">
        <f>Table2[[#This Row],[ActualAwayScore]]-Table2[[#This Row],[PredictedAwayScore]]</f>
        <v>0</v>
      </c>
      <c r="AG291" s="2">
        <f>Table2[[#This Row],[ActualHomeScore]]-Table2[[#This Row],[PredictedHomeScore]]</f>
        <v>0</v>
      </c>
      <c r="AH291" s="2">
        <f t="shared" si="27"/>
        <v>0</v>
      </c>
      <c r="AI291" s="2">
        <f t="shared" si="28"/>
        <v>0</v>
      </c>
      <c r="AJ291" s="2"/>
      <c r="AK291" s="2"/>
      <c r="AL291" s="2">
        <f>IF(Table2[[#This Row],[GameIsOver]]=0,0,IF(Table2[[#This Row],[ActualWinner]]=Table2[[#This Row],[AwayTeam]], 1, 0))</f>
        <v>0</v>
      </c>
      <c r="AM291" s="2">
        <f>IF(Table2[[#This Row],[GameIsOver]]=0,0,IF(Table2[[#This Row],[ActualWinner]]=Table2[[#This Row],[HomeTeam]], 1, 0))</f>
        <v>0</v>
      </c>
      <c r="AN2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1" s="2" t="str">
        <f>INDEX(Sheet5!$B$2:$AG$33, MATCH(Table2[[#This Row],[AwayTeam]],Sheet5!$A$2:$A$33, 0), MATCH(Table2[[#This Row],[HomeTeam]],Sheet5!$A$2:$A$33, 0))</f>
        <v>0-0-0</v>
      </c>
      <c r="AP291" s="2" t="str">
        <f>INDEX(Sheet5!$B$2:$AG$33, MATCH(Table2[[#This Row],[HomeTeam]],Sheet5!$A$2:$A$33, 0), MATCH(Table2[[#This Row],[AwayTeam]],Sheet5!$A$2:$A$33, 0))</f>
        <v>0-0-0</v>
      </c>
      <c r="AQ291" s="2">
        <f>IF(Table2[[#This Row],[GameHasShutOut]], 1, 0)</f>
        <v>0</v>
      </c>
      <c r="AR291" s="2">
        <f>IF(Table2[[#This Row],[ActualAwayScore]] + Table2[[#This Row],[ActualHomeScore]] &gt;= 10, 1, 0)</f>
        <v>0</v>
      </c>
      <c r="AS291" s="2">
        <f>IF(ABS(Table2[[#This Row],[ActualAwayScore]]-Table2[[#This Row],[ActualHomeScore]])&gt;=5, 1, 0)</f>
        <v>0</v>
      </c>
      <c r="AT291" s="2">
        <f>IF(Table2[[#This Row],[ActualAwayScore]] + Table2[[#This Row],[ActualHomeScore]] &lt;= 3, 1, 0)</f>
        <v>1</v>
      </c>
      <c r="AU291" s="2"/>
      <c r="AV291" s="2"/>
    </row>
    <row r="292" spans="1:48" x14ac:dyDescent="0.25">
      <c r="A292" s="3"/>
      <c r="B292" s="3">
        <v>45977</v>
      </c>
      <c r="C292" s="5">
        <v>2025020290</v>
      </c>
      <c r="D292" s="2" t="s">
        <v>19</v>
      </c>
      <c r="E292" s="2" t="s">
        <v>35</v>
      </c>
      <c r="F292" s="2"/>
      <c r="G292" s="2"/>
      <c r="H292" s="2" t="str">
        <f t="shared" si="24"/>
        <v>_</v>
      </c>
      <c r="I292" s="2"/>
      <c r="J292" s="2"/>
      <c r="K292" s="2"/>
      <c r="L292" s="2" t="str">
        <f t="shared" si="25"/>
        <v>_</v>
      </c>
      <c r="M292" s="2"/>
      <c r="N292" s="2">
        <f>IF(ISBLANK(Table2[[#This Row],[ActualResult]]), 0, 1)</f>
        <v>0</v>
      </c>
      <c r="O292" s="2" t="str">
        <f>IF(ISBLANK(Table2[[#This Row],[ActualResult]]), "_", IF(Table2[[#This Row],[ActualWinner]]=Table2[[#This Row],[PredictedWinner]], "Y", "N"))</f>
        <v>_</v>
      </c>
      <c r="P2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2" s="2"/>
      <c r="S292" s="2" t="str">
        <f t="shared" si="26"/>
        <v>_</v>
      </c>
      <c r="T2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2" s="2">
        <f>IF(Table2[[#This Row],[InterConf]]=1,IF(Table2[[#This Row],[InterDiv]]=0, 1, 0), 0)</f>
        <v>0</v>
      </c>
      <c r="W2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2" s="2"/>
      <c r="Y292" s="2"/>
      <c r="Z292" s="145">
        <f>IF(AND(Table2[[#This Row],[GameIsOver]]=1,Table2[[#This Row],[ActualHomeScore]]*Table2[[#This Row],[ActualAwayScore]]=0), 1,0)</f>
        <v>0</v>
      </c>
      <c r="AA2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2" s="2">
        <f>Table2[[#This Row],[ActualAwayScore]]-Table2[[#This Row],[PredictedAwayScore]]</f>
        <v>0</v>
      </c>
      <c r="AG292" s="2">
        <f>Table2[[#This Row],[ActualHomeScore]]-Table2[[#This Row],[PredictedHomeScore]]</f>
        <v>0</v>
      </c>
      <c r="AH292" s="2">
        <f t="shared" si="27"/>
        <v>0</v>
      </c>
      <c r="AI292" s="2">
        <f t="shared" si="28"/>
        <v>0</v>
      </c>
      <c r="AJ292" s="2"/>
      <c r="AK292" s="2"/>
      <c r="AL292" s="2">
        <f>IF(Table2[[#This Row],[GameIsOver]]=0,0,IF(Table2[[#This Row],[ActualWinner]]=Table2[[#This Row],[AwayTeam]], 1, 0))</f>
        <v>0</v>
      </c>
      <c r="AM292" s="2">
        <f>IF(Table2[[#This Row],[GameIsOver]]=0,0,IF(Table2[[#This Row],[ActualWinner]]=Table2[[#This Row],[HomeTeam]], 1, 0))</f>
        <v>0</v>
      </c>
      <c r="AN2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2" s="2" t="str">
        <f>INDEX(Sheet5!$B$2:$AG$33, MATCH(Table2[[#This Row],[AwayTeam]],Sheet5!$A$2:$A$33, 0), MATCH(Table2[[#This Row],[HomeTeam]],Sheet5!$A$2:$A$33, 0))</f>
        <v>0-0-0</v>
      </c>
      <c r="AP292" s="2" t="str">
        <f>INDEX(Sheet5!$B$2:$AG$33, MATCH(Table2[[#This Row],[HomeTeam]],Sheet5!$A$2:$A$33, 0), MATCH(Table2[[#This Row],[AwayTeam]],Sheet5!$A$2:$A$33, 0))</f>
        <v>0-0-0</v>
      </c>
      <c r="AQ292" s="2">
        <f>IF(Table2[[#This Row],[GameHasShutOut]], 1, 0)</f>
        <v>0</v>
      </c>
      <c r="AR292" s="2">
        <f>IF(Table2[[#This Row],[ActualAwayScore]] + Table2[[#This Row],[ActualHomeScore]] &gt;= 10, 1, 0)</f>
        <v>0</v>
      </c>
      <c r="AS292" s="2">
        <f>IF(ABS(Table2[[#This Row],[ActualAwayScore]]-Table2[[#This Row],[ActualHomeScore]])&gt;=5, 1, 0)</f>
        <v>0</v>
      </c>
      <c r="AT292" s="2">
        <f>IF(Table2[[#This Row],[ActualAwayScore]] + Table2[[#This Row],[ActualHomeScore]] &lt;= 3, 1, 0)</f>
        <v>1</v>
      </c>
      <c r="AU292" s="2"/>
      <c r="AV292" s="2"/>
    </row>
    <row r="293" spans="1:48" x14ac:dyDescent="0.25">
      <c r="A293" s="3"/>
      <c r="B293" s="3">
        <v>45977</v>
      </c>
      <c r="C293" s="5">
        <v>2025020291</v>
      </c>
      <c r="D293" s="2" t="s">
        <v>17</v>
      </c>
      <c r="E293" s="2" t="s">
        <v>16</v>
      </c>
      <c r="F293" s="2"/>
      <c r="G293" s="2"/>
      <c r="H293" s="2" t="str">
        <f t="shared" si="24"/>
        <v>_</v>
      </c>
      <c r="I293" s="2"/>
      <c r="J293" s="2"/>
      <c r="K293" s="2"/>
      <c r="L293" s="2" t="str">
        <f t="shared" si="25"/>
        <v>_</v>
      </c>
      <c r="M293" s="2"/>
      <c r="N293" s="2">
        <f>IF(ISBLANK(Table2[[#This Row],[ActualResult]]), 0, 1)</f>
        <v>0</v>
      </c>
      <c r="O293" s="2" t="str">
        <f>IF(ISBLANK(Table2[[#This Row],[ActualResult]]), "_", IF(Table2[[#This Row],[ActualWinner]]=Table2[[#This Row],[PredictedWinner]], "Y", "N"))</f>
        <v>_</v>
      </c>
      <c r="P2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3" s="2"/>
      <c r="S293" s="2" t="str">
        <f t="shared" si="26"/>
        <v>_</v>
      </c>
      <c r="T2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3" s="2">
        <f>IF(Table2[[#This Row],[InterConf]]=1,IF(Table2[[#This Row],[InterDiv]]=0, 1, 0), 0)</f>
        <v>0</v>
      </c>
      <c r="W2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3" s="2"/>
      <c r="Y293" s="2"/>
      <c r="Z293" s="145">
        <f>IF(AND(Table2[[#This Row],[GameIsOver]]=1,Table2[[#This Row],[ActualHomeScore]]*Table2[[#This Row],[ActualAwayScore]]=0), 1,0)</f>
        <v>0</v>
      </c>
      <c r="AA2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3" s="2">
        <f>Table2[[#This Row],[ActualAwayScore]]-Table2[[#This Row],[PredictedAwayScore]]</f>
        <v>0</v>
      </c>
      <c r="AG293" s="2">
        <f>Table2[[#This Row],[ActualHomeScore]]-Table2[[#This Row],[PredictedHomeScore]]</f>
        <v>0</v>
      </c>
      <c r="AH293" s="2">
        <f t="shared" si="27"/>
        <v>0</v>
      </c>
      <c r="AI293" s="2">
        <f t="shared" si="28"/>
        <v>0</v>
      </c>
      <c r="AJ293" s="2"/>
      <c r="AK293" s="2"/>
      <c r="AL293" s="2">
        <f>IF(Table2[[#This Row],[GameIsOver]]=0,0,IF(Table2[[#This Row],[ActualWinner]]=Table2[[#This Row],[AwayTeam]], 1, 0))</f>
        <v>0</v>
      </c>
      <c r="AM293" s="2">
        <f>IF(Table2[[#This Row],[GameIsOver]]=0,0,IF(Table2[[#This Row],[ActualWinner]]=Table2[[#This Row],[HomeTeam]], 1, 0))</f>
        <v>0</v>
      </c>
      <c r="AN2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3" s="2" t="str">
        <f>INDEX(Sheet5!$B$2:$AG$33, MATCH(Table2[[#This Row],[AwayTeam]],Sheet5!$A$2:$A$33, 0), MATCH(Table2[[#This Row],[HomeTeam]],Sheet5!$A$2:$A$33, 0))</f>
        <v>0-0-0</v>
      </c>
      <c r="AP293" s="2" t="str">
        <f>INDEX(Sheet5!$B$2:$AG$33, MATCH(Table2[[#This Row],[HomeTeam]],Sheet5!$A$2:$A$33, 0), MATCH(Table2[[#This Row],[AwayTeam]],Sheet5!$A$2:$A$33, 0))</f>
        <v>0-0-0</v>
      </c>
      <c r="AQ293" s="2">
        <f>IF(Table2[[#This Row],[GameHasShutOut]], 1, 0)</f>
        <v>0</v>
      </c>
      <c r="AR293" s="2">
        <f>IF(Table2[[#This Row],[ActualAwayScore]] + Table2[[#This Row],[ActualHomeScore]] &gt;= 10, 1, 0)</f>
        <v>0</v>
      </c>
      <c r="AS293" s="2">
        <f>IF(ABS(Table2[[#This Row],[ActualAwayScore]]-Table2[[#This Row],[ActualHomeScore]])&gt;=5, 1, 0)</f>
        <v>0</v>
      </c>
      <c r="AT293" s="2">
        <f>IF(Table2[[#This Row],[ActualAwayScore]] + Table2[[#This Row],[ActualHomeScore]] &lt;= 3, 1, 0)</f>
        <v>1</v>
      </c>
      <c r="AU293" s="2"/>
      <c r="AV293" s="2"/>
    </row>
    <row r="294" spans="1:48" x14ac:dyDescent="0.25">
      <c r="A294" s="3"/>
      <c r="B294" s="3">
        <v>45977</v>
      </c>
      <c r="C294" s="5">
        <v>2025020292</v>
      </c>
      <c r="D294" s="2" t="s">
        <v>26</v>
      </c>
      <c r="E294" s="2" t="s">
        <v>12</v>
      </c>
      <c r="F294" s="2"/>
      <c r="G294" s="2"/>
      <c r="H294" s="2" t="str">
        <f t="shared" si="24"/>
        <v>_</v>
      </c>
      <c r="I294" s="2"/>
      <c r="J294" s="2"/>
      <c r="K294" s="2"/>
      <c r="L294" s="2" t="str">
        <f t="shared" si="25"/>
        <v>_</v>
      </c>
      <c r="M294" s="2"/>
      <c r="N294" s="2">
        <f>IF(ISBLANK(Table2[[#This Row],[ActualResult]]), 0, 1)</f>
        <v>0</v>
      </c>
      <c r="O294" s="2" t="str">
        <f>IF(ISBLANK(Table2[[#This Row],[ActualResult]]), "_", IF(Table2[[#This Row],[ActualWinner]]=Table2[[#This Row],[PredictedWinner]], "Y", "N"))</f>
        <v>_</v>
      </c>
      <c r="P2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4" s="2"/>
      <c r="S294" s="2" t="str">
        <f t="shared" si="26"/>
        <v>_</v>
      </c>
      <c r="T2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4" s="2">
        <f>IF(Table2[[#This Row],[InterConf]]=1,IF(Table2[[#This Row],[InterDiv]]=0, 1, 0), 0)</f>
        <v>1</v>
      </c>
      <c r="W2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4" s="2"/>
      <c r="Y294" s="2"/>
      <c r="Z294" s="145">
        <f>IF(AND(Table2[[#This Row],[GameIsOver]]=1,Table2[[#This Row],[ActualHomeScore]]*Table2[[#This Row],[ActualAwayScore]]=0), 1,0)</f>
        <v>0</v>
      </c>
      <c r="AA2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4" s="2">
        <f>Table2[[#This Row],[ActualAwayScore]]-Table2[[#This Row],[PredictedAwayScore]]</f>
        <v>0</v>
      </c>
      <c r="AG294" s="2">
        <f>Table2[[#This Row],[ActualHomeScore]]-Table2[[#This Row],[PredictedHomeScore]]</f>
        <v>0</v>
      </c>
      <c r="AH294" s="2">
        <f t="shared" si="27"/>
        <v>0</v>
      </c>
      <c r="AI294" s="2">
        <f t="shared" si="28"/>
        <v>0</v>
      </c>
      <c r="AJ294" s="2"/>
      <c r="AK294" s="2"/>
      <c r="AL294" s="2">
        <f>IF(Table2[[#This Row],[GameIsOver]]=0,0,IF(Table2[[#This Row],[ActualWinner]]=Table2[[#This Row],[AwayTeam]], 1, 0))</f>
        <v>0</v>
      </c>
      <c r="AM294" s="2">
        <f>IF(Table2[[#This Row],[GameIsOver]]=0,0,IF(Table2[[#This Row],[ActualWinner]]=Table2[[#This Row],[HomeTeam]], 1, 0))</f>
        <v>0</v>
      </c>
      <c r="AN2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4" s="2" t="str">
        <f>INDEX(Sheet5!$B$2:$AG$33, MATCH(Table2[[#This Row],[AwayTeam]],Sheet5!$A$2:$A$33, 0), MATCH(Table2[[#This Row],[HomeTeam]],Sheet5!$A$2:$A$33, 0))</f>
        <v>0-0-0</v>
      </c>
      <c r="AP294" s="2" t="str">
        <f>INDEX(Sheet5!$B$2:$AG$33, MATCH(Table2[[#This Row],[HomeTeam]],Sheet5!$A$2:$A$33, 0), MATCH(Table2[[#This Row],[AwayTeam]],Sheet5!$A$2:$A$33, 0))</f>
        <v>0-0-0</v>
      </c>
      <c r="AQ294" s="2">
        <f>IF(Table2[[#This Row],[GameHasShutOut]], 1, 0)</f>
        <v>0</v>
      </c>
      <c r="AR294" s="2">
        <f>IF(Table2[[#This Row],[ActualAwayScore]] + Table2[[#This Row],[ActualHomeScore]] &gt;= 10, 1, 0)</f>
        <v>0</v>
      </c>
      <c r="AS294" s="2">
        <f>IF(ABS(Table2[[#This Row],[ActualAwayScore]]-Table2[[#This Row],[ActualHomeScore]])&gt;=5, 1, 0)</f>
        <v>0</v>
      </c>
      <c r="AT294" s="2">
        <f>IF(Table2[[#This Row],[ActualAwayScore]] + Table2[[#This Row],[ActualHomeScore]] &lt;= 3, 1, 0)</f>
        <v>1</v>
      </c>
      <c r="AU294" s="2"/>
      <c r="AV294" s="2"/>
    </row>
    <row r="295" spans="1:48" x14ac:dyDescent="0.25">
      <c r="A295" s="3"/>
      <c r="B295" s="3">
        <v>45977</v>
      </c>
      <c r="C295" s="5">
        <v>2025020293</v>
      </c>
      <c r="D295" s="2" t="s">
        <v>42</v>
      </c>
      <c r="E295" s="2" t="s">
        <v>33</v>
      </c>
      <c r="F295" s="2"/>
      <c r="G295" s="2"/>
      <c r="H295" s="2" t="str">
        <f t="shared" si="24"/>
        <v>_</v>
      </c>
      <c r="I295" s="2"/>
      <c r="J295" s="2"/>
      <c r="K295" s="2"/>
      <c r="L295" s="2" t="str">
        <f t="shared" si="25"/>
        <v>_</v>
      </c>
      <c r="M295" s="2"/>
      <c r="N295" s="2">
        <f>IF(ISBLANK(Table2[[#This Row],[ActualResult]]), 0, 1)</f>
        <v>0</v>
      </c>
      <c r="O295" s="2" t="str">
        <f>IF(ISBLANK(Table2[[#This Row],[ActualResult]]), "_", IF(Table2[[#This Row],[ActualWinner]]=Table2[[#This Row],[PredictedWinner]], "Y", "N"))</f>
        <v>_</v>
      </c>
      <c r="P2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5" s="2"/>
      <c r="S295" s="2" t="str">
        <f t="shared" si="26"/>
        <v>_</v>
      </c>
      <c r="T2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5" s="2">
        <f>IF(Table2[[#This Row],[InterConf]]=1,IF(Table2[[#This Row],[InterDiv]]=0, 1, 0), 0)</f>
        <v>0</v>
      </c>
      <c r="W2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5" s="2"/>
      <c r="Y295" s="2"/>
      <c r="Z295" s="145">
        <f>IF(AND(Table2[[#This Row],[GameIsOver]]=1,Table2[[#This Row],[ActualHomeScore]]*Table2[[#This Row],[ActualAwayScore]]=0), 1,0)</f>
        <v>0</v>
      </c>
      <c r="AA2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5" s="2">
        <f>Table2[[#This Row],[ActualAwayScore]]-Table2[[#This Row],[PredictedAwayScore]]</f>
        <v>0</v>
      </c>
      <c r="AG295" s="2">
        <f>Table2[[#This Row],[ActualHomeScore]]-Table2[[#This Row],[PredictedHomeScore]]</f>
        <v>0</v>
      </c>
      <c r="AH295" s="2">
        <f t="shared" si="27"/>
        <v>0</v>
      </c>
      <c r="AI295" s="2">
        <f t="shared" si="28"/>
        <v>0</v>
      </c>
      <c r="AJ295" s="2"/>
      <c r="AK295" s="2"/>
      <c r="AL295" s="2">
        <f>IF(Table2[[#This Row],[GameIsOver]]=0,0,IF(Table2[[#This Row],[ActualWinner]]=Table2[[#This Row],[AwayTeam]], 1, 0))</f>
        <v>0</v>
      </c>
      <c r="AM295" s="2">
        <f>IF(Table2[[#This Row],[GameIsOver]]=0,0,IF(Table2[[#This Row],[ActualWinner]]=Table2[[#This Row],[HomeTeam]], 1, 0))</f>
        <v>0</v>
      </c>
      <c r="AN2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5" s="2" t="str">
        <f>INDEX(Sheet5!$B$2:$AG$33, MATCH(Table2[[#This Row],[AwayTeam]],Sheet5!$A$2:$A$33, 0), MATCH(Table2[[#This Row],[HomeTeam]],Sheet5!$A$2:$A$33, 0))</f>
        <v>0-0-0</v>
      </c>
      <c r="AP295" s="2" t="str">
        <f>INDEX(Sheet5!$B$2:$AG$33, MATCH(Table2[[#This Row],[HomeTeam]],Sheet5!$A$2:$A$33, 0), MATCH(Table2[[#This Row],[AwayTeam]],Sheet5!$A$2:$A$33, 0))</f>
        <v>0-0-0</v>
      </c>
      <c r="AQ295" s="2">
        <f>IF(Table2[[#This Row],[GameHasShutOut]], 1, 0)</f>
        <v>0</v>
      </c>
      <c r="AR295" s="2">
        <f>IF(Table2[[#This Row],[ActualAwayScore]] + Table2[[#This Row],[ActualHomeScore]] &gt;= 10, 1, 0)</f>
        <v>0</v>
      </c>
      <c r="AS295" s="2">
        <f>IF(ABS(Table2[[#This Row],[ActualAwayScore]]-Table2[[#This Row],[ActualHomeScore]])&gt;=5, 1, 0)</f>
        <v>0</v>
      </c>
      <c r="AT295" s="2">
        <f>IF(Table2[[#This Row],[ActualAwayScore]] + Table2[[#This Row],[ActualHomeScore]] &lt;= 3, 1, 0)</f>
        <v>1</v>
      </c>
      <c r="AU295" s="2"/>
      <c r="AV295" s="2"/>
    </row>
    <row r="296" spans="1:48" x14ac:dyDescent="0.25">
      <c r="A296" s="3"/>
      <c r="B296" s="3">
        <v>45977</v>
      </c>
      <c r="C296" s="5">
        <v>2025020294</v>
      </c>
      <c r="D296" s="2" t="s">
        <v>21</v>
      </c>
      <c r="E296" s="2" t="s">
        <v>23</v>
      </c>
      <c r="F296" s="2"/>
      <c r="G296" s="2"/>
      <c r="H296" s="2" t="str">
        <f t="shared" si="24"/>
        <v>_</v>
      </c>
      <c r="I296" s="2"/>
      <c r="J296" s="2"/>
      <c r="K296" s="2"/>
      <c r="L296" s="2" t="str">
        <f t="shared" si="25"/>
        <v>_</v>
      </c>
      <c r="M296" s="2"/>
      <c r="N296" s="2">
        <f>IF(ISBLANK(Table2[[#This Row],[ActualResult]]), 0, 1)</f>
        <v>0</v>
      </c>
      <c r="O296" s="2" t="str">
        <f>IF(ISBLANK(Table2[[#This Row],[ActualResult]]), "_", IF(Table2[[#This Row],[ActualWinner]]=Table2[[#This Row],[PredictedWinner]], "Y", "N"))</f>
        <v>_</v>
      </c>
      <c r="P2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6" s="2"/>
      <c r="S296" s="2" t="str">
        <f t="shared" si="26"/>
        <v>_</v>
      </c>
      <c r="T2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6" s="2">
        <f>IF(Table2[[#This Row],[InterConf]]=1,IF(Table2[[#This Row],[InterDiv]]=0, 1, 0), 0)</f>
        <v>1</v>
      </c>
      <c r="W2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6" s="2"/>
      <c r="Y296" s="2"/>
      <c r="Z296" s="145">
        <f>IF(AND(Table2[[#This Row],[GameIsOver]]=1,Table2[[#This Row],[ActualHomeScore]]*Table2[[#This Row],[ActualAwayScore]]=0), 1,0)</f>
        <v>0</v>
      </c>
      <c r="AA2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6" s="2">
        <f>Table2[[#This Row],[ActualAwayScore]]-Table2[[#This Row],[PredictedAwayScore]]</f>
        <v>0</v>
      </c>
      <c r="AG296" s="2">
        <f>Table2[[#This Row],[ActualHomeScore]]-Table2[[#This Row],[PredictedHomeScore]]</f>
        <v>0</v>
      </c>
      <c r="AH296" s="2">
        <f t="shared" si="27"/>
        <v>0</v>
      </c>
      <c r="AI296" s="2">
        <f t="shared" si="28"/>
        <v>0</v>
      </c>
      <c r="AJ296" s="2"/>
      <c r="AK296" s="2"/>
      <c r="AL296" s="2">
        <f>IF(Table2[[#This Row],[GameIsOver]]=0,0,IF(Table2[[#This Row],[ActualWinner]]=Table2[[#This Row],[AwayTeam]], 1, 0))</f>
        <v>0</v>
      </c>
      <c r="AM296" s="2">
        <f>IF(Table2[[#This Row],[GameIsOver]]=0,0,IF(Table2[[#This Row],[ActualWinner]]=Table2[[#This Row],[HomeTeam]], 1, 0))</f>
        <v>0</v>
      </c>
      <c r="AN2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6" s="2" t="str">
        <f>INDEX(Sheet5!$B$2:$AG$33, MATCH(Table2[[#This Row],[AwayTeam]],Sheet5!$A$2:$A$33, 0), MATCH(Table2[[#This Row],[HomeTeam]],Sheet5!$A$2:$A$33, 0))</f>
        <v>1-0-0</v>
      </c>
      <c r="AP296" s="2" t="str">
        <f>INDEX(Sheet5!$B$2:$AG$33, MATCH(Table2[[#This Row],[HomeTeam]],Sheet5!$A$2:$A$33, 0), MATCH(Table2[[#This Row],[AwayTeam]],Sheet5!$A$2:$A$33, 0))</f>
        <v>0-1-0</v>
      </c>
      <c r="AQ296" s="2">
        <f>IF(Table2[[#This Row],[GameHasShutOut]], 1, 0)</f>
        <v>0</v>
      </c>
      <c r="AR296" s="2">
        <f>IF(Table2[[#This Row],[ActualAwayScore]] + Table2[[#This Row],[ActualHomeScore]] &gt;= 10, 1, 0)</f>
        <v>0</v>
      </c>
      <c r="AS296" s="2">
        <f>IF(ABS(Table2[[#This Row],[ActualAwayScore]]-Table2[[#This Row],[ActualHomeScore]])&gt;=5, 1, 0)</f>
        <v>0</v>
      </c>
      <c r="AT296" s="2">
        <f>IF(Table2[[#This Row],[ActualAwayScore]] + Table2[[#This Row],[ActualHomeScore]] &lt;= 3, 1, 0)</f>
        <v>1</v>
      </c>
      <c r="AU296" s="2"/>
      <c r="AV296" s="2"/>
    </row>
    <row r="297" spans="1:48" x14ac:dyDescent="0.25">
      <c r="A297" s="3"/>
      <c r="B297" s="3">
        <v>45977</v>
      </c>
      <c r="C297" s="5">
        <v>2025020295</v>
      </c>
      <c r="D297" s="2" t="s">
        <v>37</v>
      </c>
      <c r="E297" s="2" t="s">
        <v>11</v>
      </c>
      <c r="F297" s="2"/>
      <c r="G297" s="2"/>
      <c r="H297" s="2" t="str">
        <f t="shared" si="24"/>
        <v>_</v>
      </c>
      <c r="I297" s="2"/>
      <c r="J297" s="2"/>
      <c r="K297" s="2"/>
      <c r="L297" s="2" t="str">
        <f t="shared" si="25"/>
        <v>_</v>
      </c>
      <c r="M297" s="2"/>
      <c r="N297" s="2">
        <f>IF(ISBLANK(Table2[[#This Row],[ActualResult]]), 0, 1)</f>
        <v>0</v>
      </c>
      <c r="O297" s="2" t="str">
        <f>IF(ISBLANK(Table2[[#This Row],[ActualResult]]), "_", IF(Table2[[#This Row],[ActualWinner]]=Table2[[#This Row],[PredictedWinner]], "Y", "N"))</f>
        <v>_</v>
      </c>
      <c r="P2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7" s="2"/>
      <c r="S297" s="2" t="str">
        <f t="shared" si="26"/>
        <v>_</v>
      </c>
      <c r="T2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7" s="2">
        <f>IF(Table2[[#This Row],[InterConf]]=1,IF(Table2[[#This Row],[InterDiv]]=0, 1, 0), 0)</f>
        <v>0</v>
      </c>
      <c r="W2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7" s="2"/>
      <c r="Y297" s="2"/>
      <c r="Z297" s="145">
        <f>IF(AND(Table2[[#This Row],[GameIsOver]]=1,Table2[[#This Row],[ActualHomeScore]]*Table2[[#This Row],[ActualAwayScore]]=0), 1,0)</f>
        <v>0</v>
      </c>
      <c r="AA2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7" s="2">
        <f>Table2[[#This Row],[ActualAwayScore]]-Table2[[#This Row],[PredictedAwayScore]]</f>
        <v>0</v>
      </c>
      <c r="AG297" s="2">
        <f>Table2[[#This Row],[ActualHomeScore]]-Table2[[#This Row],[PredictedHomeScore]]</f>
        <v>0</v>
      </c>
      <c r="AH297" s="2">
        <f t="shared" si="27"/>
        <v>0</v>
      </c>
      <c r="AI297" s="2">
        <f t="shared" si="28"/>
        <v>0</v>
      </c>
      <c r="AJ297" s="2"/>
      <c r="AK297" s="2"/>
      <c r="AL297" s="2">
        <f>IF(Table2[[#This Row],[GameIsOver]]=0,0,IF(Table2[[#This Row],[ActualWinner]]=Table2[[#This Row],[AwayTeam]], 1, 0))</f>
        <v>0</v>
      </c>
      <c r="AM297" s="2">
        <f>IF(Table2[[#This Row],[GameIsOver]]=0,0,IF(Table2[[#This Row],[ActualWinner]]=Table2[[#This Row],[HomeTeam]], 1, 0))</f>
        <v>0</v>
      </c>
      <c r="AN2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7" s="2" t="str">
        <f>INDEX(Sheet5!$B$2:$AG$33, MATCH(Table2[[#This Row],[AwayTeam]],Sheet5!$A$2:$A$33, 0), MATCH(Table2[[#This Row],[HomeTeam]],Sheet5!$A$2:$A$33, 0))</f>
        <v>0-0-0</v>
      </c>
      <c r="AP297" s="2" t="str">
        <f>INDEX(Sheet5!$B$2:$AG$33, MATCH(Table2[[#This Row],[HomeTeam]],Sheet5!$A$2:$A$33, 0), MATCH(Table2[[#This Row],[AwayTeam]],Sheet5!$A$2:$A$33, 0))</f>
        <v>0-0-0</v>
      </c>
      <c r="AQ297" s="2">
        <f>IF(Table2[[#This Row],[GameHasShutOut]], 1, 0)</f>
        <v>0</v>
      </c>
      <c r="AR297" s="2">
        <f>IF(Table2[[#This Row],[ActualAwayScore]] + Table2[[#This Row],[ActualHomeScore]] &gt;= 10, 1, 0)</f>
        <v>0</v>
      </c>
      <c r="AS297" s="2">
        <f>IF(ABS(Table2[[#This Row],[ActualAwayScore]]-Table2[[#This Row],[ActualHomeScore]])&gt;=5, 1, 0)</f>
        <v>0</v>
      </c>
      <c r="AT297" s="2">
        <f>IF(Table2[[#This Row],[ActualAwayScore]] + Table2[[#This Row],[ActualHomeScore]] &lt;= 3, 1, 0)</f>
        <v>1</v>
      </c>
      <c r="AU297" s="2"/>
      <c r="AV297" s="2"/>
    </row>
    <row r="298" spans="1:48" x14ac:dyDescent="0.25">
      <c r="A298" s="3"/>
      <c r="B298" s="3">
        <v>45977</v>
      </c>
      <c r="C298" s="5">
        <v>2025020296</v>
      </c>
      <c r="D298" s="2" t="s">
        <v>34</v>
      </c>
      <c r="E298" s="2" t="s">
        <v>20</v>
      </c>
      <c r="F298" s="2"/>
      <c r="G298" s="2"/>
      <c r="H298" s="2" t="str">
        <f t="shared" si="24"/>
        <v>_</v>
      </c>
      <c r="I298" s="2"/>
      <c r="J298" s="2"/>
      <c r="K298" s="2"/>
      <c r="L298" s="2" t="str">
        <f t="shared" si="25"/>
        <v>_</v>
      </c>
      <c r="M298" s="2"/>
      <c r="N298" s="2">
        <f>IF(ISBLANK(Table2[[#This Row],[ActualResult]]), 0, 1)</f>
        <v>0</v>
      </c>
      <c r="O298" s="2" t="str">
        <f>IF(ISBLANK(Table2[[#This Row],[ActualResult]]), "_", IF(Table2[[#This Row],[ActualWinner]]=Table2[[#This Row],[PredictedWinner]], "Y", "N"))</f>
        <v>_</v>
      </c>
      <c r="P2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8" s="2"/>
      <c r="S298" s="2" t="str">
        <f t="shared" si="26"/>
        <v>_</v>
      </c>
      <c r="T2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8" s="2">
        <f>IF(Table2[[#This Row],[InterConf]]=1,IF(Table2[[#This Row],[InterDiv]]=0, 1, 0), 0)</f>
        <v>0</v>
      </c>
      <c r="W2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8" s="2"/>
      <c r="Y298" s="2"/>
      <c r="Z298" s="145">
        <f>IF(AND(Table2[[#This Row],[GameIsOver]]=1,Table2[[#This Row],[ActualHomeScore]]*Table2[[#This Row],[ActualAwayScore]]=0), 1,0)</f>
        <v>0</v>
      </c>
      <c r="AA2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8" s="2">
        <f>Table2[[#This Row],[ActualAwayScore]]-Table2[[#This Row],[PredictedAwayScore]]</f>
        <v>0</v>
      </c>
      <c r="AG298" s="2">
        <f>Table2[[#This Row],[ActualHomeScore]]-Table2[[#This Row],[PredictedHomeScore]]</f>
        <v>0</v>
      </c>
      <c r="AH298" s="2">
        <f t="shared" si="27"/>
        <v>0</v>
      </c>
      <c r="AI298" s="2">
        <f t="shared" si="28"/>
        <v>0</v>
      </c>
      <c r="AJ298" s="2"/>
      <c r="AK298" s="2"/>
      <c r="AL298" s="2">
        <f>IF(Table2[[#This Row],[GameIsOver]]=0,0,IF(Table2[[#This Row],[ActualWinner]]=Table2[[#This Row],[AwayTeam]], 1, 0))</f>
        <v>0</v>
      </c>
      <c r="AM298" s="2">
        <f>IF(Table2[[#This Row],[GameIsOver]]=0,0,IF(Table2[[#This Row],[ActualWinner]]=Table2[[#This Row],[HomeTeam]], 1, 0))</f>
        <v>0</v>
      </c>
      <c r="AN2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8" s="2" t="str">
        <f>INDEX(Sheet5!$B$2:$AG$33, MATCH(Table2[[#This Row],[AwayTeam]],Sheet5!$A$2:$A$33, 0), MATCH(Table2[[#This Row],[HomeTeam]],Sheet5!$A$2:$A$33, 0))</f>
        <v>0-0-0</v>
      </c>
      <c r="AP298" s="2" t="str">
        <f>INDEX(Sheet5!$B$2:$AG$33, MATCH(Table2[[#This Row],[HomeTeam]],Sheet5!$A$2:$A$33, 0), MATCH(Table2[[#This Row],[AwayTeam]],Sheet5!$A$2:$A$33, 0))</f>
        <v>0-0-0</v>
      </c>
      <c r="AQ298" s="2">
        <f>IF(Table2[[#This Row],[GameHasShutOut]], 1, 0)</f>
        <v>0</v>
      </c>
      <c r="AR298" s="2">
        <f>IF(Table2[[#This Row],[ActualAwayScore]] + Table2[[#This Row],[ActualHomeScore]] &gt;= 10, 1, 0)</f>
        <v>0</v>
      </c>
      <c r="AS298" s="2">
        <f>IF(ABS(Table2[[#This Row],[ActualAwayScore]]-Table2[[#This Row],[ActualHomeScore]])&gt;=5, 1, 0)</f>
        <v>0</v>
      </c>
      <c r="AT298" s="2">
        <f>IF(Table2[[#This Row],[ActualAwayScore]] + Table2[[#This Row],[ActualHomeScore]] &lt;= 3, 1, 0)</f>
        <v>1</v>
      </c>
      <c r="AU298" s="2"/>
      <c r="AV298" s="2"/>
    </row>
    <row r="299" spans="1:48" x14ac:dyDescent="0.25">
      <c r="A299" s="3"/>
      <c r="B299" s="3">
        <v>45977</v>
      </c>
      <c r="C299" s="5">
        <v>2025020297</v>
      </c>
      <c r="D299" s="2" t="s">
        <v>24</v>
      </c>
      <c r="E299" s="2" t="s">
        <v>40</v>
      </c>
      <c r="F299" s="2"/>
      <c r="G299" s="2"/>
      <c r="H299" s="2" t="str">
        <f t="shared" si="24"/>
        <v>_</v>
      </c>
      <c r="I299" s="2"/>
      <c r="J299" s="2"/>
      <c r="K299" s="2"/>
      <c r="L299" s="2" t="str">
        <f t="shared" si="25"/>
        <v>_</v>
      </c>
      <c r="M299" s="2"/>
      <c r="N299" s="2">
        <f>IF(ISBLANK(Table2[[#This Row],[ActualResult]]), 0, 1)</f>
        <v>0</v>
      </c>
      <c r="O299" s="2" t="str">
        <f>IF(ISBLANK(Table2[[#This Row],[ActualResult]]), "_", IF(Table2[[#This Row],[ActualWinner]]=Table2[[#This Row],[PredictedWinner]], "Y", "N"))</f>
        <v>_</v>
      </c>
      <c r="P2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9" s="2"/>
      <c r="S299" s="2" t="str">
        <f t="shared" si="26"/>
        <v>_</v>
      </c>
      <c r="T2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9" s="2">
        <f>IF(Table2[[#This Row],[InterConf]]=1,IF(Table2[[#This Row],[InterDiv]]=0, 1, 0), 0)</f>
        <v>0</v>
      </c>
      <c r="W2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9" s="2"/>
      <c r="Y299" s="2"/>
      <c r="Z299" s="145">
        <f>IF(AND(Table2[[#This Row],[GameIsOver]]=1,Table2[[#This Row],[ActualHomeScore]]*Table2[[#This Row],[ActualAwayScore]]=0), 1,0)</f>
        <v>0</v>
      </c>
      <c r="AA2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9" s="2">
        <f>Table2[[#This Row],[ActualAwayScore]]-Table2[[#This Row],[PredictedAwayScore]]</f>
        <v>0</v>
      </c>
      <c r="AG299" s="2">
        <f>Table2[[#This Row],[ActualHomeScore]]-Table2[[#This Row],[PredictedHomeScore]]</f>
        <v>0</v>
      </c>
      <c r="AH299" s="2">
        <f t="shared" si="27"/>
        <v>0</v>
      </c>
      <c r="AI299" s="2">
        <f t="shared" si="28"/>
        <v>0</v>
      </c>
      <c r="AJ299" s="2"/>
      <c r="AK299" s="2"/>
      <c r="AL299" s="2">
        <f>IF(Table2[[#This Row],[GameIsOver]]=0,0,IF(Table2[[#This Row],[ActualWinner]]=Table2[[#This Row],[AwayTeam]], 1, 0))</f>
        <v>0</v>
      </c>
      <c r="AM299" s="2">
        <f>IF(Table2[[#This Row],[GameIsOver]]=0,0,IF(Table2[[#This Row],[ActualWinner]]=Table2[[#This Row],[HomeTeam]], 1, 0))</f>
        <v>0</v>
      </c>
      <c r="AN2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9" s="2" t="str">
        <f>INDEX(Sheet5!$B$2:$AG$33, MATCH(Table2[[#This Row],[AwayTeam]],Sheet5!$A$2:$A$33, 0), MATCH(Table2[[#This Row],[HomeTeam]],Sheet5!$A$2:$A$33, 0))</f>
        <v>0-0-0</v>
      </c>
      <c r="AP299" s="2" t="str">
        <f>INDEX(Sheet5!$B$2:$AG$33, MATCH(Table2[[#This Row],[HomeTeam]],Sheet5!$A$2:$A$33, 0), MATCH(Table2[[#This Row],[AwayTeam]],Sheet5!$A$2:$A$33, 0))</f>
        <v>0-0-0</v>
      </c>
      <c r="AQ299" s="2">
        <f>IF(Table2[[#This Row],[GameHasShutOut]], 1, 0)</f>
        <v>0</v>
      </c>
      <c r="AR299" s="2">
        <f>IF(Table2[[#This Row],[ActualAwayScore]] + Table2[[#This Row],[ActualHomeScore]] &gt;= 10, 1, 0)</f>
        <v>0</v>
      </c>
      <c r="AS299" s="2">
        <f>IF(ABS(Table2[[#This Row],[ActualAwayScore]]-Table2[[#This Row],[ActualHomeScore]])&gt;=5, 1, 0)</f>
        <v>0</v>
      </c>
      <c r="AT299" s="2">
        <f>IF(Table2[[#This Row],[ActualAwayScore]] + Table2[[#This Row],[ActualHomeScore]] &lt;= 3, 1, 0)</f>
        <v>1</v>
      </c>
      <c r="AU299" s="2"/>
      <c r="AV299" s="2"/>
    </row>
    <row r="300" spans="1:48" x14ac:dyDescent="0.25">
      <c r="A300" s="3"/>
      <c r="B300" s="3">
        <v>45977</v>
      </c>
      <c r="C300" s="5">
        <v>2025020298</v>
      </c>
      <c r="D300" s="2" t="s">
        <v>26</v>
      </c>
      <c r="E300" s="2" t="s">
        <v>36</v>
      </c>
      <c r="F300" s="2"/>
      <c r="G300" s="2"/>
      <c r="H300" s="2" t="str">
        <f t="shared" si="24"/>
        <v>_</v>
      </c>
      <c r="I300" s="2"/>
      <c r="J300" s="2"/>
      <c r="K300" s="2"/>
      <c r="L300" s="2" t="str">
        <f t="shared" si="25"/>
        <v>_</v>
      </c>
      <c r="M300" s="2"/>
      <c r="N300" s="2">
        <f>IF(ISBLANK(Table2[[#This Row],[ActualResult]]), 0, 1)</f>
        <v>0</v>
      </c>
      <c r="O300" s="2" t="str">
        <f>IF(ISBLANK(Table2[[#This Row],[ActualResult]]), "_", IF(Table2[[#This Row],[ActualWinner]]=Table2[[#This Row],[PredictedWinner]], "Y", "N"))</f>
        <v>_</v>
      </c>
      <c r="P3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0" s="2"/>
      <c r="S300" s="2" t="str">
        <f t="shared" si="26"/>
        <v>_</v>
      </c>
      <c r="T3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0" s="2">
        <f>IF(Table2[[#This Row],[InterConf]]=1,IF(Table2[[#This Row],[InterDiv]]=0, 1, 0), 0)</f>
        <v>1</v>
      </c>
      <c r="W3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0" s="2"/>
      <c r="Y300" s="2"/>
      <c r="Z300" s="145">
        <f>IF(AND(Table2[[#This Row],[GameIsOver]]=1,Table2[[#This Row],[ActualHomeScore]]*Table2[[#This Row],[ActualAwayScore]]=0), 1,0)</f>
        <v>0</v>
      </c>
      <c r="AA3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00" s="2">
        <f>Table2[[#This Row],[ActualAwayScore]]-Table2[[#This Row],[PredictedAwayScore]]</f>
        <v>0</v>
      </c>
      <c r="AG300" s="2">
        <f>Table2[[#This Row],[ActualHomeScore]]-Table2[[#This Row],[PredictedHomeScore]]</f>
        <v>0</v>
      </c>
      <c r="AH300" s="2">
        <f t="shared" si="27"/>
        <v>0</v>
      </c>
      <c r="AI300" s="2">
        <f t="shared" si="28"/>
        <v>0</v>
      </c>
      <c r="AJ300" s="2"/>
      <c r="AK300" s="2"/>
      <c r="AL300" s="2">
        <f>IF(Table2[[#This Row],[GameIsOver]]=0,0,IF(Table2[[#This Row],[ActualWinner]]=Table2[[#This Row],[AwayTeam]], 1, 0))</f>
        <v>0</v>
      </c>
      <c r="AM300" s="2">
        <f>IF(Table2[[#This Row],[GameIsOver]]=0,0,IF(Table2[[#This Row],[ActualWinner]]=Table2[[#This Row],[HomeTeam]], 1, 0))</f>
        <v>0</v>
      </c>
      <c r="AN3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0" s="2" t="str">
        <f>INDEX(Sheet5!$B$2:$AG$33, MATCH(Table2[[#This Row],[AwayTeam]],Sheet5!$A$2:$A$33, 0), MATCH(Table2[[#This Row],[HomeTeam]],Sheet5!$A$2:$A$33, 0))</f>
        <v>0-0-0</v>
      </c>
      <c r="AP300" s="2" t="str">
        <f>INDEX(Sheet5!$B$2:$AG$33, MATCH(Table2[[#This Row],[HomeTeam]],Sheet5!$A$2:$A$33, 0), MATCH(Table2[[#This Row],[AwayTeam]],Sheet5!$A$2:$A$33, 0))</f>
        <v>0-0-0</v>
      </c>
      <c r="AQ300" s="2">
        <f>IF(Table2[[#This Row],[GameHasShutOut]], 1, 0)</f>
        <v>0</v>
      </c>
      <c r="AR300" s="2">
        <f>IF(Table2[[#This Row],[ActualAwayScore]] + Table2[[#This Row],[ActualHomeScore]] &gt;= 10, 1, 0)</f>
        <v>0</v>
      </c>
      <c r="AS300" s="2">
        <f>IF(ABS(Table2[[#This Row],[ActualAwayScore]]-Table2[[#This Row],[ActualHomeScore]])&gt;=5, 1, 0)</f>
        <v>0</v>
      </c>
      <c r="AT300" s="2">
        <f>IF(Table2[[#This Row],[ActualAwayScore]] + Table2[[#This Row],[ActualHomeScore]] &lt;= 3, 1, 0)</f>
        <v>1</v>
      </c>
      <c r="AU300" s="2"/>
      <c r="AV300" s="2"/>
    </row>
    <row r="301" spans="1:48" x14ac:dyDescent="0.25">
      <c r="A301" s="3"/>
      <c r="B301" s="3">
        <v>45978</v>
      </c>
      <c r="C301" s="5">
        <v>2025020299</v>
      </c>
      <c r="D301" s="2" t="s">
        <v>30</v>
      </c>
      <c r="E301" s="2" t="s">
        <v>19</v>
      </c>
      <c r="F301" s="2"/>
      <c r="G301" s="2"/>
      <c r="H301" s="2" t="str">
        <f t="shared" si="24"/>
        <v>_</v>
      </c>
      <c r="I301" s="2"/>
      <c r="J301" s="2"/>
      <c r="K301" s="2"/>
      <c r="L301" s="2" t="str">
        <f t="shared" si="25"/>
        <v>_</v>
      </c>
      <c r="M301" s="2"/>
      <c r="N301" s="2">
        <f>IF(ISBLANK(Table2[[#This Row],[ActualResult]]), 0, 1)</f>
        <v>0</v>
      </c>
      <c r="O301" s="2" t="str">
        <f>IF(ISBLANK(Table2[[#This Row],[ActualResult]]), "_", IF(Table2[[#This Row],[ActualWinner]]=Table2[[#This Row],[PredictedWinner]], "Y", "N"))</f>
        <v>_</v>
      </c>
      <c r="P3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1" s="2"/>
      <c r="S301" s="2" t="str">
        <f t="shared" si="26"/>
        <v>_</v>
      </c>
      <c r="T3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1" s="2">
        <f>IF(Table2[[#This Row],[InterConf]]=1,IF(Table2[[#This Row],[InterDiv]]=0, 1, 0), 0)</f>
        <v>1</v>
      </c>
      <c r="W3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1" s="2"/>
      <c r="Y301" s="2"/>
      <c r="Z301" s="145">
        <f>IF(AND(Table2[[#This Row],[GameIsOver]]=1,Table2[[#This Row],[ActualHomeScore]]*Table2[[#This Row],[ActualAwayScore]]=0), 1,0)</f>
        <v>0</v>
      </c>
      <c r="AA3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01" s="2">
        <f>Table2[[#This Row],[ActualAwayScore]]-Table2[[#This Row],[PredictedAwayScore]]</f>
        <v>0</v>
      </c>
      <c r="AG301" s="2">
        <f>Table2[[#This Row],[ActualHomeScore]]-Table2[[#This Row],[PredictedHomeScore]]</f>
        <v>0</v>
      </c>
      <c r="AH301" s="2">
        <f t="shared" si="27"/>
        <v>0</v>
      </c>
      <c r="AI301" s="2">
        <f t="shared" si="28"/>
        <v>0</v>
      </c>
      <c r="AJ301" s="2"/>
      <c r="AK301" s="2"/>
      <c r="AL301" s="2">
        <f>IF(Table2[[#This Row],[GameIsOver]]=0,0,IF(Table2[[#This Row],[ActualWinner]]=Table2[[#This Row],[AwayTeam]], 1, 0))</f>
        <v>0</v>
      </c>
      <c r="AM301" s="2">
        <f>IF(Table2[[#This Row],[GameIsOver]]=0,0,IF(Table2[[#This Row],[ActualWinner]]=Table2[[#This Row],[HomeTeam]], 1, 0))</f>
        <v>0</v>
      </c>
      <c r="AN3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1" s="2" t="str">
        <f>INDEX(Sheet5!$B$2:$AG$33, MATCH(Table2[[#This Row],[AwayTeam]],Sheet5!$A$2:$A$33, 0), MATCH(Table2[[#This Row],[HomeTeam]],Sheet5!$A$2:$A$33, 0))</f>
        <v>0-0-0</v>
      </c>
      <c r="AP301" s="2" t="str">
        <f>INDEX(Sheet5!$B$2:$AG$33, MATCH(Table2[[#This Row],[HomeTeam]],Sheet5!$A$2:$A$33, 0), MATCH(Table2[[#This Row],[AwayTeam]],Sheet5!$A$2:$A$33, 0))</f>
        <v>0-0-0</v>
      </c>
      <c r="AQ301" s="2">
        <f>IF(Table2[[#This Row],[GameHasShutOut]], 1, 0)</f>
        <v>0</v>
      </c>
      <c r="AR301" s="2">
        <f>IF(Table2[[#This Row],[ActualAwayScore]] + Table2[[#This Row],[ActualHomeScore]] &gt;= 10, 1, 0)</f>
        <v>0</v>
      </c>
      <c r="AS301" s="2">
        <f>IF(ABS(Table2[[#This Row],[ActualAwayScore]]-Table2[[#This Row],[ActualHomeScore]])&gt;=5, 1, 0)</f>
        <v>0</v>
      </c>
      <c r="AT301" s="2">
        <f>IF(Table2[[#This Row],[ActualAwayScore]] + Table2[[#This Row],[ActualHomeScore]] &lt;= 3, 1, 0)</f>
        <v>1</v>
      </c>
      <c r="AU301" s="2"/>
      <c r="AV301" s="2"/>
    </row>
    <row r="302" spans="1:48" x14ac:dyDescent="0.25">
      <c r="A302" s="3"/>
      <c r="B302" s="3">
        <v>45978</v>
      </c>
      <c r="C302" s="5">
        <v>2025020300</v>
      </c>
      <c r="D302" s="2" t="s">
        <v>32</v>
      </c>
      <c r="E302" s="2" t="s">
        <v>25</v>
      </c>
      <c r="F302" s="2"/>
      <c r="G302" s="2"/>
      <c r="H302" s="2" t="str">
        <f t="shared" si="24"/>
        <v>_</v>
      </c>
      <c r="I302" s="2"/>
      <c r="J302" s="2"/>
      <c r="K302" s="2"/>
      <c r="L302" s="2" t="str">
        <f t="shared" si="25"/>
        <v>_</v>
      </c>
      <c r="M302" s="2"/>
      <c r="N302" s="2">
        <f>IF(ISBLANK(Table2[[#This Row],[ActualResult]]), 0, 1)</f>
        <v>0</v>
      </c>
      <c r="O302" s="2" t="str">
        <f>IF(ISBLANK(Table2[[#This Row],[ActualResult]]), "_", IF(Table2[[#This Row],[ActualWinner]]=Table2[[#This Row],[PredictedWinner]], "Y", "N"))</f>
        <v>_</v>
      </c>
      <c r="P3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2" s="2"/>
      <c r="S302" s="2" t="str">
        <f t="shared" si="26"/>
        <v>_</v>
      </c>
      <c r="T3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2" s="2">
        <f>IF(Table2[[#This Row],[InterConf]]=1,IF(Table2[[#This Row],[InterDiv]]=0, 1, 0), 0)</f>
        <v>0</v>
      </c>
      <c r="W3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2" s="2"/>
      <c r="Y302" s="2"/>
      <c r="Z302" s="145">
        <f>IF(AND(Table2[[#This Row],[GameIsOver]]=1,Table2[[#This Row],[ActualHomeScore]]*Table2[[#This Row],[ActualAwayScore]]=0), 1,0)</f>
        <v>0</v>
      </c>
      <c r="AA3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02" s="2">
        <f>Table2[[#This Row],[ActualAwayScore]]-Table2[[#This Row],[PredictedAwayScore]]</f>
        <v>0</v>
      </c>
      <c r="AG302" s="2">
        <f>Table2[[#This Row],[ActualHomeScore]]-Table2[[#This Row],[PredictedHomeScore]]</f>
        <v>0</v>
      </c>
      <c r="AH302" s="2">
        <f t="shared" si="27"/>
        <v>0</v>
      </c>
      <c r="AI302" s="2">
        <f t="shared" si="28"/>
        <v>0</v>
      </c>
      <c r="AJ302" s="2"/>
      <c r="AK302" s="2"/>
      <c r="AL302" s="2">
        <f>IF(Table2[[#This Row],[GameIsOver]]=0,0,IF(Table2[[#This Row],[ActualWinner]]=Table2[[#This Row],[AwayTeam]], 1, 0))</f>
        <v>0</v>
      </c>
      <c r="AM302" s="2">
        <f>IF(Table2[[#This Row],[GameIsOver]]=0,0,IF(Table2[[#This Row],[ActualWinner]]=Table2[[#This Row],[HomeTeam]], 1, 0))</f>
        <v>0</v>
      </c>
      <c r="AN3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2" s="2" t="str">
        <f>INDEX(Sheet5!$B$2:$AG$33, MATCH(Table2[[#This Row],[AwayTeam]],Sheet5!$A$2:$A$33, 0), MATCH(Table2[[#This Row],[HomeTeam]],Sheet5!$A$2:$A$33, 0))</f>
        <v>0-0-0</v>
      </c>
      <c r="AP302" s="2" t="str">
        <f>INDEX(Sheet5!$B$2:$AG$33, MATCH(Table2[[#This Row],[HomeTeam]],Sheet5!$A$2:$A$33, 0), MATCH(Table2[[#This Row],[AwayTeam]],Sheet5!$A$2:$A$33, 0))</f>
        <v>0-0-0</v>
      </c>
      <c r="AQ302" s="2">
        <f>IF(Table2[[#This Row],[GameHasShutOut]], 1, 0)</f>
        <v>0</v>
      </c>
      <c r="AR302" s="2">
        <f>IF(Table2[[#This Row],[ActualAwayScore]] + Table2[[#This Row],[ActualHomeScore]] &gt;= 10, 1, 0)</f>
        <v>0</v>
      </c>
      <c r="AS302" s="2">
        <f>IF(ABS(Table2[[#This Row],[ActualAwayScore]]-Table2[[#This Row],[ActualHomeScore]])&gt;=5, 1, 0)</f>
        <v>0</v>
      </c>
      <c r="AT302" s="2">
        <f>IF(Table2[[#This Row],[ActualAwayScore]] + Table2[[#This Row],[ActualHomeScore]] &lt;= 3, 1, 0)</f>
        <v>1</v>
      </c>
      <c r="AU302" s="2"/>
      <c r="AV302" s="2"/>
    </row>
    <row r="303" spans="1:48" x14ac:dyDescent="0.25">
      <c r="A303" s="3"/>
      <c r="B303" s="3">
        <v>45979</v>
      </c>
      <c r="C303" s="5">
        <v>2025020301</v>
      </c>
      <c r="D303" s="2" t="s">
        <v>41</v>
      </c>
      <c r="E303" s="2" t="s">
        <v>15</v>
      </c>
      <c r="F303" s="2"/>
      <c r="G303" s="2"/>
      <c r="H303" s="2" t="str">
        <f t="shared" si="24"/>
        <v>_</v>
      </c>
      <c r="I303" s="2"/>
      <c r="J303" s="2"/>
      <c r="K303" s="2"/>
      <c r="L303" s="2" t="str">
        <f t="shared" si="25"/>
        <v>_</v>
      </c>
      <c r="M303" s="2"/>
      <c r="N303" s="2">
        <f>IF(ISBLANK(Table2[[#This Row],[ActualResult]]), 0, 1)</f>
        <v>0</v>
      </c>
      <c r="O303" s="2" t="str">
        <f>IF(ISBLANK(Table2[[#This Row],[ActualResult]]), "_", IF(Table2[[#This Row],[ActualWinner]]=Table2[[#This Row],[PredictedWinner]], "Y", "N"))</f>
        <v>_</v>
      </c>
      <c r="P3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3" s="2"/>
      <c r="S303" s="2" t="str">
        <f t="shared" si="26"/>
        <v>_</v>
      </c>
      <c r="T3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3" s="2">
        <f>IF(Table2[[#This Row],[InterConf]]=1,IF(Table2[[#This Row],[InterDiv]]=0, 1, 0), 0)</f>
        <v>1</v>
      </c>
      <c r="W3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3" s="2"/>
      <c r="Y303" s="2"/>
      <c r="Z303" s="145">
        <f>IF(AND(Table2[[#This Row],[GameIsOver]]=1,Table2[[#This Row],[ActualHomeScore]]*Table2[[#This Row],[ActualAwayScore]]=0), 1,0)</f>
        <v>0</v>
      </c>
      <c r="AA3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3" s="2">
        <f>Table2[[#This Row],[ActualAwayScore]]-Table2[[#This Row],[PredictedAwayScore]]</f>
        <v>0</v>
      </c>
      <c r="AG303" s="2">
        <f>Table2[[#This Row],[ActualHomeScore]]-Table2[[#This Row],[PredictedHomeScore]]</f>
        <v>0</v>
      </c>
      <c r="AH303" s="2">
        <f t="shared" si="27"/>
        <v>0</v>
      </c>
      <c r="AI303" s="2">
        <f t="shared" si="28"/>
        <v>0</v>
      </c>
      <c r="AJ303" s="2"/>
      <c r="AK303" s="2"/>
      <c r="AL303" s="2">
        <f>IF(Table2[[#This Row],[GameIsOver]]=0,0,IF(Table2[[#This Row],[ActualWinner]]=Table2[[#This Row],[AwayTeam]], 1, 0))</f>
        <v>0</v>
      </c>
      <c r="AM303" s="2">
        <f>IF(Table2[[#This Row],[GameIsOver]]=0,0,IF(Table2[[#This Row],[ActualWinner]]=Table2[[#This Row],[HomeTeam]], 1, 0))</f>
        <v>0</v>
      </c>
      <c r="AN3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3" s="2" t="str">
        <f>INDEX(Sheet5!$B$2:$AG$33, MATCH(Table2[[#This Row],[AwayTeam]],Sheet5!$A$2:$A$33, 0), MATCH(Table2[[#This Row],[HomeTeam]],Sheet5!$A$2:$A$33, 0))</f>
        <v>0-0-0</v>
      </c>
      <c r="AP303" s="2" t="str">
        <f>INDEX(Sheet5!$B$2:$AG$33, MATCH(Table2[[#This Row],[HomeTeam]],Sheet5!$A$2:$A$33, 0), MATCH(Table2[[#This Row],[AwayTeam]],Sheet5!$A$2:$A$33, 0))</f>
        <v>0-0-0</v>
      </c>
      <c r="AQ303" s="2">
        <f>IF(Table2[[#This Row],[GameHasShutOut]], 1, 0)</f>
        <v>0</v>
      </c>
      <c r="AR303" s="2">
        <f>IF(Table2[[#This Row],[ActualAwayScore]] + Table2[[#This Row],[ActualHomeScore]] &gt;= 10, 1, 0)</f>
        <v>0</v>
      </c>
      <c r="AS303" s="2">
        <f>IF(ABS(Table2[[#This Row],[ActualAwayScore]]-Table2[[#This Row],[ActualHomeScore]])&gt;=5, 1, 0)</f>
        <v>0</v>
      </c>
      <c r="AT303" s="2">
        <f>IF(Table2[[#This Row],[ActualAwayScore]] + Table2[[#This Row],[ActualHomeScore]] &lt;= 3, 1, 0)</f>
        <v>1</v>
      </c>
      <c r="AU303" s="2"/>
      <c r="AV303" s="2"/>
    </row>
    <row r="304" spans="1:48" x14ac:dyDescent="0.25">
      <c r="A304" s="3"/>
      <c r="B304" s="3">
        <v>45979</v>
      </c>
      <c r="C304" s="5">
        <v>2025020302</v>
      </c>
      <c r="D304" s="2" t="s">
        <v>22</v>
      </c>
      <c r="E304" s="2" t="s">
        <v>28</v>
      </c>
      <c r="F304" s="2"/>
      <c r="G304" s="2"/>
      <c r="H304" s="2" t="str">
        <f t="shared" si="24"/>
        <v>_</v>
      </c>
      <c r="I304" s="2"/>
      <c r="J304" s="2"/>
      <c r="K304" s="2"/>
      <c r="L304" s="2" t="str">
        <f t="shared" si="25"/>
        <v>_</v>
      </c>
      <c r="M304" s="2"/>
      <c r="N304" s="2">
        <f>IF(ISBLANK(Table2[[#This Row],[ActualResult]]), 0, 1)</f>
        <v>0</v>
      </c>
      <c r="O304" s="2" t="str">
        <f>IF(ISBLANK(Table2[[#This Row],[ActualResult]]), "_", IF(Table2[[#This Row],[ActualWinner]]=Table2[[#This Row],[PredictedWinner]], "Y", "N"))</f>
        <v>_</v>
      </c>
      <c r="P3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4" s="2"/>
      <c r="S304" s="2" t="str">
        <f t="shared" si="26"/>
        <v>_</v>
      </c>
      <c r="T3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4" s="2">
        <f>IF(Table2[[#This Row],[InterConf]]=1,IF(Table2[[#This Row],[InterDiv]]=0, 1, 0), 0)</f>
        <v>0</v>
      </c>
      <c r="W3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4" s="2"/>
      <c r="Y304" s="2"/>
      <c r="Z304" s="145">
        <f>IF(AND(Table2[[#This Row],[GameIsOver]]=1,Table2[[#This Row],[ActualHomeScore]]*Table2[[#This Row],[ActualAwayScore]]=0), 1,0)</f>
        <v>0</v>
      </c>
      <c r="AA3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4" s="2">
        <f>Table2[[#This Row],[ActualAwayScore]]-Table2[[#This Row],[PredictedAwayScore]]</f>
        <v>0</v>
      </c>
      <c r="AG304" s="2">
        <f>Table2[[#This Row],[ActualHomeScore]]-Table2[[#This Row],[PredictedHomeScore]]</f>
        <v>0</v>
      </c>
      <c r="AH304" s="2">
        <f t="shared" si="27"/>
        <v>0</v>
      </c>
      <c r="AI304" s="2">
        <f t="shared" si="28"/>
        <v>0</v>
      </c>
      <c r="AJ304" s="2"/>
      <c r="AK304" s="2"/>
      <c r="AL304" s="2">
        <f>IF(Table2[[#This Row],[GameIsOver]]=0,0,IF(Table2[[#This Row],[ActualWinner]]=Table2[[#This Row],[AwayTeam]], 1, 0))</f>
        <v>0</v>
      </c>
      <c r="AM304" s="2">
        <f>IF(Table2[[#This Row],[GameIsOver]]=0,0,IF(Table2[[#This Row],[ActualWinner]]=Table2[[#This Row],[HomeTeam]], 1, 0))</f>
        <v>0</v>
      </c>
      <c r="AN3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4" s="2" t="str">
        <f>INDEX(Sheet5!$B$2:$AG$33, MATCH(Table2[[#This Row],[AwayTeam]],Sheet5!$A$2:$A$33, 0), MATCH(Table2[[#This Row],[HomeTeam]],Sheet5!$A$2:$A$33, 0))</f>
        <v>0-0-0</v>
      </c>
      <c r="AP304" s="2" t="str">
        <f>INDEX(Sheet5!$B$2:$AG$33, MATCH(Table2[[#This Row],[HomeTeam]],Sheet5!$A$2:$A$33, 0), MATCH(Table2[[#This Row],[AwayTeam]],Sheet5!$A$2:$A$33, 0))</f>
        <v>0-0-0</v>
      </c>
      <c r="AQ304" s="2">
        <f>IF(Table2[[#This Row],[GameHasShutOut]], 1, 0)</f>
        <v>0</v>
      </c>
      <c r="AR304" s="2">
        <f>IF(Table2[[#This Row],[ActualAwayScore]] + Table2[[#This Row],[ActualHomeScore]] &gt;= 10, 1, 0)</f>
        <v>0</v>
      </c>
      <c r="AS304" s="2">
        <f>IF(ABS(Table2[[#This Row],[ActualAwayScore]]-Table2[[#This Row],[ActualHomeScore]])&gt;=5, 1, 0)</f>
        <v>0</v>
      </c>
      <c r="AT304" s="2">
        <f>IF(Table2[[#This Row],[ActualAwayScore]] + Table2[[#This Row],[ActualHomeScore]] &lt;= 3, 1, 0)</f>
        <v>1</v>
      </c>
      <c r="AU304" s="2"/>
      <c r="AV304" s="2"/>
    </row>
    <row r="305" spans="1:48" x14ac:dyDescent="0.25">
      <c r="A305" s="3"/>
      <c r="B305" s="3">
        <v>45979</v>
      </c>
      <c r="C305" s="5">
        <v>2025020303</v>
      </c>
      <c r="D305" s="2" t="s">
        <v>24</v>
      </c>
      <c r="E305" s="2" t="s">
        <v>13</v>
      </c>
      <c r="F305" s="2"/>
      <c r="G305" s="2"/>
      <c r="H305" s="2" t="str">
        <f t="shared" si="24"/>
        <v>_</v>
      </c>
      <c r="I305" s="2"/>
      <c r="J305" s="2"/>
      <c r="K305" s="2"/>
      <c r="L305" s="2" t="str">
        <f t="shared" si="25"/>
        <v>_</v>
      </c>
      <c r="M305" s="2"/>
      <c r="N305" s="2">
        <f>IF(ISBLANK(Table2[[#This Row],[ActualResult]]), 0, 1)</f>
        <v>0</v>
      </c>
      <c r="O305" s="2" t="str">
        <f>IF(ISBLANK(Table2[[#This Row],[ActualResult]]), "_", IF(Table2[[#This Row],[ActualWinner]]=Table2[[#This Row],[PredictedWinner]], "Y", "N"))</f>
        <v>_</v>
      </c>
      <c r="P3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5" s="2"/>
      <c r="S305" s="2" t="str">
        <f t="shared" si="26"/>
        <v>_</v>
      </c>
      <c r="T3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5" s="2">
        <f>IF(Table2[[#This Row],[InterConf]]=1,IF(Table2[[#This Row],[InterDiv]]=0, 1, 0), 0)</f>
        <v>0</v>
      </c>
      <c r="W3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5" s="2"/>
      <c r="Y305" s="2"/>
      <c r="Z305" s="145">
        <f>IF(AND(Table2[[#This Row],[GameIsOver]]=1,Table2[[#This Row],[ActualHomeScore]]*Table2[[#This Row],[ActualAwayScore]]=0), 1,0)</f>
        <v>0</v>
      </c>
      <c r="AA3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5" s="2">
        <f>Table2[[#This Row],[ActualAwayScore]]-Table2[[#This Row],[PredictedAwayScore]]</f>
        <v>0</v>
      </c>
      <c r="AG305" s="2">
        <f>Table2[[#This Row],[ActualHomeScore]]-Table2[[#This Row],[PredictedHomeScore]]</f>
        <v>0</v>
      </c>
      <c r="AH305" s="2">
        <f t="shared" si="27"/>
        <v>0</v>
      </c>
      <c r="AI305" s="2">
        <f t="shared" si="28"/>
        <v>0</v>
      </c>
      <c r="AJ305" s="2"/>
      <c r="AK305" s="2"/>
      <c r="AL305" s="2">
        <f>IF(Table2[[#This Row],[GameIsOver]]=0,0,IF(Table2[[#This Row],[ActualWinner]]=Table2[[#This Row],[AwayTeam]], 1, 0))</f>
        <v>0</v>
      </c>
      <c r="AM305" s="2">
        <f>IF(Table2[[#This Row],[GameIsOver]]=0,0,IF(Table2[[#This Row],[ActualWinner]]=Table2[[#This Row],[HomeTeam]], 1, 0))</f>
        <v>0</v>
      </c>
      <c r="AN3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5" s="2" t="str">
        <f>INDEX(Sheet5!$B$2:$AG$33, MATCH(Table2[[#This Row],[AwayTeam]],Sheet5!$A$2:$A$33, 0), MATCH(Table2[[#This Row],[HomeTeam]],Sheet5!$A$2:$A$33, 0))</f>
        <v>0-0-0</v>
      </c>
      <c r="AP305" s="2" t="str">
        <f>INDEX(Sheet5!$B$2:$AG$33, MATCH(Table2[[#This Row],[HomeTeam]],Sheet5!$A$2:$A$33, 0), MATCH(Table2[[#This Row],[AwayTeam]],Sheet5!$A$2:$A$33, 0))</f>
        <v>0-0-0</v>
      </c>
      <c r="AQ305" s="2">
        <f>IF(Table2[[#This Row],[GameHasShutOut]], 1, 0)</f>
        <v>0</v>
      </c>
      <c r="AR305" s="2">
        <f>IF(Table2[[#This Row],[ActualAwayScore]] + Table2[[#This Row],[ActualHomeScore]] &gt;= 10, 1, 0)</f>
        <v>0</v>
      </c>
      <c r="AS305" s="2">
        <f>IF(ABS(Table2[[#This Row],[ActualAwayScore]]-Table2[[#This Row],[ActualHomeScore]])&gt;=5, 1, 0)</f>
        <v>0</v>
      </c>
      <c r="AT305" s="2">
        <f>IF(Table2[[#This Row],[ActualAwayScore]] + Table2[[#This Row],[ActualHomeScore]] &lt;= 3, 1, 0)</f>
        <v>1</v>
      </c>
      <c r="AU305" s="2"/>
      <c r="AV305" s="2"/>
    </row>
    <row r="306" spans="1:48" x14ac:dyDescent="0.25">
      <c r="A306" s="3"/>
      <c r="B306" s="3">
        <v>45979</v>
      </c>
      <c r="C306" s="5">
        <v>2025020304</v>
      </c>
      <c r="D306" s="2" t="s">
        <v>27</v>
      </c>
      <c r="E306" s="2" t="s">
        <v>43</v>
      </c>
      <c r="F306" s="2"/>
      <c r="G306" s="2"/>
      <c r="H306" s="2" t="str">
        <f t="shared" si="24"/>
        <v>_</v>
      </c>
      <c r="I306" s="2"/>
      <c r="J306" s="2"/>
      <c r="K306" s="2"/>
      <c r="L306" s="2" t="str">
        <f t="shared" si="25"/>
        <v>_</v>
      </c>
      <c r="M306" s="2"/>
      <c r="N306" s="2">
        <f>IF(ISBLANK(Table2[[#This Row],[ActualResult]]), 0, 1)</f>
        <v>0</v>
      </c>
      <c r="O306" s="2" t="str">
        <f>IF(ISBLANK(Table2[[#This Row],[ActualResult]]), "_", IF(Table2[[#This Row],[ActualWinner]]=Table2[[#This Row],[PredictedWinner]], "Y", "N"))</f>
        <v>_</v>
      </c>
      <c r="P3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6" s="2"/>
      <c r="S306" s="2" t="str">
        <f t="shared" si="26"/>
        <v>_</v>
      </c>
      <c r="T3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6" s="2">
        <f>IF(Table2[[#This Row],[InterConf]]=1,IF(Table2[[#This Row],[InterDiv]]=0, 1, 0), 0)</f>
        <v>0</v>
      </c>
      <c r="W3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6" s="2"/>
      <c r="Y306" s="2"/>
      <c r="Z306" s="145">
        <f>IF(AND(Table2[[#This Row],[GameIsOver]]=1,Table2[[#This Row],[ActualHomeScore]]*Table2[[#This Row],[ActualAwayScore]]=0), 1,0)</f>
        <v>0</v>
      </c>
      <c r="AA3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6" s="2">
        <f>Table2[[#This Row],[ActualAwayScore]]-Table2[[#This Row],[PredictedAwayScore]]</f>
        <v>0</v>
      </c>
      <c r="AG306" s="2">
        <f>Table2[[#This Row],[ActualHomeScore]]-Table2[[#This Row],[PredictedHomeScore]]</f>
        <v>0</v>
      </c>
      <c r="AH306" s="2">
        <f t="shared" si="27"/>
        <v>0</v>
      </c>
      <c r="AI306" s="2">
        <f t="shared" si="28"/>
        <v>0</v>
      </c>
      <c r="AJ306" s="2"/>
      <c r="AK306" s="2"/>
      <c r="AL306" s="2">
        <f>IF(Table2[[#This Row],[GameIsOver]]=0,0,IF(Table2[[#This Row],[ActualWinner]]=Table2[[#This Row],[AwayTeam]], 1, 0))</f>
        <v>0</v>
      </c>
      <c r="AM306" s="2">
        <f>IF(Table2[[#This Row],[GameIsOver]]=0,0,IF(Table2[[#This Row],[ActualWinner]]=Table2[[#This Row],[HomeTeam]], 1, 0))</f>
        <v>0</v>
      </c>
      <c r="AN306" s="2">
        <f>IF(IFERROR(FIND(Table2[[#This Row],[AwayTeam]], _xlfn.TEXTJOIN(";", 1, $BD$31:$BD$40)), 0) &gt; 0, 1, 0) + IF(IFERROR(FIND(Table2[[#This Row],[HomeTeam]], _xlfn.TEXTJOIN(";", 1, $BD$31:$BD$40)), 0) &gt; 0, 1, 0)</f>
        <v>1</v>
      </c>
      <c r="AO306" s="2" t="str">
        <f>INDEX(Sheet5!$B$2:$AG$33, MATCH(Table2[[#This Row],[AwayTeam]],Sheet5!$A$2:$A$33, 0), MATCH(Table2[[#This Row],[HomeTeam]],Sheet5!$A$2:$A$33, 0))</f>
        <v>0-0-0</v>
      </c>
      <c r="AP306" s="2" t="str">
        <f>INDEX(Sheet5!$B$2:$AG$33, MATCH(Table2[[#This Row],[HomeTeam]],Sheet5!$A$2:$A$33, 0), MATCH(Table2[[#This Row],[AwayTeam]],Sheet5!$A$2:$A$33, 0))</f>
        <v>0-0-0</v>
      </c>
      <c r="AQ306" s="2">
        <f>IF(Table2[[#This Row],[GameHasShutOut]], 1, 0)</f>
        <v>0</v>
      </c>
      <c r="AR306" s="2">
        <f>IF(Table2[[#This Row],[ActualAwayScore]] + Table2[[#This Row],[ActualHomeScore]] &gt;= 10, 1, 0)</f>
        <v>0</v>
      </c>
      <c r="AS306" s="2">
        <f>IF(ABS(Table2[[#This Row],[ActualAwayScore]]-Table2[[#This Row],[ActualHomeScore]])&gt;=5, 1, 0)</f>
        <v>0</v>
      </c>
      <c r="AT306" s="2">
        <f>IF(Table2[[#This Row],[ActualAwayScore]] + Table2[[#This Row],[ActualHomeScore]] &lt;= 3, 1, 0)</f>
        <v>1</v>
      </c>
      <c r="AU306" s="2"/>
      <c r="AV306" s="2"/>
    </row>
    <row r="307" spans="1:48" x14ac:dyDescent="0.25">
      <c r="A307" s="3"/>
      <c r="B307" s="3">
        <v>45979</v>
      </c>
      <c r="C307" s="5">
        <v>2025020305</v>
      </c>
      <c r="D307" s="2" t="s">
        <v>18</v>
      </c>
      <c r="E307" s="2" t="s">
        <v>35</v>
      </c>
      <c r="F307" s="2"/>
      <c r="G307" s="2"/>
      <c r="H307" s="2" t="str">
        <f t="shared" si="24"/>
        <v>_</v>
      </c>
      <c r="I307" s="2"/>
      <c r="J307" s="2"/>
      <c r="K307" s="2"/>
      <c r="L307" s="2" t="str">
        <f t="shared" si="25"/>
        <v>_</v>
      </c>
      <c r="M307" s="2"/>
      <c r="N307" s="2">
        <f>IF(ISBLANK(Table2[[#This Row],[ActualResult]]), 0, 1)</f>
        <v>0</v>
      </c>
      <c r="O307" s="2" t="str">
        <f>IF(ISBLANK(Table2[[#This Row],[ActualResult]]), "_", IF(Table2[[#This Row],[ActualWinner]]=Table2[[#This Row],[PredictedWinner]], "Y", "N"))</f>
        <v>_</v>
      </c>
      <c r="P3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7" s="2"/>
      <c r="S307" s="2" t="str">
        <f t="shared" si="26"/>
        <v>_</v>
      </c>
      <c r="T3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7" s="2">
        <f>IF(Table2[[#This Row],[InterConf]]=1,IF(Table2[[#This Row],[InterDiv]]=0, 1, 0), 0)</f>
        <v>1</v>
      </c>
      <c r="W3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7" s="2"/>
      <c r="Y307" s="2"/>
      <c r="Z307" s="145">
        <f>IF(AND(Table2[[#This Row],[GameIsOver]]=1,Table2[[#This Row],[ActualHomeScore]]*Table2[[#This Row],[ActualAwayScore]]=0), 1,0)</f>
        <v>0</v>
      </c>
      <c r="AA3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7" s="2">
        <f>Table2[[#This Row],[ActualAwayScore]]-Table2[[#This Row],[PredictedAwayScore]]</f>
        <v>0</v>
      </c>
      <c r="AG307" s="2">
        <f>Table2[[#This Row],[ActualHomeScore]]-Table2[[#This Row],[PredictedHomeScore]]</f>
        <v>0</v>
      </c>
      <c r="AH307" s="2">
        <f t="shared" si="27"/>
        <v>0</v>
      </c>
      <c r="AI307" s="2">
        <f t="shared" si="28"/>
        <v>0</v>
      </c>
      <c r="AJ307" s="2"/>
      <c r="AK307" s="2"/>
      <c r="AL307" s="2">
        <f>IF(Table2[[#This Row],[GameIsOver]]=0,0,IF(Table2[[#This Row],[ActualWinner]]=Table2[[#This Row],[AwayTeam]], 1, 0))</f>
        <v>0</v>
      </c>
      <c r="AM307" s="2">
        <f>IF(Table2[[#This Row],[GameIsOver]]=0,0,IF(Table2[[#This Row],[ActualWinner]]=Table2[[#This Row],[HomeTeam]], 1, 0))</f>
        <v>0</v>
      </c>
      <c r="AN3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7" s="2" t="str">
        <f>INDEX(Sheet5!$B$2:$AG$33, MATCH(Table2[[#This Row],[AwayTeam]],Sheet5!$A$2:$A$33, 0), MATCH(Table2[[#This Row],[HomeTeam]],Sheet5!$A$2:$A$33, 0))</f>
        <v>0-0-0</v>
      </c>
      <c r="AP307" s="2" t="str">
        <f>INDEX(Sheet5!$B$2:$AG$33, MATCH(Table2[[#This Row],[HomeTeam]],Sheet5!$A$2:$A$33, 0), MATCH(Table2[[#This Row],[AwayTeam]],Sheet5!$A$2:$A$33, 0))</f>
        <v>0-0-0</v>
      </c>
      <c r="AQ307" s="2">
        <f>IF(Table2[[#This Row],[GameHasShutOut]], 1, 0)</f>
        <v>0</v>
      </c>
      <c r="AR307" s="2">
        <f>IF(Table2[[#This Row],[ActualAwayScore]] + Table2[[#This Row],[ActualHomeScore]] &gt;= 10, 1, 0)</f>
        <v>0</v>
      </c>
      <c r="AS307" s="2">
        <f>IF(ABS(Table2[[#This Row],[ActualAwayScore]]-Table2[[#This Row],[ActualHomeScore]])&gt;=5, 1, 0)</f>
        <v>0</v>
      </c>
      <c r="AT307" s="2">
        <f>IF(Table2[[#This Row],[ActualAwayScore]] + Table2[[#This Row],[ActualHomeScore]] &lt;= 3, 1, 0)</f>
        <v>1</v>
      </c>
      <c r="AU307" s="2"/>
      <c r="AV307" s="2"/>
    </row>
    <row r="308" spans="1:48" x14ac:dyDescent="0.25">
      <c r="A308" s="3"/>
      <c r="B308" s="3">
        <v>45979</v>
      </c>
      <c r="C308" s="5">
        <v>2025020306</v>
      </c>
      <c r="D308" s="2" t="s">
        <v>14</v>
      </c>
      <c r="E308" s="2" t="s">
        <v>44</v>
      </c>
      <c r="F308" s="2"/>
      <c r="G308" s="2"/>
      <c r="H308" s="2" t="str">
        <f t="shared" si="24"/>
        <v>_</v>
      </c>
      <c r="I308" s="2"/>
      <c r="J308" s="2"/>
      <c r="K308" s="2"/>
      <c r="L308" s="2" t="str">
        <f t="shared" si="25"/>
        <v>_</v>
      </c>
      <c r="M308" s="2"/>
      <c r="N308" s="2">
        <f>IF(ISBLANK(Table2[[#This Row],[ActualResult]]), 0, 1)</f>
        <v>0</v>
      </c>
      <c r="O308" s="2" t="str">
        <f>IF(ISBLANK(Table2[[#This Row],[ActualResult]]), "_", IF(Table2[[#This Row],[ActualWinner]]=Table2[[#This Row],[PredictedWinner]], "Y", "N"))</f>
        <v>_</v>
      </c>
      <c r="P3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8" s="2"/>
      <c r="S308" s="2" t="str">
        <f t="shared" si="26"/>
        <v>_</v>
      </c>
      <c r="T3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8" s="2">
        <f>IF(Table2[[#This Row],[InterConf]]=1,IF(Table2[[#This Row],[InterDiv]]=0, 1, 0), 0)</f>
        <v>1</v>
      </c>
      <c r="W3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8" s="2"/>
      <c r="Y308" s="2"/>
      <c r="Z308" s="145">
        <f>IF(AND(Table2[[#This Row],[GameIsOver]]=1,Table2[[#This Row],[ActualHomeScore]]*Table2[[#This Row],[ActualAwayScore]]=0), 1,0)</f>
        <v>0</v>
      </c>
      <c r="AA3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8" s="2">
        <f>Table2[[#This Row],[ActualAwayScore]]-Table2[[#This Row],[PredictedAwayScore]]</f>
        <v>0</v>
      </c>
      <c r="AG308" s="2">
        <f>Table2[[#This Row],[ActualHomeScore]]-Table2[[#This Row],[PredictedHomeScore]]</f>
        <v>0</v>
      </c>
      <c r="AH308" s="2">
        <f t="shared" si="27"/>
        <v>0</v>
      </c>
      <c r="AI308" s="2">
        <f t="shared" si="28"/>
        <v>0</v>
      </c>
      <c r="AJ308" s="2"/>
      <c r="AK308" s="2"/>
      <c r="AL308" s="2">
        <f>IF(Table2[[#This Row],[GameIsOver]]=0,0,IF(Table2[[#This Row],[ActualWinner]]=Table2[[#This Row],[AwayTeam]], 1, 0))</f>
        <v>0</v>
      </c>
      <c r="AM308" s="2">
        <f>IF(Table2[[#This Row],[GameIsOver]]=0,0,IF(Table2[[#This Row],[ActualWinner]]=Table2[[#This Row],[HomeTeam]], 1, 0))</f>
        <v>0</v>
      </c>
      <c r="AN3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8" s="2" t="str">
        <f>INDEX(Sheet5!$B$2:$AG$33, MATCH(Table2[[#This Row],[AwayTeam]],Sheet5!$A$2:$A$33, 0), MATCH(Table2[[#This Row],[HomeTeam]],Sheet5!$A$2:$A$33, 0))</f>
        <v>0-0-0</v>
      </c>
      <c r="AP308" s="2" t="str">
        <f>INDEX(Sheet5!$B$2:$AG$33, MATCH(Table2[[#This Row],[HomeTeam]],Sheet5!$A$2:$A$33, 0), MATCH(Table2[[#This Row],[AwayTeam]],Sheet5!$A$2:$A$33, 0))</f>
        <v>0-0-0</v>
      </c>
      <c r="AQ308" s="2">
        <f>IF(Table2[[#This Row],[GameHasShutOut]], 1, 0)</f>
        <v>0</v>
      </c>
      <c r="AR308" s="2">
        <f>IF(Table2[[#This Row],[ActualAwayScore]] + Table2[[#This Row],[ActualHomeScore]] &gt;= 10, 1, 0)</f>
        <v>0</v>
      </c>
      <c r="AS308" s="2">
        <f>IF(ABS(Table2[[#This Row],[ActualAwayScore]]-Table2[[#This Row],[ActualHomeScore]])&gt;=5, 1, 0)</f>
        <v>0</v>
      </c>
      <c r="AT308" s="2">
        <f>IF(Table2[[#This Row],[ActualAwayScore]] + Table2[[#This Row],[ActualHomeScore]] &lt;= 3, 1, 0)</f>
        <v>1</v>
      </c>
      <c r="AU308" s="2"/>
      <c r="AV308" s="2"/>
    </row>
    <row r="309" spans="1:48" x14ac:dyDescent="0.25">
      <c r="A309" s="3"/>
      <c r="B309" s="3">
        <v>45980</v>
      </c>
      <c r="C309" s="5">
        <v>2025020307</v>
      </c>
      <c r="D309" s="2" t="s">
        <v>12</v>
      </c>
      <c r="E309" s="2" t="s">
        <v>17</v>
      </c>
      <c r="F309" s="2"/>
      <c r="G309" s="2"/>
      <c r="H309" s="2" t="str">
        <f t="shared" si="24"/>
        <v>_</v>
      </c>
      <c r="I309" s="2"/>
      <c r="J309" s="2"/>
      <c r="K309" s="2"/>
      <c r="L309" s="2" t="str">
        <f t="shared" si="25"/>
        <v>_</v>
      </c>
      <c r="M309" s="2"/>
      <c r="N309" s="2">
        <f>IF(ISBLANK(Table2[[#This Row],[ActualResult]]), 0, 1)</f>
        <v>0</v>
      </c>
      <c r="O309" s="2" t="str">
        <f>IF(ISBLANK(Table2[[#This Row],[ActualResult]]), "_", IF(Table2[[#This Row],[ActualWinner]]=Table2[[#This Row],[PredictedWinner]], "Y", "N"))</f>
        <v>_</v>
      </c>
      <c r="P3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9" s="2"/>
      <c r="S309" s="2" t="str">
        <f t="shared" si="26"/>
        <v>_</v>
      </c>
      <c r="T3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9" s="2">
        <f>IF(Table2[[#This Row],[InterConf]]=1,IF(Table2[[#This Row],[InterDiv]]=0, 1, 0), 0)</f>
        <v>0</v>
      </c>
      <c r="W3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9" s="2"/>
      <c r="Y309" s="2"/>
      <c r="Z309" s="145">
        <f>IF(AND(Table2[[#This Row],[GameIsOver]]=1,Table2[[#This Row],[ActualHomeScore]]*Table2[[#This Row],[ActualAwayScore]]=0), 1,0)</f>
        <v>0</v>
      </c>
      <c r="AA3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09" s="2">
        <f>Table2[[#This Row],[ActualAwayScore]]-Table2[[#This Row],[PredictedAwayScore]]</f>
        <v>0</v>
      </c>
      <c r="AG309" s="2">
        <f>Table2[[#This Row],[ActualHomeScore]]-Table2[[#This Row],[PredictedHomeScore]]</f>
        <v>0</v>
      </c>
      <c r="AH309" s="2">
        <f t="shared" si="27"/>
        <v>0</v>
      </c>
      <c r="AI309" s="2">
        <f t="shared" si="28"/>
        <v>0</v>
      </c>
      <c r="AJ309" s="2"/>
      <c r="AK309" s="2"/>
      <c r="AL309" s="2">
        <f>IF(Table2[[#This Row],[GameIsOver]]=0,0,IF(Table2[[#This Row],[ActualWinner]]=Table2[[#This Row],[AwayTeam]], 1, 0))</f>
        <v>0</v>
      </c>
      <c r="AM309" s="2">
        <f>IF(Table2[[#This Row],[GameIsOver]]=0,0,IF(Table2[[#This Row],[ActualWinner]]=Table2[[#This Row],[HomeTeam]], 1, 0))</f>
        <v>0</v>
      </c>
      <c r="AN3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9" s="2" t="str">
        <f>INDEX(Sheet5!$B$2:$AG$33, MATCH(Table2[[#This Row],[AwayTeam]],Sheet5!$A$2:$A$33, 0), MATCH(Table2[[#This Row],[HomeTeam]],Sheet5!$A$2:$A$33, 0))</f>
        <v>0-0-0</v>
      </c>
      <c r="AP309" s="2" t="str">
        <f>INDEX(Sheet5!$B$2:$AG$33, MATCH(Table2[[#This Row],[HomeTeam]],Sheet5!$A$2:$A$33, 0), MATCH(Table2[[#This Row],[AwayTeam]],Sheet5!$A$2:$A$33, 0))</f>
        <v>0-0-0</v>
      </c>
      <c r="AQ309" s="2">
        <f>IF(Table2[[#This Row],[GameHasShutOut]], 1, 0)</f>
        <v>0</v>
      </c>
      <c r="AR309" s="2">
        <f>IF(Table2[[#This Row],[ActualAwayScore]] + Table2[[#This Row],[ActualHomeScore]] &gt;= 10, 1, 0)</f>
        <v>0</v>
      </c>
      <c r="AS309" s="2">
        <f>IF(ABS(Table2[[#This Row],[ActualAwayScore]]-Table2[[#This Row],[ActualHomeScore]])&gt;=5, 1, 0)</f>
        <v>0</v>
      </c>
      <c r="AT309" s="2">
        <f>IF(Table2[[#This Row],[ActualAwayScore]] + Table2[[#This Row],[ActualHomeScore]] &lt;= 3, 1, 0)</f>
        <v>1</v>
      </c>
      <c r="AU309" s="2"/>
      <c r="AV309" s="2"/>
    </row>
    <row r="310" spans="1:48" x14ac:dyDescent="0.25">
      <c r="A310" s="3"/>
      <c r="B310" s="3">
        <v>45980</v>
      </c>
      <c r="C310" s="5">
        <v>2025020308</v>
      </c>
      <c r="D310" s="2" t="s">
        <v>11</v>
      </c>
      <c r="E310" s="2" t="s">
        <v>30</v>
      </c>
      <c r="F310" s="2"/>
      <c r="G310" s="2"/>
      <c r="H310" s="2" t="str">
        <f t="shared" si="24"/>
        <v>_</v>
      </c>
      <c r="I310" s="2"/>
      <c r="J310" s="2"/>
      <c r="K310" s="2"/>
      <c r="L310" s="2" t="str">
        <f t="shared" si="25"/>
        <v>_</v>
      </c>
      <c r="M310" s="2"/>
      <c r="N310" s="2">
        <f>IF(ISBLANK(Table2[[#This Row],[ActualResult]]), 0, 1)</f>
        <v>0</v>
      </c>
      <c r="O310" s="2" t="str">
        <f>IF(ISBLANK(Table2[[#This Row],[ActualResult]]), "_", IF(Table2[[#This Row],[ActualWinner]]=Table2[[#This Row],[PredictedWinner]], "Y", "N"))</f>
        <v>_</v>
      </c>
      <c r="P3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0" s="2"/>
      <c r="S310" s="2" t="str">
        <f t="shared" si="26"/>
        <v>_</v>
      </c>
      <c r="T3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0" s="2">
        <f>IF(Table2[[#This Row],[InterConf]]=1,IF(Table2[[#This Row],[InterDiv]]=0, 1, 0), 0)</f>
        <v>0</v>
      </c>
      <c r="W3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0" s="2"/>
      <c r="Y310" s="2"/>
      <c r="Z310" s="145">
        <f>IF(AND(Table2[[#This Row],[GameIsOver]]=1,Table2[[#This Row],[ActualHomeScore]]*Table2[[#This Row],[ActualAwayScore]]=0), 1,0)</f>
        <v>0</v>
      </c>
      <c r="AA3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0" s="2">
        <f>Table2[[#This Row],[ActualAwayScore]]-Table2[[#This Row],[PredictedAwayScore]]</f>
        <v>0</v>
      </c>
      <c r="AG310" s="2">
        <f>Table2[[#This Row],[ActualHomeScore]]-Table2[[#This Row],[PredictedHomeScore]]</f>
        <v>0</v>
      </c>
      <c r="AH310" s="2">
        <f t="shared" si="27"/>
        <v>0</v>
      </c>
      <c r="AI310" s="2">
        <f t="shared" si="28"/>
        <v>0</v>
      </c>
      <c r="AJ310" s="2"/>
      <c r="AK310" s="2"/>
      <c r="AL310" s="2">
        <f>IF(Table2[[#This Row],[GameIsOver]]=0,0,IF(Table2[[#This Row],[ActualWinner]]=Table2[[#This Row],[AwayTeam]], 1, 0))</f>
        <v>0</v>
      </c>
      <c r="AM310" s="2">
        <f>IF(Table2[[#This Row],[GameIsOver]]=0,0,IF(Table2[[#This Row],[ActualWinner]]=Table2[[#This Row],[HomeTeam]], 1, 0))</f>
        <v>0</v>
      </c>
      <c r="AN3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0" s="2" t="str">
        <f>INDEX(Sheet5!$B$2:$AG$33, MATCH(Table2[[#This Row],[AwayTeam]],Sheet5!$A$2:$A$33, 0), MATCH(Table2[[#This Row],[HomeTeam]],Sheet5!$A$2:$A$33, 0))</f>
        <v>0-0-0</v>
      </c>
      <c r="AP310" s="2" t="str">
        <f>INDEX(Sheet5!$B$2:$AG$33, MATCH(Table2[[#This Row],[HomeTeam]],Sheet5!$A$2:$A$33, 0), MATCH(Table2[[#This Row],[AwayTeam]],Sheet5!$A$2:$A$33, 0))</f>
        <v>0-0-0</v>
      </c>
      <c r="AQ310" s="2">
        <f>IF(Table2[[#This Row],[GameHasShutOut]], 1, 0)</f>
        <v>0</v>
      </c>
      <c r="AR310" s="2">
        <f>IF(Table2[[#This Row],[ActualAwayScore]] + Table2[[#This Row],[ActualHomeScore]] &gt;= 10, 1, 0)</f>
        <v>0</v>
      </c>
      <c r="AS310" s="2">
        <f>IF(ABS(Table2[[#This Row],[ActualAwayScore]]-Table2[[#This Row],[ActualHomeScore]])&gt;=5, 1, 0)</f>
        <v>0</v>
      </c>
      <c r="AT310" s="2">
        <f>IF(Table2[[#This Row],[ActualAwayScore]] + Table2[[#This Row],[ActualHomeScore]] &lt;= 3, 1, 0)</f>
        <v>1</v>
      </c>
      <c r="AU310" s="2"/>
      <c r="AV310" s="2"/>
    </row>
    <row r="311" spans="1:48" x14ac:dyDescent="0.25">
      <c r="A311" s="3"/>
      <c r="B311" s="3">
        <v>45980</v>
      </c>
      <c r="C311" s="5">
        <v>2025020309</v>
      </c>
      <c r="D311" s="2" t="s">
        <v>31</v>
      </c>
      <c r="E311" s="2" t="s">
        <v>40</v>
      </c>
      <c r="F311" s="2"/>
      <c r="G311" s="2"/>
      <c r="H311" s="2" t="str">
        <f t="shared" si="24"/>
        <v>_</v>
      </c>
      <c r="I311" s="2"/>
      <c r="J311" s="2"/>
      <c r="K311" s="2"/>
      <c r="L311" s="2" t="str">
        <f t="shared" si="25"/>
        <v>_</v>
      </c>
      <c r="M311" s="2"/>
      <c r="N311" s="2">
        <f>IF(ISBLANK(Table2[[#This Row],[ActualResult]]), 0, 1)</f>
        <v>0</v>
      </c>
      <c r="O311" s="2" t="str">
        <f>IF(ISBLANK(Table2[[#This Row],[ActualResult]]), "_", IF(Table2[[#This Row],[ActualWinner]]=Table2[[#This Row],[PredictedWinner]], "Y", "N"))</f>
        <v>_</v>
      </c>
      <c r="P3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1" s="2"/>
      <c r="S311" s="2" t="str">
        <f t="shared" si="26"/>
        <v>_</v>
      </c>
      <c r="T3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1" s="2">
        <f>IF(Table2[[#This Row],[InterConf]]=1,IF(Table2[[#This Row],[InterDiv]]=0, 1, 0), 0)</f>
        <v>1</v>
      </c>
      <c r="W3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1" s="2"/>
      <c r="Y311" s="2"/>
      <c r="Z311" s="145">
        <f>IF(AND(Table2[[#This Row],[GameIsOver]]=1,Table2[[#This Row],[ActualHomeScore]]*Table2[[#This Row],[ActualAwayScore]]=0), 1,0)</f>
        <v>0</v>
      </c>
      <c r="AA3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1" s="2">
        <f>Table2[[#This Row],[ActualAwayScore]]-Table2[[#This Row],[PredictedAwayScore]]</f>
        <v>0</v>
      </c>
      <c r="AG311" s="2">
        <f>Table2[[#This Row],[ActualHomeScore]]-Table2[[#This Row],[PredictedHomeScore]]</f>
        <v>0</v>
      </c>
      <c r="AH311" s="2">
        <f t="shared" si="27"/>
        <v>0</v>
      </c>
      <c r="AI311" s="2">
        <f t="shared" si="28"/>
        <v>0</v>
      </c>
      <c r="AJ311" s="2"/>
      <c r="AK311" s="2"/>
      <c r="AL311" s="2">
        <f>IF(Table2[[#This Row],[GameIsOver]]=0,0,IF(Table2[[#This Row],[ActualWinner]]=Table2[[#This Row],[AwayTeam]], 1, 0))</f>
        <v>0</v>
      </c>
      <c r="AM311" s="2">
        <f>IF(Table2[[#This Row],[GameIsOver]]=0,0,IF(Table2[[#This Row],[ActualWinner]]=Table2[[#This Row],[HomeTeam]], 1, 0))</f>
        <v>0</v>
      </c>
      <c r="AN3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1" s="2" t="str">
        <f>INDEX(Sheet5!$B$2:$AG$33, MATCH(Table2[[#This Row],[AwayTeam]],Sheet5!$A$2:$A$33, 0), MATCH(Table2[[#This Row],[HomeTeam]],Sheet5!$A$2:$A$33, 0))</f>
        <v>1-0-0</v>
      </c>
      <c r="AP311" s="2" t="str">
        <f>INDEX(Sheet5!$B$2:$AG$33, MATCH(Table2[[#This Row],[HomeTeam]],Sheet5!$A$2:$A$33, 0), MATCH(Table2[[#This Row],[AwayTeam]],Sheet5!$A$2:$A$33, 0))</f>
        <v>0-1-0</v>
      </c>
      <c r="AQ311" s="2">
        <f>IF(Table2[[#This Row],[GameHasShutOut]], 1, 0)</f>
        <v>0</v>
      </c>
      <c r="AR311" s="2">
        <f>IF(Table2[[#This Row],[ActualAwayScore]] + Table2[[#This Row],[ActualHomeScore]] &gt;= 10, 1, 0)</f>
        <v>0</v>
      </c>
      <c r="AS311" s="2">
        <f>IF(ABS(Table2[[#This Row],[ActualAwayScore]]-Table2[[#This Row],[ActualHomeScore]])&gt;=5, 1, 0)</f>
        <v>0</v>
      </c>
      <c r="AT311" s="2">
        <f>IF(Table2[[#This Row],[ActualAwayScore]] + Table2[[#This Row],[ActualHomeScore]] &lt;= 3, 1, 0)</f>
        <v>1</v>
      </c>
      <c r="AU311" s="2"/>
      <c r="AV311" s="2"/>
    </row>
    <row r="312" spans="1:48" x14ac:dyDescent="0.25">
      <c r="A312" s="3"/>
      <c r="B312" s="3">
        <v>45980</v>
      </c>
      <c r="C312" s="5">
        <v>2025020310</v>
      </c>
      <c r="D312" s="2" t="s">
        <v>32</v>
      </c>
      <c r="E312" s="2" t="s">
        <v>33</v>
      </c>
      <c r="F312" s="2"/>
      <c r="G312" s="2"/>
      <c r="H312" s="2" t="str">
        <f t="shared" si="24"/>
        <v>_</v>
      </c>
      <c r="I312" s="2"/>
      <c r="J312" s="2"/>
      <c r="K312" s="2"/>
      <c r="L312" s="2" t="str">
        <f t="shared" si="25"/>
        <v>_</v>
      </c>
      <c r="M312" s="2"/>
      <c r="N312" s="2">
        <f>IF(ISBLANK(Table2[[#This Row],[ActualResult]]), 0, 1)</f>
        <v>0</v>
      </c>
      <c r="O312" s="2" t="str">
        <f>IF(ISBLANK(Table2[[#This Row],[ActualResult]]), "_", IF(Table2[[#This Row],[ActualWinner]]=Table2[[#This Row],[PredictedWinner]], "Y", "N"))</f>
        <v>_</v>
      </c>
      <c r="P3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2" s="2"/>
      <c r="S312" s="2" t="str">
        <f t="shared" si="26"/>
        <v>_</v>
      </c>
      <c r="T3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2" s="2">
        <f>IF(Table2[[#This Row],[InterConf]]=1,IF(Table2[[#This Row],[InterDiv]]=0, 1, 0), 0)</f>
        <v>0</v>
      </c>
      <c r="W3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2" s="2"/>
      <c r="Y312" s="2"/>
      <c r="Z312" s="145">
        <f>IF(AND(Table2[[#This Row],[GameIsOver]]=1,Table2[[#This Row],[ActualHomeScore]]*Table2[[#This Row],[ActualAwayScore]]=0), 1,0)</f>
        <v>0</v>
      </c>
      <c r="AA3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2" s="2">
        <f>Table2[[#This Row],[ActualAwayScore]]-Table2[[#This Row],[PredictedAwayScore]]</f>
        <v>0</v>
      </c>
      <c r="AG312" s="2">
        <f>Table2[[#This Row],[ActualHomeScore]]-Table2[[#This Row],[PredictedHomeScore]]</f>
        <v>0</v>
      </c>
      <c r="AH312" s="2">
        <f t="shared" si="27"/>
        <v>0</v>
      </c>
      <c r="AI312" s="2">
        <f t="shared" si="28"/>
        <v>0</v>
      </c>
      <c r="AJ312" s="2"/>
      <c r="AK312" s="2"/>
      <c r="AL312" s="2">
        <f>IF(Table2[[#This Row],[GameIsOver]]=0,0,IF(Table2[[#This Row],[ActualWinner]]=Table2[[#This Row],[AwayTeam]], 1, 0))</f>
        <v>0</v>
      </c>
      <c r="AM312" s="2">
        <f>IF(Table2[[#This Row],[GameIsOver]]=0,0,IF(Table2[[#This Row],[ActualWinner]]=Table2[[#This Row],[HomeTeam]], 1, 0))</f>
        <v>0</v>
      </c>
      <c r="AN3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2" s="2" t="str">
        <f>INDEX(Sheet5!$B$2:$AG$33, MATCH(Table2[[#This Row],[AwayTeam]],Sheet5!$A$2:$A$33, 0), MATCH(Table2[[#This Row],[HomeTeam]],Sheet5!$A$2:$A$33, 0))</f>
        <v>0-0-0</v>
      </c>
      <c r="AP312" s="2" t="str">
        <f>INDEX(Sheet5!$B$2:$AG$33, MATCH(Table2[[#This Row],[HomeTeam]],Sheet5!$A$2:$A$33, 0), MATCH(Table2[[#This Row],[AwayTeam]],Sheet5!$A$2:$A$33, 0))</f>
        <v>0-0-0</v>
      </c>
      <c r="AQ312" s="2">
        <f>IF(Table2[[#This Row],[GameHasShutOut]], 1, 0)</f>
        <v>0</v>
      </c>
      <c r="AR312" s="2">
        <f>IF(Table2[[#This Row],[ActualAwayScore]] + Table2[[#This Row],[ActualHomeScore]] &gt;= 10, 1, 0)</f>
        <v>0</v>
      </c>
      <c r="AS312" s="2">
        <f>IF(ABS(Table2[[#This Row],[ActualAwayScore]]-Table2[[#This Row],[ActualHomeScore]])&gt;=5, 1, 0)</f>
        <v>0</v>
      </c>
      <c r="AT312" s="2">
        <f>IF(Table2[[#This Row],[ActualAwayScore]] + Table2[[#This Row],[ActualHomeScore]] &lt;= 3, 1, 0)</f>
        <v>1</v>
      </c>
      <c r="AU312" s="2"/>
      <c r="AV312" s="2"/>
    </row>
    <row r="313" spans="1:48" x14ac:dyDescent="0.25">
      <c r="A313" s="3"/>
      <c r="B313" s="3">
        <v>45980</v>
      </c>
      <c r="C313" s="5">
        <v>2025020311</v>
      </c>
      <c r="D313" s="2" t="s">
        <v>35</v>
      </c>
      <c r="E313" s="2" t="s">
        <v>21</v>
      </c>
      <c r="F313" s="2"/>
      <c r="G313" s="2"/>
      <c r="H313" s="2" t="str">
        <f t="shared" si="24"/>
        <v>_</v>
      </c>
      <c r="I313" s="2"/>
      <c r="J313" s="2"/>
      <c r="K313" s="2"/>
      <c r="L313" s="2" t="str">
        <f t="shared" si="25"/>
        <v>_</v>
      </c>
      <c r="M313" s="2"/>
      <c r="N313" s="2">
        <f>IF(ISBLANK(Table2[[#This Row],[ActualResult]]), 0, 1)</f>
        <v>0</v>
      </c>
      <c r="O313" s="2" t="str">
        <f>IF(ISBLANK(Table2[[#This Row],[ActualResult]]), "_", IF(Table2[[#This Row],[ActualWinner]]=Table2[[#This Row],[PredictedWinner]], "Y", "N"))</f>
        <v>_</v>
      </c>
      <c r="P3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3" s="2"/>
      <c r="S313" s="2" t="str">
        <f t="shared" si="26"/>
        <v>_</v>
      </c>
      <c r="T3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3" s="2">
        <f>IF(Table2[[#This Row],[InterConf]]=1,IF(Table2[[#This Row],[InterDiv]]=0, 1, 0), 0)</f>
        <v>0</v>
      </c>
      <c r="W3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3" s="2"/>
      <c r="Y313" s="2"/>
      <c r="Z313" s="145">
        <f>IF(AND(Table2[[#This Row],[GameIsOver]]=1,Table2[[#This Row],[ActualHomeScore]]*Table2[[#This Row],[ActualAwayScore]]=0), 1,0)</f>
        <v>0</v>
      </c>
      <c r="AA3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3" s="2">
        <f>Table2[[#This Row],[ActualAwayScore]]-Table2[[#This Row],[PredictedAwayScore]]</f>
        <v>0</v>
      </c>
      <c r="AG313" s="2">
        <f>Table2[[#This Row],[ActualHomeScore]]-Table2[[#This Row],[PredictedHomeScore]]</f>
        <v>0</v>
      </c>
      <c r="AH313" s="2">
        <f t="shared" si="27"/>
        <v>0</v>
      </c>
      <c r="AI313" s="2">
        <f t="shared" si="28"/>
        <v>0</v>
      </c>
      <c r="AJ313" s="2"/>
      <c r="AK313" s="2"/>
      <c r="AL313" s="2">
        <f>IF(Table2[[#This Row],[GameIsOver]]=0,0,IF(Table2[[#This Row],[ActualWinner]]=Table2[[#This Row],[AwayTeam]], 1, 0))</f>
        <v>0</v>
      </c>
      <c r="AM313" s="2">
        <f>IF(Table2[[#This Row],[GameIsOver]]=0,0,IF(Table2[[#This Row],[ActualWinner]]=Table2[[#This Row],[HomeTeam]], 1, 0))</f>
        <v>0</v>
      </c>
      <c r="AN3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3" s="2" t="str">
        <f>INDEX(Sheet5!$B$2:$AG$33, MATCH(Table2[[#This Row],[AwayTeam]],Sheet5!$A$2:$A$33, 0), MATCH(Table2[[#This Row],[HomeTeam]],Sheet5!$A$2:$A$33, 0))</f>
        <v>0-0-0</v>
      </c>
      <c r="AP313" s="2" t="str">
        <f>INDEX(Sheet5!$B$2:$AG$33, MATCH(Table2[[#This Row],[HomeTeam]],Sheet5!$A$2:$A$33, 0), MATCH(Table2[[#This Row],[AwayTeam]],Sheet5!$A$2:$A$33, 0))</f>
        <v>0-0-0</v>
      </c>
      <c r="AQ313" s="2">
        <f>IF(Table2[[#This Row],[GameHasShutOut]], 1, 0)</f>
        <v>0</v>
      </c>
      <c r="AR313" s="2">
        <f>IF(Table2[[#This Row],[ActualAwayScore]] + Table2[[#This Row],[ActualHomeScore]] &gt;= 10, 1, 0)</f>
        <v>0</v>
      </c>
      <c r="AS313" s="2">
        <f>IF(ABS(Table2[[#This Row],[ActualAwayScore]]-Table2[[#This Row],[ActualHomeScore]])&gt;=5, 1, 0)</f>
        <v>0</v>
      </c>
      <c r="AT313" s="2">
        <f>IF(Table2[[#This Row],[ActualAwayScore]] + Table2[[#This Row],[ActualHomeScore]] &lt;= 3, 1, 0)</f>
        <v>1</v>
      </c>
      <c r="AU313" s="2"/>
      <c r="AV313" s="2"/>
    </row>
    <row r="314" spans="1:48" x14ac:dyDescent="0.25">
      <c r="A314" s="3"/>
      <c r="B314" s="3">
        <v>45980</v>
      </c>
      <c r="C314" s="5">
        <v>2025020312</v>
      </c>
      <c r="D314" s="2" t="s">
        <v>23</v>
      </c>
      <c r="E314" s="2" t="s">
        <v>16</v>
      </c>
      <c r="F314" s="2"/>
      <c r="G314" s="2"/>
      <c r="H314" s="2" t="str">
        <f t="shared" si="24"/>
        <v>_</v>
      </c>
      <c r="I314" s="2"/>
      <c r="J314" s="2"/>
      <c r="K314" s="2"/>
      <c r="L314" s="2" t="str">
        <f t="shared" si="25"/>
        <v>_</v>
      </c>
      <c r="M314" s="2"/>
      <c r="N314" s="2">
        <f>IF(ISBLANK(Table2[[#This Row],[ActualResult]]), 0, 1)</f>
        <v>0</v>
      </c>
      <c r="O314" s="2" t="str">
        <f>IF(ISBLANK(Table2[[#This Row],[ActualResult]]), "_", IF(Table2[[#This Row],[ActualWinner]]=Table2[[#This Row],[PredictedWinner]], "Y", "N"))</f>
        <v>_</v>
      </c>
      <c r="P3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4" s="2"/>
      <c r="S314" s="2" t="str">
        <f t="shared" si="26"/>
        <v>_</v>
      </c>
      <c r="T3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4" s="2">
        <f>IF(Table2[[#This Row],[InterConf]]=1,IF(Table2[[#This Row],[InterDiv]]=0, 1, 0), 0)</f>
        <v>1</v>
      </c>
      <c r="W3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4" s="2"/>
      <c r="Y314" s="2"/>
      <c r="Z314" s="145">
        <f>IF(AND(Table2[[#This Row],[GameIsOver]]=1,Table2[[#This Row],[ActualHomeScore]]*Table2[[#This Row],[ActualAwayScore]]=0), 1,0)</f>
        <v>0</v>
      </c>
      <c r="AA3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4" s="2">
        <f>Table2[[#This Row],[ActualAwayScore]]-Table2[[#This Row],[PredictedAwayScore]]</f>
        <v>0</v>
      </c>
      <c r="AG314" s="2">
        <f>Table2[[#This Row],[ActualHomeScore]]-Table2[[#This Row],[PredictedHomeScore]]</f>
        <v>0</v>
      </c>
      <c r="AH314" s="2">
        <f t="shared" si="27"/>
        <v>0</v>
      </c>
      <c r="AI314" s="2">
        <f t="shared" si="28"/>
        <v>0</v>
      </c>
      <c r="AJ314" s="2"/>
      <c r="AK314" s="2"/>
      <c r="AL314" s="2">
        <f>IF(Table2[[#This Row],[GameIsOver]]=0,0,IF(Table2[[#This Row],[ActualWinner]]=Table2[[#This Row],[AwayTeam]], 1, 0))</f>
        <v>0</v>
      </c>
      <c r="AM314" s="2">
        <f>IF(Table2[[#This Row],[GameIsOver]]=0,0,IF(Table2[[#This Row],[ActualWinner]]=Table2[[#This Row],[HomeTeam]], 1, 0))</f>
        <v>0</v>
      </c>
      <c r="AN3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4" s="2" t="str">
        <f>INDEX(Sheet5!$B$2:$AG$33, MATCH(Table2[[#This Row],[AwayTeam]],Sheet5!$A$2:$A$33, 0), MATCH(Table2[[#This Row],[HomeTeam]],Sheet5!$A$2:$A$33, 0))</f>
        <v>0-0-0</v>
      </c>
      <c r="AP314" s="2" t="str">
        <f>INDEX(Sheet5!$B$2:$AG$33, MATCH(Table2[[#This Row],[HomeTeam]],Sheet5!$A$2:$A$33, 0), MATCH(Table2[[#This Row],[AwayTeam]],Sheet5!$A$2:$A$33, 0))</f>
        <v>0-0-0</v>
      </c>
      <c r="AQ314" s="2">
        <f>IF(Table2[[#This Row],[GameHasShutOut]], 1, 0)</f>
        <v>0</v>
      </c>
      <c r="AR314" s="2">
        <f>IF(Table2[[#This Row],[ActualAwayScore]] + Table2[[#This Row],[ActualHomeScore]] &gt;= 10, 1, 0)</f>
        <v>0</v>
      </c>
      <c r="AS314" s="2">
        <f>IF(ABS(Table2[[#This Row],[ActualAwayScore]]-Table2[[#This Row],[ActualHomeScore]])&gt;=5, 1, 0)</f>
        <v>0</v>
      </c>
      <c r="AT314" s="2">
        <f>IF(Table2[[#This Row],[ActualAwayScore]] + Table2[[#This Row],[ActualHomeScore]] &lt;= 3, 1, 0)</f>
        <v>1</v>
      </c>
      <c r="AU314" s="2"/>
      <c r="AV314" s="2"/>
    </row>
    <row r="315" spans="1:48" x14ac:dyDescent="0.25">
      <c r="A315" s="3"/>
      <c r="B315" s="3">
        <v>45980</v>
      </c>
      <c r="C315" s="5">
        <v>2025020313</v>
      </c>
      <c r="D315" s="2" t="s">
        <v>19</v>
      </c>
      <c r="E315" s="2" t="s">
        <v>26</v>
      </c>
      <c r="F315" s="2"/>
      <c r="G315" s="2"/>
      <c r="H315" s="2" t="str">
        <f t="shared" si="24"/>
        <v>_</v>
      </c>
      <c r="I315" s="2"/>
      <c r="J315" s="2"/>
      <c r="K315" s="2"/>
      <c r="L315" s="2" t="str">
        <f t="shared" si="25"/>
        <v>_</v>
      </c>
      <c r="M315" s="2"/>
      <c r="N315" s="2">
        <f>IF(ISBLANK(Table2[[#This Row],[ActualResult]]), 0, 1)</f>
        <v>0</v>
      </c>
      <c r="O315" s="2" t="str">
        <f>IF(ISBLANK(Table2[[#This Row],[ActualResult]]), "_", IF(Table2[[#This Row],[ActualWinner]]=Table2[[#This Row],[PredictedWinner]], "Y", "N"))</f>
        <v>_</v>
      </c>
      <c r="P3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5" s="2"/>
      <c r="S315" s="2" t="str">
        <f t="shared" si="26"/>
        <v>_</v>
      </c>
      <c r="T3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5" s="2">
        <f>IF(Table2[[#This Row],[InterConf]]=1,IF(Table2[[#This Row],[InterDiv]]=0, 1, 0), 0)</f>
        <v>0</v>
      </c>
      <c r="W3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5" s="2"/>
      <c r="Y315" s="2"/>
      <c r="Z315" s="145">
        <f>IF(AND(Table2[[#This Row],[GameIsOver]]=1,Table2[[#This Row],[ActualHomeScore]]*Table2[[#This Row],[ActualAwayScore]]=0), 1,0)</f>
        <v>0</v>
      </c>
      <c r="AA3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5" s="2">
        <f>Table2[[#This Row],[ActualAwayScore]]-Table2[[#This Row],[PredictedAwayScore]]</f>
        <v>0</v>
      </c>
      <c r="AG315" s="2">
        <f>Table2[[#This Row],[ActualHomeScore]]-Table2[[#This Row],[PredictedHomeScore]]</f>
        <v>0</v>
      </c>
      <c r="AH315" s="2">
        <f t="shared" si="27"/>
        <v>0</v>
      </c>
      <c r="AI315" s="2">
        <f t="shared" si="28"/>
        <v>0</v>
      </c>
      <c r="AJ315" s="2"/>
      <c r="AK315" s="2"/>
      <c r="AL315" s="2">
        <f>IF(Table2[[#This Row],[GameIsOver]]=0,0,IF(Table2[[#This Row],[ActualWinner]]=Table2[[#This Row],[AwayTeam]], 1, 0))</f>
        <v>0</v>
      </c>
      <c r="AM315" s="2">
        <f>IF(Table2[[#This Row],[GameIsOver]]=0,0,IF(Table2[[#This Row],[ActualWinner]]=Table2[[#This Row],[HomeTeam]], 1, 0))</f>
        <v>0</v>
      </c>
      <c r="AN3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5" s="2" t="str">
        <f>INDEX(Sheet5!$B$2:$AG$33, MATCH(Table2[[#This Row],[AwayTeam]],Sheet5!$A$2:$A$33, 0), MATCH(Table2[[#This Row],[HomeTeam]],Sheet5!$A$2:$A$33, 0))</f>
        <v>0-0-0</v>
      </c>
      <c r="AP315" s="2" t="str">
        <f>INDEX(Sheet5!$B$2:$AG$33, MATCH(Table2[[#This Row],[HomeTeam]],Sheet5!$A$2:$A$33, 0), MATCH(Table2[[#This Row],[AwayTeam]],Sheet5!$A$2:$A$33, 0))</f>
        <v>0-0-0</v>
      </c>
      <c r="AQ315" s="2">
        <f>IF(Table2[[#This Row],[GameHasShutOut]], 1, 0)</f>
        <v>0</v>
      </c>
      <c r="AR315" s="2">
        <f>IF(Table2[[#This Row],[ActualAwayScore]] + Table2[[#This Row],[ActualHomeScore]] &gt;= 10, 1, 0)</f>
        <v>0</v>
      </c>
      <c r="AS315" s="2">
        <f>IF(ABS(Table2[[#This Row],[ActualAwayScore]]-Table2[[#This Row],[ActualHomeScore]])&gt;=5, 1, 0)</f>
        <v>0</v>
      </c>
      <c r="AT315" s="2">
        <f>IF(Table2[[#This Row],[ActualAwayScore]] + Table2[[#This Row],[ActualHomeScore]] &lt;= 3, 1, 0)</f>
        <v>1</v>
      </c>
      <c r="AU315" s="2"/>
      <c r="AV315" s="2"/>
    </row>
    <row r="316" spans="1:48" x14ac:dyDescent="0.25">
      <c r="A316" s="3"/>
      <c r="B316" s="3">
        <v>45980</v>
      </c>
      <c r="C316" s="5">
        <v>2025020314</v>
      </c>
      <c r="D316" s="2" t="s">
        <v>14</v>
      </c>
      <c r="E316" s="2" t="s">
        <v>37</v>
      </c>
      <c r="F316" s="2"/>
      <c r="G316" s="2"/>
      <c r="H316" s="2" t="str">
        <f t="shared" si="24"/>
        <v>_</v>
      </c>
      <c r="I316" s="2"/>
      <c r="J316" s="2"/>
      <c r="K316" s="2"/>
      <c r="L316" s="2" t="str">
        <f t="shared" si="25"/>
        <v>_</v>
      </c>
      <c r="M316" s="2"/>
      <c r="N316" s="2">
        <f>IF(ISBLANK(Table2[[#This Row],[ActualResult]]), 0, 1)</f>
        <v>0</v>
      </c>
      <c r="O316" s="2" t="str">
        <f>IF(ISBLANK(Table2[[#This Row],[ActualResult]]), "_", IF(Table2[[#This Row],[ActualWinner]]=Table2[[#This Row],[PredictedWinner]], "Y", "N"))</f>
        <v>_</v>
      </c>
      <c r="P3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6" s="2"/>
      <c r="S316" s="2" t="str">
        <f t="shared" si="26"/>
        <v>_</v>
      </c>
      <c r="T3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6" s="2">
        <f>IF(Table2[[#This Row],[InterConf]]=1,IF(Table2[[#This Row],[InterDiv]]=0, 1, 0), 0)</f>
        <v>1</v>
      </c>
      <c r="W3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6" s="2"/>
      <c r="Y316" s="2"/>
      <c r="Z316" s="145">
        <f>IF(AND(Table2[[#This Row],[GameIsOver]]=1,Table2[[#This Row],[ActualHomeScore]]*Table2[[#This Row],[ActualAwayScore]]=0), 1,0)</f>
        <v>0</v>
      </c>
      <c r="AA3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6" s="2">
        <f>Table2[[#This Row],[ActualAwayScore]]-Table2[[#This Row],[PredictedAwayScore]]</f>
        <v>0</v>
      </c>
      <c r="AG316" s="2">
        <f>Table2[[#This Row],[ActualHomeScore]]-Table2[[#This Row],[PredictedHomeScore]]</f>
        <v>0</v>
      </c>
      <c r="AH316" s="2">
        <f t="shared" si="27"/>
        <v>0</v>
      </c>
      <c r="AI316" s="2">
        <f t="shared" si="28"/>
        <v>0</v>
      </c>
      <c r="AJ316" s="2"/>
      <c r="AK316" s="2"/>
      <c r="AL316" s="2">
        <f>IF(Table2[[#This Row],[GameIsOver]]=0,0,IF(Table2[[#This Row],[ActualWinner]]=Table2[[#This Row],[AwayTeam]], 1, 0))</f>
        <v>0</v>
      </c>
      <c r="AM316" s="2">
        <f>IF(Table2[[#This Row],[GameIsOver]]=0,0,IF(Table2[[#This Row],[ActualWinner]]=Table2[[#This Row],[HomeTeam]], 1, 0))</f>
        <v>0</v>
      </c>
      <c r="AN3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6" s="2" t="str">
        <f>INDEX(Sheet5!$B$2:$AG$33, MATCH(Table2[[#This Row],[AwayTeam]],Sheet5!$A$2:$A$33, 0), MATCH(Table2[[#This Row],[HomeTeam]],Sheet5!$A$2:$A$33, 0))</f>
        <v>1-0-0</v>
      </c>
      <c r="AP316" s="2" t="str">
        <f>INDEX(Sheet5!$B$2:$AG$33, MATCH(Table2[[#This Row],[HomeTeam]],Sheet5!$A$2:$A$33, 0), MATCH(Table2[[#This Row],[AwayTeam]],Sheet5!$A$2:$A$33, 0))</f>
        <v>0-1-0</v>
      </c>
      <c r="AQ316" s="2">
        <f>IF(Table2[[#This Row],[GameHasShutOut]], 1, 0)</f>
        <v>0</v>
      </c>
      <c r="AR316" s="2">
        <f>IF(Table2[[#This Row],[ActualAwayScore]] + Table2[[#This Row],[ActualHomeScore]] &gt;= 10, 1, 0)</f>
        <v>0</v>
      </c>
      <c r="AS316" s="2">
        <f>IF(ABS(Table2[[#This Row],[ActualAwayScore]]-Table2[[#This Row],[ActualHomeScore]])&gt;=5, 1, 0)</f>
        <v>0</v>
      </c>
      <c r="AT316" s="2">
        <f>IF(Table2[[#This Row],[ActualAwayScore]] + Table2[[#This Row],[ActualHomeScore]] &lt;= 3, 1, 0)</f>
        <v>1</v>
      </c>
      <c r="AU316" s="2"/>
      <c r="AV316" s="2"/>
    </row>
    <row r="317" spans="1:48" x14ac:dyDescent="0.25">
      <c r="A317" s="3"/>
      <c r="B317" s="3">
        <v>45981</v>
      </c>
      <c r="C317" s="5">
        <v>2025020315</v>
      </c>
      <c r="D317" s="2" t="s">
        <v>22</v>
      </c>
      <c r="E317" s="2" t="s">
        <v>43</v>
      </c>
      <c r="F317" s="2"/>
      <c r="G317" s="2"/>
      <c r="H317" s="2" t="str">
        <f t="shared" si="24"/>
        <v>_</v>
      </c>
      <c r="I317" s="2"/>
      <c r="J317" s="2"/>
      <c r="K317" s="2"/>
      <c r="L317" s="2" t="str">
        <f t="shared" si="25"/>
        <v>_</v>
      </c>
      <c r="M317" s="2"/>
      <c r="N317" s="2">
        <f>IF(ISBLANK(Table2[[#This Row],[ActualResult]]), 0, 1)</f>
        <v>0</v>
      </c>
      <c r="O317" s="2" t="str">
        <f>IF(ISBLANK(Table2[[#This Row],[ActualResult]]), "_", IF(Table2[[#This Row],[ActualWinner]]=Table2[[#This Row],[PredictedWinner]], "Y", "N"))</f>
        <v>_</v>
      </c>
      <c r="P3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7" s="2"/>
      <c r="S317" s="2" t="str">
        <f t="shared" si="26"/>
        <v>_</v>
      </c>
      <c r="T3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7" s="2">
        <f>IF(Table2[[#This Row],[InterConf]]=1,IF(Table2[[#This Row],[InterDiv]]=0, 1, 0), 0)</f>
        <v>0</v>
      </c>
      <c r="W3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7" s="2"/>
      <c r="Y317" s="2"/>
      <c r="Z317" s="145">
        <f>IF(AND(Table2[[#This Row],[GameIsOver]]=1,Table2[[#This Row],[ActualHomeScore]]*Table2[[#This Row],[ActualAwayScore]]=0), 1,0)</f>
        <v>0</v>
      </c>
      <c r="AA3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17" s="2">
        <f>Table2[[#This Row],[ActualAwayScore]]-Table2[[#This Row],[PredictedAwayScore]]</f>
        <v>0</v>
      </c>
      <c r="AG317" s="2">
        <f>Table2[[#This Row],[ActualHomeScore]]-Table2[[#This Row],[PredictedHomeScore]]</f>
        <v>0</v>
      </c>
      <c r="AH317" s="2">
        <f t="shared" si="27"/>
        <v>0</v>
      </c>
      <c r="AI317" s="2">
        <f t="shared" si="28"/>
        <v>0</v>
      </c>
      <c r="AJ317" s="2"/>
      <c r="AK317" s="2"/>
      <c r="AL317" s="2">
        <f>IF(Table2[[#This Row],[GameIsOver]]=0,0,IF(Table2[[#This Row],[ActualWinner]]=Table2[[#This Row],[AwayTeam]], 1, 0))</f>
        <v>0</v>
      </c>
      <c r="AM317" s="2">
        <f>IF(Table2[[#This Row],[GameIsOver]]=0,0,IF(Table2[[#This Row],[ActualWinner]]=Table2[[#This Row],[HomeTeam]], 1, 0))</f>
        <v>0</v>
      </c>
      <c r="AN3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7" s="2" t="str">
        <f>INDEX(Sheet5!$B$2:$AG$33, MATCH(Table2[[#This Row],[AwayTeam]],Sheet5!$A$2:$A$33, 0), MATCH(Table2[[#This Row],[HomeTeam]],Sheet5!$A$2:$A$33, 0))</f>
        <v>0-0-0</v>
      </c>
      <c r="AP317" s="2" t="str">
        <f>INDEX(Sheet5!$B$2:$AG$33, MATCH(Table2[[#This Row],[HomeTeam]],Sheet5!$A$2:$A$33, 0), MATCH(Table2[[#This Row],[AwayTeam]],Sheet5!$A$2:$A$33, 0))</f>
        <v>0-0-0</v>
      </c>
      <c r="AQ317" s="2">
        <f>IF(Table2[[#This Row],[GameHasShutOut]], 1, 0)</f>
        <v>0</v>
      </c>
      <c r="AR317" s="2">
        <f>IF(Table2[[#This Row],[ActualAwayScore]] + Table2[[#This Row],[ActualHomeScore]] &gt;= 10, 1, 0)</f>
        <v>0</v>
      </c>
      <c r="AS317" s="2">
        <f>IF(ABS(Table2[[#This Row],[ActualAwayScore]]-Table2[[#This Row],[ActualHomeScore]])&gt;=5, 1, 0)</f>
        <v>0</v>
      </c>
      <c r="AT317" s="2">
        <f>IF(Table2[[#This Row],[ActualAwayScore]] + Table2[[#This Row],[ActualHomeScore]] &lt;= 3, 1, 0)</f>
        <v>1</v>
      </c>
      <c r="AU317" s="2"/>
      <c r="AV317" s="2"/>
    </row>
    <row r="318" spans="1:48" x14ac:dyDescent="0.25">
      <c r="A318" s="3"/>
      <c r="B318" s="3">
        <v>45981</v>
      </c>
      <c r="C318" s="5">
        <v>2025020316</v>
      </c>
      <c r="D318" s="2" t="s">
        <v>23</v>
      </c>
      <c r="E318" s="2" t="s">
        <v>28</v>
      </c>
      <c r="F318" s="2"/>
      <c r="G318" s="2"/>
      <c r="H318" s="2" t="str">
        <f t="shared" si="24"/>
        <v>_</v>
      </c>
      <c r="I318" s="2"/>
      <c r="J318" s="2"/>
      <c r="K318" s="2"/>
      <c r="L318" s="2" t="str">
        <f t="shared" si="25"/>
        <v>_</v>
      </c>
      <c r="M318" s="2"/>
      <c r="N318" s="2">
        <f>IF(ISBLANK(Table2[[#This Row],[ActualResult]]), 0, 1)</f>
        <v>0</v>
      </c>
      <c r="O318" s="2" t="str">
        <f>IF(ISBLANK(Table2[[#This Row],[ActualResult]]), "_", IF(Table2[[#This Row],[ActualWinner]]=Table2[[#This Row],[PredictedWinner]], "Y", "N"))</f>
        <v>_</v>
      </c>
      <c r="P3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8" s="2"/>
      <c r="S318" s="2" t="str">
        <f t="shared" si="26"/>
        <v>_</v>
      </c>
      <c r="T3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8" s="2">
        <f>IF(Table2[[#This Row],[InterConf]]=1,IF(Table2[[#This Row],[InterDiv]]=0, 1, 0), 0)</f>
        <v>0</v>
      </c>
      <c r="W3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8" s="2"/>
      <c r="Y318" s="2"/>
      <c r="Z318" s="145">
        <f>IF(AND(Table2[[#This Row],[GameIsOver]]=1,Table2[[#This Row],[ActualHomeScore]]*Table2[[#This Row],[ActualAwayScore]]=0), 1,0)</f>
        <v>0</v>
      </c>
      <c r="AA3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18" s="2">
        <f>Table2[[#This Row],[ActualAwayScore]]-Table2[[#This Row],[PredictedAwayScore]]</f>
        <v>0</v>
      </c>
      <c r="AG318" s="2">
        <f>Table2[[#This Row],[ActualHomeScore]]-Table2[[#This Row],[PredictedHomeScore]]</f>
        <v>0</v>
      </c>
      <c r="AH318" s="2">
        <f t="shared" si="27"/>
        <v>0</v>
      </c>
      <c r="AI318" s="2">
        <f t="shared" si="28"/>
        <v>0</v>
      </c>
      <c r="AJ318" s="2"/>
      <c r="AK318" s="2"/>
      <c r="AL318" s="2">
        <f>IF(Table2[[#This Row],[GameIsOver]]=0,0,IF(Table2[[#This Row],[ActualWinner]]=Table2[[#This Row],[AwayTeam]], 1, 0))</f>
        <v>0</v>
      </c>
      <c r="AM318" s="2">
        <f>IF(Table2[[#This Row],[GameIsOver]]=0,0,IF(Table2[[#This Row],[ActualWinner]]=Table2[[#This Row],[HomeTeam]], 1, 0))</f>
        <v>0</v>
      </c>
      <c r="AN3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8" s="2" t="str">
        <f>INDEX(Sheet5!$B$2:$AG$33, MATCH(Table2[[#This Row],[AwayTeam]],Sheet5!$A$2:$A$33, 0), MATCH(Table2[[#This Row],[HomeTeam]],Sheet5!$A$2:$A$33, 0))</f>
        <v>0-0-0</v>
      </c>
      <c r="AP318" s="2" t="str">
        <f>INDEX(Sheet5!$B$2:$AG$33, MATCH(Table2[[#This Row],[HomeTeam]],Sheet5!$A$2:$A$33, 0), MATCH(Table2[[#This Row],[AwayTeam]],Sheet5!$A$2:$A$33, 0))</f>
        <v>0-0-0</v>
      </c>
      <c r="AQ318" s="2">
        <f>IF(Table2[[#This Row],[GameHasShutOut]], 1, 0)</f>
        <v>0</v>
      </c>
      <c r="AR318" s="2">
        <f>IF(Table2[[#This Row],[ActualAwayScore]] + Table2[[#This Row],[ActualHomeScore]] &gt;= 10, 1, 0)</f>
        <v>0</v>
      </c>
      <c r="AS318" s="2">
        <f>IF(ABS(Table2[[#This Row],[ActualAwayScore]]-Table2[[#This Row],[ActualHomeScore]])&gt;=5, 1, 0)</f>
        <v>0</v>
      </c>
      <c r="AT318" s="2">
        <f>IF(Table2[[#This Row],[ActualAwayScore]] + Table2[[#This Row],[ActualHomeScore]] &lt;= 3, 1, 0)</f>
        <v>1</v>
      </c>
      <c r="AU318" s="2"/>
      <c r="AV318" s="2"/>
    </row>
    <row r="319" spans="1:48" x14ac:dyDescent="0.25">
      <c r="A319" s="3"/>
      <c r="B319" s="3">
        <v>45981</v>
      </c>
      <c r="C319" s="5">
        <v>2025020317</v>
      </c>
      <c r="D319" s="2" t="s">
        <v>41</v>
      </c>
      <c r="E319" s="2" t="s">
        <v>36</v>
      </c>
      <c r="F319" s="2"/>
      <c r="G319" s="2"/>
      <c r="H319" s="2" t="str">
        <f t="shared" si="24"/>
        <v>_</v>
      </c>
      <c r="I319" s="2"/>
      <c r="J319" s="2"/>
      <c r="K319" s="2"/>
      <c r="L319" s="2" t="str">
        <f t="shared" si="25"/>
        <v>_</v>
      </c>
      <c r="M319" s="2"/>
      <c r="N319" s="2">
        <f>IF(ISBLANK(Table2[[#This Row],[ActualResult]]), 0, 1)</f>
        <v>0</v>
      </c>
      <c r="O319" s="2" t="str">
        <f>IF(ISBLANK(Table2[[#This Row],[ActualResult]]), "_", IF(Table2[[#This Row],[ActualWinner]]=Table2[[#This Row],[PredictedWinner]], "Y", "N"))</f>
        <v>_</v>
      </c>
      <c r="P3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9" s="2"/>
      <c r="S319" s="2" t="str">
        <f t="shared" si="26"/>
        <v>_</v>
      </c>
      <c r="T3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9" s="2">
        <f>IF(Table2[[#This Row],[InterConf]]=1,IF(Table2[[#This Row],[InterDiv]]=0, 1, 0), 0)</f>
        <v>0</v>
      </c>
      <c r="W3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9" s="2"/>
      <c r="Y319" s="2"/>
      <c r="Z319" s="145">
        <f>IF(AND(Table2[[#This Row],[GameIsOver]]=1,Table2[[#This Row],[ActualHomeScore]]*Table2[[#This Row],[ActualAwayScore]]=0), 1,0)</f>
        <v>0</v>
      </c>
      <c r="AA3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19" s="2">
        <f>Table2[[#This Row],[ActualAwayScore]]-Table2[[#This Row],[PredictedAwayScore]]</f>
        <v>0</v>
      </c>
      <c r="AG319" s="2">
        <f>Table2[[#This Row],[ActualHomeScore]]-Table2[[#This Row],[PredictedHomeScore]]</f>
        <v>0</v>
      </c>
      <c r="AH319" s="2">
        <f t="shared" si="27"/>
        <v>0</v>
      </c>
      <c r="AI319" s="2">
        <f t="shared" si="28"/>
        <v>0</v>
      </c>
      <c r="AJ319" s="2"/>
      <c r="AK319" s="2"/>
      <c r="AL319" s="2">
        <f>IF(Table2[[#This Row],[GameIsOver]]=0,0,IF(Table2[[#This Row],[ActualWinner]]=Table2[[#This Row],[AwayTeam]], 1, 0))</f>
        <v>0</v>
      </c>
      <c r="AM319" s="2">
        <f>IF(Table2[[#This Row],[GameIsOver]]=0,0,IF(Table2[[#This Row],[ActualWinner]]=Table2[[#This Row],[HomeTeam]], 1, 0))</f>
        <v>0</v>
      </c>
      <c r="AN3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9" s="2" t="str">
        <f>INDEX(Sheet5!$B$2:$AG$33, MATCH(Table2[[#This Row],[AwayTeam]],Sheet5!$A$2:$A$33, 0), MATCH(Table2[[#This Row],[HomeTeam]],Sheet5!$A$2:$A$33, 0))</f>
        <v>0-0-0</v>
      </c>
      <c r="AP319" s="2" t="str">
        <f>INDEX(Sheet5!$B$2:$AG$33, MATCH(Table2[[#This Row],[HomeTeam]],Sheet5!$A$2:$A$33, 0), MATCH(Table2[[#This Row],[AwayTeam]],Sheet5!$A$2:$A$33, 0))</f>
        <v>0-0-0</v>
      </c>
      <c r="AQ319" s="2">
        <f>IF(Table2[[#This Row],[GameHasShutOut]], 1, 0)</f>
        <v>0</v>
      </c>
      <c r="AR319" s="2">
        <f>IF(Table2[[#This Row],[ActualAwayScore]] + Table2[[#This Row],[ActualHomeScore]] &gt;= 10, 1, 0)</f>
        <v>0</v>
      </c>
      <c r="AS319" s="2">
        <f>IF(ABS(Table2[[#This Row],[ActualAwayScore]]-Table2[[#This Row],[ActualHomeScore]])&gt;=5, 1, 0)</f>
        <v>0</v>
      </c>
      <c r="AT319" s="2">
        <f>IF(Table2[[#This Row],[ActualAwayScore]] + Table2[[#This Row],[ActualHomeScore]] &lt;= 3, 1, 0)</f>
        <v>1</v>
      </c>
      <c r="AU319" s="2"/>
      <c r="AV319" s="2"/>
    </row>
    <row r="320" spans="1:48" x14ac:dyDescent="0.25">
      <c r="A320" s="3"/>
      <c r="B320" s="3">
        <v>45981</v>
      </c>
      <c r="C320" s="5">
        <v>2025020318</v>
      </c>
      <c r="D320" s="2" t="s">
        <v>15</v>
      </c>
      <c r="E320" s="2" t="s">
        <v>44</v>
      </c>
      <c r="F320" s="2"/>
      <c r="G320" s="2"/>
      <c r="H320" s="2" t="str">
        <f t="shared" si="24"/>
        <v>_</v>
      </c>
      <c r="I320" s="2"/>
      <c r="J320" s="2"/>
      <c r="K320" s="2"/>
      <c r="L320" s="2" t="str">
        <f t="shared" si="25"/>
        <v>_</v>
      </c>
      <c r="M320" s="2"/>
      <c r="N320" s="2">
        <f>IF(ISBLANK(Table2[[#This Row],[ActualResult]]), 0, 1)</f>
        <v>0</v>
      </c>
      <c r="O320" s="2" t="str">
        <f>IF(ISBLANK(Table2[[#This Row],[ActualResult]]), "_", IF(Table2[[#This Row],[ActualWinner]]=Table2[[#This Row],[PredictedWinner]], "Y", "N"))</f>
        <v>_</v>
      </c>
      <c r="P3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0" s="2"/>
      <c r="S320" s="2" t="str">
        <f t="shared" si="26"/>
        <v>_</v>
      </c>
      <c r="T3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0" s="2">
        <f>IF(Table2[[#This Row],[InterConf]]=1,IF(Table2[[#This Row],[InterDiv]]=0, 1, 0), 0)</f>
        <v>0</v>
      </c>
      <c r="W3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0" s="2"/>
      <c r="Y320" s="2"/>
      <c r="Z320" s="145">
        <f>IF(AND(Table2[[#This Row],[GameIsOver]]=1,Table2[[#This Row],[ActualHomeScore]]*Table2[[#This Row],[ActualAwayScore]]=0), 1,0)</f>
        <v>0</v>
      </c>
      <c r="AA3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20" s="2">
        <f>Table2[[#This Row],[ActualAwayScore]]-Table2[[#This Row],[PredictedAwayScore]]</f>
        <v>0</v>
      </c>
      <c r="AG320" s="2">
        <f>Table2[[#This Row],[ActualHomeScore]]-Table2[[#This Row],[PredictedHomeScore]]</f>
        <v>0</v>
      </c>
      <c r="AH320" s="2">
        <f t="shared" si="27"/>
        <v>0</v>
      </c>
      <c r="AI320" s="2">
        <f t="shared" si="28"/>
        <v>0</v>
      </c>
      <c r="AJ320" s="2"/>
      <c r="AK320" s="2"/>
      <c r="AL320" s="2">
        <f>IF(Table2[[#This Row],[GameIsOver]]=0,0,IF(Table2[[#This Row],[ActualWinner]]=Table2[[#This Row],[AwayTeam]], 1, 0))</f>
        <v>0</v>
      </c>
      <c r="AM320" s="2">
        <f>IF(Table2[[#This Row],[GameIsOver]]=0,0,IF(Table2[[#This Row],[ActualWinner]]=Table2[[#This Row],[HomeTeam]], 1, 0))</f>
        <v>0</v>
      </c>
      <c r="AN3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0" s="2" t="str">
        <f>INDEX(Sheet5!$B$2:$AG$33, MATCH(Table2[[#This Row],[AwayTeam]],Sheet5!$A$2:$A$33, 0), MATCH(Table2[[#This Row],[HomeTeam]],Sheet5!$A$2:$A$33, 0))</f>
        <v>0-0-0</v>
      </c>
      <c r="AP320" s="2" t="str">
        <f>INDEX(Sheet5!$B$2:$AG$33, MATCH(Table2[[#This Row],[HomeTeam]],Sheet5!$A$2:$A$33, 0), MATCH(Table2[[#This Row],[AwayTeam]],Sheet5!$A$2:$A$33, 0))</f>
        <v>0-0-0</v>
      </c>
      <c r="AQ320" s="2">
        <f>IF(Table2[[#This Row],[GameHasShutOut]], 1, 0)</f>
        <v>0</v>
      </c>
      <c r="AR320" s="2">
        <f>IF(Table2[[#This Row],[ActualAwayScore]] + Table2[[#This Row],[ActualHomeScore]] &gt;= 10, 1, 0)</f>
        <v>0</v>
      </c>
      <c r="AS320" s="2">
        <f>IF(ABS(Table2[[#This Row],[ActualAwayScore]]-Table2[[#This Row],[ActualHomeScore]])&gt;=5, 1, 0)</f>
        <v>0</v>
      </c>
      <c r="AT320" s="2">
        <f>IF(Table2[[#This Row],[ActualAwayScore]] + Table2[[#This Row],[ActualHomeScore]] &lt;= 3, 1, 0)</f>
        <v>1</v>
      </c>
      <c r="AU320" s="2"/>
      <c r="AV320" s="2"/>
    </row>
    <row r="321" spans="1:48" x14ac:dyDescent="0.25">
      <c r="A321" s="3"/>
      <c r="B321" s="3">
        <v>45982</v>
      </c>
      <c r="C321" s="5">
        <v>2025020319</v>
      </c>
      <c r="D321" s="2" t="s">
        <v>35</v>
      </c>
      <c r="E321" s="2" t="s">
        <v>17</v>
      </c>
      <c r="F321" s="2"/>
      <c r="G321" s="2"/>
      <c r="H321" s="2" t="str">
        <f t="shared" si="24"/>
        <v>_</v>
      </c>
      <c r="I321" s="2"/>
      <c r="J321" s="2"/>
      <c r="K321" s="2"/>
      <c r="L321" s="2" t="str">
        <f t="shared" si="25"/>
        <v>_</v>
      </c>
      <c r="M321" s="2"/>
      <c r="N321" s="2">
        <f>IF(ISBLANK(Table2[[#This Row],[ActualResult]]), 0, 1)</f>
        <v>0</v>
      </c>
      <c r="O321" s="2" t="str">
        <f>IF(ISBLANK(Table2[[#This Row],[ActualResult]]), "_", IF(Table2[[#This Row],[ActualWinner]]=Table2[[#This Row],[PredictedWinner]], "Y", "N"))</f>
        <v>_</v>
      </c>
      <c r="P3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1" s="2"/>
      <c r="S321" s="2" t="str">
        <f t="shared" si="26"/>
        <v>_</v>
      </c>
      <c r="T3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1" s="2">
        <f>IF(Table2[[#This Row],[InterConf]]=1,IF(Table2[[#This Row],[InterDiv]]=0, 1, 0), 0)</f>
        <v>1</v>
      </c>
      <c r="W3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1" s="2"/>
      <c r="Y321" s="2"/>
      <c r="Z321" s="145">
        <f>IF(AND(Table2[[#This Row],[GameIsOver]]=1,Table2[[#This Row],[ActualHomeScore]]*Table2[[#This Row],[ActualAwayScore]]=0), 1,0)</f>
        <v>0</v>
      </c>
      <c r="AA3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1" s="2">
        <f>Table2[[#This Row],[ActualAwayScore]]-Table2[[#This Row],[PredictedAwayScore]]</f>
        <v>0</v>
      </c>
      <c r="AG321" s="2">
        <f>Table2[[#This Row],[ActualHomeScore]]-Table2[[#This Row],[PredictedHomeScore]]</f>
        <v>0</v>
      </c>
      <c r="AH321" s="2">
        <f t="shared" si="27"/>
        <v>0</v>
      </c>
      <c r="AI321" s="2">
        <f t="shared" si="28"/>
        <v>0</v>
      </c>
      <c r="AJ321" s="2"/>
      <c r="AK321" s="2"/>
      <c r="AL321" s="2">
        <f>IF(Table2[[#This Row],[GameIsOver]]=0,0,IF(Table2[[#This Row],[ActualWinner]]=Table2[[#This Row],[AwayTeam]], 1, 0))</f>
        <v>0</v>
      </c>
      <c r="AM321" s="2">
        <f>IF(Table2[[#This Row],[GameIsOver]]=0,0,IF(Table2[[#This Row],[ActualWinner]]=Table2[[#This Row],[HomeTeam]], 1, 0))</f>
        <v>0</v>
      </c>
      <c r="AN3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1" s="2" t="str">
        <f>INDEX(Sheet5!$B$2:$AG$33, MATCH(Table2[[#This Row],[AwayTeam]],Sheet5!$A$2:$A$33, 0), MATCH(Table2[[#This Row],[HomeTeam]],Sheet5!$A$2:$A$33, 0))</f>
        <v>0-0-0</v>
      </c>
      <c r="AP321" s="2" t="str">
        <f>INDEX(Sheet5!$B$2:$AG$33, MATCH(Table2[[#This Row],[HomeTeam]],Sheet5!$A$2:$A$33, 0), MATCH(Table2[[#This Row],[AwayTeam]],Sheet5!$A$2:$A$33, 0))</f>
        <v>0-0-0</v>
      </c>
      <c r="AQ321" s="2">
        <f>IF(Table2[[#This Row],[GameHasShutOut]], 1, 0)</f>
        <v>0</v>
      </c>
      <c r="AR321" s="2">
        <f>IF(Table2[[#This Row],[ActualAwayScore]] + Table2[[#This Row],[ActualHomeScore]] &gt;= 10, 1, 0)</f>
        <v>0</v>
      </c>
      <c r="AS321" s="2">
        <f>IF(ABS(Table2[[#This Row],[ActualAwayScore]]-Table2[[#This Row],[ActualHomeScore]])&gt;=5, 1, 0)</f>
        <v>0</v>
      </c>
      <c r="AT321" s="2">
        <f>IF(Table2[[#This Row],[ActualAwayScore]] + Table2[[#This Row],[ActualHomeScore]] &lt;= 3, 1, 0)</f>
        <v>1</v>
      </c>
      <c r="AU321" s="2"/>
      <c r="AV321" s="2"/>
    </row>
    <row r="322" spans="1:48" x14ac:dyDescent="0.25">
      <c r="A322" s="3"/>
      <c r="B322" s="3">
        <v>45982</v>
      </c>
      <c r="C322" s="5">
        <v>2025020320</v>
      </c>
      <c r="D322" s="2" t="s">
        <v>43</v>
      </c>
      <c r="E322" s="2" t="s">
        <v>18</v>
      </c>
      <c r="F322" s="2"/>
      <c r="G322" s="2"/>
      <c r="H322" s="2" t="str">
        <f t="shared" si="24"/>
        <v>_</v>
      </c>
      <c r="I322" s="2"/>
      <c r="J322" s="2"/>
      <c r="K322" s="2"/>
      <c r="L322" s="2" t="str">
        <f t="shared" si="25"/>
        <v>_</v>
      </c>
      <c r="M322" s="2"/>
      <c r="N322" s="2">
        <f>IF(ISBLANK(Table2[[#This Row],[ActualResult]]), 0, 1)</f>
        <v>0</v>
      </c>
      <c r="O322" s="2" t="str">
        <f>IF(ISBLANK(Table2[[#This Row],[ActualResult]]), "_", IF(Table2[[#This Row],[ActualWinner]]=Table2[[#This Row],[PredictedWinner]], "Y", "N"))</f>
        <v>_</v>
      </c>
      <c r="P3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2" s="2"/>
      <c r="S322" s="2" t="str">
        <f t="shared" si="26"/>
        <v>_</v>
      </c>
      <c r="T3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2" s="2">
        <f>IF(Table2[[#This Row],[InterConf]]=1,IF(Table2[[#This Row],[InterDiv]]=0, 1, 0), 0)</f>
        <v>1</v>
      </c>
      <c r="W3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2" s="2"/>
      <c r="Y322" s="2"/>
      <c r="Z322" s="145">
        <f>IF(AND(Table2[[#This Row],[GameIsOver]]=1,Table2[[#This Row],[ActualHomeScore]]*Table2[[#This Row],[ActualAwayScore]]=0), 1,0)</f>
        <v>0</v>
      </c>
      <c r="AA3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2" s="2">
        <f>Table2[[#This Row],[ActualAwayScore]]-Table2[[#This Row],[PredictedAwayScore]]</f>
        <v>0</v>
      </c>
      <c r="AG322" s="2">
        <f>Table2[[#This Row],[ActualHomeScore]]-Table2[[#This Row],[PredictedHomeScore]]</f>
        <v>0</v>
      </c>
      <c r="AH322" s="2">
        <f t="shared" si="27"/>
        <v>0</v>
      </c>
      <c r="AI322" s="2">
        <f t="shared" si="28"/>
        <v>0</v>
      </c>
      <c r="AJ322" s="2"/>
      <c r="AK322" s="2"/>
      <c r="AL322" s="2">
        <f>IF(Table2[[#This Row],[GameIsOver]]=0,0,IF(Table2[[#This Row],[ActualWinner]]=Table2[[#This Row],[AwayTeam]], 1, 0))</f>
        <v>0</v>
      </c>
      <c r="AM322" s="2">
        <f>IF(Table2[[#This Row],[GameIsOver]]=0,0,IF(Table2[[#This Row],[ActualWinner]]=Table2[[#This Row],[HomeTeam]], 1, 0))</f>
        <v>0</v>
      </c>
      <c r="AN3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2" s="2" t="str">
        <f>INDEX(Sheet5!$B$2:$AG$33, MATCH(Table2[[#This Row],[AwayTeam]],Sheet5!$A$2:$A$33, 0), MATCH(Table2[[#This Row],[HomeTeam]],Sheet5!$A$2:$A$33, 0))</f>
        <v>0-0-0</v>
      </c>
      <c r="AP322" s="2" t="str">
        <f>INDEX(Sheet5!$B$2:$AG$33, MATCH(Table2[[#This Row],[HomeTeam]],Sheet5!$A$2:$A$33, 0), MATCH(Table2[[#This Row],[AwayTeam]],Sheet5!$A$2:$A$33, 0))</f>
        <v>0-0-0</v>
      </c>
      <c r="AQ322" s="2">
        <f>IF(Table2[[#This Row],[GameHasShutOut]], 1, 0)</f>
        <v>0</v>
      </c>
      <c r="AR322" s="2">
        <f>IF(Table2[[#This Row],[ActualAwayScore]] + Table2[[#This Row],[ActualHomeScore]] &gt;= 10, 1, 0)</f>
        <v>0</v>
      </c>
      <c r="AS322" s="2">
        <f>IF(ABS(Table2[[#This Row],[ActualAwayScore]]-Table2[[#This Row],[ActualHomeScore]])&gt;=5, 1, 0)</f>
        <v>0</v>
      </c>
      <c r="AT322" s="2">
        <f>IF(Table2[[#This Row],[ActualAwayScore]] + Table2[[#This Row],[ActualHomeScore]] &lt;= 3, 1, 0)</f>
        <v>1</v>
      </c>
      <c r="AU322" s="2"/>
      <c r="AV322" s="2"/>
    </row>
    <row r="323" spans="1:48" x14ac:dyDescent="0.25">
      <c r="A323" s="3"/>
      <c r="B323" s="3">
        <v>45982</v>
      </c>
      <c r="C323" s="5">
        <v>2025020321</v>
      </c>
      <c r="D323" s="2" t="s">
        <v>32</v>
      </c>
      <c r="E323" s="2" t="s">
        <v>30</v>
      </c>
      <c r="F323" s="2"/>
      <c r="G323" s="2"/>
      <c r="H323" s="2" t="str">
        <f t="shared" ref="H323:H386" si="29">IF(AND(ISBLANK($F323),ISBLANK($G323)),"_",IF($F323&gt;$G323,$D323,$E323))</f>
        <v>_</v>
      </c>
      <c r="I323" s="2"/>
      <c r="J323" s="2"/>
      <c r="K323" s="2"/>
      <c r="L323" s="2" t="str">
        <f t="shared" ref="L323:L386" si="30">IF(OR($J323=$K323,AND(ISBLANK($J323),ISBLANK($K323))),"_",IF($J323&gt;$K323,$D323,$E323))</f>
        <v>_</v>
      </c>
      <c r="M323" s="2"/>
      <c r="N323" s="2">
        <f>IF(ISBLANK(Table2[[#This Row],[ActualResult]]), 0, 1)</f>
        <v>0</v>
      </c>
      <c r="O323" s="2" t="str">
        <f>IF(ISBLANK(Table2[[#This Row],[ActualResult]]), "_", IF(Table2[[#This Row],[ActualWinner]]=Table2[[#This Row],[PredictedWinner]], "Y", "N"))</f>
        <v>_</v>
      </c>
      <c r="P3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3" s="2"/>
      <c r="S323" s="2" t="str">
        <f t="shared" ref="S323:S386" si="31">IF($L323="_", "_", IF($L323=$D323,$E323,$D323))</f>
        <v>_</v>
      </c>
      <c r="T3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3" s="2">
        <f>IF(Table2[[#This Row],[InterConf]]=1,IF(Table2[[#This Row],[InterDiv]]=0, 1, 0), 0)</f>
        <v>1</v>
      </c>
      <c r="W3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3" s="2"/>
      <c r="Y323" s="2"/>
      <c r="Z323" s="145">
        <f>IF(AND(Table2[[#This Row],[GameIsOver]]=1,Table2[[#This Row],[ActualHomeScore]]*Table2[[#This Row],[ActualAwayScore]]=0), 1,0)</f>
        <v>0</v>
      </c>
      <c r="AA3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3" s="2">
        <f>Table2[[#This Row],[ActualAwayScore]]-Table2[[#This Row],[PredictedAwayScore]]</f>
        <v>0</v>
      </c>
      <c r="AG323" s="2">
        <f>Table2[[#This Row],[ActualHomeScore]]-Table2[[#This Row],[PredictedHomeScore]]</f>
        <v>0</v>
      </c>
      <c r="AH323" s="2">
        <f t="shared" ref="AH323:AH386" si="32">SUMIF($B$3:$B$1315, $B323, $AF$3:$AF$1315)</f>
        <v>0</v>
      </c>
      <c r="AI323" s="2">
        <f t="shared" ref="AI323:AI386" si="33">SUMIF($B$3:$B$1315, $B323, $AG$3:$AG$1315)</f>
        <v>0</v>
      </c>
      <c r="AJ323" s="2"/>
      <c r="AK323" s="2"/>
      <c r="AL323" s="2">
        <f>IF(Table2[[#This Row],[GameIsOver]]=0,0,IF(Table2[[#This Row],[ActualWinner]]=Table2[[#This Row],[AwayTeam]], 1, 0))</f>
        <v>0</v>
      </c>
      <c r="AM323" s="2">
        <f>IF(Table2[[#This Row],[GameIsOver]]=0,0,IF(Table2[[#This Row],[ActualWinner]]=Table2[[#This Row],[HomeTeam]], 1, 0))</f>
        <v>0</v>
      </c>
      <c r="AN3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3" s="2" t="str">
        <f>INDEX(Sheet5!$B$2:$AG$33, MATCH(Table2[[#This Row],[AwayTeam]],Sheet5!$A$2:$A$33, 0), MATCH(Table2[[#This Row],[HomeTeam]],Sheet5!$A$2:$A$33, 0))</f>
        <v>0-0-0</v>
      </c>
      <c r="AP323" s="2" t="str">
        <f>INDEX(Sheet5!$B$2:$AG$33, MATCH(Table2[[#This Row],[HomeTeam]],Sheet5!$A$2:$A$33, 0), MATCH(Table2[[#This Row],[AwayTeam]],Sheet5!$A$2:$A$33, 0))</f>
        <v>0-0-0</v>
      </c>
      <c r="AQ323" s="2">
        <f>IF(Table2[[#This Row],[GameHasShutOut]], 1, 0)</f>
        <v>0</v>
      </c>
      <c r="AR323" s="2">
        <f>IF(Table2[[#This Row],[ActualAwayScore]] + Table2[[#This Row],[ActualHomeScore]] &gt;= 10, 1, 0)</f>
        <v>0</v>
      </c>
      <c r="AS323" s="2">
        <f>IF(ABS(Table2[[#This Row],[ActualAwayScore]]-Table2[[#This Row],[ActualHomeScore]])&gt;=5, 1, 0)</f>
        <v>0</v>
      </c>
      <c r="AT323" s="2">
        <f>IF(Table2[[#This Row],[ActualAwayScore]] + Table2[[#This Row],[ActualHomeScore]] &lt;= 3, 1, 0)</f>
        <v>1</v>
      </c>
      <c r="AU323" s="2"/>
      <c r="AV323" s="2"/>
    </row>
    <row r="324" spans="1:48" x14ac:dyDescent="0.25">
      <c r="A324" s="3"/>
      <c r="B324" s="3">
        <v>45982</v>
      </c>
      <c r="C324" s="5">
        <v>2025020322</v>
      </c>
      <c r="D324" s="2" t="s">
        <v>22</v>
      </c>
      <c r="E324" s="2" t="s">
        <v>40</v>
      </c>
      <c r="F324" s="2"/>
      <c r="G324" s="2"/>
      <c r="H324" s="2" t="str">
        <f t="shared" si="29"/>
        <v>_</v>
      </c>
      <c r="I324" s="2"/>
      <c r="J324" s="2"/>
      <c r="K324" s="2"/>
      <c r="L324" s="2" t="str">
        <f t="shared" si="30"/>
        <v>_</v>
      </c>
      <c r="M324" s="2"/>
      <c r="N324" s="2">
        <f>IF(ISBLANK(Table2[[#This Row],[ActualResult]]), 0, 1)</f>
        <v>0</v>
      </c>
      <c r="O324" s="2" t="str">
        <f>IF(ISBLANK(Table2[[#This Row],[ActualResult]]), "_", IF(Table2[[#This Row],[ActualWinner]]=Table2[[#This Row],[PredictedWinner]], "Y", "N"))</f>
        <v>_</v>
      </c>
      <c r="P3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4" s="2"/>
      <c r="S324" s="2" t="str">
        <f t="shared" si="31"/>
        <v>_</v>
      </c>
      <c r="T3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4" s="2">
        <f>IF(Table2[[#This Row],[InterConf]]=1,IF(Table2[[#This Row],[InterDiv]]=0, 1, 0), 0)</f>
        <v>0</v>
      </c>
      <c r="W3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4" s="2"/>
      <c r="Y324" s="2"/>
      <c r="Z324" s="145">
        <f>IF(AND(Table2[[#This Row],[GameIsOver]]=1,Table2[[#This Row],[ActualHomeScore]]*Table2[[#This Row],[ActualAwayScore]]=0), 1,0)</f>
        <v>0</v>
      </c>
      <c r="AA3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4" s="2">
        <f>Table2[[#This Row],[ActualAwayScore]]-Table2[[#This Row],[PredictedAwayScore]]</f>
        <v>0</v>
      </c>
      <c r="AG324" s="2">
        <f>Table2[[#This Row],[ActualHomeScore]]-Table2[[#This Row],[PredictedHomeScore]]</f>
        <v>0</v>
      </c>
      <c r="AH324" s="2">
        <f t="shared" si="32"/>
        <v>0</v>
      </c>
      <c r="AI324" s="2">
        <f t="shared" si="33"/>
        <v>0</v>
      </c>
      <c r="AJ324" s="2"/>
      <c r="AK324" s="2"/>
      <c r="AL324" s="2">
        <f>IF(Table2[[#This Row],[GameIsOver]]=0,0,IF(Table2[[#This Row],[ActualWinner]]=Table2[[#This Row],[AwayTeam]], 1, 0))</f>
        <v>0</v>
      </c>
      <c r="AM324" s="2">
        <f>IF(Table2[[#This Row],[GameIsOver]]=0,0,IF(Table2[[#This Row],[ActualWinner]]=Table2[[#This Row],[HomeTeam]], 1, 0))</f>
        <v>0</v>
      </c>
      <c r="AN3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4" s="2" t="str">
        <f>INDEX(Sheet5!$B$2:$AG$33, MATCH(Table2[[#This Row],[AwayTeam]],Sheet5!$A$2:$A$33, 0), MATCH(Table2[[#This Row],[HomeTeam]],Sheet5!$A$2:$A$33, 0))</f>
        <v>0-0-0</v>
      </c>
      <c r="AP324" s="2" t="str">
        <f>INDEX(Sheet5!$B$2:$AG$33, MATCH(Table2[[#This Row],[HomeTeam]],Sheet5!$A$2:$A$33, 0), MATCH(Table2[[#This Row],[AwayTeam]],Sheet5!$A$2:$A$33, 0))</f>
        <v>0-0-0</v>
      </c>
      <c r="AQ324" s="2">
        <f>IF(Table2[[#This Row],[GameHasShutOut]], 1, 0)</f>
        <v>0</v>
      </c>
      <c r="AR324" s="2">
        <f>IF(Table2[[#This Row],[ActualAwayScore]] + Table2[[#This Row],[ActualHomeScore]] &gt;= 10, 1, 0)</f>
        <v>0</v>
      </c>
      <c r="AS324" s="2">
        <f>IF(ABS(Table2[[#This Row],[ActualAwayScore]]-Table2[[#This Row],[ActualHomeScore]])&gt;=5, 1, 0)</f>
        <v>0</v>
      </c>
      <c r="AT324" s="2">
        <f>IF(Table2[[#This Row],[ActualAwayScore]] + Table2[[#This Row],[ActualHomeScore]] &lt;= 3, 1, 0)</f>
        <v>1</v>
      </c>
      <c r="AU324" s="2"/>
      <c r="AV324" s="2"/>
    </row>
    <row r="325" spans="1:48" x14ac:dyDescent="0.25">
      <c r="A325" s="3"/>
      <c r="B325" s="3">
        <v>45982</v>
      </c>
      <c r="C325" s="5">
        <v>2025020323</v>
      </c>
      <c r="D325" s="2" t="s">
        <v>31</v>
      </c>
      <c r="E325" s="2" t="s">
        <v>13</v>
      </c>
      <c r="F325" s="2"/>
      <c r="G325" s="2"/>
      <c r="H325" s="2" t="str">
        <f t="shared" si="29"/>
        <v>_</v>
      </c>
      <c r="I325" s="2"/>
      <c r="J325" s="2"/>
      <c r="K325" s="2"/>
      <c r="L325" s="2" t="str">
        <f t="shared" si="30"/>
        <v>_</v>
      </c>
      <c r="M325" s="2"/>
      <c r="N325" s="2">
        <f>IF(ISBLANK(Table2[[#This Row],[ActualResult]]), 0, 1)</f>
        <v>0</v>
      </c>
      <c r="O325" s="2" t="str">
        <f>IF(ISBLANK(Table2[[#This Row],[ActualResult]]), "_", IF(Table2[[#This Row],[ActualWinner]]=Table2[[#This Row],[PredictedWinner]], "Y", "N"))</f>
        <v>_</v>
      </c>
      <c r="P3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5" s="2"/>
      <c r="S325" s="2" t="str">
        <f t="shared" si="31"/>
        <v>_</v>
      </c>
      <c r="T3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5" s="2">
        <f>IF(Table2[[#This Row],[InterConf]]=1,IF(Table2[[#This Row],[InterDiv]]=0, 1, 0), 0)</f>
        <v>1</v>
      </c>
      <c r="W3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5" s="2"/>
      <c r="Y325" s="2"/>
      <c r="Z325" s="145">
        <f>IF(AND(Table2[[#This Row],[GameIsOver]]=1,Table2[[#This Row],[ActualHomeScore]]*Table2[[#This Row],[ActualAwayScore]]=0), 1,0)</f>
        <v>0</v>
      </c>
      <c r="AA3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5" s="2">
        <f>Table2[[#This Row],[ActualAwayScore]]-Table2[[#This Row],[PredictedAwayScore]]</f>
        <v>0</v>
      </c>
      <c r="AG325" s="2">
        <f>Table2[[#This Row],[ActualHomeScore]]-Table2[[#This Row],[PredictedHomeScore]]</f>
        <v>0</v>
      </c>
      <c r="AH325" s="2">
        <f t="shared" si="32"/>
        <v>0</v>
      </c>
      <c r="AI325" s="2">
        <f t="shared" si="33"/>
        <v>0</v>
      </c>
      <c r="AJ325" s="2"/>
      <c r="AK325" s="2"/>
      <c r="AL325" s="2">
        <f>IF(Table2[[#This Row],[GameIsOver]]=0,0,IF(Table2[[#This Row],[ActualWinner]]=Table2[[#This Row],[AwayTeam]], 1, 0))</f>
        <v>0</v>
      </c>
      <c r="AM325" s="2">
        <f>IF(Table2[[#This Row],[GameIsOver]]=0,0,IF(Table2[[#This Row],[ActualWinner]]=Table2[[#This Row],[HomeTeam]], 1, 0))</f>
        <v>0</v>
      </c>
      <c r="AN3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5" s="2" t="str">
        <f>INDEX(Sheet5!$B$2:$AG$33, MATCH(Table2[[#This Row],[AwayTeam]],Sheet5!$A$2:$A$33, 0), MATCH(Table2[[#This Row],[HomeTeam]],Sheet5!$A$2:$A$33, 0))</f>
        <v>1-0-0</v>
      </c>
      <c r="AP325" s="2" t="str">
        <f>INDEX(Sheet5!$B$2:$AG$33, MATCH(Table2[[#This Row],[HomeTeam]],Sheet5!$A$2:$A$33, 0), MATCH(Table2[[#This Row],[AwayTeam]],Sheet5!$A$2:$A$33, 0))</f>
        <v>0-1-0</v>
      </c>
      <c r="AQ325" s="2">
        <f>IF(Table2[[#This Row],[GameHasShutOut]], 1, 0)</f>
        <v>0</v>
      </c>
      <c r="AR325" s="2">
        <f>IF(Table2[[#This Row],[ActualAwayScore]] + Table2[[#This Row],[ActualHomeScore]] &gt;= 10, 1, 0)</f>
        <v>0</v>
      </c>
      <c r="AS325" s="2">
        <f>IF(ABS(Table2[[#This Row],[ActualAwayScore]]-Table2[[#This Row],[ActualHomeScore]])&gt;=5, 1, 0)</f>
        <v>0</v>
      </c>
      <c r="AT325" s="2">
        <f>IF(Table2[[#This Row],[ActualAwayScore]] + Table2[[#This Row],[ActualHomeScore]] &lt;= 3, 1, 0)</f>
        <v>1</v>
      </c>
      <c r="AU325" s="2"/>
      <c r="AV325" s="2"/>
    </row>
    <row r="326" spans="1:48" x14ac:dyDescent="0.25">
      <c r="A326" s="3"/>
      <c r="B326" s="3">
        <v>45982</v>
      </c>
      <c r="C326" s="5">
        <v>2025020324</v>
      </c>
      <c r="D326" s="2" t="s">
        <v>12</v>
      </c>
      <c r="E326" s="2" t="s">
        <v>42</v>
      </c>
      <c r="F326" s="2"/>
      <c r="G326" s="2"/>
      <c r="H326" s="2" t="str">
        <f t="shared" si="29"/>
        <v>_</v>
      </c>
      <c r="I326" s="2"/>
      <c r="J326" s="2"/>
      <c r="K326" s="2"/>
      <c r="L326" s="2" t="str">
        <f t="shared" si="30"/>
        <v>_</v>
      </c>
      <c r="M326" s="2"/>
      <c r="N326" s="2">
        <f>IF(ISBLANK(Table2[[#This Row],[ActualResult]]), 0, 1)</f>
        <v>0</v>
      </c>
      <c r="O326" s="2" t="str">
        <f>IF(ISBLANK(Table2[[#This Row],[ActualResult]]), "_", IF(Table2[[#This Row],[ActualWinner]]=Table2[[#This Row],[PredictedWinner]], "Y", "N"))</f>
        <v>_</v>
      </c>
      <c r="P3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6" s="2"/>
      <c r="S326" s="2" t="str">
        <f t="shared" si="31"/>
        <v>_</v>
      </c>
      <c r="T3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6" s="2">
        <f>IF(Table2[[#This Row],[InterConf]]=1,IF(Table2[[#This Row],[InterDiv]]=0, 1, 0), 0)</f>
        <v>0</v>
      </c>
      <c r="W3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6" s="2"/>
      <c r="Y326" s="2"/>
      <c r="Z326" s="145">
        <f>IF(AND(Table2[[#This Row],[GameIsOver]]=1,Table2[[#This Row],[ActualHomeScore]]*Table2[[#This Row],[ActualAwayScore]]=0), 1,0)</f>
        <v>0</v>
      </c>
      <c r="AA3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6" s="2">
        <f>Table2[[#This Row],[ActualAwayScore]]-Table2[[#This Row],[PredictedAwayScore]]</f>
        <v>0</v>
      </c>
      <c r="AG326" s="2">
        <f>Table2[[#This Row],[ActualHomeScore]]-Table2[[#This Row],[PredictedHomeScore]]</f>
        <v>0</v>
      </c>
      <c r="AH326" s="2">
        <f t="shared" si="32"/>
        <v>0</v>
      </c>
      <c r="AI326" s="2">
        <f t="shared" si="33"/>
        <v>0</v>
      </c>
      <c r="AJ326" s="2"/>
      <c r="AK326" s="2"/>
      <c r="AL326" s="2">
        <f>IF(Table2[[#This Row],[GameIsOver]]=0,0,IF(Table2[[#This Row],[ActualWinner]]=Table2[[#This Row],[AwayTeam]], 1, 0))</f>
        <v>0</v>
      </c>
      <c r="AM326" s="2">
        <f>IF(Table2[[#This Row],[GameIsOver]]=0,0,IF(Table2[[#This Row],[ActualWinner]]=Table2[[#This Row],[HomeTeam]], 1, 0))</f>
        <v>0</v>
      </c>
      <c r="AN3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6" s="2" t="str">
        <f>INDEX(Sheet5!$B$2:$AG$33, MATCH(Table2[[#This Row],[AwayTeam]],Sheet5!$A$2:$A$33, 0), MATCH(Table2[[#This Row],[HomeTeam]],Sheet5!$A$2:$A$33, 0))</f>
        <v>0-0-0</v>
      </c>
      <c r="AP326" s="2" t="str">
        <f>INDEX(Sheet5!$B$2:$AG$33, MATCH(Table2[[#This Row],[HomeTeam]],Sheet5!$A$2:$A$33, 0), MATCH(Table2[[#This Row],[AwayTeam]],Sheet5!$A$2:$A$33, 0))</f>
        <v>0-0-0</v>
      </c>
      <c r="AQ326" s="2">
        <f>IF(Table2[[#This Row],[GameHasShutOut]], 1, 0)</f>
        <v>0</v>
      </c>
      <c r="AR326" s="2">
        <f>IF(Table2[[#This Row],[ActualAwayScore]] + Table2[[#This Row],[ActualHomeScore]] &gt;= 10, 1, 0)</f>
        <v>0</v>
      </c>
      <c r="AS326" s="2">
        <f>IF(ABS(Table2[[#This Row],[ActualAwayScore]]-Table2[[#This Row],[ActualHomeScore]])&gt;=5, 1, 0)</f>
        <v>0</v>
      </c>
      <c r="AT326" s="2">
        <f>IF(Table2[[#This Row],[ActualAwayScore]] + Table2[[#This Row],[ActualHomeScore]] &lt;= 3, 1, 0)</f>
        <v>1</v>
      </c>
      <c r="AU326" s="2"/>
      <c r="AV326" s="2"/>
    </row>
    <row r="327" spans="1:48" x14ac:dyDescent="0.25">
      <c r="A327" s="3"/>
      <c r="B327" s="3">
        <v>45982</v>
      </c>
      <c r="C327" s="5">
        <v>2025020325</v>
      </c>
      <c r="D327" s="2" t="s">
        <v>11</v>
      </c>
      <c r="E327" s="2" t="s">
        <v>16</v>
      </c>
      <c r="F327" s="2"/>
      <c r="G327" s="2"/>
      <c r="H327" s="2" t="str">
        <f t="shared" si="29"/>
        <v>_</v>
      </c>
      <c r="I327" s="2"/>
      <c r="J327" s="2"/>
      <c r="K327" s="2"/>
      <c r="L327" s="2" t="str">
        <f t="shared" si="30"/>
        <v>_</v>
      </c>
      <c r="M327" s="2"/>
      <c r="N327" s="2">
        <f>IF(ISBLANK(Table2[[#This Row],[ActualResult]]), 0, 1)</f>
        <v>0</v>
      </c>
      <c r="O327" s="2" t="str">
        <f>IF(ISBLANK(Table2[[#This Row],[ActualResult]]), "_", IF(Table2[[#This Row],[ActualWinner]]=Table2[[#This Row],[PredictedWinner]], "Y", "N"))</f>
        <v>_</v>
      </c>
      <c r="P3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7" s="2"/>
      <c r="S327" s="2" t="str">
        <f t="shared" si="31"/>
        <v>_</v>
      </c>
      <c r="T3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7" s="2">
        <f>IF(Table2[[#This Row],[InterConf]]=1,IF(Table2[[#This Row],[InterDiv]]=0, 1, 0), 0)</f>
        <v>1</v>
      </c>
      <c r="W3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7" s="2"/>
      <c r="Y327" s="2"/>
      <c r="Z327" s="145">
        <f>IF(AND(Table2[[#This Row],[GameIsOver]]=1,Table2[[#This Row],[ActualHomeScore]]*Table2[[#This Row],[ActualAwayScore]]=0), 1,0)</f>
        <v>0</v>
      </c>
      <c r="AA3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7" s="2">
        <f>Table2[[#This Row],[ActualAwayScore]]-Table2[[#This Row],[PredictedAwayScore]]</f>
        <v>0</v>
      </c>
      <c r="AG327" s="2">
        <f>Table2[[#This Row],[ActualHomeScore]]-Table2[[#This Row],[PredictedHomeScore]]</f>
        <v>0</v>
      </c>
      <c r="AH327" s="2">
        <f t="shared" si="32"/>
        <v>0</v>
      </c>
      <c r="AI327" s="2">
        <f t="shared" si="33"/>
        <v>0</v>
      </c>
      <c r="AJ327" s="2"/>
      <c r="AK327" s="2"/>
      <c r="AL327" s="2">
        <f>IF(Table2[[#This Row],[GameIsOver]]=0,0,IF(Table2[[#This Row],[ActualWinner]]=Table2[[#This Row],[AwayTeam]], 1, 0))</f>
        <v>0</v>
      </c>
      <c r="AM327" s="2">
        <f>IF(Table2[[#This Row],[GameIsOver]]=0,0,IF(Table2[[#This Row],[ActualWinner]]=Table2[[#This Row],[HomeTeam]], 1, 0))</f>
        <v>0</v>
      </c>
      <c r="AN3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7" s="2" t="str">
        <f>INDEX(Sheet5!$B$2:$AG$33, MATCH(Table2[[#This Row],[AwayTeam]],Sheet5!$A$2:$A$33, 0), MATCH(Table2[[#This Row],[HomeTeam]],Sheet5!$A$2:$A$33, 0))</f>
        <v>0-0-0</v>
      </c>
      <c r="AP327" s="2" t="str">
        <f>INDEX(Sheet5!$B$2:$AG$33, MATCH(Table2[[#This Row],[HomeTeam]],Sheet5!$A$2:$A$33, 0), MATCH(Table2[[#This Row],[AwayTeam]],Sheet5!$A$2:$A$33, 0))</f>
        <v>0-0-0</v>
      </c>
      <c r="AQ327" s="2">
        <f>IF(Table2[[#This Row],[GameHasShutOut]], 1, 0)</f>
        <v>0</v>
      </c>
      <c r="AR327" s="2">
        <f>IF(Table2[[#This Row],[ActualAwayScore]] + Table2[[#This Row],[ActualHomeScore]] &gt;= 10, 1, 0)</f>
        <v>0</v>
      </c>
      <c r="AS327" s="2">
        <f>IF(ABS(Table2[[#This Row],[ActualAwayScore]]-Table2[[#This Row],[ActualHomeScore]])&gt;=5, 1, 0)</f>
        <v>0</v>
      </c>
      <c r="AT327" s="2">
        <f>IF(Table2[[#This Row],[ActualAwayScore]] + Table2[[#This Row],[ActualHomeScore]] &lt;= 3, 1, 0)</f>
        <v>1</v>
      </c>
      <c r="AU327" s="2"/>
      <c r="AV327" s="2"/>
    </row>
    <row r="328" spans="1:48" x14ac:dyDescent="0.25">
      <c r="A328" s="3"/>
      <c r="B328" s="3">
        <v>45982</v>
      </c>
      <c r="C328" s="5">
        <v>2025020326</v>
      </c>
      <c r="D328" s="2" t="s">
        <v>19</v>
      </c>
      <c r="E328" s="2" t="s">
        <v>25</v>
      </c>
      <c r="F328" s="2"/>
      <c r="G328" s="2"/>
      <c r="H328" s="2" t="str">
        <f t="shared" si="29"/>
        <v>_</v>
      </c>
      <c r="I328" s="2"/>
      <c r="J328" s="2"/>
      <c r="K328" s="2"/>
      <c r="L328" s="2" t="str">
        <f t="shared" si="30"/>
        <v>_</v>
      </c>
      <c r="M328" s="2"/>
      <c r="N328" s="2">
        <f>IF(ISBLANK(Table2[[#This Row],[ActualResult]]), 0, 1)</f>
        <v>0</v>
      </c>
      <c r="O328" s="2" t="str">
        <f>IF(ISBLANK(Table2[[#This Row],[ActualResult]]), "_", IF(Table2[[#This Row],[ActualWinner]]=Table2[[#This Row],[PredictedWinner]], "Y", "N"))</f>
        <v>_</v>
      </c>
      <c r="P3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8" s="2"/>
      <c r="S328" s="2" t="str">
        <f t="shared" si="31"/>
        <v>_</v>
      </c>
      <c r="T3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8" s="2">
        <f>IF(Table2[[#This Row],[InterConf]]=1,IF(Table2[[#This Row],[InterDiv]]=0, 1, 0), 0)</f>
        <v>0</v>
      </c>
      <c r="W3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8" s="2"/>
      <c r="Y328" s="2"/>
      <c r="Z328" s="145">
        <f>IF(AND(Table2[[#This Row],[GameIsOver]]=1,Table2[[#This Row],[ActualHomeScore]]*Table2[[#This Row],[ActualAwayScore]]=0), 1,0)</f>
        <v>0</v>
      </c>
      <c r="AA3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8" s="2">
        <f>Table2[[#This Row],[ActualAwayScore]]-Table2[[#This Row],[PredictedAwayScore]]</f>
        <v>0</v>
      </c>
      <c r="AG328" s="2">
        <f>Table2[[#This Row],[ActualHomeScore]]-Table2[[#This Row],[PredictedHomeScore]]</f>
        <v>0</v>
      </c>
      <c r="AH328" s="2">
        <f t="shared" si="32"/>
        <v>0</v>
      </c>
      <c r="AI328" s="2">
        <f t="shared" si="33"/>
        <v>0</v>
      </c>
      <c r="AJ328" s="2"/>
      <c r="AK328" s="2"/>
      <c r="AL328" s="2">
        <f>IF(Table2[[#This Row],[GameIsOver]]=0,0,IF(Table2[[#This Row],[ActualWinner]]=Table2[[#This Row],[AwayTeam]], 1, 0))</f>
        <v>0</v>
      </c>
      <c r="AM328" s="2">
        <f>IF(Table2[[#This Row],[GameIsOver]]=0,0,IF(Table2[[#This Row],[ActualWinner]]=Table2[[#This Row],[HomeTeam]], 1, 0))</f>
        <v>0</v>
      </c>
      <c r="AN3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8" s="2" t="str">
        <f>INDEX(Sheet5!$B$2:$AG$33, MATCH(Table2[[#This Row],[AwayTeam]],Sheet5!$A$2:$A$33, 0), MATCH(Table2[[#This Row],[HomeTeam]],Sheet5!$A$2:$A$33, 0))</f>
        <v>0-0-0</v>
      </c>
      <c r="AP328" s="2" t="str">
        <f>INDEX(Sheet5!$B$2:$AG$33, MATCH(Table2[[#This Row],[HomeTeam]],Sheet5!$A$2:$A$33, 0), MATCH(Table2[[#This Row],[AwayTeam]],Sheet5!$A$2:$A$33, 0))</f>
        <v>0-0-0</v>
      </c>
      <c r="AQ328" s="2">
        <f>IF(Table2[[#This Row],[GameHasShutOut]], 1, 0)</f>
        <v>0</v>
      </c>
      <c r="AR328" s="2">
        <f>IF(Table2[[#This Row],[ActualAwayScore]] + Table2[[#This Row],[ActualHomeScore]] &gt;= 10, 1, 0)</f>
        <v>0</v>
      </c>
      <c r="AS328" s="2">
        <f>IF(ABS(Table2[[#This Row],[ActualAwayScore]]-Table2[[#This Row],[ActualHomeScore]])&gt;=5, 1, 0)</f>
        <v>0</v>
      </c>
      <c r="AT328" s="2">
        <f>IF(Table2[[#This Row],[ActualAwayScore]] + Table2[[#This Row],[ActualHomeScore]] &lt;= 3, 1, 0)</f>
        <v>1</v>
      </c>
      <c r="AU328" s="2"/>
      <c r="AV328" s="2"/>
    </row>
    <row r="329" spans="1:48" x14ac:dyDescent="0.25">
      <c r="A329" s="3"/>
      <c r="B329" s="3">
        <v>45982</v>
      </c>
      <c r="C329" s="5">
        <v>2025020327</v>
      </c>
      <c r="D329" s="2" t="s">
        <v>26</v>
      </c>
      <c r="E329" s="2" t="s">
        <v>14</v>
      </c>
      <c r="F329" s="2"/>
      <c r="G329" s="2"/>
      <c r="H329" s="2" t="str">
        <f t="shared" si="29"/>
        <v>_</v>
      </c>
      <c r="I329" s="2"/>
      <c r="J329" s="2"/>
      <c r="K329" s="2"/>
      <c r="L329" s="2" t="str">
        <f t="shared" si="30"/>
        <v>_</v>
      </c>
      <c r="M329" s="2"/>
      <c r="N329" s="2">
        <f>IF(ISBLANK(Table2[[#This Row],[ActualResult]]), 0, 1)</f>
        <v>0</v>
      </c>
      <c r="O329" s="2" t="str">
        <f>IF(ISBLANK(Table2[[#This Row],[ActualResult]]), "_", IF(Table2[[#This Row],[ActualWinner]]=Table2[[#This Row],[PredictedWinner]], "Y", "N"))</f>
        <v>_</v>
      </c>
      <c r="P3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9" s="2"/>
      <c r="S329" s="2" t="str">
        <f t="shared" si="31"/>
        <v>_</v>
      </c>
      <c r="T3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9" s="2">
        <f>IF(Table2[[#This Row],[InterConf]]=1,IF(Table2[[#This Row],[InterDiv]]=0, 1, 0), 0)</f>
        <v>1</v>
      </c>
      <c r="W3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9" s="2"/>
      <c r="Y329" s="2"/>
      <c r="Z329" s="145">
        <f>IF(AND(Table2[[#This Row],[GameIsOver]]=1,Table2[[#This Row],[ActualHomeScore]]*Table2[[#This Row],[ActualAwayScore]]=0), 1,0)</f>
        <v>0</v>
      </c>
      <c r="AA3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9" s="2">
        <f>Table2[[#This Row],[ActualAwayScore]]-Table2[[#This Row],[PredictedAwayScore]]</f>
        <v>0</v>
      </c>
      <c r="AG329" s="2">
        <f>Table2[[#This Row],[ActualHomeScore]]-Table2[[#This Row],[PredictedHomeScore]]</f>
        <v>0</v>
      </c>
      <c r="AH329" s="2">
        <f t="shared" si="32"/>
        <v>0</v>
      </c>
      <c r="AI329" s="2">
        <f t="shared" si="33"/>
        <v>0</v>
      </c>
      <c r="AJ329" s="2"/>
      <c r="AK329" s="2"/>
      <c r="AL329" s="2">
        <f>IF(Table2[[#This Row],[GameIsOver]]=0,0,IF(Table2[[#This Row],[ActualWinner]]=Table2[[#This Row],[AwayTeam]], 1, 0))</f>
        <v>0</v>
      </c>
      <c r="AM329" s="2">
        <f>IF(Table2[[#This Row],[GameIsOver]]=0,0,IF(Table2[[#This Row],[ActualWinner]]=Table2[[#This Row],[HomeTeam]], 1, 0))</f>
        <v>0</v>
      </c>
      <c r="AN3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9" s="2" t="str">
        <f>INDEX(Sheet5!$B$2:$AG$33, MATCH(Table2[[#This Row],[AwayTeam]],Sheet5!$A$2:$A$33, 0), MATCH(Table2[[#This Row],[HomeTeam]],Sheet5!$A$2:$A$33, 0))</f>
        <v>0-0-0</v>
      </c>
      <c r="AP329" s="2" t="str">
        <f>INDEX(Sheet5!$B$2:$AG$33, MATCH(Table2[[#This Row],[HomeTeam]],Sheet5!$A$2:$A$33, 0), MATCH(Table2[[#This Row],[AwayTeam]],Sheet5!$A$2:$A$33, 0))</f>
        <v>0-0-0</v>
      </c>
      <c r="AQ329" s="2">
        <f>IF(Table2[[#This Row],[GameHasShutOut]], 1, 0)</f>
        <v>0</v>
      </c>
      <c r="AR329" s="2">
        <f>IF(Table2[[#This Row],[ActualAwayScore]] + Table2[[#This Row],[ActualHomeScore]] &gt;= 10, 1, 0)</f>
        <v>0</v>
      </c>
      <c r="AS329" s="2">
        <f>IF(ABS(Table2[[#This Row],[ActualAwayScore]]-Table2[[#This Row],[ActualHomeScore]])&gt;=5, 1, 0)</f>
        <v>0</v>
      </c>
      <c r="AT329" s="2">
        <f>IF(Table2[[#This Row],[ActualAwayScore]] + Table2[[#This Row],[ActualHomeScore]] &lt;= 3, 1, 0)</f>
        <v>1</v>
      </c>
      <c r="AU329" s="2"/>
      <c r="AV329" s="2"/>
    </row>
    <row r="330" spans="1:48" x14ac:dyDescent="0.25">
      <c r="A330" s="3"/>
      <c r="B330" s="3">
        <v>45982</v>
      </c>
      <c r="C330" s="5">
        <v>2025020328</v>
      </c>
      <c r="D330" s="2" t="s">
        <v>33</v>
      </c>
      <c r="E330" s="2" t="s">
        <v>24</v>
      </c>
      <c r="F330" s="2"/>
      <c r="G330" s="2"/>
      <c r="H330" s="2" t="str">
        <f t="shared" si="29"/>
        <v>_</v>
      </c>
      <c r="I330" s="2"/>
      <c r="J330" s="2"/>
      <c r="K330" s="2"/>
      <c r="L330" s="2" t="str">
        <f t="shared" si="30"/>
        <v>_</v>
      </c>
      <c r="M330" s="2"/>
      <c r="N330" s="2">
        <f>IF(ISBLANK(Table2[[#This Row],[ActualResult]]), 0, 1)</f>
        <v>0</v>
      </c>
      <c r="O330" s="2" t="str">
        <f>IF(ISBLANK(Table2[[#This Row],[ActualResult]]), "_", IF(Table2[[#This Row],[ActualWinner]]=Table2[[#This Row],[PredictedWinner]], "Y", "N"))</f>
        <v>_</v>
      </c>
      <c r="P3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0" s="2"/>
      <c r="S330" s="2" t="str">
        <f t="shared" si="31"/>
        <v>_</v>
      </c>
      <c r="T3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0" s="2">
        <f>IF(Table2[[#This Row],[InterConf]]=1,IF(Table2[[#This Row],[InterDiv]]=0, 1, 0), 0)</f>
        <v>1</v>
      </c>
      <c r="W3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0" s="2"/>
      <c r="Y330" s="2"/>
      <c r="Z330" s="145">
        <f>IF(AND(Table2[[#This Row],[GameIsOver]]=1,Table2[[#This Row],[ActualHomeScore]]*Table2[[#This Row],[ActualAwayScore]]=0), 1,0)</f>
        <v>0</v>
      </c>
      <c r="AA3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30" s="2">
        <f>Table2[[#This Row],[ActualAwayScore]]-Table2[[#This Row],[PredictedAwayScore]]</f>
        <v>0</v>
      </c>
      <c r="AG330" s="2">
        <f>Table2[[#This Row],[ActualHomeScore]]-Table2[[#This Row],[PredictedHomeScore]]</f>
        <v>0</v>
      </c>
      <c r="AH330" s="2">
        <f t="shared" si="32"/>
        <v>0</v>
      </c>
      <c r="AI330" s="2">
        <f t="shared" si="33"/>
        <v>0</v>
      </c>
      <c r="AJ330" s="2"/>
      <c r="AK330" s="2"/>
      <c r="AL330" s="2">
        <f>IF(Table2[[#This Row],[GameIsOver]]=0,0,IF(Table2[[#This Row],[ActualWinner]]=Table2[[#This Row],[AwayTeam]], 1, 0))</f>
        <v>0</v>
      </c>
      <c r="AM330" s="2">
        <f>IF(Table2[[#This Row],[GameIsOver]]=0,0,IF(Table2[[#This Row],[ActualWinner]]=Table2[[#This Row],[HomeTeam]], 1, 0))</f>
        <v>0</v>
      </c>
      <c r="AN3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0" s="2" t="str">
        <f>INDEX(Sheet5!$B$2:$AG$33, MATCH(Table2[[#This Row],[AwayTeam]],Sheet5!$A$2:$A$33, 0), MATCH(Table2[[#This Row],[HomeTeam]],Sheet5!$A$2:$A$33, 0))</f>
        <v>0-1-0</v>
      </c>
      <c r="AP330" s="2" t="str">
        <f>INDEX(Sheet5!$B$2:$AG$33, MATCH(Table2[[#This Row],[HomeTeam]],Sheet5!$A$2:$A$33, 0), MATCH(Table2[[#This Row],[AwayTeam]],Sheet5!$A$2:$A$33, 0))</f>
        <v>1-0-0</v>
      </c>
      <c r="AQ330" s="2">
        <f>IF(Table2[[#This Row],[GameHasShutOut]], 1, 0)</f>
        <v>0</v>
      </c>
      <c r="AR330" s="2">
        <f>IF(Table2[[#This Row],[ActualAwayScore]] + Table2[[#This Row],[ActualHomeScore]] &gt;= 10, 1, 0)</f>
        <v>0</v>
      </c>
      <c r="AS330" s="2">
        <f>IF(ABS(Table2[[#This Row],[ActualAwayScore]]-Table2[[#This Row],[ActualHomeScore]])&gt;=5, 1, 0)</f>
        <v>0</v>
      </c>
      <c r="AT330" s="2">
        <f>IF(Table2[[#This Row],[ActualAwayScore]] + Table2[[#This Row],[ActualHomeScore]] &lt;= 3, 1, 0)</f>
        <v>1</v>
      </c>
      <c r="AU330" s="2"/>
      <c r="AV330" s="2"/>
    </row>
    <row r="331" spans="1:48" x14ac:dyDescent="0.25">
      <c r="A331" s="3"/>
      <c r="B331" s="3">
        <v>45982</v>
      </c>
      <c r="C331" s="5">
        <v>2025020329</v>
      </c>
      <c r="D331" s="2" t="s">
        <v>29</v>
      </c>
      <c r="E331" s="2" t="s">
        <v>44</v>
      </c>
      <c r="F331" s="2"/>
      <c r="G331" s="2"/>
      <c r="H331" s="2" t="str">
        <f t="shared" si="29"/>
        <v>_</v>
      </c>
      <c r="I331" s="2"/>
      <c r="J331" s="2"/>
      <c r="K331" s="2"/>
      <c r="L331" s="2" t="str">
        <f t="shared" si="30"/>
        <v>_</v>
      </c>
      <c r="M331" s="2"/>
      <c r="N331" s="2">
        <f>IF(ISBLANK(Table2[[#This Row],[ActualResult]]), 0, 1)</f>
        <v>0</v>
      </c>
      <c r="O331" s="2" t="str">
        <f>IF(ISBLANK(Table2[[#This Row],[ActualResult]]), "_", IF(Table2[[#This Row],[ActualWinner]]=Table2[[#This Row],[PredictedWinner]], "Y", "N"))</f>
        <v>_</v>
      </c>
      <c r="P3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1" s="2"/>
      <c r="S331" s="2" t="str">
        <f t="shared" si="31"/>
        <v>_</v>
      </c>
      <c r="T3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1" s="2">
        <f>IF(Table2[[#This Row],[InterConf]]=1,IF(Table2[[#This Row],[InterDiv]]=0, 1, 0), 0)</f>
        <v>0</v>
      </c>
      <c r="W3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1" s="2"/>
      <c r="Y331" s="2"/>
      <c r="Z331" s="145">
        <f>IF(AND(Table2[[#This Row],[GameIsOver]]=1,Table2[[#This Row],[ActualHomeScore]]*Table2[[#This Row],[ActualAwayScore]]=0), 1,0)</f>
        <v>0</v>
      </c>
      <c r="AA3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31" s="2">
        <f>Table2[[#This Row],[ActualAwayScore]]-Table2[[#This Row],[PredictedAwayScore]]</f>
        <v>0</v>
      </c>
      <c r="AG331" s="2">
        <f>Table2[[#This Row],[ActualHomeScore]]-Table2[[#This Row],[PredictedHomeScore]]</f>
        <v>0</v>
      </c>
      <c r="AH331" s="2">
        <f t="shared" si="32"/>
        <v>0</v>
      </c>
      <c r="AI331" s="2">
        <f t="shared" si="33"/>
        <v>0</v>
      </c>
      <c r="AJ331" s="2"/>
      <c r="AK331" s="2"/>
      <c r="AL331" s="2">
        <f>IF(Table2[[#This Row],[GameIsOver]]=0,0,IF(Table2[[#This Row],[ActualWinner]]=Table2[[#This Row],[AwayTeam]], 1, 0))</f>
        <v>0</v>
      </c>
      <c r="AM331" s="2">
        <f>IF(Table2[[#This Row],[GameIsOver]]=0,0,IF(Table2[[#This Row],[ActualWinner]]=Table2[[#This Row],[HomeTeam]], 1, 0))</f>
        <v>0</v>
      </c>
      <c r="AN3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1" s="2" t="str">
        <f>INDEX(Sheet5!$B$2:$AG$33, MATCH(Table2[[#This Row],[AwayTeam]],Sheet5!$A$2:$A$33, 0), MATCH(Table2[[#This Row],[HomeTeam]],Sheet5!$A$2:$A$33, 0))</f>
        <v>0-0-0</v>
      </c>
      <c r="AP331" s="2" t="str">
        <f>INDEX(Sheet5!$B$2:$AG$33, MATCH(Table2[[#This Row],[HomeTeam]],Sheet5!$A$2:$A$33, 0), MATCH(Table2[[#This Row],[AwayTeam]],Sheet5!$A$2:$A$33, 0))</f>
        <v>0-0-0</v>
      </c>
      <c r="AQ331" s="2">
        <f>IF(Table2[[#This Row],[GameHasShutOut]], 1, 0)</f>
        <v>0</v>
      </c>
      <c r="AR331" s="2">
        <f>IF(Table2[[#This Row],[ActualAwayScore]] + Table2[[#This Row],[ActualHomeScore]] &gt;= 10, 1, 0)</f>
        <v>0</v>
      </c>
      <c r="AS331" s="2">
        <f>IF(ABS(Table2[[#This Row],[ActualAwayScore]]-Table2[[#This Row],[ActualHomeScore]])&gt;=5, 1, 0)</f>
        <v>0</v>
      </c>
      <c r="AT331" s="2">
        <f>IF(Table2[[#This Row],[ActualAwayScore]] + Table2[[#This Row],[ActualHomeScore]] &lt;= 3, 1, 0)</f>
        <v>1</v>
      </c>
      <c r="AU331" s="2"/>
      <c r="AV331" s="2"/>
    </row>
    <row r="332" spans="1:48" x14ac:dyDescent="0.25">
      <c r="A332" s="3"/>
      <c r="B332" s="3">
        <v>45982</v>
      </c>
      <c r="C332" s="5">
        <v>2025020330</v>
      </c>
      <c r="D332" s="2" t="s">
        <v>27</v>
      </c>
      <c r="E332" s="2" t="s">
        <v>37</v>
      </c>
      <c r="F332" s="2"/>
      <c r="G332" s="2"/>
      <c r="H332" s="2" t="str">
        <f t="shared" si="29"/>
        <v>_</v>
      </c>
      <c r="I332" s="2"/>
      <c r="J332" s="2"/>
      <c r="K332" s="2"/>
      <c r="L332" s="2" t="str">
        <f t="shared" si="30"/>
        <v>_</v>
      </c>
      <c r="M332" s="2"/>
      <c r="N332" s="2">
        <f>IF(ISBLANK(Table2[[#This Row],[ActualResult]]), 0, 1)</f>
        <v>0</v>
      </c>
      <c r="O332" s="2" t="str">
        <f>IF(ISBLANK(Table2[[#This Row],[ActualResult]]), "_", IF(Table2[[#This Row],[ActualWinner]]=Table2[[#This Row],[PredictedWinner]], "Y", "N"))</f>
        <v>_</v>
      </c>
      <c r="P3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2" s="2"/>
      <c r="S332" s="2" t="str">
        <f t="shared" si="31"/>
        <v>_</v>
      </c>
      <c r="T3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32" s="2">
        <f>IF(Table2[[#This Row],[InterConf]]=1,IF(Table2[[#This Row],[InterDiv]]=0, 1, 0), 0)</f>
        <v>0</v>
      </c>
      <c r="W3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2" s="2"/>
      <c r="Y332" s="2"/>
      <c r="Z332" s="145">
        <f>IF(AND(Table2[[#This Row],[GameIsOver]]=1,Table2[[#This Row],[ActualHomeScore]]*Table2[[#This Row],[ActualAwayScore]]=0), 1,0)</f>
        <v>0</v>
      </c>
      <c r="AA3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32" s="2">
        <f>Table2[[#This Row],[ActualAwayScore]]-Table2[[#This Row],[PredictedAwayScore]]</f>
        <v>0</v>
      </c>
      <c r="AG332" s="2">
        <f>Table2[[#This Row],[ActualHomeScore]]-Table2[[#This Row],[PredictedHomeScore]]</f>
        <v>0</v>
      </c>
      <c r="AH332" s="2">
        <f t="shared" si="32"/>
        <v>0</v>
      </c>
      <c r="AI332" s="2">
        <f t="shared" si="33"/>
        <v>0</v>
      </c>
      <c r="AJ332" s="2"/>
      <c r="AK332" s="2"/>
      <c r="AL332" s="2">
        <f>IF(Table2[[#This Row],[GameIsOver]]=0,0,IF(Table2[[#This Row],[ActualWinner]]=Table2[[#This Row],[AwayTeam]], 1, 0))</f>
        <v>0</v>
      </c>
      <c r="AM332" s="2">
        <f>IF(Table2[[#This Row],[GameIsOver]]=0,0,IF(Table2[[#This Row],[ActualWinner]]=Table2[[#This Row],[HomeTeam]], 1, 0))</f>
        <v>0</v>
      </c>
      <c r="AN332" s="2">
        <f>IF(IFERROR(FIND(Table2[[#This Row],[AwayTeam]], _xlfn.TEXTJOIN(";", 1, $BD$31:$BD$40)), 0) &gt; 0, 1, 0) + IF(IFERROR(FIND(Table2[[#This Row],[HomeTeam]], _xlfn.TEXTJOIN(";", 1, $BD$31:$BD$40)), 0) &gt; 0, 1, 0)</f>
        <v>1</v>
      </c>
      <c r="AO332" s="2" t="str">
        <f>INDEX(Sheet5!$B$2:$AG$33, MATCH(Table2[[#This Row],[AwayTeam]],Sheet5!$A$2:$A$33, 0), MATCH(Table2[[#This Row],[HomeTeam]],Sheet5!$A$2:$A$33, 0))</f>
        <v>0-0-0</v>
      </c>
      <c r="AP332" s="2" t="str">
        <f>INDEX(Sheet5!$B$2:$AG$33, MATCH(Table2[[#This Row],[HomeTeam]],Sheet5!$A$2:$A$33, 0), MATCH(Table2[[#This Row],[AwayTeam]],Sheet5!$A$2:$A$33, 0))</f>
        <v>0-0-0</v>
      </c>
      <c r="AQ332" s="2">
        <f>IF(Table2[[#This Row],[GameHasShutOut]], 1, 0)</f>
        <v>0</v>
      </c>
      <c r="AR332" s="2">
        <f>IF(Table2[[#This Row],[ActualAwayScore]] + Table2[[#This Row],[ActualHomeScore]] &gt;= 10, 1, 0)</f>
        <v>0</v>
      </c>
      <c r="AS332" s="2">
        <f>IF(ABS(Table2[[#This Row],[ActualAwayScore]]-Table2[[#This Row],[ActualHomeScore]])&gt;=5, 1, 0)</f>
        <v>0</v>
      </c>
      <c r="AT332" s="2">
        <f>IF(Table2[[#This Row],[ActualAwayScore]] + Table2[[#This Row],[ActualHomeScore]] &lt;= 3, 1, 0)</f>
        <v>1</v>
      </c>
      <c r="AU332" s="2"/>
      <c r="AV332" s="2"/>
    </row>
    <row r="333" spans="1:48" x14ac:dyDescent="0.25">
      <c r="A333" s="3"/>
      <c r="B333" s="3">
        <v>45983</v>
      </c>
      <c r="C333" s="5">
        <v>2025020331</v>
      </c>
      <c r="D333" s="2" t="s">
        <v>16</v>
      </c>
      <c r="E333" s="2" t="s">
        <v>28</v>
      </c>
      <c r="F333" s="2"/>
      <c r="G333" s="2"/>
      <c r="H333" s="2" t="str">
        <f t="shared" si="29"/>
        <v>_</v>
      </c>
      <c r="I333" s="2"/>
      <c r="J333" s="2"/>
      <c r="K333" s="2"/>
      <c r="L333" s="2" t="str">
        <f t="shared" si="30"/>
        <v>_</v>
      </c>
      <c r="M333" s="2"/>
      <c r="N333" s="2">
        <f>IF(ISBLANK(Table2[[#This Row],[ActualResult]]), 0, 1)</f>
        <v>0</v>
      </c>
      <c r="O333" s="2" t="str">
        <f>IF(ISBLANK(Table2[[#This Row],[ActualResult]]), "_", IF(Table2[[#This Row],[ActualWinner]]=Table2[[#This Row],[PredictedWinner]], "Y", "N"))</f>
        <v>_</v>
      </c>
      <c r="P3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3" s="2"/>
      <c r="S333" s="2" t="str">
        <f t="shared" si="31"/>
        <v>_</v>
      </c>
      <c r="T3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3" s="2">
        <f>IF(Table2[[#This Row],[InterConf]]=1,IF(Table2[[#This Row],[InterDiv]]=0, 1, 0), 0)</f>
        <v>0</v>
      </c>
      <c r="W3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3" s="2"/>
      <c r="Y333" s="2"/>
      <c r="Z333" s="145">
        <f>IF(AND(Table2[[#This Row],[GameIsOver]]=1,Table2[[#This Row],[ActualHomeScore]]*Table2[[#This Row],[ActualAwayScore]]=0), 1,0)</f>
        <v>0</v>
      </c>
      <c r="AA3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3" s="2">
        <f>Table2[[#This Row],[ActualAwayScore]]-Table2[[#This Row],[PredictedAwayScore]]</f>
        <v>0</v>
      </c>
      <c r="AG333" s="2">
        <f>Table2[[#This Row],[ActualHomeScore]]-Table2[[#This Row],[PredictedHomeScore]]</f>
        <v>0</v>
      </c>
      <c r="AH333" s="2">
        <f t="shared" si="32"/>
        <v>0</v>
      </c>
      <c r="AI333" s="2">
        <f t="shared" si="33"/>
        <v>0</v>
      </c>
      <c r="AJ333" s="2"/>
      <c r="AK333" s="2"/>
      <c r="AL333" s="2">
        <f>IF(Table2[[#This Row],[GameIsOver]]=0,0,IF(Table2[[#This Row],[ActualWinner]]=Table2[[#This Row],[AwayTeam]], 1, 0))</f>
        <v>0</v>
      </c>
      <c r="AM333" s="2">
        <f>IF(Table2[[#This Row],[GameIsOver]]=0,0,IF(Table2[[#This Row],[ActualWinner]]=Table2[[#This Row],[HomeTeam]], 1, 0))</f>
        <v>0</v>
      </c>
      <c r="AN3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3" s="2" t="str">
        <f>INDEX(Sheet5!$B$2:$AG$33, MATCH(Table2[[#This Row],[AwayTeam]],Sheet5!$A$2:$A$33, 0), MATCH(Table2[[#This Row],[HomeTeam]],Sheet5!$A$2:$A$33, 0))</f>
        <v>0-0-0</v>
      </c>
      <c r="AP333" s="2" t="str">
        <f>INDEX(Sheet5!$B$2:$AG$33, MATCH(Table2[[#This Row],[HomeTeam]],Sheet5!$A$2:$A$33, 0), MATCH(Table2[[#This Row],[AwayTeam]],Sheet5!$A$2:$A$33, 0))</f>
        <v>0-0-0</v>
      </c>
      <c r="AQ333" s="2">
        <f>IF(Table2[[#This Row],[GameHasShutOut]], 1, 0)</f>
        <v>0</v>
      </c>
      <c r="AR333" s="2">
        <f>IF(Table2[[#This Row],[ActualAwayScore]] + Table2[[#This Row],[ActualHomeScore]] &gt;= 10, 1, 0)</f>
        <v>0</v>
      </c>
      <c r="AS333" s="2">
        <f>IF(ABS(Table2[[#This Row],[ActualAwayScore]]-Table2[[#This Row],[ActualHomeScore]])&gt;=5, 1, 0)</f>
        <v>0</v>
      </c>
      <c r="AT333" s="2">
        <f>IF(Table2[[#This Row],[ActualAwayScore]] + Table2[[#This Row],[ActualHomeScore]] &lt;= 3, 1, 0)</f>
        <v>1</v>
      </c>
      <c r="AU333" s="2"/>
      <c r="AV333" s="2"/>
    </row>
    <row r="334" spans="1:48" x14ac:dyDescent="0.25">
      <c r="A334" s="3"/>
      <c r="B334" s="3">
        <v>45983</v>
      </c>
      <c r="C334" s="5">
        <v>2025020332</v>
      </c>
      <c r="D334" s="2" t="s">
        <v>36</v>
      </c>
      <c r="E334" s="2" t="s">
        <v>20</v>
      </c>
      <c r="F334" s="2"/>
      <c r="G334" s="2"/>
      <c r="H334" s="2" t="str">
        <f t="shared" si="29"/>
        <v>_</v>
      </c>
      <c r="I334" s="2"/>
      <c r="J334" s="2"/>
      <c r="K334" s="2"/>
      <c r="L334" s="2" t="str">
        <f t="shared" si="30"/>
        <v>_</v>
      </c>
      <c r="M334" s="2"/>
      <c r="N334" s="2">
        <f>IF(ISBLANK(Table2[[#This Row],[ActualResult]]), 0, 1)</f>
        <v>0</v>
      </c>
      <c r="O334" s="2" t="str">
        <f>IF(ISBLANK(Table2[[#This Row],[ActualResult]]), "_", IF(Table2[[#This Row],[ActualWinner]]=Table2[[#This Row],[PredictedWinner]], "Y", "N"))</f>
        <v>_</v>
      </c>
      <c r="P3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4" s="2"/>
      <c r="S334" s="2" t="str">
        <f t="shared" si="31"/>
        <v>_</v>
      </c>
      <c r="T3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4" s="2">
        <f>IF(Table2[[#This Row],[InterConf]]=1,IF(Table2[[#This Row],[InterDiv]]=0, 1, 0), 0)</f>
        <v>0</v>
      </c>
      <c r="W3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4" s="2"/>
      <c r="Y334" s="2"/>
      <c r="Z334" s="145">
        <f>IF(AND(Table2[[#This Row],[GameIsOver]]=1,Table2[[#This Row],[ActualHomeScore]]*Table2[[#This Row],[ActualAwayScore]]=0), 1,0)</f>
        <v>0</v>
      </c>
      <c r="AA3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4" s="2">
        <f>Table2[[#This Row],[ActualAwayScore]]-Table2[[#This Row],[PredictedAwayScore]]</f>
        <v>0</v>
      </c>
      <c r="AG334" s="2">
        <f>Table2[[#This Row],[ActualHomeScore]]-Table2[[#This Row],[PredictedHomeScore]]</f>
        <v>0</v>
      </c>
      <c r="AH334" s="2">
        <f t="shared" si="32"/>
        <v>0</v>
      </c>
      <c r="AI334" s="2">
        <f t="shared" si="33"/>
        <v>0</v>
      </c>
      <c r="AJ334" s="2"/>
      <c r="AK334" s="2"/>
      <c r="AL334" s="2">
        <f>IF(Table2[[#This Row],[GameIsOver]]=0,0,IF(Table2[[#This Row],[ActualWinner]]=Table2[[#This Row],[AwayTeam]], 1, 0))</f>
        <v>0</v>
      </c>
      <c r="AM334" s="2">
        <f>IF(Table2[[#This Row],[GameIsOver]]=0,0,IF(Table2[[#This Row],[ActualWinner]]=Table2[[#This Row],[HomeTeam]], 1, 0))</f>
        <v>0</v>
      </c>
      <c r="AN3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4" s="2" t="str">
        <f>INDEX(Sheet5!$B$2:$AG$33, MATCH(Table2[[#This Row],[AwayTeam]],Sheet5!$A$2:$A$33, 0), MATCH(Table2[[#This Row],[HomeTeam]],Sheet5!$A$2:$A$33, 0))</f>
        <v>0-0-0</v>
      </c>
      <c r="AP334" s="2" t="str">
        <f>INDEX(Sheet5!$B$2:$AG$33, MATCH(Table2[[#This Row],[HomeTeam]],Sheet5!$A$2:$A$33, 0), MATCH(Table2[[#This Row],[AwayTeam]],Sheet5!$A$2:$A$33, 0))</f>
        <v>0-0-0</v>
      </c>
      <c r="AQ334" s="2">
        <f>IF(Table2[[#This Row],[GameHasShutOut]], 1, 0)</f>
        <v>0</v>
      </c>
      <c r="AR334" s="2">
        <f>IF(Table2[[#This Row],[ActualAwayScore]] + Table2[[#This Row],[ActualHomeScore]] &gt;= 10, 1, 0)</f>
        <v>0</v>
      </c>
      <c r="AS334" s="2">
        <f>IF(ABS(Table2[[#This Row],[ActualAwayScore]]-Table2[[#This Row],[ActualHomeScore]])&gt;=5, 1, 0)</f>
        <v>0</v>
      </c>
      <c r="AT334" s="2">
        <f>IF(Table2[[#This Row],[ActualAwayScore]] + Table2[[#This Row],[ActualHomeScore]] &lt;= 3, 1, 0)</f>
        <v>1</v>
      </c>
      <c r="AU334" s="2"/>
      <c r="AV334" s="2"/>
    </row>
    <row r="335" spans="1:48" x14ac:dyDescent="0.25">
      <c r="A335" s="3"/>
      <c r="B335" s="3">
        <v>45983</v>
      </c>
      <c r="C335" s="5">
        <v>2025020333</v>
      </c>
      <c r="D335" s="2" t="s">
        <v>41</v>
      </c>
      <c r="E335" s="2" t="s">
        <v>21</v>
      </c>
      <c r="F335" s="2"/>
      <c r="G335" s="2"/>
      <c r="H335" s="2" t="str">
        <f t="shared" si="29"/>
        <v>_</v>
      </c>
      <c r="I335" s="2"/>
      <c r="J335" s="2"/>
      <c r="K335" s="2"/>
      <c r="L335" s="2" t="str">
        <f t="shared" si="30"/>
        <v>_</v>
      </c>
      <c r="M335" s="2"/>
      <c r="N335" s="2">
        <f>IF(ISBLANK(Table2[[#This Row],[ActualResult]]), 0, 1)</f>
        <v>0</v>
      </c>
      <c r="O335" s="2" t="str">
        <f>IF(ISBLANK(Table2[[#This Row],[ActualResult]]), "_", IF(Table2[[#This Row],[ActualWinner]]=Table2[[#This Row],[PredictedWinner]], "Y", "N"))</f>
        <v>_</v>
      </c>
      <c r="P3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5" s="2"/>
      <c r="S335" s="2" t="str">
        <f t="shared" si="31"/>
        <v>_</v>
      </c>
      <c r="T3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5" s="2">
        <f>IF(Table2[[#This Row],[InterConf]]=1,IF(Table2[[#This Row],[InterDiv]]=0, 1, 0), 0)</f>
        <v>0</v>
      </c>
      <c r="W3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5" s="2"/>
      <c r="Y335" s="2"/>
      <c r="Z335" s="145">
        <f>IF(AND(Table2[[#This Row],[GameIsOver]]=1,Table2[[#This Row],[ActualHomeScore]]*Table2[[#This Row],[ActualAwayScore]]=0), 1,0)</f>
        <v>0</v>
      </c>
      <c r="AA3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5" s="2">
        <f>Table2[[#This Row],[ActualAwayScore]]-Table2[[#This Row],[PredictedAwayScore]]</f>
        <v>0</v>
      </c>
      <c r="AG335" s="2">
        <f>Table2[[#This Row],[ActualHomeScore]]-Table2[[#This Row],[PredictedHomeScore]]</f>
        <v>0</v>
      </c>
      <c r="AH335" s="2">
        <f t="shared" si="32"/>
        <v>0</v>
      </c>
      <c r="AI335" s="2">
        <f t="shared" si="33"/>
        <v>0</v>
      </c>
      <c r="AJ335" s="2"/>
      <c r="AK335" s="2"/>
      <c r="AL335" s="2">
        <f>IF(Table2[[#This Row],[GameIsOver]]=0,0,IF(Table2[[#This Row],[ActualWinner]]=Table2[[#This Row],[AwayTeam]], 1, 0))</f>
        <v>0</v>
      </c>
      <c r="AM335" s="2">
        <f>IF(Table2[[#This Row],[GameIsOver]]=0,0,IF(Table2[[#This Row],[ActualWinner]]=Table2[[#This Row],[HomeTeam]], 1, 0))</f>
        <v>0</v>
      </c>
      <c r="AN3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5" s="2" t="str">
        <f>INDEX(Sheet5!$B$2:$AG$33, MATCH(Table2[[#This Row],[AwayTeam]],Sheet5!$A$2:$A$33, 0), MATCH(Table2[[#This Row],[HomeTeam]],Sheet5!$A$2:$A$33, 0))</f>
        <v>0-0-0</v>
      </c>
      <c r="AP335" s="2" t="str">
        <f>INDEX(Sheet5!$B$2:$AG$33, MATCH(Table2[[#This Row],[HomeTeam]],Sheet5!$A$2:$A$33, 0), MATCH(Table2[[#This Row],[AwayTeam]],Sheet5!$A$2:$A$33, 0))</f>
        <v>0-0-0</v>
      </c>
      <c r="AQ335" s="2">
        <f>IF(Table2[[#This Row],[GameHasShutOut]], 1, 0)</f>
        <v>0</v>
      </c>
      <c r="AR335" s="2">
        <f>IF(Table2[[#This Row],[ActualAwayScore]] + Table2[[#This Row],[ActualHomeScore]] &gt;= 10, 1, 0)</f>
        <v>0</v>
      </c>
      <c r="AS335" s="2">
        <f>IF(ABS(Table2[[#This Row],[ActualAwayScore]]-Table2[[#This Row],[ActualHomeScore]])&gt;=5, 1, 0)</f>
        <v>0</v>
      </c>
      <c r="AT335" s="2">
        <f>IF(Table2[[#This Row],[ActualAwayScore]] + Table2[[#This Row],[ActualHomeScore]] &lt;= 3, 1, 0)</f>
        <v>1</v>
      </c>
      <c r="AU335" s="2"/>
      <c r="AV335" s="2"/>
    </row>
    <row r="336" spans="1:48" x14ac:dyDescent="0.25">
      <c r="A336" s="3"/>
      <c r="B336" s="3">
        <v>45983</v>
      </c>
      <c r="C336" s="5">
        <v>2025020334</v>
      </c>
      <c r="D336" s="2" t="s">
        <v>15</v>
      </c>
      <c r="E336" s="2" t="s">
        <v>27</v>
      </c>
      <c r="F336" s="2"/>
      <c r="G336" s="2"/>
      <c r="H336" s="2" t="str">
        <f t="shared" si="29"/>
        <v>_</v>
      </c>
      <c r="I336" s="2"/>
      <c r="J336" s="2"/>
      <c r="K336" s="2"/>
      <c r="L336" s="2" t="str">
        <f t="shared" si="30"/>
        <v>_</v>
      </c>
      <c r="M336" s="2"/>
      <c r="N336" s="2">
        <f>IF(ISBLANK(Table2[[#This Row],[ActualResult]]), 0, 1)</f>
        <v>0</v>
      </c>
      <c r="O336" s="2" t="str">
        <f>IF(ISBLANK(Table2[[#This Row],[ActualResult]]), "_", IF(Table2[[#This Row],[ActualWinner]]=Table2[[#This Row],[PredictedWinner]], "Y", "N"))</f>
        <v>_</v>
      </c>
      <c r="P3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6" s="2"/>
      <c r="S336" s="2" t="str">
        <f t="shared" si="31"/>
        <v>_</v>
      </c>
      <c r="T3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6" s="2">
        <f>IF(Table2[[#This Row],[InterConf]]=1,IF(Table2[[#This Row],[InterDiv]]=0, 1, 0), 0)</f>
        <v>0</v>
      </c>
      <c r="W3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6" s="2"/>
      <c r="Y336" s="2"/>
      <c r="Z336" s="145">
        <f>IF(AND(Table2[[#This Row],[GameIsOver]]=1,Table2[[#This Row],[ActualHomeScore]]*Table2[[#This Row],[ActualAwayScore]]=0), 1,0)</f>
        <v>0</v>
      </c>
      <c r="AA3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6" s="2">
        <f>Table2[[#This Row],[ActualAwayScore]]-Table2[[#This Row],[PredictedAwayScore]]</f>
        <v>0</v>
      </c>
      <c r="AG336" s="2">
        <f>Table2[[#This Row],[ActualHomeScore]]-Table2[[#This Row],[PredictedHomeScore]]</f>
        <v>0</v>
      </c>
      <c r="AH336" s="2">
        <f t="shared" si="32"/>
        <v>0</v>
      </c>
      <c r="AI336" s="2">
        <f t="shared" si="33"/>
        <v>0</v>
      </c>
      <c r="AJ336" s="2"/>
      <c r="AK336" s="2"/>
      <c r="AL336" s="2">
        <f>IF(Table2[[#This Row],[GameIsOver]]=0,0,IF(Table2[[#This Row],[ActualWinner]]=Table2[[#This Row],[AwayTeam]], 1, 0))</f>
        <v>0</v>
      </c>
      <c r="AM336" s="2">
        <f>IF(Table2[[#This Row],[GameIsOver]]=0,0,IF(Table2[[#This Row],[ActualWinner]]=Table2[[#This Row],[HomeTeam]], 1, 0))</f>
        <v>0</v>
      </c>
      <c r="AN336" s="2">
        <f>IF(IFERROR(FIND(Table2[[#This Row],[AwayTeam]], _xlfn.TEXTJOIN(";", 1, $BD$31:$BD$40)), 0) &gt; 0, 1, 0) + IF(IFERROR(FIND(Table2[[#This Row],[HomeTeam]], _xlfn.TEXTJOIN(";", 1, $BD$31:$BD$40)), 0) &gt; 0, 1, 0)</f>
        <v>1</v>
      </c>
      <c r="AO336" s="2" t="str">
        <f>INDEX(Sheet5!$B$2:$AG$33, MATCH(Table2[[#This Row],[AwayTeam]],Sheet5!$A$2:$A$33, 0), MATCH(Table2[[#This Row],[HomeTeam]],Sheet5!$A$2:$A$33, 0))</f>
        <v>0-0-0</v>
      </c>
      <c r="AP336" s="2" t="str">
        <f>INDEX(Sheet5!$B$2:$AG$33, MATCH(Table2[[#This Row],[HomeTeam]],Sheet5!$A$2:$A$33, 0), MATCH(Table2[[#This Row],[AwayTeam]],Sheet5!$A$2:$A$33, 0))</f>
        <v>0-0-0</v>
      </c>
      <c r="AQ336" s="2">
        <f>IF(Table2[[#This Row],[GameHasShutOut]], 1, 0)</f>
        <v>0</v>
      </c>
      <c r="AR336" s="2">
        <f>IF(Table2[[#This Row],[ActualAwayScore]] + Table2[[#This Row],[ActualHomeScore]] &gt;= 10, 1, 0)</f>
        <v>0</v>
      </c>
      <c r="AS336" s="2">
        <f>IF(ABS(Table2[[#This Row],[ActualAwayScore]]-Table2[[#This Row],[ActualHomeScore]])&gt;=5, 1, 0)</f>
        <v>0</v>
      </c>
      <c r="AT336" s="2">
        <f>IF(Table2[[#This Row],[ActualAwayScore]] + Table2[[#This Row],[ActualHomeScore]] &lt;= 3, 1, 0)</f>
        <v>1</v>
      </c>
      <c r="AU336" s="2"/>
      <c r="AV336" s="2"/>
    </row>
    <row r="337" spans="1:48" x14ac:dyDescent="0.25">
      <c r="A337" s="3"/>
      <c r="B337" s="3">
        <v>45983</v>
      </c>
      <c r="C337" s="5">
        <v>2025020335</v>
      </c>
      <c r="D337" s="2" t="s">
        <v>35</v>
      </c>
      <c r="E337" s="2" t="s">
        <v>30</v>
      </c>
      <c r="F337" s="2"/>
      <c r="G337" s="2"/>
      <c r="H337" s="2" t="str">
        <f t="shared" si="29"/>
        <v>_</v>
      </c>
      <c r="I337" s="2"/>
      <c r="J337" s="2"/>
      <c r="K337" s="2"/>
      <c r="L337" s="2" t="str">
        <f t="shared" si="30"/>
        <v>_</v>
      </c>
      <c r="M337" s="2"/>
      <c r="N337" s="2">
        <f>IF(ISBLANK(Table2[[#This Row],[ActualResult]]), 0, 1)</f>
        <v>0</v>
      </c>
      <c r="O337" s="2" t="str">
        <f>IF(ISBLANK(Table2[[#This Row],[ActualResult]]), "_", IF(Table2[[#This Row],[ActualWinner]]=Table2[[#This Row],[PredictedWinner]], "Y", "N"))</f>
        <v>_</v>
      </c>
      <c r="P3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7" s="2"/>
      <c r="S337" s="2" t="str">
        <f t="shared" si="31"/>
        <v>_</v>
      </c>
      <c r="T3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7" s="2">
        <f>IF(Table2[[#This Row],[InterConf]]=1,IF(Table2[[#This Row],[InterDiv]]=0, 1, 0), 0)</f>
        <v>1</v>
      </c>
      <c r="W3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7" s="2"/>
      <c r="Y337" s="2"/>
      <c r="Z337" s="145">
        <f>IF(AND(Table2[[#This Row],[GameIsOver]]=1,Table2[[#This Row],[ActualHomeScore]]*Table2[[#This Row],[ActualAwayScore]]=0), 1,0)</f>
        <v>0</v>
      </c>
      <c r="AA3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7" s="2">
        <f>Table2[[#This Row],[ActualAwayScore]]-Table2[[#This Row],[PredictedAwayScore]]</f>
        <v>0</v>
      </c>
      <c r="AG337" s="2">
        <f>Table2[[#This Row],[ActualHomeScore]]-Table2[[#This Row],[PredictedHomeScore]]</f>
        <v>0</v>
      </c>
      <c r="AH337" s="2">
        <f t="shared" si="32"/>
        <v>0</v>
      </c>
      <c r="AI337" s="2">
        <f t="shared" si="33"/>
        <v>0</v>
      </c>
      <c r="AJ337" s="2"/>
      <c r="AK337" s="2"/>
      <c r="AL337" s="2">
        <f>IF(Table2[[#This Row],[GameIsOver]]=0,0,IF(Table2[[#This Row],[ActualWinner]]=Table2[[#This Row],[AwayTeam]], 1, 0))</f>
        <v>0</v>
      </c>
      <c r="AM337" s="2">
        <f>IF(Table2[[#This Row],[GameIsOver]]=0,0,IF(Table2[[#This Row],[ActualWinner]]=Table2[[#This Row],[HomeTeam]], 1, 0))</f>
        <v>0</v>
      </c>
      <c r="AN3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7" s="2" t="str">
        <f>INDEX(Sheet5!$B$2:$AG$33, MATCH(Table2[[#This Row],[AwayTeam]],Sheet5!$A$2:$A$33, 0), MATCH(Table2[[#This Row],[HomeTeam]],Sheet5!$A$2:$A$33, 0))</f>
        <v>0-0-0</v>
      </c>
      <c r="AP337" s="2" t="str">
        <f>INDEX(Sheet5!$B$2:$AG$33, MATCH(Table2[[#This Row],[HomeTeam]],Sheet5!$A$2:$A$33, 0), MATCH(Table2[[#This Row],[AwayTeam]],Sheet5!$A$2:$A$33, 0))</f>
        <v>0-0-0</v>
      </c>
      <c r="AQ337" s="2">
        <f>IF(Table2[[#This Row],[GameHasShutOut]], 1, 0)</f>
        <v>0</v>
      </c>
      <c r="AR337" s="2">
        <f>IF(Table2[[#This Row],[ActualAwayScore]] + Table2[[#This Row],[ActualHomeScore]] &gt;= 10, 1, 0)</f>
        <v>0</v>
      </c>
      <c r="AS337" s="2">
        <f>IF(ABS(Table2[[#This Row],[ActualAwayScore]]-Table2[[#This Row],[ActualHomeScore]])&gt;=5, 1, 0)</f>
        <v>0</v>
      </c>
      <c r="AT337" s="2">
        <f>IF(Table2[[#This Row],[ActualAwayScore]] + Table2[[#This Row],[ActualHomeScore]] &lt;= 3, 1, 0)</f>
        <v>1</v>
      </c>
      <c r="AU337" s="2"/>
      <c r="AV337" s="2"/>
    </row>
    <row r="338" spans="1:48" x14ac:dyDescent="0.25">
      <c r="A338" s="3"/>
      <c r="B338" s="3">
        <v>45983</v>
      </c>
      <c r="C338" s="5">
        <v>2025020336</v>
      </c>
      <c r="D338" s="2" t="s">
        <v>12</v>
      </c>
      <c r="E338" s="2" t="s">
        <v>32</v>
      </c>
      <c r="F338" s="2"/>
      <c r="G338" s="2"/>
      <c r="H338" s="2" t="str">
        <f t="shared" si="29"/>
        <v>_</v>
      </c>
      <c r="I338" s="2"/>
      <c r="J338" s="2"/>
      <c r="K338" s="2"/>
      <c r="L338" s="2" t="str">
        <f t="shared" si="30"/>
        <v>_</v>
      </c>
      <c r="M338" s="2"/>
      <c r="N338" s="2">
        <f>IF(ISBLANK(Table2[[#This Row],[ActualResult]]), 0, 1)</f>
        <v>0</v>
      </c>
      <c r="O338" s="2" t="str">
        <f>IF(ISBLANK(Table2[[#This Row],[ActualResult]]), "_", IF(Table2[[#This Row],[ActualWinner]]=Table2[[#This Row],[PredictedWinner]], "Y", "N"))</f>
        <v>_</v>
      </c>
      <c r="P3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8" s="2"/>
      <c r="S338" s="2" t="str">
        <f t="shared" si="31"/>
        <v>_</v>
      </c>
      <c r="T3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8" s="2">
        <f>IF(Table2[[#This Row],[InterConf]]=1,IF(Table2[[#This Row],[InterDiv]]=0, 1, 0), 0)</f>
        <v>0</v>
      </c>
      <c r="W3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8" s="2"/>
      <c r="Y338" s="2"/>
      <c r="Z338" s="145">
        <f>IF(AND(Table2[[#This Row],[GameIsOver]]=1,Table2[[#This Row],[ActualHomeScore]]*Table2[[#This Row],[ActualAwayScore]]=0), 1,0)</f>
        <v>0</v>
      </c>
      <c r="AA3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8" s="2">
        <f>Table2[[#This Row],[ActualAwayScore]]-Table2[[#This Row],[PredictedAwayScore]]</f>
        <v>0</v>
      </c>
      <c r="AG338" s="2">
        <f>Table2[[#This Row],[ActualHomeScore]]-Table2[[#This Row],[PredictedHomeScore]]</f>
        <v>0</v>
      </c>
      <c r="AH338" s="2">
        <f t="shared" si="32"/>
        <v>0</v>
      </c>
      <c r="AI338" s="2">
        <f t="shared" si="33"/>
        <v>0</v>
      </c>
      <c r="AJ338" s="2"/>
      <c r="AK338" s="2"/>
      <c r="AL338" s="2">
        <f>IF(Table2[[#This Row],[GameIsOver]]=0,0,IF(Table2[[#This Row],[ActualWinner]]=Table2[[#This Row],[AwayTeam]], 1, 0))</f>
        <v>0</v>
      </c>
      <c r="AM338" s="2">
        <f>IF(Table2[[#This Row],[GameIsOver]]=0,0,IF(Table2[[#This Row],[ActualWinner]]=Table2[[#This Row],[HomeTeam]], 1, 0))</f>
        <v>0</v>
      </c>
      <c r="AN3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8" s="2" t="str">
        <f>INDEX(Sheet5!$B$2:$AG$33, MATCH(Table2[[#This Row],[AwayTeam]],Sheet5!$A$2:$A$33, 0), MATCH(Table2[[#This Row],[HomeTeam]],Sheet5!$A$2:$A$33, 0))</f>
        <v>0-0-0</v>
      </c>
      <c r="AP338" s="2" t="str">
        <f>INDEX(Sheet5!$B$2:$AG$33, MATCH(Table2[[#This Row],[HomeTeam]],Sheet5!$A$2:$A$33, 0), MATCH(Table2[[#This Row],[AwayTeam]],Sheet5!$A$2:$A$33, 0))</f>
        <v>0-0-0</v>
      </c>
      <c r="AQ338" s="2">
        <f>IF(Table2[[#This Row],[GameHasShutOut]], 1, 0)</f>
        <v>0</v>
      </c>
      <c r="AR338" s="2">
        <f>IF(Table2[[#This Row],[ActualAwayScore]] + Table2[[#This Row],[ActualHomeScore]] &gt;= 10, 1, 0)</f>
        <v>0</v>
      </c>
      <c r="AS338" s="2">
        <f>IF(ABS(Table2[[#This Row],[ActualAwayScore]]-Table2[[#This Row],[ActualHomeScore]])&gt;=5, 1, 0)</f>
        <v>0</v>
      </c>
      <c r="AT338" s="2">
        <f>IF(Table2[[#This Row],[ActualAwayScore]] + Table2[[#This Row],[ActualHomeScore]] &lt;= 3, 1, 0)</f>
        <v>1</v>
      </c>
      <c r="AU338" s="2"/>
      <c r="AV338" s="2"/>
    </row>
    <row r="339" spans="1:48" x14ac:dyDescent="0.25">
      <c r="A339" s="3"/>
      <c r="B339" s="3">
        <v>45984</v>
      </c>
      <c r="C339" s="5">
        <v>2025020337</v>
      </c>
      <c r="D339" s="2" t="s">
        <v>17</v>
      </c>
      <c r="E339" s="2" t="s">
        <v>18</v>
      </c>
      <c r="F339" s="2"/>
      <c r="G339" s="2"/>
      <c r="H339" s="2" t="str">
        <f t="shared" si="29"/>
        <v>_</v>
      </c>
      <c r="I339" s="2"/>
      <c r="J339" s="2"/>
      <c r="K339" s="2"/>
      <c r="L339" s="2" t="str">
        <f t="shared" si="30"/>
        <v>_</v>
      </c>
      <c r="M339" s="2"/>
      <c r="N339" s="2">
        <f>IF(ISBLANK(Table2[[#This Row],[ActualResult]]), 0, 1)</f>
        <v>0</v>
      </c>
      <c r="O339" s="2" t="str">
        <f>IF(ISBLANK(Table2[[#This Row],[ActualResult]]), "_", IF(Table2[[#This Row],[ActualWinner]]=Table2[[#This Row],[PredictedWinner]], "Y", "N"))</f>
        <v>_</v>
      </c>
      <c r="P3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9" s="2"/>
      <c r="S339" s="2" t="str">
        <f t="shared" si="31"/>
        <v>_</v>
      </c>
      <c r="T3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39" s="2">
        <f>IF(Table2[[#This Row],[InterConf]]=1,IF(Table2[[#This Row],[InterDiv]]=0, 1, 0), 0)</f>
        <v>0</v>
      </c>
      <c r="W3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9" s="2"/>
      <c r="Y339" s="2"/>
      <c r="Z339" s="145">
        <f>IF(AND(Table2[[#This Row],[GameIsOver]]=1,Table2[[#This Row],[ActualHomeScore]]*Table2[[#This Row],[ActualAwayScore]]=0), 1,0)</f>
        <v>0</v>
      </c>
      <c r="AA3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39" s="2">
        <f>Table2[[#This Row],[ActualAwayScore]]-Table2[[#This Row],[PredictedAwayScore]]</f>
        <v>0</v>
      </c>
      <c r="AG339" s="2">
        <f>Table2[[#This Row],[ActualHomeScore]]-Table2[[#This Row],[PredictedHomeScore]]</f>
        <v>0</v>
      </c>
      <c r="AH339" s="2">
        <f t="shared" si="32"/>
        <v>0</v>
      </c>
      <c r="AI339" s="2">
        <f t="shared" si="33"/>
        <v>0</v>
      </c>
      <c r="AJ339" s="2"/>
      <c r="AK339" s="2"/>
      <c r="AL339" s="2">
        <f>IF(Table2[[#This Row],[GameIsOver]]=0,0,IF(Table2[[#This Row],[ActualWinner]]=Table2[[#This Row],[AwayTeam]], 1, 0))</f>
        <v>0</v>
      </c>
      <c r="AM339" s="2">
        <f>IF(Table2[[#This Row],[GameIsOver]]=0,0,IF(Table2[[#This Row],[ActualWinner]]=Table2[[#This Row],[HomeTeam]], 1, 0))</f>
        <v>0</v>
      </c>
      <c r="AN3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9" s="2" t="str">
        <f>INDEX(Sheet5!$B$2:$AG$33, MATCH(Table2[[#This Row],[AwayTeam]],Sheet5!$A$2:$A$33, 0), MATCH(Table2[[#This Row],[HomeTeam]],Sheet5!$A$2:$A$33, 0))</f>
        <v>1-0-0</v>
      </c>
      <c r="AP339" s="2" t="str">
        <f>INDEX(Sheet5!$B$2:$AG$33, MATCH(Table2[[#This Row],[HomeTeam]],Sheet5!$A$2:$A$33, 0), MATCH(Table2[[#This Row],[AwayTeam]],Sheet5!$A$2:$A$33, 0))</f>
        <v>0-1-0</v>
      </c>
      <c r="AQ339" s="2">
        <f>IF(Table2[[#This Row],[GameHasShutOut]], 1, 0)</f>
        <v>0</v>
      </c>
      <c r="AR339" s="2">
        <f>IF(Table2[[#This Row],[ActualAwayScore]] + Table2[[#This Row],[ActualHomeScore]] &gt;= 10, 1, 0)</f>
        <v>0</v>
      </c>
      <c r="AS339" s="2">
        <f>IF(ABS(Table2[[#This Row],[ActualAwayScore]]-Table2[[#This Row],[ActualHomeScore]])&gt;=5, 1, 0)</f>
        <v>0</v>
      </c>
      <c r="AT339" s="2">
        <f>IF(Table2[[#This Row],[ActualAwayScore]] + Table2[[#This Row],[ActualHomeScore]] &lt;= 3, 1, 0)</f>
        <v>1</v>
      </c>
      <c r="AU339" s="2"/>
      <c r="AV339" s="2"/>
    </row>
    <row r="340" spans="1:48" x14ac:dyDescent="0.25">
      <c r="A340" s="3"/>
      <c r="B340" s="3">
        <v>45984</v>
      </c>
      <c r="C340" s="5">
        <v>2025020338</v>
      </c>
      <c r="D340" s="2" t="s">
        <v>22</v>
      </c>
      <c r="E340" s="2" t="s">
        <v>13</v>
      </c>
      <c r="F340" s="2"/>
      <c r="G340" s="2"/>
      <c r="H340" s="2" t="str">
        <f t="shared" si="29"/>
        <v>_</v>
      </c>
      <c r="I340" s="2"/>
      <c r="J340" s="2"/>
      <c r="K340" s="2"/>
      <c r="L340" s="2" t="str">
        <f t="shared" si="30"/>
        <v>_</v>
      </c>
      <c r="M340" s="2"/>
      <c r="N340" s="2">
        <f>IF(ISBLANK(Table2[[#This Row],[ActualResult]]), 0, 1)</f>
        <v>0</v>
      </c>
      <c r="O340" s="2" t="str">
        <f>IF(ISBLANK(Table2[[#This Row],[ActualResult]]), "_", IF(Table2[[#This Row],[ActualWinner]]=Table2[[#This Row],[PredictedWinner]], "Y", "N"))</f>
        <v>_</v>
      </c>
      <c r="P3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0" s="2"/>
      <c r="S340" s="2" t="str">
        <f t="shared" si="31"/>
        <v>_</v>
      </c>
      <c r="T3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0" s="2">
        <f>IF(Table2[[#This Row],[InterConf]]=1,IF(Table2[[#This Row],[InterDiv]]=0, 1, 0), 0)</f>
        <v>0</v>
      </c>
      <c r="W3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0" s="2"/>
      <c r="Y340" s="2"/>
      <c r="Z340" s="145">
        <f>IF(AND(Table2[[#This Row],[GameIsOver]]=1,Table2[[#This Row],[ActualHomeScore]]*Table2[[#This Row],[ActualAwayScore]]=0), 1,0)</f>
        <v>0</v>
      </c>
      <c r="AA3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0" s="2">
        <f>Table2[[#This Row],[ActualAwayScore]]-Table2[[#This Row],[PredictedAwayScore]]</f>
        <v>0</v>
      </c>
      <c r="AG340" s="2">
        <f>Table2[[#This Row],[ActualHomeScore]]-Table2[[#This Row],[PredictedHomeScore]]</f>
        <v>0</v>
      </c>
      <c r="AH340" s="2">
        <f t="shared" si="32"/>
        <v>0</v>
      </c>
      <c r="AI340" s="2">
        <f t="shared" si="33"/>
        <v>0</v>
      </c>
      <c r="AJ340" s="2"/>
      <c r="AK340" s="2"/>
      <c r="AL340" s="2">
        <f>IF(Table2[[#This Row],[GameIsOver]]=0,0,IF(Table2[[#This Row],[ActualWinner]]=Table2[[#This Row],[AwayTeam]], 1, 0))</f>
        <v>0</v>
      </c>
      <c r="AM340" s="2">
        <f>IF(Table2[[#This Row],[GameIsOver]]=0,0,IF(Table2[[#This Row],[ActualWinner]]=Table2[[#This Row],[HomeTeam]], 1, 0))</f>
        <v>0</v>
      </c>
      <c r="AN3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0" s="2" t="str">
        <f>INDEX(Sheet5!$B$2:$AG$33, MATCH(Table2[[#This Row],[AwayTeam]],Sheet5!$A$2:$A$33, 0), MATCH(Table2[[#This Row],[HomeTeam]],Sheet5!$A$2:$A$33, 0))</f>
        <v>0-0-0</v>
      </c>
      <c r="AP340" s="2" t="str">
        <f>INDEX(Sheet5!$B$2:$AG$33, MATCH(Table2[[#This Row],[HomeTeam]],Sheet5!$A$2:$A$33, 0), MATCH(Table2[[#This Row],[AwayTeam]],Sheet5!$A$2:$A$33, 0))</f>
        <v>0-0-0</v>
      </c>
      <c r="AQ340" s="2">
        <f>IF(Table2[[#This Row],[GameHasShutOut]], 1, 0)</f>
        <v>0</v>
      </c>
      <c r="AR340" s="2">
        <f>IF(Table2[[#This Row],[ActualAwayScore]] + Table2[[#This Row],[ActualHomeScore]] &gt;= 10, 1, 0)</f>
        <v>0</v>
      </c>
      <c r="AS340" s="2">
        <f>IF(ABS(Table2[[#This Row],[ActualAwayScore]]-Table2[[#This Row],[ActualHomeScore]])&gt;=5, 1, 0)</f>
        <v>0</v>
      </c>
      <c r="AT340" s="2">
        <f>IF(Table2[[#This Row],[ActualAwayScore]] + Table2[[#This Row],[ActualHomeScore]] &lt;= 3, 1, 0)</f>
        <v>1</v>
      </c>
      <c r="AU340" s="2"/>
      <c r="AV340" s="2"/>
    </row>
    <row r="341" spans="1:48" x14ac:dyDescent="0.25">
      <c r="A341" s="3"/>
      <c r="B341" s="3">
        <v>45984</v>
      </c>
      <c r="C341" s="5">
        <v>2025020339</v>
      </c>
      <c r="D341" s="2" t="s">
        <v>31</v>
      </c>
      <c r="E341" s="2" t="s">
        <v>42</v>
      </c>
      <c r="F341" s="2"/>
      <c r="G341" s="2"/>
      <c r="H341" s="2" t="str">
        <f t="shared" si="29"/>
        <v>_</v>
      </c>
      <c r="I341" s="2"/>
      <c r="J341" s="2"/>
      <c r="K341" s="2"/>
      <c r="L341" s="2" t="str">
        <f t="shared" si="30"/>
        <v>_</v>
      </c>
      <c r="M341" s="2"/>
      <c r="N341" s="2">
        <f>IF(ISBLANK(Table2[[#This Row],[ActualResult]]), 0, 1)</f>
        <v>0</v>
      </c>
      <c r="O341" s="2" t="str">
        <f>IF(ISBLANK(Table2[[#This Row],[ActualResult]]), "_", IF(Table2[[#This Row],[ActualWinner]]=Table2[[#This Row],[PredictedWinner]], "Y", "N"))</f>
        <v>_</v>
      </c>
      <c r="P3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1" s="2"/>
      <c r="S341" s="2" t="str">
        <f t="shared" si="31"/>
        <v>_</v>
      </c>
      <c r="T3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1" s="2">
        <f>IF(Table2[[#This Row],[InterConf]]=1,IF(Table2[[#This Row],[InterDiv]]=0, 1, 0), 0)</f>
        <v>0</v>
      </c>
      <c r="W3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1" s="2"/>
      <c r="Y341" s="2"/>
      <c r="Z341" s="145">
        <f>IF(AND(Table2[[#This Row],[GameIsOver]]=1,Table2[[#This Row],[ActualHomeScore]]*Table2[[#This Row],[ActualAwayScore]]=0), 1,0)</f>
        <v>0</v>
      </c>
      <c r="AA3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1" s="2">
        <f>Table2[[#This Row],[ActualAwayScore]]-Table2[[#This Row],[PredictedAwayScore]]</f>
        <v>0</v>
      </c>
      <c r="AG341" s="2">
        <f>Table2[[#This Row],[ActualHomeScore]]-Table2[[#This Row],[PredictedHomeScore]]</f>
        <v>0</v>
      </c>
      <c r="AH341" s="2">
        <f t="shared" si="32"/>
        <v>0</v>
      </c>
      <c r="AI341" s="2">
        <f t="shared" si="33"/>
        <v>0</v>
      </c>
      <c r="AJ341" s="2"/>
      <c r="AK341" s="2"/>
      <c r="AL341" s="2">
        <f>IF(Table2[[#This Row],[GameIsOver]]=0,0,IF(Table2[[#This Row],[ActualWinner]]=Table2[[#This Row],[AwayTeam]], 1, 0))</f>
        <v>0</v>
      </c>
      <c r="AM341" s="2">
        <f>IF(Table2[[#This Row],[GameIsOver]]=0,0,IF(Table2[[#This Row],[ActualWinner]]=Table2[[#This Row],[HomeTeam]], 1, 0))</f>
        <v>0</v>
      </c>
      <c r="AN3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1" s="2" t="str">
        <f>INDEX(Sheet5!$B$2:$AG$33, MATCH(Table2[[#This Row],[AwayTeam]],Sheet5!$A$2:$A$33, 0), MATCH(Table2[[#This Row],[HomeTeam]],Sheet5!$A$2:$A$33, 0))</f>
        <v>0-0-0</v>
      </c>
      <c r="AP341" s="2" t="str">
        <f>INDEX(Sheet5!$B$2:$AG$33, MATCH(Table2[[#This Row],[HomeTeam]],Sheet5!$A$2:$A$33, 0), MATCH(Table2[[#This Row],[AwayTeam]],Sheet5!$A$2:$A$33, 0))</f>
        <v>0-0-0</v>
      </c>
      <c r="AQ341" s="2">
        <f>IF(Table2[[#This Row],[GameHasShutOut]], 1, 0)</f>
        <v>0</v>
      </c>
      <c r="AR341" s="2">
        <f>IF(Table2[[#This Row],[ActualAwayScore]] + Table2[[#This Row],[ActualHomeScore]] &gt;= 10, 1, 0)</f>
        <v>0</v>
      </c>
      <c r="AS341" s="2">
        <f>IF(ABS(Table2[[#This Row],[ActualAwayScore]]-Table2[[#This Row],[ActualHomeScore]])&gt;=5, 1, 0)</f>
        <v>0</v>
      </c>
      <c r="AT341" s="2">
        <f>IF(Table2[[#This Row],[ActualAwayScore]] + Table2[[#This Row],[ActualHomeScore]] &lt;= 3, 1, 0)</f>
        <v>1</v>
      </c>
      <c r="AU341" s="2"/>
      <c r="AV341" s="2"/>
    </row>
    <row r="342" spans="1:48" x14ac:dyDescent="0.25">
      <c r="A342" s="3"/>
      <c r="B342" s="3">
        <v>45984</v>
      </c>
      <c r="C342" s="5">
        <v>2025020340</v>
      </c>
      <c r="D342" s="2" t="s">
        <v>11</v>
      </c>
      <c r="E342" s="2" t="s">
        <v>20</v>
      </c>
      <c r="F342" s="2"/>
      <c r="G342" s="2"/>
      <c r="H342" s="2" t="str">
        <f t="shared" si="29"/>
        <v>_</v>
      </c>
      <c r="I342" s="2"/>
      <c r="J342" s="2"/>
      <c r="K342" s="2"/>
      <c r="L342" s="2" t="str">
        <f t="shared" si="30"/>
        <v>_</v>
      </c>
      <c r="M342" s="2"/>
      <c r="N342" s="2">
        <f>IF(ISBLANK(Table2[[#This Row],[ActualResult]]), 0, 1)</f>
        <v>0</v>
      </c>
      <c r="O342" s="2" t="str">
        <f>IF(ISBLANK(Table2[[#This Row],[ActualResult]]), "_", IF(Table2[[#This Row],[ActualWinner]]=Table2[[#This Row],[PredictedWinner]], "Y", "N"))</f>
        <v>_</v>
      </c>
      <c r="P3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2" s="2"/>
      <c r="S342" s="2" t="str">
        <f t="shared" si="31"/>
        <v>_</v>
      </c>
      <c r="T3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2" s="2">
        <f>IF(Table2[[#This Row],[InterConf]]=1,IF(Table2[[#This Row],[InterDiv]]=0, 1, 0), 0)</f>
        <v>0</v>
      </c>
      <c r="W3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2" s="2"/>
      <c r="Y342" s="2"/>
      <c r="Z342" s="145">
        <f>IF(AND(Table2[[#This Row],[GameIsOver]]=1,Table2[[#This Row],[ActualHomeScore]]*Table2[[#This Row],[ActualAwayScore]]=0), 1,0)</f>
        <v>0</v>
      </c>
      <c r="AA3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2" s="2">
        <f>Table2[[#This Row],[ActualAwayScore]]-Table2[[#This Row],[PredictedAwayScore]]</f>
        <v>0</v>
      </c>
      <c r="AG342" s="2">
        <f>Table2[[#This Row],[ActualHomeScore]]-Table2[[#This Row],[PredictedHomeScore]]</f>
        <v>0</v>
      </c>
      <c r="AH342" s="2">
        <f t="shared" si="32"/>
        <v>0</v>
      </c>
      <c r="AI342" s="2">
        <f t="shared" si="33"/>
        <v>0</v>
      </c>
      <c r="AJ342" s="2"/>
      <c r="AK342" s="2"/>
      <c r="AL342" s="2">
        <f>IF(Table2[[#This Row],[GameIsOver]]=0,0,IF(Table2[[#This Row],[ActualWinner]]=Table2[[#This Row],[AwayTeam]], 1, 0))</f>
        <v>0</v>
      </c>
      <c r="AM342" s="2">
        <f>IF(Table2[[#This Row],[GameIsOver]]=0,0,IF(Table2[[#This Row],[ActualWinner]]=Table2[[#This Row],[HomeTeam]], 1, 0))</f>
        <v>0</v>
      </c>
      <c r="AN3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2" s="2" t="str">
        <f>INDEX(Sheet5!$B$2:$AG$33, MATCH(Table2[[#This Row],[AwayTeam]],Sheet5!$A$2:$A$33, 0), MATCH(Table2[[#This Row],[HomeTeam]],Sheet5!$A$2:$A$33, 0))</f>
        <v>0-0-0</v>
      </c>
      <c r="AP342" s="2" t="str">
        <f>INDEX(Sheet5!$B$2:$AG$33, MATCH(Table2[[#This Row],[HomeTeam]],Sheet5!$A$2:$A$33, 0), MATCH(Table2[[#This Row],[AwayTeam]],Sheet5!$A$2:$A$33, 0))</f>
        <v>0-0-0</v>
      </c>
      <c r="AQ342" s="2">
        <f>IF(Table2[[#This Row],[GameHasShutOut]], 1, 0)</f>
        <v>0</v>
      </c>
      <c r="AR342" s="2">
        <f>IF(Table2[[#This Row],[ActualAwayScore]] + Table2[[#This Row],[ActualHomeScore]] &gt;= 10, 1, 0)</f>
        <v>0</v>
      </c>
      <c r="AS342" s="2">
        <f>IF(ABS(Table2[[#This Row],[ActualAwayScore]]-Table2[[#This Row],[ActualHomeScore]])&gt;=5, 1, 0)</f>
        <v>0</v>
      </c>
      <c r="AT342" s="2">
        <f>IF(Table2[[#This Row],[ActualAwayScore]] + Table2[[#This Row],[ActualHomeScore]] &lt;= 3, 1, 0)</f>
        <v>1</v>
      </c>
      <c r="AU342" s="2"/>
      <c r="AV342" s="2"/>
    </row>
    <row r="343" spans="1:48" x14ac:dyDescent="0.25">
      <c r="A343" s="3"/>
      <c r="B343" s="3">
        <v>45984</v>
      </c>
      <c r="C343" s="5">
        <v>2025020341</v>
      </c>
      <c r="D343" s="2" t="s">
        <v>40</v>
      </c>
      <c r="E343" s="2" t="s">
        <v>43</v>
      </c>
      <c r="F343" s="2"/>
      <c r="G343" s="2"/>
      <c r="H343" s="2" t="str">
        <f t="shared" si="29"/>
        <v>_</v>
      </c>
      <c r="I343" s="2"/>
      <c r="J343" s="2"/>
      <c r="K343" s="2"/>
      <c r="L343" s="2" t="str">
        <f t="shared" si="30"/>
        <v>_</v>
      </c>
      <c r="M343" s="2"/>
      <c r="N343" s="2">
        <f>IF(ISBLANK(Table2[[#This Row],[ActualResult]]), 0, 1)</f>
        <v>0</v>
      </c>
      <c r="O343" s="2" t="str">
        <f>IF(ISBLANK(Table2[[#This Row],[ActualResult]]), "_", IF(Table2[[#This Row],[ActualWinner]]=Table2[[#This Row],[PredictedWinner]], "Y", "N"))</f>
        <v>_</v>
      </c>
      <c r="P3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3" s="2"/>
      <c r="S343" s="2" t="str">
        <f t="shared" si="31"/>
        <v>_</v>
      </c>
      <c r="T3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3" s="2">
        <f>IF(Table2[[#This Row],[InterConf]]=1,IF(Table2[[#This Row],[InterDiv]]=0, 1, 0), 0)</f>
        <v>1</v>
      </c>
      <c r="W3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3" s="2"/>
      <c r="Y343" s="2"/>
      <c r="Z343" s="145">
        <f>IF(AND(Table2[[#This Row],[GameIsOver]]=1,Table2[[#This Row],[ActualHomeScore]]*Table2[[#This Row],[ActualAwayScore]]=0), 1,0)</f>
        <v>0</v>
      </c>
      <c r="AA3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3" s="2">
        <f>Table2[[#This Row],[ActualAwayScore]]-Table2[[#This Row],[PredictedAwayScore]]</f>
        <v>0</v>
      </c>
      <c r="AG343" s="2">
        <f>Table2[[#This Row],[ActualHomeScore]]-Table2[[#This Row],[PredictedHomeScore]]</f>
        <v>0</v>
      </c>
      <c r="AH343" s="2">
        <f t="shared" si="32"/>
        <v>0</v>
      </c>
      <c r="AI343" s="2">
        <f t="shared" si="33"/>
        <v>0</v>
      </c>
      <c r="AJ343" s="2"/>
      <c r="AK343" s="2"/>
      <c r="AL343" s="2">
        <f>IF(Table2[[#This Row],[GameIsOver]]=0,0,IF(Table2[[#This Row],[ActualWinner]]=Table2[[#This Row],[AwayTeam]], 1, 0))</f>
        <v>0</v>
      </c>
      <c r="AM343" s="2">
        <f>IF(Table2[[#This Row],[GameIsOver]]=0,0,IF(Table2[[#This Row],[ActualWinner]]=Table2[[#This Row],[HomeTeam]], 1, 0))</f>
        <v>0</v>
      </c>
      <c r="AN3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3" s="2" t="str">
        <f>INDEX(Sheet5!$B$2:$AG$33, MATCH(Table2[[#This Row],[AwayTeam]],Sheet5!$A$2:$A$33, 0), MATCH(Table2[[#This Row],[HomeTeam]],Sheet5!$A$2:$A$33, 0))</f>
        <v>0-0-1</v>
      </c>
      <c r="AP343" s="2" t="str">
        <f>INDEX(Sheet5!$B$2:$AG$33, MATCH(Table2[[#This Row],[HomeTeam]],Sheet5!$A$2:$A$33, 0), MATCH(Table2[[#This Row],[AwayTeam]],Sheet5!$A$2:$A$33, 0))</f>
        <v>1-0-0</v>
      </c>
      <c r="AQ343" s="2">
        <f>IF(Table2[[#This Row],[GameHasShutOut]], 1, 0)</f>
        <v>0</v>
      </c>
      <c r="AR343" s="2">
        <f>IF(Table2[[#This Row],[ActualAwayScore]] + Table2[[#This Row],[ActualHomeScore]] &gt;= 10, 1, 0)</f>
        <v>0</v>
      </c>
      <c r="AS343" s="2">
        <f>IF(ABS(Table2[[#This Row],[ActualAwayScore]]-Table2[[#This Row],[ActualHomeScore]])&gt;=5, 1, 0)</f>
        <v>0</v>
      </c>
      <c r="AT343" s="2">
        <f>IF(Table2[[#This Row],[ActualAwayScore]] + Table2[[#This Row],[ActualHomeScore]] &lt;= 3, 1, 0)</f>
        <v>1</v>
      </c>
      <c r="AU343" s="2"/>
      <c r="AV343" s="2"/>
    </row>
    <row r="344" spans="1:48" x14ac:dyDescent="0.25">
      <c r="A344" s="3"/>
      <c r="B344" s="3">
        <v>45984</v>
      </c>
      <c r="C344" s="5">
        <v>2025020342</v>
      </c>
      <c r="D344" s="2" t="s">
        <v>29</v>
      </c>
      <c r="E344" s="2" t="s">
        <v>37</v>
      </c>
      <c r="F344" s="2"/>
      <c r="G344" s="2"/>
      <c r="H344" s="2" t="str">
        <f t="shared" si="29"/>
        <v>_</v>
      </c>
      <c r="I344" s="2"/>
      <c r="J344" s="2"/>
      <c r="K344" s="2"/>
      <c r="L344" s="2" t="str">
        <f t="shared" si="30"/>
        <v>_</v>
      </c>
      <c r="M344" s="2"/>
      <c r="N344" s="2">
        <f>IF(ISBLANK(Table2[[#This Row],[ActualResult]]), 0, 1)</f>
        <v>0</v>
      </c>
      <c r="O344" s="2" t="str">
        <f>IF(ISBLANK(Table2[[#This Row],[ActualResult]]), "_", IF(Table2[[#This Row],[ActualWinner]]=Table2[[#This Row],[PredictedWinner]], "Y", "N"))</f>
        <v>_</v>
      </c>
      <c r="P3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4" s="2"/>
      <c r="S344" s="2" t="str">
        <f t="shared" si="31"/>
        <v>_</v>
      </c>
      <c r="T3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4" s="2">
        <f>IF(Table2[[#This Row],[InterConf]]=1,IF(Table2[[#This Row],[InterDiv]]=0, 1, 0), 0)</f>
        <v>0</v>
      </c>
      <c r="W3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4" s="2"/>
      <c r="Y344" s="2"/>
      <c r="Z344" s="145">
        <f>IF(AND(Table2[[#This Row],[GameIsOver]]=1,Table2[[#This Row],[ActualHomeScore]]*Table2[[#This Row],[ActualAwayScore]]=0), 1,0)</f>
        <v>0</v>
      </c>
      <c r="AA3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4" s="2">
        <f>Table2[[#This Row],[ActualAwayScore]]-Table2[[#This Row],[PredictedAwayScore]]</f>
        <v>0</v>
      </c>
      <c r="AG344" s="2">
        <f>Table2[[#This Row],[ActualHomeScore]]-Table2[[#This Row],[PredictedHomeScore]]</f>
        <v>0</v>
      </c>
      <c r="AH344" s="2">
        <f t="shared" si="32"/>
        <v>0</v>
      </c>
      <c r="AI344" s="2">
        <f t="shared" si="33"/>
        <v>0</v>
      </c>
      <c r="AJ344" s="2"/>
      <c r="AK344" s="2"/>
      <c r="AL344" s="2">
        <f>IF(Table2[[#This Row],[GameIsOver]]=0,0,IF(Table2[[#This Row],[ActualWinner]]=Table2[[#This Row],[AwayTeam]], 1, 0))</f>
        <v>0</v>
      </c>
      <c r="AM344" s="2">
        <f>IF(Table2[[#This Row],[GameIsOver]]=0,0,IF(Table2[[#This Row],[ActualWinner]]=Table2[[#This Row],[HomeTeam]], 1, 0))</f>
        <v>0</v>
      </c>
      <c r="AN3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4" s="2" t="str">
        <f>INDEX(Sheet5!$B$2:$AG$33, MATCH(Table2[[#This Row],[AwayTeam]],Sheet5!$A$2:$A$33, 0), MATCH(Table2[[#This Row],[HomeTeam]],Sheet5!$A$2:$A$33, 0))</f>
        <v>0-0-0</v>
      </c>
      <c r="AP344" s="2" t="str">
        <f>INDEX(Sheet5!$B$2:$AG$33, MATCH(Table2[[#This Row],[HomeTeam]],Sheet5!$A$2:$A$33, 0), MATCH(Table2[[#This Row],[AwayTeam]],Sheet5!$A$2:$A$33, 0))</f>
        <v>0-0-0</v>
      </c>
      <c r="AQ344" s="2">
        <f>IF(Table2[[#This Row],[GameHasShutOut]], 1, 0)</f>
        <v>0</v>
      </c>
      <c r="AR344" s="2">
        <f>IF(Table2[[#This Row],[ActualAwayScore]] + Table2[[#This Row],[ActualHomeScore]] &gt;= 10, 1, 0)</f>
        <v>0</v>
      </c>
      <c r="AS344" s="2">
        <f>IF(ABS(Table2[[#This Row],[ActualAwayScore]]-Table2[[#This Row],[ActualHomeScore]])&gt;=5, 1, 0)</f>
        <v>0</v>
      </c>
      <c r="AT344" s="2">
        <f>IF(Table2[[#This Row],[ActualAwayScore]] + Table2[[#This Row],[ActualHomeScore]] &lt;= 3, 1, 0)</f>
        <v>1</v>
      </c>
      <c r="AU344" s="2"/>
      <c r="AV344" s="2"/>
    </row>
    <row r="345" spans="1:48" x14ac:dyDescent="0.25">
      <c r="A345" s="3"/>
      <c r="B345" s="3">
        <v>45984</v>
      </c>
      <c r="C345" s="5">
        <v>2025020343</v>
      </c>
      <c r="D345" s="2" t="s">
        <v>25</v>
      </c>
      <c r="E345" s="2" t="s">
        <v>34</v>
      </c>
      <c r="F345" s="2"/>
      <c r="G345" s="2"/>
      <c r="H345" s="2" t="str">
        <f t="shared" si="29"/>
        <v>_</v>
      </c>
      <c r="I345" s="2"/>
      <c r="J345" s="2"/>
      <c r="K345" s="2"/>
      <c r="L345" s="2" t="str">
        <f t="shared" si="30"/>
        <v>_</v>
      </c>
      <c r="M345" s="2"/>
      <c r="N345" s="2">
        <f>IF(ISBLANK(Table2[[#This Row],[ActualResult]]), 0, 1)</f>
        <v>0</v>
      </c>
      <c r="O345" s="2" t="str">
        <f>IF(ISBLANK(Table2[[#This Row],[ActualResult]]), "_", IF(Table2[[#This Row],[ActualWinner]]=Table2[[#This Row],[PredictedWinner]], "Y", "N"))</f>
        <v>_</v>
      </c>
      <c r="P3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5" s="2"/>
      <c r="S345" s="2" t="str">
        <f t="shared" si="31"/>
        <v>_</v>
      </c>
      <c r="T3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5" s="2">
        <f>IF(Table2[[#This Row],[InterConf]]=1,IF(Table2[[#This Row],[InterDiv]]=0, 1, 0), 0)</f>
        <v>0</v>
      </c>
      <c r="W3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5" s="2"/>
      <c r="Y345" s="2"/>
      <c r="Z345" s="145">
        <f>IF(AND(Table2[[#This Row],[GameIsOver]]=1,Table2[[#This Row],[ActualHomeScore]]*Table2[[#This Row],[ActualAwayScore]]=0), 1,0)</f>
        <v>0</v>
      </c>
      <c r="AA3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5" s="2">
        <f>Table2[[#This Row],[ActualAwayScore]]-Table2[[#This Row],[PredictedAwayScore]]</f>
        <v>0</v>
      </c>
      <c r="AG345" s="2">
        <f>Table2[[#This Row],[ActualHomeScore]]-Table2[[#This Row],[PredictedHomeScore]]</f>
        <v>0</v>
      </c>
      <c r="AH345" s="2">
        <f t="shared" si="32"/>
        <v>0</v>
      </c>
      <c r="AI345" s="2">
        <f t="shared" si="33"/>
        <v>0</v>
      </c>
      <c r="AJ345" s="2"/>
      <c r="AK345" s="2"/>
      <c r="AL345" s="2">
        <f>IF(Table2[[#This Row],[GameIsOver]]=0,0,IF(Table2[[#This Row],[ActualWinner]]=Table2[[#This Row],[AwayTeam]], 1, 0))</f>
        <v>0</v>
      </c>
      <c r="AM345" s="2">
        <f>IF(Table2[[#This Row],[GameIsOver]]=0,0,IF(Table2[[#This Row],[ActualWinner]]=Table2[[#This Row],[HomeTeam]], 1, 0))</f>
        <v>0</v>
      </c>
      <c r="AN3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5" s="2" t="str">
        <f>INDEX(Sheet5!$B$2:$AG$33, MATCH(Table2[[#This Row],[AwayTeam]],Sheet5!$A$2:$A$33, 0), MATCH(Table2[[#This Row],[HomeTeam]],Sheet5!$A$2:$A$33, 0))</f>
        <v>0-0-0</v>
      </c>
      <c r="AP345" s="2" t="str">
        <f>INDEX(Sheet5!$B$2:$AG$33, MATCH(Table2[[#This Row],[HomeTeam]],Sheet5!$A$2:$A$33, 0), MATCH(Table2[[#This Row],[AwayTeam]],Sheet5!$A$2:$A$33, 0))</f>
        <v>0-0-0</v>
      </c>
      <c r="AQ345" s="2">
        <f>IF(Table2[[#This Row],[GameHasShutOut]], 1, 0)</f>
        <v>0</v>
      </c>
      <c r="AR345" s="2">
        <f>IF(Table2[[#This Row],[ActualAwayScore]] + Table2[[#This Row],[ActualHomeScore]] &gt;= 10, 1, 0)</f>
        <v>0</v>
      </c>
      <c r="AS345" s="2">
        <f>IF(ABS(Table2[[#This Row],[ActualAwayScore]]-Table2[[#This Row],[ActualHomeScore]])&gt;=5, 1, 0)</f>
        <v>0</v>
      </c>
      <c r="AT345" s="2">
        <f>IF(Table2[[#This Row],[ActualAwayScore]] + Table2[[#This Row],[ActualHomeScore]] &lt;= 3, 1, 0)</f>
        <v>1</v>
      </c>
      <c r="AU345" s="2"/>
      <c r="AV345" s="2"/>
    </row>
    <row r="346" spans="1:48" x14ac:dyDescent="0.25">
      <c r="A346" s="3"/>
      <c r="B346" s="3">
        <v>45984</v>
      </c>
      <c r="C346" s="5">
        <v>2025020344</v>
      </c>
      <c r="D346" s="2" t="s">
        <v>19</v>
      </c>
      <c r="E346" s="2" t="s">
        <v>14</v>
      </c>
      <c r="F346" s="2"/>
      <c r="G346" s="2"/>
      <c r="H346" s="2" t="str">
        <f t="shared" si="29"/>
        <v>_</v>
      </c>
      <c r="I346" s="2"/>
      <c r="J346" s="2"/>
      <c r="K346" s="2"/>
      <c r="L346" s="2" t="str">
        <f t="shared" si="30"/>
        <v>_</v>
      </c>
      <c r="M346" s="2"/>
      <c r="N346" s="2">
        <f>IF(ISBLANK(Table2[[#This Row],[ActualResult]]), 0, 1)</f>
        <v>0</v>
      </c>
      <c r="O346" s="2" t="str">
        <f>IF(ISBLANK(Table2[[#This Row],[ActualResult]]), "_", IF(Table2[[#This Row],[ActualWinner]]=Table2[[#This Row],[PredictedWinner]], "Y", "N"))</f>
        <v>_</v>
      </c>
      <c r="P3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6" s="2"/>
      <c r="S346" s="2" t="str">
        <f t="shared" si="31"/>
        <v>_</v>
      </c>
      <c r="T3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6" s="2">
        <f>IF(Table2[[#This Row],[InterConf]]=1,IF(Table2[[#This Row],[InterDiv]]=0, 1, 0), 0)</f>
        <v>0</v>
      </c>
      <c r="W3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6" s="2"/>
      <c r="Y346" s="2"/>
      <c r="Z346" s="145">
        <f>IF(AND(Table2[[#This Row],[GameIsOver]]=1,Table2[[#This Row],[ActualHomeScore]]*Table2[[#This Row],[ActualAwayScore]]=0), 1,0)</f>
        <v>0</v>
      </c>
      <c r="AA3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6" s="2">
        <f>Table2[[#This Row],[ActualAwayScore]]-Table2[[#This Row],[PredictedAwayScore]]</f>
        <v>0</v>
      </c>
      <c r="AG346" s="2">
        <f>Table2[[#This Row],[ActualHomeScore]]-Table2[[#This Row],[PredictedHomeScore]]</f>
        <v>0</v>
      </c>
      <c r="AH346" s="2">
        <f t="shared" si="32"/>
        <v>0</v>
      </c>
      <c r="AI346" s="2">
        <f t="shared" si="33"/>
        <v>0</v>
      </c>
      <c r="AJ346" s="2"/>
      <c r="AK346" s="2"/>
      <c r="AL346" s="2">
        <f>IF(Table2[[#This Row],[GameIsOver]]=0,0,IF(Table2[[#This Row],[ActualWinner]]=Table2[[#This Row],[AwayTeam]], 1, 0))</f>
        <v>0</v>
      </c>
      <c r="AM346" s="2">
        <f>IF(Table2[[#This Row],[GameIsOver]]=0,0,IF(Table2[[#This Row],[ActualWinner]]=Table2[[#This Row],[HomeTeam]], 1, 0))</f>
        <v>0</v>
      </c>
      <c r="AN3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6" s="2" t="str">
        <f>INDEX(Sheet5!$B$2:$AG$33, MATCH(Table2[[#This Row],[AwayTeam]],Sheet5!$A$2:$A$33, 0), MATCH(Table2[[#This Row],[HomeTeam]],Sheet5!$A$2:$A$33, 0))</f>
        <v>0-0-0</v>
      </c>
      <c r="AP346" s="2" t="str">
        <f>INDEX(Sheet5!$B$2:$AG$33, MATCH(Table2[[#This Row],[HomeTeam]],Sheet5!$A$2:$A$33, 0), MATCH(Table2[[#This Row],[AwayTeam]],Sheet5!$A$2:$A$33, 0))</f>
        <v>0-0-0</v>
      </c>
      <c r="AQ346" s="2">
        <f>IF(Table2[[#This Row],[GameHasShutOut]], 1, 0)</f>
        <v>0</v>
      </c>
      <c r="AR346" s="2">
        <f>IF(Table2[[#This Row],[ActualAwayScore]] + Table2[[#This Row],[ActualHomeScore]] &gt;= 10, 1, 0)</f>
        <v>0</v>
      </c>
      <c r="AS346" s="2">
        <f>IF(ABS(Table2[[#This Row],[ActualAwayScore]]-Table2[[#This Row],[ActualHomeScore]])&gt;=5, 1, 0)</f>
        <v>0</v>
      </c>
      <c r="AT346" s="2">
        <f>IF(Table2[[#This Row],[ActualAwayScore]] + Table2[[#This Row],[ActualHomeScore]] &lt;= 3, 1, 0)</f>
        <v>1</v>
      </c>
      <c r="AU346" s="2"/>
      <c r="AV346" s="2"/>
    </row>
    <row r="347" spans="1:48" x14ac:dyDescent="0.25">
      <c r="A347" s="3"/>
      <c r="B347" s="3">
        <v>45984</v>
      </c>
      <c r="C347" s="5">
        <v>2025020345</v>
      </c>
      <c r="D347" s="2" t="s">
        <v>33</v>
      </c>
      <c r="E347" s="2" t="s">
        <v>23</v>
      </c>
      <c r="F347" s="2"/>
      <c r="G347" s="2"/>
      <c r="H347" s="2" t="str">
        <f t="shared" si="29"/>
        <v>_</v>
      </c>
      <c r="I347" s="2"/>
      <c r="J347" s="2"/>
      <c r="K347" s="2"/>
      <c r="L347" s="2" t="str">
        <f t="shared" si="30"/>
        <v>_</v>
      </c>
      <c r="M347" s="2"/>
      <c r="N347" s="2">
        <f>IF(ISBLANK(Table2[[#This Row],[ActualResult]]), 0, 1)</f>
        <v>0</v>
      </c>
      <c r="O347" s="2" t="str">
        <f>IF(ISBLANK(Table2[[#This Row],[ActualResult]]), "_", IF(Table2[[#This Row],[ActualWinner]]=Table2[[#This Row],[PredictedWinner]], "Y", "N"))</f>
        <v>_</v>
      </c>
      <c r="P3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7" s="2"/>
      <c r="S347" s="2" t="str">
        <f t="shared" si="31"/>
        <v>_</v>
      </c>
      <c r="T3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7" s="2">
        <f>IF(Table2[[#This Row],[InterConf]]=1,IF(Table2[[#This Row],[InterDiv]]=0, 1, 0), 0)</f>
        <v>1</v>
      </c>
      <c r="W3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7" s="2"/>
      <c r="Y347" s="2"/>
      <c r="Z347" s="145">
        <f>IF(AND(Table2[[#This Row],[GameIsOver]]=1,Table2[[#This Row],[ActualHomeScore]]*Table2[[#This Row],[ActualAwayScore]]=0), 1,0)</f>
        <v>0</v>
      </c>
      <c r="AA3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7" s="2">
        <f>Table2[[#This Row],[ActualAwayScore]]-Table2[[#This Row],[PredictedAwayScore]]</f>
        <v>0</v>
      </c>
      <c r="AG347" s="2">
        <f>Table2[[#This Row],[ActualHomeScore]]-Table2[[#This Row],[PredictedHomeScore]]</f>
        <v>0</v>
      </c>
      <c r="AH347" s="2">
        <f t="shared" si="32"/>
        <v>0</v>
      </c>
      <c r="AI347" s="2">
        <f t="shared" si="33"/>
        <v>0</v>
      </c>
      <c r="AJ347" s="2"/>
      <c r="AK347" s="2"/>
      <c r="AL347" s="2">
        <f>IF(Table2[[#This Row],[GameIsOver]]=0,0,IF(Table2[[#This Row],[ActualWinner]]=Table2[[#This Row],[AwayTeam]], 1, 0))</f>
        <v>0</v>
      </c>
      <c r="AM347" s="2">
        <f>IF(Table2[[#This Row],[GameIsOver]]=0,0,IF(Table2[[#This Row],[ActualWinner]]=Table2[[#This Row],[HomeTeam]], 1, 0))</f>
        <v>0</v>
      </c>
      <c r="AN3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7" s="2" t="str">
        <f>INDEX(Sheet5!$B$2:$AG$33, MATCH(Table2[[#This Row],[AwayTeam]],Sheet5!$A$2:$A$33, 0), MATCH(Table2[[#This Row],[HomeTeam]],Sheet5!$A$2:$A$33, 0))</f>
        <v>0-0-0</v>
      </c>
      <c r="AP347" s="2" t="str">
        <f>INDEX(Sheet5!$B$2:$AG$33, MATCH(Table2[[#This Row],[HomeTeam]],Sheet5!$A$2:$A$33, 0), MATCH(Table2[[#This Row],[AwayTeam]],Sheet5!$A$2:$A$33, 0))</f>
        <v>0-0-0</v>
      </c>
      <c r="AQ347" s="2">
        <f>IF(Table2[[#This Row],[GameHasShutOut]], 1, 0)</f>
        <v>0</v>
      </c>
      <c r="AR347" s="2">
        <f>IF(Table2[[#This Row],[ActualAwayScore]] + Table2[[#This Row],[ActualHomeScore]] &gt;= 10, 1, 0)</f>
        <v>0</v>
      </c>
      <c r="AS347" s="2">
        <f>IF(ABS(Table2[[#This Row],[ActualAwayScore]]-Table2[[#This Row],[ActualHomeScore]])&gt;=5, 1, 0)</f>
        <v>0</v>
      </c>
      <c r="AT347" s="2">
        <f>IF(Table2[[#This Row],[ActualAwayScore]] + Table2[[#This Row],[ActualHomeScore]] &lt;= 3, 1, 0)</f>
        <v>1</v>
      </c>
      <c r="AU347" s="2"/>
      <c r="AV347" s="2"/>
    </row>
    <row r="348" spans="1:48" x14ac:dyDescent="0.25">
      <c r="A348" s="3"/>
      <c r="B348" s="3">
        <v>45984</v>
      </c>
      <c r="C348" s="5">
        <v>2025020346</v>
      </c>
      <c r="D348" s="2" t="s">
        <v>26</v>
      </c>
      <c r="E348" s="2" t="s">
        <v>44</v>
      </c>
      <c r="F348" s="2"/>
      <c r="G348" s="2"/>
      <c r="H348" s="2" t="str">
        <f t="shared" si="29"/>
        <v>_</v>
      </c>
      <c r="I348" s="2"/>
      <c r="J348" s="2"/>
      <c r="K348" s="2"/>
      <c r="L348" s="2" t="str">
        <f t="shared" si="30"/>
        <v>_</v>
      </c>
      <c r="M348" s="2"/>
      <c r="N348" s="2">
        <f>IF(ISBLANK(Table2[[#This Row],[ActualResult]]), 0, 1)</f>
        <v>0</v>
      </c>
      <c r="O348" s="2" t="str">
        <f>IF(ISBLANK(Table2[[#This Row],[ActualResult]]), "_", IF(Table2[[#This Row],[ActualWinner]]=Table2[[#This Row],[PredictedWinner]], "Y", "N"))</f>
        <v>_</v>
      </c>
      <c r="P3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8" s="2"/>
      <c r="S348" s="2" t="str">
        <f t="shared" si="31"/>
        <v>_</v>
      </c>
      <c r="T3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8" s="2">
        <f>IF(Table2[[#This Row],[InterConf]]=1,IF(Table2[[#This Row],[InterDiv]]=0, 1, 0), 0)</f>
        <v>0</v>
      </c>
      <c r="W3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8" s="2"/>
      <c r="Y348" s="2"/>
      <c r="Z348" s="145">
        <f>IF(AND(Table2[[#This Row],[GameIsOver]]=1,Table2[[#This Row],[ActualHomeScore]]*Table2[[#This Row],[ActualAwayScore]]=0), 1,0)</f>
        <v>0</v>
      </c>
      <c r="AA3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8" s="2">
        <f>Table2[[#This Row],[ActualAwayScore]]-Table2[[#This Row],[PredictedAwayScore]]</f>
        <v>0</v>
      </c>
      <c r="AG348" s="2">
        <f>Table2[[#This Row],[ActualHomeScore]]-Table2[[#This Row],[PredictedHomeScore]]</f>
        <v>0</v>
      </c>
      <c r="AH348" s="2">
        <f t="shared" si="32"/>
        <v>0</v>
      </c>
      <c r="AI348" s="2">
        <f t="shared" si="33"/>
        <v>0</v>
      </c>
      <c r="AJ348" s="2"/>
      <c r="AK348" s="2"/>
      <c r="AL348" s="2">
        <f>IF(Table2[[#This Row],[GameIsOver]]=0,0,IF(Table2[[#This Row],[ActualWinner]]=Table2[[#This Row],[AwayTeam]], 1, 0))</f>
        <v>0</v>
      </c>
      <c r="AM348" s="2">
        <f>IF(Table2[[#This Row],[GameIsOver]]=0,0,IF(Table2[[#This Row],[ActualWinner]]=Table2[[#This Row],[HomeTeam]], 1, 0))</f>
        <v>0</v>
      </c>
      <c r="AN3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8" s="2" t="str">
        <f>INDEX(Sheet5!$B$2:$AG$33, MATCH(Table2[[#This Row],[AwayTeam]],Sheet5!$A$2:$A$33, 0), MATCH(Table2[[#This Row],[HomeTeam]],Sheet5!$A$2:$A$33, 0))</f>
        <v>0-0-0</v>
      </c>
      <c r="AP348" s="2" t="str">
        <f>INDEX(Sheet5!$B$2:$AG$33, MATCH(Table2[[#This Row],[HomeTeam]],Sheet5!$A$2:$A$33, 0), MATCH(Table2[[#This Row],[AwayTeam]],Sheet5!$A$2:$A$33, 0))</f>
        <v>0-0-0</v>
      </c>
      <c r="AQ348" s="2">
        <f>IF(Table2[[#This Row],[GameHasShutOut]], 1, 0)</f>
        <v>0</v>
      </c>
      <c r="AR348" s="2">
        <f>IF(Table2[[#This Row],[ActualAwayScore]] + Table2[[#This Row],[ActualHomeScore]] &gt;= 10, 1, 0)</f>
        <v>0</v>
      </c>
      <c r="AS348" s="2">
        <f>IF(ABS(Table2[[#This Row],[ActualAwayScore]]-Table2[[#This Row],[ActualHomeScore]])&gt;=5, 1, 0)</f>
        <v>0</v>
      </c>
      <c r="AT348" s="2">
        <f>IF(Table2[[#This Row],[ActualAwayScore]] + Table2[[#This Row],[ActualHomeScore]] &lt;= 3, 1, 0)</f>
        <v>1</v>
      </c>
      <c r="AU348" s="2"/>
      <c r="AV348" s="2"/>
    </row>
    <row r="349" spans="1:48" x14ac:dyDescent="0.25">
      <c r="A349" s="3"/>
      <c r="B349" s="3">
        <v>45984</v>
      </c>
      <c r="C349" s="5">
        <v>2025020347</v>
      </c>
      <c r="D349" s="2" t="s">
        <v>41</v>
      </c>
      <c r="E349" s="2" t="s">
        <v>28</v>
      </c>
      <c r="F349" s="2"/>
      <c r="G349" s="2"/>
      <c r="H349" s="2" t="str">
        <f t="shared" si="29"/>
        <v>_</v>
      </c>
      <c r="I349" s="2"/>
      <c r="J349" s="2"/>
      <c r="K349" s="2"/>
      <c r="L349" s="2" t="str">
        <f t="shared" si="30"/>
        <v>_</v>
      </c>
      <c r="M349" s="2"/>
      <c r="N349" s="2">
        <f>IF(ISBLANK(Table2[[#This Row],[ActualResult]]), 0, 1)</f>
        <v>0</v>
      </c>
      <c r="O349" s="2" t="str">
        <f>IF(ISBLANK(Table2[[#This Row],[ActualResult]]), "_", IF(Table2[[#This Row],[ActualWinner]]=Table2[[#This Row],[PredictedWinner]], "Y", "N"))</f>
        <v>_</v>
      </c>
      <c r="P3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9" s="2"/>
      <c r="S349" s="2" t="str">
        <f t="shared" si="31"/>
        <v>_</v>
      </c>
      <c r="T3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9" s="2">
        <f>IF(Table2[[#This Row],[InterConf]]=1,IF(Table2[[#This Row],[InterDiv]]=0, 1, 0), 0)</f>
        <v>1</v>
      </c>
      <c r="W3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9" s="2"/>
      <c r="Y349" s="2"/>
      <c r="Z349" s="145">
        <f>IF(AND(Table2[[#This Row],[GameIsOver]]=1,Table2[[#This Row],[ActualHomeScore]]*Table2[[#This Row],[ActualAwayScore]]=0), 1,0)</f>
        <v>0</v>
      </c>
      <c r="AA3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9" s="2">
        <f>Table2[[#This Row],[ActualAwayScore]]-Table2[[#This Row],[PredictedAwayScore]]</f>
        <v>0</v>
      </c>
      <c r="AG349" s="2">
        <f>Table2[[#This Row],[ActualHomeScore]]-Table2[[#This Row],[PredictedHomeScore]]</f>
        <v>0</v>
      </c>
      <c r="AH349" s="2">
        <f t="shared" si="32"/>
        <v>0</v>
      </c>
      <c r="AI349" s="2">
        <f t="shared" si="33"/>
        <v>0</v>
      </c>
      <c r="AJ349" s="2"/>
      <c r="AK349" s="2"/>
      <c r="AL349" s="2">
        <f>IF(Table2[[#This Row],[GameIsOver]]=0,0,IF(Table2[[#This Row],[ActualWinner]]=Table2[[#This Row],[AwayTeam]], 1, 0))</f>
        <v>0</v>
      </c>
      <c r="AM349" s="2">
        <f>IF(Table2[[#This Row],[GameIsOver]]=0,0,IF(Table2[[#This Row],[ActualWinner]]=Table2[[#This Row],[HomeTeam]], 1, 0))</f>
        <v>0</v>
      </c>
      <c r="AN3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9" s="2" t="str">
        <f>INDEX(Sheet5!$B$2:$AG$33, MATCH(Table2[[#This Row],[AwayTeam]],Sheet5!$A$2:$A$33, 0), MATCH(Table2[[#This Row],[HomeTeam]],Sheet5!$A$2:$A$33, 0))</f>
        <v>0-0-0</v>
      </c>
      <c r="AP349" s="2" t="str">
        <f>INDEX(Sheet5!$B$2:$AG$33, MATCH(Table2[[#This Row],[HomeTeam]],Sheet5!$A$2:$A$33, 0), MATCH(Table2[[#This Row],[AwayTeam]],Sheet5!$A$2:$A$33, 0))</f>
        <v>0-0-0</v>
      </c>
      <c r="AQ349" s="2">
        <f>IF(Table2[[#This Row],[GameHasShutOut]], 1, 0)</f>
        <v>0</v>
      </c>
      <c r="AR349" s="2">
        <f>IF(Table2[[#This Row],[ActualAwayScore]] + Table2[[#This Row],[ActualHomeScore]] &gt;= 10, 1, 0)</f>
        <v>0</v>
      </c>
      <c r="AS349" s="2">
        <f>IF(ABS(Table2[[#This Row],[ActualAwayScore]]-Table2[[#This Row],[ActualHomeScore]])&gt;=5, 1, 0)</f>
        <v>0</v>
      </c>
      <c r="AT349" s="2">
        <f>IF(Table2[[#This Row],[ActualAwayScore]] + Table2[[#This Row],[ActualHomeScore]] &lt;= 3, 1, 0)</f>
        <v>1</v>
      </c>
      <c r="AU349" s="2"/>
      <c r="AV349" s="2"/>
    </row>
    <row r="350" spans="1:48" x14ac:dyDescent="0.25">
      <c r="A350" s="3"/>
      <c r="B350" s="3">
        <v>45984</v>
      </c>
      <c r="C350" s="5">
        <v>2025020348</v>
      </c>
      <c r="D350" s="2" t="s">
        <v>36</v>
      </c>
      <c r="E350" s="2" t="s">
        <v>21</v>
      </c>
      <c r="F350" s="2"/>
      <c r="G350" s="2"/>
      <c r="H350" s="2" t="str">
        <f t="shared" si="29"/>
        <v>_</v>
      </c>
      <c r="I350" s="2"/>
      <c r="J350" s="2"/>
      <c r="K350" s="2"/>
      <c r="L350" s="2" t="str">
        <f t="shared" si="30"/>
        <v>_</v>
      </c>
      <c r="M350" s="2"/>
      <c r="N350" s="2">
        <f>IF(ISBLANK(Table2[[#This Row],[ActualResult]]), 0, 1)</f>
        <v>0</v>
      </c>
      <c r="O350" s="2" t="str">
        <f>IF(ISBLANK(Table2[[#This Row],[ActualResult]]), "_", IF(Table2[[#This Row],[ActualWinner]]=Table2[[#This Row],[PredictedWinner]], "Y", "N"))</f>
        <v>_</v>
      </c>
      <c r="P3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0" s="2"/>
      <c r="S350" s="2" t="str">
        <f t="shared" si="31"/>
        <v>_</v>
      </c>
      <c r="T3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0" s="2">
        <f>IF(Table2[[#This Row],[InterConf]]=1,IF(Table2[[#This Row],[InterDiv]]=0, 1, 0), 0)</f>
        <v>0</v>
      </c>
      <c r="W3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0" s="2"/>
      <c r="Y350" s="2"/>
      <c r="Z350" s="145">
        <f>IF(AND(Table2[[#This Row],[GameIsOver]]=1,Table2[[#This Row],[ActualHomeScore]]*Table2[[#This Row],[ActualAwayScore]]=0), 1,0)</f>
        <v>0</v>
      </c>
      <c r="AA3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50" s="2">
        <f>Table2[[#This Row],[ActualAwayScore]]-Table2[[#This Row],[PredictedAwayScore]]</f>
        <v>0</v>
      </c>
      <c r="AG350" s="2">
        <f>Table2[[#This Row],[ActualHomeScore]]-Table2[[#This Row],[PredictedHomeScore]]</f>
        <v>0</v>
      </c>
      <c r="AH350" s="2">
        <f t="shared" si="32"/>
        <v>0</v>
      </c>
      <c r="AI350" s="2">
        <f t="shared" si="33"/>
        <v>0</v>
      </c>
      <c r="AJ350" s="2"/>
      <c r="AK350" s="2"/>
      <c r="AL350" s="2">
        <f>IF(Table2[[#This Row],[GameIsOver]]=0,0,IF(Table2[[#This Row],[ActualWinner]]=Table2[[#This Row],[AwayTeam]], 1, 0))</f>
        <v>0</v>
      </c>
      <c r="AM350" s="2">
        <f>IF(Table2[[#This Row],[GameIsOver]]=0,0,IF(Table2[[#This Row],[ActualWinner]]=Table2[[#This Row],[HomeTeam]], 1, 0))</f>
        <v>0</v>
      </c>
      <c r="AN3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0" s="2" t="str">
        <f>INDEX(Sheet5!$B$2:$AG$33, MATCH(Table2[[#This Row],[AwayTeam]],Sheet5!$A$2:$A$33, 0), MATCH(Table2[[#This Row],[HomeTeam]],Sheet5!$A$2:$A$33, 0))</f>
        <v>0-0-0</v>
      </c>
      <c r="AP350" s="2" t="str">
        <f>INDEX(Sheet5!$B$2:$AG$33, MATCH(Table2[[#This Row],[HomeTeam]],Sheet5!$A$2:$A$33, 0), MATCH(Table2[[#This Row],[AwayTeam]],Sheet5!$A$2:$A$33, 0))</f>
        <v>0-0-0</v>
      </c>
      <c r="AQ350" s="2">
        <f>IF(Table2[[#This Row],[GameHasShutOut]], 1, 0)</f>
        <v>0</v>
      </c>
      <c r="AR350" s="2">
        <f>IF(Table2[[#This Row],[ActualAwayScore]] + Table2[[#This Row],[ActualHomeScore]] &gt;= 10, 1, 0)</f>
        <v>0</v>
      </c>
      <c r="AS350" s="2">
        <f>IF(ABS(Table2[[#This Row],[ActualAwayScore]]-Table2[[#This Row],[ActualHomeScore]])&gt;=5, 1, 0)</f>
        <v>0</v>
      </c>
      <c r="AT350" s="2">
        <f>IF(Table2[[#This Row],[ActualAwayScore]] + Table2[[#This Row],[ActualHomeScore]] &lt;= 3, 1, 0)</f>
        <v>1</v>
      </c>
      <c r="AU350" s="2"/>
      <c r="AV350" s="2"/>
    </row>
    <row r="351" spans="1:48" x14ac:dyDescent="0.25">
      <c r="A351" s="3"/>
      <c r="B351" s="3">
        <v>45984</v>
      </c>
      <c r="C351" s="5">
        <v>2025020349</v>
      </c>
      <c r="D351" s="2" t="s">
        <v>11</v>
      </c>
      <c r="E351" s="2" t="s">
        <v>32</v>
      </c>
      <c r="F351" s="2"/>
      <c r="G351" s="2"/>
      <c r="H351" s="2" t="str">
        <f t="shared" si="29"/>
        <v>_</v>
      </c>
      <c r="I351" s="2"/>
      <c r="J351" s="2"/>
      <c r="K351" s="2"/>
      <c r="L351" s="2" t="str">
        <f t="shared" si="30"/>
        <v>_</v>
      </c>
      <c r="M351" s="2"/>
      <c r="N351" s="2">
        <f>IF(ISBLANK(Table2[[#This Row],[ActualResult]]), 0, 1)</f>
        <v>0</v>
      </c>
      <c r="O351" s="2" t="str">
        <f>IF(ISBLANK(Table2[[#This Row],[ActualResult]]), "_", IF(Table2[[#This Row],[ActualWinner]]=Table2[[#This Row],[PredictedWinner]], "Y", "N"))</f>
        <v>_</v>
      </c>
      <c r="P3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1" s="2"/>
      <c r="S351" s="2" t="str">
        <f t="shared" si="31"/>
        <v>_</v>
      </c>
      <c r="T3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1" s="2">
        <f>IF(Table2[[#This Row],[InterConf]]=1,IF(Table2[[#This Row],[InterDiv]]=0, 1, 0), 0)</f>
        <v>0</v>
      </c>
      <c r="W3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1" s="2"/>
      <c r="Y351" s="2"/>
      <c r="Z351" s="145">
        <f>IF(AND(Table2[[#This Row],[GameIsOver]]=1,Table2[[#This Row],[ActualHomeScore]]*Table2[[#This Row],[ActualAwayScore]]=0), 1,0)</f>
        <v>0</v>
      </c>
      <c r="AA3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51" s="2">
        <f>Table2[[#This Row],[ActualAwayScore]]-Table2[[#This Row],[PredictedAwayScore]]</f>
        <v>0</v>
      </c>
      <c r="AG351" s="2">
        <f>Table2[[#This Row],[ActualHomeScore]]-Table2[[#This Row],[PredictedHomeScore]]</f>
        <v>0</v>
      </c>
      <c r="AH351" s="2">
        <f t="shared" si="32"/>
        <v>0</v>
      </c>
      <c r="AI351" s="2">
        <f t="shared" si="33"/>
        <v>0</v>
      </c>
      <c r="AJ351" s="2"/>
      <c r="AK351" s="2"/>
      <c r="AL351" s="2">
        <f>IF(Table2[[#This Row],[GameIsOver]]=0,0,IF(Table2[[#This Row],[ActualWinner]]=Table2[[#This Row],[AwayTeam]], 1, 0))</f>
        <v>0</v>
      </c>
      <c r="AM351" s="2">
        <f>IF(Table2[[#This Row],[GameIsOver]]=0,0,IF(Table2[[#This Row],[ActualWinner]]=Table2[[#This Row],[HomeTeam]], 1, 0))</f>
        <v>0</v>
      </c>
      <c r="AN3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1" s="2" t="str">
        <f>INDEX(Sheet5!$B$2:$AG$33, MATCH(Table2[[#This Row],[AwayTeam]],Sheet5!$A$2:$A$33, 0), MATCH(Table2[[#This Row],[HomeTeam]],Sheet5!$A$2:$A$33, 0))</f>
        <v>0-0-0</v>
      </c>
      <c r="AP351" s="2" t="str">
        <f>INDEX(Sheet5!$B$2:$AG$33, MATCH(Table2[[#This Row],[HomeTeam]],Sheet5!$A$2:$A$33, 0), MATCH(Table2[[#This Row],[AwayTeam]],Sheet5!$A$2:$A$33, 0))</f>
        <v>0-0-0</v>
      </c>
      <c r="AQ351" s="2">
        <f>IF(Table2[[#This Row],[GameHasShutOut]], 1, 0)</f>
        <v>0</v>
      </c>
      <c r="AR351" s="2">
        <f>IF(Table2[[#This Row],[ActualAwayScore]] + Table2[[#This Row],[ActualHomeScore]] &gt;= 10, 1, 0)</f>
        <v>0</v>
      </c>
      <c r="AS351" s="2">
        <f>IF(ABS(Table2[[#This Row],[ActualAwayScore]]-Table2[[#This Row],[ActualHomeScore]])&gt;=5, 1, 0)</f>
        <v>0</v>
      </c>
      <c r="AT351" s="2">
        <f>IF(Table2[[#This Row],[ActualAwayScore]] + Table2[[#This Row],[ActualHomeScore]] &lt;= 3, 1, 0)</f>
        <v>1</v>
      </c>
      <c r="AU351" s="2"/>
      <c r="AV351" s="2"/>
    </row>
    <row r="352" spans="1:48" x14ac:dyDescent="0.25">
      <c r="A352" s="3"/>
      <c r="B352" s="3">
        <v>45985</v>
      </c>
      <c r="C352" s="5">
        <v>2025020350</v>
      </c>
      <c r="D352" s="2" t="s">
        <v>25</v>
      </c>
      <c r="E352" s="2" t="s">
        <v>16</v>
      </c>
      <c r="F352" s="2"/>
      <c r="G352" s="2"/>
      <c r="H352" s="2" t="str">
        <f t="shared" si="29"/>
        <v>_</v>
      </c>
      <c r="I352" s="2"/>
      <c r="J352" s="2"/>
      <c r="K352" s="2"/>
      <c r="L352" s="2" t="str">
        <f t="shared" si="30"/>
        <v>_</v>
      </c>
      <c r="M352" s="2"/>
      <c r="N352" s="2">
        <f>IF(ISBLANK(Table2[[#This Row],[ActualResult]]), 0, 1)</f>
        <v>0</v>
      </c>
      <c r="O352" s="2" t="str">
        <f>IF(ISBLANK(Table2[[#This Row],[ActualResult]]), "_", IF(Table2[[#This Row],[ActualWinner]]=Table2[[#This Row],[PredictedWinner]], "Y", "N"))</f>
        <v>_</v>
      </c>
      <c r="P3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2" s="2"/>
      <c r="S352" s="2" t="str">
        <f t="shared" si="31"/>
        <v>_</v>
      </c>
      <c r="T3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2" s="2">
        <f>IF(Table2[[#This Row],[InterConf]]=1,IF(Table2[[#This Row],[InterDiv]]=0, 1, 0), 0)</f>
        <v>0</v>
      </c>
      <c r="W3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2" s="2"/>
      <c r="Y352" s="2"/>
      <c r="Z352" s="145">
        <f>IF(AND(Table2[[#This Row],[GameIsOver]]=1,Table2[[#This Row],[ActualHomeScore]]*Table2[[#This Row],[ActualAwayScore]]=0), 1,0)</f>
        <v>0</v>
      </c>
      <c r="AA3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52" s="2">
        <f>Table2[[#This Row],[ActualAwayScore]]-Table2[[#This Row],[PredictedAwayScore]]</f>
        <v>0</v>
      </c>
      <c r="AG352" s="2">
        <f>Table2[[#This Row],[ActualHomeScore]]-Table2[[#This Row],[PredictedHomeScore]]</f>
        <v>0</v>
      </c>
      <c r="AH352" s="2">
        <f t="shared" si="32"/>
        <v>0</v>
      </c>
      <c r="AI352" s="2">
        <f t="shared" si="33"/>
        <v>0</v>
      </c>
      <c r="AJ352" s="2"/>
      <c r="AK352" s="2"/>
      <c r="AL352" s="2">
        <f>IF(Table2[[#This Row],[GameIsOver]]=0,0,IF(Table2[[#This Row],[ActualWinner]]=Table2[[#This Row],[AwayTeam]], 1, 0))</f>
        <v>0</v>
      </c>
      <c r="AM352" s="2">
        <f>IF(Table2[[#This Row],[GameIsOver]]=0,0,IF(Table2[[#This Row],[ActualWinner]]=Table2[[#This Row],[HomeTeam]], 1, 0))</f>
        <v>0</v>
      </c>
      <c r="AN3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2" s="2" t="str">
        <f>INDEX(Sheet5!$B$2:$AG$33, MATCH(Table2[[#This Row],[AwayTeam]],Sheet5!$A$2:$A$33, 0), MATCH(Table2[[#This Row],[HomeTeam]],Sheet5!$A$2:$A$33, 0))</f>
        <v>0-0-0</v>
      </c>
      <c r="AP352" s="2" t="str">
        <f>INDEX(Sheet5!$B$2:$AG$33, MATCH(Table2[[#This Row],[HomeTeam]],Sheet5!$A$2:$A$33, 0), MATCH(Table2[[#This Row],[AwayTeam]],Sheet5!$A$2:$A$33, 0))</f>
        <v>0-0-0</v>
      </c>
      <c r="AQ352" s="2">
        <f>IF(Table2[[#This Row],[GameHasShutOut]], 1, 0)</f>
        <v>0</v>
      </c>
      <c r="AR352" s="2">
        <f>IF(Table2[[#This Row],[ActualAwayScore]] + Table2[[#This Row],[ActualHomeScore]] &gt;= 10, 1, 0)</f>
        <v>0</v>
      </c>
      <c r="AS352" s="2">
        <f>IF(ABS(Table2[[#This Row],[ActualAwayScore]]-Table2[[#This Row],[ActualHomeScore]])&gt;=5, 1, 0)</f>
        <v>0</v>
      </c>
      <c r="AT352" s="2">
        <f>IF(Table2[[#This Row],[ActualAwayScore]] + Table2[[#This Row],[ActualHomeScore]] &lt;= 3, 1, 0)</f>
        <v>1</v>
      </c>
      <c r="AU352" s="2"/>
      <c r="AV352" s="2"/>
    </row>
    <row r="353" spans="1:48" x14ac:dyDescent="0.25">
      <c r="A353" s="3"/>
      <c r="B353" s="3">
        <v>45985</v>
      </c>
      <c r="C353" s="5">
        <v>2025020351</v>
      </c>
      <c r="D353" s="2" t="s">
        <v>15</v>
      </c>
      <c r="E353" s="2" t="s">
        <v>37</v>
      </c>
      <c r="F353" s="2"/>
      <c r="G353" s="2"/>
      <c r="H353" s="2" t="str">
        <f t="shared" si="29"/>
        <v>_</v>
      </c>
      <c r="I353" s="2"/>
      <c r="J353" s="2"/>
      <c r="K353" s="2"/>
      <c r="L353" s="2" t="str">
        <f t="shared" si="30"/>
        <v>_</v>
      </c>
      <c r="M353" s="2"/>
      <c r="N353" s="2">
        <f>IF(ISBLANK(Table2[[#This Row],[ActualResult]]), 0, 1)</f>
        <v>0</v>
      </c>
      <c r="O353" s="2" t="str">
        <f>IF(ISBLANK(Table2[[#This Row],[ActualResult]]), "_", IF(Table2[[#This Row],[ActualWinner]]=Table2[[#This Row],[PredictedWinner]], "Y", "N"))</f>
        <v>_</v>
      </c>
      <c r="P3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3" s="2"/>
      <c r="S353" s="2" t="str">
        <f t="shared" si="31"/>
        <v>_</v>
      </c>
      <c r="T3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3" s="2">
        <f>IF(Table2[[#This Row],[InterConf]]=1,IF(Table2[[#This Row],[InterDiv]]=0, 1, 0), 0)</f>
        <v>0</v>
      </c>
      <c r="W3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3" s="2"/>
      <c r="Y353" s="2"/>
      <c r="Z353" s="145">
        <f>IF(AND(Table2[[#This Row],[GameIsOver]]=1,Table2[[#This Row],[ActualHomeScore]]*Table2[[#This Row],[ActualAwayScore]]=0), 1,0)</f>
        <v>0</v>
      </c>
      <c r="AA3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53" s="2">
        <f>Table2[[#This Row],[ActualAwayScore]]-Table2[[#This Row],[PredictedAwayScore]]</f>
        <v>0</v>
      </c>
      <c r="AG353" s="2">
        <f>Table2[[#This Row],[ActualHomeScore]]-Table2[[#This Row],[PredictedHomeScore]]</f>
        <v>0</v>
      </c>
      <c r="AH353" s="2">
        <f t="shared" si="32"/>
        <v>0</v>
      </c>
      <c r="AI353" s="2">
        <f t="shared" si="33"/>
        <v>0</v>
      </c>
      <c r="AJ353" s="2"/>
      <c r="AK353" s="2"/>
      <c r="AL353" s="2">
        <f>IF(Table2[[#This Row],[GameIsOver]]=0,0,IF(Table2[[#This Row],[ActualWinner]]=Table2[[#This Row],[AwayTeam]], 1, 0))</f>
        <v>0</v>
      </c>
      <c r="AM353" s="2">
        <f>IF(Table2[[#This Row],[GameIsOver]]=0,0,IF(Table2[[#This Row],[ActualWinner]]=Table2[[#This Row],[HomeTeam]], 1, 0))</f>
        <v>0</v>
      </c>
      <c r="AN3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3" s="2" t="str">
        <f>INDEX(Sheet5!$B$2:$AG$33, MATCH(Table2[[#This Row],[AwayTeam]],Sheet5!$A$2:$A$33, 0), MATCH(Table2[[#This Row],[HomeTeam]],Sheet5!$A$2:$A$33, 0))</f>
        <v>0-0-0</v>
      </c>
      <c r="AP353" s="2" t="str">
        <f>INDEX(Sheet5!$B$2:$AG$33, MATCH(Table2[[#This Row],[HomeTeam]],Sheet5!$A$2:$A$33, 0), MATCH(Table2[[#This Row],[AwayTeam]],Sheet5!$A$2:$A$33, 0))</f>
        <v>0-0-0</v>
      </c>
      <c r="AQ353" s="2">
        <f>IF(Table2[[#This Row],[GameHasShutOut]], 1, 0)</f>
        <v>0</v>
      </c>
      <c r="AR353" s="2">
        <f>IF(Table2[[#This Row],[ActualAwayScore]] + Table2[[#This Row],[ActualHomeScore]] &gt;= 10, 1, 0)</f>
        <v>0</v>
      </c>
      <c r="AS353" s="2">
        <f>IF(ABS(Table2[[#This Row],[ActualAwayScore]]-Table2[[#This Row],[ActualHomeScore]])&gt;=5, 1, 0)</f>
        <v>0</v>
      </c>
      <c r="AT353" s="2">
        <f>IF(Table2[[#This Row],[ActualAwayScore]] + Table2[[#This Row],[ActualHomeScore]] &lt;= 3, 1, 0)</f>
        <v>1</v>
      </c>
      <c r="AU353" s="2"/>
      <c r="AV353" s="2"/>
    </row>
    <row r="354" spans="1:48" x14ac:dyDescent="0.25">
      <c r="A354" s="3"/>
      <c r="B354" s="3">
        <v>45985</v>
      </c>
      <c r="C354" s="5">
        <v>2025020352</v>
      </c>
      <c r="D354" s="2" t="s">
        <v>23</v>
      </c>
      <c r="E354" s="2" t="s">
        <v>24</v>
      </c>
      <c r="F354" s="2"/>
      <c r="G354" s="2"/>
      <c r="H354" s="2" t="str">
        <f t="shared" si="29"/>
        <v>_</v>
      </c>
      <c r="I354" s="2"/>
      <c r="J354" s="2"/>
      <c r="K354" s="2"/>
      <c r="L354" s="2" t="str">
        <f t="shared" si="30"/>
        <v>_</v>
      </c>
      <c r="M354" s="2"/>
      <c r="N354" s="2">
        <f>IF(ISBLANK(Table2[[#This Row],[ActualResult]]), 0, 1)</f>
        <v>0</v>
      </c>
      <c r="O354" s="2" t="str">
        <f>IF(ISBLANK(Table2[[#This Row],[ActualResult]]), "_", IF(Table2[[#This Row],[ActualWinner]]=Table2[[#This Row],[PredictedWinner]], "Y", "N"))</f>
        <v>_</v>
      </c>
      <c r="P3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4" s="2"/>
      <c r="S354" s="2" t="str">
        <f t="shared" si="31"/>
        <v>_</v>
      </c>
      <c r="T3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4" s="2">
        <f>IF(Table2[[#This Row],[InterConf]]=1,IF(Table2[[#This Row],[InterDiv]]=0, 1, 0), 0)</f>
        <v>0</v>
      </c>
      <c r="W3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4" s="2"/>
      <c r="Y354" s="2"/>
      <c r="Z354" s="145">
        <f>IF(AND(Table2[[#This Row],[GameIsOver]]=1,Table2[[#This Row],[ActualHomeScore]]*Table2[[#This Row],[ActualAwayScore]]=0), 1,0)</f>
        <v>0</v>
      </c>
      <c r="AA3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54" s="2">
        <f>Table2[[#This Row],[ActualAwayScore]]-Table2[[#This Row],[PredictedAwayScore]]</f>
        <v>0</v>
      </c>
      <c r="AG354" s="2">
        <f>Table2[[#This Row],[ActualHomeScore]]-Table2[[#This Row],[PredictedHomeScore]]</f>
        <v>0</v>
      </c>
      <c r="AH354" s="2">
        <f t="shared" si="32"/>
        <v>0</v>
      </c>
      <c r="AI354" s="2">
        <f t="shared" si="33"/>
        <v>0</v>
      </c>
      <c r="AJ354" s="2"/>
      <c r="AK354" s="2"/>
      <c r="AL354" s="2">
        <f>IF(Table2[[#This Row],[GameIsOver]]=0,0,IF(Table2[[#This Row],[ActualWinner]]=Table2[[#This Row],[AwayTeam]], 1, 0))</f>
        <v>0</v>
      </c>
      <c r="AM354" s="2">
        <f>IF(Table2[[#This Row],[GameIsOver]]=0,0,IF(Table2[[#This Row],[ActualWinner]]=Table2[[#This Row],[HomeTeam]], 1, 0))</f>
        <v>0</v>
      </c>
      <c r="AN3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4" s="2" t="str">
        <f>INDEX(Sheet5!$B$2:$AG$33, MATCH(Table2[[#This Row],[AwayTeam]],Sheet5!$A$2:$A$33, 0), MATCH(Table2[[#This Row],[HomeTeam]],Sheet5!$A$2:$A$33, 0))</f>
        <v>0-1-0</v>
      </c>
      <c r="AP354" s="2" t="str">
        <f>INDEX(Sheet5!$B$2:$AG$33, MATCH(Table2[[#This Row],[HomeTeam]],Sheet5!$A$2:$A$33, 0), MATCH(Table2[[#This Row],[AwayTeam]],Sheet5!$A$2:$A$33, 0))</f>
        <v>1-0-0</v>
      </c>
      <c r="AQ354" s="2">
        <f>IF(Table2[[#This Row],[GameHasShutOut]], 1, 0)</f>
        <v>0</v>
      </c>
      <c r="AR354" s="2">
        <f>IF(Table2[[#This Row],[ActualAwayScore]] + Table2[[#This Row],[ActualHomeScore]] &gt;= 10, 1, 0)</f>
        <v>0</v>
      </c>
      <c r="AS354" s="2">
        <f>IF(ABS(Table2[[#This Row],[ActualAwayScore]]-Table2[[#This Row],[ActualHomeScore]])&gt;=5, 1, 0)</f>
        <v>0</v>
      </c>
      <c r="AT354" s="2">
        <f>IF(Table2[[#This Row],[ActualAwayScore]] + Table2[[#This Row],[ActualHomeScore]] &lt;= 3, 1, 0)</f>
        <v>1</v>
      </c>
      <c r="AU354" s="2"/>
      <c r="AV354" s="2"/>
    </row>
    <row r="355" spans="1:48" x14ac:dyDescent="0.25">
      <c r="A355" s="3"/>
      <c r="B355" s="3">
        <v>45986</v>
      </c>
      <c r="C355" s="5">
        <v>2025020353</v>
      </c>
      <c r="D355" s="2" t="s">
        <v>42</v>
      </c>
      <c r="E355" s="2" t="s">
        <v>40</v>
      </c>
      <c r="F355" s="2"/>
      <c r="G355" s="2"/>
      <c r="H355" s="2" t="str">
        <f t="shared" si="29"/>
        <v>_</v>
      </c>
      <c r="I355" s="2"/>
      <c r="J355" s="2"/>
      <c r="K355" s="2"/>
      <c r="L355" s="2" t="str">
        <f t="shared" si="30"/>
        <v>_</v>
      </c>
      <c r="M355" s="2"/>
      <c r="N355" s="2">
        <f>IF(ISBLANK(Table2[[#This Row],[ActualResult]]), 0, 1)</f>
        <v>0</v>
      </c>
      <c r="O355" s="2" t="str">
        <f>IF(ISBLANK(Table2[[#This Row],[ActualResult]]), "_", IF(Table2[[#This Row],[ActualWinner]]=Table2[[#This Row],[PredictedWinner]], "Y", "N"))</f>
        <v>_</v>
      </c>
      <c r="P3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5" s="2"/>
      <c r="S355" s="2" t="str">
        <f t="shared" si="31"/>
        <v>_</v>
      </c>
      <c r="T3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5" s="2">
        <f>IF(Table2[[#This Row],[InterConf]]=1,IF(Table2[[#This Row],[InterDiv]]=0, 1, 0), 0)</f>
        <v>1</v>
      </c>
      <c r="W3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5" s="2"/>
      <c r="Y355" s="2"/>
      <c r="Z355" s="145">
        <f>IF(AND(Table2[[#This Row],[GameIsOver]]=1,Table2[[#This Row],[ActualHomeScore]]*Table2[[#This Row],[ActualAwayScore]]=0), 1,0)</f>
        <v>0</v>
      </c>
      <c r="AA3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5" s="2">
        <f>Table2[[#This Row],[ActualAwayScore]]-Table2[[#This Row],[PredictedAwayScore]]</f>
        <v>0</v>
      </c>
      <c r="AG355" s="2">
        <f>Table2[[#This Row],[ActualHomeScore]]-Table2[[#This Row],[PredictedHomeScore]]</f>
        <v>0</v>
      </c>
      <c r="AH355" s="2">
        <f t="shared" si="32"/>
        <v>0</v>
      </c>
      <c r="AI355" s="2">
        <f t="shared" si="33"/>
        <v>0</v>
      </c>
      <c r="AJ355" s="2"/>
      <c r="AK355" s="2"/>
      <c r="AL355" s="2">
        <f>IF(Table2[[#This Row],[GameIsOver]]=0,0,IF(Table2[[#This Row],[ActualWinner]]=Table2[[#This Row],[AwayTeam]], 1, 0))</f>
        <v>0</v>
      </c>
      <c r="AM355" s="2">
        <f>IF(Table2[[#This Row],[GameIsOver]]=0,0,IF(Table2[[#This Row],[ActualWinner]]=Table2[[#This Row],[HomeTeam]], 1, 0))</f>
        <v>0</v>
      </c>
      <c r="AN3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5" s="2" t="str">
        <f>INDEX(Sheet5!$B$2:$AG$33, MATCH(Table2[[#This Row],[AwayTeam]],Sheet5!$A$2:$A$33, 0), MATCH(Table2[[#This Row],[HomeTeam]],Sheet5!$A$2:$A$33, 0))</f>
        <v>0-0-0</v>
      </c>
      <c r="AP355" s="2" t="str">
        <f>INDEX(Sheet5!$B$2:$AG$33, MATCH(Table2[[#This Row],[HomeTeam]],Sheet5!$A$2:$A$33, 0), MATCH(Table2[[#This Row],[AwayTeam]],Sheet5!$A$2:$A$33, 0))</f>
        <v>0-0-0</v>
      </c>
      <c r="AQ355" s="2">
        <f>IF(Table2[[#This Row],[GameHasShutOut]], 1, 0)</f>
        <v>0</v>
      </c>
      <c r="AR355" s="2">
        <f>IF(Table2[[#This Row],[ActualAwayScore]] + Table2[[#This Row],[ActualHomeScore]] &gt;= 10, 1, 0)</f>
        <v>0</v>
      </c>
      <c r="AS355" s="2">
        <f>IF(ABS(Table2[[#This Row],[ActualAwayScore]]-Table2[[#This Row],[ActualHomeScore]])&gt;=5, 1, 0)</f>
        <v>0</v>
      </c>
      <c r="AT355" s="2">
        <f>IF(Table2[[#This Row],[ActualAwayScore]] + Table2[[#This Row],[ActualHomeScore]] &lt;= 3, 1, 0)</f>
        <v>1</v>
      </c>
      <c r="AU355" s="2"/>
      <c r="AV355" s="2"/>
    </row>
    <row r="356" spans="1:48" x14ac:dyDescent="0.25">
      <c r="A356" s="3"/>
      <c r="B356" s="3">
        <v>45986</v>
      </c>
      <c r="C356" s="5">
        <v>2025020354</v>
      </c>
      <c r="D356" s="2" t="s">
        <v>30</v>
      </c>
      <c r="E356" s="2" t="s">
        <v>31</v>
      </c>
      <c r="F356" s="2"/>
      <c r="G356" s="2"/>
      <c r="H356" s="2" t="str">
        <f t="shared" si="29"/>
        <v>_</v>
      </c>
      <c r="I356" s="2"/>
      <c r="J356" s="2"/>
      <c r="K356" s="2"/>
      <c r="L356" s="2" t="str">
        <f t="shared" si="30"/>
        <v>_</v>
      </c>
      <c r="M356" s="2"/>
      <c r="N356" s="2">
        <f>IF(ISBLANK(Table2[[#This Row],[ActualResult]]), 0, 1)</f>
        <v>0</v>
      </c>
      <c r="O356" s="2" t="str">
        <f>IF(ISBLANK(Table2[[#This Row],[ActualResult]]), "_", IF(Table2[[#This Row],[ActualWinner]]=Table2[[#This Row],[PredictedWinner]], "Y", "N"))</f>
        <v>_</v>
      </c>
      <c r="P3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6" s="2"/>
      <c r="S356" s="2" t="str">
        <f t="shared" si="31"/>
        <v>_</v>
      </c>
      <c r="T3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6" s="2">
        <f>IF(Table2[[#This Row],[InterConf]]=1,IF(Table2[[#This Row],[InterDiv]]=0, 1, 0), 0)</f>
        <v>1</v>
      </c>
      <c r="W3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6" s="2"/>
      <c r="Y356" s="2"/>
      <c r="Z356" s="145">
        <f>IF(AND(Table2[[#This Row],[GameIsOver]]=1,Table2[[#This Row],[ActualHomeScore]]*Table2[[#This Row],[ActualAwayScore]]=0), 1,0)</f>
        <v>0</v>
      </c>
      <c r="AA3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6" s="2">
        <f>Table2[[#This Row],[ActualAwayScore]]-Table2[[#This Row],[PredictedAwayScore]]</f>
        <v>0</v>
      </c>
      <c r="AG356" s="2">
        <f>Table2[[#This Row],[ActualHomeScore]]-Table2[[#This Row],[PredictedHomeScore]]</f>
        <v>0</v>
      </c>
      <c r="AH356" s="2">
        <f t="shared" si="32"/>
        <v>0</v>
      </c>
      <c r="AI356" s="2">
        <f t="shared" si="33"/>
        <v>0</v>
      </c>
      <c r="AJ356" s="2"/>
      <c r="AK356" s="2"/>
      <c r="AL356" s="2">
        <f>IF(Table2[[#This Row],[GameIsOver]]=0,0,IF(Table2[[#This Row],[ActualWinner]]=Table2[[#This Row],[AwayTeam]], 1, 0))</f>
        <v>0</v>
      </c>
      <c r="AM356" s="2">
        <f>IF(Table2[[#This Row],[GameIsOver]]=0,0,IF(Table2[[#This Row],[ActualWinner]]=Table2[[#This Row],[HomeTeam]], 1, 0))</f>
        <v>0</v>
      </c>
      <c r="AN3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6" s="2" t="str">
        <f>INDEX(Sheet5!$B$2:$AG$33, MATCH(Table2[[#This Row],[AwayTeam]],Sheet5!$A$2:$A$33, 0), MATCH(Table2[[#This Row],[HomeTeam]],Sheet5!$A$2:$A$33, 0))</f>
        <v>0-0-0</v>
      </c>
      <c r="AP356" s="2" t="str">
        <f>INDEX(Sheet5!$B$2:$AG$33, MATCH(Table2[[#This Row],[HomeTeam]],Sheet5!$A$2:$A$33, 0), MATCH(Table2[[#This Row],[AwayTeam]],Sheet5!$A$2:$A$33, 0))</f>
        <v>0-0-0</v>
      </c>
      <c r="AQ356" s="2">
        <f>IF(Table2[[#This Row],[GameHasShutOut]], 1, 0)</f>
        <v>0</v>
      </c>
      <c r="AR356" s="2">
        <f>IF(Table2[[#This Row],[ActualAwayScore]] + Table2[[#This Row],[ActualHomeScore]] &gt;= 10, 1, 0)</f>
        <v>0</v>
      </c>
      <c r="AS356" s="2">
        <f>IF(ABS(Table2[[#This Row],[ActualAwayScore]]-Table2[[#This Row],[ActualHomeScore]])&gt;=5, 1, 0)</f>
        <v>0</v>
      </c>
      <c r="AT356" s="2">
        <f>IF(Table2[[#This Row],[ActualAwayScore]] + Table2[[#This Row],[ActualHomeScore]] &lt;= 3, 1, 0)</f>
        <v>1</v>
      </c>
      <c r="AU356" s="2"/>
      <c r="AV356" s="2"/>
    </row>
    <row r="357" spans="1:48" x14ac:dyDescent="0.25">
      <c r="A357" s="3"/>
      <c r="B357" s="3">
        <v>45986</v>
      </c>
      <c r="C357" s="5">
        <v>2025020355</v>
      </c>
      <c r="D357" s="2" t="s">
        <v>12</v>
      </c>
      <c r="E357" s="2" t="s">
        <v>19</v>
      </c>
      <c r="F357" s="2"/>
      <c r="G357" s="2"/>
      <c r="H357" s="2" t="str">
        <f t="shared" si="29"/>
        <v>_</v>
      </c>
      <c r="I357" s="2"/>
      <c r="J357" s="2"/>
      <c r="K357" s="2"/>
      <c r="L357" s="2" t="str">
        <f t="shared" si="30"/>
        <v>_</v>
      </c>
      <c r="M357" s="2"/>
      <c r="N357" s="2">
        <f>IF(ISBLANK(Table2[[#This Row],[ActualResult]]), 0, 1)</f>
        <v>0</v>
      </c>
      <c r="O357" s="2" t="str">
        <f>IF(ISBLANK(Table2[[#This Row],[ActualResult]]), "_", IF(Table2[[#This Row],[ActualWinner]]=Table2[[#This Row],[PredictedWinner]], "Y", "N"))</f>
        <v>_</v>
      </c>
      <c r="P3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7" s="2"/>
      <c r="S357" s="2" t="str">
        <f t="shared" si="31"/>
        <v>_</v>
      </c>
      <c r="T3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7" s="2">
        <f>IF(Table2[[#This Row],[InterConf]]=1,IF(Table2[[#This Row],[InterDiv]]=0, 1, 0), 0)</f>
        <v>0</v>
      </c>
      <c r="W3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7" s="2"/>
      <c r="Y357" s="2"/>
      <c r="Z357" s="145">
        <f>IF(AND(Table2[[#This Row],[GameIsOver]]=1,Table2[[#This Row],[ActualHomeScore]]*Table2[[#This Row],[ActualAwayScore]]=0), 1,0)</f>
        <v>0</v>
      </c>
      <c r="AA3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7" s="2">
        <f>Table2[[#This Row],[ActualAwayScore]]-Table2[[#This Row],[PredictedAwayScore]]</f>
        <v>0</v>
      </c>
      <c r="AG357" s="2">
        <f>Table2[[#This Row],[ActualHomeScore]]-Table2[[#This Row],[PredictedHomeScore]]</f>
        <v>0</v>
      </c>
      <c r="AH357" s="2">
        <f t="shared" si="32"/>
        <v>0</v>
      </c>
      <c r="AI357" s="2">
        <f t="shared" si="33"/>
        <v>0</v>
      </c>
      <c r="AJ357" s="2"/>
      <c r="AK357" s="2"/>
      <c r="AL357" s="2">
        <f>IF(Table2[[#This Row],[GameIsOver]]=0,0,IF(Table2[[#This Row],[ActualWinner]]=Table2[[#This Row],[AwayTeam]], 1, 0))</f>
        <v>0</v>
      </c>
      <c r="AM357" s="2">
        <f>IF(Table2[[#This Row],[GameIsOver]]=0,0,IF(Table2[[#This Row],[ActualWinner]]=Table2[[#This Row],[HomeTeam]], 1, 0))</f>
        <v>0</v>
      </c>
      <c r="AN3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7" s="2" t="str">
        <f>INDEX(Sheet5!$B$2:$AG$33, MATCH(Table2[[#This Row],[AwayTeam]],Sheet5!$A$2:$A$33, 0), MATCH(Table2[[#This Row],[HomeTeam]],Sheet5!$A$2:$A$33, 0))</f>
        <v>0-0-0</v>
      </c>
      <c r="AP357" s="2" t="str">
        <f>INDEX(Sheet5!$B$2:$AG$33, MATCH(Table2[[#This Row],[HomeTeam]],Sheet5!$A$2:$A$33, 0), MATCH(Table2[[#This Row],[AwayTeam]],Sheet5!$A$2:$A$33, 0))</f>
        <v>0-0-0</v>
      </c>
      <c r="AQ357" s="2">
        <f>IF(Table2[[#This Row],[GameHasShutOut]], 1, 0)</f>
        <v>0</v>
      </c>
      <c r="AR357" s="2">
        <f>IF(Table2[[#This Row],[ActualAwayScore]] + Table2[[#This Row],[ActualHomeScore]] &gt;= 10, 1, 0)</f>
        <v>0</v>
      </c>
      <c r="AS357" s="2">
        <f>IF(ABS(Table2[[#This Row],[ActualAwayScore]]-Table2[[#This Row],[ActualHomeScore]])&gt;=5, 1, 0)</f>
        <v>0</v>
      </c>
      <c r="AT357" s="2">
        <f>IF(Table2[[#This Row],[ActualAwayScore]] + Table2[[#This Row],[ActualHomeScore]] &lt;= 3, 1, 0)</f>
        <v>1</v>
      </c>
      <c r="AU357" s="2"/>
      <c r="AV357" s="2"/>
    </row>
    <row r="358" spans="1:48" x14ac:dyDescent="0.25">
      <c r="A358" s="3"/>
      <c r="B358" s="3">
        <v>45986</v>
      </c>
      <c r="C358" s="5">
        <v>2025020356</v>
      </c>
      <c r="D358" s="2" t="s">
        <v>35</v>
      </c>
      <c r="E358" s="2" t="s">
        <v>43</v>
      </c>
      <c r="F358" s="2"/>
      <c r="G358" s="2"/>
      <c r="H358" s="2" t="str">
        <f t="shared" si="29"/>
        <v>_</v>
      </c>
      <c r="I358" s="2"/>
      <c r="J358" s="2"/>
      <c r="K358" s="2"/>
      <c r="L358" s="2" t="str">
        <f t="shared" si="30"/>
        <v>_</v>
      </c>
      <c r="M358" s="2"/>
      <c r="N358" s="2">
        <f>IF(ISBLANK(Table2[[#This Row],[ActualResult]]), 0, 1)</f>
        <v>0</v>
      </c>
      <c r="O358" s="2" t="str">
        <f>IF(ISBLANK(Table2[[#This Row],[ActualResult]]), "_", IF(Table2[[#This Row],[ActualWinner]]=Table2[[#This Row],[PredictedWinner]], "Y", "N"))</f>
        <v>_</v>
      </c>
      <c r="P3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8" s="2"/>
      <c r="S358" s="2" t="str">
        <f t="shared" si="31"/>
        <v>_</v>
      </c>
      <c r="T3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8" s="2">
        <f>IF(Table2[[#This Row],[InterConf]]=1,IF(Table2[[#This Row],[InterDiv]]=0, 1, 0), 0)</f>
        <v>0</v>
      </c>
      <c r="W3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8" s="2"/>
      <c r="Y358" s="2"/>
      <c r="Z358" s="145">
        <f>IF(AND(Table2[[#This Row],[GameIsOver]]=1,Table2[[#This Row],[ActualHomeScore]]*Table2[[#This Row],[ActualAwayScore]]=0), 1,0)</f>
        <v>0</v>
      </c>
      <c r="AA3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8" s="2">
        <f>Table2[[#This Row],[ActualAwayScore]]-Table2[[#This Row],[PredictedAwayScore]]</f>
        <v>0</v>
      </c>
      <c r="AG358" s="2">
        <f>Table2[[#This Row],[ActualHomeScore]]-Table2[[#This Row],[PredictedHomeScore]]</f>
        <v>0</v>
      </c>
      <c r="AH358" s="2">
        <f t="shared" si="32"/>
        <v>0</v>
      </c>
      <c r="AI358" s="2">
        <f t="shared" si="33"/>
        <v>0</v>
      </c>
      <c r="AJ358" s="2"/>
      <c r="AK358" s="2"/>
      <c r="AL358" s="2">
        <f>IF(Table2[[#This Row],[GameIsOver]]=0,0,IF(Table2[[#This Row],[ActualWinner]]=Table2[[#This Row],[AwayTeam]], 1, 0))</f>
        <v>0</v>
      </c>
      <c r="AM358" s="2">
        <f>IF(Table2[[#This Row],[GameIsOver]]=0,0,IF(Table2[[#This Row],[ActualWinner]]=Table2[[#This Row],[HomeTeam]], 1, 0))</f>
        <v>0</v>
      </c>
      <c r="AN3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8" s="2" t="str">
        <f>INDEX(Sheet5!$B$2:$AG$33, MATCH(Table2[[#This Row],[AwayTeam]],Sheet5!$A$2:$A$33, 0), MATCH(Table2[[#This Row],[HomeTeam]],Sheet5!$A$2:$A$33, 0))</f>
        <v>0-0-0</v>
      </c>
      <c r="AP358" s="2" t="str">
        <f>INDEX(Sheet5!$B$2:$AG$33, MATCH(Table2[[#This Row],[HomeTeam]],Sheet5!$A$2:$A$33, 0), MATCH(Table2[[#This Row],[AwayTeam]],Sheet5!$A$2:$A$33, 0))</f>
        <v>0-0-0</v>
      </c>
      <c r="AQ358" s="2">
        <f>IF(Table2[[#This Row],[GameHasShutOut]], 1, 0)</f>
        <v>0</v>
      </c>
      <c r="AR358" s="2">
        <f>IF(Table2[[#This Row],[ActualAwayScore]] + Table2[[#This Row],[ActualHomeScore]] &gt;= 10, 1, 0)</f>
        <v>0</v>
      </c>
      <c r="AS358" s="2">
        <f>IF(ABS(Table2[[#This Row],[ActualAwayScore]]-Table2[[#This Row],[ActualHomeScore]])&gt;=5, 1, 0)</f>
        <v>0</v>
      </c>
      <c r="AT358" s="2">
        <f>IF(Table2[[#This Row],[ActualAwayScore]] + Table2[[#This Row],[ActualHomeScore]] &lt;= 3, 1, 0)</f>
        <v>1</v>
      </c>
      <c r="AU358" s="2"/>
      <c r="AV358" s="2"/>
    </row>
    <row r="359" spans="1:48" x14ac:dyDescent="0.25">
      <c r="A359" s="3"/>
      <c r="B359" s="3">
        <v>45986</v>
      </c>
      <c r="C359" s="5">
        <v>2025020357</v>
      </c>
      <c r="D359" s="2" t="s">
        <v>13</v>
      </c>
      <c r="E359" s="2" t="s">
        <v>34</v>
      </c>
      <c r="F359" s="2"/>
      <c r="G359" s="2"/>
      <c r="H359" s="2" t="str">
        <f t="shared" si="29"/>
        <v>_</v>
      </c>
      <c r="I359" s="2"/>
      <c r="J359" s="2"/>
      <c r="K359" s="2"/>
      <c r="L359" s="2" t="str">
        <f t="shared" si="30"/>
        <v>_</v>
      </c>
      <c r="M359" s="2"/>
      <c r="N359" s="2">
        <f>IF(ISBLANK(Table2[[#This Row],[ActualResult]]), 0, 1)</f>
        <v>0</v>
      </c>
      <c r="O359" s="2" t="str">
        <f>IF(ISBLANK(Table2[[#This Row],[ActualResult]]), "_", IF(Table2[[#This Row],[ActualWinner]]=Table2[[#This Row],[PredictedWinner]], "Y", "N"))</f>
        <v>_</v>
      </c>
      <c r="P3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9" s="2"/>
      <c r="S359" s="2" t="str">
        <f t="shared" si="31"/>
        <v>_</v>
      </c>
      <c r="T3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9" s="2">
        <f>IF(Table2[[#This Row],[InterConf]]=1,IF(Table2[[#This Row],[InterDiv]]=0, 1, 0), 0)</f>
        <v>0</v>
      </c>
      <c r="W3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9" s="2"/>
      <c r="Y359" s="2"/>
      <c r="Z359" s="145">
        <f>IF(AND(Table2[[#This Row],[GameIsOver]]=1,Table2[[#This Row],[ActualHomeScore]]*Table2[[#This Row],[ActualAwayScore]]=0), 1,0)</f>
        <v>0</v>
      </c>
      <c r="AA3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9" s="2">
        <f>Table2[[#This Row],[ActualAwayScore]]-Table2[[#This Row],[PredictedAwayScore]]</f>
        <v>0</v>
      </c>
      <c r="AG359" s="2">
        <f>Table2[[#This Row],[ActualHomeScore]]-Table2[[#This Row],[PredictedHomeScore]]</f>
        <v>0</v>
      </c>
      <c r="AH359" s="2">
        <f t="shared" si="32"/>
        <v>0</v>
      </c>
      <c r="AI359" s="2">
        <f t="shared" si="33"/>
        <v>0</v>
      </c>
      <c r="AJ359" s="2"/>
      <c r="AK359" s="2"/>
      <c r="AL359" s="2">
        <f>IF(Table2[[#This Row],[GameIsOver]]=0,0,IF(Table2[[#This Row],[ActualWinner]]=Table2[[#This Row],[AwayTeam]], 1, 0))</f>
        <v>0</v>
      </c>
      <c r="AM359" s="2">
        <f>IF(Table2[[#This Row],[GameIsOver]]=0,0,IF(Table2[[#This Row],[ActualWinner]]=Table2[[#This Row],[HomeTeam]], 1, 0))</f>
        <v>0</v>
      </c>
      <c r="AN3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9" s="2" t="str">
        <f>INDEX(Sheet5!$B$2:$AG$33, MATCH(Table2[[#This Row],[AwayTeam]],Sheet5!$A$2:$A$33, 0), MATCH(Table2[[#This Row],[HomeTeam]],Sheet5!$A$2:$A$33, 0))</f>
        <v>0-0-0</v>
      </c>
      <c r="AP359" s="2" t="str">
        <f>INDEX(Sheet5!$B$2:$AG$33, MATCH(Table2[[#This Row],[HomeTeam]],Sheet5!$A$2:$A$33, 0), MATCH(Table2[[#This Row],[AwayTeam]],Sheet5!$A$2:$A$33, 0))</f>
        <v>0-0-0</v>
      </c>
      <c r="AQ359" s="2">
        <f>IF(Table2[[#This Row],[GameHasShutOut]], 1, 0)</f>
        <v>0</v>
      </c>
      <c r="AR359" s="2">
        <f>IF(Table2[[#This Row],[ActualAwayScore]] + Table2[[#This Row],[ActualHomeScore]] &gt;= 10, 1, 0)</f>
        <v>0</v>
      </c>
      <c r="AS359" s="2">
        <f>IF(ABS(Table2[[#This Row],[ActualAwayScore]]-Table2[[#This Row],[ActualHomeScore]])&gt;=5, 1, 0)</f>
        <v>0</v>
      </c>
      <c r="AT359" s="2">
        <f>IF(Table2[[#This Row],[ActualAwayScore]] + Table2[[#This Row],[ActualHomeScore]] &lt;= 3, 1, 0)</f>
        <v>1</v>
      </c>
      <c r="AU359" s="2"/>
      <c r="AV359" s="2"/>
    </row>
    <row r="360" spans="1:48" x14ac:dyDescent="0.25">
      <c r="A360" s="3"/>
      <c r="B360" s="3">
        <v>45986</v>
      </c>
      <c r="C360" s="5">
        <v>2025020358</v>
      </c>
      <c r="D360" s="2" t="s">
        <v>26</v>
      </c>
      <c r="E360" s="2" t="s">
        <v>14</v>
      </c>
      <c r="F360" s="2"/>
      <c r="G360" s="2"/>
      <c r="H360" s="2" t="str">
        <f t="shared" si="29"/>
        <v>_</v>
      </c>
      <c r="I360" s="2"/>
      <c r="J360" s="2"/>
      <c r="K360" s="2"/>
      <c r="L360" s="2" t="str">
        <f t="shared" si="30"/>
        <v>_</v>
      </c>
      <c r="M360" s="2"/>
      <c r="N360" s="2">
        <f>IF(ISBLANK(Table2[[#This Row],[ActualResult]]), 0, 1)</f>
        <v>0</v>
      </c>
      <c r="O360" s="2" t="str">
        <f>IF(ISBLANK(Table2[[#This Row],[ActualResult]]), "_", IF(Table2[[#This Row],[ActualWinner]]=Table2[[#This Row],[PredictedWinner]], "Y", "N"))</f>
        <v>_</v>
      </c>
      <c r="P3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0" s="2"/>
      <c r="S360" s="2" t="str">
        <f t="shared" si="31"/>
        <v>_</v>
      </c>
      <c r="T3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0" s="2">
        <f>IF(Table2[[#This Row],[InterConf]]=1,IF(Table2[[#This Row],[InterDiv]]=0, 1, 0), 0)</f>
        <v>1</v>
      </c>
      <c r="W3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0" s="2"/>
      <c r="Y360" s="2"/>
      <c r="Z360" s="145">
        <f>IF(AND(Table2[[#This Row],[GameIsOver]]=1,Table2[[#This Row],[ActualHomeScore]]*Table2[[#This Row],[ActualAwayScore]]=0), 1,0)</f>
        <v>0</v>
      </c>
      <c r="AA3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60" s="2">
        <f>Table2[[#This Row],[ActualAwayScore]]-Table2[[#This Row],[PredictedAwayScore]]</f>
        <v>0</v>
      </c>
      <c r="AG360" s="2">
        <f>Table2[[#This Row],[ActualHomeScore]]-Table2[[#This Row],[PredictedHomeScore]]</f>
        <v>0</v>
      </c>
      <c r="AH360" s="2">
        <f t="shared" si="32"/>
        <v>0</v>
      </c>
      <c r="AI360" s="2">
        <f t="shared" si="33"/>
        <v>0</v>
      </c>
      <c r="AJ360" s="2"/>
      <c r="AK360" s="2"/>
      <c r="AL360" s="2">
        <f>IF(Table2[[#This Row],[GameIsOver]]=0,0,IF(Table2[[#This Row],[ActualWinner]]=Table2[[#This Row],[AwayTeam]], 1, 0))</f>
        <v>0</v>
      </c>
      <c r="AM360" s="2">
        <f>IF(Table2[[#This Row],[GameIsOver]]=0,0,IF(Table2[[#This Row],[ActualWinner]]=Table2[[#This Row],[HomeTeam]], 1, 0))</f>
        <v>0</v>
      </c>
      <c r="AN3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0" s="2" t="str">
        <f>INDEX(Sheet5!$B$2:$AG$33, MATCH(Table2[[#This Row],[AwayTeam]],Sheet5!$A$2:$A$33, 0), MATCH(Table2[[#This Row],[HomeTeam]],Sheet5!$A$2:$A$33, 0))</f>
        <v>0-0-0</v>
      </c>
      <c r="AP360" s="2" t="str">
        <f>INDEX(Sheet5!$B$2:$AG$33, MATCH(Table2[[#This Row],[HomeTeam]],Sheet5!$A$2:$A$33, 0), MATCH(Table2[[#This Row],[AwayTeam]],Sheet5!$A$2:$A$33, 0))</f>
        <v>0-0-0</v>
      </c>
      <c r="AQ360" s="2">
        <f>IF(Table2[[#This Row],[GameHasShutOut]], 1, 0)</f>
        <v>0</v>
      </c>
      <c r="AR360" s="2">
        <f>IF(Table2[[#This Row],[ActualAwayScore]] + Table2[[#This Row],[ActualHomeScore]] &gt;= 10, 1, 0)</f>
        <v>0</v>
      </c>
      <c r="AS360" s="2">
        <f>IF(ABS(Table2[[#This Row],[ActualAwayScore]]-Table2[[#This Row],[ActualHomeScore]])&gt;=5, 1, 0)</f>
        <v>0</v>
      </c>
      <c r="AT360" s="2">
        <f>IF(Table2[[#This Row],[ActualAwayScore]] + Table2[[#This Row],[ActualHomeScore]] &lt;= 3, 1, 0)</f>
        <v>1</v>
      </c>
      <c r="AU360" s="2"/>
      <c r="AV360" s="2"/>
    </row>
    <row r="361" spans="1:48" x14ac:dyDescent="0.25">
      <c r="A361" s="3"/>
      <c r="B361" s="3">
        <v>45986</v>
      </c>
      <c r="C361" s="5">
        <v>2025020359</v>
      </c>
      <c r="D361" s="2" t="s">
        <v>29</v>
      </c>
      <c r="E361" s="2" t="s">
        <v>27</v>
      </c>
      <c r="F361" s="2"/>
      <c r="G361" s="2"/>
      <c r="H361" s="2" t="str">
        <f t="shared" si="29"/>
        <v>_</v>
      </c>
      <c r="I361" s="2"/>
      <c r="J361" s="2"/>
      <c r="K361" s="2"/>
      <c r="L361" s="2" t="str">
        <f t="shared" si="30"/>
        <v>_</v>
      </c>
      <c r="M361" s="2"/>
      <c r="N361" s="2">
        <f>IF(ISBLANK(Table2[[#This Row],[ActualResult]]), 0, 1)</f>
        <v>0</v>
      </c>
      <c r="O361" s="2" t="str">
        <f>IF(ISBLANK(Table2[[#This Row],[ActualResult]]), "_", IF(Table2[[#This Row],[ActualWinner]]=Table2[[#This Row],[PredictedWinner]], "Y", "N"))</f>
        <v>_</v>
      </c>
      <c r="P3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1" s="2"/>
      <c r="S361" s="2" t="str">
        <f t="shared" si="31"/>
        <v>_</v>
      </c>
      <c r="T3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1" s="2">
        <f>IF(Table2[[#This Row],[InterConf]]=1,IF(Table2[[#This Row],[InterDiv]]=0, 1, 0), 0)</f>
        <v>0</v>
      </c>
      <c r="W3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1" s="2"/>
      <c r="Y361" s="2"/>
      <c r="Z361" s="145">
        <f>IF(AND(Table2[[#This Row],[GameIsOver]]=1,Table2[[#This Row],[ActualHomeScore]]*Table2[[#This Row],[ActualAwayScore]]=0), 1,0)</f>
        <v>0</v>
      </c>
      <c r="AA3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61" s="2">
        <f>Table2[[#This Row],[ActualAwayScore]]-Table2[[#This Row],[PredictedAwayScore]]</f>
        <v>0</v>
      </c>
      <c r="AG361" s="2">
        <f>Table2[[#This Row],[ActualHomeScore]]-Table2[[#This Row],[PredictedHomeScore]]</f>
        <v>0</v>
      </c>
      <c r="AH361" s="2">
        <f t="shared" si="32"/>
        <v>0</v>
      </c>
      <c r="AI361" s="2">
        <f t="shared" si="33"/>
        <v>0</v>
      </c>
      <c r="AJ361" s="2"/>
      <c r="AK361" s="2"/>
      <c r="AL361" s="2">
        <f>IF(Table2[[#This Row],[GameIsOver]]=0,0,IF(Table2[[#This Row],[ActualWinner]]=Table2[[#This Row],[AwayTeam]], 1, 0))</f>
        <v>0</v>
      </c>
      <c r="AM361" s="2">
        <f>IF(Table2[[#This Row],[GameIsOver]]=0,0,IF(Table2[[#This Row],[ActualWinner]]=Table2[[#This Row],[HomeTeam]], 1, 0))</f>
        <v>0</v>
      </c>
      <c r="AN361" s="2">
        <f>IF(IFERROR(FIND(Table2[[#This Row],[AwayTeam]], _xlfn.TEXTJOIN(";", 1, $BD$31:$BD$40)), 0) &gt; 0, 1, 0) + IF(IFERROR(FIND(Table2[[#This Row],[HomeTeam]], _xlfn.TEXTJOIN(";", 1, $BD$31:$BD$40)), 0) &gt; 0, 1, 0)</f>
        <v>1</v>
      </c>
      <c r="AO361" s="2" t="str">
        <f>INDEX(Sheet5!$B$2:$AG$33, MATCH(Table2[[#This Row],[AwayTeam]],Sheet5!$A$2:$A$33, 0), MATCH(Table2[[#This Row],[HomeTeam]],Sheet5!$A$2:$A$33, 0))</f>
        <v>0-0-0</v>
      </c>
      <c r="AP361" s="2" t="str">
        <f>INDEX(Sheet5!$B$2:$AG$33, MATCH(Table2[[#This Row],[HomeTeam]],Sheet5!$A$2:$A$33, 0), MATCH(Table2[[#This Row],[AwayTeam]],Sheet5!$A$2:$A$33, 0))</f>
        <v>0-0-0</v>
      </c>
      <c r="AQ361" s="2">
        <f>IF(Table2[[#This Row],[GameHasShutOut]], 1, 0)</f>
        <v>0</v>
      </c>
      <c r="AR361" s="2">
        <f>IF(Table2[[#This Row],[ActualAwayScore]] + Table2[[#This Row],[ActualHomeScore]] &gt;= 10, 1, 0)</f>
        <v>0</v>
      </c>
      <c r="AS361" s="2">
        <f>IF(ABS(Table2[[#This Row],[ActualAwayScore]]-Table2[[#This Row],[ActualHomeScore]])&gt;=5, 1, 0)</f>
        <v>0</v>
      </c>
      <c r="AT361" s="2">
        <f>IF(Table2[[#This Row],[ActualAwayScore]] + Table2[[#This Row],[ActualHomeScore]] &lt;= 3, 1, 0)</f>
        <v>1</v>
      </c>
      <c r="AU361" s="2"/>
      <c r="AV361" s="2"/>
    </row>
    <row r="362" spans="1:48" x14ac:dyDescent="0.25">
      <c r="A362" s="3"/>
      <c r="B362" s="3">
        <v>45987</v>
      </c>
      <c r="C362" s="5">
        <v>2025020360</v>
      </c>
      <c r="D362" s="2" t="s">
        <v>33</v>
      </c>
      <c r="E362" s="2" t="s">
        <v>22</v>
      </c>
      <c r="F362" s="2"/>
      <c r="G362" s="2"/>
      <c r="H362" s="2" t="str">
        <f t="shared" si="29"/>
        <v>_</v>
      </c>
      <c r="I362" s="2"/>
      <c r="J362" s="2"/>
      <c r="K362" s="2"/>
      <c r="L362" s="2" t="str">
        <f t="shared" si="30"/>
        <v>_</v>
      </c>
      <c r="M362" s="2"/>
      <c r="N362" s="2">
        <f>IF(ISBLANK(Table2[[#This Row],[ActualResult]]), 0, 1)</f>
        <v>0</v>
      </c>
      <c r="O362" s="2" t="str">
        <f>IF(ISBLANK(Table2[[#This Row],[ActualResult]]), "_", IF(Table2[[#This Row],[ActualWinner]]=Table2[[#This Row],[PredictedWinner]], "Y", "N"))</f>
        <v>_</v>
      </c>
      <c r="P3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2" s="2"/>
      <c r="S362" s="2" t="str">
        <f t="shared" si="31"/>
        <v>_</v>
      </c>
      <c r="T3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2" s="2">
        <f>IF(Table2[[#This Row],[InterConf]]=1,IF(Table2[[#This Row],[InterDiv]]=0, 1, 0), 0)</f>
        <v>1</v>
      </c>
      <c r="W3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2" s="2"/>
      <c r="Y362" s="2"/>
      <c r="Z362" s="145">
        <f>IF(AND(Table2[[#This Row],[GameIsOver]]=1,Table2[[#This Row],[ActualHomeScore]]*Table2[[#This Row],[ActualAwayScore]]=0), 1,0)</f>
        <v>0</v>
      </c>
      <c r="AA3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62" s="2">
        <f>Table2[[#This Row],[ActualAwayScore]]-Table2[[#This Row],[PredictedAwayScore]]</f>
        <v>0</v>
      </c>
      <c r="AG362" s="2">
        <f>Table2[[#This Row],[ActualHomeScore]]-Table2[[#This Row],[PredictedHomeScore]]</f>
        <v>0</v>
      </c>
      <c r="AH362" s="2">
        <f t="shared" si="32"/>
        <v>0</v>
      </c>
      <c r="AI362" s="2">
        <f t="shared" si="33"/>
        <v>0</v>
      </c>
      <c r="AJ362" s="2"/>
      <c r="AK362" s="2"/>
      <c r="AL362" s="2">
        <f>IF(Table2[[#This Row],[GameIsOver]]=0,0,IF(Table2[[#This Row],[ActualWinner]]=Table2[[#This Row],[AwayTeam]], 1, 0))</f>
        <v>0</v>
      </c>
      <c r="AM362" s="2">
        <f>IF(Table2[[#This Row],[GameIsOver]]=0,0,IF(Table2[[#This Row],[ActualWinner]]=Table2[[#This Row],[HomeTeam]], 1, 0))</f>
        <v>0</v>
      </c>
      <c r="AN3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2" s="2" t="str">
        <f>INDEX(Sheet5!$B$2:$AG$33, MATCH(Table2[[#This Row],[AwayTeam]],Sheet5!$A$2:$A$33, 0), MATCH(Table2[[#This Row],[HomeTeam]],Sheet5!$A$2:$A$33, 0))</f>
        <v>0-0-0</v>
      </c>
      <c r="AP362" s="2" t="str">
        <f>INDEX(Sheet5!$B$2:$AG$33, MATCH(Table2[[#This Row],[HomeTeam]],Sheet5!$A$2:$A$33, 0), MATCH(Table2[[#This Row],[AwayTeam]],Sheet5!$A$2:$A$33, 0))</f>
        <v>0-0-0</v>
      </c>
      <c r="AQ362" s="2">
        <f>IF(Table2[[#This Row],[GameHasShutOut]], 1, 0)</f>
        <v>0</v>
      </c>
      <c r="AR362" s="2">
        <f>IF(Table2[[#This Row],[ActualAwayScore]] + Table2[[#This Row],[ActualHomeScore]] &gt;= 10, 1, 0)</f>
        <v>0</v>
      </c>
      <c r="AS362" s="2">
        <f>IF(ABS(Table2[[#This Row],[ActualAwayScore]]-Table2[[#This Row],[ActualHomeScore]])&gt;=5, 1, 0)</f>
        <v>0</v>
      </c>
      <c r="AT362" s="2">
        <f>IF(Table2[[#This Row],[ActualAwayScore]] + Table2[[#This Row],[ActualHomeScore]] &lt;= 3, 1, 0)</f>
        <v>1</v>
      </c>
      <c r="AU362" s="2"/>
      <c r="AV362" s="2"/>
    </row>
    <row r="363" spans="1:48" x14ac:dyDescent="0.25">
      <c r="A363" s="3"/>
      <c r="B363" s="3">
        <v>45988</v>
      </c>
      <c r="C363" s="5">
        <v>2025020361</v>
      </c>
      <c r="D363" s="2" t="s">
        <v>34</v>
      </c>
      <c r="E363" s="2" t="s">
        <v>30</v>
      </c>
      <c r="F363" s="2"/>
      <c r="G363" s="2"/>
      <c r="H363" s="2" t="str">
        <f t="shared" si="29"/>
        <v>_</v>
      </c>
      <c r="I363" s="2"/>
      <c r="J363" s="2"/>
      <c r="K363" s="2"/>
      <c r="L363" s="2" t="str">
        <f t="shared" si="30"/>
        <v>_</v>
      </c>
      <c r="M363" s="2"/>
      <c r="N363" s="2">
        <f>IF(ISBLANK(Table2[[#This Row],[ActualResult]]), 0, 1)</f>
        <v>0</v>
      </c>
      <c r="O363" s="2" t="str">
        <f>IF(ISBLANK(Table2[[#This Row],[ActualResult]]), "_", IF(Table2[[#This Row],[ActualWinner]]=Table2[[#This Row],[PredictedWinner]], "Y", "N"))</f>
        <v>_</v>
      </c>
      <c r="P3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3" s="2"/>
      <c r="S363" s="2" t="str">
        <f t="shared" si="31"/>
        <v>_</v>
      </c>
      <c r="T3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3" s="2">
        <f>IF(Table2[[#This Row],[InterConf]]=1,IF(Table2[[#This Row],[InterDiv]]=0, 1, 0), 0)</f>
        <v>0</v>
      </c>
      <c r="W3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3" s="2"/>
      <c r="Y363" s="2"/>
      <c r="Z363" s="145">
        <f>IF(AND(Table2[[#This Row],[GameIsOver]]=1,Table2[[#This Row],[ActualHomeScore]]*Table2[[#This Row],[ActualAwayScore]]=0), 1,0)</f>
        <v>0</v>
      </c>
      <c r="AA3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3" s="2">
        <f>Table2[[#This Row],[ActualAwayScore]]-Table2[[#This Row],[PredictedAwayScore]]</f>
        <v>0</v>
      </c>
      <c r="AG363" s="2">
        <f>Table2[[#This Row],[ActualHomeScore]]-Table2[[#This Row],[PredictedHomeScore]]</f>
        <v>0</v>
      </c>
      <c r="AH363" s="2">
        <f t="shared" si="32"/>
        <v>0</v>
      </c>
      <c r="AI363" s="2">
        <f t="shared" si="33"/>
        <v>0</v>
      </c>
      <c r="AJ363" s="2"/>
      <c r="AK363" s="2"/>
      <c r="AL363" s="2">
        <f>IF(Table2[[#This Row],[GameIsOver]]=0,0,IF(Table2[[#This Row],[ActualWinner]]=Table2[[#This Row],[AwayTeam]], 1, 0))</f>
        <v>0</v>
      </c>
      <c r="AM363" s="2">
        <f>IF(Table2[[#This Row],[GameIsOver]]=0,0,IF(Table2[[#This Row],[ActualWinner]]=Table2[[#This Row],[HomeTeam]], 1, 0))</f>
        <v>0</v>
      </c>
      <c r="AN3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3" s="2" t="str">
        <f>INDEX(Sheet5!$B$2:$AG$33, MATCH(Table2[[#This Row],[AwayTeam]],Sheet5!$A$2:$A$33, 0), MATCH(Table2[[#This Row],[HomeTeam]],Sheet5!$A$2:$A$33, 0))</f>
        <v>0-0-0</v>
      </c>
      <c r="AP363" s="2" t="str">
        <f>INDEX(Sheet5!$B$2:$AG$33, MATCH(Table2[[#This Row],[HomeTeam]],Sheet5!$A$2:$A$33, 0), MATCH(Table2[[#This Row],[AwayTeam]],Sheet5!$A$2:$A$33, 0))</f>
        <v>0-0-0</v>
      </c>
      <c r="AQ363" s="2">
        <f>IF(Table2[[#This Row],[GameHasShutOut]], 1, 0)</f>
        <v>0</v>
      </c>
      <c r="AR363" s="2">
        <f>IF(Table2[[#This Row],[ActualAwayScore]] + Table2[[#This Row],[ActualHomeScore]] &gt;= 10, 1, 0)</f>
        <v>0</v>
      </c>
      <c r="AS363" s="2">
        <f>IF(ABS(Table2[[#This Row],[ActualAwayScore]]-Table2[[#This Row],[ActualHomeScore]])&gt;=5, 1, 0)</f>
        <v>0</v>
      </c>
      <c r="AT363" s="2">
        <f>IF(Table2[[#This Row],[ActualAwayScore]] + Table2[[#This Row],[ActualHomeScore]] &lt;= 3, 1, 0)</f>
        <v>1</v>
      </c>
      <c r="AU363" s="2"/>
      <c r="AV363" s="2"/>
    </row>
    <row r="364" spans="1:48" x14ac:dyDescent="0.25">
      <c r="A364" s="3"/>
      <c r="B364" s="3">
        <v>45988</v>
      </c>
      <c r="C364" s="5">
        <v>2025020362</v>
      </c>
      <c r="D364" s="2" t="s">
        <v>23</v>
      </c>
      <c r="E364" s="2" t="s">
        <v>40</v>
      </c>
      <c r="F364" s="2"/>
      <c r="G364" s="2"/>
      <c r="H364" s="2" t="str">
        <f t="shared" si="29"/>
        <v>_</v>
      </c>
      <c r="I364" s="2"/>
      <c r="J364" s="2"/>
      <c r="K364" s="2"/>
      <c r="L364" s="2" t="str">
        <f t="shared" si="30"/>
        <v>_</v>
      </c>
      <c r="M364" s="2"/>
      <c r="N364" s="2">
        <f>IF(ISBLANK(Table2[[#This Row],[ActualResult]]), 0, 1)</f>
        <v>0</v>
      </c>
      <c r="O364" s="2" t="str">
        <f>IF(ISBLANK(Table2[[#This Row],[ActualResult]]), "_", IF(Table2[[#This Row],[ActualWinner]]=Table2[[#This Row],[PredictedWinner]], "Y", "N"))</f>
        <v>_</v>
      </c>
      <c r="P3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4" s="2"/>
      <c r="S364" s="2" t="str">
        <f t="shared" si="31"/>
        <v>_</v>
      </c>
      <c r="T3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4" s="2">
        <f>IF(Table2[[#This Row],[InterConf]]=1,IF(Table2[[#This Row],[InterDiv]]=0, 1, 0), 0)</f>
        <v>0</v>
      </c>
      <c r="W3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4" s="2"/>
      <c r="Y364" s="2"/>
      <c r="Z364" s="145">
        <f>IF(AND(Table2[[#This Row],[GameIsOver]]=1,Table2[[#This Row],[ActualHomeScore]]*Table2[[#This Row],[ActualAwayScore]]=0), 1,0)</f>
        <v>0</v>
      </c>
      <c r="AA3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4" s="2">
        <f>Table2[[#This Row],[ActualAwayScore]]-Table2[[#This Row],[PredictedAwayScore]]</f>
        <v>0</v>
      </c>
      <c r="AG364" s="2">
        <f>Table2[[#This Row],[ActualHomeScore]]-Table2[[#This Row],[PredictedHomeScore]]</f>
        <v>0</v>
      </c>
      <c r="AH364" s="2">
        <f t="shared" si="32"/>
        <v>0</v>
      </c>
      <c r="AI364" s="2">
        <f t="shared" si="33"/>
        <v>0</v>
      </c>
      <c r="AJ364" s="2"/>
      <c r="AK364" s="2"/>
      <c r="AL364" s="2">
        <f>IF(Table2[[#This Row],[GameIsOver]]=0,0,IF(Table2[[#This Row],[ActualWinner]]=Table2[[#This Row],[AwayTeam]], 1, 0))</f>
        <v>0</v>
      </c>
      <c r="AM364" s="2">
        <f>IF(Table2[[#This Row],[GameIsOver]]=0,0,IF(Table2[[#This Row],[ActualWinner]]=Table2[[#This Row],[HomeTeam]], 1, 0))</f>
        <v>0</v>
      </c>
      <c r="AN3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4" s="2" t="str">
        <f>INDEX(Sheet5!$B$2:$AG$33, MATCH(Table2[[#This Row],[AwayTeam]],Sheet5!$A$2:$A$33, 0), MATCH(Table2[[#This Row],[HomeTeam]],Sheet5!$A$2:$A$33, 0))</f>
        <v>0-0-0</v>
      </c>
      <c r="AP364" s="2" t="str">
        <f>INDEX(Sheet5!$B$2:$AG$33, MATCH(Table2[[#This Row],[HomeTeam]],Sheet5!$A$2:$A$33, 0), MATCH(Table2[[#This Row],[AwayTeam]],Sheet5!$A$2:$A$33, 0))</f>
        <v>0-0-0</v>
      </c>
      <c r="AQ364" s="2">
        <f>IF(Table2[[#This Row],[GameHasShutOut]], 1, 0)</f>
        <v>0</v>
      </c>
      <c r="AR364" s="2">
        <f>IF(Table2[[#This Row],[ActualAwayScore]] + Table2[[#This Row],[ActualHomeScore]] &gt;= 10, 1, 0)</f>
        <v>0</v>
      </c>
      <c r="AS364" s="2">
        <f>IF(ABS(Table2[[#This Row],[ActualAwayScore]]-Table2[[#This Row],[ActualHomeScore]])&gt;=5, 1, 0)</f>
        <v>0</v>
      </c>
      <c r="AT364" s="2">
        <f>IF(Table2[[#This Row],[ActualAwayScore]] + Table2[[#This Row],[ActualHomeScore]] &lt;= 3, 1, 0)</f>
        <v>1</v>
      </c>
      <c r="AU364" s="2"/>
      <c r="AV364" s="2"/>
    </row>
    <row r="365" spans="1:48" x14ac:dyDescent="0.25">
      <c r="A365" s="3"/>
      <c r="B365" s="3">
        <v>45988</v>
      </c>
      <c r="C365" s="5">
        <v>2025020363</v>
      </c>
      <c r="D365" s="2" t="s">
        <v>42</v>
      </c>
      <c r="E365" s="2" t="s">
        <v>13</v>
      </c>
      <c r="F365" s="2"/>
      <c r="G365" s="2"/>
      <c r="H365" s="2" t="str">
        <f t="shared" si="29"/>
        <v>_</v>
      </c>
      <c r="I365" s="2"/>
      <c r="J365" s="2"/>
      <c r="K365" s="2"/>
      <c r="L365" s="2" t="str">
        <f t="shared" si="30"/>
        <v>_</v>
      </c>
      <c r="M365" s="2"/>
      <c r="N365" s="2">
        <f>IF(ISBLANK(Table2[[#This Row],[ActualResult]]), 0, 1)</f>
        <v>0</v>
      </c>
      <c r="O365" s="2" t="str">
        <f>IF(ISBLANK(Table2[[#This Row],[ActualResult]]), "_", IF(Table2[[#This Row],[ActualWinner]]=Table2[[#This Row],[PredictedWinner]], "Y", "N"))</f>
        <v>_</v>
      </c>
      <c r="P3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5" s="2"/>
      <c r="S365" s="2" t="str">
        <f t="shared" si="31"/>
        <v>_</v>
      </c>
      <c r="T3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5" s="2">
        <f>IF(Table2[[#This Row],[InterConf]]=1,IF(Table2[[#This Row],[InterDiv]]=0, 1, 0), 0)</f>
        <v>1</v>
      </c>
      <c r="W3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5" s="2"/>
      <c r="Y365" s="2"/>
      <c r="Z365" s="145">
        <f>IF(AND(Table2[[#This Row],[GameIsOver]]=1,Table2[[#This Row],[ActualHomeScore]]*Table2[[#This Row],[ActualAwayScore]]=0), 1,0)</f>
        <v>0</v>
      </c>
      <c r="AA3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5" s="2">
        <f>Table2[[#This Row],[ActualAwayScore]]-Table2[[#This Row],[PredictedAwayScore]]</f>
        <v>0</v>
      </c>
      <c r="AG365" s="2">
        <f>Table2[[#This Row],[ActualHomeScore]]-Table2[[#This Row],[PredictedHomeScore]]</f>
        <v>0</v>
      </c>
      <c r="AH365" s="2">
        <f t="shared" si="32"/>
        <v>0</v>
      </c>
      <c r="AI365" s="2">
        <f t="shared" si="33"/>
        <v>0</v>
      </c>
      <c r="AJ365" s="2"/>
      <c r="AK365" s="2"/>
      <c r="AL365" s="2">
        <f>IF(Table2[[#This Row],[GameIsOver]]=0,0,IF(Table2[[#This Row],[ActualWinner]]=Table2[[#This Row],[AwayTeam]], 1, 0))</f>
        <v>0</v>
      </c>
      <c r="AM365" s="2">
        <f>IF(Table2[[#This Row],[GameIsOver]]=0,0,IF(Table2[[#This Row],[ActualWinner]]=Table2[[#This Row],[HomeTeam]], 1, 0))</f>
        <v>0</v>
      </c>
      <c r="AN3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5" s="2" t="str">
        <f>INDEX(Sheet5!$B$2:$AG$33, MATCH(Table2[[#This Row],[AwayTeam]],Sheet5!$A$2:$A$33, 0), MATCH(Table2[[#This Row],[HomeTeam]],Sheet5!$A$2:$A$33, 0))</f>
        <v>1-1-0</v>
      </c>
      <c r="AP365" s="2" t="str">
        <f>INDEX(Sheet5!$B$2:$AG$33, MATCH(Table2[[#This Row],[HomeTeam]],Sheet5!$A$2:$A$33, 0), MATCH(Table2[[#This Row],[AwayTeam]],Sheet5!$A$2:$A$33, 0))</f>
        <v>1-1-0</v>
      </c>
      <c r="AQ365" s="2">
        <f>IF(Table2[[#This Row],[GameHasShutOut]], 1, 0)</f>
        <v>0</v>
      </c>
      <c r="AR365" s="2">
        <f>IF(Table2[[#This Row],[ActualAwayScore]] + Table2[[#This Row],[ActualHomeScore]] &gt;= 10, 1, 0)</f>
        <v>0</v>
      </c>
      <c r="AS365" s="2">
        <f>IF(ABS(Table2[[#This Row],[ActualAwayScore]]-Table2[[#This Row],[ActualHomeScore]])&gt;=5, 1, 0)</f>
        <v>0</v>
      </c>
      <c r="AT365" s="2">
        <f>IF(Table2[[#This Row],[ActualAwayScore]] + Table2[[#This Row],[ActualHomeScore]] &lt;= 3, 1, 0)</f>
        <v>1</v>
      </c>
      <c r="AU365" s="2"/>
      <c r="AV365" s="2"/>
    </row>
    <row r="366" spans="1:48" x14ac:dyDescent="0.25">
      <c r="A366" s="3"/>
      <c r="B366" s="3">
        <v>45988</v>
      </c>
      <c r="C366" s="5">
        <v>2025020364</v>
      </c>
      <c r="D366" s="2" t="s">
        <v>12</v>
      </c>
      <c r="E366" s="2" t="s">
        <v>31</v>
      </c>
      <c r="F366" s="2"/>
      <c r="G366" s="2"/>
      <c r="H366" s="2" t="str">
        <f t="shared" si="29"/>
        <v>_</v>
      </c>
      <c r="I366" s="2"/>
      <c r="J366" s="2"/>
      <c r="K366" s="2"/>
      <c r="L366" s="2" t="str">
        <f t="shared" si="30"/>
        <v>_</v>
      </c>
      <c r="M366" s="2"/>
      <c r="N366" s="2">
        <f>IF(ISBLANK(Table2[[#This Row],[ActualResult]]), 0, 1)</f>
        <v>0</v>
      </c>
      <c r="O366" s="2" t="str">
        <f>IF(ISBLANK(Table2[[#This Row],[ActualResult]]), "_", IF(Table2[[#This Row],[ActualWinner]]=Table2[[#This Row],[PredictedWinner]], "Y", "N"))</f>
        <v>_</v>
      </c>
      <c r="P3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6" s="2"/>
      <c r="S366" s="2" t="str">
        <f t="shared" si="31"/>
        <v>_</v>
      </c>
      <c r="T3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6" s="2">
        <f>IF(Table2[[#This Row],[InterConf]]=1,IF(Table2[[#This Row],[InterDiv]]=0, 1, 0), 0)</f>
        <v>0</v>
      </c>
      <c r="W3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6" s="2"/>
      <c r="Y366" s="2"/>
      <c r="Z366" s="145">
        <f>IF(AND(Table2[[#This Row],[GameIsOver]]=1,Table2[[#This Row],[ActualHomeScore]]*Table2[[#This Row],[ActualAwayScore]]=0), 1,0)</f>
        <v>0</v>
      </c>
      <c r="AA3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6" s="2">
        <f>Table2[[#This Row],[ActualAwayScore]]-Table2[[#This Row],[PredictedAwayScore]]</f>
        <v>0</v>
      </c>
      <c r="AG366" s="2">
        <f>Table2[[#This Row],[ActualHomeScore]]-Table2[[#This Row],[PredictedHomeScore]]</f>
        <v>0</v>
      </c>
      <c r="AH366" s="2">
        <f t="shared" si="32"/>
        <v>0</v>
      </c>
      <c r="AI366" s="2">
        <f t="shared" si="33"/>
        <v>0</v>
      </c>
      <c r="AJ366" s="2"/>
      <c r="AK366" s="2"/>
      <c r="AL366" s="2">
        <f>IF(Table2[[#This Row],[GameIsOver]]=0,0,IF(Table2[[#This Row],[ActualWinner]]=Table2[[#This Row],[AwayTeam]], 1, 0))</f>
        <v>0</v>
      </c>
      <c r="AM366" s="2">
        <f>IF(Table2[[#This Row],[GameIsOver]]=0,0,IF(Table2[[#This Row],[ActualWinner]]=Table2[[#This Row],[HomeTeam]], 1, 0))</f>
        <v>0</v>
      </c>
      <c r="AN3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6" s="2" t="str">
        <f>INDEX(Sheet5!$B$2:$AG$33, MATCH(Table2[[#This Row],[AwayTeam]],Sheet5!$A$2:$A$33, 0), MATCH(Table2[[#This Row],[HomeTeam]],Sheet5!$A$2:$A$33, 0))</f>
        <v>0-0-0</v>
      </c>
      <c r="AP366" s="2" t="str">
        <f>INDEX(Sheet5!$B$2:$AG$33, MATCH(Table2[[#This Row],[HomeTeam]],Sheet5!$A$2:$A$33, 0), MATCH(Table2[[#This Row],[AwayTeam]],Sheet5!$A$2:$A$33, 0))</f>
        <v>0-0-0</v>
      </c>
      <c r="AQ366" s="2">
        <f>IF(Table2[[#This Row],[GameHasShutOut]], 1, 0)</f>
        <v>0</v>
      </c>
      <c r="AR366" s="2">
        <f>IF(Table2[[#This Row],[ActualAwayScore]] + Table2[[#This Row],[ActualHomeScore]] &gt;= 10, 1, 0)</f>
        <v>0</v>
      </c>
      <c r="AS366" s="2">
        <f>IF(ABS(Table2[[#This Row],[ActualAwayScore]]-Table2[[#This Row],[ActualHomeScore]])&gt;=5, 1, 0)</f>
        <v>0</v>
      </c>
      <c r="AT366" s="2">
        <f>IF(Table2[[#This Row],[ActualAwayScore]] + Table2[[#This Row],[ActualHomeScore]] &lt;= 3, 1, 0)</f>
        <v>1</v>
      </c>
      <c r="AU366" s="2"/>
      <c r="AV366" s="2"/>
    </row>
    <row r="367" spans="1:48" x14ac:dyDescent="0.25">
      <c r="A367" s="3"/>
      <c r="B367" s="3">
        <v>45988</v>
      </c>
      <c r="C367" s="5">
        <v>2025020365</v>
      </c>
      <c r="D367" s="2" t="s">
        <v>15</v>
      </c>
      <c r="E367" s="2" t="s">
        <v>32</v>
      </c>
      <c r="F367" s="2"/>
      <c r="G367" s="2"/>
      <c r="H367" s="2" t="str">
        <f t="shared" si="29"/>
        <v>_</v>
      </c>
      <c r="I367" s="2"/>
      <c r="J367" s="2"/>
      <c r="K367" s="2"/>
      <c r="L367" s="2" t="str">
        <f t="shared" si="30"/>
        <v>_</v>
      </c>
      <c r="M367" s="2"/>
      <c r="N367" s="2">
        <f>IF(ISBLANK(Table2[[#This Row],[ActualResult]]), 0, 1)</f>
        <v>0</v>
      </c>
      <c r="O367" s="2" t="str">
        <f>IF(ISBLANK(Table2[[#This Row],[ActualResult]]), "_", IF(Table2[[#This Row],[ActualWinner]]=Table2[[#This Row],[PredictedWinner]], "Y", "N"))</f>
        <v>_</v>
      </c>
      <c r="P3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7" s="2"/>
      <c r="S367" s="2" t="str">
        <f t="shared" si="31"/>
        <v>_</v>
      </c>
      <c r="T3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7" s="2">
        <f>IF(Table2[[#This Row],[InterConf]]=1,IF(Table2[[#This Row],[InterDiv]]=0, 1, 0), 0)</f>
        <v>1</v>
      </c>
      <c r="W3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7" s="2"/>
      <c r="Y367" s="2"/>
      <c r="Z367" s="145">
        <f>IF(AND(Table2[[#This Row],[GameIsOver]]=1,Table2[[#This Row],[ActualHomeScore]]*Table2[[#This Row],[ActualAwayScore]]=0), 1,0)</f>
        <v>0</v>
      </c>
      <c r="AA3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7" s="2">
        <f>Table2[[#This Row],[ActualAwayScore]]-Table2[[#This Row],[PredictedAwayScore]]</f>
        <v>0</v>
      </c>
      <c r="AG367" s="2">
        <f>Table2[[#This Row],[ActualHomeScore]]-Table2[[#This Row],[PredictedHomeScore]]</f>
        <v>0</v>
      </c>
      <c r="AH367" s="2">
        <f t="shared" si="32"/>
        <v>0</v>
      </c>
      <c r="AI367" s="2">
        <f t="shared" si="33"/>
        <v>0</v>
      </c>
      <c r="AJ367" s="2"/>
      <c r="AK367" s="2"/>
      <c r="AL367" s="2">
        <f>IF(Table2[[#This Row],[GameIsOver]]=0,0,IF(Table2[[#This Row],[ActualWinner]]=Table2[[#This Row],[AwayTeam]], 1, 0))</f>
        <v>0</v>
      </c>
      <c r="AM367" s="2">
        <f>IF(Table2[[#This Row],[GameIsOver]]=0,0,IF(Table2[[#This Row],[ActualWinner]]=Table2[[#This Row],[HomeTeam]], 1, 0))</f>
        <v>0</v>
      </c>
      <c r="AN3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7" s="2" t="str">
        <f>INDEX(Sheet5!$B$2:$AG$33, MATCH(Table2[[#This Row],[AwayTeam]],Sheet5!$A$2:$A$33, 0), MATCH(Table2[[#This Row],[HomeTeam]],Sheet5!$A$2:$A$33, 0))</f>
        <v>0-0-0</v>
      </c>
      <c r="AP367" s="2" t="str">
        <f>INDEX(Sheet5!$B$2:$AG$33, MATCH(Table2[[#This Row],[HomeTeam]],Sheet5!$A$2:$A$33, 0), MATCH(Table2[[#This Row],[AwayTeam]],Sheet5!$A$2:$A$33, 0))</f>
        <v>0-0-0</v>
      </c>
      <c r="AQ367" s="2">
        <f>IF(Table2[[#This Row],[GameHasShutOut]], 1, 0)</f>
        <v>0</v>
      </c>
      <c r="AR367" s="2">
        <f>IF(Table2[[#This Row],[ActualAwayScore]] + Table2[[#This Row],[ActualHomeScore]] &gt;= 10, 1, 0)</f>
        <v>0</v>
      </c>
      <c r="AS367" s="2">
        <f>IF(ABS(Table2[[#This Row],[ActualAwayScore]]-Table2[[#This Row],[ActualHomeScore]])&gt;=5, 1, 0)</f>
        <v>0</v>
      </c>
      <c r="AT367" s="2">
        <f>IF(Table2[[#This Row],[ActualAwayScore]] + Table2[[#This Row],[ActualHomeScore]] &lt;= 3, 1, 0)</f>
        <v>1</v>
      </c>
      <c r="AU367" s="2"/>
      <c r="AV367" s="2"/>
    </row>
    <row r="368" spans="1:48" x14ac:dyDescent="0.25">
      <c r="A368" s="3"/>
      <c r="B368" s="3">
        <v>45988</v>
      </c>
      <c r="C368" s="5">
        <v>2025020366</v>
      </c>
      <c r="D368" s="2" t="s">
        <v>28</v>
      </c>
      <c r="E368" s="2" t="s">
        <v>20</v>
      </c>
      <c r="F368" s="2"/>
      <c r="G368" s="2"/>
      <c r="H368" s="2" t="str">
        <f t="shared" si="29"/>
        <v>_</v>
      </c>
      <c r="I368" s="2"/>
      <c r="J368" s="2"/>
      <c r="K368" s="2"/>
      <c r="L368" s="2" t="str">
        <f t="shared" si="30"/>
        <v>_</v>
      </c>
      <c r="M368" s="2"/>
      <c r="N368" s="2">
        <f>IF(ISBLANK(Table2[[#This Row],[ActualResult]]), 0, 1)</f>
        <v>0</v>
      </c>
      <c r="O368" s="2" t="str">
        <f>IF(ISBLANK(Table2[[#This Row],[ActualResult]]), "_", IF(Table2[[#This Row],[ActualWinner]]=Table2[[#This Row],[PredictedWinner]], "Y", "N"))</f>
        <v>_</v>
      </c>
      <c r="P3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8" s="2"/>
      <c r="S368" s="2" t="str">
        <f t="shared" si="31"/>
        <v>_</v>
      </c>
      <c r="T3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8" s="2">
        <f>IF(Table2[[#This Row],[InterConf]]=1,IF(Table2[[#This Row],[InterDiv]]=0, 1, 0), 0)</f>
        <v>1</v>
      </c>
      <c r="W3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8" s="2"/>
      <c r="Y368" s="2"/>
      <c r="Z368" s="145">
        <f>IF(AND(Table2[[#This Row],[GameIsOver]]=1,Table2[[#This Row],[ActualHomeScore]]*Table2[[#This Row],[ActualAwayScore]]=0), 1,0)</f>
        <v>0</v>
      </c>
      <c r="AA3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8" s="2">
        <f>Table2[[#This Row],[ActualAwayScore]]-Table2[[#This Row],[PredictedAwayScore]]</f>
        <v>0</v>
      </c>
      <c r="AG368" s="2">
        <f>Table2[[#This Row],[ActualHomeScore]]-Table2[[#This Row],[PredictedHomeScore]]</f>
        <v>0</v>
      </c>
      <c r="AH368" s="2">
        <f t="shared" si="32"/>
        <v>0</v>
      </c>
      <c r="AI368" s="2">
        <f t="shared" si="33"/>
        <v>0</v>
      </c>
      <c r="AJ368" s="2"/>
      <c r="AK368" s="2"/>
      <c r="AL368" s="2">
        <f>IF(Table2[[#This Row],[GameIsOver]]=0,0,IF(Table2[[#This Row],[ActualWinner]]=Table2[[#This Row],[AwayTeam]], 1, 0))</f>
        <v>0</v>
      </c>
      <c r="AM368" s="2">
        <f>IF(Table2[[#This Row],[GameIsOver]]=0,0,IF(Table2[[#This Row],[ActualWinner]]=Table2[[#This Row],[HomeTeam]], 1, 0))</f>
        <v>0</v>
      </c>
      <c r="AN3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8" s="2" t="str">
        <f>INDEX(Sheet5!$B$2:$AG$33, MATCH(Table2[[#This Row],[AwayTeam]],Sheet5!$A$2:$A$33, 0), MATCH(Table2[[#This Row],[HomeTeam]],Sheet5!$A$2:$A$33, 0))</f>
        <v>0-0-0</v>
      </c>
      <c r="AP368" s="2" t="str">
        <f>INDEX(Sheet5!$B$2:$AG$33, MATCH(Table2[[#This Row],[HomeTeam]],Sheet5!$A$2:$A$33, 0), MATCH(Table2[[#This Row],[AwayTeam]],Sheet5!$A$2:$A$33, 0))</f>
        <v>0-0-0</v>
      </c>
      <c r="AQ368" s="2">
        <f>IF(Table2[[#This Row],[GameHasShutOut]], 1, 0)</f>
        <v>0</v>
      </c>
      <c r="AR368" s="2">
        <f>IF(Table2[[#This Row],[ActualAwayScore]] + Table2[[#This Row],[ActualHomeScore]] &gt;= 10, 1, 0)</f>
        <v>0</v>
      </c>
      <c r="AS368" s="2">
        <f>IF(ABS(Table2[[#This Row],[ActualAwayScore]]-Table2[[#This Row],[ActualHomeScore]])&gt;=5, 1, 0)</f>
        <v>0</v>
      </c>
      <c r="AT368" s="2">
        <f>IF(Table2[[#This Row],[ActualAwayScore]] + Table2[[#This Row],[ActualHomeScore]] &lt;= 3, 1, 0)</f>
        <v>1</v>
      </c>
      <c r="AU368" s="2"/>
      <c r="AV368" s="2"/>
    </row>
    <row r="369" spans="1:48" x14ac:dyDescent="0.25">
      <c r="A369" s="3"/>
      <c r="B369" s="3">
        <v>45988</v>
      </c>
      <c r="C369" s="5">
        <v>2025020367</v>
      </c>
      <c r="D369" s="2" t="s">
        <v>21</v>
      </c>
      <c r="E369" s="2" t="s">
        <v>43</v>
      </c>
      <c r="F369" s="2"/>
      <c r="G369" s="2"/>
      <c r="H369" s="2" t="str">
        <f t="shared" si="29"/>
        <v>_</v>
      </c>
      <c r="I369" s="2"/>
      <c r="J369" s="2"/>
      <c r="K369" s="2"/>
      <c r="L369" s="2" t="str">
        <f t="shared" si="30"/>
        <v>_</v>
      </c>
      <c r="M369" s="2"/>
      <c r="N369" s="2">
        <f>IF(ISBLANK(Table2[[#This Row],[ActualResult]]), 0, 1)</f>
        <v>0</v>
      </c>
      <c r="O369" s="2" t="str">
        <f>IF(ISBLANK(Table2[[#This Row],[ActualResult]]), "_", IF(Table2[[#This Row],[ActualWinner]]=Table2[[#This Row],[PredictedWinner]], "Y", "N"))</f>
        <v>_</v>
      </c>
      <c r="P3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9" s="2"/>
      <c r="S369" s="2" t="str">
        <f t="shared" si="31"/>
        <v>_</v>
      </c>
      <c r="T3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9" s="2">
        <f>IF(Table2[[#This Row],[InterConf]]=1,IF(Table2[[#This Row],[InterDiv]]=0, 1, 0), 0)</f>
        <v>0</v>
      </c>
      <c r="W3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9" s="2"/>
      <c r="Y369" s="2"/>
      <c r="Z369" s="145">
        <f>IF(AND(Table2[[#This Row],[GameIsOver]]=1,Table2[[#This Row],[ActualHomeScore]]*Table2[[#This Row],[ActualAwayScore]]=0), 1,0)</f>
        <v>0</v>
      </c>
      <c r="AA3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9" s="2">
        <f>Table2[[#This Row],[ActualAwayScore]]-Table2[[#This Row],[PredictedAwayScore]]</f>
        <v>0</v>
      </c>
      <c r="AG369" s="2">
        <f>Table2[[#This Row],[ActualHomeScore]]-Table2[[#This Row],[PredictedHomeScore]]</f>
        <v>0</v>
      </c>
      <c r="AH369" s="2">
        <f t="shared" si="32"/>
        <v>0</v>
      </c>
      <c r="AI369" s="2">
        <f t="shared" si="33"/>
        <v>0</v>
      </c>
      <c r="AJ369" s="2"/>
      <c r="AK369" s="2"/>
      <c r="AL369" s="2">
        <f>IF(Table2[[#This Row],[GameIsOver]]=0,0,IF(Table2[[#This Row],[ActualWinner]]=Table2[[#This Row],[AwayTeam]], 1, 0))</f>
        <v>0</v>
      </c>
      <c r="AM369" s="2">
        <f>IF(Table2[[#This Row],[GameIsOver]]=0,0,IF(Table2[[#This Row],[ActualWinner]]=Table2[[#This Row],[HomeTeam]], 1, 0))</f>
        <v>0</v>
      </c>
      <c r="AN3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9" s="2" t="str">
        <f>INDEX(Sheet5!$B$2:$AG$33, MATCH(Table2[[#This Row],[AwayTeam]],Sheet5!$A$2:$A$33, 0), MATCH(Table2[[#This Row],[HomeTeam]],Sheet5!$A$2:$A$33, 0))</f>
        <v>0-0-0</v>
      </c>
      <c r="AP369" s="2" t="str">
        <f>INDEX(Sheet5!$B$2:$AG$33, MATCH(Table2[[#This Row],[HomeTeam]],Sheet5!$A$2:$A$33, 0), MATCH(Table2[[#This Row],[AwayTeam]],Sheet5!$A$2:$A$33, 0))</f>
        <v>0-0-0</v>
      </c>
      <c r="AQ369" s="2">
        <f>IF(Table2[[#This Row],[GameHasShutOut]], 1, 0)</f>
        <v>0</v>
      </c>
      <c r="AR369" s="2">
        <f>IF(Table2[[#This Row],[ActualAwayScore]] + Table2[[#This Row],[ActualHomeScore]] &gt;= 10, 1, 0)</f>
        <v>0</v>
      </c>
      <c r="AS369" s="2">
        <f>IF(ABS(Table2[[#This Row],[ActualAwayScore]]-Table2[[#This Row],[ActualHomeScore]])&gt;=5, 1, 0)</f>
        <v>0</v>
      </c>
      <c r="AT369" s="2">
        <f>IF(Table2[[#This Row],[ActualAwayScore]] + Table2[[#This Row],[ActualHomeScore]] &lt;= 3, 1, 0)</f>
        <v>1</v>
      </c>
      <c r="AU369" s="2"/>
      <c r="AV369" s="2"/>
    </row>
    <row r="370" spans="1:48" x14ac:dyDescent="0.25">
      <c r="A370" s="3"/>
      <c r="B370" s="3">
        <v>45988</v>
      </c>
      <c r="C370" s="5">
        <v>2025020368</v>
      </c>
      <c r="D370" s="2" t="s">
        <v>19</v>
      </c>
      <c r="E370" s="2" t="s">
        <v>41</v>
      </c>
      <c r="F370" s="2"/>
      <c r="G370" s="2"/>
      <c r="H370" s="2" t="str">
        <f t="shared" si="29"/>
        <v>_</v>
      </c>
      <c r="I370" s="2"/>
      <c r="J370" s="2"/>
      <c r="K370" s="2"/>
      <c r="L370" s="2" t="str">
        <f t="shared" si="30"/>
        <v>_</v>
      </c>
      <c r="M370" s="2"/>
      <c r="N370" s="2">
        <f>IF(ISBLANK(Table2[[#This Row],[ActualResult]]), 0, 1)</f>
        <v>0</v>
      </c>
      <c r="O370" s="2" t="str">
        <f>IF(ISBLANK(Table2[[#This Row],[ActualResult]]), "_", IF(Table2[[#This Row],[ActualWinner]]=Table2[[#This Row],[PredictedWinner]], "Y", "N"))</f>
        <v>_</v>
      </c>
      <c r="P3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0" s="2"/>
      <c r="S370" s="2" t="str">
        <f t="shared" si="31"/>
        <v>_</v>
      </c>
      <c r="T3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0" s="2">
        <f>IF(Table2[[#This Row],[InterConf]]=1,IF(Table2[[#This Row],[InterDiv]]=0, 1, 0), 0)</f>
        <v>0</v>
      </c>
      <c r="W3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0" s="2"/>
      <c r="Y370" s="2"/>
      <c r="Z370" s="145">
        <f>IF(AND(Table2[[#This Row],[GameIsOver]]=1,Table2[[#This Row],[ActualHomeScore]]*Table2[[#This Row],[ActualAwayScore]]=0), 1,0)</f>
        <v>0</v>
      </c>
      <c r="AA3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0" s="2">
        <f>Table2[[#This Row],[ActualAwayScore]]-Table2[[#This Row],[PredictedAwayScore]]</f>
        <v>0</v>
      </c>
      <c r="AG370" s="2">
        <f>Table2[[#This Row],[ActualHomeScore]]-Table2[[#This Row],[PredictedHomeScore]]</f>
        <v>0</v>
      </c>
      <c r="AH370" s="2">
        <f t="shared" si="32"/>
        <v>0</v>
      </c>
      <c r="AI370" s="2">
        <f t="shared" si="33"/>
        <v>0</v>
      </c>
      <c r="AJ370" s="2"/>
      <c r="AK370" s="2"/>
      <c r="AL370" s="2">
        <f>IF(Table2[[#This Row],[GameIsOver]]=0,0,IF(Table2[[#This Row],[ActualWinner]]=Table2[[#This Row],[AwayTeam]], 1, 0))</f>
        <v>0</v>
      </c>
      <c r="AM370" s="2">
        <f>IF(Table2[[#This Row],[GameIsOver]]=0,0,IF(Table2[[#This Row],[ActualWinner]]=Table2[[#This Row],[HomeTeam]], 1, 0))</f>
        <v>0</v>
      </c>
      <c r="AN3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0" s="2" t="str">
        <f>INDEX(Sheet5!$B$2:$AG$33, MATCH(Table2[[#This Row],[AwayTeam]],Sheet5!$A$2:$A$33, 0), MATCH(Table2[[#This Row],[HomeTeam]],Sheet5!$A$2:$A$33, 0))</f>
        <v>0-0-0</v>
      </c>
      <c r="AP370" s="2" t="str">
        <f>INDEX(Sheet5!$B$2:$AG$33, MATCH(Table2[[#This Row],[HomeTeam]],Sheet5!$A$2:$A$33, 0), MATCH(Table2[[#This Row],[AwayTeam]],Sheet5!$A$2:$A$33, 0))</f>
        <v>0-0-0</v>
      </c>
      <c r="AQ370" s="2">
        <f>IF(Table2[[#This Row],[GameHasShutOut]], 1, 0)</f>
        <v>0</v>
      </c>
      <c r="AR370" s="2">
        <f>IF(Table2[[#This Row],[ActualAwayScore]] + Table2[[#This Row],[ActualHomeScore]] &gt;= 10, 1, 0)</f>
        <v>0</v>
      </c>
      <c r="AS370" s="2">
        <f>IF(ABS(Table2[[#This Row],[ActualAwayScore]]-Table2[[#This Row],[ActualHomeScore]])&gt;=5, 1, 0)</f>
        <v>0</v>
      </c>
      <c r="AT370" s="2">
        <f>IF(Table2[[#This Row],[ActualAwayScore]] + Table2[[#This Row],[ActualHomeScore]] &lt;= 3, 1, 0)</f>
        <v>1</v>
      </c>
      <c r="AU370" s="2"/>
      <c r="AV370" s="2"/>
    </row>
    <row r="371" spans="1:48" x14ac:dyDescent="0.25">
      <c r="A371" s="3"/>
      <c r="B371" s="3">
        <v>45988</v>
      </c>
      <c r="C371" s="5">
        <v>2025020369</v>
      </c>
      <c r="D371" s="2" t="s">
        <v>17</v>
      </c>
      <c r="E371" s="2" t="s">
        <v>35</v>
      </c>
      <c r="F371" s="2"/>
      <c r="G371" s="2"/>
      <c r="H371" s="2" t="str">
        <f t="shared" si="29"/>
        <v>_</v>
      </c>
      <c r="I371" s="2"/>
      <c r="J371" s="2"/>
      <c r="K371" s="2"/>
      <c r="L371" s="2" t="str">
        <f t="shared" si="30"/>
        <v>_</v>
      </c>
      <c r="M371" s="2"/>
      <c r="N371" s="2">
        <f>IF(ISBLANK(Table2[[#This Row],[ActualResult]]), 0, 1)</f>
        <v>0</v>
      </c>
      <c r="O371" s="2" t="str">
        <f>IF(ISBLANK(Table2[[#This Row],[ActualResult]]), "_", IF(Table2[[#This Row],[ActualWinner]]=Table2[[#This Row],[PredictedWinner]], "Y", "N"))</f>
        <v>_</v>
      </c>
      <c r="P3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1" s="2"/>
      <c r="S371" s="2" t="str">
        <f t="shared" si="31"/>
        <v>_</v>
      </c>
      <c r="T3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1" s="2">
        <f>IF(Table2[[#This Row],[InterConf]]=1,IF(Table2[[#This Row],[InterDiv]]=0, 1, 0), 0)</f>
        <v>1</v>
      </c>
      <c r="W3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1" s="2"/>
      <c r="Y371" s="2"/>
      <c r="Z371" s="145">
        <f>IF(AND(Table2[[#This Row],[GameIsOver]]=1,Table2[[#This Row],[ActualHomeScore]]*Table2[[#This Row],[ActualAwayScore]]=0), 1,0)</f>
        <v>0</v>
      </c>
      <c r="AA3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1" s="2">
        <f>Table2[[#This Row],[ActualAwayScore]]-Table2[[#This Row],[PredictedAwayScore]]</f>
        <v>0</v>
      </c>
      <c r="AG371" s="2">
        <f>Table2[[#This Row],[ActualHomeScore]]-Table2[[#This Row],[PredictedHomeScore]]</f>
        <v>0</v>
      </c>
      <c r="AH371" s="2">
        <f t="shared" si="32"/>
        <v>0</v>
      </c>
      <c r="AI371" s="2">
        <f t="shared" si="33"/>
        <v>0</v>
      </c>
      <c r="AJ371" s="2"/>
      <c r="AK371" s="2"/>
      <c r="AL371" s="2">
        <f>IF(Table2[[#This Row],[GameIsOver]]=0,0,IF(Table2[[#This Row],[ActualWinner]]=Table2[[#This Row],[AwayTeam]], 1, 0))</f>
        <v>0</v>
      </c>
      <c r="AM371" s="2">
        <f>IF(Table2[[#This Row],[GameIsOver]]=0,0,IF(Table2[[#This Row],[ActualWinner]]=Table2[[#This Row],[HomeTeam]], 1, 0))</f>
        <v>0</v>
      </c>
      <c r="AN3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1" s="2" t="str">
        <f>INDEX(Sheet5!$B$2:$AG$33, MATCH(Table2[[#This Row],[AwayTeam]],Sheet5!$A$2:$A$33, 0), MATCH(Table2[[#This Row],[HomeTeam]],Sheet5!$A$2:$A$33, 0))</f>
        <v>0-0-0</v>
      </c>
      <c r="AP371" s="2" t="str">
        <f>INDEX(Sheet5!$B$2:$AG$33, MATCH(Table2[[#This Row],[HomeTeam]],Sheet5!$A$2:$A$33, 0), MATCH(Table2[[#This Row],[AwayTeam]],Sheet5!$A$2:$A$33, 0))</f>
        <v>0-0-0</v>
      </c>
      <c r="AQ371" s="2">
        <f>IF(Table2[[#This Row],[GameHasShutOut]], 1, 0)</f>
        <v>0</v>
      </c>
      <c r="AR371" s="2">
        <f>IF(Table2[[#This Row],[ActualAwayScore]] + Table2[[#This Row],[ActualHomeScore]] &gt;= 10, 1, 0)</f>
        <v>0</v>
      </c>
      <c r="AS371" s="2">
        <f>IF(ABS(Table2[[#This Row],[ActualAwayScore]]-Table2[[#This Row],[ActualHomeScore]])&gt;=5, 1, 0)</f>
        <v>0</v>
      </c>
      <c r="AT371" s="2">
        <f>IF(Table2[[#This Row],[ActualAwayScore]] + Table2[[#This Row],[ActualHomeScore]] &lt;= 3, 1, 0)</f>
        <v>1</v>
      </c>
      <c r="AU371" s="2"/>
      <c r="AV371" s="2"/>
    </row>
    <row r="372" spans="1:48" x14ac:dyDescent="0.25">
      <c r="A372" s="3"/>
      <c r="B372" s="3">
        <v>45988</v>
      </c>
      <c r="C372" s="5">
        <v>2025020370</v>
      </c>
      <c r="D372" s="2" t="s">
        <v>36</v>
      </c>
      <c r="E372" s="2" t="s">
        <v>16</v>
      </c>
      <c r="F372" s="2"/>
      <c r="G372" s="2"/>
      <c r="H372" s="2" t="str">
        <f t="shared" si="29"/>
        <v>_</v>
      </c>
      <c r="I372" s="2"/>
      <c r="J372" s="2"/>
      <c r="K372" s="2"/>
      <c r="L372" s="2" t="str">
        <f t="shared" si="30"/>
        <v>_</v>
      </c>
      <c r="M372" s="2"/>
      <c r="N372" s="2">
        <f>IF(ISBLANK(Table2[[#This Row],[ActualResult]]), 0, 1)</f>
        <v>0</v>
      </c>
      <c r="O372" s="2" t="str">
        <f>IF(ISBLANK(Table2[[#This Row],[ActualResult]]), "_", IF(Table2[[#This Row],[ActualWinner]]=Table2[[#This Row],[PredictedWinner]], "Y", "N"))</f>
        <v>_</v>
      </c>
      <c r="P3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2" s="2"/>
      <c r="S372" s="2" t="str">
        <f t="shared" si="31"/>
        <v>_</v>
      </c>
      <c r="T3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2" s="2">
        <f>IF(Table2[[#This Row],[InterConf]]=1,IF(Table2[[#This Row],[InterDiv]]=0, 1, 0), 0)</f>
        <v>0</v>
      </c>
      <c r="W3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2" s="2"/>
      <c r="Y372" s="2"/>
      <c r="Z372" s="145">
        <f>IF(AND(Table2[[#This Row],[GameIsOver]]=1,Table2[[#This Row],[ActualHomeScore]]*Table2[[#This Row],[ActualAwayScore]]=0), 1,0)</f>
        <v>0</v>
      </c>
      <c r="AA3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2" s="2">
        <f>Table2[[#This Row],[ActualAwayScore]]-Table2[[#This Row],[PredictedAwayScore]]</f>
        <v>0</v>
      </c>
      <c r="AG372" s="2">
        <f>Table2[[#This Row],[ActualHomeScore]]-Table2[[#This Row],[PredictedHomeScore]]</f>
        <v>0</v>
      </c>
      <c r="AH372" s="2">
        <f t="shared" si="32"/>
        <v>0</v>
      </c>
      <c r="AI372" s="2">
        <f t="shared" si="33"/>
        <v>0</v>
      </c>
      <c r="AJ372" s="2"/>
      <c r="AK372" s="2"/>
      <c r="AL372" s="2">
        <f>IF(Table2[[#This Row],[GameIsOver]]=0,0,IF(Table2[[#This Row],[ActualWinner]]=Table2[[#This Row],[AwayTeam]], 1, 0))</f>
        <v>0</v>
      </c>
      <c r="AM372" s="2">
        <f>IF(Table2[[#This Row],[GameIsOver]]=0,0,IF(Table2[[#This Row],[ActualWinner]]=Table2[[#This Row],[HomeTeam]], 1, 0))</f>
        <v>0</v>
      </c>
      <c r="AN3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2" s="2" t="str">
        <f>INDEX(Sheet5!$B$2:$AG$33, MATCH(Table2[[#This Row],[AwayTeam]],Sheet5!$A$2:$A$33, 0), MATCH(Table2[[#This Row],[HomeTeam]],Sheet5!$A$2:$A$33, 0))</f>
        <v>0-0-0</v>
      </c>
      <c r="AP372" s="2" t="str">
        <f>INDEX(Sheet5!$B$2:$AG$33, MATCH(Table2[[#This Row],[HomeTeam]],Sheet5!$A$2:$A$33, 0), MATCH(Table2[[#This Row],[AwayTeam]],Sheet5!$A$2:$A$33, 0))</f>
        <v>0-0-0</v>
      </c>
      <c r="AQ372" s="2">
        <f>IF(Table2[[#This Row],[GameHasShutOut]], 1, 0)</f>
        <v>0</v>
      </c>
      <c r="AR372" s="2">
        <f>IF(Table2[[#This Row],[ActualAwayScore]] + Table2[[#This Row],[ActualHomeScore]] &gt;= 10, 1, 0)</f>
        <v>0</v>
      </c>
      <c r="AS372" s="2">
        <f>IF(ABS(Table2[[#This Row],[ActualAwayScore]]-Table2[[#This Row],[ActualHomeScore]])&gt;=5, 1, 0)</f>
        <v>0</v>
      </c>
      <c r="AT372" s="2">
        <f>IF(Table2[[#This Row],[ActualAwayScore]] + Table2[[#This Row],[ActualHomeScore]] &lt;= 3, 1, 0)</f>
        <v>1</v>
      </c>
      <c r="AU372" s="2"/>
      <c r="AV372" s="2"/>
    </row>
    <row r="373" spans="1:48" x14ac:dyDescent="0.25">
      <c r="A373" s="3"/>
      <c r="B373" s="3">
        <v>45988</v>
      </c>
      <c r="C373" s="5">
        <v>2025020371</v>
      </c>
      <c r="D373" s="2" t="s">
        <v>37</v>
      </c>
      <c r="E373" s="2" t="s">
        <v>25</v>
      </c>
      <c r="F373" s="2"/>
      <c r="G373" s="2"/>
      <c r="H373" s="2" t="str">
        <f t="shared" si="29"/>
        <v>_</v>
      </c>
      <c r="I373" s="2"/>
      <c r="J373" s="2"/>
      <c r="K373" s="2"/>
      <c r="L373" s="2" t="str">
        <f t="shared" si="30"/>
        <v>_</v>
      </c>
      <c r="M373" s="2"/>
      <c r="N373" s="2">
        <f>IF(ISBLANK(Table2[[#This Row],[ActualResult]]), 0, 1)</f>
        <v>0</v>
      </c>
      <c r="O373" s="2" t="str">
        <f>IF(ISBLANK(Table2[[#This Row],[ActualResult]]), "_", IF(Table2[[#This Row],[ActualWinner]]=Table2[[#This Row],[PredictedWinner]], "Y", "N"))</f>
        <v>_</v>
      </c>
      <c r="P3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3" s="2"/>
      <c r="S373" s="2" t="str">
        <f t="shared" si="31"/>
        <v>_</v>
      </c>
      <c r="T3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3" s="2">
        <f>IF(Table2[[#This Row],[InterConf]]=1,IF(Table2[[#This Row],[InterDiv]]=0, 1, 0), 0)</f>
        <v>1</v>
      </c>
      <c r="W3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3" s="2"/>
      <c r="Y373" s="2"/>
      <c r="Z373" s="145">
        <f>IF(AND(Table2[[#This Row],[GameIsOver]]=1,Table2[[#This Row],[ActualHomeScore]]*Table2[[#This Row],[ActualAwayScore]]=0), 1,0)</f>
        <v>0</v>
      </c>
      <c r="AA3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3" s="2">
        <f>Table2[[#This Row],[ActualAwayScore]]-Table2[[#This Row],[PredictedAwayScore]]</f>
        <v>0</v>
      </c>
      <c r="AG373" s="2">
        <f>Table2[[#This Row],[ActualHomeScore]]-Table2[[#This Row],[PredictedHomeScore]]</f>
        <v>0</v>
      </c>
      <c r="AH373" s="2">
        <f t="shared" si="32"/>
        <v>0</v>
      </c>
      <c r="AI373" s="2">
        <f t="shared" si="33"/>
        <v>0</v>
      </c>
      <c r="AJ373" s="2"/>
      <c r="AK373" s="2"/>
      <c r="AL373" s="2">
        <f>IF(Table2[[#This Row],[GameIsOver]]=0,0,IF(Table2[[#This Row],[ActualWinner]]=Table2[[#This Row],[AwayTeam]], 1, 0))</f>
        <v>0</v>
      </c>
      <c r="AM373" s="2">
        <f>IF(Table2[[#This Row],[GameIsOver]]=0,0,IF(Table2[[#This Row],[ActualWinner]]=Table2[[#This Row],[HomeTeam]], 1, 0))</f>
        <v>0</v>
      </c>
      <c r="AN3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3" s="2" t="str">
        <f>INDEX(Sheet5!$B$2:$AG$33, MATCH(Table2[[#This Row],[AwayTeam]],Sheet5!$A$2:$A$33, 0), MATCH(Table2[[#This Row],[HomeTeam]],Sheet5!$A$2:$A$33, 0))</f>
        <v>0-0-0</v>
      </c>
      <c r="AP373" s="2" t="str">
        <f>INDEX(Sheet5!$B$2:$AG$33, MATCH(Table2[[#This Row],[HomeTeam]],Sheet5!$A$2:$A$33, 0), MATCH(Table2[[#This Row],[AwayTeam]],Sheet5!$A$2:$A$33, 0))</f>
        <v>0-0-0</v>
      </c>
      <c r="AQ373" s="2">
        <f>IF(Table2[[#This Row],[GameHasShutOut]], 1, 0)</f>
        <v>0</v>
      </c>
      <c r="AR373" s="2">
        <f>IF(Table2[[#This Row],[ActualAwayScore]] + Table2[[#This Row],[ActualHomeScore]] &gt;= 10, 1, 0)</f>
        <v>0</v>
      </c>
      <c r="AS373" s="2">
        <f>IF(ABS(Table2[[#This Row],[ActualAwayScore]]-Table2[[#This Row],[ActualHomeScore]])&gt;=5, 1, 0)</f>
        <v>0</v>
      </c>
      <c r="AT373" s="2">
        <f>IF(Table2[[#This Row],[ActualAwayScore]] + Table2[[#This Row],[ActualHomeScore]] &lt;= 3, 1, 0)</f>
        <v>1</v>
      </c>
      <c r="AU373" s="2"/>
      <c r="AV373" s="2"/>
    </row>
    <row r="374" spans="1:48" x14ac:dyDescent="0.25">
      <c r="A374" s="3"/>
      <c r="B374" s="3">
        <v>45988</v>
      </c>
      <c r="C374" s="5">
        <v>2025020372</v>
      </c>
      <c r="D374" s="2" t="s">
        <v>18</v>
      </c>
      <c r="E374" s="2" t="s">
        <v>14</v>
      </c>
      <c r="F374" s="2"/>
      <c r="G374" s="2"/>
      <c r="H374" s="2" t="str">
        <f t="shared" si="29"/>
        <v>_</v>
      </c>
      <c r="I374" s="2"/>
      <c r="J374" s="2"/>
      <c r="K374" s="2"/>
      <c r="L374" s="2" t="str">
        <f t="shared" si="30"/>
        <v>_</v>
      </c>
      <c r="M374" s="2"/>
      <c r="N374" s="2">
        <f>IF(ISBLANK(Table2[[#This Row],[ActualResult]]), 0, 1)</f>
        <v>0</v>
      </c>
      <c r="O374" s="2" t="str">
        <f>IF(ISBLANK(Table2[[#This Row],[ActualResult]]), "_", IF(Table2[[#This Row],[ActualWinner]]=Table2[[#This Row],[PredictedWinner]], "Y", "N"))</f>
        <v>_</v>
      </c>
      <c r="P3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4" s="2"/>
      <c r="S374" s="2" t="str">
        <f t="shared" si="31"/>
        <v>_</v>
      </c>
      <c r="T3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4" s="2">
        <f>IF(Table2[[#This Row],[InterConf]]=1,IF(Table2[[#This Row],[InterDiv]]=0, 1, 0), 0)</f>
        <v>0</v>
      </c>
      <c r="W3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74" s="2"/>
      <c r="Y374" s="2"/>
      <c r="Z374" s="145">
        <f>IF(AND(Table2[[#This Row],[GameIsOver]]=1,Table2[[#This Row],[ActualHomeScore]]*Table2[[#This Row],[ActualAwayScore]]=0), 1,0)</f>
        <v>0</v>
      </c>
      <c r="AA3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4" s="2">
        <f>Table2[[#This Row],[ActualAwayScore]]-Table2[[#This Row],[PredictedAwayScore]]</f>
        <v>0</v>
      </c>
      <c r="AG374" s="2">
        <f>Table2[[#This Row],[ActualHomeScore]]-Table2[[#This Row],[PredictedHomeScore]]</f>
        <v>0</v>
      </c>
      <c r="AH374" s="2">
        <f t="shared" si="32"/>
        <v>0</v>
      </c>
      <c r="AI374" s="2">
        <f t="shared" si="33"/>
        <v>0</v>
      </c>
      <c r="AJ374" s="2"/>
      <c r="AK374" s="2"/>
      <c r="AL374" s="2">
        <f>IF(Table2[[#This Row],[GameIsOver]]=0,0,IF(Table2[[#This Row],[ActualWinner]]=Table2[[#This Row],[AwayTeam]], 1, 0))</f>
        <v>0</v>
      </c>
      <c r="AM374" s="2">
        <f>IF(Table2[[#This Row],[GameIsOver]]=0,0,IF(Table2[[#This Row],[ActualWinner]]=Table2[[#This Row],[HomeTeam]], 1, 0))</f>
        <v>0</v>
      </c>
      <c r="AN3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4" s="2" t="str">
        <f>INDEX(Sheet5!$B$2:$AG$33, MATCH(Table2[[#This Row],[AwayTeam]],Sheet5!$A$2:$A$33, 0), MATCH(Table2[[#This Row],[HomeTeam]],Sheet5!$A$2:$A$33, 0))</f>
        <v>0-0-0</v>
      </c>
      <c r="AP374" s="2" t="str">
        <f>INDEX(Sheet5!$B$2:$AG$33, MATCH(Table2[[#This Row],[HomeTeam]],Sheet5!$A$2:$A$33, 0), MATCH(Table2[[#This Row],[AwayTeam]],Sheet5!$A$2:$A$33, 0))</f>
        <v>0-0-0</v>
      </c>
      <c r="AQ374" s="2">
        <f>IF(Table2[[#This Row],[GameHasShutOut]], 1, 0)</f>
        <v>0</v>
      </c>
      <c r="AR374" s="2">
        <f>IF(Table2[[#This Row],[ActualAwayScore]] + Table2[[#This Row],[ActualHomeScore]] &gt;= 10, 1, 0)</f>
        <v>0</v>
      </c>
      <c r="AS374" s="2">
        <f>IF(ABS(Table2[[#This Row],[ActualAwayScore]]-Table2[[#This Row],[ActualHomeScore]])&gt;=5, 1, 0)</f>
        <v>0</v>
      </c>
      <c r="AT374" s="2">
        <f>IF(Table2[[#This Row],[ActualAwayScore]] + Table2[[#This Row],[ActualHomeScore]] &lt;= 3, 1, 0)</f>
        <v>1</v>
      </c>
      <c r="AU374" s="2"/>
      <c r="AV374" s="2"/>
    </row>
    <row r="375" spans="1:48" x14ac:dyDescent="0.25">
      <c r="A375" s="3"/>
      <c r="B375" s="3">
        <v>45988</v>
      </c>
      <c r="C375" s="5">
        <v>2025020373</v>
      </c>
      <c r="D375" s="2" t="s">
        <v>29</v>
      </c>
      <c r="E375" s="2" t="s">
        <v>26</v>
      </c>
      <c r="F375" s="2"/>
      <c r="G375" s="2"/>
      <c r="H375" s="2" t="str">
        <f t="shared" si="29"/>
        <v>_</v>
      </c>
      <c r="I375" s="2"/>
      <c r="J375" s="2"/>
      <c r="K375" s="2"/>
      <c r="L375" s="2" t="str">
        <f t="shared" si="30"/>
        <v>_</v>
      </c>
      <c r="M375" s="2"/>
      <c r="N375" s="2">
        <f>IF(ISBLANK(Table2[[#This Row],[ActualResult]]), 0, 1)</f>
        <v>0</v>
      </c>
      <c r="O375" s="2" t="str">
        <f>IF(ISBLANK(Table2[[#This Row],[ActualResult]]), "_", IF(Table2[[#This Row],[ActualWinner]]=Table2[[#This Row],[PredictedWinner]], "Y", "N"))</f>
        <v>_</v>
      </c>
      <c r="P3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5" s="2"/>
      <c r="S375" s="2" t="str">
        <f t="shared" si="31"/>
        <v>_</v>
      </c>
      <c r="T3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5" s="2">
        <f>IF(Table2[[#This Row],[InterConf]]=1,IF(Table2[[#This Row],[InterDiv]]=0, 1, 0), 0)</f>
        <v>0</v>
      </c>
      <c r="W3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75" s="2"/>
      <c r="Y375" s="2"/>
      <c r="Z375" s="145">
        <f>IF(AND(Table2[[#This Row],[GameIsOver]]=1,Table2[[#This Row],[ActualHomeScore]]*Table2[[#This Row],[ActualAwayScore]]=0), 1,0)</f>
        <v>0</v>
      </c>
      <c r="AA3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5" s="2">
        <f>Table2[[#This Row],[ActualAwayScore]]-Table2[[#This Row],[PredictedAwayScore]]</f>
        <v>0</v>
      </c>
      <c r="AG375" s="2">
        <f>Table2[[#This Row],[ActualHomeScore]]-Table2[[#This Row],[PredictedHomeScore]]</f>
        <v>0</v>
      </c>
      <c r="AH375" s="2">
        <f t="shared" si="32"/>
        <v>0</v>
      </c>
      <c r="AI375" s="2">
        <f t="shared" si="33"/>
        <v>0</v>
      </c>
      <c r="AJ375" s="2"/>
      <c r="AK375" s="2"/>
      <c r="AL375" s="2">
        <f>IF(Table2[[#This Row],[GameIsOver]]=0,0,IF(Table2[[#This Row],[ActualWinner]]=Table2[[#This Row],[AwayTeam]], 1, 0))</f>
        <v>0</v>
      </c>
      <c r="AM375" s="2">
        <f>IF(Table2[[#This Row],[GameIsOver]]=0,0,IF(Table2[[#This Row],[ActualWinner]]=Table2[[#This Row],[HomeTeam]], 1, 0))</f>
        <v>0</v>
      </c>
      <c r="AN3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5" s="2" t="str">
        <f>INDEX(Sheet5!$B$2:$AG$33, MATCH(Table2[[#This Row],[AwayTeam]],Sheet5!$A$2:$A$33, 0), MATCH(Table2[[#This Row],[HomeTeam]],Sheet5!$A$2:$A$33, 0))</f>
        <v>0-0-0</v>
      </c>
      <c r="AP375" s="2" t="str">
        <f>INDEX(Sheet5!$B$2:$AG$33, MATCH(Table2[[#This Row],[HomeTeam]],Sheet5!$A$2:$A$33, 0), MATCH(Table2[[#This Row],[AwayTeam]],Sheet5!$A$2:$A$33, 0))</f>
        <v>0-0-0</v>
      </c>
      <c r="AQ375" s="2">
        <f>IF(Table2[[#This Row],[GameHasShutOut]], 1, 0)</f>
        <v>0</v>
      </c>
      <c r="AR375" s="2">
        <f>IF(Table2[[#This Row],[ActualAwayScore]] + Table2[[#This Row],[ActualHomeScore]] &gt;= 10, 1, 0)</f>
        <v>0</v>
      </c>
      <c r="AS375" s="2">
        <f>IF(ABS(Table2[[#This Row],[ActualAwayScore]]-Table2[[#This Row],[ActualHomeScore]])&gt;=5, 1, 0)</f>
        <v>0</v>
      </c>
      <c r="AT375" s="2">
        <f>IF(Table2[[#This Row],[ActualAwayScore]] + Table2[[#This Row],[ActualHomeScore]] &lt;= 3, 1, 0)</f>
        <v>1</v>
      </c>
      <c r="AU375" s="2"/>
      <c r="AV375" s="2"/>
    </row>
    <row r="376" spans="1:48" x14ac:dyDescent="0.25">
      <c r="A376" s="3"/>
      <c r="B376" s="3">
        <v>45988</v>
      </c>
      <c r="C376" s="5">
        <v>2025020374</v>
      </c>
      <c r="D376" s="2" t="s">
        <v>24</v>
      </c>
      <c r="E376" s="2" t="s">
        <v>44</v>
      </c>
      <c r="F376" s="2"/>
      <c r="G376" s="2"/>
      <c r="H376" s="2" t="str">
        <f t="shared" si="29"/>
        <v>_</v>
      </c>
      <c r="I376" s="2"/>
      <c r="J376" s="2"/>
      <c r="K376" s="2"/>
      <c r="L376" s="2" t="str">
        <f t="shared" si="30"/>
        <v>_</v>
      </c>
      <c r="M376" s="2"/>
      <c r="N376" s="2">
        <f>IF(ISBLANK(Table2[[#This Row],[ActualResult]]), 0, 1)</f>
        <v>0</v>
      </c>
      <c r="O376" s="2" t="str">
        <f>IF(ISBLANK(Table2[[#This Row],[ActualResult]]), "_", IF(Table2[[#This Row],[ActualWinner]]=Table2[[#This Row],[PredictedWinner]], "Y", "N"))</f>
        <v>_</v>
      </c>
      <c r="P3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6" s="2"/>
      <c r="S376" s="2" t="str">
        <f t="shared" si="31"/>
        <v>_</v>
      </c>
      <c r="T3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6" s="2">
        <f>IF(Table2[[#This Row],[InterConf]]=1,IF(Table2[[#This Row],[InterDiv]]=0, 1, 0), 0)</f>
        <v>0</v>
      </c>
      <c r="W3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6" s="2"/>
      <c r="Y376" s="2"/>
      <c r="Z376" s="145">
        <f>IF(AND(Table2[[#This Row],[GameIsOver]]=1,Table2[[#This Row],[ActualHomeScore]]*Table2[[#This Row],[ActualAwayScore]]=0), 1,0)</f>
        <v>0</v>
      </c>
      <c r="AA3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6" s="2">
        <f>Table2[[#This Row],[ActualAwayScore]]-Table2[[#This Row],[PredictedAwayScore]]</f>
        <v>0</v>
      </c>
      <c r="AG376" s="2">
        <f>Table2[[#This Row],[ActualHomeScore]]-Table2[[#This Row],[PredictedHomeScore]]</f>
        <v>0</v>
      </c>
      <c r="AH376" s="2">
        <f t="shared" si="32"/>
        <v>0</v>
      </c>
      <c r="AI376" s="2">
        <f t="shared" si="33"/>
        <v>0</v>
      </c>
      <c r="AJ376" s="2"/>
      <c r="AK376" s="2"/>
      <c r="AL376" s="2">
        <f>IF(Table2[[#This Row],[GameIsOver]]=0,0,IF(Table2[[#This Row],[ActualWinner]]=Table2[[#This Row],[AwayTeam]], 1, 0))</f>
        <v>0</v>
      </c>
      <c r="AM376" s="2">
        <f>IF(Table2[[#This Row],[GameIsOver]]=0,0,IF(Table2[[#This Row],[ActualWinner]]=Table2[[#This Row],[HomeTeam]], 1, 0))</f>
        <v>0</v>
      </c>
      <c r="AN3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6" s="2" t="str">
        <f>INDEX(Sheet5!$B$2:$AG$33, MATCH(Table2[[#This Row],[AwayTeam]],Sheet5!$A$2:$A$33, 0), MATCH(Table2[[#This Row],[HomeTeam]],Sheet5!$A$2:$A$33, 0))</f>
        <v>0-0-0</v>
      </c>
      <c r="AP376" s="2" t="str">
        <f>INDEX(Sheet5!$B$2:$AG$33, MATCH(Table2[[#This Row],[HomeTeam]],Sheet5!$A$2:$A$33, 0), MATCH(Table2[[#This Row],[AwayTeam]],Sheet5!$A$2:$A$33, 0))</f>
        <v>0-0-0</v>
      </c>
      <c r="AQ376" s="2">
        <f>IF(Table2[[#This Row],[GameHasShutOut]], 1, 0)</f>
        <v>0</v>
      </c>
      <c r="AR376" s="2">
        <f>IF(Table2[[#This Row],[ActualAwayScore]] + Table2[[#This Row],[ActualHomeScore]] &gt;= 10, 1, 0)</f>
        <v>0</v>
      </c>
      <c r="AS376" s="2">
        <f>IF(ABS(Table2[[#This Row],[ActualAwayScore]]-Table2[[#This Row],[ActualHomeScore]])&gt;=5, 1, 0)</f>
        <v>0</v>
      </c>
      <c r="AT376" s="2">
        <f>IF(Table2[[#This Row],[ActualAwayScore]] + Table2[[#This Row],[ActualHomeScore]] &lt;= 3, 1, 0)</f>
        <v>1</v>
      </c>
      <c r="AU376" s="2"/>
      <c r="AV376" s="2"/>
    </row>
    <row r="377" spans="1:48" x14ac:dyDescent="0.25">
      <c r="A377" s="3"/>
      <c r="B377" s="3">
        <v>45988</v>
      </c>
      <c r="C377" s="5">
        <v>2025020375</v>
      </c>
      <c r="D377" s="2" t="s">
        <v>33</v>
      </c>
      <c r="E377" s="2" t="s">
        <v>11</v>
      </c>
      <c r="F377" s="2"/>
      <c r="G377" s="2"/>
      <c r="H377" s="2" t="str">
        <f t="shared" si="29"/>
        <v>_</v>
      </c>
      <c r="I377" s="2"/>
      <c r="J377" s="2"/>
      <c r="K377" s="2"/>
      <c r="L377" s="2" t="str">
        <f t="shared" si="30"/>
        <v>_</v>
      </c>
      <c r="M377" s="2"/>
      <c r="N377" s="2">
        <f>IF(ISBLANK(Table2[[#This Row],[ActualResult]]), 0, 1)</f>
        <v>0</v>
      </c>
      <c r="O377" s="2" t="str">
        <f>IF(ISBLANK(Table2[[#This Row],[ActualResult]]), "_", IF(Table2[[#This Row],[ActualWinner]]=Table2[[#This Row],[PredictedWinner]], "Y", "N"))</f>
        <v>_</v>
      </c>
      <c r="P3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7" s="2"/>
      <c r="S377" s="2" t="str">
        <f t="shared" si="31"/>
        <v>_</v>
      </c>
      <c r="T3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7" s="2">
        <f>IF(Table2[[#This Row],[InterConf]]=1,IF(Table2[[#This Row],[InterDiv]]=0, 1, 0), 0)</f>
        <v>1</v>
      </c>
      <c r="W3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7" s="2"/>
      <c r="Y377" s="2"/>
      <c r="Z377" s="145">
        <f>IF(AND(Table2[[#This Row],[GameIsOver]]=1,Table2[[#This Row],[ActualHomeScore]]*Table2[[#This Row],[ActualAwayScore]]=0), 1,0)</f>
        <v>0</v>
      </c>
      <c r="AA3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7" s="2">
        <f>Table2[[#This Row],[ActualAwayScore]]-Table2[[#This Row],[PredictedAwayScore]]</f>
        <v>0</v>
      </c>
      <c r="AG377" s="2">
        <f>Table2[[#This Row],[ActualHomeScore]]-Table2[[#This Row],[PredictedHomeScore]]</f>
        <v>0</v>
      </c>
      <c r="AH377" s="2">
        <f t="shared" si="32"/>
        <v>0</v>
      </c>
      <c r="AI377" s="2">
        <f t="shared" si="33"/>
        <v>0</v>
      </c>
      <c r="AJ377" s="2"/>
      <c r="AK377" s="2"/>
      <c r="AL377" s="2">
        <f>IF(Table2[[#This Row],[GameIsOver]]=0,0,IF(Table2[[#This Row],[ActualWinner]]=Table2[[#This Row],[AwayTeam]], 1, 0))</f>
        <v>0</v>
      </c>
      <c r="AM377" s="2">
        <f>IF(Table2[[#This Row],[GameIsOver]]=0,0,IF(Table2[[#This Row],[ActualWinner]]=Table2[[#This Row],[HomeTeam]], 1, 0))</f>
        <v>0</v>
      </c>
      <c r="AN3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7" s="2" t="str">
        <f>INDEX(Sheet5!$B$2:$AG$33, MATCH(Table2[[#This Row],[AwayTeam]],Sheet5!$A$2:$A$33, 0), MATCH(Table2[[#This Row],[HomeTeam]],Sheet5!$A$2:$A$33, 0))</f>
        <v>0-0-0</v>
      </c>
      <c r="AP377" s="2" t="str">
        <f>INDEX(Sheet5!$B$2:$AG$33, MATCH(Table2[[#This Row],[HomeTeam]],Sheet5!$A$2:$A$33, 0), MATCH(Table2[[#This Row],[AwayTeam]],Sheet5!$A$2:$A$33, 0))</f>
        <v>0-0-0</v>
      </c>
      <c r="AQ377" s="2">
        <f>IF(Table2[[#This Row],[GameHasShutOut]], 1, 0)</f>
        <v>0</v>
      </c>
      <c r="AR377" s="2">
        <f>IF(Table2[[#This Row],[ActualAwayScore]] + Table2[[#This Row],[ActualHomeScore]] &gt;= 10, 1, 0)</f>
        <v>0</v>
      </c>
      <c r="AS377" s="2">
        <f>IF(ABS(Table2[[#This Row],[ActualAwayScore]]-Table2[[#This Row],[ActualHomeScore]])&gt;=5, 1, 0)</f>
        <v>0</v>
      </c>
      <c r="AT377" s="2">
        <f>IF(Table2[[#This Row],[ActualAwayScore]] + Table2[[#This Row],[ActualHomeScore]] &lt;= 3, 1, 0)</f>
        <v>1</v>
      </c>
      <c r="AU377" s="2"/>
      <c r="AV377" s="2"/>
    </row>
    <row r="378" spans="1:48" x14ac:dyDescent="0.25">
      <c r="A378" s="3"/>
      <c r="B378" s="3">
        <v>45989</v>
      </c>
      <c r="C378" s="5">
        <v>2025020376</v>
      </c>
      <c r="D378" s="2" t="s">
        <v>19</v>
      </c>
      <c r="E378" s="2" t="s">
        <v>15</v>
      </c>
      <c r="F378" s="2"/>
      <c r="G378" s="2"/>
      <c r="H378" s="2" t="str">
        <f t="shared" si="29"/>
        <v>_</v>
      </c>
      <c r="I378" s="2"/>
      <c r="J378" s="2"/>
      <c r="K378" s="2"/>
      <c r="L378" s="2" t="str">
        <f t="shared" si="30"/>
        <v>_</v>
      </c>
      <c r="M378" s="2"/>
      <c r="N378" s="2">
        <f>IF(ISBLANK(Table2[[#This Row],[ActualResult]]), 0, 1)</f>
        <v>0</v>
      </c>
      <c r="O378" s="2" t="str">
        <f>IF(ISBLANK(Table2[[#This Row],[ActualResult]]), "_", IF(Table2[[#This Row],[ActualWinner]]=Table2[[#This Row],[PredictedWinner]], "Y", "N"))</f>
        <v>_</v>
      </c>
      <c r="P3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8" s="2"/>
      <c r="S378" s="2" t="str">
        <f t="shared" si="31"/>
        <v>_</v>
      </c>
      <c r="T3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8" s="2">
        <f>IF(Table2[[#This Row],[InterConf]]=1,IF(Table2[[#This Row],[InterDiv]]=0, 1, 0), 0)</f>
        <v>1</v>
      </c>
      <c r="W3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8" s="2"/>
      <c r="Y378" s="2"/>
      <c r="Z378" s="145">
        <f>IF(AND(Table2[[#This Row],[GameIsOver]]=1,Table2[[#This Row],[ActualHomeScore]]*Table2[[#This Row],[ActualAwayScore]]=0), 1,0)</f>
        <v>0</v>
      </c>
      <c r="AA3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78" s="2">
        <f>Table2[[#This Row],[ActualAwayScore]]-Table2[[#This Row],[PredictedAwayScore]]</f>
        <v>0</v>
      </c>
      <c r="AG378" s="2">
        <f>Table2[[#This Row],[ActualHomeScore]]-Table2[[#This Row],[PredictedHomeScore]]</f>
        <v>0</v>
      </c>
      <c r="AH378" s="2">
        <f t="shared" si="32"/>
        <v>0</v>
      </c>
      <c r="AI378" s="2">
        <f t="shared" si="33"/>
        <v>0</v>
      </c>
      <c r="AJ378" s="2"/>
      <c r="AK378" s="2"/>
      <c r="AL378" s="2">
        <f>IF(Table2[[#This Row],[GameIsOver]]=0,0,IF(Table2[[#This Row],[ActualWinner]]=Table2[[#This Row],[AwayTeam]], 1, 0))</f>
        <v>0</v>
      </c>
      <c r="AM378" s="2">
        <f>IF(Table2[[#This Row],[GameIsOver]]=0,0,IF(Table2[[#This Row],[ActualWinner]]=Table2[[#This Row],[HomeTeam]], 1, 0))</f>
        <v>0</v>
      </c>
      <c r="AN3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8" s="2" t="str">
        <f>INDEX(Sheet5!$B$2:$AG$33, MATCH(Table2[[#This Row],[AwayTeam]],Sheet5!$A$2:$A$33, 0), MATCH(Table2[[#This Row],[HomeTeam]],Sheet5!$A$2:$A$33, 0))</f>
        <v>0-0-0</v>
      </c>
      <c r="AP378" s="2" t="str">
        <f>INDEX(Sheet5!$B$2:$AG$33, MATCH(Table2[[#This Row],[HomeTeam]],Sheet5!$A$2:$A$33, 0), MATCH(Table2[[#This Row],[AwayTeam]],Sheet5!$A$2:$A$33, 0))</f>
        <v>0-0-0</v>
      </c>
      <c r="AQ378" s="2">
        <f>IF(Table2[[#This Row],[GameHasShutOut]], 1, 0)</f>
        <v>0</v>
      </c>
      <c r="AR378" s="2">
        <f>IF(Table2[[#This Row],[ActualAwayScore]] + Table2[[#This Row],[ActualHomeScore]] &gt;= 10, 1, 0)</f>
        <v>0</v>
      </c>
      <c r="AS378" s="2">
        <f>IF(ABS(Table2[[#This Row],[ActualAwayScore]]-Table2[[#This Row],[ActualHomeScore]])&gt;=5, 1, 0)</f>
        <v>0</v>
      </c>
      <c r="AT378" s="2">
        <f>IF(Table2[[#This Row],[ActualAwayScore]] + Table2[[#This Row],[ActualHomeScore]] &lt;= 3, 1, 0)</f>
        <v>1</v>
      </c>
      <c r="AU378" s="2"/>
      <c r="AV378" s="2"/>
    </row>
    <row r="379" spans="1:48" x14ac:dyDescent="0.25">
      <c r="A379" s="3"/>
      <c r="B379" s="3">
        <v>45989</v>
      </c>
      <c r="C379" s="5">
        <v>2025020377</v>
      </c>
      <c r="D379" s="2" t="s">
        <v>40</v>
      </c>
      <c r="E379" s="2" t="s">
        <v>30</v>
      </c>
      <c r="F379" s="2"/>
      <c r="G379" s="2"/>
      <c r="H379" s="2" t="str">
        <f t="shared" si="29"/>
        <v>_</v>
      </c>
      <c r="I379" s="2"/>
      <c r="J379" s="2"/>
      <c r="K379" s="2"/>
      <c r="L379" s="2" t="str">
        <f t="shared" si="30"/>
        <v>_</v>
      </c>
      <c r="M379" s="2"/>
      <c r="N379" s="2">
        <f>IF(ISBLANK(Table2[[#This Row],[ActualResult]]), 0, 1)</f>
        <v>0</v>
      </c>
      <c r="O379" s="2" t="str">
        <f>IF(ISBLANK(Table2[[#This Row],[ActualResult]]), "_", IF(Table2[[#This Row],[ActualWinner]]=Table2[[#This Row],[PredictedWinner]], "Y", "N"))</f>
        <v>_</v>
      </c>
      <c r="P3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9" s="2"/>
      <c r="S379" s="2" t="str">
        <f t="shared" si="31"/>
        <v>_</v>
      </c>
      <c r="T3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9" s="2">
        <f>IF(Table2[[#This Row],[InterConf]]=1,IF(Table2[[#This Row],[InterDiv]]=0, 1, 0), 0)</f>
        <v>0</v>
      </c>
      <c r="W3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9" s="2"/>
      <c r="Y379" s="2"/>
      <c r="Z379" s="145">
        <f>IF(AND(Table2[[#This Row],[GameIsOver]]=1,Table2[[#This Row],[ActualHomeScore]]*Table2[[#This Row],[ActualAwayScore]]=0), 1,0)</f>
        <v>0</v>
      </c>
      <c r="AA3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79" s="2">
        <f>Table2[[#This Row],[ActualAwayScore]]-Table2[[#This Row],[PredictedAwayScore]]</f>
        <v>0</v>
      </c>
      <c r="AG379" s="2">
        <f>Table2[[#This Row],[ActualHomeScore]]-Table2[[#This Row],[PredictedHomeScore]]</f>
        <v>0</v>
      </c>
      <c r="AH379" s="2">
        <f t="shared" si="32"/>
        <v>0</v>
      </c>
      <c r="AI379" s="2">
        <f t="shared" si="33"/>
        <v>0</v>
      </c>
      <c r="AJ379" s="2"/>
      <c r="AK379" s="2"/>
      <c r="AL379" s="2">
        <f>IF(Table2[[#This Row],[GameIsOver]]=0,0,IF(Table2[[#This Row],[ActualWinner]]=Table2[[#This Row],[AwayTeam]], 1, 0))</f>
        <v>0</v>
      </c>
      <c r="AM379" s="2">
        <f>IF(Table2[[#This Row],[GameIsOver]]=0,0,IF(Table2[[#This Row],[ActualWinner]]=Table2[[#This Row],[HomeTeam]], 1, 0))</f>
        <v>0</v>
      </c>
      <c r="AN3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9" s="2" t="str">
        <f>INDEX(Sheet5!$B$2:$AG$33, MATCH(Table2[[#This Row],[AwayTeam]],Sheet5!$A$2:$A$33, 0), MATCH(Table2[[#This Row],[HomeTeam]],Sheet5!$A$2:$A$33, 0))</f>
        <v>0-0-1</v>
      </c>
      <c r="AP379" s="2" t="str">
        <f>INDEX(Sheet5!$B$2:$AG$33, MATCH(Table2[[#This Row],[HomeTeam]],Sheet5!$A$2:$A$33, 0), MATCH(Table2[[#This Row],[AwayTeam]],Sheet5!$A$2:$A$33, 0))</f>
        <v>1-0-0</v>
      </c>
      <c r="AQ379" s="2">
        <f>IF(Table2[[#This Row],[GameHasShutOut]], 1, 0)</f>
        <v>0</v>
      </c>
      <c r="AR379" s="2">
        <f>IF(Table2[[#This Row],[ActualAwayScore]] + Table2[[#This Row],[ActualHomeScore]] &gt;= 10, 1, 0)</f>
        <v>0</v>
      </c>
      <c r="AS379" s="2">
        <f>IF(ABS(Table2[[#This Row],[ActualAwayScore]]-Table2[[#This Row],[ActualHomeScore]])&gt;=5, 1, 0)</f>
        <v>0</v>
      </c>
      <c r="AT379" s="2">
        <f>IF(Table2[[#This Row],[ActualAwayScore]] + Table2[[#This Row],[ActualHomeScore]] &lt;= 3, 1, 0)</f>
        <v>1</v>
      </c>
      <c r="AU379" s="2"/>
      <c r="AV379" s="2"/>
    </row>
    <row r="380" spans="1:48" x14ac:dyDescent="0.25">
      <c r="A380" s="3"/>
      <c r="B380" s="3">
        <v>45989</v>
      </c>
      <c r="C380" s="5">
        <v>2025020378</v>
      </c>
      <c r="D380" s="2" t="s">
        <v>25</v>
      </c>
      <c r="E380" s="2" t="s">
        <v>36</v>
      </c>
      <c r="F380" s="2"/>
      <c r="G380" s="2"/>
      <c r="H380" s="2" t="str">
        <f t="shared" si="29"/>
        <v>_</v>
      </c>
      <c r="I380" s="2"/>
      <c r="J380" s="2"/>
      <c r="K380" s="2"/>
      <c r="L380" s="2" t="str">
        <f t="shared" si="30"/>
        <v>_</v>
      </c>
      <c r="M380" s="2"/>
      <c r="N380" s="2">
        <f>IF(ISBLANK(Table2[[#This Row],[ActualResult]]), 0, 1)</f>
        <v>0</v>
      </c>
      <c r="O380" s="2" t="str">
        <f>IF(ISBLANK(Table2[[#This Row],[ActualResult]]), "_", IF(Table2[[#This Row],[ActualWinner]]=Table2[[#This Row],[PredictedWinner]], "Y", "N"))</f>
        <v>_</v>
      </c>
      <c r="P3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0" s="2"/>
      <c r="S380" s="2" t="str">
        <f t="shared" si="31"/>
        <v>_</v>
      </c>
      <c r="T3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0" s="2">
        <f>IF(Table2[[#This Row],[InterConf]]=1,IF(Table2[[#This Row],[InterDiv]]=0, 1, 0), 0)</f>
        <v>0</v>
      </c>
      <c r="W3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0" s="2"/>
      <c r="Y380" s="2"/>
      <c r="Z380" s="145">
        <f>IF(AND(Table2[[#This Row],[GameIsOver]]=1,Table2[[#This Row],[ActualHomeScore]]*Table2[[#This Row],[ActualAwayScore]]=0), 1,0)</f>
        <v>0</v>
      </c>
      <c r="AA3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0" s="2">
        <f>Table2[[#This Row],[ActualAwayScore]]-Table2[[#This Row],[PredictedAwayScore]]</f>
        <v>0</v>
      </c>
      <c r="AG380" s="2">
        <f>Table2[[#This Row],[ActualHomeScore]]-Table2[[#This Row],[PredictedHomeScore]]</f>
        <v>0</v>
      </c>
      <c r="AH380" s="2">
        <f t="shared" si="32"/>
        <v>0</v>
      </c>
      <c r="AI380" s="2">
        <f t="shared" si="33"/>
        <v>0</v>
      </c>
      <c r="AJ380" s="2"/>
      <c r="AK380" s="2"/>
      <c r="AL380" s="2">
        <f>IF(Table2[[#This Row],[GameIsOver]]=0,0,IF(Table2[[#This Row],[ActualWinner]]=Table2[[#This Row],[AwayTeam]], 1, 0))</f>
        <v>0</v>
      </c>
      <c r="AM380" s="2">
        <f>IF(Table2[[#This Row],[GameIsOver]]=0,0,IF(Table2[[#This Row],[ActualWinner]]=Table2[[#This Row],[HomeTeam]], 1, 0))</f>
        <v>0</v>
      </c>
      <c r="AN3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0" s="2" t="str">
        <f>INDEX(Sheet5!$B$2:$AG$33, MATCH(Table2[[#This Row],[AwayTeam]],Sheet5!$A$2:$A$33, 0), MATCH(Table2[[#This Row],[HomeTeam]],Sheet5!$A$2:$A$33, 0))</f>
        <v>0-0-0</v>
      </c>
      <c r="AP380" s="2" t="str">
        <f>INDEX(Sheet5!$B$2:$AG$33, MATCH(Table2[[#This Row],[HomeTeam]],Sheet5!$A$2:$A$33, 0), MATCH(Table2[[#This Row],[AwayTeam]],Sheet5!$A$2:$A$33, 0))</f>
        <v>0-0-0</v>
      </c>
      <c r="AQ380" s="2">
        <f>IF(Table2[[#This Row],[GameHasShutOut]], 1, 0)</f>
        <v>0</v>
      </c>
      <c r="AR380" s="2">
        <f>IF(Table2[[#This Row],[ActualAwayScore]] + Table2[[#This Row],[ActualHomeScore]] &gt;= 10, 1, 0)</f>
        <v>0</v>
      </c>
      <c r="AS380" s="2">
        <f>IF(ABS(Table2[[#This Row],[ActualAwayScore]]-Table2[[#This Row],[ActualHomeScore]])&gt;=5, 1, 0)</f>
        <v>0</v>
      </c>
      <c r="AT380" s="2">
        <f>IF(Table2[[#This Row],[ActualAwayScore]] + Table2[[#This Row],[ActualHomeScore]] &lt;= 3, 1, 0)</f>
        <v>1</v>
      </c>
      <c r="AU380" s="2"/>
      <c r="AV380" s="2"/>
    </row>
    <row r="381" spans="1:48" x14ac:dyDescent="0.25">
      <c r="A381" s="3"/>
      <c r="B381" s="3">
        <v>45989</v>
      </c>
      <c r="C381" s="5">
        <v>2025020379</v>
      </c>
      <c r="D381" s="2" t="s">
        <v>31</v>
      </c>
      <c r="E381" s="2" t="s">
        <v>28</v>
      </c>
      <c r="F381" s="2"/>
      <c r="G381" s="2"/>
      <c r="H381" s="2" t="str">
        <f t="shared" si="29"/>
        <v>_</v>
      </c>
      <c r="I381" s="2"/>
      <c r="J381" s="2"/>
      <c r="K381" s="2"/>
      <c r="L381" s="2" t="str">
        <f t="shared" si="30"/>
        <v>_</v>
      </c>
      <c r="M381" s="2"/>
      <c r="N381" s="2">
        <f>IF(ISBLANK(Table2[[#This Row],[ActualResult]]), 0, 1)</f>
        <v>0</v>
      </c>
      <c r="O381" s="2" t="str">
        <f>IF(ISBLANK(Table2[[#This Row],[ActualResult]]), "_", IF(Table2[[#This Row],[ActualWinner]]=Table2[[#This Row],[PredictedWinner]], "Y", "N"))</f>
        <v>_</v>
      </c>
      <c r="P3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1" s="2"/>
      <c r="S381" s="2" t="str">
        <f t="shared" si="31"/>
        <v>_</v>
      </c>
      <c r="T3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1" s="2">
        <f>IF(Table2[[#This Row],[InterConf]]=1,IF(Table2[[#This Row],[InterDiv]]=0, 1, 0), 0)</f>
        <v>1</v>
      </c>
      <c r="W3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1" s="2"/>
      <c r="Y381" s="2"/>
      <c r="Z381" s="145">
        <f>IF(AND(Table2[[#This Row],[GameIsOver]]=1,Table2[[#This Row],[ActualHomeScore]]*Table2[[#This Row],[ActualAwayScore]]=0), 1,0)</f>
        <v>0</v>
      </c>
      <c r="AA3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1" s="2">
        <f>Table2[[#This Row],[ActualAwayScore]]-Table2[[#This Row],[PredictedAwayScore]]</f>
        <v>0</v>
      </c>
      <c r="AG381" s="2">
        <f>Table2[[#This Row],[ActualHomeScore]]-Table2[[#This Row],[PredictedHomeScore]]</f>
        <v>0</v>
      </c>
      <c r="AH381" s="2">
        <f t="shared" si="32"/>
        <v>0</v>
      </c>
      <c r="AI381" s="2">
        <f t="shared" si="33"/>
        <v>0</v>
      </c>
      <c r="AJ381" s="2"/>
      <c r="AK381" s="2"/>
      <c r="AL381" s="2">
        <f>IF(Table2[[#This Row],[GameIsOver]]=0,0,IF(Table2[[#This Row],[ActualWinner]]=Table2[[#This Row],[AwayTeam]], 1, 0))</f>
        <v>0</v>
      </c>
      <c r="AM381" s="2">
        <f>IF(Table2[[#This Row],[GameIsOver]]=0,0,IF(Table2[[#This Row],[ActualWinner]]=Table2[[#This Row],[HomeTeam]], 1, 0))</f>
        <v>0</v>
      </c>
      <c r="AN3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1" s="2" t="str">
        <f>INDEX(Sheet5!$B$2:$AG$33, MATCH(Table2[[#This Row],[AwayTeam]],Sheet5!$A$2:$A$33, 0), MATCH(Table2[[#This Row],[HomeTeam]],Sheet5!$A$2:$A$33, 0))</f>
        <v>0-0-0</v>
      </c>
      <c r="AP381" s="2" t="str">
        <f>INDEX(Sheet5!$B$2:$AG$33, MATCH(Table2[[#This Row],[HomeTeam]],Sheet5!$A$2:$A$33, 0), MATCH(Table2[[#This Row],[AwayTeam]],Sheet5!$A$2:$A$33, 0))</f>
        <v>0-0-0</v>
      </c>
      <c r="AQ381" s="2">
        <f>IF(Table2[[#This Row],[GameHasShutOut]], 1, 0)</f>
        <v>0</v>
      </c>
      <c r="AR381" s="2">
        <f>IF(Table2[[#This Row],[ActualAwayScore]] + Table2[[#This Row],[ActualHomeScore]] &gt;= 10, 1, 0)</f>
        <v>0</v>
      </c>
      <c r="AS381" s="2">
        <f>IF(ABS(Table2[[#This Row],[ActualAwayScore]]-Table2[[#This Row],[ActualHomeScore]])&gt;=5, 1, 0)</f>
        <v>0</v>
      </c>
      <c r="AT381" s="2">
        <f>IF(Table2[[#This Row],[ActualAwayScore]] + Table2[[#This Row],[ActualHomeScore]] &lt;= 3, 1, 0)</f>
        <v>1</v>
      </c>
      <c r="AU381" s="2"/>
      <c r="AV381" s="2"/>
    </row>
    <row r="382" spans="1:48" x14ac:dyDescent="0.25">
      <c r="A382" s="3"/>
      <c r="B382" s="3">
        <v>45989</v>
      </c>
      <c r="C382" s="5">
        <v>2025020380</v>
      </c>
      <c r="D382" s="2" t="s">
        <v>23</v>
      </c>
      <c r="E382" s="2" t="s">
        <v>13</v>
      </c>
      <c r="F382" s="2"/>
      <c r="G382" s="2"/>
      <c r="H382" s="2" t="str">
        <f t="shared" si="29"/>
        <v>_</v>
      </c>
      <c r="I382" s="2"/>
      <c r="J382" s="2"/>
      <c r="K382" s="2"/>
      <c r="L382" s="2" t="str">
        <f t="shared" si="30"/>
        <v>_</v>
      </c>
      <c r="M382" s="2"/>
      <c r="N382" s="2">
        <f>IF(ISBLANK(Table2[[#This Row],[ActualResult]]), 0, 1)</f>
        <v>0</v>
      </c>
      <c r="O382" s="2" t="str">
        <f>IF(ISBLANK(Table2[[#This Row],[ActualResult]]), "_", IF(Table2[[#This Row],[ActualWinner]]=Table2[[#This Row],[PredictedWinner]], "Y", "N"))</f>
        <v>_</v>
      </c>
      <c r="P3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2" s="2"/>
      <c r="S382" s="2" t="str">
        <f t="shared" si="31"/>
        <v>_</v>
      </c>
      <c r="T3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2" s="2">
        <f>IF(Table2[[#This Row],[InterConf]]=1,IF(Table2[[#This Row],[InterDiv]]=0, 1, 0), 0)</f>
        <v>0</v>
      </c>
      <c r="W3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2" s="2"/>
      <c r="Y382" s="2"/>
      <c r="Z382" s="145">
        <f>IF(AND(Table2[[#This Row],[GameIsOver]]=1,Table2[[#This Row],[ActualHomeScore]]*Table2[[#This Row],[ActualAwayScore]]=0), 1,0)</f>
        <v>0</v>
      </c>
      <c r="AA3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2" s="2">
        <f>Table2[[#This Row],[ActualAwayScore]]-Table2[[#This Row],[PredictedAwayScore]]</f>
        <v>0</v>
      </c>
      <c r="AG382" s="2">
        <f>Table2[[#This Row],[ActualHomeScore]]-Table2[[#This Row],[PredictedHomeScore]]</f>
        <v>0</v>
      </c>
      <c r="AH382" s="2">
        <f t="shared" si="32"/>
        <v>0</v>
      </c>
      <c r="AI382" s="2">
        <f t="shared" si="33"/>
        <v>0</v>
      </c>
      <c r="AJ382" s="2"/>
      <c r="AK382" s="2"/>
      <c r="AL382" s="2">
        <f>IF(Table2[[#This Row],[GameIsOver]]=0,0,IF(Table2[[#This Row],[ActualWinner]]=Table2[[#This Row],[AwayTeam]], 1, 0))</f>
        <v>0</v>
      </c>
      <c r="AM382" s="2">
        <f>IF(Table2[[#This Row],[GameIsOver]]=0,0,IF(Table2[[#This Row],[ActualWinner]]=Table2[[#This Row],[HomeTeam]], 1, 0))</f>
        <v>0</v>
      </c>
      <c r="AN3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2" s="2" t="str">
        <f>INDEX(Sheet5!$B$2:$AG$33, MATCH(Table2[[#This Row],[AwayTeam]],Sheet5!$A$2:$A$33, 0), MATCH(Table2[[#This Row],[HomeTeam]],Sheet5!$A$2:$A$33, 0))</f>
        <v>0-0-0</v>
      </c>
      <c r="AP382" s="2" t="str">
        <f>INDEX(Sheet5!$B$2:$AG$33, MATCH(Table2[[#This Row],[HomeTeam]],Sheet5!$A$2:$A$33, 0), MATCH(Table2[[#This Row],[AwayTeam]],Sheet5!$A$2:$A$33, 0))</f>
        <v>0-0-0</v>
      </c>
      <c r="AQ382" s="2">
        <f>IF(Table2[[#This Row],[GameHasShutOut]], 1, 0)</f>
        <v>0</v>
      </c>
      <c r="AR382" s="2">
        <f>IF(Table2[[#This Row],[ActualAwayScore]] + Table2[[#This Row],[ActualHomeScore]] &gt;= 10, 1, 0)</f>
        <v>0</v>
      </c>
      <c r="AS382" s="2">
        <f>IF(ABS(Table2[[#This Row],[ActualAwayScore]]-Table2[[#This Row],[ActualHomeScore]])&gt;=5, 1, 0)</f>
        <v>0</v>
      </c>
      <c r="AT382" s="2">
        <f>IF(Table2[[#This Row],[ActualAwayScore]] + Table2[[#This Row],[ActualHomeScore]] &lt;= 3, 1, 0)</f>
        <v>1</v>
      </c>
      <c r="AU382" s="2"/>
      <c r="AV382" s="2"/>
    </row>
    <row r="383" spans="1:48" x14ac:dyDescent="0.25">
      <c r="A383" s="3"/>
      <c r="B383" s="3">
        <v>45989</v>
      </c>
      <c r="C383" s="5">
        <v>2025020381</v>
      </c>
      <c r="D383" s="2" t="s">
        <v>42</v>
      </c>
      <c r="E383" s="2" t="s">
        <v>32</v>
      </c>
      <c r="F383" s="2"/>
      <c r="G383" s="2"/>
      <c r="H383" s="2" t="str">
        <f t="shared" si="29"/>
        <v>_</v>
      </c>
      <c r="I383" s="2"/>
      <c r="J383" s="2"/>
      <c r="K383" s="2"/>
      <c r="L383" s="2" t="str">
        <f t="shared" si="30"/>
        <v>_</v>
      </c>
      <c r="M383" s="2"/>
      <c r="N383" s="2">
        <f>IF(ISBLANK(Table2[[#This Row],[ActualResult]]), 0, 1)</f>
        <v>0</v>
      </c>
      <c r="O383" s="2" t="str">
        <f>IF(ISBLANK(Table2[[#This Row],[ActualResult]]), "_", IF(Table2[[#This Row],[ActualWinner]]=Table2[[#This Row],[PredictedWinner]], "Y", "N"))</f>
        <v>_</v>
      </c>
      <c r="P3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3" s="2"/>
      <c r="S383" s="2" t="str">
        <f t="shared" si="31"/>
        <v>_</v>
      </c>
      <c r="T3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3" s="2">
        <f>IF(Table2[[#This Row],[InterConf]]=1,IF(Table2[[#This Row],[InterDiv]]=0, 1, 0), 0)</f>
        <v>0</v>
      </c>
      <c r="W3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3" s="2"/>
      <c r="Y383" s="2"/>
      <c r="Z383" s="145">
        <f>IF(AND(Table2[[#This Row],[GameIsOver]]=1,Table2[[#This Row],[ActualHomeScore]]*Table2[[#This Row],[ActualAwayScore]]=0), 1,0)</f>
        <v>0</v>
      </c>
      <c r="AA3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3" s="2">
        <f>Table2[[#This Row],[ActualAwayScore]]-Table2[[#This Row],[PredictedAwayScore]]</f>
        <v>0</v>
      </c>
      <c r="AG383" s="2">
        <f>Table2[[#This Row],[ActualHomeScore]]-Table2[[#This Row],[PredictedHomeScore]]</f>
        <v>0</v>
      </c>
      <c r="AH383" s="2">
        <f t="shared" si="32"/>
        <v>0</v>
      </c>
      <c r="AI383" s="2">
        <f t="shared" si="33"/>
        <v>0</v>
      </c>
      <c r="AJ383" s="2"/>
      <c r="AK383" s="2"/>
      <c r="AL383" s="2">
        <f>IF(Table2[[#This Row],[GameIsOver]]=0,0,IF(Table2[[#This Row],[ActualWinner]]=Table2[[#This Row],[AwayTeam]], 1, 0))</f>
        <v>0</v>
      </c>
      <c r="AM383" s="2">
        <f>IF(Table2[[#This Row],[GameIsOver]]=0,0,IF(Table2[[#This Row],[ActualWinner]]=Table2[[#This Row],[HomeTeam]], 1, 0))</f>
        <v>0</v>
      </c>
      <c r="AN3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3" s="2" t="str">
        <f>INDEX(Sheet5!$B$2:$AG$33, MATCH(Table2[[#This Row],[AwayTeam]],Sheet5!$A$2:$A$33, 0), MATCH(Table2[[#This Row],[HomeTeam]],Sheet5!$A$2:$A$33, 0))</f>
        <v>0-0-0</v>
      </c>
      <c r="AP383" s="2" t="str">
        <f>INDEX(Sheet5!$B$2:$AG$33, MATCH(Table2[[#This Row],[HomeTeam]],Sheet5!$A$2:$A$33, 0), MATCH(Table2[[#This Row],[AwayTeam]],Sheet5!$A$2:$A$33, 0))</f>
        <v>0-0-0</v>
      </c>
      <c r="AQ383" s="2">
        <f>IF(Table2[[#This Row],[GameHasShutOut]], 1, 0)</f>
        <v>0</v>
      </c>
      <c r="AR383" s="2">
        <f>IF(Table2[[#This Row],[ActualAwayScore]] + Table2[[#This Row],[ActualHomeScore]] &gt;= 10, 1, 0)</f>
        <v>0</v>
      </c>
      <c r="AS383" s="2">
        <f>IF(ABS(Table2[[#This Row],[ActualAwayScore]]-Table2[[#This Row],[ActualHomeScore]])&gt;=5, 1, 0)</f>
        <v>0</v>
      </c>
      <c r="AT383" s="2">
        <f>IF(Table2[[#This Row],[ActualAwayScore]] + Table2[[#This Row],[ActualHomeScore]] &lt;= 3, 1, 0)</f>
        <v>1</v>
      </c>
      <c r="AU383" s="2"/>
      <c r="AV383" s="2"/>
    </row>
    <row r="384" spans="1:48" x14ac:dyDescent="0.25">
      <c r="A384" s="3"/>
      <c r="B384" s="3">
        <v>45989</v>
      </c>
      <c r="C384" s="5">
        <v>2025020382</v>
      </c>
      <c r="D384" s="2" t="s">
        <v>29</v>
      </c>
      <c r="E384" s="2" t="s">
        <v>12</v>
      </c>
      <c r="F384" s="2"/>
      <c r="G384" s="2"/>
      <c r="H384" s="2" t="str">
        <f t="shared" si="29"/>
        <v>_</v>
      </c>
      <c r="I384" s="2"/>
      <c r="J384" s="2"/>
      <c r="K384" s="2"/>
      <c r="L384" s="2" t="str">
        <f t="shared" si="30"/>
        <v>_</v>
      </c>
      <c r="M384" s="2"/>
      <c r="N384" s="2">
        <f>IF(ISBLANK(Table2[[#This Row],[ActualResult]]), 0, 1)</f>
        <v>0</v>
      </c>
      <c r="O384" s="2" t="str">
        <f>IF(ISBLANK(Table2[[#This Row],[ActualResult]]), "_", IF(Table2[[#This Row],[ActualWinner]]=Table2[[#This Row],[PredictedWinner]], "Y", "N"))</f>
        <v>_</v>
      </c>
      <c r="P3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4" s="2"/>
      <c r="S384" s="2" t="str">
        <f t="shared" si="31"/>
        <v>_</v>
      </c>
      <c r="T3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4" s="2">
        <f>IF(Table2[[#This Row],[InterConf]]=1,IF(Table2[[#This Row],[InterDiv]]=0, 1, 0), 0)</f>
        <v>0</v>
      </c>
      <c r="W3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4" s="2"/>
      <c r="Y384" s="2"/>
      <c r="Z384" s="145">
        <f>IF(AND(Table2[[#This Row],[GameIsOver]]=1,Table2[[#This Row],[ActualHomeScore]]*Table2[[#This Row],[ActualAwayScore]]=0), 1,0)</f>
        <v>0</v>
      </c>
      <c r="AA3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4" s="2">
        <f>Table2[[#This Row],[ActualAwayScore]]-Table2[[#This Row],[PredictedAwayScore]]</f>
        <v>0</v>
      </c>
      <c r="AG384" s="2">
        <f>Table2[[#This Row],[ActualHomeScore]]-Table2[[#This Row],[PredictedHomeScore]]</f>
        <v>0</v>
      </c>
      <c r="AH384" s="2">
        <f t="shared" si="32"/>
        <v>0</v>
      </c>
      <c r="AI384" s="2">
        <f t="shared" si="33"/>
        <v>0</v>
      </c>
      <c r="AJ384" s="2"/>
      <c r="AK384" s="2"/>
      <c r="AL384" s="2">
        <f>IF(Table2[[#This Row],[GameIsOver]]=0,0,IF(Table2[[#This Row],[ActualWinner]]=Table2[[#This Row],[AwayTeam]], 1, 0))</f>
        <v>0</v>
      </c>
      <c r="AM384" s="2">
        <f>IF(Table2[[#This Row],[GameIsOver]]=0,0,IF(Table2[[#This Row],[ActualWinner]]=Table2[[#This Row],[HomeTeam]], 1, 0))</f>
        <v>0</v>
      </c>
      <c r="AN3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4" s="2" t="str">
        <f>INDEX(Sheet5!$B$2:$AG$33, MATCH(Table2[[#This Row],[AwayTeam]],Sheet5!$A$2:$A$33, 0), MATCH(Table2[[#This Row],[HomeTeam]],Sheet5!$A$2:$A$33, 0))</f>
        <v>0-0-0</v>
      </c>
      <c r="AP384" s="2" t="str">
        <f>INDEX(Sheet5!$B$2:$AG$33, MATCH(Table2[[#This Row],[HomeTeam]],Sheet5!$A$2:$A$33, 0), MATCH(Table2[[#This Row],[AwayTeam]],Sheet5!$A$2:$A$33, 0))</f>
        <v>0-0-0</v>
      </c>
      <c r="AQ384" s="2">
        <f>IF(Table2[[#This Row],[GameHasShutOut]], 1, 0)</f>
        <v>0</v>
      </c>
      <c r="AR384" s="2">
        <f>IF(Table2[[#This Row],[ActualAwayScore]] + Table2[[#This Row],[ActualHomeScore]] &gt;= 10, 1, 0)</f>
        <v>0</v>
      </c>
      <c r="AS384" s="2">
        <f>IF(ABS(Table2[[#This Row],[ActualAwayScore]]-Table2[[#This Row],[ActualHomeScore]])&gt;=5, 1, 0)</f>
        <v>0</v>
      </c>
      <c r="AT384" s="2">
        <f>IF(Table2[[#This Row],[ActualAwayScore]] + Table2[[#This Row],[ActualHomeScore]] &lt;= 3, 1, 0)</f>
        <v>1</v>
      </c>
      <c r="AU384" s="2"/>
      <c r="AV384" s="2"/>
    </row>
    <row r="385" spans="1:48" x14ac:dyDescent="0.25">
      <c r="A385" s="3"/>
      <c r="B385" s="3">
        <v>45989</v>
      </c>
      <c r="C385" s="5">
        <v>2025020383</v>
      </c>
      <c r="D385" s="2" t="s">
        <v>18</v>
      </c>
      <c r="E385" s="2" t="s">
        <v>26</v>
      </c>
      <c r="F385" s="2"/>
      <c r="G385" s="2"/>
      <c r="H385" s="2" t="str">
        <f t="shared" si="29"/>
        <v>_</v>
      </c>
      <c r="I385" s="2"/>
      <c r="J385" s="2"/>
      <c r="K385" s="2"/>
      <c r="L385" s="2" t="str">
        <f t="shared" si="30"/>
        <v>_</v>
      </c>
      <c r="M385" s="2"/>
      <c r="N385" s="2">
        <f>IF(ISBLANK(Table2[[#This Row],[ActualResult]]), 0, 1)</f>
        <v>0</v>
      </c>
      <c r="O385" s="2" t="str">
        <f>IF(ISBLANK(Table2[[#This Row],[ActualResult]]), "_", IF(Table2[[#This Row],[ActualWinner]]=Table2[[#This Row],[PredictedWinner]], "Y", "N"))</f>
        <v>_</v>
      </c>
      <c r="P3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5" s="2"/>
      <c r="S385" s="2" t="str">
        <f t="shared" si="31"/>
        <v>_</v>
      </c>
      <c r="T3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5" s="2">
        <f>IF(Table2[[#This Row],[InterConf]]=1,IF(Table2[[#This Row],[InterDiv]]=0, 1, 0), 0)</f>
        <v>0</v>
      </c>
      <c r="W3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5" s="2"/>
      <c r="Y385" s="2"/>
      <c r="Z385" s="145">
        <f>IF(AND(Table2[[#This Row],[GameIsOver]]=1,Table2[[#This Row],[ActualHomeScore]]*Table2[[#This Row],[ActualAwayScore]]=0), 1,0)</f>
        <v>0</v>
      </c>
      <c r="AA3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5" s="2">
        <f>Table2[[#This Row],[ActualAwayScore]]-Table2[[#This Row],[PredictedAwayScore]]</f>
        <v>0</v>
      </c>
      <c r="AG385" s="2">
        <f>Table2[[#This Row],[ActualHomeScore]]-Table2[[#This Row],[PredictedHomeScore]]</f>
        <v>0</v>
      </c>
      <c r="AH385" s="2">
        <f t="shared" si="32"/>
        <v>0</v>
      </c>
      <c r="AI385" s="2">
        <f t="shared" si="33"/>
        <v>0</v>
      </c>
      <c r="AJ385" s="2"/>
      <c r="AK385" s="2"/>
      <c r="AL385" s="2">
        <f>IF(Table2[[#This Row],[GameIsOver]]=0,0,IF(Table2[[#This Row],[ActualWinner]]=Table2[[#This Row],[AwayTeam]], 1, 0))</f>
        <v>0</v>
      </c>
      <c r="AM385" s="2">
        <f>IF(Table2[[#This Row],[GameIsOver]]=0,0,IF(Table2[[#This Row],[ActualWinner]]=Table2[[#This Row],[HomeTeam]], 1, 0))</f>
        <v>0</v>
      </c>
      <c r="AN3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5" s="2" t="str">
        <f>INDEX(Sheet5!$B$2:$AG$33, MATCH(Table2[[#This Row],[AwayTeam]],Sheet5!$A$2:$A$33, 0), MATCH(Table2[[#This Row],[HomeTeam]],Sheet5!$A$2:$A$33, 0))</f>
        <v>0-0-0</v>
      </c>
      <c r="AP385" s="2" t="str">
        <f>INDEX(Sheet5!$B$2:$AG$33, MATCH(Table2[[#This Row],[HomeTeam]],Sheet5!$A$2:$A$33, 0), MATCH(Table2[[#This Row],[AwayTeam]],Sheet5!$A$2:$A$33, 0))</f>
        <v>0-0-0</v>
      </c>
      <c r="AQ385" s="2">
        <f>IF(Table2[[#This Row],[GameHasShutOut]], 1, 0)</f>
        <v>0</v>
      </c>
      <c r="AR385" s="2">
        <f>IF(Table2[[#This Row],[ActualAwayScore]] + Table2[[#This Row],[ActualHomeScore]] &gt;= 10, 1, 0)</f>
        <v>0</v>
      </c>
      <c r="AS385" s="2">
        <f>IF(ABS(Table2[[#This Row],[ActualAwayScore]]-Table2[[#This Row],[ActualHomeScore]])&gt;=5, 1, 0)</f>
        <v>0</v>
      </c>
      <c r="AT385" s="2">
        <f>IF(Table2[[#This Row],[ActualAwayScore]] + Table2[[#This Row],[ActualHomeScore]] &lt;= 3, 1, 0)</f>
        <v>1</v>
      </c>
      <c r="AU385" s="2"/>
      <c r="AV385" s="2"/>
    </row>
    <row r="386" spans="1:48" x14ac:dyDescent="0.25">
      <c r="A386" s="3"/>
      <c r="B386" s="3">
        <v>45989</v>
      </c>
      <c r="C386" s="5">
        <v>2025020384</v>
      </c>
      <c r="D386" s="2" t="s">
        <v>27</v>
      </c>
      <c r="E386" s="2" t="s">
        <v>44</v>
      </c>
      <c r="F386" s="2"/>
      <c r="G386" s="2"/>
      <c r="H386" s="2" t="str">
        <f t="shared" si="29"/>
        <v>_</v>
      </c>
      <c r="I386" s="2"/>
      <c r="J386" s="2"/>
      <c r="K386" s="2"/>
      <c r="L386" s="2" t="str">
        <f t="shared" si="30"/>
        <v>_</v>
      </c>
      <c r="M386" s="2"/>
      <c r="N386" s="2">
        <f>IF(ISBLANK(Table2[[#This Row],[ActualResult]]), 0, 1)</f>
        <v>0</v>
      </c>
      <c r="O386" s="2" t="str">
        <f>IF(ISBLANK(Table2[[#This Row],[ActualResult]]), "_", IF(Table2[[#This Row],[ActualWinner]]=Table2[[#This Row],[PredictedWinner]], "Y", "N"))</f>
        <v>_</v>
      </c>
      <c r="P3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6" s="2"/>
      <c r="S386" s="2" t="str">
        <f t="shared" si="31"/>
        <v>_</v>
      </c>
      <c r="T3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6" s="2">
        <f>IF(Table2[[#This Row],[InterConf]]=1,IF(Table2[[#This Row],[InterDiv]]=0, 1, 0), 0)</f>
        <v>0</v>
      </c>
      <c r="W3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6" s="2"/>
      <c r="Y386" s="2"/>
      <c r="Z386" s="145">
        <f>IF(AND(Table2[[#This Row],[GameIsOver]]=1,Table2[[#This Row],[ActualHomeScore]]*Table2[[#This Row],[ActualAwayScore]]=0), 1,0)</f>
        <v>0</v>
      </c>
      <c r="AA3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6" s="2">
        <f>Table2[[#This Row],[ActualAwayScore]]-Table2[[#This Row],[PredictedAwayScore]]</f>
        <v>0</v>
      </c>
      <c r="AG386" s="2">
        <f>Table2[[#This Row],[ActualHomeScore]]-Table2[[#This Row],[PredictedHomeScore]]</f>
        <v>0</v>
      </c>
      <c r="AH386" s="2">
        <f t="shared" si="32"/>
        <v>0</v>
      </c>
      <c r="AI386" s="2">
        <f t="shared" si="33"/>
        <v>0</v>
      </c>
      <c r="AJ386" s="2"/>
      <c r="AK386" s="2"/>
      <c r="AL386" s="2">
        <f>IF(Table2[[#This Row],[GameIsOver]]=0,0,IF(Table2[[#This Row],[ActualWinner]]=Table2[[#This Row],[AwayTeam]], 1, 0))</f>
        <v>0</v>
      </c>
      <c r="AM386" s="2">
        <f>IF(Table2[[#This Row],[GameIsOver]]=0,0,IF(Table2[[#This Row],[ActualWinner]]=Table2[[#This Row],[HomeTeam]], 1, 0))</f>
        <v>0</v>
      </c>
      <c r="AN386" s="2">
        <f>IF(IFERROR(FIND(Table2[[#This Row],[AwayTeam]], _xlfn.TEXTJOIN(";", 1, $BD$31:$BD$40)), 0) &gt; 0, 1, 0) + IF(IFERROR(FIND(Table2[[#This Row],[HomeTeam]], _xlfn.TEXTJOIN(";", 1, $BD$31:$BD$40)), 0) &gt; 0, 1, 0)</f>
        <v>1</v>
      </c>
      <c r="AO386" s="2" t="str">
        <f>INDEX(Sheet5!$B$2:$AG$33, MATCH(Table2[[#This Row],[AwayTeam]],Sheet5!$A$2:$A$33, 0), MATCH(Table2[[#This Row],[HomeTeam]],Sheet5!$A$2:$A$33, 0))</f>
        <v>0-0-0</v>
      </c>
      <c r="AP386" s="2" t="str">
        <f>INDEX(Sheet5!$B$2:$AG$33, MATCH(Table2[[#This Row],[HomeTeam]],Sheet5!$A$2:$A$33, 0), MATCH(Table2[[#This Row],[AwayTeam]],Sheet5!$A$2:$A$33, 0))</f>
        <v>0-0-0</v>
      </c>
      <c r="AQ386" s="2">
        <f>IF(Table2[[#This Row],[GameHasShutOut]], 1, 0)</f>
        <v>0</v>
      </c>
      <c r="AR386" s="2">
        <f>IF(Table2[[#This Row],[ActualAwayScore]] + Table2[[#This Row],[ActualHomeScore]] &gt;= 10, 1, 0)</f>
        <v>0</v>
      </c>
      <c r="AS386" s="2">
        <f>IF(ABS(Table2[[#This Row],[ActualAwayScore]]-Table2[[#This Row],[ActualHomeScore]])&gt;=5, 1, 0)</f>
        <v>0</v>
      </c>
      <c r="AT386" s="2">
        <f>IF(Table2[[#This Row],[ActualAwayScore]] + Table2[[#This Row],[ActualHomeScore]] &lt;= 3, 1, 0)</f>
        <v>1</v>
      </c>
      <c r="AU386" s="2"/>
      <c r="AV386" s="2"/>
    </row>
    <row r="387" spans="1:48" x14ac:dyDescent="0.25">
      <c r="A387" s="3"/>
      <c r="B387" s="3">
        <v>45989</v>
      </c>
      <c r="C387" s="5">
        <v>2025020385</v>
      </c>
      <c r="D387" s="2" t="s">
        <v>24</v>
      </c>
      <c r="E387" s="2" t="s">
        <v>37</v>
      </c>
      <c r="F387" s="2"/>
      <c r="G387" s="2"/>
      <c r="H387" s="2" t="str">
        <f t="shared" ref="H387:H450" si="34">IF(AND(ISBLANK($F387),ISBLANK($G387)),"_",IF($F387&gt;$G387,$D387,$E387))</f>
        <v>_</v>
      </c>
      <c r="I387" s="2"/>
      <c r="J387" s="2"/>
      <c r="K387" s="2"/>
      <c r="L387" s="2" t="str">
        <f t="shared" ref="L387:L450" si="35">IF(OR($J387=$K387,AND(ISBLANK($J387),ISBLANK($K387))),"_",IF($J387&gt;$K387,$D387,$E387))</f>
        <v>_</v>
      </c>
      <c r="M387" s="2"/>
      <c r="N387" s="2">
        <f>IF(ISBLANK(Table2[[#This Row],[ActualResult]]), 0, 1)</f>
        <v>0</v>
      </c>
      <c r="O387" s="2" t="str">
        <f>IF(ISBLANK(Table2[[#This Row],[ActualResult]]), "_", IF(Table2[[#This Row],[ActualWinner]]=Table2[[#This Row],[PredictedWinner]], "Y", "N"))</f>
        <v>_</v>
      </c>
      <c r="P3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7" s="2"/>
      <c r="S387" s="2" t="str">
        <f t="shared" ref="S387:S450" si="36">IF($L387="_", "_", IF($L387=$D387,$E387,$D387))</f>
        <v>_</v>
      </c>
      <c r="T3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7" s="2">
        <f>IF(Table2[[#This Row],[InterConf]]=1,IF(Table2[[#This Row],[InterDiv]]=0, 1, 0), 0)</f>
        <v>0</v>
      </c>
      <c r="W3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7" s="2"/>
      <c r="Y387" s="2"/>
      <c r="Z387" s="145">
        <f>IF(AND(Table2[[#This Row],[GameIsOver]]=1,Table2[[#This Row],[ActualHomeScore]]*Table2[[#This Row],[ActualAwayScore]]=0), 1,0)</f>
        <v>0</v>
      </c>
      <c r="AA3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7" s="2">
        <f>Table2[[#This Row],[ActualAwayScore]]-Table2[[#This Row],[PredictedAwayScore]]</f>
        <v>0</v>
      </c>
      <c r="AG387" s="2">
        <f>Table2[[#This Row],[ActualHomeScore]]-Table2[[#This Row],[PredictedHomeScore]]</f>
        <v>0</v>
      </c>
      <c r="AH387" s="2">
        <f t="shared" ref="AH387:AH450" si="37">SUMIF($B$3:$B$1315, $B387, $AF$3:$AF$1315)</f>
        <v>0</v>
      </c>
      <c r="AI387" s="2">
        <f t="shared" ref="AI387:AI450" si="38">SUMIF($B$3:$B$1315, $B387, $AG$3:$AG$1315)</f>
        <v>0</v>
      </c>
      <c r="AJ387" s="2"/>
      <c r="AK387" s="2"/>
      <c r="AL387" s="2">
        <f>IF(Table2[[#This Row],[GameIsOver]]=0,0,IF(Table2[[#This Row],[ActualWinner]]=Table2[[#This Row],[AwayTeam]], 1, 0))</f>
        <v>0</v>
      </c>
      <c r="AM387" s="2">
        <f>IF(Table2[[#This Row],[GameIsOver]]=0,0,IF(Table2[[#This Row],[ActualWinner]]=Table2[[#This Row],[HomeTeam]], 1, 0))</f>
        <v>0</v>
      </c>
      <c r="AN3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7" s="2" t="str">
        <f>INDEX(Sheet5!$B$2:$AG$33, MATCH(Table2[[#This Row],[AwayTeam]],Sheet5!$A$2:$A$33, 0), MATCH(Table2[[#This Row],[HomeTeam]],Sheet5!$A$2:$A$33, 0))</f>
        <v>0-0-0</v>
      </c>
      <c r="AP387" s="2" t="str">
        <f>INDEX(Sheet5!$B$2:$AG$33, MATCH(Table2[[#This Row],[HomeTeam]],Sheet5!$A$2:$A$33, 0), MATCH(Table2[[#This Row],[AwayTeam]],Sheet5!$A$2:$A$33, 0))</f>
        <v>0-0-0</v>
      </c>
      <c r="AQ387" s="2">
        <f>IF(Table2[[#This Row],[GameHasShutOut]], 1, 0)</f>
        <v>0</v>
      </c>
      <c r="AR387" s="2">
        <f>IF(Table2[[#This Row],[ActualAwayScore]] + Table2[[#This Row],[ActualHomeScore]] &gt;= 10, 1, 0)</f>
        <v>0</v>
      </c>
      <c r="AS387" s="2">
        <f>IF(ABS(Table2[[#This Row],[ActualAwayScore]]-Table2[[#This Row],[ActualHomeScore]])&gt;=5, 1, 0)</f>
        <v>0</v>
      </c>
      <c r="AT387" s="2">
        <f>IF(Table2[[#This Row],[ActualAwayScore]] + Table2[[#This Row],[ActualHomeScore]] &lt;= 3, 1, 0)</f>
        <v>1</v>
      </c>
      <c r="AU387" s="2"/>
      <c r="AV387" s="2"/>
    </row>
    <row r="388" spans="1:48" x14ac:dyDescent="0.25">
      <c r="A388" s="3"/>
      <c r="B388" s="3">
        <v>45989</v>
      </c>
      <c r="C388" s="5">
        <v>2025020386</v>
      </c>
      <c r="D388" s="2" t="s">
        <v>17</v>
      </c>
      <c r="E388" s="2" t="s">
        <v>43</v>
      </c>
      <c r="F388" s="2"/>
      <c r="G388" s="2"/>
      <c r="H388" s="2" t="str">
        <f t="shared" si="34"/>
        <v>_</v>
      </c>
      <c r="I388" s="2"/>
      <c r="J388" s="2"/>
      <c r="K388" s="2"/>
      <c r="L388" s="2" t="str">
        <f t="shared" si="35"/>
        <v>_</v>
      </c>
      <c r="M388" s="2"/>
      <c r="N388" s="2">
        <f>IF(ISBLANK(Table2[[#This Row],[ActualResult]]), 0, 1)</f>
        <v>0</v>
      </c>
      <c r="O388" s="2" t="str">
        <f>IF(ISBLANK(Table2[[#This Row],[ActualResult]]), "_", IF(Table2[[#This Row],[ActualWinner]]=Table2[[#This Row],[PredictedWinner]], "Y", "N"))</f>
        <v>_</v>
      </c>
      <c r="P3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8" s="2"/>
      <c r="S388" s="2" t="str">
        <f t="shared" si="36"/>
        <v>_</v>
      </c>
      <c r="T3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8" s="2">
        <f>IF(Table2[[#This Row],[InterConf]]=1,IF(Table2[[#This Row],[InterDiv]]=0, 1, 0), 0)</f>
        <v>1</v>
      </c>
      <c r="W3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8" s="2"/>
      <c r="Y388" s="2"/>
      <c r="Z388" s="145">
        <f>IF(AND(Table2[[#This Row],[GameIsOver]]=1,Table2[[#This Row],[ActualHomeScore]]*Table2[[#This Row],[ActualAwayScore]]=0), 1,0)</f>
        <v>0</v>
      </c>
      <c r="AA3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8" s="2">
        <f>Table2[[#This Row],[ActualAwayScore]]-Table2[[#This Row],[PredictedAwayScore]]</f>
        <v>0</v>
      </c>
      <c r="AG388" s="2">
        <f>Table2[[#This Row],[ActualHomeScore]]-Table2[[#This Row],[PredictedHomeScore]]</f>
        <v>0</v>
      </c>
      <c r="AH388" s="2">
        <f t="shared" si="37"/>
        <v>0</v>
      </c>
      <c r="AI388" s="2">
        <f t="shared" si="38"/>
        <v>0</v>
      </c>
      <c r="AJ388" s="2"/>
      <c r="AK388" s="2"/>
      <c r="AL388" s="2">
        <f>IF(Table2[[#This Row],[GameIsOver]]=0,0,IF(Table2[[#This Row],[ActualWinner]]=Table2[[#This Row],[AwayTeam]], 1, 0))</f>
        <v>0</v>
      </c>
      <c r="AM388" s="2">
        <f>IF(Table2[[#This Row],[GameIsOver]]=0,0,IF(Table2[[#This Row],[ActualWinner]]=Table2[[#This Row],[HomeTeam]], 1, 0))</f>
        <v>0</v>
      </c>
      <c r="AN3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8" s="2" t="str">
        <f>INDEX(Sheet5!$B$2:$AG$33, MATCH(Table2[[#This Row],[AwayTeam]],Sheet5!$A$2:$A$33, 0), MATCH(Table2[[#This Row],[HomeTeam]],Sheet5!$A$2:$A$33, 0))</f>
        <v>0-0-0</v>
      </c>
      <c r="AP388" s="2" t="str">
        <f>INDEX(Sheet5!$B$2:$AG$33, MATCH(Table2[[#This Row],[HomeTeam]],Sheet5!$A$2:$A$33, 0), MATCH(Table2[[#This Row],[AwayTeam]],Sheet5!$A$2:$A$33, 0))</f>
        <v>0-0-0</v>
      </c>
      <c r="AQ388" s="2">
        <f>IF(Table2[[#This Row],[GameHasShutOut]], 1, 0)</f>
        <v>0</v>
      </c>
      <c r="AR388" s="2">
        <f>IF(Table2[[#This Row],[ActualAwayScore]] + Table2[[#This Row],[ActualHomeScore]] &gt;= 10, 1, 0)</f>
        <v>0</v>
      </c>
      <c r="AS388" s="2">
        <f>IF(ABS(Table2[[#This Row],[ActualAwayScore]]-Table2[[#This Row],[ActualHomeScore]])&gt;=5, 1, 0)</f>
        <v>0</v>
      </c>
      <c r="AT388" s="2">
        <f>IF(Table2[[#This Row],[ActualAwayScore]] + Table2[[#This Row],[ActualHomeScore]] &lt;= 3, 1, 0)</f>
        <v>1</v>
      </c>
      <c r="AU388" s="2"/>
      <c r="AV388" s="2"/>
    </row>
    <row r="389" spans="1:48" x14ac:dyDescent="0.25">
      <c r="A389" s="3"/>
      <c r="B389" s="3">
        <v>45989</v>
      </c>
      <c r="C389" s="5">
        <v>2025020387</v>
      </c>
      <c r="D389" s="2" t="s">
        <v>21</v>
      </c>
      <c r="E389" s="2" t="s">
        <v>41</v>
      </c>
      <c r="F389" s="2"/>
      <c r="G389" s="2"/>
      <c r="H389" s="2" t="str">
        <f t="shared" si="34"/>
        <v>_</v>
      </c>
      <c r="I389" s="2"/>
      <c r="J389" s="2"/>
      <c r="K389" s="2"/>
      <c r="L389" s="2" t="str">
        <f t="shared" si="35"/>
        <v>_</v>
      </c>
      <c r="M389" s="2"/>
      <c r="N389" s="2">
        <f>IF(ISBLANK(Table2[[#This Row],[ActualResult]]), 0, 1)</f>
        <v>0</v>
      </c>
      <c r="O389" s="2" t="str">
        <f>IF(ISBLANK(Table2[[#This Row],[ActualResult]]), "_", IF(Table2[[#This Row],[ActualWinner]]=Table2[[#This Row],[PredictedWinner]], "Y", "N"))</f>
        <v>_</v>
      </c>
      <c r="P3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9" s="2"/>
      <c r="S389" s="2" t="str">
        <f t="shared" si="36"/>
        <v>_</v>
      </c>
      <c r="T3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9" s="2">
        <f>IF(Table2[[#This Row],[InterConf]]=1,IF(Table2[[#This Row],[InterDiv]]=0, 1, 0), 0)</f>
        <v>0</v>
      </c>
      <c r="W3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9" s="2"/>
      <c r="Y389" s="2"/>
      <c r="Z389" s="145">
        <f>IF(AND(Table2[[#This Row],[GameIsOver]]=1,Table2[[#This Row],[ActualHomeScore]]*Table2[[#This Row],[ActualAwayScore]]=0), 1,0)</f>
        <v>0</v>
      </c>
      <c r="AA3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9" s="2">
        <f>Table2[[#This Row],[ActualAwayScore]]-Table2[[#This Row],[PredictedAwayScore]]</f>
        <v>0</v>
      </c>
      <c r="AG389" s="2">
        <f>Table2[[#This Row],[ActualHomeScore]]-Table2[[#This Row],[PredictedHomeScore]]</f>
        <v>0</v>
      </c>
      <c r="AH389" s="2">
        <f t="shared" si="37"/>
        <v>0</v>
      </c>
      <c r="AI389" s="2">
        <f t="shared" si="38"/>
        <v>0</v>
      </c>
      <c r="AJ389" s="2"/>
      <c r="AK389" s="2"/>
      <c r="AL389" s="2">
        <f>IF(Table2[[#This Row],[GameIsOver]]=0,0,IF(Table2[[#This Row],[ActualWinner]]=Table2[[#This Row],[AwayTeam]], 1, 0))</f>
        <v>0</v>
      </c>
      <c r="AM389" s="2">
        <f>IF(Table2[[#This Row],[GameIsOver]]=0,0,IF(Table2[[#This Row],[ActualWinner]]=Table2[[#This Row],[HomeTeam]], 1, 0))</f>
        <v>0</v>
      </c>
      <c r="AN3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9" s="2" t="str">
        <f>INDEX(Sheet5!$B$2:$AG$33, MATCH(Table2[[#This Row],[AwayTeam]],Sheet5!$A$2:$A$33, 0), MATCH(Table2[[#This Row],[HomeTeam]],Sheet5!$A$2:$A$33, 0))</f>
        <v>0-0-0</v>
      </c>
      <c r="AP389" s="2" t="str">
        <f>INDEX(Sheet5!$B$2:$AG$33, MATCH(Table2[[#This Row],[HomeTeam]],Sheet5!$A$2:$A$33, 0), MATCH(Table2[[#This Row],[AwayTeam]],Sheet5!$A$2:$A$33, 0))</f>
        <v>0-0-0</v>
      </c>
      <c r="AQ389" s="2">
        <f>IF(Table2[[#This Row],[GameHasShutOut]], 1, 0)</f>
        <v>0</v>
      </c>
      <c r="AR389" s="2">
        <f>IF(Table2[[#This Row],[ActualAwayScore]] + Table2[[#This Row],[ActualHomeScore]] &gt;= 10, 1, 0)</f>
        <v>0</v>
      </c>
      <c r="AS389" s="2">
        <f>IF(ABS(Table2[[#This Row],[ActualAwayScore]]-Table2[[#This Row],[ActualHomeScore]])&gt;=5, 1, 0)</f>
        <v>0</v>
      </c>
      <c r="AT389" s="2">
        <f>IF(Table2[[#This Row],[ActualAwayScore]] + Table2[[#This Row],[ActualHomeScore]] &lt;= 3, 1, 0)</f>
        <v>1</v>
      </c>
      <c r="AU389" s="2"/>
      <c r="AV389" s="2"/>
    </row>
    <row r="390" spans="1:48" x14ac:dyDescent="0.25">
      <c r="A390" s="3"/>
      <c r="B390" s="3">
        <v>45990</v>
      </c>
      <c r="C390" s="5">
        <v>2025020388</v>
      </c>
      <c r="D390" s="2" t="s">
        <v>20</v>
      </c>
      <c r="E390" s="2" t="s">
        <v>35</v>
      </c>
      <c r="F390" s="2"/>
      <c r="G390" s="2"/>
      <c r="H390" s="2" t="str">
        <f t="shared" si="34"/>
        <v>_</v>
      </c>
      <c r="I390" s="2"/>
      <c r="J390" s="2"/>
      <c r="K390" s="2"/>
      <c r="L390" s="2" t="str">
        <f t="shared" si="35"/>
        <v>_</v>
      </c>
      <c r="M390" s="2"/>
      <c r="N390" s="2">
        <f>IF(ISBLANK(Table2[[#This Row],[ActualResult]]), 0, 1)</f>
        <v>0</v>
      </c>
      <c r="O390" s="2" t="str">
        <f>IF(ISBLANK(Table2[[#This Row],[ActualResult]]), "_", IF(Table2[[#This Row],[ActualWinner]]=Table2[[#This Row],[PredictedWinner]], "Y", "N"))</f>
        <v>_</v>
      </c>
      <c r="P3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0" s="2"/>
      <c r="S390" s="2" t="str">
        <f t="shared" si="36"/>
        <v>_</v>
      </c>
      <c r="T3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0" s="2">
        <f>IF(Table2[[#This Row],[InterConf]]=1,IF(Table2[[#This Row],[InterDiv]]=0, 1, 0), 0)</f>
        <v>0</v>
      </c>
      <c r="W3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0" s="2"/>
      <c r="Y390" s="2"/>
      <c r="Z390" s="145">
        <f>IF(AND(Table2[[#This Row],[GameIsOver]]=1,Table2[[#This Row],[ActualHomeScore]]*Table2[[#This Row],[ActualAwayScore]]=0), 1,0)</f>
        <v>0</v>
      </c>
      <c r="AA3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0" s="2">
        <f>Table2[[#This Row],[ActualAwayScore]]-Table2[[#This Row],[PredictedAwayScore]]</f>
        <v>0</v>
      </c>
      <c r="AG390" s="2">
        <f>Table2[[#This Row],[ActualHomeScore]]-Table2[[#This Row],[PredictedHomeScore]]</f>
        <v>0</v>
      </c>
      <c r="AH390" s="2">
        <f t="shared" si="37"/>
        <v>0</v>
      </c>
      <c r="AI390" s="2">
        <f t="shared" si="38"/>
        <v>0</v>
      </c>
      <c r="AJ390" s="2"/>
      <c r="AK390" s="2"/>
      <c r="AL390" s="2">
        <f>IF(Table2[[#This Row],[GameIsOver]]=0,0,IF(Table2[[#This Row],[ActualWinner]]=Table2[[#This Row],[AwayTeam]], 1, 0))</f>
        <v>0</v>
      </c>
      <c r="AM390" s="2">
        <f>IF(Table2[[#This Row],[GameIsOver]]=0,0,IF(Table2[[#This Row],[ActualWinner]]=Table2[[#This Row],[HomeTeam]], 1, 0))</f>
        <v>0</v>
      </c>
      <c r="AN3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0" s="2" t="str">
        <f>INDEX(Sheet5!$B$2:$AG$33, MATCH(Table2[[#This Row],[AwayTeam]],Sheet5!$A$2:$A$33, 0), MATCH(Table2[[#This Row],[HomeTeam]],Sheet5!$A$2:$A$33, 0))</f>
        <v>0-0-0</v>
      </c>
      <c r="AP390" s="2" t="str">
        <f>INDEX(Sheet5!$B$2:$AG$33, MATCH(Table2[[#This Row],[HomeTeam]],Sheet5!$A$2:$A$33, 0), MATCH(Table2[[#This Row],[AwayTeam]],Sheet5!$A$2:$A$33, 0))</f>
        <v>0-0-0</v>
      </c>
      <c r="AQ390" s="2">
        <f>IF(Table2[[#This Row],[GameHasShutOut]], 1, 0)</f>
        <v>0</v>
      </c>
      <c r="AR390" s="2">
        <f>IF(Table2[[#This Row],[ActualAwayScore]] + Table2[[#This Row],[ActualHomeScore]] &gt;= 10, 1, 0)</f>
        <v>0</v>
      </c>
      <c r="AS390" s="2">
        <f>IF(ABS(Table2[[#This Row],[ActualAwayScore]]-Table2[[#This Row],[ActualHomeScore]])&gt;=5, 1, 0)</f>
        <v>0</v>
      </c>
      <c r="AT390" s="2">
        <f>IF(Table2[[#This Row],[ActualAwayScore]] + Table2[[#This Row],[ActualHomeScore]] &lt;= 3, 1, 0)</f>
        <v>1</v>
      </c>
      <c r="AU390" s="2"/>
      <c r="AV390" s="2"/>
    </row>
    <row r="391" spans="1:48" x14ac:dyDescent="0.25">
      <c r="A391" s="3"/>
      <c r="B391" s="3">
        <v>45990</v>
      </c>
      <c r="C391" s="5">
        <v>2025020389</v>
      </c>
      <c r="D391" s="2" t="s">
        <v>34</v>
      </c>
      <c r="E391" s="2" t="s">
        <v>16</v>
      </c>
      <c r="F391" s="2"/>
      <c r="G391" s="2"/>
      <c r="H391" s="2" t="str">
        <f t="shared" si="34"/>
        <v>_</v>
      </c>
      <c r="I391" s="2"/>
      <c r="J391" s="2"/>
      <c r="K391" s="2"/>
      <c r="L391" s="2" t="str">
        <f t="shared" si="35"/>
        <v>_</v>
      </c>
      <c r="M391" s="2"/>
      <c r="N391" s="2">
        <f>IF(ISBLANK(Table2[[#This Row],[ActualResult]]), 0, 1)</f>
        <v>0</v>
      </c>
      <c r="O391" s="2" t="str">
        <f>IF(ISBLANK(Table2[[#This Row],[ActualResult]]), "_", IF(Table2[[#This Row],[ActualWinner]]=Table2[[#This Row],[PredictedWinner]], "Y", "N"))</f>
        <v>_</v>
      </c>
      <c r="P3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1" s="2"/>
      <c r="S391" s="2" t="str">
        <f t="shared" si="36"/>
        <v>_</v>
      </c>
      <c r="T3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1" s="2">
        <f>IF(Table2[[#This Row],[InterConf]]=1,IF(Table2[[#This Row],[InterDiv]]=0, 1, 0), 0)</f>
        <v>0</v>
      </c>
      <c r="W3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1" s="2"/>
      <c r="Y391" s="2"/>
      <c r="Z391" s="145">
        <f>IF(AND(Table2[[#This Row],[GameIsOver]]=1,Table2[[#This Row],[ActualHomeScore]]*Table2[[#This Row],[ActualAwayScore]]=0), 1,0)</f>
        <v>0</v>
      </c>
      <c r="AA3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1" s="2">
        <f>Table2[[#This Row],[ActualAwayScore]]-Table2[[#This Row],[PredictedAwayScore]]</f>
        <v>0</v>
      </c>
      <c r="AG391" s="2">
        <f>Table2[[#This Row],[ActualHomeScore]]-Table2[[#This Row],[PredictedHomeScore]]</f>
        <v>0</v>
      </c>
      <c r="AH391" s="2">
        <f t="shared" si="37"/>
        <v>0</v>
      </c>
      <c r="AI391" s="2">
        <f t="shared" si="38"/>
        <v>0</v>
      </c>
      <c r="AJ391" s="2"/>
      <c r="AK391" s="2"/>
      <c r="AL391" s="2">
        <f>IF(Table2[[#This Row],[GameIsOver]]=0,0,IF(Table2[[#This Row],[ActualWinner]]=Table2[[#This Row],[AwayTeam]], 1, 0))</f>
        <v>0</v>
      </c>
      <c r="AM391" s="2">
        <f>IF(Table2[[#This Row],[GameIsOver]]=0,0,IF(Table2[[#This Row],[ActualWinner]]=Table2[[#This Row],[HomeTeam]], 1, 0))</f>
        <v>0</v>
      </c>
      <c r="AN3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1" s="2" t="str">
        <f>INDEX(Sheet5!$B$2:$AG$33, MATCH(Table2[[#This Row],[AwayTeam]],Sheet5!$A$2:$A$33, 0), MATCH(Table2[[#This Row],[HomeTeam]],Sheet5!$A$2:$A$33, 0))</f>
        <v>0-0-0</v>
      </c>
      <c r="AP391" s="2" t="str">
        <f>INDEX(Sheet5!$B$2:$AG$33, MATCH(Table2[[#This Row],[HomeTeam]],Sheet5!$A$2:$A$33, 0), MATCH(Table2[[#This Row],[AwayTeam]],Sheet5!$A$2:$A$33, 0))</f>
        <v>0-0-0</v>
      </c>
      <c r="AQ391" s="2">
        <f>IF(Table2[[#This Row],[GameHasShutOut]], 1, 0)</f>
        <v>0</v>
      </c>
      <c r="AR391" s="2">
        <f>IF(Table2[[#This Row],[ActualAwayScore]] + Table2[[#This Row],[ActualHomeScore]] &gt;= 10, 1, 0)</f>
        <v>0</v>
      </c>
      <c r="AS391" s="2">
        <f>IF(ABS(Table2[[#This Row],[ActualAwayScore]]-Table2[[#This Row],[ActualHomeScore]])&gt;=5, 1, 0)</f>
        <v>0</v>
      </c>
      <c r="AT391" s="2">
        <f>IF(Table2[[#This Row],[ActualAwayScore]] + Table2[[#This Row],[ActualHomeScore]] &lt;= 3, 1, 0)</f>
        <v>1</v>
      </c>
      <c r="AU391" s="2"/>
      <c r="AV391" s="2"/>
    </row>
    <row r="392" spans="1:48" x14ac:dyDescent="0.25">
      <c r="A392" s="3"/>
      <c r="B392" s="3">
        <v>45990</v>
      </c>
      <c r="C392" s="5">
        <v>2025020390</v>
      </c>
      <c r="D392" s="2" t="s">
        <v>14</v>
      </c>
      <c r="E392" s="2" t="s">
        <v>33</v>
      </c>
      <c r="F392" s="2"/>
      <c r="G392" s="2"/>
      <c r="H392" s="2" t="str">
        <f t="shared" si="34"/>
        <v>_</v>
      </c>
      <c r="I392" s="2"/>
      <c r="J392" s="2"/>
      <c r="K392" s="2"/>
      <c r="L392" s="2" t="str">
        <f t="shared" si="35"/>
        <v>_</v>
      </c>
      <c r="M392" s="2"/>
      <c r="N392" s="2">
        <f>IF(ISBLANK(Table2[[#This Row],[ActualResult]]), 0, 1)</f>
        <v>0</v>
      </c>
      <c r="O392" s="2" t="str">
        <f>IF(ISBLANK(Table2[[#This Row],[ActualResult]]), "_", IF(Table2[[#This Row],[ActualWinner]]=Table2[[#This Row],[PredictedWinner]], "Y", "N"))</f>
        <v>_</v>
      </c>
      <c r="P3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2" s="2"/>
      <c r="S392" s="2" t="str">
        <f t="shared" si="36"/>
        <v>_</v>
      </c>
      <c r="T3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2" s="2">
        <f>IF(Table2[[#This Row],[InterConf]]=1,IF(Table2[[#This Row],[InterDiv]]=0, 1, 0), 0)</f>
        <v>0</v>
      </c>
      <c r="W3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2" s="2"/>
      <c r="Y392" s="2"/>
      <c r="Z392" s="145">
        <f>IF(AND(Table2[[#This Row],[GameIsOver]]=1,Table2[[#This Row],[ActualHomeScore]]*Table2[[#This Row],[ActualAwayScore]]=0), 1,0)</f>
        <v>0</v>
      </c>
      <c r="AA3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2" s="2">
        <f>Table2[[#This Row],[ActualAwayScore]]-Table2[[#This Row],[PredictedAwayScore]]</f>
        <v>0</v>
      </c>
      <c r="AG392" s="2">
        <f>Table2[[#This Row],[ActualHomeScore]]-Table2[[#This Row],[PredictedHomeScore]]</f>
        <v>0</v>
      </c>
      <c r="AH392" s="2">
        <f t="shared" si="37"/>
        <v>0</v>
      </c>
      <c r="AI392" s="2">
        <f t="shared" si="38"/>
        <v>0</v>
      </c>
      <c r="AJ392" s="2"/>
      <c r="AK392" s="2"/>
      <c r="AL392" s="2">
        <f>IF(Table2[[#This Row],[GameIsOver]]=0,0,IF(Table2[[#This Row],[ActualWinner]]=Table2[[#This Row],[AwayTeam]], 1, 0))</f>
        <v>0</v>
      </c>
      <c r="AM392" s="2">
        <f>IF(Table2[[#This Row],[GameIsOver]]=0,0,IF(Table2[[#This Row],[ActualWinner]]=Table2[[#This Row],[HomeTeam]], 1, 0))</f>
        <v>0</v>
      </c>
      <c r="AN3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2" s="2" t="str">
        <f>INDEX(Sheet5!$B$2:$AG$33, MATCH(Table2[[#This Row],[AwayTeam]],Sheet5!$A$2:$A$33, 0), MATCH(Table2[[#This Row],[HomeTeam]],Sheet5!$A$2:$A$33, 0))</f>
        <v>0-0-0</v>
      </c>
      <c r="AP392" s="2" t="str">
        <f>INDEX(Sheet5!$B$2:$AG$33, MATCH(Table2[[#This Row],[HomeTeam]],Sheet5!$A$2:$A$33, 0), MATCH(Table2[[#This Row],[AwayTeam]],Sheet5!$A$2:$A$33, 0))</f>
        <v>0-0-0</v>
      </c>
      <c r="AQ392" s="2">
        <f>IF(Table2[[#This Row],[GameHasShutOut]], 1, 0)</f>
        <v>0</v>
      </c>
      <c r="AR392" s="2">
        <f>IF(Table2[[#This Row],[ActualAwayScore]] + Table2[[#This Row],[ActualHomeScore]] &gt;= 10, 1, 0)</f>
        <v>0</v>
      </c>
      <c r="AS392" s="2">
        <f>IF(ABS(Table2[[#This Row],[ActualAwayScore]]-Table2[[#This Row],[ActualHomeScore]])&gt;=5, 1, 0)</f>
        <v>0</v>
      </c>
      <c r="AT392" s="2">
        <f>IF(Table2[[#This Row],[ActualAwayScore]] + Table2[[#This Row],[ActualHomeScore]] &lt;= 3, 1, 0)</f>
        <v>1</v>
      </c>
      <c r="AU392" s="2"/>
      <c r="AV392" s="2"/>
    </row>
    <row r="393" spans="1:48" x14ac:dyDescent="0.25">
      <c r="A393" s="3"/>
      <c r="B393" s="3">
        <v>45990</v>
      </c>
      <c r="C393" s="5">
        <v>2025020391</v>
      </c>
      <c r="D393" s="2" t="s">
        <v>40</v>
      </c>
      <c r="E393" s="2" t="s">
        <v>19</v>
      </c>
      <c r="F393" s="2"/>
      <c r="G393" s="2"/>
      <c r="H393" s="2" t="str">
        <f t="shared" si="34"/>
        <v>_</v>
      </c>
      <c r="I393" s="2"/>
      <c r="J393" s="2"/>
      <c r="K393" s="2"/>
      <c r="L393" s="2" t="str">
        <f t="shared" si="35"/>
        <v>_</v>
      </c>
      <c r="M393" s="2"/>
      <c r="N393" s="2">
        <f>IF(ISBLANK(Table2[[#This Row],[ActualResult]]), 0, 1)</f>
        <v>0</v>
      </c>
      <c r="O393" s="2" t="str">
        <f>IF(ISBLANK(Table2[[#This Row],[ActualResult]]), "_", IF(Table2[[#This Row],[ActualWinner]]=Table2[[#This Row],[PredictedWinner]], "Y", "N"))</f>
        <v>_</v>
      </c>
      <c r="P3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3" s="2"/>
      <c r="S393" s="2" t="str">
        <f t="shared" si="36"/>
        <v>_</v>
      </c>
      <c r="T3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93" s="2">
        <f>IF(Table2[[#This Row],[InterConf]]=1,IF(Table2[[#This Row],[InterDiv]]=0, 1, 0), 0)</f>
        <v>1</v>
      </c>
      <c r="W3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3" s="2"/>
      <c r="Y393" s="2"/>
      <c r="Z393" s="145">
        <f>IF(AND(Table2[[#This Row],[GameIsOver]]=1,Table2[[#This Row],[ActualHomeScore]]*Table2[[#This Row],[ActualAwayScore]]=0), 1,0)</f>
        <v>0</v>
      </c>
      <c r="AA3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3" s="2">
        <f>Table2[[#This Row],[ActualAwayScore]]-Table2[[#This Row],[PredictedAwayScore]]</f>
        <v>0</v>
      </c>
      <c r="AG393" s="2">
        <f>Table2[[#This Row],[ActualHomeScore]]-Table2[[#This Row],[PredictedHomeScore]]</f>
        <v>0</v>
      </c>
      <c r="AH393" s="2">
        <f t="shared" si="37"/>
        <v>0</v>
      </c>
      <c r="AI393" s="2">
        <f t="shared" si="38"/>
        <v>0</v>
      </c>
      <c r="AJ393" s="2"/>
      <c r="AK393" s="2"/>
      <c r="AL393" s="2">
        <f>IF(Table2[[#This Row],[GameIsOver]]=0,0,IF(Table2[[#This Row],[ActualWinner]]=Table2[[#This Row],[AwayTeam]], 1, 0))</f>
        <v>0</v>
      </c>
      <c r="AM393" s="2">
        <f>IF(Table2[[#This Row],[GameIsOver]]=0,0,IF(Table2[[#This Row],[ActualWinner]]=Table2[[#This Row],[HomeTeam]], 1, 0))</f>
        <v>0</v>
      </c>
      <c r="AN3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3" s="2" t="str">
        <f>INDEX(Sheet5!$B$2:$AG$33, MATCH(Table2[[#This Row],[AwayTeam]],Sheet5!$A$2:$A$33, 0), MATCH(Table2[[#This Row],[HomeTeam]],Sheet5!$A$2:$A$33, 0))</f>
        <v>0-0-0</v>
      </c>
      <c r="AP393" s="2" t="str">
        <f>INDEX(Sheet5!$B$2:$AG$33, MATCH(Table2[[#This Row],[HomeTeam]],Sheet5!$A$2:$A$33, 0), MATCH(Table2[[#This Row],[AwayTeam]],Sheet5!$A$2:$A$33, 0))</f>
        <v>0-0-0</v>
      </c>
      <c r="AQ393" s="2">
        <f>IF(Table2[[#This Row],[GameHasShutOut]], 1, 0)</f>
        <v>0</v>
      </c>
      <c r="AR393" s="2">
        <f>IF(Table2[[#This Row],[ActualAwayScore]] + Table2[[#This Row],[ActualHomeScore]] &gt;= 10, 1, 0)</f>
        <v>0</v>
      </c>
      <c r="AS393" s="2">
        <f>IF(ABS(Table2[[#This Row],[ActualAwayScore]]-Table2[[#This Row],[ActualHomeScore]])&gt;=5, 1, 0)</f>
        <v>0</v>
      </c>
      <c r="AT393" s="2">
        <f>IF(Table2[[#This Row],[ActualAwayScore]] + Table2[[#This Row],[ActualHomeScore]] &lt;= 3, 1, 0)</f>
        <v>1</v>
      </c>
      <c r="AU393" s="2"/>
      <c r="AV393" s="2"/>
    </row>
    <row r="394" spans="1:48" x14ac:dyDescent="0.25">
      <c r="A394" s="3"/>
      <c r="B394" s="3">
        <v>45990</v>
      </c>
      <c r="C394" s="5">
        <v>2025020392</v>
      </c>
      <c r="D394" s="2" t="s">
        <v>18</v>
      </c>
      <c r="E394" s="2" t="s">
        <v>25</v>
      </c>
      <c r="F394" s="2"/>
      <c r="G394" s="2"/>
      <c r="H394" s="2" t="str">
        <f t="shared" si="34"/>
        <v>_</v>
      </c>
      <c r="I394" s="2"/>
      <c r="J394" s="2"/>
      <c r="K394" s="2"/>
      <c r="L394" s="2" t="str">
        <f t="shared" si="35"/>
        <v>_</v>
      </c>
      <c r="M394" s="2"/>
      <c r="N394" s="2">
        <f>IF(ISBLANK(Table2[[#This Row],[ActualResult]]), 0, 1)</f>
        <v>0</v>
      </c>
      <c r="O394" s="2" t="str">
        <f>IF(ISBLANK(Table2[[#This Row],[ActualResult]]), "_", IF(Table2[[#This Row],[ActualWinner]]=Table2[[#This Row],[PredictedWinner]], "Y", "N"))</f>
        <v>_</v>
      </c>
      <c r="P3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4" s="2"/>
      <c r="S394" s="2" t="str">
        <f t="shared" si="36"/>
        <v>_</v>
      </c>
      <c r="T3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94" s="2">
        <f>IF(Table2[[#This Row],[InterConf]]=1,IF(Table2[[#This Row],[InterDiv]]=0, 1, 0), 0)</f>
        <v>0</v>
      </c>
      <c r="W3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94" s="2"/>
      <c r="Y394" s="2"/>
      <c r="Z394" s="145">
        <f>IF(AND(Table2[[#This Row],[GameIsOver]]=1,Table2[[#This Row],[ActualHomeScore]]*Table2[[#This Row],[ActualAwayScore]]=0), 1,0)</f>
        <v>0</v>
      </c>
      <c r="AA3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4" s="2">
        <f>Table2[[#This Row],[ActualAwayScore]]-Table2[[#This Row],[PredictedAwayScore]]</f>
        <v>0</v>
      </c>
      <c r="AG394" s="2">
        <f>Table2[[#This Row],[ActualHomeScore]]-Table2[[#This Row],[PredictedHomeScore]]</f>
        <v>0</v>
      </c>
      <c r="AH394" s="2">
        <f t="shared" si="37"/>
        <v>0</v>
      </c>
      <c r="AI394" s="2">
        <f t="shared" si="38"/>
        <v>0</v>
      </c>
      <c r="AJ394" s="2"/>
      <c r="AK394" s="2"/>
      <c r="AL394" s="2">
        <f>IF(Table2[[#This Row],[GameIsOver]]=0,0,IF(Table2[[#This Row],[ActualWinner]]=Table2[[#This Row],[AwayTeam]], 1, 0))</f>
        <v>0</v>
      </c>
      <c r="AM394" s="2">
        <f>IF(Table2[[#This Row],[GameIsOver]]=0,0,IF(Table2[[#This Row],[ActualWinner]]=Table2[[#This Row],[HomeTeam]], 1, 0))</f>
        <v>0</v>
      </c>
      <c r="AN3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4" s="2" t="str">
        <f>INDEX(Sheet5!$B$2:$AG$33, MATCH(Table2[[#This Row],[AwayTeam]],Sheet5!$A$2:$A$33, 0), MATCH(Table2[[#This Row],[HomeTeam]],Sheet5!$A$2:$A$33, 0))</f>
        <v>0-0-0</v>
      </c>
      <c r="AP394" s="2" t="str">
        <f>INDEX(Sheet5!$B$2:$AG$33, MATCH(Table2[[#This Row],[HomeTeam]],Sheet5!$A$2:$A$33, 0), MATCH(Table2[[#This Row],[AwayTeam]],Sheet5!$A$2:$A$33, 0))</f>
        <v>0-0-0</v>
      </c>
      <c r="AQ394" s="2">
        <f>IF(Table2[[#This Row],[GameHasShutOut]], 1, 0)</f>
        <v>0</v>
      </c>
      <c r="AR394" s="2">
        <f>IF(Table2[[#This Row],[ActualAwayScore]] + Table2[[#This Row],[ActualHomeScore]] &gt;= 10, 1, 0)</f>
        <v>0</v>
      </c>
      <c r="AS394" s="2">
        <f>IF(ABS(Table2[[#This Row],[ActualAwayScore]]-Table2[[#This Row],[ActualHomeScore]])&gt;=5, 1, 0)</f>
        <v>0</v>
      </c>
      <c r="AT394" s="2">
        <f>IF(Table2[[#This Row],[ActualAwayScore]] + Table2[[#This Row],[ActualHomeScore]] &lt;= 3, 1, 0)</f>
        <v>1</v>
      </c>
      <c r="AU394" s="2"/>
      <c r="AV394" s="2"/>
    </row>
    <row r="395" spans="1:48" x14ac:dyDescent="0.25">
      <c r="A395" s="3"/>
      <c r="B395" s="3">
        <v>45990</v>
      </c>
      <c r="C395" s="5">
        <v>2025020393</v>
      </c>
      <c r="D395" s="2" t="s">
        <v>22</v>
      </c>
      <c r="E395" s="2" t="s">
        <v>11</v>
      </c>
      <c r="F395" s="2"/>
      <c r="G395" s="2"/>
      <c r="H395" s="2" t="str">
        <f t="shared" si="34"/>
        <v>_</v>
      </c>
      <c r="I395" s="2"/>
      <c r="J395" s="2"/>
      <c r="K395" s="2"/>
      <c r="L395" s="2" t="str">
        <f t="shared" si="35"/>
        <v>_</v>
      </c>
      <c r="M395" s="2"/>
      <c r="N395" s="2">
        <f>IF(ISBLANK(Table2[[#This Row],[ActualResult]]), 0, 1)</f>
        <v>0</v>
      </c>
      <c r="O395" s="2" t="str">
        <f>IF(ISBLANK(Table2[[#This Row],[ActualResult]]), "_", IF(Table2[[#This Row],[ActualWinner]]=Table2[[#This Row],[PredictedWinner]], "Y", "N"))</f>
        <v>_</v>
      </c>
      <c r="P3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5" s="2"/>
      <c r="S395" s="2" t="str">
        <f t="shared" si="36"/>
        <v>_</v>
      </c>
      <c r="T3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5" s="2">
        <f>IF(Table2[[#This Row],[InterConf]]=1,IF(Table2[[#This Row],[InterDiv]]=0, 1, 0), 0)</f>
        <v>0</v>
      </c>
      <c r="W3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5" s="2"/>
      <c r="Y395" s="2"/>
      <c r="Z395" s="145">
        <f>IF(AND(Table2[[#This Row],[GameIsOver]]=1,Table2[[#This Row],[ActualHomeScore]]*Table2[[#This Row],[ActualAwayScore]]=0), 1,0)</f>
        <v>0</v>
      </c>
      <c r="AA3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5" s="2">
        <f>Table2[[#This Row],[ActualAwayScore]]-Table2[[#This Row],[PredictedAwayScore]]</f>
        <v>0</v>
      </c>
      <c r="AG395" s="2">
        <f>Table2[[#This Row],[ActualHomeScore]]-Table2[[#This Row],[PredictedHomeScore]]</f>
        <v>0</v>
      </c>
      <c r="AH395" s="2">
        <f t="shared" si="37"/>
        <v>0</v>
      </c>
      <c r="AI395" s="2">
        <f t="shared" si="38"/>
        <v>0</v>
      </c>
      <c r="AJ395" s="2"/>
      <c r="AK395" s="2"/>
      <c r="AL395" s="2">
        <f>IF(Table2[[#This Row],[GameIsOver]]=0,0,IF(Table2[[#This Row],[ActualWinner]]=Table2[[#This Row],[AwayTeam]], 1, 0))</f>
        <v>0</v>
      </c>
      <c r="AM395" s="2">
        <f>IF(Table2[[#This Row],[GameIsOver]]=0,0,IF(Table2[[#This Row],[ActualWinner]]=Table2[[#This Row],[HomeTeam]], 1, 0))</f>
        <v>0</v>
      </c>
      <c r="AN3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5" s="2" t="str">
        <f>INDEX(Sheet5!$B$2:$AG$33, MATCH(Table2[[#This Row],[AwayTeam]],Sheet5!$A$2:$A$33, 0), MATCH(Table2[[#This Row],[HomeTeam]],Sheet5!$A$2:$A$33, 0))</f>
        <v>0-0-0</v>
      </c>
      <c r="AP395" s="2" t="str">
        <f>INDEX(Sheet5!$B$2:$AG$33, MATCH(Table2[[#This Row],[HomeTeam]],Sheet5!$A$2:$A$33, 0), MATCH(Table2[[#This Row],[AwayTeam]],Sheet5!$A$2:$A$33, 0))</f>
        <v>0-0-0</v>
      </c>
      <c r="AQ395" s="2">
        <f>IF(Table2[[#This Row],[GameHasShutOut]], 1, 0)</f>
        <v>0</v>
      </c>
      <c r="AR395" s="2">
        <f>IF(Table2[[#This Row],[ActualAwayScore]] + Table2[[#This Row],[ActualHomeScore]] &gt;= 10, 1, 0)</f>
        <v>0</v>
      </c>
      <c r="AS395" s="2">
        <f>IF(ABS(Table2[[#This Row],[ActualAwayScore]]-Table2[[#This Row],[ActualHomeScore]])&gt;=5, 1, 0)</f>
        <v>0</v>
      </c>
      <c r="AT395" s="2">
        <f>IF(Table2[[#This Row],[ActualAwayScore]] + Table2[[#This Row],[ActualHomeScore]] &lt;= 3, 1, 0)</f>
        <v>1</v>
      </c>
      <c r="AU395" s="2"/>
      <c r="AV395" s="2"/>
    </row>
    <row r="396" spans="1:48" x14ac:dyDescent="0.25">
      <c r="A396" s="3"/>
      <c r="B396" s="3">
        <v>45991</v>
      </c>
      <c r="C396" s="5">
        <v>2025020394</v>
      </c>
      <c r="D396" s="2" t="s">
        <v>30</v>
      </c>
      <c r="E396" s="2" t="s">
        <v>15</v>
      </c>
      <c r="F396" s="2"/>
      <c r="G396" s="2"/>
      <c r="H396" s="2" t="str">
        <f t="shared" si="34"/>
        <v>_</v>
      </c>
      <c r="I396" s="2"/>
      <c r="J396" s="2"/>
      <c r="K396" s="2"/>
      <c r="L396" s="2" t="str">
        <f t="shared" si="35"/>
        <v>_</v>
      </c>
      <c r="M396" s="2"/>
      <c r="N396" s="2">
        <f>IF(ISBLANK(Table2[[#This Row],[ActualResult]]), 0, 1)</f>
        <v>0</v>
      </c>
      <c r="O396" s="2" t="str">
        <f>IF(ISBLANK(Table2[[#This Row],[ActualResult]]), "_", IF(Table2[[#This Row],[ActualWinner]]=Table2[[#This Row],[PredictedWinner]], "Y", "N"))</f>
        <v>_</v>
      </c>
      <c r="P3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6" s="2"/>
      <c r="S396" s="2" t="str">
        <f t="shared" si="36"/>
        <v>_</v>
      </c>
      <c r="T3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6" s="2">
        <f>IF(Table2[[#This Row],[InterConf]]=1,IF(Table2[[#This Row],[InterDiv]]=0, 1, 0), 0)</f>
        <v>0</v>
      </c>
      <c r="W3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6" s="2"/>
      <c r="Y396" s="2"/>
      <c r="Z396" s="145">
        <f>IF(AND(Table2[[#This Row],[GameIsOver]]=1,Table2[[#This Row],[ActualHomeScore]]*Table2[[#This Row],[ActualAwayScore]]=0), 1,0)</f>
        <v>0</v>
      </c>
      <c r="AA3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6" s="2">
        <f>Table2[[#This Row],[ActualAwayScore]]-Table2[[#This Row],[PredictedAwayScore]]</f>
        <v>0</v>
      </c>
      <c r="AG396" s="2">
        <f>Table2[[#This Row],[ActualHomeScore]]-Table2[[#This Row],[PredictedHomeScore]]</f>
        <v>0</v>
      </c>
      <c r="AH396" s="2">
        <f t="shared" si="37"/>
        <v>0</v>
      </c>
      <c r="AI396" s="2">
        <f t="shared" si="38"/>
        <v>0</v>
      </c>
      <c r="AJ396" s="2"/>
      <c r="AK396" s="2"/>
      <c r="AL396" s="2">
        <f>IF(Table2[[#This Row],[GameIsOver]]=0,0,IF(Table2[[#This Row],[ActualWinner]]=Table2[[#This Row],[AwayTeam]], 1, 0))</f>
        <v>0</v>
      </c>
      <c r="AM396" s="2">
        <f>IF(Table2[[#This Row],[GameIsOver]]=0,0,IF(Table2[[#This Row],[ActualWinner]]=Table2[[#This Row],[HomeTeam]], 1, 0))</f>
        <v>0</v>
      </c>
      <c r="AN3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6" s="2" t="str">
        <f>INDEX(Sheet5!$B$2:$AG$33, MATCH(Table2[[#This Row],[AwayTeam]],Sheet5!$A$2:$A$33, 0), MATCH(Table2[[#This Row],[HomeTeam]],Sheet5!$A$2:$A$33, 0))</f>
        <v>0-0-0</v>
      </c>
      <c r="AP396" s="2" t="str">
        <f>INDEX(Sheet5!$B$2:$AG$33, MATCH(Table2[[#This Row],[HomeTeam]],Sheet5!$A$2:$A$33, 0), MATCH(Table2[[#This Row],[AwayTeam]],Sheet5!$A$2:$A$33, 0))</f>
        <v>0-0-0</v>
      </c>
      <c r="AQ396" s="2">
        <f>IF(Table2[[#This Row],[GameHasShutOut]], 1, 0)</f>
        <v>0</v>
      </c>
      <c r="AR396" s="2">
        <f>IF(Table2[[#This Row],[ActualAwayScore]] + Table2[[#This Row],[ActualHomeScore]] &gt;= 10, 1, 0)</f>
        <v>0</v>
      </c>
      <c r="AS396" s="2">
        <f>IF(ABS(Table2[[#This Row],[ActualAwayScore]]-Table2[[#This Row],[ActualHomeScore]])&gt;=5, 1, 0)</f>
        <v>0</v>
      </c>
      <c r="AT396" s="2">
        <f>IF(Table2[[#This Row],[ActualAwayScore]] + Table2[[#This Row],[ActualHomeScore]] &lt;= 3, 1, 0)</f>
        <v>1</v>
      </c>
      <c r="AU396" s="2"/>
      <c r="AV396" s="2"/>
    </row>
    <row r="397" spans="1:48" x14ac:dyDescent="0.25">
      <c r="A397" s="3"/>
      <c r="B397" s="3">
        <v>45991</v>
      </c>
      <c r="C397" s="5">
        <v>2025020395</v>
      </c>
      <c r="D397" s="2" t="s">
        <v>42</v>
      </c>
      <c r="E397" s="2" t="s">
        <v>31</v>
      </c>
      <c r="F397" s="2"/>
      <c r="G397" s="2"/>
      <c r="H397" s="2" t="str">
        <f t="shared" si="34"/>
        <v>_</v>
      </c>
      <c r="I397" s="2"/>
      <c r="J397" s="2"/>
      <c r="K397" s="2"/>
      <c r="L397" s="2" t="str">
        <f t="shared" si="35"/>
        <v>_</v>
      </c>
      <c r="M397" s="2"/>
      <c r="N397" s="2">
        <f>IF(ISBLANK(Table2[[#This Row],[ActualResult]]), 0, 1)</f>
        <v>0</v>
      </c>
      <c r="O397" s="2" t="str">
        <f>IF(ISBLANK(Table2[[#This Row],[ActualResult]]), "_", IF(Table2[[#This Row],[ActualWinner]]=Table2[[#This Row],[PredictedWinner]], "Y", "N"))</f>
        <v>_</v>
      </c>
      <c r="P3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7" s="2"/>
      <c r="S397" s="2" t="str">
        <f t="shared" si="36"/>
        <v>_</v>
      </c>
      <c r="T3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7" s="2">
        <f>IF(Table2[[#This Row],[InterConf]]=1,IF(Table2[[#This Row],[InterDiv]]=0, 1, 0), 0)</f>
        <v>0</v>
      </c>
      <c r="W3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7" s="2"/>
      <c r="Y397" s="2"/>
      <c r="Z397" s="145">
        <f>IF(AND(Table2[[#This Row],[GameIsOver]]=1,Table2[[#This Row],[ActualHomeScore]]*Table2[[#This Row],[ActualAwayScore]]=0), 1,0)</f>
        <v>0</v>
      </c>
      <c r="AA3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7" s="2">
        <f>Table2[[#This Row],[ActualAwayScore]]-Table2[[#This Row],[PredictedAwayScore]]</f>
        <v>0</v>
      </c>
      <c r="AG397" s="2">
        <f>Table2[[#This Row],[ActualHomeScore]]-Table2[[#This Row],[PredictedHomeScore]]</f>
        <v>0</v>
      </c>
      <c r="AH397" s="2">
        <f t="shared" si="37"/>
        <v>0</v>
      </c>
      <c r="AI397" s="2">
        <f t="shared" si="38"/>
        <v>0</v>
      </c>
      <c r="AJ397" s="2"/>
      <c r="AK397" s="2"/>
      <c r="AL397" s="2">
        <f>IF(Table2[[#This Row],[GameIsOver]]=0,0,IF(Table2[[#This Row],[ActualWinner]]=Table2[[#This Row],[AwayTeam]], 1, 0))</f>
        <v>0</v>
      </c>
      <c r="AM397" s="2">
        <f>IF(Table2[[#This Row],[GameIsOver]]=0,0,IF(Table2[[#This Row],[ActualWinner]]=Table2[[#This Row],[HomeTeam]], 1, 0))</f>
        <v>0</v>
      </c>
      <c r="AN3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7" s="2" t="str">
        <f>INDEX(Sheet5!$B$2:$AG$33, MATCH(Table2[[#This Row],[AwayTeam]],Sheet5!$A$2:$A$33, 0), MATCH(Table2[[#This Row],[HomeTeam]],Sheet5!$A$2:$A$33, 0))</f>
        <v>0-0-0</v>
      </c>
      <c r="AP397" s="2" t="str">
        <f>INDEX(Sheet5!$B$2:$AG$33, MATCH(Table2[[#This Row],[HomeTeam]],Sheet5!$A$2:$A$33, 0), MATCH(Table2[[#This Row],[AwayTeam]],Sheet5!$A$2:$A$33, 0))</f>
        <v>0-0-0</v>
      </c>
      <c r="AQ397" s="2">
        <f>IF(Table2[[#This Row],[GameHasShutOut]], 1, 0)</f>
        <v>0</v>
      </c>
      <c r="AR397" s="2">
        <f>IF(Table2[[#This Row],[ActualAwayScore]] + Table2[[#This Row],[ActualHomeScore]] &gt;= 10, 1, 0)</f>
        <v>0</v>
      </c>
      <c r="AS397" s="2">
        <f>IF(ABS(Table2[[#This Row],[ActualAwayScore]]-Table2[[#This Row],[ActualHomeScore]])&gt;=5, 1, 0)</f>
        <v>0</v>
      </c>
      <c r="AT397" s="2">
        <f>IF(Table2[[#This Row],[ActualAwayScore]] + Table2[[#This Row],[ActualHomeScore]] &lt;= 3, 1, 0)</f>
        <v>1</v>
      </c>
      <c r="AU397" s="2"/>
      <c r="AV397" s="2"/>
    </row>
    <row r="398" spans="1:48" x14ac:dyDescent="0.25">
      <c r="A398" s="3"/>
      <c r="B398" s="3">
        <v>45991</v>
      </c>
      <c r="C398" s="5">
        <v>2025020396</v>
      </c>
      <c r="D398" s="2" t="s">
        <v>17</v>
      </c>
      <c r="E398" s="2" t="s">
        <v>20</v>
      </c>
      <c r="F398" s="2"/>
      <c r="G398" s="2"/>
      <c r="H398" s="2" t="str">
        <f t="shared" si="34"/>
        <v>_</v>
      </c>
      <c r="I398" s="2"/>
      <c r="J398" s="2"/>
      <c r="K398" s="2"/>
      <c r="L398" s="2" t="str">
        <f t="shared" si="35"/>
        <v>_</v>
      </c>
      <c r="M398" s="2"/>
      <c r="N398" s="2">
        <f>IF(ISBLANK(Table2[[#This Row],[ActualResult]]), 0, 1)</f>
        <v>0</v>
      </c>
      <c r="O398" s="2" t="str">
        <f>IF(ISBLANK(Table2[[#This Row],[ActualResult]]), "_", IF(Table2[[#This Row],[ActualWinner]]=Table2[[#This Row],[PredictedWinner]], "Y", "N"))</f>
        <v>_</v>
      </c>
      <c r="P3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8" s="2"/>
      <c r="S398" s="2" t="str">
        <f t="shared" si="36"/>
        <v>_</v>
      </c>
      <c r="T3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98" s="2">
        <f>IF(Table2[[#This Row],[InterConf]]=1,IF(Table2[[#This Row],[InterDiv]]=0, 1, 0), 0)</f>
        <v>1</v>
      </c>
      <c r="W3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8" s="2"/>
      <c r="Y398" s="2"/>
      <c r="Z398" s="145">
        <f>IF(AND(Table2[[#This Row],[GameIsOver]]=1,Table2[[#This Row],[ActualHomeScore]]*Table2[[#This Row],[ActualAwayScore]]=0), 1,0)</f>
        <v>0</v>
      </c>
      <c r="AA3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8" s="2">
        <f>Table2[[#This Row],[ActualAwayScore]]-Table2[[#This Row],[PredictedAwayScore]]</f>
        <v>0</v>
      </c>
      <c r="AG398" s="2">
        <f>Table2[[#This Row],[ActualHomeScore]]-Table2[[#This Row],[PredictedHomeScore]]</f>
        <v>0</v>
      </c>
      <c r="AH398" s="2">
        <f t="shared" si="37"/>
        <v>0</v>
      </c>
      <c r="AI398" s="2">
        <f t="shared" si="38"/>
        <v>0</v>
      </c>
      <c r="AJ398" s="2"/>
      <c r="AK398" s="2"/>
      <c r="AL398" s="2">
        <f>IF(Table2[[#This Row],[GameIsOver]]=0,0,IF(Table2[[#This Row],[ActualWinner]]=Table2[[#This Row],[AwayTeam]], 1, 0))</f>
        <v>0</v>
      </c>
      <c r="AM398" s="2">
        <f>IF(Table2[[#This Row],[GameIsOver]]=0,0,IF(Table2[[#This Row],[ActualWinner]]=Table2[[#This Row],[HomeTeam]], 1, 0))</f>
        <v>0</v>
      </c>
      <c r="AN3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8" s="2" t="str">
        <f>INDEX(Sheet5!$B$2:$AG$33, MATCH(Table2[[#This Row],[AwayTeam]],Sheet5!$A$2:$A$33, 0), MATCH(Table2[[#This Row],[HomeTeam]],Sheet5!$A$2:$A$33, 0))</f>
        <v>0-0-0</v>
      </c>
      <c r="AP398" s="2" t="str">
        <f>INDEX(Sheet5!$B$2:$AG$33, MATCH(Table2[[#This Row],[HomeTeam]],Sheet5!$A$2:$A$33, 0), MATCH(Table2[[#This Row],[AwayTeam]],Sheet5!$A$2:$A$33, 0))</f>
        <v>0-0-0</v>
      </c>
      <c r="AQ398" s="2">
        <f>IF(Table2[[#This Row],[GameHasShutOut]], 1, 0)</f>
        <v>0</v>
      </c>
      <c r="AR398" s="2">
        <f>IF(Table2[[#This Row],[ActualAwayScore]] + Table2[[#This Row],[ActualHomeScore]] &gt;= 10, 1, 0)</f>
        <v>0</v>
      </c>
      <c r="AS398" s="2">
        <f>IF(ABS(Table2[[#This Row],[ActualAwayScore]]-Table2[[#This Row],[ActualHomeScore]])&gt;=5, 1, 0)</f>
        <v>0</v>
      </c>
      <c r="AT398" s="2">
        <f>IF(Table2[[#This Row],[ActualAwayScore]] + Table2[[#This Row],[ActualHomeScore]] &lt;= 3, 1, 0)</f>
        <v>1</v>
      </c>
      <c r="AU398" s="2"/>
      <c r="AV398" s="2"/>
    </row>
    <row r="399" spans="1:48" x14ac:dyDescent="0.25">
      <c r="A399" s="3"/>
      <c r="B399" s="3">
        <v>45991</v>
      </c>
      <c r="C399" s="5">
        <v>2025020397</v>
      </c>
      <c r="D399" s="2" t="s">
        <v>21</v>
      </c>
      <c r="E399" s="2" t="s">
        <v>34</v>
      </c>
      <c r="F399" s="2"/>
      <c r="G399" s="2"/>
      <c r="H399" s="2" t="str">
        <f t="shared" si="34"/>
        <v>_</v>
      </c>
      <c r="I399" s="2"/>
      <c r="J399" s="2"/>
      <c r="K399" s="2"/>
      <c r="L399" s="2" t="str">
        <f t="shared" si="35"/>
        <v>_</v>
      </c>
      <c r="M399" s="2"/>
      <c r="N399" s="2">
        <f>IF(ISBLANK(Table2[[#This Row],[ActualResult]]), 0, 1)</f>
        <v>0</v>
      </c>
      <c r="O399" s="2" t="str">
        <f>IF(ISBLANK(Table2[[#This Row],[ActualResult]]), "_", IF(Table2[[#This Row],[ActualWinner]]=Table2[[#This Row],[PredictedWinner]], "Y", "N"))</f>
        <v>_</v>
      </c>
      <c r="P3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9" s="2"/>
      <c r="S399" s="2" t="str">
        <f t="shared" si="36"/>
        <v>_</v>
      </c>
      <c r="T3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9" s="2">
        <f>IF(Table2[[#This Row],[InterConf]]=1,IF(Table2[[#This Row],[InterDiv]]=0, 1, 0), 0)</f>
        <v>0</v>
      </c>
      <c r="W3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9" s="2"/>
      <c r="Y399" s="2"/>
      <c r="Z399" s="145">
        <f>IF(AND(Table2[[#This Row],[GameIsOver]]=1,Table2[[#This Row],[ActualHomeScore]]*Table2[[#This Row],[ActualAwayScore]]=0), 1,0)</f>
        <v>0</v>
      </c>
      <c r="AA3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9" s="2">
        <f>Table2[[#This Row],[ActualAwayScore]]-Table2[[#This Row],[PredictedAwayScore]]</f>
        <v>0</v>
      </c>
      <c r="AG399" s="2">
        <f>Table2[[#This Row],[ActualHomeScore]]-Table2[[#This Row],[PredictedHomeScore]]</f>
        <v>0</v>
      </c>
      <c r="AH399" s="2">
        <f t="shared" si="37"/>
        <v>0</v>
      </c>
      <c r="AI399" s="2">
        <f t="shared" si="38"/>
        <v>0</v>
      </c>
      <c r="AJ399" s="2"/>
      <c r="AK399" s="2"/>
      <c r="AL399" s="2">
        <f>IF(Table2[[#This Row],[GameIsOver]]=0,0,IF(Table2[[#This Row],[ActualWinner]]=Table2[[#This Row],[AwayTeam]], 1, 0))</f>
        <v>0</v>
      </c>
      <c r="AM399" s="2">
        <f>IF(Table2[[#This Row],[GameIsOver]]=0,0,IF(Table2[[#This Row],[ActualWinner]]=Table2[[#This Row],[HomeTeam]], 1, 0))</f>
        <v>0</v>
      </c>
      <c r="AN3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9" s="2" t="str">
        <f>INDEX(Sheet5!$B$2:$AG$33, MATCH(Table2[[#This Row],[AwayTeam]],Sheet5!$A$2:$A$33, 0), MATCH(Table2[[#This Row],[HomeTeam]],Sheet5!$A$2:$A$33, 0))</f>
        <v>1-0-0</v>
      </c>
      <c r="AP399" s="2" t="str">
        <f>INDEX(Sheet5!$B$2:$AG$33, MATCH(Table2[[#This Row],[HomeTeam]],Sheet5!$A$2:$A$33, 0), MATCH(Table2[[#This Row],[AwayTeam]],Sheet5!$A$2:$A$33, 0))</f>
        <v>0-1-0</v>
      </c>
      <c r="AQ399" s="2">
        <f>IF(Table2[[#This Row],[GameHasShutOut]], 1, 0)</f>
        <v>0</v>
      </c>
      <c r="AR399" s="2">
        <f>IF(Table2[[#This Row],[ActualAwayScore]] + Table2[[#This Row],[ActualHomeScore]] &gt;= 10, 1, 0)</f>
        <v>0</v>
      </c>
      <c r="AS399" s="2">
        <f>IF(ABS(Table2[[#This Row],[ActualAwayScore]]-Table2[[#This Row],[ActualHomeScore]])&gt;=5, 1, 0)</f>
        <v>0</v>
      </c>
      <c r="AT399" s="2">
        <f>IF(Table2[[#This Row],[ActualAwayScore]] + Table2[[#This Row],[ActualHomeScore]] &lt;= 3, 1, 0)</f>
        <v>1</v>
      </c>
      <c r="AU399" s="2"/>
      <c r="AV399" s="2"/>
    </row>
    <row r="400" spans="1:48" x14ac:dyDescent="0.25">
      <c r="A400" s="3"/>
      <c r="B400" s="3">
        <v>45991</v>
      </c>
      <c r="C400" s="5">
        <v>2025020398</v>
      </c>
      <c r="D400" s="2" t="s">
        <v>14</v>
      </c>
      <c r="E400" s="2" t="s">
        <v>12</v>
      </c>
      <c r="F400" s="2"/>
      <c r="G400" s="2"/>
      <c r="H400" s="2" t="str">
        <f t="shared" si="34"/>
        <v>_</v>
      </c>
      <c r="I400" s="2"/>
      <c r="J400" s="2"/>
      <c r="K400" s="2"/>
      <c r="L400" s="2" t="str">
        <f t="shared" si="35"/>
        <v>_</v>
      </c>
      <c r="M400" s="2"/>
      <c r="N400" s="2">
        <f>IF(ISBLANK(Table2[[#This Row],[ActualResult]]), 0, 1)</f>
        <v>0</v>
      </c>
      <c r="O400" s="2" t="str">
        <f>IF(ISBLANK(Table2[[#This Row],[ActualResult]]), "_", IF(Table2[[#This Row],[ActualWinner]]=Table2[[#This Row],[PredictedWinner]], "Y", "N"))</f>
        <v>_</v>
      </c>
      <c r="P4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0" s="2"/>
      <c r="S400" s="2" t="str">
        <f t="shared" si="36"/>
        <v>_</v>
      </c>
      <c r="T4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0" s="2">
        <f>IF(Table2[[#This Row],[InterConf]]=1,IF(Table2[[#This Row],[InterDiv]]=0, 1, 0), 0)</f>
        <v>0</v>
      </c>
      <c r="W4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0" s="2"/>
      <c r="Y400" s="2"/>
      <c r="Z400" s="145">
        <f>IF(AND(Table2[[#This Row],[GameIsOver]]=1,Table2[[#This Row],[ActualHomeScore]]*Table2[[#This Row],[ActualAwayScore]]=0), 1,0)</f>
        <v>0</v>
      </c>
      <c r="AA4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0" s="2">
        <f>Table2[[#This Row],[ActualAwayScore]]-Table2[[#This Row],[PredictedAwayScore]]</f>
        <v>0</v>
      </c>
      <c r="AG400" s="2">
        <f>Table2[[#This Row],[ActualHomeScore]]-Table2[[#This Row],[PredictedHomeScore]]</f>
        <v>0</v>
      </c>
      <c r="AH400" s="2">
        <f t="shared" si="37"/>
        <v>0</v>
      </c>
      <c r="AI400" s="2">
        <f t="shared" si="38"/>
        <v>0</v>
      </c>
      <c r="AJ400" s="2"/>
      <c r="AK400" s="2"/>
      <c r="AL400" s="2">
        <f>IF(Table2[[#This Row],[GameIsOver]]=0,0,IF(Table2[[#This Row],[ActualWinner]]=Table2[[#This Row],[AwayTeam]], 1, 0))</f>
        <v>0</v>
      </c>
      <c r="AM400" s="2">
        <f>IF(Table2[[#This Row],[GameIsOver]]=0,0,IF(Table2[[#This Row],[ActualWinner]]=Table2[[#This Row],[HomeTeam]], 1, 0))</f>
        <v>0</v>
      </c>
      <c r="AN4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0" s="2" t="str">
        <f>INDEX(Sheet5!$B$2:$AG$33, MATCH(Table2[[#This Row],[AwayTeam]],Sheet5!$A$2:$A$33, 0), MATCH(Table2[[#This Row],[HomeTeam]],Sheet5!$A$2:$A$33, 0))</f>
        <v>0-0-0</v>
      </c>
      <c r="AP400" s="2" t="str">
        <f>INDEX(Sheet5!$B$2:$AG$33, MATCH(Table2[[#This Row],[HomeTeam]],Sheet5!$A$2:$A$33, 0), MATCH(Table2[[#This Row],[AwayTeam]],Sheet5!$A$2:$A$33, 0))</f>
        <v>0-0-0</v>
      </c>
      <c r="AQ400" s="2">
        <f>IF(Table2[[#This Row],[GameHasShutOut]], 1, 0)</f>
        <v>0</v>
      </c>
      <c r="AR400" s="2">
        <f>IF(Table2[[#This Row],[ActualAwayScore]] + Table2[[#This Row],[ActualHomeScore]] &gt;= 10, 1, 0)</f>
        <v>0</v>
      </c>
      <c r="AS400" s="2">
        <f>IF(ABS(Table2[[#This Row],[ActualAwayScore]]-Table2[[#This Row],[ActualHomeScore]])&gt;=5, 1, 0)</f>
        <v>0</v>
      </c>
      <c r="AT400" s="2">
        <f>IF(Table2[[#This Row],[ActualAwayScore]] + Table2[[#This Row],[ActualHomeScore]] &lt;= 3, 1, 0)</f>
        <v>1</v>
      </c>
      <c r="AU400" s="2"/>
      <c r="AV400" s="2"/>
    </row>
    <row r="401" spans="1:48" x14ac:dyDescent="0.25">
      <c r="A401" s="3"/>
      <c r="B401" s="3">
        <v>45991</v>
      </c>
      <c r="C401" s="5">
        <v>2025020399</v>
      </c>
      <c r="D401" s="2" t="s">
        <v>28</v>
      </c>
      <c r="E401" s="2" t="s">
        <v>36</v>
      </c>
      <c r="F401" s="2"/>
      <c r="G401" s="2"/>
      <c r="H401" s="2" t="str">
        <f t="shared" si="34"/>
        <v>_</v>
      </c>
      <c r="I401" s="2"/>
      <c r="J401" s="2"/>
      <c r="K401" s="2"/>
      <c r="L401" s="2" t="str">
        <f t="shared" si="35"/>
        <v>_</v>
      </c>
      <c r="M401" s="2"/>
      <c r="N401" s="2">
        <f>IF(ISBLANK(Table2[[#This Row],[ActualResult]]), 0, 1)</f>
        <v>0</v>
      </c>
      <c r="O401" s="2" t="str">
        <f>IF(ISBLANK(Table2[[#This Row],[ActualResult]]), "_", IF(Table2[[#This Row],[ActualWinner]]=Table2[[#This Row],[PredictedWinner]], "Y", "N"))</f>
        <v>_</v>
      </c>
      <c r="P4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1" s="2"/>
      <c r="S401" s="2" t="str">
        <f t="shared" si="36"/>
        <v>_</v>
      </c>
      <c r="T4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1" s="2">
        <f>IF(Table2[[#This Row],[InterConf]]=1,IF(Table2[[#This Row],[InterDiv]]=0, 1, 0), 0)</f>
        <v>0</v>
      </c>
      <c r="W4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01" s="2"/>
      <c r="Y401" s="2"/>
      <c r="Z401" s="145">
        <f>IF(AND(Table2[[#This Row],[GameIsOver]]=1,Table2[[#This Row],[ActualHomeScore]]*Table2[[#This Row],[ActualAwayScore]]=0), 1,0)</f>
        <v>0</v>
      </c>
      <c r="AA4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1" s="2">
        <f>Table2[[#This Row],[ActualAwayScore]]-Table2[[#This Row],[PredictedAwayScore]]</f>
        <v>0</v>
      </c>
      <c r="AG401" s="2">
        <f>Table2[[#This Row],[ActualHomeScore]]-Table2[[#This Row],[PredictedHomeScore]]</f>
        <v>0</v>
      </c>
      <c r="AH401" s="2">
        <f t="shared" si="37"/>
        <v>0</v>
      </c>
      <c r="AI401" s="2">
        <f t="shared" si="38"/>
        <v>0</v>
      </c>
      <c r="AJ401" s="2"/>
      <c r="AK401" s="2"/>
      <c r="AL401" s="2">
        <f>IF(Table2[[#This Row],[GameIsOver]]=0,0,IF(Table2[[#This Row],[ActualWinner]]=Table2[[#This Row],[AwayTeam]], 1, 0))</f>
        <v>0</v>
      </c>
      <c r="AM401" s="2">
        <f>IF(Table2[[#This Row],[GameIsOver]]=0,0,IF(Table2[[#This Row],[ActualWinner]]=Table2[[#This Row],[HomeTeam]], 1, 0))</f>
        <v>0</v>
      </c>
      <c r="AN4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1" s="2" t="str">
        <f>INDEX(Sheet5!$B$2:$AG$33, MATCH(Table2[[#This Row],[AwayTeam]],Sheet5!$A$2:$A$33, 0), MATCH(Table2[[#This Row],[HomeTeam]],Sheet5!$A$2:$A$33, 0))</f>
        <v>0-0-0</v>
      </c>
      <c r="AP401" s="2" t="str">
        <f>INDEX(Sheet5!$B$2:$AG$33, MATCH(Table2[[#This Row],[HomeTeam]],Sheet5!$A$2:$A$33, 0), MATCH(Table2[[#This Row],[AwayTeam]],Sheet5!$A$2:$A$33, 0))</f>
        <v>0-0-0</v>
      </c>
      <c r="AQ401" s="2">
        <f>IF(Table2[[#This Row],[GameHasShutOut]], 1, 0)</f>
        <v>0</v>
      </c>
      <c r="AR401" s="2">
        <f>IF(Table2[[#This Row],[ActualAwayScore]] + Table2[[#This Row],[ActualHomeScore]] &gt;= 10, 1, 0)</f>
        <v>0</v>
      </c>
      <c r="AS401" s="2">
        <f>IF(ABS(Table2[[#This Row],[ActualAwayScore]]-Table2[[#This Row],[ActualHomeScore]])&gt;=5, 1, 0)</f>
        <v>0</v>
      </c>
      <c r="AT401" s="2">
        <f>IF(Table2[[#This Row],[ActualAwayScore]] + Table2[[#This Row],[ActualHomeScore]] &lt;= 3, 1, 0)</f>
        <v>1</v>
      </c>
      <c r="AU401" s="2"/>
      <c r="AV401" s="2"/>
    </row>
    <row r="402" spans="1:48" x14ac:dyDescent="0.25">
      <c r="A402" s="3"/>
      <c r="B402" s="3">
        <v>45991</v>
      </c>
      <c r="C402" s="5">
        <v>2025020400</v>
      </c>
      <c r="D402" s="2" t="s">
        <v>37</v>
      </c>
      <c r="E402" s="2" t="s">
        <v>26</v>
      </c>
      <c r="F402" s="2"/>
      <c r="G402" s="2"/>
      <c r="H402" s="2" t="str">
        <f t="shared" si="34"/>
        <v>_</v>
      </c>
      <c r="I402" s="2"/>
      <c r="J402" s="2"/>
      <c r="K402" s="2"/>
      <c r="L402" s="2" t="str">
        <f t="shared" si="35"/>
        <v>_</v>
      </c>
      <c r="M402" s="2"/>
      <c r="N402" s="2">
        <f>IF(ISBLANK(Table2[[#This Row],[ActualResult]]), 0, 1)</f>
        <v>0</v>
      </c>
      <c r="O402" s="2" t="str">
        <f>IF(ISBLANK(Table2[[#This Row],[ActualResult]]), "_", IF(Table2[[#This Row],[ActualWinner]]=Table2[[#This Row],[PredictedWinner]], "Y", "N"))</f>
        <v>_</v>
      </c>
      <c r="P4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2" s="2"/>
      <c r="S402" s="2" t="str">
        <f t="shared" si="36"/>
        <v>_</v>
      </c>
      <c r="T4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2" s="2">
        <f>IF(Table2[[#This Row],[InterConf]]=1,IF(Table2[[#This Row],[InterDiv]]=0, 1, 0), 0)</f>
        <v>0</v>
      </c>
      <c r="W4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2" s="2"/>
      <c r="Y402" s="2"/>
      <c r="Z402" s="145">
        <f>IF(AND(Table2[[#This Row],[GameIsOver]]=1,Table2[[#This Row],[ActualHomeScore]]*Table2[[#This Row],[ActualAwayScore]]=0), 1,0)</f>
        <v>0</v>
      </c>
      <c r="AA4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2" s="2">
        <f>Table2[[#This Row],[ActualAwayScore]]-Table2[[#This Row],[PredictedAwayScore]]</f>
        <v>0</v>
      </c>
      <c r="AG402" s="2">
        <f>Table2[[#This Row],[ActualHomeScore]]-Table2[[#This Row],[PredictedHomeScore]]</f>
        <v>0</v>
      </c>
      <c r="AH402" s="2">
        <f t="shared" si="37"/>
        <v>0</v>
      </c>
      <c r="AI402" s="2">
        <f t="shared" si="38"/>
        <v>0</v>
      </c>
      <c r="AJ402" s="2"/>
      <c r="AK402" s="2"/>
      <c r="AL402" s="2">
        <f>IF(Table2[[#This Row],[GameIsOver]]=0,0,IF(Table2[[#This Row],[ActualWinner]]=Table2[[#This Row],[AwayTeam]], 1, 0))</f>
        <v>0</v>
      </c>
      <c r="AM402" s="2">
        <f>IF(Table2[[#This Row],[GameIsOver]]=0,0,IF(Table2[[#This Row],[ActualWinner]]=Table2[[#This Row],[HomeTeam]], 1, 0))</f>
        <v>0</v>
      </c>
      <c r="AN4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2" s="2" t="str">
        <f>INDEX(Sheet5!$B$2:$AG$33, MATCH(Table2[[#This Row],[AwayTeam]],Sheet5!$A$2:$A$33, 0), MATCH(Table2[[#This Row],[HomeTeam]],Sheet5!$A$2:$A$33, 0))</f>
        <v>0-0-1</v>
      </c>
      <c r="AP402" s="2" t="str">
        <f>INDEX(Sheet5!$B$2:$AG$33, MATCH(Table2[[#This Row],[HomeTeam]],Sheet5!$A$2:$A$33, 0), MATCH(Table2[[#This Row],[AwayTeam]],Sheet5!$A$2:$A$33, 0))</f>
        <v>1-0-0</v>
      </c>
      <c r="AQ402" s="2">
        <f>IF(Table2[[#This Row],[GameHasShutOut]], 1, 0)</f>
        <v>0</v>
      </c>
      <c r="AR402" s="2">
        <f>IF(Table2[[#This Row],[ActualAwayScore]] + Table2[[#This Row],[ActualHomeScore]] &gt;= 10, 1, 0)</f>
        <v>0</v>
      </c>
      <c r="AS402" s="2">
        <f>IF(ABS(Table2[[#This Row],[ActualAwayScore]]-Table2[[#This Row],[ActualHomeScore]])&gt;=5, 1, 0)</f>
        <v>0</v>
      </c>
      <c r="AT402" s="2">
        <f>IF(Table2[[#This Row],[ActualAwayScore]] + Table2[[#This Row],[ActualHomeScore]] &lt;= 3, 1, 0)</f>
        <v>1</v>
      </c>
      <c r="AU402" s="2"/>
      <c r="AV402" s="2"/>
    </row>
    <row r="403" spans="1:48" x14ac:dyDescent="0.25">
      <c r="A403" s="3"/>
      <c r="B403" s="3">
        <v>45991</v>
      </c>
      <c r="C403" s="5">
        <v>2025020401</v>
      </c>
      <c r="D403" s="2" t="s">
        <v>24</v>
      </c>
      <c r="E403" s="2" t="s">
        <v>27</v>
      </c>
      <c r="F403" s="2"/>
      <c r="G403" s="2"/>
      <c r="H403" s="2" t="str">
        <f t="shared" si="34"/>
        <v>_</v>
      </c>
      <c r="I403" s="2"/>
      <c r="J403" s="2"/>
      <c r="K403" s="2"/>
      <c r="L403" s="2" t="str">
        <f t="shared" si="35"/>
        <v>_</v>
      </c>
      <c r="M403" s="2"/>
      <c r="N403" s="2">
        <f>IF(ISBLANK(Table2[[#This Row],[ActualResult]]), 0, 1)</f>
        <v>0</v>
      </c>
      <c r="O403" s="2" t="str">
        <f>IF(ISBLANK(Table2[[#This Row],[ActualResult]]), "_", IF(Table2[[#This Row],[ActualWinner]]=Table2[[#This Row],[PredictedWinner]], "Y", "N"))</f>
        <v>_</v>
      </c>
      <c r="P4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3" s="2"/>
      <c r="S403" s="2" t="str">
        <f t="shared" si="36"/>
        <v>_</v>
      </c>
      <c r="T4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3" s="2">
        <f>IF(Table2[[#This Row],[InterConf]]=1,IF(Table2[[#This Row],[InterDiv]]=0, 1, 0), 0)</f>
        <v>0</v>
      </c>
      <c r="W4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3" s="2"/>
      <c r="Y403" s="2"/>
      <c r="Z403" s="145">
        <f>IF(AND(Table2[[#This Row],[GameIsOver]]=1,Table2[[#This Row],[ActualHomeScore]]*Table2[[#This Row],[ActualAwayScore]]=0), 1,0)</f>
        <v>0</v>
      </c>
      <c r="AA4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3" s="2">
        <f>Table2[[#This Row],[ActualAwayScore]]-Table2[[#This Row],[PredictedAwayScore]]</f>
        <v>0</v>
      </c>
      <c r="AG403" s="2">
        <f>Table2[[#This Row],[ActualHomeScore]]-Table2[[#This Row],[PredictedHomeScore]]</f>
        <v>0</v>
      </c>
      <c r="AH403" s="2">
        <f t="shared" si="37"/>
        <v>0</v>
      </c>
      <c r="AI403" s="2">
        <f t="shared" si="38"/>
        <v>0</v>
      </c>
      <c r="AJ403" s="2"/>
      <c r="AK403" s="2"/>
      <c r="AL403" s="2">
        <f>IF(Table2[[#This Row],[GameIsOver]]=0,0,IF(Table2[[#This Row],[ActualWinner]]=Table2[[#This Row],[AwayTeam]], 1, 0))</f>
        <v>0</v>
      </c>
      <c r="AM403" s="2">
        <f>IF(Table2[[#This Row],[GameIsOver]]=0,0,IF(Table2[[#This Row],[ActualWinner]]=Table2[[#This Row],[HomeTeam]], 1, 0))</f>
        <v>0</v>
      </c>
      <c r="AN403" s="2">
        <f>IF(IFERROR(FIND(Table2[[#This Row],[AwayTeam]], _xlfn.TEXTJOIN(";", 1, $BD$31:$BD$40)), 0) &gt; 0, 1, 0) + IF(IFERROR(FIND(Table2[[#This Row],[HomeTeam]], _xlfn.TEXTJOIN(";", 1, $BD$31:$BD$40)), 0) &gt; 0, 1, 0)</f>
        <v>1</v>
      </c>
      <c r="AO403" s="2" t="str">
        <f>INDEX(Sheet5!$B$2:$AG$33, MATCH(Table2[[#This Row],[AwayTeam]],Sheet5!$A$2:$A$33, 0), MATCH(Table2[[#This Row],[HomeTeam]],Sheet5!$A$2:$A$33, 0))</f>
        <v>0-0-0</v>
      </c>
      <c r="AP403" s="2" t="str">
        <f>INDEX(Sheet5!$B$2:$AG$33, MATCH(Table2[[#This Row],[HomeTeam]],Sheet5!$A$2:$A$33, 0), MATCH(Table2[[#This Row],[AwayTeam]],Sheet5!$A$2:$A$33, 0))</f>
        <v>0-0-0</v>
      </c>
      <c r="AQ403" s="2">
        <f>IF(Table2[[#This Row],[GameHasShutOut]], 1, 0)</f>
        <v>0</v>
      </c>
      <c r="AR403" s="2">
        <f>IF(Table2[[#This Row],[ActualAwayScore]] + Table2[[#This Row],[ActualHomeScore]] &gt;= 10, 1, 0)</f>
        <v>0</v>
      </c>
      <c r="AS403" s="2">
        <f>IF(ABS(Table2[[#This Row],[ActualAwayScore]]-Table2[[#This Row],[ActualHomeScore]])&gt;=5, 1, 0)</f>
        <v>0</v>
      </c>
      <c r="AT403" s="2">
        <f>IF(Table2[[#This Row],[ActualAwayScore]] + Table2[[#This Row],[ActualHomeScore]] &lt;= 3, 1, 0)</f>
        <v>1</v>
      </c>
      <c r="AU403" s="2"/>
      <c r="AV403" s="2"/>
    </row>
    <row r="404" spans="1:48" x14ac:dyDescent="0.25">
      <c r="A404" s="3"/>
      <c r="B404" s="3">
        <v>45991</v>
      </c>
      <c r="C404" s="5">
        <v>2025020402</v>
      </c>
      <c r="D404" s="2" t="s">
        <v>43</v>
      </c>
      <c r="E404" s="2" t="s">
        <v>32</v>
      </c>
      <c r="F404" s="2"/>
      <c r="G404" s="2"/>
      <c r="H404" s="2" t="str">
        <f t="shared" si="34"/>
        <v>_</v>
      </c>
      <c r="I404" s="2"/>
      <c r="J404" s="2"/>
      <c r="K404" s="2"/>
      <c r="L404" s="2" t="str">
        <f t="shared" si="35"/>
        <v>_</v>
      </c>
      <c r="M404" s="2"/>
      <c r="N404" s="2">
        <f>IF(ISBLANK(Table2[[#This Row],[ActualResult]]), 0, 1)</f>
        <v>0</v>
      </c>
      <c r="O404" s="2" t="str">
        <f>IF(ISBLANK(Table2[[#This Row],[ActualResult]]), "_", IF(Table2[[#This Row],[ActualWinner]]=Table2[[#This Row],[PredictedWinner]], "Y", "N"))</f>
        <v>_</v>
      </c>
      <c r="P4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4" s="2"/>
      <c r="S404" s="2" t="str">
        <f t="shared" si="36"/>
        <v>_</v>
      </c>
      <c r="T4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4" s="2">
        <f>IF(Table2[[#This Row],[InterConf]]=1,IF(Table2[[#This Row],[InterDiv]]=0, 1, 0), 0)</f>
        <v>0</v>
      </c>
      <c r="W4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4" s="2"/>
      <c r="Y404" s="2"/>
      <c r="Z404" s="145">
        <f>IF(AND(Table2[[#This Row],[GameIsOver]]=1,Table2[[#This Row],[ActualHomeScore]]*Table2[[#This Row],[ActualAwayScore]]=0), 1,0)</f>
        <v>0</v>
      </c>
      <c r="AA4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4" s="2">
        <f>Table2[[#This Row],[ActualAwayScore]]-Table2[[#This Row],[PredictedAwayScore]]</f>
        <v>0</v>
      </c>
      <c r="AG404" s="2">
        <f>Table2[[#This Row],[ActualHomeScore]]-Table2[[#This Row],[PredictedHomeScore]]</f>
        <v>0</v>
      </c>
      <c r="AH404" s="2">
        <f t="shared" si="37"/>
        <v>0</v>
      </c>
      <c r="AI404" s="2">
        <f t="shared" si="38"/>
        <v>0</v>
      </c>
      <c r="AJ404" s="2"/>
      <c r="AK404" s="2"/>
      <c r="AL404" s="2">
        <f>IF(Table2[[#This Row],[GameIsOver]]=0,0,IF(Table2[[#This Row],[ActualWinner]]=Table2[[#This Row],[AwayTeam]], 1, 0))</f>
        <v>0</v>
      </c>
      <c r="AM404" s="2">
        <f>IF(Table2[[#This Row],[GameIsOver]]=0,0,IF(Table2[[#This Row],[ActualWinner]]=Table2[[#This Row],[HomeTeam]], 1, 0))</f>
        <v>0</v>
      </c>
      <c r="AN4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4" s="2" t="str">
        <f>INDEX(Sheet5!$B$2:$AG$33, MATCH(Table2[[#This Row],[AwayTeam]],Sheet5!$A$2:$A$33, 0), MATCH(Table2[[#This Row],[HomeTeam]],Sheet5!$A$2:$A$33, 0))</f>
        <v>1-0-0</v>
      </c>
      <c r="AP404" s="2" t="str">
        <f>INDEX(Sheet5!$B$2:$AG$33, MATCH(Table2[[#This Row],[HomeTeam]],Sheet5!$A$2:$A$33, 0), MATCH(Table2[[#This Row],[AwayTeam]],Sheet5!$A$2:$A$33, 0))</f>
        <v>0-1-0</v>
      </c>
      <c r="AQ404" s="2">
        <f>IF(Table2[[#This Row],[GameHasShutOut]], 1, 0)</f>
        <v>0</v>
      </c>
      <c r="AR404" s="2">
        <f>IF(Table2[[#This Row],[ActualAwayScore]] + Table2[[#This Row],[ActualHomeScore]] &gt;= 10, 1, 0)</f>
        <v>0</v>
      </c>
      <c r="AS404" s="2">
        <f>IF(ABS(Table2[[#This Row],[ActualAwayScore]]-Table2[[#This Row],[ActualHomeScore]])&gt;=5, 1, 0)</f>
        <v>0</v>
      </c>
      <c r="AT404" s="2">
        <f>IF(Table2[[#This Row],[ActualAwayScore]] + Table2[[#This Row],[ActualHomeScore]] &lt;= 3, 1, 0)</f>
        <v>1</v>
      </c>
      <c r="AU404" s="2"/>
      <c r="AV404" s="2"/>
    </row>
    <row r="405" spans="1:48" x14ac:dyDescent="0.25">
      <c r="A405" s="3"/>
      <c r="B405" s="3">
        <v>45991</v>
      </c>
      <c r="C405" s="5">
        <v>2025020403</v>
      </c>
      <c r="D405" s="2" t="s">
        <v>44</v>
      </c>
      <c r="E405" s="2" t="s">
        <v>16</v>
      </c>
      <c r="F405" s="2"/>
      <c r="G405" s="2"/>
      <c r="H405" s="2" t="str">
        <f t="shared" si="34"/>
        <v>_</v>
      </c>
      <c r="I405" s="2"/>
      <c r="J405" s="2"/>
      <c r="K405" s="2"/>
      <c r="L405" s="2" t="str">
        <f t="shared" si="35"/>
        <v>_</v>
      </c>
      <c r="M405" s="2"/>
      <c r="N405" s="2">
        <f>IF(ISBLANK(Table2[[#This Row],[ActualResult]]), 0, 1)</f>
        <v>0</v>
      </c>
      <c r="O405" s="2" t="str">
        <f>IF(ISBLANK(Table2[[#This Row],[ActualResult]]), "_", IF(Table2[[#This Row],[ActualWinner]]=Table2[[#This Row],[PredictedWinner]], "Y", "N"))</f>
        <v>_</v>
      </c>
      <c r="P4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5" s="2"/>
      <c r="S405" s="2" t="str">
        <f t="shared" si="36"/>
        <v>_</v>
      </c>
      <c r="T4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5" s="2">
        <f>IF(Table2[[#This Row],[InterConf]]=1,IF(Table2[[#This Row],[InterDiv]]=0, 1, 0), 0)</f>
        <v>1</v>
      </c>
      <c r="W4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5" s="2"/>
      <c r="Y405" s="2"/>
      <c r="Z405" s="145">
        <f>IF(AND(Table2[[#This Row],[GameIsOver]]=1,Table2[[#This Row],[ActualHomeScore]]*Table2[[#This Row],[ActualAwayScore]]=0), 1,0)</f>
        <v>0</v>
      </c>
      <c r="AA4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5" s="2">
        <f>Table2[[#This Row],[ActualAwayScore]]-Table2[[#This Row],[PredictedAwayScore]]</f>
        <v>0</v>
      </c>
      <c r="AG405" s="2">
        <f>Table2[[#This Row],[ActualHomeScore]]-Table2[[#This Row],[PredictedHomeScore]]</f>
        <v>0</v>
      </c>
      <c r="AH405" s="2">
        <f t="shared" si="37"/>
        <v>0</v>
      </c>
      <c r="AI405" s="2">
        <f t="shared" si="38"/>
        <v>0</v>
      </c>
      <c r="AJ405" s="2"/>
      <c r="AK405" s="2"/>
      <c r="AL405" s="2">
        <f>IF(Table2[[#This Row],[GameIsOver]]=0,0,IF(Table2[[#This Row],[ActualWinner]]=Table2[[#This Row],[AwayTeam]], 1, 0))</f>
        <v>0</v>
      </c>
      <c r="AM405" s="2">
        <f>IF(Table2[[#This Row],[GameIsOver]]=0,0,IF(Table2[[#This Row],[ActualWinner]]=Table2[[#This Row],[HomeTeam]], 1, 0))</f>
        <v>0</v>
      </c>
      <c r="AN4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5" s="2" t="str">
        <f>INDEX(Sheet5!$B$2:$AG$33, MATCH(Table2[[#This Row],[AwayTeam]],Sheet5!$A$2:$A$33, 0), MATCH(Table2[[#This Row],[HomeTeam]],Sheet5!$A$2:$A$33, 0))</f>
        <v>0-0-1</v>
      </c>
      <c r="AP405" s="2" t="str">
        <f>INDEX(Sheet5!$B$2:$AG$33, MATCH(Table2[[#This Row],[HomeTeam]],Sheet5!$A$2:$A$33, 0), MATCH(Table2[[#This Row],[AwayTeam]],Sheet5!$A$2:$A$33, 0))</f>
        <v>1-0-0</v>
      </c>
      <c r="AQ405" s="2">
        <f>IF(Table2[[#This Row],[GameHasShutOut]], 1, 0)</f>
        <v>0</v>
      </c>
      <c r="AR405" s="2">
        <f>IF(Table2[[#This Row],[ActualAwayScore]] + Table2[[#This Row],[ActualHomeScore]] &gt;= 10, 1, 0)</f>
        <v>0</v>
      </c>
      <c r="AS405" s="2">
        <f>IF(ABS(Table2[[#This Row],[ActualAwayScore]]-Table2[[#This Row],[ActualHomeScore]])&gt;=5, 1, 0)</f>
        <v>0</v>
      </c>
      <c r="AT405" s="2">
        <f>IF(Table2[[#This Row],[ActualAwayScore]] + Table2[[#This Row],[ActualHomeScore]] &lt;= 3, 1, 0)</f>
        <v>1</v>
      </c>
      <c r="AU405" s="2"/>
      <c r="AV405" s="2"/>
    </row>
    <row r="406" spans="1:48" x14ac:dyDescent="0.25">
      <c r="A406" s="3"/>
      <c r="B406" s="3">
        <v>45991</v>
      </c>
      <c r="C406" s="5">
        <v>2025020404</v>
      </c>
      <c r="D406" s="2" t="s">
        <v>23</v>
      </c>
      <c r="E406" s="2" t="s">
        <v>41</v>
      </c>
      <c r="F406" s="2"/>
      <c r="G406" s="2"/>
      <c r="H406" s="2" t="str">
        <f t="shared" si="34"/>
        <v>_</v>
      </c>
      <c r="I406" s="2"/>
      <c r="J406" s="2"/>
      <c r="K406" s="2"/>
      <c r="L406" s="2" t="str">
        <f t="shared" si="35"/>
        <v>_</v>
      </c>
      <c r="M406" s="2"/>
      <c r="N406" s="2">
        <f>IF(ISBLANK(Table2[[#This Row],[ActualResult]]), 0, 1)</f>
        <v>0</v>
      </c>
      <c r="O406" s="2" t="str">
        <f>IF(ISBLANK(Table2[[#This Row],[ActualResult]]), "_", IF(Table2[[#This Row],[ActualWinner]]=Table2[[#This Row],[PredictedWinner]], "Y", "N"))</f>
        <v>_</v>
      </c>
      <c r="P4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6" s="2"/>
      <c r="S406" s="2" t="str">
        <f t="shared" si="36"/>
        <v>_</v>
      </c>
      <c r="T4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6" s="2">
        <f>IF(Table2[[#This Row],[InterConf]]=1,IF(Table2[[#This Row],[InterDiv]]=0, 1, 0), 0)</f>
        <v>0</v>
      </c>
      <c r="W4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06" s="2"/>
      <c r="Y406" s="2"/>
      <c r="Z406" s="145">
        <f>IF(AND(Table2[[#This Row],[GameIsOver]]=1,Table2[[#This Row],[ActualHomeScore]]*Table2[[#This Row],[ActualAwayScore]]=0), 1,0)</f>
        <v>0</v>
      </c>
      <c r="AA4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6" s="2">
        <f>Table2[[#This Row],[ActualAwayScore]]-Table2[[#This Row],[PredictedAwayScore]]</f>
        <v>0</v>
      </c>
      <c r="AG406" s="2">
        <f>Table2[[#This Row],[ActualHomeScore]]-Table2[[#This Row],[PredictedHomeScore]]</f>
        <v>0</v>
      </c>
      <c r="AH406" s="2">
        <f t="shared" si="37"/>
        <v>0</v>
      </c>
      <c r="AI406" s="2">
        <f t="shared" si="38"/>
        <v>0</v>
      </c>
      <c r="AJ406" s="2"/>
      <c r="AK406" s="2"/>
      <c r="AL406" s="2">
        <f>IF(Table2[[#This Row],[GameIsOver]]=0,0,IF(Table2[[#This Row],[ActualWinner]]=Table2[[#This Row],[AwayTeam]], 1, 0))</f>
        <v>0</v>
      </c>
      <c r="AM406" s="2">
        <f>IF(Table2[[#This Row],[GameIsOver]]=0,0,IF(Table2[[#This Row],[ActualWinner]]=Table2[[#This Row],[HomeTeam]], 1, 0))</f>
        <v>0</v>
      </c>
      <c r="AN4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6" s="2" t="str">
        <f>INDEX(Sheet5!$B$2:$AG$33, MATCH(Table2[[#This Row],[AwayTeam]],Sheet5!$A$2:$A$33, 0), MATCH(Table2[[#This Row],[HomeTeam]],Sheet5!$A$2:$A$33, 0))</f>
        <v>0-0-0</v>
      </c>
      <c r="AP406" s="2" t="str">
        <f>INDEX(Sheet5!$B$2:$AG$33, MATCH(Table2[[#This Row],[HomeTeam]],Sheet5!$A$2:$A$33, 0), MATCH(Table2[[#This Row],[AwayTeam]],Sheet5!$A$2:$A$33, 0))</f>
        <v>0-0-0</v>
      </c>
      <c r="AQ406" s="2">
        <f>IF(Table2[[#This Row],[GameHasShutOut]], 1, 0)</f>
        <v>0</v>
      </c>
      <c r="AR406" s="2">
        <f>IF(Table2[[#This Row],[ActualAwayScore]] + Table2[[#This Row],[ActualHomeScore]] &gt;= 10, 1, 0)</f>
        <v>0</v>
      </c>
      <c r="AS406" s="2">
        <f>IF(ABS(Table2[[#This Row],[ActualAwayScore]]-Table2[[#This Row],[ActualHomeScore]])&gt;=5, 1, 0)</f>
        <v>0</v>
      </c>
      <c r="AT406" s="2">
        <f>IF(Table2[[#This Row],[ActualAwayScore]] + Table2[[#This Row],[ActualHomeScore]] &lt;= 3, 1, 0)</f>
        <v>1</v>
      </c>
      <c r="AU406" s="2"/>
      <c r="AV406" s="2"/>
    </row>
    <row r="407" spans="1:48" x14ac:dyDescent="0.25">
      <c r="A407" s="3"/>
      <c r="B407" s="3">
        <v>45991</v>
      </c>
      <c r="C407" s="5">
        <v>2025020405</v>
      </c>
      <c r="D407" s="2" t="s">
        <v>29</v>
      </c>
      <c r="E407" s="2" t="s">
        <v>33</v>
      </c>
      <c r="F407" s="2"/>
      <c r="G407" s="2"/>
      <c r="H407" s="2" t="str">
        <f t="shared" si="34"/>
        <v>_</v>
      </c>
      <c r="I407" s="2"/>
      <c r="J407" s="2"/>
      <c r="K407" s="2"/>
      <c r="L407" s="2" t="str">
        <f t="shared" si="35"/>
        <v>_</v>
      </c>
      <c r="M407" s="2"/>
      <c r="N407" s="2">
        <f>IF(ISBLANK(Table2[[#This Row],[ActualResult]]), 0, 1)</f>
        <v>0</v>
      </c>
      <c r="O407" s="2" t="str">
        <f>IF(ISBLANK(Table2[[#This Row],[ActualResult]]), "_", IF(Table2[[#This Row],[ActualWinner]]=Table2[[#This Row],[PredictedWinner]], "Y", "N"))</f>
        <v>_</v>
      </c>
      <c r="P4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7" s="2"/>
      <c r="S407" s="2" t="str">
        <f t="shared" si="36"/>
        <v>_</v>
      </c>
      <c r="T4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7" s="2">
        <f>IF(Table2[[#This Row],[InterConf]]=1,IF(Table2[[#This Row],[InterDiv]]=0, 1, 0), 0)</f>
        <v>0</v>
      </c>
      <c r="W4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07" s="2"/>
      <c r="Y407" s="2"/>
      <c r="Z407" s="145">
        <f>IF(AND(Table2[[#This Row],[GameIsOver]]=1,Table2[[#This Row],[ActualHomeScore]]*Table2[[#This Row],[ActualAwayScore]]=0), 1,0)</f>
        <v>0</v>
      </c>
      <c r="AA4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7" s="2">
        <f>Table2[[#This Row],[ActualAwayScore]]-Table2[[#This Row],[PredictedAwayScore]]</f>
        <v>0</v>
      </c>
      <c r="AG407" s="2">
        <f>Table2[[#This Row],[ActualHomeScore]]-Table2[[#This Row],[PredictedHomeScore]]</f>
        <v>0</v>
      </c>
      <c r="AH407" s="2">
        <f t="shared" si="37"/>
        <v>0</v>
      </c>
      <c r="AI407" s="2">
        <f t="shared" si="38"/>
        <v>0</v>
      </c>
      <c r="AJ407" s="2"/>
      <c r="AK407" s="2"/>
      <c r="AL407" s="2">
        <f>IF(Table2[[#This Row],[GameIsOver]]=0,0,IF(Table2[[#This Row],[ActualWinner]]=Table2[[#This Row],[AwayTeam]], 1, 0))</f>
        <v>0</v>
      </c>
      <c r="AM407" s="2">
        <f>IF(Table2[[#This Row],[GameIsOver]]=0,0,IF(Table2[[#This Row],[ActualWinner]]=Table2[[#This Row],[HomeTeam]], 1, 0))</f>
        <v>0</v>
      </c>
      <c r="AN4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7" s="2" t="str">
        <f>INDEX(Sheet5!$B$2:$AG$33, MATCH(Table2[[#This Row],[AwayTeam]],Sheet5!$A$2:$A$33, 0), MATCH(Table2[[#This Row],[HomeTeam]],Sheet5!$A$2:$A$33, 0))</f>
        <v>0-0-0</v>
      </c>
      <c r="AP407" s="2" t="str">
        <f>INDEX(Sheet5!$B$2:$AG$33, MATCH(Table2[[#This Row],[HomeTeam]],Sheet5!$A$2:$A$33, 0), MATCH(Table2[[#This Row],[AwayTeam]],Sheet5!$A$2:$A$33, 0))</f>
        <v>0-0-0</v>
      </c>
      <c r="AQ407" s="2">
        <f>IF(Table2[[#This Row],[GameHasShutOut]], 1, 0)</f>
        <v>0</v>
      </c>
      <c r="AR407" s="2">
        <f>IF(Table2[[#This Row],[ActualAwayScore]] + Table2[[#This Row],[ActualHomeScore]] &gt;= 10, 1, 0)</f>
        <v>0</v>
      </c>
      <c r="AS407" s="2">
        <f>IF(ABS(Table2[[#This Row],[ActualAwayScore]]-Table2[[#This Row],[ActualHomeScore]])&gt;=5, 1, 0)</f>
        <v>0</v>
      </c>
      <c r="AT407" s="2">
        <f>IF(Table2[[#This Row],[ActualAwayScore]] + Table2[[#This Row],[ActualHomeScore]] &lt;= 3, 1, 0)</f>
        <v>1</v>
      </c>
      <c r="AU407" s="2"/>
      <c r="AV407" s="2"/>
    </row>
    <row r="408" spans="1:48" x14ac:dyDescent="0.25">
      <c r="A408" s="3"/>
      <c r="B408" s="3">
        <v>45993</v>
      </c>
      <c r="C408" s="5">
        <v>2025020406</v>
      </c>
      <c r="D408" s="2" t="s">
        <v>35</v>
      </c>
      <c r="E408" s="2" t="s">
        <v>31</v>
      </c>
      <c r="F408" s="2"/>
      <c r="G408" s="2"/>
      <c r="H408" s="2" t="str">
        <f t="shared" si="34"/>
        <v>_</v>
      </c>
      <c r="I408" s="2"/>
      <c r="J408" s="2"/>
      <c r="K408" s="2"/>
      <c r="L408" s="2" t="str">
        <f t="shared" si="35"/>
        <v>_</v>
      </c>
      <c r="M408" s="2"/>
      <c r="N408" s="2">
        <f>IF(ISBLANK(Table2[[#This Row],[ActualResult]]), 0, 1)</f>
        <v>0</v>
      </c>
      <c r="O408" s="2" t="str">
        <f>IF(ISBLANK(Table2[[#This Row],[ActualResult]]), "_", IF(Table2[[#This Row],[ActualWinner]]=Table2[[#This Row],[PredictedWinner]], "Y", "N"))</f>
        <v>_</v>
      </c>
      <c r="P4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8" s="2"/>
      <c r="S408" s="2" t="str">
        <f t="shared" si="36"/>
        <v>_</v>
      </c>
      <c r="T4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8" s="2">
        <f>IF(Table2[[#This Row],[InterConf]]=1,IF(Table2[[#This Row],[InterDiv]]=0, 1, 0), 0)</f>
        <v>0</v>
      </c>
      <c r="W4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8" s="2"/>
      <c r="Y408" s="2"/>
      <c r="Z408" s="145">
        <f>IF(AND(Table2[[#This Row],[GameIsOver]]=1,Table2[[#This Row],[ActualHomeScore]]*Table2[[#This Row],[ActualAwayScore]]=0), 1,0)</f>
        <v>0</v>
      </c>
      <c r="AA4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08" s="2">
        <f>Table2[[#This Row],[ActualAwayScore]]-Table2[[#This Row],[PredictedAwayScore]]</f>
        <v>0</v>
      </c>
      <c r="AG408" s="2">
        <f>Table2[[#This Row],[ActualHomeScore]]-Table2[[#This Row],[PredictedHomeScore]]</f>
        <v>0</v>
      </c>
      <c r="AH408" s="2">
        <f t="shared" si="37"/>
        <v>0</v>
      </c>
      <c r="AI408" s="2">
        <f t="shared" si="38"/>
        <v>0</v>
      </c>
      <c r="AJ408" s="2"/>
      <c r="AK408" s="2"/>
      <c r="AL408" s="2">
        <f>IF(Table2[[#This Row],[GameIsOver]]=0,0,IF(Table2[[#This Row],[ActualWinner]]=Table2[[#This Row],[AwayTeam]], 1, 0))</f>
        <v>0</v>
      </c>
      <c r="AM408" s="2">
        <f>IF(Table2[[#This Row],[GameIsOver]]=0,0,IF(Table2[[#This Row],[ActualWinner]]=Table2[[#This Row],[HomeTeam]], 1, 0))</f>
        <v>0</v>
      </c>
      <c r="AN4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8" s="2" t="str">
        <f>INDEX(Sheet5!$B$2:$AG$33, MATCH(Table2[[#This Row],[AwayTeam]],Sheet5!$A$2:$A$33, 0), MATCH(Table2[[#This Row],[HomeTeam]],Sheet5!$A$2:$A$33, 0))</f>
        <v>0-1-0</v>
      </c>
      <c r="AP408" s="2" t="str">
        <f>INDEX(Sheet5!$B$2:$AG$33, MATCH(Table2[[#This Row],[HomeTeam]],Sheet5!$A$2:$A$33, 0), MATCH(Table2[[#This Row],[AwayTeam]],Sheet5!$A$2:$A$33, 0))</f>
        <v>1-0-0</v>
      </c>
      <c r="AQ408" s="2">
        <f>IF(Table2[[#This Row],[GameHasShutOut]], 1, 0)</f>
        <v>0</v>
      </c>
      <c r="AR408" s="2">
        <f>IF(Table2[[#This Row],[ActualAwayScore]] + Table2[[#This Row],[ActualHomeScore]] &gt;= 10, 1, 0)</f>
        <v>0</v>
      </c>
      <c r="AS408" s="2">
        <f>IF(ABS(Table2[[#This Row],[ActualAwayScore]]-Table2[[#This Row],[ActualHomeScore]])&gt;=5, 1, 0)</f>
        <v>0</v>
      </c>
      <c r="AT408" s="2">
        <f>IF(Table2[[#This Row],[ActualAwayScore]] + Table2[[#This Row],[ActualHomeScore]] &lt;= 3, 1, 0)</f>
        <v>1</v>
      </c>
      <c r="AU408" s="2"/>
      <c r="AV408" s="2"/>
    </row>
    <row r="409" spans="1:48" x14ac:dyDescent="0.25">
      <c r="A409" s="3"/>
      <c r="B409" s="3">
        <v>45993</v>
      </c>
      <c r="C409" s="5">
        <v>2025020407</v>
      </c>
      <c r="D409" s="2" t="s">
        <v>20</v>
      </c>
      <c r="E409" s="2" t="s">
        <v>42</v>
      </c>
      <c r="F409" s="2"/>
      <c r="G409" s="2"/>
      <c r="H409" s="2" t="str">
        <f t="shared" si="34"/>
        <v>_</v>
      </c>
      <c r="I409" s="2"/>
      <c r="J409" s="2"/>
      <c r="K409" s="2"/>
      <c r="L409" s="2" t="str">
        <f t="shared" si="35"/>
        <v>_</v>
      </c>
      <c r="M409" s="2"/>
      <c r="N409" s="2">
        <f>IF(ISBLANK(Table2[[#This Row],[ActualResult]]), 0, 1)</f>
        <v>0</v>
      </c>
      <c r="O409" s="2" t="str">
        <f>IF(ISBLANK(Table2[[#This Row],[ActualResult]]), "_", IF(Table2[[#This Row],[ActualWinner]]=Table2[[#This Row],[PredictedWinner]], "Y", "N"))</f>
        <v>_</v>
      </c>
      <c r="P4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9" s="2"/>
      <c r="S409" s="2" t="str">
        <f t="shared" si="36"/>
        <v>_</v>
      </c>
      <c r="T4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9" s="2">
        <f>IF(Table2[[#This Row],[InterConf]]=1,IF(Table2[[#This Row],[InterDiv]]=0, 1, 0), 0)</f>
        <v>0</v>
      </c>
      <c r="W4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9" s="2"/>
      <c r="Y409" s="2"/>
      <c r="Z409" s="145">
        <f>IF(AND(Table2[[#This Row],[GameIsOver]]=1,Table2[[#This Row],[ActualHomeScore]]*Table2[[#This Row],[ActualAwayScore]]=0), 1,0)</f>
        <v>0</v>
      </c>
      <c r="AA4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09" s="2">
        <f>Table2[[#This Row],[ActualAwayScore]]-Table2[[#This Row],[PredictedAwayScore]]</f>
        <v>0</v>
      </c>
      <c r="AG409" s="2">
        <f>Table2[[#This Row],[ActualHomeScore]]-Table2[[#This Row],[PredictedHomeScore]]</f>
        <v>0</v>
      </c>
      <c r="AH409" s="2">
        <f t="shared" si="37"/>
        <v>0</v>
      </c>
      <c r="AI409" s="2">
        <f t="shared" si="38"/>
        <v>0</v>
      </c>
      <c r="AJ409" s="2"/>
      <c r="AK409" s="2"/>
      <c r="AL409" s="2">
        <f>IF(Table2[[#This Row],[GameIsOver]]=0,0,IF(Table2[[#This Row],[ActualWinner]]=Table2[[#This Row],[AwayTeam]], 1, 0))</f>
        <v>0</v>
      </c>
      <c r="AM409" s="2">
        <f>IF(Table2[[#This Row],[GameIsOver]]=0,0,IF(Table2[[#This Row],[ActualWinner]]=Table2[[#This Row],[HomeTeam]], 1, 0))</f>
        <v>0</v>
      </c>
      <c r="AN4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9" s="2" t="str">
        <f>INDEX(Sheet5!$B$2:$AG$33, MATCH(Table2[[#This Row],[AwayTeam]],Sheet5!$A$2:$A$33, 0), MATCH(Table2[[#This Row],[HomeTeam]],Sheet5!$A$2:$A$33, 0))</f>
        <v>0-0-0</v>
      </c>
      <c r="AP409" s="2" t="str">
        <f>INDEX(Sheet5!$B$2:$AG$33, MATCH(Table2[[#This Row],[HomeTeam]],Sheet5!$A$2:$A$33, 0), MATCH(Table2[[#This Row],[AwayTeam]],Sheet5!$A$2:$A$33, 0))</f>
        <v>0-0-0</v>
      </c>
      <c r="AQ409" s="2">
        <f>IF(Table2[[#This Row],[GameHasShutOut]], 1, 0)</f>
        <v>0</v>
      </c>
      <c r="AR409" s="2">
        <f>IF(Table2[[#This Row],[ActualAwayScore]] + Table2[[#This Row],[ActualHomeScore]] &gt;= 10, 1, 0)</f>
        <v>0</v>
      </c>
      <c r="AS409" s="2">
        <f>IF(ABS(Table2[[#This Row],[ActualAwayScore]]-Table2[[#This Row],[ActualHomeScore]])&gt;=5, 1, 0)</f>
        <v>0</v>
      </c>
      <c r="AT409" s="2">
        <f>IF(Table2[[#This Row],[ActualAwayScore]] + Table2[[#This Row],[ActualHomeScore]] &lt;= 3, 1, 0)</f>
        <v>1</v>
      </c>
      <c r="AU409" s="2"/>
      <c r="AV409" s="2"/>
    </row>
    <row r="410" spans="1:48" x14ac:dyDescent="0.25">
      <c r="A410" s="3"/>
      <c r="B410" s="3">
        <v>45993</v>
      </c>
      <c r="C410" s="5">
        <v>2025020408</v>
      </c>
      <c r="D410" s="2" t="s">
        <v>21</v>
      </c>
      <c r="E410" s="2" t="s">
        <v>28</v>
      </c>
      <c r="F410" s="2"/>
      <c r="G410" s="2"/>
      <c r="H410" s="2" t="str">
        <f t="shared" si="34"/>
        <v>_</v>
      </c>
      <c r="I410" s="2"/>
      <c r="J410" s="2"/>
      <c r="K410" s="2"/>
      <c r="L410" s="2" t="str">
        <f t="shared" si="35"/>
        <v>_</v>
      </c>
      <c r="M410" s="2"/>
      <c r="N410" s="2">
        <f>IF(ISBLANK(Table2[[#This Row],[ActualResult]]), 0, 1)</f>
        <v>0</v>
      </c>
      <c r="O410" s="2" t="str">
        <f>IF(ISBLANK(Table2[[#This Row],[ActualResult]]), "_", IF(Table2[[#This Row],[ActualWinner]]=Table2[[#This Row],[PredictedWinner]], "Y", "N"))</f>
        <v>_</v>
      </c>
      <c r="P4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0" s="2"/>
      <c r="S410" s="2" t="str">
        <f t="shared" si="36"/>
        <v>_</v>
      </c>
      <c r="T4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0" s="2">
        <f>IF(Table2[[#This Row],[InterConf]]=1,IF(Table2[[#This Row],[InterDiv]]=0, 1, 0), 0)</f>
        <v>0</v>
      </c>
      <c r="W4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10" s="2"/>
      <c r="Y410" s="2"/>
      <c r="Z410" s="145">
        <f>IF(AND(Table2[[#This Row],[GameIsOver]]=1,Table2[[#This Row],[ActualHomeScore]]*Table2[[#This Row],[ActualAwayScore]]=0), 1,0)</f>
        <v>0</v>
      </c>
      <c r="AA4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10" s="2">
        <f>Table2[[#This Row],[ActualAwayScore]]-Table2[[#This Row],[PredictedAwayScore]]</f>
        <v>0</v>
      </c>
      <c r="AG410" s="2">
        <f>Table2[[#This Row],[ActualHomeScore]]-Table2[[#This Row],[PredictedHomeScore]]</f>
        <v>0</v>
      </c>
      <c r="AH410" s="2">
        <f t="shared" si="37"/>
        <v>0</v>
      </c>
      <c r="AI410" s="2">
        <f t="shared" si="38"/>
        <v>0</v>
      </c>
      <c r="AJ410" s="2"/>
      <c r="AK410" s="2"/>
      <c r="AL410" s="2">
        <f>IF(Table2[[#This Row],[GameIsOver]]=0,0,IF(Table2[[#This Row],[ActualWinner]]=Table2[[#This Row],[AwayTeam]], 1, 0))</f>
        <v>0</v>
      </c>
      <c r="AM410" s="2">
        <f>IF(Table2[[#This Row],[GameIsOver]]=0,0,IF(Table2[[#This Row],[ActualWinner]]=Table2[[#This Row],[HomeTeam]], 1, 0))</f>
        <v>0</v>
      </c>
      <c r="AN4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0" s="2" t="str">
        <f>INDEX(Sheet5!$B$2:$AG$33, MATCH(Table2[[#This Row],[AwayTeam]],Sheet5!$A$2:$A$33, 0), MATCH(Table2[[#This Row],[HomeTeam]],Sheet5!$A$2:$A$33, 0))</f>
        <v>0-0-0</v>
      </c>
      <c r="AP410" s="2" t="str">
        <f>INDEX(Sheet5!$B$2:$AG$33, MATCH(Table2[[#This Row],[HomeTeam]],Sheet5!$A$2:$A$33, 0), MATCH(Table2[[#This Row],[AwayTeam]],Sheet5!$A$2:$A$33, 0))</f>
        <v>0-0-0</v>
      </c>
      <c r="AQ410" s="2">
        <f>IF(Table2[[#This Row],[GameHasShutOut]], 1, 0)</f>
        <v>0</v>
      </c>
      <c r="AR410" s="2">
        <f>IF(Table2[[#This Row],[ActualAwayScore]] + Table2[[#This Row],[ActualHomeScore]] &gt;= 10, 1, 0)</f>
        <v>0</v>
      </c>
      <c r="AS410" s="2">
        <f>IF(ABS(Table2[[#This Row],[ActualAwayScore]]-Table2[[#This Row],[ActualHomeScore]])&gt;=5, 1, 0)</f>
        <v>0</v>
      </c>
      <c r="AT410" s="2">
        <f>IF(Table2[[#This Row],[ActualAwayScore]] + Table2[[#This Row],[ActualHomeScore]] &lt;= 3, 1, 0)</f>
        <v>1</v>
      </c>
      <c r="AU410" s="2"/>
      <c r="AV410" s="2"/>
    </row>
    <row r="411" spans="1:48" x14ac:dyDescent="0.25">
      <c r="A411" s="3"/>
      <c r="B411" s="3">
        <v>45993</v>
      </c>
      <c r="C411" s="5">
        <v>2025020409</v>
      </c>
      <c r="D411" s="2" t="s">
        <v>44</v>
      </c>
      <c r="E411" s="2" t="s">
        <v>12</v>
      </c>
      <c r="F411" s="2"/>
      <c r="G411" s="2"/>
      <c r="H411" s="2" t="str">
        <f t="shared" si="34"/>
        <v>_</v>
      </c>
      <c r="I411" s="2"/>
      <c r="J411" s="2"/>
      <c r="K411" s="2"/>
      <c r="L411" s="2" t="str">
        <f t="shared" si="35"/>
        <v>_</v>
      </c>
      <c r="M411" s="2"/>
      <c r="N411" s="2">
        <f>IF(ISBLANK(Table2[[#This Row],[ActualResult]]), 0, 1)</f>
        <v>0</v>
      </c>
      <c r="O411" s="2" t="str">
        <f>IF(ISBLANK(Table2[[#This Row],[ActualResult]]), "_", IF(Table2[[#This Row],[ActualWinner]]=Table2[[#This Row],[PredictedWinner]], "Y", "N"))</f>
        <v>_</v>
      </c>
      <c r="P4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1" s="2"/>
      <c r="S411" s="2" t="str">
        <f t="shared" si="36"/>
        <v>_</v>
      </c>
      <c r="T4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1" s="2">
        <f>IF(Table2[[#This Row],[InterConf]]=1,IF(Table2[[#This Row],[InterDiv]]=0, 1, 0), 0)</f>
        <v>1</v>
      </c>
      <c r="W4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1" s="2"/>
      <c r="Y411" s="2"/>
      <c r="Z411" s="145">
        <f>IF(AND(Table2[[#This Row],[GameIsOver]]=1,Table2[[#This Row],[ActualHomeScore]]*Table2[[#This Row],[ActualAwayScore]]=0), 1,0)</f>
        <v>0</v>
      </c>
      <c r="AA4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11" s="2">
        <f>Table2[[#This Row],[ActualAwayScore]]-Table2[[#This Row],[PredictedAwayScore]]</f>
        <v>0</v>
      </c>
      <c r="AG411" s="2">
        <f>Table2[[#This Row],[ActualHomeScore]]-Table2[[#This Row],[PredictedHomeScore]]</f>
        <v>0</v>
      </c>
      <c r="AH411" s="2">
        <f t="shared" si="37"/>
        <v>0</v>
      </c>
      <c r="AI411" s="2">
        <f t="shared" si="38"/>
        <v>0</v>
      </c>
      <c r="AJ411" s="2"/>
      <c r="AK411" s="2"/>
      <c r="AL411" s="2">
        <f>IF(Table2[[#This Row],[GameIsOver]]=0,0,IF(Table2[[#This Row],[ActualWinner]]=Table2[[#This Row],[AwayTeam]], 1, 0))</f>
        <v>0</v>
      </c>
      <c r="AM411" s="2">
        <f>IF(Table2[[#This Row],[GameIsOver]]=0,0,IF(Table2[[#This Row],[ActualWinner]]=Table2[[#This Row],[HomeTeam]], 1, 0))</f>
        <v>0</v>
      </c>
      <c r="AN4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1" s="2" t="str">
        <f>INDEX(Sheet5!$B$2:$AG$33, MATCH(Table2[[#This Row],[AwayTeam]],Sheet5!$A$2:$A$33, 0), MATCH(Table2[[#This Row],[HomeTeam]],Sheet5!$A$2:$A$33, 0))</f>
        <v>0-0-0</v>
      </c>
      <c r="AP411" s="2" t="str">
        <f>INDEX(Sheet5!$B$2:$AG$33, MATCH(Table2[[#This Row],[HomeTeam]],Sheet5!$A$2:$A$33, 0), MATCH(Table2[[#This Row],[AwayTeam]],Sheet5!$A$2:$A$33, 0))</f>
        <v>0-0-0</v>
      </c>
      <c r="AQ411" s="2">
        <f>IF(Table2[[#This Row],[GameHasShutOut]], 1, 0)</f>
        <v>0</v>
      </c>
      <c r="AR411" s="2">
        <f>IF(Table2[[#This Row],[ActualAwayScore]] + Table2[[#This Row],[ActualHomeScore]] &gt;= 10, 1, 0)</f>
        <v>0</v>
      </c>
      <c r="AS411" s="2">
        <f>IF(ABS(Table2[[#This Row],[ActualAwayScore]]-Table2[[#This Row],[ActualHomeScore]])&gt;=5, 1, 0)</f>
        <v>0</v>
      </c>
      <c r="AT411" s="2">
        <f>IF(Table2[[#This Row],[ActualAwayScore]] + Table2[[#This Row],[ActualHomeScore]] &lt;= 3, 1, 0)</f>
        <v>1</v>
      </c>
      <c r="AU411" s="2"/>
      <c r="AV411" s="2"/>
    </row>
    <row r="412" spans="1:48" x14ac:dyDescent="0.25">
      <c r="A412" s="3"/>
      <c r="B412" s="3">
        <v>45993</v>
      </c>
      <c r="C412" s="5">
        <v>2025020410</v>
      </c>
      <c r="D412" s="2" t="s">
        <v>14</v>
      </c>
      <c r="E412" s="2" t="s">
        <v>37</v>
      </c>
      <c r="F412" s="2"/>
      <c r="G412" s="2"/>
      <c r="H412" s="2" t="str">
        <f t="shared" si="34"/>
        <v>_</v>
      </c>
      <c r="I412" s="2"/>
      <c r="J412" s="2"/>
      <c r="K412" s="2"/>
      <c r="L412" s="2" t="str">
        <f t="shared" si="35"/>
        <v>_</v>
      </c>
      <c r="M412" s="2"/>
      <c r="N412" s="2">
        <f>IF(ISBLANK(Table2[[#This Row],[ActualResult]]), 0, 1)</f>
        <v>0</v>
      </c>
      <c r="O412" s="2" t="str">
        <f>IF(ISBLANK(Table2[[#This Row],[ActualResult]]), "_", IF(Table2[[#This Row],[ActualWinner]]=Table2[[#This Row],[PredictedWinner]], "Y", "N"))</f>
        <v>_</v>
      </c>
      <c r="P4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2" s="2"/>
      <c r="S412" s="2" t="str">
        <f t="shared" si="36"/>
        <v>_</v>
      </c>
      <c r="T4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2" s="2">
        <f>IF(Table2[[#This Row],[InterConf]]=1,IF(Table2[[#This Row],[InterDiv]]=0, 1, 0), 0)</f>
        <v>1</v>
      </c>
      <c r="W4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2" s="2"/>
      <c r="Y412" s="2"/>
      <c r="Z412" s="145">
        <f>IF(AND(Table2[[#This Row],[GameIsOver]]=1,Table2[[#This Row],[ActualHomeScore]]*Table2[[#This Row],[ActualAwayScore]]=0), 1,0)</f>
        <v>0</v>
      </c>
      <c r="AA4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12" s="2">
        <f>Table2[[#This Row],[ActualAwayScore]]-Table2[[#This Row],[PredictedAwayScore]]</f>
        <v>0</v>
      </c>
      <c r="AG412" s="2">
        <f>Table2[[#This Row],[ActualHomeScore]]-Table2[[#This Row],[PredictedHomeScore]]</f>
        <v>0</v>
      </c>
      <c r="AH412" s="2">
        <f t="shared" si="37"/>
        <v>0</v>
      </c>
      <c r="AI412" s="2">
        <f t="shared" si="38"/>
        <v>0</v>
      </c>
      <c r="AJ412" s="2"/>
      <c r="AK412" s="2"/>
      <c r="AL412" s="2">
        <f>IF(Table2[[#This Row],[GameIsOver]]=0,0,IF(Table2[[#This Row],[ActualWinner]]=Table2[[#This Row],[AwayTeam]], 1, 0))</f>
        <v>0</v>
      </c>
      <c r="AM412" s="2">
        <f>IF(Table2[[#This Row],[GameIsOver]]=0,0,IF(Table2[[#This Row],[ActualWinner]]=Table2[[#This Row],[HomeTeam]], 1, 0))</f>
        <v>0</v>
      </c>
      <c r="AN4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2" s="2" t="str">
        <f>INDEX(Sheet5!$B$2:$AG$33, MATCH(Table2[[#This Row],[AwayTeam]],Sheet5!$A$2:$A$33, 0), MATCH(Table2[[#This Row],[HomeTeam]],Sheet5!$A$2:$A$33, 0))</f>
        <v>1-0-0</v>
      </c>
      <c r="AP412" s="2" t="str">
        <f>INDEX(Sheet5!$B$2:$AG$33, MATCH(Table2[[#This Row],[HomeTeam]],Sheet5!$A$2:$A$33, 0), MATCH(Table2[[#This Row],[AwayTeam]],Sheet5!$A$2:$A$33, 0))</f>
        <v>0-1-0</v>
      </c>
      <c r="AQ412" s="2">
        <f>IF(Table2[[#This Row],[GameHasShutOut]], 1, 0)</f>
        <v>0</v>
      </c>
      <c r="AR412" s="2">
        <f>IF(Table2[[#This Row],[ActualAwayScore]] + Table2[[#This Row],[ActualHomeScore]] &gt;= 10, 1, 0)</f>
        <v>0</v>
      </c>
      <c r="AS412" s="2">
        <f>IF(ABS(Table2[[#This Row],[ActualAwayScore]]-Table2[[#This Row],[ActualHomeScore]])&gt;=5, 1, 0)</f>
        <v>0</v>
      </c>
      <c r="AT412" s="2">
        <f>IF(Table2[[#This Row],[ActualAwayScore]] + Table2[[#This Row],[ActualHomeScore]] &lt;= 3, 1, 0)</f>
        <v>1</v>
      </c>
      <c r="AU412" s="2"/>
      <c r="AV412" s="2"/>
    </row>
    <row r="413" spans="1:48" x14ac:dyDescent="0.25">
      <c r="A413" s="3"/>
      <c r="B413" s="3">
        <v>45994</v>
      </c>
      <c r="C413" s="5">
        <v>2025020411</v>
      </c>
      <c r="D413" s="2" t="s">
        <v>29</v>
      </c>
      <c r="E413" s="2" t="s">
        <v>18</v>
      </c>
      <c r="F413" s="2"/>
      <c r="G413" s="2"/>
      <c r="H413" s="2" t="str">
        <f t="shared" si="34"/>
        <v>_</v>
      </c>
      <c r="I413" s="2"/>
      <c r="J413" s="2"/>
      <c r="K413" s="2"/>
      <c r="L413" s="2" t="str">
        <f t="shared" si="35"/>
        <v>_</v>
      </c>
      <c r="M413" s="2"/>
      <c r="N413" s="2">
        <f>IF(ISBLANK(Table2[[#This Row],[ActualResult]]), 0, 1)</f>
        <v>0</v>
      </c>
      <c r="O413" s="2" t="str">
        <f>IF(ISBLANK(Table2[[#This Row],[ActualResult]]), "_", IF(Table2[[#This Row],[ActualWinner]]=Table2[[#This Row],[PredictedWinner]], "Y", "N"))</f>
        <v>_</v>
      </c>
      <c r="P4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3" s="2"/>
      <c r="S413" s="2" t="str">
        <f t="shared" si="36"/>
        <v>_</v>
      </c>
      <c r="T4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13" s="2">
        <f>IF(Table2[[#This Row],[InterConf]]=1,IF(Table2[[#This Row],[InterDiv]]=0, 1, 0), 0)</f>
        <v>0</v>
      </c>
      <c r="W4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3" s="2"/>
      <c r="Y413" s="2"/>
      <c r="Z413" s="145">
        <f>IF(AND(Table2[[#This Row],[GameIsOver]]=1,Table2[[#This Row],[ActualHomeScore]]*Table2[[#This Row],[ActualAwayScore]]=0), 1,0)</f>
        <v>0</v>
      </c>
      <c r="AA4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3" s="2">
        <f>Table2[[#This Row],[ActualAwayScore]]-Table2[[#This Row],[PredictedAwayScore]]</f>
        <v>0</v>
      </c>
      <c r="AG413" s="2">
        <f>Table2[[#This Row],[ActualHomeScore]]-Table2[[#This Row],[PredictedHomeScore]]</f>
        <v>0</v>
      </c>
      <c r="AH413" s="2">
        <f t="shared" si="37"/>
        <v>0</v>
      </c>
      <c r="AI413" s="2">
        <f t="shared" si="38"/>
        <v>0</v>
      </c>
      <c r="AJ413" s="2"/>
      <c r="AK413" s="2"/>
      <c r="AL413" s="2">
        <f>IF(Table2[[#This Row],[GameIsOver]]=0,0,IF(Table2[[#This Row],[ActualWinner]]=Table2[[#This Row],[AwayTeam]], 1, 0))</f>
        <v>0</v>
      </c>
      <c r="AM413" s="2">
        <f>IF(Table2[[#This Row],[GameIsOver]]=0,0,IF(Table2[[#This Row],[ActualWinner]]=Table2[[#This Row],[HomeTeam]], 1, 0))</f>
        <v>0</v>
      </c>
      <c r="AN4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3" s="2" t="str">
        <f>INDEX(Sheet5!$B$2:$AG$33, MATCH(Table2[[#This Row],[AwayTeam]],Sheet5!$A$2:$A$33, 0), MATCH(Table2[[#This Row],[HomeTeam]],Sheet5!$A$2:$A$33, 0))</f>
        <v>0-0-0</v>
      </c>
      <c r="AP413" s="2" t="str">
        <f>INDEX(Sheet5!$B$2:$AG$33, MATCH(Table2[[#This Row],[HomeTeam]],Sheet5!$A$2:$A$33, 0), MATCH(Table2[[#This Row],[AwayTeam]],Sheet5!$A$2:$A$33, 0))</f>
        <v>0-0-0</v>
      </c>
      <c r="AQ413" s="2">
        <f>IF(Table2[[#This Row],[GameHasShutOut]], 1, 0)</f>
        <v>0</v>
      </c>
      <c r="AR413" s="2">
        <f>IF(Table2[[#This Row],[ActualAwayScore]] + Table2[[#This Row],[ActualHomeScore]] &gt;= 10, 1, 0)</f>
        <v>0</v>
      </c>
      <c r="AS413" s="2">
        <f>IF(ABS(Table2[[#This Row],[ActualAwayScore]]-Table2[[#This Row],[ActualHomeScore]])&gt;=5, 1, 0)</f>
        <v>0</v>
      </c>
      <c r="AT413" s="2">
        <f>IF(Table2[[#This Row],[ActualAwayScore]] + Table2[[#This Row],[ActualHomeScore]] &lt;= 3, 1, 0)</f>
        <v>1</v>
      </c>
      <c r="AU413" s="2"/>
      <c r="AV413" s="2"/>
    </row>
    <row r="414" spans="1:48" x14ac:dyDescent="0.25">
      <c r="A414" s="3"/>
      <c r="B414" s="3">
        <v>45994</v>
      </c>
      <c r="C414" s="5">
        <v>2025020412</v>
      </c>
      <c r="D414" s="2" t="s">
        <v>15</v>
      </c>
      <c r="E414" s="2" t="s">
        <v>30</v>
      </c>
      <c r="F414" s="2"/>
      <c r="G414" s="2"/>
      <c r="H414" s="2" t="str">
        <f t="shared" si="34"/>
        <v>_</v>
      </c>
      <c r="I414" s="2"/>
      <c r="J414" s="2"/>
      <c r="K414" s="2"/>
      <c r="L414" s="2" t="str">
        <f t="shared" si="35"/>
        <v>_</v>
      </c>
      <c r="M414" s="2"/>
      <c r="N414" s="2">
        <f>IF(ISBLANK(Table2[[#This Row],[ActualResult]]), 0, 1)</f>
        <v>0</v>
      </c>
      <c r="O414" s="2" t="str">
        <f>IF(ISBLANK(Table2[[#This Row],[ActualResult]]), "_", IF(Table2[[#This Row],[ActualWinner]]=Table2[[#This Row],[PredictedWinner]], "Y", "N"))</f>
        <v>_</v>
      </c>
      <c r="P4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4" s="2"/>
      <c r="S414" s="2" t="str">
        <f t="shared" si="36"/>
        <v>_</v>
      </c>
      <c r="T4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14" s="2">
        <f>IF(Table2[[#This Row],[InterConf]]=1,IF(Table2[[#This Row],[InterDiv]]=0, 1, 0), 0)</f>
        <v>0</v>
      </c>
      <c r="W4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4" s="2"/>
      <c r="Y414" s="2"/>
      <c r="Z414" s="145">
        <f>IF(AND(Table2[[#This Row],[GameIsOver]]=1,Table2[[#This Row],[ActualHomeScore]]*Table2[[#This Row],[ActualAwayScore]]=0), 1,0)</f>
        <v>0</v>
      </c>
      <c r="AA4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4" s="2">
        <f>Table2[[#This Row],[ActualAwayScore]]-Table2[[#This Row],[PredictedAwayScore]]</f>
        <v>0</v>
      </c>
      <c r="AG414" s="2">
        <f>Table2[[#This Row],[ActualHomeScore]]-Table2[[#This Row],[PredictedHomeScore]]</f>
        <v>0</v>
      </c>
      <c r="AH414" s="2">
        <f t="shared" si="37"/>
        <v>0</v>
      </c>
      <c r="AI414" s="2">
        <f t="shared" si="38"/>
        <v>0</v>
      </c>
      <c r="AJ414" s="2"/>
      <c r="AK414" s="2"/>
      <c r="AL414" s="2">
        <f>IF(Table2[[#This Row],[GameIsOver]]=0,0,IF(Table2[[#This Row],[ActualWinner]]=Table2[[#This Row],[AwayTeam]], 1, 0))</f>
        <v>0</v>
      </c>
      <c r="AM414" s="2">
        <f>IF(Table2[[#This Row],[GameIsOver]]=0,0,IF(Table2[[#This Row],[ActualWinner]]=Table2[[#This Row],[HomeTeam]], 1, 0))</f>
        <v>0</v>
      </c>
      <c r="AN4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4" s="2" t="str">
        <f>INDEX(Sheet5!$B$2:$AG$33, MATCH(Table2[[#This Row],[AwayTeam]],Sheet5!$A$2:$A$33, 0), MATCH(Table2[[#This Row],[HomeTeam]],Sheet5!$A$2:$A$33, 0))</f>
        <v>0-0-0</v>
      </c>
      <c r="AP414" s="2" t="str">
        <f>INDEX(Sheet5!$B$2:$AG$33, MATCH(Table2[[#This Row],[HomeTeam]],Sheet5!$A$2:$A$33, 0), MATCH(Table2[[#This Row],[AwayTeam]],Sheet5!$A$2:$A$33, 0))</f>
        <v>0-0-0</v>
      </c>
      <c r="AQ414" s="2">
        <f>IF(Table2[[#This Row],[GameHasShutOut]], 1, 0)</f>
        <v>0</v>
      </c>
      <c r="AR414" s="2">
        <f>IF(Table2[[#This Row],[ActualAwayScore]] + Table2[[#This Row],[ActualHomeScore]] &gt;= 10, 1, 0)</f>
        <v>0</v>
      </c>
      <c r="AS414" s="2">
        <f>IF(ABS(Table2[[#This Row],[ActualAwayScore]]-Table2[[#This Row],[ActualHomeScore]])&gt;=5, 1, 0)</f>
        <v>0</v>
      </c>
      <c r="AT414" s="2">
        <f>IF(Table2[[#This Row],[ActualAwayScore]] + Table2[[#This Row],[ActualHomeScore]] &lt;= 3, 1, 0)</f>
        <v>1</v>
      </c>
      <c r="AU414" s="2"/>
      <c r="AV414" s="2"/>
    </row>
    <row r="415" spans="1:48" x14ac:dyDescent="0.25">
      <c r="A415" s="3"/>
      <c r="B415" s="3">
        <v>45994</v>
      </c>
      <c r="C415" s="5">
        <v>2025020413</v>
      </c>
      <c r="D415" s="2" t="s">
        <v>17</v>
      </c>
      <c r="E415" s="2" t="s">
        <v>13</v>
      </c>
      <c r="F415" s="2"/>
      <c r="G415" s="2"/>
      <c r="H415" s="2" t="str">
        <f t="shared" si="34"/>
        <v>_</v>
      </c>
      <c r="I415" s="2"/>
      <c r="J415" s="2"/>
      <c r="K415" s="2"/>
      <c r="L415" s="2" t="str">
        <f t="shared" si="35"/>
        <v>_</v>
      </c>
      <c r="M415" s="2"/>
      <c r="N415" s="2">
        <f>IF(ISBLANK(Table2[[#This Row],[ActualResult]]), 0, 1)</f>
        <v>0</v>
      </c>
      <c r="O415" s="2" t="str">
        <f>IF(ISBLANK(Table2[[#This Row],[ActualResult]]), "_", IF(Table2[[#This Row],[ActualWinner]]=Table2[[#This Row],[PredictedWinner]], "Y", "N"))</f>
        <v>_</v>
      </c>
      <c r="P4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5" s="2"/>
      <c r="S415" s="2" t="str">
        <f t="shared" si="36"/>
        <v>_</v>
      </c>
      <c r="T4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15" s="2">
        <f>IF(Table2[[#This Row],[InterConf]]=1,IF(Table2[[#This Row],[InterDiv]]=0, 1, 0), 0)</f>
        <v>0</v>
      </c>
      <c r="W4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5" s="2"/>
      <c r="Y415" s="2"/>
      <c r="Z415" s="145">
        <f>IF(AND(Table2[[#This Row],[GameIsOver]]=1,Table2[[#This Row],[ActualHomeScore]]*Table2[[#This Row],[ActualAwayScore]]=0), 1,0)</f>
        <v>0</v>
      </c>
      <c r="AA4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5" s="2">
        <f>Table2[[#This Row],[ActualAwayScore]]-Table2[[#This Row],[PredictedAwayScore]]</f>
        <v>0</v>
      </c>
      <c r="AG415" s="2">
        <f>Table2[[#This Row],[ActualHomeScore]]-Table2[[#This Row],[PredictedHomeScore]]</f>
        <v>0</v>
      </c>
      <c r="AH415" s="2">
        <f t="shared" si="37"/>
        <v>0</v>
      </c>
      <c r="AI415" s="2">
        <f t="shared" si="38"/>
        <v>0</v>
      </c>
      <c r="AJ415" s="2"/>
      <c r="AK415" s="2"/>
      <c r="AL415" s="2">
        <f>IF(Table2[[#This Row],[GameIsOver]]=0,0,IF(Table2[[#This Row],[ActualWinner]]=Table2[[#This Row],[AwayTeam]], 1, 0))</f>
        <v>0</v>
      </c>
      <c r="AM415" s="2">
        <f>IF(Table2[[#This Row],[GameIsOver]]=0,0,IF(Table2[[#This Row],[ActualWinner]]=Table2[[#This Row],[HomeTeam]], 1, 0))</f>
        <v>0</v>
      </c>
      <c r="AN4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5" s="2" t="str">
        <f>INDEX(Sheet5!$B$2:$AG$33, MATCH(Table2[[#This Row],[AwayTeam]],Sheet5!$A$2:$A$33, 0), MATCH(Table2[[#This Row],[HomeTeam]],Sheet5!$A$2:$A$33, 0))</f>
        <v>0-0-0</v>
      </c>
      <c r="AP415" s="2" t="str">
        <f>INDEX(Sheet5!$B$2:$AG$33, MATCH(Table2[[#This Row],[HomeTeam]],Sheet5!$A$2:$A$33, 0), MATCH(Table2[[#This Row],[AwayTeam]],Sheet5!$A$2:$A$33, 0))</f>
        <v>0-0-0</v>
      </c>
      <c r="AQ415" s="2">
        <f>IF(Table2[[#This Row],[GameHasShutOut]], 1, 0)</f>
        <v>0</v>
      </c>
      <c r="AR415" s="2">
        <f>IF(Table2[[#This Row],[ActualAwayScore]] + Table2[[#This Row],[ActualHomeScore]] &gt;= 10, 1, 0)</f>
        <v>0</v>
      </c>
      <c r="AS415" s="2">
        <f>IF(ABS(Table2[[#This Row],[ActualAwayScore]]-Table2[[#This Row],[ActualHomeScore]])&gt;=5, 1, 0)</f>
        <v>0</v>
      </c>
      <c r="AT415" s="2">
        <f>IF(Table2[[#This Row],[ActualAwayScore]] + Table2[[#This Row],[ActualHomeScore]] &lt;= 3, 1, 0)</f>
        <v>1</v>
      </c>
      <c r="AU415" s="2"/>
      <c r="AV415" s="2"/>
    </row>
    <row r="416" spans="1:48" x14ac:dyDescent="0.25">
      <c r="A416" s="3"/>
      <c r="B416" s="3">
        <v>45994</v>
      </c>
      <c r="C416" s="5">
        <v>2025020414</v>
      </c>
      <c r="D416" s="2" t="s">
        <v>40</v>
      </c>
      <c r="E416" s="2" t="s">
        <v>32</v>
      </c>
      <c r="F416" s="2"/>
      <c r="G416" s="2"/>
      <c r="H416" s="2" t="str">
        <f t="shared" si="34"/>
        <v>_</v>
      </c>
      <c r="I416" s="2"/>
      <c r="J416" s="2"/>
      <c r="K416" s="2"/>
      <c r="L416" s="2" t="str">
        <f t="shared" si="35"/>
        <v>_</v>
      </c>
      <c r="M416" s="2"/>
      <c r="N416" s="2">
        <f>IF(ISBLANK(Table2[[#This Row],[ActualResult]]), 0, 1)</f>
        <v>0</v>
      </c>
      <c r="O416" s="2" t="str">
        <f>IF(ISBLANK(Table2[[#This Row],[ActualResult]]), "_", IF(Table2[[#This Row],[ActualWinner]]=Table2[[#This Row],[PredictedWinner]], "Y", "N"))</f>
        <v>_</v>
      </c>
      <c r="P4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6" s="2"/>
      <c r="S416" s="2" t="str">
        <f t="shared" si="36"/>
        <v>_</v>
      </c>
      <c r="T4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6" s="2">
        <f>IF(Table2[[#This Row],[InterConf]]=1,IF(Table2[[#This Row],[InterDiv]]=0, 1, 0), 0)</f>
        <v>1</v>
      </c>
      <c r="W4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6" s="2"/>
      <c r="Y416" s="2"/>
      <c r="Z416" s="145">
        <f>IF(AND(Table2[[#This Row],[GameIsOver]]=1,Table2[[#This Row],[ActualHomeScore]]*Table2[[#This Row],[ActualAwayScore]]=0), 1,0)</f>
        <v>0</v>
      </c>
      <c r="AA4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6" s="2">
        <f>Table2[[#This Row],[ActualAwayScore]]-Table2[[#This Row],[PredictedAwayScore]]</f>
        <v>0</v>
      </c>
      <c r="AG416" s="2">
        <f>Table2[[#This Row],[ActualHomeScore]]-Table2[[#This Row],[PredictedHomeScore]]</f>
        <v>0</v>
      </c>
      <c r="AH416" s="2">
        <f t="shared" si="37"/>
        <v>0</v>
      </c>
      <c r="AI416" s="2">
        <f t="shared" si="38"/>
        <v>0</v>
      </c>
      <c r="AJ416" s="2"/>
      <c r="AK416" s="2"/>
      <c r="AL416" s="2">
        <f>IF(Table2[[#This Row],[GameIsOver]]=0,0,IF(Table2[[#This Row],[ActualWinner]]=Table2[[#This Row],[AwayTeam]], 1, 0))</f>
        <v>0</v>
      </c>
      <c r="AM416" s="2">
        <f>IF(Table2[[#This Row],[GameIsOver]]=0,0,IF(Table2[[#This Row],[ActualWinner]]=Table2[[#This Row],[HomeTeam]], 1, 0))</f>
        <v>0</v>
      </c>
      <c r="AN4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6" s="2" t="str">
        <f>INDEX(Sheet5!$B$2:$AG$33, MATCH(Table2[[#This Row],[AwayTeam]],Sheet5!$A$2:$A$33, 0), MATCH(Table2[[#This Row],[HomeTeam]],Sheet5!$A$2:$A$33, 0))</f>
        <v>0-0-0</v>
      </c>
      <c r="AP416" s="2" t="str">
        <f>INDEX(Sheet5!$B$2:$AG$33, MATCH(Table2[[#This Row],[HomeTeam]],Sheet5!$A$2:$A$33, 0), MATCH(Table2[[#This Row],[AwayTeam]],Sheet5!$A$2:$A$33, 0))</f>
        <v>0-0-0</v>
      </c>
      <c r="AQ416" s="2">
        <f>IF(Table2[[#This Row],[GameHasShutOut]], 1, 0)</f>
        <v>0</v>
      </c>
      <c r="AR416" s="2">
        <f>IF(Table2[[#This Row],[ActualAwayScore]] + Table2[[#This Row],[ActualHomeScore]] &gt;= 10, 1, 0)</f>
        <v>0</v>
      </c>
      <c r="AS416" s="2">
        <f>IF(ABS(Table2[[#This Row],[ActualAwayScore]]-Table2[[#This Row],[ActualHomeScore]])&gt;=5, 1, 0)</f>
        <v>0</v>
      </c>
      <c r="AT416" s="2">
        <f>IF(Table2[[#This Row],[ActualAwayScore]] + Table2[[#This Row],[ActualHomeScore]] &lt;= 3, 1, 0)</f>
        <v>1</v>
      </c>
      <c r="AU416" s="2"/>
      <c r="AV416" s="2"/>
    </row>
    <row r="417" spans="1:48" x14ac:dyDescent="0.25">
      <c r="A417" s="3"/>
      <c r="B417" s="3">
        <v>45994</v>
      </c>
      <c r="C417" s="5">
        <v>2025020415</v>
      </c>
      <c r="D417" s="2" t="s">
        <v>33</v>
      </c>
      <c r="E417" s="2" t="s">
        <v>19</v>
      </c>
      <c r="F417" s="2"/>
      <c r="G417" s="2"/>
      <c r="H417" s="2" t="str">
        <f t="shared" si="34"/>
        <v>_</v>
      </c>
      <c r="I417" s="2"/>
      <c r="J417" s="2"/>
      <c r="K417" s="2"/>
      <c r="L417" s="2" t="str">
        <f t="shared" si="35"/>
        <v>_</v>
      </c>
      <c r="M417" s="2"/>
      <c r="N417" s="2">
        <f>IF(ISBLANK(Table2[[#This Row],[ActualResult]]), 0, 1)</f>
        <v>0</v>
      </c>
      <c r="O417" s="2" t="str">
        <f>IF(ISBLANK(Table2[[#This Row],[ActualResult]]), "_", IF(Table2[[#This Row],[ActualWinner]]=Table2[[#This Row],[PredictedWinner]], "Y", "N"))</f>
        <v>_</v>
      </c>
      <c r="P4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7" s="2"/>
      <c r="S417" s="2" t="str">
        <f t="shared" si="36"/>
        <v>_</v>
      </c>
      <c r="T4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7" s="2">
        <f>IF(Table2[[#This Row],[InterConf]]=1,IF(Table2[[#This Row],[InterDiv]]=0, 1, 0), 0)</f>
        <v>0</v>
      </c>
      <c r="W4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17" s="2"/>
      <c r="Y417" s="2"/>
      <c r="Z417" s="145">
        <f>IF(AND(Table2[[#This Row],[GameIsOver]]=1,Table2[[#This Row],[ActualHomeScore]]*Table2[[#This Row],[ActualAwayScore]]=0), 1,0)</f>
        <v>0</v>
      </c>
      <c r="AA4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7" s="2">
        <f>Table2[[#This Row],[ActualAwayScore]]-Table2[[#This Row],[PredictedAwayScore]]</f>
        <v>0</v>
      </c>
      <c r="AG417" s="2">
        <f>Table2[[#This Row],[ActualHomeScore]]-Table2[[#This Row],[PredictedHomeScore]]</f>
        <v>0</v>
      </c>
      <c r="AH417" s="2">
        <f t="shared" si="37"/>
        <v>0</v>
      </c>
      <c r="AI417" s="2">
        <f t="shared" si="38"/>
        <v>0</v>
      </c>
      <c r="AJ417" s="2"/>
      <c r="AK417" s="2"/>
      <c r="AL417" s="2">
        <f>IF(Table2[[#This Row],[GameIsOver]]=0,0,IF(Table2[[#This Row],[ActualWinner]]=Table2[[#This Row],[AwayTeam]], 1, 0))</f>
        <v>0</v>
      </c>
      <c r="AM417" s="2">
        <f>IF(Table2[[#This Row],[GameIsOver]]=0,0,IF(Table2[[#This Row],[ActualWinner]]=Table2[[#This Row],[HomeTeam]], 1, 0))</f>
        <v>0</v>
      </c>
      <c r="AN4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7" s="2" t="str">
        <f>INDEX(Sheet5!$B$2:$AG$33, MATCH(Table2[[#This Row],[AwayTeam]],Sheet5!$A$2:$A$33, 0), MATCH(Table2[[#This Row],[HomeTeam]],Sheet5!$A$2:$A$33, 0))</f>
        <v>0-0-0</v>
      </c>
      <c r="AP417" s="2" t="str">
        <f>INDEX(Sheet5!$B$2:$AG$33, MATCH(Table2[[#This Row],[HomeTeam]],Sheet5!$A$2:$A$33, 0), MATCH(Table2[[#This Row],[AwayTeam]],Sheet5!$A$2:$A$33, 0))</f>
        <v>0-0-0</v>
      </c>
      <c r="AQ417" s="2">
        <f>IF(Table2[[#This Row],[GameHasShutOut]], 1, 0)</f>
        <v>0</v>
      </c>
      <c r="AR417" s="2">
        <f>IF(Table2[[#This Row],[ActualAwayScore]] + Table2[[#This Row],[ActualHomeScore]] &gt;= 10, 1, 0)</f>
        <v>0</v>
      </c>
      <c r="AS417" s="2">
        <f>IF(ABS(Table2[[#This Row],[ActualAwayScore]]-Table2[[#This Row],[ActualHomeScore]])&gt;=5, 1, 0)</f>
        <v>0</v>
      </c>
      <c r="AT417" s="2">
        <f>IF(Table2[[#This Row],[ActualAwayScore]] + Table2[[#This Row],[ActualHomeScore]] &lt;= 3, 1, 0)</f>
        <v>1</v>
      </c>
      <c r="AU417" s="2"/>
      <c r="AV417" s="2"/>
    </row>
    <row r="418" spans="1:48" x14ac:dyDescent="0.25">
      <c r="A418" s="3"/>
      <c r="B418" s="3">
        <v>45994</v>
      </c>
      <c r="C418" s="5">
        <v>2025020416</v>
      </c>
      <c r="D418" s="2" t="s">
        <v>23</v>
      </c>
      <c r="E418" s="2" t="s">
        <v>34</v>
      </c>
      <c r="F418" s="2"/>
      <c r="G418" s="2"/>
      <c r="H418" s="2" t="str">
        <f t="shared" si="34"/>
        <v>_</v>
      </c>
      <c r="I418" s="2"/>
      <c r="J418" s="2"/>
      <c r="K418" s="2"/>
      <c r="L418" s="2" t="str">
        <f t="shared" si="35"/>
        <v>_</v>
      </c>
      <c r="M418" s="2"/>
      <c r="N418" s="2">
        <f>IF(ISBLANK(Table2[[#This Row],[ActualResult]]), 0, 1)</f>
        <v>0</v>
      </c>
      <c r="O418" s="2" t="str">
        <f>IF(ISBLANK(Table2[[#This Row],[ActualResult]]), "_", IF(Table2[[#This Row],[ActualWinner]]=Table2[[#This Row],[PredictedWinner]], "Y", "N"))</f>
        <v>_</v>
      </c>
      <c r="P4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8" s="2"/>
      <c r="S418" s="2" t="str">
        <f t="shared" si="36"/>
        <v>_</v>
      </c>
      <c r="T4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8" s="2">
        <f>IF(Table2[[#This Row],[InterConf]]=1,IF(Table2[[#This Row],[InterDiv]]=0, 1, 0), 0)</f>
        <v>1</v>
      </c>
      <c r="W4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8" s="2"/>
      <c r="Y418" s="2"/>
      <c r="Z418" s="145">
        <f>IF(AND(Table2[[#This Row],[GameIsOver]]=1,Table2[[#This Row],[ActualHomeScore]]*Table2[[#This Row],[ActualAwayScore]]=0), 1,0)</f>
        <v>0</v>
      </c>
      <c r="AA4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8" s="2">
        <f>Table2[[#This Row],[ActualAwayScore]]-Table2[[#This Row],[PredictedAwayScore]]</f>
        <v>0</v>
      </c>
      <c r="AG418" s="2">
        <f>Table2[[#This Row],[ActualHomeScore]]-Table2[[#This Row],[PredictedHomeScore]]</f>
        <v>0</v>
      </c>
      <c r="AH418" s="2">
        <f t="shared" si="37"/>
        <v>0</v>
      </c>
      <c r="AI418" s="2">
        <f t="shared" si="38"/>
        <v>0</v>
      </c>
      <c r="AJ418" s="2"/>
      <c r="AK418" s="2"/>
      <c r="AL418" s="2">
        <f>IF(Table2[[#This Row],[GameIsOver]]=0,0,IF(Table2[[#This Row],[ActualWinner]]=Table2[[#This Row],[AwayTeam]], 1, 0))</f>
        <v>0</v>
      </c>
      <c r="AM418" s="2">
        <f>IF(Table2[[#This Row],[GameIsOver]]=0,0,IF(Table2[[#This Row],[ActualWinner]]=Table2[[#This Row],[HomeTeam]], 1, 0))</f>
        <v>0</v>
      </c>
      <c r="AN4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8" s="2" t="str">
        <f>INDEX(Sheet5!$B$2:$AG$33, MATCH(Table2[[#This Row],[AwayTeam]],Sheet5!$A$2:$A$33, 0), MATCH(Table2[[#This Row],[HomeTeam]],Sheet5!$A$2:$A$33, 0))</f>
        <v>0-0-0</v>
      </c>
      <c r="AP418" s="2" t="str">
        <f>INDEX(Sheet5!$B$2:$AG$33, MATCH(Table2[[#This Row],[HomeTeam]],Sheet5!$A$2:$A$33, 0), MATCH(Table2[[#This Row],[AwayTeam]],Sheet5!$A$2:$A$33, 0))</f>
        <v>0-0-0</v>
      </c>
      <c r="AQ418" s="2">
        <f>IF(Table2[[#This Row],[GameHasShutOut]], 1, 0)</f>
        <v>0</v>
      </c>
      <c r="AR418" s="2">
        <f>IF(Table2[[#This Row],[ActualAwayScore]] + Table2[[#This Row],[ActualHomeScore]] &gt;= 10, 1, 0)</f>
        <v>0</v>
      </c>
      <c r="AS418" s="2">
        <f>IF(ABS(Table2[[#This Row],[ActualAwayScore]]-Table2[[#This Row],[ActualHomeScore]])&gt;=5, 1, 0)</f>
        <v>0</v>
      </c>
      <c r="AT418" s="2">
        <f>IF(Table2[[#This Row],[ActualAwayScore]] + Table2[[#This Row],[ActualHomeScore]] &lt;= 3, 1, 0)</f>
        <v>1</v>
      </c>
      <c r="AU418" s="2"/>
      <c r="AV418" s="2"/>
    </row>
    <row r="419" spans="1:48" x14ac:dyDescent="0.25">
      <c r="A419" s="3"/>
      <c r="B419" s="3">
        <v>45994</v>
      </c>
      <c r="C419" s="5">
        <v>2025020417</v>
      </c>
      <c r="D419" s="2" t="s">
        <v>24</v>
      </c>
      <c r="E419" s="2" t="s">
        <v>25</v>
      </c>
      <c r="F419" s="2"/>
      <c r="G419" s="2"/>
      <c r="H419" s="2" t="str">
        <f t="shared" si="34"/>
        <v>_</v>
      </c>
      <c r="I419" s="2"/>
      <c r="J419" s="2"/>
      <c r="K419" s="2"/>
      <c r="L419" s="2" t="str">
        <f t="shared" si="35"/>
        <v>_</v>
      </c>
      <c r="M419" s="2"/>
      <c r="N419" s="2">
        <f>IF(ISBLANK(Table2[[#This Row],[ActualResult]]), 0, 1)</f>
        <v>0</v>
      </c>
      <c r="O419" s="2" t="str">
        <f>IF(ISBLANK(Table2[[#This Row],[ActualResult]]), "_", IF(Table2[[#This Row],[ActualWinner]]=Table2[[#This Row],[PredictedWinner]], "Y", "N"))</f>
        <v>_</v>
      </c>
      <c r="P4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9" s="2"/>
      <c r="S419" s="2" t="str">
        <f t="shared" si="36"/>
        <v>_</v>
      </c>
      <c r="T4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9" s="2">
        <f>IF(Table2[[#This Row],[InterConf]]=1,IF(Table2[[#This Row],[InterDiv]]=0, 1, 0), 0)</f>
        <v>1</v>
      </c>
      <c r="W4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9" s="2"/>
      <c r="Y419" s="2"/>
      <c r="Z419" s="145">
        <f>IF(AND(Table2[[#This Row],[GameIsOver]]=1,Table2[[#This Row],[ActualHomeScore]]*Table2[[#This Row],[ActualAwayScore]]=0), 1,0)</f>
        <v>0</v>
      </c>
      <c r="AA4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9" s="2">
        <f>Table2[[#This Row],[ActualAwayScore]]-Table2[[#This Row],[PredictedAwayScore]]</f>
        <v>0</v>
      </c>
      <c r="AG419" s="2">
        <f>Table2[[#This Row],[ActualHomeScore]]-Table2[[#This Row],[PredictedHomeScore]]</f>
        <v>0</v>
      </c>
      <c r="AH419" s="2">
        <f t="shared" si="37"/>
        <v>0</v>
      </c>
      <c r="AI419" s="2">
        <f t="shared" si="38"/>
        <v>0</v>
      </c>
      <c r="AJ419" s="2"/>
      <c r="AK419" s="2"/>
      <c r="AL419" s="2">
        <f>IF(Table2[[#This Row],[GameIsOver]]=0,0,IF(Table2[[#This Row],[ActualWinner]]=Table2[[#This Row],[AwayTeam]], 1, 0))</f>
        <v>0</v>
      </c>
      <c r="AM419" s="2">
        <f>IF(Table2[[#This Row],[GameIsOver]]=0,0,IF(Table2[[#This Row],[ActualWinner]]=Table2[[#This Row],[HomeTeam]], 1, 0))</f>
        <v>0</v>
      </c>
      <c r="AN4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9" s="2" t="str">
        <f>INDEX(Sheet5!$B$2:$AG$33, MATCH(Table2[[#This Row],[AwayTeam]],Sheet5!$A$2:$A$33, 0), MATCH(Table2[[#This Row],[HomeTeam]],Sheet5!$A$2:$A$33, 0))</f>
        <v>0-0-0</v>
      </c>
      <c r="AP419" s="2" t="str">
        <f>INDEX(Sheet5!$B$2:$AG$33, MATCH(Table2[[#This Row],[HomeTeam]],Sheet5!$A$2:$A$33, 0), MATCH(Table2[[#This Row],[AwayTeam]],Sheet5!$A$2:$A$33, 0))</f>
        <v>0-0-0</v>
      </c>
      <c r="AQ419" s="2">
        <f>IF(Table2[[#This Row],[GameHasShutOut]], 1, 0)</f>
        <v>0</v>
      </c>
      <c r="AR419" s="2">
        <f>IF(Table2[[#This Row],[ActualAwayScore]] + Table2[[#This Row],[ActualHomeScore]] &gt;= 10, 1, 0)</f>
        <v>0</v>
      </c>
      <c r="AS419" s="2">
        <f>IF(ABS(Table2[[#This Row],[ActualAwayScore]]-Table2[[#This Row],[ActualHomeScore]])&gt;=5, 1, 0)</f>
        <v>0</v>
      </c>
      <c r="AT419" s="2">
        <f>IF(Table2[[#This Row],[ActualAwayScore]] + Table2[[#This Row],[ActualHomeScore]] &lt;= 3, 1, 0)</f>
        <v>1</v>
      </c>
      <c r="AU419" s="2"/>
      <c r="AV419" s="2"/>
    </row>
    <row r="420" spans="1:48" x14ac:dyDescent="0.25">
      <c r="A420" s="3"/>
      <c r="B420" s="3">
        <v>45994</v>
      </c>
      <c r="C420" s="5">
        <v>2025020418</v>
      </c>
      <c r="D420" s="2" t="s">
        <v>36</v>
      </c>
      <c r="E420" s="2" t="s">
        <v>22</v>
      </c>
      <c r="F420" s="2"/>
      <c r="G420" s="2"/>
      <c r="H420" s="2" t="str">
        <f t="shared" si="34"/>
        <v>_</v>
      </c>
      <c r="I420" s="2"/>
      <c r="J420" s="2"/>
      <c r="K420" s="2"/>
      <c r="L420" s="2" t="str">
        <f t="shared" si="35"/>
        <v>_</v>
      </c>
      <c r="M420" s="2"/>
      <c r="N420" s="2">
        <f>IF(ISBLANK(Table2[[#This Row],[ActualResult]]), 0, 1)</f>
        <v>0</v>
      </c>
      <c r="O420" s="2" t="str">
        <f>IF(ISBLANK(Table2[[#This Row],[ActualResult]]), "_", IF(Table2[[#This Row],[ActualWinner]]=Table2[[#This Row],[PredictedWinner]], "Y", "N"))</f>
        <v>_</v>
      </c>
      <c r="P4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0" s="2"/>
      <c r="S420" s="2" t="str">
        <f t="shared" si="36"/>
        <v>_</v>
      </c>
      <c r="T4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0" s="2">
        <f>IF(Table2[[#This Row],[InterConf]]=1,IF(Table2[[#This Row],[InterDiv]]=0, 1, 0), 0)</f>
        <v>1</v>
      </c>
      <c r="W4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0" s="2"/>
      <c r="Y420" s="2"/>
      <c r="Z420" s="145">
        <f>IF(AND(Table2[[#This Row],[GameIsOver]]=1,Table2[[#This Row],[ActualHomeScore]]*Table2[[#This Row],[ActualAwayScore]]=0), 1,0)</f>
        <v>0</v>
      </c>
      <c r="AA4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20" s="2">
        <f>Table2[[#This Row],[ActualAwayScore]]-Table2[[#This Row],[PredictedAwayScore]]</f>
        <v>0</v>
      </c>
      <c r="AG420" s="2">
        <f>Table2[[#This Row],[ActualHomeScore]]-Table2[[#This Row],[PredictedHomeScore]]</f>
        <v>0</v>
      </c>
      <c r="AH420" s="2">
        <f t="shared" si="37"/>
        <v>0</v>
      </c>
      <c r="AI420" s="2">
        <f t="shared" si="38"/>
        <v>0</v>
      </c>
      <c r="AJ420" s="2"/>
      <c r="AK420" s="2"/>
      <c r="AL420" s="2">
        <f>IF(Table2[[#This Row],[GameIsOver]]=0,0,IF(Table2[[#This Row],[ActualWinner]]=Table2[[#This Row],[AwayTeam]], 1, 0))</f>
        <v>0</v>
      </c>
      <c r="AM420" s="2">
        <f>IF(Table2[[#This Row],[GameIsOver]]=0,0,IF(Table2[[#This Row],[ActualWinner]]=Table2[[#This Row],[HomeTeam]], 1, 0))</f>
        <v>0</v>
      </c>
      <c r="AN4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0" s="2" t="str">
        <f>INDEX(Sheet5!$B$2:$AG$33, MATCH(Table2[[#This Row],[AwayTeam]],Sheet5!$A$2:$A$33, 0), MATCH(Table2[[#This Row],[HomeTeam]],Sheet5!$A$2:$A$33, 0))</f>
        <v>0-0-0</v>
      </c>
      <c r="AP420" s="2" t="str">
        <f>INDEX(Sheet5!$B$2:$AG$33, MATCH(Table2[[#This Row],[HomeTeam]],Sheet5!$A$2:$A$33, 0), MATCH(Table2[[#This Row],[AwayTeam]],Sheet5!$A$2:$A$33, 0))</f>
        <v>0-0-0</v>
      </c>
      <c r="AQ420" s="2">
        <f>IF(Table2[[#This Row],[GameHasShutOut]], 1, 0)</f>
        <v>0</v>
      </c>
      <c r="AR420" s="2">
        <f>IF(Table2[[#This Row],[ActualAwayScore]] + Table2[[#This Row],[ActualHomeScore]] &gt;= 10, 1, 0)</f>
        <v>0</v>
      </c>
      <c r="AS420" s="2">
        <f>IF(ABS(Table2[[#This Row],[ActualAwayScore]]-Table2[[#This Row],[ActualHomeScore]])&gt;=5, 1, 0)</f>
        <v>0</v>
      </c>
      <c r="AT420" s="2">
        <f>IF(Table2[[#This Row],[ActualAwayScore]] + Table2[[#This Row],[ActualHomeScore]] &lt;= 3, 1, 0)</f>
        <v>1</v>
      </c>
      <c r="AU420" s="2"/>
      <c r="AV420" s="2"/>
    </row>
    <row r="421" spans="1:48" x14ac:dyDescent="0.25">
      <c r="A421" s="3"/>
      <c r="B421" s="3">
        <v>45994</v>
      </c>
      <c r="C421" s="5">
        <v>2025020419</v>
      </c>
      <c r="D421" s="2" t="s">
        <v>16</v>
      </c>
      <c r="E421" s="2" t="s">
        <v>26</v>
      </c>
      <c r="F421" s="2"/>
      <c r="G421" s="2"/>
      <c r="H421" s="2" t="str">
        <f t="shared" si="34"/>
        <v>_</v>
      </c>
      <c r="I421" s="2"/>
      <c r="J421" s="2"/>
      <c r="K421" s="2"/>
      <c r="L421" s="2" t="str">
        <f t="shared" si="35"/>
        <v>_</v>
      </c>
      <c r="M421" s="2"/>
      <c r="N421" s="2">
        <f>IF(ISBLANK(Table2[[#This Row],[ActualResult]]), 0, 1)</f>
        <v>0</v>
      </c>
      <c r="O421" s="2" t="str">
        <f>IF(ISBLANK(Table2[[#This Row],[ActualResult]]), "_", IF(Table2[[#This Row],[ActualWinner]]=Table2[[#This Row],[PredictedWinner]], "Y", "N"))</f>
        <v>_</v>
      </c>
      <c r="P4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1" s="2"/>
      <c r="S421" s="2" t="str">
        <f t="shared" si="36"/>
        <v>_</v>
      </c>
      <c r="T4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1" s="2">
        <f>IF(Table2[[#This Row],[InterConf]]=1,IF(Table2[[#This Row],[InterDiv]]=0, 1, 0), 0)</f>
        <v>1</v>
      </c>
      <c r="W4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1" s="2"/>
      <c r="Y421" s="2"/>
      <c r="Z421" s="145">
        <f>IF(AND(Table2[[#This Row],[GameIsOver]]=1,Table2[[#This Row],[ActualHomeScore]]*Table2[[#This Row],[ActualAwayScore]]=0), 1,0)</f>
        <v>0</v>
      </c>
      <c r="AA4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21" s="2">
        <f>Table2[[#This Row],[ActualAwayScore]]-Table2[[#This Row],[PredictedAwayScore]]</f>
        <v>0</v>
      </c>
      <c r="AG421" s="2">
        <f>Table2[[#This Row],[ActualHomeScore]]-Table2[[#This Row],[PredictedHomeScore]]</f>
        <v>0</v>
      </c>
      <c r="AH421" s="2">
        <f t="shared" si="37"/>
        <v>0</v>
      </c>
      <c r="AI421" s="2">
        <f t="shared" si="38"/>
        <v>0</v>
      </c>
      <c r="AJ421" s="2"/>
      <c r="AK421" s="2"/>
      <c r="AL421" s="2">
        <f>IF(Table2[[#This Row],[GameIsOver]]=0,0,IF(Table2[[#This Row],[ActualWinner]]=Table2[[#This Row],[AwayTeam]], 1, 0))</f>
        <v>0</v>
      </c>
      <c r="AM421" s="2">
        <f>IF(Table2[[#This Row],[GameIsOver]]=0,0,IF(Table2[[#This Row],[ActualWinner]]=Table2[[#This Row],[HomeTeam]], 1, 0))</f>
        <v>0</v>
      </c>
      <c r="AN4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1" s="2" t="str">
        <f>INDEX(Sheet5!$B$2:$AG$33, MATCH(Table2[[#This Row],[AwayTeam]],Sheet5!$A$2:$A$33, 0), MATCH(Table2[[#This Row],[HomeTeam]],Sheet5!$A$2:$A$33, 0))</f>
        <v>0-0-0</v>
      </c>
      <c r="AP421" s="2" t="str">
        <f>INDEX(Sheet5!$B$2:$AG$33, MATCH(Table2[[#This Row],[HomeTeam]],Sheet5!$A$2:$A$33, 0), MATCH(Table2[[#This Row],[AwayTeam]],Sheet5!$A$2:$A$33, 0))</f>
        <v>0-0-0</v>
      </c>
      <c r="AQ421" s="2">
        <f>IF(Table2[[#This Row],[GameHasShutOut]], 1, 0)</f>
        <v>0</v>
      </c>
      <c r="AR421" s="2">
        <f>IF(Table2[[#This Row],[ActualAwayScore]] + Table2[[#This Row],[ActualHomeScore]] &gt;= 10, 1, 0)</f>
        <v>0</v>
      </c>
      <c r="AS421" s="2">
        <f>IF(ABS(Table2[[#This Row],[ActualAwayScore]]-Table2[[#This Row],[ActualHomeScore]])&gt;=5, 1, 0)</f>
        <v>0</v>
      </c>
      <c r="AT421" s="2">
        <f>IF(Table2[[#This Row],[ActualAwayScore]] + Table2[[#This Row],[ActualHomeScore]] &lt;= 3, 1, 0)</f>
        <v>1</v>
      </c>
      <c r="AU421" s="2"/>
      <c r="AV421" s="2"/>
    </row>
    <row r="422" spans="1:48" x14ac:dyDescent="0.25">
      <c r="A422" s="3"/>
      <c r="B422" s="3">
        <v>45994</v>
      </c>
      <c r="C422" s="5">
        <v>2025020420</v>
      </c>
      <c r="D422" s="2" t="s">
        <v>43</v>
      </c>
      <c r="E422" s="2" t="s">
        <v>27</v>
      </c>
      <c r="F422" s="2"/>
      <c r="G422" s="2"/>
      <c r="H422" s="2" t="str">
        <f t="shared" si="34"/>
        <v>_</v>
      </c>
      <c r="I422" s="2"/>
      <c r="J422" s="2"/>
      <c r="K422" s="2"/>
      <c r="L422" s="2" t="str">
        <f t="shared" si="35"/>
        <v>_</v>
      </c>
      <c r="M422" s="2"/>
      <c r="N422" s="2">
        <f>IF(ISBLANK(Table2[[#This Row],[ActualResult]]), 0, 1)</f>
        <v>0</v>
      </c>
      <c r="O422" s="2" t="str">
        <f>IF(ISBLANK(Table2[[#This Row],[ActualResult]]), "_", IF(Table2[[#This Row],[ActualWinner]]=Table2[[#This Row],[PredictedWinner]], "Y", "N"))</f>
        <v>_</v>
      </c>
      <c r="P4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2" s="2"/>
      <c r="S422" s="2" t="str">
        <f t="shared" si="36"/>
        <v>_</v>
      </c>
      <c r="T4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2" s="2">
        <f>IF(Table2[[#This Row],[InterConf]]=1,IF(Table2[[#This Row],[InterDiv]]=0, 1, 0), 0)</f>
        <v>0</v>
      </c>
      <c r="W4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2" s="2"/>
      <c r="Y422" s="2"/>
      <c r="Z422" s="145">
        <f>IF(AND(Table2[[#This Row],[GameIsOver]]=1,Table2[[#This Row],[ActualHomeScore]]*Table2[[#This Row],[ActualAwayScore]]=0), 1,0)</f>
        <v>0</v>
      </c>
      <c r="AA4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22" s="2">
        <f>Table2[[#This Row],[ActualAwayScore]]-Table2[[#This Row],[PredictedAwayScore]]</f>
        <v>0</v>
      </c>
      <c r="AG422" s="2">
        <f>Table2[[#This Row],[ActualHomeScore]]-Table2[[#This Row],[PredictedHomeScore]]</f>
        <v>0</v>
      </c>
      <c r="AH422" s="2">
        <f t="shared" si="37"/>
        <v>0</v>
      </c>
      <c r="AI422" s="2">
        <f t="shared" si="38"/>
        <v>0</v>
      </c>
      <c r="AJ422" s="2"/>
      <c r="AK422" s="2"/>
      <c r="AL422" s="2">
        <f>IF(Table2[[#This Row],[GameIsOver]]=0,0,IF(Table2[[#This Row],[ActualWinner]]=Table2[[#This Row],[AwayTeam]], 1, 0))</f>
        <v>0</v>
      </c>
      <c r="AM422" s="2">
        <f>IF(Table2[[#This Row],[GameIsOver]]=0,0,IF(Table2[[#This Row],[ActualWinner]]=Table2[[#This Row],[HomeTeam]], 1, 0))</f>
        <v>0</v>
      </c>
      <c r="AN422" s="2">
        <f>IF(IFERROR(FIND(Table2[[#This Row],[AwayTeam]], _xlfn.TEXTJOIN(";", 1, $BD$31:$BD$40)), 0) &gt; 0, 1, 0) + IF(IFERROR(FIND(Table2[[#This Row],[HomeTeam]], _xlfn.TEXTJOIN(";", 1, $BD$31:$BD$40)), 0) &gt; 0, 1, 0)</f>
        <v>1</v>
      </c>
      <c r="AO422" s="2" t="str">
        <f>INDEX(Sheet5!$B$2:$AG$33, MATCH(Table2[[#This Row],[AwayTeam]],Sheet5!$A$2:$A$33, 0), MATCH(Table2[[#This Row],[HomeTeam]],Sheet5!$A$2:$A$33, 0))</f>
        <v>0-0-0</v>
      </c>
      <c r="AP422" s="2" t="str">
        <f>INDEX(Sheet5!$B$2:$AG$33, MATCH(Table2[[#This Row],[HomeTeam]],Sheet5!$A$2:$A$33, 0), MATCH(Table2[[#This Row],[AwayTeam]],Sheet5!$A$2:$A$33, 0))</f>
        <v>0-0-0</v>
      </c>
      <c r="AQ422" s="2">
        <f>IF(Table2[[#This Row],[GameHasShutOut]], 1, 0)</f>
        <v>0</v>
      </c>
      <c r="AR422" s="2">
        <f>IF(Table2[[#This Row],[ActualAwayScore]] + Table2[[#This Row],[ActualHomeScore]] &gt;= 10, 1, 0)</f>
        <v>0</v>
      </c>
      <c r="AS422" s="2">
        <f>IF(ABS(Table2[[#This Row],[ActualAwayScore]]-Table2[[#This Row],[ActualHomeScore]])&gt;=5, 1, 0)</f>
        <v>0</v>
      </c>
      <c r="AT422" s="2">
        <f>IF(Table2[[#This Row],[ActualAwayScore]] + Table2[[#This Row],[ActualHomeScore]] &lt;= 3, 1, 0)</f>
        <v>1</v>
      </c>
      <c r="AU422" s="2"/>
      <c r="AV422" s="2"/>
    </row>
    <row r="423" spans="1:48" x14ac:dyDescent="0.25">
      <c r="A423" s="3"/>
      <c r="B423" s="3">
        <v>45995</v>
      </c>
      <c r="C423" s="5">
        <v>2025020421</v>
      </c>
      <c r="D423" s="2" t="s">
        <v>33</v>
      </c>
      <c r="E423" s="2" t="s">
        <v>31</v>
      </c>
      <c r="F423" s="2"/>
      <c r="G423" s="2"/>
      <c r="H423" s="2" t="str">
        <f t="shared" si="34"/>
        <v>_</v>
      </c>
      <c r="I423" s="2"/>
      <c r="J423" s="2"/>
      <c r="K423" s="2"/>
      <c r="L423" s="2" t="str">
        <f t="shared" si="35"/>
        <v>_</v>
      </c>
      <c r="M423" s="2"/>
      <c r="N423" s="2">
        <f>IF(ISBLANK(Table2[[#This Row],[ActualResult]]), 0, 1)</f>
        <v>0</v>
      </c>
      <c r="O423" s="2" t="str">
        <f>IF(ISBLANK(Table2[[#This Row],[ActualResult]]), "_", IF(Table2[[#This Row],[ActualWinner]]=Table2[[#This Row],[PredictedWinner]], "Y", "N"))</f>
        <v>_</v>
      </c>
      <c r="P4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3" s="2"/>
      <c r="S423" s="2" t="str">
        <f t="shared" si="36"/>
        <v>_</v>
      </c>
      <c r="T4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3" s="2">
        <f>IF(Table2[[#This Row],[InterConf]]=1,IF(Table2[[#This Row],[InterDiv]]=0, 1, 0), 0)</f>
        <v>0</v>
      </c>
      <c r="W4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3" s="2"/>
      <c r="Y423" s="2"/>
      <c r="Z423" s="145">
        <f>IF(AND(Table2[[#This Row],[GameIsOver]]=1,Table2[[#This Row],[ActualHomeScore]]*Table2[[#This Row],[ActualAwayScore]]=0), 1,0)</f>
        <v>0</v>
      </c>
      <c r="AA4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3" s="2">
        <f>Table2[[#This Row],[ActualAwayScore]]-Table2[[#This Row],[PredictedAwayScore]]</f>
        <v>0</v>
      </c>
      <c r="AG423" s="2">
        <f>Table2[[#This Row],[ActualHomeScore]]-Table2[[#This Row],[PredictedHomeScore]]</f>
        <v>0</v>
      </c>
      <c r="AH423" s="2">
        <f t="shared" si="37"/>
        <v>0</v>
      </c>
      <c r="AI423" s="2">
        <f t="shared" si="38"/>
        <v>0</v>
      </c>
      <c r="AJ423" s="2"/>
      <c r="AK423" s="2"/>
      <c r="AL423" s="2">
        <f>IF(Table2[[#This Row],[GameIsOver]]=0,0,IF(Table2[[#This Row],[ActualWinner]]=Table2[[#This Row],[AwayTeam]], 1, 0))</f>
        <v>0</v>
      </c>
      <c r="AM423" s="2">
        <f>IF(Table2[[#This Row],[GameIsOver]]=0,0,IF(Table2[[#This Row],[ActualWinner]]=Table2[[#This Row],[HomeTeam]], 1, 0))</f>
        <v>0</v>
      </c>
      <c r="AN4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3" s="2" t="str">
        <f>INDEX(Sheet5!$B$2:$AG$33, MATCH(Table2[[#This Row],[AwayTeam]],Sheet5!$A$2:$A$33, 0), MATCH(Table2[[#This Row],[HomeTeam]],Sheet5!$A$2:$A$33, 0))</f>
        <v>0-0-0</v>
      </c>
      <c r="AP423" s="2" t="str">
        <f>INDEX(Sheet5!$B$2:$AG$33, MATCH(Table2[[#This Row],[HomeTeam]],Sheet5!$A$2:$A$33, 0), MATCH(Table2[[#This Row],[AwayTeam]],Sheet5!$A$2:$A$33, 0))</f>
        <v>0-0-0</v>
      </c>
      <c r="AQ423" s="2">
        <f>IF(Table2[[#This Row],[GameHasShutOut]], 1, 0)</f>
        <v>0</v>
      </c>
      <c r="AR423" s="2">
        <f>IF(Table2[[#This Row],[ActualAwayScore]] + Table2[[#This Row],[ActualHomeScore]] &gt;= 10, 1, 0)</f>
        <v>0</v>
      </c>
      <c r="AS423" s="2">
        <f>IF(ABS(Table2[[#This Row],[ActualAwayScore]]-Table2[[#This Row],[ActualHomeScore]])&gt;=5, 1, 0)</f>
        <v>0</v>
      </c>
      <c r="AT423" s="2">
        <f>IF(Table2[[#This Row],[ActualAwayScore]] + Table2[[#This Row],[ActualHomeScore]] &lt;= 3, 1, 0)</f>
        <v>1</v>
      </c>
      <c r="AU423" s="2"/>
      <c r="AV423" s="2"/>
    </row>
    <row r="424" spans="1:48" x14ac:dyDescent="0.25">
      <c r="A424" s="3"/>
      <c r="B424" s="3">
        <v>45995</v>
      </c>
      <c r="C424" s="5">
        <v>2025020422</v>
      </c>
      <c r="D424" s="2" t="s">
        <v>21</v>
      </c>
      <c r="E424" s="2" t="s">
        <v>18</v>
      </c>
      <c r="F424" s="2"/>
      <c r="G424" s="2"/>
      <c r="H424" s="2" t="str">
        <f t="shared" si="34"/>
        <v>_</v>
      </c>
      <c r="I424" s="2"/>
      <c r="J424" s="2"/>
      <c r="K424" s="2"/>
      <c r="L424" s="2" t="str">
        <f t="shared" si="35"/>
        <v>_</v>
      </c>
      <c r="M424" s="2"/>
      <c r="N424" s="2">
        <f>IF(ISBLANK(Table2[[#This Row],[ActualResult]]), 0, 1)</f>
        <v>0</v>
      </c>
      <c r="O424" s="2" t="str">
        <f>IF(ISBLANK(Table2[[#This Row],[ActualResult]]), "_", IF(Table2[[#This Row],[ActualWinner]]=Table2[[#This Row],[PredictedWinner]], "Y", "N"))</f>
        <v>_</v>
      </c>
      <c r="P4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4" s="2"/>
      <c r="S424" s="2" t="str">
        <f t="shared" si="36"/>
        <v>_</v>
      </c>
      <c r="T4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4" s="2">
        <f>IF(Table2[[#This Row],[InterConf]]=1,IF(Table2[[#This Row],[InterDiv]]=0, 1, 0), 0)</f>
        <v>0</v>
      </c>
      <c r="W4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4" s="2"/>
      <c r="Y424" s="2"/>
      <c r="Z424" s="145">
        <f>IF(AND(Table2[[#This Row],[GameIsOver]]=1,Table2[[#This Row],[ActualHomeScore]]*Table2[[#This Row],[ActualAwayScore]]=0), 1,0)</f>
        <v>0</v>
      </c>
      <c r="AA4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4" s="2">
        <f>Table2[[#This Row],[ActualAwayScore]]-Table2[[#This Row],[PredictedAwayScore]]</f>
        <v>0</v>
      </c>
      <c r="AG424" s="2">
        <f>Table2[[#This Row],[ActualHomeScore]]-Table2[[#This Row],[PredictedHomeScore]]</f>
        <v>0</v>
      </c>
      <c r="AH424" s="2">
        <f t="shared" si="37"/>
        <v>0</v>
      </c>
      <c r="AI424" s="2">
        <f t="shared" si="38"/>
        <v>0</v>
      </c>
      <c r="AJ424" s="2"/>
      <c r="AK424" s="2"/>
      <c r="AL424" s="2">
        <f>IF(Table2[[#This Row],[GameIsOver]]=0,0,IF(Table2[[#This Row],[ActualWinner]]=Table2[[#This Row],[AwayTeam]], 1, 0))</f>
        <v>0</v>
      </c>
      <c r="AM424" s="2">
        <f>IF(Table2[[#This Row],[GameIsOver]]=0,0,IF(Table2[[#This Row],[ActualWinner]]=Table2[[#This Row],[HomeTeam]], 1, 0))</f>
        <v>0</v>
      </c>
      <c r="AN4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4" s="2" t="str">
        <f>INDEX(Sheet5!$B$2:$AG$33, MATCH(Table2[[#This Row],[AwayTeam]],Sheet5!$A$2:$A$33, 0), MATCH(Table2[[#This Row],[HomeTeam]],Sheet5!$A$2:$A$33, 0))</f>
        <v>0-0-0</v>
      </c>
      <c r="AP424" s="2" t="str">
        <f>INDEX(Sheet5!$B$2:$AG$33, MATCH(Table2[[#This Row],[HomeTeam]],Sheet5!$A$2:$A$33, 0), MATCH(Table2[[#This Row],[AwayTeam]],Sheet5!$A$2:$A$33, 0))</f>
        <v>0-0-0</v>
      </c>
      <c r="AQ424" s="2">
        <f>IF(Table2[[#This Row],[GameHasShutOut]], 1, 0)</f>
        <v>0</v>
      </c>
      <c r="AR424" s="2">
        <f>IF(Table2[[#This Row],[ActualAwayScore]] + Table2[[#This Row],[ActualHomeScore]] &gt;= 10, 1, 0)</f>
        <v>0</v>
      </c>
      <c r="AS424" s="2">
        <f>IF(ABS(Table2[[#This Row],[ActualAwayScore]]-Table2[[#This Row],[ActualHomeScore]])&gt;=5, 1, 0)</f>
        <v>0</v>
      </c>
      <c r="AT424" s="2">
        <f>IF(Table2[[#This Row],[ActualAwayScore]] + Table2[[#This Row],[ActualHomeScore]] &lt;= 3, 1, 0)</f>
        <v>1</v>
      </c>
      <c r="AU424" s="2"/>
      <c r="AV424" s="2"/>
    </row>
    <row r="425" spans="1:48" x14ac:dyDescent="0.25">
      <c r="A425" s="3"/>
      <c r="B425" s="3">
        <v>45995</v>
      </c>
      <c r="C425" s="5">
        <v>2025020423</v>
      </c>
      <c r="D425" s="2" t="s">
        <v>28</v>
      </c>
      <c r="E425" s="2" t="s">
        <v>42</v>
      </c>
      <c r="F425" s="2"/>
      <c r="G425" s="2"/>
      <c r="H425" s="2" t="str">
        <f t="shared" si="34"/>
        <v>_</v>
      </c>
      <c r="I425" s="2"/>
      <c r="J425" s="2"/>
      <c r="K425" s="2"/>
      <c r="L425" s="2" t="str">
        <f t="shared" si="35"/>
        <v>_</v>
      </c>
      <c r="M425" s="2"/>
      <c r="N425" s="2">
        <f>IF(ISBLANK(Table2[[#This Row],[ActualResult]]), 0, 1)</f>
        <v>0</v>
      </c>
      <c r="O425" s="2" t="str">
        <f>IF(ISBLANK(Table2[[#This Row],[ActualResult]]), "_", IF(Table2[[#This Row],[ActualWinner]]=Table2[[#This Row],[PredictedWinner]], "Y", "N"))</f>
        <v>_</v>
      </c>
      <c r="P4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5" s="2"/>
      <c r="S425" s="2" t="str">
        <f t="shared" si="36"/>
        <v>_</v>
      </c>
      <c r="T4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5" s="2">
        <f>IF(Table2[[#This Row],[InterConf]]=1,IF(Table2[[#This Row],[InterDiv]]=0, 1, 0), 0)</f>
        <v>1</v>
      </c>
      <c r="W4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5" s="2"/>
      <c r="Y425" s="2"/>
      <c r="Z425" s="145">
        <f>IF(AND(Table2[[#This Row],[GameIsOver]]=1,Table2[[#This Row],[ActualHomeScore]]*Table2[[#This Row],[ActualAwayScore]]=0), 1,0)</f>
        <v>0</v>
      </c>
      <c r="AA4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5" s="2">
        <f>Table2[[#This Row],[ActualAwayScore]]-Table2[[#This Row],[PredictedAwayScore]]</f>
        <v>0</v>
      </c>
      <c r="AG425" s="2">
        <f>Table2[[#This Row],[ActualHomeScore]]-Table2[[#This Row],[PredictedHomeScore]]</f>
        <v>0</v>
      </c>
      <c r="AH425" s="2">
        <f t="shared" si="37"/>
        <v>0</v>
      </c>
      <c r="AI425" s="2">
        <f t="shared" si="38"/>
        <v>0</v>
      </c>
      <c r="AJ425" s="2"/>
      <c r="AK425" s="2"/>
      <c r="AL425" s="2">
        <f>IF(Table2[[#This Row],[GameIsOver]]=0,0,IF(Table2[[#This Row],[ActualWinner]]=Table2[[#This Row],[AwayTeam]], 1, 0))</f>
        <v>0</v>
      </c>
      <c r="AM425" s="2">
        <f>IF(Table2[[#This Row],[GameIsOver]]=0,0,IF(Table2[[#This Row],[ActualWinner]]=Table2[[#This Row],[HomeTeam]], 1, 0))</f>
        <v>0</v>
      </c>
      <c r="AN4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5" s="2" t="str">
        <f>INDEX(Sheet5!$B$2:$AG$33, MATCH(Table2[[#This Row],[AwayTeam]],Sheet5!$A$2:$A$33, 0), MATCH(Table2[[#This Row],[HomeTeam]],Sheet5!$A$2:$A$33, 0))</f>
        <v>0-0-0</v>
      </c>
      <c r="AP425" s="2" t="str">
        <f>INDEX(Sheet5!$B$2:$AG$33, MATCH(Table2[[#This Row],[HomeTeam]],Sheet5!$A$2:$A$33, 0), MATCH(Table2[[#This Row],[AwayTeam]],Sheet5!$A$2:$A$33, 0))</f>
        <v>0-0-0</v>
      </c>
      <c r="AQ425" s="2">
        <f>IF(Table2[[#This Row],[GameHasShutOut]], 1, 0)</f>
        <v>0</v>
      </c>
      <c r="AR425" s="2">
        <f>IF(Table2[[#This Row],[ActualAwayScore]] + Table2[[#This Row],[ActualHomeScore]] &gt;= 10, 1, 0)</f>
        <v>0</v>
      </c>
      <c r="AS425" s="2">
        <f>IF(ABS(Table2[[#This Row],[ActualAwayScore]]-Table2[[#This Row],[ActualHomeScore]])&gt;=5, 1, 0)</f>
        <v>0</v>
      </c>
      <c r="AT425" s="2">
        <f>IF(Table2[[#This Row],[ActualAwayScore]] + Table2[[#This Row],[ActualHomeScore]] &lt;= 3, 1, 0)</f>
        <v>1</v>
      </c>
      <c r="AU425" s="2"/>
      <c r="AV425" s="2"/>
    </row>
    <row r="426" spans="1:48" x14ac:dyDescent="0.25">
      <c r="A426" s="3"/>
      <c r="B426" s="3">
        <v>45995</v>
      </c>
      <c r="C426" s="5">
        <v>2025020424</v>
      </c>
      <c r="D426" s="2" t="s">
        <v>14</v>
      </c>
      <c r="E426" s="2" t="s">
        <v>44</v>
      </c>
      <c r="F426" s="2"/>
      <c r="G426" s="2"/>
      <c r="H426" s="2" t="str">
        <f t="shared" si="34"/>
        <v>_</v>
      </c>
      <c r="I426" s="2"/>
      <c r="J426" s="2"/>
      <c r="K426" s="2"/>
      <c r="L426" s="2" t="str">
        <f t="shared" si="35"/>
        <v>_</v>
      </c>
      <c r="M426" s="2"/>
      <c r="N426" s="2">
        <f>IF(ISBLANK(Table2[[#This Row],[ActualResult]]), 0, 1)</f>
        <v>0</v>
      </c>
      <c r="O426" s="2" t="str">
        <f>IF(ISBLANK(Table2[[#This Row],[ActualResult]]), "_", IF(Table2[[#This Row],[ActualWinner]]=Table2[[#This Row],[PredictedWinner]], "Y", "N"))</f>
        <v>_</v>
      </c>
      <c r="P4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6" s="2"/>
      <c r="S426" s="2" t="str">
        <f t="shared" si="36"/>
        <v>_</v>
      </c>
      <c r="T4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6" s="2">
        <f>IF(Table2[[#This Row],[InterConf]]=1,IF(Table2[[#This Row],[InterDiv]]=0, 1, 0), 0)</f>
        <v>1</v>
      </c>
      <c r="W4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6" s="2"/>
      <c r="Y426" s="2"/>
      <c r="Z426" s="145">
        <f>IF(AND(Table2[[#This Row],[GameIsOver]]=1,Table2[[#This Row],[ActualHomeScore]]*Table2[[#This Row],[ActualAwayScore]]=0), 1,0)</f>
        <v>0</v>
      </c>
      <c r="AA4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6" s="2">
        <f>Table2[[#This Row],[ActualAwayScore]]-Table2[[#This Row],[PredictedAwayScore]]</f>
        <v>0</v>
      </c>
      <c r="AG426" s="2">
        <f>Table2[[#This Row],[ActualHomeScore]]-Table2[[#This Row],[PredictedHomeScore]]</f>
        <v>0</v>
      </c>
      <c r="AH426" s="2">
        <f t="shared" si="37"/>
        <v>0</v>
      </c>
      <c r="AI426" s="2">
        <f t="shared" si="38"/>
        <v>0</v>
      </c>
      <c r="AJ426" s="2"/>
      <c r="AK426" s="2"/>
      <c r="AL426" s="2">
        <f>IF(Table2[[#This Row],[GameIsOver]]=0,0,IF(Table2[[#This Row],[ActualWinner]]=Table2[[#This Row],[AwayTeam]], 1, 0))</f>
        <v>0</v>
      </c>
      <c r="AM426" s="2">
        <f>IF(Table2[[#This Row],[GameIsOver]]=0,0,IF(Table2[[#This Row],[ActualWinner]]=Table2[[#This Row],[HomeTeam]], 1, 0))</f>
        <v>0</v>
      </c>
      <c r="AN4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6" s="2" t="str">
        <f>INDEX(Sheet5!$B$2:$AG$33, MATCH(Table2[[#This Row],[AwayTeam]],Sheet5!$A$2:$A$33, 0), MATCH(Table2[[#This Row],[HomeTeam]],Sheet5!$A$2:$A$33, 0))</f>
        <v>0-0-0</v>
      </c>
      <c r="AP426" s="2" t="str">
        <f>INDEX(Sheet5!$B$2:$AG$33, MATCH(Table2[[#This Row],[HomeTeam]],Sheet5!$A$2:$A$33, 0), MATCH(Table2[[#This Row],[AwayTeam]],Sheet5!$A$2:$A$33, 0))</f>
        <v>0-0-0</v>
      </c>
      <c r="AQ426" s="2">
        <f>IF(Table2[[#This Row],[GameHasShutOut]], 1, 0)</f>
        <v>0</v>
      </c>
      <c r="AR426" s="2">
        <f>IF(Table2[[#This Row],[ActualAwayScore]] + Table2[[#This Row],[ActualHomeScore]] &gt;= 10, 1, 0)</f>
        <v>0</v>
      </c>
      <c r="AS426" s="2">
        <f>IF(ABS(Table2[[#This Row],[ActualAwayScore]]-Table2[[#This Row],[ActualHomeScore]])&gt;=5, 1, 0)</f>
        <v>0</v>
      </c>
      <c r="AT426" s="2">
        <f>IF(Table2[[#This Row],[ActualAwayScore]] + Table2[[#This Row],[ActualHomeScore]] &lt;= 3, 1, 0)</f>
        <v>1</v>
      </c>
      <c r="AU426" s="2"/>
      <c r="AV426" s="2"/>
    </row>
    <row r="427" spans="1:48" x14ac:dyDescent="0.25">
      <c r="A427" s="3"/>
      <c r="B427" s="3">
        <v>45995</v>
      </c>
      <c r="C427" s="5">
        <v>2025020425</v>
      </c>
      <c r="D427" s="2" t="s">
        <v>43</v>
      </c>
      <c r="E427" s="2" t="s">
        <v>37</v>
      </c>
      <c r="F427" s="2"/>
      <c r="G427" s="2"/>
      <c r="H427" s="2" t="str">
        <f t="shared" si="34"/>
        <v>_</v>
      </c>
      <c r="I427" s="2"/>
      <c r="J427" s="2"/>
      <c r="K427" s="2"/>
      <c r="L427" s="2" t="str">
        <f t="shared" si="35"/>
        <v>_</v>
      </c>
      <c r="M427" s="2"/>
      <c r="N427" s="2">
        <f>IF(ISBLANK(Table2[[#This Row],[ActualResult]]), 0, 1)</f>
        <v>0</v>
      </c>
      <c r="O427" s="2" t="str">
        <f>IF(ISBLANK(Table2[[#This Row],[ActualResult]]), "_", IF(Table2[[#This Row],[ActualWinner]]=Table2[[#This Row],[PredictedWinner]], "Y", "N"))</f>
        <v>_</v>
      </c>
      <c r="P4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7" s="2"/>
      <c r="S427" s="2" t="str">
        <f t="shared" si="36"/>
        <v>_</v>
      </c>
      <c r="T4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7" s="2">
        <f>IF(Table2[[#This Row],[InterConf]]=1,IF(Table2[[#This Row],[InterDiv]]=0, 1, 0), 0)</f>
        <v>0</v>
      </c>
      <c r="W4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7" s="2"/>
      <c r="Y427" s="2"/>
      <c r="Z427" s="145">
        <f>IF(AND(Table2[[#This Row],[GameIsOver]]=1,Table2[[#This Row],[ActualHomeScore]]*Table2[[#This Row],[ActualAwayScore]]=0), 1,0)</f>
        <v>0</v>
      </c>
      <c r="AA4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7" s="2">
        <f>Table2[[#This Row],[ActualAwayScore]]-Table2[[#This Row],[PredictedAwayScore]]</f>
        <v>0</v>
      </c>
      <c r="AG427" s="2">
        <f>Table2[[#This Row],[ActualHomeScore]]-Table2[[#This Row],[PredictedHomeScore]]</f>
        <v>0</v>
      </c>
      <c r="AH427" s="2">
        <f t="shared" si="37"/>
        <v>0</v>
      </c>
      <c r="AI427" s="2">
        <f t="shared" si="38"/>
        <v>0</v>
      </c>
      <c r="AJ427" s="2"/>
      <c r="AK427" s="2"/>
      <c r="AL427" s="2">
        <f>IF(Table2[[#This Row],[GameIsOver]]=0,0,IF(Table2[[#This Row],[ActualWinner]]=Table2[[#This Row],[AwayTeam]], 1, 0))</f>
        <v>0</v>
      </c>
      <c r="AM427" s="2">
        <f>IF(Table2[[#This Row],[GameIsOver]]=0,0,IF(Table2[[#This Row],[ActualWinner]]=Table2[[#This Row],[HomeTeam]], 1, 0))</f>
        <v>0</v>
      </c>
      <c r="AN4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7" s="2" t="str">
        <f>INDEX(Sheet5!$B$2:$AG$33, MATCH(Table2[[#This Row],[AwayTeam]],Sheet5!$A$2:$A$33, 0), MATCH(Table2[[#This Row],[HomeTeam]],Sheet5!$A$2:$A$33, 0))</f>
        <v>0-0-0</v>
      </c>
      <c r="AP427" s="2" t="str">
        <f>INDEX(Sheet5!$B$2:$AG$33, MATCH(Table2[[#This Row],[HomeTeam]],Sheet5!$A$2:$A$33, 0), MATCH(Table2[[#This Row],[AwayTeam]],Sheet5!$A$2:$A$33, 0))</f>
        <v>0-0-0</v>
      </c>
      <c r="AQ427" s="2">
        <f>IF(Table2[[#This Row],[GameHasShutOut]], 1, 0)</f>
        <v>0</v>
      </c>
      <c r="AR427" s="2">
        <f>IF(Table2[[#This Row],[ActualAwayScore]] + Table2[[#This Row],[ActualHomeScore]] &gt;= 10, 1, 0)</f>
        <v>0</v>
      </c>
      <c r="AS427" s="2">
        <f>IF(ABS(Table2[[#This Row],[ActualAwayScore]]-Table2[[#This Row],[ActualHomeScore]])&gt;=5, 1, 0)</f>
        <v>0</v>
      </c>
      <c r="AT427" s="2">
        <f>IF(Table2[[#This Row],[ActualAwayScore]] + Table2[[#This Row],[ActualHomeScore]] &lt;= 3, 1, 0)</f>
        <v>1</v>
      </c>
      <c r="AU427" s="2"/>
      <c r="AV427" s="2"/>
    </row>
    <row r="428" spans="1:48" x14ac:dyDescent="0.25">
      <c r="A428" s="3"/>
      <c r="B428" s="3">
        <v>45996</v>
      </c>
      <c r="C428" s="5">
        <v>2025020426</v>
      </c>
      <c r="D428" s="2" t="s">
        <v>12</v>
      </c>
      <c r="E428" s="2" t="s">
        <v>15</v>
      </c>
      <c r="F428" s="2"/>
      <c r="G428" s="2"/>
      <c r="H428" s="2" t="str">
        <f t="shared" si="34"/>
        <v>_</v>
      </c>
      <c r="I428" s="2"/>
      <c r="J428" s="2"/>
      <c r="K428" s="2"/>
      <c r="L428" s="2" t="str">
        <f t="shared" si="35"/>
        <v>_</v>
      </c>
      <c r="M428" s="2"/>
      <c r="N428" s="2">
        <f>IF(ISBLANK(Table2[[#This Row],[ActualResult]]), 0, 1)</f>
        <v>0</v>
      </c>
      <c r="O428" s="2" t="str">
        <f>IF(ISBLANK(Table2[[#This Row],[ActualResult]]), "_", IF(Table2[[#This Row],[ActualWinner]]=Table2[[#This Row],[PredictedWinner]], "Y", "N"))</f>
        <v>_</v>
      </c>
      <c r="P4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8" s="2"/>
      <c r="S428" s="2" t="str">
        <f t="shared" si="36"/>
        <v>_</v>
      </c>
      <c r="T4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8" s="2">
        <f>IF(Table2[[#This Row],[InterConf]]=1,IF(Table2[[#This Row],[InterDiv]]=0, 1, 0), 0)</f>
        <v>0</v>
      </c>
      <c r="W4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8" s="2"/>
      <c r="Y428" s="2"/>
      <c r="Z428" s="145">
        <f>IF(AND(Table2[[#This Row],[GameIsOver]]=1,Table2[[#This Row],[ActualHomeScore]]*Table2[[#This Row],[ActualAwayScore]]=0), 1,0)</f>
        <v>0</v>
      </c>
      <c r="AA4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28" s="2">
        <f>Table2[[#This Row],[ActualAwayScore]]-Table2[[#This Row],[PredictedAwayScore]]</f>
        <v>0</v>
      </c>
      <c r="AG428" s="2">
        <f>Table2[[#This Row],[ActualHomeScore]]-Table2[[#This Row],[PredictedHomeScore]]</f>
        <v>0</v>
      </c>
      <c r="AH428" s="2">
        <f t="shared" si="37"/>
        <v>0</v>
      </c>
      <c r="AI428" s="2">
        <f t="shared" si="38"/>
        <v>0</v>
      </c>
      <c r="AJ428" s="2"/>
      <c r="AK428" s="2"/>
      <c r="AL428" s="2">
        <f>IF(Table2[[#This Row],[GameIsOver]]=0,0,IF(Table2[[#This Row],[ActualWinner]]=Table2[[#This Row],[AwayTeam]], 1, 0))</f>
        <v>0</v>
      </c>
      <c r="AM428" s="2">
        <f>IF(Table2[[#This Row],[GameIsOver]]=0,0,IF(Table2[[#This Row],[ActualWinner]]=Table2[[#This Row],[HomeTeam]], 1, 0))</f>
        <v>0</v>
      </c>
      <c r="AN4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8" s="2" t="str">
        <f>INDEX(Sheet5!$B$2:$AG$33, MATCH(Table2[[#This Row],[AwayTeam]],Sheet5!$A$2:$A$33, 0), MATCH(Table2[[#This Row],[HomeTeam]],Sheet5!$A$2:$A$33, 0))</f>
        <v>0-0-0</v>
      </c>
      <c r="AP428" s="2" t="str">
        <f>INDEX(Sheet5!$B$2:$AG$33, MATCH(Table2[[#This Row],[HomeTeam]],Sheet5!$A$2:$A$33, 0), MATCH(Table2[[#This Row],[AwayTeam]],Sheet5!$A$2:$A$33, 0))</f>
        <v>0-0-0</v>
      </c>
      <c r="AQ428" s="2">
        <f>IF(Table2[[#This Row],[GameHasShutOut]], 1, 0)</f>
        <v>0</v>
      </c>
      <c r="AR428" s="2">
        <f>IF(Table2[[#This Row],[ActualAwayScore]] + Table2[[#This Row],[ActualHomeScore]] &gt;= 10, 1, 0)</f>
        <v>0</v>
      </c>
      <c r="AS428" s="2">
        <f>IF(ABS(Table2[[#This Row],[ActualAwayScore]]-Table2[[#This Row],[ActualHomeScore]])&gt;=5, 1, 0)</f>
        <v>0</v>
      </c>
      <c r="AT428" s="2">
        <f>IF(Table2[[#This Row],[ActualAwayScore]] + Table2[[#This Row],[ActualHomeScore]] &lt;= 3, 1, 0)</f>
        <v>1</v>
      </c>
      <c r="AU428" s="2"/>
      <c r="AV428" s="2"/>
    </row>
    <row r="429" spans="1:48" x14ac:dyDescent="0.25">
      <c r="A429" s="3"/>
      <c r="B429" s="3">
        <v>45996</v>
      </c>
      <c r="C429" s="5">
        <v>2025020427</v>
      </c>
      <c r="D429" s="2" t="s">
        <v>19</v>
      </c>
      <c r="E429" s="2" t="s">
        <v>29</v>
      </c>
      <c r="F429" s="2"/>
      <c r="G429" s="2"/>
      <c r="H429" s="2" t="str">
        <f t="shared" si="34"/>
        <v>_</v>
      </c>
      <c r="I429" s="2"/>
      <c r="J429" s="2"/>
      <c r="K429" s="2"/>
      <c r="L429" s="2" t="str">
        <f t="shared" si="35"/>
        <v>_</v>
      </c>
      <c r="M429" s="2"/>
      <c r="N429" s="2">
        <f>IF(ISBLANK(Table2[[#This Row],[ActualResult]]), 0, 1)</f>
        <v>0</v>
      </c>
      <c r="O429" s="2" t="str">
        <f>IF(ISBLANK(Table2[[#This Row],[ActualResult]]), "_", IF(Table2[[#This Row],[ActualWinner]]=Table2[[#This Row],[PredictedWinner]], "Y", "N"))</f>
        <v>_</v>
      </c>
      <c r="P4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9" s="2"/>
      <c r="S429" s="2" t="str">
        <f t="shared" si="36"/>
        <v>_</v>
      </c>
      <c r="T4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9" s="2">
        <f>IF(Table2[[#This Row],[InterConf]]=1,IF(Table2[[#This Row],[InterDiv]]=0, 1, 0), 0)</f>
        <v>1</v>
      </c>
      <c r="W4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9" s="2"/>
      <c r="Y429" s="2"/>
      <c r="Z429" s="145">
        <f>IF(AND(Table2[[#This Row],[GameIsOver]]=1,Table2[[#This Row],[ActualHomeScore]]*Table2[[#This Row],[ActualAwayScore]]=0), 1,0)</f>
        <v>0</v>
      </c>
      <c r="AA4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29" s="2">
        <f>Table2[[#This Row],[ActualAwayScore]]-Table2[[#This Row],[PredictedAwayScore]]</f>
        <v>0</v>
      </c>
      <c r="AG429" s="2">
        <f>Table2[[#This Row],[ActualHomeScore]]-Table2[[#This Row],[PredictedHomeScore]]</f>
        <v>0</v>
      </c>
      <c r="AH429" s="2">
        <f t="shared" si="37"/>
        <v>0</v>
      </c>
      <c r="AI429" s="2">
        <f t="shared" si="38"/>
        <v>0</v>
      </c>
      <c r="AJ429" s="2"/>
      <c r="AK429" s="2"/>
      <c r="AL429" s="2">
        <f>IF(Table2[[#This Row],[GameIsOver]]=0,0,IF(Table2[[#This Row],[ActualWinner]]=Table2[[#This Row],[AwayTeam]], 1, 0))</f>
        <v>0</v>
      </c>
      <c r="AM429" s="2">
        <f>IF(Table2[[#This Row],[GameIsOver]]=0,0,IF(Table2[[#This Row],[ActualWinner]]=Table2[[#This Row],[HomeTeam]], 1, 0))</f>
        <v>0</v>
      </c>
      <c r="AN4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9" s="2" t="str">
        <f>INDEX(Sheet5!$B$2:$AG$33, MATCH(Table2[[#This Row],[AwayTeam]],Sheet5!$A$2:$A$33, 0), MATCH(Table2[[#This Row],[HomeTeam]],Sheet5!$A$2:$A$33, 0))</f>
        <v>0-0-0</v>
      </c>
      <c r="AP429" s="2" t="str">
        <f>INDEX(Sheet5!$B$2:$AG$33, MATCH(Table2[[#This Row],[HomeTeam]],Sheet5!$A$2:$A$33, 0), MATCH(Table2[[#This Row],[AwayTeam]],Sheet5!$A$2:$A$33, 0))</f>
        <v>0-0-0</v>
      </c>
      <c r="AQ429" s="2">
        <f>IF(Table2[[#This Row],[GameHasShutOut]], 1, 0)</f>
        <v>0</v>
      </c>
      <c r="AR429" s="2">
        <f>IF(Table2[[#This Row],[ActualAwayScore]] + Table2[[#This Row],[ActualHomeScore]] &gt;= 10, 1, 0)</f>
        <v>0</v>
      </c>
      <c r="AS429" s="2">
        <f>IF(ABS(Table2[[#This Row],[ActualAwayScore]]-Table2[[#This Row],[ActualHomeScore]])&gt;=5, 1, 0)</f>
        <v>0</v>
      </c>
      <c r="AT429" s="2">
        <f>IF(Table2[[#This Row],[ActualAwayScore]] + Table2[[#This Row],[ActualHomeScore]] &lt;= 3, 1, 0)</f>
        <v>1</v>
      </c>
      <c r="AU429" s="2"/>
      <c r="AV429" s="2"/>
    </row>
    <row r="430" spans="1:48" x14ac:dyDescent="0.25">
      <c r="A430" s="3"/>
      <c r="B430" s="3">
        <v>45996</v>
      </c>
      <c r="C430" s="5">
        <v>2025020428</v>
      </c>
      <c r="D430" s="2" t="s">
        <v>20</v>
      </c>
      <c r="E430" s="2" t="s">
        <v>40</v>
      </c>
      <c r="F430" s="2"/>
      <c r="G430" s="2"/>
      <c r="H430" s="2" t="str">
        <f t="shared" si="34"/>
        <v>_</v>
      </c>
      <c r="I430" s="2"/>
      <c r="J430" s="2"/>
      <c r="K430" s="2"/>
      <c r="L430" s="2" t="str">
        <f t="shared" si="35"/>
        <v>_</v>
      </c>
      <c r="M430" s="2"/>
      <c r="N430" s="2">
        <f>IF(ISBLANK(Table2[[#This Row],[ActualResult]]), 0, 1)</f>
        <v>0</v>
      </c>
      <c r="O430" s="2" t="str">
        <f>IF(ISBLANK(Table2[[#This Row],[ActualResult]]), "_", IF(Table2[[#This Row],[ActualWinner]]=Table2[[#This Row],[PredictedWinner]], "Y", "N"))</f>
        <v>_</v>
      </c>
      <c r="P4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0" s="2"/>
      <c r="S430" s="2" t="str">
        <f t="shared" si="36"/>
        <v>_</v>
      </c>
      <c r="T4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0" s="2">
        <f>IF(Table2[[#This Row],[InterConf]]=1,IF(Table2[[#This Row],[InterDiv]]=0, 1, 0), 0)</f>
        <v>1</v>
      </c>
      <c r="W4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0" s="2"/>
      <c r="Y430" s="2"/>
      <c r="Z430" s="145">
        <f>IF(AND(Table2[[#This Row],[GameIsOver]]=1,Table2[[#This Row],[ActualHomeScore]]*Table2[[#This Row],[ActualAwayScore]]=0), 1,0)</f>
        <v>0</v>
      </c>
      <c r="AA4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0" s="2">
        <f>Table2[[#This Row],[ActualAwayScore]]-Table2[[#This Row],[PredictedAwayScore]]</f>
        <v>0</v>
      </c>
      <c r="AG430" s="2">
        <f>Table2[[#This Row],[ActualHomeScore]]-Table2[[#This Row],[PredictedHomeScore]]</f>
        <v>0</v>
      </c>
      <c r="AH430" s="2">
        <f t="shared" si="37"/>
        <v>0</v>
      </c>
      <c r="AI430" s="2">
        <f t="shared" si="38"/>
        <v>0</v>
      </c>
      <c r="AJ430" s="2"/>
      <c r="AK430" s="2"/>
      <c r="AL430" s="2">
        <f>IF(Table2[[#This Row],[GameIsOver]]=0,0,IF(Table2[[#This Row],[ActualWinner]]=Table2[[#This Row],[AwayTeam]], 1, 0))</f>
        <v>0</v>
      </c>
      <c r="AM430" s="2">
        <f>IF(Table2[[#This Row],[GameIsOver]]=0,0,IF(Table2[[#This Row],[ActualWinner]]=Table2[[#This Row],[HomeTeam]], 1, 0))</f>
        <v>0</v>
      </c>
      <c r="AN4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0" s="2" t="str">
        <f>INDEX(Sheet5!$B$2:$AG$33, MATCH(Table2[[#This Row],[AwayTeam]],Sheet5!$A$2:$A$33, 0), MATCH(Table2[[#This Row],[HomeTeam]],Sheet5!$A$2:$A$33, 0))</f>
        <v>0-0-0</v>
      </c>
      <c r="AP430" s="2" t="str">
        <f>INDEX(Sheet5!$B$2:$AG$33, MATCH(Table2[[#This Row],[HomeTeam]],Sheet5!$A$2:$A$33, 0), MATCH(Table2[[#This Row],[AwayTeam]],Sheet5!$A$2:$A$33, 0))</f>
        <v>0-0-0</v>
      </c>
      <c r="AQ430" s="2">
        <f>IF(Table2[[#This Row],[GameHasShutOut]], 1, 0)</f>
        <v>0</v>
      </c>
      <c r="AR430" s="2">
        <f>IF(Table2[[#This Row],[ActualAwayScore]] + Table2[[#This Row],[ActualHomeScore]] &gt;= 10, 1, 0)</f>
        <v>0</v>
      </c>
      <c r="AS430" s="2">
        <f>IF(ABS(Table2[[#This Row],[ActualAwayScore]]-Table2[[#This Row],[ActualHomeScore]])&gt;=5, 1, 0)</f>
        <v>0</v>
      </c>
      <c r="AT430" s="2">
        <f>IF(Table2[[#This Row],[ActualAwayScore]] + Table2[[#This Row],[ActualHomeScore]] &lt;= 3, 1, 0)</f>
        <v>1</v>
      </c>
      <c r="AU430" s="2"/>
      <c r="AV430" s="2"/>
    </row>
    <row r="431" spans="1:48" x14ac:dyDescent="0.25">
      <c r="A431" s="3"/>
      <c r="B431" s="3">
        <v>45996</v>
      </c>
      <c r="C431" s="5">
        <v>2025020429</v>
      </c>
      <c r="D431" s="2" t="s">
        <v>34</v>
      </c>
      <c r="E431" s="2" t="s">
        <v>13</v>
      </c>
      <c r="F431" s="2"/>
      <c r="G431" s="2"/>
      <c r="H431" s="2" t="str">
        <f t="shared" si="34"/>
        <v>_</v>
      </c>
      <c r="I431" s="2"/>
      <c r="J431" s="2"/>
      <c r="K431" s="2"/>
      <c r="L431" s="2" t="str">
        <f t="shared" si="35"/>
        <v>_</v>
      </c>
      <c r="M431" s="2"/>
      <c r="N431" s="2">
        <f>IF(ISBLANK(Table2[[#This Row],[ActualResult]]), 0, 1)</f>
        <v>0</v>
      </c>
      <c r="O431" s="2" t="str">
        <f>IF(ISBLANK(Table2[[#This Row],[ActualResult]]), "_", IF(Table2[[#This Row],[ActualWinner]]=Table2[[#This Row],[PredictedWinner]], "Y", "N"))</f>
        <v>_</v>
      </c>
      <c r="P4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1" s="2"/>
      <c r="S431" s="2" t="str">
        <f t="shared" si="36"/>
        <v>_</v>
      </c>
      <c r="T4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1" s="2">
        <f>IF(Table2[[#This Row],[InterConf]]=1,IF(Table2[[#This Row],[InterDiv]]=0, 1, 0), 0)</f>
        <v>0</v>
      </c>
      <c r="W4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1" s="2"/>
      <c r="Y431" s="2"/>
      <c r="Z431" s="145">
        <f>IF(AND(Table2[[#This Row],[GameIsOver]]=1,Table2[[#This Row],[ActualHomeScore]]*Table2[[#This Row],[ActualAwayScore]]=0), 1,0)</f>
        <v>0</v>
      </c>
      <c r="AA4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1" s="2">
        <f>Table2[[#This Row],[ActualAwayScore]]-Table2[[#This Row],[PredictedAwayScore]]</f>
        <v>0</v>
      </c>
      <c r="AG431" s="2">
        <f>Table2[[#This Row],[ActualHomeScore]]-Table2[[#This Row],[PredictedHomeScore]]</f>
        <v>0</v>
      </c>
      <c r="AH431" s="2">
        <f t="shared" si="37"/>
        <v>0</v>
      </c>
      <c r="AI431" s="2">
        <f t="shared" si="38"/>
        <v>0</v>
      </c>
      <c r="AJ431" s="2"/>
      <c r="AK431" s="2"/>
      <c r="AL431" s="2">
        <f>IF(Table2[[#This Row],[GameIsOver]]=0,0,IF(Table2[[#This Row],[ActualWinner]]=Table2[[#This Row],[AwayTeam]], 1, 0))</f>
        <v>0</v>
      </c>
      <c r="AM431" s="2">
        <f>IF(Table2[[#This Row],[GameIsOver]]=0,0,IF(Table2[[#This Row],[ActualWinner]]=Table2[[#This Row],[HomeTeam]], 1, 0))</f>
        <v>0</v>
      </c>
      <c r="AN4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1" s="2" t="str">
        <f>INDEX(Sheet5!$B$2:$AG$33, MATCH(Table2[[#This Row],[AwayTeam]],Sheet5!$A$2:$A$33, 0), MATCH(Table2[[#This Row],[HomeTeam]],Sheet5!$A$2:$A$33, 0))</f>
        <v>0-0-0</v>
      </c>
      <c r="AP431" s="2" t="str">
        <f>INDEX(Sheet5!$B$2:$AG$33, MATCH(Table2[[#This Row],[HomeTeam]],Sheet5!$A$2:$A$33, 0), MATCH(Table2[[#This Row],[AwayTeam]],Sheet5!$A$2:$A$33, 0))</f>
        <v>0-0-0</v>
      </c>
      <c r="AQ431" s="2">
        <f>IF(Table2[[#This Row],[GameHasShutOut]], 1, 0)</f>
        <v>0</v>
      </c>
      <c r="AR431" s="2">
        <f>IF(Table2[[#This Row],[ActualAwayScore]] + Table2[[#This Row],[ActualHomeScore]] &gt;= 10, 1, 0)</f>
        <v>0</v>
      </c>
      <c r="AS431" s="2">
        <f>IF(ABS(Table2[[#This Row],[ActualAwayScore]]-Table2[[#This Row],[ActualHomeScore]])&gt;=5, 1, 0)</f>
        <v>0</v>
      </c>
      <c r="AT431" s="2">
        <f>IF(Table2[[#This Row],[ActualAwayScore]] + Table2[[#This Row],[ActualHomeScore]] &lt;= 3, 1, 0)</f>
        <v>1</v>
      </c>
      <c r="AU431" s="2"/>
      <c r="AV431" s="2"/>
    </row>
    <row r="432" spans="1:48" x14ac:dyDescent="0.25">
      <c r="A432" s="3"/>
      <c r="B432" s="3">
        <v>45996</v>
      </c>
      <c r="C432" s="5">
        <v>2025020430</v>
      </c>
      <c r="D432" s="2" t="s">
        <v>25</v>
      </c>
      <c r="E432" s="2" t="s">
        <v>32</v>
      </c>
      <c r="F432" s="2"/>
      <c r="G432" s="2"/>
      <c r="H432" s="2" t="str">
        <f t="shared" si="34"/>
        <v>_</v>
      </c>
      <c r="I432" s="2"/>
      <c r="J432" s="2"/>
      <c r="K432" s="2"/>
      <c r="L432" s="2" t="str">
        <f t="shared" si="35"/>
        <v>_</v>
      </c>
      <c r="M432" s="2"/>
      <c r="N432" s="2">
        <f>IF(ISBLANK(Table2[[#This Row],[ActualResult]]), 0, 1)</f>
        <v>0</v>
      </c>
      <c r="O432" s="2" t="str">
        <f>IF(ISBLANK(Table2[[#This Row],[ActualResult]]), "_", IF(Table2[[#This Row],[ActualWinner]]=Table2[[#This Row],[PredictedWinner]], "Y", "N"))</f>
        <v>_</v>
      </c>
      <c r="P4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2" s="2"/>
      <c r="S432" s="2" t="str">
        <f t="shared" si="36"/>
        <v>_</v>
      </c>
      <c r="T4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2" s="2">
        <f>IF(Table2[[#This Row],[InterConf]]=1,IF(Table2[[#This Row],[InterDiv]]=0, 1, 0), 0)</f>
        <v>0</v>
      </c>
      <c r="W4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2" s="2"/>
      <c r="Y432" s="2"/>
      <c r="Z432" s="145">
        <f>IF(AND(Table2[[#This Row],[GameIsOver]]=1,Table2[[#This Row],[ActualHomeScore]]*Table2[[#This Row],[ActualAwayScore]]=0), 1,0)</f>
        <v>0</v>
      </c>
      <c r="AA4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2" s="2">
        <f>Table2[[#This Row],[ActualAwayScore]]-Table2[[#This Row],[PredictedAwayScore]]</f>
        <v>0</v>
      </c>
      <c r="AG432" s="2">
        <f>Table2[[#This Row],[ActualHomeScore]]-Table2[[#This Row],[PredictedHomeScore]]</f>
        <v>0</v>
      </c>
      <c r="AH432" s="2">
        <f t="shared" si="37"/>
        <v>0</v>
      </c>
      <c r="AI432" s="2">
        <f t="shared" si="38"/>
        <v>0</v>
      </c>
      <c r="AJ432" s="2"/>
      <c r="AK432" s="2"/>
      <c r="AL432" s="2">
        <f>IF(Table2[[#This Row],[GameIsOver]]=0,0,IF(Table2[[#This Row],[ActualWinner]]=Table2[[#This Row],[AwayTeam]], 1, 0))</f>
        <v>0</v>
      </c>
      <c r="AM432" s="2">
        <f>IF(Table2[[#This Row],[GameIsOver]]=0,0,IF(Table2[[#This Row],[ActualWinner]]=Table2[[#This Row],[HomeTeam]], 1, 0))</f>
        <v>0</v>
      </c>
      <c r="AN4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2" s="2" t="str">
        <f>INDEX(Sheet5!$B$2:$AG$33, MATCH(Table2[[#This Row],[AwayTeam]],Sheet5!$A$2:$A$33, 0), MATCH(Table2[[#This Row],[HomeTeam]],Sheet5!$A$2:$A$33, 0))</f>
        <v>0-0-0</v>
      </c>
      <c r="AP432" s="2" t="str">
        <f>INDEX(Sheet5!$B$2:$AG$33, MATCH(Table2[[#This Row],[HomeTeam]],Sheet5!$A$2:$A$33, 0), MATCH(Table2[[#This Row],[AwayTeam]],Sheet5!$A$2:$A$33, 0))</f>
        <v>0-0-0</v>
      </c>
      <c r="AQ432" s="2">
        <f>IF(Table2[[#This Row],[GameHasShutOut]], 1, 0)</f>
        <v>0</v>
      </c>
      <c r="AR432" s="2">
        <f>IF(Table2[[#This Row],[ActualAwayScore]] + Table2[[#This Row],[ActualHomeScore]] &gt;= 10, 1, 0)</f>
        <v>0</v>
      </c>
      <c r="AS432" s="2">
        <f>IF(ABS(Table2[[#This Row],[ActualAwayScore]]-Table2[[#This Row],[ActualHomeScore]])&gt;=5, 1, 0)</f>
        <v>0</v>
      </c>
      <c r="AT432" s="2">
        <f>IF(Table2[[#This Row],[ActualAwayScore]] + Table2[[#This Row],[ActualHomeScore]] &lt;= 3, 1, 0)</f>
        <v>1</v>
      </c>
      <c r="AU432" s="2"/>
      <c r="AV432" s="2"/>
    </row>
    <row r="433" spans="1:48" x14ac:dyDescent="0.25">
      <c r="A433" s="3"/>
      <c r="B433" s="3">
        <v>45996</v>
      </c>
      <c r="C433" s="5">
        <v>2025020431</v>
      </c>
      <c r="D433" s="2" t="s">
        <v>17</v>
      </c>
      <c r="E433" s="2" t="s">
        <v>41</v>
      </c>
      <c r="F433" s="2"/>
      <c r="G433" s="2"/>
      <c r="H433" s="2" t="str">
        <f t="shared" si="34"/>
        <v>_</v>
      </c>
      <c r="I433" s="2"/>
      <c r="J433" s="2"/>
      <c r="K433" s="2"/>
      <c r="L433" s="2" t="str">
        <f t="shared" si="35"/>
        <v>_</v>
      </c>
      <c r="M433" s="2"/>
      <c r="N433" s="2">
        <f>IF(ISBLANK(Table2[[#This Row],[ActualResult]]), 0, 1)</f>
        <v>0</v>
      </c>
      <c r="O433" s="2" t="str">
        <f>IF(ISBLANK(Table2[[#This Row],[ActualResult]]), "_", IF(Table2[[#This Row],[ActualWinner]]=Table2[[#This Row],[PredictedWinner]], "Y", "N"))</f>
        <v>_</v>
      </c>
      <c r="P4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3" s="2"/>
      <c r="S433" s="2" t="str">
        <f t="shared" si="36"/>
        <v>_</v>
      </c>
      <c r="T4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3" s="2">
        <f>IF(Table2[[#This Row],[InterConf]]=1,IF(Table2[[#This Row],[InterDiv]]=0, 1, 0), 0)</f>
        <v>1</v>
      </c>
      <c r="W4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3" s="2"/>
      <c r="Y433" s="2"/>
      <c r="Z433" s="145">
        <f>IF(AND(Table2[[#This Row],[GameIsOver]]=1,Table2[[#This Row],[ActualHomeScore]]*Table2[[#This Row],[ActualAwayScore]]=0), 1,0)</f>
        <v>0</v>
      </c>
      <c r="AA4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3" s="2">
        <f>Table2[[#This Row],[ActualAwayScore]]-Table2[[#This Row],[PredictedAwayScore]]</f>
        <v>0</v>
      </c>
      <c r="AG433" s="2">
        <f>Table2[[#This Row],[ActualHomeScore]]-Table2[[#This Row],[PredictedHomeScore]]</f>
        <v>0</v>
      </c>
      <c r="AH433" s="2">
        <f t="shared" si="37"/>
        <v>0</v>
      </c>
      <c r="AI433" s="2">
        <f t="shared" si="38"/>
        <v>0</v>
      </c>
      <c r="AJ433" s="2"/>
      <c r="AK433" s="2"/>
      <c r="AL433" s="2">
        <f>IF(Table2[[#This Row],[GameIsOver]]=0,0,IF(Table2[[#This Row],[ActualWinner]]=Table2[[#This Row],[AwayTeam]], 1, 0))</f>
        <v>0</v>
      </c>
      <c r="AM433" s="2">
        <f>IF(Table2[[#This Row],[GameIsOver]]=0,0,IF(Table2[[#This Row],[ActualWinner]]=Table2[[#This Row],[HomeTeam]], 1, 0))</f>
        <v>0</v>
      </c>
      <c r="AN4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3" s="2" t="str">
        <f>INDEX(Sheet5!$B$2:$AG$33, MATCH(Table2[[#This Row],[AwayTeam]],Sheet5!$A$2:$A$33, 0), MATCH(Table2[[#This Row],[HomeTeam]],Sheet5!$A$2:$A$33, 0))</f>
        <v>0-0-0</v>
      </c>
      <c r="AP433" s="2" t="str">
        <f>INDEX(Sheet5!$B$2:$AG$33, MATCH(Table2[[#This Row],[HomeTeam]],Sheet5!$A$2:$A$33, 0), MATCH(Table2[[#This Row],[AwayTeam]],Sheet5!$A$2:$A$33, 0))</f>
        <v>0-0-0</v>
      </c>
      <c r="AQ433" s="2">
        <f>IF(Table2[[#This Row],[GameHasShutOut]], 1, 0)</f>
        <v>0</v>
      </c>
      <c r="AR433" s="2">
        <f>IF(Table2[[#This Row],[ActualAwayScore]] + Table2[[#This Row],[ActualHomeScore]] &gt;= 10, 1, 0)</f>
        <v>0</v>
      </c>
      <c r="AS433" s="2">
        <f>IF(ABS(Table2[[#This Row],[ActualAwayScore]]-Table2[[#This Row],[ActualHomeScore]])&gt;=5, 1, 0)</f>
        <v>0</v>
      </c>
      <c r="AT433" s="2">
        <f>IF(Table2[[#This Row],[ActualAwayScore]] + Table2[[#This Row],[ActualHomeScore]] &lt;= 3, 1, 0)</f>
        <v>1</v>
      </c>
      <c r="AU433" s="2"/>
      <c r="AV433" s="2"/>
    </row>
    <row r="434" spans="1:48" x14ac:dyDescent="0.25">
      <c r="A434" s="3"/>
      <c r="B434" s="3">
        <v>45996</v>
      </c>
      <c r="C434" s="5">
        <v>2025020432</v>
      </c>
      <c r="D434" s="2" t="s">
        <v>30</v>
      </c>
      <c r="E434" s="2" t="s">
        <v>35</v>
      </c>
      <c r="F434" s="2"/>
      <c r="G434" s="2"/>
      <c r="H434" s="2" t="str">
        <f t="shared" si="34"/>
        <v>_</v>
      </c>
      <c r="I434" s="2"/>
      <c r="J434" s="2"/>
      <c r="K434" s="2"/>
      <c r="L434" s="2" t="str">
        <f t="shared" si="35"/>
        <v>_</v>
      </c>
      <c r="M434" s="2"/>
      <c r="N434" s="2">
        <f>IF(ISBLANK(Table2[[#This Row],[ActualResult]]), 0, 1)</f>
        <v>0</v>
      </c>
      <c r="O434" s="2" t="str">
        <f>IF(ISBLANK(Table2[[#This Row],[ActualResult]]), "_", IF(Table2[[#This Row],[ActualWinner]]=Table2[[#This Row],[PredictedWinner]], "Y", "N"))</f>
        <v>_</v>
      </c>
      <c r="P4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4" s="2"/>
      <c r="S434" s="2" t="str">
        <f t="shared" si="36"/>
        <v>_</v>
      </c>
      <c r="T4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4" s="2">
        <f>IF(Table2[[#This Row],[InterConf]]=1,IF(Table2[[#This Row],[InterDiv]]=0, 1, 0), 0)</f>
        <v>1</v>
      </c>
      <c r="W4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4" s="2"/>
      <c r="Y434" s="2"/>
      <c r="Z434" s="145">
        <f>IF(AND(Table2[[#This Row],[GameIsOver]]=1,Table2[[#This Row],[ActualHomeScore]]*Table2[[#This Row],[ActualAwayScore]]=0), 1,0)</f>
        <v>0</v>
      </c>
      <c r="AA4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4" s="2">
        <f>Table2[[#This Row],[ActualAwayScore]]-Table2[[#This Row],[PredictedAwayScore]]</f>
        <v>0</v>
      </c>
      <c r="AG434" s="2">
        <f>Table2[[#This Row],[ActualHomeScore]]-Table2[[#This Row],[PredictedHomeScore]]</f>
        <v>0</v>
      </c>
      <c r="AH434" s="2">
        <f t="shared" si="37"/>
        <v>0</v>
      </c>
      <c r="AI434" s="2">
        <f t="shared" si="38"/>
        <v>0</v>
      </c>
      <c r="AJ434" s="2"/>
      <c r="AK434" s="2"/>
      <c r="AL434" s="2">
        <f>IF(Table2[[#This Row],[GameIsOver]]=0,0,IF(Table2[[#This Row],[ActualWinner]]=Table2[[#This Row],[AwayTeam]], 1, 0))</f>
        <v>0</v>
      </c>
      <c r="AM434" s="2">
        <f>IF(Table2[[#This Row],[GameIsOver]]=0,0,IF(Table2[[#This Row],[ActualWinner]]=Table2[[#This Row],[HomeTeam]], 1, 0))</f>
        <v>0</v>
      </c>
      <c r="AN4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4" s="2" t="str">
        <f>INDEX(Sheet5!$B$2:$AG$33, MATCH(Table2[[#This Row],[AwayTeam]],Sheet5!$A$2:$A$33, 0), MATCH(Table2[[#This Row],[HomeTeam]],Sheet5!$A$2:$A$33, 0))</f>
        <v>0-0-0</v>
      </c>
      <c r="AP434" s="2" t="str">
        <f>INDEX(Sheet5!$B$2:$AG$33, MATCH(Table2[[#This Row],[HomeTeam]],Sheet5!$A$2:$A$33, 0), MATCH(Table2[[#This Row],[AwayTeam]],Sheet5!$A$2:$A$33, 0))</f>
        <v>0-0-0</v>
      </c>
      <c r="AQ434" s="2">
        <f>IF(Table2[[#This Row],[GameHasShutOut]], 1, 0)</f>
        <v>0</v>
      </c>
      <c r="AR434" s="2">
        <f>IF(Table2[[#This Row],[ActualAwayScore]] + Table2[[#This Row],[ActualHomeScore]] &gt;= 10, 1, 0)</f>
        <v>0</v>
      </c>
      <c r="AS434" s="2">
        <f>IF(ABS(Table2[[#This Row],[ActualAwayScore]]-Table2[[#This Row],[ActualHomeScore]])&gt;=5, 1, 0)</f>
        <v>0</v>
      </c>
      <c r="AT434" s="2">
        <f>IF(Table2[[#This Row],[ActualAwayScore]] + Table2[[#This Row],[ActualHomeScore]] &lt;= 3, 1, 0)</f>
        <v>1</v>
      </c>
      <c r="AU434" s="2"/>
      <c r="AV434" s="2"/>
    </row>
    <row r="435" spans="1:48" x14ac:dyDescent="0.25">
      <c r="A435" s="3"/>
      <c r="B435" s="3">
        <v>45996</v>
      </c>
      <c r="C435" s="5">
        <v>2025020433</v>
      </c>
      <c r="D435" s="2" t="s">
        <v>36</v>
      </c>
      <c r="E435" s="2" t="s">
        <v>23</v>
      </c>
      <c r="F435" s="2"/>
      <c r="G435" s="2"/>
      <c r="H435" s="2" t="str">
        <f t="shared" si="34"/>
        <v>_</v>
      </c>
      <c r="I435" s="2"/>
      <c r="J435" s="2"/>
      <c r="K435" s="2"/>
      <c r="L435" s="2" t="str">
        <f t="shared" si="35"/>
        <v>_</v>
      </c>
      <c r="M435" s="2"/>
      <c r="N435" s="2">
        <f>IF(ISBLANK(Table2[[#This Row],[ActualResult]]), 0, 1)</f>
        <v>0</v>
      </c>
      <c r="O435" s="2" t="str">
        <f>IF(ISBLANK(Table2[[#This Row],[ActualResult]]), "_", IF(Table2[[#This Row],[ActualWinner]]=Table2[[#This Row],[PredictedWinner]], "Y", "N"))</f>
        <v>_</v>
      </c>
      <c r="P4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5" s="2"/>
      <c r="S435" s="2" t="str">
        <f t="shared" si="36"/>
        <v>_</v>
      </c>
      <c r="T4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5" s="2">
        <f>IF(Table2[[#This Row],[InterConf]]=1,IF(Table2[[#This Row],[InterDiv]]=0, 1, 0), 0)</f>
        <v>1</v>
      </c>
      <c r="W4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5" s="2"/>
      <c r="Y435" s="2"/>
      <c r="Z435" s="145">
        <f>IF(AND(Table2[[#This Row],[GameIsOver]]=1,Table2[[#This Row],[ActualHomeScore]]*Table2[[#This Row],[ActualAwayScore]]=0), 1,0)</f>
        <v>0</v>
      </c>
      <c r="AA4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5" s="2">
        <f>Table2[[#This Row],[ActualAwayScore]]-Table2[[#This Row],[PredictedAwayScore]]</f>
        <v>0</v>
      </c>
      <c r="AG435" s="2">
        <f>Table2[[#This Row],[ActualHomeScore]]-Table2[[#This Row],[PredictedHomeScore]]</f>
        <v>0</v>
      </c>
      <c r="AH435" s="2">
        <f t="shared" si="37"/>
        <v>0</v>
      </c>
      <c r="AI435" s="2">
        <f t="shared" si="38"/>
        <v>0</v>
      </c>
      <c r="AJ435" s="2"/>
      <c r="AK435" s="2"/>
      <c r="AL435" s="2">
        <f>IF(Table2[[#This Row],[GameIsOver]]=0,0,IF(Table2[[#This Row],[ActualWinner]]=Table2[[#This Row],[AwayTeam]], 1, 0))</f>
        <v>0</v>
      </c>
      <c r="AM435" s="2">
        <f>IF(Table2[[#This Row],[GameIsOver]]=0,0,IF(Table2[[#This Row],[ActualWinner]]=Table2[[#This Row],[HomeTeam]], 1, 0))</f>
        <v>0</v>
      </c>
      <c r="AN4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5" s="2" t="str">
        <f>INDEX(Sheet5!$B$2:$AG$33, MATCH(Table2[[#This Row],[AwayTeam]],Sheet5!$A$2:$A$33, 0), MATCH(Table2[[#This Row],[HomeTeam]],Sheet5!$A$2:$A$33, 0))</f>
        <v>0-0-0</v>
      </c>
      <c r="AP435" s="2" t="str">
        <f>INDEX(Sheet5!$B$2:$AG$33, MATCH(Table2[[#This Row],[HomeTeam]],Sheet5!$A$2:$A$33, 0), MATCH(Table2[[#This Row],[AwayTeam]],Sheet5!$A$2:$A$33, 0))</f>
        <v>0-0-0</v>
      </c>
      <c r="AQ435" s="2">
        <f>IF(Table2[[#This Row],[GameHasShutOut]], 1, 0)</f>
        <v>0</v>
      </c>
      <c r="AR435" s="2">
        <f>IF(Table2[[#This Row],[ActualAwayScore]] + Table2[[#This Row],[ActualHomeScore]] &gt;= 10, 1, 0)</f>
        <v>0</v>
      </c>
      <c r="AS435" s="2">
        <f>IF(ABS(Table2[[#This Row],[ActualAwayScore]]-Table2[[#This Row],[ActualHomeScore]])&gt;=5, 1, 0)</f>
        <v>0</v>
      </c>
      <c r="AT435" s="2">
        <f>IF(Table2[[#This Row],[ActualAwayScore]] + Table2[[#This Row],[ActualHomeScore]] &lt;= 3, 1, 0)</f>
        <v>1</v>
      </c>
      <c r="AU435" s="2"/>
      <c r="AV435" s="2"/>
    </row>
    <row r="436" spans="1:48" x14ac:dyDescent="0.25">
      <c r="A436" s="3"/>
      <c r="B436" s="3">
        <v>45996</v>
      </c>
      <c r="C436" s="5">
        <v>2025020434</v>
      </c>
      <c r="D436" s="2" t="s">
        <v>11</v>
      </c>
      <c r="E436" s="2" t="s">
        <v>22</v>
      </c>
      <c r="F436" s="2"/>
      <c r="G436" s="2"/>
      <c r="H436" s="2" t="str">
        <f t="shared" si="34"/>
        <v>_</v>
      </c>
      <c r="I436" s="2"/>
      <c r="J436" s="2"/>
      <c r="K436" s="2"/>
      <c r="L436" s="2" t="str">
        <f t="shared" si="35"/>
        <v>_</v>
      </c>
      <c r="M436" s="2"/>
      <c r="N436" s="2">
        <f>IF(ISBLANK(Table2[[#This Row],[ActualResult]]), 0, 1)</f>
        <v>0</v>
      </c>
      <c r="O436" s="2" t="str">
        <f>IF(ISBLANK(Table2[[#This Row],[ActualResult]]), "_", IF(Table2[[#This Row],[ActualWinner]]=Table2[[#This Row],[PredictedWinner]], "Y", "N"))</f>
        <v>_</v>
      </c>
      <c r="P4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6" s="2"/>
      <c r="S436" s="2" t="str">
        <f t="shared" si="36"/>
        <v>_</v>
      </c>
      <c r="T4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36" s="2">
        <f>IF(Table2[[#This Row],[InterConf]]=1,IF(Table2[[#This Row],[InterDiv]]=0, 1, 0), 0)</f>
        <v>0</v>
      </c>
      <c r="W4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6" s="2"/>
      <c r="Y436" s="2"/>
      <c r="Z436" s="145">
        <f>IF(AND(Table2[[#This Row],[GameIsOver]]=1,Table2[[#This Row],[ActualHomeScore]]*Table2[[#This Row],[ActualAwayScore]]=0), 1,0)</f>
        <v>0</v>
      </c>
      <c r="AA4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6" s="2">
        <f>Table2[[#This Row],[ActualAwayScore]]-Table2[[#This Row],[PredictedAwayScore]]</f>
        <v>0</v>
      </c>
      <c r="AG436" s="2">
        <f>Table2[[#This Row],[ActualHomeScore]]-Table2[[#This Row],[PredictedHomeScore]]</f>
        <v>0</v>
      </c>
      <c r="AH436" s="2">
        <f t="shared" si="37"/>
        <v>0</v>
      </c>
      <c r="AI436" s="2">
        <f t="shared" si="38"/>
        <v>0</v>
      </c>
      <c r="AJ436" s="2"/>
      <c r="AK436" s="2"/>
      <c r="AL436" s="2">
        <f>IF(Table2[[#This Row],[GameIsOver]]=0,0,IF(Table2[[#This Row],[ActualWinner]]=Table2[[#This Row],[AwayTeam]], 1, 0))</f>
        <v>0</v>
      </c>
      <c r="AM436" s="2">
        <f>IF(Table2[[#This Row],[GameIsOver]]=0,0,IF(Table2[[#This Row],[ActualWinner]]=Table2[[#This Row],[HomeTeam]], 1, 0))</f>
        <v>0</v>
      </c>
      <c r="AN4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6" s="2" t="str">
        <f>INDEX(Sheet5!$B$2:$AG$33, MATCH(Table2[[#This Row],[AwayTeam]],Sheet5!$A$2:$A$33, 0), MATCH(Table2[[#This Row],[HomeTeam]],Sheet5!$A$2:$A$33, 0))</f>
        <v>0-0-0</v>
      </c>
      <c r="AP436" s="2" t="str">
        <f>INDEX(Sheet5!$B$2:$AG$33, MATCH(Table2[[#This Row],[HomeTeam]],Sheet5!$A$2:$A$33, 0), MATCH(Table2[[#This Row],[AwayTeam]],Sheet5!$A$2:$A$33, 0))</f>
        <v>0-0-0</v>
      </c>
      <c r="AQ436" s="2">
        <f>IF(Table2[[#This Row],[GameHasShutOut]], 1, 0)</f>
        <v>0</v>
      </c>
      <c r="AR436" s="2">
        <f>IF(Table2[[#This Row],[ActualAwayScore]] + Table2[[#This Row],[ActualHomeScore]] &gt;= 10, 1, 0)</f>
        <v>0</v>
      </c>
      <c r="AS436" s="2">
        <f>IF(ABS(Table2[[#This Row],[ActualAwayScore]]-Table2[[#This Row],[ActualHomeScore]])&gt;=5, 1, 0)</f>
        <v>0</v>
      </c>
      <c r="AT436" s="2">
        <f>IF(Table2[[#This Row],[ActualAwayScore]] + Table2[[#This Row],[ActualHomeScore]] &lt;= 3, 1, 0)</f>
        <v>1</v>
      </c>
      <c r="AU436" s="2"/>
      <c r="AV436" s="2"/>
    </row>
    <row r="437" spans="1:48" x14ac:dyDescent="0.25">
      <c r="A437" s="3"/>
      <c r="B437" s="3">
        <v>45996</v>
      </c>
      <c r="C437" s="5">
        <v>2025020435</v>
      </c>
      <c r="D437" s="2" t="s">
        <v>16</v>
      </c>
      <c r="E437" s="2" t="s">
        <v>27</v>
      </c>
      <c r="F437" s="2"/>
      <c r="G437" s="2"/>
      <c r="H437" s="2" t="str">
        <f t="shared" si="34"/>
        <v>_</v>
      </c>
      <c r="I437" s="2"/>
      <c r="J437" s="2"/>
      <c r="K437" s="2"/>
      <c r="L437" s="2" t="str">
        <f t="shared" si="35"/>
        <v>_</v>
      </c>
      <c r="M437" s="2"/>
      <c r="N437" s="2">
        <f>IF(ISBLANK(Table2[[#This Row],[ActualResult]]), 0, 1)</f>
        <v>0</v>
      </c>
      <c r="O437" s="2" t="str">
        <f>IF(ISBLANK(Table2[[#This Row],[ActualResult]]), "_", IF(Table2[[#This Row],[ActualWinner]]=Table2[[#This Row],[PredictedWinner]], "Y", "N"))</f>
        <v>_</v>
      </c>
      <c r="P4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7" s="2"/>
      <c r="S437" s="2" t="str">
        <f t="shared" si="36"/>
        <v>_</v>
      </c>
      <c r="T4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7" s="2">
        <f>IF(Table2[[#This Row],[InterConf]]=1,IF(Table2[[#This Row],[InterDiv]]=0, 1, 0), 0)</f>
        <v>1</v>
      </c>
      <c r="W4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7" s="2"/>
      <c r="Y437" s="2"/>
      <c r="Z437" s="145">
        <f>IF(AND(Table2[[#This Row],[GameIsOver]]=1,Table2[[#This Row],[ActualHomeScore]]*Table2[[#This Row],[ActualAwayScore]]=0), 1,0)</f>
        <v>0</v>
      </c>
      <c r="AA4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7" s="2">
        <f>Table2[[#This Row],[ActualAwayScore]]-Table2[[#This Row],[PredictedAwayScore]]</f>
        <v>0</v>
      </c>
      <c r="AG437" s="2">
        <f>Table2[[#This Row],[ActualHomeScore]]-Table2[[#This Row],[PredictedHomeScore]]</f>
        <v>0</v>
      </c>
      <c r="AH437" s="2">
        <f t="shared" si="37"/>
        <v>0</v>
      </c>
      <c r="AI437" s="2">
        <f t="shared" si="38"/>
        <v>0</v>
      </c>
      <c r="AJ437" s="2"/>
      <c r="AK437" s="2"/>
      <c r="AL437" s="2">
        <f>IF(Table2[[#This Row],[GameIsOver]]=0,0,IF(Table2[[#This Row],[ActualWinner]]=Table2[[#This Row],[AwayTeam]], 1, 0))</f>
        <v>0</v>
      </c>
      <c r="AM437" s="2">
        <f>IF(Table2[[#This Row],[GameIsOver]]=0,0,IF(Table2[[#This Row],[ActualWinner]]=Table2[[#This Row],[HomeTeam]], 1, 0))</f>
        <v>0</v>
      </c>
      <c r="AN437" s="2">
        <f>IF(IFERROR(FIND(Table2[[#This Row],[AwayTeam]], _xlfn.TEXTJOIN(";", 1, $BD$31:$BD$40)), 0) &gt; 0, 1, 0) + IF(IFERROR(FIND(Table2[[#This Row],[HomeTeam]], _xlfn.TEXTJOIN(";", 1, $BD$31:$BD$40)), 0) &gt; 0, 1, 0)</f>
        <v>1</v>
      </c>
      <c r="AO437" s="2" t="str">
        <f>INDEX(Sheet5!$B$2:$AG$33, MATCH(Table2[[#This Row],[AwayTeam]],Sheet5!$A$2:$A$33, 0), MATCH(Table2[[#This Row],[HomeTeam]],Sheet5!$A$2:$A$33, 0))</f>
        <v>0-0-0</v>
      </c>
      <c r="AP437" s="2" t="str">
        <f>INDEX(Sheet5!$B$2:$AG$33, MATCH(Table2[[#This Row],[HomeTeam]],Sheet5!$A$2:$A$33, 0), MATCH(Table2[[#This Row],[AwayTeam]],Sheet5!$A$2:$A$33, 0))</f>
        <v>0-0-0</v>
      </c>
      <c r="AQ437" s="2">
        <f>IF(Table2[[#This Row],[GameHasShutOut]], 1, 0)</f>
        <v>0</v>
      </c>
      <c r="AR437" s="2">
        <f>IF(Table2[[#This Row],[ActualAwayScore]] + Table2[[#This Row],[ActualHomeScore]] &gt;= 10, 1, 0)</f>
        <v>0</v>
      </c>
      <c r="AS437" s="2">
        <f>IF(ABS(Table2[[#This Row],[ActualAwayScore]]-Table2[[#This Row],[ActualHomeScore]])&gt;=5, 1, 0)</f>
        <v>0</v>
      </c>
      <c r="AT437" s="2">
        <f>IF(Table2[[#This Row],[ActualAwayScore]] + Table2[[#This Row],[ActualHomeScore]] &lt;= 3, 1, 0)</f>
        <v>1</v>
      </c>
      <c r="AU437" s="2"/>
      <c r="AV437" s="2"/>
    </row>
    <row r="438" spans="1:48" x14ac:dyDescent="0.25">
      <c r="A438" s="3"/>
      <c r="B438" s="3">
        <v>45997</v>
      </c>
      <c r="C438" s="5">
        <v>2025020436</v>
      </c>
      <c r="D438" s="2" t="s">
        <v>26</v>
      </c>
      <c r="E438" s="2" t="s">
        <v>31</v>
      </c>
      <c r="F438" s="2"/>
      <c r="G438" s="2"/>
      <c r="H438" s="2" t="str">
        <f t="shared" si="34"/>
        <v>_</v>
      </c>
      <c r="I438" s="2"/>
      <c r="J438" s="2"/>
      <c r="K438" s="2"/>
      <c r="L438" s="2" t="str">
        <f t="shared" si="35"/>
        <v>_</v>
      </c>
      <c r="M438" s="2"/>
      <c r="N438" s="2">
        <f>IF(ISBLANK(Table2[[#This Row],[ActualResult]]), 0, 1)</f>
        <v>0</v>
      </c>
      <c r="O438" s="2" t="str">
        <f>IF(ISBLANK(Table2[[#This Row],[ActualResult]]), "_", IF(Table2[[#This Row],[ActualWinner]]=Table2[[#This Row],[PredictedWinner]], "Y", "N"))</f>
        <v>_</v>
      </c>
      <c r="P4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8" s="2"/>
      <c r="S438" s="2" t="str">
        <f t="shared" si="36"/>
        <v>_</v>
      </c>
      <c r="T4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8" s="2">
        <f>IF(Table2[[#This Row],[InterConf]]=1,IF(Table2[[#This Row],[InterDiv]]=0, 1, 0), 0)</f>
        <v>0</v>
      </c>
      <c r="W4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8" s="2"/>
      <c r="Y438" s="2"/>
      <c r="Z438" s="145">
        <f>IF(AND(Table2[[#This Row],[GameIsOver]]=1,Table2[[#This Row],[ActualHomeScore]]*Table2[[#This Row],[ActualAwayScore]]=0), 1,0)</f>
        <v>0</v>
      </c>
      <c r="AA4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38" s="2">
        <f>Table2[[#This Row],[ActualAwayScore]]-Table2[[#This Row],[PredictedAwayScore]]</f>
        <v>0</v>
      </c>
      <c r="AG438" s="2">
        <f>Table2[[#This Row],[ActualHomeScore]]-Table2[[#This Row],[PredictedHomeScore]]</f>
        <v>0</v>
      </c>
      <c r="AH438" s="2">
        <f t="shared" si="37"/>
        <v>0</v>
      </c>
      <c r="AI438" s="2">
        <f t="shared" si="38"/>
        <v>0</v>
      </c>
      <c r="AJ438" s="2"/>
      <c r="AK438" s="2"/>
      <c r="AL438" s="2">
        <f>IF(Table2[[#This Row],[GameIsOver]]=0,0,IF(Table2[[#This Row],[ActualWinner]]=Table2[[#This Row],[AwayTeam]], 1, 0))</f>
        <v>0</v>
      </c>
      <c r="AM438" s="2">
        <f>IF(Table2[[#This Row],[GameIsOver]]=0,0,IF(Table2[[#This Row],[ActualWinner]]=Table2[[#This Row],[HomeTeam]], 1, 0))</f>
        <v>0</v>
      </c>
      <c r="AN4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8" s="2" t="str">
        <f>INDEX(Sheet5!$B$2:$AG$33, MATCH(Table2[[#This Row],[AwayTeam]],Sheet5!$A$2:$A$33, 0), MATCH(Table2[[#This Row],[HomeTeam]],Sheet5!$A$2:$A$33, 0))</f>
        <v>0-0-0</v>
      </c>
      <c r="AP438" s="2" t="str">
        <f>INDEX(Sheet5!$B$2:$AG$33, MATCH(Table2[[#This Row],[HomeTeam]],Sheet5!$A$2:$A$33, 0), MATCH(Table2[[#This Row],[AwayTeam]],Sheet5!$A$2:$A$33, 0))</f>
        <v>0-0-0</v>
      </c>
      <c r="AQ438" s="2">
        <f>IF(Table2[[#This Row],[GameHasShutOut]], 1, 0)</f>
        <v>0</v>
      </c>
      <c r="AR438" s="2">
        <f>IF(Table2[[#This Row],[ActualAwayScore]] + Table2[[#This Row],[ActualHomeScore]] &gt;= 10, 1, 0)</f>
        <v>0</v>
      </c>
      <c r="AS438" s="2">
        <f>IF(ABS(Table2[[#This Row],[ActualAwayScore]]-Table2[[#This Row],[ActualHomeScore]])&gt;=5, 1, 0)</f>
        <v>0</v>
      </c>
      <c r="AT438" s="2">
        <f>IF(Table2[[#This Row],[ActualAwayScore]] + Table2[[#This Row],[ActualHomeScore]] &lt;= 3, 1, 0)</f>
        <v>1</v>
      </c>
      <c r="AU438" s="2"/>
      <c r="AV438" s="2"/>
    </row>
    <row r="439" spans="1:48" x14ac:dyDescent="0.25">
      <c r="A439" s="3"/>
      <c r="B439" s="3">
        <v>45997</v>
      </c>
      <c r="C439" s="5">
        <v>2025020437</v>
      </c>
      <c r="D439" s="2" t="s">
        <v>28</v>
      </c>
      <c r="E439" s="2" t="s">
        <v>21</v>
      </c>
      <c r="F439" s="2"/>
      <c r="G439" s="2"/>
      <c r="H439" s="2" t="str">
        <f t="shared" si="34"/>
        <v>_</v>
      </c>
      <c r="I439" s="2"/>
      <c r="J439" s="2"/>
      <c r="K439" s="2"/>
      <c r="L439" s="2" t="str">
        <f t="shared" si="35"/>
        <v>_</v>
      </c>
      <c r="M439" s="2"/>
      <c r="N439" s="2">
        <f>IF(ISBLANK(Table2[[#This Row],[ActualResult]]), 0, 1)</f>
        <v>0</v>
      </c>
      <c r="O439" s="2" t="str">
        <f>IF(ISBLANK(Table2[[#This Row],[ActualResult]]), "_", IF(Table2[[#This Row],[ActualWinner]]=Table2[[#This Row],[PredictedWinner]], "Y", "N"))</f>
        <v>_</v>
      </c>
      <c r="P4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9" s="2"/>
      <c r="S439" s="2" t="str">
        <f t="shared" si="36"/>
        <v>_</v>
      </c>
      <c r="T4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9" s="2">
        <f>IF(Table2[[#This Row],[InterConf]]=1,IF(Table2[[#This Row],[InterDiv]]=0, 1, 0), 0)</f>
        <v>0</v>
      </c>
      <c r="W4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9" s="2"/>
      <c r="Y439" s="2"/>
      <c r="Z439" s="145">
        <f>IF(AND(Table2[[#This Row],[GameIsOver]]=1,Table2[[#This Row],[ActualHomeScore]]*Table2[[#This Row],[ActualAwayScore]]=0), 1,0)</f>
        <v>0</v>
      </c>
      <c r="AA4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39" s="2">
        <f>Table2[[#This Row],[ActualAwayScore]]-Table2[[#This Row],[PredictedAwayScore]]</f>
        <v>0</v>
      </c>
      <c r="AG439" s="2">
        <f>Table2[[#This Row],[ActualHomeScore]]-Table2[[#This Row],[PredictedHomeScore]]</f>
        <v>0</v>
      </c>
      <c r="AH439" s="2">
        <f t="shared" si="37"/>
        <v>0</v>
      </c>
      <c r="AI439" s="2">
        <f t="shared" si="38"/>
        <v>0</v>
      </c>
      <c r="AJ439" s="2"/>
      <c r="AK439" s="2"/>
      <c r="AL439" s="2">
        <f>IF(Table2[[#This Row],[GameIsOver]]=0,0,IF(Table2[[#This Row],[ActualWinner]]=Table2[[#This Row],[AwayTeam]], 1, 0))</f>
        <v>0</v>
      </c>
      <c r="AM439" s="2">
        <f>IF(Table2[[#This Row],[GameIsOver]]=0,0,IF(Table2[[#This Row],[ActualWinner]]=Table2[[#This Row],[HomeTeam]], 1, 0))</f>
        <v>0</v>
      </c>
      <c r="AN4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9" s="2" t="str">
        <f>INDEX(Sheet5!$B$2:$AG$33, MATCH(Table2[[#This Row],[AwayTeam]],Sheet5!$A$2:$A$33, 0), MATCH(Table2[[#This Row],[HomeTeam]],Sheet5!$A$2:$A$33, 0))</f>
        <v>0-0-0</v>
      </c>
      <c r="AP439" s="2" t="str">
        <f>INDEX(Sheet5!$B$2:$AG$33, MATCH(Table2[[#This Row],[HomeTeam]],Sheet5!$A$2:$A$33, 0), MATCH(Table2[[#This Row],[AwayTeam]],Sheet5!$A$2:$A$33, 0))</f>
        <v>0-0-0</v>
      </c>
      <c r="AQ439" s="2">
        <f>IF(Table2[[#This Row],[GameHasShutOut]], 1, 0)</f>
        <v>0</v>
      </c>
      <c r="AR439" s="2">
        <f>IF(Table2[[#This Row],[ActualAwayScore]] + Table2[[#This Row],[ActualHomeScore]] &gt;= 10, 1, 0)</f>
        <v>0</v>
      </c>
      <c r="AS439" s="2">
        <f>IF(ABS(Table2[[#This Row],[ActualAwayScore]]-Table2[[#This Row],[ActualHomeScore]])&gt;=5, 1, 0)</f>
        <v>0</v>
      </c>
      <c r="AT439" s="2">
        <f>IF(Table2[[#This Row],[ActualAwayScore]] + Table2[[#This Row],[ActualHomeScore]] &lt;= 3, 1, 0)</f>
        <v>1</v>
      </c>
      <c r="AU439" s="2"/>
      <c r="AV439" s="2"/>
    </row>
    <row r="440" spans="1:48" x14ac:dyDescent="0.25">
      <c r="A440" s="3"/>
      <c r="B440" s="3">
        <v>45997</v>
      </c>
      <c r="C440" s="5">
        <v>2025020438</v>
      </c>
      <c r="D440" s="2" t="s">
        <v>37</v>
      </c>
      <c r="E440" s="2" t="s">
        <v>33</v>
      </c>
      <c r="F440" s="2"/>
      <c r="G440" s="2"/>
      <c r="H440" s="2" t="str">
        <f t="shared" si="34"/>
        <v>_</v>
      </c>
      <c r="I440" s="2"/>
      <c r="J440" s="2"/>
      <c r="K440" s="2"/>
      <c r="L440" s="2" t="str">
        <f t="shared" si="35"/>
        <v>_</v>
      </c>
      <c r="M440" s="2"/>
      <c r="N440" s="2">
        <f>IF(ISBLANK(Table2[[#This Row],[ActualResult]]), 0, 1)</f>
        <v>0</v>
      </c>
      <c r="O440" s="2" t="str">
        <f>IF(ISBLANK(Table2[[#This Row],[ActualResult]]), "_", IF(Table2[[#This Row],[ActualWinner]]=Table2[[#This Row],[PredictedWinner]], "Y", "N"))</f>
        <v>_</v>
      </c>
      <c r="P4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0" s="2"/>
      <c r="S440" s="2" t="str">
        <f t="shared" si="36"/>
        <v>_</v>
      </c>
      <c r="T4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0" s="2">
        <f>IF(Table2[[#This Row],[InterConf]]=1,IF(Table2[[#This Row],[InterDiv]]=0, 1, 0), 0)</f>
        <v>1</v>
      </c>
      <c r="W4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0" s="2"/>
      <c r="Y440" s="2"/>
      <c r="Z440" s="145">
        <f>IF(AND(Table2[[#This Row],[GameIsOver]]=1,Table2[[#This Row],[ActualHomeScore]]*Table2[[#This Row],[ActualAwayScore]]=0), 1,0)</f>
        <v>0</v>
      </c>
      <c r="AA4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0" s="2">
        <f>Table2[[#This Row],[ActualAwayScore]]-Table2[[#This Row],[PredictedAwayScore]]</f>
        <v>0</v>
      </c>
      <c r="AG440" s="2">
        <f>Table2[[#This Row],[ActualHomeScore]]-Table2[[#This Row],[PredictedHomeScore]]</f>
        <v>0</v>
      </c>
      <c r="AH440" s="2">
        <f t="shared" si="37"/>
        <v>0</v>
      </c>
      <c r="AI440" s="2">
        <f t="shared" si="38"/>
        <v>0</v>
      </c>
      <c r="AJ440" s="2"/>
      <c r="AK440" s="2"/>
      <c r="AL440" s="2">
        <f>IF(Table2[[#This Row],[GameIsOver]]=0,0,IF(Table2[[#This Row],[ActualWinner]]=Table2[[#This Row],[AwayTeam]], 1, 0))</f>
        <v>0</v>
      </c>
      <c r="AM440" s="2">
        <f>IF(Table2[[#This Row],[GameIsOver]]=0,0,IF(Table2[[#This Row],[ActualWinner]]=Table2[[#This Row],[HomeTeam]], 1, 0))</f>
        <v>0</v>
      </c>
      <c r="AN4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0" s="2" t="str">
        <f>INDEX(Sheet5!$B$2:$AG$33, MATCH(Table2[[#This Row],[AwayTeam]],Sheet5!$A$2:$A$33, 0), MATCH(Table2[[#This Row],[HomeTeam]],Sheet5!$A$2:$A$33, 0))</f>
        <v>0-0-0</v>
      </c>
      <c r="AP440" s="2" t="str">
        <f>INDEX(Sheet5!$B$2:$AG$33, MATCH(Table2[[#This Row],[HomeTeam]],Sheet5!$A$2:$A$33, 0), MATCH(Table2[[#This Row],[AwayTeam]],Sheet5!$A$2:$A$33, 0))</f>
        <v>0-0-0</v>
      </c>
      <c r="AQ440" s="2">
        <f>IF(Table2[[#This Row],[GameHasShutOut]], 1, 0)</f>
        <v>0</v>
      </c>
      <c r="AR440" s="2">
        <f>IF(Table2[[#This Row],[ActualAwayScore]] + Table2[[#This Row],[ActualHomeScore]] &gt;= 10, 1, 0)</f>
        <v>0</v>
      </c>
      <c r="AS440" s="2">
        <f>IF(ABS(Table2[[#This Row],[ActualAwayScore]]-Table2[[#This Row],[ActualHomeScore]])&gt;=5, 1, 0)</f>
        <v>0</v>
      </c>
      <c r="AT440" s="2">
        <f>IF(Table2[[#This Row],[ActualAwayScore]] + Table2[[#This Row],[ActualHomeScore]] &lt;= 3, 1, 0)</f>
        <v>1</v>
      </c>
      <c r="AU440" s="2"/>
      <c r="AV440" s="2"/>
    </row>
    <row r="441" spans="1:48" x14ac:dyDescent="0.25">
      <c r="A441" s="3"/>
      <c r="B441" s="3">
        <v>45997</v>
      </c>
      <c r="C441" s="5">
        <v>2025020439</v>
      </c>
      <c r="D441" s="2" t="s">
        <v>14</v>
      </c>
      <c r="E441" s="2" t="s">
        <v>24</v>
      </c>
      <c r="F441" s="2"/>
      <c r="G441" s="2"/>
      <c r="H441" s="2" t="str">
        <f t="shared" si="34"/>
        <v>_</v>
      </c>
      <c r="I441" s="2"/>
      <c r="J441" s="2"/>
      <c r="K441" s="2"/>
      <c r="L441" s="2" t="str">
        <f t="shared" si="35"/>
        <v>_</v>
      </c>
      <c r="M441" s="2"/>
      <c r="N441" s="2">
        <f>IF(ISBLANK(Table2[[#This Row],[ActualResult]]), 0, 1)</f>
        <v>0</v>
      </c>
      <c r="O441" s="2" t="str">
        <f>IF(ISBLANK(Table2[[#This Row],[ActualResult]]), "_", IF(Table2[[#This Row],[ActualWinner]]=Table2[[#This Row],[PredictedWinner]], "Y", "N"))</f>
        <v>_</v>
      </c>
      <c r="P4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1" s="2"/>
      <c r="S441" s="2" t="str">
        <f t="shared" si="36"/>
        <v>_</v>
      </c>
      <c r="T4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1" s="2">
        <f>IF(Table2[[#This Row],[InterConf]]=1,IF(Table2[[#This Row],[InterDiv]]=0, 1, 0), 0)</f>
        <v>1</v>
      </c>
      <c r="W4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1" s="2"/>
      <c r="Y441" s="2"/>
      <c r="Z441" s="145">
        <f>IF(AND(Table2[[#This Row],[GameIsOver]]=1,Table2[[#This Row],[ActualHomeScore]]*Table2[[#This Row],[ActualAwayScore]]=0), 1,0)</f>
        <v>0</v>
      </c>
      <c r="AA4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1" s="2">
        <f>Table2[[#This Row],[ActualAwayScore]]-Table2[[#This Row],[PredictedAwayScore]]</f>
        <v>0</v>
      </c>
      <c r="AG441" s="2">
        <f>Table2[[#This Row],[ActualHomeScore]]-Table2[[#This Row],[PredictedHomeScore]]</f>
        <v>0</v>
      </c>
      <c r="AH441" s="2">
        <f t="shared" si="37"/>
        <v>0</v>
      </c>
      <c r="AI441" s="2">
        <f t="shared" si="38"/>
        <v>0</v>
      </c>
      <c r="AJ441" s="2"/>
      <c r="AK441" s="2"/>
      <c r="AL441" s="2">
        <f>IF(Table2[[#This Row],[GameIsOver]]=0,0,IF(Table2[[#This Row],[ActualWinner]]=Table2[[#This Row],[AwayTeam]], 1, 0))</f>
        <v>0</v>
      </c>
      <c r="AM441" s="2">
        <f>IF(Table2[[#This Row],[GameIsOver]]=0,0,IF(Table2[[#This Row],[ActualWinner]]=Table2[[#This Row],[HomeTeam]], 1, 0))</f>
        <v>0</v>
      </c>
      <c r="AN4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1" s="2" t="str">
        <f>INDEX(Sheet5!$B$2:$AG$33, MATCH(Table2[[#This Row],[AwayTeam]],Sheet5!$A$2:$A$33, 0), MATCH(Table2[[#This Row],[HomeTeam]],Sheet5!$A$2:$A$33, 0))</f>
        <v>0-0-0</v>
      </c>
      <c r="AP441" s="2" t="str">
        <f>INDEX(Sheet5!$B$2:$AG$33, MATCH(Table2[[#This Row],[HomeTeam]],Sheet5!$A$2:$A$33, 0), MATCH(Table2[[#This Row],[AwayTeam]],Sheet5!$A$2:$A$33, 0))</f>
        <v>0-0-0</v>
      </c>
      <c r="AQ441" s="2">
        <f>IF(Table2[[#This Row],[GameHasShutOut]], 1, 0)</f>
        <v>0</v>
      </c>
      <c r="AR441" s="2">
        <f>IF(Table2[[#This Row],[ActualAwayScore]] + Table2[[#This Row],[ActualHomeScore]] &gt;= 10, 1, 0)</f>
        <v>0</v>
      </c>
      <c r="AS441" s="2">
        <f>IF(ABS(Table2[[#This Row],[ActualAwayScore]]-Table2[[#This Row],[ActualHomeScore]])&gt;=5, 1, 0)</f>
        <v>0</v>
      </c>
      <c r="AT441" s="2">
        <f>IF(Table2[[#This Row],[ActualAwayScore]] + Table2[[#This Row],[ActualHomeScore]] &lt;= 3, 1, 0)</f>
        <v>1</v>
      </c>
      <c r="AU441" s="2"/>
      <c r="AV441" s="2"/>
    </row>
    <row r="442" spans="1:48" x14ac:dyDescent="0.25">
      <c r="A442" s="3"/>
      <c r="B442" s="3">
        <v>45997</v>
      </c>
      <c r="C442" s="5">
        <v>2025020440</v>
      </c>
      <c r="D442" s="2" t="s">
        <v>43</v>
      </c>
      <c r="E442" s="2" t="s">
        <v>44</v>
      </c>
      <c r="F442" s="2"/>
      <c r="G442" s="2"/>
      <c r="H442" s="2" t="str">
        <f t="shared" si="34"/>
        <v>_</v>
      </c>
      <c r="I442" s="2"/>
      <c r="J442" s="2"/>
      <c r="K442" s="2"/>
      <c r="L442" s="2" t="str">
        <f t="shared" si="35"/>
        <v>_</v>
      </c>
      <c r="M442" s="2"/>
      <c r="N442" s="2">
        <f>IF(ISBLANK(Table2[[#This Row],[ActualResult]]), 0, 1)</f>
        <v>0</v>
      </c>
      <c r="O442" s="2" t="str">
        <f>IF(ISBLANK(Table2[[#This Row],[ActualResult]]), "_", IF(Table2[[#This Row],[ActualWinner]]=Table2[[#This Row],[PredictedWinner]], "Y", "N"))</f>
        <v>_</v>
      </c>
      <c r="P4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2" s="2"/>
      <c r="S442" s="2" t="str">
        <f t="shared" si="36"/>
        <v>_</v>
      </c>
      <c r="T4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2" s="2">
        <f>IF(Table2[[#This Row],[InterConf]]=1,IF(Table2[[#This Row],[InterDiv]]=0, 1, 0), 0)</f>
        <v>0</v>
      </c>
      <c r="W4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2" s="2"/>
      <c r="Y442" s="2"/>
      <c r="Z442" s="145">
        <f>IF(AND(Table2[[#This Row],[GameIsOver]]=1,Table2[[#This Row],[ActualHomeScore]]*Table2[[#This Row],[ActualAwayScore]]=0), 1,0)</f>
        <v>0</v>
      </c>
      <c r="AA4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2" s="2">
        <f>Table2[[#This Row],[ActualAwayScore]]-Table2[[#This Row],[PredictedAwayScore]]</f>
        <v>0</v>
      </c>
      <c r="AG442" s="2">
        <f>Table2[[#This Row],[ActualHomeScore]]-Table2[[#This Row],[PredictedHomeScore]]</f>
        <v>0</v>
      </c>
      <c r="AH442" s="2">
        <f t="shared" si="37"/>
        <v>0</v>
      </c>
      <c r="AI442" s="2">
        <f t="shared" si="38"/>
        <v>0</v>
      </c>
      <c r="AJ442" s="2"/>
      <c r="AK442" s="2"/>
      <c r="AL442" s="2">
        <f>IF(Table2[[#This Row],[GameIsOver]]=0,0,IF(Table2[[#This Row],[ActualWinner]]=Table2[[#This Row],[AwayTeam]], 1, 0))</f>
        <v>0</v>
      </c>
      <c r="AM442" s="2">
        <f>IF(Table2[[#This Row],[GameIsOver]]=0,0,IF(Table2[[#This Row],[ActualWinner]]=Table2[[#This Row],[HomeTeam]], 1, 0))</f>
        <v>0</v>
      </c>
      <c r="AN4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2" s="2" t="str">
        <f>INDEX(Sheet5!$B$2:$AG$33, MATCH(Table2[[#This Row],[AwayTeam]],Sheet5!$A$2:$A$33, 0), MATCH(Table2[[#This Row],[HomeTeam]],Sheet5!$A$2:$A$33, 0))</f>
        <v>0-0-0</v>
      </c>
      <c r="AP442" s="2" t="str">
        <f>INDEX(Sheet5!$B$2:$AG$33, MATCH(Table2[[#This Row],[HomeTeam]],Sheet5!$A$2:$A$33, 0), MATCH(Table2[[#This Row],[AwayTeam]],Sheet5!$A$2:$A$33, 0))</f>
        <v>0-0-0</v>
      </c>
      <c r="AQ442" s="2">
        <f>IF(Table2[[#This Row],[GameHasShutOut]], 1, 0)</f>
        <v>0</v>
      </c>
      <c r="AR442" s="2">
        <f>IF(Table2[[#This Row],[ActualAwayScore]] + Table2[[#This Row],[ActualHomeScore]] &gt;= 10, 1, 0)</f>
        <v>0</v>
      </c>
      <c r="AS442" s="2">
        <f>IF(ABS(Table2[[#This Row],[ActualAwayScore]]-Table2[[#This Row],[ActualHomeScore]])&gt;=5, 1, 0)</f>
        <v>0</v>
      </c>
      <c r="AT442" s="2">
        <f>IF(Table2[[#This Row],[ActualAwayScore]] + Table2[[#This Row],[ActualHomeScore]] &lt;= 3, 1, 0)</f>
        <v>1</v>
      </c>
      <c r="AU442" s="2"/>
      <c r="AV442" s="2"/>
    </row>
    <row r="443" spans="1:48" x14ac:dyDescent="0.25">
      <c r="A443" s="3"/>
      <c r="B443" s="3">
        <v>45997</v>
      </c>
      <c r="C443" s="5">
        <v>2025020441</v>
      </c>
      <c r="D443" s="2" t="s">
        <v>25</v>
      </c>
      <c r="E443" s="2" t="s">
        <v>19</v>
      </c>
      <c r="F443" s="2"/>
      <c r="G443" s="2"/>
      <c r="H443" s="2" t="str">
        <f t="shared" si="34"/>
        <v>_</v>
      </c>
      <c r="I443" s="2"/>
      <c r="J443" s="2"/>
      <c r="K443" s="2"/>
      <c r="L443" s="2" t="str">
        <f t="shared" si="35"/>
        <v>_</v>
      </c>
      <c r="M443" s="2"/>
      <c r="N443" s="2">
        <f>IF(ISBLANK(Table2[[#This Row],[ActualResult]]), 0, 1)</f>
        <v>0</v>
      </c>
      <c r="O443" s="2" t="str">
        <f>IF(ISBLANK(Table2[[#This Row],[ActualResult]]), "_", IF(Table2[[#This Row],[ActualWinner]]=Table2[[#This Row],[PredictedWinner]], "Y", "N"))</f>
        <v>_</v>
      </c>
      <c r="P4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3" s="2"/>
      <c r="S443" s="2" t="str">
        <f t="shared" si="36"/>
        <v>_</v>
      </c>
      <c r="T4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3" s="2">
        <f>IF(Table2[[#This Row],[InterConf]]=1,IF(Table2[[#This Row],[InterDiv]]=0, 1, 0), 0)</f>
        <v>0</v>
      </c>
      <c r="W4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3" s="2"/>
      <c r="Y443" s="2"/>
      <c r="Z443" s="145">
        <f>IF(AND(Table2[[#This Row],[GameIsOver]]=1,Table2[[#This Row],[ActualHomeScore]]*Table2[[#This Row],[ActualAwayScore]]=0), 1,0)</f>
        <v>0</v>
      </c>
      <c r="AA4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3" s="2">
        <f>Table2[[#This Row],[ActualAwayScore]]-Table2[[#This Row],[PredictedAwayScore]]</f>
        <v>0</v>
      </c>
      <c r="AG443" s="2">
        <f>Table2[[#This Row],[ActualHomeScore]]-Table2[[#This Row],[PredictedHomeScore]]</f>
        <v>0</v>
      </c>
      <c r="AH443" s="2">
        <f t="shared" si="37"/>
        <v>0</v>
      </c>
      <c r="AI443" s="2">
        <f t="shared" si="38"/>
        <v>0</v>
      </c>
      <c r="AJ443" s="2"/>
      <c r="AK443" s="2"/>
      <c r="AL443" s="2">
        <f>IF(Table2[[#This Row],[GameIsOver]]=0,0,IF(Table2[[#This Row],[ActualWinner]]=Table2[[#This Row],[AwayTeam]], 1, 0))</f>
        <v>0</v>
      </c>
      <c r="AM443" s="2">
        <f>IF(Table2[[#This Row],[GameIsOver]]=0,0,IF(Table2[[#This Row],[ActualWinner]]=Table2[[#This Row],[HomeTeam]], 1, 0))</f>
        <v>0</v>
      </c>
      <c r="AN4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3" s="2" t="str">
        <f>INDEX(Sheet5!$B$2:$AG$33, MATCH(Table2[[#This Row],[AwayTeam]],Sheet5!$A$2:$A$33, 0), MATCH(Table2[[#This Row],[HomeTeam]],Sheet5!$A$2:$A$33, 0))</f>
        <v>0-0-0</v>
      </c>
      <c r="AP443" s="2" t="str">
        <f>INDEX(Sheet5!$B$2:$AG$33, MATCH(Table2[[#This Row],[HomeTeam]],Sheet5!$A$2:$A$33, 0), MATCH(Table2[[#This Row],[AwayTeam]],Sheet5!$A$2:$A$33, 0))</f>
        <v>0-0-0</v>
      </c>
      <c r="AQ443" s="2">
        <f>IF(Table2[[#This Row],[GameHasShutOut]], 1, 0)</f>
        <v>0</v>
      </c>
      <c r="AR443" s="2">
        <f>IF(Table2[[#This Row],[ActualAwayScore]] + Table2[[#This Row],[ActualHomeScore]] &gt;= 10, 1, 0)</f>
        <v>0</v>
      </c>
      <c r="AS443" s="2">
        <f>IF(ABS(Table2[[#This Row],[ActualAwayScore]]-Table2[[#This Row],[ActualHomeScore]])&gt;=5, 1, 0)</f>
        <v>0</v>
      </c>
      <c r="AT443" s="2">
        <f>IF(Table2[[#This Row],[ActualAwayScore]] + Table2[[#This Row],[ActualHomeScore]] &lt;= 3, 1, 0)</f>
        <v>1</v>
      </c>
      <c r="AU443" s="2"/>
      <c r="AV443" s="2"/>
    </row>
    <row r="444" spans="1:48" x14ac:dyDescent="0.25">
      <c r="A444" s="3"/>
      <c r="B444" s="3">
        <v>45997</v>
      </c>
      <c r="C444" s="5">
        <v>2025020442</v>
      </c>
      <c r="D444" s="2" t="s">
        <v>35</v>
      </c>
      <c r="E444" s="2" t="s">
        <v>13</v>
      </c>
      <c r="F444" s="2"/>
      <c r="G444" s="2"/>
      <c r="H444" s="2" t="str">
        <f t="shared" si="34"/>
        <v>_</v>
      </c>
      <c r="I444" s="2"/>
      <c r="J444" s="2"/>
      <c r="K444" s="2"/>
      <c r="L444" s="2" t="str">
        <f t="shared" si="35"/>
        <v>_</v>
      </c>
      <c r="M444" s="2"/>
      <c r="N444" s="2">
        <f>IF(ISBLANK(Table2[[#This Row],[ActualResult]]), 0, 1)</f>
        <v>0</v>
      </c>
      <c r="O444" s="2" t="str">
        <f>IF(ISBLANK(Table2[[#This Row],[ActualResult]]), "_", IF(Table2[[#This Row],[ActualWinner]]=Table2[[#This Row],[PredictedWinner]], "Y", "N"))</f>
        <v>_</v>
      </c>
      <c r="P4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4" s="2"/>
      <c r="S444" s="2" t="str">
        <f t="shared" si="36"/>
        <v>_</v>
      </c>
      <c r="T4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4" s="2">
        <f>IF(Table2[[#This Row],[InterConf]]=1,IF(Table2[[#This Row],[InterDiv]]=0, 1, 0), 0)</f>
        <v>1</v>
      </c>
      <c r="W4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4" s="2"/>
      <c r="Y444" s="2"/>
      <c r="Z444" s="145">
        <f>IF(AND(Table2[[#This Row],[GameIsOver]]=1,Table2[[#This Row],[ActualHomeScore]]*Table2[[#This Row],[ActualAwayScore]]=0), 1,0)</f>
        <v>0</v>
      </c>
      <c r="AA4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4" s="2">
        <f>Table2[[#This Row],[ActualAwayScore]]-Table2[[#This Row],[PredictedAwayScore]]</f>
        <v>0</v>
      </c>
      <c r="AG444" s="2">
        <f>Table2[[#This Row],[ActualHomeScore]]-Table2[[#This Row],[PredictedHomeScore]]</f>
        <v>0</v>
      </c>
      <c r="AH444" s="2">
        <f t="shared" si="37"/>
        <v>0</v>
      </c>
      <c r="AI444" s="2">
        <f t="shared" si="38"/>
        <v>0</v>
      </c>
      <c r="AJ444" s="2"/>
      <c r="AK444" s="2"/>
      <c r="AL444" s="2">
        <f>IF(Table2[[#This Row],[GameIsOver]]=0,0,IF(Table2[[#This Row],[ActualWinner]]=Table2[[#This Row],[AwayTeam]], 1, 0))</f>
        <v>0</v>
      </c>
      <c r="AM444" s="2">
        <f>IF(Table2[[#This Row],[GameIsOver]]=0,0,IF(Table2[[#This Row],[ActualWinner]]=Table2[[#This Row],[HomeTeam]], 1, 0))</f>
        <v>0</v>
      </c>
      <c r="AN4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4" s="2" t="str">
        <f>INDEX(Sheet5!$B$2:$AG$33, MATCH(Table2[[#This Row],[AwayTeam]],Sheet5!$A$2:$A$33, 0), MATCH(Table2[[#This Row],[HomeTeam]],Sheet5!$A$2:$A$33, 0))</f>
        <v>0-0-0</v>
      </c>
      <c r="AP444" s="2" t="str">
        <f>INDEX(Sheet5!$B$2:$AG$33, MATCH(Table2[[#This Row],[HomeTeam]],Sheet5!$A$2:$A$33, 0), MATCH(Table2[[#This Row],[AwayTeam]],Sheet5!$A$2:$A$33, 0))</f>
        <v>0-0-0</v>
      </c>
      <c r="AQ444" s="2">
        <f>IF(Table2[[#This Row],[GameHasShutOut]], 1, 0)</f>
        <v>0</v>
      </c>
      <c r="AR444" s="2">
        <f>IF(Table2[[#This Row],[ActualAwayScore]] + Table2[[#This Row],[ActualHomeScore]] &gt;= 10, 1, 0)</f>
        <v>0</v>
      </c>
      <c r="AS444" s="2">
        <f>IF(ABS(Table2[[#This Row],[ActualAwayScore]]-Table2[[#This Row],[ActualHomeScore]])&gt;=5, 1, 0)</f>
        <v>0</v>
      </c>
      <c r="AT444" s="2">
        <f>IF(Table2[[#This Row],[ActualAwayScore]] + Table2[[#This Row],[ActualHomeScore]] &lt;= 3, 1, 0)</f>
        <v>1</v>
      </c>
      <c r="AU444" s="2"/>
      <c r="AV444" s="2"/>
    </row>
    <row r="445" spans="1:48" x14ac:dyDescent="0.25">
      <c r="A445" s="3"/>
      <c r="B445" s="3">
        <v>45998</v>
      </c>
      <c r="C445" s="5">
        <v>2025020443</v>
      </c>
      <c r="D445" s="2" t="s">
        <v>31</v>
      </c>
      <c r="E445" s="2" t="s">
        <v>15</v>
      </c>
      <c r="F445" s="2"/>
      <c r="G445" s="2"/>
      <c r="H445" s="2" t="str">
        <f t="shared" si="34"/>
        <v>_</v>
      </c>
      <c r="I445" s="2"/>
      <c r="J445" s="2"/>
      <c r="K445" s="2"/>
      <c r="L445" s="2" t="str">
        <f t="shared" si="35"/>
        <v>_</v>
      </c>
      <c r="M445" s="2"/>
      <c r="N445" s="2">
        <f>IF(ISBLANK(Table2[[#This Row],[ActualResult]]), 0, 1)</f>
        <v>0</v>
      </c>
      <c r="O445" s="2" t="str">
        <f>IF(ISBLANK(Table2[[#This Row],[ActualResult]]), "_", IF(Table2[[#This Row],[ActualWinner]]=Table2[[#This Row],[PredictedWinner]], "Y", "N"))</f>
        <v>_</v>
      </c>
      <c r="P4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5" s="2"/>
      <c r="S445" s="2" t="str">
        <f t="shared" si="36"/>
        <v>_</v>
      </c>
      <c r="T4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5" s="2">
        <f>IF(Table2[[#This Row],[InterConf]]=1,IF(Table2[[#This Row],[InterDiv]]=0, 1, 0), 0)</f>
        <v>1</v>
      </c>
      <c r="W4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5" s="2"/>
      <c r="Y445" s="2"/>
      <c r="Z445" s="145">
        <f>IF(AND(Table2[[#This Row],[GameIsOver]]=1,Table2[[#This Row],[ActualHomeScore]]*Table2[[#This Row],[ActualAwayScore]]=0), 1,0)</f>
        <v>0</v>
      </c>
      <c r="AA4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5" s="2">
        <f>Table2[[#This Row],[ActualAwayScore]]-Table2[[#This Row],[PredictedAwayScore]]</f>
        <v>0</v>
      </c>
      <c r="AG445" s="2">
        <f>Table2[[#This Row],[ActualHomeScore]]-Table2[[#This Row],[PredictedHomeScore]]</f>
        <v>0</v>
      </c>
      <c r="AH445" s="2">
        <f t="shared" si="37"/>
        <v>0</v>
      </c>
      <c r="AI445" s="2">
        <f t="shared" si="38"/>
        <v>0</v>
      </c>
      <c r="AJ445" s="2"/>
      <c r="AK445" s="2"/>
      <c r="AL445" s="2">
        <f>IF(Table2[[#This Row],[GameIsOver]]=0,0,IF(Table2[[#This Row],[ActualWinner]]=Table2[[#This Row],[AwayTeam]], 1, 0))</f>
        <v>0</v>
      </c>
      <c r="AM445" s="2">
        <f>IF(Table2[[#This Row],[GameIsOver]]=0,0,IF(Table2[[#This Row],[ActualWinner]]=Table2[[#This Row],[HomeTeam]], 1, 0))</f>
        <v>0</v>
      </c>
      <c r="AN4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5" s="2" t="str">
        <f>INDEX(Sheet5!$B$2:$AG$33, MATCH(Table2[[#This Row],[AwayTeam]],Sheet5!$A$2:$A$33, 0), MATCH(Table2[[#This Row],[HomeTeam]],Sheet5!$A$2:$A$33, 0))</f>
        <v>0-0-0</v>
      </c>
      <c r="AP445" s="2" t="str">
        <f>INDEX(Sheet5!$B$2:$AG$33, MATCH(Table2[[#This Row],[HomeTeam]],Sheet5!$A$2:$A$33, 0), MATCH(Table2[[#This Row],[AwayTeam]],Sheet5!$A$2:$A$33, 0))</f>
        <v>0-0-0</v>
      </c>
      <c r="AQ445" s="2">
        <f>IF(Table2[[#This Row],[GameHasShutOut]], 1, 0)</f>
        <v>0</v>
      </c>
      <c r="AR445" s="2">
        <f>IF(Table2[[#This Row],[ActualAwayScore]] + Table2[[#This Row],[ActualHomeScore]] &gt;= 10, 1, 0)</f>
        <v>0</v>
      </c>
      <c r="AS445" s="2">
        <f>IF(ABS(Table2[[#This Row],[ActualAwayScore]]-Table2[[#This Row],[ActualHomeScore]])&gt;=5, 1, 0)</f>
        <v>0</v>
      </c>
      <c r="AT445" s="2">
        <f>IF(Table2[[#This Row],[ActualAwayScore]] + Table2[[#This Row],[ActualHomeScore]] &lt;= 3, 1, 0)</f>
        <v>1</v>
      </c>
      <c r="AU445" s="2"/>
      <c r="AV445" s="2"/>
    </row>
    <row r="446" spans="1:48" x14ac:dyDescent="0.25">
      <c r="A446" s="3"/>
      <c r="B446" s="3">
        <v>45998</v>
      </c>
      <c r="C446" s="5">
        <v>2025020444</v>
      </c>
      <c r="D446" s="2" t="s">
        <v>18</v>
      </c>
      <c r="E446" s="2" t="s">
        <v>17</v>
      </c>
      <c r="F446" s="2"/>
      <c r="G446" s="2"/>
      <c r="H446" s="2" t="str">
        <f t="shared" si="34"/>
        <v>_</v>
      </c>
      <c r="I446" s="2"/>
      <c r="J446" s="2"/>
      <c r="K446" s="2"/>
      <c r="L446" s="2" t="str">
        <f t="shared" si="35"/>
        <v>_</v>
      </c>
      <c r="M446" s="2"/>
      <c r="N446" s="2">
        <f>IF(ISBLANK(Table2[[#This Row],[ActualResult]]), 0, 1)</f>
        <v>0</v>
      </c>
      <c r="O446" s="2" t="str">
        <f>IF(ISBLANK(Table2[[#This Row],[ActualResult]]), "_", IF(Table2[[#This Row],[ActualWinner]]=Table2[[#This Row],[PredictedWinner]], "Y", "N"))</f>
        <v>_</v>
      </c>
      <c r="P4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6" s="2"/>
      <c r="S446" s="2" t="str">
        <f t="shared" si="36"/>
        <v>_</v>
      </c>
      <c r="T4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46" s="2">
        <f>IF(Table2[[#This Row],[InterConf]]=1,IF(Table2[[#This Row],[InterDiv]]=0, 1, 0), 0)</f>
        <v>0</v>
      </c>
      <c r="W4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6" s="2"/>
      <c r="Y446" s="2"/>
      <c r="Z446" s="145">
        <f>IF(AND(Table2[[#This Row],[GameIsOver]]=1,Table2[[#This Row],[ActualHomeScore]]*Table2[[#This Row],[ActualAwayScore]]=0), 1,0)</f>
        <v>0</v>
      </c>
      <c r="AA4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6" s="2">
        <f>Table2[[#This Row],[ActualAwayScore]]-Table2[[#This Row],[PredictedAwayScore]]</f>
        <v>0</v>
      </c>
      <c r="AG446" s="2">
        <f>Table2[[#This Row],[ActualHomeScore]]-Table2[[#This Row],[PredictedHomeScore]]</f>
        <v>0</v>
      </c>
      <c r="AH446" s="2">
        <f t="shared" si="37"/>
        <v>0</v>
      </c>
      <c r="AI446" s="2">
        <f t="shared" si="38"/>
        <v>0</v>
      </c>
      <c r="AJ446" s="2"/>
      <c r="AK446" s="2"/>
      <c r="AL446" s="2">
        <f>IF(Table2[[#This Row],[GameIsOver]]=0,0,IF(Table2[[#This Row],[ActualWinner]]=Table2[[#This Row],[AwayTeam]], 1, 0))</f>
        <v>0</v>
      </c>
      <c r="AM446" s="2">
        <f>IF(Table2[[#This Row],[GameIsOver]]=0,0,IF(Table2[[#This Row],[ActualWinner]]=Table2[[#This Row],[HomeTeam]], 1, 0))</f>
        <v>0</v>
      </c>
      <c r="AN4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6" s="2" t="str">
        <f>INDEX(Sheet5!$B$2:$AG$33, MATCH(Table2[[#This Row],[AwayTeam]],Sheet5!$A$2:$A$33, 0), MATCH(Table2[[#This Row],[HomeTeam]],Sheet5!$A$2:$A$33, 0))</f>
        <v>0-1-0</v>
      </c>
      <c r="AP446" s="2" t="str">
        <f>INDEX(Sheet5!$B$2:$AG$33, MATCH(Table2[[#This Row],[HomeTeam]],Sheet5!$A$2:$A$33, 0), MATCH(Table2[[#This Row],[AwayTeam]],Sheet5!$A$2:$A$33, 0))</f>
        <v>1-0-0</v>
      </c>
      <c r="AQ446" s="2">
        <f>IF(Table2[[#This Row],[GameHasShutOut]], 1, 0)</f>
        <v>0</v>
      </c>
      <c r="AR446" s="2">
        <f>IF(Table2[[#This Row],[ActualAwayScore]] + Table2[[#This Row],[ActualHomeScore]] &gt;= 10, 1, 0)</f>
        <v>0</v>
      </c>
      <c r="AS446" s="2">
        <f>IF(ABS(Table2[[#This Row],[ActualAwayScore]]-Table2[[#This Row],[ActualHomeScore]])&gt;=5, 1, 0)</f>
        <v>0</v>
      </c>
      <c r="AT446" s="2">
        <f>IF(Table2[[#This Row],[ActualAwayScore]] + Table2[[#This Row],[ActualHomeScore]] &lt;= 3, 1, 0)</f>
        <v>1</v>
      </c>
      <c r="AU446" s="2"/>
      <c r="AV446" s="2"/>
    </row>
    <row r="447" spans="1:48" x14ac:dyDescent="0.25">
      <c r="A447" s="3"/>
      <c r="B447" s="3">
        <v>45998</v>
      </c>
      <c r="C447" s="5">
        <v>2025020445</v>
      </c>
      <c r="D447" s="2" t="s">
        <v>12</v>
      </c>
      <c r="E447" s="2" t="s">
        <v>29</v>
      </c>
      <c r="F447" s="2"/>
      <c r="G447" s="2"/>
      <c r="H447" s="2" t="str">
        <f t="shared" si="34"/>
        <v>_</v>
      </c>
      <c r="I447" s="2"/>
      <c r="J447" s="2"/>
      <c r="K447" s="2"/>
      <c r="L447" s="2" t="str">
        <f t="shared" si="35"/>
        <v>_</v>
      </c>
      <c r="M447" s="2"/>
      <c r="N447" s="2">
        <f>IF(ISBLANK(Table2[[#This Row],[ActualResult]]), 0, 1)</f>
        <v>0</v>
      </c>
      <c r="O447" s="2" t="str">
        <f>IF(ISBLANK(Table2[[#This Row],[ActualResult]]), "_", IF(Table2[[#This Row],[ActualWinner]]=Table2[[#This Row],[PredictedWinner]], "Y", "N"))</f>
        <v>_</v>
      </c>
      <c r="P4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7" s="2"/>
      <c r="S447" s="2" t="str">
        <f t="shared" si="36"/>
        <v>_</v>
      </c>
      <c r="T4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7" s="2">
        <f>IF(Table2[[#This Row],[InterConf]]=1,IF(Table2[[#This Row],[InterDiv]]=0, 1, 0), 0)</f>
        <v>0</v>
      </c>
      <c r="W4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7" s="2"/>
      <c r="Y447" s="2"/>
      <c r="Z447" s="145">
        <f>IF(AND(Table2[[#This Row],[GameIsOver]]=1,Table2[[#This Row],[ActualHomeScore]]*Table2[[#This Row],[ActualAwayScore]]=0), 1,0)</f>
        <v>0</v>
      </c>
      <c r="AA4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7" s="2">
        <f>Table2[[#This Row],[ActualAwayScore]]-Table2[[#This Row],[PredictedAwayScore]]</f>
        <v>0</v>
      </c>
      <c r="AG447" s="2">
        <f>Table2[[#This Row],[ActualHomeScore]]-Table2[[#This Row],[PredictedHomeScore]]</f>
        <v>0</v>
      </c>
      <c r="AH447" s="2">
        <f t="shared" si="37"/>
        <v>0</v>
      </c>
      <c r="AI447" s="2">
        <f t="shared" si="38"/>
        <v>0</v>
      </c>
      <c r="AJ447" s="2"/>
      <c r="AK447" s="2"/>
      <c r="AL447" s="2">
        <f>IF(Table2[[#This Row],[GameIsOver]]=0,0,IF(Table2[[#This Row],[ActualWinner]]=Table2[[#This Row],[AwayTeam]], 1, 0))</f>
        <v>0</v>
      </c>
      <c r="AM447" s="2">
        <f>IF(Table2[[#This Row],[GameIsOver]]=0,0,IF(Table2[[#This Row],[ActualWinner]]=Table2[[#This Row],[HomeTeam]], 1, 0))</f>
        <v>0</v>
      </c>
      <c r="AN4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7" s="2" t="str">
        <f>INDEX(Sheet5!$B$2:$AG$33, MATCH(Table2[[#This Row],[AwayTeam]],Sheet5!$A$2:$A$33, 0), MATCH(Table2[[#This Row],[HomeTeam]],Sheet5!$A$2:$A$33, 0))</f>
        <v>0-0-0</v>
      </c>
      <c r="AP447" s="2" t="str">
        <f>INDEX(Sheet5!$B$2:$AG$33, MATCH(Table2[[#This Row],[HomeTeam]],Sheet5!$A$2:$A$33, 0), MATCH(Table2[[#This Row],[AwayTeam]],Sheet5!$A$2:$A$33, 0))</f>
        <v>0-0-0</v>
      </c>
      <c r="AQ447" s="2">
        <f>IF(Table2[[#This Row],[GameHasShutOut]], 1, 0)</f>
        <v>0</v>
      </c>
      <c r="AR447" s="2">
        <f>IF(Table2[[#This Row],[ActualAwayScore]] + Table2[[#This Row],[ActualHomeScore]] &gt;= 10, 1, 0)</f>
        <v>0</v>
      </c>
      <c r="AS447" s="2">
        <f>IF(ABS(Table2[[#This Row],[ActualAwayScore]]-Table2[[#This Row],[ActualHomeScore]])&gt;=5, 1, 0)</f>
        <v>0</v>
      </c>
      <c r="AT447" s="2">
        <f>IF(Table2[[#This Row],[ActualAwayScore]] + Table2[[#This Row],[ActualHomeScore]] &lt;= 3, 1, 0)</f>
        <v>1</v>
      </c>
      <c r="AU447" s="2"/>
      <c r="AV447" s="2"/>
    </row>
    <row r="448" spans="1:48" x14ac:dyDescent="0.25">
      <c r="A448" s="3"/>
      <c r="B448" s="3">
        <v>45998</v>
      </c>
      <c r="C448" s="5">
        <v>2025020446</v>
      </c>
      <c r="D448" s="2" t="s">
        <v>32</v>
      </c>
      <c r="E448" s="2" t="s">
        <v>40</v>
      </c>
      <c r="F448" s="2"/>
      <c r="G448" s="2"/>
      <c r="H448" s="2" t="str">
        <f t="shared" si="34"/>
        <v>_</v>
      </c>
      <c r="I448" s="2"/>
      <c r="J448" s="2"/>
      <c r="K448" s="2"/>
      <c r="L448" s="2" t="str">
        <f t="shared" si="35"/>
        <v>_</v>
      </c>
      <c r="M448" s="2"/>
      <c r="N448" s="2">
        <f>IF(ISBLANK(Table2[[#This Row],[ActualResult]]), 0, 1)</f>
        <v>0</v>
      </c>
      <c r="O448" s="2" t="str">
        <f>IF(ISBLANK(Table2[[#This Row],[ActualResult]]), "_", IF(Table2[[#This Row],[ActualWinner]]=Table2[[#This Row],[PredictedWinner]], "Y", "N"))</f>
        <v>_</v>
      </c>
      <c r="P4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8" s="2"/>
      <c r="S448" s="2" t="str">
        <f t="shared" si="36"/>
        <v>_</v>
      </c>
      <c r="T4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8" s="2">
        <f>IF(Table2[[#This Row],[InterConf]]=1,IF(Table2[[#This Row],[InterDiv]]=0, 1, 0), 0)</f>
        <v>1</v>
      </c>
      <c r="W4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8" s="2"/>
      <c r="Y448" s="2"/>
      <c r="Z448" s="145">
        <f>IF(AND(Table2[[#This Row],[GameIsOver]]=1,Table2[[#This Row],[ActualHomeScore]]*Table2[[#This Row],[ActualAwayScore]]=0), 1,0)</f>
        <v>0</v>
      </c>
      <c r="AA4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8" s="2">
        <f>Table2[[#This Row],[ActualAwayScore]]-Table2[[#This Row],[PredictedAwayScore]]</f>
        <v>0</v>
      </c>
      <c r="AG448" s="2">
        <f>Table2[[#This Row],[ActualHomeScore]]-Table2[[#This Row],[PredictedHomeScore]]</f>
        <v>0</v>
      </c>
      <c r="AH448" s="2">
        <f t="shared" si="37"/>
        <v>0</v>
      </c>
      <c r="AI448" s="2">
        <f t="shared" si="38"/>
        <v>0</v>
      </c>
      <c r="AJ448" s="2"/>
      <c r="AK448" s="2"/>
      <c r="AL448" s="2">
        <f>IF(Table2[[#This Row],[GameIsOver]]=0,0,IF(Table2[[#This Row],[ActualWinner]]=Table2[[#This Row],[AwayTeam]], 1, 0))</f>
        <v>0</v>
      </c>
      <c r="AM448" s="2">
        <f>IF(Table2[[#This Row],[GameIsOver]]=0,0,IF(Table2[[#This Row],[ActualWinner]]=Table2[[#This Row],[HomeTeam]], 1, 0))</f>
        <v>0</v>
      </c>
      <c r="AN4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8" s="2" t="str">
        <f>INDEX(Sheet5!$B$2:$AG$33, MATCH(Table2[[#This Row],[AwayTeam]],Sheet5!$A$2:$A$33, 0), MATCH(Table2[[#This Row],[HomeTeam]],Sheet5!$A$2:$A$33, 0))</f>
        <v>0-0-0</v>
      </c>
      <c r="AP448" s="2" t="str">
        <f>INDEX(Sheet5!$B$2:$AG$33, MATCH(Table2[[#This Row],[HomeTeam]],Sheet5!$A$2:$A$33, 0), MATCH(Table2[[#This Row],[AwayTeam]],Sheet5!$A$2:$A$33, 0))</f>
        <v>0-0-0</v>
      </c>
      <c r="AQ448" s="2">
        <f>IF(Table2[[#This Row],[GameHasShutOut]], 1, 0)</f>
        <v>0</v>
      </c>
      <c r="AR448" s="2">
        <f>IF(Table2[[#This Row],[ActualAwayScore]] + Table2[[#This Row],[ActualHomeScore]] &gt;= 10, 1, 0)</f>
        <v>0</v>
      </c>
      <c r="AS448" s="2">
        <f>IF(ABS(Table2[[#This Row],[ActualAwayScore]]-Table2[[#This Row],[ActualHomeScore]])&gt;=5, 1, 0)</f>
        <v>0</v>
      </c>
      <c r="AT448" s="2">
        <f>IF(Table2[[#This Row],[ActualAwayScore]] + Table2[[#This Row],[ActualHomeScore]] &lt;= 3, 1, 0)</f>
        <v>1</v>
      </c>
      <c r="AU448" s="2"/>
      <c r="AV448" s="2"/>
    </row>
    <row r="449" spans="1:48" x14ac:dyDescent="0.25">
      <c r="A449" s="3"/>
      <c r="B449" s="3">
        <v>45998</v>
      </c>
      <c r="C449" s="5">
        <v>2025020447</v>
      </c>
      <c r="D449" s="2" t="s">
        <v>34</v>
      </c>
      <c r="E449" s="2" t="s">
        <v>41</v>
      </c>
      <c r="F449" s="2"/>
      <c r="G449" s="2"/>
      <c r="H449" s="2" t="str">
        <f t="shared" si="34"/>
        <v>_</v>
      </c>
      <c r="I449" s="2"/>
      <c r="J449" s="2"/>
      <c r="K449" s="2"/>
      <c r="L449" s="2" t="str">
        <f t="shared" si="35"/>
        <v>_</v>
      </c>
      <c r="M449" s="2"/>
      <c r="N449" s="2">
        <f>IF(ISBLANK(Table2[[#This Row],[ActualResult]]), 0, 1)</f>
        <v>0</v>
      </c>
      <c r="O449" s="2" t="str">
        <f>IF(ISBLANK(Table2[[#This Row],[ActualResult]]), "_", IF(Table2[[#This Row],[ActualWinner]]=Table2[[#This Row],[PredictedWinner]], "Y", "N"))</f>
        <v>_</v>
      </c>
      <c r="P4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9" s="2"/>
      <c r="S449" s="2" t="str">
        <f t="shared" si="36"/>
        <v>_</v>
      </c>
      <c r="T4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9" s="2">
        <f>IF(Table2[[#This Row],[InterConf]]=1,IF(Table2[[#This Row],[InterDiv]]=0, 1, 0), 0)</f>
        <v>0</v>
      </c>
      <c r="W4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9" s="2"/>
      <c r="Y449" s="2"/>
      <c r="Z449" s="145">
        <f>IF(AND(Table2[[#This Row],[GameIsOver]]=1,Table2[[#This Row],[ActualHomeScore]]*Table2[[#This Row],[ActualAwayScore]]=0), 1,0)</f>
        <v>0</v>
      </c>
      <c r="AA4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9" s="2">
        <f>Table2[[#This Row],[ActualAwayScore]]-Table2[[#This Row],[PredictedAwayScore]]</f>
        <v>0</v>
      </c>
      <c r="AG449" s="2">
        <f>Table2[[#This Row],[ActualHomeScore]]-Table2[[#This Row],[PredictedHomeScore]]</f>
        <v>0</v>
      </c>
      <c r="AH449" s="2">
        <f t="shared" si="37"/>
        <v>0</v>
      </c>
      <c r="AI449" s="2">
        <f t="shared" si="38"/>
        <v>0</v>
      </c>
      <c r="AJ449" s="2"/>
      <c r="AK449" s="2"/>
      <c r="AL449" s="2">
        <f>IF(Table2[[#This Row],[GameIsOver]]=0,0,IF(Table2[[#This Row],[ActualWinner]]=Table2[[#This Row],[AwayTeam]], 1, 0))</f>
        <v>0</v>
      </c>
      <c r="AM449" s="2">
        <f>IF(Table2[[#This Row],[GameIsOver]]=0,0,IF(Table2[[#This Row],[ActualWinner]]=Table2[[#This Row],[HomeTeam]], 1, 0))</f>
        <v>0</v>
      </c>
      <c r="AN4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9" s="2" t="str">
        <f>INDEX(Sheet5!$B$2:$AG$33, MATCH(Table2[[#This Row],[AwayTeam]],Sheet5!$A$2:$A$33, 0), MATCH(Table2[[#This Row],[HomeTeam]],Sheet5!$A$2:$A$33, 0))</f>
        <v>0-0-0</v>
      </c>
      <c r="AP449" s="2" t="str">
        <f>INDEX(Sheet5!$B$2:$AG$33, MATCH(Table2[[#This Row],[HomeTeam]],Sheet5!$A$2:$A$33, 0), MATCH(Table2[[#This Row],[AwayTeam]],Sheet5!$A$2:$A$33, 0))</f>
        <v>0-0-0</v>
      </c>
      <c r="AQ449" s="2">
        <f>IF(Table2[[#This Row],[GameHasShutOut]], 1, 0)</f>
        <v>0</v>
      </c>
      <c r="AR449" s="2">
        <f>IF(Table2[[#This Row],[ActualAwayScore]] + Table2[[#This Row],[ActualHomeScore]] &gt;= 10, 1, 0)</f>
        <v>0</v>
      </c>
      <c r="AS449" s="2">
        <f>IF(ABS(Table2[[#This Row],[ActualAwayScore]]-Table2[[#This Row],[ActualHomeScore]])&gt;=5, 1, 0)</f>
        <v>0</v>
      </c>
      <c r="AT449" s="2">
        <f>IF(Table2[[#This Row],[ActualAwayScore]] + Table2[[#This Row],[ActualHomeScore]] &lt;= 3, 1, 0)</f>
        <v>1</v>
      </c>
      <c r="AU449" s="2"/>
      <c r="AV449" s="2"/>
    </row>
    <row r="450" spans="1:48" x14ac:dyDescent="0.25">
      <c r="A450" s="3"/>
      <c r="B450" s="3">
        <v>45998</v>
      </c>
      <c r="C450" s="5">
        <v>2025020448</v>
      </c>
      <c r="D450" s="2" t="s">
        <v>14</v>
      </c>
      <c r="E450" s="2" t="s">
        <v>23</v>
      </c>
      <c r="F450" s="2"/>
      <c r="G450" s="2"/>
      <c r="H450" s="2" t="str">
        <f t="shared" si="34"/>
        <v>_</v>
      </c>
      <c r="I450" s="2"/>
      <c r="J450" s="2"/>
      <c r="K450" s="2"/>
      <c r="L450" s="2" t="str">
        <f t="shared" si="35"/>
        <v>_</v>
      </c>
      <c r="M450" s="2"/>
      <c r="N450" s="2">
        <f>IF(ISBLANK(Table2[[#This Row],[ActualResult]]), 0, 1)</f>
        <v>0</v>
      </c>
      <c r="O450" s="2" t="str">
        <f>IF(ISBLANK(Table2[[#This Row],[ActualResult]]), "_", IF(Table2[[#This Row],[ActualWinner]]=Table2[[#This Row],[PredictedWinner]], "Y", "N"))</f>
        <v>_</v>
      </c>
      <c r="P4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0" s="2"/>
      <c r="S450" s="2" t="str">
        <f t="shared" si="36"/>
        <v>_</v>
      </c>
      <c r="T4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0" s="2">
        <f>IF(Table2[[#This Row],[InterConf]]=1,IF(Table2[[#This Row],[InterDiv]]=0, 1, 0), 0)</f>
        <v>1</v>
      </c>
      <c r="W4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0" s="2"/>
      <c r="Y450" s="2"/>
      <c r="Z450" s="145">
        <f>IF(AND(Table2[[#This Row],[GameIsOver]]=1,Table2[[#This Row],[ActualHomeScore]]*Table2[[#This Row],[ActualAwayScore]]=0), 1,0)</f>
        <v>0</v>
      </c>
      <c r="AA4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0" s="2">
        <f>Table2[[#This Row],[ActualAwayScore]]-Table2[[#This Row],[PredictedAwayScore]]</f>
        <v>0</v>
      </c>
      <c r="AG450" s="2">
        <f>Table2[[#This Row],[ActualHomeScore]]-Table2[[#This Row],[PredictedHomeScore]]</f>
        <v>0</v>
      </c>
      <c r="AH450" s="2">
        <f t="shared" si="37"/>
        <v>0</v>
      </c>
      <c r="AI450" s="2">
        <f t="shared" si="38"/>
        <v>0</v>
      </c>
      <c r="AJ450" s="2"/>
      <c r="AK450" s="2"/>
      <c r="AL450" s="2">
        <f>IF(Table2[[#This Row],[GameIsOver]]=0,0,IF(Table2[[#This Row],[ActualWinner]]=Table2[[#This Row],[AwayTeam]], 1, 0))</f>
        <v>0</v>
      </c>
      <c r="AM450" s="2">
        <f>IF(Table2[[#This Row],[GameIsOver]]=0,0,IF(Table2[[#This Row],[ActualWinner]]=Table2[[#This Row],[HomeTeam]], 1, 0))</f>
        <v>0</v>
      </c>
      <c r="AN4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0" s="2" t="str">
        <f>INDEX(Sheet5!$B$2:$AG$33, MATCH(Table2[[#This Row],[AwayTeam]],Sheet5!$A$2:$A$33, 0), MATCH(Table2[[#This Row],[HomeTeam]],Sheet5!$A$2:$A$33, 0))</f>
        <v>1-0-0</v>
      </c>
      <c r="AP450" s="2" t="str">
        <f>INDEX(Sheet5!$B$2:$AG$33, MATCH(Table2[[#This Row],[HomeTeam]],Sheet5!$A$2:$A$33, 0), MATCH(Table2[[#This Row],[AwayTeam]],Sheet5!$A$2:$A$33, 0))</f>
        <v>0-1-0</v>
      </c>
      <c r="AQ450" s="2">
        <f>IF(Table2[[#This Row],[GameHasShutOut]], 1, 0)</f>
        <v>0</v>
      </c>
      <c r="AR450" s="2">
        <f>IF(Table2[[#This Row],[ActualAwayScore]] + Table2[[#This Row],[ActualHomeScore]] &gt;= 10, 1, 0)</f>
        <v>0</v>
      </c>
      <c r="AS450" s="2">
        <f>IF(ABS(Table2[[#This Row],[ActualAwayScore]]-Table2[[#This Row],[ActualHomeScore]])&gt;=5, 1, 0)</f>
        <v>0</v>
      </c>
      <c r="AT450" s="2">
        <f>IF(Table2[[#This Row],[ActualAwayScore]] + Table2[[#This Row],[ActualHomeScore]] &lt;= 3, 1, 0)</f>
        <v>1</v>
      </c>
      <c r="AU450" s="2"/>
      <c r="AV450" s="2"/>
    </row>
    <row r="451" spans="1:48" x14ac:dyDescent="0.25">
      <c r="A451" s="3"/>
      <c r="B451" s="3">
        <v>45998</v>
      </c>
      <c r="C451" s="5">
        <v>2025020449</v>
      </c>
      <c r="D451" s="2" t="s">
        <v>16</v>
      </c>
      <c r="E451" s="2" t="s">
        <v>27</v>
      </c>
      <c r="F451" s="2"/>
      <c r="G451" s="2"/>
      <c r="H451" s="2" t="str">
        <f t="shared" ref="H451:H514" si="39">IF(AND(ISBLANK($F451),ISBLANK($G451)),"_",IF($F451&gt;$G451,$D451,$E451))</f>
        <v>_</v>
      </c>
      <c r="I451" s="2"/>
      <c r="J451" s="2"/>
      <c r="K451" s="2"/>
      <c r="L451" s="2" t="str">
        <f t="shared" ref="L451:L514" si="40">IF(OR($J451=$K451,AND(ISBLANK($J451),ISBLANK($K451))),"_",IF($J451&gt;$K451,$D451,$E451))</f>
        <v>_</v>
      </c>
      <c r="M451" s="2"/>
      <c r="N451" s="2">
        <f>IF(ISBLANK(Table2[[#This Row],[ActualResult]]), 0, 1)</f>
        <v>0</v>
      </c>
      <c r="O451" s="2" t="str">
        <f>IF(ISBLANK(Table2[[#This Row],[ActualResult]]), "_", IF(Table2[[#This Row],[ActualWinner]]=Table2[[#This Row],[PredictedWinner]], "Y", "N"))</f>
        <v>_</v>
      </c>
      <c r="P4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1" s="2"/>
      <c r="S451" s="2" t="str">
        <f t="shared" ref="S451:S514" si="41">IF($L451="_", "_", IF($L451=$D451,$E451,$D451))</f>
        <v>_</v>
      </c>
      <c r="T4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1" s="2">
        <f>IF(Table2[[#This Row],[InterConf]]=1,IF(Table2[[#This Row],[InterDiv]]=0, 1, 0), 0)</f>
        <v>1</v>
      </c>
      <c r="W4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1" s="2"/>
      <c r="Y451" s="2"/>
      <c r="Z451" s="145">
        <f>IF(AND(Table2[[#This Row],[GameIsOver]]=1,Table2[[#This Row],[ActualHomeScore]]*Table2[[#This Row],[ActualAwayScore]]=0), 1,0)</f>
        <v>0</v>
      </c>
      <c r="AA4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1" s="2">
        <f>Table2[[#This Row],[ActualAwayScore]]-Table2[[#This Row],[PredictedAwayScore]]</f>
        <v>0</v>
      </c>
      <c r="AG451" s="2">
        <f>Table2[[#This Row],[ActualHomeScore]]-Table2[[#This Row],[PredictedHomeScore]]</f>
        <v>0</v>
      </c>
      <c r="AH451" s="2">
        <f t="shared" ref="AH451:AH514" si="42">SUMIF($B$3:$B$1315, $B451, $AF$3:$AF$1315)</f>
        <v>0</v>
      </c>
      <c r="AI451" s="2">
        <f t="shared" ref="AI451:AI514" si="43">SUMIF($B$3:$B$1315, $B451, $AG$3:$AG$1315)</f>
        <v>0</v>
      </c>
      <c r="AJ451" s="2"/>
      <c r="AK451" s="2"/>
      <c r="AL451" s="2">
        <f>IF(Table2[[#This Row],[GameIsOver]]=0,0,IF(Table2[[#This Row],[ActualWinner]]=Table2[[#This Row],[AwayTeam]], 1, 0))</f>
        <v>0</v>
      </c>
      <c r="AM451" s="2">
        <f>IF(Table2[[#This Row],[GameIsOver]]=0,0,IF(Table2[[#This Row],[ActualWinner]]=Table2[[#This Row],[HomeTeam]], 1, 0))</f>
        <v>0</v>
      </c>
      <c r="AN451" s="2">
        <f>IF(IFERROR(FIND(Table2[[#This Row],[AwayTeam]], _xlfn.TEXTJOIN(";", 1, $BD$31:$BD$40)), 0) &gt; 0, 1, 0) + IF(IFERROR(FIND(Table2[[#This Row],[HomeTeam]], _xlfn.TEXTJOIN(";", 1, $BD$31:$BD$40)), 0) &gt; 0, 1, 0)</f>
        <v>1</v>
      </c>
      <c r="AO451" s="2" t="str">
        <f>INDEX(Sheet5!$B$2:$AG$33, MATCH(Table2[[#This Row],[AwayTeam]],Sheet5!$A$2:$A$33, 0), MATCH(Table2[[#This Row],[HomeTeam]],Sheet5!$A$2:$A$33, 0))</f>
        <v>0-0-0</v>
      </c>
      <c r="AP451" s="2" t="str">
        <f>INDEX(Sheet5!$B$2:$AG$33, MATCH(Table2[[#This Row],[HomeTeam]],Sheet5!$A$2:$A$33, 0), MATCH(Table2[[#This Row],[AwayTeam]],Sheet5!$A$2:$A$33, 0))</f>
        <v>0-0-0</v>
      </c>
      <c r="AQ451" s="2">
        <f>IF(Table2[[#This Row],[GameHasShutOut]], 1, 0)</f>
        <v>0</v>
      </c>
      <c r="AR451" s="2">
        <f>IF(Table2[[#This Row],[ActualAwayScore]] + Table2[[#This Row],[ActualHomeScore]] &gt;= 10, 1, 0)</f>
        <v>0</v>
      </c>
      <c r="AS451" s="2">
        <f>IF(ABS(Table2[[#This Row],[ActualAwayScore]]-Table2[[#This Row],[ActualHomeScore]])&gt;=5, 1, 0)</f>
        <v>0</v>
      </c>
      <c r="AT451" s="2">
        <f>IF(Table2[[#This Row],[ActualAwayScore]] + Table2[[#This Row],[ActualHomeScore]] &lt;= 3, 1, 0)</f>
        <v>1</v>
      </c>
      <c r="AU451" s="2"/>
      <c r="AV451" s="2"/>
    </row>
    <row r="452" spans="1:48" x14ac:dyDescent="0.25">
      <c r="A452" s="3"/>
      <c r="B452" s="3">
        <v>45998</v>
      </c>
      <c r="C452" s="5">
        <v>2025020450</v>
      </c>
      <c r="D452" s="2" t="s">
        <v>21</v>
      </c>
      <c r="E452" s="2" t="s">
        <v>22</v>
      </c>
      <c r="F452" s="2"/>
      <c r="G452" s="2"/>
      <c r="H452" s="2" t="str">
        <f t="shared" si="39"/>
        <v>_</v>
      </c>
      <c r="I452" s="2"/>
      <c r="J452" s="2"/>
      <c r="K452" s="2"/>
      <c r="L452" s="2" t="str">
        <f t="shared" si="40"/>
        <v>_</v>
      </c>
      <c r="M452" s="2"/>
      <c r="N452" s="2">
        <f>IF(ISBLANK(Table2[[#This Row],[ActualResult]]), 0, 1)</f>
        <v>0</v>
      </c>
      <c r="O452" s="2" t="str">
        <f>IF(ISBLANK(Table2[[#This Row],[ActualResult]]), "_", IF(Table2[[#This Row],[ActualWinner]]=Table2[[#This Row],[PredictedWinner]], "Y", "N"))</f>
        <v>_</v>
      </c>
      <c r="P4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2" s="2"/>
      <c r="S452" s="2" t="str">
        <f t="shared" si="41"/>
        <v>_</v>
      </c>
      <c r="T4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2" s="2">
        <f>IF(Table2[[#This Row],[InterConf]]=1,IF(Table2[[#This Row],[InterDiv]]=0, 1, 0), 0)</f>
        <v>1</v>
      </c>
      <c r="W4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2" s="2"/>
      <c r="Y452" s="2"/>
      <c r="Z452" s="145">
        <f>IF(AND(Table2[[#This Row],[GameIsOver]]=1,Table2[[#This Row],[ActualHomeScore]]*Table2[[#This Row],[ActualAwayScore]]=0), 1,0)</f>
        <v>0</v>
      </c>
      <c r="AA4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2" s="2">
        <f>Table2[[#This Row],[ActualAwayScore]]-Table2[[#This Row],[PredictedAwayScore]]</f>
        <v>0</v>
      </c>
      <c r="AG452" s="2">
        <f>Table2[[#This Row],[ActualHomeScore]]-Table2[[#This Row],[PredictedHomeScore]]</f>
        <v>0</v>
      </c>
      <c r="AH452" s="2">
        <f t="shared" si="42"/>
        <v>0</v>
      </c>
      <c r="AI452" s="2">
        <f t="shared" si="43"/>
        <v>0</v>
      </c>
      <c r="AJ452" s="2"/>
      <c r="AK452" s="2"/>
      <c r="AL452" s="2">
        <f>IF(Table2[[#This Row],[GameIsOver]]=0,0,IF(Table2[[#This Row],[ActualWinner]]=Table2[[#This Row],[AwayTeam]], 1, 0))</f>
        <v>0</v>
      </c>
      <c r="AM452" s="2">
        <f>IF(Table2[[#This Row],[GameIsOver]]=0,0,IF(Table2[[#This Row],[ActualWinner]]=Table2[[#This Row],[HomeTeam]], 1, 0))</f>
        <v>0</v>
      </c>
      <c r="AN4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2" s="2" t="str">
        <f>INDEX(Sheet5!$B$2:$AG$33, MATCH(Table2[[#This Row],[AwayTeam]],Sheet5!$A$2:$A$33, 0), MATCH(Table2[[#This Row],[HomeTeam]],Sheet5!$A$2:$A$33, 0))</f>
        <v>0-0-0</v>
      </c>
      <c r="AP452" s="2" t="str">
        <f>INDEX(Sheet5!$B$2:$AG$33, MATCH(Table2[[#This Row],[HomeTeam]],Sheet5!$A$2:$A$33, 0), MATCH(Table2[[#This Row],[AwayTeam]],Sheet5!$A$2:$A$33, 0))</f>
        <v>0-0-0</v>
      </c>
      <c r="AQ452" s="2">
        <f>IF(Table2[[#This Row],[GameHasShutOut]], 1, 0)</f>
        <v>0</v>
      </c>
      <c r="AR452" s="2">
        <f>IF(Table2[[#This Row],[ActualAwayScore]] + Table2[[#This Row],[ActualHomeScore]] &gt;= 10, 1, 0)</f>
        <v>0</v>
      </c>
      <c r="AS452" s="2">
        <f>IF(ABS(Table2[[#This Row],[ActualAwayScore]]-Table2[[#This Row],[ActualHomeScore]])&gt;=5, 1, 0)</f>
        <v>0</v>
      </c>
      <c r="AT452" s="2">
        <f>IF(Table2[[#This Row],[ActualAwayScore]] + Table2[[#This Row],[ActualHomeScore]] &lt;= 3, 1, 0)</f>
        <v>1</v>
      </c>
      <c r="AU452" s="2"/>
      <c r="AV452" s="2"/>
    </row>
    <row r="453" spans="1:48" x14ac:dyDescent="0.25">
      <c r="A453" s="3"/>
      <c r="B453" s="3">
        <v>45998</v>
      </c>
      <c r="C453" s="5">
        <v>2025020451</v>
      </c>
      <c r="D453" s="2" t="s">
        <v>36</v>
      </c>
      <c r="E453" s="2" t="s">
        <v>24</v>
      </c>
      <c r="F453" s="2"/>
      <c r="G453" s="2"/>
      <c r="H453" s="2" t="str">
        <f t="shared" si="39"/>
        <v>_</v>
      </c>
      <c r="I453" s="2"/>
      <c r="J453" s="2"/>
      <c r="K453" s="2"/>
      <c r="L453" s="2" t="str">
        <f t="shared" si="40"/>
        <v>_</v>
      </c>
      <c r="M453" s="2"/>
      <c r="N453" s="2">
        <f>IF(ISBLANK(Table2[[#This Row],[ActualResult]]), 0, 1)</f>
        <v>0</v>
      </c>
      <c r="O453" s="2" t="str">
        <f>IF(ISBLANK(Table2[[#This Row],[ActualResult]]), "_", IF(Table2[[#This Row],[ActualWinner]]=Table2[[#This Row],[PredictedWinner]], "Y", "N"))</f>
        <v>_</v>
      </c>
      <c r="P4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3" s="2"/>
      <c r="S453" s="2" t="str">
        <f t="shared" si="41"/>
        <v>_</v>
      </c>
      <c r="T4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3" s="2">
        <f>IF(Table2[[#This Row],[InterConf]]=1,IF(Table2[[#This Row],[InterDiv]]=0, 1, 0), 0)</f>
        <v>1</v>
      </c>
      <c r="W4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3" s="2"/>
      <c r="Y453" s="2"/>
      <c r="Z453" s="145">
        <f>IF(AND(Table2[[#This Row],[GameIsOver]]=1,Table2[[#This Row],[ActualHomeScore]]*Table2[[#This Row],[ActualAwayScore]]=0), 1,0)</f>
        <v>0</v>
      </c>
      <c r="AA4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3" s="2">
        <f>Table2[[#This Row],[ActualAwayScore]]-Table2[[#This Row],[PredictedAwayScore]]</f>
        <v>0</v>
      </c>
      <c r="AG453" s="2">
        <f>Table2[[#This Row],[ActualHomeScore]]-Table2[[#This Row],[PredictedHomeScore]]</f>
        <v>0</v>
      </c>
      <c r="AH453" s="2">
        <f t="shared" si="42"/>
        <v>0</v>
      </c>
      <c r="AI453" s="2">
        <f t="shared" si="43"/>
        <v>0</v>
      </c>
      <c r="AJ453" s="2"/>
      <c r="AK453" s="2"/>
      <c r="AL453" s="2">
        <f>IF(Table2[[#This Row],[GameIsOver]]=0,0,IF(Table2[[#This Row],[ActualWinner]]=Table2[[#This Row],[AwayTeam]], 1, 0))</f>
        <v>0</v>
      </c>
      <c r="AM453" s="2">
        <f>IF(Table2[[#This Row],[GameIsOver]]=0,0,IF(Table2[[#This Row],[ActualWinner]]=Table2[[#This Row],[HomeTeam]], 1, 0))</f>
        <v>0</v>
      </c>
      <c r="AN4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3" s="2" t="str">
        <f>INDEX(Sheet5!$B$2:$AG$33, MATCH(Table2[[#This Row],[AwayTeam]],Sheet5!$A$2:$A$33, 0), MATCH(Table2[[#This Row],[HomeTeam]],Sheet5!$A$2:$A$33, 0))</f>
        <v>0-0-0</v>
      </c>
      <c r="AP453" s="2" t="str">
        <f>INDEX(Sheet5!$B$2:$AG$33, MATCH(Table2[[#This Row],[HomeTeam]],Sheet5!$A$2:$A$33, 0), MATCH(Table2[[#This Row],[AwayTeam]],Sheet5!$A$2:$A$33, 0))</f>
        <v>0-0-0</v>
      </c>
      <c r="AQ453" s="2">
        <f>IF(Table2[[#This Row],[GameHasShutOut]], 1, 0)</f>
        <v>0</v>
      </c>
      <c r="AR453" s="2">
        <f>IF(Table2[[#This Row],[ActualAwayScore]] + Table2[[#This Row],[ActualHomeScore]] &gt;= 10, 1, 0)</f>
        <v>0</v>
      </c>
      <c r="AS453" s="2">
        <f>IF(ABS(Table2[[#This Row],[ActualAwayScore]]-Table2[[#This Row],[ActualHomeScore]])&gt;=5, 1, 0)</f>
        <v>0</v>
      </c>
      <c r="AT453" s="2">
        <f>IF(Table2[[#This Row],[ActualAwayScore]] + Table2[[#This Row],[ActualHomeScore]] &lt;= 3, 1, 0)</f>
        <v>1</v>
      </c>
      <c r="AU453" s="2"/>
      <c r="AV453" s="2"/>
    </row>
    <row r="454" spans="1:48" x14ac:dyDescent="0.25">
      <c r="A454" s="3"/>
      <c r="B454" s="3">
        <v>45998</v>
      </c>
      <c r="C454" s="5">
        <v>2025020452</v>
      </c>
      <c r="D454" s="2" t="s">
        <v>30</v>
      </c>
      <c r="E454" s="2" t="s">
        <v>11</v>
      </c>
      <c r="F454" s="2"/>
      <c r="G454" s="2"/>
      <c r="H454" s="2" t="str">
        <f t="shared" si="39"/>
        <v>_</v>
      </c>
      <c r="I454" s="2"/>
      <c r="J454" s="2"/>
      <c r="K454" s="2"/>
      <c r="L454" s="2" t="str">
        <f t="shared" si="40"/>
        <v>_</v>
      </c>
      <c r="M454" s="2"/>
      <c r="N454" s="2">
        <f>IF(ISBLANK(Table2[[#This Row],[ActualResult]]), 0, 1)</f>
        <v>0</v>
      </c>
      <c r="O454" s="2" t="str">
        <f>IF(ISBLANK(Table2[[#This Row],[ActualResult]]), "_", IF(Table2[[#This Row],[ActualWinner]]=Table2[[#This Row],[PredictedWinner]], "Y", "N"))</f>
        <v>_</v>
      </c>
      <c r="P4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4" s="2"/>
      <c r="S454" s="2" t="str">
        <f t="shared" si="41"/>
        <v>_</v>
      </c>
      <c r="T4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4" s="2">
        <f>IF(Table2[[#This Row],[InterConf]]=1,IF(Table2[[#This Row],[InterDiv]]=0, 1, 0), 0)</f>
        <v>0</v>
      </c>
      <c r="W4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4" s="2"/>
      <c r="Y454" s="2"/>
      <c r="Z454" s="145">
        <f>IF(AND(Table2[[#This Row],[GameIsOver]]=1,Table2[[#This Row],[ActualHomeScore]]*Table2[[#This Row],[ActualAwayScore]]=0), 1,0)</f>
        <v>0</v>
      </c>
      <c r="AA4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4" s="2">
        <f>Table2[[#This Row],[ActualAwayScore]]-Table2[[#This Row],[PredictedAwayScore]]</f>
        <v>0</v>
      </c>
      <c r="AG454" s="2">
        <f>Table2[[#This Row],[ActualHomeScore]]-Table2[[#This Row],[PredictedHomeScore]]</f>
        <v>0</v>
      </c>
      <c r="AH454" s="2">
        <f t="shared" si="42"/>
        <v>0</v>
      </c>
      <c r="AI454" s="2">
        <f t="shared" si="43"/>
        <v>0</v>
      </c>
      <c r="AJ454" s="2"/>
      <c r="AK454" s="2"/>
      <c r="AL454" s="2">
        <f>IF(Table2[[#This Row],[GameIsOver]]=0,0,IF(Table2[[#This Row],[ActualWinner]]=Table2[[#This Row],[AwayTeam]], 1, 0))</f>
        <v>0</v>
      </c>
      <c r="AM454" s="2">
        <f>IF(Table2[[#This Row],[GameIsOver]]=0,0,IF(Table2[[#This Row],[ActualWinner]]=Table2[[#This Row],[HomeTeam]], 1, 0))</f>
        <v>0</v>
      </c>
      <c r="AN4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4" s="2" t="str">
        <f>INDEX(Sheet5!$B$2:$AG$33, MATCH(Table2[[#This Row],[AwayTeam]],Sheet5!$A$2:$A$33, 0), MATCH(Table2[[#This Row],[HomeTeam]],Sheet5!$A$2:$A$33, 0))</f>
        <v>0-0-0</v>
      </c>
      <c r="AP454" s="2" t="str">
        <f>INDEX(Sheet5!$B$2:$AG$33, MATCH(Table2[[#This Row],[HomeTeam]],Sheet5!$A$2:$A$33, 0), MATCH(Table2[[#This Row],[AwayTeam]],Sheet5!$A$2:$A$33, 0))</f>
        <v>0-0-0</v>
      </c>
      <c r="AQ454" s="2">
        <f>IF(Table2[[#This Row],[GameHasShutOut]], 1, 0)</f>
        <v>0</v>
      </c>
      <c r="AR454" s="2">
        <f>IF(Table2[[#This Row],[ActualAwayScore]] + Table2[[#This Row],[ActualHomeScore]] &gt;= 10, 1, 0)</f>
        <v>0</v>
      </c>
      <c r="AS454" s="2">
        <f>IF(ABS(Table2[[#This Row],[ActualAwayScore]]-Table2[[#This Row],[ActualHomeScore]])&gt;=5, 1, 0)</f>
        <v>0</v>
      </c>
      <c r="AT454" s="2">
        <f>IF(Table2[[#This Row],[ActualAwayScore]] + Table2[[#This Row],[ActualHomeScore]] &lt;= 3, 1, 0)</f>
        <v>1</v>
      </c>
      <c r="AU454" s="2"/>
      <c r="AV454" s="2"/>
    </row>
    <row r="455" spans="1:48" x14ac:dyDescent="0.25">
      <c r="A455" s="3"/>
      <c r="B455" s="3">
        <v>45998</v>
      </c>
      <c r="C455" s="5">
        <v>2025020453</v>
      </c>
      <c r="D455" s="2" t="s">
        <v>25</v>
      </c>
      <c r="E455" s="2" t="s">
        <v>42</v>
      </c>
      <c r="F455" s="2"/>
      <c r="G455" s="2"/>
      <c r="H455" s="2" t="str">
        <f t="shared" si="39"/>
        <v>_</v>
      </c>
      <c r="I455" s="2"/>
      <c r="J455" s="2"/>
      <c r="K455" s="2"/>
      <c r="L455" s="2" t="str">
        <f t="shared" si="40"/>
        <v>_</v>
      </c>
      <c r="M455" s="2"/>
      <c r="N455" s="2">
        <f>IF(ISBLANK(Table2[[#This Row],[ActualResult]]), 0, 1)</f>
        <v>0</v>
      </c>
      <c r="O455" s="2" t="str">
        <f>IF(ISBLANK(Table2[[#This Row],[ActualResult]]), "_", IF(Table2[[#This Row],[ActualWinner]]=Table2[[#This Row],[PredictedWinner]], "Y", "N"))</f>
        <v>_</v>
      </c>
      <c r="P4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5" s="2"/>
      <c r="S455" s="2" t="str">
        <f t="shared" si="41"/>
        <v>_</v>
      </c>
      <c r="T4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5" s="2">
        <f>IF(Table2[[#This Row],[InterConf]]=1,IF(Table2[[#This Row],[InterDiv]]=0, 1, 0), 0)</f>
        <v>0</v>
      </c>
      <c r="W4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5" s="2"/>
      <c r="Y455" s="2"/>
      <c r="Z455" s="145">
        <f>IF(AND(Table2[[#This Row],[GameIsOver]]=1,Table2[[#This Row],[ActualHomeScore]]*Table2[[#This Row],[ActualAwayScore]]=0), 1,0)</f>
        <v>0</v>
      </c>
      <c r="AA4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5" s="2">
        <f>Table2[[#This Row],[ActualAwayScore]]-Table2[[#This Row],[PredictedAwayScore]]</f>
        <v>0</v>
      </c>
      <c r="AG455" s="2">
        <f>Table2[[#This Row],[ActualHomeScore]]-Table2[[#This Row],[PredictedHomeScore]]</f>
        <v>0</v>
      </c>
      <c r="AH455" s="2">
        <f t="shared" si="42"/>
        <v>0</v>
      </c>
      <c r="AI455" s="2">
        <f t="shared" si="43"/>
        <v>0</v>
      </c>
      <c r="AJ455" s="2"/>
      <c r="AK455" s="2"/>
      <c r="AL455" s="2">
        <f>IF(Table2[[#This Row],[GameIsOver]]=0,0,IF(Table2[[#This Row],[ActualWinner]]=Table2[[#This Row],[AwayTeam]], 1, 0))</f>
        <v>0</v>
      </c>
      <c r="AM455" s="2">
        <f>IF(Table2[[#This Row],[GameIsOver]]=0,0,IF(Table2[[#This Row],[ActualWinner]]=Table2[[#This Row],[HomeTeam]], 1, 0))</f>
        <v>0</v>
      </c>
      <c r="AN4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5" s="2" t="str">
        <f>INDEX(Sheet5!$B$2:$AG$33, MATCH(Table2[[#This Row],[AwayTeam]],Sheet5!$A$2:$A$33, 0), MATCH(Table2[[#This Row],[HomeTeam]],Sheet5!$A$2:$A$33, 0))</f>
        <v>0-0-0</v>
      </c>
      <c r="AP455" s="2" t="str">
        <f>INDEX(Sheet5!$B$2:$AG$33, MATCH(Table2[[#This Row],[HomeTeam]],Sheet5!$A$2:$A$33, 0), MATCH(Table2[[#This Row],[AwayTeam]],Sheet5!$A$2:$A$33, 0))</f>
        <v>0-0-0</v>
      </c>
      <c r="AQ455" s="2">
        <f>IF(Table2[[#This Row],[GameHasShutOut]], 1, 0)</f>
        <v>0</v>
      </c>
      <c r="AR455" s="2">
        <f>IF(Table2[[#This Row],[ActualAwayScore]] + Table2[[#This Row],[ActualHomeScore]] &gt;= 10, 1, 0)</f>
        <v>0</v>
      </c>
      <c r="AS455" s="2">
        <f>IF(ABS(Table2[[#This Row],[ActualAwayScore]]-Table2[[#This Row],[ActualHomeScore]])&gt;=5, 1, 0)</f>
        <v>0</v>
      </c>
      <c r="AT455" s="2">
        <f>IF(Table2[[#This Row],[ActualAwayScore]] + Table2[[#This Row],[ActualHomeScore]] &lt;= 3, 1, 0)</f>
        <v>1</v>
      </c>
      <c r="AU455" s="2"/>
      <c r="AV455" s="2"/>
    </row>
    <row r="456" spans="1:48" x14ac:dyDescent="0.25">
      <c r="A456" s="3"/>
      <c r="B456" s="3">
        <v>45998</v>
      </c>
      <c r="C456" s="5">
        <v>2025020454</v>
      </c>
      <c r="D456" s="2" t="s">
        <v>32</v>
      </c>
      <c r="E456" s="2" t="s">
        <v>13</v>
      </c>
      <c r="F456" s="2"/>
      <c r="G456" s="2"/>
      <c r="H456" s="2" t="str">
        <f t="shared" si="39"/>
        <v>_</v>
      </c>
      <c r="I456" s="2"/>
      <c r="J456" s="2"/>
      <c r="K456" s="2"/>
      <c r="L456" s="2" t="str">
        <f t="shared" si="40"/>
        <v>_</v>
      </c>
      <c r="M456" s="2"/>
      <c r="N456" s="2">
        <f>IF(ISBLANK(Table2[[#This Row],[ActualResult]]), 0, 1)</f>
        <v>0</v>
      </c>
      <c r="O456" s="2" t="str">
        <f>IF(ISBLANK(Table2[[#This Row],[ActualResult]]), "_", IF(Table2[[#This Row],[ActualWinner]]=Table2[[#This Row],[PredictedWinner]], "Y", "N"))</f>
        <v>_</v>
      </c>
      <c r="P4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6" s="2"/>
      <c r="S456" s="2" t="str">
        <f t="shared" si="41"/>
        <v>_</v>
      </c>
      <c r="T4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6" s="2">
        <f>IF(Table2[[#This Row],[InterConf]]=1,IF(Table2[[#This Row],[InterDiv]]=0, 1, 0), 0)</f>
        <v>1</v>
      </c>
      <c r="W4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6" s="2"/>
      <c r="Y456" s="2"/>
      <c r="Z456" s="145">
        <f>IF(AND(Table2[[#This Row],[GameIsOver]]=1,Table2[[#This Row],[ActualHomeScore]]*Table2[[#This Row],[ActualAwayScore]]=0), 1,0)</f>
        <v>0</v>
      </c>
      <c r="AA4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6" s="2">
        <f>Table2[[#This Row],[ActualAwayScore]]-Table2[[#This Row],[PredictedAwayScore]]</f>
        <v>0</v>
      </c>
      <c r="AG456" s="2">
        <f>Table2[[#This Row],[ActualHomeScore]]-Table2[[#This Row],[PredictedHomeScore]]</f>
        <v>0</v>
      </c>
      <c r="AH456" s="2">
        <f t="shared" si="42"/>
        <v>0</v>
      </c>
      <c r="AI456" s="2">
        <f t="shared" si="43"/>
        <v>0</v>
      </c>
      <c r="AJ456" s="2"/>
      <c r="AK456" s="2"/>
      <c r="AL456" s="2">
        <f>IF(Table2[[#This Row],[GameIsOver]]=0,0,IF(Table2[[#This Row],[ActualWinner]]=Table2[[#This Row],[AwayTeam]], 1, 0))</f>
        <v>0</v>
      </c>
      <c r="AM456" s="2">
        <f>IF(Table2[[#This Row],[GameIsOver]]=0,0,IF(Table2[[#This Row],[ActualWinner]]=Table2[[#This Row],[HomeTeam]], 1, 0))</f>
        <v>0</v>
      </c>
      <c r="AN4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6" s="2" t="str">
        <f>INDEX(Sheet5!$B$2:$AG$33, MATCH(Table2[[#This Row],[AwayTeam]],Sheet5!$A$2:$A$33, 0), MATCH(Table2[[#This Row],[HomeTeam]],Sheet5!$A$2:$A$33, 0))</f>
        <v>0-0-0</v>
      </c>
      <c r="AP456" s="2" t="str">
        <f>INDEX(Sheet5!$B$2:$AG$33, MATCH(Table2[[#This Row],[HomeTeam]],Sheet5!$A$2:$A$33, 0), MATCH(Table2[[#This Row],[AwayTeam]],Sheet5!$A$2:$A$33, 0))</f>
        <v>0-0-0</v>
      </c>
      <c r="AQ456" s="2">
        <f>IF(Table2[[#This Row],[GameHasShutOut]], 1, 0)</f>
        <v>0</v>
      </c>
      <c r="AR456" s="2">
        <f>IF(Table2[[#This Row],[ActualAwayScore]] + Table2[[#This Row],[ActualHomeScore]] &gt;= 10, 1, 0)</f>
        <v>0</v>
      </c>
      <c r="AS456" s="2">
        <f>IF(ABS(Table2[[#This Row],[ActualAwayScore]]-Table2[[#This Row],[ActualHomeScore]])&gt;=5, 1, 0)</f>
        <v>0</v>
      </c>
      <c r="AT456" s="2">
        <f>IF(Table2[[#This Row],[ActualAwayScore]] + Table2[[#This Row],[ActualHomeScore]] &lt;= 3, 1, 0)</f>
        <v>1</v>
      </c>
      <c r="AU456" s="2"/>
      <c r="AV456" s="2"/>
    </row>
    <row r="457" spans="1:48" x14ac:dyDescent="0.25">
      <c r="A457" s="3"/>
      <c r="B457" s="3">
        <v>45998</v>
      </c>
      <c r="C457" s="5">
        <v>2025020455</v>
      </c>
      <c r="D457" s="2" t="s">
        <v>37</v>
      </c>
      <c r="E457" s="2" t="s">
        <v>41</v>
      </c>
      <c r="F457" s="2"/>
      <c r="G457" s="2"/>
      <c r="H457" s="2" t="str">
        <f t="shared" si="39"/>
        <v>_</v>
      </c>
      <c r="I457" s="2"/>
      <c r="J457" s="2"/>
      <c r="K457" s="2"/>
      <c r="L457" s="2" t="str">
        <f t="shared" si="40"/>
        <v>_</v>
      </c>
      <c r="M457" s="2"/>
      <c r="N457" s="2">
        <f>IF(ISBLANK(Table2[[#This Row],[ActualResult]]), 0, 1)</f>
        <v>0</v>
      </c>
      <c r="O457" s="2" t="str">
        <f>IF(ISBLANK(Table2[[#This Row],[ActualResult]]), "_", IF(Table2[[#This Row],[ActualWinner]]=Table2[[#This Row],[PredictedWinner]], "Y", "N"))</f>
        <v>_</v>
      </c>
      <c r="P4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7" s="2"/>
      <c r="S457" s="2" t="str">
        <f t="shared" si="41"/>
        <v>_</v>
      </c>
      <c r="T4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7" s="2">
        <f>IF(Table2[[#This Row],[InterConf]]=1,IF(Table2[[#This Row],[InterDiv]]=0, 1, 0), 0)</f>
        <v>0</v>
      </c>
      <c r="W4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7" s="2"/>
      <c r="Y457" s="2"/>
      <c r="Z457" s="145">
        <f>IF(AND(Table2[[#This Row],[GameIsOver]]=1,Table2[[#This Row],[ActualHomeScore]]*Table2[[#This Row],[ActualAwayScore]]=0), 1,0)</f>
        <v>0</v>
      </c>
      <c r="AA4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7" s="2">
        <f>Table2[[#This Row],[ActualAwayScore]]-Table2[[#This Row],[PredictedAwayScore]]</f>
        <v>0</v>
      </c>
      <c r="AG457" s="2">
        <f>Table2[[#This Row],[ActualHomeScore]]-Table2[[#This Row],[PredictedHomeScore]]</f>
        <v>0</v>
      </c>
      <c r="AH457" s="2">
        <f t="shared" si="42"/>
        <v>0</v>
      </c>
      <c r="AI457" s="2">
        <f t="shared" si="43"/>
        <v>0</v>
      </c>
      <c r="AJ457" s="2"/>
      <c r="AK457" s="2"/>
      <c r="AL457" s="2">
        <f>IF(Table2[[#This Row],[GameIsOver]]=0,0,IF(Table2[[#This Row],[ActualWinner]]=Table2[[#This Row],[AwayTeam]], 1, 0))</f>
        <v>0</v>
      </c>
      <c r="AM457" s="2">
        <f>IF(Table2[[#This Row],[GameIsOver]]=0,0,IF(Table2[[#This Row],[ActualWinner]]=Table2[[#This Row],[HomeTeam]], 1, 0))</f>
        <v>0</v>
      </c>
      <c r="AN4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7" s="2" t="str">
        <f>INDEX(Sheet5!$B$2:$AG$33, MATCH(Table2[[#This Row],[AwayTeam]],Sheet5!$A$2:$A$33, 0), MATCH(Table2[[#This Row],[HomeTeam]],Sheet5!$A$2:$A$33, 0))</f>
        <v>0-1-0</v>
      </c>
      <c r="AP457" s="2" t="str">
        <f>INDEX(Sheet5!$B$2:$AG$33, MATCH(Table2[[#This Row],[HomeTeam]],Sheet5!$A$2:$A$33, 0), MATCH(Table2[[#This Row],[AwayTeam]],Sheet5!$A$2:$A$33, 0))</f>
        <v>1-0-0</v>
      </c>
      <c r="AQ457" s="2">
        <f>IF(Table2[[#This Row],[GameHasShutOut]], 1, 0)</f>
        <v>0</v>
      </c>
      <c r="AR457" s="2">
        <f>IF(Table2[[#This Row],[ActualAwayScore]] + Table2[[#This Row],[ActualHomeScore]] &gt;= 10, 1, 0)</f>
        <v>0</v>
      </c>
      <c r="AS457" s="2">
        <f>IF(ABS(Table2[[#This Row],[ActualAwayScore]]-Table2[[#This Row],[ActualHomeScore]])&gt;=5, 1, 0)</f>
        <v>0</v>
      </c>
      <c r="AT457" s="2">
        <f>IF(Table2[[#This Row],[ActualAwayScore]] + Table2[[#This Row],[ActualHomeScore]] &lt;= 3, 1, 0)</f>
        <v>1</v>
      </c>
      <c r="AU457" s="2"/>
      <c r="AV457" s="2"/>
    </row>
    <row r="458" spans="1:48" x14ac:dyDescent="0.25">
      <c r="A458" s="3"/>
      <c r="B458" s="3">
        <v>45998</v>
      </c>
      <c r="C458" s="5">
        <v>2025020456</v>
      </c>
      <c r="D458" s="2" t="s">
        <v>20</v>
      </c>
      <c r="E458" s="2" t="s">
        <v>33</v>
      </c>
      <c r="F458" s="2"/>
      <c r="G458" s="2"/>
      <c r="H458" s="2" t="str">
        <f t="shared" si="39"/>
        <v>_</v>
      </c>
      <c r="I458" s="2"/>
      <c r="J458" s="2"/>
      <c r="K458" s="2"/>
      <c r="L458" s="2" t="str">
        <f t="shared" si="40"/>
        <v>_</v>
      </c>
      <c r="M458" s="2"/>
      <c r="N458" s="2">
        <f>IF(ISBLANK(Table2[[#This Row],[ActualResult]]), 0, 1)</f>
        <v>0</v>
      </c>
      <c r="O458" s="2" t="str">
        <f>IF(ISBLANK(Table2[[#This Row],[ActualResult]]), "_", IF(Table2[[#This Row],[ActualWinner]]=Table2[[#This Row],[PredictedWinner]], "Y", "N"))</f>
        <v>_</v>
      </c>
      <c r="P4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8" s="2"/>
      <c r="S458" s="2" t="str">
        <f t="shared" si="41"/>
        <v>_</v>
      </c>
      <c r="T4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8" s="2">
        <f>IF(Table2[[#This Row],[InterConf]]=1,IF(Table2[[#This Row],[InterDiv]]=0, 1, 0), 0)</f>
        <v>0</v>
      </c>
      <c r="W4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8" s="2"/>
      <c r="Y458" s="2"/>
      <c r="Z458" s="145">
        <f>IF(AND(Table2[[#This Row],[GameIsOver]]=1,Table2[[#This Row],[ActualHomeScore]]*Table2[[#This Row],[ActualAwayScore]]=0), 1,0)</f>
        <v>0</v>
      </c>
      <c r="AA4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8" s="2">
        <f>Table2[[#This Row],[ActualAwayScore]]-Table2[[#This Row],[PredictedAwayScore]]</f>
        <v>0</v>
      </c>
      <c r="AG458" s="2">
        <f>Table2[[#This Row],[ActualHomeScore]]-Table2[[#This Row],[PredictedHomeScore]]</f>
        <v>0</v>
      </c>
      <c r="AH458" s="2">
        <f t="shared" si="42"/>
        <v>0</v>
      </c>
      <c r="AI458" s="2">
        <f t="shared" si="43"/>
        <v>0</v>
      </c>
      <c r="AJ458" s="2"/>
      <c r="AK458" s="2"/>
      <c r="AL458" s="2">
        <f>IF(Table2[[#This Row],[GameIsOver]]=0,0,IF(Table2[[#This Row],[ActualWinner]]=Table2[[#This Row],[AwayTeam]], 1, 0))</f>
        <v>0</v>
      </c>
      <c r="AM458" s="2">
        <f>IF(Table2[[#This Row],[GameIsOver]]=0,0,IF(Table2[[#This Row],[ActualWinner]]=Table2[[#This Row],[HomeTeam]], 1, 0))</f>
        <v>0</v>
      </c>
      <c r="AN4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8" s="2" t="str">
        <f>INDEX(Sheet5!$B$2:$AG$33, MATCH(Table2[[#This Row],[AwayTeam]],Sheet5!$A$2:$A$33, 0), MATCH(Table2[[#This Row],[HomeTeam]],Sheet5!$A$2:$A$33, 0))</f>
        <v>0-0-0</v>
      </c>
      <c r="AP458" s="2" t="str">
        <f>INDEX(Sheet5!$B$2:$AG$33, MATCH(Table2[[#This Row],[HomeTeam]],Sheet5!$A$2:$A$33, 0), MATCH(Table2[[#This Row],[AwayTeam]],Sheet5!$A$2:$A$33, 0))</f>
        <v>0-0-0</v>
      </c>
      <c r="AQ458" s="2">
        <f>IF(Table2[[#This Row],[GameHasShutOut]], 1, 0)</f>
        <v>0</v>
      </c>
      <c r="AR458" s="2">
        <f>IF(Table2[[#This Row],[ActualAwayScore]] + Table2[[#This Row],[ActualHomeScore]] &gt;= 10, 1, 0)</f>
        <v>0</v>
      </c>
      <c r="AS458" s="2">
        <f>IF(ABS(Table2[[#This Row],[ActualAwayScore]]-Table2[[#This Row],[ActualHomeScore]])&gt;=5, 1, 0)</f>
        <v>0</v>
      </c>
      <c r="AT458" s="2">
        <f>IF(Table2[[#This Row],[ActualAwayScore]] + Table2[[#This Row],[ActualHomeScore]] &lt;= 3, 1, 0)</f>
        <v>1</v>
      </c>
      <c r="AU458" s="2"/>
      <c r="AV458" s="2"/>
    </row>
    <row r="459" spans="1:48" x14ac:dyDescent="0.25">
      <c r="A459" s="3"/>
      <c r="B459" s="3">
        <v>45999</v>
      </c>
      <c r="C459" s="5">
        <v>2025020457</v>
      </c>
      <c r="D459" s="2" t="s">
        <v>12</v>
      </c>
      <c r="E459" s="2" t="s">
        <v>18</v>
      </c>
      <c r="F459" s="2"/>
      <c r="G459" s="2"/>
      <c r="H459" s="2" t="str">
        <f t="shared" si="39"/>
        <v>_</v>
      </c>
      <c r="I459" s="2"/>
      <c r="J459" s="2"/>
      <c r="K459" s="2"/>
      <c r="L459" s="2" t="str">
        <f t="shared" si="40"/>
        <v>_</v>
      </c>
      <c r="M459" s="2"/>
      <c r="N459" s="2">
        <f>IF(ISBLANK(Table2[[#This Row],[ActualResult]]), 0, 1)</f>
        <v>0</v>
      </c>
      <c r="O459" s="2" t="str">
        <f>IF(ISBLANK(Table2[[#This Row],[ActualResult]]), "_", IF(Table2[[#This Row],[ActualWinner]]=Table2[[#This Row],[PredictedWinner]], "Y", "N"))</f>
        <v>_</v>
      </c>
      <c r="P4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9" s="2"/>
      <c r="S459" s="2" t="str">
        <f t="shared" si="41"/>
        <v>_</v>
      </c>
      <c r="T4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9" s="2">
        <f>IF(Table2[[#This Row],[InterConf]]=1,IF(Table2[[#This Row],[InterDiv]]=0, 1, 0), 0)</f>
        <v>0</v>
      </c>
      <c r="W4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9" s="2"/>
      <c r="Y459" s="2"/>
      <c r="Z459" s="145">
        <f>IF(AND(Table2[[#This Row],[GameIsOver]]=1,Table2[[#This Row],[ActualHomeScore]]*Table2[[#This Row],[ActualAwayScore]]=0), 1,0)</f>
        <v>0</v>
      </c>
      <c r="AA4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59" s="2">
        <f>Table2[[#This Row],[ActualAwayScore]]-Table2[[#This Row],[PredictedAwayScore]]</f>
        <v>0</v>
      </c>
      <c r="AG459" s="2">
        <f>Table2[[#This Row],[ActualHomeScore]]-Table2[[#This Row],[PredictedHomeScore]]</f>
        <v>0</v>
      </c>
      <c r="AH459" s="2">
        <f t="shared" si="42"/>
        <v>0</v>
      </c>
      <c r="AI459" s="2">
        <f t="shared" si="43"/>
        <v>0</v>
      </c>
      <c r="AJ459" s="2"/>
      <c r="AK459" s="2"/>
      <c r="AL459" s="2">
        <f>IF(Table2[[#This Row],[GameIsOver]]=0,0,IF(Table2[[#This Row],[ActualWinner]]=Table2[[#This Row],[AwayTeam]], 1, 0))</f>
        <v>0</v>
      </c>
      <c r="AM459" s="2">
        <f>IF(Table2[[#This Row],[GameIsOver]]=0,0,IF(Table2[[#This Row],[ActualWinner]]=Table2[[#This Row],[HomeTeam]], 1, 0))</f>
        <v>0</v>
      </c>
      <c r="AN4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9" s="2" t="str">
        <f>INDEX(Sheet5!$B$2:$AG$33, MATCH(Table2[[#This Row],[AwayTeam]],Sheet5!$A$2:$A$33, 0), MATCH(Table2[[#This Row],[HomeTeam]],Sheet5!$A$2:$A$33, 0))</f>
        <v>0-0-0</v>
      </c>
      <c r="AP459" s="2" t="str">
        <f>INDEX(Sheet5!$B$2:$AG$33, MATCH(Table2[[#This Row],[HomeTeam]],Sheet5!$A$2:$A$33, 0), MATCH(Table2[[#This Row],[AwayTeam]],Sheet5!$A$2:$A$33, 0))</f>
        <v>0-0-0</v>
      </c>
      <c r="AQ459" s="2">
        <f>IF(Table2[[#This Row],[GameHasShutOut]], 1, 0)</f>
        <v>0</v>
      </c>
      <c r="AR459" s="2">
        <f>IF(Table2[[#This Row],[ActualAwayScore]] + Table2[[#This Row],[ActualHomeScore]] &gt;= 10, 1, 0)</f>
        <v>0</v>
      </c>
      <c r="AS459" s="2">
        <f>IF(ABS(Table2[[#This Row],[ActualAwayScore]]-Table2[[#This Row],[ActualHomeScore]])&gt;=5, 1, 0)</f>
        <v>0</v>
      </c>
      <c r="AT459" s="2">
        <f>IF(Table2[[#This Row],[ActualAwayScore]] + Table2[[#This Row],[ActualHomeScore]] &lt;= 3, 1, 0)</f>
        <v>1</v>
      </c>
      <c r="AU459" s="2"/>
      <c r="AV459" s="2"/>
    </row>
    <row r="460" spans="1:48" x14ac:dyDescent="0.25">
      <c r="A460" s="3"/>
      <c r="B460" s="3">
        <v>45999</v>
      </c>
      <c r="C460" s="5">
        <v>2025020458</v>
      </c>
      <c r="D460" s="2" t="s">
        <v>26</v>
      </c>
      <c r="E460" s="2" t="s">
        <v>19</v>
      </c>
      <c r="F460" s="2"/>
      <c r="G460" s="2"/>
      <c r="H460" s="2" t="str">
        <f t="shared" si="39"/>
        <v>_</v>
      </c>
      <c r="I460" s="2"/>
      <c r="J460" s="2"/>
      <c r="K460" s="2"/>
      <c r="L460" s="2" t="str">
        <f t="shared" si="40"/>
        <v>_</v>
      </c>
      <c r="M460" s="2"/>
      <c r="N460" s="2">
        <f>IF(ISBLANK(Table2[[#This Row],[ActualResult]]), 0, 1)</f>
        <v>0</v>
      </c>
      <c r="O460" s="2" t="str">
        <f>IF(ISBLANK(Table2[[#This Row],[ActualResult]]), "_", IF(Table2[[#This Row],[ActualWinner]]=Table2[[#This Row],[PredictedWinner]], "Y", "N"))</f>
        <v>_</v>
      </c>
      <c r="P4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0" s="2"/>
      <c r="S460" s="2" t="str">
        <f t="shared" si="41"/>
        <v>_</v>
      </c>
      <c r="T4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0" s="2">
        <f>IF(Table2[[#This Row],[InterConf]]=1,IF(Table2[[#This Row],[InterDiv]]=0, 1, 0), 0)</f>
        <v>0</v>
      </c>
      <c r="W4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60" s="2"/>
      <c r="Y460" s="2"/>
      <c r="Z460" s="145">
        <f>IF(AND(Table2[[#This Row],[GameIsOver]]=1,Table2[[#This Row],[ActualHomeScore]]*Table2[[#This Row],[ActualAwayScore]]=0), 1,0)</f>
        <v>0</v>
      </c>
      <c r="AA4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0" s="2">
        <f>Table2[[#This Row],[ActualAwayScore]]-Table2[[#This Row],[PredictedAwayScore]]</f>
        <v>0</v>
      </c>
      <c r="AG460" s="2">
        <f>Table2[[#This Row],[ActualHomeScore]]-Table2[[#This Row],[PredictedHomeScore]]</f>
        <v>0</v>
      </c>
      <c r="AH460" s="2">
        <f t="shared" si="42"/>
        <v>0</v>
      </c>
      <c r="AI460" s="2">
        <f t="shared" si="43"/>
        <v>0</v>
      </c>
      <c r="AJ460" s="2"/>
      <c r="AK460" s="2"/>
      <c r="AL460" s="2">
        <f>IF(Table2[[#This Row],[GameIsOver]]=0,0,IF(Table2[[#This Row],[ActualWinner]]=Table2[[#This Row],[AwayTeam]], 1, 0))</f>
        <v>0</v>
      </c>
      <c r="AM460" s="2">
        <f>IF(Table2[[#This Row],[GameIsOver]]=0,0,IF(Table2[[#This Row],[ActualWinner]]=Table2[[#This Row],[HomeTeam]], 1, 0))</f>
        <v>0</v>
      </c>
      <c r="AN4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0" s="2" t="str">
        <f>INDEX(Sheet5!$B$2:$AG$33, MATCH(Table2[[#This Row],[AwayTeam]],Sheet5!$A$2:$A$33, 0), MATCH(Table2[[#This Row],[HomeTeam]],Sheet5!$A$2:$A$33, 0))</f>
        <v>0-0-0</v>
      </c>
      <c r="AP460" s="2" t="str">
        <f>INDEX(Sheet5!$B$2:$AG$33, MATCH(Table2[[#This Row],[HomeTeam]],Sheet5!$A$2:$A$33, 0), MATCH(Table2[[#This Row],[AwayTeam]],Sheet5!$A$2:$A$33, 0))</f>
        <v>0-0-0</v>
      </c>
      <c r="AQ460" s="2">
        <f>IF(Table2[[#This Row],[GameHasShutOut]], 1, 0)</f>
        <v>0</v>
      </c>
      <c r="AR460" s="2">
        <f>IF(Table2[[#This Row],[ActualAwayScore]] + Table2[[#This Row],[ActualHomeScore]] &gt;= 10, 1, 0)</f>
        <v>0</v>
      </c>
      <c r="AS460" s="2">
        <f>IF(ABS(Table2[[#This Row],[ActualAwayScore]]-Table2[[#This Row],[ActualHomeScore]])&gt;=5, 1, 0)</f>
        <v>0</v>
      </c>
      <c r="AT460" s="2">
        <f>IF(Table2[[#This Row],[ActualAwayScore]] + Table2[[#This Row],[ActualHomeScore]] &lt;= 3, 1, 0)</f>
        <v>1</v>
      </c>
      <c r="AU460" s="2"/>
      <c r="AV460" s="2"/>
    </row>
    <row r="461" spans="1:48" x14ac:dyDescent="0.25">
      <c r="A461" s="3"/>
      <c r="B461" s="3">
        <v>45999</v>
      </c>
      <c r="C461" s="5">
        <v>2025020459</v>
      </c>
      <c r="D461" s="2" t="s">
        <v>35</v>
      </c>
      <c r="E461" s="2" t="s">
        <v>43</v>
      </c>
      <c r="F461" s="2"/>
      <c r="G461" s="2"/>
      <c r="H461" s="2" t="str">
        <f t="shared" si="39"/>
        <v>_</v>
      </c>
      <c r="I461" s="2"/>
      <c r="J461" s="2"/>
      <c r="K461" s="2"/>
      <c r="L461" s="2" t="str">
        <f t="shared" si="40"/>
        <v>_</v>
      </c>
      <c r="M461" s="2"/>
      <c r="N461" s="2">
        <f>IF(ISBLANK(Table2[[#This Row],[ActualResult]]), 0, 1)</f>
        <v>0</v>
      </c>
      <c r="O461" s="2" t="str">
        <f>IF(ISBLANK(Table2[[#This Row],[ActualResult]]), "_", IF(Table2[[#This Row],[ActualWinner]]=Table2[[#This Row],[PredictedWinner]], "Y", "N"))</f>
        <v>_</v>
      </c>
      <c r="P4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1" s="2"/>
      <c r="S461" s="2" t="str">
        <f t="shared" si="41"/>
        <v>_</v>
      </c>
      <c r="T4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61" s="2">
        <f>IF(Table2[[#This Row],[InterConf]]=1,IF(Table2[[#This Row],[InterDiv]]=0, 1, 0), 0)</f>
        <v>0</v>
      </c>
      <c r="W4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1" s="2"/>
      <c r="Y461" s="2"/>
      <c r="Z461" s="145">
        <f>IF(AND(Table2[[#This Row],[GameIsOver]]=1,Table2[[#This Row],[ActualHomeScore]]*Table2[[#This Row],[ActualAwayScore]]=0), 1,0)</f>
        <v>0</v>
      </c>
      <c r="AA4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1" s="2">
        <f>Table2[[#This Row],[ActualAwayScore]]-Table2[[#This Row],[PredictedAwayScore]]</f>
        <v>0</v>
      </c>
      <c r="AG461" s="2">
        <f>Table2[[#This Row],[ActualHomeScore]]-Table2[[#This Row],[PredictedHomeScore]]</f>
        <v>0</v>
      </c>
      <c r="AH461" s="2">
        <f t="shared" si="42"/>
        <v>0</v>
      </c>
      <c r="AI461" s="2">
        <f t="shared" si="43"/>
        <v>0</v>
      </c>
      <c r="AJ461" s="2"/>
      <c r="AK461" s="2"/>
      <c r="AL461" s="2">
        <f>IF(Table2[[#This Row],[GameIsOver]]=0,0,IF(Table2[[#This Row],[ActualWinner]]=Table2[[#This Row],[AwayTeam]], 1, 0))</f>
        <v>0</v>
      </c>
      <c r="AM461" s="2">
        <f>IF(Table2[[#This Row],[GameIsOver]]=0,0,IF(Table2[[#This Row],[ActualWinner]]=Table2[[#This Row],[HomeTeam]], 1, 0))</f>
        <v>0</v>
      </c>
      <c r="AN4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1" s="2" t="str">
        <f>INDEX(Sheet5!$B$2:$AG$33, MATCH(Table2[[#This Row],[AwayTeam]],Sheet5!$A$2:$A$33, 0), MATCH(Table2[[#This Row],[HomeTeam]],Sheet5!$A$2:$A$33, 0))</f>
        <v>0-0-0</v>
      </c>
      <c r="AP461" s="2" t="str">
        <f>INDEX(Sheet5!$B$2:$AG$33, MATCH(Table2[[#This Row],[HomeTeam]],Sheet5!$A$2:$A$33, 0), MATCH(Table2[[#This Row],[AwayTeam]],Sheet5!$A$2:$A$33, 0))</f>
        <v>0-0-0</v>
      </c>
      <c r="AQ461" s="2">
        <f>IF(Table2[[#This Row],[GameHasShutOut]], 1, 0)</f>
        <v>0</v>
      </c>
      <c r="AR461" s="2">
        <f>IF(Table2[[#This Row],[ActualAwayScore]] + Table2[[#This Row],[ActualHomeScore]] &gt;= 10, 1, 0)</f>
        <v>0</v>
      </c>
      <c r="AS461" s="2">
        <f>IF(ABS(Table2[[#This Row],[ActualAwayScore]]-Table2[[#This Row],[ActualHomeScore]])&gt;=5, 1, 0)</f>
        <v>0</v>
      </c>
      <c r="AT461" s="2">
        <f>IF(Table2[[#This Row],[ActualAwayScore]] + Table2[[#This Row],[ActualHomeScore]] &lt;= 3, 1, 0)</f>
        <v>1</v>
      </c>
      <c r="AU461" s="2"/>
      <c r="AV461" s="2"/>
    </row>
    <row r="462" spans="1:48" x14ac:dyDescent="0.25">
      <c r="A462" s="3"/>
      <c r="B462" s="3">
        <v>45999</v>
      </c>
      <c r="C462" s="5">
        <v>2025020460</v>
      </c>
      <c r="D462" s="2" t="s">
        <v>16</v>
      </c>
      <c r="E462" s="2" t="s">
        <v>44</v>
      </c>
      <c r="F462" s="2"/>
      <c r="G462" s="2"/>
      <c r="H462" s="2" t="str">
        <f t="shared" si="39"/>
        <v>_</v>
      </c>
      <c r="I462" s="2"/>
      <c r="J462" s="2"/>
      <c r="K462" s="2"/>
      <c r="L462" s="2" t="str">
        <f t="shared" si="40"/>
        <v>_</v>
      </c>
      <c r="M462" s="2"/>
      <c r="N462" s="2">
        <f>IF(ISBLANK(Table2[[#This Row],[ActualResult]]), 0, 1)</f>
        <v>0</v>
      </c>
      <c r="O462" s="2" t="str">
        <f>IF(ISBLANK(Table2[[#This Row],[ActualResult]]), "_", IF(Table2[[#This Row],[ActualWinner]]=Table2[[#This Row],[PredictedWinner]], "Y", "N"))</f>
        <v>_</v>
      </c>
      <c r="P4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2" s="2"/>
      <c r="S462" s="2" t="str">
        <f t="shared" si="41"/>
        <v>_</v>
      </c>
      <c r="T4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2" s="2">
        <f>IF(Table2[[#This Row],[InterConf]]=1,IF(Table2[[#This Row],[InterDiv]]=0, 1, 0), 0)</f>
        <v>1</v>
      </c>
      <c r="W4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2" s="2"/>
      <c r="Y462" s="2"/>
      <c r="Z462" s="145">
        <f>IF(AND(Table2[[#This Row],[GameIsOver]]=1,Table2[[#This Row],[ActualHomeScore]]*Table2[[#This Row],[ActualAwayScore]]=0), 1,0)</f>
        <v>0</v>
      </c>
      <c r="AA4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2" s="2">
        <f>Table2[[#This Row],[ActualAwayScore]]-Table2[[#This Row],[PredictedAwayScore]]</f>
        <v>0</v>
      </c>
      <c r="AG462" s="2">
        <f>Table2[[#This Row],[ActualHomeScore]]-Table2[[#This Row],[PredictedHomeScore]]</f>
        <v>0</v>
      </c>
      <c r="AH462" s="2">
        <f t="shared" si="42"/>
        <v>0</v>
      </c>
      <c r="AI462" s="2">
        <f t="shared" si="43"/>
        <v>0</v>
      </c>
      <c r="AJ462" s="2"/>
      <c r="AK462" s="2"/>
      <c r="AL462" s="2">
        <f>IF(Table2[[#This Row],[GameIsOver]]=0,0,IF(Table2[[#This Row],[ActualWinner]]=Table2[[#This Row],[AwayTeam]], 1, 0))</f>
        <v>0</v>
      </c>
      <c r="AM462" s="2">
        <f>IF(Table2[[#This Row],[GameIsOver]]=0,0,IF(Table2[[#This Row],[ActualWinner]]=Table2[[#This Row],[HomeTeam]], 1, 0))</f>
        <v>0</v>
      </c>
      <c r="AN4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2" s="2" t="str">
        <f>INDEX(Sheet5!$B$2:$AG$33, MATCH(Table2[[#This Row],[AwayTeam]],Sheet5!$A$2:$A$33, 0), MATCH(Table2[[#This Row],[HomeTeam]],Sheet5!$A$2:$A$33, 0))</f>
        <v>1-0-0</v>
      </c>
      <c r="AP462" s="2" t="str">
        <f>INDEX(Sheet5!$B$2:$AG$33, MATCH(Table2[[#This Row],[HomeTeam]],Sheet5!$A$2:$A$33, 0), MATCH(Table2[[#This Row],[AwayTeam]],Sheet5!$A$2:$A$33, 0))</f>
        <v>0-0-1</v>
      </c>
      <c r="AQ462" s="2">
        <f>IF(Table2[[#This Row],[GameHasShutOut]], 1, 0)</f>
        <v>0</v>
      </c>
      <c r="AR462" s="2">
        <f>IF(Table2[[#This Row],[ActualAwayScore]] + Table2[[#This Row],[ActualHomeScore]] &gt;= 10, 1, 0)</f>
        <v>0</v>
      </c>
      <c r="AS462" s="2">
        <f>IF(ABS(Table2[[#This Row],[ActualAwayScore]]-Table2[[#This Row],[ActualHomeScore]])&gt;=5, 1, 0)</f>
        <v>0</v>
      </c>
      <c r="AT462" s="2">
        <f>IF(Table2[[#This Row],[ActualAwayScore]] + Table2[[#This Row],[ActualHomeScore]] &lt;= 3, 1, 0)</f>
        <v>1</v>
      </c>
      <c r="AU462" s="2"/>
      <c r="AV462" s="2"/>
    </row>
    <row r="463" spans="1:48" x14ac:dyDescent="0.25">
      <c r="A463" s="3"/>
      <c r="B463" s="3">
        <v>46000</v>
      </c>
      <c r="C463" s="5">
        <v>2025020461</v>
      </c>
      <c r="D463" s="2" t="s">
        <v>40</v>
      </c>
      <c r="E463" s="2" t="s">
        <v>17</v>
      </c>
      <c r="F463" s="2"/>
      <c r="G463" s="2"/>
      <c r="H463" s="2" t="str">
        <f t="shared" si="39"/>
        <v>_</v>
      </c>
      <c r="I463" s="2"/>
      <c r="J463" s="2"/>
      <c r="K463" s="2"/>
      <c r="L463" s="2" t="str">
        <f t="shared" si="40"/>
        <v>_</v>
      </c>
      <c r="M463" s="2"/>
      <c r="N463" s="2">
        <f>IF(ISBLANK(Table2[[#This Row],[ActualResult]]), 0, 1)</f>
        <v>0</v>
      </c>
      <c r="O463" s="2" t="str">
        <f>IF(ISBLANK(Table2[[#This Row],[ActualResult]]), "_", IF(Table2[[#This Row],[ActualWinner]]=Table2[[#This Row],[PredictedWinner]], "Y", "N"))</f>
        <v>_</v>
      </c>
      <c r="P4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3" s="2"/>
      <c r="S463" s="2" t="str">
        <f t="shared" si="41"/>
        <v>_</v>
      </c>
      <c r="T4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63" s="2">
        <f>IF(Table2[[#This Row],[InterConf]]=1,IF(Table2[[#This Row],[InterDiv]]=0, 1, 0), 0)</f>
        <v>0</v>
      </c>
      <c r="W4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3" s="2"/>
      <c r="Y463" s="2"/>
      <c r="Z463" s="145">
        <f>IF(AND(Table2[[#This Row],[GameIsOver]]=1,Table2[[#This Row],[ActualHomeScore]]*Table2[[#This Row],[ActualAwayScore]]=0), 1,0)</f>
        <v>0</v>
      </c>
      <c r="AA4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3" s="2">
        <f>Table2[[#This Row],[ActualAwayScore]]-Table2[[#This Row],[PredictedAwayScore]]</f>
        <v>0</v>
      </c>
      <c r="AG463" s="2">
        <f>Table2[[#This Row],[ActualHomeScore]]-Table2[[#This Row],[PredictedHomeScore]]</f>
        <v>0</v>
      </c>
      <c r="AH463" s="2">
        <f t="shared" si="42"/>
        <v>0</v>
      </c>
      <c r="AI463" s="2">
        <f t="shared" si="43"/>
        <v>0</v>
      </c>
      <c r="AJ463" s="2"/>
      <c r="AK463" s="2"/>
      <c r="AL463" s="2">
        <f>IF(Table2[[#This Row],[GameIsOver]]=0,0,IF(Table2[[#This Row],[ActualWinner]]=Table2[[#This Row],[AwayTeam]], 1, 0))</f>
        <v>0</v>
      </c>
      <c r="AM463" s="2">
        <f>IF(Table2[[#This Row],[GameIsOver]]=0,0,IF(Table2[[#This Row],[ActualWinner]]=Table2[[#This Row],[HomeTeam]], 1, 0))</f>
        <v>0</v>
      </c>
      <c r="AN4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3" s="2" t="str">
        <f>INDEX(Sheet5!$B$2:$AG$33, MATCH(Table2[[#This Row],[AwayTeam]],Sheet5!$A$2:$A$33, 0), MATCH(Table2[[#This Row],[HomeTeam]],Sheet5!$A$2:$A$33, 0))</f>
        <v>0-0-0</v>
      </c>
      <c r="AP463" s="2" t="str">
        <f>INDEX(Sheet5!$B$2:$AG$33, MATCH(Table2[[#This Row],[HomeTeam]],Sheet5!$A$2:$A$33, 0), MATCH(Table2[[#This Row],[AwayTeam]],Sheet5!$A$2:$A$33, 0))</f>
        <v>0-0-0</v>
      </c>
      <c r="AQ463" s="2">
        <f>IF(Table2[[#This Row],[GameHasShutOut]], 1, 0)</f>
        <v>0</v>
      </c>
      <c r="AR463" s="2">
        <f>IF(Table2[[#This Row],[ActualAwayScore]] + Table2[[#This Row],[ActualHomeScore]] &gt;= 10, 1, 0)</f>
        <v>0</v>
      </c>
      <c r="AS463" s="2">
        <f>IF(ABS(Table2[[#This Row],[ActualAwayScore]]-Table2[[#This Row],[ActualHomeScore]])&gt;=5, 1, 0)</f>
        <v>0</v>
      </c>
      <c r="AT463" s="2">
        <f>IF(Table2[[#This Row],[ActualAwayScore]] + Table2[[#This Row],[ActualHomeScore]] &lt;= 3, 1, 0)</f>
        <v>1</v>
      </c>
      <c r="AU463" s="2"/>
      <c r="AV463" s="2"/>
    </row>
    <row r="464" spans="1:48" x14ac:dyDescent="0.25">
      <c r="A464" s="3"/>
      <c r="B464" s="3">
        <v>46000</v>
      </c>
      <c r="C464" s="5">
        <v>2025020462</v>
      </c>
      <c r="D464" s="2" t="s">
        <v>27</v>
      </c>
      <c r="E464" s="2" t="s">
        <v>14</v>
      </c>
      <c r="F464" s="2"/>
      <c r="G464" s="2"/>
      <c r="H464" s="2" t="str">
        <f t="shared" si="39"/>
        <v>_</v>
      </c>
      <c r="I464" s="2"/>
      <c r="J464" s="2"/>
      <c r="K464" s="2"/>
      <c r="L464" s="2" t="str">
        <f t="shared" si="40"/>
        <v>_</v>
      </c>
      <c r="M464" s="2"/>
      <c r="N464" s="2">
        <f>IF(ISBLANK(Table2[[#This Row],[ActualResult]]), 0, 1)</f>
        <v>0</v>
      </c>
      <c r="O464" s="2" t="str">
        <f>IF(ISBLANK(Table2[[#This Row],[ActualResult]]), "_", IF(Table2[[#This Row],[ActualWinner]]=Table2[[#This Row],[PredictedWinner]], "Y", "N"))</f>
        <v>_</v>
      </c>
      <c r="P4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4" s="2"/>
      <c r="S464" s="2" t="str">
        <f t="shared" si="41"/>
        <v>_</v>
      </c>
      <c r="T4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4" s="2">
        <f>IF(Table2[[#This Row],[InterConf]]=1,IF(Table2[[#This Row],[InterDiv]]=0, 1, 0), 0)</f>
        <v>1</v>
      </c>
      <c r="W4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4" s="2"/>
      <c r="Y464" s="2"/>
      <c r="Z464" s="145">
        <f>IF(AND(Table2[[#This Row],[GameIsOver]]=1,Table2[[#This Row],[ActualHomeScore]]*Table2[[#This Row],[ActualAwayScore]]=0), 1,0)</f>
        <v>0</v>
      </c>
      <c r="AA4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4" s="2">
        <f>Table2[[#This Row],[ActualAwayScore]]-Table2[[#This Row],[PredictedAwayScore]]</f>
        <v>0</v>
      </c>
      <c r="AG464" s="2">
        <f>Table2[[#This Row],[ActualHomeScore]]-Table2[[#This Row],[PredictedHomeScore]]</f>
        <v>0</v>
      </c>
      <c r="AH464" s="2">
        <f t="shared" si="42"/>
        <v>0</v>
      </c>
      <c r="AI464" s="2">
        <f t="shared" si="43"/>
        <v>0</v>
      </c>
      <c r="AJ464" s="2"/>
      <c r="AK464" s="2"/>
      <c r="AL464" s="2">
        <f>IF(Table2[[#This Row],[GameIsOver]]=0,0,IF(Table2[[#This Row],[ActualWinner]]=Table2[[#This Row],[AwayTeam]], 1, 0))</f>
        <v>0</v>
      </c>
      <c r="AM464" s="2">
        <f>IF(Table2[[#This Row],[GameIsOver]]=0,0,IF(Table2[[#This Row],[ActualWinner]]=Table2[[#This Row],[HomeTeam]], 1, 0))</f>
        <v>0</v>
      </c>
      <c r="AN464" s="2">
        <f>IF(IFERROR(FIND(Table2[[#This Row],[AwayTeam]], _xlfn.TEXTJOIN(";", 1, $BD$31:$BD$40)), 0) &gt; 0, 1, 0) + IF(IFERROR(FIND(Table2[[#This Row],[HomeTeam]], _xlfn.TEXTJOIN(";", 1, $BD$31:$BD$40)), 0) &gt; 0, 1, 0)</f>
        <v>1</v>
      </c>
      <c r="AO464" s="2" t="str">
        <f>INDEX(Sheet5!$B$2:$AG$33, MATCH(Table2[[#This Row],[AwayTeam]],Sheet5!$A$2:$A$33, 0), MATCH(Table2[[#This Row],[HomeTeam]],Sheet5!$A$2:$A$33, 0))</f>
        <v>0-0-0</v>
      </c>
      <c r="AP464" s="2" t="str">
        <f>INDEX(Sheet5!$B$2:$AG$33, MATCH(Table2[[#This Row],[HomeTeam]],Sheet5!$A$2:$A$33, 0), MATCH(Table2[[#This Row],[AwayTeam]],Sheet5!$A$2:$A$33, 0))</f>
        <v>0-0-0</v>
      </c>
      <c r="AQ464" s="2">
        <f>IF(Table2[[#This Row],[GameHasShutOut]], 1, 0)</f>
        <v>0</v>
      </c>
      <c r="AR464" s="2">
        <f>IF(Table2[[#This Row],[ActualAwayScore]] + Table2[[#This Row],[ActualHomeScore]] &gt;= 10, 1, 0)</f>
        <v>0</v>
      </c>
      <c r="AS464" s="2">
        <f>IF(ABS(Table2[[#This Row],[ActualAwayScore]]-Table2[[#This Row],[ActualHomeScore]])&gt;=5, 1, 0)</f>
        <v>0</v>
      </c>
      <c r="AT464" s="2">
        <f>IF(Table2[[#This Row],[ActualAwayScore]] + Table2[[#This Row],[ActualHomeScore]] &lt;= 3, 1, 0)</f>
        <v>1</v>
      </c>
      <c r="AU464" s="2"/>
      <c r="AV464" s="2"/>
    </row>
    <row r="465" spans="1:48" x14ac:dyDescent="0.25">
      <c r="A465" s="3"/>
      <c r="B465" s="3">
        <v>46000</v>
      </c>
      <c r="C465" s="5">
        <v>2025020463</v>
      </c>
      <c r="D465" s="2" t="s">
        <v>28</v>
      </c>
      <c r="E465" s="2" t="s">
        <v>23</v>
      </c>
      <c r="F465" s="2"/>
      <c r="G465" s="2"/>
      <c r="H465" s="2" t="str">
        <f t="shared" si="39"/>
        <v>_</v>
      </c>
      <c r="I465" s="2"/>
      <c r="J465" s="2"/>
      <c r="K465" s="2"/>
      <c r="L465" s="2" t="str">
        <f t="shared" si="40"/>
        <v>_</v>
      </c>
      <c r="M465" s="2"/>
      <c r="N465" s="2">
        <f>IF(ISBLANK(Table2[[#This Row],[ActualResult]]), 0, 1)</f>
        <v>0</v>
      </c>
      <c r="O465" s="2" t="str">
        <f>IF(ISBLANK(Table2[[#This Row],[ActualResult]]), "_", IF(Table2[[#This Row],[ActualWinner]]=Table2[[#This Row],[PredictedWinner]], "Y", "N"))</f>
        <v>_</v>
      </c>
      <c r="P4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5" s="2"/>
      <c r="S465" s="2" t="str">
        <f t="shared" si="41"/>
        <v>_</v>
      </c>
      <c r="T4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5" s="2">
        <f>IF(Table2[[#This Row],[InterConf]]=1,IF(Table2[[#This Row],[InterDiv]]=0, 1, 0), 0)</f>
        <v>0</v>
      </c>
      <c r="W4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65" s="2"/>
      <c r="Y465" s="2"/>
      <c r="Z465" s="145">
        <f>IF(AND(Table2[[#This Row],[GameIsOver]]=1,Table2[[#This Row],[ActualHomeScore]]*Table2[[#This Row],[ActualAwayScore]]=0), 1,0)</f>
        <v>0</v>
      </c>
      <c r="AA4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5" s="2">
        <f>Table2[[#This Row],[ActualAwayScore]]-Table2[[#This Row],[PredictedAwayScore]]</f>
        <v>0</v>
      </c>
      <c r="AG465" s="2">
        <f>Table2[[#This Row],[ActualHomeScore]]-Table2[[#This Row],[PredictedHomeScore]]</f>
        <v>0</v>
      </c>
      <c r="AH465" s="2">
        <f t="shared" si="42"/>
        <v>0</v>
      </c>
      <c r="AI465" s="2">
        <f t="shared" si="43"/>
        <v>0</v>
      </c>
      <c r="AJ465" s="2"/>
      <c r="AK465" s="2"/>
      <c r="AL465" s="2">
        <f>IF(Table2[[#This Row],[GameIsOver]]=0,0,IF(Table2[[#This Row],[ActualWinner]]=Table2[[#This Row],[AwayTeam]], 1, 0))</f>
        <v>0</v>
      </c>
      <c r="AM465" s="2">
        <f>IF(Table2[[#This Row],[GameIsOver]]=0,0,IF(Table2[[#This Row],[ActualWinner]]=Table2[[#This Row],[HomeTeam]], 1, 0))</f>
        <v>0</v>
      </c>
      <c r="AN4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5" s="2" t="str">
        <f>INDEX(Sheet5!$B$2:$AG$33, MATCH(Table2[[#This Row],[AwayTeam]],Sheet5!$A$2:$A$33, 0), MATCH(Table2[[#This Row],[HomeTeam]],Sheet5!$A$2:$A$33, 0))</f>
        <v>0-0-0</v>
      </c>
      <c r="AP465" s="2" t="str">
        <f>INDEX(Sheet5!$B$2:$AG$33, MATCH(Table2[[#This Row],[HomeTeam]],Sheet5!$A$2:$A$33, 0), MATCH(Table2[[#This Row],[AwayTeam]],Sheet5!$A$2:$A$33, 0))</f>
        <v>0-0-0</v>
      </c>
      <c r="AQ465" s="2">
        <f>IF(Table2[[#This Row],[GameHasShutOut]], 1, 0)</f>
        <v>0</v>
      </c>
      <c r="AR465" s="2">
        <f>IF(Table2[[#This Row],[ActualAwayScore]] + Table2[[#This Row],[ActualHomeScore]] &gt;= 10, 1, 0)</f>
        <v>0</v>
      </c>
      <c r="AS465" s="2">
        <f>IF(ABS(Table2[[#This Row],[ActualAwayScore]]-Table2[[#This Row],[ActualHomeScore]])&gt;=5, 1, 0)</f>
        <v>0</v>
      </c>
      <c r="AT465" s="2">
        <f>IF(Table2[[#This Row],[ActualAwayScore]] + Table2[[#This Row],[ActualHomeScore]] &lt;= 3, 1, 0)</f>
        <v>1</v>
      </c>
      <c r="AU465" s="2"/>
      <c r="AV465" s="2"/>
    </row>
    <row r="466" spans="1:48" x14ac:dyDescent="0.25">
      <c r="A466" s="3"/>
      <c r="B466" s="3">
        <v>46000</v>
      </c>
      <c r="C466" s="5">
        <v>2025020464</v>
      </c>
      <c r="D466" s="2" t="s">
        <v>30</v>
      </c>
      <c r="E466" s="2" t="s">
        <v>24</v>
      </c>
      <c r="F466" s="2"/>
      <c r="G466" s="2"/>
      <c r="H466" s="2" t="str">
        <f t="shared" si="39"/>
        <v>_</v>
      </c>
      <c r="I466" s="2"/>
      <c r="J466" s="2"/>
      <c r="K466" s="2"/>
      <c r="L466" s="2" t="str">
        <f t="shared" si="40"/>
        <v>_</v>
      </c>
      <c r="M466" s="2"/>
      <c r="N466" s="2">
        <f>IF(ISBLANK(Table2[[#This Row],[ActualResult]]), 0, 1)</f>
        <v>0</v>
      </c>
      <c r="O466" s="2" t="str">
        <f>IF(ISBLANK(Table2[[#This Row],[ActualResult]]), "_", IF(Table2[[#This Row],[ActualWinner]]=Table2[[#This Row],[PredictedWinner]], "Y", "N"))</f>
        <v>_</v>
      </c>
      <c r="P4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6" s="2"/>
      <c r="S466" s="2" t="str">
        <f t="shared" si="41"/>
        <v>_</v>
      </c>
      <c r="T4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6" s="2">
        <f>IF(Table2[[#This Row],[InterConf]]=1,IF(Table2[[#This Row],[InterDiv]]=0, 1, 0), 0)</f>
        <v>0</v>
      </c>
      <c r="W4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66" s="2"/>
      <c r="Y466" s="2"/>
      <c r="Z466" s="145">
        <f>IF(AND(Table2[[#This Row],[GameIsOver]]=1,Table2[[#This Row],[ActualHomeScore]]*Table2[[#This Row],[ActualAwayScore]]=0), 1,0)</f>
        <v>0</v>
      </c>
      <c r="AA4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6" s="2">
        <f>Table2[[#This Row],[ActualAwayScore]]-Table2[[#This Row],[PredictedAwayScore]]</f>
        <v>0</v>
      </c>
      <c r="AG466" s="2">
        <f>Table2[[#This Row],[ActualHomeScore]]-Table2[[#This Row],[PredictedHomeScore]]</f>
        <v>0</v>
      </c>
      <c r="AH466" s="2">
        <f t="shared" si="42"/>
        <v>0</v>
      </c>
      <c r="AI466" s="2">
        <f t="shared" si="43"/>
        <v>0</v>
      </c>
      <c r="AJ466" s="2"/>
      <c r="AK466" s="2"/>
      <c r="AL466" s="2">
        <f>IF(Table2[[#This Row],[GameIsOver]]=0,0,IF(Table2[[#This Row],[ActualWinner]]=Table2[[#This Row],[AwayTeam]], 1, 0))</f>
        <v>0</v>
      </c>
      <c r="AM466" s="2">
        <f>IF(Table2[[#This Row],[GameIsOver]]=0,0,IF(Table2[[#This Row],[ActualWinner]]=Table2[[#This Row],[HomeTeam]], 1, 0))</f>
        <v>0</v>
      </c>
      <c r="AN4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6" s="2" t="str">
        <f>INDEX(Sheet5!$B$2:$AG$33, MATCH(Table2[[#This Row],[AwayTeam]],Sheet5!$A$2:$A$33, 0), MATCH(Table2[[#This Row],[HomeTeam]],Sheet5!$A$2:$A$33, 0))</f>
        <v>0-0-0</v>
      </c>
      <c r="AP466" s="2" t="str">
        <f>INDEX(Sheet5!$B$2:$AG$33, MATCH(Table2[[#This Row],[HomeTeam]],Sheet5!$A$2:$A$33, 0), MATCH(Table2[[#This Row],[AwayTeam]],Sheet5!$A$2:$A$33, 0))</f>
        <v>0-0-0</v>
      </c>
      <c r="AQ466" s="2">
        <f>IF(Table2[[#This Row],[GameHasShutOut]], 1, 0)</f>
        <v>0</v>
      </c>
      <c r="AR466" s="2">
        <f>IF(Table2[[#This Row],[ActualAwayScore]] + Table2[[#This Row],[ActualHomeScore]] &gt;= 10, 1, 0)</f>
        <v>0</v>
      </c>
      <c r="AS466" s="2">
        <f>IF(ABS(Table2[[#This Row],[ActualAwayScore]]-Table2[[#This Row],[ActualHomeScore]])&gt;=5, 1, 0)</f>
        <v>0</v>
      </c>
      <c r="AT466" s="2">
        <f>IF(Table2[[#This Row],[ActualAwayScore]] + Table2[[#This Row],[ActualHomeScore]] &lt;= 3, 1, 0)</f>
        <v>1</v>
      </c>
      <c r="AU466" s="2"/>
      <c r="AV466" s="2"/>
    </row>
    <row r="467" spans="1:48" x14ac:dyDescent="0.25">
      <c r="A467" s="3"/>
      <c r="B467" s="3">
        <v>46000</v>
      </c>
      <c r="C467" s="5">
        <v>2025020465</v>
      </c>
      <c r="D467" s="2" t="s">
        <v>36</v>
      </c>
      <c r="E467" s="2" t="s">
        <v>11</v>
      </c>
      <c r="F467" s="2"/>
      <c r="G467" s="2"/>
      <c r="H467" s="2" t="str">
        <f t="shared" si="39"/>
        <v>_</v>
      </c>
      <c r="I467" s="2"/>
      <c r="J467" s="2"/>
      <c r="K467" s="2"/>
      <c r="L467" s="2" t="str">
        <f t="shared" si="40"/>
        <v>_</v>
      </c>
      <c r="M467" s="2"/>
      <c r="N467" s="2">
        <f>IF(ISBLANK(Table2[[#This Row],[ActualResult]]), 0, 1)</f>
        <v>0</v>
      </c>
      <c r="O467" s="2" t="str">
        <f>IF(ISBLANK(Table2[[#This Row],[ActualResult]]), "_", IF(Table2[[#This Row],[ActualWinner]]=Table2[[#This Row],[PredictedWinner]], "Y", "N"))</f>
        <v>_</v>
      </c>
      <c r="P4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7" s="2"/>
      <c r="S467" s="2" t="str">
        <f t="shared" si="41"/>
        <v>_</v>
      </c>
      <c r="T4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7" s="2">
        <f>IF(Table2[[#This Row],[InterConf]]=1,IF(Table2[[#This Row],[InterDiv]]=0, 1, 0), 0)</f>
        <v>1</v>
      </c>
      <c r="W4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7" s="2"/>
      <c r="Y467" s="2"/>
      <c r="Z467" s="145">
        <f>IF(AND(Table2[[#This Row],[GameIsOver]]=1,Table2[[#This Row],[ActualHomeScore]]*Table2[[#This Row],[ActualAwayScore]]=0), 1,0)</f>
        <v>0</v>
      </c>
      <c r="AA4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7" s="2">
        <f>Table2[[#This Row],[ActualAwayScore]]-Table2[[#This Row],[PredictedAwayScore]]</f>
        <v>0</v>
      </c>
      <c r="AG467" s="2">
        <f>Table2[[#This Row],[ActualHomeScore]]-Table2[[#This Row],[PredictedHomeScore]]</f>
        <v>0</v>
      </c>
      <c r="AH467" s="2">
        <f t="shared" si="42"/>
        <v>0</v>
      </c>
      <c r="AI467" s="2">
        <f t="shared" si="43"/>
        <v>0</v>
      </c>
      <c r="AJ467" s="2"/>
      <c r="AK467" s="2"/>
      <c r="AL467" s="2">
        <f>IF(Table2[[#This Row],[GameIsOver]]=0,0,IF(Table2[[#This Row],[ActualWinner]]=Table2[[#This Row],[AwayTeam]], 1, 0))</f>
        <v>0</v>
      </c>
      <c r="AM467" s="2">
        <f>IF(Table2[[#This Row],[GameIsOver]]=0,0,IF(Table2[[#This Row],[ActualWinner]]=Table2[[#This Row],[HomeTeam]], 1, 0))</f>
        <v>0</v>
      </c>
      <c r="AN4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7" s="2" t="str">
        <f>INDEX(Sheet5!$B$2:$AG$33, MATCH(Table2[[#This Row],[AwayTeam]],Sheet5!$A$2:$A$33, 0), MATCH(Table2[[#This Row],[HomeTeam]],Sheet5!$A$2:$A$33, 0))</f>
        <v>0-0-0</v>
      </c>
      <c r="AP467" s="2" t="str">
        <f>INDEX(Sheet5!$B$2:$AG$33, MATCH(Table2[[#This Row],[HomeTeam]],Sheet5!$A$2:$A$33, 0), MATCH(Table2[[#This Row],[AwayTeam]],Sheet5!$A$2:$A$33, 0))</f>
        <v>0-0-0</v>
      </c>
      <c r="AQ467" s="2">
        <f>IF(Table2[[#This Row],[GameHasShutOut]], 1, 0)</f>
        <v>0</v>
      </c>
      <c r="AR467" s="2">
        <f>IF(Table2[[#This Row],[ActualAwayScore]] + Table2[[#This Row],[ActualHomeScore]] &gt;= 10, 1, 0)</f>
        <v>0</v>
      </c>
      <c r="AS467" s="2">
        <f>IF(ABS(Table2[[#This Row],[ActualAwayScore]]-Table2[[#This Row],[ActualHomeScore]])&gt;=5, 1, 0)</f>
        <v>0</v>
      </c>
      <c r="AT467" s="2">
        <f>IF(Table2[[#This Row],[ActualAwayScore]] + Table2[[#This Row],[ActualHomeScore]] &lt;= 3, 1, 0)</f>
        <v>1</v>
      </c>
      <c r="AU467" s="2"/>
      <c r="AV467" s="2"/>
    </row>
    <row r="468" spans="1:48" x14ac:dyDescent="0.25">
      <c r="A468" s="3"/>
      <c r="B468" s="3">
        <v>46001</v>
      </c>
      <c r="C468" s="5">
        <v>2025020466</v>
      </c>
      <c r="D468" s="2" t="s">
        <v>40</v>
      </c>
      <c r="E468" s="2" t="s">
        <v>18</v>
      </c>
      <c r="F468" s="2"/>
      <c r="G468" s="2"/>
      <c r="H468" s="2" t="str">
        <f t="shared" si="39"/>
        <v>_</v>
      </c>
      <c r="I468" s="2"/>
      <c r="J468" s="2"/>
      <c r="K468" s="2"/>
      <c r="L468" s="2" t="str">
        <f t="shared" si="40"/>
        <v>_</v>
      </c>
      <c r="M468" s="2"/>
      <c r="N468" s="2">
        <f>IF(ISBLANK(Table2[[#This Row],[ActualResult]]), 0, 1)</f>
        <v>0</v>
      </c>
      <c r="O468" s="2" t="str">
        <f>IF(ISBLANK(Table2[[#This Row],[ActualResult]]), "_", IF(Table2[[#This Row],[ActualWinner]]=Table2[[#This Row],[PredictedWinner]], "Y", "N"))</f>
        <v>_</v>
      </c>
      <c r="P4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8" s="2"/>
      <c r="S468" s="2" t="str">
        <f t="shared" si="41"/>
        <v>_</v>
      </c>
      <c r="T4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68" s="2">
        <f>IF(Table2[[#This Row],[InterConf]]=1,IF(Table2[[#This Row],[InterDiv]]=0, 1, 0), 0)</f>
        <v>0</v>
      </c>
      <c r="W4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8" s="2"/>
      <c r="Y468" s="2"/>
      <c r="Z468" s="145">
        <f>IF(AND(Table2[[#This Row],[GameIsOver]]=1,Table2[[#This Row],[ActualHomeScore]]*Table2[[#This Row],[ActualAwayScore]]=0), 1,0)</f>
        <v>0</v>
      </c>
      <c r="AA4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68" s="2">
        <f>Table2[[#This Row],[ActualAwayScore]]-Table2[[#This Row],[PredictedAwayScore]]</f>
        <v>0</v>
      </c>
      <c r="AG468" s="2">
        <f>Table2[[#This Row],[ActualHomeScore]]-Table2[[#This Row],[PredictedHomeScore]]</f>
        <v>0</v>
      </c>
      <c r="AH468" s="2">
        <f t="shared" si="42"/>
        <v>0</v>
      </c>
      <c r="AI468" s="2">
        <f t="shared" si="43"/>
        <v>0</v>
      </c>
      <c r="AJ468" s="2"/>
      <c r="AK468" s="2"/>
      <c r="AL468" s="2">
        <f>IF(Table2[[#This Row],[GameIsOver]]=0,0,IF(Table2[[#This Row],[ActualWinner]]=Table2[[#This Row],[AwayTeam]], 1, 0))</f>
        <v>0</v>
      </c>
      <c r="AM468" s="2">
        <f>IF(Table2[[#This Row],[GameIsOver]]=0,0,IF(Table2[[#This Row],[ActualWinner]]=Table2[[#This Row],[HomeTeam]], 1, 0))</f>
        <v>0</v>
      </c>
      <c r="AN4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8" s="2" t="str">
        <f>INDEX(Sheet5!$B$2:$AG$33, MATCH(Table2[[#This Row],[AwayTeam]],Sheet5!$A$2:$A$33, 0), MATCH(Table2[[#This Row],[HomeTeam]],Sheet5!$A$2:$A$33, 0))</f>
        <v>0-0-0</v>
      </c>
      <c r="AP468" s="2" t="str">
        <f>INDEX(Sheet5!$B$2:$AG$33, MATCH(Table2[[#This Row],[HomeTeam]],Sheet5!$A$2:$A$33, 0), MATCH(Table2[[#This Row],[AwayTeam]],Sheet5!$A$2:$A$33, 0))</f>
        <v>0-0-0</v>
      </c>
      <c r="AQ468" s="2">
        <f>IF(Table2[[#This Row],[GameHasShutOut]], 1, 0)</f>
        <v>0</v>
      </c>
      <c r="AR468" s="2">
        <f>IF(Table2[[#This Row],[ActualAwayScore]] + Table2[[#This Row],[ActualHomeScore]] &gt;= 10, 1, 0)</f>
        <v>0</v>
      </c>
      <c r="AS468" s="2">
        <f>IF(ABS(Table2[[#This Row],[ActualAwayScore]]-Table2[[#This Row],[ActualHomeScore]])&gt;=5, 1, 0)</f>
        <v>0</v>
      </c>
      <c r="AT468" s="2">
        <f>IF(Table2[[#This Row],[ActualAwayScore]] + Table2[[#This Row],[ActualHomeScore]] &lt;= 3, 1, 0)</f>
        <v>1</v>
      </c>
      <c r="AU468" s="2"/>
      <c r="AV468" s="2"/>
    </row>
    <row r="469" spans="1:48" x14ac:dyDescent="0.25">
      <c r="A469" s="3"/>
      <c r="B469" s="3">
        <v>46001</v>
      </c>
      <c r="C469" s="5">
        <v>2025020467</v>
      </c>
      <c r="D469" s="2" t="s">
        <v>31</v>
      </c>
      <c r="E469" s="2" t="s">
        <v>29</v>
      </c>
      <c r="F469" s="2"/>
      <c r="G469" s="2"/>
      <c r="H469" s="2" t="str">
        <f t="shared" si="39"/>
        <v>_</v>
      </c>
      <c r="I469" s="2"/>
      <c r="J469" s="2"/>
      <c r="K469" s="2"/>
      <c r="L469" s="2" t="str">
        <f t="shared" si="40"/>
        <v>_</v>
      </c>
      <c r="M469" s="2"/>
      <c r="N469" s="2">
        <f>IF(ISBLANK(Table2[[#This Row],[ActualResult]]), 0, 1)</f>
        <v>0</v>
      </c>
      <c r="O469" s="2" t="str">
        <f>IF(ISBLANK(Table2[[#This Row],[ActualResult]]), "_", IF(Table2[[#This Row],[ActualWinner]]=Table2[[#This Row],[PredictedWinner]], "Y", "N"))</f>
        <v>_</v>
      </c>
      <c r="P4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9" s="2"/>
      <c r="S469" s="2" t="str">
        <f t="shared" si="41"/>
        <v>_</v>
      </c>
      <c r="T4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9" s="2">
        <f>IF(Table2[[#This Row],[InterConf]]=1,IF(Table2[[#This Row],[InterDiv]]=0, 1, 0), 0)</f>
        <v>1</v>
      </c>
      <c r="W4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9" s="2"/>
      <c r="Y469" s="2"/>
      <c r="Z469" s="145">
        <f>IF(AND(Table2[[#This Row],[GameIsOver]]=1,Table2[[#This Row],[ActualHomeScore]]*Table2[[#This Row],[ActualAwayScore]]=0), 1,0)</f>
        <v>0</v>
      </c>
      <c r="AA4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69" s="2">
        <f>Table2[[#This Row],[ActualAwayScore]]-Table2[[#This Row],[PredictedAwayScore]]</f>
        <v>0</v>
      </c>
      <c r="AG469" s="2">
        <f>Table2[[#This Row],[ActualHomeScore]]-Table2[[#This Row],[PredictedHomeScore]]</f>
        <v>0</v>
      </c>
      <c r="AH469" s="2">
        <f t="shared" si="42"/>
        <v>0</v>
      </c>
      <c r="AI469" s="2">
        <f t="shared" si="43"/>
        <v>0</v>
      </c>
      <c r="AJ469" s="2"/>
      <c r="AK469" s="2"/>
      <c r="AL469" s="2">
        <f>IF(Table2[[#This Row],[GameIsOver]]=0,0,IF(Table2[[#This Row],[ActualWinner]]=Table2[[#This Row],[AwayTeam]], 1, 0))</f>
        <v>0</v>
      </c>
      <c r="AM469" s="2">
        <f>IF(Table2[[#This Row],[GameIsOver]]=0,0,IF(Table2[[#This Row],[ActualWinner]]=Table2[[#This Row],[HomeTeam]], 1, 0))</f>
        <v>0</v>
      </c>
      <c r="AN4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9" s="2" t="str">
        <f>INDEX(Sheet5!$B$2:$AG$33, MATCH(Table2[[#This Row],[AwayTeam]],Sheet5!$A$2:$A$33, 0), MATCH(Table2[[#This Row],[HomeTeam]],Sheet5!$A$2:$A$33, 0))</f>
        <v>0-0-0</v>
      </c>
      <c r="AP469" s="2" t="str">
        <f>INDEX(Sheet5!$B$2:$AG$33, MATCH(Table2[[#This Row],[HomeTeam]],Sheet5!$A$2:$A$33, 0), MATCH(Table2[[#This Row],[AwayTeam]],Sheet5!$A$2:$A$33, 0))</f>
        <v>0-0-0</v>
      </c>
      <c r="AQ469" s="2">
        <f>IF(Table2[[#This Row],[GameHasShutOut]], 1, 0)</f>
        <v>0</v>
      </c>
      <c r="AR469" s="2">
        <f>IF(Table2[[#This Row],[ActualAwayScore]] + Table2[[#This Row],[ActualHomeScore]] &gt;= 10, 1, 0)</f>
        <v>0</v>
      </c>
      <c r="AS469" s="2">
        <f>IF(ABS(Table2[[#This Row],[ActualAwayScore]]-Table2[[#This Row],[ActualHomeScore]])&gt;=5, 1, 0)</f>
        <v>0</v>
      </c>
      <c r="AT469" s="2">
        <f>IF(Table2[[#This Row],[ActualAwayScore]] + Table2[[#This Row],[ActualHomeScore]] &lt;= 3, 1, 0)</f>
        <v>1</v>
      </c>
      <c r="AU469" s="2"/>
      <c r="AV469" s="2"/>
    </row>
    <row r="470" spans="1:48" x14ac:dyDescent="0.25">
      <c r="A470" s="3"/>
      <c r="B470" s="3">
        <v>46001</v>
      </c>
      <c r="C470" s="5">
        <v>2025020468</v>
      </c>
      <c r="D470" s="2" t="s">
        <v>26</v>
      </c>
      <c r="E470" s="2" t="s">
        <v>32</v>
      </c>
      <c r="F470" s="2"/>
      <c r="G470" s="2"/>
      <c r="H470" s="2" t="str">
        <f t="shared" si="39"/>
        <v>_</v>
      </c>
      <c r="I470" s="2"/>
      <c r="J470" s="2"/>
      <c r="K470" s="2"/>
      <c r="L470" s="2" t="str">
        <f t="shared" si="40"/>
        <v>_</v>
      </c>
      <c r="M470" s="2"/>
      <c r="N470" s="2">
        <f>IF(ISBLANK(Table2[[#This Row],[ActualResult]]), 0, 1)</f>
        <v>0</v>
      </c>
      <c r="O470" s="2" t="str">
        <f>IF(ISBLANK(Table2[[#This Row],[ActualResult]]), "_", IF(Table2[[#This Row],[ActualWinner]]=Table2[[#This Row],[PredictedWinner]], "Y", "N"))</f>
        <v>_</v>
      </c>
      <c r="P4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0" s="2"/>
      <c r="S470" s="2" t="str">
        <f t="shared" si="41"/>
        <v>_</v>
      </c>
      <c r="T4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0" s="2">
        <f>IF(Table2[[#This Row],[InterConf]]=1,IF(Table2[[#This Row],[InterDiv]]=0, 1, 0), 0)</f>
        <v>0</v>
      </c>
      <c r="W4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0" s="2"/>
      <c r="Y470" s="2"/>
      <c r="Z470" s="145">
        <f>IF(AND(Table2[[#This Row],[GameIsOver]]=1,Table2[[#This Row],[ActualHomeScore]]*Table2[[#This Row],[ActualAwayScore]]=0), 1,0)</f>
        <v>0</v>
      </c>
      <c r="AA4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0" s="2">
        <f>Table2[[#This Row],[ActualAwayScore]]-Table2[[#This Row],[PredictedAwayScore]]</f>
        <v>0</v>
      </c>
      <c r="AG470" s="2">
        <f>Table2[[#This Row],[ActualHomeScore]]-Table2[[#This Row],[PredictedHomeScore]]</f>
        <v>0</v>
      </c>
      <c r="AH470" s="2">
        <f t="shared" si="42"/>
        <v>0</v>
      </c>
      <c r="AI470" s="2">
        <f t="shared" si="43"/>
        <v>0</v>
      </c>
      <c r="AJ470" s="2"/>
      <c r="AK470" s="2"/>
      <c r="AL470" s="2">
        <f>IF(Table2[[#This Row],[GameIsOver]]=0,0,IF(Table2[[#This Row],[ActualWinner]]=Table2[[#This Row],[AwayTeam]], 1, 0))</f>
        <v>0</v>
      </c>
      <c r="AM470" s="2">
        <f>IF(Table2[[#This Row],[GameIsOver]]=0,0,IF(Table2[[#This Row],[ActualWinner]]=Table2[[#This Row],[HomeTeam]], 1, 0))</f>
        <v>0</v>
      </c>
      <c r="AN4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0" s="2" t="str">
        <f>INDEX(Sheet5!$B$2:$AG$33, MATCH(Table2[[#This Row],[AwayTeam]],Sheet5!$A$2:$A$33, 0), MATCH(Table2[[#This Row],[HomeTeam]],Sheet5!$A$2:$A$33, 0))</f>
        <v>0-0-0</v>
      </c>
      <c r="AP470" s="2" t="str">
        <f>INDEX(Sheet5!$B$2:$AG$33, MATCH(Table2[[#This Row],[HomeTeam]],Sheet5!$A$2:$A$33, 0), MATCH(Table2[[#This Row],[AwayTeam]],Sheet5!$A$2:$A$33, 0))</f>
        <v>0-0-0</v>
      </c>
      <c r="AQ470" s="2">
        <f>IF(Table2[[#This Row],[GameHasShutOut]], 1, 0)</f>
        <v>0</v>
      </c>
      <c r="AR470" s="2">
        <f>IF(Table2[[#This Row],[ActualAwayScore]] + Table2[[#This Row],[ActualHomeScore]] &gt;= 10, 1, 0)</f>
        <v>0</v>
      </c>
      <c r="AS470" s="2">
        <f>IF(ABS(Table2[[#This Row],[ActualAwayScore]]-Table2[[#This Row],[ActualHomeScore]])&gt;=5, 1, 0)</f>
        <v>0</v>
      </c>
      <c r="AT470" s="2">
        <f>IF(Table2[[#This Row],[ActualAwayScore]] + Table2[[#This Row],[ActualHomeScore]] &lt;= 3, 1, 0)</f>
        <v>1</v>
      </c>
      <c r="AU470" s="2"/>
      <c r="AV470" s="2"/>
    </row>
    <row r="471" spans="1:48" x14ac:dyDescent="0.25">
      <c r="A471" s="3"/>
      <c r="B471" s="3">
        <v>46001</v>
      </c>
      <c r="C471" s="5">
        <v>2025020469</v>
      </c>
      <c r="D471" s="2" t="s">
        <v>37</v>
      </c>
      <c r="E471" s="2" t="s">
        <v>42</v>
      </c>
      <c r="F471" s="2"/>
      <c r="G471" s="2"/>
      <c r="H471" s="2" t="str">
        <f t="shared" si="39"/>
        <v>_</v>
      </c>
      <c r="I471" s="2"/>
      <c r="J471" s="2"/>
      <c r="K471" s="2"/>
      <c r="L471" s="2" t="str">
        <f t="shared" si="40"/>
        <v>_</v>
      </c>
      <c r="M471" s="2"/>
      <c r="N471" s="2">
        <f>IF(ISBLANK(Table2[[#This Row],[ActualResult]]), 0, 1)</f>
        <v>0</v>
      </c>
      <c r="O471" s="2" t="str">
        <f>IF(ISBLANK(Table2[[#This Row],[ActualResult]]), "_", IF(Table2[[#This Row],[ActualWinner]]=Table2[[#This Row],[PredictedWinner]], "Y", "N"))</f>
        <v>_</v>
      </c>
      <c r="P4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1" s="2"/>
      <c r="S471" s="2" t="str">
        <f t="shared" si="41"/>
        <v>_</v>
      </c>
      <c r="T4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1" s="2">
        <f>IF(Table2[[#This Row],[InterConf]]=1,IF(Table2[[#This Row],[InterDiv]]=0, 1, 0), 0)</f>
        <v>0</v>
      </c>
      <c r="W4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1" s="2"/>
      <c r="Y471" s="2"/>
      <c r="Z471" s="145">
        <f>IF(AND(Table2[[#This Row],[GameIsOver]]=1,Table2[[#This Row],[ActualHomeScore]]*Table2[[#This Row],[ActualAwayScore]]=0), 1,0)</f>
        <v>0</v>
      </c>
      <c r="AA4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1" s="2">
        <f>Table2[[#This Row],[ActualAwayScore]]-Table2[[#This Row],[PredictedAwayScore]]</f>
        <v>0</v>
      </c>
      <c r="AG471" s="2">
        <f>Table2[[#This Row],[ActualHomeScore]]-Table2[[#This Row],[PredictedHomeScore]]</f>
        <v>0</v>
      </c>
      <c r="AH471" s="2">
        <f t="shared" si="42"/>
        <v>0</v>
      </c>
      <c r="AI471" s="2">
        <f t="shared" si="43"/>
        <v>0</v>
      </c>
      <c r="AJ471" s="2"/>
      <c r="AK471" s="2"/>
      <c r="AL471" s="2">
        <f>IF(Table2[[#This Row],[GameIsOver]]=0,0,IF(Table2[[#This Row],[ActualWinner]]=Table2[[#This Row],[AwayTeam]], 1, 0))</f>
        <v>0</v>
      </c>
      <c r="AM471" s="2">
        <f>IF(Table2[[#This Row],[GameIsOver]]=0,0,IF(Table2[[#This Row],[ActualWinner]]=Table2[[#This Row],[HomeTeam]], 1, 0))</f>
        <v>0</v>
      </c>
      <c r="AN4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1" s="2" t="str">
        <f>INDEX(Sheet5!$B$2:$AG$33, MATCH(Table2[[#This Row],[AwayTeam]],Sheet5!$A$2:$A$33, 0), MATCH(Table2[[#This Row],[HomeTeam]],Sheet5!$A$2:$A$33, 0))</f>
        <v>0-0-0</v>
      </c>
      <c r="AP471" s="2" t="str">
        <f>INDEX(Sheet5!$B$2:$AG$33, MATCH(Table2[[#This Row],[HomeTeam]],Sheet5!$A$2:$A$33, 0), MATCH(Table2[[#This Row],[AwayTeam]],Sheet5!$A$2:$A$33, 0))</f>
        <v>0-0-0</v>
      </c>
      <c r="AQ471" s="2">
        <f>IF(Table2[[#This Row],[GameHasShutOut]], 1, 0)</f>
        <v>0</v>
      </c>
      <c r="AR471" s="2">
        <f>IF(Table2[[#This Row],[ActualAwayScore]] + Table2[[#This Row],[ActualHomeScore]] &gt;= 10, 1, 0)</f>
        <v>0</v>
      </c>
      <c r="AS471" s="2">
        <f>IF(ABS(Table2[[#This Row],[ActualAwayScore]]-Table2[[#This Row],[ActualHomeScore]])&gt;=5, 1, 0)</f>
        <v>0</v>
      </c>
      <c r="AT471" s="2">
        <f>IF(Table2[[#This Row],[ActualAwayScore]] + Table2[[#This Row],[ActualHomeScore]] &lt;= 3, 1, 0)</f>
        <v>1</v>
      </c>
      <c r="AU471" s="2"/>
      <c r="AV471" s="2"/>
    </row>
    <row r="472" spans="1:48" x14ac:dyDescent="0.25">
      <c r="A472" s="3"/>
      <c r="B472" s="3">
        <v>46001</v>
      </c>
      <c r="C472" s="5">
        <v>2025020470</v>
      </c>
      <c r="D472" s="2" t="s">
        <v>44</v>
      </c>
      <c r="E472" s="2" t="s">
        <v>20</v>
      </c>
      <c r="F472" s="2"/>
      <c r="G472" s="2"/>
      <c r="H472" s="2" t="str">
        <f t="shared" si="39"/>
        <v>_</v>
      </c>
      <c r="I472" s="2"/>
      <c r="J472" s="2"/>
      <c r="K472" s="2"/>
      <c r="L472" s="2" t="str">
        <f t="shared" si="40"/>
        <v>_</v>
      </c>
      <c r="M472" s="2"/>
      <c r="N472" s="2">
        <f>IF(ISBLANK(Table2[[#This Row],[ActualResult]]), 0, 1)</f>
        <v>0</v>
      </c>
      <c r="O472" s="2" t="str">
        <f>IF(ISBLANK(Table2[[#This Row],[ActualResult]]), "_", IF(Table2[[#This Row],[ActualWinner]]=Table2[[#This Row],[PredictedWinner]], "Y", "N"))</f>
        <v>_</v>
      </c>
      <c r="P4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2" s="2"/>
      <c r="S472" s="2" t="str">
        <f t="shared" si="41"/>
        <v>_</v>
      </c>
      <c r="T4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2" s="2">
        <f>IF(Table2[[#This Row],[InterConf]]=1,IF(Table2[[#This Row],[InterDiv]]=0, 1, 0), 0)</f>
        <v>0</v>
      </c>
      <c r="W4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2" s="2"/>
      <c r="Y472" s="2"/>
      <c r="Z472" s="145">
        <f>IF(AND(Table2[[#This Row],[GameIsOver]]=1,Table2[[#This Row],[ActualHomeScore]]*Table2[[#This Row],[ActualAwayScore]]=0), 1,0)</f>
        <v>0</v>
      </c>
      <c r="AA4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2" s="2">
        <f>Table2[[#This Row],[ActualAwayScore]]-Table2[[#This Row],[PredictedAwayScore]]</f>
        <v>0</v>
      </c>
      <c r="AG472" s="2">
        <f>Table2[[#This Row],[ActualHomeScore]]-Table2[[#This Row],[PredictedHomeScore]]</f>
        <v>0</v>
      </c>
      <c r="AH472" s="2">
        <f t="shared" si="42"/>
        <v>0</v>
      </c>
      <c r="AI472" s="2">
        <f t="shared" si="43"/>
        <v>0</v>
      </c>
      <c r="AJ472" s="2"/>
      <c r="AK472" s="2"/>
      <c r="AL472" s="2">
        <f>IF(Table2[[#This Row],[GameIsOver]]=0,0,IF(Table2[[#This Row],[ActualWinner]]=Table2[[#This Row],[AwayTeam]], 1, 0))</f>
        <v>0</v>
      </c>
      <c r="AM472" s="2">
        <f>IF(Table2[[#This Row],[GameIsOver]]=0,0,IF(Table2[[#This Row],[ActualWinner]]=Table2[[#This Row],[HomeTeam]], 1, 0))</f>
        <v>0</v>
      </c>
      <c r="AN4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2" s="2" t="str">
        <f>INDEX(Sheet5!$B$2:$AG$33, MATCH(Table2[[#This Row],[AwayTeam]],Sheet5!$A$2:$A$33, 0), MATCH(Table2[[#This Row],[HomeTeam]],Sheet5!$A$2:$A$33, 0))</f>
        <v>1-0-0</v>
      </c>
      <c r="AP472" s="2" t="str">
        <f>INDEX(Sheet5!$B$2:$AG$33, MATCH(Table2[[#This Row],[HomeTeam]],Sheet5!$A$2:$A$33, 0), MATCH(Table2[[#This Row],[AwayTeam]],Sheet5!$A$2:$A$33, 0))</f>
        <v>0-1-0</v>
      </c>
      <c r="AQ472" s="2">
        <f>IF(Table2[[#This Row],[GameHasShutOut]], 1, 0)</f>
        <v>0</v>
      </c>
      <c r="AR472" s="2">
        <f>IF(Table2[[#This Row],[ActualAwayScore]] + Table2[[#This Row],[ActualHomeScore]] &gt;= 10, 1, 0)</f>
        <v>0</v>
      </c>
      <c r="AS472" s="2">
        <f>IF(ABS(Table2[[#This Row],[ActualAwayScore]]-Table2[[#This Row],[ActualHomeScore]])&gt;=5, 1, 0)</f>
        <v>0</v>
      </c>
      <c r="AT472" s="2">
        <f>IF(Table2[[#This Row],[ActualAwayScore]] + Table2[[#This Row],[ActualHomeScore]] &lt;= 3, 1, 0)</f>
        <v>1</v>
      </c>
      <c r="AU472" s="2"/>
      <c r="AV472" s="2"/>
    </row>
    <row r="473" spans="1:48" x14ac:dyDescent="0.25">
      <c r="A473" s="3"/>
      <c r="B473" s="3">
        <v>46001</v>
      </c>
      <c r="C473" s="5">
        <v>2025020471</v>
      </c>
      <c r="D473" s="2" t="s">
        <v>35</v>
      </c>
      <c r="E473" s="2" t="s">
        <v>41</v>
      </c>
      <c r="F473" s="2"/>
      <c r="G473" s="2"/>
      <c r="H473" s="2" t="str">
        <f t="shared" si="39"/>
        <v>_</v>
      </c>
      <c r="I473" s="2"/>
      <c r="J473" s="2"/>
      <c r="K473" s="2"/>
      <c r="L473" s="2" t="str">
        <f t="shared" si="40"/>
        <v>_</v>
      </c>
      <c r="M473" s="2"/>
      <c r="N473" s="2">
        <f>IF(ISBLANK(Table2[[#This Row],[ActualResult]]), 0, 1)</f>
        <v>0</v>
      </c>
      <c r="O473" s="2" t="str">
        <f>IF(ISBLANK(Table2[[#This Row],[ActualResult]]), "_", IF(Table2[[#This Row],[ActualWinner]]=Table2[[#This Row],[PredictedWinner]], "Y", "N"))</f>
        <v>_</v>
      </c>
      <c r="P4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3" s="2"/>
      <c r="S473" s="2" t="str">
        <f t="shared" si="41"/>
        <v>_</v>
      </c>
      <c r="T4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3" s="2">
        <f>IF(Table2[[#This Row],[InterConf]]=1,IF(Table2[[#This Row],[InterDiv]]=0, 1, 0), 0)</f>
        <v>0</v>
      </c>
      <c r="W4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3" s="2"/>
      <c r="Y473" s="2"/>
      <c r="Z473" s="145">
        <f>IF(AND(Table2[[#This Row],[GameIsOver]]=1,Table2[[#This Row],[ActualHomeScore]]*Table2[[#This Row],[ActualAwayScore]]=0), 1,0)</f>
        <v>0</v>
      </c>
      <c r="AA4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3" s="2">
        <f>Table2[[#This Row],[ActualAwayScore]]-Table2[[#This Row],[PredictedAwayScore]]</f>
        <v>0</v>
      </c>
      <c r="AG473" s="2">
        <f>Table2[[#This Row],[ActualHomeScore]]-Table2[[#This Row],[PredictedHomeScore]]</f>
        <v>0</v>
      </c>
      <c r="AH473" s="2">
        <f t="shared" si="42"/>
        <v>0</v>
      </c>
      <c r="AI473" s="2">
        <f t="shared" si="43"/>
        <v>0</v>
      </c>
      <c r="AJ473" s="2"/>
      <c r="AK473" s="2"/>
      <c r="AL473" s="2">
        <f>IF(Table2[[#This Row],[GameIsOver]]=0,0,IF(Table2[[#This Row],[ActualWinner]]=Table2[[#This Row],[AwayTeam]], 1, 0))</f>
        <v>0</v>
      </c>
      <c r="AM473" s="2">
        <f>IF(Table2[[#This Row],[GameIsOver]]=0,0,IF(Table2[[#This Row],[ActualWinner]]=Table2[[#This Row],[HomeTeam]], 1, 0))</f>
        <v>0</v>
      </c>
      <c r="AN4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3" s="2" t="str">
        <f>INDEX(Sheet5!$B$2:$AG$33, MATCH(Table2[[#This Row],[AwayTeam]],Sheet5!$A$2:$A$33, 0), MATCH(Table2[[#This Row],[HomeTeam]],Sheet5!$A$2:$A$33, 0))</f>
        <v>0-0-0</v>
      </c>
      <c r="AP473" s="2" t="str">
        <f>INDEX(Sheet5!$B$2:$AG$33, MATCH(Table2[[#This Row],[HomeTeam]],Sheet5!$A$2:$A$33, 0), MATCH(Table2[[#This Row],[AwayTeam]],Sheet5!$A$2:$A$33, 0))</f>
        <v>0-0-0</v>
      </c>
      <c r="AQ473" s="2">
        <f>IF(Table2[[#This Row],[GameHasShutOut]], 1, 0)</f>
        <v>0</v>
      </c>
      <c r="AR473" s="2">
        <f>IF(Table2[[#This Row],[ActualAwayScore]] + Table2[[#This Row],[ActualHomeScore]] &gt;= 10, 1, 0)</f>
        <v>0</v>
      </c>
      <c r="AS473" s="2">
        <f>IF(ABS(Table2[[#This Row],[ActualAwayScore]]-Table2[[#This Row],[ActualHomeScore]])&gt;=5, 1, 0)</f>
        <v>0</v>
      </c>
      <c r="AT473" s="2">
        <f>IF(Table2[[#This Row],[ActualAwayScore]] + Table2[[#This Row],[ActualHomeScore]] &lt;= 3, 1, 0)</f>
        <v>1</v>
      </c>
      <c r="AU473" s="2"/>
      <c r="AV473" s="2"/>
    </row>
    <row r="474" spans="1:48" x14ac:dyDescent="0.25">
      <c r="A474" s="3"/>
      <c r="B474" s="3">
        <v>46001</v>
      </c>
      <c r="C474" s="5">
        <v>2025020472</v>
      </c>
      <c r="D474" s="2" t="s">
        <v>15</v>
      </c>
      <c r="E474" s="2" t="s">
        <v>12</v>
      </c>
      <c r="F474" s="2"/>
      <c r="G474" s="2"/>
      <c r="H474" s="2" t="str">
        <f t="shared" si="39"/>
        <v>_</v>
      </c>
      <c r="I474" s="2"/>
      <c r="J474" s="2"/>
      <c r="K474" s="2"/>
      <c r="L474" s="2" t="str">
        <f t="shared" si="40"/>
        <v>_</v>
      </c>
      <c r="M474" s="2"/>
      <c r="N474" s="2">
        <f>IF(ISBLANK(Table2[[#This Row],[ActualResult]]), 0, 1)</f>
        <v>0</v>
      </c>
      <c r="O474" s="2" t="str">
        <f>IF(ISBLANK(Table2[[#This Row],[ActualResult]]), "_", IF(Table2[[#This Row],[ActualWinner]]=Table2[[#This Row],[PredictedWinner]], "Y", "N"))</f>
        <v>_</v>
      </c>
      <c r="P4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4" s="2"/>
      <c r="S474" s="2" t="str">
        <f t="shared" si="41"/>
        <v>_</v>
      </c>
      <c r="T4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4" s="2">
        <f>IF(Table2[[#This Row],[InterConf]]=1,IF(Table2[[#This Row],[InterDiv]]=0, 1, 0), 0)</f>
        <v>0</v>
      </c>
      <c r="W4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4" s="2"/>
      <c r="Y474" s="2"/>
      <c r="Z474" s="145">
        <f>IF(AND(Table2[[#This Row],[GameIsOver]]=1,Table2[[#This Row],[ActualHomeScore]]*Table2[[#This Row],[ActualAwayScore]]=0), 1,0)</f>
        <v>0</v>
      </c>
      <c r="AA4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4" s="2">
        <f>Table2[[#This Row],[ActualAwayScore]]-Table2[[#This Row],[PredictedAwayScore]]</f>
        <v>0</v>
      </c>
      <c r="AG474" s="2">
        <f>Table2[[#This Row],[ActualHomeScore]]-Table2[[#This Row],[PredictedHomeScore]]</f>
        <v>0</v>
      </c>
      <c r="AH474" s="2">
        <f t="shared" si="42"/>
        <v>0</v>
      </c>
      <c r="AI474" s="2">
        <f t="shared" si="43"/>
        <v>0</v>
      </c>
      <c r="AJ474" s="2"/>
      <c r="AK474" s="2"/>
      <c r="AL474" s="2">
        <f>IF(Table2[[#This Row],[GameIsOver]]=0,0,IF(Table2[[#This Row],[ActualWinner]]=Table2[[#This Row],[AwayTeam]], 1, 0))</f>
        <v>0</v>
      </c>
      <c r="AM474" s="2">
        <f>IF(Table2[[#This Row],[GameIsOver]]=0,0,IF(Table2[[#This Row],[ActualWinner]]=Table2[[#This Row],[HomeTeam]], 1, 0))</f>
        <v>0</v>
      </c>
      <c r="AN4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4" s="2" t="str">
        <f>INDEX(Sheet5!$B$2:$AG$33, MATCH(Table2[[#This Row],[AwayTeam]],Sheet5!$A$2:$A$33, 0), MATCH(Table2[[#This Row],[HomeTeam]],Sheet5!$A$2:$A$33, 0))</f>
        <v>0-0-0</v>
      </c>
      <c r="AP474" s="2" t="str">
        <f>INDEX(Sheet5!$B$2:$AG$33, MATCH(Table2[[#This Row],[HomeTeam]],Sheet5!$A$2:$A$33, 0), MATCH(Table2[[#This Row],[AwayTeam]],Sheet5!$A$2:$A$33, 0))</f>
        <v>0-0-0</v>
      </c>
      <c r="AQ474" s="2">
        <f>IF(Table2[[#This Row],[GameHasShutOut]], 1, 0)</f>
        <v>0</v>
      </c>
      <c r="AR474" s="2">
        <f>IF(Table2[[#This Row],[ActualAwayScore]] + Table2[[#This Row],[ActualHomeScore]] &gt;= 10, 1, 0)</f>
        <v>0</v>
      </c>
      <c r="AS474" s="2">
        <f>IF(ABS(Table2[[#This Row],[ActualAwayScore]]-Table2[[#This Row],[ActualHomeScore]])&gt;=5, 1, 0)</f>
        <v>0</v>
      </c>
      <c r="AT474" s="2">
        <f>IF(Table2[[#This Row],[ActualAwayScore]] + Table2[[#This Row],[ActualHomeScore]] &lt;= 3, 1, 0)</f>
        <v>1</v>
      </c>
      <c r="AU474" s="2"/>
      <c r="AV474" s="2"/>
    </row>
    <row r="475" spans="1:48" x14ac:dyDescent="0.25">
      <c r="A475" s="3"/>
      <c r="B475" s="3">
        <v>46001</v>
      </c>
      <c r="C475" s="5">
        <v>2025020473</v>
      </c>
      <c r="D475" s="2" t="s">
        <v>33</v>
      </c>
      <c r="E475" s="2" t="s">
        <v>21</v>
      </c>
      <c r="F475" s="2"/>
      <c r="G475" s="2"/>
      <c r="H475" s="2" t="str">
        <f t="shared" si="39"/>
        <v>_</v>
      </c>
      <c r="I475" s="2"/>
      <c r="J475" s="2"/>
      <c r="K475" s="2"/>
      <c r="L475" s="2" t="str">
        <f t="shared" si="40"/>
        <v>_</v>
      </c>
      <c r="M475" s="2"/>
      <c r="N475" s="2">
        <f>IF(ISBLANK(Table2[[#This Row],[ActualResult]]), 0, 1)</f>
        <v>0</v>
      </c>
      <c r="O475" s="2" t="str">
        <f>IF(ISBLANK(Table2[[#This Row],[ActualResult]]), "_", IF(Table2[[#This Row],[ActualWinner]]=Table2[[#This Row],[PredictedWinner]], "Y", "N"))</f>
        <v>_</v>
      </c>
      <c r="P4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5" s="2"/>
      <c r="S475" s="2" t="str">
        <f t="shared" si="41"/>
        <v>_</v>
      </c>
      <c r="T4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5" s="2">
        <f>IF(Table2[[#This Row],[InterConf]]=1,IF(Table2[[#This Row],[InterDiv]]=0, 1, 0), 0)</f>
        <v>0</v>
      </c>
      <c r="W4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5" s="2"/>
      <c r="Y475" s="2"/>
      <c r="Z475" s="145">
        <f>IF(AND(Table2[[#This Row],[GameIsOver]]=1,Table2[[#This Row],[ActualHomeScore]]*Table2[[#This Row],[ActualAwayScore]]=0), 1,0)</f>
        <v>0</v>
      </c>
      <c r="AA4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5" s="2">
        <f>Table2[[#This Row],[ActualAwayScore]]-Table2[[#This Row],[PredictedAwayScore]]</f>
        <v>0</v>
      </c>
      <c r="AG475" s="2">
        <f>Table2[[#This Row],[ActualHomeScore]]-Table2[[#This Row],[PredictedHomeScore]]</f>
        <v>0</v>
      </c>
      <c r="AH475" s="2">
        <f t="shared" si="42"/>
        <v>0</v>
      </c>
      <c r="AI475" s="2">
        <f t="shared" si="43"/>
        <v>0</v>
      </c>
      <c r="AJ475" s="2"/>
      <c r="AK475" s="2"/>
      <c r="AL475" s="2">
        <f>IF(Table2[[#This Row],[GameIsOver]]=0,0,IF(Table2[[#This Row],[ActualWinner]]=Table2[[#This Row],[AwayTeam]], 1, 0))</f>
        <v>0</v>
      </c>
      <c r="AM475" s="2">
        <f>IF(Table2[[#This Row],[GameIsOver]]=0,0,IF(Table2[[#This Row],[ActualWinner]]=Table2[[#This Row],[HomeTeam]], 1, 0))</f>
        <v>0</v>
      </c>
      <c r="AN4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5" s="2" t="str">
        <f>INDEX(Sheet5!$B$2:$AG$33, MATCH(Table2[[#This Row],[AwayTeam]],Sheet5!$A$2:$A$33, 0), MATCH(Table2[[#This Row],[HomeTeam]],Sheet5!$A$2:$A$33, 0))</f>
        <v>1-0-0</v>
      </c>
      <c r="AP475" s="2" t="str">
        <f>INDEX(Sheet5!$B$2:$AG$33, MATCH(Table2[[#This Row],[HomeTeam]],Sheet5!$A$2:$A$33, 0), MATCH(Table2[[#This Row],[AwayTeam]],Sheet5!$A$2:$A$33, 0))</f>
        <v>0-1-0</v>
      </c>
      <c r="AQ475" s="2">
        <f>IF(Table2[[#This Row],[GameHasShutOut]], 1, 0)</f>
        <v>0</v>
      </c>
      <c r="AR475" s="2">
        <f>IF(Table2[[#This Row],[ActualAwayScore]] + Table2[[#This Row],[ActualHomeScore]] &gt;= 10, 1, 0)</f>
        <v>0</v>
      </c>
      <c r="AS475" s="2">
        <f>IF(ABS(Table2[[#This Row],[ActualAwayScore]]-Table2[[#This Row],[ActualHomeScore]])&gt;=5, 1, 0)</f>
        <v>0</v>
      </c>
      <c r="AT475" s="2">
        <f>IF(Table2[[#This Row],[ActualAwayScore]] + Table2[[#This Row],[ActualHomeScore]] &lt;= 3, 1, 0)</f>
        <v>1</v>
      </c>
      <c r="AU475" s="2"/>
      <c r="AV475" s="2"/>
    </row>
    <row r="476" spans="1:48" x14ac:dyDescent="0.25">
      <c r="A476" s="3"/>
      <c r="B476" s="3">
        <v>46001</v>
      </c>
      <c r="C476" s="5">
        <v>2025020474</v>
      </c>
      <c r="D476" s="2" t="s">
        <v>28</v>
      </c>
      <c r="E476" s="2" t="s">
        <v>22</v>
      </c>
      <c r="F476" s="2"/>
      <c r="G476" s="2"/>
      <c r="H476" s="2" t="str">
        <f t="shared" si="39"/>
        <v>_</v>
      </c>
      <c r="I476" s="2"/>
      <c r="J476" s="2"/>
      <c r="K476" s="2"/>
      <c r="L476" s="2" t="str">
        <f t="shared" si="40"/>
        <v>_</v>
      </c>
      <c r="M476" s="2"/>
      <c r="N476" s="2">
        <f>IF(ISBLANK(Table2[[#This Row],[ActualResult]]), 0, 1)</f>
        <v>0</v>
      </c>
      <c r="O476" s="2" t="str">
        <f>IF(ISBLANK(Table2[[#This Row],[ActualResult]]), "_", IF(Table2[[#This Row],[ActualWinner]]=Table2[[#This Row],[PredictedWinner]], "Y", "N"))</f>
        <v>_</v>
      </c>
      <c r="P4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6" s="2"/>
      <c r="S476" s="2" t="str">
        <f t="shared" si="41"/>
        <v>_</v>
      </c>
      <c r="T4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6" s="2">
        <f>IF(Table2[[#This Row],[InterConf]]=1,IF(Table2[[#This Row],[InterDiv]]=0, 1, 0), 0)</f>
        <v>0</v>
      </c>
      <c r="W4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6" s="2"/>
      <c r="Y476" s="2"/>
      <c r="Z476" s="145">
        <f>IF(AND(Table2[[#This Row],[GameIsOver]]=1,Table2[[#This Row],[ActualHomeScore]]*Table2[[#This Row],[ActualAwayScore]]=0), 1,0)</f>
        <v>0</v>
      </c>
      <c r="AA4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6" s="2">
        <f>Table2[[#This Row],[ActualAwayScore]]-Table2[[#This Row],[PredictedAwayScore]]</f>
        <v>0</v>
      </c>
      <c r="AG476" s="2">
        <f>Table2[[#This Row],[ActualHomeScore]]-Table2[[#This Row],[PredictedHomeScore]]</f>
        <v>0</v>
      </c>
      <c r="AH476" s="2">
        <f t="shared" si="42"/>
        <v>0</v>
      </c>
      <c r="AI476" s="2">
        <f t="shared" si="43"/>
        <v>0</v>
      </c>
      <c r="AJ476" s="2"/>
      <c r="AK476" s="2"/>
      <c r="AL476" s="2">
        <f>IF(Table2[[#This Row],[GameIsOver]]=0,0,IF(Table2[[#This Row],[ActualWinner]]=Table2[[#This Row],[AwayTeam]], 1, 0))</f>
        <v>0</v>
      </c>
      <c r="AM476" s="2">
        <f>IF(Table2[[#This Row],[GameIsOver]]=0,0,IF(Table2[[#This Row],[ActualWinner]]=Table2[[#This Row],[HomeTeam]], 1, 0))</f>
        <v>0</v>
      </c>
      <c r="AN4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6" s="2" t="str">
        <f>INDEX(Sheet5!$B$2:$AG$33, MATCH(Table2[[#This Row],[AwayTeam]],Sheet5!$A$2:$A$33, 0), MATCH(Table2[[#This Row],[HomeTeam]],Sheet5!$A$2:$A$33, 0))</f>
        <v>0-0-0</v>
      </c>
      <c r="AP476" s="2" t="str">
        <f>INDEX(Sheet5!$B$2:$AG$33, MATCH(Table2[[#This Row],[HomeTeam]],Sheet5!$A$2:$A$33, 0), MATCH(Table2[[#This Row],[AwayTeam]],Sheet5!$A$2:$A$33, 0))</f>
        <v>0-0-0</v>
      </c>
      <c r="AQ476" s="2">
        <f>IF(Table2[[#This Row],[GameHasShutOut]], 1, 0)</f>
        <v>0</v>
      </c>
      <c r="AR476" s="2">
        <f>IF(Table2[[#This Row],[ActualAwayScore]] + Table2[[#This Row],[ActualHomeScore]] &gt;= 10, 1, 0)</f>
        <v>0</v>
      </c>
      <c r="AS476" s="2">
        <f>IF(ABS(Table2[[#This Row],[ActualAwayScore]]-Table2[[#This Row],[ActualHomeScore]])&gt;=5, 1, 0)</f>
        <v>0</v>
      </c>
      <c r="AT476" s="2">
        <f>IF(Table2[[#This Row],[ActualAwayScore]] + Table2[[#This Row],[ActualHomeScore]] &lt;= 3, 1, 0)</f>
        <v>1</v>
      </c>
      <c r="AU476" s="2"/>
      <c r="AV476" s="2"/>
    </row>
    <row r="477" spans="1:48" x14ac:dyDescent="0.25">
      <c r="A477" s="3"/>
      <c r="B477" s="3">
        <v>46001</v>
      </c>
      <c r="C477" s="5">
        <v>2025020475</v>
      </c>
      <c r="D477" s="2" t="s">
        <v>25</v>
      </c>
      <c r="E477" s="2" t="s">
        <v>34</v>
      </c>
      <c r="F477" s="2"/>
      <c r="G477" s="2"/>
      <c r="H477" s="2" t="str">
        <f t="shared" si="39"/>
        <v>_</v>
      </c>
      <c r="I477" s="2"/>
      <c r="J477" s="2"/>
      <c r="K477" s="2"/>
      <c r="L477" s="2" t="str">
        <f t="shared" si="40"/>
        <v>_</v>
      </c>
      <c r="M477" s="2"/>
      <c r="N477" s="2">
        <f>IF(ISBLANK(Table2[[#This Row],[ActualResult]]), 0, 1)</f>
        <v>0</v>
      </c>
      <c r="O477" s="2" t="str">
        <f>IF(ISBLANK(Table2[[#This Row],[ActualResult]]), "_", IF(Table2[[#This Row],[ActualWinner]]=Table2[[#This Row],[PredictedWinner]], "Y", "N"))</f>
        <v>_</v>
      </c>
      <c r="P4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7" s="2"/>
      <c r="S477" s="2" t="str">
        <f t="shared" si="41"/>
        <v>_</v>
      </c>
      <c r="T4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7" s="2">
        <f>IF(Table2[[#This Row],[InterConf]]=1,IF(Table2[[#This Row],[InterDiv]]=0, 1, 0), 0)</f>
        <v>0</v>
      </c>
      <c r="W4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7" s="2"/>
      <c r="Y477" s="2"/>
      <c r="Z477" s="145">
        <f>IF(AND(Table2[[#This Row],[GameIsOver]]=1,Table2[[#This Row],[ActualHomeScore]]*Table2[[#This Row],[ActualAwayScore]]=0), 1,0)</f>
        <v>0</v>
      </c>
      <c r="AA4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7" s="2">
        <f>Table2[[#This Row],[ActualAwayScore]]-Table2[[#This Row],[PredictedAwayScore]]</f>
        <v>0</v>
      </c>
      <c r="AG477" s="2">
        <f>Table2[[#This Row],[ActualHomeScore]]-Table2[[#This Row],[PredictedHomeScore]]</f>
        <v>0</v>
      </c>
      <c r="AH477" s="2">
        <f t="shared" si="42"/>
        <v>0</v>
      </c>
      <c r="AI477" s="2">
        <f t="shared" si="43"/>
        <v>0</v>
      </c>
      <c r="AJ477" s="2"/>
      <c r="AK477" s="2"/>
      <c r="AL477" s="2">
        <f>IF(Table2[[#This Row],[GameIsOver]]=0,0,IF(Table2[[#This Row],[ActualWinner]]=Table2[[#This Row],[AwayTeam]], 1, 0))</f>
        <v>0</v>
      </c>
      <c r="AM477" s="2">
        <f>IF(Table2[[#This Row],[GameIsOver]]=0,0,IF(Table2[[#This Row],[ActualWinner]]=Table2[[#This Row],[HomeTeam]], 1, 0))</f>
        <v>0</v>
      </c>
      <c r="AN4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7" s="2" t="str">
        <f>INDEX(Sheet5!$B$2:$AG$33, MATCH(Table2[[#This Row],[AwayTeam]],Sheet5!$A$2:$A$33, 0), MATCH(Table2[[#This Row],[HomeTeam]],Sheet5!$A$2:$A$33, 0))</f>
        <v>0-0-0</v>
      </c>
      <c r="AP477" s="2" t="str">
        <f>INDEX(Sheet5!$B$2:$AG$33, MATCH(Table2[[#This Row],[HomeTeam]],Sheet5!$A$2:$A$33, 0), MATCH(Table2[[#This Row],[AwayTeam]],Sheet5!$A$2:$A$33, 0))</f>
        <v>0-0-0</v>
      </c>
      <c r="AQ477" s="2">
        <f>IF(Table2[[#This Row],[GameHasShutOut]], 1, 0)</f>
        <v>0</v>
      </c>
      <c r="AR477" s="2">
        <f>IF(Table2[[#This Row],[ActualAwayScore]] + Table2[[#This Row],[ActualHomeScore]] &gt;= 10, 1, 0)</f>
        <v>0</v>
      </c>
      <c r="AS477" s="2">
        <f>IF(ABS(Table2[[#This Row],[ActualAwayScore]]-Table2[[#This Row],[ActualHomeScore]])&gt;=5, 1, 0)</f>
        <v>0</v>
      </c>
      <c r="AT477" s="2">
        <f>IF(Table2[[#This Row],[ActualAwayScore]] + Table2[[#This Row],[ActualHomeScore]] &lt;= 3, 1, 0)</f>
        <v>1</v>
      </c>
      <c r="AU477" s="2"/>
      <c r="AV477" s="2"/>
    </row>
    <row r="478" spans="1:48" x14ac:dyDescent="0.25">
      <c r="A478" s="3"/>
      <c r="B478" s="3">
        <v>46002</v>
      </c>
      <c r="C478" s="5">
        <v>2025020476</v>
      </c>
      <c r="D478" s="2" t="s">
        <v>19</v>
      </c>
      <c r="E478" s="2" t="s">
        <v>16</v>
      </c>
      <c r="F478" s="2"/>
      <c r="G478" s="2"/>
      <c r="H478" s="2" t="str">
        <f t="shared" si="39"/>
        <v>_</v>
      </c>
      <c r="I478" s="2"/>
      <c r="J478" s="2"/>
      <c r="K478" s="2"/>
      <c r="L478" s="2" t="str">
        <f t="shared" si="40"/>
        <v>_</v>
      </c>
      <c r="M478" s="2"/>
      <c r="N478" s="2">
        <f>IF(ISBLANK(Table2[[#This Row],[ActualResult]]), 0, 1)</f>
        <v>0</v>
      </c>
      <c r="O478" s="2" t="str">
        <f>IF(ISBLANK(Table2[[#This Row],[ActualResult]]), "_", IF(Table2[[#This Row],[ActualWinner]]=Table2[[#This Row],[PredictedWinner]], "Y", "N"))</f>
        <v>_</v>
      </c>
      <c r="P4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8" s="2"/>
      <c r="S478" s="2" t="str">
        <f t="shared" si="41"/>
        <v>_</v>
      </c>
      <c r="T4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8" s="2">
        <f>IF(Table2[[#This Row],[InterConf]]=1,IF(Table2[[#This Row],[InterDiv]]=0, 1, 0), 0)</f>
        <v>0</v>
      </c>
      <c r="W4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8" s="2"/>
      <c r="Y478" s="2"/>
      <c r="Z478" s="145">
        <f>IF(AND(Table2[[#This Row],[GameIsOver]]=1,Table2[[#This Row],[ActualHomeScore]]*Table2[[#This Row],[ActualAwayScore]]=0), 1,0)</f>
        <v>0</v>
      </c>
      <c r="AA4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78" s="2">
        <f>Table2[[#This Row],[ActualAwayScore]]-Table2[[#This Row],[PredictedAwayScore]]</f>
        <v>0</v>
      </c>
      <c r="AG478" s="2">
        <f>Table2[[#This Row],[ActualHomeScore]]-Table2[[#This Row],[PredictedHomeScore]]</f>
        <v>0</v>
      </c>
      <c r="AH478" s="2">
        <f t="shared" si="42"/>
        <v>0</v>
      </c>
      <c r="AI478" s="2">
        <f t="shared" si="43"/>
        <v>0</v>
      </c>
      <c r="AJ478" s="2"/>
      <c r="AK478" s="2"/>
      <c r="AL478" s="2">
        <f>IF(Table2[[#This Row],[GameIsOver]]=0,0,IF(Table2[[#This Row],[ActualWinner]]=Table2[[#This Row],[AwayTeam]], 1, 0))</f>
        <v>0</v>
      </c>
      <c r="AM478" s="2">
        <f>IF(Table2[[#This Row],[GameIsOver]]=0,0,IF(Table2[[#This Row],[ActualWinner]]=Table2[[#This Row],[HomeTeam]], 1, 0))</f>
        <v>0</v>
      </c>
      <c r="AN4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8" s="2" t="str">
        <f>INDEX(Sheet5!$B$2:$AG$33, MATCH(Table2[[#This Row],[AwayTeam]],Sheet5!$A$2:$A$33, 0), MATCH(Table2[[#This Row],[HomeTeam]],Sheet5!$A$2:$A$33, 0))</f>
        <v>0-0-0</v>
      </c>
      <c r="AP478" s="2" t="str">
        <f>INDEX(Sheet5!$B$2:$AG$33, MATCH(Table2[[#This Row],[HomeTeam]],Sheet5!$A$2:$A$33, 0), MATCH(Table2[[#This Row],[AwayTeam]],Sheet5!$A$2:$A$33, 0))</f>
        <v>0-0-0</v>
      </c>
      <c r="AQ478" s="2">
        <f>IF(Table2[[#This Row],[GameHasShutOut]], 1, 0)</f>
        <v>0</v>
      </c>
      <c r="AR478" s="2">
        <f>IF(Table2[[#This Row],[ActualAwayScore]] + Table2[[#This Row],[ActualHomeScore]] &gt;= 10, 1, 0)</f>
        <v>0</v>
      </c>
      <c r="AS478" s="2">
        <f>IF(ABS(Table2[[#This Row],[ActualAwayScore]]-Table2[[#This Row],[ActualHomeScore]])&gt;=5, 1, 0)</f>
        <v>0</v>
      </c>
      <c r="AT478" s="2">
        <f>IF(Table2[[#This Row],[ActualAwayScore]] + Table2[[#This Row],[ActualHomeScore]] &lt;= 3, 1, 0)</f>
        <v>1</v>
      </c>
      <c r="AU478" s="2"/>
      <c r="AV478" s="2"/>
    </row>
    <row r="479" spans="1:48" x14ac:dyDescent="0.25">
      <c r="A479" s="3"/>
      <c r="B479" s="3">
        <v>46002</v>
      </c>
      <c r="C479" s="5">
        <v>2025020477</v>
      </c>
      <c r="D479" s="2" t="s">
        <v>30</v>
      </c>
      <c r="E479" s="2" t="s">
        <v>23</v>
      </c>
      <c r="F479" s="2"/>
      <c r="G479" s="2"/>
      <c r="H479" s="2" t="str">
        <f t="shared" si="39"/>
        <v>_</v>
      </c>
      <c r="I479" s="2"/>
      <c r="J479" s="2"/>
      <c r="K479" s="2"/>
      <c r="L479" s="2" t="str">
        <f t="shared" si="40"/>
        <v>_</v>
      </c>
      <c r="M479" s="2"/>
      <c r="N479" s="2">
        <f>IF(ISBLANK(Table2[[#This Row],[ActualResult]]), 0, 1)</f>
        <v>0</v>
      </c>
      <c r="O479" s="2" t="str">
        <f>IF(ISBLANK(Table2[[#This Row],[ActualResult]]), "_", IF(Table2[[#This Row],[ActualWinner]]=Table2[[#This Row],[PredictedWinner]], "Y", "N"))</f>
        <v>_</v>
      </c>
      <c r="P4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9" s="2"/>
      <c r="S479" s="2" t="str">
        <f t="shared" si="41"/>
        <v>_</v>
      </c>
      <c r="T4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9" s="2">
        <f>IF(Table2[[#This Row],[InterConf]]=1,IF(Table2[[#This Row],[InterDiv]]=0, 1, 0), 0)</f>
        <v>0</v>
      </c>
      <c r="W4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9" s="2"/>
      <c r="Y479" s="2"/>
      <c r="Z479" s="145">
        <f>IF(AND(Table2[[#This Row],[GameIsOver]]=1,Table2[[#This Row],[ActualHomeScore]]*Table2[[#This Row],[ActualAwayScore]]=0), 1,0)</f>
        <v>0</v>
      </c>
      <c r="AA4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79" s="2">
        <f>Table2[[#This Row],[ActualAwayScore]]-Table2[[#This Row],[PredictedAwayScore]]</f>
        <v>0</v>
      </c>
      <c r="AG479" s="2">
        <f>Table2[[#This Row],[ActualHomeScore]]-Table2[[#This Row],[PredictedHomeScore]]</f>
        <v>0</v>
      </c>
      <c r="AH479" s="2">
        <f t="shared" si="42"/>
        <v>0</v>
      </c>
      <c r="AI479" s="2">
        <f t="shared" si="43"/>
        <v>0</v>
      </c>
      <c r="AJ479" s="2"/>
      <c r="AK479" s="2"/>
      <c r="AL479" s="2">
        <f>IF(Table2[[#This Row],[GameIsOver]]=0,0,IF(Table2[[#This Row],[ActualWinner]]=Table2[[#This Row],[AwayTeam]], 1, 0))</f>
        <v>0</v>
      </c>
      <c r="AM479" s="2">
        <f>IF(Table2[[#This Row],[GameIsOver]]=0,0,IF(Table2[[#This Row],[ActualWinner]]=Table2[[#This Row],[HomeTeam]], 1, 0))</f>
        <v>0</v>
      </c>
      <c r="AN4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9" s="2" t="str">
        <f>INDEX(Sheet5!$B$2:$AG$33, MATCH(Table2[[#This Row],[AwayTeam]],Sheet5!$A$2:$A$33, 0), MATCH(Table2[[#This Row],[HomeTeam]],Sheet5!$A$2:$A$33, 0))</f>
        <v>0-0-0</v>
      </c>
      <c r="AP479" s="2" t="str">
        <f>INDEX(Sheet5!$B$2:$AG$33, MATCH(Table2[[#This Row],[HomeTeam]],Sheet5!$A$2:$A$33, 0), MATCH(Table2[[#This Row],[AwayTeam]],Sheet5!$A$2:$A$33, 0))</f>
        <v>0-0-0</v>
      </c>
      <c r="AQ479" s="2">
        <f>IF(Table2[[#This Row],[GameHasShutOut]], 1, 0)</f>
        <v>0</v>
      </c>
      <c r="AR479" s="2">
        <f>IF(Table2[[#This Row],[ActualAwayScore]] + Table2[[#This Row],[ActualHomeScore]] &gt;= 10, 1, 0)</f>
        <v>0</v>
      </c>
      <c r="AS479" s="2">
        <f>IF(ABS(Table2[[#This Row],[ActualAwayScore]]-Table2[[#This Row],[ActualHomeScore]])&gt;=5, 1, 0)</f>
        <v>0</v>
      </c>
      <c r="AT479" s="2">
        <f>IF(Table2[[#This Row],[ActualAwayScore]] + Table2[[#This Row],[ActualHomeScore]] &lt;= 3, 1, 0)</f>
        <v>1</v>
      </c>
      <c r="AU479" s="2"/>
      <c r="AV479" s="2"/>
    </row>
    <row r="480" spans="1:48" x14ac:dyDescent="0.25">
      <c r="A480" s="3"/>
      <c r="B480" s="3">
        <v>46002</v>
      </c>
      <c r="C480" s="5">
        <v>2025020478</v>
      </c>
      <c r="D480" s="2" t="s">
        <v>13</v>
      </c>
      <c r="E480" s="2" t="s">
        <v>14</v>
      </c>
      <c r="F480" s="2"/>
      <c r="G480" s="2"/>
      <c r="H480" s="2" t="str">
        <f t="shared" si="39"/>
        <v>_</v>
      </c>
      <c r="I480" s="2"/>
      <c r="J480" s="2"/>
      <c r="K480" s="2"/>
      <c r="L480" s="2" t="str">
        <f t="shared" si="40"/>
        <v>_</v>
      </c>
      <c r="M480" s="2"/>
      <c r="N480" s="2">
        <f>IF(ISBLANK(Table2[[#This Row],[ActualResult]]), 0, 1)</f>
        <v>0</v>
      </c>
      <c r="O480" s="2" t="str">
        <f>IF(ISBLANK(Table2[[#This Row],[ActualResult]]), "_", IF(Table2[[#This Row],[ActualWinner]]=Table2[[#This Row],[PredictedWinner]], "Y", "N"))</f>
        <v>_</v>
      </c>
      <c r="P4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0" s="2"/>
      <c r="S480" s="2" t="str">
        <f t="shared" si="41"/>
        <v>_</v>
      </c>
      <c r="T4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0" s="2">
        <f>IF(Table2[[#This Row],[InterConf]]=1,IF(Table2[[#This Row],[InterDiv]]=0, 1, 0), 0)</f>
        <v>0</v>
      </c>
      <c r="W4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0" s="2"/>
      <c r="Y480" s="2"/>
      <c r="Z480" s="145">
        <f>IF(AND(Table2[[#This Row],[GameIsOver]]=1,Table2[[#This Row],[ActualHomeScore]]*Table2[[#This Row],[ActualAwayScore]]=0), 1,0)</f>
        <v>0</v>
      </c>
      <c r="AA4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80" s="2">
        <f>Table2[[#This Row],[ActualAwayScore]]-Table2[[#This Row],[PredictedAwayScore]]</f>
        <v>0</v>
      </c>
      <c r="AG480" s="2">
        <f>Table2[[#This Row],[ActualHomeScore]]-Table2[[#This Row],[PredictedHomeScore]]</f>
        <v>0</v>
      </c>
      <c r="AH480" s="2">
        <f t="shared" si="42"/>
        <v>0</v>
      </c>
      <c r="AI480" s="2">
        <f t="shared" si="43"/>
        <v>0</v>
      </c>
      <c r="AJ480" s="2"/>
      <c r="AK480" s="2"/>
      <c r="AL480" s="2">
        <f>IF(Table2[[#This Row],[GameIsOver]]=0,0,IF(Table2[[#This Row],[ActualWinner]]=Table2[[#This Row],[AwayTeam]], 1, 0))</f>
        <v>0</v>
      </c>
      <c r="AM480" s="2">
        <f>IF(Table2[[#This Row],[GameIsOver]]=0,0,IF(Table2[[#This Row],[ActualWinner]]=Table2[[#This Row],[HomeTeam]], 1, 0))</f>
        <v>0</v>
      </c>
      <c r="AN4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0" s="2" t="str">
        <f>INDEX(Sheet5!$B$2:$AG$33, MATCH(Table2[[#This Row],[AwayTeam]],Sheet5!$A$2:$A$33, 0), MATCH(Table2[[#This Row],[HomeTeam]],Sheet5!$A$2:$A$33, 0))</f>
        <v>0-0-0</v>
      </c>
      <c r="AP480" s="2" t="str">
        <f>INDEX(Sheet5!$B$2:$AG$33, MATCH(Table2[[#This Row],[HomeTeam]],Sheet5!$A$2:$A$33, 0), MATCH(Table2[[#This Row],[AwayTeam]],Sheet5!$A$2:$A$33, 0))</f>
        <v>0-0-0</v>
      </c>
      <c r="AQ480" s="2">
        <f>IF(Table2[[#This Row],[GameHasShutOut]], 1, 0)</f>
        <v>0</v>
      </c>
      <c r="AR480" s="2">
        <f>IF(Table2[[#This Row],[ActualAwayScore]] + Table2[[#This Row],[ActualHomeScore]] &gt;= 10, 1, 0)</f>
        <v>0</v>
      </c>
      <c r="AS480" s="2">
        <f>IF(ABS(Table2[[#This Row],[ActualAwayScore]]-Table2[[#This Row],[ActualHomeScore]])&gt;=5, 1, 0)</f>
        <v>0</v>
      </c>
      <c r="AT480" s="2">
        <f>IF(Table2[[#This Row],[ActualAwayScore]] + Table2[[#This Row],[ActualHomeScore]] &lt;= 3, 1, 0)</f>
        <v>1</v>
      </c>
      <c r="AU480" s="2"/>
      <c r="AV480" s="2"/>
    </row>
    <row r="481" spans="1:48" x14ac:dyDescent="0.25">
      <c r="A481" s="3"/>
      <c r="B481" s="3">
        <v>46002</v>
      </c>
      <c r="C481" s="5">
        <v>2025020479</v>
      </c>
      <c r="D481" s="2" t="s">
        <v>27</v>
      </c>
      <c r="E481" s="2" t="s">
        <v>11</v>
      </c>
      <c r="F481" s="2"/>
      <c r="G481" s="2"/>
      <c r="H481" s="2" t="str">
        <f t="shared" si="39"/>
        <v>_</v>
      </c>
      <c r="I481" s="2"/>
      <c r="J481" s="2"/>
      <c r="K481" s="2"/>
      <c r="L481" s="2" t="str">
        <f t="shared" si="40"/>
        <v>_</v>
      </c>
      <c r="M481" s="2"/>
      <c r="N481" s="2">
        <f>IF(ISBLANK(Table2[[#This Row],[ActualResult]]), 0, 1)</f>
        <v>0</v>
      </c>
      <c r="O481" s="2" t="str">
        <f>IF(ISBLANK(Table2[[#This Row],[ActualResult]]), "_", IF(Table2[[#This Row],[ActualWinner]]=Table2[[#This Row],[PredictedWinner]], "Y", "N"))</f>
        <v>_</v>
      </c>
      <c r="P4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1" s="2"/>
      <c r="S481" s="2" t="str">
        <f t="shared" si="41"/>
        <v>_</v>
      </c>
      <c r="T4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81" s="2">
        <f>IF(Table2[[#This Row],[InterConf]]=1,IF(Table2[[#This Row],[InterDiv]]=0, 1, 0), 0)</f>
        <v>0</v>
      </c>
      <c r="W4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1" s="2"/>
      <c r="Y481" s="2"/>
      <c r="Z481" s="145">
        <f>IF(AND(Table2[[#This Row],[GameIsOver]]=1,Table2[[#This Row],[ActualHomeScore]]*Table2[[#This Row],[ActualAwayScore]]=0), 1,0)</f>
        <v>0</v>
      </c>
      <c r="AA4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81" s="2">
        <f>Table2[[#This Row],[ActualAwayScore]]-Table2[[#This Row],[PredictedAwayScore]]</f>
        <v>0</v>
      </c>
      <c r="AG481" s="2">
        <f>Table2[[#This Row],[ActualHomeScore]]-Table2[[#This Row],[PredictedHomeScore]]</f>
        <v>0</v>
      </c>
      <c r="AH481" s="2">
        <f t="shared" si="42"/>
        <v>0</v>
      </c>
      <c r="AI481" s="2">
        <f t="shared" si="43"/>
        <v>0</v>
      </c>
      <c r="AJ481" s="2"/>
      <c r="AK481" s="2"/>
      <c r="AL481" s="2">
        <f>IF(Table2[[#This Row],[GameIsOver]]=0,0,IF(Table2[[#This Row],[ActualWinner]]=Table2[[#This Row],[AwayTeam]], 1, 0))</f>
        <v>0</v>
      </c>
      <c r="AM481" s="2">
        <f>IF(Table2[[#This Row],[GameIsOver]]=0,0,IF(Table2[[#This Row],[ActualWinner]]=Table2[[#This Row],[HomeTeam]], 1, 0))</f>
        <v>0</v>
      </c>
      <c r="AN481" s="2">
        <f>IF(IFERROR(FIND(Table2[[#This Row],[AwayTeam]], _xlfn.TEXTJOIN(";", 1, $BD$31:$BD$40)), 0) &gt; 0, 1, 0) + IF(IFERROR(FIND(Table2[[#This Row],[HomeTeam]], _xlfn.TEXTJOIN(";", 1, $BD$31:$BD$40)), 0) &gt; 0, 1, 0)</f>
        <v>1</v>
      </c>
      <c r="AO481" s="2" t="str">
        <f>INDEX(Sheet5!$B$2:$AG$33, MATCH(Table2[[#This Row],[AwayTeam]],Sheet5!$A$2:$A$33, 0), MATCH(Table2[[#This Row],[HomeTeam]],Sheet5!$A$2:$A$33, 0))</f>
        <v>0-0-0</v>
      </c>
      <c r="AP481" s="2" t="str">
        <f>INDEX(Sheet5!$B$2:$AG$33, MATCH(Table2[[#This Row],[HomeTeam]],Sheet5!$A$2:$A$33, 0), MATCH(Table2[[#This Row],[AwayTeam]],Sheet5!$A$2:$A$33, 0))</f>
        <v>0-0-0</v>
      </c>
      <c r="AQ481" s="2">
        <f>IF(Table2[[#This Row],[GameHasShutOut]], 1, 0)</f>
        <v>0</v>
      </c>
      <c r="AR481" s="2">
        <f>IF(Table2[[#This Row],[ActualAwayScore]] + Table2[[#This Row],[ActualHomeScore]] &gt;= 10, 1, 0)</f>
        <v>0</v>
      </c>
      <c r="AS481" s="2">
        <f>IF(ABS(Table2[[#This Row],[ActualAwayScore]]-Table2[[#This Row],[ActualHomeScore]])&gt;=5, 1, 0)</f>
        <v>0</v>
      </c>
      <c r="AT481" s="2">
        <f>IF(Table2[[#This Row],[ActualAwayScore]] + Table2[[#This Row],[ActualHomeScore]] &lt;= 3, 1, 0)</f>
        <v>1</v>
      </c>
      <c r="AU481" s="2"/>
      <c r="AV481" s="2"/>
    </row>
    <row r="482" spans="1:48" x14ac:dyDescent="0.25">
      <c r="A482" s="3"/>
      <c r="B482" s="3">
        <v>46003</v>
      </c>
      <c r="C482" s="5">
        <v>2025020480</v>
      </c>
      <c r="D482" s="2" t="s">
        <v>37</v>
      </c>
      <c r="E482" s="2" t="s">
        <v>17</v>
      </c>
      <c r="F482" s="2"/>
      <c r="G482" s="2"/>
      <c r="H482" s="2" t="str">
        <f t="shared" si="39"/>
        <v>_</v>
      </c>
      <c r="I482" s="2"/>
      <c r="J482" s="2"/>
      <c r="K482" s="2"/>
      <c r="L482" s="2" t="str">
        <f t="shared" si="40"/>
        <v>_</v>
      </c>
      <c r="M482" s="2"/>
      <c r="N482" s="2">
        <f>IF(ISBLANK(Table2[[#This Row],[ActualResult]]), 0, 1)</f>
        <v>0</v>
      </c>
      <c r="O482" s="2" t="str">
        <f>IF(ISBLANK(Table2[[#This Row],[ActualResult]]), "_", IF(Table2[[#This Row],[ActualWinner]]=Table2[[#This Row],[PredictedWinner]], "Y", "N"))</f>
        <v>_</v>
      </c>
      <c r="P4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2" s="2"/>
      <c r="S482" s="2" t="str">
        <f t="shared" si="41"/>
        <v>_</v>
      </c>
      <c r="T4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2" s="2">
        <f>IF(Table2[[#This Row],[InterConf]]=1,IF(Table2[[#This Row],[InterDiv]]=0, 1, 0), 0)</f>
        <v>0</v>
      </c>
      <c r="W4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2" s="2"/>
      <c r="Y482" s="2"/>
      <c r="Z482" s="145">
        <f>IF(AND(Table2[[#This Row],[GameIsOver]]=1,Table2[[#This Row],[ActualHomeScore]]*Table2[[#This Row],[ActualAwayScore]]=0), 1,0)</f>
        <v>0</v>
      </c>
      <c r="AA4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2" s="2">
        <f>Table2[[#This Row],[ActualAwayScore]]-Table2[[#This Row],[PredictedAwayScore]]</f>
        <v>0</v>
      </c>
      <c r="AG482" s="2">
        <f>Table2[[#This Row],[ActualHomeScore]]-Table2[[#This Row],[PredictedHomeScore]]</f>
        <v>0</v>
      </c>
      <c r="AH482" s="2">
        <f t="shared" si="42"/>
        <v>0</v>
      </c>
      <c r="AI482" s="2">
        <f t="shared" si="43"/>
        <v>0</v>
      </c>
      <c r="AJ482" s="2"/>
      <c r="AK482" s="2"/>
      <c r="AL482" s="2">
        <f>IF(Table2[[#This Row],[GameIsOver]]=0,0,IF(Table2[[#This Row],[ActualWinner]]=Table2[[#This Row],[AwayTeam]], 1, 0))</f>
        <v>0</v>
      </c>
      <c r="AM482" s="2">
        <f>IF(Table2[[#This Row],[GameIsOver]]=0,0,IF(Table2[[#This Row],[ActualWinner]]=Table2[[#This Row],[HomeTeam]], 1, 0))</f>
        <v>0</v>
      </c>
      <c r="AN4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2" s="2" t="str">
        <f>INDEX(Sheet5!$B$2:$AG$33, MATCH(Table2[[#This Row],[AwayTeam]],Sheet5!$A$2:$A$33, 0), MATCH(Table2[[#This Row],[HomeTeam]],Sheet5!$A$2:$A$33, 0))</f>
        <v>0-0-0</v>
      </c>
      <c r="AP482" s="2" t="str">
        <f>INDEX(Sheet5!$B$2:$AG$33, MATCH(Table2[[#This Row],[HomeTeam]],Sheet5!$A$2:$A$33, 0), MATCH(Table2[[#This Row],[AwayTeam]],Sheet5!$A$2:$A$33, 0))</f>
        <v>0-0-0</v>
      </c>
      <c r="AQ482" s="2">
        <f>IF(Table2[[#This Row],[GameHasShutOut]], 1, 0)</f>
        <v>0</v>
      </c>
      <c r="AR482" s="2">
        <f>IF(Table2[[#This Row],[ActualAwayScore]] + Table2[[#This Row],[ActualHomeScore]] &gt;= 10, 1, 0)</f>
        <v>0</v>
      </c>
      <c r="AS482" s="2">
        <f>IF(ABS(Table2[[#This Row],[ActualAwayScore]]-Table2[[#This Row],[ActualHomeScore]])&gt;=5, 1, 0)</f>
        <v>0</v>
      </c>
      <c r="AT482" s="2">
        <f>IF(Table2[[#This Row],[ActualAwayScore]] + Table2[[#This Row],[ActualHomeScore]] &lt;= 3, 1, 0)</f>
        <v>1</v>
      </c>
      <c r="AU482" s="2"/>
      <c r="AV482" s="2"/>
    </row>
    <row r="483" spans="1:48" x14ac:dyDescent="0.25">
      <c r="A483" s="3"/>
      <c r="B483" s="3">
        <v>46003</v>
      </c>
      <c r="C483" s="5">
        <v>2025020481</v>
      </c>
      <c r="D483" s="2" t="s">
        <v>40</v>
      </c>
      <c r="E483" s="2" t="s">
        <v>31</v>
      </c>
      <c r="F483" s="2"/>
      <c r="G483" s="2"/>
      <c r="H483" s="2" t="str">
        <f t="shared" si="39"/>
        <v>_</v>
      </c>
      <c r="I483" s="2"/>
      <c r="J483" s="2"/>
      <c r="K483" s="2"/>
      <c r="L483" s="2" t="str">
        <f t="shared" si="40"/>
        <v>_</v>
      </c>
      <c r="M483" s="2"/>
      <c r="N483" s="2">
        <f>IF(ISBLANK(Table2[[#This Row],[ActualResult]]), 0, 1)</f>
        <v>0</v>
      </c>
      <c r="O483" s="2" t="str">
        <f>IF(ISBLANK(Table2[[#This Row],[ActualResult]]), "_", IF(Table2[[#This Row],[ActualWinner]]=Table2[[#This Row],[PredictedWinner]], "Y", "N"))</f>
        <v>_</v>
      </c>
      <c r="P4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3" s="2"/>
      <c r="S483" s="2" t="str">
        <f t="shared" si="41"/>
        <v>_</v>
      </c>
      <c r="T4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3" s="2">
        <f>IF(Table2[[#This Row],[InterConf]]=1,IF(Table2[[#This Row],[InterDiv]]=0, 1, 0), 0)</f>
        <v>1</v>
      </c>
      <c r="W4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3" s="2"/>
      <c r="Y483" s="2"/>
      <c r="Z483" s="145">
        <f>IF(AND(Table2[[#This Row],[GameIsOver]]=1,Table2[[#This Row],[ActualHomeScore]]*Table2[[#This Row],[ActualAwayScore]]=0), 1,0)</f>
        <v>0</v>
      </c>
      <c r="AA4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3" s="2">
        <f>Table2[[#This Row],[ActualAwayScore]]-Table2[[#This Row],[PredictedAwayScore]]</f>
        <v>0</v>
      </c>
      <c r="AG483" s="2">
        <f>Table2[[#This Row],[ActualHomeScore]]-Table2[[#This Row],[PredictedHomeScore]]</f>
        <v>0</v>
      </c>
      <c r="AH483" s="2">
        <f t="shared" si="42"/>
        <v>0</v>
      </c>
      <c r="AI483" s="2">
        <f t="shared" si="43"/>
        <v>0</v>
      </c>
      <c r="AJ483" s="2"/>
      <c r="AK483" s="2"/>
      <c r="AL483" s="2">
        <f>IF(Table2[[#This Row],[GameIsOver]]=0,0,IF(Table2[[#This Row],[ActualWinner]]=Table2[[#This Row],[AwayTeam]], 1, 0))</f>
        <v>0</v>
      </c>
      <c r="AM483" s="2">
        <f>IF(Table2[[#This Row],[GameIsOver]]=0,0,IF(Table2[[#This Row],[ActualWinner]]=Table2[[#This Row],[HomeTeam]], 1, 0))</f>
        <v>0</v>
      </c>
      <c r="AN4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3" s="2" t="str">
        <f>INDEX(Sheet5!$B$2:$AG$33, MATCH(Table2[[#This Row],[AwayTeam]],Sheet5!$A$2:$A$33, 0), MATCH(Table2[[#This Row],[HomeTeam]],Sheet5!$A$2:$A$33, 0))</f>
        <v>0-1-0</v>
      </c>
      <c r="AP483" s="2" t="str">
        <f>INDEX(Sheet5!$B$2:$AG$33, MATCH(Table2[[#This Row],[HomeTeam]],Sheet5!$A$2:$A$33, 0), MATCH(Table2[[#This Row],[AwayTeam]],Sheet5!$A$2:$A$33, 0))</f>
        <v>1-0-0</v>
      </c>
      <c r="AQ483" s="2">
        <f>IF(Table2[[#This Row],[GameHasShutOut]], 1, 0)</f>
        <v>0</v>
      </c>
      <c r="AR483" s="2">
        <f>IF(Table2[[#This Row],[ActualAwayScore]] + Table2[[#This Row],[ActualHomeScore]] &gt;= 10, 1, 0)</f>
        <v>0</v>
      </c>
      <c r="AS483" s="2">
        <f>IF(ABS(Table2[[#This Row],[ActualAwayScore]]-Table2[[#This Row],[ActualHomeScore]])&gt;=5, 1, 0)</f>
        <v>0</v>
      </c>
      <c r="AT483" s="2">
        <f>IF(Table2[[#This Row],[ActualAwayScore]] + Table2[[#This Row],[ActualHomeScore]] &lt;= 3, 1, 0)</f>
        <v>1</v>
      </c>
      <c r="AU483" s="2"/>
      <c r="AV483" s="2"/>
    </row>
    <row r="484" spans="1:48" x14ac:dyDescent="0.25">
      <c r="A484" s="3"/>
      <c r="B484" s="3">
        <v>46003</v>
      </c>
      <c r="C484" s="5">
        <v>2025020482</v>
      </c>
      <c r="D484" s="2" t="s">
        <v>44</v>
      </c>
      <c r="E484" s="2" t="s">
        <v>32</v>
      </c>
      <c r="F484" s="2"/>
      <c r="G484" s="2"/>
      <c r="H484" s="2" t="str">
        <f t="shared" si="39"/>
        <v>_</v>
      </c>
      <c r="I484" s="2"/>
      <c r="J484" s="2"/>
      <c r="K484" s="2"/>
      <c r="L484" s="2" t="str">
        <f t="shared" si="40"/>
        <v>_</v>
      </c>
      <c r="M484" s="2"/>
      <c r="N484" s="2">
        <f>IF(ISBLANK(Table2[[#This Row],[ActualResult]]), 0, 1)</f>
        <v>0</v>
      </c>
      <c r="O484" s="2" t="str">
        <f>IF(ISBLANK(Table2[[#This Row],[ActualResult]]), "_", IF(Table2[[#This Row],[ActualWinner]]=Table2[[#This Row],[PredictedWinner]], "Y", "N"))</f>
        <v>_</v>
      </c>
      <c r="P4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4" s="2"/>
      <c r="S484" s="2" t="str">
        <f t="shared" si="41"/>
        <v>_</v>
      </c>
      <c r="T4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4" s="2">
        <f>IF(Table2[[#This Row],[InterConf]]=1,IF(Table2[[#This Row],[InterDiv]]=0, 1, 0), 0)</f>
        <v>0</v>
      </c>
      <c r="W4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4" s="2"/>
      <c r="Y484" s="2"/>
      <c r="Z484" s="145">
        <f>IF(AND(Table2[[#This Row],[GameIsOver]]=1,Table2[[#This Row],[ActualHomeScore]]*Table2[[#This Row],[ActualAwayScore]]=0), 1,0)</f>
        <v>0</v>
      </c>
      <c r="AA4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4" s="2">
        <f>Table2[[#This Row],[ActualAwayScore]]-Table2[[#This Row],[PredictedAwayScore]]</f>
        <v>0</v>
      </c>
      <c r="AG484" s="2">
        <f>Table2[[#This Row],[ActualHomeScore]]-Table2[[#This Row],[PredictedHomeScore]]</f>
        <v>0</v>
      </c>
      <c r="AH484" s="2">
        <f t="shared" si="42"/>
        <v>0</v>
      </c>
      <c r="AI484" s="2">
        <f t="shared" si="43"/>
        <v>0</v>
      </c>
      <c r="AJ484" s="2"/>
      <c r="AK484" s="3"/>
      <c r="AL484" s="2">
        <f>IF(Table2[[#This Row],[GameIsOver]]=0,0,IF(Table2[[#This Row],[ActualWinner]]=Table2[[#This Row],[AwayTeam]], 1, 0))</f>
        <v>0</v>
      </c>
      <c r="AM484" s="2">
        <f>IF(Table2[[#This Row],[GameIsOver]]=0,0,IF(Table2[[#This Row],[ActualWinner]]=Table2[[#This Row],[HomeTeam]], 1, 0))</f>
        <v>0</v>
      </c>
      <c r="AN4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4" s="2" t="str">
        <f>INDEX(Sheet5!$B$2:$AG$33, MATCH(Table2[[#This Row],[AwayTeam]],Sheet5!$A$2:$A$33, 0), MATCH(Table2[[#This Row],[HomeTeam]],Sheet5!$A$2:$A$33, 0))</f>
        <v>0-0-0</v>
      </c>
      <c r="AP484" s="2" t="str">
        <f>INDEX(Sheet5!$B$2:$AG$33, MATCH(Table2[[#This Row],[HomeTeam]],Sheet5!$A$2:$A$33, 0), MATCH(Table2[[#This Row],[AwayTeam]],Sheet5!$A$2:$A$33, 0))</f>
        <v>0-0-0</v>
      </c>
      <c r="AQ484" s="2">
        <f>IF(Table2[[#This Row],[GameHasShutOut]], 1, 0)</f>
        <v>0</v>
      </c>
      <c r="AR484" s="2">
        <f>IF(Table2[[#This Row],[ActualAwayScore]] + Table2[[#This Row],[ActualHomeScore]] &gt;= 10, 1, 0)</f>
        <v>0</v>
      </c>
      <c r="AS484" s="2">
        <f>IF(ABS(Table2[[#This Row],[ActualAwayScore]]-Table2[[#This Row],[ActualHomeScore]])&gt;=5, 1, 0)</f>
        <v>0</v>
      </c>
      <c r="AT484" s="2">
        <f>IF(Table2[[#This Row],[ActualAwayScore]] + Table2[[#This Row],[ActualHomeScore]] &lt;= 3, 1, 0)</f>
        <v>1</v>
      </c>
      <c r="AU484" s="2"/>
      <c r="AV484" s="2"/>
    </row>
    <row r="485" spans="1:48" x14ac:dyDescent="0.25">
      <c r="A485" s="3"/>
      <c r="B485" s="3">
        <v>46003</v>
      </c>
      <c r="C485" s="5">
        <v>2025020483</v>
      </c>
      <c r="D485" s="2" t="s">
        <v>26</v>
      </c>
      <c r="E485" s="2" t="s">
        <v>42</v>
      </c>
      <c r="F485" s="2"/>
      <c r="G485" s="2"/>
      <c r="H485" s="2" t="str">
        <f t="shared" si="39"/>
        <v>_</v>
      </c>
      <c r="I485" s="2"/>
      <c r="J485" s="2"/>
      <c r="K485" s="2"/>
      <c r="L485" s="2" t="str">
        <f t="shared" si="40"/>
        <v>_</v>
      </c>
      <c r="M485" s="2"/>
      <c r="N485" s="2">
        <f>IF(ISBLANK(Table2[[#This Row],[ActualResult]]), 0, 1)</f>
        <v>0</v>
      </c>
      <c r="O485" s="2" t="str">
        <f>IF(ISBLANK(Table2[[#This Row],[ActualResult]]), "_", IF(Table2[[#This Row],[ActualWinner]]=Table2[[#This Row],[PredictedWinner]], "Y", "N"))</f>
        <v>_</v>
      </c>
      <c r="P4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5" s="2"/>
      <c r="S485" s="2" t="str">
        <f t="shared" si="41"/>
        <v>_</v>
      </c>
      <c r="T4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5" s="2">
        <f>IF(Table2[[#This Row],[InterConf]]=1,IF(Table2[[#This Row],[InterDiv]]=0, 1, 0), 0)</f>
        <v>0</v>
      </c>
      <c r="W4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5" s="2"/>
      <c r="Y485" s="2"/>
      <c r="Z485" s="145">
        <f>IF(AND(Table2[[#This Row],[GameIsOver]]=1,Table2[[#This Row],[ActualHomeScore]]*Table2[[#This Row],[ActualAwayScore]]=0), 1,0)</f>
        <v>0</v>
      </c>
      <c r="AA4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5" s="2">
        <f>Table2[[#This Row],[ActualAwayScore]]-Table2[[#This Row],[PredictedAwayScore]]</f>
        <v>0</v>
      </c>
      <c r="AG485" s="2">
        <f>Table2[[#This Row],[ActualHomeScore]]-Table2[[#This Row],[PredictedHomeScore]]</f>
        <v>0</v>
      </c>
      <c r="AH485" s="2">
        <f t="shared" si="42"/>
        <v>0</v>
      </c>
      <c r="AI485" s="2">
        <f t="shared" si="43"/>
        <v>0</v>
      </c>
      <c r="AJ485" s="2"/>
      <c r="AK485" s="3"/>
      <c r="AL485" s="2">
        <f>IF(Table2[[#This Row],[GameIsOver]]=0,0,IF(Table2[[#This Row],[ActualWinner]]=Table2[[#This Row],[AwayTeam]], 1, 0))</f>
        <v>0</v>
      </c>
      <c r="AM485" s="2">
        <f>IF(Table2[[#This Row],[GameIsOver]]=0,0,IF(Table2[[#This Row],[ActualWinner]]=Table2[[#This Row],[HomeTeam]], 1, 0))</f>
        <v>0</v>
      </c>
      <c r="AN4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5" s="2" t="str">
        <f>INDEX(Sheet5!$B$2:$AG$33, MATCH(Table2[[#This Row],[AwayTeam]],Sheet5!$A$2:$A$33, 0), MATCH(Table2[[#This Row],[HomeTeam]],Sheet5!$A$2:$A$33, 0))</f>
        <v>0-0-0</v>
      </c>
      <c r="AP485" s="2" t="str">
        <f>INDEX(Sheet5!$B$2:$AG$33, MATCH(Table2[[#This Row],[HomeTeam]],Sheet5!$A$2:$A$33, 0), MATCH(Table2[[#This Row],[AwayTeam]],Sheet5!$A$2:$A$33, 0))</f>
        <v>0-0-0</v>
      </c>
      <c r="AQ485" s="2">
        <f>IF(Table2[[#This Row],[GameHasShutOut]], 1, 0)</f>
        <v>0</v>
      </c>
      <c r="AR485" s="2">
        <f>IF(Table2[[#This Row],[ActualAwayScore]] + Table2[[#This Row],[ActualHomeScore]] &gt;= 10, 1, 0)</f>
        <v>0</v>
      </c>
      <c r="AS485" s="2">
        <f>IF(ABS(Table2[[#This Row],[ActualAwayScore]]-Table2[[#This Row],[ActualHomeScore]])&gt;=5, 1, 0)</f>
        <v>0</v>
      </c>
      <c r="AT485" s="2">
        <f>IF(Table2[[#This Row],[ActualAwayScore]] + Table2[[#This Row],[ActualHomeScore]] &lt;= 3, 1, 0)</f>
        <v>1</v>
      </c>
      <c r="AU485" s="2"/>
      <c r="AV485" s="2"/>
    </row>
    <row r="486" spans="1:48" x14ac:dyDescent="0.25">
      <c r="A486" s="3"/>
      <c r="B486" s="3">
        <v>46003</v>
      </c>
      <c r="C486" s="5">
        <v>2025020484</v>
      </c>
      <c r="D486" s="2" t="s">
        <v>18</v>
      </c>
      <c r="E486" s="2" t="s">
        <v>20</v>
      </c>
      <c r="F486" s="2"/>
      <c r="G486" s="2"/>
      <c r="H486" s="2" t="str">
        <f t="shared" si="39"/>
        <v>_</v>
      </c>
      <c r="I486" s="2"/>
      <c r="J486" s="2"/>
      <c r="K486" s="2"/>
      <c r="L486" s="2" t="str">
        <f t="shared" si="40"/>
        <v>_</v>
      </c>
      <c r="M486" s="2"/>
      <c r="N486" s="2">
        <f>IF(ISBLANK(Table2[[#This Row],[ActualResult]]), 0, 1)</f>
        <v>0</v>
      </c>
      <c r="O486" s="2" t="str">
        <f>IF(ISBLANK(Table2[[#This Row],[ActualResult]]), "_", IF(Table2[[#This Row],[ActualWinner]]=Table2[[#This Row],[PredictedWinner]], "Y", "N"))</f>
        <v>_</v>
      </c>
      <c r="P4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6" s="2"/>
      <c r="S486" s="2" t="str">
        <f t="shared" si="41"/>
        <v>_</v>
      </c>
      <c r="T4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6" s="2">
        <f>IF(Table2[[#This Row],[InterConf]]=1,IF(Table2[[#This Row],[InterDiv]]=0, 1, 0), 0)</f>
        <v>1</v>
      </c>
      <c r="W4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6" s="2"/>
      <c r="Y486" s="2"/>
      <c r="Z486" s="145">
        <f>IF(AND(Table2[[#This Row],[GameIsOver]]=1,Table2[[#This Row],[ActualHomeScore]]*Table2[[#This Row],[ActualAwayScore]]=0), 1,0)</f>
        <v>0</v>
      </c>
      <c r="AA4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6" s="2">
        <f>Table2[[#This Row],[ActualAwayScore]]-Table2[[#This Row],[PredictedAwayScore]]</f>
        <v>0</v>
      </c>
      <c r="AG486" s="2">
        <f>Table2[[#This Row],[ActualHomeScore]]-Table2[[#This Row],[PredictedHomeScore]]</f>
        <v>0</v>
      </c>
      <c r="AH486" s="2">
        <f t="shared" si="42"/>
        <v>0</v>
      </c>
      <c r="AI486" s="2">
        <f t="shared" si="43"/>
        <v>0</v>
      </c>
      <c r="AJ486" s="2"/>
      <c r="AK486" s="3"/>
      <c r="AL486" s="2">
        <f>IF(Table2[[#This Row],[GameIsOver]]=0,0,IF(Table2[[#This Row],[ActualWinner]]=Table2[[#This Row],[AwayTeam]], 1, 0))</f>
        <v>0</v>
      </c>
      <c r="AM486" s="2">
        <f>IF(Table2[[#This Row],[GameIsOver]]=0,0,IF(Table2[[#This Row],[ActualWinner]]=Table2[[#This Row],[HomeTeam]], 1, 0))</f>
        <v>0</v>
      </c>
      <c r="AN4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6" s="2" t="str">
        <f>INDEX(Sheet5!$B$2:$AG$33, MATCH(Table2[[#This Row],[AwayTeam]],Sheet5!$A$2:$A$33, 0), MATCH(Table2[[#This Row],[HomeTeam]],Sheet5!$A$2:$A$33, 0))</f>
        <v>0-0-0</v>
      </c>
      <c r="AP486" s="2" t="str">
        <f>INDEX(Sheet5!$B$2:$AG$33, MATCH(Table2[[#This Row],[HomeTeam]],Sheet5!$A$2:$A$33, 0), MATCH(Table2[[#This Row],[AwayTeam]],Sheet5!$A$2:$A$33, 0))</f>
        <v>0-0-0</v>
      </c>
      <c r="AQ486" s="2">
        <f>IF(Table2[[#This Row],[GameHasShutOut]], 1, 0)</f>
        <v>0</v>
      </c>
      <c r="AR486" s="2">
        <f>IF(Table2[[#This Row],[ActualAwayScore]] + Table2[[#This Row],[ActualHomeScore]] &gt;= 10, 1, 0)</f>
        <v>0</v>
      </c>
      <c r="AS486" s="2">
        <f>IF(ABS(Table2[[#This Row],[ActualAwayScore]]-Table2[[#This Row],[ActualHomeScore]])&gt;=5, 1, 0)</f>
        <v>0</v>
      </c>
      <c r="AT486" s="2">
        <f>IF(Table2[[#This Row],[ActualAwayScore]] + Table2[[#This Row],[ActualHomeScore]] &lt;= 3, 1, 0)</f>
        <v>1</v>
      </c>
      <c r="AU486" s="2"/>
      <c r="AV486" s="2"/>
    </row>
    <row r="487" spans="1:48" x14ac:dyDescent="0.25">
      <c r="A487" s="3"/>
      <c r="B487" s="3">
        <v>46003</v>
      </c>
      <c r="C487" s="5">
        <v>2025020485</v>
      </c>
      <c r="D487" s="2" t="s">
        <v>41</v>
      </c>
      <c r="E487" s="2" t="s">
        <v>43</v>
      </c>
      <c r="F487" s="2"/>
      <c r="G487" s="2"/>
      <c r="H487" s="2" t="str">
        <f t="shared" si="39"/>
        <v>_</v>
      </c>
      <c r="I487" s="2"/>
      <c r="J487" s="2"/>
      <c r="K487" s="2"/>
      <c r="L487" s="2" t="str">
        <f t="shared" si="40"/>
        <v>_</v>
      </c>
      <c r="M487" s="2"/>
      <c r="N487" s="2">
        <f>IF(ISBLANK(Table2[[#This Row],[ActualResult]]), 0, 1)</f>
        <v>0</v>
      </c>
      <c r="O487" s="2" t="str">
        <f>IF(ISBLANK(Table2[[#This Row],[ActualResult]]), "_", IF(Table2[[#This Row],[ActualWinner]]=Table2[[#This Row],[PredictedWinner]], "Y", "N"))</f>
        <v>_</v>
      </c>
      <c r="P4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7" s="2"/>
      <c r="S487" s="2" t="str">
        <f t="shared" si="41"/>
        <v>_</v>
      </c>
      <c r="T4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87" s="2">
        <f>IF(Table2[[#This Row],[InterConf]]=1,IF(Table2[[#This Row],[InterDiv]]=0, 1, 0), 0)</f>
        <v>0</v>
      </c>
      <c r="W4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7" s="2"/>
      <c r="Y487" s="2"/>
      <c r="Z487" s="145">
        <f>IF(AND(Table2[[#This Row],[GameIsOver]]=1,Table2[[#This Row],[ActualHomeScore]]*Table2[[#This Row],[ActualAwayScore]]=0), 1,0)</f>
        <v>0</v>
      </c>
      <c r="AA4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7" s="2">
        <f>Table2[[#This Row],[ActualAwayScore]]-Table2[[#This Row],[PredictedAwayScore]]</f>
        <v>0</v>
      </c>
      <c r="AG487" s="2">
        <f>Table2[[#This Row],[ActualHomeScore]]-Table2[[#This Row],[PredictedHomeScore]]</f>
        <v>0</v>
      </c>
      <c r="AH487" s="2">
        <f t="shared" si="42"/>
        <v>0</v>
      </c>
      <c r="AI487" s="2">
        <f t="shared" si="43"/>
        <v>0</v>
      </c>
      <c r="AJ487" s="2"/>
      <c r="AK487" s="3"/>
      <c r="AL487" s="2">
        <f>IF(Table2[[#This Row],[GameIsOver]]=0,0,IF(Table2[[#This Row],[ActualWinner]]=Table2[[#This Row],[AwayTeam]], 1, 0))</f>
        <v>0</v>
      </c>
      <c r="AM487" s="2">
        <f>IF(Table2[[#This Row],[GameIsOver]]=0,0,IF(Table2[[#This Row],[ActualWinner]]=Table2[[#This Row],[HomeTeam]], 1, 0))</f>
        <v>0</v>
      </c>
      <c r="AN4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7" s="2" t="str">
        <f>INDEX(Sheet5!$B$2:$AG$33, MATCH(Table2[[#This Row],[AwayTeam]],Sheet5!$A$2:$A$33, 0), MATCH(Table2[[#This Row],[HomeTeam]],Sheet5!$A$2:$A$33, 0))</f>
        <v>0-0-0</v>
      </c>
      <c r="AP487" s="2" t="str">
        <f>INDEX(Sheet5!$B$2:$AG$33, MATCH(Table2[[#This Row],[HomeTeam]],Sheet5!$A$2:$A$33, 0), MATCH(Table2[[#This Row],[AwayTeam]],Sheet5!$A$2:$A$33, 0))</f>
        <v>0-0-0</v>
      </c>
      <c r="AQ487" s="2">
        <f>IF(Table2[[#This Row],[GameHasShutOut]], 1, 0)</f>
        <v>0</v>
      </c>
      <c r="AR487" s="2">
        <f>IF(Table2[[#This Row],[ActualAwayScore]] + Table2[[#This Row],[ActualHomeScore]] &gt;= 10, 1, 0)</f>
        <v>0</v>
      </c>
      <c r="AS487" s="2">
        <f>IF(ABS(Table2[[#This Row],[ActualAwayScore]]-Table2[[#This Row],[ActualHomeScore]])&gt;=5, 1, 0)</f>
        <v>0</v>
      </c>
      <c r="AT487" s="2">
        <f>IF(Table2[[#This Row],[ActualAwayScore]] + Table2[[#This Row],[ActualHomeScore]] &lt;= 3, 1, 0)</f>
        <v>1</v>
      </c>
      <c r="AU487" s="2"/>
      <c r="AV487" s="2"/>
    </row>
    <row r="488" spans="1:48" x14ac:dyDescent="0.25">
      <c r="A488" s="3"/>
      <c r="B488" s="3">
        <v>46003</v>
      </c>
      <c r="C488" s="5">
        <v>2025020486</v>
      </c>
      <c r="D488" s="2" t="s">
        <v>29</v>
      </c>
      <c r="E488" s="2" t="s">
        <v>35</v>
      </c>
      <c r="F488" s="2"/>
      <c r="G488" s="2"/>
      <c r="H488" s="2" t="str">
        <f t="shared" si="39"/>
        <v>_</v>
      </c>
      <c r="I488" s="2"/>
      <c r="J488" s="2"/>
      <c r="K488" s="2"/>
      <c r="L488" s="2" t="str">
        <f t="shared" si="40"/>
        <v>_</v>
      </c>
      <c r="M488" s="2"/>
      <c r="N488" s="2">
        <f>IF(ISBLANK(Table2[[#This Row],[ActualResult]]), 0, 1)</f>
        <v>0</v>
      </c>
      <c r="O488" s="2" t="str">
        <f>IF(ISBLANK(Table2[[#This Row],[ActualResult]]), "_", IF(Table2[[#This Row],[ActualWinner]]=Table2[[#This Row],[PredictedWinner]], "Y", "N"))</f>
        <v>_</v>
      </c>
      <c r="P4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8" s="2"/>
      <c r="S488" s="2" t="str">
        <f t="shared" si="41"/>
        <v>_</v>
      </c>
      <c r="T4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8" s="2">
        <f>IF(Table2[[#This Row],[InterConf]]=1,IF(Table2[[#This Row],[InterDiv]]=0, 1, 0), 0)</f>
        <v>1</v>
      </c>
      <c r="W4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8" s="2"/>
      <c r="Y488" s="2"/>
      <c r="Z488" s="145">
        <f>IF(AND(Table2[[#This Row],[GameIsOver]]=1,Table2[[#This Row],[ActualHomeScore]]*Table2[[#This Row],[ActualAwayScore]]=0), 1,0)</f>
        <v>0</v>
      </c>
      <c r="AA4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8" s="2">
        <f>Table2[[#This Row],[ActualAwayScore]]-Table2[[#This Row],[PredictedAwayScore]]</f>
        <v>0</v>
      </c>
      <c r="AG488" s="2">
        <f>Table2[[#This Row],[ActualHomeScore]]-Table2[[#This Row],[PredictedHomeScore]]</f>
        <v>0</v>
      </c>
      <c r="AH488" s="2">
        <f t="shared" si="42"/>
        <v>0</v>
      </c>
      <c r="AI488" s="2">
        <f t="shared" si="43"/>
        <v>0</v>
      </c>
      <c r="AJ488" s="2"/>
      <c r="AK488" s="3"/>
      <c r="AL488" s="2">
        <f>IF(Table2[[#This Row],[GameIsOver]]=0,0,IF(Table2[[#This Row],[ActualWinner]]=Table2[[#This Row],[AwayTeam]], 1, 0))</f>
        <v>0</v>
      </c>
      <c r="AM488" s="2">
        <f>IF(Table2[[#This Row],[GameIsOver]]=0,0,IF(Table2[[#This Row],[ActualWinner]]=Table2[[#This Row],[HomeTeam]], 1, 0))</f>
        <v>0</v>
      </c>
      <c r="AN4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8" s="2" t="str">
        <f>INDEX(Sheet5!$B$2:$AG$33, MATCH(Table2[[#This Row],[AwayTeam]],Sheet5!$A$2:$A$33, 0), MATCH(Table2[[#This Row],[HomeTeam]],Sheet5!$A$2:$A$33, 0))</f>
        <v>0-0-0</v>
      </c>
      <c r="AP488" s="2" t="str">
        <f>INDEX(Sheet5!$B$2:$AG$33, MATCH(Table2[[#This Row],[HomeTeam]],Sheet5!$A$2:$A$33, 0), MATCH(Table2[[#This Row],[AwayTeam]],Sheet5!$A$2:$A$33, 0))</f>
        <v>0-0-0</v>
      </c>
      <c r="AQ488" s="2">
        <f>IF(Table2[[#This Row],[GameHasShutOut]], 1, 0)</f>
        <v>0</v>
      </c>
      <c r="AR488" s="2">
        <f>IF(Table2[[#This Row],[ActualAwayScore]] + Table2[[#This Row],[ActualHomeScore]] &gt;= 10, 1, 0)</f>
        <v>0</v>
      </c>
      <c r="AS488" s="2">
        <f>IF(ABS(Table2[[#This Row],[ActualAwayScore]]-Table2[[#This Row],[ActualHomeScore]])&gt;=5, 1, 0)</f>
        <v>0</v>
      </c>
      <c r="AT488" s="2">
        <f>IF(Table2[[#This Row],[ActualAwayScore]] + Table2[[#This Row],[ActualHomeScore]] &lt;= 3, 1, 0)</f>
        <v>1</v>
      </c>
      <c r="AU488" s="2"/>
      <c r="AV488" s="2"/>
    </row>
    <row r="489" spans="1:48" x14ac:dyDescent="0.25">
      <c r="A489" s="3"/>
      <c r="B489" s="3">
        <v>46003</v>
      </c>
      <c r="C489" s="5">
        <v>2025020487</v>
      </c>
      <c r="D489" s="2" t="s">
        <v>12</v>
      </c>
      <c r="E489" s="2" t="s">
        <v>34</v>
      </c>
      <c r="F489" s="2"/>
      <c r="G489" s="2"/>
      <c r="H489" s="2" t="str">
        <f t="shared" si="39"/>
        <v>_</v>
      </c>
      <c r="I489" s="2"/>
      <c r="J489" s="2"/>
      <c r="K489" s="2"/>
      <c r="L489" s="2" t="str">
        <f t="shared" si="40"/>
        <v>_</v>
      </c>
      <c r="M489" s="2"/>
      <c r="N489" s="2">
        <f>IF(ISBLANK(Table2[[#This Row],[ActualResult]]), 0, 1)</f>
        <v>0</v>
      </c>
      <c r="O489" s="2" t="str">
        <f>IF(ISBLANK(Table2[[#This Row],[ActualResult]]), "_", IF(Table2[[#This Row],[ActualWinner]]=Table2[[#This Row],[PredictedWinner]], "Y", "N"))</f>
        <v>_</v>
      </c>
      <c r="P4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9" s="2"/>
      <c r="S489" s="2" t="str">
        <f t="shared" si="41"/>
        <v>_</v>
      </c>
      <c r="T4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89" s="2">
        <f>IF(Table2[[#This Row],[InterConf]]=1,IF(Table2[[#This Row],[InterDiv]]=0, 1, 0), 0)</f>
        <v>0</v>
      </c>
      <c r="W4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9" s="2"/>
      <c r="Y489" s="2"/>
      <c r="Z489" s="145">
        <f>IF(AND(Table2[[#This Row],[GameIsOver]]=1,Table2[[#This Row],[ActualHomeScore]]*Table2[[#This Row],[ActualAwayScore]]=0), 1,0)</f>
        <v>0</v>
      </c>
      <c r="AA4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9" s="2">
        <f>Table2[[#This Row],[ActualAwayScore]]-Table2[[#This Row],[PredictedAwayScore]]</f>
        <v>0</v>
      </c>
      <c r="AG489" s="2">
        <f>Table2[[#This Row],[ActualHomeScore]]-Table2[[#This Row],[PredictedHomeScore]]</f>
        <v>0</v>
      </c>
      <c r="AH489" s="2">
        <f t="shared" si="42"/>
        <v>0</v>
      </c>
      <c r="AI489" s="2">
        <f t="shared" si="43"/>
        <v>0</v>
      </c>
      <c r="AJ489" s="2"/>
      <c r="AK489" s="3"/>
      <c r="AL489" s="2">
        <f>IF(Table2[[#This Row],[GameIsOver]]=0,0,IF(Table2[[#This Row],[ActualWinner]]=Table2[[#This Row],[AwayTeam]], 1, 0))</f>
        <v>0</v>
      </c>
      <c r="AM489" s="2">
        <f>IF(Table2[[#This Row],[GameIsOver]]=0,0,IF(Table2[[#This Row],[ActualWinner]]=Table2[[#This Row],[HomeTeam]], 1, 0))</f>
        <v>0</v>
      </c>
      <c r="AN4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9" s="2" t="str">
        <f>INDEX(Sheet5!$B$2:$AG$33, MATCH(Table2[[#This Row],[AwayTeam]],Sheet5!$A$2:$A$33, 0), MATCH(Table2[[#This Row],[HomeTeam]],Sheet5!$A$2:$A$33, 0))</f>
        <v>0-0-0</v>
      </c>
      <c r="AP489" s="2" t="str">
        <f>INDEX(Sheet5!$B$2:$AG$33, MATCH(Table2[[#This Row],[HomeTeam]],Sheet5!$A$2:$A$33, 0), MATCH(Table2[[#This Row],[AwayTeam]],Sheet5!$A$2:$A$33, 0))</f>
        <v>0-0-0</v>
      </c>
      <c r="AQ489" s="2">
        <f>IF(Table2[[#This Row],[GameHasShutOut]], 1, 0)</f>
        <v>0</v>
      </c>
      <c r="AR489" s="2">
        <f>IF(Table2[[#This Row],[ActualAwayScore]] + Table2[[#This Row],[ActualHomeScore]] &gt;= 10, 1, 0)</f>
        <v>0</v>
      </c>
      <c r="AS489" s="2">
        <f>IF(ABS(Table2[[#This Row],[ActualAwayScore]]-Table2[[#This Row],[ActualHomeScore]])&gt;=5, 1, 0)</f>
        <v>0</v>
      </c>
      <c r="AT489" s="2">
        <f>IF(Table2[[#This Row],[ActualAwayScore]] + Table2[[#This Row],[ActualHomeScore]] &lt;= 3, 1, 0)</f>
        <v>1</v>
      </c>
      <c r="AU489" s="2"/>
      <c r="AV489" s="2"/>
    </row>
    <row r="490" spans="1:48" x14ac:dyDescent="0.25">
      <c r="A490" s="3"/>
      <c r="B490" s="3">
        <v>46003</v>
      </c>
      <c r="C490" s="5">
        <v>2025020488</v>
      </c>
      <c r="D490" s="2" t="s">
        <v>33</v>
      </c>
      <c r="E490" s="2" t="s">
        <v>36</v>
      </c>
      <c r="F490" s="2"/>
      <c r="G490" s="2"/>
      <c r="H490" s="2" t="str">
        <f t="shared" si="39"/>
        <v>_</v>
      </c>
      <c r="I490" s="2"/>
      <c r="J490" s="2"/>
      <c r="K490" s="2"/>
      <c r="L490" s="2" t="str">
        <f t="shared" si="40"/>
        <v>_</v>
      </c>
      <c r="M490" s="2"/>
      <c r="N490" s="2">
        <f>IF(ISBLANK(Table2[[#This Row],[ActualResult]]), 0, 1)</f>
        <v>0</v>
      </c>
      <c r="O490" s="2" t="str">
        <f>IF(ISBLANK(Table2[[#This Row],[ActualResult]]), "_", IF(Table2[[#This Row],[ActualWinner]]=Table2[[#This Row],[PredictedWinner]], "Y", "N"))</f>
        <v>_</v>
      </c>
      <c r="P4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0" s="2"/>
      <c r="S490" s="2" t="str">
        <f t="shared" si="41"/>
        <v>_</v>
      </c>
      <c r="T4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90" s="2">
        <f>IF(Table2[[#This Row],[InterConf]]=1,IF(Table2[[#This Row],[InterDiv]]=0, 1, 0), 0)</f>
        <v>0</v>
      </c>
      <c r="W4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0" s="2"/>
      <c r="Y490" s="2"/>
      <c r="Z490" s="145">
        <f>IF(AND(Table2[[#This Row],[GameIsOver]]=1,Table2[[#This Row],[ActualHomeScore]]*Table2[[#This Row],[ActualAwayScore]]=0), 1,0)</f>
        <v>0</v>
      </c>
      <c r="AA4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0" s="2">
        <f>Table2[[#This Row],[ActualAwayScore]]-Table2[[#This Row],[PredictedAwayScore]]</f>
        <v>0</v>
      </c>
      <c r="AG490" s="2">
        <f>Table2[[#This Row],[ActualHomeScore]]-Table2[[#This Row],[PredictedHomeScore]]</f>
        <v>0</v>
      </c>
      <c r="AH490" s="2">
        <f t="shared" si="42"/>
        <v>0</v>
      </c>
      <c r="AI490" s="2">
        <f t="shared" si="43"/>
        <v>0</v>
      </c>
      <c r="AJ490" s="2"/>
      <c r="AK490" s="3"/>
      <c r="AL490" s="2">
        <f>IF(Table2[[#This Row],[GameIsOver]]=0,0,IF(Table2[[#This Row],[ActualWinner]]=Table2[[#This Row],[AwayTeam]], 1, 0))</f>
        <v>0</v>
      </c>
      <c r="AM490" s="2">
        <f>IF(Table2[[#This Row],[GameIsOver]]=0,0,IF(Table2[[#This Row],[ActualWinner]]=Table2[[#This Row],[HomeTeam]], 1, 0))</f>
        <v>0</v>
      </c>
      <c r="AN4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0" s="2" t="str">
        <f>INDEX(Sheet5!$B$2:$AG$33, MATCH(Table2[[#This Row],[AwayTeam]],Sheet5!$A$2:$A$33, 0), MATCH(Table2[[#This Row],[HomeTeam]],Sheet5!$A$2:$A$33, 0))</f>
        <v>1-0-0</v>
      </c>
      <c r="AP490" s="2" t="str">
        <f>INDEX(Sheet5!$B$2:$AG$33, MATCH(Table2[[#This Row],[HomeTeam]],Sheet5!$A$2:$A$33, 0), MATCH(Table2[[#This Row],[AwayTeam]],Sheet5!$A$2:$A$33, 0))</f>
        <v>0-1-0</v>
      </c>
      <c r="AQ490" s="2">
        <f>IF(Table2[[#This Row],[GameHasShutOut]], 1, 0)</f>
        <v>0</v>
      </c>
      <c r="AR490" s="2">
        <f>IF(Table2[[#This Row],[ActualAwayScore]] + Table2[[#This Row],[ActualHomeScore]] &gt;= 10, 1, 0)</f>
        <v>0</v>
      </c>
      <c r="AS490" s="2">
        <f>IF(ABS(Table2[[#This Row],[ActualAwayScore]]-Table2[[#This Row],[ActualHomeScore]])&gt;=5, 1, 0)</f>
        <v>0</v>
      </c>
      <c r="AT490" s="2">
        <f>IF(Table2[[#This Row],[ActualAwayScore]] + Table2[[#This Row],[ActualHomeScore]] &lt;= 3, 1, 0)</f>
        <v>1</v>
      </c>
      <c r="AU490" s="2"/>
      <c r="AV490" s="2"/>
    </row>
    <row r="491" spans="1:48" x14ac:dyDescent="0.25">
      <c r="A491" s="3"/>
      <c r="B491" s="3">
        <v>46003</v>
      </c>
      <c r="C491" s="5">
        <v>2025020489</v>
      </c>
      <c r="D491" s="2" t="s">
        <v>15</v>
      </c>
      <c r="E491" s="2" t="s">
        <v>21</v>
      </c>
      <c r="F491" s="2"/>
      <c r="G491" s="2"/>
      <c r="H491" s="2" t="str">
        <f t="shared" si="39"/>
        <v>_</v>
      </c>
      <c r="I491" s="2"/>
      <c r="J491" s="2"/>
      <c r="K491" s="2"/>
      <c r="L491" s="2" t="str">
        <f t="shared" si="40"/>
        <v>_</v>
      </c>
      <c r="M491" s="2"/>
      <c r="N491" s="2">
        <f>IF(ISBLANK(Table2[[#This Row],[ActualResult]]), 0, 1)</f>
        <v>0</v>
      </c>
      <c r="O491" s="2" t="str">
        <f>IF(ISBLANK(Table2[[#This Row],[ActualResult]]), "_", IF(Table2[[#This Row],[ActualWinner]]=Table2[[#This Row],[PredictedWinner]], "Y", "N"))</f>
        <v>_</v>
      </c>
      <c r="P4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1" s="2"/>
      <c r="S491" s="2" t="str">
        <f t="shared" si="41"/>
        <v>_</v>
      </c>
      <c r="T4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1" s="2">
        <f>IF(Table2[[#This Row],[InterConf]]=1,IF(Table2[[#This Row],[InterDiv]]=0, 1, 0), 0)</f>
        <v>0</v>
      </c>
      <c r="W4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1" s="2"/>
      <c r="Y491" s="2"/>
      <c r="Z491" s="145">
        <f>IF(AND(Table2[[#This Row],[GameIsOver]]=1,Table2[[#This Row],[ActualHomeScore]]*Table2[[#This Row],[ActualAwayScore]]=0), 1,0)</f>
        <v>0</v>
      </c>
      <c r="AA4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1" s="2">
        <f>Table2[[#This Row],[ActualAwayScore]]-Table2[[#This Row],[PredictedAwayScore]]</f>
        <v>0</v>
      </c>
      <c r="AG491" s="2">
        <f>Table2[[#This Row],[ActualHomeScore]]-Table2[[#This Row],[PredictedHomeScore]]</f>
        <v>0</v>
      </c>
      <c r="AH491" s="2">
        <f t="shared" si="42"/>
        <v>0</v>
      </c>
      <c r="AI491" s="2">
        <f t="shared" si="43"/>
        <v>0</v>
      </c>
      <c r="AJ491" s="2"/>
      <c r="AK491" s="3"/>
      <c r="AL491" s="2">
        <f>IF(Table2[[#This Row],[GameIsOver]]=0,0,IF(Table2[[#This Row],[ActualWinner]]=Table2[[#This Row],[AwayTeam]], 1, 0))</f>
        <v>0</v>
      </c>
      <c r="AM491" s="2">
        <f>IF(Table2[[#This Row],[GameIsOver]]=0,0,IF(Table2[[#This Row],[ActualWinner]]=Table2[[#This Row],[HomeTeam]], 1, 0))</f>
        <v>0</v>
      </c>
      <c r="AN4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1" s="2" t="str">
        <f>INDEX(Sheet5!$B$2:$AG$33, MATCH(Table2[[#This Row],[AwayTeam]],Sheet5!$A$2:$A$33, 0), MATCH(Table2[[#This Row],[HomeTeam]],Sheet5!$A$2:$A$33, 0))</f>
        <v>0-0-0</v>
      </c>
      <c r="AP491" s="2" t="str">
        <f>INDEX(Sheet5!$B$2:$AG$33, MATCH(Table2[[#This Row],[HomeTeam]],Sheet5!$A$2:$A$33, 0), MATCH(Table2[[#This Row],[AwayTeam]],Sheet5!$A$2:$A$33, 0))</f>
        <v>0-0-0</v>
      </c>
      <c r="AQ491" s="2">
        <f>IF(Table2[[#This Row],[GameHasShutOut]], 1, 0)</f>
        <v>0</v>
      </c>
      <c r="AR491" s="2">
        <f>IF(Table2[[#This Row],[ActualAwayScore]] + Table2[[#This Row],[ActualHomeScore]] &gt;= 10, 1, 0)</f>
        <v>0</v>
      </c>
      <c r="AS491" s="2">
        <f>IF(ABS(Table2[[#This Row],[ActualAwayScore]]-Table2[[#This Row],[ActualHomeScore]])&gt;=5, 1, 0)</f>
        <v>0</v>
      </c>
      <c r="AT491" s="2">
        <f>IF(Table2[[#This Row],[ActualAwayScore]] + Table2[[#This Row],[ActualHomeScore]] &lt;= 3, 1, 0)</f>
        <v>1</v>
      </c>
      <c r="AU491" s="2"/>
      <c r="AV491" s="2"/>
    </row>
    <row r="492" spans="1:48" x14ac:dyDescent="0.25">
      <c r="A492" s="3"/>
      <c r="B492" s="3">
        <v>46003</v>
      </c>
      <c r="C492" s="5">
        <v>2025020490</v>
      </c>
      <c r="D492" s="2" t="s">
        <v>13</v>
      </c>
      <c r="E492" s="2" t="s">
        <v>25</v>
      </c>
      <c r="F492" s="2"/>
      <c r="G492" s="2"/>
      <c r="H492" s="2" t="str">
        <f t="shared" si="39"/>
        <v>_</v>
      </c>
      <c r="I492" s="2"/>
      <c r="J492" s="2"/>
      <c r="K492" s="2"/>
      <c r="L492" s="2" t="str">
        <f t="shared" si="40"/>
        <v>_</v>
      </c>
      <c r="M492" s="2"/>
      <c r="N492" s="2">
        <f>IF(ISBLANK(Table2[[#This Row],[ActualResult]]), 0, 1)</f>
        <v>0</v>
      </c>
      <c r="O492" s="2" t="str">
        <f>IF(ISBLANK(Table2[[#This Row],[ActualResult]]), "_", IF(Table2[[#This Row],[ActualWinner]]=Table2[[#This Row],[PredictedWinner]], "Y", "N"))</f>
        <v>_</v>
      </c>
      <c r="P4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2" s="2"/>
      <c r="S492" s="2" t="str">
        <f t="shared" si="41"/>
        <v>_</v>
      </c>
      <c r="T4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2" s="2">
        <f>IF(Table2[[#This Row],[InterConf]]=1,IF(Table2[[#This Row],[InterDiv]]=0, 1, 0), 0)</f>
        <v>0</v>
      </c>
      <c r="W4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2" s="2"/>
      <c r="Y492" s="2"/>
      <c r="Z492" s="145">
        <f>IF(AND(Table2[[#This Row],[GameIsOver]]=1,Table2[[#This Row],[ActualHomeScore]]*Table2[[#This Row],[ActualAwayScore]]=0), 1,0)</f>
        <v>0</v>
      </c>
      <c r="AA4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2" s="2">
        <f>Table2[[#This Row],[ActualAwayScore]]-Table2[[#This Row],[PredictedAwayScore]]</f>
        <v>0</v>
      </c>
      <c r="AG492" s="2">
        <f>Table2[[#This Row],[ActualHomeScore]]-Table2[[#This Row],[PredictedHomeScore]]</f>
        <v>0</v>
      </c>
      <c r="AH492" s="2">
        <f t="shared" si="42"/>
        <v>0</v>
      </c>
      <c r="AI492" s="2">
        <f t="shared" si="43"/>
        <v>0</v>
      </c>
      <c r="AJ492" s="2"/>
      <c r="AK492" s="3"/>
      <c r="AL492" s="2">
        <f>IF(Table2[[#This Row],[GameIsOver]]=0,0,IF(Table2[[#This Row],[ActualWinner]]=Table2[[#This Row],[AwayTeam]], 1, 0))</f>
        <v>0</v>
      </c>
      <c r="AM492" s="2">
        <f>IF(Table2[[#This Row],[GameIsOver]]=0,0,IF(Table2[[#This Row],[ActualWinner]]=Table2[[#This Row],[HomeTeam]], 1, 0))</f>
        <v>0</v>
      </c>
      <c r="AN4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2" s="2" t="str">
        <f>INDEX(Sheet5!$B$2:$AG$33, MATCH(Table2[[#This Row],[AwayTeam]],Sheet5!$A$2:$A$33, 0), MATCH(Table2[[#This Row],[HomeTeam]],Sheet5!$A$2:$A$33, 0))</f>
        <v>0-0-0</v>
      </c>
      <c r="AP492" s="2" t="str">
        <f>INDEX(Sheet5!$B$2:$AG$33, MATCH(Table2[[#This Row],[HomeTeam]],Sheet5!$A$2:$A$33, 0), MATCH(Table2[[#This Row],[AwayTeam]],Sheet5!$A$2:$A$33, 0))</f>
        <v>0-0-0</v>
      </c>
      <c r="AQ492" s="2">
        <f>IF(Table2[[#This Row],[GameHasShutOut]], 1, 0)</f>
        <v>0</v>
      </c>
      <c r="AR492" s="2">
        <f>IF(Table2[[#This Row],[ActualAwayScore]] + Table2[[#This Row],[ActualHomeScore]] &gt;= 10, 1, 0)</f>
        <v>0</v>
      </c>
      <c r="AS492" s="2">
        <f>IF(ABS(Table2[[#This Row],[ActualAwayScore]]-Table2[[#This Row],[ActualHomeScore]])&gt;=5, 1, 0)</f>
        <v>0</v>
      </c>
      <c r="AT492" s="2">
        <f>IF(Table2[[#This Row],[ActualAwayScore]] + Table2[[#This Row],[ActualHomeScore]] &lt;= 3, 1, 0)</f>
        <v>1</v>
      </c>
      <c r="AU492" s="2"/>
      <c r="AV492" s="2"/>
    </row>
    <row r="493" spans="1:48" x14ac:dyDescent="0.25">
      <c r="A493" s="3"/>
      <c r="B493" s="3">
        <v>46003</v>
      </c>
      <c r="C493" s="5">
        <v>2025020491</v>
      </c>
      <c r="D493" s="2" t="s">
        <v>30</v>
      </c>
      <c r="E493" s="2" t="s">
        <v>22</v>
      </c>
      <c r="F493" s="2"/>
      <c r="G493" s="2"/>
      <c r="H493" s="2" t="str">
        <f t="shared" si="39"/>
        <v>_</v>
      </c>
      <c r="I493" s="2"/>
      <c r="J493" s="2"/>
      <c r="K493" s="2"/>
      <c r="L493" s="2" t="str">
        <f t="shared" si="40"/>
        <v>_</v>
      </c>
      <c r="M493" s="2"/>
      <c r="N493" s="2">
        <f>IF(ISBLANK(Table2[[#This Row],[ActualResult]]), 0, 1)</f>
        <v>0</v>
      </c>
      <c r="O493" s="2" t="str">
        <f>IF(ISBLANK(Table2[[#This Row],[ActualResult]]), "_", IF(Table2[[#This Row],[ActualWinner]]=Table2[[#This Row],[PredictedWinner]], "Y", "N"))</f>
        <v>_</v>
      </c>
      <c r="P4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3" s="2"/>
      <c r="S493" s="2" t="str">
        <f t="shared" si="41"/>
        <v>_</v>
      </c>
      <c r="T4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3" s="2">
        <f>IF(Table2[[#This Row],[InterConf]]=1,IF(Table2[[#This Row],[InterDiv]]=0, 1, 0), 0)</f>
        <v>0</v>
      </c>
      <c r="W4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3" s="2"/>
      <c r="Y493" s="2"/>
      <c r="Z493" s="145">
        <f>IF(AND(Table2[[#This Row],[GameIsOver]]=1,Table2[[#This Row],[ActualHomeScore]]*Table2[[#This Row],[ActualAwayScore]]=0), 1,0)</f>
        <v>0</v>
      </c>
      <c r="AA4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3" s="2">
        <f>Table2[[#This Row],[ActualAwayScore]]-Table2[[#This Row],[PredictedAwayScore]]</f>
        <v>0</v>
      </c>
      <c r="AG493" s="2">
        <f>Table2[[#This Row],[ActualHomeScore]]-Table2[[#This Row],[PredictedHomeScore]]</f>
        <v>0</v>
      </c>
      <c r="AH493" s="2">
        <f t="shared" si="42"/>
        <v>0</v>
      </c>
      <c r="AI493" s="2">
        <f t="shared" si="43"/>
        <v>0</v>
      </c>
      <c r="AJ493" s="2"/>
      <c r="AK493" s="3"/>
      <c r="AL493" s="2">
        <f>IF(Table2[[#This Row],[GameIsOver]]=0,0,IF(Table2[[#This Row],[ActualWinner]]=Table2[[#This Row],[AwayTeam]], 1, 0))</f>
        <v>0</v>
      </c>
      <c r="AM493" s="2">
        <f>IF(Table2[[#This Row],[GameIsOver]]=0,0,IF(Table2[[#This Row],[ActualWinner]]=Table2[[#This Row],[HomeTeam]], 1, 0))</f>
        <v>0</v>
      </c>
      <c r="AN4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3" s="2" t="str">
        <f>INDEX(Sheet5!$B$2:$AG$33, MATCH(Table2[[#This Row],[AwayTeam]],Sheet5!$A$2:$A$33, 0), MATCH(Table2[[#This Row],[HomeTeam]],Sheet5!$A$2:$A$33, 0))</f>
        <v>1-0-0</v>
      </c>
      <c r="AP493" s="2" t="str">
        <f>INDEX(Sheet5!$B$2:$AG$33, MATCH(Table2[[#This Row],[HomeTeam]],Sheet5!$A$2:$A$33, 0), MATCH(Table2[[#This Row],[AwayTeam]],Sheet5!$A$2:$A$33, 0))</f>
        <v>0-1-0</v>
      </c>
      <c r="AQ493" s="2">
        <f>IF(Table2[[#This Row],[GameHasShutOut]], 1, 0)</f>
        <v>0</v>
      </c>
      <c r="AR493" s="2">
        <f>IF(Table2[[#This Row],[ActualAwayScore]] + Table2[[#This Row],[ActualHomeScore]] &gt;= 10, 1, 0)</f>
        <v>0</v>
      </c>
      <c r="AS493" s="2">
        <f>IF(ABS(Table2[[#This Row],[ActualAwayScore]]-Table2[[#This Row],[ActualHomeScore]])&gt;=5, 1, 0)</f>
        <v>0</v>
      </c>
      <c r="AT493" s="2">
        <f>IF(Table2[[#This Row],[ActualAwayScore]] + Table2[[#This Row],[ActualHomeScore]] &lt;= 3, 1, 0)</f>
        <v>1</v>
      </c>
      <c r="AU493" s="2"/>
      <c r="AV493" s="2"/>
    </row>
    <row r="494" spans="1:48" x14ac:dyDescent="0.25">
      <c r="A494" s="3"/>
      <c r="B494" s="3">
        <v>46003</v>
      </c>
      <c r="C494" s="5">
        <v>2025020492</v>
      </c>
      <c r="D494" s="2" t="s">
        <v>28</v>
      </c>
      <c r="E494" s="2" t="s">
        <v>24</v>
      </c>
      <c r="F494" s="2"/>
      <c r="G494" s="2"/>
      <c r="H494" s="2" t="str">
        <f t="shared" si="39"/>
        <v>_</v>
      </c>
      <c r="I494" s="2"/>
      <c r="J494" s="2"/>
      <c r="K494" s="2"/>
      <c r="L494" s="2" t="str">
        <f t="shared" si="40"/>
        <v>_</v>
      </c>
      <c r="M494" s="2"/>
      <c r="N494" s="2">
        <f>IF(ISBLANK(Table2[[#This Row],[ActualResult]]), 0, 1)</f>
        <v>0</v>
      </c>
      <c r="O494" s="2" t="str">
        <f>IF(ISBLANK(Table2[[#This Row],[ActualResult]]), "_", IF(Table2[[#This Row],[ActualWinner]]=Table2[[#This Row],[PredictedWinner]], "Y", "N"))</f>
        <v>_</v>
      </c>
      <c r="P4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4" s="2"/>
      <c r="S494" s="2" t="str">
        <f t="shared" si="41"/>
        <v>_</v>
      </c>
      <c r="T4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4" s="2">
        <f>IF(Table2[[#This Row],[InterConf]]=1,IF(Table2[[#This Row],[InterDiv]]=0, 1, 0), 0)</f>
        <v>0</v>
      </c>
      <c r="W4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4" s="2"/>
      <c r="Y494" s="2"/>
      <c r="Z494" s="145">
        <f>IF(AND(Table2[[#This Row],[GameIsOver]]=1,Table2[[#This Row],[ActualHomeScore]]*Table2[[#This Row],[ActualAwayScore]]=0), 1,0)</f>
        <v>0</v>
      </c>
      <c r="AA4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4" s="2">
        <f>Table2[[#This Row],[ActualAwayScore]]-Table2[[#This Row],[PredictedAwayScore]]</f>
        <v>0</v>
      </c>
      <c r="AG494" s="2">
        <f>Table2[[#This Row],[ActualHomeScore]]-Table2[[#This Row],[PredictedHomeScore]]</f>
        <v>0</v>
      </c>
      <c r="AH494" s="2">
        <f t="shared" si="42"/>
        <v>0</v>
      </c>
      <c r="AI494" s="2">
        <f t="shared" si="43"/>
        <v>0</v>
      </c>
      <c r="AJ494" s="2"/>
      <c r="AK494" s="3"/>
      <c r="AL494" s="2">
        <f>IF(Table2[[#This Row],[GameIsOver]]=0,0,IF(Table2[[#This Row],[ActualWinner]]=Table2[[#This Row],[AwayTeam]], 1, 0))</f>
        <v>0</v>
      </c>
      <c r="AM494" s="2">
        <f>IF(Table2[[#This Row],[GameIsOver]]=0,0,IF(Table2[[#This Row],[ActualWinner]]=Table2[[#This Row],[HomeTeam]], 1, 0))</f>
        <v>0</v>
      </c>
      <c r="AN4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4" s="2" t="str">
        <f>INDEX(Sheet5!$B$2:$AG$33, MATCH(Table2[[#This Row],[AwayTeam]],Sheet5!$A$2:$A$33, 0), MATCH(Table2[[#This Row],[HomeTeam]],Sheet5!$A$2:$A$33, 0))</f>
        <v>0-0-0</v>
      </c>
      <c r="AP494" s="2" t="str">
        <f>INDEX(Sheet5!$B$2:$AG$33, MATCH(Table2[[#This Row],[HomeTeam]],Sheet5!$A$2:$A$33, 0), MATCH(Table2[[#This Row],[AwayTeam]],Sheet5!$A$2:$A$33, 0))</f>
        <v>0-0-0</v>
      </c>
      <c r="AQ494" s="2">
        <f>IF(Table2[[#This Row],[GameHasShutOut]], 1, 0)</f>
        <v>0</v>
      </c>
      <c r="AR494" s="2">
        <f>IF(Table2[[#This Row],[ActualAwayScore]] + Table2[[#This Row],[ActualHomeScore]] &gt;= 10, 1, 0)</f>
        <v>0</v>
      </c>
      <c r="AS494" s="2">
        <f>IF(ABS(Table2[[#This Row],[ActualAwayScore]]-Table2[[#This Row],[ActualHomeScore]])&gt;=5, 1, 0)</f>
        <v>0</v>
      </c>
      <c r="AT494" s="2">
        <f>IF(Table2[[#This Row],[ActualAwayScore]] + Table2[[#This Row],[ActualHomeScore]] &lt;= 3, 1, 0)</f>
        <v>1</v>
      </c>
      <c r="AU494" s="2"/>
      <c r="AV494" s="2"/>
    </row>
    <row r="495" spans="1:48" x14ac:dyDescent="0.25">
      <c r="A495" s="3"/>
      <c r="B495" s="3">
        <v>46004</v>
      </c>
      <c r="C495" s="5">
        <v>2025020493</v>
      </c>
      <c r="D495" s="2" t="s">
        <v>16</v>
      </c>
      <c r="E495" s="2" t="s">
        <v>12</v>
      </c>
      <c r="F495" s="2"/>
      <c r="G495" s="2"/>
      <c r="H495" s="2" t="str">
        <f t="shared" si="39"/>
        <v>_</v>
      </c>
      <c r="I495" s="2"/>
      <c r="J495" s="2"/>
      <c r="K495" s="2"/>
      <c r="L495" s="2" t="str">
        <f t="shared" si="40"/>
        <v>_</v>
      </c>
      <c r="M495" s="2"/>
      <c r="N495" s="2">
        <f>IF(ISBLANK(Table2[[#This Row],[ActualResult]]), 0, 1)</f>
        <v>0</v>
      </c>
      <c r="O495" s="2" t="str">
        <f>IF(ISBLANK(Table2[[#This Row],[ActualResult]]), "_", IF(Table2[[#This Row],[ActualWinner]]=Table2[[#This Row],[PredictedWinner]], "Y", "N"))</f>
        <v>_</v>
      </c>
      <c r="P4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5" s="2"/>
      <c r="S495" s="2" t="str">
        <f t="shared" si="41"/>
        <v>_</v>
      </c>
      <c r="T4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95" s="2">
        <f>IF(Table2[[#This Row],[InterConf]]=1,IF(Table2[[#This Row],[InterDiv]]=0, 1, 0), 0)</f>
        <v>0</v>
      </c>
      <c r="W4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5" s="2"/>
      <c r="Y495" s="2"/>
      <c r="Z495" s="145">
        <f>IF(AND(Table2[[#This Row],[GameIsOver]]=1,Table2[[#This Row],[ActualHomeScore]]*Table2[[#This Row],[ActualAwayScore]]=0), 1,0)</f>
        <v>0</v>
      </c>
      <c r="AA4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5" s="2">
        <f>Table2[[#This Row],[ActualAwayScore]]-Table2[[#This Row],[PredictedAwayScore]]</f>
        <v>0</v>
      </c>
      <c r="AG495" s="2">
        <f>Table2[[#This Row],[ActualHomeScore]]-Table2[[#This Row],[PredictedHomeScore]]</f>
        <v>0</v>
      </c>
      <c r="AH495" s="2">
        <f t="shared" si="42"/>
        <v>0</v>
      </c>
      <c r="AI495" s="2">
        <f t="shared" si="43"/>
        <v>0</v>
      </c>
      <c r="AJ495" s="2"/>
      <c r="AK495" s="3"/>
      <c r="AL495" s="2">
        <f>IF(Table2[[#This Row],[GameIsOver]]=0,0,IF(Table2[[#This Row],[ActualWinner]]=Table2[[#This Row],[AwayTeam]], 1, 0))</f>
        <v>0</v>
      </c>
      <c r="AM495" s="2">
        <f>IF(Table2[[#This Row],[GameIsOver]]=0,0,IF(Table2[[#This Row],[ActualWinner]]=Table2[[#This Row],[HomeTeam]], 1, 0))</f>
        <v>0</v>
      </c>
      <c r="AN4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5" s="2" t="str">
        <f>INDEX(Sheet5!$B$2:$AG$33, MATCH(Table2[[#This Row],[AwayTeam]],Sheet5!$A$2:$A$33, 0), MATCH(Table2[[#This Row],[HomeTeam]],Sheet5!$A$2:$A$33, 0))</f>
        <v>1-0-0</v>
      </c>
      <c r="AP495" s="2" t="str">
        <f>INDEX(Sheet5!$B$2:$AG$33, MATCH(Table2[[#This Row],[HomeTeam]],Sheet5!$A$2:$A$33, 0), MATCH(Table2[[#This Row],[AwayTeam]],Sheet5!$A$2:$A$33, 0))</f>
        <v>0-1-0</v>
      </c>
      <c r="AQ495" s="2">
        <f>IF(Table2[[#This Row],[GameHasShutOut]], 1, 0)</f>
        <v>0</v>
      </c>
      <c r="AR495" s="2">
        <f>IF(Table2[[#This Row],[ActualAwayScore]] + Table2[[#This Row],[ActualHomeScore]] &gt;= 10, 1, 0)</f>
        <v>0</v>
      </c>
      <c r="AS495" s="2">
        <f>IF(ABS(Table2[[#This Row],[ActualAwayScore]]-Table2[[#This Row],[ActualHomeScore]])&gt;=5, 1, 0)</f>
        <v>0</v>
      </c>
      <c r="AT495" s="2">
        <f>IF(Table2[[#This Row],[ActualAwayScore]] + Table2[[#This Row],[ActualHomeScore]] &lt;= 3, 1, 0)</f>
        <v>1</v>
      </c>
      <c r="AU495" s="2"/>
      <c r="AV495" s="2"/>
    </row>
    <row r="496" spans="1:48" x14ac:dyDescent="0.25">
      <c r="A496" s="3"/>
      <c r="B496" s="3">
        <v>46004</v>
      </c>
      <c r="C496" s="5">
        <v>2025020494</v>
      </c>
      <c r="D496" s="2" t="s">
        <v>11</v>
      </c>
      <c r="E496" s="2" t="s">
        <v>14</v>
      </c>
      <c r="F496" s="2"/>
      <c r="G496" s="2"/>
      <c r="H496" s="2" t="str">
        <f t="shared" si="39"/>
        <v>_</v>
      </c>
      <c r="I496" s="2"/>
      <c r="J496" s="2"/>
      <c r="K496" s="2"/>
      <c r="L496" s="2" t="str">
        <f t="shared" si="40"/>
        <v>_</v>
      </c>
      <c r="M496" s="2"/>
      <c r="N496" s="2">
        <f>IF(ISBLANK(Table2[[#This Row],[ActualResult]]), 0, 1)</f>
        <v>0</v>
      </c>
      <c r="O496" s="2" t="str">
        <f>IF(ISBLANK(Table2[[#This Row],[ActualResult]]), "_", IF(Table2[[#This Row],[ActualWinner]]=Table2[[#This Row],[PredictedWinner]], "Y", "N"))</f>
        <v>_</v>
      </c>
      <c r="P4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6" s="2"/>
      <c r="S496" s="2" t="str">
        <f t="shared" si="41"/>
        <v>_</v>
      </c>
      <c r="T4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6" s="2">
        <f>IF(Table2[[#This Row],[InterConf]]=1,IF(Table2[[#This Row],[InterDiv]]=0, 1, 0), 0)</f>
        <v>1</v>
      </c>
      <c r="W4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6" s="2"/>
      <c r="Y496" s="2"/>
      <c r="Z496" s="145">
        <f>IF(AND(Table2[[#This Row],[GameIsOver]]=1,Table2[[#This Row],[ActualHomeScore]]*Table2[[#This Row],[ActualAwayScore]]=0), 1,0)</f>
        <v>0</v>
      </c>
      <c r="AA4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6" s="2">
        <f>Table2[[#This Row],[ActualAwayScore]]-Table2[[#This Row],[PredictedAwayScore]]</f>
        <v>0</v>
      </c>
      <c r="AG496" s="2">
        <f>Table2[[#This Row],[ActualHomeScore]]-Table2[[#This Row],[PredictedHomeScore]]</f>
        <v>0</v>
      </c>
      <c r="AH496" s="2">
        <f t="shared" si="42"/>
        <v>0</v>
      </c>
      <c r="AI496" s="2">
        <f t="shared" si="43"/>
        <v>0</v>
      </c>
      <c r="AJ496" s="2"/>
      <c r="AK496" s="3"/>
      <c r="AL496" s="2">
        <f>IF(Table2[[#This Row],[GameIsOver]]=0,0,IF(Table2[[#This Row],[ActualWinner]]=Table2[[#This Row],[AwayTeam]], 1, 0))</f>
        <v>0</v>
      </c>
      <c r="AM496" s="2">
        <f>IF(Table2[[#This Row],[GameIsOver]]=0,0,IF(Table2[[#This Row],[ActualWinner]]=Table2[[#This Row],[HomeTeam]], 1, 0))</f>
        <v>0</v>
      </c>
      <c r="AN4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6" s="2" t="str">
        <f>INDEX(Sheet5!$B$2:$AG$33, MATCH(Table2[[#This Row],[AwayTeam]],Sheet5!$A$2:$A$33, 0), MATCH(Table2[[#This Row],[HomeTeam]],Sheet5!$A$2:$A$33, 0))</f>
        <v>0-0-0</v>
      </c>
      <c r="AP496" s="2" t="str">
        <f>INDEX(Sheet5!$B$2:$AG$33, MATCH(Table2[[#This Row],[HomeTeam]],Sheet5!$A$2:$A$33, 0), MATCH(Table2[[#This Row],[AwayTeam]],Sheet5!$A$2:$A$33, 0))</f>
        <v>0-0-0</v>
      </c>
      <c r="AQ496" s="2">
        <f>IF(Table2[[#This Row],[GameHasShutOut]], 1, 0)</f>
        <v>0</v>
      </c>
      <c r="AR496" s="2">
        <f>IF(Table2[[#This Row],[ActualAwayScore]] + Table2[[#This Row],[ActualHomeScore]] &gt;= 10, 1, 0)</f>
        <v>0</v>
      </c>
      <c r="AS496" s="2">
        <f>IF(ABS(Table2[[#This Row],[ActualAwayScore]]-Table2[[#This Row],[ActualHomeScore]])&gt;=5, 1, 0)</f>
        <v>0</v>
      </c>
      <c r="AT496" s="2">
        <f>IF(Table2[[#This Row],[ActualAwayScore]] + Table2[[#This Row],[ActualHomeScore]] &lt;= 3, 1, 0)</f>
        <v>1</v>
      </c>
      <c r="AU496" s="2"/>
      <c r="AV496" s="2"/>
    </row>
    <row r="497" spans="1:48" x14ac:dyDescent="0.25">
      <c r="A497" s="3"/>
      <c r="B497" s="3">
        <v>46004</v>
      </c>
      <c r="C497" s="5">
        <v>2025020495</v>
      </c>
      <c r="D497" s="2" t="s">
        <v>44</v>
      </c>
      <c r="E497" s="2" t="s">
        <v>31</v>
      </c>
      <c r="F497" s="2"/>
      <c r="G497" s="2"/>
      <c r="H497" s="2" t="str">
        <f t="shared" si="39"/>
        <v>_</v>
      </c>
      <c r="I497" s="2"/>
      <c r="J497" s="2"/>
      <c r="K497" s="2"/>
      <c r="L497" s="2" t="str">
        <f t="shared" si="40"/>
        <v>_</v>
      </c>
      <c r="M497" s="2"/>
      <c r="N497" s="2">
        <f>IF(ISBLANK(Table2[[#This Row],[ActualResult]]), 0, 1)</f>
        <v>0</v>
      </c>
      <c r="O497" s="2" t="str">
        <f>IF(ISBLANK(Table2[[#This Row],[ActualResult]]), "_", IF(Table2[[#This Row],[ActualWinner]]=Table2[[#This Row],[PredictedWinner]], "Y", "N"))</f>
        <v>_</v>
      </c>
      <c r="P4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7" s="2"/>
      <c r="S497" s="2" t="str">
        <f t="shared" si="41"/>
        <v>_</v>
      </c>
      <c r="T4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7" s="2">
        <f>IF(Table2[[#This Row],[InterConf]]=1,IF(Table2[[#This Row],[InterDiv]]=0, 1, 0), 0)</f>
        <v>0</v>
      </c>
      <c r="W4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7" s="2"/>
      <c r="Y497" s="2"/>
      <c r="Z497" s="145">
        <f>IF(AND(Table2[[#This Row],[GameIsOver]]=1,Table2[[#This Row],[ActualHomeScore]]*Table2[[#This Row],[ActualAwayScore]]=0), 1,0)</f>
        <v>0</v>
      </c>
      <c r="AA4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7" s="2">
        <f>Table2[[#This Row],[ActualAwayScore]]-Table2[[#This Row],[PredictedAwayScore]]</f>
        <v>0</v>
      </c>
      <c r="AG497" s="2">
        <f>Table2[[#This Row],[ActualHomeScore]]-Table2[[#This Row],[PredictedHomeScore]]</f>
        <v>0</v>
      </c>
      <c r="AH497" s="2">
        <f t="shared" si="42"/>
        <v>0</v>
      </c>
      <c r="AI497" s="2">
        <f t="shared" si="43"/>
        <v>0</v>
      </c>
      <c r="AJ497" s="2"/>
      <c r="AK497" s="3"/>
      <c r="AL497" s="2">
        <f>IF(Table2[[#This Row],[GameIsOver]]=0,0,IF(Table2[[#This Row],[ActualWinner]]=Table2[[#This Row],[AwayTeam]], 1, 0))</f>
        <v>0</v>
      </c>
      <c r="AM497" s="2">
        <f>IF(Table2[[#This Row],[GameIsOver]]=0,0,IF(Table2[[#This Row],[ActualWinner]]=Table2[[#This Row],[HomeTeam]], 1, 0))</f>
        <v>0</v>
      </c>
      <c r="AN4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7" s="2" t="str">
        <f>INDEX(Sheet5!$B$2:$AG$33, MATCH(Table2[[#This Row],[AwayTeam]],Sheet5!$A$2:$A$33, 0), MATCH(Table2[[#This Row],[HomeTeam]],Sheet5!$A$2:$A$33, 0))</f>
        <v>0-0-0</v>
      </c>
      <c r="AP497" s="2" t="str">
        <f>INDEX(Sheet5!$B$2:$AG$33, MATCH(Table2[[#This Row],[HomeTeam]],Sheet5!$A$2:$A$33, 0), MATCH(Table2[[#This Row],[AwayTeam]],Sheet5!$A$2:$A$33, 0))</f>
        <v>0-0-0</v>
      </c>
      <c r="AQ497" s="2">
        <f>IF(Table2[[#This Row],[GameHasShutOut]], 1, 0)</f>
        <v>0</v>
      </c>
      <c r="AR497" s="2">
        <f>IF(Table2[[#This Row],[ActualAwayScore]] + Table2[[#This Row],[ActualHomeScore]] &gt;= 10, 1, 0)</f>
        <v>0</v>
      </c>
      <c r="AS497" s="2">
        <f>IF(ABS(Table2[[#This Row],[ActualAwayScore]]-Table2[[#This Row],[ActualHomeScore]])&gt;=5, 1, 0)</f>
        <v>0</v>
      </c>
      <c r="AT497" s="2">
        <f>IF(Table2[[#This Row],[ActualAwayScore]] + Table2[[#This Row],[ActualHomeScore]] &lt;= 3, 1, 0)</f>
        <v>1</v>
      </c>
      <c r="AU497" s="2"/>
      <c r="AV497" s="2"/>
    </row>
    <row r="498" spans="1:48" x14ac:dyDescent="0.25">
      <c r="A498" s="3"/>
      <c r="B498" s="3">
        <v>46004</v>
      </c>
      <c r="C498" s="5">
        <v>2025020496</v>
      </c>
      <c r="D498" s="2" t="s">
        <v>29</v>
      </c>
      <c r="E498" s="2" t="s">
        <v>36</v>
      </c>
      <c r="F498" s="2"/>
      <c r="G498" s="2"/>
      <c r="H498" s="2" t="str">
        <f t="shared" si="39"/>
        <v>_</v>
      </c>
      <c r="I498" s="2"/>
      <c r="J498" s="2"/>
      <c r="K498" s="2"/>
      <c r="L498" s="2" t="str">
        <f t="shared" si="40"/>
        <v>_</v>
      </c>
      <c r="M498" s="2"/>
      <c r="N498" s="2">
        <f>IF(ISBLANK(Table2[[#This Row],[ActualResult]]), 0, 1)</f>
        <v>0</v>
      </c>
      <c r="O498" s="2" t="str">
        <f>IF(ISBLANK(Table2[[#This Row],[ActualResult]]), "_", IF(Table2[[#This Row],[ActualWinner]]=Table2[[#This Row],[PredictedWinner]], "Y", "N"))</f>
        <v>_</v>
      </c>
      <c r="P4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8" s="2"/>
      <c r="S498" s="2" t="str">
        <f t="shared" si="41"/>
        <v>_</v>
      </c>
      <c r="T4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8" s="2">
        <f>IF(Table2[[#This Row],[InterConf]]=1,IF(Table2[[#This Row],[InterDiv]]=0, 1, 0), 0)</f>
        <v>0</v>
      </c>
      <c r="W4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8" s="2"/>
      <c r="Y498" s="2"/>
      <c r="Z498" s="145">
        <f>IF(AND(Table2[[#This Row],[GameIsOver]]=1,Table2[[#This Row],[ActualHomeScore]]*Table2[[#This Row],[ActualAwayScore]]=0), 1,0)</f>
        <v>0</v>
      </c>
      <c r="AA4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8" s="2">
        <f>Table2[[#This Row],[ActualAwayScore]]-Table2[[#This Row],[PredictedAwayScore]]</f>
        <v>0</v>
      </c>
      <c r="AG498" s="2">
        <f>Table2[[#This Row],[ActualHomeScore]]-Table2[[#This Row],[PredictedHomeScore]]</f>
        <v>0</v>
      </c>
      <c r="AH498" s="2">
        <f t="shared" si="42"/>
        <v>0</v>
      </c>
      <c r="AI498" s="2">
        <f t="shared" si="43"/>
        <v>0</v>
      </c>
      <c r="AJ498" s="2"/>
      <c r="AK498" s="3"/>
      <c r="AL498" s="2">
        <f>IF(Table2[[#This Row],[GameIsOver]]=0,0,IF(Table2[[#This Row],[ActualWinner]]=Table2[[#This Row],[AwayTeam]], 1, 0))</f>
        <v>0</v>
      </c>
      <c r="AM498" s="2">
        <f>IF(Table2[[#This Row],[GameIsOver]]=0,0,IF(Table2[[#This Row],[ActualWinner]]=Table2[[#This Row],[HomeTeam]], 1, 0))</f>
        <v>0</v>
      </c>
      <c r="AN4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8" s="2" t="str">
        <f>INDEX(Sheet5!$B$2:$AG$33, MATCH(Table2[[#This Row],[AwayTeam]],Sheet5!$A$2:$A$33, 0), MATCH(Table2[[#This Row],[HomeTeam]],Sheet5!$A$2:$A$33, 0))</f>
        <v>0-0-0</v>
      </c>
      <c r="AP498" s="2" t="str">
        <f>INDEX(Sheet5!$B$2:$AG$33, MATCH(Table2[[#This Row],[HomeTeam]],Sheet5!$A$2:$A$33, 0), MATCH(Table2[[#This Row],[AwayTeam]],Sheet5!$A$2:$A$33, 0))</f>
        <v>0-0-0</v>
      </c>
      <c r="AQ498" s="2">
        <f>IF(Table2[[#This Row],[GameHasShutOut]], 1, 0)</f>
        <v>0</v>
      </c>
      <c r="AR498" s="2">
        <f>IF(Table2[[#This Row],[ActualAwayScore]] + Table2[[#This Row],[ActualHomeScore]] &gt;= 10, 1, 0)</f>
        <v>0</v>
      </c>
      <c r="AS498" s="2">
        <f>IF(ABS(Table2[[#This Row],[ActualAwayScore]]-Table2[[#This Row],[ActualHomeScore]])&gt;=5, 1, 0)</f>
        <v>0</v>
      </c>
      <c r="AT498" s="2">
        <f>IF(Table2[[#This Row],[ActualAwayScore]] + Table2[[#This Row],[ActualHomeScore]] &lt;= 3, 1, 0)</f>
        <v>1</v>
      </c>
      <c r="AU498" s="2"/>
      <c r="AV498" s="2"/>
    </row>
    <row r="499" spans="1:48" x14ac:dyDescent="0.25">
      <c r="A499" s="3"/>
      <c r="B499" s="3">
        <v>46004</v>
      </c>
      <c r="C499" s="5">
        <v>2025020497</v>
      </c>
      <c r="D499" s="2" t="s">
        <v>37</v>
      </c>
      <c r="E499" s="2" t="s">
        <v>20</v>
      </c>
      <c r="F499" s="2"/>
      <c r="G499" s="2"/>
      <c r="H499" s="2" t="str">
        <f t="shared" si="39"/>
        <v>_</v>
      </c>
      <c r="I499" s="2"/>
      <c r="J499" s="2"/>
      <c r="K499" s="2"/>
      <c r="L499" s="2" t="str">
        <f t="shared" si="40"/>
        <v>_</v>
      </c>
      <c r="M499" s="2"/>
      <c r="N499" s="2">
        <f>IF(ISBLANK(Table2[[#This Row],[ActualResult]]), 0, 1)</f>
        <v>0</v>
      </c>
      <c r="O499" s="2" t="str">
        <f>IF(ISBLANK(Table2[[#This Row],[ActualResult]]), "_", IF(Table2[[#This Row],[ActualWinner]]=Table2[[#This Row],[PredictedWinner]], "Y", "N"))</f>
        <v>_</v>
      </c>
      <c r="P4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9" s="2"/>
      <c r="S499" s="2" t="str">
        <f t="shared" si="41"/>
        <v>_</v>
      </c>
      <c r="T4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9" s="2">
        <f>IF(Table2[[#This Row],[InterConf]]=1,IF(Table2[[#This Row],[InterDiv]]=0, 1, 0), 0)</f>
        <v>0</v>
      </c>
      <c r="W4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9" s="2"/>
      <c r="Y499" s="2"/>
      <c r="Z499" s="145">
        <f>IF(AND(Table2[[#This Row],[GameIsOver]]=1,Table2[[#This Row],[ActualHomeScore]]*Table2[[#This Row],[ActualAwayScore]]=0), 1,0)</f>
        <v>0</v>
      </c>
      <c r="AA4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9" s="2">
        <f>Table2[[#This Row],[ActualAwayScore]]-Table2[[#This Row],[PredictedAwayScore]]</f>
        <v>0</v>
      </c>
      <c r="AG499" s="2">
        <f>Table2[[#This Row],[ActualHomeScore]]-Table2[[#This Row],[PredictedHomeScore]]</f>
        <v>0</v>
      </c>
      <c r="AH499" s="2">
        <f t="shared" si="42"/>
        <v>0</v>
      </c>
      <c r="AI499" s="2">
        <f t="shared" si="43"/>
        <v>0</v>
      </c>
      <c r="AJ499" s="2"/>
      <c r="AK499" s="3"/>
      <c r="AL499" s="2">
        <f>IF(Table2[[#This Row],[GameIsOver]]=0,0,IF(Table2[[#This Row],[ActualWinner]]=Table2[[#This Row],[AwayTeam]], 1, 0))</f>
        <v>0</v>
      </c>
      <c r="AM499" s="2">
        <f>IF(Table2[[#This Row],[GameIsOver]]=0,0,IF(Table2[[#This Row],[ActualWinner]]=Table2[[#This Row],[HomeTeam]], 1, 0))</f>
        <v>0</v>
      </c>
      <c r="AN4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9" s="2" t="str">
        <f>INDEX(Sheet5!$B$2:$AG$33, MATCH(Table2[[#This Row],[AwayTeam]],Sheet5!$A$2:$A$33, 0), MATCH(Table2[[#This Row],[HomeTeam]],Sheet5!$A$2:$A$33, 0))</f>
        <v>0-1-0</v>
      </c>
      <c r="AP499" s="2" t="str">
        <f>INDEX(Sheet5!$B$2:$AG$33, MATCH(Table2[[#This Row],[HomeTeam]],Sheet5!$A$2:$A$33, 0), MATCH(Table2[[#This Row],[AwayTeam]],Sheet5!$A$2:$A$33, 0))</f>
        <v>1-0-0</v>
      </c>
      <c r="AQ499" s="2">
        <f>IF(Table2[[#This Row],[GameHasShutOut]], 1, 0)</f>
        <v>0</v>
      </c>
      <c r="AR499" s="2">
        <f>IF(Table2[[#This Row],[ActualAwayScore]] + Table2[[#This Row],[ActualHomeScore]] &gt;= 10, 1, 0)</f>
        <v>0</v>
      </c>
      <c r="AS499" s="2">
        <f>IF(ABS(Table2[[#This Row],[ActualAwayScore]]-Table2[[#This Row],[ActualHomeScore]])&gt;=5, 1, 0)</f>
        <v>0</v>
      </c>
      <c r="AT499" s="2">
        <f>IF(Table2[[#This Row],[ActualAwayScore]] + Table2[[#This Row],[ActualHomeScore]] &lt;= 3, 1, 0)</f>
        <v>1</v>
      </c>
      <c r="AU499" s="2"/>
      <c r="AV499" s="2"/>
    </row>
    <row r="500" spans="1:48" x14ac:dyDescent="0.25">
      <c r="A500" s="3"/>
      <c r="B500" s="3">
        <v>46004</v>
      </c>
      <c r="C500" s="5">
        <v>2025020498</v>
      </c>
      <c r="D500" s="2" t="s">
        <v>40</v>
      </c>
      <c r="E500" s="2" t="s">
        <v>32</v>
      </c>
      <c r="F500" s="2"/>
      <c r="G500" s="2"/>
      <c r="H500" s="2" t="str">
        <f t="shared" si="39"/>
        <v>_</v>
      </c>
      <c r="I500" s="2"/>
      <c r="J500" s="2"/>
      <c r="K500" s="2"/>
      <c r="L500" s="2" t="str">
        <f t="shared" si="40"/>
        <v>_</v>
      </c>
      <c r="M500" s="2"/>
      <c r="N500" s="2">
        <f>IF(ISBLANK(Table2[[#This Row],[ActualResult]]), 0, 1)</f>
        <v>0</v>
      </c>
      <c r="O500" s="2" t="str">
        <f>IF(ISBLANK(Table2[[#This Row],[ActualResult]]), "_", IF(Table2[[#This Row],[ActualWinner]]=Table2[[#This Row],[PredictedWinner]], "Y", "N"))</f>
        <v>_</v>
      </c>
      <c r="P5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0" s="2"/>
      <c r="S500" s="2" t="str">
        <f t="shared" si="41"/>
        <v>_</v>
      </c>
      <c r="T5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0" s="2">
        <f>IF(Table2[[#This Row],[InterConf]]=1,IF(Table2[[#This Row],[InterDiv]]=0, 1, 0), 0)</f>
        <v>1</v>
      </c>
      <c r="W5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0" s="2"/>
      <c r="Y500" s="2"/>
      <c r="Z500" s="145">
        <f>IF(AND(Table2[[#This Row],[GameIsOver]]=1,Table2[[#This Row],[ActualHomeScore]]*Table2[[#This Row],[ActualAwayScore]]=0), 1,0)</f>
        <v>0</v>
      </c>
      <c r="AA5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00" s="2">
        <f>Table2[[#This Row],[ActualAwayScore]]-Table2[[#This Row],[PredictedAwayScore]]</f>
        <v>0</v>
      </c>
      <c r="AG500" s="2">
        <f>Table2[[#This Row],[ActualHomeScore]]-Table2[[#This Row],[PredictedHomeScore]]</f>
        <v>0</v>
      </c>
      <c r="AH500" s="2">
        <f t="shared" si="42"/>
        <v>0</v>
      </c>
      <c r="AI500" s="2">
        <f t="shared" si="43"/>
        <v>0</v>
      </c>
      <c r="AJ500" s="2"/>
      <c r="AK500" s="3"/>
      <c r="AL500" s="2">
        <f>IF(Table2[[#This Row],[GameIsOver]]=0,0,IF(Table2[[#This Row],[ActualWinner]]=Table2[[#This Row],[AwayTeam]], 1, 0))</f>
        <v>0</v>
      </c>
      <c r="AM500" s="2">
        <f>IF(Table2[[#This Row],[GameIsOver]]=0,0,IF(Table2[[#This Row],[ActualWinner]]=Table2[[#This Row],[HomeTeam]], 1, 0))</f>
        <v>0</v>
      </c>
      <c r="AN5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0" s="2" t="str">
        <f>INDEX(Sheet5!$B$2:$AG$33, MATCH(Table2[[#This Row],[AwayTeam]],Sheet5!$A$2:$A$33, 0), MATCH(Table2[[#This Row],[HomeTeam]],Sheet5!$A$2:$A$33, 0))</f>
        <v>0-0-0</v>
      </c>
      <c r="AP500" s="2" t="str">
        <f>INDEX(Sheet5!$B$2:$AG$33, MATCH(Table2[[#This Row],[HomeTeam]],Sheet5!$A$2:$A$33, 0), MATCH(Table2[[#This Row],[AwayTeam]],Sheet5!$A$2:$A$33, 0))</f>
        <v>0-0-0</v>
      </c>
      <c r="AQ500" s="2">
        <f>IF(Table2[[#This Row],[GameHasShutOut]], 1, 0)</f>
        <v>0</v>
      </c>
      <c r="AR500" s="2">
        <f>IF(Table2[[#This Row],[ActualAwayScore]] + Table2[[#This Row],[ActualHomeScore]] &gt;= 10, 1, 0)</f>
        <v>0</v>
      </c>
      <c r="AS500" s="2">
        <f>IF(ABS(Table2[[#This Row],[ActualAwayScore]]-Table2[[#This Row],[ActualHomeScore]])&gt;=5, 1, 0)</f>
        <v>0</v>
      </c>
      <c r="AT500" s="2">
        <f>IF(Table2[[#This Row],[ActualAwayScore]] + Table2[[#This Row],[ActualHomeScore]] &lt;= 3, 1, 0)</f>
        <v>1</v>
      </c>
      <c r="AU500" s="2"/>
      <c r="AV500" s="2"/>
    </row>
    <row r="501" spans="1:48" x14ac:dyDescent="0.25">
      <c r="A501" s="3"/>
      <c r="B501" s="3">
        <v>46005</v>
      </c>
      <c r="C501" s="5">
        <v>2025020499</v>
      </c>
      <c r="D501" s="2" t="s">
        <v>22</v>
      </c>
      <c r="E501" s="2" t="s">
        <v>17</v>
      </c>
      <c r="F501" s="2"/>
      <c r="G501" s="2"/>
      <c r="H501" s="2" t="str">
        <f t="shared" si="39"/>
        <v>_</v>
      </c>
      <c r="I501" s="2"/>
      <c r="J501" s="2"/>
      <c r="K501" s="2"/>
      <c r="L501" s="2" t="str">
        <f t="shared" si="40"/>
        <v>_</v>
      </c>
      <c r="M501" s="2"/>
      <c r="N501" s="2">
        <f>IF(ISBLANK(Table2[[#This Row],[ActualResult]]), 0, 1)</f>
        <v>0</v>
      </c>
      <c r="O501" s="2" t="str">
        <f>IF(ISBLANK(Table2[[#This Row],[ActualResult]]), "_", IF(Table2[[#This Row],[ActualWinner]]=Table2[[#This Row],[PredictedWinner]], "Y", "N"))</f>
        <v>_</v>
      </c>
      <c r="P5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1" s="2"/>
      <c r="S501" s="2" t="str">
        <f t="shared" si="41"/>
        <v>_</v>
      </c>
      <c r="T5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1" s="2">
        <f>IF(Table2[[#This Row],[InterConf]]=1,IF(Table2[[#This Row],[InterDiv]]=0, 1, 0), 0)</f>
        <v>0</v>
      </c>
      <c r="W5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1" s="2"/>
      <c r="Y501" s="2"/>
      <c r="Z501" s="145">
        <f>IF(AND(Table2[[#This Row],[GameIsOver]]=1,Table2[[#This Row],[ActualHomeScore]]*Table2[[#This Row],[ActualAwayScore]]=0), 1,0)</f>
        <v>0</v>
      </c>
      <c r="AA5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1" s="2">
        <f>Table2[[#This Row],[ActualAwayScore]]-Table2[[#This Row],[PredictedAwayScore]]</f>
        <v>0</v>
      </c>
      <c r="AG501" s="2">
        <f>Table2[[#This Row],[ActualHomeScore]]-Table2[[#This Row],[PredictedHomeScore]]</f>
        <v>0</v>
      </c>
      <c r="AH501" s="2">
        <f t="shared" si="42"/>
        <v>0</v>
      </c>
      <c r="AI501" s="2">
        <f t="shared" si="43"/>
        <v>0</v>
      </c>
      <c r="AJ501" s="2"/>
      <c r="AK501" s="3"/>
      <c r="AL501" s="2">
        <f>IF(Table2[[#This Row],[GameIsOver]]=0,0,IF(Table2[[#This Row],[ActualWinner]]=Table2[[#This Row],[AwayTeam]], 1, 0))</f>
        <v>0</v>
      </c>
      <c r="AM501" s="2">
        <f>IF(Table2[[#This Row],[GameIsOver]]=0,0,IF(Table2[[#This Row],[ActualWinner]]=Table2[[#This Row],[HomeTeam]], 1, 0))</f>
        <v>0</v>
      </c>
      <c r="AN5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1" s="2" t="str">
        <f>INDEX(Sheet5!$B$2:$AG$33, MATCH(Table2[[#This Row],[AwayTeam]],Sheet5!$A$2:$A$33, 0), MATCH(Table2[[#This Row],[HomeTeam]],Sheet5!$A$2:$A$33, 0))</f>
        <v>0-0-0</v>
      </c>
      <c r="AP501" s="2" t="str">
        <f>INDEX(Sheet5!$B$2:$AG$33, MATCH(Table2[[#This Row],[HomeTeam]],Sheet5!$A$2:$A$33, 0), MATCH(Table2[[#This Row],[AwayTeam]],Sheet5!$A$2:$A$33, 0))</f>
        <v>0-0-0</v>
      </c>
      <c r="AQ501" s="2">
        <f>IF(Table2[[#This Row],[GameHasShutOut]], 1, 0)</f>
        <v>0</v>
      </c>
      <c r="AR501" s="2">
        <f>IF(Table2[[#This Row],[ActualAwayScore]] + Table2[[#This Row],[ActualHomeScore]] &gt;= 10, 1, 0)</f>
        <v>0</v>
      </c>
      <c r="AS501" s="2">
        <f>IF(ABS(Table2[[#This Row],[ActualAwayScore]]-Table2[[#This Row],[ActualHomeScore]])&gt;=5, 1, 0)</f>
        <v>0</v>
      </c>
      <c r="AT501" s="2">
        <f>IF(Table2[[#This Row],[ActualAwayScore]] + Table2[[#This Row],[ActualHomeScore]] &lt;= 3, 1, 0)</f>
        <v>1</v>
      </c>
      <c r="AU501" s="2"/>
      <c r="AV501" s="2"/>
    </row>
    <row r="502" spans="1:48" x14ac:dyDescent="0.25">
      <c r="A502" s="3"/>
      <c r="B502" s="3">
        <v>46005</v>
      </c>
      <c r="C502" s="5">
        <v>2025020500</v>
      </c>
      <c r="D502" s="2" t="s">
        <v>18</v>
      </c>
      <c r="E502" s="2" t="s">
        <v>19</v>
      </c>
      <c r="F502" s="2"/>
      <c r="G502" s="2"/>
      <c r="H502" s="2" t="str">
        <f t="shared" si="39"/>
        <v>_</v>
      </c>
      <c r="I502" s="2"/>
      <c r="J502" s="2"/>
      <c r="K502" s="2"/>
      <c r="L502" s="2" t="str">
        <f t="shared" si="40"/>
        <v>_</v>
      </c>
      <c r="M502" s="2"/>
      <c r="N502" s="2">
        <f>IF(ISBLANK(Table2[[#This Row],[ActualResult]]), 0, 1)</f>
        <v>0</v>
      </c>
      <c r="O502" s="2" t="str">
        <f>IF(ISBLANK(Table2[[#This Row],[ActualResult]]), "_", IF(Table2[[#This Row],[ActualWinner]]=Table2[[#This Row],[PredictedWinner]], "Y", "N"))</f>
        <v>_</v>
      </c>
      <c r="P5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2" s="2"/>
      <c r="S502" s="2" t="str">
        <f t="shared" si="41"/>
        <v>_</v>
      </c>
      <c r="T5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2" s="2">
        <f>IF(Table2[[#This Row],[InterConf]]=1,IF(Table2[[#This Row],[InterDiv]]=0, 1, 0), 0)</f>
        <v>1</v>
      </c>
      <c r="W5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2" s="2"/>
      <c r="Y502" s="2"/>
      <c r="Z502" s="145">
        <f>IF(AND(Table2[[#This Row],[GameIsOver]]=1,Table2[[#This Row],[ActualHomeScore]]*Table2[[#This Row],[ActualAwayScore]]=0), 1,0)</f>
        <v>0</v>
      </c>
      <c r="AA5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2" s="2">
        <f>Table2[[#This Row],[ActualAwayScore]]-Table2[[#This Row],[PredictedAwayScore]]</f>
        <v>0</v>
      </c>
      <c r="AG502" s="2">
        <f>Table2[[#This Row],[ActualHomeScore]]-Table2[[#This Row],[PredictedHomeScore]]</f>
        <v>0</v>
      </c>
      <c r="AH502" s="2">
        <f t="shared" si="42"/>
        <v>0</v>
      </c>
      <c r="AI502" s="2">
        <f t="shared" si="43"/>
        <v>0</v>
      </c>
      <c r="AJ502" s="2"/>
      <c r="AK502" s="3"/>
      <c r="AL502" s="2">
        <f>IF(Table2[[#This Row],[GameIsOver]]=0,0,IF(Table2[[#This Row],[ActualWinner]]=Table2[[#This Row],[AwayTeam]], 1, 0))</f>
        <v>0</v>
      </c>
      <c r="AM502" s="2">
        <f>IF(Table2[[#This Row],[GameIsOver]]=0,0,IF(Table2[[#This Row],[ActualWinner]]=Table2[[#This Row],[HomeTeam]], 1, 0))</f>
        <v>0</v>
      </c>
      <c r="AN5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2" s="2" t="str">
        <f>INDEX(Sheet5!$B$2:$AG$33, MATCH(Table2[[#This Row],[AwayTeam]],Sheet5!$A$2:$A$33, 0), MATCH(Table2[[#This Row],[HomeTeam]],Sheet5!$A$2:$A$33, 0))</f>
        <v>0-1-0</v>
      </c>
      <c r="AP502" s="2" t="str">
        <f>INDEX(Sheet5!$B$2:$AG$33, MATCH(Table2[[#This Row],[HomeTeam]],Sheet5!$A$2:$A$33, 0), MATCH(Table2[[#This Row],[AwayTeam]],Sheet5!$A$2:$A$33, 0))</f>
        <v>1-0-0</v>
      </c>
      <c r="AQ502" s="2">
        <f>IF(Table2[[#This Row],[GameHasShutOut]], 1, 0)</f>
        <v>0</v>
      </c>
      <c r="AR502" s="2">
        <f>IF(Table2[[#This Row],[ActualAwayScore]] + Table2[[#This Row],[ActualHomeScore]] &gt;= 10, 1, 0)</f>
        <v>0</v>
      </c>
      <c r="AS502" s="2">
        <f>IF(ABS(Table2[[#This Row],[ActualAwayScore]]-Table2[[#This Row],[ActualHomeScore]])&gt;=5, 1, 0)</f>
        <v>0</v>
      </c>
      <c r="AT502" s="2">
        <f>IF(Table2[[#This Row],[ActualAwayScore]] + Table2[[#This Row],[ActualHomeScore]] &lt;= 3, 1, 0)</f>
        <v>1</v>
      </c>
      <c r="AU502" s="2"/>
      <c r="AV502" s="2"/>
    </row>
    <row r="503" spans="1:48" x14ac:dyDescent="0.25">
      <c r="A503" s="3"/>
      <c r="B503" s="3">
        <v>46005</v>
      </c>
      <c r="C503" s="5">
        <v>2025020501</v>
      </c>
      <c r="D503" s="2" t="s">
        <v>41</v>
      </c>
      <c r="E503" s="2" t="s">
        <v>42</v>
      </c>
      <c r="F503" s="2"/>
      <c r="G503" s="2"/>
      <c r="H503" s="2" t="str">
        <f t="shared" si="39"/>
        <v>_</v>
      </c>
      <c r="I503" s="2"/>
      <c r="J503" s="2"/>
      <c r="K503" s="2"/>
      <c r="L503" s="2" t="str">
        <f t="shared" si="40"/>
        <v>_</v>
      </c>
      <c r="M503" s="2"/>
      <c r="N503" s="2">
        <f>IF(ISBLANK(Table2[[#This Row],[ActualResult]]), 0, 1)</f>
        <v>0</v>
      </c>
      <c r="O503" s="2" t="str">
        <f>IF(ISBLANK(Table2[[#This Row],[ActualResult]]), "_", IF(Table2[[#This Row],[ActualWinner]]=Table2[[#This Row],[PredictedWinner]], "Y", "N"))</f>
        <v>_</v>
      </c>
      <c r="P5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3" s="2"/>
      <c r="S503" s="2" t="str">
        <f t="shared" si="41"/>
        <v>_</v>
      </c>
      <c r="T5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3" s="2">
        <f>IF(Table2[[#This Row],[InterConf]]=1,IF(Table2[[#This Row],[InterDiv]]=0, 1, 0), 0)</f>
        <v>0</v>
      </c>
      <c r="W5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3" s="2"/>
      <c r="Y503" s="2"/>
      <c r="Z503" s="145">
        <f>IF(AND(Table2[[#This Row],[GameIsOver]]=1,Table2[[#This Row],[ActualHomeScore]]*Table2[[#This Row],[ActualAwayScore]]=0), 1,0)</f>
        <v>0</v>
      </c>
      <c r="AA5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3" s="2">
        <f>Table2[[#This Row],[ActualAwayScore]]-Table2[[#This Row],[PredictedAwayScore]]</f>
        <v>0</v>
      </c>
      <c r="AG503" s="2">
        <f>Table2[[#This Row],[ActualHomeScore]]-Table2[[#This Row],[PredictedHomeScore]]</f>
        <v>0</v>
      </c>
      <c r="AH503" s="2">
        <f t="shared" si="42"/>
        <v>0</v>
      </c>
      <c r="AI503" s="2">
        <f t="shared" si="43"/>
        <v>0</v>
      </c>
      <c r="AJ503" s="2"/>
      <c r="AK503" s="3"/>
      <c r="AL503" s="2">
        <f>IF(Table2[[#This Row],[GameIsOver]]=0,0,IF(Table2[[#This Row],[ActualWinner]]=Table2[[#This Row],[AwayTeam]], 1, 0))</f>
        <v>0</v>
      </c>
      <c r="AM503" s="2">
        <f>IF(Table2[[#This Row],[GameIsOver]]=0,0,IF(Table2[[#This Row],[ActualWinner]]=Table2[[#This Row],[HomeTeam]], 1, 0))</f>
        <v>0</v>
      </c>
      <c r="AN5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3" s="2" t="str">
        <f>INDEX(Sheet5!$B$2:$AG$33, MATCH(Table2[[#This Row],[AwayTeam]],Sheet5!$A$2:$A$33, 0), MATCH(Table2[[#This Row],[HomeTeam]],Sheet5!$A$2:$A$33, 0))</f>
        <v>1-0-0</v>
      </c>
      <c r="AP503" s="2" t="str">
        <f>INDEX(Sheet5!$B$2:$AG$33, MATCH(Table2[[#This Row],[HomeTeam]],Sheet5!$A$2:$A$33, 0), MATCH(Table2[[#This Row],[AwayTeam]],Sheet5!$A$2:$A$33, 0))</f>
        <v>0-0-1</v>
      </c>
      <c r="AQ503" s="2">
        <f>IF(Table2[[#This Row],[GameHasShutOut]], 1, 0)</f>
        <v>0</v>
      </c>
      <c r="AR503" s="2">
        <f>IF(Table2[[#This Row],[ActualAwayScore]] + Table2[[#This Row],[ActualHomeScore]] &gt;= 10, 1, 0)</f>
        <v>0</v>
      </c>
      <c r="AS503" s="2">
        <f>IF(ABS(Table2[[#This Row],[ActualAwayScore]]-Table2[[#This Row],[ActualHomeScore]])&gt;=5, 1, 0)</f>
        <v>0</v>
      </c>
      <c r="AT503" s="2">
        <f>IF(Table2[[#This Row],[ActualAwayScore]] + Table2[[#This Row],[ActualHomeScore]] &lt;= 3, 1, 0)</f>
        <v>1</v>
      </c>
      <c r="AU503" s="2"/>
      <c r="AV503" s="2"/>
    </row>
    <row r="504" spans="1:48" x14ac:dyDescent="0.25">
      <c r="A504" s="3"/>
      <c r="B504" s="3">
        <v>46005</v>
      </c>
      <c r="C504" s="5">
        <v>2025020502</v>
      </c>
      <c r="D504" s="2" t="s">
        <v>26</v>
      </c>
      <c r="E504" s="2" t="s">
        <v>35</v>
      </c>
      <c r="F504" s="2"/>
      <c r="G504" s="2"/>
      <c r="H504" s="2" t="str">
        <f t="shared" si="39"/>
        <v>_</v>
      </c>
      <c r="I504" s="2"/>
      <c r="J504" s="2"/>
      <c r="K504" s="2"/>
      <c r="L504" s="2" t="str">
        <f t="shared" si="40"/>
        <v>_</v>
      </c>
      <c r="M504" s="2"/>
      <c r="N504" s="2">
        <f>IF(ISBLANK(Table2[[#This Row],[ActualResult]]), 0, 1)</f>
        <v>0</v>
      </c>
      <c r="O504" s="2" t="str">
        <f>IF(ISBLANK(Table2[[#This Row],[ActualResult]]), "_", IF(Table2[[#This Row],[ActualWinner]]=Table2[[#This Row],[PredictedWinner]], "Y", "N"))</f>
        <v>_</v>
      </c>
      <c r="P5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4" s="2"/>
      <c r="S504" s="2" t="str">
        <f t="shared" si="41"/>
        <v>_</v>
      </c>
      <c r="T5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4" s="2">
        <f>IF(Table2[[#This Row],[InterConf]]=1,IF(Table2[[#This Row],[InterDiv]]=0, 1, 0), 0)</f>
        <v>0</v>
      </c>
      <c r="W5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4" s="2"/>
      <c r="Y504" s="2"/>
      <c r="Z504" s="145">
        <f>IF(AND(Table2[[#This Row],[GameIsOver]]=1,Table2[[#This Row],[ActualHomeScore]]*Table2[[#This Row],[ActualAwayScore]]=0), 1,0)</f>
        <v>0</v>
      </c>
      <c r="AA5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4" s="2">
        <f>Table2[[#This Row],[ActualAwayScore]]-Table2[[#This Row],[PredictedAwayScore]]</f>
        <v>0</v>
      </c>
      <c r="AG504" s="2">
        <f>Table2[[#This Row],[ActualHomeScore]]-Table2[[#This Row],[PredictedHomeScore]]</f>
        <v>0</v>
      </c>
      <c r="AH504" s="2">
        <f t="shared" si="42"/>
        <v>0</v>
      </c>
      <c r="AI504" s="2">
        <f t="shared" si="43"/>
        <v>0</v>
      </c>
      <c r="AJ504" s="2"/>
      <c r="AK504" s="3"/>
      <c r="AL504" s="2">
        <f>IF(Table2[[#This Row],[GameIsOver]]=0,0,IF(Table2[[#This Row],[ActualWinner]]=Table2[[#This Row],[AwayTeam]], 1, 0))</f>
        <v>0</v>
      </c>
      <c r="AM504" s="2">
        <f>IF(Table2[[#This Row],[GameIsOver]]=0,0,IF(Table2[[#This Row],[ActualWinner]]=Table2[[#This Row],[HomeTeam]], 1, 0))</f>
        <v>0</v>
      </c>
      <c r="AN5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4" s="2" t="str">
        <f>INDEX(Sheet5!$B$2:$AG$33, MATCH(Table2[[#This Row],[AwayTeam]],Sheet5!$A$2:$A$33, 0), MATCH(Table2[[#This Row],[HomeTeam]],Sheet5!$A$2:$A$33, 0))</f>
        <v>0-0-0</v>
      </c>
      <c r="AP504" s="2" t="str">
        <f>INDEX(Sheet5!$B$2:$AG$33, MATCH(Table2[[#This Row],[HomeTeam]],Sheet5!$A$2:$A$33, 0), MATCH(Table2[[#This Row],[AwayTeam]],Sheet5!$A$2:$A$33, 0))</f>
        <v>0-0-0</v>
      </c>
      <c r="AQ504" s="2">
        <f>IF(Table2[[#This Row],[GameHasShutOut]], 1, 0)</f>
        <v>0</v>
      </c>
      <c r="AR504" s="2">
        <f>IF(Table2[[#This Row],[ActualAwayScore]] + Table2[[#This Row],[ActualHomeScore]] &gt;= 10, 1, 0)</f>
        <v>0</v>
      </c>
      <c r="AS504" s="2">
        <f>IF(ABS(Table2[[#This Row],[ActualAwayScore]]-Table2[[#This Row],[ActualHomeScore]])&gt;=5, 1, 0)</f>
        <v>0</v>
      </c>
      <c r="AT504" s="2">
        <f>IF(Table2[[#This Row],[ActualAwayScore]] + Table2[[#This Row],[ActualHomeScore]] &lt;= 3, 1, 0)</f>
        <v>1</v>
      </c>
      <c r="AU504" s="2"/>
      <c r="AV504" s="2"/>
    </row>
    <row r="505" spans="1:48" x14ac:dyDescent="0.25">
      <c r="A505" s="3"/>
      <c r="B505" s="3">
        <v>46005</v>
      </c>
      <c r="C505" s="5">
        <v>2025020503</v>
      </c>
      <c r="D505" s="2" t="s">
        <v>43</v>
      </c>
      <c r="E505" s="2" t="s">
        <v>21</v>
      </c>
      <c r="F505" s="2"/>
      <c r="G505" s="2"/>
      <c r="H505" s="2" t="str">
        <f t="shared" si="39"/>
        <v>_</v>
      </c>
      <c r="I505" s="2"/>
      <c r="J505" s="2"/>
      <c r="K505" s="2"/>
      <c r="L505" s="2" t="str">
        <f t="shared" si="40"/>
        <v>_</v>
      </c>
      <c r="M505" s="2"/>
      <c r="N505" s="2">
        <f>IF(ISBLANK(Table2[[#This Row],[ActualResult]]), 0, 1)</f>
        <v>0</v>
      </c>
      <c r="O505" s="2" t="str">
        <f>IF(ISBLANK(Table2[[#This Row],[ActualResult]]), "_", IF(Table2[[#This Row],[ActualWinner]]=Table2[[#This Row],[PredictedWinner]], "Y", "N"))</f>
        <v>_</v>
      </c>
      <c r="P5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5" s="2"/>
      <c r="S505" s="2" t="str">
        <f t="shared" si="41"/>
        <v>_</v>
      </c>
      <c r="T5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5" s="2">
        <f>IF(Table2[[#This Row],[InterConf]]=1,IF(Table2[[#This Row],[InterDiv]]=0, 1, 0), 0)</f>
        <v>0</v>
      </c>
      <c r="W5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5" s="2"/>
      <c r="Y505" s="2"/>
      <c r="Z505" s="145">
        <f>IF(AND(Table2[[#This Row],[GameIsOver]]=1,Table2[[#This Row],[ActualHomeScore]]*Table2[[#This Row],[ActualAwayScore]]=0), 1,0)</f>
        <v>0</v>
      </c>
      <c r="AA5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5" s="2">
        <f>Table2[[#This Row],[ActualAwayScore]]-Table2[[#This Row],[PredictedAwayScore]]</f>
        <v>0</v>
      </c>
      <c r="AG505" s="2">
        <f>Table2[[#This Row],[ActualHomeScore]]-Table2[[#This Row],[PredictedHomeScore]]</f>
        <v>0</v>
      </c>
      <c r="AH505" s="2">
        <f t="shared" si="42"/>
        <v>0</v>
      </c>
      <c r="AI505" s="2">
        <f t="shared" si="43"/>
        <v>0</v>
      </c>
      <c r="AJ505" s="2"/>
      <c r="AK505" s="3"/>
      <c r="AL505" s="2">
        <f>IF(Table2[[#This Row],[GameIsOver]]=0,0,IF(Table2[[#This Row],[ActualWinner]]=Table2[[#This Row],[AwayTeam]], 1, 0))</f>
        <v>0</v>
      </c>
      <c r="AM505" s="2">
        <f>IF(Table2[[#This Row],[GameIsOver]]=0,0,IF(Table2[[#This Row],[ActualWinner]]=Table2[[#This Row],[HomeTeam]], 1, 0))</f>
        <v>0</v>
      </c>
      <c r="AN5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5" s="2" t="str">
        <f>INDEX(Sheet5!$B$2:$AG$33, MATCH(Table2[[#This Row],[AwayTeam]],Sheet5!$A$2:$A$33, 0), MATCH(Table2[[#This Row],[HomeTeam]],Sheet5!$A$2:$A$33, 0))</f>
        <v>0-0-0</v>
      </c>
      <c r="AP505" s="2" t="str">
        <f>INDEX(Sheet5!$B$2:$AG$33, MATCH(Table2[[#This Row],[HomeTeam]],Sheet5!$A$2:$A$33, 0), MATCH(Table2[[#This Row],[AwayTeam]],Sheet5!$A$2:$A$33, 0))</f>
        <v>0-0-0</v>
      </c>
      <c r="AQ505" s="2">
        <f>IF(Table2[[#This Row],[GameHasShutOut]], 1, 0)</f>
        <v>0</v>
      </c>
      <c r="AR505" s="2">
        <f>IF(Table2[[#This Row],[ActualAwayScore]] + Table2[[#This Row],[ActualHomeScore]] &gt;= 10, 1, 0)</f>
        <v>0</v>
      </c>
      <c r="AS505" s="2">
        <f>IF(ABS(Table2[[#This Row],[ActualAwayScore]]-Table2[[#This Row],[ActualHomeScore]])&gt;=5, 1, 0)</f>
        <v>0</v>
      </c>
      <c r="AT505" s="2">
        <f>IF(Table2[[#This Row],[ActualAwayScore]] + Table2[[#This Row],[ActualHomeScore]] &lt;= 3, 1, 0)</f>
        <v>1</v>
      </c>
      <c r="AU505" s="2"/>
      <c r="AV505" s="2"/>
    </row>
    <row r="506" spans="1:48" x14ac:dyDescent="0.25">
      <c r="A506" s="3"/>
      <c r="B506" s="3">
        <v>46005</v>
      </c>
      <c r="C506" s="5">
        <v>2025020504</v>
      </c>
      <c r="D506" s="2" t="s">
        <v>30</v>
      </c>
      <c r="E506" s="2" t="s">
        <v>16</v>
      </c>
      <c r="F506" s="2"/>
      <c r="G506" s="2"/>
      <c r="H506" s="2" t="str">
        <f t="shared" si="39"/>
        <v>_</v>
      </c>
      <c r="I506" s="2"/>
      <c r="J506" s="2"/>
      <c r="K506" s="2"/>
      <c r="L506" s="2" t="str">
        <f t="shared" si="40"/>
        <v>_</v>
      </c>
      <c r="M506" s="2"/>
      <c r="N506" s="2">
        <f>IF(ISBLANK(Table2[[#This Row],[ActualResult]]), 0, 1)</f>
        <v>0</v>
      </c>
      <c r="O506" s="2" t="str">
        <f>IF(ISBLANK(Table2[[#This Row],[ActualResult]]), "_", IF(Table2[[#This Row],[ActualWinner]]=Table2[[#This Row],[PredictedWinner]], "Y", "N"))</f>
        <v>_</v>
      </c>
      <c r="P5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6" s="2"/>
      <c r="S506" s="2" t="str">
        <f t="shared" si="41"/>
        <v>_</v>
      </c>
      <c r="T5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6" s="2">
        <f>IF(Table2[[#This Row],[InterConf]]=1,IF(Table2[[#This Row],[InterDiv]]=0, 1, 0), 0)</f>
        <v>0</v>
      </c>
      <c r="W5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6" s="2"/>
      <c r="Y506" s="2"/>
      <c r="Z506" s="145">
        <f>IF(AND(Table2[[#This Row],[GameIsOver]]=1,Table2[[#This Row],[ActualHomeScore]]*Table2[[#This Row],[ActualAwayScore]]=0), 1,0)</f>
        <v>0</v>
      </c>
      <c r="AA5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6" s="2">
        <f>Table2[[#This Row],[ActualAwayScore]]-Table2[[#This Row],[PredictedAwayScore]]</f>
        <v>0</v>
      </c>
      <c r="AG506" s="2">
        <f>Table2[[#This Row],[ActualHomeScore]]-Table2[[#This Row],[PredictedHomeScore]]</f>
        <v>0</v>
      </c>
      <c r="AH506" s="2">
        <f t="shared" si="42"/>
        <v>0</v>
      </c>
      <c r="AI506" s="2">
        <f t="shared" si="43"/>
        <v>0</v>
      </c>
      <c r="AJ506" s="2"/>
      <c r="AK506" s="3"/>
      <c r="AL506" s="2">
        <f>IF(Table2[[#This Row],[GameIsOver]]=0,0,IF(Table2[[#This Row],[ActualWinner]]=Table2[[#This Row],[AwayTeam]], 1, 0))</f>
        <v>0</v>
      </c>
      <c r="AM506" s="2">
        <f>IF(Table2[[#This Row],[GameIsOver]]=0,0,IF(Table2[[#This Row],[ActualWinner]]=Table2[[#This Row],[HomeTeam]], 1, 0))</f>
        <v>0</v>
      </c>
      <c r="AN5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6" s="2" t="str">
        <f>INDEX(Sheet5!$B$2:$AG$33, MATCH(Table2[[#This Row],[AwayTeam]],Sheet5!$A$2:$A$33, 0), MATCH(Table2[[#This Row],[HomeTeam]],Sheet5!$A$2:$A$33, 0))</f>
        <v>0-0-0</v>
      </c>
      <c r="AP506" s="2" t="str">
        <f>INDEX(Sheet5!$B$2:$AG$33, MATCH(Table2[[#This Row],[HomeTeam]],Sheet5!$A$2:$A$33, 0), MATCH(Table2[[#This Row],[AwayTeam]],Sheet5!$A$2:$A$33, 0))</f>
        <v>0-0-0</v>
      </c>
      <c r="AQ506" s="2">
        <f>IF(Table2[[#This Row],[GameHasShutOut]], 1, 0)</f>
        <v>0</v>
      </c>
      <c r="AR506" s="2">
        <f>IF(Table2[[#This Row],[ActualAwayScore]] + Table2[[#This Row],[ActualHomeScore]] &gt;= 10, 1, 0)</f>
        <v>0</v>
      </c>
      <c r="AS506" s="2">
        <f>IF(ABS(Table2[[#This Row],[ActualAwayScore]]-Table2[[#This Row],[ActualHomeScore]])&gt;=5, 1, 0)</f>
        <v>0</v>
      </c>
      <c r="AT506" s="2">
        <f>IF(Table2[[#This Row],[ActualAwayScore]] + Table2[[#This Row],[ActualHomeScore]] &lt;= 3, 1, 0)</f>
        <v>1</v>
      </c>
      <c r="AU506" s="2"/>
      <c r="AV506" s="2"/>
    </row>
    <row r="507" spans="1:48" x14ac:dyDescent="0.25">
      <c r="A507" s="3"/>
      <c r="B507" s="3">
        <v>46005</v>
      </c>
      <c r="C507" s="5">
        <v>2025020505</v>
      </c>
      <c r="D507" s="2" t="s">
        <v>13</v>
      </c>
      <c r="E507" s="2" t="s">
        <v>33</v>
      </c>
      <c r="F507" s="2"/>
      <c r="G507" s="2"/>
      <c r="H507" s="2" t="str">
        <f t="shared" si="39"/>
        <v>_</v>
      </c>
      <c r="I507" s="2"/>
      <c r="J507" s="2"/>
      <c r="K507" s="2"/>
      <c r="L507" s="2" t="str">
        <f t="shared" si="40"/>
        <v>_</v>
      </c>
      <c r="M507" s="2"/>
      <c r="N507" s="2">
        <f>IF(ISBLANK(Table2[[#This Row],[ActualResult]]), 0, 1)</f>
        <v>0</v>
      </c>
      <c r="O507" s="2" t="str">
        <f>IF(ISBLANK(Table2[[#This Row],[ActualResult]]), "_", IF(Table2[[#This Row],[ActualWinner]]=Table2[[#This Row],[PredictedWinner]], "Y", "N"))</f>
        <v>_</v>
      </c>
      <c r="P5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7" s="2"/>
      <c r="S507" s="2" t="str">
        <f t="shared" si="41"/>
        <v>_</v>
      </c>
      <c r="T5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7" s="2">
        <f>IF(Table2[[#This Row],[InterConf]]=1,IF(Table2[[#This Row],[InterDiv]]=0, 1, 0), 0)</f>
        <v>0</v>
      </c>
      <c r="W5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7" s="2"/>
      <c r="Y507" s="2"/>
      <c r="Z507" s="145">
        <f>IF(AND(Table2[[#This Row],[GameIsOver]]=1,Table2[[#This Row],[ActualHomeScore]]*Table2[[#This Row],[ActualAwayScore]]=0), 1,0)</f>
        <v>0</v>
      </c>
      <c r="AA5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7" s="2">
        <f>Table2[[#This Row],[ActualAwayScore]]-Table2[[#This Row],[PredictedAwayScore]]</f>
        <v>0</v>
      </c>
      <c r="AG507" s="2">
        <f>Table2[[#This Row],[ActualHomeScore]]-Table2[[#This Row],[PredictedHomeScore]]</f>
        <v>0</v>
      </c>
      <c r="AH507" s="2">
        <f t="shared" si="42"/>
        <v>0</v>
      </c>
      <c r="AI507" s="2">
        <f t="shared" si="43"/>
        <v>0</v>
      </c>
      <c r="AJ507" s="2"/>
      <c r="AK507" s="3"/>
      <c r="AL507" s="2">
        <f>IF(Table2[[#This Row],[GameIsOver]]=0,0,IF(Table2[[#This Row],[ActualWinner]]=Table2[[#This Row],[AwayTeam]], 1, 0))</f>
        <v>0</v>
      </c>
      <c r="AM507" s="2">
        <f>IF(Table2[[#This Row],[GameIsOver]]=0,0,IF(Table2[[#This Row],[ActualWinner]]=Table2[[#This Row],[HomeTeam]], 1, 0))</f>
        <v>0</v>
      </c>
      <c r="AN5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7" s="2" t="str">
        <f>INDEX(Sheet5!$B$2:$AG$33, MATCH(Table2[[#This Row],[AwayTeam]],Sheet5!$A$2:$A$33, 0), MATCH(Table2[[#This Row],[HomeTeam]],Sheet5!$A$2:$A$33, 0))</f>
        <v>0-0-0</v>
      </c>
      <c r="AP507" s="2" t="str">
        <f>INDEX(Sheet5!$B$2:$AG$33, MATCH(Table2[[#This Row],[HomeTeam]],Sheet5!$A$2:$A$33, 0), MATCH(Table2[[#This Row],[AwayTeam]],Sheet5!$A$2:$A$33, 0))</f>
        <v>0-0-0</v>
      </c>
      <c r="AQ507" s="2">
        <f>IF(Table2[[#This Row],[GameHasShutOut]], 1, 0)</f>
        <v>0</v>
      </c>
      <c r="AR507" s="2">
        <f>IF(Table2[[#This Row],[ActualAwayScore]] + Table2[[#This Row],[ActualHomeScore]] &gt;= 10, 1, 0)</f>
        <v>0</v>
      </c>
      <c r="AS507" s="2">
        <f>IF(ABS(Table2[[#This Row],[ActualAwayScore]]-Table2[[#This Row],[ActualHomeScore]])&gt;=5, 1, 0)</f>
        <v>0</v>
      </c>
      <c r="AT507" s="2">
        <f>IF(Table2[[#This Row],[ActualAwayScore]] + Table2[[#This Row],[ActualHomeScore]] &lt;= 3, 1, 0)</f>
        <v>1</v>
      </c>
      <c r="AU507" s="2"/>
      <c r="AV507" s="2"/>
    </row>
    <row r="508" spans="1:48" x14ac:dyDescent="0.25">
      <c r="A508" s="3"/>
      <c r="B508" s="3">
        <v>46005</v>
      </c>
      <c r="C508" s="5">
        <v>2025020506</v>
      </c>
      <c r="D508" s="2" t="s">
        <v>34</v>
      </c>
      <c r="E508" s="2" t="s">
        <v>25</v>
      </c>
      <c r="F508" s="2"/>
      <c r="G508" s="2"/>
      <c r="H508" s="2" t="str">
        <f t="shared" si="39"/>
        <v>_</v>
      </c>
      <c r="I508" s="2"/>
      <c r="J508" s="2"/>
      <c r="K508" s="2"/>
      <c r="L508" s="2" t="str">
        <f t="shared" si="40"/>
        <v>_</v>
      </c>
      <c r="M508" s="2"/>
      <c r="N508" s="2">
        <f>IF(ISBLANK(Table2[[#This Row],[ActualResult]]), 0, 1)</f>
        <v>0</v>
      </c>
      <c r="O508" s="2" t="str">
        <f>IF(ISBLANK(Table2[[#This Row],[ActualResult]]), "_", IF(Table2[[#This Row],[ActualWinner]]=Table2[[#This Row],[PredictedWinner]], "Y", "N"))</f>
        <v>_</v>
      </c>
      <c r="P5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8" s="2"/>
      <c r="S508" s="2" t="str">
        <f t="shared" si="41"/>
        <v>_</v>
      </c>
      <c r="T5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8" s="2">
        <f>IF(Table2[[#This Row],[InterConf]]=1,IF(Table2[[#This Row],[InterDiv]]=0, 1, 0), 0)</f>
        <v>0</v>
      </c>
      <c r="W5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8" s="2"/>
      <c r="Y508" s="2"/>
      <c r="Z508" s="145">
        <f>IF(AND(Table2[[#This Row],[GameIsOver]]=1,Table2[[#This Row],[ActualHomeScore]]*Table2[[#This Row],[ActualAwayScore]]=0), 1,0)</f>
        <v>0</v>
      </c>
      <c r="AA5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8" s="2">
        <f>Table2[[#This Row],[ActualAwayScore]]-Table2[[#This Row],[PredictedAwayScore]]</f>
        <v>0</v>
      </c>
      <c r="AG508" s="2">
        <f>Table2[[#This Row],[ActualHomeScore]]-Table2[[#This Row],[PredictedHomeScore]]</f>
        <v>0</v>
      </c>
      <c r="AH508" s="2">
        <f t="shared" si="42"/>
        <v>0</v>
      </c>
      <c r="AI508" s="2">
        <f t="shared" si="43"/>
        <v>0</v>
      </c>
      <c r="AJ508" s="2"/>
      <c r="AK508" s="3"/>
      <c r="AL508" s="2">
        <f>IF(Table2[[#This Row],[GameIsOver]]=0,0,IF(Table2[[#This Row],[ActualWinner]]=Table2[[#This Row],[AwayTeam]], 1, 0))</f>
        <v>0</v>
      </c>
      <c r="AM508" s="2">
        <f>IF(Table2[[#This Row],[GameIsOver]]=0,0,IF(Table2[[#This Row],[ActualWinner]]=Table2[[#This Row],[HomeTeam]], 1, 0))</f>
        <v>0</v>
      </c>
      <c r="AN5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8" s="2" t="str">
        <f>INDEX(Sheet5!$B$2:$AG$33, MATCH(Table2[[#This Row],[AwayTeam]],Sheet5!$A$2:$A$33, 0), MATCH(Table2[[#This Row],[HomeTeam]],Sheet5!$A$2:$A$33, 0))</f>
        <v>0-0-0</v>
      </c>
      <c r="AP508" s="2" t="str">
        <f>INDEX(Sheet5!$B$2:$AG$33, MATCH(Table2[[#This Row],[HomeTeam]],Sheet5!$A$2:$A$33, 0), MATCH(Table2[[#This Row],[AwayTeam]],Sheet5!$A$2:$A$33, 0))</f>
        <v>0-0-0</v>
      </c>
      <c r="AQ508" s="2">
        <f>IF(Table2[[#This Row],[GameHasShutOut]], 1, 0)</f>
        <v>0</v>
      </c>
      <c r="AR508" s="2">
        <f>IF(Table2[[#This Row],[ActualAwayScore]] + Table2[[#This Row],[ActualHomeScore]] &gt;= 10, 1, 0)</f>
        <v>0</v>
      </c>
      <c r="AS508" s="2">
        <f>IF(ABS(Table2[[#This Row],[ActualAwayScore]]-Table2[[#This Row],[ActualHomeScore]])&gt;=5, 1, 0)</f>
        <v>0</v>
      </c>
      <c r="AT508" s="2">
        <f>IF(Table2[[#This Row],[ActualAwayScore]] + Table2[[#This Row],[ActualHomeScore]] &lt;= 3, 1, 0)</f>
        <v>1</v>
      </c>
      <c r="AU508" s="2"/>
      <c r="AV508" s="2"/>
    </row>
    <row r="509" spans="1:48" x14ac:dyDescent="0.25">
      <c r="A509" s="3"/>
      <c r="B509" s="3">
        <v>46005</v>
      </c>
      <c r="C509" s="5">
        <v>2025020507</v>
      </c>
      <c r="D509" s="2" t="s">
        <v>23</v>
      </c>
      <c r="E509" s="2" t="s">
        <v>27</v>
      </c>
      <c r="F509" s="2"/>
      <c r="G509" s="2"/>
      <c r="H509" s="2" t="str">
        <f t="shared" si="39"/>
        <v>_</v>
      </c>
      <c r="I509" s="2"/>
      <c r="J509" s="2"/>
      <c r="K509" s="2"/>
      <c r="L509" s="2" t="str">
        <f t="shared" si="40"/>
        <v>_</v>
      </c>
      <c r="M509" s="2"/>
      <c r="N509" s="2">
        <f>IF(ISBLANK(Table2[[#This Row],[ActualResult]]), 0, 1)</f>
        <v>0</v>
      </c>
      <c r="O509" s="2" t="str">
        <f>IF(ISBLANK(Table2[[#This Row],[ActualResult]]), "_", IF(Table2[[#This Row],[ActualWinner]]=Table2[[#This Row],[PredictedWinner]], "Y", "N"))</f>
        <v>_</v>
      </c>
      <c r="P5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9" s="2"/>
      <c r="S509" s="2" t="str">
        <f t="shared" si="41"/>
        <v>_</v>
      </c>
      <c r="T5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9" s="2">
        <f>IF(Table2[[#This Row],[InterConf]]=1,IF(Table2[[#This Row],[InterDiv]]=0, 1, 0), 0)</f>
        <v>0</v>
      </c>
      <c r="W5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9" s="2"/>
      <c r="Y509" s="2"/>
      <c r="Z509" s="145">
        <f>IF(AND(Table2[[#This Row],[GameIsOver]]=1,Table2[[#This Row],[ActualHomeScore]]*Table2[[#This Row],[ActualAwayScore]]=0), 1,0)</f>
        <v>0</v>
      </c>
      <c r="AA5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9" s="2">
        <f>Table2[[#This Row],[ActualAwayScore]]-Table2[[#This Row],[PredictedAwayScore]]</f>
        <v>0</v>
      </c>
      <c r="AG509" s="2">
        <f>Table2[[#This Row],[ActualHomeScore]]-Table2[[#This Row],[PredictedHomeScore]]</f>
        <v>0</v>
      </c>
      <c r="AH509" s="2">
        <f t="shared" si="42"/>
        <v>0</v>
      </c>
      <c r="AI509" s="2">
        <f t="shared" si="43"/>
        <v>0</v>
      </c>
      <c r="AJ509" s="2"/>
      <c r="AK509" s="3"/>
      <c r="AL509" s="2">
        <f>IF(Table2[[#This Row],[GameIsOver]]=0,0,IF(Table2[[#This Row],[ActualWinner]]=Table2[[#This Row],[AwayTeam]], 1, 0))</f>
        <v>0</v>
      </c>
      <c r="AM509" s="2">
        <f>IF(Table2[[#This Row],[GameIsOver]]=0,0,IF(Table2[[#This Row],[ActualWinner]]=Table2[[#This Row],[HomeTeam]], 1, 0))</f>
        <v>0</v>
      </c>
      <c r="AN509" s="2">
        <f>IF(IFERROR(FIND(Table2[[#This Row],[AwayTeam]], _xlfn.TEXTJOIN(";", 1, $BD$31:$BD$40)), 0) &gt; 0, 1, 0) + IF(IFERROR(FIND(Table2[[#This Row],[HomeTeam]], _xlfn.TEXTJOIN(";", 1, $BD$31:$BD$40)), 0) &gt; 0, 1, 0)</f>
        <v>1</v>
      </c>
      <c r="AO509" s="2" t="str">
        <f>INDEX(Sheet5!$B$2:$AG$33, MATCH(Table2[[#This Row],[AwayTeam]],Sheet5!$A$2:$A$33, 0), MATCH(Table2[[#This Row],[HomeTeam]],Sheet5!$A$2:$A$33, 0))</f>
        <v>0-0-0</v>
      </c>
      <c r="AP509" s="2" t="str">
        <f>INDEX(Sheet5!$B$2:$AG$33, MATCH(Table2[[#This Row],[HomeTeam]],Sheet5!$A$2:$A$33, 0), MATCH(Table2[[#This Row],[AwayTeam]],Sheet5!$A$2:$A$33, 0))</f>
        <v>0-0-0</v>
      </c>
      <c r="AQ509" s="2">
        <f>IF(Table2[[#This Row],[GameHasShutOut]], 1, 0)</f>
        <v>0</v>
      </c>
      <c r="AR509" s="2">
        <f>IF(Table2[[#This Row],[ActualAwayScore]] + Table2[[#This Row],[ActualHomeScore]] &gt;= 10, 1, 0)</f>
        <v>0</v>
      </c>
      <c r="AS509" s="2">
        <f>IF(ABS(Table2[[#This Row],[ActualAwayScore]]-Table2[[#This Row],[ActualHomeScore]])&gt;=5, 1, 0)</f>
        <v>0</v>
      </c>
      <c r="AT509" s="2">
        <f>IF(Table2[[#This Row],[ActualAwayScore]] + Table2[[#This Row],[ActualHomeScore]] &lt;= 3, 1, 0)</f>
        <v>1</v>
      </c>
      <c r="AU509" s="2"/>
      <c r="AV509" s="2"/>
    </row>
    <row r="510" spans="1:48" x14ac:dyDescent="0.25">
      <c r="A510" s="3"/>
      <c r="B510" s="3">
        <v>46005</v>
      </c>
      <c r="C510" s="5">
        <v>2025020508</v>
      </c>
      <c r="D510" s="2" t="s">
        <v>24</v>
      </c>
      <c r="E510" s="2" t="s">
        <v>31</v>
      </c>
      <c r="F510" s="2"/>
      <c r="G510" s="2"/>
      <c r="H510" s="2" t="str">
        <f t="shared" si="39"/>
        <v>_</v>
      </c>
      <c r="I510" s="2"/>
      <c r="J510" s="2"/>
      <c r="K510" s="2"/>
      <c r="L510" s="2" t="str">
        <f t="shared" si="40"/>
        <v>_</v>
      </c>
      <c r="M510" s="2"/>
      <c r="N510" s="2">
        <f>IF(ISBLANK(Table2[[#This Row],[ActualResult]]), 0, 1)</f>
        <v>0</v>
      </c>
      <c r="O510" s="2" t="str">
        <f>IF(ISBLANK(Table2[[#This Row],[ActualResult]]), "_", IF(Table2[[#This Row],[ActualWinner]]=Table2[[#This Row],[PredictedWinner]], "Y", "N"))</f>
        <v>_</v>
      </c>
      <c r="P5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0" s="2"/>
      <c r="S510" s="2" t="str">
        <f t="shared" si="41"/>
        <v>_</v>
      </c>
      <c r="T5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0" s="2">
        <f>IF(Table2[[#This Row],[InterConf]]=1,IF(Table2[[#This Row],[InterDiv]]=0, 1, 0), 0)</f>
        <v>0</v>
      </c>
      <c r="W5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0" s="2"/>
      <c r="Y510" s="2"/>
      <c r="Z510" s="145">
        <f>IF(AND(Table2[[#This Row],[GameIsOver]]=1,Table2[[#This Row],[ActualHomeScore]]*Table2[[#This Row],[ActualAwayScore]]=0), 1,0)</f>
        <v>0</v>
      </c>
      <c r="AA5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0" s="2">
        <f>Table2[[#This Row],[ActualAwayScore]]-Table2[[#This Row],[PredictedAwayScore]]</f>
        <v>0</v>
      </c>
      <c r="AG510" s="2">
        <f>Table2[[#This Row],[ActualHomeScore]]-Table2[[#This Row],[PredictedHomeScore]]</f>
        <v>0</v>
      </c>
      <c r="AH510" s="2">
        <f t="shared" si="42"/>
        <v>0</v>
      </c>
      <c r="AI510" s="2">
        <f t="shared" si="43"/>
        <v>0</v>
      </c>
      <c r="AJ510" s="2"/>
      <c r="AK510" s="3"/>
      <c r="AL510" s="2">
        <f>IF(Table2[[#This Row],[GameIsOver]]=0,0,IF(Table2[[#This Row],[ActualWinner]]=Table2[[#This Row],[AwayTeam]], 1, 0))</f>
        <v>0</v>
      </c>
      <c r="AM510" s="2">
        <f>IF(Table2[[#This Row],[GameIsOver]]=0,0,IF(Table2[[#This Row],[ActualWinner]]=Table2[[#This Row],[HomeTeam]], 1, 0))</f>
        <v>0</v>
      </c>
      <c r="AN5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0" s="2" t="str">
        <f>INDEX(Sheet5!$B$2:$AG$33, MATCH(Table2[[#This Row],[AwayTeam]],Sheet5!$A$2:$A$33, 0), MATCH(Table2[[#This Row],[HomeTeam]],Sheet5!$A$2:$A$33, 0))</f>
        <v>0-0-0</v>
      </c>
      <c r="AP510" s="2" t="str">
        <f>INDEX(Sheet5!$B$2:$AG$33, MATCH(Table2[[#This Row],[HomeTeam]],Sheet5!$A$2:$A$33, 0), MATCH(Table2[[#This Row],[AwayTeam]],Sheet5!$A$2:$A$33, 0))</f>
        <v>0-0-0</v>
      </c>
      <c r="AQ510" s="2">
        <f>IF(Table2[[#This Row],[GameHasShutOut]], 1, 0)</f>
        <v>0</v>
      </c>
      <c r="AR510" s="2">
        <f>IF(Table2[[#This Row],[ActualAwayScore]] + Table2[[#This Row],[ActualHomeScore]] &gt;= 10, 1, 0)</f>
        <v>0</v>
      </c>
      <c r="AS510" s="2">
        <f>IF(ABS(Table2[[#This Row],[ActualAwayScore]]-Table2[[#This Row],[ActualHomeScore]])&gt;=5, 1, 0)</f>
        <v>0</v>
      </c>
      <c r="AT510" s="2">
        <f>IF(Table2[[#This Row],[ActualAwayScore]] + Table2[[#This Row],[ActualHomeScore]] &lt;= 3, 1, 0)</f>
        <v>1</v>
      </c>
      <c r="AU510" s="2"/>
      <c r="AV510" s="2"/>
    </row>
    <row r="511" spans="1:48" x14ac:dyDescent="0.25">
      <c r="A511" s="3"/>
      <c r="B511" s="3">
        <v>46005</v>
      </c>
      <c r="C511" s="5">
        <v>2025020509</v>
      </c>
      <c r="D511" s="2" t="s">
        <v>14</v>
      </c>
      <c r="E511" s="2" t="s">
        <v>20</v>
      </c>
      <c r="F511" s="2"/>
      <c r="G511" s="2"/>
      <c r="H511" s="2" t="str">
        <f t="shared" si="39"/>
        <v>_</v>
      </c>
      <c r="I511" s="2"/>
      <c r="J511" s="2"/>
      <c r="K511" s="2"/>
      <c r="L511" s="2" t="str">
        <f t="shared" si="40"/>
        <v>_</v>
      </c>
      <c r="M511" s="2"/>
      <c r="N511" s="2">
        <f>IF(ISBLANK(Table2[[#This Row],[ActualResult]]), 0, 1)</f>
        <v>0</v>
      </c>
      <c r="O511" s="2" t="str">
        <f>IF(ISBLANK(Table2[[#This Row],[ActualResult]]), "_", IF(Table2[[#This Row],[ActualWinner]]=Table2[[#This Row],[PredictedWinner]], "Y", "N"))</f>
        <v>_</v>
      </c>
      <c r="P5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1" s="2"/>
      <c r="S511" s="2" t="str">
        <f t="shared" si="41"/>
        <v>_</v>
      </c>
      <c r="T5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1" s="2">
        <f>IF(Table2[[#This Row],[InterConf]]=1,IF(Table2[[#This Row],[InterDiv]]=0, 1, 0), 0)</f>
        <v>0</v>
      </c>
      <c r="W5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1" s="2"/>
      <c r="Y511" s="2"/>
      <c r="Z511" s="145">
        <f>IF(AND(Table2[[#This Row],[GameIsOver]]=1,Table2[[#This Row],[ActualHomeScore]]*Table2[[#This Row],[ActualAwayScore]]=0), 1,0)</f>
        <v>0</v>
      </c>
      <c r="AA5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1" s="2">
        <f>Table2[[#This Row],[ActualAwayScore]]-Table2[[#This Row],[PredictedAwayScore]]</f>
        <v>0</v>
      </c>
      <c r="AG511" s="2">
        <f>Table2[[#This Row],[ActualHomeScore]]-Table2[[#This Row],[PredictedHomeScore]]</f>
        <v>0</v>
      </c>
      <c r="AH511" s="2">
        <f t="shared" si="42"/>
        <v>0</v>
      </c>
      <c r="AI511" s="2">
        <f t="shared" si="43"/>
        <v>0</v>
      </c>
      <c r="AJ511" s="2"/>
      <c r="AK511" s="3"/>
      <c r="AL511" s="2">
        <f>IF(Table2[[#This Row],[GameIsOver]]=0,0,IF(Table2[[#This Row],[ActualWinner]]=Table2[[#This Row],[AwayTeam]], 1, 0))</f>
        <v>0</v>
      </c>
      <c r="AM511" s="2">
        <f>IF(Table2[[#This Row],[GameIsOver]]=0,0,IF(Table2[[#This Row],[ActualWinner]]=Table2[[#This Row],[HomeTeam]], 1, 0))</f>
        <v>0</v>
      </c>
      <c r="AN5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1" s="2" t="str">
        <f>INDEX(Sheet5!$B$2:$AG$33, MATCH(Table2[[#This Row],[AwayTeam]],Sheet5!$A$2:$A$33, 0), MATCH(Table2[[#This Row],[HomeTeam]],Sheet5!$A$2:$A$33, 0))</f>
        <v>0-0-0</v>
      </c>
      <c r="AP511" s="2" t="str">
        <f>INDEX(Sheet5!$B$2:$AG$33, MATCH(Table2[[#This Row],[HomeTeam]],Sheet5!$A$2:$A$33, 0), MATCH(Table2[[#This Row],[AwayTeam]],Sheet5!$A$2:$A$33, 0))</f>
        <v>0-0-0</v>
      </c>
      <c r="AQ511" s="2">
        <f>IF(Table2[[#This Row],[GameHasShutOut]], 1, 0)</f>
        <v>0</v>
      </c>
      <c r="AR511" s="2">
        <f>IF(Table2[[#This Row],[ActualAwayScore]] + Table2[[#This Row],[ActualHomeScore]] &gt;= 10, 1, 0)</f>
        <v>0</v>
      </c>
      <c r="AS511" s="2">
        <f>IF(ABS(Table2[[#This Row],[ActualAwayScore]]-Table2[[#This Row],[ActualHomeScore]])&gt;=5, 1, 0)</f>
        <v>0</v>
      </c>
      <c r="AT511" s="2">
        <f>IF(Table2[[#This Row],[ActualAwayScore]] + Table2[[#This Row],[ActualHomeScore]] &lt;= 3, 1, 0)</f>
        <v>1</v>
      </c>
      <c r="AU511" s="2"/>
      <c r="AV511" s="2"/>
    </row>
    <row r="512" spans="1:48" x14ac:dyDescent="0.25">
      <c r="A512" s="3"/>
      <c r="B512" s="3">
        <v>46005</v>
      </c>
      <c r="C512" s="5">
        <v>2025020510</v>
      </c>
      <c r="D512" s="2" t="s">
        <v>42</v>
      </c>
      <c r="E512" s="2" t="s">
        <v>41</v>
      </c>
      <c r="F512" s="2"/>
      <c r="G512" s="2"/>
      <c r="H512" s="2" t="str">
        <f t="shared" si="39"/>
        <v>_</v>
      </c>
      <c r="I512" s="2"/>
      <c r="J512" s="2"/>
      <c r="K512" s="2"/>
      <c r="L512" s="2" t="str">
        <f t="shared" si="40"/>
        <v>_</v>
      </c>
      <c r="M512" s="2"/>
      <c r="N512" s="2">
        <f>IF(ISBLANK(Table2[[#This Row],[ActualResult]]), 0, 1)</f>
        <v>0</v>
      </c>
      <c r="O512" s="2" t="str">
        <f>IF(ISBLANK(Table2[[#This Row],[ActualResult]]), "_", IF(Table2[[#This Row],[ActualWinner]]=Table2[[#This Row],[PredictedWinner]], "Y", "N"))</f>
        <v>_</v>
      </c>
      <c r="P5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2" s="2"/>
      <c r="S512" s="2" t="str">
        <f t="shared" si="41"/>
        <v>_</v>
      </c>
      <c r="T5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12" s="2">
        <f>IF(Table2[[#This Row],[InterConf]]=1,IF(Table2[[#This Row],[InterDiv]]=0, 1, 0), 0)</f>
        <v>0</v>
      </c>
      <c r="W5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12" s="2"/>
      <c r="Y512" s="2"/>
      <c r="Z512" s="145">
        <f>IF(AND(Table2[[#This Row],[GameIsOver]]=1,Table2[[#This Row],[ActualHomeScore]]*Table2[[#This Row],[ActualAwayScore]]=0), 1,0)</f>
        <v>0</v>
      </c>
      <c r="AA5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2" s="2">
        <f>Table2[[#This Row],[ActualAwayScore]]-Table2[[#This Row],[PredictedAwayScore]]</f>
        <v>0</v>
      </c>
      <c r="AG512" s="2">
        <f>Table2[[#This Row],[ActualHomeScore]]-Table2[[#This Row],[PredictedHomeScore]]</f>
        <v>0</v>
      </c>
      <c r="AH512" s="2">
        <f t="shared" si="42"/>
        <v>0</v>
      </c>
      <c r="AI512" s="2">
        <f t="shared" si="43"/>
        <v>0</v>
      </c>
      <c r="AJ512" s="2"/>
      <c r="AK512" s="3"/>
      <c r="AL512" s="2">
        <f>IF(Table2[[#This Row],[GameIsOver]]=0,0,IF(Table2[[#This Row],[ActualWinner]]=Table2[[#This Row],[AwayTeam]], 1, 0))</f>
        <v>0</v>
      </c>
      <c r="AM512" s="2">
        <f>IF(Table2[[#This Row],[GameIsOver]]=0,0,IF(Table2[[#This Row],[ActualWinner]]=Table2[[#This Row],[HomeTeam]], 1, 0))</f>
        <v>0</v>
      </c>
      <c r="AN5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2" s="2" t="str">
        <f>INDEX(Sheet5!$B$2:$AG$33, MATCH(Table2[[#This Row],[AwayTeam]],Sheet5!$A$2:$A$33, 0), MATCH(Table2[[#This Row],[HomeTeam]],Sheet5!$A$2:$A$33, 0))</f>
        <v>0-0-1</v>
      </c>
      <c r="AP512" s="2" t="str">
        <f>INDEX(Sheet5!$B$2:$AG$33, MATCH(Table2[[#This Row],[HomeTeam]],Sheet5!$A$2:$A$33, 0), MATCH(Table2[[#This Row],[AwayTeam]],Sheet5!$A$2:$A$33, 0))</f>
        <v>1-0-0</v>
      </c>
      <c r="AQ512" s="2">
        <f>IF(Table2[[#This Row],[GameHasShutOut]], 1, 0)</f>
        <v>0</v>
      </c>
      <c r="AR512" s="2">
        <f>IF(Table2[[#This Row],[ActualAwayScore]] + Table2[[#This Row],[ActualHomeScore]] &gt;= 10, 1, 0)</f>
        <v>0</v>
      </c>
      <c r="AS512" s="2">
        <f>IF(ABS(Table2[[#This Row],[ActualAwayScore]]-Table2[[#This Row],[ActualHomeScore]])&gt;=5, 1, 0)</f>
        <v>0</v>
      </c>
      <c r="AT512" s="2">
        <f>IF(Table2[[#This Row],[ActualAwayScore]] + Table2[[#This Row],[ActualHomeScore]] &lt;= 3, 1, 0)</f>
        <v>1</v>
      </c>
      <c r="AU512" s="2"/>
      <c r="AV512" s="2"/>
    </row>
    <row r="513" spans="1:48" x14ac:dyDescent="0.25">
      <c r="A513" s="3"/>
      <c r="B513" s="3">
        <v>46005</v>
      </c>
      <c r="C513" s="5">
        <v>2025020511</v>
      </c>
      <c r="D513" s="2" t="s">
        <v>15</v>
      </c>
      <c r="E513" s="2" t="s">
        <v>36</v>
      </c>
      <c r="F513" s="2"/>
      <c r="G513" s="2"/>
      <c r="H513" s="2" t="str">
        <f t="shared" si="39"/>
        <v>_</v>
      </c>
      <c r="I513" s="2"/>
      <c r="J513" s="2"/>
      <c r="K513" s="2"/>
      <c r="L513" s="2" t="str">
        <f t="shared" si="40"/>
        <v>_</v>
      </c>
      <c r="M513" s="2"/>
      <c r="N513" s="2">
        <f>IF(ISBLANK(Table2[[#This Row],[ActualResult]]), 0, 1)</f>
        <v>0</v>
      </c>
      <c r="O513" s="2" t="str">
        <f>IF(ISBLANK(Table2[[#This Row],[ActualResult]]), "_", IF(Table2[[#This Row],[ActualWinner]]=Table2[[#This Row],[PredictedWinner]], "Y", "N"))</f>
        <v>_</v>
      </c>
      <c r="P5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3" s="2"/>
      <c r="S513" s="2" t="str">
        <f t="shared" si="41"/>
        <v>_</v>
      </c>
      <c r="T5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3" s="2">
        <f>IF(Table2[[#This Row],[InterConf]]=1,IF(Table2[[#This Row],[InterDiv]]=0, 1, 0), 0)</f>
        <v>0</v>
      </c>
      <c r="W5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3" s="2"/>
      <c r="Y513" s="2"/>
      <c r="Z513" s="145">
        <f>IF(AND(Table2[[#This Row],[GameIsOver]]=1,Table2[[#This Row],[ActualHomeScore]]*Table2[[#This Row],[ActualAwayScore]]=0), 1,0)</f>
        <v>0</v>
      </c>
      <c r="AA5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3" s="2">
        <f>Table2[[#This Row],[ActualAwayScore]]-Table2[[#This Row],[PredictedAwayScore]]</f>
        <v>0</v>
      </c>
      <c r="AG513" s="2">
        <f>Table2[[#This Row],[ActualHomeScore]]-Table2[[#This Row],[PredictedHomeScore]]</f>
        <v>0</v>
      </c>
      <c r="AH513" s="2">
        <f t="shared" si="42"/>
        <v>0</v>
      </c>
      <c r="AI513" s="2">
        <f t="shared" si="43"/>
        <v>0</v>
      </c>
      <c r="AJ513" s="2"/>
      <c r="AK513" s="3"/>
      <c r="AL513" s="2">
        <f>IF(Table2[[#This Row],[GameIsOver]]=0,0,IF(Table2[[#This Row],[ActualWinner]]=Table2[[#This Row],[AwayTeam]], 1, 0))</f>
        <v>0</v>
      </c>
      <c r="AM513" s="2">
        <f>IF(Table2[[#This Row],[GameIsOver]]=0,0,IF(Table2[[#This Row],[ActualWinner]]=Table2[[#This Row],[HomeTeam]], 1, 0))</f>
        <v>0</v>
      </c>
      <c r="AN5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3" s="2" t="str">
        <f>INDEX(Sheet5!$B$2:$AG$33, MATCH(Table2[[#This Row],[AwayTeam]],Sheet5!$A$2:$A$33, 0), MATCH(Table2[[#This Row],[HomeTeam]],Sheet5!$A$2:$A$33, 0))</f>
        <v>0-0-0</v>
      </c>
      <c r="AP513" s="2" t="str">
        <f>INDEX(Sheet5!$B$2:$AG$33, MATCH(Table2[[#This Row],[HomeTeam]],Sheet5!$A$2:$A$33, 0), MATCH(Table2[[#This Row],[AwayTeam]],Sheet5!$A$2:$A$33, 0))</f>
        <v>0-0-0</v>
      </c>
      <c r="AQ513" s="2">
        <f>IF(Table2[[#This Row],[GameHasShutOut]], 1, 0)</f>
        <v>0</v>
      </c>
      <c r="AR513" s="2">
        <f>IF(Table2[[#This Row],[ActualAwayScore]] + Table2[[#This Row],[ActualHomeScore]] &gt;= 10, 1, 0)</f>
        <v>0</v>
      </c>
      <c r="AS513" s="2">
        <f>IF(ABS(Table2[[#This Row],[ActualAwayScore]]-Table2[[#This Row],[ActualHomeScore]])&gt;=5, 1, 0)</f>
        <v>0</v>
      </c>
      <c r="AT513" s="2">
        <f>IF(Table2[[#This Row],[ActualAwayScore]] + Table2[[#This Row],[ActualHomeScore]] &lt;= 3, 1, 0)</f>
        <v>1</v>
      </c>
      <c r="AU513" s="2"/>
      <c r="AV513" s="2"/>
    </row>
    <row r="514" spans="1:48" x14ac:dyDescent="0.25">
      <c r="A514" s="3"/>
      <c r="B514" s="3">
        <v>46006</v>
      </c>
      <c r="C514" s="5">
        <v>2025020512</v>
      </c>
      <c r="D514" s="2" t="s">
        <v>22</v>
      </c>
      <c r="E514" s="2" t="s">
        <v>18</v>
      </c>
      <c r="F514" s="2"/>
      <c r="G514" s="2"/>
      <c r="H514" s="2" t="str">
        <f t="shared" si="39"/>
        <v>_</v>
      </c>
      <c r="I514" s="2"/>
      <c r="J514" s="2"/>
      <c r="K514" s="2"/>
      <c r="L514" s="2" t="str">
        <f t="shared" si="40"/>
        <v>_</v>
      </c>
      <c r="M514" s="2"/>
      <c r="N514" s="2">
        <f>IF(ISBLANK(Table2[[#This Row],[ActualResult]]), 0, 1)</f>
        <v>0</v>
      </c>
      <c r="O514" s="2" t="str">
        <f>IF(ISBLANK(Table2[[#This Row],[ActualResult]]), "_", IF(Table2[[#This Row],[ActualWinner]]=Table2[[#This Row],[PredictedWinner]], "Y", "N"))</f>
        <v>_</v>
      </c>
      <c r="P5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4" s="2"/>
      <c r="S514" s="2" t="str">
        <f t="shared" si="41"/>
        <v>_</v>
      </c>
      <c r="T5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4" s="2">
        <f>IF(Table2[[#This Row],[InterConf]]=1,IF(Table2[[#This Row],[InterDiv]]=0, 1, 0), 0)</f>
        <v>0</v>
      </c>
      <c r="W5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4" s="2"/>
      <c r="Y514" s="2"/>
      <c r="Z514" s="145">
        <f>IF(AND(Table2[[#This Row],[GameIsOver]]=1,Table2[[#This Row],[ActualHomeScore]]*Table2[[#This Row],[ActualAwayScore]]=0), 1,0)</f>
        <v>0</v>
      </c>
      <c r="AA5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14" s="2">
        <f>Table2[[#This Row],[ActualAwayScore]]-Table2[[#This Row],[PredictedAwayScore]]</f>
        <v>0</v>
      </c>
      <c r="AG514" s="2">
        <f>Table2[[#This Row],[ActualHomeScore]]-Table2[[#This Row],[PredictedHomeScore]]</f>
        <v>0</v>
      </c>
      <c r="AH514" s="2">
        <f t="shared" si="42"/>
        <v>0</v>
      </c>
      <c r="AI514" s="2">
        <f t="shared" si="43"/>
        <v>0</v>
      </c>
      <c r="AJ514" s="2"/>
      <c r="AK514" s="3"/>
      <c r="AL514" s="2">
        <f>IF(Table2[[#This Row],[GameIsOver]]=0,0,IF(Table2[[#This Row],[ActualWinner]]=Table2[[#This Row],[AwayTeam]], 1, 0))</f>
        <v>0</v>
      </c>
      <c r="AM514" s="2">
        <f>IF(Table2[[#This Row],[GameIsOver]]=0,0,IF(Table2[[#This Row],[ActualWinner]]=Table2[[#This Row],[HomeTeam]], 1, 0))</f>
        <v>0</v>
      </c>
      <c r="AN5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4" s="2" t="str">
        <f>INDEX(Sheet5!$B$2:$AG$33, MATCH(Table2[[#This Row],[AwayTeam]],Sheet5!$A$2:$A$33, 0), MATCH(Table2[[#This Row],[HomeTeam]],Sheet5!$A$2:$A$33, 0))</f>
        <v>0-0-0</v>
      </c>
      <c r="AP514" s="2" t="str">
        <f>INDEX(Sheet5!$B$2:$AG$33, MATCH(Table2[[#This Row],[HomeTeam]],Sheet5!$A$2:$A$33, 0), MATCH(Table2[[#This Row],[AwayTeam]],Sheet5!$A$2:$A$33, 0))</f>
        <v>0-0-0</v>
      </c>
      <c r="AQ514" s="2">
        <f>IF(Table2[[#This Row],[GameHasShutOut]], 1, 0)</f>
        <v>0</v>
      </c>
      <c r="AR514" s="2">
        <f>IF(Table2[[#This Row],[ActualAwayScore]] + Table2[[#This Row],[ActualHomeScore]] &gt;= 10, 1, 0)</f>
        <v>0</v>
      </c>
      <c r="AS514" s="2">
        <f>IF(ABS(Table2[[#This Row],[ActualAwayScore]]-Table2[[#This Row],[ActualHomeScore]])&gt;=5, 1, 0)</f>
        <v>0</v>
      </c>
      <c r="AT514" s="2">
        <f>IF(Table2[[#This Row],[ActualAwayScore]] + Table2[[#This Row],[ActualHomeScore]] &lt;= 3, 1, 0)</f>
        <v>1</v>
      </c>
      <c r="AU514" s="2"/>
      <c r="AV514" s="2"/>
    </row>
    <row r="515" spans="1:48" x14ac:dyDescent="0.25">
      <c r="A515" s="3"/>
      <c r="B515" s="3">
        <v>46006</v>
      </c>
      <c r="C515" s="5">
        <v>2025020513</v>
      </c>
      <c r="D515" s="2" t="s">
        <v>28</v>
      </c>
      <c r="E515" s="2" t="s">
        <v>11</v>
      </c>
      <c r="F515" s="2"/>
      <c r="G515" s="2"/>
      <c r="H515" s="2" t="str">
        <f t="shared" ref="H515:H578" si="44">IF(AND(ISBLANK($F515),ISBLANK($G515)),"_",IF($F515&gt;$G515,$D515,$E515))</f>
        <v>_</v>
      </c>
      <c r="I515" s="2"/>
      <c r="J515" s="2"/>
      <c r="K515" s="2"/>
      <c r="L515" s="2" t="str">
        <f t="shared" ref="L515:L578" si="45">IF(OR($J515=$K515,AND(ISBLANK($J515),ISBLANK($K515))),"_",IF($J515&gt;$K515,$D515,$E515))</f>
        <v>_</v>
      </c>
      <c r="M515" s="2"/>
      <c r="N515" s="2">
        <f>IF(ISBLANK(Table2[[#This Row],[ActualResult]]), 0, 1)</f>
        <v>0</v>
      </c>
      <c r="O515" s="2" t="str">
        <f>IF(ISBLANK(Table2[[#This Row],[ActualResult]]), "_", IF(Table2[[#This Row],[ActualWinner]]=Table2[[#This Row],[PredictedWinner]], "Y", "N"))</f>
        <v>_</v>
      </c>
      <c r="P5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5" s="2"/>
      <c r="S515" s="2" t="str">
        <f t="shared" ref="S515:S578" si="46">IF($L515="_", "_", IF($L515=$D515,$E515,$D515))</f>
        <v>_</v>
      </c>
      <c r="T5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5" s="2">
        <f>IF(Table2[[#This Row],[InterConf]]=1,IF(Table2[[#This Row],[InterDiv]]=0, 1, 0), 0)</f>
        <v>0</v>
      </c>
      <c r="W5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5" s="2"/>
      <c r="Y515" s="2"/>
      <c r="Z515" s="145">
        <f>IF(AND(Table2[[#This Row],[GameIsOver]]=1,Table2[[#This Row],[ActualHomeScore]]*Table2[[#This Row],[ActualAwayScore]]=0), 1,0)</f>
        <v>0</v>
      </c>
      <c r="AA5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15" s="2">
        <f>Table2[[#This Row],[ActualAwayScore]]-Table2[[#This Row],[PredictedAwayScore]]</f>
        <v>0</v>
      </c>
      <c r="AG515" s="2">
        <f>Table2[[#This Row],[ActualHomeScore]]-Table2[[#This Row],[PredictedHomeScore]]</f>
        <v>0</v>
      </c>
      <c r="AH515" s="2">
        <f t="shared" ref="AH515:AH578" si="47">SUMIF($B$3:$B$1315, $B515, $AF$3:$AF$1315)</f>
        <v>0</v>
      </c>
      <c r="AI515" s="2">
        <f t="shared" ref="AI515:AI578" si="48">SUMIF($B$3:$B$1315, $B515, $AG$3:$AG$1315)</f>
        <v>0</v>
      </c>
      <c r="AJ515" s="2"/>
      <c r="AK515" s="3"/>
      <c r="AL515" s="2">
        <f>IF(Table2[[#This Row],[GameIsOver]]=0,0,IF(Table2[[#This Row],[ActualWinner]]=Table2[[#This Row],[AwayTeam]], 1, 0))</f>
        <v>0</v>
      </c>
      <c r="AM515" s="2">
        <f>IF(Table2[[#This Row],[GameIsOver]]=0,0,IF(Table2[[#This Row],[ActualWinner]]=Table2[[#This Row],[HomeTeam]], 1, 0))</f>
        <v>0</v>
      </c>
      <c r="AN5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5" s="2" t="str">
        <f>INDEX(Sheet5!$B$2:$AG$33, MATCH(Table2[[#This Row],[AwayTeam]],Sheet5!$A$2:$A$33, 0), MATCH(Table2[[#This Row],[HomeTeam]],Sheet5!$A$2:$A$33, 0))</f>
        <v>0-0-0</v>
      </c>
      <c r="AP515" s="2" t="str">
        <f>INDEX(Sheet5!$B$2:$AG$33, MATCH(Table2[[#This Row],[HomeTeam]],Sheet5!$A$2:$A$33, 0), MATCH(Table2[[#This Row],[AwayTeam]],Sheet5!$A$2:$A$33, 0))</f>
        <v>0-0-0</v>
      </c>
      <c r="AQ515" s="2">
        <f>IF(Table2[[#This Row],[GameHasShutOut]], 1, 0)</f>
        <v>0</v>
      </c>
      <c r="AR515" s="2">
        <f>IF(Table2[[#This Row],[ActualAwayScore]] + Table2[[#This Row],[ActualHomeScore]] &gt;= 10, 1, 0)</f>
        <v>0</v>
      </c>
      <c r="AS515" s="2">
        <f>IF(ABS(Table2[[#This Row],[ActualAwayScore]]-Table2[[#This Row],[ActualHomeScore]])&gt;=5, 1, 0)</f>
        <v>0</v>
      </c>
      <c r="AT515" s="2">
        <f>IF(Table2[[#This Row],[ActualAwayScore]] + Table2[[#This Row],[ActualHomeScore]] &lt;= 3, 1, 0)</f>
        <v>1</v>
      </c>
      <c r="AU515" s="2"/>
      <c r="AV515" s="2"/>
    </row>
    <row r="516" spans="1:48" x14ac:dyDescent="0.25">
      <c r="A516" s="3"/>
      <c r="B516" s="3">
        <v>46007</v>
      </c>
      <c r="C516" s="5">
        <v>2025020514</v>
      </c>
      <c r="D516" s="2" t="s">
        <v>13</v>
      </c>
      <c r="E516" s="2" t="s">
        <v>40</v>
      </c>
      <c r="F516" s="2"/>
      <c r="G516" s="2"/>
      <c r="H516" s="2" t="str">
        <f t="shared" si="44"/>
        <v>_</v>
      </c>
      <c r="I516" s="2"/>
      <c r="J516" s="2"/>
      <c r="K516" s="2"/>
      <c r="L516" s="2" t="str">
        <f t="shared" si="45"/>
        <v>_</v>
      </c>
      <c r="M516" s="2"/>
      <c r="N516" s="2">
        <f>IF(ISBLANK(Table2[[#This Row],[ActualResult]]), 0, 1)</f>
        <v>0</v>
      </c>
      <c r="O516" s="2" t="str">
        <f>IF(ISBLANK(Table2[[#This Row],[ActualResult]]), "_", IF(Table2[[#This Row],[ActualWinner]]=Table2[[#This Row],[PredictedWinner]], "Y", "N"))</f>
        <v>_</v>
      </c>
      <c r="P5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6" s="2"/>
      <c r="S516" s="2" t="str">
        <f t="shared" si="46"/>
        <v>_</v>
      </c>
      <c r="T5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16" s="2">
        <f>IF(Table2[[#This Row],[InterConf]]=1,IF(Table2[[#This Row],[InterDiv]]=0, 1, 0), 0)</f>
        <v>0</v>
      </c>
      <c r="W5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16" s="2"/>
      <c r="Y516" s="2"/>
      <c r="Z516" s="145">
        <f>IF(AND(Table2[[#This Row],[GameIsOver]]=1,Table2[[#This Row],[ActualHomeScore]]*Table2[[#This Row],[ActualAwayScore]]=0), 1,0)</f>
        <v>0</v>
      </c>
      <c r="AA5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6" s="2">
        <f>Table2[[#This Row],[ActualAwayScore]]-Table2[[#This Row],[PredictedAwayScore]]</f>
        <v>0</v>
      </c>
      <c r="AG516" s="2">
        <f>Table2[[#This Row],[ActualHomeScore]]-Table2[[#This Row],[PredictedHomeScore]]</f>
        <v>0</v>
      </c>
      <c r="AH516" s="2">
        <f t="shared" si="47"/>
        <v>0</v>
      </c>
      <c r="AI516" s="2">
        <f t="shared" si="48"/>
        <v>0</v>
      </c>
      <c r="AJ516" s="2"/>
      <c r="AK516" s="3"/>
      <c r="AL516" s="2">
        <f>IF(Table2[[#This Row],[GameIsOver]]=0,0,IF(Table2[[#This Row],[ActualWinner]]=Table2[[#This Row],[AwayTeam]], 1, 0))</f>
        <v>0</v>
      </c>
      <c r="AM516" s="2">
        <f>IF(Table2[[#This Row],[GameIsOver]]=0,0,IF(Table2[[#This Row],[ActualWinner]]=Table2[[#This Row],[HomeTeam]], 1, 0))</f>
        <v>0</v>
      </c>
      <c r="AN5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6" s="2" t="str">
        <f>INDEX(Sheet5!$B$2:$AG$33, MATCH(Table2[[#This Row],[AwayTeam]],Sheet5!$A$2:$A$33, 0), MATCH(Table2[[#This Row],[HomeTeam]],Sheet5!$A$2:$A$33, 0))</f>
        <v>0-0-0</v>
      </c>
      <c r="AP516" s="2" t="str">
        <f>INDEX(Sheet5!$B$2:$AG$33, MATCH(Table2[[#This Row],[HomeTeam]],Sheet5!$A$2:$A$33, 0), MATCH(Table2[[#This Row],[AwayTeam]],Sheet5!$A$2:$A$33, 0))</f>
        <v>0-0-0</v>
      </c>
      <c r="AQ516" s="2">
        <f>IF(Table2[[#This Row],[GameHasShutOut]], 1, 0)</f>
        <v>0</v>
      </c>
      <c r="AR516" s="2">
        <f>IF(Table2[[#This Row],[ActualAwayScore]] + Table2[[#This Row],[ActualHomeScore]] &gt;= 10, 1, 0)</f>
        <v>0</v>
      </c>
      <c r="AS516" s="2">
        <f>IF(ABS(Table2[[#This Row],[ActualAwayScore]]-Table2[[#This Row],[ActualHomeScore]])&gt;=5, 1, 0)</f>
        <v>0</v>
      </c>
      <c r="AT516" s="2">
        <f>IF(Table2[[#This Row],[ActualAwayScore]] + Table2[[#This Row],[ActualHomeScore]] &lt;= 3, 1, 0)</f>
        <v>1</v>
      </c>
      <c r="AU516" s="2"/>
      <c r="AV516" s="2"/>
    </row>
    <row r="517" spans="1:48" x14ac:dyDescent="0.25">
      <c r="A517" s="3"/>
      <c r="B517" s="3">
        <v>46007</v>
      </c>
      <c r="C517" s="5">
        <v>2025020515</v>
      </c>
      <c r="D517" s="2" t="s">
        <v>44</v>
      </c>
      <c r="E517" s="2" t="s">
        <v>19</v>
      </c>
      <c r="F517" s="2"/>
      <c r="G517" s="2"/>
      <c r="H517" s="2" t="str">
        <f t="shared" si="44"/>
        <v>_</v>
      </c>
      <c r="I517" s="2"/>
      <c r="J517" s="2"/>
      <c r="K517" s="2"/>
      <c r="L517" s="2" t="str">
        <f t="shared" si="45"/>
        <v>_</v>
      </c>
      <c r="M517" s="2"/>
      <c r="N517" s="2">
        <f>IF(ISBLANK(Table2[[#This Row],[ActualResult]]), 0, 1)</f>
        <v>0</v>
      </c>
      <c r="O517" s="2" t="str">
        <f>IF(ISBLANK(Table2[[#This Row],[ActualResult]]), "_", IF(Table2[[#This Row],[ActualWinner]]=Table2[[#This Row],[PredictedWinner]], "Y", "N"))</f>
        <v>_</v>
      </c>
      <c r="P5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7" s="2"/>
      <c r="S517" s="2" t="str">
        <f t="shared" si="46"/>
        <v>_</v>
      </c>
      <c r="T5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7" s="2">
        <f>IF(Table2[[#This Row],[InterConf]]=1,IF(Table2[[#This Row],[InterDiv]]=0, 1, 0), 0)</f>
        <v>0</v>
      </c>
      <c r="W5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7" s="2"/>
      <c r="Y517" s="2"/>
      <c r="Z517" s="145">
        <f>IF(AND(Table2[[#This Row],[GameIsOver]]=1,Table2[[#This Row],[ActualHomeScore]]*Table2[[#This Row],[ActualAwayScore]]=0), 1,0)</f>
        <v>0</v>
      </c>
      <c r="AA5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7" s="2">
        <f>Table2[[#This Row],[ActualAwayScore]]-Table2[[#This Row],[PredictedAwayScore]]</f>
        <v>0</v>
      </c>
      <c r="AG517" s="2">
        <f>Table2[[#This Row],[ActualHomeScore]]-Table2[[#This Row],[PredictedHomeScore]]</f>
        <v>0</v>
      </c>
      <c r="AH517" s="2">
        <f t="shared" si="47"/>
        <v>0</v>
      </c>
      <c r="AI517" s="2">
        <f t="shared" si="48"/>
        <v>0</v>
      </c>
      <c r="AJ517" s="2"/>
      <c r="AK517" s="3"/>
      <c r="AL517" s="2">
        <f>IF(Table2[[#This Row],[GameIsOver]]=0,0,IF(Table2[[#This Row],[ActualWinner]]=Table2[[#This Row],[AwayTeam]], 1, 0))</f>
        <v>0</v>
      </c>
      <c r="AM517" s="2">
        <f>IF(Table2[[#This Row],[GameIsOver]]=0,0,IF(Table2[[#This Row],[ActualWinner]]=Table2[[#This Row],[HomeTeam]], 1, 0))</f>
        <v>0</v>
      </c>
      <c r="AN5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7" s="2" t="str">
        <f>INDEX(Sheet5!$B$2:$AG$33, MATCH(Table2[[#This Row],[AwayTeam]],Sheet5!$A$2:$A$33, 0), MATCH(Table2[[#This Row],[HomeTeam]],Sheet5!$A$2:$A$33, 0))</f>
        <v>0-0-0</v>
      </c>
      <c r="AP517" s="2" t="str">
        <f>INDEX(Sheet5!$B$2:$AG$33, MATCH(Table2[[#This Row],[HomeTeam]],Sheet5!$A$2:$A$33, 0), MATCH(Table2[[#This Row],[AwayTeam]],Sheet5!$A$2:$A$33, 0))</f>
        <v>0-0-0</v>
      </c>
      <c r="AQ517" s="2">
        <f>IF(Table2[[#This Row],[GameHasShutOut]], 1, 0)</f>
        <v>0</v>
      </c>
      <c r="AR517" s="2">
        <f>IF(Table2[[#This Row],[ActualAwayScore]] + Table2[[#This Row],[ActualHomeScore]] &gt;= 10, 1, 0)</f>
        <v>0</v>
      </c>
      <c r="AS517" s="2">
        <f>IF(ABS(Table2[[#This Row],[ActualAwayScore]]-Table2[[#This Row],[ActualHomeScore]])&gt;=5, 1, 0)</f>
        <v>0</v>
      </c>
      <c r="AT517" s="2">
        <f>IF(Table2[[#This Row],[ActualAwayScore]] + Table2[[#This Row],[ActualHomeScore]] &lt;= 3, 1, 0)</f>
        <v>1</v>
      </c>
      <c r="AU517" s="2"/>
      <c r="AV517" s="2"/>
    </row>
    <row r="518" spans="1:48" x14ac:dyDescent="0.25">
      <c r="A518" s="3"/>
      <c r="B518" s="3">
        <v>46007</v>
      </c>
      <c r="C518" s="5">
        <v>2025020516</v>
      </c>
      <c r="D518" s="2" t="s">
        <v>29</v>
      </c>
      <c r="E518" s="2" t="s">
        <v>21</v>
      </c>
      <c r="F518" s="2"/>
      <c r="G518" s="2"/>
      <c r="H518" s="2" t="str">
        <f t="shared" si="44"/>
        <v>_</v>
      </c>
      <c r="I518" s="2"/>
      <c r="J518" s="2"/>
      <c r="K518" s="2"/>
      <c r="L518" s="2" t="str">
        <f t="shared" si="45"/>
        <v>_</v>
      </c>
      <c r="M518" s="2"/>
      <c r="N518" s="2">
        <f>IF(ISBLANK(Table2[[#This Row],[ActualResult]]), 0, 1)</f>
        <v>0</v>
      </c>
      <c r="O518" s="2" t="str">
        <f>IF(ISBLANK(Table2[[#This Row],[ActualResult]]), "_", IF(Table2[[#This Row],[ActualWinner]]=Table2[[#This Row],[PredictedWinner]], "Y", "N"))</f>
        <v>_</v>
      </c>
      <c r="P5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8" s="2"/>
      <c r="S518" s="2" t="str">
        <f t="shared" si="46"/>
        <v>_</v>
      </c>
      <c r="T5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8" s="2">
        <f>IF(Table2[[#This Row],[InterConf]]=1,IF(Table2[[#This Row],[InterDiv]]=0, 1, 0), 0)</f>
        <v>0</v>
      </c>
      <c r="W5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8" s="2"/>
      <c r="Y518" s="2"/>
      <c r="Z518" s="145">
        <f>IF(AND(Table2[[#This Row],[GameIsOver]]=1,Table2[[#This Row],[ActualHomeScore]]*Table2[[#This Row],[ActualAwayScore]]=0), 1,0)</f>
        <v>0</v>
      </c>
      <c r="AA5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8" s="2">
        <f>Table2[[#This Row],[ActualAwayScore]]-Table2[[#This Row],[PredictedAwayScore]]</f>
        <v>0</v>
      </c>
      <c r="AG518" s="2">
        <f>Table2[[#This Row],[ActualHomeScore]]-Table2[[#This Row],[PredictedHomeScore]]</f>
        <v>0</v>
      </c>
      <c r="AH518" s="2">
        <f t="shared" si="47"/>
        <v>0</v>
      </c>
      <c r="AI518" s="2">
        <f t="shared" si="48"/>
        <v>0</v>
      </c>
      <c r="AJ518" s="2"/>
      <c r="AK518" s="3"/>
      <c r="AL518" s="2">
        <f>IF(Table2[[#This Row],[GameIsOver]]=0,0,IF(Table2[[#This Row],[ActualWinner]]=Table2[[#This Row],[AwayTeam]], 1, 0))</f>
        <v>0</v>
      </c>
      <c r="AM518" s="2">
        <f>IF(Table2[[#This Row],[GameIsOver]]=0,0,IF(Table2[[#This Row],[ActualWinner]]=Table2[[#This Row],[HomeTeam]], 1, 0))</f>
        <v>0</v>
      </c>
      <c r="AN5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8" s="2" t="str">
        <f>INDEX(Sheet5!$B$2:$AG$33, MATCH(Table2[[#This Row],[AwayTeam]],Sheet5!$A$2:$A$33, 0), MATCH(Table2[[#This Row],[HomeTeam]],Sheet5!$A$2:$A$33, 0))</f>
        <v>0-0-0</v>
      </c>
      <c r="AP518" s="2" t="str">
        <f>INDEX(Sheet5!$B$2:$AG$33, MATCH(Table2[[#This Row],[HomeTeam]],Sheet5!$A$2:$A$33, 0), MATCH(Table2[[#This Row],[AwayTeam]],Sheet5!$A$2:$A$33, 0))</f>
        <v>0-0-0</v>
      </c>
      <c r="AQ518" s="2">
        <f>IF(Table2[[#This Row],[GameHasShutOut]], 1, 0)</f>
        <v>0</v>
      </c>
      <c r="AR518" s="2">
        <f>IF(Table2[[#This Row],[ActualAwayScore]] + Table2[[#This Row],[ActualHomeScore]] &gt;= 10, 1, 0)</f>
        <v>0</v>
      </c>
      <c r="AS518" s="2">
        <f>IF(ABS(Table2[[#This Row],[ActualAwayScore]]-Table2[[#This Row],[ActualHomeScore]])&gt;=5, 1, 0)</f>
        <v>0</v>
      </c>
      <c r="AT518" s="2">
        <f>IF(Table2[[#This Row],[ActualAwayScore]] + Table2[[#This Row],[ActualHomeScore]] &lt;= 3, 1, 0)</f>
        <v>1</v>
      </c>
      <c r="AU518" s="2"/>
      <c r="AV518" s="2"/>
    </row>
    <row r="519" spans="1:48" x14ac:dyDescent="0.25">
      <c r="A519" s="3"/>
      <c r="B519" s="3">
        <v>46007</v>
      </c>
      <c r="C519" s="5">
        <v>2025020517</v>
      </c>
      <c r="D519" s="2" t="s">
        <v>34</v>
      </c>
      <c r="E519" s="2" t="s">
        <v>12</v>
      </c>
      <c r="F519" s="2"/>
      <c r="G519" s="2"/>
      <c r="H519" s="2" t="str">
        <f t="shared" si="44"/>
        <v>_</v>
      </c>
      <c r="I519" s="2"/>
      <c r="J519" s="2"/>
      <c r="K519" s="2"/>
      <c r="L519" s="2" t="str">
        <f t="shared" si="45"/>
        <v>_</v>
      </c>
      <c r="M519" s="2"/>
      <c r="N519" s="2">
        <f>IF(ISBLANK(Table2[[#This Row],[ActualResult]]), 0, 1)</f>
        <v>0</v>
      </c>
      <c r="O519" s="2" t="str">
        <f>IF(ISBLANK(Table2[[#This Row],[ActualResult]]), "_", IF(Table2[[#This Row],[ActualWinner]]=Table2[[#This Row],[PredictedWinner]], "Y", "N"))</f>
        <v>_</v>
      </c>
      <c r="P5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9" s="2"/>
      <c r="S519" s="2" t="str">
        <f t="shared" si="46"/>
        <v>_</v>
      </c>
      <c r="T5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19" s="2">
        <f>IF(Table2[[#This Row],[InterConf]]=1,IF(Table2[[#This Row],[InterDiv]]=0, 1, 0), 0)</f>
        <v>0</v>
      </c>
      <c r="W5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19" s="2"/>
      <c r="Y519" s="2"/>
      <c r="Z519" s="145">
        <f>IF(AND(Table2[[#This Row],[GameIsOver]]=1,Table2[[#This Row],[ActualHomeScore]]*Table2[[#This Row],[ActualAwayScore]]=0), 1,0)</f>
        <v>0</v>
      </c>
      <c r="AA5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9" s="2">
        <f>Table2[[#This Row],[ActualAwayScore]]-Table2[[#This Row],[PredictedAwayScore]]</f>
        <v>0</v>
      </c>
      <c r="AG519" s="2">
        <f>Table2[[#This Row],[ActualHomeScore]]-Table2[[#This Row],[PredictedHomeScore]]</f>
        <v>0</v>
      </c>
      <c r="AH519" s="2">
        <f t="shared" si="47"/>
        <v>0</v>
      </c>
      <c r="AI519" s="2">
        <f t="shared" si="48"/>
        <v>0</v>
      </c>
      <c r="AJ519" s="2"/>
      <c r="AK519" s="3"/>
      <c r="AL519" s="2">
        <f>IF(Table2[[#This Row],[GameIsOver]]=0,0,IF(Table2[[#This Row],[ActualWinner]]=Table2[[#This Row],[AwayTeam]], 1, 0))</f>
        <v>0</v>
      </c>
      <c r="AM519" s="2">
        <f>IF(Table2[[#This Row],[GameIsOver]]=0,0,IF(Table2[[#This Row],[ActualWinner]]=Table2[[#This Row],[HomeTeam]], 1, 0))</f>
        <v>0</v>
      </c>
      <c r="AN5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9" s="2" t="str">
        <f>INDEX(Sheet5!$B$2:$AG$33, MATCH(Table2[[#This Row],[AwayTeam]],Sheet5!$A$2:$A$33, 0), MATCH(Table2[[#This Row],[HomeTeam]],Sheet5!$A$2:$A$33, 0))</f>
        <v>0-0-0</v>
      </c>
      <c r="AP519" s="2" t="str">
        <f>INDEX(Sheet5!$B$2:$AG$33, MATCH(Table2[[#This Row],[HomeTeam]],Sheet5!$A$2:$A$33, 0), MATCH(Table2[[#This Row],[AwayTeam]],Sheet5!$A$2:$A$33, 0))</f>
        <v>0-0-0</v>
      </c>
      <c r="AQ519" s="2">
        <f>IF(Table2[[#This Row],[GameHasShutOut]], 1, 0)</f>
        <v>0</v>
      </c>
      <c r="AR519" s="2">
        <f>IF(Table2[[#This Row],[ActualAwayScore]] + Table2[[#This Row],[ActualHomeScore]] &gt;= 10, 1, 0)</f>
        <v>0</v>
      </c>
      <c r="AS519" s="2">
        <f>IF(ABS(Table2[[#This Row],[ActualAwayScore]]-Table2[[#This Row],[ActualHomeScore]])&gt;=5, 1, 0)</f>
        <v>0</v>
      </c>
      <c r="AT519" s="2">
        <f>IF(Table2[[#This Row],[ActualAwayScore]] + Table2[[#This Row],[ActualHomeScore]] &lt;= 3, 1, 0)</f>
        <v>1</v>
      </c>
      <c r="AU519" s="2"/>
      <c r="AV519" s="2"/>
    </row>
    <row r="520" spans="1:48" x14ac:dyDescent="0.25">
      <c r="A520" s="3"/>
      <c r="B520" s="3">
        <v>46007</v>
      </c>
      <c r="C520" s="5">
        <v>2025020518</v>
      </c>
      <c r="D520" s="2" t="s">
        <v>27</v>
      </c>
      <c r="E520" s="2" t="s">
        <v>33</v>
      </c>
      <c r="F520" s="2"/>
      <c r="G520" s="2"/>
      <c r="H520" s="2" t="str">
        <f t="shared" si="44"/>
        <v>_</v>
      </c>
      <c r="I520" s="2"/>
      <c r="J520" s="2"/>
      <c r="K520" s="2"/>
      <c r="L520" s="2" t="str">
        <f t="shared" si="45"/>
        <v>_</v>
      </c>
      <c r="M520" s="2"/>
      <c r="N520" s="2">
        <f>IF(ISBLANK(Table2[[#This Row],[ActualResult]]), 0, 1)</f>
        <v>0</v>
      </c>
      <c r="O520" s="2" t="str">
        <f>IF(ISBLANK(Table2[[#This Row],[ActualResult]]), "_", IF(Table2[[#This Row],[ActualWinner]]=Table2[[#This Row],[PredictedWinner]], "Y", "N"))</f>
        <v>_</v>
      </c>
      <c r="P5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0" s="2"/>
      <c r="S520" s="2" t="str">
        <f t="shared" si="46"/>
        <v>_</v>
      </c>
      <c r="T5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0" s="2">
        <f>IF(Table2[[#This Row],[InterConf]]=1,IF(Table2[[#This Row],[InterDiv]]=0, 1, 0), 0)</f>
        <v>1</v>
      </c>
      <c r="W5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0" s="2"/>
      <c r="Y520" s="2"/>
      <c r="Z520" s="145">
        <f>IF(AND(Table2[[#This Row],[GameIsOver]]=1,Table2[[#This Row],[ActualHomeScore]]*Table2[[#This Row],[ActualAwayScore]]=0), 1,0)</f>
        <v>0</v>
      </c>
      <c r="AA5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20" s="2">
        <f>Table2[[#This Row],[ActualAwayScore]]-Table2[[#This Row],[PredictedAwayScore]]</f>
        <v>0</v>
      </c>
      <c r="AG520" s="2">
        <f>Table2[[#This Row],[ActualHomeScore]]-Table2[[#This Row],[PredictedHomeScore]]</f>
        <v>0</v>
      </c>
      <c r="AH520" s="2">
        <f t="shared" si="47"/>
        <v>0</v>
      </c>
      <c r="AI520" s="2">
        <f t="shared" si="48"/>
        <v>0</v>
      </c>
      <c r="AJ520" s="2"/>
      <c r="AK520" s="3"/>
      <c r="AL520" s="2">
        <f>IF(Table2[[#This Row],[GameIsOver]]=0,0,IF(Table2[[#This Row],[ActualWinner]]=Table2[[#This Row],[AwayTeam]], 1, 0))</f>
        <v>0</v>
      </c>
      <c r="AM520" s="2">
        <f>IF(Table2[[#This Row],[GameIsOver]]=0,0,IF(Table2[[#This Row],[ActualWinner]]=Table2[[#This Row],[HomeTeam]], 1, 0))</f>
        <v>0</v>
      </c>
      <c r="AN520" s="2">
        <f>IF(IFERROR(FIND(Table2[[#This Row],[AwayTeam]], _xlfn.TEXTJOIN(";", 1, $BD$31:$BD$40)), 0) &gt; 0, 1, 0) + IF(IFERROR(FIND(Table2[[#This Row],[HomeTeam]], _xlfn.TEXTJOIN(";", 1, $BD$31:$BD$40)), 0) &gt; 0, 1, 0)</f>
        <v>1</v>
      </c>
      <c r="AO520" s="2" t="str">
        <f>INDEX(Sheet5!$B$2:$AG$33, MATCH(Table2[[#This Row],[AwayTeam]],Sheet5!$A$2:$A$33, 0), MATCH(Table2[[#This Row],[HomeTeam]],Sheet5!$A$2:$A$33, 0))</f>
        <v>0-0-0</v>
      </c>
      <c r="AP520" s="2" t="str">
        <f>INDEX(Sheet5!$B$2:$AG$33, MATCH(Table2[[#This Row],[HomeTeam]],Sheet5!$A$2:$A$33, 0), MATCH(Table2[[#This Row],[AwayTeam]],Sheet5!$A$2:$A$33, 0))</f>
        <v>0-0-0</v>
      </c>
      <c r="AQ520" s="2">
        <f>IF(Table2[[#This Row],[GameHasShutOut]], 1, 0)</f>
        <v>0</v>
      </c>
      <c r="AR520" s="2">
        <f>IF(Table2[[#This Row],[ActualAwayScore]] + Table2[[#This Row],[ActualHomeScore]] &gt;= 10, 1, 0)</f>
        <v>0</v>
      </c>
      <c r="AS520" s="2">
        <f>IF(ABS(Table2[[#This Row],[ActualAwayScore]]-Table2[[#This Row],[ActualHomeScore]])&gt;=5, 1, 0)</f>
        <v>0</v>
      </c>
      <c r="AT520" s="2">
        <f>IF(Table2[[#This Row],[ActualAwayScore]] + Table2[[#This Row],[ActualHomeScore]] &lt;= 3, 1, 0)</f>
        <v>1</v>
      </c>
      <c r="AU520" s="2"/>
      <c r="AV520" s="2"/>
    </row>
    <row r="521" spans="1:48" x14ac:dyDescent="0.25">
      <c r="A521" s="3"/>
      <c r="B521" s="3">
        <v>46008</v>
      </c>
      <c r="C521" s="5">
        <v>2025020519</v>
      </c>
      <c r="D521" s="2" t="s">
        <v>14</v>
      </c>
      <c r="E521" s="2" t="s">
        <v>15</v>
      </c>
      <c r="F521" s="2"/>
      <c r="G521" s="2"/>
      <c r="H521" s="2" t="str">
        <f t="shared" si="44"/>
        <v>_</v>
      </c>
      <c r="I521" s="2"/>
      <c r="J521" s="2"/>
      <c r="K521" s="2"/>
      <c r="L521" s="2" t="str">
        <f t="shared" si="45"/>
        <v>_</v>
      </c>
      <c r="M521" s="2"/>
      <c r="N521" s="2">
        <f>IF(ISBLANK(Table2[[#This Row],[ActualResult]]), 0, 1)</f>
        <v>0</v>
      </c>
      <c r="O521" s="2" t="str">
        <f>IF(ISBLANK(Table2[[#This Row],[ActualResult]]), "_", IF(Table2[[#This Row],[ActualWinner]]=Table2[[#This Row],[PredictedWinner]], "Y", "N"))</f>
        <v>_</v>
      </c>
      <c r="P5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1" s="2"/>
      <c r="S521" s="2" t="str">
        <f t="shared" si="46"/>
        <v>_</v>
      </c>
      <c r="T5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1" s="2">
        <f>IF(Table2[[#This Row],[InterConf]]=1,IF(Table2[[#This Row],[InterDiv]]=0, 1, 0), 0)</f>
        <v>0</v>
      </c>
      <c r="W5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1" s="2"/>
      <c r="Y521" s="2"/>
      <c r="Z521" s="145">
        <f>IF(AND(Table2[[#This Row],[GameIsOver]]=1,Table2[[#This Row],[ActualHomeScore]]*Table2[[#This Row],[ActualAwayScore]]=0), 1,0)</f>
        <v>0</v>
      </c>
      <c r="AA5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1" s="2">
        <f>Table2[[#This Row],[ActualAwayScore]]-Table2[[#This Row],[PredictedAwayScore]]</f>
        <v>0</v>
      </c>
      <c r="AG521" s="2">
        <f>Table2[[#This Row],[ActualHomeScore]]-Table2[[#This Row],[PredictedHomeScore]]</f>
        <v>0</v>
      </c>
      <c r="AH521" s="2">
        <f t="shared" si="47"/>
        <v>0</v>
      </c>
      <c r="AI521" s="2">
        <f t="shared" si="48"/>
        <v>0</v>
      </c>
      <c r="AJ521" s="2"/>
      <c r="AK521" s="3"/>
      <c r="AL521" s="2">
        <f>IF(Table2[[#This Row],[GameIsOver]]=0,0,IF(Table2[[#This Row],[ActualWinner]]=Table2[[#This Row],[AwayTeam]], 1, 0))</f>
        <v>0</v>
      </c>
      <c r="AM521" s="2">
        <f>IF(Table2[[#This Row],[GameIsOver]]=0,0,IF(Table2[[#This Row],[ActualWinner]]=Table2[[#This Row],[HomeTeam]], 1, 0))</f>
        <v>0</v>
      </c>
      <c r="AN5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1" s="2" t="str">
        <f>INDEX(Sheet5!$B$2:$AG$33, MATCH(Table2[[#This Row],[AwayTeam]],Sheet5!$A$2:$A$33, 0), MATCH(Table2[[#This Row],[HomeTeam]],Sheet5!$A$2:$A$33, 0))</f>
        <v>1-0-0</v>
      </c>
      <c r="AP521" s="2" t="str">
        <f>INDEX(Sheet5!$B$2:$AG$33, MATCH(Table2[[#This Row],[HomeTeam]],Sheet5!$A$2:$A$33, 0), MATCH(Table2[[#This Row],[AwayTeam]],Sheet5!$A$2:$A$33, 0))</f>
        <v>0-1-0</v>
      </c>
      <c r="AQ521" s="2">
        <f>IF(Table2[[#This Row],[GameHasShutOut]], 1, 0)</f>
        <v>0</v>
      </c>
      <c r="AR521" s="2">
        <f>IF(Table2[[#This Row],[ActualAwayScore]] + Table2[[#This Row],[ActualHomeScore]] &gt;= 10, 1, 0)</f>
        <v>0</v>
      </c>
      <c r="AS521" s="2">
        <f>IF(ABS(Table2[[#This Row],[ActualAwayScore]]-Table2[[#This Row],[ActualHomeScore]])&gt;=5, 1, 0)</f>
        <v>0</v>
      </c>
      <c r="AT521" s="2">
        <f>IF(Table2[[#This Row],[ActualAwayScore]] + Table2[[#This Row],[ActualHomeScore]] &lt;= 3, 1, 0)</f>
        <v>1</v>
      </c>
      <c r="AU521" s="2"/>
      <c r="AV521" s="2"/>
    </row>
    <row r="522" spans="1:48" x14ac:dyDescent="0.25">
      <c r="A522" s="3"/>
      <c r="B522" s="3">
        <v>46008</v>
      </c>
      <c r="C522" s="5">
        <v>2025020520</v>
      </c>
      <c r="D522" s="2" t="s">
        <v>16</v>
      </c>
      <c r="E522" s="2" t="s">
        <v>17</v>
      </c>
      <c r="F522" s="2"/>
      <c r="G522" s="2"/>
      <c r="H522" s="2" t="str">
        <f t="shared" si="44"/>
        <v>_</v>
      </c>
      <c r="I522" s="2"/>
      <c r="J522" s="2"/>
      <c r="K522" s="2"/>
      <c r="L522" s="2" t="str">
        <f t="shared" si="45"/>
        <v>_</v>
      </c>
      <c r="M522" s="2"/>
      <c r="N522" s="2">
        <f>IF(ISBLANK(Table2[[#This Row],[ActualResult]]), 0, 1)</f>
        <v>0</v>
      </c>
      <c r="O522" s="2" t="str">
        <f>IF(ISBLANK(Table2[[#This Row],[ActualResult]]), "_", IF(Table2[[#This Row],[ActualWinner]]=Table2[[#This Row],[PredictedWinner]], "Y", "N"))</f>
        <v>_</v>
      </c>
      <c r="P5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2" s="2"/>
      <c r="S522" s="2" t="str">
        <f t="shared" si="46"/>
        <v>_</v>
      </c>
      <c r="T5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2" s="2">
        <f>IF(Table2[[#This Row],[InterConf]]=1,IF(Table2[[#This Row],[InterDiv]]=0, 1, 0), 0)</f>
        <v>0</v>
      </c>
      <c r="W5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2" s="2"/>
      <c r="Y522" s="2"/>
      <c r="Z522" s="145">
        <f>IF(AND(Table2[[#This Row],[GameIsOver]]=1,Table2[[#This Row],[ActualHomeScore]]*Table2[[#This Row],[ActualAwayScore]]=0), 1,0)</f>
        <v>0</v>
      </c>
      <c r="AA5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2" s="2">
        <f>Table2[[#This Row],[ActualAwayScore]]-Table2[[#This Row],[PredictedAwayScore]]</f>
        <v>0</v>
      </c>
      <c r="AG522" s="2">
        <f>Table2[[#This Row],[ActualHomeScore]]-Table2[[#This Row],[PredictedHomeScore]]</f>
        <v>0</v>
      </c>
      <c r="AH522" s="2">
        <f t="shared" si="47"/>
        <v>0</v>
      </c>
      <c r="AI522" s="2">
        <f t="shared" si="48"/>
        <v>0</v>
      </c>
      <c r="AJ522" s="2"/>
      <c r="AK522" s="3"/>
      <c r="AL522" s="2">
        <f>IF(Table2[[#This Row],[GameIsOver]]=0,0,IF(Table2[[#This Row],[ActualWinner]]=Table2[[#This Row],[AwayTeam]], 1, 0))</f>
        <v>0</v>
      </c>
      <c r="AM522" s="2">
        <f>IF(Table2[[#This Row],[GameIsOver]]=0,0,IF(Table2[[#This Row],[ActualWinner]]=Table2[[#This Row],[HomeTeam]], 1, 0))</f>
        <v>0</v>
      </c>
      <c r="AN5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2" s="2" t="str">
        <f>INDEX(Sheet5!$B$2:$AG$33, MATCH(Table2[[#This Row],[AwayTeam]],Sheet5!$A$2:$A$33, 0), MATCH(Table2[[#This Row],[HomeTeam]],Sheet5!$A$2:$A$33, 0))</f>
        <v>0-0-0</v>
      </c>
      <c r="AP522" s="2" t="str">
        <f>INDEX(Sheet5!$B$2:$AG$33, MATCH(Table2[[#This Row],[HomeTeam]],Sheet5!$A$2:$A$33, 0), MATCH(Table2[[#This Row],[AwayTeam]],Sheet5!$A$2:$A$33, 0))</f>
        <v>0-0-0</v>
      </c>
      <c r="AQ522" s="2">
        <f>IF(Table2[[#This Row],[GameHasShutOut]], 1, 0)</f>
        <v>0</v>
      </c>
      <c r="AR522" s="2">
        <f>IF(Table2[[#This Row],[ActualAwayScore]] + Table2[[#This Row],[ActualHomeScore]] &gt;= 10, 1, 0)</f>
        <v>0</v>
      </c>
      <c r="AS522" s="2">
        <f>IF(ABS(Table2[[#This Row],[ActualAwayScore]]-Table2[[#This Row],[ActualHomeScore]])&gt;=5, 1, 0)</f>
        <v>0</v>
      </c>
      <c r="AT522" s="2">
        <f>IF(Table2[[#This Row],[ActualAwayScore]] + Table2[[#This Row],[ActualHomeScore]] &lt;= 3, 1, 0)</f>
        <v>1</v>
      </c>
      <c r="AU522" s="2"/>
      <c r="AV522" s="2"/>
    </row>
    <row r="523" spans="1:48" x14ac:dyDescent="0.25">
      <c r="A523" s="3"/>
      <c r="B523" s="3">
        <v>46008</v>
      </c>
      <c r="C523" s="5">
        <v>2025020521</v>
      </c>
      <c r="D523" s="2" t="s">
        <v>42</v>
      </c>
      <c r="E523" s="2" t="s">
        <v>18</v>
      </c>
      <c r="F523" s="2"/>
      <c r="G523" s="2"/>
      <c r="H523" s="2" t="str">
        <f t="shared" si="44"/>
        <v>_</v>
      </c>
      <c r="I523" s="2"/>
      <c r="J523" s="2"/>
      <c r="K523" s="2"/>
      <c r="L523" s="2" t="str">
        <f t="shared" si="45"/>
        <v>_</v>
      </c>
      <c r="M523" s="2"/>
      <c r="N523" s="2">
        <f>IF(ISBLANK(Table2[[#This Row],[ActualResult]]), 0, 1)</f>
        <v>0</v>
      </c>
      <c r="O523" s="2" t="str">
        <f>IF(ISBLANK(Table2[[#This Row],[ActualResult]]), "_", IF(Table2[[#This Row],[ActualWinner]]=Table2[[#This Row],[PredictedWinner]], "Y", "N"))</f>
        <v>_</v>
      </c>
      <c r="P5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3" s="2"/>
      <c r="S523" s="2" t="str">
        <f t="shared" si="46"/>
        <v>_</v>
      </c>
      <c r="T5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3" s="2">
        <f>IF(Table2[[#This Row],[InterConf]]=1,IF(Table2[[#This Row],[InterDiv]]=0, 1, 0), 0)</f>
        <v>1</v>
      </c>
      <c r="W5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3" s="2"/>
      <c r="Y523" s="2"/>
      <c r="Z523" s="145">
        <f>IF(AND(Table2[[#This Row],[GameIsOver]]=1,Table2[[#This Row],[ActualHomeScore]]*Table2[[#This Row],[ActualAwayScore]]=0), 1,0)</f>
        <v>0</v>
      </c>
      <c r="AA5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3" s="2">
        <f>Table2[[#This Row],[ActualAwayScore]]-Table2[[#This Row],[PredictedAwayScore]]</f>
        <v>0</v>
      </c>
      <c r="AG523" s="2">
        <f>Table2[[#This Row],[ActualHomeScore]]-Table2[[#This Row],[PredictedHomeScore]]</f>
        <v>0</v>
      </c>
      <c r="AH523" s="2">
        <f t="shared" si="47"/>
        <v>0</v>
      </c>
      <c r="AI523" s="2">
        <f t="shared" si="48"/>
        <v>0</v>
      </c>
      <c r="AJ523" s="2"/>
      <c r="AK523" s="3"/>
      <c r="AL523" s="2">
        <f>IF(Table2[[#This Row],[GameIsOver]]=0,0,IF(Table2[[#This Row],[ActualWinner]]=Table2[[#This Row],[AwayTeam]], 1, 0))</f>
        <v>0</v>
      </c>
      <c r="AM523" s="2">
        <f>IF(Table2[[#This Row],[GameIsOver]]=0,0,IF(Table2[[#This Row],[ActualWinner]]=Table2[[#This Row],[HomeTeam]], 1, 0))</f>
        <v>0</v>
      </c>
      <c r="AN5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3" s="2" t="str">
        <f>INDEX(Sheet5!$B$2:$AG$33, MATCH(Table2[[#This Row],[AwayTeam]],Sheet5!$A$2:$A$33, 0), MATCH(Table2[[#This Row],[HomeTeam]],Sheet5!$A$2:$A$33, 0))</f>
        <v>0-0-0</v>
      </c>
      <c r="AP523" s="2" t="str">
        <f>INDEX(Sheet5!$B$2:$AG$33, MATCH(Table2[[#This Row],[HomeTeam]],Sheet5!$A$2:$A$33, 0), MATCH(Table2[[#This Row],[AwayTeam]],Sheet5!$A$2:$A$33, 0))</f>
        <v>0-0-0</v>
      </c>
      <c r="AQ523" s="2">
        <f>IF(Table2[[#This Row],[GameHasShutOut]], 1, 0)</f>
        <v>0</v>
      </c>
      <c r="AR523" s="2">
        <f>IF(Table2[[#This Row],[ActualAwayScore]] + Table2[[#This Row],[ActualHomeScore]] &gt;= 10, 1, 0)</f>
        <v>0</v>
      </c>
      <c r="AS523" s="2">
        <f>IF(ABS(Table2[[#This Row],[ActualAwayScore]]-Table2[[#This Row],[ActualHomeScore]])&gt;=5, 1, 0)</f>
        <v>0</v>
      </c>
      <c r="AT523" s="2">
        <f>IF(Table2[[#This Row],[ActualAwayScore]] + Table2[[#This Row],[ActualHomeScore]] &lt;= 3, 1, 0)</f>
        <v>1</v>
      </c>
      <c r="AU523" s="2"/>
      <c r="AV523" s="2"/>
    </row>
    <row r="524" spans="1:48" x14ac:dyDescent="0.25">
      <c r="A524" s="3"/>
      <c r="B524" s="3">
        <v>46008</v>
      </c>
      <c r="C524" s="5">
        <v>2025020522</v>
      </c>
      <c r="D524" s="2" t="s">
        <v>32</v>
      </c>
      <c r="E524" s="2" t="s">
        <v>30</v>
      </c>
      <c r="F524" s="2"/>
      <c r="G524" s="2"/>
      <c r="H524" s="2" t="str">
        <f t="shared" si="44"/>
        <v>_</v>
      </c>
      <c r="I524" s="2"/>
      <c r="J524" s="2"/>
      <c r="K524" s="2"/>
      <c r="L524" s="2" t="str">
        <f t="shared" si="45"/>
        <v>_</v>
      </c>
      <c r="M524" s="2"/>
      <c r="N524" s="2">
        <f>IF(ISBLANK(Table2[[#This Row],[ActualResult]]), 0, 1)</f>
        <v>0</v>
      </c>
      <c r="O524" s="2" t="str">
        <f>IF(ISBLANK(Table2[[#This Row],[ActualResult]]), "_", IF(Table2[[#This Row],[ActualWinner]]=Table2[[#This Row],[PredictedWinner]], "Y", "N"))</f>
        <v>_</v>
      </c>
      <c r="P5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4" s="2"/>
      <c r="S524" s="2" t="str">
        <f t="shared" si="46"/>
        <v>_</v>
      </c>
      <c r="T5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4" s="2">
        <f>IF(Table2[[#This Row],[InterConf]]=1,IF(Table2[[#This Row],[InterDiv]]=0, 1, 0), 0)</f>
        <v>1</v>
      </c>
      <c r="W5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4" s="2"/>
      <c r="Y524" s="2"/>
      <c r="Z524" s="145">
        <f>IF(AND(Table2[[#This Row],[GameIsOver]]=1,Table2[[#This Row],[ActualHomeScore]]*Table2[[#This Row],[ActualAwayScore]]=0), 1,0)</f>
        <v>0</v>
      </c>
      <c r="AA5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4" s="2">
        <f>Table2[[#This Row],[ActualAwayScore]]-Table2[[#This Row],[PredictedAwayScore]]</f>
        <v>0</v>
      </c>
      <c r="AG524" s="2">
        <f>Table2[[#This Row],[ActualHomeScore]]-Table2[[#This Row],[PredictedHomeScore]]</f>
        <v>0</v>
      </c>
      <c r="AH524" s="2">
        <f t="shared" si="47"/>
        <v>0</v>
      </c>
      <c r="AI524" s="2">
        <f t="shared" si="48"/>
        <v>0</v>
      </c>
      <c r="AJ524" s="2"/>
      <c r="AK524" s="3"/>
      <c r="AL524" s="2">
        <f>IF(Table2[[#This Row],[GameIsOver]]=0,0,IF(Table2[[#This Row],[ActualWinner]]=Table2[[#This Row],[AwayTeam]], 1, 0))</f>
        <v>0</v>
      </c>
      <c r="AM524" s="2">
        <f>IF(Table2[[#This Row],[GameIsOver]]=0,0,IF(Table2[[#This Row],[ActualWinner]]=Table2[[#This Row],[HomeTeam]], 1, 0))</f>
        <v>0</v>
      </c>
      <c r="AN5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4" s="2" t="str">
        <f>INDEX(Sheet5!$B$2:$AG$33, MATCH(Table2[[#This Row],[AwayTeam]],Sheet5!$A$2:$A$33, 0), MATCH(Table2[[#This Row],[HomeTeam]],Sheet5!$A$2:$A$33, 0))</f>
        <v>0-0-0</v>
      </c>
      <c r="AP524" s="2" t="str">
        <f>INDEX(Sheet5!$B$2:$AG$33, MATCH(Table2[[#This Row],[HomeTeam]],Sheet5!$A$2:$A$33, 0), MATCH(Table2[[#This Row],[AwayTeam]],Sheet5!$A$2:$A$33, 0))</f>
        <v>0-0-0</v>
      </c>
      <c r="AQ524" s="2">
        <f>IF(Table2[[#This Row],[GameHasShutOut]], 1, 0)</f>
        <v>0</v>
      </c>
      <c r="AR524" s="2">
        <f>IF(Table2[[#This Row],[ActualAwayScore]] + Table2[[#This Row],[ActualHomeScore]] &gt;= 10, 1, 0)</f>
        <v>0</v>
      </c>
      <c r="AS524" s="2">
        <f>IF(ABS(Table2[[#This Row],[ActualAwayScore]]-Table2[[#This Row],[ActualHomeScore]])&gt;=5, 1, 0)</f>
        <v>0</v>
      </c>
      <c r="AT524" s="2">
        <f>IF(Table2[[#This Row],[ActualAwayScore]] + Table2[[#This Row],[ActualHomeScore]] &lt;= 3, 1, 0)</f>
        <v>1</v>
      </c>
      <c r="AU524" s="2"/>
      <c r="AV524" s="2"/>
    </row>
    <row r="525" spans="1:48" x14ac:dyDescent="0.25">
      <c r="A525" s="3"/>
      <c r="B525" s="3">
        <v>46008</v>
      </c>
      <c r="C525" s="5">
        <v>2025020523</v>
      </c>
      <c r="D525" s="2" t="s">
        <v>24</v>
      </c>
      <c r="E525" s="2" t="s">
        <v>19</v>
      </c>
      <c r="F525" s="2"/>
      <c r="G525" s="2"/>
      <c r="H525" s="2" t="str">
        <f t="shared" si="44"/>
        <v>_</v>
      </c>
      <c r="I525" s="2"/>
      <c r="J525" s="2"/>
      <c r="K525" s="2"/>
      <c r="L525" s="2" t="str">
        <f t="shared" si="45"/>
        <v>_</v>
      </c>
      <c r="M525" s="2"/>
      <c r="N525" s="2">
        <f>IF(ISBLANK(Table2[[#This Row],[ActualResult]]), 0, 1)</f>
        <v>0</v>
      </c>
      <c r="O525" s="2" t="str">
        <f>IF(ISBLANK(Table2[[#This Row],[ActualResult]]), "_", IF(Table2[[#This Row],[ActualWinner]]=Table2[[#This Row],[PredictedWinner]], "Y", "N"))</f>
        <v>_</v>
      </c>
      <c r="P5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5" s="2"/>
      <c r="S525" s="2" t="str">
        <f t="shared" si="46"/>
        <v>_</v>
      </c>
      <c r="T5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5" s="2">
        <f>IF(Table2[[#This Row],[InterConf]]=1,IF(Table2[[#This Row],[InterDiv]]=0, 1, 0), 0)</f>
        <v>0</v>
      </c>
      <c r="W5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5" s="2"/>
      <c r="Y525" s="2"/>
      <c r="Z525" s="145">
        <f>IF(AND(Table2[[#This Row],[GameIsOver]]=1,Table2[[#This Row],[ActualHomeScore]]*Table2[[#This Row],[ActualAwayScore]]=0), 1,0)</f>
        <v>0</v>
      </c>
      <c r="AA5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5" s="2">
        <f>Table2[[#This Row],[ActualAwayScore]]-Table2[[#This Row],[PredictedAwayScore]]</f>
        <v>0</v>
      </c>
      <c r="AG525" s="2">
        <f>Table2[[#This Row],[ActualHomeScore]]-Table2[[#This Row],[PredictedHomeScore]]</f>
        <v>0</v>
      </c>
      <c r="AH525" s="2">
        <f t="shared" si="47"/>
        <v>0</v>
      </c>
      <c r="AI525" s="2">
        <f t="shared" si="48"/>
        <v>0</v>
      </c>
      <c r="AJ525" s="2"/>
      <c r="AK525" s="3"/>
      <c r="AL525" s="2">
        <f>IF(Table2[[#This Row],[GameIsOver]]=0,0,IF(Table2[[#This Row],[ActualWinner]]=Table2[[#This Row],[AwayTeam]], 1, 0))</f>
        <v>0</v>
      </c>
      <c r="AM525" s="2">
        <f>IF(Table2[[#This Row],[GameIsOver]]=0,0,IF(Table2[[#This Row],[ActualWinner]]=Table2[[#This Row],[HomeTeam]], 1, 0))</f>
        <v>0</v>
      </c>
      <c r="AN5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5" s="2" t="str">
        <f>INDEX(Sheet5!$B$2:$AG$33, MATCH(Table2[[#This Row],[AwayTeam]],Sheet5!$A$2:$A$33, 0), MATCH(Table2[[#This Row],[HomeTeam]],Sheet5!$A$2:$A$33, 0))</f>
        <v>0-0-0</v>
      </c>
      <c r="AP525" s="2" t="str">
        <f>INDEX(Sheet5!$B$2:$AG$33, MATCH(Table2[[#This Row],[HomeTeam]],Sheet5!$A$2:$A$33, 0), MATCH(Table2[[#This Row],[AwayTeam]],Sheet5!$A$2:$A$33, 0))</f>
        <v>0-0-0</v>
      </c>
      <c r="AQ525" s="2">
        <f>IF(Table2[[#This Row],[GameHasShutOut]], 1, 0)</f>
        <v>0</v>
      </c>
      <c r="AR525" s="2">
        <f>IF(Table2[[#This Row],[ActualAwayScore]] + Table2[[#This Row],[ActualHomeScore]] &gt;= 10, 1, 0)</f>
        <v>0</v>
      </c>
      <c r="AS525" s="2">
        <f>IF(ABS(Table2[[#This Row],[ActualAwayScore]]-Table2[[#This Row],[ActualHomeScore]])&gt;=5, 1, 0)</f>
        <v>0</v>
      </c>
      <c r="AT525" s="2">
        <f>IF(Table2[[#This Row],[ActualAwayScore]] + Table2[[#This Row],[ActualHomeScore]] &lt;= 3, 1, 0)</f>
        <v>1</v>
      </c>
      <c r="AU525" s="2"/>
      <c r="AV525" s="2"/>
    </row>
    <row r="526" spans="1:48" x14ac:dyDescent="0.25">
      <c r="A526" s="3"/>
      <c r="B526" s="3">
        <v>46008</v>
      </c>
      <c r="C526" s="5">
        <v>2025020524</v>
      </c>
      <c r="D526" s="2" t="s">
        <v>22</v>
      </c>
      <c r="E526" s="2" t="s">
        <v>20</v>
      </c>
      <c r="F526" s="2"/>
      <c r="G526" s="2"/>
      <c r="H526" s="2" t="str">
        <f t="shared" si="44"/>
        <v>_</v>
      </c>
      <c r="I526" s="2"/>
      <c r="J526" s="2"/>
      <c r="K526" s="2"/>
      <c r="L526" s="2" t="str">
        <f t="shared" si="45"/>
        <v>_</v>
      </c>
      <c r="M526" s="2"/>
      <c r="N526" s="2">
        <f>IF(ISBLANK(Table2[[#This Row],[ActualResult]]), 0, 1)</f>
        <v>0</v>
      </c>
      <c r="O526" s="2" t="str">
        <f>IF(ISBLANK(Table2[[#This Row],[ActualResult]]), "_", IF(Table2[[#This Row],[ActualWinner]]=Table2[[#This Row],[PredictedWinner]], "Y", "N"))</f>
        <v>_</v>
      </c>
      <c r="P5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6" s="2"/>
      <c r="S526" s="2" t="str">
        <f t="shared" si="46"/>
        <v>_</v>
      </c>
      <c r="T5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6" s="2">
        <f>IF(Table2[[#This Row],[InterConf]]=1,IF(Table2[[#This Row],[InterDiv]]=0, 1, 0), 0)</f>
        <v>0</v>
      </c>
      <c r="W5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6" s="2"/>
      <c r="Y526" s="2"/>
      <c r="Z526" s="145">
        <f>IF(AND(Table2[[#This Row],[GameIsOver]]=1,Table2[[#This Row],[ActualHomeScore]]*Table2[[#This Row],[ActualAwayScore]]=0), 1,0)</f>
        <v>0</v>
      </c>
      <c r="AA5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6" s="2">
        <f>Table2[[#This Row],[ActualAwayScore]]-Table2[[#This Row],[PredictedAwayScore]]</f>
        <v>0</v>
      </c>
      <c r="AG526" s="2">
        <f>Table2[[#This Row],[ActualHomeScore]]-Table2[[#This Row],[PredictedHomeScore]]</f>
        <v>0</v>
      </c>
      <c r="AH526" s="2">
        <f t="shared" si="47"/>
        <v>0</v>
      </c>
      <c r="AI526" s="2">
        <f t="shared" si="48"/>
        <v>0</v>
      </c>
      <c r="AJ526" s="2"/>
      <c r="AK526" s="3"/>
      <c r="AL526" s="2">
        <f>IF(Table2[[#This Row],[GameIsOver]]=0,0,IF(Table2[[#This Row],[ActualWinner]]=Table2[[#This Row],[AwayTeam]], 1, 0))</f>
        <v>0</v>
      </c>
      <c r="AM526" s="2">
        <f>IF(Table2[[#This Row],[GameIsOver]]=0,0,IF(Table2[[#This Row],[ActualWinner]]=Table2[[#This Row],[HomeTeam]], 1, 0))</f>
        <v>0</v>
      </c>
      <c r="AN5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6" s="2" t="str">
        <f>INDEX(Sheet5!$B$2:$AG$33, MATCH(Table2[[#This Row],[AwayTeam]],Sheet5!$A$2:$A$33, 0), MATCH(Table2[[#This Row],[HomeTeam]],Sheet5!$A$2:$A$33, 0))</f>
        <v>0-0-0</v>
      </c>
      <c r="AP526" s="2" t="str">
        <f>INDEX(Sheet5!$B$2:$AG$33, MATCH(Table2[[#This Row],[HomeTeam]],Sheet5!$A$2:$A$33, 0), MATCH(Table2[[#This Row],[AwayTeam]],Sheet5!$A$2:$A$33, 0))</f>
        <v>0-0-0</v>
      </c>
      <c r="AQ526" s="2">
        <f>IF(Table2[[#This Row],[GameHasShutOut]], 1, 0)</f>
        <v>0</v>
      </c>
      <c r="AR526" s="2">
        <f>IF(Table2[[#This Row],[ActualAwayScore]] + Table2[[#This Row],[ActualHomeScore]] &gt;= 10, 1, 0)</f>
        <v>0</v>
      </c>
      <c r="AS526" s="2">
        <f>IF(ABS(Table2[[#This Row],[ActualAwayScore]]-Table2[[#This Row],[ActualHomeScore]])&gt;=5, 1, 0)</f>
        <v>0</v>
      </c>
      <c r="AT526" s="2">
        <f>IF(Table2[[#This Row],[ActualAwayScore]] + Table2[[#This Row],[ActualHomeScore]] &lt;= 3, 1, 0)</f>
        <v>1</v>
      </c>
      <c r="AU526" s="2"/>
      <c r="AV526" s="2"/>
    </row>
    <row r="527" spans="1:48" x14ac:dyDescent="0.25">
      <c r="A527" s="3"/>
      <c r="B527" s="3">
        <v>46008</v>
      </c>
      <c r="C527" s="5">
        <v>2025020525</v>
      </c>
      <c r="D527" s="2" t="s">
        <v>44</v>
      </c>
      <c r="E527" s="2" t="s">
        <v>35</v>
      </c>
      <c r="F527" s="2"/>
      <c r="G527" s="2"/>
      <c r="H527" s="2" t="str">
        <f t="shared" si="44"/>
        <v>_</v>
      </c>
      <c r="I527" s="2"/>
      <c r="J527" s="2"/>
      <c r="K527" s="2"/>
      <c r="L527" s="2" t="str">
        <f t="shared" si="45"/>
        <v>_</v>
      </c>
      <c r="M527" s="2"/>
      <c r="N527" s="2">
        <f>IF(ISBLANK(Table2[[#This Row],[ActualResult]]), 0, 1)</f>
        <v>0</v>
      </c>
      <c r="O527" s="2" t="str">
        <f>IF(ISBLANK(Table2[[#This Row],[ActualResult]]), "_", IF(Table2[[#This Row],[ActualWinner]]=Table2[[#This Row],[PredictedWinner]], "Y", "N"))</f>
        <v>_</v>
      </c>
      <c r="P5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7" s="2"/>
      <c r="S527" s="2" t="str">
        <f t="shared" si="46"/>
        <v>_</v>
      </c>
      <c r="T5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7" s="2">
        <f>IF(Table2[[#This Row],[InterConf]]=1,IF(Table2[[#This Row],[InterDiv]]=0, 1, 0), 0)</f>
        <v>0</v>
      </c>
      <c r="W5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7" s="2"/>
      <c r="Y527" s="2"/>
      <c r="Z527" s="145">
        <f>IF(AND(Table2[[#This Row],[GameIsOver]]=1,Table2[[#This Row],[ActualHomeScore]]*Table2[[#This Row],[ActualAwayScore]]=0), 1,0)</f>
        <v>0</v>
      </c>
      <c r="AA5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7" s="2">
        <f>Table2[[#This Row],[ActualAwayScore]]-Table2[[#This Row],[PredictedAwayScore]]</f>
        <v>0</v>
      </c>
      <c r="AG527" s="2">
        <f>Table2[[#This Row],[ActualHomeScore]]-Table2[[#This Row],[PredictedHomeScore]]</f>
        <v>0</v>
      </c>
      <c r="AH527" s="2">
        <f t="shared" si="47"/>
        <v>0</v>
      </c>
      <c r="AI527" s="2">
        <f t="shared" si="48"/>
        <v>0</v>
      </c>
      <c r="AJ527" s="2"/>
      <c r="AK527" s="3"/>
      <c r="AL527" s="2">
        <f>IF(Table2[[#This Row],[GameIsOver]]=0,0,IF(Table2[[#This Row],[ActualWinner]]=Table2[[#This Row],[AwayTeam]], 1, 0))</f>
        <v>0</v>
      </c>
      <c r="AM527" s="2">
        <f>IF(Table2[[#This Row],[GameIsOver]]=0,0,IF(Table2[[#This Row],[ActualWinner]]=Table2[[#This Row],[HomeTeam]], 1, 0))</f>
        <v>0</v>
      </c>
      <c r="AN5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7" s="2" t="str">
        <f>INDEX(Sheet5!$B$2:$AG$33, MATCH(Table2[[#This Row],[AwayTeam]],Sheet5!$A$2:$A$33, 0), MATCH(Table2[[#This Row],[HomeTeam]],Sheet5!$A$2:$A$33, 0))</f>
        <v>0-0-0</v>
      </c>
      <c r="AP527" s="2" t="str">
        <f>INDEX(Sheet5!$B$2:$AG$33, MATCH(Table2[[#This Row],[HomeTeam]],Sheet5!$A$2:$A$33, 0), MATCH(Table2[[#This Row],[AwayTeam]],Sheet5!$A$2:$A$33, 0))</f>
        <v>0-0-0</v>
      </c>
      <c r="AQ527" s="2">
        <f>IF(Table2[[#This Row],[GameHasShutOut]], 1, 0)</f>
        <v>0</v>
      </c>
      <c r="AR527" s="2">
        <f>IF(Table2[[#This Row],[ActualAwayScore]] + Table2[[#This Row],[ActualHomeScore]] &gt;= 10, 1, 0)</f>
        <v>0</v>
      </c>
      <c r="AS527" s="2">
        <f>IF(ABS(Table2[[#This Row],[ActualAwayScore]]-Table2[[#This Row],[ActualHomeScore]])&gt;=5, 1, 0)</f>
        <v>0</v>
      </c>
      <c r="AT527" s="2">
        <f>IF(Table2[[#This Row],[ActualAwayScore]] + Table2[[#This Row],[ActualHomeScore]] &lt;= 3, 1, 0)</f>
        <v>1</v>
      </c>
      <c r="AU527" s="2"/>
      <c r="AV527" s="2"/>
    </row>
    <row r="528" spans="1:48" x14ac:dyDescent="0.25">
      <c r="A528" s="3"/>
      <c r="B528" s="3">
        <v>46008</v>
      </c>
      <c r="C528" s="5">
        <v>2025020526</v>
      </c>
      <c r="D528" s="2" t="s">
        <v>43</v>
      </c>
      <c r="E528" s="2" t="s">
        <v>36</v>
      </c>
      <c r="F528" s="2"/>
      <c r="G528" s="2"/>
      <c r="H528" s="2" t="str">
        <f t="shared" si="44"/>
        <v>_</v>
      </c>
      <c r="I528" s="2"/>
      <c r="J528" s="2"/>
      <c r="K528" s="2"/>
      <c r="L528" s="2" t="str">
        <f t="shared" si="45"/>
        <v>_</v>
      </c>
      <c r="M528" s="2"/>
      <c r="N528" s="2">
        <f>IF(ISBLANK(Table2[[#This Row],[ActualResult]]), 0, 1)</f>
        <v>0</v>
      </c>
      <c r="O528" s="2" t="str">
        <f>IF(ISBLANK(Table2[[#This Row],[ActualResult]]), "_", IF(Table2[[#This Row],[ActualWinner]]=Table2[[#This Row],[PredictedWinner]], "Y", "N"))</f>
        <v>_</v>
      </c>
      <c r="P5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8" s="2"/>
      <c r="S528" s="2" t="str">
        <f t="shared" si="46"/>
        <v>_</v>
      </c>
      <c r="T5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8" s="2">
        <f>IF(Table2[[#This Row],[InterConf]]=1,IF(Table2[[#This Row],[InterDiv]]=0, 1, 0), 0)</f>
        <v>0</v>
      </c>
      <c r="W5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8" s="2"/>
      <c r="Y528" s="2"/>
      <c r="Z528" s="145">
        <f>IF(AND(Table2[[#This Row],[GameIsOver]]=1,Table2[[#This Row],[ActualHomeScore]]*Table2[[#This Row],[ActualAwayScore]]=0), 1,0)</f>
        <v>0</v>
      </c>
      <c r="AA5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8" s="2">
        <f>Table2[[#This Row],[ActualAwayScore]]-Table2[[#This Row],[PredictedAwayScore]]</f>
        <v>0</v>
      </c>
      <c r="AG528" s="2">
        <f>Table2[[#This Row],[ActualHomeScore]]-Table2[[#This Row],[PredictedHomeScore]]</f>
        <v>0</v>
      </c>
      <c r="AH528" s="2">
        <f t="shared" si="47"/>
        <v>0</v>
      </c>
      <c r="AI528" s="2">
        <f t="shared" si="48"/>
        <v>0</v>
      </c>
      <c r="AJ528" s="2"/>
      <c r="AK528" s="3"/>
      <c r="AL528" s="2">
        <f>IF(Table2[[#This Row],[GameIsOver]]=0,0,IF(Table2[[#This Row],[ActualWinner]]=Table2[[#This Row],[AwayTeam]], 1, 0))</f>
        <v>0</v>
      </c>
      <c r="AM528" s="2">
        <f>IF(Table2[[#This Row],[GameIsOver]]=0,0,IF(Table2[[#This Row],[ActualWinner]]=Table2[[#This Row],[HomeTeam]], 1, 0))</f>
        <v>0</v>
      </c>
      <c r="AN5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8" s="2" t="str">
        <f>INDEX(Sheet5!$B$2:$AG$33, MATCH(Table2[[#This Row],[AwayTeam]],Sheet5!$A$2:$A$33, 0), MATCH(Table2[[#This Row],[HomeTeam]],Sheet5!$A$2:$A$33, 0))</f>
        <v>1-0-0</v>
      </c>
      <c r="AP528" s="2" t="str">
        <f>INDEX(Sheet5!$B$2:$AG$33, MATCH(Table2[[#This Row],[HomeTeam]],Sheet5!$A$2:$A$33, 0), MATCH(Table2[[#This Row],[AwayTeam]],Sheet5!$A$2:$A$33, 0))</f>
        <v>0-1-0</v>
      </c>
      <c r="AQ528" s="2">
        <f>IF(Table2[[#This Row],[GameHasShutOut]], 1, 0)</f>
        <v>0</v>
      </c>
      <c r="AR528" s="2">
        <f>IF(Table2[[#This Row],[ActualAwayScore]] + Table2[[#This Row],[ActualHomeScore]] &gt;= 10, 1, 0)</f>
        <v>0</v>
      </c>
      <c r="AS528" s="2">
        <f>IF(ABS(Table2[[#This Row],[ActualAwayScore]]-Table2[[#This Row],[ActualHomeScore]])&gt;=5, 1, 0)</f>
        <v>0</v>
      </c>
      <c r="AT528" s="2">
        <f>IF(Table2[[#This Row],[ActualAwayScore]] + Table2[[#This Row],[ActualHomeScore]] &lt;= 3, 1, 0)</f>
        <v>1</v>
      </c>
      <c r="AU528" s="2"/>
      <c r="AV528" s="2"/>
    </row>
    <row r="529" spans="1:48" x14ac:dyDescent="0.25">
      <c r="A529" s="3"/>
      <c r="B529" s="3">
        <v>46008</v>
      </c>
      <c r="C529" s="5">
        <v>2025020527</v>
      </c>
      <c r="D529" s="2" t="s">
        <v>23</v>
      </c>
      <c r="E529" s="2" t="s">
        <v>37</v>
      </c>
      <c r="F529" s="2"/>
      <c r="G529" s="2"/>
      <c r="H529" s="2" t="str">
        <f t="shared" si="44"/>
        <v>_</v>
      </c>
      <c r="I529" s="2"/>
      <c r="J529" s="2"/>
      <c r="K529" s="2"/>
      <c r="L529" s="2" t="str">
        <f t="shared" si="45"/>
        <v>_</v>
      </c>
      <c r="M529" s="2"/>
      <c r="N529" s="2">
        <f>IF(ISBLANK(Table2[[#This Row],[ActualResult]]), 0, 1)</f>
        <v>0</v>
      </c>
      <c r="O529" s="2" t="str">
        <f>IF(ISBLANK(Table2[[#This Row],[ActualResult]]), "_", IF(Table2[[#This Row],[ActualWinner]]=Table2[[#This Row],[PredictedWinner]], "Y", "N"))</f>
        <v>_</v>
      </c>
      <c r="P5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9" s="2"/>
      <c r="S529" s="2" t="str">
        <f t="shared" si="46"/>
        <v>_</v>
      </c>
      <c r="T5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29" s="2">
        <f>IF(Table2[[#This Row],[InterConf]]=1,IF(Table2[[#This Row],[InterDiv]]=0, 1, 0), 0)</f>
        <v>0</v>
      </c>
      <c r="W5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9" s="2"/>
      <c r="Y529" s="2"/>
      <c r="Z529" s="145">
        <f>IF(AND(Table2[[#This Row],[GameIsOver]]=1,Table2[[#This Row],[ActualHomeScore]]*Table2[[#This Row],[ActualAwayScore]]=0), 1,0)</f>
        <v>0</v>
      </c>
      <c r="AA5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9" s="2">
        <f>Table2[[#This Row],[ActualAwayScore]]-Table2[[#This Row],[PredictedAwayScore]]</f>
        <v>0</v>
      </c>
      <c r="AG529" s="2">
        <f>Table2[[#This Row],[ActualHomeScore]]-Table2[[#This Row],[PredictedHomeScore]]</f>
        <v>0</v>
      </c>
      <c r="AH529" s="2">
        <f t="shared" si="47"/>
        <v>0</v>
      </c>
      <c r="AI529" s="2">
        <f t="shared" si="48"/>
        <v>0</v>
      </c>
      <c r="AJ529" s="2"/>
      <c r="AK529" s="3"/>
      <c r="AL529" s="2">
        <f>IF(Table2[[#This Row],[GameIsOver]]=0,0,IF(Table2[[#This Row],[ActualWinner]]=Table2[[#This Row],[AwayTeam]], 1, 0))</f>
        <v>0</v>
      </c>
      <c r="AM529" s="2">
        <f>IF(Table2[[#This Row],[GameIsOver]]=0,0,IF(Table2[[#This Row],[ActualWinner]]=Table2[[#This Row],[HomeTeam]], 1, 0))</f>
        <v>0</v>
      </c>
      <c r="AN5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9" s="2" t="str">
        <f>INDEX(Sheet5!$B$2:$AG$33, MATCH(Table2[[#This Row],[AwayTeam]],Sheet5!$A$2:$A$33, 0), MATCH(Table2[[#This Row],[HomeTeam]],Sheet5!$A$2:$A$33, 0))</f>
        <v>0-0-0</v>
      </c>
      <c r="AP529" s="2" t="str">
        <f>INDEX(Sheet5!$B$2:$AG$33, MATCH(Table2[[#This Row],[HomeTeam]],Sheet5!$A$2:$A$33, 0), MATCH(Table2[[#This Row],[AwayTeam]],Sheet5!$A$2:$A$33, 0))</f>
        <v>0-0-0</v>
      </c>
      <c r="AQ529" s="2">
        <f>IF(Table2[[#This Row],[GameHasShutOut]], 1, 0)</f>
        <v>0</v>
      </c>
      <c r="AR529" s="2">
        <f>IF(Table2[[#This Row],[ActualAwayScore]] + Table2[[#This Row],[ActualHomeScore]] &gt;= 10, 1, 0)</f>
        <v>0</v>
      </c>
      <c r="AS529" s="2">
        <f>IF(ABS(Table2[[#This Row],[ActualAwayScore]]-Table2[[#This Row],[ActualHomeScore]])&gt;=5, 1, 0)</f>
        <v>0</v>
      </c>
      <c r="AT529" s="2">
        <f>IF(Table2[[#This Row],[ActualAwayScore]] + Table2[[#This Row],[ActualHomeScore]] &lt;= 3, 1, 0)</f>
        <v>1</v>
      </c>
      <c r="AU529" s="2"/>
      <c r="AV529" s="2"/>
    </row>
    <row r="530" spans="1:48" x14ac:dyDescent="0.25">
      <c r="A530" s="3"/>
      <c r="B530" s="3">
        <v>46008</v>
      </c>
      <c r="C530" s="5">
        <v>2025020528</v>
      </c>
      <c r="D530" s="2" t="s">
        <v>25</v>
      </c>
      <c r="E530" s="2" t="s">
        <v>11</v>
      </c>
      <c r="F530" s="2"/>
      <c r="G530" s="2"/>
      <c r="H530" s="2" t="str">
        <f t="shared" si="44"/>
        <v>_</v>
      </c>
      <c r="I530" s="2"/>
      <c r="J530" s="2"/>
      <c r="K530" s="2"/>
      <c r="L530" s="2" t="str">
        <f t="shared" si="45"/>
        <v>_</v>
      </c>
      <c r="M530" s="2"/>
      <c r="N530" s="2">
        <f>IF(ISBLANK(Table2[[#This Row],[ActualResult]]), 0, 1)</f>
        <v>0</v>
      </c>
      <c r="O530" s="2" t="str">
        <f>IF(ISBLANK(Table2[[#This Row],[ActualResult]]), "_", IF(Table2[[#This Row],[ActualWinner]]=Table2[[#This Row],[PredictedWinner]], "Y", "N"))</f>
        <v>_</v>
      </c>
      <c r="P5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0" s="2"/>
      <c r="S530" s="2" t="str">
        <f t="shared" si="46"/>
        <v>_</v>
      </c>
      <c r="T5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0" s="2">
        <f>IF(Table2[[#This Row],[InterConf]]=1,IF(Table2[[#This Row],[InterDiv]]=0, 1, 0), 0)</f>
        <v>1</v>
      </c>
      <c r="W5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0" s="2"/>
      <c r="Y530" s="2"/>
      <c r="Z530" s="145">
        <f>IF(AND(Table2[[#This Row],[GameIsOver]]=1,Table2[[#This Row],[ActualHomeScore]]*Table2[[#This Row],[ActualAwayScore]]=0), 1,0)</f>
        <v>0</v>
      </c>
      <c r="AA5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30" s="2">
        <f>Table2[[#This Row],[ActualAwayScore]]-Table2[[#This Row],[PredictedAwayScore]]</f>
        <v>0</v>
      </c>
      <c r="AG530" s="2">
        <f>Table2[[#This Row],[ActualHomeScore]]-Table2[[#This Row],[PredictedHomeScore]]</f>
        <v>0</v>
      </c>
      <c r="AH530" s="2">
        <f t="shared" si="47"/>
        <v>0</v>
      </c>
      <c r="AI530" s="2">
        <f t="shared" si="48"/>
        <v>0</v>
      </c>
      <c r="AJ530" s="2"/>
      <c r="AK530" s="3"/>
      <c r="AL530" s="2">
        <f>IF(Table2[[#This Row],[GameIsOver]]=0,0,IF(Table2[[#This Row],[ActualWinner]]=Table2[[#This Row],[AwayTeam]], 1, 0))</f>
        <v>0</v>
      </c>
      <c r="AM530" s="2">
        <f>IF(Table2[[#This Row],[GameIsOver]]=0,0,IF(Table2[[#This Row],[ActualWinner]]=Table2[[#This Row],[HomeTeam]], 1, 0))</f>
        <v>0</v>
      </c>
      <c r="AN5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0" s="2" t="str">
        <f>INDEX(Sheet5!$B$2:$AG$33, MATCH(Table2[[#This Row],[AwayTeam]],Sheet5!$A$2:$A$33, 0), MATCH(Table2[[#This Row],[HomeTeam]],Sheet5!$A$2:$A$33, 0))</f>
        <v>0-0-0</v>
      </c>
      <c r="AP530" s="2" t="str">
        <f>INDEX(Sheet5!$B$2:$AG$33, MATCH(Table2[[#This Row],[HomeTeam]],Sheet5!$A$2:$A$33, 0), MATCH(Table2[[#This Row],[AwayTeam]],Sheet5!$A$2:$A$33, 0))</f>
        <v>0-0-0</v>
      </c>
      <c r="AQ530" s="2">
        <f>IF(Table2[[#This Row],[GameHasShutOut]], 1, 0)</f>
        <v>0</v>
      </c>
      <c r="AR530" s="2">
        <f>IF(Table2[[#This Row],[ActualAwayScore]] + Table2[[#This Row],[ActualHomeScore]] &gt;= 10, 1, 0)</f>
        <v>0</v>
      </c>
      <c r="AS530" s="2">
        <f>IF(ABS(Table2[[#This Row],[ActualAwayScore]]-Table2[[#This Row],[ActualHomeScore]])&gt;=5, 1, 0)</f>
        <v>0</v>
      </c>
      <c r="AT530" s="2">
        <f>IF(Table2[[#This Row],[ActualAwayScore]] + Table2[[#This Row],[ActualHomeScore]] &lt;= 3, 1, 0)</f>
        <v>1</v>
      </c>
      <c r="AU530" s="2"/>
      <c r="AV530" s="2"/>
    </row>
    <row r="531" spans="1:48" x14ac:dyDescent="0.25">
      <c r="A531" s="3"/>
      <c r="B531" s="3">
        <v>46009</v>
      </c>
      <c r="C531" s="5">
        <v>2025020529</v>
      </c>
      <c r="D531" s="2" t="s">
        <v>27</v>
      </c>
      <c r="E531" s="2" t="s">
        <v>13</v>
      </c>
      <c r="F531" s="2"/>
      <c r="G531" s="2"/>
      <c r="H531" s="2" t="str">
        <f t="shared" si="44"/>
        <v>_</v>
      </c>
      <c r="I531" s="2"/>
      <c r="J531" s="2"/>
      <c r="K531" s="2"/>
      <c r="L531" s="2" t="str">
        <f t="shared" si="45"/>
        <v>_</v>
      </c>
      <c r="M531" s="2"/>
      <c r="N531" s="2">
        <f>IF(ISBLANK(Table2[[#This Row],[ActualResult]]), 0, 1)</f>
        <v>0</v>
      </c>
      <c r="O531" s="2" t="str">
        <f>IF(ISBLANK(Table2[[#This Row],[ActualResult]]), "_", IF(Table2[[#This Row],[ActualWinner]]=Table2[[#This Row],[PredictedWinner]], "Y", "N"))</f>
        <v>_</v>
      </c>
      <c r="P5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1" s="2"/>
      <c r="S531" s="2" t="str">
        <f t="shared" si="46"/>
        <v>_</v>
      </c>
      <c r="T5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1" s="2">
        <f>IF(Table2[[#This Row],[InterConf]]=1,IF(Table2[[#This Row],[InterDiv]]=0, 1, 0), 0)</f>
        <v>0</v>
      </c>
      <c r="W5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1" s="2"/>
      <c r="Y531" s="2"/>
      <c r="Z531" s="145">
        <f>IF(AND(Table2[[#This Row],[GameIsOver]]=1,Table2[[#This Row],[ActualHomeScore]]*Table2[[#This Row],[ActualAwayScore]]=0), 1,0)</f>
        <v>0</v>
      </c>
      <c r="AA5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1" s="2">
        <f>Table2[[#This Row],[ActualAwayScore]]-Table2[[#This Row],[PredictedAwayScore]]</f>
        <v>0</v>
      </c>
      <c r="AG531" s="2">
        <f>Table2[[#This Row],[ActualHomeScore]]-Table2[[#This Row],[PredictedHomeScore]]</f>
        <v>0</v>
      </c>
      <c r="AH531" s="2">
        <f t="shared" si="47"/>
        <v>0</v>
      </c>
      <c r="AI531" s="2">
        <f t="shared" si="48"/>
        <v>0</v>
      </c>
      <c r="AJ531" s="2"/>
      <c r="AK531" s="3"/>
      <c r="AL531" s="2">
        <f>IF(Table2[[#This Row],[GameIsOver]]=0,0,IF(Table2[[#This Row],[ActualWinner]]=Table2[[#This Row],[AwayTeam]], 1, 0))</f>
        <v>0</v>
      </c>
      <c r="AM531" s="2">
        <f>IF(Table2[[#This Row],[GameIsOver]]=0,0,IF(Table2[[#This Row],[ActualWinner]]=Table2[[#This Row],[HomeTeam]], 1, 0))</f>
        <v>0</v>
      </c>
      <c r="AN531" s="2">
        <f>IF(IFERROR(FIND(Table2[[#This Row],[AwayTeam]], _xlfn.TEXTJOIN(";", 1, $BD$31:$BD$40)), 0) &gt; 0, 1, 0) + IF(IFERROR(FIND(Table2[[#This Row],[HomeTeam]], _xlfn.TEXTJOIN(";", 1, $BD$31:$BD$40)), 0) &gt; 0, 1, 0)</f>
        <v>1</v>
      </c>
      <c r="AO531" s="2" t="str">
        <f>INDEX(Sheet5!$B$2:$AG$33, MATCH(Table2[[#This Row],[AwayTeam]],Sheet5!$A$2:$A$33, 0), MATCH(Table2[[#This Row],[HomeTeam]],Sheet5!$A$2:$A$33, 0))</f>
        <v>0-0-0</v>
      </c>
      <c r="AP531" s="2" t="str">
        <f>INDEX(Sheet5!$B$2:$AG$33, MATCH(Table2[[#This Row],[HomeTeam]],Sheet5!$A$2:$A$33, 0), MATCH(Table2[[#This Row],[AwayTeam]],Sheet5!$A$2:$A$33, 0))</f>
        <v>0-0-0</v>
      </c>
      <c r="AQ531" s="2">
        <f>IF(Table2[[#This Row],[GameHasShutOut]], 1, 0)</f>
        <v>0</v>
      </c>
      <c r="AR531" s="2">
        <f>IF(Table2[[#This Row],[ActualAwayScore]] + Table2[[#This Row],[ActualHomeScore]] &gt;= 10, 1, 0)</f>
        <v>0</v>
      </c>
      <c r="AS531" s="2">
        <f>IF(ABS(Table2[[#This Row],[ActualAwayScore]]-Table2[[#This Row],[ActualHomeScore]])&gt;=5, 1, 0)</f>
        <v>0</v>
      </c>
      <c r="AT531" s="2">
        <f>IF(Table2[[#This Row],[ActualAwayScore]] + Table2[[#This Row],[ActualHomeScore]] &lt;= 3, 1, 0)</f>
        <v>1</v>
      </c>
      <c r="AU531" s="2"/>
      <c r="AV531" s="2"/>
    </row>
    <row r="532" spans="1:48" x14ac:dyDescent="0.25">
      <c r="A532" s="3"/>
      <c r="B532" s="3">
        <v>46009</v>
      </c>
      <c r="C532" s="5">
        <v>2025020530</v>
      </c>
      <c r="D532" s="2" t="s">
        <v>14</v>
      </c>
      <c r="E532" s="2" t="s">
        <v>30</v>
      </c>
      <c r="F532" s="2"/>
      <c r="G532" s="2"/>
      <c r="H532" s="2" t="str">
        <f t="shared" si="44"/>
        <v>_</v>
      </c>
      <c r="I532" s="2"/>
      <c r="J532" s="2"/>
      <c r="K532" s="2"/>
      <c r="L532" s="2" t="str">
        <f t="shared" si="45"/>
        <v>_</v>
      </c>
      <c r="M532" s="2"/>
      <c r="N532" s="2">
        <f>IF(ISBLANK(Table2[[#This Row],[ActualResult]]), 0, 1)</f>
        <v>0</v>
      </c>
      <c r="O532" s="2" t="str">
        <f>IF(ISBLANK(Table2[[#This Row],[ActualResult]]), "_", IF(Table2[[#This Row],[ActualWinner]]=Table2[[#This Row],[PredictedWinner]], "Y", "N"))</f>
        <v>_</v>
      </c>
      <c r="P5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2" s="2"/>
      <c r="S532" s="2" t="str">
        <f t="shared" si="46"/>
        <v>_</v>
      </c>
      <c r="T5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2" s="2">
        <f>IF(Table2[[#This Row],[InterConf]]=1,IF(Table2[[#This Row],[InterDiv]]=0, 1, 0), 0)</f>
        <v>0</v>
      </c>
      <c r="W5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2" s="2"/>
      <c r="Y532" s="2"/>
      <c r="Z532" s="145">
        <f>IF(AND(Table2[[#This Row],[GameIsOver]]=1,Table2[[#This Row],[ActualHomeScore]]*Table2[[#This Row],[ActualAwayScore]]=0), 1,0)</f>
        <v>0</v>
      </c>
      <c r="AA5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2" s="2">
        <f>Table2[[#This Row],[ActualAwayScore]]-Table2[[#This Row],[PredictedAwayScore]]</f>
        <v>0</v>
      </c>
      <c r="AG532" s="2">
        <f>Table2[[#This Row],[ActualHomeScore]]-Table2[[#This Row],[PredictedHomeScore]]</f>
        <v>0</v>
      </c>
      <c r="AH532" s="2">
        <f t="shared" si="47"/>
        <v>0</v>
      </c>
      <c r="AI532" s="2">
        <f t="shared" si="48"/>
        <v>0</v>
      </c>
      <c r="AJ532" s="2"/>
      <c r="AK532" s="3"/>
      <c r="AL532" s="2">
        <f>IF(Table2[[#This Row],[GameIsOver]]=0,0,IF(Table2[[#This Row],[ActualWinner]]=Table2[[#This Row],[AwayTeam]], 1, 0))</f>
        <v>0</v>
      </c>
      <c r="AM532" s="2">
        <f>IF(Table2[[#This Row],[GameIsOver]]=0,0,IF(Table2[[#This Row],[ActualWinner]]=Table2[[#This Row],[HomeTeam]], 1, 0))</f>
        <v>0</v>
      </c>
      <c r="AN5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2" s="2" t="str">
        <f>INDEX(Sheet5!$B$2:$AG$33, MATCH(Table2[[#This Row],[AwayTeam]],Sheet5!$A$2:$A$33, 0), MATCH(Table2[[#This Row],[HomeTeam]],Sheet5!$A$2:$A$33, 0))</f>
        <v>0-0-0</v>
      </c>
      <c r="AP532" s="2" t="str">
        <f>INDEX(Sheet5!$B$2:$AG$33, MATCH(Table2[[#This Row],[HomeTeam]],Sheet5!$A$2:$A$33, 0), MATCH(Table2[[#This Row],[AwayTeam]],Sheet5!$A$2:$A$33, 0))</f>
        <v>0-0-0</v>
      </c>
      <c r="AQ532" s="2">
        <f>IF(Table2[[#This Row],[GameHasShutOut]], 1, 0)</f>
        <v>0</v>
      </c>
      <c r="AR532" s="2">
        <f>IF(Table2[[#This Row],[ActualAwayScore]] + Table2[[#This Row],[ActualHomeScore]] &gt;= 10, 1, 0)</f>
        <v>0</v>
      </c>
      <c r="AS532" s="2">
        <f>IF(ABS(Table2[[#This Row],[ActualAwayScore]]-Table2[[#This Row],[ActualHomeScore]])&gt;=5, 1, 0)</f>
        <v>0</v>
      </c>
      <c r="AT532" s="2">
        <f>IF(Table2[[#This Row],[ActualAwayScore]] + Table2[[#This Row],[ActualHomeScore]] &lt;= 3, 1, 0)</f>
        <v>1</v>
      </c>
      <c r="AU532" s="2"/>
      <c r="AV532" s="2"/>
    </row>
    <row r="533" spans="1:48" x14ac:dyDescent="0.25">
      <c r="A533" s="3"/>
      <c r="B533" s="3">
        <v>46009</v>
      </c>
      <c r="C533" s="5">
        <v>2025020531</v>
      </c>
      <c r="D533" s="2" t="s">
        <v>21</v>
      </c>
      <c r="E533" s="2" t="s">
        <v>12</v>
      </c>
      <c r="F533" s="2"/>
      <c r="G533" s="2"/>
      <c r="H533" s="2" t="str">
        <f t="shared" si="44"/>
        <v>_</v>
      </c>
      <c r="I533" s="2"/>
      <c r="J533" s="2"/>
      <c r="K533" s="2"/>
      <c r="L533" s="2" t="str">
        <f t="shared" si="45"/>
        <v>_</v>
      </c>
      <c r="M533" s="2"/>
      <c r="N533" s="2">
        <f>IF(ISBLANK(Table2[[#This Row],[ActualResult]]), 0, 1)</f>
        <v>0</v>
      </c>
      <c r="O533" s="2" t="str">
        <f>IF(ISBLANK(Table2[[#This Row],[ActualResult]]), "_", IF(Table2[[#This Row],[ActualWinner]]=Table2[[#This Row],[PredictedWinner]], "Y", "N"))</f>
        <v>_</v>
      </c>
      <c r="P5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3" s="2"/>
      <c r="S533" s="2" t="str">
        <f t="shared" si="46"/>
        <v>_</v>
      </c>
      <c r="T5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33" s="2">
        <f>IF(Table2[[#This Row],[InterConf]]=1,IF(Table2[[#This Row],[InterDiv]]=0, 1, 0), 0)</f>
        <v>0</v>
      </c>
      <c r="W5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3" s="2"/>
      <c r="Y533" s="2"/>
      <c r="Z533" s="145">
        <f>IF(AND(Table2[[#This Row],[GameIsOver]]=1,Table2[[#This Row],[ActualHomeScore]]*Table2[[#This Row],[ActualAwayScore]]=0), 1,0)</f>
        <v>0</v>
      </c>
      <c r="AA5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3" s="2">
        <f>Table2[[#This Row],[ActualAwayScore]]-Table2[[#This Row],[PredictedAwayScore]]</f>
        <v>0</v>
      </c>
      <c r="AG533" s="2">
        <f>Table2[[#This Row],[ActualHomeScore]]-Table2[[#This Row],[PredictedHomeScore]]</f>
        <v>0</v>
      </c>
      <c r="AH533" s="2">
        <f t="shared" si="47"/>
        <v>0</v>
      </c>
      <c r="AI533" s="2">
        <f t="shared" si="48"/>
        <v>0</v>
      </c>
      <c r="AJ533" s="2"/>
      <c r="AK533" s="3"/>
      <c r="AL533" s="2">
        <f>IF(Table2[[#This Row],[GameIsOver]]=0,0,IF(Table2[[#This Row],[ActualWinner]]=Table2[[#This Row],[AwayTeam]], 1, 0))</f>
        <v>0</v>
      </c>
      <c r="AM533" s="2">
        <f>IF(Table2[[#This Row],[GameIsOver]]=0,0,IF(Table2[[#This Row],[ActualWinner]]=Table2[[#This Row],[HomeTeam]], 1, 0))</f>
        <v>0</v>
      </c>
      <c r="AN5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3" s="2" t="str">
        <f>INDEX(Sheet5!$B$2:$AG$33, MATCH(Table2[[#This Row],[AwayTeam]],Sheet5!$A$2:$A$33, 0), MATCH(Table2[[#This Row],[HomeTeam]],Sheet5!$A$2:$A$33, 0))</f>
        <v>0-0-0</v>
      </c>
      <c r="AP533" s="2" t="str">
        <f>INDEX(Sheet5!$B$2:$AG$33, MATCH(Table2[[#This Row],[HomeTeam]],Sheet5!$A$2:$A$33, 0), MATCH(Table2[[#This Row],[AwayTeam]],Sheet5!$A$2:$A$33, 0))</f>
        <v>0-0-0</v>
      </c>
      <c r="AQ533" s="2">
        <f>IF(Table2[[#This Row],[GameHasShutOut]], 1, 0)</f>
        <v>0</v>
      </c>
      <c r="AR533" s="2">
        <f>IF(Table2[[#This Row],[ActualAwayScore]] + Table2[[#This Row],[ActualHomeScore]] &gt;= 10, 1, 0)</f>
        <v>0</v>
      </c>
      <c r="AS533" s="2">
        <f>IF(ABS(Table2[[#This Row],[ActualAwayScore]]-Table2[[#This Row],[ActualHomeScore]])&gt;=5, 1, 0)</f>
        <v>0</v>
      </c>
      <c r="AT533" s="2">
        <f>IF(Table2[[#This Row],[ActualAwayScore]] + Table2[[#This Row],[ActualHomeScore]] &lt;= 3, 1, 0)</f>
        <v>1</v>
      </c>
      <c r="AU533" s="2"/>
      <c r="AV533" s="2"/>
    </row>
    <row r="534" spans="1:48" x14ac:dyDescent="0.25">
      <c r="A534" s="3"/>
      <c r="B534" s="3">
        <v>46009</v>
      </c>
      <c r="C534" s="5">
        <v>2025020532</v>
      </c>
      <c r="D534" s="2" t="s">
        <v>41</v>
      </c>
      <c r="E534" s="2" t="s">
        <v>34</v>
      </c>
      <c r="F534" s="2"/>
      <c r="G534" s="2"/>
      <c r="H534" s="2" t="str">
        <f t="shared" si="44"/>
        <v>_</v>
      </c>
      <c r="I534" s="2"/>
      <c r="J534" s="2"/>
      <c r="K534" s="2"/>
      <c r="L534" s="2" t="str">
        <f t="shared" si="45"/>
        <v>_</v>
      </c>
      <c r="M534" s="2"/>
      <c r="N534" s="2">
        <f>IF(ISBLANK(Table2[[#This Row],[ActualResult]]), 0, 1)</f>
        <v>0</v>
      </c>
      <c r="O534" s="2" t="str">
        <f>IF(ISBLANK(Table2[[#This Row],[ActualResult]]), "_", IF(Table2[[#This Row],[ActualWinner]]=Table2[[#This Row],[PredictedWinner]], "Y", "N"))</f>
        <v>_</v>
      </c>
      <c r="P5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4" s="2"/>
      <c r="S534" s="2" t="str">
        <f t="shared" si="46"/>
        <v>_</v>
      </c>
      <c r="T5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4" s="2">
        <f>IF(Table2[[#This Row],[InterConf]]=1,IF(Table2[[#This Row],[InterDiv]]=0, 1, 0), 0)</f>
        <v>0</v>
      </c>
      <c r="W5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4" s="2"/>
      <c r="Y534" s="2"/>
      <c r="Z534" s="145">
        <f>IF(AND(Table2[[#This Row],[GameIsOver]]=1,Table2[[#This Row],[ActualHomeScore]]*Table2[[#This Row],[ActualAwayScore]]=0), 1,0)</f>
        <v>0</v>
      </c>
      <c r="AA5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4" s="2">
        <f>Table2[[#This Row],[ActualAwayScore]]-Table2[[#This Row],[PredictedAwayScore]]</f>
        <v>0</v>
      </c>
      <c r="AG534" s="2">
        <f>Table2[[#This Row],[ActualHomeScore]]-Table2[[#This Row],[PredictedHomeScore]]</f>
        <v>0</v>
      </c>
      <c r="AH534" s="2">
        <f t="shared" si="47"/>
        <v>0</v>
      </c>
      <c r="AI534" s="2">
        <f t="shared" si="48"/>
        <v>0</v>
      </c>
      <c r="AJ534" s="2"/>
      <c r="AK534" s="3"/>
      <c r="AL534" s="2">
        <f>IF(Table2[[#This Row],[GameIsOver]]=0,0,IF(Table2[[#This Row],[ActualWinner]]=Table2[[#This Row],[AwayTeam]], 1, 0))</f>
        <v>0</v>
      </c>
      <c r="AM534" s="2">
        <f>IF(Table2[[#This Row],[GameIsOver]]=0,0,IF(Table2[[#This Row],[ActualWinner]]=Table2[[#This Row],[HomeTeam]], 1, 0))</f>
        <v>0</v>
      </c>
      <c r="AN5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4" s="2" t="str">
        <f>INDEX(Sheet5!$B$2:$AG$33, MATCH(Table2[[#This Row],[AwayTeam]],Sheet5!$A$2:$A$33, 0), MATCH(Table2[[#This Row],[HomeTeam]],Sheet5!$A$2:$A$33, 0))</f>
        <v>0-0-0</v>
      </c>
      <c r="AP534" s="2" t="str">
        <f>INDEX(Sheet5!$B$2:$AG$33, MATCH(Table2[[#This Row],[HomeTeam]],Sheet5!$A$2:$A$33, 0), MATCH(Table2[[#This Row],[AwayTeam]],Sheet5!$A$2:$A$33, 0))</f>
        <v>0-0-0</v>
      </c>
      <c r="AQ534" s="2">
        <f>IF(Table2[[#This Row],[GameHasShutOut]], 1, 0)</f>
        <v>0</v>
      </c>
      <c r="AR534" s="2">
        <f>IF(Table2[[#This Row],[ActualAwayScore]] + Table2[[#This Row],[ActualHomeScore]] &gt;= 10, 1, 0)</f>
        <v>0</v>
      </c>
      <c r="AS534" s="2">
        <f>IF(ABS(Table2[[#This Row],[ActualAwayScore]]-Table2[[#This Row],[ActualHomeScore]])&gt;=5, 1, 0)</f>
        <v>0</v>
      </c>
      <c r="AT534" s="2">
        <f>IF(Table2[[#This Row],[ActualAwayScore]] + Table2[[#This Row],[ActualHomeScore]] &lt;= 3, 1, 0)</f>
        <v>1</v>
      </c>
      <c r="AU534" s="2"/>
      <c r="AV534" s="2"/>
    </row>
    <row r="535" spans="1:48" x14ac:dyDescent="0.25">
      <c r="A535" s="3"/>
      <c r="B535" s="3">
        <v>46009</v>
      </c>
      <c r="C535" s="5">
        <v>2025020533</v>
      </c>
      <c r="D535" s="2" t="s">
        <v>31</v>
      </c>
      <c r="E535" s="2" t="s">
        <v>26</v>
      </c>
      <c r="F535" s="2"/>
      <c r="G535" s="2"/>
      <c r="H535" s="2" t="str">
        <f t="shared" si="44"/>
        <v>_</v>
      </c>
      <c r="I535" s="2"/>
      <c r="J535" s="2"/>
      <c r="K535" s="2"/>
      <c r="L535" s="2" t="str">
        <f t="shared" si="45"/>
        <v>_</v>
      </c>
      <c r="M535" s="2"/>
      <c r="N535" s="2">
        <f>IF(ISBLANK(Table2[[#This Row],[ActualResult]]), 0, 1)</f>
        <v>0</v>
      </c>
      <c r="O535" s="2" t="str">
        <f>IF(ISBLANK(Table2[[#This Row],[ActualResult]]), "_", IF(Table2[[#This Row],[ActualWinner]]=Table2[[#This Row],[PredictedWinner]], "Y", "N"))</f>
        <v>_</v>
      </c>
      <c r="P5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5" s="2"/>
      <c r="S535" s="2" t="str">
        <f t="shared" si="46"/>
        <v>_</v>
      </c>
      <c r="T5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5" s="2">
        <f>IF(Table2[[#This Row],[InterConf]]=1,IF(Table2[[#This Row],[InterDiv]]=0, 1, 0), 0)</f>
        <v>0</v>
      </c>
      <c r="W5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5" s="2"/>
      <c r="Y535" s="2"/>
      <c r="Z535" s="145">
        <f>IF(AND(Table2[[#This Row],[GameIsOver]]=1,Table2[[#This Row],[ActualHomeScore]]*Table2[[#This Row],[ActualAwayScore]]=0), 1,0)</f>
        <v>0</v>
      </c>
      <c r="AA5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5" s="2">
        <f>Table2[[#This Row],[ActualAwayScore]]-Table2[[#This Row],[PredictedAwayScore]]</f>
        <v>0</v>
      </c>
      <c r="AG535" s="2">
        <f>Table2[[#This Row],[ActualHomeScore]]-Table2[[#This Row],[PredictedHomeScore]]</f>
        <v>0</v>
      </c>
      <c r="AH535" s="2">
        <f t="shared" si="47"/>
        <v>0</v>
      </c>
      <c r="AI535" s="2">
        <f t="shared" si="48"/>
        <v>0</v>
      </c>
      <c r="AJ535" s="2"/>
      <c r="AK535" s="3"/>
      <c r="AL535" s="2">
        <f>IF(Table2[[#This Row],[GameIsOver]]=0,0,IF(Table2[[#This Row],[ActualWinner]]=Table2[[#This Row],[AwayTeam]], 1, 0))</f>
        <v>0</v>
      </c>
      <c r="AM535" s="2">
        <f>IF(Table2[[#This Row],[GameIsOver]]=0,0,IF(Table2[[#This Row],[ActualWinner]]=Table2[[#This Row],[HomeTeam]], 1, 0))</f>
        <v>0</v>
      </c>
      <c r="AN5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5" s="2" t="str">
        <f>INDEX(Sheet5!$B$2:$AG$33, MATCH(Table2[[#This Row],[AwayTeam]],Sheet5!$A$2:$A$33, 0), MATCH(Table2[[#This Row],[HomeTeam]],Sheet5!$A$2:$A$33, 0))</f>
        <v>0-0-0</v>
      </c>
      <c r="AP535" s="2" t="str">
        <f>INDEX(Sheet5!$B$2:$AG$33, MATCH(Table2[[#This Row],[HomeTeam]],Sheet5!$A$2:$A$33, 0), MATCH(Table2[[#This Row],[AwayTeam]],Sheet5!$A$2:$A$33, 0))</f>
        <v>0-0-0</v>
      </c>
      <c r="AQ535" s="2">
        <f>IF(Table2[[#This Row],[GameHasShutOut]], 1, 0)</f>
        <v>0</v>
      </c>
      <c r="AR535" s="2">
        <f>IF(Table2[[#This Row],[ActualAwayScore]] + Table2[[#This Row],[ActualHomeScore]] &gt;= 10, 1, 0)</f>
        <v>0</v>
      </c>
      <c r="AS535" s="2">
        <f>IF(ABS(Table2[[#This Row],[ActualAwayScore]]-Table2[[#This Row],[ActualHomeScore]])&gt;=5, 1, 0)</f>
        <v>0</v>
      </c>
      <c r="AT535" s="2">
        <f>IF(Table2[[#This Row],[ActualAwayScore]] + Table2[[#This Row],[ActualHomeScore]] &lt;= 3, 1, 0)</f>
        <v>1</v>
      </c>
      <c r="AU535" s="2"/>
      <c r="AV535" s="2"/>
    </row>
    <row r="536" spans="1:48" x14ac:dyDescent="0.25">
      <c r="A536" s="3"/>
      <c r="B536" s="3">
        <v>46010</v>
      </c>
      <c r="C536" s="5">
        <v>2025020534</v>
      </c>
      <c r="D536" s="2" t="s">
        <v>22</v>
      </c>
      <c r="E536" s="2" t="s">
        <v>15</v>
      </c>
      <c r="F536" s="2"/>
      <c r="G536" s="2"/>
      <c r="H536" s="2" t="str">
        <f t="shared" si="44"/>
        <v>_</v>
      </c>
      <c r="I536" s="2"/>
      <c r="J536" s="2"/>
      <c r="K536" s="2"/>
      <c r="L536" s="2" t="str">
        <f t="shared" si="45"/>
        <v>_</v>
      </c>
      <c r="M536" s="2"/>
      <c r="N536" s="2">
        <f>IF(ISBLANK(Table2[[#This Row],[ActualResult]]), 0, 1)</f>
        <v>0</v>
      </c>
      <c r="O536" s="2" t="str">
        <f>IF(ISBLANK(Table2[[#This Row],[ActualResult]]), "_", IF(Table2[[#This Row],[ActualWinner]]=Table2[[#This Row],[PredictedWinner]], "Y", "N"))</f>
        <v>_</v>
      </c>
      <c r="P5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6" s="2"/>
      <c r="S536" s="2" t="str">
        <f t="shared" si="46"/>
        <v>_</v>
      </c>
      <c r="T5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6" s="2">
        <f>IF(Table2[[#This Row],[InterConf]]=1,IF(Table2[[#This Row],[InterDiv]]=0, 1, 0), 0)</f>
        <v>0</v>
      </c>
      <c r="W5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6" s="2"/>
      <c r="Y536" s="2"/>
      <c r="Z536" s="145">
        <f>IF(AND(Table2[[#This Row],[GameIsOver]]=1,Table2[[#This Row],[ActualHomeScore]]*Table2[[#This Row],[ActualAwayScore]]=0), 1,0)</f>
        <v>0</v>
      </c>
      <c r="AA5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6" s="2">
        <f>Table2[[#This Row],[ActualAwayScore]]-Table2[[#This Row],[PredictedAwayScore]]</f>
        <v>0</v>
      </c>
      <c r="AG536" s="2">
        <f>Table2[[#This Row],[ActualHomeScore]]-Table2[[#This Row],[PredictedHomeScore]]</f>
        <v>0</v>
      </c>
      <c r="AH536" s="2">
        <f t="shared" si="47"/>
        <v>0</v>
      </c>
      <c r="AI536" s="2">
        <f t="shared" si="48"/>
        <v>0</v>
      </c>
      <c r="AJ536" s="2"/>
      <c r="AK536" s="3"/>
      <c r="AL536" s="2">
        <f>IF(Table2[[#This Row],[GameIsOver]]=0,0,IF(Table2[[#This Row],[ActualWinner]]=Table2[[#This Row],[AwayTeam]], 1, 0))</f>
        <v>0</v>
      </c>
      <c r="AM536" s="2">
        <f>IF(Table2[[#This Row],[GameIsOver]]=0,0,IF(Table2[[#This Row],[ActualWinner]]=Table2[[#This Row],[HomeTeam]], 1, 0))</f>
        <v>0</v>
      </c>
      <c r="AN5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6" s="2" t="str">
        <f>INDEX(Sheet5!$B$2:$AG$33, MATCH(Table2[[#This Row],[AwayTeam]],Sheet5!$A$2:$A$33, 0), MATCH(Table2[[#This Row],[HomeTeam]],Sheet5!$A$2:$A$33, 0))</f>
        <v>0-0-0</v>
      </c>
      <c r="AP536" s="2" t="str">
        <f>INDEX(Sheet5!$B$2:$AG$33, MATCH(Table2[[#This Row],[HomeTeam]],Sheet5!$A$2:$A$33, 0), MATCH(Table2[[#This Row],[AwayTeam]],Sheet5!$A$2:$A$33, 0))</f>
        <v>0-0-0</v>
      </c>
      <c r="AQ536" s="2">
        <f>IF(Table2[[#This Row],[GameHasShutOut]], 1, 0)</f>
        <v>0</v>
      </c>
      <c r="AR536" s="2">
        <f>IF(Table2[[#This Row],[ActualAwayScore]] + Table2[[#This Row],[ActualHomeScore]] &gt;= 10, 1, 0)</f>
        <v>0</v>
      </c>
      <c r="AS536" s="2">
        <f>IF(ABS(Table2[[#This Row],[ActualAwayScore]]-Table2[[#This Row],[ActualHomeScore]])&gt;=5, 1, 0)</f>
        <v>0</v>
      </c>
      <c r="AT536" s="2">
        <f>IF(Table2[[#This Row],[ActualAwayScore]] + Table2[[#This Row],[ActualHomeScore]] &lt;= 3, 1, 0)</f>
        <v>1</v>
      </c>
      <c r="AU536" s="2"/>
      <c r="AV536" s="2"/>
    </row>
    <row r="537" spans="1:48" x14ac:dyDescent="0.25">
      <c r="A537" s="3"/>
      <c r="B537" s="3">
        <v>46010</v>
      </c>
      <c r="C537" s="5">
        <v>2025020535</v>
      </c>
      <c r="D537" s="2" t="s">
        <v>42</v>
      </c>
      <c r="E537" s="2" t="s">
        <v>28</v>
      </c>
      <c r="F537" s="2"/>
      <c r="G537" s="2"/>
      <c r="H537" s="2" t="str">
        <f t="shared" si="44"/>
        <v>_</v>
      </c>
      <c r="I537" s="2"/>
      <c r="J537" s="2"/>
      <c r="K537" s="2"/>
      <c r="L537" s="2" t="str">
        <f t="shared" si="45"/>
        <v>_</v>
      </c>
      <c r="M537" s="2"/>
      <c r="N537" s="2">
        <f>IF(ISBLANK(Table2[[#This Row],[ActualResult]]), 0, 1)</f>
        <v>0</v>
      </c>
      <c r="O537" s="2" t="str">
        <f>IF(ISBLANK(Table2[[#This Row],[ActualResult]]), "_", IF(Table2[[#This Row],[ActualWinner]]=Table2[[#This Row],[PredictedWinner]], "Y", "N"))</f>
        <v>_</v>
      </c>
      <c r="P5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7" s="2"/>
      <c r="S537" s="2" t="str">
        <f t="shared" si="46"/>
        <v>_</v>
      </c>
      <c r="T5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7" s="2">
        <f>IF(Table2[[#This Row],[InterConf]]=1,IF(Table2[[#This Row],[InterDiv]]=0, 1, 0), 0)</f>
        <v>1</v>
      </c>
      <c r="W5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7" s="2"/>
      <c r="Y537" s="2"/>
      <c r="Z537" s="145">
        <f>IF(AND(Table2[[#This Row],[GameIsOver]]=1,Table2[[#This Row],[ActualHomeScore]]*Table2[[#This Row],[ActualAwayScore]]=0), 1,0)</f>
        <v>0</v>
      </c>
      <c r="AA5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7" s="2">
        <f>Table2[[#This Row],[ActualAwayScore]]-Table2[[#This Row],[PredictedAwayScore]]</f>
        <v>0</v>
      </c>
      <c r="AG537" s="2">
        <f>Table2[[#This Row],[ActualHomeScore]]-Table2[[#This Row],[PredictedHomeScore]]</f>
        <v>0</v>
      </c>
      <c r="AH537" s="2">
        <f t="shared" si="47"/>
        <v>0</v>
      </c>
      <c r="AI537" s="2">
        <f t="shared" si="48"/>
        <v>0</v>
      </c>
      <c r="AJ537" s="2"/>
      <c r="AK537" s="3"/>
      <c r="AL537" s="2">
        <f>IF(Table2[[#This Row],[GameIsOver]]=0,0,IF(Table2[[#This Row],[ActualWinner]]=Table2[[#This Row],[AwayTeam]], 1, 0))</f>
        <v>0</v>
      </c>
      <c r="AM537" s="2">
        <f>IF(Table2[[#This Row],[GameIsOver]]=0,0,IF(Table2[[#This Row],[ActualWinner]]=Table2[[#This Row],[HomeTeam]], 1, 0))</f>
        <v>0</v>
      </c>
      <c r="AN5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7" s="2" t="str">
        <f>INDEX(Sheet5!$B$2:$AG$33, MATCH(Table2[[#This Row],[AwayTeam]],Sheet5!$A$2:$A$33, 0), MATCH(Table2[[#This Row],[HomeTeam]],Sheet5!$A$2:$A$33, 0))</f>
        <v>0-0-0</v>
      </c>
      <c r="AP537" s="2" t="str">
        <f>INDEX(Sheet5!$B$2:$AG$33, MATCH(Table2[[#This Row],[HomeTeam]],Sheet5!$A$2:$A$33, 0), MATCH(Table2[[#This Row],[AwayTeam]],Sheet5!$A$2:$A$33, 0))</f>
        <v>0-0-0</v>
      </c>
      <c r="AQ537" s="2">
        <f>IF(Table2[[#This Row],[GameHasShutOut]], 1, 0)</f>
        <v>0</v>
      </c>
      <c r="AR537" s="2">
        <f>IF(Table2[[#This Row],[ActualAwayScore]] + Table2[[#This Row],[ActualHomeScore]] &gt;= 10, 1, 0)</f>
        <v>0</v>
      </c>
      <c r="AS537" s="2">
        <f>IF(ABS(Table2[[#This Row],[ActualAwayScore]]-Table2[[#This Row],[ActualHomeScore]])&gt;=5, 1, 0)</f>
        <v>0</v>
      </c>
      <c r="AT537" s="2">
        <f>IF(Table2[[#This Row],[ActualAwayScore]] + Table2[[#This Row],[ActualHomeScore]] &lt;= 3, 1, 0)</f>
        <v>1</v>
      </c>
      <c r="AU537" s="2"/>
      <c r="AV537" s="2"/>
    </row>
    <row r="538" spans="1:48" x14ac:dyDescent="0.25">
      <c r="A538" s="3"/>
      <c r="B538" s="3">
        <v>46010</v>
      </c>
      <c r="C538" s="5">
        <v>2025020536</v>
      </c>
      <c r="D538" s="2" t="s">
        <v>16</v>
      </c>
      <c r="E538" s="2" t="s">
        <v>18</v>
      </c>
      <c r="F538" s="2"/>
      <c r="G538" s="2"/>
      <c r="H538" s="2" t="str">
        <f t="shared" si="44"/>
        <v>_</v>
      </c>
      <c r="I538" s="2"/>
      <c r="J538" s="2"/>
      <c r="K538" s="2"/>
      <c r="L538" s="2" t="str">
        <f t="shared" si="45"/>
        <v>_</v>
      </c>
      <c r="M538" s="2"/>
      <c r="N538" s="2">
        <f>IF(ISBLANK(Table2[[#This Row],[ActualResult]]), 0, 1)</f>
        <v>0</v>
      </c>
      <c r="O538" s="2" t="str">
        <f>IF(ISBLANK(Table2[[#This Row],[ActualResult]]), "_", IF(Table2[[#This Row],[ActualWinner]]=Table2[[#This Row],[PredictedWinner]], "Y", "N"))</f>
        <v>_</v>
      </c>
      <c r="P5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8" s="2"/>
      <c r="S538" s="2" t="str">
        <f t="shared" si="46"/>
        <v>_</v>
      </c>
      <c r="T5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8" s="2">
        <f>IF(Table2[[#This Row],[InterConf]]=1,IF(Table2[[#This Row],[InterDiv]]=0, 1, 0), 0)</f>
        <v>0</v>
      </c>
      <c r="W5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8" s="2"/>
      <c r="Y538" s="2"/>
      <c r="Z538" s="145">
        <f>IF(AND(Table2[[#This Row],[GameIsOver]]=1,Table2[[#This Row],[ActualHomeScore]]*Table2[[#This Row],[ActualAwayScore]]=0), 1,0)</f>
        <v>0</v>
      </c>
      <c r="AA5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8" s="2">
        <f>Table2[[#This Row],[ActualAwayScore]]-Table2[[#This Row],[PredictedAwayScore]]</f>
        <v>0</v>
      </c>
      <c r="AG538" s="2">
        <f>Table2[[#This Row],[ActualHomeScore]]-Table2[[#This Row],[PredictedHomeScore]]</f>
        <v>0</v>
      </c>
      <c r="AH538" s="2">
        <f t="shared" si="47"/>
        <v>0</v>
      </c>
      <c r="AI538" s="2">
        <f t="shared" si="48"/>
        <v>0</v>
      </c>
      <c r="AJ538" s="2"/>
      <c r="AK538" s="3"/>
      <c r="AL538" s="2">
        <f>IF(Table2[[#This Row],[GameIsOver]]=0,0,IF(Table2[[#This Row],[ActualWinner]]=Table2[[#This Row],[AwayTeam]], 1, 0))</f>
        <v>0</v>
      </c>
      <c r="AM538" s="2">
        <f>IF(Table2[[#This Row],[GameIsOver]]=0,0,IF(Table2[[#This Row],[ActualWinner]]=Table2[[#This Row],[HomeTeam]], 1, 0))</f>
        <v>0</v>
      </c>
      <c r="AN5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8" s="2" t="str">
        <f>INDEX(Sheet5!$B$2:$AG$33, MATCH(Table2[[#This Row],[AwayTeam]],Sheet5!$A$2:$A$33, 0), MATCH(Table2[[#This Row],[HomeTeam]],Sheet5!$A$2:$A$33, 0))</f>
        <v>0-1-0</v>
      </c>
      <c r="AP538" s="2" t="str">
        <f>INDEX(Sheet5!$B$2:$AG$33, MATCH(Table2[[#This Row],[HomeTeam]],Sheet5!$A$2:$A$33, 0), MATCH(Table2[[#This Row],[AwayTeam]],Sheet5!$A$2:$A$33, 0))</f>
        <v>1-0-0</v>
      </c>
      <c r="AQ538" s="2">
        <f>IF(Table2[[#This Row],[GameHasShutOut]], 1, 0)</f>
        <v>0</v>
      </c>
      <c r="AR538" s="2">
        <f>IF(Table2[[#This Row],[ActualAwayScore]] + Table2[[#This Row],[ActualHomeScore]] &gt;= 10, 1, 0)</f>
        <v>0</v>
      </c>
      <c r="AS538" s="2">
        <f>IF(ABS(Table2[[#This Row],[ActualAwayScore]]-Table2[[#This Row],[ActualHomeScore]])&gt;=5, 1, 0)</f>
        <v>0</v>
      </c>
      <c r="AT538" s="2">
        <f>IF(Table2[[#This Row],[ActualAwayScore]] + Table2[[#This Row],[ActualHomeScore]] &lt;= 3, 1, 0)</f>
        <v>1</v>
      </c>
      <c r="AU538" s="2"/>
      <c r="AV538" s="2"/>
    </row>
    <row r="539" spans="1:48" x14ac:dyDescent="0.25">
      <c r="A539" s="3"/>
      <c r="B539" s="3">
        <v>46010</v>
      </c>
      <c r="C539" s="5">
        <v>2025020537</v>
      </c>
      <c r="D539" s="2" t="s">
        <v>20</v>
      </c>
      <c r="E539" s="2" t="s">
        <v>29</v>
      </c>
      <c r="F539" s="2"/>
      <c r="G539" s="2"/>
      <c r="H539" s="2" t="str">
        <f t="shared" si="44"/>
        <v>_</v>
      </c>
      <c r="I539" s="2"/>
      <c r="J539" s="2"/>
      <c r="K539" s="2"/>
      <c r="L539" s="2" t="str">
        <f t="shared" si="45"/>
        <v>_</v>
      </c>
      <c r="M539" s="2"/>
      <c r="N539" s="2">
        <f>IF(ISBLANK(Table2[[#This Row],[ActualResult]]), 0, 1)</f>
        <v>0</v>
      </c>
      <c r="O539" s="2" t="str">
        <f>IF(ISBLANK(Table2[[#This Row],[ActualResult]]), "_", IF(Table2[[#This Row],[ActualWinner]]=Table2[[#This Row],[PredictedWinner]], "Y", "N"))</f>
        <v>_</v>
      </c>
      <c r="P5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9" s="2"/>
      <c r="S539" s="2" t="str">
        <f t="shared" si="46"/>
        <v>_</v>
      </c>
      <c r="T5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9" s="2">
        <f>IF(Table2[[#This Row],[InterConf]]=1,IF(Table2[[#This Row],[InterDiv]]=0, 1, 0), 0)</f>
        <v>1</v>
      </c>
      <c r="W5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9" s="2"/>
      <c r="Y539" s="2"/>
      <c r="Z539" s="145">
        <f>IF(AND(Table2[[#This Row],[GameIsOver]]=1,Table2[[#This Row],[ActualHomeScore]]*Table2[[#This Row],[ActualAwayScore]]=0), 1,0)</f>
        <v>0</v>
      </c>
      <c r="AA5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9" s="2">
        <f>Table2[[#This Row],[ActualAwayScore]]-Table2[[#This Row],[PredictedAwayScore]]</f>
        <v>0</v>
      </c>
      <c r="AG539" s="2">
        <f>Table2[[#This Row],[ActualHomeScore]]-Table2[[#This Row],[PredictedHomeScore]]</f>
        <v>0</v>
      </c>
      <c r="AH539" s="2">
        <f t="shared" si="47"/>
        <v>0</v>
      </c>
      <c r="AI539" s="2">
        <f t="shared" si="48"/>
        <v>0</v>
      </c>
      <c r="AJ539" s="2"/>
      <c r="AK539" s="3"/>
      <c r="AL539" s="2">
        <f>IF(Table2[[#This Row],[GameIsOver]]=0,0,IF(Table2[[#This Row],[ActualWinner]]=Table2[[#This Row],[AwayTeam]], 1, 0))</f>
        <v>0</v>
      </c>
      <c r="AM539" s="2">
        <f>IF(Table2[[#This Row],[GameIsOver]]=0,0,IF(Table2[[#This Row],[ActualWinner]]=Table2[[#This Row],[HomeTeam]], 1, 0))</f>
        <v>0</v>
      </c>
      <c r="AN5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9" s="2" t="str">
        <f>INDEX(Sheet5!$B$2:$AG$33, MATCH(Table2[[#This Row],[AwayTeam]],Sheet5!$A$2:$A$33, 0), MATCH(Table2[[#This Row],[HomeTeam]],Sheet5!$A$2:$A$33, 0))</f>
        <v>0-0-0</v>
      </c>
      <c r="AP539" s="2" t="str">
        <f>INDEX(Sheet5!$B$2:$AG$33, MATCH(Table2[[#This Row],[HomeTeam]],Sheet5!$A$2:$A$33, 0), MATCH(Table2[[#This Row],[AwayTeam]],Sheet5!$A$2:$A$33, 0))</f>
        <v>0-0-0</v>
      </c>
      <c r="AQ539" s="2">
        <f>IF(Table2[[#This Row],[GameHasShutOut]], 1, 0)</f>
        <v>0</v>
      </c>
      <c r="AR539" s="2">
        <f>IF(Table2[[#This Row],[ActualAwayScore]] + Table2[[#This Row],[ActualHomeScore]] &gt;= 10, 1, 0)</f>
        <v>0</v>
      </c>
      <c r="AS539" s="2">
        <f>IF(ABS(Table2[[#This Row],[ActualAwayScore]]-Table2[[#This Row],[ActualHomeScore]])&gt;=5, 1, 0)</f>
        <v>0</v>
      </c>
      <c r="AT539" s="2">
        <f>IF(Table2[[#This Row],[ActualAwayScore]] + Table2[[#This Row],[ActualHomeScore]] &lt;= 3, 1, 0)</f>
        <v>1</v>
      </c>
      <c r="AU539" s="2"/>
      <c r="AV539" s="2"/>
    </row>
    <row r="540" spans="1:48" x14ac:dyDescent="0.25">
      <c r="A540" s="3"/>
      <c r="B540" s="3">
        <v>46010</v>
      </c>
      <c r="C540" s="5">
        <v>2025020538</v>
      </c>
      <c r="D540" s="2" t="s">
        <v>27</v>
      </c>
      <c r="E540" s="2" t="s">
        <v>40</v>
      </c>
      <c r="F540" s="2"/>
      <c r="G540" s="2"/>
      <c r="H540" s="2" t="str">
        <f t="shared" si="44"/>
        <v>_</v>
      </c>
      <c r="I540" s="2"/>
      <c r="J540" s="2"/>
      <c r="K540" s="2"/>
      <c r="L540" s="2" t="str">
        <f t="shared" si="45"/>
        <v>_</v>
      </c>
      <c r="M540" s="2"/>
      <c r="N540" s="2">
        <f>IF(ISBLANK(Table2[[#This Row],[ActualResult]]), 0, 1)</f>
        <v>0</v>
      </c>
      <c r="O540" s="2" t="str">
        <f>IF(ISBLANK(Table2[[#This Row],[ActualResult]]), "_", IF(Table2[[#This Row],[ActualWinner]]=Table2[[#This Row],[PredictedWinner]], "Y", "N"))</f>
        <v>_</v>
      </c>
      <c r="P5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0" s="2"/>
      <c r="S540" s="2" t="str">
        <f t="shared" si="46"/>
        <v>_</v>
      </c>
      <c r="T5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0" s="2">
        <f>IF(Table2[[#This Row],[InterConf]]=1,IF(Table2[[#This Row],[InterDiv]]=0, 1, 0), 0)</f>
        <v>0</v>
      </c>
      <c r="W5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0" s="2"/>
      <c r="Y540" s="2"/>
      <c r="Z540" s="145">
        <f>IF(AND(Table2[[#This Row],[GameIsOver]]=1,Table2[[#This Row],[ActualHomeScore]]*Table2[[#This Row],[ActualAwayScore]]=0), 1,0)</f>
        <v>0</v>
      </c>
      <c r="AA5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0" s="2">
        <f>Table2[[#This Row],[ActualAwayScore]]-Table2[[#This Row],[PredictedAwayScore]]</f>
        <v>0</v>
      </c>
      <c r="AG540" s="2">
        <f>Table2[[#This Row],[ActualHomeScore]]-Table2[[#This Row],[PredictedHomeScore]]</f>
        <v>0</v>
      </c>
      <c r="AH540" s="2">
        <f t="shared" si="47"/>
        <v>0</v>
      </c>
      <c r="AI540" s="2">
        <f t="shared" si="48"/>
        <v>0</v>
      </c>
      <c r="AJ540" s="2"/>
      <c r="AK540" s="3"/>
      <c r="AL540" s="2">
        <f>IF(Table2[[#This Row],[GameIsOver]]=0,0,IF(Table2[[#This Row],[ActualWinner]]=Table2[[#This Row],[AwayTeam]], 1, 0))</f>
        <v>0</v>
      </c>
      <c r="AM540" s="2">
        <f>IF(Table2[[#This Row],[GameIsOver]]=0,0,IF(Table2[[#This Row],[ActualWinner]]=Table2[[#This Row],[HomeTeam]], 1, 0))</f>
        <v>0</v>
      </c>
      <c r="AN540" s="2">
        <f>IF(IFERROR(FIND(Table2[[#This Row],[AwayTeam]], _xlfn.TEXTJOIN(";", 1, $BD$31:$BD$40)), 0) &gt; 0, 1, 0) + IF(IFERROR(FIND(Table2[[#This Row],[HomeTeam]], _xlfn.TEXTJOIN(";", 1, $BD$31:$BD$40)), 0) &gt; 0, 1, 0)</f>
        <v>1</v>
      </c>
      <c r="AO540" s="2" t="str">
        <f>INDEX(Sheet5!$B$2:$AG$33, MATCH(Table2[[#This Row],[AwayTeam]],Sheet5!$A$2:$A$33, 0), MATCH(Table2[[#This Row],[HomeTeam]],Sheet5!$A$2:$A$33, 0))</f>
        <v>0-0-0</v>
      </c>
      <c r="AP540" s="2" t="str">
        <f>INDEX(Sheet5!$B$2:$AG$33, MATCH(Table2[[#This Row],[HomeTeam]],Sheet5!$A$2:$A$33, 0), MATCH(Table2[[#This Row],[AwayTeam]],Sheet5!$A$2:$A$33, 0))</f>
        <v>0-0-0</v>
      </c>
      <c r="AQ540" s="2">
        <f>IF(Table2[[#This Row],[GameHasShutOut]], 1, 0)</f>
        <v>0</v>
      </c>
      <c r="AR540" s="2">
        <f>IF(Table2[[#This Row],[ActualAwayScore]] + Table2[[#This Row],[ActualHomeScore]] &gt;= 10, 1, 0)</f>
        <v>0</v>
      </c>
      <c r="AS540" s="2">
        <f>IF(ABS(Table2[[#This Row],[ActualAwayScore]]-Table2[[#This Row],[ActualHomeScore]])&gt;=5, 1, 0)</f>
        <v>0</v>
      </c>
      <c r="AT540" s="2">
        <f>IF(Table2[[#This Row],[ActualAwayScore]] + Table2[[#This Row],[ActualHomeScore]] &lt;= 3, 1, 0)</f>
        <v>1</v>
      </c>
      <c r="AU540" s="2"/>
      <c r="AV540" s="2"/>
    </row>
    <row r="541" spans="1:48" x14ac:dyDescent="0.25">
      <c r="A541" s="3"/>
      <c r="B541" s="3">
        <v>46010</v>
      </c>
      <c r="C541" s="5">
        <v>2025020539</v>
      </c>
      <c r="D541" s="2" t="s">
        <v>17</v>
      </c>
      <c r="E541" s="2" t="s">
        <v>43</v>
      </c>
      <c r="F541" s="2"/>
      <c r="G541" s="2"/>
      <c r="H541" s="2" t="str">
        <f t="shared" si="44"/>
        <v>_</v>
      </c>
      <c r="I541" s="2"/>
      <c r="J541" s="2"/>
      <c r="K541" s="2"/>
      <c r="L541" s="2" t="str">
        <f t="shared" si="45"/>
        <v>_</v>
      </c>
      <c r="M541" s="2"/>
      <c r="N541" s="2">
        <f>IF(ISBLANK(Table2[[#This Row],[ActualResult]]), 0, 1)</f>
        <v>0</v>
      </c>
      <c r="O541" s="2" t="str">
        <f>IF(ISBLANK(Table2[[#This Row],[ActualResult]]), "_", IF(Table2[[#This Row],[ActualWinner]]=Table2[[#This Row],[PredictedWinner]], "Y", "N"))</f>
        <v>_</v>
      </c>
      <c r="P5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1" s="2"/>
      <c r="S541" s="2" t="str">
        <f t="shared" si="46"/>
        <v>_</v>
      </c>
      <c r="T5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1" s="2">
        <f>IF(Table2[[#This Row],[InterConf]]=1,IF(Table2[[#This Row],[InterDiv]]=0, 1, 0), 0)</f>
        <v>1</v>
      </c>
      <c r="W5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1" s="2"/>
      <c r="Y541" s="2"/>
      <c r="Z541" s="145">
        <f>IF(AND(Table2[[#This Row],[GameIsOver]]=1,Table2[[#This Row],[ActualHomeScore]]*Table2[[#This Row],[ActualAwayScore]]=0), 1,0)</f>
        <v>0</v>
      </c>
      <c r="AA5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1" s="2">
        <f>Table2[[#This Row],[ActualAwayScore]]-Table2[[#This Row],[PredictedAwayScore]]</f>
        <v>0</v>
      </c>
      <c r="AG541" s="2">
        <f>Table2[[#This Row],[ActualHomeScore]]-Table2[[#This Row],[PredictedHomeScore]]</f>
        <v>0</v>
      </c>
      <c r="AH541" s="2">
        <f t="shared" si="47"/>
        <v>0</v>
      </c>
      <c r="AI541" s="2">
        <f t="shared" si="48"/>
        <v>0</v>
      </c>
      <c r="AJ541" s="2"/>
      <c r="AK541" s="3"/>
      <c r="AL541" s="2">
        <f>IF(Table2[[#This Row],[GameIsOver]]=0,0,IF(Table2[[#This Row],[ActualWinner]]=Table2[[#This Row],[AwayTeam]], 1, 0))</f>
        <v>0</v>
      </c>
      <c r="AM541" s="2">
        <f>IF(Table2[[#This Row],[GameIsOver]]=0,0,IF(Table2[[#This Row],[ActualWinner]]=Table2[[#This Row],[HomeTeam]], 1, 0))</f>
        <v>0</v>
      </c>
      <c r="AN5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1" s="2" t="str">
        <f>INDEX(Sheet5!$B$2:$AG$33, MATCH(Table2[[#This Row],[AwayTeam]],Sheet5!$A$2:$A$33, 0), MATCH(Table2[[#This Row],[HomeTeam]],Sheet5!$A$2:$A$33, 0))</f>
        <v>0-0-0</v>
      </c>
      <c r="AP541" s="2" t="str">
        <f>INDEX(Sheet5!$B$2:$AG$33, MATCH(Table2[[#This Row],[HomeTeam]],Sheet5!$A$2:$A$33, 0), MATCH(Table2[[#This Row],[AwayTeam]],Sheet5!$A$2:$A$33, 0))</f>
        <v>0-0-0</v>
      </c>
      <c r="AQ541" s="2">
        <f>IF(Table2[[#This Row],[GameHasShutOut]], 1, 0)</f>
        <v>0</v>
      </c>
      <c r="AR541" s="2">
        <f>IF(Table2[[#This Row],[ActualAwayScore]] + Table2[[#This Row],[ActualHomeScore]] &gt;= 10, 1, 0)</f>
        <v>0</v>
      </c>
      <c r="AS541" s="2">
        <f>IF(ABS(Table2[[#This Row],[ActualAwayScore]]-Table2[[#This Row],[ActualHomeScore]])&gt;=5, 1, 0)</f>
        <v>0</v>
      </c>
      <c r="AT541" s="2">
        <f>IF(Table2[[#This Row],[ActualAwayScore]] + Table2[[#This Row],[ActualHomeScore]] &lt;= 3, 1, 0)</f>
        <v>1</v>
      </c>
      <c r="AU541" s="2"/>
      <c r="AV541" s="2"/>
    </row>
    <row r="542" spans="1:48" x14ac:dyDescent="0.25">
      <c r="A542" s="3"/>
      <c r="B542" s="3">
        <v>46010</v>
      </c>
      <c r="C542" s="5">
        <v>2025020540</v>
      </c>
      <c r="D542" s="2" t="s">
        <v>36</v>
      </c>
      <c r="E542" s="2" t="s">
        <v>35</v>
      </c>
      <c r="F542" s="2"/>
      <c r="G542" s="2"/>
      <c r="H542" s="2" t="str">
        <f t="shared" si="44"/>
        <v>_</v>
      </c>
      <c r="I542" s="2"/>
      <c r="J542" s="2"/>
      <c r="K542" s="2"/>
      <c r="L542" s="2" t="str">
        <f t="shared" si="45"/>
        <v>_</v>
      </c>
      <c r="M542" s="2"/>
      <c r="N542" s="2">
        <f>IF(ISBLANK(Table2[[#This Row],[ActualResult]]), 0, 1)</f>
        <v>0</v>
      </c>
      <c r="O542" s="2" t="str">
        <f>IF(ISBLANK(Table2[[#This Row],[ActualResult]]), "_", IF(Table2[[#This Row],[ActualWinner]]=Table2[[#This Row],[PredictedWinner]], "Y", "N"))</f>
        <v>_</v>
      </c>
      <c r="P5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2" s="2"/>
      <c r="S542" s="2" t="str">
        <f t="shared" si="46"/>
        <v>_</v>
      </c>
      <c r="T5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2" s="2">
        <f>IF(Table2[[#This Row],[InterConf]]=1,IF(Table2[[#This Row],[InterDiv]]=0, 1, 0), 0)</f>
        <v>0</v>
      </c>
      <c r="W5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2" s="2"/>
      <c r="Y542" s="2"/>
      <c r="Z542" s="145">
        <f>IF(AND(Table2[[#This Row],[GameIsOver]]=1,Table2[[#This Row],[ActualHomeScore]]*Table2[[#This Row],[ActualAwayScore]]=0), 1,0)</f>
        <v>0</v>
      </c>
      <c r="AA5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2" s="2">
        <f>Table2[[#This Row],[ActualAwayScore]]-Table2[[#This Row],[PredictedAwayScore]]</f>
        <v>0</v>
      </c>
      <c r="AG542" s="2">
        <f>Table2[[#This Row],[ActualHomeScore]]-Table2[[#This Row],[PredictedHomeScore]]</f>
        <v>0</v>
      </c>
      <c r="AH542" s="2">
        <f t="shared" si="47"/>
        <v>0</v>
      </c>
      <c r="AI542" s="2">
        <f t="shared" si="48"/>
        <v>0</v>
      </c>
      <c r="AJ542" s="2"/>
      <c r="AK542" s="3"/>
      <c r="AL542" s="2">
        <f>IF(Table2[[#This Row],[GameIsOver]]=0,0,IF(Table2[[#This Row],[ActualWinner]]=Table2[[#This Row],[AwayTeam]], 1, 0))</f>
        <v>0</v>
      </c>
      <c r="AM542" s="2">
        <f>IF(Table2[[#This Row],[GameIsOver]]=0,0,IF(Table2[[#This Row],[ActualWinner]]=Table2[[#This Row],[HomeTeam]], 1, 0))</f>
        <v>0</v>
      </c>
      <c r="AN5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2" s="2" t="str">
        <f>INDEX(Sheet5!$B$2:$AG$33, MATCH(Table2[[#This Row],[AwayTeam]],Sheet5!$A$2:$A$33, 0), MATCH(Table2[[#This Row],[HomeTeam]],Sheet5!$A$2:$A$33, 0))</f>
        <v>0-1-0</v>
      </c>
      <c r="AP542" s="2" t="str">
        <f>INDEX(Sheet5!$B$2:$AG$33, MATCH(Table2[[#This Row],[HomeTeam]],Sheet5!$A$2:$A$33, 0), MATCH(Table2[[#This Row],[AwayTeam]],Sheet5!$A$2:$A$33, 0))</f>
        <v>1-0-0</v>
      </c>
      <c r="AQ542" s="2">
        <f>IF(Table2[[#This Row],[GameHasShutOut]], 1, 0)</f>
        <v>0</v>
      </c>
      <c r="AR542" s="2">
        <f>IF(Table2[[#This Row],[ActualAwayScore]] + Table2[[#This Row],[ActualHomeScore]] &gt;= 10, 1, 0)</f>
        <v>0</v>
      </c>
      <c r="AS542" s="2">
        <f>IF(ABS(Table2[[#This Row],[ActualAwayScore]]-Table2[[#This Row],[ActualHomeScore]])&gt;=5, 1, 0)</f>
        <v>0</v>
      </c>
      <c r="AT542" s="2">
        <f>IF(Table2[[#This Row],[ActualAwayScore]] + Table2[[#This Row],[ActualHomeScore]] &lt;= 3, 1, 0)</f>
        <v>1</v>
      </c>
      <c r="AU542" s="2"/>
      <c r="AV542" s="2"/>
    </row>
    <row r="543" spans="1:48" x14ac:dyDescent="0.25">
      <c r="A543" s="3"/>
      <c r="B543" s="3">
        <v>46010</v>
      </c>
      <c r="C543" s="5">
        <v>2025020541</v>
      </c>
      <c r="D543" s="2" t="s">
        <v>19</v>
      </c>
      <c r="E543" s="2" t="s">
        <v>12</v>
      </c>
      <c r="F543" s="2"/>
      <c r="G543" s="2"/>
      <c r="H543" s="2" t="str">
        <f t="shared" si="44"/>
        <v>_</v>
      </c>
      <c r="I543" s="2"/>
      <c r="J543" s="2"/>
      <c r="K543" s="2"/>
      <c r="L543" s="2" t="str">
        <f t="shared" si="45"/>
        <v>_</v>
      </c>
      <c r="M543" s="2"/>
      <c r="N543" s="2">
        <f>IF(ISBLANK(Table2[[#This Row],[ActualResult]]), 0, 1)</f>
        <v>0</v>
      </c>
      <c r="O543" s="2" t="str">
        <f>IF(ISBLANK(Table2[[#This Row],[ActualResult]]), "_", IF(Table2[[#This Row],[ActualWinner]]=Table2[[#This Row],[PredictedWinner]], "Y", "N"))</f>
        <v>_</v>
      </c>
      <c r="P5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3" s="2"/>
      <c r="S543" s="2" t="str">
        <f t="shared" si="46"/>
        <v>_</v>
      </c>
      <c r="T5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3" s="2">
        <f>IF(Table2[[#This Row],[InterConf]]=1,IF(Table2[[#This Row],[InterDiv]]=0, 1, 0), 0)</f>
        <v>0</v>
      </c>
      <c r="W5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3" s="2"/>
      <c r="Y543" s="2"/>
      <c r="Z543" s="145">
        <f>IF(AND(Table2[[#This Row],[GameIsOver]]=1,Table2[[#This Row],[ActualHomeScore]]*Table2[[#This Row],[ActualAwayScore]]=0), 1,0)</f>
        <v>0</v>
      </c>
      <c r="AA5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3" s="2">
        <f>Table2[[#This Row],[ActualAwayScore]]-Table2[[#This Row],[PredictedAwayScore]]</f>
        <v>0</v>
      </c>
      <c r="AG543" s="2">
        <f>Table2[[#This Row],[ActualHomeScore]]-Table2[[#This Row],[PredictedHomeScore]]</f>
        <v>0</v>
      </c>
      <c r="AH543" s="2">
        <f t="shared" si="47"/>
        <v>0</v>
      </c>
      <c r="AI543" s="2">
        <f t="shared" si="48"/>
        <v>0</v>
      </c>
      <c r="AJ543" s="2"/>
      <c r="AK543" s="3"/>
      <c r="AL543" s="2">
        <f>IF(Table2[[#This Row],[GameIsOver]]=0,0,IF(Table2[[#This Row],[ActualWinner]]=Table2[[#This Row],[AwayTeam]], 1, 0))</f>
        <v>0</v>
      </c>
      <c r="AM543" s="2">
        <f>IF(Table2[[#This Row],[GameIsOver]]=0,0,IF(Table2[[#This Row],[ActualWinner]]=Table2[[#This Row],[HomeTeam]], 1, 0))</f>
        <v>0</v>
      </c>
      <c r="AN5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3" s="2" t="str">
        <f>INDEX(Sheet5!$B$2:$AG$33, MATCH(Table2[[#This Row],[AwayTeam]],Sheet5!$A$2:$A$33, 0), MATCH(Table2[[#This Row],[HomeTeam]],Sheet5!$A$2:$A$33, 0))</f>
        <v>0-0-0</v>
      </c>
      <c r="AP543" s="2" t="str">
        <f>INDEX(Sheet5!$B$2:$AG$33, MATCH(Table2[[#This Row],[HomeTeam]],Sheet5!$A$2:$A$33, 0), MATCH(Table2[[#This Row],[AwayTeam]],Sheet5!$A$2:$A$33, 0))</f>
        <v>0-0-0</v>
      </c>
      <c r="AQ543" s="2">
        <f>IF(Table2[[#This Row],[GameHasShutOut]], 1, 0)</f>
        <v>0</v>
      </c>
      <c r="AR543" s="2">
        <f>IF(Table2[[#This Row],[ActualAwayScore]] + Table2[[#This Row],[ActualHomeScore]] &gt;= 10, 1, 0)</f>
        <v>0</v>
      </c>
      <c r="AS543" s="2">
        <f>IF(ABS(Table2[[#This Row],[ActualAwayScore]]-Table2[[#This Row],[ActualHomeScore]])&gt;=5, 1, 0)</f>
        <v>0</v>
      </c>
      <c r="AT543" s="2">
        <f>IF(Table2[[#This Row],[ActualAwayScore]] + Table2[[#This Row],[ActualHomeScore]] &lt;= 3, 1, 0)</f>
        <v>1</v>
      </c>
      <c r="AU543" s="2"/>
      <c r="AV543" s="2"/>
    </row>
    <row r="544" spans="1:48" x14ac:dyDescent="0.25">
      <c r="A544" s="3"/>
      <c r="B544" s="3">
        <v>46010</v>
      </c>
      <c r="C544" s="5">
        <v>2025020542</v>
      </c>
      <c r="D544" s="2" t="s">
        <v>11</v>
      </c>
      <c r="E544" s="2" t="s">
        <v>23</v>
      </c>
      <c r="F544" s="2"/>
      <c r="G544" s="2"/>
      <c r="H544" s="2" t="str">
        <f t="shared" si="44"/>
        <v>_</v>
      </c>
      <c r="I544" s="2"/>
      <c r="J544" s="2"/>
      <c r="K544" s="2"/>
      <c r="L544" s="2" t="str">
        <f t="shared" si="45"/>
        <v>_</v>
      </c>
      <c r="M544" s="2"/>
      <c r="N544" s="2">
        <f>IF(ISBLANK(Table2[[#This Row],[ActualResult]]), 0, 1)</f>
        <v>0</v>
      </c>
      <c r="O544" s="2" t="str">
        <f>IF(ISBLANK(Table2[[#This Row],[ActualResult]]), "_", IF(Table2[[#This Row],[ActualWinner]]=Table2[[#This Row],[PredictedWinner]], "Y", "N"))</f>
        <v>_</v>
      </c>
      <c r="P5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4" s="2"/>
      <c r="S544" s="2" t="str">
        <f t="shared" si="46"/>
        <v>_</v>
      </c>
      <c r="T5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44" s="2">
        <f>IF(Table2[[#This Row],[InterConf]]=1,IF(Table2[[#This Row],[InterDiv]]=0, 1, 0), 0)</f>
        <v>0</v>
      </c>
      <c r="W5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4" s="2"/>
      <c r="Y544" s="2"/>
      <c r="Z544" s="145">
        <f>IF(AND(Table2[[#This Row],[GameIsOver]]=1,Table2[[#This Row],[ActualHomeScore]]*Table2[[#This Row],[ActualAwayScore]]=0), 1,0)</f>
        <v>0</v>
      </c>
      <c r="AA5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4" s="2">
        <f>Table2[[#This Row],[ActualAwayScore]]-Table2[[#This Row],[PredictedAwayScore]]</f>
        <v>0</v>
      </c>
      <c r="AG544" s="2">
        <f>Table2[[#This Row],[ActualHomeScore]]-Table2[[#This Row],[PredictedHomeScore]]</f>
        <v>0</v>
      </c>
      <c r="AH544" s="2">
        <f t="shared" si="47"/>
        <v>0</v>
      </c>
      <c r="AI544" s="2">
        <f t="shared" si="48"/>
        <v>0</v>
      </c>
      <c r="AJ544" s="2"/>
      <c r="AK544" s="3"/>
      <c r="AL544" s="2">
        <f>IF(Table2[[#This Row],[GameIsOver]]=0,0,IF(Table2[[#This Row],[ActualWinner]]=Table2[[#This Row],[AwayTeam]], 1, 0))</f>
        <v>0</v>
      </c>
      <c r="AM544" s="2">
        <f>IF(Table2[[#This Row],[GameIsOver]]=0,0,IF(Table2[[#This Row],[ActualWinner]]=Table2[[#This Row],[HomeTeam]], 1, 0))</f>
        <v>0</v>
      </c>
      <c r="AN5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4" s="2" t="str">
        <f>INDEX(Sheet5!$B$2:$AG$33, MATCH(Table2[[#This Row],[AwayTeam]],Sheet5!$A$2:$A$33, 0), MATCH(Table2[[#This Row],[HomeTeam]],Sheet5!$A$2:$A$33, 0))</f>
        <v>0-0-0</v>
      </c>
      <c r="AP544" s="2" t="str">
        <f>INDEX(Sheet5!$B$2:$AG$33, MATCH(Table2[[#This Row],[HomeTeam]],Sheet5!$A$2:$A$33, 0), MATCH(Table2[[#This Row],[AwayTeam]],Sheet5!$A$2:$A$33, 0))</f>
        <v>0-0-0</v>
      </c>
      <c r="AQ544" s="2">
        <f>IF(Table2[[#This Row],[GameHasShutOut]], 1, 0)</f>
        <v>0</v>
      </c>
      <c r="AR544" s="2">
        <f>IF(Table2[[#This Row],[ActualAwayScore]] + Table2[[#This Row],[ActualHomeScore]] &gt;= 10, 1, 0)</f>
        <v>0</v>
      </c>
      <c r="AS544" s="2">
        <f>IF(ABS(Table2[[#This Row],[ActualAwayScore]]-Table2[[#This Row],[ActualHomeScore]])&gt;=5, 1, 0)</f>
        <v>0</v>
      </c>
      <c r="AT544" s="2">
        <f>IF(Table2[[#This Row],[ActualAwayScore]] + Table2[[#This Row],[ActualHomeScore]] &lt;= 3, 1, 0)</f>
        <v>1</v>
      </c>
      <c r="AU544" s="2"/>
      <c r="AV544" s="2"/>
    </row>
    <row r="545" spans="1:48" x14ac:dyDescent="0.25">
      <c r="A545" s="3"/>
      <c r="B545" s="3">
        <v>46010</v>
      </c>
      <c r="C545" s="5">
        <v>2025020543</v>
      </c>
      <c r="D545" s="2" t="s">
        <v>33</v>
      </c>
      <c r="E545" s="2" t="s">
        <v>37</v>
      </c>
      <c r="F545" s="2"/>
      <c r="G545" s="2"/>
      <c r="H545" s="2" t="str">
        <f t="shared" si="44"/>
        <v>_</v>
      </c>
      <c r="I545" s="2"/>
      <c r="J545" s="2"/>
      <c r="K545" s="2"/>
      <c r="L545" s="2" t="str">
        <f t="shared" si="45"/>
        <v>_</v>
      </c>
      <c r="M545" s="2"/>
      <c r="N545" s="2">
        <f>IF(ISBLANK(Table2[[#This Row],[ActualResult]]), 0, 1)</f>
        <v>0</v>
      </c>
      <c r="O545" s="2" t="str">
        <f>IF(ISBLANK(Table2[[#This Row],[ActualResult]]), "_", IF(Table2[[#This Row],[ActualWinner]]=Table2[[#This Row],[PredictedWinner]], "Y", "N"))</f>
        <v>_</v>
      </c>
      <c r="P5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5" s="2"/>
      <c r="S545" s="2" t="str">
        <f t="shared" si="46"/>
        <v>_</v>
      </c>
      <c r="T5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5" s="2">
        <f>IF(Table2[[#This Row],[InterConf]]=1,IF(Table2[[#This Row],[InterDiv]]=0, 1, 0), 0)</f>
        <v>1</v>
      </c>
      <c r="W5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5" s="2"/>
      <c r="Y545" s="2"/>
      <c r="Z545" s="145">
        <f>IF(AND(Table2[[#This Row],[GameIsOver]]=1,Table2[[#This Row],[ActualHomeScore]]*Table2[[#This Row],[ActualAwayScore]]=0), 1,0)</f>
        <v>0</v>
      </c>
      <c r="AA5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5" s="2">
        <f>Table2[[#This Row],[ActualAwayScore]]-Table2[[#This Row],[PredictedAwayScore]]</f>
        <v>0</v>
      </c>
      <c r="AG545" s="2">
        <f>Table2[[#This Row],[ActualHomeScore]]-Table2[[#This Row],[PredictedHomeScore]]</f>
        <v>0</v>
      </c>
      <c r="AH545" s="2">
        <f t="shared" si="47"/>
        <v>0</v>
      </c>
      <c r="AI545" s="2">
        <f t="shared" si="48"/>
        <v>0</v>
      </c>
      <c r="AJ545" s="2"/>
      <c r="AK545" s="3"/>
      <c r="AL545" s="2">
        <f>IF(Table2[[#This Row],[GameIsOver]]=0,0,IF(Table2[[#This Row],[ActualWinner]]=Table2[[#This Row],[AwayTeam]], 1, 0))</f>
        <v>0</v>
      </c>
      <c r="AM545" s="2">
        <f>IF(Table2[[#This Row],[GameIsOver]]=0,0,IF(Table2[[#This Row],[ActualWinner]]=Table2[[#This Row],[HomeTeam]], 1, 0))</f>
        <v>0</v>
      </c>
      <c r="AN5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5" s="2" t="str">
        <f>INDEX(Sheet5!$B$2:$AG$33, MATCH(Table2[[#This Row],[AwayTeam]],Sheet5!$A$2:$A$33, 0), MATCH(Table2[[#This Row],[HomeTeam]],Sheet5!$A$2:$A$33, 0))</f>
        <v>0-0-0</v>
      </c>
      <c r="AP545" s="2" t="str">
        <f>INDEX(Sheet5!$B$2:$AG$33, MATCH(Table2[[#This Row],[HomeTeam]],Sheet5!$A$2:$A$33, 0), MATCH(Table2[[#This Row],[AwayTeam]],Sheet5!$A$2:$A$33, 0))</f>
        <v>0-0-0</v>
      </c>
      <c r="AQ545" s="2">
        <f>IF(Table2[[#This Row],[GameHasShutOut]], 1, 0)</f>
        <v>0</v>
      </c>
      <c r="AR545" s="2">
        <f>IF(Table2[[#This Row],[ActualAwayScore]] + Table2[[#This Row],[ActualHomeScore]] &gt;= 10, 1, 0)</f>
        <v>0</v>
      </c>
      <c r="AS545" s="2">
        <f>IF(ABS(Table2[[#This Row],[ActualAwayScore]]-Table2[[#This Row],[ActualHomeScore]])&gt;=5, 1, 0)</f>
        <v>0</v>
      </c>
      <c r="AT545" s="2">
        <f>IF(Table2[[#This Row],[ActualAwayScore]] + Table2[[#This Row],[ActualHomeScore]] &lt;= 3, 1, 0)</f>
        <v>1</v>
      </c>
      <c r="AU545" s="2"/>
      <c r="AV545" s="2"/>
    </row>
    <row r="546" spans="1:48" x14ac:dyDescent="0.25">
      <c r="A546" s="3"/>
      <c r="B546" s="3">
        <v>46011</v>
      </c>
      <c r="C546" s="5">
        <v>2025020544</v>
      </c>
      <c r="D546" s="2" t="s">
        <v>41</v>
      </c>
      <c r="E546" s="2" t="s">
        <v>13</v>
      </c>
      <c r="F546" s="2"/>
      <c r="G546" s="2"/>
      <c r="H546" s="2" t="str">
        <f t="shared" si="44"/>
        <v>_</v>
      </c>
      <c r="I546" s="2"/>
      <c r="J546" s="2"/>
      <c r="K546" s="2"/>
      <c r="L546" s="2" t="str">
        <f t="shared" si="45"/>
        <v>_</v>
      </c>
      <c r="M546" s="2"/>
      <c r="N546" s="2">
        <f>IF(ISBLANK(Table2[[#This Row],[ActualResult]]), 0, 1)</f>
        <v>0</v>
      </c>
      <c r="O546" s="2" t="str">
        <f>IF(ISBLANK(Table2[[#This Row],[ActualResult]]), "_", IF(Table2[[#This Row],[ActualWinner]]=Table2[[#This Row],[PredictedWinner]], "Y", "N"))</f>
        <v>_</v>
      </c>
      <c r="P5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6" s="2"/>
      <c r="S546" s="2" t="str">
        <f t="shared" si="46"/>
        <v>_</v>
      </c>
      <c r="T5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6" s="2">
        <f>IF(Table2[[#This Row],[InterConf]]=1,IF(Table2[[#This Row],[InterDiv]]=0, 1, 0), 0)</f>
        <v>1</v>
      </c>
      <c r="W5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6" s="2"/>
      <c r="Y546" s="2"/>
      <c r="Z546" s="145">
        <f>IF(AND(Table2[[#This Row],[GameIsOver]]=1,Table2[[#This Row],[ActualHomeScore]]*Table2[[#This Row],[ActualAwayScore]]=0), 1,0)</f>
        <v>0</v>
      </c>
      <c r="AA5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6" s="2">
        <f>Table2[[#This Row],[ActualAwayScore]]-Table2[[#This Row],[PredictedAwayScore]]</f>
        <v>0</v>
      </c>
      <c r="AG546" s="2">
        <f>Table2[[#This Row],[ActualHomeScore]]-Table2[[#This Row],[PredictedHomeScore]]</f>
        <v>0</v>
      </c>
      <c r="AH546" s="2">
        <f t="shared" si="47"/>
        <v>0</v>
      </c>
      <c r="AI546" s="2">
        <f t="shared" si="48"/>
        <v>0</v>
      </c>
      <c r="AJ546" s="2"/>
      <c r="AK546" s="3"/>
      <c r="AL546" s="2">
        <f>IF(Table2[[#This Row],[GameIsOver]]=0,0,IF(Table2[[#This Row],[ActualWinner]]=Table2[[#This Row],[AwayTeam]], 1, 0))</f>
        <v>0</v>
      </c>
      <c r="AM546" s="2">
        <f>IF(Table2[[#This Row],[GameIsOver]]=0,0,IF(Table2[[#This Row],[ActualWinner]]=Table2[[#This Row],[HomeTeam]], 1, 0))</f>
        <v>0</v>
      </c>
      <c r="AN5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6" s="2" t="str">
        <f>INDEX(Sheet5!$B$2:$AG$33, MATCH(Table2[[#This Row],[AwayTeam]],Sheet5!$A$2:$A$33, 0), MATCH(Table2[[#This Row],[HomeTeam]],Sheet5!$A$2:$A$33, 0))</f>
        <v>0-0-0</v>
      </c>
      <c r="AP546" s="2" t="str">
        <f>INDEX(Sheet5!$B$2:$AG$33, MATCH(Table2[[#This Row],[HomeTeam]],Sheet5!$A$2:$A$33, 0), MATCH(Table2[[#This Row],[AwayTeam]],Sheet5!$A$2:$A$33, 0))</f>
        <v>0-0-0</v>
      </c>
      <c r="AQ546" s="2">
        <f>IF(Table2[[#This Row],[GameHasShutOut]], 1, 0)</f>
        <v>0</v>
      </c>
      <c r="AR546" s="2">
        <f>IF(Table2[[#This Row],[ActualAwayScore]] + Table2[[#This Row],[ActualHomeScore]] &gt;= 10, 1, 0)</f>
        <v>0</v>
      </c>
      <c r="AS546" s="2">
        <f>IF(ABS(Table2[[#This Row],[ActualAwayScore]]-Table2[[#This Row],[ActualHomeScore]])&gt;=5, 1, 0)</f>
        <v>0</v>
      </c>
      <c r="AT546" s="2">
        <f>IF(Table2[[#This Row],[ActualAwayScore]] + Table2[[#This Row],[ActualHomeScore]] &lt;= 3, 1, 0)</f>
        <v>1</v>
      </c>
      <c r="AU546" s="2"/>
      <c r="AV546" s="2"/>
    </row>
    <row r="547" spans="1:48" x14ac:dyDescent="0.25">
      <c r="A547" s="3"/>
      <c r="B547" s="3">
        <v>46011</v>
      </c>
      <c r="C547" s="5">
        <v>2025020545</v>
      </c>
      <c r="D547" s="2" t="s">
        <v>24</v>
      </c>
      <c r="E547" s="2" t="s">
        <v>32</v>
      </c>
      <c r="F547" s="2"/>
      <c r="G547" s="2"/>
      <c r="H547" s="2" t="str">
        <f t="shared" si="44"/>
        <v>_</v>
      </c>
      <c r="I547" s="2"/>
      <c r="J547" s="2"/>
      <c r="K547" s="2"/>
      <c r="L547" s="2" t="str">
        <f t="shared" si="45"/>
        <v>_</v>
      </c>
      <c r="M547" s="2"/>
      <c r="N547" s="2">
        <f>IF(ISBLANK(Table2[[#This Row],[ActualResult]]), 0, 1)</f>
        <v>0</v>
      </c>
      <c r="O547" s="2" t="str">
        <f>IF(ISBLANK(Table2[[#This Row],[ActualResult]]), "_", IF(Table2[[#This Row],[ActualWinner]]=Table2[[#This Row],[PredictedWinner]], "Y", "N"))</f>
        <v>_</v>
      </c>
      <c r="P5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7" s="2"/>
      <c r="S547" s="2" t="str">
        <f t="shared" si="46"/>
        <v>_</v>
      </c>
      <c r="T5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7" s="2">
        <f>IF(Table2[[#This Row],[InterConf]]=1,IF(Table2[[#This Row],[InterDiv]]=0, 1, 0), 0)</f>
        <v>0</v>
      </c>
      <c r="W5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7" s="2"/>
      <c r="Y547" s="2"/>
      <c r="Z547" s="145">
        <f>IF(AND(Table2[[#This Row],[GameIsOver]]=1,Table2[[#This Row],[ActualHomeScore]]*Table2[[#This Row],[ActualAwayScore]]=0), 1,0)</f>
        <v>0</v>
      </c>
      <c r="AA5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7" s="2">
        <f>Table2[[#This Row],[ActualAwayScore]]-Table2[[#This Row],[PredictedAwayScore]]</f>
        <v>0</v>
      </c>
      <c r="AG547" s="2">
        <f>Table2[[#This Row],[ActualHomeScore]]-Table2[[#This Row],[PredictedHomeScore]]</f>
        <v>0</v>
      </c>
      <c r="AH547" s="2">
        <f t="shared" si="47"/>
        <v>0</v>
      </c>
      <c r="AI547" s="2">
        <f t="shared" si="48"/>
        <v>0</v>
      </c>
      <c r="AJ547" s="2"/>
      <c r="AK547" s="3"/>
      <c r="AL547" s="2">
        <f>IF(Table2[[#This Row],[GameIsOver]]=0,0,IF(Table2[[#This Row],[ActualWinner]]=Table2[[#This Row],[AwayTeam]], 1, 0))</f>
        <v>0</v>
      </c>
      <c r="AM547" s="2">
        <f>IF(Table2[[#This Row],[GameIsOver]]=0,0,IF(Table2[[#This Row],[ActualWinner]]=Table2[[#This Row],[HomeTeam]], 1, 0))</f>
        <v>0</v>
      </c>
      <c r="AN5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7" s="2" t="str">
        <f>INDEX(Sheet5!$B$2:$AG$33, MATCH(Table2[[#This Row],[AwayTeam]],Sheet5!$A$2:$A$33, 0), MATCH(Table2[[#This Row],[HomeTeam]],Sheet5!$A$2:$A$33, 0))</f>
        <v>0-0-0</v>
      </c>
      <c r="AP547" s="2" t="str">
        <f>INDEX(Sheet5!$B$2:$AG$33, MATCH(Table2[[#This Row],[HomeTeam]],Sheet5!$A$2:$A$33, 0), MATCH(Table2[[#This Row],[AwayTeam]],Sheet5!$A$2:$A$33, 0))</f>
        <v>0-0-0</v>
      </c>
      <c r="AQ547" s="2">
        <f>IF(Table2[[#This Row],[GameHasShutOut]], 1, 0)</f>
        <v>0</v>
      </c>
      <c r="AR547" s="2">
        <f>IF(Table2[[#This Row],[ActualAwayScore]] + Table2[[#This Row],[ActualHomeScore]] &gt;= 10, 1, 0)</f>
        <v>0</v>
      </c>
      <c r="AS547" s="2">
        <f>IF(ABS(Table2[[#This Row],[ActualAwayScore]]-Table2[[#This Row],[ActualHomeScore]])&gt;=5, 1, 0)</f>
        <v>0</v>
      </c>
      <c r="AT547" s="2">
        <f>IF(Table2[[#This Row],[ActualAwayScore]] + Table2[[#This Row],[ActualHomeScore]] &lt;= 3, 1, 0)</f>
        <v>1</v>
      </c>
      <c r="AU547" s="2"/>
      <c r="AV547" s="2"/>
    </row>
    <row r="548" spans="1:48" x14ac:dyDescent="0.25">
      <c r="A548" s="3"/>
      <c r="B548" s="3">
        <v>46011</v>
      </c>
      <c r="C548" s="5">
        <v>2025020546</v>
      </c>
      <c r="D548" s="2" t="s">
        <v>21</v>
      </c>
      <c r="E548" s="2" t="s">
        <v>25</v>
      </c>
      <c r="F548" s="2"/>
      <c r="G548" s="2"/>
      <c r="H548" s="2" t="str">
        <f t="shared" si="44"/>
        <v>_</v>
      </c>
      <c r="I548" s="2"/>
      <c r="J548" s="2"/>
      <c r="K548" s="2"/>
      <c r="L548" s="2" t="str">
        <f t="shared" si="45"/>
        <v>_</v>
      </c>
      <c r="M548" s="2"/>
      <c r="N548" s="2">
        <f>IF(ISBLANK(Table2[[#This Row],[ActualResult]]), 0, 1)</f>
        <v>0</v>
      </c>
      <c r="O548" s="2" t="str">
        <f>IF(ISBLANK(Table2[[#This Row],[ActualResult]]), "_", IF(Table2[[#This Row],[ActualWinner]]=Table2[[#This Row],[PredictedWinner]], "Y", "N"))</f>
        <v>_</v>
      </c>
      <c r="P5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8" s="2"/>
      <c r="S548" s="2" t="str">
        <f t="shared" si="46"/>
        <v>_</v>
      </c>
      <c r="T5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48" s="2">
        <f>IF(Table2[[#This Row],[InterConf]]=1,IF(Table2[[#This Row],[InterDiv]]=0, 1, 0), 0)</f>
        <v>0</v>
      </c>
      <c r="W5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8" s="2"/>
      <c r="Y548" s="2"/>
      <c r="Z548" s="145">
        <f>IF(AND(Table2[[#This Row],[GameIsOver]]=1,Table2[[#This Row],[ActualHomeScore]]*Table2[[#This Row],[ActualAwayScore]]=0), 1,0)</f>
        <v>0</v>
      </c>
      <c r="AA5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8" s="2">
        <f>Table2[[#This Row],[ActualAwayScore]]-Table2[[#This Row],[PredictedAwayScore]]</f>
        <v>0</v>
      </c>
      <c r="AG548" s="2">
        <f>Table2[[#This Row],[ActualHomeScore]]-Table2[[#This Row],[PredictedHomeScore]]</f>
        <v>0</v>
      </c>
      <c r="AH548" s="2">
        <f t="shared" si="47"/>
        <v>0</v>
      </c>
      <c r="AI548" s="2">
        <f t="shared" si="48"/>
        <v>0</v>
      </c>
      <c r="AJ548" s="2"/>
      <c r="AK548" s="3"/>
      <c r="AL548" s="2">
        <f>IF(Table2[[#This Row],[GameIsOver]]=0,0,IF(Table2[[#This Row],[ActualWinner]]=Table2[[#This Row],[AwayTeam]], 1, 0))</f>
        <v>0</v>
      </c>
      <c r="AM548" s="2">
        <f>IF(Table2[[#This Row],[GameIsOver]]=0,0,IF(Table2[[#This Row],[ActualWinner]]=Table2[[#This Row],[HomeTeam]], 1, 0))</f>
        <v>0</v>
      </c>
      <c r="AN5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8" s="2" t="str">
        <f>INDEX(Sheet5!$B$2:$AG$33, MATCH(Table2[[#This Row],[AwayTeam]],Sheet5!$A$2:$A$33, 0), MATCH(Table2[[#This Row],[HomeTeam]],Sheet5!$A$2:$A$33, 0))</f>
        <v>0-0-0</v>
      </c>
      <c r="AP548" s="2" t="str">
        <f>INDEX(Sheet5!$B$2:$AG$33, MATCH(Table2[[#This Row],[HomeTeam]],Sheet5!$A$2:$A$33, 0), MATCH(Table2[[#This Row],[AwayTeam]],Sheet5!$A$2:$A$33, 0))</f>
        <v>0-0-0</v>
      </c>
      <c r="AQ548" s="2">
        <f>IF(Table2[[#This Row],[GameHasShutOut]], 1, 0)</f>
        <v>0</v>
      </c>
      <c r="AR548" s="2">
        <f>IF(Table2[[#This Row],[ActualAwayScore]] + Table2[[#This Row],[ActualHomeScore]] &gt;= 10, 1, 0)</f>
        <v>0</v>
      </c>
      <c r="AS548" s="2">
        <f>IF(ABS(Table2[[#This Row],[ActualAwayScore]]-Table2[[#This Row],[ActualHomeScore]])&gt;=5, 1, 0)</f>
        <v>0</v>
      </c>
      <c r="AT548" s="2">
        <f>IF(Table2[[#This Row],[ActualAwayScore]] + Table2[[#This Row],[ActualHomeScore]] &lt;= 3, 1, 0)</f>
        <v>1</v>
      </c>
      <c r="AU548" s="2"/>
      <c r="AV548" s="2"/>
    </row>
    <row r="549" spans="1:48" x14ac:dyDescent="0.25">
      <c r="A549" s="3"/>
      <c r="B549" s="3">
        <v>46011</v>
      </c>
      <c r="C549" s="5">
        <v>2025020547</v>
      </c>
      <c r="D549" s="2" t="s">
        <v>31</v>
      </c>
      <c r="E549" s="2" t="s">
        <v>14</v>
      </c>
      <c r="F549" s="2"/>
      <c r="G549" s="2"/>
      <c r="H549" s="2" t="str">
        <f t="shared" si="44"/>
        <v>_</v>
      </c>
      <c r="I549" s="2"/>
      <c r="J549" s="2"/>
      <c r="K549" s="2"/>
      <c r="L549" s="2" t="str">
        <f t="shared" si="45"/>
        <v>_</v>
      </c>
      <c r="M549" s="2"/>
      <c r="N549" s="2">
        <f>IF(ISBLANK(Table2[[#This Row],[ActualResult]]), 0, 1)</f>
        <v>0</v>
      </c>
      <c r="O549" s="2" t="str">
        <f>IF(ISBLANK(Table2[[#This Row],[ActualResult]]), "_", IF(Table2[[#This Row],[ActualWinner]]=Table2[[#This Row],[PredictedWinner]], "Y", "N"))</f>
        <v>_</v>
      </c>
      <c r="P5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9" s="2"/>
      <c r="S549" s="2" t="str">
        <f t="shared" si="46"/>
        <v>_</v>
      </c>
      <c r="T5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9" s="2">
        <f>IF(Table2[[#This Row],[InterConf]]=1,IF(Table2[[#This Row],[InterDiv]]=0, 1, 0), 0)</f>
        <v>0</v>
      </c>
      <c r="W5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9" s="2"/>
      <c r="Y549" s="2"/>
      <c r="Z549" s="145">
        <f>IF(AND(Table2[[#This Row],[GameIsOver]]=1,Table2[[#This Row],[ActualHomeScore]]*Table2[[#This Row],[ActualAwayScore]]=0), 1,0)</f>
        <v>0</v>
      </c>
      <c r="AA5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9" s="2">
        <f>Table2[[#This Row],[ActualAwayScore]]-Table2[[#This Row],[PredictedAwayScore]]</f>
        <v>0</v>
      </c>
      <c r="AG549" s="2">
        <f>Table2[[#This Row],[ActualHomeScore]]-Table2[[#This Row],[PredictedHomeScore]]</f>
        <v>0</v>
      </c>
      <c r="AH549" s="2">
        <f t="shared" si="47"/>
        <v>0</v>
      </c>
      <c r="AI549" s="2">
        <f t="shared" si="48"/>
        <v>0</v>
      </c>
      <c r="AJ549" s="2"/>
      <c r="AK549" s="3"/>
      <c r="AL549" s="2">
        <f>IF(Table2[[#This Row],[GameIsOver]]=0,0,IF(Table2[[#This Row],[ActualWinner]]=Table2[[#This Row],[AwayTeam]], 1, 0))</f>
        <v>0</v>
      </c>
      <c r="AM549" s="2">
        <f>IF(Table2[[#This Row],[GameIsOver]]=0,0,IF(Table2[[#This Row],[ActualWinner]]=Table2[[#This Row],[HomeTeam]], 1, 0))</f>
        <v>0</v>
      </c>
      <c r="AN5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9" s="2" t="str">
        <f>INDEX(Sheet5!$B$2:$AG$33, MATCH(Table2[[#This Row],[AwayTeam]],Sheet5!$A$2:$A$33, 0), MATCH(Table2[[#This Row],[HomeTeam]],Sheet5!$A$2:$A$33, 0))</f>
        <v>0-0-0</v>
      </c>
      <c r="AP549" s="2" t="str">
        <f>INDEX(Sheet5!$B$2:$AG$33, MATCH(Table2[[#This Row],[HomeTeam]],Sheet5!$A$2:$A$33, 0), MATCH(Table2[[#This Row],[AwayTeam]],Sheet5!$A$2:$A$33, 0))</f>
        <v>0-0-0</v>
      </c>
      <c r="AQ549" s="2">
        <f>IF(Table2[[#This Row],[GameHasShutOut]], 1, 0)</f>
        <v>0</v>
      </c>
      <c r="AR549" s="2">
        <f>IF(Table2[[#This Row],[ActualAwayScore]] + Table2[[#This Row],[ActualHomeScore]] &gt;= 10, 1, 0)</f>
        <v>0</v>
      </c>
      <c r="AS549" s="2">
        <f>IF(ABS(Table2[[#This Row],[ActualAwayScore]]-Table2[[#This Row],[ActualHomeScore]])&gt;=5, 1, 0)</f>
        <v>0</v>
      </c>
      <c r="AT549" s="2">
        <f>IF(Table2[[#This Row],[ActualAwayScore]] + Table2[[#This Row],[ActualHomeScore]] &lt;= 3, 1, 0)</f>
        <v>1</v>
      </c>
      <c r="AU549" s="2"/>
      <c r="AV549" s="2"/>
    </row>
    <row r="550" spans="1:48" x14ac:dyDescent="0.25">
      <c r="A550" s="3"/>
      <c r="B550" s="3">
        <v>46011</v>
      </c>
      <c r="C550" s="5">
        <v>2025020548</v>
      </c>
      <c r="D550" s="2" t="s">
        <v>33</v>
      </c>
      <c r="E550" s="2" t="s">
        <v>44</v>
      </c>
      <c r="F550" s="2"/>
      <c r="G550" s="2"/>
      <c r="H550" s="2" t="str">
        <f t="shared" si="44"/>
        <v>_</v>
      </c>
      <c r="I550" s="2"/>
      <c r="J550" s="2"/>
      <c r="K550" s="2"/>
      <c r="L550" s="2" t="str">
        <f t="shared" si="45"/>
        <v>_</v>
      </c>
      <c r="M550" s="2"/>
      <c r="N550" s="2">
        <f>IF(ISBLANK(Table2[[#This Row],[ActualResult]]), 0, 1)</f>
        <v>0</v>
      </c>
      <c r="O550" s="2" t="str">
        <f>IF(ISBLANK(Table2[[#This Row],[ActualResult]]), "_", IF(Table2[[#This Row],[ActualWinner]]=Table2[[#This Row],[PredictedWinner]], "Y", "N"))</f>
        <v>_</v>
      </c>
      <c r="P5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0" s="2"/>
      <c r="S550" s="2" t="str">
        <f t="shared" si="46"/>
        <v>_</v>
      </c>
      <c r="T5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0" s="2">
        <f>IF(Table2[[#This Row],[InterConf]]=1,IF(Table2[[#This Row],[InterDiv]]=0, 1, 0), 0)</f>
        <v>1</v>
      </c>
      <c r="W5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0" s="2"/>
      <c r="Y550" s="2"/>
      <c r="Z550" s="145">
        <f>IF(AND(Table2[[#This Row],[GameIsOver]]=1,Table2[[#This Row],[ActualHomeScore]]*Table2[[#This Row],[ActualAwayScore]]=0), 1,0)</f>
        <v>0</v>
      </c>
      <c r="AA5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0" s="2">
        <f>Table2[[#This Row],[ActualAwayScore]]-Table2[[#This Row],[PredictedAwayScore]]</f>
        <v>0</v>
      </c>
      <c r="AG550" s="2">
        <f>Table2[[#This Row],[ActualHomeScore]]-Table2[[#This Row],[PredictedHomeScore]]</f>
        <v>0</v>
      </c>
      <c r="AH550" s="2">
        <f t="shared" si="47"/>
        <v>0</v>
      </c>
      <c r="AI550" s="2">
        <f t="shared" si="48"/>
        <v>0</v>
      </c>
      <c r="AJ550" s="2"/>
      <c r="AK550" s="3"/>
      <c r="AL550" s="2">
        <f>IF(Table2[[#This Row],[GameIsOver]]=0,0,IF(Table2[[#This Row],[ActualWinner]]=Table2[[#This Row],[AwayTeam]], 1, 0))</f>
        <v>0</v>
      </c>
      <c r="AM550" s="2">
        <f>IF(Table2[[#This Row],[GameIsOver]]=0,0,IF(Table2[[#This Row],[ActualWinner]]=Table2[[#This Row],[HomeTeam]], 1, 0))</f>
        <v>0</v>
      </c>
      <c r="AN5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0" s="2" t="str">
        <f>INDEX(Sheet5!$B$2:$AG$33, MATCH(Table2[[#This Row],[AwayTeam]],Sheet5!$A$2:$A$33, 0), MATCH(Table2[[#This Row],[HomeTeam]],Sheet5!$A$2:$A$33, 0))</f>
        <v>0-0-0</v>
      </c>
      <c r="AP550" s="2" t="str">
        <f>INDEX(Sheet5!$B$2:$AG$33, MATCH(Table2[[#This Row],[HomeTeam]],Sheet5!$A$2:$A$33, 0), MATCH(Table2[[#This Row],[AwayTeam]],Sheet5!$A$2:$A$33, 0))</f>
        <v>0-0-0</v>
      </c>
      <c r="AQ550" s="2">
        <f>IF(Table2[[#This Row],[GameHasShutOut]], 1, 0)</f>
        <v>0</v>
      </c>
      <c r="AR550" s="2">
        <f>IF(Table2[[#This Row],[ActualAwayScore]] + Table2[[#This Row],[ActualHomeScore]] &gt;= 10, 1, 0)</f>
        <v>0</v>
      </c>
      <c r="AS550" s="2">
        <f>IF(ABS(Table2[[#This Row],[ActualAwayScore]]-Table2[[#This Row],[ActualHomeScore]])&gt;=5, 1, 0)</f>
        <v>0</v>
      </c>
      <c r="AT550" s="2">
        <f>IF(Table2[[#This Row],[ActualAwayScore]] + Table2[[#This Row],[ActualHomeScore]] &lt;= 3, 1, 0)</f>
        <v>1</v>
      </c>
      <c r="AU550" s="2"/>
      <c r="AV550" s="2"/>
    </row>
    <row r="551" spans="1:48" x14ac:dyDescent="0.25">
      <c r="A551" s="3"/>
      <c r="B551" s="3">
        <v>46011</v>
      </c>
      <c r="C551" s="5">
        <v>2025020549</v>
      </c>
      <c r="D551" s="2" t="s">
        <v>42</v>
      </c>
      <c r="E551" s="2" t="s">
        <v>19</v>
      </c>
      <c r="F551" s="2"/>
      <c r="G551" s="2"/>
      <c r="H551" s="2" t="str">
        <f t="shared" si="44"/>
        <v>_</v>
      </c>
      <c r="I551" s="2"/>
      <c r="J551" s="2"/>
      <c r="K551" s="2"/>
      <c r="L551" s="2" t="str">
        <f t="shared" si="45"/>
        <v>_</v>
      </c>
      <c r="M551" s="2"/>
      <c r="N551" s="2">
        <f>IF(ISBLANK(Table2[[#This Row],[ActualResult]]), 0, 1)</f>
        <v>0</v>
      </c>
      <c r="O551" s="2" t="str">
        <f>IF(ISBLANK(Table2[[#This Row],[ActualResult]]), "_", IF(Table2[[#This Row],[ActualWinner]]=Table2[[#This Row],[PredictedWinner]], "Y", "N"))</f>
        <v>_</v>
      </c>
      <c r="P5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1" s="2"/>
      <c r="S551" s="2" t="str">
        <f t="shared" si="46"/>
        <v>_</v>
      </c>
      <c r="T5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51" s="2">
        <f>IF(Table2[[#This Row],[InterConf]]=1,IF(Table2[[#This Row],[InterDiv]]=0, 1, 0), 0)</f>
        <v>0</v>
      </c>
      <c r="W5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1" s="2"/>
      <c r="Y551" s="2"/>
      <c r="Z551" s="145">
        <f>IF(AND(Table2[[#This Row],[GameIsOver]]=1,Table2[[#This Row],[ActualHomeScore]]*Table2[[#This Row],[ActualAwayScore]]=0), 1,0)</f>
        <v>0</v>
      </c>
      <c r="AA5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1" s="2">
        <f>Table2[[#This Row],[ActualAwayScore]]-Table2[[#This Row],[PredictedAwayScore]]</f>
        <v>0</v>
      </c>
      <c r="AG551" s="2">
        <f>Table2[[#This Row],[ActualHomeScore]]-Table2[[#This Row],[PredictedHomeScore]]</f>
        <v>0</v>
      </c>
      <c r="AH551" s="2">
        <f t="shared" si="47"/>
        <v>0</v>
      </c>
      <c r="AI551" s="2">
        <f t="shared" si="48"/>
        <v>0</v>
      </c>
      <c r="AJ551" s="2"/>
      <c r="AK551" s="3"/>
      <c r="AL551" s="2">
        <f>IF(Table2[[#This Row],[GameIsOver]]=0,0,IF(Table2[[#This Row],[ActualWinner]]=Table2[[#This Row],[AwayTeam]], 1, 0))</f>
        <v>0</v>
      </c>
      <c r="AM551" s="2">
        <f>IF(Table2[[#This Row],[GameIsOver]]=0,0,IF(Table2[[#This Row],[ActualWinner]]=Table2[[#This Row],[HomeTeam]], 1, 0))</f>
        <v>0</v>
      </c>
      <c r="AN5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1" s="2" t="str">
        <f>INDEX(Sheet5!$B$2:$AG$33, MATCH(Table2[[#This Row],[AwayTeam]],Sheet5!$A$2:$A$33, 0), MATCH(Table2[[#This Row],[HomeTeam]],Sheet5!$A$2:$A$33, 0))</f>
        <v>0-0-0</v>
      </c>
      <c r="AP551" s="2" t="str">
        <f>INDEX(Sheet5!$B$2:$AG$33, MATCH(Table2[[#This Row],[HomeTeam]],Sheet5!$A$2:$A$33, 0), MATCH(Table2[[#This Row],[AwayTeam]],Sheet5!$A$2:$A$33, 0))</f>
        <v>0-0-0</v>
      </c>
      <c r="AQ551" s="2">
        <f>IF(Table2[[#This Row],[GameHasShutOut]], 1, 0)</f>
        <v>0</v>
      </c>
      <c r="AR551" s="2">
        <f>IF(Table2[[#This Row],[ActualAwayScore]] + Table2[[#This Row],[ActualHomeScore]] &gt;= 10, 1, 0)</f>
        <v>0</v>
      </c>
      <c r="AS551" s="2">
        <f>IF(ABS(Table2[[#This Row],[ActualAwayScore]]-Table2[[#This Row],[ActualHomeScore]])&gt;=5, 1, 0)</f>
        <v>0</v>
      </c>
      <c r="AT551" s="2">
        <f>IF(Table2[[#This Row],[ActualAwayScore]] + Table2[[#This Row],[ActualHomeScore]] &lt;= 3, 1, 0)</f>
        <v>1</v>
      </c>
      <c r="AU551" s="2"/>
      <c r="AV551" s="2"/>
    </row>
    <row r="552" spans="1:48" x14ac:dyDescent="0.25">
      <c r="A552" s="3"/>
      <c r="B552" s="3">
        <v>46011</v>
      </c>
      <c r="C552" s="5">
        <v>2025020550</v>
      </c>
      <c r="D552" s="2" t="s">
        <v>30</v>
      </c>
      <c r="E552" s="2" t="s">
        <v>43</v>
      </c>
      <c r="F552" s="2"/>
      <c r="G552" s="2"/>
      <c r="H552" s="2" t="str">
        <f t="shared" si="44"/>
        <v>_</v>
      </c>
      <c r="I552" s="2"/>
      <c r="J552" s="2"/>
      <c r="K552" s="2"/>
      <c r="L552" s="2" t="str">
        <f t="shared" si="45"/>
        <v>_</v>
      </c>
      <c r="M552" s="2"/>
      <c r="N552" s="2">
        <f>IF(ISBLANK(Table2[[#This Row],[ActualResult]]), 0, 1)</f>
        <v>0</v>
      </c>
      <c r="O552" s="2" t="str">
        <f>IF(ISBLANK(Table2[[#This Row],[ActualResult]]), "_", IF(Table2[[#This Row],[ActualWinner]]=Table2[[#This Row],[PredictedWinner]], "Y", "N"))</f>
        <v>_</v>
      </c>
      <c r="P5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2" s="2"/>
      <c r="S552" s="2" t="str">
        <f t="shared" si="46"/>
        <v>_</v>
      </c>
      <c r="T5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2" s="2">
        <f>IF(Table2[[#This Row],[InterConf]]=1,IF(Table2[[#This Row],[InterDiv]]=0, 1, 0), 0)</f>
        <v>1</v>
      </c>
      <c r="W5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2" s="2"/>
      <c r="Y552" s="2"/>
      <c r="Z552" s="145">
        <f>IF(AND(Table2[[#This Row],[GameIsOver]]=1,Table2[[#This Row],[ActualHomeScore]]*Table2[[#This Row],[ActualAwayScore]]=0), 1,0)</f>
        <v>0</v>
      </c>
      <c r="AA5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2" s="2">
        <f>Table2[[#This Row],[ActualAwayScore]]-Table2[[#This Row],[PredictedAwayScore]]</f>
        <v>0</v>
      </c>
      <c r="AG552" s="2">
        <f>Table2[[#This Row],[ActualHomeScore]]-Table2[[#This Row],[PredictedHomeScore]]</f>
        <v>0</v>
      </c>
      <c r="AH552" s="2">
        <f t="shared" si="47"/>
        <v>0</v>
      </c>
      <c r="AI552" s="2">
        <f t="shared" si="48"/>
        <v>0</v>
      </c>
      <c r="AJ552" s="2"/>
      <c r="AK552" s="3"/>
      <c r="AL552" s="2">
        <f>IF(Table2[[#This Row],[GameIsOver]]=0,0,IF(Table2[[#This Row],[ActualWinner]]=Table2[[#This Row],[AwayTeam]], 1, 0))</f>
        <v>0</v>
      </c>
      <c r="AM552" s="2">
        <f>IF(Table2[[#This Row],[GameIsOver]]=0,0,IF(Table2[[#This Row],[ActualWinner]]=Table2[[#This Row],[HomeTeam]], 1, 0))</f>
        <v>0</v>
      </c>
      <c r="AN5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2" s="2" t="str">
        <f>INDEX(Sheet5!$B$2:$AG$33, MATCH(Table2[[#This Row],[AwayTeam]],Sheet5!$A$2:$A$33, 0), MATCH(Table2[[#This Row],[HomeTeam]],Sheet5!$A$2:$A$33, 0))</f>
        <v>0-0-0</v>
      </c>
      <c r="AP552" s="2" t="str">
        <f>INDEX(Sheet5!$B$2:$AG$33, MATCH(Table2[[#This Row],[HomeTeam]],Sheet5!$A$2:$A$33, 0), MATCH(Table2[[#This Row],[AwayTeam]],Sheet5!$A$2:$A$33, 0))</f>
        <v>0-0-0</v>
      </c>
      <c r="AQ552" s="2">
        <f>IF(Table2[[#This Row],[GameHasShutOut]], 1, 0)</f>
        <v>0</v>
      </c>
      <c r="AR552" s="2">
        <f>IF(Table2[[#This Row],[ActualAwayScore]] + Table2[[#This Row],[ActualHomeScore]] &gt;= 10, 1, 0)</f>
        <v>0</v>
      </c>
      <c r="AS552" s="2">
        <f>IF(ABS(Table2[[#This Row],[ActualAwayScore]]-Table2[[#This Row],[ActualHomeScore]])&gt;=5, 1, 0)</f>
        <v>0</v>
      </c>
      <c r="AT552" s="2">
        <f>IF(Table2[[#This Row],[ActualAwayScore]] + Table2[[#This Row],[ActualHomeScore]] &lt;= 3, 1, 0)</f>
        <v>1</v>
      </c>
      <c r="AU552" s="2"/>
      <c r="AV552" s="2"/>
    </row>
    <row r="553" spans="1:48" x14ac:dyDescent="0.25">
      <c r="A553" s="3"/>
      <c r="B553" s="3">
        <v>46011</v>
      </c>
      <c r="C553" s="5">
        <v>2025020551</v>
      </c>
      <c r="D553" s="2" t="s">
        <v>16</v>
      </c>
      <c r="E553" s="2" t="s">
        <v>29</v>
      </c>
      <c r="F553" s="2"/>
      <c r="G553" s="2"/>
      <c r="H553" s="2" t="str">
        <f t="shared" si="44"/>
        <v>_</v>
      </c>
      <c r="I553" s="2"/>
      <c r="J553" s="2"/>
      <c r="K553" s="2"/>
      <c r="L553" s="2" t="str">
        <f t="shared" si="45"/>
        <v>_</v>
      </c>
      <c r="M553" s="2"/>
      <c r="N553" s="2">
        <f>IF(ISBLANK(Table2[[#This Row],[ActualResult]]), 0, 1)</f>
        <v>0</v>
      </c>
      <c r="O553" s="2" t="str">
        <f>IF(ISBLANK(Table2[[#This Row],[ActualResult]]), "_", IF(Table2[[#This Row],[ActualWinner]]=Table2[[#This Row],[PredictedWinner]], "Y", "N"))</f>
        <v>_</v>
      </c>
      <c r="P5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3" s="2"/>
      <c r="S553" s="2" t="str">
        <f t="shared" si="46"/>
        <v>_</v>
      </c>
      <c r="T5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3" s="2">
        <f>IF(Table2[[#This Row],[InterConf]]=1,IF(Table2[[#This Row],[InterDiv]]=0, 1, 0), 0)</f>
        <v>0</v>
      </c>
      <c r="W5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53" s="2"/>
      <c r="Y553" s="2"/>
      <c r="Z553" s="145">
        <f>IF(AND(Table2[[#This Row],[GameIsOver]]=1,Table2[[#This Row],[ActualHomeScore]]*Table2[[#This Row],[ActualAwayScore]]=0), 1,0)</f>
        <v>0</v>
      </c>
      <c r="AA5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3" s="2">
        <f>Table2[[#This Row],[ActualAwayScore]]-Table2[[#This Row],[PredictedAwayScore]]</f>
        <v>0</v>
      </c>
      <c r="AG553" s="2">
        <f>Table2[[#This Row],[ActualHomeScore]]-Table2[[#This Row],[PredictedHomeScore]]</f>
        <v>0</v>
      </c>
      <c r="AH553" s="2">
        <f t="shared" si="47"/>
        <v>0</v>
      </c>
      <c r="AI553" s="2">
        <f t="shared" si="48"/>
        <v>0</v>
      </c>
      <c r="AJ553" s="2"/>
      <c r="AK553" s="3"/>
      <c r="AL553" s="2">
        <f>IF(Table2[[#This Row],[GameIsOver]]=0,0,IF(Table2[[#This Row],[ActualWinner]]=Table2[[#This Row],[AwayTeam]], 1, 0))</f>
        <v>0</v>
      </c>
      <c r="AM553" s="2">
        <f>IF(Table2[[#This Row],[GameIsOver]]=0,0,IF(Table2[[#This Row],[ActualWinner]]=Table2[[#This Row],[HomeTeam]], 1, 0))</f>
        <v>0</v>
      </c>
      <c r="AN5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3" s="2" t="str">
        <f>INDEX(Sheet5!$B$2:$AG$33, MATCH(Table2[[#This Row],[AwayTeam]],Sheet5!$A$2:$A$33, 0), MATCH(Table2[[#This Row],[HomeTeam]],Sheet5!$A$2:$A$33, 0))</f>
        <v>0-0-0</v>
      </c>
      <c r="AP553" s="2" t="str">
        <f>INDEX(Sheet5!$B$2:$AG$33, MATCH(Table2[[#This Row],[HomeTeam]],Sheet5!$A$2:$A$33, 0), MATCH(Table2[[#This Row],[AwayTeam]],Sheet5!$A$2:$A$33, 0))</f>
        <v>0-0-0</v>
      </c>
      <c r="AQ553" s="2">
        <f>IF(Table2[[#This Row],[GameHasShutOut]], 1, 0)</f>
        <v>0</v>
      </c>
      <c r="AR553" s="2">
        <f>IF(Table2[[#This Row],[ActualAwayScore]] + Table2[[#This Row],[ActualHomeScore]] &gt;= 10, 1, 0)</f>
        <v>0</v>
      </c>
      <c r="AS553" s="2">
        <f>IF(ABS(Table2[[#This Row],[ActualAwayScore]]-Table2[[#This Row],[ActualHomeScore]])&gt;=5, 1, 0)</f>
        <v>0</v>
      </c>
      <c r="AT553" s="2">
        <f>IF(Table2[[#This Row],[ActualAwayScore]] + Table2[[#This Row],[ActualHomeScore]] &lt;= 3, 1, 0)</f>
        <v>1</v>
      </c>
      <c r="AU553" s="2"/>
      <c r="AV553" s="2"/>
    </row>
    <row r="554" spans="1:48" x14ac:dyDescent="0.25">
      <c r="A554" s="3"/>
      <c r="B554" s="3">
        <v>46011</v>
      </c>
      <c r="C554" s="5">
        <v>2025020552</v>
      </c>
      <c r="D554" s="2" t="s">
        <v>22</v>
      </c>
      <c r="E554" s="2" t="s">
        <v>36</v>
      </c>
      <c r="F554" s="2"/>
      <c r="G554" s="2"/>
      <c r="H554" s="2" t="str">
        <f t="shared" si="44"/>
        <v>_</v>
      </c>
      <c r="I554" s="2"/>
      <c r="J554" s="2"/>
      <c r="K554" s="2"/>
      <c r="L554" s="2" t="str">
        <f t="shared" si="45"/>
        <v>_</v>
      </c>
      <c r="M554" s="2"/>
      <c r="N554" s="2">
        <f>IF(ISBLANK(Table2[[#This Row],[ActualResult]]), 0, 1)</f>
        <v>0</v>
      </c>
      <c r="O554" s="2" t="str">
        <f>IF(ISBLANK(Table2[[#This Row],[ActualResult]]), "_", IF(Table2[[#This Row],[ActualWinner]]=Table2[[#This Row],[PredictedWinner]], "Y", "N"))</f>
        <v>_</v>
      </c>
      <c r="P5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4" s="2"/>
      <c r="S554" s="2" t="str">
        <f t="shared" si="46"/>
        <v>_</v>
      </c>
      <c r="T5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4" s="2">
        <f>IF(Table2[[#This Row],[InterConf]]=1,IF(Table2[[#This Row],[InterDiv]]=0, 1, 0), 0)</f>
        <v>1</v>
      </c>
      <c r="W5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4" s="2"/>
      <c r="Y554" s="2"/>
      <c r="Z554" s="145">
        <f>IF(AND(Table2[[#This Row],[GameIsOver]]=1,Table2[[#This Row],[ActualHomeScore]]*Table2[[#This Row],[ActualAwayScore]]=0), 1,0)</f>
        <v>0</v>
      </c>
      <c r="AA5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4" s="2">
        <f>Table2[[#This Row],[ActualAwayScore]]-Table2[[#This Row],[PredictedAwayScore]]</f>
        <v>0</v>
      </c>
      <c r="AG554" s="2">
        <f>Table2[[#This Row],[ActualHomeScore]]-Table2[[#This Row],[PredictedHomeScore]]</f>
        <v>0</v>
      </c>
      <c r="AH554" s="2">
        <f t="shared" si="47"/>
        <v>0</v>
      </c>
      <c r="AI554" s="2">
        <f t="shared" si="48"/>
        <v>0</v>
      </c>
      <c r="AJ554" s="2"/>
      <c r="AK554" s="3"/>
      <c r="AL554" s="2">
        <f>IF(Table2[[#This Row],[GameIsOver]]=0,0,IF(Table2[[#This Row],[ActualWinner]]=Table2[[#This Row],[AwayTeam]], 1, 0))</f>
        <v>0</v>
      </c>
      <c r="AM554" s="2">
        <f>IF(Table2[[#This Row],[GameIsOver]]=0,0,IF(Table2[[#This Row],[ActualWinner]]=Table2[[#This Row],[HomeTeam]], 1, 0))</f>
        <v>0</v>
      </c>
      <c r="AN5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4" s="2" t="str">
        <f>INDEX(Sheet5!$B$2:$AG$33, MATCH(Table2[[#This Row],[AwayTeam]],Sheet5!$A$2:$A$33, 0), MATCH(Table2[[#This Row],[HomeTeam]],Sheet5!$A$2:$A$33, 0))</f>
        <v>0-0-0</v>
      </c>
      <c r="AP554" s="2" t="str">
        <f>INDEX(Sheet5!$B$2:$AG$33, MATCH(Table2[[#This Row],[HomeTeam]],Sheet5!$A$2:$A$33, 0), MATCH(Table2[[#This Row],[AwayTeam]],Sheet5!$A$2:$A$33, 0))</f>
        <v>0-0-0</v>
      </c>
      <c r="AQ554" s="2">
        <f>IF(Table2[[#This Row],[GameHasShutOut]], 1, 0)</f>
        <v>0</v>
      </c>
      <c r="AR554" s="2">
        <f>IF(Table2[[#This Row],[ActualAwayScore]] + Table2[[#This Row],[ActualHomeScore]] &gt;= 10, 1, 0)</f>
        <v>0</v>
      </c>
      <c r="AS554" s="2">
        <f>IF(ABS(Table2[[#This Row],[ActualAwayScore]]-Table2[[#This Row],[ActualHomeScore]])&gt;=5, 1, 0)</f>
        <v>0</v>
      </c>
      <c r="AT554" s="2">
        <f>IF(Table2[[#This Row],[ActualAwayScore]] + Table2[[#This Row],[ActualHomeScore]] &lt;= 3, 1, 0)</f>
        <v>1</v>
      </c>
      <c r="AU554" s="2"/>
      <c r="AV554" s="2"/>
    </row>
    <row r="555" spans="1:48" x14ac:dyDescent="0.25">
      <c r="A555" s="3"/>
      <c r="B555" s="3">
        <v>46011</v>
      </c>
      <c r="C555" s="5">
        <v>2025020553</v>
      </c>
      <c r="D555" s="2" t="s">
        <v>32</v>
      </c>
      <c r="E555" s="2" t="s">
        <v>28</v>
      </c>
      <c r="F555" s="2"/>
      <c r="G555" s="2"/>
      <c r="H555" s="2" t="str">
        <f t="shared" si="44"/>
        <v>_</v>
      </c>
      <c r="I555" s="2"/>
      <c r="J555" s="2"/>
      <c r="K555" s="2"/>
      <c r="L555" s="2" t="str">
        <f t="shared" si="45"/>
        <v>_</v>
      </c>
      <c r="M555" s="2"/>
      <c r="N555" s="2">
        <f>IF(ISBLANK(Table2[[#This Row],[ActualResult]]), 0, 1)</f>
        <v>0</v>
      </c>
      <c r="O555" s="2" t="str">
        <f>IF(ISBLANK(Table2[[#This Row],[ActualResult]]), "_", IF(Table2[[#This Row],[ActualWinner]]=Table2[[#This Row],[PredictedWinner]], "Y", "N"))</f>
        <v>_</v>
      </c>
      <c r="P5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5" s="2"/>
      <c r="S555" s="2" t="str">
        <f t="shared" si="46"/>
        <v>_</v>
      </c>
      <c r="T5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5" s="2">
        <f>IF(Table2[[#This Row],[InterConf]]=1,IF(Table2[[#This Row],[InterDiv]]=0, 1, 0), 0)</f>
        <v>1</v>
      </c>
      <c r="W5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5" s="2"/>
      <c r="Y555" s="2"/>
      <c r="Z555" s="145">
        <f>IF(AND(Table2[[#This Row],[GameIsOver]]=1,Table2[[#This Row],[ActualHomeScore]]*Table2[[#This Row],[ActualAwayScore]]=0), 1,0)</f>
        <v>0</v>
      </c>
      <c r="AA5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5" s="2">
        <f>Table2[[#This Row],[ActualAwayScore]]-Table2[[#This Row],[PredictedAwayScore]]</f>
        <v>0</v>
      </c>
      <c r="AG555" s="2">
        <f>Table2[[#This Row],[ActualHomeScore]]-Table2[[#This Row],[PredictedHomeScore]]</f>
        <v>0</v>
      </c>
      <c r="AH555" s="2">
        <f t="shared" si="47"/>
        <v>0</v>
      </c>
      <c r="AI555" s="2">
        <f t="shared" si="48"/>
        <v>0</v>
      </c>
      <c r="AJ555" s="2"/>
      <c r="AK555" s="3"/>
      <c r="AL555" s="2">
        <f>IF(Table2[[#This Row],[GameIsOver]]=0,0,IF(Table2[[#This Row],[ActualWinner]]=Table2[[#This Row],[AwayTeam]], 1, 0))</f>
        <v>0</v>
      </c>
      <c r="AM555" s="2">
        <f>IF(Table2[[#This Row],[GameIsOver]]=0,0,IF(Table2[[#This Row],[ActualWinner]]=Table2[[#This Row],[HomeTeam]], 1, 0))</f>
        <v>0</v>
      </c>
      <c r="AN5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5" s="2" t="str">
        <f>INDEX(Sheet5!$B$2:$AG$33, MATCH(Table2[[#This Row],[AwayTeam]],Sheet5!$A$2:$A$33, 0), MATCH(Table2[[#This Row],[HomeTeam]],Sheet5!$A$2:$A$33, 0))</f>
        <v>0-0-0</v>
      </c>
      <c r="AP555" s="2" t="str">
        <f>INDEX(Sheet5!$B$2:$AG$33, MATCH(Table2[[#This Row],[HomeTeam]],Sheet5!$A$2:$A$33, 0), MATCH(Table2[[#This Row],[AwayTeam]],Sheet5!$A$2:$A$33, 0))</f>
        <v>0-0-0</v>
      </c>
      <c r="AQ555" s="2">
        <f>IF(Table2[[#This Row],[GameHasShutOut]], 1, 0)</f>
        <v>0</v>
      </c>
      <c r="AR555" s="2">
        <f>IF(Table2[[#This Row],[ActualAwayScore]] + Table2[[#This Row],[ActualHomeScore]] &gt;= 10, 1, 0)</f>
        <v>0</v>
      </c>
      <c r="AS555" s="2">
        <f>IF(ABS(Table2[[#This Row],[ActualAwayScore]]-Table2[[#This Row],[ActualHomeScore]])&gt;=5, 1, 0)</f>
        <v>0</v>
      </c>
      <c r="AT555" s="2">
        <f>IF(Table2[[#This Row],[ActualAwayScore]] + Table2[[#This Row],[ActualHomeScore]] &lt;= 3, 1, 0)</f>
        <v>1</v>
      </c>
      <c r="AU555" s="2"/>
      <c r="AV555" s="2"/>
    </row>
    <row r="556" spans="1:48" x14ac:dyDescent="0.25">
      <c r="A556" s="3"/>
      <c r="B556" s="3">
        <v>46011</v>
      </c>
      <c r="C556" s="5">
        <v>2025020554</v>
      </c>
      <c r="D556" s="2" t="s">
        <v>12</v>
      </c>
      <c r="E556" s="2" t="s">
        <v>13</v>
      </c>
      <c r="F556" s="2"/>
      <c r="G556" s="2"/>
      <c r="H556" s="2" t="str">
        <f t="shared" si="44"/>
        <v>_</v>
      </c>
      <c r="I556" s="2"/>
      <c r="J556" s="2"/>
      <c r="K556" s="2"/>
      <c r="L556" s="2" t="str">
        <f t="shared" si="45"/>
        <v>_</v>
      </c>
      <c r="M556" s="2"/>
      <c r="N556" s="2">
        <f>IF(ISBLANK(Table2[[#This Row],[ActualResult]]), 0, 1)</f>
        <v>0</v>
      </c>
      <c r="O556" s="2" t="str">
        <f>IF(ISBLANK(Table2[[#This Row],[ActualResult]]), "_", IF(Table2[[#This Row],[ActualWinner]]=Table2[[#This Row],[PredictedWinner]], "Y", "N"))</f>
        <v>_</v>
      </c>
      <c r="P5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6" s="2"/>
      <c r="S556" s="2" t="str">
        <f t="shared" si="46"/>
        <v>_</v>
      </c>
      <c r="T5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6" s="2">
        <f>IF(Table2[[#This Row],[InterConf]]=1,IF(Table2[[#This Row],[InterDiv]]=0, 1, 0), 0)</f>
        <v>0</v>
      </c>
      <c r="W5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56" s="2"/>
      <c r="Y556" s="2"/>
      <c r="Z556" s="145">
        <f>IF(AND(Table2[[#This Row],[GameIsOver]]=1,Table2[[#This Row],[ActualHomeScore]]*Table2[[#This Row],[ActualAwayScore]]=0), 1,0)</f>
        <v>0</v>
      </c>
      <c r="AA5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6" s="2">
        <f>Table2[[#This Row],[ActualAwayScore]]-Table2[[#This Row],[PredictedAwayScore]]</f>
        <v>0</v>
      </c>
      <c r="AG556" s="2">
        <f>Table2[[#This Row],[ActualHomeScore]]-Table2[[#This Row],[PredictedHomeScore]]</f>
        <v>0</v>
      </c>
      <c r="AH556" s="2">
        <f t="shared" si="47"/>
        <v>0</v>
      </c>
      <c r="AI556" s="2">
        <f t="shared" si="48"/>
        <v>0</v>
      </c>
      <c r="AJ556" s="2"/>
      <c r="AK556" s="3"/>
      <c r="AL556" s="2">
        <f>IF(Table2[[#This Row],[GameIsOver]]=0,0,IF(Table2[[#This Row],[ActualWinner]]=Table2[[#This Row],[AwayTeam]], 1, 0))</f>
        <v>0</v>
      </c>
      <c r="AM556" s="2">
        <f>IF(Table2[[#This Row],[GameIsOver]]=0,0,IF(Table2[[#This Row],[ActualWinner]]=Table2[[#This Row],[HomeTeam]], 1, 0))</f>
        <v>0</v>
      </c>
      <c r="AN5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6" s="2" t="str">
        <f>INDEX(Sheet5!$B$2:$AG$33, MATCH(Table2[[#This Row],[AwayTeam]],Sheet5!$A$2:$A$33, 0), MATCH(Table2[[#This Row],[HomeTeam]],Sheet5!$A$2:$A$33, 0))</f>
        <v>0-0-0</v>
      </c>
      <c r="AP556" s="2" t="str">
        <f>INDEX(Sheet5!$B$2:$AG$33, MATCH(Table2[[#This Row],[HomeTeam]],Sheet5!$A$2:$A$33, 0), MATCH(Table2[[#This Row],[AwayTeam]],Sheet5!$A$2:$A$33, 0))</f>
        <v>0-0-0</v>
      </c>
      <c r="AQ556" s="2">
        <f>IF(Table2[[#This Row],[GameHasShutOut]], 1, 0)</f>
        <v>0</v>
      </c>
      <c r="AR556" s="2">
        <f>IF(Table2[[#This Row],[ActualAwayScore]] + Table2[[#This Row],[ActualHomeScore]] &gt;= 10, 1, 0)</f>
        <v>0</v>
      </c>
      <c r="AS556" s="2">
        <f>IF(ABS(Table2[[#This Row],[ActualAwayScore]]-Table2[[#This Row],[ActualHomeScore]])&gt;=5, 1, 0)</f>
        <v>0</v>
      </c>
      <c r="AT556" s="2">
        <f>IF(Table2[[#This Row],[ActualAwayScore]] + Table2[[#This Row],[ActualHomeScore]] &lt;= 3, 1, 0)</f>
        <v>1</v>
      </c>
      <c r="AU556" s="2"/>
      <c r="AV556" s="2"/>
    </row>
    <row r="557" spans="1:48" x14ac:dyDescent="0.25">
      <c r="A557" s="3"/>
      <c r="B557" s="3">
        <v>46012</v>
      </c>
      <c r="C557" s="5">
        <v>2025020555</v>
      </c>
      <c r="D557" s="2" t="s">
        <v>24</v>
      </c>
      <c r="E557" s="2" t="s">
        <v>15</v>
      </c>
      <c r="F557" s="2"/>
      <c r="G557" s="2"/>
      <c r="H557" s="2" t="str">
        <f t="shared" si="44"/>
        <v>_</v>
      </c>
      <c r="I557" s="2"/>
      <c r="J557" s="2"/>
      <c r="K557" s="2"/>
      <c r="L557" s="2" t="str">
        <f t="shared" si="45"/>
        <v>_</v>
      </c>
      <c r="M557" s="2"/>
      <c r="N557" s="2">
        <f>IF(ISBLANK(Table2[[#This Row],[ActualResult]]), 0, 1)</f>
        <v>0</v>
      </c>
      <c r="O557" s="2" t="str">
        <f>IF(ISBLANK(Table2[[#This Row],[ActualResult]]), "_", IF(Table2[[#This Row],[ActualWinner]]=Table2[[#This Row],[PredictedWinner]], "Y", "N"))</f>
        <v>_</v>
      </c>
      <c r="P5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7" s="2"/>
      <c r="S557" s="2" t="str">
        <f t="shared" si="46"/>
        <v>_</v>
      </c>
      <c r="T5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7" s="2">
        <f>IF(Table2[[#This Row],[InterConf]]=1,IF(Table2[[#This Row],[InterDiv]]=0, 1, 0), 0)</f>
        <v>0</v>
      </c>
      <c r="W5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57" s="2"/>
      <c r="Y557" s="2"/>
      <c r="Z557" s="145">
        <f>IF(AND(Table2[[#This Row],[GameIsOver]]=1,Table2[[#This Row],[ActualHomeScore]]*Table2[[#This Row],[ActualAwayScore]]=0), 1,0)</f>
        <v>0</v>
      </c>
      <c r="AA5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57" s="2">
        <f>Table2[[#This Row],[ActualAwayScore]]-Table2[[#This Row],[PredictedAwayScore]]</f>
        <v>0</v>
      </c>
      <c r="AG557" s="2">
        <f>Table2[[#This Row],[ActualHomeScore]]-Table2[[#This Row],[PredictedHomeScore]]</f>
        <v>0</v>
      </c>
      <c r="AH557" s="2">
        <f t="shared" si="47"/>
        <v>0</v>
      </c>
      <c r="AI557" s="2">
        <f t="shared" si="48"/>
        <v>0</v>
      </c>
      <c r="AJ557" s="2"/>
      <c r="AK557" s="3"/>
      <c r="AL557" s="2">
        <f>IF(Table2[[#This Row],[GameIsOver]]=0,0,IF(Table2[[#This Row],[ActualWinner]]=Table2[[#This Row],[AwayTeam]], 1, 0))</f>
        <v>0</v>
      </c>
      <c r="AM557" s="2">
        <f>IF(Table2[[#This Row],[GameIsOver]]=0,0,IF(Table2[[#This Row],[ActualWinner]]=Table2[[#This Row],[HomeTeam]], 1, 0))</f>
        <v>0</v>
      </c>
      <c r="AN5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7" s="2" t="str">
        <f>INDEX(Sheet5!$B$2:$AG$33, MATCH(Table2[[#This Row],[AwayTeam]],Sheet5!$A$2:$A$33, 0), MATCH(Table2[[#This Row],[HomeTeam]],Sheet5!$A$2:$A$33, 0))</f>
        <v>0-0-0</v>
      </c>
      <c r="AP557" s="2" t="str">
        <f>INDEX(Sheet5!$B$2:$AG$33, MATCH(Table2[[#This Row],[HomeTeam]],Sheet5!$A$2:$A$33, 0), MATCH(Table2[[#This Row],[AwayTeam]],Sheet5!$A$2:$A$33, 0))</f>
        <v>0-0-0</v>
      </c>
      <c r="AQ557" s="2">
        <f>IF(Table2[[#This Row],[GameHasShutOut]], 1, 0)</f>
        <v>0</v>
      </c>
      <c r="AR557" s="2">
        <f>IF(Table2[[#This Row],[ActualAwayScore]] + Table2[[#This Row],[ActualHomeScore]] &gt;= 10, 1, 0)</f>
        <v>0</v>
      </c>
      <c r="AS557" s="2">
        <f>IF(ABS(Table2[[#This Row],[ActualAwayScore]]-Table2[[#This Row],[ActualHomeScore]])&gt;=5, 1, 0)</f>
        <v>0</v>
      </c>
      <c r="AT557" s="2">
        <f>IF(Table2[[#This Row],[ActualAwayScore]] + Table2[[#This Row],[ActualHomeScore]] &lt;= 3, 1, 0)</f>
        <v>1</v>
      </c>
      <c r="AU557" s="2"/>
      <c r="AV557" s="2"/>
    </row>
    <row r="558" spans="1:48" x14ac:dyDescent="0.25">
      <c r="A558" s="3"/>
      <c r="B558" s="3">
        <v>46012</v>
      </c>
      <c r="C558" s="5">
        <v>2025020556</v>
      </c>
      <c r="D558" s="2" t="s">
        <v>20</v>
      </c>
      <c r="E558" s="2" t="s">
        <v>18</v>
      </c>
      <c r="F558" s="2"/>
      <c r="G558" s="2"/>
      <c r="H558" s="2" t="str">
        <f t="shared" si="44"/>
        <v>_</v>
      </c>
      <c r="I558" s="2"/>
      <c r="J558" s="2"/>
      <c r="K558" s="2"/>
      <c r="L558" s="2" t="str">
        <f t="shared" si="45"/>
        <v>_</v>
      </c>
      <c r="M558" s="2"/>
      <c r="N558" s="2">
        <f>IF(ISBLANK(Table2[[#This Row],[ActualResult]]), 0, 1)</f>
        <v>0</v>
      </c>
      <c r="O558" s="2" t="str">
        <f>IF(ISBLANK(Table2[[#This Row],[ActualResult]]), "_", IF(Table2[[#This Row],[ActualWinner]]=Table2[[#This Row],[PredictedWinner]], "Y", "N"))</f>
        <v>_</v>
      </c>
      <c r="P5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8" s="2"/>
      <c r="S558" s="2" t="str">
        <f t="shared" si="46"/>
        <v>_</v>
      </c>
      <c r="T5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8" s="2">
        <f>IF(Table2[[#This Row],[InterConf]]=1,IF(Table2[[#This Row],[InterDiv]]=0, 1, 0), 0)</f>
        <v>1</v>
      </c>
      <c r="W5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8" s="2"/>
      <c r="Y558" s="2"/>
      <c r="Z558" s="145">
        <f>IF(AND(Table2[[#This Row],[GameIsOver]]=1,Table2[[#This Row],[ActualHomeScore]]*Table2[[#This Row],[ActualAwayScore]]=0), 1,0)</f>
        <v>0</v>
      </c>
      <c r="AA5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58" s="2">
        <f>Table2[[#This Row],[ActualAwayScore]]-Table2[[#This Row],[PredictedAwayScore]]</f>
        <v>0</v>
      </c>
      <c r="AG558" s="2">
        <f>Table2[[#This Row],[ActualHomeScore]]-Table2[[#This Row],[PredictedHomeScore]]</f>
        <v>0</v>
      </c>
      <c r="AH558" s="2">
        <f t="shared" si="47"/>
        <v>0</v>
      </c>
      <c r="AI558" s="2">
        <f t="shared" si="48"/>
        <v>0</v>
      </c>
      <c r="AJ558" s="2"/>
      <c r="AK558" s="3"/>
      <c r="AL558" s="2">
        <f>IF(Table2[[#This Row],[GameIsOver]]=0,0,IF(Table2[[#This Row],[ActualWinner]]=Table2[[#This Row],[AwayTeam]], 1, 0))</f>
        <v>0</v>
      </c>
      <c r="AM558" s="2">
        <f>IF(Table2[[#This Row],[GameIsOver]]=0,0,IF(Table2[[#This Row],[ActualWinner]]=Table2[[#This Row],[HomeTeam]], 1, 0))</f>
        <v>0</v>
      </c>
      <c r="AN5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8" s="2" t="str">
        <f>INDEX(Sheet5!$B$2:$AG$33, MATCH(Table2[[#This Row],[AwayTeam]],Sheet5!$A$2:$A$33, 0), MATCH(Table2[[#This Row],[HomeTeam]],Sheet5!$A$2:$A$33, 0))</f>
        <v>0-0-0</v>
      </c>
      <c r="AP558" s="2" t="str">
        <f>INDEX(Sheet5!$B$2:$AG$33, MATCH(Table2[[#This Row],[HomeTeam]],Sheet5!$A$2:$A$33, 0), MATCH(Table2[[#This Row],[AwayTeam]],Sheet5!$A$2:$A$33, 0))</f>
        <v>0-0-0</v>
      </c>
      <c r="AQ558" s="2">
        <f>IF(Table2[[#This Row],[GameHasShutOut]], 1, 0)</f>
        <v>0</v>
      </c>
      <c r="AR558" s="2">
        <f>IF(Table2[[#This Row],[ActualAwayScore]] + Table2[[#This Row],[ActualHomeScore]] &gt;= 10, 1, 0)</f>
        <v>0</v>
      </c>
      <c r="AS558" s="2">
        <f>IF(ABS(Table2[[#This Row],[ActualAwayScore]]-Table2[[#This Row],[ActualHomeScore]])&gt;=5, 1, 0)</f>
        <v>0</v>
      </c>
      <c r="AT558" s="2">
        <f>IF(Table2[[#This Row],[ActualAwayScore]] + Table2[[#This Row],[ActualHomeScore]] &lt;= 3, 1, 0)</f>
        <v>1</v>
      </c>
      <c r="AU558" s="2"/>
      <c r="AV558" s="2"/>
    </row>
    <row r="559" spans="1:48" x14ac:dyDescent="0.25">
      <c r="A559" s="3"/>
      <c r="B559" s="3">
        <v>46012</v>
      </c>
      <c r="C559" s="5">
        <v>2025020557</v>
      </c>
      <c r="D559" s="2" t="s">
        <v>41</v>
      </c>
      <c r="E559" s="2" t="s">
        <v>40</v>
      </c>
      <c r="F559" s="2"/>
      <c r="G559" s="2"/>
      <c r="H559" s="2" t="str">
        <f t="shared" si="44"/>
        <v>_</v>
      </c>
      <c r="I559" s="2"/>
      <c r="J559" s="2"/>
      <c r="K559" s="2"/>
      <c r="L559" s="2" t="str">
        <f t="shared" si="45"/>
        <v>_</v>
      </c>
      <c r="M559" s="2"/>
      <c r="N559" s="2">
        <f>IF(ISBLANK(Table2[[#This Row],[ActualResult]]), 0, 1)</f>
        <v>0</v>
      </c>
      <c r="O559" s="2" t="str">
        <f>IF(ISBLANK(Table2[[#This Row],[ActualResult]]), "_", IF(Table2[[#This Row],[ActualWinner]]=Table2[[#This Row],[PredictedWinner]], "Y", "N"))</f>
        <v>_</v>
      </c>
      <c r="P5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9" s="2"/>
      <c r="S559" s="2" t="str">
        <f t="shared" si="46"/>
        <v>_</v>
      </c>
      <c r="T5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9" s="2">
        <f>IF(Table2[[#This Row],[InterConf]]=1,IF(Table2[[#This Row],[InterDiv]]=0, 1, 0), 0)</f>
        <v>1</v>
      </c>
      <c r="W5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9" s="2"/>
      <c r="Y559" s="2"/>
      <c r="Z559" s="145">
        <f>IF(AND(Table2[[#This Row],[GameIsOver]]=1,Table2[[#This Row],[ActualHomeScore]]*Table2[[#This Row],[ActualAwayScore]]=0), 1,0)</f>
        <v>0</v>
      </c>
      <c r="AA5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59" s="2">
        <f>Table2[[#This Row],[ActualAwayScore]]-Table2[[#This Row],[PredictedAwayScore]]</f>
        <v>0</v>
      </c>
      <c r="AG559" s="2">
        <f>Table2[[#This Row],[ActualHomeScore]]-Table2[[#This Row],[PredictedHomeScore]]</f>
        <v>0</v>
      </c>
      <c r="AH559" s="2">
        <f t="shared" si="47"/>
        <v>0</v>
      </c>
      <c r="AI559" s="2">
        <f t="shared" si="48"/>
        <v>0</v>
      </c>
      <c r="AJ559" s="2"/>
      <c r="AK559" s="3"/>
      <c r="AL559" s="2">
        <f>IF(Table2[[#This Row],[GameIsOver]]=0,0,IF(Table2[[#This Row],[ActualWinner]]=Table2[[#This Row],[AwayTeam]], 1, 0))</f>
        <v>0</v>
      </c>
      <c r="AM559" s="2">
        <f>IF(Table2[[#This Row],[GameIsOver]]=0,0,IF(Table2[[#This Row],[ActualWinner]]=Table2[[#This Row],[HomeTeam]], 1, 0))</f>
        <v>0</v>
      </c>
      <c r="AN5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9" s="2" t="str">
        <f>INDEX(Sheet5!$B$2:$AG$33, MATCH(Table2[[#This Row],[AwayTeam]],Sheet5!$A$2:$A$33, 0), MATCH(Table2[[#This Row],[HomeTeam]],Sheet5!$A$2:$A$33, 0))</f>
        <v>0-0-0</v>
      </c>
      <c r="AP559" s="2" t="str">
        <f>INDEX(Sheet5!$B$2:$AG$33, MATCH(Table2[[#This Row],[HomeTeam]],Sheet5!$A$2:$A$33, 0), MATCH(Table2[[#This Row],[AwayTeam]],Sheet5!$A$2:$A$33, 0))</f>
        <v>0-0-0</v>
      </c>
      <c r="AQ559" s="2">
        <f>IF(Table2[[#This Row],[GameHasShutOut]], 1, 0)</f>
        <v>0</v>
      </c>
      <c r="AR559" s="2">
        <f>IF(Table2[[#This Row],[ActualAwayScore]] + Table2[[#This Row],[ActualHomeScore]] &gt;= 10, 1, 0)</f>
        <v>0</v>
      </c>
      <c r="AS559" s="2">
        <f>IF(ABS(Table2[[#This Row],[ActualAwayScore]]-Table2[[#This Row],[ActualHomeScore]])&gt;=5, 1, 0)</f>
        <v>0</v>
      </c>
      <c r="AT559" s="2">
        <f>IF(Table2[[#This Row],[ActualAwayScore]] + Table2[[#This Row],[ActualHomeScore]] &lt;= 3, 1, 0)</f>
        <v>1</v>
      </c>
      <c r="AU559" s="2"/>
      <c r="AV559" s="2"/>
    </row>
    <row r="560" spans="1:48" x14ac:dyDescent="0.25">
      <c r="A560" s="3"/>
      <c r="B560" s="3">
        <v>46012</v>
      </c>
      <c r="C560" s="5">
        <v>2025020558</v>
      </c>
      <c r="D560" s="2" t="s">
        <v>17</v>
      </c>
      <c r="E560" s="2" t="s">
        <v>34</v>
      </c>
      <c r="F560" s="2"/>
      <c r="G560" s="2"/>
      <c r="H560" s="2" t="str">
        <f t="shared" si="44"/>
        <v>_</v>
      </c>
      <c r="I560" s="2"/>
      <c r="J560" s="2"/>
      <c r="K560" s="2"/>
      <c r="L560" s="2" t="str">
        <f t="shared" si="45"/>
        <v>_</v>
      </c>
      <c r="M560" s="2"/>
      <c r="N560" s="2">
        <f>IF(ISBLANK(Table2[[#This Row],[ActualResult]]), 0, 1)</f>
        <v>0</v>
      </c>
      <c r="O560" s="2" t="str">
        <f>IF(ISBLANK(Table2[[#This Row],[ActualResult]]), "_", IF(Table2[[#This Row],[ActualWinner]]=Table2[[#This Row],[PredictedWinner]], "Y", "N"))</f>
        <v>_</v>
      </c>
      <c r="P5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0" s="2"/>
      <c r="S560" s="2" t="str">
        <f t="shared" si="46"/>
        <v>_</v>
      </c>
      <c r="T5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0" s="2">
        <f>IF(Table2[[#This Row],[InterConf]]=1,IF(Table2[[#This Row],[InterDiv]]=0, 1, 0), 0)</f>
        <v>0</v>
      </c>
      <c r="W5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60" s="2"/>
      <c r="Y560" s="2"/>
      <c r="Z560" s="145">
        <f>IF(AND(Table2[[#This Row],[GameIsOver]]=1,Table2[[#This Row],[ActualHomeScore]]*Table2[[#This Row],[ActualAwayScore]]=0), 1,0)</f>
        <v>0</v>
      </c>
      <c r="AA5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0" s="2">
        <f>Table2[[#This Row],[ActualAwayScore]]-Table2[[#This Row],[PredictedAwayScore]]</f>
        <v>0</v>
      </c>
      <c r="AG560" s="2">
        <f>Table2[[#This Row],[ActualHomeScore]]-Table2[[#This Row],[PredictedHomeScore]]</f>
        <v>0</v>
      </c>
      <c r="AH560" s="2">
        <f t="shared" si="47"/>
        <v>0</v>
      </c>
      <c r="AI560" s="2">
        <f t="shared" si="48"/>
        <v>0</v>
      </c>
      <c r="AJ560" s="2"/>
      <c r="AK560" s="3"/>
      <c r="AL560" s="2">
        <f>IF(Table2[[#This Row],[GameIsOver]]=0,0,IF(Table2[[#This Row],[ActualWinner]]=Table2[[#This Row],[AwayTeam]], 1, 0))</f>
        <v>0</v>
      </c>
      <c r="AM560" s="2">
        <f>IF(Table2[[#This Row],[GameIsOver]]=0,0,IF(Table2[[#This Row],[ActualWinner]]=Table2[[#This Row],[HomeTeam]], 1, 0))</f>
        <v>0</v>
      </c>
      <c r="AN5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0" s="2" t="str">
        <f>INDEX(Sheet5!$B$2:$AG$33, MATCH(Table2[[#This Row],[AwayTeam]],Sheet5!$A$2:$A$33, 0), MATCH(Table2[[#This Row],[HomeTeam]],Sheet5!$A$2:$A$33, 0))</f>
        <v>1-0-0</v>
      </c>
      <c r="AP560" s="2" t="str">
        <f>INDEX(Sheet5!$B$2:$AG$33, MATCH(Table2[[#This Row],[HomeTeam]],Sheet5!$A$2:$A$33, 0), MATCH(Table2[[#This Row],[AwayTeam]],Sheet5!$A$2:$A$33, 0))</f>
        <v>0-1-0</v>
      </c>
      <c r="AQ560" s="2">
        <f>IF(Table2[[#This Row],[GameHasShutOut]], 1, 0)</f>
        <v>0</v>
      </c>
      <c r="AR560" s="2">
        <f>IF(Table2[[#This Row],[ActualAwayScore]] + Table2[[#This Row],[ActualHomeScore]] &gt;= 10, 1, 0)</f>
        <v>0</v>
      </c>
      <c r="AS560" s="2">
        <f>IF(ABS(Table2[[#This Row],[ActualAwayScore]]-Table2[[#This Row],[ActualHomeScore]])&gt;=5, 1, 0)</f>
        <v>0</v>
      </c>
      <c r="AT560" s="2">
        <f>IF(Table2[[#This Row],[ActualAwayScore]] + Table2[[#This Row],[ActualHomeScore]] &lt;= 3, 1, 0)</f>
        <v>1</v>
      </c>
      <c r="AU560" s="2"/>
      <c r="AV560" s="2"/>
    </row>
    <row r="561" spans="1:48" x14ac:dyDescent="0.25">
      <c r="A561" s="3"/>
      <c r="B561" s="3">
        <v>46012</v>
      </c>
      <c r="C561" s="5">
        <v>2025020559</v>
      </c>
      <c r="D561" s="2" t="s">
        <v>26</v>
      </c>
      <c r="E561" s="2" t="s">
        <v>23</v>
      </c>
      <c r="F561" s="2"/>
      <c r="G561" s="2"/>
      <c r="H561" s="2" t="str">
        <f t="shared" si="44"/>
        <v>_</v>
      </c>
      <c r="I561" s="2"/>
      <c r="J561" s="2"/>
      <c r="K561" s="2"/>
      <c r="L561" s="2" t="str">
        <f t="shared" si="45"/>
        <v>_</v>
      </c>
      <c r="M561" s="2"/>
      <c r="N561" s="2">
        <f>IF(ISBLANK(Table2[[#This Row],[ActualResult]]), 0, 1)</f>
        <v>0</v>
      </c>
      <c r="O561" s="2" t="str">
        <f>IF(ISBLANK(Table2[[#This Row],[ActualResult]]), "_", IF(Table2[[#This Row],[ActualWinner]]=Table2[[#This Row],[PredictedWinner]], "Y", "N"))</f>
        <v>_</v>
      </c>
      <c r="P5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1" s="2"/>
      <c r="S561" s="2" t="str">
        <f t="shared" si="46"/>
        <v>_</v>
      </c>
      <c r="T5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1" s="2">
        <f>IF(Table2[[#This Row],[InterConf]]=1,IF(Table2[[#This Row],[InterDiv]]=0, 1, 0), 0)</f>
        <v>0</v>
      </c>
      <c r="W5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1" s="2"/>
      <c r="Y561" s="2"/>
      <c r="Z561" s="145">
        <f>IF(AND(Table2[[#This Row],[GameIsOver]]=1,Table2[[#This Row],[ActualHomeScore]]*Table2[[#This Row],[ActualAwayScore]]=0), 1,0)</f>
        <v>0</v>
      </c>
      <c r="AA5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1" s="2">
        <f>Table2[[#This Row],[ActualAwayScore]]-Table2[[#This Row],[PredictedAwayScore]]</f>
        <v>0</v>
      </c>
      <c r="AG561" s="2">
        <f>Table2[[#This Row],[ActualHomeScore]]-Table2[[#This Row],[PredictedHomeScore]]</f>
        <v>0</v>
      </c>
      <c r="AH561" s="2">
        <f t="shared" si="47"/>
        <v>0</v>
      </c>
      <c r="AI561" s="2">
        <f t="shared" si="48"/>
        <v>0</v>
      </c>
      <c r="AJ561" s="2"/>
      <c r="AK561" s="3"/>
      <c r="AL561" s="2">
        <f>IF(Table2[[#This Row],[GameIsOver]]=0,0,IF(Table2[[#This Row],[ActualWinner]]=Table2[[#This Row],[AwayTeam]], 1, 0))</f>
        <v>0</v>
      </c>
      <c r="AM561" s="2">
        <f>IF(Table2[[#This Row],[GameIsOver]]=0,0,IF(Table2[[#This Row],[ActualWinner]]=Table2[[#This Row],[HomeTeam]], 1, 0))</f>
        <v>0</v>
      </c>
      <c r="AN5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1" s="2" t="str">
        <f>INDEX(Sheet5!$B$2:$AG$33, MATCH(Table2[[#This Row],[AwayTeam]],Sheet5!$A$2:$A$33, 0), MATCH(Table2[[#This Row],[HomeTeam]],Sheet5!$A$2:$A$33, 0))</f>
        <v>2-0-0</v>
      </c>
      <c r="AP561" s="2" t="str">
        <f>INDEX(Sheet5!$B$2:$AG$33, MATCH(Table2[[#This Row],[HomeTeam]],Sheet5!$A$2:$A$33, 0), MATCH(Table2[[#This Row],[AwayTeam]],Sheet5!$A$2:$A$33, 0))</f>
        <v>0-2-0</v>
      </c>
      <c r="AQ561" s="2">
        <f>IF(Table2[[#This Row],[GameHasShutOut]], 1, 0)</f>
        <v>0</v>
      </c>
      <c r="AR561" s="2">
        <f>IF(Table2[[#This Row],[ActualAwayScore]] + Table2[[#This Row],[ActualHomeScore]] &gt;= 10, 1, 0)</f>
        <v>0</v>
      </c>
      <c r="AS561" s="2">
        <f>IF(ABS(Table2[[#This Row],[ActualAwayScore]]-Table2[[#This Row],[ActualHomeScore]])&gt;=5, 1, 0)</f>
        <v>0</v>
      </c>
      <c r="AT561" s="2">
        <f>IF(Table2[[#This Row],[ActualAwayScore]] + Table2[[#This Row],[ActualHomeScore]] &lt;= 3, 1, 0)</f>
        <v>1</v>
      </c>
      <c r="AU561" s="2"/>
      <c r="AV561" s="2"/>
    </row>
    <row r="562" spans="1:48" x14ac:dyDescent="0.25">
      <c r="A562" s="3"/>
      <c r="B562" s="3">
        <v>46012</v>
      </c>
      <c r="C562" s="5">
        <v>2025020560</v>
      </c>
      <c r="D562" s="2" t="s">
        <v>35</v>
      </c>
      <c r="E562" s="2" t="s">
        <v>44</v>
      </c>
      <c r="F562" s="2"/>
      <c r="G562" s="2"/>
      <c r="H562" s="2" t="str">
        <f t="shared" si="44"/>
        <v>_</v>
      </c>
      <c r="I562" s="2"/>
      <c r="J562" s="2"/>
      <c r="K562" s="2"/>
      <c r="L562" s="2" t="str">
        <f t="shared" si="45"/>
        <v>_</v>
      </c>
      <c r="M562" s="2"/>
      <c r="N562" s="2">
        <f>IF(ISBLANK(Table2[[#This Row],[ActualResult]]), 0, 1)</f>
        <v>0</v>
      </c>
      <c r="O562" s="2" t="str">
        <f>IF(ISBLANK(Table2[[#This Row],[ActualResult]]), "_", IF(Table2[[#This Row],[ActualWinner]]=Table2[[#This Row],[PredictedWinner]], "Y", "N"))</f>
        <v>_</v>
      </c>
      <c r="P5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2" s="2"/>
      <c r="S562" s="2" t="str">
        <f t="shared" si="46"/>
        <v>_</v>
      </c>
      <c r="T5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2" s="2">
        <f>IF(Table2[[#This Row],[InterConf]]=1,IF(Table2[[#This Row],[InterDiv]]=0, 1, 0), 0)</f>
        <v>0</v>
      </c>
      <c r="W5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62" s="2"/>
      <c r="Y562" s="2"/>
      <c r="Z562" s="145">
        <f>IF(AND(Table2[[#This Row],[GameIsOver]]=1,Table2[[#This Row],[ActualHomeScore]]*Table2[[#This Row],[ActualAwayScore]]=0), 1,0)</f>
        <v>0</v>
      </c>
      <c r="AA5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2" s="2">
        <f>Table2[[#This Row],[ActualAwayScore]]-Table2[[#This Row],[PredictedAwayScore]]</f>
        <v>0</v>
      </c>
      <c r="AG562" s="2">
        <f>Table2[[#This Row],[ActualHomeScore]]-Table2[[#This Row],[PredictedHomeScore]]</f>
        <v>0</v>
      </c>
      <c r="AH562" s="2">
        <f t="shared" si="47"/>
        <v>0</v>
      </c>
      <c r="AI562" s="2">
        <f t="shared" si="48"/>
        <v>0</v>
      </c>
      <c r="AJ562" s="2"/>
      <c r="AK562" s="3"/>
      <c r="AL562" s="2">
        <f>IF(Table2[[#This Row],[GameIsOver]]=0,0,IF(Table2[[#This Row],[ActualWinner]]=Table2[[#This Row],[AwayTeam]], 1, 0))</f>
        <v>0</v>
      </c>
      <c r="AM562" s="2">
        <f>IF(Table2[[#This Row],[GameIsOver]]=0,0,IF(Table2[[#This Row],[ActualWinner]]=Table2[[#This Row],[HomeTeam]], 1, 0))</f>
        <v>0</v>
      </c>
      <c r="AN5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2" s="2" t="str">
        <f>INDEX(Sheet5!$B$2:$AG$33, MATCH(Table2[[#This Row],[AwayTeam]],Sheet5!$A$2:$A$33, 0), MATCH(Table2[[#This Row],[HomeTeam]],Sheet5!$A$2:$A$33, 0))</f>
        <v>0-0-0</v>
      </c>
      <c r="AP562" s="2" t="str">
        <f>INDEX(Sheet5!$B$2:$AG$33, MATCH(Table2[[#This Row],[HomeTeam]],Sheet5!$A$2:$A$33, 0), MATCH(Table2[[#This Row],[AwayTeam]],Sheet5!$A$2:$A$33, 0))</f>
        <v>0-0-0</v>
      </c>
      <c r="AQ562" s="2">
        <f>IF(Table2[[#This Row],[GameHasShutOut]], 1, 0)</f>
        <v>0</v>
      </c>
      <c r="AR562" s="2">
        <f>IF(Table2[[#This Row],[ActualAwayScore]] + Table2[[#This Row],[ActualHomeScore]] &gt;= 10, 1, 0)</f>
        <v>0</v>
      </c>
      <c r="AS562" s="2">
        <f>IF(ABS(Table2[[#This Row],[ActualAwayScore]]-Table2[[#This Row],[ActualHomeScore]])&gt;=5, 1, 0)</f>
        <v>0</v>
      </c>
      <c r="AT562" s="2">
        <f>IF(Table2[[#This Row],[ActualAwayScore]] + Table2[[#This Row],[ActualHomeScore]] &lt;= 3, 1, 0)</f>
        <v>1</v>
      </c>
      <c r="AU562" s="2"/>
      <c r="AV562" s="2"/>
    </row>
    <row r="563" spans="1:48" x14ac:dyDescent="0.25">
      <c r="A563" s="3"/>
      <c r="B563" s="3">
        <v>46012</v>
      </c>
      <c r="C563" s="5">
        <v>2025020561</v>
      </c>
      <c r="D563" s="2" t="s">
        <v>11</v>
      </c>
      <c r="E563" s="2" t="s">
        <v>37</v>
      </c>
      <c r="F563" s="2"/>
      <c r="G563" s="2"/>
      <c r="H563" s="2" t="str">
        <f t="shared" si="44"/>
        <v>_</v>
      </c>
      <c r="I563" s="2"/>
      <c r="J563" s="2"/>
      <c r="K563" s="2"/>
      <c r="L563" s="2" t="str">
        <f t="shared" si="45"/>
        <v>_</v>
      </c>
      <c r="M563" s="2"/>
      <c r="N563" s="2">
        <f>IF(ISBLANK(Table2[[#This Row],[ActualResult]]), 0, 1)</f>
        <v>0</v>
      </c>
      <c r="O563" s="2" t="str">
        <f>IF(ISBLANK(Table2[[#This Row],[ActualResult]]), "_", IF(Table2[[#This Row],[ActualWinner]]=Table2[[#This Row],[PredictedWinner]], "Y", "N"))</f>
        <v>_</v>
      </c>
      <c r="P5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3" s="2"/>
      <c r="S563" s="2" t="str">
        <f t="shared" si="46"/>
        <v>_</v>
      </c>
      <c r="T5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3" s="2">
        <f>IF(Table2[[#This Row],[InterConf]]=1,IF(Table2[[#This Row],[InterDiv]]=0, 1, 0), 0)</f>
        <v>0</v>
      </c>
      <c r="W5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3" s="2"/>
      <c r="Y563" s="2"/>
      <c r="Z563" s="145">
        <f>IF(AND(Table2[[#This Row],[GameIsOver]]=1,Table2[[#This Row],[ActualHomeScore]]*Table2[[#This Row],[ActualAwayScore]]=0), 1,0)</f>
        <v>0</v>
      </c>
      <c r="AA5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3" s="2">
        <f>Table2[[#This Row],[ActualAwayScore]]-Table2[[#This Row],[PredictedAwayScore]]</f>
        <v>0</v>
      </c>
      <c r="AG563" s="2">
        <f>Table2[[#This Row],[ActualHomeScore]]-Table2[[#This Row],[PredictedHomeScore]]</f>
        <v>0</v>
      </c>
      <c r="AH563" s="2">
        <f t="shared" si="47"/>
        <v>0</v>
      </c>
      <c r="AI563" s="2">
        <f t="shared" si="48"/>
        <v>0</v>
      </c>
      <c r="AJ563" s="2"/>
      <c r="AK563" s="3"/>
      <c r="AL563" s="2">
        <f>IF(Table2[[#This Row],[GameIsOver]]=0,0,IF(Table2[[#This Row],[ActualWinner]]=Table2[[#This Row],[AwayTeam]], 1, 0))</f>
        <v>0</v>
      </c>
      <c r="AM563" s="2">
        <f>IF(Table2[[#This Row],[GameIsOver]]=0,0,IF(Table2[[#This Row],[ActualWinner]]=Table2[[#This Row],[HomeTeam]], 1, 0))</f>
        <v>0</v>
      </c>
      <c r="AN5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3" s="2" t="str">
        <f>INDEX(Sheet5!$B$2:$AG$33, MATCH(Table2[[#This Row],[AwayTeam]],Sheet5!$A$2:$A$33, 0), MATCH(Table2[[#This Row],[HomeTeam]],Sheet5!$A$2:$A$33, 0))</f>
        <v>0-0-0</v>
      </c>
      <c r="AP563" s="2" t="str">
        <f>INDEX(Sheet5!$B$2:$AG$33, MATCH(Table2[[#This Row],[HomeTeam]],Sheet5!$A$2:$A$33, 0), MATCH(Table2[[#This Row],[AwayTeam]],Sheet5!$A$2:$A$33, 0))</f>
        <v>0-0-0</v>
      </c>
      <c r="AQ563" s="2">
        <f>IF(Table2[[#This Row],[GameHasShutOut]], 1, 0)</f>
        <v>0</v>
      </c>
      <c r="AR563" s="2">
        <f>IF(Table2[[#This Row],[ActualAwayScore]] + Table2[[#This Row],[ActualHomeScore]] &gt;= 10, 1, 0)</f>
        <v>0</v>
      </c>
      <c r="AS563" s="2">
        <f>IF(ABS(Table2[[#This Row],[ActualAwayScore]]-Table2[[#This Row],[ActualHomeScore]])&gt;=5, 1, 0)</f>
        <v>0</v>
      </c>
      <c r="AT563" s="2">
        <f>IF(Table2[[#This Row],[ActualAwayScore]] + Table2[[#This Row],[ActualHomeScore]] &lt;= 3, 1, 0)</f>
        <v>1</v>
      </c>
      <c r="AU563" s="2"/>
      <c r="AV563" s="2"/>
    </row>
    <row r="564" spans="1:48" x14ac:dyDescent="0.25">
      <c r="A564" s="3"/>
      <c r="B564" s="3">
        <v>46012</v>
      </c>
      <c r="C564" s="5">
        <v>2025020562</v>
      </c>
      <c r="D564" s="2" t="s">
        <v>43</v>
      </c>
      <c r="E564" s="2" t="s">
        <v>30</v>
      </c>
      <c r="F564" s="2"/>
      <c r="G564" s="2"/>
      <c r="H564" s="2" t="str">
        <f t="shared" si="44"/>
        <v>_</v>
      </c>
      <c r="I564" s="2"/>
      <c r="J564" s="2"/>
      <c r="K564" s="2"/>
      <c r="L564" s="2" t="str">
        <f t="shared" si="45"/>
        <v>_</v>
      </c>
      <c r="M564" s="2"/>
      <c r="N564" s="2">
        <f>IF(ISBLANK(Table2[[#This Row],[ActualResult]]), 0, 1)</f>
        <v>0</v>
      </c>
      <c r="O564" s="2" t="str">
        <f>IF(ISBLANK(Table2[[#This Row],[ActualResult]]), "_", IF(Table2[[#This Row],[ActualWinner]]=Table2[[#This Row],[PredictedWinner]], "Y", "N"))</f>
        <v>_</v>
      </c>
      <c r="P5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4" s="2"/>
      <c r="S564" s="2" t="str">
        <f t="shared" si="46"/>
        <v>_</v>
      </c>
      <c r="T5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4" s="2">
        <f>IF(Table2[[#This Row],[InterConf]]=1,IF(Table2[[#This Row],[InterDiv]]=0, 1, 0), 0)</f>
        <v>1</v>
      </c>
      <c r="W5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4" s="2"/>
      <c r="Y564" s="2"/>
      <c r="Z564" s="145">
        <f>IF(AND(Table2[[#This Row],[GameIsOver]]=1,Table2[[#This Row],[ActualHomeScore]]*Table2[[#This Row],[ActualAwayScore]]=0), 1,0)</f>
        <v>0</v>
      </c>
      <c r="AA5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4" s="2">
        <f>Table2[[#This Row],[ActualAwayScore]]-Table2[[#This Row],[PredictedAwayScore]]</f>
        <v>0</v>
      </c>
      <c r="AG564" s="2">
        <f>Table2[[#This Row],[ActualHomeScore]]-Table2[[#This Row],[PredictedHomeScore]]</f>
        <v>0</v>
      </c>
      <c r="AH564" s="2">
        <f t="shared" si="47"/>
        <v>0</v>
      </c>
      <c r="AI564" s="2">
        <f t="shared" si="48"/>
        <v>0</v>
      </c>
      <c r="AJ564" s="2"/>
      <c r="AK564" s="3"/>
      <c r="AL564" s="2">
        <f>IF(Table2[[#This Row],[GameIsOver]]=0,0,IF(Table2[[#This Row],[ActualWinner]]=Table2[[#This Row],[AwayTeam]], 1, 0))</f>
        <v>0</v>
      </c>
      <c r="AM564" s="2">
        <f>IF(Table2[[#This Row],[GameIsOver]]=0,0,IF(Table2[[#This Row],[ActualWinner]]=Table2[[#This Row],[HomeTeam]], 1, 0))</f>
        <v>0</v>
      </c>
      <c r="AN5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4" s="2" t="str">
        <f>INDEX(Sheet5!$B$2:$AG$33, MATCH(Table2[[#This Row],[AwayTeam]],Sheet5!$A$2:$A$33, 0), MATCH(Table2[[#This Row],[HomeTeam]],Sheet5!$A$2:$A$33, 0))</f>
        <v>0-0-0</v>
      </c>
      <c r="AP564" s="2" t="str">
        <f>INDEX(Sheet5!$B$2:$AG$33, MATCH(Table2[[#This Row],[HomeTeam]],Sheet5!$A$2:$A$33, 0), MATCH(Table2[[#This Row],[AwayTeam]],Sheet5!$A$2:$A$33, 0))</f>
        <v>0-0-0</v>
      </c>
      <c r="AQ564" s="2">
        <f>IF(Table2[[#This Row],[GameHasShutOut]], 1, 0)</f>
        <v>0</v>
      </c>
      <c r="AR564" s="2">
        <f>IF(Table2[[#This Row],[ActualAwayScore]] + Table2[[#This Row],[ActualHomeScore]] &gt;= 10, 1, 0)</f>
        <v>0</v>
      </c>
      <c r="AS564" s="2">
        <f>IF(ABS(Table2[[#This Row],[ActualAwayScore]]-Table2[[#This Row],[ActualHomeScore]])&gt;=5, 1, 0)</f>
        <v>0</v>
      </c>
      <c r="AT564" s="2">
        <f>IF(Table2[[#This Row],[ActualAwayScore]] + Table2[[#This Row],[ActualHomeScore]] &lt;= 3, 1, 0)</f>
        <v>1</v>
      </c>
      <c r="AU564" s="2"/>
      <c r="AV564" s="2"/>
    </row>
    <row r="565" spans="1:48" x14ac:dyDescent="0.25">
      <c r="A565" s="3"/>
      <c r="B565" s="3">
        <v>46012</v>
      </c>
      <c r="C565" s="5">
        <v>2025020563</v>
      </c>
      <c r="D565" s="2" t="s">
        <v>25</v>
      </c>
      <c r="E565" s="2" t="s">
        <v>36</v>
      </c>
      <c r="F565" s="2"/>
      <c r="G565" s="2"/>
      <c r="H565" s="2" t="str">
        <f t="shared" si="44"/>
        <v>_</v>
      </c>
      <c r="I565" s="2"/>
      <c r="J565" s="2"/>
      <c r="K565" s="2"/>
      <c r="L565" s="2" t="str">
        <f t="shared" si="45"/>
        <v>_</v>
      </c>
      <c r="M565" s="2"/>
      <c r="N565" s="2">
        <f>IF(ISBLANK(Table2[[#This Row],[ActualResult]]), 0, 1)</f>
        <v>0</v>
      </c>
      <c r="O565" s="2" t="str">
        <f>IF(ISBLANK(Table2[[#This Row],[ActualResult]]), "_", IF(Table2[[#This Row],[ActualWinner]]=Table2[[#This Row],[PredictedWinner]], "Y", "N"))</f>
        <v>_</v>
      </c>
      <c r="P5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5" s="2"/>
      <c r="S565" s="2" t="str">
        <f t="shared" si="46"/>
        <v>_</v>
      </c>
      <c r="T5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5" s="2">
        <f>IF(Table2[[#This Row],[InterConf]]=1,IF(Table2[[#This Row],[InterDiv]]=0, 1, 0), 0)</f>
        <v>0</v>
      </c>
      <c r="W5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5" s="2"/>
      <c r="Y565" s="2"/>
      <c r="Z565" s="145">
        <f>IF(AND(Table2[[#This Row],[GameIsOver]]=1,Table2[[#This Row],[ActualHomeScore]]*Table2[[#This Row],[ActualAwayScore]]=0), 1,0)</f>
        <v>0</v>
      </c>
      <c r="AA5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5" s="2">
        <f>Table2[[#This Row],[ActualAwayScore]]-Table2[[#This Row],[PredictedAwayScore]]</f>
        <v>0</v>
      </c>
      <c r="AG565" s="2">
        <f>Table2[[#This Row],[ActualHomeScore]]-Table2[[#This Row],[PredictedHomeScore]]</f>
        <v>0</v>
      </c>
      <c r="AH565" s="2">
        <f t="shared" si="47"/>
        <v>0</v>
      </c>
      <c r="AI565" s="2">
        <f t="shared" si="48"/>
        <v>0</v>
      </c>
      <c r="AJ565" s="2"/>
      <c r="AK565" s="3"/>
      <c r="AL565" s="2">
        <f>IF(Table2[[#This Row],[GameIsOver]]=0,0,IF(Table2[[#This Row],[ActualWinner]]=Table2[[#This Row],[AwayTeam]], 1, 0))</f>
        <v>0</v>
      </c>
      <c r="AM565" s="2">
        <f>IF(Table2[[#This Row],[GameIsOver]]=0,0,IF(Table2[[#This Row],[ActualWinner]]=Table2[[#This Row],[HomeTeam]], 1, 0))</f>
        <v>0</v>
      </c>
      <c r="AN5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5" s="2" t="str">
        <f>INDEX(Sheet5!$B$2:$AG$33, MATCH(Table2[[#This Row],[AwayTeam]],Sheet5!$A$2:$A$33, 0), MATCH(Table2[[#This Row],[HomeTeam]],Sheet5!$A$2:$A$33, 0))</f>
        <v>0-0-0</v>
      </c>
      <c r="AP565" s="2" t="str">
        <f>INDEX(Sheet5!$B$2:$AG$33, MATCH(Table2[[#This Row],[HomeTeam]],Sheet5!$A$2:$A$33, 0), MATCH(Table2[[#This Row],[AwayTeam]],Sheet5!$A$2:$A$33, 0))</f>
        <v>0-0-0</v>
      </c>
      <c r="AQ565" s="2">
        <f>IF(Table2[[#This Row],[GameHasShutOut]], 1, 0)</f>
        <v>0</v>
      </c>
      <c r="AR565" s="2">
        <f>IF(Table2[[#This Row],[ActualAwayScore]] + Table2[[#This Row],[ActualHomeScore]] &gt;= 10, 1, 0)</f>
        <v>0</v>
      </c>
      <c r="AS565" s="2">
        <f>IF(ABS(Table2[[#This Row],[ActualAwayScore]]-Table2[[#This Row],[ActualHomeScore]])&gt;=5, 1, 0)</f>
        <v>0</v>
      </c>
      <c r="AT565" s="2">
        <f>IF(Table2[[#This Row],[ActualAwayScore]] + Table2[[#This Row],[ActualHomeScore]] &lt;= 3, 1, 0)</f>
        <v>1</v>
      </c>
      <c r="AU565" s="2"/>
      <c r="AV565" s="2"/>
    </row>
    <row r="566" spans="1:48" x14ac:dyDescent="0.25">
      <c r="A566" s="3"/>
      <c r="B566" s="3">
        <v>46013</v>
      </c>
      <c r="C566" s="5">
        <v>2025020564</v>
      </c>
      <c r="D566" s="2" t="s">
        <v>29</v>
      </c>
      <c r="E566" s="2" t="s">
        <v>15</v>
      </c>
      <c r="F566" s="2"/>
      <c r="G566" s="2"/>
      <c r="H566" s="2" t="str">
        <f t="shared" si="44"/>
        <v>_</v>
      </c>
      <c r="I566" s="2"/>
      <c r="J566" s="2"/>
      <c r="K566" s="2"/>
      <c r="L566" s="2" t="str">
        <f t="shared" si="45"/>
        <v>_</v>
      </c>
      <c r="M566" s="2"/>
      <c r="N566" s="2">
        <f>IF(ISBLANK(Table2[[#This Row],[ActualResult]]), 0, 1)</f>
        <v>0</v>
      </c>
      <c r="O566" s="2" t="str">
        <f>IF(ISBLANK(Table2[[#This Row],[ActualResult]]), "_", IF(Table2[[#This Row],[ActualWinner]]=Table2[[#This Row],[PredictedWinner]], "Y", "N"))</f>
        <v>_</v>
      </c>
      <c r="P5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6" s="2"/>
      <c r="S566" s="2" t="str">
        <f t="shared" si="46"/>
        <v>_</v>
      </c>
      <c r="T5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6" s="2">
        <f>IF(Table2[[#This Row],[InterConf]]=1,IF(Table2[[#This Row],[InterDiv]]=0, 1, 0), 0)</f>
        <v>0</v>
      </c>
      <c r="W5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6" s="2"/>
      <c r="Y566" s="2"/>
      <c r="Z566" s="145">
        <f>IF(AND(Table2[[#This Row],[GameIsOver]]=1,Table2[[#This Row],[ActualHomeScore]]*Table2[[#This Row],[ActualAwayScore]]=0), 1,0)</f>
        <v>0</v>
      </c>
      <c r="AA5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6" s="2">
        <f>Table2[[#This Row],[ActualAwayScore]]-Table2[[#This Row],[PredictedAwayScore]]</f>
        <v>0</v>
      </c>
      <c r="AG566" s="2">
        <f>Table2[[#This Row],[ActualHomeScore]]-Table2[[#This Row],[PredictedHomeScore]]</f>
        <v>0</v>
      </c>
      <c r="AH566" s="2">
        <f t="shared" si="47"/>
        <v>0</v>
      </c>
      <c r="AI566" s="2">
        <f t="shared" si="48"/>
        <v>0</v>
      </c>
      <c r="AJ566" s="2"/>
      <c r="AK566" s="3"/>
      <c r="AL566" s="2">
        <f>IF(Table2[[#This Row],[GameIsOver]]=0,0,IF(Table2[[#This Row],[ActualWinner]]=Table2[[#This Row],[AwayTeam]], 1, 0))</f>
        <v>0</v>
      </c>
      <c r="AM566" s="2">
        <f>IF(Table2[[#This Row],[GameIsOver]]=0,0,IF(Table2[[#This Row],[ActualWinner]]=Table2[[#This Row],[HomeTeam]], 1, 0))</f>
        <v>0</v>
      </c>
      <c r="AN5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6" s="2" t="str">
        <f>INDEX(Sheet5!$B$2:$AG$33, MATCH(Table2[[#This Row],[AwayTeam]],Sheet5!$A$2:$A$33, 0), MATCH(Table2[[#This Row],[HomeTeam]],Sheet5!$A$2:$A$33, 0))</f>
        <v>0-0-0</v>
      </c>
      <c r="AP566" s="2" t="str">
        <f>INDEX(Sheet5!$B$2:$AG$33, MATCH(Table2[[#This Row],[HomeTeam]],Sheet5!$A$2:$A$33, 0), MATCH(Table2[[#This Row],[AwayTeam]],Sheet5!$A$2:$A$33, 0))</f>
        <v>0-0-0</v>
      </c>
      <c r="AQ566" s="2">
        <f>IF(Table2[[#This Row],[GameHasShutOut]], 1, 0)</f>
        <v>0</v>
      </c>
      <c r="AR566" s="2">
        <f>IF(Table2[[#This Row],[ActualAwayScore]] + Table2[[#This Row],[ActualHomeScore]] &gt;= 10, 1, 0)</f>
        <v>0</v>
      </c>
      <c r="AS566" s="2">
        <f>IF(ABS(Table2[[#This Row],[ActualAwayScore]]-Table2[[#This Row],[ActualHomeScore]])&gt;=5, 1, 0)</f>
        <v>0</v>
      </c>
      <c r="AT566" s="2">
        <f>IF(Table2[[#This Row],[ActualAwayScore]] + Table2[[#This Row],[ActualHomeScore]] &lt;= 3, 1, 0)</f>
        <v>1</v>
      </c>
      <c r="AU566" s="2"/>
      <c r="AV566" s="2"/>
    </row>
    <row r="567" spans="1:48" x14ac:dyDescent="0.25">
      <c r="A567" s="3"/>
      <c r="B567" s="3">
        <v>46013</v>
      </c>
      <c r="C567" s="5">
        <v>2025020565</v>
      </c>
      <c r="D567" s="2" t="s">
        <v>28</v>
      </c>
      <c r="E567" s="2" t="s">
        <v>31</v>
      </c>
      <c r="F567" s="2"/>
      <c r="G567" s="2"/>
      <c r="H567" s="2" t="str">
        <f t="shared" si="44"/>
        <v>_</v>
      </c>
      <c r="I567" s="2"/>
      <c r="J567" s="2"/>
      <c r="K567" s="2"/>
      <c r="L567" s="2" t="str">
        <f t="shared" si="45"/>
        <v>_</v>
      </c>
      <c r="M567" s="2"/>
      <c r="N567" s="2">
        <f>IF(ISBLANK(Table2[[#This Row],[ActualResult]]), 0, 1)</f>
        <v>0</v>
      </c>
      <c r="O567" s="2" t="str">
        <f>IF(ISBLANK(Table2[[#This Row],[ActualResult]]), "_", IF(Table2[[#This Row],[ActualWinner]]=Table2[[#This Row],[PredictedWinner]], "Y", "N"))</f>
        <v>_</v>
      </c>
      <c r="P5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7" s="2"/>
      <c r="S567" s="2" t="str">
        <f t="shared" si="46"/>
        <v>_</v>
      </c>
      <c r="T5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7" s="2">
        <f>IF(Table2[[#This Row],[InterConf]]=1,IF(Table2[[#This Row],[InterDiv]]=0, 1, 0), 0)</f>
        <v>1</v>
      </c>
      <c r="W5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7" s="2"/>
      <c r="Y567" s="2"/>
      <c r="Z567" s="145">
        <f>IF(AND(Table2[[#This Row],[GameIsOver]]=1,Table2[[#This Row],[ActualHomeScore]]*Table2[[#This Row],[ActualAwayScore]]=0), 1,0)</f>
        <v>0</v>
      </c>
      <c r="AA5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7" s="2">
        <f>Table2[[#This Row],[ActualAwayScore]]-Table2[[#This Row],[PredictedAwayScore]]</f>
        <v>0</v>
      </c>
      <c r="AG567" s="2">
        <f>Table2[[#This Row],[ActualHomeScore]]-Table2[[#This Row],[PredictedHomeScore]]</f>
        <v>0</v>
      </c>
      <c r="AH567" s="2">
        <f t="shared" si="47"/>
        <v>0</v>
      </c>
      <c r="AI567" s="2">
        <f t="shared" si="48"/>
        <v>0</v>
      </c>
      <c r="AJ567" s="2"/>
      <c r="AK567" s="3"/>
      <c r="AL567" s="2">
        <f>IF(Table2[[#This Row],[GameIsOver]]=0,0,IF(Table2[[#This Row],[ActualWinner]]=Table2[[#This Row],[AwayTeam]], 1, 0))</f>
        <v>0</v>
      </c>
      <c r="AM567" s="2">
        <f>IF(Table2[[#This Row],[GameIsOver]]=0,0,IF(Table2[[#This Row],[ActualWinner]]=Table2[[#This Row],[HomeTeam]], 1, 0))</f>
        <v>0</v>
      </c>
      <c r="AN5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7" s="2" t="str">
        <f>INDEX(Sheet5!$B$2:$AG$33, MATCH(Table2[[#This Row],[AwayTeam]],Sheet5!$A$2:$A$33, 0), MATCH(Table2[[#This Row],[HomeTeam]],Sheet5!$A$2:$A$33, 0))</f>
        <v>0-0-0</v>
      </c>
      <c r="AP567" s="2" t="str">
        <f>INDEX(Sheet5!$B$2:$AG$33, MATCH(Table2[[#This Row],[HomeTeam]],Sheet5!$A$2:$A$33, 0), MATCH(Table2[[#This Row],[AwayTeam]],Sheet5!$A$2:$A$33, 0))</f>
        <v>0-0-0</v>
      </c>
      <c r="AQ567" s="2">
        <f>IF(Table2[[#This Row],[GameHasShutOut]], 1, 0)</f>
        <v>0</v>
      </c>
      <c r="AR567" s="2">
        <f>IF(Table2[[#This Row],[ActualAwayScore]] + Table2[[#This Row],[ActualHomeScore]] &gt;= 10, 1, 0)</f>
        <v>0</v>
      </c>
      <c r="AS567" s="2">
        <f>IF(ABS(Table2[[#This Row],[ActualAwayScore]]-Table2[[#This Row],[ActualHomeScore]])&gt;=5, 1, 0)</f>
        <v>0</v>
      </c>
      <c r="AT567" s="2">
        <f>IF(Table2[[#This Row],[ActualAwayScore]] + Table2[[#This Row],[ActualHomeScore]] &lt;= 3, 1, 0)</f>
        <v>1</v>
      </c>
      <c r="AU567" s="2"/>
      <c r="AV567" s="2"/>
    </row>
    <row r="568" spans="1:48" x14ac:dyDescent="0.25">
      <c r="A568" s="3"/>
      <c r="B568" s="3">
        <v>46013</v>
      </c>
      <c r="C568" s="5">
        <v>2025020566</v>
      </c>
      <c r="D568" s="2" t="s">
        <v>18</v>
      </c>
      <c r="E568" s="2" t="s">
        <v>20</v>
      </c>
      <c r="F568" s="2"/>
      <c r="G568" s="2"/>
      <c r="H568" s="2" t="str">
        <f t="shared" si="44"/>
        <v>_</v>
      </c>
      <c r="I568" s="2"/>
      <c r="J568" s="2"/>
      <c r="K568" s="2"/>
      <c r="L568" s="2" t="str">
        <f t="shared" si="45"/>
        <v>_</v>
      </c>
      <c r="M568" s="2"/>
      <c r="N568" s="2">
        <f>IF(ISBLANK(Table2[[#This Row],[ActualResult]]), 0, 1)</f>
        <v>0</v>
      </c>
      <c r="O568" s="2" t="str">
        <f>IF(ISBLANK(Table2[[#This Row],[ActualResult]]), "_", IF(Table2[[#This Row],[ActualWinner]]=Table2[[#This Row],[PredictedWinner]], "Y", "N"))</f>
        <v>_</v>
      </c>
      <c r="P5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8" s="2"/>
      <c r="S568" s="2" t="str">
        <f t="shared" si="46"/>
        <v>_</v>
      </c>
      <c r="T5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8" s="2">
        <f>IF(Table2[[#This Row],[InterConf]]=1,IF(Table2[[#This Row],[InterDiv]]=0, 1, 0), 0)</f>
        <v>1</v>
      </c>
      <c r="W5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8" s="2"/>
      <c r="Y568" s="2"/>
      <c r="Z568" s="145">
        <f>IF(AND(Table2[[#This Row],[GameIsOver]]=1,Table2[[#This Row],[ActualHomeScore]]*Table2[[#This Row],[ActualAwayScore]]=0), 1,0)</f>
        <v>0</v>
      </c>
      <c r="AA5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8" s="2">
        <f>Table2[[#This Row],[ActualAwayScore]]-Table2[[#This Row],[PredictedAwayScore]]</f>
        <v>0</v>
      </c>
      <c r="AG568" s="2">
        <f>Table2[[#This Row],[ActualHomeScore]]-Table2[[#This Row],[PredictedHomeScore]]</f>
        <v>0</v>
      </c>
      <c r="AH568" s="2">
        <f t="shared" si="47"/>
        <v>0</v>
      </c>
      <c r="AI568" s="2">
        <f t="shared" si="48"/>
        <v>0</v>
      </c>
      <c r="AJ568" s="2"/>
      <c r="AK568" s="3"/>
      <c r="AL568" s="2">
        <f>IF(Table2[[#This Row],[GameIsOver]]=0,0,IF(Table2[[#This Row],[ActualWinner]]=Table2[[#This Row],[AwayTeam]], 1, 0))</f>
        <v>0</v>
      </c>
      <c r="AM568" s="2">
        <f>IF(Table2[[#This Row],[GameIsOver]]=0,0,IF(Table2[[#This Row],[ActualWinner]]=Table2[[#This Row],[HomeTeam]], 1, 0))</f>
        <v>0</v>
      </c>
      <c r="AN5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8" s="2" t="str">
        <f>INDEX(Sheet5!$B$2:$AG$33, MATCH(Table2[[#This Row],[AwayTeam]],Sheet5!$A$2:$A$33, 0), MATCH(Table2[[#This Row],[HomeTeam]],Sheet5!$A$2:$A$33, 0))</f>
        <v>0-0-0</v>
      </c>
      <c r="AP568" s="2" t="str">
        <f>INDEX(Sheet5!$B$2:$AG$33, MATCH(Table2[[#This Row],[HomeTeam]],Sheet5!$A$2:$A$33, 0), MATCH(Table2[[#This Row],[AwayTeam]],Sheet5!$A$2:$A$33, 0))</f>
        <v>0-0-0</v>
      </c>
      <c r="AQ568" s="2">
        <f>IF(Table2[[#This Row],[GameHasShutOut]], 1, 0)</f>
        <v>0</v>
      </c>
      <c r="AR568" s="2">
        <f>IF(Table2[[#This Row],[ActualAwayScore]] + Table2[[#This Row],[ActualHomeScore]] &gt;= 10, 1, 0)</f>
        <v>0</v>
      </c>
      <c r="AS568" s="2">
        <f>IF(ABS(Table2[[#This Row],[ActualAwayScore]]-Table2[[#This Row],[ActualHomeScore]])&gt;=5, 1, 0)</f>
        <v>0</v>
      </c>
      <c r="AT568" s="2">
        <f>IF(Table2[[#This Row],[ActualAwayScore]] + Table2[[#This Row],[ActualHomeScore]] &lt;= 3, 1, 0)</f>
        <v>1</v>
      </c>
      <c r="AU568" s="2"/>
      <c r="AV568" s="2"/>
    </row>
    <row r="569" spans="1:48" x14ac:dyDescent="0.25">
      <c r="A569" s="3"/>
      <c r="B569" s="3">
        <v>46013</v>
      </c>
      <c r="C569" s="5">
        <v>2025020567</v>
      </c>
      <c r="D569" s="2" t="s">
        <v>19</v>
      </c>
      <c r="E569" s="2" t="s">
        <v>34</v>
      </c>
      <c r="F569" s="2"/>
      <c r="G569" s="2"/>
      <c r="H569" s="2" t="str">
        <f t="shared" si="44"/>
        <v>_</v>
      </c>
      <c r="I569" s="2"/>
      <c r="J569" s="2"/>
      <c r="K569" s="2"/>
      <c r="L569" s="2" t="str">
        <f t="shared" si="45"/>
        <v>_</v>
      </c>
      <c r="M569" s="2"/>
      <c r="N569" s="2">
        <f>IF(ISBLANK(Table2[[#This Row],[ActualResult]]), 0, 1)</f>
        <v>0</v>
      </c>
      <c r="O569" s="2" t="str">
        <f>IF(ISBLANK(Table2[[#This Row],[ActualResult]]), "_", IF(Table2[[#This Row],[ActualWinner]]=Table2[[#This Row],[PredictedWinner]], "Y", "N"))</f>
        <v>_</v>
      </c>
      <c r="P5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9" s="2"/>
      <c r="S569" s="2" t="str">
        <f t="shared" si="46"/>
        <v>_</v>
      </c>
      <c r="T5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9" s="2">
        <f>IF(Table2[[#This Row],[InterConf]]=1,IF(Table2[[#This Row],[InterDiv]]=0, 1, 0), 0)</f>
        <v>0</v>
      </c>
      <c r="W5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69" s="2"/>
      <c r="Y569" s="2"/>
      <c r="Z569" s="145">
        <f>IF(AND(Table2[[#This Row],[GameIsOver]]=1,Table2[[#This Row],[ActualHomeScore]]*Table2[[#This Row],[ActualAwayScore]]=0), 1,0)</f>
        <v>0</v>
      </c>
      <c r="AA5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9" s="2">
        <f>Table2[[#This Row],[ActualAwayScore]]-Table2[[#This Row],[PredictedAwayScore]]</f>
        <v>0</v>
      </c>
      <c r="AG569" s="2">
        <f>Table2[[#This Row],[ActualHomeScore]]-Table2[[#This Row],[PredictedHomeScore]]</f>
        <v>0</v>
      </c>
      <c r="AH569" s="2">
        <f t="shared" si="47"/>
        <v>0</v>
      </c>
      <c r="AI569" s="2">
        <f t="shared" si="48"/>
        <v>0</v>
      </c>
      <c r="AJ569" s="2"/>
      <c r="AK569" s="3"/>
      <c r="AL569" s="2">
        <f>IF(Table2[[#This Row],[GameIsOver]]=0,0,IF(Table2[[#This Row],[ActualWinner]]=Table2[[#This Row],[AwayTeam]], 1, 0))</f>
        <v>0</v>
      </c>
      <c r="AM569" s="2">
        <f>IF(Table2[[#This Row],[GameIsOver]]=0,0,IF(Table2[[#This Row],[ActualWinner]]=Table2[[#This Row],[HomeTeam]], 1, 0))</f>
        <v>0</v>
      </c>
      <c r="AN5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9" s="2" t="str">
        <f>INDEX(Sheet5!$B$2:$AG$33, MATCH(Table2[[#This Row],[AwayTeam]],Sheet5!$A$2:$A$33, 0), MATCH(Table2[[#This Row],[HomeTeam]],Sheet5!$A$2:$A$33, 0))</f>
        <v>0-0-0</v>
      </c>
      <c r="AP569" s="2" t="str">
        <f>INDEX(Sheet5!$B$2:$AG$33, MATCH(Table2[[#This Row],[HomeTeam]],Sheet5!$A$2:$A$33, 0), MATCH(Table2[[#This Row],[AwayTeam]],Sheet5!$A$2:$A$33, 0))</f>
        <v>0-0-0</v>
      </c>
      <c r="AQ569" s="2">
        <f>IF(Table2[[#This Row],[GameHasShutOut]], 1, 0)</f>
        <v>0</v>
      </c>
      <c r="AR569" s="2">
        <f>IF(Table2[[#This Row],[ActualAwayScore]] + Table2[[#This Row],[ActualHomeScore]] &gt;= 10, 1, 0)</f>
        <v>0</v>
      </c>
      <c r="AS569" s="2">
        <f>IF(ABS(Table2[[#This Row],[ActualAwayScore]]-Table2[[#This Row],[ActualHomeScore]])&gt;=5, 1, 0)</f>
        <v>0</v>
      </c>
      <c r="AT569" s="2">
        <f>IF(Table2[[#This Row],[ActualAwayScore]] + Table2[[#This Row],[ActualHomeScore]] &lt;= 3, 1, 0)</f>
        <v>1</v>
      </c>
      <c r="AU569" s="2"/>
      <c r="AV569" s="2"/>
    </row>
    <row r="570" spans="1:48" x14ac:dyDescent="0.25">
      <c r="A570" s="3"/>
      <c r="B570" s="3">
        <v>46013</v>
      </c>
      <c r="C570" s="5">
        <v>2025020568</v>
      </c>
      <c r="D570" s="2" t="s">
        <v>17</v>
      </c>
      <c r="E570" s="2" t="s">
        <v>33</v>
      </c>
      <c r="F570" s="2"/>
      <c r="G570" s="2"/>
      <c r="H570" s="2" t="str">
        <f t="shared" si="44"/>
        <v>_</v>
      </c>
      <c r="I570" s="2"/>
      <c r="J570" s="2"/>
      <c r="K570" s="2"/>
      <c r="L570" s="2" t="str">
        <f t="shared" si="45"/>
        <v>_</v>
      </c>
      <c r="M570" s="2"/>
      <c r="N570" s="2">
        <f>IF(ISBLANK(Table2[[#This Row],[ActualResult]]), 0, 1)</f>
        <v>0</v>
      </c>
      <c r="O570" s="2" t="str">
        <f>IF(ISBLANK(Table2[[#This Row],[ActualResult]]), "_", IF(Table2[[#This Row],[ActualWinner]]=Table2[[#This Row],[PredictedWinner]], "Y", "N"))</f>
        <v>_</v>
      </c>
      <c r="P5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0" s="2"/>
      <c r="S570" s="2" t="str">
        <f t="shared" si="46"/>
        <v>_</v>
      </c>
      <c r="T5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0" s="2">
        <f>IF(Table2[[#This Row],[InterConf]]=1,IF(Table2[[#This Row],[InterDiv]]=0, 1, 0), 0)</f>
        <v>0</v>
      </c>
      <c r="W5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0" s="2"/>
      <c r="Y570" s="2"/>
      <c r="Z570" s="145">
        <f>IF(AND(Table2[[#This Row],[GameIsOver]]=1,Table2[[#This Row],[ActualHomeScore]]*Table2[[#This Row],[ActualAwayScore]]=0), 1,0)</f>
        <v>0</v>
      </c>
      <c r="AA5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70" s="2">
        <f>Table2[[#This Row],[ActualAwayScore]]-Table2[[#This Row],[PredictedAwayScore]]</f>
        <v>0</v>
      </c>
      <c r="AG570" s="2">
        <f>Table2[[#This Row],[ActualHomeScore]]-Table2[[#This Row],[PredictedHomeScore]]</f>
        <v>0</v>
      </c>
      <c r="AH570" s="2">
        <f t="shared" si="47"/>
        <v>0</v>
      </c>
      <c r="AI570" s="2">
        <f t="shared" si="48"/>
        <v>0</v>
      </c>
      <c r="AJ570" s="2"/>
      <c r="AK570" s="3"/>
      <c r="AL570" s="2">
        <f>IF(Table2[[#This Row],[GameIsOver]]=0,0,IF(Table2[[#This Row],[ActualWinner]]=Table2[[#This Row],[AwayTeam]], 1, 0))</f>
        <v>0</v>
      </c>
      <c r="AM570" s="2">
        <f>IF(Table2[[#This Row],[GameIsOver]]=0,0,IF(Table2[[#This Row],[ActualWinner]]=Table2[[#This Row],[HomeTeam]], 1, 0))</f>
        <v>0</v>
      </c>
      <c r="AN5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0" s="2" t="str">
        <f>INDEX(Sheet5!$B$2:$AG$33, MATCH(Table2[[#This Row],[AwayTeam]],Sheet5!$A$2:$A$33, 0), MATCH(Table2[[#This Row],[HomeTeam]],Sheet5!$A$2:$A$33, 0))</f>
        <v>0-0-0</v>
      </c>
      <c r="AP570" s="2" t="str">
        <f>INDEX(Sheet5!$B$2:$AG$33, MATCH(Table2[[#This Row],[HomeTeam]],Sheet5!$A$2:$A$33, 0), MATCH(Table2[[#This Row],[AwayTeam]],Sheet5!$A$2:$A$33, 0))</f>
        <v>0-0-0</v>
      </c>
      <c r="AQ570" s="2">
        <f>IF(Table2[[#This Row],[GameHasShutOut]], 1, 0)</f>
        <v>0</v>
      </c>
      <c r="AR570" s="2">
        <f>IF(Table2[[#This Row],[ActualAwayScore]] + Table2[[#This Row],[ActualHomeScore]] &gt;= 10, 1, 0)</f>
        <v>0</v>
      </c>
      <c r="AS570" s="2">
        <f>IF(ABS(Table2[[#This Row],[ActualAwayScore]]-Table2[[#This Row],[ActualHomeScore]])&gt;=5, 1, 0)</f>
        <v>0</v>
      </c>
      <c r="AT570" s="2">
        <f>IF(Table2[[#This Row],[ActualAwayScore]] + Table2[[#This Row],[ActualHomeScore]] &lt;= 3, 1, 0)</f>
        <v>1</v>
      </c>
      <c r="AU570" s="2"/>
      <c r="AV570" s="2"/>
    </row>
    <row r="571" spans="1:48" x14ac:dyDescent="0.25">
      <c r="A571" s="3"/>
      <c r="B571" s="3">
        <v>46013</v>
      </c>
      <c r="C571" s="5">
        <v>2025020569</v>
      </c>
      <c r="D571" s="2" t="s">
        <v>21</v>
      </c>
      <c r="E571" s="2" t="s">
        <v>14</v>
      </c>
      <c r="F571" s="2"/>
      <c r="G571" s="2"/>
      <c r="H571" s="2" t="str">
        <f t="shared" si="44"/>
        <v>_</v>
      </c>
      <c r="I571" s="2"/>
      <c r="J571" s="2"/>
      <c r="K571" s="2"/>
      <c r="L571" s="2" t="str">
        <f t="shared" si="45"/>
        <v>_</v>
      </c>
      <c r="M571" s="2"/>
      <c r="N571" s="2">
        <f>IF(ISBLANK(Table2[[#This Row],[ActualResult]]), 0, 1)</f>
        <v>0</v>
      </c>
      <c r="O571" s="2" t="str">
        <f>IF(ISBLANK(Table2[[#This Row],[ActualResult]]), "_", IF(Table2[[#This Row],[ActualWinner]]=Table2[[#This Row],[PredictedWinner]], "Y", "N"))</f>
        <v>_</v>
      </c>
      <c r="P5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1" s="2"/>
      <c r="S571" s="2" t="str">
        <f t="shared" si="46"/>
        <v>_</v>
      </c>
      <c r="T5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1" s="2">
        <f>IF(Table2[[#This Row],[InterConf]]=1,IF(Table2[[#This Row],[InterDiv]]=0, 1, 0), 0)</f>
        <v>0</v>
      </c>
      <c r="W5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1" s="2"/>
      <c r="Y571" s="2"/>
      <c r="Z571" s="145">
        <f>IF(AND(Table2[[#This Row],[GameIsOver]]=1,Table2[[#This Row],[ActualHomeScore]]*Table2[[#This Row],[ActualAwayScore]]=0), 1,0)</f>
        <v>0</v>
      </c>
      <c r="AA5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71" s="2">
        <f>Table2[[#This Row],[ActualAwayScore]]-Table2[[#This Row],[PredictedAwayScore]]</f>
        <v>0</v>
      </c>
      <c r="AG571" s="2">
        <f>Table2[[#This Row],[ActualHomeScore]]-Table2[[#This Row],[PredictedHomeScore]]</f>
        <v>0</v>
      </c>
      <c r="AH571" s="2">
        <f t="shared" si="47"/>
        <v>0</v>
      </c>
      <c r="AI571" s="2">
        <f t="shared" si="48"/>
        <v>0</v>
      </c>
      <c r="AJ571" s="2"/>
      <c r="AK571" s="3"/>
      <c r="AL571" s="2">
        <f>IF(Table2[[#This Row],[GameIsOver]]=0,0,IF(Table2[[#This Row],[ActualWinner]]=Table2[[#This Row],[AwayTeam]], 1, 0))</f>
        <v>0</v>
      </c>
      <c r="AM571" s="2">
        <f>IF(Table2[[#This Row],[GameIsOver]]=0,0,IF(Table2[[#This Row],[ActualWinner]]=Table2[[#This Row],[HomeTeam]], 1, 0))</f>
        <v>0</v>
      </c>
      <c r="AN5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1" s="2" t="str">
        <f>INDEX(Sheet5!$B$2:$AG$33, MATCH(Table2[[#This Row],[AwayTeam]],Sheet5!$A$2:$A$33, 0), MATCH(Table2[[#This Row],[HomeTeam]],Sheet5!$A$2:$A$33, 0))</f>
        <v>0-0-0</v>
      </c>
      <c r="AP571" s="2" t="str">
        <f>INDEX(Sheet5!$B$2:$AG$33, MATCH(Table2[[#This Row],[HomeTeam]],Sheet5!$A$2:$A$33, 0), MATCH(Table2[[#This Row],[AwayTeam]],Sheet5!$A$2:$A$33, 0))</f>
        <v>0-0-0</v>
      </c>
      <c r="AQ571" s="2">
        <f>IF(Table2[[#This Row],[GameHasShutOut]], 1, 0)</f>
        <v>0</v>
      </c>
      <c r="AR571" s="2">
        <f>IF(Table2[[#This Row],[ActualAwayScore]] + Table2[[#This Row],[ActualHomeScore]] &gt;= 10, 1, 0)</f>
        <v>0</v>
      </c>
      <c r="AS571" s="2">
        <f>IF(ABS(Table2[[#This Row],[ActualAwayScore]]-Table2[[#This Row],[ActualHomeScore]])&gt;=5, 1, 0)</f>
        <v>0</v>
      </c>
      <c r="AT571" s="2">
        <f>IF(Table2[[#This Row],[ActualAwayScore]] + Table2[[#This Row],[ActualHomeScore]] &lt;= 3, 1, 0)</f>
        <v>1</v>
      </c>
      <c r="AU571" s="2"/>
      <c r="AV571" s="2"/>
    </row>
    <row r="572" spans="1:48" x14ac:dyDescent="0.25">
      <c r="A572" s="3"/>
      <c r="B572" s="3">
        <v>46013</v>
      </c>
      <c r="C572" s="5">
        <v>2025020570</v>
      </c>
      <c r="D572" s="2" t="s">
        <v>26</v>
      </c>
      <c r="E572" s="2" t="s">
        <v>22</v>
      </c>
      <c r="F572" s="2"/>
      <c r="G572" s="2"/>
      <c r="H572" s="2" t="str">
        <f t="shared" si="44"/>
        <v>_</v>
      </c>
      <c r="I572" s="2"/>
      <c r="J572" s="2"/>
      <c r="K572" s="2"/>
      <c r="L572" s="2" t="str">
        <f t="shared" si="45"/>
        <v>_</v>
      </c>
      <c r="M572" s="2"/>
      <c r="N572" s="2">
        <f>IF(ISBLANK(Table2[[#This Row],[ActualResult]]), 0, 1)</f>
        <v>0</v>
      </c>
      <c r="O572" s="2" t="str">
        <f>IF(ISBLANK(Table2[[#This Row],[ActualResult]]), "_", IF(Table2[[#This Row],[ActualWinner]]=Table2[[#This Row],[PredictedWinner]], "Y", "N"))</f>
        <v>_</v>
      </c>
      <c r="P5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2" s="2"/>
      <c r="S572" s="2" t="str">
        <f t="shared" si="46"/>
        <v>_</v>
      </c>
      <c r="T5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2" s="2">
        <f>IF(Table2[[#This Row],[InterConf]]=1,IF(Table2[[#This Row],[InterDiv]]=0, 1, 0), 0)</f>
        <v>0</v>
      </c>
      <c r="W5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2" s="2"/>
      <c r="Y572" s="2"/>
      <c r="Z572" s="145">
        <f>IF(AND(Table2[[#This Row],[GameIsOver]]=1,Table2[[#This Row],[ActualHomeScore]]*Table2[[#This Row],[ActualAwayScore]]=0), 1,0)</f>
        <v>0</v>
      </c>
      <c r="AA5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72" s="2">
        <f>Table2[[#This Row],[ActualAwayScore]]-Table2[[#This Row],[PredictedAwayScore]]</f>
        <v>0</v>
      </c>
      <c r="AG572" s="2">
        <f>Table2[[#This Row],[ActualHomeScore]]-Table2[[#This Row],[PredictedHomeScore]]</f>
        <v>0</v>
      </c>
      <c r="AH572" s="2">
        <f t="shared" si="47"/>
        <v>0</v>
      </c>
      <c r="AI572" s="2">
        <f t="shared" si="48"/>
        <v>0</v>
      </c>
      <c r="AJ572" s="2"/>
      <c r="AK572" s="3"/>
      <c r="AL572" s="2">
        <f>IF(Table2[[#This Row],[GameIsOver]]=0,0,IF(Table2[[#This Row],[ActualWinner]]=Table2[[#This Row],[AwayTeam]], 1, 0))</f>
        <v>0</v>
      </c>
      <c r="AM572" s="2">
        <f>IF(Table2[[#This Row],[GameIsOver]]=0,0,IF(Table2[[#This Row],[ActualWinner]]=Table2[[#This Row],[HomeTeam]], 1, 0))</f>
        <v>0</v>
      </c>
      <c r="AN5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2" s="2" t="str">
        <f>INDEX(Sheet5!$B$2:$AG$33, MATCH(Table2[[#This Row],[AwayTeam]],Sheet5!$A$2:$A$33, 0), MATCH(Table2[[#This Row],[HomeTeam]],Sheet5!$A$2:$A$33, 0))</f>
        <v>0-0-0</v>
      </c>
      <c r="AP572" s="2" t="str">
        <f>INDEX(Sheet5!$B$2:$AG$33, MATCH(Table2[[#This Row],[HomeTeam]],Sheet5!$A$2:$A$33, 0), MATCH(Table2[[#This Row],[AwayTeam]],Sheet5!$A$2:$A$33, 0))</f>
        <v>0-0-0</v>
      </c>
      <c r="AQ572" s="2">
        <f>IF(Table2[[#This Row],[GameHasShutOut]], 1, 0)</f>
        <v>0</v>
      </c>
      <c r="AR572" s="2">
        <f>IF(Table2[[#This Row],[ActualAwayScore]] + Table2[[#This Row],[ActualHomeScore]] &gt;= 10, 1, 0)</f>
        <v>0</v>
      </c>
      <c r="AS572" s="2">
        <f>IF(ABS(Table2[[#This Row],[ActualAwayScore]]-Table2[[#This Row],[ActualHomeScore]])&gt;=5, 1, 0)</f>
        <v>0</v>
      </c>
      <c r="AT572" s="2">
        <f>IF(Table2[[#This Row],[ActualAwayScore]] + Table2[[#This Row],[ActualHomeScore]] &lt;= 3, 1, 0)</f>
        <v>1</v>
      </c>
      <c r="AU572" s="2"/>
      <c r="AV572" s="2"/>
    </row>
    <row r="573" spans="1:48" x14ac:dyDescent="0.25">
      <c r="A573" s="3"/>
      <c r="B573" s="3">
        <v>46014</v>
      </c>
      <c r="C573" s="5">
        <v>2025020571</v>
      </c>
      <c r="D573" s="2" t="s">
        <v>12</v>
      </c>
      <c r="E573" s="2" t="s">
        <v>40</v>
      </c>
      <c r="F573" s="2"/>
      <c r="G573" s="2"/>
      <c r="H573" s="2" t="str">
        <f t="shared" si="44"/>
        <v>_</v>
      </c>
      <c r="I573" s="2"/>
      <c r="J573" s="2"/>
      <c r="K573" s="2"/>
      <c r="L573" s="2" t="str">
        <f t="shared" si="45"/>
        <v>_</v>
      </c>
      <c r="M573" s="2"/>
      <c r="N573" s="2">
        <f>IF(ISBLANK(Table2[[#This Row],[ActualResult]]), 0, 1)</f>
        <v>0</v>
      </c>
      <c r="O573" s="2" t="str">
        <f>IF(ISBLANK(Table2[[#This Row],[ActualResult]]), "_", IF(Table2[[#This Row],[ActualWinner]]=Table2[[#This Row],[PredictedWinner]], "Y", "N"))</f>
        <v>_</v>
      </c>
      <c r="P5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3" s="2"/>
      <c r="S573" s="2" t="str">
        <f t="shared" si="46"/>
        <v>_</v>
      </c>
      <c r="T5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3" s="2">
        <f>IF(Table2[[#This Row],[InterConf]]=1,IF(Table2[[#This Row],[InterDiv]]=0, 1, 0), 0)</f>
        <v>0</v>
      </c>
      <c r="W5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3" s="2"/>
      <c r="Y573" s="2"/>
      <c r="Z573" s="145">
        <f>IF(AND(Table2[[#This Row],[GameIsOver]]=1,Table2[[#This Row],[ActualHomeScore]]*Table2[[#This Row],[ActualAwayScore]]=0), 1,0)</f>
        <v>0</v>
      </c>
      <c r="AA5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3" s="2">
        <f>Table2[[#This Row],[ActualAwayScore]]-Table2[[#This Row],[PredictedAwayScore]]</f>
        <v>0</v>
      </c>
      <c r="AG573" s="2">
        <f>Table2[[#This Row],[ActualHomeScore]]-Table2[[#This Row],[PredictedHomeScore]]</f>
        <v>0</v>
      </c>
      <c r="AH573" s="2">
        <f t="shared" si="47"/>
        <v>0</v>
      </c>
      <c r="AI573" s="2">
        <f t="shared" si="48"/>
        <v>0</v>
      </c>
      <c r="AJ573" s="2"/>
      <c r="AK573" s="3"/>
      <c r="AL573" s="2">
        <f>IF(Table2[[#This Row],[GameIsOver]]=0,0,IF(Table2[[#This Row],[ActualWinner]]=Table2[[#This Row],[AwayTeam]], 1, 0))</f>
        <v>0</v>
      </c>
      <c r="AM573" s="2">
        <f>IF(Table2[[#This Row],[GameIsOver]]=0,0,IF(Table2[[#This Row],[ActualWinner]]=Table2[[#This Row],[HomeTeam]], 1, 0))</f>
        <v>0</v>
      </c>
      <c r="AN5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3" s="2" t="str">
        <f>INDEX(Sheet5!$B$2:$AG$33, MATCH(Table2[[#This Row],[AwayTeam]],Sheet5!$A$2:$A$33, 0), MATCH(Table2[[#This Row],[HomeTeam]],Sheet5!$A$2:$A$33, 0))</f>
        <v>0-0-0</v>
      </c>
      <c r="AP573" s="2" t="str">
        <f>INDEX(Sheet5!$B$2:$AG$33, MATCH(Table2[[#This Row],[HomeTeam]],Sheet5!$A$2:$A$33, 0), MATCH(Table2[[#This Row],[AwayTeam]],Sheet5!$A$2:$A$33, 0))</f>
        <v>0-0-0</v>
      </c>
      <c r="AQ573" s="2">
        <f>IF(Table2[[#This Row],[GameHasShutOut]], 1, 0)</f>
        <v>0</v>
      </c>
      <c r="AR573" s="2">
        <f>IF(Table2[[#This Row],[ActualAwayScore]] + Table2[[#This Row],[ActualHomeScore]] &gt;= 10, 1, 0)</f>
        <v>0</v>
      </c>
      <c r="AS573" s="2">
        <f>IF(ABS(Table2[[#This Row],[ActualAwayScore]]-Table2[[#This Row],[ActualHomeScore]])&gt;=5, 1, 0)</f>
        <v>0</v>
      </c>
      <c r="AT573" s="2">
        <f>IF(Table2[[#This Row],[ActualAwayScore]] + Table2[[#This Row],[ActualHomeScore]] &lt;= 3, 1, 0)</f>
        <v>1</v>
      </c>
      <c r="AU573" s="2"/>
      <c r="AV573" s="2"/>
    </row>
    <row r="574" spans="1:48" x14ac:dyDescent="0.25">
      <c r="A574" s="3"/>
      <c r="B574" s="3">
        <v>46014</v>
      </c>
      <c r="C574" s="5">
        <v>2025020572</v>
      </c>
      <c r="D574" s="2" t="s">
        <v>24</v>
      </c>
      <c r="E574" s="2" t="s">
        <v>42</v>
      </c>
      <c r="F574" s="2"/>
      <c r="G574" s="2"/>
      <c r="H574" s="2" t="str">
        <f t="shared" si="44"/>
        <v>_</v>
      </c>
      <c r="I574" s="2"/>
      <c r="J574" s="2"/>
      <c r="K574" s="2"/>
      <c r="L574" s="2" t="str">
        <f t="shared" si="45"/>
        <v>_</v>
      </c>
      <c r="M574" s="2"/>
      <c r="N574" s="2">
        <f>IF(ISBLANK(Table2[[#This Row],[ActualResult]]), 0, 1)</f>
        <v>0</v>
      </c>
      <c r="O574" s="2" t="str">
        <f>IF(ISBLANK(Table2[[#This Row],[ActualResult]]), "_", IF(Table2[[#This Row],[ActualWinner]]=Table2[[#This Row],[PredictedWinner]], "Y", "N"))</f>
        <v>_</v>
      </c>
      <c r="P5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4" s="2"/>
      <c r="S574" s="2" t="str">
        <f t="shared" si="46"/>
        <v>_</v>
      </c>
      <c r="T5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4" s="2">
        <f>IF(Table2[[#This Row],[InterConf]]=1,IF(Table2[[#This Row],[InterDiv]]=0, 1, 0), 0)</f>
        <v>0</v>
      </c>
      <c r="W5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4" s="2"/>
      <c r="Y574" s="2"/>
      <c r="Z574" s="145">
        <f>IF(AND(Table2[[#This Row],[GameIsOver]]=1,Table2[[#This Row],[ActualHomeScore]]*Table2[[#This Row],[ActualAwayScore]]=0), 1,0)</f>
        <v>0</v>
      </c>
      <c r="AA5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4" s="2">
        <f>Table2[[#This Row],[ActualAwayScore]]-Table2[[#This Row],[PredictedAwayScore]]</f>
        <v>0</v>
      </c>
      <c r="AG574" s="2">
        <f>Table2[[#This Row],[ActualHomeScore]]-Table2[[#This Row],[PredictedHomeScore]]</f>
        <v>0</v>
      </c>
      <c r="AH574" s="2">
        <f t="shared" si="47"/>
        <v>0</v>
      </c>
      <c r="AI574" s="2">
        <f t="shared" si="48"/>
        <v>0</v>
      </c>
      <c r="AJ574" s="2"/>
      <c r="AK574" s="3"/>
      <c r="AL574" s="2">
        <f>IF(Table2[[#This Row],[GameIsOver]]=0,0,IF(Table2[[#This Row],[ActualWinner]]=Table2[[#This Row],[AwayTeam]], 1, 0))</f>
        <v>0</v>
      </c>
      <c r="AM574" s="2">
        <f>IF(Table2[[#This Row],[GameIsOver]]=0,0,IF(Table2[[#This Row],[ActualWinner]]=Table2[[#This Row],[HomeTeam]], 1, 0))</f>
        <v>0</v>
      </c>
      <c r="AN5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4" s="2" t="str">
        <f>INDEX(Sheet5!$B$2:$AG$33, MATCH(Table2[[#This Row],[AwayTeam]],Sheet5!$A$2:$A$33, 0), MATCH(Table2[[#This Row],[HomeTeam]],Sheet5!$A$2:$A$33, 0))</f>
        <v>0-0-0</v>
      </c>
      <c r="AP574" s="2" t="str">
        <f>INDEX(Sheet5!$B$2:$AG$33, MATCH(Table2[[#This Row],[HomeTeam]],Sheet5!$A$2:$A$33, 0), MATCH(Table2[[#This Row],[AwayTeam]],Sheet5!$A$2:$A$33, 0))</f>
        <v>0-0-0</v>
      </c>
      <c r="AQ574" s="2">
        <f>IF(Table2[[#This Row],[GameHasShutOut]], 1, 0)</f>
        <v>0</v>
      </c>
      <c r="AR574" s="2">
        <f>IF(Table2[[#This Row],[ActualAwayScore]] + Table2[[#This Row],[ActualHomeScore]] &gt;= 10, 1, 0)</f>
        <v>0</v>
      </c>
      <c r="AS574" s="2">
        <f>IF(ABS(Table2[[#This Row],[ActualAwayScore]]-Table2[[#This Row],[ActualHomeScore]])&gt;=5, 1, 0)</f>
        <v>0</v>
      </c>
      <c r="AT574" s="2">
        <f>IF(Table2[[#This Row],[ActualAwayScore]] + Table2[[#This Row],[ActualHomeScore]] &lt;= 3, 1, 0)</f>
        <v>1</v>
      </c>
      <c r="AU574" s="2"/>
      <c r="AV574" s="2"/>
    </row>
    <row r="575" spans="1:48" x14ac:dyDescent="0.25">
      <c r="A575" s="3"/>
      <c r="B575" s="3">
        <v>46014</v>
      </c>
      <c r="C575" s="5">
        <v>2025020573</v>
      </c>
      <c r="D575" s="2" t="s">
        <v>11</v>
      </c>
      <c r="E575" s="2" t="s">
        <v>44</v>
      </c>
      <c r="F575" s="2"/>
      <c r="G575" s="2"/>
      <c r="H575" s="2" t="str">
        <f t="shared" si="44"/>
        <v>_</v>
      </c>
      <c r="I575" s="2"/>
      <c r="J575" s="2"/>
      <c r="K575" s="2"/>
      <c r="L575" s="2" t="str">
        <f t="shared" si="45"/>
        <v>_</v>
      </c>
      <c r="M575" s="2"/>
      <c r="N575" s="2">
        <f>IF(ISBLANK(Table2[[#This Row],[ActualResult]]), 0, 1)</f>
        <v>0</v>
      </c>
      <c r="O575" s="2" t="str">
        <f>IF(ISBLANK(Table2[[#This Row],[ActualResult]]), "_", IF(Table2[[#This Row],[ActualWinner]]=Table2[[#This Row],[PredictedWinner]], "Y", "N"))</f>
        <v>_</v>
      </c>
      <c r="P5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5" s="2"/>
      <c r="S575" s="2" t="str">
        <f t="shared" si="46"/>
        <v>_</v>
      </c>
      <c r="T5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5" s="2">
        <f>IF(Table2[[#This Row],[InterConf]]=1,IF(Table2[[#This Row],[InterDiv]]=0, 1, 0), 0)</f>
        <v>0</v>
      </c>
      <c r="W5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5" s="2"/>
      <c r="Y575" s="2"/>
      <c r="Z575" s="145">
        <f>IF(AND(Table2[[#This Row],[GameIsOver]]=1,Table2[[#This Row],[ActualHomeScore]]*Table2[[#This Row],[ActualAwayScore]]=0), 1,0)</f>
        <v>0</v>
      </c>
      <c r="AA5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5" s="2">
        <f>Table2[[#This Row],[ActualAwayScore]]-Table2[[#This Row],[PredictedAwayScore]]</f>
        <v>0</v>
      </c>
      <c r="AG575" s="2">
        <f>Table2[[#This Row],[ActualHomeScore]]-Table2[[#This Row],[PredictedHomeScore]]</f>
        <v>0</v>
      </c>
      <c r="AH575" s="2">
        <f t="shared" si="47"/>
        <v>0</v>
      </c>
      <c r="AI575" s="2">
        <f t="shared" si="48"/>
        <v>0</v>
      </c>
      <c r="AJ575" s="2"/>
      <c r="AK575" s="3"/>
      <c r="AL575" s="2">
        <f>IF(Table2[[#This Row],[GameIsOver]]=0,0,IF(Table2[[#This Row],[ActualWinner]]=Table2[[#This Row],[AwayTeam]], 1, 0))</f>
        <v>0</v>
      </c>
      <c r="AM575" s="2">
        <f>IF(Table2[[#This Row],[GameIsOver]]=0,0,IF(Table2[[#This Row],[ActualWinner]]=Table2[[#This Row],[HomeTeam]], 1, 0))</f>
        <v>0</v>
      </c>
      <c r="AN5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5" s="2" t="str">
        <f>INDEX(Sheet5!$B$2:$AG$33, MATCH(Table2[[#This Row],[AwayTeam]],Sheet5!$A$2:$A$33, 0), MATCH(Table2[[#This Row],[HomeTeam]],Sheet5!$A$2:$A$33, 0))</f>
        <v>1-0-0</v>
      </c>
      <c r="AP575" s="2" t="str">
        <f>INDEX(Sheet5!$B$2:$AG$33, MATCH(Table2[[#This Row],[HomeTeam]],Sheet5!$A$2:$A$33, 0), MATCH(Table2[[#This Row],[AwayTeam]],Sheet5!$A$2:$A$33, 0))</f>
        <v>0-1-0</v>
      </c>
      <c r="AQ575" s="2">
        <f>IF(Table2[[#This Row],[GameHasShutOut]], 1, 0)</f>
        <v>0</v>
      </c>
      <c r="AR575" s="2">
        <f>IF(Table2[[#This Row],[ActualAwayScore]] + Table2[[#This Row],[ActualHomeScore]] &gt;= 10, 1, 0)</f>
        <v>0</v>
      </c>
      <c r="AS575" s="2">
        <f>IF(ABS(Table2[[#This Row],[ActualAwayScore]]-Table2[[#This Row],[ActualHomeScore]])&gt;=5, 1, 0)</f>
        <v>0</v>
      </c>
      <c r="AT575" s="2">
        <f>IF(Table2[[#This Row],[ActualAwayScore]] + Table2[[#This Row],[ActualHomeScore]] &lt;= 3, 1, 0)</f>
        <v>1</v>
      </c>
      <c r="AU575" s="2"/>
      <c r="AV575" s="2"/>
    </row>
    <row r="576" spans="1:48" x14ac:dyDescent="0.25">
      <c r="A576" s="3"/>
      <c r="B576" s="3">
        <v>46014</v>
      </c>
      <c r="C576" s="5">
        <v>2025020574</v>
      </c>
      <c r="D576" s="2" t="s">
        <v>35</v>
      </c>
      <c r="E576" s="2" t="s">
        <v>27</v>
      </c>
      <c r="F576" s="2"/>
      <c r="G576" s="2"/>
      <c r="H576" s="2" t="str">
        <f t="shared" si="44"/>
        <v>_</v>
      </c>
      <c r="I576" s="2"/>
      <c r="J576" s="2"/>
      <c r="K576" s="2"/>
      <c r="L576" s="2" t="str">
        <f t="shared" si="45"/>
        <v>_</v>
      </c>
      <c r="M576" s="2"/>
      <c r="N576" s="2">
        <f>IF(ISBLANK(Table2[[#This Row],[ActualResult]]), 0, 1)</f>
        <v>0</v>
      </c>
      <c r="O576" s="2" t="str">
        <f>IF(ISBLANK(Table2[[#This Row],[ActualResult]]), "_", IF(Table2[[#This Row],[ActualWinner]]=Table2[[#This Row],[PredictedWinner]], "Y", "N"))</f>
        <v>_</v>
      </c>
      <c r="P5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6" s="2"/>
      <c r="S576" s="2" t="str">
        <f t="shared" si="46"/>
        <v>_</v>
      </c>
      <c r="T5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6" s="2">
        <f>IF(Table2[[#This Row],[InterConf]]=1,IF(Table2[[#This Row],[InterDiv]]=0, 1, 0), 0)</f>
        <v>0</v>
      </c>
      <c r="W5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6" s="2"/>
      <c r="Y576" s="2"/>
      <c r="Z576" s="145">
        <f>IF(AND(Table2[[#This Row],[GameIsOver]]=1,Table2[[#This Row],[ActualHomeScore]]*Table2[[#This Row],[ActualAwayScore]]=0), 1,0)</f>
        <v>0</v>
      </c>
      <c r="AA5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6" s="2">
        <f>Table2[[#This Row],[ActualAwayScore]]-Table2[[#This Row],[PredictedAwayScore]]</f>
        <v>0</v>
      </c>
      <c r="AG576" s="2">
        <f>Table2[[#This Row],[ActualHomeScore]]-Table2[[#This Row],[PredictedHomeScore]]</f>
        <v>0</v>
      </c>
      <c r="AH576" s="2">
        <f t="shared" si="47"/>
        <v>0</v>
      </c>
      <c r="AI576" s="2">
        <f t="shared" si="48"/>
        <v>0</v>
      </c>
      <c r="AJ576" s="2"/>
      <c r="AK576" s="3"/>
      <c r="AL576" s="2">
        <f>IF(Table2[[#This Row],[GameIsOver]]=0,0,IF(Table2[[#This Row],[ActualWinner]]=Table2[[#This Row],[AwayTeam]], 1, 0))</f>
        <v>0</v>
      </c>
      <c r="AM576" s="2">
        <f>IF(Table2[[#This Row],[GameIsOver]]=0,0,IF(Table2[[#This Row],[ActualWinner]]=Table2[[#This Row],[HomeTeam]], 1, 0))</f>
        <v>0</v>
      </c>
      <c r="AN576" s="2">
        <f>IF(IFERROR(FIND(Table2[[#This Row],[AwayTeam]], _xlfn.TEXTJOIN(";", 1, $BD$31:$BD$40)), 0) &gt; 0, 1, 0) + IF(IFERROR(FIND(Table2[[#This Row],[HomeTeam]], _xlfn.TEXTJOIN(";", 1, $BD$31:$BD$40)), 0) &gt; 0, 1, 0)</f>
        <v>1</v>
      </c>
      <c r="AO576" s="2" t="str">
        <f>INDEX(Sheet5!$B$2:$AG$33, MATCH(Table2[[#This Row],[AwayTeam]],Sheet5!$A$2:$A$33, 0), MATCH(Table2[[#This Row],[HomeTeam]],Sheet5!$A$2:$A$33, 0))</f>
        <v>0-0-0</v>
      </c>
      <c r="AP576" s="2" t="str">
        <f>INDEX(Sheet5!$B$2:$AG$33, MATCH(Table2[[#This Row],[HomeTeam]],Sheet5!$A$2:$A$33, 0), MATCH(Table2[[#This Row],[AwayTeam]],Sheet5!$A$2:$A$33, 0))</f>
        <v>0-0-0</v>
      </c>
      <c r="AQ576" s="2">
        <f>IF(Table2[[#This Row],[GameHasShutOut]], 1, 0)</f>
        <v>0</v>
      </c>
      <c r="AR576" s="2">
        <f>IF(Table2[[#This Row],[ActualAwayScore]] + Table2[[#This Row],[ActualHomeScore]] &gt;= 10, 1, 0)</f>
        <v>0</v>
      </c>
      <c r="AS576" s="2">
        <f>IF(ABS(Table2[[#This Row],[ActualAwayScore]]-Table2[[#This Row],[ActualHomeScore]])&gt;=5, 1, 0)</f>
        <v>0</v>
      </c>
      <c r="AT576" s="2">
        <f>IF(Table2[[#This Row],[ActualAwayScore]] + Table2[[#This Row],[ActualHomeScore]] &lt;= 3, 1, 0)</f>
        <v>1</v>
      </c>
      <c r="AU576" s="2"/>
      <c r="AV576" s="2"/>
    </row>
    <row r="577" spans="1:48" x14ac:dyDescent="0.25">
      <c r="A577" s="3"/>
      <c r="B577" s="3">
        <v>46014</v>
      </c>
      <c r="C577" s="5">
        <v>2025020575</v>
      </c>
      <c r="D577" s="2" t="s">
        <v>20</v>
      </c>
      <c r="E577" s="2" t="s">
        <v>17</v>
      </c>
      <c r="F577" s="2"/>
      <c r="G577" s="2"/>
      <c r="H577" s="2" t="str">
        <f t="shared" si="44"/>
        <v>_</v>
      </c>
      <c r="I577" s="2"/>
      <c r="J577" s="2"/>
      <c r="K577" s="2"/>
      <c r="L577" s="2" t="str">
        <f t="shared" si="45"/>
        <v>_</v>
      </c>
      <c r="M577" s="2"/>
      <c r="N577" s="2">
        <f>IF(ISBLANK(Table2[[#This Row],[ActualResult]]), 0, 1)</f>
        <v>0</v>
      </c>
      <c r="O577" s="2" t="str">
        <f>IF(ISBLANK(Table2[[#This Row],[ActualResult]]), "_", IF(Table2[[#This Row],[ActualWinner]]=Table2[[#This Row],[PredictedWinner]], "Y", "N"))</f>
        <v>_</v>
      </c>
      <c r="P5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7" s="2"/>
      <c r="S577" s="2" t="str">
        <f t="shared" si="46"/>
        <v>_</v>
      </c>
      <c r="T5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7" s="2">
        <f>IF(Table2[[#This Row],[InterConf]]=1,IF(Table2[[#This Row],[InterDiv]]=0, 1, 0), 0)</f>
        <v>1</v>
      </c>
      <c r="W5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7" s="2"/>
      <c r="Y577" s="2"/>
      <c r="Z577" s="145">
        <f>IF(AND(Table2[[#This Row],[GameIsOver]]=1,Table2[[#This Row],[ActualHomeScore]]*Table2[[#This Row],[ActualAwayScore]]=0), 1,0)</f>
        <v>0</v>
      </c>
      <c r="AA5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7" s="2">
        <f>Table2[[#This Row],[ActualAwayScore]]-Table2[[#This Row],[PredictedAwayScore]]</f>
        <v>0</v>
      </c>
      <c r="AG577" s="2">
        <f>Table2[[#This Row],[ActualHomeScore]]-Table2[[#This Row],[PredictedHomeScore]]</f>
        <v>0</v>
      </c>
      <c r="AH577" s="2">
        <f t="shared" si="47"/>
        <v>0</v>
      </c>
      <c r="AI577" s="2">
        <f t="shared" si="48"/>
        <v>0</v>
      </c>
      <c r="AJ577" s="2"/>
      <c r="AK577" s="3"/>
      <c r="AL577" s="2">
        <f>IF(Table2[[#This Row],[GameIsOver]]=0,0,IF(Table2[[#This Row],[ActualWinner]]=Table2[[#This Row],[AwayTeam]], 1, 0))</f>
        <v>0</v>
      </c>
      <c r="AM577" s="2">
        <f>IF(Table2[[#This Row],[GameIsOver]]=0,0,IF(Table2[[#This Row],[ActualWinner]]=Table2[[#This Row],[HomeTeam]], 1, 0))</f>
        <v>0</v>
      </c>
      <c r="AN5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7" s="2" t="str">
        <f>INDEX(Sheet5!$B$2:$AG$33, MATCH(Table2[[#This Row],[AwayTeam]],Sheet5!$A$2:$A$33, 0), MATCH(Table2[[#This Row],[HomeTeam]],Sheet5!$A$2:$A$33, 0))</f>
        <v>0-0-0</v>
      </c>
      <c r="AP577" s="2" t="str">
        <f>INDEX(Sheet5!$B$2:$AG$33, MATCH(Table2[[#This Row],[HomeTeam]],Sheet5!$A$2:$A$33, 0), MATCH(Table2[[#This Row],[AwayTeam]],Sheet5!$A$2:$A$33, 0))</f>
        <v>0-0-0</v>
      </c>
      <c r="AQ577" s="2">
        <f>IF(Table2[[#This Row],[GameHasShutOut]], 1, 0)</f>
        <v>0</v>
      </c>
      <c r="AR577" s="2">
        <f>IF(Table2[[#This Row],[ActualAwayScore]] + Table2[[#This Row],[ActualHomeScore]] &gt;= 10, 1, 0)</f>
        <v>0</v>
      </c>
      <c r="AS577" s="2">
        <f>IF(ABS(Table2[[#This Row],[ActualAwayScore]]-Table2[[#This Row],[ActualHomeScore]])&gt;=5, 1, 0)</f>
        <v>0</v>
      </c>
      <c r="AT577" s="2">
        <f>IF(Table2[[#This Row],[ActualAwayScore]] + Table2[[#This Row],[ActualHomeScore]] &lt;= 3, 1, 0)</f>
        <v>1</v>
      </c>
      <c r="AU577" s="2"/>
      <c r="AV577" s="2"/>
    </row>
    <row r="578" spans="1:48" x14ac:dyDescent="0.25">
      <c r="A578" s="3"/>
      <c r="B578" s="3">
        <v>46014</v>
      </c>
      <c r="C578" s="5">
        <v>2025020576</v>
      </c>
      <c r="D578" s="2" t="s">
        <v>19</v>
      </c>
      <c r="E578" s="2" t="s">
        <v>43</v>
      </c>
      <c r="F578" s="2"/>
      <c r="G578" s="2"/>
      <c r="H578" s="2" t="str">
        <f t="shared" si="44"/>
        <v>_</v>
      </c>
      <c r="I578" s="2"/>
      <c r="J578" s="2"/>
      <c r="K578" s="2"/>
      <c r="L578" s="2" t="str">
        <f t="shared" si="45"/>
        <v>_</v>
      </c>
      <c r="M578" s="2"/>
      <c r="N578" s="2">
        <f>IF(ISBLANK(Table2[[#This Row],[ActualResult]]), 0, 1)</f>
        <v>0</v>
      </c>
      <c r="O578" s="2" t="str">
        <f>IF(ISBLANK(Table2[[#This Row],[ActualResult]]), "_", IF(Table2[[#This Row],[ActualWinner]]=Table2[[#This Row],[PredictedWinner]], "Y", "N"))</f>
        <v>_</v>
      </c>
      <c r="P5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8" s="2"/>
      <c r="S578" s="2" t="str">
        <f t="shared" si="46"/>
        <v>_</v>
      </c>
      <c r="T5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8" s="2">
        <f>IF(Table2[[#This Row],[InterConf]]=1,IF(Table2[[#This Row],[InterDiv]]=0, 1, 0), 0)</f>
        <v>0</v>
      </c>
      <c r="W5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8" s="2"/>
      <c r="Y578" s="2"/>
      <c r="Z578" s="145">
        <f>IF(AND(Table2[[#This Row],[GameIsOver]]=1,Table2[[#This Row],[ActualHomeScore]]*Table2[[#This Row],[ActualAwayScore]]=0), 1,0)</f>
        <v>0</v>
      </c>
      <c r="AA5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8" s="2">
        <f>Table2[[#This Row],[ActualAwayScore]]-Table2[[#This Row],[PredictedAwayScore]]</f>
        <v>0</v>
      </c>
      <c r="AG578" s="2">
        <f>Table2[[#This Row],[ActualHomeScore]]-Table2[[#This Row],[PredictedHomeScore]]</f>
        <v>0</v>
      </c>
      <c r="AH578" s="2">
        <f t="shared" si="47"/>
        <v>0</v>
      </c>
      <c r="AI578" s="2">
        <f t="shared" si="48"/>
        <v>0</v>
      </c>
      <c r="AJ578" s="2"/>
      <c r="AK578" s="3"/>
      <c r="AL578" s="2">
        <f>IF(Table2[[#This Row],[GameIsOver]]=0,0,IF(Table2[[#This Row],[ActualWinner]]=Table2[[#This Row],[AwayTeam]], 1, 0))</f>
        <v>0</v>
      </c>
      <c r="AM578" s="2">
        <f>IF(Table2[[#This Row],[GameIsOver]]=0,0,IF(Table2[[#This Row],[ActualWinner]]=Table2[[#This Row],[HomeTeam]], 1, 0))</f>
        <v>0</v>
      </c>
      <c r="AN5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8" s="2" t="str">
        <f>INDEX(Sheet5!$B$2:$AG$33, MATCH(Table2[[#This Row],[AwayTeam]],Sheet5!$A$2:$A$33, 0), MATCH(Table2[[#This Row],[HomeTeam]],Sheet5!$A$2:$A$33, 0))</f>
        <v>0-1-0</v>
      </c>
      <c r="AP578" s="2" t="str">
        <f>INDEX(Sheet5!$B$2:$AG$33, MATCH(Table2[[#This Row],[HomeTeam]],Sheet5!$A$2:$A$33, 0), MATCH(Table2[[#This Row],[AwayTeam]],Sheet5!$A$2:$A$33, 0))</f>
        <v>1-0-0</v>
      </c>
      <c r="AQ578" s="2">
        <f>IF(Table2[[#This Row],[GameHasShutOut]], 1, 0)</f>
        <v>0</v>
      </c>
      <c r="AR578" s="2">
        <f>IF(Table2[[#This Row],[ActualAwayScore]] + Table2[[#This Row],[ActualHomeScore]] &gt;= 10, 1, 0)</f>
        <v>0</v>
      </c>
      <c r="AS578" s="2">
        <f>IF(ABS(Table2[[#This Row],[ActualAwayScore]]-Table2[[#This Row],[ActualHomeScore]])&gt;=5, 1, 0)</f>
        <v>0</v>
      </c>
      <c r="AT578" s="2">
        <f>IF(Table2[[#This Row],[ActualAwayScore]] + Table2[[#This Row],[ActualHomeScore]] &lt;= 3, 1, 0)</f>
        <v>1</v>
      </c>
      <c r="AU578" s="2"/>
      <c r="AV578" s="2"/>
    </row>
    <row r="579" spans="1:48" x14ac:dyDescent="0.25">
      <c r="A579" s="3"/>
      <c r="B579" s="3">
        <v>46015</v>
      </c>
      <c r="C579" s="5">
        <v>2025020577</v>
      </c>
      <c r="D579" s="2" t="s">
        <v>18</v>
      </c>
      <c r="E579" s="2" t="s">
        <v>15</v>
      </c>
      <c r="F579" s="2"/>
      <c r="G579" s="2"/>
      <c r="H579" s="2" t="str">
        <f t="shared" ref="H579:H642" si="49">IF(AND(ISBLANK($F579),ISBLANK($G579)),"_",IF($F579&gt;$G579,$D579,$E579))</f>
        <v>_</v>
      </c>
      <c r="I579" s="2"/>
      <c r="J579" s="2"/>
      <c r="K579" s="2"/>
      <c r="L579" s="2" t="str">
        <f t="shared" ref="L579:L642" si="50">IF(OR($J579=$K579,AND(ISBLANK($J579),ISBLANK($K579))),"_",IF($J579&gt;$K579,$D579,$E579))</f>
        <v>_</v>
      </c>
      <c r="M579" s="2"/>
      <c r="N579" s="2">
        <f>IF(ISBLANK(Table2[[#This Row],[ActualResult]]), 0, 1)</f>
        <v>0</v>
      </c>
      <c r="O579" s="2" t="str">
        <f>IF(ISBLANK(Table2[[#This Row],[ActualResult]]), "_", IF(Table2[[#This Row],[ActualWinner]]=Table2[[#This Row],[PredictedWinner]], "Y", "N"))</f>
        <v>_</v>
      </c>
      <c r="P5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9" s="2"/>
      <c r="S579" s="2" t="str">
        <f t="shared" ref="S579:S642" si="51">IF($L579="_", "_", IF($L579=$D579,$E579,$D579))</f>
        <v>_</v>
      </c>
      <c r="T5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9" s="2">
        <f>IF(Table2[[#This Row],[InterConf]]=1,IF(Table2[[#This Row],[InterDiv]]=0, 1, 0), 0)</f>
        <v>0</v>
      </c>
      <c r="W5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9" s="2"/>
      <c r="Y579" s="2"/>
      <c r="Z579" s="145">
        <f>IF(AND(Table2[[#This Row],[GameIsOver]]=1,Table2[[#This Row],[ActualHomeScore]]*Table2[[#This Row],[ActualAwayScore]]=0), 1,0)</f>
        <v>0</v>
      </c>
      <c r="AA5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79" s="2">
        <f>Table2[[#This Row],[ActualAwayScore]]-Table2[[#This Row],[PredictedAwayScore]]</f>
        <v>0</v>
      </c>
      <c r="AG579" s="2">
        <f>Table2[[#This Row],[ActualHomeScore]]-Table2[[#This Row],[PredictedHomeScore]]</f>
        <v>0</v>
      </c>
      <c r="AH579" s="2">
        <f t="shared" ref="AH579:AH642" si="52">SUMIF($B$3:$B$1315, $B579, $AF$3:$AF$1315)</f>
        <v>0</v>
      </c>
      <c r="AI579" s="2">
        <f t="shared" ref="AI579:AI642" si="53">SUMIF($B$3:$B$1315, $B579, $AG$3:$AG$1315)</f>
        <v>0</v>
      </c>
      <c r="AJ579" s="2"/>
      <c r="AK579" s="3"/>
      <c r="AL579" s="2">
        <f>IF(Table2[[#This Row],[GameIsOver]]=0,0,IF(Table2[[#This Row],[ActualWinner]]=Table2[[#This Row],[AwayTeam]], 1, 0))</f>
        <v>0</v>
      </c>
      <c r="AM579" s="2">
        <f>IF(Table2[[#This Row],[GameIsOver]]=0,0,IF(Table2[[#This Row],[ActualWinner]]=Table2[[#This Row],[HomeTeam]], 1, 0))</f>
        <v>0</v>
      </c>
      <c r="AN5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9" s="2" t="str">
        <f>INDEX(Sheet5!$B$2:$AG$33, MATCH(Table2[[#This Row],[AwayTeam]],Sheet5!$A$2:$A$33, 0), MATCH(Table2[[#This Row],[HomeTeam]],Sheet5!$A$2:$A$33, 0))</f>
        <v>0-0-0</v>
      </c>
      <c r="AP579" s="2" t="str">
        <f>INDEX(Sheet5!$B$2:$AG$33, MATCH(Table2[[#This Row],[HomeTeam]],Sheet5!$A$2:$A$33, 0), MATCH(Table2[[#This Row],[AwayTeam]],Sheet5!$A$2:$A$33, 0))</f>
        <v>0-0-0</v>
      </c>
      <c r="AQ579" s="2">
        <f>IF(Table2[[#This Row],[GameHasShutOut]], 1, 0)</f>
        <v>0</v>
      </c>
      <c r="AR579" s="2">
        <f>IF(Table2[[#This Row],[ActualAwayScore]] + Table2[[#This Row],[ActualHomeScore]] &gt;= 10, 1, 0)</f>
        <v>0</v>
      </c>
      <c r="AS579" s="2">
        <f>IF(ABS(Table2[[#This Row],[ActualAwayScore]]-Table2[[#This Row],[ActualHomeScore]])&gt;=5, 1, 0)</f>
        <v>0</v>
      </c>
      <c r="AT579" s="2">
        <f>IF(Table2[[#This Row],[ActualAwayScore]] + Table2[[#This Row],[ActualHomeScore]] &lt;= 3, 1, 0)</f>
        <v>1</v>
      </c>
      <c r="AU579" s="2"/>
      <c r="AV579" s="2"/>
    </row>
    <row r="580" spans="1:48" x14ac:dyDescent="0.25">
      <c r="A580" s="3"/>
      <c r="B580" s="3">
        <v>46015</v>
      </c>
      <c r="C580" s="5">
        <v>2025020578</v>
      </c>
      <c r="D580" s="2" t="s">
        <v>28</v>
      </c>
      <c r="E580" s="2" t="s">
        <v>29</v>
      </c>
      <c r="F580" s="2"/>
      <c r="G580" s="2"/>
      <c r="H580" s="2" t="str">
        <f t="shared" si="49"/>
        <v>_</v>
      </c>
      <c r="I580" s="2"/>
      <c r="J580" s="2"/>
      <c r="K580" s="2"/>
      <c r="L580" s="2" t="str">
        <f t="shared" si="50"/>
        <v>_</v>
      </c>
      <c r="M580" s="2"/>
      <c r="N580" s="2">
        <f>IF(ISBLANK(Table2[[#This Row],[ActualResult]]), 0, 1)</f>
        <v>0</v>
      </c>
      <c r="O580" s="2" t="str">
        <f>IF(ISBLANK(Table2[[#This Row],[ActualResult]]), "_", IF(Table2[[#This Row],[ActualWinner]]=Table2[[#This Row],[PredictedWinner]], "Y", "N"))</f>
        <v>_</v>
      </c>
      <c r="P5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0" s="2"/>
      <c r="S580" s="2" t="str">
        <f t="shared" si="51"/>
        <v>_</v>
      </c>
      <c r="T5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0" s="2">
        <f>IF(Table2[[#This Row],[InterConf]]=1,IF(Table2[[#This Row],[InterDiv]]=0, 1, 0), 0)</f>
        <v>0</v>
      </c>
      <c r="W5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0" s="2"/>
      <c r="Y580" s="2"/>
      <c r="Z580" s="145">
        <f>IF(AND(Table2[[#This Row],[GameIsOver]]=1,Table2[[#This Row],[ActualHomeScore]]*Table2[[#This Row],[ActualAwayScore]]=0), 1,0)</f>
        <v>0</v>
      </c>
      <c r="AA5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0" s="2">
        <f>Table2[[#This Row],[ActualAwayScore]]-Table2[[#This Row],[PredictedAwayScore]]</f>
        <v>0</v>
      </c>
      <c r="AG580" s="2">
        <f>Table2[[#This Row],[ActualHomeScore]]-Table2[[#This Row],[PredictedHomeScore]]</f>
        <v>0</v>
      </c>
      <c r="AH580" s="2">
        <f t="shared" si="52"/>
        <v>0</v>
      </c>
      <c r="AI580" s="2">
        <f t="shared" si="53"/>
        <v>0</v>
      </c>
      <c r="AJ580" s="2"/>
      <c r="AK580" s="3"/>
      <c r="AL580" s="2">
        <f>IF(Table2[[#This Row],[GameIsOver]]=0,0,IF(Table2[[#This Row],[ActualWinner]]=Table2[[#This Row],[AwayTeam]], 1, 0))</f>
        <v>0</v>
      </c>
      <c r="AM580" s="2">
        <f>IF(Table2[[#This Row],[GameIsOver]]=0,0,IF(Table2[[#This Row],[ActualWinner]]=Table2[[#This Row],[HomeTeam]], 1, 0))</f>
        <v>0</v>
      </c>
      <c r="AN5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0" s="2" t="str">
        <f>INDEX(Sheet5!$B$2:$AG$33, MATCH(Table2[[#This Row],[AwayTeam]],Sheet5!$A$2:$A$33, 0), MATCH(Table2[[#This Row],[HomeTeam]],Sheet5!$A$2:$A$33, 0))</f>
        <v>1-0-0</v>
      </c>
      <c r="AP580" s="2" t="str">
        <f>INDEX(Sheet5!$B$2:$AG$33, MATCH(Table2[[#This Row],[HomeTeam]],Sheet5!$A$2:$A$33, 0), MATCH(Table2[[#This Row],[AwayTeam]],Sheet5!$A$2:$A$33, 0))</f>
        <v>0-1-0</v>
      </c>
      <c r="AQ580" s="2">
        <f>IF(Table2[[#This Row],[GameHasShutOut]], 1, 0)</f>
        <v>0</v>
      </c>
      <c r="AR580" s="2">
        <f>IF(Table2[[#This Row],[ActualAwayScore]] + Table2[[#This Row],[ActualHomeScore]] &gt;= 10, 1, 0)</f>
        <v>0</v>
      </c>
      <c r="AS580" s="2">
        <f>IF(ABS(Table2[[#This Row],[ActualAwayScore]]-Table2[[#This Row],[ActualHomeScore]])&gt;=5, 1, 0)</f>
        <v>0</v>
      </c>
      <c r="AT580" s="2">
        <f>IF(Table2[[#This Row],[ActualAwayScore]] + Table2[[#This Row],[ActualHomeScore]] &lt;= 3, 1, 0)</f>
        <v>1</v>
      </c>
      <c r="AU580" s="2"/>
      <c r="AV580" s="2"/>
    </row>
    <row r="581" spans="1:48" x14ac:dyDescent="0.25">
      <c r="A581" s="3"/>
      <c r="B581" s="3">
        <v>46015</v>
      </c>
      <c r="C581" s="5">
        <v>2025020579</v>
      </c>
      <c r="D581" s="2" t="s">
        <v>33</v>
      </c>
      <c r="E581" s="2" t="s">
        <v>30</v>
      </c>
      <c r="F581" s="2"/>
      <c r="G581" s="2"/>
      <c r="H581" s="2" t="str">
        <f t="shared" si="49"/>
        <v>_</v>
      </c>
      <c r="I581" s="2"/>
      <c r="J581" s="2"/>
      <c r="K581" s="2"/>
      <c r="L581" s="2" t="str">
        <f t="shared" si="50"/>
        <v>_</v>
      </c>
      <c r="M581" s="2"/>
      <c r="N581" s="2">
        <f>IF(ISBLANK(Table2[[#This Row],[ActualResult]]), 0, 1)</f>
        <v>0</v>
      </c>
      <c r="O581" s="2" t="str">
        <f>IF(ISBLANK(Table2[[#This Row],[ActualResult]]), "_", IF(Table2[[#This Row],[ActualWinner]]=Table2[[#This Row],[PredictedWinner]], "Y", "N"))</f>
        <v>_</v>
      </c>
      <c r="P5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1" s="2"/>
      <c r="S581" s="2" t="str">
        <f t="shared" si="51"/>
        <v>_</v>
      </c>
      <c r="T5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1" s="2">
        <f>IF(Table2[[#This Row],[InterConf]]=1,IF(Table2[[#This Row],[InterDiv]]=0, 1, 0), 0)</f>
        <v>0</v>
      </c>
      <c r="W5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81" s="2"/>
      <c r="Y581" s="2"/>
      <c r="Z581" s="145">
        <f>IF(AND(Table2[[#This Row],[GameIsOver]]=1,Table2[[#This Row],[ActualHomeScore]]*Table2[[#This Row],[ActualAwayScore]]=0), 1,0)</f>
        <v>0</v>
      </c>
      <c r="AA5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1" s="2">
        <f>Table2[[#This Row],[ActualAwayScore]]-Table2[[#This Row],[PredictedAwayScore]]</f>
        <v>0</v>
      </c>
      <c r="AG581" s="2">
        <f>Table2[[#This Row],[ActualHomeScore]]-Table2[[#This Row],[PredictedHomeScore]]</f>
        <v>0</v>
      </c>
      <c r="AH581" s="2">
        <f t="shared" si="52"/>
        <v>0</v>
      </c>
      <c r="AI581" s="2">
        <f t="shared" si="53"/>
        <v>0</v>
      </c>
      <c r="AJ581" s="2"/>
      <c r="AK581" s="3"/>
      <c r="AL581" s="2">
        <f>IF(Table2[[#This Row],[GameIsOver]]=0,0,IF(Table2[[#This Row],[ActualWinner]]=Table2[[#This Row],[AwayTeam]], 1, 0))</f>
        <v>0</v>
      </c>
      <c r="AM581" s="2">
        <f>IF(Table2[[#This Row],[GameIsOver]]=0,0,IF(Table2[[#This Row],[ActualWinner]]=Table2[[#This Row],[HomeTeam]], 1, 0))</f>
        <v>0</v>
      </c>
      <c r="AN5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1" s="2" t="str">
        <f>INDEX(Sheet5!$B$2:$AG$33, MATCH(Table2[[#This Row],[AwayTeam]],Sheet5!$A$2:$A$33, 0), MATCH(Table2[[#This Row],[HomeTeam]],Sheet5!$A$2:$A$33, 0))</f>
        <v>0-0-0</v>
      </c>
      <c r="AP581" s="2" t="str">
        <f>INDEX(Sheet5!$B$2:$AG$33, MATCH(Table2[[#This Row],[HomeTeam]],Sheet5!$A$2:$A$33, 0), MATCH(Table2[[#This Row],[AwayTeam]],Sheet5!$A$2:$A$33, 0))</f>
        <v>0-0-0</v>
      </c>
      <c r="AQ581" s="2">
        <f>IF(Table2[[#This Row],[GameHasShutOut]], 1, 0)</f>
        <v>0</v>
      </c>
      <c r="AR581" s="2">
        <f>IF(Table2[[#This Row],[ActualAwayScore]] + Table2[[#This Row],[ActualHomeScore]] &gt;= 10, 1, 0)</f>
        <v>0</v>
      </c>
      <c r="AS581" s="2">
        <f>IF(ABS(Table2[[#This Row],[ActualAwayScore]]-Table2[[#This Row],[ActualHomeScore]])&gt;=5, 1, 0)</f>
        <v>0</v>
      </c>
      <c r="AT581" s="2">
        <f>IF(Table2[[#This Row],[ActualAwayScore]] + Table2[[#This Row],[ActualHomeScore]] &lt;= 3, 1, 0)</f>
        <v>1</v>
      </c>
      <c r="AU581" s="2"/>
      <c r="AV581" s="2"/>
    </row>
    <row r="582" spans="1:48" x14ac:dyDescent="0.25">
      <c r="A582" s="3"/>
      <c r="B582" s="3">
        <v>46015</v>
      </c>
      <c r="C582" s="5">
        <v>2025020580</v>
      </c>
      <c r="D582" s="2" t="s">
        <v>31</v>
      </c>
      <c r="E582" s="2" t="s">
        <v>32</v>
      </c>
      <c r="F582" s="2"/>
      <c r="G582" s="2"/>
      <c r="H582" s="2" t="str">
        <f t="shared" si="49"/>
        <v>_</v>
      </c>
      <c r="I582" s="2"/>
      <c r="J582" s="2"/>
      <c r="K582" s="2"/>
      <c r="L582" s="2" t="str">
        <f t="shared" si="50"/>
        <v>_</v>
      </c>
      <c r="M582" s="2"/>
      <c r="N582" s="2">
        <f>IF(ISBLANK(Table2[[#This Row],[ActualResult]]), 0, 1)</f>
        <v>0</v>
      </c>
      <c r="O582" s="2" t="str">
        <f>IF(ISBLANK(Table2[[#This Row],[ActualResult]]), "_", IF(Table2[[#This Row],[ActualWinner]]=Table2[[#This Row],[PredictedWinner]], "Y", "N"))</f>
        <v>_</v>
      </c>
      <c r="P5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2" s="2"/>
      <c r="S582" s="2" t="str">
        <f t="shared" si="51"/>
        <v>_</v>
      </c>
      <c r="T5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2" s="2">
        <f>IF(Table2[[#This Row],[InterConf]]=1,IF(Table2[[#This Row],[InterDiv]]=0, 1, 0), 0)</f>
        <v>0</v>
      </c>
      <c r="W5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2" s="2"/>
      <c r="Y582" s="2"/>
      <c r="Z582" s="145">
        <f>IF(AND(Table2[[#This Row],[GameIsOver]]=1,Table2[[#This Row],[ActualHomeScore]]*Table2[[#This Row],[ActualAwayScore]]=0), 1,0)</f>
        <v>0</v>
      </c>
      <c r="AA5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2" s="2">
        <f>Table2[[#This Row],[ActualAwayScore]]-Table2[[#This Row],[PredictedAwayScore]]</f>
        <v>0</v>
      </c>
      <c r="AG582" s="2">
        <f>Table2[[#This Row],[ActualHomeScore]]-Table2[[#This Row],[PredictedHomeScore]]</f>
        <v>0</v>
      </c>
      <c r="AH582" s="2">
        <f t="shared" si="52"/>
        <v>0</v>
      </c>
      <c r="AI582" s="2">
        <f t="shared" si="53"/>
        <v>0</v>
      </c>
      <c r="AJ582" s="2"/>
      <c r="AK582" s="3"/>
      <c r="AL582" s="2">
        <f>IF(Table2[[#This Row],[GameIsOver]]=0,0,IF(Table2[[#This Row],[ActualWinner]]=Table2[[#This Row],[AwayTeam]], 1, 0))</f>
        <v>0</v>
      </c>
      <c r="AM582" s="2">
        <f>IF(Table2[[#This Row],[GameIsOver]]=0,0,IF(Table2[[#This Row],[ActualWinner]]=Table2[[#This Row],[HomeTeam]], 1, 0))</f>
        <v>0</v>
      </c>
      <c r="AN5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2" s="2" t="str">
        <f>INDEX(Sheet5!$B$2:$AG$33, MATCH(Table2[[#This Row],[AwayTeam]],Sheet5!$A$2:$A$33, 0), MATCH(Table2[[#This Row],[HomeTeam]],Sheet5!$A$2:$A$33, 0))</f>
        <v>0-0-0</v>
      </c>
      <c r="AP582" s="2" t="str">
        <f>INDEX(Sheet5!$B$2:$AG$33, MATCH(Table2[[#This Row],[HomeTeam]],Sheet5!$A$2:$A$33, 0), MATCH(Table2[[#This Row],[AwayTeam]],Sheet5!$A$2:$A$33, 0))</f>
        <v>0-0-0</v>
      </c>
      <c r="AQ582" s="2">
        <f>IF(Table2[[#This Row],[GameHasShutOut]], 1, 0)</f>
        <v>0</v>
      </c>
      <c r="AR582" s="2">
        <f>IF(Table2[[#This Row],[ActualAwayScore]] + Table2[[#This Row],[ActualHomeScore]] &gt;= 10, 1, 0)</f>
        <v>0</v>
      </c>
      <c r="AS582" s="2">
        <f>IF(ABS(Table2[[#This Row],[ActualAwayScore]]-Table2[[#This Row],[ActualHomeScore]])&gt;=5, 1, 0)</f>
        <v>0</v>
      </c>
      <c r="AT582" s="2">
        <f>IF(Table2[[#This Row],[ActualAwayScore]] + Table2[[#This Row],[ActualHomeScore]] &lt;= 3, 1, 0)</f>
        <v>1</v>
      </c>
      <c r="AU582" s="2"/>
      <c r="AV582" s="2"/>
    </row>
    <row r="583" spans="1:48" x14ac:dyDescent="0.25">
      <c r="A583" s="3"/>
      <c r="B583" s="3">
        <v>46015</v>
      </c>
      <c r="C583" s="5">
        <v>2025020581</v>
      </c>
      <c r="D583" s="2" t="s">
        <v>13</v>
      </c>
      <c r="E583" s="2" t="s">
        <v>41</v>
      </c>
      <c r="F583" s="2"/>
      <c r="G583" s="2"/>
      <c r="H583" s="2" t="str">
        <f t="shared" si="49"/>
        <v>_</v>
      </c>
      <c r="I583" s="2"/>
      <c r="J583" s="2"/>
      <c r="K583" s="2"/>
      <c r="L583" s="2" t="str">
        <f t="shared" si="50"/>
        <v>_</v>
      </c>
      <c r="M583" s="2"/>
      <c r="N583" s="2">
        <f>IF(ISBLANK(Table2[[#This Row],[ActualResult]]), 0, 1)</f>
        <v>0</v>
      </c>
      <c r="O583" s="2" t="str">
        <f>IF(ISBLANK(Table2[[#This Row],[ActualResult]]), "_", IF(Table2[[#This Row],[ActualWinner]]=Table2[[#This Row],[PredictedWinner]], "Y", "N"))</f>
        <v>_</v>
      </c>
      <c r="P5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3" s="2"/>
      <c r="S583" s="2" t="str">
        <f t="shared" si="51"/>
        <v>_</v>
      </c>
      <c r="T5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3" s="2">
        <f>IF(Table2[[#This Row],[InterConf]]=1,IF(Table2[[#This Row],[InterDiv]]=0, 1, 0), 0)</f>
        <v>1</v>
      </c>
      <c r="W5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3" s="2"/>
      <c r="Y583" s="2"/>
      <c r="Z583" s="145">
        <f>IF(AND(Table2[[#This Row],[GameIsOver]]=1,Table2[[#This Row],[ActualHomeScore]]*Table2[[#This Row],[ActualAwayScore]]=0), 1,0)</f>
        <v>0</v>
      </c>
      <c r="AA5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3" s="2">
        <f>Table2[[#This Row],[ActualAwayScore]]-Table2[[#This Row],[PredictedAwayScore]]</f>
        <v>0</v>
      </c>
      <c r="AG583" s="2">
        <f>Table2[[#This Row],[ActualHomeScore]]-Table2[[#This Row],[PredictedHomeScore]]</f>
        <v>0</v>
      </c>
      <c r="AH583" s="2">
        <f t="shared" si="52"/>
        <v>0</v>
      </c>
      <c r="AI583" s="2">
        <f t="shared" si="53"/>
        <v>0</v>
      </c>
      <c r="AJ583" s="2"/>
      <c r="AK583" s="3"/>
      <c r="AL583" s="2">
        <f>IF(Table2[[#This Row],[GameIsOver]]=0,0,IF(Table2[[#This Row],[ActualWinner]]=Table2[[#This Row],[AwayTeam]], 1, 0))</f>
        <v>0</v>
      </c>
      <c r="AM583" s="2">
        <f>IF(Table2[[#This Row],[GameIsOver]]=0,0,IF(Table2[[#This Row],[ActualWinner]]=Table2[[#This Row],[HomeTeam]], 1, 0))</f>
        <v>0</v>
      </c>
      <c r="AN5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3" s="2" t="str">
        <f>INDEX(Sheet5!$B$2:$AG$33, MATCH(Table2[[#This Row],[AwayTeam]],Sheet5!$A$2:$A$33, 0), MATCH(Table2[[#This Row],[HomeTeam]],Sheet5!$A$2:$A$33, 0))</f>
        <v>0-0-0</v>
      </c>
      <c r="AP583" s="2" t="str">
        <f>INDEX(Sheet5!$B$2:$AG$33, MATCH(Table2[[#This Row],[HomeTeam]],Sheet5!$A$2:$A$33, 0), MATCH(Table2[[#This Row],[AwayTeam]],Sheet5!$A$2:$A$33, 0))</f>
        <v>0-0-0</v>
      </c>
      <c r="AQ583" s="2">
        <f>IF(Table2[[#This Row],[GameHasShutOut]], 1, 0)</f>
        <v>0</v>
      </c>
      <c r="AR583" s="2">
        <f>IF(Table2[[#This Row],[ActualAwayScore]] + Table2[[#This Row],[ActualHomeScore]] &gt;= 10, 1, 0)</f>
        <v>0</v>
      </c>
      <c r="AS583" s="2">
        <f>IF(ABS(Table2[[#This Row],[ActualAwayScore]]-Table2[[#This Row],[ActualHomeScore]])&gt;=5, 1, 0)</f>
        <v>0</v>
      </c>
      <c r="AT583" s="2">
        <f>IF(Table2[[#This Row],[ActualAwayScore]] + Table2[[#This Row],[ActualHomeScore]] &lt;= 3, 1, 0)</f>
        <v>1</v>
      </c>
      <c r="AU583" s="2"/>
      <c r="AV583" s="2"/>
    </row>
    <row r="584" spans="1:48" x14ac:dyDescent="0.25">
      <c r="A584" s="3"/>
      <c r="B584" s="3">
        <v>46015</v>
      </c>
      <c r="C584" s="5">
        <v>2025020582</v>
      </c>
      <c r="D584" s="2" t="s">
        <v>34</v>
      </c>
      <c r="E584" s="2" t="s">
        <v>36</v>
      </c>
      <c r="F584" s="2"/>
      <c r="G584" s="2"/>
      <c r="H584" s="2" t="str">
        <f t="shared" si="49"/>
        <v>_</v>
      </c>
      <c r="I584" s="2"/>
      <c r="J584" s="2"/>
      <c r="K584" s="2"/>
      <c r="L584" s="2" t="str">
        <f t="shared" si="50"/>
        <v>_</v>
      </c>
      <c r="M584" s="2"/>
      <c r="N584" s="2">
        <f>IF(ISBLANK(Table2[[#This Row],[ActualResult]]), 0, 1)</f>
        <v>0</v>
      </c>
      <c r="O584" s="2" t="str">
        <f>IF(ISBLANK(Table2[[#This Row],[ActualResult]]), "_", IF(Table2[[#This Row],[ActualWinner]]=Table2[[#This Row],[PredictedWinner]], "Y", "N"))</f>
        <v>_</v>
      </c>
      <c r="P5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4" s="2"/>
      <c r="S584" s="2" t="str">
        <f t="shared" si="51"/>
        <v>_</v>
      </c>
      <c r="T5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4" s="2">
        <f>IF(Table2[[#This Row],[InterConf]]=1,IF(Table2[[#This Row],[InterDiv]]=0, 1, 0), 0)</f>
        <v>0</v>
      </c>
      <c r="W5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4" s="2"/>
      <c r="Y584" s="2"/>
      <c r="Z584" s="145">
        <f>IF(AND(Table2[[#This Row],[GameIsOver]]=1,Table2[[#This Row],[ActualHomeScore]]*Table2[[#This Row],[ActualAwayScore]]=0), 1,0)</f>
        <v>0</v>
      </c>
      <c r="AA5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4" s="2">
        <f>Table2[[#This Row],[ActualAwayScore]]-Table2[[#This Row],[PredictedAwayScore]]</f>
        <v>0</v>
      </c>
      <c r="AG584" s="2">
        <f>Table2[[#This Row],[ActualHomeScore]]-Table2[[#This Row],[PredictedHomeScore]]</f>
        <v>0</v>
      </c>
      <c r="AH584" s="2">
        <f t="shared" si="52"/>
        <v>0</v>
      </c>
      <c r="AI584" s="2">
        <f t="shared" si="53"/>
        <v>0</v>
      </c>
      <c r="AJ584" s="2"/>
      <c r="AK584" s="3"/>
      <c r="AL584" s="2">
        <f>IF(Table2[[#This Row],[GameIsOver]]=0,0,IF(Table2[[#This Row],[ActualWinner]]=Table2[[#This Row],[AwayTeam]], 1, 0))</f>
        <v>0</v>
      </c>
      <c r="AM584" s="2">
        <f>IF(Table2[[#This Row],[GameIsOver]]=0,0,IF(Table2[[#This Row],[ActualWinner]]=Table2[[#This Row],[HomeTeam]], 1, 0))</f>
        <v>0</v>
      </c>
      <c r="AN5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4" s="2" t="str">
        <f>INDEX(Sheet5!$B$2:$AG$33, MATCH(Table2[[#This Row],[AwayTeam]],Sheet5!$A$2:$A$33, 0), MATCH(Table2[[#This Row],[HomeTeam]],Sheet5!$A$2:$A$33, 0))</f>
        <v>0-0-0</v>
      </c>
      <c r="AP584" s="2" t="str">
        <f>INDEX(Sheet5!$B$2:$AG$33, MATCH(Table2[[#This Row],[HomeTeam]],Sheet5!$A$2:$A$33, 0), MATCH(Table2[[#This Row],[AwayTeam]],Sheet5!$A$2:$A$33, 0))</f>
        <v>0-0-0</v>
      </c>
      <c r="AQ584" s="2">
        <f>IF(Table2[[#This Row],[GameHasShutOut]], 1, 0)</f>
        <v>0</v>
      </c>
      <c r="AR584" s="2">
        <f>IF(Table2[[#This Row],[ActualAwayScore]] + Table2[[#This Row],[ActualHomeScore]] &gt;= 10, 1, 0)</f>
        <v>0</v>
      </c>
      <c r="AS584" s="2">
        <f>IF(ABS(Table2[[#This Row],[ActualAwayScore]]-Table2[[#This Row],[ActualHomeScore]])&gt;=5, 1, 0)</f>
        <v>0</v>
      </c>
      <c r="AT584" s="2">
        <f>IF(Table2[[#This Row],[ActualAwayScore]] + Table2[[#This Row],[ActualHomeScore]] &lt;= 3, 1, 0)</f>
        <v>1</v>
      </c>
      <c r="AU584" s="2"/>
      <c r="AV584" s="2"/>
    </row>
    <row r="585" spans="1:48" x14ac:dyDescent="0.25">
      <c r="A585" s="3"/>
      <c r="B585" s="3">
        <v>46015</v>
      </c>
      <c r="C585" s="5">
        <v>2025020583</v>
      </c>
      <c r="D585" s="2" t="s">
        <v>42</v>
      </c>
      <c r="E585" s="2" t="s">
        <v>16</v>
      </c>
      <c r="F585" s="2"/>
      <c r="G585" s="2"/>
      <c r="H585" s="2" t="str">
        <f t="shared" si="49"/>
        <v>_</v>
      </c>
      <c r="I585" s="2"/>
      <c r="J585" s="2"/>
      <c r="K585" s="2"/>
      <c r="L585" s="2" t="str">
        <f t="shared" si="50"/>
        <v>_</v>
      </c>
      <c r="M585" s="2"/>
      <c r="N585" s="2">
        <f>IF(ISBLANK(Table2[[#This Row],[ActualResult]]), 0, 1)</f>
        <v>0</v>
      </c>
      <c r="O585" s="2" t="str">
        <f>IF(ISBLANK(Table2[[#This Row],[ActualResult]]), "_", IF(Table2[[#This Row],[ActualWinner]]=Table2[[#This Row],[PredictedWinner]], "Y", "N"))</f>
        <v>_</v>
      </c>
      <c r="P5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5" s="2"/>
      <c r="S585" s="2" t="str">
        <f t="shared" si="51"/>
        <v>_</v>
      </c>
      <c r="T5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5" s="2">
        <f>IF(Table2[[#This Row],[InterConf]]=1,IF(Table2[[#This Row],[InterDiv]]=0, 1, 0), 0)</f>
        <v>0</v>
      </c>
      <c r="W5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85" s="2"/>
      <c r="Y585" s="2"/>
      <c r="Z585" s="145">
        <f>IF(AND(Table2[[#This Row],[GameIsOver]]=1,Table2[[#This Row],[ActualHomeScore]]*Table2[[#This Row],[ActualAwayScore]]=0), 1,0)</f>
        <v>0</v>
      </c>
      <c r="AA5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5" s="2">
        <f>Table2[[#This Row],[ActualAwayScore]]-Table2[[#This Row],[PredictedAwayScore]]</f>
        <v>0</v>
      </c>
      <c r="AG585" s="2">
        <f>Table2[[#This Row],[ActualHomeScore]]-Table2[[#This Row],[PredictedHomeScore]]</f>
        <v>0</v>
      </c>
      <c r="AH585" s="2">
        <f t="shared" si="52"/>
        <v>0</v>
      </c>
      <c r="AI585" s="2">
        <f t="shared" si="53"/>
        <v>0</v>
      </c>
      <c r="AJ585" s="2"/>
      <c r="AK585" s="3"/>
      <c r="AL585" s="2">
        <f>IF(Table2[[#This Row],[GameIsOver]]=0,0,IF(Table2[[#This Row],[ActualWinner]]=Table2[[#This Row],[AwayTeam]], 1, 0))</f>
        <v>0</v>
      </c>
      <c r="AM585" s="2">
        <f>IF(Table2[[#This Row],[GameIsOver]]=0,0,IF(Table2[[#This Row],[ActualWinner]]=Table2[[#This Row],[HomeTeam]], 1, 0))</f>
        <v>0</v>
      </c>
      <c r="AN5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5" s="2" t="str">
        <f>INDEX(Sheet5!$B$2:$AG$33, MATCH(Table2[[#This Row],[AwayTeam]],Sheet5!$A$2:$A$33, 0), MATCH(Table2[[#This Row],[HomeTeam]],Sheet5!$A$2:$A$33, 0))</f>
        <v>0-0-0</v>
      </c>
      <c r="AP585" s="2" t="str">
        <f>INDEX(Sheet5!$B$2:$AG$33, MATCH(Table2[[#This Row],[HomeTeam]],Sheet5!$A$2:$A$33, 0), MATCH(Table2[[#This Row],[AwayTeam]],Sheet5!$A$2:$A$33, 0))</f>
        <v>0-0-0</v>
      </c>
      <c r="AQ585" s="2">
        <f>IF(Table2[[#This Row],[GameHasShutOut]], 1, 0)</f>
        <v>0</v>
      </c>
      <c r="AR585" s="2">
        <f>IF(Table2[[#This Row],[ActualAwayScore]] + Table2[[#This Row],[ActualHomeScore]] &gt;= 10, 1, 0)</f>
        <v>0</v>
      </c>
      <c r="AS585" s="2">
        <f>IF(ABS(Table2[[#This Row],[ActualAwayScore]]-Table2[[#This Row],[ActualHomeScore]])&gt;=5, 1, 0)</f>
        <v>0</v>
      </c>
      <c r="AT585" s="2">
        <f>IF(Table2[[#This Row],[ActualAwayScore]] + Table2[[#This Row],[ActualHomeScore]] &lt;= 3, 1, 0)</f>
        <v>1</v>
      </c>
      <c r="AU585" s="2"/>
      <c r="AV585" s="2"/>
    </row>
    <row r="586" spans="1:48" x14ac:dyDescent="0.25">
      <c r="A586" s="3"/>
      <c r="B586" s="3">
        <v>46015</v>
      </c>
      <c r="C586" s="5">
        <v>2025020584</v>
      </c>
      <c r="D586" s="2" t="s">
        <v>14</v>
      </c>
      <c r="E586" s="2" t="s">
        <v>25</v>
      </c>
      <c r="F586" s="2"/>
      <c r="G586" s="2"/>
      <c r="H586" s="2" t="str">
        <f t="shared" si="49"/>
        <v>_</v>
      </c>
      <c r="I586" s="2"/>
      <c r="J586" s="2"/>
      <c r="K586" s="2"/>
      <c r="L586" s="2" t="str">
        <f t="shared" si="50"/>
        <v>_</v>
      </c>
      <c r="M586" s="2"/>
      <c r="N586" s="2">
        <f>IF(ISBLANK(Table2[[#This Row],[ActualResult]]), 0, 1)</f>
        <v>0</v>
      </c>
      <c r="O586" s="2" t="str">
        <f>IF(ISBLANK(Table2[[#This Row],[ActualResult]]), "_", IF(Table2[[#This Row],[ActualWinner]]=Table2[[#This Row],[PredictedWinner]], "Y", "N"))</f>
        <v>_</v>
      </c>
      <c r="P5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6" s="2"/>
      <c r="S586" s="2" t="str">
        <f t="shared" si="51"/>
        <v>_</v>
      </c>
      <c r="T5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6" s="2">
        <f>IF(Table2[[#This Row],[InterConf]]=1,IF(Table2[[#This Row],[InterDiv]]=0, 1, 0), 0)</f>
        <v>0</v>
      </c>
      <c r="W5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6" s="2"/>
      <c r="Y586" s="2"/>
      <c r="Z586" s="145">
        <f>IF(AND(Table2[[#This Row],[GameIsOver]]=1,Table2[[#This Row],[ActualHomeScore]]*Table2[[#This Row],[ActualAwayScore]]=0), 1,0)</f>
        <v>0</v>
      </c>
      <c r="AA5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6" s="2">
        <f>Table2[[#This Row],[ActualAwayScore]]-Table2[[#This Row],[PredictedAwayScore]]</f>
        <v>0</v>
      </c>
      <c r="AG586" s="2">
        <f>Table2[[#This Row],[ActualHomeScore]]-Table2[[#This Row],[PredictedHomeScore]]</f>
        <v>0</v>
      </c>
      <c r="AH586" s="2">
        <f t="shared" si="52"/>
        <v>0</v>
      </c>
      <c r="AI586" s="2">
        <f t="shared" si="53"/>
        <v>0</v>
      </c>
      <c r="AJ586" s="2"/>
      <c r="AK586" s="3"/>
      <c r="AL586" s="2">
        <f>IF(Table2[[#This Row],[GameIsOver]]=0,0,IF(Table2[[#This Row],[ActualWinner]]=Table2[[#This Row],[AwayTeam]], 1, 0))</f>
        <v>0</v>
      </c>
      <c r="AM586" s="2">
        <f>IF(Table2[[#This Row],[GameIsOver]]=0,0,IF(Table2[[#This Row],[ActualWinner]]=Table2[[#This Row],[HomeTeam]], 1, 0))</f>
        <v>0</v>
      </c>
      <c r="AN5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6" s="2" t="str">
        <f>INDEX(Sheet5!$B$2:$AG$33, MATCH(Table2[[#This Row],[AwayTeam]],Sheet5!$A$2:$A$33, 0), MATCH(Table2[[#This Row],[HomeTeam]],Sheet5!$A$2:$A$33, 0))</f>
        <v>1-1-0</v>
      </c>
      <c r="AP586" s="2" t="str">
        <f>INDEX(Sheet5!$B$2:$AG$33, MATCH(Table2[[#This Row],[HomeTeam]],Sheet5!$A$2:$A$33, 0), MATCH(Table2[[#This Row],[AwayTeam]],Sheet5!$A$2:$A$33, 0))</f>
        <v>1-0-1</v>
      </c>
      <c r="AQ586" s="2">
        <f>IF(Table2[[#This Row],[GameHasShutOut]], 1, 0)</f>
        <v>0</v>
      </c>
      <c r="AR586" s="2">
        <f>IF(Table2[[#This Row],[ActualAwayScore]] + Table2[[#This Row],[ActualHomeScore]] &gt;= 10, 1, 0)</f>
        <v>0</v>
      </c>
      <c r="AS586" s="2">
        <f>IF(ABS(Table2[[#This Row],[ActualAwayScore]]-Table2[[#This Row],[ActualHomeScore]])&gt;=5, 1, 0)</f>
        <v>0</v>
      </c>
      <c r="AT586" s="2">
        <f>IF(Table2[[#This Row],[ActualAwayScore]] + Table2[[#This Row],[ActualHomeScore]] &lt;= 3, 1, 0)</f>
        <v>1</v>
      </c>
      <c r="AU586" s="2"/>
      <c r="AV586" s="2"/>
    </row>
    <row r="587" spans="1:48" x14ac:dyDescent="0.25">
      <c r="A587" s="3"/>
      <c r="B587" s="3">
        <v>46015</v>
      </c>
      <c r="C587" s="5">
        <v>2025020585</v>
      </c>
      <c r="D587" s="2" t="s">
        <v>23</v>
      </c>
      <c r="E587" s="2" t="s">
        <v>22</v>
      </c>
      <c r="F587" s="2"/>
      <c r="G587" s="2"/>
      <c r="H587" s="2" t="str">
        <f t="shared" si="49"/>
        <v>_</v>
      </c>
      <c r="I587" s="2"/>
      <c r="J587" s="2"/>
      <c r="K587" s="2"/>
      <c r="L587" s="2" t="str">
        <f t="shared" si="50"/>
        <v>_</v>
      </c>
      <c r="M587" s="2"/>
      <c r="N587" s="2">
        <f>IF(ISBLANK(Table2[[#This Row],[ActualResult]]), 0, 1)</f>
        <v>0</v>
      </c>
      <c r="O587" s="2" t="str">
        <f>IF(ISBLANK(Table2[[#This Row],[ActualResult]]), "_", IF(Table2[[#This Row],[ActualWinner]]=Table2[[#This Row],[PredictedWinner]], "Y", "N"))</f>
        <v>_</v>
      </c>
      <c r="P5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7" s="2"/>
      <c r="S587" s="2" t="str">
        <f t="shared" si="51"/>
        <v>_</v>
      </c>
      <c r="T5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7" s="2">
        <f>IF(Table2[[#This Row],[InterConf]]=1,IF(Table2[[#This Row],[InterDiv]]=0, 1, 0), 0)</f>
        <v>0</v>
      </c>
      <c r="W5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7" s="2"/>
      <c r="Y587" s="2"/>
      <c r="Z587" s="145">
        <f>IF(AND(Table2[[#This Row],[GameIsOver]]=1,Table2[[#This Row],[ActualHomeScore]]*Table2[[#This Row],[ActualAwayScore]]=0), 1,0)</f>
        <v>0</v>
      </c>
      <c r="AA5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7" s="2">
        <f>Table2[[#This Row],[ActualAwayScore]]-Table2[[#This Row],[PredictedAwayScore]]</f>
        <v>0</v>
      </c>
      <c r="AG587" s="2">
        <f>Table2[[#This Row],[ActualHomeScore]]-Table2[[#This Row],[PredictedHomeScore]]</f>
        <v>0</v>
      </c>
      <c r="AH587" s="2">
        <f t="shared" si="52"/>
        <v>0</v>
      </c>
      <c r="AI587" s="2">
        <f t="shared" si="53"/>
        <v>0</v>
      </c>
      <c r="AJ587" s="2"/>
      <c r="AK587" s="3"/>
      <c r="AL587" s="2">
        <f>IF(Table2[[#This Row],[GameIsOver]]=0,0,IF(Table2[[#This Row],[ActualWinner]]=Table2[[#This Row],[AwayTeam]], 1, 0))</f>
        <v>0</v>
      </c>
      <c r="AM587" s="2">
        <f>IF(Table2[[#This Row],[GameIsOver]]=0,0,IF(Table2[[#This Row],[ActualWinner]]=Table2[[#This Row],[HomeTeam]], 1, 0))</f>
        <v>0</v>
      </c>
      <c r="AN5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7" s="2" t="str">
        <f>INDEX(Sheet5!$B$2:$AG$33, MATCH(Table2[[#This Row],[AwayTeam]],Sheet5!$A$2:$A$33, 0), MATCH(Table2[[#This Row],[HomeTeam]],Sheet5!$A$2:$A$33, 0))</f>
        <v>1-0-0</v>
      </c>
      <c r="AP587" s="2" t="str">
        <f>INDEX(Sheet5!$B$2:$AG$33, MATCH(Table2[[#This Row],[HomeTeam]],Sheet5!$A$2:$A$33, 0), MATCH(Table2[[#This Row],[AwayTeam]],Sheet5!$A$2:$A$33, 0))</f>
        <v>0-0-1</v>
      </c>
      <c r="AQ587" s="2">
        <f>IF(Table2[[#This Row],[GameHasShutOut]], 1, 0)</f>
        <v>0</v>
      </c>
      <c r="AR587" s="2">
        <f>IF(Table2[[#This Row],[ActualAwayScore]] + Table2[[#This Row],[ActualHomeScore]] &gt;= 10, 1, 0)</f>
        <v>0</v>
      </c>
      <c r="AS587" s="2">
        <f>IF(ABS(Table2[[#This Row],[ActualAwayScore]]-Table2[[#This Row],[ActualHomeScore]])&gt;=5, 1, 0)</f>
        <v>0</v>
      </c>
      <c r="AT587" s="2">
        <f>IF(Table2[[#This Row],[ActualAwayScore]] + Table2[[#This Row],[ActualHomeScore]] &lt;= 3, 1, 0)</f>
        <v>1</v>
      </c>
      <c r="AU587" s="2"/>
      <c r="AV587" s="2"/>
    </row>
    <row r="588" spans="1:48" x14ac:dyDescent="0.25">
      <c r="A588" s="3"/>
      <c r="B588" s="3">
        <v>46015</v>
      </c>
      <c r="C588" s="5">
        <v>2025020586</v>
      </c>
      <c r="D588" s="2" t="s">
        <v>37</v>
      </c>
      <c r="E588" s="2" t="s">
        <v>26</v>
      </c>
      <c r="F588" s="2"/>
      <c r="G588" s="2"/>
      <c r="H588" s="2" t="str">
        <f t="shared" si="49"/>
        <v>_</v>
      </c>
      <c r="I588" s="2"/>
      <c r="J588" s="2"/>
      <c r="K588" s="2"/>
      <c r="L588" s="2" t="str">
        <f t="shared" si="50"/>
        <v>_</v>
      </c>
      <c r="M588" s="2"/>
      <c r="N588" s="2">
        <f>IF(ISBLANK(Table2[[#This Row],[ActualResult]]), 0, 1)</f>
        <v>0</v>
      </c>
      <c r="O588" s="2" t="str">
        <f>IF(ISBLANK(Table2[[#This Row],[ActualResult]]), "_", IF(Table2[[#This Row],[ActualWinner]]=Table2[[#This Row],[PredictedWinner]], "Y", "N"))</f>
        <v>_</v>
      </c>
      <c r="P5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8" s="2"/>
      <c r="S588" s="2" t="str">
        <f t="shared" si="51"/>
        <v>_</v>
      </c>
      <c r="T5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8" s="2">
        <f>IF(Table2[[#This Row],[InterConf]]=1,IF(Table2[[#This Row],[InterDiv]]=0, 1, 0), 0)</f>
        <v>0</v>
      </c>
      <c r="W5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8" s="2"/>
      <c r="Y588" s="2"/>
      <c r="Z588" s="145">
        <f>IF(AND(Table2[[#This Row],[GameIsOver]]=1,Table2[[#This Row],[ActualHomeScore]]*Table2[[#This Row],[ActualAwayScore]]=0), 1,0)</f>
        <v>0</v>
      </c>
      <c r="AA5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8" s="2">
        <f>Table2[[#This Row],[ActualAwayScore]]-Table2[[#This Row],[PredictedAwayScore]]</f>
        <v>0</v>
      </c>
      <c r="AG588" s="2">
        <f>Table2[[#This Row],[ActualHomeScore]]-Table2[[#This Row],[PredictedHomeScore]]</f>
        <v>0</v>
      </c>
      <c r="AH588" s="2">
        <f t="shared" si="52"/>
        <v>0</v>
      </c>
      <c r="AI588" s="2">
        <f t="shared" si="53"/>
        <v>0</v>
      </c>
      <c r="AJ588" s="2"/>
      <c r="AK588" s="3"/>
      <c r="AL588" s="2">
        <f>IF(Table2[[#This Row],[GameIsOver]]=0,0,IF(Table2[[#This Row],[ActualWinner]]=Table2[[#This Row],[AwayTeam]], 1, 0))</f>
        <v>0</v>
      </c>
      <c r="AM588" s="2">
        <f>IF(Table2[[#This Row],[GameIsOver]]=0,0,IF(Table2[[#This Row],[ActualWinner]]=Table2[[#This Row],[HomeTeam]], 1, 0))</f>
        <v>0</v>
      </c>
      <c r="AN5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8" s="2" t="str">
        <f>INDEX(Sheet5!$B$2:$AG$33, MATCH(Table2[[#This Row],[AwayTeam]],Sheet5!$A$2:$A$33, 0), MATCH(Table2[[#This Row],[HomeTeam]],Sheet5!$A$2:$A$33, 0))</f>
        <v>0-0-1</v>
      </c>
      <c r="AP588" s="2" t="str">
        <f>INDEX(Sheet5!$B$2:$AG$33, MATCH(Table2[[#This Row],[HomeTeam]],Sheet5!$A$2:$A$33, 0), MATCH(Table2[[#This Row],[AwayTeam]],Sheet5!$A$2:$A$33, 0))</f>
        <v>1-0-0</v>
      </c>
      <c r="AQ588" s="2">
        <f>IF(Table2[[#This Row],[GameHasShutOut]], 1, 0)</f>
        <v>0</v>
      </c>
      <c r="AR588" s="2">
        <f>IF(Table2[[#This Row],[ActualAwayScore]] + Table2[[#This Row],[ActualHomeScore]] &gt;= 10, 1, 0)</f>
        <v>0</v>
      </c>
      <c r="AS588" s="2">
        <f>IF(ABS(Table2[[#This Row],[ActualAwayScore]]-Table2[[#This Row],[ActualHomeScore]])&gt;=5, 1, 0)</f>
        <v>0</v>
      </c>
      <c r="AT588" s="2">
        <f>IF(Table2[[#This Row],[ActualAwayScore]] + Table2[[#This Row],[ActualHomeScore]] &lt;= 3, 1, 0)</f>
        <v>1</v>
      </c>
      <c r="AU588" s="2"/>
      <c r="AV588" s="2"/>
    </row>
    <row r="589" spans="1:48" x14ac:dyDescent="0.25">
      <c r="A589" s="3"/>
      <c r="B589" s="3">
        <v>46015</v>
      </c>
      <c r="C589" s="5">
        <v>2025020587</v>
      </c>
      <c r="D589" s="2" t="s">
        <v>11</v>
      </c>
      <c r="E589" s="2" t="s">
        <v>27</v>
      </c>
      <c r="F589" s="2"/>
      <c r="G589" s="2"/>
      <c r="H589" s="2" t="str">
        <f t="shared" si="49"/>
        <v>_</v>
      </c>
      <c r="I589" s="2"/>
      <c r="J589" s="2"/>
      <c r="K589" s="2"/>
      <c r="L589" s="2" t="str">
        <f t="shared" si="50"/>
        <v>_</v>
      </c>
      <c r="M589" s="2"/>
      <c r="N589" s="2">
        <f>IF(ISBLANK(Table2[[#This Row],[ActualResult]]), 0, 1)</f>
        <v>0</v>
      </c>
      <c r="O589" s="2" t="str">
        <f>IF(ISBLANK(Table2[[#This Row],[ActualResult]]), "_", IF(Table2[[#This Row],[ActualWinner]]=Table2[[#This Row],[PredictedWinner]], "Y", "N"))</f>
        <v>_</v>
      </c>
      <c r="P5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9" s="2"/>
      <c r="S589" s="2" t="str">
        <f t="shared" si="51"/>
        <v>_</v>
      </c>
      <c r="T5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9" s="2">
        <f>IF(Table2[[#This Row],[InterConf]]=1,IF(Table2[[#This Row],[InterDiv]]=0, 1, 0), 0)</f>
        <v>0</v>
      </c>
      <c r="W5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9" s="2"/>
      <c r="Y589" s="2"/>
      <c r="Z589" s="145">
        <f>IF(AND(Table2[[#This Row],[GameIsOver]]=1,Table2[[#This Row],[ActualHomeScore]]*Table2[[#This Row],[ActualAwayScore]]=0), 1,0)</f>
        <v>0</v>
      </c>
      <c r="AA5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9" s="2">
        <f>Table2[[#This Row],[ActualAwayScore]]-Table2[[#This Row],[PredictedAwayScore]]</f>
        <v>0</v>
      </c>
      <c r="AG589" s="2">
        <f>Table2[[#This Row],[ActualHomeScore]]-Table2[[#This Row],[PredictedHomeScore]]</f>
        <v>0</v>
      </c>
      <c r="AH589" s="2">
        <f t="shared" si="52"/>
        <v>0</v>
      </c>
      <c r="AI589" s="2">
        <f t="shared" si="53"/>
        <v>0</v>
      </c>
      <c r="AJ589" s="2"/>
      <c r="AK589" s="3"/>
      <c r="AL589" s="2">
        <f>IF(Table2[[#This Row],[GameIsOver]]=0,0,IF(Table2[[#This Row],[ActualWinner]]=Table2[[#This Row],[AwayTeam]], 1, 0))</f>
        <v>0</v>
      </c>
      <c r="AM589" s="2">
        <f>IF(Table2[[#This Row],[GameIsOver]]=0,0,IF(Table2[[#This Row],[ActualWinner]]=Table2[[#This Row],[HomeTeam]], 1, 0))</f>
        <v>0</v>
      </c>
      <c r="AN589" s="2">
        <f>IF(IFERROR(FIND(Table2[[#This Row],[AwayTeam]], _xlfn.TEXTJOIN(";", 1, $BD$31:$BD$40)), 0) &gt; 0, 1, 0) + IF(IFERROR(FIND(Table2[[#This Row],[HomeTeam]], _xlfn.TEXTJOIN(";", 1, $BD$31:$BD$40)), 0) &gt; 0, 1, 0)</f>
        <v>1</v>
      </c>
      <c r="AO589" s="2" t="str">
        <f>INDEX(Sheet5!$B$2:$AG$33, MATCH(Table2[[#This Row],[AwayTeam]],Sheet5!$A$2:$A$33, 0), MATCH(Table2[[#This Row],[HomeTeam]],Sheet5!$A$2:$A$33, 0))</f>
        <v>0-0-0</v>
      </c>
      <c r="AP589" s="2" t="str">
        <f>INDEX(Sheet5!$B$2:$AG$33, MATCH(Table2[[#This Row],[HomeTeam]],Sheet5!$A$2:$A$33, 0), MATCH(Table2[[#This Row],[AwayTeam]],Sheet5!$A$2:$A$33, 0))</f>
        <v>0-0-0</v>
      </c>
      <c r="AQ589" s="2">
        <f>IF(Table2[[#This Row],[GameHasShutOut]], 1, 0)</f>
        <v>0</v>
      </c>
      <c r="AR589" s="2">
        <f>IF(Table2[[#This Row],[ActualAwayScore]] + Table2[[#This Row],[ActualHomeScore]] &gt;= 10, 1, 0)</f>
        <v>0</v>
      </c>
      <c r="AS589" s="2">
        <f>IF(ABS(Table2[[#This Row],[ActualAwayScore]]-Table2[[#This Row],[ActualHomeScore]])&gt;=5, 1, 0)</f>
        <v>0</v>
      </c>
      <c r="AT589" s="2">
        <f>IF(Table2[[#This Row],[ActualAwayScore]] + Table2[[#This Row],[ActualHomeScore]] &lt;= 3, 1, 0)</f>
        <v>1</v>
      </c>
      <c r="AU589" s="2"/>
      <c r="AV589" s="2"/>
    </row>
    <row r="590" spans="1:48" x14ac:dyDescent="0.25">
      <c r="A590" s="3"/>
      <c r="B590" s="3">
        <v>46018</v>
      </c>
      <c r="C590" s="5">
        <v>2025020588</v>
      </c>
      <c r="D590" s="2" t="s">
        <v>19</v>
      </c>
      <c r="E590" s="2" t="s">
        <v>32</v>
      </c>
      <c r="F590" s="2"/>
      <c r="G590" s="2"/>
      <c r="H590" s="2" t="str">
        <f t="shared" si="49"/>
        <v>_</v>
      </c>
      <c r="I590" s="2"/>
      <c r="J590" s="2"/>
      <c r="K590" s="2"/>
      <c r="L590" s="2" t="str">
        <f t="shared" si="50"/>
        <v>_</v>
      </c>
      <c r="M590" s="2"/>
      <c r="N590" s="2">
        <f>IF(ISBLANK(Table2[[#This Row],[ActualResult]]), 0, 1)</f>
        <v>0</v>
      </c>
      <c r="O590" s="2" t="str">
        <f>IF(ISBLANK(Table2[[#This Row],[ActualResult]]), "_", IF(Table2[[#This Row],[ActualWinner]]=Table2[[#This Row],[PredictedWinner]], "Y", "N"))</f>
        <v>_</v>
      </c>
      <c r="P5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0" s="2"/>
      <c r="S590" s="2" t="str">
        <f t="shared" si="51"/>
        <v>_</v>
      </c>
      <c r="T5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0" s="2">
        <f>IF(Table2[[#This Row],[InterConf]]=1,IF(Table2[[#This Row],[InterDiv]]=0, 1, 0), 0)</f>
        <v>0</v>
      </c>
      <c r="W5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0" s="2"/>
      <c r="Y590" s="2"/>
      <c r="Z590" s="145">
        <f>IF(AND(Table2[[#This Row],[GameIsOver]]=1,Table2[[#This Row],[ActualHomeScore]]*Table2[[#This Row],[ActualAwayScore]]=0), 1,0)</f>
        <v>0</v>
      </c>
      <c r="AA5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90" s="2">
        <f>Table2[[#This Row],[ActualAwayScore]]-Table2[[#This Row],[PredictedAwayScore]]</f>
        <v>0</v>
      </c>
      <c r="AG590" s="2">
        <f>Table2[[#This Row],[ActualHomeScore]]-Table2[[#This Row],[PredictedHomeScore]]</f>
        <v>0</v>
      </c>
      <c r="AH590" s="2">
        <f t="shared" si="52"/>
        <v>0</v>
      </c>
      <c r="AI590" s="2">
        <f t="shared" si="53"/>
        <v>0</v>
      </c>
      <c r="AJ590" s="2"/>
      <c r="AK590" s="3"/>
      <c r="AL590" s="2">
        <f>IF(Table2[[#This Row],[GameIsOver]]=0,0,IF(Table2[[#This Row],[ActualWinner]]=Table2[[#This Row],[AwayTeam]], 1, 0))</f>
        <v>0</v>
      </c>
      <c r="AM590" s="2">
        <f>IF(Table2[[#This Row],[GameIsOver]]=0,0,IF(Table2[[#This Row],[ActualWinner]]=Table2[[#This Row],[HomeTeam]], 1, 0))</f>
        <v>0</v>
      </c>
      <c r="AN5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0" s="2" t="str">
        <f>INDEX(Sheet5!$B$2:$AG$33, MATCH(Table2[[#This Row],[AwayTeam]],Sheet5!$A$2:$A$33, 0), MATCH(Table2[[#This Row],[HomeTeam]],Sheet5!$A$2:$A$33, 0))</f>
        <v>0-0-0</v>
      </c>
      <c r="AP590" s="2" t="str">
        <f>INDEX(Sheet5!$B$2:$AG$33, MATCH(Table2[[#This Row],[HomeTeam]],Sheet5!$A$2:$A$33, 0), MATCH(Table2[[#This Row],[AwayTeam]],Sheet5!$A$2:$A$33, 0))</f>
        <v>0-0-0</v>
      </c>
      <c r="AQ590" s="2">
        <f>IF(Table2[[#This Row],[GameHasShutOut]], 1, 0)</f>
        <v>0</v>
      </c>
      <c r="AR590" s="2">
        <f>IF(Table2[[#This Row],[ActualAwayScore]] + Table2[[#This Row],[ActualHomeScore]] &gt;= 10, 1, 0)</f>
        <v>0</v>
      </c>
      <c r="AS590" s="2">
        <f>IF(ABS(Table2[[#This Row],[ActualAwayScore]]-Table2[[#This Row],[ActualHomeScore]])&gt;=5, 1, 0)</f>
        <v>0</v>
      </c>
      <c r="AT590" s="2">
        <f>IF(Table2[[#This Row],[ActualAwayScore]] + Table2[[#This Row],[ActualHomeScore]] &lt;= 3, 1, 0)</f>
        <v>1</v>
      </c>
      <c r="AU590" s="2"/>
      <c r="AV590" s="2"/>
    </row>
    <row r="591" spans="1:48" x14ac:dyDescent="0.25">
      <c r="A591" s="3"/>
      <c r="B591" s="3">
        <v>46019</v>
      </c>
      <c r="C591" s="5">
        <v>2025020589</v>
      </c>
      <c r="D591" s="2" t="s">
        <v>15</v>
      </c>
      <c r="E591" s="2" t="s">
        <v>28</v>
      </c>
      <c r="F591" s="2"/>
      <c r="G591" s="2"/>
      <c r="H591" s="2" t="str">
        <f t="shared" si="49"/>
        <v>_</v>
      </c>
      <c r="I591" s="2"/>
      <c r="J591" s="2"/>
      <c r="K591" s="2"/>
      <c r="L591" s="2" t="str">
        <f t="shared" si="50"/>
        <v>_</v>
      </c>
      <c r="M591" s="2"/>
      <c r="N591" s="2">
        <f>IF(ISBLANK(Table2[[#This Row],[ActualResult]]), 0, 1)</f>
        <v>0</v>
      </c>
      <c r="O591" s="2" t="str">
        <f>IF(ISBLANK(Table2[[#This Row],[ActualResult]]), "_", IF(Table2[[#This Row],[ActualWinner]]=Table2[[#This Row],[PredictedWinner]], "Y", "N"))</f>
        <v>_</v>
      </c>
      <c r="P5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1" s="2"/>
      <c r="S591" s="2" t="str">
        <f t="shared" si="51"/>
        <v>_</v>
      </c>
      <c r="T5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1" s="2">
        <f>IF(Table2[[#This Row],[InterConf]]=1,IF(Table2[[#This Row],[InterDiv]]=0, 1, 0), 0)</f>
        <v>0</v>
      </c>
      <c r="W5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1" s="2"/>
      <c r="Y591" s="2"/>
      <c r="Z591" s="145">
        <f>IF(AND(Table2[[#This Row],[GameIsOver]]=1,Table2[[#This Row],[ActualHomeScore]]*Table2[[#This Row],[ActualAwayScore]]=0), 1,0)</f>
        <v>0</v>
      </c>
      <c r="AA5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1" s="2">
        <f>Table2[[#This Row],[ActualAwayScore]]-Table2[[#This Row],[PredictedAwayScore]]</f>
        <v>0</v>
      </c>
      <c r="AG591" s="2">
        <f>Table2[[#This Row],[ActualHomeScore]]-Table2[[#This Row],[PredictedHomeScore]]</f>
        <v>0</v>
      </c>
      <c r="AH591" s="2">
        <f t="shared" si="52"/>
        <v>0</v>
      </c>
      <c r="AI591" s="2">
        <f t="shared" si="53"/>
        <v>0</v>
      </c>
      <c r="AJ591" s="2"/>
      <c r="AK591" s="3"/>
      <c r="AL591" s="2">
        <f>IF(Table2[[#This Row],[GameIsOver]]=0,0,IF(Table2[[#This Row],[ActualWinner]]=Table2[[#This Row],[AwayTeam]], 1, 0))</f>
        <v>0</v>
      </c>
      <c r="AM591" s="2">
        <f>IF(Table2[[#This Row],[GameIsOver]]=0,0,IF(Table2[[#This Row],[ActualWinner]]=Table2[[#This Row],[HomeTeam]], 1, 0))</f>
        <v>0</v>
      </c>
      <c r="AN5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1" s="2" t="str">
        <f>INDEX(Sheet5!$B$2:$AG$33, MATCH(Table2[[#This Row],[AwayTeam]],Sheet5!$A$2:$A$33, 0), MATCH(Table2[[#This Row],[HomeTeam]],Sheet5!$A$2:$A$33, 0))</f>
        <v>1-0-0</v>
      </c>
      <c r="AP591" s="2" t="str">
        <f>INDEX(Sheet5!$B$2:$AG$33, MATCH(Table2[[#This Row],[HomeTeam]],Sheet5!$A$2:$A$33, 0), MATCH(Table2[[#This Row],[AwayTeam]],Sheet5!$A$2:$A$33, 0))</f>
        <v>0-1-0</v>
      </c>
      <c r="AQ591" s="2">
        <f>IF(Table2[[#This Row],[GameHasShutOut]], 1, 0)</f>
        <v>0</v>
      </c>
      <c r="AR591" s="2">
        <f>IF(Table2[[#This Row],[ActualAwayScore]] + Table2[[#This Row],[ActualHomeScore]] &gt;= 10, 1, 0)</f>
        <v>0</v>
      </c>
      <c r="AS591" s="2">
        <f>IF(ABS(Table2[[#This Row],[ActualAwayScore]]-Table2[[#This Row],[ActualHomeScore]])&gt;=5, 1, 0)</f>
        <v>0</v>
      </c>
      <c r="AT591" s="2">
        <f>IF(Table2[[#This Row],[ActualAwayScore]] + Table2[[#This Row],[ActualHomeScore]] &lt;= 3, 1, 0)</f>
        <v>1</v>
      </c>
      <c r="AU591" s="2"/>
      <c r="AV591" s="2"/>
    </row>
    <row r="592" spans="1:48" x14ac:dyDescent="0.25">
      <c r="A592" s="3"/>
      <c r="B592" s="3">
        <v>46019</v>
      </c>
      <c r="C592" s="5">
        <v>2025020590</v>
      </c>
      <c r="D592" s="2" t="s">
        <v>29</v>
      </c>
      <c r="E592" s="2" t="s">
        <v>17</v>
      </c>
      <c r="F592" s="2"/>
      <c r="G592" s="2"/>
      <c r="H592" s="2" t="str">
        <f t="shared" si="49"/>
        <v>_</v>
      </c>
      <c r="I592" s="2"/>
      <c r="J592" s="2"/>
      <c r="K592" s="2"/>
      <c r="L592" s="2" t="str">
        <f t="shared" si="50"/>
        <v>_</v>
      </c>
      <c r="M592" s="2"/>
      <c r="N592" s="2">
        <f>IF(ISBLANK(Table2[[#This Row],[ActualResult]]), 0, 1)</f>
        <v>0</v>
      </c>
      <c r="O592" s="2" t="str">
        <f>IF(ISBLANK(Table2[[#This Row],[ActualResult]]), "_", IF(Table2[[#This Row],[ActualWinner]]=Table2[[#This Row],[PredictedWinner]], "Y", "N"))</f>
        <v>_</v>
      </c>
      <c r="P5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2" s="2"/>
      <c r="S592" s="2" t="str">
        <f t="shared" si="51"/>
        <v>_</v>
      </c>
      <c r="T5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2" s="2">
        <f>IF(Table2[[#This Row],[InterConf]]=1,IF(Table2[[#This Row],[InterDiv]]=0, 1, 0), 0)</f>
        <v>0</v>
      </c>
      <c r="W5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2" s="2"/>
      <c r="Y592" s="2"/>
      <c r="Z592" s="145">
        <f>IF(AND(Table2[[#This Row],[GameIsOver]]=1,Table2[[#This Row],[ActualHomeScore]]*Table2[[#This Row],[ActualAwayScore]]=0), 1,0)</f>
        <v>0</v>
      </c>
      <c r="AA5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2" s="2">
        <f>Table2[[#This Row],[ActualAwayScore]]-Table2[[#This Row],[PredictedAwayScore]]</f>
        <v>0</v>
      </c>
      <c r="AG592" s="2">
        <f>Table2[[#This Row],[ActualHomeScore]]-Table2[[#This Row],[PredictedHomeScore]]</f>
        <v>0</v>
      </c>
      <c r="AH592" s="2">
        <f t="shared" si="52"/>
        <v>0</v>
      </c>
      <c r="AI592" s="2">
        <f t="shared" si="53"/>
        <v>0</v>
      </c>
      <c r="AJ592" s="2"/>
      <c r="AK592" s="3"/>
      <c r="AL592" s="2">
        <f>IF(Table2[[#This Row],[GameIsOver]]=0,0,IF(Table2[[#This Row],[ActualWinner]]=Table2[[#This Row],[AwayTeam]], 1, 0))</f>
        <v>0</v>
      </c>
      <c r="AM592" s="2">
        <f>IF(Table2[[#This Row],[GameIsOver]]=0,0,IF(Table2[[#This Row],[ActualWinner]]=Table2[[#This Row],[HomeTeam]], 1, 0))</f>
        <v>0</v>
      </c>
      <c r="AN5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2" s="2" t="str">
        <f>INDEX(Sheet5!$B$2:$AG$33, MATCH(Table2[[#This Row],[AwayTeam]],Sheet5!$A$2:$A$33, 0), MATCH(Table2[[#This Row],[HomeTeam]],Sheet5!$A$2:$A$33, 0))</f>
        <v>0-0-0</v>
      </c>
      <c r="AP592" s="2" t="str">
        <f>INDEX(Sheet5!$B$2:$AG$33, MATCH(Table2[[#This Row],[HomeTeam]],Sheet5!$A$2:$A$33, 0), MATCH(Table2[[#This Row],[AwayTeam]],Sheet5!$A$2:$A$33, 0))</f>
        <v>0-0-0</v>
      </c>
      <c r="AQ592" s="2">
        <f>IF(Table2[[#This Row],[GameHasShutOut]], 1, 0)</f>
        <v>0</v>
      </c>
      <c r="AR592" s="2">
        <f>IF(Table2[[#This Row],[ActualAwayScore]] + Table2[[#This Row],[ActualHomeScore]] &gt;= 10, 1, 0)</f>
        <v>0</v>
      </c>
      <c r="AS592" s="2">
        <f>IF(ABS(Table2[[#This Row],[ActualAwayScore]]-Table2[[#This Row],[ActualHomeScore]])&gt;=5, 1, 0)</f>
        <v>0</v>
      </c>
      <c r="AT592" s="2">
        <f>IF(Table2[[#This Row],[ActualAwayScore]] + Table2[[#This Row],[ActualHomeScore]] &lt;= 3, 1, 0)</f>
        <v>1</v>
      </c>
      <c r="AU592" s="2"/>
      <c r="AV592" s="2"/>
    </row>
    <row r="593" spans="1:48" x14ac:dyDescent="0.25">
      <c r="A593" s="3"/>
      <c r="B593" s="3">
        <v>46019</v>
      </c>
      <c r="C593" s="5">
        <v>2025020591</v>
      </c>
      <c r="D593" s="2" t="s">
        <v>40</v>
      </c>
      <c r="E593" s="2" t="s">
        <v>13</v>
      </c>
      <c r="F593" s="2"/>
      <c r="G593" s="2"/>
      <c r="H593" s="2" t="str">
        <f t="shared" si="49"/>
        <v>_</v>
      </c>
      <c r="I593" s="2"/>
      <c r="J593" s="2"/>
      <c r="K593" s="2"/>
      <c r="L593" s="2" t="str">
        <f t="shared" si="50"/>
        <v>_</v>
      </c>
      <c r="M593" s="2"/>
      <c r="N593" s="2">
        <f>IF(ISBLANK(Table2[[#This Row],[ActualResult]]), 0, 1)</f>
        <v>0</v>
      </c>
      <c r="O593" s="2" t="str">
        <f>IF(ISBLANK(Table2[[#This Row],[ActualResult]]), "_", IF(Table2[[#This Row],[ActualWinner]]=Table2[[#This Row],[PredictedWinner]], "Y", "N"))</f>
        <v>_</v>
      </c>
      <c r="P5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3" s="2"/>
      <c r="S593" s="2" t="str">
        <f t="shared" si="51"/>
        <v>_</v>
      </c>
      <c r="T5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3" s="2">
        <f>IF(Table2[[#This Row],[InterConf]]=1,IF(Table2[[#This Row],[InterDiv]]=0, 1, 0), 0)</f>
        <v>0</v>
      </c>
      <c r="W5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3" s="2"/>
      <c r="Y593" s="2"/>
      <c r="Z593" s="145">
        <f>IF(AND(Table2[[#This Row],[GameIsOver]]=1,Table2[[#This Row],[ActualHomeScore]]*Table2[[#This Row],[ActualAwayScore]]=0), 1,0)</f>
        <v>0</v>
      </c>
      <c r="AA5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3" s="2">
        <f>Table2[[#This Row],[ActualAwayScore]]-Table2[[#This Row],[PredictedAwayScore]]</f>
        <v>0</v>
      </c>
      <c r="AG593" s="2">
        <f>Table2[[#This Row],[ActualHomeScore]]-Table2[[#This Row],[PredictedHomeScore]]</f>
        <v>0</v>
      </c>
      <c r="AH593" s="2">
        <f t="shared" si="52"/>
        <v>0</v>
      </c>
      <c r="AI593" s="2">
        <f t="shared" si="53"/>
        <v>0</v>
      </c>
      <c r="AJ593" s="2"/>
      <c r="AK593" s="3"/>
      <c r="AL593" s="2">
        <f>IF(Table2[[#This Row],[GameIsOver]]=0,0,IF(Table2[[#This Row],[ActualWinner]]=Table2[[#This Row],[AwayTeam]], 1, 0))</f>
        <v>0</v>
      </c>
      <c r="AM593" s="2">
        <f>IF(Table2[[#This Row],[GameIsOver]]=0,0,IF(Table2[[#This Row],[ActualWinner]]=Table2[[#This Row],[HomeTeam]], 1, 0))</f>
        <v>0</v>
      </c>
      <c r="AN5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3" s="2" t="str">
        <f>INDEX(Sheet5!$B$2:$AG$33, MATCH(Table2[[#This Row],[AwayTeam]],Sheet5!$A$2:$A$33, 0), MATCH(Table2[[#This Row],[HomeTeam]],Sheet5!$A$2:$A$33, 0))</f>
        <v>0-0-0</v>
      </c>
      <c r="AP593" s="2" t="str">
        <f>INDEX(Sheet5!$B$2:$AG$33, MATCH(Table2[[#This Row],[HomeTeam]],Sheet5!$A$2:$A$33, 0), MATCH(Table2[[#This Row],[AwayTeam]],Sheet5!$A$2:$A$33, 0))</f>
        <v>0-0-0</v>
      </c>
      <c r="AQ593" s="2">
        <f>IF(Table2[[#This Row],[GameHasShutOut]], 1, 0)</f>
        <v>0</v>
      </c>
      <c r="AR593" s="2">
        <f>IF(Table2[[#This Row],[ActualAwayScore]] + Table2[[#This Row],[ActualHomeScore]] &gt;= 10, 1, 0)</f>
        <v>0</v>
      </c>
      <c r="AS593" s="2">
        <f>IF(ABS(Table2[[#This Row],[ActualAwayScore]]-Table2[[#This Row],[ActualHomeScore]])&gt;=5, 1, 0)</f>
        <v>0</v>
      </c>
      <c r="AT593" s="2">
        <f>IF(Table2[[#This Row],[ActualAwayScore]] + Table2[[#This Row],[ActualHomeScore]] &lt;= 3, 1, 0)</f>
        <v>1</v>
      </c>
      <c r="AU593" s="2"/>
      <c r="AV593" s="2"/>
    </row>
    <row r="594" spans="1:48" x14ac:dyDescent="0.25">
      <c r="A594" s="3"/>
      <c r="B594" s="3">
        <v>46019</v>
      </c>
      <c r="C594" s="5">
        <v>2025020592</v>
      </c>
      <c r="D594" s="2" t="s">
        <v>43</v>
      </c>
      <c r="E594" s="2" t="s">
        <v>31</v>
      </c>
      <c r="F594" s="2"/>
      <c r="G594" s="2"/>
      <c r="H594" s="2" t="str">
        <f t="shared" si="49"/>
        <v>_</v>
      </c>
      <c r="I594" s="2"/>
      <c r="J594" s="2"/>
      <c r="K594" s="2"/>
      <c r="L594" s="2" t="str">
        <f t="shared" si="50"/>
        <v>_</v>
      </c>
      <c r="M594" s="2"/>
      <c r="N594" s="2">
        <f>IF(ISBLANK(Table2[[#This Row],[ActualResult]]), 0, 1)</f>
        <v>0</v>
      </c>
      <c r="O594" s="2" t="str">
        <f>IF(ISBLANK(Table2[[#This Row],[ActualResult]]), "_", IF(Table2[[#This Row],[ActualWinner]]=Table2[[#This Row],[PredictedWinner]], "Y", "N"))</f>
        <v>_</v>
      </c>
      <c r="P5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4" s="2"/>
      <c r="S594" s="2" t="str">
        <f t="shared" si="51"/>
        <v>_</v>
      </c>
      <c r="T5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4" s="2">
        <f>IF(Table2[[#This Row],[InterConf]]=1,IF(Table2[[#This Row],[InterDiv]]=0, 1, 0), 0)</f>
        <v>0</v>
      </c>
      <c r="W5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4" s="2"/>
      <c r="Y594" s="2"/>
      <c r="Z594" s="145">
        <f>IF(AND(Table2[[#This Row],[GameIsOver]]=1,Table2[[#This Row],[ActualHomeScore]]*Table2[[#This Row],[ActualAwayScore]]=0), 1,0)</f>
        <v>0</v>
      </c>
      <c r="AA5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4" s="2">
        <f>Table2[[#This Row],[ActualAwayScore]]-Table2[[#This Row],[PredictedAwayScore]]</f>
        <v>0</v>
      </c>
      <c r="AG594" s="2">
        <f>Table2[[#This Row],[ActualHomeScore]]-Table2[[#This Row],[PredictedHomeScore]]</f>
        <v>0</v>
      </c>
      <c r="AH594" s="2">
        <f t="shared" si="52"/>
        <v>0</v>
      </c>
      <c r="AI594" s="2">
        <f t="shared" si="53"/>
        <v>0</v>
      </c>
      <c r="AJ594" s="2"/>
      <c r="AK594" s="3"/>
      <c r="AL594" s="2">
        <f>IF(Table2[[#This Row],[GameIsOver]]=0,0,IF(Table2[[#This Row],[ActualWinner]]=Table2[[#This Row],[AwayTeam]], 1, 0))</f>
        <v>0</v>
      </c>
      <c r="AM594" s="2">
        <f>IF(Table2[[#This Row],[GameIsOver]]=0,0,IF(Table2[[#This Row],[ActualWinner]]=Table2[[#This Row],[HomeTeam]], 1, 0))</f>
        <v>0</v>
      </c>
      <c r="AN5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4" s="2" t="str">
        <f>INDEX(Sheet5!$B$2:$AG$33, MATCH(Table2[[#This Row],[AwayTeam]],Sheet5!$A$2:$A$33, 0), MATCH(Table2[[#This Row],[HomeTeam]],Sheet5!$A$2:$A$33, 0))</f>
        <v>0-0-0</v>
      </c>
      <c r="AP594" s="2" t="str">
        <f>INDEX(Sheet5!$B$2:$AG$33, MATCH(Table2[[#This Row],[HomeTeam]],Sheet5!$A$2:$A$33, 0), MATCH(Table2[[#This Row],[AwayTeam]],Sheet5!$A$2:$A$33, 0))</f>
        <v>0-0-0</v>
      </c>
      <c r="AQ594" s="2">
        <f>IF(Table2[[#This Row],[GameHasShutOut]], 1, 0)</f>
        <v>0</v>
      </c>
      <c r="AR594" s="2">
        <f>IF(Table2[[#This Row],[ActualAwayScore]] + Table2[[#This Row],[ActualHomeScore]] &gt;= 10, 1, 0)</f>
        <v>0</v>
      </c>
      <c r="AS594" s="2">
        <f>IF(ABS(Table2[[#This Row],[ActualAwayScore]]-Table2[[#This Row],[ActualHomeScore]])&gt;=5, 1, 0)</f>
        <v>0</v>
      </c>
      <c r="AT594" s="2">
        <f>IF(Table2[[#This Row],[ActualAwayScore]] + Table2[[#This Row],[ActualHomeScore]] &lt;= 3, 1, 0)</f>
        <v>1</v>
      </c>
      <c r="AU594" s="2"/>
      <c r="AV594" s="2"/>
    </row>
    <row r="595" spans="1:48" x14ac:dyDescent="0.25">
      <c r="A595" s="3"/>
      <c r="B595" s="3">
        <v>46019</v>
      </c>
      <c r="C595" s="5">
        <v>2025020593</v>
      </c>
      <c r="D595" s="2" t="s">
        <v>30</v>
      </c>
      <c r="E595" s="2" t="s">
        <v>41</v>
      </c>
      <c r="F595" s="2"/>
      <c r="G595" s="2"/>
      <c r="H595" s="2" t="str">
        <f t="shared" si="49"/>
        <v>_</v>
      </c>
      <c r="I595" s="2"/>
      <c r="J595" s="2"/>
      <c r="K595" s="2"/>
      <c r="L595" s="2" t="str">
        <f t="shared" si="50"/>
        <v>_</v>
      </c>
      <c r="M595" s="2"/>
      <c r="N595" s="2">
        <f>IF(ISBLANK(Table2[[#This Row],[ActualResult]]), 0, 1)</f>
        <v>0</v>
      </c>
      <c r="O595" s="2" t="str">
        <f>IF(ISBLANK(Table2[[#This Row],[ActualResult]]), "_", IF(Table2[[#This Row],[ActualWinner]]=Table2[[#This Row],[PredictedWinner]], "Y", "N"))</f>
        <v>_</v>
      </c>
      <c r="P5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5" s="2"/>
      <c r="S595" s="2" t="str">
        <f t="shared" si="51"/>
        <v>_</v>
      </c>
      <c r="T5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95" s="2">
        <f>IF(Table2[[#This Row],[InterConf]]=1,IF(Table2[[#This Row],[InterDiv]]=0, 1, 0), 0)</f>
        <v>1</v>
      </c>
      <c r="W5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5" s="2"/>
      <c r="Y595" s="2"/>
      <c r="Z595" s="145">
        <f>IF(AND(Table2[[#This Row],[GameIsOver]]=1,Table2[[#This Row],[ActualHomeScore]]*Table2[[#This Row],[ActualAwayScore]]=0), 1,0)</f>
        <v>0</v>
      </c>
      <c r="AA5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5" s="2">
        <f>Table2[[#This Row],[ActualAwayScore]]-Table2[[#This Row],[PredictedAwayScore]]</f>
        <v>0</v>
      </c>
      <c r="AG595" s="2">
        <f>Table2[[#This Row],[ActualHomeScore]]-Table2[[#This Row],[PredictedHomeScore]]</f>
        <v>0</v>
      </c>
      <c r="AH595" s="2">
        <f t="shared" si="52"/>
        <v>0</v>
      </c>
      <c r="AI595" s="2">
        <f t="shared" si="53"/>
        <v>0</v>
      </c>
      <c r="AJ595" s="2"/>
      <c r="AK595" s="3"/>
      <c r="AL595" s="2">
        <f>IF(Table2[[#This Row],[GameIsOver]]=0,0,IF(Table2[[#This Row],[ActualWinner]]=Table2[[#This Row],[AwayTeam]], 1, 0))</f>
        <v>0</v>
      </c>
      <c r="AM595" s="2">
        <f>IF(Table2[[#This Row],[GameIsOver]]=0,0,IF(Table2[[#This Row],[ActualWinner]]=Table2[[#This Row],[HomeTeam]], 1, 0))</f>
        <v>0</v>
      </c>
      <c r="AN5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5" s="2" t="str">
        <f>INDEX(Sheet5!$B$2:$AG$33, MATCH(Table2[[#This Row],[AwayTeam]],Sheet5!$A$2:$A$33, 0), MATCH(Table2[[#This Row],[HomeTeam]],Sheet5!$A$2:$A$33, 0))</f>
        <v>0-0-0</v>
      </c>
      <c r="AP595" s="2" t="str">
        <f>INDEX(Sheet5!$B$2:$AG$33, MATCH(Table2[[#This Row],[HomeTeam]],Sheet5!$A$2:$A$33, 0), MATCH(Table2[[#This Row],[AwayTeam]],Sheet5!$A$2:$A$33, 0))</f>
        <v>0-0-0</v>
      </c>
      <c r="AQ595" s="2">
        <f>IF(Table2[[#This Row],[GameHasShutOut]], 1, 0)</f>
        <v>0</v>
      </c>
      <c r="AR595" s="2">
        <f>IF(Table2[[#This Row],[ActualAwayScore]] + Table2[[#This Row],[ActualHomeScore]] &gt;= 10, 1, 0)</f>
        <v>0</v>
      </c>
      <c r="AS595" s="2">
        <f>IF(ABS(Table2[[#This Row],[ActualAwayScore]]-Table2[[#This Row],[ActualHomeScore]])&gt;=5, 1, 0)</f>
        <v>0</v>
      </c>
      <c r="AT595" s="2">
        <f>IF(Table2[[#This Row],[ActualAwayScore]] + Table2[[#This Row],[ActualHomeScore]] &lt;= 3, 1, 0)</f>
        <v>1</v>
      </c>
      <c r="AU595" s="2"/>
      <c r="AV595" s="2"/>
    </row>
    <row r="596" spans="1:48" x14ac:dyDescent="0.25">
      <c r="A596" s="3"/>
      <c r="B596" s="3">
        <v>46019</v>
      </c>
      <c r="C596" s="5">
        <v>2025020594</v>
      </c>
      <c r="D596" s="2" t="s">
        <v>36</v>
      </c>
      <c r="E596" s="2" t="s">
        <v>21</v>
      </c>
      <c r="F596" s="2"/>
      <c r="G596" s="2"/>
      <c r="H596" s="2" t="str">
        <f t="shared" si="49"/>
        <v>_</v>
      </c>
      <c r="I596" s="2"/>
      <c r="J596" s="2"/>
      <c r="K596" s="2"/>
      <c r="L596" s="2" t="str">
        <f t="shared" si="50"/>
        <v>_</v>
      </c>
      <c r="M596" s="2"/>
      <c r="N596" s="2">
        <f>IF(ISBLANK(Table2[[#This Row],[ActualResult]]), 0, 1)</f>
        <v>0</v>
      </c>
      <c r="O596" s="2" t="str">
        <f>IF(ISBLANK(Table2[[#This Row],[ActualResult]]), "_", IF(Table2[[#This Row],[ActualWinner]]=Table2[[#This Row],[PredictedWinner]], "Y", "N"))</f>
        <v>_</v>
      </c>
      <c r="P5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6" s="2"/>
      <c r="S596" s="2" t="str">
        <f t="shared" si="51"/>
        <v>_</v>
      </c>
      <c r="T5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6" s="2">
        <f>IF(Table2[[#This Row],[InterConf]]=1,IF(Table2[[#This Row],[InterDiv]]=0, 1, 0), 0)</f>
        <v>0</v>
      </c>
      <c r="W5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6" s="2"/>
      <c r="Y596" s="2"/>
      <c r="Z596" s="145">
        <f>IF(AND(Table2[[#This Row],[GameIsOver]]=1,Table2[[#This Row],[ActualHomeScore]]*Table2[[#This Row],[ActualAwayScore]]=0), 1,0)</f>
        <v>0</v>
      </c>
      <c r="AA5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6" s="2">
        <f>Table2[[#This Row],[ActualAwayScore]]-Table2[[#This Row],[PredictedAwayScore]]</f>
        <v>0</v>
      </c>
      <c r="AG596" s="2">
        <f>Table2[[#This Row],[ActualHomeScore]]-Table2[[#This Row],[PredictedHomeScore]]</f>
        <v>0</v>
      </c>
      <c r="AH596" s="2">
        <f t="shared" si="52"/>
        <v>0</v>
      </c>
      <c r="AI596" s="2">
        <f t="shared" si="53"/>
        <v>0</v>
      </c>
      <c r="AJ596" s="2"/>
      <c r="AK596" s="3"/>
      <c r="AL596" s="2">
        <f>IF(Table2[[#This Row],[GameIsOver]]=0,0,IF(Table2[[#This Row],[ActualWinner]]=Table2[[#This Row],[AwayTeam]], 1, 0))</f>
        <v>0</v>
      </c>
      <c r="AM596" s="2">
        <f>IF(Table2[[#This Row],[GameIsOver]]=0,0,IF(Table2[[#This Row],[ActualWinner]]=Table2[[#This Row],[HomeTeam]], 1, 0))</f>
        <v>0</v>
      </c>
      <c r="AN5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6" s="2" t="str">
        <f>INDEX(Sheet5!$B$2:$AG$33, MATCH(Table2[[#This Row],[AwayTeam]],Sheet5!$A$2:$A$33, 0), MATCH(Table2[[#This Row],[HomeTeam]],Sheet5!$A$2:$A$33, 0))</f>
        <v>0-0-0</v>
      </c>
      <c r="AP596" s="2" t="str">
        <f>INDEX(Sheet5!$B$2:$AG$33, MATCH(Table2[[#This Row],[HomeTeam]],Sheet5!$A$2:$A$33, 0), MATCH(Table2[[#This Row],[AwayTeam]],Sheet5!$A$2:$A$33, 0))</f>
        <v>0-0-0</v>
      </c>
      <c r="AQ596" s="2">
        <f>IF(Table2[[#This Row],[GameHasShutOut]], 1, 0)</f>
        <v>0</v>
      </c>
      <c r="AR596" s="2">
        <f>IF(Table2[[#This Row],[ActualAwayScore]] + Table2[[#This Row],[ActualHomeScore]] &gt;= 10, 1, 0)</f>
        <v>0</v>
      </c>
      <c r="AS596" s="2">
        <f>IF(ABS(Table2[[#This Row],[ActualAwayScore]]-Table2[[#This Row],[ActualHomeScore]])&gt;=5, 1, 0)</f>
        <v>0</v>
      </c>
      <c r="AT596" s="2">
        <f>IF(Table2[[#This Row],[ActualAwayScore]] + Table2[[#This Row],[ActualHomeScore]] &lt;= 3, 1, 0)</f>
        <v>1</v>
      </c>
      <c r="AU596" s="2"/>
      <c r="AV596" s="2"/>
    </row>
    <row r="597" spans="1:48" x14ac:dyDescent="0.25">
      <c r="A597" s="3"/>
      <c r="B597" s="3">
        <v>46019</v>
      </c>
      <c r="C597" s="5">
        <v>2025020595</v>
      </c>
      <c r="D597" s="2" t="s">
        <v>34</v>
      </c>
      <c r="E597" s="2" t="s">
        <v>12</v>
      </c>
      <c r="F597" s="2"/>
      <c r="G597" s="2"/>
      <c r="H597" s="2" t="str">
        <f t="shared" si="49"/>
        <v>_</v>
      </c>
      <c r="I597" s="2"/>
      <c r="J597" s="2"/>
      <c r="K597" s="2"/>
      <c r="L597" s="2" t="str">
        <f t="shared" si="50"/>
        <v>_</v>
      </c>
      <c r="M597" s="2"/>
      <c r="N597" s="2">
        <f>IF(ISBLANK(Table2[[#This Row],[ActualResult]]), 0, 1)</f>
        <v>0</v>
      </c>
      <c r="O597" s="2" t="str">
        <f>IF(ISBLANK(Table2[[#This Row],[ActualResult]]), "_", IF(Table2[[#This Row],[ActualWinner]]=Table2[[#This Row],[PredictedWinner]], "Y", "N"))</f>
        <v>_</v>
      </c>
      <c r="P5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7" s="2"/>
      <c r="S597" s="2" t="str">
        <f t="shared" si="51"/>
        <v>_</v>
      </c>
      <c r="T5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7" s="2">
        <f>IF(Table2[[#This Row],[InterConf]]=1,IF(Table2[[#This Row],[InterDiv]]=0, 1, 0), 0)</f>
        <v>0</v>
      </c>
      <c r="W5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7" s="2"/>
      <c r="Y597" s="2"/>
      <c r="Z597" s="145">
        <f>IF(AND(Table2[[#This Row],[GameIsOver]]=1,Table2[[#This Row],[ActualHomeScore]]*Table2[[#This Row],[ActualAwayScore]]=0), 1,0)</f>
        <v>0</v>
      </c>
      <c r="AA5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7" s="2">
        <f>Table2[[#This Row],[ActualAwayScore]]-Table2[[#This Row],[PredictedAwayScore]]</f>
        <v>0</v>
      </c>
      <c r="AG597" s="2">
        <f>Table2[[#This Row],[ActualHomeScore]]-Table2[[#This Row],[PredictedHomeScore]]</f>
        <v>0</v>
      </c>
      <c r="AH597" s="2">
        <f t="shared" si="52"/>
        <v>0</v>
      </c>
      <c r="AI597" s="2">
        <f t="shared" si="53"/>
        <v>0</v>
      </c>
      <c r="AJ597" s="2"/>
      <c r="AK597" s="3"/>
      <c r="AL597" s="2">
        <f>IF(Table2[[#This Row],[GameIsOver]]=0,0,IF(Table2[[#This Row],[ActualWinner]]=Table2[[#This Row],[AwayTeam]], 1, 0))</f>
        <v>0</v>
      </c>
      <c r="AM597" s="2">
        <f>IF(Table2[[#This Row],[GameIsOver]]=0,0,IF(Table2[[#This Row],[ActualWinner]]=Table2[[#This Row],[HomeTeam]], 1, 0))</f>
        <v>0</v>
      </c>
      <c r="AN5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7" s="2" t="str">
        <f>INDEX(Sheet5!$B$2:$AG$33, MATCH(Table2[[#This Row],[AwayTeam]],Sheet5!$A$2:$A$33, 0), MATCH(Table2[[#This Row],[HomeTeam]],Sheet5!$A$2:$A$33, 0))</f>
        <v>0-0-0</v>
      </c>
      <c r="AP597" s="2" t="str">
        <f>INDEX(Sheet5!$B$2:$AG$33, MATCH(Table2[[#This Row],[HomeTeam]],Sheet5!$A$2:$A$33, 0), MATCH(Table2[[#This Row],[AwayTeam]],Sheet5!$A$2:$A$33, 0))</f>
        <v>0-0-0</v>
      </c>
      <c r="AQ597" s="2">
        <f>IF(Table2[[#This Row],[GameHasShutOut]], 1, 0)</f>
        <v>0</v>
      </c>
      <c r="AR597" s="2">
        <f>IF(Table2[[#This Row],[ActualAwayScore]] + Table2[[#This Row],[ActualHomeScore]] &gt;= 10, 1, 0)</f>
        <v>0</v>
      </c>
      <c r="AS597" s="2">
        <f>IF(ABS(Table2[[#This Row],[ActualAwayScore]]-Table2[[#This Row],[ActualHomeScore]])&gt;=5, 1, 0)</f>
        <v>0</v>
      </c>
      <c r="AT597" s="2">
        <f>IF(Table2[[#This Row],[ActualAwayScore]] + Table2[[#This Row],[ActualHomeScore]] &lt;= 3, 1, 0)</f>
        <v>1</v>
      </c>
      <c r="AU597" s="2"/>
      <c r="AV597" s="2"/>
    </row>
    <row r="598" spans="1:48" x14ac:dyDescent="0.25">
      <c r="A598" s="3"/>
      <c r="B598" s="3">
        <v>46019</v>
      </c>
      <c r="C598" s="5">
        <v>2025020596</v>
      </c>
      <c r="D598" s="2" t="s">
        <v>16</v>
      </c>
      <c r="E598" s="2" t="s">
        <v>33</v>
      </c>
      <c r="F598" s="2"/>
      <c r="G598" s="2"/>
      <c r="H598" s="2" t="str">
        <f t="shared" si="49"/>
        <v>_</v>
      </c>
      <c r="I598" s="2"/>
      <c r="J598" s="2"/>
      <c r="K598" s="2"/>
      <c r="L598" s="2" t="str">
        <f t="shared" si="50"/>
        <v>_</v>
      </c>
      <c r="M598" s="2"/>
      <c r="N598" s="2">
        <f>IF(ISBLANK(Table2[[#This Row],[ActualResult]]), 0, 1)</f>
        <v>0</v>
      </c>
      <c r="O598" s="2" t="str">
        <f>IF(ISBLANK(Table2[[#This Row],[ActualResult]]), "_", IF(Table2[[#This Row],[ActualWinner]]=Table2[[#This Row],[PredictedWinner]], "Y", "N"))</f>
        <v>_</v>
      </c>
      <c r="P5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8" s="2"/>
      <c r="S598" s="2" t="str">
        <f t="shared" si="51"/>
        <v>_</v>
      </c>
      <c r="T5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8" s="2">
        <f>IF(Table2[[#This Row],[InterConf]]=1,IF(Table2[[#This Row],[InterDiv]]=0, 1, 0), 0)</f>
        <v>0</v>
      </c>
      <c r="W5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8" s="2"/>
      <c r="Y598" s="2"/>
      <c r="Z598" s="145">
        <f>IF(AND(Table2[[#This Row],[GameIsOver]]=1,Table2[[#This Row],[ActualHomeScore]]*Table2[[#This Row],[ActualAwayScore]]=0), 1,0)</f>
        <v>0</v>
      </c>
      <c r="AA5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8" s="2">
        <f>Table2[[#This Row],[ActualAwayScore]]-Table2[[#This Row],[PredictedAwayScore]]</f>
        <v>0</v>
      </c>
      <c r="AG598" s="2">
        <f>Table2[[#This Row],[ActualHomeScore]]-Table2[[#This Row],[PredictedHomeScore]]</f>
        <v>0</v>
      </c>
      <c r="AH598" s="2">
        <f t="shared" si="52"/>
        <v>0</v>
      </c>
      <c r="AI598" s="2">
        <f t="shared" si="53"/>
        <v>0</v>
      </c>
      <c r="AJ598" s="2"/>
      <c r="AK598" s="3"/>
      <c r="AL598" s="2">
        <f>IF(Table2[[#This Row],[GameIsOver]]=0,0,IF(Table2[[#This Row],[ActualWinner]]=Table2[[#This Row],[AwayTeam]], 1, 0))</f>
        <v>0</v>
      </c>
      <c r="AM598" s="2">
        <f>IF(Table2[[#This Row],[GameIsOver]]=0,0,IF(Table2[[#This Row],[ActualWinner]]=Table2[[#This Row],[HomeTeam]], 1, 0))</f>
        <v>0</v>
      </c>
      <c r="AN5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8" s="2" t="str">
        <f>INDEX(Sheet5!$B$2:$AG$33, MATCH(Table2[[#This Row],[AwayTeam]],Sheet5!$A$2:$A$33, 0), MATCH(Table2[[#This Row],[HomeTeam]],Sheet5!$A$2:$A$33, 0))</f>
        <v>0-0-0</v>
      </c>
      <c r="AP598" s="2" t="str">
        <f>INDEX(Sheet5!$B$2:$AG$33, MATCH(Table2[[#This Row],[HomeTeam]],Sheet5!$A$2:$A$33, 0), MATCH(Table2[[#This Row],[AwayTeam]],Sheet5!$A$2:$A$33, 0))</f>
        <v>0-0-0</v>
      </c>
      <c r="AQ598" s="2">
        <f>IF(Table2[[#This Row],[GameHasShutOut]], 1, 0)</f>
        <v>0</v>
      </c>
      <c r="AR598" s="2">
        <f>IF(Table2[[#This Row],[ActualAwayScore]] + Table2[[#This Row],[ActualHomeScore]] &gt;= 10, 1, 0)</f>
        <v>0</v>
      </c>
      <c r="AS598" s="2">
        <f>IF(ABS(Table2[[#This Row],[ActualAwayScore]]-Table2[[#This Row],[ActualHomeScore]])&gt;=5, 1, 0)</f>
        <v>0</v>
      </c>
      <c r="AT598" s="2">
        <f>IF(Table2[[#This Row],[ActualAwayScore]] + Table2[[#This Row],[ActualHomeScore]] &lt;= 3, 1, 0)</f>
        <v>1</v>
      </c>
      <c r="AU598" s="2"/>
      <c r="AV598" s="2"/>
    </row>
    <row r="599" spans="1:48" x14ac:dyDescent="0.25">
      <c r="A599" s="3"/>
      <c r="B599" s="3">
        <v>46019</v>
      </c>
      <c r="C599" s="5">
        <v>2025020597</v>
      </c>
      <c r="D599" s="2" t="s">
        <v>44</v>
      </c>
      <c r="E599" s="2" t="s">
        <v>27</v>
      </c>
      <c r="F599" s="2"/>
      <c r="G599" s="2"/>
      <c r="H599" s="2" t="str">
        <f t="shared" si="49"/>
        <v>_</v>
      </c>
      <c r="I599" s="2"/>
      <c r="J599" s="2"/>
      <c r="K599" s="2"/>
      <c r="L599" s="2" t="str">
        <f t="shared" si="50"/>
        <v>_</v>
      </c>
      <c r="M599" s="2"/>
      <c r="N599" s="2">
        <f>IF(ISBLANK(Table2[[#This Row],[ActualResult]]), 0, 1)</f>
        <v>0</v>
      </c>
      <c r="O599" s="2" t="str">
        <f>IF(ISBLANK(Table2[[#This Row],[ActualResult]]), "_", IF(Table2[[#This Row],[ActualWinner]]=Table2[[#This Row],[PredictedWinner]], "Y", "N"))</f>
        <v>_</v>
      </c>
      <c r="P5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9" s="2"/>
      <c r="S599" s="2" t="str">
        <f t="shared" si="51"/>
        <v>_</v>
      </c>
      <c r="T5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9" s="2">
        <f>IF(Table2[[#This Row],[InterConf]]=1,IF(Table2[[#This Row],[InterDiv]]=0, 1, 0), 0)</f>
        <v>0</v>
      </c>
      <c r="W5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9" s="2"/>
      <c r="Y599" s="2"/>
      <c r="Z599" s="145">
        <f>IF(AND(Table2[[#This Row],[GameIsOver]]=1,Table2[[#This Row],[ActualHomeScore]]*Table2[[#This Row],[ActualAwayScore]]=0), 1,0)</f>
        <v>0</v>
      </c>
      <c r="AA5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9" s="2">
        <f>Table2[[#This Row],[ActualAwayScore]]-Table2[[#This Row],[PredictedAwayScore]]</f>
        <v>0</v>
      </c>
      <c r="AG599" s="2">
        <f>Table2[[#This Row],[ActualHomeScore]]-Table2[[#This Row],[PredictedHomeScore]]</f>
        <v>0</v>
      </c>
      <c r="AH599" s="2">
        <f t="shared" si="52"/>
        <v>0</v>
      </c>
      <c r="AI599" s="2">
        <f t="shared" si="53"/>
        <v>0</v>
      </c>
      <c r="AJ599" s="2"/>
      <c r="AK599" s="3"/>
      <c r="AL599" s="2">
        <f>IF(Table2[[#This Row],[GameIsOver]]=0,0,IF(Table2[[#This Row],[ActualWinner]]=Table2[[#This Row],[AwayTeam]], 1, 0))</f>
        <v>0</v>
      </c>
      <c r="AM599" s="2">
        <f>IF(Table2[[#This Row],[GameIsOver]]=0,0,IF(Table2[[#This Row],[ActualWinner]]=Table2[[#This Row],[HomeTeam]], 1, 0))</f>
        <v>0</v>
      </c>
      <c r="AN599" s="2">
        <f>IF(IFERROR(FIND(Table2[[#This Row],[AwayTeam]], _xlfn.TEXTJOIN(";", 1, $BD$31:$BD$40)), 0) &gt; 0, 1, 0) + IF(IFERROR(FIND(Table2[[#This Row],[HomeTeam]], _xlfn.TEXTJOIN(";", 1, $BD$31:$BD$40)), 0) &gt; 0, 1, 0)</f>
        <v>1</v>
      </c>
      <c r="AO599" s="2" t="str">
        <f>INDEX(Sheet5!$B$2:$AG$33, MATCH(Table2[[#This Row],[AwayTeam]],Sheet5!$A$2:$A$33, 0), MATCH(Table2[[#This Row],[HomeTeam]],Sheet5!$A$2:$A$33, 0))</f>
        <v>0-0-0</v>
      </c>
      <c r="AP599" s="2" t="str">
        <f>INDEX(Sheet5!$B$2:$AG$33, MATCH(Table2[[#This Row],[HomeTeam]],Sheet5!$A$2:$A$33, 0), MATCH(Table2[[#This Row],[AwayTeam]],Sheet5!$A$2:$A$33, 0))</f>
        <v>0-0-0</v>
      </c>
      <c r="AQ599" s="2">
        <f>IF(Table2[[#This Row],[GameHasShutOut]], 1, 0)</f>
        <v>0</v>
      </c>
      <c r="AR599" s="2">
        <f>IF(Table2[[#This Row],[ActualAwayScore]] + Table2[[#This Row],[ActualHomeScore]] &gt;= 10, 1, 0)</f>
        <v>0</v>
      </c>
      <c r="AS599" s="2">
        <f>IF(ABS(Table2[[#This Row],[ActualAwayScore]]-Table2[[#This Row],[ActualHomeScore]])&gt;=5, 1, 0)</f>
        <v>0</v>
      </c>
      <c r="AT599" s="2">
        <f>IF(Table2[[#This Row],[ActualAwayScore]] + Table2[[#This Row],[ActualHomeScore]] &lt;= 3, 1, 0)</f>
        <v>1</v>
      </c>
      <c r="AU599" s="2"/>
      <c r="AV599" s="2"/>
    </row>
    <row r="600" spans="1:48" x14ac:dyDescent="0.25">
      <c r="A600" s="3"/>
      <c r="B600" s="3">
        <v>46019</v>
      </c>
      <c r="C600" s="5">
        <v>2025020598</v>
      </c>
      <c r="D600" s="2" t="s">
        <v>22</v>
      </c>
      <c r="E600" s="2" t="s">
        <v>23</v>
      </c>
      <c r="F600" s="2"/>
      <c r="G600" s="2"/>
      <c r="H600" s="2" t="str">
        <f t="shared" si="49"/>
        <v>_</v>
      </c>
      <c r="I600" s="2"/>
      <c r="J600" s="2"/>
      <c r="K600" s="2"/>
      <c r="L600" s="2" t="str">
        <f t="shared" si="50"/>
        <v>_</v>
      </c>
      <c r="M600" s="2"/>
      <c r="N600" s="2">
        <f>IF(ISBLANK(Table2[[#This Row],[ActualResult]]), 0, 1)</f>
        <v>0</v>
      </c>
      <c r="O600" s="2" t="str">
        <f>IF(ISBLANK(Table2[[#This Row],[ActualResult]]), "_", IF(Table2[[#This Row],[ActualWinner]]=Table2[[#This Row],[PredictedWinner]], "Y", "N"))</f>
        <v>_</v>
      </c>
      <c r="P6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0" s="2"/>
      <c r="S600" s="2" t="str">
        <f t="shared" si="51"/>
        <v>_</v>
      </c>
      <c r="T6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0" s="2">
        <f>IF(Table2[[#This Row],[InterConf]]=1,IF(Table2[[#This Row],[InterDiv]]=0, 1, 0), 0)</f>
        <v>0</v>
      </c>
      <c r="W6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0" s="2"/>
      <c r="Y600" s="2"/>
      <c r="Z600" s="145">
        <f>IF(AND(Table2[[#This Row],[GameIsOver]]=1,Table2[[#This Row],[ActualHomeScore]]*Table2[[#This Row],[ActualAwayScore]]=0), 1,0)</f>
        <v>0</v>
      </c>
      <c r="AA6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0" s="2">
        <f>Table2[[#This Row],[ActualAwayScore]]-Table2[[#This Row],[PredictedAwayScore]]</f>
        <v>0</v>
      </c>
      <c r="AG600" s="2">
        <f>Table2[[#This Row],[ActualHomeScore]]-Table2[[#This Row],[PredictedHomeScore]]</f>
        <v>0</v>
      </c>
      <c r="AH600" s="2">
        <f t="shared" si="52"/>
        <v>0</v>
      </c>
      <c r="AI600" s="2">
        <f t="shared" si="53"/>
        <v>0</v>
      </c>
      <c r="AJ600" s="2"/>
      <c r="AK600" s="3"/>
      <c r="AL600" s="2">
        <f>IF(Table2[[#This Row],[GameIsOver]]=0,0,IF(Table2[[#This Row],[ActualWinner]]=Table2[[#This Row],[AwayTeam]], 1, 0))</f>
        <v>0</v>
      </c>
      <c r="AM600" s="2">
        <f>IF(Table2[[#This Row],[GameIsOver]]=0,0,IF(Table2[[#This Row],[ActualWinner]]=Table2[[#This Row],[HomeTeam]], 1, 0))</f>
        <v>0</v>
      </c>
      <c r="AN6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0" s="2" t="str">
        <f>INDEX(Sheet5!$B$2:$AG$33, MATCH(Table2[[#This Row],[AwayTeam]],Sheet5!$A$2:$A$33, 0), MATCH(Table2[[#This Row],[HomeTeam]],Sheet5!$A$2:$A$33, 0))</f>
        <v>0-0-1</v>
      </c>
      <c r="AP600" s="2" t="str">
        <f>INDEX(Sheet5!$B$2:$AG$33, MATCH(Table2[[#This Row],[HomeTeam]],Sheet5!$A$2:$A$33, 0), MATCH(Table2[[#This Row],[AwayTeam]],Sheet5!$A$2:$A$33, 0))</f>
        <v>1-0-0</v>
      </c>
      <c r="AQ600" s="2">
        <f>IF(Table2[[#This Row],[GameHasShutOut]], 1, 0)</f>
        <v>0</v>
      </c>
      <c r="AR600" s="2">
        <f>IF(Table2[[#This Row],[ActualAwayScore]] + Table2[[#This Row],[ActualHomeScore]] &gt;= 10, 1, 0)</f>
        <v>0</v>
      </c>
      <c r="AS600" s="2">
        <f>IF(ABS(Table2[[#This Row],[ActualAwayScore]]-Table2[[#This Row],[ActualHomeScore]])&gt;=5, 1, 0)</f>
        <v>0</v>
      </c>
      <c r="AT600" s="2">
        <f>IF(Table2[[#This Row],[ActualAwayScore]] + Table2[[#This Row],[ActualHomeScore]] &lt;= 3, 1, 0)</f>
        <v>1</v>
      </c>
      <c r="AU600" s="2"/>
      <c r="AV600" s="2"/>
    </row>
    <row r="601" spans="1:48" x14ac:dyDescent="0.25">
      <c r="A601" s="3"/>
      <c r="B601" s="3">
        <v>46019</v>
      </c>
      <c r="C601" s="5">
        <v>2025020599</v>
      </c>
      <c r="D601" s="2" t="s">
        <v>37</v>
      </c>
      <c r="E601" s="2" t="s">
        <v>24</v>
      </c>
      <c r="F601" s="2"/>
      <c r="G601" s="2"/>
      <c r="H601" s="2" t="str">
        <f t="shared" si="49"/>
        <v>_</v>
      </c>
      <c r="I601" s="2"/>
      <c r="J601" s="2"/>
      <c r="K601" s="2"/>
      <c r="L601" s="2" t="str">
        <f t="shared" si="50"/>
        <v>_</v>
      </c>
      <c r="M601" s="2"/>
      <c r="N601" s="2">
        <f>IF(ISBLANK(Table2[[#This Row],[ActualResult]]), 0, 1)</f>
        <v>0</v>
      </c>
      <c r="O601" s="2" t="str">
        <f>IF(ISBLANK(Table2[[#This Row],[ActualResult]]), "_", IF(Table2[[#This Row],[ActualWinner]]=Table2[[#This Row],[PredictedWinner]], "Y", "N"))</f>
        <v>_</v>
      </c>
      <c r="P6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1" s="2"/>
      <c r="S601" s="2" t="str">
        <f t="shared" si="51"/>
        <v>_</v>
      </c>
      <c r="T6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1" s="2">
        <f>IF(Table2[[#This Row],[InterConf]]=1,IF(Table2[[#This Row],[InterDiv]]=0, 1, 0), 0)</f>
        <v>0</v>
      </c>
      <c r="W6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1" s="2"/>
      <c r="Y601" s="2"/>
      <c r="Z601" s="145">
        <f>IF(AND(Table2[[#This Row],[GameIsOver]]=1,Table2[[#This Row],[ActualHomeScore]]*Table2[[#This Row],[ActualAwayScore]]=0), 1,0)</f>
        <v>0</v>
      </c>
      <c r="AA6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1" s="2">
        <f>Table2[[#This Row],[ActualAwayScore]]-Table2[[#This Row],[PredictedAwayScore]]</f>
        <v>0</v>
      </c>
      <c r="AG601" s="2">
        <f>Table2[[#This Row],[ActualHomeScore]]-Table2[[#This Row],[PredictedHomeScore]]</f>
        <v>0</v>
      </c>
      <c r="AH601" s="2">
        <f t="shared" si="52"/>
        <v>0</v>
      </c>
      <c r="AI601" s="2">
        <f t="shared" si="53"/>
        <v>0</v>
      </c>
      <c r="AJ601" s="2"/>
      <c r="AK601" s="3"/>
      <c r="AL601" s="2">
        <f>IF(Table2[[#This Row],[GameIsOver]]=0,0,IF(Table2[[#This Row],[ActualWinner]]=Table2[[#This Row],[AwayTeam]], 1, 0))</f>
        <v>0</v>
      </c>
      <c r="AM601" s="2">
        <f>IF(Table2[[#This Row],[GameIsOver]]=0,0,IF(Table2[[#This Row],[ActualWinner]]=Table2[[#This Row],[HomeTeam]], 1, 0))</f>
        <v>0</v>
      </c>
      <c r="AN6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1" s="2" t="str">
        <f>INDEX(Sheet5!$B$2:$AG$33, MATCH(Table2[[#This Row],[AwayTeam]],Sheet5!$A$2:$A$33, 0), MATCH(Table2[[#This Row],[HomeTeam]],Sheet5!$A$2:$A$33, 0))</f>
        <v>0-0-0</v>
      </c>
      <c r="AP601" s="2" t="str">
        <f>INDEX(Sheet5!$B$2:$AG$33, MATCH(Table2[[#This Row],[HomeTeam]],Sheet5!$A$2:$A$33, 0), MATCH(Table2[[#This Row],[AwayTeam]],Sheet5!$A$2:$A$33, 0))</f>
        <v>0-0-0</v>
      </c>
      <c r="AQ601" s="2">
        <f>IF(Table2[[#This Row],[GameHasShutOut]], 1, 0)</f>
        <v>0</v>
      </c>
      <c r="AR601" s="2">
        <f>IF(Table2[[#This Row],[ActualAwayScore]] + Table2[[#This Row],[ActualHomeScore]] &gt;= 10, 1, 0)</f>
        <v>0</v>
      </c>
      <c r="AS601" s="2">
        <f>IF(ABS(Table2[[#This Row],[ActualAwayScore]]-Table2[[#This Row],[ActualHomeScore]])&gt;=5, 1, 0)</f>
        <v>0</v>
      </c>
      <c r="AT601" s="2">
        <f>IF(Table2[[#This Row],[ActualAwayScore]] + Table2[[#This Row],[ActualHomeScore]] &lt;= 3, 1, 0)</f>
        <v>1</v>
      </c>
      <c r="AU601" s="2"/>
      <c r="AV601" s="2"/>
    </row>
    <row r="602" spans="1:48" x14ac:dyDescent="0.25">
      <c r="A602" s="3"/>
      <c r="B602" s="3">
        <v>46019</v>
      </c>
      <c r="C602" s="5">
        <v>2025020600</v>
      </c>
      <c r="D602" s="2" t="s">
        <v>25</v>
      </c>
      <c r="E602" s="2" t="s">
        <v>26</v>
      </c>
      <c r="F602" s="2"/>
      <c r="G602" s="2"/>
      <c r="H602" s="2" t="str">
        <f t="shared" si="49"/>
        <v>_</v>
      </c>
      <c r="I602" s="2"/>
      <c r="J602" s="2"/>
      <c r="K602" s="2"/>
      <c r="L602" s="2" t="str">
        <f t="shared" si="50"/>
        <v>_</v>
      </c>
      <c r="M602" s="2"/>
      <c r="N602" s="2">
        <f>IF(ISBLANK(Table2[[#This Row],[ActualResult]]), 0, 1)</f>
        <v>0</v>
      </c>
      <c r="O602" s="2" t="str">
        <f>IF(ISBLANK(Table2[[#This Row],[ActualResult]]), "_", IF(Table2[[#This Row],[ActualWinner]]=Table2[[#This Row],[PredictedWinner]], "Y", "N"))</f>
        <v>_</v>
      </c>
      <c r="P6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2" s="2"/>
      <c r="S602" s="2" t="str">
        <f t="shared" si="51"/>
        <v>_</v>
      </c>
      <c r="T6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2" s="2">
        <f>IF(Table2[[#This Row],[InterConf]]=1,IF(Table2[[#This Row],[InterDiv]]=0, 1, 0), 0)</f>
        <v>1</v>
      </c>
      <c r="W6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2" s="2"/>
      <c r="Y602" s="2"/>
      <c r="Z602" s="145">
        <f>IF(AND(Table2[[#This Row],[GameIsOver]]=1,Table2[[#This Row],[ActualHomeScore]]*Table2[[#This Row],[ActualAwayScore]]=0), 1,0)</f>
        <v>0</v>
      </c>
      <c r="AA6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2" s="2">
        <f>Table2[[#This Row],[ActualAwayScore]]-Table2[[#This Row],[PredictedAwayScore]]</f>
        <v>0</v>
      </c>
      <c r="AG602" s="2">
        <f>Table2[[#This Row],[ActualHomeScore]]-Table2[[#This Row],[PredictedHomeScore]]</f>
        <v>0</v>
      </c>
      <c r="AH602" s="2">
        <f t="shared" si="52"/>
        <v>0</v>
      </c>
      <c r="AI602" s="2">
        <f t="shared" si="53"/>
        <v>0</v>
      </c>
      <c r="AJ602" s="2"/>
      <c r="AK602" s="3"/>
      <c r="AL602" s="2">
        <f>IF(Table2[[#This Row],[GameIsOver]]=0,0,IF(Table2[[#This Row],[ActualWinner]]=Table2[[#This Row],[AwayTeam]], 1, 0))</f>
        <v>0</v>
      </c>
      <c r="AM602" s="2">
        <f>IF(Table2[[#This Row],[GameIsOver]]=0,0,IF(Table2[[#This Row],[ActualWinner]]=Table2[[#This Row],[HomeTeam]], 1, 0))</f>
        <v>0</v>
      </c>
      <c r="AN6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2" s="2" t="str">
        <f>INDEX(Sheet5!$B$2:$AG$33, MATCH(Table2[[#This Row],[AwayTeam]],Sheet5!$A$2:$A$33, 0), MATCH(Table2[[#This Row],[HomeTeam]],Sheet5!$A$2:$A$33, 0))</f>
        <v>0-0-0</v>
      </c>
      <c r="AP602" s="2" t="str">
        <f>INDEX(Sheet5!$B$2:$AG$33, MATCH(Table2[[#This Row],[HomeTeam]],Sheet5!$A$2:$A$33, 0), MATCH(Table2[[#This Row],[AwayTeam]],Sheet5!$A$2:$A$33, 0))</f>
        <v>0-0-0</v>
      </c>
      <c r="AQ602" s="2">
        <f>IF(Table2[[#This Row],[GameHasShutOut]], 1, 0)</f>
        <v>0</v>
      </c>
      <c r="AR602" s="2">
        <f>IF(Table2[[#This Row],[ActualAwayScore]] + Table2[[#This Row],[ActualHomeScore]] &gt;= 10, 1, 0)</f>
        <v>0</v>
      </c>
      <c r="AS602" s="2">
        <f>IF(ABS(Table2[[#This Row],[ActualAwayScore]]-Table2[[#This Row],[ActualHomeScore]])&gt;=5, 1, 0)</f>
        <v>0</v>
      </c>
      <c r="AT602" s="2">
        <f>IF(Table2[[#This Row],[ActualAwayScore]] + Table2[[#This Row],[ActualHomeScore]] &lt;= 3, 1, 0)</f>
        <v>1</v>
      </c>
      <c r="AU602" s="2"/>
      <c r="AV602" s="2"/>
    </row>
    <row r="603" spans="1:48" x14ac:dyDescent="0.25">
      <c r="A603" s="3"/>
      <c r="B603" s="3">
        <v>46019</v>
      </c>
      <c r="C603" s="5">
        <v>2025020601</v>
      </c>
      <c r="D603" s="2" t="s">
        <v>17</v>
      </c>
      <c r="E603" s="2" t="s">
        <v>30</v>
      </c>
      <c r="F603" s="2"/>
      <c r="G603" s="2"/>
      <c r="H603" s="2" t="str">
        <f t="shared" si="49"/>
        <v>_</v>
      </c>
      <c r="I603" s="2"/>
      <c r="J603" s="2"/>
      <c r="K603" s="2"/>
      <c r="L603" s="2" t="str">
        <f t="shared" si="50"/>
        <v>_</v>
      </c>
      <c r="M603" s="2"/>
      <c r="N603" s="2">
        <f>IF(ISBLANK(Table2[[#This Row],[ActualResult]]), 0, 1)</f>
        <v>0</v>
      </c>
      <c r="O603" s="2" t="str">
        <f>IF(ISBLANK(Table2[[#This Row],[ActualResult]]), "_", IF(Table2[[#This Row],[ActualWinner]]=Table2[[#This Row],[PredictedWinner]], "Y", "N"))</f>
        <v>_</v>
      </c>
      <c r="P6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3" s="2"/>
      <c r="S603" s="2" t="str">
        <f t="shared" si="51"/>
        <v>_</v>
      </c>
      <c r="T6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3" s="2">
        <f>IF(Table2[[#This Row],[InterConf]]=1,IF(Table2[[#This Row],[InterDiv]]=0, 1, 0), 0)</f>
        <v>0</v>
      </c>
      <c r="W6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3" s="2"/>
      <c r="Y603" s="2"/>
      <c r="Z603" s="145">
        <f>IF(AND(Table2[[#This Row],[GameIsOver]]=1,Table2[[#This Row],[ActualHomeScore]]*Table2[[#This Row],[ActualAwayScore]]=0), 1,0)</f>
        <v>0</v>
      </c>
      <c r="AA6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3" s="2">
        <f>Table2[[#This Row],[ActualAwayScore]]-Table2[[#This Row],[PredictedAwayScore]]</f>
        <v>0</v>
      </c>
      <c r="AG603" s="2">
        <f>Table2[[#This Row],[ActualHomeScore]]-Table2[[#This Row],[PredictedHomeScore]]</f>
        <v>0</v>
      </c>
      <c r="AH603" s="2">
        <f t="shared" si="52"/>
        <v>0</v>
      </c>
      <c r="AI603" s="2">
        <f t="shared" si="53"/>
        <v>0</v>
      </c>
      <c r="AJ603" s="2"/>
      <c r="AK603" s="3"/>
      <c r="AL603" s="2">
        <f>IF(Table2[[#This Row],[GameIsOver]]=0,0,IF(Table2[[#This Row],[ActualWinner]]=Table2[[#This Row],[AwayTeam]], 1, 0))</f>
        <v>0</v>
      </c>
      <c r="AM603" s="2">
        <f>IF(Table2[[#This Row],[GameIsOver]]=0,0,IF(Table2[[#This Row],[ActualWinner]]=Table2[[#This Row],[HomeTeam]], 1, 0))</f>
        <v>0</v>
      </c>
      <c r="AN6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3" s="2" t="str">
        <f>INDEX(Sheet5!$B$2:$AG$33, MATCH(Table2[[#This Row],[AwayTeam]],Sheet5!$A$2:$A$33, 0), MATCH(Table2[[#This Row],[HomeTeam]],Sheet5!$A$2:$A$33, 0))</f>
        <v>0-2-0</v>
      </c>
      <c r="AP603" s="2" t="str">
        <f>INDEX(Sheet5!$B$2:$AG$33, MATCH(Table2[[#This Row],[HomeTeam]],Sheet5!$A$2:$A$33, 0), MATCH(Table2[[#This Row],[AwayTeam]],Sheet5!$A$2:$A$33, 0))</f>
        <v>2-0-0</v>
      </c>
      <c r="AQ603" s="2">
        <f>IF(Table2[[#This Row],[GameHasShutOut]], 1, 0)</f>
        <v>0</v>
      </c>
      <c r="AR603" s="2">
        <f>IF(Table2[[#This Row],[ActualAwayScore]] + Table2[[#This Row],[ActualHomeScore]] &gt;= 10, 1, 0)</f>
        <v>0</v>
      </c>
      <c r="AS603" s="2">
        <f>IF(ABS(Table2[[#This Row],[ActualAwayScore]]-Table2[[#This Row],[ActualHomeScore]])&gt;=5, 1, 0)</f>
        <v>0</v>
      </c>
      <c r="AT603" s="2">
        <f>IF(Table2[[#This Row],[ActualAwayScore]] + Table2[[#This Row],[ActualHomeScore]] &lt;= 3, 1, 0)</f>
        <v>1</v>
      </c>
      <c r="AU603" s="2"/>
      <c r="AV603" s="2"/>
    </row>
    <row r="604" spans="1:48" x14ac:dyDescent="0.25">
      <c r="A604" s="3"/>
      <c r="B604" s="3">
        <v>46019</v>
      </c>
      <c r="C604" s="5">
        <v>2025020602</v>
      </c>
      <c r="D604" s="2" t="s">
        <v>18</v>
      </c>
      <c r="E604" s="2" t="s">
        <v>40</v>
      </c>
      <c r="F604" s="2"/>
      <c r="G604" s="2"/>
      <c r="H604" s="2" t="str">
        <f t="shared" si="49"/>
        <v>_</v>
      </c>
      <c r="I604" s="2"/>
      <c r="J604" s="2"/>
      <c r="K604" s="2"/>
      <c r="L604" s="2" t="str">
        <f t="shared" si="50"/>
        <v>_</v>
      </c>
      <c r="M604" s="2"/>
      <c r="N604" s="2">
        <f>IF(ISBLANK(Table2[[#This Row],[ActualResult]]), 0, 1)</f>
        <v>0</v>
      </c>
      <c r="O604" s="2" t="str">
        <f>IF(ISBLANK(Table2[[#This Row],[ActualResult]]), "_", IF(Table2[[#This Row],[ActualWinner]]=Table2[[#This Row],[PredictedWinner]], "Y", "N"))</f>
        <v>_</v>
      </c>
      <c r="P6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4" s="2"/>
      <c r="S604" s="2" t="str">
        <f t="shared" si="51"/>
        <v>_</v>
      </c>
      <c r="T6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4" s="2">
        <f>IF(Table2[[#This Row],[InterConf]]=1,IF(Table2[[#This Row],[InterDiv]]=0, 1, 0), 0)</f>
        <v>0</v>
      </c>
      <c r="W6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4" s="2"/>
      <c r="Y604" s="2"/>
      <c r="Z604" s="145">
        <f>IF(AND(Table2[[#This Row],[GameIsOver]]=1,Table2[[#This Row],[ActualHomeScore]]*Table2[[#This Row],[ActualAwayScore]]=0), 1,0)</f>
        <v>0</v>
      </c>
      <c r="AA6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4" s="2">
        <f>Table2[[#This Row],[ActualAwayScore]]-Table2[[#This Row],[PredictedAwayScore]]</f>
        <v>0</v>
      </c>
      <c r="AG604" s="2">
        <f>Table2[[#This Row],[ActualHomeScore]]-Table2[[#This Row],[PredictedHomeScore]]</f>
        <v>0</v>
      </c>
      <c r="AH604" s="2">
        <f t="shared" si="52"/>
        <v>0</v>
      </c>
      <c r="AI604" s="2">
        <f t="shared" si="53"/>
        <v>0</v>
      </c>
      <c r="AJ604" s="2"/>
      <c r="AK604" s="3"/>
      <c r="AL604" s="2">
        <f>IF(Table2[[#This Row],[GameIsOver]]=0,0,IF(Table2[[#This Row],[ActualWinner]]=Table2[[#This Row],[AwayTeam]], 1, 0))</f>
        <v>0</v>
      </c>
      <c r="AM604" s="2">
        <f>IF(Table2[[#This Row],[GameIsOver]]=0,0,IF(Table2[[#This Row],[ActualWinner]]=Table2[[#This Row],[HomeTeam]], 1, 0))</f>
        <v>0</v>
      </c>
      <c r="AN6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4" s="2" t="str">
        <f>INDEX(Sheet5!$B$2:$AG$33, MATCH(Table2[[#This Row],[AwayTeam]],Sheet5!$A$2:$A$33, 0), MATCH(Table2[[#This Row],[HomeTeam]],Sheet5!$A$2:$A$33, 0))</f>
        <v>0-0-0</v>
      </c>
      <c r="AP604" s="2" t="str">
        <f>INDEX(Sheet5!$B$2:$AG$33, MATCH(Table2[[#This Row],[HomeTeam]],Sheet5!$A$2:$A$33, 0), MATCH(Table2[[#This Row],[AwayTeam]],Sheet5!$A$2:$A$33, 0))</f>
        <v>0-0-0</v>
      </c>
      <c r="AQ604" s="2">
        <f>IF(Table2[[#This Row],[GameHasShutOut]], 1, 0)</f>
        <v>0</v>
      </c>
      <c r="AR604" s="2">
        <f>IF(Table2[[#This Row],[ActualAwayScore]] + Table2[[#This Row],[ActualHomeScore]] &gt;= 10, 1, 0)</f>
        <v>0</v>
      </c>
      <c r="AS604" s="2">
        <f>IF(ABS(Table2[[#This Row],[ActualAwayScore]]-Table2[[#This Row],[ActualHomeScore]])&gt;=5, 1, 0)</f>
        <v>0</v>
      </c>
      <c r="AT604" s="2">
        <f>IF(Table2[[#This Row],[ActualAwayScore]] + Table2[[#This Row],[ActualHomeScore]] &lt;= 3, 1, 0)</f>
        <v>1</v>
      </c>
      <c r="AU604" s="2"/>
      <c r="AV604" s="2"/>
    </row>
    <row r="605" spans="1:48" x14ac:dyDescent="0.25">
      <c r="A605" s="3"/>
      <c r="B605" s="3">
        <v>46019</v>
      </c>
      <c r="C605" s="5">
        <v>2025020603</v>
      </c>
      <c r="D605" s="2" t="s">
        <v>32</v>
      </c>
      <c r="E605" s="2" t="s">
        <v>35</v>
      </c>
      <c r="F605" s="2"/>
      <c r="G605" s="2"/>
      <c r="H605" s="2" t="str">
        <f t="shared" si="49"/>
        <v>_</v>
      </c>
      <c r="I605" s="2"/>
      <c r="J605" s="2"/>
      <c r="K605" s="2"/>
      <c r="L605" s="2" t="str">
        <f t="shared" si="50"/>
        <v>_</v>
      </c>
      <c r="M605" s="2"/>
      <c r="N605" s="2">
        <f>IF(ISBLANK(Table2[[#This Row],[ActualResult]]), 0, 1)</f>
        <v>0</v>
      </c>
      <c r="O605" s="2" t="str">
        <f>IF(ISBLANK(Table2[[#This Row],[ActualResult]]), "_", IF(Table2[[#This Row],[ActualWinner]]=Table2[[#This Row],[PredictedWinner]], "Y", "N"))</f>
        <v>_</v>
      </c>
      <c r="P6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5" s="2"/>
      <c r="S605" s="2" t="str">
        <f t="shared" si="51"/>
        <v>_</v>
      </c>
      <c r="T6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5" s="2">
        <f>IF(Table2[[#This Row],[InterConf]]=1,IF(Table2[[#This Row],[InterDiv]]=0, 1, 0), 0)</f>
        <v>0</v>
      </c>
      <c r="W6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5" s="2"/>
      <c r="Y605" s="2"/>
      <c r="Z605" s="145">
        <f>IF(AND(Table2[[#This Row],[GameIsOver]]=1,Table2[[#This Row],[ActualHomeScore]]*Table2[[#This Row],[ActualAwayScore]]=0), 1,0)</f>
        <v>0</v>
      </c>
      <c r="AA6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5" s="2">
        <f>Table2[[#This Row],[ActualAwayScore]]-Table2[[#This Row],[PredictedAwayScore]]</f>
        <v>0</v>
      </c>
      <c r="AG605" s="2">
        <f>Table2[[#This Row],[ActualHomeScore]]-Table2[[#This Row],[PredictedHomeScore]]</f>
        <v>0</v>
      </c>
      <c r="AH605" s="2">
        <f t="shared" si="52"/>
        <v>0</v>
      </c>
      <c r="AI605" s="2">
        <f t="shared" si="53"/>
        <v>0</v>
      </c>
      <c r="AJ605" s="2"/>
      <c r="AK605" s="3"/>
      <c r="AL605" s="2">
        <f>IF(Table2[[#This Row],[GameIsOver]]=0,0,IF(Table2[[#This Row],[ActualWinner]]=Table2[[#This Row],[AwayTeam]], 1, 0))</f>
        <v>0</v>
      </c>
      <c r="AM605" s="2">
        <f>IF(Table2[[#This Row],[GameIsOver]]=0,0,IF(Table2[[#This Row],[ActualWinner]]=Table2[[#This Row],[HomeTeam]], 1, 0))</f>
        <v>0</v>
      </c>
      <c r="AN6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5" s="2" t="str">
        <f>INDEX(Sheet5!$B$2:$AG$33, MATCH(Table2[[#This Row],[AwayTeam]],Sheet5!$A$2:$A$33, 0), MATCH(Table2[[#This Row],[HomeTeam]],Sheet5!$A$2:$A$33, 0))</f>
        <v>0-0-0</v>
      </c>
      <c r="AP605" s="2" t="str">
        <f>INDEX(Sheet5!$B$2:$AG$33, MATCH(Table2[[#This Row],[HomeTeam]],Sheet5!$A$2:$A$33, 0), MATCH(Table2[[#This Row],[AwayTeam]],Sheet5!$A$2:$A$33, 0))</f>
        <v>0-0-0</v>
      </c>
      <c r="AQ605" s="2">
        <f>IF(Table2[[#This Row],[GameHasShutOut]], 1, 0)</f>
        <v>0</v>
      </c>
      <c r="AR605" s="2">
        <f>IF(Table2[[#This Row],[ActualAwayScore]] + Table2[[#This Row],[ActualHomeScore]] &gt;= 10, 1, 0)</f>
        <v>0</v>
      </c>
      <c r="AS605" s="2">
        <f>IF(ABS(Table2[[#This Row],[ActualAwayScore]]-Table2[[#This Row],[ActualHomeScore]])&gt;=5, 1, 0)</f>
        <v>0</v>
      </c>
      <c r="AT605" s="2">
        <f>IF(Table2[[#This Row],[ActualAwayScore]] + Table2[[#This Row],[ActualHomeScore]] &lt;= 3, 1, 0)</f>
        <v>1</v>
      </c>
      <c r="AU605" s="2"/>
      <c r="AV605" s="2"/>
    </row>
    <row r="606" spans="1:48" x14ac:dyDescent="0.25">
      <c r="A606" s="3"/>
      <c r="B606" s="3">
        <v>46020</v>
      </c>
      <c r="C606" s="5">
        <v>2025020604</v>
      </c>
      <c r="D606" s="2" t="s">
        <v>20</v>
      </c>
      <c r="E606" s="2" t="s">
        <v>16</v>
      </c>
      <c r="F606" s="2"/>
      <c r="G606" s="2"/>
      <c r="H606" s="2" t="str">
        <f t="shared" si="49"/>
        <v>_</v>
      </c>
      <c r="I606" s="2"/>
      <c r="J606" s="2"/>
      <c r="K606" s="2"/>
      <c r="L606" s="2" t="str">
        <f t="shared" si="50"/>
        <v>_</v>
      </c>
      <c r="M606" s="2"/>
      <c r="N606" s="2">
        <f>IF(ISBLANK(Table2[[#This Row],[ActualResult]]), 0, 1)</f>
        <v>0</v>
      </c>
      <c r="O606" s="2" t="str">
        <f>IF(ISBLANK(Table2[[#This Row],[ActualResult]]), "_", IF(Table2[[#This Row],[ActualWinner]]=Table2[[#This Row],[PredictedWinner]], "Y", "N"))</f>
        <v>_</v>
      </c>
      <c r="P6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6" s="2"/>
      <c r="S606" s="2" t="str">
        <f t="shared" si="51"/>
        <v>_</v>
      </c>
      <c r="T6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6" s="2">
        <f>IF(Table2[[#This Row],[InterConf]]=1,IF(Table2[[#This Row],[InterDiv]]=0, 1, 0), 0)</f>
        <v>0</v>
      </c>
      <c r="W6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06" s="2"/>
      <c r="Y606" s="2"/>
      <c r="Z606" s="145">
        <f>IF(AND(Table2[[#This Row],[GameIsOver]]=1,Table2[[#This Row],[ActualHomeScore]]*Table2[[#This Row],[ActualAwayScore]]=0), 1,0)</f>
        <v>0</v>
      </c>
      <c r="AA6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06" s="2">
        <f>Table2[[#This Row],[ActualAwayScore]]-Table2[[#This Row],[PredictedAwayScore]]</f>
        <v>0</v>
      </c>
      <c r="AG606" s="2">
        <f>Table2[[#This Row],[ActualHomeScore]]-Table2[[#This Row],[PredictedHomeScore]]</f>
        <v>0</v>
      </c>
      <c r="AH606" s="2">
        <f t="shared" si="52"/>
        <v>0</v>
      </c>
      <c r="AI606" s="2">
        <f t="shared" si="53"/>
        <v>0</v>
      </c>
      <c r="AJ606" s="2"/>
      <c r="AK606" s="3"/>
      <c r="AL606" s="2">
        <f>IF(Table2[[#This Row],[GameIsOver]]=0,0,IF(Table2[[#This Row],[ActualWinner]]=Table2[[#This Row],[AwayTeam]], 1, 0))</f>
        <v>0</v>
      </c>
      <c r="AM606" s="2">
        <f>IF(Table2[[#This Row],[GameIsOver]]=0,0,IF(Table2[[#This Row],[ActualWinner]]=Table2[[#This Row],[HomeTeam]], 1, 0))</f>
        <v>0</v>
      </c>
      <c r="AN6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6" s="2" t="str">
        <f>INDEX(Sheet5!$B$2:$AG$33, MATCH(Table2[[#This Row],[AwayTeam]],Sheet5!$A$2:$A$33, 0), MATCH(Table2[[#This Row],[HomeTeam]],Sheet5!$A$2:$A$33, 0))</f>
        <v>0-0-0</v>
      </c>
      <c r="AP606" s="2" t="str">
        <f>INDEX(Sheet5!$B$2:$AG$33, MATCH(Table2[[#This Row],[HomeTeam]],Sheet5!$A$2:$A$33, 0), MATCH(Table2[[#This Row],[AwayTeam]],Sheet5!$A$2:$A$33, 0))</f>
        <v>0-0-0</v>
      </c>
      <c r="AQ606" s="2">
        <f>IF(Table2[[#This Row],[GameHasShutOut]], 1, 0)</f>
        <v>0</v>
      </c>
      <c r="AR606" s="2">
        <f>IF(Table2[[#This Row],[ActualAwayScore]] + Table2[[#This Row],[ActualHomeScore]] &gt;= 10, 1, 0)</f>
        <v>0</v>
      </c>
      <c r="AS606" s="2">
        <f>IF(ABS(Table2[[#This Row],[ActualAwayScore]]-Table2[[#This Row],[ActualHomeScore]])&gt;=5, 1, 0)</f>
        <v>0</v>
      </c>
      <c r="AT606" s="2">
        <f>IF(Table2[[#This Row],[ActualAwayScore]] + Table2[[#This Row],[ActualHomeScore]] &lt;= 3, 1, 0)</f>
        <v>1</v>
      </c>
      <c r="AU606" s="2"/>
      <c r="AV606" s="2"/>
    </row>
    <row r="607" spans="1:48" x14ac:dyDescent="0.25">
      <c r="A607" s="3"/>
      <c r="B607" s="3">
        <v>46020</v>
      </c>
      <c r="C607" s="5">
        <v>2025020605</v>
      </c>
      <c r="D607" s="2" t="s">
        <v>42</v>
      </c>
      <c r="E607" s="2" t="s">
        <v>11</v>
      </c>
      <c r="F607" s="2"/>
      <c r="G607" s="2"/>
      <c r="H607" s="2" t="str">
        <f t="shared" si="49"/>
        <v>_</v>
      </c>
      <c r="I607" s="2"/>
      <c r="J607" s="2"/>
      <c r="K607" s="2"/>
      <c r="L607" s="2" t="str">
        <f t="shared" si="50"/>
        <v>_</v>
      </c>
      <c r="M607" s="2"/>
      <c r="N607" s="2">
        <f>IF(ISBLANK(Table2[[#This Row],[ActualResult]]), 0, 1)</f>
        <v>0</v>
      </c>
      <c r="O607" s="2" t="str">
        <f>IF(ISBLANK(Table2[[#This Row],[ActualResult]]), "_", IF(Table2[[#This Row],[ActualWinner]]=Table2[[#This Row],[PredictedWinner]], "Y", "N"))</f>
        <v>_</v>
      </c>
      <c r="P6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7" s="2"/>
      <c r="S607" s="2" t="str">
        <f t="shared" si="51"/>
        <v>_</v>
      </c>
      <c r="T6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7" s="2">
        <f>IF(Table2[[#This Row],[InterConf]]=1,IF(Table2[[#This Row],[InterDiv]]=0, 1, 0), 0)</f>
        <v>0</v>
      </c>
      <c r="W6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07" s="2"/>
      <c r="Y607" s="2"/>
      <c r="Z607" s="145">
        <f>IF(AND(Table2[[#This Row],[GameIsOver]]=1,Table2[[#This Row],[ActualHomeScore]]*Table2[[#This Row],[ActualAwayScore]]=0), 1,0)</f>
        <v>0</v>
      </c>
      <c r="AA6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07" s="2">
        <f>Table2[[#This Row],[ActualAwayScore]]-Table2[[#This Row],[PredictedAwayScore]]</f>
        <v>0</v>
      </c>
      <c r="AG607" s="2">
        <f>Table2[[#This Row],[ActualHomeScore]]-Table2[[#This Row],[PredictedHomeScore]]</f>
        <v>0</v>
      </c>
      <c r="AH607" s="2">
        <f t="shared" si="52"/>
        <v>0</v>
      </c>
      <c r="AI607" s="2">
        <f t="shared" si="53"/>
        <v>0</v>
      </c>
      <c r="AJ607" s="2"/>
      <c r="AK607" s="3"/>
      <c r="AL607" s="2">
        <f>IF(Table2[[#This Row],[GameIsOver]]=0,0,IF(Table2[[#This Row],[ActualWinner]]=Table2[[#This Row],[AwayTeam]], 1, 0))</f>
        <v>0</v>
      </c>
      <c r="AM607" s="2">
        <f>IF(Table2[[#This Row],[GameIsOver]]=0,0,IF(Table2[[#This Row],[ActualWinner]]=Table2[[#This Row],[HomeTeam]], 1, 0))</f>
        <v>0</v>
      </c>
      <c r="AN6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7" s="2" t="str">
        <f>INDEX(Sheet5!$B$2:$AG$33, MATCH(Table2[[#This Row],[AwayTeam]],Sheet5!$A$2:$A$33, 0), MATCH(Table2[[#This Row],[HomeTeam]],Sheet5!$A$2:$A$33, 0))</f>
        <v>1-0-0</v>
      </c>
      <c r="AP607" s="2" t="str">
        <f>INDEX(Sheet5!$B$2:$AG$33, MATCH(Table2[[#This Row],[HomeTeam]],Sheet5!$A$2:$A$33, 0), MATCH(Table2[[#This Row],[AwayTeam]],Sheet5!$A$2:$A$33, 0))</f>
        <v>0-1-0</v>
      </c>
      <c r="AQ607" s="2">
        <f>IF(Table2[[#This Row],[GameHasShutOut]], 1, 0)</f>
        <v>0</v>
      </c>
      <c r="AR607" s="2">
        <f>IF(Table2[[#This Row],[ActualAwayScore]] + Table2[[#This Row],[ActualHomeScore]] &gt;= 10, 1, 0)</f>
        <v>0</v>
      </c>
      <c r="AS607" s="2">
        <f>IF(ABS(Table2[[#This Row],[ActualAwayScore]]-Table2[[#This Row],[ActualHomeScore]])&gt;=5, 1, 0)</f>
        <v>0</v>
      </c>
      <c r="AT607" s="2">
        <f>IF(Table2[[#This Row],[ActualAwayScore]] + Table2[[#This Row],[ActualHomeScore]] &lt;= 3, 1, 0)</f>
        <v>1</v>
      </c>
      <c r="AU607" s="2"/>
      <c r="AV607" s="2"/>
    </row>
    <row r="608" spans="1:48" x14ac:dyDescent="0.25">
      <c r="A608" s="3"/>
      <c r="B608" s="3">
        <v>46021</v>
      </c>
      <c r="C608" s="5">
        <v>2025020606</v>
      </c>
      <c r="D608" s="2" t="s">
        <v>35</v>
      </c>
      <c r="E608" s="2" t="s">
        <v>29</v>
      </c>
      <c r="F608" s="2"/>
      <c r="G608" s="2"/>
      <c r="H608" s="2" t="str">
        <f t="shared" si="49"/>
        <v>_</v>
      </c>
      <c r="I608" s="2"/>
      <c r="J608" s="2"/>
      <c r="K608" s="2"/>
      <c r="L608" s="2" t="str">
        <f t="shared" si="50"/>
        <v>_</v>
      </c>
      <c r="M608" s="2"/>
      <c r="N608" s="2">
        <f>IF(ISBLANK(Table2[[#This Row],[ActualResult]]), 0, 1)</f>
        <v>0</v>
      </c>
      <c r="O608" s="2" t="str">
        <f>IF(ISBLANK(Table2[[#This Row],[ActualResult]]), "_", IF(Table2[[#This Row],[ActualWinner]]=Table2[[#This Row],[PredictedWinner]], "Y", "N"))</f>
        <v>_</v>
      </c>
      <c r="P6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8" s="2"/>
      <c r="S608" s="2" t="str">
        <f t="shared" si="51"/>
        <v>_</v>
      </c>
      <c r="T6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8" s="2">
        <f>IF(Table2[[#This Row],[InterConf]]=1,IF(Table2[[#This Row],[InterDiv]]=0, 1, 0), 0)</f>
        <v>1</v>
      </c>
      <c r="W6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8" s="2"/>
      <c r="Y608" s="2"/>
      <c r="Z608" s="145">
        <f>IF(AND(Table2[[#This Row],[GameIsOver]]=1,Table2[[#This Row],[ActualHomeScore]]*Table2[[#This Row],[ActualAwayScore]]=0), 1,0)</f>
        <v>0</v>
      </c>
      <c r="AA6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08" s="2">
        <f>Table2[[#This Row],[ActualAwayScore]]-Table2[[#This Row],[PredictedAwayScore]]</f>
        <v>0</v>
      </c>
      <c r="AG608" s="2">
        <f>Table2[[#This Row],[ActualHomeScore]]-Table2[[#This Row],[PredictedHomeScore]]</f>
        <v>0</v>
      </c>
      <c r="AH608" s="2">
        <f t="shared" si="52"/>
        <v>0</v>
      </c>
      <c r="AI608" s="2">
        <f t="shared" si="53"/>
        <v>0</v>
      </c>
      <c r="AJ608" s="2"/>
      <c r="AK608" s="3"/>
      <c r="AL608" s="2">
        <f>IF(Table2[[#This Row],[GameIsOver]]=0,0,IF(Table2[[#This Row],[ActualWinner]]=Table2[[#This Row],[AwayTeam]], 1, 0))</f>
        <v>0</v>
      </c>
      <c r="AM608" s="2">
        <f>IF(Table2[[#This Row],[GameIsOver]]=0,0,IF(Table2[[#This Row],[ActualWinner]]=Table2[[#This Row],[HomeTeam]], 1, 0))</f>
        <v>0</v>
      </c>
      <c r="AN6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8" s="2" t="str">
        <f>INDEX(Sheet5!$B$2:$AG$33, MATCH(Table2[[#This Row],[AwayTeam]],Sheet5!$A$2:$A$33, 0), MATCH(Table2[[#This Row],[HomeTeam]],Sheet5!$A$2:$A$33, 0))</f>
        <v>0-0-0</v>
      </c>
      <c r="AP608" s="2" t="str">
        <f>INDEX(Sheet5!$B$2:$AG$33, MATCH(Table2[[#This Row],[HomeTeam]],Sheet5!$A$2:$A$33, 0), MATCH(Table2[[#This Row],[AwayTeam]],Sheet5!$A$2:$A$33, 0))</f>
        <v>0-0-0</v>
      </c>
      <c r="AQ608" s="2">
        <f>IF(Table2[[#This Row],[GameHasShutOut]], 1, 0)</f>
        <v>0</v>
      </c>
      <c r="AR608" s="2">
        <f>IF(Table2[[#This Row],[ActualAwayScore]] + Table2[[#This Row],[ActualHomeScore]] &gt;= 10, 1, 0)</f>
        <v>0</v>
      </c>
      <c r="AS608" s="2">
        <f>IF(ABS(Table2[[#This Row],[ActualAwayScore]]-Table2[[#This Row],[ActualHomeScore]])&gt;=5, 1, 0)</f>
        <v>0</v>
      </c>
      <c r="AT608" s="2">
        <f>IF(Table2[[#This Row],[ActualAwayScore]] + Table2[[#This Row],[ActualHomeScore]] &lt;= 3, 1, 0)</f>
        <v>1</v>
      </c>
      <c r="AU608" s="2"/>
      <c r="AV608" s="2"/>
    </row>
    <row r="609" spans="1:48" x14ac:dyDescent="0.25">
      <c r="A609" s="3"/>
      <c r="B609" s="3">
        <v>46021</v>
      </c>
      <c r="C609" s="5">
        <v>2025020607</v>
      </c>
      <c r="D609" s="2" t="s">
        <v>43</v>
      </c>
      <c r="E609" s="2" t="s">
        <v>13</v>
      </c>
      <c r="F609" s="2"/>
      <c r="G609" s="2"/>
      <c r="H609" s="2" t="str">
        <f t="shared" si="49"/>
        <v>_</v>
      </c>
      <c r="I609" s="2"/>
      <c r="J609" s="2"/>
      <c r="K609" s="2"/>
      <c r="L609" s="2" t="str">
        <f t="shared" si="50"/>
        <v>_</v>
      </c>
      <c r="M609" s="2"/>
      <c r="N609" s="2">
        <f>IF(ISBLANK(Table2[[#This Row],[ActualResult]]), 0, 1)</f>
        <v>0</v>
      </c>
      <c r="O609" s="2" t="str">
        <f>IF(ISBLANK(Table2[[#This Row],[ActualResult]]), "_", IF(Table2[[#This Row],[ActualWinner]]=Table2[[#This Row],[PredictedWinner]], "Y", "N"))</f>
        <v>_</v>
      </c>
      <c r="P6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9" s="2"/>
      <c r="S609" s="2" t="str">
        <f t="shared" si="51"/>
        <v>_</v>
      </c>
      <c r="T6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9" s="2">
        <f>IF(Table2[[#This Row],[InterConf]]=1,IF(Table2[[#This Row],[InterDiv]]=0, 1, 0), 0)</f>
        <v>1</v>
      </c>
      <c r="W6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9" s="2"/>
      <c r="Y609" s="2"/>
      <c r="Z609" s="145">
        <f>IF(AND(Table2[[#This Row],[GameIsOver]]=1,Table2[[#This Row],[ActualHomeScore]]*Table2[[#This Row],[ActualAwayScore]]=0), 1,0)</f>
        <v>0</v>
      </c>
      <c r="AA6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09" s="2">
        <f>Table2[[#This Row],[ActualAwayScore]]-Table2[[#This Row],[PredictedAwayScore]]</f>
        <v>0</v>
      </c>
      <c r="AG609" s="2">
        <f>Table2[[#This Row],[ActualHomeScore]]-Table2[[#This Row],[PredictedHomeScore]]</f>
        <v>0</v>
      </c>
      <c r="AH609" s="2">
        <f t="shared" si="52"/>
        <v>0</v>
      </c>
      <c r="AI609" s="2">
        <f t="shared" si="53"/>
        <v>0</v>
      </c>
      <c r="AJ609" s="2"/>
      <c r="AK609" s="3"/>
      <c r="AL609" s="2">
        <f>IF(Table2[[#This Row],[GameIsOver]]=0,0,IF(Table2[[#This Row],[ActualWinner]]=Table2[[#This Row],[AwayTeam]], 1, 0))</f>
        <v>0</v>
      </c>
      <c r="AM609" s="2">
        <f>IF(Table2[[#This Row],[GameIsOver]]=0,0,IF(Table2[[#This Row],[ActualWinner]]=Table2[[#This Row],[HomeTeam]], 1, 0))</f>
        <v>0</v>
      </c>
      <c r="AN6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9" s="2" t="str">
        <f>INDEX(Sheet5!$B$2:$AG$33, MATCH(Table2[[#This Row],[AwayTeam]],Sheet5!$A$2:$A$33, 0), MATCH(Table2[[#This Row],[HomeTeam]],Sheet5!$A$2:$A$33, 0))</f>
        <v>0-0-0</v>
      </c>
      <c r="AP609" s="2" t="str">
        <f>INDEX(Sheet5!$B$2:$AG$33, MATCH(Table2[[#This Row],[HomeTeam]],Sheet5!$A$2:$A$33, 0), MATCH(Table2[[#This Row],[AwayTeam]],Sheet5!$A$2:$A$33, 0))</f>
        <v>0-0-0</v>
      </c>
      <c r="AQ609" s="2">
        <f>IF(Table2[[#This Row],[GameHasShutOut]], 1, 0)</f>
        <v>0</v>
      </c>
      <c r="AR609" s="2">
        <f>IF(Table2[[#This Row],[ActualAwayScore]] + Table2[[#This Row],[ActualHomeScore]] &gt;= 10, 1, 0)</f>
        <v>0</v>
      </c>
      <c r="AS609" s="2">
        <f>IF(ABS(Table2[[#This Row],[ActualAwayScore]]-Table2[[#This Row],[ActualHomeScore]])&gt;=5, 1, 0)</f>
        <v>0</v>
      </c>
      <c r="AT609" s="2">
        <f>IF(Table2[[#This Row],[ActualAwayScore]] + Table2[[#This Row],[ActualHomeScore]] &lt;= 3, 1, 0)</f>
        <v>1</v>
      </c>
      <c r="AU609" s="2"/>
      <c r="AV609" s="2"/>
    </row>
    <row r="610" spans="1:48" x14ac:dyDescent="0.25">
      <c r="A610" s="3"/>
      <c r="B610" s="3">
        <v>46021</v>
      </c>
      <c r="C610" s="5">
        <v>2025020608</v>
      </c>
      <c r="D610" s="2" t="s">
        <v>19</v>
      </c>
      <c r="E610" s="2" t="s">
        <v>41</v>
      </c>
      <c r="F610" s="2"/>
      <c r="G610" s="2"/>
      <c r="H610" s="2" t="str">
        <f t="shared" si="49"/>
        <v>_</v>
      </c>
      <c r="I610" s="2"/>
      <c r="J610" s="2"/>
      <c r="K610" s="2"/>
      <c r="L610" s="2" t="str">
        <f t="shared" si="50"/>
        <v>_</v>
      </c>
      <c r="M610" s="2"/>
      <c r="N610" s="2">
        <f>IF(ISBLANK(Table2[[#This Row],[ActualResult]]), 0, 1)</f>
        <v>0</v>
      </c>
      <c r="O610" s="2" t="str">
        <f>IF(ISBLANK(Table2[[#This Row],[ActualResult]]), "_", IF(Table2[[#This Row],[ActualWinner]]=Table2[[#This Row],[PredictedWinner]], "Y", "N"))</f>
        <v>_</v>
      </c>
      <c r="P6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0" s="2"/>
      <c r="S610" s="2" t="str">
        <f t="shared" si="51"/>
        <v>_</v>
      </c>
      <c r="T6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0" s="2">
        <f>IF(Table2[[#This Row],[InterConf]]=1,IF(Table2[[#This Row],[InterDiv]]=0, 1, 0), 0)</f>
        <v>0</v>
      </c>
      <c r="W6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0" s="2"/>
      <c r="Y610" s="2"/>
      <c r="Z610" s="145">
        <f>IF(AND(Table2[[#This Row],[GameIsOver]]=1,Table2[[#This Row],[ActualHomeScore]]*Table2[[#This Row],[ActualAwayScore]]=0), 1,0)</f>
        <v>0</v>
      </c>
      <c r="AA6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0" s="2">
        <f>Table2[[#This Row],[ActualAwayScore]]-Table2[[#This Row],[PredictedAwayScore]]</f>
        <v>0</v>
      </c>
      <c r="AG610" s="2">
        <f>Table2[[#This Row],[ActualHomeScore]]-Table2[[#This Row],[PredictedHomeScore]]</f>
        <v>0</v>
      </c>
      <c r="AH610" s="2">
        <f t="shared" si="52"/>
        <v>0</v>
      </c>
      <c r="AI610" s="2">
        <f t="shared" si="53"/>
        <v>0</v>
      </c>
      <c r="AJ610" s="2"/>
      <c r="AK610" s="3"/>
      <c r="AL610" s="2">
        <f>IF(Table2[[#This Row],[GameIsOver]]=0,0,IF(Table2[[#This Row],[ActualWinner]]=Table2[[#This Row],[AwayTeam]], 1, 0))</f>
        <v>0</v>
      </c>
      <c r="AM610" s="2">
        <f>IF(Table2[[#This Row],[GameIsOver]]=0,0,IF(Table2[[#This Row],[ActualWinner]]=Table2[[#This Row],[HomeTeam]], 1, 0))</f>
        <v>0</v>
      </c>
      <c r="AN6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0" s="2" t="str">
        <f>INDEX(Sheet5!$B$2:$AG$33, MATCH(Table2[[#This Row],[AwayTeam]],Sheet5!$A$2:$A$33, 0), MATCH(Table2[[#This Row],[HomeTeam]],Sheet5!$A$2:$A$33, 0))</f>
        <v>0-0-0</v>
      </c>
      <c r="AP610" s="2" t="str">
        <f>INDEX(Sheet5!$B$2:$AG$33, MATCH(Table2[[#This Row],[HomeTeam]],Sheet5!$A$2:$A$33, 0), MATCH(Table2[[#This Row],[AwayTeam]],Sheet5!$A$2:$A$33, 0))</f>
        <v>0-0-0</v>
      </c>
      <c r="AQ610" s="2">
        <f>IF(Table2[[#This Row],[GameHasShutOut]], 1, 0)</f>
        <v>0</v>
      </c>
      <c r="AR610" s="2">
        <f>IF(Table2[[#This Row],[ActualAwayScore]] + Table2[[#This Row],[ActualHomeScore]] &gt;= 10, 1, 0)</f>
        <v>0</v>
      </c>
      <c r="AS610" s="2">
        <f>IF(ABS(Table2[[#This Row],[ActualAwayScore]]-Table2[[#This Row],[ActualHomeScore]])&gt;=5, 1, 0)</f>
        <v>0</v>
      </c>
      <c r="AT610" s="2">
        <f>IF(Table2[[#This Row],[ActualAwayScore]] + Table2[[#This Row],[ActualHomeScore]] &lt;= 3, 1, 0)</f>
        <v>1</v>
      </c>
      <c r="AU610" s="2"/>
      <c r="AV610" s="2"/>
    </row>
    <row r="611" spans="1:48" x14ac:dyDescent="0.25">
      <c r="A611" s="3"/>
      <c r="B611" s="3">
        <v>46021</v>
      </c>
      <c r="C611" s="5">
        <v>2025020609</v>
      </c>
      <c r="D611" s="2" t="s">
        <v>22</v>
      </c>
      <c r="E611" s="2" t="s">
        <v>21</v>
      </c>
      <c r="F611" s="2"/>
      <c r="G611" s="2"/>
      <c r="H611" s="2" t="str">
        <f t="shared" si="49"/>
        <v>_</v>
      </c>
      <c r="I611" s="2"/>
      <c r="J611" s="2"/>
      <c r="K611" s="2"/>
      <c r="L611" s="2" t="str">
        <f t="shared" si="50"/>
        <v>_</v>
      </c>
      <c r="M611" s="2"/>
      <c r="N611" s="2">
        <f>IF(ISBLANK(Table2[[#This Row],[ActualResult]]), 0, 1)</f>
        <v>0</v>
      </c>
      <c r="O611" s="2" t="str">
        <f>IF(ISBLANK(Table2[[#This Row],[ActualResult]]), "_", IF(Table2[[#This Row],[ActualWinner]]=Table2[[#This Row],[PredictedWinner]], "Y", "N"))</f>
        <v>_</v>
      </c>
      <c r="P6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1" s="2"/>
      <c r="S611" s="2" t="str">
        <f t="shared" si="51"/>
        <v>_</v>
      </c>
      <c r="T6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1" s="2">
        <f>IF(Table2[[#This Row],[InterConf]]=1,IF(Table2[[#This Row],[InterDiv]]=0, 1, 0), 0)</f>
        <v>1</v>
      </c>
      <c r="W6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1" s="2"/>
      <c r="Y611" s="2"/>
      <c r="Z611" s="145">
        <f>IF(AND(Table2[[#This Row],[GameIsOver]]=1,Table2[[#This Row],[ActualHomeScore]]*Table2[[#This Row],[ActualAwayScore]]=0), 1,0)</f>
        <v>0</v>
      </c>
      <c r="AA6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1" s="2">
        <f>Table2[[#This Row],[ActualAwayScore]]-Table2[[#This Row],[PredictedAwayScore]]</f>
        <v>0</v>
      </c>
      <c r="AG611" s="2">
        <f>Table2[[#This Row],[ActualHomeScore]]-Table2[[#This Row],[PredictedHomeScore]]</f>
        <v>0</v>
      </c>
      <c r="AH611" s="2">
        <f t="shared" si="52"/>
        <v>0</v>
      </c>
      <c r="AI611" s="2">
        <f t="shared" si="53"/>
        <v>0</v>
      </c>
      <c r="AJ611" s="2"/>
      <c r="AK611" s="3"/>
      <c r="AL611" s="2">
        <f>IF(Table2[[#This Row],[GameIsOver]]=0,0,IF(Table2[[#This Row],[ActualWinner]]=Table2[[#This Row],[AwayTeam]], 1, 0))</f>
        <v>0</v>
      </c>
      <c r="AM611" s="2">
        <f>IF(Table2[[#This Row],[GameIsOver]]=0,0,IF(Table2[[#This Row],[ActualWinner]]=Table2[[#This Row],[HomeTeam]], 1, 0))</f>
        <v>0</v>
      </c>
      <c r="AN6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1" s="2" t="str">
        <f>INDEX(Sheet5!$B$2:$AG$33, MATCH(Table2[[#This Row],[AwayTeam]],Sheet5!$A$2:$A$33, 0), MATCH(Table2[[#This Row],[HomeTeam]],Sheet5!$A$2:$A$33, 0))</f>
        <v>0-0-0</v>
      </c>
      <c r="AP611" s="2" t="str">
        <f>INDEX(Sheet5!$B$2:$AG$33, MATCH(Table2[[#This Row],[HomeTeam]],Sheet5!$A$2:$A$33, 0), MATCH(Table2[[#This Row],[AwayTeam]],Sheet5!$A$2:$A$33, 0))</f>
        <v>0-0-0</v>
      </c>
      <c r="AQ611" s="2">
        <f>IF(Table2[[#This Row],[GameHasShutOut]], 1, 0)</f>
        <v>0</v>
      </c>
      <c r="AR611" s="2">
        <f>IF(Table2[[#This Row],[ActualAwayScore]] + Table2[[#This Row],[ActualHomeScore]] &gt;= 10, 1, 0)</f>
        <v>0</v>
      </c>
      <c r="AS611" s="2">
        <f>IF(ABS(Table2[[#This Row],[ActualAwayScore]]-Table2[[#This Row],[ActualHomeScore]])&gt;=5, 1, 0)</f>
        <v>0</v>
      </c>
      <c r="AT611" s="2">
        <f>IF(Table2[[#This Row],[ActualAwayScore]] + Table2[[#This Row],[ActualHomeScore]] &lt;= 3, 1, 0)</f>
        <v>1</v>
      </c>
      <c r="AU611" s="2"/>
      <c r="AV611" s="2"/>
    </row>
    <row r="612" spans="1:48" x14ac:dyDescent="0.25">
      <c r="A612" s="3"/>
      <c r="B612" s="3">
        <v>46021</v>
      </c>
      <c r="C612" s="5">
        <v>2025020610</v>
      </c>
      <c r="D612" s="2" t="s">
        <v>28</v>
      </c>
      <c r="E612" s="2" t="s">
        <v>12</v>
      </c>
      <c r="F612" s="2"/>
      <c r="G612" s="2"/>
      <c r="H612" s="2" t="str">
        <f t="shared" si="49"/>
        <v>_</v>
      </c>
      <c r="I612" s="2"/>
      <c r="J612" s="2"/>
      <c r="K612" s="2"/>
      <c r="L612" s="2" t="str">
        <f t="shared" si="50"/>
        <v>_</v>
      </c>
      <c r="M612" s="2"/>
      <c r="N612" s="2">
        <f>IF(ISBLANK(Table2[[#This Row],[ActualResult]]), 0, 1)</f>
        <v>0</v>
      </c>
      <c r="O612" s="2" t="str">
        <f>IF(ISBLANK(Table2[[#This Row],[ActualResult]]), "_", IF(Table2[[#This Row],[ActualWinner]]=Table2[[#This Row],[PredictedWinner]], "Y", "N"))</f>
        <v>_</v>
      </c>
      <c r="P6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2" s="2"/>
      <c r="S612" s="2" t="str">
        <f t="shared" si="51"/>
        <v>_</v>
      </c>
      <c r="T6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2" s="2">
        <f>IF(Table2[[#This Row],[InterConf]]=1,IF(Table2[[#This Row],[InterDiv]]=0, 1, 0), 0)</f>
        <v>0</v>
      </c>
      <c r="W6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12" s="2"/>
      <c r="Y612" s="2"/>
      <c r="Z612" s="145">
        <f>IF(AND(Table2[[#This Row],[GameIsOver]]=1,Table2[[#This Row],[ActualHomeScore]]*Table2[[#This Row],[ActualAwayScore]]=0), 1,0)</f>
        <v>0</v>
      </c>
      <c r="AA6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2" s="2">
        <f>Table2[[#This Row],[ActualAwayScore]]-Table2[[#This Row],[PredictedAwayScore]]</f>
        <v>0</v>
      </c>
      <c r="AG612" s="2">
        <f>Table2[[#This Row],[ActualHomeScore]]-Table2[[#This Row],[PredictedHomeScore]]</f>
        <v>0</v>
      </c>
      <c r="AH612" s="2">
        <f t="shared" si="52"/>
        <v>0</v>
      </c>
      <c r="AI612" s="2">
        <f t="shared" si="53"/>
        <v>0</v>
      </c>
      <c r="AJ612" s="2"/>
      <c r="AK612" s="3"/>
      <c r="AL612" s="2">
        <f>IF(Table2[[#This Row],[GameIsOver]]=0,0,IF(Table2[[#This Row],[ActualWinner]]=Table2[[#This Row],[AwayTeam]], 1, 0))</f>
        <v>0</v>
      </c>
      <c r="AM612" s="2">
        <f>IF(Table2[[#This Row],[GameIsOver]]=0,0,IF(Table2[[#This Row],[ActualWinner]]=Table2[[#This Row],[HomeTeam]], 1, 0))</f>
        <v>0</v>
      </c>
      <c r="AN6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2" s="2" t="str">
        <f>INDEX(Sheet5!$B$2:$AG$33, MATCH(Table2[[#This Row],[AwayTeam]],Sheet5!$A$2:$A$33, 0), MATCH(Table2[[#This Row],[HomeTeam]],Sheet5!$A$2:$A$33, 0))</f>
        <v>0-0-0</v>
      </c>
      <c r="AP612" s="2" t="str">
        <f>INDEX(Sheet5!$B$2:$AG$33, MATCH(Table2[[#This Row],[HomeTeam]],Sheet5!$A$2:$A$33, 0), MATCH(Table2[[#This Row],[AwayTeam]],Sheet5!$A$2:$A$33, 0))</f>
        <v>0-0-0</v>
      </c>
      <c r="AQ612" s="2">
        <f>IF(Table2[[#This Row],[GameHasShutOut]], 1, 0)</f>
        <v>0</v>
      </c>
      <c r="AR612" s="2">
        <f>IF(Table2[[#This Row],[ActualAwayScore]] + Table2[[#This Row],[ActualHomeScore]] &gt;= 10, 1, 0)</f>
        <v>0</v>
      </c>
      <c r="AS612" s="2">
        <f>IF(ABS(Table2[[#This Row],[ActualAwayScore]]-Table2[[#This Row],[ActualHomeScore]])&gt;=5, 1, 0)</f>
        <v>0</v>
      </c>
      <c r="AT612" s="2">
        <f>IF(Table2[[#This Row],[ActualAwayScore]] + Table2[[#This Row],[ActualHomeScore]] &lt;= 3, 1, 0)</f>
        <v>1</v>
      </c>
      <c r="AU612" s="2"/>
      <c r="AV612" s="2"/>
    </row>
    <row r="613" spans="1:48" x14ac:dyDescent="0.25">
      <c r="A613" s="3"/>
      <c r="B613" s="3">
        <v>46021</v>
      </c>
      <c r="C613" s="5">
        <v>2025020611</v>
      </c>
      <c r="D613" s="2" t="s">
        <v>27</v>
      </c>
      <c r="E613" s="2" t="s">
        <v>25</v>
      </c>
      <c r="F613" s="2"/>
      <c r="G613" s="2"/>
      <c r="H613" s="2" t="str">
        <f t="shared" si="49"/>
        <v>_</v>
      </c>
      <c r="I613" s="2"/>
      <c r="J613" s="2"/>
      <c r="K613" s="2"/>
      <c r="L613" s="2" t="str">
        <f t="shared" si="50"/>
        <v>_</v>
      </c>
      <c r="M613" s="2"/>
      <c r="N613" s="2">
        <f>IF(ISBLANK(Table2[[#This Row],[ActualResult]]), 0, 1)</f>
        <v>0</v>
      </c>
      <c r="O613" s="2" t="str">
        <f>IF(ISBLANK(Table2[[#This Row],[ActualResult]]), "_", IF(Table2[[#This Row],[ActualWinner]]=Table2[[#This Row],[PredictedWinner]], "Y", "N"))</f>
        <v>_</v>
      </c>
      <c r="P6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3" s="2"/>
      <c r="S613" s="2" t="str">
        <f t="shared" si="51"/>
        <v>_</v>
      </c>
      <c r="T6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3" s="2">
        <f>IF(Table2[[#This Row],[InterConf]]=1,IF(Table2[[#This Row],[InterDiv]]=0, 1, 0), 0)</f>
        <v>1</v>
      </c>
      <c r="W6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3" s="2"/>
      <c r="Y613" s="2"/>
      <c r="Z613" s="145">
        <f>IF(AND(Table2[[#This Row],[GameIsOver]]=1,Table2[[#This Row],[ActualHomeScore]]*Table2[[#This Row],[ActualAwayScore]]=0), 1,0)</f>
        <v>0</v>
      </c>
      <c r="AA6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3" s="2">
        <f>Table2[[#This Row],[ActualAwayScore]]-Table2[[#This Row],[PredictedAwayScore]]</f>
        <v>0</v>
      </c>
      <c r="AG613" s="2">
        <f>Table2[[#This Row],[ActualHomeScore]]-Table2[[#This Row],[PredictedHomeScore]]</f>
        <v>0</v>
      </c>
      <c r="AH613" s="2">
        <f t="shared" si="52"/>
        <v>0</v>
      </c>
      <c r="AI613" s="2">
        <f t="shared" si="53"/>
        <v>0</v>
      </c>
      <c r="AJ613" s="2"/>
      <c r="AK613" s="3"/>
      <c r="AL613" s="2">
        <f>IF(Table2[[#This Row],[GameIsOver]]=0,0,IF(Table2[[#This Row],[ActualWinner]]=Table2[[#This Row],[AwayTeam]], 1, 0))</f>
        <v>0</v>
      </c>
      <c r="AM613" s="2">
        <f>IF(Table2[[#This Row],[GameIsOver]]=0,0,IF(Table2[[#This Row],[ActualWinner]]=Table2[[#This Row],[HomeTeam]], 1, 0))</f>
        <v>0</v>
      </c>
      <c r="AN613" s="2">
        <f>IF(IFERROR(FIND(Table2[[#This Row],[AwayTeam]], _xlfn.TEXTJOIN(";", 1, $BD$31:$BD$40)), 0) &gt; 0, 1, 0) + IF(IFERROR(FIND(Table2[[#This Row],[HomeTeam]], _xlfn.TEXTJOIN(";", 1, $BD$31:$BD$40)), 0) &gt; 0, 1, 0)</f>
        <v>1</v>
      </c>
      <c r="AO613" s="2" t="str">
        <f>INDEX(Sheet5!$B$2:$AG$33, MATCH(Table2[[#This Row],[AwayTeam]],Sheet5!$A$2:$A$33, 0), MATCH(Table2[[#This Row],[HomeTeam]],Sheet5!$A$2:$A$33, 0))</f>
        <v>0-1-0</v>
      </c>
      <c r="AP613" s="2" t="str">
        <f>INDEX(Sheet5!$B$2:$AG$33, MATCH(Table2[[#This Row],[HomeTeam]],Sheet5!$A$2:$A$33, 0), MATCH(Table2[[#This Row],[AwayTeam]],Sheet5!$A$2:$A$33, 0))</f>
        <v>1-0-0</v>
      </c>
      <c r="AQ613" s="2">
        <f>IF(Table2[[#This Row],[GameHasShutOut]], 1, 0)</f>
        <v>0</v>
      </c>
      <c r="AR613" s="2">
        <f>IF(Table2[[#This Row],[ActualAwayScore]] + Table2[[#This Row],[ActualHomeScore]] &gt;= 10, 1, 0)</f>
        <v>0</v>
      </c>
      <c r="AS613" s="2">
        <f>IF(ABS(Table2[[#This Row],[ActualAwayScore]]-Table2[[#This Row],[ActualHomeScore]])&gt;=5, 1, 0)</f>
        <v>0</v>
      </c>
      <c r="AT613" s="2">
        <f>IF(Table2[[#This Row],[ActualAwayScore]] + Table2[[#This Row],[ActualHomeScore]] &lt;= 3, 1, 0)</f>
        <v>1</v>
      </c>
      <c r="AU613" s="2"/>
      <c r="AV613" s="2"/>
    </row>
    <row r="614" spans="1:48" x14ac:dyDescent="0.25">
      <c r="A614" s="3"/>
      <c r="B614" s="3">
        <v>46021</v>
      </c>
      <c r="C614" s="5">
        <v>2025020612</v>
      </c>
      <c r="D614" s="2" t="s">
        <v>34</v>
      </c>
      <c r="E614" s="2" t="s">
        <v>14</v>
      </c>
      <c r="F614" s="2"/>
      <c r="G614" s="2"/>
      <c r="H614" s="2" t="str">
        <f t="shared" si="49"/>
        <v>_</v>
      </c>
      <c r="I614" s="2"/>
      <c r="J614" s="2"/>
      <c r="K614" s="2"/>
      <c r="L614" s="2" t="str">
        <f t="shared" si="50"/>
        <v>_</v>
      </c>
      <c r="M614" s="2"/>
      <c r="N614" s="2">
        <f>IF(ISBLANK(Table2[[#This Row],[ActualResult]]), 0, 1)</f>
        <v>0</v>
      </c>
      <c r="O614" s="2" t="str">
        <f>IF(ISBLANK(Table2[[#This Row],[ActualResult]]), "_", IF(Table2[[#This Row],[ActualWinner]]=Table2[[#This Row],[PredictedWinner]], "Y", "N"))</f>
        <v>_</v>
      </c>
      <c r="P6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4" s="2"/>
      <c r="S614" s="2" t="str">
        <f t="shared" si="51"/>
        <v>_</v>
      </c>
      <c r="T6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4" s="2">
        <f>IF(Table2[[#This Row],[InterConf]]=1,IF(Table2[[#This Row],[InterDiv]]=0, 1, 0), 0)</f>
        <v>0</v>
      </c>
      <c r="W6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4" s="2"/>
      <c r="Y614" s="2"/>
      <c r="Z614" s="145">
        <f>IF(AND(Table2[[#This Row],[GameIsOver]]=1,Table2[[#This Row],[ActualHomeScore]]*Table2[[#This Row],[ActualAwayScore]]=0), 1,0)</f>
        <v>0</v>
      </c>
      <c r="AA6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4" s="2">
        <f>Table2[[#This Row],[ActualAwayScore]]-Table2[[#This Row],[PredictedAwayScore]]</f>
        <v>0</v>
      </c>
      <c r="AG614" s="2">
        <f>Table2[[#This Row],[ActualHomeScore]]-Table2[[#This Row],[PredictedHomeScore]]</f>
        <v>0</v>
      </c>
      <c r="AH614" s="2">
        <f t="shared" si="52"/>
        <v>0</v>
      </c>
      <c r="AI614" s="2">
        <f t="shared" si="53"/>
        <v>0</v>
      </c>
      <c r="AJ614" s="2"/>
      <c r="AK614" s="3"/>
      <c r="AL614" s="2">
        <f>IF(Table2[[#This Row],[GameIsOver]]=0,0,IF(Table2[[#This Row],[ActualWinner]]=Table2[[#This Row],[AwayTeam]], 1, 0))</f>
        <v>0</v>
      </c>
      <c r="AM614" s="2">
        <f>IF(Table2[[#This Row],[GameIsOver]]=0,0,IF(Table2[[#This Row],[ActualWinner]]=Table2[[#This Row],[HomeTeam]], 1, 0))</f>
        <v>0</v>
      </c>
      <c r="AN6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4" s="2" t="str">
        <f>INDEX(Sheet5!$B$2:$AG$33, MATCH(Table2[[#This Row],[AwayTeam]],Sheet5!$A$2:$A$33, 0), MATCH(Table2[[#This Row],[HomeTeam]],Sheet5!$A$2:$A$33, 0))</f>
        <v>0-0-1</v>
      </c>
      <c r="AP614" s="2" t="str">
        <f>INDEX(Sheet5!$B$2:$AG$33, MATCH(Table2[[#This Row],[HomeTeam]],Sheet5!$A$2:$A$33, 0), MATCH(Table2[[#This Row],[AwayTeam]],Sheet5!$A$2:$A$33, 0))</f>
        <v>1-0-0</v>
      </c>
      <c r="AQ614" s="2">
        <f>IF(Table2[[#This Row],[GameHasShutOut]], 1, 0)</f>
        <v>0</v>
      </c>
      <c r="AR614" s="2">
        <f>IF(Table2[[#This Row],[ActualAwayScore]] + Table2[[#This Row],[ActualHomeScore]] &gt;= 10, 1, 0)</f>
        <v>0</v>
      </c>
      <c r="AS614" s="2">
        <f>IF(ABS(Table2[[#This Row],[ActualAwayScore]]-Table2[[#This Row],[ActualHomeScore]])&gt;=5, 1, 0)</f>
        <v>0</v>
      </c>
      <c r="AT614" s="2">
        <f>IF(Table2[[#This Row],[ActualAwayScore]] + Table2[[#This Row],[ActualHomeScore]] &lt;= 3, 1, 0)</f>
        <v>1</v>
      </c>
      <c r="AU614" s="2"/>
      <c r="AV614" s="2"/>
    </row>
    <row r="615" spans="1:48" x14ac:dyDescent="0.25">
      <c r="A615" s="3"/>
      <c r="B615" s="3">
        <v>46021</v>
      </c>
      <c r="C615" s="5">
        <v>2025020613</v>
      </c>
      <c r="D615" s="2" t="s">
        <v>15</v>
      </c>
      <c r="E615" s="2" t="s">
        <v>23</v>
      </c>
      <c r="F615" s="2"/>
      <c r="G615" s="2"/>
      <c r="H615" s="2" t="str">
        <f t="shared" si="49"/>
        <v>_</v>
      </c>
      <c r="I615" s="2"/>
      <c r="J615" s="2"/>
      <c r="K615" s="2"/>
      <c r="L615" s="2" t="str">
        <f t="shared" si="50"/>
        <v>_</v>
      </c>
      <c r="M615" s="2"/>
      <c r="N615" s="2">
        <f>IF(ISBLANK(Table2[[#This Row],[ActualResult]]), 0, 1)</f>
        <v>0</v>
      </c>
      <c r="O615" s="2" t="str">
        <f>IF(ISBLANK(Table2[[#This Row],[ActualResult]]), "_", IF(Table2[[#This Row],[ActualWinner]]=Table2[[#This Row],[PredictedWinner]], "Y", "N"))</f>
        <v>_</v>
      </c>
      <c r="P6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5" s="2"/>
      <c r="S615" s="2" t="str">
        <f t="shared" si="51"/>
        <v>_</v>
      </c>
      <c r="T6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5" s="2">
        <f>IF(Table2[[#This Row],[InterConf]]=1,IF(Table2[[#This Row],[InterDiv]]=0, 1, 0), 0)</f>
        <v>0</v>
      </c>
      <c r="W6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15" s="2"/>
      <c r="Y615" s="2"/>
      <c r="Z615" s="145">
        <f>IF(AND(Table2[[#This Row],[GameIsOver]]=1,Table2[[#This Row],[ActualHomeScore]]*Table2[[#This Row],[ActualAwayScore]]=0), 1,0)</f>
        <v>0</v>
      </c>
      <c r="AA6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5" s="2">
        <f>Table2[[#This Row],[ActualAwayScore]]-Table2[[#This Row],[PredictedAwayScore]]</f>
        <v>0</v>
      </c>
      <c r="AG615" s="2">
        <f>Table2[[#This Row],[ActualHomeScore]]-Table2[[#This Row],[PredictedHomeScore]]</f>
        <v>0</v>
      </c>
      <c r="AH615" s="2">
        <f t="shared" si="52"/>
        <v>0</v>
      </c>
      <c r="AI615" s="2">
        <f t="shared" si="53"/>
        <v>0</v>
      </c>
      <c r="AJ615" s="2"/>
      <c r="AK615" s="3"/>
      <c r="AL615" s="2">
        <f>IF(Table2[[#This Row],[GameIsOver]]=0,0,IF(Table2[[#This Row],[ActualWinner]]=Table2[[#This Row],[AwayTeam]], 1, 0))</f>
        <v>0</v>
      </c>
      <c r="AM615" s="2">
        <f>IF(Table2[[#This Row],[GameIsOver]]=0,0,IF(Table2[[#This Row],[ActualWinner]]=Table2[[#This Row],[HomeTeam]], 1, 0))</f>
        <v>0</v>
      </c>
      <c r="AN6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5" s="2" t="str">
        <f>INDEX(Sheet5!$B$2:$AG$33, MATCH(Table2[[#This Row],[AwayTeam]],Sheet5!$A$2:$A$33, 0), MATCH(Table2[[#This Row],[HomeTeam]],Sheet5!$A$2:$A$33, 0))</f>
        <v>0-0-0</v>
      </c>
      <c r="AP615" s="2" t="str">
        <f>INDEX(Sheet5!$B$2:$AG$33, MATCH(Table2[[#This Row],[HomeTeam]],Sheet5!$A$2:$A$33, 0), MATCH(Table2[[#This Row],[AwayTeam]],Sheet5!$A$2:$A$33, 0))</f>
        <v>0-0-0</v>
      </c>
      <c r="AQ615" s="2">
        <f>IF(Table2[[#This Row],[GameHasShutOut]], 1, 0)</f>
        <v>0</v>
      </c>
      <c r="AR615" s="2">
        <f>IF(Table2[[#This Row],[ActualAwayScore]] + Table2[[#This Row],[ActualHomeScore]] &gt;= 10, 1, 0)</f>
        <v>0</v>
      </c>
      <c r="AS615" s="2">
        <f>IF(ABS(Table2[[#This Row],[ActualAwayScore]]-Table2[[#This Row],[ActualHomeScore]])&gt;=5, 1, 0)</f>
        <v>0</v>
      </c>
      <c r="AT615" s="2">
        <f>IF(Table2[[#This Row],[ActualAwayScore]] + Table2[[#This Row],[ActualHomeScore]] &lt;= 3, 1, 0)</f>
        <v>1</v>
      </c>
      <c r="AU615" s="2"/>
      <c r="AV615" s="2"/>
    </row>
    <row r="616" spans="1:48" x14ac:dyDescent="0.25">
      <c r="A616" s="3"/>
      <c r="B616" s="3">
        <v>46021</v>
      </c>
      <c r="C616" s="5">
        <v>2025020614</v>
      </c>
      <c r="D616" s="2" t="s">
        <v>36</v>
      </c>
      <c r="E616" s="2" t="s">
        <v>26</v>
      </c>
      <c r="F616" s="2"/>
      <c r="G616" s="2"/>
      <c r="H616" s="2" t="str">
        <f t="shared" si="49"/>
        <v>_</v>
      </c>
      <c r="I616" s="2"/>
      <c r="J616" s="2"/>
      <c r="K616" s="2"/>
      <c r="L616" s="2" t="str">
        <f t="shared" si="50"/>
        <v>_</v>
      </c>
      <c r="M616" s="2"/>
      <c r="N616" s="2">
        <f>IF(ISBLANK(Table2[[#This Row],[ActualResult]]), 0, 1)</f>
        <v>0</v>
      </c>
      <c r="O616" s="2" t="str">
        <f>IF(ISBLANK(Table2[[#This Row],[ActualResult]]), "_", IF(Table2[[#This Row],[ActualWinner]]=Table2[[#This Row],[PredictedWinner]], "Y", "N"))</f>
        <v>_</v>
      </c>
      <c r="P6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6" s="2"/>
      <c r="S616" s="2" t="str">
        <f t="shared" si="51"/>
        <v>_</v>
      </c>
      <c r="T6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6" s="2">
        <f>IF(Table2[[#This Row],[InterConf]]=1,IF(Table2[[#This Row],[InterDiv]]=0, 1, 0), 0)</f>
        <v>1</v>
      </c>
      <c r="W6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6" s="2"/>
      <c r="Y616" s="2"/>
      <c r="Z616" s="145">
        <f>IF(AND(Table2[[#This Row],[GameIsOver]]=1,Table2[[#This Row],[ActualHomeScore]]*Table2[[#This Row],[ActualAwayScore]]=0), 1,0)</f>
        <v>0</v>
      </c>
      <c r="AA6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6" s="2">
        <f>Table2[[#This Row],[ActualAwayScore]]-Table2[[#This Row],[PredictedAwayScore]]</f>
        <v>0</v>
      </c>
      <c r="AG616" s="2">
        <f>Table2[[#This Row],[ActualHomeScore]]-Table2[[#This Row],[PredictedHomeScore]]</f>
        <v>0</v>
      </c>
      <c r="AH616" s="2">
        <f t="shared" si="52"/>
        <v>0</v>
      </c>
      <c r="AI616" s="2">
        <f t="shared" si="53"/>
        <v>0</v>
      </c>
      <c r="AJ616" s="2"/>
      <c r="AK616" s="3"/>
      <c r="AL616" s="2">
        <f>IF(Table2[[#This Row],[GameIsOver]]=0,0,IF(Table2[[#This Row],[ActualWinner]]=Table2[[#This Row],[AwayTeam]], 1, 0))</f>
        <v>0</v>
      </c>
      <c r="AM616" s="2">
        <f>IF(Table2[[#This Row],[GameIsOver]]=0,0,IF(Table2[[#This Row],[ActualWinner]]=Table2[[#This Row],[HomeTeam]], 1, 0))</f>
        <v>0</v>
      </c>
      <c r="AN6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6" s="2" t="str">
        <f>INDEX(Sheet5!$B$2:$AG$33, MATCH(Table2[[#This Row],[AwayTeam]],Sheet5!$A$2:$A$33, 0), MATCH(Table2[[#This Row],[HomeTeam]],Sheet5!$A$2:$A$33, 0))</f>
        <v>0-0-0</v>
      </c>
      <c r="AP616" s="2" t="str">
        <f>INDEX(Sheet5!$B$2:$AG$33, MATCH(Table2[[#This Row],[HomeTeam]],Sheet5!$A$2:$A$33, 0), MATCH(Table2[[#This Row],[AwayTeam]],Sheet5!$A$2:$A$33, 0))</f>
        <v>0-0-0</v>
      </c>
      <c r="AQ616" s="2">
        <f>IF(Table2[[#This Row],[GameHasShutOut]], 1, 0)</f>
        <v>0</v>
      </c>
      <c r="AR616" s="2">
        <f>IF(Table2[[#This Row],[ActualAwayScore]] + Table2[[#This Row],[ActualHomeScore]] &gt;= 10, 1, 0)</f>
        <v>0</v>
      </c>
      <c r="AS616" s="2">
        <f>IF(ABS(Table2[[#This Row],[ActualAwayScore]]-Table2[[#This Row],[ActualHomeScore]])&gt;=5, 1, 0)</f>
        <v>0</v>
      </c>
      <c r="AT616" s="2">
        <f>IF(Table2[[#This Row],[ActualAwayScore]] + Table2[[#This Row],[ActualHomeScore]] &lt;= 3, 1, 0)</f>
        <v>1</v>
      </c>
      <c r="AU616" s="2"/>
      <c r="AV616" s="2"/>
    </row>
    <row r="617" spans="1:48" x14ac:dyDescent="0.25">
      <c r="A617" s="3"/>
      <c r="B617" s="3">
        <v>46021</v>
      </c>
      <c r="C617" s="5">
        <v>2025020615</v>
      </c>
      <c r="D617" s="2" t="s">
        <v>37</v>
      </c>
      <c r="E617" s="2" t="s">
        <v>44</v>
      </c>
      <c r="F617" s="2"/>
      <c r="G617" s="2"/>
      <c r="H617" s="2" t="str">
        <f t="shared" si="49"/>
        <v>_</v>
      </c>
      <c r="I617" s="2"/>
      <c r="J617" s="2"/>
      <c r="K617" s="2"/>
      <c r="L617" s="2" t="str">
        <f t="shared" si="50"/>
        <v>_</v>
      </c>
      <c r="M617" s="2"/>
      <c r="N617" s="2">
        <f>IF(ISBLANK(Table2[[#This Row],[ActualResult]]), 0, 1)</f>
        <v>0</v>
      </c>
      <c r="O617" s="2" t="str">
        <f>IF(ISBLANK(Table2[[#This Row],[ActualResult]]), "_", IF(Table2[[#This Row],[ActualWinner]]=Table2[[#This Row],[PredictedWinner]], "Y", "N"))</f>
        <v>_</v>
      </c>
      <c r="P6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7" s="2"/>
      <c r="S617" s="2" t="str">
        <f t="shared" si="51"/>
        <v>_</v>
      </c>
      <c r="T6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7" s="2">
        <f>IF(Table2[[#This Row],[InterConf]]=1,IF(Table2[[#This Row],[InterDiv]]=0, 1, 0), 0)</f>
        <v>0</v>
      </c>
      <c r="W6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7" s="2"/>
      <c r="Y617" s="2"/>
      <c r="Z617" s="145">
        <f>IF(AND(Table2[[#This Row],[GameIsOver]]=1,Table2[[#This Row],[ActualHomeScore]]*Table2[[#This Row],[ActualAwayScore]]=0), 1,0)</f>
        <v>0</v>
      </c>
      <c r="AA6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7" s="2">
        <f>Table2[[#This Row],[ActualAwayScore]]-Table2[[#This Row],[PredictedAwayScore]]</f>
        <v>0</v>
      </c>
      <c r="AG617" s="2">
        <f>Table2[[#This Row],[ActualHomeScore]]-Table2[[#This Row],[PredictedHomeScore]]</f>
        <v>0</v>
      </c>
      <c r="AH617" s="2">
        <f t="shared" si="52"/>
        <v>0</v>
      </c>
      <c r="AI617" s="2">
        <f t="shared" si="53"/>
        <v>0</v>
      </c>
      <c r="AJ617" s="2"/>
      <c r="AK617" s="3"/>
      <c r="AL617" s="2">
        <f>IF(Table2[[#This Row],[GameIsOver]]=0,0,IF(Table2[[#This Row],[ActualWinner]]=Table2[[#This Row],[AwayTeam]], 1, 0))</f>
        <v>0</v>
      </c>
      <c r="AM617" s="2">
        <f>IF(Table2[[#This Row],[GameIsOver]]=0,0,IF(Table2[[#This Row],[ActualWinner]]=Table2[[#This Row],[HomeTeam]], 1, 0))</f>
        <v>0</v>
      </c>
      <c r="AN6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7" s="2" t="str">
        <f>INDEX(Sheet5!$B$2:$AG$33, MATCH(Table2[[#This Row],[AwayTeam]],Sheet5!$A$2:$A$33, 0), MATCH(Table2[[#This Row],[HomeTeam]],Sheet5!$A$2:$A$33, 0))</f>
        <v>0-0-1</v>
      </c>
      <c r="AP617" s="2" t="str">
        <f>INDEX(Sheet5!$B$2:$AG$33, MATCH(Table2[[#This Row],[HomeTeam]],Sheet5!$A$2:$A$33, 0), MATCH(Table2[[#This Row],[AwayTeam]],Sheet5!$A$2:$A$33, 0))</f>
        <v>1-0-0</v>
      </c>
      <c r="AQ617" s="2">
        <f>IF(Table2[[#This Row],[GameHasShutOut]], 1, 0)</f>
        <v>0</v>
      </c>
      <c r="AR617" s="2">
        <f>IF(Table2[[#This Row],[ActualAwayScore]] + Table2[[#This Row],[ActualHomeScore]] &gt;= 10, 1, 0)</f>
        <v>0</v>
      </c>
      <c r="AS617" s="2">
        <f>IF(ABS(Table2[[#This Row],[ActualAwayScore]]-Table2[[#This Row],[ActualHomeScore]])&gt;=5, 1, 0)</f>
        <v>0</v>
      </c>
      <c r="AT617" s="2">
        <f>IF(Table2[[#This Row],[ActualAwayScore]] + Table2[[#This Row],[ActualHomeScore]] &lt;= 3, 1, 0)</f>
        <v>1</v>
      </c>
      <c r="AU617" s="2"/>
      <c r="AV617" s="2"/>
    </row>
    <row r="618" spans="1:48" x14ac:dyDescent="0.25">
      <c r="A618" s="3"/>
      <c r="B618" s="3">
        <v>46021</v>
      </c>
      <c r="C618" s="5">
        <v>2025020616</v>
      </c>
      <c r="D618" s="2" t="s">
        <v>24</v>
      </c>
      <c r="E618" s="2" t="s">
        <v>11</v>
      </c>
      <c r="F618" s="2"/>
      <c r="G618" s="2"/>
      <c r="H618" s="2" t="str">
        <f t="shared" si="49"/>
        <v>_</v>
      </c>
      <c r="I618" s="2"/>
      <c r="J618" s="2"/>
      <c r="K618" s="2"/>
      <c r="L618" s="2" t="str">
        <f t="shared" si="50"/>
        <v>_</v>
      </c>
      <c r="M618" s="2"/>
      <c r="N618" s="2">
        <f>IF(ISBLANK(Table2[[#This Row],[ActualResult]]), 0, 1)</f>
        <v>0</v>
      </c>
      <c r="O618" s="2" t="str">
        <f>IF(ISBLANK(Table2[[#This Row],[ActualResult]]), "_", IF(Table2[[#This Row],[ActualWinner]]=Table2[[#This Row],[PredictedWinner]], "Y", "N"))</f>
        <v>_</v>
      </c>
      <c r="P6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8" s="2"/>
      <c r="S618" s="2" t="str">
        <f t="shared" si="51"/>
        <v>_</v>
      </c>
      <c r="T6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8" s="2">
        <f>IF(Table2[[#This Row],[InterConf]]=1,IF(Table2[[#This Row],[InterDiv]]=0, 1, 0), 0)</f>
        <v>0</v>
      </c>
      <c r="W6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8" s="2"/>
      <c r="Y618" s="2"/>
      <c r="Z618" s="145">
        <f>IF(AND(Table2[[#This Row],[GameIsOver]]=1,Table2[[#This Row],[ActualHomeScore]]*Table2[[#This Row],[ActualAwayScore]]=0), 1,0)</f>
        <v>0</v>
      </c>
      <c r="AA6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8" s="2">
        <f>Table2[[#This Row],[ActualAwayScore]]-Table2[[#This Row],[PredictedAwayScore]]</f>
        <v>0</v>
      </c>
      <c r="AG618" s="2">
        <f>Table2[[#This Row],[ActualHomeScore]]-Table2[[#This Row],[PredictedHomeScore]]</f>
        <v>0</v>
      </c>
      <c r="AH618" s="2">
        <f t="shared" si="52"/>
        <v>0</v>
      </c>
      <c r="AI618" s="2">
        <f t="shared" si="53"/>
        <v>0</v>
      </c>
      <c r="AJ618" s="2"/>
      <c r="AK618" s="3"/>
      <c r="AL618" s="2">
        <f>IF(Table2[[#This Row],[GameIsOver]]=0,0,IF(Table2[[#This Row],[ActualWinner]]=Table2[[#This Row],[AwayTeam]], 1, 0))</f>
        <v>0</v>
      </c>
      <c r="AM618" s="2">
        <f>IF(Table2[[#This Row],[GameIsOver]]=0,0,IF(Table2[[#This Row],[ActualWinner]]=Table2[[#This Row],[HomeTeam]], 1, 0))</f>
        <v>0</v>
      </c>
      <c r="AN6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8" s="2" t="str">
        <f>INDEX(Sheet5!$B$2:$AG$33, MATCH(Table2[[#This Row],[AwayTeam]],Sheet5!$A$2:$A$33, 0), MATCH(Table2[[#This Row],[HomeTeam]],Sheet5!$A$2:$A$33, 0))</f>
        <v>0-0-0</v>
      </c>
      <c r="AP618" s="2" t="str">
        <f>INDEX(Sheet5!$B$2:$AG$33, MATCH(Table2[[#This Row],[HomeTeam]],Sheet5!$A$2:$A$33, 0), MATCH(Table2[[#This Row],[AwayTeam]],Sheet5!$A$2:$A$33, 0))</f>
        <v>0-0-0</v>
      </c>
      <c r="AQ618" s="2">
        <f>IF(Table2[[#This Row],[GameHasShutOut]], 1, 0)</f>
        <v>0</v>
      </c>
      <c r="AR618" s="2">
        <f>IF(Table2[[#This Row],[ActualAwayScore]] + Table2[[#This Row],[ActualHomeScore]] &gt;= 10, 1, 0)</f>
        <v>0</v>
      </c>
      <c r="AS618" s="2">
        <f>IF(ABS(Table2[[#This Row],[ActualAwayScore]]-Table2[[#This Row],[ActualHomeScore]])&gt;=5, 1, 0)</f>
        <v>0</v>
      </c>
      <c r="AT618" s="2">
        <f>IF(Table2[[#This Row],[ActualAwayScore]] + Table2[[#This Row],[ActualHomeScore]] &lt;= 3, 1, 0)</f>
        <v>1</v>
      </c>
      <c r="AU618" s="2"/>
      <c r="AV618" s="2"/>
    </row>
    <row r="619" spans="1:48" x14ac:dyDescent="0.25">
      <c r="A619" s="3"/>
      <c r="B619" s="3">
        <v>46022</v>
      </c>
      <c r="C619" s="5">
        <v>2025020617</v>
      </c>
      <c r="D619" s="2" t="s">
        <v>31</v>
      </c>
      <c r="E619" s="2" t="s">
        <v>17</v>
      </c>
      <c r="F619" s="2"/>
      <c r="G619" s="2"/>
      <c r="H619" s="2" t="str">
        <f t="shared" si="49"/>
        <v>_</v>
      </c>
      <c r="I619" s="2"/>
      <c r="J619" s="2"/>
      <c r="K619" s="2"/>
      <c r="L619" s="2" t="str">
        <f t="shared" si="50"/>
        <v>_</v>
      </c>
      <c r="M619" s="2"/>
      <c r="N619" s="2">
        <f>IF(ISBLANK(Table2[[#This Row],[ActualResult]]), 0, 1)</f>
        <v>0</v>
      </c>
      <c r="O619" s="2" t="str">
        <f>IF(ISBLANK(Table2[[#This Row],[ActualResult]]), "_", IF(Table2[[#This Row],[ActualWinner]]=Table2[[#This Row],[PredictedWinner]], "Y", "N"))</f>
        <v>_</v>
      </c>
      <c r="P6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9" s="2"/>
      <c r="S619" s="2" t="str">
        <f t="shared" si="51"/>
        <v>_</v>
      </c>
      <c r="T6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9" s="2">
        <f>IF(Table2[[#This Row],[InterConf]]=1,IF(Table2[[#This Row],[InterDiv]]=0, 1, 0), 0)</f>
        <v>1</v>
      </c>
      <c r="W6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9" s="2"/>
      <c r="Y619" s="2"/>
      <c r="Z619" s="145">
        <f>IF(AND(Table2[[#This Row],[GameIsOver]]=1,Table2[[#This Row],[ActualHomeScore]]*Table2[[#This Row],[ActualAwayScore]]=0), 1,0)</f>
        <v>0</v>
      </c>
      <c r="AA6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19" s="2">
        <f>Table2[[#This Row],[ActualAwayScore]]-Table2[[#This Row],[PredictedAwayScore]]</f>
        <v>0</v>
      </c>
      <c r="AG619" s="2">
        <f>Table2[[#This Row],[ActualHomeScore]]-Table2[[#This Row],[PredictedHomeScore]]</f>
        <v>0</v>
      </c>
      <c r="AH619" s="2">
        <f t="shared" si="52"/>
        <v>0</v>
      </c>
      <c r="AI619" s="2">
        <f t="shared" si="53"/>
        <v>0</v>
      </c>
      <c r="AJ619" s="2"/>
      <c r="AK619" s="3"/>
      <c r="AL619" s="2">
        <f>IF(Table2[[#This Row],[GameIsOver]]=0,0,IF(Table2[[#This Row],[ActualWinner]]=Table2[[#This Row],[AwayTeam]], 1, 0))</f>
        <v>0</v>
      </c>
      <c r="AM619" s="2">
        <f>IF(Table2[[#This Row],[GameIsOver]]=0,0,IF(Table2[[#This Row],[ActualWinner]]=Table2[[#This Row],[HomeTeam]], 1, 0))</f>
        <v>0</v>
      </c>
      <c r="AN6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9" s="2" t="str">
        <f>INDEX(Sheet5!$B$2:$AG$33, MATCH(Table2[[#This Row],[AwayTeam]],Sheet5!$A$2:$A$33, 0), MATCH(Table2[[#This Row],[HomeTeam]],Sheet5!$A$2:$A$33, 0))</f>
        <v>1-0-0</v>
      </c>
      <c r="AP619" s="2" t="str">
        <f>INDEX(Sheet5!$B$2:$AG$33, MATCH(Table2[[#This Row],[HomeTeam]],Sheet5!$A$2:$A$33, 0), MATCH(Table2[[#This Row],[AwayTeam]],Sheet5!$A$2:$A$33, 0))</f>
        <v>0-1-0</v>
      </c>
      <c r="AQ619" s="2">
        <f>IF(Table2[[#This Row],[GameHasShutOut]], 1, 0)</f>
        <v>0</v>
      </c>
      <c r="AR619" s="2">
        <f>IF(Table2[[#This Row],[ActualAwayScore]] + Table2[[#This Row],[ActualHomeScore]] &gt;= 10, 1, 0)</f>
        <v>0</v>
      </c>
      <c r="AS619" s="2">
        <f>IF(ABS(Table2[[#This Row],[ActualAwayScore]]-Table2[[#This Row],[ActualHomeScore]])&gt;=5, 1, 0)</f>
        <v>0</v>
      </c>
      <c r="AT619" s="2">
        <f>IF(Table2[[#This Row],[ActualAwayScore]] + Table2[[#This Row],[ActualHomeScore]] &lt;= 3, 1, 0)</f>
        <v>1</v>
      </c>
      <c r="AU619" s="2"/>
      <c r="AV619" s="2"/>
    </row>
    <row r="620" spans="1:48" x14ac:dyDescent="0.25">
      <c r="A620" s="3"/>
      <c r="B620" s="3">
        <v>46022</v>
      </c>
      <c r="C620" s="5">
        <v>2025020618</v>
      </c>
      <c r="D620" s="2" t="s">
        <v>18</v>
      </c>
      <c r="E620" s="2" t="s">
        <v>13</v>
      </c>
      <c r="F620" s="2"/>
      <c r="G620" s="2"/>
      <c r="H620" s="2" t="str">
        <f t="shared" si="49"/>
        <v>_</v>
      </c>
      <c r="I620" s="2"/>
      <c r="J620" s="2"/>
      <c r="K620" s="2"/>
      <c r="L620" s="2" t="str">
        <f t="shared" si="50"/>
        <v>_</v>
      </c>
      <c r="M620" s="2"/>
      <c r="N620" s="2">
        <f>IF(ISBLANK(Table2[[#This Row],[ActualResult]]), 0, 1)</f>
        <v>0</v>
      </c>
      <c r="O620" s="2" t="str">
        <f>IF(ISBLANK(Table2[[#This Row],[ActualResult]]), "_", IF(Table2[[#This Row],[ActualWinner]]=Table2[[#This Row],[PredictedWinner]], "Y", "N"))</f>
        <v>_</v>
      </c>
      <c r="P6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0" s="2"/>
      <c r="S620" s="2" t="str">
        <f t="shared" si="51"/>
        <v>_</v>
      </c>
      <c r="T6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0" s="2">
        <f>IF(Table2[[#This Row],[InterConf]]=1,IF(Table2[[#This Row],[InterDiv]]=0, 1, 0), 0)</f>
        <v>0</v>
      </c>
      <c r="W6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0" s="2"/>
      <c r="Y620" s="2"/>
      <c r="Z620" s="145">
        <f>IF(AND(Table2[[#This Row],[GameIsOver]]=1,Table2[[#This Row],[ActualHomeScore]]*Table2[[#This Row],[ActualAwayScore]]=0), 1,0)</f>
        <v>0</v>
      </c>
      <c r="AA6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0" s="2">
        <f>Table2[[#This Row],[ActualAwayScore]]-Table2[[#This Row],[PredictedAwayScore]]</f>
        <v>0</v>
      </c>
      <c r="AG620" s="2">
        <f>Table2[[#This Row],[ActualHomeScore]]-Table2[[#This Row],[PredictedHomeScore]]</f>
        <v>0</v>
      </c>
      <c r="AH620" s="2">
        <f t="shared" si="52"/>
        <v>0</v>
      </c>
      <c r="AI620" s="2">
        <f t="shared" si="53"/>
        <v>0</v>
      </c>
      <c r="AJ620" s="2"/>
      <c r="AK620" s="3"/>
      <c r="AL620" s="2">
        <f>IF(Table2[[#This Row],[GameIsOver]]=0,0,IF(Table2[[#This Row],[ActualWinner]]=Table2[[#This Row],[AwayTeam]], 1, 0))</f>
        <v>0</v>
      </c>
      <c r="AM620" s="2">
        <f>IF(Table2[[#This Row],[GameIsOver]]=0,0,IF(Table2[[#This Row],[ActualWinner]]=Table2[[#This Row],[HomeTeam]], 1, 0))</f>
        <v>0</v>
      </c>
      <c r="AN6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0" s="2" t="str">
        <f>INDEX(Sheet5!$B$2:$AG$33, MATCH(Table2[[#This Row],[AwayTeam]],Sheet5!$A$2:$A$33, 0), MATCH(Table2[[#This Row],[HomeTeam]],Sheet5!$A$2:$A$33, 0))</f>
        <v>0-0-0</v>
      </c>
      <c r="AP620" s="2" t="str">
        <f>INDEX(Sheet5!$B$2:$AG$33, MATCH(Table2[[#This Row],[HomeTeam]],Sheet5!$A$2:$A$33, 0), MATCH(Table2[[#This Row],[AwayTeam]],Sheet5!$A$2:$A$33, 0))</f>
        <v>0-0-0</v>
      </c>
      <c r="AQ620" s="2">
        <f>IF(Table2[[#This Row],[GameHasShutOut]], 1, 0)</f>
        <v>0</v>
      </c>
      <c r="AR620" s="2">
        <f>IF(Table2[[#This Row],[ActualAwayScore]] + Table2[[#This Row],[ActualHomeScore]] &gt;= 10, 1, 0)</f>
        <v>0</v>
      </c>
      <c r="AS620" s="2">
        <f>IF(ABS(Table2[[#This Row],[ActualAwayScore]]-Table2[[#This Row],[ActualHomeScore]])&gt;=5, 1, 0)</f>
        <v>0</v>
      </c>
      <c r="AT620" s="2">
        <f>IF(Table2[[#This Row],[ActualAwayScore]] + Table2[[#This Row],[ActualHomeScore]] &lt;= 3, 1, 0)</f>
        <v>1</v>
      </c>
      <c r="AU620" s="2"/>
      <c r="AV620" s="2"/>
    </row>
    <row r="621" spans="1:48" x14ac:dyDescent="0.25">
      <c r="A621" s="3"/>
      <c r="B621" s="3">
        <v>46022</v>
      </c>
      <c r="C621" s="5">
        <v>2025020619</v>
      </c>
      <c r="D621" s="2" t="s">
        <v>41</v>
      </c>
      <c r="E621" s="2" t="s">
        <v>20</v>
      </c>
      <c r="F621" s="2"/>
      <c r="G621" s="2"/>
      <c r="H621" s="2" t="str">
        <f t="shared" si="49"/>
        <v>_</v>
      </c>
      <c r="I621" s="2"/>
      <c r="J621" s="2"/>
      <c r="K621" s="2"/>
      <c r="L621" s="2" t="str">
        <f t="shared" si="50"/>
        <v>_</v>
      </c>
      <c r="M621" s="2"/>
      <c r="N621" s="2">
        <f>IF(ISBLANK(Table2[[#This Row],[ActualResult]]), 0, 1)</f>
        <v>0</v>
      </c>
      <c r="O621" s="2" t="str">
        <f>IF(ISBLANK(Table2[[#This Row],[ActualResult]]), "_", IF(Table2[[#This Row],[ActualWinner]]=Table2[[#This Row],[PredictedWinner]], "Y", "N"))</f>
        <v>_</v>
      </c>
      <c r="P6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1" s="2"/>
      <c r="S621" s="2" t="str">
        <f t="shared" si="51"/>
        <v>_</v>
      </c>
      <c r="T6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1" s="2">
        <f>IF(Table2[[#This Row],[InterConf]]=1,IF(Table2[[#This Row],[InterDiv]]=0, 1, 0), 0)</f>
        <v>0</v>
      </c>
      <c r="W6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1" s="2"/>
      <c r="Y621" s="2"/>
      <c r="Z621" s="145">
        <f>IF(AND(Table2[[#This Row],[GameIsOver]]=1,Table2[[#This Row],[ActualHomeScore]]*Table2[[#This Row],[ActualAwayScore]]=0), 1,0)</f>
        <v>0</v>
      </c>
      <c r="AA6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1" s="2">
        <f>Table2[[#This Row],[ActualAwayScore]]-Table2[[#This Row],[PredictedAwayScore]]</f>
        <v>0</v>
      </c>
      <c r="AG621" s="2">
        <f>Table2[[#This Row],[ActualHomeScore]]-Table2[[#This Row],[PredictedHomeScore]]</f>
        <v>0</v>
      </c>
      <c r="AH621" s="2">
        <f t="shared" si="52"/>
        <v>0</v>
      </c>
      <c r="AI621" s="2">
        <f t="shared" si="53"/>
        <v>0</v>
      </c>
      <c r="AJ621" s="2"/>
      <c r="AK621" s="3"/>
      <c r="AL621" s="2">
        <f>IF(Table2[[#This Row],[GameIsOver]]=0,0,IF(Table2[[#This Row],[ActualWinner]]=Table2[[#This Row],[AwayTeam]], 1, 0))</f>
        <v>0</v>
      </c>
      <c r="AM621" s="2">
        <f>IF(Table2[[#This Row],[GameIsOver]]=0,0,IF(Table2[[#This Row],[ActualWinner]]=Table2[[#This Row],[HomeTeam]], 1, 0))</f>
        <v>0</v>
      </c>
      <c r="AN6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1" s="2" t="str">
        <f>INDEX(Sheet5!$B$2:$AG$33, MATCH(Table2[[#This Row],[AwayTeam]],Sheet5!$A$2:$A$33, 0), MATCH(Table2[[#This Row],[HomeTeam]],Sheet5!$A$2:$A$33, 0))</f>
        <v>0-0-0</v>
      </c>
      <c r="AP621" s="2" t="str">
        <f>INDEX(Sheet5!$B$2:$AG$33, MATCH(Table2[[#This Row],[HomeTeam]],Sheet5!$A$2:$A$33, 0), MATCH(Table2[[#This Row],[AwayTeam]],Sheet5!$A$2:$A$33, 0))</f>
        <v>0-0-0</v>
      </c>
      <c r="AQ621" s="2">
        <f>IF(Table2[[#This Row],[GameHasShutOut]], 1, 0)</f>
        <v>0</v>
      </c>
      <c r="AR621" s="2">
        <f>IF(Table2[[#This Row],[ActualAwayScore]] + Table2[[#This Row],[ActualHomeScore]] &gt;= 10, 1, 0)</f>
        <v>0</v>
      </c>
      <c r="AS621" s="2">
        <f>IF(ABS(Table2[[#This Row],[ActualAwayScore]]-Table2[[#This Row],[ActualHomeScore]])&gt;=5, 1, 0)</f>
        <v>0</v>
      </c>
      <c r="AT621" s="2">
        <f>IF(Table2[[#This Row],[ActualAwayScore]] + Table2[[#This Row],[ActualHomeScore]] &lt;= 3, 1, 0)</f>
        <v>1</v>
      </c>
      <c r="AU621" s="2"/>
      <c r="AV621" s="2"/>
    </row>
    <row r="622" spans="1:48" x14ac:dyDescent="0.25">
      <c r="A622" s="3"/>
      <c r="B622" s="3">
        <v>46022</v>
      </c>
      <c r="C622" s="5">
        <v>2025020620</v>
      </c>
      <c r="D622" s="2" t="s">
        <v>32</v>
      </c>
      <c r="E622" s="2" t="s">
        <v>16</v>
      </c>
      <c r="F622" s="2"/>
      <c r="G622" s="2"/>
      <c r="H622" s="2" t="str">
        <f t="shared" si="49"/>
        <v>_</v>
      </c>
      <c r="I622" s="2"/>
      <c r="J622" s="2"/>
      <c r="K622" s="2"/>
      <c r="L622" s="2" t="str">
        <f t="shared" si="50"/>
        <v>_</v>
      </c>
      <c r="M622" s="2"/>
      <c r="N622" s="2">
        <f>IF(ISBLANK(Table2[[#This Row],[ActualResult]]), 0, 1)</f>
        <v>0</v>
      </c>
      <c r="O622" s="2" t="str">
        <f>IF(ISBLANK(Table2[[#This Row],[ActualResult]]), "_", IF(Table2[[#This Row],[ActualWinner]]=Table2[[#This Row],[PredictedWinner]], "Y", "N"))</f>
        <v>_</v>
      </c>
      <c r="P6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2" s="2"/>
      <c r="S622" s="2" t="str">
        <f t="shared" si="51"/>
        <v>_</v>
      </c>
      <c r="T6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2" s="2">
        <f>IF(Table2[[#This Row],[InterConf]]=1,IF(Table2[[#This Row],[InterDiv]]=0, 1, 0), 0)</f>
        <v>0</v>
      </c>
      <c r="W6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2" s="2"/>
      <c r="Y622" s="2"/>
      <c r="Z622" s="145">
        <f>IF(AND(Table2[[#This Row],[GameIsOver]]=1,Table2[[#This Row],[ActualHomeScore]]*Table2[[#This Row],[ActualAwayScore]]=0), 1,0)</f>
        <v>0</v>
      </c>
      <c r="AA6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2" s="2">
        <f>Table2[[#This Row],[ActualAwayScore]]-Table2[[#This Row],[PredictedAwayScore]]</f>
        <v>0</v>
      </c>
      <c r="AG622" s="2">
        <f>Table2[[#This Row],[ActualHomeScore]]-Table2[[#This Row],[PredictedHomeScore]]</f>
        <v>0</v>
      </c>
      <c r="AH622" s="2">
        <f t="shared" si="52"/>
        <v>0</v>
      </c>
      <c r="AI622" s="2">
        <f t="shared" si="53"/>
        <v>0</v>
      </c>
      <c r="AJ622" s="2"/>
      <c r="AK622" s="3"/>
      <c r="AL622" s="2">
        <f>IF(Table2[[#This Row],[GameIsOver]]=0,0,IF(Table2[[#This Row],[ActualWinner]]=Table2[[#This Row],[AwayTeam]], 1, 0))</f>
        <v>0</v>
      </c>
      <c r="AM622" s="2">
        <f>IF(Table2[[#This Row],[GameIsOver]]=0,0,IF(Table2[[#This Row],[ActualWinner]]=Table2[[#This Row],[HomeTeam]], 1, 0))</f>
        <v>0</v>
      </c>
      <c r="AN6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2" s="2" t="str">
        <f>INDEX(Sheet5!$B$2:$AG$33, MATCH(Table2[[#This Row],[AwayTeam]],Sheet5!$A$2:$A$33, 0), MATCH(Table2[[#This Row],[HomeTeam]],Sheet5!$A$2:$A$33, 0))</f>
        <v>0-0-0</v>
      </c>
      <c r="AP622" s="2" t="str">
        <f>INDEX(Sheet5!$B$2:$AG$33, MATCH(Table2[[#This Row],[HomeTeam]],Sheet5!$A$2:$A$33, 0), MATCH(Table2[[#This Row],[AwayTeam]],Sheet5!$A$2:$A$33, 0))</f>
        <v>0-0-0</v>
      </c>
      <c r="AQ622" s="2">
        <f>IF(Table2[[#This Row],[GameHasShutOut]], 1, 0)</f>
        <v>0</v>
      </c>
      <c r="AR622" s="2">
        <f>IF(Table2[[#This Row],[ActualAwayScore]] + Table2[[#This Row],[ActualHomeScore]] &gt;= 10, 1, 0)</f>
        <v>0</v>
      </c>
      <c r="AS622" s="2">
        <f>IF(ABS(Table2[[#This Row],[ActualAwayScore]]-Table2[[#This Row],[ActualHomeScore]])&gt;=5, 1, 0)</f>
        <v>0</v>
      </c>
      <c r="AT622" s="2">
        <f>IF(Table2[[#This Row],[ActualAwayScore]] + Table2[[#This Row],[ActualHomeScore]] &lt;= 3, 1, 0)</f>
        <v>1</v>
      </c>
      <c r="AU622" s="2"/>
      <c r="AV622" s="2"/>
    </row>
    <row r="623" spans="1:48" x14ac:dyDescent="0.25">
      <c r="A623" s="3"/>
      <c r="B623" s="3">
        <v>46022</v>
      </c>
      <c r="C623" s="5">
        <v>2025020621</v>
      </c>
      <c r="D623" s="2" t="s">
        <v>42</v>
      </c>
      <c r="E623" s="2" t="s">
        <v>24</v>
      </c>
      <c r="F623" s="2"/>
      <c r="G623" s="2"/>
      <c r="H623" s="2" t="str">
        <f t="shared" si="49"/>
        <v>_</v>
      </c>
      <c r="I623" s="2"/>
      <c r="J623" s="2"/>
      <c r="K623" s="2"/>
      <c r="L623" s="2" t="str">
        <f t="shared" si="50"/>
        <v>_</v>
      </c>
      <c r="M623" s="2"/>
      <c r="N623" s="2">
        <f>IF(ISBLANK(Table2[[#This Row],[ActualResult]]), 0, 1)</f>
        <v>0</v>
      </c>
      <c r="O623" s="2" t="str">
        <f>IF(ISBLANK(Table2[[#This Row],[ActualResult]]), "_", IF(Table2[[#This Row],[ActualWinner]]=Table2[[#This Row],[PredictedWinner]], "Y", "N"))</f>
        <v>_</v>
      </c>
      <c r="P6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3" s="2"/>
      <c r="S623" s="2" t="str">
        <f t="shared" si="51"/>
        <v>_</v>
      </c>
      <c r="T6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3" s="2">
        <f>IF(Table2[[#This Row],[InterConf]]=1,IF(Table2[[#This Row],[InterDiv]]=0, 1, 0), 0)</f>
        <v>0</v>
      </c>
      <c r="W6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3" s="2"/>
      <c r="Y623" s="2"/>
      <c r="Z623" s="145">
        <f>IF(AND(Table2[[#This Row],[GameIsOver]]=1,Table2[[#This Row],[ActualHomeScore]]*Table2[[#This Row],[ActualAwayScore]]=0), 1,0)</f>
        <v>0</v>
      </c>
      <c r="AA6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3" s="2">
        <f>Table2[[#This Row],[ActualAwayScore]]-Table2[[#This Row],[PredictedAwayScore]]</f>
        <v>0</v>
      </c>
      <c r="AG623" s="2">
        <f>Table2[[#This Row],[ActualHomeScore]]-Table2[[#This Row],[PredictedHomeScore]]</f>
        <v>0</v>
      </c>
      <c r="AH623" s="2">
        <f t="shared" si="52"/>
        <v>0</v>
      </c>
      <c r="AI623" s="2">
        <f t="shared" si="53"/>
        <v>0</v>
      </c>
      <c r="AJ623" s="2"/>
      <c r="AK623" s="3"/>
      <c r="AL623" s="2">
        <f>IF(Table2[[#This Row],[GameIsOver]]=0,0,IF(Table2[[#This Row],[ActualWinner]]=Table2[[#This Row],[AwayTeam]], 1, 0))</f>
        <v>0</v>
      </c>
      <c r="AM623" s="2">
        <f>IF(Table2[[#This Row],[GameIsOver]]=0,0,IF(Table2[[#This Row],[ActualWinner]]=Table2[[#This Row],[HomeTeam]], 1, 0))</f>
        <v>0</v>
      </c>
      <c r="AN6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3" s="2" t="str">
        <f>INDEX(Sheet5!$B$2:$AG$33, MATCH(Table2[[#This Row],[AwayTeam]],Sheet5!$A$2:$A$33, 0), MATCH(Table2[[#This Row],[HomeTeam]],Sheet5!$A$2:$A$33, 0))</f>
        <v>0-0-0</v>
      </c>
      <c r="AP623" s="2" t="str">
        <f>INDEX(Sheet5!$B$2:$AG$33, MATCH(Table2[[#This Row],[HomeTeam]],Sheet5!$A$2:$A$33, 0), MATCH(Table2[[#This Row],[AwayTeam]],Sheet5!$A$2:$A$33, 0))</f>
        <v>0-0-0</v>
      </c>
      <c r="AQ623" s="2">
        <f>IF(Table2[[#This Row],[GameHasShutOut]], 1, 0)</f>
        <v>0</v>
      </c>
      <c r="AR623" s="2">
        <f>IF(Table2[[#This Row],[ActualAwayScore]] + Table2[[#This Row],[ActualHomeScore]] &gt;= 10, 1, 0)</f>
        <v>0</v>
      </c>
      <c r="AS623" s="2">
        <f>IF(ABS(Table2[[#This Row],[ActualAwayScore]]-Table2[[#This Row],[ActualHomeScore]])&gt;=5, 1, 0)</f>
        <v>0</v>
      </c>
      <c r="AT623" s="2">
        <f>IF(Table2[[#This Row],[ActualAwayScore]] + Table2[[#This Row],[ActualHomeScore]] &lt;= 3, 1, 0)</f>
        <v>1</v>
      </c>
      <c r="AU623" s="2"/>
      <c r="AV623" s="2"/>
    </row>
    <row r="624" spans="1:48" x14ac:dyDescent="0.25">
      <c r="A624" s="3"/>
      <c r="B624" s="3">
        <v>46022</v>
      </c>
      <c r="C624" s="5">
        <v>2025020622</v>
      </c>
      <c r="D624" s="2" t="s">
        <v>19</v>
      </c>
      <c r="E624" s="2" t="s">
        <v>43</v>
      </c>
      <c r="F624" s="2"/>
      <c r="G624" s="2"/>
      <c r="H624" s="2" t="str">
        <f t="shared" si="49"/>
        <v>_</v>
      </c>
      <c r="I624" s="2"/>
      <c r="J624" s="2"/>
      <c r="K624" s="2"/>
      <c r="L624" s="2" t="str">
        <f t="shared" si="50"/>
        <v>_</v>
      </c>
      <c r="M624" s="2"/>
      <c r="N624" s="2">
        <f>IF(ISBLANK(Table2[[#This Row],[ActualResult]]), 0, 1)</f>
        <v>0</v>
      </c>
      <c r="O624" s="2" t="str">
        <f>IF(ISBLANK(Table2[[#This Row],[ActualResult]]), "_", IF(Table2[[#This Row],[ActualWinner]]=Table2[[#This Row],[PredictedWinner]], "Y", "N"))</f>
        <v>_</v>
      </c>
      <c r="P6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4" s="2"/>
      <c r="S624" s="2" t="str">
        <f t="shared" si="51"/>
        <v>_</v>
      </c>
      <c r="T6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4" s="2">
        <f>IF(Table2[[#This Row],[InterConf]]=1,IF(Table2[[#This Row],[InterDiv]]=0, 1, 0), 0)</f>
        <v>0</v>
      </c>
      <c r="W6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4" s="2"/>
      <c r="Y624" s="2"/>
      <c r="Z624" s="145">
        <f>IF(AND(Table2[[#This Row],[GameIsOver]]=1,Table2[[#This Row],[ActualHomeScore]]*Table2[[#This Row],[ActualAwayScore]]=0), 1,0)</f>
        <v>0</v>
      </c>
      <c r="AA6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4" s="2">
        <f>Table2[[#This Row],[ActualAwayScore]]-Table2[[#This Row],[PredictedAwayScore]]</f>
        <v>0</v>
      </c>
      <c r="AG624" s="2">
        <f>Table2[[#This Row],[ActualHomeScore]]-Table2[[#This Row],[PredictedHomeScore]]</f>
        <v>0</v>
      </c>
      <c r="AH624" s="2">
        <f t="shared" si="52"/>
        <v>0</v>
      </c>
      <c r="AI624" s="2">
        <f t="shared" si="53"/>
        <v>0</v>
      </c>
      <c r="AJ624" s="2"/>
      <c r="AK624" s="3"/>
      <c r="AL624" s="2">
        <f>IF(Table2[[#This Row],[GameIsOver]]=0,0,IF(Table2[[#This Row],[ActualWinner]]=Table2[[#This Row],[AwayTeam]], 1, 0))</f>
        <v>0</v>
      </c>
      <c r="AM624" s="2">
        <f>IF(Table2[[#This Row],[GameIsOver]]=0,0,IF(Table2[[#This Row],[ActualWinner]]=Table2[[#This Row],[HomeTeam]], 1, 0))</f>
        <v>0</v>
      </c>
      <c r="AN6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4" s="2" t="str">
        <f>INDEX(Sheet5!$B$2:$AG$33, MATCH(Table2[[#This Row],[AwayTeam]],Sheet5!$A$2:$A$33, 0), MATCH(Table2[[#This Row],[HomeTeam]],Sheet5!$A$2:$A$33, 0))</f>
        <v>0-1-0</v>
      </c>
      <c r="AP624" s="2" t="str">
        <f>INDEX(Sheet5!$B$2:$AG$33, MATCH(Table2[[#This Row],[HomeTeam]],Sheet5!$A$2:$A$33, 0), MATCH(Table2[[#This Row],[AwayTeam]],Sheet5!$A$2:$A$33, 0))</f>
        <v>1-0-0</v>
      </c>
      <c r="AQ624" s="2">
        <f>IF(Table2[[#This Row],[GameHasShutOut]], 1, 0)</f>
        <v>0</v>
      </c>
      <c r="AR624" s="2">
        <f>IF(Table2[[#This Row],[ActualAwayScore]] + Table2[[#This Row],[ActualHomeScore]] &gt;= 10, 1, 0)</f>
        <v>0</v>
      </c>
      <c r="AS624" s="2">
        <f>IF(ABS(Table2[[#This Row],[ActualAwayScore]]-Table2[[#This Row],[ActualHomeScore]])&gt;=5, 1, 0)</f>
        <v>0</v>
      </c>
      <c r="AT624" s="2">
        <f>IF(Table2[[#This Row],[ActualAwayScore]] + Table2[[#This Row],[ActualHomeScore]] &lt;= 3, 1, 0)</f>
        <v>1</v>
      </c>
      <c r="AU624" s="2"/>
      <c r="AV624" s="2"/>
    </row>
    <row r="625" spans="1:48" x14ac:dyDescent="0.25">
      <c r="A625" s="3"/>
      <c r="B625" s="3">
        <v>46022</v>
      </c>
      <c r="C625" s="5">
        <v>2025020623</v>
      </c>
      <c r="D625" s="2" t="s">
        <v>34</v>
      </c>
      <c r="E625" s="2" t="s">
        <v>26</v>
      </c>
      <c r="F625" s="2"/>
      <c r="G625" s="2"/>
      <c r="H625" s="2" t="str">
        <f t="shared" si="49"/>
        <v>_</v>
      </c>
      <c r="I625" s="2"/>
      <c r="J625" s="2"/>
      <c r="K625" s="2"/>
      <c r="L625" s="2" t="str">
        <f t="shared" si="50"/>
        <v>_</v>
      </c>
      <c r="M625" s="2"/>
      <c r="N625" s="2">
        <f>IF(ISBLANK(Table2[[#This Row],[ActualResult]]), 0, 1)</f>
        <v>0</v>
      </c>
      <c r="O625" s="2" t="str">
        <f>IF(ISBLANK(Table2[[#This Row],[ActualResult]]), "_", IF(Table2[[#This Row],[ActualWinner]]=Table2[[#This Row],[PredictedWinner]], "Y", "N"))</f>
        <v>_</v>
      </c>
      <c r="P6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5" s="2"/>
      <c r="S625" s="2" t="str">
        <f t="shared" si="51"/>
        <v>_</v>
      </c>
      <c r="T6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5" s="2">
        <f>IF(Table2[[#This Row],[InterConf]]=1,IF(Table2[[#This Row],[InterDiv]]=0, 1, 0), 0)</f>
        <v>1</v>
      </c>
      <c r="W6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5" s="2"/>
      <c r="Y625" s="2"/>
      <c r="Z625" s="145">
        <f>IF(AND(Table2[[#This Row],[GameIsOver]]=1,Table2[[#This Row],[ActualHomeScore]]*Table2[[#This Row],[ActualAwayScore]]=0), 1,0)</f>
        <v>0</v>
      </c>
      <c r="AA6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5" s="2">
        <f>Table2[[#This Row],[ActualAwayScore]]-Table2[[#This Row],[PredictedAwayScore]]</f>
        <v>0</v>
      </c>
      <c r="AG625" s="2">
        <f>Table2[[#This Row],[ActualHomeScore]]-Table2[[#This Row],[PredictedHomeScore]]</f>
        <v>0</v>
      </c>
      <c r="AH625" s="2">
        <f t="shared" si="52"/>
        <v>0</v>
      </c>
      <c r="AI625" s="2">
        <f t="shared" si="53"/>
        <v>0</v>
      </c>
      <c r="AJ625" s="2"/>
      <c r="AK625" s="3"/>
      <c r="AL625" s="2">
        <f>IF(Table2[[#This Row],[GameIsOver]]=0,0,IF(Table2[[#This Row],[ActualWinner]]=Table2[[#This Row],[AwayTeam]], 1, 0))</f>
        <v>0</v>
      </c>
      <c r="AM625" s="2">
        <f>IF(Table2[[#This Row],[GameIsOver]]=0,0,IF(Table2[[#This Row],[ActualWinner]]=Table2[[#This Row],[HomeTeam]], 1, 0))</f>
        <v>0</v>
      </c>
      <c r="AN6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5" s="2" t="str">
        <f>INDEX(Sheet5!$B$2:$AG$33, MATCH(Table2[[#This Row],[AwayTeam]],Sheet5!$A$2:$A$33, 0), MATCH(Table2[[#This Row],[HomeTeam]],Sheet5!$A$2:$A$33, 0))</f>
        <v>0-0-0</v>
      </c>
      <c r="AP625" s="2" t="str">
        <f>INDEX(Sheet5!$B$2:$AG$33, MATCH(Table2[[#This Row],[HomeTeam]],Sheet5!$A$2:$A$33, 0), MATCH(Table2[[#This Row],[AwayTeam]],Sheet5!$A$2:$A$33, 0))</f>
        <v>0-0-0</v>
      </c>
      <c r="AQ625" s="2">
        <f>IF(Table2[[#This Row],[GameHasShutOut]], 1, 0)</f>
        <v>0</v>
      </c>
      <c r="AR625" s="2">
        <f>IF(Table2[[#This Row],[ActualAwayScore]] + Table2[[#This Row],[ActualHomeScore]] &gt;= 10, 1, 0)</f>
        <v>0</v>
      </c>
      <c r="AS625" s="2">
        <f>IF(ABS(Table2[[#This Row],[ActualAwayScore]]-Table2[[#This Row],[ActualHomeScore]])&gt;=5, 1, 0)</f>
        <v>0</v>
      </c>
      <c r="AT625" s="2">
        <f>IF(Table2[[#This Row],[ActualAwayScore]] + Table2[[#This Row],[ActualHomeScore]] &lt;= 3, 1, 0)</f>
        <v>1</v>
      </c>
      <c r="AU625" s="2"/>
      <c r="AV625" s="2"/>
    </row>
    <row r="626" spans="1:48" x14ac:dyDescent="0.25">
      <c r="A626" s="3"/>
      <c r="B626" s="3">
        <v>46022</v>
      </c>
      <c r="C626" s="5">
        <v>2025020624</v>
      </c>
      <c r="D626" s="2" t="s">
        <v>40</v>
      </c>
      <c r="E626" s="2" t="s">
        <v>44</v>
      </c>
      <c r="F626" s="2"/>
      <c r="G626" s="2"/>
      <c r="H626" s="2" t="str">
        <f t="shared" si="49"/>
        <v>_</v>
      </c>
      <c r="I626" s="2"/>
      <c r="J626" s="2"/>
      <c r="K626" s="2"/>
      <c r="L626" s="2" t="str">
        <f t="shared" si="50"/>
        <v>_</v>
      </c>
      <c r="M626" s="2"/>
      <c r="N626" s="2">
        <f>IF(ISBLANK(Table2[[#This Row],[ActualResult]]), 0, 1)</f>
        <v>0</v>
      </c>
      <c r="O626" s="2" t="str">
        <f>IF(ISBLANK(Table2[[#This Row],[ActualResult]]), "_", IF(Table2[[#This Row],[ActualWinner]]=Table2[[#This Row],[PredictedWinner]], "Y", "N"))</f>
        <v>_</v>
      </c>
      <c r="P6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6" s="2"/>
      <c r="S626" s="2" t="str">
        <f t="shared" si="51"/>
        <v>_</v>
      </c>
      <c r="T6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6" s="2">
        <f>IF(Table2[[#This Row],[InterConf]]=1,IF(Table2[[#This Row],[InterDiv]]=0, 1, 0), 0)</f>
        <v>0</v>
      </c>
      <c r="W6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6" s="2"/>
      <c r="Y626" s="2"/>
      <c r="Z626" s="145">
        <f>IF(AND(Table2[[#This Row],[GameIsOver]]=1,Table2[[#This Row],[ActualHomeScore]]*Table2[[#This Row],[ActualAwayScore]]=0), 1,0)</f>
        <v>0</v>
      </c>
      <c r="AA6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6" s="2">
        <f>Table2[[#This Row],[ActualAwayScore]]-Table2[[#This Row],[PredictedAwayScore]]</f>
        <v>0</v>
      </c>
      <c r="AG626" s="2">
        <f>Table2[[#This Row],[ActualHomeScore]]-Table2[[#This Row],[PredictedHomeScore]]</f>
        <v>0</v>
      </c>
      <c r="AH626" s="2">
        <f t="shared" si="52"/>
        <v>0</v>
      </c>
      <c r="AI626" s="2">
        <f t="shared" si="53"/>
        <v>0</v>
      </c>
      <c r="AJ626" s="2"/>
      <c r="AK626" s="3"/>
      <c r="AL626" s="2">
        <f>IF(Table2[[#This Row],[GameIsOver]]=0,0,IF(Table2[[#This Row],[ActualWinner]]=Table2[[#This Row],[AwayTeam]], 1, 0))</f>
        <v>0</v>
      </c>
      <c r="AM626" s="2">
        <f>IF(Table2[[#This Row],[GameIsOver]]=0,0,IF(Table2[[#This Row],[ActualWinner]]=Table2[[#This Row],[HomeTeam]], 1, 0))</f>
        <v>0</v>
      </c>
      <c r="AN6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6" s="2" t="str">
        <f>INDEX(Sheet5!$B$2:$AG$33, MATCH(Table2[[#This Row],[AwayTeam]],Sheet5!$A$2:$A$33, 0), MATCH(Table2[[#This Row],[HomeTeam]],Sheet5!$A$2:$A$33, 0))</f>
        <v>0-0-0</v>
      </c>
      <c r="AP626" s="2" t="str">
        <f>INDEX(Sheet5!$B$2:$AG$33, MATCH(Table2[[#This Row],[HomeTeam]],Sheet5!$A$2:$A$33, 0), MATCH(Table2[[#This Row],[AwayTeam]],Sheet5!$A$2:$A$33, 0))</f>
        <v>0-0-0</v>
      </c>
      <c r="AQ626" s="2">
        <f>IF(Table2[[#This Row],[GameHasShutOut]], 1, 0)</f>
        <v>0</v>
      </c>
      <c r="AR626" s="2">
        <f>IF(Table2[[#This Row],[ActualAwayScore]] + Table2[[#This Row],[ActualHomeScore]] &gt;= 10, 1, 0)</f>
        <v>0</v>
      </c>
      <c r="AS626" s="2">
        <f>IF(ABS(Table2[[#This Row],[ActualAwayScore]]-Table2[[#This Row],[ActualHomeScore]])&gt;=5, 1, 0)</f>
        <v>0</v>
      </c>
      <c r="AT626" s="2">
        <f>IF(Table2[[#This Row],[ActualAwayScore]] + Table2[[#This Row],[ActualHomeScore]] &lt;= 3, 1, 0)</f>
        <v>1</v>
      </c>
      <c r="AU626" s="2"/>
      <c r="AV626" s="2"/>
    </row>
    <row r="627" spans="1:48" x14ac:dyDescent="0.25">
      <c r="A627" s="3"/>
      <c r="B627" s="3">
        <v>46022</v>
      </c>
      <c r="C627" s="5">
        <v>2025020625</v>
      </c>
      <c r="D627" s="2" t="s">
        <v>36</v>
      </c>
      <c r="E627" s="2" t="s">
        <v>37</v>
      </c>
      <c r="F627" s="2"/>
      <c r="G627" s="2"/>
      <c r="H627" s="2" t="str">
        <f t="shared" si="49"/>
        <v>_</v>
      </c>
      <c r="I627" s="2"/>
      <c r="J627" s="2"/>
      <c r="K627" s="2"/>
      <c r="L627" s="2" t="str">
        <f t="shared" si="50"/>
        <v>_</v>
      </c>
      <c r="M627" s="2"/>
      <c r="N627" s="2">
        <f>IF(ISBLANK(Table2[[#This Row],[ActualResult]]), 0, 1)</f>
        <v>0</v>
      </c>
      <c r="O627" s="2" t="str">
        <f>IF(ISBLANK(Table2[[#This Row],[ActualResult]]), "_", IF(Table2[[#This Row],[ActualWinner]]=Table2[[#This Row],[PredictedWinner]], "Y", "N"))</f>
        <v>_</v>
      </c>
      <c r="P6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7" s="2"/>
      <c r="S627" s="2" t="str">
        <f t="shared" si="51"/>
        <v>_</v>
      </c>
      <c r="T6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7" s="2">
        <f>IF(Table2[[#This Row],[InterConf]]=1,IF(Table2[[#This Row],[InterDiv]]=0, 1, 0), 0)</f>
        <v>1</v>
      </c>
      <c r="W6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7" s="2"/>
      <c r="Y627" s="2"/>
      <c r="Z627" s="145">
        <f>IF(AND(Table2[[#This Row],[GameIsOver]]=1,Table2[[#This Row],[ActualHomeScore]]*Table2[[#This Row],[ActualAwayScore]]=0), 1,0)</f>
        <v>0</v>
      </c>
      <c r="AA6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7" s="2">
        <f>Table2[[#This Row],[ActualAwayScore]]-Table2[[#This Row],[PredictedAwayScore]]</f>
        <v>0</v>
      </c>
      <c r="AG627" s="2">
        <f>Table2[[#This Row],[ActualHomeScore]]-Table2[[#This Row],[PredictedHomeScore]]</f>
        <v>0</v>
      </c>
      <c r="AH627" s="2">
        <f t="shared" si="52"/>
        <v>0</v>
      </c>
      <c r="AI627" s="2">
        <f t="shared" si="53"/>
        <v>0</v>
      </c>
      <c r="AJ627" s="2"/>
      <c r="AK627" s="3"/>
      <c r="AL627" s="2">
        <f>IF(Table2[[#This Row],[GameIsOver]]=0,0,IF(Table2[[#This Row],[ActualWinner]]=Table2[[#This Row],[AwayTeam]], 1, 0))</f>
        <v>0</v>
      </c>
      <c r="AM627" s="2">
        <f>IF(Table2[[#This Row],[GameIsOver]]=0,0,IF(Table2[[#This Row],[ActualWinner]]=Table2[[#This Row],[HomeTeam]], 1, 0))</f>
        <v>0</v>
      </c>
      <c r="AN6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7" s="2" t="str">
        <f>INDEX(Sheet5!$B$2:$AG$33, MATCH(Table2[[#This Row],[AwayTeam]],Sheet5!$A$2:$A$33, 0), MATCH(Table2[[#This Row],[HomeTeam]],Sheet5!$A$2:$A$33, 0))</f>
        <v>0-0-0</v>
      </c>
      <c r="AP627" s="2" t="str">
        <f>INDEX(Sheet5!$B$2:$AG$33, MATCH(Table2[[#This Row],[HomeTeam]],Sheet5!$A$2:$A$33, 0), MATCH(Table2[[#This Row],[AwayTeam]],Sheet5!$A$2:$A$33, 0))</f>
        <v>0-0-0</v>
      </c>
      <c r="AQ627" s="2">
        <f>IF(Table2[[#This Row],[GameHasShutOut]], 1, 0)</f>
        <v>0</v>
      </c>
      <c r="AR627" s="2">
        <f>IF(Table2[[#This Row],[ActualAwayScore]] + Table2[[#This Row],[ActualHomeScore]] &gt;= 10, 1, 0)</f>
        <v>0</v>
      </c>
      <c r="AS627" s="2">
        <f>IF(ABS(Table2[[#This Row],[ActualAwayScore]]-Table2[[#This Row],[ActualHomeScore]])&gt;=5, 1, 0)</f>
        <v>0</v>
      </c>
      <c r="AT627" s="2">
        <f>IF(Table2[[#This Row],[ActualAwayScore]] + Table2[[#This Row],[ActualHomeScore]] &lt;= 3, 1, 0)</f>
        <v>1</v>
      </c>
      <c r="AU627" s="2"/>
      <c r="AV627" s="2"/>
    </row>
    <row r="628" spans="1:48" x14ac:dyDescent="0.25">
      <c r="A628" s="3"/>
      <c r="B628" s="3">
        <v>46022</v>
      </c>
      <c r="C628" s="5">
        <v>2025020626</v>
      </c>
      <c r="D628" s="2" t="s">
        <v>21</v>
      </c>
      <c r="E628" s="2" t="s">
        <v>30</v>
      </c>
      <c r="F628" s="2"/>
      <c r="G628" s="2"/>
      <c r="H628" s="2" t="str">
        <f t="shared" si="49"/>
        <v>_</v>
      </c>
      <c r="I628" s="2"/>
      <c r="J628" s="2"/>
      <c r="K628" s="2"/>
      <c r="L628" s="2" t="str">
        <f t="shared" si="50"/>
        <v>_</v>
      </c>
      <c r="M628" s="2"/>
      <c r="N628" s="2">
        <f>IF(ISBLANK(Table2[[#This Row],[ActualResult]]), 0, 1)</f>
        <v>0</v>
      </c>
      <c r="O628" s="2" t="str">
        <f>IF(ISBLANK(Table2[[#This Row],[ActualResult]]), "_", IF(Table2[[#This Row],[ActualWinner]]=Table2[[#This Row],[PredictedWinner]], "Y", "N"))</f>
        <v>_</v>
      </c>
      <c r="P6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8" s="2"/>
      <c r="S628" s="2" t="str">
        <f t="shared" si="51"/>
        <v>_</v>
      </c>
      <c r="T6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8" s="2">
        <f>IF(Table2[[#This Row],[InterConf]]=1,IF(Table2[[#This Row],[InterDiv]]=0, 1, 0), 0)</f>
        <v>0</v>
      </c>
      <c r="W6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8" s="2"/>
      <c r="Y628" s="2"/>
      <c r="Z628" s="145">
        <f>IF(AND(Table2[[#This Row],[GameIsOver]]=1,Table2[[#This Row],[ActualHomeScore]]*Table2[[#This Row],[ActualAwayScore]]=0), 1,0)</f>
        <v>0</v>
      </c>
      <c r="AA6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8" s="2">
        <f>Table2[[#This Row],[ActualAwayScore]]-Table2[[#This Row],[PredictedAwayScore]]</f>
        <v>0</v>
      </c>
      <c r="AG628" s="2">
        <f>Table2[[#This Row],[ActualHomeScore]]-Table2[[#This Row],[PredictedHomeScore]]</f>
        <v>0</v>
      </c>
      <c r="AH628" s="2">
        <f t="shared" si="52"/>
        <v>0</v>
      </c>
      <c r="AI628" s="2">
        <f t="shared" si="53"/>
        <v>0</v>
      </c>
      <c r="AJ628" s="2"/>
      <c r="AK628" s="3"/>
      <c r="AL628" s="2">
        <f>IF(Table2[[#This Row],[GameIsOver]]=0,0,IF(Table2[[#This Row],[ActualWinner]]=Table2[[#This Row],[AwayTeam]], 1, 0))</f>
        <v>0</v>
      </c>
      <c r="AM628" s="2">
        <f>IF(Table2[[#This Row],[GameIsOver]]=0,0,IF(Table2[[#This Row],[ActualWinner]]=Table2[[#This Row],[HomeTeam]], 1, 0))</f>
        <v>0</v>
      </c>
      <c r="AN6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8" s="2" t="str">
        <f>INDEX(Sheet5!$B$2:$AG$33, MATCH(Table2[[#This Row],[AwayTeam]],Sheet5!$A$2:$A$33, 0), MATCH(Table2[[#This Row],[HomeTeam]],Sheet5!$A$2:$A$33, 0))</f>
        <v>0-0-0</v>
      </c>
      <c r="AP628" s="2" t="str">
        <f>INDEX(Sheet5!$B$2:$AG$33, MATCH(Table2[[#This Row],[HomeTeam]],Sheet5!$A$2:$A$33, 0), MATCH(Table2[[#This Row],[AwayTeam]],Sheet5!$A$2:$A$33, 0))</f>
        <v>0-0-0</v>
      </c>
      <c r="AQ628" s="2">
        <f>IF(Table2[[#This Row],[GameHasShutOut]], 1, 0)</f>
        <v>0</v>
      </c>
      <c r="AR628" s="2">
        <f>IF(Table2[[#This Row],[ActualAwayScore]] + Table2[[#This Row],[ActualHomeScore]] &gt;= 10, 1, 0)</f>
        <v>0</v>
      </c>
      <c r="AS628" s="2">
        <f>IF(ABS(Table2[[#This Row],[ActualAwayScore]]-Table2[[#This Row],[ActualHomeScore]])&gt;=5, 1, 0)</f>
        <v>0</v>
      </c>
      <c r="AT628" s="2">
        <f>IF(Table2[[#This Row],[ActualAwayScore]] + Table2[[#This Row],[ActualHomeScore]] &lt;= 3, 1, 0)</f>
        <v>1</v>
      </c>
      <c r="AU628" s="2"/>
      <c r="AV628" s="2"/>
    </row>
    <row r="629" spans="1:48" x14ac:dyDescent="0.25">
      <c r="A629" s="3"/>
      <c r="B629" s="3">
        <v>46023</v>
      </c>
      <c r="C629" s="5">
        <v>2025020627</v>
      </c>
      <c r="D629" s="2" t="s">
        <v>31</v>
      </c>
      <c r="E629" s="2" t="s">
        <v>35</v>
      </c>
      <c r="F629" s="2"/>
      <c r="G629" s="2"/>
      <c r="H629" s="2" t="str">
        <f t="shared" si="49"/>
        <v>_</v>
      </c>
      <c r="I629" s="2"/>
      <c r="J629" s="2"/>
      <c r="K629" s="2"/>
      <c r="L629" s="2" t="str">
        <f t="shared" si="50"/>
        <v>_</v>
      </c>
      <c r="M629" s="2"/>
      <c r="N629" s="2">
        <f>IF(ISBLANK(Table2[[#This Row],[ActualResult]]), 0, 1)</f>
        <v>0</v>
      </c>
      <c r="O629" s="2" t="str">
        <f>IF(ISBLANK(Table2[[#This Row],[ActualResult]]), "_", IF(Table2[[#This Row],[ActualWinner]]=Table2[[#This Row],[PredictedWinner]], "Y", "N"))</f>
        <v>_</v>
      </c>
      <c r="P6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9" s="2"/>
      <c r="S629" s="2" t="str">
        <f t="shared" si="51"/>
        <v>_</v>
      </c>
      <c r="T6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9" s="2">
        <f>IF(Table2[[#This Row],[InterConf]]=1,IF(Table2[[#This Row],[InterDiv]]=0, 1, 0), 0)</f>
        <v>0</v>
      </c>
      <c r="W6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9" s="2"/>
      <c r="Y629" s="2"/>
      <c r="Z629" s="145">
        <f>IF(AND(Table2[[#This Row],[GameIsOver]]=1,Table2[[#This Row],[ActualHomeScore]]*Table2[[#This Row],[ActualAwayScore]]=0), 1,0)</f>
        <v>0</v>
      </c>
      <c r="AA6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29" s="2">
        <f>Table2[[#This Row],[ActualAwayScore]]-Table2[[#This Row],[PredictedAwayScore]]</f>
        <v>0</v>
      </c>
      <c r="AG629" s="2">
        <f>Table2[[#This Row],[ActualHomeScore]]-Table2[[#This Row],[PredictedHomeScore]]</f>
        <v>0</v>
      </c>
      <c r="AH629" s="2">
        <f t="shared" si="52"/>
        <v>0</v>
      </c>
      <c r="AI629" s="2">
        <f t="shared" si="53"/>
        <v>0</v>
      </c>
      <c r="AJ629" s="2"/>
      <c r="AK629" s="3"/>
      <c r="AL629" s="2">
        <f>IF(Table2[[#This Row],[GameIsOver]]=0,0,IF(Table2[[#This Row],[ActualWinner]]=Table2[[#This Row],[AwayTeam]], 1, 0))</f>
        <v>0</v>
      </c>
      <c r="AM629" s="2">
        <f>IF(Table2[[#This Row],[GameIsOver]]=0,0,IF(Table2[[#This Row],[ActualWinner]]=Table2[[#This Row],[HomeTeam]], 1, 0))</f>
        <v>0</v>
      </c>
      <c r="AN6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9" s="2" t="str">
        <f>INDEX(Sheet5!$B$2:$AG$33, MATCH(Table2[[#This Row],[AwayTeam]],Sheet5!$A$2:$A$33, 0), MATCH(Table2[[#This Row],[HomeTeam]],Sheet5!$A$2:$A$33, 0))</f>
        <v>1-0-0</v>
      </c>
      <c r="AP629" s="2" t="str">
        <f>INDEX(Sheet5!$B$2:$AG$33, MATCH(Table2[[#This Row],[HomeTeam]],Sheet5!$A$2:$A$33, 0), MATCH(Table2[[#This Row],[AwayTeam]],Sheet5!$A$2:$A$33, 0))</f>
        <v>0-1-0</v>
      </c>
      <c r="AQ629" s="2">
        <f>IF(Table2[[#This Row],[GameHasShutOut]], 1, 0)</f>
        <v>0</v>
      </c>
      <c r="AR629" s="2">
        <f>IF(Table2[[#This Row],[ActualAwayScore]] + Table2[[#This Row],[ActualHomeScore]] &gt;= 10, 1, 0)</f>
        <v>0</v>
      </c>
      <c r="AS629" s="2">
        <f>IF(ABS(Table2[[#This Row],[ActualAwayScore]]-Table2[[#This Row],[ActualHomeScore]])&gt;=5, 1, 0)</f>
        <v>0</v>
      </c>
      <c r="AT629" s="2">
        <f>IF(Table2[[#This Row],[ActualAwayScore]] + Table2[[#This Row],[ActualHomeScore]] &lt;= 3, 1, 0)</f>
        <v>1</v>
      </c>
      <c r="AU629" s="2"/>
      <c r="AV629" s="2"/>
    </row>
    <row r="630" spans="1:48" x14ac:dyDescent="0.25">
      <c r="A630" s="3"/>
      <c r="B630" s="3">
        <v>46023</v>
      </c>
      <c r="C630" s="5">
        <v>2025020628</v>
      </c>
      <c r="D630" s="2" t="s">
        <v>28</v>
      </c>
      <c r="E630" s="2" t="s">
        <v>33</v>
      </c>
      <c r="F630" s="2"/>
      <c r="G630" s="2"/>
      <c r="H630" s="2" t="str">
        <f t="shared" si="49"/>
        <v>_</v>
      </c>
      <c r="I630" s="2"/>
      <c r="J630" s="2"/>
      <c r="K630" s="2"/>
      <c r="L630" s="2" t="str">
        <f t="shared" si="50"/>
        <v>_</v>
      </c>
      <c r="M630" s="2"/>
      <c r="N630" s="2">
        <f>IF(ISBLANK(Table2[[#This Row],[ActualResult]]), 0, 1)</f>
        <v>0</v>
      </c>
      <c r="O630" s="2" t="str">
        <f>IF(ISBLANK(Table2[[#This Row],[ActualResult]]), "_", IF(Table2[[#This Row],[ActualWinner]]=Table2[[#This Row],[PredictedWinner]], "Y", "N"))</f>
        <v>_</v>
      </c>
      <c r="P6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0" s="2"/>
      <c r="S630" s="2" t="str">
        <f t="shared" si="51"/>
        <v>_</v>
      </c>
      <c r="T6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0" s="2">
        <f>IF(Table2[[#This Row],[InterConf]]=1,IF(Table2[[#This Row],[InterDiv]]=0, 1, 0), 0)</f>
        <v>0</v>
      </c>
      <c r="W6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0" s="2"/>
      <c r="Y630" s="2"/>
      <c r="Z630" s="145">
        <f>IF(AND(Table2[[#This Row],[GameIsOver]]=1,Table2[[#This Row],[ActualHomeScore]]*Table2[[#This Row],[ActualAwayScore]]=0), 1,0)</f>
        <v>0</v>
      </c>
      <c r="AA6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0" s="2">
        <f>Table2[[#This Row],[ActualAwayScore]]-Table2[[#This Row],[PredictedAwayScore]]</f>
        <v>0</v>
      </c>
      <c r="AG630" s="2">
        <f>Table2[[#This Row],[ActualHomeScore]]-Table2[[#This Row],[PredictedHomeScore]]</f>
        <v>0</v>
      </c>
      <c r="AH630" s="2">
        <f t="shared" si="52"/>
        <v>0</v>
      </c>
      <c r="AI630" s="2">
        <f t="shared" si="53"/>
        <v>0</v>
      </c>
      <c r="AJ630" s="2"/>
      <c r="AK630" s="3"/>
      <c r="AL630" s="2">
        <f>IF(Table2[[#This Row],[GameIsOver]]=0,0,IF(Table2[[#This Row],[ActualWinner]]=Table2[[#This Row],[AwayTeam]], 1, 0))</f>
        <v>0</v>
      </c>
      <c r="AM630" s="2">
        <f>IF(Table2[[#This Row],[GameIsOver]]=0,0,IF(Table2[[#This Row],[ActualWinner]]=Table2[[#This Row],[HomeTeam]], 1, 0))</f>
        <v>0</v>
      </c>
      <c r="AN6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0" s="2" t="str">
        <f>INDEX(Sheet5!$B$2:$AG$33, MATCH(Table2[[#This Row],[AwayTeam]],Sheet5!$A$2:$A$33, 0), MATCH(Table2[[#This Row],[HomeTeam]],Sheet5!$A$2:$A$33, 0))</f>
        <v>0-0-0</v>
      </c>
      <c r="AP630" s="2" t="str">
        <f>INDEX(Sheet5!$B$2:$AG$33, MATCH(Table2[[#This Row],[HomeTeam]],Sheet5!$A$2:$A$33, 0), MATCH(Table2[[#This Row],[AwayTeam]],Sheet5!$A$2:$A$33, 0))</f>
        <v>0-0-0</v>
      </c>
      <c r="AQ630" s="2">
        <f>IF(Table2[[#This Row],[GameHasShutOut]], 1, 0)</f>
        <v>0</v>
      </c>
      <c r="AR630" s="2">
        <f>IF(Table2[[#This Row],[ActualAwayScore]] + Table2[[#This Row],[ActualHomeScore]] &gt;= 10, 1, 0)</f>
        <v>0</v>
      </c>
      <c r="AS630" s="2">
        <f>IF(ABS(Table2[[#This Row],[ActualAwayScore]]-Table2[[#This Row],[ActualHomeScore]])&gt;=5, 1, 0)</f>
        <v>0</v>
      </c>
      <c r="AT630" s="2">
        <f>IF(Table2[[#This Row],[ActualAwayScore]] + Table2[[#This Row],[ActualHomeScore]] &lt;= 3, 1, 0)</f>
        <v>1</v>
      </c>
      <c r="AU630" s="2"/>
      <c r="AV630" s="2"/>
    </row>
    <row r="631" spans="1:48" x14ac:dyDescent="0.25">
      <c r="A631" s="3"/>
      <c r="B631" s="3">
        <v>46023</v>
      </c>
      <c r="C631" s="5">
        <v>2025020629</v>
      </c>
      <c r="D631" s="2" t="s">
        <v>12</v>
      </c>
      <c r="E631" s="2" t="s">
        <v>25</v>
      </c>
      <c r="F631" s="2"/>
      <c r="G631" s="2"/>
      <c r="H631" s="2" t="str">
        <f t="shared" si="49"/>
        <v>_</v>
      </c>
      <c r="I631" s="2"/>
      <c r="J631" s="2"/>
      <c r="K631" s="2"/>
      <c r="L631" s="2" t="str">
        <f t="shared" si="50"/>
        <v>_</v>
      </c>
      <c r="M631" s="2"/>
      <c r="N631" s="2">
        <f>IF(ISBLANK(Table2[[#This Row],[ActualResult]]), 0, 1)</f>
        <v>0</v>
      </c>
      <c r="O631" s="2" t="str">
        <f>IF(ISBLANK(Table2[[#This Row],[ActualResult]]), "_", IF(Table2[[#This Row],[ActualWinner]]=Table2[[#This Row],[PredictedWinner]], "Y", "N"))</f>
        <v>_</v>
      </c>
      <c r="P6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1" s="2"/>
      <c r="S631" s="2" t="str">
        <f t="shared" si="51"/>
        <v>_</v>
      </c>
      <c r="T6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31" s="2">
        <f>IF(Table2[[#This Row],[InterConf]]=1,IF(Table2[[#This Row],[InterDiv]]=0, 1, 0), 0)</f>
        <v>0</v>
      </c>
      <c r="W6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1" s="2"/>
      <c r="Y631" s="2"/>
      <c r="Z631" s="145">
        <f>IF(AND(Table2[[#This Row],[GameIsOver]]=1,Table2[[#This Row],[ActualHomeScore]]*Table2[[#This Row],[ActualAwayScore]]=0), 1,0)</f>
        <v>0</v>
      </c>
      <c r="AA6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1" s="2">
        <f>Table2[[#This Row],[ActualAwayScore]]-Table2[[#This Row],[PredictedAwayScore]]</f>
        <v>0</v>
      </c>
      <c r="AG631" s="2">
        <f>Table2[[#This Row],[ActualHomeScore]]-Table2[[#This Row],[PredictedHomeScore]]</f>
        <v>0</v>
      </c>
      <c r="AH631" s="2">
        <f t="shared" si="52"/>
        <v>0</v>
      </c>
      <c r="AI631" s="2">
        <f t="shared" si="53"/>
        <v>0</v>
      </c>
      <c r="AJ631" s="2"/>
      <c r="AK631" s="3"/>
      <c r="AL631" s="2">
        <f>IF(Table2[[#This Row],[GameIsOver]]=0,0,IF(Table2[[#This Row],[ActualWinner]]=Table2[[#This Row],[AwayTeam]], 1, 0))</f>
        <v>0</v>
      </c>
      <c r="AM631" s="2">
        <f>IF(Table2[[#This Row],[GameIsOver]]=0,0,IF(Table2[[#This Row],[ActualWinner]]=Table2[[#This Row],[HomeTeam]], 1, 0))</f>
        <v>0</v>
      </c>
      <c r="AN6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1" s="2" t="str">
        <f>INDEX(Sheet5!$B$2:$AG$33, MATCH(Table2[[#This Row],[AwayTeam]],Sheet5!$A$2:$A$33, 0), MATCH(Table2[[#This Row],[HomeTeam]],Sheet5!$A$2:$A$33, 0))</f>
        <v>0-0-0</v>
      </c>
      <c r="AP631" s="2" t="str">
        <f>INDEX(Sheet5!$B$2:$AG$33, MATCH(Table2[[#This Row],[HomeTeam]],Sheet5!$A$2:$A$33, 0), MATCH(Table2[[#This Row],[AwayTeam]],Sheet5!$A$2:$A$33, 0))</f>
        <v>0-0-0</v>
      </c>
      <c r="AQ631" s="2">
        <f>IF(Table2[[#This Row],[GameHasShutOut]], 1, 0)</f>
        <v>0</v>
      </c>
      <c r="AR631" s="2">
        <f>IF(Table2[[#This Row],[ActualAwayScore]] + Table2[[#This Row],[ActualHomeScore]] &gt;= 10, 1, 0)</f>
        <v>0</v>
      </c>
      <c r="AS631" s="2">
        <f>IF(ABS(Table2[[#This Row],[ActualAwayScore]]-Table2[[#This Row],[ActualHomeScore]])&gt;=5, 1, 0)</f>
        <v>0</v>
      </c>
      <c r="AT631" s="2">
        <f>IF(Table2[[#This Row],[ActualAwayScore]] + Table2[[#This Row],[ActualHomeScore]] &lt;= 3, 1, 0)</f>
        <v>1</v>
      </c>
      <c r="AU631" s="2"/>
      <c r="AV631" s="2"/>
    </row>
    <row r="632" spans="1:48" x14ac:dyDescent="0.25">
      <c r="A632" s="3"/>
      <c r="B632" s="3">
        <v>46023</v>
      </c>
      <c r="C632" s="5">
        <v>2025020630</v>
      </c>
      <c r="D632" s="2" t="s">
        <v>42</v>
      </c>
      <c r="E632" s="2" t="s">
        <v>23</v>
      </c>
      <c r="F632" s="2"/>
      <c r="G632" s="2"/>
      <c r="H632" s="2" t="str">
        <f t="shared" si="49"/>
        <v>_</v>
      </c>
      <c r="I632" s="2"/>
      <c r="J632" s="2"/>
      <c r="K632" s="2"/>
      <c r="L632" s="2" t="str">
        <f t="shared" si="50"/>
        <v>_</v>
      </c>
      <c r="M632" s="2"/>
      <c r="N632" s="2">
        <f>IF(ISBLANK(Table2[[#This Row],[ActualResult]]), 0, 1)</f>
        <v>0</v>
      </c>
      <c r="O632" s="2" t="str">
        <f>IF(ISBLANK(Table2[[#This Row],[ActualResult]]), "_", IF(Table2[[#This Row],[ActualWinner]]=Table2[[#This Row],[PredictedWinner]], "Y", "N"))</f>
        <v>_</v>
      </c>
      <c r="P6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2" s="2"/>
      <c r="S632" s="2" t="str">
        <f t="shared" si="51"/>
        <v>_</v>
      </c>
      <c r="T6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2" s="2">
        <f>IF(Table2[[#This Row],[InterConf]]=1,IF(Table2[[#This Row],[InterDiv]]=0, 1, 0), 0)</f>
        <v>0</v>
      </c>
      <c r="W6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2" s="2"/>
      <c r="Y632" s="2"/>
      <c r="Z632" s="145">
        <f>IF(AND(Table2[[#This Row],[GameIsOver]]=1,Table2[[#This Row],[ActualHomeScore]]*Table2[[#This Row],[ActualAwayScore]]=0), 1,0)</f>
        <v>0</v>
      </c>
      <c r="AA6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2" s="2">
        <f>Table2[[#This Row],[ActualAwayScore]]-Table2[[#This Row],[PredictedAwayScore]]</f>
        <v>0</v>
      </c>
      <c r="AG632" s="2">
        <f>Table2[[#This Row],[ActualHomeScore]]-Table2[[#This Row],[PredictedHomeScore]]</f>
        <v>0</v>
      </c>
      <c r="AH632" s="2">
        <f t="shared" si="52"/>
        <v>0</v>
      </c>
      <c r="AI632" s="2">
        <f t="shared" si="53"/>
        <v>0</v>
      </c>
      <c r="AJ632" s="2"/>
      <c r="AK632" s="3"/>
      <c r="AL632" s="2">
        <f>IF(Table2[[#This Row],[GameIsOver]]=0,0,IF(Table2[[#This Row],[ActualWinner]]=Table2[[#This Row],[AwayTeam]], 1, 0))</f>
        <v>0</v>
      </c>
      <c r="AM632" s="2">
        <f>IF(Table2[[#This Row],[GameIsOver]]=0,0,IF(Table2[[#This Row],[ActualWinner]]=Table2[[#This Row],[HomeTeam]], 1, 0))</f>
        <v>0</v>
      </c>
      <c r="AN6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2" s="2" t="str">
        <f>INDEX(Sheet5!$B$2:$AG$33, MATCH(Table2[[#This Row],[AwayTeam]],Sheet5!$A$2:$A$33, 0), MATCH(Table2[[#This Row],[HomeTeam]],Sheet5!$A$2:$A$33, 0))</f>
        <v>0-0-0</v>
      </c>
      <c r="AP632" s="2" t="str">
        <f>INDEX(Sheet5!$B$2:$AG$33, MATCH(Table2[[#This Row],[HomeTeam]],Sheet5!$A$2:$A$33, 0), MATCH(Table2[[#This Row],[AwayTeam]],Sheet5!$A$2:$A$33, 0))</f>
        <v>0-0-0</v>
      </c>
      <c r="AQ632" s="2">
        <f>IF(Table2[[#This Row],[GameHasShutOut]], 1, 0)</f>
        <v>0</v>
      </c>
      <c r="AR632" s="2">
        <f>IF(Table2[[#This Row],[ActualAwayScore]] + Table2[[#This Row],[ActualHomeScore]] &gt;= 10, 1, 0)</f>
        <v>0</v>
      </c>
      <c r="AS632" s="2">
        <f>IF(ABS(Table2[[#This Row],[ActualAwayScore]]-Table2[[#This Row],[ActualHomeScore]])&gt;=5, 1, 0)</f>
        <v>0</v>
      </c>
      <c r="AT632" s="2">
        <f>IF(Table2[[#This Row],[ActualAwayScore]] + Table2[[#This Row],[ActualHomeScore]] &lt;= 3, 1, 0)</f>
        <v>1</v>
      </c>
      <c r="AU632" s="2"/>
      <c r="AV632" s="2"/>
    </row>
    <row r="633" spans="1:48" x14ac:dyDescent="0.25">
      <c r="A633" s="3"/>
      <c r="B633" s="3">
        <v>46023</v>
      </c>
      <c r="C633" s="5">
        <v>2025020631</v>
      </c>
      <c r="D633" s="2" t="s">
        <v>15</v>
      </c>
      <c r="E633" s="2" t="s">
        <v>22</v>
      </c>
      <c r="F633" s="2"/>
      <c r="G633" s="2"/>
      <c r="H633" s="2" t="str">
        <f t="shared" si="49"/>
        <v>_</v>
      </c>
      <c r="I633" s="2"/>
      <c r="J633" s="2"/>
      <c r="K633" s="2"/>
      <c r="L633" s="2" t="str">
        <f t="shared" si="50"/>
        <v>_</v>
      </c>
      <c r="M633" s="2"/>
      <c r="N633" s="2">
        <f>IF(ISBLANK(Table2[[#This Row],[ActualResult]]), 0, 1)</f>
        <v>0</v>
      </c>
      <c r="O633" s="2" t="str">
        <f>IF(ISBLANK(Table2[[#This Row],[ActualResult]]), "_", IF(Table2[[#This Row],[ActualWinner]]=Table2[[#This Row],[PredictedWinner]], "Y", "N"))</f>
        <v>_</v>
      </c>
      <c r="P6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3" s="2"/>
      <c r="S633" s="2" t="str">
        <f t="shared" si="51"/>
        <v>_</v>
      </c>
      <c r="T6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3" s="2">
        <f>IF(Table2[[#This Row],[InterConf]]=1,IF(Table2[[#This Row],[InterDiv]]=0, 1, 0), 0)</f>
        <v>0</v>
      </c>
      <c r="W6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3" s="2"/>
      <c r="Y633" s="2"/>
      <c r="Z633" s="145">
        <f>IF(AND(Table2[[#This Row],[GameIsOver]]=1,Table2[[#This Row],[ActualHomeScore]]*Table2[[#This Row],[ActualAwayScore]]=0), 1,0)</f>
        <v>0</v>
      </c>
      <c r="AA6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3" s="2">
        <f>Table2[[#This Row],[ActualAwayScore]]-Table2[[#This Row],[PredictedAwayScore]]</f>
        <v>0</v>
      </c>
      <c r="AG633" s="2">
        <f>Table2[[#This Row],[ActualHomeScore]]-Table2[[#This Row],[PredictedHomeScore]]</f>
        <v>0</v>
      </c>
      <c r="AH633" s="2">
        <f t="shared" si="52"/>
        <v>0</v>
      </c>
      <c r="AI633" s="2">
        <f t="shared" si="53"/>
        <v>0</v>
      </c>
      <c r="AJ633" s="2"/>
      <c r="AK633" s="3"/>
      <c r="AL633" s="2">
        <f>IF(Table2[[#This Row],[GameIsOver]]=0,0,IF(Table2[[#This Row],[ActualWinner]]=Table2[[#This Row],[AwayTeam]], 1, 0))</f>
        <v>0</v>
      </c>
      <c r="AM633" s="2">
        <f>IF(Table2[[#This Row],[GameIsOver]]=0,0,IF(Table2[[#This Row],[ActualWinner]]=Table2[[#This Row],[HomeTeam]], 1, 0))</f>
        <v>0</v>
      </c>
      <c r="AN6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3" s="2" t="str">
        <f>INDEX(Sheet5!$B$2:$AG$33, MATCH(Table2[[#This Row],[AwayTeam]],Sheet5!$A$2:$A$33, 0), MATCH(Table2[[#This Row],[HomeTeam]],Sheet5!$A$2:$A$33, 0))</f>
        <v>0-0-0</v>
      </c>
      <c r="AP633" s="2" t="str">
        <f>INDEX(Sheet5!$B$2:$AG$33, MATCH(Table2[[#This Row],[HomeTeam]],Sheet5!$A$2:$A$33, 0), MATCH(Table2[[#This Row],[AwayTeam]],Sheet5!$A$2:$A$33, 0))</f>
        <v>0-0-0</v>
      </c>
      <c r="AQ633" s="2">
        <f>IF(Table2[[#This Row],[GameHasShutOut]], 1, 0)</f>
        <v>0</v>
      </c>
      <c r="AR633" s="2">
        <f>IF(Table2[[#This Row],[ActualAwayScore]] + Table2[[#This Row],[ActualHomeScore]] &gt;= 10, 1, 0)</f>
        <v>0</v>
      </c>
      <c r="AS633" s="2">
        <f>IF(ABS(Table2[[#This Row],[ActualAwayScore]]-Table2[[#This Row],[ActualHomeScore]])&gt;=5, 1, 0)</f>
        <v>0</v>
      </c>
      <c r="AT633" s="2">
        <f>IF(Table2[[#This Row],[ActualAwayScore]] + Table2[[#This Row],[ActualHomeScore]] &lt;= 3, 1, 0)</f>
        <v>1</v>
      </c>
      <c r="AU633" s="2"/>
      <c r="AV633" s="2"/>
    </row>
    <row r="634" spans="1:48" x14ac:dyDescent="0.25">
      <c r="A634" s="3"/>
      <c r="B634" s="3">
        <v>46023</v>
      </c>
      <c r="C634" s="5">
        <v>2025020632</v>
      </c>
      <c r="D634" s="2" t="s">
        <v>43</v>
      </c>
      <c r="E634" s="2" t="s">
        <v>29</v>
      </c>
      <c r="F634" s="2"/>
      <c r="G634" s="2"/>
      <c r="H634" s="2" t="str">
        <f t="shared" si="49"/>
        <v>_</v>
      </c>
      <c r="I634" s="2"/>
      <c r="J634" s="2"/>
      <c r="K634" s="2"/>
      <c r="L634" s="2" t="str">
        <f t="shared" si="50"/>
        <v>_</v>
      </c>
      <c r="M634" s="2"/>
      <c r="N634" s="2">
        <f>IF(ISBLANK(Table2[[#This Row],[ActualResult]]), 0, 1)</f>
        <v>0</v>
      </c>
      <c r="O634" s="2" t="str">
        <f>IF(ISBLANK(Table2[[#This Row],[ActualResult]]), "_", IF(Table2[[#This Row],[ActualWinner]]=Table2[[#This Row],[PredictedWinner]], "Y", "N"))</f>
        <v>_</v>
      </c>
      <c r="P6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4" s="2"/>
      <c r="S634" s="2" t="str">
        <f t="shared" si="51"/>
        <v>_</v>
      </c>
      <c r="T6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4" s="2">
        <f>IF(Table2[[#This Row],[InterConf]]=1,IF(Table2[[#This Row],[InterDiv]]=0, 1, 0), 0)</f>
        <v>1</v>
      </c>
      <c r="W6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4" s="2"/>
      <c r="Y634" s="2"/>
      <c r="Z634" s="145">
        <f>IF(AND(Table2[[#This Row],[GameIsOver]]=1,Table2[[#This Row],[ActualHomeScore]]*Table2[[#This Row],[ActualAwayScore]]=0), 1,0)</f>
        <v>0</v>
      </c>
      <c r="AA6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4" s="2">
        <f>Table2[[#This Row],[ActualAwayScore]]-Table2[[#This Row],[PredictedAwayScore]]</f>
        <v>0</v>
      </c>
      <c r="AG634" s="2">
        <f>Table2[[#This Row],[ActualHomeScore]]-Table2[[#This Row],[PredictedHomeScore]]</f>
        <v>0</v>
      </c>
      <c r="AH634" s="2">
        <f t="shared" si="52"/>
        <v>0</v>
      </c>
      <c r="AI634" s="2">
        <f t="shared" si="53"/>
        <v>0</v>
      </c>
      <c r="AJ634" s="2"/>
      <c r="AK634" s="3"/>
      <c r="AL634" s="2">
        <f>IF(Table2[[#This Row],[GameIsOver]]=0,0,IF(Table2[[#This Row],[ActualWinner]]=Table2[[#This Row],[AwayTeam]], 1, 0))</f>
        <v>0</v>
      </c>
      <c r="AM634" s="2">
        <f>IF(Table2[[#This Row],[GameIsOver]]=0,0,IF(Table2[[#This Row],[ActualWinner]]=Table2[[#This Row],[HomeTeam]], 1, 0))</f>
        <v>0</v>
      </c>
      <c r="AN6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4" s="2" t="str">
        <f>INDEX(Sheet5!$B$2:$AG$33, MATCH(Table2[[#This Row],[AwayTeam]],Sheet5!$A$2:$A$33, 0), MATCH(Table2[[#This Row],[HomeTeam]],Sheet5!$A$2:$A$33, 0))</f>
        <v>0-0-0</v>
      </c>
      <c r="AP634" s="2" t="str">
        <f>INDEX(Sheet5!$B$2:$AG$33, MATCH(Table2[[#This Row],[HomeTeam]],Sheet5!$A$2:$A$33, 0), MATCH(Table2[[#This Row],[AwayTeam]],Sheet5!$A$2:$A$33, 0))</f>
        <v>0-0-0</v>
      </c>
      <c r="AQ634" s="2">
        <f>IF(Table2[[#This Row],[GameHasShutOut]], 1, 0)</f>
        <v>0</v>
      </c>
      <c r="AR634" s="2">
        <f>IF(Table2[[#This Row],[ActualAwayScore]] + Table2[[#This Row],[ActualHomeScore]] &gt;= 10, 1, 0)</f>
        <v>0</v>
      </c>
      <c r="AS634" s="2">
        <f>IF(ABS(Table2[[#This Row],[ActualAwayScore]]-Table2[[#This Row],[ActualHomeScore]])&gt;=5, 1, 0)</f>
        <v>0</v>
      </c>
      <c r="AT634" s="2">
        <f>IF(Table2[[#This Row],[ActualAwayScore]] + Table2[[#This Row],[ActualHomeScore]] &lt;= 3, 1, 0)</f>
        <v>1</v>
      </c>
      <c r="AU634" s="2"/>
      <c r="AV634" s="2"/>
    </row>
    <row r="635" spans="1:48" x14ac:dyDescent="0.25">
      <c r="A635" s="3"/>
      <c r="B635" s="3">
        <v>46023</v>
      </c>
      <c r="C635" s="5">
        <v>2025020633</v>
      </c>
      <c r="D635" s="2" t="s">
        <v>14</v>
      </c>
      <c r="E635" s="2" t="s">
        <v>32</v>
      </c>
      <c r="F635" s="2"/>
      <c r="G635" s="2"/>
      <c r="H635" s="2" t="str">
        <f t="shared" si="49"/>
        <v>_</v>
      </c>
      <c r="I635" s="2"/>
      <c r="J635" s="2"/>
      <c r="K635" s="2"/>
      <c r="L635" s="2" t="str">
        <f t="shared" si="50"/>
        <v>_</v>
      </c>
      <c r="M635" s="2"/>
      <c r="N635" s="2">
        <f>IF(ISBLANK(Table2[[#This Row],[ActualResult]]), 0, 1)</f>
        <v>0</v>
      </c>
      <c r="O635" s="2" t="str">
        <f>IF(ISBLANK(Table2[[#This Row],[ActualResult]]), "_", IF(Table2[[#This Row],[ActualWinner]]=Table2[[#This Row],[PredictedWinner]], "Y", "N"))</f>
        <v>_</v>
      </c>
      <c r="P6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5" s="2"/>
      <c r="S635" s="2" t="str">
        <f t="shared" si="51"/>
        <v>_</v>
      </c>
      <c r="T6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5" s="2">
        <f>IF(Table2[[#This Row],[InterConf]]=1,IF(Table2[[#This Row],[InterDiv]]=0, 1, 0), 0)</f>
        <v>0</v>
      </c>
      <c r="W6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5" s="2"/>
      <c r="Y635" s="2"/>
      <c r="Z635" s="145">
        <f>IF(AND(Table2[[#This Row],[GameIsOver]]=1,Table2[[#This Row],[ActualHomeScore]]*Table2[[#This Row],[ActualAwayScore]]=0), 1,0)</f>
        <v>0</v>
      </c>
      <c r="AA6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5" s="2">
        <f>Table2[[#This Row],[ActualAwayScore]]-Table2[[#This Row],[PredictedAwayScore]]</f>
        <v>0</v>
      </c>
      <c r="AG635" s="2">
        <f>Table2[[#This Row],[ActualHomeScore]]-Table2[[#This Row],[PredictedHomeScore]]</f>
        <v>0</v>
      </c>
      <c r="AH635" s="2">
        <f t="shared" si="52"/>
        <v>0</v>
      </c>
      <c r="AI635" s="2">
        <f t="shared" si="53"/>
        <v>0</v>
      </c>
      <c r="AJ635" s="2"/>
      <c r="AK635" s="3"/>
      <c r="AL635" s="2">
        <f>IF(Table2[[#This Row],[GameIsOver]]=0,0,IF(Table2[[#This Row],[ActualWinner]]=Table2[[#This Row],[AwayTeam]], 1, 0))</f>
        <v>0</v>
      </c>
      <c r="AM635" s="2">
        <f>IF(Table2[[#This Row],[GameIsOver]]=0,0,IF(Table2[[#This Row],[ActualWinner]]=Table2[[#This Row],[HomeTeam]], 1, 0))</f>
        <v>0</v>
      </c>
      <c r="AN6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5" s="2" t="str">
        <f>INDEX(Sheet5!$B$2:$AG$33, MATCH(Table2[[#This Row],[AwayTeam]],Sheet5!$A$2:$A$33, 0), MATCH(Table2[[#This Row],[HomeTeam]],Sheet5!$A$2:$A$33, 0))</f>
        <v>0-0-0</v>
      </c>
      <c r="AP635" s="2" t="str">
        <f>INDEX(Sheet5!$B$2:$AG$33, MATCH(Table2[[#This Row],[HomeTeam]],Sheet5!$A$2:$A$33, 0), MATCH(Table2[[#This Row],[AwayTeam]],Sheet5!$A$2:$A$33, 0))</f>
        <v>0-0-0</v>
      </c>
      <c r="AQ635" s="2">
        <f>IF(Table2[[#This Row],[GameHasShutOut]], 1, 0)</f>
        <v>0</v>
      </c>
      <c r="AR635" s="2">
        <f>IF(Table2[[#This Row],[ActualAwayScore]] + Table2[[#This Row],[ActualHomeScore]] &gt;= 10, 1, 0)</f>
        <v>0</v>
      </c>
      <c r="AS635" s="2">
        <f>IF(ABS(Table2[[#This Row],[ActualAwayScore]]-Table2[[#This Row],[ActualHomeScore]])&gt;=5, 1, 0)</f>
        <v>0</v>
      </c>
      <c r="AT635" s="2">
        <f>IF(Table2[[#This Row],[ActualAwayScore]] + Table2[[#This Row],[ActualHomeScore]] &lt;= 3, 1, 0)</f>
        <v>1</v>
      </c>
      <c r="AU635" s="2"/>
      <c r="AV635" s="2"/>
    </row>
    <row r="636" spans="1:48" x14ac:dyDescent="0.25">
      <c r="A636" s="3"/>
      <c r="B636" s="3">
        <v>46024</v>
      </c>
      <c r="C636" s="5">
        <v>2025020634</v>
      </c>
      <c r="D636" s="2" t="s">
        <v>21</v>
      </c>
      <c r="E636" s="2" t="s">
        <v>17</v>
      </c>
      <c r="F636" s="2"/>
      <c r="G636" s="2"/>
      <c r="H636" s="2" t="str">
        <f t="shared" si="49"/>
        <v>_</v>
      </c>
      <c r="I636" s="2"/>
      <c r="J636" s="2"/>
      <c r="K636" s="2"/>
      <c r="L636" s="2" t="str">
        <f t="shared" si="50"/>
        <v>_</v>
      </c>
      <c r="M636" s="2"/>
      <c r="N636" s="2">
        <f>IF(ISBLANK(Table2[[#This Row],[ActualResult]]), 0, 1)</f>
        <v>0</v>
      </c>
      <c r="O636" s="2" t="str">
        <f>IF(ISBLANK(Table2[[#This Row],[ActualResult]]), "_", IF(Table2[[#This Row],[ActualWinner]]=Table2[[#This Row],[PredictedWinner]], "Y", "N"))</f>
        <v>_</v>
      </c>
      <c r="P6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6" s="2"/>
      <c r="S636" s="2" t="str">
        <f t="shared" si="51"/>
        <v>_</v>
      </c>
      <c r="T6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6" s="2">
        <f>IF(Table2[[#This Row],[InterConf]]=1,IF(Table2[[#This Row],[InterDiv]]=0, 1, 0), 0)</f>
        <v>0</v>
      </c>
      <c r="W6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6" s="2"/>
      <c r="Y636" s="2"/>
      <c r="Z636" s="145">
        <f>IF(AND(Table2[[#This Row],[GameIsOver]]=1,Table2[[#This Row],[ActualHomeScore]]*Table2[[#This Row],[ActualAwayScore]]=0), 1,0)</f>
        <v>0</v>
      </c>
      <c r="AA6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6" s="2">
        <f>Table2[[#This Row],[ActualAwayScore]]-Table2[[#This Row],[PredictedAwayScore]]</f>
        <v>0</v>
      </c>
      <c r="AG636" s="2">
        <f>Table2[[#This Row],[ActualHomeScore]]-Table2[[#This Row],[PredictedHomeScore]]</f>
        <v>0</v>
      </c>
      <c r="AH636" s="2">
        <f t="shared" si="52"/>
        <v>0</v>
      </c>
      <c r="AI636" s="2">
        <f t="shared" si="53"/>
        <v>0</v>
      </c>
      <c r="AJ636" s="2"/>
      <c r="AK636" s="3"/>
      <c r="AL636" s="2">
        <f>IF(Table2[[#This Row],[GameIsOver]]=0,0,IF(Table2[[#This Row],[ActualWinner]]=Table2[[#This Row],[AwayTeam]], 1, 0))</f>
        <v>0</v>
      </c>
      <c r="AM636" s="2">
        <f>IF(Table2[[#This Row],[GameIsOver]]=0,0,IF(Table2[[#This Row],[ActualWinner]]=Table2[[#This Row],[HomeTeam]], 1, 0))</f>
        <v>0</v>
      </c>
      <c r="AN6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6" s="2" t="str">
        <f>INDEX(Sheet5!$B$2:$AG$33, MATCH(Table2[[#This Row],[AwayTeam]],Sheet5!$A$2:$A$33, 0), MATCH(Table2[[#This Row],[HomeTeam]],Sheet5!$A$2:$A$33, 0))</f>
        <v>0-0-0</v>
      </c>
      <c r="AP636" s="2" t="str">
        <f>INDEX(Sheet5!$B$2:$AG$33, MATCH(Table2[[#This Row],[HomeTeam]],Sheet5!$A$2:$A$33, 0), MATCH(Table2[[#This Row],[AwayTeam]],Sheet5!$A$2:$A$33, 0))</f>
        <v>0-0-0</v>
      </c>
      <c r="AQ636" s="2">
        <f>IF(Table2[[#This Row],[GameHasShutOut]], 1, 0)</f>
        <v>0</v>
      </c>
      <c r="AR636" s="2">
        <f>IF(Table2[[#This Row],[ActualAwayScore]] + Table2[[#This Row],[ActualHomeScore]] &gt;= 10, 1, 0)</f>
        <v>0</v>
      </c>
      <c r="AS636" s="2">
        <f>IF(ABS(Table2[[#This Row],[ActualAwayScore]]-Table2[[#This Row],[ActualHomeScore]])&gt;=5, 1, 0)</f>
        <v>0</v>
      </c>
      <c r="AT636" s="2">
        <f>IF(Table2[[#This Row],[ActualAwayScore]] + Table2[[#This Row],[ActualHomeScore]] &lt;= 3, 1, 0)</f>
        <v>1</v>
      </c>
      <c r="AU636" s="2"/>
      <c r="AV636" s="2"/>
    </row>
    <row r="637" spans="1:48" x14ac:dyDescent="0.25">
      <c r="A637" s="3"/>
      <c r="B637" s="3">
        <v>46024</v>
      </c>
      <c r="C637" s="5">
        <v>2025020635</v>
      </c>
      <c r="D637" s="2" t="s">
        <v>30</v>
      </c>
      <c r="E637" s="2" t="s">
        <v>20</v>
      </c>
      <c r="F637" s="2"/>
      <c r="G637" s="2"/>
      <c r="H637" s="2" t="str">
        <f t="shared" si="49"/>
        <v>_</v>
      </c>
      <c r="I637" s="2"/>
      <c r="J637" s="2"/>
      <c r="K637" s="2"/>
      <c r="L637" s="2" t="str">
        <f t="shared" si="50"/>
        <v>_</v>
      </c>
      <c r="M637" s="2"/>
      <c r="N637" s="2">
        <f>IF(ISBLANK(Table2[[#This Row],[ActualResult]]), 0, 1)</f>
        <v>0</v>
      </c>
      <c r="O637" s="2" t="str">
        <f>IF(ISBLANK(Table2[[#This Row],[ActualResult]]), "_", IF(Table2[[#This Row],[ActualWinner]]=Table2[[#This Row],[PredictedWinner]], "Y", "N"))</f>
        <v>_</v>
      </c>
      <c r="P6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7" s="2"/>
      <c r="S637" s="2" t="str">
        <f t="shared" si="51"/>
        <v>_</v>
      </c>
      <c r="T6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7" s="2">
        <f>IF(Table2[[#This Row],[InterConf]]=1,IF(Table2[[#This Row],[InterDiv]]=0, 1, 0), 0)</f>
        <v>1</v>
      </c>
      <c r="W6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7" s="2"/>
      <c r="Y637" s="2"/>
      <c r="Z637" s="145">
        <f>IF(AND(Table2[[#This Row],[GameIsOver]]=1,Table2[[#This Row],[ActualHomeScore]]*Table2[[#This Row],[ActualAwayScore]]=0), 1,0)</f>
        <v>0</v>
      </c>
      <c r="AA6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7" s="2">
        <f>Table2[[#This Row],[ActualAwayScore]]-Table2[[#This Row],[PredictedAwayScore]]</f>
        <v>0</v>
      </c>
      <c r="AG637" s="2">
        <f>Table2[[#This Row],[ActualHomeScore]]-Table2[[#This Row],[PredictedHomeScore]]</f>
        <v>0</v>
      </c>
      <c r="AH637" s="2">
        <f t="shared" si="52"/>
        <v>0</v>
      </c>
      <c r="AI637" s="2">
        <f t="shared" si="53"/>
        <v>0</v>
      </c>
      <c r="AJ637" s="2"/>
      <c r="AK637" s="3"/>
      <c r="AL637" s="2">
        <f>IF(Table2[[#This Row],[GameIsOver]]=0,0,IF(Table2[[#This Row],[ActualWinner]]=Table2[[#This Row],[AwayTeam]], 1, 0))</f>
        <v>0</v>
      </c>
      <c r="AM637" s="2">
        <f>IF(Table2[[#This Row],[GameIsOver]]=0,0,IF(Table2[[#This Row],[ActualWinner]]=Table2[[#This Row],[HomeTeam]], 1, 0))</f>
        <v>0</v>
      </c>
      <c r="AN6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7" s="2" t="str">
        <f>INDEX(Sheet5!$B$2:$AG$33, MATCH(Table2[[#This Row],[AwayTeam]],Sheet5!$A$2:$A$33, 0), MATCH(Table2[[#This Row],[HomeTeam]],Sheet5!$A$2:$A$33, 0))</f>
        <v>0-0-0</v>
      </c>
      <c r="AP637" s="2" t="str">
        <f>INDEX(Sheet5!$B$2:$AG$33, MATCH(Table2[[#This Row],[HomeTeam]],Sheet5!$A$2:$A$33, 0), MATCH(Table2[[#This Row],[AwayTeam]],Sheet5!$A$2:$A$33, 0))</f>
        <v>0-0-0</v>
      </c>
      <c r="AQ637" s="2">
        <f>IF(Table2[[#This Row],[GameHasShutOut]], 1, 0)</f>
        <v>0</v>
      </c>
      <c r="AR637" s="2">
        <f>IF(Table2[[#This Row],[ActualAwayScore]] + Table2[[#This Row],[ActualHomeScore]] &gt;= 10, 1, 0)</f>
        <v>0</v>
      </c>
      <c r="AS637" s="2">
        <f>IF(ABS(Table2[[#This Row],[ActualAwayScore]]-Table2[[#This Row],[ActualHomeScore]])&gt;=5, 1, 0)</f>
        <v>0</v>
      </c>
      <c r="AT637" s="2">
        <f>IF(Table2[[#This Row],[ActualAwayScore]] + Table2[[#This Row],[ActualHomeScore]] &lt;= 3, 1, 0)</f>
        <v>1</v>
      </c>
      <c r="AU637" s="2"/>
      <c r="AV637" s="2"/>
    </row>
    <row r="638" spans="1:48" x14ac:dyDescent="0.25">
      <c r="A638" s="3"/>
      <c r="B638" s="3">
        <v>46024</v>
      </c>
      <c r="C638" s="5">
        <v>2025020636</v>
      </c>
      <c r="D638" s="2" t="s">
        <v>18</v>
      </c>
      <c r="E638" s="2" t="s">
        <v>41</v>
      </c>
      <c r="F638" s="2"/>
      <c r="G638" s="2"/>
      <c r="H638" s="2" t="str">
        <f t="shared" si="49"/>
        <v>_</v>
      </c>
      <c r="I638" s="2"/>
      <c r="J638" s="2"/>
      <c r="K638" s="2"/>
      <c r="L638" s="2" t="str">
        <f t="shared" si="50"/>
        <v>_</v>
      </c>
      <c r="M638" s="2"/>
      <c r="N638" s="2">
        <f>IF(ISBLANK(Table2[[#This Row],[ActualResult]]), 0, 1)</f>
        <v>0</v>
      </c>
      <c r="O638" s="2" t="str">
        <f>IF(ISBLANK(Table2[[#This Row],[ActualResult]]), "_", IF(Table2[[#This Row],[ActualWinner]]=Table2[[#This Row],[PredictedWinner]], "Y", "N"))</f>
        <v>_</v>
      </c>
      <c r="P6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8" s="2"/>
      <c r="S638" s="2" t="str">
        <f t="shared" si="51"/>
        <v>_</v>
      </c>
      <c r="T6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8" s="2">
        <f>IF(Table2[[#This Row],[InterConf]]=1,IF(Table2[[#This Row],[InterDiv]]=0, 1, 0), 0)</f>
        <v>1</v>
      </c>
      <c r="W6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8" s="2"/>
      <c r="Y638" s="2"/>
      <c r="Z638" s="145">
        <f>IF(AND(Table2[[#This Row],[GameIsOver]]=1,Table2[[#This Row],[ActualHomeScore]]*Table2[[#This Row],[ActualAwayScore]]=0), 1,0)</f>
        <v>0</v>
      </c>
      <c r="AA6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8" s="2">
        <f>Table2[[#This Row],[ActualAwayScore]]-Table2[[#This Row],[PredictedAwayScore]]</f>
        <v>0</v>
      </c>
      <c r="AG638" s="2">
        <f>Table2[[#This Row],[ActualHomeScore]]-Table2[[#This Row],[PredictedHomeScore]]</f>
        <v>0</v>
      </c>
      <c r="AH638" s="2">
        <f t="shared" si="52"/>
        <v>0</v>
      </c>
      <c r="AI638" s="2">
        <f t="shared" si="53"/>
        <v>0</v>
      </c>
      <c r="AJ638" s="2"/>
      <c r="AK638" s="3"/>
      <c r="AL638" s="2">
        <f>IF(Table2[[#This Row],[GameIsOver]]=0,0,IF(Table2[[#This Row],[ActualWinner]]=Table2[[#This Row],[AwayTeam]], 1, 0))</f>
        <v>0</v>
      </c>
      <c r="AM638" s="2">
        <f>IF(Table2[[#This Row],[GameIsOver]]=0,0,IF(Table2[[#This Row],[ActualWinner]]=Table2[[#This Row],[HomeTeam]], 1, 0))</f>
        <v>0</v>
      </c>
      <c r="AN6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8" s="2" t="str">
        <f>INDEX(Sheet5!$B$2:$AG$33, MATCH(Table2[[#This Row],[AwayTeam]],Sheet5!$A$2:$A$33, 0), MATCH(Table2[[#This Row],[HomeTeam]],Sheet5!$A$2:$A$33, 0))</f>
        <v>0-0-0</v>
      </c>
      <c r="AP638" s="2" t="str">
        <f>INDEX(Sheet5!$B$2:$AG$33, MATCH(Table2[[#This Row],[HomeTeam]],Sheet5!$A$2:$A$33, 0), MATCH(Table2[[#This Row],[AwayTeam]],Sheet5!$A$2:$A$33, 0))</f>
        <v>0-0-0</v>
      </c>
      <c r="AQ638" s="2">
        <f>IF(Table2[[#This Row],[GameHasShutOut]], 1, 0)</f>
        <v>0</v>
      </c>
      <c r="AR638" s="2">
        <f>IF(Table2[[#This Row],[ActualAwayScore]] + Table2[[#This Row],[ActualHomeScore]] &gt;= 10, 1, 0)</f>
        <v>0</v>
      </c>
      <c r="AS638" s="2">
        <f>IF(ABS(Table2[[#This Row],[ActualAwayScore]]-Table2[[#This Row],[ActualHomeScore]])&gt;=5, 1, 0)</f>
        <v>0</v>
      </c>
      <c r="AT638" s="2">
        <f>IF(Table2[[#This Row],[ActualAwayScore]] + Table2[[#This Row],[ActualHomeScore]] &lt;= 3, 1, 0)</f>
        <v>1</v>
      </c>
      <c r="AU638" s="2"/>
      <c r="AV638" s="2"/>
    </row>
    <row r="639" spans="1:48" x14ac:dyDescent="0.25">
      <c r="A639" s="3"/>
      <c r="B639" s="3">
        <v>46024</v>
      </c>
      <c r="C639" s="5">
        <v>2025020637</v>
      </c>
      <c r="D639" s="2" t="s">
        <v>33</v>
      </c>
      <c r="E639" s="2" t="s">
        <v>16</v>
      </c>
      <c r="F639" s="2"/>
      <c r="G639" s="2"/>
      <c r="H639" s="2" t="str">
        <f t="shared" si="49"/>
        <v>_</v>
      </c>
      <c r="I639" s="2"/>
      <c r="J639" s="2"/>
      <c r="K639" s="2"/>
      <c r="L639" s="2" t="str">
        <f t="shared" si="50"/>
        <v>_</v>
      </c>
      <c r="M639" s="2"/>
      <c r="N639" s="2">
        <f>IF(ISBLANK(Table2[[#This Row],[ActualResult]]), 0, 1)</f>
        <v>0</v>
      </c>
      <c r="O639" s="2" t="str">
        <f>IF(ISBLANK(Table2[[#This Row],[ActualResult]]), "_", IF(Table2[[#This Row],[ActualWinner]]=Table2[[#This Row],[PredictedWinner]], "Y", "N"))</f>
        <v>_</v>
      </c>
      <c r="P6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9" s="2"/>
      <c r="S639" s="2" t="str">
        <f t="shared" si="51"/>
        <v>_</v>
      </c>
      <c r="T6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39" s="2">
        <f>IF(Table2[[#This Row],[InterConf]]=1,IF(Table2[[#This Row],[InterDiv]]=0, 1, 0), 0)</f>
        <v>0</v>
      </c>
      <c r="W6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9" s="2"/>
      <c r="Y639" s="2"/>
      <c r="Z639" s="145">
        <f>IF(AND(Table2[[#This Row],[GameIsOver]]=1,Table2[[#This Row],[ActualHomeScore]]*Table2[[#This Row],[ActualAwayScore]]=0), 1,0)</f>
        <v>0</v>
      </c>
      <c r="AA6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9" s="2">
        <f>Table2[[#This Row],[ActualAwayScore]]-Table2[[#This Row],[PredictedAwayScore]]</f>
        <v>0</v>
      </c>
      <c r="AG639" s="2">
        <f>Table2[[#This Row],[ActualHomeScore]]-Table2[[#This Row],[PredictedHomeScore]]</f>
        <v>0</v>
      </c>
      <c r="AH639" s="2">
        <f t="shared" si="52"/>
        <v>0</v>
      </c>
      <c r="AI639" s="2">
        <f t="shared" si="53"/>
        <v>0</v>
      </c>
      <c r="AJ639" s="2"/>
      <c r="AK639" s="3"/>
      <c r="AL639" s="2">
        <f>IF(Table2[[#This Row],[GameIsOver]]=0,0,IF(Table2[[#This Row],[ActualWinner]]=Table2[[#This Row],[AwayTeam]], 1, 0))</f>
        <v>0</v>
      </c>
      <c r="AM639" s="2">
        <f>IF(Table2[[#This Row],[GameIsOver]]=0,0,IF(Table2[[#This Row],[ActualWinner]]=Table2[[#This Row],[HomeTeam]], 1, 0))</f>
        <v>0</v>
      </c>
      <c r="AN6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9" s="2" t="str">
        <f>INDEX(Sheet5!$B$2:$AG$33, MATCH(Table2[[#This Row],[AwayTeam]],Sheet5!$A$2:$A$33, 0), MATCH(Table2[[#This Row],[HomeTeam]],Sheet5!$A$2:$A$33, 0))</f>
        <v>0-0-0</v>
      </c>
      <c r="AP639" s="2" t="str">
        <f>INDEX(Sheet5!$B$2:$AG$33, MATCH(Table2[[#This Row],[HomeTeam]],Sheet5!$A$2:$A$33, 0), MATCH(Table2[[#This Row],[AwayTeam]],Sheet5!$A$2:$A$33, 0))</f>
        <v>0-0-0</v>
      </c>
      <c r="AQ639" s="2">
        <f>IF(Table2[[#This Row],[GameHasShutOut]], 1, 0)</f>
        <v>0</v>
      </c>
      <c r="AR639" s="2">
        <f>IF(Table2[[#This Row],[ActualAwayScore]] + Table2[[#This Row],[ActualHomeScore]] &gt;= 10, 1, 0)</f>
        <v>0</v>
      </c>
      <c r="AS639" s="2">
        <f>IF(ABS(Table2[[#This Row],[ActualAwayScore]]-Table2[[#This Row],[ActualHomeScore]])&gt;=5, 1, 0)</f>
        <v>0</v>
      </c>
      <c r="AT639" s="2">
        <f>IF(Table2[[#This Row],[ActualAwayScore]] + Table2[[#This Row],[ActualHomeScore]] &lt;= 3, 1, 0)</f>
        <v>1</v>
      </c>
      <c r="AU639" s="2"/>
      <c r="AV639" s="2"/>
    </row>
    <row r="640" spans="1:48" x14ac:dyDescent="0.25">
      <c r="A640" s="3"/>
      <c r="B640" s="3">
        <v>46024</v>
      </c>
      <c r="C640" s="5">
        <v>2025020638</v>
      </c>
      <c r="D640" s="2" t="s">
        <v>34</v>
      </c>
      <c r="E640" s="2" t="s">
        <v>11</v>
      </c>
      <c r="F640" s="2"/>
      <c r="G640" s="2"/>
      <c r="H640" s="2" t="str">
        <f t="shared" si="49"/>
        <v>_</v>
      </c>
      <c r="I640" s="2"/>
      <c r="J640" s="2"/>
      <c r="K640" s="2"/>
      <c r="L640" s="2" t="str">
        <f t="shared" si="50"/>
        <v>_</v>
      </c>
      <c r="M640" s="2"/>
      <c r="N640" s="2">
        <f>IF(ISBLANK(Table2[[#This Row],[ActualResult]]), 0, 1)</f>
        <v>0</v>
      </c>
      <c r="O640" s="2" t="str">
        <f>IF(ISBLANK(Table2[[#This Row],[ActualResult]]), "_", IF(Table2[[#This Row],[ActualWinner]]=Table2[[#This Row],[PredictedWinner]], "Y", "N"))</f>
        <v>_</v>
      </c>
      <c r="P6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0" s="2"/>
      <c r="S640" s="2" t="str">
        <f t="shared" si="51"/>
        <v>_</v>
      </c>
      <c r="T6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0" s="2">
        <f>IF(Table2[[#This Row],[InterConf]]=1,IF(Table2[[#This Row],[InterDiv]]=0, 1, 0), 0)</f>
        <v>1</v>
      </c>
      <c r="W6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0" s="2"/>
      <c r="Y640" s="2"/>
      <c r="Z640" s="145">
        <f>IF(AND(Table2[[#This Row],[GameIsOver]]=1,Table2[[#This Row],[ActualHomeScore]]*Table2[[#This Row],[ActualAwayScore]]=0), 1,0)</f>
        <v>0</v>
      </c>
      <c r="AA6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40" s="2">
        <f>Table2[[#This Row],[ActualAwayScore]]-Table2[[#This Row],[PredictedAwayScore]]</f>
        <v>0</v>
      </c>
      <c r="AG640" s="2">
        <f>Table2[[#This Row],[ActualHomeScore]]-Table2[[#This Row],[PredictedHomeScore]]</f>
        <v>0</v>
      </c>
      <c r="AH640" s="2">
        <f t="shared" si="52"/>
        <v>0</v>
      </c>
      <c r="AI640" s="2">
        <f t="shared" si="53"/>
        <v>0</v>
      </c>
      <c r="AJ640" s="2"/>
      <c r="AK640" s="3"/>
      <c r="AL640" s="2">
        <f>IF(Table2[[#This Row],[GameIsOver]]=0,0,IF(Table2[[#This Row],[ActualWinner]]=Table2[[#This Row],[AwayTeam]], 1, 0))</f>
        <v>0</v>
      </c>
      <c r="AM640" s="2">
        <f>IF(Table2[[#This Row],[GameIsOver]]=0,0,IF(Table2[[#This Row],[ActualWinner]]=Table2[[#This Row],[HomeTeam]], 1, 0))</f>
        <v>0</v>
      </c>
      <c r="AN6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0" s="2" t="str">
        <f>INDEX(Sheet5!$B$2:$AG$33, MATCH(Table2[[#This Row],[AwayTeam]],Sheet5!$A$2:$A$33, 0), MATCH(Table2[[#This Row],[HomeTeam]],Sheet5!$A$2:$A$33, 0))</f>
        <v>0-0-0</v>
      </c>
      <c r="AP640" s="2" t="str">
        <f>INDEX(Sheet5!$B$2:$AG$33, MATCH(Table2[[#This Row],[HomeTeam]],Sheet5!$A$2:$A$33, 0), MATCH(Table2[[#This Row],[AwayTeam]],Sheet5!$A$2:$A$33, 0))</f>
        <v>0-0-0</v>
      </c>
      <c r="AQ640" s="2">
        <f>IF(Table2[[#This Row],[GameHasShutOut]], 1, 0)</f>
        <v>0</v>
      </c>
      <c r="AR640" s="2">
        <f>IF(Table2[[#This Row],[ActualAwayScore]] + Table2[[#This Row],[ActualHomeScore]] &gt;= 10, 1, 0)</f>
        <v>0</v>
      </c>
      <c r="AS640" s="2">
        <f>IF(ABS(Table2[[#This Row],[ActualAwayScore]]-Table2[[#This Row],[ActualHomeScore]])&gt;=5, 1, 0)</f>
        <v>0</v>
      </c>
      <c r="AT640" s="2">
        <f>IF(Table2[[#This Row],[ActualAwayScore]] + Table2[[#This Row],[ActualHomeScore]] &lt;= 3, 1, 0)</f>
        <v>1</v>
      </c>
      <c r="AU640" s="2"/>
      <c r="AV640" s="2"/>
    </row>
    <row r="641" spans="1:48" x14ac:dyDescent="0.25">
      <c r="A641" s="3"/>
      <c r="B641" s="3">
        <v>46024</v>
      </c>
      <c r="C641" s="5">
        <v>2025020639</v>
      </c>
      <c r="D641" s="2" t="s">
        <v>40</v>
      </c>
      <c r="E641" s="2" t="s">
        <v>27</v>
      </c>
      <c r="F641" s="2"/>
      <c r="G641" s="2"/>
      <c r="H641" s="2" t="str">
        <f t="shared" si="49"/>
        <v>_</v>
      </c>
      <c r="I641" s="2"/>
      <c r="J641" s="2"/>
      <c r="K641" s="2"/>
      <c r="L641" s="2" t="str">
        <f t="shared" si="50"/>
        <v>_</v>
      </c>
      <c r="M641" s="2"/>
      <c r="N641" s="2">
        <f>IF(ISBLANK(Table2[[#This Row],[ActualResult]]), 0, 1)</f>
        <v>0</v>
      </c>
      <c r="O641" s="2" t="str">
        <f>IF(ISBLANK(Table2[[#This Row],[ActualResult]]), "_", IF(Table2[[#This Row],[ActualWinner]]=Table2[[#This Row],[PredictedWinner]], "Y", "N"))</f>
        <v>_</v>
      </c>
      <c r="P6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1" s="2"/>
      <c r="S641" s="2" t="str">
        <f t="shared" si="51"/>
        <v>_</v>
      </c>
      <c r="T6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1" s="2">
        <f>IF(Table2[[#This Row],[InterConf]]=1,IF(Table2[[#This Row],[InterDiv]]=0, 1, 0), 0)</f>
        <v>0</v>
      </c>
      <c r="W6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1" s="2"/>
      <c r="Y641" s="2"/>
      <c r="Z641" s="145">
        <f>IF(AND(Table2[[#This Row],[GameIsOver]]=1,Table2[[#This Row],[ActualHomeScore]]*Table2[[#This Row],[ActualAwayScore]]=0), 1,0)</f>
        <v>0</v>
      </c>
      <c r="AA6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41" s="2">
        <f>Table2[[#This Row],[ActualAwayScore]]-Table2[[#This Row],[PredictedAwayScore]]</f>
        <v>0</v>
      </c>
      <c r="AG641" s="2">
        <f>Table2[[#This Row],[ActualHomeScore]]-Table2[[#This Row],[PredictedHomeScore]]</f>
        <v>0</v>
      </c>
      <c r="AH641" s="2">
        <f t="shared" si="52"/>
        <v>0</v>
      </c>
      <c r="AI641" s="2">
        <f t="shared" si="53"/>
        <v>0</v>
      </c>
      <c r="AJ641" s="2"/>
      <c r="AK641" s="3"/>
      <c r="AL641" s="2">
        <f>IF(Table2[[#This Row],[GameIsOver]]=0,0,IF(Table2[[#This Row],[ActualWinner]]=Table2[[#This Row],[AwayTeam]], 1, 0))</f>
        <v>0</v>
      </c>
      <c r="AM641" s="2">
        <f>IF(Table2[[#This Row],[GameIsOver]]=0,0,IF(Table2[[#This Row],[ActualWinner]]=Table2[[#This Row],[HomeTeam]], 1, 0))</f>
        <v>0</v>
      </c>
      <c r="AN641" s="2">
        <f>IF(IFERROR(FIND(Table2[[#This Row],[AwayTeam]], _xlfn.TEXTJOIN(";", 1, $BD$31:$BD$40)), 0) &gt; 0, 1, 0) + IF(IFERROR(FIND(Table2[[#This Row],[HomeTeam]], _xlfn.TEXTJOIN(";", 1, $BD$31:$BD$40)), 0) &gt; 0, 1, 0)</f>
        <v>1</v>
      </c>
      <c r="AO641" s="2" t="str">
        <f>INDEX(Sheet5!$B$2:$AG$33, MATCH(Table2[[#This Row],[AwayTeam]],Sheet5!$A$2:$A$33, 0), MATCH(Table2[[#This Row],[HomeTeam]],Sheet5!$A$2:$A$33, 0))</f>
        <v>0-0-0</v>
      </c>
      <c r="AP641" s="2" t="str">
        <f>INDEX(Sheet5!$B$2:$AG$33, MATCH(Table2[[#This Row],[HomeTeam]],Sheet5!$A$2:$A$33, 0), MATCH(Table2[[#This Row],[AwayTeam]],Sheet5!$A$2:$A$33, 0))</f>
        <v>0-0-0</v>
      </c>
      <c r="AQ641" s="2">
        <f>IF(Table2[[#This Row],[GameHasShutOut]], 1, 0)</f>
        <v>0</v>
      </c>
      <c r="AR641" s="2">
        <f>IF(Table2[[#This Row],[ActualAwayScore]] + Table2[[#This Row],[ActualHomeScore]] &gt;= 10, 1, 0)</f>
        <v>0</v>
      </c>
      <c r="AS641" s="2">
        <f>IF(ABS(Table2[[#This Row],[ActualAwayScore]]-Table2[[#This Row],[ActualHomeScore]])&gt;=5, 1, 0)</f>
        <v>0</v>
      </c>
      <c r="AT641" s="2">
        <f>IF(Table2[[#This Row],[ActualAwayScore]] + Table2[[#This Row],[ActualHomeScore]] &lt;= 3, 1, 0)</f>
        <v>1</v>
      </c>
      <c r="AU641" s="2"/>
      <c r="AV641" s="2"/>
    </row>
    <row r="642" spans="1:48" x14ac:dyDescent="0.25">
      <c r="A642" s="3"/>
      <c r="B642" s="3">
        <v>46024</v>
      </c>
      <c r="C642" s="5">
        <v>2025020640</v>
      </c>
      <c r="D642" s="2" t="s">
        <v>26</v>
      </c>
      <c r="E642" s="2" t="s">
        <v>12</v>
      </c>
      <c r="F642" s="2"/>
      <c r="G642" s="2"/>
      <c r="H642" s="2" t="str">
        <f t="shared" si="49"/>
        <v>_</v>
      </c>
      <c r="I642" s="2"/>
      <c r="J642" s="2"/>
      <c r="K642" s="2"/>
      <c r="L642" s="2" t="str">
        <f t="shared" si="50"/>
        <v>_</v>
      </c>
      <c r="M642" s="2"/>
      <c r="N642" s="2">
        <f>IF(ISBLANK(Table2[[#This Row],[ActualResult]]), 0, 1)</f>
        <v>0</v>
      </c>
      <c r="O642" s="2" t="str">
        <f>IF(ISBLANK(Table2[[#This Row],[ActualResult]]), "_", IF(Table2[[#This Row],[ActualWinner]]=Table2[[#This Row],[PredictedWinner]], "Y", "N"))</f>
        <v>_</v>
      </c>
      <c r="P6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2" s="2"/>
      <c r="S642" s="2" t="str">
        <f t="shared" si="51"/>
        <v>_</v>
      </c>
      <c r="T6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2" s="2">
        <f>IF(Table2[[#This Row],[InterConf]]=1,IF(Table2[[#This Row],[InterDiv]]=0, 1, 0), 0)</f>
        <v>1</v>
      </c>
      <c r="W6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2" s="2"/>
      <c r="Y642" s="2"/>
      <c r="Z642" s="145">
        <f>IF(AND(Table2[[#This Row],[GameIsOver]]=1,Table2[[#This Row],[ActualHomeScore]]*Table2[[#This Row],[ActualAwayScore]]=0), 1,0)</f>
        <v>0</v>
      </c>
      <c r="AA6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42" s="2">
        <f>Table2[[#This Row],[ActualAwayScore]]-Table2[[#This Row],[PredictedAwayScore]]</f>
        <v>0</v>
      </c>
      <c r="AG642" s="2">
        <f>Table2[[#This Row],[ActualHomeScore]]-Table2[[#This Row],[PredictedHomeScore]]</f>
        <v>0</v>
      </c>
      <c r="AH642" s="2">
        <f t="shared" si="52"/>
        <v>0</v>
      </c>
      <c r="AI642" s="2">
        <f t="shared" si="53"/>
        <v>0</v>
      </c>
      <c r="AJ642" s="2"/>
      <c r="AK642" s="3"/>
      <c r="AL642" s="2">
        <f>IF(Table2[[#This Row],[GameIsOver]]=0,0,IF(Table2[[#This Row],[ActualWinner]]=Table2[[#This Row],[AwayTeam]], 1, 0))</f>
        <v>0</v>
      </c>
      <c r="AM642" s="2">
        <f>IF(Table2[[#This Row],[GameIsOver]]=0,0,IF(Table2[[#This Row],[ActualWinner]]=Table2[[#This Row],[HomeTeam]], 1, 0))</f>
        <v>0</v>
      </c>
      <c r="AN6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2" s="2" t="str">
        <f>INDEX(Sheet5!$B$2:$AG$33, MATCH(Table2[[#This Row],[AwayTeam]],Sheet5!$A$2:$A$33, 0), MATCH(Table2[[#This Row],[HomeTeam]],Sheet5!$A$2:$A$33, 0))</f>
        <v>0-0-0</v>
      </c>
      <c r="AP642" s="2" t="str">
        <f>INDEX(Sheet5!$B$2:$AG$33, MATCH(Table2[[#This Row],[HomeTeam]],Sheet5!$A$2:$A$33, 0), MATCH(Table2[[#This Row],[AwayTeam]],Sheet5!$A$2:$A$33, 0))</f>
        <v>0-0-0</v>
      </c>
      <c r="AQ642" s="2">
        <f>IF(Table2[[#This Row],[GameHasShutOut]], 1, 0)</f>
        <v>0</v>
      </c>
      <c r="AR642" s="2">
        <f>IF(Table2[[#This Row],[ActualAwayScore]] + Table2[[#This Row],[ActualHomeScore]] &gt;= 10, 1, 0)</f>
        <v>0</v>
      </c>
      <c r="AS642" s="2">
        <f>IF(ABS(Table2[[#This Row],[ActualAwayScore]]-Table2[[#This Row],[ActualHomeScore]])&gt;=5, 1, 0)</f>
        <v>0</v>
      </c>
      <c r="AT642" s="2">
        <f>IF(Table2[[#This Row],[ActualAwayScore]] + Table2[[#This Row],[ActualHomeScore]] &lt;= 3, 1, 0)</f>
        <v>1</v>
      </c>
      <c r="AU642" s="2"/>
      <c r="AV642" s="2"/>
    </row>
    <row r="643" spans="1:48" x14ac:dyDescent="0.25">
      <c r="A643" s="3"/>
      <c r="B643" s="3">
        <v>46025</v>
      </c>
      <c r="C643" s="5">
        <v>2025020641</v>
      </c>
      <c r="D643" s="2" t="s">
        <v>19</v>
      </c>
      <c r="E643" s="2" t="s">
        <v>13</v>
      </c>
      <c r="F643" s="2"/>
      <c r="G643" s="2"/>
      <c r="H643" s="2" t="str">
        <f t="shared" ref="H643:H706" si="54">IF(AND(ISBLANK($F643),ISBLANK($G643)),"_",IF($F643&gt;$G643,$D643,$E643))</f>
        <v>_</v>
      </c>
      <c r="I643" s="2"/>
      <c r="J643" s="2"/>
      <c r="K643" s="2"/>
      <c r="L643" s="2" t="str">
        <f t="shared" ref="L643:L706" si="55">IF(OR($J643=$K643,AND(ISBLANK($J643),ISBLANK($K643))),"_",IF($J643&gt;$K643,$D643,$E643))</f>
        <v>_</v>
      </c>
      <c r="M643" s="2"/>
      <c r="N643" s="2">
        <f>IF(ISBLANK(Table2[[#This Row],[ActualResult]]), 0, 1)</f>
        <v>0</v>
      </c>
      <c r="O643" s="2" t="str">
        <f>IF(ISBLANK(Table2[[#This Row],[ActualResult]]), "_", IF(Table2[[#This Row],[ActualWinner]]=Table2[[#This Row],[PredictedWinner]], "Y", "N"))</f>
        <v>_</v>
      </c>
      <c r="P6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3" s="2"/>
      <c r="S643" s="2" t="str">
        <f t="shared" ref="S643:S706" si="56">IF($L643="_", "_", IF($L643=$D643,$E643,$D643))</f>
        <v>_</v>
      </c>
      <c r="T6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3" s="2">
        <f>IF(Table2[[#This Row],[InterConf]]=1,IF(Table2[[#This Row],[InterDiv]]=0, 1, 0), 0)</f>
        <v>1</v>
      </c>
      <c r="W6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3" s="2"/>
      <c r="Y643" s="2"/>
      <c r="Z643" s="145">
        <f>IF(AND(Table2[[#This Row],[GameIsOver]]=1,Table2[[#This Row],[ActualHomeScore]]*Table2[[#This Row],[ActualAwayScore]]=0), 1,0)</f>
        <v>0</v>
      </c>
      <c r="AA6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3" s="2">
        <f>Table2[[#This Row],[ActualAwayScore]]-Table2[[#This Row],[PredictedAwayScore]]</f>
        <v>0</v>
      </c>
      <c r="AG643" s="2">
        <f>Table2[[#This Row],[ActualHomeScore]]-Table2[[#This Row],[PredictedHomeScore]]</f>
        <v>0</v>
      </c>
      <c r="AH643" s="2">
        <f t="shared" ref="AH643:AH706" si="57">SUMIF($B$3:$B$1315, $B643, $AF$3:$AF$1315)</f>
        <v>0</v>
      </c>
      <c r="AI643" s="2">
        <f t="shared" ref="AI643:AI706" si="58">SUMIF($B$3:$B$1315, $B643, $AG$3:$AG$1315)</f>
        <v>0</v>
      </c>
      <c r="AJ643" s="2"/>
      <c r="AK643" s="3"/>
      <c r="AL643" s="2">
        <f>IF(Table2[[#This Row],[GameIsOver]]=0,0,IF(Table2[[#This Row],[ActualWinner]]=Table2[[#This Row],[AwayTeam]], 1, 0))</f>
        <v>0</v>
      </c>
      <c r="AM643" s="2">
        <f>IF(Table2[[#This Row],[GameIsOver]]=0,0,IF(Table2[[#This Row],[ActualWinner]]=Table2[[#This Row],[HomeTeam]], 1, 0))</f>
        <v>0</v>
      </c>
      <c r="AN6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3" s="2" t="str">
        <f>INDEX(Sheet5!$B$2:$AG$33, MATCH(Table2[[#This Row],[AwayTeam]],Sheet5!$A$2:$A$33, 0), MATCH(Table2[[#This Row],[HomeTeam]],Sheet5!$A$2:$A$33, 0))</f>
        <v>0-0-0</v>
      </c>
      <c r="AP643" s="2" t="str">
        <f>INDEX(Sheet5!$B$2:$AG$33, MATCH(Table2[[#This Row],[HomeTeam]],Sheet5!$A$2:$A$33, 0), MATCH(Table2[[#This Row],[AwayTeam]],Sheet5!$A$2:$A$33, 0))</f>
        <v>0-0-0</v>
      </c>
      <c r="AQ643" s="2">
        <f>IF(Table2[[#This Row],[GameHasShutOut]], 1, 0)</f>
        <v>0</v>
      </c>
      <c r="AR643" s="2">
        <f>IF(Table2[[#This Row],[ActualAwayScore]] + Table2[[#This Row],[ActualHomeScore]] &gt;= 10, 1, 0)</f>
        <v>0</v>
      </c>
      <c r="AS643" s="2">
        <f>IF(ABS(Table2[[#This Row],[ActualAwayScore]]-Table2[[#This Row],[ActualHomeScore]])&gt;=5, 1, 0)</f>
        <v>0</v>
      </c>
      <c r="AT643" s="2">
        <f>IF(Table2[[#This Row],[ActualAwayScore]] + Table2[[#This Row],[ActualHomeScore]] &lt;= 3, 1, 0)</f>
        <v>1</v>
      </c>
      <c r="AU643" s="2"/>
      <c r="AV643" s="2"/>
    </row>
    <row r="644" spans="1:48" x14ac:dyDescent="0.25">
      <c r="A644" s="3"/>
      <c r="B644" s="3">
        <v>46025</v>
      </c>
      <c r="C644" s="5">
        <v>2025020642</v>
      </c>
      <c r="D644" s="2" t="s">
        <v>11</v>
      </c>
      <c r="E644" s="2" t="s">
        <v>24</v>
      </c>
      <c r="F644" s="2"/>
      <c r="G644" s="2"/>
      <c r="H644" s="2" t="str">
        <f t="shared" si="54"/>
        <v>_</v>
      </c>
      <c r="I644" s="2"/>
      <c r="J644" s="2"/>
      <c r="K644" s="2"/>
      <c r="L644" s="2" t="str">
        <f t="shared" si="55"/>
        <v>_</v>
      </c>
      <c r="M644" s="2"/>
      <c r="N644" s="2">
        <f>IF(ISBLANK(Table2[[#This Row],[ActualResult]]), 0, 1)</f>
        <v>0</v>
      </c>
      <c r="O644" s="2" t="str">
        <f>IF(ISBLANK(Table2[[#This Row],[ActualResult]]), "_", IF(Table2[[#This Row],[ActualWinner]]=Table2[[#This Row],[PredictedWinner]], "Y", "N"))</f>
        <v>_</v>
      </c>
      <c r="P6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4" s="2"/>
      <c r="S644" s="2" t="str">
        <f t="shared" si="56"/>
        <v>_</v>
      </c>
      <c r="T6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44" s="2">
        <f>IF(Table2[[#This Row],[InterConf]]=1,IF(Table2[[#This Row],[InterDiv]]=0, 1, 0), 0)</f>
        <v>0</v>
      </c>
      <c r="W6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4" s="2"/>
      <c r="Y644" s="2"/>
      <c r="Z644" s="145">
        <f>IF(AND(Table2[[#This Row],[GameIsOver]]=1,Table2[[#This Row],[ActualHomeScore]]*Table2[[#This Row],[ActualAwayScore]]=0), 1,0)</f>
        <v>0</v>
      </c>
      <c r="AA6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4" s="2">
        <f>Table2[[#This Row],[ActualAwayScore]]-Table2[[#This Row],[PredictedAwayScore]]</f>
        <v>0</v>
      </c>
      <c r="AG644" s="2">
        <f>Table2[[#This Row],[ActualHomeScore]]-Table2[[#This Row],[PredictedHomeScore]]</f>
        <v>0</v>
      </c>
      <c r="AH644" s="2">
        <f t="shared" si="57"/>
        <v>0</v>
      </c>
      <c r="AI644" s="2">
        <f t="shared" si="58"/>
        <v>0</v>
      </c>
      <c r="AJ644" s="2"/>
      <c r="AK644" s="3"/>
      <c r="AL644" s="2">
        <f>IF(Table2[[#This Row],[GameIsOver]]=0,0,IF(Table2[[#This Row],[ActualWinner]]=Table2[[#This Row],[AwayTeam]], 1, 0))</f>
        <v>0</v>
      </c>
      <c r="AM644" s="2">
        <f>IF(Table2[[#This Row],[GameIsOver]]=0,0,IF(Table2[[#This Row],[ActualWinner]]=Table2[[#This Row],[HomeTeam]], 1, 0))</f>
        <v>0</v>
      </c>
      <c r="AN6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4" s="2" t="str">
        <f>INDEX(Sheet5!$B$2:$AG$33, MATCH(Table2[[#This Row],[AwayTeam]],Sheet5!$A$2:$A$33, 0), MATCH(Table2[[#This Row],[HomeTeam]],Sheet5!$A$2:$A$33, 0))</f>
        <v>0-0-0</v>
      </c>
      <c r="AP644" s="2" t="str">
        <f>INDEX(Sheet5!$B$2:$AG$33, MATCH(Table2[[#This Row],[HomeTeam]],Sheet5!$A$2:$A$33, 0), MATCH(Table2[[#This Row],[AwayTeam]],Sheet5!$A$2:$A$33, 0))</f>
        <v>0-0-0</v>
      </c>
      <c r="AQ644" s="2">
        <f>IF(Table2[[#This Row],[GameHasShutOut]], 1, 0)</f>
        <v>0</v>
      </c>
      <c r="AR644" s="2">
        <f>IF(Table2[[#This Row],[ActualAwayScore]] + Table2[[#This Row],[ActualHomeScore]] &gt;= 10, 1, 0)</f>
        <v>0</v>
      </c>
      <c r="AS644" s="2">
        <f>IF(ABS(Table2[[#This Row],[ActualAwayScore]]-Table2[[#This Row],[ActualHomeScore]])&gt;=5, 1, 0)</f>
        <v>0</v>
      </c>
      <c r="AT644" s="2">
        <f>IF(Table2[[#This Row],[ActualAwayScore]] + Table2[[#This Row],[ActualHomeScore]] &lt;= 3, 1, 0)</f>
        <v>1</v>
      </c>
      <c r="AU644" s="2"/>
      <c r="AV644" s="2"/>
    </row>
    <row r="645" spans="1:48" x14ac:dyDescent="0.25">
      <c r="A645" s="3"/>
      <c r="B645" s="3">
        <v>46025</v>
      </c>
      <c r="C645" s="5">
        <v>2025020643</v>
      </c>
      <c r="D645" s="2" t="s">
        <v>36</v>
      </c>
      <c r="E645" s="2" t="s">
        <v>44</v>
      </c>
      <c r="F645" s="2"/>
      <c r="G645" s="2"/>
      <c r="H645" s="2" t="str">
        <f t="shared" si="54"/>
        <v>_</v>
      </c>
      <c r="I645" s="2"/>
      <c r="J645" s="2"/>
      <c r="K645" s="2"/>
      <c r="L645" s="2" t="str">
        <f t="shared" si="55"/>
        <v>_</v>
      </c>
      <c r="M645" s="2"/>
      <c r="N645" s="2">
        <f>IF(ISBLANK(Table2[[#This Row],[ActualResult]]), 0, 1)</f>
        <v>0</v>
      </c>
      <c r="O645" s="2" t="str">
        <f>IF(ISBLANK(Table2[[#This Row],[ActualResult]]), "_", IF(Table2[[#This Row],[ActualWinner]]=Table2[[#This Row],[PredictedWinner]], "Y", "N"))</f>
        <v>_</v>
      </c>
      <c r="P6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5" s="2"/>
      <c r="S645" s="2" t="str">
        <f t="shared" si="56"/>
        <v>_</v>
      </c>
      <c r="T6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5" s="2">
        <f>IF(Table2[[#This Row],[InterConf]]=1,IF(Table2[[#This Row],[InterDiv]]=0, 1, 0), 0)</f>
        <v>1</v>
      </c>
      <c r="W6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5" s="2"/>
      <c r="Y645" s="2"/>
      <c r="Z645" s="145">
        <f>IF(AND(Table2[[#This Row],[GameIsOver]]=1,Table2[[#This Row],[ActualHomeScore]]*Table2[[#This Row],[ActualAwayScore]]=0), 1,0)</f>
        <v>0</v>
      </c>
      <c r="AA6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5" s="2">
        <f>Table2[[#This Row],[ActualAwayScore]]-Table2[[#This Row],[PredictedAwayScore]]</f>
        <v>0</v>
      </c>
      <c r="AG645" s="2">
        <f>Table2[[#This Row],[ActualHomeScore]]-Table2[[#This Row],[PredictedHomeScore]]</f>
        <v>0</v>
      </c>
      <c r="AH645" s="2">
        <f t="shared" si="57"/>
        <v>0</v>
      </c>
      <c r="AI645" s="2">
        <f t="shared" si="58"/>
        <v>0</v>
      </c>
      <c r="AJ645" s="2"/>
      <c r="AK645" s="3"/>
      <c r="AL645" s="2">
        <f>IF(Table2[[#This Row],[GameIsOver]]=0,0,IF(Table2[[#This Row],[ActualWinner]]=Table2[[#This Row],[AwayTeam]], 1, 0))</f>
        <v>0</v>
      </c>
      <c r="AM645" s="2">
        <f>IF(Table2[[#This Row],[GameIsOver]]=0,0,IF(Table2[[#This Row],[ActualWinner]]=Table2[[#This Row],[HomeTeam]], 1, 0))</f>
        <v>0</v>
      </c>
      <c r="AN6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5" s="2" t="str">
        <f>INDEX(Sheet5!$B$2:$AG$33, MATCH(Table2[[#This Row],[AwayTeam]],Sheet5!$A$2:$A$33, 0), MATCH(Table2[[#This Row],[HomeTeam]],Sheet5!$A$2:$A$33, 0))</f>
        <v>0-0-0</v>
      </c>
      <c r="AP645" s="2" t="str">
        <f>INDEX(Sheet5!$B$2:$AG$33, MATCH(Table2[[#This Row],[HomeTeam]],Sheet5!$A$2:$A$33, 0), MATCH(Table2[[#This Row],[AwayTeam]],Sheet5!$A$2:$A$33, 0))</f>
        <v>0-0-0</v>
      </c>
      <c r="AQ645" s="2">
        <f>IF(Table2[[#This Row],[GameHasShutOut]], 1, 0)</f>
        <v>0</v>
      </c>
      <c r="AR645" s="2">
        <f>IF(Table2[[#This Row],[ActualAwayScore]] + Table2[[#This Row],[ActualHomeScore]] &gt;= 10, 1, 0)</f>
        <v>0</v>
      </c>
      <c r="AS645" s="2">
        <f>IF(ABS(Table2[[#This Row],[ActualAwayScore]]-Table2[[#This Row],[ActualHomeScore]])&gt;=5, 1, 0)</f>
        <v>0</v>
      </c>
      <c r="AT645" s="2">
        <f>IF(Table2[[#This Row],[ActualAwayScore]] + Table2[[#This Row],[ActualHomeScore]] &lt;= 3, 1, 0)</f>
        <v>1</v>
      </c>
      <c r="AU645" s="2"/>
      <c r="AV645" s="2"/>
    </row>
    <row r="646" spans="1:48" x14ac:dyDescent="0.25">
      <c r="A646" s="3"/>
      <c r="B646" s="3">
        <v>46025</v>
      </c>
      <c r="C646" s="5">
        <v>2025020644</v>
      </c>
      <c r="D646" s="2" t="s">
        <v>20</v>
      </c>
      <c r="E646" s="2" t="s">
        <v>30</v>
      </c>
      <c r="F646" s="2"/>
      <c r="G646" s="2"/>
      <c r="H646" s="2" t="str">
        <f t="shared" si="54"/>
        <v>_</v>
      </c>
      <c r="I646" s="2"/>
      <c r="J646" s="2"/>
      <c r="K646" s="2"/>
      <c r="L646" s="2" t="str">
        <f t="shared" si="55"/>
        <v>_</v>
      </c>
      <c r="M646" s="2"/>
      <c r="N646" s="2">
        <f>IF(ISBLANK(Table2[[#This Row],[ActualResult]]), 0, 1)</f>
        <v>0</v>
      </c>
      <c r="O646" s="2" t="str">
        <f>IF(ISBLANK(Table2[[#This Row],[ActualResult]]), "_", IF(Table2[[#This Row],[ActualWinner]]=Table2[[#This Row],[PredictedWinner]], "Y", "N"))</f>
        <v>_</v>
      </c>
      <c r="P6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6" s="2"/>
      <c r="S646" s="2" t="str">
        <f t="shared" si="56"/>
        <v>_</v>
      </c>
      <c r="T6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6" s="2">
        <f>IF(Table2[[#This Row],[InterConf]]=1,IF(Table2[[#This Row],[InterDiv]]=0, 1, 0), 0)</f>
        <v>1</v>
      </c>
      <c r="W6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6" s="2"/>
      <c r="Y646" s="2"/>
      <c r="Z646" s="145">
        <f>IF(AND(Table2[[#This Row],[GameIsOver]]=1,Table2[[#This Row],[ActualHomeScore]]*Table2[[#This Row],[ActualAwayScore]]=0), 1,0)</f>
        <v>0</v>
      </c>
      <c r="AA6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6" s="2">
        <f>Table2[[#This Row],[ActualAwayScore]]-Table2[[#This Row],[PredictedAwayScore]]</f>
        <v>0</v>
      </c>
      <c r="AG646" s="2">
        <f>Table2[[#This Row],[ActualHomeScore]]-Table2[[#This Row],[PredictedHomeScore]]</f>
        <v>0</v>
      </c>
      <c r="AH646" s="2">
        <f t="shared" si="57"/>
        <v>0</v>
      </c>
      <c r="AI646" s="2">
        <f t="shared" si="58"/>
        <v>0</v>
      </c>
      <c r="AJ646" s="2"/>
      <c r="AK646" s="3"/>
      <c r="AL646" s="2">
        <f>IF(Table2[[#This Row],[GameIsOver]]=0,0,IF(Table2[[#This Row],[ActualWinner]]=Table2[[#This Row],[AwayTeam]], 1, 0))</f>
        <v>0</v>
      </c>
      <c r="AM646" s="2">
        <f>IF(Table2[[#This Row],[GameIsOver]]=0,0,IF(Table2[[#This Row],[ActualWinner]]=Table2[[#This Row],[HomeTeam]], 1, 0))</f>
        <v>0</v>
      </c>
      <c r="AN6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6" s="2" t="str">
        <f>INDEX(Sheet5!$B$2:$AG$33, MATCH(Table2[[#This Row],[AwayTeam]],Sheet5!$A$2:$A$33, 0), MATCH(Table2[[#This Row],[HomeTeam]],Sheet5!$A$2:$A$33, 0))</f>
        <v>0-0-0</v>
      </c>
      <c r="AP646" s="2" t="str">
        <f>INDEX(Sheet5!$B$2:$AG$33, MATCH(Table2[[#This Row],[HomeTeam]],Sheet5!$A$2:$A$33, 0), MATCH(Table2[[#This Row],[AwayTeam]],Sheet5!$A$2:$A$33, 0))</f>
        <v>0-0-0</v>
      </c>
      <c r="AQ646" s="2">
        <f>IF(Table2[[#This Row],[GameHasShutOut]], 1, 0)</f>
        <v>0</v>
      </c>
      <c r="AR646" s="2">
        <f>IF(Table2[[#This Row],[ActualAwayScore]] + Table2[[#This Row],[ActualHomeScore]] &gt;= 10, 1, 0)</f>
        <v>0</v>
      </c>
      <c r="AS646" s="2">
        <f>IF(ABS(Table2[[#This Row],[ActualAwayScore]]-Table2[[#This Row],[ActualHomeScore]])&gt;=5, 1, 0)</f>
        <v>0</v>
      </c>
      <c r="AT646" s="2">
        <f>IF(Table2[[#This Row],[ActualAwayScore]] + Table2[[#This Row],[ActualHomeScore]] &lt;= 3, 1, 0)</f>
        <v>1</v>
      </c>
      <c r="AU646" s="2"/>
      <c r="AV646" s="2"/>
    </row>
    <row r="647" spans="1:48" x14ac:dyDescent="0.25">
      <c r="A647" s="3"/>
      <c r="B647" s="3">
        <v>46025</v>
      </c>
      <c r="C647" s="5">
        <v>2025020645</v>
      </c>
      <c r="D647" s="2" t="s">
        <v>14</v>
      </c>
      <c r="E647" s="2" t="s">
        <v>31</v>
      </c>
      <c r="F647" s="2"/>
      <c r="G647" s="2"/>
      <c r="H647" s="2" t="str">
        <f t="shared" si="54"/>
        <v>_</v>
      </c>
      <c r="I647" s="2"/>
      <c r="J647" s="2"/>
      <c r="K647" s="2"/>
      <c r="L647" s="2" t="str">
        <f t="shared" si="55"/>
        <v>_</v>
      </c>
      <c r="M647" s="2"/>
      <c r="N647" s="2">
        <f>IF(ISBLANK(Table2[[#This Row],[ActualResult]]), 0, 1)</f>
        <v>0</v>
      </c>
      <c r="O647" s="2" t="str">
        <f>IF(ISBLANK(Table2[[#This Row],[ActualResult]]), "_", IF(Table2[[#This Row],[ActualWinner]]=Table2[[#This Row],[PredictedWinner]], "Y", "N"))</f>
        <v>_</v>
      </c>
      <c r="P6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7" s="2"/>
      <c r="S647" s="2" t="str">
        <f t="shared" si="56"/>
        <v>_</v>
      </c>
      <c r="T6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7" s="2">
        <f>IF(Table2[[#This Row],[InterConf]]=1,IF(Table2[[#This Row],[InterDiv]]=0, 1, 0), 0)</f>
        <v>0</v>
      </c>
      <c r="W6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7" s="2"/>
      <c r="Y647" s="2"/>
      <c r="Z647" s="145">
        <f>IF(AND(Table2[[#This Row],[GameIsOver]]=1,Table2[[#This Row],[ActualHomeScore]]*Table2[[#This Row],[ActualAwayScore]]=0), 1,0)</f>
        <v>0</v>
      </c>
      <c r="AA6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7" s="2">
        <f>Table2[[#This Row],[ActualAwayScore]]-Table2[[#This Row],[PredictedAwayScore]]</f>
        <v>0</v>
      </c>
      <c r="AG647" s="2">
        <f>Table2[[#This Row],[ActualHomeScore]]-Table2[[#This Row],[PredictedHomeScore]]</f>
        <v>0</v>
      </c>
      <c r="AH647" s="2">
        <f t="shared" si="57"/>
        <v>0</v>
      </c>
      <c r="AI647" s="2">
        <f t="shared" si="58"/>
        <v>0</v>
      </c>
      <c r="AJ647" s="2"/>
      <c r="AK647" s="3"/>
      <c r="AL647" s="2">
        <f>IF(Table2[[#This Row],[GameIsOver]]=0,0,IF(Table2[[#This Row],[ActualWinner]]=Table2[[#This Row],[AwayTeam]], 1, 0))</f>
        <v>0</v>
      </c>
      <c r="AM647" s="2">
        <f>IF(Table2[[#This Row],[GameIsOver]]=0,0,IF(Table2[[#This Row],[ActualWinner]]=Table2[[#This Row],[HomeTeam]], 1, 0))</f>
        <v>0</v>
      </c>
      <c r="AN6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7" s="2" t="str">
        <f>INDEX(Sheet5!$B$2:$AG$33, MATCH(Table2[[#This Row],[AwayTeam]],Sheet5!$A$2:$A$33, 0), MATCH(Table2[[#This Row],[HomeTeam]],Sheet5!$A$2:$A$33, 0))</f>
        <v>0-0-0</v>
      </c>
      <c r="AP647" s="2" t="str">
        <f>INDEX(Sheet5!$B$2:$AG$33, MATCH(Table2[[#This Row],[HomeTeam]],Sheet5!$A$2:$A$33, 0), MATCH(Table2[[#This Row],[AwayTeam]],Sheet5!$A$2:$A$33, 0))</f>
        <v>0-0-0</v>
      </c>
      <c r="AQ647" s="2">
        <f>IF(Table2[[#This Row],[GameHasShutOut]], 1, 0)</f>
        <v>0</v>
      </c>
      <c r="AR647" s="2">
        <f>IF(Table2[[#This Row],[ActualAwayScore]] + Table2[[#This Row],[ActualHomeScore]] &gt;= 10, 1, 0)</f>
        <v>0</v>
      </c>
      <c r="AS647" s="2">
        <f>IF(ABS(Table2[[#This Row],[ActualAwayScore]]-Table2[[#This Row],[ActualHomeScore]])&gt;=5, 1, 0)</f>
        <v>0</v>
      </c>
      <c r="AT647" s="2">
        <f>IF(Table2[[#This Row],[ActualAwayScore]] + Table2[[#This Row],[ActualHomeScore]] &lt;= 3, 1, 0)</f>
        <v>1</v>
      </c>
      <c r="AU647" s="2"/>
      <c r="AV647" s="2"/>
    </row>
    <row r="648" spans="1:48" x14ac:dyDescent="0.25">
      <c r="A648" s="3"/>
      <c r="B648" s="3">
        <v>46025</v>
      </c>
      <c r="C648" s="5">
        <v>2025020646</v>
      </c>
      <c r="D648" s="2" t="s">
        <v>28</v>
      </c>
      <c r="E648" s="2" t="s">
        <v>35</v>
      </c>
      <c r="F648" s="2"/>
      <c r="G648" s="2"/>
      <c r="H648" s="2" t="str">
        <f t="shared" si="54"/>
        <v>_</v>
      </c>
      <c r="I648" s="2"/>
      <c r="J648" s="2"/>
      <c r="K648" s="2"/>
      <c r="L648" s="2" t="str">
        <f t="shared" si="55"/>
        <v>_</v>
      </c>
      <c r="M648" s="2"/>
      <c r="N648" s="2">
        <f>IF(ISBLANK(Table2[[#This Row],[ActualResult]]), 0, 1)</f>
        <v>0</v>
      </c>
      <c r="O648" s="2" t="str">
        <f>IF(ISBLANK(Table2[[#This Row],[ActualResult]]), "_", IF(Table2[[#This Row],[ActualWinner]]=Table2[[#This Row],[PredictedWinner]], "Y", "N"))</f>
        <v>_</v>
      </c>
      <c r="P6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8" s="2"/>
      <c r="S648" s="2" t="str">
        <f t="shared" si="56"/>
        <v>_</v>
      </c>
      <c r="T6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8" s="2">
        <f>IF(Table2[[#This Row],[InterConf]]=1,IF(Table2[[#This Row],[InterDiv]]=0, 1, 0), 0)</f>
        <v>1</v>
      </c>
      <c r="W6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8" s="2"/>
      <c r="Y648" s="2"/>
      <c r="Z648" s="145">
        <f>IF(AND(Table2[[#This Row],[GameIsOver]]=1,Table2[[#This Row],[ActualHomeScore]]*Table2[[#This Row],[ActualAwayScore]]=0), 1,0)</f>
        <v>0</v>
      </c>
      <c r="AA6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8" s="2">
        <f>Table2[[#This Row],[ActualAwayScore]]-Table2[[#This Row],[PredictedAwayScore]]</f>
        <v>0</v>
      </c>
      <c r="AG648" s="2">
        <f>Table2[[#This Row],[ActualHomeScore]]-Table2[[#This Row],[PredictedHomeScore]]</f>
        <v>0</v>
      </c>
      <c r="AH648" s="2">
        <f t="shared" si="57"/>
        <v>0</v>
      </c>
      <c r="AI648" s="2">
        <f t="shared" si="58"/>
        <v>0</v>
      </c>
      <c r="AJ648" s="2"/>
      <c r="AK648" s="3"/>
      <c r="AL648" s="2">
        <f>IF(Table2[[#This Row],[GameIsOver]]=0,0,IF(Table2[[#This Row],[ActualWinner]]=Table2[[#This Row],[AwayTeam]], 1, 0))</f>
        <v>0</v>
      </c>
      <c r="AM648" s="2">
        <f>IF(Table2[[#This Row],[GameIsOver]]=0,0,IF(Table2[[#This Row],[ActualWinner]]=Table2[[#This Row],[HomeTeam]], 1, 0))</f>
        <v>0</v>
      </c>
      <c r="AN6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8" s="2" t="str">
        <f>INDEX(Sheet5!$B$2:$AG$33, MATCH(Table2[[#This Row],[AwayTeam]],Sheet5!$A$2:$A$33, 0), MATCH(Table2[[#This Row],[HomeTeam]],Sheet5!$A$2:$A$33, 0))</f>
        <v>0-0-0</v>
      </c>
      <c r="AP648" s="2" t="str">
        <f>INDEX(Sheet5!$B$2:$AG$33, MATCH(Table2[[#This Row],[HomeTeam]],Sheet5!$A$2:$A$33, 0), MATCH(Table2[[#This Row],[AwayTeam]],Sheet5!$A$2:$A$33, 0))</f>
        <v>0-0-0</v>
      </c>
      <c r="AQ648" s="2">
        <f>IF(Table2[[#This Row],[GameHasShutOut]], 1, 0)</f>
        <v>0</v>
      </c>
      <c r="AR648" s="2">
        <f>IF(Table2[[#This Row],[ActualAwayScore]] + Table2[[#This Row],[ActualHomeScore]] &gt;= 10, 1, 0)</f>
        <v>0</v>
      </c>
      <c r="AS648" s="2">
        <f>IF(ABS(Table2[[#This Row],[ActualAwayScore]]-Table2[[#This Row],[ActualHomeScore]])&gt;=5, 1, 0)</f>
        <v>0</v>
      </c>
      <c r="AT648" s="2">
        <f>IF(Table2[[#This Row],[ActualAwayScore]] + Table2[[#This Row],[ActualHomeScore]] &lt;= 3, 1, 0)</f>
        <v>1</v>
      </c>
      <c r="AU648" s="2"/>
      <c r="AV648" s="2"/>
    </row>
    <row r="649" spans="1:48" x14ac:dyDescent="0.25">
      <c r="A649" s="3"/>
      <c r="B649" s="3">
        <v>46025</v>
      </c>
      <c r="C649" s="5">
        <v>2025020647</v>
      </c>
      <c r="D649" s="2" t="s">
        <v>42</v>
      </c>
      <c r="E649" s="2" t="s">
        <v>22</v>
      </c>
      <c r="F649" s="2"/>
      <c r="G649" s="2"/>
      <c r="H649" s="2" t="str">
        <f t="shared" si="54"/>
        <v>_</v>
      </c>
      <c r="I649" s="2"/>
      <c r="J649" s="2"/>
      <c r="K649" s="2"/>
      <c r="L649" s="2" t="str">
        <f t="shared" si="55"/>
        <v>_</v>
      </c>
      <c r="M649" s="2"/>
      <c r="N649" s="2">
        <f>IF(ISBLANK(Table2[[#This Row],[ActualResult]]), 0, 1)</f>
        <v>0</v>
      </c>
      <c r="O649" s="2" t="str">
        <f>IF(ISBLANK(Table2[[#This Row],[ActualResult]]), "_", IF(Table2[[#This Row],[ActualWinner]]=Table2[[#This Row],[PredictedWinner]], "Y", "N"))</f>
        <v>_</v>
      </c>
      <c r="P6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9" s="2"/>
      <c r="S649" s="2" t="str">
        <f t="shared" si="56"/>
        <v>_</v>
      </c>
      <c r="T6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9" s="2">
        <f>IF(Table2[[#This Row],[InterConf]]=1,IF(Table2[[#This Row],[InterDiv]]=0, 1, 0), 0)</f>
        <v>0</v>
      </c>
      <c r="W6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9" s="2"/>
      <c r="Y649" s="2"/>
      <c r="Z649" s="145">
        <f>IF(AND(Table2[[#This Row],[GameIsOver]]=1,Table2[[#This Row],[ActualHomeScore]]*Table2[[#This Row],[ActualAwayScore]]=0), 1,0)</f>
        <v>0</v>
      </c>
      <c r="AA6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9" s="2">
        <f>Table2[[#This Row],[ActualAwayScore]]-Table2[[#This Row],[PredictedAwayScore]]</f>
        <v>0</v>
      </c>
      <c r="AG649" s="2">
        <f>Table2[[#This Row],[ActualHomeScore]]-Table2[[#This Row],[PredictedHomeScore]]</f>
        <v>0</v>
      </c>
      <c r="AH649" s="2">
        <f t="shared" si="57"/>
        <v>0</v>
      </c>
      <c r="AI649" s="2">
        <f t="shared" si="58"/>
        <v>0</v>
      </c>
      <c r="AJ649" s="2"/>
      <c r="AK649" s="3"/>
      <c r="AL649" s="2">
        <f>IF(Table2[[#This Row],[GameIsOver]]=0,0,IF(Table2[[#This Row],[ActualWinner]]=Table2[[#This Row],[AwayTeam]], 1, 0))</f>
        <v>0</v>
      </c>
      <c r="AM649" s="2">
        <f>IF(Table2[[#This Row],[GameIsOver]]=0,0,IF(Table2[[#This Row],[ActualWinner]]=Table2[[#This Row],[HomeTeam]], 1, 0))</f>
        <v>0</v>
      </c>
      <c r="AN6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9" s="2" t="str">
        <f>INDEX(Sheet5!$B$2:$AG$33, MATCH(Table2[[#This Row],[AwayTeam]],Sheet5!$A$2:$A$33, 0), MATCH(Table2[[#This Row],[HomeTeam]],Sheet5!$A$2:$A$33, 0))</f>
        <v>0-0-0</v>
      </c>
      <c r="AP649" s="2" t="str">
        <f>INDEX(Sheet5!$B$2:$AG$33, MATCH(Table2[[#This Row],[HomeTeam]],Sheet5!$A$2:$A$33, 0), MATCH(Table2[[#This Row],[AwayTeam]],Sheet5!$A$2:$A$33, 0))</f>
        <v>0-0-0</v>
      </c>
      <c r="AQ649" s="2">
        <f>IF(Table2[[#This Row],[GameHasShutOut]], 1, 0)</f>
        <v>0</v>
      </c>
      <c r="AR649" s="2">
        <f>IF(Table2[[#This Row],[ActualAwayScore]] + Table2[[#This Row],[ActualHomeScore]] &gt;= 10, 1, 0)</f>
        <v>0</v>
      </c>
      <c r="AS649" s="2">
        <f>IF(ABS(Table2[[#This Row],[ActualAwayScore]]-Table2[[#This Row],[ActualHomeScore]])&gt;=5, 1, 0)</f>
        <v>0</v>
      </c>
      <c r="AT649" s="2">
        <f>IF(Table2[[#This Row],[ActualAwayScore]] + Table2[[#This Row],[ActualHomeScore]] &lt;= 3, 1, 0)</f>
        <v>1</v>
      </c>
      <c r="AU649" s="2"/>
      <c r="AV649" s="2"/>
    </row>
    <row r="650" spans="1:48" x14ac:dyDescent="0.25">
      <c r="A650" s="3"/>
      <c r="B650" s="3">
        <v>46025</v>
      </c>
      <c r="C650" s="5">
        <v>2025020648</v>
      </c>
      <c r="D650" s="2" t="s">
        <v>18</v>
      </c>
      <c r="E650" s="2" t="s">
        <v>12</v>
      </c>
      <c r="F650" s="2"/>
      <c r="G650" s="2"/>
      <c r="H650" s="2" t="str">
        <f t="shared" si="54"/>
        <v>_</v>
      </c>
      <c r="I650" s="2"/>
      <c r="J650" s="2"/>
      <c r="K650" s="2"/>
      <c r="L650" s="2" t="str">
        <f t="shared" si="55"/>
        <v>_</v>
      </c>
      <c r="M650" s="2"/>
      <c r="N650" s="2">
        <f>IF(ISBLANK(Table2[[#This Row],[ActualResult]]), 0, 1)</f>
        <v>0</v>
      </c>
      <c r="O650" s="2" t="str">
        <f>IF(ISBLANK(Table2[[#This Row],[ActualResult]]), "_", IF(Table2[[#This Row],[ActualWinner]]=Table2[[#This Row],[PredictedWinner]], "Y", "N"))</f>
        <v>_</v>
      </c>
      <c r="P6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0" s="2"/>
      <c r="S650" s="2" t="str">
        <f t="shared" si="56"/>
        <v>_</v>
      </c>
      <c r="T6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0" s="2">
        <f>IF(Table2[[#This Row],[InterConf]]=1,IF(Table2[[#This Row],[InterDiv]]=0, 1, 0), 0)</f>
        <v>0</v>
      </c>
      <c r="W6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0" s="2"/>
      <c r="Y650" s="2"/>
      <c r="Z650" s="145">
        <f>IF(AND(Table2[[#This Row],[GameIsOver]]=1,Table2[[#This Row],[ActualHomeScore]]*Table2[[#This Row],[ActualAwayScore]]=0), 1,0)</f>
        <v>0</v>
      </c>
      <c r="AA6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50" s="2">
        <f>Table2[[#This Row],[ActualAwayScore]]-Table2[[#This Row],[PredictedAwayScore]]</f>
        <v>0</v>
      </c>
      <c r="AG650" s="2">
        <f>Table2[[#This Row],[ActualHomeScore]]-Table2[[#This Row],[PredictedHomeScore]]</f>
        <v>0</v>
      </c>
      <c r="AH650" s="2">
        <f t="shared" si="57"/>
        <v>0</v>
      </c>
      <c r="AI650" s="2">
        <f t="shared" si="58"/>
        <v>0</v>
      </c>
      <c r="AJ650" s="2"/>
      <c r="AK650" s="3"/>
      <c r="AL650" s="2">
        <f>IF(Table2[[#This Row],[GameIsOver]]=0,0,IF(Table2[[#This Row],[ActualWinner]]=Table2[[#This Row],[AwayTeam]], 1, 0))</f>
        <v>0</v>
      </c>
      <c r="AM650" s="2">
        <f>IF(Table2[[#This Row],[GameIsOver]]=0,0,IF(Table2[[#This Row],[ActualWinner]]=Table2[[#This Row],[HomeTeam]], 1, 0))</f>
        <v>0</v>
      </c>
      <c r="AN6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0" s="2" t="str">
        <f>INDEX(Sheet5!$B$2:$AG$33, MATCH(Table2[[#This Row],[AwayTeam]],Sheet5!$A$2:$A$33, 0), MATCH(Table2[[#This Row],[HomeTeam]],Sheet5!$A$2:$A$33, 0))</f>
        <v>0-0-0</v>
      </c>
      <c r="AP650" s="2" t="str">
        <f>INDEX(Sheet5!$B$2:$AG$33, MATCH(Table2[[#This Row],[HomeTeam]],Sheet5!$A$2:$A$33, 0), MATCH(Table2[[#This Row],[AwayTeam]],Sheet5!$A$2:$A$33, 0))</f>
        <v>0-0-0</v>
      </c>
      <c r="AQ650" s="2">
        <f>IF(Table2[[#This Row],[GameHasShutOut]], 1, 0)</f>
        <v>0</v>
      </c>
      <c r="AR650" s="2">
        <f>IF(Table2[[#This Row],[ActualAwayScore]] + Table2[[#This Row],[ActualHomeScore]] &gt;= 10, 1, 0)</f>
        <v>0</v>
      </c>
      <c r="AS650" s="2">
        <f>IF(ABS(Table2[[#This Row],[ActualAwayScore]]-Table2[[#This Row],[ActualHomeScore]])&gt;=5, 1, 0)</f>
        <v>0</v>
      </c>
      <c r="AT650" s="2">
        <f>IF(Table2[[#This Row],[ActualAwayScore]] + Table2[[#This Row],[ActualHomeScore]] &lt;= 3, 1, 0)</f>
        <v>1</v>
      </c>
      <c r="AU650" s="2"/>
      <c r="AV650" s="2"/>
    </row>
    <row r="651" spans="1:48" x14ac:dyDescent="0.25">
      <c r="A651" s="3"/>
      <c r="B651" s="3">
        <v>46025</v>
      </c>
      <c r="C651" s="5">
        <v>2025020649</v>
      </c>
      <c r="D651" s="2" t="s">
        <v>40</v>
      </c>
      <c r="E651" s="2" t="s">
        <v>37</v>
      </c>
      <c r="F651" s="2"/>
      <c r="G651" s="2"/>
      <c r="H651" s="2" t="str">
        <f t="shared" si="54"/>
        <v>_</v>
      </c>
      <c r="I651" s="2"/>
      <c r="J651" s="2"/>
      <c r="K651" s="2"/>
      <c r="L651" s="2" t="str">
        <f t="shared" si="55"/>
        <v>_</v>
      </c>
      <c r="M651" s="2"/>
      <c r="N651" s="2">
        <f>IF(ISBLANK(Table2[[#This Row],[ActualResult]]), 0, 1)</f>
        <v>0</v>
      </c>
      <c r="O651" s="2" t="str">
        <f>IF(ISBLANK(Table2[[#This Row],[ActualResult]]), "_", IF(Table2[[#This Row],[ActualWinner]]=Table2[[#This Row],[PredictedWinner]], "Y", "N"))</f>
        <v>_</v>
      </c>
      <c r="P6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1" s="2"/>
      <c r="S651" s="2" t="str">
        <f t="shared" si="56"/>
        <v>_</v>
      </c>
      <c r="T6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1" s="2">
        <f>IF(Table2[[#This Row],[InterConf]]=1,IF(Table2[[#This Row],[InterDiv]]=0, 1, 0), 0)</f>
        <v>0</v>
      </c>
      <c r="W6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1" s="2"/>
      <c r="Y651" s="2"/>
      <c r="Z651" s="145">
        <f>IF(AND(Table2[[#This Row],[GameIsOver]]=1,Table2[[#This Row],[ActualHomeScore]]*Table2[[#This Row],[ActualAwayScore]]=0), 1,0)</f>
        <v>0</v>
      </c>
      <c r="AA6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51" s="2">
        <f>Table2[[#This Row],[ActualAwayScore]]-Table2[[#This Row],[PredictedAwayScore]]</f>
        <v>0</v>
      </c>
      <c r="AG651" s="2">
        <f>Table2[[#This Row],[ActualHomeScore]]-Table2[[#This Row],[PredictedHomeScore]]</f>
        <v>0</v>
      </c>
      <c r="AH651" s="2">
        <f t="shared" si="57"/>
        <v>0</v>
      </c>
      <c r="AI651" s="2">
        <f t="shared" si="58"/>
        <v>0</v>
      </c>
      <c r="AJ651" s="2"/>
      <c r="AK651" s="3"/>
      <c r="AL651" s="2">
        <f>IF(Table2[[#This Row],[GameIsOver]]=0,0,IF(Table2[[#This Row],[ActualWinner]]=Table2[[#This Row],[AwayTeam]], 1, 0))</f>
        <v>0</v>
      </c>
      <c r="AM651" s="2">
        <f>IF(Table2[[#This Row],[GameIsOver]]=0,0,IF(Table2[[#This Row],[ActualWinner]]=Table2[[#This Row],[HomeTeam]], 1, 0))</f>
        <v>0</v>
      </c>
      <c r="AN6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1" s="2" t="str">
        <f>INDEX(Sheet5!$B$2:$AG$33, MATCH(Table2[[#This Row],[AwayTeam]],Sheet5!$A$2:$A$33, 0), MATCH(Table2[[#This Row],[HomeTeam]],Sheet5!$A$2:$A$33, 0))</f>
        <v>0-0-0</v>
      </c>
      <c r="AP651" s="2" t="str">
        <f>INDEX(Sheet5!$B$2:$AG$33, MATCH(Table2[[#This Row],[HomeTeam]],Sheet5!$A$2:$A$33, 0), MATCH(Table2[[#This Row],[AwayTeam]],Sheet5!$A$2:$A$33, 0))</f>
        <v>0-0-0</v>
      </c>
      <c r="AQ651" s="2">
        <f>IF(Table2[[#This Row],[GameHasShutOut]], 1, 0)</f>
        <v>0</v>
      </c>
      <c r="AR651" s="2">
        <f>IF(Table2[[#This Row],[ActualAwayScore]] + Table2[[#This Row],[ActualHomeScore]] &gt;= 10, 1, 0)</f>
        <v>0</v>
      </c>
      <c r="AS651" s="2">
        <f>IF(ABS(Table2[[#This Row],[ActualAwayScore]]-Table2[[#This Row],[ActualHomeScore]])&gt;=5, 1, 0)</f>
        <v>0</v>
      </c>
      <c r="AT651" s="2">
        <f>IF(Table2[[#This Row],[ActualAwayScore]] + Table2[[#This Row],[ActualHomeScore]] &lt;= 3, 1, 0)</f>
        <v>1</v>
      </c>
      <c r="AU651" s="2"/>
      <c r="AV651" s="2"/>
    </row>
    <row r="652" spans="1:48" x14ac:dyDescent="0.25">
      <c r="A652" s="3"/>
      <c r="B652" s="3">
        <v>46026</v>
      </c>
      <c r="C652" s="5">
        <v>2025020650</v>
      </c>
      <c r="D652" s="2" t="s">
        <v>21</v>
      </c>
      <c r="E652" s="2" t="s">
        <v>29</v>
      </c>
      <c r="F652" s="2"/>
      <c r="G652" s="2"/>
      <c r="H652" s="2" t="str">
        <f t="shared" si="54"/>
        <v>_</v>
      </c>
      <c r="I652" s="2"/>
      <c r="J652" s="2"/>
      <c r="K652" s="2"/>
      <c r="L652" s="2" t="str">
        <f t="shared" si="55"/>
        <v>_</v>
      </c>
      <c r="M652" s="2"/>
      <c r="N652" s="2">
        <f>IF(ISBLANK(Table2[[#This Row],[ActualResult]]), 0, 1)</f>
        <v>0</v>
      </c>
      <c r="O652" s="2" t="str">
        <f>IF(ISBLANK(Table2[[#This Row],[ActualResult]]), "_", IF(Table2[[#This Row],[ActualWinner]]=Table2[[#This Row],[PredictedWinner]], "Y", "N"))</f>
        <v>_</v>
      </c>
      <c r="P6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2" s="2"/>
      <c r="S652" s="2" t="str">
        <f t="shared" si="56"/>
        <v>_</v>
      </c>
      <c r="T6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2" s="2">
        <f>IF(Table2[[#This Row],[InterConf]]=1,IF(Table2[[#This Row],[InterDiv]]=0, 1, 0), 0)</f>
        <v>0</v>
      </c>
      <c r="W6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2" s="2"/>
      <c r="Y652" s="2"/>
      <c r="Z652" s="145">
        <f>IF(AND(Table2[[#This Row],[GameIsOver]]=1,Table2[[#This Row],[ActualHomeScore]]*Table2[[#This Row],[ActualAwayScore]]=0), 1,0)</f>
        <v>0</v>
      </c>
      <c r="AA6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2" s="2">
        <f>Table2[[#This Row],[ActualAwayScore]]-Table2[[#This Row],[PredictedAwayScore]]</f>
        <v>0</v>
      </c>
      <c r="AG652" s="2">
        <f>Table2[[#This Row],[ActualHomeScore]]-Table2[[#This Row],[PredictedHomeScore]]</f>
        <v>0</v>
      </c>
      <c r="AH652" s="2">
        <f t="shared" si="57"/>
        <v>0</v>
      </c>
      <c r="AI652" s="2">
        <f t="shared" si="58"/>
        <v>0</v>
      </c>
      <c r="AJ652" s="2"/>
      <c r="AK652" s="3"/>
      <c r="AL652" s="2">
        <f>IF(Table2[[#This Row],[GameIsOver]]=0,0,IF(Table2[[#This Row],[ActualWinner]]=Table2[[#This Row],[AwayTeam]], 1, 0))</f>
        <v>0</v>
      </c>
      <c r="AM652" s="2">
        <f>IF(Table2[[#This Row],[GameIsOver]]=0,0,IF(Table2[[#This Row],[ActualWinner]]=Table2[[#This Row],[HomeTeam]], 1, 0))</f>
        <v>0</v>
      </c>
      <c r="AN6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2" s="2" t="str">
        <f>INDEX(Sheet5!$B$2:$AG$33, MATCH(Table2[[#This Row],[AwayTeam]],Sheet5!$A$2:$A$33, 0), MATCH(Table2[[#This Row],[HomeTeam]],Sheet5!$A$2:$A$33, 0))</f>
        <v>0-0-0</v>
      </c>
      <c r="AP652" s="2" t="str">
        <f>INDEX(Sheet5!$B$2:$AG$33, MATCH(Table2[[#This Row],[HomeTeam]],Sheet5!$A$2:$A$33, 0), MATCH(Table2[[#This Row],[AwayTeam]],Sheet5!$A$2:$A$33, 0))</f>
        <v>0-0-0</v>
      </c>
      <c r="AQ652" s="2">
        <f>IF(Table2[[#This Row],[GameHasShutOut]], 1, 0)</f>
        <v>0</v>
      </c>
      <c r="AR652" s="2">
        <f>IF(Table2[[#This Row],[ActualAwayScore]] + Table2[[#This Row],[ActualHomeScore]] &gt;= 10, 1, 0)</f>
        <v>0</v>
      </c>
      <c r="AS652" s="2">
        <f>IF(ABS(Table2[[#This Row],[ActualAwayScore]]-Table2[[#This Row],[ActualHomeScore]])&gt;=5, 1, 0)</f>
        <v>0</v>
      </c>
      <c r="AT652" s="2">
        <f>IF(Table2[[#This Row],[ActualAwayScore]] + Table2[[#This Row],[ActualHomeScore]] &lt;= 3, 1, 0)</f>
        <v>1</v>
      </c>
      <c r="AU652" s="2"/>
      <c r="AV652" s="2"/>
    </row>
    <row r="653" spans="1:48" x14ac:dyDescent="0.25">
      <c r="A653" s="3"/>
      <c r="B653" s="3">
        <v>46026</v>
      </c>
      <c r="C653" s="5">
        <v>2025020651</v>
      </c>
      <c r="D653" s="2" t="s">
        <v>17</v>
      </c>
      <c r="E653" s="2" t="s">
        <v>32</v>
      </c>
      <c r="F653" s="2"/>
      <c r="G653" s="2"/>
      <c r="H653" s="2" t="str">
        <f t="shared" si="54"/>
        <v>_</v>
      </c>
      <c r="I653" s="2"/>
      <c r="J653" s="2"/>
      <c r="K653" s="2"/>
      <c r="L653" s="2" t="str">
        <f t="shared" si="55"/>
        <v>_</v>
      </c>
      <c r="M653" s="2"/>
      <c r="N653" s="2">
        <f>IF(ISBLANK(Table2[[#This Row],[ActualResult]]), 0, 1)</f>
        <v>0</v>
      </c>
      <c r="O653" s="2" t="str">
        <f>IF(ISBLANK(Table2[[#This Row],[ActualResult]]), "_", IF(Table2[[#This Row],[ActualWinner]]=Table2[[#This Row],[PredictedWinner]], "Y", "N"))</f>
        <v>_</v>
      </c>
      <c r="P6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3" s="2"/>
      <c r="S653" s="2" t="str">
        <f t="shared" si="56"/>
        <v>_</v>
      </c>
      <c r="T6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3" s="2">
        <f>IF(Table2[[#This Row],[InterConf]]=1,IF(Table2[[#This Row],[InterDiv]]=0, 1, 0), 0)</f>
        <v>1</v>
      </c>
      <c r="W6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53" s="2"/>
      <c r="Y653" s="2"/>
      <c r="Z653" s="145">
        <f>IF(AND(Table2[[#This Row],[GameIsOver]]=1,Table2[[#This Row],[ActualHomeScore]]*Table2[[#This Row],[ActualAwayScore]]=0), 1,0)</f>
        <v>0</v>
      </c>
      <c r="AA6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3" s="2">
        <f>Table2[[#This Row],[ActualAwayScore]]-Table2[[#This Row],[PredictedAwayScore]]</f>
        <v>0</v>
      </c>
      <c r="AG653" s="2">
        <f>Table2[[#This Row],[ActualHomeScore]]-Table2[[#This Row],[PredictedHomeScore]]</f>
        <v>0</v>
      </c>
      <c r="AH653" s="2">
        <f t="shared" si="57"/>
        <v>0</v>
      </c>
      <c r="AI653" s="2">
        <f t="shared" si="58"/>
        <v>0</v>
      </c>
      <c r="AJ653" s="2"/>
      <c r="AK653" s="3"/>
      <c r="AL653" s="2">
        <f>IF(Table2[[#This Row],[GameIsOver]]=0,0,IF(Table2[[#This Row],[ActualWinner]]=Table2[[#This Row],[AwayTeam]], 1, 0))</f>
        <v>0</v>
      </c>
      <c r="AM653" s="2">
        <f>IF(Table2[[#This Row],[GameIsOver]]=0,0,IF(Table2[[#This Row],[ActualWinner]]=Table2[[#This Row],[HomeTeam]], 1, 0))</f>
        <v>0</v>
      </c>
      <c r="AN6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3" s="2" t="str">
        <f>INDEX(Sheet5!$B$2:$AG$33, MATCH(Table2[[#This Row],[AwayTeam]],Sheet5!$A$2:$A$33, 0), MATCH(Table2[[#This Row],[HomeTeam]],Sheet5!$A$2:$A$33, 0))</f>
        <v>0-0-0</v>
      </c>
      <c r="AP653" s="2" t="str">
        <f>INDEX(Sheet5!$B$2:$AG$33, MATCH(Table2[[#This Row],[HomeTeam]],Sheet5!$A$2:$A$33, 0), MATCH(Table2[[#This Row],[AwayTeam]],Sheet5!$A$2:$A$33, 0))</f>
        <v>0-0-0</v>
      </c>
      <c r="AQ653" s="2">
        <f>IF(Table2[[#This Row],[GameHasShutOut]], 1, 0)</f>
        <v>0</v>
      </c>
      <c r="AR653" s="2">
        <f>IF(Table2[[#This Row],[ActualAwayScore]] + Table2[[#This Row],[ActualHomeScore]] &gt;= 10, 1, 0)</f>
        <v>0</v>
      </c>
      <c r="AS653" s="2">
        <f>IF(ABS(Table2[[#This Row],[ActualAwayScore]]-Table2[[#This Row],[ActualHomeScore]])&gt;=5, 1, 0)</f>
        <v>0</v>
      </c>
      <c r="AT653" s="2">
        <f>IF(Table2[[#This Row],[ActualAwayScore]] + Table2[[#This Row],[ActualHomeScore]] &lt;= 3, 1, 0)</f>
        <v>1</v>
      </c>
      <c r="AU653" s="2"/>
      <c r="AV653" s="2"/>
    </row>
    <row r="654" spans="1:48" x14ac:dyDescent="0.25">
      <c r="A654" s="3"/>
      <c r="B654" s="3">
        <v>46026</v>
      </c>
      <c r="C654" s="5">
        <v>2025020652</v>
      </c>
      <c r="D654" s="2" t="s">
        <v>16</v>
      </c>
      <c r="E654" s="2" t="s">
        <v>43</v>
      </c>
      <c r="F654" s="2"/>
      <c r="G654" s="2"/>
      <c r="H654" s="2" t="str">
        <f t="shared" si="54"/>
        <v>_</v>
      </c>
      <c r="I654" s="2"/>
      <c r="J654" s="2"/>
      <c r="K654" s="2"/>
      <c r="L654" s="2" t="str">
        <f t="shared" si="55"/>
        <v>_</v>
      </c>
      <c r="M654" s="2"/>
      <c r="N654" s="2">
        <f>IF(ISBLANK(Table2[[#This Row],[ActualResult]]), 0, 1)</f>
        <v>0</v>
      </c>
      <c r="O654" s="2" t="str">
        <f>IF(ISBLANK(Table2[[#This Row],[ActualResult]]), "_", IF(Table2[[#This Row],[ActualWinner]]=Table2[[#This Row],[PredictedWinner]], "Y", "N"))</f>
        <v>_</v>
      </c>
      <c r="P6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4" s="2"/>
      <c r="S654" s="2" t="str">
        <f t="shared" si="56"/>
        <v>_</v>
      </c>
      <c r="T6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4" s="2">
        <f>IF(Table2[[#This Row],[InterConf]]=1,IF(Table2[[#This Row],[InterDiv]]=0, 1, 0), 0)</f>
        <v>0</v>
      </c>
      <c r="W6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4" s="2"/>
      <c r="Y654" s="2"/>
      <c r="Z654" s="145">
        <f>IF(AND(Table2[[#This Row],[GameIsOver]]=1,Table2[[#This Row],[ActualHomeScore]]*Table2[[#This Row],[ActualAwayScore]]=0), 1,0)</f>
        <v>0</v>
      </c>
      <c r="AA6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4" s="2">
        <f>Table2[[#This Row],[ActualAwayScore]]-Table2[[#This Row],[PredictedAwayScore]]</f>
        <v>0</v>
      </c>
      <c r="AG654" s="2">
        <f>Table2[[#This Row],[ActualHomeScore]]-Table2[[#This Row],[PredictedHomeScore]]</f>
        <v>0</v>
      </c>
      <c r="AH654" s="2">
        <f t="shared" si="57"/>
        <v>0</v>
      </c>
      <c r="AI654" s="2">
        <f t="shared" si="58"/>
        <v>0</v>
      </c>
      <c r="AJ654" s="2"/>
      <c r="AK654" s="3"/>
      <c r="AL654" s="2">
        <f>IF(Table2[[#This Row],[GameIsOver]]=0,0,IF(Table2[[#This Row],[ActualWinner]]=Table2[[#This Row],[AwayTeam]], 1, 0))</f>
        <v>0</v>
      </c>
      <c r="AM654" s="2">
        <f>IF(Table2[[#This Row],[GameIsOver]]=0,0,IF(Table2[[#This Row],[ActualWinner]]=Table2[[#This Row],[HomeTeam]], 1, 0))</f>
        <v>0</v>
      </c>
      <c r="AN6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4" s="2" t="str">
        <f>INDEX(Sheet5!$B$2:$AG$33, MATCH(Table2[[#This Row],[AwayTeam]],Sheet5!$A$2:$A$33, 0), MATCH(Table2[[#This Row],[HomeTeam]],Sheet5!$A$2:$A$33, 0))</f>
        <v>0-0-0</v>
      </c>
      <c r="AP654" s="2" t="str">
        <f>INDEX(Sheet5!$B$2:$AG$33, MATCH(Table2[[#This Row],[HomeTeam]],Sheet5!$A$2:$A$33, 0), MATCH(Table2[[#This Row],[AwayTeam]],Sheet5!$A$2:$A$33, 0))</f>
        <v>0-0-0</v>
      </c>
      <c r="AQ654" s="2">
        <f>IF(Table2[[#This Row],[GameHasShutOut]], 1, 0)</f>
        <v>0</v>
      </c>
      <c r="AR654" s="2">
        <f>IF(Table2[[#This Row],[ActualAwayScore]] + Table2[[#This Row],[ActualHomeScore]] &gt;= 10, 1, 0)</f>
        <v>0</v>
      </c>
      <c r="AS654" s="2">
        <f>IF(ABS(Table2[[#This Row],[ActualAwayScore]]-Table2[[#This Row],[ActualHomeScore]])&gt;=5, 1, 0)</f>
        <v>0</v>
      </c>
      <c r="AT654" s="2">
        <f>IF(Table2[[#This Row],[ActualAwayScore]] + Table2[[#This Row],[ActualHomeScore]] &lt;= 3, 1, 0)</f>
        <v>1</v>
      </c>
      <c r="AU654" s="2"/>
      <c r="AV654" s="2"/>
    </row>
    <row r="655" spans="1:48" x14ac:dyDescent="0.25">
      <c r="A655" s="3"/>
      <c r="B655" s="3">
        <v>46026</v>
      </c>
      <c r="C655" s="5">
        <v>2025020653</v>
      </c>
      <c r="D655" s="2" t="s">
        <v>25</v>
      </c>
      <c r="E655" s="2" t="s">
        <v>41</v>
      </c>
      <c r="F655" s="2"/>
      <c r="G655" s="2"/>
      <c r="H655" s="2" t="str">
        <f t="shared" si="54"/>
        <v>_</v>
      </c>
      <c r="I655" s="2"/>
      <c r="J655" s="2"/>
      <c r="K655" s="2"/>
      <c r="L655" s="2" t="str">
        <f t="shared" si="55"/>
        <v>_</v>
      </c>
      <c r="M655" s="2"/>
      <c r="N655" s="2">
        <f>IF(ISBLANK(Table2[[#This Row],[ActualResult]]), 0, 1)</f>
        <v>0</v>
      </c>
      <c r="O655" s="2" t="str">
        <f>IF(ISBLANK(Table2[[#This Row],[ActualResult]]), "_", IF(Table2[[#This Row],[ActualWinner]]=Table2[[#This Row],[PredictedWinner]], "Y", "N"))</f>
        <v>_</v>
      </c>
      <c r="P6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5" s="2"/>
      <c r="S655" s="2" t="str">
        <f t="shared" si="56"/>
        <v>_</v>
      </c>
      <c r="T6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5" s="2">
        <f>IF(Table2[[#This Row],[InterConf]]=1,IF(Table2[[#This Row],[InterDiv]]=0, 1, 0), 0)</f>
        <v>0</v>
      </c>
      <c r="W6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5" s="2"/>
      <c r="Y655" s="2"/>
      <c r="Z655" s="145">
        <f>IF(AND(Table2[[#This Row],[GameIsOver]]=1,Table2[[#This Row],[ActualHomeScore]]*Table2[[#This Row],[ActualAwayScore]]=0), 1,0)</f>
        <v>0</v>
      </c>
      <c r="AA6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5" s="2">
        <f>Table2[[#This Row],[ActualAwayScore]]-Table2[[#This Row],[PredictedAwayScore]]</f>
        <v>0</v>
      </c>
      <c r="AG655" s="2">
        <f>Table2[[#This Row],[ActualHomeScore]]-Table2[[#This Row],[PredictedHomeScore]]</f>
        <v>0</v>
      </c>
      <c r="AH655" s="2">
        <f t="shared" si="57"/>
        <v>0</v>
      </c>
      <c r="AI655" s="2">
        <f t="shared" si="58"/>
        <v>0</v>
      </c>
      <c r="AJ655" s="2"/>
      <c r="AK655" s="3"/>
      <c r="AL655" s="2">
        <f>IF(Table2[[#This Row],[GameIsOver]]=0,0,IF(Table2[[#This Row],[ActualWinner]]=Table2[[#This Row],[AwayTeam]], 1, 0))</f>
        <v>0</v>
      </c>
      <c r="AM655" s="2">
        <f>IF(Table2[[#This Row],[GameIsOver]]=0,0,IF(Table2[[#This Row],[ActualWinner]]=Table2[[#This Row],[HomeTeam]], 1, 0))</f>
        <v>0</v>
      </c>
      <c r="AN6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5" s="2" t="str">
        <f>INDEX(Sheet5!$B$2:$AG$33, MATCH(Table2[[#This Row],[AwayTeam]],Sheet5!$A$2:$A$33, 0), MATCH(Table2[[#This Row],[HomeTeam]],Sheet5!$A$2:$A$33, 0))</f>
        <v>0-0-0</v>
      </c>
      <c r="AP655" s="2" t="str">
        <f>INDEX(Sheet5!$B$2:$AG$33, MATCH(Table2[[#This Row],[HomeTeam]],Sheet5!$A$2:$A$33, 0), MATCH(Table2[[#This Row],[AwayTeam]],Sheet5!$A$2:$A$33, 0))</f>
        <v>0-0-0</v>
      </c>
      <c r="AQ655" s="2">
        <f>IF(Table2[[#This Row],[GameHasShutOut]], 1, 0)</f>
        <v>0</v>
      </c>
      <c r="AR655" s="2">
        <f>IF(Table2[[#This Row],[ActualAwayScore]] + Table2[[#This Row],[ActualHomeScore]] &gt;= 10, 1, 0)</f>
        <v>0</v>
      </c>
      <c r="AS655" s="2">
        <f>IF(ABS(Table2[[#This Row],[ActualAwayScore]]-Table2[[#This Row],[ActualHomeScore]])&gt;=5, 1, 0)</f>
        <v>0</v>
      </c>
      <c r="AT655" s="2">
        <f>IF(Table2[[#This Row],[ActualAwayScore]] + Table2[[#This Row],[ActualHomeScore]] &lt;= 3, 1, 0)</f>
        <v>1</v>
      </c>
      <c r="AU655" s="2"/>
      <c r="AV655" s="2"/>
    </row>
    <row r="656" spans="1:48" x14ac:dyDescent="0.25">
      <c r="A656" s="3"/>
      <c r="B656" s="3">
        <v>46026</v>
      </c>
      <c r="C656" s="5">
        <v>2025020654</v>
      </c>
      <c r="D656" s="2" t="s">
        <v>34</v>
      </c>
      <c r="E656" s="2" t="s">
        <v>23</v>
      </c>
      <c r="F656" s="2"/>
      <c r="G656" s="2"/>
      <c r="H656" s="2" t="str">
        <f t="shared" si="54"/>
        <v>_</v>
      </c>
      <c r="I656" s="2"/>
      <c r="J656" s="2"/>
      <c r="K656" s="2"/>
      <c r="L656" s="2" t="str">
        <f t="shared" si="55"/>
        <v>_</v>
      </c>
      <c r="M656" s="2"/>
      <c r="N656" s="2">
        <f>IF(ISBLANK(Table2[[#This Row],[ActualResult]]), 0, 1)</f>
        <v>0</v>
      </c>
      <c r="O656" s="2" t="str">
        <f>IF(ISBLANK(Table2[[#This Row],[ActualResult]]), "_", IF(Table2[[#This Row],[ActualWinner]]=Table2[[#This Row],[PredictedWinner]], "Y", "N"))</f>
        <v>_</v>
      </c>
      <c r="P6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6" s="2"/>
      <c r="S656" s="2" t="str">
        <f t="shared" si="56"/>
        <v>_</v>
      </c>
      <c r="T6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6" s="2">
        <f>IF(Table2[[#This Row],[InterConf]]=1,IF(Table2[[#This Row],[InterDiv]]=0, 1, 0), 0)</f>
        <v>1</v>
      </c>
      <c r="W6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56" s="2"/>
      <c r="Y656" s="2"/>
      <c r="Z656" s="145">
        <f>IF(AND(Table2[[#This Row],[GameIsOver]]=1,Table2[[#This Row],[ActualHomeScore]]*Table2[[#This Row],[ActualAwayScore]]=0), 1,0)</f>
        <v>0</v>
      </c>
      <c r="AA6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6" s="2">
        <f>Table2[[#This Row],[ActualAwayScore]]-Table2[[#This Row],[PredictedAwayScore]]</f>
        <v>0</v>
      </c>
      <c r="AG656" s="2">
        <f>Table2[[#This Row],[ActualHomeScore]]-Table2[[#This Row],[PredictedHomeScore]]</f>
        <v>0</v>
      </c>
      <c r="AH656" s="2">
        <f t="shared" si="57"/>
        <v>0</v>
      </c>
      <c r="AI656" s="2">
        <f t="shared" si="58"/>
        <v>0</v>
      </c>
      <c r="AJ656" s="2"/>
      <c r="AK656" s="3"/>
      <c r="AL656" s="2">
        <f>IF(Table2[[#This Row],[GameIsOver]]=0,0,IF(Table2[[#This Row],[ActualWinner]]=Table2[[#This Row],[AwayTeam]], 1, 0))</f>
        <v>0</v>
      </c>
      <c r="AM656" s="2">
        <f>IF(Table2[[#This Row],[GameIsOver]]=0,0,IF(Table2[[#This Row],[ActualWinner]]=Table2[[#This Row],[HomeTeam]], 1, 0))</f>
        <v>0</v>
      </c>
      <c r="AN6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6" s="2" t="str">
        <f>INDEX(Sheet5!$B$2:$AG$33, MATCH(Table2[[#This Row],[AwayTeam]],Sheet5!$A$2:$A$33, 0), MATCH(Table2[[#This Row],[HomeTeam]],Sheet5!$A$2:$A$33, 0))</f>
        <v>0-0-0</v>
      </c>
      <c r="AP656" s="2" t="str">
        <f>INDEX(Sheet5!$B$2:$AG$33, MATCH(Table2[[#This Row],[HomeTeam]],Sheet5!$A$2:$A$33, 0), MATCH(Table2[[#This Row],[AwayTeam]],Sheet5!$A$2:$A$33, 0))</f>
        <v>0-0-0</v>
      </c>
      <c r="AQ656" s="2">
        <f>IF(Table2[[#This Row],[GameHasShutOut]], 1, 0)</f>
        <v>0</v>
      </c>
      <c r="AR656" s="2">
        <f>IF(Table2[[#This Row],[ActualAwayScore]] + Table2[[#This Row],[ActualHomeScore]] &gt;= 10, 1, 0)</f>
        <v>0</v>
      </c>
      <c r="AS656" s="2">
        <f>IF(ABS(Table2[[#This Row],[ActualAwayScore]]-Table2[[#This Row],[ActualHomeScore]])&gt;=5, 1, 0)</f>
        <v>0</v>
      </c>
      <c r="AT656" s="2">
        <f>IF(Table2[[#This Row],[ActualAwayScore]] + Table2[[#This Row],[ActualHomeScore]] &lt;= 3, 1, 0)</f>
        <v>1</v>
      </c>
      <c r="AU656" s="2"/>
      <c r="AV656" s="2"/>
    </row>
    <row r="657" spans="1:48" x14ac:dyDescent="0.25">
      <c r="A657" s="3"/>
      <c r="B657" s="3">
        <v>46026</v>
      </c>
      <c r="C657" s="5">
        <v>2025020655</v>
      </c>
      <c r="D657" s="2" t="s">
        <v>36</v>
      </c>
      <c r="E657" s="2" t="s">
        <v>27</v>
      </c>
      <c r="F657" s="2"/>
      <c r="G657" s="2"/>
      <c r="H657" s="2" t="str">
        <f t="shared" si="54"/>
        <v>_</v>
      </c>
      <c r="I657" s="2"/>
      <c r="J657" s="2"/>
      <c r="K657" s="2"/>
      <c r="L657" s="2" t="str">
        <f t="shared" si="55"/>
        <v>_</v>
      </c>
      <c r="M657" s="2"/>
      <c r="N657" s="2">
        <f>IF(ISBLANK(Table2[[#This Row],[ActualResult]]), 0, 1)</f>
        <v>0</v>
      </c>
      <c r="O657" s="2" t="str">
        <f>IF(ISBLANK(Table2[[#This Row],[ActualResult]]), "_", IF(Table2[[#This Row],[ActualWinner]]=Table2[[#This Row],[PredictedWinner]], "Y", "N"))</f>
        <v>_</v>
      </c>
      <c r="P6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7" s="2"/>
      <c r="S657" s="2" t="str">
        <f t="shared" si="56"/>
        <v>_</v>
      </c>
      <c r="T6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7" s="2">
        <f>IF(Table2[[#This Row],[InterConf]]=1,IF(Table2[[#This Row],[InterDiv]]=0, 1, 0), 0)</f>
        <v>1</v>
      </c>
      <c r="W6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57" s="2"/>
      <c r="Y657" s="2"/>
      <c r="Z657" s="145">
        <f>IF(AND(Table2[[#This Row],[GameIsOver]]=1,Table2[[#This Row],[ActualHomeScore]]*Table2[[#This Row],[ActualAwayScore]]=0), 1,0)</f>
        <v>0</v>
      </c>
      <c r="AA6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7" s="2">
        <f>Table2[[#This Row],[ActualAwayScore]]-Table2[[#This Row],[PredictedAwayScore]]</f>
        <v>0</v>
      </c>
      <c r="AG657" s="2">
        <f>Table2[[#This Row],[ActualHomeScore]]-Table2[[#This Row],[PredictedHomeScore]]</f>
        <v>0</v>
      </c>
      <c r="AH657" s="2">
        <f t="shared" si="57"/>
        <v>0</v>
      </c>
      <c r="AI657" s="2">
        <f t="shared" si="58"/>
        <v>0</v>
      </c>
      <c r="AJ657" s="2"/>
      <c r="AK657" s="3"/>
      <c r="AL657" s="2">
        <f>IF(Table2[[#This Row],[GameIsOver]]=0,0,IF(Table2[[#This Row],[ActualWinner]]=Table2[[#This Row],[AwayTeam]], 1, 0))</f>
        <v>0</v>
      </c>
      <c r="AM657" s="2">
        <f>IF(Table2[[#This Row],[GameIsOver]]=0,0,IF(Table2[[#This Row],[ActualWinner]]=Table2[[#This Row],[HomeTeam]], 1, 0))</f>
        <v>0</v>
      </c>
      <c r="AN657" s="2">
        <f>IF(IFERROR(FIND(Table2[[#This Row],[AwayTeam]], _xlfn.TEXTJOIN(";", 1, $BD$31:$BD$40)), 0) &gt; 0, 1, 0) + IF(IFERROR(FIND(Table2[[#This Row],[HomeTeam]], _xlfn.TEXTJOIN(";", 1, $BD$31:$BD$40)), 0) &gt; 0, 1, 0)</f>
        <v>1</v>
      </c>
      <c r="AO657" s="2" t="str">
        <f>INDEX(Sheet5!$B$2:$AG$33, MATCH(Table2[[#This Row],[AwayTeam]],Sheet5!$A$2:$A$33, 0), MATCH(Table2[[#This Row],[HomeTeam]],Sheet5!$A$2:$A$33, 0))</f>
        <v>1-0-0</v>
      </c>
      <c r="AP657" s="2" t="str">
        <f>INDEX(Sheet5!$B$2:$AG$33, MATCH(Table2[[#This Row],[HomeTeam]],Sheet5!$A$2:$A$33, 0), MATCH(Table2[[#This Row],[AwayTeam]],Sheet5!$A$2:$A$33, 0))</f>
        <v>0-0-1</v>
      </c>
      <c r="AQ657" s="2">
        <f>IF(Table2[[#This Row],[GameHasShutOut]], 1, 0)</f>
        <v>0</v>
      </c>
      <c r="AR657" s="2">
        <f>IF(Table2[[#This Row],[ActualAwayScore]] + Table2[[#This Row],[ActualHomeScore]] &gt;= 10, 1, 0)</f>
        <v>0</v>
      </c>
      <c r="AS657" s="2">
        <f>IF(ABS(Table2[[#This Row],[ActualAwayScore]]-Table2[[#This Row],[ActualHomeScore]])&gt;=5, 1, 0)</f>
        <v>0</v>
      </c>
      <c r="AT657" s="2">
        <f>IF(Table2[[#This Row],[ActualAwayScore]] + Table2[[#This Row],[ActualHomeScore]] &lt;= 3, 1, 0)</f>
        <v>1</v>
      </c>
      <c r="AU657" s="2"/>
      <c r="AV657" s="2"/>
    </row>
    <row r="658" spans="1:48" x14ac:dyDescent="0.25">
      <c r="A658" s="3"/>
      <c r="B658" s="3">
        <v>46026</v>
      </c>
      <c r="C658" s="5">
        <v>2025020656</v>
      </c>
      <c r="D658" s="2" t="s">
        <v>15</v>
      </c>
      <c r="E658" s="2" t="s">
        <v>24</v>
      </c>
      <c r="F658" s="2"/>
      <c r="G658" s="2"/>
      <c r="H658" s="2" t="str">
        <f t="shared" si="54"/>
        <v>_</v>
      </c>
      <c r="I658" s="2"/>
      <c r="J658" s="2"/>
      <c r="K658" s="2"/>
      <c r="L658" s="2" t="str">
        <f t="shared" si="55"/>
        <v>_</v>
      </c>
      <c r="M658" s="2"/>
      <c r="N658" s="2">
        <f>IF(ISBLANK(Table2[[#This Row],[ActualResult]]), 0, 1)</f>
        <v>0</v>
      </c>
      <c r="O658" s="2" t="str">
        <f>IF(ISBLANK(Table2[[#This Row],[ActualResult]]), "_", IF(Table2[[#This Row],[ActualWinner]]=Table2[[#This Row],[PredictedWinner]], "Y", "N"))</f>
        <v>_</v>
      </c>
      <c r="P6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8" s="2"/>
      <c r="S658" s="2" t="str">
        <f t="shared" si="56"/>
        <v>_</v>
      </c>
      <c r="T6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8" s="2">
        <f>IF(Table2[[#This Row],[InterConf]]=1,IF(Table2[[#This Row],[InterDiv]]=0, 1, 0), 0)</f>
        <v>0</v>
      </c>
      <c r="W6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8" s="2"/>
      <c r="Y658" s="2"/>
      <c r="Z658" s="145">
        <f>IF(AND(Table2[[#This Row],[GameIsOver]]=1,Table2[[#This Row],[ActualHomeScore]]*Table2[[#This Row],[ActualAwayScore]]=0), 1,0)</f>
        <v>0</v>
      </c>
      <c r="AA6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8" s="2">
        <f>Table2[[#This Row],[ActualAwayScore]]-Table2[[#This Row],[PredictedAwayScore]]</f>
        <v>0</v>
      </c>
      <c r="AG658" s="2">
        <f>Table2[[#This Row],[ActualHomeScore]]-Table2[[#This Row],[PredictedHomeScore]]</f>
        <v>0</v>
      </c>
      <c r="AH658" s="2">
        <f t="shared" si="57"/>
        <v>0</v>
      </c>
      <c r="AI658" s="2">
        <f t="shared" si="58"/>
        <v>0</v>
      </c>
      <c r="AJ658" s="2"/>
      <c r="AK658" s="3"/>
      <c r="AL658" s="2">
        <f>IF(Table2[[#This Row],[GameIsOver]]=0,0,IF(Table2[[#This Row],[ActualWinner]]=Table2[[#This Row],[AwayTeam]], 1, 0))</f>
        <v>0</v>
      </c>
      <c r="AM658" s="2">
        <f>IF(Table2[[#This Row],[GameIsOver]]=0,0,IF(Table2[[#This Row],[ActualWinner]]=Table2[[#This Row],[HomeTeam]], 1, 0))</f>
        <v>0</v>
      </c>
      <c r="AN6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8" s="2" t="str">
        <f>INDEX(Sheet5!$B$2:$AG$33, MATCH(Table2[[#This Row],[AwayTeam]],Sheet5!$A$2:$A$33, 0), MATCH(Table2[[#This Row],[HomeTeam]],Sheet5!$A$2:$A$33, 0))</f>
        <v>0-0-0</v>
      </c>
      <c r="AP658" s="2" t="str">
        <f>INDEX(Sheet5!$B$2:$AG$33, MATCH(Table2[[#This Row],[HomeTeam]],Sheet5!$A$2:$A$33, 0), MATCH(Table2[[#This Row],[AwayTeam]],Sheet5!$A$2:$A$33, 0))</f>
        <v>0-0-0</v>
      </c>
      <c r="AQ658" s="2">
        <f>IF(Table2[[#This Row],[GameHasShutOut]], 1, 0)</f>
        <v>0</v>
      </c>
      <c r="AR658" s="2">
        <f>IF(Table2[[#This Row],[ActualAwayScore]] + Table2[[#This Row],[ActualHomeScore]] &gt;= 10, 1, 0)</f>
        <v>0</v>
      </c>
      <c r="AS658" s="2">
        <f>IF(ABS(Table2[[#This Row],[ActualAwayScore]]-Table2[[#This Row],[ActualHomeScore]])&gt;=5, 1, 0)</f>
        <v>0</v>
      </c>
      <c r="AT658" s="2">
        <f>IF(Table2[[#This Row],[ActualAwayScore]] + Table2[[#This Row],[ActualHomeScore]] &lt;= 3, 1, 0)</f>
        <v>1</v>
      </c>
      <c r="AU658" s="2"/>
      <c r="AV658" s="2"/>
    </row>
    <row r="659" spans="1:48" x14ac:dyDescent="0.25">
      <c r="A659" s="3"/>
      <c r="B659" s="3">
        <v>46026</v>
      </c>
      <c r="C659" s="5">
        <v>2025020657</v>
      </c>
      <c r="D659" s="2" t="s">
        <v>18</v>
      </c>
      <c r="E659" s="2" t="s">
        <v>33</v>
      </c>
      <c r="F659" s="2"/>
      <c r="G659" s="2"/>
      <c r="H659" s="2" t="str">
        <f t="shared" si="54"/>
        <v>_</v>
      </c>
      <c r="I659" s="2"/>
      <c r="J659" s="2"/>
      <c r="K659" s="2"/>
      <c r="L659" s="2" t="str">
        <f t="shared" si="55"/>
        <v>_</v>
      </c>
      <c r="M659" s="2"/>
      <c r="N659" s="2">
        <f>IF(ISBLANK(Table2[[#This Row],[ActualResult]]), 0, 1)</f>
        <v>0</v>
      </c>
      <c r="O659" s="2" t="str">
        <f>IF(ISBLANK(Table2[[#This Row],[ActualResult]]), "_", IF(Table2[[#This Row],[ActualWinner]]=Table2[[#This Row],[PredictedWinner]], "Y", "N"))</f>
        <v>_</v>
      </c>
      <c r="P6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9" s="2"/>
      <c r="S659" s="2" t="str">
        <f t="shared" si="56"/>
        <v>_</v>
      </c>
      <c r="T6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9" s="2">
        <f>IF(Table2[[#This Row],[InterConf]]=1,IF(Table2[[#This Row],[InterDiv]]=0, 1, 0), 0)</f>
        <v>0</v>
      </c>
      <c r="W6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9" s="2"/>
      <c r="Y659" s="2"/>
      <c r="Z659" s="145">
        <f>IF(AND(Table2[[#This Row],[GameIsOver]]=1,Table2[[#This Row],[ActualHomeScore]]*Table2[[#This Row],[ActualAwayScore]]=0), 1,0)</f>
        <v>0</v>
      </c>
      <c r="AA6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9" s="2">
        <f>Table2[[#This Row],[ActualAwayScore]]-Table2[[#This Row],[PredictedAwayScore]]</f>
        <v>0</v>
      </c>
      <c r="AG659" s="2">
        <f>Table2[[#This Row],[ActualHomeScore]]-Table2[[#This Row],[PredictedHomeScore]]</f>
        <v>0</v>
      </c>
      <c r="AH659" s="2">
        <f t="shared" si="57"/>
        <v>0</v>
      </c>
      <c r="AI659" s="2">
        <f t="shared" si="58"/>
        <v>0</v>
      </c>
      <c r="AJ659" s="2"/>
      <c r="AK659" s="3"/>
      <c r="AL659" s="2">
        <f>IF(Table2[[#This Row],[GameIsOver]]=0,0,IF(Table2[[#This Row],[ActualWinner]]=Table2[[#This Row],[AwayTeam]], 1, 0))</f>
        <v>0</v>
      </c>
      <c r="AM659" s="2">
        <f>IF(Table2[[#This Row],[GameIsOver]]=0,0,IF(Table2[[#This Row],[ActualWinner]]=Table2[[#This Row],[HomeTeam]], 1, 0))</f>
        <v>0</v>
      </c>
      <c r="AN6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9" s="2" t="str">
        <f>INDEX(Sheet5!$B$2:$AG$33, MATCH(Table2[[#This Row],[AwayTeam]],Sheet5!$A$2:$A$33, 0), MATCH(Table2[[#This Row],[HomeTeam]],Sheet5!$A$2:$A$33, 0))</f>
        <v>0-0-0</v>
      </c>
      <c r="AP659" s="2" t="str">
        <f>INDEX(Sheet5!$B$2:$AG$33, MATCH(Table2[[#This Row],[HomeTeam]],Sheet5!$A$2:$A$33, 0), MATCH(Table2[[#This Row],[AwayTeam]],Sheet5!$A$2:$A$33, 0))</f>
        <v>0-0-0</v>
      </c>
      <c r="AQ659" s="2">
        <f>IF(Table2[[#This Row],[GameHasShutOut]], 1, 0)</f>
        <v>0</v>
      </c>
      <c r="AR659" s="2">
        <f>IF(Table2[[#This Row],[ActualAwayScore]] + Table2[[#This Row],[ActualHomeScore]] &gt;= 10, 1, 0)</f>
        <v>0</v>
      </c>
      <c r="AS659" s="2">
        <f>IF(ABS(Table2[[#This Row],[ActualAwayScore]]-Table2[[#This Row],[ActualHomeScore]])&gt;=5, 1, 0)</f>
        <v>0</v>
      </c>
      <c r="AT659" s="2">
        <f>IF(Table2[[#This Row],[ActualAwayScore]] + Table2[[#This Row],[ActualHomeScore]] &lt;= 3, 1, 0)</f>
        <v>1</v>
      </c>
      <c r="AU659" s="2"/>
      <c r="AV659" s="2"/>
    </row>
    <row r="660" spans="1:48" x14ac:dyDescent="0.25">
      <c r="A660" s="3"/>
      <c r="B660" s="3">
        <v>46026</v>
      </c>
      <c r="C660" s="5">
        <v>2025020658</v>
      </c>
      <c r="D660" s="2" t="s">
        <v>20</v>
      </c>
      <c r="E660" s="2" t="s">
        <v>35</v>
      </c>
      <c r="F660" s="2"/>
      <c r="G660" s="2"/>
      <c r="H660" s="2" t="str">
        <f t="shared" si="54"/>
        <v>_</v>
      </c>
      <c r="I660" s="2"/>
      <c r="J660" s="2"/>
      <c r="K660" s="2"/>
      <c r="L660" s="2" t="str">
        <f t="shared" si="55"/>
        <v>_</v>
      </c>
      <c r="M660" s="2"/>
      <c r="N660" s="2">
        <f>IF(ISBLANK(Table2[[#This Row],[ActualResult]]), 0, 1)</f>
        <v>0</v>
      </c>
      <c r="O660" s="2" t="str">
        <f>IF(ISBLANK(Table2[[#This Row],[ActualResult]]), "_", IF(Table2[[#This Row],[ActualWinner]]=Table2[[#This Row],[PredictedWinner]], "Y", "N"))</f>
        <v>_</v>
      </c>
      <c r="P6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0" s="2"/>
      <c r="S660" s="2" t="str">
        <f t="shared" si="56"/>
        <v>_</v>
      </c>
      <c r="T6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0" s="2">
        <f>IF(Table2[[#This Row],[InterConf]]=1,IF(Table2[[#This Row],[InterDiv]]=0, 1, 0), 0)</f>
        <v>0</v>
      </c>
      <c r="W6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0" s="2"/>
      <c r="Y660" s="2"/>
      <c r="Z660" s="145">
        <f>IF(AND(Table2[[#This Row],[GameIsOver]]=1,Table2[[#This Row],[ActualHomeScore]]*Table2[[#This Row],[ActualAwayScore]]=0), 1,0)</f>
        <v>0</v>
      </c>
      <c r="AA6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60" s="2">
        <f>Table2[[#This Row],[ActualAwayScore]]-Table2[[#This Row],[PredictedAwayScore]]</f>
        <v>0</v>
      </c>
      <c r="AG660" s="2">
        <f>Table2[[#This Row],[ActualHomeScore]]-Table2[[#This Row],[PredictedHomeScore]]</f>
        <v>0</v>
      </c>
      <c r="AH660" s="2">
        <f t="shared" si="57"/>
        <v>0</v>
      </c>
      <c r="AI660" s="2">
        <f t="shared" si="58"/>
        <v>0</v>
      </c>
      <c r="AJ660" s="2"/>
      <c r="AK660" s="3"/>
      <c r="AL660" s="2">
        <f>IF(Table2[[#This Row],[GameIsOver]]=0,0,IF(Table2[[#This Row],[ActualWinner]]=Table2[[#This Row],[AwayTeam]], 1, 0))</f>
        <v>0</v>
      </c>
      <c r="AM660" s="2">
        <f>IF(Table2[[#This Row],[GameIsOver]]=0,0,IF(Table2[[#This Row],[ActualWinner]]=Table2[[#This Row],[HomeTeam]], 1, 0))</f>
        <v>0</v>
      </c>
      <c r="AN6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0" s="2" t="str">
        <f>INDEX(Sheet5!$B$2:$AG$33, MATCH(Table2[[#This Row],[AwayTeam]],Sheet5!$A$2:$A$33, 0), MATCH(Table2[[#This Row],[HomeTeam]],Sheet5!$A$2:$A$33, 0))</f>
        <v>0-0-0</v>
      </c>
      <c r="AP660" s="2" t="str">
        <f>INDEX(Sheet5!$B$2:$AG$33, MATCH(Table2[[#This Row],[HomeTeam]],Sheet5!$A$2:$A$33, 0), MATCH(Table2[[#This Row],[AwayTeam]],Sheet5!$A$2:$A$33, 0))</f>
        <v>0-0-0</v>
      </c>
      <c r="AQ660" s="2">
        <f>IF(Table2[[#This Row],[GameHasShutOut]], 1, 0)</f>
        <v>0</v>
      </c>
      <c r="AR660" s="2">
        <f>IF(Table2[[#This Row],[ActualAwayScore]] + Table2[[#This Row],[ActualHomeScore]] &gt;= 10, 1, 0)</f>
        <v>0</v>
      </c>
      <c r="AS660" s="2">
        <f>IF(ABS(Table2[[#This Row],[ActualAwayScore]]-Table2[[#This Row],[ActualHomeScore]])&gt;=5, 1, 0)</f>
        <v>0</v>
      </c>
      <c r="AT660" s="2">
        <f>IF(Table2[[#This Row],[ActualAwayScore]] + Table2[[#This Row],[ActualHomeScore]] &lt;= 3, 1, 0)</f>
        <v>1</v>
      </c>
      <c r="AU660" s="2"/>
      <c r="AV660" s="2"/>
    </row>
    <row r="661" spans="1:48" x14ac:dyDescent="0.25">
      <c r="A661" s="3"/>
      <c r="B661" s="3">
        <v>46026</v>
      </c>
      <c r="C661" s="5">
        <v>2025020659</v>
      </c>
      <c r="D661" s="2" t="s">
        <v>25</v>
      </c>
      <c r="E661" s="2" t="s">
        <v>13</v>
      </c>
      <c r="F661" s="2"/>
      <c r="G661" s="2"/>
      <c r="H661" s="2" t="str">
        <f t="shared" si="54"/>
        <v>_</v>
      </c>
      <c r="I661" s="2"/>
      <c r="J661" s="2"/>
      <c r="K661" s="2"/>
      <c r="L661" s="2" t="str">
        <f t="shared" si="55"/>
        <v>_</v>
      </c>
      <c r="M661" s="2"/>
      <c r="N661" s="2">
        <f>IF(ISBLANK(Table2[[#This Row],[ActualResult]]), 0, 1)</f>
        <v>0</v>
      </c>
      <c r="O661" s="2" t="str">
        <f>IF(ISBLANK(Table2[[#This Row],[ActualResult]]), "_", IF(Table2[[#This Row],[ActualWinner]]=Table2[[#This Row],[PredictedWinner]], "Y", "N"))</f>
        <v>_</v>
      </c>
      <c r="P6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1" s="2"/>
      <c r="S661" s="2" t="str">
        <f t="shared" si="56"/>
        <v>_</v>
      </c>
      <c r="T6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1" s="2">
        <f>IF(Table2[[#This Row],[InterConf]]=1,IF(Table2[[#This Row],[InterDiv]]=0, 1, 0), 0)</f>
        <v>0</v>
      </c>
      <c r="W6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1" s="2"/>
      <c r="Y661" s="2"/>
      <c r="Z661" s="145">
        <f>IF(AND(Table2[[#This Row],[GameIsOver]]=1,Table2[[#This Row],[ActualHomeScore]]*Table2[[#This Row],[ActualAwayScore]]=0), 1,0)</f>
        <v>0</v>
      </c>
      <c r="AA6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61" s="2">
        <f>Table2[[#This Row],[ActualAwayScore]]-Table2[[#This Row],[PredictedAwayScore]]</f>
        <v>0</v>
      </c>
      <c r="AG661" s="2">
        <f>Table2[[#This Row],[ActualHomeScore]]-Table2[[#This Row],[PredictedHomeScore]]</f>
        <v>0</v>
      </c>
      <c r="AH661" s="2">
        <f t="shared" si="57"/>
        <v>0</v>
      </c>
      <c r="AI661" s="2">
        <f t="shared" si="58"/>
        <v>0</v>
      </c>
      <c r="AJ661" s="2"/>
      <c r="AK661" s="3"/>
      <c r="AL661" s="2">
        <f>IF(Table2[[#This Row],[GameIsOver]]=0,0,IF(Table2[[#This Row],[ActualWinner]]=Table2[[#This Row],[AwayTeam]], 1, 0))</f>
        <v>0</v>
      </c>
      <c r="AM661" s="2">
        <f>IF(Table2[[#This Row],[GameIsOver]]=0,0,IF(Table2[[#This Row],[ActualWinner]]=Table2[[#This Row],[HomeTeam]], 1, 0))</f>
        <v>0</v>
      </c>
      <c r="AN6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1" s="2" t="str">
        <f>INDEX(Sheet5!$B$2:$AG$33, MATCH(Table2[[#This Row],[AwayTeam]],Sheet5!$A$2:$A$33, 0), MATCH(Table2[[#This Row],[HomeTeam]],Sheet5!$A$2:$A$33, 0))</f>
        <v>0-0-0</v>
      </c>
      <c r="AP661" s="2" t="str">
        <f>INDEX(Sheet5!$B$2:$AG$33, MATCH(Table2[[#This Row],[HomeTeam]],Sheet5!$A$2:$A$33, 0), MATCH(Table2[[#This Row],[AwayTeam]],Sheet5!$A$2:$A$33, 0))</f>
        <v>0-0-0</v>
      </c>
      <c r="AQ661" s="2">
        <f>IF(Table2[[#This Row],[GameHasShutOut]], 1, 0)</f>
        <v>0</v>
      </c>
      <c r="AR661" s="2">
        <f>IF(Table2[[#This Row],[ActualAwayScore]] + Table2[[#This Row],[ActualHomeScore]] &gt;= 10, 1, 0)</f>
        <v>0</v>
      </c>
      <c r="AS661" s="2">
        <f>IF(ABS(Table2[[#This Row],[ActualAwayScore]]-Table2[[#This Row],[ActualHomeScore]])&gt;=5, 1, 0)</f>
        <v>0</v>
      </c>
      <c r="AT661" s="2">
        <f>IF(Table2[[#This Row],[ActualAwayScore]] + Table2[[#This Row],[ActualHomeScore]] &lt;= 3, 1, 0)</f>
        <v>1</v>
      </c>
      <c r="AU661" s="2"/>
      <c r="AV661" s="2"/>
    </row>
    <row r="662" spans="1:48" x14ac:dyDescent="0.25">
      <c r="A662" s="3"/>
      <c r="B662" s="3">
        <v>46027</v>
      </c>
      <c r="C662" s="5">
        <v>2025020660</v>
      </c>
      <c r="D662" s="2" t="s">
        <v>41</v>
      </c>
      <c r="E662" s="2" t="s">
        <v>31</v>
      </c>
      <c r="F662" s="2"/>
      <c r="G662" s="2"/>
      <c r="H662" s="2" t="str">
        <f t="shared" si="54"/>
        <v>_</v>
      </c>
      <c r="I662" s="2"/>
      <c r="J662" s="2"/>
      <c r="K662" s="2"/>
      <c r="L662" s="2" t="str">
        <f t="shared" si="55"/>
        <v>_</v>
      </c>
      <c r="M662" s="2"/>
      <c r="N662" s="2">
        <f>IF(ISBLANK(Table2[[#This Row],[ActualResult]]), 0, 1)</f>
        <v>0</v>
      </c>
      <c r="O662" s="2" t="str">
        <f>IF(ISBLANK(Table2[[#This Row],[ActualResult]]), "_", IF(Table2[[#This Row],[ActualWinner]]=Table2[[#This Row],[PredictedWinner]], "Y", "N"))</f>
        <v>_</v>
      </c>
      <c r="P6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2" s="2"/>
      <c r="S662" s="2" t="str">
        <f t="shared" si="56"/>
        <v>_</v>
      </c>
      <c r="T6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2" s="2">
        <f>IF(Table2[[#This Row],[InterConf]]=1,IF(Table2[[#This Row],[InterDiv]]=0, 1, 0), 0)</f>
        <v>0</v>
      </c>
      <c r="W6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2" s="2"/>
      <c r="Y662" s="2"/>
      <c r="Z662" s="145">
        <f>IF(AND(Table2[[#This Row],[GameIsOver]]=1,Table2[[#This Row],[ActualHomeScore]]*Table2[[#This Row],[ActualAwayScore]]=0), 1,0)</f>
        <v>0</v>
      </c>
      <c r="AA6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62" s="2">
        <f>Table2[[#This Row],[ActualAwayScore]]-Table2[[#This Row],[PredictedAwayScore]]</f>
        <v>0</v>
      </c>
      <c r="AG662" s="2">
        <f>Table2[[#This Row],[ActualHomeScore]]-Table2[[#This Row],[PredictedHomeScore]]</f>
        <v>0</v>
      </c>
      <c r="AH662" s="2">
        <f t="shared" si="57"/>
        <v>0</v>
      </c>
      <c r="AI662" s="2">
        <f t="shared" si="58"/>
        <v>0</v>
      </c>
      <c r="AJ662" s="2"/>
      <c r="AK662" s="3"/>
      <c r="AL662" s="2">
        <f>IF(Table2[[#This Row],[GameIsOver]]=0,0,IF(Table2[[#This Row],[ActualWinner]]=Table2[[#This Row],[AwayTeam]], 1, 0))</f>
        <v>0</v>
      </c>
      <c r="AM662" s="2">
        <f>IF(Table2[[#This Row],[GameIsOver]]=0,0,IF(Table2[[#This Row],[ActualWinner]]=Table2[[#This Row],[HomeTeam]], 1, 0))</f>
        <v>0</v>
      </c>
      <c r="AN6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2" s="2" t="str">
        <f>INDEX(Sheet5!$B$2:$AG$33, MATCH(Table2[[#This Row],[AwayTeam]],Sheet5!$A$2:$A$33, 0), MATCH(Table2[[#This Row],[HomeTeam]],Sheet5!$A$2:$A$33, 0))</f>
        <v>1-0-0</v>
      </c>
      <c r="AP662" s="2" t="str">
        <f>INDEX(Sheet5!$B$2:$AG$33, MATCH(Table2[[#This Row],[HomeTeam]],Sheet5!$A$2:$A$33, 0), MATCH(Table2[[#This Row],[AwayTeam]],Sheet5!$A$2:$A$33, 0))</f>
        <v>0-1-0</v>
      </c>
      <c r="AQ662" s="2">
        <f>IF(Table2[[#This Row],[GameHasShutOut]], 1, 0)</f>
        <v>0</v>
      </c>
      <c r="AR662" s="2">
        <f>IF(Table2[[#This Row],[ActualAwayScore]] + Table2[[#This Row],[ActualHomeScore]] &gt;= 10, 1, 0)</f>
        <v>0</v>
      </c>
      <c r="AS662" s="2">
        <f>IF(ABS(Table2[[#This Row],[ActualAwayScore]]-Table2[[#This Row],[ActualHomeScore]])&gt;=5, 1, 0)</f>
        <v>0</v>
      </c>
      <c r="AT662" s="2">
        <f>IF(Table2[[#This Row],[ActualAwayScore]] + Table2[[#This Row],[ActualHomeScore]] &lt;= 3, 1, 0)</f>
        <v>1</v>
      </c>
      <c r="AU662" s="2"/>
      <c r="AV662" s="2"/>
    </row>
    <row r="663" spans="1:48" x14ac:dyDescent="0.25">
      <c r="A663" s="3"/>
      <c r="B663" s="3">
        <v>46027</v>
      </c>
      <c r="C663" s="5">
        <v>2025020661</v>
      </c>
      <c r="D663" s="2" t="s">
        <v>26</v>
      </c>
      <c r="E663" s="2" t="s">
        <v>16</v>
      </c>
      <c r="F663" s="2"/>
      <c r="G663" s="2"/>
      <c r="H663" s="2" t="str">
        <f t="shared" si="54"/>
        <v>_</v>
      </c>
      <c r="I663" s="2"/>
      <c r="J663" s="2"/>
      <c r="K663" s="2"/>
      <c r="L663" s="2" t="str">
        <f t="shared" si="55"/>
        <v>_</v>
      </c>
      <c r="M663" s="2"/>
      <c r="N663" s="2">
        <f>IF(ISBLANK(Table2[[#This Row],[ActualResult]]), 0, 1)</f>
        <v>0</v>
      </c>
      <c r="O663" s="2" t="str">
        <f>IF(ISBLANK(Table2[[#This Row],[ActualResult]]), "_", IF(Table2[[#This Row],[ActualWinner]]=Table2[[#This Row],[PredictedWinner]], "Y", "N"))</f>
        <v>_</v>
      </c>
      <c r="P6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3" s="2"/>
      <c r="S663" s="2" t="str">
        <f t="shared" si="56"/>
        <v>_</v>
      </c>
      <c r="T6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3" s="2">
        <f>IF(Table2[[#This Row],[InterConf]]=1,IF(Table2[[#This Row],[InterDiv]]=0, 1, 0), 0)</f>
        <v>1</v>
      </c>
      <c r="W6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3" s="2"/>
      <c r="Y663" s="2"/>
      <c r="Z663" s="145">
        <f>IF(AND(Table2[[#This Row],[GameIsOver]]=1,Table2[[#This Row],[ActualHomeScore]]*Table2[[#This Row],[ActualAwayScore]]=0), 1,0)</f>
        <v>0</v>
      </c>
      <c r="AA6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63" s="2">
        <f>Table2[[#This Row],[ActualAwayScore]]-Table2[[#This Row],[PredictedAwayScore]]</f>
        <v>0</v>
      </c>
      <c r="AG663" s="2">
        <f>Table2[[#This Row],[ActualHomeScore]]-Table2[[#This Row],[PredictedHomeScore]]</f>
        <v>0</v>
      </c>
      <c r="AH663" s="2">
        <f t="shared" si="57"/>
        <v>0</v>
      </c>
      <c r="AI663" s="2">
        <f t="shared" si="58"/>
        <v>0</v>
      </c>
      <c r="AJ663" s="2"/>
      <c r="AK663" s="3"/>
      <c r="AL663" s="2">
        <f>IF(Table2[[#This Row],[GameIsOver]]=0,0,IF(Table2[[#This Row],[ActualWinner]]=Table2[[#This Row],[AwayTeam]], 1, 0))</f>
        <v>0</v>
      </c>
      <c r="AM663" s="2">
        <f>IF(Table2[[#This Row],[GameIsOver]]=0,0,IF(Table2[[#This Row],[ActualWinner]]=Table2[[#This Row],[HomeTeam]], 1, 0))</f>
        <v>0</v>
      </c>
      <c r="AN6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3" s="2" t="str">
        <f>INDEX(Sheet5!$B$2:$AG$33, MATCH(Table2[[#This Row],[AwayTeam]],Sheet5!$A$2:$A$33, 0), MATCH(Table2[[#This Row],[HomeTeam]],Sheet5!$A$2:$A$33, 0))</f>
        <v>0-0-0</v>
      </c>
      <c r="AP663" s="2" t="str">
        <f>INDEX(Sheet5!$B$2:$AG$33, MATCH(Table2[[#This Row],[HomeTeam]],Sheet5!$A$2:$A$33, 0), MATCH(Table2[[#This Row],[AwayTeam]],Sheet5!$A$2:$A$33, 0))</f>
        <v>0-0-0</v>
      </c>
      <c r="AQ663" s="2">
        <f>IF(Table2[[#This Row],[GameHasShutOut]], 1, 0)</f>
        <v>0</v>
      </c>
      <c r="AR663" s="2">
        <f>IF(Table2[[#This Row],[ActualAwayScore]] + Table2[[#This Row],[ActualHomeScore]] &gt;= 10, 1, 0)</f>
        <v>0</v>
      </c>
      <c r="AS663" s="2">
        <f>IF(ABS(Table2[[#This Row],[ActualAwayScore]]-Table2[[#This Row],[ActualHomeScore]])&gt;=5, 1, 0)</f>
        <v>0</v>
      </c>
      <c r="AT663" s="2">
        <f>IF(Table2[[#This Row],[ActualAwayScore]] + Table2[[#This Row],[ActualHomeScore]] &lt;= 3, 1, 0)</f>
        <v>1</v>
      </c>
      <c r="AU663" s="2"/>
      <c r="AV663" s="2"/>
    </row>
    <row r="664" spans="1:48" x14ac:dyDescent="0.25">
      <c r="A664" s="3"/>
      <c r="B664" s="3">
        <v>46028</v>
      </c>
      <c r="C664" s="5">
        <v>2025020662</v>
      </c>
      <c r="D664" s="2" t="s">
        <v>14</v>
      </c>
      <c r="E664" s="2" t="s">
        <v>19</v>
      </c>
      <c r="F664" s="2"/>
      <c r="G664" s="2"/>
      <c r="H664" s="2" t="str">
        <f t="shared" si="54"/>
        <v>_</v>
      </c>
      <c r="I664" s="2"/>
      <c r="J664" s="2"/>
      <c r="K664" s="2"/>
      <c r="L664" s="2" t="str">
        <f t="shared" si="55"/>
        <v>_</v>
      </c>
      <c r="M664" s="2"/>
      <c r="N664" s="2">
        <f>IF(ISBLANK(Table2[[#This Row],[ActualResult]]), 0, 1)</f>
        <v>0</v>
      </c>
      <c r="O664" s="2" t="str">
        <f>IF(ISBLANK(Table2[[#This Row],[ActualResult]]), "_", IF(Table2[[#This Row],[ActualWinner]]=Table2[[#This Row],[PredictedWinner]], "Y", "N"))</f>
        <v>_</v>
      </c>
      <c r="P6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4" s="2"/>
      <c r="S664" s="2" t="str">
        <f t="shared" si="56"/>
        <v>_</v>
      </c>
      <c r="T6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4" s="2">
        <f>IF(Table2[[#This Row],[InterConf]]=1,IF(Table2[[#This Row],[InterDiv]]=0, 1, 0), 0)</f>
        <v>0</v>
      </c>
      <c r="W6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4" s="2"/>
      <c r="Y664" s="2"/>
      <c r="Z664" s="145">
        <f>IF(AND(Table2[[#This Row],[GameIsOver]]=1,Table2[[#This Row],[ActualHomeScore]]*Table2[[#This Row],[ActualAwayScore]]=0), 1,0)</f>
        <v>0</v>
      </c>
      <c r="AA6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4" s="2">
        <f>Table2[[#This Row],[ActualAwayScore]]-Table2[[#This Row],[PredictedAwayScore]]</f>
        <v>0</v>
      </c>
      <c r="AG664" s="2">
        <f>Table2[[#This Row],[ActualHomeScore]]-Table2[[#This Row],[PredictedHomeScore]]</f>
        <v>0</v>
      </c>
      <c r="AH664" s="2">
        <f t="shared" si="57"/>
        <v>0</v>
      </c>
      <c r="AI664" s="2">
        <f t="shared" si="58"/>
        <v>0</v>
      </c>
      <c r="AJ664" s="2"/>
      <c r="AK664" s="3"/>
      <c r="AL664" s="2">
        <f>IF(Table2[[#This Row],[GameIsOver]]=0,0,IF(Table2[[#This Row],[ActualWinner]]=Table2[[#This Row],[AwayTeam]], 1, 0))</f>
        <v>0</v>
      </c>
      <c r="AM664" s="2">
        <f>IF(Table2[[#This Row],[GameIsOver]]=0,0,IF(Table2[[#This Row],[ActualWinner]]=Table2[[#This Row],[HomeTeam]], 1, 0))</f>
        <v>0</v>
      </c>
      <c r="AN6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4" s="2" t="str">
        <f>INDEX(Sheet5!$B$2:$AG$33, MATCH(Table2[[#This Row],[AwayTeam]],Sheet5!$A$2:$A$33, 0), MATCH(Table2[[#This Row],[HomeTeam]],Sheet5!$A$2:$A$33, 0))</f>
        <v>0-0-0</v>
      </c>
      <c r="AP664" s="2" t="str">
        <f>INDEX(Sheet5!$B$2:$AG$33, MATCH(Table2[[#This Row],[HomeTeam]],Sheet5!$A$2:$A$33, 0), MATCH(Table2[[#This Row],[AwayTeam]],Sheet5!$A$2:$A$33, 0))</f>
        <v>0-0-0</v>
      </c>
      <c r="AQ664" s="2">
        <f>IF(Table2[[#This Row],[GameHasShutOut]], 1, 0)</f>
        <v>0</v>
      </c>
      <c r="AR664" s="2">
        <f>IF(Table2[[#This Row],[ActualAwayScore]] + Table2[[#This Row],[ActualHomeScore]] &gt;= 10, 1, 0)</f>
        <v>0</v>
      </c>
      <c r="AS664" s="2">
        <f>IF(ABS(Table2[[#This Row],[ActualAwayScore]]-Table2[[#This Row],[ActualHomeScore]])&gt;=5, 1, 0)</f>
        <v>0</v>
      </c>
      <c r="AT664" s="2">
        <f>IF(Table2[[#This Row],[ActualAwayScore]] + Table2[[#This Row],[ActualHomeScore]] &lt;= 3, 1, 0)</f>
        <v>1</v>
      </c>
      <c r="AU664" s="2"/>
      <c r="AV664" s="2"/>
    </row>
    <row r="665" spans="1:48" x14ac:dyDescent="0.25">
      <c r="A665" s="3"/>
      <c r="B665" s="3">
        <v>46028</v>
      </c>
      <c r="C665" s="5">
        <v>2025020663</v>
      </c>
      <c r="D665" s="2" t="s">
        <v>44</v>
      </c>
      <c r="E665" s="2" t="s">
        <v>43</v>
      </c>
      <c r="F665" s="2"/>
      <c r="G665" s="2"/>
      <c r="H665" s="2" t="str">
        <f t="shared" si="54"/>
        <v>_</v>
      </c>
      <c r="I665" s="2"/>
      <c r="J665" s="2"/>
      <c r="K665" s="2"/>
      <c r="L665" s="2" t="str">
        <f t="shared" si="55"/>
        <v>_</v>
      </c>
      <c r="M665" s="2"/>
      <c r="N665" s="2">
        <f>IF(ISBLANK(Table2[[#This Row],[ActualResult]]), 0, 1)</f>
        <v>0</v>
      </c>
      <c r="O665" s="2" t="str">
        <f>IF(ISBLANK(Table2[[#This Row],[ActualResult]]), "_", IF(Table2[[#This Row],[ActualWinner]]=Table2[[#This Row],[PredictedWinner]], "Y", "N"))</f>
        <v>_</v>
      </c>
      <c r="P6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5" s="2"/>
      <c r="S665" s="2" t="str">
        <f t="shared" si="56"/>
        <v>_</v>
      </c>
      <c r="T6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5" s="2">
        <f>IF(Table2[[#This Row],[InterConf]]=1,IF(Table2[[#This Row],[InterDiv]]=0, 1, 0), 0)</f>
        <v>0</v>
      </c>
      <c r="W6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5" s="2"/>
      <c r="Y665" s="2"/>
      <c r="Z665" s="145">
        <f>IF(AND(Table2[[#This Row],[GameIsOver]]=1,Table2[[#This Row],[ActualHomeScore]]*Table2[[#This Row],[ActualAwayScore]]=0), 1,0)</f>
        <v>0</v>
      </c>
      <c r="AA6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5" s="2">
        <f>Table2[[#This Row],[ActualAwayScore]]-Table2[[#This Row],[PredictedAwayScore]]</f>
        <v>0</v>
      </c>
      <c r="AG665" s="2">
        <f>Table2[[#This Row],[ActualHomeScore]]-Table2[[#This Row],[PredictedHomeScore]]</f>
        <v>0</v>
      </c>
      <c r="AH665" s="2">
        <f t="shared" si="57"/>
        <v>0</v>
      </c>
      <c r="AI665" s="2">
        <f t="shared" si="58"/>
        <v>0</v>
      </c>
      <c r="AJ665" s="2"/>
      <c r="AK665" s="3"/>
      <c r="AL665" s="2">
        <f>IF(Table2[[#This Row],[GameIsOver]]=0,0,IF(Table2[[#This Row],[ActualWinner]]=Table2[[#This Row],[AwayTeam]], 1, 0))</f>
        <v>0</v>
      </c>
      <c r="AM665" s="2">
        <f>IF(Table2[[#This Row],[GameIsOver]]=0,0,IF(Table2[[#This Row],[ActualWinner]]=Table2[[#This Row],[HomeTeam]], 1, 0))</f>
        <v>0</v>
      </c>
      <c r="AN6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5" s="2" t="str">
        <f>INDEX(Sheet5!$B$2:$AG$33, MATCH(Table2[[#This Row],[AwayTeam]],Sheet5!$A$2:$A$33, 0), MATCH(Table2[[#This Row],[HomeTeam]],Sheet5!$A$2:$A$33, 0))</f>
        <v>0-0-0</v>
      </c>
      <c r="AP665" s="2" t="str">
        <f>INDEX(Sheet5!$B$2:$AG$33, MATCH(Table2[[#This Row],[HomeTeam]],Sheet5!$A$2:$A$33, 0), MATCH(Table2[[#This Row],[AwayTeam]],Sheet5!$A$2:$A$33, 0))</f>
        <v>0-0-0</v>
      </c>
      <c r="AQ665" s="2">
        <f>IF(Table2[[#This Row],[GameHasShutOut]], 1, 0)</f>
        <v>0</v>
      </c>
      <c r="AR665" s="2">
        <f>IF(Table2[[#This Row],[ActualAwayScore]] + Table2[[#This Row],[ActualHomeScore]] &gt;= 10, 1, 0)</f>
        <v>0</v>
      </c>
      <c r="AS665" s="2">
        <f>IF(ABS(Table2[[#This Row],[ActualAwayScore]]-Table2[[#This Row],[ActualHomeScore]])&gt;=5, 1, 0)</f>
        <v>0</v>
      </c>
      <c r="AT665" s="2">
        <f>IF(Table2[[#This Row],[ActualAwayScore]] + Table2[[#This Row],[ActualHomeScore]] &lt;= 3, 1, 0)</f>
        <v>1</v>
      </c>
      <c r="AU665" s="2"/>
      <c r="AV665" s="2"/>
    </row>
    <row r="666" spans="1:48" x14ac:dyDescent="0.25">
      <c r="A666" s="3"/>
      <c r="B666" s="3">
        <v>46028</v>
      </c>
      <c r="C666" s="5">
        <v>2025020664</v>
      </c>
      <c r="D666" s="2" t="s">
        <v>30</v>
      </c>
      <c r="E666" s="2" t="s">
        <v>29</v>
      </c>
      <c r="F666" s="2"/>
      <c r="G666" s="2"/>
      <c r="H666" s="2" t="str">
        <f t="shared" si="54"/>
        <v>_</v>
      </c>
      <c r="I666" s="2"/>
      <c r="J666" s="2"/>
      <c r="K666" s="2"/>
      <c r="L666" s="2" t="str">
        <f t="shared" si="55"/>
        <v>_</v>
      </c>
      <c r="M666" s="2"/>
      <c r="N666" s="2">
        <f>IF(ISBLANK(Table2[[#This Row],[ActualResult]]), 0, 1)</f>
        <v>0</v>
      </c>
      <c r="O666" s="2" t="str">
        <f>IF(ISBLANK(Table2[[#This Row],[ActualResult]]), "_", IF(Table2[[#This Row],[ActualWinner]]=Table2[[#This Row],[PredictedWinner]], "Y", "N"))</f>
        <v>_</v>
      </c>
      <c r="P6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6" s="2"/>
      <c r="S666" s="2" t="str">
        <f t="shared" si="56"/>
        <v>_</v>
      </c>
      <c r="T6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6" s="2">
        <f>IF(Table2[[#This Row],[InterConf]]=1,IF(Table2[[#This Row],[InterDiv]]=0, 1, 0), 0)</f>
        <v>0</v>
      </c>
      <c r="W6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6" s="2"/>
      <c r="Y666" s="2"/>
      <c r="Z666" s="145">
        <f>IF(AND(Table2[[#This Row],[GameIsOver]]=1,Table2[[#This Row],[ActualHomeScore]]*Table2[[#This Row],[ActualAwayScore]]=0), 1,0)</f>
        <v>0</v>
      </c>
      <c r="AA6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6" s="2">
        <f>Table2[[#This Row],[ActualAwayScore]]-Table2[[#This Row],[PredictedAwayScore]]</f>
        <v>0</v>
      </c>
      <c r="AG666" s="2">
        <f>Table2[[#This Row],[ActualHomeScore]]-Table2[[#This Row],[PredictedHomeScore]]</f>
        <v>0</v>
      </c>
      <c r="AH666" s="2">
        <f t="shared" si="57"/>
        <v>0</v>
      </c>
      <c r="AI666" s="2">
        <f t="shared" si="58"/>
        <v>0</v>
      </c>
      <c r="AJ666" s="2"/>
      <c r="AK666" s="3"/>
      <c r="AL666" s="2">
        <f>IF(Table2[[#This Row],[GameIsOver]]=0,0,IF(Table2[[#This Row],[ActualWinner]]=Table2[[#This Row],[AwayTeam]], 1, 0))</f>
        <v>0</v>
      </c>
      <c r="AM666" s="2">
        <f>IF(Table2[[#This Row],[GameIsOver]]=0,0,IF(Table2[[#This Row],[ActualWinner]]=Table2[[#This Row],[HomeTeam]], 1, 0))</f>
        <v>0</v>
      </c>
      <c r="AN6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6" s="2" t="str">
        <f>INDEX(Sheet5!$B$2:$AG$33, MATCH(Table2[[#This Row],[AwayTeam]],Sheet5!$A$2:$A$33, 0), MATCH(Table2[[#This Row],[HomeTeam]],Sheet5!$A$2:$A$33, 0))</f>
        <v>0-0-0</v>
      </c>
      <c r="AP666" s="2" t="str">
        <f>INDEX(Sheet5!$B$2:$AG$33, MATCH(Table2[[#This Row],[HomeTeam]],Sheet5!$A$2:$A$33, 0), MATCH(Table2[[#This Row],[AwayTeam]],Sheet5!$A$2:$A$33, 0))</f>
        <v>0-0-0</v>
      </c>
      <c r="AQ666" s="2">
        <f>IF(Table2[[#This Row],[GameHasShutOut]], 1, 0)</f>
        <v>0</v>
      </c>
      <c r="AR666" s="2">
        <f>IF(Table2[[#This Row],[ActualAwayScore]] + Table2[[#This Row],[ActualHomeScore]] &gt;= 10, 1, 0)</f>
        <v>0</v>
      </c>
      <c r="AS666" s="2">
        <f>IF(ABS(Table2[[#This Row],[ActualAwayScore]]-Table2[[#This Row],[ActualHomeScore]])&gt;=5, 1, 0)</f>
        <v>0</v>
      </c>
      <c r="AT666" s="2">
        <f>IF(Table2[[#This Row],[ActualAwayScore]] + Table2[[#This Row],[ActualHomeScore]] &lt;= 3, 1, 0)</f>
        <v>1</v>
      </c>
      <c r="AU666" s="2"/>
      <c r="AV666" s="2"/>
    </row>
    <row r="667" spans="1:48" x14ac:dyDescent="0.25">
      <c r="A667" s="3"/>
      <c r="B667" s="3">
        <v>46028</v>
      </c>
      <c r="C667" s="5">
        <v>2025020665</v>
      </c>
      <c r="D667" s="2" t="s">
        <v>11</v>
      </c>
      <c r="E667" s="2" t="s">
        <v>23</v>
      </c>
      <c r="F667" s="2"/>
      <c r="G667" s="2"/>
      <c r="H667" s="2" t="str">
        <f t="shared" si="54"/>
        <v>_</v>
      </c>
      <c r="I667" s="2"/>
      <c r="J667" s="2"/>
      <c r="K667" s="2"/>
      <c r="L667" s="2" t="str">
        <f t="shared" si="55"/>
        <v>_</v>
      </c>
      <c r="M667" s="2"/>
      <c r="N667" s="2">
        <f>IF(ISBLANK(Table2[[#This Row],[ActualResult]]), 0, 1)</f>
        <v>0</v>
      </c>
      <c r="O667" s="2" t="str">
        <f>IF(ISBLANK(Table2[[#This Row],[ActualResult]]), "_", IF(Table2[[#This Row],[ActualWinner]]=Table2[[#This Row],[PredictedWinner]], "Y", "N"))</f>
        <v>_</v>
      </c>
      <c r="P6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7" s="2"/>
      <c r="S667" s="2" t="str">
        <f t="shared" si="56"/>
        <v>_</v>
      </c>
      <c r="T6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7" s="2">
        <f>IF(Table2[[#This Row],[InterConf]]=1,IF(Table2[[#This Row],[InterDiv]]=0, 1, 0), 0)</f>
        <v>0</v>
      </c>
      <c r="W6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7" s="2"/>
      <c r="Y667" s="2"/>
      <c r="Z667" s="145">
        <f>IF(AND(Table2[[#This Row],[GameIsOver]]=1,Table2[[#This Row],[ActualHomeScore]]*Table2[[#This Row],[ActualAwayScore]]=0), 1,0)</f>
        <v>0</v>
      </c>
      <c r="AA6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7" s="2">
        <f>Table2[[#This Row],[ActualAwayScore]]-Table2[[#This Row],[PredictedAwayScore]]</f>
        <v>0</v>
      </c>
      <c r="AG667" s="2">
        <f>Table2[[#This Row],[ActualHomeScore]]-Table2[[#This Row],[PredictedHomeScore]]</f>
        <v>0</v>
      </c>
      <c r="AH667" s="2">
        <f t="shared" si="57"/>
        <v>0</v>
      </c>
      <c r="AI667" s="2">
        <f t="shared" si="58"/>
        <v>0</v>
      </c>
      <c r="AJ667" s="2"/>
      <c r="AK667" s="3"/>
      <c r="AL667" s="2">
        <f>IF(Table2[[#This Row],[GameIsOver]]=0,0,IF(Table2[[#This Row],[ActualWinner]]=Table2[[#This Row],[AwayTeam]], 1, 0))</f>
        <v>0</v>
      </c>
      <c r="AM667" s="2">
        <f>IF(Table2[[#This Row],[GameIsOver]]=0,0,IF(Table2[[#This Row],[ActualWinner]]=Table2[[#This Row],[HomeTeam]], 1, 0))</f>
        <v>0</v>
      </c>
      <c r="AN6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7" s="2" t="str">
        <f>INDEX(Sheet5!$B$2:$AG$33, MATCH(Table2[[#This Row],[AwayTeam]],Sheet5!$A$2:$A$33, 0), MATCH(Table2[[#This Row],[HomeTeam]],Sheet5!$A$2:$A$33, 0))</f>
        <v>0-0-0</v>
      </c>
      <c r="AP667" s="2" t="str">
        <f>INDEX(Sheet5!$B$2:$AG$33, MATCH(Table2[[#This Row],[HomeTeam]],Sheet5!$A$2:$A$33, 0), MATCH(Table2[[#This Row],[AwayTeam]],Sheet5!$A$2:$A$33, 0))</f>
        <v>0-0-0</v>
      </c>
      <c r="AQ667" s="2">
        <f>IF(Table2[[#This Row],[GameHasShutOut]], 1, 0)</f>
        <v>0</v>
      </c>
      <c r="AR667" s="2">
        <f>IF(Table2[[#This Row],[ActualAwayScore]] + Table2[[#This Row],[ActualHomeScore]] &gt;= 10, 1, 0)</f>
        <v>0</v>
      </c>
      <c r="AS667" s="2">
        <f>IF(ABS(Table2[[#This Row],[ActualAwayScore]]-Table2[[#This Row],[ActualHomeScore]])&gt;=5, 1, 0)</f>
        <v>0</v>
      </c>
      <c r="AT667" s="2">
        <f>IF(Table2[[#This Row],[ActualAwayScore]] + Table2[[#This Row],[ActualHomeScore]] &lt;= 3, 1, 0)</f>
        <v>1</v>
      </c>
      <c r="AU667" s="2"/>
      <c r="AV667" s="2"/>
    </row>
    <row r="668" spans="1:48" x14ac:dyDescent="0.25">
      <c r="A668" s="3"/>
      <c r="B668" s="3">
        <v>46028</v>
      </c>
      <c r="C668" s="5">
        <v>2025020666</v>
      </c>
      <c r="D668" s="2" t="s">
        <v>36</v>
      </c>
      <c r="E668" s="2" t="s">
        <v>27</v>
      </c>
      <c r="F668" s="2"/>
      <c r="G668" s="2"/>
      <c r="H668" s="2" t="str">
        <f t="shared" si="54"/>
        <v>_</v>
      </c>
      <c r="I668" s="2"/>
      <c r="J668" s="2"/>
      <c r="K668" s="2"/>
      <c r="L668" s="2" t="str">
        <f t="shared" si="55"/>
        <v>_</v>
      </c>
      <c r="M668" s="2"/>
      <c r="N668" s="2">
        <f>IF(ISBLANK(Table2[[#This Row],[ActualResult]]), 0, 1)</f>
        <v>0</v>
      </c>
      <c r="O668" s="2" t="str">
        <f>IF(ISBLANK(Table2[[#This Row],[ActualResult]]), "_", IF(Table2[[#This Row],[ActualWinner]]=Table2[[#This Row],[PredictedWinner]], "Y", "N"))</f>
        <v>_</v>
      </c>
      <c r="P6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8" s="2"/>
      <c r="S668" s="2" t="str">
        <f t="shared" si="56"/>
        <v>_</v>
      </c>
      <c r="T6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8" s="2">
        <f>IF(Table2[[#This Row],[InterConf]]=1,IF(Table2[[#This Row],[InterDiv]]=0, 1, 0), 0)</f>
        <v>1</v>
      </c>
      <c r="W6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8" s="2"/>
      <c r="Y668" s="2"/>
      <c r="Z668" s="145">
        <f>IF(AND(Table2[[#This Row],[GameIsOver]]=1,Table2[[#This Row],[ActualHomeScore]]*Table2[[#This Row],[ActualAwayScore]]=0), 1,0)</f>
        <v>0</v>
      </c>
      <c r="AA6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8" s="2">
        <f>Table2[[#This Row],[ActualAwayScore]]-Table2[[#This Row],[PredictedAwayScore]]</f>
        <v>0</v>
      </c>
      <c r="AG668" s="2">
        <f>Table2[[#This Row],[ActualHomeScore]]-Table2[[#This Row],[PredictedHomeScore]]</f>
        <v>0</v>
      </c>
      <c r="AH668" s="2">
        <f t="shared" si="57"/>
        <v>0</v>
      </c>
      <c r="AI668" s="2">
        <f t="shared" si="58"/>
        <v>0</v>
      </c>
      <c r="AJ668" s="2"/>
      <c r="AK668" s="3"/>
      <c r="AL668" s="2">
        <f>IF(Table2[[#This Row],[GameIsOver]]=0,0,IF(Table2[[#This Row],[ActualWinner]]=Table2[[#This Row],[AwayTeam]], 1, 0))</f>
        <v>0</v>
      </c>
      <c r="AM668" s="2">
        <f>IF(Table2[[#This Row],[GameIsOver]]=0,0,IF(Table2[[#This Row],[ActualWinner]]=Table2[[#This Row],[HomeTeam]], 1, 0))</f>
        <v>0</v>
      </c>
      <c r="AN668" s="2">
        <f>IF(IFERROR(FIND(Table2[[#This Row],[AwayTeam]], _xlfn.TEXTJOIN(";", 1, $BD$31:$BD$40)), 0) &gt; 0, 1, 0) + IF(IFERROR(FIND(Table2[[#This Row],[HomeTeam]], _xlfn.TEXTJOIN(";", 1, $BD$31:$BD$40)), 0) &gt; 0, 1, 0)</f>
        <v>1</v>
      </c>
      <c r="AO668" s="2" t="str">
        <f>INDEX(Sheet5!$B$2:$AG$33, MATCH(Table2[[#This Row],[AwayTeam]],Sheet5!$A$2:$A$33, 0), MATCH(Table2[[#This Row],[HomeTeam]],Sheet5!$A$2:$A$33, 0))</f>
        <v>1-0-0</v>
      </c>
      <c r="AP668" s="2" t="str">
        <f>INDEX(Sheet5!$B$2:$AG$33, MATCH(Table2[[#This Row],[HomeTeam]],Sheet5!$A$2:$A$33, 0), MATCH(Table2[[#This Row],[AwayTeam]],Sheet5!$A$2:$A$33, 0))</f>
        <v>0-0-1</v>
      </c>
      <c r="AQ668" s="2">
        <f>IF(Table2[[#This Row],[GameHasShutOut]], 1, 0)</f>
        <v>0</v>
      </c>
      <c r="AR668" s="2">
        <f>IF(Table2[[#This Row],[ActualAwayScore]] + Table2[[#This Row],[ActualHomeScore]] &gt;= 10, 1, 0)</f>
        <v>0</v>
      </c>
      <c r="AS668" s="2">
        <f>IF(ABS(Table2[[#This Row],[ActualAwayScore]]-Table2[[#This Row],[ActualHomeScore]])&gt;=5, 1, 0)</f>
        <v>0</v>
      </c>
      <c r="AT668" s="2">
        <f>IF(Table2[[#This Row],[ActualAwayScore]] + Table2[[#This Row],[ActualHomeScore]] &lt;= 3, 1, 0)</f>
        <v>1</v>
      </c>
      <c r="AU668" s="2"/>
      <c r="AV668" s="2"/>
    </row>
    <row r="669" spans="1:48" x14ac:dyDescent="0.25">
      <c r="A669" s="3"/>
      <c r="B669" s="3">
        <v>46029</v>
      </c>
      <c r="C669" s="5">
        <v>2025020667</v>
      </c>
      <c r="D669" s="2" t="s">
        <v>24</v>
      </c>
      <c r="E669" s="2" t="s">
        <v>28</v>
      </c>
      <c r="F669" s="2"/>
      <c r="G669" s="2"/>
      <c r="H669" s="2" t="str">
        <f t="shared" si="54"/>
        <v>_</v>
      </c>
      <c r="I669" s="2"/>
      <c r="J669" s="2"/>
      <c r="K669" s="2"/>
      <c r="L669" s="2" t="str">
        <f t="shared" si="55"/>
        <v>_</v>
      </c>
      <c r="M669" s="2"/>
      <c r="N669" s="2">
        <f>IF(ISBLANK(Table2[[#This Row],[ActualResult]]), 0, 1)</f>
        <v>0</v>
      </c>
      <c r="O669" s="2" t="str">
        <f>IF(ISBLANK(Table2[[#This Row],[ActualResult]]), "_", IF(Table2[[#This Row],[ActualWinner]]=Table2[[#This Row],[PredictedWinner]], "Y", "N"))</f>
        <v>_</v>
      </c>
      <c r="P6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9" s="2"/>
      <c r="S669" s="2" t="str">
        <f t="shared" si="56"/>
        <v>_</v>
      </c>
      <c r="T6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9" s="2">
        <f>IF(Table2[[#This Row],[InterConf]]=1,IF(Table2[[#This Row],[InterDiv]]=0, 1, 0), 0)</f>
        <v>0</v>
      </c>
      <c r="W6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9" s="2"/>
      <c r="Y669" s="2"/>
      <c r="Z669" s="145">
        <f>IF(AND(Table2[[#This Row],[GameIsOver]]=1,Table2[[#This Row],[ActualHomeScore]]*Table2[[#This Row],[ActualAwayScore]]=0), 1,0)</f>
        <v>0</v>
      </c>
      <c r="AA6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69" s="2">
        <f>Table2[[#This Row],[ActualAwayScore]]-Table2[[#This Row],[PredictedAwayScore]]</f>
        <v>0</v>
      </c>
      <c r="AG669" s="2">
        <f>Table2[[#This Row],[ActualHomeScore]]-Table2[[#This Row],[PredictedHomeScore]]</f>
        <v>0</v>
      </c>
      <c r="AH669" s="2">
        <f t="shared" si="57"/>
        <v>0</v>
      </c>
      <c r="AI669" s="2">
        <f t="shared" si="58"/>
        <v>0</v>
      </c>
      <c r="AJ669" s="2"/>
      <c r="AK669" s="3"/>
      <c r="AL669" s="2">
        <f>IF(Table2[[#This Row],[GameIsOver]]=0,0,IF(Table2[[#This Row],[ActualWinner]]=Table2[[#This Row],[AwayTeam]], 1, 0))</f>
        <v>0</v>
      </c>
      <c r="AM669" s="2">
        <f>IF(Table2[[#This Row],[GameIsOver]]=0,0,IF(Table2[[#This Row],[ActualWinner]]=Table2[[#This Row],[HomeTeam]], 1, 0))</f>
        <v>0</v>
      </c>
      <c r="AN6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9" s="2" t="str">
        <f>INDEX(Sheet5!$B$2:$AG$33, MATCH(Table2[[#This Row],[AwayTeam]],Sheet5!$A$2:$A$33, 0), MATCH(Table2[[#This Row],[HomeTeam]],Sheet5!$A$2:$A$33, 0))</f>
        <v>0-0-0</v>
      </c>
      <c r="AP669" s="2" t="str">
        <f>INDEX(Sheet5!$B$2:$AG$33, MATCH(Table2[[#This Row],[HomeTeam]],Sheet5!$A$2:$A$33, 0), MATCH(Table2[[#This Row],[AwayTeam]],Sheet5!$A$2:$A$33, 0))</f>
        <v>0-0-0</v>
      </c>
      <c r="AQ669" s="2">
        <f>IF(Table2[[#This Row],[GameHasShutOut]], 1, 0)</f>
        <v>0</v>
      </c>
      <c r="AR669" s="2">
        <f>IF(Table2[[#This Row],[ActualAwayScore]] + Table2[[#This Row],[ActualHomeScore]] &gt;= 10, 1, 0)</f>
        <v>0</v>
      </c>
      <c r="AS669" s="2">
        <f>IF(ABS(Table2[[#This Row],[ActualAwayScore]]-Table2[[#This Row],[ActualHomeScore]])&gt;=5, 1, 0)</f>
        <v>0</v>
      </c>
      <c r="AT669" s="2">
        <f>IF(Table2[[#This Row],[ActualAwayScore]] + Table2[[#This Row],[ActualHomeScore]] &lt;= 3, 1, 0)</f>
        <v>1</v>
      </c>
      <c r="AU669" s="2"/>
      <c r="AV669" s="2"/>
    </row>
    <row r="670" spans="1:48" x14ac:dyDescent="0.25">
      <c r="A670" s="3"/>
      <c r="B670" s="3">
        <v>46029</v>
      </c>
      <c r="C670" s="5">
        <v>2025020668</v>
      </c>
      <c r="D670" s="2" t="s">
        <v>25</v>
      </c>
      <c r="E670" s="2" t="s">
        <v>40</v>
      </c>
      <c r="F670" s="2"/>
      <c r="G670" s="2"/>
      <c r="H670" s="2" t="str">
        <f t="shared" si="54"/>
        <v>_</v>
      </c>
      <c r="I670" s="2"/>
      <c r="J670" s="2"/>
      <c r="K670" s="2"/>
      <c r="L670" s="2" t="str">
        <f t="shared" si="55"/>
        <v>_</v>
      </c>
      <c r="M670" s="2"/>
      <c r="N670" s="2">
        <f>IF(ISBLANK(Table2[[#This Row],[ActualResult]]), 0, 1)</f>
        <v>0</v>
      </c>
      <c r="O670" s="2" t="str">
        <f>IF(ISBLANK(Table2[[#This Row],[ActualResult]]), "_", IF(Table2[[#This Row],[ActualWinner]]=Table2[[#This Row],[PredictedWinner]], "Y", "N"))</f>
        <v>_</v>
      </c>
      <c r="P6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0" s="2"/>
      <c r="S670" s="2" t="str">
        <f t="shared" si="56"/>
        <v>_</v>
      </c>
      <c r="T6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0" s="2">
        <f>IF(Table2[[#This Row],[InterConf]]=1,IF(Table2[[#This Row],[InterDiv]]=0, 1, 0), 0)</f>
        <v>0</v>
      </c>
      <c r="W6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0" s="2"/>
      <c r="Y670" s="2"/>
      <c r="Z670" s="145">
        <f>IF(AND(Table2[[#This Row],[GameIsOver]]=1,Table2[[#This Row],[ActualHomeScore]]*Table2[[#This Row],[ActualAwayScore]]=0), 1,0)</f>
        <v>0</v>
      </c>
      <c r="AA6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0" s="2">
        <f>Table2[[#This Row],[ActualAwayScore]]-Table2[[#This Row],[PredictedAwayScore]]</f>
        <v>0</v>
      </c>
      <c r="AG670" s="2">
        <f>Table2[[#This Row],[ActualHomeScore]]-Table2[[#This Row],[PredictedHomeScore]]</f>
        <v>0</v>
      </c>
      <c r="AH670" s="2">
        <f t="shared" si="57"/>
        <v>0</v>
      </c>
      <c r="AI670" s="2">
        <f t="shared" si="58"/>
        <v>0</v>
      </c>
      <c r="AJ670" s="2"/>
      <c r="AK670" s="3"/>
      <c r="AL670" s="2">
        <f>IF(Table2[[#This Row],[GameIsOver]]=0,0,IF(Table2[[#This Row],[ActualWinner]]=Table2[[#This Row],[AwayTeam]], 1, 0))</f>
        <v>0</v>
      </c>
      <c r="AM670" s="2">
        <f>IF(Table2[[#This Row],[GameIsOver]]=0,0,IF(Table2[[#This Row],[ActualWinner]]=Table2[[#This Row],[HomeTeam]], 1, 0))</f>
        <v>0</v>
      </c>
      <c r="AN6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0" s="2" t="str">
        <f>INDEX(Sheet5!$B$2:$AG$33, MATCH(Table2[[#This Row],[AwayTeam]],Sheet5!$A$2:$A$33, 0), MATCH(Table2[[#This Row],[HomeTeam]],Sheet5!$A$2:$A$33, 0))</f>
        <v>0-0-0</v>
      </c>
      <c r="AP670" s="2" t="str">
        <f>INDEX(Sheet5!$B$2:$AG$33, MATCH(Table2[[#This Row],[HomeTeam]],Sheet5!$A$2:$A$33, 0), MATCH(Table2[[#This Row],[AwayTeam]],Sheet5!$A$2:$A$33, 0))</f>
        <v>0-0-0</v>
      </c>
      <c r="AQ670" s="2">
        <f>IF(Table2[[#This Row],[GameHasShutOut]], 1, 0)</f>
        <v>0</v>
      </c>
      <c r="AR670" s="2">
        <f>IF(Table2[[#This Row],[ActualAwayScore]] + Table2[[#This Row],[ActualHomeScore]] &gt;= 10, 1, 0)</f>
        <v>0</v>
      </c>
      <c r="AS670" s="2">
        <f>IF(ABS(Table2[[#This Row],[ActualAwayScore]]-Table2[[#This Row],[ActualHomeScore]])&gt;=5, 1, 0)</f>
        <v>0</v>
      </c>
      <c r="AT670" s="2">
        <f>IF(Table2[[#This Row],[ActualAwayScore]] + Table2[[#This Row],[ActualHomeScore]] &lt;= 3, 1, 0)</f>
        <v>1</v>
      </c>
      <c r="AU670" s="2"/>
      <c r="AV670" s="2"/>
    </row>
    <row r="671" spans="1:48" x14ac:dyDescent="0.25">
      <c r="A671" s="3"/>
      <c r="B671" s="3">
        <v>46029</v>
      </c>
      <c r="C671" s="5">
        <v>2025020669</v>
      </c>
      <c r="D671" s="2" t="s">
        <v>31</v>
      </c>
      <c r="E671" s="2" t="s">
        <v>32</v>
      </c>
      <c r="F671" s="2"/>
      <c r="G671" s="2"/>
      <c r="H671" s="2" t="str">
        <f t="shared" si="54"/>
        <v>_</v>
      </c>
      <c r="I671" s="2"/>
      <c r="J671" s="2"/>
      <c r="K671" s="2"/>
      <c r="L671" s="2" t="str">
        <f t="shared" si="55"/>
        <v>_</v>
      </c>
      <c r="M671" s="2"/>
      <c r="N671" s="2">
        <f>IF(ISBLANK(Table2[[#This Row],[ActualResult]]), 0, 1)</f>
        <v>0</v>
      </c>
      <c r="O671" s="2" t="str">
        <f>IF(ISBLANK(Table2[[#This Row],[ActualResult]]), "_", IF(Table2[[#This Row],[ActualWinner]]=Table2[[#This Row],[PredictedWinner]], "Y", "N"))</f>
        <v>_</v>
      </c>
      <c r="P6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1" s="2"/>
      <c r="S671" s="2" t="str">
        <f t="shared" si="56"/>
        <v>_</v>
      </c>
      <c r="T6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71" s="2">
        <f>IF(Table2[[#This Row],[InterConf]]=1,IF(Table2[[#This Row],[InterDiv]]=0, 1, 0), 0)</f>
        <v>0</v>
      </c>
      <c r="W6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1" s="2"/>
      <c r="Y671" s="2"/>
      <c r="Z671" s="145">
        <f>IF(AND(Table2[[#This Row],[GameIsOver]]=1,Table2[[#This Row],[ActualHomeScore]]*Table2[[#This Row],[ActualAwayScore]]=0), 1,0)</f>
        <v>0</v>
      </c>
      <c r="AA6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1" s="2">
        <f>Table2[[#This Row],[ActualAwayScore]]-Table2[[#This Row],[PredictedAwayScore]]</f>
        <v>0</v>
      </c>
      <c r="AG671" s="2">
        <f>Table2[[#This Row],[ActualHomeScore]]-Table2[[#This Row],[PredictedHomeScore]]</f>
        <v>0</v>
      </c>
      <c r="AH671" s="2">
        <f t="shared" si="57"/>
        <v>0</v>
      </c>
      <c r="AI671" s="2">
        <f t="shared" si="58"/>
        <v>0</v>
      </c>
      <c r="AJ671" s="2"/>
      <c r="AK671" s="3"/>
      <c r="AL671" s="2">
        <f>IF(Table2[[#This Row],[GameIsOver]]=0,0,IF(Table2[[#This Row],[ActualWinner]]=Table2[[#This Row],[AwayTeam]], 1, 0))</f>
        <v>0</v>
      </c>
      <c r="AM671" s="2">
        <f>IF(Table2[[#This Row],[GameIsOver]]=0,0,IF(Table2[[#This Row],[ActualWinner]]=Table2[[#This Row],[HomeTeam]], 1, 0))</f>
        <v>0</v>
      </c>
      <c r="AN6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1" s="2" t="str">
        <f>INDEX(Sheet5!$B$2:$AG$33, MATCH(Table2[[#This Row],[AwayTeam]],Sheet5!$A$2:$A$33, 0), MATCH(Table2[[#This Row],[HomeTeam]],Sheet5!$A$2:$A$33, 0))</f>
        <v>0-0-0</v>
      </c>
      <c r="AP671" s="2" t="str">
        <f>INDEX(Sheet5!$B$2:$AG$33, MATCH(Table2[[#This Row],[HomeTeam]],Sheet5!$A$2:$A$33, 0), MATCH(Table2[[#This Row],[AwayTeam]],Sheet5!$A$2:$A$33, 0))</f>
        <v>0-0-0</v>
      </c>
      <c r="AQ671" s="2">
        <f>IF(Table2[[#This Row],[GameHasShutOut]], 1, 0)</f>
        <v>0</v>
      </c>
      <c r="AR671" s="2">
        <f>IF(Table2[[#This Row],[ActualAwayScore]] + Table2[[#This Row],[ActualHomeScore]] &gt;= 10, 1, 0)</f>
        <v>0</v>
      </c>
      <c r="AS671" s="2">
        <f>IF(ABS(Table2[[#This Row],[ActualAwayScore]]-Table2[[#This Row],[ActualHomeScore]])&gt;=5, 1, 0)</f>
        <v>0</v>
      </c>
      <c r="AT671" s="2">
        <f>IF(Table2[[#This Row],[ActualAwayScore]] + Table2[[#This Row],[ActualHomeScore]] &lt;= 3, 1, 0)</f>
        <v>1</v>
      </c>
      <c r="AU671" s="2"/>
      <c r="AV671" s="2"/>
    </row>
    <row r="672" spans="1:48" x14ac:dyDescent="0.25">
      <c r="A672" s="3"/>
      <c r="B672" s="3">
        <v>46029</v>
      </c>
      <c r="C672" s="5">
        <v>2025020670</v>
      </c>
      <c r="D672" s="2" t="s">
        <v>44</v>
      </c>
      <c r="E672" s="2" t="s">
        <v>42</v>
      </c>
      <c r="F672" s="2"/>
      <c r="G672" s="2"/>
      <c r="H672" s="2" t="str">
        <f t="shared" si="54"/>
        <v>_</v>
      </c>
      <c r="I672" s="2"/>
      <c r="J672" s="2"/>
      <c r="K672" s="2"/>
      <c r="L672" s="2" t="str">
        <f t="shared" si="55"/>
        <v>_</v>
      </c>
      <c r="M672" s="2"/>
      <c r="N672" s="2">
        <f>IF(ISBLANK(Table2[[#This Row],[ActualResult]]), 0, 1)</f>
        <v>0</v>
      </c>
      <c r="O672" s="2" t="str">
        <f>IF(ISBLANK(Table2[[#This Row],[ActualResult]]), "_", IF(Table2[[#This Row],[ActualWinner]]=Table2[[#This Row],[PredictedWinner]], "Y", "N"))</f>
        <v>_</v>
      </c>
      <c r="P6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2" s="2"/>
      <c r="S672" s="2" t="str">
        <f t="shared" si="56"/>
        <v>_</v>
      </c>
      <c r="T6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2" s="2">
        <f>IF(Table2[[#This Row],[InterConf]]=1,IF(Table2[[#This Row],[InterDiv]]=0, 1, 0), 0)</f>
        <v>0</v>
      </c>
      <c r="W6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2" s="2"/>
      <c r="Y672" s="2"/>
      <c r="Z672" s="145">
        <f>IF(AND(Table2[[#This Row],[GameIsOver]]=1,Table2[[#This Row],[ActualHomeScore]]*Table2[[#This Row],[ActualAwayScore]]=0), 1,0)</f>
        <v>0</v>
      </c>
      <c r="AA6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2" s="2">
        <f>Table2[[#This Row],[ActualAwayScore]]-Table2[[#This Row],[PredictedAwayScore]]</f>
        <v>0</v>
      </c>
      <c r="AG672" s="2">
        <f>Table2[[#This Row],[ActualHomeScore]]-Table2[[#This Row],[PredictedHomeScore]]</f>
        <v>0</v>
      </c>
      <c r="AH672" s="2">
        <f t="shared" si="57"/>
        <v>0</v>
      </c>
      <c r="AI672" s="2">
        <f t="shared" si="58"/>
        <v>0</v>
      </c>
      <c r="AJ672" s="2"/>
      <c r="AK672" s="3"/>
      <c r="AL672" s="2">
        <f>IF(Table2[[#This Row],[GameIsOver]]=0,0,IF(Table2[[#This Row],[ActualWinner]]=Table2[[#This Row],[AwayTeam]], 1, 0))</f>
        <v>0</v>
      </c>
      <c r="AM672" s="2">
        <f>IF(Table2[[#This Row],[GameIsOver]]=0,0,IF(Table2[[#This Row],[ActualWinner]]=Table2[[#This Row],[HomeTeam]], 1, 0))</f>
        <v>0</v>
      </c>
      <c r="AN6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2" s="2" t="str">
        <f>INDEX(Sheet5!$B$2:$AG$33, MATCH(Table2[[#This Row],[AwayTeam]],Sheet5!$A$2:$A$33, 0), MATCH(Table2[[#This Row],[HomeTeam]],Sheet5!$A$2:$A$33, 0))</f>
        <v>0-0-0</v>
      </c>
      <c r="AP672" s="2" t="str">
        <f>INDEX(Sheet5!$B$2:$AG$33, MATCH(Table2[[#This Row],[HomeTeam]],Sheet5!$A$2:$A$33, 0), MATCH(Table2[[#This Row],[AwayTeam]],Sheet5!$A$2:$A$33, 0))</f>
        <v>0-0-0</v>
      </c>
      <c r="AQ672" s="2">
        <f>IF(Table2[[#This Row],[GameHasShutOut]], 1, 0)</f>
        <v>0</v>
      </c>
      <c r="AR672" s="2">
        <f>IF(Table2[[#This Row],[ActualAwayScore]] + Table2[[#This Row],[ActualHomeScore]] &gt;= 10, 1, 0)</f>
        <v>0</v>
      </c>
      <c r="AS672" s="2">
        <f>IF(ABS(Table2[[#This Row],[ActualAwayScore]]-Table2[[#This Row],[ActualHomeScore]])&gt;=5, 1, 0)</f>
        <v>0</v>
      </c>
      <c r="AT672" s="2">
        <f>IF(Table2[[#This Row],[ActualAwayScore]] + Table2[[#This Row],[ActualHomeScore]] &lt;= 3, 1, 0)</f>
        <v>1</v>
      </c>
      <c r="AU672" s="2"/>
      <c r="AV672" s="2"/>
    </row>
    <row r="673" spans="1:48" x14ac:dyDescent="0.25">
      <c r="A673" s="3"/>
      <c r="B673" s="3">
        <v>46029</v>
      </c>
      <c r="C673" s="5">
        <v>2025020671</v>
      </c>
      <c r="D673" s="2" t="s">
        <v>33</v>
      </c>
      <c r="E673" s="2" t="s">
        <v>41</v>
      </c>
      <c r="F673" s="2"/>
      <c r="G673" s="2"/>
      <c r="H673" s="2" t="str">
        <f t="shared" si="54"/>
        <v>_</v>
      </c>
      <c r="I673" s="2"/>
      <c r="J673" s="2"/>
      <c r="K673" s="2"/>
      <c r="L673" s="2" t="str">
        <f t="shared" si="55"/>
        <v>_</v>
      </c>
      <c r="M673" s="2"/>
      <c r="N673" s="2">
        <f>IF(ISBLANK(Table2[[#This Row],[ActualResult]]), 0, 1)</f>
        <v>0</v>
      </c>
      <c r="O673" s="2" t="str">
        <f>IF(ISBLANK(Table2[[#This Row],[ActualResult]]), "_", IF(Table2[[#This Row],[ActualWinner]]=Table2[[#This Row],[PredictedWinner]], "Y", "N"))</f>
        <v>_</v>
      </c>
      <c r="P6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3" s="2"/>
      <c r="S673" s="2" t="str">
        <f t="shared" si="56"/>
        <v>_</v>
      </c>
      <c r="T6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3" s="2">
        <f>IF(Table2[[#This Row],[InterConf]]=1,IF(Table2[[#This Row],[InterDiv]]=0, 1, 0), 0)</f>
        <v>0</v>
      </c>
      <c r="W6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3" s="2"/>
      <c r="Y673" s="2"/>
      <c r="Z673" s="145">
        <f>IF(AND(Table2[[#This Row],[GameIsOver]]=1,Table2[[#This Row],[ActualHomeScore]]*Table2[[#This Row],[ActualAwayScore]]=0), 1,0)</f>
        <v>0</v>
      </c>
      <c r="AA6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3" s="2">
        <f>Table2[[#This Row],[ActualAwayScore]]-Table2[[#This Row],[PredictedAwayScore]]</f>
        <v>0</v>
      </c>
      <c r="AG673" s="2">
        <f>Table2[[#This Row],[ActualHomeScore]]-Table2[[#This Row],[PredictedHomeScore]]</f>
        <v>0</v>
      </c>
      <c r="AH673" s="2">
        <f t="shared" si="57"/>
        <v>0</v>
      </c>
      <c r="AI673" s="2">
        <f t="shared" si="58"/>
        <v>0</v>
      </c>
      <c r="AJ673" s="2"/>
      <c r="AK673" s="3"/>
      <c r="AL673" s="2">
        <f>IF(Table2[[#This Row],[GameIsOver]]=0,0,IF(Table2[[#This Row],[ActualWinner]]=Table2[[#This Row],[AwayTeam]], 1, 0))</f>
        <v>0</v>
      </c>
      <c r="AM673" s="2">
        <f>IF(Table2[[#This Row],[GameIsOver]]=0,0,IF(Table2[[#This Row],[ActualWinner]]=Table2[[#This Row],[HomeTeam]], 1, 0))</f>
        <v>0</v>
      </c>
      <c r="AN6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3" s="2" t="str">
        <f>INDEX(Sheet5!$B$2:$AG$33, MATCH(Table2[[#This Row],[AwayTeam]],Sheet5!$A$2:$A$33, 0), MATCH(Table2[[#This Row],[HomeTeam]],Sheet5!$A$2:$A$33, 0))</f>
        <v>0-0-0</v>
      </c>
      <c r="AP673" s="2" t="str">
        <f>INDEX(Sheet5!$B$2:$AG$33, MATCH(Table2[[#This Row],[HomeTeam]],Sheet5!$A$2:$A$33, 0), MATCH(Table2[[#This Row],[AwayTeam]],Sheet5!$A$2:$A$33, 0))</f>
        <v>0-0-0</v>
      </c>
      <c r="AQ673" s="2">
        <f>IF(Table2[[#This Row],[GameHasShutOut]], 1, 0)</f>
        <v>0</v>
      </c>
      <c r="AR673" s="2">
        <f>IF(Table2[[#This Row],[ActualAwayScore]] + Table2[[#This Row],[ActualHomeScore]] &gt;= 10, 1, 0)</f>
        <v>0</v>
      </c>
      <c r="AS673" s="2">
        <f>IF(ABS(Table2[[#This Row],[ActualAwayScore]]-Table2[[#This Row],[ActualHomeScore]])&gt;=5, 1, 0)</f>
        <v>0</v>
      </c>
      <c r="AT673" s="2">
        <f>IF(Table2[[#This Row],[ActualAwayScore]] + Table2[[#This Row],[ActualHomeScore]] &lt;= 3, 1, 0)</f>
        <v>1</v>
      </c>
      <c r="AU673" s="2"/>
      <c r="AV673" s="2"/>
    </row>
    <row r="674" spans="1:48" x14ac:dyDescent="0.25">
      <c r="A674" s="3"/>
      <c r="B674" s="3">
        <v>46029</v>
      </c>
      <c r="C674" s="5">
        <v>2025020672</v>
      </c>
      <c r="D674" s="2" t="s">
        <v>13</v>
      </c>
      <c r="E674" s="2" t="s">
        <v>17</v>
      </c>
      <c r="F674" s="2"/>
      <c r="G674" s="2"/>
      <c r="H674" s="2" t="str">
        <f t="shared" si="54"/>
        <v>_</v>
      </c>
      <c r="I674" s="2"/>
      <c r="J674" s="2"/>
      <c r="K674" s="2"/>
      <c r="L674" s="2" t="str">
        <f t="shared" si="55"/>
        <v>_</v>
      </c>
      <c r="M674" s="2"/>
      <c r="N674" s="2">
        <f>IF(ISBLANK(Table2[[#This Row],[ActualResult]]), 0, 1)</f>
        <v>0</v>
      </c>
      <c r="O674" s="2" t="str">
        <f>IF(ISBLANK(Table2[[#This Row],[ActualResult]]), "_", IF(Table2[[#This Row],[ActualWinner]]=Table2[[#This Row],[PredictedWinner]], "Y", "N"))</f>
        <v>_</v>
      </c>
      <c r="P6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4" s="2"/>
      <c r="S674" s="2" t="str">
        <f t="shared" si="56"/>
        <v>_</v>
      </c>
      <c r="T6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74" s="2">
        <f>IF(Table2[[#This Row],[InterConf]]=1,IF(Table2[[#This Row],[InterDiv]]=0, 1, 0), 0)</f>
        <v>0</v>
      </c>
      <c r="W6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4" s="2"/>
      <c r="Y674" s="2"/>
      <c r="Z674" s="145">
        <f>IF(AND(Table2[[#This Row],[GameIsOver]]=1,Table2[[#This Row],[ActualHomeScore]]*Table2[[#This Row],[ActualAwayScore]]=0), 1,0)</f>
        <v>0</v>
      </c>
      <c r="AA6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4" s="2">
        <f>Table2[[#This Row],[ActualAwayScore]]-Table2[[#This Row],[PredictedAwayScore]]</f>
        <v>0</v>
      </c>
      <c r="AG674" s="2">
        <f>Table2[[#This Row],[ActualHomeScore]]-Table2[[#This Row],[PredictedHomeScore]]</f>
        <v>0</v>
      </c>
      <c r="AH674" s="2">
        <f t="shared" si="57"/>
        <v>0</v>
      </c>
      <c r="AI674" s="2">
        <f t="shared" si="58"/>
        <v>0</v>
      </c>
      <c r="AJ674" s="2"/>
      <c r="AK674" s="3"/>
      <c r="AL674" s="2">
        <f>IF(Table2[[#This Row],[GameIsOver]]=0,0,IF(Table2[[#This Row],[ActualWinner]]=Table2[[#This Row],[AwayTeam]], 1, 0))</f>
        <v>0</v>
      </c>
      <c r="AM674" s="2">
        <f>IF(Table2[[#This Row],[GameIsOver]]=0,0,IF(Table2[[#This Row],[ActualWinner]]=Table2[[#This Row],[HomeTeam]], 1, 0))</f>
        <v>0</v>
      </c>
      <c r="AN6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4" s="2" t="str">
        <f>INDEX(Sheet5!$B$2:$AG$33, MATCH(Table2[[#This Row],[AwayTeam]],Sheet5!$A$2:$A$33, 0), MATCH(Table2[[#This Row],[HomeTeam]],Sheet5!$A$2:$A$33, 0))</f>
        <v>0-0-0</v>
      </c>
      <c r="AP674" s="2" t="str">
        <f>INDEX(Sheet5!$B$2:$AG$33, MATCH(Table2[[#This Row],[HomeTeam]],Sheet5!$A$2:$A$33, 0), MATCH(Table2[[#This Row],[AwayTeam]],Sheet5!$A$2:$A$33, 0))</f>
        <v>0-0-0</v>
      </c>
      <c r="AQ674" s="2">
        <f>IF(Table2[[#This Row],[GameHasShutOut]], 1, 0)</f>
        <v>0</v>
      </c>
      <c r="AR674" s="2">
        <f>IF(Table2[[#This Row],[ActualAwayScore]] + Table2[[#This Row],[ActualHomeScore]] &gt;= 10, 1, 0)</f>
        <v>0</v>
      </c>
      <c r="AS674" s="2">
        <f>IF(ABS(Table2[[#This Row],[ActualAwayScore]]-Table2[[#This Row],[ActualHomeScore]])&gt;=5, 1, 0)</f>
        <v>0</v>
      </c>
      <c r="AT674" s="2">
        <f>IF(Table2[[#This Row],[ActualAwayScore]] + Table2[[#This Row],[ActualHomeScore]] &lt;= 3, 1, 0)</f>
        <v>1</v>
      </c>
      <c r="AU674" s="2"/>
      <c r="AV674" s="2"/>
    </row>
    <row r="675" spans="1:48" x14ac:dyDescent="0.25">
      <c r="A675" s="3"/>
      <c r="B675" s="3">
        <v>46029</v>
      </c>
      <c r="C675" s="5">
        <v>2025020673</v>
      </c>
      <c r="D675" s="2" t="s">
        <v>26</v>
      </c>
      <c r="E675" s="2" t="s">
        <v>21</v>
      </c>
      <c r="F675" s="2"/>
      <c r="G675" s="2"/>
      <c r="H675" s="2" t="str">
        <f t="shared" si="54"/>
        <v>_</v>
      </c>
      <c r="I675" s="2"/>
      <c r="J675" s="2"/>
      <c r="K675" s="2"/>
      <c r="L675" s="2" t="str">
        <f t="shared" si="55"/>
        <v>_</v>
      </c>
      <c r="M675" s="2"/>
      <c r="N675" s="2">
        <f>IF(ISBLANK(Table2[[#This Row],[ActualResult]]), 0, 1)</f>
        <v>0</v>
      </c>
      <c r="O675" s="2" t="str">
        <f>IF(ISBLANK(Table2[[#This Row],[ActualResult]]), "_", IF(Table2[[#This Row],[ActualWinner]]=Table2[[#This Row],[PredictedWinner]], "Y", "N"))</f>
        <v>_</v>
      </c>
      <c r="P6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5" s="2"/>
      <c r="S675" s="2" t="str">
        <f t="shared" si="56"/>
        <v>_</v>
      </c>
      <c r="T6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5" s="2">
        <f>IF(Table2[[#This Row],[InterConf]]=1,IF(Table2[[#This Row],[InterDiv]]=0, 1, 0), 0)</f>
        <v>1</v>
      </c>
      <c r="W6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5" s="2"/>
      <c r="Y675" s="2"/>
      <c r="Z675" s="145">
        <f>IF(AND(Table2[[#This Row],[GameIsOver]]=1,Table2[[#This Row],[ActualHomeScore]]*Table2[[#This Row],[ActualAwayScore]]=0), 1,0)</f>
        <v>0</v>
      </c>
      <c r="AA6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5" s="2">
        <f>Table2[[#This Row],[ActualAwayScore]]-Table2[[#This Row],[PredictedAwayScore]]</f>
        <v>0</v>
      </c>
      <c r="AG675" s="2">
        <f>Table2[[#This Row],[ActualHomeScore]]-Table2[[#This Row],[PredictedHomeScore]]</f>
        <v>0</v>
      </c>
      <c r="AH675" s="2">
        <f t="shared" si="57"/>
        <v>0</v>
      </c>
      <c r="AI675" s="2">
        <f t="shared" si="58"/>
        <v>0</v>
      </c>
      <c r="AJ675" s="2"/>
      <c r="AK675" s="3"/>
      <c r="AL675" s="2">
        <f>IF(Table2[[#This Row],[GameIsOver]]=0,0,IF(Table2[[#This Row],[ActualWinner]]=Table2[[#This Row],[AwayTeam]], 1, 0))</f>
        <v>0</v>
      </c>
      <c r="AM675" s="2">
        <f>IF(Table2[[#This Row],[GameIsOver]]=0,0,IF(Table2[[#This Row],[ActualWinner]]=Table2[[#This Row],[HomeTeam]], 1, 0))</f>
        <v>0</v>
      </c>
      <c r="AN6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5" s="2" t="str">
        <f>INDEX(Sheet5!$B$2:$AG$33, MATCH(Table2[[#This Row],[AwayTeam]],Sheet5!$A$2:$A$33, 0), MATCH(Table2[[#This Row],[HomeTeam]],Sheet5!$A$2:$A$33, 0))</f>
        <v>0-0-0</v>
      </c>
      <c r="AP675" s="2" t="str">
        <f>INDEX(Sheet5!$B$2:$AG$33, MATCH(Table2[[#This Row],[HomeTeam]],Sheet5!$A$2:$A$33, 0), MATCH(Table2[[#This Row],[AwayTeam]],Sheet5!$A$2:$A$33, 0))</f>
        <v>0-0-0</v>
      </c>
      <c r="AQ675" s="2">
        <f>IF(Table2[[#This Row],[GameHasShutOut]], 1, 0)</f>
        <v>0</v>
      </c>
      <c r="AR675" s="2">
        <f>IF(Table2[[#This Row],[ActualAwayScore]] + Table2[[#This Row],[ActualHomeScore]] &gt;= 10, 1, 0)</f>
        <v>0</v>
      </c>
      <c r="AS675" s="2">
        <f>IF(ABS(Table2[[#This Row],[ActualAwayScore]]-Table2[[#This Row],[ActualHomeScore]])&gt;=5, 1, 0)</f>
        <v>0</v>
      </c>
      <c r="AT675" s="2">
        <f>IF(Table2[[#This Row],[ActualAwayScore]] + Table2[[#This Row],[ActualHomeScore]] &lt;= 3, 1, 0)</f>
        <v>1</v>
      </c>
      <c r="AU675" s="2"/>
      <c r="AV675" s="2"/>
    </row>
    <row r="676" spans="1:48" x14ac:dyDescent="0.25">
      <c r="A676" s="3"/>
      <c r="B676" s="3">
        <v>46029</v>
      </c>
      <c r="C676" s="5">
        <v>2025020674</v>
      </c>
      <c r="D676" s="2" t="s">
        <v>34</v>
      </c>
      <c r="E676" s="2" t="s">
        <v>22</v>
      </c>
      <c r="F676" s="2"/>
      <c r="G676" s="2"/>
      <c r="H676" s="2" t="str">
        <f t="shared" si="54"/>
        <v>_</v>
      </c>
      <c r="I676" s="2"/>
      <c r="J676" s="2"/>
      <c r="K676" s="2"/>
      <c r="L676" s="2" t="str">
        <f t="shared" si="55"/>
        <v>_</v>
      </c>
      <c r="M676" s="2"/>
      <c r="N676" s="2">
        <f>IF(ISBLANK(Table2[[#This Row],[ActualResult]]), 0, 1)</f>
        <v>0</v>
      </c>
      <c r="O676" s="2" t="str">
        <f>IF(ISBLANK(Table2[[#This Row],[ActualResult]]), "_", IF(Table2[[#This Row],[ActualWinner]]=Table2[[#This Row],[PredictedWinner]], "Y", "N"))</f>
        <v>_</v>
      </c>
      <c r="P6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6" s="2"/>
      <c r="S676" s="2" t="str">
        <f t="shared" si="56"/>
        <v>_</v>
      </c>
      <c r="T6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6" s="2">
        <f>IF(Table2[[#This Row],[InterConf]]=1,IF(Table2[[#This Row],[InterDiv]]=0, 1, 0), 0)</f>
        <v>1</v>
      </c>
      <c r="W6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6" s="2"/>
      <c r="Y676" s="2"/>
      <c r="Z676" s="145">
        <f>IF(AND(Table2[[#This Row],[GameIsOver]]=1,Table2[[#This Row],[ActualHomeScore]]*Table2[[#This Row],[ActualAwayScore]]=0), 1,0)</f>
        <v>0</v>
      </c>
      <c r="AA6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6" s="2">
        <f>Table2[[#This Row],[ActualAwayScore]]-Table2[[#This Row],[PredictedAwayScore]]</f>
        <v>0</v>
      </c>
      <c r="AG676" s="2">
        <f>Table2[[#This Row],[ActualHomeScore]]-Table2[[#This Row],[PredictedHomeScore]]</f>
        <v>0</v>
      </c>
      <c r="AH676" s="2">
        <f t="shared" si="57"/>
        <v>0</v>
      </c>
      <c r="AI676" s="2">
        <f t="shared" si="58"/>
        <v>0</v>
      </c>
      <c r="AJ676" s="2"/>
      <c r="AK676" s="3"/>
      <c r="AL676" s="2">
        <f>IF(Table2[[#This Row],[GameIsOver]]=0,0,IF(Table2[[#This Row],[ActualWinner]]=Table2[[#This Row],[AwayTeam]], 1, 0))</f>
        <v>0</v>
      </c>
      <c r="AM676" s="2">
        <f>IF(Table2[[#This Row],[GameIsOver]]=0,0,IF(Table2[[#This Row],[ActualWinner]]=Table2[[#This Row],[HomeTeam]], 1, 0))</f>
        <v>0</v>
      </c>
      <c r="AN6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6" s="2" t="str">
        <f>INDEX(Sheet5!$B$2:$AG$33, MATCH(Table2[[#This Row],[AwayTeam]],Sheet5!$A$2:$A$33, 0), MATCH(Table2[[#This Row],[HomeTeam]],Sheet5!$A$2:$A$33, 0))</f>
        <v>0-0-0</v>
      </c>
      <c r="AP676" s="2" t="str">
        <f>INDEX(Sheet5!$B$2:$AG$33, MATCH(Table2[[#This Row],[HomeTeam]],Sheet5!$A$2:$A$33, 0), MATCH(Table2[[#This Row],[AwayTeam]],Sheet5!$A$2:$A$33, 0))</f>
        <v>0-0-0</v>
      </c>
      <c r="AQ676" s="2">
        <f>IF(Table2[[#This Row],[GameHasShutOut]], 1, 0)</f>
        <v>0</v>
      </c>
      <c r="AR676" s="2">
        <f>IF(Table2[[#This Row],[ActualAwayScore]] + Table2[[#This Row],[ActualHomeScore]] &gt;= 10, 1, 0)</f>
        <v>0</v>
      </c>
      <c r="AS676" s="2">
        <f>IF(ABS(Table2[[#This Row],[ActualAwayScore]]-Table2[[#This Row],[ActualHomeScore]])&gt;=5, 1, 0)</f>
        <v>0</v>
      </c>
      <c r="AT676" s="2">
        <f>IF(Table2[[#This Row],[ActualAwayScore]] + Table2[[#This Row],[ActualHomeScore]] &lt;= 3, 1, 0)</f>
        <v>1</v>
      </c>
      <c r="AU676" s="2"/>
      <c r="AV676" s="2"/>
    </row>
    <row r="677" spans="1:48" x14ac:dyDescent="0.25">
      <c r="A677" s="3"/>
      <c r="B677" s="3">
        <v>46029</v>
      </c>
      <c r="C677" s="5">
        <v>2025020675</v>
      </c>
      <c r="D677" s="2" t="s">
        <v>35</v>
      </c>
      <c r="E677" s="2" t="s">
        <v>37</v>
      </c>
      <c r="F677" s="2"/>
      <c r="G677" s="2"/>
      <c r="H677" s="2" t="str">
        <f t="shared" si="54"/>
        <v>_</v>
      </c>
      <c r="I677" s="2"/>
      <c r="J677" s="2"/>
      <c r="K677" s="2"/>
      <c r="L677" s="2" t="str">
        <f t="shared" si="55"/>
        <v>_</v>
      </c>
      <c r="M677" s="2"/>
      <c r="N677" s="2">
        <f>IF(ISBLANK(Table2[[#This Row],[ActualResult]]), 0, 1)</f>
        <v>0</v>
      </c>
      <c r="O677" s="2" t="str">
        <f>IF(ISBLANK(Table2[[#This Row],[ActualResult]]), "_", IF(Table2[[#This Row],[ActualWinner]]=Table2[[#This Row],[PredictedWinner]], "Y", "N"))</f>
        <v>_</v>
      </c>
      <c r="P6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7" s="2"/>
      <c r="S677" s="2" t="str">
        <f t="shared" si="56"/>
        <v>_</v>
      </c>
      <c r="T6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7" s="2">
        <f>IF(Table2[[#This Row],[InterConf]]=1,IF(Table2[[#This Row],[InterDiv]]=0, 1, 0), 0)</f>
        <v>0</v>
      </c>
      <c r="W6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7" s="2"/>
      <c r="Y677" s="2"/>
      <c r="Z677" s="145">
        <f>IF(AND(Table2[[#This Row],[GameIsOver]]=1,Table2[[#This Row],[ActualHomeScore]]*Table2[[#This Row],[ActualAwayScore]]=0), 1,0)</f>
        <v>0</v>
      </c>
      <c r="AA6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7" s="2">
        <f>Table2[[#This Row],[ActualAwayScore]]-Table2[[#This Row],[PredictedAwayScore]]</f>
        <v>0</v>
      </c>
      <c r="AG677" s="2">
        <f>Table2[[#This Row],[ActualHomeScore]]-Table2[[#This Row],[PredictedHomeScore]]</f>
        <v>0</v>
      </c>
      <c r="AH677" s="2">
        <f t="shared" si="57"/>
        <v>0</v>
      </c>
      <c r="AI677" s="2">
        <f t="shared" si="58"/>
        <v>0</v>
      </c>
      <c r="AJ677" s="2"/>
      <c r="AK677" s="3"/>
      <c r="AL677" s="2">
        <f>IF(Table2[[#This Row],[GameIsOver]]=0,0,IF(Table2[[#This Row],[ActualWinner]]=Table2[[#This Row],[AwayTeam]], 1, 0))</f>
        <v>0</v>
      </c>
      <c r="AM677" s="2">
        <f>IF(Table2[[#This Row],[GameIsOver]]=0,0,IF(Table2[[#This Row],[ActualWinner]]=Table2[[#This Row],[HomeTeam]], 1, 0))</f>
        <v>0</v>
      </c>
      <c r="AN6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7" s="2" t="str">
        <f>INDEX(Sheet5!$B$2:$AG$33, MATCH(Table2[[#This Row],[AwayTeam]],Sheet5!$A$2:$A$33, 0), MATCH(Table2[[#This Row],[HomeTeam]],Sheet5!$A$2:$A$33, 0))</f>
        <v>0-0-0</v>
      </c>
      <c r="AP677" s="2" t="str">
        <f>INDEX(Sheet5!$B$2:$AG$33, MATCH(Table2[[#This Row],[HomeTeam]],Sheet5!$A$2:$A$33, 0), MATCH(Table2[[#This Row],[AwayTeam]],Sheet5!$A$2:$A$33, 0))</f>
        <v>0-0-0</v>
      </c>
      <c r="AQ677" s="2">
        <f>IF(Table2[[#This Row],[GameHasShutOut]], 1, 0)</f>
        <v>0</v>
      </c>
      <c r="AR677" s="2">
        <f>IF(Table2[[#This Row],[ActualAwayScore]] + Table2[[#This Row],[ActualHomeScore]] &gt;= 10, 1, 0)</f>
        <v>0</v>
      </c>
      <c r="AS677" s="2">
        <f>IF(ABS(Table2[[#This Row],[ActualAwayScore]]-Table2[[#This Row],[ActualHomeScore]])&gt;=5, 1, 0)</f>
        <v>0</v>
      </c>
      <c r="AT677" s="2">
        <f>IF(Table2[[#This Row],[ActualAwayScore]] + Table2[[#This Row],[ActualHomeScore]] &lt;= 3, 1, 0)</f>
        <v>1</v>
      </c>
      <c r="AU677" s="2"/>
      <c r="AV677" s="2"/>
    </row>
    <row r="678" spans="1:48" x14ac:dyDescent="0.25">
      <c r="A678" s="3"/>
      <c r="B678" s="3">
        <v>46029</v>
      </c>
      <c r="C678" s="5">
        <v>2025020676</v>
      </c>
      <c r="D678" s="2" t="s">
        <v>15</v>
      </c>
      <c r="E678" s="2" t="s">
        <v>11</v>
      </c>
      <c r="F678" s="2"/>
      <c r="G678" s="2"/>
      <c r="H678" s="2" t="str">
        <f t="shared" si="54"/>
        <v>_</v>
      </c>
      <c r="I678" s="2"/>
      <c r="J678" s="2"/>
      <c r="K678" s="2"/>
      <c r="L678" s="2" t="str">
        <f t="shared" si="55"/>
        <v>_</v>
      </c>
      <c r="M678" s="2"/>
      <c r="N678" s="2">
        <f>IF(ISBLANK(Table2[[#This Row],[ActualResult]]), 0, 1)</f>
        <v>0</v>
      </c>
      <c r="O678" s="2" t="str">
        <f>IF(ISBLANK(Table2[[#This Row],[ActualResult]]), "_", IF(Table2[[#This Row],[ActualWinner]]=Table2[[#This Row],[PredictedWinner]], "Y", "N"))</f>
        <v>_</v>
      </c>
      <c r="P6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8" s="2"/>
      <c r="S678" s="2" t="str">
        <f t="shared" si="56"/>
        <v>_</v>
      </c>
      <c r="T6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8" s="2">
        <f>IF(Table2[[#This Row],[InterConf]]=1,IF(Table2[[#This Row],[InterDiv]]=0, 1, 0), 0)</f>
        <v>0</v>
      </c>
      <c r="W6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8" s="2"/>
      <c r="Y678" s="2"/>
      <c r="Z678" s="145">
        <f>IF(AND(Table2[[#This Row],[GameIsOver]]=1,Table2[[#This Row],[ActualHomeScore]]*Table2[[#This Row],[ActualAwayScore]]=0), 1,0)</f>
        <v>0</v>
      </c>
      <c r="AA6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8" s="2">
        <f>Table2[[#This Row],[ActualAwayScore]]-Table2[[#This Row],[PredictedAwayScore]]</f>
        <v>0</v>
      </c>
      <c r="AG678" s="2">
        <f>Table2[[#This Row],[ActualHomeScore]]-Table2[[#This Row],[PredictedHomeScore]]</f>
        <v>0</v>
      </c>
      <c r="AH678" s="2">
        <f t="shared" si="57"/>
        <v>0</v>
      </c>
      <c r="AI678" s="2">
        <f t="shared" si="58"/>
        <v>0</v>
      </c>
      <c r="AJ678" s="2"/>
      <c r="AK678" s="3"/>
      <c r="AL678" s="2">
        <f>IF(Table2[[#This Row],[GameIsOver]]=0,0,IF(Table2[[#This Row],[ActualWinner]]=Table2[[#This Row],[AwayTeam]], 1, 0))</f>
        <v>0</v>
      </c>
      <c r="AM678" s="2">
        <f>IF(Table2[[#This Row],[GameIsOver]]=0,0,IF(Table2[[#This Row],[ActualWinner]]=Table2[[#This Row],[HomeTeam]], 1, 0))</f>
        <v>0</v>
      </c>
      <c r="AN6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8" s="2" t="str">
        <f>INDEX(Sheet5!$B$2:$AG$33, MATCH(Table2[[#This Row],[AwayTeam]],Sheet5!$A$2:$A$33, 0), MATCH(Table2[[#This Row],[HomeTeam]],Sheet5!$A$2:$A$33, 0))</f>
        <v>0-0-0</v>
      </c>
      <c r="AP678" s="2" t="str">
        <f>INDEX(Sheet5!$B$2:$AG$33, MATCH(Table2[[#This Row],[HomeTeam]],Sheet5!$A$2:$A$33, 0), MATCH(Table2[[#This Row],[AwayTeam]],Sheet5!$A$2:$A$33, 0))</f>
        <v>0-0-0</v>
      </c>
      <c r="AQ678" s="2">
        <f>IF(Table2[[#This Row],[GameHasShutOut]], 1, 0)</f>
        <v>0</v>
      </c>
      <c r="AR678" s="2">
        <f>IF(Table2[[#This Row],[ActualAwayScore]] + Table2[[#This Row],[ActualHomeScore]] &gt;= 10, 1, 0)</f>
        <v>0</v>
      </c>
      <c r="AS678" s="2">
        <f>IF(ABS(Table2[[#This Row],[ActualAwayScore]]-Table2[[#This Row],[ActualHomeScore]])&gt;=5, 1, 0)</f>
        <v>0</v>
      </c>
      <c r="AT678" s="2">
        <f>IF(Table2[[#This Row],[ActualAwayScore]] + Table2[[#This Row],[ActualHomeScore]] &lt;= 3, 1, 0)</f>
        <v>1</v>
      </c>
      <c r="AU678" s="2"/>
      <c r="AV678" s="2"/>
    </row>
    <row r="679" spans="1:48" x14ac:dyDescent="0.25">
      <c r="A679" s="3"/>
      <c r="B679" s="3">
        <v>46030</v>
      </c>
      <c r="C679" s="5">
        <v>2025020677</v>
      </c>
      <c r="D679" s="2" t="s">
        <v>33</v>
      </c>
      <c r="E679" s="2" t="s">
        <v>43</v>
      </c>
      <c r="F679" s="2"/>
      <c r="G679" s="2"/>
      <c r="H679" s="2" t="str">
        <f t="shared" si="54"/>
        <v>_</v>
      </c>
      <c r="I679" s="2"/>
      <c r="J679" s="2"/>
      <c r="K679" s="2"/>
      <c r="L679" s="2" t="str">
        <f t="shared" si="55"/>
        <v>_</v>
      </c>
      <c r="M679" s="2"/>
      <c r="N679" s="2">
        <f>IF(ISBLANK(Table2[[#This Row],[ActualResult]]), 0, 1)</f>
        <v>0</v>
      </c>
      <c r="O679" s="2" t="str">
        <f>IF(ISBLANK(Table2[[#This Row],[ActualResult]]), "_", IF(Table2[[#This Row],[ActualWinner]]=Table2[[#This Row],[PredictedWinner]], "Y", "N"))</f>
        <v>_</v>
      </c>
      <c r="P6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9" s="2"/>
      <c r="S679" s="2" t="str">
        <f t="shared" si="56"/>
        <v>_</v>
      </c>
      <c r="T6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9" s="2">
        <f>IF(Table2[[#This Row],[InterConf]]=1,IF(Table2[[#This Row],[InterDiv]]=0, 1, 0), 0)</f>
        <v>0</v>
      </c>
      <c r="W6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9" s="2"/>
      <c r="Y679" s="2"/>
      <c r="Z679" s="145">
        <f>IF(AND(Table2[[#This Row],[GameIsOver]]=1,Table2[[#This Row],[ActualHomeScore]]*Table2[[#This Row],[ActualAwayScore]]=0), 1,0)</f>
        <v>0</v>
      </c>
      <c r="AA6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79" s="2">
        <f>Table2[[#This Row],[ActualAwayScore]]-Table2[[#This Row],[PredictedAwayScore]]</f>
        <v>0</v>
      </c>
      <c r="AG679" s="2">
        <f>Table2[[#This Row],[ActualHomeScore]]-Table2[[#This Row],[PredictedHomeScore]]</f>
        <v>0</v>
      </c>
      <c r="AH679" s="2">
        <f t="shared" si="57"/>
        <v>0</v>
      </c>
      <c r="AI679" s="2">
        <f t="shared" si="58"/>
        <v>0</v>
      </c>
      <c r="AJ679" s="2"/>
      <c r="AK679" s="3"/>
      <c r="AL679" s="2">
        <f>IF(Table2[[#This Row],[GameIsOver]]=0,0,IF(Table2[[#This Row],[ActualWinner]]=Table2[[#This Row],[AwayTeam]], 1, 0))</f>
        <v>0</v>
      </c>
      <c r="AM679" s="2">
        <f>IF(Table2[[#This Row],[GameIsOver]]=0,0,IF(Table2[[#This Row],[ActualWinner]]=Table2[[#This Row],[HomeTeam]], 1, 0))</f>
        <v>0</v>
      </c>
      <c r="AN6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9" s="2" t="str">
        <f>INDEX(Sheet5!$B$2:$AG$33, MATCH(Table2[[#This Row],[AwayTeam]],Sheet5!$A$2:$A$33, 0), MATCH(Table2[[#This Row],[HomeTeam]],Sheet5!$A$2:$A$33, 0))</f>
        <v>0-0-0</v>
      </c>
      <c r="AP679" s="2" t="str">
        <f>INDEX(Sheet5!$B$2:$AG$33, MATCH(Table2[[#This Row],[HomeTeam]],Sheet5!$A$2:$A$33, 0), MATCH(Table2[[#This Row],[AwayTeam]],Sheet5!$A$2:$A$33, 0))</f>
        <v>0-0-0</v>
      </c>
      <c r="AQ679" s="2">
        <f>IF(Table2[[#This Row],[GameHasShutOut]], 1, 0)</f>
        <v>0</v>
      </c>
      <c r="AR679" s="2">
        <f>IF(Table2[[#This Row],[ActualAwayScore]] + Table2[[#This Row],[ActualHomeScore]] &gt;= 10, 1, 0)</f>
        <v>0</v>
      </c>
      <c r="AS679" s="2">
        <f>IF(ABS(Table2[[#This Row],[ActualAwayScore]]-Table2[[#This Row],[ActualHomeScore]])&gt;=5, 1, 0)</f>
        <v>0</v>
      </c>
      <c r="AT679" s="2">
        <f>IF(Table2[[#This Row],[ActualAwayScore]] + Table2[[#This Row],[ActualHomeScore]] &lt;= 3, 1, 0)</f>
        <v>1</v>
      </c>
      <c r="AU679" s="2"/>
      <c r="AV679" s="2"/>
    </row>
    <row r="680" spans="1:48" x14ac:dyDescent="0.25">
      <c r="A680" s="3"/>
      <c r="B680" s="3">
        <v>46030</v>
      </c>
      <c r="C680" s="5">
        <v>2025020678</v>
      </c>
      <c r="D680" s="2" t="s">
        <v>23</v>
      </c>
      <c r="E680" s="2" t="s">
        <v>18</v>
      </c>
      <c r="F680" s="2"/>
      <c r="G680" s="2"/>
      <c r="H680" s="2" t="str">
        <f t="shared" si="54"/>
        <v>_</v>
      </c>
      <c r="I680" s="2"/>
      <c r="J680" s="2"/>
      <c r="K680" s="2"/>
      <c r="L680" s="2" t="str">
        <f t="shared" si="55"/>
        <v>_</v>
      </c>
      <c r="M680" s="2"/>
      <c r="N680" s="2">
        <f>IF(ISBLANK(Table2[[#This Row],[ActualResult]]), 0, 1)</f>
        <v>0</v>
      </c>
      <c r="O680" s="2" t="str">
        <f>IF(ISBLANK(Table2[[#This Row],[ActualResult]]), "_", IF(Table2[[#This Row],[ActualWinner]]=Table2[[#This Row],[PredictedWinner]], "Y", "N"))</f>
        <v>_</v>
      </c>
      <c r="P6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0" s="2"/>
      <c r="S680" s="2" t="str">
        <f t="shared" si="56"/>
        <v>_</v>
      </c>
      <c r="T6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0" s="2">
        <f>IF(Table2[[#This Row],[InterConf]]=1,IF(Table2[[#This Row],[InterDiv]]=0, 1, 0), 0)</f>
        <v>0</v>
      </c>
      <c r="W6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0" s="2"/>
      <c r="Y680" s="2"/>
      <c r="Z680" s="145">
        <f>IF(AND(Table2[[#This Row],[GameIsOver]]=1,Table2[[#This Row],[ActualHomeScore]]*Table2[[#This Row],[ActualAwayScore]]=0), 1,0)</f>
        <v>0</v>
      </c>
      <c r="AA6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0" s="2">
        <f>Table2[[#This Row],[ActualAwayScore]]-Table2[[#This Row],[PredictedAwayScore]]</f>
        <v>0</v>
      </c>
      <c r="AG680" s="2">
        <f>Table2[[#This Row],[ActualHomeScore]]-Table2[[#This Row],[PredictedHomeScore]]</f>
        <v>0</v>
      </c>
      <c r="AH680" s="2">
        <f t="shared" si="57"/>
        <v>0</v>
      </c>
      <c r="AI680" s="2">
        <f t="shared" si="58"/>
        <v>0</v>
      </c>
      <c r="AJ680" s="2"/>
      <c r="AK680" s="3"/>
      <c r="AL680" s="2">
        <f>IF(Table2[[#This Row],[GameIsOver]]=0,0,IF(Table2[[#This Row],[ActualWinner]]=Table2[[#This Row],[AwayTeam]], 1, 0))</f>
        <v>0</v>
      </c>
      <c r="AM680" s="2">
        <f>IF(Table2[[#This Row],[GameIsOver]]=0,0,IF(Table2[[#This Row],[ActualWinner]]=Table2[[#This Row],[HomeTeam]], 1, 0))</f>
        <v>0</v>
      </c>
      <c r="AN6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0" s="2" t="str">
        <f>INDEX(Sheet5!$B$2:$AG$33, MATCH(Table2[[#This Row],[AwayTeam]],Sheet5!$A$2:$A$33, 0), MATCH(Table2[[#This Row],[HomeTeam]],Sheet5!$A$2:$A$33, 0))</f>
        <v>0-0-0</v>
      </c>
      <c r="AP680" s="2" t="str">
        <f>INDEX(Sheet5!$B$2:$AG$33, MATCH(Table2[[#This Row],[HomeTeam]],Sheet5!$A$2:$A$33, 0), MATCH(Table2[[#This Row],[AwayTeam]],Sheet5!$A$2:$A$33, 0))</f>
        <v>0-0-0</v>
      </c>
      <c r="AQ680" s="2">
        <f>IF(Table2[[#This Row],[GameHasShutOut]], 1, 0)</f>
        <v>0</v>
      </c>
      <c r="AR680" s="2">
        <f>IF(Table2[[#This Row],[ActualAwayScore]] + Table2[[#This Row],[ActualHomeScore]] &gt;= 10, 1, 0)</f>
        <v>0</v>
      </c>
      <c r="AS680" s="2">
        <f>IF(ABS(Table2[[#This Row],[ActualAwayScore]]-Table2[[#This Row],[ActualHomeScore]])&gt;=5, 1, 0)</f>
        <v>0</v>
      </c>
      <c r="AT680" s="2">
        <f>IF(Table2[[#This Row],[ActualAwayScore]] + Table2[[#This Row],[ActualHomeScore]] &lt;= 3, 1, 0)</f>
        <v>1</v>
      </c>
      <c r="AU680" s="2"/>
      <c r="AV680" s="2"/>
    </row>
    <row r="681" spans="1:48" x14ac:dyDescent="0.25">
      <c r="A681" s="3"/>
      <c r="B681" s="3">
        <v>46030</v>
      </c>
      <c r="C681" s="5">
        <v>2025020679</v>
      </c>
      <c r="D681" s="2" t="s">
        <v>12</v>
      </c>
      <c r="E681" s="2" t="s">
        <v>16</v>
      </c>
      <c r="F681" s="2"/>
      <c r="G681" s="2"/>
      <c r="H681" s="2" t="str">
        <f t="shared" si="54"/>
        <v>_</v>
      </c>
      <c r="I681" s="2"/>
      <c r="J681" s="2"/>
      <c r="K681" s="2"/>
      <c r="L681" s="2" t="str">
        <f t="shared" si="55"/>
        <v>_</v>
      </c>
      <c r="M681" s="2"/>
      <c r="N681" s="2">
        <f>IF(ISBLANK(Table2[[#This Row],[ActualResult]]), 0, 1)</f>
        <v>0</v>
      </c>
      <c r="O681" s="2" t="str">
        <f>IF(ISBLANK(Table2[[#This Row],[ActualResult]]), "_", IF(Table2[[#This Row],[ActualWinner]]=Table2[[#This Row],[PredictedWinner]], "Y", "N"))</f>
        <v>_</v>
      </c>
      <c r="P6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1" s="2"/>
      <c r="S681" s="2" t="str">
        <f t="shared" si="56"/>
        <v>_</v>
      </c>
      <c r="T6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1" s="2">
        <f>IF(Table2[[#This Row],[InterConf]]=1,IF(Table2[[#This Row],[InterDiv]]=0, 1, 0), 0)</f>
        <v>0</v>
      </c>
      <c r="W6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1" s="2"/>
      <c r="Y681" s="2"/>
      <c r="Z681" s="145">
        <f>IF(AND(Table2[[#This Row],[GameIsOver]]=1,Table2[[#This Row],[ActualHomeScore]]*Table2[[#This Row],[ActualAwayScore]]=0), 1,0)</f>
        <v>0</v>
      </c>
      <c r="AA6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1" s="2">
        <f>Table2[[#This Row],[ActualAwayScore]]-Table2[[#This Row],[PredictedAwayScore]]</f>
        <v>0</v>
      </c>
      <c r="AG681" s="2">
        <f>Table2[[#This Row],[ActualHomeScore]]-Table2[[#This Row],[PredictedHomeScore]]</f>
        <v>0</v>
      </c>
      <c r="AH681" s="2">
        <f t="shared" si="57"/>
        <v>0</v>
      </c>
      <c r="AI681" s="2">
        <f t="shared" si="58"/>
        <v>0</v>
      </c>
      <c r="AJ681" s="2"/>
      <c r="AK681" s="3"/>
      <c r="AL681" s="2">
        <f>IF(Table2[[#This Row],[GameIsOver]]=0,0,IF(Table2[[#This Row],[ActualWinner]]=Table2[[#This Row],[AwayTeam]], 1, 0))</f>
        <v>0</v>
      </c>
      <c r="AM681" s="2">
        <f>IF(Table2[[#This Row],[GameIsOver]]=0,0,IF(Table2[[#This Row],[ActualWinner]]=Table2[[#This Row],[HomeTeam]], 1, 0))</f>
        <v>0</v>
      </c>
      <c r="AN6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1" s="2" t="str">
        <f>INDEX(Sheet5!$B$2:$AG$33, MATCH(Table2[[#This Row],[AwayTeam]],Sheet5!$A$2:$A$33, 0), MATCH(Table2[[#This Row],[HomeTeam]],Sheet5!$A$2:$A$33, 0))</f>
        <v>0-1-0</v>
      </c>
      <c r="AP681" s="2" t="str">
        <f>INDEX(Sheet5!$B$2:$AG$33, MATCH(Table2[[#This Row],[HomeTeam]],Sheet5!$A$2:$A$33, 0), MATCH(Table2[[#This Row],[AwayTeam]],Sheet5!$A$2:$A$33, 0))</f>
        <v>1-0-0</v>
      </c>
      <c r="AQ681" s="2">
        <f>IF(Table2[[#This Row],[GameHasShutOut]], 1, 0)</f>
        <v>0</v>
      </c>
      <c r="AR681" s="2">
        <f>IF(Table2[[#This Row],[ActualAwayScore]] + Table2[[#This Row],[ActualHomeScore]] &gt;= 10, 1, 0)</f>
        <v>0</v>
      </c>
      <c r="AS681" s="2">
        <f>IF(ABS(Table2[[#This Row],[ActualAwayScore]]-Table2[[#This Row],[ActualHomeScore]])&gt;=5, 1, 0)</f>
        <v>0</v>
      </c>
      <c r="AT681" s="2">
        <f>IF(Table2[[#This Row],[ActualAwayScore]] + Table2[[#This Row],[ActualHomeScore]] &lt;= 3, 1, 0)</f>
        <v>1</v>
      </c>
      <c r="AU681" s="2"/>
      <c r="AV681" s="2"/>
    </row>
    <row r="682" spans="1:48" x14ac:dyDescent="0.25">
      <c r="A682" s="3"/>
      <c r="B682" s="3">
        <v>46030</v>
      </c>
      <c r="C682" s="5">
        <v>2025020680</v>
      </c>
      <c r="D682" s="2" t="s">
        <v>29</v>
      </c>
      <c r="E682" s="2" t="s">
        <v>14</v>
      </c>
      <c r="F682" s="2"/>
      <c r="G682" s="2"/>
      <c r="H682" s="2" t="str">
        <f t="shared" si="54"/>
        <v>_</v>
      </c>
      <c r="I682" s="2"/>
      <c r="J682" s="2"/>
      <c r="K682" s="2"/>
      <c r="L682" s="2" t="str">
        <f t="shared" si="55"/>
        <v>_</v>
      </c>
      <c r="M682" s="2"/>
      <c r="N682" s="2">
        <f>IF(ISBLANK(Table2[[#This Row],[ActualResult]]), 0, 1)</f>
        <v>0</v>
      </c>
      <c r="O682" s="2" t="str">
        <f>IF(ISBLANK(Table2[[#This Row],[ActualResult]]), "_", IF(Table2[[#This Row],[ActualWinner]]=Table2[[#This Row],[PredictedWinner]], "Y", "N"))</f>
        <v>_</v>
      </c>
      <c r="P6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2" s="2"/>
      <c r="S682" s="2" t="str">
        <f t="shared" si="56"/>
        <v>_</v>
      </c>
      <c r="T6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2" s="2">
        <f>IF(Table2[[#This Row],[InterConf]]=1,IF(Table2[[#This Row],[InterDiv]]=0, 1, 0), 0)</f>
        <v>0</v>
      </c>
      <c r="W6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2" s="2"/>
      <c r="Y682" s="2"/>
      <c r="Z682" s="145">
        <f>IF(AND(Table2[[#This Row],[GameIsOver]]=1,Table2[[#This Row],[ActualHomeScore]]*Table2[[#This Row],[ActualAwayScore]]=0), 1,0)</f>
        <v>0</v>
      </c>
      <c r="AA6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2" s="2">
        <f>Table2[[#This Row],[ActualAwayScore]]-Table2[[#This Row],[PredictedAwayScore]]</f>
        <v>0</v>
      </c>
      <c r="AG682" s="2">
        <f>Table2[[#This Row],[ActualHomeScore]]-Table2[[#This Row],[PredictedHomeScore]]</f>
        <v>0</v>
      </c>
      <c r="AH682" s="2">
        <f t="shared" si="57"/>
        <v>0</v>
      </c>
      <c r="AI682" s="2">
        <f t="shared" si="58"/>
        <v>0</v>
      </c>
      <c r="AJ682" s="2"/>
      <c r="AK682" s="3"/>
      <c r="AL682" s="2">
        <f>IF(Table2[[#This Row],[GameIsOver]]=0,0,IF(Table2[[#This Row],[ActualWinner]]=Table2[[#This Row],[AwayTeam]], 1, 0))</f>
        <v>0</v>
      </c>
      <c r="AM682" s="2">
        <f>IF(Table2[[#This Row],[GameIsOver]]=0,0,IF(Table2[[#This Row],[ActualWinner]]=Table2[[#This Row],[HomeTeam]], 1, 0))</f>
        <v>0</v>
      </c>
      <c r="AN6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2" s="2" t="str">
        <f>INDEX(Sheet5!$B$2:$AG$33, MATCH(Table2[[#This Row],[AwayTeam]],Sheet5!$A$2:$A$33, 0), MATCH(Table2[[#This Row],[HomeTeam]],Sheet5!$A$2:$A$33, 0))</f>
        <v>0-0-0</v>
      </c>
      <c r="AP682" s="2" t="str">
        <f>INDEX(Sheet5!$B$2:$AG$33, MATCH(Table2[[#This Row],[HomeTeam]],Sheet5!$A$2:$A$33, 0), MATCH(Table2[[#This Row],[AwayTeam]],Sheet5!$A$2:$A$33, 0))</f>
        <v>0-0-0</v>
      </c>
      <c r="AQ682" s="2">
        <f>IF(Table2[[#This Row],[GameHasShutOut]], 1, 0)</f>
        <v>0</v>
      </c>
      <c r="AR682" s="2">
        <f>IF(Table2[[#This Row],[ActualAwayScore]] + Table2[[#This Row],[ActualHomeScore]] &gt;= 10, 1, 0)</f>
        <v>0</v>
      </c>
      <c r="AS682" s="2">
        <f>IF(ABS(Table2[[#This Row],[ActualAwayScore]]-Table2[[#This Row],[ActualHomeScore]])&gt;=5, 1, 0)</f>
        <v>0</v>
      </c>
      <c r="AT682" s="2">
        <f>IF(Table2[[#This Row],[ActualAwayScore]] + Table2[[#This Row],[ActualHomeScore]] &lt;= 3, 1, 0)</f>
        <v>1</v>
      </c>
      <c r="AU682" s="2"/>
      <c r="AV682" s="2"/>
    </row>
    <row r="683" spans="1:48" x14ac:dyDescent="0.25">
      <c r="A683" s="3"/>
      <c r="B683" s="3">
        <v>46030</v>
      </c>
      <c r="C683" s="5">
        <v>2025020681</v>
      </c>
      <c r="D683" s="2" t="s">
        <v>37</v>
      </c>
      <c r="E683" s="2" t="s">
        <v>27</v>
      </c>
      <c r="F683" s="2"/>
      <c r="G683" s="2"/>
      <c r="H683" s="2" t="str">
        <f t="shared" si="54"/>
        <v>_</v>
      </c>
      <c r="I683" s="2"/>
      <c r="J683" s="2"/>
      <c r="K683" s="2"/>
      <c r="L683" s="2" t="str">
        <f t="shared" si="55"/>
        <v>_</v>
      </c>
      <c r="M683" s="2"/>
      <c r="N683" s="2">
        <f>IF(ISBLANK(Table2[[#This Row],[ActualResult]]), 0, 1)</f>
        <v>0</v>
      </c>
      <c r="O683" s="2" t="str">
        <f>IF(ISBLANK(Table2[[#This Row],[ActualResult]]), "_", IF(Table2[[#This Row],[ActualWinner]]=Table2[[#This Row],[PredictedWinner]], "Y", "N"))</f>
        <v>_</v>
      </c>
      <c r="P6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3" s="2"/>
      <c r="S683" s="2" t="str">
        <f t="shared" si="56"/>
        <v>_</v>
      </c>
      <c r="T6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3" s="2">
        <f>IF(Table2[[#This Row],[InterConf]]=1,IF(Table2[[#This Row],[InterDiv]]=0, 1, 0), 0)</f>
        <v>0</v>
      </c>
      <c r="W6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3" s="2"/>
      <c r="Y683" s="2"/>
      <c r="Z683" s="145">
        <f>IF(AND(Table2[[#This Row],[GameIsOver]]=1,Table2[[#This Row],[ActualHomeScore]]*Table2[[#This Row],[ActualAwayScore]]=0), 1,0)</f>
        <v>0</v>
      </c>
      <c r="AA6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3" s="2">
        <f>Table2[[#This Row],[ActualAwayScore]]-Table2[[#This Row],[PredictedAwayScore]]</f>
        <v>0</v>
      </c>
      <c r="AG683" s="2">
        <f>Table2[[#This Row],[ActualHomeScore]]-Table2[[#This Row],[PredictedHomeScore]]</f>
        <v>0</v>
      </c>
      <c r="AH683" s="2">
        <f t="shared" si="57"/>
        <v>0</v>
      </c>
      <c r="AI683" s="2">
        <f t="shared" si="58"/>
        <v>0</v>
      </c>
      <c r="AJ683" s="2"/>
      <c r="AK683" s="3"/>
      <c r="AL683" s="2">
        <f>IF(Table2[[#This Row],[GameIsOver]]=0,0,IF(Table2[[#This Row],[ActualWinner]]=Table2[[#This Row],[AwayTeam]], 1, 0))</f>
        <v>0</v>
      </c>
      <c r="AM683" s="2">
        <f>IF(Table2[[#This Row],[GameIsOver]]=0,0,IF(Table2[[#This Row],[ActualWinner]]=Table2[[#This Row],[HomeTeam]], 1, 0))</f>
        <v>0</v>
      </c>
      <c r="AN683" s="2">
        <f>IF(IFERROR(FIND(Table2[[#This Row],[AwayTeam]], _xlfn.TEXTJOIN(";", 1, $BD$31:$BD$40)), 0) &gt; 0, 1, 0) + IF(IFERROR(FIND(Table2[[#This Row],[HomeTeam]], _xlfn.TEXTJOIN(";", 1, $BD$31:$BD$40)), 0) &gt; 0, 1, 0)</f>
        <v>1</v>
      </c>
      <c r="AO683" s="2" t="str">
        <f>INDEX(Sheet5!$B$2:$AG$33, MATCH(Table2[[#This Row],[AwayTeam]],Sheet5!$A$2:$A$33, 0), MATCH(Table2[[#This Row],[HomeTeam]],Sheet5!$A$2:$A$33, 0))</f>
        <v>0-0-0</v>
      </c>
      <c r="AP683" s="2" t="str">
        <f>INDEX(Sheet5!$B$2:$AG$33, MATCH(Table2[[#This Row],[HomeTeam]],Sheet5!$A$2:$A$33, 0), MATCH(Table2[[#This Row],[AwayTeam]],Sheet5!$A$2:$A$33, 0))</f>
        <v>0-0-0</v>
      </c>
      <c r="AQ683" s="2">
        <f>IF(Table2[[#This Row],[GameHasShutOut]], 1, 0)</f>
        <v>0</v>
      </c>
      <c r="AR683" s="2">
        <f>IF(Table2[[#This Row],[ActualAwayScore]] + Table2[[#This Row],[ActualHomeScore]] &gt;= 10, 1, 0)</f>
        <v>0</v>
      </c>
      <c r="AS683" s="2">
        <f>IF(ABS(Table2[[#This Row],[ActualAwayScore]]-Table2[[#This Row],[ActualHomeScore]])&gt;=5, 1, 0)</f>
        <v>0</v>
      </c>
      <c r="AT683" s="2">
        <f>IF(Table2[[#This Row],[ActualAwayScore]] + Table2[[#This Row],[ActualHomeScore]] &lt;= 3, 1, 0)</f>
        <v>1</v>
      </c>
      <c r="AU683" s="2"/>
      <c r="AV683" s="2"/>
    </row>
    <row r="684" spans="1:48" x14ac:dyDescent="0.25">
      <c r="A684" s="3"/>
      <c r="B684" s="3">
        <v>46031</v>
      </c>
      <c r="C684" s="5">
        <v>2025020682</v>
      </c>
      <c r="D684" s="2" t="s">
        <v>23</v>
      </c>
      <c r="E684" s="2" t="s">
        <v>15</v>
      </c>
      <c r="F684" s="2"/>
      <c r="G684" s="2"/>
      <c r="H684" s="2" t="str">
        <f t="shared" si="54"/>
        <v>_</v>
      </c>
      <c r="I684" s="2"/>
      <c r="J684" s="2"/>
      <c r="K684" s="2"/>
      <c r="L684" s="2" t="str">
        <f t="shared" si="55"/>
        <v>_</v>
      </c>
      <c r="M684" s="2"/>
      <c r="N684" s="2">
        <f>IF(ISBLANK(Table2[[#This Row],[ActualResult]]), 0, 1)</f>
        <v>0</v>
      </c>
      <c r="O684" s="2" t="str">
        <f>IF(ISBLANK(Table2[[#This Row],[ActualResult]]), "_", IF(Table2[[#This Row],[ActualWinner]]=Table2[[#This Row],[PredictedWinner]], "Y", "N"))</f>
        <v>_</v>
      </c>
      <c r="P6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4" s="2"/>
      <c r="S684" s="2" t="str">
        <f t="shared" si="56"/>
        <v>_</v>
      </c>
      <c r="T6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4" s="2">
        <f>IF(Table2[[#This Row],[InterConf]]=1,IF(Table2[[#This Row],[InterDiv]]=0, 1, 0), 0)</f>
        <v>0</v>
      </c>
      <c r="W6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4" s="2"/>
      <c r="Y684" s="2"/>
      <c r="Z684" s="145">
        <f>IF(AND(Table2[[#This Row],[GameIsOver]]=1,Table2[[#This Row],[ActualHomeScore]]*Table2[[#This Row],[ActualAwayScore]]=0), 1,0)</f>
        <v>0</v>
      </c>
      <c r="AA6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4" s="2">
        <f>Table2[[#This Row],[ActualAwayScore]]-Table2[[#This Row],[PredictedAwayScore]]</f>
        <v>0</v>
      </c>
      <c r="AG684" s="2">
        <f>Table2[[#This Row],[ActualHomeScore]]-Table2[[#This Row],[PredictedHomeScore]]</f>
        <v>0</v>
      </c>
      <c r="AH684" s="2">
        <f t="shared" si="57"/>
        <v>0</v>
      </c>
      <c r="AI684" s="2">
        <f t="shared" si="58"/>
        <v>0</v>
      </c>
      <c r="AJ684" s="2"/>
      <c r="AK684" s="3"/>
      <c r="AL684" s="2">
        <f>IF(Table2[[#This Row],[GameIsOver]]=0,0,IF(Table2[[#This Row],[ActualWinner]]=Table2[[#This Row],[AwayTeam]], 1, 0))</f>
        <v>0</v>
      </c>
      <c r="AM684" s="2">
        <f>IF(Table2[[#This Row],[GameIsOver]]=0,0,IF(Table2[[#This Row],[ActualWinner]]=Table2[[#This Row],[HomeTeam]], 1, 0))</f>
        <v>0</v>
      </c>
      <c r="AN6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4" s="2" t="str">
        <f>INDEX(Sheet5!$B$2:$AG$33, MATCH(Table2[[#This Row],[AwayTeam]],Sheet5!$A$2:$A$33, 0), MATCH(Table2[[#This Row],[HomeTeam]],Sheet5!$A$2:$A$33, 0))</f>
        <v>0-0-0</v>
      </c>
      <c r="AP684" s="2" t="str">
        <f>INDEX(Sheet5!$B$2:$AG$33, MATCH(Table2[[#This Row],[HomeTeam]],Sheet5!$A$2:$A$33, 0), MATCH(Table2[[#This Row],[AwayTeam]],Sheet5!$A$2:$A$33, 0))</f>
        <v>0-0-0</v>
      </c>
      <c r="AQ684" s="2">
        <f>IF(Table2[[#This Row],[GameHasShutOut]], 1, 0)</f>
        <v>0</v>
      </c>
      <c r="AR684" s="2">
        <f>IF(Table2[[#This Row],[ActualAwayScore]] + Table2[[#This Row],[ActualHomeScore]] &gt;= 10, 1, 0)</f>
        <v>0</v>
      </c>
      <c r="AS684" s="2">
        <f>IF(ABS(Table2[[#This Row],[ActualAwayScore]]-Table2[[#This Row],[ActualHomeScore]])&gt;=5, 1, 0)</f>
        <v>0</v>
      </c>
      <c r="AT684" s="2">
        <f>IF(Table2[[#This Row],[ActualAwayScore]] + Table2[[#This Row],[ActualHomeScore]] &lt;= 3, 1, 0)</f>
        <v>1</v>
      </c>
      <c r="AU684" s="2"/>
      <c r="AV684" s="2"/>
    </row>
    <row r="685" spans="1:48" x14ac:dyDescent="0.25">
      <c r="A685" s="3"/>
      <c r="B685" s="3">
        <v>46031</v>
      </c>
      <c r="C685" s="5">
        <v>2025020683</v>
      </c>
      <c r="D685" s="2" t="s">
        <v>13</v>
      </c>
      <c r="E685" s="2" t="s">
        <v>18</v>
      </c>
      <c r="F685" s="2"/>
      <c r="G685" s="2"/>
      <c r="H685" s="2" t="str">
        <f t="shared" si="54"/>
        <v>_</v>
      </c>
      <c r="I685" s="2"/>
      <c r="J685" s="2"/>
      <c r="K685" s="2"/>
      <c r="L685" s="2" t="str">
        <f t="shared" si="55"/>
        <v>_</v>
      </c>
      <c r="M685" s="2"/>
      <c r="N685" s="2">
        <f>IF(ISBLANK(Table2[[#This Row],[ActualResult]]), 0, 1)</f>
        <v>0</v>
      </c>
      <c r="O685" s="2" t="str">
        <f>IF(ISBLANK(Table2[[#This Row],[ActualResult]]), "_", IF(Table2[[#This Row],[ActualWinner]]=Table2[[#This Row],[PredictedWinner]], "Y", "N"))</f>
        <v>_</v>
      </c>
      <c r="P6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5" s="2"/>
      <c r="S685" s="2" t="str">
        <f t="shared" si="56"/>
        <v>_</v>
      </c>
      <c r="T6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5" s="2">
        <f>IF(Table2[[#This Row],[InterConf]]=1,IF(Table2[[#This Row],[InterDiv]]=0, 1, 0), 0)</f>
        <v>0</v>
      </c>
      <c r="W6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5" s="2"/>
      <c r="Y685" s="2"/>
      <c r="Z685" s="145">
        <f>IF(AND(Table2[[#This Row],[GameIsOver]]=1,Table2[[#This Row],[ActualHomeScore]]*Table2[[#This Row],[ActualAwayScore]]=0), 1,0)</f>
        <v>0</v>
      </c>
      <c r="AA6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5" s="2">
        <f>Table2[[#This Row],[ActualAwayScore]]-Table2[[#This Row],[PredictedAwayScore]]</f>
        <v>0</v>
      </c>
      <c r="AG685" s="2">
        <f>Table2[[#This Row],[ActualHomeScore]]-Table2[[#This Row],[PredictedHomeScore]]</f>
        <v>0</v>
      </c>
      <c r="AH685" s="2">
        <f t="shared" si="57"/>
        <v>0</v>
      </c>
      <c r="AI685" s="2">
        <f t="shared" si="58"/>
        <v>0</v>
      </c>
      <c r="AJ685" s="2"/>
      <c r="AK685" s="3"/>
      <c r="AL685" s="2">
        <f>IF(Table2[[#This Row],[GameIsOver]]=0,0,IF(Table2[[#This Row],[ActualWinner]]=Table2[[#This Row],[AwayTeam]], 1, 0))</f>
        <v>0</v>
      </c>
      <c r="AM685" s="2">
        <f>IF(Table2[[#This Row],[GameIsOver]]=0,0,IF(Table2[[#This Row],[ActualWinner]]=Table2[[#This Row],[HomeTeam]], 1, 0))</f>
        <v>0</v>
      </c>
      <c r="AN6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5" s="2" t="str">
        <f>INDEX(Sheet5!$B$2:$AG$33, MATCH(Table2[[#This Row],[AwayTeam]],Sheet5!$A$2:$A$33, 0), MATCH(Table2[[#This Row],[HomeTeam]],Sheet5!$A$2:$A$33, 0))</f>
        <v>0-0-0</v>
      </c>
      <c r="AP685" s="2" t="str">
        <f>INDEX(Sheet5!$B$2:$AG$33, MATCH(Table2[[#This Row],[HomeTeam]],Sheet5!$A$2:$A$33, 0), MATCH(Table2[[#This Row],[AwayTeam]],Sheet5!$A$2:$A$33, 0))</f>
        <v>0-0-0</v>
      </c>
      <c r="AQ685" s="2">
        <f>IF(Table2[[#This Row],[GameHasShutOut]], 1, 0)</f>
        <v>0</v>
      </c>
      <c r="AR685" s="2">
        <f>IF(Table2[[#This Row],[ActualAwayScore]] + Table2[[#This Row],[ActualHomeScore]] &gt;= 10, 1, 0)</f>
        <v>0</v>
      </c>
      <c r="AS685" s="2">
        <f>IF(ABS(Table2[[#This Row],[ActualAwayScore]]-Table2[[#This Row],[ActualHomeScore]])&gt;=5, 1, 0)</f>
        <v>0</v>
      </c>
      <c r="AT685" s="2">
        <f>IF(Table2[[#This Row],[ActualAwayScore]] + Table2[[#This Row],[ActualHomeScore]] &lt;= 3, 1, 0)</f>
        <v>1</v>
      </c>
      <c r="AU685" s="2"/>
      <c r="AV685" s="2"/>
    </row>
    <row r="686" spans="1:48" x14ac:dyDescent="0.25">
      <c r="A686" s="3"/>
      <c r="B686" s="3">
        <v>46031</v>
      </c>
      <c r="C686" s="5">
        <v>2025020684</v>
      </c>
      <c r="D686" s="2" t="s">
        <v>24</v>
      </c>
      <c r="E686" s="2" t="s">
        <v>30</v>
      </c>
      <c r="F686" s="2"/>
      <c r="G686" s="2"/>
      <c r="H686" s="2" t="str">
        <f t="shared" si="54"/>
        <v>_</v>
      </c>
      <c r="I686" s="2"/>
      <c r="J686" s="2"/>
      <c r="K686" s="2"/>
      <c r="L686" s="2" t="str">
        <f t="shared" si="55"/>
        <v>_</v>
      </c>
      <c r="M686" s="2"/>
      <c r="N686" s="2">
        <f>IF(ISBLANK(Table2[[#This Row],[ActualResult]]), 0, 1)</f>
        <v>0</v>
      </c>
      <c r="O686" s="2" t="str">
        <f>IF(ISBLANK(Table2[[#This Row],[ActualResult]]), "_", IF(Table2[[#This Row],[ActualWinner]]=Table2[[#This Row],[PredictedWinner]], "Y", "N"))</f>
        <v>_</v>
      </c>
      <c r="P6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6" s="2"/>
      <c r="S686" s="2" t="str">
        <f t="shared" si="56"/>
        <v>_</v>
      </c>
      <c r="T6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6" s="2">
        <f>IF(Table2[[#This Row],[InterConf]]=1,IF(Table2[[#This Row],[InterDiv]]=0, 1, 0), 0)</f>
        <v>0</v>
      </c>
      <c r="W6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6" s="2"/>
      <c r="Y686" s="2"/>
      <c r="Z686" s="145">
        <f>IF(AND(Table2[[#This Row],[GameIsOver]]=1,Table2[[#This Row],[ActualHomeScore]]*Table2[[#This Row],[ActualAwayScore]]=0), 1,0)</f>
        <v>0</v>
      </c>
      <c r="AA6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6" s="2">
        <f>Table2[[#This Row],[ActualAwayScore]]-Table2[[#This Row],[PredictedAwayScore]]</f>
        <v>0</v>
      </c>
      <c r="AG686" s="2">
        <f>Table2[[#This Row],[ActualHomeScore]]-Table2[[#This Row],[PredictedHomeScore]]</f>
        <v>0</v>
      </c>
      <c r="AH686" s="2">
        <f t="shared" si="57"/>
        <v>0</v>
      </c>
      <c r="AI686" s="2">
        <f t="shared" si="58"/>
        <v>0</v>
      </c>
      <c r="AJ686" s="2"/>
      <c r="AK686" s="3"/>
      <c r="AL686" s="2">
        <f>IF(Table2[[#This Row],[GameIsOver]]=0,0,IF(Table2[[#This Row],[ActualWinner]]=Table2[[#This Row],[AwayTeam]], 1, 0))</f>
        <v>0</v>
      </c>
      <c r="AM686" s="2">
        <f>IF(Table2[[#This Row],[GameIsOver]]=0,0,IF(Table2[[#This Row],[ActualWinner]]=Table2[[#This Row],[HomeTeam]], 1, 0))</f>
        <v>0</v>
      </c>
      <c r="AN6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6" s="2" t="str">
        <f>INDEX(Sheet5!$B$2:$AG$33, MATCH(Table2[[#This Row],[AwayTeam]],Sheet5!$A$2:$A$33, 0), MATCH(Table2[[#This Row],[HomeTeam]],Sheet5!$A$2:$A$33, 0))</f>
        <v>0-0-0</v>
      </c>
      <c r="AP686" s="2" t="str">
        <f>INDEX(Sheet5!$B$2:$AG$33, MATCH(Table2[[#This Row],[HomeTeam]],Sheet5!$A$2:$A$33, 0), MATCH(Table2[[#This Row],[AwayTeam]],Sheet5!$A$2:$A$33, 0))</f>
        <v>0-0-0</v>
      </c>
      <c r="AQ686" s="2">
        <f>IF(Table2[[#This Row],[GameHasShutOut]], 1, 0)</f>
        <v>0</v>
      </c>
      <c r="AR686" s="2">
        <f>IF(Table2[[#This Row],[ActualAwayScore]] + Table2[[#This Row],[ActualHomeScore]] &gt;= 10, 1, 0)</f>
        <v>0</v>
      </c>
      <c r="AS686" s="2">
        <f>IF(ABS(Table2[[#This Row],[ActualAwayScore]]-Table2[[#This Row],[ActualHomeScore]])&gt;=5, 1, 0)</f>
        <v>0</v>
      </c>
      <c r="AT686" s="2">
        <f>IF(Table2[[#This Row],[ActualAwayScore]] + Table2[[#This Row],[ActualHomeScore]] &lt;= 3, 1, 0)</f>
        <v>1</v>
      </c>
      <c r="AU686" s="2"/>
      <c r="AV686" s="2"/>
    </row>
    <row r="687" spans="1:48" x14ac:dyDescent="0.25">
      <c r="A687" s="3"/>
      <c r="B687" s="3">
        <v>46031</v>
      </c>
      <c r="C687" s="5">
        <v>2025020685</v>
      </c>
      <c r="D687" s="2" t="s">
        <v>28</v>
      </c>
      <c r="E687" s="2" t="s">
        <v>19</v>
      </c>
      <c r="F687" s="2"/>
      <c r="G687" s="2"/>
      <c r="H687" s="2" t="str">
        <f t="shared" si="54"/>
        <v>_</v>
      </c>
      <c r="I687" s="2"/>
      <c r="J687" s="2"/>
      <c r="K687" s="2"/>
      <c r="L687" s="2" t="str">
        <f t="shared" si="55"/>
        <v>_</v>
      </c>
      <c r="M687" s="2"/>
      <c r="N687" s="2">
        <f>IF(ISBLANK(Table2[[#This Row],[ActualResult]]), 0, 1)</f>
        <v>0</v>
      </c>
      <c r="O687" s="2" t="str">
        <f>IF(ISBLANK(Table2[[#This Row],[ActualResult]]), "_", IF(Table2[[#This Row],[ActualWinner]]=Table2[[#This Row],[PredictedWinner]], "Y", "N"))</f>
        <v>_</v>
      </c>
      <c r="P6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7" s="2"/>
      <c r="S687" s="2" t="str">
        <f t="shared" si="56"/>
        <v>_</v>
      </c>
      <c r="T6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7" s="2">
        <f>IF(Table2[[#This Row],[InterConf]]=1,IF(Table2[[#This Row],[InterDiv]]=0, 1, 0), 0)</f>
        <v>1</v>
      </c>
      <c r="W6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7" s="2"/>
      <c r="Y687" s="2"/>
      <c r="Z687" s="145">
        <f>IF(AND(Table2[[#This Row],[GameIsOver]]=1,Table2[[#This Row],[ActualHomeScore]]*Table2[[#This Row],[ActualAwayScore]]=0), 1,0)</f>
        <v>0</v>
      </c>
      <c r="AA6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7" s="2">
        <f>Table2[[#This Row],[ActualAwayScore]]-Table2[[#This Row],[PredictedAwayScore]]</f>
        <v>0</v>
      </c>
      <c r="AG687" s="2">
        <f>Table2[[#This Row],[ActualHomeScore]]-Table2[[#This Row],[PredictedHomeScore]]</f>
        <v>0</v>
      </c>
      <c r="AH687" s="2">
        <f t="shared" si="57"/>
        <v>0</v>
      </c>
      <c r="AI687" s="2">
        <f t="shared" si="58"/>
        <v>0</v>
      </c>
      <c r="AJ687" s="2"/>
      <c r="AK687" s="3"/>
      <c r="AL687" s="2">
        <f>IF(Table2[[#This Row],[GameIsOver]]=0,0,IF(Table2[[#This Row],[ActualWinner]]=Table2[[#This Row],[AwayTeam]], 1, 0))</f>
        <v>0</v>
      </c>
      <c r="AM687" s="2">
        <f>IF(Table2[[#This Row],[GameIsOver]]=0,0,IF(Table2[[#This Row],[ActualWinner]]=Table2[[#This Row],[HomeTeam]], 1, 0))</f>
        <v>0</v>
      </c>
      <c r="AN6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7" s="2" t="str">
        <f>INDEX(Sheet5!$B$2:$AG$33, MATCH(Table2[[#This Row],[AwayTeam]],Sheet5!$A$2:$A$33, 0), MATCH(Table2[[#This Row],[HomeTeam]],Sheet5!$A$2:$A$33, 0))</f>
        <v>0-1-0</v>
      </c>
      <c r="AP687" s="2" t="str">
        <f>INDEX(Sheet5!$B$2:$AG$33, MATCH(Table2[[#This Row],[HomeTeam]],Sheet5!$A$2:$A$33, 0), MATCH(Table2[[#This Row],[AwayTeam]],Sheet5!$A$2:$A$33, 0))</f>
        <v>1-0-0</v>
      </c>
      <c r="AQ687" s="2">
        <f>IF(Table2[[#This Row],[GameHasShutOut]], 1, 0)</f>
        <v>0</v>
      </c>
      <c r="AR687" s="2">
        <f>IF(Table2[[#This Row],[ActualAwayScore]] + Table2[[#This Row],[ActualHomeScore]] &gt;= 10, 1, 0)</f>
        <v>0</v>
      </c>
      <c r="AS687" s="2">
        <f>IF(ABS(Table2[[#This Row],[ActualAwayScore]]-Table2[[#This Row],[ActualHomeScore]])&gt;=5, 1, 0)</f>
        <v>0</v>
      </c>
      <c r="AT687" s="2">
        <f>IF(Table2[[#This Row],[ActualAwayScore]] + Table2[[#This Row],[ActualHomeScore]] &lt;= 3, 1, 0)</f>
        <v>1</v>
      </c>
      <c r="AU687" s="2"/>
      <c r="AV687" s="2"/>
    </row>
    <row r="688" spans="1:48" x14ac:dyDescent="0.25">
      <c r="A688" s="3"/>
      <c r="B688" s="3">
        <v>46031</v>
      </c>
      <c r="C688" s="5">
        <v>2025020686</v>
      </c>
      <c r="D688" s="2" t="s">
        <v>17</v>
      </c>
      <c r="E688" s="2" t="s">
        <v>42</v>
      </c>
      <c r="F688" s="2"/>
      <c r="G688" s="2"/>
      <c r="H688" s="2" t="str">
        <f t="shared" si="54"/>
        <v>_</v>
      </c>
      <c r="I688" s="2"/>
      <c r="J688" s="2"/>
      <c r="K688" s="2"/>
      <c r="L688" s="2" t="str">
        <f t="shared" si="55"/>
        <v>_</v>
      </c>
      <c r="M688" s="2"/>
      <c r="N688" s="2">
        <f>IF(ISBLANK(Table2[[#This Row],[ActualResult]]), 0, 1)</f>
        <v>0</v>
      </c>
      <c r="O688" s="2" t="str">
        <f>IF(ISBLANK(Table2[[#This Row],[ActualResult]]), "_", IF(Table2[[#This Row],[ActualWinner]]=Table2[[#This Row],[PredictedWinner]], "Y", "N"))</f>
        <v>_</v>
      </c>
      <c r="P6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8" s="2"/>
      <c r="S688" s="2" t="str">
        <f t="shared" si="56"/>
        <v>_</v>
      </c>
      <c r="T6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8" s="2">
        <f>IF(Table2[[#This Row],[InterConf]]=1,IF(Table2[[#This Row],[InterDiv]]=0, 1, 0), 0)</f>
        <v>1</v>
      </c>
      <c r="W6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8" s="2"/>
      <c r="Y688" s="2"/>
      <c r="Z688" s="145">
        <f>IF(AND(Table2[[#This Row],[GameIsOver]]=1,Table2[[#This Row],[ActualHomeScore]]*Table2[[#This Row],[ActualAwayScore]]=0), 1,0)</f>
        <v>0</v>
      </c>
      <c r="AA6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8" s="2">
        <f>Table2[[#This Row],[ActualAwayScore]]-Table2[[#This Row],[PredictedAwayScore]]</f>
        <v>0</v>
      </c>
      <c r="AG688" s="2">
        <f>Table2[[#This Row],[ActualHomeScore]]-Table2[[#This Row],[PredictedHomeScore]]</f>
        <v>0</v>
      </c>
      <c r="AH688" s="2">
        <f t="shared" si="57"/>
        <v>0</v>
      </c>
      <c r="AI688" s="2">
        <f t="shared" si="58"/>
        <v>0</v>
      </c>
      <c r="AJ688" s="2"/>
      <c r="AK688" s="3"/>
      <c r="AL688" s="2">
        <f>IF(Table2[[#This Row],[GameIsOver]]=0,0,IF(Table2[[#This Row],[ActualWinner]]=Table2[[#This Row],[AwayTeam]], 1, 0))</f>
        <v>0</v>
      </c>
      <c r="AM688" s="2">
        <f>IF(Table2[[#This Row],[GameIsOver]]=0,0,IF(Table2[[#This Row],[ActualWinner]]=Table2[[#This Row],[HomeTeam]], 1, 0))</f>
        <v>0</v>
      </c>
      <c r="AN6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8" s="2" t="str">
        <f>INDEX(Sheet5!$B$2:$AG$33, MATCH(Table2[[#This Row],[AwayTeam]],Sheet5!$A$2:$A$33, 0), MATCH(Table2[[#This Row],[HomeTeam]],Sheet5!$A$2:$A$33, 0))</f>
        <v>0-0-0</v>
      </c>
      <c r="AP688" s="2" t="str">
        <f>INDEX(Sheet5!$B$2:$AG$33, MATCH(Table2[[#This Row],[HomeTeam]],Sheet5!$A$2:$A$33, 0), MATCH(Table2[[#This Row],[AwayTeam]],Sheet5!$A$2:$A$33, 0))</f>
        <v>0-0-0</v>
      </c>
      <c r="AQ688" s="2">
        <f>IF(Table2[[#This Row],[GameHasShutOut]], 1, 0)</f>
        <v>0</v>
      </c>
      <c r="AR688" s="2">
        <f>IF(Table2[[#This Row],[ActualAwayScore]] + Table2[[#This Row],[ActualHomeScore]] &gt;= 10, 1, 0)</f>
        <v>0</v>
      </c>
      <c r="AS688" s="2">
        <f>IF(ABS(Table2[[#This Row],[ActualAwayScore]]-Table2[[#This Row],[ActualHomeScore]])&gt;=5, 1, 0)</f>
        <v>0</v>
      </c>
      <c r="AT688" s="2">
        <f>IF(Table2[[#This Row],[ActualAwayScore]] + Table2[[#This Row],[ActualHomeScore]] &lt;= 3, 1, 0)</f>
        <v>1</v>
      </c>
      <c r="AU688" s="2"/>
      <c r="AV688" s="2"/>
    </row>
    <row r="689" spans="1:48" x14ac:dyDescent="0.25">
      <c r="A689" s="3"/>
      <c r="B689" s="3">
        <v>46031</v>
      </c>
      <c r="C689" s="5">
        <v>2025020687</v>
      </c>
      <c r="D689" s="2" t="s">
        <v>31</v>
      </c>
      <c r="E689" s="2" t="s">
        <v>20</v>
      </c>
      <c r="F689" s="2"/>
      <c r="G689" s="2"/>
      <c r="H689" s="2" t="str">
        <f t="shared" si="54"/>
        <v>_</v>
      </c>
      <c r="I689" s="2"/>
      <c r="J689" s="2"/>
      <c r="K689" s="2"/>
      <c r="L689" s="2" t="str">
        <f t="shared" si="55"/>
        <v>_</v>
      </c>
      <c r="M689" s="2"/>
      <c r="N689" s="2">
        <f>IF(ISBLANK(Table2[[#This Row],[ActualResult]]), 0, 1)</f>
        <v>0</v>
      </c>
      <c r="O689" s="2" t="str">
        <f>IF(ISBLANK(Table2[[#This Row],[ActualResult]]), "_", IF(Table2[[#This Row],[ActualWinner]]=Table2[[#This Row],[PredictedWinner]], "Y", "N"))</f>
        <v>_</v>
      </c>
      <c r="P6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9" s="2"/>
      <c r="S689" s="2" t="str">
        <f t="shared" si="56"/>
        <v>_</v>
      </c>
      <c r="T6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9" s="2">
        <f>IF(Table2[[#This Row],[InterConf]]=1,IF(Table2[[#This Row],[InterDiv]]=0, 1, 0), 0)</f>
        <v>0</v>
      </c>
      <c r="W6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9" s="2"/>
      <c r="Y689" s="2"/>
      <c r="Z689" s="145">
        <f>IF(AND(Table2[[#This Row],[GameIsOver]]=1,Table2[[#This Row],[ActualHomeScore]]*Table2[[#This Row],[ActualAwayScore]]=0), 1,0)</f>
        <v>0</v>
      </c>
      <c r="AA6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9" s="2">
        <f>Table2[[#This Row],[ActualAwayScore]]-Table2[[#This Row],[PredictedAwayScore]]</f>
        <v>0</v>
      </c>
      <c r="AG689" s="2">
        <f>Table2[[#This Row],[ActualHomeScore]]-Table2[[#This Row],[PredictedHomeScore]]</f>
        <v>0</v>
      </c>
      <c r="AH689" s="2">
        <f t="shared" si="57"/>
        <v>0</v>
      </c>
      <c r="AI689" s="2">
        <f t="shared" si="58"/>
        <v>0</v>
      </c>
      <c r="AJ689" s="2"/>
      <c r="AK689" s="3"/>
      <c r="AL689" s="2">
        <f>IF(Table2[[#This Row],[GameIsOver]]=0,0,IF(Table2[[#This Row],[ActualWinner]]=Table2[[#This Row],[AwayTeam]], 1, 0))</f>
        <v>0</v>
      </c>
      <c r="AM689" s="2">
        <f>IF(Table2[[#This Row],[GameIsOver]]=0,0,IF(Table2[[#This Row],[ActualWinner]]=Table2[[#This Row],[HomeTeam]], 1, 0))</f>
        <v>0</v>
      </c>
      <c r="AN6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9" s="2" t="str">
        <f>INDEX(Sheet5!$B$2:$AG$33, MATCH(Table2[[#This Row],[AwayTeam]],Sheet5!$A$2:$A$33, 0), MATCH(Table2[[#This Row],[HomeTeam]],Sheet5!$A$2:$A$33, 0))</f>
        <v>0-0-0</v>
      </c>
      <c r="AP689" s="2" t="str">
        <f>INDEX(Sheet5!$B$2:$AG$33, MATCH(Table2[[#This Row],[HomeTeam]],Sheet5!$A$2:$A$33, 0), MATCH(Table2[[#This Row],[AwayTeam]],Sheet5!$A$2:$A$33, 0))</f>
        <v>0-0-0</v>
      </c>
      <c r="AQ689" s="2">
        <f>IF(Table2[[#This Row],[GameHasShutOut]], 1, 0)</f>
        <v>0</v>
      </c>
      <c r="AR689" s="2">
        <f>IF(Table2[[#This Row],[ActualAwayScore]] + Table2[[#This Row],[ActualHomeScore]] &gt;= 10, 1, 0)</f>
        <v>0</v>
      </c>
      <c r="AS689" s="2">
        <f>IF(ABS(Table2[[#This Row],[ActualAwayScore]]-Table2[[#This Row],[ActualHomeScore]])&gt;=5, 1, 0)</f>
        <v>0</v>
      </c>
      <c r="AT689" s="2">
        <f>IF(Table2[[#This Row],[ActualAwayScore]] + Table2[[#This Row],[ActualHomeScore]] &lt;= 3, 1, 0)</f>
        <v>1</v>
      </c>
      <c r="AU689" s="2"/>
      <c r="AV689" s="2"/>
    </row>
    <row r="690" spans="1:48" x14ac:dyDescent="0.25">
      <c r="A690" s="3"/>
      <c r="B690" s="3">
        <v>46031</v>
      </c>
      <c r="C690" s="5">
        <v>2025020688</v>
      </c>
      <c r="D690" s="2" t="s">
        <v>44</v>
      </c>
      <c r="E690" s="2" t="s">
        <v>41</v>
      </c>
      <c r="F690" s="2"/>
      <c r="G690" s="2"/>
      <c r="H690" s="2" t="str">
        <f t="shared" si="54"/>
        <v>_</v>
      </c>
      <c r="I690" s="2"/>
      <c r="J690" s="2"/>
      <c r="K690" s="2"/>
      <c r="L690" s="2" t="str">
        <f t="shared" si="55"/>
        <v>_</v>
      </c>
      <c r="M690" s="2"/>
      <c r="N690" s="2">
        <f>IF(ISBLANK(Table2[[#This Row],[ActualResult]]), 0, 1)</f>
        <v>0</v>
      </c>
      <c r="O690" s="2" t="str">
        <f>IF(ISBLANK(Table2[[#This Row],[ActualResult]]), "_", IF(Table2[[#This Row],[ActualWinner]]=Table2[[#This Row],[PredictedWinner]], "Y", "N"))</f>
        <v>_</v>
      </c>
      <c r="P6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0" s="2"/>
      <c r="S690" s="2" t="str">
        <f t="shared" si="56"/>
        <v>_</v>
      </c>
      <c r="T6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0" s="2">
        <f>IF(Table2[[#This Row],[InterConf]]=1,IF(Table2[[#This Row],[InterDiv]]=0, 1, 0), 0)</f>
        <v>0</v>
      </c>
      <c r="W6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0" s="2"/>
      <c r="Y690" s="2"/>
      <c r="Z690" s="145">
        <f>IF(AND(Table2[[#This Row],[GameIsOver]]=1,Table2[[#This Row],[ActualHomeScore]]*Table2[[#This Row],[ActualAwayScore]]=0), 1,0)</f>
        <v>0</v>
      </c>
      <c r="AA6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0" s="2">
        <f>Table2[[#This Row],[ActualAwayScore]]-Table2[[#This Row],[PredictedAwayScore]]</f>
        <v>0</v>
      </c>
      <c r="AG690" s="2">
        <f>Table2[[#This Row],[ActualHomeScore]]-Table2[[#This Row],[PredictedHomeScore]]</f>
        <v>0</v>
      </c>
      <c r="AH690" s="2">
        <f t="shared" si="57"/>
        <v>0</v>
      </c>
      <c r="AI690" s="2">
        <f t="shared" si="58"/>
        <v>0</v>
      </c>
      <c r="AJ690" s="2"/>
      <c r="AK690" s="3"/>
      <c r="AL690" s="2">
        <f>IF(Table2[[#This Row],[GameIsOver]]=0,0,IF(Table2[[#This Row],[ActualWinner]]=Table2[[#This Row],[AwayTeam]], 1, 0))</f>
        <v>0</v>
      </c>
      <c r="AM690" s="2">
        <f>IF(Table2[[#This Row],[GameIsOver]]=0,0,IF(Table2[[#This Row],[ActualWinner]]=Table2[[#This Row],[HomeTeam]], 1, 0))</f>
        <v>0</v>
      </c>
      <c r="AN6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0" s="2" t="str">
        <f>INDEX(Sheet5!$B$2:$AG$33, MATCH(Table2[[#This Row],[AwayTeam]],Sheet5!$A$2:$A$33, 0), MATCH(Table2[[#This Row],[HomeTeam]],Sheet5!$A$2:$A$33, 0))</f>
        <v>0-1-0</v>
      </c>
      <c r="AP690" s="2" t="str">
        <f>INDEX(Sheet5!$B$2:$AG$33, MATCH(Table2[[#This Row],[HomeTeam]],Sheet5!$A$2:$A$33, 0), MATCH(Table2[[#This Row],[AwayTeam]],Sheet5!$A$2:$A$33, 0))</f>
        <v>1-0-0</v>
      </c>
      <c r="AQ690" s="2">
        <f>IF(Table2[[#This Row],[GameHasShutOut]], 1, 0)</f>
        <v>0</v>
      </c>
      <c r="AR690" s="2">
        <f>IF(Table2[[#This Row],[ActualAwayScore]] + Table2[[#This Row],[ActualHomeScore]] &gt;= 10, 1, 0)</f>
        <v>0</v>
      </c>
      <c r="AS690" s="2">
        <f>IF(ABS(Table2[[#This Row],[ActualAwayScore]]-Table2[[#This Row],[ActualHomeScore]])&gt;=5, 1, 0)</f>
        <v>0</v>
      </c>
      <c r="AT690" s="2">
        <f>IF(Table2[[#This Row],[ActualAwayScore]] + Table2[[#This Row],[ActualHomeScore]] &lt;= 3, 1, 0)</f>
        <v>1</v>
      </c>
      <c r="AU690" s="2"/>
      <c r="AV690" s="2"/>
    </row>
    <row r="691" spans="1:48" x14ac:dyDescent="0.25">
      <c r="A691" s="3"/>
      <c r="B691" s="3">
        <v>46031</v>
      </c>
      <c r="C691" s="5">
        <v>2025020689</v>
      </c>
      <c r="D691" s="2" t="s">
        <v>32</v>
      </c>
      <c r="E691" s="2" t="s">
        <v>34</v>
      </c>
      <c r="F691" s="2"/>
      <c r="G691" s="2"/>
      <c r="H691" s="2" t="str">
        <f t="shared" si="54"/>
        <v>_</v>
      </c>
      <c r="I691" s="2"/>
      <c r="J691" s="2"/>
      <c r="K691" s="2"/>
      <c r="L691" s="2" t="str">
        <f t="shared" si="55"/>
        <v>_</v>
      </c>
      <c r="M691" s="2"/>
      <c r="N691" s="2">
        <f>IF(ISBLANK(Table2[[#This Row],[ActualResult]]), 0, 1)</f>
        <v>0</v>
      </c>
      <c r="O691" s="2" t="str">
        <f>IF(ISBLANK(Table2[[#This Row],[ActualResult]]), "_", IF(Table2[[#This Row],[ActualWinner]]=Table2[[#This Row],[PredictedWinner]], "Y", "N"))</f>
        <v>_</v>
      </c>
      <c r="P6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1" s="2"/>
      <c r="S691" s="2" t="str">
        <f t="shared" si="56"/>
        <v>_</v>
      </c>
      <c r="T6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1" s="2">
        <f>IF(Table2[[#This Row],[InterConf]]=1,IF(Table2[[#This Row],[InterDiv]]=0, 1, 0), 0)</f>
        <v>0</v>
      </c>
      <c r="W6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1" s="2"/>
      <c r="Y691" s="2"/>
      <c r="Z691" s="145">
        <f>IF(AND(Table2[[#This Row],[GameIsOver]]=1,Table2[[#This Row],[ActualHomeScore]]*Table2[[#This Row],[ActualAwayScore]]=0), 1,0)</f>
        <v>0</v>
      </c>
      <c r="AA6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1" s="2">
        <f>Table2[[#This Row],[ActualAwayScore]]-Table2[[#This Row],[PredictedAwayScore]]</f>
        <v>0</v>
      </c>
      <c r="AG691" s="2">
        <f>Table2[[#This Row],[ActualHomeScore]]-Table2[[#This Row],[PredictedHomeScore]]</f>
        <v>0</v>
      </c>
      <c r="AH691" s="2">
        <f t="shared" si="57"/>
        <v>0</v>
      </c>
      <c r="AI691" s="2">
        <f t="shared" si="58"/>
        <v>0</v>
      </c>
      <c r="AJ691" s="2"/>
      <c r="AK691" s="3"/>
      <c r="AL691" s="2">
        <f>IF(Table2[[#This Row],[GameIsOver]]=0,0,IF(Table2[[#This Row],[ActualWinner]]=Table2[[#This Row],[AwayTeam]], 1, 0))</f>
        <v>0</v>
      </c>
      <c r="AM691" s="2">
        <f>IF(Table2[[#This Row],[GameIsOver]]=0,0,IF(Table2[[#This Row],[ActualWinner]]=Table2[[#This Row],[HomeTeam]], 1, 0))</f>
        <v>0</v>
      </c>
      <c r="AN6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1" s="2" t="str">
        <f>INDEX(Sheet5!$B$2:$AG$33, MATCH(Table2[[#This Row],[AwayTeam]],Sheet5!$A$2:$A$33, 0), MATCH(Table2[[#This Row],[HomeTeam]],Sheet5!$A$2:$A$33, 0))</f>
        <v>0-0-0</v>
      </c>
      <c r="AP691" s="2" t="str">
        <f>INDEX(Sheet5!$B$2:$AG$33, MATCH(Table2[[#This Row],[HomeTeam]],Sheet5!$A$2:$A$33, 0), MATCH(Table2[[#This Row],[AwayTeam]],Sheet5!$A$2:$A$33, 0))</f>
        <v>0-0-0</v>
      </c>
      <c r="AQ691" s="2">
        <f>IF(Table2[[#This Row],[GameHasShutOut]], 1, 0)</f>
        <v>0</v>
      </c>
      <c r="AR691" s="2">
        <f>IF(Table2[[#This Row],[ActualAwayScore]] + Table2[[#This Row],[ActualHomeScore]] &gt;= 10, 1, 0)</f>
        <v>0</v>
      </c>
      <c r="AS691" s="2">
        <f>IF(ABS(Table2[[#This Row],[ActualAwayScore]]-Table2[[#This Row],[ActualHomeScore]])&gt;=5, 1, 0)</f>
        <v>0</v>
      </c>
      <c r="AT691" s="2">
        <f>IF(Table2[[#This Row],[ActualAwayScore]] + Table2[[#This Row],[ActualHomeScore]] &lt;= 3, 1, 0)</f>
        <v>1</v>
      </c>
      <c r="AU691" s="2"/>
      <c r="AV691" s="2"/>
    </row>
    <row r="692" spans="1:48" x14ac:dyDescent="0.25">
      <c r="A692" s="3"/>
      <c r="B692" s="3">
        <v>46031</v>
      </c>
      <c r="C692" s="5">
        <v>2025020690</v>
      </c>
      <c r="D692" s="2" t="s">
        <v>22</v>
      </c>
      <c r="E692" s="2" t="s">
        <v>21</v>
      </c>
      <c r="F692" s="2"/>
      <c r="G692" s="2"/>
      <c r="H692" s="2" t="str">
        <f t="shared" si="54"/>
        <v>_</v>
      </c>
      <c r="I692" s="2"/>
      <c r="J692" s="2"/>
      <c r="K692" s="2"/>
      <c r="L692" s="2" t="str">
        <f t="shared" si="55"/>
        <v>_</v>
      </c>
      <c r="M692" s="2"/>
      <c r="N692" s="2">
        <f>IF(ISBLANK(Table2[[#This Row],[ActualResult]]), 0, 1)</f>
        <v>0</v>
      </c>
      <c r="O692" s="2" t="str">
        <f>IF(ISBLANK(Table2[[#This Row],[ActualResult]]), "_", IF(Table2[[#This Row],[ActualWinner]]=Table2[[#This Row],[PredictedWinner]], "Y", "N"))</f>
        <v>_</v>
      </c>
      <c r="P6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2" s="2"/>
      <c r="S692" s="2" t="str">
        <f t="shared" si="56"/>
        <v>_</v>
      </c>
      <c r="T6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2" s="2">
        <f>IF(Table2[[#This Row],[InterConf]]=1,IF(Table2[[#This Row],[InterDiv]]=0, 1, 0), 0)</f>
        <v>1</v>
      </c>
      <c r="W6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2" s="2"/>
      <c r="Y692" s="2"/>
      <c r="Z692" s="145">
        <f>IF(AND(Table2[[#This Row],[GameIsOver]]=1,Table2[[#This Row],[ActualHomeScore]]*Table2[[#This Row],[ActualAwayScore]]=0), 1,0)</f>
        <v>0</v>
      </c>
      <c r="AA6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2" s="2">
        <f>Table2[[#This Row],[ActualAwayScore]]-Table2[[#This Row],[PredictedAwayScore]]</f>
        <v>0</v>
      </c>
      <c r="AG692" s="2">
        <f>Table2[[#This Row],[ActualHomeScore]]-Table2[[#This Row],[PredictedHomeScore]]</f>
        <v>0</v>
      </c>
      <c r="AH692" s="2">
        <f t="shared" si="57"/>
        <v>0</v>
      </c>
      <c r="AI692" s="2">
        <f t="shared" si="58"/>
        <v>0</v>
      </c>
      <c r="AJ692" s="2"/>
      <c r="AK692" s="3"/>
      <c r="AL692" s="2">
        <f>IF(Table2[[#This Row],[GameIsOver]]=0,0,IF(Table2[[#This Row],[ActualWinner]]=Table2[[#This Row],[AwayTeam]], 1, 0))</f>
        <v>0</v>
      </c>
      <c r="AM692" s="2">
        <f>IF(Table2[[#This Row],[GameIsOver]]=0,0,IF(Table2[[#This Row],[ActualWinner]]=Table2[[#This Row],[HomeTeam]], 1, 0))</f>
        <v>0</v>
      </c>
      <c r="AN6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2" s="2" t="str">
        <f>INDEX(Sheet5!$B$2:$AG$33, MATCH(Table2[[#This Row],[AwayTeam]],Sheet5!$A$2:$A$33, 0), MATCH(Table2[[#This Row],[HomeTeam]],Sheet5!$A$2:$A$33, 0))</f>
        <v>0-0-0</v>
      </c>
      <c r="AP692" s="2" t="str">
        <f>INDEX(Sheet5!$B$2:$AG$33, MATCH(Table2[[#This Row],[HomeTeam]],Sheet5!$A$2:$A$33, 0), MATCH(Table2[[#This Row],[AwayTeam]],Sheet5!$A$2:$A$33, 0))</f>
        <v>0-0-0</v>
      </c>
      <c r="AQ692" s="2">
        <f>IF(Table2[[#This Row],[GameHasShutOut]], 1, 0)</f>
        <v>0</v>
      </c>
      <c r="AR692" s="2">
        <f>IF(Table2[[#This Row],[ActualAwayScore]] + Table2[[#This Row],[ActualHomeScore]] &gt;= 10, 1, 0)</f>
        <v>0</v>
      </c>
      <c r="AS692" s="2">
        <f>IF(ABS(Table2[[#This Row],[ActualAwayScore]]-Table2[[#This Row],[ActualHomeScore]])&gt;=5, 1, 0)</f>
        <v>0</v>
      </c>
      <c r="AT692" s="2">
        <f>IF(Table2[[#This Row],[ActualAwayScore]] + Table2[[#This Row],[ActualHomeScore]] &lt;= 3, 1, 0)</f>
        <v>1</v>
      </c>
      <c r="AU692" s="2"/>
      <c r="AV692" s="2"/>
    </row>
    <row r="693" spans="1:48" x14ac:dyDescent="0.25">
      <c r="A693" s="3"/>
      <c r="B693" s="3">
        <v>46031</v>
      </c>
      <c r="C693" s="5">
        <v>2025020691</v>
      </c>
      <c r="D693" s="2" t="s">
        <v>29</v>
      </c>
      <c r="E693" s="2" t="s">
        <v>25</v>
      </c>
      <c r="F693" s="2"/>
      <c r="G693" s="2"/>
      <c r="H693" s="2" t="str">
        <f t="shared" si="54"/>
        <v>_</v>
      </c>
      <c r="I693" s="2"/>
      <c r="J693" s="2"/>
      <c r="K693" s="2"/>
      <c r="L693" s="2" t="str">
        <f t="shared" si="55"/>
        <v>_</v>
      </c>
      <c r="M693" s="2"/>
      <c r="N693" s="2">
        <f>IF(ISBLANK(Table2[[#This Row],[ActualResult]]), 0, 1)</f>
        <v>0</v>
      </c>
      <c r="O693" s="2" t="str">
        <f>IF(ISBLANK(Table2[[#This Row],[ActualResult]]), "_", IF(Table2[[#This Row],[ActualWinner]]=Table2[[#This Row],[PredictedWinner]], "Y", "N"))</f>
        <v>_</v>
      </c>
      <c r="P6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3" s="2"/>
      <c r="S693" s="2" t="str">
        <f t="shared" si="56"/>
        <v>_</v>
      </c>
      <c r="T6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3" s="2">
        <f>IF(Table2[[#This Row],[InterConf]]=1,IF(Table2[[#This Row],[InterDiv]]=0, 1, 0), 0)</f>
        <v>0</v>
      </c>
      <c r="W6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3" s="2"/>
      <c r="Y693" s="2"/>
      <c r="Z693" s="145">
        <f>IF(AND(Table2[[#This Row],[GameIsOver]]=1,Table2[[#This Row],[ActualHomeScore]]*Table2[[#This Row],[ActualAwayScore]]=0), 1,0)</f>
        <v>0</v>
      </c>
      <c r="AA6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3" s="2">
        <f>Table2[[#This Row],[ActualAwayScore]]-Table2[[#This Row],[PredictedAwayScore]]</f>
        <v>0</v>
      </c>
      <c r="AG693" s="2">
        <f>Table2[[#This Row],[ActualHomeScore]]-Table2[[#This Row],[PredictedHomeScore]]</f>
        <v>0</v>
      </c>
      <c r="AH693" s="2">
        <f t="shared" si="57"/>
        <v>0</v>
      </c>
      <c r="AI693" s="2">
        <f t="shared" si="58"/>
        <v>0</v>
      </c>
      <c r="AJ693" s="2"/>
      <c r="AK693" s="3"/>
      <c r="AL693" s="2">
        <f>IF(Table2[[#This Row],[GameIsOver]]=0,0,IF(Table2[[#This Row],[ActualWinner]]=Table2[[#This Row],[AwayTeam]], 1, 0))</f>
        <v>0</v>
      </c>
      <c r="AM693" s="2">
        <f>IF(Table2[[#This Row],[GameIsOver]]=0,0,IF(Table2[[#This Row],[ActualWinner]]=Table2[[#This Row],[HomeTeam]], 1, 0))</f>
        <v>0</v>
      </c>
      <c r="AN6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3" s="2" t="str">
        <f>INDEX(Sheet5!$B$2:$AG$33, MATCH(Table2[[#This Row],[AwayTeam]],Sheet5!$A$2:$A$33, 0), MATCH(Table2[[#This Row],[HomeTeam]],Sheet5!$A$2:$A$33, 0))</f>
        <v>0-0-0</v>
      </c>
      <c r="AP693" s="2" t="str">
        <f>INDEX(Sheet5!$B$2:$AG$33, MATCH(Table2[[#This Row],[HomeTeam]],Sheet5!$A$2:$A$33, 0), MATCH(Table2[[#This Row],[AwayTeam]],Sheet5!$A$2:$A$33, 0))</f>
        <v>0-0-0</v>
      </c>
      <c r="AQ693" s="2">
        <f>IF(Table2[[#This Row],[GameHasShutOut]], 1, 0)</f>
        <v>0</v>
      </c>
      <c r="AR693" s="2">
        <f>IF(Table2[[#This Row],[ActualAwayScore]] + Table2[[#This Row],[ActualHomeScore]] &gt;= 10, 1, 0)</f>
        <v>0</v>
      </c>
      <c r="AS693" s="2">
        <f>IF(ABS(Table2[[#This Row],[ActualAwayScore]]-Table2[[#This Row],[ActualHomeScore]])&gt;=5, 1, 0)</f>
        <v>0</v>
      </c>
      <c r="AT693" s="2">
        <f>IF(Table2[[#This Row],[ActualAwayScore]] + Table2[[#This Row],[ActualHomeScore]] &lt;= 3, 1, 0)</f>
        <v>1</v>
      </c>
      <c r="AU693" s="2"/>
      <c r="AV693" s="2"/>
    </row>
    <row r="694" spans="1:48" x14ac:dyDescent="0.25">
      <c r="A694" s="3"/>
      <c r="B694" s="3">
        <v>46031</v>
      </c>
      <c r="C694" s="5">
        <v>2025020692</v>
      </c>
      <c r="D694" s="2" t="s">
        <v>35</v>
      </c>
      <c r="E694" s="2" t="s">
        <v>26</v>
      </c>
      <c r="F694" s="2"/>
      <c r="G694" s="2"/>
      <c r="H694" s="2" t="str">
        <f t="shared" si="54"/>
        <v>_</v>
      </c>
      <c r="I694" s="2"/>
      <c r="J694" s="2"/>
      <c r="K694" s="2"/>
      <c r="L694" s="2" t="str">
        <f t="shared" si="55"/>
        <v>_</v>
      </c>
      <c r="M694" s="2"/>
      <c r="N694" s="2">
        <f>IF(ISBLANK(Table2[[#This Row],[ActualResult]]), 0, 1)</f>
        <v>0</v>
      </c>
      <c r="O694" s="2" t="str">
        <f>IF(ISBLANK(Table2[[#This Row],[ActualResult]]), "_", IF(Table2[[#This Row],[ActualWinner]]=Table2[[#This Row],[PredictedWinner]], "Y", "N"))</f>
        <v>_</v>
      </c>
      <c r="P6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4" s="2"/>
      <c r="S694" s="2" t="str">
        <f t="shared" si="56"/>
        <v>_</v>
      </c>
      <c r="T6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4" s="2">
        <f>IF(Table2[[#This Row],[InterConf]]=1,IF(Table2[[#This Row],[InterDiv]]=0, 1, 0), 0)</f>
        <v>0</v>
      </c>
      <c r="W6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4" s="2"/>
      <c r="Y694" s="2"/>
      <c r="Z694" s="145">
        <f>IF(AND(Table2[[#This Row],[GameIsOver]]=1,Table2[[#This Row],[ActualHomeScore]]*Table2[[#This Row],[ActualAwayScore]]=0), 1,0)</f>
        <v>0</v>
      </c>
      <c r="AA6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4" s="2">
        <f>Table2[[#This Row],[ActualAwayScore]]-Table2[[#This Row],[PredictedAwayScore]]</f>
        <v>0</v>
      </c>
      <c r="AG694" s="2">
        <f>Table2[[#This Row],[ActualHomeScore]]-Table2[[#This Row],[PredictedHomeScore]]</f>
        <v>0</v>
      </c>
      <c r="AH694" s="2">
        <f t="shared" si="57"/>
        <v>0</v>
      </c>
      <c r="AI694" s="2">
        <f t="shared" si="58"/>
        <v>0</v>
      </c>
      <c r="AJ694" s="2"/>
      <c r="AK694" s="3"/>
      <c r="AL694" s="2">
        <f>IF(Table2[[#This Row],[GameIsOver]]=0,0,IF(Table2[[#This Row],[ActualWinner]]=Table2[[#This Row],[AwayTeam]], 1, 0))</f>
        <v>0</v>
      </c>
      <c r="AM694" s="2">
        <f>IF(Table2[[#This Row],[GameIsOver]]=0,0,IF(Table2[[#This Row],[ActualWinner]]=Table2[[#This Row],[HomeTeam]], 1, 0))</f>
        <v>0</v>
      </c>
      <c r="AN6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4" s="2" t="str">
        <f>INDEX(Sheet5!$B$2:$AG$33, MATCH(Table2[[#This Row],[AwayTeam]],Sheet5!$A$2:$A$33, 0), MATCH(Table2[[#This Row],[HomeTeam]],Sheet5!$A$2:$A$33, 0))</f>
        <v>0-0-0</v>
      </c>
      <c r="AP694" s="2" t="str">
        <f>INDEX(Sheet5!$B$2:$AG$33, MATCH(Table2[[#This Row],[HomeTeam]],Sheet5!$A$2:$A$33, 0), MATCH(Table2[[#This Row],[AwayTeam]],Sheet5!$A$2:$A$33, 0))</f>
        <v>0-0-0</v>
      </c>
      <c r="AQ694" s="2">
        <f>IF(Table2[[#This Row],[GameHasShutOut]], 1, 0)</f>
        <v>0</v>
      </c>
      <c r="AR694" s="2">
        <f>IF(Table2[[#This Row],[ActualAwayScore]] + Table2[[#This Row],[ActualHomeScore]] &gt;= 10, 1, 0)</f>
        <v>0</v>
      </c>
      <c r="AS694" s="2">
        <f>IF(ABS(Table2[[#This Row],[ActualAwayScore]]-Table2[[#This Row],[ActualHomeScore]])&gt;=5, 1, 0)</f>
        <v>0</v>
      </c>
      <c r="AT694" s="2">
        <f>IF(Table2[[#This Row],[ActualAwayScore]] + Table2[[#This Row],[ActualHomeScore]] &lt;= 3, 1, 0)</f>
        <v>1</v>
      </c>
      <c r="AU694" s="2"/>
      <c r="AV694" s="2"/>
    </row>
    <row r="695" spans="1:48" x14ac:dyDescent="0.25">
      <c r="A695" s="3"/>
      <c r="B695" s="3">
        <v>46031</v>
      </c>
      <c r="C695" s="5">
        <v>2025020693</v>
      </c>
      <c r="D695" s="2" t="s">
        <v>36</v>
      </c>
      <c r="E695" s="2" t="s">
        <v>11</v>
      </c>
      <c r="F695" s="2"/>
      <c r="G695" s="2"/>
      <c r="H695" s="2" t="str">
        <f t="shared" si="54"/>
        <v>_</v>
      </c>
      <c r="I695" s="2"/>
      <c r="J695" s="2"/>
      <c r="K695" s="2"/>
      <c r="L695" s="2" t="str">
        <f t="shared" si="55"/>
        <v>_</v>
      </c>
      <c r="M695" s="2"/>
      <c r="N695" s="2">
        <f>IF(ISBLANK(Table2[[#This Row],[ActualResult]]), 0, 1)</f>
        <v>0</v>
      </c>
      <c r="O695" s="2" t="str">
        <f>IF(ISBLANK(Table2[[#This Row],[ActualResult]]), "_", IF(Table2[[#This Row],[ActualWinner]]=Table2[[#This Row],[PredictedWinner]], "Y", "N"))</f>
        <v>_</v>
      </c>
      <c r="P6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5" s="2"/>
      <c r="S695" s="2" t="str">
        <f t="shared" si="56"/>
        <v>_</v>
      </c>
      <c r="T6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5" s="2">
        <f>IF(Table2[[#This Row],[InterConf]]=1,IF(Table2[[#This Row],[InterDiv]]=0, 1, 0), 0)</f>
        <v>1</v>
      </c>
      <c r="W6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5" s="2"/>
      <c r="Y695" s="2"/>
      <c r="Z695" s="145">
        <f>IF(AND(Table2[[#This Row],[GameIsOver]]=1,Table2[[#This Row],[ActualHomeScore]]*Table2[[#This Row],[ActualAwayScore]]=0), 1,0)</f>
        <v>0</v>
      </c>
      <c r="AA6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5" s="2">
        <f>Table2[[#This Row],[ActualAwayScore]]-Table2[[#This Row],[PredictedAwayScore]]</f>
        <v>0</v>
      </c>
      <c r="AG695" s="2">
        <f>Table2[[#This Row],[ActualHomeScore]]-Table2[[#This Row],[PredictedHomeScore]]</f>
        <v>0</v>
      </c>
      <c r="AH695" s="2">
        <f t="shared" si="57"/>
        <v>0</v>
      </c>
      <c r="AI695" s="2">
        <f t="shared" si="58"/>
        <v>0</v>
      </c>
      <c r="AJ695" s="2"/>
      <c r="AK695" s="3"/>
      <c r="AL695" s="2">
        <f>IF(Table2[[#This Row],[GameIsOver]]=0,0,IF(Table2[[#This Row],[ActualWinner]]=Table2[[#This Row],[AwayTeam]], 1, 0))</f>
        <v>0</v>
      </c>
      <c r="AM695" s="2">
        <f>IF(Table2[[#This Row],[GameIsOver]]=0,0,IF(Table2[[#This Row],[ActualWinner]]=Table2[[#This Row],[HomeTeam]], 1, 0))</f>
        <v>0</v>
      </c>
      <c r="AN6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5" s="2" t="str">
        <f>INDEX(Sheet5!$B$2:$AG$33, MATCH(Table2[[#This Row],[AwayTeam]],Sheet5!$A$2:$A$33, 0), MATCH(Table2[[#This Row],[HomeTeam]],Sheet5!$A$2:$A$33, 0))</f>
        <v>0-0-0</v>
      </c>
      <c r="AP695" s="2" t="str">
        <f>INDEX(Sheet5!$B$2:$AG$33, MATCH(Table2[[#This Row],[HomeTeam]],Sheet5!$A$2:$A$33, 0), MATCH(Table2[[#This Row],[AwayTeam]],Sheet5!$A$2:$A$33, 0))</f>
        <v>0-0-0</v>
      </c>
      <c r="AQ695" s="2">
        <f>IF(Table2[[#This Row],[GameHasShutOut]], 1, 0)</f>
        <v>0</v>
      </c>
      <c r="AR695" s="2">
        <f>IF(Table2[[#This Row],[ActualAwayScore]] + Table2[[#This Row],[ActualHomeScore]] &gt;= 10, 1, 0)</f>
        <v>0</v>
      </c>
      <c r="AS695" s="2">
        <f>IF(ABS(Table2[[#This Row],[ActualAwayScore]]-Table2[[#This Row],[ActualHomeScore]])&gt;=5, 1, 0)</f>
        <v>0</v>
      </c>
      <c r="AT695" s="2">
        <f>IF(Table2[[#This Row],[ActualAwayScore]] + Table2[[#This Row],[ActualHomeScore]] &lt;= 3, 1, 0)</f>
        <v>1</v>
      </c>
      <c r="AU695" s="2"/>
      <c r="AV695" s="2"/>
    </row>
    <row r="696" spans="1:48" x14ac:dyDescent="0.25">
      <c r="A696" s="3"/>
      <c r="B696" s="3">
        <v>46032</v>
      </c>
      <c r="C696" s="5">
        <v>2025020694</v>
      </c>
      <c r="D696" s="2" t="s">
        <v>43</v>
      </c>
      <c r="E696" s="2" t="s">
        <v>16</v>
      </c>
      <c r="F696" s="2"/>
      <c r="G696" s="2"/>
      <c r="H696" s="2" t="str">
        <f t="shared" si="54"/>
        <v>_</v>
      </c>
      <c r="I696" s="2"/>
      <c r="J696" s="2"/>
      <c r="K696" s="2"/>
      <c r="L696" s="2" t="str">
        <f t="shared" si="55"/>
        <v>_</v>
      </c>
      <c r="M696" s="2"/>
      <c r="N696" s="2">
        <f>IF(ISBLANK(Table2[[#This Row],[ActualResult]]), 0, 1)</f>
        <v>0</v>
      </c>
      <c r="O696" s="2" t="str">
        <f>IF(ISBLANK(Table2[[#This Row],[ActualResult]]), "_", IF(Table2[[#This Row],[ActualWinner]]=Table2[[#This Row],[PredictedWinner]], "Y", "N"))</f>
        <v>_</v>
      </c>
      <c r="P6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6" s="2"/>
      <c r="S696" s="2" t="str">
        <f t="shared" si="56"/>
        <v>_</v>
      </c>
      <c r="T6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6" s="2">
        <f>IF(Table2[[#This Row],[InterConf]]=1,IF(Table2[[#This Row],[InterDiv]]=0, 1, 0), 0)</f>
        <v>0</v>
      </c>
      <c r="W6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6" s="2"/>
      <c r="Y696" s="2"/>
      <c r="Z696" s="145">
        <f>IF(AND(Table2[[#This Row],[GameIsOver]]=1,Table2[[#This Row],[ActualHomeScore]]*Table2[[#This Row],[ActualAwayScore]]=0), 1,0)</f>
        <v>0</v>
      </c>
      <c r="AA6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6" s="2">
        <f>Table2[[#This Row],[ActualAwayScore]]-Table2[[#This Row],[PredictedAwayScore]]</f>
        <v>0</v>
      </c>
      <c r="AG696" s="2">
        <f>Table2[[#This Row],[ActualHomeScore]]-Table2[[#This Row],[PredictedHomeScore]]</f>
        <v>0</v>
      </c>
      <c r="AH696" s="2">
        <f t="shared" si="57"/>
        <v>0</v>
      </c>
      <c r="AI696" s="2">
        <f t="shared" si="58"/>
        <v>0</v>
      </c>
      <c r="AJ696" s="2"/>
      <c r="AK696" s="3"/>
      <c r="AL696" s="2">
        <f>IF(Table2[[#This Row],[GameIsOver]]=0,0,IF(Table2[[#This Row],[ActualWinner]]=Table2[[#This Row],[AwayTeam]], 1, 0))</f>
        <v>0</v>
      </c>
      <c r="AM696" s="2">
        <f>IF(Table2[[#This Row],[GameIsOver]]=0,0,IF(Table2[[#This Row],[ActualWinner]]=Table2[[#This Row],[HomeTeam]], 1, 0))</f>
        <v>0</v>
      </c>
      <c r="AN6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6" s="2" t="str">
        <f>INDEX(Sheet5!$B$2:$AG$33, MATCH(Table2[[#This Row],[AwayTeam]],Sheet5!$A$2:$A$33, 0), MATCH(Table2[[#This Row],[HomeTeam]],Sheet5!$A$2:$A$33, 0))</f>
        <v>0-0-0</v>
      </c>
      <c r="AP696" s="2" t="str">
        <f>INDEX(Sheet5!$B$2:$AG$33, MATCH(Table2[[#This Row],[HomeTeam]],Sheet5!$A$2:$A$33, 0), MATCH(Table2[[#This Row],[AwayTeam]],Sheet5!$A$2:$A$33, 0))</f>
        <v>0-0-0</v>
      </c>
      <c r="AQ696" s="2">
        <f>IF(Table2[[#This Row],[GameHasShutOut]], 1, 0)</f>
        <v>0</v>
      </c>
      <c r="AR696" s="2">
        <f>IF(Table2[[#This Row],[ActualAwayScore]] + Table2[[#This Row],[ActualHomeScore]] &gt;= 10, 1, 0)</f>
        <v>0</v>
      </c>
      <c r="AS696" s="2">
        <f>IF(ABS(Table2[[#This Row],[ActualAwayScore]]-Table2[[#This Row],[ActualHomeScore]])&gt;=5, 1, 0)</f>
        <v>0</v>
      </c>
      <c r="AT696" s="2">
        <f>IF(Table2[[#This Row],[ActualAwayScore]] + Table2[[#This Row],[ActualHomeScore]] &lt;= 3, 1, 0)</f>
        <v>1</v>
      </c>
      <c r="AU696" s="2"/>
      <c r="AV696" s="2"/>
    </row>
    <row r="697" spans="1:48" x14ac:dyDescent="0.25">
      <c r="A697" s="3"/>
      <c r="B697" s="3">
        <v>46032</v>
      </c>
      <c r="C697" s="5">
        <v>2025020695</v>
      </c>
      <c r="D697" s="2" t="s">
        <v>27</v>
      </c>
      <c r="E697" s="2" t="s">
        <v>21</v>
      </c>
      <c r="F697" s="2"/>
      <c r="G697" s="2"/>
      <c r="H697" s="2" t="str">
        <f t="shared" si="54"/>
        <v>_</v>
      </c>
      <c r="I697" s="2"/>
      <c r="J697" s="2"/>
      <c r="K697" s="2"/>
      <c r="L697" s="2" t="str">
        <f t="shared" si="55"/>
        <v>_</v>
      </c>
      <c r="M697" s="2"/>
      <c r="N697" s="2">
        <f>IF(ISBLANK(Table2[[#This Row],[ActualResult]]), 0, 1)</f>
        <v>0</v>
      </c>
      <c r="O697" s="2" t="str">
        <f>IF(ISBLANK(Table2[[#This Row],[ActualResult]]), "_", IF(Table2[[#This Row],[ActualWinner]]=Table2[[#This Row],[PredictedWinner]], "Y", "N"))</f>
        <v>_</v>
      </c>
      <c r="P6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7" s="2"/>
      <c r="S697" s="2" t="str">
        <f t="shared" si="56"/>
        <v>_</v>
      </c>
      <c r="T6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7" s="2">
        <f>IF(Table2[[#This Row],[InterConf]]=1,IF(Table2[[#This Row],[InterDiv]]=0, 1, 0), 0)</f>
        <v>1</v>
      </c>
      <c r="W6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7" s="2"/>
      <c r="Y697" s="2"/>
      <c r="Z697" s="145">
        <f>IF(AND(Table2[[#This Row],[GameIsOver]]=1,Table2[[#This Row],[ActualHomeScore]]*Table2[[#This Row],[ActualAwayScore]]=0), 1,0)</f>
        <v>0</v>
      </c>
      <c r="AA6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7" s="2">
        <f>Table2[[#This Row],[ActualAwayScore]]-Table2[[#This Row],[PredictedAwayScore]]</f>
        <v>0</v>
      </c>
      <c r="AG697" s="2">
        <f>Table2[[#This Row],[ActualHomeScore]]-Table2[[#This Row],[PredictedHomeScore]]</f>
        <v>0</v>
      </c>
      <c r="AH697" s="2">
        <f t="shared" si="57"/>
        <v>0</v>
      </c>
      <c r="AI697" s="2">
        <f t="shared" si="58"/>
        <v>0</v>
      </c>
      <c r="AJ697" s="2"/>
      <c r="AK697" s="3"/>
      <c r="AL697" s="2">
        <f>IF(Table2[[#This Row],[GameIsOver]]=0,0,IF(Table2[[#This Row],[ActualWinner]]=Table2[[#This Row],[AwayTeam]], 1, 0))</f>
        <v>0</v>
      </c>
      <c r="AM697" s="2">
        <f>IF(Table2[[#This Row],[GameIsOver]]=0,0,IF(Table2[[#This Row],[ActualWinner]]=Table2[[#This Row],[HomeTeam]], 1, 0))</f>
        <v>0</v>
      </c>
      <c r="AN697" s="2">
        <f>IF(IFERROR(FIND(Table2[[#This Row],[AwayTeam]], _xlfn.TEXTJOIN(";", 1, $BD$31:$BD$40)), 0) &gt; 0, 1, 0) + IF(IFERROR(FIND(Table2[[#This Row],[HomeTeam]], _xlfn.TEXTJOIN(";", 1, $BD$31:$BD$40)), 0) &gt; 0, 1, 0)</f>
        <v>1</v>
      </c>
      <c r="AO697" s="2" t="str">
        <f>INDEX(Sheet5!$B$2:$AG$33, MATCH(Table2[[#This Row],[AwayTeam]],Sheet5!$A$2:$A$33, 0), MATCH(Table2[[#This Row],[HomeTeam]],Sheet5!$A$2:$A$33, 0))</f>
        <v>0-1-0</v>
      </c>
      <c r="AP697" s="2" t="str">
        <f>INDEX(Sheet5!$B$2:$AG$33, MATCH(Table2[[#This Row],[HomeTeam]],Sheet5!$A$2:$A$33, 0), MATCH(Table2[[#This Row],[AwayTeam]],Sheet5!$A$2:$A$33, 0))</f>
        <v>1-0-0</v>
      </c>
      <c r="AQ697" s="2">
        <f>IF(Table2[[#This Row],[GameHasShutOut]], 1, 0)</f>
        <v>0</v>
      </c>
      <c r="AR697" s="2">
        <f>IF(Table2[[#This Row],[ActualAwayScore]] + Table2[[#This Row],[ActualHomeScore]] &gt;= 10, 1, 0)</f>
        <v>0</v>
      </c>
      <c r="AS697" s="2">
        <f>IF(ABS(Table2[[#This Row],[ActualAwayScore]]-Table2[[#This Row],[ActualHomeScore]])&gt;=5, 1, 0)</f>
        <v>0</v>
      </c>
      <c r="AT697" s="2">
        <f>IF(Table2[[#This Row],[ActualAwayScore]] + Table2[[#This Row],[ActualHomeScore]] &lt;= 3, 1, 0)</f>
        <v>1</v>
      </c>
      <c r="AU697" s="2"/>
      <c r="AV697" s="2"/>
    </row>
    <row r="698" spans="1:48" x14ac:dyDescent="0.25">
      <c r="A698" s="3"/>
      <c r="B698" s="3">
        <v>46032</v>
      </c>
      <c r="C698" s="5">
        <v>2025020696</v>
      </c>
      <c r="D698" s="2" t="s">
        <v>12</v>
      </c>
      <c r="E698" s="2" t="s">
        <v>14</v>
      </c>
      <c r="F698" s="2"/>
      <c r="G698" s="2"/>
      <c r="H698" s="2" t="str">
        <f t="shared" si="54"/>
        <v>_</v>
      </c>
      <c r="I698" s="2"/>
      <c r="J698" s="2"/>
      <c r="K698" s="2"/>
      <c r="L698" s="2" t="str">
        <f t="shared" si="55"/>
        <v>_</v>
      </c>
      <c r="M698" s="2"/>
      <c r="N698" s="2">
        <f>IF(ISBLANK(Table2[[#This Row],[ActualResult]]), 0, 1)</f>
        <v>0</v>
      </c>
      <c r="O698" s="2" t="str">
        <f>IF(ISBLANK(Table2[[#This Row],[ActualResult]]), "_", IF(Table2[[#This Row],[ActualWinner]]=Table2[[#This Row],[PredictedWinner]], "Y", "N"))</f>
        <v>_</v>
      </c>
      <c r="P6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8" s="2"/>
      <c r="S698" s="2" t="str">
        <f t="shared" si="56"/>
        <v>_</v>
      </c>
      <c r="T6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98" s="2">
        <f>IF(Table2[[#This Row],[InterConf]]=1,IF(Table2[[#This Row],[InterDiv]]=0, 1, 0), 0)</f>
        <v>0</v>
      </c>
      <c r="W6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8" s="2"/>
      <c r="Y698" s="2"/>
      <c r="Z698" s="145">
        <f>IF(AND(Table2[[#This Row],[GameIsOver]]=1,Table2[[#This Row],[ActualHomeScore]]*Table2[[#This Row],[ActualAwayScore]]=0), 1,0)</f>
        <v>0</v>
      </c>
      <c r="AA6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8" s="2">
        <f>Table2[[#This Row],[ActualAwayScore]]-Table2[[#This Row],[PredictedAwayScore]]</f>
        <v>0</v>
      </c>
      <c r="AG698" s="2">
        <f>Table2[[#This Row],[ActualHomeScore]]-Table2[[#This Row],[PredictedHomeScore]]</f>
        <v>0</v>
      </c>
      <c r="AH698" s="2">
        <f t="shared" si="57"/>
        <v>0</v>
      </c>
      <c r="AI698" s="2">
        <f t="shared" si="58"/>
        <v>0</v>
      </c>
      <c r="AJ698" s="2"/>
      <c r="AK698" s="3"/>
      <c r="AL698" s="2">
        <f>IF(Table2[[#This Row],[GameIsOver]]=0,0,IF(Table2[[#This Row],[ActualWinner]]=Table2[[#This Row],[AwayTeam]], 1, 0))</f>
        <v>0</v>
      </c>
      <c r="AM698" s="2">
        <f>IF(Table2[[#This Row],[GameIsOver]]=0,0,IF(Table2[[#This Row],[ActualWinner]]=Table2[[#This Row],[HomeTeam]], 1, 0))</f>
        <v>0</v>
      </c>
      <c r="AN6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8" s="2" t="str">
        <f>INDEX(Sheet5!$B$2:$AG$33, MATCH(Table2[[#This Row],[AwayTeam]],Sheet5!$A$2:$A$33, 0), MATCH(Table2[[#This Row],[HomeTeam]],Sheet5!$A$2:$A$33, 0))</f>
        <v>0-0-0</v>
      </c>
      <c r="AP698" s="2" t="str">
        <f>INDEX(Sheet5!$B$2:$AG$33, MATCH(Table2[[#This Row],[HomeTeam]],Sheet5!$A$2:$A$33, 0), MATCH(Table2[[#This Row],[AwayTeam]],Sheet5!$A$2:$A$33, 0))</f>
        <v>0-0-0</v>
      </c>
      <c r="AQ698" s="2">
        <f>IF(Table2[[#This Row],[GameHasShutOut]], 1, 0)</f>
        <v>0</v>
      </c>
      <c r="AR698" s="2">
        <f>IF(Table2[[#This Row],[ActualAwayScore]] + Table2[[#This Row],[ActualHomeScore]] &gt;= 10, 1, 0)</f>
        <v>0</v>
      </c>
      <c r="AS698" s="2">
        <f>IF(ABS(Table2[[#This Row],[ActualAwayScore]]-Table2[[#This Row],[ActualHomeScore]])&gt;=5, 1, 0)</f>
        <v>0</v>
      </c>
      <c r="AT698" s="2">
        <f>IF(Table2[[#This Row],[ActualAwayScore]] + Table2[[#This Row],[ActualHomeScore]] &lt;= 3, 1, 0)</f>
        <v>1</v>
      </c>
      <c r="AU698" s="2"/>
      <c r="AV698" s="2"/>
    </row>
    <row r="699" spans="1:48" x14ac:dyDescent="0.25">
      <c r="A699" s="3"/>
      <c r="B699" s="3">
        <v>46032</v>
      </c>
      <c r="C699" s="5">
        <v>2025020697</v>
      </c>
      <c r="D699" s="2" t="s">
        <v>19</v>
      </c>
      <c r="E699" s="2" t="s">
        <v>15</v>
      </c>
      <c r="F699" s="2"/>
      <c r="G699" s="2"/>
      <c r="H699" s="2" t="str">
        <f t="shared" si="54"/>
        <v>_</v>
      </c>
      <c r="I699" s="2"/>
      <c r="J699" s="2"/>
      <c r="K699" s="2"/>
      <c r="L699" s="2" t="str">
        <f t="shared" si="55"/>
        <v>_</v>
      </c>
      <c r="M699" s="2"/>
      <c r="N699" s="2">
        <f>IF(ISBLANK(Table2[[#This Row],[ActualResult]]), 0, 1)</f>
        <v>0</v>
      </c>
      <c r="O699" s="2" t="str">
        <f>IF(ISBLANK(Table2[[#This Row],[ActualResult]]), "_", IF(Table2[[#This Row],[ActualWinner]]=Table2[[#This Row],[PredictedWinner]], "Y", "N"))</f>
        <v>_</v>
      </c>
      <c r="P6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9" s="2"/>
      <c r="S699" s="2" t="str">
        <f t="shared" si="56"/>
        <v>_</v>
      </c>
      <c r="T6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9" s="2">
        <f>IF(Table2[[#This Row],[InterConf]]=1,IF(Table2[[#This Row],[InterDiv]]=0, 1, 0), 0)</f>
        <v>1</v>
      </c>
      <c r="W6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9" s="2"/>
      <c r="Y699" s="2"/>
      <c r="Z699" s="145">
        <f>IF(AND(Table2[[#This Row],[GameIsOver]]=1,Table2[[#This Row],[ActualHomeScore]]*Table2[[#This Row],[ActualAwayScore]]=0), 1,0)</f>
        <v>0</v>
      </c>
      <c r="AA6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9" s="2">
        <f>Table2[[#This Row],[ActualAwayScore]]-Table2[[#This Row],[PredictedAwayScore]]</f>
        <v>0</v>
      </c>
      <c r="AG699" s="2">
        <f>Table2[[#This Row],[ActualHomeScore]]-Table2[[#This Row],[PredictedHomeScore]]</f>
        <v>0</v>
      </c>
      <c r="AH699" s="2">
        <f t="shared" si="57"/>
        <v>0</v>
      </c>
      <c r="AI699" s="2">
        <f t="shared" si="58"/>
        <v>0</v>
      </c>
      <c r="AJ699" s="2"/>
      <c r="AK699" s="3"/>
      <c r="AL699" s="2">
        <f>IF(Table2[[#This Row],[GameIsOver]]=0,0,IF(Table2[[#This Row],[ActualWinner]]=Table2[[#This Row],[AwayTeam]], 1, 0))</f>
        <v>0</v>
      </c>
      <c r="AM699" s="2">
        <f>IF(Table2[[#This Row],[GameIsOver]]=0,0,IF(Table2[[#This Row],[ActualWinner]]=Table2[[#This Row],[HomeTeam]], 1, 0))</f>
        <v>0</v>
      </c>
      <c r="AN6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9" s="2" t="str">
        <f>INDEX(Sheet5!$B$2:$AG$33, MATCH(Table2[[#This Row],[AwayTeam]],Sheet5!$A$2:$A$33, 0), MATCH(Table2[[#This Row],[HomeTeam]],Sheet5!$A$2:$A$33, 0))</f>
        <v>0-0-0</v>
      </c>
      <c r="AP699" s="2" t="str">
        <f>INDEX(Sheet5!$B$2:$AG$33, MATCH(Table2[[#This Row],[HomeTeam]],Sheet5!$A$2:$A$33, 0), MATCH(Table2[[#This Row],[AwayTeam]],Sheet5!$A$2:$A$33, 0))</f>
        <v>0-0-0</v>
      </c>
      <c r="AQ699" s="2">
        <f>IF(Table2[[#This Row],[GameHasShutOut]], 1, 0)</f>
        <v>0</v>
      </c>
      <c r="AR699" s="2">
        <f>IF(Table2[[#This Row],[ActualAwayScore]] + Table2[[#This Row],[ActualHomeScore]] &gt;= 10, 1, 0)</f>
        <v>0</v>
      </c>
      <c r="AS699" s="2">
        <f>IF(ABS(Table2[[#This Row],[ActualAwayScore]]-Table2[[#This Row],[ActualHomeScore]])&gt;=5, 1, 0)</f>
        <v>0</v>
      </c>
      <c r="AT699" s="2">
        <f>IF(Table2[[#This Row],[ActualAwayScore]] + Table2[[#This Row],[ActualHomeScore]] &lt;= 3, 1, 0)</f>
        <v>1</v>
      </c>
      <c r="AU699" s="2"/>
      <c r="AV699" s="2"/>
    </row>
    <row r="700" spans="1:48" x14ac:dyDescent="0.25">
      <c r="A700" s="3"/>
      <c r="B700" s="3">
        <v>46032</v>
      </c>
      <c r="C700" s="5">
        <v>2025020698</v>
      </c>
      <c r="D700" s="2" t="s">
        <v>23</v>
      </c>
      <c r="E700" s="2" t="s">
        <v>20</v>
      </c>
      <c r="F700" s="2"/>
      <c r="G700" s="2"/>
      <c r="H700" s="2" t="str">
        <f t="shared" si="54"/>
        <v>_</v>
      </c>
      <c r="I700" s="2"/>
      <c r="J700" s="2"/>
      <c r="K700" s="2"/>
      <c r="L700" s="2" t="str">
        <f t="shared" si="55"/>
        <v>_</v>
      </c>
      <c r="M700" s="2"/>
      <c r="N700" s="2">
        <f>IF(ISBLANK(Table2[[#This Row],[ActualResult]]), 0, 1)</f>
        <v>0</v>
      </c>
      <c r="O700" s="2" t="str">
        <f>IF(ISBLANK(Table2[[#This Row],[ActualResult]]), "_", IF(Table2[[#This Row],[ActualWinner]]=Table2[[#This Row],[PredictedWinner]], "Y", "N"))</f>
        <v>_</v>
      </c>
      <c r="P7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0" s="2"/>
      <c r="S700" s="2" t="str">
        <f t="shared" si="56"/>
        <v>_</v>
      </c>
      <c r="T7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0" s="2">
        <f>IF(Table2[[#This Row],[InterConf]]=1,IF(Table2[[#This Row],[InterDiv]]=0, 1, 0), 0)</f>
        <v>0</v>
      </c>
      <c r="W7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0" s="2"/>
      <c r="Y700" s="2"/>
      <c r="Z700" s="145">
        <f>IF(AND(Table2[[#This Row],[GameIsOver]]=1,Table2[[#This Row],[ActualHomeScore]]*Table2[[#This Row],[ActualAwayScore]]=0), 1,0)</f>
        <v>0</v>
      </c>
      <c r="AA7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00" s="2">
        <f>Table2[[#This Row],[ActualAwayScore]]-Table2[[#This Row],[PredictedAwayScore]]</f>
        <v>0</v>
      </c>
      <c r="AG700" s="2">
        <f>Table2[[#This Row],[ActualHomeScore]]-Table2[[#This Row],[PredictedHomeScore]]</f>
        <v>0</v>
      </c>
      <c r="AH700" s="2">
        <f t="shared" si="57"/>
        <v>0</v>
      </c>
      <c r="AI700" s="2">
        <f t="shared" si="58"/>
        <v>0</v>
      </c>
      <c r="AJ700" s="2"/>
      <c r="AK700" s="3"/>
      <c r="AL700" s="2">
        <f>IF(Table2[[#This Row],[GameIsOver]]=0,0,IF(Table2[[#This Row],[ActualWinner]]=Table2[[#This Row],[AwayTeam]], 1, 0))</f>
        <v>0</v>
      </c>
      <c r="AM700" s="2">
        <f>IF(Table2[[#This Row],[GameIsOver]]=0,0,IF(Table2[[#This Row],[ActualWinner]]=Table2[[#This Row],[HomeTeam]], 1, 0))</f>
        <v>0</v>
      </c>
      <c r="AN7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0" s="2" t="str">
        <f>INDEX(Sheet5!$B$2:$AG$33, MATCH(Table2[[#This Row],[AwayTeam]],Sheet5!$A$2:$A$33, 0), MATCH(Table2[[#This Row],[HomeTeam]],Sheet5!$A$2:$A$33, 0))</f>
        <v>0-0-0</v>
      </c>
      <c r="AP700" s="2" t="str">
        <f>INDEX(Sheet5!$B$2:$AG$33, MATCH(Table2[[#This Row],[HomeTeam]],Sheet5!$A$2:$A$33, 0), MATCH(Table2[[#This Row],[AwayTeam]],Sheet5!$A$2:$A$33, 0))</f>
        <v>0-0-0</v>
      </c>
      <c r="AQ700" s="2">
        <f>IF(Table2[[#This Row],[GameHasShutOut]], 1, 0)</f>
        <v>0</v>
      </c>
      <c r="AR700" s="2">
        <f>IF(Table2[[#This Row],[ActualAwayScore]] + Table2[[#This Row],[ActualHomeScore]] &gt;= 10, 1, 0)</f>
        <v>0</v>
      </c>
      <c r="AS700" s="2">
        <f>IF(ABS(Table2[[#This Row],[ActualAwayScore]]-Table2[[#This Row],[ActualHomeScore]])&gt;=5, 1, 0)</f>
        <v>0</v>
      </c>
      <c r="AT700" s="2">
        <f>IF(Table2[[#This Row],[ActualAwayScore]] + Table2[[#This Row],[ActualHomeScore]] &lt;= 3, 1, 0)</f>
        <v>1</v>
      </c>
      <c r="AU700" s="2"/>
      <c r="AV700" s="2"/>
    </row>
    <row r="701" spans="1:48" x14ac:dyDescent="0.25">
      <c r="A701" s="3"/>
      <c r="B701" s="3">
        <v>46032</v>
      </c>
      <c r="C701" s="5">
        <v>2025020699</v>
      </c>
      <c r="D701" s="2" t="s">
        <v>35</v>
      </c>
      <c r="E701" s="2" t="s">
        <v>25</v>
      </c>
      <c r="F701" s="2"/>
      <c r="G701" s="2"/>
      <c r="H701" s="2" t="str">
        <f t="shared" si="54"/>
        <v>_</v>
      </c>
      <c r="I701" s="2"/>
      <c r="J701" s="2"/>
      <c r="K701" s="2"/>
      <c r="L701" s="2" t="str">
        <f t="shared" si="55"/>
        <v>_</v>
      </c>
      <c r="M701" s="2"/>
      <c r="N701" s="2">
        <f>IF(ISBLANK(Table2[[#This Row],[ActualResult]]), 0, 1)</f>
        <v>0</v>
      </c>
      <c r="O701" s="2" t="str">
        <f>IF(ISBLANK(Table2[[#This Row],[ActualResult]]), "_", IF(Table2[[#This Row],[ActualWinner]]=Table2[[#This Row],[PredictedWinner]], "Y", "N"))</f>
        <v>_</v>
      </c>
      <c r="P7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1" s="2"/>
      <c r="S701" s="2" t="str">
        <f t="shared" si="56"/>
        <v>_</v>
      </c>
      <c r="T7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1" s="2">
        <f>IF(Table2[[#This Row],[InterConf]]=1,IF(Table2[[#This Row],[InterDiv]]=0, 1, 0), 0)</f>
        <v>0</v>
      </c>
      <c r="W7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1" s="2"/>
      <c r="Y701" s="2"/>
      <c r="Z701" s="145">
        <f>IF(AND(Table2[[#This Row],[GameIsOver]]=1,Table2[[#This Row],[ActualHomeScore]]*Table2[[#This Row],[ActualAwayScore]]=0), 1,0)</f>
        <v>0</v>
      </c>
      <c r="AA7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01" s="2">
        <f>Table2[[#This Row],[ActualAwayScore]]-Table2[[#This Row],[PredictedAwayScore]]</f>
        <v>0</v>
      </c>
      <c r="AG701" s="2">
        <f>Table2[[#This Row],[ActualHomeScore]]-Table2[[#This Row],[PredictedHomeScore]]</f>
        <v>0</v>
      </c>
      <c r="AH701" s="2">
        <f t="shared" si="57"/>
        <v>0</v>
      </c>
      <c r="AI701" s="2">
        <f t="shared" si="58"/>
        <v>0</v>
      </c>
      <c r="AJ701" s="2"/>
      <c r="AK701" s="3"/>
      <c r="AL701" s="2">
        <f>IF(Table2[[#This Row],[GameIsOver]]=0,0,IF(Table2[[#This Row],[ActualWinner]]=Table2[[#This Row],[AwayTeam]], 1, 0))</f>
        <v>0</v>
      </c>
      <c r="AM701" s="2">
        <f>IF(Table2[[#This Row],[GameIsOver]]=0,0,IF(Table2[[#This Row],[ActualWinner]]=Table2[[#This Row],[HomeTeam]], 1, 0))</f>
        <v>0</v>
      </c>
      <c r="AN7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1" s="2" t="str">
        <f>INDEX(Sheet5!$B$2:$AG$33, MATCH(Table2[[#This Row],[AwayTeam]],Sheet5!$A$2:$A$33, 0), MATCH(Table2[[#This Row],[HomeTeam]],Sheet5!$A$2:$A$33, 0))</f>
        <v>0-1-0</v>
      </c>
      <c r="AP701" s="2" t="str">
        <f>INDEX(Sheet5!$B$2:$AG$33, MATCH(Table2[[#This Row],[HomeTeam]],Sheet5!$A$2:$A$33, 0), MATCH(Table2[[#This Row],[AwayTeam]],Sheet5!$A$2:$A$33, 0))</f>
        <v>1-0-0</v>
      </c>
      <c r="AQ701" s="2">
        <f>IF(Table2[[#This Row],[GameHasShutOut]], 1, 0)</f>
        <v>0</v>
      </c>
      <c r="AR701" s="2">
        <f>IF(Table2[[#This Row],[ActualAwayScore]] + Table2[[#This Row],[ActualHomeScore]] &gt;= 10, 1, 0)</f>
        <v>0</v>
      </c>
      <c r="AS701" s="2">
        <f>IF(ABS(Table2[[#This Row],[ActualAwayScore]]-Table2[[#This Row],[ActualHomeScore]])&gt;=5, 1, 0)</f>
        <v>0</v>
      </c>
      <c r="AT701" s="2">
        <f>IF(Table2[[#This Row],[ActualAwayScore]] + Table2[[#This Row],[ActualHomeScore]] &lt;= 3, 1, 0)</f>
        <v>1</v>
      </c>
      <c r="AU701" s="2"/>
      <c r="AV701" s="2"/>
    </row>
    <row r="702" spans="1:48" x14ac:dyDescent="0.25">
      <c r="A702" s="3"/>
      <c r="B702" s="3">
        <v>46032</v>
      </c>
      <c r="C702" s="5">
        <v>2025020700</v>
      </c>
      <c r="D702" s="2" t="s">
        <v>33</v>
      </c>
      <c r="E702" s="2" t="s">
        <v>37</v>
      </c>
      <c r="F702" s="2"/>
      <c r="G702" s="2"/>
      <c r="H702" s="2" t="str">
        <f t="shared" si="54"/>
        <v>_</v>
      </c>
      <c r="I702" s="2"/>
      <c r="J702" s="2"/>
      <c r="K702" s="2"/>
      <c r="L702" s="2" t="str">
        <f t="shared" si="55"/>
        <v>_</v>
      </c>
      <c r="M702" s="2"/>
      <c r="N702" s="2">
        <f>IF(ISBLANK(Table2[[#This Row],[ActualResult]]), 0, 1)</f>
        <v>0</v>
      </c>
      <c r="O702" s="2" t="str">
        <f>IF(ISBLANK(Table2[[#This Row],[ActualResult]]), "_", IF(Table2[[#This Row],[ActualWinner]]=Table2[[#This Row],[PredictedWinner]], "Y", "N"))</f>
        <v>_</v>
      </c>
      <c r="P7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2" s="2"/>
      <c r="S702" s="2" t="str">
        <f t="shared" si="56"/>
        <v>_</v>
      </c>
      <c r="T7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2" s="2">
        <f>IF(Table2[[#This Row],[InterConf]]=1,IF(Table2[[#This Row],[InterDiv]]=0, 1, 0), 0)</f>
        <v>1</v>
      </c>
      <c r="W7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2" s="2"/>
      <c r="Y702" s="2"/>
      <c r="Z702" s="145">
        <f>IF(AND(Table2[[#This Row],[GameIsOver]]=1,Table2[[#This Row],[ActualHomeScore]]*Table2[[#This Row],[ActualAwayScore]]=0), 1,0)</f>
        <v>0</v>
      </c>
      <c r="AA7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02" s="2">
        <f>Table2[[#This Row],[ActualAwayScore]]-Table2[[#This Row],[PredictedAwayScore]]</f>
        <v>0</v>
      </c>
      <c r="AG702" s="2">
        <f>Table2[[#This Row],[ActualHomeScore]]-Table2[[#This Row],[PredictedHomeScore]]</f>
        <v>0</v>
      </c>
      <c r="AH702" s="2">
        <f t="shared" si="57"/>
        <v>0</v>
      </c>
      <c r="AI702" s="2">
        <f t="shared" si="58"/>
        <v>0</v>
      </c>
      <c r="AJ702" s="2"/>
      <c r="AK702" s="3"/>
      <c r="AL702" s="2">
        <f>IF(Table2[[#This Row],[GameIsOver]]=0,0,IF(Table2[[#This Row],[ActualWinner]]=Table2[[#This Row],[AwayTeam]], 1, 0))</f>
        <v>0</v>
      </c>
      <c r="AM702" s="2">
        <f>IF(Table2[[#This Row],[GameIsOver]]=0,0,IF(Table2[[#This Row],[ActualWinner]]=Table2[[#This Row],[HomeTeam]], 1, 0))</f>
        <v>0</v>
      </c>
      <c r="AN7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2" s="2" t="str">
        <f>INDEX(Sheet5!$B$2:$AG$33, MATCH(Table2[[#This Row],[AwayTeam]],Sheet5!$A$2:$A$33, 0), MATCH(Table2[[#This Row],[HomeTeam]],Sheet5!$A$2:$A$33, 0))</f>
        <v>0-0-0</v>
      </c>
      <c r="AP702" s="2" t="str">
        <f>INDEX(Sheet5!$B$2:$AG$33, MATCH(Table2[[#This Row],[HomeTeam]],Sheet5!$A$2:$A$33, 0), MATCH(Table2[[#This Row],[AwayTeam]],Sheet5!$A$2:$A$33, 0))</f>
        <v>0-0-0</v>
      </c>
      <c r="AQ702" s="2">
        <f>IF(Table2[[#This Row],[GameHasShutOut]], 1, 0)</f>
        <v>0</v>
      </c>
      <c r="AR702" s="2">
        <f>IF(Table2[[#This Row],[ActualAwayScore]] + Table2[[#This Row],[ActualHomeScore]] &gt;= 10, 1, 0)</f>
        <v>0</v>
      </c>
      <c r="AS702" s="2">
        <f>IF(ABS(Table2[[#This Row],[ActualAwayScore]]-Table2[[#This Row],[ActualHomeScore]])&gt;=5, 1, 0)</f>
        <v>0</v>
      </c>
      <c r="AT702" s="2">
        <f>IF(Table2[[#This Row],[ActualAwayScore]] + Table2[[#This Row],[ActualHomeScore]] &lt;= 3, 1, 0)</f>
        <v>1</v>
      </c>
      <c r="AU702" s="2"/>
      <c r="AV702" s="2"/>
    </row>
    <row r="703" spans="1:48" x14ac:dyDescent="0.25">
      <c r="A703" s="3"/>
      <c r="B703" s="3">
        <v>46033</v>
      </c>
      <c r="C703" s="5">
        <v>2025020701</v>
      </c>
      <c r="D703" s="2" t="s">
        <v>44</v>
      </c>
      <c r="E703" s="2" t="s">
        <v>28</v>
      </c>
      <c r="F703" s="2"/>
      <c r="G703" s="2"/>
      <c r="H703" s="2" t="str">
        <f t="shared" si="54"/>
        <v>_</v>
      </c>
      <c r="I703" s="2"/>
      <c r="J703" s="2"/>
      <c r="K703" s="2"/>
      <c r="L703" s="2" t="str">
        <f t="shared" si="55"/>
        <v>_</v>
      </c>
      <c r="M703" s="2"/>
      <c r="N703" s="2">
        <f>IF(ISBLANK(Table2[[#This Row],[ActualResult]]), 0, 1)</f>
        <v>0</v>
      </c>
      <c r="O703" s="2" t="str">
        <f>IF(ISBLANK(Table2[[#This Row],[ActualResult]]), "_", IF(Table2[[#This Row],[ActualWinner]]=Table2[[#This Row],[PredictedWinner]], "Y", "N"))</f>
        <v>_</v>
      </c>
      <c r="P7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3" s="2"/>
      <c r="S703" s="2" t="str">
        <f t="shared" si="56"/>
        <v>_</v>
      </c>
      <c r="T7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3" s="2">
        <f>IF(Table2[[#This Row],[InterConf]]=1,IF(Table2[[#This Row],[InterDiv]]=0, 1, 0), 0)</f>
        <v>0</v>
      </c>
      <c r="W7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3" s="2"/>
      <c r="Y703" s="2"/>
      <c r="Z703" s="145">
        <f>IF(AND(Table2[[#This Row],[GameIsOver]]=1,Table2[[#This Row],[ActualHomeScore]]*Table2[[#This Row],[ActualAwayScore]]=0), 1,0)</f>
        <v>0</v>
      </c>
      <c r="AA7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3" s="2">
        <f>Table2[[#This Row],[ActualAwayScore]]-Table2[[#This Row],[PredictedAwayScore]]</f>
        <v>0</v>
      </c>
      <c r="AG703" s="2">
        <f>Table2[[#This Row],[ActualHomeScore]]-Table2[[#This Row],[PredictedHomeScore]]</f>
        <v>0</v>
      </c>
      <c r="AH703" s="2">
        <f t="shared" si="57"/>
        <v>0</v>
      </c>
      <c r="AI703" s="2">
        <f t="shared" si="58"/>
        <v>0</v>
      </c>
      <c r="AJ703" s="2"/>
      <c r="AK703" s="3"/>
      <c r="AL703" s="2">
        <f>IF(Table2[[#This Row],[GameIsOver]]=0,0,IF(Table2[[#This Row],[ActualWinner]]=Table2[[#This Row],[AwayTeam]], 1, 0))</f>
        <v>0</v>
      </c>
      <c r="AM703" s="2">
        <f>IF(Table2[[#This Row],[GameIsOver]]=0,0,IF(Table2[[#This Row],[ActualWinner]]=Table2[[#This Row],[HomeTeam]], 1, 0))</f>
        <v>0</v>
      </c>
      <c r="AN7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3" s="2" t="str">
        <f>INDEX(Sheet5!$B$2:$AG$33, MATCH(Table2[[#This Row],[AwayTeam]],Sheet5!$A$2:$A$33, 0), MATCH(Table2[[#This Row],[HomeTeam]],Sheet5!$A$2:$A$33, 0))</f>
        <v>0-0-0</v>
      </c>
      <c r="AP703" s="2" t="str">
        <f>INDEX(Sheet5!$B$2:$AG$33, MATCH(Table2[[#This Row],[HomeTeam]],Sheet5!$A$2:$A$33, 0), MATCH(Table2[[#This Row],[AwayTeam]],Sheet5!$A$2:$A$33, 0))</f>
        <v>0-0-0</v>
      </c>
      <c r="AQ703" s="2">
        <f>IF(Table2[[#This Row],[GameHasShutOut]], 1, 0)</f>
        <v>0</v>
      </c>
      <c r="AR703" s="2">
        <f>IF(Table2[[#This Row],[ActualAwayScore]] + Table2[[#This Row],[ActualHomeScore]] &gt;= 10, 1, 0)</f>
        <v>0</v>
      </c>
      <c r="AS703" s="2">
        <f>IF(ABS(Table2[[#This Row],[ActualAwayScore]]-Table2[[#This Row],[ActualHomeScore]])&gt;=5, 1, 0)</f>
        <v>0</v>
      </c>
      <c r="AT703" s="2">
        <f>IF(Table2[[#This Row],[ActualAwayScore]] + Table2[[#This Row],[ActualHomeScore]] &lt;= 3, 1, 0)</f>
        <v>1</v>
      </c>
      <c r="AU703" s="2"/>
      <c r="AV703" s="2"/>
    </row>
    <row r="704" spans="1:48" x14ac:dyDescent="0.25">
      <c r="A704" s="3"/>
      <c r="B704" s="3">
        <v>46033</v>
      </c>
      <c r="C704" s="5">
        <v>2025020702</v>
      </c>
      <c r="D704" s="2" t="s">
        <v>24</v>
      </c>
      <c r="E704" s="2" t="s">
        <v>17</v>
      </c>
      <c r="F704" s="2"/>
      <c r="G704" s="2"/>
      <c r="H704" s="2" t="str">
        <f t="shared" si="54"/>
        <v>_</v>
      </c>
      <c r="I704" s="2"/>
      <c r="J704" s="2"/>
      <c r="K704" s="2"/>
      <c r="L704" s="2" t="str">
        <f t="shared" si="55"/>
        <v>_</v>
      </c>
      <c r="M704" s="2"/>
      <c r="N704" s="2">
        <f>IF(ISBLANK(Table2[[#This Row],[ActualResult]]), 0, 1)</f>
        <v>0</v>
      </c>
      <c r="O704" s="2" t="str">
        <f>IF(ISBLANK(Table2[[#This Row],[ActualResult]]), "_", IF(Table2[[#This Row],[ActualWinner]]=Table2[[#This Row],[PredictedWinner]], "Y", "N"))</f>
        <v>_</v>
      </c>
      <c r="P7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4" s="2"/>
      <c r="S704" s="2" t="str">
        <f t="shared" si="56"/>
        <v>_</v>
      </c>
      <c r="T7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4" s="2">
        <f>IF(Table2[[#This Row],[InterConf]]=1,IF(Table2[[#This Row],[InterDiv]]=0, 1, 0), 0)</f>
        <v>0</v>
      </c>
      <c r="W7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4" s="2"/>
      <c r="Y704" s="2"/>
      <c r="Z704" s="145">
        <f>IF(AND(Table2[[#This Row],[GameIsOver]]=1,Table2[[#This Row],[ActualHomeScore]]*Table2[[#This Row],[ActualAwayScore]]=0), 1,0)</f>
        <v>0</v>
      </c>
      <c r="AA7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4" s="2">
        <f>Table2[[#This Row],[ActualAwayScore]]-Table2[[#This Row],[PredictedAwayScore]]</f>
        <v>0</v>
      </c>
      <c r="AG704" s="2">
        <f>Table2[[#This Row],[ActualHomeScore]]-Table2[[#This Row],[PredictedHomeScore]]</f>
        <v>0</v>
      </c>
      <c r="AH704" s="2">
        <f t="shared" si="57"/>
        <v>0</v>
      </c>
      <c r="AI704" s="2">
        <f t="shared" si="58"/>
        <v>0</v>
      </c>
      <c r="AJ704" s="2"/>
      <c r="AK704" s="3"/>
      <c r="AL704" s="2">
        <f>IF(Table2[[#This Row],[GameIsOver]]=0,0,IF(Table2[[#This Row],[ActualWinner]]=Table2[[#This Row],[AwayTeam]], 1, 0))</f>
        <v>0</v>
      </c>
      <c r="AM704" s="2">
        <f>IF(Table2[[#This Row],[GameIsOver]]=0,0,IF(Table2[[#This Row],[ActualWinner]]=Table2[[#This Row],[HomeTeam]], 1, 0))</f>
        <v>0</v>
      </c>
      <c r="AN7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4" s="2" t="str">
        <f>INDEX(Sheet5!$B$2:$AG$33, MATCH(Table2[[#This Row],[AwayTeam]],Sheet5!$A$2:$A$33, 0), MATCH(Table2[[#This Row],[HomeTeam]],Sheet5!$A$2:$A$33, 0))</f>
        <v>0-0-0</v>
      </c>
      <c r="AP704" s="2" t="str">
        <f>INDEX(Sheet5!$B$2:$AG$33, MATCH(Table2[[#This Row],[HomeTeam]],Sheet5!$A$2:$A$33, 0), MATCH(Table2[[#This Row],[AwayTeam]],Sheet5!$A$2:$A$33, 0))</f>
        <v>0-0-0</v>
      </c>
      <c r="AQ704" s="2">
        <f>IF(Table2[[#This Row],[GameHasShutOut]], 1, 0)</f>
        <v>0</v>
      </c>
      <c r="AR704" s="2">
        <f>IF(Table2[[#This Row],[ActualAwayScore]] + Table2[[#This Row],[ActualHomeScore]] &gt;= 10, 1, 0)</f>
        <v>0</v>
      </c>
      <c r="AS704" s="2">
        <f>IF(ABS(Table2[[#This Row],[ActualAwayScore]]-Table2[[#This Row],[ActualHomeScore]])&gt;=5, 1, 0)</f>
        <v>0</v>
      </c>
      <c r="AT704" s="2">
        <f>IF(Table2[[#This Row],[ActualAwayScore]] + Table2[[#This Row],[ActualHomeScore]] &lt;= 3, 1, 0)</f>
        <v>1</v>
      </c>
      <c r="AU704" s="2"/>
      <c r="AV704" s="2"/>
    </row>
    <row r="705" spans="1:48" x14ac:dyDescent="0.25">
      <c r="A705" s="3"/>
      <c r="B705" s="3">
        <v>46033</v>
      </c>
      <c r="C705" s="5">
        <v>2025020703</v>
      </c>
      <c r="D705" s="2" t="s">
        <v>30</v>
      </c>
      <c r="E705" s="2" t="s">
        <v>18</v>
      </c>
      <c r="F705" s="2"/>
      <c r="G705" s="2"/>
      <c r="H705" s="2" t="str">
        <f t="shared" si="54"/>
        <v>_</v>
      </c>
      <c r="I705" s="2"/>
      <c r="J705" s="2"/>
      <c r="K705" s="2"/>
      <c r="L705" s="2" t="str">
        <f t="shared" si="55"/>
        <v>_</v>
      </c>
      <c r="M705" s="2"/>
      <c r="N705" s="2">
        <f>IF(ISBLANK(Table2[[#This Row],[ActualResult]]), 0, 1)</f>
        <v>0</v>
      </c>
      <c r="O705" s="2" t="str">
        <f>IF(ISBLANK(Table2[[#This Row],[ActualResult]]), "_", IF(Table2[[#This Row],[ActualWinner]]=Table2[[#This Row],[PredictedWinner]], "Y", "N"))</f>
        <v>_</v>
      </c>
      <c r="P7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5" s="2"/>
      <c r="S705" s="2" t="str">
        <f t="shared" si="56"/>
        <v>_</v>
      </c>
      <c r="T7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05" s="2">
        <f>IF(Table2[[#This Row],[InterConf]]=1,IF(Table2[[#This Row],[InterDiv]]=0, 1, 0), 0)</f>
        <v>0</v>
      </c>
      <c r="W7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5" s="2"/>
      <c r="Y705" s="2"/>
      <c r="Z705" s="145">
        <f>IF(AND(Table2[[#This Row],[GameIsOver]]=1,Table2[[#This Row],[ActualHomeScore]]*Table2[[#This Row],[ActualAwayScore]]=0), 1,0)</f>
        <v>0</v>
      </c>
      <c r="AA7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5" s="2">
        <f>Table2[[#This Row],[ActualAwayScore]]-Table2[[#This Row],[PredictedAwayScore]]</f>
        <v>0</v>
      </c>
      <c r="AG705" s="2">
        <f>Table2[[#This Row],[ActualHomeScore]]-Table2[[#This Row],[PredictedHomeScore]]</f>
        <v>0</v>
      </c>
      <c r="AH705" s="2">
        <f t="shared" si="57"/>
        <v>0</v>
      </c>
      <c r="AI705" s="2">
        <f t="shared" si="58"/>
        <v>0</v>
      </c>
      <c r="AJ705" s="2"/>
      <c r="AK705" s="3"/>
      <c r="AL705" s="2">
        <f>IF(Table2[[#This Row],[GameIsOver]]=0,0,IF(Table2[[#This Row],[ActualWinner]]=Table2[[#This Row],[AwayTeam]], 1, 0))</f>
        <v>0</v>
      </c>
      <c r="AM705" s="2">
        <f>IF(Table2[[#This Row],[GameIsOver]]=0,0,IF(Table2[[#This Row],[ActualWinner]]=Table2[[#This Row],[HomeTeam]], 1, 0))</f>
        <v>0</v>
      </c>
      <c r="AN7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5" s="2" t="str">
        <f>INDEX(Sheet5!$B$2:$AG$33, MATCH(Table2[[#This Row],[AwayTeam]],Sheet5!$A$2:$A$33, 0), MATCH(Table2[[#This Row],[HomeTeam]],Sheet5!$A$2:$A$33, 0))</f>
        <v>0-1-0</v>
      </c>
      <c r="AP705" s="2" t="str">
        <f>INDEX(Sheet5!$B$2:$AG$33, MATCH(Table2[[#This Row],[HomeTeam]],Sheet5!$A$2:$A$33, 0), MATCH(Table2[[#This Row],[AwayTeam]],Sheet5!$A$2:$A$33, 0))</f>
        <v>1-0-0</v>
      </c>
      <c r="AQ705" s="2">
        <f>IF(Table2[[#This Row],[GameHasShutOut]], 1, 0)</f>
        <v>0</v>
      </c>
      <c r="AR705" s="2">
        <f>IF(Table2[[#This Row],[ActualAwayScore]] + Table2[[#This Row],[ActualHomeScore]] &gt;= 10, 1, 0)</f>
        <v>0</v>
      </c>
      <c r="AS705" s="2">
        <f>IF(ABS(Table2[[#This Row],[ActualAwayScore]]-Table2[[#This Row],[ActualHomeScore]])&gt;=5, 1, 0)</f>
        <v>0</v>
      </c>
      <c r="AT705" s="2">
        <f>IF(Table2[[#This Row],[ActualAwayScore]] + Table2[[#This Row],[ActualHomeScore]] &lt;= 3, 1, 0)</f>
        <v>1</v>
      </c>
      <c r="AU705" s="2"/>
      <c r="AV705" s="2"/>
    </row>
    <row r="706" spans="1:48" x14ac:dyDescent="0.25">
      <c r="A706" s="3"/>
      <c r="B706" s="3">
        <v>46033</v>
      </c>
      <c r="C706" s="5">
        <v>2025020704</v>
      </c>
      <c r="D706" s="2" t="s">
        <v>13</v>
      </c>
      <c r="E706" s="2" t="s">
        <v>29</v>
      </c>
      <c r="F706" s="2"/>
      <c r="G706" s="2"/>
      <c r="H706" s="2" t="str">
        <f t="shared" si="54"/>
        <v>_</v>
      </c>
      <c r="I706" s="2"/>
      <c r="J706" s="2"/>
      <c r="K706" s="2"/>
      <c r="L706" s="2" t="str">
        <f t="shared" si="55"/>
        <v>_</v>
      </c>
      <c r="M706" s="2"/>
      <c r="N706" s="2">
        <f>IF(ISBLANK(Table2[[#This Row],[ActualResult]]), 0, 1)</f>
        <v>0</v>
      </c>
      <c r="O706" s="2" t="str">
        <f>IF(ISBLANK(Table2[[#This Row],[ActualResult]]), "_", IF(Table2[[#This Row],[ActualWinner]]=Table2[[#This Row],[PredictedWinner]], "Y", "N"))</f>
        <v>_</v>
      </c>
      <c r="P7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6" s="2"/>
      <c r="S706" s="2" t="str">
        <f t="shared" si="56"/>
        <v>_</v>
      </c>
      <c r="T7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06" s="2">
        <f>IF(Table2[[#This Row],[InterConf]]=1,IF(Table2[[#This Row],[InterDiv]]=0, 1, 0), 0)</f>
        <v>0</v>
      </c>
      <c r="W7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6" s="2"/>
      <c r="Y706" s="2"/>
      <c r="Z706" s="145">
        <f>IF(AND(Table2[[#This Row],[GameIsOver]]=1,Table2[[#This Row],[ActualHomeScore]]*Table2[[#This Row],[ActualAwayScore]]=0), 1,0)</f>
        <v>0</v>
      </c>
      <c r="AA7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6" s="2">
        <f>Table2[[#This Row],[ActualAwayScore]]-Table2[[#This Row],[PredictedAwayScore]]</f>
        <v>0</v>
      </c>
      <c r="AG706" s="2">
        <f>Table2[[#This Row],[ActualHomeScore]]-Table2[[#This Row],[PredictedHomeScore]]</f>
        <v>0</v>
      </c>
      <c r="AH706" s="2">
        <f t="shared" si="57"/>
        <v>0</v>
      </c>
      <c r="AI706" s="2">
        <f t="shared" si="58"/>
        <v>0</v>
      </c>
      <c r="AJ706" s="2"/>
      <c r="AK706" s="3"/>
      <c r="AL706" s="2">
        <f>IF(Table2[[#This Row],[GameIsOver]]=0,0,IF(Table2[[#This Row],[ActualWinner]]=Table2[[#This Row],[AwayTeam]], 1, 0))</f>
        <v>0</v>
      </c>
      <c r="AM706" s="2">
        <f>IF(Table2[[#This Row],[GameIsOver]]=0,0,IF(Table2[[#This Row],[ActualWinner]]=Table2[[#This Row],[HomeTeam]], 1, 0))</f>
        <v>0</v>
      </c>
      <c r="AN7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6" s="2" t="str">
        <f>INDEX(Sheet5!$B$2:$AG$33, MATCH(Table2[[#This Row],[AwayTeam]],Sheet5!$A$2:$A$33, 0), MATCH(Table2[[#This Row],[HomeTeam]],Sheet5!$A$2:$A$33, 0))</f>
        <v>1-0-0</v>
      </c>
      <c r="AP706" s="2" t="str">
        <f>INDEX(Sheet5!$B$2:$AG$33, MATCH(Table2[[#This Row],[HomeTeam]],Sheet5!$A$2:$A$33, 0), MATCH(Table2[[#This Row],[AwayTeam]],Sheet5!$A$2:$A$33, 0))</f>
        <v>0-1-0</v>
      </c>
      <c r="AQ706" s="2">
        <f>IF(Table2[[#This Row],[GameHasShutOut]], 1, 0)</f>
        <v>0</v>
      </c>
      <c r="AR706" s="2">
        <f>IF(Table2[[#This Row],[ActualAwayScore]] + Table2[[#This Row],[ActualHomeScore]] &gt;= 10, 1, 0)</f>
        <v>0</v>
      </c>
      <c r="AS706" s="2">
        <f>IF(ABS(Table2[[#This Row],[ActualAwayScore]]-Table2[[#This Row],[ActualHomeScore]])&gt;=5, 1, 0)</f>
        <v>0</v>
      </c>
      <c r="AT706" s="2">
        <f>IF(Table2[[#This Row],[ActualAwayScore]] + Table2[[#This Row],[ActualHomeScore]] &lt;= 3, 1, 0)</f>
        <v>1</v>
      </c>
      <c r="AU706" s="2"/>
      <c r="AV706" s="2"/>
    </row>
    <row r="707" spans="1:48" x14ac:dyDescent="0.25">
      <c r="A707" s="3"/>
      <c r="B707" s="3">
        <v>46033</v>
      </c>
      <c r="C707" s="5">
        <v>2025020705</v>
      </c>
      <c r="D707" s="2" t="s">
        <v>40</v>
      </c>
      <c r="E707" s="2" t="s">
        <v>42</v>
      </c>
      <c r="F707" s="2"/>
      <c r="G707" s="2"/>
      <c r="H707" s="2" t="str">
        <f t="shared" ref="H707:H770" si="59">IF(AND(ISBLANK($F707),ISBLANK($G707)),"_",IF($F707&gt;$G707,$D707,$E707))</f>
        <v>_</v>
      </c>
      <c r="I707" s="2"/>
      <c r="J707" s="2"/>
      <c r="K707" s="2"/>
      <c r="L707" s="2" t="str">
        <f t="shared" ref="L707:L770" si="60">IF(OR($J707=$K707,AND(ISBLANK($J707),ISBLANK($K707))),"_",IF($J707&gt;$K707,$D707,$E707))</f>
        <v>_</v>
      </c>
      <c r="M707" s="2"/>
      <c r="N707" s="2">
        <f>IF(ISBLANK(Table2[[#This Row],[ActualResult]]), 0, 1)</f>
        <v>0</v>
      </c>
      <c r="O707" s="2" t="str">
        <f>IF(ISBLANK(Table2[[#This Row],[ActualResult]]), "_", IF(Table2[[#This Row],[ActualWinner]]=Table2[[#This Row],[PredictedWinner]], "Y", "N"))</f>
        <v>_</v>
      </c>
      <c r="P7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7" s="2"/>
      <c r="S707" s="2" t="str">
        <f t="shared" ref="S707:S770" si="61">IF($L707="_", "_", IF($L707=$D707,$E707,$D707))</f>
        <v>_</v>
      </c>
      <c r="T7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7" s="2">
        <f>IF(Table2[[#This Row],[InterConf]]=1,IF(Table2[[#This Row],[InterDiv]]=0, 1, 0), 0)</f>
        <v>1</v>
      </c>
      <c r="W7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7" s="2"/>
      <c r="Y707" s="2"/>
      <c r="Z707" s="145">
        <f>IF(AND(Table2[[#This Row],[GameIsOver]]=1,Table2[[#This Row],[ActualHomeScore]]*Table2[[#This Row],[ActualAwayScore]]=0), 1,0)</f>
        <v>0</v>
      </c>
      <c r="AA7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7" s="2">
        <f>Table2[[#This Row],[ActualAwayScore]]-Table2[[#This Row],[PredictedAwayScore]]</f>
        <v>0</v>
      </c>
      <c r="AG707" s="2">
        <f>Table2[[#This Row],[ActualHomeScore]]-Table2[[#This Row],[PredictedHomeScore]]</f>
        <v>0</v>
      </c>
      <c r="AH707" s="2">
        <f t="shared" ref="AH707:AH770" si="62">SUMIF($B$3:$B$1315, $B707, $AF$3:$AF$1315)</f>
        <v>0</v>
      </c>
      <c r="AI707" s="2">
        <f t="shared" ref="AI707:AI770" si="63">SUMIF($B$3:$B$1315, $B707, $AG$3:$AG$1315)</f>
        <v>0</v>
      </c>
      <c r="AJ707" s="2"/>
      <c r="AK707" s="3"/>
      <c r="AL707" s="2">
        <f>IF(Table2[[#This Row],[GameIsOver]]=0,0,IF(Table2[[#This Row],[ActualWinner]]=Table2[[#This Row],[AwayTeam]], 1, 0))</f>
        <v>0</v>
      </c>
      <c r="AM707" s="2">
        <f>IF(Table2[[#This Row],[GameIsOver]]=0,0,IF(Table2[[#This Row],[ActualWinner]]=Table2[[#This Row],[HomeTeam]], 1, 0))</f>
        <v>0</v>
      </c>
      <c r="AN7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7" s="2" t="str">
        <f>INDEX(Sheet5!$B$2:$AG$33, MATCH(Table2[[#This Row],[AwayTeam]],Sheet5!$A$2:$A$33, 0), MATCH(Table2[[#This Row],[HomeTeam]],Sheet5!$A$2:$A$33, 0))</f>
        <v>0-0-0</v>
      </c>
      <c r="AP707" s="2" t="str">
        <f>INDEX(Sheet5!$B$2:$AG$33, MATCH(Table2[[#This Row],[HomeTeam]],Sheet5!$A$2:$A$33, 0), MATCH(Table2[[#This Row],[AwayTeam]],Sheet5!$A$2:$A$33, 0))</f>
        <v>0-0-0</v>
      </c>
      <c r="AQ707" s="2">
        <f>IF(Table2[[#This Row],[GameHasShutOut]], 1, 0)</f>
        <v>0</v>
      </c>
      <c r="AR707" s="2">
        <f>IF(Table2[[#This Row],[ActualAwayScore]] + Table2[[#This Row],[ActualHomeScore]] &gt;= 10, 1, 0)</f>
        <v>0</v>
      </c>
      <c r="AS707" s="2">
        <f>IF(ABS(Table2[[#This Row],[ActualAwayScore]]-Table2[[#This Row],[ActualHomeScore]])&gt;=5, 1, 0)</f>
        <v>0</v>
      </c>
      <c r="AT707" s="2">
        <f>IF(Table2[[#This Row],[ActualAwayScore]] + Table2[[#This Row],[ActualHomeScore]] &lt;= 3, 1, 0)</f>
        <v>1</v>
      </c>
      <c r="AU707" s="2"/>
      <c r="AV707" s="2"/>
    </row>
    <row r="708" spans="1:48" x14ac:dyDescent="0.25">
      <c r="A708" s="3"/>
      <c r="B708" s="3">
        <v>46033</v>
      </c>
      <c r="C708" s="5">
        <v>2025020706</v>
      </c>
      <c r="D708" s="2" t="s">
        <v>11</v>
      </c>
      <c r="E708" s="2" t="s">
        <v>41</v>
      </c>
      <c r="F708" s="2"/>
      <c r="G708" s="2"/>
      <c r="H708" s="2" t="str">
        <f t="shared" si="59"/>
        <v>_</v>
      </c>
      <c r="I708" s="2"/>
      <c r="J708" s="2"/>
      <c r="K708" s="2"/>
      <c r="L708" s="2" t="str">
        <f t="shared" si="60"/>
        <v>_</v>
      </c>
      <c r="M708" s="2"/>
      <c r="N708" s="2">
        <f>IF(ISBLANK(Table2[[#This Row],[ActualResult]]), 0, 1)</f>
        <v>0</v>
      </c>
      <c r="O708" s="2" t="str">
        <f>IF(ISBLANK(Table2[[#This Row],[ActualResult]]), "_", IF(Table2[[#This Row],[ActualWinner]]=Table2[[#This Row],[PredictedWinner]], "Y", "N"))</f>
        <v>_</v>
      </c>
      <c r="P7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8" s="2"/>
      <c r="S708" s="2" t="str">
        <f t="shared" si="61"/>
        <v>_</v>
      </c>
      <c r="T7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8" s="2">
        <f>IF(Table2[[#This Row],[InterConf]]=1,IF(Table2[[#This Row],[InterDiv]]=0, 1, 0), 0)</f>
        <v>0</v>
      </c>
      <c r="W7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8" s="2"/>
      <c r="Y708" s="2"/>
      <c r="Z708" s="145">
        <f>IF(AND(Table2[[#This Row],[GameIsOver]]=1,Table2[[#This Row],[ActualHomeScore]]*Table2[[#This Row],[ActualAwayScore]]=0), 1,0)</f>
        <v>0</v>
      </c>
      <c r="AA7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8" s="2">
        <f>Table2[[#This Row],[ActualAwayScore]]-Table2[[#This Row],[PredictedAwayScore]]</f>
        <v>0</v>
      </c>
      <c r="AG708" s="2">
        <f>Table2[[#This Row],[ActualHomeScore]]-Table2[[#This Row],[PredictedHomeScore]]</f>
        <v>0</v>
      </c>
      <c r="AH708" s="2">
        <f t="shared" si="62"/>
        <v>0</v>
      </c>
      <c r="AI708" s="2">
        <f t="shared" si="63"/>
        <v>0</v>
      </c>
      <c r="AJ708" s="2"/>
      <c r="AK708" s="3"/>
      <c r="AL708" s="2">
        <f>IF(Table2[[#This Row],[GameIsOver]]=0,0,IF(Table2[[#This Row],[ActualWinner]]=Table2[[#This Row],[AwayTeam]], 1, 0))</f>
        <v>0</v>
      </c>
      <c r="AM708" s="2">
        <f>IF(Table2[[#This Row],[GameIsOver]]=0,0,IF(Table2[[#This Row],[ActualWinner]]=Table2[[#This Row],[HomeTeam]], 1, 0))</f>
        <v>0</v>
      </c>
      <c r="AN7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8" s="2" t="str">
        <f>INDEX(Sheet5!$B$2:$AG$33, MATCH(Table2[[#This Row],[AwayTeam]],Sheet5!$A$2:$A$33, 0), MATCH(Table2[[#This Row],[HomeTeam]],Sheet5!$A$2:$A$33, 0))</f>
        <v>0-0-0</v>
      </c>
      <c r="AP708" s="2" t="str">
        <f>INDEX(Sheet5!$B$2:$AG$33, MATCH(Table2[[#This Row],[HomeTeam]],Sheet5!$A$2:$A$33, 0), MATCH(Table2[[#This Row],[AwayTeam]],Sheet5!$A$2:$A$33, 0))</f>
        <v>0-0-0</v>
      </c>
      <c r="AQ708" s="2">
        <f>IF(Table2[[#This Row],[GameHasShutOut]], 1, 0)</f>
        <v>0</v>
      </c>
      <c r="AR708" s="2">
        <f>IF(Table2[[#This Row],[ActualAwayScore]] + Table2[[#This Row],[ActualHomeScore]] &gt;= 10, 1, 0)</f>
        <v>0</v>
      </c>
      <c r="AS708" s="2">
        <f>IF(ABS(Table2[[#This Row],[ActualAwayScore]]-Table2[[#This Row],[ActualHomeScore]])&gt;=5, 1, 0)</f>
        <v>0</v>
      </c>
      <c r="AT708" s="2">
        <f>IF(Table2[[#This Row],[ActualAwayScore]] + Table2[[#This Row],[ActualHomeScore]] &lt;= 3, 1, 0)</f>
        <v>1</v>
      </c>
      <c r="AU708" s="2"/>
      <c r="AV708" s="2"/>
    </row>
    <row r="709" spans="1:48" x14ac:dyDescent="0.25">
      <c r="A709" s="3"/>
      <c r="B709" s="3">
        <v>46033</v>
      </c>
      <c r="C709" s="5">
        <v>2025020707</v>
      </c>
      <c r="D709" s="2" t="s">
        <v>16</v>
      </c>
      <c r="E709" s="2" t="s">
        <v>34</v>
      </c>
      <c r="F709" s="2"/>
      <c r="G709" s="2"/>
      <c r="H709" s="2" t="str">
        <f t="shared" si="59"/>
        <v>_</v>
      </c>
      <c r="I709" s="2"/>
      <c r="J709" s="2"/>
      <c r="K709" s="2"/>
      <c r="L709" s="2" t="str">
        <f t="shared" si="60"/>
        <v>_</v>
      </c>
      <c r="M709" s="2"/>
      <c r="N709" s="2">
        <f>IF(ISBLANK(Table2[[#This Row],[ActualResult]]), 0, 1)</f>
        <v>0</v>
      </c>
      <c r="O709" s="2" t="str">
        <f>IF(ISBLANK(Table2[[#This Row],[ActualResult]]), "_", IF(Table2[[#This Row],[ActualWinner]]=Table2[[#This Row],[PredictedWinner]], "Y", "N"))</f>
        <v>_</v>
      </c>
      <c r="P7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9" s="2"/>
      <c r="S709" s="2" t="str">
        <f t="shared" si="61"/>
        <v>_</v>
      </c>
      <c r="T7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09" s="2">
        <f>IF(Table2[[#This Row],[InterConf]]=1,IF(Table2[[#This Row],[InterDiv]]=0, 1, 0), 0)</f>
        <v>0</v>
      </c>
      <c r="W7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9" s="2"/>
      <c r="Y709" s="2"/>
      <c r="Z709" s="145">
        <f>IF(AND(Table2[[#This Row],[GameIsOver]]=1,Table2[[#This Row],[ActualHomeScore]]*Table2[[#This Row],[ActualAwayScore]]=0), 1,0)</f>
        <v>0</v>
      </c>
      <c r="AA7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9" s="2">
        <f>Table2[[#This Row],[ActualAwayScore]]-Table2[[#This Row],[PredictedAwayScore]]</f>
        <v>0</v>
      </c>
      <c r="AG709" s="2">
        <f>Table2[[#This Row],[ActualHomeScore]]-Table2[[#This Row],[PredictedHomeScore]]</f>
        <v>0</v>
      </c>
      <c r="AH709" s="2">
        <f t="shared" si="62"/>
        <v>0</v>
      </c>
      <c r="AI709" s="2">
        <f t="shared" si="63"/>
        <v>0</v>
      </c>
      <c r="AJ709" s="2"/>
      <c r="AK709" s="3"/>
      <c r="AL709" s="2">
        <f>IF(Table2[[#This Row],[GameIsOver]]=0,0,IF(Table2[[#This Row],[ActualWinner]]=Table2[[#This Row],[AwayTeam]], 1, 0))</f>
        <v>0</v>
      </c>
      <c r="AM709" s="2">
        <f>IF(Table2[[#This Row],[GameIsOver]]=0,0,IF(Table2[[#This Row],[ActualWinner]]=Table2[[#This Row],[HomeTeam]], 1, 0))</f>
        <v>0</v>
      </c>
      <c r="AN7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9" s="2" t="str">
        <f>INDEX(Sheet5!$B$2:$AG$33, MATCH(Table2[[#This Row],[AwayTeam]],Sheet5!$A$2:$A$33, 0), MATCH(Table2[[#This Row],[HomeTeam]],Sheet5!$A$2:$A$33, 0))</f>
        <v>0-0-0</v>
      </c>
      <c r="AP709" s="2" t="str">
        <f>INDEX(Sheet5!$B$2:$AG$33, MATCH(Table2[[#This Row],[HomeTeam]],Sheet5!$A$2:$A$33, 0), MATCH(Table2[[#This Row],[AwayTeam]],Sheet5!$A$2:$A$33, 0))</f>
        <v>0-0-0</v>
      </c>
      <c r="AQ709" s="2">
        <f>IF(Table2[[#This Row],[GameHasShutOut]], 1, 0)</f>
        <v>0</v>
      </c>
      <c r="AR709" s="2">
        <f>IF(Table2[[#This Row],[ActualAwayScore]] + Table2[[#This Row],[ActualHomeScore]] &gt;= 10, 1, 0)</f>
        <v>0</v>
      </c>
      <c r="AS709" s="2">
        <f>IF(ABS(Table2[[#This Row],[ActualAwayScore]]-Table2[[#This Row],[ActualHomeScore]])&gt;=5, 1, 0)</f>
        <v>0</v>
      </c>
      <c r="AT709" s="2">
        <f>IF(Table2[[#This Row],[ActualAwayScore]] + Table2[[#This Row],[ActualHomeScore]] &lt;= 3, 1, 0)</f>
        <v>1</v>
      </c>
      <c r="AU709" s="2"/>
      <c r="AV709" s="2"/>
    </row>
    <row r="710" spans="1:48" x14ac:dyDescent="0.25">
      <c r="A710" s="3"/>
      <c r="B710" s="3">
        <v>46033</v>
      </c>
      <c r="C710" s="5">
        <v>2025020708</v>
      </c>
      <c r="D710" s="2" t="s">
        <v>32</v>
      </c>
      <c r="E710" s="2" t="s">
        <v>36</v>
      </c>
      <c r="F710" s="2"/>
      <c r="G710" s="2"/>
      <c r="H710" s="2" t="str">
        <f t="shared" si="59"/>
        <v>_</v>
      </c>
      <c r="I710" s="2"/>
      <c r="J710" s="2"/>
      <c r="K710" s="2"/>
      <c r="L710" s="2" t="str">
        <f t="shared" si="60"/>
        <v>_</v>
      </c>
      <c r="M710" s="2"/>
      <c r="N710" s="2">
        <f>IF(ISBLANK(Table2[[#This Row],[ActualResult]]), 0, 1)</f>
        <v>0</v>
      </c>
      <c r="O710" s="2" t="str">
        <f>IF(ISBLANK(Table2[[#This Row],[ActualResult]]), "_", IF(Table2[[#This Row],[ActualWinner]]=Table2[[#This Row],[PredictedWinner]], "Y", "N"))</f>
        <v>_</v>
      </c>
      <c r="P7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0" s="2"/>
      <c r="S710" s="2" t="str">
        <f t="shared" si="61"/>
        <v>_</v>
      </c>
      <c r="T7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0" s="2">
        <f>IF(Table2[[#This Row],[InterConf]]=1,IF(Table2[[#This Row],[InterDiv]]=0, 1, 0), 0)</f>
        <v>0</v>
      </c>
      <c r="W7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0" s="2"/>
      <c r="Y710" s="2"/>
      <c r="Z710" s="145">
        <f>IF(AND(Table2[[#This Row],[GameIsOver]]=1,Table2[[#This Row],[ActualHomeScore]]*Table2[[#This Row],[ActualAwayScore]]=0), 1,0)</f>
        <v>0</v>
      </c>
      <c r="AA7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0" s="2">
        <f>Table2[[#This Row],[ActualAwayScore]]-Table2[[#This Row],[PredictedAwayScore]]</f>
        <v>0</v>
      </c>
      <c r="AG710" s="2">
        <f>Table2[[#This Row],[ActualHomeScore]]-Table2[[#This Row],[PredictedHomeScore]]</f>
        <v>0</v>
      </c>
      <c r="AH710" s="2">
        <f t="shared" si="62"/>
        <v>0</v>
      </c>
      <c r="AI710" s="2">
        <f t="shared" si="63"/>
        <v>0</v>
      </c>
      <c r="AJ710" s="2"/>
      <c r="AK710" s="3"/>
      <c r="AL710" s="2">
        <f>IF(Table2[[#This Row],[GameIsOver]]=0,0,IF(Table2[[#This Row],[ActualWinner]]=Table2[[#This Row],[AwayTeam]], 1, 0))</f>
        <v>0</v>
      </c>
      <c r="AM710" s="2">
        <f>IF(Table2[[#This Row],[GameIsOver]]=0,0,IF(Table2[[#This Row],[ActualWinner]]=Table2[[#This Row],[HomeTeam]], 1, 0))</f>
        <v>0</v>
      </c>
      <c r="AN7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0" s="2" t="str">
        <f>INDEX(Sheet5!$B$2:$AG$33, MATCH(Table2[[#This Row],[AwayTeam]],Sheet5!$A$2:$A$33, 0), MATCH(Table2[[#This Row],[HomeTeam]],Sheet5!$A$2:$A$33, 0))</f>
        <v>0-0-0</v>
      </c>
      <c r="AP710" s="2" t="str">
        <f>INDEX(Sheet5!$B$2:$AG$33, MATCH(Table2[[#This Row],[HomeTeam]],Sheet5!$A$2:$A$33, 0), MATCH(Table2[[#This Row],[AwayTeam]],Sheet5!$A$2:$A$33, 0))</f>
        <v>0-0-0</v>
      </c>
      <c r="AQ710" s="2">
        <f>IF(Table2[[#This Row],[GameHasShutOut]], 1, 0)</f>
        <v>0</v>
      </c>
      <c r="AR710" s="2">
        <f>IF(Table2[[#This Row],[ActualAwayScore]] + Table2[[#This Row],[ActualHomeScore]] &gt;= 10, 1, 0)</f>
        <v>0</v>
      </c>
      <c r="AS710" s="2">
        <f>IF(ABS(Table2[[#This Row],[ActualAwayScore]]-Table2[[#This Row],[ActualHomeScore]])&gt;=5, 1, 0)</f>
        <v>0</v>
      </c>
      <c r="AT710" s="2">
        <f>IF(Table2[[#This Row],[ActualAwayScore]] + Table2[[#This Row],[ActualHomeScore]] &lt;= 3, 1, 0)</f>
        <v>1</v>
      </c>
      <c r="AU710" s="2"/>
      <c r="AV710" s="2"/>
    </row>
    <row r="711" spans="1:48" x14ac:dyDescent="0.25">
      <c r="A711" s="3"/>
      <c r="B711" s="3">
        <v>46033</v>
      </c>
      <c r="C711" s="5">
        <v>2025020709</v>
      </c>
      <c r="D711" s="2" t="s">
        <v>27</v>
      </c>
      <c r="E711" s="2" t="s">
        <v>22</v>
      </c>
      <c r="F711" s="2"/>
      <c r="G711" s="2"/>
      <c r="H711" s="2" t="str">
        <f t="shared" si="59"/>
        <v>_</v>
      </c>
      <c r="I711" s="2"/>
      <c r="J711" s="2"/>
      <c r="K711" s="2"/>
      <c r="L711" s="2" t="str">
        <f t="shared" si="60"/>
        <v>_</v>
      </c>
      <c r="M711" s="2"/>
      <c r="N711" s="2">
        <f>IF(ISBLANK(Table2[[#This Row],[ActualResult]]), 0, 1)</f>
        <v>0</v>
      </c>
      <c r="O711" s="2" t="str">
        <f>IF(ISBLANK(Table2[[#This Row],[ActualResult]]), "_", IF(Table2[[#This Row],[ActualWinner]]=Table2[[#This Row],[PredictedWinner]], "Y", "N"))</f>
        <v>_</v>
      </c>
      <c r="P7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1" s="2"/>
      <c r="S711" s="2" t="str">
        <f t="shared" si="61"/>
        <v>_</v>
      </c>
      <c r="T7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11" s="2">
        <f>IF(Table2[[#This Row],[InterConf]]=1,IF(Table2[[#This Row],[InterDiv]]=0, 1, 0), 0)</f>
        <v>0</v>
      </c>
      <c r="W7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1" s="2"/>
      <c r="Y711" s="2"/>
      <c r="Z711" s="145">
        <f>IF(AND(Table2[[#This Row],[GameIsOver]]=1,Table2[[#This Row],[ActualHomeScore]]*Table2[[#This Row],[ActualAwayScore]]=0), 1,0)</f>
        <v>0</v>
      </c>
      <c r="AA7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1" s="2">
        <f>Table2[[#This Row],[ActualAwayScore]]-Table2[[#This Row],[PredictedAwayScore]]</f>
        <v>0</v>
      </c>
      <c r="AG711" s="2">
        <f>Table2[[#This Row],[ActualHomeScore]]-Table2[[#This Row],[PredictedHomeScore]]</f>
        <v>0</v>
      </c>
      <c r="AH711" s="2">
        <f t="shared" si="62"/>
        <v>0</v>
      </c>
      <c r="AI711" s="2">
        <f t="shared" si="63"/>
        <v>0</v>
      </c>
      <c r="AJ711" s="2"/>
      <c r="AK711" s="3"/>
      <c r="AL711" s="2">
        <f>IF(Table2[[#This Row],[GameIsOver]]=0,0,IF(Table2[[#This Row],[ActualWinner]]=Table2[[#This Row],[AwayTeam]], 1, 0))</f>
        <v>0</v>
      </c>
      <c r="AM711" s="2">
        <f>IF(Table2[[#This Row],[GameIsOver]]=0,0,IF(Table2[[#This Row],[ActualWinner]]=Table2[[#This Row],[HomeTeam]], 1, 0))</f>
        <v>0</v>
      </c>
      <c r="AN711" s="2">
        <f>IF(IFERROR(FIND(Table2[[#This Row],[AwayTeam]], _xlfn.TEXTJOIN(";", 1, $BD$31:$BD$40)), 0) &gt; 0, 1, 0) + IF(IFERROR(FIND(Table2[[#This Row],[HomeTeam]], _xlfn.TEXTJOIN(";", 1, $BD$31:$BD$40)), 0) &gt; 0, 1, 0)</f>
        <v>1</v>
      </c>
      <c r="AO711" s="2" t="str">
        <f>INDEX(Sheet5!$B$2:$AG$33, MATCH(Table2[[#This Row],[AwayTeam]],Sheet5!$A$2:$A$33, 0), MATCH(Table2[[#This Row],[HomeTeam]],Sheet5!$A$2:$A$33, 0))</f>
        <v>0-0-0</v>
      </c>
      <c r="AP711" s="2" t="str">
        <f>INDEX(Sheet5!$B$2:$AG$33, MATCH(Table2[[#This Row],[HomeTeam]],Sheet5!$A$2:$A$33, 0), MATCH(Table2[[#This Row],[AwayTeam]],Sheet5!$A$2:$A$33, 0))</f>
        <v>0-0-0</v>
      </c>
      <c r="AQ711" s="2">
        <f>IF(Table2[[#This Row],[GameHasShutOut]], 1, 0)</f>
        <v>0</v>
      </c>
      <c r="AR711" s="2">
        <f>IF(Table2[[#This Row],[ActualAwayScore]] + Table2[[#This Row],[ActualHomeScore]] &gt;= 10, 1, 0)</f>
        <v>0</v>
      </c>
      <c r="AS711" s="2">
        <f>IF(ABS(Table2[[#This Row],[ActualAwayScore]]-Table2[[#This Row],[ActualHomeScore]])&gt;=5, 1, 0)</f>
        <v>0</v>
      </c>
      <c r="AT711" s="2">
        <f>IF(Table2[[#This Row],[ActualAwayScore]] + Table2[[#This Row],[ActualHomeScore]] &lt;= 3, 1, 0)</f>
        <v>1</v>
      </c>
      <c r="AU711" s="2"/>
      <c r="AV711" s="2"/>
    </row>
    <row r="712" spans="1:48" x14ac:dyDescent="0.25">
      <c r="A712" s="3"/>
      <c r="B712" s="3">
        <v>46033</v>
      </c>
      <c r="C712" s="5">
        <v>2025020710</v>
      </c>
      <c r="D712" s="2" t="s">
        <v>12</v>
      </c>
      <c r="E712" s="2" t="s">
        <v>26</v>
      </c>
      <c r="F712" s="2"/>
      <c r="G712" s="2"/>
      <c r="H712" s="2" t="str">
        <f t="shared" si="59"/>
        <v>_</v>
      </c>
      <c r="I712" s="2"/>
      <c r="J712" s="2"/>
      <c r="K712" s="2"/>
      <c r="L712" s="2" t="str">
        <f t="shared" si="60"/>
        <v>_</v>
      </c>
      <c r="M712" s="2"/>
      <c r="N712" s="2">
        <f>IF(ISBLANK(Table2[[#This Row],[ActualResult]]), 0, 1)</f>
        <v>0</v>
      </c>
      <c r="O712" s="2" t="str">
        <f>IF(ISBLANK(Table2[[#This Row],[ActualResult]]), "_", IF(Table2[[#This Row],[ActualWinner]]=Table2[[#This Row],[PredictedWinner]], "Y", "N"))</f>
        <v>_</v>
      </c>
      <c r="P7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2" s="2"/>
      <c r="S712" s="2" t="str">
        <f t="shared" si="61"/>
        <v>_</v>
      </c>
      <c r="T7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2" s="2">
        <f>IF(Table2[[#This Row],[InterConf]]=1,IF(Table2[[#This Row],[InterDiv]]=0, 1, 0), 0)</f>
        <v>1</v>
      </c>
      <c r="W7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2" s="2"/>
      <c r="Y712" s="2"/>
      <c r="Z712" s="145">
        <f>IF(AND(Table2[[#This Row],[GameIsOver]]=1,Table2[[#This Row],[ActualHomeScore]]*Table2[[#This Row],[ActualAwayScore]]=0), 1,0)</f>
        <v>0</v>
      </c>
      <c r="AA7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2" s="2">
        <f>Table2[[#This Row],[ActualAwayScore]]-Table2[[#This Row],[PredictedAwayScore]]</f>
        <v>0</v>
      </c>
      <c r="AG712" s="2">
        <f>Table2[[#This Row],[ActualHomeScore]]-Table2[[#This Row],[PredictedHomeScore]]</f>
        <v>0</v>
      </c>
      <c r="AH712" s="2">
        <f t="shared" si="62"/>
        <v>0</v>
      </c>
      <c r="AI712" s="2">
        <f t="shared" si="63"/>
        <v>0</v>
      </c>
      <c r="AJ712" s="2"/>
      <c r="AK712" s="3"/>
      <c r="AL712" s="2">
        <f>IF(Table2[[#This Row],[GameIsOver]]=0,0,IF(Table2[[#This Row],[ActualWinner]]=Table2[[#This Row],[AwayTeam]], 1, 0))</f>
        <v>0</v>
      </c>
      <c r="AM712" s="2">
        <f>IF(Table2[[#This Row],[GameIsOver]]=0,0,IF(Table2[[#This Row],[ActualWinner]]=Table2[[#This Row],[HomeTeam]], 1, 0))</f>
        <v>0</v>
      </c>
      <c r="AN7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2" s="2" t="str">
        <f>INDEX(Sheet5!$B$2:$AG$33, MATCH(Table2[[#This Row],[AwayTeam]],Sheet5!$A$2:$A$33, 0), MATCH(Table2[[#This Row],[HomeTeam]],Sheet5!$A$2:$A$33, 0))</f>
        <v>0-0-0</v>
      </c>
      <c r="AP712" s="2" t="str">
        <f>INDEX(Sheet5!$B$2:$AG$33, MATCH(Table2[[#This Row],[HomeTeam]],Sheet5!$A$2:$A$33, 0), MATCH(Table2[[#This Row],[AwayTeam]],Sheet5!$A$2:$A$33, 0))</f>
        <v>0-0-0</v>
      </c>
      <c r="AQ712" s="2">
        <f>IF(Table2[[#This Row],[GameHasShutOut]], 1, 0)</f>
        <v>0</v>
      </c>
      <c r="AR712" s="2">
        <f>IF(Table2[[#This Row],[ActualAwayScore]] + Table2[[#This Row],[ActualHomeScore]] &gt;= 10, 1, 0)</f>
        <v>0</v>
      </c>
      <c r="AS712" s="2">
        <f>IF(ABS(Table2[[#This Row],[ActualAwayScore]]-Table2[[#This Row],[ActualHomeScore]])&gt;=5, 1, 0)</f>
        <v>0</v>
      </c>
      <c r="AT712" s="2">
        <f>IF(Table2[[#This Row],[ActualAwayScore]] + Table2[[#This Row],[ActualHomeScore]] &lt;= 3, 1, 0)</f>
        <v>1</v>
      </c>
      <c r="AU712" s="2"/>
      <c r="AV712" s="2"/>
    </row>
    <row r="713" spans="1:48" x14ac:dyDescent="0.25">
      <c r="A713" s="3"/>
      <c r="B713" s="3">
        <v>46033</v>
      </c>
      <c r="C713" s="5">
        <v>2025020711</v>
      </c>
      <c r="D713" s="2" t="s">
        <v>31</v>
      </c>
      <c r="E713" s="2" t="s">
        <v>21</v>
      </c>
      <c r="F713" s="2"/>
      <c r="G713" s="2"/>
      <c r="H713" s="2" t="str">
        <f t="shared" si="59"/>
        <v>_</v>
      </c>
      <c r="I713" s="2"/>
      <c r="J713" s="2"/>
      <c r="K713" s="2"/>
      <c r="L713" s="2" t="str">
        <f t="shared" si="60"/>
        <v>_</v>
      </c>
      <c r="M713" s="2"/>
      <c r="N713" s="2">
        <f>IF(ISBLANK(Table2[[#This Row],[ActualResult]]), 0, 1)</f>
        <v>0</v>
      </c>
      <c r="O713" s="2" t="str">
        <f>IF(ISBLANK(Table2[[#This Row],[ActualResult]]), "_", IF(Table2[[#This Row],[ActualWinner]]=Table2[[#This Row],[PredictedWinner]], "Y", "N"))</f>
        <v>_</v>
      </c>
      <c r="P7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3" s="2"/>
      <c r="S713" s="2" t="str">
        <f t="shared" si="61"/>
        <v>_</v>
      </c>
      <c r="T7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3" s="2">
        <f>IF(Table2[[#This Row],[InterConf]]=1,IF(Table2[[#This Row],[InterDiv]]=0, 1, 0), 0)</f>
        <v>0</v>
      </c>
      <c r="W7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3" s="2"/>
      <c r="Y713" s="2"/>
      <c r="Z713" s="145">
        <f>IF(AND(Table2[[#This Row],[GameIsOver]]=1,Table2[[#This Row],[ActualHomeScore]]*Table2[[#This Row],[ActualAwayScore]]=0), 1,0)</f>
        <v>0</v>
      </c>
      <c r="AA7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3" s="2">
        <f>Table2[[#This Row],[ActualAwayScore]]-Table2[[#This Row],[PredictedAwayScore]]</f>
        <v>0</v>
      </c>
      <c r="AG713" s="2">
        <f>Table2[[#This Row],[ActualHomeScore]]-Table2[[#This Row],[PredictedHomeScore]]</f>
        <v>0</v>
      </c>
      <c r="AH713" s="2">
        <f t="shared" si="62"/>
        <v>0</v>
      </c>
      <c r="AI713" s="2">
        <f t="shared" si="63"/>
        <v>0</v>
      </c>
      <c r="AJ713" s="2"/>
      <c r="AK713" s="3"/>
      <c r="AL713" s="2">
        <f>IF(Table2[[#This Row],[GameIsOver]]=0,0,IF(Table2[[#This Row],[ActualWinner]]=Table2[[#This Row],[AwayTeam]], 1, 0))</f>
        <v>0</v>
      </c>
      <c r="AM713" s="2">
        <f>IF(Table2[[#This Row],[GameIsOver]]=0,0,IF(Table2[[#This Row],[ActualWinner]]=Table2[[#This Row],[HomeTeam]], 1, 0))</f>
        <v>0</v>
      </c>
      <c r="AN7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3" s="2" t="str">
        <f>INDEX(Sheet5!$B$2:$AG$33, MATCH(Table2[[#This Row],[AwayTeam]],Sheet5!$A$2:$A$33, 0), MATCH(Table2[[#This Row],[HomeTeam]],Sheet5!$A$2:$A$33, 0))</f>
        <v>0-0-0</v>
      </c>
      <c r="AP713" s="2" t="str">
        <f>INDEX(Sheet5!$B$2:$AG$33, MATCH(Table2[[#This Row],[HomeTeam]],Sheet5!$A$2:$A$33, 0), MATCH(Table2[[#This Row],[AwayTeam]],Sheet5!$A$2:$A$33, 0))</f>
        <v>0-0-0</v>
      </c>
      <c r="AQ713" s="2">
        <f>IF(Table2[[#This Row],[GameHasShutOut]], 1, 0)</f>
        <v>0</v>
      </c>
      <c r="AR713" s="2">
        <f>IF(Table2[[#This Row],[ActualAwayScore]] + Table2[[#This Row],[ActualHomeScore]] &gt;= 10, 1, 0)</f>
        <v>0</v>
      </c>
      <c r="AS713" s="2">
        <f>IF(ABS(Table2[[#This Row],[ActualAwayScore]]-Table2[[#This Row],[ActualHomeScore]])&gt;=5, 1, 0)</f>
        <v>0</v>
      </c>
      <c r="AT713" s="2">
        <f>IF(Table2[[#This Row],[ActualAwayScore]] + Table2[[#This Row],[ActualHomeScore]] &lt;= 3, 1, 0)</f>
        <v>1</v>
      </c>
      <c r="AU713" s="2"/>
      <c r="AV713" s="2"/>
    </row>
    <row r="714" spans="1:48" x14ac:dyDescent="0.25">
      <c r="A714" s="3"/>
      <c r="B714" s="3">
        <v>46033</v>
      </c>
      <c r="C714" s="5">
        <v>2025020712</v>
      </c>
      <c r="D714" s="2" t="s">
        <v>20</v>
      </c>
      <c r="E714" s="2" t="s">
        <v>15</v>
      </c>
      <c r="F714" s="2"/>
      <c r="G714" s="2"/>
      <c r="H714" s="2" t="str">
        <f t="shared" si="59"/>
        <v>_</v>
      </c>
      <c r="I714" s="2"/>
      <c r="J714" s="2"/>
      <c r="K714" s="2"/>
      <c r="L714" s="2" t="str">
        <f t="shared" si="60"/>
        <v>_</v>
      </c>
      <c r="M714" s="2"/>
      <c r="N714" s="2">
        <f>IF(ISBLANK(Table2[[#This Row],[ActualResult]]), 0, 1)</f>
        <v>0</v>
      </c>
      <c r="O714" s="2" t="str">
        <f>IF(ISBLANK(Table2[[#This Row],[ActualResult]]), "_", IF(Table2[[#This Row],[ActualWinner]]=Table2[[#This Row],[PredictedWinner]], "Y", "N"))</f>
        <v>_</v>
      </c>
      <c r="P7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4" s="2"/>
      <c r="S714" s="2" t="str">
        <f t="shared" si="61"/>
        <v>_</v>
      </c>
      <c r="T7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4" s="2">
        <f>IF(Table2[[#This Row],[InterConf]]=1,IF(Table2[[#This Row],[InterDiv]]=0, 1, 0), 0)</f>
        <v>1</v>
      </c>
      <c r="W7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4" s="2"/>
      <c r="Y714" s="2"/>
      <c r="Z714" s="145">
        <f>IF(AND(Table2[[#This Row],[GameIsOver]]=1,Table2[[#This Row],[ActualHomeScore]]*Table2[[#This Row],[ActualAwayScore]]=0), 1,0)</f>
        <v>0</v>
      </c>
      <c r="AA7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4" s="2">
        <f>Table2[[#This Row],[ActualAwayScore]]-Table2[[#This Row],[PredictedAwayScore]]</f>
        <v>0</v>
      </c>
      <c r="AG714" s="2">
        <f>Table2[[#This Row],[ActualHomeScore]]-Table2[[#This Row],[PredictedHomeScore]]</f>
        <v>0</v>
      </c>
      <c r="AH714" s="2">
        <f t="shared" si="62"/>
        <v>0</v>
      </c>
      <c r="AI714" s="2">
        <f t="shared" si="63"/>
        <v>0</v>
      </c>
      <c r="AJ714" s="2"/>
      <c r="AK714" s="3"/>
      <c r="AL714" s="2">
        <f>IF(Table2[[#This Row],[GameIsOver]]=0,0,IF(Table2[[#This Row],[ActualWinner]]=Table2[[#This Row],[AwayTeam]], 1, 0))</f>
        <v>0</v>
      </c>
      <c r="AM714" s="2">
        <f>IF(Table2[[#This Row],[GameIsOver]]=0,0,IF(Table2[[#This Row],[ActualWinner]]=Table2[[#This Row],[HomeTeam]], 1, 0))</f>
        <v>0</v>
      </c>
      <c r="AN7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4" s="2" t="str">
        <f>INDEX(Sheet5!$B$2:$AG$33, MATCH(Table2[[#This Row],[AwayTeam]],Sheet5!$A$2:$A$33, 0), MATCH(Table2[[#This Row],[HomeTeam]],Sheet5!$A$2:$A$33, 0))</f>
        <v>0-0-0</v>
      </c>
      <c r="AP714" s="2" t="str">
        <f>INDEX(Sheet5!$B$2:$AG$33, MATCH(Table2[[#This Row],[HomeTeam]],Sheet5!$A$2:$A$33, 0), MATCH(Table2[[#This Row],[AwayTeam]],Sheet5!$A$2:$A$33, 0))</f>
        <v>0-0-0</v>
      </c>
      <c r="AQ714" s="2">
        <f>IF(Table2[[#This Row],[GameHasShutOut]], 1, 0)</f>
        <v>0</v>
      </c>
      <c r="AR714" s="2">
        <f>IF(Table2[[#This Row],[ActualAwayScore]] + Table2[[#This Row],[ActualHomeScore]] &gt;= 10, 1, 0)</f>
        <v>0</v>
      </c>
      <c r="AS714" s="2">
        <f>IF(ABS(Table2[[#This Row],[ActualAwayScore]]-Table2[[#This Row],[ActualHomeScore]])&gt;=5, 1, 0)</f>
        <v>0</v>
      </c>
      <c r="AT714" s="2">
        <f>IF(Table2[[#This Row],[ActualAwayScore]] + Table2[[#This Row],[ActualHomeScore]] &lt;= 3, 1, 0)</f>
        <v>1</v>
      </c>
      <c r="AU714" s="2"/>
      <c r="AV714" s="2"/>
    </row>
    <row r="715" spans="1:48" x14ac:dyDescent="0.25">
      <c r="A715" s="3"/>
      <c r="B715" s="3">
        <v>46034</v>
      </c>
      <c r="C715" s="5">
        <v>2025020713</v>
      </c>
      <c r="D715" s="2" t="s">
        <v>43</v>
      </c>
      <c r="E715" s="2" t="s">
        <v>34</v>
      </c>
      <c r="F715" s="2"/>
      <c r="G715" s="2"/>
      <c r="H715" s="2" t="str">
        <f t="shared" si="59"/>
        <v>_</v>
      </c>
      <c r="I715" s="2"/>
      <c r="J715" s="2"/>
      <c r="K715" s="2"/>
      <c r="L715" s="2" t="str">
        <f t="shared" si="60"/>
        <v>_</v>
      </c>
      <c r="M715" s="2"/>
      <c r="N715" s="2">
        <f>IF(ISBLANK(Table2[[#This Row],[ActualResult]]), 0, 1)</f>
        <v>0</v>
      </c>
      <c r="O715" s="2" t="str">
        <f>IF(ISBLANK(Table2[[#This Row],[ActualResult]]), "_", IF(Table2[[#This Row],[ActualWinner]]=Table2[[#This Row],[PredictedWinner]], "Y", "N"))</f>
        <v>_</v>
      </c>
      <c r="P7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5" s="2"/>
      <c r="S715" s="2" t="str">
        <f t="shared" si="61"/>
        <v>_</v>
      </c>
      <c r="T7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5" s="2">
        <f>IF(Table2[[#This Row],[InterConf]]=1,IF(Table2[[#This Row],[InterDiv]]=0, 1, 0), 0)</f>
        <v>0</v>
      </c>
      <c r="W7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5" s="2"/>
      <c r="Y715" s="2"/>
      <c r="Z715" s="145">
        <f>IF(AND(Table2[[#This Row],[GameIsOver]]=1,Table2[[#This Row],[ActualHomeScore]]*Table2[[#This Row],[ActualAwayScore]]=0), 1,0)</f>
        <v>0</v>
      </c>
      <c r="AA7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15" s="2">
        <f>Table2[[#This Row],[ActualAwayScore]]-Table2[[#This Row],[PredictedAwayScore]]</f>
        <v>0</v>
      </c>
      <c r="AG715" s="2">
        <f>Table2[[#This Row],[ActualHomeScore]]-Table2[[#This Row],[PredictedHomeScore]]</f>
        <v>0</v>
      </c>
      <c r="AH715" s="2">
        <f t="shared" si="62"/>
        <v>0</v>
      </c>
      <c r="AI715" s="2">
        <f t="shared" si="63"/>
        <v>0</v>
      </c>
      <c r="AJ715" s="2"/>
      <c r="AK715" s="3"/>
      <c r="AL715" s="2">
        <f>IF(Table2[[#This Row],[GameIsOver]]=0,0,IF(Table2[[#This Row],[ActualWinner]]=Table2[[#This Row],[AwayTeam]], 1, 0))</f>
        <v>0</v>
      </c>
      <c r="AM715" s="2">
        <f>IF(Table2[[#This Row],[GameIsOver]]=0,0,IF(Table2[[#This Row],[ActualWinner]]=Table2[[#This Row],[HomeTeam]], 1, 0))</f>
        <v>0</v>
      </c>
      <c r="AN7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5" s="2" t="str">
        <f>INDEX(Sheet5!$B$2:$AG$33, MATCH(Table2[[#This Row],[AwayTeam]],Sheet5!$A$2:$A$33, 0), MATCH(Table2[[#This Row],[HomeTeam]],Sheet5!$A$2:$A$33, 0))</f>
        <v>0-0-0</v>
      </c>
      <c r="AP715" s="2" t="str">
        <f>INDEX(Sheet5!$B$2:$AG$33, MATCH(Table2[[#This Row],[HomeTeam]],Sheet5!$A$2:$A$33, 0), MATCH(Table2[[#This Row],[AwayTeam]],Sheet5!$A$2:$A$33, 0))</f>
        <v>0-0-0</v>
      </c>
      <c r="AQ715" s="2">
        <f>IF(Table2[[#This Row],[GameHasShutOut]], 1, 0)</f>
        <v>0</v>
      </c>
      <c r="AR715" s="2">
        <f>IF(Table2[[#This Row],[ActualAwayScore]] + Table2[[#This Row],[ActualHomeScore]] &gt;= 10, 1, 0)</f>
        <v>0</v>
      </c>
      <c r="AS715" s="2">
        <f>IF(ABS(Table2[[#This Row],[ActualAwayScore]]-Table2[[#This Row],[ActualHomeScore]])&gt;=5, 1, 0)</f>
        <v>0</v>
      </c>
      <c r="AT715" s="2">
        <f>IF(Table2[[#This Row],[ActualAwayScore]] + Table2[[#This Row],[ActualHomeScore]] &lt;= 3, 1, 0)</f>
        <v>1</v>
      </c>
      <c r="AU715" s="2"/>
      <c r="AV715" s="2"/>
    </row>
    <row r="716" spans="1:48" x14ac:dyDescent="0.25">
      <c r="A716" s="3"/>
      <c r="B716" s="3">
        <v>46034</v>
      </c>
      <c r="C716" s="5">
        <v>2025020714</v>
      </c>
      <c r="D716" s="2" t="s">
        <v>35</v>
      </c>
      <c r="E716" s="2" t="s">
        <v>14</v>
      </c>
      <c r="F716" s="2"/>
      <c r="G716" s="2"/>
      <c r="H716" s="2" t="str">
        <f t="shared" si="59"/>
        <v>_</v>
      </c>
      <c r="I716" s="2"/>
      <c r="J716" s="2"/>
      <c r="K716" s="2"/>
      <c r="L716" s="2" t="str">
        <f t="shared" si="60"/>
        <v>_</v>
      </c>
      <c r="M716" s="2"/>
      <c r="N716" s="2">
        <f>IF(ISBLANK(Table2[[#This Row],[ActualResult]]), 0, 1)</f>
        <v>0</v>
      </c>
      <c r="O716" s="2" t="str">
        <f>IF(ISBLANK(Table2[[#This Row],[ActualResult]]), "_", IF(Table2[[#This Row],[ActualWinner]]=Table2[[#This Row],[PredictedWinner]], "Y", "N"))</f>
        <v>_</v>
      </c>
      <c r="P7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6" s="2"/>
      <c r="S716" s="2" t="str">
        <f t="shared" si="61"/>
        <v>_</v>
      </c>
      <c r="T7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6" s="2">
        <f>IF(Table2[[#This Row],[InterConf]]=1,IF(Table2[[#This Row],[InterDiv]]=0, 1, 0), 0)</f>
        <v>0</v>
      </c>
      <c r="W7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6" s="2"/>
      <c r="Y716" s="2"/>
      <c r="Z716" s="145">
        <f>IF(AND(Table2[[#This Row],[GameIsOver]]=1,Table2[[#This Row],[ActualHomeScore]]*Table2[[#This Row],[ActualAwayScore]]=0), 1,0)</f>
        <v>0</v>
      </c>
      <c r="AA7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16" s="2">
        <f>Table2[[#This Row],[ActualAwayScore]]-Table2[[#This Row],[PredictedAwayScore]]</f>
        <v>0</v>
      </c>
      <c r="AG716" s="2">
        <f>Table2[[#This Row],[ActualHomeScore]]-Table2[[#This Row],[PredictedHomeScore]]</f>
        <v>0</v>
      </c>
      <c r="AH716" s="2">
        <f t="shared" si="62"/>
        <v>0</v>
      </c>
      <c r="AI716" s="2">
        <f t="shared" si="63"/>
        <v>0</v>
      </c>
      <c r="AJ716" s="2"/>
      <c r="AK716" s="3"/>
      <c r="AL716" s="2">
        <f>IF(Table2[[#This Row],[GameIsOver]]=0,0,IF(Table2[[#This Row],[ActualWinner]]=Table2[[#This Row],[AwayTeam]], 1, 0))</f>
        <v>0</v>
      </c>
      <c r="AM716" s="2">
        <f>IF(Table2[[#This Row],[GameIsOver]]=0,0,IF(Table2[[#This Row],[ActualWinner]]=Table2[[#This Row],[HomeTeam]], 1, 0))</f>
        <v>0</v>
      </c>
      <c r="AN7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6" s="2" t="str">
        <f>INDEX(Sheet5!$B$2:$AG$33, MATCH(Table2[[#This Row],[AwayTeam]],Sheet5!$A$2:$A$33, 0), MATCH(Table2[[#This Row],[HomeTeam]],Sheet5!$A$2:$A$33, 0))</f>
        <v>0-0-0</v>
      </c>
      <c r="AP716" s="2" t="str">
        <f>INDEX(Sheet5!$B$2:$AG$33, MATCH(Table2[[#This Row],[HomeTeam]],Sheet5!$A$2:$A$33, 0), MATCH(Table2[[#This Row],[AwayTeam]],Sheet5!$A$2:$A$33, 0))</f>
        <v>0-0-0</v>
      </c>
      <c r="AQ716" s="2">
        <f>IF(Table2[[#This Row],[GameHasShutOut]], 1, 0)</f>
        <v>0</v>
      </c>
      <c r="AR716" s="2">
        <f>IF(Table2[[#This Row],[ActualAwayScore]] + Table2[[#This Row],[ActualHomeScore]] &gt;= 10, 1, 0)</f>
        <v>0</v>
      </c>
      <c r="AS716" s="2">
        <f>IF(ABS(Table2[[#This Row],[ActualAwayScore]]-Table2[[#This Row],[ActualHomeScore]])&gt;=5, 1, 0)</f>
        <v>0</v>
      </c>
      <c r="AT716" s="2">
        <f>IF(Table2[[#This Row],[ActualAwayScore]] + Table2[[#This Row],[ActualHomeScore]] &lt;= 3, 1, 0)</f>
        <v>1</v>
      </c>
      <c r="AU716" s="2"/>
      <c r="AV716" s="2"/>
    </row>
    <row r="717" spans="1:48" x14ac:dyDescent="0.25">
      <c r="A717" s="3"/>
      <c r="B717" s="3">
        <v>46034</v>
      </c>
      <c r="C717" s="5">
        <v>2025020715</v>
      </c>
      <c r="D717" s="2" t="s">
        <v>26</v>
      </c>
      <c r="E717" s="2" t="s">
        <v>37</v>
      </c>
      <c r="F717" s="2"/>
      <c r="G717" s="2"/>
      <c r="H717" s="2" t="str">
        <f t="shared" si="59"/>
        <v>_</v>
      </c>
      <c r="I717" s="2"/>
      <c r="J717" s="2"/>
      <c r="K717" s="2"/>
      <c r="L717" s="2" t="str">
        <f t="shared" si="60"/>
        <v>_</v>
      </c>
      <c r="M717" s="2"/>
      <c r="N717" s="2">
        <f>IF(ISBLANK(Table2[[#This Row],[ActualResult]]), 0, 1)</f>
        <v>0</v>
      </c>
      <c r="O717" s="2" t="str">
        <f>IF(ISBLANK(Table2[[#This Row],[ActualResult]]), "_", IF(Table2[[#This Row],[ActualWinner]]=Table2[[#This Row],[PredictedWinner]], "Y", "N"))</f>
        <v>_</v>
      </c>
      <c r="P7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7" s="2"/>
      <c r="S717" s="2" t="str">
        <f t="shared" si="61"/>
        <v>_</v>
      </c>
      <c r="T7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17" s="2">
        <f>IF(Table2[[#This Row],[InterConf]]=1,IF(Table2[[#This Row],[InterDiv]]=0, 1, 0), 0)</f>
        <v>0</v>
      </c>
      <c r="W7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7" s="2"/>
      <c r="Y717" s="2"/>
      <c r="Z717" s="145">
        <f>IF(AND(Table2[[#This Row],[GameIsOver]]=1,Table2[[#This Row],[ActualHomeScore]]*Table2[[#This Row],[ActualAwayScore]]=0), 1,0)</f>
        <v>0</v>
      </c>
      <c r="AA7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17" s="2">
        <f>Table2[[#This Row],[ActualAwayScore]]-Table2[[#This Row],[PredictedAwayScore]]</f>
        <v>0</v>
      </c>
      <c r="AG717" s="2">
        <f>Table2[[#This Row],[ActualHomeScore]]-Table2[[#This Row],[PredictedHomeScore]]</f>
        <v>0</v>
      </c>
      <c r="AH717" s="2">
        <f t="shared" si="62"/>
        <v>0</v>
      </c>
      <c r="AI717" s="2">
        <f t="shared" si="63"/>
        <v>0</v>
      </c>
      <c r="AJ717" s="2"/>
      <c r="AK717" s="3"/>
      <c r="AL717" s="2">
        <f>IF(Table2[[#This Row],[GameIsOver]]=0,0,IF(Table2[[#This Row],[ActualWinner]]=Table2[[#This Row],[AwayTeam]], 1, 0))</f>
        <v>0</v>
      </c>
      <c r="AM717" s="2">
        <f>IF(Table2[[#This Row],[GameIsOver]]=0,0,IF(Table2[[#This Row],[ActualWinner]]=Table2[[#This Row],[HomeTeam]], 1, 0))</f>
        <v>0</v>
      </c>
      <c r="AN7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7" s="2" t="str">
        <f>INDEX(Sheet5!$B$2:$AG$33, MATCH(Table2[[#This Row],[AwayTeam]],Sheet5!$A$2:$A$33, 0), MATCH(Table2[[#This Row],[HomeTeam]],Sheet5!$A$2:$A$33, 0))</f>
        <v>1-0-0</v>
      </c>
      <c r="AP717" s="2" t="str">
        <f>INDEX(Sheet5!$B$2:$AG$33, MATCH(Table2[[#This Row],[HomeTeam]],Sheet5!$A$2:$A$33, 0), MATCH(Table2[[#This Row],[AwayTeam]],Sheet5!$A$2:$A$33, 0))</f>
        <v>0-0-1</v>
      </c>
      <c r="AQ717" s="2">
        <f>IF(Table2[[#This Row],[GameHasShutOut]], 1, 0)</f>
        <v>0</v>
      </c>
      <c r="AR717" s="2">
        <f>IF(Table2[[#This Row],[ActualAwayScore]] + Table2[[#This Row],[ActualHomeScore]] &gt;= 10, 1, 0)</f>
        <v>0</v>
      </c>
      <c r="AS717" s="2">
        <f>IF(ABS(Table2[[#This Row],[ActualAwayScore]]-Table2[[#This Row],[ActualHomeScore]])&gt;=5, 1, 0)</f>
        <v>0</v>
      </c>
      <c r="AT717" s="2">
        <f>IF(Table2[[#This Row],[ActualAwayScore]] + Table2[[#This Row],[ActualHomeScore]] &lt;= 3, 1, 0)</f>
        <v>1</v>
      </c>
      <c r="AU717" s="2"/>
      <c r="AV717" s="2"/>
    </row>
    <row r="718" spans="1:48" x14ac:dyDescent="0.25">
      <c r="A718" s="3"/>
      <c r="B718" s="3">
        <v>46035</v>
      </c>
      <c r="C718" s="5">
        <v>2025020716</v>
      </c>
      <c r="D718" s="2" t="s">
        <v>13</v>
      </c>
      <c r="E718" s="2" t="s">
        <v>28</v>
      </c>
      <c r="F718" s="2"/>
      <c r="G718" s="2"/>
      <c r="H718" s="2" t="str">
        <f t="shared" si="59"/>
        <v>_</v>
      </c>
      <c r="I718" s="2"/>
      <c r="J718" s="2"/>
      <c r="K718" s="2"/>
      <c r="L718" s="2" t="str">
        <f t="shared" si="60"/>
        <v>_</v>
      </c>
      <c r="M718" s="2"/>
      <c r="N718" s="2">
        <f>IF(ISBLANK(Table2[[#This Row],[ActualResult]]), 0, 1)</f>
        <v>0</v>
      </c>
      <c r="O718" s="2" t="str">
        <f>IF(ISBLANK(Table2[[#This Row],[ActualResult]]), "_", IF(Table2[[#This Row],[ActualWinner]]=Table2[[#This Row],[PredictedWinner]], "Y", "N"))</f>
        <v>_</v>
      </c>
      <c r="P7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8" s="2"/>
      <c r="S718" s="2" t="str">
        <f t="shared" si="61"/>
        <v>_</v>
      </c>
      <c r="T7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18" s="2">
        <f>IF(Table2[[#This Row],[InterConf]]=1,IF(Table2[[#This Row],[InterDiv]]=0, 1, 0), 0)</f>
        <v>0</v>
      </c>
      <c r="W7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8" s="2"/>
      <c r="Y718" s="2"/>
      <c r="Z718" s="145">
        <f>IF(AND(Table2[[#This Row],[GameIsOver]]=1,Table2[[#This Row],[ActualHomeScore]]*Table2[[#This Row],[ActualAwayScore]]=0), 1,0)</f>
        <v>0</v>
      </c>
      <c r="AA7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18" s="2">
        <f>Table2[[#This Row],[ActualAwayScore]]-Table2[[#This Row],[PredictedAwayScore]]</f>
        <v>0</v>
      </c>
      <c r="AG718" s="2">
        <f>Table2[[#This Row],[ActualHomeScore]]-Table2[[#This Row],[PredictedHomeScore]]</f>
        <v>0</v>
      </c>
      <c r="AH718" s="2">
        <f t="shared" si="62"/>
        <v>0</v>
      </c>
      <c r="AI718" s="2">
        <f t="shared" si="63"/>
        <v>0</v>
      </c>
      <c r="AJ718" s="2"/>
      <c r="AK718" s="3"/>
      <c r="AL718" s="2">
        <f>IF(Table2[[#This Row],[GameIsOver]]=0,0,IF(Table2[[#This Row],[ActualWinner]]=Table2[[#This Row],[AwayTeam]], 1, 0))</f>
        <v>0</v>
      </c>
      <c r="AM718" s="2">
        <f>IF(Table2[[#This Row],[GameIsOver]]=0,0,IF(Table2[[#This Row],[ActualWinner]]=Table2[[#This Row],[HomeTeam]], 1, 0))</f>
        <v>0</v>
      </c>
      <c r="AN7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8" s="2" t="str">
        <f>INDEX(Sheet5!$B$2:$AG$33, MATCH(Table2[[#This Row],[AwayTeam]],Sheet5!$A$2:$A$33, 0), MATCH(Table2[[#This Row],[HomeTeam]],Sheet5!$A$2:$A$33, 0))</f>
        <v>0-1-0</v>
      </c>
      <c r="AP718" s="2" t="str">
        <f>INDEX(Sheet5!$B$2:$AG$33, MATCH(Table2[[#This Row],[HomeTeam]],Sheet5!$A$2:$A$33, 0), MATCH(Table2[[#This Row],[AwayTeam]],Sheet5!$A$2:$A$33, 0))</f>
        <v>1-0-0</v>
      </c>
      <c r="AQ718" s="2">
        <f>IF(Table2[[#This Row],[GameHasShutOut]], 1, 0)</f>
        <v>0</v>
      </c>
      <c r="AR718" s="2">
        <f>IF(Table2[[#This Row],[ActualAwayScore]] + Table2[[#This Row],[ActualHomeScore]] &gt;= 10, 1, 0)</f>
        <v>0</v>
      </c>
      <c r="AS718" s="2">
        <f>IF(ABS(Table2[[#This Row],[ActualAwayScore]]-Table2[[#This Row],[ActualHomeScore]])&gt;=5, 1, 0)</f>
        <v>0</v>
      </c>
      <c r="AT718" s="2">
        <f>IF(Table2[[#This Row],[ActualAwayScore]] + Table2[[#This Row],[ActualHomeScore]] &lt;= 3, 1, 0)</f>
        <v>1</v>
      </c>
      <c r="AU718" s="2"/>
      <c r="AV718" s="2"/>
    </row>
    <row r="719" spans="1:48" x14ac:dyDescent="0.25">
      <c r="A719" s="3"/>
      <c r="B719" s="3">
        <v>46035</v>
      </c>
      <c r="C719" s="5">
        <v>2025020717</v>
      </c>
      <c r="D719" s="2" t="s">
        <v>41</v>
      </c>
      <c r="E719" s="2" t="s">
        <v>30</v>
      </c>
      <c r="F719" s="2"/>
      <c r="G719" s="2"/>
      <c r="H719" s="2" t="str">
        <f t="shared" si="59"/>
        <v>_</v>
      </c>
      <c r="I719" s="2"/>
      <c r="J719" s="2"/>
      <c r="K719" s="2"/>
      <c r="L719" s="2" t="str">
        <f t="shared" si="60"/>
        <v>_</v>
      </c>
      <c r="M719" s="2"/>
      <c r="N719" s="2">
        <f>IF(ISBLANK(Table2[[#This Row],[ActualResult]]), 0, 1)</f>
        <v>0</v>
      </c>
      <c r="O719" s="2" t="str">
        <f>IF(ISBLANK(Table2[[#This Row],[ActualResult]]), "_", IF(Table2[[#This Row],[ActualWinner]]=Table2[[#This Row],[PredictedWinner]], "Y", "N"))</f>
        <v>_</v>
      </c>
      <c r="P7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9" s="2"/>
      <c r="S719" s="2" t="str">
        <f t="shared" si="61"/>
        <v>_</v>
      </c>
      <c r="T7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9" s="2">
        <f>IF(Table2[[#This Row],[InterConf]]=1,IF(Table2[[#This Row],[InterDiv]]=0, 1, 0), 0)</f>
        <v>1</v>
      </c>
      <c r="W7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9" s="2"/>
      <c r="Y719" s="2"/>
      <c r="Z719" s="145">
        <f>IF(AND(Table2[[#This Row],[GameIsOver]]=1,Table2[[#This Row],[ActualHomeScore]]*Table2[[#This Row],[ActualAwayScore]]=0), 1,0)</f>
        <v>0</v>
      </c>
      <c r="AA7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19" s="2">
        <f>Table2[[#This Row],[ActualAwayScore]]-Table2[[#This Row],[PredictedAwayScore]]</f>
        <v>0</v>
      </c>
      <c r="AG719" s="2">
        <f>Table2[[#This Row],[ActualHomeScore]]-Table2[[#This Row],[PredictedHomeScore]]</f>
        <v>0</v>
      </c>
      <c r="AH719" s="2">
        <f t="shared" si="62"/>
        <v>0</v>
      </c>
      <c r="AI719" s="2">
        <f t="shared" si="63"/>
        <v>0</v>
      </c>
      <c r="AJ719" s="2"/>
      <c r="AK719" s="3"/>
      <c r="AL719" s="2">
        <f>IF(Table2[[#This Row],[GameIsOver]]=0,0,IF(Table2[[#This Row],[ActualWinner]]=Table2[[#This Row],[AwayTeam]], 1, 0))</f>
        <v>0</v>
      </c>
      <c r="AM719" s="2">
        <f>IF(Table2[[#This Row],[GameIsOver]]=0,0,IF(Table2[[#This Row],[ActualWinner]]=Table2[[#This Row],[HomeTeam]], 1, 0))</f>
        <v>0</v>
      </c>
      <c r="AN7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9" s="2" t="str">
        <f>INDEX(Sheet5!$B$2:$AG$33, MATCH(Table2[[#This Row],[AwayTeam]],Sheet5!$A$2:$A$33, 0), MATCH(Table2[[#This Row],[HomeTeam]],Sheet5!$A$2:$A$33, 0))</f>
        <v>0-0-0</v>
      </c>
      <c r="AP719" s="2" t="str">
        <f>INDEX(Sheet5!$B$2:$AG$33, MATCH(Table2[[#This Row],[HomeTeam]],Sheet5!$A$2:$A$33, 0), MATCH(Table2[[#This Row],[AwayTeam]],Sheet5!$A$2:$A$33, 0))</f>
        <v>0-0-0</v>
      </c>
      <c r="AQ719" s="2">
        <f>IF(Table2[[#This Row],[GameHasShutOut]], 1, 0)</f>
        <v>0</v>
      </c>
      <c r="AR719" s="2">
        <f>IF(Table2[[#This Row],[ActualAwayScore]] + Table2[[#This Row],[ActualHomeScore]] &gt;= 10, 1, 0)</f>
        <v>0</v>
      </c>
      <c r="AS719" s="2">
        <f>IF(ABS(Table2[[#This Row],[ActualAwayScore]]-Table2[[#This Row],[ActualHomeScore]])&gt;=5, 1, 0)</f>
        <v>0</v>
      </c>
      <c r="AT719" s="2">
        <f>IF(Table2[[#This Row],[ActualAwayScore]] + Table2[[#This Row],[ActualHomeScore]] &lt;= 3, 1, 0)</f>
        <v>1</v>
      </c>
      <c r="AU719" s="2"/>
      <c r="AV719" s="2"/>
    </row>
    <row r="720" spans="1:48" x14ac:dyDescent="0.25">
      <c r="A720" s="3"/>
      <c r="B720" s="3">
        <v>46035</v>
      </c>
      <c r="C720" s="5">
        <v>2025020718</v>
      </c>
      <c r="D720" s="2" t="s">
        <v>11</v>
      </c>
      <c r="E720" s="2" t="s">
        <v>19</v>
      </c>
      <c r="F720" s="2"/>
      <c r="G720" s="2"/>
      <c r="H720" s="2" t="str">
        <f t="shared" si="59"/>
        <v>_</v>
      </c>
      <c r="I720" s="2"/>
      <c r="J720" s="2"/>
      <c r="K720" s="2"/>
      <c r="L720" s="2" t="str">
        <f t="shared" si="60"/>
        <v>_</v>
      </c>
      <c r="M720" s="2"/>
      <c r="N720" s="2">
        <f>IF(ISBLANK(Table2[[#This Row],[ActualResult]]), 0, 1)</f>
        <v>0</v>
      </c>
      <c r="O720" s="2" t="str">
        <f>IF(ISBLANK(Table2[[#This Row],[ActualResult]]), "_", IF(Table2[[#This Row],[ActualWinner]]=Table2[[#This Row],[PredictedWinner]], "Y", "N"))</f>
        <v>_</v>
      </c>
      <c r="P7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0" s="2"/>
      <c r="S720" s="2" t="str">
        <f t="shared" si="61"/>
        <v>_</v>
      </c>
      <c r="T7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0" s="2">
        <f>IF(Table2[[#This Row],[InterConf]]=1,IF(Table2[[#This Row],[InterDiv]]=0, 1, 0), 0)</f>
        <v>0</v>
      </c>
      <c r="W7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0" s="2"/>
      <c r="Y720" s="2"/>
      <c r="Z720" s="145">
        <f>IF(AND(Table2[[#This Row],[GameIsOver]]=1,Table2[[#This Row],[ActualHomeScore]]*Table2[[#This Row],[ActualAwayScore]]=0), 1,0)</f>
        <v>0</v>
      </c>
      <c r="AA7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0" s="2">
        <f>Table2[[#This Row],[ActualAwayScore]]-Table2[[#This Row],[PredictedAwayScore]]</f>
        <v>0</v>
      </c>
      <c r="AG720" s="2">
        <f>Table2[[#This Row],[ActualHomeScore]]-Table2[[#This Row],[PredictedHomeScore]]</f>
        <v>0</v>
      </c>
      <c r="AH720" s="2">
        <f t="shared" si="62"/>
        <v>0</v>
      </c>
      <c r="AI720" s="2">
        <f t="shared" si="63"/>
        <v>0</v>
      </c>
      <c r="AJ720" s="2"/>
      <c r="AK720" s="3"/>
      <c r="AL720" s="2">
        <f>IF(Table2[[#This Row],[GameIsOver]]=0,0,IF(Table2[[#This Row],[ActualWinner]]=Table2[[#This Row],[AwayTeam]], 1, 0))</f>
        <v>0</v>
      </c>
      <c r="AM720" s="2">
        <f>IF(Table2[[#This Row],[GameIsOver]]=0,0,IF(Table2[[#This Row],[ActualWinner]]=Table2[[#This Row],[HomeTeam]], 1, 0))</f>
        <v>0</v>
      </c>
      <c r="AN7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0" s="2" t="str">
        <f>INDEX(Sheet5!$B$2:$AG$33, MATCH(Table2[[#This Row],[AwayTeam]],Sheet5!$A$2:$A$33, 0), MATCH(Table2[[#This Row],[HomeTeam]],Sheet5!$A$2:$A$33, 0))</f>
        <v>0-0-0</v>
      </c>
      <c r="AP720" s="2" t="str">
        <f>INDEX(Sheet5!$B$2:$AG$33, MATCH(Table2[[#This Row],[HomeTeam]],Sheet5!$A$2:$A$33, 0), MATCH(Table2[[#This Row],[AwayTeam]],Sheet5!$A$2:$A$33, 0))</f>
        <v>0-0-0</v>
      </c>
      <c r="AQ720" s="2">
        <f>IF(Table2[[#This Row],[GameHasShutOut]], 1, 0)</f>
        <v>0</v>
      </c>
      <c r="AR720" s="2">
        <f>IF(Table2[[#This Row],[ActualAwayScore]] + Table2[[#This Row],[ActualHomeScore]] &gt;= 10, 1, 0)</f>
        <v>0</v>
      </c>
      <c r="AS720" s="2">
        <f>IF(ABS(Table2[[#This Row],[ActualAwayScore]]-Table2[[#This Row],[ActualHomeScore]])&gt;=5, 1, 0)</f>
        <v>0</v>
      </c>
      <c r="AT720" s="2">
        <f>IF(Table2[[#This Row],[ActualAwayScore]] + Table2[[#This Row],[ActualHomeScore]] &lt;= 3, 1, 0)</f>
        <v>1</v>
      </c>
      <c r="AU720" s="2"/>
      <c r="AV720" s="2"/>
    </row>
    <row r="721" spans="1:48" x14ac:dyDescent="0.25">
      <c r="A721" s="3"/>
      <c r="B721" s="3">
        <v>46035</v>
      </c>
      <c r="C721" s="5">
        <v>2025020719</v>
      </c>
      <c r="D721" s="2" t="s">
        <v>40</v>
      </c>
      <c r="E721" s="2" t="s">
        <v>42</v>
      </c>
      <c r="F721" s="2"/>
      <c r="G721" s="2"/>
      <c r="H721" s="2" t="str">
        <f t="shared" si="59"/>
        <v>_</v>
      </c>
      <c r="I721" s="2"/>
      <c r="J721" s="2"/>
      <c r="K721" s="2"/>
      <c r="L721" s="2" t="str">
        <f t="shared" si="60"/>
        <v>_</v>
      </c>
      <c r="M721" s="2"/>
      <c r="N721" s="2">
        <f>IF(ISBLANK(Table2[[#This Row],[ActualResult]]), 0, 1)</f>
        <v>0</v>
      </c>
      <c r="O721" s="2" t="str">
        <f>IF(ISBLANK(Table2[[#This Row],[ActualResult]]), "_", IF(Table2[[#This Row],[ActualWinner]]=Table2[[#This Row],[PredictedWinner]], "Y", "N"))</f>
        <v>_</v>
      </c>
      <c r="P7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1" s="2"/>
      <c r="S721" s="2" t="str">
        <f t="shared" si="61"/>
        <v>_</v>
      </c>
      <c r="T7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1" s="2">
        <f>IF(Table2[[#This Row],[InterConf]]=1,IF(Table2[[#This Row],[InterDiv]]=0, 1, 0), 0)</f>
        <v>1</v>
      </c>
      <c r="W7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1" s="2"/>
      <c r="Y721" s="2"/>
      <c r="Z721" s="145">
        <f>IF(AND(Table2[[#This Row],[GameIsOver]]=1,Table2[[#This Row],[ActualHomeScore]]*Table2[[#This Row],[ActualAwayScore]]=0), 1,0)</f>
        <v>0</v>
      </c>
      <c r="AA7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1" s="2">
        <f>Table2[[#This Row],[ActualAwayScore]]-Table2[[#This Row],[PredictedAwayScore]]</f>
        <v>0</v>
      </c>
      <c r="AG721" s="2">
        <f>Table2[[#This Row],[ActualHomeScore]]-Table2[[#This Row],[PredictedHomeScore]]</f>
        <v>0</v>
      </c>
      <c r="AH721" s="2">
        <f t="shared" si="62"/>
        <v>0</v>
      </c>
      <c r="AI721" s="2">
        <f t="shared" si="63"/>
        <v>0</v>
      </c>
      <c r="AJ721" s="2"/>
      <c r="AK721" s="3"/>
      <c r="AL721" s="2">
        <f>IF(Table2[[#This Row],[GameIsOver]]=0,0,IF(Table2[[#This Row],[ActualWinner]]=Table2[[#This Row],[AwayTeam]], 1, 0))</f>
        <v>0</v>
      </c>
      <c r="AM721" s="2">
        <f>IF(Table2[[#This Row],[GameIsOver]]=0,0,IF(Table2[[#This Row],[ActualWinner]]=Table2[[#This Row],[HomeTeam]], 1, 0))</f>
        <v>0</v>
      </c>
      <c r="AN7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1" s="2" t="str">
        <f>INDEX(Sheet5!$B$2:$AG$33, MATCH(Table2[[#This Row],[AwayTeam]],Sheet5!$A$2:$A$33, 0), MATCH(Table2[[#This Row],[HomeTeam]],Sheet5!$A$2:$A$33, 0))</f>
        <v>0-0-0</v>
      </c>
      <c r="AP721" s="2" t="str">
        <f>INDEX(Sheet5!$B$2:$AG$33, MATCH(Table2[[#This Row],[HomeTeam]],Sheet5!$A$2:$A$33, 0), MATCH(Table2[[#This Row],[AwayTeam]],Sheet5!$A$2:$A$33, 0))</f>
        <v>0-0-0</v>
      </c>
      <c r="AQ721" s="2">
        <f>IF(Table2[[#This Row],[GameHasShutOut]], 1, 0)</f>
        <v>0</v>
      </c>
      <c r="AR721" s="2">
        <f>IF(Table2[[#This Row],[ActualAwayScore]] + Table2[[#This Row],[ActualHomeScore]] &gt;= 10, 1, 0)</f>
        <v>0</v>
      </c>
      <c r="AS721" s="2">
        <f>IF(ABS(Table2[[#This Row],[ActualAwayScore]]-Table2[[#This Row],[ActualHomeScore]])&gt;=5, 1, 0)</f>
        <v>0</v>
      </c>
      <c r="AT721" s="2">
        <f>IF(Table2[[#This Row],[ActualAwayScore]] + Table2[[#This Row],[ActualHomeScore]] &lt;= 3, 1, 0)</f>
        <v>1</v>
      </c>
      <c r="AU721" s="2"/>
      <c r="AV721" s="2"/>
    </row>
    <row r="722" spans="1:48" x14ac:dyDescent="0.25">
      <c r="A722" s="3"/>
      <c r="B722" s="3">
        <v>46035</v>
      </c>
      <c r="C722" s="5">
        <v>2025020720</v>
      </c>
      <c r="D722" s="2" t="s">
        <v>24</v>
      </c>
      <c r="E722" s="2" t="s">
        <v>18</v>
      </c>
      <c r="F722" s="2"/>
      <c r="G722" s="2"/>
      <c r="H722" s="2" t="str">
        <f t="shared" si="59"/>
        <v>_</v>
      </c>
      <c r="I722" s="2"/>
      <c r="J722" s="2"/>
      <c r="K722" s="2"/>
      <c r="L722" s="2" t="str">
        <f t="shared" si="60"/>
        <v>_</v>
      </c>
      <c r="M722" s="2"/>
      <c r="N722" s="2">
        <f>IF(ISBLANK(Table2[[#This Row],[ActualResult]]), 0, 1)</f>
        <v>0</v>
      </c>
      <c r="O722" s="2" t="str">
        <f>IF(ISBLANK(Table2[[#This Row],[ActualResult]]), "_", IF(Table2[[#This Row],[ActualWinner]]=Table2[[#This Row],[PredictedWinner]], "Y", "N"))</f>
        <v>_</v>
      </c>
      <c r="P7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2" s="2"/>
      <c r="S722" s="2" t="str">
        <f t="shared" si="61"/>
        <v>_</v>
      </c>
      <c r="T7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2" s="2">
        <f>IF(Table2[[#This Row],[InterConf]]=1,IF(Table2[[#This Row],[InterDiv]]=0, 1, 0), 0)</f>
        <v>0</v>
      </c>
      <c r="W7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2" s="2"/>
      <c r="Y722" s="2"/>
      <c r="Z722" s="145">
        <f>IF(AND(Table2[[#This Row],[GameIsOver]]=1,Table2[[#This Row],[ActualHomeScore]]*Table2[[#This Row],[ActualAwayScore]]=0), 1,0)</f>
        <v>0</v>
      </c>
      <c r="AA7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2" s="2">
        <f>Table2[[#This Row],[ActualAwayScore]]-Table2[[#This Row],[PredictedAwayScore]]</f>
        <v>0</v>
      </c>
      <c r="AG722" s="2">
        <f>Table2[[#This Row],[ActualHomeScore]]-Table2[[#This Row],[PredictedHomeScore]]</f>
        <v>0</v>
      </c>
      <c r="AH722" s="2">
        <f t="shared" si="62"/>
        <v>0</v>
      </c>
      <c r="AI722" s="2">
        <f t="shared" si="63"/>
        <v>0</v>
      </c>
      <c r="AJ722" s="2"/>
      <c r="AK722" s="3"/>
      <c r="AL722" s="2">
        <f>IF(Table2[[#This Row],[GameIsOver]]=0,0,IF(Table2[[#This Row],[ActualWinner]]=Table2[[#This Row],[AwayTeam]], 1, 0))</f>
        <v>0</v>
      </c>
      <c r="AM722" s="2">
        <f>IF(Table2[[#This Row],[GameIsOver]]=0,0,IF(Table2[[#This Row],[ActualWinner]]=Table2[[#This Row],[HomeTeam]], 1, 0))</f>
        <v>0</v>
      </c>
      <c r="AN7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2" s="2" t="str">
        <f>INDEX(Sheet5!$B$2:$AG$33, MATCH(Table2[[#This Row],[AwayTeam]],Sheet5!$A$2:$A$33, 0), MATCH(Table2[[#This Row],[HomeTeam]],Sheet5!$A$2:$A$33, 0))</f>
        <v>0-0-0</v>
      </c>
      <c r="AP722" s="2" t="str">
        <f>INDEX(Sheet5!$B$2:$AG$33, MATCH(Table2[[#This Row],[HomeTeam]],Sheet5!$A$2:$A$33, 0), MATCH(Table2[[#This Row],[AwayTeam]],Sheet5!$A$2:$A$33, 0))</f>
        <v>0-0-0</v>
      </c>
      <c r="AQ722" s="2">
        <f>IF(Table2[[#This Row],[GameHasShutOut]], 1, 0)</f>
        <v>0</v>
      </c>
      <c r="AR722" s="2">
        <f>IF(Table2[[#This Row],[ActualAwayScore]] + Table2[[#This Row],[ActualHomeScore]] &gt;= 10, 1, 0)</f>
        <v>0</v>
      </c>
      <c r="AS722" s="2">
        <f>IF(ABS(Table2[[#This Row],[ActualAwayScore]]-Table2[[#This Row],[ActualHomeScore]])&gt;=5, 1, 0)</f>
        <v>0</v>
      </c>
      <c r="AT722" s="2">
        <f>IF(Table2[[#This Row],[ActualAwayScore]] + Table2[[#This Row],[ActualHomeScore]] &lt;= 3, 1, 0)</f>
        <v>1</v>
      </c>
      <c r="AU722" s="2"/>
      <c r="AV722" s="2"/>
    </row>
    <row r="723" spans="1:48" x14ac:dyDescent="0.25">
      <c r="A723" s="3"/>
      <c r="B723" s="3">
        <v>46035</v>
      </c>
      <c r="C723" s="5">
        <v>2025020721</v>
      </c>
      <c r="D723" s="2" t="s">
        <v>31</v>
      </c>
      <c r="E723" s="2" t="s">
        <v>36</v>
      </c>
      <c r="F723" s="2"/>
      <c r="G723" s="2"/>
      <c r="H723" s="2" t="str">
        <f t="shared" si="59"/>
        <v>_</v>
      </c>
      <c r="I723" s="2"/>
      <c r="J723" s="2"/>
      <c r="K723" s="2"/>
      <c r="L723" s="2" t="str">
        <f t="shared" si="60"/>
        <v>_</v>
      </c>
      <c r="M723" s="2"/>
      <c r="N723" s="2">
        <f>IF(ISBLANK(Table2[[#This Row],[ActualResult]]), 0, 1)</f>
        <v>0</v>
      </c>
      <c r="O723" s="2" t="str">
        <f>IF(ISBLANK(Table2[[#This Row],[ActualResult]]), "_", IF(Table2[[#This Row],[ActualWinner]]=Table2[[#This Row],[PredictedWinner]], "Y", "N"))</f>
        <v>_</v>
      </c>
      <c r="P7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3" s="2"/>
      <c r="S723" s="2" t="str">
        <f t="shared" si="61"/>
        <v>_</v>
      </c>
      <c r="T7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3" s="2">
        <f>IF(Table2[[#This Row],[InterConf]]=1,IF(Table2[[#This Row],[InterDiv]]=0, 1, 0), 0)</f>
        <v>0</v>
      </c>
      <c r="W7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3" s="2"/>
      <c r="Y723" s="2"/>
      <c r="Z723" s="145">
        <f>IF(AND(Table2[[#This Row],[GameIsOver]]=1,Table2[[#This Row],[ActualHomeScore]]*Table2[[#This Row],[ActualAwayScore]]=0), 1,0)</f>
        <v>0</v>
      </c>
      <c r="AA7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3" s="2">
        <f>Table2[[#This Row],[ActualAwayScore]]-Table2[[#This Row],[PredictedAwayScore]]</f>
        <v>0</v>
      </c>
      <c r="AG723" s="2">
        <f>Table2[[#This Row],[ActualHomeScore]]-Table2[[#This Row],[PredictedHomeScore]]</f>
        <v>0</v>
      </c>
      <c r="AH723" s="2">
        <f t="shared" si="62"/>
        <v>0</v>
      </c>
      <c r="AI723" s="2">
        <f t="shared" si="63"/>
        <v>0</v>
      </c>
      <c r="AJ723" s="2"/>
      <c r="AK723" s="3"/>
      <c r="AL723" s="2">
        <f>IF(Table2[[#This Row],[GameIsOver]]=0,0,IF(Table2[[#This Row],[ActualWinner]]=Table2[[#This Row],[AwayTeam]], 1, 0))</f>
        <v>0</v>
      </c>
      <c r="AM723" s="2">
        <f>IF(Table2[[#This Row],[GameIsOver]]=0,0,IF(Table2[[#This Row],[ActualWinner]]=Table2[[#This Row],[HomeTeam]], 1, 0))</f>
        <v>0</v>
      </c>
      <c r="AN7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3" s="2" t="str">
        <f>INDEX(Sheet5!$B$2:$AG$33, MATCH(Table2[[#This Row],[AwayTeam]],Sheet5!$A$2:$A$33, 0), MATCH(Table2[[#This Row],[HomeTeam]],Sheet5!$A$2:$A$33, 0))</f>
        <v>0-0-0</v>
      </c>
      <c r="AP723" s="2" t="str">
        <f>INDEX(Sheet5!$B$2:$AG$33, MATCH(Table2[[#This Row],[HomeTeam]],Sheet5!$A$2:$A$33, 0), MATCH(Table2[[#This Row],[AwayTeam]],Sheet5!$A$2:$A$33, 0))</f>
        <v>0-0-0</v>
      </c>
      <c r="AQ723" s="2">
        <f>IF(Table2[[#This Row],[GameHasShutOut]], 1, 0)</f>
        <v>0</v>
      </c>
      <c r="AR723" s="2">
        <f>IF(Table2[[#This Row],[ActualAwayScore]] + Table2[[#This Row],[ActualHomeScore]] &gt;= 10, 1, 0)</f>
        <v>0</v>
      </c>
      <c r="AS723" s="2">
        <f>IF(ABS(Table2[[#This Row],[ActualAwayScore]]-Table2[[#This Row],[ActualHomeScore]])&gt;=5, 1, 0)</f>
        <v>0</v>
      </c>
      <c r="AT723" s="2">
        <f>IF(Table2[[#This Row],[ActualAwayScore]] + Table2[[#This Row],[ActualHomeScore]] &lt;= 3, 1, 0)</f>
        <v>1</v>
      </c>
      <c r="AU723" s="2"/>
      <c r="AV723" s="2"/>
    </row>
    <row r="724" spans="1:48" x14ac:dyDescent="0.25">
      <c r="A724" s="3"/>
      <c r="B724" s="3">
        <v>46035</v>
      </c>
      <c r="C724" s="5">
        <v>2025020722</v>
      </c>
      <c r="D724" s="2" t="s">
        <v>22</v>
      </c>
      <c r="E724" s="2" t="s">
        <v>16</v>
      </c>
      <c r="F724" s="2"/>
      <c r="G724" s="2"/>
      <c r="H724" s="2" t="str">
        <f t="shared" si="59"/>
        <v>_</v>
      </c>
      <c r="I724" s="2"/>
      <c r="J724" s="2"/>
      <c r="K724" s="2"/>
      <c r="L724" s="2" t="str">
        <f t="shared" si="60"/>
        <v>_</v>
      </c>
      <c r="M724" s="2"/>
      <c r="N724" s="2">
        <f>IF(ISBLANK(Table2[[#This Row],[ActualResult]]), 0, 1)</f>
        <v>0</v>
      </c>
      <c r="O724" s="2" t="str">
        <f>IF(ISBLANK(Table2[[#This Row],[ActualResult]]), "_", IF(Table2[[#This Row],[ActualWinner]]=Table2[[#This Row],[PredictedWinner]], "Y", "N"))</f>
        <v>_</v>
      </c>
      <c r="P7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4" s="2"/>
      <c r="S724" s="2" t="str">
        <f t="shared" si="61"/>
        <v>_</v>
      </c>
      <c r="T7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4" s="2">
        <f>IF(Table2[[#This Row],[InterConf]]=1,IF(Table2[[#This Row],[InterDiv]]=0, 1, 0), 0)</f>
        <v>1</v>
      </c>
      <c r="W7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4" s="2"/>
      <c r="Y724" s="2"/>
      <c r="Z724" s="145">
        <f>IF(AND(Table2[[#This Row],[GameIsOver]]=1,Table2[[#This Row],[ActualHomeScore]]*Table2[[#This Row],[ActualAwayScore]]=0), 1,0)</f>
        <v>0</v>
      </c>
      <c r="AA7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4" s="2">
        <f>Table2[[#This Row],[ActualAwayScore]]-Table2[[#This Row],[PredictedAwayScore]]</f>
        <v>0</v>
      </c>
      <c r="AG724" s="2">
        <f>Table2[[#This Row],[ActualHomeScore]]-Table2[[#This Row],[PredictedHomeScore]]</f>
        <v>0</v>
      </c>
      <c r="AH724" s="2">
        <f t="shared" si="62"/>
        <v>0</v>
      </c>
      <c r="AI724" s="2">
        <f t="shared" si="63"/>
        <v>0</v>
      </c>
      <c r="AJ724" s="2"/>
      <c r="AK724" s="3"/>
      <c r="AL724" s="2">
        <f>IF(Table2[[#This Row],[GameIsOver]]=0,0,IF(Table2[[#This Row],[ActualWinner]]=Table2[[#This Row],[AwayTeam]], 1, 0))</f>
        <v>0</v>
      </c>
      <c r="AM724" s="2">
        <f>IF(Table2[[#This Row],[GameIsOver]]=0,0,IF(Table2[[#This Row],[ActualWinner]]=Table2[[#This Row],[HomeTeam]], 1, 0))</f>
        <v>0</v>
      </c>
      <c r="AN7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4" s="2" t="str">
        <f>INDEX(Sheet5!$B$2:$AG$33, MATCH(Table2[[#This Row],[AwayTeam]],Sheet5!$A$2:$A$33, 0), MATCH(Table2[[#This Row],[HomeTeam]],Sheet5!$A$2:$A$33, 0))</f>
        <v>0-0-0</v>
      </c>
      <c r="AP724" s="2" t="str">
        <f>INDEX(Sheet5!$B$2:$AG$33, MATCH(Table2[[#This Row],[HomeTeam]],Sheet5!$A$2:$A$33, 0), MATCH(Table2[[#This Row],[AwayTeam]],Sheet5!$A$2:$A$33, 0))</f>
        <v>0-0-0</v>
      </c>
      <c r="AQ724" s="2">
        <f>IF(Table2[[#This Row],[GameHasShutOut]], 1, 0)</f>
        <v>0</v>
      </c>
      <c r="AR724" s="2">
        <f>IF(Table2[[#This Row],[ActualAwayScore]] + Table2[[#This Row],[ActualHomeScore]] &gt;= 10, 1, 0)</f>
        <v>0</v>
      </c>
      <c r="AS724" s="2">
        <f>IF(ABS(Table2[[#This Row],[ActualAwayScore]]-Table2[[#This Row],[ActualHomeScore]])&gt;=5, 1, 0)</f>
        <v>0</v>
      </c>
      <c r="AT724" s="2">
        <f>IF(Table2[[#This Row],[ActualAwayScore]] + Table2[[#This Row],[ActualHomeScore]] &lt;= 3, 1, 0)</f>
        <v>1</v>
      </c>
      <c r="AU724" s="2"/>
      <c r="AV724" s="2"/>
    </row>
    <row r="725" spans="1:48" x14ac:dyDescent="0.25">
      <c r="A725" s="3"/>
      <c r="B725" s="3">
        <v>46035</v>
      </c>
      <c r="C725" s="5">
        <v>2025020723</v>
      </c>
      <c r="D725" s="2" t="s">
        <v>17</v>
      </c>
      <c r="E725" s="2" t="s">
        <v>25</v>
      </c>
      <c r="F725" s="2"/>
      <c r="G725" s="2"/>
      <c r="H725" s="2" t="str">
        <f t="shared" si="59"/>
        <v>_</v>
      </c>
      <c r="I725" s="2"/>
      <c r="J725" s="2"/>
      <c r="K725" s="2"/>
      <c r="L725" s="2" t="str">
        <f t="shared" si="60"/>
        <v>_</v>
      </c>
      <c r="M725" s="2"/>
      <c r="N725" s="2">
        <f>IF(ISBLANK(Table2[[#This Row],[ActualResult]]), 0, 1)</f>
        <v>0</v>
      </c>
      <c r="O725" s="2" t="str">
        <f>IF(ISBLANK(Table2[[#This Row],[ActualResult]]), "_", IF(Table2[[#This Row],[ActualWinner]]=Table2[[#This Row],[PredictedWinner]], "Y", "N"))</f>
        <v>_</v>
      </c>
      <c r="P7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5" s="2"/>
      <c r="S725" s="2" t="str">
        <f t="shared" si="61"/>
        <v>_</v>
      </c>
      <c r="T7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5" s="2">
        <f>IF(Table2[[#This Row],[InterConf]]=1,IF(Table2[[#This Row],[InterDiv]]=0, 1, 0), 0)</f>
        <v>0</v>
      </c>
      <c r="W7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5" s="2"/>
      <c r="Y725" s="2"/>
      <c r="Z725" s="145">
        <f>IF(AND(Table2[[#This Row],[GameIsOver]]=1,Table2[[#This Row],[ActualHomeScore]]*Table2[[#This Row],[ActualAwayScore]]=0), 1,0)</f>
        <v>0</v>
      </c>
      <c r="AA7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5" s="2">
        <f>Table2[[#This Row],[ActualAwayScore]]-Table2[[#This Row],[PredictedAwayScore]]</f>
        <v>0</v>
      </c>
      <c r="AG725" s="2">
        <f>Table2[[#This Row],[ActualHomeScore]]-Table2[[#This Row],[PredictedHomeScore]]</f>
        <v>0</v>
      </c>
      <c r="AH725" s="2">
        <f t="shared" si="62"/>
        <v>0</v>
      </c>
      <c r="AI725" s="2">
        <f t="shared" si="63"/>
        <v>0</v>
      </c>
      <c r="AJ725" s="2"/>
      <c r="AK725" s="3"/>
      <c r="AL725" s="2">
        <f>IF(Table2[[#This Row],[GameIsOver]]=0,0,IF(Table2[[#This Row],[ActualWinner]]=Table2[[#This Row],[AwayTeam]], 1, 0))</f>
        <v>0</v>
      </c>
      <c r="AM725" s="2">
        <f>IF(Table2[[#This Row],[GameIsOver]]=0,0,IF(Table2[[#This Row],[ActualWinner]]=Table2[[#This Row],[HomeTeam]], 1, 0))</f>
        <v>0</v>
      </c>
      <c r="AN7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5" s="2" t="str">
        <f>INDEX(Sheet5!$B$2:$AG$33, MATCH(Table2[[#This Row],[AwayTeam]],Sheet5!$A$2:$A$33, 0), MATCH(Table2[[#This Row],[HomeTeam]],Sheet5!$A$2:$A$33, 0))</f>
        <v>0-0-0</v>
      </c>
      <c r="AP725" s="2" t="str">
        <f>INDEX(Sheet5!$B$2:$AG$33, MATCH(Table2[[#This Row],[HomeTeam]],Sheet5!$A$2:$A$33, 0), MATCH(Table2[[#This Row],[AwayTeam]],Sheet5!$A$2:$A$33, 0))</f>
        <v>0-0-0</v>
      </c>
      <c r="AQ725" s="2">
        <f>IF(Table2[[#This Row],[GameHasShutOut]], 1, 0)</f>
        <v>0</v>
      </c>
      <c r="AR725" s="2">
        <f>IF(Table2[[#This Row],[ActualAwayScore]] + Table2[[#This Row],[ActualHomeScore]] &gt;= 10, 1, 0)</f>
        <v>0</v>
      </c>
      <c r="AS725" s="2">
        <f>IF(ABS(Table2[[#This Row],[ActualAwayScore]]-Table2[[#This Row],[ActualHomeScore]])&gt;=5, 1, 0)</f>
        <v>0</v>
      </c>
      <c r="AT725" s="2">
        <f>IF(Table2[[#This Row],[ActualAwayScore]] + Table2[[#This Row],[ActualHomeScore]] &lt;= 3, 1, 0)</f>
        <v>1</v>
      </c>
      <c r="AU725" s="2"/>
      <c r="AV725" s="2"/>
    </row>
    <row r="726" spans="1:48" x14ac:dyDescent="0.25">
      <c r="A726" s="3"/>
      <c r="B726" s="3">
        <v>46035</v>
      </c>
      <c r="C726" s="5">
        <v>2025020724</v>
      </c>
      <c r="D726" s="2" t="s">
        <v>33</v>
      </c>
      <c r="E726" s="2" t="s">
        <v>27</v>
      </c>
      <c r="F726" s="2"/>
      <c r="G726" s="2"/>
      <c r="H726" s="2" t="str">
        <f t="shared" si="59"/>
        <v>_</v>
      </c>
      <c r="I726" s="2"/>
      <c r="J726" s="2"/>
      <c r="K726" s="2"/>
      <c r="L726" s="2" t="str">
        <f t="shared" si="60"/>
        <v>_</v>
      </c>
      <c r="M726" s="2"/>
      <c r="N726" s="2">
        <f>IF(ISBLANK(Table2[[#This Row],[ActualResult]]), 0, 1)</f>
        <v>0</v>
      </c>
      <c r="O726" s="2" t="str">
        <f>IF(ISBLANK(Table2[[#This Row],[ActualResult]]), "_", IF(Table2[[#This Row],[ActualWinner]]=Table2[[#This Row],[PredictedWinner]], "Y", "N"))</f>
        <v>_</v>
      </c>
      <c r="P7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6" s="2"/>
      <c r="S726" s="2" t="str">
        <f t="shared" si="61"/>
        <v>_</v>
      </c>
      <c r="T7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6" s="2">
        <f>IF(Table2[[#This Row],[InterConf]]=1,IF(Table2[[#This Row],[InterDiv]]=0, 1, 0), 0)</f>
        <v>1</v>
      </c>
      <c r="W7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6" s="2"/>
      <c r="Y726" s="2"/>
      <c r="Z726" s="145">
        <f>IF(AND(Table2[[#This Row],[GameIsOver]]=1,Table2[[#This Row],[ActualHomeScore]]*Table2[[#This Row],[ActualAwayScore]]=0), 1,0)</f>
        <v>0</v>
      </c>
      <c r="AA7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6" s="2">
        <f>Table2[[#This Row],[ActualAwayScore]]-Table2[[#This Row],[PredictedAwayScore]]</f>
        <v>0</v>
      </c>
      <c r="AG726" s="2">
        <f>Table2[[#This Row],[ActualHomeScore]]-Table2[[#This Row],[PredictedHomeScore]]</f>
        <v>0</v>
      </c>
      <c r="AH726" s="2">
        <f t="shared" si="62"/>
        <v>0</v>
      </c>
      <c r="AI726" s="2">
        <f t="shared" si="63"/>
        <v>0</v>
      </c>
      <c r="AJ726" s="2"/>
      <c r="AK726" s="3"/>
      <c r="AL726" s="2">
        <f>IF(Table2[[#This Row],[GameIsOver]]=0,0,IF(Table2[[#This Row],[ActualWinner]]=Table2[[#This Row],[AwayTeam]], 1, 0))</f>
        <v>0</v>
      </c>
      <c r="AM726" s="2">
        <f>IF(Table2[[#This Row],[GameIsOver]]=0,0,IF(Table2[[#This Row],[ActualWinner]]=Table2[[#This Row],[HomeTeam]], 1, 0))</f>
        <v>0</v>
      </c>
      <c r="AN726" s="2">
        <f>IF(IFERROR(FIND(Table2[[#This Row],[AwayTeam]], _xlfn.TEXTJOIN(";", 1, $BD$31:$BD$40)), 0) &gt; 0, 1, 0) + IF(IFERROR(FIND(Table2[[#This Row],[HomeTeam]], _xlfn.TEXTJOIN(";", 1, $BD$31:$BD$40)), 0) &gt; 0, 1, 0)</f>
        <v>1</v>
      </c>
      <c r="AO726" s="2" t="str">
        <f>INDEX(Sheet5!$B$2:$AG$33, MATCH(Table2[[#This Row],[AwayTeam]],Sheet5!$A$2:$A$33, 0), MATCH(Table2[[#This Row],[HomeTeam]],Sheet5!$A$2:$A$33, 0))</f>
        <v>0-0-0</v>
      </c>
      <c r="AP726" s="2" t="str">
        <f>INDEX(Sheet5!$B$2:$AG$33, MATCH(Table2[[#This Row],[HomeTeam]],Sheet5!$A$2:$A$33, 0), MATCH(Table2[[#This Row],[AwayTeam]],Sheet5!$A$2:$A$33, 0))</f>
        <v>0-0-0</v>
      </c>
      <c r="AQ726" s="2">
        <f>IF(Table2[[#This Row],[GameHasShutOut]], 1, 0)</f>
        <v>0</v>
      </c>
      <c r="AR726" s="2">
        <f>IF(Table2[[#This Row],[ActualAwayScore]] + Table2[[#This Row],[ActualHomeScore]] &gt;= 10, 1, 0)</f>
        <v>0</v>
      </c>
      <c r="AS726" s="2">
        <f>IF(ABS(Table2[[#This Row],[ActualAwayScore]]-Table2[[#This Row],[ActualHomeScore]])&gt;=5, 1, 0)</f>
        <v>0</v>
      </c>
      <c r="AT726" s="2">
        <f>IF(Table2[[#This Row],[ActualAwayScore]] + Table2[[#This Row],[ActualHomeScore]] &lt;= 3, 1, 0)</f>
        <v>1</v>
      </c>
      <c r="AU726" s="2"/>
      <c r="AV726" s="2"/>
    </row>
    <row r="727" spans="1:48" x14ac:dyDescent="0.25">
      <c r="A727" s="3"/>
      <c r="B727" s="3">
        <v>46036</v>
      </c>
      <c r="C727" s="5">
        <v>2025020725</v>
      </c>
      <c r="D727" s="2" t="s">
        <v>24</v>
      </c>
      <c r="E727" s="2" t="s">
        <v>29</v>
      </c>
      <c r="F727" s="2"/>
      <c r="G727" s="2"/>
      <c r="H727" s="2" t="str">
        <f t="shared" si="59"/>
        <v>_</v>
      </c>
      <c r="I727" s="2"/>
      <c r="J727" s="2"/>
      <c r="K727" s="2"/>
      <c r="L727" s="2" t="str">
        <f t="shared" si="60"/>
        <v>_</v>
      </c>
      <c r="M727" s="2"/>
      <c r="N727" s="2">
        <f>IF(ISBLANK(Table2[[#This Row],[ActualResult]]), 0, 1)</f>
        <v>0</v>
      </c>
      <c r="O727" s="2" t="str">
        <f>IF(ISBLANK(Table2[[#This Row],[ActualResult]]), "_", IF(Table2[[#This Row],[ActualWinner]]=Table2[[#This Row],[PredictedWinner]], "Y", "N"))</f>
        <v>_</v>
      </c>
      <c r="P7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7" s="2"/>
      <c r="S727" s="2" t="str">
        <f t="shared" si="61"/>
        <v>_</v>
      </c>
      <c r="T7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7" s="2">
        <f>IF(Table2[[#This Row],[InterConf]]=1,IF(Table2[[#This Row],[InterDiv]]=0, 1, 0), 0)</f>
        <v>0</v>
      </c>
      <c r="W7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7" s="2"/>
      <c r="Y727" s="2"/>
      <c r="Z727" s="145">
        <f>IF(AND(Table2[[#This Row],[GameIsOver]]=1,Table2[[#This Row],[ActualHomeScore]]*Table2[[#This Row],[ActualAwayScore]]=0), 1,0)</f>
        <v>0</v>
      </c>
      <c r="AA7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27" s="2">
        <f>Table2[[#This Row],[ActualAwayScore]]-Table2[[#This Row],[PredictedAwayScore]]</f>
        <v>0</v>
      </c>
      <c r="AG727" s="2">
        <f>Table2[[#This Row],[ActualHomeScore]]-Table2[[#This Row],[PredictedHomeScore]]</f>
        <v>0</v>
      </c>
      <c r="AH727" s="2">
        <f t="shared" si="62"/>
        <v>0</v>
      </c>
      <c r="AI727" s="2">
        <f t="shared" si="63"/>
        <v>0</v>
      </c>
      <c r="AJ727" s="2"/>
      <c r="AK727" s="3"/>
      <c r="AL727" s="2">
        <f>IF(Table2[[#This Row],[GameIsOver]]=0,0,IF(Table2[[#This Row],[ActualWinner]]=Table2[[#This Row],[AwayTeam]], 1, 0))</f>
        <v>0</v>
      </c>
      <c r="AM727" s="2">
        <f>IF(Table2[[#This Row],[GameIsOver]]=0,0,IF(Table2[[#This Row],[ActualWinner]]=Table2[[#This Row],[HomeTeam]], 1, 0))</f>
        <v>0</v>
      </c>
      <c r="AN7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7" s="2" t="str">
        <f>INDEX(Sheet5!$B$2:$AG$33, MATCH(Table2[[#This Row],[AwayTeam]],Sheet5!$A$2:$A$33, 0), MATCH(Table2[[#This Row],[HomeTeam]],Sheet5!$A$2:$A$33, 0))</f>
        <v>0-0-0</v>
      </c>
      <c r="AP727" s="2" t="str">
        <f>INDEX(Sheet5!$B$2:$AG$33, MATCH(Table2[[#This Row],[HomeTeam]],Sheet5!$A$2:$A$33, 0), MATCH(Table2[[#This Row],[AwayTeam]],Sheet5!$A$2:$A$33, 0))</f>
        <v>0-0-0</v>
      </c>
      <c r="AQ727" s="2">
        <f>IF(Table2[[#This Row],[GameHasShutOut]], 1, 0)</f>
        <v>0</v>
      </c>
      <c r="AR727" s="2">
        <f>IF(Table2[[#This Row],[ActualAwayScore]] + Table2[[#This Row],[ActualHomeScore]] &gt;= 10, 1, 0)</f>
        <v>0</v>
      </c>
      <c r="AS727" s="2">
        <f>IF(ABS(Table2[[#This Row],[ActualAwayScore]]-Table2[[#This Row],[ActualHomeScore]])&gt;=5, 1, 0)</f>
        <v>0</v>
      </c>
      <c r="AT727" s="2">
        <f>IF(Table2[[#This Row],[ActualAwayScore]] + Table2[[#This Row],[ActualHomeScore]] &lt;= 3, 1, 0)</f>
        <v>1</v>
      </c>
      <c r="AU727" s="2"/>
      <c r="AV727" s="2"/>
    </row>
    <row r="728" spans="1:48" x14ac:dyDescent="0.25">
      <c r="A728" s="3"/>
      <c r="B728" s="3">
        <v>46036</v>
      </c>
      <c r="C728" s="5">
        <v>2025020726</v>
      </c>
      <c r="D728" s="2" t="s">
        <v>40</v>
      </c>
      <c r="E728" s="2" t="s">
        <v>20</v>
      </c>
      <c r="F728" s="2"/>
      <c r="G728" s="2"/>
      <c r="H728" s="2" t="str">
        <f t="shared" si="59"/>
        <v>_</v>
      </c>
      <c r="I728" s="2"/>
      <c r="J728" s="2"/>
      <c r="K728" s="2"/>
      <c r="L728" s="2" t="str">
        <f t="shared" si="60"/>
        <v>_</v>
      </c>
      <c r="M728" s="2"/>
      <c r="N728" s="2">
        <f>IF(ISBLANK(Table2[[#This Row],[ActualResult]]), 0, 1)</f>
        <v>0</v>
      </c>
      <c r="O728" s="2" t="str">
        <f>IF(ISBLANK(Table2[[#This Row],[ActualResult]]), "_", IF(Table2[[#This Row],[ActualWinner]]=Table2[[#This Row],[PredictedWinner]], "Y", "N"))</f>
        <v>_</v>
      </c>
      <c r="P7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8" s="2"/>
      <c r="S728" s="2" t="str">
        <f t="shared" si="61"/>
        <v>_</v>
      </c>
      <c r="T7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8" s="2">
        <f>IF(Table2[[#This Row],[InterConf]]=1,IF(Table2[[#This Row],[InterDiv]]=0, 1, 0), 0)</f>
        <v>1</v>
      </c>
      <c r="W7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8" s="2"/>
      <c r="Y728" s="2"/>
      <c r="Z728" s="145">
        <f>IF(AND(Table2[[#This Row],[GameIsOver]]=1,Table2[[#This Row],[ActualHomeScore]]*Table2[[#This Row],[ActualAwayScore]]=0), 1,0)</f>
        <v>0</v>
      </c>
      <c r="AA7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28" s="2">
        <f>Table2[[#This Row],[ActualAwayScore]]-Table2[[#This Row],[PredictedAwayScore]]</f>
        <v>0</v>
      </c>
      <c r="AG728" s="2">
        <f>Table2[[#This Row],[ActualHomeScore]]-Table2[[#This Row],[PredictedHomeScore]]</f>
        <v>0</v>
      </c>
      <c r="AH728" s="2">
        <f t="shared" si="62"/>
        <v>0</v>
      </c>
      <c r="AI728" s="2">
        <f t="shared" si="63"/>
        <v>0</v>
      </c>
      <c r="AJ728" s="2"/>
      <c r="AK728" s="3"/>
      <c r="AL728" s="2">
        <f>IF(Table2[[#This Row],[GameIsOver]]=0,0,IF(Table2[[#This Row],[ActualWinner]]=Table2[[#This Row],[AwayTeam]], 1, 0))</f>
        <v>0</v>
      </c>
      <c r="AM728" s="2">
        <f>IF(Table2[[#This Row],[GameIsOver]]=0,0,IF(Table2[[#This Row],[ActualWinner]]=Table2[[#This Row],[HomeTeam]], 1, 0))</f>
        <v>0</v>
      </c>
      <c r="AN7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8" s="2" t="str">
        <f>INDEX(Sheet5!$B$2:$AG$33, MATCH(Table2[[#This Row],[AwayTeam]],Sheet5!$A$2:$A$33, 0), MATCH(Table2[[#This Row],[HomeTeam]],Sheet5!$A$2:$A$33, 0))</f>
        <v>0-0-0</v>
      </c>
      <c r="AP728" s="2" t="str">
        <f>INDEX(Sheet5!$B$2:$AG$33, MATCH(Table2[[#This Row],[HomeTeam]],Sheet5!$A$2:$A$33, 0), MATCH(Table2[[#This Row],[AwayTeam]],Sheet5!$A$2:$A$33, 0))</f>
        <v>0-0-0</v>
      </c>
      <c r="AQ728" s="2">
        <f>IF(Table2[[#This Row],[GameHasShutOut]], 1, 0)</f>
        <v>0</v>
      </c>
      <c r="AR728" s="2">
        <f>IF(Table2[[#This Row],[ActualAwayScore]] + Table2[[#This Row],[ActualHomeScore]] &gt;= 10, 1, 0)</f>
        <v>0</v>
      </c>
      <c r="AS728" s="2">
        <f>IF(ABS(Table2[[#This Row],[ActualAwayScore]]-Table2[[#This Row],[ActualHomeScore]])&gt;=5, 1, 0)</f>
        <v>0</v>
      </c>
      <c r="AT728" s="2">
        <f>IF(Table2[[#This Row],[ActualAwayScore]] + Table2[[#This Row],[ActualHomeScore]] &lt;= 3, 1, 0)</f>
        <v>1</v>
      </c>
      <c r="AU728" s="2"/>
      <c r="AV728" s="2"/>
    </row>
    <row r="729" spans="1:48" x14ac:dyDescent="0.25">
      <c r="A729" s="3"/>
      <c r="B729" s="3">
        <v>46036</v>
      </c>
      <c r="C729" s="5">
        <v>2025020727</v>
      </c>
      <c r="D729" s="2" t="s">
        <v>18</v>
      </c>
      <c r="E729" s="2" t="s">
        <v>43</v>
      </c>
      <c r="F729" s="2"/>
      <c r="G729" s="2"/>
      <c r="H729" s="2" t="str">
        <f t="shared" si="59"/>
        <v>_</v>
      </c>
      <c r="I729" s="2"/>
      <c r="J729" s="2"/>
      <c r="K729" s="2"/>
      <c r="L729" s="2" t="str">
        <f t="shared" si="60"/>
        <v>_</v>
      </c>
      <c r="M729" s="2"/>
      <c r="N729" s="2">
        <f>IF(ISBLANK(Table2[[#This Row],[ActualResult]]), 0, 1)</f>
        <v>0</v>
      </c>
      <c r="O729" s="2" t="str">
        <f>IF(ISBLANK(Table2[[#This Row],[ActualResult]]), "_", IF(Table2[[#This Row],[ActualWinner]]=Table2[[#This Row],[PredictedWinner]], "Y", "N"))</f>
        <v>_</v>
      </c>
      <c r="P7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9" s="2"/>
      <c r="S729" s="2" t="str">
        <f t="shared" si="61"/>
        <v>_</v>
      </c>
      <c r="T7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9" s="2">
        <f>IF(Table2[[#This Row],[InterConf]]=1,IF(Table2[[#This Row],[InterDiv]]=0, 1, 0), 0)</f>
        <v>1</v>
      </c>
      <c r="W7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9" s="2"/>
      <c r="Y729" s="2"/>
      <c r="Z729" s="145">
        <f>IF(AND(Table2[[#This Row],[GameIsOver]]=1,Table2[[#This Row],[ActualHomeScore]]*Table2[[#This Row],[ActualAwayScore]]=0), 1,0)</f>
        <v>0</v>
      </c>
      <c r="AA7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29" s="2">
        <f>Table2[[#This Row],[ActualAwayScore]]-Table2[[#This Row],[PredictedAwayScore]]</f>
        <v>0</v>
      </c>
      <c r="AG729" s="2">
        <f>Table2[[#This Row],[ActualHomeScore]]-Table2[[#This Row],[PredictedHomeScore]]</f>
        <v>0</v>
      </c>
      <c r="AH729" s="2">
        <f t="shared" si="62"/>
        <v>0</v>
      </c>
      <c r="AI729" s="2">
        <f t="shared" si="63"/>
        <v>0</v>
      </c>
      <c r="AJ729" s="2"/>
      <c r="AK729" s="3"/>
      <c r="AL729" s="2">
        <f>IF(Table2[[#This Row],[GameIsOver]]=0,0,IF(Table2[[#This Row],[ActualWinner]]=Table2[[#This Row],[AwayTeam]], 1, 0))</f>
        <v>0</v>
      </c>
      <c r="AM729" s="2">
        <f>IF(Table2[[#This Row],[GameIsOver]]=0,0,IF(Table2[[#This Row],[ActualWinner]]=Table2[[#This Row],[HomeTeam]], 1, 0))</f>
        <v>0</v>
      </c>
      <c r="AN7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9" s="2" t="str">
        <f>INDEX(Sheet5!$B$2:$AG$33, MATCH(Table2[[#This Row],[AwayTeam]],Sheet5!$A$2:$A$33, 0), MATCH(Table2[[#This Row],[HomeTeam]],Sheet5!$A$2:$A$33, 0))</f>
        <v>0-0-0</v>
      </c>
      <c r="AP729" s="2" t="str">
        <f>INDEX(Sheet5!$B$2:$AG$33, MATCH(Table2[[#This Row],[HomeTeam]],Sheet5!$A$2:$A$33, 0), MATCH(Table2[[#This Row],[AwayTeam]],Sheet5!$A$2:$A$33, 0))</f>
        <v>0-0-0</v>
      </c>
      <c r="AQ729" s="2">
        <f>IF(Table2[[#This Row],[GameHasShutOut]], 1, 0)</f>
        <v>0</v>
      </c>
      <c r="AR729" s="2">
        <f>IF(Table2[[#This Row],[ActualAwayScore]] + Table2[[#This Row],[ActualHomeScore]] &gt;= 10, 1, 0)</f>
        <v>0</v>
      </c>
      <c r="AS729" s="2">
        <f>IF(ABS(Table2[[#This Row],[ActualAwayScore]]-Table2[[#This Row],[ActualHomeScore]])&gt;=5, 1, 0)</f>
        <v>0</v>
      </c>
      <c r="AT729" s="2">
        <f>IF(Table2[[#This Row],[ActualAwayScore]] + Table2[[#This Row],[ActualHomeScore]] &lt;= 3, 1, 0)</f>
        <v>1</v>
      </c>
      <c r="AU729" s="2"/>
      <c r="AV729" s="2"/>
    </row>
    <row r="730" spans="1:48" x14ac:dyDescent="0.25">
      <c r="A730" s="3"/>
      <c r="B730" s="3">
        <v>46036</v>
      </c>
      <c r="C730" s="5">
        <v>2025020728</v>
      </c>
      <c r="D730" s="2" t="s">
        <v>23</v>
      </c>
      <c r="E730" s="2" t="s">
        <v>35</v>
      </c>
      <c r="F730" s="2"/>
      <c r="G730" s="2"/>
      <c r="H730" s="2" t="str">
        <f t="shared" si="59"/>
        <v>_</v>
      </c>
      <c r="I730" s="2"/>
      <c r="J730" s="2"/>
      <c r="K730" s="2"/>
      <c r="L730" s="2" t="str">
        <f t="shared" si="60"/>
        <v>_</v>
      </c>
      <c r="M730" s="2"/>
      <c r="N730" s="2">
        <f>IF(ISBLANK(Table2[[#This Row],[ActualResult]]), 0, 1)</f>
        <v>0</v>
      </c>
      <c r="O730" s="2" t="str">
        <f>IF(ISBLANK(Table2[[#This Row],[ActualResult]]), "_", IF(Table2[[#This Row],[ActualWinner]]=Table2[[#This Row],[PredictedWinner]], "Y", "N"))</f>
        <v>_</v>
      </c>
      <c r="P7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0" s="2"/>
      <c r="S730" s="2" t="str">
        <f t="shared" si="61"/>
        <v>_</v>
      </c>
      <c r="T7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0" s="2">
        <f>IF(Table2[[#This Row],[InterConf]]=1,IF(Table2[[#This Row],[InterDiv]]=0, 1, 0), 0)</f>
        <v>0</v>
      </c>
      <c r="W7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0" s="2"/>
      <c r="Y730" s="2"/>
      <c r="Z730" s="145">
        <f>IF(AND(Table2[[#This Row],[GameIsOver]]=1,Table2[[#This Row],[ActualHomeScore]]*Table2[[#This Row],[ActualAwayScore]]=0), 1,0)</f>
        <v>0</v>
      </c>
      <c r="AA7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0" s="2">
        <f>Table2[[#This Row],[ActualAwayScore]]-Table2[[#This Row],[PredictedAwayScore]]</f>
        <v>0</v>
      </c>
      <c r="AG730" s="2">
        <f>Table2[[#This Row],[ActualHomeScore]]-Table2[[#This Row],[PredictedHomeScore]]</f>
        <v>0</v>
      </c>
      <c r="AH730" s="2">
        <f t="shared" si="62"/>
        <v>0</v>
      </c>
      <c r="AI730" s="2">
        <f t="shared" si="63"/>
        <v>0</v>
      </c>
      <c r="AJ730" s="2"/>
      <c r="AK730" s="3"/>
      <c r="AL730" s="2">
        <f>IF(Table2[[#This Row],[GameIsOver]]=0,0,IF(Table2[[#This Row],[ActualWinner]]=Table2[[#This Row],[AwayTeam]], 1, 0))</f>
        <v>0</v>
      </c>
      <c r="AM730" s="2">
        <f>IF(Table2[[#This Row],[GameIsOver]]=0,0,IF(Table2[[#This Row],[ActualWinner]]=Table2[[#This Row],[HomeTeam]], 1, 0))</f>
        <v>0</v>
      </c>
      <c r="AN7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0" s="2" t="str">
        <f>INDEX(Sheet5!$B$2:$AG$33, MATCH(Table2[[#This Row],[AwayTeam]],Sheet5!$A$2:$A$33, 0), MATCH(Table2[[#This Row],[HomeTeam]],Sheet5!$A$2:$A$33, 0))</f>
        <v>0-0-0</v>
      </c>
      <c r="AP730" s="2" t="str">
        <f>INDEX(Sheet5!$B$2:$AG$33, MATCH(Table2[[#This Row],[HomeTeam]],Sheet5!$A$2:$A$33, 0), MATCH(Table2[[#This Row],[AwayTeam]],Sheet5!$A$2:$A$33, 0))</f>
        <v>0-0-0</v>
      </c>
      <c r="AQ730" s="2">
        <f>IF(Table2[[#This Row],[GameHasShutOut]], 1, 0)</f>
        <v>0</v>
      </c>
      <c r="AR730" s="2">
        <f>IF(Table2[[#This Row],[ActualAwayScore]] + Table2[[#This Row],[ActualHomeScore]] &gt;= 10, 1, 0)</f>
        <v>0</v>
      </c>
      <c r="AS730" s="2">
        <f>IF(ABS(Table2[[#This Row],[ActualAwayScore]]-Table2[[#This Row],[ActualHomeScore]])&gt;=5, 1, 0)</f>
        <v>0</v>
      </c>
      <c r="AT730" s="2">
        <f>IF(Table2[[#This Row],[ActualAwayScore]] + Table2[[#This Row],[ActualHomeScore]] &lt;= 3, 1, 0)</f>
        <v>1</v>
      </c>
      <c r="AU730" s="2"/>
      <c r="AV730" s="2"/>
    </row>
    <row r="731" spans="1:48" x14ac:dyDescent="0.25">
      <c r="A731" s="3"/>
      <c r="B731" s="3">
        <v>46036</v>
      </c>
      <c r="C731" s="5">
        <v>2025020729</v>
      </c>
      <c r="D731" s="2" t="s">
        <v>30</v>
      </c>
      <c r="E731" s="2" t="s">
        <v>15</v>
      </c>
      <c r="F731" s="2"/>
      <c r="G731" s="2"/>
      <c r="H731" s="2" t="str">
        <f t="shared" si="59"/>
        <v>_</v>
      </c>
      <c r="I731" s="2"/>
      <c r="J731" s="2"/>
      <c r="K731" s="2"/>
      <c r="L731" s="2" t="str">
        <f t="shared" si="60"/>
        <v>_</v>
      </c>
      <c r="M731" s="2"/>
      <c r="N731" s="2">
        <f>IF(ISBLANK(Table2[[#This Row],[ActualResult]]), 0, 1)</f>
        <v>0</v>
      </c>
      <c r="O731" s="2" t="str">
        <f>IF(ISBLANK(Table2[[#This Row],[ActualResult]]), "_", IF(Table2[[#This Row],[ActualWinner]]=Table2[[#This Row],[PredictedWinner]], "Y", "N"))</f>
        <v>_</v>
      </c>
      <c r="P7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1" s="2"/>
      <c r="S731" s="2" t="str">
        <f t="shared" si="61"/>
        <v>_</v>
      </c>
      <c r="T7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31" s="2">
        <f>IF(Table2[[#This Row],[InterConf]]=1,IF(Table2[[#This Row],[InterDiv]]=0, 1, 0), 0)</f>
        <v>0</v>
      </c>
      <c r="W7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1" s="2"/>
      <c r="Y731" s="2"/>
      <c r="Z731" s="145">
        <f>IF(AND(Table2[[#This Row],[GameIsOver]]=1,Table2[[#This Row],[ActualHomeScore]]*Table2[[#This Row],[ActualAwayScore]]=0), 1,0)</f>
        <v>0</v>
      </c>
      <c r="AA7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1" s="2">
        <f>Table2[[#This Row],[ActualAwayScore]]-Table2[[#This Row],[PredictedAwayScore]]</f>
        <v>0</v>
      </c>
      <c r="AG731" s="2">
        <f>Table2[[#This Row],[ActualHomeScore]]-Table2[[#This Row],[PredictedHomeScore]]</f>
        <v>0</v>
      </c>
      <c r="AH731" s="2">
        <f t="shared" si="62"/>
        <v>0</v>
      </c>
      <c r="AI731" s="2">
        <f t="shared" si="63"/>
        <v>0</v>
      </c>
      <c r="AJ731" s="2"/>
      <c r="AK731" s="3"/>
      <c r="AL731" s="2">
        <f>IF(Table2[[#This Row],[GameIsOver]]=0,0,IF(Table2[[#This Row],[ActualWinner]]=Table2[[#This Row],[AwayTeam]], 1, 0))</f>
        <v>0</v>
      </c>
      <c r="AM731" s="2">
        <f>IF(Table2[[#This Row],[GameIsOver]]=0,0,IF(Table2[[#This Row],[ActualWinner]]=Table2[[#This Row],[HomeTeam]], 1, 0))</f>
        <v>0</v>
      </c>
      <c r="AN7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1" s="2" t="str">
        <f>INDEX(Sheet5!$B$2:$AG$33, MATCH(Table2[[#This Row],[AwayTeam]],Sheet5!$A$2:$A$33, 0), MATCH(Table2[[#This Row],[HomeTeam]],Sheet5!$A$2:$A$33, 0))</f>
        <v>0-0-0</v>
      </c>
      <c r="AP731" s="2" t="str">
        <f>INDEX(Sheet5!$B$2:$AG$33, MATCH(Table2[[#This Row],[HomeTeam]],Sheet5!$A$2:$A$33, 0), MATCH(Table2[[#This Row],[AwayTeam]],Sheet5!$A$2:$A$33, 0))</f>
        <v>0-0-0</v>
      </c>
      <c r="AQ731" s="2">
        <f>IF(Table2[[#This Row],[GameHasShutOut]], 1, 0)</f>
        <v>0</v>
      </c>
      <c r="AR731" s="2">
        <f>IF(Table2[[#This Row],[ActualAwayScore]] + Table2[[#This Row],[ActualHomeScore]] &gt;= 10, 1, 0)</f>
        <v>0</v>
      </c>
      <c r="AS731" s="2">
        <f>IF(ABS(Table2[[#This Row],[ActualAwayScore]]-Table2[[#This Row],[ActualHomeScore]])&gt;=5, 1, 0)</f>
        <v>0</v>
      </c>
      <c r="AT731" s="2">
        <f>IF(Table2[[#This Row],[ActualAwayScore]] + Table2[[#This Row],[ActualHomeScore]] &lt;= 3, 1, 0)</f>
        <v>1</v>
      </c>
      <c r="AU731" s="2"/>
      <c r="AV731" s="2"/>
    </row>
    <row r="732" spans="1:48" x14ac:dyDescent="0.25">
      <c r="A732" s="3"/>
      <c r="B732" s="3">
        <v>46036</v>
      </c>
      <c r="C732" s="5">
        <v>2025020730</v>
      </c>
      <c r="D732" s="2" t="s">
        <v>41</v>
      </c>
      <c r="E732" s="2" t="s">
        <v>12</v>
      </c>
      <c r="F732" s="2"/>
      <c r="G732" s="2"/>
      <c r="H732" s="2" t="str">
        <f t="shared" si="59"/>
        <v>_</v>
      </c>
      <c r="I732" s="2"/>
      <c r="J732" s="2"/>
      <c r="K732" s="2"/>
      <c r="L732" s="2" t="str">
        <f t="shared" si="60"/>
        <v>_</v>
      </c>
      <c r="M732" s="2"/>
      <c r="N732" s="2">
        <f>IF(ISBLANK(Table2[[#This Row],[ActualResult]]), 0, 1)</f>
        <v>0</v>
      </c>
      <c r="O732" s="2" t="str">
        <f>IF(ISBLANK(Table2[[#This Row],[ActualResult]]), "_", IF(Table2[[#This Row],[ActualWinner]]=Table2[[#This Row],[PredictedWinner]], "Y", "N"))</f>
        <v>_</v>
      </c>
      <c r="P7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2" s="2"/>
      <c r="S732" s="2" t="str">
        <f t="shared" si="61"/>
        <v>_</v>
      </c>
      <c r="T7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2" s="2">
        <f>IF(Table2[[#This Row],[InterConf]]=1,IF(Table2[[#This Row],[InterDiv]]=0, 1, 0), 0)</f>
        <v>0</v>
      </c>
      <c r="W7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2" s="2"/>
      <c r="Y732" s="2"/>
      <c r="Z732" s="145">
        <f>IF(AND(Table2[[#This Row],[GameIsOver]]=1,Table2[[#This Row],[ActualHomeScore]]*Table2[[#This Row],[ActualAwayScore]]=0), 1,0)</f>
        <v>0</v>
      </c>
      <c r="AA7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2" s="2">
        <f>Table2[[#This Row],[ActualAwayScore]]-Table2[[#This Row],[PredictedAwayScore]]</f>
        <v>0</v>
      </c>
      <c r="AG732" s="2">
        <f>Table2[[#This Row],[ActualHomeScore]]-Table2[[#This Row],[PredictedHomeScore]]</f>
        <v>0</v>
      </c>
      <c r="AH732" s="2">
        <f t="shared" si="62"/>
        <v>0</v>
      </c>
      <c r="AI732" s="2">
        <f t="shared" si="63"/>
        <v>0</v>
      </c>
      <c r="AJ732" s="2"/>
      <c r="AK732" s="3"/>
      <c r="AL732" s="2">
        <f>IF(Table2[[#This Row],[GameIsOver]]=0,0,IF(Table2[[#This Row],[ActualWinner]]=Table2[[#This Row],[AwayTeam]], 1, 0))</f>
        <v>0</v>
      </c>
      <c r="AM732" s="2">
        <f>IF(Table2[[#This Row],[GameIsOver]]=0,0,IF(Table2[[#This Row],[ActualWinner]]=Table2[[#This Row],[HomeTeam]], 1, 0))</f>
        <v>0</v>
      </c>
      <c r="AN7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2" s="2" t="str">
        <f>INDEX(Sheet5!$B$2:$AG$33, MATCH(Table2[[#This Row],[AwayTeam]],Sheet5!$A$2:$A$33, 0), MATCH(Table2[[#This Row],[HomeTeam]],Sheet5!$A$2:$A$33, 0))</f>
        <v>0-0-0</v>
      </c>
      <c r="AP732" s="2" t="str">
        <f>INDEX(Sheet5!$B$2:$AG$33, MATCH(Table2[[#This Row],[HomeTeam]],Sheet5!$A$2:$A$33, 0), MATCH(Table2[[#This Row],[AwayTeam]],Sheet5!$A$2:$A$33, 0))</f>
        <v>0-0-0</v>
      </c>
      <c r="AQ732" s="2">
        <f>IF(Table2[[#This Row],[GameHasShutOut]], 1, 0)</f>
        <v>0</v>
      </c>
      <c r="AR732" s="2">
        <f>IF(Table2[[#This Row],[ActualAwayScore]] + Table2[[#This Row],[ActualHomeScore]] &gt;= 10, 1, 0)</f>
        <v>0</v>
      </c>
      <c r="AS732" s="2">
        <f>IF(ABS(Table2[[#This Row],[ActualAwayScore]]-Table2[[#This Row],[ActualHomeScore]])&gt;=5, 1, 0)</f>
        <v>0</v>
      </c>
      <c r="AT732" s="2">
        <f>IF(Table2[[#This Row],[ActualAwayScore]] + Table2[[#This Row],[ActualHomeScore]] &lt;= 3, 1, 0)</f>
        <v>1</v>
      </c>
      <c r="AU732" s="2"/>
      <c r="AV732" s="2"/>
    </row>
    <row r="733" spans="1:48" x14ac:dyDescent="0.25">
      <c r="A733" s="3"/>
      <c r="B733" s="3">
        <v>46036</v>
      </c>
      <c r="C733" s="5">
        <v>2025020731</v>
      </c>
      <c r="D733" s="2" t="s">
        <v>22</v>
      </c>
      <c r="E733" s="2" t="s">
        <v>34</v>
      </c>
      <c r="F733" s="2"/>
      <c r="G733" s="2"/>
      <c r="H733" s="2" t="str">
        <f t="shared" si="59"/>
        <v>_</v>
      </c>
      <c r="I733" s="2"/>
      <c r="J733" s="2"/>
      <c r="K733" s="2"/>
      <c r="L733" s="2" t="str">
        <f t="shared" si="60"/>
        <v>_</v>
      </c>
      <c r="M733" s="2"/>
      <c r="N733" s="2">
        <f>IF(ISBLANK(Table2[[#This Row],[ActualResult]]), 0, 1)</f>
        <v>0</v>
      </c>
      <c r="O733" s="2" t="str">
        <f>IF(ISBLANK(Table2[[#This Row],[ActualResult]]), "_", IF(Table2[[#This Row],[ActualWinner]]=Table2[[#This Row],[PredictedWinner]], "Y", "N"))</f>
        <v>_</v>
      </c>
      <c r="P7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3" s="2"/>
      <c r="S733" s="2" t="str">
        <f t="shared" si="61"/>
        <v>_</v>
      </c>
      <c r="T7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3" s="2">
        <f>IF(Table2[[#This Row],[InterConf]]=1,IF(Table2[[#This Row],[InterDiv]]=0, 1, 0), 0)</f>
        <v>1</v>
      </c>
      <c r="W7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3" s="2"/>
      <c r="Y733" s="2"/>
      <c r="Z733" s="145">
        <f>IF(AND(Table2[[#This Row],[GameIsOver]]=1,Table2[[#This Row],[ActualHomeScore]]*Table2[[#This Row],[ActualAwayScore]]=0), 1,0)</f>
        <v>0</v>
      </c>
      <c r="AA7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3" s="2">
        <f>Table2[[#This Row],[ActualAwayScore]]-Table2[[#This Row],[PredictedAwayScore]]</f>
        <v>0</v>
      </c>
      <c r="AG733" s="2">
        <f>Table2[[#This Row],[ActualHomeScore]]-Table2[[#This Row],[PredictedHomeScore]]</f>
        <v>0</v>
      </c>
      <c r="AH733" s="2">
        <f t="shared" si="62"/>
        <v>0</v>
      </c>
      <c r="AI733" s="2">
        <f t="shared" si="63"/>
        <v>0</v>
      </c>
      <c r="AJ733" s="2"/>
      <c r="AK733" s="3"/>
      <c r="AL733" s="2">
        <f>IF(Table2[[#This Row],[GameIsOver]]=0,0,IF(Table2[[#This Row],[ActualWinner]]=Table2[[#This Row],[AwayTeam]], 1, 0))</f>
        <v>0</v>
      </c>
      <c r="AM733" s="2">
        <f>IF(Table2[[#This Row],[GameIsOver]]=0,0,IF(Table2[[#This Row],[ActualWinner]]=Table2[[#This Row],[HomeTeam]], 1, 0))</f>
        <v>0</v>
      </c>
      <c r="AN7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3" s="2" t="str">
        <f>INDEX(Sheet5!$B$2:$AG$33, MATCH(Table2[[#This Row],[AwayTeam]],Sheet5!$A$2:$A$33, 0), MATCH(Table2[[#This Row],[HomeTeam]],Sheet5!$A$2:$A$33, 0))</f>
        <v>0-0-0</v>
      </c>
      <c r="AP733" s="2" t="str">
        <f>INDEX(Sheet5!$B$2:$AG$33, MATCH(Table2[[#This Row],[HomeTeam]],Sheet5!$A$2:$A$33, 0), MATCH(Table2[[#This Row],[AwayTeam]],Sheet5!$A$2:$A$33, 0))</f>
        <v>0-0-0</v>
      </c>
      <c r="AQ733" s="2">
        <f>IF(Table2[[#This Row],[GameHasShutOut]], 1, 0)</f>
        <v>0</v>
      </c>
      <c r="AR733" s="2">
        <f>IF(Table2[[#This Row],[ActualAwayScore]] + Table2[[#This Row],[ActualHomeScore]] &gt;= 10, 1, 0)</f>
        <v>0</v>
      </c>
      <c r="AS733" s="2">
        <f>IF(ABS(Table2[[#This Row],[ActualAwayScore]]-Table2[[#This Row],[ActualHomeScore]])&gt;=5, 1, 0)</f>
        <v>0</v>
      </c>
      <c r="AT733" s="2">
        <f>IF(Table2[[#This Row],[ActualAwayScore]] + Table2[[#This Row],[ActualHomeScore]] &lt;= 3, 1, 0)</f>
        <v>1</v>
      </c>
      <c r="AU733" s="2"/>
      <c r="AV733" s="2"/>
    </row>
    <row r="734" spans="1:48" x14ac:dyDescent="0.25">
      <c r="A734" s="3"/>
      <c r="B734" s="3">
        <v>46036</v>
      </c>
      <c r="C734" s="5">
        <v>2025020732</v>
      </c>
      <c r="D734" s="2" t="s">
        <v>32</v>
      </c>
      <c r="E734" s="2" t="s">
        <v>21</v>
      </c>
      <c r="F734" s="2"/>
      <c r="G734" s="2"/>
      <c r="H734" s="2" t="str">
        <f t="shared" si="59"/>
        <v>_</v>
      </c>
      <c r="I734" s="2"/>
      <c r="J734" s="2"/>
      <c r="K734" s="2"/>
      <c r="L734" s="2" t="str">
        <f t="shared" si="60"/>
        <v>_</v>
      </c>
      <c r="M734" s="2"/>
      <c r="N734" s="2">
        <f>IF(ISBLANK(Table2[[#This Row],[ActualResult]]), 0, 1)</f>
        <v>0</v>
      </c>
      <c r="O734" s="2" t="str">
        <f>IF(ISBLANK(Table2[[#This Row],[ActualResult]]), "_", IF(Table2[[#This Row],[ActualWinner]]=Table2[[#This Row],[PredictedWinner]], "Y", "N"))</f>
        <v>_</v>
      </c>
      <c r="P7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4" s="2"/>
      <c r="S734" s="2" t="str">
        <f t="shared" si="61"/>
        <v>_</v>
      </c>
      <c r="T7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4" s="2">
        <f>IF(Table2[[#This Row],[InterConf]]=1,IF(Table2[[#This Row],[InterDiv]]=0, 1, 0), 0)</f>
        <v>0</v>
      </c>
      <c r="W7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4" s="2"/>
      <c r="Y734" s="2"/>
      <c r="Z734" s="145">
        <f>IF(AND(Table2[[#This Row],[GameIsOver]]=1,Table2[[#This Row],[ActualHomeScore]]*Table2[[#This Row],[ActualAwayScore]]=0), 1,0)</f>
        <v>0</v>
      </c>
      <c r="AA7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4" s="2">
        <f>Table2[[#This Row],[ActualAwayScore]]-Table2[[#This Row],[PredictedAwayScore]]</f>
        <v>0</v>
      </c>
      <c r="AG734" s="2">
        <f>Table2[[#This Row],[ActualHomeScore]]-Table2[[#This Row],[PredictedHomeScore]]</f>
        <v>0</v>
      </c>
      <c r="AH734" s="2">
        <f t="shared" si="62"/>
        <v>0</v>
      </c>
      <c r="AI734" s="2">
        <f t="shared" si="63"/>
        <v>0</v>
      </c>
      <c r="AJ734" s="2"/>
      <c r="AK734" s="3"/>
      <c r="AL734" s="2">
        <f>IF(Table2[[#This Row],[GameIsOver]]=0,0,IF(Table2[[#This Row],[ActualWinner]]=Table2[[#This Row],[AwayTeam]], 1, 0))</f>
        <v>0</v>
      </c>
      <c r="AM734" s="2">
        <f>IF(Table2[[#This Row],[GameIsOver]]=0,0,IF(Table2[[#This Row],[ActualWinner]]=Table2[[#This Row],[HomeTeam]], 1, 0))</f>
        <v>0</v>
      </c>
      <c r="AN7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4" s="2" t="str">
        <f>INDEX(Sheet5!$B$2:$AG$33, MATCH(Table2[[#This Row],[AwayTeam]],Sheet5!$A$2:$A$33, 0), MATCH(Table2[[#This Row],[HomeTeam]],Sheet5!$A$2:$A$33, 0))</f>
        <v>0-1-0</v>
      </c>
      <c r="AP734" s="2" t="str">
        <f>INDEX(Sheet5!$B$2:$AG$33, MATCH(Table2[[#This Row],[HomeTeam]],Sheet5!$A$2:$A$33, 0), MATCH(Table2[[#This Row],[AwayTeam]],Sheet5!$A$2:$A$33, 0))</f>
        <v>1-0-0</v>
      </c>
      <c r="AQ734" s="2">
        <f>IF(Table2[[#This Row],[GameHasShutOut]], 1, 0)</f>
        <v>0</v>
      </c>
      <c r="AR734" s="2">
        <f>IF(Table2[[#This Row],[ActualAwayScore]] + Table2[[#This Row],[ActualHomeScore]] &gt;= 10, 1, 0)</f>
        <v>0</v>
      </c>
      <c r="AS734" s="2">
        <f>IF(ABS(Table2[[#This Row],[ActualAwayScore]]-Table2[[#This Row],[ActualHomeScore]])&gt;=5, 1, 0)</f>
        <v>0</v>
      </c>
      <c r="AT734" s="2">
        <f>IF(Table2[[#This Row],[ActualAwayScore]] + Table2[[#This Row],[ActualHomeScore]] &lt;= 3, 1, 0)</f>
        <v>1</v>
      </c>
      <c r="AU734" s="2"/>
      <c r="AV734" s="2"/>
    </row>
    <row r="735" spans="1:48" x14ac:dyDescent="0.25">
      <c r="A735" s="3"/>
      <c r="B735" s="3">
        <v>46036</v>
      </c>
      <c r="C735" s="5">
        <v>2025020733</v>
      </c>
      <c r="D735" s="2" t="s">
        <v>17</v>
      </c>
      <c r="E735" s="2" t="s">
        <v>14</v>
      </c>
      <c r="F735" s="2"/>
      <c r="G735" s="2"/>
      <c r="H735" s="2" t="str">
        <f t="shared" si="59"/>
        <v>_</v>
      </c>
      <c r="I735" s="2"/>
      <c r="J735" s="2"/>
      <c r="K735" s="2"/>
      <c r="L735" s="2" t="str">
        <f t="shared" si="60"/>
        <v>_</v>
      </c>
      <c r="M735" s="2"/>
      <c r="N735" s="2">
        <f>IF(ISBLANK(Table2[[#This Row],[ActualResult]]), 0, 1)</f>
        <v>0</v>
      </c>
      <c r="O735" s="2" t="str">
        <f>IF(ISBLANK(Table2[[#This Row],[ActualResult]]), "_", IF(Table2[[#This Row],[ActualWinner]]=Table2[[#This Row],[PredictedWinner]], "Y", "N"))</f>
        <v>_</v>
      </c>
      <c r="P7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5" s="2"/>
      <c r="S735" s="2" t="str">
        <f t="shared" si="61"/>
        <v>_</v>
      </c>
      <c r="T7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5" s="2">
        <f>IF(Table2[[#This Row],[InterConf]]=1,IF(Table2[[#This Row],[InterDiv]]=0, 1, 0), 0)</f>
        <v>0</v>
      </c>
      <c r="W7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5" s="2"/>
      <c r="Y735" s="2"/>
      <c r="Z735" s="145">
        <f>IF(AND(Table2[[#This Row],[GameIsOver]]=1,Table2[[#This Row],[ActualHomeScore]]*Table2[[#This Row],[ActualAwayScore]]=0), 1,0)</f>
        <v>0</v>
      </c>
      <c r="AA7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5" s="2">
        <f>Table2[[#This Row],[ActualAwayScore]]-Table2[[#This Row],[PredictedAwayScore]]</f>
        <v>0</v>
      </c>
      <c r="AG735" s="2">
        <f>Table2[[#This Row],[ActualHomeScore]]-Table2[[#This Row],[PredictedHomeScore]]</f>
        <v>0</v>
      </c>
      <c r="AH735" s="2">
        <f t="shared" si="62"/>
        <v>0</v>
      </c>
      <c r="AI735" s="2">
        <f t="shared" si="63"/>
        <v>0</v>
      </c>
      <c r="AJ735" s="2"/>
      <c r="AK735" s="3"/>
      <c r="AL735" s="2">
        <f>IF(Table2[[#This Row],[GameIsOver]]=0,0,IF(Table2[[#This Row],[ActualWinner]]=Table2[[#This Row],[AwayTeam]], 1, 0))</f>
        <v>0</v>
      </c>
      <c r="AM735" s="2">
        <f>IF(Table2[[#This Row],[GameIsOver]]=0,0,IF(Table2[[#This Row],[ActualWinner]]=Table2[[#This Row],[HomeTeam]], 1, 0))</f>
        <v>0</v>
      </c>
      <c r="AN7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5" s="2" t="str">
        <f>INDEX(Sheet5!$B$2:$AG$33, MATCH(Table2[[#This Row],[AwayTeam]],Sheet5!$A$2:$A$33, 0), MATCH(Table2[[#This Row],[HomeTeam]],Sheet5!$A$2:$A$33, 0))</f>
        <v>0-0-0</v>
      </c>
      <c r="AP735" s="2" t="str">
        <f>INDEX(Sheet5!$B$2:$AG$33, MATCH(Table2[[#This Row],[HomeTeam]],Sheet5!$A$2:$A$33, 0), MATCH(Table2[[#This Row],[AwayTeam]],Sheet5!$A$2:$A$33, 0))</f>
        <v>0-0-0</v>
      </c>
      <c r="AQ735" s="2">
        <f>IF(Table2[[#This Row],[GameHasShutOut]], 1, 0)</f>
        <v>0</v>
      </c>
      <c r="AR735" s="2">
        <f>IF(Table2[[#This Row],[ActualAwayScore]] + Table2[[#This Row],[ActualHomeScore]] &gt;= 10, 1, 0)</f>
        <v>0</v>
      </c>
      <c r="AS735" s="2">
        <f>IF(ABS(Table2[[#This Row],[ActualAwayScore]]-Table2[[#This Row],[ActualHomeScore]])&gt;=5, 1, 0)</f>
        <v>0</v>
      </c>
      <c r="AT735" s="2">
        <f>IF(Table2[[#This Row],[ActualAwayScore]] + Table2[[#This Row],[ActualHomeScore]] &lt;= 3, 1, 0)</f>
        <v>1</v>
      </c>
      <c r="AU735" s="2"/>
      <c r="AV735" s="2"/>
    </row>
    <row r="736" spans="1:48" x14ac:dyDescent="0.25">
      <c r="A736" s="3"/>
      <c r="B736" s="3">
        <v>46036</v>
      </c>
      <c r="C736" s="5">
        <v>2025020734</v>
      </c>
      <c r="D736" s="2" t="s">
        <v>33</v>
      </c>
      <c r="E736" s="2" t="s">
        <v>44</v>
      </c>
      <c r="F736" s="2"/>
      <c r="G736" s="2"/>
      <c r="H736" s="2" t="str">
        <f t="shared" si="59"/>
        <v>_</v>
      </c>
      <c r="I736" s="2"/>
      <c r="J736" s="2"/>
      <c r="K736" s="2"/>
      <c r="L736" s="2" t="str">
        <f t="shared" si="60"/>
        <v>_</v>
      </c>
      <c r="M736" s="2"/>
      <c r="N736" s="2">
        <f>IF(ISBLANK(Table2[[#This Row],[ActualResult]]), 0, 1)</f>
        <v>0</v>
      </c>
      <c r="O736" s="2" t="str">
        <f>IF(ISBLANK(Table2[[#This Row],[ActualResult]]), "_", IF(Table2[[#This Row],[ActualWinner]]=Table2[[#This Row],[PredictedWinner]], "Y", "N"))</f>
        <v>_</v>
      </c>
      <c r="P7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6" s="2"/>
      <c r="S736" s="2" t="str">
        <f t="shared" si="61"/>
        <v>_</v>
      </c>
      <c r="T7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6" s="2">
        <f>IF(Table2[[#This Row],[InterConf]]=1,IF(Table2[[#This Row],[InterDiv]]=0, 1, 0), 0)</f>
        <v>1</v>
      </c>
      <c r="W7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6" s="2"/>
      <c r="Y736" s="2"/>
      <c r="Z736" s="145">
        <f>IF(AND(Table2[[#This Row],[GameIsOver]]=1,Table2[[#This Row],[ActualHomeScore]]*Table2[[#This Row],[ActualAwayScore]]=0), 1,0)</f>
        <v>0</v>
      </c>
      <c r="AA7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6" s="2">
        <f>Table2[[#This Row],[ActualAwayScore]]-Table2[[#This Row],[PredictedAwayScore]]</f>
        <v>0</v>
      </c>
      <c r="AG736" s="2">
        <f>Table2[[#This Row],[ActualHomeScore]]-Table2[[#This Row],[PredictedHomeScore]]</f>
        <v>0</v>
      </c>
      <c r="AH736" s="2">
        <f t="shared" si="62"/>
        <v>0</v>
      </c>
      <c r="AI736" s="2">
        <f t="shared" si="63"/>
        <v>0</v>
      </c>
      <c r="AJ736" s="2"/>
      <c r="AK736" s="3"/>
      <c r="AL736" s="2">
        <f>IF(Table2[[#This Row],[GameIsOver]]=0,0,IF(Table2[[#This Row],[ActualWinner]]=Table2[[#This Row],[AwayTeam]], 1, 0))</f>
        <v>0</v>
      </c>
      <c r="AM736" s="2">
        <f>IF(Table2[[#This Row],[GameIsOver]]=0,0,IF(Table2[[#This Row],[ActualWinner]]=Table2[[#This Row],[HomeTeam]], 1, 0))</f>
        <v>0</v>
      </c>
      <c r="AN7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6" s="2" t="str">
        <f>INDEX(Sheet5!$B$2:$AG$33, MATCH(Table2[[#This Row],[AwayTeam]],Sheet5!$A$2:$A$33, 0), MATCH(Table2[[#This Row],[HomeTeam]],Sheet5!$A$2:$A$33, 0))</f>
        <v>0-0-0</v>
      </c>
      <c r="AP736" s="2" t="str">
        <f>INDEX(Sheet5!$B$2:$AG$33, MATCH(Table2[[#This Row],[HomeTeam]],Sheet5!$A$2:$A$33, 0), MATCH(Table2[[#This Row],[AwayTeam]],Sheet5!$A$2:$A$33, 0))</f>
        <v>0-0-0</v>
      </c>
      <c r="AQ736" s="2">
        <f>IF(Table2[[#This Row],[GameHasShutOut]], 1, 0)</f>
        <v>0</v>
      </c>
      <c r="AR736" s="2">
        <f>IF(Table2[[#This Row],[ActualAwayScore]] + Table2[[#This Row],[ActualHomeScore]] &gt;= 10, 1, 0)</f>
        <v>0</v>
      </c>
      <c r="AS736" s="2">
        <f>IF(ABS(Table2[[#This Row],[ActualAwayScore]]-Table2[[#This Row],[ActualHomeScore]])&gt;=5, 1, 0)</f>
        <v>0</v>
      </c>
      <c r="AT736" s="2">
        <f>IF(Table2[[#This Row],[ActualAwayScore]] + Table2[[#This Row],[ActualHomeScore]] &lt;= 3, 1, 0)</f>
        <v>1</v>
      </c>
      <c r="AU736" s="2"/>
      <c r="AV736" s="2"/>
    </row>
    <row r="737" spans="1:48" x14ac:dyDescent="0.25">
      <c r="A737" s="3"/>
      <c r="B737" s="3">
        <v>46037</v>
      </c>
      <c r="C737" s="5">
        <v>2025020735</v>
      </c>
      <c r="D737" s="2" t="s">
        <v>11</v>
      </c>
      <c r="E737" s="2" t="s">
        <v>31</v>
      </c>
      <c r="F737" s="2"/>
      <c r="G737" s="2"/>
      <c r="H737" s="2" t="str">
        <f t="shared" si="59"/>
        <v>_</v>
      </c>
      <c r="I737" s="2"/>
      <c r="J737" s="2"/>
      <c r="K737" s="2"/>
      <c r="L737" s="2" t="str">
        <f t="shared" si="60"/>
        <v>_</v>
      </c>
      <c r="M737" s="2"/>
      <c r="N737" s="2">
        <f>IF(ISBLANK(Table2[[#This Row],[ActualResult]]), 0, 1)</f>
        <v>0</v>
      </c>
      <c r="O737" s="2" t="str">
        <f>IF(ISBLANK(Table2[[#This Row],[ActualResult]]), "_", IF(Table2[[#This Row],[ActualWinner]]=Table2[[#This Row],[PredictedWinner]], "Y", "N"))</f>
        <v>_</v>
      </c>
      <c r="P7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7" s="2"/>
      <c r="S737" s="2" t="str">
        <f t="shared" si="61"/>
        <v>_</v>
      </c>
      <c r="T7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7" s="2">
        <f>IF(Table2[[#This Row],[InterConf]]=1,IF(Table2[[#This Row],[InterDiv]]=0, 1, 0), 0)</f>
        <v>0</v>
      </c>
      <c r="W7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7" s="2"/>
      <c r="Y737" s="2"/>
      <c r="Z737" s="145">
        <f>IF(AND(Table2[[#This Row],[GameIsOver]]=1,Table2[[#This Row],[ActualHomeScore]]*Table2[[#This Row],[ActualAwayScore]]=0), 1,0)</f>
        <v>0</v>
      </c>
      <c r="AA7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7" s="2">
        <f>Table2[[#This Row],[ActualAwayScore]]-Table2[[#This Row],[PredictedAwayScore]]</f>
        <v>0</v>
      </c>
      <c r="AG737" s="2">
        <f>Table2[[#This Row],[ActualHomeScore]]-Table2[[#This Row],[PredictedHomeScore]]</f>
        <v>0</v>
      </c>
      <c r="AH737" s="2">
        <f t="shared" si="62"/>
        <v>0</v>
      </c>
      <c r="AI737" s="2">
        <f t="shared" si="63"/>
        <v>0</v>
      </c>
      <c r="AJ737" s="2"/>
      <c r="AK737" s="3"/>
      <c r="AL737" s="2">
        <f>IF(Table2[[#This Row],[GameIsOver]]=0,0,IF(Table2[[#This Row],[ActualWinner]]=Table2[[#This Row],[AwayTeam]], 1, 0))</f>
        <v>0</v>
      </c>
      <c r="AM737" s="2">
        <f>IF(Table2[[#This Row],[GameIsOver]]=0,0,IF(Table2[[#This Row],[ActualWinner]]=Table2[[#This Row],[HomeTeam]], 1, 0))</f>
        <v>0</v>
      </c>
      <c r="AN7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7" s="2" t="str">
        <f>INDEX(Sheet5!$B$2:$AG$33, MATCH(Table2[[#This Row],[AwayTeam]],Sheet5!$A$2:$A$33, 0), MATCH(Table2[[#This Row],[HomeTeam]],Sheet5!$A$2:$A$33, 0))</f>
        <v>0-0-0</v>
      </c>
      <c r="AP737" s="2" t="str">
        <f>INDEX(Sheet5!$B$2:$AG$33, MATCH(Table2[[#This Row],[HomeTeam]],Sheet5!$A$2:$A$33, 0), MATCH(Table2[[#This Row],[AwayTeam]],Sheet5!$A$2:$A$33, 0))</f>
        <v>0-0-0</v>
      </c>
      <c r="AQ737" s="2">
        <f>IF(Table2[[#This Row],[GameHasShutOut]], 1, 0)</f>
        <v>0</v>
      </c>
      <c r="AR737" s="2">
        <f>IF(Table2[[#This Row],[ActualAwayScore]] + Table2[[#This Row],[ActualHomeScore]] &gt;= 10, 1, 0)</f>
        <v>0</v>
      </c>
      <c r="AS737" s="2">
        <f>IF(ABS(Table2[[#This Row],[ActualAwayScore]]-Table2[[#This Row],[ActualHomeScore]])&gt;=5, 1, 0)</f>
        <v>0</v>
      </c>
      <c r="AT737" s="2">
        <f>IF(Table2[[#This Row],[ActualAwayScore]] + Table2[[#This Row],[ActualHomeScore]] &lt;= 3, 1, 0)</f>
        <v>1</v>
      </c>
      <c r="AU737" s="2"/>
      <c r="AV737" s="2"/>
    </row>
    <row r="738" spans="1:48" x14ac:dyDescent="0.25">
      <c r="A738" s="3"/>
      <c r="B738" s="3">
        <v>46037</v>
      </c>
      <c r="C738" s="5">
        <v>2025020736</v>
      </c>
      <c r="D738" s="2" t="s">
        <v>42</v>
      </c>
      <c r="E738" s="2" t="s">
        <v>28</v>
      </c>
      <c r="F738" s="2"/>
      <c r="G738" s="2"/>
      <c r="H738" s="2" t="str">
        <f t="shared" si="59"/>
        <v>_</v>
      </c>
      <c r="I738" s="2"/>
      <c r="J738" s="2"/>
      <c r="K738" s="2"/>
      <c r="L738" s="2" t="str">
        <f t="shared" si="60"/>
        <v>_</v>
      </c>
      <c r="M738" s="2"/>
      <c r="N738" s="2">
        <f>IF(ISBLANK(Table2[[#This Row],[ActualResult]]), 0, 1)</f>
        <v>0</v>
      </c>
      <c r="O738" s="2" t="str">
        <f>IF(ISBLANK(Table2[[#This Row],[ActualResult]]), "_", IF(Table2[[#This Row],[ActualWinner]]=Table2[[#This Row],[PredictedWinner]], "Y", "N"))</f>
        <v>_</v>
      </c>
      <c r="P7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8" s="2"/>
      <c r="S738" s="2" t="str">
        <f t="shared" si="61"/>
        <v>_</v>
      </c>
      <c r="T7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8" s="2">
        <f>IF(Table2[[#This Row],[InterConf]]=1,IF(Table2[[#This Row],[InterDiv]]=0, 1, 0), 0)</f>
        <v>1</v>
      </c>
      <c r="W7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8" s="2"/>
      <c r="Y738" s="2"/>
      <c r="Z738" s="145">
        <f>IF(AND(Table2[[#This Row],[GameIsOver]]=1,Table2[[#This Row],[ActualHomeScore]]*Table2[[#This Row],[ActualAwayScore]]=0), 1,0)</f>
        <v>0</v>
      </c>
      <c r="AA7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8" s="2">
        <f>Table2[[#This Row],[ActualAwayScore]]-Table2[[#This Row],[PredictedAwayScore]]</f>
        <v>0</v>
      </c>
      <c r="AG738" s="2">
        <f>Table2[[#This Row],[ActualHomeScore]]-Table2[[#This Row],[PredictedHomeScore]]</f>
        <v>0</v>
      </c>
      <c r="AH738" s="2">
        <f t="shared" si="62"/>
        <v>0</v>
      </c>
      <c r="AI738" s="2">
        <f t="shared" si="63"/>
        <v>0</v>
      </c>
      <c r="AJ738" s="2"/>
      <c r="AK738" s="3"/>
      <c r="AL738" s="2">
        <f>IF(Table2[[#This Row],[GameIsOver]]=0,0,IF(Table2[[#This Row],[ActualWinner]]=Table2[[#This Row],[AwayTeam]], 1, 0))</f>
        <v>0</v>
      </c>
      <c r="AM738" s="2">
        <f>IF(Table2[[#This Row],[GameIsOver]]=0,0,IF(Table2[[#This Row],[ActualWinner]]=Table2[[#This Row],[HomeTeam]], 1, 0))</f>
        <v>0</v>
      </c>
      <c r="AN7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8" s="2" t="str">
        <f>INDEX(Sheet5!$B$2:$AG$33, MATCH(Table2[[#This Row],[AwayTeam]],Sheet5!$A$2:$A$33, 0), MATCH(Table2[[#This Row],[HomeTeam]],Sheet5!$A$2:$A$33, 0))</f>
        <v>0-0-0</v>
      </c>
      <c r="AP738" s="2" t="str">
        <f>INDEX(Sheet5!$B$2:$AG$33, MATCH(Table2[[#This Row],[HomeTeam]],Sheet5!$A$2:$A$33, 0), MATCH(Table2[[#This Row],[AwayTeam]],Sheet5!$A$2:$A$33, 0))</f>
        <v>0-0-0</v>
      </c>
      <c r="AQ738" s="2">
        <f>IF(Table2[[#This Row],[GameHasShutOut]], 1, 0)</f>
        <v>0</v>
      </c>
      <c r="AR738" s="2">
        <f>IF(Table2[[#This Row],[ActualAwayScore]] + Table2[[#This Row],[ActualHomeScore]] &gt;= 10, 1, 0)</f>
        <v>0</v>
      </c>
      <c r="AS738" s="2">
        <f>IF(ABS(Table2[[#This Row],[ActualAwayScore]]-Table2[[#This Row],[ActualHomeScore]])&gt;=5, 1, 0)</f>
        <v>0</v>
      </c>
      <c r="AT738" s="2">
        <f>IF(Table2[[#This Row],[ActualAwayScore]] + Table2[[#This Row],[ActualHomeScore]] &lt;= 3, 1, 0)</f>
        <v>1</v>
      </c>
      <c r="AU738" s="2"/>
      <c r="AV738" s="2"/>
    </row>
    <row r="739" spans="1:48" x14ac:dyDescent="0.25">
      <c r="A739" s="3"/>
      <c r="B739" s="3">
        <v>46037</v>
      </c>
      <c r="C739" s="5">
        <v>2025020737</v>
      </c>
      <c r="D739" s="2" t="s">
        <v>29</v>
      </c>
      <c r="E739" s="2" t="s">
        <v>19</v>
      </c>
      <c r="F739" s="2"/>
      <c r="G739" s="2"/>
      <c r="H739" s="2" t="str">
        <f t="shared" si="59"/>
        <v>_</v>
      </c>
      <c r="I739" s="2"/>
      <c r="J739" s="2"/>
      <c r="K739" s="2"/>
      <c r="L739" s="2" t="str">
        <f t="shared" si="60"/>
        <v>_</v>
      </c>
      <c r="M739" s="2"/>
      <c r="N739" s="2">
        <f>IF(ISBLANK(Table2[[#This Row],[ActualResult]]), 0, 1)</f>
        <v>0</v>
      </c>
      <c r="O739" s="2" t="str">
        <f>IF(ISBLANK(Table2[[#This Row],[ActualResult]]), "_", IF(Table2[[#This Row],[ActualWinner]]=Table2[[#This Row],[PredictedWinner]], "Y", "N"))</f>
        <v>_</v>
      </c>
      <c r="P7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9" s="2"/>
      <c r="S739" s="2" t="str">
        <f t="shared" si="61"/>
        <v>_</v>
      </c>
      <c r="T7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9" s="2">
        <f>IF(Table2[[#This Row],[InterConf]]=1,IF(Table2[[#This Row],[InterDiv]]=0, 1, 0), 0)</f>
        <v>1</v>
      </c>
      <c r="W7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9" s="2"/>
      <c r="Y739" s="2"/>
      <c r="Z739" s="145">
        <f>IF(AND(Table2[[#This Row],[GameIsOver]]=1,Table2[[#This Row],[ActualHomeScore]]*Table2[[#This Row],[ActualAwayScore]]=0), 1,0)</f>
        <v>0</v>
      </c>
      <c r="AA7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9" s="2">
        <f>Table2[[#This Row],[ActualAwayScore]]-Table2[[#This Row],[PredictedAwayScore]]</f>
        <v>0</v>
      </c>
      <c r="AG739" s="2">
        <f>Table2[[#This Row],[ActualHomeScore]]-Table2[[#This Row],[PredictedHomeScore]]</f>
        <v>0</v>
      </c>
      <c r="AH739" s="2">
        <f t="shared" si="62"/>
        <v>0</v>
      </c>
      <c r="AI739" s="2">
        <f t="shared" si="63"/>
        <v>0</v>
      </c>
      <c r="AJ739" s="2"/>
      <c r="AK739" s="3"/>
      <c r="AL739" s="2">
        <f>IF(Table2[[#This Row],[GameIsOver]]=0,0,IF(Table2[[#This Row],[ActualWinner]]=Table2[[#This Row],[AwayTeam]], 1, 0))</f>
        <v>0</v>
      </c>
      <c r="AM739" s="2">
        <f>IF(Table2[[#This Row],[GameIsOver]]=0,0,IF(Table2[[#This Row],[ActualWinner]]=Table2[[#This Row],[HomeTeam]], 1, 0))</f>
        <v>0</v>
      </c>
      <c r="AN7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9" s="2" t="str">
        <f>INDEX(Sheet5!$B$2:$AG$33, MATCH(Table2[[#This Row],[AwayTeam]],Sheet5!$A$2:$A$33, 0), MATCH(Table2[[#This Row],[HomeTeam]],Sheet5!$A$2:$A$33, 0))</f>
        <v>0-0-0</v>
      </c>
      <c r="AP739" s="2" t="str">
        <f>INDEX(Sheet5!$B$2:$AG$33, MATCH(Table2[[#This Row],[HomeTeam]],Sheet5!$A$2:$A$33, 0), MATCH(Table2[[#This Row],[AwayTeam]],Sheet5!$A$2:$A$33, 0))</f>
        <v>0-0-0</v>
      </c>
      <c r="AQ739" s="2">
        <f>IF(Table2[[#This Row],[GameHasShutOut]], 1, 0)</f>
        <v>0</v>
      </c>
      <c r="AR739" s="2">
        <f>IF(Table2[[#This Row],[ActualAwayScore]] + Table2[[#This Row],[ActualHomeScore]] &gt;= 10, 1, 0)</f>
        <v>0</v>
      </c>
      <c r="AS739" s="2">
        <f>IF(ABS(Table2[[#This Row],[ActualAwayScore]]-Table2[[#This Row],[ActualHomeScore]])&gt;=5, 1, 0)</f>
        <v>0</v>
      </c>
      <c r="AT739" s="2">
        <f>IF(Table2[[#This Row],[ActualAwayScore]] + Table2[[#This Row],[ActualHomeScore]] &lt;= 3, 1, 0)</f>
        <v>1</v>
      </c>
      <c r="AU739" s="2"/>
      <c r="AV739" s="2"/>
    </row>
    <row r="740" spans="1:48" x14ac:dyDescent="0.25">
      <c r="A740" s="3"/>
      <c r="B740" s="3">
        <v>46037</v>
      </c>
      <c r="C740" s="5">
        <v>2025020738</v>
      </c>
      <c r="D740" s="2" t="s">
        <v>26</v>
      </c>
      <c r="E740" s="2" t="s">
        <v>27</v>
      </c>
      <c r="F740" s="2"/>
      <c r="G740" s="2"/>
      <c r="H740" s="2" t="str">
        <f t="shared" si="59"/>
        <v>_</v>
      </c>
      <c r="I740" s="2"/>
      <c r="J740" s="2"/>
      <c r="K740" s="2"/>
      <c r="L740" s="2" t="str">
        <f t="shared" si="60"/>
        <v>_</v>
      </c>
      <c r="M740" s="2"/>
      <c r="N740" s="2">
        <f>IF(ISBLANK(Table2[[#This Row],[ActualResult]]), 0, 1)</f>
        <v>0</v>
      </c>
      <c r="O740" s="2" t="str">
        <f>IF(ISBLANK(Table2[[#This Row],[ActualResult]]), "_", IF(Table2[[#This Row],[ActualWinner]]=Table2[[#This Row],[PredictedWinner]], "Y", "N"))</f>
        <v>_</v>
      </c>
      <c r="P7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0" s="2"/>
      <c r="S740" s="2" t="str">
        <f t="shared" si="61"/>
        <v>_</v>
      </c>
      <c r="T7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0" s="2">
        <f>IF(Table2[[#This Row],[InterConf]]=1,IF(Table2[[#This Row],[InterDiv]]=0, 1, 0), 0)</f>
        <v>0</v>
      </c>
      <c r="W7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0" s="2"/>
      <c r="Y740" s="2"/>
      <c r="Z740" s="145">
        <f>IF(AND(Table2[[#This Row],[GameIsOver]]=1,Table2[[#This Row],[ActualHomeScore]]*Table2[[#This Row],[ActualAwayScore]]=0), 1,0)</f>
        <v>0</v>
      </c>
      <c r="AA7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40" s="2">
        <f>Table2[[#This Row],[ActualAwayScore]]-Table2[[#This Row],[PredictedAwayScore]]</f>
        <v>0</v>
      </c>
      <c r="AG740" s="2">
        <f>Table2[[#This Row],[ActualHomeScore]]-Table2[[#This Row],[PredictedHomeScore]]</f>
        <v>0</v>
      </c>
      <c r="AH740" s="2">
        <f t="shared" si="62"/>
        <v>0</v>
      </c>
      <c r="AI740" s="2">
        <f t="shared" si="63"/>
        <v>0</v>
      </c>
      <c r="AJ740" s="2"/>
      <c r="AK740" s="3"/>
      <c r="AL740" s="2">
        <f>IF(Table2[[#This Row],[GameIsOver]]=0,0,IF(Table2[[#This Row],[ActualWinner]]=Table2[[#This Row],[AwayTeam]], 1, 0))</f>
        <v>0</v>
      </c>
      <c r="AM740" s="2">
        <f>IF(Table2[[#This Row],[GameIsOver]]=0,0,IF(Table2[[#This Row],[ActualWinner]]=Table2[[#This Row],[HomeTeam]], 1, 0))</f>
        <v>0</v>
      </c>
      <c r="AN740" s="2">
        <f>IF(IFERROR(FIND(Table2[[#This Row],[AwayTeam]], _xlfn.TEXTJOIN(";", 1, $BD$31:$BD$40)), 0) &gt; 0, 1, 0) + IF(IFERROR(FIND(Table2[[#This Row],[HomeTeam]], _xlfn.TEXTJOIN(";", 1, $BD$31:$BD$40)), 0) &gt; 0, 1, 0)</f>
        <v>1</v>
      </c>
      <c r="AO740" s="2" t="str">
        <f>INDEX(Sheet5!$B$2:$AG$33, MATCH(Table2[[#This Row],[AwayTeam]],Sheet5!$A$2:$A$33, 0), MATCH(Table2[[#This Row],[HomeTeam]],Sheet5!$A$2:$A$33, 0))</f>
        <v>0-0-1</v>
      </c>
      <c r="AP740" s="2" t="str">
        <f>INDEX(Sheet5!$B$2:$AG$33, MATCH(Table2[[#This Row],[HomeTeam]],Sheet5!$A$2:$A$33, 0), MATCH(Table2[[#This Row],[AwayTeam]],Sheet5!$A$2:$A$33, 0))</f>
        <v>1-0-0</v>
      </c>
      <c r="AQ740" s="2">
        <f>IF(Table2[[#This Row],[GameHasShutOut]], 1, 0)</f>
        <v>0</v>
      </c>
      <c r="AR740" s="2">
        <f>IF(Table2[[#This Row],[ActualAwayScore]] + Table2[[#This Row],[ActualHomeScore]] &gt;= 10, 1, 0)</f>
        <v>0</v>
      </c>
      <c r="AS740" s="2">
        <f>IF(ABS(Table2[[#This Row],[ActualAwayScore]]-Table2[[#This Row],[ActualHomeScore]])&gt;=5, 1, 0)</f>
        <v>0</v>
      </c>
      <c r="AT740" s="2">
        <f>IF(Table2[[#This Row],[ActualAwayScore]] + Table2[[#This Row],[ActualHomeScore]] &lt;= 3, 1, 0)</f>
        <v>1</v>
      </c>
      <c r="AU740" s="2"/>
      <c r="AV740" s="2"/>
    </row>
    <row r="741" spans="1:48" x14ac:dyDescent="0.25">
      <c r="A741" s="3"/>
      <c r="B741" s="3">
        <v>46038</v>
      </c>
      <c r="C741" s="5">
        <v>2025020739</v>
      </c>
      <c r="D741" s="2" t="s">
        <v>11</v>
      </c>
      <c r="E741" s="2" t="s">
        <v>15</v>
      </c>
      <c r="F741" s="2"/>
      <c r="G741" s="2"/>
      <c r="H741" s="2" t="str">
        <f t="shared" si="59"/>
        <v>_</v>
      </c>
      <c r="I741" s="2"/>
      <c r="J741" s="2"/>
      <c r="K741" s="2"/>
      <c r="L741" s="2" t="str">
        <f t="shared" si="60"/>
        <v>_</v>
      </c>
      <c r="M741" s="2"/>
      <c r="N741" s="2">
        <f>IF(ISBLANK(Table2[[#This Row],[ActualResult]]), 0, 1)</f>
        <v>0</v>
      </c>
      <c r="O741" s="2" t="str">
        <f>IF(ISBLANK(Table2[[#This Row],[ActualResult]]), "_", IF(Table2[[#This Row],[ActualWinner]]=Table2[[#This Row],[PredictedWinner]], "Y", "N"))</f>
        <v>_</v>
      </c>
      <c r="P7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1" s="2"/>
      <c r="S741" s="2" t="str">
        <f t="shared" si="61"/>
        <v>_</v>
      </c>
      <c r="T7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1" s="2">
        <f>IF(Table2[[#This Row],[InterConf]]=1,IF(Table2[[#This Row],[InterDiv]]=0, 1, 0), 0)</f>
        <v>0</v>
      </c>
      <c r="W7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1" s="2"/>
      <c r="Y741" s="2"/>
      <c r="Z741" s="145">
        <f>IF(AND(Table2[[#This Row],[GameIsOver]]=1,Table2[[#This Row],[ActualHomeScore]]*Table2[[#This Row],[ActualAwayScore]]=0), 1,0)</f>
        <v>0</v>
      </c>
      <c r="AA7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1" s="2">
        <f>Table2[[#This Row],[ActualAwayScore]]-Table2[[#This Row],[PredictedAwayScore]]</f>
        <v>0</v>
      </c>
      <c r="AG741" s="2">
        <f>Table2[[#This Row],[ActualHomeScore]]-Table2[[#This Row],[PredictedHomeScore]]</f>
        <v>0</v>
      </c>
      <c r="AH741" s="2">
        <f t="shared" si="62"/>
        <v>0</v>
      </c>
      <c r="AI741" s="2">
        <f t="shared" si="63"/>
        <v>0</v>
      </c>
      <c r="AJ741" s="2"/>
      <c r="AK741" s="3"/>
      <c r="AL741" s="2">
        <f>IF(Table2[[#This Row],[GameIsOver]]=0,0,IF(Table2[[#This Row],[ActualWinner]]=Table2[[#This Row],[AwayTeam]], 1, 0))</f>
        <v>0</v>
      </c>
      <c r="AM741" s="2">
        <f>IF(Table2[[#This Row],[GameIsOver]]=0,0,IF(Table2[[#This Row],[ActualWinner]]=Table2[[#This Row],[HomeTeam]], 1, 0))</f>
        <v>0</v>
      </c>
      <c r="AN7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1" s="2" t="str">
        <f>INDEX(Sheet5!$B$2:$AG$33, MATCH(Table2[[#This Row],[AwayTeam]],Sheet5!$A$2:$A$33, 0), MATCH(Table2[[#This Row],[HomeTeam]],Sheet5!$A$2:$A$33, 0))</f>
        <v>0-0-0</v>
      </c>
      <c r="AP741" s="2" t="str">
        <f>INDEX(Sheet5!$B$2:$AG$33, MATCH(Table2[[#This Row],[HomeTeam]],Sheet5!$A$2:$A$33, 0), MATCH(Table2[[#This Row],[AwayTeam]],Sheet5!$A$2:$A$33, 0))</f>
        <v>0-0-0</v>
      </c>
      <c r="AQ741" s="2">
        <f>IF(Table2[[#This Row],[GameHasShutOut]], 1, 0)</f>
        <v>0</v>
      </c>
      <c r="AR741" s="2">
        <f>IF(Table2[[#This Row],[ActualAwayScore]] + Table2[[#This Row],[ActualHomeScore]] &gt;= 10, 1, 0)</f>
        <v>0</v>
      </c>
      <c r="AS741" s="2">
        <f>IF(ABS(Table2[[#This Row],[ActualAwayScore]]-Table2[[#This Row],[ActualHomeScore]])&gt;=5, 1, 0)</f>
        <v>0</v>
      </c>
      <c r="AT741" s="2">
        <f>IF(Table2[[#This Row],[ActualAwayScore]] + Table2[[#This Row],[ActualHomeScore]] &lt;= 3, 1, 0)</f>
        <v>1</v>
      </c>
      <c r="AU741" s="2"/>
      <c r="AV741" s="2"/>
    </row>
    <row r="742" spans="1:48" x14ac:dyDescent="0.25">
      <c r="A742" s="3"/>
      <c r="B742" s="3">
        <v>46038</v>
      </c>
      <c r="C742" s="5">
        <v>2025020740</v>
      </c>
      <c r="D742" s="2" t="s">
        <v>18</v>
      </c>
      <c r="E742" s="2" t="s">
        <v>28</v>
      </c>
      <c r="F742" s="2"/>
      <c r="G742" s="2"/>
      <c r="H742" s="2" t="str">
        <f t="shared" si="59"/>
        <v>_</v>
      </c>
      <c r="I742" s="2"/>
      <c r="J742" s="2"/>
      <c r="K742" s="2"/>
      <c r="L742" s="2" t="str">
        <f t="shared" si="60"/>
        <v>_</v>
      </c>
      <c r="M742" s="2"/>
      <c r="N742" s="2">
        <f>IF(ISBLANK(Table2[[#This Row],[ActualResult]]), 0, 1)</f>
        <v>0</v>
      </c>
      <c r="O742" s="2" t="str">
        <f>IF(ISBLANK(Table2[[#This Row],[ActualResult]]), "_", IF(Table2[[#This Row],[ActualWinner]]=Table2[[#This Row],[PredictedWinner]], "Y", "N"))</f>
        <v>_</v>
      </c>
      <c r="P7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2" s="2"/>
      <c r="S742" s="2" t="str">
        <f t="shared" si="61"/>
        <v>_</v>
      </c>
      <c r="T7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2" s="2">
        <f>IF(Table2[[#This Row],[InterConf]]=1,IF(Table2[[#This Row],[InterDiv]]=0, 1, 0), 0)</f>
        <v>0</v>
      </c>
      <c r="W7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2" s="2"/>
      <c r="Y742" s="2"/>
      <c r="Z742" s="145">
        <f>IF(AND(Table2[[#This Row],[GameIsOver]]=1,Table2[[#This Row],[ActualHomeScore]]*Table2[[#This Row],[ActualAwayScore]]=0), 1,0)</f>
        <v>0</v>
      </c>
      <c r="AA7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2" s="2">
        <f>Table2[[#This Row],[ActualAwayScore]]-Table2[[#This Row],[PredictedAwayScore]]</f>
        <v>0</v>
      </c>
      <c r="AG742" s="2">
        <f>Table2[[#This Row],[ActualHomeScore]]-Table2[[#This Row],[PredictedHomeScore]]</f>
        <v>0</v>
      </c>
      <c r="AH742" s="2">
        <f t="shared" si="62"/>
        <v>0</v>
      </c>
      <c r="AI742" s="2">
        <f t="shared" si="63"/>
        <v>0</v>
      </c>
      <c r="AJ742" s="2"/>
      <c r="AK742" s="3"/>
      <c r="AL742" s="2">
        <f>IF(Table2[[#This Row],[GameIsOver]]=0,0,IF(Table2[[#This Row],[ActualWinner]]=Table2[[#This Row],[AwayTeam]], 1, 0))</f>
        <v>0</v>
      </c>
      <c r="AM742" s="2">
        <f>IF(Table2[[#This Row],[GameIsOver]]=0,0,IF(Table2[[#This Row],[ActualWinner]]=Table2[[#This Row],[HomeTeam]], 1, 0))</f>
        <v>0</v>
      </c>
      <c r="AN7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2" s="2" t="str">
        <f>INDEX(Sheet5!$B$2:$AG$33, MATCH(Table2[[#This Row],[AwayTeam]],Sheet5!$A$2:$A$33, 0), MATCH(Table2[[#This Row],[HomeTeam]],Sheet5!$A$2:$A$33, 0))</f>
        <v>1-0-0</v>
      </c>
      <c r="AP742" s="2" t="str">
        <f>INDEX(Sheet5!$B$2:$AG$33, MATCH(Table2[[#This Row],[HomeTeam]],Sheet5!$A$2:$A$33, 0), MATCH(Table2[[#This Row],[AwayTeam]],Sheet5!$A$2:$A$33, 0))</f>
        <v>0-1-0</v>
      </c>
      <c r="AQ742" s="2">
        <f>IF(Table2[[#This Row],[GameHasShutOut]], 1, 0)</f>
        <v>0</v>
      </c>
      <c r="AR742" s="2">
        <f>IF(Table2[[#This Row],[ActualAwayScore]] + Table2[[#This Row],[ActualHomeScore]] &gt;= 10, 1, 0)</f>
        <v>0</v>
      </c>
      <c r="AS742" s="2">
        <f>IF(ABS(Table2[[#This Row],[ActualAwayScore]]-Table2[[#This Row],[ActualHomeScore]])&gt;=5, 1, 0)</f>
        <v>0</v>
      </c>
      <c r="AT742" s="2">
        <f>IF(Table2[[#This Row],[ActualAwayScore]] + Table2[[#This Row],[ActualHomeScore]] &lt;= 3, 1, 0)</f>
        <v>1</v>
      </c>
      <c r="AU742" s="2"/>
      <c r="AV742" s="2"/>
    </row>
    <row r="743" spans="1:48" x14ac:dyDescent="0.25">
      <c r="A743" s="3"/>
      <c r="B743" s="3">
        <v>46038</v>
      </c>
      <c r="C743" s="5">
        <v>2025020741</v>
      </c>
      <c r="D743" s="2" t="s">
        <v>42</v>
      </c>
      <c r="E743" s="2" t="s">
        <v>20</v>
      </c>
      <c r="F743" s="2"/>
      <c r="G743" s="2"/>
      <c r="H743" s="2" t="str">
        <f t="shared" si="59"/>
        <v>_</v>
      </c>
      <c r="I743" s="2"/>
      <c r="J743" s="2"/>
      <c r="K743" s="2"/>
      <c r="L743" s="2" t="str">
        <f t="shared" si="60"/>
        <v>_</v>
      </c>
      <c r="M743" s="2"/>
      <c r="N743" s="2">
        <f>IF(ISBLANK(Table2[[#This Row],[ActualResult]]), 0, 1)</f>
        <v>0</v>
      </c>
      <c r="O743" s="2" t="str">
        <f>IF(ISBLANK(Table2[[#This Row],[ActualResult]]), "_", IF(Table2[[#This Row],[ActualWinner]]=Table2[[#This Row],[PredictedWinner]], "Y", "N"))</f>
        <v>_</v>
      </c>
      <c r="P7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3" s="2"/>
      <c r="S743" s="2" t="str">
        <f t="shared" si="61"/>
        <v>_</v>
      </c>
      <c r="T7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3" s="2">
        <f>IF(Table2[[#This Row],[InterConf]]=1,IF(Table2[[#This Row],[InterDiv]]=0, 1, 0), 0)</f>
        <v>0</v>
      </c>
      <c r="W7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3" s="2"/>
      <c r="Y743" s="2"/>
      <c r="Z743" s="145">
        <f>IF(AND(Table2[[#This Row],[GameIsOver]]=1,Table2[[#This Row],[ActualHomeScore]]*Table2[[#This Row],[ActualAwayScore]]=0), 1,0)</f>
        <v>0</v>
      </c>
      <c r="AA7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3" s="2">
        <f>Table2[[#This Row],[ActualAwayScore]]-Table2[[#This Row],[PredictedAwayScore]]</f>
        <v>0</v>
      </c>
      <c r="AG743" s="2">
        <f>Table2[[#This Row],[ActualHomeScore]]-Table2[[#This Row],[PredictedHomeScore]]</f>
        <v>0</v>
      </c>
      <c r="AH743" s="2">
        <f t="shared" si="62"/>
        <v>0</v>
      </c>
      <c r="AI743" s="2">
        <f t="shared" si="63"/>
        <v>0</v>
      </c>
      <c r="AJ743" s="2"/>
      <c r="AK743" s="3"/>
      <c r="AL743" s="2">
        <f>IF(Table2[[#This Row],[GameIsOver]]=0,0,IF(Table2[[#This Row],[ActualWinner]]=Table2[[#This Row],[AwayTeam]], 1, 0))</f>
        <v>0</v>
      </c>
      <c r="AM743" s="2">
        <f>IF(Table2[[#This Row],[GameIsOver]]=0,0,IF(Table2[[#This Row],[ActualWinner]]=Table2[[#This Row],[HomeTeam]], 1, 0))</f>
        <v>0</v>
      </c>
      <c r="AN7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3" s="2" t="str">
        <f>INDEX(Sheet5!$B$2:$AG$33, MATCH(Table2[[#This Row],[AwayTeam]],Sheet5!$A$2:$A$33, 0), MATCH(Table2[[#This Row],[HomeTeam]],Sheet5!$A$2:$A$33, 0))</f>
        <v>0-0-0</v>
      </c>
      <c r="AP743" s="2" t="str">
        <f>INDEX(Sheet5!$B$2:$AG$33, MATCH(Table2[[#This Row],[HomeTeam]],Sheet5!$A$2:$A$33, 0), MATCH(Table2[[#This Row],[AwayTeam]],Sheet5!$A$2:$A$33, 0))</f>
        <v>0-0-0</v>
      </c>
      <c r="AQ743" s="2">
        <f>IF(Table2[[#This Row],[GameHasShutOut]], 1, 0)</f>
        <v>0</v>
      </c>
      <c r="AR743" s="2">
        <f>IF(Table2[[#This Row],[ActualAwayScore]] + Table2[[#This Row],[ActualHomeScore]] &gt;= 10, 1, 0)</f>
        <v>0</v>
      </c>
      <c r="AS743" s="2">
        <f>IF(ABS(Table2[[#This Row],[ActualAwayScore]]-Table2[[#This Row],[ActualHomeScore]])&gt;=5, 1, 0)</f>
        <v>0</v>
      </c>
      <c r="AT743" s="2">
        <f>IF(Table2[[#This Row],[ActualAwayScore]] + Table2[[#This Row],[ActualHomeScore]] &lt;= 3, 1, 0)</f>
        <v>1</v>
      </c>
      <c r="AU743" s="2"/>
      <c r="AV743" s="2"/>
    </row>
    <row r="744" spans="1:48" x14ac:dyDescent="0.25">
      <c r="A744" s="3"/>
      <c r="B744" s="3">
        <v>46038</v>
      </c>
      <c r="C744" s="5">
        <v>2025020742</v>
      </c>
      <c r="D744" s="2" t="s">
        <v>37</v>
      </c>
      <c r="E744" s="2" t="s">
        <v>43</v>
      </c>
      <c r="F744" s="2"/>
      <c r="G744" s="2"/>
      <c r="H744" s="2" t="str">
        <f t="shared" si="59"/>
        <v>_</v>
      </c>
      <c r="I744" s="2"/>
      <c r="J744" s="2"/>
      <c r="K744" s="2"/>
      <c r="L744" s="2" t="str">
        <f t="shared" si="60"/>
        <v>_</v>
      </c>
      <c r="M744" s="2"/>
      <c r="N744" s="2">
        <f>IF(ISBLANK(Table2[[#This Row],[ActualResult]]), 0, 1)</f>
        <v>0</v>
      </c>
      <c r="O744" s="2" t="str">
        <f>IF(ISBLANK(Table2[[#This Row],[ActualResult]]), "_", IF(Table2[[#This Row],[ActualWinner]]=Table2[[#This Row],[PredictedWinner]], "Y", "N"))</f>
        <v>_</v>
      </c>
      <c r="P7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4" s="2"/>
      <c r="S744" s="2" t="str">
        <f t="shared" si="61"/>
        <v>_</v>
      </c>
      <c r="T7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4" s="2">
        <f>IF(Table2[[#This Row],[InterConf]]=1,IF(Table2[[#This Row],[InterDiv]]=0, 1, 0), 0)</f>
        <v>0</v>
      </c>
      <c r="W7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4" s="2"/>
      <c r="Y744" s="2"/>
      <c r="Z744" s="145">
        <f>IF(AND(Table2[[#This Row],[GameIsOver]]=1,Table2[[#This Row],[ActualHomeScore]]*Table2[[#This Row],[ActualAwayScore]]=0), 1,0)</f>
        <v>0</v>
      </c>
      <c r="AA7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4" s="2">
        <f>Table2[[#This Row],[ActualAwayScore]]-Table2[[#This Row],[PredictedAwayScore]]</f>
        <v>0</v>
      </c>
      <c r="AG744" s="2">
        <f>Table2[[#This Row],[ActualHomeScore]]-Table2[[#This Row],[PredictedHomeScore]]</f>
        <v>0</v>
      </c>
      <c r="AH744" s="2">
        <f t="shared" si="62"/>
        <v>0</v>
      </c>
      <c r="AI744" s="2">
        <f t="shared" si="63"/>
        <v>0</v>
      </c>
      <c r="AJ744" s="2"/>
      <c r="AK744" s="3"/>
      <c r="AL744" s="2">
        <f>IF(Table2[[#This Row],[GameIsOver]]=0,0,IF(Table2[[#This Row],[ActualWinner]]=Table2[[#This Row],[AwayTeam]], 1, 0))</f>
        <v>0</v>
      </c>
      <c r="AM744" s="2">
        <f>IF(Table2[[#This Row],[GameIsOver]]=0,0,IF(Table2[[#This Row],[ActualWinner]]=Table2[[#This Row],[HomeTeam]], 1, 0))</f>
        <v>0</v>
      </c>
      <c r="AN7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4" s="2" t="str">
        <f>INDEX(Sheet5!$B$2:$AG$33, MATCH(Table2[[#This Row],[AwayTeam]],Sheet5!$A$2:$A$33, 0), MATCH(Table2[[#This Row],[HomeTeam]],Sheet5!$A$2:$A$33, 0))</f>
        <v>0-0-0</v>
      </c>
      <c r="AP744" s="2" t="str">
        <f>INDEX(Sheet5!$B$2:$AG$33, MATCH(Table2[[#This Row],[HomeTeam]],Sheet5!$A$2:$A$33, 0), MATCH(Table2[[#This Row],[AwayTeam]],Sheet5!$A$2:$A$33, 0))</f>
        <v>0-0-0</v>
      </c>
      <c r="AQ744" s="2">
        <f>IF(Table2[[#This Row],[GameHasShutOut]], 1, 0)</f>
        <v>0</v>
      </c>
      <c r="AR744" s="2">
        <f>IF(Table2[[#This Row],[ActualAwayScore]] + Table2[[#This Row],[ActualHomeScore]] &gt;= 10, 1, 0)</f>
        <v>0</v>
      </c>
      <c r="AS744" s="2">
        <f>IF(ABS(Table2[[#This Row],[ActualAwayScore]]-Table2[[#This Row],[ActualHomeScore]])&gt;=5, 1, 0)</f>
        <v>0</v>
      </c>
      <c r="AT744" s="2">
        <f>IF(Table2[[#This Row],[ActualAwayScore]] + Table2[[#This Row],[ActualHomeScore]] &lt;= 3, 1, 0)</f>
        <v>1</v>
      </c>
      <c r="AU744" s="2"/>
      <c r="AV744" s="2"/>
    </row>
    <row r="745" spans="1:48" x14ac:dyDescent="0.25">
      <c r="A745" s="3"/>
      <c r="B745" s="3">
        <v>46038</v>
      </c>
      <c r="C745" s="5">
        <v>2025020743</v>
      </c>
      <c r="D745" s="2" t="s">
        <v>24</v>
      </c>
      <c r="E745" s="2" t="s">
        <v>35</v>
      </c>
      <c r="F745" s="2"/>
      <c r="G745" s="2"/>
      <c r="H745" s="2" t="str">
        <f t="shared" si="59"/>
        <v>_</v>
      </c>
      <c r="I745" s="2"/>
      <c r="J745" s="2"/>
      <c r="K745" s="2"/>
      <c r="L745" s="2" t="str">
        <f t="shared" si="60"/>
        <v>_</v>
      </c>
      <c r="M745" s="2"/>
      <c r="N745" s="2">
        <f>IF(ISBLANK(Table2[[#This Row],[ActualResult]]), 0, 1)</f>
        <v>0</v>
      </c>
      <c r="O745" s="2" t="str">
        <f>IF(ISBLANK(Table2[[#This Row],[ActualResult]]), "_", IF(Table2[[#This Row],[ActualWinner]]=Table2[[#This Row],[PredictedWinner]], "Y", "N"))</f>
        <v>_</v>
      </c>
      <c r="P7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5" s="2"/>
      <c r="S745" s="2" t="str">
        <f t="shared" si="61"/>
        <v>_</v>
      </c>
      <c r="T7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5" s="2">
        <f>IF(Table2[[#This Row],[InterConf]]=1,IF(Table2[[#This Row],[InterDiv]]=0, 1, 0), 0)</f>
        <v>0</v>
      </c>
      <c r="W7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5" s="2"/>
      <c r="Y745" s="2"/>
      <c r="Z745" s="145">
        <f>IF(AND(Table2[[#This Row],[GameIsOver]]=1,Table2[[#This Row],[ActualHomeScore]]*Table2[[#This Row],[ActualAwayScore]]=0), 1,0)</f>
        <v>0</v>
      </c>
      <c r="AA7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5" s="2">
        <f>Table2[[#This Row],[ActualAwayScore]]-Table2[[#This Row],[PredictedAwayScore]]</f>
        <v>0</v>
      </c>
      <c r="AG745" s="2">
        <f>Table2[[#This Row],[ActualHomeScore]]-Table2[[#This Row],[PredictedHomeScore]]</f>
        <v>0</v>
      </c>
      <c r="AH745" s="2">
        <f t="shared" si="62"/>
        <v>0</v>
      </c>
      <c r="AI745" s="2">
        <f t="shared" si="63"/>
        <v>0</v>
      </c>
      <c r="AJ745" s="2"/>
      <c r="AK745" s="3"/>
      <c r="AL745" s="2">
        <f>IF(Table2[[#This Row],[GameIsOver]]=0,0,IF(Table2[[#This Row],[ActualWinner]]=Table2[[#This Row],[AwayTeam]], 1, 0))</f>
        <v>0</v>
      </c>
      <c r="AM745" s="2">
        <f>IF(Table2[[#This Row],[GameIsOver]]=0,0,IF(Table2[[#This Row],[ActualWinner]]=Table2[[#This Row],[HomeTeam]], 1, 0))</f>
        <v>0</v>
      </c>
      <c r="AN7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5" s="2" t="str">
        <f>INDEX(Sheet5!$B$2:$AG$33, MATCH(Table2[[#This Row],[AwayTeam]],Sheet5!$A$2:$A$33, 0), MATCH(Table2[[#This Row],[HomeTeam]],Sheet5!$A$2:$A$33, 0))</f>
        <v>0-0-0</v>
      </c>
      <c r="AP745" s="2" t="str">
        <f>INDEX(Sheet5!$B$2:$AG$33, MATCH(Table2[[#This Row],[HomeTeam]],Sheet5!$A$2:$A$33, 0), MATCH(Table2[[#This Row],[AwayTeam]],Sheet5!$A$2:$A$33, 0))</f>
        <v>0-0-0</v>
      </c>
      <c r="AQ745" s="2">
        <f>IF(Table2[[#This Row],[GameHasShutOut]], 1, 0)</f>
        <v>0</v>
      </c>
      <c r="AR745" s="2">
        <f>IF(Table2[[#This Row],[ActualAwayScore]] + Table2[[#This Row],[ActualHomeScore]] &gt;= 10, 1, 0)</f>
        <v>0</v>
      </c>
      <c r="AS745" s="2">
        <f>IF(ABS(Table2[[#This Row],[ActualAwayScore]]-Table2[[#This Row],[ActualHomeScore]])&gt;=5, 1, 0)</f>
        <v>0</v>
      </c>
      <c r="AT745" s="2">
        <f>IF(Table2[[#This Row],[ActualAwayScore]] + Table2[[#This Row],[ActualHomeScore]] &lt;= 3, 1, 0)</f>
        <v>1</v>
      </c>
      <c r="AU745" s="2"/>
      <c r="AV745" s="2"/>
    </row>
    <row r="746" spans="1:48" x14ac:dyDescent="0.25">
      <c r="A746" s="3"/>
      <c r="B746" s="3">
        <v>46038</v>
      </c>
      <c r="C746" s="5">
        <v>2025020744</v>
      </c>
      <c r="D746" s="2" t="s">
        <v>21</v>
      </c>
      <c r="E746" s="2" t="s">
        <v>36</v>
      </c>
      <c r="F746" s="2"/>
      <c r="G746" s="2"/>
      <c r="H746" s="2" t="str">
        <f t="shared" si="59"/>
        <v>_</v>
      </c>
      <c r="I746" s="2"/>
      <c r="J746" s="2"/>
      <c r="K746" s="2"/>
      <c r="L746" s="2" t="str">
        <f t="shared" si="60"/>
        <v>_</v>
      </c>
      <c r="M746" s="2"/>
      <c r="N746" s="2">
        <f>IF(ISBLANK(Table2[[#This Row],[ActualResult]]), 0, 1)</f>
        <v>0</v>
      </c>
      <c r="O746" s="2" t="str">
        <f>IF(ISBLANK(Table2[[#This Row],[ActualResult]]), "_", IF(Table2[[#This Row],[ActualWinner]]=Table2[[#This Row],[PredictedWinner]], "Y", "N"))</f>
        <v>_</v>
      </c>
      <c r="P7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6" s="2"/>
      <c r="S746" s="2" t="str">
        <f t="shared" si="61"/>
        <v>_</v>
      </c>
      <c r="T7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6" s="2">
        <f>IF(Table2[[#This Row],[InterConf]]=1,IF(Table2[[#This Row],[InterDiv]]=0, 1, 0), 0)</f>
        <v>0</v>
      </c>
      <c r="W7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6" s="2"/>
      <c r="Y746" s="2"/>
      <c r="Z746" s="145">
        <f>IF(AND(Table2[[#This Row],[GameIsOver]]=1,Table2[[#This Row],[ActualHomeScore]]*Table2[[#This Row],[ActualAwayScore]]=0), 1,0)</f>
        <v>0</v>
      </c>
      <c r="AA7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6" s="2">
        <f>Table2[[#This Row],[ActualAwayScore]]-Table2[[#This Row],[PredictedAwayScore]]</f>
        <v>0</v>
      </c>
      <c r="AG746" s="2">
        <f>Table2[[#This Row],[ActualHomeScore]]-Table2[[#This Row],[PredictedHomeScore]]</f>
        <v>0</v>
      </c>
      <c r="AH746" s="2">
        <f t="shared" si="62"/>
        <v>0</v>
      </c>
      <c r="AI746" s="2">
        <f t="shared" si="63"/>
        <v>0</v>
      </c>
      <c r="AJ746" s="2"/>
      <c r="AK746" s="3"/>
      <c r="AL746" s="2">
        <f>IF(Table2[[#This Row],[GameIsOver]]=0,0,IF(Table2[[#This Row],[ActualWinner]]=Table2[[#This Row],[AwayTeam]], 1, 0))</f>
        <v>0</v>
      </c>
      <c r="AM746" s="2">
        <f>IF(Table2[[#This Row],[GameIsOver]]=0,0,IF(Table2[[#This Row],[ActualWinner]]=Table2[[#This Row],[HomeTeam]], 1, 0))</f>
        <v>0</v>
      </c>
      <c r="AN7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6" s="2" t="str">
        <f>INDEX(Sheet5!$B$2:$AG$33, MATCH(Table2[[#This Row],[AwayTeam]],Sheet5!$A$2:$A$33, 0), MATCH(Table2[[#This Row],[HomeTeam]],Sheet5!$A$2:$A$33, 0))</f>
        <v>0-0-0</v>
      </c>
      <c r="AP746" s="2" t="str">
        <f>INDEX(Sheet5!$B$2:$AG$33, MATCH(Table2[[#This Row],[HomeTeam]],Sheet5!$A$2:$A$33, 0), MATCH(Table2[[#This Row],[AwayTeam]],Sheet5!$A$2:$A$33, 0))</f>
        <v>0-0-0</v>
      </c>
      <c r="AQ746" s="2">
        <f>IF(Table2[[#This Row],[GameHasShutOut]], 1, 0)</f>
        <v>0</v>
      </c>
      <c r="AR746" s="2">
        <f>IF(Table2[[#This Row],[ActualAwayScore]] + Table2[[#This Row],[ActualHomeScore]] &gt;= 10, 1, 0)</f>
        <v>0</v>
      </c>
      <c r="AS746" s="2">
        <f>IF(ABS(Table2[[#This Row],[ActualAwayScore]]-Table2[[#This Row],[ActualHomeScore]])&gt;=5, 1, 0)</f>
        <v>0</v>
      </c>
      <c r="AT746" s="2">
        <f>IF(Table2[[#This Row],[ActualAwayScore]] + Table2[[#This Row],[ActualHomeScore]] &lt;= 3, 1, 0)</f>
        <v>1</v>
      </c>
      <c r="AU746" s="2"/>
      <c r="AV746" s="2"/>
    </row>
    <row r="747" spans="1:48" x14ac:dyDescent="0.25">
      <c r="A747" s="3"/>
      <c r="B747" s="3">
        <v>46038</v>
      </c>
      <c r="C747" s="5">
        <v>2025020745</v>
      </c>
      <c r="D747" s="2" t="s">
        <v>23</v>
      </c>
      <c r="E747" s="2" t="s">
        <v>16</v>
      </c>
      <c r="F747" s="2"/>
      <c r="G747" s="2"/>
      <c r="H747" s="2" t="str">
        <f t="shared" si="59"/>
        <v>_</v>
      </c>
      <c r="I747" s="2"/>
      <c r="J747" s="2"/>
      <c r="K747" s="2"/>
      <c r="L747" s="2" t="str">
        <f t="shared" si="60"/>
        <v>_</v>
      </c>
      <c r="M747" s="2"/>
      <c r="N747" s="2">
        <f>IF(ISBLANK(Table2[[#This Row],[ActualResult]]), 0, 1)</f>
        <v>0</v>
      </c>
      <c r="O747" s="2" t="str">
        <f>IF(ISBLANK(Table2[[#This Row],[ActualResult]]), "_", IF(Table2[[#This Row],[ActualWinner]]=Table2[[#This Row],[PredictedWinner]], "Y", "N"))</f>
        <v>_</v>
      </c>
      <c r="P7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7" s="2"/>
      <c r="S747" s="2" t="str">
        <f t="shared" si="61"/>
        <v>_</v>
      </c>
      <c r="T7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7" s="2">
        <f>IF(Table2[[#This Row],[InterConf]]=1,IF(Table2[[#This Row],[InterDiv]]=0, 1, 0), 0)</f>
        <v>1</v>
      </c>
      <c r="W7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7" s="2"/>
      <c r="Y747" s="2"/>
      <c r="Z747" s="145">
        <f>IF(AND(Table2[[#This Row],[GameIsOver]]=1,Table2[[#This Row],[ActualHomeScore]]*Table2[[#This Row],[ActualAwayScore]]=0), 1,0)</f>
        <v>0</v>
      </c>
      <c r="AA7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7" s="2">
        <f>Table2[[#This Row],[ActualAwayScore]]-Table2[[#This Row],[PredictedAwayScore]]</f>
        <v>0</v>
      </c>
      <c r="AG747" s="2">
        <f>Table2[[#This Row],[ActualHomeScore]]-Table2[[#This Row],[PredictedHomeScore]]</f>
        <v>0</v>
      </c>
      <c r="AH747" s="2">
        <f t="shared" si="62"/>
        <v>0</v>
      </c>
      <c r="AI747" s="2">
        <f t="shared" si="63"/>
        <v>0</v>
      </c>
      <c r="AJ747" s="2"/>
      <c r="AK747" s="3"/>
      <c r="AL747" s="2">
        <f>IF(Table2[[#This Row],[GameIsOver]]=0,0,IF(Table2[[#This Row],[ActualWinner]]=Table2[[#This Row],[AwayTeam]], 1, 0))</f>
        <v>0</v>
      </c>
      <c r="AM747" s="2">
        <f>IF(Table2[[#This Row],[GameIsOver]]=0,0,IF(Table2[[#This Row],[ActualWinner]]=Table2[[#This Row],[HomeTeam]], 1, 0))</f>
        <v>0</v>
      </c>
      <c r="AN7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7" s="2" t="str">
        <f>INDEX(Sheet5!$B$2:$AG$33, MATCH(Table2[[#This Row],[AwayTeam]],Sheet5!$A$2:$A$33, 0), MATCH(Table2[[#This Row],[HomeTeam]],Sheet5!$A$2:$A$33, 0))</f>
        <v>0-0-0</v>
      </c>
      <c r="AP747" s="2" t="str">
        <f>INDEX(Sheet5!$B$2:$AG$33, MATCH(Table2[[#This Row],[HomeTeam]],Sheet5!$A$2:$A$33, 0), MATCH(Table2[[#This Row],[AwayTeam]],Sheet5!$A$2:$A$33, 0))</f>
        <v>0-0-0</v>
      </c>
      <c r="AQ747" s="2">
        <f>IF(Table2[[#This Row],[GameHasShutOut]], 1, 0)</f>
        <v>0</v>
      </c>
      <c r="AR747" s="2">
        <f>IF(Table2[[#This Row],[ActualAwayScore]] + Table2[[#This Row],[ActualHomeScore]] &gt;= 10, 1, 0)</f>
        <v>0</v>
      </c>
      <c r="AS747" s="2">
        <f>IF(ABS(Table2[[#This Row],[ActualAwayScore]]-Table2[[#This Row],[ActualHomeScore]])&gt;=5, 1, 0)</f>
        <v>0</v>
      </c>
      <c r="AT747" s="2">
        <f>IF(Table2[[#This Row],[ActualAwayScore]] + Table2[[#This Row],[ActualHomeScore]] &lt;= 3, 1, 0)</f>
        <v>1</v>
      </c>
      <c r="AU747" s="2"/>
      <c r="AV747" s="2"/>
    </row>
    <row r="748" spans="1:48" x14ac:dyDescent="0.25">
      <c r="A748" s="3"/>
      <c r="B748" s="3">
        <v>46038</v>
      </c>
      <c r="C748" s="5">
        <v>2025020746</v>
      </c>
      <c r="D748" s="2" t="s">
        <v>33</v>
      </c>
      <c r="E748" s="2" t="s">
        <v>14</v>
      </c>
      <c r="F748" s="2"/>
      <c r="G748" s="2"/>
      <c r="H748" s="2" t="str">
        <f t="shared" si="59"/>
        <v>_</v>
      </c>
      <c r="I748" s="2"/>
      <c r="J748" s="2"/>
      <c r="K748" s="2"/>
      <c r="L748" s="2" t="str">
        <f t="shared" si="60"/>
        <v>_</v>
      </c>
      <c r="M748" s="2"/>
      <c r="N748" s="2">
        <f>IF(ISBLANK(Table2[[#This Row],[ActualResult]]), 0, 1)</f>
        <v>0</v>
      </c>
      <c r="O748" s="2" t="str">
        <f>IF(ISBLANK(Table2[[#This Row],[ActualResult]]), "_", IF(Table2[[#This Row],[ActualWinner]]=Table2[[#This Row],[PredictedWinner]], "Y", "N"))</f>
        <v>_</v>
      </c>
      <c r="P7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8" s="2"/>
      <c r="S748" s="2" t="str">
        <f t="shared" si="61"/>
        <v>_</v>
      </c>
      <c r="T7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8" s="2">
        <f>IF(Table2[[#This Row],[InterConf]]=1,IF(Table2[[#This Row],[InterDiv]]=0, 1, 0), 0)</f>
        <v>0</v>
      </c>
      <c r="W7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8" s="2"/>
      <c r="Y748" s="2"/>
      <c r="Z748" s="145">
        <f>IF(AND(Table2[[#This Row],[GameIsOver]]=1,Table2[[#This Row],[ActualHomeScore]]*Table2[[#This Row],[ActualAwayScore]]=0), 1,0)</f>
        <v>0</v>
      </c>
      <c r="AA7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8" s="2">
        <f>Table2[[#This Row],[ActualAwayScore]]-Table2[[#This Row],[PredictedAwayScore]]</f>
        <v>0</v>
      </c>
      <c r="AG748" s="2">
        <f>Table2[[#This Row],[ActualHomeScore]]-Table2[[#This Row],[PredictedHomeScore]]</f>
        <v>0</v>
      </c>
      <c r="AH748" s="2">
        <f t="shared" si="62"/>
        <v>0</v>
      </c>
      <c r="AI748" s="2">
        <f t="shared" si="63"/>
        <v>0</v>
      </c>
      <c r="AJ748" s="2"/>
      <c r="AK748" s="3"/>
      <c r="AL748" s="2">
        <f>IF(Table2[[#This Row],[GameIsOver]]=0,0,IF(Table2[[#This Row],[ActualWinner]]=Table2[[#This Row],[AwayTeam]], 1, 0))</f>
        <v>0</v>
      </c>
      <c r="AM748" s="2">
        <f>IF(Table2[[#This Row],[GameIsOver]]=0,0,IF(Table2[[#This Row],[ActualWinner]]=Table2[[#This Row],[HomeTeam]], 1, 0))</f>
        <v>0</v>
      </c>
      <c r="AN7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8" s="2" t="str">
        <f>INDEX(Sheet5!$B$2:$AG$33, MATCH(Table2[[#This Row],[AwayTeam]],Sheet5!$A$2:$A$33, 0), MATCH(Table2[[#This Row],[HomeTeam]],Sheet5!$A$2:$A$33, 0))</f>
        <v>0-0-0</v>
      </c>
      <c r="AP748" s="2" t="str">
        <f>INDEX(Sheet5!$B$2:$AG$33, MATCH(Table2[[#This Row],[HomeTeam]],Sheet5!$A$2:$A$33, 0), MATCH(Table2[[#This Row],[AwayTeam]],Sheet5!$A$2:$A$33, 0))</f>
        <v>0-0-0</v>
      </c>
      <c r="AQ748" s="2">
        <f>IF(Table2[[#This Row],[GameHasShutOut]], 1, 0)</f>
        <v>0</v>
      </c>
      <c r="AR748" s="2">
        <f>IF(Table2[[#This Row],[ActualAwayScore]] + Table2[[#This Row],[ActualHomeScore]] &gt;= 10, 1, 0)</f>
        <v>0</v>
      </c>
      <c r="AS748" s="2">
        <f>IF(ABS(Table2[[#This Row],[ActualAwayScore]]-Table2[[#This Row],[ActualHomeScore]])&gt;=5, 1, 0)</f>
        <v>0</v>
      </c>
      <c r="AT748" s="2">
        <f>IF(Table2[[#This Row],[ActualAwayScore]] + Table2[[#This Row],[ActualHomeScore]] &lt;= 3, 1, 0)</f>
        <v>1</v>
      </c>
      <c r="AU748" s="2"/>
      <c r="AV748" s="2"/>
    </row>
    <row r="749" spans="1:48" x14ac:dyDescent="0.25">
      <c r="A749" s="3"/>
      <c r="B749" s="3">
        <v>46038</v>
      </c>
      <c r="C749" s="5">
        <v>2025020747</v>
      </c>
      <c r="D749" s="2" t="s">
        <v>32</v>
      </c>
      <c r="E749" s="2" t="s">
        <v>22</v>
      </c>
      <c r="F749" s="2"/>
      <c r="G749" s="2"/>
      <c r="H749" s="2" t="str">
        <f t="shared" si="59"/>
        <v>_</v>
      </c>
      <c r="I749" s="2"/>
      <c r="J749" s="2"/>
      <c r="K749" s="2"/>
      <c r="L749" s="2" t="str">
        <f t="shared" si="60"/>
        <v>_</v>
      </c>
      <c r="M749" s="2"/>
      <c r="N749" s="2">
        <f>IF(ISBLANK(Table2[[#This Row],[ActualResult]]), 0, 1)</f>
        <v>0</v>
      </c>
      <c r="O749" s="2" t="str">
        <f>IF(ISBLANK(Table2[[#This Row],[ActualResult]]), "_", IF(Table2[[#This Row],[ActualWinner]]=Table2[[#This Row],[PredictedWinner]], "Y", "N"))</f>
        <v>_</v>
      </c>
      <c r="P7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9" s="2"/>
      <c r="S749" s="2" t="str">
        <f t="shared" si="61"/>
        <v>_</v>
      </c>
      <c r="T7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9" s="2">
        <f>IF(Table2[[#This Row],[InterConf]]=1,IF(Table2[[#This Row],[InterDiv]]=0, 1, 0), 0)</f>
        <v>0</v>
      </c>
      <c r="W7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9" s="2"/>
      <c r="Y749" s="2"/>
      <c r="Z749" s="145">
        <f>IF(AND(Table2[[#This Row],[GameIsOver]]=1,Table2[[#This Row],[ActualHomeScore]]*Table2[[#This Row],[ActualAwayScore]]=0), 1,0)</f>
        <v>0</v>
      </c>
      <c r="AA7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9" s="2">
        <f>Table2[[#This Row],[ActualAwayScore]]-Table2[[#This Row],[PredictedAwayScore]]</f>
        <v>0</v>
      </c>
      <c r="AG749" s="2">
        <f>Table2[[#This Row],[ActualHomeScore]]-Table2[[#This Row],[PredictedHomeScore]]</f>
        <v>0</v>
      </c>
      <c r="AH749" s="2">
        <f t="shared" si="62"/>
        <v>0</v>
      </c>
      <c r="AI749" s="2">
        <f t="shared" si="63"/>
        <v>0</v>
      </c>
      <c r="AJ749" s="2"/>
      <c r="AK749" s="3"/>
      <c r="AL749" s="2">
        <f>IF(Table2[[#This Row],[GameIsOver]]=0,0,IF(Table2[[#This Row],[ActualWinner]]=Table2[[#This Row],[AwayTeam]], 1, 0))</f>
        <v>0</v>
      </c>
      <c r="AM749" s="2">
        <f>IF(Table2[[#This Row],[GameIsOver]]=0,0,IF(Table2[[#This Row],[ActualWinner]]=Table2[[#This Row],[HomeTeam]], 1, 0))</f>
        <v>0</v>
      </c>
      <c r="AN7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9" s="2" t="str">
        <f>INDEX(Sheet5!$B$2:$AG$33, MATCH(Table2[[#This Row],[AwayTeam]],Sheet5!$A$2:$A$33, 0), MATCH(Table2[[#This Row],[HomeTeam]],Sheet5!$A$2:$A$33, 0))</f>
        <v>1-0-0</v>
      </c>
      <c r="AP749" s="2" t="str">
        <f>INDEX(Sheet5!$B$2:$AG$33, MATCH(Table2[[#This Row],[HomeTeam]],Sheet5!$A$2:$A$33, 0), MATCH(Table2[[#This Row],[AwayTeam]],Sheet5!$A$2:$A$33, 0))</f>
        <v>0-1-0</v>
      </c>
      <c r="AQ749" s="2">
        <f>IF(Table2[[#This Row],[GameHasShutOut]], 1, 0)</f>
        <v>0</v>
      </c>
      <c r="AR749" s="2">
        <f>IF(Table2[[#This Row],[ActualAwayScore]] + Table2[[#This Row],[ActualHomeScore]] &gt;= 10, 1, 0)</f>
        <v>0</v>
      </c>
      <c r="AS749" s="2">
        <f>IF(ABS(Table2[[#This Row],[ActualAwayScore]]-Table2[[#This Row],[ActualHomeScore]])&gt;=5, 1, 0)</f>
        <v>0</v>
      </c>
      <c r="AT749" s="2">
        <f>IF(Table2[[#This Row],[ActualAwayScore]] + Table2[[#This Row],[ActualHomeScore]] &lt;= 3, 1, 0)</f>
        <v>1</v>
      </c>
      <c r="AU749" s="2"/>
      <c r="AV749" s="2"/>
    </row>
    <row r="750" spans="1:48" x14ac:dyDescent="0.25">
      <c r="A750" s="3"/>
      <c r="B750" s="3">
        <v>46038</v>
      </c>
      <c r="C750" s="5">
        <v>2025020748</v>
      </c>
      <c r="D750" s="2" t="s">
        <v>17</v>
      </c>
      <c r="E750" s="2" t="s">
        <v>26</v>
      </c>
      <c r="F750" s="2"/>
      <c r="G750" s="2"/>
      <c r="H750" s="2" t="str">
        <f t="shared" si="59"/>
        <v>_</v>
      </c>
      <c r="I750" s="2"/>
      <c r="J750" s="2"/>
      <c r="K750" s="2"/>
      <c r="L750" s="2" t="str">
        <f t="shared" si="60"/>
        <v>_</v>
      </c>
      <c r="M750" s="2"/>
      <c r="N750" s="2">
        <f>IF(ISBLANK(Table2[[#This Row],[ActualResult]]), 0, 1)</f>
        <v>0</v>
      </c>
      <c r="O750" s="2" t="str">
        <f>IF(ISBLANK(Table2[[#This Row],[ActualResult]]), "_", IF(Table2[[#This Row],[ActualWinner]]=Table2[[#This Row],[PredictedWinner]], "Y", "N"))</f>
        <v>_</v>
      </c>
      <c r="P7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0" s="2"/>
      <c r="S750" s="2" t="str">
        <f t="shared" si="61"/>
        <v>_</v>
      </c>
      <c r="T7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0" s="2">
        <f>IF(Table2[[#This Row],[InterConf]]=1,IF(Table2[[#This Row],[InterDiv]]=0, 1, 0), 0)</f>
        <v>0</v>
      </c>
      <c r="W7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0" s="2"/>
      <c r="Y750" s="2"/>
      <c r="Z750" s="145">
        <f>IF(AND(Table2[[#This Row],[GameIsOver]]=1,Table2[[#This Row],[ActualHomeScore]]*Table2[[#This Row],[ActualAwayScore]]=0), 1,0)</f>
        <v>0</v>
      </c>
      <c r="AA7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50" s="2">
        <f>Table2[[#This Row],[ActualAwayScore]]-Table2[[#This Row],[PredictedAwayScore]]</f>
        <v>0</v>
      </c>
      <c r="AG750" s="2">
        <f>Table2[[#This Row],[ActualHomeScore]]-Table2[[#This Row],[PredictedHomeScore]]</f>
        <v>0</v>
      </c>
      <c r="AH750" s="2">
        <f t="shared" si="62"/>
        <v>0</v>
      </c>
      <c r="AI750" s="2">
        <f t="shared" si="63"/>
        <v>0</v>
      </c>
      <c r="AJ750" s="2"/>
      <c r="AK750" s="3"/>
      <c r="AL750" s="2">
        <f>IF(Table2[[#This Row],[GameIsOver]]=0,0,IF(Table2[[#This Row],[ActualWinner]]=Table2[[#This Row],[AwayTeam]], 1, 0))</f>
        <v>0</v>
      </c>
      <c r="AM750" s="2">
        <f>IF(Table2[[#This Row],[GameIsOver]]=0,0,IF(Table2[[#This Row],[ActualWinner]]=Table2[[#This Row],[HomeTeam]], 1, 0))</f>
        <v>0</v>
      </c>
      <c r="AN7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0" s="2" t="str">
        <f>INDEX(Sheet5!$B$2:$AG$33, MATCH(Table2[[#This Row],[AwayTeam]],Sheet5!$A$2:$A$33, 0), MATCH(Table2[[#This Row],[HomeTeam]],Sheet5!$A$2:$A$33, 0))</f>
        <v>0-0-0</v>
      </c>
      <c r="AP750" s="2" t="str">
        <f>INDEX(Sheet5!$B$2:$AG$33, MATCH(Table2[[#This Row],[HomeTeam]],Sheet5!$A$2:$A$33, 0), MATCH(Table2[[#This Row],[AwayTeam]],Sheet5!$A$2:$A$33, 0))</f>
        <v>0-0-0</v>
      </c>
      <c r="AQ750" s="2">
        <f>IF(Table2[[#This Row],[GameHasShutOut]], 1, 0)</f>
        <v>0</v>
      </c>
      <c r="AR750" s="2">
        <f>IF(Table2[[#This Row],[ActualAwayScore]] + Table2[[#This Row],[ActualHomeScore]] &gt;= 10, 1, 0)</f>
        <v>0</v>
      </c>
      <c r="AS750" s="2">
        <f>IF(ABS(Table2[[#This Row],[ActualAwayScore]]-Table2[[#This Row],[ActualHomeScore]])&gt;=5, 1, 0)</f>
        <v>0</v>
      </c>
      <c r="AT750" s="2">
        <f>IF(Table2[[#This Row],[ActualAwayScore]] + Table2[[#This Row],[ActualHomeScore]] &lt;= 3, 1, 0)</f>
        <v>1</v>
      </c>
      <c r="AU750" s="2"/>
      <c r="AV750" s="2"/>
    </row>
    <row r="751" spans="1:48" x14ac:dyDescent="0.25">
      <c r="A751" s="3"/>
      <c r="B751" s="3">
        <v>46039</v>
      </c>
      <c r="C751" s="5">
        <v>2025020749</v>
      </c>
      <c r="D751" s="2" t="s">
        <v>37</v>
      </c>
      <c r="E751" s="2" t="s">
        <v>30</v>
      </c>
      <c r="F751" s="2"/>
      <c r="G751" s="2"/>
      <c r="H751" s="2" t="str">
        <f t="shared" si="59"/>
        <v>_</v>
      </c>
      <c r="I751" s="2"/>
      <c r="J751" s="2"/>
      <c r="K751" s="2"/>
      <c r="L751" s="2" t="str">
        <f t="shared" si="60"/>
        <v>_</v>
      </c>
      <c r="M751" s="2"/>
      <c r="N751" s="2">
        <f>IF(ISBLANK(Table2[[#This Row],[ActualResult]]), 0, 1)</f>
        <v>0</v>
      </c>
      <c r="O751" s="2" t="str">
        <f>IF(ISBLANK(Table2[[#This Row],[ActualResult]]), "_", IF(Table2[[#This Row],[ActualWinner]]=Table2[[#This Row],[PredictedWinner]], "Y", "N"))</f>
        <v>_</v>
      </c>
      <c r="P7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1" s="2"/>
      <c r="S751" s="2" t="str">
        <f t="shared" si="61"/>
        <v>_</v>
      </c>
      <c r="T7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1" s="2">
        <f>IF(Table2[[#This Row],[InterConf]]=1,IF(Table2[[#This Row],[InterDiv]]=0, 1, 0), 0)</f>
        <v>0</v>
      </c>
      <c r="W7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1" s="2"/>
      <c r="Y751" s="2"/>
      <c r="Z751" s="145">
        <f>IF(AND(Table2[[#This Row],[GameIsOver]]=1,Table2[[#This Row],[ActualHomeScore]]*Table2[[#This Row],[ActualAwayScore]]=0), 1,0)</f>
        <v>0</v>
      </c>
      <c r="AA7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1" s="2">
        <f>Table2[[#This Row],[ActualAwayScore]]-Table2[[#This Row],[PredictedAwayScore]]</f>
        <v>0</v>
      </c>
      <c r="AG751" s="2">
        <f>Table2[[#This Row],[ActualHomeScore]]-Table2[[#This Row],[PredictedHomeScore]]</f>
        <v>0</v>
      </c>
      <c r="AH751" s="2">
        <f t="shared" si="62"/>
        <v>0</v>
      </c>
      <c r="AI751" s="2">
        <f t="shared" si="63"/>
        <v>0</v>
      </c>
      <c r="AJ751" s="2"/>
      <c r="AK751" s="3"/>
      <c r="AL751" s="2">
        <f>IF(Table2[[#This Row],[GameIsOver]]=0,0,IF(Table2[[#This Row],[ActualWinner]]=Table2[[#This Row],[AwayTeam]], 1, 0))</f>
        <v>0</v>
      </c>
      <c r="AM751" s="2">
        <f>IF(Table2[[#This Row],[GameIsOver]]=0,0,IF(Table2[[#This Row],[ActualWinner]]=Table2[[#This Row],[HomeTeam]], 1, 0))</f>
        <v>0</v>
      </c>
      <c r="AN7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1" s="2" t="str">
        <f>INDEX(Sheet5!$B$2:$AG$33, MATCH(Table2[[#This Row],[AwayTeam]],Sheet5!$A$2:$A$33, 0), MATCH(Table2[[#This Row],[HomeTeam]],Sheet5!$A$2:$A$33, 0))</f>
        <v>0-0-0</v>
      </c>
      <c r="AP751" s="2" t="str">
        <f>INDEX(Sheet5!$B$2:$AG$33, MATCH(Table2[[#This Row],[HomeTeam]],Sheet5!$A$2:$A$33, 0), MATCH(Table2[[#This Row],[AwayTeam]],Sheet5!$A$2:$A$33, 0))</f>
        <v>0-0-0</v>
      </c>
      <c r="AQ751" s="2">
        <f>IF(Table2[[#This Row],[GameHasShutOut]], 1, 0)</f>
        <v>0</v>
      </c>
      <c r="AR751" s="2">
        <f>IF(Table2[[#This Row],[ActualAwayScore]] + Table2[[#This Row],[ActualHomeScore]] &gt;= 10, 1, 0)</f>
        <v>0</v>
      </c>
      <c r="AS751" s="2">
        <f>IF(ABS(Table2[[#This Row],[ActualAwayScore]]-Table2[[#This Row],[ActualHomeScore]])&gt;=5, 1, 0)</f>
        <v>0</v>
      </c>
      <c r="AT751" s="2">
        <f>IF(Table2[[#This Row],[ActualAwayScore]] + Table2[[#This Row],[ActualHomeScore]] &lt;= 3, 1, 0)</f>
        <v>1</v>
      </c>
      <c r="AU751" s="2"/>
      <c r="AV751" s="2"/>
    </row>
    <row r="752" spans="1:48" x14ac:dyDescent="0.25">
      <c r="A752" s="3"/>
      <c r="B752" s="3">
        <v>46039</v>
      </c>
      <c r="C752" s="5">
        <v>2025020750</v>
      </c>
      <c r="D752" s="2" t="s">
        <v>13</v>
      </c>
      <c r="E752" s="2" t="s">
        <v>41</v>
      </c>
      <c r="F752" s="2"/>
      <c r="G752" s="2"/>
      <c r="H752" s="2" t="str">
        <f t="shared" si="59"/>
        <v>_</v>
      </c>
      <c r="I752" s="2"/>
      <c r="J752" s="2"/>
      <c r="K752" s="2"/>
      <c r="L752" s="2" t="str">
        <f t="shared" si="60"/>
        <v>_</v>
      </c>
      <c r="M752" s="2"/>
      <c r="N752" s="2">
        <f>IF(ISBLANK(Table2[[#This Row],[ActualResult]]), 0, 1)</f>
        <v>0</v>
      </c>
      <c r="O752" s="2" t="str">
        <f>IF(ISBLANK(Table2[[#This Row],[ActualResult]]), "_", IF(Table2[[#This Row],[ActualWinner]]=Table2[[#This Row],[PredictedWinner]], "Y", "N"))</f>
        <v>_</v>
      </c>
      <c r="P7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2" s="2"/>
      <c r="S752" s="2" t="str">
        <f t="shared" si="61"/>
        <v>_</v>
      </c>
      <c r="T7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2" s="2">
        <f>IF(Table2[[#This Row],[InterConf]]=1,IF(Table2[[#This Row],[InterDiv]]=0, 1, 0), 0)</f>
        <v>1</v>
      </c>
      <c r="W7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2" s="2"/>
      <c r="Y752" s="2"/>
      <c r="Z752" s="145">
        <f>IF(AND(Table2[[#This Row],[GameIsOver]]=1,Table2[[#This Row],[ActualHomeScore]]*Table2[[#This Row],[ActualAwayScore]]=0), 1,0)</f>
        <v>0</v>
      </c>
      <c r="AA7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2" s="2">
        <f>Table2[[#This Row],[ActualAwayScore]]-Table2[[#This Row],[PredictedAwayScore]]</f>
        <v>0</v>
      </c>
      <c r="AG752" s="2">
        <f>Table2[[#This Row],[ActualHomeScore]]-Table2[[#This Row],[PredictedHomeScore]]</f>
        <v>0</v>
      </c>
      <c r="AH752" s="2">
        <f t="shared" si="62"/>
        <v>0</v>
      </c>
      <c r="AI752" s="2">
        <f t="shared" si="63"/>
        <v>0</v>
      </c>
      <c r="AJ752" s="2"/>
      <c r="AK752" s="3"/>
      <c r="AL752" s="2">
        <f>IF(Table2[[#This Row],[GameIsOver]]=0,0,IF(Table2[[#This Row],[ActualWinner]]=Table2[[#This Row],[AwayTeam]], 1, 0))</f>
        <v>0</v>
      </c>
      <c r="AM752" s="2">
        <f>IF(Table2[[#This Row],[GameIsOver]]=0,0,IF(Table2[[#This Row],[ActualWinner]]=Table2[[#This Row],[HomeTeam]], 1, 0))</f>
        <v>0</v>
      </c>
      <c r="AN7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2" s="2" t="str">
        <f>INDEX(Sheet5!$B$2:$AG$33, MATCH(Table2[[#This Row],[AwayTeam]],Sheet5!$A$2:$A$33, 0), MATCH(Table2[[#This Row],[HomeTeam]],Sheet5!$A$2:$A$33, 0))</f>
        <v>0-0-0</v>
      </c>
      <c r="AP752" s="2" t="str">
        <f>INDEX(Sheet5!$B$2:$AG$33, MATCH(Table2[[#This Row],[HomeTeam]],Sheet5!$A$2:$A$33, 0), MATCH(Table2[[#This Row],[AwayTeam]],Sheet5!$A$2:$A$33, 0))</f>
        <v>0-0-0</v>
      </c>
      <c r="AQ752" s="2">
        <f>IF(Table2[[#This Row],[GameHasShutOut]], 1, 0)</f>
        <v>0</v>
      </c>
      <c r="AR752" s="2">
        <f>IF(Table2[[#This Row],[ActualAwayScore]] + Table2[[#This Row],[ActualHomeScore]] &gt;= 10, 1, 0)</f>
        <v>0</v>
      </c>
      <c r="AS752" s="2">
        <f>IF(ABS(Table2[[#This Row],[ActualAwayScore]]-Table2[[#This Row],[ActualHomeScore]])&gt;=5, 1, 0)</f>
        <v>0</v>
      </c>
      <c r="AT752" s="2">
        <f>IF(Table2[[#This Row],[ActualAwayScore]] + Table2[[#This Row],[ActualHomeScore]] &lt;= 3, 1, 0)</f>
        <v>1</v>
      </c>
      <c r="AU752" s="2"/>
      <c r="AV752" s="2"/>
    </row>
    <row r="753" spans="1:48" x14ac:dyDescent="0.25">
      <c r="A753" s="3"/>
      <c r="B753" s="3">
        <v>46039</v>
      </c>
      <c r="C753" s="5">
        <v>2025020751</v>
      </c>
      <c r="D753" s="2" t="s">
        <v>40</v>
      </c>
      <c r="E753" s="2" t="s">
        <v>12</v>
      </c>
      <c r="F753" s="2"/>
      <c r="G753" s="2"/>
      <c r="H753" s="2" t="str">
        <f t="shared" si="59"/>
        <v>_</v>
      </c>
      <c r="I753" s="2"/>
      <c r="J753" s="2"/>
      <c r="K753" s="2"/>
      <c r="L753" s="2" t="str">
        <f t="shared" si="60"/>
        <v>_</v>
      </c>
      <c r="M753" s="2"/>
      <c r="N753" s="2">
        <f>IF(ISBLANK(Table2[[#This Row],[ActualResult]]), 0, 1)</f>
        <v>0</v>
      </c>
      <c r="O753" s="2" t="str">
        <f>IF(ISBLANK(Table2[[#This Row],[ActualResult]]), "_", IF(Table2[[#This Row],[ActualWinner]]=Table2[[#This Row],[PredictedWinner]], "Y", "N"))</f>
        <v>_</v>
      </c>
      <c r="P7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3" s="2"/>
      <c r="S753" s="2" t="str">
        <f t="shared" si="61"/>
        <v>_</v>
      </c>
      <c r="T7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3" s="2">
        <f>IF(Table2[[#This Row],[InterConf]]=1,IF(Table2[[#This Row],[InterDiv]]=0, 1, 0), 0)</f>
        <v>0</v>
      </c>
      <c r="W7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3" s="2"/>
      <c r="Y753" s="2"/>
      <c r="Z753" s="145">
        <f>IF(AND(Table2[[#This Row],[GameIsOver]]=1,Table2[[#This Row],[ActualHomeScore]]*Table2[[#This Row],[ActualAwayScore]]=0), 1,0)</f>
        <v>0</v>
      </c>
      <c r="AA7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3" s="2">
        <f>Table2[[#This Row],[ActualAwayScore]]-Table2[[#This Row],[PredictedAwayScore]]</f>
        <v>0</v>
      </c>
      <c r="AG753" s="2">
        <f>Table2[[#This Row],[ActualHomeScore]]-Table2[[#This Row],[PredictedHomeScore]]</f>
        <v>0</v>
      </c>
      <c r="AH753" s="2">
        <f t="shared" si="62"/>
        <v>0</v>
      </c>
      <c r="AI753" s="2">
        <f t="shared" si="63"/>
        <v>0</v>
      </c>
      <c r="AJ753" s="2"/>
      <c r="AK753" s="3"/>
      <c r="AL753" s="2">
        <f>IF(Table2[[#This Row],[GameIsOver]]=0,0,IF(Table2[[#This Row],[ActualWinner]]=Table2[[#This Row],[AwayTeam]], 1, 0))</f>
        <v>0</v>
      </c>
      <c r="AM753" s="2">
        <f>IF(Table2[[#This Row],[GameIsOver]]=0,0,IF(Table2[[#This Row],[ActualWinner]]=Table2[[#This Row],[HomeTeam]], 1, 0))</f>
        <v>0</v>
      </c>
      <c r="AN7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3" s="2" t="str">
        <f>INDEX(Sheet5!$B$2:$AG$33, MATCH(Table2[[#This Row],[AwayTeam]],Sheet5!$A$2:$A$33, 0), MATCH(Table2[[#This Row],[HomeTeam]],Sheet5!$A$2:$A$33, 0))</f>
        <v>0-0-0</v>
      </c>
      <c r="AP753" s="2" t="str">
        <f>INDEX(Sheet5!$B$2:$AG$33, MATCH(Table2[[#This Row],[HomeTeam]],Sheet5!$A$2:$A$33, 0), MATCH(Table2[[#This Row],[AwayTeam]],Sheet5!$A$2:$A$33, 0))</f>
        <v>0-0-0</v>
      </c>
      <c r="AQ753" s="2">
        <f>IF(Table2[[#This Row],[GameHasShutOut]], 1, 0)</f>
        <v>0</v>
      </c>
      <c r="AR753" s="2">
        <f>IF(Table2[[#This Row],[ActualAwayScore]] + Table2[[#This Row],[ActualHomeScore]] &gt;= 10, 1, 0)</f>
        <v>0</v>
      </c>
      <c r="AS753" s="2">
        <f>IF(ABS(Table2[[#This Row],[ActualAwayScore]]-Table2[[#This Row],[ActualHomeScore]])&gt;=5, 1, 0)</f>
        <v>0</v>
      </c>
      <c r="AT753" s="2">
        <f>IF(Table2[[#This Row],[ActualAwayScore]] + Table2[[#This Row],[ActualHomeScore]] &lt;= 3, 1, 0)</f>
        <v>1</v>
      </c>
      <c r="AU753" s="2"/>
      <c r="AV753" s="2"/>
    </row>
    <row r="754" spans="1:48" x14ac:dyDescent="0.25">
      <c r="A754" s="3"/>
      <c r="B754" s="3">
        <v>46039</v>
      </c>
      <c r="C754" s="5">
        <v>2025020752</v>
      </c>
      <c r="D754" s="2" t="s">
        <v>34</v>
      </c>
      <c r="E754" s="2" t="s">
        <v>25</v>
      </c>
      <c r="F754" s="2"/>
      <c r="G754" s="2"/>
      <c r="H754" s="2" t="str">
        <f t="shared" si="59"/>
        <v>_</v>
      </c>
      <c r="I754" s="2"/>
      <c r="J754" s="2"/>
      <c r="K754" s="2"/>
      <c r="L754" s="2" t="str">
        <f t="shared" si="60"/>
        <v>_</v>
      </c>
      <c r="M754" s="2"/>
      <c r="N754" s="2">
        <f>IF(ISBLANK(Table2[[#This Row],[ActualResult]]), 0, 1)</f>
        <v>0</v>
      </c>
      <c r="O754" s="2" t="str">
        <f>IF(ISBLANK(Table2[[#This Row],[ActualResult]]), "_", IF(Table2[[#This Row],[ActualWinner]]=Table2[[#This Row],[PredictedWinner]], "Y", "N"))</f>
        <v>_</v>
      </c>
      <c r="P7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4" s="2"/>
      <c r="S754" s="2" t="str">
        <f t="shared" si="61"/>
        <v>_</v>
      </c>
      <c r="T7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54" s="2">
        <f>IF(Table2[[#This Row],[InterConf]]=1,IF(Table2[[#This Row],[InterDiv]]=0, 1, 0), 0)</f>
        <v>0</v>
      </c>
      <c r="W7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4" s="2"/>
      <c r="Y754" s="2"/>
      <c r="Z754" s="145">
        <f>IF(AND(Table2[[#This Row],[GameIsOver]]=1,Table2[[#This Row],[ActualHomeScore]]*Table2[[#This Row],[ActualAwayScore]]=0), 1,0)</f>
        <v>0</v>
      </c>
      <c r="AA7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4" s="2">
        <f>Table2[[#This Row],[ActualAwayScore]]-Table2[[#This Row],[PredictedAwayScore]]</f>
        <v>0</v>
      </c>
      <c r="AG754" s="2">
        <f>Table2[[#This Row],[ActualHomeScore]]-Table2[[#This Row],[PredictedHomeScore]]</f>
        <v>0</v>
      </c>
      <c r="AH754" s="2">
        <f t="shared" si="62"/>
        <v>0</v>
      </c>
      <c r="AI754" s="2">
        <f t="shared" si="63"/>
        <v>0</v>
      </c>
      <c r="AJ754" s="2"/>
      <c r="AK754" s="3"/>
      <c r="AL754" s="2">
        <f>IF(Table2[[#This Row],[GameIsOver]]=0,0,IF(Table2[[#This Row],[ActualWinner]]=Table2[[#This Row],[AwayTeam]], 1, 0))</f>
        <v>0</v>
      </c>
      <c r="AM754" s="2">
        <f>IF(Table2[[#This Row],[GameIsOver]]=0,0,IF(Table2[[#This Row],[ActualWinner]]=Table2[[#This Row],[HomeTeam]], 1, 0))</f>
        <v>0</v>
      </c>
      <c r="AN7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4" s="2" t="str">
        <f>INDEX(Sheet5!$B$2:$AG$33, MATCH(Table2[[#This Row],[AwayTeam]],Sheet5!$A$2:$A$33, 0), MATCH(Table2[[#This Row],[HomeTeam]],Sheet5!$A$2:$A$33, 0))</f>
        <v>0-0-0</v>
      </c>
      <c r="AP754" s="2" t="str">
        <f>INDEX(Sheet5!$B$2:$AG$33, MATCH(Table2[[#This Row],[HomeTeam]],Sheet5!$A$2:$A$33, 0), MATCH(Table2[[#This Row],[AwayTeam]],Sheet5!$A$2:$A$33, 0))</f>
        <v>0-0-0</v>
      </c>
      <c r="AQ754" s="2">
        <f>IF(Table2[[#This Row],[GameHasShutOut]], 1, 0)</f>
        <v>0</v>
      </c>
      <c r="AR754" s="2">
        <f>IF(Table2[[#This Row],[ActualAwayScore]] + Table2[[#This Row],[ActualHomeScore]] &gt;= 10, 1, 0)</f>
        <v>0</v>
      </c>
      <c r="AS754" s="2">
        <f>IF(ABS(Table2[[#This Row],[ActualAwayScore]]-Table2[[#This Row],[ActualHomeScore]])&gt;=5, 1, 0)</f>
        <v>0</v>
      </c>
      <c r="AT754" s="2">
        <f>IF(Table2[[#This Row],[ActualAwayScore]] + Table2[[#This Row],[ActualHomeScore]] &lt;= 3, 1, 0)</f>
        <v>1</v>
      </c>
      <c r="AU754" s="2"/>
      <c r="AV754" s="2"/>
    </row>
    <row r="755" spans="1:48" x14ac:dyDescent="0.25">
      <c r="A755" s="3"/>
      <c r="B755" s="3">
        <v>46039</v>
      </c>
      <c r="C755" s="5">
        <v>2025020753</v>
      </c>
      <c r="D755" s="2" t="s">
        <v>44</v>
      </c>
      <c r="E755" s="2" t="s">
        <v>27</v>
      </c>
      <c r="F755" s="2"/>
      <c r="G755" s="2"/>
      <c r="H755" s="2" t="str">
        <f t="shared" si="59"/>
        <v>_</v>
      </c>
      <c r="I755" s="2"/>
      <c r="J755" s="2"/>
      <c r="K755" s="2"/>
      <c r="L755" s="2" t="str">
        <f t="shared" si="60"/>
        <v>_</v>
      </c>
      <c r="M755" s="2"/>
      <c r="N755" s="2">
        <f>IF(ISBLANK(Table2[[#This Row],[ActualResult]]), 0, 1)</f>
        <v>0</v>
      </c>
      <c r="O755" s="2" t="str">
        <f>IF(ISBLANK(Table2[[#This Row],[ActualResult]]), "_", IF(Table2[[#This Row],[ActualWinner]]=Table2[[#This Row],[PredictedWinner]], "Y", "N"))</f>
        <v>_</v>
      </c>
      <c r="P7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5" s="2"/>
      <c r="S755" s="2" t="str">
        <f t="shared" si="61"/>
        <v>_</v>
      </c>
      <c r="T7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55" s="2">
        <f>IF(Table2[[#This Row],[InterConf]]=1,IF(Table2[[#This Row],[InterDiv]]=0, 1, 0), 0)</f>
        <v>0</v>
      </c>
      <c r="W7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5" s="2"/>
      <c r="Y755" s="2"/>
      <c r="Z755" s="145">
        <f>IF(AND(Table2[[#This Row],[GameIsOver]]=1,Table2[[#This Row],[ActualHomeScore]]*Table2[[#This Row],[ActualAwayScore]]=0), 1,0)</f>
        <v>0</v>
      </c>
      <c r="AA7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5" s="2">
        <f>Table2[[#This Row],[ActualAwayScore]]-Table2[[#This Row],[PredictedAwayScore]]</f>
        <v>0</v>
      </c>
      <c r="AG755" s="2">
        <f>Table2[[#This Row],[ActualHomeScore]]-Table2[[#This Row],[PredictedHomeScore]]</f>
        <v>0</v>
      </c>
      <c r="AH755" s="2">
        <f t="shared" si="62"/>
        <v>0</v>
      </c>
      <c r="AI755" s="2">
        <f t="shared" si="63"/>
        <v>0</v>
      </c>
      <c r="AJ755" s="2"/>
      <c r="AK755" s="3"/>
      <c r="AL755" s="2">
        <f>IF(Table2[[#This Row],[GameIsOver]]=0,0,IF(Table2[[#This Row],[ActualWinner]]=Table2[[#This Row],[AwayTeam]], 1, 0))</f>
        <v>0</v>
      </c>
      <c r="AM755" s="2">
        <f>IF(Table2[[#This Row],[GameIsOver]]=0,0,IF(Table2[[#This Row],[ActualWinner]]=Table2[[#This Row],[HomeTeam]], 1, 0))</f>
        <v>0</v>
      </c>
      <c r="AN755" s="2">
        <f>IF(IFERROR(FIND(Table2[[#This Row],[AwayTeam]], _xlfn.TEXTJOIN(";", 1, $BD$31:$BD$40)), 0) &gt; 0, 1, 0) + IF(IFERROR(FIND(Table2[[#This Row],[HomeTeam]], _xlfn.TEXTJOIN(";", 1, $BD$31:$BD$40)), 0) &gt; 0, 1, 0)</f>
        <v>1</v>
      </c>
      <c r="AO755" s="2" t="str">
        <f>INDEX(Sheet5!$B$2:$AG$33, MATCH(Table2[[#This Row],[AwayTeam]],Sheet5!$A$2:$A$33, 0), MATCH(Table2[[#This Row],[HomeTeam]],Sheet5!$A$2:$A$33, 0))</f>
        <v>0-0-0</v>
      </c>
      <c r="AP755" s="2" t="str">
        <f>INDEX(Sheet5!$B$2:$AG$33, MATCH(Table2[[#This Row],[HomeTeam]],Sheet5!$A$2:$A$33, 0), MATCH(Table2[[#This Row],[AwayTeam]],Sheet5!$A$2:$A$33, 0))</f>
        <v>0-0-0</v>
      </c>
      <c r="AQ755" s="2">
        <f>IF(Table2[[#This Row],[GameHasShutOut]], 1, 0)</f>
        <v>0</v>
      </c>
      <c r="AR755" s="2">
        <f>IF(Table2[[#This Row],[ActualAwayScore]] + Table2[[#This Row],[ActualHomeScore]] &gt;= 10, 1, 0)</f>
        <v>0</v>
      </c>
      <c r="AS755" s="2">
        <f>IF(ABS(Table2[[#This Row],[ActualAwayScore]]-Table2[[#This Row],[ActualHomeScore]])&gt;=5, 1, 0)</f>
        <v>0</v>
      </c>
      <c r="AT755" s="2">
        <f>IF(Table2[[#This Row],[ActualAwayScore]] + Table2[[#This Row],[ActualHomeScore]] &lt;= 3, 1, 0)</f>
        <v>1</v>
      </c>
      <c r="AU755" s="2"/>
      <c r="AV755" s="2"/>
    </row>
    <row r="756" spans="1:48" x14ac:dyDescent="0.25">
      <c r="A756" s="3"/>
      <c r="B756" s="3">
        <v>46039</v>
      </c>
      <c r="C756" s="5">
        <v>2025020754</v>
      </c>
      <c r="D756" s="2" t="s">
        <v>36</v>
      </c>
      <c r="E756" s="2" t="s">
        <v>28</v>
      </c>
      <c r="F756" s="2"/>
      <c r="G756" s="2"/>
      <c r="H756" s="2" t="str">
        <f t="shared" si="59"/>
        <v>_</v>
      </c>
      <c r="I756" s="2"/>
      <c r="J756" s="2"/>
      <c r="K756" s="2"/>
      <c r="L756" s="2" t="str">
        <f t="shared" si="60"/>
        <v>_</v>
      </c>
      <c r="M756" s="2"/>
      <c r="N756" s="2">
        <f>IF(ISBLANK(Table2[[#This Row],[ActualResult]]), 0, 1)</f>
        <v>0</v>
      </c>
      <c r="O756" s="2" t="str">
        <f>IF(ISBLANK(Table2[[#This Row],[ActualResult]]), "_", IF(Table2[[#This Row],[ActualWinner]]=Table2[[#This Row],[PredictedWinner]], "Y", "N"))</f>
        <v>_</v>
      </c>
      <c r="P7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6" s="2"/>
      <c r="S756" s="2" t="str">
        <f t="shared" si="61"/>
        <v>_</v>
      </c>
      <c r="T7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6" s="2">
        <f>IF(Table2[[#This Row],[InterConf]]=1,IF(Table2[[#This Row],[InterDiv]]=0, 1, 0), 0)</f>
        <v>0</v>
      </c>
      <c r="W7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6" s="2"/>
      <c r="Y756" s="2"/>
      <c r="Z756" s="145">
        <f>IF(AND(Table2[[#This Row],[GameIsOver]]=1,Table2[[#This Row],[ActualHomeScore]]*Table2[[#This Row],[ActualAwayScore]]=0), 1,0)</f>
        <v>0</v>
      </c>
      <c r="AA7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6" s="2">
        <f>Table2[[#This Row],[ActualAwayScore]]-Table2[[#This Row],[PredictedAwayScore]]</f>
        <v>0</v>
      </c>
      <c r="AG756" s="2">
        <f>Table2[[#This Row],[ActualHomeScore]]-Table2[[#This Row],[PredictedHomeScore]]</f>
        <v>0</v>
      </c>
      <c r="AH756" s="2">
        <f t="shared" si="62"/>
        <v>0</v>
      </c>
      <c r="AI756" s="2">
        <f t="shared" si="63"/>
        <v>0</v>
      </c>
      <c r="AJ756" s="2"/>
      <c r="AK756" s="3"/>
      <c r="AL756" s="2">
        <f>IF(Table2[[#This Row],[GameIsOver]]=0,0,IF(Table2[[#This Row],[ActualWinner]]=Table2[[#This Row],[AwayTeam]], 1, 0))</f>
        <v>0</v>
      </c>
      <c r="AM756" s="2">
        <f>IF(Table2[[#This Row],[GameIsOver]]=0,0,IF(Table2[[#This Row],[ActualWinner]]=Table2[[#This Row],[HomeTeam]], 1, 0))</f>
        <v>0</v>
      </c>
      <c r="AN7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6" s="2" t="str">
        <f>INDEX(Sheet5!$B$2:$AG$33, MATCH(Table2[[#This Row],[AwayTeam]],Sheet5!$A$2:$A$33, 0), MATCH(Table2[[#This Row],[HomeTeam]],Sheet5!$A$2:$A$33, 0))</f>
        <v>0-0-0</v>
      </c>
      <c r="AP756" s="2" t="str">
        <f>INDEX(Sheet5!$B$2:$AG$33, MATCH(Table2[[#This Row],[HomeTeam]],Sheet5!$A$2:$A$33, 0), MATCH(Table2[[#This Row],[AwayTeam]],Sheet5!$A$2:$A$33, 0))</f>
        <v>0-0-0</v>
      </c>
      <c r="AQ756" s="2">
        <f>IF(Table2[[#This Row],[GameHasShutOut]], 1, 0)</f>
        <v>0</v>
      </c>
      <c r="AR756" s="2">
        <f>IF(Table2[[#This Row],[ActualAwayScore]] + Table2[[#This Row],[ActualHomeScore]] &gt;= 10, 1, 0)</f>
        <v>0</v>
      </c>
      <c r="AS756" s="2">
        <f>IF(ABS(Table2[[#This Row],[ActualAwayScore]]-Table2[[#This Row],[ActualHomeScore]])&gt;=5, 1, 0)</f>
        <v>0</v>
      </c>
      <c r="AT756" s="2">
        <f>IF(Table2[[#This Row],[ActualAwayScore]] + Table2[[#This Row],[ActualHomeScore]] &lt;= 3, 1, 0)</f>
        <v>1</v>
      </c>
      <c r="AU756" s="2"/>
      <c r="AV756" s="2"/>
    </row>
    <row r="757" spans="1:48" x14ac:dyDescent="0.25">
      <c r="A757" s="3"/>
      <c r="B757" s="3">
        <v>46039</v>
      </c>
      <c r="C757" s="5">
        <v>2025020755</v>
      </c>
      <c r="D757" s="2" t="s">
        <v>19</v>
      </c>
      <c r="E757" s="2" t="s">
        <v>42</v>
      </c>
      <c r="F757" s="2"/>
      <c r="G757" s="2"/>
      <c r="H757" s="2" t="str">
        <f t="shared" si="59"/>
        <v>_</v>
      </c>
      <c r="I757" s="2"/>
      <c r="J757" s="2"/>
      <c r="K757" s="2"/>
      <c r="L757" s="2" t="str">
        <f t="shared" si="60"/>
        <v>_</v>
      </c>
      <c r="M757" s="2"/>
      <c r="N757" s="2">
        <f>IF(ISBLANK(Table2[[#This Row],[ActualResult]]), 0, 1)</f>
        <v>0</v>
      </c>
      <c r="O757" s="2" t="str">
        <f>IF(ISBLANK(Table2[[#This Row],[ActualResult]]), "_", IF(Table2[[#This Row],[ActualWinner]]=Table2[[#This Row],[PredictedWinner]], "Y", "N"))</f>
        <v>_</v>
      </c>
      <c r="P7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7" s="2"/>
      <c r="S757" s="2" t="str">
        <f t="shared" si="61"/>
        <v>_</v>
      </c>
      <c r="T7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57" s="2">
        <f>IF(Table2[[#This Row],[InterConf]]=1,IF(Table2[[#This Row],[InterDiv]]=0, 1, 0), 0)</f>
        <v>0</v>
      </c>
      <c r="W7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7" s="2"/>
      <c r="Y757" s="2"/>
      <c r="Z757" s="145">
        <f>IF(AND(Table2[[#This Row],[GameIsOver]]=1,Table2[[#This Row],[ActualHomeScore]]*Table2[[#This Row],[ActualAwayScore]]=0), 1,0)</f>
        <v>0</v>
      </c>
      <c r="AA7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7" s="2">
        <f>Table2[[#This Row],[ActualAwayScore]]-Table2[[#This Row],[PredictedAwayScore]]</f>
        <v>0</v>
      </c>
      <c r="AG757" s="2">
        <f>Table2[[#This Row],[ActualHomeScore]]-Table2[[#This Row],[PredictedHomeScore]]</f>
        <v>0</v>
      </c>
      <c r="AH757" s="2">
        <f t="shared" si="62"/>
        <v>0</v>
      </c>
      <c r="AI757" s="2">
        <f t="shared" si="63"/>
        <v>0</v>
      </c>
      <c r="AJ757" s="2"/>
      <c r="AK757" s="3"/>
      <c r="AL757" s="2">
        <f>IF(Table2[[#This Row],[GameIsOver]]=0,0,IF(Table2[[#This Row],[ActualWinner]]=Table2[[#This Row],[AwayTeam]], 1, 0))</f>
        <v>0</v>
      </c>
      <c r="AM757" s="2">
        <f>IF(Table2[[#This Row],[GameIsOver]]=0,0,IF(Table2[[#This Row],[ActualWinner]]=Table2[[#This Row],[HomeTeam]], 1, 0))</f>
        <v>0</v>
      </c>
      <c r="AN7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7" s="2" t="str">
        <f>INDEX(Sheet5!$B$2:$AG$33, MATCH(Table2[[#This Row],[AwayTeam]],Sheet5!$A$2:$A$33, 0), MATCH(Table2[[#This Row],[HomeTeam]],Sheet5!$A$2:$A$33, 0))</f>
        <v>0-0-0</v>
      </c>
      <c r="AP757" s="2" t="str">
        <f>INDEX(Sheet5!$B$2:$AG$33, MATCH(Table2[[#This Row],[HomeTeam]],Sheet5!$A$2:$A$33, 0), MATCH(Table2[[#This Row],[AwayTeam]],Sheet5!$A$2:$A$33, 0))</f>
        <v>0-0-0</v>
      </c>
      <c r="AQ757" s="2">
        <f>IF(Table2[[#This Row],[GameHasShutOut]], 1, 0)</f>
        <v>0</v>
      </c>
      <c r="AR757" s="2">
        <f>IF(Table2[[#This Row],[ActualAwayScore]] + Table2[[#This Row],[ActualHomeScore]] &gt;= 10, 1, 0)</f>
        <v>0</v>
      </c>
      <c r="AS757" s="2">
        <f>IF(ABS(Table2[[#This Row],[ActualAwayScore]]-Table2[[#This Row],[ActualHomeScore]])&gt;=5, 1, 0)</f>
        <v>0</v>
      </c>
      <c r="AT757" s="2">
        <f>IF(Table2[[#This Row],[ActualAwayScore]] + Table2[[#This Row],[ActualHomeScore]] &lt;= 3, 1, 0)</f>
        <v>1</v>
      </c>
      <c r="AU757" s="2"/>
      <c r="AV757" s="2"/>
    </row>
    <row r="758" spans="1:48" x14ac:dyDescent="0.25">
      <c r="A758" s="3"/>
      <c r="B758" s="3">
        <v>46039</v>
      </c>
      <c r="C758" s="5">
        <v>2025020756</v>
      </c>
      <c r="D758" s="2" t="s">
        <v>32</v>
      </c>
      <c r="E758" s="2" t="s">
        <v>23</v>
      </c>
      <c r="F758" s="2"/>
      <c r="G758" s="2"/>
      <c r="H758" s="2" t="str">
        <f t="shared" si="59"/>
        <v>_</v>
      </c>
      <c r="I758" s="2"/>
      <c r="J758" s="2"/>
      <c r="K758" s="2"/>
      <c r="L758" s="2" t="str">
        <f t="shared" si="60"/>
        <v>_</v>
      </c>
      <c r="M758" s="2"/>
      <c r="N758" s="2">
        <f>IF(ISBLANK(Table2[[#This Row],[ActualResult]]), 0, 1)</f>
        <v>0</v>
      </c>
      <c r="O758" s="2" t="str">
        <f>IF(ISBLANK(Table2[[#This Row],[ActualResult]]), "_", IF(Table2[[#This Row],[ActualWinner]]=Table2[[#This Row],[PredictedWinner]], "Y", "N"))</f>
        <v>_</v>
      </c>
      <c r="P7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8" s="2"/>
      <c r="S758" s="2" t="str">
        <f t="shared" si="61"/>
        <v>_</v>
      </c>
      <c r="T7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8" s="2">
        <f>IF(Table2[[#This Row],[InterConf]]=1,IF(Table2[[#This Row],[InterDiv]]=0, 1, 0), 0)</f>
        <v>0</v>
      </c>
      <c r="W7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8" s="2"/>
      <c r="Y758" s="2"/>
      <c r="Z758" s="145">
        <f>IF(AND(Table2[[#This Row],[GameIsOver]]=1,Table2[[#This Row],[ActualHomeScore]]*Table2[[#This Row],[ActualAwayScore]]=0), 1,0)</f>
        <v>0</v>
      </c>
      <c r="AA7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8" s="2">
        <f>Table2[[#This Row],[ActualAwayScore]]-Table2[[#This Row],[PredictedAwayScore]]</f>
        <v>0</v>
      </c>
      <c r="AG758" s="2">
        <f>Table2[[#This Row],[ActualHomeScore]]-Table2[[#This Row],[PredictedHomeScore]]</f>
        <v>0</v>
      </c>
      <c r="AH758" s="2">
        <f t="shared" si="62"/>
        <v>0</v>
      </c>
      <c r="AI758" s="2">
        <f t="shared" si="63"/>
        <v>0</v>
      </c>
      <c r="AJ758" s="2"/>
      <c r="AK758" s="3"/>
      <c r="AL758" s="2">
        <f>IF(Table2[[#This Row],[GameIsOver]]=0,0,IF(Table2[[#This Row],[ActualWinner]]=Table2[[#This Row],[AwayTeam]], 1, 0))</f>
        <v>0</v>
      </c>
      <c r="AM758" s="2">
        <f>IF(Table2[[#This Row],[GameIsOver]]=0,0,IF(Table2[[#This Row],[ActualWinner]]=Table2[[#This Row],[HomeTeam]], 1, 0))</f>
        <v>0</v>
      </c>
      <c r="AN7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8" s="2" t="str">
        <f>INDEX(Sheet5!$B$2:$AG$33, MATCH(Table2[[#This Row],[AwayTeam]],Sheet5!$A$2:$A$33, 0), MATCH(Table2[[#This Row],[HomeTeam]],Sheet5!$A$2:$A$33, 0))</f>
        <v>0-0-0</v>
      </c>
      <c r="AP758" s="2" t="str">
        <f>INDEX(Sheet5!$B$2:$AG$33, MATCH(Table2[[#This Row],[HomeTeam]],Sheet5!$A$2:$A$33, 0), MATCH(Table2[[#This Row],[AwayTeam]],Sheet5!$A$2:$A$33, 0))</f>
        <v>0-0-0</v>
      </c>
      <c r="AQ758" s="2">
        <f>IF(Table2[[#This Row],[GameHasShutOut]], 1, 0)</f>
        <v>0</v>
      </c>
      <c r="AR758" s="2">
        <f>IF(Table2[[#This Row],[ActualAwayScore]] + Table2[[#This Row],[ActualHomeScore]] &gt;= 10, 1, 0)</f>
        <v>0</v>
      </c>
      <c r="AS758" s="2">
        <f>IF(ABS(Table2[[#This Row],[ActualAwayScore]]-Table2[[#This Row],[ActualHomeScore]])&gt;=5, 1, 0)</f>
        <v>0</v>
      </c>
      <c r="AT758" s="2">
        <f>IF(Table2[[#This Row],[ActualAwayScore]] + Table2[[#This Row],[ActualHomeScore]] &lt;= 3, 1, 0)</f>
        <v>1</v>
      </c>
      <c r="AU758" s="2"/>
      <c r="AV758" s="2"/>
    </row>
    <row r="759" spans="1:48" x14ac:dyDescent="0.25">
      <c r="A759" s="3"/>
      <c r="B759" s="3">
        <v>46039</v>
      </c>
      <c r="C759" s="5">
        <v>2025020757</v>
      </c>
      <c r="D759" s="2" t="s">
        <v>11</v>
      </c>
      <c r="E759" s="2" t="s">
        <v>14</v>
      </c>
      <c r="F759" s="2"/>
      <c r="G759" s="2"/>
      <c r="H759" s="2" t="str">
        <f t="shared" si="59"/>
        <v>_</v>
      </c>
      <c r="I759" s="2"/>
      <c r="J759" s="2"/>
      <c r="K759" s="2"/>
      <c r="L759" s="2" t="str">
        <f t="shared" si="60"/>
        <v>_</v>
      </c>
      <c r="M759" s="2"/>
      <c r="N759" s="2">
        <f>IF(ISBLANK(Table2[[#This Row],[ActualResult]]), 0, 1)</f>
        <v>0</v>
      </c>
      <c r="O759" s="2" t="str">
        <f>IF(ISBLANK(Table2[[#This Row],[ActualResult]]), "_", IF(Table2[[#This Row],[ActualWinner]]=Table2[[#This Row],[PredictedWinner]], "Y", "N"))</f>
        <v>_</v>
      </c>
      <c r="P7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9" s="2"/>
      <c r="S759" s="2" t="str">
        <f t="shared" si="61"/>
        <v>_</v>
      </c>
      <c r="T7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9" s="2">
        <f>IF(Table2[[#This Row],[InterConf]]=1,IF(Table2[[#This Row],[InterDiv]]=0, 1, 0), 0)</f>
        <v>1</v>
      </c>
      <c r="W7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9" s="2"/>
      <c r="Y759" s="2"/>
      <c r="Z759" s="145">
        <f>IF(AND(Table2[[#This Row],[GameIsOver]]=1,Table2[[#This Row],[ActualHomeScore]]*Table2[[#This Row],[ActualAwayScore]]=0), 1,0)</f>
        <v>0</v>
      </c>
      <c r="AA7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9" s="2">
        <f>Table2[[#This Row],[ActualAwayScore]]-Table2[[#This Row],[PredictedAwayScore]]</f>
        <v>0</v>
      </c>
      <c r="AG759" s="2">
        <f>Table2[[#This Row],[ActualHomeScore]]-Table2[[#This Row],[PredictedHomeScore]]</f>
        <v>0</v>
      </c>
      <c r="AH759" s="2">
        <f t="shared" si="62"/>
        <v>0</v>
      </c>
      <c r="AI759" s="2">
        <f t="shared" si="63"/>
        <v>0</v>
      </c>
      <c r="AJ759" s="2"/>
      <c r="AK759" s="3"/>
      <c r="AL759" s="2">
        <f>IF(Table2[[#This Row],[GameIsOver]]=0,0,IF(Table2[[#This Row],[ActualWinner]]=Table2[[#This Row],[AwayTeam]], 1, 0))</f>
        <v>0</v>
      </c>
      <c r="AM759" s="2">
        <f>IF(Table2[[#This Row],[GameIsOver]]=0,0,IF(Table2[[#This Row],[ActualWinner]]=Table2[[#This Row],[HomeTeam]], 1, 0))</f>
        <v>0</v>
      </c>
      <c r="AN7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9" s="2" t="str">
        <f>INDEX(Sheet5!$B$2:$AG$33, MATCH(Table2[[#This Row],[AwayTeam]],Sheet5!$A$2:$A$33, 0), MATCH(Table2[[#This Row],[HomeTeam]],Sheet5!$A$2:$A$33, 0))</f>
        <v>0-0-0</v>
      </c>
      <c r="AP759" s="2" t="str">
        <f>INDEX(Sheet5!$B$2:$AG$33, MATCH(Table2[[#This Row],[HomeTeam]],Sheet5!$A$2:$A$33, 0), MATCH(Table2[[#This Row],[AwayTeam]],Sheet5!$A$2:$A$33, 0))</f>
        <v>0-0-0</v>
      </c>
      <c r="AQ759" s="2">
        <f>IF(Table2[[#This Row],[GameHasShutOut]], 1, 0)</f>
        <v>0</v>
      </c>
      <c r="AR759" s="2">
        <f>IF(Table2[[#This Row],[ActualAwayScore]] + Table2[[#This Row],[ActualHomeScore]] &gt;= 10, 1, 0)</f>
        <v>0</v>
      </c>
      <c r="AS759" s="2">
        <f>IF(ABS(Table2[[#This Row],[ActualAwayScore]]-Table2[[#This Row],[ActualHomeScore]])&gt;=5, 1, 0)</f>
        <v>0</v>
      </c>
      <c r="AT759" s="2">
        <f>IF(Table2[[#This Row],[ActualAwayScore]] + Table2[[#This Row],[ActualHomeScore]] &lt;= 3, 1, 0)</f>
        <v>1</v>
      </c>
      <c r="AU759" s="2"/>
      <c r="AV759" s="2"/>
    </row>
    <row r="760" spans="1:48" x14ac:dyDescent="0.25">
      <c r="A760" s="3"/>
      <c r="B760" s="3">
        <v>46040</v>
      </c>
      <c r="C760" s="5">
        <v>2025020758</v>
      </c>
      <c r="D760" s="2" t="s">
        <v>18</v>
      </c>
      <c r="E760" s="2" t="s">
        <v>29</v>
      </c>
      <c r="F760" s="2"/>
      <c r="G760" s="2"/>
      <c r="H760" s="2" t="str">
        <f t="shared" si="59"/>
        <v>_</v>
      </c>
      <c r="I760" s="2"/>
      <c r="J760" s="2"/>
      <c r="K760" s="2"/>
      <c r="L760" s="2" t="str">
        <f t="shared" si="60"/>
        <v>_</v>
      </c>
      <c r="M760" s="2"/>
      <c r="N760" s="2">
        <f>IF(ISBLANK(Table2[[#This Row],[ActualResult]]), 0, 1)</f>
        <v>0</v>
      </c>
      <c r="O760" s="2" t="str">
        <f>IF(ISBLANK(Table2[[#This Row],[ActualResult]]), "_", IF(Table2[[#This Row],[ActualWinner]]=Table2[[#This Row],[PredictedWinner]], "Y", "N"))</f>
        <v>_</v>
      </c>
      <c r="P7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0" s="2"/>
      <c r="S760" s="2" t="str">
        <f t="shared" si="61"/>
        <v>_</v>
      </c>
      <c r="T7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0" s="2">
        <f>IF(Table2[[#This Row],[InterConf]]=1,IF(Table2[[#This Row],[InterDiv]]=0, 1, 0), 0)</f>
        <v>0</v>
      </c>
      <c r="W7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0" s="2"/>
      <c r="Y760" s="2"/>
      <c r="Z760" s="145">
        <f>IF(AND(Table2[[#This Row],[GameIsOver]]=1,Table2[[#This Row],[ActualHomeScore]]*Table2[[#This Row],[ActualAwayScore]]=0), 1,0)</f>
        <v>0</v>
      </c>
      <c r="AA7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0" s="2">
        <f>Table2[[#This Row],[ActualAwayScore]]-Table2[[#This Row],[PredictedAwayScore]]</f>
        <v>0</v>
      </c>
      <c r="AG760" s="2">
        <f>Table2[[#This Row],[ActualHomeScore]]-Table2[[#This Row],[PredictedHomeScore]]</f>
        <v>0</v>
      </c>
      <c r="AH760" s="2">
        <f t="shared" si="62"/>
        <v>0</v>
      </c>
      <c r="AI760" s="2">
        <f t="shared" si="63"/>
        <v>0</v>
      </c>
      <c r="AJ760" s="2"/>
      <c r="AK760" s="3"/>
      <c r="AL760" s="2">
        <f>IF(Table2[[#This Row],[GameIsOver]]=0,0,IF(Table2[[#This Row],[ActualWinner]]=Table2[[#This Row],[AwayTeam]], 1, 0))</f>
        <v>0</v>
      </c>
      <c r="AM760" s="2">
        <f>IF(Table2[[#This Row],[GameIsOver]]=0,0,IF(Table2[[#This Row],[ActualWinner]]=Table2[[#This Row],[HomeTeam]], 1, 0))</f>
        <v>0</v>
      </c>
      <c r="AN7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0" s="2" t="str">
        <f>INDEX(Sheet5!$B$2:$AG$33, MATCH(Table2[[#This Row],[AwayTeam]],Sheet5!$A$2:$A$33, 0), MATCH(Table2[[#This Row],[HomeTeam]],Sheet5!$A$2:$A$33, 0))</f>
        <v>0-0-0</v>
      </c>
      <c r="AP760" s="2" t="str">
        <f>INDEX(Sheet5!$B$2:$AG$33, MATCH(Table2[[#This Row],[HomeTeam]],Sheet5!$A$2:$A$33, 0), MATCH(Table2[[#This Row],[AwayTeam]],Sheet5!$A$2:$A$33, 0))</f>
        <v>0-0-0</v>
      </c>
      <c r="AQ760" s="2">
        <f>IF(Table2[[#This Row],[GameHasShutOut]], 1, 0)</f>
        <v>0</v>
      </c>
      <c r="AR760" s="2">
        <f>IF(Table2[[#This Row],[ActualAwayScore]] + Table2[[#This Row],[ActualHomeScore]] &gt;= 10, 1, 0)</f>
        <v>0</v>
      </c>
      <c r="AS760" s="2">
        <f>IF(ABS(Table2[[#This Row],[ActualAwayScore]]-Table2[[#This Row],[ActualHomeScore]])&gt;=5, 1, 0)</f>
        <v>0</v>
      </c>
      <c r="AT760" s="2">
        <f>IF(Table2[[#This Row],[ActualAwayScore]] + Table2[[#This Row],[ActualHomeScore]] &lt;= 3, 1, 0)</f>
        <v>1</v>
      </c>
      <c r="AU760" s="2"/>
      <c r="AV760" s="2"/>
    </row>
    <row r="761" spans="1:48" x14ac:dyDescent="0.25">
      <c r="A761" s="3"/>
      <c r="B761" s="3">
        <v>46040</v>
      </c>
      <c r="C761" s="5">
        <v>2025020759</v>
      </c>
      <c r="D761" s="2" t="s">
        <v>41</v>
      </c>
      <c r="E761" s="2" t="s">
        <v>31</v>
      </c>
      <c r="F761" s="2"/>
      <c r="G761" s="2"/>
      <c r="H761" s="2" t="str">
        <f t="shared" si="59"/>
        <v>_</v>
      </c>
      <c r="I761" s="2"/>
      <c r="J761" s="2"/>
      <c r="K761" s="2"/>
      <c r="L761" s="2" t="str">
        <f t="shared" si="60"/>
        <v>_</v>
      </c>
      <c r="M761" s="2"/>
      <c r="N761" s="2">
        <f>IF(ISBLANK(Table2[[#This Row],[ActualResult]]), 0, 1)</f>
        <v>0</v>
      </c>
      <c r="O761" s="2" t="str">
        <f>IF(ISBLANK(Table2[[#This Row],[ActualResult]]), "_", IF(Table2[[#This Row],[ActualWinner]]=Table2[[#This Row],[PredictedWinner]], "Y", "N"))</f>
        <v>_</v>
      </c>
      <c r="P7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1" s="2"/>
      <c r="S761" s="2" t="str">
        <f t="shared" si="61"/>
        <v>_</v>
      </c>
      <c r="T7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1" s="2">
        <f>IF(Table2[[#This Row],[InterConf]]=1,IF(Table2[[#This Row],[InterDiv]]=0, 1, 0), 0)</f>
        <v>0</v>
      </c>
      <c r="W7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1" s="2"/>
      <c r="Y761" s="2"/>
      <c r="Z761" s="145">
        <f>IF(AND(Table2[[#This Row],[GameIsOver]]=1,Table2[[#This Row],[ActualHomeScore]]*Table2[[#This Row],[ActualAwayScore]]=0), 1,0)</f>
        <v>0</v>
      </c>
      <c r="AA7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1" s="2">
        <f>Table2[[#This Row],[ActualAwayScore]]-Table2[[#This Row],[PredictedAwayScore]]</f>
        <v>0</v>
      </c>
      <c r="AG761" s="2">
        <f>Table2[[#This Row],[ActualHomeScore]]-Table2[[#This Row],[PredictedHomeScore]]</f>
        <v>0</v>
      </c>
      <c r="AH761" s="2">
        <f t="shared" si="62"/>
        <v>0</v>
      </c>
      <c r="AI761" s="2">
        <f t="shared" si="63"/>
        <v>0</v>
      </c>
      <c r="AJ761" s="2"/>
      <c r="AK761" s="3"/>
      <c r="AL761" s="2">
        <f>IF(Table2[[#This Row],[GameIsOver]]=0,0,IF(Table2[[#This Row],[ActualWinner]]=Table2[[#This Row],[AwayTeam]], 1, 0))</f>
        <v>0</v>
      </c>
      <c r="AM761" s="2">
        <f>IF(Table2[[#This Row],[GameIsOver]]=0,0,IF(Table2[[#This Row],[ActualWinner]]=Table2[[#This Row],[HomeTeam]], 1, 0))</f>
        <v>0</v>
      </c>
      <c r="AN7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1" s="2" t="str">
        <f>INDEX(Sheet5!$B$2:$AG$33, MATCH(Table2[[#This Row],[AwayTeam]],Sheet5!$A$2:$A$33, 0), MATCH(Table2[[#This Row],[HomeTeam]],Sheet5!$A$2:$A$33, 0))</f>
        <v>1-0-0</v>
      </c>
      <c r="AP761" s="2" t="str">
        <f>INDEX(Sheet5!$B$2:$AG$33, MATCH(Table2[[#This Row],[HomeTeam]],Sheet5!$A$2:$A$33, 0), MATCH(Table2[[#This Row],[AwayTeam]],Sheet5!$A$2:$A$33, 0))</f>
        <v>0-1-0</v>
      </c>
      <c r="AQ761" s="2">
        <f>IF(Table2[[#This Row],[GameHasShutOut]], 1, 0)</f>
        <v>0</v>
      </c>
      <c r="AR761" s="2">
        <f>IF(Table2[[#This Row],[ActualAwayScore]] + Table2[[#This Row],[ActualHomeScore]] &gt;= 10, 1, 0)</f>
        <v>0</v>
      </c>
      <c r="AS761" s="2">
        <f>IF(ABS(Table2[[#This Row],[ActualAwayScore]]-Table2[[#This Row],[ActualHomeScore]])&gt;=5, 1, 0)</f>
        <v>0</v>
      </c>
      <c r="AT761" s="2">
        <f>IF(Table2[[#This Row],[ActualAwayScore]] + Table2[[#This Row],[ActualHomeScore]] &lt;= 3, 1, 0)</f>
        <v>1</v>
      </c>
      <c r="AU761" s="2"/>
      <c r="AV761" s="2"/>
    </row>
    <row r="762" spans="1:48" x14ac:dyDescent="0.25">
      <c r="A762" s="3"/>
      <c r="B762" s="3">
        <v>46040</v>
      </c>
      <c r="C762" s="5">
        <v>2025020760</v>
      </c>
      <c r="D762" s="2" t="s">
        <v>35</v>
      </c>
      <c r="E762" s="2" t="s">
        <v>20</v>
      </c>
      <c r="F762" s="2"/>
      <c r="G762" s="2"/>
      <c r="H762" s="2" t="str">
        <f t="shared" si="59"/>
        <v>_</v>
      </c>
      <c r="I762" s="2"/>
      <c r="J762" s="2"/>
      <c r="K762" s="2"/>
      <c r="L762" s="2" t="str">
        <f t="shared" si="60"/>
        <v>_</v>
      </c>
      <c r="M762" s="2"/>
      <c r="N762" s="2">
        <f>IF(ISBLANK(Table2[[#This Row],[ActualResult]]), 0, 1)</f>
        <v>0</v>
      </c>
      <c r="O762" s="2" t="str">
        <f>IF(ISBLANK(Table2[[#This Row],[ActualResult]]), "_", IF(Table2[[#This Row],[ActualWinner]]=Table2[[#This Row],[PredictedWinner]], "Y", "N"))</f>
        <v>_</v>
      </c>
      <c r="P7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2" s="2"/>
      <c r="S762" s="2" t="str">
        <f t="shared" si="61"/>
        <v>_</v>
      </c>
      <c r="T7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2" s="2">
        <f>IF(Table2[[#This Row],[InterConf]]=1,IF(Table2[[#This Row],[InterDiv]]=0, 1, 0), 0)</f>
        <v>0</v>
      </c>
      <c r="W7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2" s="2"/>
      <c r="Y762" s="2"/>
      <c r="Z762" s="145">
        <f>IF(AND(Table2[[#This Row],[GameIsOver]]=1,Table2[[#This Row],[ActualHomeScore]]*Table2[[#This Row],[ActualAwayScore]]=0), 1,0)</f>
        <v>0</v>
      </c>
      <c r="AA7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2" s="2">
        <f>Table2[[#This Row],[ActualAwayScore]]-Table2[[#This Row],[PredictedAwayScore]]</f>
        <v>0</v>
      </c>
      <c r="AG762" s="2">
        <f>Table2[[#This Row],[ActualHomeScore]]-Table2[[#This Row],[PredictedHomeScore]]</f>
        <v>0</v>
      </c>
      <c r="AH762" s="2">
        <f t="shared" si="62"/>
        <v>0</v>
      </c>
      <c r="AI762" s="2">
        <f t="shared" si="63"/>
        <v>0</v>
      </c>
      <c r="AJ762" s="2"/>
      <c r="AK762" s="3"/>
      <c r="AL762" s="2">
        <f>IF(Table2[[#This Row],[GameIsOver]]=0,0,IF(Table2[[#This Row],[ActualWinner]]=Table2[[#This Row],[AwayTeam]], 1, 0))</f>
        <v>0</v>
      </c>
      <c r="AM762" s="2">
        <f>IF(Table2[[#This Row],[GameIsOver]]=0,0,IF(Table2[[#This Row],[ActualWinner]]=Table2[[#This Row],[HomeTeam]], 1, 0))</f>
        <v>0</v>
      </c>
      <c r="AN7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2" s="2" t="str">
        <f>INDEX(Sheet5!$B$2:$AG$33, MATCH(Table2[[#This Row],[AwayTeam]],Sheet5!$A$2:$A$33, 0), MATCH(Table2[[#This Row],[HomeTeam]],Sheet5!$A$2:$A$33, 0))</f>
        <v>0-0-0</v>
      </c>
      <c r="AP762" s="2" t="str">
        <f>INDEX(Sheet5!$B$2:$AG$33, MATCH(Table2[[#This Row],[HomeTeam]],Sheet5!$A$2:$A$33, 0), MATCH(Table2[[#This Row],[AwayTeam]],Sheet5!$A$2:$A$33, 0))</f>
        <v>0-0-0</v>
      </c>
      <c r="AQ762" s="2">
        <f>IF(Table2[[#This Row],[GameHasShutOut]], 1, 0)</f>
        <v>0</v>
      </c>
      <c r="AR762" s="2">
        <f>IF(Table2[[#This Row],[ActualAwayScore]] + Table2[[#This Row],[ActualHomeScore]] &gt;= 10, 1, 0)</f>
        <v>0</v>
      </c>
      <c r="AS762" s="2">
        <f>IF(ABS(Table2[[#This Row],[ActualAwayScore]]-Table2[[#This Row],[ActualHomeScore]])&gt;=5, 1, 0)</f>
        <v>0</v>
      </c>
      <c r="AT762" s="2">
        <f>IF(Table2[[#This Row],[ActualAwayScore]] + Table2[[#This Row],[ActualHomeScore]] &lt;= 3, 1, 0)</f>
        <v>1</v>
      </c>
      <c r="AU762" s="2"/>
      <c r="AV762" s="2"/>
    </row>
    <row r="763" spans="1:48" x14ac:dyDescent="0.25">
      <c r="A763" s="3"/>
      <c r="B763" s="3">
        <v>46040</v>
      </c>
      <c r="C763" s="5">
        <v>2025020761</v>
      </c>
      <c r="D763" s="2" t="s">
        <v>13</v>
      </c>
      <c r="E763" s="2" t="s">
        <v>43</v>
      </c>
      <c r="F763" s="2"/>
      <c r="G763" s="2"/>
      <c r="H763" s="2" t="str">
        <f t="shared" si="59"/>
        <v>_</v>
      </c>
      <c r="I763" s="2"/>
      <c r="J763" s="2"/>
      <c r="K763" s="2"/>
      <c r="L763" s="2" t="str">
        <f t="shared" si="60"/>
        <v>_</v>
      </c>
      <c r="M763" s="2"/>
      <c r="N763" s="2">
        <f>IF(ISBLANK(Table2[[#This Row],[ActualResult]]), 0, 1)</f>
        <v>0</v>
      </c>
      <c r="O763" s="2" t="str">
        <f>IF(ISBLANK(Table2[[#This Row],[ActualResult]]), "_", IF(Table2[[#This Row],[ActualWinner]]=Table2[[#This Row],[PredictedWinner]], "Y", "N"))</f>
        <v>_</v>
      </c>
      <c r="P7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3" s="2"/>
      <c r="S763" s="2" t="str">
        <f t="shared" si="61"/>
        <v>_</v>
      </c>
      <c r="T7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3" s="2">
        <f>IF(Table2[[#This Row],[InterConf]]=1,IF(Table2[[#This Row],[InterDiv]]=0, 1, 0), 0)</f>
        <v>1</v>
      </c>
      <c r="W7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3" s="2"/>
      <c r="Y763" s="2"/>
      <c r="Z763" s="145">
        <f>IF(AND(Table2[[#This Row],[GameIsOver]]=1,Table2[[#This Row],[ActualHomeScore]]*Table2[[#This Row],[ActualAwayScore]]=0), 1,0)</f>
        <v>0</v>
      </c>
      <c r="AA7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3" s="2">
        <f>Table2[[#This Row],[ActualAwayScore]]-Table2[[#This Row],[PredictedAwayScore]]</f>
        <v>0</v>
      </c>
      <c r="AG763" s="2">
        <f>Table2[[#This Row],[ActualHomeScore]]-Table2[[#This Row],[PredictedHomeScore]]</f>
        <v>0</v>
      </c>
      <c r="AH763" s="2">
        <f t="shared" si="62"/>
        <v>0</v>
      </c>
      <c r="AI763" s="2">
        <f t="shared" si="63"/>
        <v>0</v>
      </c>
      <c r="AJ763" s="2"/>
      <c r="AK763" s="3"/>
      <c r="AL763" s="2">
        <f>IF(Table2[[#This Row],[GameIsOver]]=0,0,IF(Table2[[#This Row],[ActualWinner]]=Table2[[#This Row],[AwayTeam]], 1, 0))</f>
        <v>0</v>
      </c>
      <c r="AM763" s="2">
        <f>IF(Table2[[#This Row],[GameIsOver]]=0,0,IF(Table2[[#This Row],[ActualWinner]]=Table2[[#This Row],[HomeTeam]], 1, 0))</f>
        <v>0</v>
      </c>
      <c r="AN7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3" s="2" t="str">
        <f>INDEX(Sheet5!$B$2:$AG$33, MATCH(Table2[[#This Row],[AwayTeam]],Sheet5!$A$2:$A$33, 0), MATCH(Table2[[#This Row],[HomeTeam]],Sheet5!$A$2:$A$33, 0))</f>
        <v>0-0-0</v>
      </c>
      <c r="AP763" s="2" t="str">
        <f>INDEX(Sheet5!$B$2:$AG$33, MATCH(Table2[[#This Row],[HomeTeam]],Sheet5!$A$2:$A$33, 0), MATCH(Table2[[#This Row],[AwayTeam]],Sheet5!$A$2:$A$33, 0))</f>
        <v>0-0-0</v>
      </c>
      <c r="AQ763" s="2">
        <f>IF(Table2[[#This Row],[GameHasShutOut]], 1, 0)</f>
        <v>0</v>
      </c>
      <c r="AR763" s="2">
        <f>IF(Table2[[#This Row],[ActualAwayScore]] + Table2[[#This Row],[ActualHomeScore]] &gt;= 10, 1, 0)</f>
        <v>0</v>
      </c>
      <c r="AS763" s="2">
        <f>IF(ABS(Table2[[#This Row],[ActualAwayScore]]-Table2[[#This Row],[ActualHomeScore]])&gt;=5, 1, 0)</f>
        <v>0</v>
      </c>
      <c r="AT763" s="2">
        <f>IF(Table2[[#This Row],[ActualAwayScore]] + Table2[[#This Row],[ActualHomeScore]] &lt;= 3, 1, 0)</f>
        <v>1</v>
      </c>
      <c r="AU763" s="2"/>
      <c r="AV763" s="2"/>
    </row>
    <row r="764" spans="1:48" x14ac:dyDescent="0.25">
      <c r="A764" s="3"/>
      <c r="B764" s="3">
        <v>46040</v>
      </c>
      <c r="C764" s="5">
        <v>2025020762</v>
      </c>
      <c r="D764" s="2" t="s">
        <v>17</v>
      </c>
      <c r="E764" s="2" t="s">
        <v>21</v>
      </c>
      <c r="F764" s="2"/>
      <c r="G764" s="2"/>
      <c r="H764" s="2" t="str">
        <f t="shared" si="59"/>
        <v>_</v>
      </c>
      <c r="I764" s="2"/>
      <c r="J764" s="2"/>
      <c r="K764" s="2"/>
      <c r="L764" s="2" t="str">
        <f t="shared" si="60"/>
        <v>_</v>
      </c>
      <c r="M764" s="2"/>
      <c r="N764" s="2">
        <f>IF(ISBLANK(Table2[[#This Row],[ActualResult]]), 0, 1)</f>
        <v>0</v>
      </c>
      <c r="O764" s="2" t="str">
        <f>IF(ISBLANK(Table2[[#This Row],[ActualResult]]), "_", IF(Table2[[#This Row],[ActualWinner]]=Table2[[#This Row],[PredictedWinner]], "Y", "N"))</f>
        <v>_</v>
      </c>
      <c r="P7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4" s="2"/>
      <c r="S764" s="2" t="str">
        <f t="shared" si="61"/>
        <v>_</v>
      </c>
      <c r="T7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4" s="2">
        <f>IF(Table2[[#This Row],[InterConf]]=1,IF(Table2[[#This Row],[InterDiv]]=0, 1, 0), 0)</f>
        <v>0</v>
      </c>
      <c r="W7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64" s="2"/>
      <c r="Y764" s="2"/>
      <c r="Z764" s="145">
        <f>IF(AND(Table2[[#This Row],[GameIsOver]]=1,Table2[[#This Row],[ActualHomeScore]]*Table2[[#This Row],[ActualAwayScore]]=0), 1,0)</f>
        <v>0</v>
      </c>
      <c r="AA7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4" s="2">
        <f>Table2[[#This Row],[ActualAwayScore]]-Table2[[#This Row],[PredictedAwayScore]]</f>
        <v>0</v>
      </c>
      <c r="AG764" s="2">
        <f>Table2[[#This Row],[ActualHomeScore]]-Table2[[#This Row],[PredictedHomeScore]]</f>
        <v>0</v>
      </c>
      <c r="AH764" s="2">
        <f t="shared" si="62"/>
        <v>0</v>
      </c>
      <c r="AI764" s="2">
        <f t="shared" si="63"/>
        <v>0</v>
      </c>
      <c r="AJ764" s="2"/>
      <c r="AK764" s="3"/>
      <c r="AL764" s="2">
        <f>IF(Table2[[#This Row],[GameIsOver]]=0,0,IF(Table2[[#This Row],[ActualWinner]]=Table2[[#This Row],[AwayTeam]], 1, 0))</f>
        <v>0</v>
      </c>
      <c r="AM764" s="2">
        <f>IF(Table2[[#This Row],[GameIsOver]]=0,0,IF(Table2[[#This Row],[ActualWinner]]=Table2[[#This Row],[HomeTeam]], 1, 0))</f>
        <v>0</v>
      </c>
      <c r="AN7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4" s="2" t="str">
        <f>INDEX(Sheet5!$B$2:$AG$33, MATCH(Table2[[#This Row],[AwayTeam]],Sheet5!$A$2:$A$33, 0), MATCH(Table2[[#This Row],[HomeTeam]],Sheet5!$A$2:$A$33, 0))</f>
        <v>0-0-0</v>
      </c>
      <c r="AP764" s="2" t="str">
        <f>INDEX(Sheet5!$B$2:$AG$33, MATCH(Table2[[#This Row],[HomeTeam]],Sheet5!$A$2:$A$33, 0), MATCH(Table2[[#This Row],[AwayTeam]],Sheet5!$A$2:$A$33, 0))</f>
        <v>0-0-0</v>
      </c>
      <c r="AQ764" s="2">
        <f>IF(Table2[[#This Row],[GameHasShutOut]], 1, 0)</f>
        <v>0</v>
      </c>
      <c r="AR764" s="2">
        <f>IF(Table2[[#This Row],[ActualAwayScore]] + Table2[[#This Row],[ActualHomeScore]] &gt;= 10, 1, 0)</f>
        <v>0</v>
      </c>
      <c r="AS764" s="2">
        <f>IF(ABS(Table2[[#This Row],[ActualAwayScore]]-Table2[[#This Row],[ActualHomeScore]])&gt;=5, 1, 0)</f>
        <v>0</v>
      </c>
      <c r="AT764" s="2">
        <f>IF(Table2[[#This Row],[ActualAwayScore]] + Table2[[#This Row],[ActualHomeScore]] &lt;= 3, 1, 0)</f>
        <v>1</v>
      </c>
      <c r="AU764" s="2"/>
      <c r="AV764" s="2"/>
    </row>
    <row r="765" spans="1:48" x14ac:dyDescent="0.25">
      <c r="A765" s="3"/>
      <c r="B765" s="3">
        <v>46040</v>
      </c>
      <c r="C765" s="5">
        <v>2025020763</v>
      </c>
      <c r="D765" s="2" t="s">
        <v>15</v>
      </c>
      <c r="E765" s="2" t="s">
        <v>16</v>
      </c>
      <c r="F765" s="2"/>
      <c r="G765" s="2"/>
      <c r="H765" s="2" t="str">
        <f t="shared" si="59"/>
        <v>_</v>
      </c>
      <c r="I765" s="2"/>
      <c r="J765" s="2"/>
      <c r="K765" s="2"/>
      <c r="L765" s="2" t="str">
        <f t="shared" si="60"/>
        <v>_</v>
      </c>
      <c r="M765" s="2"/>
      <c r="N765" s="2">
        <f>IF(ISBLANK(Table2[[#This Row],[ActualResult]]), 0, 1)</f>
        <v>0</v>
      </c>
      <c r="O765" s="2" t="str">
        <f>IF(ISBLANK(Table2[[#This Row],[ActualResult]]), "_", IF(Table2[[#This Row],[ActualWinner]]=Table2[[#This Row],[PredictedWinner]], "Y", "N"))</f>
        <v>_</v>
      </c>
      <c r="P7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5" s="2"/>
      <c r="S765" s="2" t="str">
        <f t="shared" si="61"/>
        <v>_</v>
      </c>
      <c r="T7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5" s="2">
        <f>IF(Table2[[#This Row],[InterConf]]=1,IF(Table2[[#This Row],[InterDiv]]=0, 1, 0), 0)</f>
        <v>0</v>
      </c>
      <c r="W7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65" s="2"/>
      <c r="Y765" s="2"/>
      <c r="Z765" s="145">
        <f>IF(AND(Table2[[#This Row],[GameIsOver]]=1,Table2[[#This Row],[ActualHomeScore]]*Table2[[#This Row],[ActualAwayScore]]=0), 1,0)</f>
        <v>0</v>
      </c>
      <c r="AA7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5" s="2">
        <f>Table2[[#This Row],[ActualAwayScore]]-Table2[[#This Row],[PredictedAwayScore]]</f>
        <v>0</v>
      </c>
      <c r="AG765" s="2">
        <f>Table2[[#This Row],[ActualHomeScore]]-Table2[[#This Row],[PredictedHomeScore]]</f>
        <v>0</v>
      </c>
      <c r="AH765" s="2">
        <f t="shared" si="62"/>
        <v>0</v>
      </c>
      <c r="AI765" s="2">
        <f t="shared" si="63"/>
        <v>0</v>
      </c>
      <c r="AJ765" s="2"/>
      <c r="AK765" s="3"/>
      <c r="AL765" s="2">
        <f>IF(Table2[[#This Row],[GameIsOver]]=0,0,IF(Table2[[#This Row],[ActualWinner]]=Table2[[#This Row],[AwayTeam]], 1, 0))</f>
        <v>0</v>
      </c>
      <c r="AM765" s="2">
        <f>IF(Table2[[#This Row],[GameIsOver]]=0,0,IF(Table2[[#This Row],[ActualWinner]]=Table2[[#This Row],[HomeTeam]], 1, 0))</f>
        <v>0</v>
      </c>
      <c r="AN7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5" s="2" t="str">
        <f>INDEX(Sheet5!$B$2:$AG$33, MATCH(Table2[[#This Row],[AwayTeam]],Sheet5!$A$2:$A$33, 0), MATCH(Table2[[#This Row],[HomeTeam]],Sheet5!$A$2:$A$33, 0))</f>
        <v>1-0-0</v>
      </c>
      <c r="AP765" s="2" t="str">
        <f>INDEX(Sheet5!$B$2:$AG$33, MATCH(Table2[[#This Row],[HomeTeam]],Sheet5!$A$2:$A$33, 0), MATCH(Table2[[#This Row],[AwayTeam]],Sheet5!$A$2:$A$33, 0))</f>
        <v>0-0-1</v>
      </c>
      <c r="AQ765" s="2">
        <f>IF(Table2[[#This Row],[GameHasShutOut]], 1, 0)</f>
        <v>0</v>
      </c>
      <c r="AR765" s="2">
        <f>IF(Table2[[#This Row],[ActualAwayScore]] + Table2[[#This Row],[ActualHomeScore]] &gt;= 10, 1, 0)</f>
        <v>0</v>
      </c>
      <c r="AS765" s="2">
        <f>IF(ABS(Table2[[#This Row],[ActualAwayScore]]-Table2[[#This Row],[ActualHomeScore]])&gt;=5, 1, 0)</f>
        <v>0</v>
      </c>
      <c r="AT765" s="2">
        <f>IF(Table2[[#This Row],[ActualAwayScore]] + Table2[[#This Row],[ActualHomeScore]] &lt;= 3, 1, 0)</f>
        <v>1</v>
      </c>
      <c r="AU765" s="2"/>
      <c r="AV765" s="2"/>
    </row>
    <row r="766" spans="1:48" x14ac:dyDescent="0.25">
      <c r="A766" s="3"/>
      <c r="B766" s="3">
        <v>46040</v>
      </c>
      <c r="C766" s="5">
        <v>2025020764</v>
      </c>
      <c r="D766" s="2" t="s">
        <v>22</v>
      </c>
      <c r="E766" s="2" t="s">
        <v>24</v>
      </c>
      <c r="F766" s="2"/>
      <c r="G766" s="2"/>
      <c r="H766" s="2" t="str">
        <f t="shared" si="59"/>
        <v>_</v>
      </c>
      <c r="I766" s="2"/>
      <c r="J766" s="2"/>
      <c r="K766" s="2"/>
      <c r="L766" s="2" t="str">
        <f t="shared" si="60"/>
        <v>_</v>
      </c>
      <c r="M766" s="2"/>
      <c r="N766" s="2">
        <f>IF(ISBLANK(Table2[[#This Row],[ActualResult]]), 0, 1)</f>
        <v>0</v>
      </c>
      <c r="O766" s="2" t="str">
        <f>IF(ISBLANK(Table2[[#This Row],[ActualResult]]), "_", IF(Table2[[#This Row],[ActualWinner]]=Table2[[#This Row],[PredictedWinner]], "Y", "N"))</f>
        <v>_</v>
      </c>
      <c r="P7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6" s="2"/>
      <c r="S766" s="2" t="str">
        <f t="shared" si="61"/>
        <v>_</v>
      </c>
      <c r="T7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6" s="2">
        <f>IF(Table2[[#This Row],[InterConf]]=1,IF(Table2[[#This Row],[InterDiv]]=0, 1, 0), 0)</f>
        <v>0</v>
      </c>
      <c r="W7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6" s="2"/>
      <c r="Y766" s="2"/>
      <c r="Z766" s="145">
        <f>IF(AND(Table2[[#This Row],[GameIsOver]]=1,Table2[[#This Row],[ActualHomeScore]]*Table2[[#This Row],[ActualAwayScore]]=0), 1,0)</f>
        <v>0</v>
      </c>
      <c r="AA7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6" s="2">
        <f>Table2[[#This Row],[ActualAwayScore]]-Table2[[#This Row],[PredictedAwayScore]]</f>
        <v>0</v>
      </c>
      <c r="AG766" s="2">
        <f>Table2[[#This Row],[ActualHomeScore]]-Table2[[#This Row],[PredictedHomeScore]]</f>
        <v>0</v>
      </c>
      <c r="AH766" s="2">
        <f t="shared" si="62"/>
        <v>0</v>
      </c>
      <c r="AI766" s="2">
        <f t="shared" si="63"/>
        <v>0</v>
      </c>
      <c r="AJ766" s="2"/>
      <c r="AK766" s="3"/>
      <c r="AL766" s="2">
        <f>IF(Table2[[#This Row],[GameIsOver]]=0,0,IF(Table2[[#This Row],[ActualWinner]]=Table2[[#This Row],[AwayTeam]], 1, 0))</f>
        <v>0</v>
      </c>
      <c r="AM766" s="2">
        <f>IF(Table2[[#This Row],[GameIsOver]]=0,0,IF(Table2[[#This Row],[ActualWinner]]=Table2[[#This Row],[HomeTeam]], 1, 0))</f>
        <v>0</v>
      </c>
      <c r="AN7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6" s="2" t="str">
        <f>INDEX(Sheet5!$B$2:$AG$33, MATCH(Table2[[#This Row],[AwayTeam]],Sheet5!$A$2:$A$33, 0), MATCH(Table2[[#This Row],[HomeTeam]],Sheet5!$A$2:$A$33, 0))</f>
        <v>1-0-0</v>
      </c>
      <c r="AP766" s="2" t="str">
        <f>INDEX(Sheet5!$B$2:$AG$33, MATCH(Table2[[#This Row],[HomeTeam]],Sheet5!$A$2:$A$33, 0), MATCH(Table2[[#This Row],[AwayTeam]],Sheet5!$A$2:$A$33, 0))</f>
        <v>0-1-0</v>
      </c>
      <c r="AQ766" s="2">
        <f>IF(Table2[[#This Row],[GameHasShutOut]], 1, 0)</f>
        <v>0</v>
      </c>
      <c r="AR766" s="2">
        <f>IF(Table2[[#This Row],[ActualAwayScore]] + Table2[[#This Row],[ActualHomeScore]] &gt;= 10, 1, 0)</f>
        <v>0</v>
      </c>
      <c r="AS766" s="2">
        <f>IF(ABS(Table2[[#This Row],[ActualAwayScore]]-Table2[[#This Row],[ActualHomeScore]])&gt;=5, 1, 0)</f>
        <v>0</v>
      </c>
      <c r="AT766" s="2">
        <f>IF(Table2[[#This Row],[ActualAwayScore]] + Table2[[#This Row],[ActualHomeScore]] &lt;= 3, 1, 0)</f>
        <v>1</v>
      </c>
      <c r="AU766" s="2"/>
      <c r="AV766" s="2"/>
    </row>
    <row r="767" spans="1:48" x14ac:dyDescent="0.25">
      <c r="A767" s="3"/>
      <c r="B767" s="3">
        <v>46040</v>
      </c>
      <c r="C767" s="5">
        <v>2025020765</v>
      </c>
      <c r="D767" s="2" t="s">
        <v>34</v>
      </c>
      <c r="E767" s="2" t="s">
        <v>26</v>
      </c>
      <c r="F767" s="2"/>
      <c r="G767" s="2"/>
      <c r="H767" s="2" t="str">
        <f t="shared" si="59"/>
        <v>_</v>
      </c>
      <c r="I767" s="2"/>
      <c r="J767" s="2"/>
      <c r="K767" s="2"/>
      <c r="L767" s="2" t="str">
        <f t="shared" si="60"/>
        <v>_</v>
      </c>
      <c r="M767" s="2"/>
      <c r="N767" s="2">
        <f>IF(ISBLANK(Table2[[#This Row],[ActualResult]]), 0, 1)</f>
        <v>0</v>
      </c>
      <c r="O767" s="2" t="str">
        <f>IF(ISBLANK(Table2[[#This Row],[ActualResult]]), "_", IF(Table2[[#This Row],[ActualWinner]]=Table2[[#This Row],[PredictedWinner]], "Y", "N"))</f>
        <v>_</v>
      </c>
      <c r="P7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7" s="2"/>
      <c r="S767" s="2" t="str">
        <f t="shared" si="61"/>
        <v>_</v>
      </c>
      <c r="T7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7" s="2">
        <f>IF(Table2[[#This Row],[InterConf]]=1,IF(Table2[[#This Row],[InterDiv]]=0, 1, 0), 0)</f>
        <v>1</v>
      </c>
      <c r="W7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7" s="2"/>
      <c r="Y767" s="2"/>
      <c r="Z767" s="145">
        <f>IF(AND(Table2[[#This Row],[GameIsOver]]=1,Table2[[#This Row],[ActualHomeScore]]*Table2[[#This Row],[ActualAwayScore]]=0), 1,0)</f>
        <v>0</v>
      </c>
      <c r="AA7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7" s="2">
        <f>Table2[[#This Row],[ActualAwayScore]]-Table2[[#This Row],[PredictedAwayScore]]</f>
        <v>0</v>
      </c>
      <c r="AG767" s="2">
        <f>Table2[[#This Row],[ActualHomeScore]]-Table2[[#This Row],[PredictedHomeScore]]</f>
        <v>0</v>
      </c>
      <c r="AH767" s="2">
        <f t="shared" si="62"/>
        <v>0</v>
      </c>
      <c r="AI767" s="2">
        <f t="shared" si="63"/>
        <v>0</v>
      </c>
      <c r="AJ767" s="2"/>
      <c r="AK767" s="3"/>
      <c r="AL767" s="2">
        <f>IF(Table2[[#This Row],[GameIsOver]]=0,0,IF(Table2[[#This Row],[ActualWinner]]=Table2[[#This Row],[AwayTeam]], 1, 0))</f>
        <v>0</v>
      </c>
      <c r="AM767" s="2">
        <f>IF(Table2[[#This Row],[GameIsOver]]=0,0,IF(Table2[[#This Row],[ActualWinner]]=Table2[[#This Row],[HomeTeam]], 1, 0))</f>
        <v>0</v>
      </c>
      <c r="AN7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7" s="2" t="str">
        <f>INDEX(Sheet5!$B$2:$AG$33, MATCH(Table2[[#This Row],[AwayTeam]],Sheet5!$A$2:$A$33, 0), MATCH(Table2[[#This Row],[HomeTeam]],Sheet5!$A$2:$A$33, 0))</f>
        <v>0-0-0</v>
      </c>
      <c r="AP767" s="2" t="str">
        <f>INDEX(Sheet5!$B$2:$AG$33, MATCH(Table2[[#This Row],[HomeTeam]],Sheet5!$A$2:$A$33, 0), MATCH(Table2[[#This Row],[AwayTeam]],Sheet5!$A$2:$A$33, 0))</f>
        <v>0-0-0</v>
      </c>
      <c r="AQ767" s="2">
        <f>IF(Table2[[#This Row],[GameHasShutOut]], 1, 0)</f>
        <v>0</v>
      </c>
      <c r="AR767" s="2">
        <f>IF(Table2[[#This Row],[ActualAwayScore]] + Table2[[#This Row],[ActualHomeScore]] &gt;= 10, 1, 0)</f>
        <v>0</v>
      </c>
      <c r="AS767" s="2">
        <f>IF(ABS(Table2[[#This Row],[ActualAwayScore]]-Table2[[#This Row],[ActualHomeScore]])&gt;=5, 1, 0)</f>
        <v>0</v>
      </c>
      <c r="AT767" s="2">
        <f>IF(Table2[[#This Row],[ActualAwayScore]] + Table2[[#This Row],[ActualHomeScore]] &lt;= 3, 1, 0)</f>
        <v>1</v>
      </c>
      <c r="AU767" s="2"/>
      <c r="AV767" s="2"/>
    </row>
    <row r="768" spans="1:48" x14ac:dyDescent="0.25">
      <c r="A768" s="3"/>
      <c r="B768" s="3">
        <v>46040</v>
      </c>
      <c r="C768" s="5">
        <v>2025020766</v>
      </c>
      <c r="D768" s="2" t="s">
        <v>27</v>
      </c>
      <c r="E768" s="2" t="s">
        <v>44</v>
      </c>
      <c r="F768" s="2"/>
      <c r="G768" s="2"/>
      <c r="H768" s="2" t="str">
        <f t="shared" si="59"/>
        <v>_</v>
      </c>
      <c r="I768" s="2"/>
      <c r="J768" s="2"/>
      <c r="K768" s="2"/>
      <c r="L768" s="2" t="str">
        <f t="shared" si="60"/>
        <v>_</v>
      </c>
      <c r="M768" s="2"/>
      <c r="N768" s="2">
        <f>IF(ISBLANK(Table2[[#This Row],[ActualResult]]), 0, 1)</f>
        <v>0</v>
      </c>
      <c r="O768" s="2" t="str">
        <f>IF(ISBLANK(Table2[[#This Row],[ActualResult]]), "_", IF(Table2[[#This Row],[ActualWinner]]=Table2[[#This Row],[PredictedWinner]], "Y", "N"))</f>
        <v>_</v>
      </c>
      <c r="P7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8" s="2"/>
      <c r="S768" s="2" t="str">
        <f t="shared" si="61"/>
        <v>_</v>
      </c>
      <c r="T7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8" s="2">
        <f>IF(Table2[[#This Row],[InterConf]]=1,IF(Table2[[#This Row],[InterDiv]]=0, 1, 0), 0)</f>
        <v>0</v>
      </c>
      <c r="W7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8" s="2"/>
      <c r="Y768" s="2"/>
      <c r="Z768" s="145">
        <f>IF(AND(Table2[[#This Row],[GameIsOver]]=1,Table2[[#This Row],[ActualHomeScore]]*Table2[[#This Row],[ActualAwayScore]]=0), 1,0)</f>
        <v>0</v>
      </c>
      <c r="AA7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8" s="2">
        <f>Table2[[#This Row],[ActualAwayScore]]-Table2[[#This Row],[PredictedAwayScore]]</f>
        <v>0</v>
      </c>
      <c r="AG768" s="2">
        <f>Table2[[#This Row],[ActualHomeScore]]-Table2[[#This Row],[PredictedHomeScore]]</f>
        <v>0</v>
      </c>
      <c r="AH768" s="2">
        <f t="shared" si="62"/>
        <v>0</v>
      </c>
      <c r="AI768" s="2">
        <f t="shared" si="63"/>
        <v>0</v>
      </c>
      <c r="AJ768" s="2"/>
      <c r="AK768" s="3"/>
      <c r="AL768" s="2">
        <f>IF(Table2[[#This Row],[GameIsOver]]=0,0,IF(Table2[[#This Row],[ActualWinner]]=Table2[[#This Row],[AwayTeam]], 1, 0))</f>
        <v>0</v>
      </c>
      <c r="AM768" s="2">
        <f>IF(Table2[[#This Row],[GameIsOver]]=0,0,IF(Table2[[#This Row],[ActualWinner]]=Table2[[#This Row],[HomeTeam]], 1, 0))</f>
        <v>0</v>
      </c>
      <c r="AN768" s="2">
        <f>IF(IFERROR(FIND(Table2[[#This Row],[AwayTeam]], _xlfn.TEXTJOIN(";", 1, $BD$31:$BD$40)), 0) &gt; 0, 1, 0) + IF(IFERROR(FIND(Table2[[#This Row],[HomeTeam]], _xlfn.TEXTJOIN(";", 1, $BD$31:$BD$40)), 0) &gt; 0, 1, 0)</f>
        <v>1</v>
      </c>
      <c r="AO768" s="2" t="str">
        <f>INDEX(Sheet5!$B$2:$AG$33, MATCH(Table2[[#This Row],[AwayTeam]],Sheet5!$A$2:$A$33, 0), MATCH(Table2[[#This Row],[HomeTeam]],Sheet5!$A$2:$A$33, 0))</f>
        <v>0-0-0</v>
      </c>
      <c r="AP768" s="2" t="str">
        <f>INDEX(Sheet5!$B$2:$AG$33, MATCH(Table2[[#This Row],[HomeTeam]],Sheet5!$A$2:$A$33, 0), MATCH(Table2[[#This Row],[AwayTeam]],Sheet5!$A$2:$A$33, 0))</f>
        <v>0-0-0</v>
      </c>
      <c r="AQ768" s="2">
        <f>IF(Table2[[#This Row],[GameHasShutOut]], 1, 0)</f>
        <v>0</v>
      </c>
      <c r="AR768" s="2">
        <f>IF(Table2[[#This Row],[ActualAwayScore]] + Table2[[#This Row],[ActualHomeScore]] &gt;= 10, 1, 0)</f>
        <v>0</v>
      </c>
      <c r="AS768" s="2">
        <f>IF(ABS(Table2[[#This Row],[ActualAwayScore]]-Table2[[#This Row],[ActualHomeScore]])&gt;=5, 1, 0)</f>
        <v>0</v>
      </c>
      <c r="AT768" s="2">
        <f>IF(Table2[[#This Row],[ActualAwayScore]] + Table2[[#This Row],[ActualHomeScore]] &lt;= 3, 1, 0)</f>
        <v>1</v>
      </c>
      <c r="AU768" s="2"/>
      <c r="AV768" s="2"/>
    </row>
    <row r="769" spans="1:48" x14ac:dyDescent="0.25">
      <c r="A769" s="3"/>
      <c r="B769" s="3">
        <v>46040</v>
      </c>
      <c r="C769" s="5">
        <v>2025020767</v>
      </c>
      <c r="D769" s="2" t="s">
        <v>40</v>
      </c>
      <c r="E769" s="2" t="s">
        <v>33</v>
      </c>
      <c r="F769" s="2"/>
      <c r="G769" s="2"/>
      <c r="H769" s="2" t="str">
        <f t="shared" si="59"/>
        <v>_</v>
      </c>
      <c r="I769" s="2"/>
      <c r="J769" s="2"/>
      <c r="K769" s="2"/>
      <c r="L769" s="2" t="str">
        <f t="shared" si="60"/>
        <v>_</v>
      </c>
      <c r="M769" s="2"/>
      <c r="N769" s="2">
        <f>IF(ISBLANK(Table2[[#This Row],[ActualResult]]), 0, 1)</f>
        <v>0</v>
      </c>
      <c r="O769" s="2" t="str">
        <f>IF(ISBLANK(Table2[[#This Row],[ActualResult]]), "_", IF(Table2[[#This Row],[ActualWinner]]=Table2[[#This Row],[PredictedWinner]], "Y", "N"))</f>
        <v>_</v>
      </c>
      <c r="P7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9" s="2"/>
      <c r="S769" s="2" t="str">
        <f t="shared" si="61"/>
        <v>_</v>
      </c>
      <c r="T7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9" s="2">
        <f>IF(Table2[[#This Row],[InterConf]]=1,IF(Table2[[#This Row],[InterDiv]]=0, 1, 0), 0)</f>
        <v>0</v>
      </c>
      <c r="W7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69" s="2"/>
      <c r="Y769" s="2"/>
      <c r="Z769" s="145">
        <f>IF(AND(Table2[[#This Row],[GameIsOver]]=1,Table2[[#This Row],[ActualHomeScore]]*Table2[[#This Row],[ActualAwayScore]]=0), 1,0)</f>
        <v>0</v>
      </c>
      <c r="AA7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9" s="2">
        <f>Table2[[#This Row],[ActualAwayScore]]-Table2[[#This Row],[PredictedAwayScore]]</f>
        <v>0</v>
      </c>
      <c r="AG769" s="2">
        <f>Table2[[#This Row],[ActualHomeScore]]-Table2[[#This Row],[PredictedHomeScore]]</f>
        <v>0</v>
      </c>
      <c r="AH769" s="2">
        <f t="shared" si="62"/>
        <v>0</v>
      </c>
      <c r="AI769" s="2">
        <f t="shared" si="63"/>
        <v>0</v>
      </c>
      <c r="AJ769" s="2"/>
      <c r="AK769" s="3"/>
      <c r="AL769" s="2">
        <f>IF(Table2[[#This Row],[GameIsOver]]=0,0,IF(Table2[[#This Row],[ActualWinner]]=Table2[[#This Row],[AwayTeam]], 1, 0))</f>
        <v>0</v>
      </c>
      <c r="AM769" s="2">
        <f>IF(Table2[[#This Row],[GameIsOver]]=0,0,IF(Table2[[#This Row],[ActualWinner]]=Table2[[#This Row],[HomeTeam]], 1, 0))</f>
        <v>0</v>
      </c>
      <c r="AN7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9" s="2" t="str">
        <f>INDEX(Sheet5!$B$2:$AG$33, MATCH(Table2[[#This Row],[AwayTeam]],Sheet5!$A$2:$A$33, 0), MATCH(Table2[[#This Row],[HomeTeam]],Sheet5!$A$2:$A$33, 0))</f>
        <v>0-0-0</v>
      </c>
      <c r="AP769" s="2" t="str">
        <f>INDEX(Sheet5!$B$2:$AG$33, MATCH(Table2[[#This Row],[HomeTeam]],Sheet5!$A$2:$A$33, 0), MATCH(Table2[[#This Row],[AwayTeam]],Sheet5!$A$2:$A$33, 0))</f>
        <v>0-0-0</v>
      </c>
      <c r="AQ769" s="2">
        <f>IF(Table2[[#This Row],[GameHasShutOut]], 1, 0)</f>
        <v>0</v>
      </c>
      <c r="AR769" s="2">
        <f>IF(Table2[[#This Row],[ActualAwayScore]] + Table2[[#This Row],[ActualHomeScore]] &gt;= 10, 1, 0)</f>
        <v>0</v>
      </c>
      <c r="AS769" s="2">
        <f>IF(ABS(Table2[[#This Row],[ActualAwayScore]]-Table2[[#This Row],[ActualHomeScore]])&gt;=5, 1, 0)</f>
        <v>0</v>
      </c>
      <c r="AT769" s="2">
        <f>IF(Table2[[#This Row],[ActualAwayScore]] + Table2[[#This Row],[ActualHomeScore]] &lt;= 3, 1, 0)</f>
        <v>1</v>
      </c>
      <c r="AU769" s="2"/>
      <c r="AV769" s="2"/>
    </row>
    <row r="770" spans="1:48" x14ac:dyDescent="0.25">
      <c r="A770" s="3"/>
      <c r="B770" s="3">
        <v>46040</v>
      </c>
      <c r="C770" s="5">
        <v>2025020768</v>
      </c>
      <c r="D770" s="2" t="s">
        <v>29</v>
      </c>
      <c r="E770" s="2" t="s">
        <v>30</v>
      </c>
      <c r="F770" s="2"/>
      <c r="G770" s="2"/>
      <c r="H770" s="2" t="str">
        <f t="shared" si="59"/>
        <v>_</v>
      </c>
      <c r="I770" s="2"/>
      <c r="J770" s="2"/>
      <c r="K770" s="2"/>
      <c r="L770" s="2" t="str">
        <f t="shared" si="60"/>
        <v>_</v>
      </c>
      <c r="M770" s="2"/>
      <c r="N770" s="2">
        <f>IF(ISBLANK(Table2[[#This Row],[ActualResult]]), 0, 1)</f>
        <v>0</v>
      </c>
      <c r="O770" s="2" t="str">
        <f>IF(ISBLANK(Table2[[#This Row],[ActualResult]]), "_", IF(Table2[[#This Row],[ActualWinner]]=Table2[[#This Row],[PredictedWinner]], "Y", "N"))</f>
        <v>_</v>
      </c>
      <c r="P7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0" s="2"/>
      <c r="S770" s="2" t="str">
        <f t="shared" si="61"/>
        <v>_</v>
      </c>
      <c r="T7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70" s="2">
        <f>IF(Table2[[#This Row],[InterConf]]=1,IF(Table2[[#This Row],[InterDiv]]=0, 1, 0), 0)</f>
        <v>0</v>
      </c>
      <c r="W7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0" s="2"/>
      <c r="Y770" s="2"/>
      <c r="Z770" s="145">
        <f>IF(AND(Table2[[#This Row],[GameIsOver]]=1,Table2[[#This Row],[ActualHomeScore]]*Table2[[#This Row],[ActualAwayScore]]=0), 1,0)</f>
        <v>0</v>
      </c>
      <c r="AA7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70" s="2">
        <f>Table2[[#This Row],[ActualAwayScore]]-Table2[[#This Row],[PredictedAwayScore]]</f>
        <v>0</v>
      </c>
      <c r="AG770" s="2">
        <f>Table2[[#This Row],[ActualHomeScore]]-Table2[[#This Row],[PredictedHomeScore]]</f>
        <v>0</v>
      </c>
      <c r="AH770" s="2">
        <f t="shared" si="62"/>
        <v>0</v>
      </c>
      <c r="AI770" s="2">
        <f t="shared" si="63"/>
        <v>0</v>
      </c>
      <c r="AJ770" s="2"/>
      <c r="AK770" s="3"/>
      <c r="AL770" s="2">
        <f>IF(Table2[[#This Row],[GameIsOver]]=0,0,IF(Table2[[#This Row],[ActualWinner]]=Table2[[#This Row],[AwayTeam]], 1, 0))</f>
        <v>0</v>
      </c>
      <c r="AM770" s="2">
        <f>IF(Table2[[#This Row],[GameIsOver]]=0,0,IF(Table2[[#This Row],[ActualWinner]]=Table2[[#This Row],[HomeTeam]], 1, 0))</f>
        <v>0</v>
      </c>
      <c r="AN7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0" s="2" t="str">
        <f>INDEX(Sheet5!$B$2:$AG$33, MATCH(Table2[[#This Row],[AwayTeam]],Sheet5!$A$2:$A$33, 0), MATCH(Table2[[#This Row],[HomeTeam]],Sheet5!$A$2:$A$33, 0))</f>
        <v>0-0-0</v>
      </c>
      <c r="AP770" s="2" t="str">
        <f>INDEX(Sheet5!$B$2:$AG$33, MATCH(Table2[[#This Row],[HomeTeam]],Sheet5!$A$2:$A$33, 0), MATCH(Table2[[#This Row],[AwayTeam]],Sheet5!$A$2:$A$33, 0))</f>
        <v>0-0-0</v>
      </c>
      <c r="AQ770" s="2">
        <f>IF(Table2[[#This Row],[GameHasShutOut]], 1, 0)</f>
        <v>0</v>
      </c>
      <c r="AR770" s="2">
        <f>IF(Table2[[#This Row],[ActualAwayScore]] + Table2[[#This Row],[ActualHomeScore]] &gt;= 10, 1, 0)</f>
        <v>0</v>
      </c>
      <c r="AS770" s="2">
        <f>IF(ABS(Table2[[#This Row],[ActualAwayScore]]-Table2[[#This Row],[ActualHomeScore]])&gt;=5, 1, 0)</f>
        <v>0</v>
      </c>
      <c r="AT770" s="2">
        <f>IF(Table2[[#This Row],[ActualAwayScore]] + Table2[[#This Row],[ActualHomeScore]] &lt;= 3, 1, 0)</f>
        <v>1</v>
      </c>
      <c r="AU770" s="2"/>
      <c r="AV770" s="2"/>
    </row>
    <row r="771" spans="1:48" x14ac:dyDescent="0.25">
      <c r="A771" s="3"/>
      <c r="B771" s="3">
        <v>46041</v>
      </c>
      <c r="C771" s="5">
        <v>2025020769</v>
      </c>
      <c r="D771" s="2" t="s">
        <v>12</v>
      </c>
      <c r="E771" s="2" t="s">
        <v>22</v>
      </c>
      <c r="F771" s="2"/>
      <c r="G771" s="2"/>
      <c r="H771" s="2" t="str">
        <f t="shared" ref="H771:H834" si="64">IF(AND(ISBLANK($F771),ISBLANK($G771)),"_",IF($F771&gt;$G771,$D771,$E771))</f>
        <v>_</v>
      </c>
      <c r="I771" s="2"/>
      <c r="J771" s="2"/>
      <c r="K771" s="2"/>
      <c r="L771" s="2" t="str">
        <f t="shared" ref="L771:L834" si="65">IF(OR($J771=$K771,AND(ISBLANK($J771),ISBLANK($K771))),"_",IF($J771&gt;$K771,$D771,$E771))</f>
        <v>_</v>
      </c>
      <c r="M771" s="2"/>
      <c r="N771" s="2">
        <f>IF(ISBLANK(Table2[[#This Row],[ActualResult]]), 0, 1)</f>
        <v>0</v>
      </c>
      <c r="O771" s="2" t="str">
        <f>IF(ISBLANK(Table2[[#This Row],[ActualResult]]), "_", IF(Table2[[#This Row],[ActualWinner]]=Table2[[#This Row],[PredictedWinner]], "Y", "N"))</f>
        <v>_</v>
      </c>
      <c r="P7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1" s="2"/>
      <c r="S771" s="2" t="str">
        <f t="shared" ref="S771:S834" si="66">IF($L771="_", "_", IF($L771=$D771,$E771,$D771))</f>
        <v>_</v>
      </c>
      <c r="T7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1" s="2">
        <f>IF(Table2[[#This Row],[InterConf]]=1,IF(Table2[[#This Row],[InterDiv]]=0, 1, 0), 0)</f>
        <v>1</v>
      </c>
      <c r="W7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1" s="2"/>
      <c r="Y771" s="2"/>
      <c r="Z771" s="145">
        <f>IF(AND(Table2[[#This Row],[GameIsOver]]=1,Table2[[#This Row],[ActualHomeScore]]*Table2[[#This Row],[ActualAwayScore]]=0), 1,0)</f>
        <v>0</v>
      </c>
      <c r="AA7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1" s="2">
        <f>Table2[[#This Row],[ActualAwayScore]]-Table2[[#This Row],[PredictedAwayScore]]</f>
        <v>0</v>
      </c>
      <c r="AG771" s="2">
        <f>Table2[[#This Row],[ActualHomeScore]]-Table2[[#This Row],[PredictedHomeScore]]</f>
        <v>0</v>
      </c>
      <c r="AH771" s="2">
        <f t="shared" ref="AH771:AH834" si="67">SUMIF($B$3:$B$1315, $B771, $AF$3:$AF$1315)</f>
        <v>0</v>
      </c>
      <c r="AI771" s="2">
        <f t="shared" ref="AI771:AI834" si="68">SUMIF($B$3:$B$1315, $B771, $AG$3:$AG$1315)</f>
        <v>0</v>
      </c>
      <c r="AJ771" s="2"/>
      <c r="AK771" s="3"/>
      <c r="AL771" s="2">
        <f>IF(Table2[[#This Row],[GameIsOver]]=0,0,IF(Table2[[#This Row],[ActualWinner]]=Table2[[#This Row],[AwayTeam]], 1, 0))</f>
        <v>0</v>
      </c>
      <c r="AM771" s="2">
        <f>IF(Table2[[#This Row],[GameIsOver]]=0,0,IF(Table2[[#This Row],[ActualWinner]]=Table2[[#This Row],[HomeTeam]], 1, 0))</f>
        <v>0</v>
      </c>
      <c r="AN7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1" s="2" t="str">
        <f>INDEX(Sheet5!$B$2:$AG$33, MATCH(Table2[[#This Row],[AwayTeam]],Sheet5!$A$2:$A$33, 0), MATCH(Table2[[#This Row],[HomeTeam]],Sheet5!$A$2:$A$33, 0))</f>
        <v>0-0-0</v>
      </c>
      <c r="AP771" s="2" t="str">
        <f>INDEX(Sheet5!$B$2:$AG$33, MATCH(Table2[[#This Row],[HomeTeam]],Sheet5!$A$2:$A$33, 0), MATCH(Table2[[#This Row],[AwayTeam]],Sheet5!$A$2:$A$33, 0))</f>
        <v>0-0-0</v>
      </c>
      <c r="AQ771" s="2">
        <f>IF(Table2[[#This Row],[GameHasShutOut]], 1, 0)</f>
        <v>0</v>
      </c>
      <c r="AR771" s="2">
        <f>IF(Table2[[#This Row],[ActualAwayScore]] + Table2[[#This Row],[ActualHomeScore]] &gt;= 10, 1, 0)</f>
        <v>0</v>
      </c>
      <c r="AS771" s="2">
        <f>IF(ABS(Table2[[#This Row],[ActualAwayScore]]-Table2[[#This Row],[ActualHomeScore]])&gt;=5, 1, 0)</f>
        <v>0</v>
      </c>
      <c r="AT771" s="2">
        <f>IF(Table2[[#This Row],[ActualAwayScore]] + Table2[[#This Row],[ActualHomeScore]] &lt;= 3, 1, 0)</f>
        <v>1</v>
      </c>
      <c r="AU771" s="2"/>
      <c r="AV771" s="2"/>
    </row>
    <row r="772" spans="1:48" x14ac:dyDescent="0.25">
      <c r="A772" s="3"/>
      <c r="B772" s="3">
        <v>46041</v>
      </c>
      <c r="C772" s="5">
        <v>2025020770</v>
      </c>
      <c r="D772" s="2" t="s">
        <v>28</v>
      </c>
      <c r="E772" s="2" t="s">
        <v>41</v>
      </c>
      <c r="F772" s="2"/>
      <c r="G772" s="2"/>
      <c r="H772" s="2" t="str">
        <f t="shared" si="64"/>
        <v>_</v>
      </c>
      <c r="I772" s="2"/>
      <c r="J772" s="2"/>
      <c r="K772" s="2"/>
      <c r="L772" s="2" t="str">
        <f t="shared" si="65"/>
        <v>_</v>
      </c>
      <c r="M772" s="2"/>
      <c r="N772" s="2">
        <f>IF(ISBLANK(Table2[[#This Row],[ActualResult]]), 0, 1)</f>
        <v>0</v>
      </c>
      <c r="O772" s="2" t="str">
        <f>IF(ISBLANK(Table2[[#This Row],[ActualResult]]), "_", IF(Table2[[#This Row],[ActualWinner]]=Table2[[#This Row],[PredictedWinner]], "Y", "N"))</f>
        <v>_</v>
      </c>
      <c r="P7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2" s="2"/>
      <c r="S772" s="2" t="str">
        <f t="shared" si="66"/>
        <v>_</v>
      </c>
      <c r="T7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2" s="2">
        <f>IF(Table2[[#This Row],[InterConf]]=1,IF(Table2[[#This Row],[InterDiv]]=0, 1, 0), 0)</f>
        <v>1</v>
      </c>
      <c r="W7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2" s="2"/>
      <c r="Y772" s="2"/>
      <c r="Z772" s="145">
        <f>IF(AND(Table2[[#This Row],[GameIsOver]]=1,Table2[[#This Row],[ActualHomeScore]]*Table2[[#This Row],[ActualAwayScore]]=0), 1,0)</f>
        <v>0</v>
      </c>
      <c r="AA7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2" s="2">
        <f>Table2[[#This Row],[ActualAwayScore]]-Table2[[#This Row],[PredictedAwayScore]]</f>
        <v>0</v>
      </c>
      <c r="AG772" s="2">
        <f>Table2[[#This Row],[ActualHomeScore]]-Table2[[#This Row],[PredictedHomeScore]]</f>
        <v>0</v>
      </c>
      <c r="AH772" s="2">
        <f t="shared" si="67"/>
        <v>0</v>
      </c>
      <c r="AI772" s="2">
        <f t="shared" si="68"/>
        <v>0</v>
      </c>
      <c r="AJ772" s="2"/>
      <c r="AK772" s="3"/>
      <c r="AL772" s="2">
        <f>IF(Table2[[#This Row],[GameIsOver]]=0,0,IF(Table2[[#This Row],[ActualWinner]]=Table2[[#This Row],[AwayTeam]], 1, 0))</f>
        <v>0</v>
      </c>
      <c r="AM772" s="2">
        <f>IF(Table2[[#This Row],[GameIsOver]]=0,0,IF(Table2[[#This Row],[ActualWinner]]=Table2[[#This Row],[HomeTeam]], 1, 0))</f>
        <v>0</v>
      </c>
      <c r="AN7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2" s="2" t="str">
        <f>INDEX(Sheet5!$B$2:$AG$33, MATCH(Table2[[#This Row],[AwayTeam]],Sheet5!$A$2:$A$33, 0), MATCH(Table2[[#This Row],[HomeTeam]],Sheet5!$A$2:$A$33, 0))</f>
        <v>0-0-0</v>
      </c>
      <c r="AP772" s="2" t="str">
        <f>INDEX(Sheet5!$B$2:$AG$33, MATCH(Table2[[#This Row],[HomeTeam]],Sheet5!$A$2:$A$33, 0), MATCH(Table2[[#This Row],[AwayTeam]],Sheet5!$A$2:$A$33, 0))</f>
        <v>0-0-0</v>
      </c>
      <c r="AQ772" s="2">
        <f>IF(Table2[[#This Row],[GameHasShutOut]], 1, 0)</f>
        <v>0</v>
      </c>
      <c r="AR772" s="2">
        <f>IF(Table2[[#This Row],[ActualAwayScore]] + Table2[[#This Row],[ActualHomeScore]] &gt;= 10, 1, 0)</f>
        <v>0</v>
      </c>
      <c r="AS772" s="2">
        <f>IF(ABS(Table2[[#This Row],[ActualAwayScore]]-Table2[[#This Row],[ActualHomeScore]])&gt;=5, 1, 0)</f>
        <v>0</v>
      </c>
      <c r="AT772" s="2">
        <f>IF(Table2[[#This Row],[ActualAwayScore]] + Table2[[#This Row],[ActualHomeScore]] &lt;= 3, 1, 0)</f>
        <v>1</v>
      </c>
      <c r="AU772" s="2"/>
      <c r="AV772" s="2"/>
    </row>
    <row r="773" spans="1:48" x14ac:dyDescent="0.25">
      <c r="A773" s="3"/>
      <c r="B773" s="3">
        <v>46041</v>
      </c>
      <c r="C773" s="5">
        <v>2025020771</v>
      </c>
      <c r="D773" s="2" t="s">
        <v>43</v>
      </c>
      <c r="E773" s="2" t="s">
        <v>25</v>
      </c>
      <c r="F773" s="2"/>
      <c r="G773" s="2"/>
      <c r="H773" s="2" t="str">
        <f t="shared" si="64"/>
        <v>_</v>
      </c>
      <c r="I773" s="2"/>
      <c r="J773" s="2"/>
      <c r="K773" s="2"/>
      <c r="L773" s="2" t="str">
        <f t="shared" si="65"/>
        <v>_</v>
      </c>
      <c r="M773" s="2"/>
      <c r="N773" s="2">
        <f>IF(ISBLANK(Table2[[#This Row],[ActualResult]]), 0, 1)</f>
        <v>0</v>
      </c>
      <c r="O773" s="2" t="str">
        <f>IF(ISBLANK(Table2[[#This Row],[ActualResult]]), "_", IF(Table2[[#This Row],[ActualWinner]]=Table2[[#This Row],[PredictedWinner]], "Y", "N"))</f>
        <v>_</v>
      </c>
      <c r="P7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3" s="2"/>
      <c r="S773" s="2" t="str">
        <f t="shared" si="66"/>
        <v>_</v>
      </c>
      <c r="T7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3" s="2">
        <f>IF(Table2[[#This Row],[InterConf]]=1,IF(Table2[[#This Row],[InterDiv]]=0, 1, 0), 0)</f>
        <v>0</v>
      </c>
      <c r="W7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3" s="2"/>
      <c r="Y773" s="2"/>
      <c r="Z773" s="145">
        <f>IF(AND(Table2[[#This Row],[GameIsOver]]=1,Table2[[#This Row],[ActualHomeScore]]*Table2[[#This Row],[ActualAwayScore]]=0), 1,0)</f>
        <v>0</v>
      </c>
      <c r="AA7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3" s="2">
        <f>Table2[[#This Row],[ActualAwayScore]]-Table2[[#This Row],[PredictedAwayScore]]</f>
        <v>0</v>
      </c>
      <c r="AG773" s="2">
        <f>Table2[[#This Row],[ActualHomeScore]]-Table2[[#This Row],[PredictedHomeScore]]</f>
        <v>0</v>
      </c>
      <c r="AH773" s="2">
        <f t="shared" si="67"/>
        <v>0</v>
      </c>
      <c r="AI773" s="2">
        <f t="shared" si="68"/>
        <v>0</v>
      </c>
      <c r="AJ773" s="2"/>
      <c r="AK773" s="3"/>
      <c r="AL773" s="2">
        <f>IF(Table2[[#This Row],[GameIsOver]]=0,0,IF(Table2[[#This Row],[ActualWinner]]=Table2[[#This Row],[AwayTeam]], 1, 0))</f>
        <v>0</v>
      </c>
      <c r="AM773" s="2">
        <f>IF(Table2[[#This Row],[GameIsOver]]=0,0,IF(Table2[[#This Row],[ActualWinner]]=Table2[[#This Row],[HomeTeam]], 1, 0))</f>
        <v>0</v>
      </c>
      <c r="AN7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3" s="2" t="str">
        <f>INDEX(Sheet5!$B$2:$AG$33, MATCH(Table2[[#This Row],[AwayTeam]],Sheet5!$A$2:$A$33, 0), MATCH(Table2[[#This Row],[HomeTeam]],Sheet5!$A$2:$A$33, 0))</f>
        <v>0-0-0</v>
      </c>
      <c r="AP773" s="2" t="str">
        <f>INDEX(Sheet5!$B$2:$AG$33, MATCH(Table2[[#This Row],[HomeTeam]],Sheet5!$A$2:$A$33, 0), MATCH(Table2[[#This Row],[AwayTeam]],Sheet5!$A$2:$A$33, 0))</f>
        <v>0-0-0</v>
      </c>
      <c r="AQ773" s="2">
        <f>IF(Table2[[#This Row],[GameHasShutOut]], 1, 0)</f>
        <v>0</v>
      </c>
      <c r="AR773" s="2">
        <f>IF(Table2[[#This Row],[ActualAwayScore]] + Table2[[#This Row],[ActualHomeScore]] &gt;= 10, 1, 0)</f>
        <v>0</v>
      </c>
      <c r="AS773" s="2">
        <f>IF(ABS(Table2[[#This Row],[ActualAwayScore]]-Table2[[#This Row],[ActualHomeScore]])&gt;=5, 1, 0)</f>
        <v>0</v>
      </c>
      <c r="AT773" s="2">
        <f>IF(Table2[[#This Row],[ActualAwayScore]] + Table2[[#This Row],[ActualHomeScore]] &lt;= 3, 1, 0)</f>
        <v>1</v>
      </c>
      <c r="AU773" s="2"/>
      <c r="AV773" s="2"/>
    </row>
    <row r="774" spans="1:48" x14ac:dyDescent="0.25">
      <c r="A774" s="3"/>
      <c r="B774" s="3">
        <v>46041</v>
      </c>
      <c r="C774" s="5">
        <v>2025020772</v>
      </c>
      <c r="D774" s="2" t="s">
        <v>20</v>
      </c>
      <c r="E774" s="2" t="s">
        <v>11</v>
      </c>
      <c r="F774" s="2"/>
      <c r="G774" s="2"/>
      <c r="H774" s="2" t="str">
        <f t="shared" si="64"/>
        <v>_</v>
      </c>
      <c r="I774" s="2"/>
      <c r="J774" s="2"/>
      <c r="K774" s="2"/>
      <c r="L774" s="2" t="str">
        <f t="shared" si="65"/>
        <v>_</v>
      </c>
      <c r="M774" s="2"/>
      <c r="N774" s="2">
        <f>IF(ISBLANK(Table2[[#This Row],[ActualResult]]), 0, 1)</f>
        <v>0</v>
      </c>
      <c r="O774" s="2" t="str">
        <f>IF(ISBLANK(Table2[[#This Row],[ActualResult]]), "_", IF(Table2[[#This Row],[ActualWinner]]=Table2[[#This Row],[PredictedWinner]], "Y", "N"))</f>
        <v>_</v>
      </c>
      <c r="P7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4" s="2"/>
      <c r="S774" s="2" t="str">
        <f t="shared" si="66"/>
        <v>_</v>
      </c>
      <c r="T7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4" s="2">
        <f>IF(Table2[[#This Row],[InterConf]]=1,IF(Table2[[#This Row],[InterDiv]]=0, 1, 0), 0)</f>
        <v>0</v>
      </c>
      <c r="W7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4" s="2"/>
      <c r="Y774" s="2"/>
      <c r="Z774" s="145">
        <f>IF(AND(Table2[[#This Row],[GameIsOver]]=1,Table2[[#This Row],[ActualHomeScore]]*Table2[[#This Row],[ActualAwayScore]]=0), 1,0)</f>
        <v>0</v>
      </c>
      <c r="AA7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4" s="2">
        <f>Table2[[#This Row],[ActualAwayScore]]-Table2[[#This Row],[PredictedAwayScore]]</f>
        <v>0</v>
      </c>
      <c r="AG774" s="2">
        <f>Table2[[#This Row],[ActualHomeScore]]-Table2[[#This Row],[PredictedHomeScore]]</f>
        <v>0</v>
      </c>
      <c r="AH774" s="2">
        <f t="shared" si="67"/>
        <v>0</v>
      </c>
      <c r="AI774" s="2">
        <f t="shared" si="68"/>
        <v>0</v>
      </c>
      <c r="AJ774" s="2"/>
      <c r="AK774" s="3"/>
      <c r="AL774" s="2">
        <f>IF(Table2[[#This Row],[GameIsOver]]=0,0,IF(Table2[[#This Row],[ActualWinner]]=Table2[[#This Row],[AwayTeam]], 1, 0))</f>
        <v>0</v>
      </c>
      <c r="AM774" s="2">
        <f>IF(Table2[[#This Row],[GameIsOver]]=0,0,IF(Table2[[#This Row],[ActualWinner]]=Table2[[#This Row],[HomeTeam]], 1, 0))</f>
        <v>0</v>
      </c>
      <c r="AN7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4" s="2" t="str">
        <f>INDEX(Sheet5!$B$2:$AG$33, MATCH(Table2[[#This Row],[AwayTeam]],Sheet5!$A$2:$A$33, 0), MATCH(Table2[[#This Row],[HomeTeam]],Sheet5!$A$2:$A$33, 0))</f>
        <v>0-0-0</v>
      </c>
      <c r="AP774" s="2" t="str">
        <f>INDEX(Sheet5!$B$2:$AG$33, MATCH(Table2[[#This Row],[HomeTeam]],Sheet5!$A$2:$A$33, 0), MATCH(Table2[[#This Row],[AwayTeam]],Sheet5!$A$2:$A$33, 0))</f>
        <v>0-0-0</v>
      </c>
      <c r="AQ774" s="2">
        <f>IF(Table2[[#This Row],[GameHasShutOut]], 1, 0)</f>
        <v>0</v>
      </c>
      <c r="AR774" s="2">
        <f>IF(Table2[[#This Row],[ActualAwayScore]] + Table2[[#This Row],[ActualHomeScore]] &gt;= 10, 1, 0)</f>
        <v>0</v>
      </c>
      <c r="AS774" s="2">
        <f>IF(ABS(Table2[[#This Row],[ActualAwayScore]]-Table2[[#This Row],[ActualHomeScore]])&gt;=5, 1, 0)</f>
        <v>0</v>
      </c>
      <c r="AT774" s="2">
        <f>IF(Table2[[#This Row],[ActualAwayScore]] + Table2[[#This Row],[ActualHomeScore]] &lt;= 3, 1, 0)</f>
        <v>1</v>
      </c>
      <c r="AU774" s="2"/>
      <c r="AV774" s="2"/>
    </row>
    <row r="775" spans="1:48" x14ac:dyDescent="0.25">
      <c r="A775" s="3"/>
      <c r="B775" s="3">
        <v>46042</v>
      </c>
      <c r="C775" s="5">
        <v>2025020773</v>
      </c>
      <c r="D775" s="2" t="s">
        <v>37</v>
      </c>
      <c r="E775" s="2" t="s">
        <v>13</v>
      </c>
      <c r="F775" s="2"/>
      <c r="G775" s="2"/>
      <c r="H775" s="2" t="str">
        <f t="shared" si="64"/>
        <v>_</v>
      </c>
      <c r="I775" s="2"/>
      <c r="J775" s="2"/>
      <c r="K775" s="2"/>
      <c r="L775" s="2" t="str">
        <f t="shared" si="65"/>
        <v>_</v>
      </c>
      <c r="M775" s="2"/>
      <c r="N775" s="2">
        <f>IF(ISBLANK(Table2[[#This Row],[ActualResult]]), 0, 1)</f>
        <v>0</v>
      </c>
      <c r="O775" s="2" t="str">
        <f>IF(ISBLANK(Table2[[#This Row],[ActualResult]]), "_", IF(Table2[[#This Row],[ActualWinner]]=Table2[[#This Row],[PredictedWinner]], "Y", "N"))</f>
        <v>_</v>
      </c>
      <c r="P7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5" s="2"/>
      <c r="S775" s="2" t="str">
        <f t="shared" si="66"/>
        <v>_</v>
      </c>
      <c r="T7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5" s="2">
        <f>IF(Table2[[#This Row],[InterConf]]=1,IF(Table2[[#This Row],[InterDiv]]=0, 1, 0), 0)</f>
        <v>0</v>
      </c>
      <c r="W7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5" s="2"/>
      <c r="Y775" s="2"/>
      <c r="Z775" s="145">
        <f>IF(AND(Table2[[#This Row],[GameIsOver]]=1,Table2[[#This Row],[ActualHomeScore]]*Table2[[#This Row],[ActualAwayScore]]=0), 1,0)</f>
        <v>0</v>
      </c>
      <c r="AA7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5" s="2">
        <f>Table2[[#This Row],[ActualAwayScore]]-Table2[[#This Row],[PredictedAwayScore]]</f>
        <v>0</v>
      </c>
      <c r="AG775" s="2">
        <f>Table2[[#This Row],[ActualHomeScore]]-Table2[[#This Row],[PredictedHomeScore]]</f>
        <v>0</v>
      </c>
      <c r="AH775" s="2">
        <f t="shared" si="67"/>
        <v>0</v>
      </c>
      <c r="AI775" s="2">
        <f t="shared" si="68"/>
        <v>0</v>
      </c>
      <c r="AJ775" s="2"/>
      <c r="AK775" s="3"/>
      <c r="AL775" s="2">
        <f>IF(Table2[[#This Row],[GameIsOver]]=0,0,IF(Table2[[#This Row],[ActualWinner]]=Table2[[#This Row],[AwayTeam]], 1, 0))</f>
        <v>0</v>
      </c>
      <c r="AM775" s="2">
        <f>IF(Table2[[#This Row],[GameIsOver]]=0,0,IF(Table2[[#This Row],[ActualWinner]]=Table2[[#This Row],[HomeTeam]], 1, 0))</f>
        <v>0</v>
      </c>
      <c r="AN7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5" s="2" t="str">
        <f>INDEX(Sheet5!$B$2:$AG$33, MATCH(Table2[[#This Row],[AwayTeam]],Sheet5!$A$2:$A$33, 0), MATCH(Table2[[#This Row],[HomeTeam]],Sheet5!$A$2:$A$33, 0))</f>
        <v>0-0-0</v>
      </c>
      <c r="AP775" s="2" t="str">
        <f>INDEX(Sheet5!$B$2:$AG$33, MATCH(Table2[[#This Row],[HomeTeam]],Sheet5!$A$2:$A$33, 0), MATCH(Table2[[#This Row],[AwayTeam]],Sheet5!$A$2:$A$33, 0))</f>
        <v>0-0-0</v>
      </c>
      <c r="AQ775" s="2">
        <f>IF(Table2[[#This Row],[GameHasShutOut]], 1, 0)</f>
        <v>0</v>
      </c>
      <c r="AR775" s="2">
        <f>IF(Table2[[#This Row],[ActualAwayScore]] + Table2[[#This Row],[ActualHomeScore]] &gt;= 10, 1, 0)</f>
        <v>0</v>
      </c>
      <c r="AS775" s="2">
        <f>IF(ABS(Table2[[#This Row],[ActualAwayScore]]-Table2[[#This Row],[ActualHomeScore]])&gt;=5, 1, 0)</f>
        <v>0</v>
      </c>
      <c r="AT775" s="2">
        <f>IF(Table2[[#This Row],[ActualAwayScore]] + Table2[[#This Row],[ActualHomeScore]] &lt;= 3, 1, 0)</f>
        <v>1</v>
      </c>
      <c r="AU775" s="2"/>
      <c r="AV775" s="2"/>
    </row>
    <row r="776" spans="1:48" x14ac:dyDescent="0.25">
      <c r="A776" s="3"/>
      <c r="B776" s="3">
        <v>46042</v>
      </c>
      <c r="C776" s="5">
        <v>2025020774</v>
      </c>
      <c r="D776" s="2" t="s">
        <v>36</v>
      </c>
      <c r="E776" s="2" t="s">
        <v>17</v>
      </c>
      <c r="F776" s="2"/>
      <c r="G776" s="2"/>
      <c r="H776" s="2" t="str">
        <f t="shared" si="64"/>
        <v>_</v>
      </c>
      <c r="I776" s="2"/>
      <c r="J776" s="2"/>
      <c r="K776" s="2"/>
      <c r="L776" s="2" t="str">
        <f t="shared" si="65"/>
        <v>_</v>
      </c>
      <c r="M776" s="2"/>
      <c r="N776" s="2">
        <f>IF(ISBLANK(Table2[[#This Row],[ActualResult]]), 0, 1)</f>
        <v>0</v>
      </c>
      <c r="O776" s="2" t="str">
        <f>IF(ISBLANK(Table2[[#This Row],[ActualResult]]), "_", IF(Table2[[#This Row],[ActualWinner]]=Table2[[#This Row],[PredictedWinner]], "Y", "N"))</f>
        <v>_</v>
      </c>
      <c r="P7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6" s="2"/>
      <c r="S776" s="2" t="str">
        <f t="shared" si="66"/>
        <v>_</v>
      </c>
      <c r="T7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6" s="2">
        <f>IF(Table2[[#This Row],[InterConf]]=1,IF(Table2[[#This Row],[InterDiv]]=0, 1, 0), 0)</f>
        <v>0</v>
      </c>
      <c r="W7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6" s="2"/>
      <c r="Y776" s="2"/>
      <c r="Z776" s="145">
        <f>IF(AND(Table2[[#This Row],[GameIsOver]]=1,Table2[[#This Row],[ActualHomeScore]]*Table2[[#This Row],[ActualAwayScore]]=0), 1,0)</f>
        <v>0</v>
      </c>
      <c r="AA7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6" s="2">
        <f>Table2[[#This Row],[ActualAwayScore]]-Table2[[#This Row],[PredictedAwayScore]]</f>
        <v>0</v>
      </c>
      <c r="AG776" s="2">
        <f>Table2[[#This Row],[ActualHomeScore]]-Table2[[#This Row],[PredictedHomeScore]]</f>
        <v>0</v>
      </c>
      <c r="AH776" s="2">
        <f t="shared" si="67"/>
        <v>0</v>
      </c>
      <c r="AI776" s="2">
        <f t="shared" si="68"/>
        <v>0</v>
      </c>
      <c r="AJ776" s="2"/>
      <c r="AK776" s="3"/>
      <c r="AL776" s="2">
        <f>IF(Table2[[#This Row],[GameIsOver]]=0,0,IF(Table2[[#This Row],[ActualWinner]]=Table2[[#This Row],[AwayTeam]], 1, 0))</f>
        <v>0</v>
      </c>
      <c r="AM776" s="2">
        <f>IF(Table2[[#This Row],[GameIsOver]]=0,0,IF(Table2[[#This Row],[ActualWinner]]=Table2[[#This Row],[HomeTeam]], 1, 0))</f>
        <v>0</v>
      </c>
      <c r="AN7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6" s="2" t="str">
        <f>INDEX(Sheet5!$B$2:$AG$33, MATCH(Table2[[#This Row],[AwayTeam]],Sheet5!$A$2:$A$33, 0), MATCH(Table2[[#This Row],[HomeTeam]],Sheet5!$A$2:$A$33, 0))</f>
        <v>0-0-0</v>
      </c>
      <c r="AP776" s="2" t="str">
        <f>INDEX(Sheet5!$B$2:$AG$33, MATCH(Table2[[#This Row],[HomeTeam]],Sheet5!$A$2:$A$33, 0), MATCH(Table2[[#This Row],[AwayTeam]],Sheet5!$A$2:$A$33, 0))</f>
        <v>0-0-0</v>
      </c>
      <c r="AQ776" s="2">
        <f>IF(Table2[[#This Row],[GameHasShutOut]], 1, 0)</f>
        <v>0</v>
      </c>
      <c r="AR776" s="2">
        <f>IF(Table2[[#This Row],[ActualAwayScore]] + Table2[[#This Row],[ActualHomeScore]] &gt;= 10, 1, 0)</f>
        <v>0</v>
      </c>
      <c r="AS776" s="2">
        <f>IF(ABS(Table2[[#This Row],[ActualAwayScore]]-Table2[[#This Row],[ActualHomeScore]])&gt;=5, 1, 0)</f>
        <v>0</v>
      </c>
      <c r="AT776" s="2">
        <f>IF(Table2[[#This Row],[ActualAwayScore]] + Table2[[#This Row],[ActualHomeScore]] &lt;= 3, 1, 0)</f>
        <v>1</v>
      </c>
      <c r="AU776" s="2"/>
      <c r="AV776" s="2"/>
    </row>
    <row r="777" spans="1:48" x14ac:dyDescent="0.25">
      <c r="A777" s="3"/>
      <c r="B777" s="3">
        <v>46042</v>
      </c>
      <c r="C777" s="5">
        <v>2025020775</v>
      </c>
      <c r="D777" s="2" t="s">
        <v>42</v>
      </c>
      <c r="E777" s="2" t="s">
        <v>26</v>
      </c>
      <c r="F777" s="2"/>
      <c r="G777" s="2"/>
      <c r="H777" s="2" t="str">
        <f t="shared" si="64"/>
        <v>_</v>
      </c>
      <c r="I777" s="2"/>
      <c r="J777" s="2"/>
      <c r="K777" s="2"/>
      <c r="L777" s="2" t="str">
        <f t="shared" si="65"/>
        <v>_</v>
      </c>
      <c r="M777" s="2"/>
      <c r="N777" s="2">
        <f>IF(ISBLANK(Table2[[#This Row],[ActualResult]]), 0, 1)</f>
        <v>0</v>
      </c>
      <c r="O777" s="2" t="str">
        <f>IF(ISBLANK(Table2[[#This Row],[ActualResult]]), "_", IF(Table2[[#This Row],[ActualWinner]]=Table2[[#This Row],[PredictedWinner]], "Y", "N"))</f>
        <v>_</v>
      </c>
      <c r="P7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7" s="2"/>
      <c r="S777" s="2" t="str">
        <f t="shared" si="66"/>
        <v>_</v>
      </c>
      <c r="T7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7" s="2">
        <f>IF(Table2[[#This Row],[InterConf]]=1,IF(Table2[[#This Row],[InterDiv]]=0, 1, 0), 0)</f>
        <v>0</v>
      </c>
      <c r="W7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7" s="2"/>
      <c r="Y777" s="2"/>
      <c r="Z777" s="145">
        <f>IF(AND(Table2[[#This Row],[GameIsOver]]=1,Table2[[#This Row],[ActualHomeScore]]*Table2[[#This Row],[ActualAwayScore]]=0), 1,0)</f>
        <v>0</v>
      </c>
      <c r="AA7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7" s="2">
        <f>Table2[[#This Row],[ActualAwayScore]]-Table2[[#This Row],[PredictedAwayScore]]</f>
        <v>0</v>
      </c>
      <c r="AG777" s="2">
        <f>Table2[[#This Row],[ActualHomeScore]]-Table2[[#This Row],[PredictedHomeScore]]</f>
        <v>0</v>
      </c>
      <c r="AH777" s="2">
        <f t="shared" si="67"/>
        <v>0</v>
      </c>
      <c r="AI777" s="2">
        <f t="shared" si="68"/>
        <v>0</v>
      </c>
      <c r="AJ777" s="2"/>
      <c r="AK777" s="3"/>
      <c r="AL777" s="2">
        <f>IF(Table2[[#This Row],[GameIsOver]]=0,0,IF(Table2[[#This Row],[ActualWinner]]=Table2[[#This Row],[AwayTeam]], 1, 0))</f>
        <v>0</v>
      </c>
      <c r="AM777" s="2">
        <f>IF(Table2[[#This Row],[GameIsOver]]=0,0,IF(Table2[[#This Row],[ActualWinner]]=Table2[[#This Row],[HomeTeam]], 1, 0))</f>
        <v>0</v>
      </c>
      <c r="AN7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7" s="2" t="str">
        <f>INDEX(Sheet5!$B$2:$AG$33, MATCH(Table2[[#This Row],[AwayTeam]],Sheet5!$A$2:$A$33, 0), MATCH(Table2[[#This Row],[HomeTeam]],Sheet5!$A$2:$A$33, 0))</f>
        <v>0-0-0</v>
      </c>
      <c r="AP777" s="2" t="str">
        <f>INDEX(Sheet5!$B$2:$AG$33, MATCH(Table2[[#This Row],[HomeTeam]],Sheet5!$A$2:$A$33, 0), MATCH(Table2[[#This Row],[AwayTeam]],Sheet5!$A$2:$A$33, 0))</f>
        <v>0-0-0</v>
      </c>
      <c r="AQ777" s="2">
        <f>IF(Table2[[#This Row],[GameHasShutOut]], 1, 0)</f>
        <v>0</v>
      </c>
      <c r="AR777" s="2">
        <f>IF(Table2[[#This Row],[ActualAwayScore]] + Table2[[#This Row],[ActualHomeScore]] &gt;= 10, 1, 0)</f>
        <v>0</v>
      </c>
      <c r="AS777" s="2">
        <f>IF(ABS(Table2[[#This Row],[ActualAwayScore]]-Table2[[#This Row],[ActualHomeScore]])&gt;=5, 1, 0)</f>
        <v>0</v>
      </c>
      <c r="AT777" s="2">
        <f>IF(Table2[[#This Row],[ActualAwayScore]] + Table2[[#This Row],[ActualHomeScore]] &lt;= 3, 1, 0)</f>
        <v>1</v>
      </c>
      <c r="AU777" s="2"/>
      <c r="AV777" s="2"/>
    </row>
    <row r="778" spans="1:48" x14ac:dyDescent="0.25">
      <c r="A778" s="3"/>
      <c r="B778" s="3">
        <v>46042</v>
      </c>
      <c r="C778" s="5">
        <v>2025020776</v>
      </c>
      <c r="D778" s="2" t="s">
        <v>21</v>
      </c>
      <c r="E778" s="2" t="s">
        <v>16</v>
      </c>
      <c r="F778" s="2"/>
      <c r="G778" s="2"/>
      <c r="H778" s="2" t="str">
        <f t="shared" si="64"/>
        <v>_</v>
      </c>
      <c r="I778" s="2"/>
      <c r="J778" s="2"/>
      <c r="K778" s="2"/>
      <c r="L778" s="2" t="str">
        <f t="shared" si="65"/>
        <v>_</v>
      </c>
      <c r="M778" s="2"/>
      <c r="N778" s="2">
        <f>IF(ISBLANK(Table2[[#This Row],[ActualResult]]), 0, 1)</f>
        <v>0</v>
      </c>
      <c r="O778" s="2" t="str">
        <f>IF(ISBLANK(Table2[[#This Row],[ActualResult]]), "_", IF(Table2[[#This Row],[ActualWinner]]=Table2[[#This Row],[PredictedWinner]], "Y", "N"))</f>
        <v>_</v>
      </c>
      <c r="P7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8" s="2"/>
      <c r="S778" s="2" t="str">
        <f t="shared" si="66"/>
        <v>_</v>
      </c>
      <c r="T7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78" s="2">
        <f>IF(Table2[[#This Row],[InterConf]]=1,IF(Table2[[#This Row],[InterDiv]]=0, 1, 0), 0)</f>
        <v>0</v>
      </c>
      <c r="W7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8" s="2"/>
      <c r="Y778" s="2"/>
      <c r="Z778" s="145">
        <f>IF(AND(Table2[[#This Row],[GameIsOver]]=1,Table2[[#This Row],[ActualHomeScore]]*Table2[[#This Row],[ActualAwayScore]]=0), 1,0)</f>
        <v>0</v>
      </c>
      <c r="AA7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8" s="2">
        <f>Table2[[#This Row],[ActualAwayScore]]-Table2[[#This Row],[PredictedAwayScore]]</f>
        <v>0</v>
      </c>
      <c r="AG778" s="2">
        <f>Table2[[#This Row],[ActualHomeScore]]-Table2[[#This Row],[PredictedHomeScore]]</f>
        <v>0</v>
      </c>
      <c r="AH778" s="2">
        <f t="shared" si="67"/>
        <v>0</v>
      </c>
      <c r="AI778" s="2">
        <f t="shared" si="68"/>
        <v>0</v>
      </c>
      <c r="AJ778" s="2"/>
      <c r="AK778" s="3"/>
      <c r="AL778" s="2">
        <f>IF(Table2[[#This Row],[GameIsOver]]=0,0,IF(Table2[[#This Row],[ActualWinner]]=Table2[[#This Row],[AwayTeam]], 1, 0))</f>
        <v>0</v>
      </c>
      <c r="AM778" s="2">
        <f>IF(Table2[[#This Row],[GameIsOver]]=0,0,IF(Table2[[#This Row],[ActualWinner]]=Table2[[#This Row],[HomeTeam]], 1, 0))</f>
        <v>0</v>
      </c>
      <c r="AN7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8" s="2" t="str">
        <f>INDEX(Sheet5!$B$2:$AG$33, MATCH(Table2[[#This Row],[AwayTeam]],Sheet5!$A$2:$A$33, 0), MATCH(Table2[[#This Row],[HomeTeam]],Sheet5!$A$2:$A$33, 0))</f>
        <v>0-0-0</v>
      </c>
      <c r="AP778" s="2" t="str">
        <f>INDEX(Sheet5!$B$2:$AG$33, MATCH(Table2[[#This Row],[HomeTeam]],Sheet5!$A$2:$A$33, 0), MATCH(Table2[[#This Row],[AwayTeam]],Sheet5!$A$2:$A$33, 0))</f>
        <v>0-0-0</v>
      </c>
      <c r="AQ778" s="2">
        <f>IF(Table2[[#This Row],[GameHasShutOut]], 1, 0)</f>
        <v>0</v>
      </c>
      <c r="AR778" s="2">
        <f>IF(Table2[[#This Row],[ActualAwayScore]] + Table2[[#This Row],[ActualHomeScore]] &gt;= 10, 1, 0)</f>
        <v>0</v>
      </c>
      <c r="AS778" s="2">
        <f>IF(ABS(Table2[[#This Row],[ActualAwayScore]]-Table2[[#This Row],[ActualHomeScore]])&gt;=5, 1, 0)</f>
        <v>0</v>
      </c>
      <c r="AT778" s="2">
        <f>IF(Table2[[#This Row],[ActualAwayScore]] + Table2[[#This Row],[ActualHomeScore]] &lt;= 3, 1, 0)</f>
        <v>1</v>
      </c>
      <c r="AU778" s="2"/>
      <c r="AV778" s="2"/>
    </row>
    <row r="779" spans="1:48" x14ac:dyDescent="0.25">
      <c r="A779" s="3"/>
      <c r="B779" s="3">
        <v>46042</v>
      </c>
      <c r="C779" s="5">
        <v>2025020777</v>
      </c>
      <c r="D779" s="2" t="s">
        <v>31</v>
      </c>
      <c r="E779" s="2" t="s">
        <v>23</v>
      </c>
      <c r="F779" s="2"/>
      <c r="G779" s="2"/>
      <c r="H779" s="2" t="str">
        <f t="shared" si="64"/>
        <v>_</v>
      </c>
      <c r="I779" s="2"/>
      <c r="J779" s="2"/>
      <c r="K779" s="2"/>
      <c r="L779" s="2" t="str">
        <f t="shared" si="65"/>
        <v>_</v>
      </c>
      <c r="M779" s="2"/>
      <c r="N779" s="2">
        <f>IF(ISBLANK(Table2[[#This Row],[ActualResult]]), 0, 1)</f>
        <v>0</v>
      </c>
      <c r="O779" s="2" t="str">
        <f>IF(ISBLANK(Table2[[#This Row],[ActualResult]]), "_", IF(Table2[[#This Row],[ActualWinner]]=Table2[[#This Row],[PredictedWinner]], "Y", "N"))</f>
        <v>_</v>
      </c>
      <c r="P7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9" s="2"/>
      <c r="S779" s="2" t="str">
        <f t="shared" si="66"/>
        <v>_</v>
      </c>
      <c r="T7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9" s="2">
        <f>IF(Table2[[#This Row],[InterConf]]=1,IF(Table2[[#This Row],[InterDiv]]=0, 1, 0), 0)</f>
        <v>0</v>
      </c>
      <c r="W7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9" s="2"/>
      <c r="Y779" s="2"/>
      <c r="Z779" s="145">
        <f>IF(AND(Table2[[#This Row],[GameIsOver]]=1,Table2[[#This Row],[ActualHomeScore]]*Table2[[#This Row],[ActualAwayScore]]=0), 1,0)</f>
        <v>0</v>
      </c>
      <c r="AA7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9" s="2">
        <f>Table2[[#This Row],[ActualAwayScore]]-Table2[[#This Row],[PredictedAwayScore]]</f>
        <v>0</v>
      </c>
      <c r="AG779" s="2">
        <f>Table2[[#This Row],[ActualHomeScore]]-Table2[[#This Row],[PredictedHomeScore]]</f>
        <v>0</v>
      </c>
      <c r="AH779" s="2">
        <f t="shared" si="67"/>
        <v>0</v>
      </c>
      <c r="AI779" s="2">
        <f t="shared" si="68"/>
        <v>0</v>
      </c>
      <c r="AJ779" s="2"/>
      <c r="AK779" s="3"/>
      <c r="AL779" s="2">
        <f>IF(Table2[[#This Row],[GameIsOver]]=0,0,IF(Table2[[#This Row],[ActualWinner]]=Table2[[#This Row],[AwayTeam]], 1, 0))</f>
        <v>0</v>
      </c>
      <c r="AM779" s="2">
        <f>IF(Table2[[#This Row],[GameIsOver]]=0,0,IF(Table2[[#This Row],[ActualWinner]]=Table2[[#This Row],[HomeTeam]], 1, 0))</f>
        <v>0</v>
      </c>
      <c r="AN7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9" s="2" t="str">
        <f>INDEX(Sheet5!$B$2:$AG$33, MATCH(Table2[[#This Row],[AwayTeam]],Sheet5!$A$2:$A$33, 0), MATCH(Table2[[#This Row],[HomeTeam]],Sheet5!$A$2:$A$33, 0))</f>
        <v>0-0-0</v>
      </c>
      <c r="AP779" s="2" t="str">
        <f>INDEX(Sheet5!$B$2:$AG$33, MATCH(Table2[[#This Row],[HomeTeam]],Sheet5!$A$2:$A$33, 0), MATCH(Table2[[#This Row],[AwayTeam]],Sheet5!$A$2:$A$33, 0))</f>
        <v>0-0-0</v>
      </c>
      <c r="AQ779" s="2">
        <f>IF(Table2[[#This Row],[GameHasShutOut]], 1, 0)</f>
        <v>0</v>
      </c>
      <c r="AR779" s="2">
        <f>IF(Table2[[#This Row],[ActualAwayScore]] + Table2[[#This Row],[ActualHomeScore]] &gt;= 10, 1, 0)</f>
        <v>0</v>
      </c>
      <c r="AS779" s="2">
        <f>IF(ABS(Table2[[#This Row],[ActualAwayScore]]-Table2[[#This Row],[ActualHomeScore]])&gt;=5, 1, 0)</f>
        <v>0</v>
      </c>
      <c r="AT779" s="2">
        <f>IF(Table2[[#This Row],[ActualAwayScore]] + Table2[[#This Row],[ActualHomeScore]] &lt;= 3, 1, 0)</f>
        <v>1</v>
      </c>
      <c r="AU779" s="2"/>
      <c r="AV779" s="2"/>
    </row>
    <row r="780" spans="1:48" x14ac:dyDescent="0.25">
      <c r="A780" s="3"/>
      <c r="B780" s="3">
        <v>46042</v>
      </c>
      <c r="C780" s="5">
        <v>2025020778</v>
      </c>
      <c r="D780" s="2" t="s">
        <v>32</v>
      </c>
      <c r="E780" s="2" t="s">
        <v>24</v>
      </c>
      <c r="F780" s="2"/>
      <c r="G780" s="2"/>
      <c r="H780" s="2" t="str">
        <f t="shared" si="64"/>
        <v>_</v>
      </c>
      <c r="I780" s="2"/>
      <c r="J780" s="2"/>
      <c r="K780" s="2"/>
      <c r="L780" s="2" t="str">
        <f t="shared" si="65"/>
        <v>_</v>
      </c>
      <c r="M780" s="2"/>
      <c r="N780" s="2">
        <f>IF(ISBLANK(Table2[[#This Row],[ActualResult]]), 0, 1)</f>
        <v>0</v>
      </c>
      <c r="O780" s="2" t="str">
        <f>IF(ISBLANK(Table2[[#This Row],[ActualResult]]), "_", IF(Table2[[#This Row],[ActualWinner]]=Table2[[#This Row],[PredictedWinner]], "Y", "N"))</f>
        <v>_</v>
      </c>
      <c r="P7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0" s="2"/>
      <c r="S780" s="2" t="str">
        <f t="shared" si="66"/>
        <v>_</v>
      </c>
      <c r="T7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0" s="2">
        <f>IF(Table2[[#This Row],[InterConf]]=1,IF(Table2[[#This Row],[InterDiv]]=0, 1, 0), 0)</f>
        <v>0</v>
      </c>
      <c r="W7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0" s="2"/>
      <c r="Y780" s="2"/>
      <c r="Z780" s="145">
        <f>IF(AND(Table2[[#This Row],[GameIsOver]]=1,Table2[[#This Row],[ActualHomeScore]]*Table2[[#This Row],[ActualAwayScore]]=0), 1,0)</f>
        <v>0</v>
      </c>
      <c r="AA7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80" s="2">
        <f>Table2[[#This Row],[ActualAwayScore]]-Table2[[#This Row],[PredictedAwayScore]]</f>
        <v>0</v>
      </c>
      <c r="AG780" s="2">
        <f>Table2[[#This Row],[ActualHomeScore]]-Table2[[#This Row],[PredictedHomeScore]]</f>
        <v>0</v>
      </c>
      <c r="AH780" s="2">
        <f t="shared" si="67"/>
        <v>0</v>
      </c>
      <c r="AI780" s="2">
        <f t="shared" si="68"/>
        <v>0</v>
      </c>
      <c r="AJ780" s="2"/>
      <c r="AK780" s="3"/>
      <c r="AL780" s="2">
        <f>IF(Table2[[#This Row],[GameIsOver]]=0,0,IF(Table2[[#This Row],[ActualWinner]]=Table2[[#This Row],[AwayTeam]], 1, 0))</f>
        <v>0</v>
      </c>
      <c r="AM780" s="2">
        <f>IF(Table2[[#This Row],[GameIsOver]]=0,0,IF(Table2[[#This Row],[ActualWinner]]=Table2[[#This Row],[HomeTeam]], 1, 0))</f>
        <v>0</v>
      </c>
      <c r="AN7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0" s="2" t="str">
        <f>INDEX(Sheet5!$B$2:$AG$33, MATCH(Table2[[#This Row],[AwayTeam]],Sheet5!$A$2:$A$33, 0), MATCH(Table2[[#This Row],[HomeTeam]],Sheet5!$A$2:$A$33, 0))</f>
        <v>0-0-0</v>
      </c>
      <c r="AP780" s="2" t="str">
        <f>INDEX(Sheet5!$B$2:$AG$33, MATCH(Table2[[#This Row],[HomeTeam]],Sheet5!$A$2:$A$33, 0), MATCH(Table2[[#This Row],[AwayTeam]],Sheet5!$A$2:$A$33, 0))</f>
        <v>0-0-0</v>
      </c>
      <c r="AQ780" s="2">
        <f>IF(Table2[[#This Row],[GameHasShutOut]], 1, 0)</f>
        <v>0</v>
      </c>
      <c r="AR780" s="2">
        <f>IF(Table2[[#This Row],[ActualAwayScore]] + Table2[[#This Row],[ActualHomeScore]] &gt;= 10, 1, 0)</f>
        <v>0</v>
      </c>
      <c r="AS780" s="2">
        <f>IF(ABS(Table2[[#This Row],[ActualAwayScore]]-Table2[[#This Row],[ActualHomeScore]])&gt;=5, 1, 0)</f>
        <v>0</v>
      </c>
      <c r="AT780" s="2">
        <f>IF(Table2[[#This Row],[ActualAwayScore]] + Table2[[#This Row],[ActualHomeScore]] &lt;= 3, 1, 0)</f>
        <v>1</v>
      </c>
      <c r="AU780" s="2"/>
      <c r="AV780" s="2"/>
    </row>
    <row r="781" spans="1:48" x14ac:dyDescent="0.25">
      <c r="A781" s="3"/>
      <c r="B781" s="3">
        <v>46042</v>
      </c>
      <c r="C781" s="5">
        <v>2025020779</v>
      </c>
      <c r="D781" s="2" t="s">
        <v>19</v>
      </c>
      <c r="E781" s="2" t="s">
        <v>44</v>
      </c>
      <c r="F781" s="2"/>
      <c r="G781" s="2"/>
      <c r="H781" s="2" t="str">
        <f t="shared" si="64"/>
        <v>_</v>
      </c>
      <c r="I781" s="2"/>
      <c r="J781" s="2"/>
      <c r="K781" s="2"/>
      <c r="L781" s="2" t="str">
        <f t="shared" si="65"/>
        <v>_</v>
      </c>
      <c r="M781" s="2"/>
      <c r="N781" s="2">
        <f>IF(ISBLANK(Table2[[#This Row],[ActualResult]]), 0, 1)</f>
        <v>0</v>
      </c>
      <c r="O781" s="2" t="str">
        <f>IF(ISBLANK(Table2[[#This Row],[ActualResult]]), "_", IF(Table2[[#This Row],[ActualWinner]]=Table2[[#This Row],[PredictedWinner]], "Y", "N"))</f>
        <v>_</v>
      </c>
      <c r="P7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1" s="2"/>
      <c r="S781" s="2" t="str">
        <f t="shared" si="66"/>
        <v>_</v>
      </c>
      <c r="T7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1" s="2">
        <f>IF(Table2[[#This Row],[InterConf]]=1,IF(Table2[[#This Row],[InterDiv]]=0, 1, 0), 0)</f>
        <v>0</v>
      </c>
      <c r="W7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1" s="2"/>
      <c r="Y781" s="2"/>
      <c r="Z781" s="145">
        <f>IF(AND(Table2[[#This Row],[GameIsOver]]=1,Table2[[#This Row],[ActualHomeScore]]*Table2[[#This Row],[ActualAwayScore]]=0), 1,0)</f>
        <v>0</v>
      </c>
      <c r="AA7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81" s="2">
        <f>Table2[[#This Row],[ActualAwayScore]]-Table2[[#This Row],[PredictedAwayScore]]</f>
        <v>0</v>
      </c>
      <c r="AG781" s="2">
        <f>Table2[[#This Row],[ActualHomeScore]]-Table2[[#This Row],[PredictedHomeScore]]</f>
        <v>0</v>
      </c>
      <c r="AH781" s="2">
        <f t="shared" si="67"/>
        <v>0</v>
      </c>
      <c r="AI781" s="2">
        <f t="shared" si="68"/>
        <v>0</v>
      </c>
      <c r="AJ781" s="2"/>
      <c r="AK781" s="3"/>
      <c r="AL781" s="2">
        <f>IF(Table2[[#This Row],[GameIsOver]]=0,0,IF(Table2[[#This Row],[ActualWinner]]=Table2[[#This Row],[AwayTeam]], 1, 0))</f>
        <v>0</v>
      </c>
      <c r="AM781" s="2">
        <f>IF(Table2[[#This Row],[GameIsOver]]=0,0,IF(Table2[[#This Row],[ActualWinner]]=Table2[[#This Row],[HomeTeam]], 1, 0))</f>
        <v>0</v>
      </c>
      <c r="AN7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1" s="2" t="str">
        <f>INDEX(Sheet5!$B$2:$AG$33, MATCH(Table2[[#This Row],[AwayTeam]],Sheet5!$A$2:$A$33, 0), MATCH(Table2[[#This Row],[HomeTeam]],Sheet5!$A$2:$A$33, 0))</f>
        <v>0-0-0</v>
      </c>
      <c r="AP781" s="2" t="str">
        <f>INDEX(Sheet5!$B$2:$AG$33, MATCH(Table2[[#This Row],[HomeTeam]],Sheet5!$A$2:$A$33, 0), MATCH(Table2[[#This Row],[AwayTeam]],Sheet5!$A$2:$A$33, 0))</f>
        <v>0-0-0</v>
      </c>
      <c r="AQ781" s="2">
        <f>IF(Table2[[#This Row],[GameHasShutOut]], 1, 0)</f>
        <v>0</v>
      </c>
      <c r="AR781" s="2">
        <f>IF(Table2[[#This Row],[ActualAwayScore]] + Table2[[#This Row],[ActualHomeScore]] &gt;= 10, 1, 0)</f>
        <v>0</v>
      </c>
      <c r="AS781" s="2">
        <f>IF(ABS(Table2[[#This Row],[ActualAwayScore]]-Table2[[#This Row],[ActualHomeScore]])&gt;=5, 1, 0)</f>
        <v>0</v>
      </c>
      <c r="AT781" s="2">
        <f>IF(Table2[[#This Row],[ActualAwayScore]] + Table2[[#This Row],[ActualHomeScore]] &lt;= 3, 1, 0)</f>
        <v>1</v>
      </c>
      <c r="AU781" s="2"/>
      <c r="AV781" s="2"/>
    </row>
    <row r="782" spans="1:48" x14ac:dyDescent="0.25">
      <c r="A782" s="3"/>
      <c r="B782" s="3">
        <v>46043</v>
      </c>
      <c r="C782" s="5">
        <v>2025020780</v>
      </c>
      <c r="D782" s="2" t="s">
        <v>36</v>
      </c>
      <c r="E782" s="2" t="s">
        <v>18</v>
      </c>
      <c r="F782" s="2"/>
      <c r="G782" s="2"/>
      <c r="H782" s="2" t="str">
        <f t="shared" si="64"/>
        <v>_</v>
      </c>
      <c r="I782" s="2"/>
      <c r="J782" s="2"/>
      <c r="K782" s="2"/>
      <c r="L782" s="2" t="str">
        <f t="shared" si="65"/>
        <v>_</v>
      </c>
      <c r="M782" s="2"/>
      <c r="N782" s="2">
        <f>IF(ISBLANK(Table2[[#This Row],[ActualResult]]), 0, 1)</f>
        <v>0</v>
      </c>
      <c r="O782" s="2" t="str">
        <f>IF(ISBLANK(Table2[[#This Row],[ActualResult]]), "_", IF(Table2[[#This Row],[ActualWinner]]=Table2[[#This Row],[PredictedWinner]], "Y", "N"))</f>
        <v>_</v>
      </c>
      <c r="P7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2" s="2"/>
      <c r="S782" s="2" t="str">
        <f t="shared" si="66"/>
        <v>_</v>
      </c>
      <c r="T7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2" s="2">
        <f>IF(Table2[[#This Row],[InterConf]]=1,IF(Table2[[#This Row],[InterDiv]]=0, 1, 0), 0)</f>
        <v>0</v>
      </c>
      <c r="W7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2" s="2"/>
      <c r="Y782" s="2"/>
      <c r="Z782" s="145">
        <f>IF(AND(Table2[[#This Row],[GameIsOver]]=1,Table2[[#This Row],[ActualHomeScore]]*Table2[[#This Row],[ActualAwayScore]]=0), 1,0)</f>
        <v>0</v>
      </c>
      <c r="AA7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2" s="2">
        <f>Table2[[#This Row],[ActualAwayScore]]-Table2[[#This Row],[PredictedAwayScore]]</f>
        <v>0</v>
      </c>
      <c r="AG782" s="2">
        <f>Table2[[#This Row],[ActualHomeScore]]-Table2[[#This Row],[PredictedHomeScore]]</f>
        <v>0</v>
      </c>
      <c r="AH782" s="2">
        <f t="shared" si="67"/>
        <v>0</v>
      </c>
      <c r="AI782" s="2">
        <f t="shared" si="68"/>
        <v>0</v>
      </c>
      <c r="AJ782" s="2"/>
      <c r="AK782" s="3"/>
      <c r="AL782" s="2">
        <f>IF(Table2[[#This Row],[GameIsOver]]=0,0,IF(Table2[[#This Row],[ActualWinner]]=Table2[[#This Row],[AwayTeam]], 1, 0))</f>
        <v>0</v>
      </c>
      <c r="AM782" s="2">
        <f>IF(Table2[[#This Row],[GameIsOver]]=0,0,IF(Table2[[#This Row],[ActualWinner]]=Table2[[#This Row],[HomeTeam]], 1, 0))</f>
        <v>0</v>
      </c>
      <c r="AN7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2" s="2" t="str">
        <f>INDEX(Sheet5!$B$2:$AG$33, MATCH(Table2[[#This Row],[AwayTeam]],Sheet5!$A$2:$A$33, 0), MATCH(Table2[[#This Row],[HomeTeam]],Sheet5!$A$2:$A$33, 0))</f>
        <v>0-0-0</v>
      </c>
      <c r="AP782" s="2" t="str">
        <f>INDEX(Sheet5!$B$2:$AG$33, MATCH(Table2[[#This Row],[HomeTeam]],Sheet5!$A$2:$A$33, 0), MATCH(Table2[[#This Row],[AwayTeam]],Sheet5!$A$2:$A$33, 0))</f>
        <v>0-0-0</v>
      </c>
      <c r="AQ782" s="2">
        <f>IF(Table2[[#This Row],[GameHasShutOut]], 1, 0)</f>
        <v>0</v>
      </c>
      <c r="AR782" s="2">
        <f>IF(Table2[[#This Row],[ActualAwayScore]] + Table2[[#This Row],[ActualHomeScore]] &gt;= 10, 1, 0)</f>
        <v>0</v>
      </c>
      <c r="AS782" s="2">
        <f>IF(ABS(Table2[[#This Row],[ActualAwayScore]]-Table2[[#This Row],[ActualHomeScore]])&gt;=5, 1, 0)</f>
        <v>0</v>
      </c>
      <c r="AT782" s="2">
        <f>IF(Table2[[#This Row],[ActualAwayScore]] + Table2[[#This Row],[ActualHomeScore]] &lt;= 3, 1, 0)</f>
        <v>1</v>
      </c>
      <c r="AU782" s="2"/>
      <c r="AV782" s="2"/>
    </row>
    <row r="783" spans="1:48" x14ac:dyDescent="0.25">
      <c r="A783" s="3"/>
      <c r="B783" s="3">
        <v>46043</v>
      </c>
      <c r="C783" s="5">
        <v>2025020781</v>
      </c>
      <c r="D783" s="2" t="s">
        <v>37</v>
      </c>
      <c r="E783" s="2" t="s">
        <v>40</v>
      </c>
      <c r="F783" s="2"/>
      <c r="G783" s="2"/>
      <c r="H783" s="2" t="str">
        <f t="shared" si="64"/>
        <v>_</v>
      </c>
      <c r="I783" s="2"/>
      <c r="J783" s="2"/>
      <c r="K783" s="2"/>
      <c r="L783" s="2" t="str">
        <f t="shared" si="65"/>
        <v>_</v>
      </c>
      <c r="M783" s="2"/>
      <c r="N783" s="2">
        <f>IF(ISBLANK(Table2[[#This Row],[ActualResult]]), 0, 1)</f>
        <v>0</v>
      </c>
      <c r="O783" s="2" t="str">
        <f>IF(ISBLANK(Table2[[#This Row],[ActualResult]]), "_", IF(Table2[[#This Row],[ActualWinner]]=Table2[[#This Row],[PredictedWinner]], "Y", "N"))</f>
        <v>_</v>
      </c>
      <c r="P7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3" s="2"/>
      <c r="S783" s="2" t="str">
        <f t="shared" si="66"/>
        <v>_</v>
      </c>
      <c r="T7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3" s="2">
        <f>IF(Table2[[#This Row],[InterConf]]=1,IF(Table2[[#This Row],[InterDiv]]=0, 1, 0), 0)</f>
        <v>0</v>
      </c>
      <c r="W7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3" s="2"/>
      <c r="Y783" s="2"/>
      <c r="Z783" s="145">
        <f>IF(AND(Table2[[#This Row],[GameIsOver]]=1,Table2[[#This Row],[ActualHomeScore]]*Table2[[#This Row],[ActualAwayScore]]=0), 1,0)</f>
        <v>0</v>
      </c>
      <c r="AA7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3" s="2">
        <f>Table2[[#This Row],[ActualAwayScore]]-Table2[[#This Row],[PredictedAwayScore]]</f>
        <v>0</v>
      </c>
      <c r="AG783" s="2">
        <f>Table2[[#This Row],[ActualHomeScore]]-Table2[[#This Row],[PredictedHomeScore]]</f>
        <v>0</v>
      </c>
      <c r="AH783" s="2">
        <f t="shared" si="67"/>
        <v>0</v>
      </c>
      <c r="AI783" s="2">
        <f t="shared" si="68"/>
        <v>0</v>
      </c>
      <c r="AJ783" s="2"/>
      <c r="AK783" s="3"/>
      <c r="AL783" s="2">
        <f>IF(Table2[[#This Row],[GameIsOver]]=0,0,IF(Table2[[#This Row],[ActualWinner]]=Table2[[#This Row],[AwayTeam]], 1, 0))</f>
        <v>0</v>
      </c>
      <c r="AM783" s="2">
        <f>IF(Table2[[#This Row],[GameIsOver]]=0,0,IF(Table2[[#This Row],[ActualWinner]]=Table2[[#This Row],[HomeTeam]], 1, 0))</f>
        <v>0</v>
      </c>
      <c r="AN7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3" s="2" t="str">
        <f>INDEX(Sheet5!$B$2:$AG$33, MATCH(Table2[[#This Row],[AwayTeam]],Sheet5!$A$2:$A$33, 0), MATCH(Table2[[#This Row],[HomeTeam]],Sheet5!$A$2:$A$33, 0))</f>
        <v>0-0-0</v>
      </c>
      <c r="AP783" s="2" t="str">
        <f>INDEX(Sheet5!$B$2:$AG$33, MATCH(Table2[[#This Row],[HomeTeam]],Sheet5!$A$2:$A$33, 0), MATCH(Table2[[#This Row],[AwayTeam]],Sheet5!$A$2:$A$33, 0))</f>
        <v>0-0-0</v>
      </c>
      <c r="AQ783" s="2">
        <f>IF(Table2[[#This Row],[GameHasShutOut]], 1, 0)</f>
        <v>0</v>
      </c>
      <c r="AR783" s="2">
        <f>IF(Table2[[#This Row],[ActualAwayScore]] + Table2[[#This Row],[ActualHomeScore]] &gt;= 10, 1, 0)</f>
        <v>0</v>
      </c>
      <c r="AS783" s="2">
        <f>IF(ABS(Table2[[#This Row],[ActualAwayScore]]-Table2[[#This Row],[ActualHomeScore]])&gt;=5, 1, 0)</f>
        <v>0</v>
      </c>
      <c r="AT783" s="2">
        <f>IF(Table2[[#This Row],[ActualAwayScore]] + Table2[[#This Row],[ActualHomeScore]] &lt;= 3, 1, 0)</f>
        <v>1</v>
      </c>
      <c r="AU783" s="2"/>
      <c r="AV783" s="2"/>
    </row>
    <row r="784" spans="1:48" x14ac:dyDescent="0.25">
      <c r="A784" s="3"/>
      <c r="B784" s="3">
        <v>46043</v>
      </c>
      <c r="C784" s="5">
        <v>2025020782</v>
      </c>
      <c r="D784" s="2" t="s">
        <v>29</v>
      </c>
      <c r="E784" s="2" t="s">
        <v>35</v>
      </c>
      <c r="F784" s="2"/>
      <c r="G784" s="2"/>
      <c r="H784" s="2" t="str">
        <f t="shared" si="64"/>
        <v>_</v>
      </c>
      <c r="I784" s="2"/>
      <c r="J784" s="2"/>
      <c r="K784" s="2"/>
      <c r="L784" s="2" t="str">
        <f t="shared" si="65"/>
        <v>_</v>
      </c>
      <c r="M784" s="2"/>
      <c r="N784" s="2">
        <f>IF(ISBLANK(Table2[[#This Row],[ActualResult]]), 0, 1)</f>
        <v>0</v>
      </c>
      <c r="O784" s="2" t="str">
        <f>IF(ISBLANK(Table2[[#This Row],[ActualResult]]), "_", IF(Table2[[#This Row],[ActualWinner]]=Table2[[#This Row],[PredictedWinner]], "Y", "N"))</f>
        <v>_</v>
      </c>
      <c r="P7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4" s="2"/>
      <c r="S784" s="2" t="str">
        <f t="shared" si="66"/>
        <v>_</v>
      </c>
      <c r="T7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4" s="2">
        <f>IF(Table2[[#This Row],[InterConf]]=1,IF(Table2[[#This Row],[InterDiv]]=0, 1, 0), 0)</f>
        <v>1</v>
      </c>
      <c r="W7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84" s="2"/>
      <c r="Y784" s="2"/>
      <c r="Z784" s="145">
        <f>IF(AND(Table2[[#This Row],[GameIsOver]]=1,Table2[[#This Row],[ActualHomeScore]]*Table2[[#This Row],[ActualAwayScore]]=0), 1,0)</f>
        <v>0</v>
      </c>
      <c r="AA7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4" s="2">
        <f>Table2[[#This Row],[ActualAwayScore]]-Table2[[#This Row],[PredictedAwayScore]]</f>
        <v>0</v>
      </c>
      <c r="AG784" s="2">
        <f>Table2[[#This Row],[ActualHomeScore]]-Table2[[#This Row],[PredictedHomeScore]]</f>
        <v>0</v>
      </c>
      <c r="AH784" s="2">
        <f t="shared" si="67"/>
        <v>0</v>
      </c>
      <c r="AI784" s="2">
        <f t="shared" si="68"/>
        <v>0</v>
      </c>
      <c r="AJ784" s="2"/>
      <c r="AK784" s="3"/>
      <c r="AL784" s="2">
        <f>IF(Table2[[#This Row],[GameIsOver]]=0,0,IF(Table2[[#This Row],[ActualWinner]]=Table2[[#This Row],[AwayTeam]], 1, 0))</f>
        <v>0</v>
      </c>
      <c r="AM784" s="2">
        <f>IF(Table2[[#This Row],[GameIsOver]]=0,0,IF(Table2[[#This Row],[ActualWinner]]=Table2[[#This Row],[HomeTeam]], 1, 0))</f>
        <v>0</v>
      </c>
      <c r="AN7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4" s="2" t="str">
        <f>INDEX(Sheet5!$B$2:$AG$33, MATCH(Table2[[#This Row],[AwayTeam]],Sheet5!$A$2:$A$33, 0), MATCH(Table2[[#This Row],[HomeTeam]],Sheet5!$A$2:$A$33, 0))</f>
        <v>0-0-0</v>
      </c>
      <c r="AP784" s="2" t="str">
        <f>INDEX(Sheet5!$B$2:$AG$33, MATCH(Table2[[#This Row],[HomeTeam]],Sheet5!$A$2:$A$33, 0), MATCH(Table2[[#This Row],[AwayTeam]],Sheet5!$A$2:$A$33, 0))</f>
        <v>0-0-0</v>
      </c>
      <c r="AQ784" s="2">
        <f>IF(Table2[[#This Row],[GameHasShutOut]], 1, 0)</f>
        <v>0</v>
      </c>
      <c r="AR784" s="2">
        <f>IF(Table2[[#This Row],[ActualAwayScore]] + Table2[[#This Row],[ActualHomeScore]] &gt;= 10, 1, 0)</f>
        <v>0</v>
      </c>
      <c r="AS784" s="2">
        <f>IF(ABS(Table2[[#This Row],[ActualAwayScore]]-Table2[[#This Row],[ActualHomeScore]])&gt;=5, 1, 0)</f>
        <v>0</v>
      </c>
      <c r="AT784" s="2">
        <f>IF(Table2[[#This Row],[ActualAwayScore]] + Table2[[#This Row],[ActualHomeScore]] &lt;= 3, 1, 0)</f>
        <v>1</v>
      </c>
      <c r="AU784" s="2"/>
      <c r="AV784" s="2"/>
    </row>
    <row r="785" spans="1:48" x14ac:dyDescent="0.25">
      <c r="A785" s="3"/>
      <c r="B785" s="3">
        <v>46043</v>
      </c>
      <c r="C785" s="5">
        <v>2025020783</v>
      </c>
      <c r="D785" s="2" t="s">
        <v>15</v>
      </c>
      <c r="E785" s="2" t="s">
        <v>33</v>
      </c>
      <c r="F785" s="2"/>
      <c r="G785" s="2"/>
      <c r="H785" s="2" t="str">
        <f t="shared" si="64"/>
        <v>_</v>
      </c>
      <c r="I785" s="2"/>
      <c r="J785" s="2"/>
      <c r="K785" s="2"/>
      <c r="L785" s="2" t="str">
        <f t="shared" si="65"/>
        <v>_</v>
      </c>
      <c r="M785" s="2"/>
      <c r="N785" s="2">
        <f>IF(ISBLANK(Table2[[#This Row],[ActualResult]]), 0, 1)</f>
        <v>0</v>
      </c>
      <c r="O785" s="2" t="str">
        <f>IF(ISBLANK(Table2[[#This Row],[ActualResult]]), "_", IF(Table2[[#This Row],[ActualWinner]]=Table2[[#This Row],[PredictedWinner]], "Y", "N"))</f>
        <v>_</v>
      </c>
      <c r="P7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5" s="2"/>
      <c r="S785" s="2" t="str">
        <f t="shared" si="66"/>
        <v>_</v>
      </c>
      <c r="T7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5" s="2">
        <f>IF(Table2[[#This Row],[InterConf]]=1,IF(Table2[[#This Row],[InterDiv]]=0, 1, 0), 0)</f>
        <v>0</v>
      </c>
      <c r="W7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5" s="2"/>
      <c r="Y785" s="2"/>
      <c r="Z785" s="145">
        <f>IF(AND(Table2[[#This Row],[GameIsOver]]=1,Table2[[#This Row],[ActualHomeScore]]*Table2[[#This Row],[ActualAwayScore]]=0), 1,0)</f>
        <v>0</v>
      </c>
      <c r="AA7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5" s="2">
        <f>Table2[[#This Row],[ActualAwayScore]]-Table2[[#This Row],[PredictedAwayScore]]</f>
        <v>0</v>
      </c>
      <c r="AG785" s="2">
        <f>Table2[[#This Row],[ActualHomeScore]]-Table2[[#This Row],[PredictedHomeScore]]</f>
        <v>0</v>
      </c>
      <c r="AH785" s="2">
        <f t="shared" si="67"/>
        <v>0</v>
      </c>
      <c r="AI785" s="2">
        <f t="shared" si="68"/>
        <v>0</v>
      </c>
      <c r="AJ785" s="2"/>
      <c r="AK785" s="3"/>
      <c r="AL785" s="2">
        <f>IF(Table2[[#This Row],[GameIsOver]]=0,0,IF(Table2[[#This Row],[ActualWinner]]=Table2[[#This Row],[AwayTeam]], 1, 0))</f>
        <v>0</v>
      </c>
      <c r="AM785" s="2">
        <f>IF(Table2[[#This Row],[GameIsOver]]=0,0,IF(Table2[[#This Row],[ActualWinner]]=Table2[[#This Row],[HomeTeam]], 1, 0))</f>
        <v>0</v>
      </c>
      <c r="AN7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5" s="2" t="str">
        <f>INDEX(Sheet5!$B$2:$AG$33, MATCH(Table2[[#This Row],[AwayTeam]],Sheet5!$A$2:$A$33, 0), MATCH(Table2[[#This Row],[HomeTeam]],Sheet5!$A$2:$A$33, 0))</f>
        <v>0-0-0</v>
      </c>
      <c r="AP785" s="2" t="str">
        <f>INDEX(Sheet5!$B$2:$AG$33, MATCH(Table2[[#This Row],[HomeTeam]],Sheet5!$A$2:$A$33, 0), MATCH(Table2[[#This Row],[AwayTeam]],Sheet5!$A$2:$A$33, 0))</f>
        <v>0-0-0</v>
      </c>
      <c r="AQ785" s="2">
        <f>IF(Table2[[#This Row],[GameHasShutOut]], 1, 0)</f>
        <v>0</v>
      </c>
      <c r="AR785" s="2">
        <f>IF(Table2[[#This Row],[ActualAwayScore]] + Table2[[#This Row],[ActualHomeScore]] &gt;= 10, 1, 0)</f>
        <v>0</v>
      </c>
      <c r="AS785" s="2">
        <f>IF(ABS(Table2[[#This Row],[ActualAwayScore]]-Table2[[#This Row],[ActualHomeScore]])&gt;=5, 1, 0)</f>
        <v>0</v>
      </c>
      <c r="AT785" s="2">
        <f>IF(Table2[[#This Row],[ActualAwayScore]] + Table2[[#This Row],[ActualHomeScore]] &lt;= 3, 1, 0)</f>
        <v>1</v>
      </c>
      <c r="AU785" s="2"/>
      <c r="AV785" s="2"/>
    </row>
    <row r="786" spans="1:48" x14ac:dyDescent="0.25">
      <c r="A786" s="3"/>
      <c r="B786" s="3">
        <v>46043</v>
      </c>
      <c r="C786" s="5">
        <v>2025020784</v>
      </c>
      <c r="D786" s="2" t="s">
        <v>28</v>
      </c>
      <c r="E786" s="2" t="s">
        <v>34</v>
      </c>
      <c r="F786" s="2"/>
      <c r="G786" s="2"/>
      <c r="H786" s="2" t="str">
        <f t="shared" si="64"/>
        <v>_</v>
      </c>
      <c r="I786" s="2"/>
      <c r="J786" s="2"/>
      <c r="K786" s="2"/>
      <c r="L786" s="2" t="str">
        <f t="shared" si="65"/>
        <v>_</v>
      </c>
      <c r="M786" s="2"/>
      <c r="N786" s="2">
        <f>IF(ISBLANK(Table2[[#This Row],[ActualResult]]), 0, 1)</f>
        <v>0</v>
      </c>
      <c r="O786" s="2" t="str">
        <f>IF(ISBLANK(Table2[[#This Row],[ActualResult]]), "_", IF(Table2[[#This Row],[ActualWinner]]=Table2[[#This Row],[PredictedWinner]], "Y", "N"))</f>
        <v>_</v>
      </c>
      <c r="P7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6" s="2"/>
      <c r="S786" s="2" t="str">
        <f t="shared" si="66"/>
        <v>_</v>
      </c>
      <c r="T7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6" s="2">
        <f>IF(Table2[[#This Row],[InterConf]]=1,IF(Table2[[#This Row],[InterDiv]]=0, 1, 0), 0)</f>
        <v>0</v>
      </c>
      <c r="W7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6" s="2"/>
      <c r="Y786" s="2"/>
      <c r="Z786" s="145">
        <f>IF(AND(Table2[[#This Row],[GameIsOver]]=1,Table2[[#This Row],[ActualHomeScore]]*Table2[[#This Row],[ActualAwayScore]]=0), 1,0)</f>
        <v>0</v>
      </c>
      <c r="AA7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6" s="2">
        <f>Table2[[#This Row],[ActualAwayScore]]-Table2[[#This Row],[PredictedAwayScore]]</f>
        <v>0</v>
      </c>
      <c r="AG786" s="2">
        <f>Table2[[#This Row],[ActualHomeScore]]-Table2[[#This Row],[PredictedHomeScore]]</f>
        <v>0</v>
      </c>
      <c r="AH786" s="2">
        <f t="shared" si="67"/>
        <v>0</v>
      </c>
      <c r="AI786" s="2">
        <f t="shared" si="68"/>
        <v>0</v>
      </c>
      <c r="AJ786" s="2"/>
      <c r="AK786" s="3"/>
      <c r="AL786" s="2">
        <f>IF(Table2[[#This Row],[GameIsOver]]=0,0,IF(Table2[[#This Row],[ActualWinner]]=Table2[[#This Row],[AwayTeam]], 1, 0))</f>
        <v>0</v>
      </c>
      <c r="AM786" s="2">
        <f>IF(Table2[[#This Row],[GameIsOver]]=0,0,IF(Table2[[#This Row],[ActualWinner]]=Table2[[#This Row],[HomeTeam]], 1, 0))</f>
        <v>0</v>
      </c>
      <c r="AN7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6" s="2" t="str">
        <f>INDEX(Sheet5!$B$2:$AG$33, MATCH(Table2[[#This Row],[AwayTeam]],Sheet5!$A$2:$A$33, 0), MATCH(Table2[[#This Row],[HomeTeam]],Sheet5!$A$2:$A$33, 0))</f>
        <v>0-0-0</v>
      </c>
      <c r="AP786" s="2" t="str">
        <f>INDEX(Sheet5!$B$2:$AG$33, MATCH(Table2[[#This Row],[HomeTeam]],Sheet5!$A$2:$A$33, 0), MATCH(Table2[[#This Row],[AwayTeam]],Sheet5!$A$2:$A$33, 0))</f>
        <v>0-0-0</v>
      </c>
      <c r="AQ786" s="2">
        <f>IF(Table2[[#This Row],[GameHasShutOut]], 1, 0)</f>
        <v>0</v>
      </c>
      <c r="AR786" s="2">
        <f>IF(Table2[[#This Row],[ActualAwayScore]] + Table2[[#This Row],[ActualHomeScore]] &gt;= 10, 1, 0)</f>
        <v>0</v>
      </c>
      <c r="AS786" s="2">
        <f>IF(ABS(Table2[[#This Row],[ActualAwayScore]]-Table2[[#This Row],[ActualHomeScore]])&gt;=5, 1, 0)</f>
        <v>0</v>
      </c>
      <c r="AT786" s="2">
        <f>IF(Table2[[#This Row],[ActualAwayScore]] + Table2[[#This Row],[ActualHomeScore]] &lt;= 3, 1, 0)</f>
        <v>1</v>
      </c>
      <c r="AU786" s="2"/>
      <c r="AV786" s="2"/>
    </row>
    <row r="787" spans="1:48" x14ac:dyDescent="0.25">
      <c r="A787" s="3"/>
      <c r="B787" s="3">
        <v>46043</v>
      </c>
      <c r="C787" s="5">
        <v>2025020785</v>
      </c>
      <c r="D787" s="2" t="s">
        <v>12</v>
      </c>
      <c r="E787" s="2" t="s">
        <v>21</v>
      </c>
      <c r="F787" s="2"/>
      <c r="G787" s="2"/>
      <c r="H787" s="2" t="str">
        <f t="shared" si="64"/>
        <v>_</v>
      </c>
      <c r="I787" s="2"/>
      <c r="J787" s="2"/>
      <c r="K787" s="2"/>
      <c r="L787" s="2" t="str">
        <f t="shared" si="65"/>
        <v>_</v>
      </c>
      <c r="M787" s="2"/>
      <c r="N787" s="2">
        <f>IF(ISBLANK(Table2[[#This Row],[ActualResult]]), 0, 1)</f>
        <v>0</v>
      </c>
      <c r="O787" s="2" t="str">
        <f>IF(ISBLANK(Table2[[#This Row],[ActualResult]]), "_", IF(Table2[[#This Row],[ActualWinner]]=Table2[[#This Row],[PredictedWinner]], "Y", "N"))</f>
        <v>_</v>
      </c>
      <c r="P7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7" s="2"/>
      <c r="S787" s="2" t="str">
        <f t="shared" si="66"/>
        <v>_</v>
      </c>
      <c r="T7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87" s="2">
        <f>IF(Table2[[#This Row],[InterConf]]=1,IF(Table2[[#This Row],[InterDiv]]=0, 1, 0), 0)</f>
        <v>0</v>
      </c>
      <c r="W7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87" s="2"/>
      <c r="Y787" s="2"/>
      <c r="Z787" s="145">
        <f>IF(AND(Table2[[#This Row],[GameIsOver]]=1,Table2[[#This Row],[ActualHomeScore]]*Table2[[#This Row],[ActualAwayScore]]=0), 1,0)</f>
        <v>0</v>
      </c>
      <c r="AA7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7" s="2">
        <f>Table2[[#This Row],[ActualAwayScore]]-Table2[[#This Row],[PredictedAwayScore]]</f>
        <v>0</v>
      </c>
      <c r="AG787" s="2">
        <f>Table2[[#This Row],[ActualHomeScore]]-Table2[[#This Row],[PredictedHomeScore]]</f>
        <v>0</v>
      </c>
      <c r="AH787" s="2">
        <f t="shared" si="67"/>
        <v>0</v>
      </c>
      <c r="AI787" s="2">
        <f t="shared" si="68"/>
        <v>0</v>
      </c>
      <c r="AJ787" s="2"/>
      <c r="AK787" s="3"/>
      <c r="AL787" s="2">
        <f>IF(Table2[[#This Row],[GameIsOver]]=0,0,IF(Table2[[#This Row],[ActualWinner]]=Table2[[#This Row],[AwayTeam]], 1, 0))</f>
        <v>0</v>
      </c>
      <c r="AM787" s="2">
        <f>IF(Table2[[#This Row],[GameIsOver]]=0,0,IF(Table2[[#This Row],[ActualWinner]]=Table2[[#This Row],[HomeTeam]], 1, 0))</f>
        <v>0</v>
      </c>
      <c r="AN7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7" s="2" t="str">
        <f>INDEX(Sheet5!$B$2:$AG$33, MATCH(Table2[[#This Row],[AwayTeam]],Sheet5!$A$2:$A$33, 0), MATCH(Table2[[#This Row],[HomeTeam]],Sheet5!$A$2:$A$33, 0))</f>
        <v>0-0-0</v>
      </c>
      <c r="AP787" s="2" t="str">
        <f>INDEX(Sheet5!$B$2:$AG$33, MATCH(Table2[[#This Row],[HomeTeam]],Sheet5!$A$2:$A$33, 0), MATCH(Table2[[#This Row],[AwayTeam]],Sheet5!$A$2:$A$33, 0))</f>
        <v>0-0-0</v>
      </c>
      <c r="AQ787" s="2">
        <f>IF(Table2[[#This Row],[GameHasShutOut]], 1, 0)</f>
        <v>0</v>
      </c>
      <c r="AR787" s="2">
        <f>IF(Table2[[#This Row],[ActualAwayScore]] + Table2[[#This Row],[ActualHomeScore]] &gt;= 10, 1, 0)</f>
        <v>0</v>
      </c>
      <c r="AS787" s="2">
        <f>IF(ABS(Table2[[#This Row],[ActualAwayScore]]-Table2[[#This Row],[ActualHomeScore]])&gt;=5, 1, 0)</f>
        <v>0</v>
      </c>
      <c r="AT787" s="2">
        <f>IF(Table2[[#This Row],[ActualAwayScore]] + Table2[[#This Row],[ActualHomeScore]] &lt;= 3, 1, 0)</f>
        <v>1</v>
      </c>
      <c r="AU787" s="2"/>
      <c r="AV787" s="2"/>
    </row>
    <row r="788" spans="1:48" x14ac:dyDescent="0.25">
      <c r="A788" s="3"/>
      <c r="B788" s="3">
        <v>46043</v>
      </c>
      <c r="C788" s="5">
        <v>2025020786</v>
      </c>
      <c r="D788" s="2" t="s">
        <v>31</v>
      </c>
      <c r="E788" s="2" t="s">
        <v>22</v>
      </c>
      <c r="F788" s="2"/>
      <c r="G788" s="2"/>
      <c r="H788" s="2" t="str">
        <f t="shared" si="64"/>
        <v>_</v>
      </c>
      <c r="I788" s="2"/>
      <c r="J788" s="2"/>
      <c r="K788" s="2"/>
      <c r="L788" s="2" t="str">
        <f t="shared" si="65"/>
        <v>_</v>
      </c>
      <c r="M788" s="2"/>
      <c r="N788" s="2">
        <f>IF(ISBLANK(Table2[[#This Row],[ActualResult]]), 0, 1)</f>
        <v>0</v>
      </c>
      <c r="O788" s="2" t="str">
        <f>IF(ISBLANK(Table2[[#This Row],[ActualResult]]), "_", IF(Table2[[#This Row],[ActualWinner]]=Table2[[#This Row],[PredictedWinner]], "Y", "N"))</f>
        <v>_</v>
      </c>
      <c r="P7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8" s="2"/>
      <c r="S788" s="2" t="str">
        <f t="shared" si="66"/>
        <v>_</v>
      </c>
      <c r="T7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8" s="2">
        <f>IF(Table2[[#This Row],[InterConf]]=1,IF(Table2[[#This Row],[InterDiv]]=0, 1, 0), 0)</f>
        <v>0</v>
      </c>
      <c r="W7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8" s="2"/>
      <c r="Y788" s="2"/>
      <c r="Z788" s="145">
        <f>IF(AND(Table2[[#This Row],[GameIsOver]]=1,Table2[[#This Row],[ActualHomeScore]]*Table2[[#This Row],[ActualAwayScore]]=0), 1,0)</f>
        <v>0</v>
      </c>
      <c r="AA7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8" s="2">
        <f>Table2[[#This Row],[ActualAwayScore]]-Table2[[#This Row],[PredictedAwayScore]]</f>
        <v>0</v>
      </c>
      <c r="AG788" s="2">
        <f>Table2[[#This Row],[ActualHomeScore]]-Table2[[#This Row],[PredictedHomeScore]]</f>
        <v>0</v>
      </c>
      <c r="AH788" s="2">
        <f t="shared" si="67"/>
        <v>0</v>
      </c>
      <c r="AI788" s="2">
        <f t="shared" si="68"/>
        <v>0</v>
      </c>
      <c r="AJ788" s="2"/>
      <c r="AK788" s="3"/>
      <c r="AL788" s="2">
        <f>IF(Table2[[#This Row],[GameIsOver]]=0,0,IF(Table2[[#This Row],[ActualWinner]]=Table2[[#This Row],[AwayTeam]], 1, 0))</f>
        <v>0</v>
      </c>
      <c r="AM788" s="2">
        <f>IF(Table2[[#This Row],[GameIsOver]]=0,0,IF(Table2[[#This Row],[ActualWinner]]=Table2[[#This Row],[HomeTeam]], 1, 0))</f>
        <v>0</v>
      </c>
      <c r="AN7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8" s="2" t="str">
        <f>INDEX(Sheet5!$B$2:$AG$33, MATCH(Table2[[#This Row],[AwayTeam]],Sheet5!$A$2:$A$33, 0), MATCH(Table2[[#This Row],[HomeTeam]],Sheet5!$A$2:$A$33, 0))</f>
        <v>1-0-0</v>
      </c>
      <c r="AP788" s="2" t="str">
        <f>INDEX(Sheet5!$B$2:$AG$33, MATCH(Table2[[#This Row],[HomeTeam]],Sheet5!$A$2:$A$33, 0), MATCH(Table2[[#This Row],[AwayTeam]],Sheet5!$A$2:$A$33, 0))</f>
        <v>0-1-0</v>
      </c>
      <c r="AQ788" s="2">
        <f>IF(Table2[[#This Row],[GameHasShutOut]], 1, 0)</f>
        <v>0</v>
      </c>
      <c r="AR788" s="2">
        <f>IF(Table2[[#This Row],[ActualAwayScore]] + Table2[[#This Row],[ActualHomeScore]] &gt;= 10, 1, 0)</f>
        <v>0</v>
      </c>
      <c r="AS788" s="2">
        <f>IF(ABS(Table2[[#This Row],[ActualAwayScore]]-Table2[[#This Row],[ActualHomeScore]])&gt;=5, 1, 0)</f>
        <v>0</v>
      </c>
      <c r="AT788" s="2">
        <f>IF(Table2[[#This Row],[ActualAwayScore]] + Table2[[#This Row],[ActualHomeScore]] &lt;= 3, 1, 0)</f>
        <v>1</v>
      </c>
      <c r="AU788" s="2"/>
      <c r="AV788" s="2"/>
    </row>
    <row r="789" spans="1:48" x14ac:dyDescent="0.25">
      <c r="A789" s="3"/>
      <c r="B789" s="3">
        <v>46043</v>
      </c>
      <c r="C789" s="5">
        <v>2025020787</v>
      </c>
      <c r="D789" s="2" t="s">
        <v>19</v>
      </c>
      <c r="E789" s="2" t="s">
        <v>27</v>
      </c>
      <c r="F789" s="2"/>
      <c r="G789" s="2"/>
      <c r="H789" s="2" t="str">
        <f t="shared" si="64"/>
        <v>_</v>
      </c>
      <c r="I789" s="2"/>
      <c r="J789" s="2"/>
      <c r="K789" s="2"/>
      <c r="L789" s="2" t="str">
        <f t="shared" si="65"/>
        <v>_</v>
      </c>
      <c r="M789" s="2"/>
      <c r="N789" s="2">
        <f>IF(ISBLANK(Table2[[#This Row],[ActualResult]]), 0, 1)</f>
        <v>0</v>
      </c>
      <c r="O789" s="2" t="str">
        <f>IF(ISBLANK(Table2[[#This Row],[ActualResult]]), "_", IF(Table2[[#This Row],[ActualWinner]]=Table2[[#This Row],[PredictedWinner]], "Y", "N"))</f>
        <v>_</v>
      </c>
      <c r="P7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9" s="2"/>
      <c r="S789" s="2" t="str">
        <f t="shared" si="66"/>
        <v>_</v>
      </c>
      <c r="T7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9" s="2">
        <f>IF(Table2[[#This Row],[InterConf]]=1,IF(Table2[[#This Row],[InterDiv]]=0, 1, 0), 0)</f>
        <v>0</v>
      </c>
      <c r="W7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9" s="2"/>
      <c r="Y789" s="2"/>
      <c r="Z789" s="145">
        <f>IF(AND(Table2[[#This Row],[GameIsOver]]=1,Table2[[#This Row],[ActualHomeScore]]*Table2[[#This Row],[ActualAwayScore]]=0), 1,0)</f>
        <v>0</v>
      </c>
      <c r="AA7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9" s="2">
        <f>Table2[[#This Row],[ActualAwayScore]]-Table2[[#This Row],[PredictedAwayScore]]</f>
        <v>0</v>
      </c>
      <c r="AG789" s="2">
        <f>Table2[[#This Row],[ActualHomeScore]]-Table2[[#This Row],[PredictedHomeScore]]</f>
        <v>0</v>
      </c>
      <c r="AH789" s="2">
        <f t="shared" si="67"/>
        <v>0</v>
      </c>
      <c r="AI789" s="2">
        <f t="shared" si="68"/>
        <v>0</v>
      </c>
      <c r="AJ789" s="2"/>
      <c r="AK789" s="3"/>
      <c r="AL789" s="2">
        <f>IF(Table2[[#This Row],[GameIsOver]]=0,0,IF(Table2[[#This Row],[ActualWinner]]=Table2[[#This Row],[AwayTeam]], 1, 0))</f>
        <v>0</v>
      </c>
      <c r="AM789" s="2">
        <f>IF(Table2[[#This Row],[GameIsOver]]=0,0,IF(Table2[[#This Row],[ActualWinner]]=Table2[[#This Row],[HomeTeam]], 1, 0))</f>
        <v>0</v>
      </c>
      <c r="AN789" s="2">
        <f>IF(IFERROR(FIND(Table2[[#This Row],[AwayTeam]], _xlfn.TEXTJOIN(";", 1, $BD$31:$BD$40)), 0) &gt; 0, 1, 0) + IF(IFERROR(FIND(Table2[[#This Row],[HomeTeam]], _xlfn.TEXTJOIN(";", 1, $BD$31:$BD$40)), 0) &gt; 0, 1, 0)</f>
        <v>1</v>
      </c>
      <c r="AO789" s="2" t="str">
        <f>INDEX(Sheet5!$B$2:$AG$33, MATCH(Table2[[#This Row],[AwayTeam]],Sheet5!$A$2:$A$33, 0), MATCH(Table2[[#This Row],[HomeTeam]],Sheet5!$A$2:$A$33, 0))</f>
        <v>0-0-0</v>
      </c>
      <c r="AP789" s="2" t="str">
        <f>INDEX(Sheet5!$B$2:$AG$33, MATCH(Table2[[#This Row],[HomeTeam]],Sheet5!$A$2:$A$33, 0), MATCH(Table2[[#This Row],[AwayTeam]],Sheet5!$A$2:$A$33, 0))</f>
        <v>0-0-0</v>
      </c>
      <c r="AQ789" s="2">
        <f>IF(Table2[[#This Row],[GameHasShutOut]], 1, 0)</f>
        <v>0</v>
      </c>
      <c r="AR789" s="2">
        <f>IF(Table2[[#This Row],[ActualAwayScore]] + Table2[[#This Row],[ActualHomeScore]] &gt;= 10, 1, 0)</f>
        <v>0</v>
      </c>
      <c r="AS789" s="2">
        <f>IF(ABS(Table2[[#This Row],[ActualAwayScore]]-Table2[[#This Row],[ActualHomeScore]])&gt;=5, 1, 0)</f>
        <v>0</v>
      </c>
      <c r="AT789" s="2">
        <f>IF(Table2[[#This Row],[ActualAwayScore]] + Table2[[#This Row],[ActualHomeScore]] &lt;= 3, 1, 0)</f>
        <v>1</v>
      </c>
      <c r="AU789" s="2"/>
      <c r="AV789" s="2"/>
    </row>
    <row r="790" spans="1:48" x14ac:dyDescent="0.25">
      <c r="A790" s="3"/>
      <c r="B790" s="3">
        <v>46044</v>
      </c>
      <c r="C790" s="5">
        <v>2025020788</v>
      </c>
      <c r="D790" s="2" t="s">
        <v>30</v>
      </c>
      <c r="E790" s="2" t="s">
        <v>17</v>
      </c>
      <c r="F790" s="2"/>
      <c r="G790" s="2"/>
      <c r="H790" s="2" t="str">
        <f t="shared" si="64"/>
        <v>_</v>
      </c>
      <c r="I790" s="2"/>
      <c r="J790" s="2"/>
      <c r="K790" s="2"/>
      <c r="L790" s="2" t="str">
        <f t="shared" si="65"/>
        <v>_</v>
      </c>
      <c r="M790" s="2"/>
      <c r="N790" s="2">
        <f>IF(ISBLANK(Table2[[#This Row],[ActualResult]]), 0, 1)</f>
        <v>0</v>
      </c>
      <c r="O790" s="2" t="str">
        <f>IF(ISBLANK(Table2[[#This Row],[ActualResult]]), "_", IF(Table2[[#This Row],[ActualWinner]]=Table2[[#This Row],[PredictedWinner]], "Y", "N"))</f>
        <v>_</v>
      </c>
      <c r="P7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0" s="2"/>
      <c r="S790" s="2" t="str">
        <f t="shared" si="66"/>
        <v>_</v>
      </c>
      <c r="T7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90" s="2">
        <f>IF(Table2[[#This Row],[InterConf]]=1,IF(Table2[[#This Row],[InterDiv]]=0, 1, 0), 0)</f>
        <v>0</v>
      </c>
      <c r="W7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0" s="2"/>
      <c r="Y790" s="2"/>
      <c r="Z790" s="145">
        <f>IF(AND(Table2[[#This Row],[GameIsOver]]=1,Table2[[#This Row],[ActualHomeScore]]*Table2[[#This Row],[ActualAwayScore]]=0), 1,0)</f>
        <v>0</v>
      </c>
      <c r="AA7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0" s="2">
        <f>Table2[[#This Row],[ActualAwayScore]]-Table2[[#This Row],[PredictedAwayScore]]</f>
        <v>0</v>
      </c>
      <c r="AG790" s="2">
        <f>Table2[[#This Row],[ActualHomeScore]]-Table2[[#This Row],[PredictedHomeScore]]</f>
        <v>0</v>
      </c>
      <c r="AH790" s="2">
        <f t="shared" si="67"/>
        <v>0</v>
      </c>
      <c r="AI790" s="2">
        <f t="shared" si="68"/>
        <v>0</v>
      </c>
      <c r="AJ790" s="2"/>
      <c r="AK790" s="3"/>
      <c r="AL790" s="2">
        <f>IF(Table2[[#This Row],[GameIsOver]]=0,0,IF(Table2[[#This Row],[ActualWinner]]=Table2[[#This Row],[AwayTeam]], 1, 0))</f>
        <v>0</v>
      </c>
      <c r="AM790" s="2">
        <f>IF(Table2[[#This Row],[GameIsOver]]=0,0,IF(Table2[[#This Row],[ActualWinner]]=Table2[[#This Row],[HomeTeam]], 1, 0))</f>
        <v>0</v>
      </c>
      <c r="AN7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0" s="2" t="str">
        <f>INDEX(Sheet5!$B$2:$AG$33, MATCH(Table2[[#This Row],[AwayTeam]],Sheet5!$A$2:$A$33, 0), MATCH(Table2[[#This Row],[HomeTeam]],Sheet5!$A$2:$A$33, 0))</f>
        <v>2-0-0</v>
      </c>
      <c r="AP790" s="2" t="str">
        <f>INDEX(Sheet5!$B$2:$AG$33, MATCH(Table2[[#This Row],[HomeTeam]],Sheet5!$A$2:$A$33, 0), MATCH(Table2[[#This Row],[AwayTeam]],Sheet5!$A$2:$A$33, 0))</f>
        <v>0-2-0</v>
      </c>
      <c r="AQ790" s="2">
        <f>IF(Table2[[#This Row],[GameHasShutOut]], 1, 0)</f>
        <v>0</v>
      </c>
      <c r="AR790" s="2">
        <f>IF(Table2[[#This Row],[ActualAwayScore]] + Table2[[#This Row],[ActualHomeScore]] &gt;= 10, 1, 0)</f>
        <v>0</v>
      </c>
      <c r="AS790" s="2">
        <f>IF(ABS(Table2[[#This Row],[ActualAwayScore]]-Table2[[#This Row],[ActualHomeScore]])&gt;=5, 1, 0)</f>
        <v>0</v>
      </c>
      <c r="AT790" s="2">
        <f>IF(Table2[[#This Row],[ActualAwayScore]] + Table2[[#This Row],[ActualHomeScore]] &lt;= 3, 1, 0)</f>
        <v>1</v>
      </c>
      <c r="AU790" s="2"/>
      <c r="AV790" s="2"/>
    </row>
    <row r="791" spans="1:48" x14ac:dyDescent="0.25">
      <c r="A791" s="3"/>
      <c r="B791" s="3">
        <v>46044</v>
      </c>
      <c r="C791" s="5">
        <v>2025020789</v>
      </c>
      <c r="D791" s="2" t="s">
        <v>44</v>
      </c>
      <c r="E791" s="2" t="s">
        <v>25</v>
      </c>
      <c r="F791" s="2"/>
      <c r="G791" s="2"/>
      <c r="H791" s="2" t="str">
        <f t="shared" si="64"/>
        <v>_</v>
      </c>
      <c r="I791" s="2"/>
      <c r="J791" s="2"/>
      <c r="K791" s="2"/>
      <c r="L791" s="2" t="str">
        <f t="shared" si="65"/>
        <v>_</v>
      </c>
      <c r="M791" s="2"/>
      <c r="N791" s="2">
        <f>IF(ISBLANK(Table2[[#This Row],[ActualResult]]), 0, 1)</f>
        <v>0</v>
      </c>
      <c r="O791" s="2" t="str">
        <f>IF(ISBLANK(Table2[[#This Row],[ActualResult]]), "_", IF(Table2[[#This Row],[ActualWinner]]=Table2[[#This Row],[PredictedWinner]], "Y", "N"))</f>
        <v>_</v>
      </c>
      <c r="P7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1" s="2"/>
      <c r="S791" s="2" t="str">
        <f t="shared" si="66"/>
        <v>_</v>
      </c>
      <c r="T7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1" s="2">
        <f>IF(Table2[[#This Row],[InterConf]]=1,IF(Table2[[#This Row],[InterDiv]]=0, 1, 0), 0)</f>
        <v>1</v>
      </c>
      <c r="W7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1" s="2"/>
      <c r="Y791" s="2"/>
      <c r="Z791" s="145">
        <f>IF(AND(Table2[[#This Row],[GameIsOver]]=1,Table2[[#This Row],[ActualHomeScore]]*Table2[[#This Row],[ActualAwayScore]]=0), 1,0)</f>
        <v>0</v>
      </c>
      <c r="AA7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1" s="2">
        <f>Table2[[#This Row],[ActualAwayScore]]-Table2[[#This Row],[PredictedAwayScore]]</f>
        <v>0</v>
      </c>
      <c r="AG791" s="2">
        <f>Table2[[#This Row],[ActualHomeScore]]-Table2[[#This Row],[PredictedHomeScore]]</f>
        <v>0</v>
      </c>
      <c r="AH791" s="2">
        <f t="shared" si="67"/>
        <v>0</v>
      </c>
      <c r="AI791" s="2">
        <f t="shared" si="68"/>
        <v>0</v>
      </c>
      <c r="AJ791" s="2"/>
      <c r="AK791" s="3"/>
      <c r="AL791" s="2">
        <f>IF(Table2[[#This Row],[GameIsOver]]=0,0,IF(Table2[[#This Row],[ActualWinner]]=Table2[[#This Row],[AwayTeam]], 1, 0))</f>
        <v>0</v>
      </c>
      <c r="AM791" s="2">
        <f>IF(Table2[[#This Row],[GameIsOver]]=0,0,IF(Table2[[#This Row],[ActualWinner]]=Table2[[#This Row],[HomeTeam]], 1, 0))</f>
        <v>0</v>
      </c>
      <c r="AN7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1" s="2" t="str">
        <f>INDEX(Sheet5!$B$2:$AG$33, MATCH(Table2[[#This Row],[AwayTeam]],Sheet5!$A$2:$A$33, 0), MATCH(Table2[[#This Row],[HomeTeam]],Sheet5!$A$2:$A$33, 0))</f>
        <v>0-0-0</v>
      </c>
      <c r="AP791" s="2" t="str">
        <f>INDEX(Sheet5!$B$2:$AG$33, MATCH(Table2[[#This Row],[HomeTeam]],Sheet5!$A$2:$A$33, 0), MATCH(Table2[[#This Row],[AwayTeam]],Sheet5!$A$2:$A$33, 0))</f>
        <v>0-0-0</v>
      </c>
      <c r="AQ791" s="2">
        <f>IF(Table2[[#This Row],[GameHasShutOut]], 1, 0)</f>
        <v>0</v>
      </c>
      <c r="AR791" s="2">
        <f>IF(Table2[[#This Row],[ActualAwayScore]] + Table2[[#This Row],[ActualHomeScore]] &gt;= 10, 1, 0)</f>
        <v>0</v>
      </c>
      <c r="AS791" s="2">
        <f>IF(ABS(Table2[[#This Row],[ActualAwayScore]]-Table2[[#This Row],[ActualHomeScore]])&gt;=5, 1, 0)</f>
        <v>0</v>
      </c>
      <c r="AT791" s="2">
        <f>IF(Table2[[#This Row],[ActualAwayScore]] + Table2[[#This Row],[ActualHomeScore]] &lt;= 3, 1, 0)</f>
        <v>1</v>
      </c>
      <c r="AU791" s="2"/>
      <c r="AV791" s="2"/>
    </row>
    <row r="792" spans="1:48" x14ac:dyDescent="0.25">
      <c r="A792" s="3"/>
      <c r="B792" s="3">
        <v>46044</v>
      </c>
      <c r="C792" s="5">
        <v>2025020790</v>
      </c>
      <c r="D792" s="2" t="s">
        <v>42</v>
      </c>
      <c r="E792" s="2" t="s">
        <v>14</v>
      </c>
      <c r="F792" s="2"/>
      <c r="G792" s="2"/>
      <c r="H792" s="2" t="str">
        <f t="shared" si="64"/>
        <v>_</v>
      </c>
      <c r="I792" s="2"/>
      <c r="J792" s="2"/>
      <c r="K792" s="2"/>
      <c r="L792" s="2" t="str">
        <f t="shared" si="65"/>
        <v>_</v>
      </c>
      <c r="M792" s="2"/>
      <c r="N792" s="2">
        <f>IF(ISBLANK(Table2[[#This Row],[ActualResult]]), 0, 1)</f>
        <v>0</v>
      </c>
      <c r="O792" s="2" t="str">
        <f>IF(ISBLANK(Table2[[#This Row],[ActualResult]]), "_", IF(Table2[[#This Row],[ActualWinner]]=Table2[[#This Row],[PredictedWinner]], "Y", "N"))</f>
        <v>_</v>
      </c>
      <c r="P7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2" s="2"/>
      <c r="S792" s="2" t="str">
        <f t="shared" si="66"/>
        <v>_</v>
      </c>
      <c r="T7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2" s="2">
        <f>IF(Table2[[#This Row],[InterConf]]=1,IF(Table2[[#This Row],[InterDiv]]=0, 1, 0), 0)</f>
        <v>0</v>
      </c>
      <c r="W7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2" s="2"/>
      <c r="Y792" s="2"/>
      <c r="Z792" s="145">
        <f>IF(AND(Table2[[#This Row],[GameIsOver]]=1,Table2[[#This Row],[ActualHomeScore]]*Table2[[#This Row],[ActualAwayScore]]=0), 1,0)</f>
        <v>0</v>
      </c>
      <c r="AA7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2" s="2">
        <f>Table2[[#This Row],[ActualAwayScore]]-Table2[[#This Row],[PredictedAwayScore]]</f>
        <v>0</v>
      </c>
      <c r="AG792" s="2">
        <f>Table2[[#This Row],[ActualHomeScore]]-Table2[[#This Row],[PredictedHomeScore]]</f>
        <v>0</v>
      </c>
      <c r="AH792" s="2">
        <f t="shared" si="67"/>
        <v>0</v>
      </c>
      <c r="AI792" s="2">
        <f t="shared" si="68"/>
        <v>0</v>
      </c>
      <c r="AJ792" s="2"/>
      <c r="AK792" s="3"/>
      <c r="AL792" s="2">
        <f>IF(Table2[[#This Row],[GameIsOver]]=0,0,IF(Table2[[#This Row],[ActualWinner]]=Table2[[#This Row],[AwayTeam]], 1, 0))</f>
        <v>0</v>
      </c>
      <c r="AM792" s="2">
        <f>IF(Table2[[#This Row],[GameIsOver]]=0,0,IF(Table2[[#This Row],[ActualWinner]]=Table2[[#This Row],[HomeTeam]], 1, 0))</f>
        <v>0</v>
      </c>
      <c r="AN7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2" s="2" t="str">
        <f>INDEX(Sheet5!$B$2:$AG$33, MATCH(Table2[[#This Row],[AwayTeam]],Sheet5!$A$2:$A$33, 0), MATCH(Table2[[#This Row],[HomeTeam]],Sheet5!$A$2:$A$33, 0))</f>
        <v>0-0-0</v>
      </c>
      <c r="AP792" s="2" t="str">
        <f>INDEX(Sheet5!$B$2:$AG$33, MATCH(Table2[[#This Row],[HomeTeam]],Sheet5!$A$2:$A$33, 0), MATCH(Table2[[#This Row],[AwayTeam]],Sheet5!$A$2:$A$33, 0))</f>
        <v>0-0-0</v>
      </c>
      <c r="AQ792" s="2">
        <f>IF(Table2[[#This Row],[GameHasShutOut]], 1, 0)</f>
        <v>0</v>
      </c>
      <c r="AR792" s="2">
        <f>IF(Table2[[#This Row],[ActualAwayScore]] + Table2[[#This Row],[ActualHomeScore]] &gt;= 10, 1, 0)</f>
        <v>0</v>
      </c>
      <c r="AS792" s="2">
        <f>IF(ABS(Table2[[#This Row],[ActualAwayScore]]-Table2[[#This Row],[ActualHomeScore]])&gt;=5, 1, 0)</f>
        <v>0</v>
      </c>
      <c r="AT792" s="2">
        <f>IF(Table2[[#This Row],[ActualAwayScore]] + Table2[[#This Row],[ActualHomeScore]] &lt;= 3, 1, 0)</f>
        <v>1</v>
      </c>
      <c r="AU792" s="2"/>
      <c r="AV792" s="2"/>
    </row>
    <row r="793" spans="1:48" x14ac:dyDescent="0.25">
      <c r="A793" s="3"/>
      <c r="B793" s="3">
        <v>46044</v>
      </c>
      <c r="C793" s="5">
        <v>2025020791</v>
      </c>
      <c r="D793" s="2" t="s">
        <v>20</v>
      </c>
      <c r="E793" s="2" t="s">
        <v>23</v>
      </c>
      <c r="F793" s="2"/>
      <c r="G793" s="2"/>
      <c r="H793" s="2" t="str">
        <f t="shared" si="64"/>
        <v>_</v>
      </c>
      <c r="I793" s="2"/>
      <c r="J793" s="2"/>
      <c r="K793" s="2"/>
      <c r="L793" s="2" t="str">
        <f t="shared" si="65"/>
        <v>_</v>
      </c>
      <c r="M793" s="2"/>
      <c r="N793" s="2">
        <f>IF(ISBLANK(Table2[[#This Row],[ActualResult]]), 0, 1)</f>
        <v>0</v>
      </c>
      <c r="O793" s="2" t="str">
        <f>IF(ISBLANK(Table2[[#This Row],[ActualResult]]), "_", IF(Table2[[#This Row],[ActualWinner]]=Table2[[#This Row],[PredictedWinner]], "Y", "N"))</f>
        <v>_</v>
      </c>
      <c r="P7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3" s="2"/>
      <c r="S793" s="2" t="str">
        <f t="shared" si="66"/>
        <v>_</v>
      </c>
      <c r="T7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3" s="2">
        <f>IF(Table2[[#This Row],[InterConf]]=1,IF(Table2[[#This Row],[InterDiv]]=0, 1, 0), 0)</f>
        <v>0</v>
      </c>
      <c r="W7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3" s="2"/>
      <c r="Y793" s="2"/>
      <c r="Z793" s="145">
        <f>IF(AND(Table2[[#This Row],[GameIsOver]]=1,Table2[[#This Row],[ActualHomeScore]]*Table2[[#This Row],[ActualAwayScore]]=0), 1,0)</f>
        <v>0</v>
      </c>
      <c r="AA7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3" s="2">
        <f>Table2[[#This Row],[ActualAwayScore]]-Table2[[#This Row],[PredictedAwayScore]]</f>
        <v>0</v>
      </c>
      <c r="AG793" s="2">
        <f>Table2[[#This Row],[ActualHomeScore]]-Table2[[#This Row],[PredictedHomeScore]]</f>
        <v>0</v>
      </c>
      <c r="AH793" s="2">
        <f t="shared" si="67"/>
        <v>0</v>
      </c>
      <c r="AI793" s="2">
        <f t="shared" si="68"/>
        <v>0</v>
      </c>
      <c r="AJ793" s="2"/>
      <c r="AK793" s="3"/>
      <c r="AL793" s="2">
        <f>IF(Table2[[#This Row],[GameIsOver]]=0,0,IF(Table2[[#This Row],[ActualWinner]]=Table2[[#This Row],[AwayTeam]], 1, 0))</f>
        <v>0</v>
      </c>
      <c r="AM793" s="2">
        <f>IF(Table2[[#This Row],[GameIsOver]]=0,0,IF(Table2[[#This Row],[ActualWinner]]=Table2[[#This Row],[HomeTeam]], 1, 0))</f>
        <v>0</v>
      </c>
      <c r="AN7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3" s="2" t="str">
        <f>INDEX(Sheet5!$B$2:$AG$33, MATCH(Table2[[#This Row],[AwayTeam]],Sheet5!$A$2:$A$33, 0), MATCH(Table2[[#This Row],[HomeTeam]],Sheet5!$A$2:$A$33, 0))</f>
        <v>0-0-0</v>
      </c>
      <c r="AP793" s="2" t="str">
        <f>INDEX(Sheet5!$B$2:$AG$33, MATCH(Table2[[#This Row],[HomeTeam]],Sheet5!$A$2:$A$33, 0), MATCH(Table2[[#This Row],[AwayTeam]],Sheet5!$A$2:$A$33, 0))</f>
        <v>0-0-0</v>
      </c>
      <c r="AQ793" s="2">
        <f>IF(Table2[[#This Row],[GameHasShutOut]], 1, 0)</f>
        <v>0</v>
      </c>
      <c r="AR793" s="2">
        <f>IF(Table2[[#This Row],[ActualAwayScore]] + Table2[[#This Row],[ActualHomeScore]] &gt;= 10, 1, 0)</f>
        <v>0</v>
      </c>
      <c r="AS793" s="2">
        <f>IF(ABS(Table2[[#This Row],[ActualAwayScore]]-Table2[[#This Row],[ActualHomeScore]])&gt;=5, 1, 0)</f>
        <v>0</v>
      </c>
      <c r="AT793" s="2">
        <f>IF(Table2[[#This Row],[ActualAwayScore]] + Table2[[#This Row],[ActualHomeScore]] &lt;= 3, 1, 0)</f>
        <v>1</v>
      </c>
      <c r="AU793" s="2"/>
      <c r="AV793" s="2"/>
    </row>
    <row r="794" spans="1:48" x14ac:dyDescent="0.25">
      <c r="A794" s="3"/>
      <c r="B794" s="3">
        <v>46044</v>
      </c>
      <c r="C794" s="5">
        <v>2025020792</v>
      </c>
      <c r="D794" s="2" t="s">
        <v>43</v>
      </c>
      <c r="E794" s="2" t="s">
        <v>24</v>
      </c>
      <c r="F794" s="2"/>
      <c r="G794" s="2"/>
      <c r="H794" s="2" t="str">
        <f t="shared" si="64"/>
        <v>_</v>
      </c>
      <c r="I794" s="2"/>
      <c r="J794" s="2"/>
      <c r="K794" s="2"/>
      <c r="L794" s="2" t="str">
        <f t="shared" si="65"/>
        <v>_</v>
      </c>
      <c r="M794" s="2"/>
      <c r="N794" s="2">
        <f>IF(ISBLANK(Table2[[#This Row],[ActualResult]]), 0, 1)</f>
        <v>0</v>
      </c>
      <c r="O794" s="2" t="str">
        <f>IF(ISBLANK(Table2[[#This Row],[ActualResult]]), "_", IF(Table2[[#This Row],[ActualWinner]]=Table2[[#This Row],[PredictedWinner]], "Y", "N"))</f>
        <v>_</v>
      </c>
      <c r="P7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4" s="2"/>
      <c r="S794" s="2" t="str">
        <f t="shared" si="66"/>
        <v>_</v>
      </c>
      <c r="T7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4" s="2">
        <f>IF(Table2[[#This Row],[InterConf]]=1,IF(Table2[[#This Row],[InterDiv]]=0, 1, 0), 0)</f>
        <v>0</v>
      </c>
      <c r="W7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4" s="2"/>
      <c r="Y794" s="2"/>
      <c r="Z794" s="145">
        <f>IF(AND(Table2[[#This Row],[GameIsOver]]=1,Table2[[#This Row],[ActualHomeScore]]*Table2[[#This Row],[ActualAwayScore]]=0), 1,0)</f>
        <v>0</v>
      </c>
      <c r="AA7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4" s="2">
        <f>Table2[[#This Row],[ActualAwayScore]]-Table2[[#This Row],[PredictedAwayScore]]</f>
        <v>0</v>
      </c>
      <c r="AG794" s="2">
        <f>Table2[[#This Row],[ActualHomeScore]]-Table2[[#This Row],[PredictedHomeScore]]</f>
        <v>0</v>
      </c>
      <c r="AH794" s="2">
        <f t="shared" si="67"/>
        <v>0</v>
      </c>
      <c r="AI794" s="2">
        <f t="shared" si="68"/>
        <v>0</v>
      </c>
      <c r="AJ794" s="2"/>
      <c r="AK794" s="3"/>
      <c r="AL794" s="2">
        <f>IF(Table2[[#This Row],[GameIsOver]]=0,0,IF(Table2[[#This Row],[ActualWinner]]=Table2[[#This Row],[AwayTeam]], 1, 0))</f>
        <v>0</v>
      </c>
      <c r="AM794" s="2">
        <f>IF(Table2[[#This Row],[GameIsOver]]=0,0,IF(Table2[[#This Row],[ActualWinner]]=Table2[[#This Row],[HomeTeam]], 1, 0))</f>
        <v>0</v>
      </c>
      <c r="AN7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4" s="2" t="str">
        <f>INDEX(Sheet5!$B$2:$AG$33, MATCH(Table2[[#This Row],[AwayTeam]],Sheet5!$A$2:$A$33, 0), MATCH(Table2[[#This Row],[HomeTeam]],Sheet5!$A$2:$A$33, 0))</f>
        <v>0-1-0</v>
      </c>
      <c r="AP794" s="2" t="str">
        <f>INDEX(Sheet5!$B$2:$AG$33, MATCH(Table2[[#This Row],[HomeTeam]],Sheet5!$A$2:$A$33, 0), MATCH(Table2[[#This Row],[AwayTeam]],Sheet5!$A$2:$A$33, 0))</f>
        <v>1-0-0</v>
      </c>
      <c r="AQ794" s="2">
        <f>IF(Table2[[#This Row],[GameHasShutOut]], 1, 0)</f>
        <v>0</v>
      </c>
      <c r="AR794" s="2">
        <f>IF(Table2[[#This Row],[ActualAwayScore]] + Table2[[#This Row],[ActualHomeScore]] &gt;= 10, 1, 0)</f>
        <v>0</v>
      </c>
      <c r="AS794" s="2">
        <f>IF(ABS(Table2[[#This Row],[ActualAwayScore]]-Table2[[#This Row],[ActualHomeScore]])&gt;=5, 1, 0)</f>
        <v>0</v>
      </c>
      <c r="AT794" s="2">
        <f>IF(Table2[[#This Row],[ActualAwayScore]] + Table2[[#This Row],[ActualHomeScore]] &lt;= 3, 1, 0)</f>
        <v>1</v>
      </c>
      <c r="AU794" s="2"/>
      <c r="AV794" s="2"/>
    </row>
    <row r="795" spans="1:48" x14ac:dyDescent="0.25">
      <c r="A795" s="3"/>
      <c r="B795" s="3">
        <v>46044</v>
      </c>
      <c r="C795" s="5">
        <v>2025020793</v>
      </c>
      <c r="D795" s="2" t="s">
        <v>32</v>
      </c>
      <c r="E795" s="2" t="s">
        <v>11</v>
      </c>
      <c r="F795" s="2"/>
      <c r="G795" s="2"/>
      <c r="H795" s="2" t="str">
        <f t="shared" si="64"/>
        <v>_</v>
      </c>
      <c r="I795" s="2"/>
      <c r="J795" s="2"/>
      <c r="K795" s="2"/>
      <c r="L795" s="2" t="str">
        <f t="shared" si="65"/>
        <v>_</v>
      </c>
      <c r="M795" s="2"/>
      <c r="N795" s="2">
        <f>IF(ISBLANK(Table2[[#This Row],[ActualResult]]), 0, 1)</f>
        <v>0</v>
      </c>
      <c r="O795" s="2" t="str">
        <f>IF(ISBLANK(Table2[[#This Row],[ActualResult]]), "_", IF(Table2[[#This Row],[ActualWinner]]=Table2[[#This Row],[PredictedWinner]], "Y", "N"))</f>
        <v>_</v>
      </c>
      <c r="P7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5" s="2"/>
      <c r="S795" s="2" t="str">
        <f t="shared" si="66"/>
        <v>_</v>
      </c>
      <c r="T7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5" s="2">
        <f>IF(Table2[[#This Row],[InterConf]]=1,IF(Table2[[#This Row],[InterDiv]]=0, 1, 0), 0)</f>
        <v>0</v>
      </c>
      <c r="W7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5" s="2"/>
      <c r="Y795" s="2"/>
      <c r="Z795" s="145">
        <f>IF(AND(Table2[[#This Row],[GameIsOver]]=1,Table2[[#This Row],[ActualHomeScore]]*Table2[[#This Row],[ActualAwayScore]]=0), 1,0)</f>
        <v>0</v>
      </c>
      <c r="AA7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5" s="2">
        <f>Table2[[#This Row],[ActualAwayScore]]-Table2[[#This Row],[PredictedAwayScore]]</f>
        <v>0</v>
      </c>
      <c r="AG795" s="2">
        <f>Table2[[#This Row],[ActualHomeScore]]-Table2[[#This Row],[PredictedHomeScore]]</f>
        <v>0</v>
      </c>
      <c r="AH795" s="2">
        <f t="shared" si="67"/>
        <v>0</v>
      </c>
      <c r="AI795" s="2">
        <f t="shared" si="68"/>
        <v>0</v>
      </c>
      <c r="AJ795" s="2"/>
      <c r="AK795" s="3"/>
      <c r="AL795" s="2">
        <f>IF(Table2[[#This Row],[GameIsOver]]=0,0,IF(Table2[[#This Row],[ActualWinner]]=Table2[[#This Row],[AwayTeam]], 1, 0))</f>
        <v>0</v>
      </c>
      <c r="AM795" s="2">
        <f>IF(Table2[[#This Row],[GameIsOver]]=0,0,IF(Table2[[#This Row],[ActualWinner]]=Table2[[#This Row],[HomeTeam]], 1, 0))</f>
        <v>0</v>
      </c>
      <c r="AN7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5" s="2" t="str">
        <f>INDEX(Sheet5!$B$2:$AG$33, MATCH(Table2[[#This Row],[AwayTeam]],Sheet5!$A$2:$A$33, 0), MATCH(Table2[[#This Row],[HomeTeam]],Sheet5!$A$2:$A$33, 0))</f>
        <v>0-0-0</v>
      </c>
      <c r="AP795" s="2" t="str">
        <f>INDEX(Sheet5!$B$2:$AG$33, MATCH(Table2[[#This Row],[HomeTeam]],Sheet5!$A$2:$A$33, 0), MATCH(Table2[[#This Row],[AwayTeam]],Sheet5!$A$2:$A$33, 0))</f>
        <v>0-0-0</v>
      </c>
      <c r="AQ795" s="2">
        <f>IF(Table2[[#This Row],[GameHasShutOut]], 1, 0)</f>
        <v>0</v>
      </c>
      <c r="AR795" s="2">
        <f>IF(Table2[[#This Row],[ActualAwayScore]] + Table2[[#This Row],[ActualHomeScore]] &gt;= 10, 1, 0)</f>
        <v>0</v>
      </c>
      <c r="AS795" s="2">
        <f>IF(ABS(Table2[[#This Row],[ActualAwayScore]]-Table2[[#This Row],[ActualHomeScore]])&gt;=5, 1, 0)</f>
        <v>0</v>
      </c>
      <c r="AT795" s="2">
        <f>IF(Table2[[#This Row],[ActualAwayScore]] + Table2[[#This Row],[ActualHomeScore]] &lt;= 3, 1, 0)</f>
        <v>1</v>
      </c>
      <c r="AU795" s="2"/>
      <c r="AV795" s="2"/>
    </row>
    <row r="796" spans="1:48" x14ac:dyDescent="0.25">
      <c r="A796" s="3"/>
      <c r="B796" s="3">
        <v>46045</v>
      </c>
      <c r="C796" s="5">
        <v>2025020794</v>
      </c>
      <c r="D796" s="2" t="s">
        <v>26</v>
      </c>
      <c r="E796" s="2" t="s">
        <v>15</v>
      </c>
      <c r="F796" s="2"/>
      <c r="G796" s="2"/>
      <c r="H796" s="2" t="str">
        <f t="shared" si="64"/>
        <v>_</v>
      </c>
      <c r="I796" s="2"/>
      <c r="J796" s="2"/>
      <c r="K796" s="2"/>
      <c r="L796" s="2" t="str">
        <f t="shared" si="65"/>
        <v>_</v>
      </c>
      <c r="M796" s="2"/>
      <c r="N796" s="2">
        <f>IF(ISBLANK(Table2[[#This Row],[ActualResult]]), 0, 1)</f>
        <v>0</v>
      </c>
      <c r="O796" s="2" t="str">
        <f>IF(ISBLANK(Table2[[#This Row],[ActualResult]]), "_", IF(Table2[[#This Row],[ActualWinner]]=Table2[[#This Row],[PredictedWinner]], "Y", "N"))</f>
        <v>_</v>
      </c>
      <c r="P7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6" s="2"/>
      <c r="S796" s="2" t="str">
        <f t="shared" si="66"/>
        <v>_</v>
      </c>
      <c r="T7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6" s="2">
        <f>IF(Table2[[#This Row],[InterConf]]=1,IF(Table2[[#This Row],[InterDiv]]=0, 1, 0), 0)</f>
        <v>0</v>
      </c>
      <c r="W7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6" s="2"/>
      <c r="Y796" s="2"/>
      <c r="Z796" s="145">
        <f>IF(AND(Table2[[#This Row],[GameIsOver]]=1,Table2[[#This Row],[ActualHomeScore]]*Table2[[#This Row],[ActualAwayScore]]=0), 1,0)</f>
        <v>0</v>
      </c>
      <c r="AA7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6" s="2">
        <f>Table2[[#This Row],[ActualAwayScore]]-Table2[[#This Row],[PredictedAwayScore]]</f>
        <v>0</v>
      </c>
      <c r="AG796" s="2">
        <f>Table2[[#This Row],[ActualHomeScore]]-Table2[[#This Row],[PredictedHomeScore]]</f>
        <v>0</v>
      </c>
      <c r="AH796" s="2">
        <f t="shared" si="67"/>
        <v>0</v>
      </c>
      <c r="AI796" s="2">
        <f t="shared" si="68"/>
        <v>0</v>
      </c>
      <c r="AJ796" s="2"/>
      <c r="AK796" s="3"/>
      <c r="AL796" s="2">
        <f>IF(Table2[[#This Row],[GameIsOver]]=0,0,IF(Table2[[#This Row],[ActualWinner]]=Table2[[#This Row],[AwayTeam]], 1, 0))</f>
        <v>0</v>
      </c>
      <c r="AM796" s="2">
        <f>IF(Table2[[#This Row],[GameIsOver]]=0,0,IF(Table2[[#This Row],[ActualWinner]]=Table2[[#This Row],[HomeTeam]], 1, 0))</f>
        <v>0</v>
      </c>
      <c r="AN7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6" s="2" t="str">
        <f>INDEX(Sheet5!$B$2:$AG$33, MATCH(Table2[[#This Row],[AwayTeam]],Sheet5!$A$2:$A$33, 0), MATCH(Table2[[#This Row],[HomeTeam]],Sheet5!$A$2:$A$33, 0))</f>
        <v>1-0-0</v>
      </c>
      <c r="AP796" s="2" t="str">
        <f>INDEX(Sheet5!$B$2:$AG$33, MATCH(Table2[[#This Row],[HomeTeam]],Sheet5!$A$2:$A$33, 0), MATCH(Table2[[#This Row],[AwayTeam]],Sheet5!$A$2:$A$33, 0))</f>
        <v>0-1-0</v>
      </c>
      <c r="AQ796" s="2">
        <f>IF(Table2[[#This Row],[GameHasShutOut]], 1, 0)</f>
        <v>0</v>
      </c>
      <c r="AR796" s="2">
        <f>IF(Table2[[#This Row],[ActualAwayScore]] + Table2[[#This Row],[ActualHomeScore]] &gt;= 10, 1, 0)</f>
        <v>0</v>
      </c>
      <c r="AS796" s="2">
        <f>IF(ABS(Table2[[#This Row],[ActualAwayScore]]-Table2[[#This Row],[ActualHomeScore]])&gt;=5, 1, 0)</f>
        <v>0</v>
      </c>
      <c r="AT796" s="2">
        <f>IF(Table2[[#This Row],[ActualAwayScore]] + Table2[[#This Row],[ActualHomeScore]] &lt;= 3, 1, 0)</f>
        <v>1</v>
      </c>
      <c r="AU796" s="2"/>
      <c r="AV796" s="2"/>
    </row>
    <row r="797" spans="1:48" x14ac:dyDescent="0.25">
      <c r="A797" s="3"/>
      <c r="B797" s="3">
        <v>46045</v>
      </c>
      <c r="C797" s="5">
        <v>2025020795</v>
      </c>
      <c r="D797" s="2" t="s">
        <v>28</v>
      </c>
      <c r="E797" s="2" t="s">
        <v>18</v>
      </c>
      <c r="F797" s="2"/>
      <c r="G797" s="2"/>
      <c r="H797" s="2" t="str">
        <f t="shared" si="64"/>
        <v>_</v>
      </c>
      <c r="I797" s="2"/>
      <c r="J797" s="2"/>
      <c r="K797" s="2"/>
      <c r="L797" s="2" t="str">
        <f t="shared" si="65"/>
        <v>_</v>
      </c>
      <c r="M797" s="2"/>
      <c r="N797" s="2">
        <f>IF(ISBLANK(Table2[[#This Row],[ActualResult]]), 0, 1)</f>
        <v>0</v>
      </c>
      <c r="O797" s="2" t="str">
        <f>IF(ISBLANK(Table2[[#This Row],[ActualResult]]), "_", IF(Table2[[#This Row],[ActualWinner]]=Table2[[#This Row],[PredictedWinner]], "Y", "N"))</f>
        <v>_</v>
      </c>
      <c r="P7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7" s="2"/>
      <c r="S797" s="2" t="str">
        <f t="shared" si="66"/>
        <v>_</v>
      </c>
      <c r="T7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97" s="2">
        <f>IF(Table2[[#This Row],[InterConf]]=1,IF(Table2[[#This Row],[InterDiv]]=0, 1, 0), 0)</f>
        <v>0</v>
      </c>
      <c r="W7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7" s="2"/>
      <c r="Y797" s="2"/>
      <c r="Z797" s="145">
        <f>IF(AND(Table2[[#This Row],[GameIsOver]]=1,Table2[[#This Row],[ActualHomeScore]]*Table2[[#This Row],[ActualAwayScore]]=0), 1,0)</f>
        <v>0</v>
      </c>
      <c r="AA7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7" s="2">
        <f>Table2[[#This Row],[ActualAwayScore]]-Table2[[#This Row],[PredictedAwayScore]]</f>
        <v>0</v>
      </c>
      <c r="AG797" s="2">
        <f>Table2[[#This Row],[ActualHomeScore]]-Table2[[#This Row],[PredictedHomeScore]]</f>
        <v>0</v>
      </c>
      <c r="AH797" s="2">
        <f t="shared" si="67"/>
        <v>0</v>
      </c>
      <c r="AI797" s="2">
        <f t="shared" si="68"/>
        <v>0</v>
      </c>
      <c r="AJ797" s="2"/>
      <c r="AK797" s="3"/>
      <c r="AL797" s="2">
        <f>IF(Table2[[#This Row],[GameIsOver]]=0,0,IF(Table2[[#This Row],[ActualWinner]]=Table2[[#This Row],[AwayTeam]], 1, 0))</f>
        <v>0</v>
      </c>
      <c r="AM797" s="2">
        <f>IF(Table2[[#This Row],[GameIsOver]]=0,0,IF(Table2[[#This Row],[ActualWinner]]=Table2[[#This Row],[HomeTeam]], 1, 0))</f>
        <v>0</v>
      </c>
      <c r="AN7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7" s="2" t="str">
        <f>INDEX(Sheet5!$B$2:$AG$33, MATCH(Table2[[#This Row],[AwayTeam]],Sheet5!$A$2:$A$33, 0), MATCH(Table2[[#This Row],[HomeTeam]],Sheet5!$A$2:$A$33, 0))</f>
        <v>0-1-0</v>
      </c>
      <c r="AP797" s="2" t="str">
        <f>INDEX(Sheet5!$B$2:$AG$33, MATCH(Table2[[#This Row],[HomeTeam]],Sheet5!$A$2:$A$33, 0), MATCH(Table2[[#This Row],[AwayTeam]],Sheet5!$A$2:$A$33, 0))</f>
        <v>1-0-0</v>
      </c>
      <c r="AQ797" s="2">
        <f>IF(Table2[[#This Row],[GameHasShutOut]], 1, 0)</f>
        <v>0</v>
      </c>
      <c r="AR797" s="2">
        <f>IF(Table2[[#This Row],[ActualAwayScore]] + Table2[[#This Row],[ActualHomeScore]] &gt;= 10, 1, 0)</f>
        <v>0</v>
      </c>
      <c r="AS797" s="2">
        <f>IF(ABS(Table2[[#This Row],[ActualAwayScore]]-Table2[[#This Row],[ActualHomeScore]])&gt;=5, 1, 0)</f>
        <v>0</v>
      </c>
      <c r="AT797" s="2">
        <f>IF(Table2[[#This Row],[ActualAwayScore]] + Table2[[#This Row],[ActualHomeScore]] &lt;= 3, 1, 0)</f>
        <v>1</v>
      </c>
      <c r="AU797" s="2"/>
      <c r="AV797" s="2"/>
    </row>
    <row r="798" spans="1:48" x14ac:dyDescent="0.25">
      <c r="A798" s="3"/>
      <c r="B798" s="3">
        <v>46045</v>
      </c>
      <c r="C798" s="5">
        <v>2025020796</v>
      </c>
      <c r="D798" s="2" t="s">
        <v>16</v>
      </c>
      <c r="E798" s="2" t="s">
        <v>41</v>
      </c>
      <c r="F798" s="2"/>
      <c r="G798" s="2"/>
      <c r="H798" s="2" t="str">
        <f t="shared" si="64"/>
        <v>_</v>
      </c>
      <c r="I798" s="2"/>
      <c r="J798" s="2"/>
      <c r="K798" s="2"/>
      <c r="L798" s="2" t="str">
        <f t="shared" si="65"/>
        <v>_</v>
      </c>
      <c r="M798" s="2"/>
      <c r="N798" s="2">
        <f>IF(ISBLANK(Table2[[#This Row],[ActualResult]]), 0, 1)</f>
        <v>0</v>
      </c>
      <c r="O798" s="2" t="str">
        <f>IF(ISBLANK(Table2[[#This Row],[ActualResult]]), "_", IF(Table2[[#This Row],[ActualWinner]]=Table2[[#This Row],[PredictedWinner]], "Y", "N"))</f>
        <v>_</v>
      </c>
      <c r="P7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8" s="2"/>
      <c r="S798" s="2" t="str">
        <f t="shared" si="66"/>
        <v>_</v>
      </c>
      <c r="T7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8" s="2">
        <f>IF(Table2[[#This Row],[InterConf]]=1,IF(Table2[[#This Row],[InterDiv]]=0, 1, 0), 0)</f>
        <v>0</v>
      </c>
      <c r="W7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8" s="2"/>
      <c r="Y798" s="2"/>
      <c r="Z798" s="145">
        <f>IF(AND(Table2[[#This Row],[GameIsOver]]=1,Table2[[#This Row],[ActualHomeScore]]*Table2[[#This Row],[ActualAwayScore]]=0), 1,0)</f>
        <v>0</v>
      </c>
      <c r="AA7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8" s="2">
        <f>Table2[[#This Row],[ActualAwayScore]]-Table2[[#This Row],[PredictedAwayScore]]</f>
        <v>0</v>
      </c>
      <c r="AG798" s="2">
        <f>Table2[[#This Row],[ActualHomeScore]]-Table2[[#This Row],[PredictedHomeScore]]</f>
        <v>0</v>
      </c>
      <c r="AH798" s="2">
        <f t="shared" si="67"/>
        <v>0</v>
      </c>
      <c r="AI798" s="2">
        <f t="shared" si="68"/>
        <v>0</v>
      </c>
      <c r="AJ798" s="2"/>
      <c r="AK798" s="3"/>
      <c r="AL798" s="2">
        <f>IF(Table2[[#This Row],[GameIsOver]]=0,0,IF(Table2[[#This Row],[ActualWinner]]=Table2[[#This Row],[AwayTeam]], 1, 0))</f>
        <v>0</v>
      </c>
      <c r="AM798" s="2">
        <f>IF(Table2[[#This Row],[GameIsOver]]=0,0,IF(Table2[[#This Row],[ActualWinner]]=Table2[[#This Row],[HomeTeam]], 1, 0))</f>
        <v>0</v>
      </c>
      <c r="AN7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8" s="2" t="str">
        <f>INDEX(Sheet5!$B$2:$AG$33, MATCH(Table2[[#This Row],[AwayTeam]],Sheet5!$A$2:$A$33, 0), MATCH(Table2[[#This Row],[HomeTeam]],Sheet5!$A$2:$A$33, 0))</f>
        <v>0-0-0</v>
      </c>
      <c r="AP798" s="2" t="str">
        <f>INDEX(Sheet5!$B$2:$AG$33, MATCH(Table2[[#This Row],[HomeTeam]],Sheet5!$A$2:$A$33, 0), MATCH(Table2[[#This Row],[AwayTeam]],Sheet5!$A$2:$A$33, 0))</f>
        <v>0-0-0</v>
      </c>
      <c r="AQ798" s="2">
        <f>IF(Table2[[#This Row],[GameHasShutOut]], 1, 0)</f>
        <v>0</v>
      </c>
      <c r="AR798" s="2">
        <f>IF(Table2[[#This Row],[ActualAwayScore]] + Table2[[#This Row],[ActualHomeScore]] &gt;= 10, 1, 0)</f>
        <v>0</v>
      </c>
      <c r="AS798" s="2">
        <f>IF(ABS(Table2[[#This Row],[ActualAwayScore]]-Table2[[#This Row],[ActualHomeScore]])&gt;=5, 1, 0)</f>
        <v>0</v>
      </c>
      <c r="AT798" s="2">
        <f>IF(Table2[[#This Row],[ActualAwayScore]] + Table2[[#This Row],[ActualHomeScore]] &lt;= 3, 1, 0)</f>
        <v>1</v>
      </c>
      <c r="AU798" s="2"/>
      <c r="AV798" s="2"/>
    </row>
    <row r="799" spans="1:48" x14ac:dyDescent="0.25">
      <c r="A799" s="3"/>
      <c r="B799" s="3">
        <v>46045</v>
      </c>
      <c r="C799" s="5">
        <v>2025020797</v>
      </c>
      <c r="D799" s="2" t="s">
        <v>33</v>
      </c>
      <c r="E799" s="2" t="s">
        <v>35</v>
      </c>
      <c r="F799" s="2"/>
      <c r="G799" s="2"/>
      <c r="H799" s="2" t="str">
        <f t="shared" si="64"/>
        <v>_</v>
      </c>
      <c r="I799" s="2"/>
      <c r="J799" s="2"/>
      <c r="K799" s="2"/>
      <c r="L799" s="2" t="str">
        <f t="shared" si="65"/>
        <v>_</v>
      </c>
      <c r="M799" s="2"/>
      <c r="N799" s="2">
        <f>IF(ISBLANK(Table2[[#This Row],[ActualResult]]), 0, 1)</f>
        <v>0</v>
      </c>
      <c r="O799" s="2" t="str">
        <f>IF(ISBLANK(Table2[[#This Row],[ActualResult]]), "_", IF(Table2[[#This Row],[ActualWinner]]=Table2[[#This Row],[PredictedWinner]], "Y", "N"))</f>
        <v>_</v>
      </c>
      <c r="P7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9" s="2"/>
      <c r="S799" s="2" t="str">
        <f t="shared" si="66"/>
        <v>_</v>
      </c>
      <c r="T7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9" s="2">
        <f>IF(Table2[[#This Row],[InterConf]]=1,IF(Table2[[#This Row],[InterDiv]]=0, 1, 0), 0)</f>
        <v>0</v>
      </c>
      <c r="W7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9" s="2"/>
      <c r="Y799" s="2"/>
      <c r="Z799" s="145">
        <f>IF(AND(Table2[[#This Row],[GameIsOver]]=1,Table2[[#This Row],[ActualHomeScore]]*Table2[[#This Row],[ActualAwayScore]]=0), 1,0)</f>
        <v>0</v>
      </c>
      <c r="AA7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9" s="2">
        <f>Table2[[#This Row],[ActualAwayScore]]-Table2[[#This Row],[PredictedAwayScore]]</f>
        <v>0</v>
      </c>
      <c r="AG799" s="2">
        <f>Table2[[#This Row],[ActualHomeScore]]-Table2[[#This Row],[PredictedHomeScore]]</f>
        <v>0</v>
      </c>
      <c r="AH799" s="2">
        <f t="shared" si="67"/>
        <v>0</v>
      </c>
      <c r="AI799" s="2">
        <f t="shared" si="68"/>
        <v>0</v>
      </c>
      <c r="AJ799" s="2"/>
      <c r="AK799" s="3"/>
      <c r="AL799" s="2">
        <f>IF(Table2[[#This Row],[GameIsOver]]=0,0,IF(Table2[[#This Row],[ActualWinner]]=Table2[[#This Row],[AwayTeam]], 1, 0))</f>
        <v>0</v>
      </c>
      <c r="AM799" s="2">
        <f>IF(Table2[[#This Row],[GameIsOver]]=0,0,IF(Table2[[#This Row],[ActualWinner]]=Table2[[#This Row],[HomeTeam]], 1, 0))</f>
        <v>0</v>
      </c>
      <c r="AN7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9" s="2" t="str">
        <f>INDEX(Sheet5!$B$2:$AG$33, MATCH(Table2[[#This Row],[AwayTeam]],Sheet5!$A$2:$A$33, 0), MATCH(Table2[[#This Row],[HomeTeam]],Sheet5!$A$2:$A$33, 0))</f>
        <v>0-1-0</v>
      </c>
      <c r="AP799" s="2" t="str">
        <f>INDEX(Sheet5!$B$2:$AG$33, MATCH(Table2[[#This Row],[HomeTeam]],Sheet5!$A$2:$A$33, 0), MATCH(Table2[[#This Row],[AwayTeam]],Sheet5!$A$2:$A$33, 0))</f>
        <v>1-0-0</v>
      </c>
      <c r="AQ799" s="2">
        <f>IF(Table2[[#This Row],[GameHasShutOut]], 1, 0)</f>
        <v>0</v>
      </c>
      <c r="AR799" s="2">
        <f>IF(Table2[[#This Row],[ActualAwayScore]] + Table2[[#This Row],[ActualHomeScore]] &gt;= 10, 1, 0)</f>
        <v>0</v>
      </c>
      <c r="AS799" s="2">
        <f>IF(ABS(Table2[[#This Row],[ActualAwayScore]]-Table2[[#This Row],[ActualHomeScore]])&gt;=5, 1, 0)</f>
        <v>0</v>
      </c>
      <c r="AT799" s="2">
        <f>IF(Table2[[#This Row],[ActualAwayScore]] + Table2[[#This Row],[ActualHomeScore]] &lt;= 3, 1, 0)</f>
        <v>1</v>
      </c>
      <c r="AU799" s="2"/>
      <c r="AV799" s="2"/>
    </row>
    <row r="800" spans="1:48" x14ac:dyDescent="0.25">
      <c r="A800" s="3"/>
      <c r="B800" s="3">
        <v>46045</v>
      </c>
      <c r="C800" s="5">
        <v>2025020798</v>
      </c>
      <c r="D800" s="2" t="s">
        <v>29</v>
      </c>
      <c r="E800" s="2" t="s">
        <v>34</v>
      </c>
      <c r="F800" s="2"/>
      <c r="G800" s="2"/>
      <c r="H800" s="2" t="str">
        <f t="shared" si="64"/>
        <v>_</v>
      </c>
      <c r="I800" s="2"/>
      <c r="J800" s="2"/>
      <c r="K800" s="2"/>
      <c r="L800" s="2" t="str">
        <f t="shared" si="65"/>
        <v>_</v>
      </c>
      <c r="M800" s="2"/>
      <c r="N800" s="2">
        <f>IF(ISBLANK(Table2[[#This Row],[ActualResult]]), 0, 1)</f>
        <v>0</v>
      </c>
      <c r="O800" s="2" t="str">
        <f>IF(ISBLANK(Table2[[#This Row],[ActualResult]]), "_", IF(Table2[[#This Row],[ActualWinner]]=Table2[[#This Row],[PredictedWinner]], "Y", "N"))</f>
        <v>_</v>
      </c>
      <c r="P8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0" s="2"/>
      <c r="S800" s="2" t="str">
        <f t="shared" si="66"/>
        <v>_</v>
      </c>
      <c r="T8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0" s="2">
        <f>IF(Table2[[#This Row],[InterConf]]=1,IF(Table2[[#This Row],[InterDiv]]=0, 1, 0), 0)</f>
        <v>0</v>
      </c>
      <c r="W8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0" s="2"/>
      <c r="Y800" s="2"/>
      <c r="Z800" s="145">
        <f>IF(AND(Table2[[#This Row],[GameIsOver]]=1,Table2[[#This Row],[ActualHomeScore]]*Table2[[#This Row],[ActualAwayScore]]=0), 1,0)</f>
        <v>0</v>
      </c>
      <c r="AA8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0" s="2">
        <f>Table2[[#This Row],[ActualAwayScore]]-Table2[[#This Row],[PredictedAwayScore]]</f>
        <v>0</v>
      </c>
      <c r="AG800" s="2">
        <f>Table2[[#This Row],[ActualHomeScore]]-Table2[[#This Row],[PredictedHomeScore]]</f>
        <v>0</v>
      </c>
      <c r="AH800" s="2">
        <f t="shared" si="67"/>
        <v>0</v>
      </c>
      <c r="AI800" s="2">
        <f t="shared" si="68"/>
        <v>0</v>
      </c>
      <c r="AJ800" s="2"/>
      <c r="AK800" s="3"/>
      <c r="AL800" s="2">
        <f>IF(Table2[[#This Row],[GameIsOver]]=0,0,IF(Table2[[#This Row],[ActualWinner]]=Table2[[#This Row],[AwayTeam]], 1, 0))</f>
        <v>0</v>
      </c>
      <c r="AM800" s="2">
        <f>IF(Table2[[#This Row],[GameIsOver]]=0,0,IF(Table2[[#This Row],[ActualWinner]]=Table2[[#This Row],[HomeTeam]], 1, 0))</f>
        <v>0</v>
      </c>
      <c r="AN8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0" s="2" t="str">
        <f>INDEX(Sheet5!$B$2:$AG$33, MATCH(Table2[[#This Row],[AwayTeam]],Sheet5!$A$2:$A$33, 0), MATCH(Table2[[#This Row],[HomeTeam]],Sheet5!$A$2:$A$33, 0))</f>
        <v>0-1-0</v>
      </c>
      <c r="AP800" s="2" t="str">
        <f>INDEX(Sheet5!$B$2:$AG$33, MATCH(Table2[[#This Row],[HomeTeam]],Sheet5!$A$2:$A$33, 0), MATCH(Table2[[#This Row],[AwayTeam]],Sheet5!$A$2:$A$33, 0))</f>
        <v>1-0-0</v>
      </c>
      <c r="AQ800" s="2">
        <f>IF(Table2[[#This Row],[GameHasShutOut]], 1, 0)</f>
        <v>0</v>
      </c>
      <c r="AR800" s="2">
        <f>IF(Table2[[#This Row],[ActualAwayScore]] + Table2[[#This Row],[ActualHomeScore]] &gt;= 10, 1, 0)</f>
        <v>0</v>
      </c>
      <c r="AS800" s="2">
        <f>IF(ABS(Table2[[#This Row],[ActualAwayScore]]-Table2[[#This Row],[ActualHomeScore]])&gt;=5, 1, 0)</f>
        <v>0</v>
      </c>
      <c r="AT800" s="2">
        <f>IF(Table2[[#This Row],[ActualAwayScore]] + Table2[[#This Row],[ActualHomeScore]] &lt;= 3, 1, 0)</f>
        <v>1</v>
      </c>
      <c r="AU800" s="2"/>
      <c r="AV800" s="2"/>
    </row>
    <row r="801" spans="1:48" x14ac:dyDescent="0.25">
      <c r="A801" s="3"/>
      <c r="B801" s="3">
        <v>46045</v>
      </c>
      <c r="C801" s="5">
        <v>2025020799</v>
      </c>
      <c r="D801" s="2" t="s">
        <v>13</v>
      </c>
      <c r="E801" s="2" t="s">
        <v>21</v>
      </c>
      <c r="F801" s="2"/>
      <c r="G801" s="2"/>
      <c r="H801" s="2" t="str">
        <f t="shared" si="64"/>
        <v>_</v>
      </c>
      <c r="I801" s="2"/>
      <c r="J801" s="2"/>
      <c r="K801" s="2"/>
      <c r="L801" s="2" t="str">
        <f t="shared" si="65"/>
        <v>_</v>
      </c>
      <c r="M801" s="2"/>
      <c r="N801" s="2">
        <f>IF(ISBLANK(Table2[[#This Row],[ActualResult]]), 0, 1)</f>
        <v>0</v>
      </c>
      <c r="O801" s="2" t="str">
        <f>IF(ISBLANK(Table2[[#This Row],[ActualResult]]), "_", IF(Table2[[#This Row],[ActualWinner]]=Table2[[#This Row],[PredictedWinner]], "Y", "N"))</f>
        <v>_</v>
      </c>
      <c r="P8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1" s="2"/>
      <c r="S801" s="2" t="str">
        <f t="shared" si="66"/>
        <v>_</v>
      </c>
      <c r="T8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1" s="2">
        <f>IF(Table2[[#This Row],[InterConf]]=1,IF(Table2[[#This Row],[InterDiv]]=0, 1, 0), 0)</f>
        <v>0</v>
      </c>
      <c r="W8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1" s="2"/>
      <c r="Y801" s="2"/>
      <c r="Z801" s="145">
        <f>IF(AND(Table2[[#This Row],[GameIsOver]]=1,Table2[[#This Row],[ActualHomeScore]]*Table2[[#This Row],[ActualAwayScore]]=0), 1,0)</f>
        <v>0</v>
      </c>
      <c r="AA8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1" s="2">
        <f>Table2[[#This Row],[ActualAwayScore]]-Table2[[#This Row],[PredictedAwayScore]]</f>
        <v>0</v>
      </c>
      <c r="AG801" s="2">
        <f>Table2[[#This Row],[ActualHomeScore]]-Table2[[#This Row],[PredictedHomeScore]]</f>
        <v>0</v>
      </c>
      <c r="AH801" s="2">
        <f t="shared" si="67"/>
        <v>0</v>
      </c>
      <c r="AI801" s="2">
        <f t="shared" si="68"/>
        <v>0</v>
      </c>
      <c r="AJ801" s="2"/>
      <c r="AK801" s="3"/>
      <c r="AL801" s="2">
        <f>IF(Table2[[#This Row],[GameIsOver]]=0,0,IF(Table2[[#This Row],[ActualWinner]]=Table2[[#This Row],[AwayTeam]], 1, 0))</f>
        <v>0</v>
      </c>
      <c r="AM801" s="2">
        <f>IF(Table2[[#This Row],[GameIsOver]]=0,0,IF(Table2[[#This Row],[ActualWinner]]=Table2[[#This Row],[HomeTeam]], 1, 0))</f>
        <v>0</v>
      </c>
      <c r="AN8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1" s="2" t="str">
        <f>INDEX(Sheet5!$B$2:$AG$33, MATCH(Table2[[#This Row],[AwayTeam]],Sheet5!$A$2:$A$33, 0), MATCH(Table2[[#This Row],[HomeTeam]],Sheet5!$A$2:$A$33, 0))</f>
        <v>0-0-0</v>
      </c>
      <c r="AP801" s="2" t="str">
        <f>INDEX(Sheet5!$B$2:$AG$33, MATCH(Table2[[#This Row],[HomeTeam]],Sheet5!$A$2:$A$33, 0), MATCH(Table2[[#This Row],[AwayTeam]],Sheet5!$A$2:$A$33, 0))</f>
        <v>0-0-0</v>
      </c>
      <c r="AQ801" s="2">
        <f>IF(Table2[[#This Row],[GameHasShutOut]], 1, 0)</f>
        <v>0</v>
      </c>
      <c r="AR801" s="2">
        <f>IF(Table2[[#This Row],[ActualAwayScore]] + Table2[[#This Row],[ActualHomeScore]] &gt;= 10, 1, 0)</f>
        <v>0</v>
      </c>
      <c r="AS801" s="2">
        <f>IF(ABS(Table2[[#This Row],[ActualAwayScore]]-Table2[[#This Row],[ActualHomeScore]])&gt;=5, 1, 0)</f>
        <v>0</v>
      </c>
      <c r="AT801" s="2">
        <f>IF(Table2[[#This Row],[ActualAwayScore]] + Table2[[#This Row],[ActualHomeScore]] &lt;= 3, 1, 0)</f>
        <v>1</v>
      </c>
      <c r="AU801" s="2"/>
      <c r="AV801" s="2"/>
    </row>
    <row r="802" spans="1:48" x14ac:dyDescent="0.25">
      <c r="A802" s="3"/>
      <c r="B802" s="3">
        <v>46045</v>
      </c>
      <c r="C802" s="5">
        <v>2025020800</v>
      </c>
      <c r="D802" s="2" t="s">
        <v>20</v>
      </c>
      <c r="E802" s="2" t="s">
        <v>22</v>
      </c>
      <c r="F802" s="2"/>
      <c r="G802" s="2"/>
      <c r="H802" s="2" t="str">
        <f t="shared" si="64"/>
        <v>_</v>
      </c>
      <c r="I802" s="2"/>
      <c r="J802" s="2"/>
      <c r="K802" s="2"/>
      <c r="L802" s="2" t="str">
        <f t="shared" si="65"/>
        <v>_</v>
      </c>
      <c r="M802" s="2"/>
      <c r="N802" s="2">
        <f>IF(ISBLANK(Table2[[#This Row],[ActualResult]]), 0, 1)</f>
        <v>0</v>
      </c>
      <c r="O802" s="2" t="str">
        <f>IF(ISBLANK(Table2[[#This Row],[ActualResult]]), "_", IF(Table2[[#This Row],[ActualWinner]]=Table2[[#This Row],[PredictedWinner]], "Y", "N"))</f>
        <v>_</v>
      </c>
      <c r="P8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2" s="2"/>
      <c r="S802" s="2" t="str">
        <f t="shared" si="66"/>
        <v>_</v>
      </c>
      <c r="T8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2" s="2">
        <f>IF(Table2[[#This Row],[InterConf]]=1,IF(Table2[[#This Row],[InterDiv]]=0, 1, 0), 0)</f>
        <v>0</v>
      </c>
      <c r="W8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2" s="2"/>
      <c r="Y802" s="2"/>
      <c r="Z802" s="145">
        <f>IF(AND(Table2[[#This Row],[GameIsOver]]=1,Table2[[#This Row],[ActualHomeScore]]*Table2[[#This Row],[ActualAwayScore]]=0), 1,0)</f>
        <v>0</v>
      </c>
      <c r="AA8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2" s="2">
        <f>Table2[[#This Row],[ActualAwayScore]]-Table2[[#This Row],[PredictedAwayScore]]</f>
        <v>0</v>
      </c>
      <c r="AG802" s="2">
        <f>Table2[[#This Row],[ActualHomeScore]]-Table2[[#This Row],[PredictedHomeScore]]</f>
        <v>0</v>
      </c>
      <c r="AH802" s="2">
        <f t="shared" si="67"/>
        <v>0</v>
      </c>
      <c r="AI802" s="2">
        <f t="shared" si="68"/>
        <v>0</v>
      </c>
      <c r="AJ802" s="2"/>
      <c r="AK802" s="3"/>
      <c r="AL802" s="2">
        <f>IF(Table2[[#This Row],[GameIsOver]]=0,0,IF(Table2[[#This Row],[ActualWinner]]=Table2[[#This Row],[AwayTeam]], 1, 0))</f>
        <v>0</v>
      </c>
      <c r="AM802" s="2">
        <f>IF(Table2[[#This Row],[GameIsOver]]=0,0,IF(Table2[[#This Row],[ActualWinner]]=Table2[[#This Row],[HomeTeam]], 1, 0))</f>
        <v>0</v>
      </c>
      <c r="AN8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2" s="2" t="str">
        <f>INDEX(Sheet5!$B$2:$AG$33, MATCH(Table2[[#This Row],[AwayTeam]],Sheet5!$A$2:$A$33, 0), MATCH(Table2[[#This Row],[HomeTeam]],Sheet5!$A$2:$A$33, 0))</f>
        <v>0-0-0</v>
      </c>
      <c r="AP802" s="2" t="str">
        <f>INDEX(Sheet5!$B$2:$AG$33, MATCH(Table2[[#This Row],[HomeTeam]],Sheet5!$A$2:$A$33, 0), MATCH(Table2[[#This Row],[AwayTeam]],Sheet5!$A$2:$A$33, 0))</f>
        <v>0-0-0</v>
      </c>
      <c r="AQ802" s="2">
        <f>IF(Table2[[#This Row],[GameHasShutOut]], 1, 0)</f>
        <v>0</v>
      </c>
      <c r="AR802" s="2">
        <f>IF(Table2[[#This Row],[ActualAwayScore]] + Table2[[#This Row],[ActualHomeScore]] &gt;= 10, 1, 0)</f>
        <v>0</v>
      </c>
      <c r="AS802" s="2">
        <f>IF(ABS(Table2[[#This Row],[ActualAwayScore]]-Table2[[#This Row],[ActualHomeScore]])&gt;=5, 1, 0)</f>
        <v>0</v>
      </c>
      <c r="AT802" s="2">
        <f>IF(Table2[[#This Row],[ActualAwayScore]] + Table2[[#This Row],[ActualHomeScore]] &lt;= 3, 1, 0)</f>
        <v>1</v>
      </c>
      <c r="AU802" s="2"/>
      <c r="AV802" s="2"/>
    </row>
    <row r="803" spans="1:48" x14ac:dyDescent="0.25">
      <c r="A803" s="3"/>
      <c r="B803" s="3">
        <v>46045</v>
      </c>
      <c r="C803" s="5">
        <v>2025020801</v>
      </c>
      <c r="D803" s="2" t="s">
        <v>30</v>
      </c>
      <c r="E803" s="2" t="s">
        <v>36</v>
      </c>
      <c r="F803" s="2"/>
      <c r="G803" s="2"/>
      <c r="H803" s="2" t="str">
        <f t="shared" si="64"/>
        <v>_</v>
      </c>
      <c r="I803" s="2"/>
      <c r="J803" s="2"/>
      <c r="K803" s="2"/>
      <c r="L803" s="2" t="str">
        <f t="shared" si="65"/>
        <v>_</v>
      </c>
      <c r="M803" s="2"/>
      <c r="N803" s="2">
        <f>IF(ISBLANK(Table2[[#This Row],[ActualResult]]), 0, 1)</f>
        <v>0</v>
      </c>
      <c r="O803" s="2" t="str">
        <f>IF(ISBLANK(Table2[[#This Row],[ActualResult]]), "_", IF(Table2[[#This Row],[ActualWinner]]=Table2[[#This Row],[PredictedWinner]], "Y", "N"))</f>
        <v>_</v>
      </c>
      <c r="P8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3" s="2"/>
      <c r="S803" s="2" t="str">
        <f t="shared" si="66"/>
        <v>_</v>
      </c>
      <c r="T8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3" s="2">
        <f>IF(Table2[[#This Row],[InterConf]]=1,IF(Table2[[#This Row],[InterDiv]]=0, 1, 0), 0)</f>
        <v>0</v>
      </c>
      <c r="W8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3" s="2"/>
      <c r="Y803" s="2"/>
      <c r="Z803" s="145">
        <f>IF(AND(Table2[[#This Row],[GameIsOver]]=1,Table2[[#This Row],[ActualHomeScore]]*Table2[[#This Row],[ActualAwayScore]]=0), 1,0)</f>
        <v>0</v>
      </c>
      <c r="AA8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3" s="2">
        <f>Table2[[#This Row],[ActualAwayScore]]-Table2[[#This Row],[PredictedAwayScore]]</f>
        <v>0</v>
      </c>
      <c r="AG803" s="2">
        <f>Table2[[#This Row],[ActualHomeScore]]-Table2[[#This Row],[PredictedHomeScore]]</f>
        <v>0</v>
      </c>
      <c r="AH803" s="2">
        <f t="shared" si="67"/>
        <v>0</v>
      </c>
      <c r="AI803" s="2">
        <f t="shared" si="68"/>
        <v>0</v>
      </c>
      <c r="AJ803" s="2"/>
      <c r="AK803" s="3"/>
      <c r="AL803" s="2">
        <f>IF(Table2[[#This Row],[GameIsOver]]=0,0,IF(Table2[[#This Row],[ActualWinner]]=Table2[[#This Row],[AwayTeam]], 1, 0))</f>
        <v>0</v>
      </c>
      <c r="AM803" s="2">
        <f>IF(Table2[[#This Row],[GameIsOver]]=0,0,IF(Table2[[#This Row],[ActualWinner]]=Table2[[#This Row],[HomeTeam]], 1, 0))</f>
        <v>0</v>
      </c>
      <c r="AN8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3" s="2" t="str">
        <f>INDEX(Sheet5!$B$2:$AG$33, MATCH(Table2[[#This Row],[AwayTeam]],Sheet5!$A$2:$A$33, 0), MATCH(Table2[[#This Row],[HomeTeam]],Sheet5!$A$2:$A$33, 0))</f>
        <v>0-0-0</v>
      </c>
      <c r="AP803" s="2" t="str">
        <f>INDEX(Sheet5!$B$2:$AG$33, MATCH(Table2[[#This Row],[HomeTeam]],Sheet5!$A$2:$A$33, 0), MATCH(Table2[[#This Row],[AwayTeam]],Sheet5!$A$2:$A$33, 0))</f>
        <v>0-0-0</v>
      </c>
      <c r="AQ803" s="2">
        <f>IF(Table2[[#This Row],[GameHasShutOut]], 1, 0)</f>
        <v>0</v>
      </c>
      <c r="AR803" s="2">
        <f>IF(Table2[[#This Row],[ActualAwayScore]] + Table2[[#This Row],[ActualHomeScore]] &gt;= 10, 1, 0)</f>
        <v>0</v>
      </c>
      <c r="AS803" s="2">
        <f>IF(ABS(Table2[[#This Row],[ActualAwayScore]]-Table2[[#This Row],[ActualHomeScore]])&gt;=5, 1, 0)</f>
        <v>0</v>
      </c>
      <c r="AT803" s="2">
        <f>IF(Table2[[#This Row],[ActualAwayScore]] + Table2[[#This Row],[ActualHomeScore]] &lt;= 3, 1, 0)</f>
        <v>1</v>
      </c>
      <c r="AU803" s="2"/>
      <c r="AV803" s="2"/>
    </row>
    <row r="804" spans="1:48" x14ac:dyDescent="0.25">
      <c r="A804" s="3"/>
      <c r="B804" s="3">
        <v>46046</v>
      </c>
      <c r="C804" s="5">
        <v>2025020802</v>
      </c>
      <c r="D804" s="2" t="s">
        <v>26</v>
      </c>
      <c r="E804" s="2" t="s">
        <v>17</v>
      </c>
      <c r="F804" s="2"/>
      <c r="G804" s="2"/>
      <c r="H804" s="2" t="str">
        <f t="shared" si="64"/>
        <v>_</v>
      </c>
      <c r="I804" s="2"/>
      <c r="J804" s="2"/>
      <c r="K804" s="2"/>
      <c r="L804" s="2" t="str">
        <f t="shared" si="65"/>
        <v>_</v>
      </c>
      <c r="M804" s="2"/>
      <c r="N804" s="2">
        <f>IF(ISBLANK(Table2[[#This Row],[ActualResult]]), 0, 1)</f>
        <v>0</v>
      </c>
      <c r="O804" s="2" t="str">
        <f>IF(ISBLANK(Table2[[#This Row],[ActualResult]]), "_", IF(Table2[[#This Row],[ActualWinner]]=Table2[[#This Row],[PredictedWinner]], "Y", "N"))</f>
        <v>_</v>
      </c>
      <c r="P8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4" s="2"/>
      <c r="S804" s="2" t="str">
        <f t="shared" si="66"/>
        <v>_</v>
      </c>
      <c r="T8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4" s="2">
        <f>IF(Table2[[#This Row],[InterConf]]=1,IF(Table2[[#This Row],[InterDiv]]=0, 1, 0), 0)</f>
        <v>0</v>
      </c>
      <c r="W8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4" s="2"/>
      <c r="Y804" s="2"/>
      <c r="Z804" s="145">
        <f>IF(AND(Table2[[#This Row],[GameIsOver]]=1,Table2[[#This Row],[ActualHomeScore]]*Table2[[#This Row],[ActualAwayScore]]=0), 1,0)</f>
        <v>0</v>
      </c>
      <c r="AA8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4" s="2">
        <f>Table2[[#This Row],[ActualAwayScore]]-Table2[[#This Row],[PredictedAwayScore]]</f>
        <v>0</v>
      </c>
      <c r="AG804" s="2">
        <f>Table2[[#This Row],[ActualHomeScore]]-Table2[[#This Row],[PredictedHomeScore]]</f>
        <v>0</v>
      </c>
      <c r="AH804" s="2">
        <f t="shared" si="67"/>
        <v>0</v>
      </c>
      <c r="AI804" s="2">
        <f t="shared" si="68"/>
        <v>0</v>
      </c>
      <c r="AJ804" s="2"/>
      <c r="AK804" s="3"/>
      <c r="AL804" s="2">
        <f>IF(Table2[[#This Row],[GameIsOver]]=0,0,IF(Table2[[#This Row],[ActualWinner]]=Table2[[#This Row],[AwayTeam]], 1, 0))</f>
        <v>0</v>
      </c>
      <c r="AM804" s="2">
        <f>IF(Table2[[#This Row],[GameIsOver]]=0,0,IF(Table2[[#This Row],[ActualWinner]]=Table2[[#This Row],[HomeTeam]], 1, 0))</f>
        <v>0</v>
      </c>
      <c r="AN8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4" s="2" t="str">
        <f>INDEX(Sheet5!$B$2:$AG$33, MATCH(Table2[[#This Row],[AwayTeam]],Sheet5!$A$2:$A$33, 0), MATCH(Table2[[#This Row],[HomeTeam]],Sheet5!$A$2:$A$33, 0))</f>
        <v>0-0-0</v>
      </c>
      <c r="AP804" s="2" t="str">
        <f>INDEX(Sheet5!$B$2:$AG$33, MATCH(Table2[[#This Row],[HomeTeam]],Sheet5!$A$2:$A$33, 0), MATCH(Table2[[#This Row],[AwayTeam]],Sheet5!$A$2:$A$33, 0))</f>
        <v>0-0-0</v>
      </c>
      <c r="AQ804" s="2">
        <f>IF(Table2[[#This Row],[GameHasShutOut]], 1, 0)</f>
        <v>0</v>
      </c>
      <c r="AR804" s="2">
        <f>IF(Table2[[#This Row],[ActualAwayScore]] + Table2[[#This Row],[ActualHomeScore]] &gt;= 10, 1, 0)</f>
        <v>0</v>
      </c>
      <c r="AS804" s="2">
        <f>IF(ABS(Table2[[#This Row],[ActualAwayScore]]-Table2[[#This Row],[ActualHomeScore]])&gt;=5, 1, 0)</f>
        <v>0</v>
      </c>
      <c r="AT804" s="2">
        <f>IF(Table2[[#This Row],[ActualAwayScore]] + Table2[[#This Row],[ActualHomeScore]] &lt;= 3, 1, 0)</f>
        <v>1</v>
      </c>
      <c r="AU804" s="2"/>
      <c r="AV804" s="2"/>
    </row>
    <row r="805" spans="1:48" x14ac:dyDescent="0.25">
      <c r="A805" s="3"/>
      <c r="B805" s="3">
        <v>46046</v>
      </c>
      <c r="C805" s="5">
        <v>2025020803</v>
      </c>
      <c r="D805" s="2" t="s">
        <v>40</v>
      </c>
      <c r="E805" s="2" t="s">
        <v>16</v>
      </c>
      <c r="F805" s="2"/>
      <c r="G805" s="2"/>
      <c r="H805" s="2" t="str">
        <f t="shared" si="64"/>
        <v>_</v>
      </c>
      <c r="I805" s="2"/>
      <c r="J805" s="2"/>
      <c r="K805" s="2"/>
      <c r="L805" s="2" t="str">
        <f t="shared" si="65"/>
        <v>_</v>
      </c>
      <c r="M805" s="2"/>
      <c r="N805" s="2">
        <f>IF(ISBLANK(Table2[[#This Row],[ActualResult]]), 0, 1)</f>
        <v>0</v>
      </c>
      <c r="O805" s="2" t="str">
        <f>IF(ISBLANK(Table2[[#This Row],[ActualResult]]), "_", IF(Table2[[#This Row],[ActualWinner]]=Table2[[#This Row],[PredictedWinner]], "Y", "N"))</f>
        <v>_</v>
      </c>
      <c r="P8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5" s="2"/>
      <c r="S805" s="2" t="str">
        <f t="shared" si="66"/>
        <v>_</v>
      </c>
      <c r="T8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5" s="2">
        <f>IF(Table2[[#This Row],[InterConf]]=1,IF(Table2[[#This Row],[InterDiv]]=0, 1, 0), 0)</f>
        <v>0</v>
      </c>
      <c r="W8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5" s="2"/>
      <c r="Y805" s="2"/>
      <c r="Z805" s="145">
        <f>IF(AND(Table2[[#This Row],[GameIsOver]]=1,Table2[[#This Row],[ActualHomeScore]]*Table2[[#This Row],[ActualAwayScore]]=0), 1,0)</f>
        <v>0</v>
      </c>
      <c r="AA8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5" s="2">
        <f>Table2[[#This Row],[ActualAwayScore]]-Table2[[#This Row],[PredictedAwayScore]]</f>
        <v>0</v>
      </c>
      <c r="AG805" s="2">
        <f>Table2[[#This Row],[ActualHomeScore]]-Table2[[#This Row],[PredictedHomeScore]]</f>
        <v>0</v>
      </c>
      <c r="AH805" s="2">
        <f t="shared" si="67"/>
        <v>0</v>
      </c>
      <c r="AI805" s="2">
        <f t="shared" si="68"/>
        <v>0</v>
      </c>
      <c r="AJ805" s="2"/>
      <c r="AK805" s="3"/>
      <c r="AL805" s="2">
        <f>IF(Table2[[#This Row],[GameIsOver]]=0,0,IF(Table2[[#This Row],[ActualWinner]]=Table2[[#This Row],[AwayTeam]], 1, 0))</f>
        <v>0</v>
      </c>
      <c r="AM805" s="2">
        <f>IF(Table2[[#This Row],[GameIsOver]]=0,0,IF(Table2[[#This Row],[ActualWinner]]=Table2[[#This Row],[HomeTeam]], 1, 0))</f>
        <v>0</v>
      </c>
      <c r="AN8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5" s="2" t="str">
        <f>INDEX(Sheet5!$B$2:$AG$33, MATCH(Table2[[#This Row],[AwayTeam]],Sheet5!$A$2:$A$33, 0), MATCH(Table2[[#This Row],[HomeTeam]],Sheet5!$A$2:$A$33, 0))</f>
        <v>0-0-0</v>
      </c>
      <c r="AP805" s="2" t="str">
        <f>INDEX(Sheet5!$B$2:$AG$33, MATCH(Table2[[#This Row],[HomeTeam]],Sheet5!$A$2:$A$33, 0), MATCH(Table2[[#This Row],[AwayTeam]],Sheet5!$A$2:$A$33, 0))</f>
        <v>0-0-0</v>
      </c>
      <c r="AQ805" s="2">
        <f>IF(Table2[[#This Row],[GameHasShutOut]], 1, 0)</f>
        <v>0</v>
      </c>
      <c r="AR805" s="2">
        <f>IF(Table2[[#This Row],[ActualAwayScore]] + Table2[[#This Row],[ActualHomeScore]] &gt;= 10, 1, 0)</f>
        <v>0</v>
      </c>
      <c r="AS805" s="2">
        <f>IF(ABS(Table2[[#This Row],[ActualAwayScore]]-Table2[[#This Row],[ActualHomeScore]])&gt;=5, 1, 0)</f>
        <v>0</v>
      </c>
      <c r="AT805" s="2">
        <f>IF(Table2[[#This Row],[ActualAwayScore]] + Table2[[#This Row],[ActualHomeScore]] &lt;= 3, 1, 0)</f>
        <v>1</v>
      </c>
      <c r="AU805" s="2"/>
      <c r="AV805" s="2"/>
    </row>
    <row r="806" spans="1:48" x14ac:dyDescent="0.25">
      <c r="A806" s="3"/>
      <c r="B806" s="3">
        <v>46046</v>
      </c>
      <c r="C806" s="5">
        <v>2025020804</v>
      </c>
      <c r="D806" s="2" t="s">
        <v>12</v>
      </c>
      <c r="E806" s="2" t="s">
        <v>33</v>
      </c>
      <c r="F806" s="2"/>
      <c r="G806" s="2"/>
      <c r="H806" s="2" t="str">
        <f t="shared" si="64"/>
        <v>_</v>
      </c>
      <c r="I806" s="2"/>
      <c r="J806" s="2"/>
      <c r="K806" s="2"/>
      <c r="L806" s="2" t="str">
        <f t="shared" si="65"/>
        <v>_</v>
      </c>
      <c r="M806" s="2"/>
      <c r="N806" s="2">
        <f>IF(ISBLANK(Table2[[#This Row],[ActualResult]]), 0, 1)</f>
        <v>0</v>
      </c>
      <c r="O806" s="2" t="str">
        <f>IF(ISBLANK(Table2[[#This Row],[ActualResult]]), "_", IF(Table2[[#This Row],[ActualWinner]]=Table2[[#This Row],[PredictedWinner]], "Y", "N"))</f>
        <v>_</v>
      </c>
      <c r="P8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6" s="2"/>
      <c r="S806" s="2" t="str">
        <f t="shared" si="66"/>
        <v>_</v>
      </c>
      <c r="T8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06" s="2">
        <f>IF(Table2[[#This Row],[InterConf]]=1,IF(Table2[[#This Row],[InterDiv]]=0, 1, 0), 0)</f>
        <v>0</v>
      </c>
      <c r="W8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06" s="2"/>
      <c r="Y806" s="2"/>
      <c r="Z806" s="145">
        <f>IF(AND(Table2[[#This Row],[GameIsOver]]=1,Table2[[#This Row],[ActualHomeScore]]*Table2[[#This Row],[ActualAwayScore]]=0), 1,0)</f>
        <v>0</v>
      </c>
      <c r="AA8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6" s="2">
        <f>Table2[[#This Row],[ActualAwayScore]]-Table2[[#This Row],[PredictedAwayScore]]</f>
        <v>0</v>
      </c>
      <c r="AG806" s="2">
        <f>Table2[[#This Row],[ActualHomeScore]]-Table2[[#This Row],[PredictedHomeScore]]</f>
        <v>0</v>
      </c>
      <c r="AH806" s="2">
        <f t="shared" si="67"/>
        <v>0</v>
      </c>
      <c r="AI806" s="2">
        <f t="shared" si="68"/>
        <v>0</v>
      </c>
      <c r="AJ806" s="2"/>
      <c r="AK806" s="3"/>
      <c r="AL806" s="2">
        <f>IF(Table2[[#This Row],[GameIsOver]]=0,0,IF(Table2[[#This Row],[ActualWinner]]=Table2[[#This Row],[AwayTeam]], 1, 0))</f>
        <v>0</v>
      </c>
      <c r="AM806" s="2">
        <f>IF(Table2[[#This Row],[GameIsOver]]=0,0,IF(Table2[[#This Row],[ActualWinner]]=Table2[[#This Row],[HomeTeam]], 1, 0))</f>
        <v>0</v>
      </c>
      <c r="AN8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6" s="2" t="str">
        <f>INDEX(Sheet5!$B$2:$AG$33, MATCH(Table2[[#This Row],[AwayTeam]],Sheet5!$A$2:$A$33, 0), MATCH(Table2[[#This Row],[HomeTeam]],Sheet5!$A$2:$A$33, 0))</f>
        <v>1-0-0</v>
      </c>
      <c r="AP806" s="2" t="str">
        <f>INDEX(Sheet5!$B$2:$AG$33, MATCH(Table2[[#This Row],[HomeTeam]],Sheet5!$A$2:$A$33, 0), MATCH(Table2[[#This Row],[AwayTeam]],Sheet5!$A$2:$A$33, 0))</f>
        <v>0-1-0</v>
      </c>
      <c r="AQ806" s="2">
        <f>IF(Table2[[#This Row],[GameHasShutOut]], 1, 0)</f>
        <v>0</v>
      </c>
      <c r="AR806" s="2">
        <f>IF(Table2[[#This Row],[ActualAwayScore]] + Table2[[#This Row],[ActualHomeScore]] &gt;= 10, 1, 0)</f>
        <v>0</v>
      </c>
      <c r="AS806" s="2">
        <f>IF(ABS(Table2[[#This Row],[ActualAwayScore]]-Table2[[#This Row],[ActualHomeScore]])&gt;=5, 1, 0)</f>
        <v>0</v>
      </c>
      <c r="AT806" s="2">
        <f>IF(Table2[[#This Row],[ActualAwayScore]] + Table2[[#This Row],[ActualHomeScore]] &lt;= 3, 1, 0)</f>
        <v>1</v>
      </c>
      <c r="AU806" s="2"/>
      <c r="AV806" s="2"/>
    </row>
    <row r="807" spans="1:48" x14ac:dyDescent="0.25">
      <c r="A807" s="3"/>
      <c r="B807" s="3">
        <v>46046</v>
      </c>
      <c r="C807" s="5">
        <v>2025020805</v>
      </c>
      <c r="D807" s="2" t="s">
        <v>42</v>
      </c>
      <c r="E807" s="2" t="s">
        <v>25</v>
      </c>
      <c r="F807" s="2"/>
      <c r="G807" s="2"/>
      <c r="H807" s="2" t="str">
        <f t="shared" si="64"/>
        <v>_</v>
      </c>
      <c r="I807" s="2"/>
      <c r="J807" s="2"/>
      <c r="K807" s="2"/>
      <c r="L807" s="2" t="str">
        <f t="shared" si="65"/>
        <v>_</v>
      </c>
      <c r="M807" s="2"/>
      <c r="N807" s="2">
        <f>IF(ISBLANK(Table2[[#This Row],[ActualResult]]), 0, 1)</f>
        <v>0</v>
      </c>
      <c r="O807" s="2" t="str">
        <f>IF(ISBLANK(Table2[[#This Row],[ActualResult]]), "_", IF(Table2[[#This Row],[ActualWinner]]=Table2[[#This Row],[PredictedWinner]], "Y", "N"))</f>
        <v>_</v>
      </c>
      <c r="P8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7" s="2"/>
      <c r="S807" s="2" t="str">
        <f t="shared" si="66"/>
        <v>_</v>
      </c>
      <c r="T8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7" s="2">
        <f>IF(Table2[[#This Row],[InterConf]]=1,IF(Table2[[#This Row],[InterDiv]]=0, 1, 0), 0)</f>
        <v>0</v>
      </c>
      <c r="W8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7" s="2"/>
      <c r="Y807" s="2"/>
      <c r="Z807" s="145">
        <f>IF(AND(Table2[[#This Row],[GameIsOver]]=1,Table2[[#This Row],[ActualHomeScore]]*Table2[[#This Row],[ActualAwayScore]]=0), 1,0)</f>
        <v>0</v>
      </c>
      <c r="AA8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7" s="2">
        <f>Table2[[#This Row],[ActualAwayScore]]-Table2[[#This Row],[PredictedAwayScore]]</f>
        <v>0</v>
      </c>
      <c r="AG807" s="2">
        <f>Table2[[#This Row],[ActualHomeScore]]-Table2[[#This Row],[PredictedHomeScore]]</f>
        <v>0</v>
      </c>
      <c r="AH807" s="2">
        <f t="shared" si="67"/>
        <v>0</v>
      </c>
      <c r="AI807" s="2">
        <f t="shared" si="68"/>
        <v>0</v>
      </c>
      <c r="AJ807" s="2"/>
      <c r="AK807" s="3"/>
      <c r="AL807" s="2">
        <f>IF(Table2[[#This Row],[GameIsOver]]=0,0,IF(Table2[[#This Row],[ActualWinner]]=Table2[[#This Row],[AwayTeam]], 1, 0))</f>
        <v>0</v>
      </c>
      <c r="AM807" s="2">
        <f>IF(Table2[[#This Row],[GameIsOver]]=0,0,IF(Table2[[#This Row],[ActualWinner]]=Table2[[#This Row],[HomeTeam]], 1, 0))</f>
        <v>0</v>
      </c>
      <c r="AN8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7" s="2" t="str">
        <f>INDEX(Sheet5!$B$2:$AG$33, MATCH(Table2[[#This Row],[AwayTeam]],Sheet5!$A$2:$A$33, 0), MATCH(Table2[[#This Row],[HomeTeam]],Sheet5!$A$2:$A$33, 0))</f>
        <v>0-0-0</v>
      </c>
      <c r="AP807" s="2" t="str">
        <f>INDEX(Sheet5!$B$2:$AG$33, MATCH(Table2[[#This Row],[HomeTeam]],Sheet5!$A$2:$A$33, 0), MATCH(Table2[[#This Row],[AwayTeam]],Sheet5!$A$2:$A$33, 0))</f>
        <v>0-0-0</v>
      </c>
      <c r="AQ807" s="2">
        <f>IF(Table2[[#This Row],[GameHasShutOut]], 1, 0)</f>
        <v>0</v>
      </c>
      <c r="AR807" s="2">
        <f>IF(Table2[[#This Row],[ActualAwayScore]] + Table2[[#This Row],[ActualHomeScore]] &gt;= 10, 1, 0)</f>
        <v>0</v>
      </c>
      <c r="AS807" s="2">
        <f>IF(ABS(Table2[[#This Row],[ActualAwayScore]]-Table2[[#This Row],[ActualHomeScore]])&gt;=5, 1, 0)</f>
        <v>0</v>
      </c>
      <c r="AT807" s="2">
        <f>IF(Table2[[#This Row],[ActualAwayScore]] + Table2[[#This Row],[ActualHomeScore]] &lt;= 3, 1, 0)</f>
        <v>1</v>
      </c>
      <c r="AU807" s="2"/>
      <c r="AV807" s="2"/>
    </row>
    <row r="808" spans="1:48" x14ac:dyDescent="0.25">
      <c r="A808" s="3"/>
      <c r="B808" s="3">
        <v>46046</v>
      </c>
      <c r="C808" s="5">
        <v>2025020806</v>
      </c>
      <c r="D808" s="2" t="s">
        <v>43</v>
      </c>
      <c r="E808" s="2" t="s">
        <v>23</v>
      </c>
      <c r="F808" s="2"/>
      <c r="G808" s="2"/>
      <c r="H808" s="2" t="str">
        <f t="shared" si="64"/>
        <v>_</v>
      </c>
      <c r="I808" s="2"/>
      <c r="J808" s="2"/>
      <c r="K808" s="2"/>
      <c r="L808" s="2" t="str">
        <f t="shared" si="65"/>
        <v>_</v>
      </c>
      <c r="M808" s="2"/>
      <c r="N808" s="2">
        <f>IF(ISBLANK(Table2[[#This Row],[ActualResult]]), 0, 1)</f>
        <v>0</v>
      </c>
      <c r="O808" s="2" t="str">
        <f>IF(ISBLANK(Table2[[#This Row],[ActualResult]]), "_", IF(Table2[[#This Row],[ActualWinner]]=Table2[[#This Row],[PredictedWinner]], "Y", "N"))</f>
        <v>_</v>
      </c>
      <c r="P8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8" s="2"/>
      <c r="S808" s="2" t="str">
        <f t="shared" si="66"/>
        <v>_</v>
      </c>
      <c r="T8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8" s="2">
        <f>IF(Table2[[#This Row],[InterConf]]=1,IF(Table2[[#This Row],[InterDiv]]=0, 1, 0), 0)</f>
        <v>0</v>
      </c>
      <c r="W8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8" s="2"/>
      <c r="Y808" s="2"/>
      <c r="Z808" s="145">
        <f>IF(AND(Table2[[#This Row],[GameIsOver]]=1,Table2[[#This Row],[ActualHomeScore]]*Table2[[#This Row],[ActualAwayScore]]=0), 1,0)</f>
        <v>0</v>
      </c>
      <c r="AA8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8" s="2">
        <f>Table2[[#This Row],[ActualAwayScore]]-Table2[[#This Row],[PredictedAwayScore]]</f>
        <v>0</v>
      </c>
      <c r="AG808" s="2">
        <f>Table2[[#This Row],[ActualHomeScore]]-Table2[[#This Row],[PredictedHomeScore]]</f>
        <v>0</v>
      </c>
      <c r="AH808" s="2">
        <f t="shared" si="67"/>
        <v>0</v>
      </c>
      <c r="AI808" s="2">
        <f t="shared" si="68"/>
        <v>0</v>
      </c>
      <c r="AJ808" s="2"/>
      <c r="AK808" s="3"/>
      <c r="AL808" s="2">
        <f>IF(Table2[[#This Row],[GameIsOver]]=0,0,IF(Table2[[#This Row],[ActualWinner]]=Table2[[#This Row],[AwayTeam]], 1, 0))</f>
        <v>0</v>
      </c>
      <c r="AM808" s="2">
        <f>IF(Table2[[#This Row],[GameIsOver]]=0,0,IF(Table2[[#This Row],[ActualWinner]]=Table2[[#This Row],[HomeTeam]], 1, 0))</f>
        <v>0</v>
      </c>
      <c r="AN8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8" s="2" t="str">
        <f>INDEX(Sheet5!$B$2:$AG$33, MATCH(Table2[[#This Row],[AwayTeam]],Sheet5!$A$2:$A$33, 0), MATCH(Table2[[#This Row],[HomeTeam]],Sheet5!$A$2:$A$33, 0))</f>
        <v>0-0-0</v>
      </c>
      <c r="AP808" s="2" t="str">
        <f>INDEX(Sheet5!$B$2:$AG$33, MATCH(Table2[[#This Row],[HomeTeam]],Sheet5!$A$2:$A$33, 0), MATCH(Table2[[#This Row],[AwayTeam]],Sheet5!$A$2:$A$33, 0))</f>
        <v>0-0-0</v>
      </c>
      <c r="AQ808" s="2">
        <f>IF(Table2[[#This Row],[GameHasShutOut]], 1, 0)</f>
        <v>0</v>
      </c>
      <c r="AR808" s="2">
        <f>IF(Table2[[#This Row],[ActualAwayScore]] + Table2[[#This Row],[ActualHomeScore]] &gt;= 10, 1, 0)</f>
        <v>0</v>
      </c>
      <c r="AS808" s="2">
        <f>IF(ABS(Table2[[#This Row],[ActualAwayScore]]-Table2[[#This Row],[ActualHomeScore]])&gt;=5, 1, 0)</f>
        <v>0</v>
      </c>
      <c r="AT808" s="2">
        <f>IF(Table2[[#This Row],[ActualAwayScore]] + Table2[[#This Row],[ActualHomeScore]] &lt;= 3, 1, 0)</f>
        <v>1</v>
      </c>
      <c r="AU808" s="2"/>
      <c r="AV808" s="2"/>
    </row>
    <row r="809" spans="1:48" x14ac:dyDescent="0.25">
      <c r="A809" s="3"/>
      <c r="B809" s="3">
        <v>46046</v>
      </c>
      <c r="C809" s="5">
        <v>2025020807</v>
      </c>
      <c r="D809" s="2" t="s">
        <v>31</v>
      </c>
      <c r="E809" s="2" t="s">
        <v>24</v>
      </c>
      <c r="F809" s="2"/>
      <c r="G809" s="2"/>
      <c r="H809" s="2" t="str">
        <f t="shared" si="64"/>
        <v>_</v>
      </c>
      <c r="I809" s="2"/>
      <c r="J809" s="2"/>
      <c r="K809" s="2"/>
      <c r="L809" s="2" t="str">
        <f t="shared" si="65"/>
        <v>_</v>
      </c>
      <c r="M809" s="2"/>
      <c r="N809" s="2">
        <f>IF(ISBLANK(Table2[[#This Row],[ActualResult]]), 0, 1)</f>
        <v>0</v>
      </c>
      <c r="O809" s="2" t="str">
        <f>IF(ISBLANK(Table2[[#This Row],[ActualResult]]), "_", IF(Table2[[#This Row],[ActualWinner]]=Table2[[#This Row],[PredictedWinner]], "Y", "N"))</f>
        <v>_</v>
      </c>
      <c r="P8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9" s="2"/>
      <c r="S809" s="2" t="str">
        <f t="shared" si="66"/>
        <v>_</v>
      </c>
      <c r="T8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9" s="2">
        <f>IF(Table2[[#This Row],[InterConf]]=1,IF(Table2[[#This Row],[InterDiv]]=0, 1, 0), 0)</f>
        <v>0</v>
      </c>
      <c r="W8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9" s="2"/>
      <c r="Y809" s="2"/>
      <c r="Z809" s="145">
        <f>IF(AND(Table2[[#This Row],[GameIsOver]]=1,Table2[[#This Row],[ActualHomeScore]]*Table2[[#This Row],[ActualAwayScore]]=0), 1,0)</f>
        <v>0</v>
      </c>
      <c r="AA8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9" s="2">
        <f>Table2[[#This Row],[ActualAwayScore]]-Table2[[#This Row],[PredictedAwayScore]]</f>
        <v>0</v>
      </c>
      <c r="AG809" s="2">
        <f>Table2[[#This Row],[ActualHomeScore]]-Table2[[#This Row],[PredictedHomeScore]]</f>
        <v>0</v>
      </c>
      <c r="AH809" s="2">
        <f t="shared" si="67"/>
        <v>0</v>
      </c>
      <c r="AI809" s="2">
        <f t="shared" si="68"/>
        <v>0</v>
      </c>
      <c r="AJ809" s="2"/>
      <c r="AK809" s="3"/>
      <c r="AL809" s="2">
        <f>IF(Table2[[#This Row],[GameIsOver]]=0,0,IF(Table2[[#This Row],[ActualWinner]]=Table2[[#This Row],[AwayTeam]], 1, 0))</f>
        <v>0</v>
      </c>
      <c r="AM809" s="2">
        <f>IF(Table2[[#This Row],[GameIsOver]]=0,0,IF(Table2[[#This Row],[ActualWinner]]=Table2[[#This Row],[HomeTeam]], 1, 0))</f>
        <v>0</v>
      </c>
      <c r="AN8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9" s="2" t="str">
        <f>INDEX(Sheet5!$B$2:$AG$33, MATCH(Table2[[#This Row],[AwayTeam]],Sheet5!$A$2:$A$33, 0), MATCH(Table2[[#This Row],[HomeTeam]],Sheet5!$A$2:$A$33, 0))</f>
        <v>0-0-0</v>
      </c>
      <c r="AP809" s="2" t="str">
        <f>INDEX(Sheet5!$B$2:$AG$33, MATCH(Table2[[#This Row],[HomeTeam]],Sheet5!$A$2:$A$33, 0), MATCH(Table2[[#This Row],[AwayTeam]],Sheet5!$A$2:$A$33, 0))</f>
        <v>0-0-0</v>
      </c>
      <c r="AQ809" s="2">
        <f>IF(Table2[[#This Row],[GameHasShutOut]], 1, 0)</f>
        <v>0</v>
      </c>
      <c r="AR809" s="2">
        <f>IF(Table2[[#This Row],[ActualAwayScore]] + Table2[[#This Row],[ActualHomeScore]] &gt;= 10, 1, 0)</f>
        <v>0</v>
      </c>
      <c r="AS809" s="2">
        <f>IF(ABS(Table2[[#This Row],[ActualAwayScore]]-Table2[[#This Row],[ActualHomeScore]])&gt;=5, 1, 0)</f>
        <v>0</v>
      </c>
      <c r="AT809" s="2">
        <f>IF(Table2[[#This Row],[ActualAwayScore]] + Table2[[#This Row],[ActualHomeScore]] &lt;= 3, 1, 0)</f>
        <v>1</v>
      </c>
      <c r="AU809" s="2"/>
      <c r="AV809" s="2"/>
    </row>
    <row r="810" spans="1:48" x14ac:dyDescent="0.25">
      <c r="A810" s="3"/>
      <c r="B810" s="3">
        <v>46046</v>
      </c>
      <c r="C810" s="5">
        <v>2025020808</v>
      </c>
      <c r="D810" s="2" t="s">
        <v>19</v>
      </c>
      <c r="E810" s="2" t="s">
        <v>37</v>
      </c>
      <c r="F810" s="2"/>
      <c r="G810" s="2"/>
      <c r="H810" s="2" t="str">
        <f t="shared" si="64"/>
        <v>_</v>
      </c>
      <c r="I810" s="2"/>
      <c r="J810" s="2"/>
      <c r="K810" s="2"/>
      <c r="L810" s="2" t="str">
        <f t="shared" si="65"/>
        <v>_</v>
      </c>
      <c r="M810" s="2"/>
      <c r="N810" s="2">
        <f>IF(ISBLANK(Table2[[#This Row],[ActualResult]]), 0, 1)</f>
        <v>0</v>
      </c>
      <c r="O810" s="2" t="str">
        <f>IF(ISBLANK(Table2[[#This Row],[ActualResult]]), "_", IF(Table2[[#This Row],[ActualWinner]]=Table2[[#This Row],[PredictedWinner]], "Y", "N"))</f>
        <v>_</v>
      </c>
      <c r="P8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0" s="2"/>
      <c r="S810" s="2" t="str">
        <f t="shared" si="66"/>
        <v>_</v>
      </c>
      <c r="T8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0" s="2">
        <f>IF(Table2[[#This Row],[InterConf]]=1,IF(Table2[[#This Row],[InterDiv]]=0, 1, 0), 0)</f>
        <v>0</v>
      </c>
      <c r="W8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0" s="2"/>
      <c r="Y810" s="2"/>
      <c r="Z810" s="145">
        <f>IF(AND(Table2[[#This Row],[GameIsOver]]=1,Table2[[#This Row],[ActualHomeScore]]*Table2[[#This Row],[ActualAwayScore]]=0), 1,0)</f>
        <v>0</v>
      </c>
      <c r="AA8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0" s="2">
        <f>Table2[[#This Row],[ActualAwayScore]]-Table2[[#This Row],[PredictedAwayScore]]</f>
        <v>0</v>
      </c>
      <c r="AG810" s="2">
        <f>Table2[[#This Row],[ActualHomeScore]]-Table2[[#This Row],[PredictedHomeScore]]</f>
        <v>0</v>
      </c>
      <c r="AH810" s="2">
        <f t="shared" si="67"/>
        <v>0</v>
      </c>
      <c r="AI810" s="2">
        <f t="shared" si="68"/>
        <v>0</v>
      </c>
      <c r="AJ810" s="2"/>
      <c r="AK810" s="3"/>
      <c r="AL810" s="2">
        <f>IF(Table2[[#This Row],[GameIsOver]]=0,0,IF(Table2[[#This Row],[ActualWinner]]=Table2[[#This Row],[AwayTeam]], 1, 0))</f>
        <v>0</v>
      </c>
      <c r="AM810" s="2">
        <f>IF(Table2[[#This Row],[GameIsOver]]=0,0,IF(Table2[[#This Row],[ActualWinner]]=Table2[[#This Row],[HomeTeam]], 1, 0))</f>
        <v>0</v>
      </c>
      <c r="AN8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0" s="2" t="str">
        <f>INDEX(Sheet5!$B$2:$AG$33, MATCH(Table2[[#This Row],[AwayTeam]],Sheet5!$A$2:$A$33, 0), MATCH(Table2[[#This Row],[HomeTeam]],Sheet5!$A$2:$A$33, 0))</f>
        <v>0-0-0</v>
      </c>
      <c r="AP810" s="2" t="str">
        <f>INDEX(Sheet5!$B$2:$AG$33, MATCH(Table2[[#This Row],[HomeTeam]],Sheet5!$A$2:$A$33, 0), MATCH(Table2[[#This Row],[AwayTeam]],Sheet5!$A$2:$A$33, 0))</f>
        <v>0-0-0</v>
      </c>
      <c r="AQ810" s="2">
        <f>IF(Table2[[#This Row],[GameHasShutOut]], 1, 0)</f>
        <v>0</v>
      </c>
      <c r="AR810" s="2">
        <f>IF(Table2[[#This Row],[ActualAwayScore]] + Table2[[#This Row],[ActualHomeScore]] &gt;= 10, 1, 0)</f>
        <v>0</v>
      </c>
      <c r="AS810" s="2">
        <f>IF(ABS(Table2[[#This Row],[ActualAwayScore]]-Table2[[#This Row],[ActualHomeScore]])&gt;=5, 1, 0)</f>
        <v>0</v>
      </c>
      <c r="AT810" s="2">
        <f>IF(Table2[[#This Row],[ActualAwayScore]] + Table2[[#This Row],[ActualHomeScore]] &lt;= 3, 1, 0)</f>
        <v>1</v>
      </c>
      <c r="AU810" s="2"/>
      <c r="AV810" s="2"/>
    </row>
    <row r="811" spans="1:48" x14ac:dyDescent="0.25">
      <c r="A811" s="3"/>
      <c r="B811" s="3">
        <v>46046</v>
      </c>
      <c r="C811" s="5">
        <v>2025020809</v>
      </c>
      <c r="D811" s="2" t="s">
        <v>44</v>
      </c>
      <c r="E811" s="2" t="s">
        <v>11</v>
      </c>
      <c r="F811" s="2"/>
      <c r="G811" s="2"/>
      <c r="H811" s="2" t="str">
        <f t="shared" si="64"/>
        <v>_</v>
      </c>
      <c r="I811" s="2"/>
      <c r="J811" s="2"/>
      <c r="K811" s="2"/>
      <c r="L811" s="2" t="str">
        <f t="shared" si="65"/>
        <v>_</v>
      </c>
      <c r="M811" s="2"/>
      <c r="N811" s="2">
        <f>IF(ISBLANK(Table2[[#This Row],[ActualResult]]), 0, 1)</f>
        <v>0</v>
      </c>
      <c r="O811" s="2" t="str">
        <f>IF(ISBLANK(Table2[[#This Row],[ActualResult]]), "_", IF(Table2[[#This Row],[ActualWinner]]=Table2[[#This Row],[PredictedWinner]], "Y", "N"))</f>
        <v>_</v>
      </c>
      <c r="P8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1" s="2"/>
      <c r="S811" s="2" t="str">
        <f t="shared" si="66"/>
        <v>_</v>
      </c>
      <c r="T8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11" s="2">
        <f>IF(Table2[[#This Row],[InterConf]]=1,IF(Table2[[#This Row],[InterDiv]]=0, 1, 0), 0)</f>
        <v>0</v>
      </c>
      <c r="W8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1" s="2"/>
      <c r="Y811" s="2"/>
      <c r="Z811" s="145">
        <f>IF(AND(Table2[[#This Row],[GameIsOver]]=1,Table2[[#This Row],[ActualHomeScore]]*Table2[[#This Row],[ActualAwayScore]]=0), 1,0)</f>
        <v>0</v>
      </c>
      <c r="AA8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1" s="2">
        <f>Table2[[#This Row],[ActualAwayScore]]-Table2[[#This Row],[PredictedAwayScore]]</f>
        <v>0</v>
      </c>
      <c r="AG811" s="2">
        <f>Table2[[#This Row],[ActualHomeScore]]-Table2[[#This Row],[PredictedHomeScore]]</f>
        <v>0</v>
      </c>
      <c r="AH811" s="2">
        <f t="shared" si="67"/>
        <v>0</v>
      </c>
      <c r="AI811" s="2">
        <f t="shared" si="68"/>
        <v>0</v>
      </c>
      <c r="AJ811" s="2"/>
      <c r="AK811" s="3"/>
      <c r="AL811" s="2">
        <f>IF(Table2[[#This Row],[GameIsOver]]=0,0,IF(Table2[[#This Row],[ActualWinner]]=Table2[[#This Row],[AwayTeam]], 1, 0))</f>
        <v>0</v>
      </c>
      <c r="AM811" s="2">
        <f>IF(Table2[[#This Row],[GameIsOver]]=0,0,IF(Table2[[#This Row],[ActualWinner]]=Table2[[#This Row],[HomeTeam]], 1, 0))</f>
        <v>0</v>
      </c>
      <c r="AN8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1" s="2" t="str">
        <f>INDEX(Sheet5!$B$2:$AG$33, MATCH(Table2[[#This Row],[AwayTeam]],Sheet5!$A$2:$A$33, 0), MATCH(Table2[[#This Row],[HomeTeam]],Sheet5!$A$2:$A$33, 0))</f>
        <v>0-1-0</v>
      </c>
      <c r="AP811" s="2" t="str">
        <f>INDEX(Sheet5!$B$2:$AG$33, MATCH(Table2[[#This Row],[HomeTeam]],Sheet5!$A$2:$A$33, 0), MATCH(Table2[[#This Row],[AwayTeam]],Sheet5!$A$2:$A$33, 0))</f>
        <v>1-0-0</v>
      </c>
      <c r="AQ811" s="2">
        <f>IF(Table2[[#This Row],[GameHasShutOut]], 1, 0)</f>
        <v>0</v>
      </c>
      <c r="AR811" s="2">
        <f>IF(Table2[[#This Row],[ActualAwayScore]] + Table2[[#This Row],[ActualHomeScore]] &gt;= 10, 1, 0)</f>
        <v>0</v>
      </c>
      <c r="AS811" s="2">
        <f>IF(ABS(Table2[[#This Row],[ActualAwayScore]]-Table2[[#This Row],[ActualHomeScore]])&gt;=5, 1, 0)</f>
        <v>0</v>
      </c>
      <c r="AT811" s="2">
        <f>IF(Table2[[#This Row],[ActualAwayScore]] + Table2[[#This Row],[ActualHomeScore]] &lt;= 3, 1, 0)</f>
        <v>1</v>
      </c>
      <c r="AU811" s="2"/>
      <c r="AV811" s="2"/>
    </row>
    <row r="812" spans="1:48" x14ac:dyDescent="0.25">
      <c r="A812" s="3"/>
      <c r="B812" s="3">
        <v>46046</v>
      </c>
      <c r="C812" s="5">
        <v>2025020810</v>
      </c>
      <c r="D812" s="2" t="s">
        <v>28</v>
      </c>
      <c r="E812" s="2" t="s">
        <v>32</v>
      </c>
      <c r="F812" s="2"/>
      <c r="G812" s="2"/>
      <c r="H812" s="2" t="str">
        <f t="shared" si="64"/>
        <v>_</v>
      </c>
      <c r="I812" s="2"/>
      <c r="J812" s="2"/>
      <c r="K812" s="2"/>
      <c r="L812" s="2" t="str">
        <f t="shared" si="65"/>
        <v>_</v>
      </c>
      <c r="M812" s="2"/>
      <c r="N812" s="2">
        <f>IF(ISBLANK(Table2[[#This Row],[ActualResult]]), 0, 1)</f>
        <v>0</v>
      </c>
      <c r="O812" s="2" t="str">
        <f>IF(ISBLANK(Table2[[#This Row],[ActualResult]]), "_", IF(Table2[[#This Row],[ActualWinner]]=Table2[[#This Row],[PredictedWinner]], "Y", "N"))</f>
        <v>_</v>
      </c>
      <c r="P8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2" s="2"/>
      <c r="S812" s="2" t="str">
        <f t="shared" si="66"/>
        <v>_</v>
      </c>
      <c r="T8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2" s="2">
        <f>IF(Table2[[#This Row],[InterConf]]=1,IF(Table2[[#This Row],[InterDiv]]=0, 1, 0), 0)</f>
        <v>1</v>
      </c>
      <c r="W8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2" s="2"/>
      <c r="Y812" s="2"/>
      <c r="Z812" s="145">
        <f>IF(AND(Table2[[#This Row],[GameIsOver]]=1,Table2[[#This Row],[ActualHomeScore]]*Table2[[#This Row],[ActualAwayScore]]=0), 1,0)</f>
        <v>0</v>
      </c>
      <c r="AA8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2" s="2">
        <f>Table2[[#This Row],[ActualAwayScore]]-Table2[[#This Row],[PredictedAwayScore]]</f>
        <v>0</v>
      </c>
      <c r="AG812" s="2">
        <f>Table2[[#This Row],[ActualHomeScore]]-Table2[[#This Row],[PredictedHomeScore]]</f>
        <v>0</v>
      </c>
      <c r="AH812" s="2">
        <f t="shared" si="67"/>
        <v>0</v>
      </c>
      <c r="AI812" s="2">
        <f t="shared" si="68"/>
        <v>0</v>
      </c>
      <c r="AJ812" s="2"/>
      <c r="AK812" s="3"/>
      <c r="AL812" s="2">
        <f>IF(Table2[[#This Row],[GameIsOver]]=0,0,IF(Table2[[#This Row],[ActualWinner]]=Table2[[#This Row],[AwayTeam]], 1, 0))</f>
        <v>0</v>
      </c>
      <c r="AM812" s="2">
        <f>IF(Table2[[#This Row],[GameIsOver]]=0,0,IF(Table2[[#This Row],[ActualWinner]]=Table2[[#This Row],[HomeTeam]], 1, 0))</f>
        <v>0</v>
      </c>
      <c r="AN8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2" s="2" t="str">
        <f>INDEX(Sheet5!$B$2:$AG$33, MATCH(Table2[[#This Row],[AwayTeam]],Sheet5!$A$2:$A$33, 0), MATCH(Table2[[#This Row],[HomeTeam]],Sheet5!$A$2:$A$33, 0))</f>
        <v>0-0-0</v>
      </c>
      <c r="AP812" s="2" t="str">
        <f>INDEX(Sheet5!$B$2:$AG$33, MATCH(Table2[[#This Row],[HomeTeam]],Sheet5!$A$2:$A$33, 0), MATCH(Table2[[#This Row],[AwayTeam]],Sheet5!$A$2:$A$33, 0))</f>
        <v>0-0-0</v>
      </c>
      <c r="AQ812" s="2">
        <f>IF(Table2[[#This Row],[GameHasShutOut]], 1, 0)</f>
        <v>0</v>
      </c>
      <c r="AR812" s="2">
        <f>IF(Table2[[#This Row],[ActualAwayScore]] + Table2[[#This Row],[ActualHomeScore]] &gt;= 10, 1, 0)</f>
        <v>0</v>
      </c>
      <c r="AS812" s="2">
        <f>IF(ABS(Table2[[#This Row],[ActualAwayScore]]-Table2[[#This Row],[ActualHomeScore]])&gt;=5, 1, 0)</f>
        <v>0</v>
      </c>
      <c r="AT812" s="2">
        <f>IF(Table2[[#This Row],[ActualAwayScore]] + Table2[[#This Row],[ActualHomeScore]] &lt;= 3, 1, 0)</f>
        <v>1</v>
      </c>
      <c r="AU812" s="2"/>
      <c r="AV812" s="2"/>
    </row>
    <row r="813" spans="1:48" x14ac:dyDescent="0.25">
      <c r="A813" s="3"/>
      <c r="B813" s="3">
        <v>46046</v>
      </c>
      <c r="C813" s="5">
        <v>2025020811</v>
      </c>
      <c r="D813" s="2" t="s">
        <v>14</v>
      </c>
      <c r="E813" s="2" t="s">
        <v>34</v>
      </c>
      <c r="F813" s="2"/>
      <c r="G813" s="2"/>
      <c r="H813" s="2" t="str">
        <f t="shared" si="64"/>
        <v>_</v>
      </c>
      <c r="I813" s="2"/>
      <c r="J813" s="2"/>
      <c r="K813" s="2"/>
      <c r="L813" s="2" t="str">
        <f t="shared" si="65"/>
        <v>_</v>
      </c>
      <c r="M813" s="2"/>
      <c r="N813" s="2">
        <f>IF(ISBLANK(Table2[[#This Row],[ActualResult]]), 0, 1)</f>
        <v>0</v>
      </c>
      <c r="O813" s="2" t="str">
        <f>IF(ISBLANK(Table2[[#This Row],[ActualResult]]), "_", IF(Table2[[#This Row],[ActualWinner]]=Table2[[#This Row],[PredictedWinner]], "Y", "N"))</f>
        <v>_</v>
      </c>
      <c r="P8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3" s="2"/>
      <c r="S813" s="2" t="str">
        <f t="shared" si="66"/>
        <v>_</v>
      </c>
      <c r="T8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13" s="2">
        <f>IF(Table2[[#This Row],[InterConf]]=1,IF(Table2[[#This Row],[InterDiv]]=0, 1, 0), 0)</f>
        <v>0</v>
      </c>
      <c r="W8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3" s="2"/>
      <c r="Y813" s="2"/>
      <c r="Z813" s="145">
        <f>IF(AND(Table2[[#This Row],[GameIsOver]]=1,Table2[[#This Row],[ActualHomeScore]]*Table2[[#This Row],[ActualAwayScore]]=0), 1,0)</f>
        <v>0</v>
      </c>
      <c r="AA8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3" s="2">
        <f>Table2[[#This Row],[ActualAwayScore]]-Table2[[#This Row],[PredictedAwayScore]]</f>
        <v>0</v>
      </c>
      <c r="AG813" s="2">
        <f>Table2[[#This Row],[ActualHomeScore]]-Table2[[#This Row],[PredictedHomeScore]]</f>
        <v>0</v>
      </c>
      <c r="AH813" s="2">
        <f t="shared" si="67"/>
        <v>0</v>
      </c>
      <c r="AI813" s="2">
        <f t="shared" si="68"/>
        <v>0</v>
      </c>
      <c r="AJ813" s="2"/>
      <c r="AK813" s="3"/>
      <c r="AL813" s="2">
        <f>IF(Table2[[#This Row],[GameIsOver]]=0,0,IF(Table2[[#This Row],[ActualWinner]]=Table2[[#This Row],[AwayTeam]], 1, 0))</f>
        <v>0</v>
      </c>
      <c r="AM813" s="2">
        <f>IF(Table2[[#This Row],[GameIsOver]]=0,0,IF(Table2[[#This Row],[ActualWinner]]=Table2[[#This Row],[HomeTeam]], 1, 0))</f>
        <v>0</v>
      </c>
      <c r="AN8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3" s="2" t="str">
        <f>INDEX(Sheet5!$B$2:$AG$33, MATCH(Table2[[#This Row],[AwayTeam]],Sheet5!$A$2:$A$33, 0), MATCH(Table2[[#This Row],[HomeTeam]],Sheet5!$A$2:$A$33, 0))</f>
        <v>1-0-0</v>
      </c>
      <c r="AP813" s="2" t="str">
        <f>INDEX(Sheet5!$B$2:$AG$33, MATCH(Table2[[#This Row],[HomeTeam]],Sheet5!$A$2:$A$33, 0), MATCH(Table2[[#This Row],[AwayTeam]],Sheet5!$A$2:$A$33, 0))</f>
        <v>0-0-1</v>
      </c>
      <c r="AQ813" s="2">
        <f>IF(Table2[[#This Row],[GameHasShutOut]], 1, 0)</f>
        <v>0</v>
      </c>
      <c r="AR813" s="2">
        <f>IF(Table2[[#This Row],[ActualAwayScore]] + Table2[[#This Row],[ActualHomeScore]] &gt;= 10, 1, 0)</f>
        <v>0</v>
      </c>
      <c r="AS813" s="2">
        <f>IF(ABS(Table2[[#This Row],[ActualAwayScore]]-Table2[[#This Row],[ActualHomeScore]])&gt;=5, 1, 0)</f>
        <v>0</v>
      </c>
      <c r="AT813" s="2">
        <f>IF(Table2[[#This Row],[ActualAwayScore]] + Table2[[#This Row],[ActualHomeScore]] &lt;= 3, 1, 0)</f>
        <v>1</v>
      </c>
      <c r="AU813" s="2"/>
      <c r="AV813" s="2"/>
    </row>
    <row r="814" spans="1:48" x14ac:dyDescent="0.25">
      <c r="A814" s="3"/>
      <c r="B814" s="3">
        <v>46047</v>
      </c>
      <c r="C814" s="5">
        <v>2025020812</v>
      </c>
      <c r="D814" s="2" t="s">
        <v>18</v>
      </c>
      <c r="E814" s="2" t="s">
        <v>15</v>
      </c>
      <c r="F814" s="2"/>
      <c r="G814" s="2"/>
      <c r="H814" s="2" t="str">
        <f t="shared" si="64"/>
        <v>_</v>
      </c>
      <c r="I814" s="2"/>
      <c r="J814" s="2"/>
      <c r="K814" s="2"/>
      <c r="L814" s="2" t="str">
        <f t="shared" si="65"/>
        <v>_</v>
      </c>
      <c r="M814" s="2"/>
      <c r="N814" s="2">
        <f>IF(ISBLANK(Table2[[#This Row],[ActualResult]]), 0, 1)</f>
        <v>0</v>
      </c>
      <c r="O814" s="2" t="str">
        <f>IF(ISBLANK(Table2[[#This Row],[ActualResult]]), "_", IF(Table2[[#This Row],[ActualWinner]]=Table2[[#This Row],[PredictedWinner]], "Y", "N"))</f>
        <v>_</v>
      </c>
      <c r="P8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4" s="2"/>
      <c r="S814" s="2" t="str">
        <f t="shared" si="66"/>
        <v>_</v>
      </c>
      <c r="T8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14" s="2">
        <f>IF(Table2[[#This Row],[InterConf]]=1,IF(Table2[[#This Row],[InterDiv]]=0, 1, 0), 0)</f>
        <v>0</v>
      </c>
      <c r="W8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4" s="2"/>
      <c r="Y814" s="2"/>
      <c r="Z814" s="145">
        <f>IF(AND(Table2[[#This Row],[GameIsOver]]=1,Table2[[#This Row],[ActualHomeScore]]*Table2[[#This Row],[ActualAwayScore]]=0), 1,0)</f>
        <v>0</v>
      </c>
      <c r="AA8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4" s="2">
        <f>Table2[[#This Row],[ActualAwayScore]]-Table2[[#This Row],[PredictedAwayScore]]</f>
        <v>0</v>
      </c>
      <c r="AG814" s="2">
        <f>Table2[[#This Row],[ActualHomeScore]]-Table2[[#This Row],[PredictedHomeScore]]</f>
        <v>0</v>
      </c>
      <c r="AH814" s="2">
        <f t="shared" si="67"/>
        <v>0</v>
      </c>
      <c r="AI814" s="2">
        <f t="shared" si="68"/>
        <v>0</v>
      </c>
      <c r="AJ814" s="2"/>
      <c r="AK814" s="3"/>
      <c r="AL814" s="2">
        <f>IF(Table2[[#This Row],[GameIsOver]]=0,0,IF(Table2[[#This Row],[ActualWinner]]=Table2[[#This Row],[AwayTeam]], 1, 0))</f>
        <v>0</v>
      </c>
      <c r="AM814" s="2">
        <f>IF(Table2[[#This Row],[GameIsOver]]=0,0,IF(Table2[[#This Row],[ActualWinner]]=Table2[[#This Row],[HomeTeam]], 1, 0))</f>
        <v>0</v>
      </c>
      <c r="AN8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4" s="2" t="str">
        <f>INDEX(Sheet5!$B$2:$AG$33, MATCH(Table2[[#This Row],[AwayTeam]],Sheet5!$A$2:$A$33, 0), MATCH(Table2[[#This Row],[HomeTeam]],Sheet5!$A$2:$A$33, 0))</f>
        <v>0-0-0</v>
      </c>
      <c r="AP814" s="2" t="str">
        <f>INDEX(Sheet5!$B$2:$AG$33, MATCH(Table2[[#This Row],[HomeTeam]],Sheet5!$A$2:$A$33, 0), MATCH(Table2[[#This Row],[AwayTeam]],Sheet5!$A$2:$A$33, 0))</f>
        <v>0-0-0</v>
      </c>
      <c r="AQ814" s="2">
        <f>IF(Table2[[#This Row],[GameHasShutOut]], 1, 0)</f>
        <v>0</v>
      </c>
      <c r="AR814" s="2">
        <f>IF(Table2[[#This Row],[ActualAwayScore]] + Table2[[#This Row],[ActualHomeScore]] &gt;= 10, 1, 0)</f>
        <v>0</v>
      </c>
      <c r="AS814" s="2">
        <f>IF(ABS(Table2[[#This Row],[ActualAwayScore]]-Table2[[#This Row],[ActualHomeScore]])&gt;=5, 1, 0)</f>
        <v>0</v>
      </c>
      <c r="AT814" s="2">
        <f>IF(Table2[[#This Row],[ActualAwayScore]] + Table2[[#This Row],[ActualHomeScore]] &lt;= 3, 1, 0)</f>
        <v>1</v>
      </c>
      <c r="AU814" s="2"/>
      <c r="AV814" s="2"/>
    </row>
    <row r="815" spans="1:48" x14ac:dyDescent="0.25">
      <c r="A815" s="3"/>
      <c r="B815" s="3">
        <v>46047</v>
      </c>
      <c r="C815" s="5">
        <v>2025020813</v>
      </c>
      <c r="D815" s="2" t="s">
        <v>41</v>
      </c>
      <c r="E815" s="2" t="s">
        <v>29</v>
      </c>
      <c r="F815" s="2"/>
      <c r="G815" s="2"/>
      <c r="H815" s="2" t="str">
        <f t="shared" si="64"/>
        <v>_</v>
      </c>
      <c r="I815" s="2"/>
      <c r="J815" s="2"/>
      <c r="K815" s="2"/>
      <c r="L815" s="2" t="str">
        <f t="shared" si="65"/>
        <v>_</v>
      </c>
      <c r="M815" s="2"/>
      <c r="N815" s="2">
        <f>IF(ISBLANK(Table2[[#This Row],[ActualResult]]), 0, 1)</f>
        <v>0</v>
      </c>
      <c r="O815" s="2" t="str">
        <f>IF(ISBLANK(Table2[[#This Row],[ActualResult]]), "_", IF(Table2[[#This Row],[ActualWinner]]=Table2[[#This Row],[PredictedWinner]], "Y", "N"))</f>
        <v>_</v>
      </c>
      <c r="P8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5" s="2"/>
      <c r="S815" s="2" t="str">
        <f t="shared" si="66"/>
        <v>_</v>
      </c>
      <c r="T8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5" s="2">
        <f>IF(Table2[[#This Row],[InterConf]]=1,IF(Table2[[#This Row],[InterDiv]]=0, 1, 0), 0)</f>
        <v>1</v>
      </c>
      <c r="W8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5" s="2"/>
      <c r="Y815" s="2"/>
      <c r="Z815" s="145">
        <f>IF(AND(Table2[[#This Row],[GameIsOver]]=1,Table2[[#This Row],[ActualHomeScore]]*Table2[[#This Row],[ActualAwayScore]]=0), 1,0)</f>
        <v>0</v>
      </c>
      <c r="AA8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5" s="2">
        <f>Table2[[#This Row],[ActualAwayScore]]-Table2[[#This Row],[PredictedAwayScore]]</f>
        <v>0</v>
      </c>
      <c r="AG815" s="2">
        <f>Table2[[#This Row],[ActualHomeScore]]-Table2[[#This Row],[PredictedHomeScore]]</f>
        <v>0</v>
      </c>
      <c r="AH815" s="2">
        <f t="shared" si="67"/>
        <v>0</v>
      </c>
      <c r="AI815" s="2">
        <f t="shared" si="68"/>
        <v>0</v>
      </c>
      <c r="AJ815" s="2"/>
      <c r="AK815" s="3"/>
      <c r="AL815" s="2">
        <f>IF(Table2[[#This Row],[GameIsOver]]=0,0,IF(Table2[[#This Row],[ActualWinner]]=Table2[[#This Row],[AwayTeam]], 1, 0))</f>
        <v>0</v>
      </c>
      <c r="AM815" s="2">
        <f>IF(Table2[[#This Row],[GameIsOver]]=0,0,IF(Table2[[#This Row],[ActualWinner]]=Table2[[#This Row],[HomeTeam]], 1, 0))</f>
        <v>0</v>
      </c>
      <c r="AN8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5" s="2" t="str">
        <f>INDEX(Sheet5!$B$2:$AG$33, MATCH(Table2[[#This Row],[AwayTeam]],Sheet5!$A$2:$A$33, 0), MATCH(Table2[[#This Row],[HomeTeam]],Sheet5!$A$2:$A$33, 0))</f>
        <v>0-0-0</v>
      </c>
      <c r="AP815" s="2" t="str">
        <f>INDEX(Sheet5!$B$2:$AG$33, MATCH(Table2[[#This Row],[HomeTeam]],Sheet5!$A$2:$A$33, 0), MATCH(Table2[[#This Row],[AwayTeam]],Sheet5!$A$2:$A$33, 0))</f>
        <v>0-0-0</v>
      </c>
      <c r="AQ815" s="2">
        <f>IF(Table2[[#This Row],[GameHasShutOut]], 1, 0)</f>
        <v>0</v>
      </c>
      <c r="AR815" s="2">
        <f>IF(Table2[[#This Row],[ActualAwayScore]] + Table2[[#This Row],[ActualHomeScore]] &gt;= 10, 1, 0)</f>
        <v>0</v>
      </c>
      <c r="AS815" s="2">
        <f>IF(ABS(Table2[[#This Row],[ActualAwayScore]]-Table2[[#This Row],[ActualHomeScore]])&gt;=5, 1, 0)</f>
        <v>0</v>
      </c>
      <c r="AT815" s="2">
        <f>IF(Table2[[#This Row],[ActualAwayScore]] + Table2[[#This Row],[ActualHomeScore]] &lt;= 3, 1, 0)</f>
        <v>1</v>
      </c>
      <c r="AU815" s="2"/>
      <c r="AV815" s="2"/>
    </row>
    <row r="816" spans="1:48" x14ac:dyDescent="0.25">
      <c r="A816" s="3"/>
      <c r="B816" s="3">
        <v>46047</v>
      </c>
      <c r="C816" s="5">
        <v>2025020814</v>
      </c>
      <c r="D816" s="2" t="s">
        <v>40</v>
      </c>
      <c r="E816" s="2" t="s">
        <v>35</v>
      </c>
      <c r="F816" s="2"/>
      <c r="G816" s="2"/>
      <c r="H816" s="2" t="str">
        <f t="shared" si="64"/>
        <v>_</v>
      </c>
      <c r="I816" s="2"/>
      <c r="J816" s="2"/>
      <c r="K816" s="2"/>
      <c r="L816" s="2" t="str">
        <f t="shared" si="65"/>
        <v>_</v>
      </c>
      <c r="M816" s="2"/>
      <c r="N816" s="2">
        <f>IF(ISBLANK(Table2[[#This Row],[ActualResult]]), 0, 1)</f>
        <v>0</v>
      </c>
      <c r="O816" s="2" t="str">
        <f>IF(ISBLANK(Table2[[#This Row],[ActualResult]]), "_", IF(Table2[[#This Row],[ActualWinner]]=Table2[[#This Row],[PredictedWinner]], "Y", "N"))</f>
        <v>_</v>
      </c>
      <c r="P8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6" s="2"/>
      <c r="S816" s="2" t="str">
        <f t="shared" si="66"/>
        <v>_</v>
      </c>
      <c r="T8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6" s="2">
        <f>IF(Table2[[#This Row],[InterConf]]=1,IF(Table2[[#This Row],[InterDiv]]=0, 1, 0), 0)</f>
        <v>1</v>
      </c>
      <c r="W8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6" s="2"/>
      <c r="Y816" s="2"/>
      <c r="Z816" s="145">
        <f>IF(AND(Table2[[#This Row],[GameIsOver]]=1,Table2[[#This Row],[ActualHomeScore]]*Table2[[#This Row],[ActualAwayScore]]=0), 1,0)</f>
        <v>0</v>
      </c>
      <c r="AA8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6" s="2">
        <f>Table2[[#This Row],[ActualAwayScore]]-Table2[[#This Row],[PredictedAwayScore]]</f>
        <v>0</v>
      </c>
      <c r="AG816" s="2">
        <f>Table2[[#This Row],[ActualHomeScore]]-Table2[[#This Row],[PredictedHomeScore]]</f>
        <v>0</v>
      </c>
      <c r="AH816" s="2">
        <f t="shared" si="67"/>
        <v>0</v>
      </c>
      <c r="AI816" s="2">
        <f t="shared" si="68"/>
        <v>0</v>
      </c>
      <c r="AJ816" s="2"/>
      <c r="AK816" s="3"/>
      <c r="AL816" s="2">
        <f>IF(Table2[[#This Row],[GameIsOver]]=0,0,IF(Table2[[#This Row],[ActualWinner]]=Table2[[#This Row],[AwayTeam]], 1, 0))</f>
        <v>0</v>
      </c>
      <c r="AM816" s="2">
        <f>IF(Table2[[#This Row],[GameIsOver]]=0,0,IF(Table2[[#This Row],[ActualWinner]]=Table2[[#This Row],[HomeTeam]], 1, 0))</f>
        <v>0</v>
      </c>
      <c r="AN8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6" s="2" t="str">
        <f>INDEX(Sheet5!$B$2:$AG$33, MATCH(Table2[[#This Row],[AwayTeam]],Sheet5!$A$2:$A$33, 0), MATCH(Table2[[#This Row],[HomeTeam]],Sheet5!$A$2:$A$33, 0))</f>
        <v>0-1-0</v>
      </c>
      <c r="AP816" s="2" t="str">
        <f>INDEX(Sheet5!$B$2:$AG$33, MATCH(Table2[[#This Row],[HomeTeam]],Sheet5!$A$2:$A$33, 0), MATCH(Table2[[#This Row],[AwayTeam]],Sheet5!$A$2:$A$33, 0))</f>
        <v>1-0-0</v>
      </c>
      <c r="AQ816" s="2">
        <f>IF(Table2[[#This Row],[GameHasShutOut]], 1, 0)</f>
        <v>0</v>
      </c>
      <c r="AR816" s="2">
        <f>IF(Table2[[#This Row],[ActualAwayScore]] + Table2[[#This Row],[ActualHomeScore]] &gt;= 10, 1, 0)</f>
        <v>0</v>
      </c>
      <c r="AS816" s="2">
        <f>IF(ABS(Table2[[#This Row],[ActualAwayScore]]-Table2[[#This Row],[ActualHomeScore]])&gt;=5, 1, 0)</f>
        <v>0</v>
      </c>
      <c r="AT816" s="2">
        <f>IF(Table2[[#This Row],[ActualAwayScore]] + Table2[[#This Row],[ActualHomeScore]] &lt;= 3, 1, 0)</f>
        <v>1</v>
      </c>
      <c r="AU816" s="2"/>
      <c r="AV816" s="2"/>
    </row>
    <row r="817" spans="1:48" x14ac:dyDescent="0.25">
      <c r="A817" s="3"/>
      <c r="B817" s="3">
        <v>46047</v>
      </c>
      <c r="C817" s="5">
        <v>2025020815</v>
      </c>
      <c r="D817" s="2" t="s">
        <v>30</v>
      </c>
      <c r="E817" s="2" t="s">
        <v>21</v>
      </c>
      <c r="F817" s="2"/>
      <c r="G817" s="2"/>
      <c r="H817" s="2" t="str">
        <f t="shared" si="64"/>
        <v>_</v>
      </c>
      <c r="I817" s="2"/>
      <c r="J817" s="2"/>
      <c r="K817" s="2"/>
      <c r="L817" s="2" t="str">
        <f t="shared" si="65"/>
        <v>_</v>
      </c>
      <c r="M817" s="2"/>
      <c r="N817" s="2">
        <f>IF(ISBLANK(Table2[[#This Row],[ActualResult]]), 0, 1)</f>
        <v>0</v>
      </c>
      <c r="O817" s="2" t="str">
        <f>IF(ISBLANK(Table2[[#This Row],[ActualResult]]), "_", IF(Table2[[#This Row],[ActualWinner]]=Table2[[#This Row],[PredictedWinner]], "Y", "N"))</f>
        <v>_</v>
      </c>
      <c r="P8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7" s="2"/>
      <c r="S817" s="2" t="str">
        <f t="shared" si="66"/>
        <v>_</v>
      </c>
      <c r="T8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7" s="2">
        <f>IF(Table2[[#This Row],[InterConf]]=1,IF(Table2[[#This Row],[InterDiv]]=0, 1, 0), 0)</f>
        <v>0</v>
      </c>
      <c r="W8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7" s="2"/>
      <c r="Y817" s="2"/>
      <c r="Z817" s="145">
        <f>IF(AND(Table2[[#This Row],[GameIsOver]]=1,Table2[[#This Row],[ActualHomeScore]]*Table2[[#This Row],[ActualAwayScore]]=0), 1,0)</f>
        <v>0</v>
      </c>
      <c r="AA8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7" s="2">
        <f>Table2[[#This Row],[ActualAwayScore]]-Table2[[#This Row],[PredictedAwayScore]]</f>
        <v>0</v>
      </c>
      <c r="AG817" s="2">
        <f>Table2[[#This Row],[ActualHomeScore]]-Table2[[#This Row],[PredictedHomeScore]]</f>
        <v>0</v>
      </c>
      <c r="AH817" s="2">
        <f t="shared" si="67"/>
        <v>0</v>
      </c>
      <c r="AI817" s="2">
        <f t="shared" si="68"/>
        <v>0</v>
      </c>
      <c r="AJ817" s="2"/>
      <c r="AK817" s="3"/>
      <c r="AL817" s="2">
        <f>IF(Table2[[#This Row],[GameIsOver]]=0,0,IF(Table2[[#This Row],[ActualWinner]]=Table2[[#This Row],[AwayTeam]], 1, 0))</f>
        <v>0</v>
      </c>
      <c r="AM817" s="2">
        <f>IF(Table2[[#This Row],[GameIsOver]]=0,0,IF(Table2[[#This Row],[ActualWinner]]=Table2[[#This Row],[HomeTeam]], 1, 0))</f>
        <v>0</v>
      </c>
      <c r="AN8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7" s="2" t="str">
        <f>INDEX(Sheet5!$B$2:$AG$33, MATCH(Table2[[#This Row],[AwayTeam]],Sheet5!$A$2:$A$33, 0), MATCH(Table2[[#This Row],[HomeTeam]],Sheet5!$A$2:$A$33, 0))</f>
        <v>0-0-0</v>
      </c>
      <c r="AP817" s="2" t="str">
        <f>INDEX(Sheet5!$B$2:$AG$33, MATCH(Table2[[#This Row],[HomeTeam]],Sheet5!$A$2:$A$33, 0), MATCH(Table2[[#This Row],[AwayTeam]],Sheet5!$A$2:$A$33, 0))</f>
        <v>0-0-0</v>
      </c>
      <c r="AQ817" s="2">
        <f>IF(Table2[[#This Row],[GameHasShutOut]], 1, 0)</f>
        <v>0</v>
      </c>
      <c r="AR817" s="2">
        <f>IF(Table2[[#This Row],[ActualAwayScore]] + Table2[[#This Row],[ActualHomeScore]] &gt;= 10, 1, 0)</f>
        <v>0</v>
      </c>
      <c r="AS817" s="2">
        <f>IF(ABS(Table2[[#This Row],[ActualAwayScore]]-Table2[[#This Row],[ActualHomeScore]])&gt;=5, 1, 0)</f>
        <v>0</v>
      </c>
      <c r="AT817" s="2">
        <f>IF(Table2[[#This Row],[ActualAwayScore]] + Table2[[#This Row],[ActualHomeScore]] &lt;= 3, 1, 0)</f>
        <v>1</v>
      </c>
      <c r="AU817" s="2"/>
      <c r="AV817" s="2"/>
    </row>
    <row r="818" spans="1:48" x14ac:dyDescent="0.25">
      <c r="A818" s="3"/>
      <c r="B818" s="3">
        <v>46047</v>
      </c>
      <c r="C818" s="5">
        <v>2025020816</v>
      </c>
      <c r="D818" s="2" t="s">
        <v>27</v>
      </c>
      <c r="E818" s="2" t="s">
        <v>12</v>
      </c>
      <c r="F818" s="2"/>
      <c r="G818" s="2"/>
      <c r="H818" s="2" t="str">
        <f t="shared" si="64"/>
        <v>_</v>
      </c>
      <c r="I818" s="2"/>
      <c r="J818" s="2"/>
      <c r="K818" s="2"/>
      <c r="L818" s="2" t="str">
        <f t="shared" si="65"/>
        <v>_</v>
      </c>
      <c r="M818" s="2"/>
      <c r="N818" s="2">
        <f>IF(ISBLANK(Table2[[#This Row],[ActualResult]]), 0, 1)</f>
        <v>0</v>
      </c>
      <c r="O818" s="2" t="str">
        <f>IF(ISBLANK(Table2[[#This Row],[ActualResult]]), "_", IF(Table2[[#This Row],[ActualWinner]]=Table2[[#This Row],[PredictedWinner]], "Y", "N"))</f>
        <v>_</v>
      </c>
      <c r="P8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8" s="2"/>
      <c r="S818" s="2" t="str">
        <f t="shared" si="66"/>
        <v>_</v>
      </c>
      <c r="T8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8" s="2">
        <f>IF(Table2[[#This Row],[InterConf]]=1,IF(Table2[[#This Row],[InterDiv]]=0, 1, 0), 0)</f>
        <v>1</v>
      </c>
      <c r="W8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8" s="2"/>
      <c r="Y818" s="2"/>
      <c r="Z818" s="145">
        <f>IF(AND(Table2[[#This Row],[GameIsOver]]=1,Table2[[#This Row],[ActualHomeScore]]*Table2[[#This Row],[ActualAwayScore]]=0), 1,0)</f>
        <v>0</v>
      </c>
      <c r="AA8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8" s="2">
        <f>Table2[[#This Row],[ActualAwayScore]]-Table2[[#This Row],[PredictedAwayScore]]</f>
        <v>0</v>
      </c>
      <c r="AG818" s="2">
        <f>Table2[[#This Row],[ActualHomeScore]]-Table2[[#This Row],[PredictedHomeScore]]</f>
        <v>0</v>
      </c>
      <c r="AH818" s="2">
        <f t="shared" si="67"/>
        <v>0</v>
      </c>
      <c r="AI818" s="2">
        <f t="shared" si="68"/>
        <v>0</v>
      </c>
      <c r="AJ818" s="2"/>
      <c r="AK818" s="3"/>
      <c r="AL818" s="2">
        <f>IF(Table2[[#This Row],[GameIsOver]]=0,0,IF(Table2[[#This Row],[ActualWinner]]=Table2[[#This Row],[AwayTeam]], 1, 0))</f>
        <v>0</v>
      </c>
      <c r="AM818" s="2">
        <f>IF(Table2[[#This Row],[GameIsOver]]=0,0,IF(Table2[[#This Row],[ActualWinner]]=Table2[[#This Row],[HomeTeam]], 1, 0))</f>
        <v>0</v>
      </c>
      <c r="AN818" s="2">
        <f>IF(IFERROR(FIND(Table2[[#This Row],[AwayTeam]], _xlfn.TEXTJOIN(";", 1, $BD$31:$BD$40)), 0) &gt; 0, 1, 0) + IF(IFERROR(FIND(Table2[[#This Row],[HomeTeam]], _xlfn.TEXTJOIN(";", 1, $BD$31:$BD$40)), 0) &gt; 0, 1, 0)</f>
        <v>1</v>
      </c>
      <c r="AO818" s="2" t="str">
        <f>INDEX(Sheet5!$B$2:$AG$33, MATCH(Table2[[#This Row],[AwayTeam]],Sheet5!$A$2:$A$33, 0), MATCH(Table2[[#This Row],[HomeTeam]],Sheet5!$A$2:$A$33, 0))</f>
        <v>1-0-0</v>
      </c>
      <c r="AP818" s="2" t="str">
        <f>INDEX(Sheet5!$B$2:$AG$33, MATCH(Table2[[#This Row],[HomeTeam]],Sheet5!$A$2:$A$33, 0), MATCH(Table2[[#This Row],[AwayTeam]],Sheet5!$A$2:$A$33, 0))</f>
        <v>0-0-1</v>
      </c>
      <c r="AQ818" s="2">
        <f>IF(Table2[[#This Row],[GameHasShutOut]], 1, 0)</f>
        <v>0</v>
      </c>
      <c r="AR818" s="2">
        <f>IF(Table2[[#This Row],[ActualAwayScore]] + Table2[[#This Row],[ActualHomeScore]] &gt;= 10, 1, 0)</f>
        <v>0</v>
      </c>
      <c r="AS818" s="2">
        <f>IF(ABS(Table2[[#This Row],[ActualAwayScore]]-Table2[[#This Row],[ActualHomeScore]])&gt;=5, 1, 0)</f>
        <v>0</v>
      </c>
      <c r="AT818" s="2">
        <f>IF(Table2[[#This Row],[ActualAwayScore]] + Table2[[#This Row],[ActualHomeScore]] &lt;= 3, 1, 0)</f>
        <v>1</v>
      </c>
      <c r="AU818" s="2"/>
      <c r="AV818" s="2"/>
    </row>
    <row r="819" spans="1:48" x14ac:dyDescent="0.25">
      <c r="A819" s="3"/>
      <c r="B819" s="3">
        <v>46047</v>
      </c>
      <c r="C819" s="5">
        <v>2025020817</v>
      </c>
      <c r="D819" s="2" t="s">
        <v>13</v>
      </c>
      <c r="E819" s="2" t="s">
        <v>36</v>
      </c>
      <c r="F819" s="2"/>
      <c r="G819" s="2"/>
      <c r="H819" s="2" t="str">
        <f t="shared" si="64"/>
        <v>_</v>
      </c>
      <c r="I819" s="2"/>
      <c r="J819" s="2"/>
      <c r="K819" s="2"/>
      <c r="L819" s="2" t="str">
        <f t="shared" si="65"/>
        <v>_</v>
      </c>
      <c r="M819" s="2"/>
      <c r="N819" s="2">
        <f>IF(ISBLANK(Table2[[#This Row],[ActualResult]]), 0, 1)</f>
        <v>0</v>
      </c>
      <c r="O819" s="2" t="str">
        <f>IF(ISBLANK(Table2[[#This Row],[ActualResult]]), "_", IF(Table2[[#This Row],[ActualWinner]]=Table2[[#This Row],[PredictedWinner]], "Y", "N"))</f>
        <v>_</v>
      </c>
      <c r="P8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9" s="2"/>
      <c r="S819" s="2" t="str">
        <f t="shared" si="66"/>
        <v>_</v>
      </c>
      <c r="T8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9" s="2">
        <f>IF(Table2[[#This Row],[InterConf]]=1,IF(Table2[[#This Row],[InterDiv]]=0, 1, 0), 0)</f>
        <v>0</v>
      </c>
      <c r="W8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9" s="2"/>
      <c r="Y819" s="2"/>
      <c r="Z819" s="145">
        <f>IF(AND(Table2[[#This Row],[GameIsOver]]=1,Table2[[#This Row],[ActualHomeScore]]*Table2[[#This Row],[ActualAwayScore]]=0), 1,0)</f>
        <v>0</v>
      </c>
      <c r="AA8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9" s="2">
        <f>Table2[[#This Row],[ActualAwayScore]]-Table2[[#This Row],[PredictedAwayScore]]</f>
        <v>0</v>
      </c>
      <c r="AG819" s="2">
        <f>Table2[[#This Row],[ActualHomeScore]]-Table2[[#This Row],[PredictedHomeScore]]</f>
        <v>0</v>
      </c>
      <c r="AH819" s="2">
        <f t="shared" si="67"/>
        <v>0</v>
      </c>
      <c r="AI819" s="2">
        <f t="shared" si="68"/>
        <v>0</v>
      </c>
      <c r="AJ819" s="2"/>
      <c r="AK819" s="3"/>
      <c r="AL819" s="2">
        <f>IF(Table2[[#This Row],[GameIsOver]]=0,0,IF(Table2[[#This Row],[ActualWinner]]=Table2[[#This Row],[AwayTeam]], 1, 0))</f>
        <v>0</v>
      </c>
      <c r="AM819" s="2">
        <f>IF(Table2[[#This Row],[GameIsOver]]=0,0,IF(Table2[[#This Row],[ActualWinner]]=Table2[[#This Row],[HomeTeam]], 1, 0))</f>
        <v>0</v>
      </c>
      <c r="AN8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9" s="2" t="str">
        <f>INDEX(Sheet5!$B$2:$AG$33, MATCH(Table2[[#This Row],[AwayTeam]],Sheet5!$A$2:$A$33, 0), MATCH(Table2[[#This Row],[HomeTeam]],Sheet5!$A$2:$A$33, 0))</f>
        <v>0-0-0</v>
      </c>
      <c r="AP819" s="2" t="str">
        <f>INDEX(Sheet5!$B$2:$AG$33, MATCH(Table2[[#This Row],[HomeTeam]],Sheet5!$A$2:$A$33, 0), MATCH(Table2[[#This Row],[AwayTeam]],Sheet5!$A$2:$A$33, 0))</f>
        <v>0-0-0</v>
      </c>
      <c r="AQ819" s="2">
        <f>IF(Table2[[#This Row],[GameHasShutOut]], 1, 0)</f>
        <v>0</v>
      </c>
      <c r="AR819" s="2">
        <f>IF(Table2[[#This Row],[ActualAwayScore]] + Table2[[#This Row],[ActualHomeScore]] &gt;= 10, 1, 0)</f>
        <v>0</v>
      </c>
      <c r="AS819" s="2">
        <f>IF(ABS(Table2[[#This Row],[ActualAwayScore]]-Table2[[#This Row],[ActualHomeScore]])&gt;=5, 1, 0)</f>
        <v>0</v>
      </c>
      <c r="AT819" s="2">
        <f>IF(Table2[[#This Row],[ActualAwayScore]] + Table2[[#This Row],[ActualHomeScore]] &lt;= 3, 1, 0)</f>
        <v>1</v>
      </c>
      <c r="AU819" s="2"/>
      <c r="AV819" s="2"/>
    </row>
    <row r="820" spans="1:48" x14ac:dyDescent="0.25">
      <c r="A820" s="3"/>
      <c r="B820" s="3">
        <v>46047</v>
      </c>
      <c r="C820" s="5">
        <v>2025020818</v>
      </c>
      <c r="D820" s="2" t="s">
        <v>43</v>
      </c>
      <c r="E820" s="2" t="s">
        <v>22</v>
      </c>
      <c r="F820" s="2"/>
      <c r="G820" s="2"/>
      <c r="H820" s="2" t="str">
        <f t="shared" si="64"/>
        <v>_</v>
      </c>
      <c r="I820" s="2"/>
      <c r="J820" s="2"/>
      <c r="K820" s="2"/>
      <c r="L820" s="2" t="str">
        <f t="shared" si="65"/>
        <v>_</v>
      </c>
      <c r="M820" s="2"/>
      <c r="N820" s="2">
        <f>IF(ISBLANK(Table2[[#This Row],[ActualResult]]), 0, 1)</f>
        <v>0</v>
      </c>
      <c r="O820" s="2" t="str">
        <f>IF(ISBLANK(Table2[[#This Row],[ActualResult]]), "_", IF(Table2[[#This Row],[ActualWinner]]=Table2[[#This Row],[PredictedWinner]], "Y", "N"))</f>
        <v>_</v>
      </c>
      <c r="P8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0" s="2"/>
      <c r="S820" s="2" t="str">
        <f t="shared" si="66"/>
        <v>_</v>
      </c>
      <c r="T8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0" s="2">
        <f>IF(Table2[[#This Row],[InterConf]]=1,IF(Table2[[#This Row],[InterDiv]]=0, 1, 0), 0)</f>
        <v>0</v>
      </c>
      <c r="W8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0" s="2"/>
      <c r="Y820" s="2"/>
      <c r="Z820" s="145">
        <f>IF(AND(Table2[[#This Row],[GameIsOver]]=1,Table2[[#This Row],[ActualHomeScore]]*Table2[[#This Row],[ActualAwayScore]]=0), 1,0)</f>
        <v>0</v>
      </c>
      <c r="AA8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0" s="2">
        <f>Table2[[#This Row],[ActualAwayScore]]-Table2[[#This Row],[PredictedAwayScore]]</f>
        <v>0</v>
      </c>
      <c r="AG820" s="2">
        <f>Table2[[#This Row],[ActualHomeScore]]-Table2[[#This Row],[PredictedHomeScore]]</f>
        <v>0</v>
      </c>
      <c r="AH820" s="2">
        <f t="shared" si="67"/>
        <v>0</v>
      </c>
      <c r="AI820" s="2">
        <f t="shared" si="68"/>
        <v>0</v>
      </c>
      <c r="AJ820" s="2"/>
      <c r="AK820" s="3"/>
      <c r="AL820" s="2">
        <f>IF(Table2[[#This Row],[GameIsOver]]=0,0,IF(Table2[[#This Row],[ActualWinner]]=Table2[[#This Row],[AwayTeam]], 1, 0))</f>
        <v>0</v>
      </c>
      <c r="AM820" s="2">
        <f>IF(Table2[[#This Row],[GameIsOver]]=0,0,IF(Table2[[#This Row],[ActualWinner]]=Table2[[#This Row],[HomeTeam]], 1, 0))</f>
        <v>0</v>
      </c>
      <c r="AN8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0" s="2" t="str">
        <f>INDEX(Sheet5!$B$2:$AG$33, MATCH(Table2[[#This Row],[AwayTeam]],Sheet5!$A$2:$A$33, 0), MATCH(Table2[[#This Row],[HomeTeam]],Sheet5!$A$2:$A$33, 0))</f>
        <v>0-0-0</v>
      </c>
      <c r="AP820" s="2" t="str">
        <f>INDEX(Sheet5!$B$2:$AG$33, MATCH(Table2[[#This Row],[HomeTeam]],Sheet5!$A$2:$A$33, 0), MATCH(Table2[[#This Row],[AwayTeam]],Sheet5!$A$2:$A$33, 0))</f>
        <v>0-0-0</v>
      </c>
      <c r="AQ820" s="2">
        <f>IF(Table2[[#This Row],[GameHasShutOut]], 1, 0)</f>
        <v>0</v>
      </c>
      <c r="AR820" s="2">
        <f>IF(Table2[[#This Row],[ActualAwayScore]] + Table2[[#This Row],[ActualHomeScore]] &gt;= 10, 1, 0)</f>
        <v>0</v>
      </c>
      <c r="AS820" s="2">
        <f>IF(ABS(Table2[[#This Row],[ActualAwayScore]]-Table2[[#This Row],[ActualHomeScore]])&gt;=5, 1, 0)</f>
        <v>0</v>
      </c>
      <c r="AT820" s="2">
        <f>IF(Table2[[#This Row],[ActualAwayScore]] + Table2[[#This Row],[ActualHomeScore]] &lt;= 3, 1, 0)</f>
        <v>1</v>
      </c>
      <c r="AU820" s="2"/>
      <c r="AV820" s="2"/>
    </row>
    <row r="821" spans="1:48" x14ac:dyDescent="0.25">
      <c r="A821" s="3"/>
      <c r="B821" s="3">
        <v>46047</v>
      </c>
      <c r="C821" s="5">
        <v>2025020819</v>
      </c>
      <c r="D821" s="2" t="s">
        <v>25</v>
      </c>
      <c r="E821" s="2" t="s">
        <v>17</v>
      </c>
      <c r="F821" s="2"/>
      <c r="G821" s="2"/>
      <c r="H821" s="2" t="str">
        <f t="shared" si="64"/>
        <v>_</v>
      </c>
      <c r="I821" s="2"/>
      <c r="J821" s="2"/>
      <c r="K821" s="2"/>
      <c r="L821" s="2" t="str">
        <f t="shared" si="65"/>
        <v>_</v>
      </c>
      <c r="M821" s="2"/>
      <c r="N821" s="2">
        <f>IF(ISBLANK(Table2[[#This Row],[ActualResult]]), 0, 1)</f>
        <v>0</v>
      </c>
      <c r="O821" s="2" t="str">
        <f>IF(ISBLANK(Table2[[#This Row],[ActualResult]]), "_", IF(Table2[[#This Row],[ActualWinner]]=Table2[[#This Row],[PredictedWinner]], "Y", "N"))</f>
        <v>_</v>
      </c>
      <c r="P8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1" s="2"/>
      <c r="S821" s="2" t="str">
        <f t="shared" si="66"/>
        <v>_</v>
      </c>
      <c r="T8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1" s="2">
        <f>IF(Table2[[#This Row],[InterConf]]=1,IF(Table2[[#This Row],[InterDiv]]=0, 1, 0), 0)</f>
        <v>0</v>
      </c>
      <c r="W8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1" s="2"/>
      <c r="Y821" s="2"/>
      <c r="Z821" s="145">
        <f>IF(AND(Table2[[#This Row],[GameIsOver]]=1,Table2[[#This Row],[ActualHomeScore]]*Table2[[#This Row],[ActualAwayScore]]=0), 1,0)</f>
        <v>0</v>
      </c>
      <c r="AA8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1" s="2">
        <f>Table2[[#This Row],[ActualAwayScore]]-Table2[[#This Row],[PredictedAwayScore]]</f>
        <v>0</v>
      </c>
      <c r="AG821" s="2">
        <f>Table2[[#This Row],[ActualHomeScore]]-Table2[[#This Row],[PredictedHomeScore]]</f>
        <v>0</v>
      </c>
      <c r="AH821" s="2">
        <f t="shared" si="67"/>
        <v>0</v>
      </c>
      <c r="AI821" s="2">
        <f t="shared" si="68"/>
        <v>0</v>
      </c>
      <c r="AJ821" s="2"/>
      <c r="AK821" s="3"/>
      <c r="AL821" s="2">
        <f>IF(Table2[[#This Row],[GameIsOver]]=0,0,IF(Table2[[#This Row],[ActualWinner]]=Table2[[#This Row],[AwayTeam]], 1, 0))</f>
        <v>0</v>
      </c>
      <c r="AM821" s="2">
        <f>IF(Table2[[#This Row],[GameIsOver]]=0,0,IF(Table2[[#This Row],[ActualWinner]]=Table2[[#This Row],[HomeTeam]], 1, 0))</f>
        <v>0</v>
      </c>
      <c r="AN8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1" s="2" t="str">
        <f>INDEX(Sheet5!$B$2:$AG$33, MATCH(Table2[[#This Row],[AwayTeam]],Sheet5!$A$2:$A$33, 0), MATCH(Table2[[#This Row],[HomeTeam]],Sheet5!$A$2:$A$33, 0))</f>
        <v>0-0-0</v>
      </c>
      <c r="AP821" s="2" t="str">
        <f>INDEX(Sheet5!$B$2:$AG$33, MATCH(Table2[[#This Row],[HomeTeam]],Sheet5!$A$2:$A$33, 0), MATCH(Table2[[#This Row],[AwayTeam]],Sheet5!$A$2:$A$33, 0))</f>
        <v>0-0-0</v>
      </c>
      <c r="AQ821" s="2">
        <f>IF(Table2[[#This Row],[GameHasShutOut]], 1, 0)</f>
        <v>0</v>
      </c>
      <c r="AR821" s="2">
        <f>IF(Table2[[#This Row],[ActualAwayScore]] + Table2[[#This Row],[ActualHomeScore]] &gt;= 10, 1, 0)</f>
        <v>0</v>
      </c>
      <c r="AS821" s="2">
        <f>IF(ABS(Table2[[#This Row],[ActualAwayScore]]-Table2[[#This Row],[ActualHomeScore]])&gt;=5, 1, 0)</f>
        <v>0</v>
      </c>
      <c r="AT821" s="2">
        <f>IF(Table2[[#This Row],[ActualAwayScore]] + Table2[[#This Row],[ActualHomeScore]] &lt;= 3, 1, 0)</f>
        <v>1</v>
      </c>
      <c r="AU821" s="2"/>
      <c r="AV821" s="2"/>
    </row>
    <row r="822" spans="1:48" x14ac:dyDescent="0.25">
      <c r="A822" s="3"/>
      <c r="B822" s="3">
        <v>46047</v>
      </c>
      <c r="C822" s="5">
        <v>2025020820</v>
      </c>
      <c r="D822" s="2" t="s">
        <v>31</v>
      </c>
      <c r="E822" s="2" t="s">
        <v>11</v>
      </c>
      <c r="F822" s="2"/>
      <c r="G822" s="2"/>
      <c r="H822" s="2" t="str">
        <f t="shared" si="64"/>
        <v>_</v>
      </c>
      <c r="I822" s="2"/>
      <c r="J822" s="2"/>
      <c r="K822" s="2"/>
      <c r="L822" s="2" t="str">
        <f t="shared" si="65"/>
        <v>_</v>
      </c>
      <c r="M822" s="2"/>
      <c r="N822" s="2">
        <f>IF(ISBLANK(Table2[[#This Row],[ActualResult]]), 0, 1)</f>
        <v>0</v>
      </c>
      <c r="O822" s="2" t="str">
        <f>IF(ISBLANK(Table2[[#This Row],[ActualResult]]), "_", IF(Table2[[#This Row],[ActualWinner]]=Table2[[#This Row],[PredictedWinner]], "Y", "N"))</f>
        <v>_</v>
      </c>
      <c r="P8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2" s="2"/>
      <c r="S822" s="2" t="str">
        <f t="shared" si="66"/>
        <v>_</v>
      </c>
      <c r="T8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2" s="2">
        <f>IF(Table2[[#This Row],[InterConf]]=1,IF(Table2[[#This Row],[InterDiv]]=0, 1, 0), 0)</f>
        <v>0</v>
      </c>
      <c r="W8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2" s="2"/>
      <c r="Y822" s="2"/>
      <c r="Z822" s="145">
        <f>IF(AND(Table2[[#This Row],[GameIsOver]]=1,Table2[[#This Row],[ActualHomeScore]]*Table2[[#This Row],[ActualAwayScore]]=0), 1,0)</f>
        <v>0</v>
      </c>
      <c r="AA8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2" s="2">
        <f>Table2[[#This Row],[ActualAwayScore]]-Table2[[#This Row],[PredictedAwayScore]]</f>
        <v>0</v>
      </c>
      <c r="AG822" s="2">
        <f>Table2[[#This Row],[ActualHomeScore]]-Table2[[#This Row],[PredictedHomeScore]]</f>
        <v>0</v>
      </c>
      <c r="AH822" s="2">
        <f t="shared" si="67"/>
        <v>0</v>
      </c>
      <c r="AI822" s="2">
        <f t="shared" si="68"/>
        <v>0</v>
      </c>
      <c r="AJ822" s="2"/>
      <c r="AK822" s="3"/>
      <c r="AL822" s="2">
        <f>IF(Table2[[#This Row],[GameIsOver]]=0,0,IF(Table2[[#This Row],[ActualWinner]]=Table2[[#This Row],[AwayTeam]], 1, 0))</f>
        <v>0</v>
      </c>
      <c r="AM822" s="2">
        <f>IF(Table2[[#This Row],[GameIsOver]]=0,0,IF(Table2[[#This Row],[ActualWinner]]=Table2[[#This Row],[HomeTeam]], 1, 0))</f>
        <v>0</v>
      </c>
      <c r="AN8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2" s="2" t="str">
        <f>INDEX(Sheet5!$B$2:$AG$33, MATCH(Table2[[#This Row],[AwayTeam]],Sheet5!$A$2:$A$33, 0), MATCH(Table2[[#This Row],[HomeTeam]],Sheet5!$A$2:$A$33, 0))</f>
        <v>0-0-0</v>
      </c>
      <c r="AP822" s="2" t="str">
        <f>INDEX(Sheet5!$B$2:$AG$33, MATCH(Table2[[#This Row],[HomeTeam]],Sheet5!$A$2:$A$33, 0), MATCH(Table2[[#This Row],[AwayTeam]],Sheet5!$A$2:$A$33, 0))</f>
        <v>0-0-0</v>
      </c>
      <c r="AQ822" s="2">
        <f>IF(Table2[[#This Row],[GameHasShutOut]], 1, 0)</f>
        <v>0</v>
      </c>
      <c r="AR822" s="2">
        <f>IF(Table2[[#This Row],[ActualAwayScore]] + Table2[[#This Row],[ActualHomeScore]] &gt;= 10, 1, 0)</f>
        <v>0</v>
      </c>
      <c r="AS822" s="2">
        <f>IF(ABS(Table2[[#This Row],[ActualAwayScore]]-Table2[[#This Row],[ActualHomeScore]])&gt;=5, 1, 0)</f>
        <v>0</v>
      </c>
      <c r="AT822" s="2">
        <f>IF(Table2[[#This Row],[ActualAwayScore]] + Table2[[#This Row],[ActualHomeScore]] &lt;= 3, 1, 0)</f>
        <v>1</v>
      </c>
      <c r="AU822" s="2"/>
      <c r="AV822" s="2"/>
    </row>
    <row r="823" spans="1:48" x14ac:dyDescent="0.25">
      <c r="A823" s="3"/>
      <c r="B823" s="3">
        <v>46047</v>
      </c>
      <c r="C823" s="5">
        <v>2025020821</v>
      </c>
      <c r="D823" s="2" t="s">
        <v>26</v>
      </c>
      <c r="E823" s="2" t="s">
        <v>29</v>
      </c>
      <c r="F823" s="2"/>
      <c r="G823" s="2"/>
      <c r="H823" s="2" t="str">
        <f t="shared" si="64"/>
        <v>_</v>
      </c>
      <c r="I823" s="2"/>
      <c r="J823" s="2"/>
      <c r="K823" s="2"/>
      <c r="L823" s="2" t="str">
        <f t="shared" si="65"/>
        <v>_</v>
      </c>
      <c r="M823" s="2"/>
      <c r="N823" s="2">
        <f>IF(ISBLANK(Table2[[#This Row],[ActualResult]]), 0, 1)</f>
        <v>0</v>
      </c>
      <c r="O823" s="2" t="str">
        <f>IF(ISBLANK(Table2[[#This Row],[ActualResult]]), "_", IF(Table2[[#This Row],[ActualWinner]]=Table2[[#This Row],[PredictedWinner]], "Y", "N"))</f>
        <v>_</v>
      </c>
      <c r="P8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3" s="2"/>
      <c r="S823" s="2" t="str">
        <f t="shared" si="66"/>
        <v>_</v>
      </c>
      <c r="T8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3" s="2">
        <f>IF(Table2[[#This Row],[InterConf]]=1,IF(Table2[[#This Row],[InterDiv]]=0, 1, 0), 0)</f>
        <v>0</v>
      </c>
      <c r="W8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3" s="2"/>
      <c r="Y823" s="2"/>
      <c r="Z823" s="145">
        <f>IF(AND(Table2[[#This Row],[GameIsOver]]=1,Table2[[#This Row],[ActualHomeScore]]*Table2[[#This Row],[ActualAwayScore]]=0), 1,0)</f>
        <v>0</v>
      </c>
      <c r="AA8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3" s="2">
        <f>Table2[[#This Row],[ActualAwayScore]]-Table2[[#This Row],[PredictedAwayScore]]</f>
        <v>0</v>
      </c>
      <c r="AG823" s="2">
        <f>Table2[[#This Row],[ActualHomeScore]]-Table2[[#This Row],[PredictedHomeScore]]</f>
        <v>0</v>
      </c>
      <c r="AH823" s="2">
        <f t="shared" si="67"/>
        <v>0</v>
      </c>
      <c r="AI823" s="2">
        <f t="shared" si="68"/>
        <v>0</v>
      </c>
      <c r="AJ823" s="2"/>
      <c r="AK823" s="3"/>
      <c r="AL823" s="2">
        <f>IF(Table2[[#This Row],[GameIsOver]]=0,0,IF(Table2[[#This Row],[ActualWinner]]=Table2[[#This Row],[AwayTeam]], 1, 0))</f>
        <v>0</v>
      </c>
      <c r="AM823" s="2">
        <f>IF(Table2[[#This Row],[GameIsOver]]=0,0,IF(Table2[[#This Row],[ActualWinner]]=Table2[[#This Row],[HomeTeam]], 1, 0))</f>
        <v>0</v>
      </c>
      <c r="AN8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3" s="2" t="str">
        <f>INDEX(Sheet5!$B$2:$AG$33, MATCH(Table2[[#This Row],[AwayTeam]],Sheet5!$A$2:$A$33, 0), MATCH(Table2[[#This Row],[HomeTeam]],Sheet5!$A$2:$A$33, 0))</f>
        <v>0-0-0</v>
      </c>
      <c r="AP823" s="2" t="str">
        <f>INDEX(Sheet5!$B$2:$AG$33, MATCH(Table2[[#This Row],[HomeTeam]],Sheet5!$A$2:$A$33, 0), MATCH(Table2[[#This Row],[AwayTeam]],Sheet5!$A$2:$A$33, 0))</f>
        <v>0-0-0</v>
      </c>
      <c r="AQ823" s="2">
        <f>IF(Table2[[#This Row],[GameHasShutOut]], 1, 0)</f>
        <v>0</v>
      </c>
      <c r="AR823" s="2">
        <f>IF(Table2[[#This Row],[ActualAwayScore]] + Table2[[#This Row],[ActualHomeScore]] &gt;= 10, 1, 0)</f>
        <v>0</v>
      </c>
      <c r="AS823" s="2">
        <f>IF(ABS(Table2[[#This Row],[ActualAwayScore]]-Table2[[#This Row],[ActualHomeScore]])&gt;=5, 1, 0)</f>
        <v>0</v>
      </c>
      <c r="AT823" s="2">
        <f>IF(Table2[[#This Row],[ActualAwayScore]] + Table2[[#This Row],[ActualHomeScore]] &lt;= 3, 1, 0)</f>
        <v>1</v>
      </c>
      <c r="AU823" s="2"/>
      <c r="AV823" s="2"/>
    </row>
    <row r="824" spans="1:48" x14ac:dyDescent="0.25">
      <c r="A824" s="3"/>
      <c r="B824" s="3">
        <v>46047</v>
      </c>
      <c r="C824" s="5">
        <v>2025020822</v>
      </c>
      <c r="D824" s="2" t="s">
        <v>20</v>
      </c>
      <c r="E824" s="2" t="s">
        <v>24</v>
      </c>
      <c r="F824" s="2"/>
      <c r="G824" s="2"/>
      <c r="H824" s="2" t="str">
        <f t="shared" si="64"/>
        <v>_</v>
      </c>
      <c r="I824" s="2"/>
      <c r="J824" s="2"/>
      <c r="K824" s="2"/>
      <c r="L824" s="2" t="str">
        <f t="shared" si="65"/>
        <v>_</v>
      </c>
      <c r="M824" s="2"/>
      <c r="N824" s="2">
        <f>IF(ISBLANK(Table2[[#This Row],[ActualResult]]), 0, 1)</f>
        <v>0</v>
      </c>
      <c r="O824" s="2" t="str">
        <f>IF(ISBLANK(Table2[[#This Row],[ActualResult]]), "_", IF(Table2[[#This Row],[ActualWinner]]=Table2[[#This Row],[PredictedWinner]], "Y", "N"))</f>
        <v>_</v>
      </c>
      <c r="P8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4" s="2"/>
      <c r="S824" s="2" t="str">
        <f t="shared" si="66"/>
        <v>_</v>
      </c>
      <c r="T8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4" s="2">
        <f>IF(Table2[[#This Row],[InterConf]]=1,IF(Table2[[#This Row],[InterDiv]]=0, 1, 0), 0)</f>
        <v>0</v>
      </c>
      <c r="W8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4" s="2"/>
      <c r="Y824" s="2"/>
      <c r="Z824" s="145">
        <f>IF(AND(Table2[[#This Row],[GameIsOver]]=1,Table2[[#This Row],[ActualHomeScore]]*Table2[[#This Row],[ActualAwayScore]]=0), 1,0)</f>
        <v>0</v>
      </c>
      <c r="AA8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4" s="2">
        <f>Table2[[#This Row],[ActualAwayScore]]-Table2[[#This Row],[PredictedAwayScore]]</f>
        <v>0</v>
      </c>
      <c r="AG824" s="2">
        <f>Table2[[#This Row],[ActualHomeScore]]-Table2[[#This Row],[PredictedHomeScore]]</f>
        <v>0</v>
      </c>
      <c r="AH824" s="2">
        <f t="shared" si="67"/>
        <v>0</v>
      </c>
      <c r="AI824" s="2">
        <f t="shared" si="68"/>
        <v>0</v>
      </c>
      <c r="AJ824" s="2"/>
      <c r="AK824" s="3"/>
      <c r="AL824" s="2">
        <f>IF(Table2[[#This Row],[GameIsOver]]=0,0,IF(Table2[[#This Row],[ActualWinner]]=Table2[[#This Row],[AwayTeam]], 1, 0))</f>
        <v>0</v>
      </c>
      <c r="AM824" s="2">
        <f>IF(Table2[[#This Row],[GameIsOver]]=0,0,IF(Table2[[#This Row],[ActualWinner]]=Table2[[#This Row],[HomeTeam]], 1, 0))</f>
        <v>0</v>
      </c>
      <c r="AN8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4" s="2" t="str">
        <f>INDEX(Sheet5!$B$2:$AG$33, MATCH(Table2[[#This Row],[AwayTeam]],Sheet5!$A$2:$A$33, 0), MATCH(Table2[[#This Row],[HomeTeam]],Sheet5!$A$2:$A$33, 0))</f>
        <v>1-0-0</v>
      </c>
      <c r="AP824" s="2" t="str">
        <f>INDEX(Sheet5!$B$2:$AG$33, MATCH(Table2[[#This Row],[HomeTeam]],Sheet5!$A$2:$A$33, 0), MATCH(Table2[[#This Row],[AwayTeam]],Sheet5!$A$2:$A$33, 0))</f>
        <v>0-1-0</v>
      </c>
      <c r="AQ824" s="2">
        <f>IF(Table2[[#This Row],[GameHasShutOut]], 1, 0)</f>
        <v>0</v>
      </c>
      <c r="AR824" s="2">
        <f>IF(Table2[[#This Row],[ActualAwayScore]] + Table2[[#This Row],[ActualHomeScore]] &gt;= 10, 1, 0)</f>
        <v>0</v>
      </c>
      <c r="AS824" s="2">
        <f>IF(ABS(Table2[[#This Row],[ActualAwayScore]]-Table2[[#This Row],[ActualHomeScore]])&gt;=5, 1, 0)</f>
        <v>0</v>
      </c>
      <c r="AT824" s="2">
        <f>IF(Table2[[#This Row],[ActualAwayScore]] + Table2[[#This Row],[ActualHomeScore]] &lt;= 3, 1, 0)</f>
        <v>1</v>
      </c>
      <c r="AU824" s="2"/>
      <c r="AV824" s="2"/>
    </row>
    <row r="825" spans="1:48" x14ac:dyDescent="0.25">
      <c r="A825" s="3"/>
      <c r="B825" s="3">
        <v>46048</v>
      </c>
      <c r="C825" s="5">
        <v>2025020823</v>
      </c>
      <c r="D825" s="2" t="s">
        <v>13</v>
      </c>
      <c r="E825" s="2" t="s">
        <v>16</v>
      </c>
      <c r="F825" s="2"/>
      <c r="G825" s="2"/>
      <c r="H825" s="2" t="str">
        <f t="shared" si="64"/>
        <v>_</v>
      </c>
      <c r="I825" s="2"/>
      <c r="J825" s="2"/>
      <c r="K825" s="2"/>
      <c r="L825" s="2" t="str">
        <f t="shared" si="65"/>
        <v>_</v>
      </c>
      <c r="M825" s="2"/>
      <c r="N825" s="2">
        <f>IF(ISBLANK(Table2[[#This Row],[ActualResult]]), 0, 1)</f>
        <v>0</v>
      </c>
      <c r="O825" s="2" t="str">
        <f>IF(ISBLANK(Table2[[#This Row],[ActualResult]]), "_", IF(Table2[[#This Row],[ActualWinner]]=Table2[[#This Row],[PredictedWinner]], "Y", "N"))</f>
        <v>_</v>
      </c>
      <c r="P8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5" s="2"/>
      <c r="S825" s="2" t="str">
        <f t="shared" si="66"/>
        <v>_</v>
      </c>
      <c r="T8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5" s="2">
        <f>IF(Table2[[#This Row],[InterConf]]=1,IF(Table2[[#This Row],[InterDiv]]=0, 1, 0), 0)</f>
        <v>0</v>
      </c>
      <c r="W8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5" s="2"/>
      <c r="Y825" s="2"/>
      <c r="Z825" s="145">
        <f>IF(AND(Table2[[#This Row],[GameIsOver]]=1,Table2[[#This Row],[ActualHomeScore]]*Table2[[#This Row],[ActualAwayScore]]=0), 1,0)</f>
        <v>0</v>
      </c>
      <c r="AA8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825" s="2">
        <f>Table2[[#This Row],[ActualAwayScore]]-Table2[[#This Row],[PredictedAwayScore]]</f>
        <v>0</v>
      </c>
      <c r="AG825" s="2">
        <f>Table2[[#This Row],[ActualHomeScore]]-Table2[[#This Row],[PredictedHomeScore]]</f>
        <v>0</v>
      </c>
      <c r="AH825" s="2">
        <f t="shared" si="67"/>
        <v>0</v>
      </c>
      <c r="AI825" s="2">
        <f t="shared" si="68"/>
        <v>0</v>
      </c>
      <c r="AJ825" s="2"/>
      <c r="AK825" s="3"/>
      <c r="AL825" s="2">
        <f>IF(Table2[[#This Row],[GameIsOver]]=0,0,IF(Table2[[#This Row],[ActualWinner]]=Table2[[#This Row],[AwayTeam]], 1, 0))</f>
        <v>0</v>
      </c>
      <c r="AM825" s="2">
        <f>IF(Table2[[#This Row],[GameIsOver]]=0,0,IF(Table2[[#This Row],[ActualWinner]]=Table2[[#This Row],[HomeTeam]], 1, 0))</f>
        <v>0</v>
      </c>
      <c r="AN8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5" s="2" t="str">
        <f>INDEX(Sheet5!$B$2:$AG$33, MATCH(Table2[[#This Row],[AwayTeam]],Sheet5!$A$2:$A$33, 0), MATCH(Table2[[#This Row],[HomeTeam]],Sheet5!$A$2:$A$33, 0))</f>
        <v>1-0-0</v>
      </c>
      <c r="AP825" s="2" t="str">
        <f>INDEX(Sheet5!$B$2:$AG$33, MATCH(Table2[[#This Row],[HomeTeam]],Sheet5!$A$2:$A$33, 0), MATCH(Table2[[#This Row],[AwayTeam]],Sheet5!$A$2:$A$33, 0))</f>
        <v>0-1-0</v>
      </c>
      <c r="AQ825" s="2">
        <f>IF(Table2[[#This Row],[GameHasShutOut]], 1, 0)</f>
        <v>0</v>
      </c>
      <c r="AR825" s="2">
        <f>IF(Table2[[#This Row],[ActualAwayScore]] + Table2[[#This Row],[ActualHomeScore]] &gt;= 10, 1, 0)</f>
        <v>0</v>
      </c>
      <c r="AS825" s="2">
        <f>IF(ABS(Table2[[#This Row],[ActualAwayScore]]-Table2[[#This Row],[ActualHomeScore]])&gt;=5, 1, 0)</f>
        <v>0</v>
      </c>
      <c r="AT825" s="2">
        <f>IF(Table2[[#This Row],[ActualAwayScore]] + Table2[[#This Row],[ActualHomeScore]] &lt;= 3, 1, 0)</f>
        <v>1</v>
      </c>
      <c r="AU825" s="2"/>
      <c r="AV825" s="2"/>
    </row>
    <row r="826" spans="1:48" x14ac:dyDescent="0.25">
      <c r="A826" s="3"/>
      <c r="B826" s="3">
        <v>46048</v>
      </c>
      <c r="C826" s="5">
        <v>2025020824</v>
      </c>
      <c r="D826" s="2" t="s">
        <v>44</v>
      </c>
      <c r="E826" s="2" t="s">
        <v>23</v>
      </c>
      <c r="F826" s="2"/>
      <c r="G826" s="2"/>
      <c r="H826" s="2" t="str">
        <f t="shared" si="64"/>
        <v>_</v>
      </c>
      <c r="I826" s="2"/>
      <c r="J826" s="2"/>
      <c r="K826" s="2"/>
      <c r="L826" s="2" t="str">
        <f t="shared" si="65"/>
        <v>_</v>
      </c>
      <c r="M826" s="2"/>
      <c r="N826" s="2">
        <f>IF(ISBLANK(Table2[[#This Row],[ActualResult]]), 0, 1)</f>
        <v>0</v>
      </c>
      <c r="O826" s="2" t="str">
        <f>IF(ISBLANK(Table2[[#This Row],[ActualResult]]), "_", IF(Table2[[#This Row],[ActualWinner]]=Table2[[#This Row],[PredictedWinner]], "Y", "N"))</f>
        <v>_</v>
      </c>
      <c r="P8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6" s="2"/>
      <c r="S826" s="2" t="str">
        <f t="shared" si="66"/>
        <v>_</v>
      </c>
      <c r="T8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26" s="2">
        <f>IF(Table2[[#This Row],[InterConf]]=1,IF(Table2[[#This Row],[InterDiv]]=0, 1, 0), 0)</f>
        <v>0</v>
      </c>
      <c r="W8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6" s="2"/>
      <c r="Y826" s="2"/>
      <c r="Z826" s="145">
        <f>IF(AND(Table2[[#This Row],[GameIsOver]]=1,Table2[[#This Row],[ActualHomeScore]]*Table2[[#This Row],[ActualAwayScore]]=0), 1,0)</f>
        <v>0</v>
      </c>
      <c r="AA8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826" s="2">
        <f>Table2[[#This Row],[ActualAwayScore]]-Table2[[#This Row],[PredictedAwayScore]]</f>
        <v>0</v>
      </c>
      <c r="AG826" s="2">
        <f>Table2[[#This Row],[ActualHomeScore]]-Table2[[#This Row],[PredictedHomeScore]]</f>
        <v>0</v>
      </c>
      <c r="AH826" s="2">
        <f t="shared" si="67"/>
        <v>0</v>
      </c>
      <c r="AI826" s="2">
        <f t="shared" si="68"/>
        <v>0</v>
      </c>
      <c r="AJ826" s="2"/>
      <c r="AK826" s="3"/>
      <c r="AL826" s="2">
        <f>IF(Table2[[#This Row],[GameIsOver]]=0,0,IF(Table2[[#This Row],[ActualWinner]]=Table2[[#This Row],[AwayTeam]], 1, 0))</f>
        <v>0</v>
      </c>
      <c r="AM826" s="2">
        <f>IF(Table2[[#This Row],[GameIsOver]]=0,0,IF(Table2[[#This Row],[ActualWinner]]=Table2[[#This Row],[HomeTeam]], 1, 0))</f>
        <v>0</v>
      </c>
      <c r="AN8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6" s="2" t="str">
        <f>INDEX(Sheet5!$B$2:$AG$33, MATCH(Table2[[#This Row],[AwayTeam]],Sheet5!$A$2:$A$33, 0), MATCH(Table2[[#This Row],[HomeTeam]],Sheet5!$A$2:$A$33, 0))</f>
        <v>0-0-0</v>
      </c>
      <c r="AP826" s="2" t="str">
        <f>INDEX(Sheet5!$B$2:$AG$33, MATCH(Table2[[#This Row],[HomeTeam]],Sheet5!$A$2:$A$33, 0), MATCH(Table2[[#This Row],[AwayTeam]],Sheet5!$A$2:$A$33, 0))</f>
        <v>0-0-0</v>
      </c>
      <c r="AQ826" s="2">
        <f>IF(Table2[[#This Row],[GameHasShutOut]], 1, 0)</f>
        <v>0</v>
      </c>
      <c r="AR826" s="2">
        <f>IF(Table2[[#This Row],[ActualAwayScore]] + Table2[[#This Row],[ActualHomeScore]] &gt;= 10, 1, 0)</f>
        <v>0</v>
      </c>
      <c r="AS826" s="2">
        <f>IF(ABS(Table2[[#This Row],[ActualAwayScore]]-Table2[[#This Row],[ActualHomeScore]])&gt;=5, 1, 0)</f>
        <v>0</v>
      </c>
      <c r="AT826" s="2">
        <f>IF(Table2[[#This Row],[ActualAwayScore]] + Table2[[#This Row],[ActualHomeScore]] &lt;= 3, 1, 0)</f>
        <v>1</v>
      </c>
      <c r="AU826" s="2"/>
      <c r="AV826" s="2"/>
    </row>
    <row r="827" spans="1:48" x14ac:dyDescent="0.25">
      <c r="A827" s="3"/>
      <c r="B827" s="3">
        <v>46049</v>
      </c>
      <c r="C827" s="5">
        <v>2025020825</v>
      </c>
      <c r="D827" s="2" t="s">
        <v>14</v>
      </c>
      <c r="E827" s="2" t="s">
        <v>40</v>
      </c>
      <c r="F827" s="2"/>
      <c r="G827" s="2"/>
      <c r="H827" s="2" t="str">
        <f t="shared" si="64"/>
        <v>_</v>
      </c>
      <c r="I827" s="2"/>
      <c r="J827" s="2"/>
      <c r="K827" s="2"/>
      <c r="L827" s="2" t="str">
        <f t="shared" si="65"/>
        <v>_</v>
      </c>
      <c r="M827" s="2"/>
      <c r="N827" s="2">
        <f>IF(ISBLANK(Table2[[#This Row],[ActualResult]]), 0, 1)</f>
        <v>0</v>
      </c>
      <c r="O827" s="2" t="str">
        <f>IF(ISBLANK(Table2[[#This Row],[ActualResult]]), "_", IF(Table2[[#This Row],[ActualWinner]]=Table2[[#This Row],[PredictedWinner]], "Y", "N"))</f>
        <v>_</v>
      </c>
      <c r="P8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7" s="2"/>
      <c r="S827" s="2" t="str">
        <f t="shared" si="66"/>
        <v>_</v>
      </c>
      <c r="T8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7" s="2">
        <f>IF(Table2[[#This Row],[InterConf]]=1,IF(Table2[[#This Row],[InterDiv]]=0, 1, 0), 0)</f>
        <v>0</v>
      </c>
      <c r="W8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7" s="2"/>
      <c r="Y827" s="2"/>
      <c r="Z827" s="145">
        <f>IF(AND(Table2[[#This Row],[GameIsOver]]=1,Table2[[#This Row],[ActualHomeScore]]*Table2[[#This Row],[ActualAwayScore]]=0), 1,0)</f>
        <v>0</v>
      </c>
      <c r="AA8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27" s="2">
        <f>Table2[[#This Row],[ActualAwayScore]]-Table2[[#This Row],[PredictedAwayScore]]</f>
        <v>0</v>
      </c>
      <c r="AG827" s="2">
        <f>Table2[[#This Row],[ActualHomeScore]]-Table2[[#This Row],[PredictedHomeScore]]</f>
        <v>0</v>
      </c>
      <c r="AH827" s="2">
        <f t="shared" si="67"/>
        <v>0</v>
      </c>
      <c r="AI827" s="2">
        <f t="shared" si="68"/>
        <v>0</v>
      </c>
      <c r="AJ827" s="2"/>
      <c r="AK827" s="3"/>
      <c r="AL827" s="2">
        <f>IF(Table2[[#This Row],[GameIsOver]]=0,0,IF(Table2[[#This Row],[ActualWinner]]=Table2[[#This Row],[AwayTeam]], 1, 0))</f>
        <v>0</v>
      </c>
      <c r="AM827" s="2">
        <f>IF(Table2[[#This Row],[GameIsOver]]=0,0,IF(Table2[[#This Row],[ActualWinner]]=Table2[[#This Row],[HomeTeam]], 1, 0))</f>
        <v>0</v>
      </c>
      <c r="AN8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7" s="2" t="str">
        <f>INDEX(Sheet5!$B$2:$AG$33, MATCH(Table2[[#This Row],[AwayTeam]],Sheet5!$A$2:$A$33, 0), MATCH(Table2[[#This Row],[HomeTeam]],Sheet5!$A$2:$A$33, 0))</f>
        <v>0-0-0</v>
      </c>
      <c r="AP827" s="2" t="str">
        <f>INDEX(Sheet5!$B$2:$AG$33, MATCH(Table2[[#This Row],[HomeTeam]],Sheet5!$A$2:$A$33, 0), MATCH(Table2[[#This Row],[AwayTeam]],Sheet5!$A$2:$A$33, 0))</f>
        <v>0-0-0</v>
      </c>
      <c r="AQ827" s="2">
        <f>IF(Table2[[#This Row],[GameHasShutOut]], 1, 0)</f>
        <v>0</v>
      </c>
      <c r="AR827" s="2">
        <f>IF(Table2[[#This Row],[ActualAwayScore]] + Table2[[#This Row],[ActualHomeScore]] &gt;= 10, 1, 0)</f>
        <v>0</v>
      </c>
      <c r="AS827" s="2">
        <f>IF(ABS(Table2[[#This Row],[ActualAwayScore]]-Table2[[#This Row],[ActualHomeScore]])&gt;=5, 1, 0)</f>
        <v>0</v>
      </c>
      <c r="AT827" s="2">
        <f>IF(Table2[[#This Row],[ActualAwayScore]] + Table2[[#This Row],[ActualHomeScore]] &lt;= 3, 1, 0)</f>
        <v>1</v>
      </c>
      <c r="AU827" s="2"/>
      <c r="AV827" s="2"/>
    </row>
    <row r="828" spans="1:48" x14ac:dyDescent="0.25">
      <c r="A828" s="3"/>
      <c r="B828" s="3">
        <v>46049</v>
      </c>
      <c r="C828" s="5">
        <v>2025020826</v>
      </c>
      <c r="D828" s="2" t="s">
        <v>15</v>
      </c>
      <c r="E828" s="2" t="s">
        <v>19</v>
      </c>
      <c r="F828" s="2"/>
      <c r="G828" s="2"/>
      <c r="H828" s="2" t="str">
        <f t="shared" si="64"/>
        <v>_</v>
      </c>
      <c r="I828" s="2"/>
      <c r="J828" s="2"/>
      <c r="K828" s="2"/>
      <c r="L828" s="2" t="str">
        <f t="shared" si="65"/>
        <v>_</v>
      </c>
      <c r="M828" s="2"/>
      <c r="N828" s="2">
        <f>IF(ISBLANK(Table2[[#This Row],[ActualResult]]), 0, 1)</f>
        <v>0</v>
      </c>
      <c r="O828" s="2" t="str">
        <f>IF(ISBLANK(Table2[[#This Row],[ActualResult]]), "_", IF(Table2[[#This Row],[ActualWinner]]=Table2[[#This Row],[PredictedWinner]], "Y", "N"))</f>
        <v>_</v>
      </c>
      <c r="P8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8" s="2"/>
      <c r="S828" s="2" t="str">
        <f t="shared" si="66"/>
        <v>_</v>
      </c>
      <c r="T8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8" s="2">
        <f>IF(Table2[[#This Row],[InterConf]]=1,IF(Table2[[#This Row],[InterDiv]]=0, 1, 0), 0)</f>
        <v>1</v>
      </c>
      <c r="W8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8" s="2"/>
      <c r="Y828" s="2"/>
      <c r="Z828" s="145">
        <f>IF(AND(Table2[[#This Row],[GameIsOver]]=1,Table2[[#This Row],[ActualHomeScore]]*Table2[[#This Row],[ActualAwayScore]]=0), 1,0)</f>
        <v>0</v>
      </c>
      <c r="AA8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28" s="2">
        <f>Table2[[#This Row],[ActualAwayScore]]-Table2[[#This Row],[PredictedAwayScore]]</f>
        <v>0</v>
      </c>
      <c r="AG828" s="2">
        <f>Table2[[#This Row],[ActualHomeScore]]-Table2[[#This Row],[PredictedHomeScore]]</f>
        <v>0</v>
      </c>
      <c r="AH828" s="2">
        <f t="shared" si="67"/>
        <v>0</v>
      </c>
      <c r="AI828" s="2">
        <f t="shared" si="68"/>
        <v>0</v>
      </c>
      <c r="AJ828" s="2"/>
      <c r="AK828" s="3"/>
      <c r="AL828" s="2">
        <f>IF(Table2[[#This Row],[GameIsOver]]=0,0,IF(Table2[[#This Row],[ActualWinner]]=Table2[[#This Row],[AwayTeam]], 1, 0))</f>
        <v>0</v>
      </c>
      <c r="AM828" s="2">
        <f>IF(Table2[[#This Row],[GameIsOver]]=0,0,IF(Table2[[#This Row],[ActualWinner]]=Table2[[#This Row],[HomeTeam]], 1, 0))</f>
        <v>0</v>
      </c>
      <c r="AN8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8" s="2" t="str">
        <f>INDEX(Sheet5!$B$2:$AG$33, MATCH(Table2[[#This Row],[AwayTeam]],Sheet5!$A$2:$A$33, 0), MATCH(Table2[[#This Row],[HomeTeam]],Sheet5!$A$2:$A$33, 0))</f>
        <v>0-0-0</v>
      </c>
      <c r="AP828" s="2" t="str">
        <f>INDEX(Sheet5!$B$2:$AG$33, MATCH(Table2[[#This Row],[HomeTeam]],Sheet5!$A$2:$A$33, 0), MATCH(Table2[[#This Row],[AwayTeam]],Sheet5!$A$2:$A$33, 0))</f>
        <v>0-0-0</v>
      </c>
      <c r="AQ828" s="2">
        <f>IF(Table2[[#This Row],[GameHasShutOut]], 1, 0)</f>
        <v>0</v>
      </c>
      <c r="AR828" s="2">
        <f>IF(Table2[[#This Row],[ActualAwayScore]] + Table2[[#This Row],[ActualHomeScore]] &gt;= 10, 1, 0)</f>
        <v>0</v>
      </c>
      <c r="AS828" s="2">
        <f>IF(ABS(Table2[[#This Row],[ActualAwayScore]]-Table2[[#This Row],[ActualHomeScore]])&gt;=5, 1, 0)</f>
        <v>0</v>
      </c>
      <c r="AT828" s="2">
        <f>IF(Table2[[#This Row],[ActualAwayScore]] + Table2[[#This Row],[ActualHomeScore]] &lt;= 3, 1, 0)</f>
        <v>1</v>
      </c>
      <c r="AU828" s="2"/>
      <c r="AV828" s="2"/>
    </row>
    <row r="829" spans="1:48" x14ac:dyDescent="0.25">
      <c r="A829" s="3"/>
      <c r="B829" s="3">
        <v>46049</v>
      </c>
      <c r="C829" s="5">
        <v>2025020827</v>
      </c>
      <c r="D829" s="2" t="s">
        <v>32</v>
      </c>
      <c r="E829" s="2" t="s">
        <v>42</v>
      </c>
      <c r="F829" s="2"/>
      <c r="G829" s="2"/>
      <c r="H829" s="2" t="str">
        <f t="shared" si="64"/>
        <v>_</v>
      </c>
      <c r="I829" s="2"/>
      <c r="J829" s="2"/>
      <c r="K829" s="2"/>
      <c r="L829" s="2" t="str">
        <f t="shared" si="65"/>
        <v>_</v>
      </c>
      <c r="M829" s="2"/>
      <c r="N829" s="2">
        <f>IF(ISBLANK(Table2[[#This Row],[ActualResult]]), 0, 1)</f>
        <v>0</v>
      </c>
      <c r="O829" s="2" t="str">
        <f>IF(ISBLANK(Table2[[#This Row],[ActualResult]]), "_", IF(Table2[[#This Row],[ActualWinner]]=Table2[[#This Row],[PredictedWinner]], "Y", "N"))</f>
        <v>_</v>
      </c>
      <c r="P8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9" s="2"/>
      <c r="S829" s="2" t="str">
        <f t="shared" si="66"/>
        <v>_</v>
      </c>
      <c r="T8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29" s="2">
        <f>IF(Table2[[#This Row],[InterConf]]=1,IF(Table2[[#This Row],[InterDiv]]=0, 1, 0), 0)</f>
        <v>0</v>
      </c>
      <c r="W8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9" s="2"/>
      <c r="Y829" s="2"/>
      <c r="Z829" s="145">
        <f>IF(AND(Table2[[#This Row],[GameIsOver]]=1,Table2[[#This Row],[ActualHomeScore]]*Table2[[#This Row],[ActualAwayScore]]=0), 1,0)</f>
        <v>0</v>
      </c>
      <c r="AA8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29" s="2">
        <f>Table2[[#This Row],[ActualAwayScore]]-Table2[[#This Row],[PredictedAwayScore]]</f>
        <v>0</v>
      </c>
      <c r="AG829" s="2">
        <f>Table2[[#This Row],[ActualHomeScore]]-Table2[[#This Row],[PredictedHomeScore]]</f>
        <v>0</v>
      </c>
      <c r="AH829" s="2">
        <f t="shared" si="67"/>
        <v>0</v>
      </c>
      <c r="AI829" s="2">
        <f t="shared" si="68"/>
        <v>0</v>
      </c>
      <c r="AJ829" s="2"/>
      <c r="AK829" s="3"/>
      <c r="AL829" s="2">
        <f>IF(Table2[[#This Row],[GameIsOver]]=0,0,IF(Table2[[#This Row],[ActualWinner]]=Table2[[#This Row],[AwayTeam]], 1, 0))</f>
        <v>0</v>
      </c>
      <c r="AM829" s="2">
        <f>IF(Table2[[#This Row],[GameIsOver]]=0,0,IF(Table2[[#This Row],[ActualWinner]]=Table2[[#This Row],[HomeTeam]], 1, 0))</f>
        <v>0</v>
      </c>
      <c r="AN8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9" s="2" t="str">
        <f>INDEX(Sheet5!$B$2:$AG$33, MATCH(Table2[[#This Row],[AwayTeam]],Sheet5!$A$2:$A$33, 0), MATCH(Table2[[#This Row],[HomeTeam]],Sheet5!$A$2:$A$33, 0))</f>
        <v>0-0-0</v>
      </c>
      <c r="AP829" s="2" t="str">
        <f>INDEX(Sheet5!$B$2:$AG$33, MATCH(Table2[[#This Row],[HomeTeam]],Sheet5!$A$2:$A$33, 0), MATCH(Table2[[#This Row],[AwayTeam]],Sheet5!$A$2:$A$33, 0))</f>
        <v>0-0-0</v>
      </c>
      <c r="AQ829" s="2">
        <f>IF(Table2[[#This Row],[GameHasShutOut]], 1, 0)</f>
        <v>0</v>
      </c>
      <c r="AR829" s="2">
        <f>IF(Table2[[#This Row],[ActualAwayScore]] + Table2[[#This Row],[ActualHomeScore]] &gt;= 10, 1, 0)</f>
        <v>0</v>
      </c>
      <c r="AS829" s="2">
        <f>IF(ABS(Table2[[#This Row],[ActualAwayScore]]-Table2[[#This Row],[ActualHomeScore]])&gt;=5, 1, 0)</f>
        <v>0</v>
      </c>
      <c r="AT829" s="2">
        <f>IF(Table2[[#This Row],[ActualAwayScore]] + Table2[[#This Row],[ActualHomeScore]] &lt;= 3, 1, 0)</f>
        <v>1</v>
      </c>
      <c r="AU829" s="2"/>
      <c r="AV829" s="2"/>
    </row>
    <row r="830" spans="1:48" x14ac:dyDescent="0.25">
      <c r="A830" s="3"/>
      <c r="B830" s="3">
        <v>46049</v>
      </c>
      <c r="C830" s="5">
        <v>2025020828</v>
      </c>
      <c r="D830" s="2" t="s">
        <v>27</v>
      </c>
      <c r="E830" s="2" t="s">
        <v>35</v>
      </c>
      <c r="F830" s="2"/>
      <c r="G830" s="2"/>
      <c r="H830" s="2" t="str">
        <f t="shared" si="64"/>
        <v>_</v>
      </c>
      <c r="I830" s="2"/>
      <c r="J830" s="2"/>
      <c r="K830" s="2"/>
      <c r="L830" s="2" t="str">
        <f t="shared" si="65"/>
        <v>_</v>
      </c>
      <c r="M830" s="2"/>
      <c r="N830" s="2">
        <f>IF(ISBLANK(Table2[[#This Row],[ActualResult]]), 0, 1)</f>
        <v>0</v>
      </c>
      <c r="O830" s="2" t="str">
        <f>IF(ISBLANK(Table2[[#This Row],[ActualResult]]), "_", IF(Table2[[#This Row],[ActualWinner]]=Table2[[#This Row],[PredictedWinner]], "Y", "N"))</f>
        <v>_</v>
      </c>
      <c r="P8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0" s="2"/>
      <c r="S830" s="2" t="str">
        <f t="shared" si="66"/>
        <v>_</v>
      </c>
      <c r="T8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0" s="2">
        <f>IF(Table2[[#This Row],[InterConf]]=1,IF(Table2[[#This Row],[InterDiv]]=0, 1, 0), 0)</f>
        <v>0</v>
      </c>
      <c r="W8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0" s="2"/>
      <c r="Y830" s="2"/>
      <c r="Z830" s="145">
        <f>IF(AND(Table2[[#This Row],[GameIsOver]]=1,Table2[[#This Row],[ActualHomeScore]]*Table2[[#This Row],[ActualAwayScore]]=0), 1,0)</f>
        <v>0</v>
      </c>
      <c r="AA8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30" s="2">
        <f>Table2[[#This Row],[ActualAwayScore]]-Table2[[#This Row],[PredictedAwayScore]]</f>
        <v>0</v>
      </c>
      <c r="AG830" s="2">
        <f>Table2[[#This Row],[ActualHomeScore]]-Table2[[#This Row],[PredictedHomeScore]]</f>
        <v>0</v>
      </c>
      <c r="AH830" s="2">
        <f t="shared" si="67"/>
        <v>0</v>
      </c>
      <c r="AI830" s="2">
        <f t="shared" si="68"/>
        <v>0</v>
      </c>
      <c r="AJ830" s="2"/>
      <c r="AK830" s="3"/>
      <c r="AL830" s="2">
        <f>IF(Table2[[#This Row],[GameIsOver]]=0,0,IF(Table2[[#This Row],[ActualWinner]]=Table2[[#This Row],[AwayTeam]], 1, 0))</f>
        <v>0</v>
      </c>
      <c r="AM830" s="2">
        <f>IF(Table2[[#This Row],[GameIsOver]]=0,0,IF(Table2[[#This Row],[ActualWinner]]=Table2[[#This Row],[HomeTeam]], 1, 0))</f>
        <v>0</v>
      </c>
      <c r="AN830" s="2">
        <f>IF(IFERROR(FIND(Table2[[#This Row],[AwayTeam]], _xlfn.TEXTJOIN(";", 1, $BD$31:$BD$40)), 0) &gt; 0, 1, 0) + IF(IFERROR(FIND(Table2[[#This Row],[HomeTeam]], _xlfn.TEXTJOIN(";", 1, $BD$31:$BD$40)), 0) &gt; 0, 1, 0)</f>
        <v>1</v>
      </c>
      <c r="AO830" s="2" t="str">
        <f>INDEX(Sheet5!$B$2:$AG$33, MATCH(Table2[[#This Row],[AwayTeam]],Sheet5!$A$2:$A$33, 0), MATCH(Table2[[#This Row],[HomeTeam]],Sheet5!$A$2:$A$33, 0))</f>
        <v>0-0-0</v>
      </c>
      <c r="AP830" s="2" t="str">
        <f>INDEX(Sheet5!$B$2:$AG$33, MATCH(Table2[[#This Row],[HomeTeam]],Sheet5!$A$2:$A$33, 0), MATCH(Table2[[#This Row],[AwayTeam]],Sheet5!$A$2:$A$33, 0))</f>
        <v>0-0-0</v>
      </c>
      <c r="AQ830" s="2">
        <f>IF(Table2[[#This Row],[GameHasShutOut]], 1, 0)</f>
        <v>0</v>
      </c>
      <c r="AR830" s="2">
        <f>IF(Table2[[#This Row],[ActualAwayScore]] + Table2[[#This Row],[ActualHomeScore]] &gt;= 10, 1, 0)</f>
        <v>0</v>
      </c>
      <c r="AS830" s="2">
        <f>IF(ABS(Table2[[#This Row],[ActualAwayScore]]-Table2[[#This Row],[ActualHomeScore]])&gt;=5, 1, 0)</f>
        <v>0</v>
      </c>
      <c r="AT830" s="2">
        <f>IF(Table2[[#This Row],[ActualAwayScore]] + Table2[[#This Row],[ActualHomeScore]] &lt;= 3, 1, 0)</f>
        <v>1</v>
      </c>
      <c r="AU830" s="2"/>
      <c r="AV830" s="2"/>
    </row>
    <row r="831" spans="1:48" x14ac:dyDescent="0.25">
      <c r="A831" s="3"/>
      <c r="B831" s="3">
        <v>46049</v>
      </c>
      <c r="C831" s="5">
        <v>2025020829</v>
      </c>
      <c r="D831" s="2" t="s">
        <v>44</v>
      </c>
      <c r="E831" s="2" t="s">
        <v>22</v>
      </c>
      <c r="F831" s="2"/>
      <c r="G831" s="2"/>
      <c r="H831" s="2" t="str">
        <f t="shared" si="64"/>
        <v>_</v>
      </c>
      <c r="I831" s="2"/>
      <c r="J831" s="2"/>
      <c r="K831" s="2"/>
      <c r="L831" s="2" t="str">
        <f t="shared" si="65"/>
        <v>_</v>
      </c>
      <c r="M831" s="2"/>
      <c r="N831" s="2">
        <f>IF(ISBLANK(Table2[[#This Row],[ActualResult]]), 0, 1)</f>
        <v>0</v>
      </c>
      <c r="O831" s="2" t="str">
        <f>IF(ISBLANK(Table2[[#This Row],[ActualResult]]), "_", IF(Table2[[#This Row],[ActualWinner]]=Table2[[#This Row],[PredictedWinner]], "Y", "N"))</f>
        <v>_</v>
      </c>
      <c r="P8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1" s="2"/>
      <c r="S831" s="2" t="str">
        <f t="shared" si="66"/>
        <v>_</v>
      </c>
      <c r="T8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1" s="2">
        <f>IF(Table2[[#This Row],[InterConf]]=1,IF(Table2[[#This Row],[InterDiv]]=0, 1, 0), 0)</f>
        <v>0</v>
      </c>
      <c r="W8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1" s="2"/>
      <c r="Y831" s="2"/>
      <c r="Z831" s="145">
        <f>IF(AND(Table2[[#This Row],[GameIsOver]]=1,Table2[[#This Row],[ActualHomeScore]]*Table2[[#This Row],[ActualAwayScore]]=0), 1,0)</f>
        <v>0</v>
      </c>
      <c r="AA8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31" s="2">
        <f>Table2[[#This Row],[ActualAwayScore]]-Table2[[#This Row],[PredictedAwayScore]]</f>
        <v>0</v>
      </c>
      <c r="AG831" s="2">
        <f>Table2[[#This Row],[ActualHomeScore]]-Table2[[#This Row],[PredictedHomeScore]]</f>
        <v>0</v>
      </c>
      <c r="AH831" s="2">
        <f t="shared" si="67"/>
        <v>0</v>
      </c>
      <c r="AI831" s="2">
        <f t="shared" si="68"/>
        <v>0</v>
      </c>
      <c r="AJ831" s="2"/>
      <c r="AK831" s="3"/>
      <c r="AL831" s="2">
        <f>IF(Table2[[#This Row],[GameIsOver]]=0,0,IF(Table2[[#This Row],[ActualWinner]]=Table2[[#This Row],[AwayTeam]], 1, 0))</f>
        <v>0</v>
      </c>
      <c r="AM831" s="2">
        <f>IF(Table2[[#This Row],[GameIsOver]]=0,0,IF(Table2[[#This Row],[ActualWinner]]=Table2[[#This Row],[HomeTeam]], 1, 0))</f>
        <v>0</v>
      </c>
      <c r="AN8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1" s="2" t="str">
        <f>INDEX(Sheet5!$B$2:$AG$33, MATCH(Table2[[#This Row],[AwayTeam]],Sheet5!$A$2:$A$33, 0), MATCH(Table2[[#This Row],[HomeTeam]],Sheet5!$A$2:$A$33, 0))</f>
        <v>0-0-0</v>
      </c>
      <c r="AP831" s="2" t="str">
        <f>INDEX(Sheet5!$B$2:$AG$33, MATCH(Table2[[#This Row],[HomeTeam]],Sheet5!$A$2:$A$33, 0), MATCH(Table2[[#This Row],[AwayTeam]],Sheet5!$A$2:$A$33, 0))</f>
        <v>0-0-0</v>
      </c>
      <c r="AQ831" s="2">
        <f>IF(Table2[[#This Row],[GameHasShutOut]], 1, 0)</f>
        <v>0</v>
      </c>
      <c r="AR831" s="2">
        <f>IF(Table2[[#This Row],[ActualAwayScore]] + Table2[[#This Row],[ActualHomeScore]] &gt;= 10, 1, 0)</f>
        <v>0</v>
      </c>
      <c r="AS831" s="2">
        <f>IF(ABS(Table2[[#This Row],[ActualAwayScore]]-Table2[[#This Row],[ActualHomeScore]])&gt;=5, 1, 0)</f>
        <v>0</v>
      </c>
      <c r="AT831" s="2">
        <f>IF(Table2[[#This Row],[ActualAwayScore]] + Table2[[#This Row],[ActualHomeScore]] &lt;= 3, 1, 0)</f>
        <v>1</v>
      </c>
      <c r="AU831" s="2"/>
      <c r="AV831" s="2"/>
    </row>
    <row r="832" spans="1:48" x14ac:dyDescent="0.25">
      <c r="A832" s="3"/>
      <c r="B832" s="3">
        <v>46050</v>
      </c>
      <c r="C832" s="5">
        <v>2025020830</v>
      </c>
      <c r="D832" s="2" t="s">
        <v>34</v>
      </c>
      <c r="E832" s="2" t="s">
        <v>15</v>
      </c>
      <c r="F832" s="2"/>
      <c r="G832" s="2"/>
      <c r="H832" s="2" t="str">
        <f t="shared" si="64"/>
        <v>_</v>
      </c>
      <c r="I832" s="2"/>
      <c r="J832" s="2"/>
      <c r="K832" s="2"/>
      <c r="L832" s="2" t="str">
        <f t="shared" si="65"/>
        <v>_</v>
      </c>
      <c r="M832" s="2"/>
      <c r="N832" s="2">
        <f>IF(ISBLANK(Table2[[#This Row],[ActualResult]]), 0, 1)</f>
        <v>0</v>
      </c>
      <c r="O832" s="2" t="str">
        <f>IF(ISBLANK(Table2[[#This Row],[ActualResult]]), "_", IF(Table2[[#This Row],[ActualWinner]]=Table2[[#This Row],[PredictedWinner]], "Y", "N"))</f>
        <v>_</v>
      </c>
      <c r="P8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2" s="2"/>
      <c r="S832" s="2" t="str">
        <f t="shared" si="66"/>
        <v>_</v>
      </c>
      <c r="T8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2" s="2">
        <f>IF(Table2[[#This Row],[InterConf]]=1,IF(Table2[[#This Row],[InterDiv]]=0, 1, 0), 0)</f>
        <v>0</v>
      </c>
      <c r="W8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2" s="2"/>
      <c r="Y832" s="2"/>
      <c r="Z832" s="145">
        <f>IF(AND(Table2[[#This Row],[GameIsOver]]=1,Table2[[#This Row],[ActualHomeScore]]*Table2[[#This Row],[ActualAwayScore]]=0), 1,0)</f>
        <v>0</v>
      </c>
      <c r="AA8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2" s="2">
        <f>Table2[[#This Row],[ActualAwayScore]]-Table2[[#This Row],[PredictedAwayScore]]</f>
        <v>0</v>
      </c>
      <c r="AG832" s="2">
        <f>Table2[[#This Row],[ActualHomeScore]]-Table2[[#This Row],[PredictedHomeScore]]</f>
        <v>0</v>
      </c>
      <c r="AH832" s="2">
        <f t="shared" si="67"/>
        <v>0</v>
      </c>
      <c r="AI832" s="2">
        <f t="shared" si="68"/>
        <v>0</v>
      </c>
      <c r="AJ832" s="2"/>
      <c r="AK832" s="3"/>
      <c r="AL832" s="2">
        <f>IF(Table2[[#This Row],[GameIsOver]]=0,0,IF(Table2[[#This Row],[ActualWinner]]=Table2[[#This Row],[AwayTeam]], 1, 0))</f>
        <v>0</v>
      </c>
      <c r="AM832" s="2">
        <f>IF(Table2[[#This Row],[GameIsOver]]=0,0,IF(Table2[[#This Row],[ActualWinner]]=Table2[[#This Row],[HomeTeam]], 1, 0))</f>
        <v>0</v>
      </c>
      <c r="AN8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2" s="2" t="str">
        <f>INDEX(Sheet5!$B$2:$AG$33, MATCH(Table2[[#This Row],[AwayTeam]],Sheet5!$A$2:$A$33, 0), MATCH(Table2[[#This Row],[HomeTeam]],Sheet5!$A$2:$A$33, 0))</f>
        <v>0-0-0</v>
      </c>
      <c r="AP832" s="2" t="str">
        <f>INDEX(Sheet5!$B$2:$AG$33, MATCH(Table2[[#This Row],[HomeTeam]],Sheet5!$A$2:$A$33, 0), MATCH(Table2[[#This Row],[AwayTeam]],Sheet5!$A$2:$A$33, 0))</f>
        <v>0-0-0</v>
      </c>
      <c r="AQ832" s="2">
        <f>IF(Table2[[#This Row],[GameHasShutOut]], 1, 0)</f>
        <v>0</v>
      </c>
      <c r="AR832" s="2">
        <f>IF(Table2[[#This Row],[ActualAwayScore]] + Table2[[#This Row],[ActualHomeScore]] &gt;= 10, 1, 0)</f>
        <v>0</v>
      </c>
      <c r="AS832" s="2">
        <f>IF(ABS(Table2[[#This Row],[ActualAwayScore]]-Table2[[#This Row],[ActualHomeScore]])&gt;=5, 1, 0)</f>
        <v>0</v>
      </c>
      <c r="AT832" s="2">
        <f>IF(Table2[[#This Row],[ActualAwayScore]] + Table2[[#This Row],[ActualHomeScore]] &lt;= 3, 1, 0)</f>
        <v>1</v>
      </c>
      <c r="AU832" s="2"/>
      <c r="AV832" s="2"/>
    </row>
    <row r="833" spans="1:48" x14ac:dyDescent="0.25">
      <c r="A833" s="3"/>
      <c r="B833" s="3">
        <v>46050</v>
      </c>
      <c r="C833" s="5">
        <v>2025020831</v>
      </c>
      <c r="D833" s="2" t="s">
        <v>28</v>
      </c>
      <c r="E833" s="2" t="s">
        <v>17</v>
      </c>
      <c r="F833" s="2"/>
      <c r="G833" s="2"/>
      <c r="H833" s="2" t="str">
        <f t="shared" si="64"/>
        <v>_</v>
      </c>
      <c r="I833" s="2"/>
      <c r="J833" s="2"/>
      <c r="K833" s="2"/>
      <c r="L833" s="2" t="str">
        <f t="shared" si="65"/>
        <v>_</v>
      </c>
      <c r="M833" s="2"/>
      <c r="N833" s="2">
        <f>IF(ISBLANK(Table2[[#This Row],[ActualResult]]), 0, 1)</f>
        <v>0</v>
      </c>
      <c r="O833" s="2" t="str">
        <f>IF(ISBLANK(Table2[[#This Row],[ActualResult]]), "_", IF(Table2[[#This Row],[ActualWinner]]=Table2[[#This Row],[PredictedWinner]], "Y", "N"))</f>
        <v>_</v>
      </c>
      <c r="P8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3" s="2"/>
      <c r="S833" s="2" t="str">
        <f t="shared" si="66"/>
        <v>_</v>
      </c>
      <c r="T8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3" s="2">
        <f>IF(Table2[[#This Row],[InterConf]]=1,IF(Table2[[#This Row],[InterDiv]]=0, 1, 0), 0)</f>
        <v>0</v>
      </c>
      <c r="W8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3" s="2"/>
      <c r="Y833" s="2"/>
      <c r="Z833" s="145">
        <f>IF(AND(Table2[[#This Row],[GameIsOver]]=1,Table2[[#This Row],[ActualHomeScore]]*Table2[[#This Row],[ActualAwayScore]]=0), 1,0)</f>
        <v>0</v>
      </c>
      <c r="AA8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3" s="2">
        <f>Table2[[#This Row],[ActualAwayScore]]-Table2[[#This Row],[PredictedAwayScore]]</f>
        <v>0</v>
      </c>
      <c r="AG833" s="2">
        <f>Table2[[#This Row],[ActualHomeScore]]-Table2[[#This Row],[PredictedHomeScore]]</f>
        <v>0</v>
      </c>
      <c r="AH833" s="2">
        <f t="shared" si="67"/>
        <v>0</v>
      </c>
      <c r="AI833" s="2">
        <f t="shared" si="68"/>
        <v>0</v>
      </c>
      <c r="AJ833" s="2"/>
      <c r="AK833" s="3"/>
      <c r="AL833" s="2">
        <f>IF(Table2[[#This Row],[GameIsOver]]=0,0,IF(Table2[[#This Row],[ActualWinner]]=Table2[[#This Row],[AwayTeam]], 1, 0))</f>
        <v>0</v>
      </c>
      <c r="AM833" s="2">
        <f>IF(Table2[[#This Row],[GameIsOver]]=0,0,IF(Table2[[#This Row],[ActualWinner]]=Table2[[#This Row],[HomeTeam]], 1, 0))</f>
        <v>0</v>
      </c>
      <c r="AN8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3" s="2" t="str">
        <f>INDEX(Sheet5!$B$2:$AG$33, MATCH(Table2[[#This Row],[AwayTeam]],Sheet5!$A$2:$A$33, 0), MATCH(Table2[[#This Row],[HomeTeam]],Sheet5!$A$2:$A$33, 0))</f>
        <v>0-0-0</v>
      </c>
      <c r="AP833" s="2" t="str">
        <f>INDEX(Sheet5!$B$2:$AG$33, MATCH(Table2[[#This Row],[HomeTeam]],Sheet5!$A$2:$A$33, 0), MATCH(Table2[[#This Row],[AwayTeam]],Sheet5!$A$2:$A$33, 0))</f>
        <v>0-0-0</v>
      </c>
      <c r="AQ833" s="2">
        <f>IF(Table2[[#This Row],[GameHasShutOut]], 1, 0)</f>
        <v>0</v>
      </c>
      <c r="AR833" s="2">
        <f>IF(Table2[[#This Row],[ActualAwayScore]] + Table2[[#This Row],[ActualHomeScore]] &gt;= 10, 1, 0)</f>
        <v>0</v>
      </c>
      <c r="AS833" s="2">
        <f>IF(ABS(Table2[[#This Row],[ActualAwayScore]]-Table2[[#This Row],[ActualHomeScore]])&gt;=5, 1, 0)</f>
        <v>0</v>
      </c>
      <c r="AT833" s="2">
        <f>IF(Table2[[#This Row],[ActualAwayScore]] + Table2[[#This Row],[ActualHomeScore]] &lt;= 3, 1, 0)</f>
        <v>1</v>
      </c>
      <c r="AU833" s="2"/>
      <c r="AV833" s="2"/>
    </row>
    <row r="834" spans="1:48" x14ac:dyDescent="0.25">
      <c r="A834" s="3"/>
      <c r="B834" s="3">
        <v>46050</v>
      </c>
      <c r="C834" s="5">
        <v>2025020832</v>
      </c>
      <c r="D834" s="2" t="s">
        <v>26</v>
      </c>
      <c r="E834" s="2" t="s">
        <v>18</v>
      </c>
      <c r="F834" s="2"/>
      <c r="G834" s="2"/>
      <c r="H834" s="2" t="str">
        <f t="shared" si="64"/>
        <v>_</v>
      </c>
      <c r="I834" s="2"/>
      <c r="J834" s="2"/>
      <c r="K834" s="2"/>
      <c r="L834" s="2" t="str">
        <f t="shared" si="65"/>
        <v>_</v>
      </c>
      <c r="M834" s="2"/>
      <c r="N834" s="2">
        <f>IF(ISBLANK(Table2[[#This Row],[ActualResult]]), 0, 1)</f>
        <v>0</v>
      </c>
      <c r="O834" s="2" t="str">
        <f>IF(ISBLANK(Table2[[#This Row],[ActualResult]]), "_", IF(Table2[[#This Row],[ActualWinner]]=Table2[[#This Row],[PredictedWinner]], "Y", "N"))</f>
        <v>_</v>
      </c>
      <c r="P8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4" s="2"/>
      <c r="S834" s="2" t="str">
        <f t="shared" si="66"/>
        <v>_</v>
      </c>
      <c r="T8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4" s="2">
        <f>IF(Table2[[#This Row],[InterConf]]=1,IF(Table2[[#This Row],[InterDiv]]=0, 1, 0), 0)</f>
        <v>0</v>
      </c>
      <c r="W8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4" s="2"/>
      <c r="Y834" s="2"/>
      <c r="Z834" s="145">
        <f>IF(AND(Table2[[#This Row],[GameIsOver]]=1,Table2[[#This Row],[ActualHomeScore]]*Table2[[#This Row],[ActualAwayScore]]=0), 1,0)</f>
        <v>0</v>
      </c>
      <c r="AA8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4" s="2">
        <f>Table2[[#This Row],[ActualAwayScore]]-Table2[[#This Row],[PredictedAwayScore]]</f>
        <v>0</v>
      </c>
      <c r="AG834" s="2">
        <f>Table2[[#This Row],[ActualHomeScore]]-Table2[[#This Row],[PredictedHomeScore]]</f>
        <v>0</v>
      </c>
      <c r="AH834" s="2">
        <f t="shared" si="67"/>
        <v>0</v>
      </c>
      <c r="AI834" s="2">
        <f t="shared" si="68"/>
        <v>0</v>
      </c>
      <c r="AJ834" s="2"/>
      <c r="AK834" s="3"/>
      <c r="AL834" s="2">
        <f>IF(Table2[[#This Row],[GameIsOver]]=0,0,IF(Table2[[#This Row],[ActualWinner]]=Table2[[#This Row],[AwayTeam]], 1, 0))</f>
        <v>0</v>
      </c>
      <c r="AM834" s="2">
        <f>IF(Table2[[#This Row],[GameIsOver]]=0,0,IF(Table2[[#This Row],[ActualWinner]]=Table2[[#This Row],[HomeTeam]], 1, 0))</f>
        <v>0</v>
      </c>
      <c r="AN8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4" s="2" t="str">
        <f>INDEX(Sheet5!$B$2:$AG$33, MATCH(Table2[[#This Row],[AwayTeam]],Sheet5!$A$2:$A$33, 0), MATCH(Table2[[#This Row],[HomeTeam]],Sheet5!$A$2:$A$33, 0))</f>
        <v>0-0-0</v>
      </c>
      <c r="AP834" s="2" t="str">
        <f>INDEX(Sheet5!$B$2:$AG$33, MATCH(Table2[[#This Row],[HomeTeam]],Sheet5!$A$2:$A$33, 0), MATCH(Table2[[#This Row],[AwayTeam]],Sheet5!$A$2:$A$33, 0))</f>
        <v>0-0-0</v>
      </c>
      <c r="AQ834" s="2">
        <f>IF(Table2[[#This Row],[GameHasShutOut]], 1, 0)</f>
        <v>0</v>
      </c>
      <c r="AR834" s="2">
        <f>IF(Table2[[#This Row],[ActualAwayScore]] + Table2[[#This Row],[ActualHomeScore]] &gt;= 10, 1, 0)</f>
        <v>0</v>
      </c>
      <c r="AS834" s="2">
        <f>IF(ABS(Table2[[#This Row],[ActualAwayScore]]-Table2[[#This Row],[ActualHomeScore]])&gt;=5, 1, 0)</f>
        <v>0</v>
      </c>
      <c r="AT834" s="2">
        <f>IF(Table2[[#This Row],[ActualAwayScore]] + Table2[[#This Row],[ActualHomeScore]] &lt;= 3, 1, 0)</f>
        <v>1</v>
      </c>
      <c r="AU834" s="2"/>
      <c r="AV834" s="2"/>
    </row>
    <row r="835" spans="1:48" x14ac:dyDescent="0.25">
      <c r="A835" s="3"/>
      <c r="B835" s="3">
        <v>46050</v>
      </c>
      <c r="C835" s="5">
        <v>2025020833</v>
      </c>
      <c r="D835" s="2" t="s">
        <v>27</v>
      </c>
      <c r="E835" s="2" t="s">
        <v>30</v>
      </c>
      <c r="F835" s="2"/>
      <c r="G835" s="2"/>
      <c r="H835" s="2" t="str">
        <f t="shared" ref="H835:H898" si="69">IF(AND(ISBLANK($F835),ISBLANK($G835)),"_",IF($F835&gt;$G835,$D835,$E835))</f>
        <v>_</v>
      </c>
      <c r="I835" s="2"/>
      <c r="J835" s="2"/>
      <c r="K835" s="2"/>
      <c r="L835" s="2" t="str">
        <f t="shared" ref="L835:L898" si="70">IF(OR($J835=$K835,AND(ISBLANK($J835),ISBLANK($K835))),"_",IF($J835&gt;$K835,$D835,$E835))</f>
        <v>_</v>
      </c>
      <c r="M835" s="2"/>
      <c r="N835" s="2">
        <f>IF(ISBLANK(Table2[[#This Row],[ActualResult]]), 0, 1)</f>
        <v>0</v>
      </c>
      <c r="O835" s="2" t="str">
        <f>IF(ISBLANK(Table2[[#This Row],[ActualResult]]), "_", IF(Table2[[#This Row],[ActualWinner]]=Table2[[#This Row],[PredictedWinner]], "Y", "N"))</f>
        <v>_</v>
      </c>
      <c r="P8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5" s="2"/>
      <c r="S835" s="2" t="str">
        <f t="shared" ref="S835:S898" si="71">IF($L835="_", "_", IF($L835=$D835,$E835,$D835))</f>
        <v>_</v>
      </c>
      <c r="T8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5" s="2">
        <f>IF(Table2[[#This Row],[InterConf]]=1,IF(Table2[[#This Row],[InterDiv]]=0, 1, 0), 0)</f>
        <v>0</v>
      </c>
      <c r="W8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5" s="2"/>
      <c r="Y835" s="2"/>
      <c r="Z835" s="145">
        <f>IF(AND(Table2[[#This Row],[GameIsOver]]=1,Table2[[#This Row],[ActualHomeScore]]*Table2[[#This Row],[ActualAwayScore]]=0), 1,0)</f>
        <v>0</v>
      </c>
      <c r="AA8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5" s="2">
        <f>Table2[[#This Row],[ActualAwayScore]]-Table2[[#This Row],[PredictedAwayScore]]</f>
        <v>0</v>
      </c>
      <c r="AG835" s="2">
        <f>Table2[[#This Row],[ActualHomeScore]]-Table2[[#This Row],[PredictedHomeScore]]</f>
        <v>0</v>
      </c>
      <c r="AH835" s="2">
        <f t="shared" ref="AH835:AH898" si="72">SUMIF($B$3:$B$1315, $B835, $AF$3:$AF$1315)</f>
        <v>0</v>
      </c>
      <c r="AI835" s="2">
        <f t="shared" ref="AI835:AI898" si="73">SUMIF($B$3:$B$1315, $B835, $AG$3:$AG$1315)</f>
        <v>0</v>
      </c>
      <c r="AJ835" s="2"/>
      <c r="AK835" s="3"/>
      <c r="AL835" s="2">
        <f>IF(Table2[[#This Row],[GameIsOver]]=0,0,IF(Table2[[#This Row],[ActualWinner]]=Table2[[#This Row],[AwayTeam]], 1, 0))</f>
        <v>0</v>
      </c>
      <c r="AM835" s="2">
        <f>IF(Table2[[#This Row],[GameIsOver]]=0,0,IF(Table2[[#This Row],[ActualWinner]]=Table2[[#This Row],[HomeTeam]], 1, 0))</f>
        <v>0</v>
      </c>
      <c r="AN835" s="2">
        <f>IF(IFERROR(FIND(Table2[[#This Row],[AwayTeam]], _xlfn.TEXTJOIN(";", 1, $BD$31:$BD$40)), 0) &gt; 0, 1, 0) + IF(IFERROR(FIND(Table2[[#This Row],[HomeTeam]], _xlfn.TEXTJOIN(";", 1, $BD$31:$BD$40)), 0) &gt; 0, 1, 0)</f>
        <v>1</v>
      </c>
      <c r="AO835" s="2" t="str">
        <f>INDEX(Sheet5!$B$2:$AG$33, MATCH(Table2[[#This Row],[AwayTeam]],Sheet5!$A$2:$A$33, 0), MATCH(Table2[[#This Row],[HomeTeam]],Sheet5!$A$2:$A$33, 0))</f>
        <v>0-0-0</v>
      </c>
      <c r="AP835" s="2" t="str">
        <f>INDEX(Sheet5!$B$2:$AG$33, MATCH(Table2[[#This Row],[HomeTeam]],Sheet5!$A$2:$A$33, 0), MATCH(Table2[[#This Row],[AwayTeam]],Sheet5!$A$2:$A$33, 0))</f>
        <v>0-0-0</v>
      </c>
      <c r="AQ835" s="2">
        <f>IF(Table2[[#This Row],[GameHasShutOut]], 1, 0)</f>
        <v>0</v>
      </c>
      <c r="AR835" s="2">
        <f>IF(Table2[[#This Row],[ActualAwayScore]] + Table2[[#This Row],[ActualHomeScore]] &gt;= 10, 1, 0)</f>
        <v>0</v>
      </c>
      <c r="AS835" s="2">
        <f>IF(ABS(Table2[[#This Row],[ActualAwayScore]]-Table2[[#This Row],[ActualHomeScore]])&gt;=5, 1, 0)</f>
        <v>0</v>
      </c>
      <c r="AT835" s="2">
        <f>IF(Table2[[#This Row],[ActualAwayScore]] + Table2[[#This Row],[ActualHomeScore]] &lt;= 3, 1, 0)</f>
        <v>1</v>
      </c>
      <c r="AU835" s="2"/>
      <c r="AV835" s="2"/>
    </row>
    <row r="836" spans="1:48" x14ac:dyDescent="0.25">
      <c r="A836" s="3"/>
      <c r="B836" s="3">
        <v>46050</v>
      </c>
      <c r="C836" s="5">
        <v>2025020834</v>
      </c>
      <c r="D836" s="2" t="s">
        <v>14</v>
      </c>
      <c r="E836" s="2" t="s">
        <v>13</v>
      </c>
      <c r="F836" s="2"/>
      <c r="G836" s="2"/>
      <c r="H836" s="2" t="str">
        <f t="shared" si="69"/>
        <v>_</v>
      </c>
      <c r="I836" s="2"/>
      <c r="J836" s="2"/>
      <c r="K836" s="2"/>
      <c r="L836" s="2" t="str">
        <f t="shared" si="70"/>
        <v>_</v>
      </c>
      <c r="M836" s="2"/>
      <c r="N836" s="2">
        <f>IF(ISBLANK(Table2[[#This Row],[ActualResult]]), 0, 1)</f>
        <v>0</v>
      </c>
      <c r="O836" s="2" t="str">
        <f>IF(ISBLANK(Table2[[#This Row],[ActualResult]]), "_", IF(Table2[[#This Row],[ActualWinner]]=Table2[[#This Row],[PredictedWinner]], "Y", "N"))</f>
        <v>_</v>
      </c>
      <c r="P8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6" s="2"/>
      <c r="S836" s="2" t="str">
        <f t="shared" si="71"/>
        <v>_</v>
      </c>
      <c r="T8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6" s="2">
        <f>IF(Table2[[#This Row],[InterConf]]=1,IF(Table2[[#This Row],[InterDiv]]=0, 1, 0), 0)</f>
        <v>0</v>
      </c>
      <c r="W8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6" s="2"/>
      <c r="Y836" s="2"/>
      <c r="Z836" s="145">
        <f>IF(AND(Table2[[#This Row],[GameIsOver]]=1,Table2[[#This Row],[ActualHomeScore]]*Table2[[#This Row],[ActualAwayScore]]=0), 1,0)</f>
        <v>0</v>
      </c>
      <c r="AA8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6" s="2">
        <f>Table2[[#This Row],[ActualAwayScore]]-Table2[[#This Row],[PredictedAwayScore]]</f>
        <v>0</v>
      </c>
      <c r="AG836" s="2">
        <f>Table2[[#This Row],[ActualHomeScore]]-Table2[[#This Row],[PredictedHomeScore]]</f>
        <v>0</v>
      </c>
      <c r="AH836" s="2">
        <f t="shared" si="72"/>
        <v>0</v>
      </c>
      <c r="AI836" s="2">
        <f t="shared" si="73"/>
        <v>0</v>
      </c>
      <c r="AJ836" s="2"/>
      <c r="AK836" s="3"/>
      <c r="AL836" s="2">
        <f>IF(Table2[[#This Row],[GameIsOver]]=0,0,IF(Table2[[#This Row],[ActualWinner]]=Table2[[#This Row],[AwayTeam]], 1, 0))</f>
        <v>0</v>
      </c>
      <c r="AM836" s="2">
        <f>IF(Table2[[#This Row],[GameIsOver]]=0,0,IF(Table2[[#This Row],[ActualWinner]]=Table2[[#This Row],[HomeTeam]], 1, 0))</f>
        <v>0</v>
      </c>
      <c r="AN8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6" s="2" t="str">
        <f>INDEX(Sheet5!$B$2:$AG$33, MATCH(Table2[[#This Row],[AwayTeam]],Sheet5!$A$2:$A$33, 0), MATCH(Table2[[#This Row],[HomeTeam]],Sheet5!$A$2:$A$33, 0))</f>
        <v>0-0-0</v>
      </c>
      <c r="AP836" s="2" t="str">
        <f>INDEX(Sheet5!$B$2:$AG$33, MATCH(Table2[[#This Row],[HomeTeam]],Sheet5!$A$2:$A$33, 0), MATCH(Table2[[#This Row],[AwayTeam]],Sheet5!$A$2:$A$33, 0))</f>
        <v>0-0-0</v>
      </c>
      <c r="AQ836" s="2">
        <f>IF(Table2[[#This Row],[GameHasShutOut]], 1, 0)</f>
        <v>0</v>
      </c>
      <c r="AR836" s="2">
        <f>IF(Table2[[#This Row],[ActualAwayScore]] + Table2[[#This Row],[ActualHomeScore]] &gt;= 10, 1, 0)</f>
        <v>0</v>
      </c>
      <c r="AS836" s="2">
        <f>IF(ABS(Table2[[#This Row],[ActualAwayScore]]-Table2[[#This Row],[ActualHomeScore]])&gt;=5, 1, 0)</f>
        <v>0</v>
      </c>
      <c r="AT836" s="2">
        <f>IF(Table2[[#This Row],[ActualAwayScore]] + Table2[[#This Row],[ActualHomeScore]] &lt;= 3, 1, 0)</f>
        <v>1</v>
      </c>
      <c r="AU836" s="2"/>
      <c r="AV836" s="2"/>
    </row>
    <row r="837" spans="1:48" x14ac:dyDescent="0.25">
      <c r="A837" s="3"/>
      <c r="B837" s="3">
        <v>46050</v>
      </c>
      <c r="C837" s="5">
        <v>2025020835</v>
      </c>
      <c r="D837" s="2" t="s">
        <v>21</v>
      </c>
      <c r="E837" s="2" t="s">
        <v>31</v>
      </c>
      <c r="F837" s="2"/>
      <c r="G837" s="2"/>
      <c r="H837" s="2" t="str">
        <f t="shared" si="69"/>
        <v>_</v>
      </c>
      <c r="I837" s="2"/>
      <c r="J837" s="2"/>
      <c r="K837" s="2"/>
      <c r="L837" s="2" t="str">
        <f t="shared" si="70"/>
        <v>_</v>
      </c>
      <c r="M837" s="2"/>
      <c r="N837" s="2">
        <f>IF(ISBLANK(Table2[[#This Row],[ActualResult]]), 0, 1)</f>
        <v>0</v>
      </c>
      <c r="O837" s="2" t="str">
        <f>IF(ISBLANK(Table2[[#This Row],[ActualResult]]), "_", IF(Table2[[#This Row],[ActualWinner]]=Table2[[#This Row],[PredictedWinner]], "Y", "N"))</f>
        <v>_</v>
      </c>
      <c r="P8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7" s="2"/>
      <c r="S837" s="2" t="str">
        <f t="shared" si="71"/>
        <v>_</v>
      </c>
      <c r="T8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7" s="2">
        <f>IF(Table2[[#This Row],[InterConf]]=1,IF(Table2[[#This Row],[InterDiv]]=0, 1, 0), 0)</f>
        <v>0</v>
      </c>
      <c r="W8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7" s="2"/>
      <c r="Y837" s="2"/>
      <c r="Z837" s="145">
        <f>IF(AND(Table2[[#This Row],[GameIsOver]]=1,Table2[[#This Row],[ActualHomeScore]]*Table2[[#This Row],[ActualAwayScore]]=0), 1,0)</f>
        <v>0</v>
      </c>
      <c r="AA8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7" s="2">
        <f>Table2[[#This Row],[ActualAwayScore]]-Table2[[#This Row],[PredictedAwayScore]]</f>
        <v>0</v>
      </c>
      <c r="AG837" s="2">
        <f>Table2[[#This Row],[ActualHomeScore]]-Table2[[#This Row],[PredictedHomeScore]]</f>
        <v>0</v>
      </c>
      <c r="AH837" s="2">
        <f t="shared" si="72"/>
        <v>0</v>
      </c>
      <c r="AI837" s="2">
        <f t="shared" si="73"/>
        <v>0</v>
      </c>
      <c r="AJ837" s="2"/>
      <c r="AK837" s="3"/>
      <c r="AL837" s="2">
        <f>IF(Table2[[#This Row],[GameIsOver]]=0,0,IF(Table2[[#This Row],[ActualWinner]]=Table2[[#This Row],[AwayTeam]], 1, 0))</f>
        <v>0</v>
      </c>
      <c r="AM837" s="2">
        <f>IF(Table2[[#This Row],[GameIsOver]]=0,0,IF(Table2[[#This Row],[ActualWinner]]=Table2[[#This Row],[HomeTeam]], 1, 0))</f>
        <v>0</v>
      </c>
      <c r="AN8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7" s="2" t="str">
        <f>INDEX(Sheet5!$B$2:$AG$33, MATCH(Table2[[#This Row],[AwayTeam]],Sheet5!$A$2:$A$33, 0), MATCH(Table2[[#This Row],[HomeTeam]],Sheet5!$A$2:$A$33, 0))</f>
        <v>0-0-0</v>
      </c>
      <c r="AP837" s="2" t="str">
        <f>INDEX(Sheet5!$B$2:$AG$33, MATCH(Table2[[#This Row],[HomeTeam]],Sheet5!$A$2:$A$33, 0), MATCH(Table2[[#This Row],[AwayTeam]],Sheet5!$A$2:$A$33, 0))</f>
        <v>0-0-0</v>
      </c>
      <c r="AQ837" s="2">
        <f>IF(Table2[[#This Row],[GameHasShutOut]], 1, 0)</f>
        <v>0</v>
      </c>
      <c r="AR837" s="2">
        <f>IF(Table2[[#This Row],[ActualAwayScore]] + Table2[[#This Row],[ActualHomeScore]] &gt;= 10, 1, 0)</f>
        <v>0</v>
      </c>
      <c r="AS837" s="2">
        <f>IF(ABS(Table2[[#This Row],[ActualAwayScore]]-Table2[[#This Row],[ActualHomeScore]])&gt;=5, 1, 0)</f>
        <v>0</v>
      </c>
      <c r="AT837" s="2">
        <f>IF(Table2[[#This Row],[ActualAwayScore]] + Table2[[#This Row],[ActualHomeScore]] &lt;= 3, 1, 0)</f>
        <v>1</v>
      </c>
      <c r="AU837" s="2"/>
      <c r="AV837" s="2"/>
    </row>
    <row r="838" spans="1:48" x14ac:dyDescent="0.25">
      <c r="A838" s="3"/>
      <c r="B838" s="3">
        <v>46050</v>
      </c>
      <c r="C838" s="5">
        <v>2025020836</v>
      </c>
      <c r="D838" s="2" t="s">
        <v>33</v>
      </c>
      <c r="E838" s="2" t="s">
        <v>12</v>
      </c>
      <c r="F838" s="2"/>
      <c r="G838" s="2"/>
      <c r="H838" s="2" t="str">
        <f t="shared" si="69"/>
        <v>_</v>
      </c>
      <c r="I838" s="2"/>
      <c r="J838" s="2"/>
      <c r="K838" s="2"/>
      <c r="L838" s="2" t="str">
        <f t="shared" si="70"/>
        <v>_</v>
      </c>
      <c r="M838" s="2"/>
      <c r="N838" s="2">
        <f>IF(ISBLANK(Table2[[#This Row],[ActualResult]]), 0, 1)</f>
        <v>0</v>
      </c>
      <c r="O838" s="2" t="str">
        <f>IF(ISBLANK(Table2[[#This Row],[ActualResult]]), "_", IF(Table2[[#This Row],[ActualWinner]]=Table2[[#This Row],[PredictedWinner]], "Y", "N"))</f>
        <v>_</v>
      </c>
      <c r="P8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8" s="2"/>
      <c r="S838" s="2" t="str">
        <f t="shared" si="71"/>
        <v>_</v>
      </c>
      <c r="T8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8" s="2">
        <f>IF(Table2[[#This Row],[InterConf]]=1,IF(Table2[[#This Row],[InterDiv]]=0, 1, 0), 0)</f>
        <v>0</v>
      </c>
      <c r="W8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8" s="2"/>
      <c r="Y838" s="2"/>
      <c r="Z838" s="145">
        <f>IF(AND(Table2[[#This Row],[GameIsOver]]=1,Table2[[#This Row],[ActualHomeScore]]*Table2[[#This Row],[ActualAwayScore]]=0), 1,0)</f>
        <v>0</v>
      </c>
      <c r="AA8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8" s="2">
        <f>Table2[[#This Row],[ActualAwayScore]]-Table2[[#This Row],[PredictedAwayScore]]</f>
        <v>0</v>
      </c>
      <c r="AG838" s="2">
        <f>Table2[[#This Row],[ActualHomeScore]]-Table2[[#This Row],[PredictedHomeScore]]</f>
        <v>0</v>
      </c>
      <c r="AH838" s="2">
        <f t="shared" si="72"/>
        <v>0</v>
      </c>
      <c r="AI838" s="2">
        <f t="shared" si="73"/>
        <v>0</v>
      </c>
      <c r="AJ838" s="2"/>
      <c r="AK838" s="3"/>
      <c r="AL838" s="2">
        <f>IF(Table2[[#This Row],[GameIsOver]]=0,0,IF(Table2[[#This Row],[ActualWinner]]=Table2[[#This Row],[AwayTeam]], 1, 0))</f>
        <v>0</v>
      </c>
      <c r="AM838" s="2">
        <f>IF(Table2[[#This Row],[GameIsOver]]=0,0,IF(Table2[[#This Row],[ActualWinner]]=Table2[[#This Row],[HomeTeam]], 1, 0))</f>
        <v>0</v>
      </c>
      <c r="AN8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8" s="2" t="str">
        <f>INDEX(Sheet5!$B$2:$AG$33, MATCH(Table2[[#This Row],[AwayTeam]],Sheet5!$A$2:$A$33, 0), MATCH(Table2[[#This Row],[HomeTeam]],Sheet5!$A$2:$A$33, 0))</f>
        <v>0-1-0</v>
      </c>
      <c r="AP838" s="2" t="str">
        <f>INDEX(Sheet5!$B$2:$AG$33, MATCH(Table2[[#This Row],[HomeTeam]],Sheet5!$A$2:$A$33, 0), MATCH(Table2[[#This Row],[AwayTeam]],Sheet5!$A$2:$A$33, 0))</f>
        <v>1-0-0</v>
      </c>
      <c r="AQ838" s="2">
        <f>IF(Table2[[#This Row],[GameHasShutOut]], 1, 0)</f>
        <v>0</v>
      </c>
      <c r="AR838" s="2">
        <f>IF(Table2[[#This Row],[ActualAwayScore]] + Table2[[#This Row],[ActualHomeScore]] &gt;= 10, 1, 0)</f>
        <v>0</v>
      </c>
      <c r="AS838" s="2">
        <f>IF(ABS(Table2[[#This Row],[ActualAwayScore]]-Table2[[#This Row],[ActualHomeScore]])&gt;=5, 1, 0)</f>
        <v>0</v>
      </c>
      <c r="AT838" s="2">
        <f>IF(Table2[[#This Row],[ActualAwayScore]] + Table2[[#This Row],[ActualHomeScore]] &lt;= 3, 1, 0)</f>
        <v>1</v>
      </c>
      <c r="AU838" s="2"/>
      <c r="AV838" s="2"/>
    </row>
    <row r="839" spans="1:48" x14ac:dyDescent="0.25">
      <c r="A839" s="3"/>
      <c r="B839" s="3">
        <v>46050</v>
      </c>
      <c r="C839" s="5">
        <v>2025020837</v>
      </c>
      <c r="D839" s="2" t="s">
        <v>16</v>
      </c>
      <c r="E839" s="2" t="s">
        <v>36</v>
      </c>
      <c r="F839" s="2"/>
      <c r="G839" s="2"/>
      <c r="H839" s="2" t="str">
        <f t="shared" si="69"/>
        <v>_</v>
      </c>
      <c r="I839" s="2"/>
      <c r="J839" s="2"/>
      <c r="K839" s="2"/>
      <c r="L839" s="2" t="str">
        <f t="shared" si="70"/>
        <v>_</v>
      </c>
      <c r="M839" s="2"/>
      <c r="N839" s="2">
        <f>IF(ISBLANK(Table2[[#This Row],[ActualResult]]), 0, 1)</f>
        <v>0</v>
      </c>
      <c r="O839" s="2" t="str">
        <f>IF(ISBLANK(Table2[[#This Row],[ActualResult]]), "_", IF(Table2[[#This Row],[ActualWinner]]=Table2[[#This Row],[PredictedWinner]], "Y", "N"))</f>
        <v>_</v>
      </c>
      <c r="P8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9" s="2"/>
      <c r="S839" s="2" t="str">
        <f t="shared" si="71"/>
        <v>_</v>
      </c>
      <c r="T8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9" s="2">
        <f>IF(Table2[[#This Row],[InterConf]]=1,IF(Table2[[#This Row],[InterDiv]]=0, 1, 0), 0)</f>
        <v>0</v>
      </c>
      <c r="W8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9" s="2"/>
      <c r="Y839" s="2"/>
      <c r="Z839" s="145">
        <f>IF(AND(Table2[[#This Row],[GameIsOver]]=1,Table2[[#This Row],[ActualHomeScore]]*Table2[[#This Row],[ActualAwayScore]]=0), 1,0)</f>
        <v>0</v>
      </c>
      <c r="AA8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9" s="2">
        <f>Table2[[#This Row],[ActualAwayScore]]-Table2[[#This Row],[PredictedAwayScore]]</f>
        <v>0</v>
      </c>
      <c r="AG839" s="2">
        <f>Table2[[#This Row],[ActualHomeScore]]-Table2[[#This Row],[PredictedHomeScore]]</f>
        <v>0</v>
      </c>
      <c r="AH839" s="2">
        <f t="shared" si="72"/>
        <v>0</v>
      </c>
      <c r="AI839" s="2">
        <f t="shared" si="73"/>
        <v>0</v>
      </c>
      <c r="AJ839" s="2"/>
      <c r="AK839" s="3"/>
      <c r="AL839" s="2">
        <f>IF(Table2[[#This Row],[GameIsOver]]=0,0,IF(Table2[[#This Row],[ActualWinner]]=Table2[[#This Row],[AwayTeam]], 1, 0))</f>
        <v>0</v>
      </c>
      <c r="AM839" s="2">
        <f>IF(Table2[[#This Row],[GameIsOver]]=0,0,IF(Table2[[#This Row],[ActualWinner]]=Table2[[#This Row],[HomeTeam]], 1, 0))</f>
        <v>0</v>
      </c>
      <c r="AN8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9" s="2" t="str">
        <f>INDEX(Sheet5!$B$2:$AG$33, MATCH(Table2[[#This Row],[AwayTeam]],Sheet5!$A$2:$A$33, 0), MATCH(Table2[[#This Row],[HomeTeam]],Sheet5!$A$2:$A$33, 0))</f>
        <v>0-0-0</v>
      </c>
      <c r="AP839" s="2" t="str">
        <f>INDEX(Sheet5!$B$2:$AG$33, MATCH(Table2[[#This Row],[HomeTeam]],Sheet5!$A$2:$A$33, 0), MATCH(Table2[[#This Row],[AwayTeam]],Sheet5!$A$2:$A$33, 0))</f>
        <v>0-0-0</v>
      </c>
      <c r="AQ839" s="2">
        <f>IF(Table2[[#This Row],[GameHasShutOut]], 1, 0)</f>
        <v>0</v>
      </c>
      <c r="AR839" s="2">
        <f>IF(Table2[[#This Row],[ActualAwayScore]] + Table2[[#This Row],[ActualHomeScore]] &gt;= 10, 1, 0)</f>
        <v>0</v>
      </c>
      <c r="AS839" s="2">
        <f>IF(ABS(Table2[[#This Row],[ActualAwayScore]]-Table2[[#This Row],[ActualHomeScore]])&gt;=5, 1, 0)</f>
        <v>0</v>
      </c>
      <c r="AT839" s="2">
        <f>IF(Table2[[#This Row],[ActualAwayScore]] + Table2[[#This Row],[ActualHomeScore]] &lt;= 3, 1, 0)</f>
        <v>1</v>
      </c>
      <c r="AU839" s="2"/>
      <c r="AV839" s="2"/>
    </row>
    <row r="840" spans="1:48" x14ac:dyDescent="0.25">
      <c r="A840" s="3"/>
      <c r="B840" s="3">
        <v>46050</v>
      </c>
      <c r="C840" s="5">
        <v>2025020838</v>
      </c>
      <c r="D840" s="2" t="s">
        <v>37</v>
      </c>
      <c r="E840" s="2" t="s">
        <v>24</v>
      </c>
      <c r="F840" s="2"/>
      <c r="G840" s="2"/>
      <c r="H840" s="2" t="str">
        <f t="shared" si="69"/>
        <v>_</v>
      </c>
      <c r="I840" s="2"/>
      <c r="J840" s="2"/>
      <c r="K840" s="2"/>
      <c r="L840" s="2" t="str">
        <f t="shared" si="70"/>
        <v>_</v>
      </c>
      <c r="M840" s="2"/>
      <c r="N840" s="2">
        <f>IF(ISBLANK(Table2[[#This Row],[ActualResult]]), 0, 1)</f>
        <v>0</v>
      </c>
      <c r="O840" s="2" t="str">
        <f>IF(ISBLANK(Table2[[#This Row],[ActualResult]]), "_", IF(Table2[[#This Row],[ActualWinner]]=Table2[[#This Row],[PredictedWinner]], "Y", "N"))</f>
        <v>_</v>
      </c>
      <c r="P8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0" s="2"/>
      <c r="S840" s="2" t="str">
        <f t="shared" si="71"/>
        <v>_</v>
      </c>
      <c r="T8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40" s="2">
        <f>IF(Table2[[#This Row],[InterConf]]=1,IF(Table2[[#This Row],[InterDiv]]=0, 1, 0), 0)</f>
        <v>0</v>
      </c>
      <c r="W8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0" s="2"/>
      <c r="Y840" s="2"/>
      <c r="Z840" s="145">
        <f>IF(AND(Table2[[#This Row],[GameIsOver]]=1,Table2[[#This Row],[ActualHomeScore]]*Table2[[#This Row],[ActualAwayScore]]=0), 1,0)</f>
        <v>0</v>
      </c>
      <c r="AA8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40" s="2">
        <f>Table2[[#This Row],[ActualAwayScore]]-Table2[[#This Row],[PredictedAwayScore]]</f>
        <v>0</v>
      </c>
      <c r="AG840" s="2">
        <f>Table2[[#This Row],[ActualHomeScore]]-Table2[[#This Row],[PredictedHomeScore]]</f>
        <v>0</v>
      </c>
      <c r="AH840" s="2">
        <f t="shared" si="72"/>
        <v>0</v>
      </c>
      <c r="AI840" s="2">
        <f t="shared" si="73"/>
        <v>0</v>
      </c>
      <c r="AJ840" s="2"/>
      <c r="AK840" s="3"/>
      <c r="AL840" s="2">
        <f>IF(Table2[[#This Row],[GameIsOver]]=0,0,IF(Table2[[#This Row],[ActualWinner]]=Table2[[#This Row],[AwayTeam]], 1, 0))</f>
        <v>0</v>
      </c>
      <c r="AM840" s="2">
        <f>IF(Table2[[#This Row],[GameIsOver]]=0,0,IF(Table2[[#This Row],[ActualWinner]]=Table2[[#This Row],[HomeTeam]], 1, 0))</f>
        <v>0</v>
      </c>
      <c r="AN8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0" s="2" t="str">
        <f>INDEX(Sheet5!$B$2:$AG$33, MATCH(Table2[[#This Row],[AwayTeam]],Sheet5!$A$2:$A$33, 0), MATCH(Table2[[#This Row],[HomeTeam]],Sheet5!$A$2:$A$33, 0))</f>
        <v>0-0-0</v>
      </c>
      <c r="AP840" s="2" t="str">
        <f>INDEX(Sheet5!$B$2:$AG$33, MATCH(Table2[[#This Row],[HomeTeam]],Sheet5!$A$2:$A$33, 0), MATCH(Table2[[#This Row],[AwayTeam]],Sheet5!$A$2:$A$33, 0))</f>
        <v>0-0-0</v>
      </c>
      <c r="AQ840" s="2">
        <f>IF(Table2[[#This Row],[GameHasShutOut]], 1, 0)</f>
        <v>0</v>
      </c>
      <c r="AR840" s="2">
        <f>IF(Table2[[#This Row],[ActualAwayScore]] + Table2[[#This Row],[ActualHomeScore]] &gt;= 10, 1, 0)</f>
        <v>0</v>
      </c>
      <c r="AS840" s="2">
        <f>IF(ABS(Table2[[#This Row],[ActualAwayScore]]-Table2[[#This Row],[ActualHomeScore]])&gt;=5, 1, 0)</f>
        <v>0</v>
      </c>
      <c r="AT840" s="2">
        <f>IF(Table2[[#This Row],[ActualAwayScore]] + Table2[[#This Row],[ActualHomeScore]] &lt;= 3, 1, 0)</f>
        <v>1</v>
      </c>
      <c r="AU840" s="2"/>
      <c r="AV840" s="2"/>
    </row>
    <row r="841" spans="1:48" x14ac:dyDescent="0.25">
      <c r="A841" s="3"/>
      <c r="B841" s="3">
        <v>46050</v>
      </c>
      <c r="C841" s="5">
        <v>2025020839</v>
      </c>
      <c r="D841" s="2" t="s">
        <v>43</v>
      </c>
      <c r="E841" s="2" t="s">
        <v>11</v>
      </c>
      <c r="F841" s="2"/>
      <c r="G841" s="2"/>
      <c r="H841" s="2" t="str">
        <f t="shared" si="69"/>
        <v>_</v>
      </c>
      <c r="I841" s="2"/>
      <c r="J841" s="2"/>
      <c r="K841" s="2"/>
      <c r="L841" s="2" t="str">
        <f t="shared" si="70"/>
        <v>_</v>
      </c>
      <c r="M841" s="2"/>
      <c r="N841" s="2">
        <f>IF(ISBLANK(Table2[[#This Row],[ActualResult]]), 0, 1)</f>
        <v>0</v>
      </c>
      <c r="O841" s="2" t="str">
        <f>IF(ISBLANK(Table2[[#This Row],[ActualResult]]), "_", IF(Table2[[#This Row],[ActualWinner]]=Table2[[#This Row],[PredictedWinner]], "Y", "N"))</f>
        <v>_</v>
      </c>
      <c r="P8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1" s="2"/>
      <c r="S841" s="2" t="str">
        <f t="shared" si="71"/>
        <v>_</v>
      </c>
      <c r="T8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1" s="2">
        <f>IF(Table2[[#This Row],[InterConf]]=1,IF(Table2[[#This Row],[InterDiv]]=0, 1, 0), 0)</f>
        <v>0</v>
      </c>
      <c r="W8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1" s="2"/>
      <c r="Y841" s="2"/>
      <c r="Z841" s="145">
        <f>IF(AND(Table2[[#This Row],[GameIsOver]]=1,Table2[[#This Row],[ActualHomeScore]]*Table2[[#This Row],[ActualAwayScore]]=0), 1,0)</f>
        <v>0</v>
      </c>
      <c r="AA8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41" s="2">
        <f>Table2[[#This Row],[ActualAwayScore]]-Table2[[#This Row],[PredictedAwayScore]]</f>
        <v>0</v>
      </c>
      <c r="AG841" s="2">
        <f>Table2[[#This Row],[ActualHomeScore]]-Table2[[#This Row],[PredictedHomeScore]]</f>
        <v>0</v>
      </c>
      <c r="AH841" s="2">
        <f t="shared" si="72"/>
        <v>0</v>
      </c>
      <c r="AI841" s="2">
        <f t="shared" si="73"/>
        <v>0</v>
      </c>
      <c r="AJ841" s="2"/>
      <c r="AK841" s="3"/>
      <c r="AL841" s="2">
        <f>IF(Table2[[#This Row],[GameIsOver]]=0,0,IF(Table2[[#This Row],[ActualWinner]]=Table2[[#This Row],[AwayTeam]], 1, 0))</f>
        <v>0</v>
      </c>
      <c r="AM841" s="2">
        <f>IF(Table2[[#This Row],[GameIsOver]]=0,0,IF(Table2[[#This Row],[ActualWinner]]=Table2[[#This Row],[HomeTeam]], 1, 0))</f>
        <v>0</v>
      </c>
      <c r="AN8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1" s="2" t="str">
        <f>INDEX(Sheet5!$B$2:$AG$33, MATCH(Table2[[#This Row],[AwayTeam]],Sheet5!$A$2:$A$33, 0), MATCH(Table2[[#This Row],[HomeTeam]],Sheet5!$A$2:$A$33, 0))</f>
        <v>1-0-0</v>
      </c>
      <c r="AP841" s="2" t="str">
        <f>INDEX(Sheet5!$B$2:$AG$33, MATCH(Table2[[#This Row],[HomeTeam]],Sheet5!$A$2:$A$33, 0), MATCH(Table2[[#This Row],[AwayTeam]],Sheet5!$A$2:$A$33, 0))</f>
        <v>0-1-0</v>
      </c>
      <c r="AQ841" s="2">
        <f>IF(Table2[[#This Row],[GameHasShutOut]], 1, 0)</f>
        <v>0</v>
      </c>
      <c r="AR841" s="2">
        <f>IF(Table2[[#This Row],[ActualAwayScore]] + Table2[[#This Row],[ActualHomeScore]] &gt;= 10, 1, 0)</f>
        <v>0</v>
      </c>
      <c r="AS841" s="2">
        <f>IF(ABS(Table2[[#This Row],[ActualAwayScore]]-Table2[[#This Row],[ActualHomeScore]])&gt;=5, 1, 0)</f>
        <v>0</v>
      </c>
      <c r="AT841" s="2">
        <f>IF(Table2[[#This Row],[ActualAwayScore]] + Table2[[#This Row],[ActualHomeScore]] &lt;= 3, 1, 0)</f>
        <v>1</v>
      </c>
      <c r="AU841" s="2"/>
      <c r="AV841" s="2"/>
    </row>
    <row r="842" spans="1:48" x14ac:dyDescent="0.25">
      <c r="A842" s="3"/>
      <c r="B842" s="3">
        <v>46051</v>
      </c>
      <c r="C842" s="5">
        <v>2025020840</v>
      </c>
      <c r="D842" s="2" t="s">
        <v>42</v>
      </c>
      <c r="E842" s="2" t="s">
        <v>35</v>
      </c>
      <c r="F842" s="2"/>
      <c r="G842" s="2"/>
      <c r="H842" s="2" t="str">
        <f t="shared" si="69"/>
        <v>_</v>
      </c>
      <c r="I842" s="2"/>
      <c r="J842" s="2"/>
      <c r="K842" s="2"/>
      <c r="L842" s="2" t="str">
        <f t="shared" si="70"/>
        <v>_</v>
      </c>
      <c r="M842" s="2"/>
      <c r="N842" s="2">
        <f>IF(ISBLANK(Table2[[#This Row],[ActualResult]]), 0, 1)</f>
        <v>0</v>
      </c>
      <c r="O842" s="2" t="str">
        <f>IF(ISBLANK(Table2[[#This Row],[ActualResult]]), "_", IF(Table2[[#This Row],[ActualWinner]]=Table2[[#This Row],[PredictedWinner]], "Y", "N"))</f>
        <v>_</v>
      </c>
      <c r="P8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2" s="2"/>
      <c r="S842" s="2" t="str">
        <f t="shared" si="71"/>
        <v>_</v>
      </c>
      <c r="T8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42" s="2">
        <f>IF(Table2[[#This Row],[InterConf]]=1,IF(Table2[[#This Row],[InterDiv]]=0, 1, 0), 0)</f>
        <v>0</v>
      </c>
      <c r="W8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2" s="2"/>
      <c r="Y842" s="2"/>
      <c r="Z842" s="145">
        <f>IF(AND(Table2[[#This Row],[GameIsOver]]=1,Table2[[#This Row],[ActualHomeScore]]*Table2[[#This Row],[ActualAwayScore]]=0), 1,0)</f>
        <v>0</v>
      </c>
      <c r="AA8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42" s="2">
        <f>Table2[[#This Row],[ActualAwayScore]]-Table2[[#This Row],[PredictedAwayScore]]</f>
        <v>0</v>
      </c>
      <c r="AG842" s="2">
        <f>Table2[[#This Row],[ActualHomeScore]]-Table2[[#This Row],[PredictedHomeScore]]</f>
        <v>0</v>
      </c>
      <c r="AH842" s="2">
        <f t="shared" si="72"/>
        <v>0</v>
      </c>
      <c r="AI842" s="2">
        <f t="shared" si="73"/>
        <v>0</v>
      </c>
      <c r="AJ842" s="2"/>
      <c r="AK842" s="3"/>
      <c r="AL842" s="2">
        <f>IF(Table2[[#This Row],[GameIsOver]]=0,0,IF(Table2[[#This Row],[ActualWinner]]=Table2[[#This Row],[AwayTeam]], 1, 0))</f>
        <v>0</v>
      </c>
      <c r="AM842" s="2">
        <f>IF(Table2[[#This Row],[GameIsOver]]=0,0,IF(Table2[[#This Row],[ActualWinner]]=Table2[[#This Row],[HomeTeam]], 1, 0))</f>
        <v>0</v>
      </c>
      <c r="AN8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2" s="2" t="str">
        <f>INDEX(Sheet5!$B$2:$AG$33, MATCH(Table2[[#This Row],[AwayTeam]],Sheet5!$A$2:$A$33, 0), MATCH(Table2[[#This Row],[HomeTeam]],Sheet5!$A$2:$A$33, 0))</f>
        <v>0-0-0</v>
      </c>
      <c r="AP842" s="2" t="str">
        <f>INDEX(Sheet5!$B$2:$AG$33, MATCH(Table2[[#This Row],[HomeTeam]],Sheet5!$A$2:$A$33, 0), MATCH(Table2[[#This Row],[AwayTeam]],Sheet5!$A$2:$A$33, 0))</f>
        <v>0-0-0</v>
      </c>
      <c r="AQ842" s="2">
        <f>IF(Table2[[#This Row],[GameHasShutOut]], 1, 0)</f>
        <v>0</v>
      </c>
      <c r="AR842" s="2">
        <f>IF(Table2[[#This Row],[ActualAwayScore]] + Table2[[#This Row],[ActualHomeScore]] &gt;= 10, 1, 0)</f>
        <v>0</v>
      </c>
      <c r="AS842" s="2">
        <f>IF(ABS(Table2[[#This Row],[ActualAwayScore]]-Table2[[#This Row],[ActualHomeScore]])&gt;=5, 1, 0)</f>
        <v>0</v>
      </c>
      <c r="AT842" s="2">
        <f>IF(Table2[[#This Row],[ActualAwayScore]] + Table2[[#This Row],[ActualHomeScore]] &lt;= 3, 1, 0)</f>
        <v>1</v>
      </c>
      <c r="AU842" s="2"/>
      <c r="AV842" s="2"/>
    </row>
    <row r="843" spans="1:48" x14ac:dyDescent="0.25">
      <c r="A843" s="3"/>
      <c r="B843" s="3">
        <v>46051</v>
      </c>
      <c r="C843" s="5">
        <v>2025020841</v>
      </c>
      <c r="D843" s="2" t="s">
        <v>25</v>
      </c>
      <c r="E843" s="2" t="s">
        <v>29</v>
      </c>
      <c r="F843" s="2"/>
      <c r="G843" s="2"/>
      <c r="H843" s="2" t="str">
        <f t="shared" si="69"/>
        <v>_</v>
      </c>
      <c r="I843" s="2"/>
      <c r="J843" s="2"/>
      <c r="K843" s="2"/>
      <c r="L843" s="2" t="str">
        <f t="shared" si="70"/>
        <v>_</v>
      </c>
      <c r="M843" s="2"/>
      <c r="N843" s="2">
        <f>IF(ISBLANK(Table2[[#This Row],[ActualResult]]), 0, 1)</f>
        <v>0</v>
      </c>
      <c r="O843" s="2" t="str">
        <f>IF(ISBLANK(Table2[[#This Row],[ActualResult]]), "_", IF(Table2[[#This Row],[ActualWinner]]=Table2[[#This Row],[PredictedWinner]], "Y", "N"))</f>
        <v>_</v>
      </c>
      <c r="P8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3" s="2"/>
      <c r="S843" s="2" t="str">
        <f t="shared" si="71"/>
        <v>_</v>
      </c>
      <c r="T8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3" s="2">
        <f>IF(Table2[[#This Row],[InterConf]]=1,IF(Table2[[#This Row],[InterDiv]]=0, 1, 0), 0)</f>
        <v>0</v>
      </c>
      <c r="W8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3" s="2"/>
      <c r="Y843" s="2"/>
      <c r="Z843" s="145">
        <f>IF(AND(Table2[[#This Row],[GameIsOver]]=1,Table2[[#This Row],[ActualHomeScore]]*Table2[[#This Row],[ActualAwayScore]]=0), 1,0)</f>
        <v>0</v>
      </c>
      <c r="AA8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43" s="2">
        <f>Table2[[#This Row],[ActualAwayScore]]-Table2[[#This Row],[PredictedAwayScore]]</f>
        <v>0</v>
      </c>
      <c r="AG843" s="2">
        <f>Table2[[#This Row],[ActualHomeScore]]-Table2[[#This Row],[PredictedHomeScore]]</f>
        <v>0</v>
      </c>
      <c r="AH843" s="2">
        <f t="shared" si="72"/>
        <v>0</v>
      </c>
      <c r="AI843" s="2">
        <f t="shared" si="73"/>
        <v>0</v>
      </c>
      <c r="AJ843" s="2"/>
      <c r="AK843" s="3"/>
      <c r="AL843" s="2">
        <f>IF(Table2[[#This Row],[GameIsOver]]=0,0,IF(Table2[[#This Row],[ActualWinner]]=Table2[[#This Row],[AwayTeam]], 1, 0))</f>
        <v>0</v>
      </c>
      <c r="AM843" s="2">
        <f>IF(Table2[[#This Row],[GameIsOver]]=0,0,IF(Table2[[#This Row],[ActualWinner]]=Table2[[#This Row],[HomeTeam]], 1, 0))</f>
        <v>0</v>
      </c>
      <c r="AN8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3" s="2" t="str">
        <f>INDEX(Sheet5!$B$2:$AG$33, MATCH(Table2[[#This Row],[AwayTeam]],Sheet5!$A$2:$A$33, 0), MATCH(Table2[[#This Row],[HomeTeam]],Sheet5!$A$2:$A$33, 0))</f>
        <v>0-0-0</v>
      </c>
      <c r="AP843" s="2" t="str">
        <f>INDEX(Sheet5!$B$2:$AG$33, MATCH(Table2[[#This Row],[HomeTeam]],Sheet5!$A$2:$A$33, 0), MATCH(Table2[[#This Row],[AwayTeam]],Sheet5!$A$2:$A$33, 0))</f>
        <v>0-0-0</v>
      </c>
      <c r="AQ843" s="2">
        <f>IF(Table2[[#This Row],[GameHasShutOut]], 1, 0)</f>
        <v>0</v>
      </c>
      <c r="AR843" s="2">
        <f>IF(Table2[[#This Row],[ActualAwayScore]] + Table2[[#This Row],[ActualHomeScore]] &gt;= 10, 1, 0)</f>
        <v>0</v>
      </c>
      <c r="AS843" s="2">
        <f>IF(ABS(Table2[[#This Row],[ActualAwayScore]]-Table2[[#This Row],[ActualHomeScore]])&gt;=5, 1, 0)</f>
        <v>0</v>
      </c>
      <c r="AT843" s="2">
        <f>IF(Table2[[#This Row],[ActualAwayScore]] + Table2[[#This Row],[ActualHomeScore]] &lt;= 3, 1, 0)</f>
        <v>1</v>
      </c>
      <c r="AU843" s="2"/>
      <c r="AV843" s="2"/>
    </row>
    <row r="844" spans="1:48" x14ac:dyDescent="0.25">
      <c r="A844" s="3"/>
      <c r="B844" s="3">
        <v>46051</v>
      </c>
      <c r="C844" s="5">
        <v>2025020842</v>
      </c>
      <c r="D844" s="2" t="s">
        <v>19</v>
      </c>
      <c r="E844" s="2" t="s">
        <v>32</v>
      </c>
      <c r="F844" s="2"/>
      <c r="G844" s="2"/>
      <c r="H844" s="2" t="str">
        <f t="shared" si="69"/>
        <v>_</v>
      </c>
      <c r="I844" s="2"/>
      <c r="J844" s="2"/>
      <c r="K844" s="2"/>
      <c r="L844" s="2" t="str">
        <f t="shared" si="70"/>
        <v>_</v>
      </c>
      <c r="M844" s="2"/>
      <c r="N844" s="2">
        <f>IF(ISBLANK(Table2[[#This Row],[ActualResult]]), 0, 1)</f>
        <v>0</v>
      </c>
      <c r="O844" s="2" t="str">
        <f>IF(ISBLANK(Table2[[#This Row],[ActualResult]]), "_", IF(Table2[[#This Row],[ActualWinner]]=Table2[[#This Row],[PredictedWinner]], "Y", "N"))</f>
        <v>_</v>
      </c>
      <c r="P8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4" s="2"/>
      <c r="S844" s="2" t="str">
        <f t="shared" si="71"/>
        <v>_</v>
      </c>
      <c r="T8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44" s="2">
        <f>IF(Table2[[#This Row],[InterConf]]=1,IF(Table2[[#This Row],[InterDiv]]=0, 1, 0), 0)</f>
        <v>0</v>
      </c>
      <c r="W8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4" s="2"/>
      <c r="Y844" s="2"/>
      <c r="Z844" s="145">
        <f>IF(AND(Table2[[#This Row],[GameIsOver]]=1,Table2[[#This Row],[ActualHomeScore]]*Table2[[#This Row],[ActualAwayScore]]=0), 1,0)</f>
        <v>0</v>
      </c>
      <c r="AA8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44" s="2">
        <f>Table2[[#This Row],[ActualAwayScore]]-Table2[[#This Row],[PredictedAwayScore]]</f>
        <v>0</v>
      </c>
      <c r="AG844" s="2">
        <f>Table2[[#This Row],[ActualHomeScore]]-Table2[[#This Row],[PredictedHomeScore]]</f>
        <v>0</v>
      </c>
      <c r="AH844" s="2">
        <f t="shared" si="72"/>
        <v>0</v>
      </c>
      <c r="AI844" s="2">
        <f t="shared" si="73"/>
        <v>0</v>
      </c>
      <c r="AJ844" s="2"/>
      <c r="AK844" s="3"/>
      <c r="AL844" s="2">
        <f>IF(Table2[[#This Row],[GameIsOver]]=0,0,IF(Table2[[#This Row],[ActualWinner]]=Table2[[#This Row],[AwayTeam]], 1, 0))</f>
        <v>0</v>
      </c>
      <c r="AM844" s="2">
        <f>IF(Table2[[#This Row],[GameIsOver]]=0,0,IF(Table2[[#This Row],[ActualWinner]]=Table2[[#This Row],[HomeTeam]], 1, 0))</f>
        <v>0</v>
      </c>
      <c r="AN8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4" s="2" t="str">
        <f>INDEX(Sheet5!$B$2:$AG$33, MATCH(Table2[[#This Row],[AwayTeam]],Sheet5!$A$2:$A$33, 0), MATCH(Table2[[#This Row],[HomeTeam]],Sheet5!$A$2:$A$33, 0))</f>
        <v>0-0-0</v>
      </c>
      <c r="AP844" s="2" t="str">
        <f>INDEX(Sheet5!$B$2:$AG$33, MATCH(Table2[[#This Row],[HomeTeam]],Sheet5!$A$2:$A$33, 0), MATCH(Table2[[#This Row],[AwayTeam]],Sheet5!$A$2:$A$33, 0))</f>
        <v>0-0-0</v>
      </c>
      <c r="AQ844" s="2">
        <f>IF(Table2[[#This Row],[GameHasShutOut]], 1, 0)</f>
        <v>0</v>
      </c>
      <c r="AR844" s="2">
        <f>IF(Table2[[#This Row],[ActualAwayScore]] + Table2[[#This Row],[ActualHomeScore]] &gt;= 10, 1, 0)</f>
        <v>0</v>
      </c>
      <c r="AS844" s="2">
        <f>IF(ABS(Table2[[#This Row],[ActualAwayScore]]-Table2[[#This Row],[ActualHomeScore]])&gt;=5, 1, 0)</f>
        <v>0</v>
      </c>
      <c r="AT844" s="2">
        <f>IF(Table2[[#This Row],[ActualAwayScore]] + Table2[[#This Row],[ActualHomeScore]] &lt;= 3, 1, 0)</f>
        <v>1</v>
      </c>
      <c r="AU844" s="2"/>
      <c r="AV844" s="2"/>
    </row>
    <row r="845" spans="1:48" x14ac:dyDescent="0.25">
      <c r="A845" s="3"/>
      <c r="B845" s="3">
        <v>46052</v>
      </c>
      <c r="C845" s="5">
        <v>2025020843</v>
      </c>
      <c r="D845" s="2" t="s">
        <v>42</v>
      </c>
      <c r="E845" s="2" t="s">
        <v>15</v>
      </c>
      <c r="F845" s="2"/>
      <c r="G845" s="2"/>
      <c r="H845" s="2" t="str">
        <f t="shared" si="69"/>
        <v>_</v>
      </c>
      <c r="I845" s="2"/>
      <c r="J845" s="2"/>
      <c r="K845" s="2"/>
      <c r="L845" s="2" t="str">
        <f t="shared" si="70"/>
        <v>_</v>
      </c>
      <c r="M845" s="2"/>
      <c r="N845" s="2">
        <f>IF(ISBLANK(Table2[[#This Row],[ActualResult]]), 0, 1)</f>
        <v>0</v>
      </c>
      <c r="O845" s="2" t="str">
        <f>IF(ISBLANK(Table2[[#This Row],[ActualResult]]), "_", IF(Table2[[#This Row],[ActualWinner]]=Table2[[#This Row],[PredictedWinner]], "Y", "N"))</f>
        <v>_</v>
      </c>
      <c r="P8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5" s="2"/>
      <c r="S845" s="2" t="str">
        <f t="shared" si="71"/>
        <v>_</v>
      </c>
      <c r="T8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5" s="2">
        <f>IF(Table2[[#This Row],[InterConf]]=1,IF(Table2[[#This Row],[InterDiv]]=0, 1, 0), 0)</f>
        <v>1</v>
      </c>
      <c r="W8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5" s="2"/>
      <c r="Y845" s="2"/>
      <c r="Z845" s="145">
        <f>IF(AND(Table2[[#This Row],[GameIsOver]]=1,Table2[[#This Row],[ActualHomeScore]]*Table2[[#This Row],[ActualAwayScore]]=0), 1,0)</f>
        <v>0</v>
      </c>
      <c r="AA8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5" s="2">
        <f>Table2[[#This Row],[ActualAwayScore]]-Table2[[#This Row],[PredictedAwayScore]]</f>
        <v>0</v>
      </c>
      <c r="AG845" s="2">
        <f>Table2[[#This Row],[ActualHomeScore]]-Table2[[#This Row],[PredictedHomeScore]]</f>
        <v>0</v>
      </c>
      <c r="AH845" s="2">
        <f t="shared" si="72"/>
        <v>0</v>
      </c>
      <c r="AI845" s="2">
        <f t="shared" si="73"/>
        <v>0</v>
      </c>
      <c r="AJ845" s="2"/>
      <c r="AK845" s="3"/>
      <c r="AL845" s="2">
        <f>IF(Table2[[#This Row],[GameIsOver]]=0,0,IF(Table2[[#This Row],[ActualWinner]]=Table2[[#This Row],[AwayTeam]], 1, 0))</f>
        <v>0</v>
      </c>
      <c r="AM845" s="2">
        <f>IF(Table2[[#This Row],[GameIsOver]]=0,0,IF(Table2[[#This Row],[ActualWinner]]=Table2[[#This Row],[HomeTeam]], 1, 0))</f>
        <v>0</v>
      </c>
      <c r="AN8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5" s="2" t="str">
        <f>INDEX(Sheet5!$B$2:$AG$33, MATCH(Table2[[#This Row],[AwayTeam]],Sheet5!$A$2:$A$33, 0), MATCH(Table2[[#This Row],[HomeTeam]],Sheet5!$A$2:$A$33, 0))</f>
        <v>0-0-0</v>
      </c>
      <c r="AP845" s="2" t="str">
        <f>INDEX(Sheet5!$B$2:$AG$33, MATCH(Table2[[#This Row],[HomeTeam]],Sheet5!$A$2:$A$33, 0), MATCH(Table2[[#This Row],[AwayTeam]],Sheet5!$A$2:$A$33, 0))</f>
        <v>0-0-0</v>
      </c>
      <c r="AQ845" s="2">
        <f>IF(Table2[[#This Row],[GameHasShutOut]], 1, 0)</f>
        <v>0</v>
      </c>
      <c r="AR845" s="2">
        <f>IF(Table2[[#This Row],[ActualAwayScore]] + Table2[[#This Row],[ActualHomeScore]] &gt;= 10, 1, 0)</f>
        <v>0</v>
      </c>
      <c r="AS845" s="2">
        <f>IF(ABS(Table2[[#This Row],[ActualAwayScore]]-Table2[[#This Row],[ActualHomeScore]])&gt;=5, 1, 0)</f>
        <v>0</v>
      </c>
      <c r="AT845" s="2">
        <f>IF(Table2[[#This Row],[ActualAwayScore]] + Table2[[#This Row],[ActualHomeScore]] &lt;= 3, 1, 0)</f>
        <v>1</v>
      </c>
      <c r="AU845" s="2"/>
      <c r="AV845" s="2"/>
    </row>
    <row r="846" spans="1:48" x14ac:dyDescent="0.25">
      <c r="A846" s="3"/>
      <c r="B846" s="3">
        <v>46052</v>
      </c>
      <c r="C846" s="5">
        <v>2025020844</v>
      </c>
      <c r="D846" s="2" t="s">
        <v>27</v>
      </c>
      <c r="E846" s="2" t="s">
        <v>28</v>
      </c>
      <c r="F846" s="2"/>
      <c r="G846" s="2"/>
      <c r="H846" s="2" t="str">
        <f t="shared" si="69"/>
        <v>_</v>
      </c>
      <c r="I846" s="2"/>
      <c r="J846" s="2"/>
      <c r="K846" s="2"/>
      <c r="L846" s="2" t="str">
        <f t="shared" si="70"/>
        <v>_</v>
      </c>
      <c r="M846" s="2"/>
      <c r="N846" s="2">
        <f>IF(ISBLANK(Table2[[#This Row],[ActualResult]]), 0, 1)</f>
        <v>0</v>
      </c>
      <c r="O846" s="2" t="str">
        <f>IF(ISBLANK(Table2[[#This Row],[ActualResult]]), "_", IF(Table2[[#This Row],[ActualWinner]]=Table2[[#This Row],[PredictedWinner]], "Y", "N"))</f>
        <v>_</v>
      </c>
      <c r="P8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6" s="2"/>
      <c r="S846" s="2" t="str">
        <f t="shared" si="71"/>
        <v>_</v>
      </c>
      <c r="T8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6" s="2">
        <f>IF(Table2[[#This Row],[InterConf]]=1,IF(Table2[[#This Row],[InterDiv]]=0, 1, 0), 0)</f>
        <v>0</v>
      </c>
      <c r="W8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6" s="2"/>
      <c r="Y846" s="2"/>
      <c r="Z846" s="145">
        <f>IF(AND(Table2[[#This Row],[GameIsOver]]=1,Table2[[#This Row],[ActualHomeScore]]*Table2[[#This Row],[ActualAwayScore]]=0), 1,0)</f>
        <v>0</v>
      </c>
      <c r="AA8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6" s="2">
        <f>Table2[[#This Row],[ActualAwayScore]]-Table2[[#This Row],[PredictedAwayScore]]</f>
        <v>0</v>
      </c>
      <c r="AG846" s="2">
        <f>Table2[[#This Row],[ActualHomeScore]]-Table2[[#This Row],[PredictedHomeScore]]</f>
        <v>0</v>
      </c>
      <c r="AH846" s="2">
        <f t="shared" si="72"/>
        <v>0</v>
      </c>
      <c r="AI846" s="2">
        <f t="shared" si="73"/>
        <v>0</v>
      </c>
      <c r="AJ846" s="2"/>
      <c r="AK846" s="3"/>
      <c r="AL846" s="2">
        <f>IF(Table2[[#This Row],[GameIsOver]]=0,0,IF(Table2[[#This Row],[ActualWinner]]=Table2[[#This Row],[AwayTeam]], 1, 0))</f>
        <v>0</v>
      </c>
      <c r="AM846" s="2">
        <f>IF(Table2[[#This Row],[GameIsOver]]=0,0,IF(Table2[[#This Row],[ActualWinner]]=Table2[[#This Row],[HomeTeam]], 1, 0))</f>
        <v>0</v>
      </c>
      <c r="AN846" s="2">
        <f>IF(IFERROR(FIND(Table2[[#This Row],[AwayTeam]], _xlfn.TEXTJOIN(";", 1, $BD$31:$BD$40)), 0) &gt; 0, 1, 0) + IF(IFERROR(FIND(Table2[[#This Row],[HomeTeam]], _xlfn.TEXTJOIN(";", 1, $BD$31:$BD$40)), 0) &gt; 0, 1, 0)</f>
        <v>1</v>
      </c>
      <c r="AO846" s="2" t="str">
        <f>INDEX(Sheet5!$B$2:$AG$33, MATCH(Table2[[#This Row],[AwayTeam]],Sheet5!$A$2:$A$33, 0), MATCH(Table2[[#This Row],[HomeTeam]],Sheet5!$A$2:$A$33, 0))</f>
        <v>0-0-0</v>
      </c>
      <c r="AP846" s="2" t="str">
        <f>INDEX(Sheet5!$B$2:$AG$33, MATCH(Table2[[#This Row],[HomeTeam]],Sheet5!$A$2:$A$33, 0), MATCH(Table2[[#This Row],[AwayTeam]],Sheet5!$A$2:$A$33, 0))</f>
        <v>0-0-0</v>
      </c>
      <c r="AQ846" s="2">
        <f>IF(Table2[[#This Row],[GameHasShutOut]], 1, 0)</f>
        <v>0</v>
      </c>
      <c r="AR846" s="2">
        <f>IF(Table2[[#This Row],[ActualAwayScore]] + Table2[[#This Row],[ActualHomeScore]] &gt;= 10, 1, 0)</f>
        <v>0</v>
      </c>
      <c r="AS846" s="2">
        <f>IF(ABS(Table2[[#This Row],[ActualAwayScore]]-Table2[[#This Row],[ActualHomeScore]])&gt;=5, 1, 0)</f>
        <v>0</v>
      </c>
      <c r="AT846" s="2">
        <f>IF(Table2[[#This Row],[ActualAwayScore]] + Table2[[#This Row],[ActualHomeScore]] &lt;= 3, 1, 0)</f>
        <v>1</v>
      </c>
      <c r="AU846" s="2"/>
      <c r="AV846" s="2"/>
    </row>
    <row r="847" spans="1:48" x14ac:dyDescent="0.25">
      <c r="A847" s="3"/>
      <c r="B847" s="3">
        <v>46052</v>
      </c>
      <c r="C847" s="5">
        <v>2025020845</v>
      </c>
      <c r="D847" s="2" t="s">
        <v>25</v>
      </c>
      <c r="E847" s="2" t="s">
        <v>18</v>
      </c>
      <c r="F847" s="2"/>
      <c r="G847" s="2"/>
      <c r="H847" s="2" t="str">
        <f t="shared" si="69"/>
        <v>_</v>
      </c>
      <c r="I847" s="2"/>
      <c r="J847" s="2"/>
      <c r="K847" s="2"/>
      <c r="L847" s="2" t="str">
        <f t="shared" si="70"/>
        <v>_</v>
      </c>
      <c r="M847" s="2"/>
      <c r="N847" s="2">
        <f>IF(ISBLANK(Table2[[#This Row],[ActualResult]]), 0, 1)</f>
        <v>0</v>
      </c>
      <c r="O847" s="2" t="str">
        <f>IF(ISBLANK(Table2[[#This Row],[ActualResult]]), "_", IF(Table2[[#This Row],[ActualWinner]]=Table2[[#This Row],[PredictedWinner]], "Y", "N"))</f>
        <v>_</v>
      </c>
      <c r="P8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7" s="2"/>
      <c r="S847" s="2" t="str">
        <f t="shared" si="71"/>
        <v>_</v>
      </c>
      <c r="T8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7" s="2">
        <f>IF(Table2[[#This Row],[InterConf]]=1,IF(Table2[[#This Row],[InterDiv]]=0, 1, 0), 0)</f>
        <v>0</v>
      </c>
      <c r="W8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7" s="2"/>
      <c r="Y847" s="2"/>
      <c r="Z847" s="145">
        <f>IF(AND(Table2[[#This Row],[GameIsOver]]=1,Table2[[#This Row],[ActualHomeScore]]*Table2[[#This Row],[ActualAwayScore]]=0), 1,0)</f>
        <v>0</v>
      </c>
      <c r="AA8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7" s="2">
        <f>Table2[[#This Row],[ActualAwayScore]]-Table2[[#This Row],[PredictedAwayScore]]</f>
        <v>0</v>
      </c>
      <c r="AG847" s="2">
        <f>Table2[[#This Row],[ActualHomeScore]]-Table2[[#This Row],[PredictedHomeScore]]</f>
        <v>0</v>
      </c>
      <c r="AH847" s="2">
        <f t="shared" si="72"/>
        <v>0</v>
      </c>
      <c r="AI847" s="2">
        <f t="shared" si="73"/>
        <v>0</v>
      </c>
      <c r="AJ847" s="2"/>
      <c r="AK847" s="3"/>
      <c r="AL847" s="2">
        <f>IF(Table2[[#This Row],[GameIsOver]]=0,0,IF(Table2[[#This Row],[ActualWinner]]=Table2[[#This Row],[AwayTeam]], 1, 0))</f>
        <v>0</v>
      </c>
      <c r="AM847" s="2">
        <f>IF(Table2[[#This Row],[GameIsOver]]=0,0,IF(Table2[[#This Row],[ActualWinner]]=Table2[[#This Row],[HomeTeam]], 1, 0))</f>
        <v>0</v>
      </c>
      <c r="AN8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7" s="2" t="str">
        <f>INDEX(Sheet5!$B$2:$AG$33, MATCH(Table2[[#This Row],[AwayTeam]],Sheet5!$A$2:$A$33, 0), MATCH(Table2[[#This Row],[HomeTeam]],Sheet5!$A$2:$A$33, 0))</f>
        <v>0-0-0</v>
      </c>
      <c r="AP847" s="2" t="str">
        <f>INDEX(Sheet5!$B$2:$AG$33, MATCH(Table2[[#This Row],[HomeTeam]],Sheet5!$A$2:$A$33, 0), MATCH(Table2[[#This Row],[AwayTeam]],Sheet5!$A$2:$A$33, 0))</f>
        <v>0-0-0</v>
      </c>
      <c r="AQ847" s="2">
        <f>IF(Table2[[#This Row],[GameHasShutOut]], 1, 0)</f>
        <v>0</v>
      </c>
      <c r="AR847" s="2">
        <f>IF(Table2[[#This Row],[ActualAwayScore]] + Table2[[#This Row],[ActualHomeScore]] &gt;= 10, 1, 0)</f>
        <v>0</v>
      </c>
      <c r="AS847" s="2">
        <f>IF(ABS(Table2[[#This Row],[ActualAwayScore]]-Table2[[#This Row],[ActualHomeScore]])&gt;=5, 1, 0)</f>
        <v>0</v>
      </c>
      <c r="AT847" s="2">
        <f>IF(Table2[[#This Row],[ActualAwayScore]] + Table2[[#This Row],[ActualHomeScore]] &lt;= 3, 1, 0)</f>
        <v>1</v>
      </c>
      <c r="AU847" s="2"/>
      <c r="AV847" s="2"/>
    </row>
    <row r="848" spans="1:48" x14ac:dyDescent="0.25">
      <c r="A848" s="3"/>
      <c r="B848" s="3">
        <v>46052</v>
      </c>
      <c r="C848" s="5">
        <v>2025020846</v>
      </c>
      <c r="D848" s="2" t="s">
        <v>43</v>
      </c>
      <c r="E848" s="2" t="s">
        <v>30</v>
      </c>
      <c r="F848" s="2"/>
      <c r="G848" s="2"/>
      <c r="H848" s="2" t="str">
        <f t="shared" si="69"/>
        <v>_</v>
      </c>
      <c r="I848" s="2"/>
      <c r="J848" s="2"/>
      <c r="K848" s="2"/>
      <c r="L848" s="2" t="str">
        <f t="shared" si="70"/>
        <v>_</v>
      </c>
      <c r="M848" s="2"/>
      <c r="N848" s="2">
        <f>IF(ISBLANK(Table2[[#This Row],[ActualResult]]), 0, 1)</f>
        <v>0</v>
      </c>
      <c r="O848" s="2" t="str">
        <f>IF(ISBLANK(Table2[[#This Row],[ActualResult]]), "_", IF(Table2[[#This Row],[ActualWinner]]=Table2[[#This Row],[PredictedWinner]], "Y", "N"))</f>
        <v>_</v>
      </c>
      <c r="P8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8" s="2"/>
      <c r="S848" s="2" t="str">
        <f t="shared" si="71"/>
        <v>_</v>
      </c>
      <c r="T8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8" s="2">
        <f>IF(Table2[[#This Row],[InterConf]]=1,IF(Table2[[#This Row],[InterDiv]]=0, 1, 0), 0)</f>
        <v>1</v>
      </c>
      <c r="W8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8" s="2"/>
      <c r="Y848" s="2"/>
      <c r="Z848" s="145">
        <f>IF(AND(Table2[[#This Row],[GameIsOver]]=1,Table2[[#This Row],[ActualHomeScore]]*Table2[[#This Row],[ActualAwayScore]]=0), 1,0)</f>
        <v>0</v>
      </c>
      <c r="AA8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8" s="2">
        <f>Table2[[#This Row],[ActualAwayScore]]-Table2[[#This Row],[PredictedAwayScore]]</f>
        <v>0</v>
      </c>
      <c r="AG848" s="2">
        <f>Table2[[#This Row],[ActualHomeScore]]-Table2[[#This Row],[PredictedHomeScore]]</f>
        <v>0</v>
      </c>
      <c r="AH848" s="2">
        <f t="shared" si="72"/>
        <v>0</v>
      </c>
      <c r="AI848" s="2">
        <f t="shared" si="73"/>
        <v>0</v>
      </c>
      <c r="AJ848" s="2"/>
      <c r="AK848" s="3"/>
      <c r="AL848" s="2">
        <f>IF(Table2[[#This Row],[GameIsOver]]=0,0,IF(Table2[[#This Row],[ActualWinner]]=Table2[[#This Row],[AwayTeam]], 1, 0))</f>
        <v>0</v>
      </c>
      <c r="AM848" s="2">
        <f>IF(Table2[[#This Row],[GameIsOver]]=0,0,IF(Table2[[#This Row],[ActualWinner]]=Table2[[#This Row],[HomeTeam]], 1, 0))</f>
        <v>0</v>
      </c>
      <c r="AN8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8" s="2" t="str">
        <f>INDEX(Sheet5!$B$2:$AG$33, MATCH(Table2[[#This Row],[AwayTeam]],Sheet5!$A$2:$A$33, 0), MATCH(Table2[[#This Row],[HomeTeam]],Sheet5!$A$2:$A$33, 0))</f>
        <v>0-0-0</v>
      </c>
      <c r="AP848" s="2" t="str">
        <f>INDEX(Sheet5!$B$2:$AG$33, MATCH(Table2[[#This Row],[HomeTeam]],Sheet5!$A$2:$A$33, 0), MATCH(Table2[[#This Row],[AwayTeam]],Sheet5!$A$2:$A$33, 0))</f>
        <v>0-0-0</v>
      </c>
      <c r="AQ848" s="2">
        <f>IF(Table2[[#This Row],[GameHasShutOut]], 1, 0)</f>
        <v>0</v>
      </c>
      <c r="AR848" s="2">
        <f>IF(Table2[[#This Row],[ActualAwayScore]] + Table2[[#This Row],[ActualHomeScore]] &gt;= 10, 1, 0)</f>
        <v>0</v>
      </c>
      <c r="AS848" s="2">
        <f>IF(ABS(Table2[[#This Row],[ActualAwayScore]]-Table2[[#This Row],[ActualHomeScore]])&gt;=5, 1, 0)</f>
        <v>0</v>
      </c>
      <c r="AT848" s="2">
        <f>IF(Table2[[#This Row],[ActualAwayScore]] + Table2[[#This Row],[ActualHomeScore]] &lt;= 3, 1, 0)</f>
        <v>1</v>
      </c>
      <c r="AU848" s="2"/>
      <c r="AV848" s="2"/>
    </row>
    <row r="849" spans="1:48" x14ac:dyDescent="0.25">
      <c r="A849" s="3"/>
      <c r="B849" s="3">
        <v>46052</v>
      </c>
      <c r="C849" s="5">
        <v>2025020847</v>
      </c>
      <c r="D849" s="2" t="s">
        <v>21</v>
      </c>
      <c r="E849" s="2" t="s">
        <v>40</v>
      </c>
      <c r="F849" s="2"/>
      <c r="G849" s="2"/>
      <c r="H849" s="2" t="str">
        <f t="shared" si="69"/>
        <v>_</v>
      </c>
      <c r="I849" s="2"/>
      <c r="J849" s="2"/>
      <c r="K849" s="2"/>
      <c r="L849" s="2" t="str">
        <f t="shared" si="70"/>
        <v>_</v>
      </c>
      <c r="M849" s="2"/>
      <c r="N849" s="2">
        <f>IF(ISBLANK(Table2[[#This Row],[ActualResult]]), 0, 1)</f>
        <v>0</v>
      </c>
      <c r="O849" s="2" t="str">
        <f>IF(ISBLANK(Table2[[#This Row],[ActualResult]]), "_", IF(Table2[[#This Row],[ActualWinner]]=Table2[[#This Row],[PredictedWinner]], "Y", "N"))</f>
        <v>_</v>
      </c>
      <c r="P8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9" s="2"/>
      <c r="S849" s="2" t="str">
        <f t="shared" si="71"/>
        <v>_</v>
      </c>
      <c r="T8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9" s="2">
        <f>IF(Table2[[#This Row],[InterConf]]=1,IF(Table2[[#This Row],[InterDiv]]=0, 1, 0), 0)</f>
        <v>0</v>
      </c>
      <c r="W8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9" s="2"/>
      <c r="Y849" s="2"/>
      <c r="Z849" s="145">
        <f>IF(AND(Table2[[#This Row],[GameIsOver]]=1,Table2[[#This Row],[ActualHomeScore]]*Table2[[#This Row],[ActualAwayScore]]=0), 1,0)</f>
        <v>0</v>
      </c>
      <c r="AA8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9" s="2">
        <f>Table2[[#This Row],[ActualAwayScore]]-Table2[[#This Row],[PredictedAwayScore]]</f>
        <v>0</v>
      </c>
      <c r="AG849" s="2">
        <f>Table2[[#This Row],[ActualHomeScore]]-Table2[[#This Row],[PredictedHomeScore]]</f>
        <v>0</v>
      </c>
      <c r="AH849" s="2">
        <f t="shared" si="72"/>
        <v>0</v>
      </c>
      <c r="AI849" s="2">
        <f t="shared" si="73"/>
        <v>0</v>
      </c>
      <c r="AJ849" s="2"/>
      <c r="AK849" s="3"/>
      <c r="AL849" s="2">
        <f>IF(Table2[[#This Row],[GameIsOver]]=0,0,IF(Table2[[#This Row],[ActualWinner]]=Table2[[#This Row],[AwayTeam]], 1, 0))</f>
        <v>0</v>
      </c>
      <c r="AM849" s="2">
        <f>IF(Table2[[#This Row],[GameIsOver]]=0,0,IF(Table2[[#This Row],[ActualWinner]]=Table2[[#This Row],[HomeTeam]], 1, 0))</f>
        <v>0</v>
      </c>
      <c r="AN8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9" s="2" t="str">
        <f>INDEX(Sheet5!$B$2:$AG$33, MATCH(Table2[[#This Row],[AwayTeam]],Sheet5!$A$2:$A$33, 0), MATCH(Table2[[#This Row],[HomeTeam]],Sheet5!$A$2:$A$33, 0))</f>
        <v>0-0-0</v>
      </c>
      <c r="AP849" s="2" t="str">
        <f>INDEX(Sheet5!$B$2:$AG$33, MATCH(Table2[[#This Row],[HomeTeam]],Sheet5!$A$2:$A$33, 0), MATCH(Table2[[#This Row],[AwayTeam]],Sheet5!$A$2:$A$33, 0))</f>
        <v>0-0-0</v>
      </c>
      <c r="AQ849" s="2">
        <f>IF(Table2[[#This Row],[GameHasShutOut]], 1, 0)</f>
        <v>0</v>
      </c>
      <c r="AR849" s="2">
        <f>IF(Table2[[#This Row],[ActualAwayScore]] + Table2[[#This Row],[ActualHomeScore]] &gt;= 10, 1, 0)</f>
        <v>0</v>
      </c>
      <c r="AS849" s="2">
        <f>IF(ABS(Table2[[#This Row],[ActualAwayScore]]-Table2[[#This Row],[ActualHomeScore]])&gt;=5, 1, 0)</f>
        <v>0</v>
      </c>
      <c r="AT849" s="2">
        <f>IF(Table2[[#This Row],[ActualAwayScore]] + Table2[[#This Row],[ActualHomeScore]] &lt;= 3, 1, 0)</f>
        <v>1</v>
      </c>
      <c r="AU849" s="2"/>
      <c r="AV849" s="2"/>
    </row>
    <row r="850" spans="1:48" x14ac:dyDescent="0.25">
      <c r="A850" s="3"/>
      <c r="B850" s="3">
        <v>46052</v>
      </c>
      <c r="C850" s="5">
        <v>2025020848</v>
      </c>
      <c r="D850" s="2" t="s">
        <v>34</v>
      </c>
      <c r="E850" s="2" t="s">
        <v>31</v>
      </c>
      <c r="F850" s="2"/>
      <c r="G850" s="2"/>
      <c r="H850" s="2" t="str">
        <f t="shared" si="69"/>
        <v>_</v>
      </c>
      <c r="I850" s="2"/>
      <c r="J850" s="2"/>
      <c r="K850" s="2"/>
      <c r="L850" s="2" t="str">
        <f t="shared" si="70"/>
        <v>_</v>
      </c>
      <c r="M850" s="2"/>
      <c r="N850" s="2">
        <f>IF(ISBLANK(Table2[[#This Row],[ActualResult]]), 0, 1)</f>
        <v>0</v>
      </c>
      <c r="O850" s="2" t="str">
        <f>IF(ISBLANK(Table2[[#This Row],[ActualResult]]), "_", IF(Table2[[#This Row],[ActualWinner]]=Table2[[#This Row],[PredictedWinner]], "Y", "N"))</f>
        <v>_</v>
      </c>
      <c r="P8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0" s="2"/>
      <c r="S850" s="2" t="str">
        <f t="shared" si="71"/>
        <v>_</v>
      </c>
      <c r="T8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0" s="2">
        <f>IF(Table2[[#This Row],[InterConf]]=1,IF(Table2[[#This Row],[InterDiv]]=0, 1, 0), 0)</f>
        <v>0</v>
      </c>
      <c r="W8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0" s="2"/>
      <c r="Y850" s="2"/>
      <c r="Z850" s="145">
        <f>IF(AND(Table2[[#This Row],[GameIsOver]]=1,Table2[[#This Row],[ActualHomeScore]]*Table2[[#This Row],[ActualAwayScore]]=0), 1,0)</f>
        <v>0</v>
      </c>
      <c r="AA8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0" s="2">
        <f>Table2[[#This Row],[ActualAwayScore]]-Table2[[#This Row],[PredictedAwayScore]]</f>
        <v>0</v>
      </c>
      <c r="AG850" s="2">
        <f>Table2[[#This Row],[ActualHomeScore]]-Table2[[#This Row],[PredictedHomeScore]]</f>
        <v>0</v>
      </c>
      <c r="AH850" s="2">
        <f t="shared" si="72"/>
        <v>0</v>
      </c>
      <c r="AI850" s="2">
        <f t="shared" si="73"/>
        <v>0</v>
      </c>
      <c r="AJ850" s="2"/>
      <c r="AK850" s="3"/>
      <c r="AL850" s="2">
        <f>IF(Table2[[#This Row],[GameIsOver]]=0,0,IF(Table2[[#This Row],[ActualWinner]]=Table2[[#This Row],[AwayTeam]], 1, 0))</f>
        <v>0</v>
      </c>
      <c r="AM850" s="2">
        <f>IF(Table2[[#This Row],[GameIsOver]]=0,0,IF(Table2[[#This Row],[ActualWinner]]=Table2[[#This Row],[HomeTeam]], 1, 0))</f>
        <v>0</v>
      </c>
      <c r="AN8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0" s="2" t="str">
        <f>INDEX(Sheet5!$B$2:$AG$33, MATCH(Table2[[#This Row],[AwayTeam]],Sheet5!$A$2:$A$33, 0), MATCH(Table2[[#This Row],[HomeTeam]],Sheet5!$A$2:$A$33, 0))</f>
        <v>0-0-0</v>
      </c>
      <c r="AP850" s="2" t="str">
        <f>INDEX(Sheet5!$B$2:$AG$33, MATCH(Table2[[#This Row],[HomeTeam]],Sheet5!$A$2:$A$33, 0), MATCH(Table2[[#This Row],[AwayTeam]],Sheet5!$A$2:$A$33, 0))</f>
        <v>0-0-0</v>
      </c>
      <c r="AQ850" s="2">
        <f>IF(Table2[[#This Row],[GameHasShutOut]], 1, 0)</f>
        <v>0</v>
      </c>
      <c r="AR850" s="2">
        <f>IF(Table2[[#This Row],[ActualAwayScore]] + Table2[[#This Row],[ActualHomeScore]] &gt;= 10, 1, 0)</f>
        <v>0</v>
      </c>
      <c r="AS850" s="2">
        <f>IF(ABS(Table2[[#This Row],[ActualAwayScore]]-Table2[[#This Row],[ActualHomeScore]])&gt;=5, 1, 0)</f>
        <v>0</v>
      </c>
      <c r="AT850" s="2">
        <f>IF(Table2[[#This Row],[ActualAwayScore]] + Table2[[#This Row],[ActualHomeScore]] &lt;= 3, 1, 0)</f>
        <v>1</v>
      </c>
      <c r="AU850" s="2"/>
      <c r="AV850" s="2"/>
    </row>
    <row r="851" spans="1:48" x14ac:dyDescent="0.25">
      <c r="A851" s="3"/>
      <c r="B851" s="3">
        <v>46052</v>
      </c>
      <c r="C851" s="5">
        <v>2025020849</v>
      </c>
      <c r="D851" s="2" t="s">
        <v>32</v>
      </c>
      <c r="E851" s="2" t="s">
        <v>19</v>
      </c>
      <c r="F851" s="2"/>
      <c r="G851" s="2"/>
      <c r="H851" s="2" t="str">
        <f t="shared" si="69"/>
        <v>_</v>
      </c>
      <c r="I851" s="2"/>
      <c r="J851" s="2"/>
      <c r="K851" s="2"/>
      <c r="L851" s="2" t="str">
        <f t="shared" si="70"/>
        <v>_</v>
      </c>
      <c r="M851" s="2"/>
      <c r="N851" s="2">
        <f>IF(ISBLANK(Table2[[#This Row],[ActualResult]]), 0, 1)</f>
        <v>0</v>
      </c>
      <c r="O851" s="2" t="str">
        <f>IF(ISBLANK(Table2[[#This Row],[ActualResult]]), "_", IF(Table2[[#This Row],[ActualWinner]]=Table2[[#This Row],[PredictedWinner]], "Y", "N"))</f>
        <v>_</v>
      </c>
      <c r="P8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1" s="2"/>
      <c r="S851" s="2" t="str">
        <f t="shared" si="71"/>
        <v>_</v>
      </c>
      <c r="T8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1" s="2">
        <f>IF(Table2[[#This Row],[InterConf]]=1,IF(Table2[[#This Row],[InterDiv]]=0, 1, 0), 0)</f>
        <v>0</v>
      </c>
      <c r="W8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1" s="2"/>
      <c r="Y851" s="2"/>
      <c r="Z851" s="145">
        <f>IF(AND(Table2[[#This Row],[GameIsOver]]=1,Table2[[#This Row],[ActualHomeScore]]*Table2[[#This Row],[ActualAwayScore]]=0), 1,0)</f>
        <v>0</v>
      </c>
      <c r="AA8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1" s="2">
        <f>Table2[[#This Row],[ActualAwayScore]]-Table2[[#This Row],[PredictedAwayScore]]</f>
        <v>0</v>
      </c>
      <c r="AG851" s="2">
        <f>Table2[[#This Row],[ActualHomeScore]]-Table2[[#This Row],[PredictedHomeScore]]</f>
        <v>0</v>
      </c>
      <c r="AH851" s="2">
        <f t="shared" si="72"/>
        <v>0</v>
      </c>
      <c r="AI851" s="2">
        <f t="shared" si="73"/>
        <v>0</v>
      </c>
      <c r="AJ851" s="2"/>
      <c r="AK851" s="3"/>
      <c r="AL851" s="2">
        <f>IF(Table2[[#This Row],[GameIsOver]]=0,0,IF(Table2[[#This Row],[ActualWinner]]=Table2[[#This Row],[AwayTeam]], 1, 0))</f>
        <v>0</v>
      </c>
      <c r="AM851" s="2">
        <f>IF(Table2[[#This Row],[GameIsOver]]=0,0,IF(Table2[[#This Row],[ActualWinner]]=Table2[[#This Row],[HomeTeam]], 1, 0))</f>
        <v>0</v>
      </c>
      <c r="AN8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1" s="2" t="str">
        <f>INDEX(Sheet5!$B$2:$AG$33, MATCH(Table2[[#This Row],[AwayTeam]],Sheet5!$A$2:$A$33, 0), MATCH(Table2[[#This Row],[HomeTeam]],Sheet5!$A$2:$A$33, 0))</f>
        <v>0-0-0</v>
      </c>
      <c r="AP851" s="2" t="str">
        <f>INDEX(Sheet5!$B$2:$AG$33, MATCH(Table2[[#This Row],[HomeTeam]],Sheet5!$A$2:$A$33, 0), MATCH(Table2[[#This Row],[AwayTeam]],Sheet5!$A$2:$A$33, 0))</f>
        <v>0-0-0</v>
      </c>
      <c r="AQ851" s="2">
        <f>IF(Table2[[#This Row],[GameHasShutOut]], 1, 0)</f>
        <v>0</v>
      </c>
      <c r="AR851" s="2">
        <f>IF(Table2[[#This Row],[ActualAwayScore]] + Table2[[#This Row],[ActualHomeScore]] &gt;= 10, 1, 0)</f>
        <v>0</v>
      </c>
      <c r="AS851" s="2">
        <f>IF(ABS(Table2[[#This Row],[ActualAwayScore]]-Table2[[#This Row],[ActualHomeScore]])&gt;=5, 1, 0)</f>
        <v>0</v>
      </c>
      <c r="AT851" s="2">
        <f>IF(Table2[[#This Row],[ActualAwayScore]] + Table2[[#This Row],[ActualHomeScore]] &lt;= 3, 1, 0)</f>
        <v>1</v>
      </c>
      <c r="AU851" s="2"/>
      <c r="AV851" s="2"/>
    </row>
    <row r="852" spans="1:48" x14ac:dyDescent="0.25">
      <c r="A852" s="3"/>
      <c r="B852" s="3">
        <v>46052</v>
      </c>
      <c r="C852" s="5">
        <v>2025020850</v>
      </c>
      <c r="D852" s="2" t="s">
        <v>16</v>
      </c>
      <c r="E852" s="2" t="s">
        <v>20</v>
      </c>
      <c r="F852" s="2"/>
      <c r="G852" s="2"/>
      <c r="H852" s="2" t="str">
        <f t="shared" si="69"/>
        <v>_</v>
      </c>
      <c r="I852" s="2"/>
      <c r="J852" s="2"/>
      <c r="K852" s="2"/>
      <c r="L852" s="2" t="str">
        <f t="shared" si="70"/>
        <v>_</v>
      </c>
      <c r="M852" s="2"/>
      <c r="N852" s="2">
        <f>IF(ISBLANK(Table2[[#This Row],[ActualResult]]), 0, 1)</f>
        <v>0</v>
      </c>
      <c r="O852" s="2" t="str">
        <f>IF(ISBLANK(Table2[[#This Row],[ActualResult]]), "_", IF(Table2[[#This Row],[ActualWinner]]=Table2[[#This Row],[PredictedWinner]], "Y", "N"))</f>
        <v>_</v>
      </c>
      <c r="P8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2" s="2"/>
      <c r="S852" s="2" t="str">
        <f t="shared" si="71"/>
        <v>_</v>
      </c>
      <c r="T8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2" s="2">
        <f>IF(Table2[[#This Row],[InterConf]]=1,IF(Table2[[#This Row],[InterDiv]]=0, 1, 0), 0)</f>
        <v>0</v>
      </c>
      <c r="W8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2" s="2"/>
      <c r="Y852" s="2"/>
      <c r="Z852" s="145">
        <f>IF(AND(Table2[[#This Row],[GameIsOver]]=1,Table2[[#This Row],[ActualHomeScore]]*Table2[[#This Row],[ActualAwayScore]]=0), 1,0)</f>
        <v>0</v>
      </c>
      <c r="AA8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2" s="2">
        <f>Table2[[#This Row],[ActualAwayScore]]-Table2[[#This Row],[PredictedAwayScore]]</f>
        <v>0</v>
      </c>
      <c r="AG852" s="2">
        <f>Table2[[#This Row],[ActualHomeScore]]-Table2[[#This Row],[PredictedHomeScore]]</f>
        <v>0</v>
      </c>
      <c r="AH852" s="2">
        <f t="shared" si="72"/>
        <v>0</v>
      </c>
      <c r="AI852" s="2">
        <f t="shared" si="73"/>
        <v>0</v>
      </c>
      <c r="AJ852" s="2"/>
      <c r="AK852" s="3"/>
      <c r="AL852" s="2">
        <f>IF(Table2[[#This Row],[GameIsOver]]=0,0,IF(Table2[[#This Row],[ActualWinner]]=Table2[[#This Row],[AwayTeam]], 1, 0))</f>
        <v>0</v>
      </c>
      <c r="AM852" s="2">
        <f>IF(Table2[[#This Row],[GameIsOver]]=0,0,IF(Table2[[#This Row],[ActualWinner]]=Table2[[#This Row],[HomeTeam]], 1, 0))</f>
        <v>0</v>
      </c>
      <c r="AN8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2" s="2" t="str">
        <f>INDEX(Sheet5!$B$2:$AG$33, MATCH(Table2[[#This Row],[AwayTeam]],Sheet5!$A$2:$A$33, 0), MATCH(Table2[[#This Row],[HomeTeam]],Sheet5!$A$2:$A$33, 0))</f>
        <v>0-0-0</v>
      </c>
      <c r="AP852" s="2" t="str">
        <f>INDEX(Sheet5!$B$2:$AG$33, MATCH(Table2[[#This Row],[HomeTeam]],Sheet5!$A$2:$A$33, 0), MATCH(Table2[[#This Row],[AwayTeam]],Sheet5!$A$2:$A$33, 0))</f>
        <v>0-0-0</v>
      </c>
      <c r="AQ852" s="2">
        <f>IF(Table2[[#This Row],[GameHasShutOut]], 1, 0)</f>
        <v>0</v>
      </c>
      <c r="AR852" s="2">
        <f>IF(Table2[[#This Row],[ActualAwayScore]] + Table2[[#This Row],[ActualHomeScore]] &gt;= 10, 1, 0)</f>
        <v>0</v>
      </c>
      <c r="AS852" s="2">
        <f>IF(ABS(Table2[[#This Row],[ActualAwayScore]]-Table2[[#This Row],[ActualHomeScore]])&gt;=5, 1, 0)</f>
        <v>0</v>
      </c>
      <c r="AT852" s="2">
        <f>IF(Table2[[#This Row],[ActualAwayScore]] + Table2[[#This Row],[ActualHomeScore]] &lt;= 3, 1, 0)</f>
        <v>1</v>
      </c>
      <c r="AU852" s="2"/>
      <c r="AV852" s="2"/>
    </row>
    <row r="853" spans="1:48" x14ac:dyDescent="0.25">
      <c r="A853" s="3"/>
      <c r="B853" s="3">
        <v>46052</v>
      </c>
      <c r="C853" s="5">
        <v>2025020851</v>
      </c>
      <c r="D853" s="2" t="s">
        <v>14</v>
      </c>
      <c r="E853" s="2" t="s">
        <v>41</v>
      </c>
      <c r="F853" s="2"/>
      <c r="G853" s="2"/>
      <c r="H853" s="2" t="str">
        <f t="shared" si="69"/>
        <v>_</v>
      </c>
      <c r="I853" s="2"/>
      <c r="J853" s="2"/>
      <c r="K853" s="2"/>
      <c r="L853" s="2" t="str">
        <f t="shared" si="70"/>
        <v>_</v>
      </c>
      <c r="M853" s="2"/>
      <c r="N853" s="2">
        <f>IF(ISBLANK(Table2[[#This Row],[ActualResult]]), 0, 1)</f>
        <v>0</v>
      </c>
      <c r="O853" s="2" t="str">
        <f>IF(ISBLANK(Table2[[#This Row],[ActualResult]]), "_", IF(Table2[[#This Row],[ActualWinner]]=Table2[[#This Row],[PredictedWinner]], "Y", "N"))</f>
        <v>_</v>
      </c>
      <c r="P8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3" s="2"/>
      <c r="S853" s="2" t="str">
        <f t="shared" si="71"/>
        <v>_</v>
      </c>
      <c r="T8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3" s="2">
        <f>IF(Table2[[#This Row],[InterConf]]=1,IF(Table2[[#This Row],[InterDiv]]=0, 1, 0), 0)</f>
        <v>0</v>
      </c>
      <c r="W8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3" s="2"/>
      <c r="Y853" s="2"/>
      <c r="Z853" s="145">
        <f>IF(AND(Table2[[#This Row],[GameIsOver]]=1,Table2[[#This Row],[ActualHomeScore]]*Table2[[#This Row],[ActualAwayScore]]=0), 1,0)</f>
        <v>0</v>
      </c>
      <c r="AA8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3" s="2">
        <f>Table2[[#This Row],[ActualAwayScore]]-Table2[[#This Row],[PredictedAwayScore]]</f>
        <v>0</v>
      </c>
      <c r="AG853" s="2">
        <f>Table2[[#This Row],[ActualHomeScore]]-Table2[[#This Row],[PredictedHomeScore]]</f>
        <v>0</v>
      </c>
      <c r="AH853" s="2">
        <f t="shared" si="72"/>
        <v>0</v>
      </c>
      <c r="AI853" s="2">
        <f t="shared" si="73"/>
        <v>0</v>
      </c>
      <c r="AJ853" s="2"/>
      <c r="AK853" s="3"/>
      <c r="AL853" s="2">
        <f>IF(Table2[[#This Row],[GameIsOver]]=0,0,IF(Table2[[#This Row],[ActualWinner]]=Table2[[#This Row],[AwayTeam]], 1, 0))</f>
        <v>0</v>
      </c>
      <c r="AM853" s="2">
        <f>IF(Table2[[#This Row],[GameIsOver]]=0,0,IF(Table2[[#This Row],[ActualWinner]]=Table2[[#This Row],[HomeTeam]], 1, 0))</f>
        <v>0</v>
      </c>
      <c r="AN8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3" s="2" t="str">
        <f>INDEX(Sheet5!$B$2:$AG$33, MATCH(Table2[[#This Row],[AwayTeam]],Sheet5!$A$2:$A$33, 0), MATCH(Table2[[#This Row],[HomeTeam]],Sheet5!$A$2:$A$33, 0))</f>
        <v>0-0-0</v>
      </c>
      <c r="AP853" s="2" t="str">
        <f>INDEX(Sheet5!$B$2:$AG$33, MATCH(Table2[[#This Row],[HomeTeam]],Sheet5!$A$2:$A$33, 0), MATCH(Table2[[#This Row],[AwayTeam]],Sheet5!$A$2:$A$33, 0))</f>
        <v>0-0-0</v>
      </c>
      <c r="AQ853" s="2">
        <f>IF(Table2[[#This Row],[GameHasShutOut]], 1, 0)</f>
        <v>0</v>
      </c>
      <c r="AR853" s="2">
        <f>IF(Table2[[#This Row],[ActualAwayScore]] + Table2[[#This Row],[ActualHomeScore]] &gt;= 10, 1, 0)</f>
        <v>0</v>
      </c>
      <c r="AS853" s="2">
        <f>IF(ABS(Table2[[#This Row],[ActualAwayScore]]-Table2[[#This Row],[ActualHomeScore]])&gt;=5, 1, 0)</f>
        <v>0</v>
      </c>
      <c r="AT853" s="2">
        <f>IF(Table2[[#This Row],[ActualAwayScore]] + Table2[[#This Row],[ActualHomeScore]] &lt;= 3, 1, 0)</f>
        <v>1</v>
      </c>
      <c r="AU853" s="2"/>
      <c r="AV853" s="2"/>
    </row>
    <row r="854" spans="1:48" x14ac:dyDescent="0.25">
      <c r="A854" s="3"/>
      <c r="B854" s="3">
        <v>46052</v>
      </c>
      <c r="C854" s="5">
        <v>2025020852</v>
      </c>
      <c r="D854" s="2" t="s">
        <v>13</v>
      </c>
      <c r="E854" s="2" t="s">
        <v>12</v>
      </c>
      <c r="F854" s="2"/>
      <c r="G854" s="2"/>
      <c r="H854" s="2" t="str">
        <f t="shared" si="69"/>
        <v>_</v>
      </c>
      <c r="I854" s="2"/>
      <c r="J854" s="2"/>
      <c r="K854" s="2"/>
      <c r="L854" s="2" t="str">
        <f t="shared" si="70"/>
        <v>_</v>
      </c>
      <c r="M854" s="2"/>
      <c r="N854" s="2">
        <f>IF(ISBLANK(Table2[[#This Row],[ActualResult]]), 0, 1)</f>
        <v>0</v>
      </c>
      <c r="O854" s="2" t="str">
        <f>IF(ISBLANK(Table2[[#This Row],[ActualResult]]), "_", IF(Table2[[#This Row],[ActualWinner]]=Table2[[#This Row],[PredictedWinner]], "Y", "N"))</f>
        <v>_</v>
      </c>
      <c r="P8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4" s="2"/>
      <c r="S854" s="2" t="str">
        <f t="shared" si="71"/>
        <v>_</v>
      </c>
      <c r="T8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4" s="2">
        <f>IF(Table2[[#This Row],[InterConf]]=1,IF(Table2[[#This Row],[InterDiv]]=0, 1, 0), 0)</f>
        <v>0</v>
      </c>
      <c r="W8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4" s="2"/>
      <c r="Y854" s="2"/>
      <c r="Z854" s="145">
        <f>IF(AND(Table2[[#This Row],[GameIsOver]]=1,Table2[[#This Row],[ActualHomeScore]]*Table2[[#This Row],[ActualAwayScore]]=0), 1,0)</f>
        <v>0</v>
      </c>
      <c r="AA8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4" s="2">
        <f>Table2[[#This Row],[ActualAwayScore]]-Table2[[#This Row],[PredictedAwayScore]]</f>
        <v>0</v>
      </c>
      <c r="AG854" s="2">
        <f>Table2[[#This Row],[ActualHomeScore]]-Table2[[#This Row],[PredictedHomeScore]]</f>
        <v>0</v>
      </c>
      <c r="AH854" s="2">
        <f t="shared" si="72"/>
        <v>0</v>
      </c>
      <c r="AI854" s="2">
        <f t="shared" si="73"/>
        <v>0</v>
      </c>
      <c r="AJ854" s="2"/>
      <c r="AK854" s="3"/>
      <c r="AL854" s="2">
        <f>IF(Table2[[#This Row],[GameIsOver]]=0,0,IF(Table2[[#This Row],[ActualWinner]]=Table2[[#This Row],[AwayTeam]], 1, 0))</f>
        <v>0</v>
      </c>
      <c r="AM854" s="2">
        <f>IF(Table2[[#This Row],[GameIsOver]]=0,0,IF(Table2[[#This Row],[ActualWinner]]=Table2[[#This Row],[HomeTeam]], 1, 0))</f>
        <v>0</v>
      </c>
      <c r="AN8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4" s="2" t="str">
        <f>INDEX(Sheet5!$B$2:$AG$33, MATCH(Table2[[#This Row],[AwayTeam]],Sheet5!$A$2:$A$33, 0), MATCH(Table2[[#This Row],[HomeTeam]],Sheet5!$A$2:$A$33, 0))</f>
        <v>0-0-0</v>
      </c>
      <c r="AP854" s="2" t="str">
        <f>INDEX(Sheet5!$B$2:$AG$33, MATCH(Table2[[#This Row],[HomeTeam]],Sheet5!$A$2:$A$33, 0), MATCH(Table2[[#This Row],[AwayTeam]],Sheet5!$A$2:$A$33, 0))</f>
        <v>0-0-0</v>
      </c>
      <c r="AQ854" s="2">
        <f>IF(Table2[[#This Row],[GameHasShutOut]], 1, 0)</f>
        <v>0</v>
      </c>
      <c r="AR854" s="2">
        <f>IF(Table2[[#This Row],[ActualAwayScore]] + Table2[[#This Row],[ActualHomeScore]] &gt;= 10, 1, 0)</f>
        <v>0</v>
      </c>
      <c r="AS854" s="2">
        <f>IF(ABS(Table2[[#This Row],[ActualAwayScore]]-Table2[[#This Row],[ActualHomeScore]])&gt;=5, 1, 0)</f>
        <v>0</v>
      </c>
      <c r="AT854" s="2">
        <f>IF(Table2[[#This Row],[ActualAwayScore]] + Table2[[#This Row],[ActualHomeScore]] &lt;= 3, 1, 0)</f>
        <v>1</v>
      </c>
      <c r="AU854" s="2"/>
      <c r="AV854" s="2"/>
    </row>
    <row r="855" spans="1:48" x14ac:dyDescent="0.25">
      <c r="A855" s="3"/>
      <c r="B855" s="3">
        <v>46052</v>
      </c>
      <c r="C855" s="5">
        <v>2025020853</v>
      </c>
      <c r="D855" s="2" t="s">
        <v>23</v>
      </c>
      <c r="E855" s="2" t="s">
        <v>36</v>
      </c>
      <c r="F855" s="2"/>
      <c r="G855" s="2"/>
      <c r="H855" s="2" t="str">
        <f t="shared" si="69"/>
        <v>_</v>
      </c>
      <c r="I855" s="2"/>
      <c r="J855" s="2"/>
      <c r="K855" s="2"/>
      <c r="L855" s="2" t="str">
        <f t="shared" si="70"/>
        <v>_</v>
      </c>
      <c r="M855" s="2"/>
      <c r="N855" s="2">
        <f>IF(ISBLANK(Table2[[#This Row],[ActualResult]]), 0, 1)</f>
        <v>0</v>
      </c>
      <c r="O855" s="2" t="str">
        <f>IF(ISBLANK(Table2[[#This Row],[ActualResult]]), "_", IF(Table2[[#This Row],[ActualWinner]]=Table2[[#This Row],[PredictedWinner]], "Y", "N"))</f>
        <v>_</v>
      </c>
      <c r="P8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5" s="2"/>
      <c r="S855" s="2" t="str">
        <f t="shared" si="71"/>
        <v>_</v>
      </c>
      <c r="T8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5" s="2">
        <f>IF(Table2[[#This Row],[InterConf]]=1,IF(Table2[[#This Row],[InterDiv]]=0, 1, 0), 0)</f>
        <v>1</v>
      </c>
      <c r="W8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5" s="2"/>
      <c r="Y855" s="2"/>
      <c r="Z855" s="145">
        <f>IF(AND(Table2[[#This Row],[GameIsOver]]=1,Table2[[#This Row],[ActualHomeScore]]*Table2[[#This Row],[ActualAwayScore]]=0), 1,0)</f>
        <v>0</v>
      </c>
      <c r="AA8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5" s="2">
        <f>Table2[[#This Row],[ActualAwayScore]]-Table2[[#This Row],[PredictedAwayScore]]</f>
        <v>0</v>
      </c>
      <c r="AG855" s="2">
        <f>Table2[[#This Row],[ActualHomeScore]]-Table2[[#This Row],[PredictedHomeScore]]</f>
        <v>0</v>
      </c>
      <c r="AH855" s="2">
        <f t="shared" si="72"/>
        <v>0</v>
      </c>
      <c r="AI855" s="2">
        <f t="shared" si="73"/>
        <v>0</v>
      </c>
      <c r="AJ855" s="2"/>
      <c r="AK855" s="3"/>
      <c r="AL855" s="2">
        <f>IF(Table2[[#This Row],[GameIsOver]]=0,0,IF(Table2[[#This Row],[ActualWinner]]=Table2[[#This Row],[AwayTeam]], 1, 0))</f>
        <v>0</v>
      </c>
      <c r="AM855" s="2">
        <f>IF(Table2[[#This Row],[GameIsOver]]=0,0,IF(Table2[[#This Row],[ActualWinner]]=Table2[[#This Row],[HomeTeam]], 1, 0))</f>
        <v>0</v>
      </c>
      <c r="AN8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5" s="2" t="str">
        <f>INDEX(Sheet5!$B$2:$AG$33, MATCH(Table2[[#This Row],[AwayTeam]],Sheet5!$A$2:$A$33, 0), MATCH(Table2[[#This Row],[HomeTeam]],Sheet5!$A$2:$A$33, 0))</f>
        <v>0-0-0</v>
      </c>
      <c r="AP855" s="2" t="str">
        <f>INDEX(Sheet5!$B$2:$AG$33, MATCH(Table2[[#This Row],[HomeTeam]],Sheet5!$A$2:$A$33, 0), MATCH(Table2[[#This Row],[AwayTeam]],Sheet5!$A$2:$A$33, 0))</f>
        <v>0-0-0</v>
      </c>
      <c r="AQ855" s="2">
        <f>IF(Table2[[#This Row],[GameHasShutOut]], 1, 0)</f>
        <v>0</v>
      </c>
      <c r="AR855" s="2">
        <f>IF(Table2[[#This Row],[ActualAwayScore]] + Table2[[#This Row],[ActualHomeScore]] &gt;= 10, 1, 0)</f>
        <v>0</v>
      </c>
      <c r="AS855" s="2">
        <f>IF(ABS(Table2[[#This Row],[ActualAwayScore]]-Table2[[#This Row],[ActualHomeScore]])&gt;=5, 1, 0)</f>
        <v>0</v>
      </c>
      <c r="AT855" s="2">
        <f>IF(Table2[[#This Row],[ActualAwayScore]] + Table2[[#This Row],[ActualHomeScore]] &lt;= 3, 1, 0)</f>
        <v>1</v>
      </c>
      <c r="AU855" s="2"/>
      <c r="AV855" s="2"/>
    </row>
    <row r="856" spans="1:48" x14ac:dyDescent="0.25">
      <c r="A856" s="3"/>
      <c r="B856" s="3">
        <v>46052</v>
      </c>
      <c r="C856" s="5">
        <v>2025020854</v>
      </c>
      <c r="D856" s="2" t="s">
        <v>37</v>
      </c>
      <c r="E856" s="2" t="s">
        <v>22</v>
      </c>
      <c r="F856" s="2"/>
      <c r="G856" s="2"/>
      <c r="H856" s="2" t="str">
        <f t="shared" si="69"/>
        <v>_</v>
      </c>
      <c r="I856" s="2"/>
      <c r="J856" s="2"/>
      <c r="K856" s="2"/>
      <c r="L856" s="2" t="str">
        <f t="shared" si="70"/>
        <v>_</v>
      </c>
      <c r="M856" s="2"/>
      <c r="N856" s="2">
        <f>IF(ISBLANK(Table2[[#This Row],[ActualResult]]), 0, 1)</f>
        <v>0</v>
      </c>
      <c r="O856" s="2" t="str">
        <f>IF(ISBLANK(Table2[[#This Row],[ActualResult]]), "_", IF(Table2[[#This Row],[ActualWinner]]=Table2[[#This Row],[PredictedWinner]], "Y", "N"))</f>
        <v>_</v>
      </c>
      <c r="P8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6" s="2"/>
      <c r="S856" s="2" t="str">
        <f t="shared" si="71"/>
        <v>_</v>
      </c>
      <c r="T8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6" s="2">
        <f>IF(Table2[[#This Row],[InterConf]]=1,IF(Table2[[#This Row],[InterDiv]]=0, 1, 0), 0)</f>
        <v>0</v>
      </c>
      <c r="W8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6" s="2"/>
      <c r="Y856" s="2"/>
      <c r="Z856" s="145">
        <f>IF(AND(Table2[[#This Row],[GameIsOver]]=1,Table2[[#This Row],[ActualHomeScore]]*Table2[[#This Row],[ActualAwayScore]]=0), 1,0)</f>
        <v>0</v>
      </c>
      <c r="AA8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6" s="2">
        <f>Table2[[#This Row],[ActualAwayScore]]-Table2[[#This Row],[PredictedAwayScore]]</f>
        <v>0</v>
      </c>
      <c r="AG856" s="2">
        <f>Table2[[#This Row],[ActualHomeScore]]-Table2[[#This Row],[PredictedHomeScore]]</f>
        <v>0</v>
      </c>
      <c r="AH856" s="2">
        <f t="shared" si="72"/>
        <v>0</v>
      </c>
      <c r="AI856" s="2">
        <f t="shared" si="73"/>
        <v>0</v>
      </c>
      <c r="AJ856" s="2"/>
      <c r="AK856" s="3"/>
      <c r="AL856" s="2">
        <f>IF(Table2[[#This Row],[GameIsOver]]=0,0,IF(Table2[[#This Row],[ActualWinner]]=Table2[[#This Row],[AwayTeam]], 1, 0))</f>
        <v>0</v>
      </c>
      <c r="AM856" s="2">
        <f>IF(Table2[[#This Row],[GameIsOver]]=0,0,IF(Table2[[#This Row],[ActualWinner]]=Table2[[#This Row],[HomeTeam]], 1, 0))</f>
        <v>0</v>
      </c>
      <c r="AN8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6" s="2" t="str">
        <f>INDEX(Sheet5!$B$2:$AG$33, MATCH(Table2[[#This Row],[AwayTeam]],Sheet5!$A$2:$A$33, 0), MATCH(Table2[[#This Row],[HomeTeam]],Sheet5!$A$2:$A$33, 0))</f>
        <v>0-0-0</v>
      </c>
      <c r="AP856" s="2" t="str">
        <f>INDEX(Sheet5!$B$2:$AG$33, MATCH(Table2[[#This Row],[HomeTeam]],Sheet5!$A$2:$A$33, 0), MATCH(Table2[[#This Row],[AwayTeam]],Sheet5!$A$2:$A$33, 0))</f>
        <v>0-0-0</v>
      </c>
      <c r="AQ856" s="2">
        <f>IF(Table2[[#This Row],[GameHasShutOut]], 1, 0)</f>
        <v>0</v>
      </c>
      <c r="AR856" s="2">
        <f>IF(Table2[[#This Row],[ActualAwayScore]] + Table2[[#This Row],[ActualHomeScore]] &gt;= 10, 1, 0)</f>
        <v>0</v>
      </c>
      <c r="AS856" s="2">
        <f>IF(ABS(Table2[[#This Row],[ActualAwayScore]]-Table2[[#This Row],[ActualHomeScore]])&gt;=5, 1, 0)</f>
        <v>0</v>
      </c>
      <c r="AT856" s="2">
        <f>IF(Table2[[#This Row],[ActualAwayScore]] + Table2[[#This Row],[ActualHomeScore]] &lt;= 3, 1, 0)</f>
        <v>1</v>
      </c>
      <c r="AU856" s="2"/>
      <c r="AV856" s="2"/>
    </row>
    <row r="857" spans="1:48" x14ac:dyDescent="0.25">
      <c r="A857" s="3"/>
      <c r="B857" s="3">
        <v>46052</v>
      </c>
      <c r="C857" s="5">
        <v>2025020855</v>
      </c>
      <c r="D857" s="2" t="s">
        <v>44</v>
      </c>
      <c r="E857" s="2" t="s">
        <v>24</v>
      </c>
      <c r="F857" s="2"/>
      <c r="G857" s="2"/>
      <c r="H857" s="2" t="str">
        <f t="shared" si="69"/>
        <v>_</v>
      </c>
      <c r="I857" s="2"/>
      <c r="J857" s="2"/>
      <c r="K857" s="2"/>
      <c r="L857" s="2" t="str">
        <f t="shared" si="70"/>
        <v>_</v>
      </c>
      <c r="M857" s="2"/>
      <c r="N857" s="2">
        <f>IF(ISBLANK(Table2[[#This Row],[ActualResult]]), 0, 1)</f>
        <v>0</v>
      </c>
      <c r="O857" s="2" t="str">
        <f>IF(ISBLANK(Table2[[#This Row],[ActualResult]]), "_", IF(Table2[[#This Row],[ActualWinner]]=Table2[[#This Row],[PredictedWinner]], "Y", "N"))</f>
        <v>_</v>
      </c>
      <c r="P8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7" s="2"/>
      <c r="S857" s="2" t="str">
        <f t="shared" si="71"/>
        <v>_</v>
      </c>
      <c r="T8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7" s="2">
        <f>IF(Table2[[#This Row],[InterConf]]=1,IF(Table2[[#This Row],[InterDiv]]=0, 1, 0), 0)</f>
        <v>0</v>
      </c>
      <c r="W8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7" s="2"/>
      <c r="Y857" s="2"/>
      <c r="Z857" s="145">
        <f>IF(AND(Table2[[#This Row],[GameIsOver]]=1,Table2[[#This Row],[ActualHomeScore]]*Table2[[#This Row],[ActualAwayScore]]=0), 1,0)</f>
        <v>0</v>
      </c>
      <c r="AA8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7" s="2">
        <f>Table2[[#This Row],[ActualAwayScore]]-Table2[[#This Row],[PredictedAwayScore]]</f>
        <v>0</v>
      </c>
      <c r="AG857" s="2">
        <f>Table2[[#This Row],[ActualHomeScore]]-Table2[[#This Row],[PredictedHomeScore]]</f>
        <v>0</v>
      </c>
      <c r="AH857" s="2">
        <f t="shared" si="72"/>
        <v>0</v>
      </c>
      <c r="AI857" s="2">
        <f t="shared" si="73"/>
        <v>0</v>
      </c>
      <c r="AJ857" s="2"/>
      <c r="AK857" s="3"/>
      <c r="AL857" s="2">
        <f>IF(Table2[[#This Row],[GameIsOver]]=0,0,IF(Table2[[#This Row],[ActualWinner]]=Table2[[#This Row],[AwayTeam]], 1, 0))</f>
        <v>0</v>
      </c>
      <c r="AM857" s="2">
        <f>IF(Table2[[#This Row],[GameIsOver]]=0,0,IF(Table2[[#This Row],[ActualWinner]]=Table2[[#This Row],[HomeTeam]], 1, 0))</f>
        <v>0</v>
      </c>
      <c r="AN8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7" s="2" t="str">
        <f>INDEX(Sheet5!$B$2:$AG$33, MATCH(Table2[[#This Row],[AwayTeam]],Sheet5!$A$2:$A$33, 0), MATCH(Table2[[#This Row],[HomeTeam]],Sheet5!$A$2:$A$33, 0))</f>
        <v>0-0-0</v>
      </c>
      <c r="AP857" s="2" t="str">
        <f>INDEX(Sheet5!$B$2:$AG$33, MATCH(Table2[[#This Row],[HomeTeam]],Sheet5!$A$2:$A$33, 0), MATCH(Table2[[#This Row],[AwayTeam]],Sheet5!$A$2:$A$33, 0))</f>
        <v>0-0-0</v>
      </c>
      <c r="AQ857" s="2">
        <f>IF(Table2[[#This Row],[GameHasShutOut]], 1, 0)</f>
        <v>0</v>
      </c>
      <c r="AR857" s="2">
        <f>IF(Table2[[#This Row],[ActualAwayScore]] + Table2[[#This Row],[ActualHomeScore]] &gt;= 10, 1, 0)</f>
        <v>0</v>
      </c>
      <c r="AS857" s="2">
        <f>IF(ABS(Table2[[#This Row],[ActualAwayScore]]-Table2[[#This Row],[ActualHomeScore]])&gt;=5, 1, 0)</f>
        <v>0</v>
      </c>
      <c r="AT857" s="2">
        <f>IF(Table2[[#This Row],[ActualAwayScore]] + Table2[[#This Row],[ActualHomeScore]] &lt;= 3, 1, 0)</f>
        <v>1</v>
      </c>
      <c r="AU857" s="2"/>
      <c r="AV857" s="2"/>
    </row>
    <row r="858" spans="1:48" x14ac:dyDescent="0.25">
      <c r="A858" s="3"/>
      <c r="B858" s="3">
        <v>46052</v>
      </c>
      <c r="C858" s="5">
        <v>2025020856</v>
      </c>
      <c r="D858" s="2" t="s">
        <v>33</v>
      </c>
      <c r="E858" s="2" t="s">
        <v>26</v>
      </c>
      <c r="F858" s="2"/>
      <c r="G858" s="2"/>
      <c r="H858" s="2" t="str">
        <f t="shared" si="69"/>
        <v>_</v>
      </c>
      <c r="I858" s="2"/>
      <c r="J858" s="2"/>
      <c r="K858" s="2"/>
      <c r="L858" s="2" t="str">
        <f t="shared" si="70"/>
        <v>_</v>
      </c>
      <c r="M858" s="2"/>
      <c r="N858" s="2">
        <f>IF(ISBLANK(Table2[[#This Row],[ActualResult]]), 0, 1)</f>
        <v>0</v>
      </c>
      <c r="O858" s="2" t="str">
        <f>IF(ISBLANK(Table2[[#This Row],[ActualResult]]), "_", IF(Table2[[#This Row],[ActualWinner]]=Table2[[#This Row],[PredictedWinner]], "Y", "N"))</f>
        <v>_</v>
      </c>
      <c r="P8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8" s="2"/>
      <c r="S858" s="2" t="str">
        <f t="shared" si="71"/>
        <v>_</v>
      </c>
      <c r="T8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8" s="2">
        <f>IF(Table2[[#This Row],[InterConf]]=1,IF(Table2[[#This Row],[InterDiv]]=0, 1, 0), 0)</f>
        <v>1</v>
      </c>
      <c r="W8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8" s="2"/>
      <c r="Y858" s="2"/>
      <c r="Z858" s="145">
        <f>IF(AND(Table2[[#This Row],[GameIsOver]]=1,Table2[[#This Row],[ActualHomeScore]]*Table2[[#This Row],[ActualAwayScore]]=0), 1,0)</f>
        <v>0</v>
      </c>
      <c r="AA8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8" s="2">
        <f>Table2[[#This Row],[ActualAwayScore]]-Table2[[#This Row],[PredictedAwayScore]]</f>
        <v>0</v>
      </c>
      <c r="AG858" s="2">
        <f>Table2[[#This Row],[ActualHomeScore]]-Table2[[#This Row],[PredictedHomeScore]]</f>
        <v>0</v>
      </c>
      <c r="AH858" s="2">
        <f t="shared" si="72"/>
        <v>0</v>
      </c>
      <c r="AI858" s="2">
        <f t="shared" si="73"/>
        <v>0</v>
      </c>
      <c r="AJ858" s="2"/>
      <c r="AK858" s="3"/>
      <c r="AL858" s="2">
        <f>IF(Table2[[#This Row],[GameIsOver]]=0,0,IF(Table2[[#This Row],[ActualWinner]]=Table2[[#This Row],[AwayTeam]], 1, 0))</f>
        <v>0</v>
      </c>
      <c r="AM858" s="2">
        <f>IF(Table2[[#This Row],[GameIsOver]]=0,0,IF(Table2[[#This Row],[ActualWinner]]=Table2[[#This Row],[HomeTeam]], 1, 0))</f>
        <v>0</v>
      </c>
      <c r="AN8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8" s="2" t="str">
        <f>INDEX(Sheet5!$B$2:$AG$33, MATCH(Table2[[#This Row],[AwayTeam]],Sheet5!$A$2:$A$33, 0), MATCH(Table2[[#This Row],[HomeTeam]],Sheet5!$A$2:$A$33, 0))</f>
        <v>0-0-0</v>
      </c>
      <c r="AP858" s="2" t="str">
        <f>INDEX(Sheet5!$B$2:$AG$33, MATCH(Table2[[#This Row],[HomeTeam]],Sheet5!$A$2:$A$33, 0), MATCH(Table2[[#This Row],[AwayTeam]],Sheet5!$A$2:$A$33, 0))</f>
        <v>0-0-0</v>
      </c>
      <c r="AQ858" s="2">
        <f>IF(Table2[[#This Row],[GameHasShutOut]], 1, 0)</f>
        <v>0</v>
      </c>
      <c r="AR858" s="2">
        <f>IF(Table2[[#This Row],[ActualAwayScore]] + Table2[[#This Row],[ActualHomeScore]] &gt;= 10, 1, 0)</f>
        <v>0</v>
      </c>
      <c r="AS858" s="2">
        <f>IF(ABS(Table2[[#This Row],[ActualAwayScore]]-Table2[[#This Row],[ActualHomeScore]])&gt;=5, 1, 0)</f>
        <v>0</v>
      </c>
      <c r="AT858" s="2">
        <f>IF(Table2[[#This Row],[ActualAwayScore]] + Table2[[#This Row],[ActualHomeScore]] &lt;= 3, 1, 0)</f>
        <v>1</v>
      </c>
      <c r="AU858" s="2"/>
      <c r="AV858" s="2"/>
    </row>
    <row r="859" spans="1:48" x14ac:dyDescent="0.25">
      <c r="A859" s="3"/>
      <c r="B859" s="3">
        <v>46052</v>
      </c>
      <c r="C859" s="5">
        <v>2025020857</v>
      </c>
      <c r="D859" s="2" t="s">
        <v>17</v>
      </c>
      <c r="E859" s="2" t="s">
        <v>11</v>
      </c>
      <c r="F859" s="2"/>
      <c r="G859" s="2"/>
      <c r="H859" s="2" t="str">
        <f t="shared" si="69"/>
        <v>_</v>
      </c>
      <c r="I859" s="2"/>
      <c r="J859" s="2"/>
      <c r="K859" s="2"/>
      <c r="L859" s="2" t="str">
        <f t="shared" si="70"/>
        <v>_</v>
      </c>
      <c r="M859" s="2"/>
      <c r="N859" s="2">
        <f>IF(ISBLANK(Table2[[#This Row],[ActualResult]]), 0, 1)</f>
        <v>0</v>
      </c>
      <c r="O859" s="2" t="str">
        <f>IF(ISBLANK(Table2[[#This Row],[ActualResult]]), "_", IF(Table2[[#This Row],[ActualWinner]]=Table2[[#This Row],[PredictedWinner]], "Y", "N"))</f>
        <v>_</v>
      </c>
      <c r="P8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9" s="2"/>
      <c r="S859" s="2" t="str">
        <f t="shared" si="71"/>
        <v>_</v>
      </c>
      <c r="T8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9" s="2">
        <f>IF(Table2[[#This Row],[InterConf]]=1,IF(Table2[[#This Row],[InterDiv]]=0, 1, 0), 0)</f>
        <v>0</v>
      </c>
      <c r="W8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9" s="2"/>
      <c r="Y859" s="2"/>
      <c r="Z859" s="145">
        <f>IF(AND(Table2[[#This Row],[GameIsOver]]=1,Table2[[#This Row],[ActualHomeScore]]*Table2[[#This Row],[ActualAwayScore]]=0), 1,0)</f>
        <v>0</v>
      </c>
      <c r="AA8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9" s="2">
        <f>Table2[[#This Row],[ActualAwayScore]]-Table2[[#This Row],[PredictedAwayScore]]</f>
        <v>0</v>
      </c>
      <c r="AG859" s="2">
        <f>Table2[[#This Row],[ActualHomeScore]]-Table2[[#This Row],[PredictedHomeScore]]</f>
        <v>0</v>
      </c>
      <c r="AH859" s="2">
        <f t="shared" si="72"/>
        <v>0</v>
      </c>
      <c r="AI859" s="2">
        <f t="shared" si="73"/>
        <v>0</v>
      </c>
      <c r="AJ859" s="2"/>
      <c r="AK859" s="3"/>
      <c r="AL859" s="2">
        <f>IF(Table2[[#This Row],[GameIsOver]]=0,0,IF(Table2[[#This Row],[ActualWinner]]=Table2[[#This Row],[AwayTeam]], 1, 0))</f>
        <v>0</v>
      </c>
      <c r="AM859" s="2">
        <f>IF(Table2[[#This Row],[GameIsOver]]=0,0,IF(Table2[[#This Row],[ActualWinner]]=Table2[[#This Row],[HomeTeam]], 1, 0))</f>
        <v>0</v>
      </c>
      <c r="AN8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9" s="2" t="str">
        <f>INDEX(Sheet5!$B$2:$AG$33, MATCH(Table2[[#This Row],[AwayTeam]],Sheet5!$A$2:$A$33, 0), MATCH(Table2[[#This Row],[HomeTeam]],Sheet5!$A$2:$A$33, 0))</f>
        <v>0-0-1</v>
      </c>
      <c r="AP859" s="2" t="str">
        <f>INDEX(Sheet5!$B$2:$AG$33, MATCH(Table2[[#This Row],[HomeTeam]],Sheet5!$A$2:$A$33, 0), MATCH(Table2[[#This Row],[AwayTeam]],Sheet5!$A$2:$A$33, 0))</f>
        <v>1-0-0</v>
      </c>
      <c r="AQ859" s="2">
        <f>IF(Table2[[#This Row],[GameHasShutOut]], 1, 0)</f>
        <v>0</v>
      </c>
      <c r="AR859" s="2">
        <f>IF(Table2[[#This Row],[ActualAwayScore]] + Table2[[#This Row],[ActualHomeScore]] &gt;= 10, 1, 0)</f>
        <v>0</v>
      </c>
      <c r="AS859" s="2">
        <f>IF(ABS(Table2[[#This Row],[ActualAwayScore]]-Table2[[#This Row],[ActualHomeScore]])&gt;=5, 1, 0)</f>
        <v>0</v>
      </c>
      <c r="AT859" s="2">
        <f>IF(Table2[[#This Row],[ActualAwayScore]] + Table2[[#This Row],[ActualHomeScore]] &lt;= 3, 1, 0)</f>
        <v>1</v>
      </c>
      <c r="AU859" s="2"/>
      <c r="AV859" s="2"/>
    </row>
    <row r="860" spans="1:48" x14ac:dyDescent="0.25">
      <c r="A860" s="3"/>
      <c r="B860" s="3">
        <v>46053</v>
      </c>
      <c r="C860" s="5">
        <v>2025020858</v>
      </c>
      <c r="D860" s="2" t="s">
        <v>35</v>
      </c>
      <c r="E860" s="2" t="s">
        <v>16</v>
      </c>
      <c r="F860" s="2"/>
      <c r="G860" s="2"/>
      <c r="H860" s="2" t="str">
        <f t="shared" si="69"/>
        <v>_</v>
      </c>
      <c r="I860" s="2"/>
      <c r="J860" s="2"/>
      <c r="K860" s="2"/>
      <c r="L860" s="2" t="str">
        <f t="shared" si="70"/>
        <v>_</v>
      </c>
      <c r="M860" s="2"/>
      <c r="N860" s="2">
        <f>IF(ISBLANK(Table2[[#This Row],[ActualResult]]), 0, 1)</f>
        <v>0</v>
      </c>
      <c r="O860" s="2" t="str">
        <f>IF(ISBLANK(Table2[[#This Row],[ActualResult]]), "_", IF(Table2[[#This Row],[ActualWinner]]=Table2[[#This Row],[PredictedWinner]], "Y", "N"))</f>
        <v>_</v>
      </c>
      <c r="P8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0" s="2"/>
      <c r="S860" s="2" t="str">
        <f t="shared" si="71"/>
        <v>_</v>
      </c>
      <c r="T8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0" s="2">
        <f>IF(Table2[[#This Row],[InterConf]]=1,IF(Table2[[#This Row],[InterDiv]]=0, 1, 0), 0)</f>
        <v>0</v>
      </c>
      <c r="W8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0" s="2"/>
      <c r="Y860" s="2"/>
      <c r="Z860" s="145">
        <f>IF(AND(Table2[[#This Row],[GameIsOver]]=1,Table2[[#This Row],[ActualHomeScore]]*Table2[[#This Row],[ActualAwayScore]]=0), 1,0)</f>
        <v>0</v>
      </c>
      <c r="AA8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0" s="2">
        <f>Table2[[#This Row],[ActualAwayScore]]-Table2[[#This Row],[PredictedAwayScore]]</f>
        <v>0</v>
      </c>
      <c r="AG860" s="2">
        <f>Table2[[#This Row],[ActualHomeScore]]-Table2[[#This Row],[PredictedHomeScore]]</f>
        <v>0</v>
      </c>
      <c r="AH860" s="2">
        <f t="shared" si="72"/>
        <v>0</v>
      </c>
      <c r="AI860" s="2">
        <f t="shared" si="73"/>
        <v>0</v>
      </c>
      <c r="AJ860" s="2"/>
      <c r="AK860" s="3"/>
      <c r="AL860" s="2">
        <f>IF(Table2[[#This Row],[GameIsOver]]=0,0,IF(Table2[[#This Row],[ActualWinner]]=Table2[[#This Row],[AwayTeam]], 1, 0))</f>
        <v>0</v>
      </c>
      <c r="AM860" s="2">
        <f>IF(Table2[[#This Row],[GameIsOver]]=0,0,IF(Table2[[#This Row],[ActualWinner]]=Table2[[#This Row],[HomeTeam]], 1, 0))</f>
        <v>0</v>
      </c>
      <c r="AN8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0" s="2" t="str">
        <f>INDEX(Sheet5!$B$2:$AG$33, MATCH(Table2[[#This Row],[AwayTeam]],Sheet5!$A$2:$A$33, 0), MATCH(Table2[[#This Row],[HomeTeam]],Sheet5!$A$2:$A$33, 0))</f>
        <v>0-0-0</v>
      </c>
      <c r="AP860" s="2" t="str">
        <f>INDEX(Sheet5!$B$2:$AG$33, MATCH(Table2[[#This Row],[HomeTeam]],Sheet5!$A$2:$A$33, 0), MATCH(Table2[[#This Row],[AwayTeam]],Sheet5!$A$2:$A$33, 0))</f>
        <v>0-0-0</v>
      </c>
      <c r="AQ860" s="2">
        <f>IF(Table2[[#This Row],[GameHasShutOut]], 1, 0)</f>
        <v>0</v>
      </c>
      <c r="AR860" s="2">
        <f>IF(Table2[[#This Row],[ActualAwayScore]] + Table2[[#This Row],[ActualHomeScore]] &gt;= 10, 1, 0)</f>
        <v>0</v>
      </c>
      <c r="AS860" s="2">
        <f>IF(ABS(Table2[[#This Row],[ActualAwayScore]]-Table2[[#This Row],[ActualHomeScore]])&gt;=5, 1, 0)</f>
        <v>0</v>
      </c>
      <c r="AT860" s="2">
        <f>IF(Table2[[#This Row],[ActualAwayScore]] + Table2[[#This Row],[ActualHomeScore]] &lt;= 3, 1, 0)</f>
        <v>1</v>
      </c>
      <c r="AU860" s="2"/>
      <c r="AV860" s="2"/>
    </row>
    <row r="861" spans="1:48" x14ac:dyDescent="0.25">
      <c r="A861" s="3"/>
      <c r="B861" s="3">
        <v>46053</v>
      </c>
      <c r="C861" s="5">
        <v>2025020859</v>
      </c>
      <c r="D861" s="2" t="s">
        <v>27</v>
      </c>
      <c r="E861" s="2" t="s">
        <v>42</v>
      </c>
      <c r="F861" s="2"/>
      <c r="G861" s="2"/>
      <c r="H861" s="2" t="str">
        <f t="shared" si="69"/>
        <v>_</v>
      </c>
      <c r="I861" s="2"/>
      <c r="J861" s="2"/>
      <c r="K861" s="2"/>
      <c r="L861" s="2" t="str">
        <f t="shared" si="70"/>
        <v>_</v>
      </c>
      <c r="M861" s="2"/>
      <c r="N861" s="2">
        <f>IF(ISBLANK(Table2[[#This Row],[ActualResult]]), 0, 1)</f>
        <v>0</v>
      </c>
      <c r="O861" s="2" t="str">
        <f>IF(ISBLANK(Table2[[#This Row],[ActualResult]]), "_", IF(Table2[[#This Row],[ActualWinner]]=Table2[[#This Row],[PredictedWinner]], "Y", "N"))</f>
        <v>_</v>
      </c>
      <c r="P8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1" s="2"/>
      <c r="S861" s="2" t="str">
        <f t="shared" si="71"/>
        <v>_</v>
      </c>
      <c r="T8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1" s="2">
        <f>IF(Table2[[#This Row],[InterConf]]=1,IF(Table2[[#This Row],[InterDiv]]=0, 1, 0), 0)</f>
        <v>0</v>
      </c>
      <c r="W8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1" s="2"/>
      <c r="Y861" s="2"/>
      <c r="Z861" s="145">
        <f>IF(AND(Table2[[#This Row],[GameIsOver]]=1,Table2[[#This Row],[ActualHomeScore]]*Table2[[#This Row],[ActualAwayScore]]=0), 1,0)</f>
        <v>0</v>
      </c>
      <c r="AA8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1" s="2">
        <f>Table2[[#This Row],[ActualAwayScore]]-Table2[[#This Row],[PredictedAwayScore]]</f>
        <v>0</v>
      </c>
      <c r="AG861" s="2">
        <f>Table2[[#This Row],[ActualHomeScore]]-Table2[[#This Row],[PredictedHomeScore]]</f>
        <v>0</v>
      </c>
      <c r="AH861" s="2">
        <f t="shared" si="72"/>
        <v>0</v>
      </c>
      <c r="AI861" s="2">
        <f t="shared" si="73"/>
        <v>0</v>
      </c>
      <c r="AJ861" s="2"/>
      <c r="AK861" s="3"/>
      <c r="AL861" s="2">
        <f>IF(Table2[[#This Row],[GameIsOver]]=0,0,IF(Table2[[#This Row],[ActualWinner]]=Table2[[#This Row],[AwayTeam]], 1, 0))</f>
        <v>0</v>
      </c>
      <c r="AM861" s="2">
        <f>IF(Table2[[#This Row],[GameIsOver]]=0,0,IF(Table2[[#This Row],[ActualWinner]]=Table2[[#This Row],[HomeTeam]], 1, 0))</f>
        <v>0</v>
      </c>
      <c r="AN861" s="2">
        <f>IF(IFERROR(FIND(Table2[[#This Row],[AwayTeam]], _xlfn.TEXTJOIN(";", 1, $BD$31:$BD$40)), 0) &gt; 0, 1, 0) + IF(IFERROR(FIND(Table2[[#This Row],[HomeTeam]], _xlfn.TEXTJOIN(";", 1, $BD$31:$BD$40)), 0) &gt; 0, 1, 0)</f>
        <v>1</v>
      </c>
      <c r="AO861" s="2" t="str">
        <f>INDEX(Sheet5!$B$2:$AG$33, MATCH(Table2[[#This Row],[AwayTeam]],Sheet5!$A$2:$A$33, 0), MATCH(Table2[[#This Row],[HomeTeam]],Sheet5!$A$2:$A$33, 0))</f>
        <v>0-0-0</v>
      </c>
      <c r="AP861" s="2" t="str">
        <f>INDEX(Sheet5!$B$2:$AG$33, MATCH(Table2[[#This Row],[HomeTeam]],Sheet5!$A$2:$A$33, 0), MATCH(Table2[[#This Row],[AwayTeam]],Sheet5!$A$2:$A$33, 0))</f>
        <v>0-0-0</v>
      </c>
      <c r="AQ861" s="2">
        <f>IF(Table2[[#This Row],[GameHasShutOut]], 1, 0)</f>
        <v>0</v>
      </c>
      <c r="AR861" s="2">
        <f>IF(Table2[[#This Row],[ActualAwayScore]] + Table2[[#This Row],[ActualHomeScore]] &gt;= 10, 1, 0)</f>
        <v>0</v>
      </c>
      <c r="AS861" s="2">
        <f>IF(ABS(Table2[[#This Row],[ActualAwayScore]]-Table2[[#This Row],[ActualHomeScore]])&gt;=5, 1, 0)</f>
        <v>0</v>
      </c>
      <c r="AT861" s="2">
        <f>IF(Table2[[#This Row],[ActualAwayScore]] + Table2[[#This Row],[ActualHomeScore]] &lt;= 3, 1, 0)</f>
        <v>1</v>
      </c>
      <c r="AU861" s="2"/>
      <c r="AV861" s="2"/>
    </row>
    <row r="862" spans="1:48" x14ac:dyDescent="0.25">
      <c r="A862" s="3"/>
      <c r="B862" s="3">
        <v>46053</v>
      </c>
      <c r="C862" s="5">
        <v>2025020860</v>
      </c>
      <c r="D862" s="2" t="s">
        <v>25</v>
      </c>
      <c r="E862" s="2" t="s">
        <v>30</v>
      </c>
      <c r="F862" s="2"/>
      <c r="G862" s="2"/>
      <c r="H862" s="2" t="str">
        <f t="shared" si="69"/>
        <v>_</v>
      </c>
      <c r="I862" s="2"/>
      <c r="J862" s="2"/>
      <c r="K862" s="2"/>
      <c r="L862" s="2" t="str">
        <f t="shared" si="70"/>
        <v>_</v>
      </c>
      <c r="M862" s="2"/>
      <c r="N862" s="2">
        <f>IF(ISBLANK(Table2[[#This Row],[ActualResult]]), 0, 1)</f>
        <v>0</v>
      </c>
      <c r="O862" s="2" t="str">
        <f>IF(ISBLANK(Table2[[#This Row],[ActualResult]]), "_", IF(Table2[[#This Row],[ActualWinner]]=Table2[[#This Row],[PredictedWinner]], "Y", "N"))</f>
        <v>_</v>
      </c>
      <c r="P8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2" s="2"/>
      <c r="S862" s="2" t="str">
        <f t="shared" si="71"/>
        <v>_</v>
      </c>
      <c r="T8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2" s="2">
        <f>IF(Table2[[#This Row],[InterConf]]=1,IF(Table2[[#This Row],[InterDiv]]=0, 1, 0), 0)</f>
        <v>0</v>
      </c>
      <c r="W8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2" s="2"/>
      <c r="Y862" s="2"/>
      <c r="Z862" s="145">
        <f>IF(AND(Table2[[#This Row],[GameIsOver]]=1,Table2[[#This Row],[ActualHomeScore]]*Table2[[#This Row],[ActualAwayScore]]=0), 1,0)</f>
        <v>0</v>
      </c>
      <c r="AA8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2" s="2">
        <f>Table2[[#This Row],[ActualAwayScore]]-Table2[[#This Row],[PredictedAwayScore]]</f>
        <v>0</v>
      </c>
      <c r="AG862" s="2">
        <f>Table2[[#This Row],[ActualHomeScore]]-Table2[[#This Row],[PredictedHomeScore]]</f>
        <v>0</v>
      </c>
      <c r="AH862" s="2">
        <f t="shared" si="72"/>
        <v>0</v>
      </c>
      <c r="AI862" s="2">
        <f t="shared" si="73"/>
        <v>0</v>
      </c>
      <c r="AJ862" s="2"/>
      <c r="AK862" s="3"/>
      <c r="AL862" s="2">
        <f>IF(Table2[[#This Row],[GameIsOver]]=0,0,IF(Table2[[#This Row],[ActualWinner]]=Table2[[#This Row],[AwayTeam]], 1, 0))</f>
        <v>0</v>
      </c>
      <c r="AM862" s="2">
        <f>IF(Table2[[#This Row],[GameIsOver]]=0,0,IF(Table2[[#This Row],[ActualWinner]]=Table2[[#This Row],[HomeTeam]], 1, 0))</f>
        <v>0</v>
      </c>
      <c r="AN8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2" s="2" t="str">
        <f>INDEX(Sheet5!$B$2:$AG$33, MATCH(Table2[[#This Row],[AwayTeam]],Sheet5!$A$2:$A$33, 0), MATCH(Table2[[#This Row],[HomeTeam]],Sheet5!$A$2:$A$33, 0))</f>
        <v>0-0-0</v>
      </c>
      <c r="AP862" s="2" t="str">
        <f>INDEX(Sheet5!$B$2:$AG$33, MATCH(Table2[[#This Row],[HomeTeam]],Sheet5!$A$2:$A$33, 0), MATCH(Table2[[#This Row],[AwayTeam]],Sheet5!$A$2:$A$33, 0))</f>
        <v>0-0-0</v>
      </c>
      <c r="AQ862" s="2">
        <f>IF(Table2[[#This Row],[GameHasShutOut]], 1, 0)</f>
        <v>0</v>
      </c>
      <c r="AR862" s="2">
        <f>IF(Table2[[#This Row],[ActualAwayScore]] + Table2[[#This Row],[ActualHomeScore]] &gt;= 10, 1, 0)</f>
        <v>0</v>
      </c>
      <c r="AS862" s="2">
        <f>IF(ABS(Table2[[#This Row],[ActualAwayScore]]-Table2[[#This Row],[ActualHomeScore]])&gt;=5, 1, 0)</f>
        <v>0</v>
      </c>
      <c r="AT862" s="2">
        <f>IF(Table2[[#This Row],[ActualAwayScore]] + Table2[[#This Row],[ActualHomeScore]] &lt;= 3, 1, 0)</f>
        <v>1</v>
      </c>
      <c r="AU862" s="2"/>
      <c r="AV862" s="2"/>
    </row>
    <row r="863" spans="1:48" x14ac:dyDescent="0.25">
      <c r="A863" s="3"/>
      <c r="B863" s="3">
        <v>46053</v>
      </c>
      <c r="C863" s="5">
        <v>2025020861</v>
      </c>
      <c r="D863" s="2" t="s">
        <v>19</v>
      </c>
      <c r="E863" s="2" t="s">
        <v>20</v>
      </c>
      <c r="F863" s="2"/>
      <c r="G863" s="2"/>
      <c r="H863" s="2" t="str">
        <f t="shared" si="69"/>
        <v>_</v>
      </c>
      <c r="I863" s="2"/>
      <c r="J863" s="2"/>
      <c r="K863" s="2"/>
      <c r="L863" s="2" t="str">
        <f t="shared" si="70"/>
        <v>_</v>
      </c>
      <c r="M863" s="2"/>
      <c r="N863" s="2">
        <f>IF(ISBLANK(Table2[[#This Row],[ActualResult]]), 0, 1)</f>
        <v>0</v>
      </c>
      <c r="O863" s="2" t="str">
        <f>IF(ISBLANK(Table2[[#This Row],[ActualResult]]), "_", IF(Table2[[#This Row],[ActualWinner]]=Table2[[#This Row],[PredictedWinner]], "Y", "N"))</f>
        <v>_</v>
      </c>
      <c r="P8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3" s="2"/>
      <c r="S863" s="2" t="str">
        <f t="shared" si="71"/>
        <v>_</v>
      </c>
      <c r="T8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3" s="2">
        <f>IF(Table2[[#This Row],[InterConf]]=1,IF(Table2[[#This Row],[InterDiv]]=0, 1, 0), 0)</f>
        <v>0</v>
      </c>
      <c r="W8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3" s="2"/>
      <c r="Y863" s="2"/>
      <c r="Z863" s="145">
        <f>IF(AND(Table2[[#This Row],[GameIsOver]]=1,Table2[[#This Row],[ActualHomeScore]]*Table2[[#This Row],[ActualAwayScore]]=0), 1,0)</f>
        <v>0</v>
      </c>
      <c r="AA8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3" s="2">
        <f>Table2[[#This Row],[ActualAwayScore]]-Table2[[#This Row],[PredictedAwayScore]]</f>
        <v>0</v>
      </c>
      <c r="AG863" s="2">
        <f>Table2[[#This Row],[ActualHomeScore]]-Table2[[#This Row],[PredictedHomeScore]]</f>
        <v>0</v>
      </c>
      <c r="AH863" s="2">
        <f t="shared" si="72"/>
        <v>0</v>
      </c>
      <c r="AI863" s="2">
        <f t="shared" si="73"/>
        <v>0</v>
      </c>
      <c r="AJ863" s="2"/>
      <c r="AK863" s="3"/>
      <c r="AL863" s="2">
        <f>IF(Table2[[#This Row],[GameIsOver]]=0,0,IF(Table2[[#This Row],[ActualWinner]]=Table2[[#This Row],[AwayTeam]], 1, 0))</f>
        <v>0</v>
      </c>
      <c r="AM863" s="2">
        <f>IF(Table2[[#This Row],[GameIsOver]]=0,0,IF(Table2[[#This Row],[ActualWinner]]=Table2[[#This Row],[HomeTeam]], 1, 0))</f>
        <v>0</v>
      </c>
      <c r="AN8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3" s="2" t="str">
        <f>INDEX(Sheet5!$B$2:$AG$33, MATCH(Table2[[#This Row],[AwayTeam]],Sheet5!$A$2:$A$33, 0), MATCH(Table2[[#This Row],[HomeTeam]],Sheet5!$A$2:$A$33, 0))</f>
        <v>1-1-0</v>
      </c>
      <c r="AP863" s="2" t="str">
        <f>INDEX(Sheet5!$B$2:$AG$33, MATCH(Table2[[#This Row],[HomeTeam]],Sheet5!$A$2:$A$33, 0), MATCH(Table2[[#This Row],[AwayTeam]],Sheet5!$A$2:$A$33, 0))</f>
        <v>1-1-0</v>
      </c>
      <c r="AQ863" s="2">
        <f>IF(Table2[[#This Row],[GameHasShutOut]], 1, 0)</f>
        <v>0</v>
      </c>
      <c r="AR863" s="2">
        <f>IF(Table2[[#This Row],[ActualAwayScore]] + Table2[[#This Row],[ActualHomeScore]] &gt;= 10, 1, 0)</f>
        <v>0</v>
      </c>
      <c r="AS863" s="2">
        <f>IF(ABS(Table2[[#This Row],[ActualAwayScore]]-Table2[[#This Row],[ActualHomeScore]])&gt;=5, 1, 0)</f>
        <v>0</v>
      </c>
      <c r="AT863" s="2">
        <f>IF(Table2[[#This Row],[ActualAwayScore]] + Table2[[#This Row],[ActualHomeScore]] &lt;= 3, 1, 0)</f>
        <v>1</v>
      </c>
      <c r="AU863" s="2"/>
      <c r="AV863" s="2"/>
    </row>
    <row r="864" spans="1:48" x14ac:dyDescent="0.25">
      <c r="A864" s="3"/>
      <c r="B864" s="3">
        <v>46053</v>
      </c>
      <c r="C864" s="5">
        <v>2025020862</v>
      </c>
      <c r="D864" s="2" t="s">
        <v>21</v>
      </c>
      <c r="E864" s="2" t="s">
        <v>13</v>
      </c>
      <c r="F864" s="2"/>
      <c r="G864" s="2"/>
      <c r="H864" s="2" t="str">
        <f t="shared" si="69"/>
        <v>_</v>
      </c>
      <c r="I864" s="2"/>
      <c r="J864" s="2"/>
      <c r="K864" s="2"/>
      <c r="L864" s="2" t="str">
        <f t="shared" si="70"/>
        <v>_</v>
      </c>
      <c r="M864" s="2"/>
      <c r="N864" s="2">
        <f>IF(ISBLANK(Table2[[#This Row],[ActualResult]]), 0, 1)</f>
        <v>0</v>
      </c>
      <c r="O864" s="2" t="str">
        <f>IF(ISBLANK(Table2[[#This Row],[ActualResult]]), "_", IF(Table2[[#This Row],[ActualWinner]]=Table2[[#This Row],[PredictedWinner]], "Y", "N"))</f>
        <v>_</v>
      </c>
      <c r="P8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4" s="2"/>
      <c r="S864" s="2" t="str">
        <f t="shared" si="71"/>
        <v>_</v>
      </c>
      <c r="T8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4" s="2">
        <f>IF(Table2[[#This Row],[InterConf]]=1,IF(Table2[[#This Row],[InterDiv]]=0, 1, 0), 0)</f>
        <v>0</v>
      </c>
      <c r="W8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4" s="2"/>
      <c r="Y864" s="2"/>
      <c r="Z864" s="145">
        <f>IF(AND(Table2[[#This Row],[GameIsOver]]=1,Table2[[#This Row],[ActualHomeScore]]*Table2[[#This Row],[ActualAwayScore]]=0), 1,0)</f>
        <v>0</v>
      </c>
      <c r="AA8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4" s="2">
        <f>Table2[[#This Row],[ActualAwayScore]]-Table2[[#This Row],[PredictedAwayScore]]</f>
        <v>0</v>
      </c>
      <c r="AG864" s="2">
        <f>Table2[[#This Row],[ActualHomeScore]]-Table2[[#This Row],[PredictedHomeScore]]</f>
        <v>0</v>
      </c>
      <c r="AH864" s="2">
        <f t="shared" si="72"/>
        <v>0</v>
      </c>
      <c r="AI864" s="2">
        <f t="shared" si="73"/>
        <v>0</v>
      </c>
      <c r="AJ864" s="2"/>
      <c r="AK864" s="3"/>
      <c r="AL864" s="2">
        <f>IF(Table2[[#This Row],[GameIsOver]]=0,0,IF(Table2[[#This Row],[ActualWinner]]=Table2[[#This Row],[AwayTeam]], 1, 0))</f>
        <v>0</v>
      </c>
      <c r="AM864" s="2">
        <f>IF(Table2[[#This Row],[GameIsOver]]=0,0,IF(Table2[[#This Row],[ActualWinner]]=Table2[[#This Row],[HomeTeam]], 1, 0))</f>
        <v>0</v>
      </c>
      <c r="AN8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4" s="2" t="str">
        <f>INDEX(Sheet5!$B$2:$AG$33, MATCH(Table2[[#This Row],[AwayTeam]],Sheet5!$A$2:$A$33, 0), MATCH(Table2[[#This Row],[HomeTeam]],Sheet5!$A$2:$A$33, 0))</f>
        <v>0-0-0</v>
      </c>
      <c r="AP864" s="2" t="str">
        <f>INDEX(Sheet5!$B$2:$AG$33, MATCH(Table2[[#This Row],[HomeTeam]],Sheet5!$A$2:$A$33, 0), MATCH(Table2[[#This Row],[AwayTeam]],Sheet5!$A$2:$A$33, 0))</f>
        <v>0-0-0</v>
      </c>
      <c r="AQ864" s="2">
        <f>IF(Table2[[#This Row],[GameHasShutOut]], 1, 0)</f>
        <v>0</v>
      </c>
      <c r="AR864" s="2">
        <f>IF(Table2[[#This Row],[ActualAwayScore]] + Table2[[#This Row],[ActualHomeScore]] &gt;= 10, 1, 0)</f>
        <v>0</v>
      </c>
      <c r="AS864" s="2">
        <f>IF(ABS(Table2[[#This Row],[ActualAwayScore]]-Table2[[#This Row],[ActualHomeScore]])&gt;=5, 1, 0)</f>
        <v>0</v>
      </c>
      <c r="AT864" s="2">
        <f>IF(Table2[[#This Row],[ActualAwayScore]] + Table2[[#This Row],[ActualHomeScore]] &lt;= 3, 1, 0)</f>
        <v>1</v>
      </c>
      <c r="AU864" s="2"/>
      <c r="AV864" s="2"/>
    </row>
    <row r="865" spans="1:48" x14ac:dyDescent="0.25">
      <c r="A865" s="3"/>
      <c r="B865" s="3">
        <v>46053</v>
      </c>
      <c r="C865" s="5">
        <v>2025020863</v>
      </c>
      <c r="D865" s="2" t="s">
        <v>37</v>
      </c>
      <c r="E865" s="2" t="s">
        <v>23</v>
      </c>
      <c r="F865" s="2"/>
      <c r="G865" s="2"/>
      <c r="H865" s="2" t="str">
        <f t="shared" si="69"/>
        <v>_</v>
      </c>
      <c r="I865" s="2"/>
      <c r="J865" s="2"/>
      <c r="K865" s="2"/>
      <c r="L865" s="2" t="str">
        <f t="shared" si="70"/>
        <v>_</v>
      </c>
      <c r="M865" s="2"/>
      <c r="N865" s="2">
        <f>IF(ISBLANK(Table2[[#This Row],[ActualResult]]), 0, 1)</f>
        <v>0</v>
      </c>
      <c r="O865" s="2" t="str">
        <f>IF(ISBLANK(Table2[[#This Row],[ActualResult]]), "_", IF(Table2[[#This Row],[ActualWinner]]=Table2[[#This Row],[PredictedWinner]], "Y", "N"))</f>
        <v>_</v>
      </c>
      <c r="P8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5" s="2"/>
      <c r="S865" s="2" t="str">
        <f t="shared" si="71"/>
        <v>_</v>
      </c>
      <c r="T8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5" s="2">
        <f>IF(Table2[[#This Row],[InterConf]]=1,IF(Table2[[#This Row],[InterDiv]]=0, 1, 0), 0)</f>
        <v>0</v>
      </c>
      <c r="W8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5" s="2"/>
      <c r="Y865" s="2"/>
      <c r="Z865" s="145">
        <f>IF(AND(Table2[[#This Row],[GameIsOver]]=1,Table2[[#This Row],[ActualHomeScore]]*Table2[[#This Row],[ActualAwayScore]]=0), 1,0)</f>
        <v>0</v>
      </c>
      <c r="AA8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5" s="2">
        <f>Table2[[#This Row],[ActualAwayScore]]-Table2[[#This Row],[PredictedAwayScore]]</f>
        <v>0</v>
      </c>
      <c r="AG865" s="2">
        <f>Table2[[#This Row],[ActualHomeScore]]-Table2[[#This Row],[PredictedHomeScore]]</f>
        <v>0</v>
      </c>
      <c r="AH865" s="2">
        <f t="shared" si="72"/>
        <v>0</v>
      </c>
      <c r="AI865" s="2">
        <f t="shared" si="73"/>
        <v>0</v>
      </c>
      <c r="AJ865" s="2"/>
      <c r="AK865" s="3"/>
      <c r="AL865" s="2">
        <f>IF(Table2[[#This Row],[GameIsOver]]=0,0,IF(Table2[[#This Row],[ActualWinner]]=Table2[[#This Row],[AwayTeam]], 1, 0))</f>
        <v>0</v>
      </c>
      <c r="AM865" s="2">
        <f>IF(Table2[[#This Row],[GameIsOver]]=0,0,IF(Table2[[#This Row],[ActualWinner]]=Table2[[#This Row],[HomeTeam]], 1, 0))</f>
        <v>0</v>
      </c>
      <c r="AN8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5" s="2" t="str">
        <f>INDEX(Sheet5!$B$2:$AG$33, MATCH(Table2[[#This Row],[AwayTeam]],Sheet5!$A$2:$A$33, 0), MATCH(Table2[[#This Row],[HomeTeam]],Sheet5!$A$2:$A$33, 0))</f>
        <v>0-0-0</v>
      </c>
      <c r="AP865" s="2" t="str">
        <f>INDEX(Sheet5!$B$2:$AG$33, MATCH(Table2[[#This Row],[HomeTeam]],Sheet5!$A$2:$A$33, 0), MATCH(Table2[[#This Row],[AwayTeam]],Sheet5!$A$2:$A$33, 0))</f>
        <v>0-0-0</v>
      </c>
      <c r="AQ865" s="2">
        <f>IF(Table2[[#This Row],[GameHasShutOut]], 1, 0)</f>
        <v>0</v>
      </c>
      <c r="AR865" s="2">
        <f>IF(Table2[[#This Row],[ActualAwayScore]] + Table2[[#This Row],[ActualHomeScore]] &gt;= 10, 1, 0)</f>
        <v>0</v>
      </c>
      <c r="AS865" s="2">
        <f>IF(ABS(Table2[[#This Row],[ActualAwayScore]]-Table2[[#This Row],[ActualHomeScore]])&gt;=5, 1, 0)</f>
        <v>0</v>
      </c>
      <c r="AT865" s="2">
        <f>IF(Table2[[#This Row],[ActualAwayScore]] + Table2[[#This Row],[ActualHomeScore]] &lt;= 3, 1, 0)</f>
        <v>1</v>
      </c>
      <c r="AU865" s="2"/>
      <c r="AV865" s="2"/>
    </row>
    <row r="866" spans="1:48" x14ac:dyDescent="0.25">
      <c r="A866" s="3"/>
      <c r="B866" s="3">
        <v>46053</v>
      </c>
      <c r="C866" s="5">
        <v>2025020864</v>
      </c>
      <c r="D866" s="2" t="s">
        <v>41</v>
      </c>
      <c r="E866" s="2" t="s">
        <v>43</v>
      </c>
      <c r="F866" s="2"/>
      <c r="G866" s="2"/>
      <c r="H866" s="2" t="str">
        <f t="shared" si="69"/>
        <v>_</v>
      </c>
      <c r="I866" s="2"/>
      <c r="J866" s="2"/>
      <c r="K866" s="2"/>
      <c r="L866" s="2" t="str">
        <f t="shared" si="70"/>
        <v>_</v>
      </c>
      <c r="M866" s="2"/>
      <c r="N866" s="2">
        <f>IF(ISBLANK(Table2[[#This Row],[ActualResult]]), 0, 1)</f>
        <v>0</v>
      </c>
      <c r="O866" s="2" t="str">
        <f>IF(ISBLANK(Table2[[#This Row],[ActualResult]]), "_", IF(Table2[[#This Row],[ActualWinner]]=Table2[[#This Row],[PredictedWinner]], "Y", "N"))</f>
        <v>_</v>
      </c>
      <c r="P8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6" s="2"/>
      <c r="S866" s="2" t="str">
        <f t="shared" si="71"/>
        <v>_</v>
      </c>
      <c r="T8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6" s="2">
        <f>IF(Table2[[#This Row],[InterConf]]=1,IF(Table2[[#This Row],[InterDiv]]=0, 1, 0), 0)</f>
        <v>0</v>
      </c>
      <c r="W8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6" s="2"/>
      <c r="Y866" s="2"/>
      <c r="Z866" s="145">
        <f>IF(AND(Table2[[#This Row],[GameIsOver]]=1,Table2[[#This Row],[ActualHomeScore]]*Table2[[#This Row],[ActualAwayScore]]=0), 1,0)</f>
        <v>0</v>
      </c>
      <c r="AA8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6" s="2">
        <f>Table2[[#This Row],[ActualAwayScore]]-Table2[[#This Row],[PredictedAwayScore]]</f>
        <v>0</v>
      </c>
      <c r="AG866" s="2">
        <f>Table2[[#This Row],[ActualHomeScore]]-Table2[[#This Row],[PredictedHomeScore]]</f>
        <v>0</v>
      </c>
      <c r="AH866" s="2">
        <f t="shared" si="72"/>
        <v>0</v>
      </c>
      <c r="AI866" s="2">
        <f t="shared" si="73"/>
        <v>0</v>
      </c>
      <c r="AJ866" s="2"/>
      <c r="AK866" s="3"/>
      <c r="AL866" s="2">
        <f>IF(Table2[[#This Row],[GameIsOver]]=0,0,IF(Table2[[#This Row],[ActualWinner]]=Table2[[#This Row],[AwayTeam]], 1, 0))</f>
        <v>0</v>
      </c>
      <c r="AM866" s="2">
        <f>IF(Table2[[#This Row],[GameIsOver]]=0,0,IF(Table2[[#This Row],[ActualWinner]]=Table2[[#This Row],[HomeTeam]], 1, 0))</f>
        <v>0</v>
      </c>
      <c r="AN8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6" s="2" t="str">
        <f>INDEX(Sheet5!$B$2:$AG$33, MATCH(Table2[[#This Row],[AwayTeam]],Sheet5!$A$2:$A$33, 0), MATCH(Table2[[#This Row],[HomeTeam]],Sheet5!$A$2:$A$33, 0))</f>
        <v>0-0-0</v>
      </c>
      <c r="AP866" s="2" t="str">
        <f>INDEX(Sheet5!$B$2:$AG$33, MATCH(Table2[[#This Row],[HomeTeam]],Sheet5!$A$2:$A$33, 0), MATCH(Table2[[#This Row],[AwayTeam]],Sheet5!$A$2:$A$33, 0))</f>
        <v>0-0-0</v>
      </c>
      <c r="AQ866" s="2">
        <f>IF(Table2[[#This Row],[GameHasShutOut]], 1, 0)</f>
        <v>0</v>
      </c>
      <c r="AR866" s="2">
        <f>IF(Table2[[#This Row],[ActualAwayScore]] + Table2[[#This Row],[ActualHomeScore]] &gt;= 10, 1, 0)</f>
        <v>0</v>
      </c>
      <c r="AS866" s="2">
        <f>IF(ABS(Table2[[#This Row],[ActualAwayScore]]-Table2[[#This Row],[ActualHomeScore]])&gt;=5, 1, 0)</f>
        <v>0</v>
      </c>
      <c r="AT866" s="2">
        <f>IF(Table2[[#This Row],[ActualAwayScore]] + Table2[[#This Row],[ActualHomeScore]] &lt;= 3, 1, 0)</f>
        <v>1</v>
      </c>
      <c r="AU866" s="2"/>
      <c r="AV866" s="2"/>
    </row>
    <row r="867" spans="1:48" x14ac:dyDescent="0.25">
      <c r="A867" s="3"/>
      <c r="B867" s="3">
        <v>46054</v>
      </c>
      <c r="C867" s="5">
        <v>2025020865</v>
      </c>
      <c r="D867" s="2" t="s">
        <v>18</v>
      </c>
      <c r="E867" s="2" t="s">
        <v>28</v>
      </c>
      <c r="F867" s="2"/>
      <c r="G867" s="2"/>
      <c r="H867" s="2" t="str">
        <f t="shared" si="69"/>
        <v>_</v>
      </c>
      <c r="I867" s="2"/>
      <c r="J867" s="2"/>
      <c r="K867" s="2"/>
      <c r="L867" s="2" t="str">
        <f t="shared" si="70"/>
        <v>_</v>
      </c>
      <c r="M867" s="2"/>
      <c r="N867" s="2">
        <f>IF(ISBLANK(Table2[[#This Row],[ActualResult]]), 0, 1)</f>
        <v>0</v>
      </c>
      <c r="O867" s="2" t="str">
        <f>IF(ISBLANK(Table2[[#This Row],[ActualResult]]), "_", IF(Table2[[#This Row],[ActualWinner]]=Table2[[#This Row],[PredictedWinner]], "Y", "N"))</f>
        <v>_</v>
      </c>
      <c r="P8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7" s="2"/>
      <c r="S867" s="2" t="str">
        <f t="shared" si="71"/>
        <v>_</v>
      </c>
      <c r="T8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7" s="2">
        <f>IF(Table2[[#This Row],[InterConf]]=1,IF(Table2[[#This Row],[InterDiv]]=0, 1, 0), 0)</f>
        <v>0</v>
      </c>
      <c r="W8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7" s="2"/>
      <c r="Y867" s="2"/>
      <c r="Z867" s="145">
        <f>IF(AND(Table2[[#This Row],[GameIsOver]]=1,Table2[[#This Row],[ActualHomeScore]]*Table2[[#This Row],[ActualAwayScore]]=0), 1,0)</f>
        <v>0</v>
      </c>
      <c r="AA8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67" s="2">
        <f>Table2[[#This Row],[ActualAwayScore]]-Table2[[#This Row],[PredictedAwayScore]]</f>
        <v>0</v>
      </c>
      <c r="AG867" s="2">
        <f>Table2[[#This Row],[ActualHomeScore]]-Table2[[#This Row],[PredictedHomeScore]]</f>
        <v>0</v>
      </c>
      <c r="AH867" s="2">
        <f t="shared" si="72"/>
        <v>0</v>
      </c>
      <c r="AI867" s="2">
        <f t="shared" si="73"/>
        <v>0</v>
      </c>
      <c r="AJ867" s="2"/>
      <c r="AK867" s="3"/>
      <c r="AL867" s="2">
        <f>IF(Table2[[#This Row],[GameIsOver]]=0,0,IF(Table2[[#This Row],[ActualWinner]]=Table2[[#This Row],[AwayTeam]], 1, 0))</f>
        <v>0</v>
      </c>
      <c r="AM867" s="2">
        <f>IF(Table2[[#This Row],[GameIsOver]]=0,0,IF(Table2[[#This Row],[ActualWinner]]=Table2[[#This Row],[HomeTeam]], 1, 0))</f>
        <v>0</v>
      </c>
      <c r="AN8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7" s="2" t="str">
        <f>INDEX(Sheet5!$B$2:$AG$33, MATCH(Table2[[#This Row],[AwayTeam]],Sheet5!$A$2:$A$33, 0), MATCH(Table2[[#This Row],[HomeTeam]],Sheet5!$A$2:$A$33, 0))</f>
        <v>1-0-0</v>
      </c>
      <c r="AP867" s="2" t="str">
        <f>INDEX(Sheet5!$B$2:$AG$33, MATCH(Table2[[#This Row],[HomeTeam]],Sheet5!$A$2:$A$33, 0), MATCH(Table2[[#This Row],[AwayTeam]],Sheet5!$A$2:$A$33, 0))</f>
        <v>0-1-0</v>
      </c>
      <c r="AQ867" s="2">
        <f>IF(Table2[[#This Row],[GameHasShutOut]], 1, 0)</f>
        <v>0</v>
      </c>
      <c r="AR867" s="2">
        <f>IF(Table2[[#This Row],[ActualAwayScore]] + Table2[[#This Row],[ActualHomeScore]] &gt;= 10, 1, 0)</f>
        <v>0</v>
      </c>
      <c r="AS867" s="2">
        <f>IF(ABS(Table2[[#This Row],[ActualAwayScore]]-Table2[[#This Row],[ActualHomeScore]])&gt;=5, 1, 0)</f>
        <v>0</v>
      </c>
      <c r="AT867" s="2">
        <f>IF(Table2[[#This Row],[ActualAwayScore]] + Table2[[#This Row],[ActualHomeScore]] &lt;= 3, 1, 0)</f>
        <v>1</v>
      </c>
      <c r="AU867" s="2"/>
      <c r="AV867" s="2"/>
    </row>
    <row r="868" spans="1:48" x14ac:dyDescent="0.25">
      <c r="A868" s="3"/>
      <c r="B868" s="3">
        <v>46054</v>
      </c>
      <c r="C868" s="5">
        <v>2025020866</v>
      </c>
      <c r="D868" s="2" t="s">
        <v>31</v>
      </c>
      <c r="E868" s="2" t="s">
        <v>29</v>
      </c>
      <c r="F868" s="2"/>
      <c r="G868" s="2"/>
      <c r="H868" s="2" t="str">
        <f t="shared" si="69"/>
        <v>_</v>
      </c>
      <c r="I868" s="2"/>
      <c r="J868" s="2"/>
      <c r="K868" s="2"/>
      <c r="L868" s="2" t="str">
        <f t="shared" si="70"/>
        <v>_</v>
      </c>
      <c r="M868" s="2"/>
      <c r="N868" s="2">
        <f>IF(ISBLANK(Table2[[#This Row],[ActualResult]]), 0, 1)</f>
        <v>0</v>
      </c>
      <c r="O868" s="2" t="str">
        <f>IF(ISBLANK(Table2[[#This Row],[ActualResult]]), "_", IF(Table2[[#This Row],[ActualWinner]]=Table2[[#This Row],[PredictedWinner]], "Y", "N"))</f>
        <v>_</v>
      </c>
      <c r="P8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8" s="2"/>
      <c r="S868" s="2" t="str">
        <f t="shared" si="71"/>
        <v>_</v>
      </c>
      <c r="T8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8" s="2">
        <f>IF(Table2[[#This Row],[InterConf]]=1,IF(Table2[[#This Row],[InterDiv]]=0, 1, 0), 0)</f>
        <v>1</v>
      </c>
      <c r="W8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8" s="2"/>
      <c r="Y868" s="2"/>
      <c r="Z868" s="145">
        <f>IF(AND(Table2[[#This Row],[GameIsOver]]=1,Table2[[#This Row],[ActualHomeScore]]*Table2[[#This Row],[ActualAwayScore]]=0), 1,0)</f>
        <v>0</v>
      </c>
      <c r="AA8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68" s="2">
        <f>Table2[[#This Row],[ActualAwayScore]]-Table2[[#This Row],[PredictedAwayScore]]</f>
        <v>0</v>
      </c>
      <c r="AG868" s="2">
        <f>Table2[[#This Row],[ActualHomeScore]]-Table2[[#This Row],[PredictedHomeScore]]</f>
        <v>0</v>
      </c>
      <c r="AH868" s="2">
        <f t="shared" si="72"/>
        <v>0</v>
      </c>
      <c r="AI868" s="2">
        <f t="shared" si="73"/>
        <v>0</v>
      </c>
      <c r="AJ868" s="2"/>
      <c r="AK868" s="3"/>
      <c r="AL868" s="2">
        <f>IF(Table2[[#This Row],[GameIsOver]]=0,0,IF(Table2[[#This Row],[ActualWinner]]=Table2[[#This Row],[AwayTeam]], 1, 0))</f>
        <v>0</v>
      </c>
      <c r="AM868" s="2">
        <f>IF(Table2[[#This Row],[GameIsOver]]=0,0,IF(Table2[[#This Row],[ActualWinner]]=Table2[[#This Row],[HomeTeam]], 1, 0))</f>
        <v>0</v>
      </c>
      <c r="AN8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8" s="2" t="str">
        <f>INDEX(Sheet5!$B$2:$AG$33, MATCH(Table2[[#This Row],[AwayTeam]],Sheet5!$A$2:$A$33, 0), MATCH(Table2[[#This Row],[HomeTeam]],Sheet5!$A$2:$A$33, 0))</f>
        <v>0-0-0</v>
      </c>
      <c r="AP868" s="2" t="str">
        <f>INDEX(Sheet5!$B$2:$AG$33, MATCH(Table2[[#This Row],[HomeTeam]],Sheet5!$A$2:$A$33, 0), MATCH(Table2[[#This Row],[AwayTeam]],Sheet5!$A$2:$A$33, 0))</f>
        <v>0-0-0</v>
      </c>
      <c r="AQ868" s="2">
        <f>IF(Table2[[#This Row],[GameHasShutOut]], 1, 0)</f>
        <v>0</v>
      </c>
      <c r="AR868" s="2">
        <f>IF(Table2[[#This Row],[ActualAwayScore]] + Table2[[#This Row],[ActualHomeScore]] &gt;= 10, 1, 0)</f>
        <v>0</v>
      </c>
      <c r="AS868" s="2">
        <f>IF(ABS(Table2[[#This Row],[ActualAwayScore]]-Table2[[#This Row],[ActualHomeScore]])&gt;=5, 1, 0)</f>
        <v>0</v>
      </c>
      <c r="AT868" s="2">
        <f>IF(Table2[[#This Row],[ActualAwayScore]] + Table2[[#This Row],[ActualHomeScore]] &lt;= 3, 1, 0)</f>
        <v>1</v>
      </c>
      <c r="AU868" s="2"/>
      <c r="AV868" s="2"/>
    </row>
    <row r="869" spans="1:48" x14ac:dyDescent="0.25">
      <c r="A869" s="3"/>
      <c r="B869" s="3">
        <v>46054</v>
      </c>
      <c r="C869" s="5">
        <v>2025020867</v>
      </c>
      <c r="D869" s="2" t="s">
        <v>34</v>
      </c>
      <c r="E869" s="2" t="s">
        <v>32</v>
      </c>
      <c r="F869" s="2"/>
      <c r="G869" s="2"/>
      <c r="H869" s="2" t="str">
        <f t="shared" si="69"/>
        <v>_</v>
      </c>
      <c r="I869" s="2"/>
      <c r="J869" s="2"/>
      <c r="K869" s="2"/>
      <c r="L869" s="2" t="str">
        <f t="shared" si="70"/>
        <v>_</v>
      </c>
      <c r="M869" s="2"/>
      <c r="N869" s="2">
        <f>IF(ISBLANK(Table2[[#This Row],[ActualResult]]), 0, 1)</f>
        <v>0</v>
      </c>
      <c r="O869" s="2" t="str">
        <f>IF(ISBLANK(Table2[[#This Row],[ActualResult]]), "_", IF(Table2[[#This Row],[ActualWinner]]=Table2[[#This Row],[PredictedWinner]], "Y", "N"))</f>
        <v>_</v>
      </c>
      <c r="P8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9" s="2"/>
      <c r="S869" s="2" t="str">
        <f t="shared" si="71"/>
        <v>_</v>
      </c>
      <c r="T8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9" s="2">
        <f>IF(Table2[[#This Row],[InterConf]]=1,IF(Table2[[#This Row],[InterDiv]]=0, 1, 0), 0)</f>
        <v>0</v>
      </c>
      <c r="W8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9" s="2"/>
      <c r="Y869" s="2"/>
      <c r="Z869" s="145">
        <f>IF(AND(Table2[[#This Row],[GameIsOver]]=1,Table2[[#This Row],[ActualHomeScore]]*Table2[[#This Row],[ActualAwayScore]]=0), 1,0)</f>
        <v>0</v>
      </c>
      <c r="AA8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69" s="2">
        <f>Table2[[#This Row],[ActualAwayScore]]-Table2[[#This Row],[PredictedAwayScore]]</f>
        <v>0</v>
      </c>
      <c r="AG869" s="2">
        <f>Table2[[#This Row],[ActualHomeScore]]-Table2[[#This Row],[PredictedHomeScore]]</f>
        <v>0</v>
      </c>
      <c r="AH869" s="2">
        <f t="shared" si="72"/>
        <v>0</v>
      </c>
      <c r="AI869" s="2">
        <f t="shared" si="73"/>
        <v>0</v>
      </c>
      <c r="AJ869" s="2"/>
      <c r="AK869" s="3"/>
      <c r="AL869" s="2">
        <f>IF(Table2[[#This Row],[GameIsOver]]=0,0,IF(Table2[[#This Row],[ActualWinner]]=Table2[[#This Row],[AwayTeam]], 1, 0))</f>
        <v>0</v>
      </c>
      <c r="AM869" s="2">
        <f>IF(Table2[[#This Row],[GameIsOver]]=0,0,IF(Table2[[#This Row],[ActualWinner]]=Table2[[#This Row],[HomeTeam]], 1, 0))</f>
        <v>0</v>
      </c>
      <c r="AN8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9" s="2" t="str">
        <f>INDEX(Sheet5!$B$2:$AG$33, MATCH(Table2[[#This Row],[AwayTeam]],Sheet5!$A$2:$A$33, 0), MATCH(Table2[[#This Row],[HomeTeam]],Sheet5!$A$2:$A$33, 0))</f>
        <v>0-0-0</v>
      </c>
      <c r="AP869" s="2" t="str">
        <f>INDEX(Sheet5!$B$2:$AG$33, MATCH(Table2[[#This Row],[HomeTeam]],Sheet5!$A$2:$A$33, 0), MATCH(Table2[[#This Row],[AwayTeam]],Sheet5!$A$2:$A$33, 0))</f>
        <v>0-0-0</v>
      </c>
      <c r="AQ869" s="2">
        <f>IF(Table2[[#This Row],[GameHasShutOut]], 1, 0)</f>
        <v>0</v>
      </c>
      <c r="AR869" s="2">
        <f>IF(Table2[[#This Row],[ActualAwayScore]] + Table2[[#This Row],[ActualHomeScore]] &gt;= 10, 1, 0)</f>
        <v>0</v>
      </c>
      <c r="AS869" s="2">
        <f>IF(ABS(Table2[[#This Row],[ActualAwayScore]]-Table2[[#This Row],[ActualHomeScore]])&gt;=5, 1, 0)</f>
        <v>0</v>
      </c>
      <c r="AT869" s="2">
        <f>IF(Table2[[#This Row],[ActualAwayScore]] + Table2[[#This Row],[ActualHomeScore]] &lt;= 3, 1, 0)</f>
        <v>1</v>
      </c>
      <c r="AU869" s="2"/>
      <c r="AV869" s="2"/>
    </row>
    <row r="870" spans="1:48" x14ac:dyDescent="0.25">
      <c r="A870" s="3"/>
      <c r="B870" s="3">
        <v>46054</v>
      </c>
      <c r="C870" s="5">
        <v>2025020868</v>
      </c>
      <c r="D870" s="2" t="s">
        <v>35</v>
      </c>
      <c r="E870" s="2" t="s">
        <v>12</v>
      </c>
      <c r="F870" s="2"/>
      <c r="G870" s="2"/>
      <c r="H870" s="2" t="str">
        <f t="shared" si="69"/>
        <v>_</v>
      </c>
      <c r="I870" s="2"/>
      <c r="J870" s="2"/>
      <c r="K870" s="2"/>
      <c r="L870" s="2" t="str">
        <f t="shared" si="70"/>
        <v>_</v>
      </c>
      <c r="M870" s="2"/>
      <c r="N870" s="2">
        <f>IF(ISBLANK(Table2[[#This Row],[ActualResult]]), 0, 1)</f>
        <v>0</v>
      </c>
      <c r="O870" s="2" t="str">
        <f>IF(ISBLANK(Table2[[#This Row],[ActualResult]]), "_", IF(Table2[[#This Row],[ActualWinner]]=Table2[[#This Row],[PredictedWinner]], "Y", "N"))</f>
        <v>_</v>
      </c>
      <c r="P8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0" s="2"/>
      <c r="S870" s="2" t="str">
        <f t="shared" si="71"/>
        <v>_</v>
      </c>
      <c r="T8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0" s="2">
        <f>IF(Table2[[#This Row],[InterConf]]=1,IF(Table2[[#This Row],[InterDiv]]=0, 1, 0), 0)</f>
        <v>0</v>
      </c>
      <c r="W8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0" s="2"/>
      <c r="Y870" s="2"/>
      <c r="Z870" s="145">
        <f>IF(AND(Table2[[#This Row],[GameIsOver]]=1,Table2[[#This Row],[ActualHomeScore]]*Table2[[#This Row],[ActualAwayScore]]=0), 1,0)</f>
        <v>0</v>
      </c>
      <c r="AA8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0" s="2">
        <f>Table2[[#This Row],[ActualAwayScore]]-Table2[[#This Row],[PredictedAwayScore]]</f>
        <v>0</v>
      </c>
      <c r="AG870" s="2">
        <f>Table2[[#This Row],[ActualHomeScore]]-Table2[[#This Row],[PredictedHomeScore]]</f>
        <v>0</v>
      </c>
      <c r="AH870" s="2">
        <f t="shared" si="72"/>
        <v>0</v>
      </c>
      <c r="AI870" s="2">
        <f t="shared" si="73"/>
        <v>0</v>
      </c>
      <c r="AJ870" s="2"/>
      <c r="AK870" s="3"/>
      <c r="AL870" s="2">
        <f>IF(Table2[[#This Row],[GameIsOver]]=0,0,IF(Table2[[#This Row],[ActualWinner]]=Table2[[#This Row],[AwayTeam]], 1, 0))</f>
        <v>0</v>
      </c>
      <c r="AM870" s="2">
        <f>IF(Table2[[#This Row],[GameIsOver]]=0,0,IF(Table2[[#This Row],[ActualWinner]]=Table2[[#This Row],[HomeTeam]], 1, 0))</f>
        <v>0</v>
      </c>
      <c r="AN8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0" s="2" t="str">
        <f>INDEX(Sheet5!$B$2:$AG$33, MATCH(Table2[[#This Row],[AwayTeam]],Sheet5!$A$2:$A$33, 0), MATCH(Table2[[#This Row],[HomeTeam]],Sheet5!$A$2:$A$33, 0))</f>
        <v>0-0-0</v>
      </c>
      <c r="AP870" s="2" t="str">
        <f>INDEX(Sheet5!$B$2:$AG$33, MATCH(Table2[[#This Row],[HomeTeam]],Sheet5!$A$2:$A$33, 0), MATCH(Table2[[#This Row],[AwayTeam]],Sheet5!$A$2:$A$33, 0))</f>
        <v>0-0-0</v>
      </c>
      <c r="AQ870" s="2">
        <f>IF(Table2[[#This Row],[GameHasShutOut]], 1, 0)</f>
        <v>0</v>
      </c>
      <c r="AR870" s="2">
        <f>IF(Table2[[#This Row],[ActualAwayScore]] + Table2[[#This Row],[ActualHomeScore]] &gt;= 10, 1, 0)</f>
        <v>0</v>
      </c>
      <c r="AS870" s="2">
        <f>IF(ABS(Table2[[#This Row],[ActualAwayScore]]-Table2[[#This Row],[ActualHomeScore]])&gt;=5, 1, 0)</f>
        <v>0</v>
      </c>
      <c r="AT870" s="2">
        <f>IF(Table2[[#This Row],[ActualAwayScore]] + Table2[[#This Row],[ActualHomeScore]] &lt;= 3, 1, 0)</f>
        <v>1</v>
      </c>
      <c r="AU870" s="2"/>
      <c r="AV870" s="2"/>
    </row>
    <row r="871" spans="1:48" x14ac:dyDescent="0.25">
      <c r="A871" s="3"/>
      <c r="B871" s="3">
        <v>46054</v>
      </c>
      <c r="C871" s="5">
        <v>2025020869</v>
      </c>
      <c r="D871" s="2" t="s">
        <v>17</v>
      </c>
      <c r="E871" s="2" t="s">
        <v>24</v>
      </c>
      <c r="F871" s="2"/>
      <c r="G871" s="2"/>
      <c r="H871" s="2" t="str">
        <f t="shared" si="69"/>
        <v>_</v>
      </c>
      <c r="I871" s="2"/>
      <c r="J871" s="2"/>
      <c r="K871" s="2"/>
      <c r="L871" s="2" t="str">
        <f t="shared" si="70"/>
        <v>_</v>
      </c>
      <c r="M871" s="2"/>
      <c r="N871" s="2">
        <f>IF(ISBLANK(Table2[[#This Row],[ActualResult]]), 0, 1)</f>
        <v>0</v>
      </c>
      <c r="O871" s="2" t="str">
        <f>IF(ISBLANK(Table2[[#This Row],[ActualResult]]), "_", IF(Table2[[#This Row],[ActualWinner]]=Table2[[#This Row],[PredictedWinner]], "Y", "N"))</f>
        <v>_</v>
      </c>
      <c r="P8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1" s="2"/>
      <c r="S871" s="2" t="str">
        <f t="shared" si="71"/>
        <v>_</v>
      </c>
      <c r="T8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1" s="2">
        <f>IF(Table2[[#This Row],[InterConf]]=1,IF(Table2[[#This Row],[InterDiv]]=0, 1, 0), 0)</f>
        <v>0</v>
      </c>
      <c r="W8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1" s="2"/>
      <c r="Y871" s="2"/>
      <c r="Z871" s="145">
        <f>IF(AND(Table2[[#This Row],[GameIsOver]]=1,Table2[[#This Row],[ActualHomeScore]]*Table2[[#This Row],[ActualAwayScore]]=0), 1,0)</f>
        <v>0</v>
      </c>
      <c r="AA8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1" s="2">
        <f>Table2[[#This Row],[ActualAwayScore]]-Table2[[#This Row],[PredictedAwayScore]]</f>
        <v>0</v>
      </c>
      <c r="AG871" s="2">
        <f>Table2[[#This Row],[ActualHomeScore]]-Table2[[#This Row],[PredictedHomeScore]]</f>
        <v>0</v>
      </c>
      <c r="AH871" s="2">
        <f t="shared" si="72"/>
        <v>0</v>
      </c>
      <c r="AI871" s="2">
        <f t="shared" si="73"/>
        <v>0</v>
      </c>
      <c r="AJ871" s="2"/>
      <c r="AK871" s="3"/>
      <c r="AL871" s="2">
        <f>IF(Table2[[#This Row],[GameIsOver]]=0,0,IF(Table2[[#This Row],[ActualWinner]]=Table2[[#This Row],[AwayTeam]], 1, 0))</f>
        <v>0</v>
      </c>
      <c r="AM871" s="2">
        <f>IF(Table2[[#This Row],[GameIsOver]]=0,0,IF(Table2[[#This Row],[ActualWinner]]=Table2[[#This Row],[HomeTeam]], 1, 0))</f>
        <v>0</v>
      </c>
      <c r="AN8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1" s="2" t="str">
        <f>INDEX(Sheet5!$B$2:$AG$33, MATCH(Table2[[#This Row],[AwayTeam]],Sheet5!$A$2:$A$33, 0), MATCH(Table2[[#This Row],[HomeTeam]],Sheet5!$A$2:$A$33, 0))</f>
        <v>0-0-0</v>
      </c>
      <c r="AP871" s="2" t="str">
        <f>INDEX(Sheet5!$B$2:$AG$33, MATCH(Table2[[#This Row],[HomeTeam]],Sheet5!$A$2:$A$33, 0), MATCH(Table2[[#This Row],[AwayTeam]],Sheet5!$A$2:$A$33, 0))</f>
        <v>0-0-0</v>
      </c>
      <c r="AQ871" s="2">
        <f>IF(Table2[[#This Row],[GameHasShutOut]], 1, 0)</f>
        <v>0</v>
      </c>
      <c r="AR871" s="2">
        <f>IF(Table2[[#This Row],[ActualAwayScore]] + Table2[[#This Row],[ActualHomeScore]] &gt;= 10, 1, 0)</f>
        <v>0</v>
      </c>
      <c r="AS871" s="2">
        <f>IF(ABS(Table2[[#This Row],[ActualAwayScore]]-Table2[[#This Row],[ActualHomeScore]])&gt;=5, 1, 0)</f>
        <v>0</v>
      </c>
      <c r="AT871" s="2">
        <f>IF(Table2[[#This Row],[ActualAwayScore]] + Table2[[#This Row],[ActualHomeScore]] &lt;= 3, 1, 0)</f>
        <v>1</v>
      </c>
      <c r="AU871" s="2"/>
      <c r="AV871" s="2"/>
    </row>
    <row r="872" spans="1:48" x14ac:dyDescent="0.25">
      <c r="A872" s="3"/>
      <c r="B872" s="3">
        <v>46054</v>
      </c>
      <c r="C872" s="5">
        <v>2025020870</v>
      </c>
      <c r="D872" s="2" t="s">
        <v>33</v>
      </c>
      <c r="E872" s="2" t="s">
        <v>14</v>
      </c>
      <c r="F872" s="2"/>
      <c r="G872" s="2"/>
      <c r="H872" s="2" t="str">
        <f t="shared" si="69"/>
        <v>_</v>
      </c>
      <c r="I872" s="2"/>
      <c r="J872" s="2"/>
      <c r="K872" s="2"/>
      <c r="L872" s="2" t="str">
        <f t="shared" si="70"/>
        <v>_</v>
      </c>
      <c r="M872" s="2"/>
      <c r="N872" s="2">
        <f>IF(ISBLANK(Table2[[#This Row],[ActualResult]]), 0, 1)</f>
        <v>0</v>
      </c>
      <c r="O872" s="2" t="str">
        <f>IF(ISBLANK(Table2[[#This Row],[ActualResult]]), "_", IF(Table2[[#This Row],[ActualWinner]]=Table2[[#This Row],[PredictedWinner]], "Y", "N"))</f>
        <v>_</v>
      </c>
      <c r="P8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2" s="2"/>
      <c r="S872" s="2" t="str">
        <f t="shared" si="71"/>
        <v>_</v>
      </c>
      <c r="T8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2" s="2">
        <f>IF(Table2[[#This Row],[InterConf]]=1,IF(Table2[[#This Row],[InterDiv]]=0, 1, 0), 0)</f>
        <v>0</v>
      </c>
      <c r="W8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2" s="2"/>
      <c r="Y872" s="2"/>
      <c r="Z872" s="145">
        <f>IF(AND(Table2[[#This Row],[GameIsOver]]=1,Table2[[#This Row],[ActualHomeScore]]*Table2[[#This Row],[ActualAwayScore]]=0), 1,0)</f>
        <v>0</v>
      </c>
      <c r="AA8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2" s="2">
        <f>Table2[[#This Row],[ActualAwayScore]]-Table2[[#This Row],[PredictedAwayScore]]</f>
        <v>0</v>
      </c>
      <c r="AG872" s="2">
        <f>Table2[[#This Row],[ActualHomeScore]]-Table2[[#This Row],[PredictedHomeScore]]</f>
        <v>0</v>
      </c>
      <c r="AH872" s="2">
        <f t="shared" si="72"/>
        <v>0</v>
      </c>
      <c r="AI872" s="2">
        <f t="shared" si="73"/>
        <v>0</v>
      </c>
      <c r="AJ872" s="2"/>
      <c r="AK872" s="3"/>
      <c r="AL872" s="2">
        <f>IF(Table2[[#This Row],[GameIsOver]]=0,0,IF(Table2[[#This Row],[ActualWinner]]=Table2[[#This Row],[AwayTeam]], 1, 0))</f>
        <v>0</v>
      </c>
      <c r="AM872" s="2">
        <f>IF(Table2[[#This Row],[GameIsOver]]=0,0,IF(Table2[[#This Row],[ActualWinner]]=Table2[[#This Row],[HomeTeam]], 1, 0))</f>
        <v>0</v>
      </c>
      <c r="AN8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2" s="2" t="str">
        <f>INDEX(Sheet5!$B$2:$AG$33, MATCH(Table2[[#This Row],[AwayTeam]],Sheet5!$A$2:$A$33, 0), MATCH(Table2[[#This Row],[HomeTeam]],Sheet5!$A$2:$A$33, 0))</f>
        <v>0-0-0</v>
      </c>
      <c r="AP872" s="2" t="str">
        <f>INDEX(Sheet5!$B$2:$AG$33, MATCH(Table2[[#This Row],[HomeTeam]],Sheet5!$A$2:$A$33, 0), MATCH(Table2[[#This Row],[AwayTeam]],Sheet5!$A$2:$A$33, 0))</f>
        <v>0-0-0</v>
      </c>
      <c r="AQ872" s="2">
        <f>IF(Table2[[#This Row],[GameHasShutOut]], 1, 0)</f>
        <v>0</v>
      </c>
      <c r="AR872" s="2">
        <f>IF(Table2[[#This Row],[ActualAwayScore]] + Table2[[#This Row],[ActualHomeScore]] &gt;= 10, 1, 0)</f>
        <v>0</v>
      </c>
      <c r="AS872" s="2">
        <f>IF(ABS(Table2[[#This Row],[ActualAwayScore]]-Table2[[#This Row],[ActualHomeScore]])&gt;=5, 1, 0)</f>
        <v>0</v>
      </c>
      <c r="AT872" s="2">
        <f>IF(Table2[[#This Row],[ActualAwayScore]] + Table2[[#This Row],[ActualHomeScore]] &lt;= 3, 1, 0)</f>
        <v>1</v>
      </c>
      <c r="AU872" s="2"/>
      <c r="AV872" s="2"/>
    </row>
    <row r="873" spans="1:48" x14ac:dyDescent="0.25">
      <c r="A873" s="3"/>
      <c r="B873" s="3">
        <v>46054</v>
      </c>
      <c r="C873" s="5">
        <v>2025020871</v>
      </c>
      <c r="D873" s="2" t="s">
        <v>36</v>
      </c>
      <c r="E873" s="2" t="s">
        <v>22</v>
      </c>
      <c r="F873" s="2"/>
      <c r="G873" s="2"/>
      <c r="H873" s="2" t="str">
        <f t="shared" si="69"/>
        <v>_</v>
      </c>
      <c r="I873" s="2"/>
      <c r="J873" s="2"/>
      <c r="K873" s="2"/>
      <c r="L873" s="2" t="str">
        <f t="shared" si="70"/>
        <v>_</v>
      </c>
      <c r="M873" s="2"/>
      <c r="N873" s="2">
        <f>IF(ISBLANK(Table2[[#This Row],[ActualResult]]), 0, 1)</f>
        <v>0</v>
      </c>
      <c r="O873" s="2" t="str">
        <f>IF(ISBLANK(Table2[[#This Row],[ActualResult]]), "_", IF(Table2[[#This Row],[ActualWinner]]=Table2[[#This Row],[PredictedWinner]], "Y", "N"))</f>
        <v>_</v>
      </c>
      <c r="P8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3" s="2"/>
      <c r="S873" s="2" t="str">
        <f t="shared" si="71"/>
        <v>_</v>
      </c>
      <c r="T8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3" s="2">
        <f>IF(Table2[[#This Row],[InterConf]]=1,IF(Table2[[#This Row],[InterDiv]]=0, 1, 0), 0)</f>
        <v>1</v>
      </c>
      <c r="W8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3" s="2"/>
      <c r="Y873" s="2"/>
      <c r="Z873" s="145">
        <f>IF(AND(Table2[[#This Row],[GameIsOver]]=1,Table2[[#This Row],[ActualHomeScore]]*Table2[[#This Row],[ActualAwayScore]]=0), 1,0)</f>
        <v>0</v>
      </c>
      <c r="AA8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3" s="2">
        <f>Table2[[#This Row],[ActualAwayScore]]-Table2[[#This Row],[PredictedAwayScore]]</f>
        <v>0</v>
      </c>
      <c r="AG873" s="2">
        <f>Table2[[#This Row],[ActualHomeScore]]-Table2[[#This Row],[PredictedHomeScore]]</f>
        <v>0</v>
      </c>
      <c r="AH873" s="2">
        <f t="shared" si="72"/>
        <v>0</v>
      </c>
      <c r="AI873" s="2">
        <f t="shared" si="73"/>
        <v>0</v>
      </c>
      <c r="AJ873" s="2"/>
      <c r="AK873" s="3"/>
      <c r="AL873" s="2">
        <f>IF(Table2[[#This Row],[GameIsOver]]=0,0,IF(Table2[[#This Row],[ActualWinner]]=Table2[[#This Row],[AwayTeam]], 1, 0))</f>
        <v>0</v>
      </c>
      <c r="AM873" s="2">
        <f>IF(Table2[[#This Row],[GameIsOver]]=0,0,IF(Table2[[#This Row],[ActualWinner]]=Table2[[#This Row],[HomeTeam]], 1, 0))</f>
        <v>0</v>
      </c>
      <c r="AN8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3" s="2" t="str">
        <f>INDEX(Sheet5!$B$2:$AG$33, MATCH(Table2[[#This Row],[AwayTeam]],Sheet5!$A$2:$A$33, 0), MATCH(Table2[[#This Row],[HomeTeam]],Sheet5!$A$2:$A$33, 0))</f>
        <v>0-0-0</v>
      </c>
      <c r="AP873" s="2" t="str">
        <f>INDEX(Sheet5!$B$2:$AG$33, MATCH(Table2[[#This Row],[HomeTeam]],Sheet5!$A$2:$A$33, 0), MATCH(Table2[[#This Row],[AwayTeam]],Sheet5!$A$2:$A$33, 0))</f>
        <v>0-0-0</v>
      </c>
      <c r="AQ873" s="2">
        <f>IF(Table2[[#This Row],[GameHasShutOut]], 1, 0)</f>
        <v>0</v>
      </c>
      <c r="AR873" s="2">
        <f>IF(Table2[[#This Row],[ActualAwayScore]] + Table2[[#This Row],[ActualHomeScore]] &gt;= 10, 1, 0)</f>
        <v>0</v>
      </c>
      <c r="AS873" s="2">
        <f>IF(ABS(Table2[[#This Row],[ActualAwayScore]]-Table2[[#This Row],[ActualHomeScore]])&gt;=5, 1, 0)</f>
        <v>0</v>
      </c>
      <c r="AT873" s="2">
        <f>IF(Table2[[#This Row],[ActualAwayScore]] + Table2[[#This Row],[ActualHomeScore]] &lt;= 3, 1, 0)</f>
        <v>1</v>
      </c>
      <c r="AU873" s="2"/>
      <c r="AV873" s="2"/>
    </row>
    <row r="874" spans="1:48" x14ac:dyDescent="0.25">
      <c r="A874" s="3"/>
      <c r="B874" s="3">
        <v>46054</v>
      </c>
      <c r="C874" s="5">
        <v>2025020872</v>
      </c>
      <c r="D874" s="2" t="s">
        <v>11</v>
      </c>
      <c r="E874" s="2" t="s">
        <v>26</v>
      </c>
      <c r="F874" s="2"/>
      <c r="G874" s="2"/>
      <c r="H874" s="2" t="str">
        <f t="shared" si="69"/>
        <v>_</v>
      </c>
      <c r="I874" s="2"/>
      <c r="J874" s="2"/>
      <c r="K874" s="2"/>
      <c r="L874" s="2" t="str">
        <f t="shared" si="70"/>
        <v>_</v>
      </c>
      <c r="M874" s="2"/>
      <c r="N874" s="2">
        <f>IF(ISBLANK(Table2[[#This Row],[ActualResult]]), 0, 1)</f>
        <v>0</v>
      </c>
      <c r="O874" s="2" t="str">
        <f>IF(ISBLANK(Table2[[#This Row],[ActualResult]]), "_", IF(Table2[[#This Row],[ActualWinner]]=Table2[[#This Row],[PredictedWinner]], "Y", "N"))</f>
        <v>_</v>
      </c>
      <c r="P8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4" s="2"/>
      <c r="S874" s="2" t="str">
        <f t="shared" si="71"/>
        <v>_</v>
      </c>
      <c r="T8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4" s="2">
        <f>IF(Table2[[#This Row],[InterConf]]=1,IF(Table2[[#This Row],[InterDiv]]=0, 1, 0), 0)</f>
        <v>0</v>
      </c>
      <c r="W8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4" s="2"/>
      <c r="Y874" s="2"/>
      <c r="Z874" s="145">
        <f>IF(AND(Table2[[#This Row],[GameIsOver]]=1,Table2[[#This Row],[ActualHomeScore]]*Table2[[#This Row],[ActualAwayScore]]=0), 1,0)</f>
        <v>0</v>
      </c>
      <c r="AA8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4" s="2">
        <f>Table2[[#This Row],[ActualAwayScore]]-Table2[[#This Row],[PredictedAwayScore]]</f>
        <v>0</v>
      </c>
      <c r="AG874" s="2">
        <f>Table2[[#This Row],[ActualHomeScore]]-Table2[[#This Row],[PredictedHomeScore]]</f>
        <v>0</v>
      </c>
      <c r="AH874" s="2">
        <f t="shared" si="72"/>
        <v>0</v>
      </c>
      <c r="AI874" s="2">
        <f t="shared" si="73"/>
        <v>0</v>
      </c>
      <c r="AJ874" s="2"/>
      <c r="AK874" s="3"/>
      <c r="AL874" s="2">
        <f>IF(Table2[[#This Row],[GameIsOver]]=0,0,IF(Table2[[#This Row],[ActualWinner]]=Table2[[#This Row],[AwayTeam]], 1, 0))</f>
        <v>0</v>
      </c>
      <c r="AM874" s="2">
        <f>IF(Table2[[#This Row],[GameIsOver]]=0,0,IF(Table2[[#This Row],[ActualWinner]]=Table2[[#This Row],[HomeTeam]], 1, 0))</f>
        <v>0</v>
      </c>
      <c r="AN8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4" s="2" t="str">
        <f>INDEX(Sheet5!$B$2:$AG$33, MATCH(Table2[[#This Row],[AwayTeam]],Sheet5!$A$2:$A$33, 0), MATCH(Table2[[#This Row],[HomeTeam]],Sheet5!$A$2:$A$33, 0))</f>
        <v>1-0-0</v>
      </c>
      <c r="AP874" s="2" t="str">
        <f>INDEX(Sheet5!$B$2:$AG$33, MATCH(Table2[[#This Row],[HomeTeam]],Sheet5!$A$2:$A$33, 0), MATCH(Table2[[#This Row],[AwayTeam]],Sheet5!$A$2:$A$33, 0))</f>
        <v>0-0-1</v>
      </c>
      <c r="AQ874" s="2">
        <f>IF(Table2[[#This Row],[GameHasShutOut]], 1, 0)</f>
        <v>0</v>
      </c>
      <c r="AR874" s="2">
        <f>IF(Table2[[#This Row],[ActualAwayScore]] + Table2[[#This Row],[ActualHomeScore]] &gt;= 10, 1, 0)</f>
        <v>0</v>
      </c>
      <c r="AS874" s="2">
        <f>IF(ABS(Table2[[#This Row],[ActualAwayScore]]-Table2[[#This Row],[ActualHomeScore]])&gt;=5, 1, 0)</f>
        <v>0</v>
      </c>
      <c r="AT874" s="2">
        <f>IF(Table2[[#This Row],[ActualAwayScore]] + Table2[[#This Row],[ActualHomeScore]] &lt;= 3, 1, 0)</f>
        <v>1</v>
      </c>
      <c r="AU874" s="2"/>
      <c r="AV874" s="2"/>
    </row>
    <row r="875" spans="1:48" x14ac:dyDescent="0.25">
      <c r="A875" s="3"/>
      <c r="B875" s="3">
        <v>46054</v>
      </c>
      <c r="C875" s="5">
        <v>2025020873</v>
      </c>
      <c r="D875" s="2" t="s">
        <v>15</v>
      </c>
      <c r="E875" s="2" t="s">
        <v>40</v>
      </c>
      <c r="F875" s="2"/>
      <c r="G875" s="2"/>
      <c r="H875" s="2" t="str">
        <f t="shared" si="69"/>
        <v>_</v>
      </c>
      <c r="I875" s="2"/>
      <c r="J875" s="2"/>
      <c r="K875" s="2"/>
      <c r="L875" s="2" t="str">
        <f t="shared" si="70"/>
        <v>_</v>
      </c>
      <c r="M875" s="2"/>
      <c r="N875" s="2">
        <f>IF(ISBLANK(Table2[[#This Row],[ActualResult]]), 0, 1)</f>
        <v>0</v>
      </c>
      <c r="O875" s="2" t="str">
        <f>IF(ISBLANK(Table2[[#This Row],[ActualResult]]), "_", IF(Table2[[#This Row],[ActualWinner]]=Table2[[#This Row],[PredictedWinner]], "Y", "N"))</f>
        <v>_</v>
      </c>
      <c r="P8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5" s="2"/>
      <c r="S875" s="2" t="str">
        <f t="shared" si="71"/>
        <v>_</v>
      </c>
      <c r="T8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5" s="2">
        <f>IF(Table2[[#This Row],[InterConf]]=1,IF(Table2[[#This Row],[InterDiv]]=0, 1, 0), 0)</f>
        <v>0</v>
      </c>
      <c r="W8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5" s="2"/>
      <c r="Y875" s="2"/>
      <c r="Z875" s="145">
        <f>IF(AND(Table2[[#This Row],[GameIsOver]]=1,Table2[[#This Row],[ActualHomeScore]]*Table2[[#This Row],[ActualAwayScore]]=0), 1,0)</f>
        <v>0</v>
      </c>
      <c r="AA8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5" s="2">
        <f>Table2[[#This Row],[ActualAwayScore]]-Table2[[#This Row],[PredictedAwayScore]]</f>
        <v>0</v>
      </c>
      <c r="AG875" s="2">
        <f>Table2[[#This Row],[ActualHomeScore]]-Table2[[#This Row],[PredictedHomeScore]]</f>
        <v>0</v>
      </c>
      <c r="AH875" s="2">
        <f t="shared" si="72"/>
        <v>0</v>
      </c>
      <c r="AI875" s="2">
        <f t="shared" si="73"/>
        <v>0</v>
      </c>
      <c r="AJ875" s="2"/>
      <c r="AK875" s="3"/>
      <c r="AL875" s="2">
        <f>IF(Table2[[#This Row],[GameIsOver]]=0,0,IF(Table2[[#This Row],[ActualWinner]]=Table2[[#This Row],[AwayTeam]], 1, 0))</f>
        <v>0</v>
      </c>
      <c r="AM875" s="2">
        <f>IF(Table2[[#This Row],[GameIsOver]]=0,0,IF(Table2[[#This Row],[ActualWinner]]=Table2[[#This Row],[HomeTeam]], 1, 0))</f>
        <v>0</v>
      </c>
      <c r="AN8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5" s="2" t="str">
        <f>INDEX(Sheet5!$B$2:$AG$33, MATCH(Table2[[#This Row],[AwayTeam]],Sheet5!$A$2:$A$33, 0), MATCH(Table2[[#This Row],[HomeTeam]],Sheet5!$A$2:$A$33, 0))</f>
        <v>0-1-0</v>
      </c>
      <c r="AP875" s="2" t="str">
        <f>INDEX(Sheet5!$B$2:$AG$33, MATCH(Table2[[#This Row],[HomeTeam]],Sheet5!$A$2:$A$33, 0), MATCH(Table2[[#This Row],[AwayTeam]],Sheet5!$A$2:$A$33, 0))</f>
        <v>1-0-0</v>
      </c>
      <c r="AQ875" s="2">
        <f>IF(Table2[[#This Row],[GameHasShutOut]], 1, 0)</f>
        <v>0</v>
      </c>
      <c r="AR875" s="2">
        <f>IF(Table2[[#This Row],[ActualAwayScore]] + Table2[[#This Row],[ActualHomeScore]] &gt;= 10, 1, 0)</f>
        <v>0</v>
      </c>
      <c r="AS875" s="2">
        <f>IF(ABS(Table2[[#This Row],[ActualAwayScore]]-Table2[[#This Row],[ActualHomeScore]])&gt;=5, 1, 0)</f>
        <v>0</v>
      </c>
      <c r="AT875" s="2">
        <f>IF(Table2[[#This Row],[ActualAwayScore]] + Table2[[#This Row],[ActualHomeScore]] &lt;= 3, 1, 0)</f>
        <v>1</v>
      </c>
      <c r="AU875" s="2"/>
      <c r="AV875" s="2"/>
    </row>
    <row r="876" spans="1:48" x14ac:dyDescent="0.25">
      <c r="A876" s="3"/>
      <c r="B876" s="3">
        <v>46054</v>
      </c>
      <c r="C876" s="5">
        <v>2025020874</v>
      </c>
      <c r="D876" s="2" t="s">
        <v>27</v>
      </c>
      <c r="E876" s="2" t="s">
        <v>41</v>
      </c>
      <c r="F876" s="2"/>
      <c r="G876" s="2"/>
      <c r="H876" s="2" t="str">
        <f t="shared" si="69"/>
        <v>_</v>
      </c>
      <c r="I876" s="2"/>
      <c r="J876" s="2"/>
      <c r="K876" s="2"/>
      <c r="L876" s="2" t="str">
        <f t="shared" si="70"/>
        <v>_</v>
      </c>
      <c r="M876" s="2"/>
      <c r="N876" s="2">
        <f>IF(ISBLANK(Table2[[#This Row],[ActualResult]]), 0, 1)</f>
        <v>0</v>
      </c>
      <c r="O876" s="2" t="str">
        <f>IF(ISBLANK(Table2[[#This Row],[ActualResult]]), "_", IF(Table2[[#This Row],[ActualWinner]]=Table2[[#This Row],[PredictedWinner]], "Y", "N"))</f>
        <v>_</v>
      </c>
      <c r="P8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6" s="2"/>
      <c r="S876" s="2" t="str">
        <f t="shared" si="71"/>
        <v>_</v>
      </c>
      <c r="T8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6" s="2">
        <f>IF(Table2[[#This Row],[InterConf]]=1,IF(Table2[[#This Row],[InterDiv]]=0, 1, 0), 0)</f>
        <v>0</v>
      </c>
      <c r="W8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6" s="2"/>
      <c r="Y876" s="2"/>
      <c r="Z876" s="145">
        <f>IF(AND(Table2[[#This Row],[GameIsOver]]=1,Table2[[#This Row],[ActualHomeScore]]*Table2[[#This Row],[ActualAwayScore]]=0), 1,0)</f>
        <v>0</v>
      </c>
      <c r="AA8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6" s="2">
        <f>Table2[[#This Row],[ActualAwayScore]]-Table2[[#This Row],[PredictedAwayScore]]</f>
        <v>0</v>
      </c>
      <c r="AG876" s="2">
        <f>Table2[[#This Row],[ActualHomeScore]]-Table2[[#This Row],[PredictedHomeScore]]</f>
        <v>0</v>
      </c>
      <c r="AH876" s="2">
        <f t="shared" si="72"/>
        <v>0</v>
      </c>
      <c r="AI876" s="2">
        <f t="shared" si="73"/>
        <v>0</v>
      </c>
      <c r="AJ876" s="2"/>
      <c r="AK876" s="3"/>
      <c r="AL876" s="2">
        <f>IF(Table2[[#This Row],[GameIsOver]]=0,0,IF(Table2[[#This Row],[ActualWinner]]=Table2[[#This Row],[AwayTeam]], 1, 0))</f>
        <v>0</v>
      </c>
      <c r="AM876" s="2">
        <f>IF(Table2[[#This Row],[GameIsOver]]=0,0,IF(Table2[[#This Row],[ActualWinner]]=Table2[[#This Row],[HomeTeam]], 1, 0))</f>
        <v>0</v>
      </c>
      <c r="AN876" s="2">
        <f>IF(IFERROR(FIND(Table2[[#This Row],[AwayTeam]], _xlfn.TEXTJOIN(";", 1, $BD$31:$BD$40)), 0) &gt; 0, 1, 0) + IF(IFERROR(FIND(Table2[[#This Row],[HomeTeam]], _xlfn.TEXTJOIN(";", 1, $BD$31:$BD$40)), 0) &gt; 0, 1, 0)</f>
        <v>1</v>
      </c>
      <c r="AO876" s="2" t="str">
        <f>INDEX(Sheet5!$B$2:$AG$33, MATCH(Table2[[#This Row],[AwayTeam]],Sheet5!$A$2:$A$33, 0), MATCH(Table2[[#This Row],[HomeTeam]],Sheet5!$A$2:$A$33, 0))</f>
        <v>0-0-1</v>
      </c>
      <c r="AP876" s="2" t="str">
        <f>INDEX(Sheet5!$B$2:$AG$33, MATCH(Table2[[#This Row],[HomeTeam]],Sheet5!$A$2:$A$33, 0), MATCH(Table2[[#This Row],[AwayTeam]],Sheet5!$A$2:$A$33, 0))</f>
        <v>1-0-0</v>
      </c>
      <c r="AQ876" s="2">
        <f>IF(Table2[[#This Row],[GameHasShutOut]], 1, 0)</f>
        <v>0</v>
      </c>
      <c r="AR876" s="2">
        <f>IF(Table2[[#This Row],[ActualAwayScore]] + Table2[[#This Row],[ActualHomeScore]] &gt;= 10, 1, 0)</f>
        <v>0</v>
      </c>
      <c r="AS876" s="2">
        <f>IF(ABS(Table2[[#This Row],[ActualAwayScore]]-Table2[[#This Row],[ActualHomeScore]])&gt;=5, 1, 0)</f>
        <v>0</v>
      </c>
      <c r="AT876" s="2">
        <f>IF(Table2[[#This Row],[ActualAwayScore]] + Table2[[#This Row],[ActualHomeScore]] &lt;= 3, 1, 0)</f>
        <v>1</v>
      </c>
      <c r="AU876" s="2"/>
      <c r="AV876" s="2"/>
    </row>
    <row r="877" spans="1:48" x14ac:dyDescent="0.25">
      <c r="A877" s="3"/>
      <c r="B877" s="3">
        <v>46055</v>
      </c>
      <c r="C877" s="5">
        <v>2025020875</v>
      </c>
      <c r="D877" s="2" t="s">
        <v>26</v>
      </c>
      <c r="E877" s="2" t="s">
        <v>44</v>
      </c>
      <c r="F877" s="2"/>
      <c r="G877" s="2"/>
      <c r="H877" s="2" t="str">
        <f t="shared" si="69"/>
        <v>_</v>
      </c>
      <c r="I877" s="2"/>
      <c r="J877" s="2"/>
      <c r="K877" s="2"/>
      <c r="L877" s="2" t="str">
        <f t="shared" si="70"/>
        <v>_</v>
      </c>
      <c r="M877" s="2"/>
      <c r="N877" s="2">
        <f>IF(ISBLANK(Table2[[#This Row],[ActualResult]]), 0, 1)</f>
        <v>0</v>
      </c>
      <c r="O877" s="2" t="str">
        <f>IF(ISBLANK(Table2[[#This Row],[ActualResult]]), "_", IF(Table2[[#This Row],[ActualWinner]]=Table2[[#This Row],[PredictedWinner]], "Y", "N"))</f>
        <v>_</v>
      </c>
      <c r="P8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7" s="2"/>
      <c r="S877" s="2" t="str">
        <f t="shared" si="71"/>
        <v>_</v>
      </c>
      <c r="T8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7" s="2">
        <f>IF(Table2[[#This Row],[InterConf]]=1,IF(Table2[[#This Row],[InterDiv]]=0, 1, 0), 0)</f>
        <v>0</v>
      </c>
      <c r="W8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7" s="2"/>
      <c r="Y877" s="2"/>
      <c r="Z877" s="145">
        <f>IF(AND(Table2[[#This Row],[GameIsOver]]=1,Table2[[#This Row],[ActualHomeScore]]*Table2[[#This Row],[ActualAwayScore]]=0), 1,0)</f>
        <v>0</v>
      </c>
      <c r="AA8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877" s="2">
        <f>Table2[[#This Row],[ActualAwayScore]]-Table2[[#This Row],[PredictedAwayScore]]</f>
        <v>0</v>
      </c>
      <c r="AG877" s="2">
        <f>Table2[[#This Row],[ActualHomeScore]]-Table2[[#This Row],[PredictedHomeScore]]</f>
        <v>0</v>
      </c>
      <c r="AH877" s="2">
        <f t="shared" si="72"/>
        <v>0</v>
      </c>
      <c r="AI877" s="2">
        <f t="shared" si="73"/>
        <v>0</v>
      </c>
      <c r="AJ877" s="2"/>
      <c r="AK877" s="3"/>
      <c r="AL877" s="2">
        <f>IF(Table2[[#This Row],[GameIsOver]]=0,0,IF(Table2[[#This Row],[ActualWinner]]=Table2[[#This Row],[AwayTeam]], 1, 0))</f>
        <v>0</v>
      </c>
      <c r="AM877" s="2">
        <f>IF(Table2[[#This Row],[GameIsOver]]=0,0,IF(Table2[[#This Row],[ActualWinner]]=Table2[[#This Row],[HomeTeam]], 1, 0))</f>
        <v>0</v>
      </c>
      <c r="AN8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7" s="2" t="str">
        <f>INDEX(Sheet5!$B$2:$AG$33, MATCH(Table2[[#This Row],[AwayTeam]],Sheet5!$A$2:$A$33, 0), MATCH(Table2[[#This Row],[HomeTeam]],Sheet5!$A$2:$A$33, 0))</f>
        <v>0-0-0</v>
      </c>
      <c r="AP877" s="2" t="str">
        <f>INDEX(Sheet5!$B$2:$AG$33, MATCH(Table2[[#This Row],[HomeTeam]],Sheet5!$A$2:$A$33, 0), MATCH(Table2[[#This Row],[AwayTeam]],Sheet5!$A$2:$A$33, 0))</f>
        <v>0-0-0</v>
      </c>
      <c r="AQ877" s="2">
        <f>IF(Table2[[#This Row],[GameHasShutOut]], 1, 0)</f>
        <v>0</v>
      </c>
      <c r="AR877" s="2">
        <f>IF(Table2[[#This Row],[ActualAwayScore]] + Table2[[#This Row],[ActualHomeScore]] &gt;= 10, 1, 0)</f>
        <v>0</v>
      </c>
      <c r="AS877" s="2">
        <f>IF(ABS(Table2[[#This Row],[ActualAwayScore]]-Table2[[#This Row],[ActualHomeScore]])&gt;=5, 1, 0)</f>
        <v>0</v>
      </c>
      <c r="AT877" s="2">
        <f>IF(Table2[[#This Row],[ActualAwayScore]] + Table2[[#This Row],[ActualHomeScore]] &lt;= 3, 1, 0)</f>
        <v>1</v>
      </c>
      <c r="AU877" s="2"/>
      <c r="AV877" s="2"/>
    </row>
    <row r="878" spans="1:48" x14ac:dyDescent="0.25">
      <c r="A878" s="3"/>
      <c r="B878" s="3">
        <v>46056</v>
      </c>
      <c r="C878" s="5">
        <v>2025020876</v>
      </c>
      <c r="D878" s="2" t="s">
        <v>28</v>
      </c>
      <c r="E878" s="2" t="s">
        <v>13</v>
      </c>
      <c r="F878" s="2"/>
      <c r="G878" s="2"/>
      <c r="H878" s="2" t="str">
        <f t="shared" si="69"/>
        <v>_</v>
      </c>
      <c r="I878" s="2"/>
      <c r="J878" s="2"/>
      <c r="K878" s="2"/>
      <c r="L878" s="2" t="str">
        <f t="shared" si="70"/>
        <v>_</v>
      </c>
      <c r="M878" s="2"/>
      <c r="N878" s="2">
        <f>IF(ISBLANK(Table2[[#This Row],[ActualResult]]), 0, 1)</f>
        <v>0</v>
      </c>
      <c r="O878" s="2" t="str">
        <f>IF(ISBLANK(Table2[[#This Row],[ActualResult]]), "_", IF(Table2[[#This Row],[ActualWinner]]=Table2[[#This Row],[PredictedWinner]], "Y", "N"))</f>
        <v>_</v>
      </c>
      <c r="P8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8" s="2"/>
      <c r="S878" s="2" t="str">
        <f t="shared" si="71"/>
        <v>_</v>
      </c>
      <c r="T8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8" s="2">
        <f>IF(Table2[[#This Row],[InterConf]]=1,IF(Table2[[#This Row],[InterDiv]]=0, 1, 0), 0)</f>
        <v>0</v>
      </c>
      <c r="W8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8" s="2"/>
      <c r="Y878" s="2"/>
      <c r="Z878" s="145">
        <f>IF(AND(Table2[[#This Row],[GameIsOver]]=1,Table2[[#This Row],[ActualHomeScore]]*Table2[[#This Row],[ActualAwayScore]]=0), 1,0)</f>
        <v>0</v>
      </c>
      <c r="AA8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78" s="2">
        <f>Table2[[#This Row],[ActualAwayScore]]-Table2[[#This Row],[PredictedAwayScore]]</f>
        <v>0</v>
      </c>
      <c r="AG878" s="2">
        <f>Table2[[#This Row],[ActualHomeScore]]-Table2[[#This Row],[PredictedHomeScore]]</f>
        <v>0</v>
      </c>
      <c r="AH878" s="2">
        <f t="shared" si="72"/>
        <v>0</v>
      </c>
      <c r="AI878" s="2">
        <f t="shared" si="73"/>
        <v>0</v>
      </c>
      <c r="AJ878" s="2"/>
      <c r="AK878" s="3"/>
      <c r="AL878" s="2">
        <f>IF(Table2[[#This Row],[GameIsOver]]=0,0,IF(Table2[[#This Row],[ActualWinner]]=Table2[[#This Row],[AwayTeam]], 1, 0))</f>
        <v>0</v>
      </c>
      <c r="AM878" s="2">
        <f>IF(Table2[[#This Row],[GameIsOver]]=0,0,IF(Table2[[#This Row],[ActualWinner]]=Table2[[#This Row],[HomeTeam]], 1, 0))</f>
        <v>0</v>
      </c>
      <c r="AN8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8" s="2" t="str">
        <f>INDEX(Sheet5!$B$2:$AG$33, MATCH(Table2[[#This Row],[AwayTeam]],Sheet5!$A$2:$A$33, 0), MATCH(Table2[[#This Row],[HomeTeam]],Sheet5!$A$2:$A$33, 0))</f>
        <v>1-0-0</v>
      </c>
      <c r="AP878" s="2" t="str">
        <f>INDEX(Sheet5!$B$2:$AG$33, MATCH(Table2[[#This Row],[HomeTeam]],Sheet5!$A$2:$A$33, 0), MATCH(Table2[[#This Row],[AwayTeam]],Sheet5!$A$2:$A$33, 0))</f>
        <v>0-1-0</v>
      </c>
      <c r="AQ878" s="2">
        <f>IF(Table2[[#This Row],[GameHasShutOut]], 1, 0)</f>
        <v>0</v>
      </c>
      <c r="AR878" s="2">
        <f>IF(Table2[[#This Row],[ActualAwayScore]] + Table2[[#This Row],[ActualHomeScore]] &gt;= 10, 1, 0)</f>
        <v>0</v>
      </c>
      <c r="AS878" s="2">
        <f>IF(ABS(Table2[[#This Row],[ActualAwayScore]]-Table2[[#This Row],[ActualHomeScore]])&gt;=5, 1, 0)</f>
        <v>0</v>
      </c>
      <c r="AT878" s="2">
        <f>IF(Table2[[#This Row],[ActualAwayScore]] + Table2[[#This Row],[ActualHomeScore]] &lt;= 3, 1, 0)</f>
        <v>1</v>
      </c>
      <c r="AU878" s="2"/>
      <c r="AV878" s="2"/>
    </row>
    <row r="879" spans="1:48" x14ac:dyDescent="0.25">
      <c r="A879" s="3"/>
      <c r="B879" s="3">
        <v>46056</v>
      </c>
      <c r="C879" s="5">
        <v>2025020877</v>
      </c>
      <c r="D879" s="2" t="s">
        <v>29</v>
      </c>
      <c r="E879" s="2" t="s">
        <v>20</v>
      </c>
      <c r="F879" s="2"/>
      <c r="G879" s="2"/>
      <c r="H879" s="2" t="str">
        <f t="shared" si="69"/>
        <v>_</v>
      </c>
      <c r="I879" s="2"/>
      <c r="J879" s="2"/>
      <c r="K879" s="2"/>
      <c r="L879" s="2" t="str">
        <f t="shared" si="70"/>
        <v>_</v>
      </c>
      <c r="M879" s="2"/>
      <c r="N879" s="2">
        <f>IF(ISBLANK(Table2[[#This Row],[ActualResult]]), 0, 1)</f>
        <v>0</v>
      </c>
      <c r="O879" s="2" t="str">
        <f>IF(ISBLANK(Table2[[#This Row],[ActualResult]]), "_", IF(Table2[[#This Row],[ActualWinner]]=Table2[[#This Row],[PredictedWinner]], "Y", "N"))</f>
        <v>_</v>
      </c>
      <c r="P8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9" s="2"/>
      <c r="S879" s="2" t="str">
        <f t="shared" si="71"/>
        <v>_</v>
      </c>
      <c r="T8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9" s="2">
        <f>IF(Table2[[#This Row],[InterConf]]=1,IF(Table2[[#This Row],[InterDiv]]=0, 1, 0), 0)</f>
        <v>1</v>
      </c>
      <c r="W8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9" s="2"/>
      <c r="Y879" s="2"/>
      <c r="Z879" s="145">
        <f>IF(AND(Table2[[#This Row],[GameIsOver]]=1,Table2[[#This Row],[ActualHomeScore]]*Table2[[#This Row],[ActualAwayScore]]=0), 1,0)</f>
        <v>0</v>
      </c>
      <c r="AA8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79" s="2">
        <f>Table2[[#This Row],[ActualAwayScore]]-Table2[[#This Row],[PredictedAwayScore]]</f>
        <v>0</v>
      </c>
      <c r="AG879" s="2">
        <f>Table2[[#This Row],[ActualHomeScore]]-Table2[[#This Row],[PredictedHomeScore]]</f>
        <v>0</v>
      </c>
      <c r="AH879" s="2">
        <f t="shared" si="72"/>
        <v>0</v>
      </c>
      <c r="AI879" s="2">
        <f t="shared" si="73"/>
        <v>0</v>
      </c>
      <c r="AJ879" s="2"/>
      <c r="AK879" s="3"/>
      <c r="AL879" s="2">
        <f>IF(Table2[[#This Row],[GameIsOver]]=0,0,IF(Table2[[#This Row],[ActualWinner]]=Table2[[#This Row],[AwayTeam]], 1, 0))</f>
        <v>0</v>
      </c>
      <c r="AM879" s="2">
        <f>IF(Table2[[#This Row],[GameIsOver]]=0,0,IF(Table2[[#This Row],[ActualWinner]]=Table2[[#This Row],[HomeTeam]], 1, 0))</f>
        <v>0</v>
      </c>
      <c r="AN8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9" s="2" t="str">
        <f>INDEX(Sheet5!$B$2:$AG$33, MATCH(Table2[[#This Row],[AwayTeam]],Sheet5!$A$2:$A$33, 0), MATCH(Table2[[#This Row],[HomeTeam]],Sheet5!$A$2:$A$33, 0))</f>
        <v>0-0-0</v>
      </c>
      <c r="AP879" s="2" t="str">
        <f>INDEX(Sheet5!$B$2:$AG$33, MATCH(Table2[[#This Row],[HomeTeam]],Sheet5!$A$2:$A$33, 0), MATCH(Table2[[#This Row],[AwayTeam]],Sheet5!$A$2:$A$33, 0))</f>
        <v>0-0-0</v>
      </c>
      <c r="AQ879" s="2">
        <f>IF(Table2[[#This Row],[GameHasShutOut]], 1, 0)</f>
        <v>0</v>
      </c>
      <c r="AR879" s="2">
        <f>IF(Table2[[#This Row],[ActualAwayScore]] + Table2[[#This Row],[ActualHomeScore]] &gt;= 10, 1, 0)</f>
        <v>0</v>
      </c>
      <c r="AS879" s="2">
        <f>IF(ABS(Table2[[#This Row],[ActualAwayScore]]-Table2[[#This Row],[ActualHomeScore]])&gt;=5, 1, 0)</f>
        <v>0</v>
      </c>
      <c r="AT879" s="2">
        <f>IF(Table2[[#This Row],[ActualAwayScore]] + Table2[[#This Row],[ActualHomeScore]] &lt;= 3, 1, 0)</f>
        <v>1</v>
      </c>
      <c r="AU879" s="2"/>
      <c r="AV879" s="2"/>
    </row>
    <row r="880" spans="1:48" x14ac:dyDescent="0.25">
      <c r="A880" s="3"/>
      <c r="B880" s="3">
        <v>46056</v>
      </c>
      <c r="C880" s="5">
        <v>2025020878</v>
      </c>
      <c r="D880" s="2" t="s">
        <v>32</v>
      </c>
      <c r="E880" s="2" t="s">
        <v>43</v>
      </c>
      <c r="F880" s="2"/>
      <c r="G880" s="2"/>
      <c r="H880" s="2" t="str">
        <f t="shared" si="69"/>
        <v>_</v>
      </c>
      <c r="I880" s="2"/>
      <c r="J880" s="2"/>
      <c r="K880" s="2"/>
      <c r="L880" s="2" t="str">
        <f t="shared" si="70"/>
        <v>_</v>
      </c>
      <c r="M880" s="2"/>
      <c r="N880" s="2">
        <f>IF(ISBLANK(Table2[[#This Row],[ActualResult]]), 0, 1)</f>
        <v>0</v>
      </c>
      <c r="O880" s="2" t="str">
        <f>IF(ISBLANK(Table2[[#This Row],[ActualResult]]), "_", IF(Table2[[#This Row],[ActualWinner]]=Table2[[#This Row],[PredictedWinner]], "Y", "N"))</f>
        <v>_</v>
      </c>
      <c r="P8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0" s="2"/>
      <c r="S880" s="2" t="str">
        <f t="shared" si="71"/>
        <v>_</v>
      </c>
      <c r="T8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0" s="2">
        <f>IF(Table2[[#This Row],[InterConf]]=1,IF(Table2[[#This Row],[InterDiv]]=0, 1, 0), 0)</f>
        <v>0</v>
      </c>
      <c r="W8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0" s="2"/>
      <c r="Y880" s="2"/>
      <c r="Z880" s="145">
        <f>IF(AND(Table2[[#This Row],[GameIsOver]]=1,Table2[[#This Row],[ActualHomeScore]]*Table2[[#This Row],[ActualAwayScore]]=0), 1,0)</f>
        <v>0</v>
      </c>
      <c r="AA8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0" s="2">
        <f>Table2[[#This Row],[ActualAwayScore]]-Table2[[#This Row],[PredictedAwayScore]]</f>
        <v>0</v>
      </c>
      <c r="AG880" s="2">
        <f>Table2[[#This Row],[ActualHomeScore]]-Table2[[#This Row],[PredictedHomeScore]]</f>
        <v>0</v>
      </c>
      <c r="AH880" s="2">
        <f t="shared" si="72"/>
        <v>0</v>
      </c>
      <c r="AI880" s="2">
        <f t="shared" si="73"/>
        <v>0</v>
      </c>
      <c r="AJ880" s="2"/>
      <c r="AK880" s="3"/>
      <c r="AL880" s="2">
        <f>IF(Table2[[#This Row],[GameIsOver]]=0,0,IF(Table2[[#This Row],[ActualWinner]]=Table2[[#This Row],[AwayTeam]], 1, 0))</f>
        <v>0</v>
      </c>
      <c r="AM880" s="2">
        <f>IF(Table2[[#This Row],[GameIsOver]]=0,0,IF(Table2[[#This Row],[ActualWinner]]=Table2[[#This Row],[HomeTeam]], 1, 0))</f>
        <v>0</v>
      </c>
      <c r="AN8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0" s="2" t="str">
        <f>INDEX(Sheet5!$B$2:$AG$33, MATCH(Table2[[#This Row],[AwayTeam]],Sheet5!$A$2:$A$33, 0), MATCH(Table2[[#This Row],[HomeTeam]],Sheet5!$A$2:$A$33, 0))</f>
        <v>0-1-0</v>
      </c>
      <c r="AP880" s="2" t="str">
        <f>INDEX(Sheet5!$B$2:$AG$33, MATCH(Table2[[#This Row],[HomeTeam]],Sheet5!$A$2:$A$33, 0), MATCH(Table2[[#This Row],[AwayTeam]],Sheet5!$A$2:$A$33, 0))</f>
        <v>1-0-0</v>
      </c>
      <c r="AQ880" s="2">
        <f>IF(Table2[[#This Row],[GameHasShutOut]], 1, 0)</f>
        <v>0</v>
      </c>
      <c r="AR880" s="2">
        <f>IF(Table2[[#This Row],[ActualAwayScore]] + Table2[[#This Row],[ActualHomeScore]] &gt;= 10, 1, 0)</f>
        <v>0</v>
      </c>
      <c r="AS880" s="2">
        <f>IF(ABS(Table2[[#This Row],[ActualAwayScore]]-Table2[[#This Row],[ActualHomeScore]])&gt;=5, 1, 0)</f>
        <v>0</v>
      </c>
      <c r="AT880" s="2">
        <f>IF(Table2[[#This Row],[ActualAwayScore]] + Table2[[#This Row],[ActualHomeScore]] &lt;= 3, 1, 0)</f>
        <v>1</v>
      </c>
      <c r="AU880" s="2"/>
      <c r="AV880" s="2"/>
    </row>
    <row r="881" spans="1:48" x14ac:dyDescent="0.25">
      <c r="A881" s="3"/>
      <c r="B881" s="3">
        <v>46056</v>
      </c>
      <c r="C881" s="5">
        <v>2025020879</v>
      </c>
      <c r="D881" s="2" t="s">
        <v>18</v>
      </c>
      <c r="E881" s="2" t="s">
        <v>36</v>
      </c>
      <c r="F881" s="2"/>
      <c r="G881" s="2"/>
      <c r="H881" s="2" t="str">
        <f t="shared" si="69"/>
        <v>_</v>
      </c>
      <c r="I881" s="2"/>
      <c r="J881" s="2"/>
      <c r="K881" s="2"/>
      <c r="L881" s="2" t="str">
        <f t="shared" si="70"/>
        <v>_</v>
      </c>
      <c r="M881" s="2"/>
      <c r="N881" s="2">
        <f>IF(ISBLANK(Table2[[#This Row],[ActualResult]]), 0, 1)</f>
        <v>0</v>
      </c>
      <c r="O881" s="2" t="str">
        <f>IF(ISBLANK(Table2[[#This Row],[ActualResult]]), "_", IF(Table2[[#This Row],[ActualWinner]]=Table2[[#This Row],[PredictedWinner]], "Y", "N"))</f>
        <v>_</v>
      </c>
      <c r="P8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1" s="2"/>
      <c r="S881" s="2" t="str">
        <f t="shared" si="71"/>
        <v>_</v>
      </c>
      <c r="T8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1" s="2">
        <f>IF(Table2[[#This Row],[InterConf]]=1,IF(Table2[[#This Row],[InterDiv]]=0, 1, 0), 0)</f>
        <v>0</v>
      </c>
      <c r="W8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1" s="2"/>
      <c r="Y881" s="2"/>
      <c r="Z881" s="145">
        <f>IF(AND(Table2[[#This Row],[GameIsOver]]=1,Table2[[#This Row],[ActualHomeScore]]*Table2[[#This Row],[ActualAwayScore]]=0), 1,0)</f>
        <v>0</v>
      </c>
      <c r="AA8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1" s="2">
        <f>Table2[[#This Row],[ActualAwayScore]]-Table2[[#This Row],[PredictedAwayScore]]</f>
        <v>0</v>
      </c>
      <c r="AG881" s="2">
        <f>Table2[[#This Row],[ActualHomeScore]]-Table2[[#This Row],[PredictedHomeScore]]</f>
        <v>0</v>
      </c>
      <c r="AH881" s="2">
        <f t="shared" si="72"/>
        <v>0</v>
      </c>
      <c r="AI881" s="2">
        <f t="shared" si="73"/>
        <v>0</v>
      </c>
      <c r="AJ881" s="2"/>
      <c r="AK881" s="3"/>
      <c r="AL881" s="2">
        <f>IF(Table2[[#This Row],[GameIsOver]]=0,0,IF(Table2[[#This Row],[ActualWinner]]=Table2[[#This Row],[AwayTeam]], 1, 0))</f>
        <v>0</v>
      </c>
      <c r="AM881" s="2">
        <f>IF(Table2[[#This Row],[GameIsOver]]=0,0,IF(Table2[[#This Row],[ActualWinner]]=Table2[[#This Row],[HomeTeam]], 1, 0))</f>
        <v>0</v>
      </c>
      <c r="AN8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1" s="2" t="str">
        <f>INDEX(Sheet5!$B$2:$AG$33, MATCH(Table2[[#This Row],[AwayTeam]],Sheet5!$A$2:$A$33, 0), MATCH(Table2[[#This Row],[HomeTeam]],Sheet5!$A$2:$A$33, 0))</f>
        <v>0-0-0</v>
      </c>
      <c r="AP881" s="2" t="str">
        <f>INDEX(Sheet5!$B$2:$AG$33, MATCH(Table2[[#This Row],[HomeTeam]],Sheet5!$A$2:$A$33, 0), MATCH(Table2[[#This Row],[AwayTeam]],Sheet5!$A$2:$A$33, 0))</f>
        <v>0-0-0</v>
      </c>
      <c r="AQ881" s="2">
        <f>IF(Table2[[#This Row],[GameHasShutOut]], 1, 0)</f>
        <v>0</v>
      </c>
      <c r="AR881" s="2">
        <f>IF(Table2[[#This Row],[ActualAwayScore]] + Table2[[#This Row],[ActualHomeScore]] &gt;= 10, 1, 0)</f>
        <v>0</v>
      </c>
      <c r="AS881" s="2">
        <f>IF(ABS(Table2[[#This Row],[ActualAwayScore]]-Table2[[#This Row],[ActualHomeScore]])&gt;=5, 1, 0)</f>
        <v>0</v>
      </c>
      <c r="AT881" s="2">
        <f>IF(Table2[[#This Row],[ActualAwayScore]] + Table2[[#This Row],[ActualHomeScore]] &lt;= 3, 1, 0)</f>
        <v>1</v>
      </c>
      <c r="AU881" s="2"/>
      <c r="AV881" s="2"/>
    </row>
    <row r="882" spans="1:48" x14ac:dyDescent="0.25">
      <c r="A882" s="3"/>
      <c r="B882" s="3">
        <v>46056</v>
      </c>
      <c r="C882" s="5">
        <v>2025020880</v>
      </c>
      <c r="D882" s="2" t="s">
        <v>12</v>
      </c>
      <c r="E882" s="2" t="s">
        <v>34</v>
      </c>
      <c r="F882" s="2"/>
      <c r="G882" s="2"/>
      <c r="H882" s="2" t="str">
        <f t="shared" si="69"/>
        <v>_</v>
      </c>
      <c r="I882" s="2"/>
      <c r="J882" s="2"/>
      <c r="K882" s="2"/>
      <c r="L882" s="2" t="str">
        <f t="shared" si="70"/>
        <v>_</v>
      </c>
      <c r="M882" s="2"/>
      <c r="N882" s="2">
        <f>IF(ISBLANK(Table2[[#This Row],[ActualResult]]), 0, 1)</f>
        <v>0</v>
      </c>
      <c r="O882" s="2" t="str">
        <f>IF(ISBLANK(Table2[[#This Row],[ActualResult]]), "_", IF(Table2[[#This Row],[ActualWinner]]=Table2[[#This Row],[PredictedWinner]], "Y", "N"))</f>
        <v>_</v>
      </c>
      <c r="P8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2" s="2"/>
      <c r="S882" s="2" t="str">
        <f t="shared" si="71"/>
        <v>_</v>
      </c>
      <c r="T8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2" s="2">
        <f>IF(Table2[[#This Row],[InterConf]]=1,IF(Table2[[#This Row],[InterDiv]]=0, 1, 0), 0)</f>
        <v>0</v>
      </c>
      <c r="W8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2" s="2"/>
      <c r="Y882" s="2"/>
      <c r="Z882" s="145">
        <f>IF(AND(Table2[[#This Row],[GameIsOver]]=1,Table2[[#This Row],[ActualHomeScore]]*Table2[[#This Row],[ActualAwayScore]]=0), 1,0)</f>
        <v>0</v>
      </c>
      <c r="AA8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2" s="2">
        <f>Table2[[#This Row],[ActualAwayScore]]-Table2[[#This Row],[PredictedAwayScore]]</f>
        <v>0</v>
      </c>
      <c r="AG882" s="2">
        <f>Table2[[#This Row],[ActualHomeScore]]-Table2[[#This Row],[PredictedHomeScore]]</f>
        <v>0</v>
      </c>
      <c r="AH882" s="2">
        <f t="shared" si="72"/>
        <v>0</v>
      </c>
      <c r="AI882" s="2">
        <f t="shared" si="73"/>
        <v>0</v>
      </c>
      <c r="AJ882" s="2"/>
      <c r="AK882" s="3"/>
      <c r="AL882" s="2">
        <f>IF(Table2[[#This Row],[GameIsOver]]=0,0,IF(Table2[[#This Row],[ActualWinner]]=Table2[[#This Row],[AwayTeam]], 1, 0))</f>
        <v>0</v>
      </c>
      <c r="AM882" s="2">
        <f>IF(Table2[[#This Row],[GameIsOver]]=0,0,IF(Table2[[#This Row],[ActualWinner]]=Table2[[#This Row],[HomeTeam]], 1, 0))</f>
        <v>0</v>
      </c>
      <c r="AN8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2" s="2" t="str">
        <f>INDEX(Sheet5!$B$2:$AG$33, MATCH(Table2[[#This Row],[AwayTeam]],Sheet5!$A$2:$A$33, 0), MATCH(Table2[[#This Row],[HomeTeam]],Sheet5!$A$2:$A$33, 0))</f>
        <v>0-0-0</v>
      </c>
      <c r="AP882" s="2" t="str">
        <f>INDEX(Sheet5!$B$2:$AG$33, MATCH(Table2[[#This Row],[HomeTeam]],Sheet5!$A$2:$A$33, 0), MATCH(Table2[[#This Row],[AwayTeam]],Sheet5!$A$2:$A$33, 0))</f>
        <v>0-0-0</v>
      </c>
      <c r="AQ882" s="2">
        <f>IF(Table2[[#This Row],[GameHasShutOut]], 1, 0)</f>
        <v>0</v>
      </c>
      <c r="AR882" s="2">
        <f>IF(Table2[[#This Row],[ActualAwayScore]] + Table2[[#This Row],[ActualHomeScore]] &gt;= 10, 1, 0)</f>
        <v>0</v>
      </c>
      <c r="AS882" s="2">
        <f>IF(ABS(Table2[[#This Row],[ActualAwayScore]]-Table2[[#This Row],[ActualHomeScore]])&gt;=5, 1, 0)</f>
        <v>0</v>
      </c>
      <c r="AT882" s="2">
        <f>IF(Table2[[#This Row],[ActualAwayScore]] + Table2[[#This Row],[ActualHomeScore]] &lt;= 3, 1, 0)</f>
        <v>1</v>
      </c>
      <c r="AU882" s="2"/>
      <c r="AV882" s="2"/>
    </row>
    <row r="883" spans="1:48" x14ac:dyDescent="0.25">
      <c r="A883" s="3"/>
      <c r="B883" s="3">
        <v>46056</v>
      </c>
      <c r="C883" s="5">
        <v>2025020881</v>
      </c>
      <c r="D883" s="2" t="s">
        <v>37</v>
      </c>
      <c r="E883" s="2" t="s">
        <v>16</v>
      </c>
      <c r="F883" s="2"/>
      <c r="G883" s="2"/>
      <c r="H883" s="2" t="str">
        <f t="shared" si="69"/>
        <v>_</v>
      </c>
      <c r="I883" s="2"/>
      <c r="J883" s="2"/>
      <c r="K883" s="2"/>
      <c r="L883" s="2" t="str">
        <f t="shared" si="70"/>
        <v>_</v>
      </c>
      <c r="M883" s="2"/>
      <c r="N883" s="2">
        <f>IF(ISBLANK(Table2[[#This Row],[ActualResult]]), 0, 1)</f>
        <v>0</v>
      </c>
      <c r="O883" s="2" t="str">
        <f>IF(ISBLANK(Table2[[#This Row],[ActualResult]]), "_", IF(Table2[[#This Row],[ActualWinner]]=Table2[[#This Row],[PredictedWinner]], "Y", "N"))</f>
        <v>_</v>
      </c>
      <c r="P8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3" s="2"/>
      <c r="S883" s="2" t="str">
        <f t="shared" si="71"/>
        <v>_</v>
      </c>
      <c r="T8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3" s="2">
        <f>IF(Table2[[#This Row],[InterConf]]=1,IF(Table2[[#This Row],[InterDiv]]=0, 1, 0), 0)</f>
        <v>1</v>
      </c>
      <c r="W8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3" s="2"/>
      <c r="Y883" s="2"/>
      <c r="Z883" s="145">
        <f>IF(AND(Table2[[#This Row],[GameIsOver]]=1,Table2[[#This Row],[ActualHomeScore]]*Table2[[#This Row],[ActualAwayScore]]=0), 1,0)</f>
        <v>0</v>
      </c>
      <c r="AA8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3" s="2">
        <f>Table2[[#This Row],[ActualAwayScore]]-Table2[[#This Row],[PredictedAwayScore]]</f>
        <v>0</v>
      </c>
      <c r="AG883" s="2">
        <f>Table2[[#This Row],[ActualHomeScore]]-Table2[[#This Row],[PredictedHomeScore]]</f>
        <v>0</v>
      </c>
      <c r="AH883" s="2">
        <f t="shared" si="72"/>
        <v>0</v>
      </c>
      <c r="AI883" s="2">
        <f t="shared" si="73"/>
        <v>0</v>
      </c>
      <c r="AJ883" s="2"/>
      <c r="AK883" s="3"/>
      <c r="AL883" s="2">
        <f>IF(Table2[[#This Row],[GameIsOver]]=0,0,IF(Table2[[#This Row],[ActualWinner]]=Table2[[#This Row],[AwayTeam]], 1, 0))</f>
        <v>0</v>
      </c>
      <c r="AM883" s="2">
        <f>IF(Table2[[#This Row],[GameIsOver]]=0,0,IF(Table2[[#This Row],[ActualWinner]]=Table2[[#This Row],[HomeTeam]], 1, 0))</f>
        <v>0</v>
      </c>
      <c r="AN8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3" s="2" t="str">
        <f>INDEX(Sheet5!$B$2:$AG$33, MATCH(Table2[[#This Row],[AwayTeam]],Sheet5!$A$2:$A$33, 0), MATCH(Table2[[#This Row],[HomeTeam]],Sheet5!$A$2:$A$33, 0))</f>
        <v>0-0-0</v>
      </c>
      <c r="AP883" s="2" t="str">
        <f>INDEX(Sheet5!$B$2:$AG$33, MATCH(Table2[[#This Row],[HomeTeam]],Sheet5!$A$2:$A$33, 0), MATCH(Table2[[#This Row],[AwayTeam]],Sheet5!$A$2:$A$33, 0))</f>
        <v>0-0-0</v>
      </c>
      <c r="AQ883" s="2">
        <f>IF(Table2[[#This Row],[GameHasShutOut]], 1, 0)</f>
        <v>0</v>
      </c>
      <c r="AR883" s="2">
        <f>IF(Table2[[#This Row],[ActualAwayScore]] + Table2[[#This Row],[ActualHomeScore]] &gt;= 10, 1, 0)</f>
        <v>0</v>
      </c>
      <c r="AS883" s="2">
        <f>IF(ABS(Table2[[#This Row],[ActualAwayScore]]-Table2[[#This Row],[ActualHomeScore]])&gt;=5, 1, 0)</f>
        <v>0</v>
      </c>
      <c r="AT883" s="2">
        <f>IF(Table2[[#This Row],[ActualAwayScore]] + Table2[[#This Row],[ActualHomeScore]] &lt;= 3, 1, 0)</f>
        <v>1</v>
      </c>
      <c r="AU883" s="2"/>
      <c r="AV883" s="2"/>
    </row>
    <row r="884" spans="1:48" x14ac:dyDescent="0.25">
      <c r="A884" s="3"/>
      <c r="B884" s="3">
        <v>46056</v>
      </c>
      <c r="C884" s="5">
        <v>2025020882</v>
      </c>
      <c r="D884" s="2" t="s">
        <v>21</v>
      </c>
      <c r="E884" s="2" t="s">
        <v>33</v>
      </c>
      <c r="F884" s="2"/>
      <c r="G884" s="2"/>
      <c r="H884" s="2" t="str">
        <f t="shared" si="69"/>
        <v>_</v>
      </c>
      <c r="I884" s="2"/>
      <c r="J884" s="2"/>
      <c r="K884" s="2"/>
      <c r="L884" s="2" t="str">
        <f t="shared" si="70"/>
        <v>_</v>
      </c>
      <c r="M884" s="2"/>
      <c r="N884" s="2">
        <f>IF(ISBLANK(Table2[[#This Row],[ActualResult]]), 0, 1)</f>
        <v>0</v>
      </c>
      <c r="O884" s="2" t="str">
        <f>IF(ISBLANK(Table2[[#This Row],[ActualResult]]), "_", IF(Table2[[#This Row],[ActualWinner]]=Table2[[#This Row],[PredictedWinner]], "Y", "N"))</f>
        <v>_</v>
      </c>
      <c r="P8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4" s="2"/>
      <c r="S884" s="2" t="str">
        <f t="shared" si="71"/>
        <v>_</v>
      </c>
      <c r="T8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4" s="2">
        <f>IF(Table2[[#This Row],[InterConf]]=1,IF(Table2[[#This Row],[InterDiv]]=0, 1, 0), 0)</f>
        <v>0</v>
      </c>
      <c r="W8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4" s="2"/>
      <c r="Y884" s="2"/>
      <c r="Z884" s="145">
        <f>IF(AND(Table2[[#This Row],[GameIsOver]]=1,Table2[[#This Row],[ActualHomeScore]]*Table2[[#This Row],[ActualAwayScore]]=0), 1,0)</f>
        <v>0</v>
      </c>
      <c r="AA8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4" s="2">
        <f>Table2[[#This Row],[ActualAwayScore]]-Table2[[#This Row],[PredictedAwayScore]]</f>
        <v>0</v>
      </c>
      <c r="AG884" s="2">
        <f>Table2[[#This Row],[ActualHomeScore]]-Table2[[#This Row],[PredictedHomeScore]]</f>
        <v>0</v>
      </c>
      <c r="AH884" s="2">
        <f t="shared" si="72"/>
        <v>0</v>
      </c>
      <c r="AI884" s="2">
        <f t="shared" si="73"/>
        <v>0</v>
      </c>
      <c r="AJ884" s="2"/>
      <c r="AK884" s="3"/>
      <c r="AL884" s="2">
        <f>IF(Table2[[#This Row],[GameIsOver]]=0,0,IF(Table2[[#This Row],[ActualWinner]]=Table2[[#This Row],[AwayTeam]], 1, 0))</f>
        <v>0</v>
      </c>
      <c r="AM884" s="2">
        <f>IF(Table2[[#This Row],[GameIsOver]]=0,0,IF(Table2[[#This Row],[ActualWinner]]=Table2[[#This Row],[HomeTeam]], 1, 0))</f>
        <v>0</v>
      </c>
      <c r="AN8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4" s="2" t="str">
        <f>INDEX(Sheet5!$B$2:$AG$33, MATCH(Table2[[#This Row],[AwayTeam]],Sheet5!$A$2:$A$33, 0), MATCH(Table2[[#This Row],[HomeTeam]],Sheet5!$A$2:$A$33, 0))</f>
        <v>0-1-0</v>
      </c>
      <c r="AP884" s="2" t="str">
        <f>INDEX(Sheet5!$B$2:$AG$33, MATCH(Table2[[#This Row],[HomeTeam]],Sheet5!$A$2:$A$33, 0), MATCH(Table2[[#This Row],[AwayTeam]],Sheet5!$A$2:$A$33, 0))</f>
        <v>1-0-0</v>
      </c>
      <c r="AQ884" s="2">
        <f>IF(Table2[[#This Row],[GameHasShutOut]], 1, 0)</f>
        <v>0</v>
      </c>
      <c r="AR884" s="2">
        <f>IF(Table2[[#This Row],[ActualAwayScore]] + Table2[[#This Row],[ActualHomeScore]] &gt;= 10, 1, 0)</f>
        <v>0</v>
      </c>
      <c r="AS884" s="2">
        <f>IF(ABS(Table2[[#This Row],[ActualAwayScore]]-Table2[[#This Row],[ActualHomeScore]])&gt;=5, 1, 0)</f>
        <v>0</v>
      </c>
      <c r="AT884" s="2">
        <f>IF(Table2[[#This Row],[ActualAwayScore]] + Table2[[#This Row],[ActualHomeScore]] &lt;= 3, 1, 0)</f>
        <v>1</v>
      </c>
      <c r="AU884" s="2"/>
      <c r="AV884" s="2"/>
    </row>
    <row r="885" spans="1:48" x14ac:dyDescent="0.25">
      <c r="A885" s="3"/>
      <c r="B885" s="3">
        <v>46056</v>
      </c>
      <c r="C885" s="5">
        <v>2025020883</v>
      </c>
      <c r="D885" s="2" t="s">
        <v>30</v>
      </c>
      <c r="E885" s="2" t="s">
        <v>25</v>
      </c>
      <c r="F885" s="2"/>
      <c r="G885" s="2"/>
      <c r="H885" s="2" t="str">
        <f t="shared" si="69"/>
        <v>_</v>
      </c>
      <c r="I885" s="2"/>
      <c r="J885" s="2"/>
      <c r="K885" s="2"/>
      <c r="L885" s="2" t="str">
        <f t="shared" si="70"/>
        <v>_</v>
      </c>
      <c r="M885" s="2"/>
      <c r="N885" s="2">
        <f>IF(ISBLANK(Table2[[#This Row],[ActualResult]]), 0, 1)</f>
        <v>0</v>
      </c>
      <c r="O885" s="2" t="str">
        <f>IF(ISBLANK(Table2[[#This Row],[ActualResult]]), "_", IF(Table2[[#This Row],[ActualWinner]]=Table2[[#This Row],[PredictedWinner]], "Y", "N"))</f>
        <v>_</v>
      </c>
      <c r="P8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5" s="2"/>
      <c r="S885" s="2" t="str">
        <f t="shared" si="71"/>
        <v>_</v>
      </c>
      <c r="T8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5" s="2">
        <f>IF(Table2[[#This Row],[InterConf]]=1,IF(Table2[[#This Row],[InterDiv]]=0, 1, 0), 0)</f>
        <v>0</v>
      </c>
      <c r="W8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5" s="2"/>
      <c r="Y885" s="2"/>
      <c r="Z885" s="145">
        <f>IF(AND(Table2[[#This Row],[GameIsOver]]=1,Table2[[#This Row],[ActualHomeScore]]*Table2[[#This Row],[ActualAwayScore]]=0), 1,0)</f>
        <v>0</v>
      </c>
      <c r="AA8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5" s="2">
        <f>Table2[[#This Row],[ActualAwayScore]]-Table2[[#This Row],[PredictedAwayScore]]</f>
        <v>0</v>
      </c>
      <c r="AG885" s="2">
        <f>Table2[[#This Row],[ActualHomeScore]]-Table2[[#This Row],[PredictedHomeScore]]</f>
        <v>0</v>
      </c>
      <c r="AH885" s="2">
        <f t="shared" si="72"/>
        <v>0</v>
      </c>
      <c r="AI885" s="2">
        <f t="shared" si="73"/>
        <v>0</v>
      </c>
      <c r="AJ885" s="2"/>
      <c r="AK885" s="3"/>
      <c r="AL885" s="2">
        <f>IF(Table2[[#This Row],[GameIsOver]]=0,0,IF(Table2[[#This Row],[ActualWinner]]=Table2[[#This Row],[AwayTeam]], 1, 0))</f>
        <v>0</v>
      </c>
      <c r="AM885" s="2">
        <f>IF(Table2[[#This Row],[GameIsOver]]=0,0,IF(Table2[[#This Row],[ActualWinner]]=Table2[[#This Row],[HomeTeam]], 1, 0))</f>
        <v>0</v>
      </c>
      <c r="AN8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5" s="2" t="str">
        <f>INDEX(Sheet5!$B$2:$AG$33, MATCH(Table2[[#This Row],[AwayTeam]],Sheet5!$A$2:$A$33, 0), MATCH(Table2[[#This Row],[HomeTeam]],Sheet5!$A$2:$A$33, 0))</f>
        <v>0-0-0</v>
      </c>
      <c r="AP885" s="2" t="str">
        <f>INDEX(Sheet5!$B$2:$AG$33, MATCH(Table2[[#This Row],[HomeTeam]],Sheet5!$A$2:$A$33, 0), MATCH(Table2[[#This Row],[AwayTeam]],Sheet5!$A$2:$A$33, 0))</f>
        <v>0-0-0</v>
      </c>
      <c r="AQ885" s="2">
        <f>IF(Table2[[#This Row],[GameHasShutOut]], 1, 0)</f>
        <v>0</v>
      </c>
      <c r="AR885" s="2">
        <f>IF(Table2[[#This Row],[ActualAwayScore]] + Table2[[#This Row],[ActualHomeScore]] &gt;= 10, 1, 0)</f>
        <v>0</v>
      </c>
      <c r="AS885" s="2">
        <f>IF(ABS(Table2[[#This Row],[ActualAwayScore]]-Table2[[#This Row],[ActualHomeScore]])&gt;=5, 1, 0)</f>
        <v>0</v>
      </c>
      <c r="AT885" s="2">
        <f>IF(Table2[[#This Row],[ActualAwayScore]] + Table2[[#This Row],[ActualHomeScore]] &lt;= 3, 1, 0)</f>
        <v>1</v>
      </c>
      <c r="AU885" s="2"/>
      <c r="AV885" s="2"/>
    </row>
    <row r="886" spans="1:48" x14ac:dyDescent="0.25">
      <c r="A886" s="3"/>
      <c r="B886" s="3">
        <v>46056</v>
      </c>
      <c r="C886" s="5">
        <v>2025020884</v>
      </c>
      <c r="D886" s="2" t="s">
        <v>24</v>
      </c>
      <c r="E886" s="2" t="s">
        <v>14</v>
      </c>
      <c r="F886" s="2"/>
      <c r="G886" s="2"/>
      <c r="H886" s="2" t="str">
        <f t="shared" si="69"/>
        <v>_</v>
      </c>
      <c r="I886" s="2"/>
      <c r="J886" s="2"/>
      <c r="K886" s="2"/>
      <c r="L886" s="2" t="str">
        <f t="shared" si="70"/>
        <v>_</v>
      </c>
      <c r="M886" s="2"/>
      <c r="N886" s="2">
        <f>IF(ISBLANK(Table2[[#This Row],[ActualResult]]), 0, 1)</f>
        <v>0</v>
      </c>
      <c r="O886" s="2" t="str">
        <f>IF(ISBLANK(Table2[[#This Row],[ActualResult]]), "_", IF(Table2[[#This Row],[ActualWinner]]=Table2[[#This Row],[PredictedWinner]], "Y", "N"))</f>
        <v>_</v>
      </c>
      <c r="P8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6" s="2"/>
      <c r="S886" s="2" t="str">
        <f t="shared" si="71"/>
        <v>_</v>
      </c>
      <c r="T8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6" s="2">
        <f>IF(Table2[[#This Row],[InterConf]]=1,IF(Table2[[#This Row],[InterDiv]]=0, 1, 0), 0)</f>
        <v>1</v>
      </c>
      <c r="W8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6" s="2"/>
      <c r="Y886" s="2"/>
      <c r="Z886" s="145">
        <f>IF(AND(Table2[[#This Row],[GameIsOver]]=1,Table2[[#This Row],[ActualHomeScore]]*Table2[[#This Row],[ActualAwayScore]]=0), 1,0)</f>
        <v>0</v>
      </c>
      <c r="AA8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6" s="2">
        <f>Table2[[#This Row],[ActualAwayScore]]-Table2[[#This Row],[PredictedAwayScore]]</f>
        <v>0</v>
      </c>
      <c r="AG886" s="2">
        <f>Table2[[#This Row],[ActualHomeScore]]-Table2[[#This Row],[PredictedHomeScore]]</f>
        <v>0</v>
      </c>
      <c r="AH886" s="2">
        <f t="shared" si="72"/>
        <v>0</v>
      </c>
      <c r="AI886" s="2">
        <f t="shared" si="73"/>
        <v>0</v>
      </c>
      <c r="AJ886" s="2"/>
      <c r="AK886" s="3"/>
      <c r="AL886" s="2">
        <f>IF(Table2[[#This Row],[GameIsOver]]=0,0,IF(Table2[[#This Row],[ActualWinner]]=Table2[[#This Row],[AwayTeam]], 1, 0))</f>
        <v>0</v>
      </c>
      <c r="AM886" s="2">
        <f>IF(Table2[[#This Row],[GameIsOver]]=0,0,IF(Table2[[#This Row],[ActualWinner]]=Table2[[#This Row],[HomeTeam]], 1, 0))</f>
        <v>0</v>
      </c>
      <c r="AN8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6" s="2" t="str">
        <f>INDEX(Sheet5!$B$2:$AG$33, MATCH(Table2[[#This Row],[AwayTeam]],Sheet5!$A$2:$A$33, 0), MATCH(Table2[[#This Row],[HomeTeam]],Sheet5!$A$2:$A$33, 0))</f>
        <v>0-0-0</v>
      </c>
      <c r="AP886" s="2" t="str">
        <f>INDEX(Sheet5!$B$2:$AG$33, MATCH(Table2[[#This Row],[HomeTeam]],Sheet5!$A$2:$A$33, 0), MATCH(Table2[[#This Row],[AwayTeam]],Sheet5!$A$2:$A$33, 0))</f>
        <v>0-0-0</v>
      </c>
      <c r="AQ886" s="2">
        <f>IF(Table2[[#This Row],[GameHasShutOut]], 1, 0)</f>
        <v>0</v>
      </c>
      <c r="AR886" s="2">
        <f>IF(Table2[[#This Row],[ActualAwayScore]] + Table2[[#This Row],[ActualHomeScore]] &gt;= 10, 1, 0)</f>
        <v>0</v>
      </c>
      <c r="AS886" s="2">
        <f>IF(ABS(Table2[[#This Row],[ActualAwayScore]]-Table2[[#This Row],[ActualHomeScore]])&gt;=5, 1, 0)</f>
        <v>0</v>
      </c>
      <c r="AT886" s="2">
        <f>IF(Table2[[#This Row],[ActualAwayScore]] + Table2[[#This Row],[ActualHomeScore]] &lt;= 3, 1, 0)</f>
        <v>1</v>
      </c>
      <c r="AU886" s="2"/>
      <c r="AV886" s="2"/>
    </row>
    <row r="887" spans="1:48" x14ac:dyDescent="0.25">
      <c r="A887" s="3"/>
      <c r="B887" s="3">
        <v>46056</v>
      </c>
      <c r="C887" s="5">
        <v>2025020885</v>
      </c>
      <c r="D887" s="2" t="s">
        <v>17</v>
      </c>
      <c r="E887" s="2" t="s">
        <v>23</v>
      </c>
      <c r="F887" s="2"/>
      <c r="G887" s="2"/>
      <c r="H887" s="2" t="str">
        <f t="shared" si="69"/>
        <v>_</v>
      </c>
      <c r="I887" s="2"/>
      <c r="J887" s="2"/>
      <c r="K887" s="2"/>
      <c r="L887" s="2" t="str">
        <f t="shared" si="70"/>
        <v>_</v>
      </c>
      <c r="M887" s="2"/>
      <c r="N887" s="2">
        <f>IF(ISBLANK(Table2[[#This Row],[ActualResult]]), 0, 1)</f>
        <v>0</v>
      </c>
      <c r="O887" s="2" t="str">
        <f>IF(ISBLANK(Table2[[#This Row],[ActualResult]]), "_", IF(Table2[[#This Row],[ActualWinner]]=Table2[[#This Row],[PredictedWinner]], "Y", "N"))</f>
        <v>_</v>
      </c>
      <c r="P8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7" s="2"/>
      <c r="S887" s="2" t="str">
        <f t="shared" si="71"/>
        <v>_</v>
      </c>
      <c r="T8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7" s="2">
        <f>IF(Table2[[#This Row],[InterConf]]=1,IF(Table2[[#This Row],[InterDiv]]=0, 1, 0), 0)</f>
        <v>0</v>
      </c>
      <c r="W8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7" s="2"/>
      <c r="Y887" s="2"/>
      <c r="Z887" s="145">
        <f>IF(AND(Table2[[#This Row],[GameIsOver]]=1,Table2[[#This Row],[ActualHomeScore]]*Table2[[#This Row],[ActualAwayScore]]=0), 1,0)</f>
        <v>0</v>
      </c>
      <c r="AA8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7" s="2">
        <f>Table2[[#This Row],[ActualAwayScore]]-Table2[[#This Row],[PredictedAwayScore]]</f>
        <v>0</v>
      </c>
      <c r="AG887" s="2">
        <f>Table2[[#This Row],[ActualHomeScore]]-Table2[[#This Row],[PredictedHomeScore]]</f>
        <v>0</v>
      </c>
      <c r="AH887" s="2">
        <f t="shared" si="72"/>
        <v>0</v>
      </c>
      <c r="AI887" s="2">
        <f t="shared" si="73"/>
        <v>0</v>
      </c>
      <c r="AJ887" s="2"/>
      <c r="AK887" s="3"/>
      <c r="AL887" s="2">
        <f>IF(Table2[[#This Row],[GameIsOver]]=0,0,IF(Table2[[#This Row],[ActualWinner]]=Table2[[#This Row],[AwayTeam]], 1, 0))</f>
        <v>0</v>
      </c>
      <c r="AM887" s="2">
        <f>IF(Table2[[#This Row],[GameIsOver]]=0,0,IF(Table2[[#This Row],[ActualWinner]]=Table2[[#This Row],[HomeTeam]], 1, 0))</f>
        <v>0</v>
      </c>
      <c r="AN8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7" s="2" t="str">
        <f>INDEX(Sheet5!$B$2:$AG$33, MATCH(Table2[[#This Row],[AwayTeam]],Sheet5!$A$2:$A$33, 0), MATCH(Table2[[#This Row],[HomeTeam]],Sheet5!$A$2:$A$33, 0))</f>
        <v>0-0-0</v>
      </c>
      <c r="AP887" s="2" t="str">
        <f>INDEX(Sheet5!$B$2:$AG$33, MATCH(Table2[[#This Row],[HomeTeam]],Sheet5!$A$2:$A$33, 0), MATCH(Table2[[#This Row],[AwayTeam]],Sheet5!$A$2:$A$33, 0))</f>
        <v>0-0-0</v>
      </c>
      <c r="AQ887" s="2">
        <f>IF(Table2[[#This Row],[GameHasShutOut]], 1, 0)</f>
        <v>0</v>
      </c>
      <c r="AR887" s="2">
        <f>IF(Table2[[#This Row],[ActualAwayScore]] + Table2[[#This Row],[ActualHomeScore]] &gt;= 10, 1, 0)</f>
        <v>0</v>
      </c>
      <c r="AS887" s="2">
        <f>IF(ABS(Table2[[#This Row],[ActualAwayScore]]-Table2[[#This Row],[ActualHomeScore]])&gt;=5, 1, 0)</f>
        <v>0</v>
      </c>
      <c r="AT887" s="2">
        <f>IF(Table2[[#This Row],[ActualAwayScore]] + Table2[[#This Row],[ActualHomeScore]] &lt;= 3, 1, 0)</f>
        <v>1</v>
      </c>
      <c r="AU887" s="2"/>
      <c r="AV887" s="2"/>
    </row>
    <row r="888" spans="1:48" x14ac:dyDescent="0.25">
      <c r="A888" s="3"/>
      <c r="B888" s="3">
        <v>46057</v>
      </c>
      <c r="C888" s="5">
        <v>2025020886</v>
      </c>
      <c r="D888" s="2" t="s">
        <v>28</v>
      </c>
      <c r="E888" s="2" t="s">
        <v>40</v>
      </c>
      <c r="F888" s="2"/>
      <c r="G888" s="2"/>
      <c r="H888" s="2" t="str">
        <f t="shared" si="69"/>
        <v>_</v>
      </c>
      <c r="I888" s="2"/>
      <c r="J888" s="2"/>
      <c r="K888" s="2"/>
      <c r="L888" s="2" t="str">
        <f t="shared" si="70"/>
        <v>_</v>
      </c>
      <c r="M888" s="2"/>
      <c r="N888" s="2">
        <f>IF(ISBLANK(Table2[[#This Row],[ActualResult]]), 0, 1)</f>
        <v>0</v>
      </c>
      <c r="O888" s="2" t="str">
        <f>IF(ISBLANK(Table2[[#This Row],[ActualResult]]), "_", IF(Table2[[#This Row],[ActualWinner]]=Table2[[#This Row],[PredictedWinner]], "Y", "N"))</f>
        <v>_</v>
      </c>
      <c r="P8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8" s="2"/>
      <c r="S888" s="2" t="str">
        <f t="shared" si="71"/>
        <v>_</v>
      </c>
      <c r="T8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8" s="2">
        <f>IF(Table2[[#This Row],[InterConf]]=1,IF(Table2[[#This Row],[InterDiv]]=0, 1, 0), 0)</f>
        <v>0</v>
      </c>
      <c r="W8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8" s="2"/>
      <c r="Y888" s="2"/>
      <c r="Z888" s="145">
        <f>IF(AND(Table2[[#This Row],[GameIsOver]]=1,Table2[[#This Row],[ActualHomeScore]]*Table2[[#This Row],[ActualAwayScore]]=0), 1,0)</f>
        <v>0</v>
      </c>
      <c r="AA8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88" s="2">
        <f>Table2[[#This Row],[ActualAwayScore]]-Table2[[#This Row],[PredictedAwayScore]]</f>
        <v>0</v>
      </c>
      <c r="AG888" s="2">
        <f>Table2[[#This Row],[ActualHomeScore]]-Table2[[#This Row],[PredictedHomeScore]]</f>
        <v>0</v>
      </c>
      <c r="AH888" s="2">
        <f t="shared" si="72"/>
        <v>0</v>
      </c>
      <c r="AI888" s="2">
        <f t="shared" si="73"/>
        <v>0</v>
      </c>
      <c r="AJ888" s="2"/>
      <c r="AK888" s="3"/>
      <c r="AL888" s="2">
        <f>IF(Table2[[#This Row],[GameIsOver]]=0,0,IF(Table2[[#This Row],[ActualWinner]]=Table2[[#This Row],[AwayTeam]], 1, 0))</f>
        <v>0</v>
      </c>
      <c r="AM888" s="2">
        <f>IF(Table2[[#This Row],[GameIsOver]]=0,0,IF(Table2[[#This Row],[ActualWinner]]=Table2[[#This Row],[HomeTeam]], 1, 0))</f>
        <v>0</v>
      </c>
      <c r="AN8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8" s="2" t="str">
        <f>INDEX(Sheet5!$B$2:$AG$33, MATCH(Table2[[#This Row],[AwayTeam]],Sheet5!$A$2:$A$33, 0), MATCH(Table2[[#This Row],[HomeTeam]],Sheet5!$A$2:$A$33, 0))</f>
        <v>0-0-0</v>
      </c>
      <c r="AP888" s="2" t="str">
        <f>INDEX(Sheet5!$B$2:$AG$33, MATCH(Table2[[#This Row],[HomeTeam]],Sheet5!$A$2:$A$33, 0), MATCH(Table2[[#This Row],[AwayTeam]],Sheet5!$A$2:$A$33, 0))</f>
        <v>0-0-0</v>
      </c>
      <c r="AQ888" s="2">
        <f>IF(Table2[[#This Row],[GameHasShutOut]], 1, 0)</f>
        <v>0</v>
      </c>
      <c r="AR888" s="2">
        <f>IF(Table2[[#This Row],[ActualAwayScore]] + Table2[[#This Row],[ActualHomeScore]] &gt;= 10, 1, 0)</f>
        <v>0</v>
      </c>
      <c r="AS888" s="2">
        <f>IF(ABS(Table2[[#This Row],[ActualAwayScore]]-Table2[[#This Row],[ActualHomeScore]])&gt;=5, 1, 0)</f>
        <v>0</v>
      </c>
      <c r="AT888" s="2">
        <f>IF(Table2[[#This Row],[ActualAwayScore]] + Table2[[#This Row],[ActualHomeScore]] &lt;= 3, 1, 0)</f>
        <v>1</v>
      </c>
      <c r="AU888" s="2"/>
      <c r="AV888" s="2"/>
    </row>
    <row r="889" spans="1:48" x14ac:dyDescent="0.25">
      <c r="A889" s="3"/>
      <c r="B889" s="3">
        <v>46057</v>
      </c>
      <c r="C889" s="5">
        <v>2025020887</v>
      </c>
      <c r="D889" s="2" t="s">
        <v>35</v>
      </c>
      <c r="E889" s="2" t="s">
        <v>31</v>
      </c>
      <c r="F889" s="2"/>
      <c r="G889" s="2"/>
      <c r="H889" s="2" t="str">
        <f t="shared" si="69"/>
        <v>_</v>
      </c>
      <c r="I889" s="2"/>
      <c r="J889" s="2"/>
      <c r="K889" s="2"/>
      <c r="L889" s="2" t="str">
        <f t="shared" si="70"/>
        <v>_</v>
      </c>
      <c r="M889" s="2"/>
      <c r="N889" s="2">
        <f>IF(ISBLANK(Table2[[#This Row],[ActualResult]]), 0, 1)</f>
        <v>0</v>
      </c>
      <c r="O889" s="2" t="str">
        <f>IF(ISBLANK(Table2[[#This Row],[ActualResult]]), "_", IF(Table2[[#This Row],[ActualWinner]]=Table2[[#This Row],[PredictedWinner]], "Y", "N"))</f>
        <v>_</v>
      </c>
      <c r="P8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9" s="2"/>
      <c r="S889" s="2" t="str">
        <f t="shared" si="71"/>
        <v>_</v>
      </c>
      <c r="T8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9" s="2">
        <f>IF(Table2[[#This Row],[InterConf]]=1,IF(Table2[[#This Row],[InterDiv]]=0, 1, 0), 0)</f>
        <v>0</v>
      </c>
      <c r="W8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9" s="2"/>
      <c r="Y889" s="2"/>
      <c r="Z889" s="145">
        <f>IF(AND(Table2[[#This Row],[GameIsOver]]=1,Table2[[#This Row],[ActualHomeScore]]*Table2[[#This Row],[ActualAwayScore]]=0), 1,0)</f>
        <v>0</v>
      </c>
      <c r="AA8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89" s="2">
        <f>Table2[[#This Row],[ActualAwayScore]]-Table2[[#This Row],[PredictedAwayScore]]</f>
        <v>0</v>
      </c>
      <c r="AG889" s="2">
        <f>Table2[[#This Row],[ActualHomeScore]]-Table2[[#This Row],[PredictedHomeScore]]</f>
        <v>0</v>
      </c>
      <c r="AH889" s="2">
        <f t="shared" si="72"/>
        <v>0</v>
      </c>
      <c r="AI889" s="2">
        <f t="shared" si="73"/>
        <v>0</v>
      </c>
      <c r="AJ889" s="2"/>
      <c r="AK889" s="3"/>
      <c r="AL889" s="2">
        <f>IF(Table2[[#This Row],[GameIsOver]]=0,0,IF(Table2[[#This Row],[ActualWinner]]=Table2[[#This Row],[AwayTeam]], 1, 0))</f>
        <v>0</v>
      </c>
      <c r="AM889" s="2">
        <f>IF(Table2[[#This Row],[GameIsOver]]=0,0,IF(Table2[[#This Row],[ActualWinner]]=Table2[[#This Row],[HomeTeam]], 1, 0))</f>
        <v>0</v>
      </c>
      <c r="AN8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9" s="2" t="str">
        <f>INDEX(Sheet5!$B$2:$AG$33, MATCH(Table2[[#This Row],[AwayTeam]],Sheet5!$A$2:$A$33, 0), MATCH(Table2[[#This Row],[HomeTeam]],Sheet5!$A$2:$A$33, 0))</f>
        <v>0-1-0</v>
      </c>
      <c r="AP889" s="2" t="str">
        <f>INDEX(Sheet5!$B$2:$AG$33, MATCH(Table2[[#This Row],[HomeTeam]],Sheet5!$A$2:$A$33, 0), MATCH(Table2[[#This Row],[AwayTeam]],Sheet5!$A$2:$A$33, 0))</f>
        <v>1-0-0</v>
      </c>
      <c r="AQ889" s="2">
        <f>IF(Table2[[#This Row],[GameHasShutOut]], 1, 0)</f>
        <v>0</v>
      </c>
      <c r="AR889" s="2">
        <f>IF(Table2[[#This Row],[ActualAwayScore]] + Table2[[#This Row],[ActualHomeScore]] &gt;= 10, 1, 0)</f>
        <v>0</v>
      </c>
      <c r="AS889" s="2">
        <f>IF(ABS(Table2[[#This Row],[ActualAwayScore]]-Table2[[#This Row],[ActualHomeScore]])&gt;=5, 1, 0)</f>
        <v>0</v>
      </c>
      <c r="AT889" s="2">
        <f>IF(Table2[[#This Row],[ActualAwayScore]] + Table2[[#This Row],[ActualHomeScore]] &lt;= 3, 1, 0)</f>
        <v>1</v>
      </c>
      <c r="AU889" s="2"/>
      <c r="AV889" s="2"/>
    </row>
    <row r="890" spans="1:48" x14ac:dyDescent="0.25">
      <c r="A890" s="3"/>
      <c r="B890" s="3">
        <v>46057</v>
      </c>
      <c r="C890" s="5">
        <v>2025020888</v>
      </c>
      <c r="D890" s="2" t="s">
        <v>20</v>
      </c>
      <c r="E890" s="2" t="s">
        <v>32</v>
      </c>
      <c r="F890" s="2"/>
      <c r="G890" s="2"/>
      <c r="H890" s="2" t="str">
        <f t="shared" si="69"/>
        <v>_</v>
      </c>
      <c r="I890" s="2"/>
      <c r="J890" s="2"/>
      <c r="K890" s="2"/>
      <c r="L890" s="2" t="str">
        <f t="shared" si="70"/>
        <v>_</v>
      </c>
      <c r="M890" s="2"/>
      <c r="N890" s="2">
        <f>IF(ISBLANK(Table2[[#This Row],[ActualResult]]), 0, 1)</f>
        <v>0</v>
      </c>
      <c r="O890" s="2" t="str">
        <f>IF(ISBLANK(Table2[[#This Row],[ActualResult]]), "_", IF(Table2[[#This Row],[ActualWinner]]=Table2[[#This Row],[PredictedWinner]], "Y", "N"))</f>
        <v>_</v>
      </c>
      <c r="P8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0" s="2"/>
      <c r="S890" s="2" t="str">
        <f t="shared" si="71"/>
        <v>_</v>
      </c>
      <c r="T8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0" s="2">
        <f>IF(Table2[[#This Row],[InterConf]]=1,IF(Table2[[#This Row],[InterDiv]]=0, 1, 0), 0)</f>
        <v>0</v>
      </c>
      <c r="W8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0" s="2"/>
      <c r="Y890" s="2"/>
      <c r="Z890" s="145">
        <f>IF(AND(Table2[[#This Row],[GameIsOver]]=1,Table2[[#This Row],[ActualHomeScore]]*Table2[[#This Row],[ActualAwayScore]]=0), 1,0)</f>
        <v>0</v>
      </c>
      <c r="AA8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0" s="2">
        <f>Table2[[#This Row],[ActualAwayScore]]-Table2[[#This Row],[PredictedAwayScore]]</f>
        <v>0</v>
      </c>
      <c r="AG890" s="2">
        <f>Table2[[#This Row],[ActualHomeScore]]-Table2[[#This Row],[PredictedHomeScore]]</f>
        <v>0</v>
      </c>
      <c r="AH890" s="2">
        <f t="shared" si="72"/>
        <v>0</v>
      </c>
      <c r="AI890" s="2">
        <f t="shared" si="73"/>
        <v>0</v>
      </c>
      <c r="AJ890" s="2"/>
      <c r="AK890" s="3"/>
      <c r="AL890" s="2">
        <f>IF(Table2[[#This Row],[GameIsOver]]=0,0,IF(Table2[[#This Row],[ActualWinner]]=Table2[[#This Row],[AwayTeam]], 1, 0))</f>
        <v>0</v>
      </c>
      <c r="AM890" s="2">
        <f>IF(Table2[[#This Row],[GameIsOver]]=0,0,IF(Table2[[#This Row],[ActualWinner]]=Table2[[#This Row],[HomeTeam]], 1, 0))</f>
        <v>0</v>
      </c>
      <c r="AN8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0" s="2" t="str">
        <f>INDEX(Sheet5!$B$2:$AG$33, MATCH(Table2[[#This Row],[AwayTeam]],Sheet5!$A$2:$A$33, 0), MATCH(Table2[[#This Row],[HomeTeam]],Sheet5!$A$2:$A$33, 0))</f>
        <v>1-0-0</v>
      </c>
      <c r="AP890" s="2" t="str">
        <f>INDEX(Sheet5!$B$2:$AG$33, MATCH(Table2[[#This Row],[HomeTeam]],Sheet5!$A$2:$A$33, 0), MATCH(Table2[[#This Row],[AwayTeam]],Sheet5!$A$2:$A$33, 0))</f>
        <v>0-1-0</v>
      </c>
      <c r="AQ890" s="2">
        <f>IF(Table2[[#This Row],[GameHasShutOut]], 1, 0)</f>
        <v>0</v>
      </c>
      <c r="AR890" s="2">
        <f>IF(Table2[[#This Row],[ActualAwayScore]] + Table2[[#This Row],[ActualHomeScore]] &gt;= 10, 1, 0)</f>
        <v>0</v>
      </c>
      <c r="AS890" s="2">
        <f>IF(ABS(Table2[[#This Row],[ActualAwayScore]]-Table2[[#This Row],[ActualHomeScore]])&gt;=5, 1, 0)</f>
        <v>0</v>
      </c>
      <c r="AT890" s="2">
        <f>IF(Table2[[#This Row],[ActualAwayScore]] + Table2[[#This Row],[ActualHomeScore]] &lt;= 3, 1, 0)</f>
        <v>1</v>
      </c>
      <c r="AU890" s="2"/>
      <c r="AV890" s="2"/>
    </row>
    <row r="891" spans="1:48" x14ac:dyDescent="0.25">
      <c r="A891" s="3"/>
      <c r="B891" s="3">
        <v>46057</v>
      </c>
      <c r="C891" s="5">
        <v>2025020889</v>
      </c>
      <c r="D891" s="2" t="s">
        <v>43</v>
      </c>
      <c r="E891" s="2" t="s">
        <v>42</v>
      </c>
      <c r="F891" s="2"/>
      <c r="G891" s="2"/>
      <c r="H891" s="2" t="str">
        <f t="shared" si="69"/>
        <v>_</v>
      </c>
      <c r="I891" s="2"/>
      <c r="J891" s="2"/>
      <c r="K891" s="2"/>
      <c r="L891" s="2" t="str">
        <f t="shared" si="70"/>
        <v>_</v>
      </c>
      <c r="M891" s="2"/>
      <c r="N891" s="2">
        <f>IF(ISBLANK(Table2[[#This Row],[ActualResult]]), 0, 1)</f>
        <v>0</v>
      </c>
      <c r="O891" s="2" t="str">
        <f>IF(ISBLANK(Table2[[#This Row],[ActualResult]]), "_", IF(Table2[[#This Row],[ActualWinner]]=Table2[[#This Row],[PredictedWinner]], "Y", "N"))</f>
        <v>_</v>
      </c>
      <c r="P8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1" s="2"/>
      <c r="S891" s="2" t="str">
        <f t="shared" si="71"/>
        <v>_</v>
      </c>
      <c r="T8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1" s="2">
        <f>IF(Table2[[#This Row],[InterConf]]=1,IF(Table2[[#This Row],[InterDiv]]=0, 1, 0), 0)</f>
        <v>0</v>
      </c>
      <c r="W8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1" s="2"/>
      <c r="Y891" s="2"/>
      <c r="Z891" s="145">
        <f>IF(AND(Table2[[#This Row],[GameIsOver]]=1,Table2[[#This Row],[ActualHomeScore]]*Table2[[#This Row],[ActualAwayScore]]=0), 1,0)</f>
        <v>0</v>
      </c>
      <c r="AA8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1" s="2">
        <f>Table2[[#This Row],[ActualAwayScore]]-Table2[[#This Row],[PredictedAwayScore]]</f>
        <v>0</v>
      </c>
      <c r="AG891" s="2">
        <f>Table2[[#This Row],[ActualHomeScore]]-Table2[[#This Row],[PredictedHomeScore]]</f>
        <v>0</v>
      </c>
      <c r="AH891" s="2">
        <f t="shared" si="72"/>
        <v>0</v>
      </c>
      <c r="AI891" s="2">
        <f t="shared" si="73"/>
        <v>0</v>
      </c>
      <c r="AJ891" s="2"/>
      <c r="AK891" s="3"/>
      <c r="AL891" s="2">
        <f>IF(Table2[[#This Row],[GameIsOver]]=0,0,IF(Table2[[#This Row],[ActualWinner]]=Table2[[#This Row],[AwayTeam]], 1, 0))</f>
        <v>0</v>
      </c>
      <c r="AM891" s="2">
        <f>IF(Table2[[#This Row],[GameIsOver]]=0,0,IF(Table2[[#This Row],[ActualWinner]]=Table2[[#This Row],[HomeTeam]], 1, 0))</f>
        <v>0</v>
      </c>
      <c r="AN8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1" s="2" t="str">
        <f>INDEX(Sheet5!$B$2:$AG$33, MATCH(Table2[[#This Row],[AwayTeam]],Sheet5!$A$2:$A$33, 0), MATCH(Table2[[#This Row],[HomeTeam]],Sheet5!$A$2:$A$33, 0))</f>
        <v>0-0-0</v>
      </c>
      <c r="AP891" s="2" t="str">
        <f>INDEX(Sheet5!$B$2:$AG$33, MATCH(Table2[[#This Row],[HomeTeam]],Sheet5!$A$2:$A$33, 0), MATCH(Table2[[#This Row],[AwayTeam]],Sheet5!$A$2:$A$33, 0))</f>
        <v>0-0-0</v>
      </c>
      <c r="AQ891" s="2">
        <f>IF(Table2[[#This Row],[GameHasShutOut]], 1, 0)</f>
        <v>0</v>
      </c>
      <c r="AR891" s="2">
        <f>IF(Table2[[#This Row],[ActualAwayScore]] + Table2[[#This Row],[ActualHomeScore]] &gt;= 10, 1, 0)</f>
        <v>0</v>
      </c>
      <c r="AS891" s="2">
        <f>IF(ABS(Table2[[#This Row],[ActualAwayScore]]-Table2[[#This Row],[ActualHomeScore]])&gt;=5, 1, 0)</f>
        <v>0</v>
      </c>
      <c r="AT891" s="2">
        <f>IF(Table2[[#This Row],[ActualAwayScore]] + Table2[[#This Row],[ActualHomeScore]] &lt;= 3, 1, 0)</f>
        <v>1</v>
      </c>
      <c r="AU891" s="2"/>
      <c r="AV891" s="2"/>
    </row>
    <row r="892" spans="1:48" x14ac:dyDescent="0.25">
      <c r="A892" s="3"/>
      <c r="B892" s="3">
        <v>46057</v>
      </c>
      <c r="C892" s="5">
        <v>2025020890</v>
      </c>
      <c r="D892" s="2" t="s">
        <v>29</v>
      </c>
      <c r="E892" s="2" t="s">
        <v>41</v>
      </c>
      <c r="F892" s="2"/>
      <c r="G892" s="2"/>
      <c r="H892" s="2" t="str">
        <f t="shared" si="69"/>
        <v>_</v>
      </c>
      <c r="I892" s="2"/>
      <c r="J892" s="2"/>
      <c r="K892" s="2"/>
      <c r="L892" s="2" t="str">
        <f t="shared" si="70"/>
        <v>_</v>
      </c>
      <c r="M892" s="2"/>
      <c r="N892" s="2">
        <f>IF(ISBLANK(Table2[[#This Row],[ActualResult]]), 0, 1)</f>
        <v>0</v>
      </c>
      <c r="O892" s="2" t="str">
        <f>IF(ISBLANK(Table2[[#This Row],[ActualResult]]), "_", IF(Table2[[#This Row],[ActualWinner]]=Table2[[#This Row],[PredictedWinner]], "Y", "N"))</f>
        <v>_</v>
      </c>
      <c r="P8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2" s="2"/>
      <c r="S892" s="2" t="str">
        <f t="shared" si="71"/>
        <v>_</v>
      </c>
      <c r="T8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2" s="2">
        <f>IF(Table2[[#This Row],[InterConf]]=1,IF(Table2[[#This Row],[InterDiv]]=0, 1, 0), 0)</f>
        <v>1</v>
      </c>
      <c r="W8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2" s="2"/>
      <c r="Y892" s="2"/>
      <c r="Z892" s="145">
        <f>IF(AND(Table2[[#This Row],[GameIsOver]]=1,Table2[[#This Row],[ActualHomeScore]]*Table2[[#This Row],[ActualAwayScore]]=0), 1,0)</f>
        <v>0</v>
      </c>
      <c r="AA8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2" s="2">
        <f>Table2[[#This Row],[ActualAwayScore]]-Table2[[#This Row],[PredictedAwayScore]]</f>
        <v>0</v>
      </c>
      <c r="AG892" s="2">
        <f>Table2[[#This Row],[ActualHomeScore]]-Table2[[#This Row],[PredictedHomeScore]]</f>
        <v>0</v>
      </c>
      <c r="AH892" s="2">
        <f t="shared" si="72"/>
        <v>0</v>
      </c>
      <c r="AI892" s="2">
        <f t="shared" si="73"/>
        <v>0</v>
      </c>
      <c r="AJ892" s="2"/>
      <c r="AK892" s="3"/>
      <c r="AL892" s="2">
        <f>IF(Table2[[#This Row],[GameIsOver]]=0,0,IF(Table2[[#This Row],[ActualWinner]]=Table2[[#This Row],[AwayTeam]], 1, 0))</f>
        <v>0</v>
      </c>
      <c r="AM892" s="2">
        <f>IF(Table2[[#This Row],[GameIsOver]]=0,0,IF(Table2[[#This Row],[ActualWinner]]=Table2[[#This Row],[HomeTeam]], 1, 0))</f>
        <v>0</v>
      </c>
      <c r="AN8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2" s="2" t="str">
        <f>INDEX(Sheet5!$B$2:$AG$33, MATCH(Table2[[#This Row],[AwayTeam]],Sheet5!$A$2:$A$33, 0), MATCH(Table2[[#This Row],[HomeTeam]],Sheet5!$A$2:$A$33, 0))</f>
        <v>0-0-0</v>
      </c>
      <c r="AP892" s="2" t="str">
        <f>INDEX(Sheet5!$B$2:$AG$33, MATCH(Table2[[#This Row],[HomeTeam]],Sheet5!$A$2:$A$33, 0), MATCH(Table2[[#This Row],[AwayTeam]],Sheet5!$A$2:$A$33, 0))</f>
        <v>0-0-0</v>
      </c>
      <c r="AQ892" s="2">
        <f>IF(Table2[[#This Row],[GameHasShutOut]], 1, 0)</f>
        <v>0</v>
      </c>
      <c r="AR892" s="2">
        <f>IF(Table2[[#This Row],[ActualAwayScore]] + Table2[[#This Row],[ActualHomeScore]] &gt;= 10, 1, 0)</f>
        <v>0</v>
      </c>
      <c r="AS892" s="2">
        <f>IF(ABS(Table2[[#This Row],[ActualAwayScore]]-Table2[[#This Row],[ActualHomeScore]])&gt;=5, 1, 0)</f>
        <v>0</v>
      </c>
      <c r="AT892" s="2">
        <f>IF(Table2[[#This Row],[ActualAwayScore]] + Table2[[#This Row],[ActualHomeScore]] &lt;= 3, 1, 0)</f>
        <v>1</v>
      </c>
      <c r="AU892" s="2"/>
      <c r="AV892" s="2"/>
    </row>
    <row r="893" spans="1:48" x14ac:dyDescent="0.25">
      <c r="A893" s="3"/>
      <c r="B893" s="3">
        <v>46057</v>
      </c>
      <c r="C893" s="5">
        <v>2025020891</v>
      </c>
      <c r="D893" s="2" t="s">
        <v>17</v>
      </c>
      <c r="E893" s="2" t="s">
        <v>22</v>
      </c>
      <c r="F893" s="2"/>
      <c r="G893" s="2"/>
      <c r="H893" s="2" t="str">
        <f t="shared" si="69"/>
        <v>_</v>
      </c>
      <c r="I893" s="2"/>
      <c r="J893" s="2"/>
      <c r="K893" s="2"/>
      <c r="L893" s="2" t="str">
        <f t="shared" si="70"/>
        <v>_</v>
      </c>
      <c r="M893" s="2"/>
      <c r="N893" s="2">
        <f>IF(ISBLANK(Table2[[#This Row],[ActualResult]]), 0, 1)</f>
        <v>0</v>
      </c>
      <c r="O893" s="2" t="str">
        <f>IF(ISBLANK(Table2[[#This Row],[ActualResult]]), "_", IF(Table2[[#This Row],[ActualWinner]]=Table2[[#This Row],[PredictedWinner]], "Y", "N"))</f>
        <v>_</v>
      </c>
      <c r="P8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3" s="2"/>
      <c r="S893" s="2" t="str">
        <f t="shared" si="71"/>
        <v>_</v>
      </c>
      <c r="T8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3" s="2">
        <f>IF(Table2[[#This Row],[InterConf]]=1,IF(Table2[[#This Row],[InterDiv]]=0, 1, 0), 0)</f>
        <v>0</v>
      </c>
      <c r="W8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93" s="2"/>
      <c r="Y893" s="2"/>
      <c r="Z893" s="145">
        <f>IF(AND(Table2[[#This Row],[GameIsOver]]=1,Table2[[#This Row],[ActualHomeScore]]*Table2[[#This Row],[ActualAwayScore]]=0), 1,0)</f>
        <v>0</v>
      </c>
      <c r="AA8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3" s="2">
        <f>Table2[[#This Row],[ActualAwayScore]]-Table2[[#This Row],[PredictedAwayScore]]</f>
        <v>0</v>
      </c>
      <c r="AG893" s="2">
        <f>Table2[[#This Row],[ActualHomeScore]]-Table2[[#This Row],[PredictedHomeScore]]</f>
        <v>0</v>
      </c>
      <c r="AH893" s="2">
        <f t="shared" si="72"/>
        <v>0</v>
      </c>
      <c r="AI893" s="2">
        <f t="shared" si="73"/>
        <v>0</v>
      </c>
      <c r="AJ893" s="2"/>
      <c r="AK893" s="3"/>
      <c r="AL893" s="2">
        <f>IF(Table2[[#This Row],[GameIsOver]]=0,0,IF(Table2[[#This Row],[ActualWinner]]=Table2[[#This Row],[AwayTeam]], 1, 0))</f>
        <v>0</v>
      </c>
      <c r="AM893" s="2">
        <f>IF(Table2[[#This Row],[GameIsOver]]=0,0,IF(Table2[[#This Row],[ActualWinner]]=Table2[[#This Row],[HomeTeam]], 1, 0))</f>
        <v>0</v>
      </c>
      <c r="AN8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3" s="2" t="str">
        <f>INDEX(Sheet5!$B$2:$AG$33, MATCH(Table2[[#This Row],[AwayTeam]],Sheet5!$A$2:$A$33, 0), MATCH(Table2[[#This Row],[HomeTeam]],Sheet5!$A$2:$A$33, 0))</f>
        <v>0-0-0</v>
      </c>
      <c r="AP893" s="2" t="str">
        <f>INDEX(Sheet5!$B$2:$AG$33, MATCH(Table2[[#This Row],[HomeTeam]],Sheet5!$A$2:$A$33, 0), MATCH(Table2[[#This Row],[AwayTeam]],Sheet5!$A$2:$A$33, 0))</f>
        <v>0-0-0</v>
      </c>
      <c r="AQ893" s="2">
        <f>IF(Table2[[#This Row],[GameHasShutOut]], 1, 0)</f>
        <v>0</v>
      </c>
      <c r="AR893" s="2">
        <f>IF(Table2[[#This Row],[ActualAwayScore]] + Table2[[#This Row],[ActualHomeScore]] &gt;= 10, 1, 0)</f>
        <v>0</v>
      </c>
      <c r="AS893" s="2">
        <f>IF(ABS(Table2[[#This Row],[ActualAwayScore]]-Table2[[#This Row],[ActualHomeScore]])&gt;=5, 1, 0)</f>
        <v>0</v>
      </c>
      <c r="AT893" s="2">
        <f>IF(Table2[[#This Row],[ActualAwayScore]] + Table2[[#This Row],[ActualHomeScore]] &lt;= 3, 1, 0)</f>
        <v>1</v>
      </c>
      <c r="AU893" s="2"/>
      <c r="AV893" s="2"/>
    </row>
    <row r="894" spans="1:48" x14ac:dyDescent="0.25">
      <c r="A894" s="3"/>
      <c r="B894" s="3">
        <v>46057</v>
      </c>
      <c r="C894" s="5">
        <v>2025020892</v>
      </c>
      <c r="D894" s="2" t="s">
        <v>11</v>
      </c>
      <c r="E894" s="2" t="s">
        <v>44</v>
      </c>
      <c r="F894" s="2"/>
      <c r="G894" s="2"/>
      <c r="H894" s="2" t="str">
        <f t="shared" si="69"/>
        <v>_</v>
      </c>
      <c r="I894" s="2"/>
      <c r="J894" s="2"/>
      <c r="K894" s="2"/>
      <c r="L894" s="2" t="str">
        <f t="shared" si="70"/>
        <v>_</v>
      </c>
      <c r="M894" s="2"/>
      <c r="N894" s="2">
        <f>IF(ISBLANK(Table2[[#This Row],[ActualResult]]), 0, 1)</f>
        <v>0</v>
      </c>
      <c r="O894" s="2" t="str">
        <f>IF(ISBLANK(Table2[[#This Row],[ActualResult]]), "_", IF(Table2[[#This Row],[ActualWinner]]=Table2[[#This Row],[PredictedWinner]], "Y", "N"))</f>
        <v>_</v>
      </c>
      <c r="P8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4" s="2"/>
      <c r="S894" s="2" t="str">
        <f t="shared" si="71"/>
        <v>_</v>
      </c>
      <c r="T8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4" s="2">
        <f>IF(Table2[[#This Row],[InterConf]]=1,IF(Table2[[#This Row],[InterDiv]]=0, 1, 0), 0)</f>
        <v>0</v>
      </c>
      <c r="W8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4" s="2"/>
      <c r="Y894" s="2"/>
      <c r="Z894" s="145">
        <f>IF(AND(Table2[[#This Row],[GameIsOver]]=1,Table2[[#This Row],[ActualHomeScore]]*Table2[[#This Row],[ActualAwayScore]]=0), 1,0)</f>
        <v>0</v>
      </c>
      <c r="AA8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4" s="2">
        <f>Table2[[#This Row],[ActualAwayScore]]-Table2[[#This Row],[PredictedAwayScore]]</f>
        <v>0</v>
      </c>
      <c r="AG894" s="2">
        <f>Table2[[#This Row],[ActualHomeScore]]-Table2[[#This Row],[PredictedHomeScore]]</f>
        <v>0</v>
      </c>
      <c r="AH894" s="2">
        <f t="shared" si="72"/>
        <v>0</v>
      </c>
      <c r="AI894" s="2">
        <f t="shared" si="73"/>
        <v>0</v>
      </c>
      <c r="AJ894" s="2"/>
      <c r="AK894" s="3"/>
      <c r="AL894" s="2">
        <f>IF(Table2[[#This Row],[GameIsOver]]=0,0,IF(Table2[[#This Row],[ActualWinner]]=Table2[[#This Row],[AwayTeam]], 1, 0))</f>
        <v>0</v>
      </c>
      <c r="AM894" s="2">
        <f>IF(Table2[[#This Row],[GameIsOver]]=0,0,IF(Table2[[#This Row],[ActualWinner]]=Table2[[#This Row],[HomeTeam]], 1, 0))</f>
        <v>0</v>
      </c>
      <c r="AN8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4" s="2" t="str">
        <f>INDEX(Sheet5!$B$2:$AG$33, MATCH(Table2[[#This Row],[AwayTeam]],Sheet5!$A$2:$A$33, 0), MATCH(Table2[[#This Row],[HomeTeam]],Sheet5!$A$2:$A$33, 0))</f>
        <v>1-0-0</v>
      </c>
      <c r="AP894" s="2" t="str">
        <f>INDEX(Sheet5!$B$2:$AG$33, MATCH(Table2[[#This Row],[HomeTeam]],Sheet5!$A$2:$A$33, 0), MATCH(Table2[[#This Row],[AwayTeam]],Sheet5!$A$2:$A$33, 0))</f>
        <v>0-1-0</v>
      </c>
      <c r="AQ894" s="2">
        <f>IF(Table2[[#This Row],[GameHasShutOut]], 1, 0)</f>
        <v>0</v>
      </c>
      <c r="AR894" s="2">
        <f>IF(Table2[[#This Row],[ActualAwayScore]] + Table2[[#This Row],[ActualHomeScore]] &gt;= 10, 1, 0)</f>
        <v>0</v>
      </c>
      <c r="AS894" s="2">
        <f>IF(ABS(Table2[[#This Row],[ActualAwayScore]]-Table2[[#This Row],[ActualHomeScore]])&gt;=5, 1, 0)</f>
        <v>0</v>
      </c>
      <c r="AT894" s="2">
        <f>IF(Table2[[#This Row],[ActualAwayScore]] + Table2[[#This Row],[ActualHomeScore]] &lt;= 3, 1, 0)</f>
        <v>1</v>
      </c>
      <c r="AU894" s="2"/>
      <c r="AV894" s="2"/>
    </row>
    <row r="895" spans="1:48" x14ac:dyDescent="0.25">
      <c r="A895" s="3"/>
      <c r="B895" s="3">
        <v>46058</v>
      </c>
      <c r="C895" s="5">
        <v>2025020893</v>
      </c>
      <c r="D895" s="2" t="s">
        <v>15</v>
      </c>
      <c r="E895" s="2" t="s">
        <v>13</v>
      </c>
      <c r="F895" s="2"/>
      <c r="G895" s="2"/>
      <c r="H895" s="2" t="str">
        <f t="shared" si="69"/>
        <v>_</v>
      </c>
      <c r="I895" s="2"/>
      <c r="J895" s="2"/>
      <c r="K895" s="2"/>
      <c r="L895" s="2" t="str">
        <f t="shared" si="70"/>
        <v>_</v>
      </c>
      <c r="M895" s="2"/>
      <c r="N895" s="2">
        <f>IF(ISBLANK(Table2[[#This Row],[ActualResult]]), 0, 1)</f>
        <v>0</v>
      </c>
      <c r="O895" s="2" t="str">
        <f>IF(ISBLANK(Table2[[#This Row],[ActualResult]]), "_", IF(Table2[[#This Row],[ActualWinner]]=Table2[[#This Row],[PredictedWinner]], "Y", "N"))</f>
        <v>_</v>
      </c>
      <c r="P8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5" s="2"/>
      <c r="S895" s="2" t="str">
        <f t="shared" si="71"/>
        <v>_</v>
      </c>
      <c r="T8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5" s="2">
        <f>IF(Table2[[#This Row],[InterConf]]=1,IF(Table2[[#This Row],[InterDiv]]=0, 1, 0), 0)</f>
        <v>0</v>
      </c>
      <c r="W8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5" s="2"/>
      <c r="Y895" s="2"/>
      <c r="Z895" s="145">
        <f>IF(AND(Table2[[#This Row],[GameIsOver]]=1,Table2[[#This Row],[ActualHomeScore]]*Table2[[#This Row],[ActualAwayScore]]=0), 1,0)</f>
        <v>0</v>
      </c>
      <c r="AA8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5" s="2">
        <f>Table2[[#This Row],[ActualAwayScore]]-Table2[[#This Row],[PredictedAwayScore]]</f>
        <v>0</v>
      </c>
      <c r="AG895" s="2">
        <f>Table2[[#This Row],[ActualHomeScore]]-Table2[[#This Row],[PredictedHomeScore]]</f>
        <v>0</v>
      </c>
      <c r="AH895" s="2">
        <f t="shared" si="72"/>
        <v>0</v>
      </c>
      <c r="AI895" s="2">
        <f t="shared" si="73"/>
        <v>0</v>
      </c>
      <c r="AJ895" s="2"/>
      <c r="AK895" s="3"/>
      <c r="AL895" s="2">
        <f>IF(Table2[[#This Row],[GameIsOver]]=0,0,IF(Table2[[#This Row],[ActualWinner]]=Table2[[#This Row],[AwayTeam]], 1, 0))</f>
        <v>0</v>
      </c>
      <c r="AM895" s="2">
        <f>IF(Table2[[#This Row],[GameIsOver]]=0,0,IF(Table2[[#This Row],[ActualWinner]]=Table2[[#This Row],[HomeTeam]], 1, 0))</f>
        <v>0</v>
      </c>
      <c r="AN8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5" s="2" t="str">
        <f>INDEX(Sheet5!$B$2:$AG$33, MATCH(Table2[[#This Row],[AwayTeam]],Sheet5!$A$2:$A$33, 0), MATCH(Table2[[#This Row],[HomeTeam]],Sheet5!$A$2:$A$33, 0))</f>
        <v>0-1-0</v>
      </c>
      <c r="AP895" s="2" t="str">
        <f>INDEX(Sheet5!$B$2:$AG$33, MATCH(Table2[[#This Row],[HomeTeam]],Sheet5!$A$2:$A$33, 0), MATCH(Table2[[#This Row],[AwayTeam]],Sheet5!$A$2:$A$33, 0))</f>
        <v>1-0-0</v>
      </c>
      <c r="AQ895" s="2">
        <f>IF(Table2[[#This Row],[GameHasShutOut]], 1, 0)</f>
        <v>0</v>
      </c>
      <c r="AR895" s="2">
        <f>IF(Table2[[#This Row],[ActualAwayScore]] + Table2[[#This Row],[ActualHomeScore]] &gt;= 10, 1, 0)</f>
        <v>0</v>
      </c>
      <c r="AS895" s="2">
        <f>IF(ABS(Table2[[#This Row],[ActualAwayScore]]-Table2[[#This Row],[ActualHomeScore]])&gt;=5, 1, 0)</f>
        <v>0</v>
      </c>
      <c r="AT895" s="2">
        <f>IF(Table2[[#This Row],[ActualAwayScore]] + Table2[[#This Row],[ActualHomeScore]] &lt;= 3, 1, 0)</f>
        <v>1</v>
      </c>
      <c r="AU895" s="2"/>
      <c r="AV895" s="2"/>
    </row>
    <row r="896" spans="1:48" x14ac:dyDescent="0.25">
      <c r="A896" s="3"/>
      <c r="B896" s="3">
        <v>46058</v>
      </c>
      <c r="C896" s="5">
        <v>2025020894</v>
      </c>
      <c r="D896" s="2" t="s">
        <v>16</v>
      </c>
      <c r="E896" s="2" t="s">
        <v>35</v>
      </c>
      <c r="F896" s="2"/>
      <c r="G896" s="2"/>
      <c r="H896" s="2" t="str">
        <f t="shared" si="69"/>
        <v>_</v>
      </c>
      <c r="I896" s="2"/>
      <c r="J896" s="2"/>
      <c r="K896" s="2"/>
      <c r="L896" s="2" t="str">
        <f t="shared" si="70"/>
        <v>_</v>
      </c>
      <c r="M896" s="2"/>
      <c r="N896" s="2">
        <f>IF(ISBLANK(Table2[[#This Row],[ActualResult]]), 0, 1)</f>
        <v>0</v>
      </c>
      <c r="O896" s="2" t="str">
        <f>IF(ISBLANK(Table2[[#This Row],[ActualResult]]), "_", IF(Table2[[#This Row],[ActualWinner]]=Table2[[#This Row],[PredictedWinner]], "Y", "N"))</f>
        <v>_</v>
      </c>
      <c r="P8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6" s="2"/>
      <c r="S896" s="2" t="str">
        <f t="shared" si="71"/>
        <v>_</v>
      </c>
      <c r="T8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6" s="2">
        <f>IF(Table2[[#This Row],[InterConf]]=1,IF(Table2[[#This Row],[InterDiv]]=0, 1, 0), 0)</f>
        <v>0</v>
      </c>
      <c r="W8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96" s="2"/>
      <c r="Y896" s="2"/>
      <c r="Z896" s="145">
        <f>IF(AND(Table2[[#This Row],[GameIsOver]]=1,Table2[[#This Row],[ActualHomeScore]]*Table2[[#This Row],[ActualAwayScore]]=0), 1,0)</f>
        <v>0</v>
      </c>
      <c r="AA8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6" s="2">
        <f>Table2[[#This Row],[ActualAwayScore]]-Table2[[#This Row],[PredictedAwayScore]]</f>
        <v>0</v>
      </c>
      <c r="AG896" s="2">
        <f>Table2[[#This Row],[ActualHomeScore]]-Table2[[#This Row],[PredictedHomeScore]]</f>
        <v>0</v>
      </c>
      <c r="AH896" s="2">
        <f t="shared" si="72"/>
        <v>0</v>
      </c>
      <c r="AI896" s="2">
        <f t="shared" si="73"/>
        <v>0</v>
      </c>
      <c r="AJ896" s="2"/>
      <c r="AK896" s="3"/>
      <c r="AL896" s="2">
        <f>IF(Table2[[#This Row],[GameIsOver]]=0,0,IF(Table2[[#This Row],[ActualWinner]]=Table2[[#This Row],[AwayTeam]], 1, 0))</f>
        <v>0</v>
      </c>
      <c r="AM896" s="2">
        <f>IF(Table2[[#This Row],[GameIsOver]]=0,0,IF(Table2[[#This Row],[ActualWinner]]=Table2[[#This Row],[HomeTeam]], 1, 0))</f>
        <v>0</v>
      </c>
      <c r="AN8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6" s="2" t="str">
        <f>INDEX(Sheet5!$B$2:$AG$33, MATCH(Table2[[#This Row],[AwayTeam]],Sheet5!$A$2:$A$33, 0), MATCH(Table2[[#This Row],[HomeTeam]],Sheet5!$A$2:$A$33, 0))</f>
        <v>0-0-0</v>
      </c>
      <c r="AP896" s="2" t="str">
        <f>INDEX(Sheet5!$B$2:$AG$33, MATCH(Table2[[#This Row],[HomeTeam]],Sheet5!$A$2:$A$33, 0), MATCH(Table2[[#This Row],[AwayTeam]],Sheet5!$A$2:$A$33, 0))</f>
        <v>0-0-0</v>
      </c>
      <c r="AQ896" s="2">
        <f>IF(Table2[[#This Row],[GameHasShutOut]], 1, 0)</f>
        <v>0</v>
      </c>
      <c r="AR896" s="2">
        <f>IF(Table2[[#This Row],[ActualAwayScore]] + Table2[[#This Row],[ActualHomeScore]] &gt;= 10, 1, 0)</f>
        <v>0</v>
      </c>
      <c r="AS896" s="2">
        <f>IF(ABS(Table2[[#This Row],[ActualAwayScore]]-Table2[[#This Row],[ActualHomeScore]])&gt;=5, 1, 0)</f>
        <v>0</v>
      </c>
      <c r="AT896" s="2">
        <f>IF(Table2[[#This Row],[ActualAwayScore]] + Table2[[#This Row],[ActualHomeScore]] &lt;= 3, 1, 0)</f>
        <v>1</v>
      </c>
      <c r="AU896" s="2"/>
      <c r="AV896" s="2"/>
    </row>
    <row r="897" spans="1:48" x14ac:dyDescent="0.25">
      <c r="A897" s="3"/>
      <c r="B897" s="3">
        <v>46058</v>
      </c>
      <c r="C897" s="5">
        <v>2025020895</v>
      </c>
      <c r="D897" s="2" t="s">
        <v>18</v>
      </c>
      <c r="E897" s="2" t="s">
        <v>21</v>
      </c>
      <c r="F897" s="2"/>
      <c r="G897" s="2"/>
      <c r="H897" s="2" t="str">
        <f t="shared" si="69"/>
        <v>_</v>
      </c>
      <c r="I897" s="2"/>
      <c r="J897" s="2"/>
      <c r="K897" s="2"/>
      <c r="L897" s="2" t="str">
        <f t="shared" si="70"/>
        <v>_</v>
      </c>
      <c r="M897" s="2"/>
      <c r="N897" s="2">
        <f>IF(ISBLANK(Table2[[#This Row],[ActualResult]]), 0, 1)</f>
        <v>0</v>
      </c>
      <c r="O897" s="2" t="str">
        <f>IF(ISBLANK(Table2[[#This Row],[ActualResult]]), "_", IF(Table2[[#This Row],[ActualWinner]]=Table2[[#This Row],[PredictedWinner]], "Y", "N"))</f>
        <v>_</v>
      </c>
      <c r="P8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7" s="2"/>
      <c r="S897" s="2" t="str">
        <f t="shared" si="71"/>
        <v>_</v>
      </c>
      <c r="T8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7" s="2">
        <f>IF(Table2[[#This Row],[InterConf]]=1,IF(Table2[[#This Row],[InterDiv]]=0, 1, 0), 0)</f>
        <v>0</v>
      </c>
      <c r="W8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97" s="2"/>
      <c r="Y897" s="2"/>
      <c r="Z897" s="145">
        <f>IF(AND(Table2[[#This Row],[GameIsOver]]=1,Table2[[#This Row],[ActualHomeScore]]*Table2[[#This Row],[ActualAwayScore]]=0), 1,0)</f>
        <v>0</v>
      </c>
      <c r="AA8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7" s="2">
        <f>Table2[[#This Row],[ActualAwayScore]]-Table2[[#This Row],[PredictedAwayScore]]</f>
        <v>0</v>
      </c>
      <c r="AG897" s="2">
        <f>Table2[[#This Row],[ActualHomeScore]]-Table2[[#This Row],[PredictedHomeScore]]</f>
        <v>0</v>
      </c>
      <c r="AH897" s="2">
        <f t="shared" si="72"/>
        <v>0</v>
      </c>
      <c r="AI897" s="2">
        <f t="shared" si="73"/>
        <v>0</v>
      </c>
      <c r="AJ897" s="2"/>
      <c r="AK897" s="3"/>
      <c r="AL897" s="2">
        <f>IF(Table2[[#This Row],[GameIsOver]]=0,0,IF(Table2[[#This Row],[ActualWinner]]=Table2[[#This Row],[AwayTeam]], 1, 0))</f>
        <v>0</v>
      </c>
      <c r="AM897" s="2">
        <f>IF(Table2[[#This Row],[GameIsOver]]=0,0,IF(Table2[[#This Row],[ActualWinner]]=Table2[[#This Row],[HomeTeam]], 1, 0))</f>
        <v>0</v>
      </c>
      <c r="AN8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7" s="2" t="str">
        <f>INDEX(Sheet5!$B$2:$AG$33, MATCH(Table2[[#This Row],[AwayTeam]],Sheet5!$A$2:$A$33, 0), MATCH(Table2[[#This Row],[HomeTeam]],Sheet5!$A$2:$A$33, 0))</f>
        <v>0-0-0</v>
      </c>
      <c r="AP897" s="2" t="str">
        <f>INDEX(Sheet5!$B$2:$AG$33, MATCH(Table2[[#This Row],[HomeTeam]],Sheet5!$A$2:$A$33, 0), MATCH(Table2[[#This Row],[AwayTeam]],Sheet5!$A$2:$A$33, 0))</f>
        <v>0-0-0</v>
      </c>
      <c r="AQ897" s="2">
        <f>IF(Table2[[#This Row],[GameHasShutOut]], 1, 0)</f>
        <v>0</v>
      </c>
      <c r="AR897" s="2">
        <f>IF(Table2[[#This Row],[ActualAwayScore]] + Table2[[#This Row],[ActualHomeScore]] &gt;= 10, 1, 0)</f>
        <v>0</v>
      </c>
      <c r="AS897" s="2">
        <f>IF(ABS(Table2[[#This Row],[ActualAwayScore]]-Table2[[#This Row],[ActualHomeScore]])&gt;=5, 1, 0)</f>
        <v>0</v>
      </c>
      <c r="AT897" s="2">
        <f>IF(Table2[[#This Row],[ActualAwayScore]] + Table2[[#This Row],[ActualHomeScore]] &lt;= 3, 1, 0)</f>
        <v>1</v>
      </c>
      <c r="AU897" s="2"/>
      <c r="AV897" s="2"/>
    </row>
    <row r="898" spans="1:48" x14ac:dyDescent="0.25">
      <c r="A898" s="3"/>
      <c r="B898" s="3">
        <v>46058</v>
      </c>
      <c r="C898" s="5">
        <v>2025020896</v>
      </c>
      <c r="D898" s="2" t="s">
        <v>36</v>
      </c>
      <c r="E898" s="2" t="s">
        <v>34</v>
      </c>
      <c r="F898" s="2"/>
      <c r="G898" s="2"/>
      <c r="H898" s="2" t="str">
        <f t="shared" si="69"/>
        <v>_</v>
      </c>
      <c r="I898" s="2"/>
      <c r="J898" s="2"/>
      <c r="K898" s="2"/>
      <c r="L898" s="2" t="str">
        <f t="shared" si="70"/>
        <v>_</v>
      </c>
      <c r="M898" s="2"/>
      <c r="N898" s="2">
        <f>IF(ISBLANK(Table2[[#This Row],[ActualResult]]), 0, 1)</f>
        <v>0</v>
      </c>
      <c r="O898" s="2" t="str">
        <f>IF(ISBLANK(Table2[[#This Row],[ActualResult]]), "_", IF(Table2[[#This Row],[ActualWinner]]=Table2[[#This Row],[PredictedWinner]], "Y", "N"))</f>
        <v>_</v>
      </c>
      <c r="P8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8" s="2"/>
      <c r="S898" s="2" t="str">
        <f t="shared" si="71"/>
        <v>_</v>
      </c>
      <c r="T8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8" s="2">
        <f>IF(Table2[[#This Row],[InterConf]]=1,IF(Table2[[#This Row],[InterDiv]]=0, 1, 0), 0)</f>
        <v>0</v>
      </c>
      <c r="W8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8" s="2"/>
      <c r="Y898" s="2"/>
      <c r="Z898" s="145">
        <f>IF(AND(Table2[[#This Row],[GameIsOver]]=1,Table2[[#This Row],[ActualHomeScore]]*Table2[[#This Row],[ActualAwayScore]]=0), 1,0)</f>
        <v>0</v>
      </c>
      <c r="AA8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8" s="2">
        <f>Table2[[#This Row],[ActualAwayScore]]-Table2[[#This Row],[PredictedAwayScore]]</f>
        <v>0</v>
      </c>
      <c r="AG898" s="2">
        <f>Table2[[#This Row],[ActualHomeScore]]-Table2[[#This Row],[PredictedHomeScore]]</f>
        <v>0</v>
      </c>
      <c r="AH898" s="2">
        <f t="shared" si="72"/>
        <v>0</v>
      </c>
      <c r="AI898" s="2">
        <f t="shared" si="73"/>
        <v>0</v>
      </c>
      <c r="AJ898" s="2"/>
      <c r="AK898" s="3"/>
      <c r="AL898" s="2">
        <f>IF(Table2[[#This Row],[GameIsOver]]=0,0,IF(Table2[[#This Row],[ActualWinner]]=Table2[[#This Row],[AwayTeam]], 1, 0))</f>
        <v>0</v>
      </c>
      <c r="AM898" s="2">
        <f>IF(Table2[[#This Row],[GameIsOver]]=0,0,IF(Table2[[#This Row],[ActualWinner]]=Table2[[#This Row],[HomeTeam]], 1, 0))</f>
        <v>0</v>
      </c>
      <c r="AN8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8" s="2" t="str">
        <f>INDEX(Sheet5!$B$2:$AG$33, MATCH(Table2[[#This Row],[AwayTeam]],Sheet5!$A$2:$A$33, 0), MATCH(Table2[[#This Row],[HomeTeam]],Sheet5!$A$2:$A$33, 0))</f>
        <v>0-0-0</v>
      </c>
      <c r="AP898" s="2" t="str">
        <f>INDEX(Sheet5!$B$2:$AG$33, MATCH(Table2[[#This Row],[HomeTeam]],Sheet5!$A$2:$A$33, 0), MATCH(Table2[[#This Row],[AwayTeam]],Sheet5!$A$2:$A$33, 0))</f>
        <v>0-0-0</v>
      </c>
      <c r="AQ898" s="2">
        <f>IF(Table2[[#This Row],[GameHasShutOut]], 1, 0)</f>
        <v>0</v>
      </c>
      <c r="AR898" s="2">
        <f>IF(Table2[[#This Row],[ActualAwayScore]] + Table2[[#This Row],[ActualHomeScore]] &gt;= 10, 1, 0)</f>
        <v>0</v>
      </c>
      <c r="AS898" s="2">
        <f>IF(ABS(Table2[[#This Row],[ActualAwayScore]]-Table2[[#This Row],[ActualHomeScore]])&gt;=5, 1, 0)</f>
        <v>0</v>
      </c>
      <c r="AT898" s="2">
        <f>IF(Table2[[#This Row],[ActualAwayScore]] + Table2[[#This Row],[ActualHomeScore]] &lt;= 3, 1, 0)</f>
        <v>1</v>
      </c>
      <c r="AU898" s="2"/>
      <c r="AV898" s="2"/>
    </row>
    <row r="899" spans="1:48" x14ac:dyDescent="0.25">
      <c r="A899" s="3"/>
      <c r="B899" s="3">
        <v>46058</v>
      </c>
      <c r="C899" s="5">
        <v>2025020897</v>
      </c>
      <c r="D899" s="2" t="s">
        <v>37</v>
      </c>
      <c r="E899" s="2" t="s">
        <v>25</v>
      </c>
      <c r="F899" s="2"/>
      <c r="G899" s="2"/>
      <c r="H899" s="2" t="str">
        <f t="shared" ref="H899:H962" si="74">IF(AND(ISBLANK($F899),ISBLANK($G899)),"_",IF($F899&gt;$G899,$D899,$E899))</f>
        <v>_</v>
      </c>
      <c r="I899" s="2"/>
      <c r="J899" s="2"/>
      <c r="K899" s="2"/>
      <c r="L899" s="2" t="str">
        <f t="shared" ref="L899:L962" si="75">IF(OR($J899=$K899,AND(ISBLANK($J899),ISBLANK($K899))),"_",IF($J899&gt;$K899,$D899,$E899))</f>
        <v>_</v>
      </c>
      <c r="M899" s="2"/>
      <c r="N899" s="2">
        <f>IF(ISBLANK(Table2[[#This Row],[ActualResult]]), 0, 1)</f>
        <v>0</v>
      </c>
      <c r="O899" s="2" t="str">
        <f>IF(ISBLANK(Table2[[#This Row],[ActualResult]]), "_", IF(Table2[[#This Row],[ActualWinner]]=Table2[[#This Row],[PredictedWinner]], "Y", "N"))</f>
        <v>_</v>
      </c>
      <c r="P8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9" s="2"/>
      <c r="S899" s="2" t="str">
        <f t="shared" ref="S899:S962" si="76">IF($L899="_", "_", IF($L899=$D899,$E899,$D899))</f>
        <v>_</v>
      </c>
      <c r="T8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9" s="2">
        <f>IF(Table2[[#This Row],[InterConf]]=1,IF(Table2[[#This Row],[InterDiv]]=0, 1, 0), 0)</f>
        <v>1</v>
      </c>
      <c r="W8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9" s="2"/>
      <c r="Y899" s="2"/>
      <c r="Z899" s="145">
        <f>IF(AND(Table2[[#This Row],[GameIsOver]]=1,Table2[[#This Row],[ActualHomeScore]]*Table2[[#This Row],[ActualAwayScore]]=0), 1,0)</f>
        <v>0</v>
      </c>
      <c r="AA8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9" s="2">
        <f>Table2[[#This Row],[ActualAwayScore]]-Table2[[#This Row],[PredictedAwayScore]]</f>
        <v>0</v>
      </c>
      <c r="AG899" s="2">
        <f>Table2[[#This Row],[ActualHomeScore]]-Table2[[#This Row],[PredictedHomeScore]]</f>
        <v>0</v>
      </c>
      <c r="AH899" s="2">
        <f t="shared" ref="AH899:AH962" si="77">SUMIF($B$3:$B$1315, $B899, $AF$3:$AF$1315)</f>
        <v>0</v>
      </c>
      <c r="AI899" s="2">
        <f t="shared" ref="AI899:AI962" si="78">SUMIF($B$3:$B$1315, $B899, $AG$3:$AG$1315)</f>
        <v>0</v>
      </c>
      <c r="AJ899" s="2"/>
      <c r="AK899" s="3"/>
      <c r="AL899" s="2">
        <f>IF(Table2[[#This Row],[GameIsOver]]=0,0,IF(Table2[[#This Row],[ActualWinner]]=Table2[[#This Row],[AwayTeam]], 1, 0))</f>
        <v>0</v>
      </c>
      <c r="AM899" s="2">
        <f>IF(Table2[[#This Row],[GameIsOver]]=0,0,IF(Table2[[#This Row],[ActualWinner]]=Table2[[#This Row],[HomeTeam]], 1, 0))</f>
        <v>0</v>
      </c>
      <c r="AN8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9" s="2" t="str">
        <f>INDEX(Sheet5!$B$2:$AG$33, MATCH(Table2[[#This Row],[AwayTeam]],Sheet5!$A$2:$A$33, 0), MATCH(Table2[[#This Row],[HomeTeam]],Sheet5!$A$2:$A$33, 0))</f>
        <v>0-0-0</v>
      </c>
      <c r="AP899" s="2" t="str">
        <f>INDEX(Sheet5!$B$2:$AG$33, MATCH(Table2[[#This Row],[HomeTeam]],Sheet5!$A$2:$A$33, 0), MATCH(Table2[[#This Row],[AwayTeam]],Sheet5!$A$2:$A$33, 0))</f>
        <v>0-0-0</v>
      </c>
      <c r="AQ899" s="2">
        <f>IF(Table2[[#This Row],[GameHasShutOut]], 1, 0)</f>
        <v>0</v>
      </c>
      <c r="AR899" s="2">
        <f>IF(Table2[[#This Row],[ActualAwayScore]] + Table2[[#This Row],[ActualHomeScore]] &gt;= 10, 1, 0)</f>
        <v>0</v>
      </c>
      <c r="AS899" s="2">
        <f>IF(ABS(Table2[[#This Row],[ActualAwayScore]]-Table2[[#This Row],[ActualHomeScore]])&gt;=5, 1, 0)</f>
        <v>0</v>
      </c>
      <c r="AT899" s="2">
        <f>IF(Table2[[#This Row],[ActualAwayScore]] + Table2[[#This Row],[ActualHomeScore]] &lt;= 3, 1, 0)</f>
        <v>1</v>
      </c>
      <c r="AU899" s="2"/>
      <c r="AV899" s="2"/>
    </row>
    <row r="900" spans="1:48" x14ac:dyDescent="0.25">
      <c r="A900" s="3"/>
      <c r="B900" s="3">
        <v>46058</v>
      </c>
      <c r="C900" s="5">
        <v>2025020898</v>
      </c>
      <c r="D900" s="2" t="s">
        <v>30</v>
      </c>
      <c r="E900" s="2" t="s">
        <v>14</v>
      </c>
      <c r="F900" s="2"/>
      <c r="G900" s="2"/>
      <c r="H900" s="2" t="str">
        <f t="shared" si="74"/>
        <v>_</v>
      </c>
      <c r="I900" s="2"/>
      <c r="J900" s="2"/>
      <c r="K900" s="2"/>
      <c r="L900" s="2" t="str">
        <f t="shared" si="75"/>
        <v>_</v>
      </c>
      <c r="M900" s="2"/>
      <c r="N900" s="2">
        <f>IF(ISBLANK(Table2[[#This Row],[ActualResult]]), 0, 1)</f>
        <v>0</v>
      </c>
      <c r="O900" s="2" t="str">
        <f>IF(ISBLANK(Table2[[#This Row],[ActualResult]]), "_", IF(Table2[[#This Row],[ActualWinner]]=Table2[[#This Row],[PredictedWinner]], "Y", "N"))</f>
        <v>_</v>
      </c>
      <c r="P9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0" s="2"/>
      <c r="S900" s="2" t="str">
        <f t="shared" si="76"/>
        <v>_</v>
      </c>
      <c r="T9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0" s="2">
        <f>IF(Table2[[#This Row],[InterConf]]=1,IF(Table2[[#This Row],[InterDiv]]=0, 1, 0), 0)</f>
        <v>0</v>
      </c>
      <c r="W9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00" s="2"/>
      <c r="Y900" s="2"/>
      <c r="Z900" s="145">
        <f>IF(AND(Table2[[#This Row],[GameIsOver]]=1,Table2[[#This Row],[ActualHomeScore]]*Table2[[#This Row],[ActualAwayScore]]=0), 1,0)</f>
        <v>0</v>
      </c>
      <c r="AA9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0" s="2">
        <f>Table2[[#This Row],[ActualAwayScore]]-Table2[[#This Row],[PredictedAwayScore]]</f>
        <v>0</v>
      </c>
      <c r="AG900" s="2">
        <f>Table2[[#This Row],[ActualHomeScore]]-Table2[[#This Row],[PredictedHomeScore]]</f>
        <v>0</v>
      </c>
      <c r="AH900" s="2">
        <f t="shared" si="77"/>
        <v>0</v>
      </c>
      <c r="AI900" s="2">
        <f t="shared" si="78"/>
        <v>0</v>
      </c>
      <c r="AJ900" s="2"/>
      <c r="AK900" s="3"/>
      <c r="AL900" s="2">
        <f>IF(Table2[[#This Row],[GameIsOver]]=0,0,IF(Table2[[#This Row],[ActualWinner]]=Table2[[#This Row],[AwayTeam]], 1, 0))</f>
        <v>0</v>
      </c>
      <c r="AM900" s="2">
        <f>IF(Table2[[#This Row],[GameIsOver]]=0,0,IF(Table2[[#This Row],[ActualWinner]]=Table2[[#This Row],[HomeTeam]], 1, 0))</f>
        <v>0</v>
      </c>
      <c r="AN9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0" s="2" t="str">
        <f>INDEX(Sheet5!$B$2:$AG$33, MATCH(Table2[[#This Row],[AwayTeam]],Sheet5!$A$2:$A$33, 0), MATCH(Table2[[#This Row],[HomeTeam]],Sheet5!$A$2:$A$33, 0))</f>
        <v>0-0-0</v>
      </c>
      <c r="AP900" s="2" t="str">
        <f>INDEX(Sheet5!$B$2:$AG$33, MATCH(Table2[[#This Row],[HomeTeam]],Sheet5!$A$2:$A$33, 0), MATCH(Table2[[#This Row],[AwayTeam]],Sheet5!$A$2:$A$33, 0))</f>
        <v>0-0-0</v>
      </c>
      <c r="AQ900" s="2">
        <f>IF(Table2[[#This Row],[GameHasShutOut]], 1, 0)</f>
        <v>0</v>
      </c>
      <c r="AR900" s="2">
        <f>IF(Table2[[#This Row],[ActualAwayScore]] + Table2[[#This Row],[ActualHomeScore]] &gt;= 10, 1, 0)</f>
        <v>0</v>
      </c>
      <c r="AS900" s="2">
        <f>IF(ABS(Table2[[#This Row],[ActualAwayScore]]-Table2[[#This Row],[ActualHomeScore]])&gt;=5, 1, 0)</f>
        <v>0</v>
      </c>
      <c r="AT900" s="2">
        <f>IF(Table2[[#This Row],[ActualAwayScore]] + Table2[[#This Row],[ActualHomeScore]] &lt;= 3, 1, 0)</f>
        <v>1</v>
      </c>
      <c r="AU900" s="2"/>
      <c r="AV900" s="2"/>
    </row>
    <row r="901" spans="1:48" x14ac:dyDescent="0.25">
      <c r="A901" s="3"/>
      <c r="B901" s="3">
        <v>46058</v>
      </c>
      <c r="C901" s="5">
        <v>2025020899</v>
      </c>
      <c r="D901" s="2" t="s">
        <v>12</v>
      </c>
      <c r="E901" s="2" t="s">
        <v>33</v>
      </c>
      <c r="F901" s="2"/>
      <c r="G901" s="2"/>
      <c r="H901" s="2" t="str">
        <f t="shared" si="74"/>
        <v>_</v>
      </c>
      <c r="I901" s="2"/>
      <c r="J901" s="2"/>
      <c r="K901" s="2"/>
      <c r="L901" s="2" t="str">
        <f t="shared" si="75"/>
        <v>_</v>
      </c>
      <c r="M901" s="2"/>
      <c r="N901" s="2">
        <f>IF(ISBLANK(Table2[[#This Row],[ActualResult]]), 0, 1)</f>
        <v>0</v>
      </c>
      <c r="O901" s="2" t="str">
        <f>IF(ISBLANK(Table2[[#This Row],[ActualResult]]), "_", IF(Table2[[#This Row],[ActualWinner]]=Table2[[#This Row],[PredictedWinner]], "Y", "N"))</f>
        <v>_</v>
      </c>
      <c r="P9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1" s="2"/>
      <c r="S901" s="2" t="str">
        <f t="shared" si="76"/>
        <v>_</v>
      </c>
      <c r="T9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1" s="2">
        <f>IF(Table2[[#This Row],[InterConf]]=1,IF(Table2[[#This Row],[InterDiv]]=0, 1, 0), 0)</f>
        <v>0</v>
      </c>
      <c r="W9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1" s="2"/>
      <c r="Y901" s="2"/>
      <c r="Z901" s="145">
        <f>IF(AND(Table2[[#This Row],[GameIsOver]]=1,Table2[[#This Row],[ActualHomeScore]]*Table2[[#This Row],[ActualAwayScore]]=0), 1,0)</f>
        <v>0</v>
      </c>
      <c r="AA9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1" s="2">
        <f>Table2[[#This Row],[ActualAwayScore]]-Table2[[#This Row],[PredictedAwayScore]]</f>
        <v>0</v>
      </c>
      <c r="AG901" s="2">
        <f>Table2[[#This Row],[ActualHomeScore]]-Table2[[#This Row],[PredictedHomeScore]]</f>
        <v>0</v>
      </c>
      <c r="AH901" s="2">
        <f t="shared" si="77"/>
        <v>0</v>
      </c>
      <c r="AI901" s="2">
        <f t="shared" si="78"/>
        <v>0</v>
      </c>
      <c r="AJ901" s="2"/>
      <c r="AK901" s="3"/>
      <c r="AL901" s="2">
        <f>IF(Table2[[#This Row],[GameIsOver]]=0,0,IF(Table2[[#This Row],[ActualWinner]]=Table2[[#This Row],[AwayTeam]], 1, 0))</f>
        <v>0</v>
      </c>
      <c r="AM901" s="2">
        <f>IF(Table2[[#This Row],[GameIsOver]]=0,0,IF(Table2[[#This Row],[ActualWinner]]=Table2[[#This Row],[HomeTeam]], 1, 0))</f>
        <v>0</v>
      </c>
      <c r="AN9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1" s="2" t="str">
        <f>INDEX(Sheet5!$B$2:$AG$33, MATCH(Table2[[#This Row],[AwayTeam]],Sheet5!$A$2:$A$33, 0), MATCH(Table2[[#This Row],[HomeTeam]],Sheet5!$A$2:$A$33, 0))</f>
        <v>1-0-0</v>
      </c>
      <c r="AP901" s="2" t="str">
        <f>INDEX(Sheet5!$B$2:$AG$33, MATCH(Table2[[#This Row],[HomeTeam]],Sheet5!$A$2:$A$33, 0), MATCH(Table2[[#This Row],[AwayTeam]],Sheet5!$A$2:$A$33, 0))</f>
        <v>0-1-0</v>
      </c>
      <c r="AQ901" s="2">
        <f>IF(Table2[[#This Row],[GameHasShutOut]], 1, 0)</f>
        <v>0</v>
      </c>
      <c r="AR901" s="2">
        <f>IF(Table2[[#This Row],[ActualAwayScore]] + Table2[[#This Row],[ActualHomeScore]] &gt;= 10, 1, 0)</f>
        <v>0</v>
      </c>
      <c r="AS901" s="2">
        <f>IF(ABS(Table2[[#This Row],[ActualAwayScore]]-Table2[[#This Row],[ActualHomeScore]])&gt;=5, 1, 0)</f>
        <v>0</v>
      </c>
      <c r="AT901" s="2">
        <f>IF(Table2[[#This Row],[ActualAwayScore]] + Table2[[#This Row],[ActualHomeScore]] &lt;= 3, 1, 0)</f>
        <v>1</v>
      </c>
      <c r="AU901" s="2"/>
      <c r="AV901" s="2"/>
    </row>
    <row r="902" spans="1:48" x14ac:dyDescent="0.25">
      <c r="A902" s="3"/>
      <c r="B902" s="3">
        <v>46058</v>
      </c>
      <c r="C902" s="5">
        <v>2025020900</v>
      </c>
      <c r="D902" s="2" t="s">
        <v>22</v>
      </c>
      <c r="E902" s="2" t="s">
        <v>23</v>
      </c>
      <c r="F902" s="2"/>
      <c r="G902" s="2"/>
      <c r="H902" s="2" t="str">
        <f t="shared" si="74"/>
        <v>_</v>
      </c>
      <c r="I902" s="2"/>
      <c r="J902" s="2"/>
      <c r="K902" s="2"/>
      <c r="L902" s="2" t="str">
        <f t="shared" si="75"/>
        <v>_</v>
      </c>
      <c r="M902" s="2"/>
      <c r="N902" s="2">
        <f>IF(ISBLANK(Table2[[#This Row],[ActualResult]]), 0, 1)</f>
        <v>0</v>
      </c>
      <c r="O902" s="2" t="str">
        <f>IF(ISBLANK(Table2[[#This Row],[ActualResult]]), "_", IF(Table2[[#This Row],[ActualWinner]]=Table2[[#This Row],[PredictedWinner]], "Y", "N"))</f>
        <v>_</v>
      </c>
      <c r="P9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2" s="2"/>
      <c r="S902" s="2" t="str">
        <f t="shared" si="76"/>
        <v>_</v>
      </c>
      <c r="T9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2" s="2">
        <f>IF(Table2[[#This Row],[InterConf]]=1,IF(Table2[[#This Row],[InterDiv]]=0, 1, 0), 0)</f>
        <v>0</v>
      </c>
      <c r="W9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2" s="2"/>
      <c r="Y902" s="2"/>
      <c r="Z902" s="145">
        <f>IF(AND(Table2[[#This Row],[GameIsOver]]=1,Table2[[#This Row],[ActualHomeScore]]*Table2[[#This Row],[ActualAwayScore]]=0), 1,0)</f>
        <v>0</v>
      </c>
      <c r="AA9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2" s="2">
        <f>Table2[[#This Row],[ActualAwayScore]]-Table2[[#This Row],[PredictedAwayScore]]</f>
        <v>0</v>
      </c>
      <c r="AG902" s="2">
        <f>Table2[[#This Row],[ActualHomeScore]]-Table2[[#This Row],[PredictedHomeScore]]</f>
        <v>0</v>
      </c>
      <c r="AH902" s="2">
        <f t="shared" si="77"/>
        <v>0</v>
      </c>
      <c r="AI902" s="2">
        <f t="shared" si="78"/>
        <v>0</v>
      </c>
      <c r="AJ902" s="2"/>
      <c r="AK902" s="3"/>
      <c r="AL902" s="2">
        <f>IF(Table2[[#This Row],[GameIsOver]]=0,0,IF(Table2[[#This Row],[ActualWinner]]=Table2[[#This Row],[AwayTeam]], 1, 0))</f>
        <v>0</v>
      </c>
      <c r="AM902" s="2">
        <f>IF(Table2[[#This Row],[GameIsOver]]=0,0,IF(Table2[[#This Row],[ActualWinner]]=Table2[[#This Row],[HomeTeam]], 1, 0))</f>
        <v>0</v>
      </c>
      <c r="AN9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2" s="2" t="str">
        <f>INDEX(Sheet5!$B$2:$AG$33, MATCH(Table2[[#This Row],[AwayTeam]],Sheet5!$A$2:$A$33, 0), MATCH(Table2[[#This Row],[HomeTeam]],Sheet5!$A$2:$A$33, 0))</f>
        <v>0-0-1</v>
      </c>
      <c r="AP902" s="2" t="str">
        <f>INDEX(Sheet5!$B$2:$AG$33, MATCH(Table2[[#This Row],[HomeTeam]],Sheet5!$A$2:$A$33, 0), MATCH(Table2[[#This Row],[AwayTeam]],Sheet5!$A$2:$A$33, 0))</f>
        <v>1-0-0</v>
      </c>
      <c r="AQ902" s="2">
        <f>IF(Table2[[#This Row],[GameHasShutOut]], 1, 0)</f>
        <v>0</v>
      </c>
      <c r="AR902" s="2">
        <f>IF(Table2[[#This Row],[ActualAwayScore]] + Table2[[#This Row],[ActualHomeScore]] &gt;= 10, 1, 0)</f>
        <v>0</v>
      </c>
      <c r="AS902" s="2">
        <f>IF(ABS(Table2[[#This Row],[ActualAwayScore]]-Table2[[#This Row],[ActualHomeScore]])&gt;=5, 1, 0)</f>
        <v>0</v>
      </c>
      <c r="AT902" s="2">
        <f>IF(Table2[[#This Row],[ActualAwayScore]] + Table2[[#This Row],[ActualHomeScore]] &lt;= 3, 1, 0)</f>
        <v>1</v>
      </c>
      <c r="AU902" s="2"/>
      <c r="AV902" s="2"/>
    </row>
    <row r="903" spans="1:48" x14ac:dyDescent="0.25">
      <c r="A903" s="3"/>
      <c r="B903" s="3">
        <v>46058</v>
      </c>
      <c r="C903" s="5">
        <v>2025020901</v>
      </c>
      <c r="D903" s="2" t="s">
        <v>24</v>
      </c>
      <c r="E903" s="2" t="s">
        <v>26</v>
      </c>
      <c r="F903" s="2"/>
      <c r="G903" s="2"/>
      <c r="H903" s="2" t="str">
        <f t="shared" si="74"/>
        <v>_</v>
      </c>
      <c r="I903" s="2"/>
      <c r="J903" s="2"/>
      <c r="K903" s="2"/>
      <c r="L903" s="2" t="str">
        <f t="shared" si="75"/>
        <v>_</v>
      </c>
      <c r="M903" s="2"/>
      <c r="N903" s="2">
        <f>IF(ISBLANK(Table2[[#This Row],[ActualResult]]), 0, 1)</f>
        <v>0</v>
      </c>
      <c r="O903" s="2" t="str">
        <f>IF(ISBLANK(Table2[[#This Row],[ActualResult]]), "_", IF(Table2[[#This Row],[ActualWinner]]=Table2[[#This Row],[PredictedWinner]], "Y", "N"))</f>
        <v>_</v>
      </c>
      <c r="P9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3" s="2"/>
      <c r="S903" s="2" t="str">
        <f t="shared" si="76"/>
        <v>_</v>
      </c>
      <c r="T9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3" s="2">
        <f>IF(Table2[[#This Row],[InterConf]]=1,IF(Table2[[#This Row],[InterDiv]]=0, 1, 0), 0)</f>
        <v>0</v>
      </c>
      <c r="W9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3" s="2"/>
      <c r="Y903" s="2"/>
      <c r="Z903" s="145">
        <f>IF(AND(Table2[[#This Row],[GameIsOver]]=1,Table2[[#This Row],[ActualHomeScore]]*Table2[[#This Row],[ActualAwayScore]]=0), 1,0)</f>
        <v>0</v>
      </c>
      <c r="AA9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3" s="2">
        <f>Table2[[#This Row],[ActualAwayScore]]-Table2[[#This Row],[PredictedAwayScore]]</f>
        <v>0</v>
      </c>
      <c r="AG903" s="2">
        <f>Table2[[#This Row],[ActualHomeScore]]-Table2[[#This Row],[PredictedHomeScore]]</f>
        <v>0</v>
      </c>
      <c r="AH903" s="2">
        <f t="shared" si="77"/>
        <v>0</v>
      </c>
      <c r="AI903" s="2">
        <f t="shared" si="78"/>
        <v>0</v>
      </c>
      <c r="AJ903" s="2"/>
      <c r="AK903" s="3"/>
      <c r="AL903" s="2">
        <f>IF(Table2[[#This Row],[GameIsOver]]=0,0,IF(Table2[[#This Row],[ActualWinner]]=Table2[[#This Row],[AwayTeam]], 1, 0))</f>
        <v>0</v>
      </c>
      <c r="AM903" s="2">
        <f>IF(Table2[[#This Row],[GameIsOver]]=0,0,IF(Table2[[#This Row],[ActualWinner]]=Table2[[#This Row],[HomeTeam]], 1, 0))</f>
        <v>0</v>
      </c>
      <c r="AN9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3" s="2" t="str">
        <f>INDEX(Sheet5!$B$2:$AG$33, MATCH(Table2[[#This Row],[AwayTeam]],Sheet5!$A$2:$A$33, 0), MATCH(Table2[[#This Row],[HomeTeam]],Sheet5!$A$2:$A$33, 0))</f>
        <v>0-0-0</v>
      </c>
      <c r="AP903" s="2" t="str">
        <f>INDEX(Sheet5!$B$2:$AG$33, MATCH(Table2[[#This Row],[HomeTeam]],Sheet5!$A$2:$A$33, 0), MATCH(Table2[[#This Row],[AwayTeam]],Sheet5!$A$2:$A$33, 0))</f>
        <v>0-0-0</v>
      </c>
      <c r="AQ903" s="2">
        <f>IF(Table2[[#This Row],[GameHasShutOut]], 1, 0)</f>
        <v>0</v>
      </c>
      <c r="AR903" s="2">
        <f>IF(Table2[[#This Row],[ActualAwayScore]] + Table2[[#This Row],[ActualHomeScore]] &gt;= 10, 1, 0)</f>
        <v>0</v>
      </c>
      <c r="AS903" s="2">
        <f>IF(ABS(Table2[[#This Row],[ActualAwayScore]]-Table2[[#This Row],[ActualHomeScore]])&gt;=5, 1, 0)</f>
        <v>0</v>
      </c>
      <c r="AT903" s="2">
        <f>IF(Table2[[#This Row],[ActualAwayScore]] + Table2[[#This Row],[ActualHomeScore]] &lt;= 3, 1, 0)</f>
        <v>1</v>
      </c>
      <c r="AU903" s="2"/>
      <c r="AV903" s="2"/>
    </row>
    <row r="904" spans="1:48" x14ac:dyDescent="0.25">
      <c r="A904" s="3"/>
      <c r="B904" s="3">
        <v>46058</v>
      </c>
      <c r="C904" s="5">
        <v>2025020902</v>
      </c>
      <c r="D904" s="2" t="s">
        <v>11</v>
      </c>
      <c r="E904" s="2" t="s">
        <v>27</v>
      </c>
      <c r="F904" s="2"/>
      <c r="G904" s="2"/>
      <c r="H904" s="2" t="str">
        <f t="shared" si="74"/>
        <v>_</v>
      </c>
      <c r="I904" s="2"/>
      <c r="J904" s="2"/>
      <c r="K904" s="2"/>
      <c r="L904" s="2" t="str">
        <f t="shared" si="75"/>
        <v>_</v>
      </c>
      <c r="M904" s="2"/>
      <c r="N904" s="2">
        <f>IF(ISBLANK(Table2[[#This Row],[ActualResult]]), 0, 1)</f>
        <v>0</v>
      </c>
      <c r="O904" s="2" t="str">
        <f>IF(ISBLANK(Table2[[#This Row],[ActualResult]]), "_", IF(Table2[[#This Row],[ActualWinner]]=Table2[[#This Row],[PredictedWinner]], "Y", "N"))</f>
        <v>_</v>
      </c>
      <c r="P9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4" s="2"/>
      <c r="S904" s="2" t="str">
        <f t="shared" si="76"/>
        <v>_</v>
      </c>
      <c r="T9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4" s="2">
        <f>IF(Table2[[#This Row],[InterConf]]=1,IF(Table2[[#This Row],[InterDiv]]=0, 1, 0), 0)</f>
        <v>0</v>
      </c>
      <c r="W9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4" s="2"/>
      <c r="Y904" s="2"/>
      <c r="Z904" s="145">
        <f>IF(AND(Table2[[#This Row],[GameIsOver]]=1,Table2[[#This Row],[ActualHomeScore]]*Table2[[#This Row],[ActualAwayScore]]=0), 1,0)</f>
        <v>0</v>
      </c>
      <c r="AA9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4" s="2">
        <f>Table2[[#This Row],[ActualAwayScore]]-Table2[[#This Row],[PredictedAwayScore]]</f>
        <v>0</v>
      </c>
      <c r="AG904" s="2">
        <f>Table2[[#This Row],[ActualHomeScore]]-Table2[[#This Row],[PredictedHomeScore]]</f>
        <v>0</v>
      </c>
      <c r="AH904" s="2">
        <f t="shared" si="77"/>
        <v>0</v>
      </c>
      <c r="AI904" s="2">
        <f t="shared" si="78"/>
        <v>0</v>
      </c>
      <c r="AJ904" s="2"/>
      <c r="AK904" s="3"/>
      <c r="AL904" s="2">
        <f>IF(Table2[[#This Row],[GameIsOver]]=0,0,IF(Table2[[#This Row],[ActualWinner]]=Table2[[#This Row],[AwayTeam]], 1, 0))</f>
        <v>0</v>
      </c>
      <c r="AM904" s="2">
        <f>IF(Table2[[#This Row],[GameIsOver]]=0,0,IF(Table2[[#This Row],[ActualWinner]]=Table2[[#This Row],[HomeTeam]], 1, 0))</f>
        <v>0</v>
      </c>
      <c r="AN904" s="2">
        <f>IF(IFERROR(FIND(Table2[[#This Row],[AwayTeam]], _xlfn.TEXTJOIN(";", 1, $BD$31:$BD$40)), 0) &gt; 0, 1, 0) + IF(IFERROR(FIND(Table2[[#This Row],[HomeTeam]], _xlfn.TEXTJOIN(";", 1, $BD$31:$BD$40)), 0) &gt; 0, 1, 0)</f>
        <v>1</v>
      </c>
      <c r="AO904" s="2" t="str">
        <f>INDEX(Sheet5!$B$2:$AG$33, MATCH(Table2[[#This Row],[AwayTeam]],Sheet5!$A$2:$A$33, 0), MATCH(Table2[[#This Row],[HomeTeam]],Sheet5!$A$2:$A$33, 0))</f>
        <v>0-0-0</v>
      </c>
      <c r="AP904" s="2" t="str">
        <f>INDEX(Sheet5!$B$2:$AG$33, MATCH(Table2[[#This Row],[HomeTeam]],Sheet5!$A$2:$A$33, 0), MATCH(Table2[[#This Row],[AwayTeam]],Sheet5!$A$2:$A$33, 0))</f>
        <v>0-0-0</v>
      </c>
      <c r="AQ904" s="2">
        <f>IF(Table2[[#This Row],[GameHasShutOut]], 1, 0)</f>
        <v>0</v>
      </c>
      <c r="AR904" s="2">
        <f>IF(Table2[[#This Row],[ActualAwayScore]] + Table2[[#This Row],[ActualHomeScore]] &gt;= 10, 1, 0)</f>
        <v>0</v>
      </c>
      <c r="AS904" s="2">
        <f>IF(ABS(Table2[[#This Row],[ActualAwayScore]]-Table2[[#This Row],[ActualHomeScore]])&gt;=5, 1, 0)</f>
        <v>0</v>
      </c>
      <c r="AT904" s="2">
        <f>IF(Table2[[#This Row],[ActualAwayScore]] + Table2[[#This Row],[ActualHomeScore]] &lt;= 3, 1, 0)</f>
        <v>1</v>
      </c>
      <c r="AU904" s="2"/>
      <c r="AV904" s="2"/>
    </row>
    <row r="905" spans="1:48" x14ac:dyDescent="0.25">
      <c r="A905" s="3"/>
      <c r="B905" s="3">
        <v>46059</v>
      </c>
      <c r="C905" s="5">
        <v>2025020903</v>
      </c>
      <c r="D905" s="2" t="s">
        <v>20</v>
      </c>
      <c r="E905" s="2" t="s">
        <v>28</v>
      </c>
      <c r="F905" s="2"/>
      <c r="G905" s="2"/>
      <c r="H905" s="2" t="str">
        <f t="shared" si="74"/>
        <v>_</v>
      </c>
      <c r="I905" s="2"/>
      <c r="J905" s="2"/>
      <c r="K905" s="2"/>
      <c r="L905" s="2" t="str">
        <f t="shared" si="75"/>
        <v>_</v>
      </c>
      <c r="M905" s="2"/>
      <c r="N905" s="2">
        <f>IF(ISBLANK(Table2[[#This Row],[ActualResult]]), 0, 1)</f>
        <v>0</v>
      </c>
      <c r="O905" s="2" t="str">
        <f>IF(ISBLANK(Table2[[#This Row],[ActualResult]]), "_", IF(Table2[[#This Row],[ActualWinner]]=Table2[[#This Row],[PredictedWinner]], "Y", "N"))</f>
        <v>_</v>
      </c>
      <c r="P9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5" s="2"/>
      <c r="S905" s="2" t="str">
        <f t="shared" si="76"/>
        <v>_</v>
      </c>
      <c r="T9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5" s="2">
        <f>IF(Table2[[#This Row],[InterConf]]=1,IF(Table2[[#This Row],[InterDiv]]=0, 1, 0), 0)</f>
        <v>1</v>
      </c>
      <c r="W9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5" s="2"/>
      <c r="Y905" s="2"/>
      <c r="Z905" s="145">
        <f>IF(AND(Table2[[#This Row],[GameIsOver]]=1,Table2[[#This Row],[ActualHomeScore]]*Table2[[#This Row],[ActualAwayScore]]=0), 1,0)</f>
        <v>0</v>
      </c>
      <c r="AA9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5" s="2">
        <f>Table2[[#This Row],[ActualAwayScore]]-Table2[[#This Row],[PredictedAwayScore]]</f>
        <v>0</v>
      </c>
      <c r="AG905" s="2">
        <f>Table2[[#This Row],[ActualHomeScore]]-Table2[[#This Row],[PredictedHomeScore]]</f>
        <v>0</v>
      </c>
      <c r="AH905" s="2">
        <f t="shared" si="77"/>
        <v>0</v>
      </c>
      <c r="AI905" s="2">
        <f t="shared" si="78"/>
        <v>0</v>
      </c>
      <c r="AJ905" s="2"/>
      <c r="AK905" s="3"/>
      <c r="AL905" s="2">
        <f>IF(Table2[[#This Row],[GameIsOver]]=0,0,IF(Table2[[#This Row],[ActualWinner]]=Table2[[#This Row],[AwayTeam]], 1, 0))</f>
        <v>0</v>
      </c>
      <c r="AM905" s="2">
        <f>IF(Table2[[#This Row],[GameIsOver]]=0,0,IF(Table2[[#This Row],[ActualWinner]]=Table2[[#This Row],[HomeTeam]], 1, 0))</f>
        <v>0</v>
      </c>
      <c r="AN9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5" s="2" t="str">
        <f>INDEX(Sheet5!$B$2:$AG$33, MATCH(Table2[[#This Row],[AwayTeam]],Sheet5!$A$2:$A$33, 0), MATCH(Table2[[#This Row],[HomeTeam]],Sheet5!$A$2:$A$33, 0))</f>
        <v>0-0-0</v>
      </c>
      <c r="AP905" s="2" t="str">
        <f>INDEX(Sheet5!$B$2:$AG$33, MATCH(Table2[[#This Row],[HomeTeam]],Sheet5!$A$2:$A$33, 0), MATCH(Table2[[#This Row],[AwayTeam]],Sheet5!$A$2:$A$33, 0))</f>
        <v>0-0-0</v>
      </c>
      <c r="AQ905" s="2">
        <f>IF(Table2[[#This Row],[GameHasShutOut]], 1, 0)</f>
        <v>0</v>
      </c>
      <c r="AR905" s="2">
        <f>IF(Table2[[#This Row],[ActualAwayScore]] + Table2[[#This Row],[ActualHomeScore]] &gt;= 10, 1, 0)</f>
        <v>0</v>
      </c>
      <c r="AS905" s="2">
        <f>IF(ABS(Table2[[#This Row],[ActualAwayScore]]-Table2[[#This Row],[ActualHomeScore]])&gt;=5, 1, 0)</f>
        <v>0</v>
      </c>
      <c r="AT905" s="2">
        <f>IF(Table2[[#This Row],[ActualAwayScore]] + Table2[[#This Row],[ActualHomeScore]] &lt;= 3, 1, 0)</f>
        <v>1</v>
      </c>
      <c r="AU905" s="2"/>
      <c r="AV905" s="2"/>
    </row>
    <row r="906" spans="1:48" x14ac:dyDescent="0.25">
      <c r="A906" s="3"/>
      <c r="B906" s="3">
        <v>46059</v>
      </c>
      <c r="C906" s="5">
        <v>2025020904</v>
      </c>
      <c r="D906" s="2" t="s">
        <v>13</v>
      </c>
      <c r="E906" s="2" t="s">
        <v>40</v>
      </c>
      <c r="F906" s="2"/>
      <c r="G906" s="2"/>
      <c r="H906" s="2" t="str">
        <f t="shared" si="74"/>
        <v>_</v>
      </c>
      <c r="I906" s="2"/>
      <c r="J906" s="2"/>
      <c r="K906" s="2"/>
      <c r="L906" s="2" t="str">
        <f t="shared" si="75"/>
        <v>_</v>
      </c>
      <c r="M906" s="2"/>
      <c r="N906" s="2">
        <f>IF(ISBLANK(Table2[[#This Row],[ActualResult]]), 0, 1)</f>
        <v>0</v>
      </c>
      <c r="O906" s="2" t="str">
        <f>IF(ISBLANK(Table2[[#This Row],[ActualResult]]), "_", IF(Table2[[#This Row],[ActualWinner]]=Table2[[#This Row],[PredictedWinner]], "Y", "N"))</f>
        <v>_</v>
      </c>
      <c r="P9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6" s="2"/>
      <c r="S906" s="2" t="str">
        <f t="shared" si="76"/>
        <v>_</v>
      </c>
      <c r="T9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6" s="2">
        <f>IF(Table2[[#This Row],[InterConf]]=1,IF(Table2[[#This Row],[InterDiv]]=0, 1, 0), 0)</f>
        <v>0</v>
      </c>
      <c r="W9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6" s="2"/>
      <c r="Y906" s="2"/>
      <c r="Z906" s="145">
        <f>IF(AND(Table2[[#This Row],[GameIsOver]]=1,Table2[[#This Row],[ActualHomeScore]]*Table2[[#This Row],[ActualAwayScore]]=0), 1,0)</f>
        <v>0</v>
      </c>
      <c r="AA9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6" s="2">
        <f>Table2[[#This Row],[ActualAwayScore]]-Table2[[#This Row],[PredictedAwayScore]]</f>
        <v>0</v>
      </c>
      <c r="AG906" s="2">
        <f>Table2[[#This Row],[ActualHomeScore]]-Table2[[#This Row],[PredictedHomeScore]]</f>
        <v>0</v>
      </c>
      <c r="AH906" s="2">
        <f t="shared" si="77"/>
        <v>0</v>
      </c>
      <c r="AI906" s="2">
        <f t="shared" si="78"/>
        <v>0</v>
      </c>
      <c r="AJ906" s="2"/>
      <c r="AK906" s="3"/>
      <c r="AL906" s="2">
        <f>IF(Table2[[#This Row],[GameIsOver]]=0,0,IF(Table2[[#This Row],[ActualWinner]]=Table2[[#This Row],[AwayTeam]], 1, 0))</f>
        <v>0</v>
      </c>
      <c r="AM906" s="2">
        <f>IF(Table2[[#This Row],[GameIsOver]]=0,0,IF(Table2[[#This Row],[ActualWinner]]=Table2[[#This Row],[HomeTeam]], 1, 0))</f>
        <v>0</v>
      </c>
      <c r="AN9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6" s="2" t="str">
        <f>INDEX(Sheet5!$B$2:$AG$33, MATCH(Table2[[#This Row],[AwayTeam]],Sheet5!$A$2:$A$33, 0), MATCH(Table2[[#This Row],[HomeTeam]],Sheet5!$A$2:$A$33, 0))</f>
        <v>0-0-0</v>
      </c>
      <c r="AP906" s="2" t="str">
        <f>INDEX(Sheet5!$B$2:$AG$33, MATCH(Table2[[#This Row],[HomeTeam]],Sheet5!$A$2:$A$33, 0), MATCH(Table2[[#This Row],[AwayTeam]],Sheet5!$A$2:$A$33, 0))</f>
        <v>0-0-0</v>
      </c>
      <c r="AQ906" s="2">
        <f>IF(Table2[[#This Row],[GameHasShutOut]], 1, 0)</f>
        <v>0</v>
      </c>
      <c r="AR906" s="2">
        <f>IF(Table2[[#This Row],[ActualAwayScore]] + Table2[[#This Row],[ActualHomeScore]] &gt;= 10, 1, 0)</f>
        <v>0</v>
      </c>
      <c r="AS906" s="2">
        <f>IF(ABS(Table2[[#This Row],[ActualAwayScore]]-Table2[[#This Row],[ActualHomeScore]])&gt;=5, 1, 0)</f>
        <v>0</v>
      </c>
      <c r="AT906" s="2">
        <f>IF(Table2[[#This Row],[ActualAwayScore]] + Table2[[#This Row],[ActualHomeScore]] &lt;= 3, 1, 0)</f>
        <v>1</v>
      </c>
      <c r="AU906" s="2"/>
      <c r="AV906" s="2"/>
    </row>
    <row r="907" spans="1:48" x14ac:dyDescent="0.25">
      <c r="A907" s="3"/>
      <c r="B907" s="3">
        <v>46059</v>
      </c>
      <c r="C907" s="5">
        <v>2025020905</v>
      </c>
      <c r="D907" s="2" t="s">
        <v>32</v>
      </c>
      <c r="E907" s="2" t="s">
        <v>31</v>
      </c>
      <c r="F907" s="2"/>
      <c r="G907" s="2"/>
      <c r="H907" s="2" t="str">
        <f t="shared" si="74"/>
        <v>_</v>
      </c>
      <c r="I907" s="2"/>
      <c r="J907" s="2"/>
      <c r="K907" s="2"/>
      <c r="L907" s="2" t="str">
        <f t="shared" si="75"/>
        <v>_</v>
      </c>
      <c r="M907" s="2"/>
      <c r="N907" s="2">
        <f>IF(ISBLANK(Table2[[#This Row],[ActualResult]]), 0, 1)</f>
        <v>0</v>
      </c>
      <c r="O907" s="2" t="str">
        <f>IF(ISBLANK(Table2[[#This Row],[ActualResult]]), "_", IF(Table2[[#This Row],[ActualWinner]]=Table2[[#This Row],[PredictedWinner]], "Y", "N"))</f>
        <v>_</v>
      </c>
      <c r="P9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7" s="2"/>
      <c r="S907" s="2" t="str">
        <f t="shared" si="76"/>
        <v>_</v>
      </c>
      <c r="T9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7" s="2">
        <f>IF(Table2[[#This Row],[InterConf]]=1,IF(Table2[[#This Row],[InterDiv]]=0, 1, 0), 0)</f>
        <v>0</v>
      </c>
      <c r="W9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7" s="2"/>
      <c r="Y907" s="2"/>
      <c r="Z907" s="145">
        <f>IF(AND(Table2[[#This Row],[GameIsOver]]=1,Table2[[#This Row],[ActualHomeScore]]*Table2[[#This Row],[ActualAwayScore]]=0), 1,0)</f>
        <v>0</v>
      </c>
      <c r="AA9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7" s="2">
        <f>Table2[[#This Row],[ActualAwayScore]]-Table2[[#This Row],[PredictedAwayScore]]</f>
        <v>0</v>
      </c>
      <c r="AG907" s="2">
        <f>Table2[[#This Row],[ActualHomeScore]]-Table2[[#This Row],[PredictedHomeScore]]</f>
        <v>0</v>
      </c>
      <c r="AH907" s="2">
        <f t="shared" si="77"/>
        <v>0</v>
      </c>
      <c r="AI907" s="2">
        <f t="shared" si="78"/>
        <v>0</v>
      </c>
      <c r="AJ907" s="2"/>
      <c r="AK907" s="3"/>
      <c r="AL907" s="2">
        <f>IF(Table2[[#This Row],[GameIsOver]]=0,0,IF(Table2[[#This Row],[ActualWinner]]=Table2[[#This Row],[AwayTeam]], 1, 0))</f>
        <v>0</v>
      </c>
      <c r="AM907" s="2">
        <f>IF(Table2[[#This Row],[GameIsOver]]=0,0,IF(Table2[[#This Row],[ActualWinner]]=Table2[[#This Row],[HomeTeam]], 1, 0))</f>
        <v>0</v>
      </c>
      <c r="AN9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7" s="2" t="str">
        <f>INDEX(Sheet5!$B$2:$AG$33, MATCH(Table2[[#This Row],[AwayTeam]],Sheet5!$A$2:$A$33, 0), MATCH(Table2[[#This Row],[HomeTeam]],Sheet5!$A$2:$A$33, 0))</f>
        <v>0-0-0</v>
      </c>
      <c r="AP907" s="2" t="str">
        <f>INDEX(Sheet5!$B$2:$AG$33, MATCH(Table2[[#This Row],[HomeTeam]],Sheet5!$A$2:$A$33, 0), MATCH(Table2[[#This Row],[AwayTeam]],Sheet5!$A$2:$A$33, 0))</f>
        <v>0-0-0</v>
      </c>
      <c r="AQ907" s="2">
        <f>IF(Table2[[#This Row],[GameHasShutOut]], 1, 0)</f>
        <v>0</v>
      </c>
      <c r="AR907" s="2">
        <f>IF(Table2[[#This Row],[ActualAwayScore]] + Table2[[#This Row],[ActualHomeScore]] &gt;= 10, 1, 0)</f>
        <v>0</v>
      </c>
      <c r="AS907" s="2">
        <f>IF(ABS(Table2[[#This Row],[ActualAwayScore]]-Table2[[#This Row],[ActualHomeScore]])&gt;=5, 1, 0)</f>
        <v>0</v>
      </c>
      <c r="AT907" s="2">
        <f>IF(Table2[[#This Row],[ActualAwayScore]] + Table2[[#This Row],[ActualHomeScore]] &lt;= 3, 1, 0)</f>
        <v>1</v>
      </c>
      <c r="AU907" s="2"/>
      <c r="AV907" s="2"/>
    </row>
    <row r="908" spans="1:48" x14ac:dyDescent="0.25">
      <c r="A908" s="3"/>
      <c r="B908" s="3">
        <v>46059</v>
      </c>
      <c r="C908" s="5">
        <v>2025020906</v>
      </c>
      <c r="D908" s="2" t="s">
        <v>41</v>
      </c>
      <c r="E908" s="2" t="s">
        <v>19</v>
      </c>
      <c r="F908" s="2"/>
      <c r="G908" s="2"/>
      <c r="H908" s="2" t="str">
        <f t="shared" si="74"/>
        <v>_</v>
      </c>
      <c r="I908" s="2"/>
      <c r="J908" s="2"/>
      <c r="K908" s="2"/>
      <c r="L908" s="2" t="str">
        <f t="shared" si="75"/>
        <v>_</v>
      </c>
      <c r="M908" s="2"/>
      <c r="N908" s="2">
        <f>IF(ISBLANK(Table2[[#This Row],[ActualResult]]), 0, 1)</f>
        <v>0</v>
      </c>
      <c r="O908" s="2" t="str">
        <f>IF(ISBLANK(Table2[[#This Row],[ActualResult]]), "_", IF(Table2[[#This Row],[ActualWinner]]=Table2[[#This Row],[PredictedWinner]], "Y", "N"))</f>
        <v>_</v>
      </c>
      <c r="P9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8" s="2"/>
      <c r="S908" s="2" t="str">
        <f t="shared" si="76"/>
        <v>_</v>
      </c>
      <c r="T9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8" s="2">
        <f>IF(Table2[[#This Row],[InterConf]]=1,IF(Table2[[#This Row],[InterDiv]]=0, 1, 0), 0)</f>
        <v>0</v>
      </c>
      <c r="W9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8" s="2"/>
      <c r="Y908" s="2"/>
      <c r="Z908" s="145">
        <f>IF(AND(Table2[[#This Row],[GameIsOver]]=1,Table2[[#This Row],[ActualHomeScore]]*Table2[[#This Row],[ActualAwayScore]]=0), 1,0)</f>
        <v>0</v>
      </c>
      <c r="AA9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8" s="2">
        <f>Table2[[#This Row],[ActualAwayScore]]-Table2[[#This Row],[PredictedAwayScore]]</f>
        <v>0</v>
      </c>
      <c r="AG908" s="2">
        <f>Table2[[#This Row],[ActualHomeScore]]-Table2[[#This Row],[PredictedHomeScore]]</f>
        <v>0</v>
      </c>
      <c r="AH908" s="2">
        <f t="shared" si="77"/>
        <v>0</v>
      </c>
      <c r="AI908" s="2">
        <f t="shared" si="78"/>
        <v>0</v>
      </c>
      <c r="AJ908" s="2"/>
      <c r="AK908" s="3"/>
      <c r="AL908" s="2">
        <f>IF(Table2[[#This Row],[GameIsOver]]=0,0,IF(Table2[[#This Row],[ActualWinner]]=Table2[[#This Row],[AwayTeam]], 1, 0))</f>
        <v>0</v>
      </c>
      <c r="AM908" s="2">
        <f>IF(Table2[[#This Row],[GameIsOver]]=0,0,IF(Table2[[#This Row],[ActualWinner]]=Table2[[#This Row],[HomeTeam]], 1, 0))</f>
        <v>0</v>
      </c>
      <c r="AN9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8" s="2" t="str">
        <f>INDEX(Sheet5!$B$2:$AG$33, MATCH(Table2[[#This Row],[AwayTeam]],Sheet5!$A$2:$A$33, 0), MATCH(Table2[[#This Row],[HomeTeam]],Sheet5!$A$2:$A$33, 0))</f>
        <v>0-0-0</v>
      </c>
      <c r="AP908" s="2" t="str">
        <f>INDEX(Sheet5!$B$2:$AG$33, MATCH(Table2[[#This Row],[HomeTeam]],Sheet5!$A$2:$A$33, 0), MATCH(Table2[[#This Row],[AwayTeam]],Sheet5!$A$2:$A$33, 0))</f>
        <v>0-0-0</v>
      </c>
      <c r="AQ908" s="2">
        <f>IF(Table2[[#This Row],[GameHasShutOut]], 1, 0)</f>
        <v>0</v>
      </c>
      <c r="AR908" s="2">
        <f>IF(Table2[[#This Row],[ActualAwayScore]] + Table2[[#This Row],[ActualHomeScore]] &gt;= 10, 1, 0)</f>
        <v>0</v>
      </c>
      <c r="AS908" s="2">
        <f>IF(ABS(Table2[[#This Row],[ActualAwayScore]]-Table2[[#This Row],[ActualHomeScore]])&gt;=5, 1, 0)</f>
        <v>0</v>
      </c>
      <c r="AT908" s="2">
        <f>IF(Table2[[#This Row],[ActualAwayScore]] + Table2[[#This Row],[ActualHomeScore]] &lt;= 3, 1, 0)</f>
        <v>1</v>
      </c>
      <c r="AU908" s="2"/>
      <c r="AV908" s="2"/>
    </row>
    <row r="909" spans="1:48" x14ac:dyDescent="0.25">
      <c r="A909" s="3"/>
      <c r="B909" s="3">
        <v>46059</v>
      </c>
      <c r="C909" s="5">
        <v>2025020907</v>
      </c>
      <c r="D909" s="2" t="s">
        <v>29</v>
      </c>
      <c r="E909" s="2" t="s">
        <v>42</v>
      </c>
      <c r="F909" s="2"/>
      <c r="G909" s="2"/>
      <c r="H909" s="2" t="str">
        <f t="shared" si="74"/>
        <v>_</v>
      </c>
      <c r="I909" s="2"/>
      <c r="J909" s="2"/>
      <c r="K909" s="2"/>
      <c r="L909" s="2" t="str">
        <f t="shared" si="75"/>
        <v>_</v>
      </c>
      <c r="M909" s="2"/>
      <c r="N909" s="2">
        <f>IF(ISBLANK(Table2[[#This Row],[ActualResult]]), 0, 1)</f>
        <v>0</v>
      </c>
      <c r="O909" s="2" t="str">
        <f>IF(ISBLANK(Table2[[#This Row],[ActualResult]]), "_", IF(Table2[[#This Row],[ActualWinner]]=Table2[[#This Row],[PredictedWinner]], "Y", "N"))</f>
        <v>_</v>
      </c>
      <c r="P9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9" s="2"/>
      <c r="S909" s="2" t="str">
        <f t="shared" si="76"/>
        <v>_</v>
      </c>
      <c r="T9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9" s="2">
        <f>IF(Table2[[#This Row],[InterConf]]=1,IF(Table2[[#This Row],[InterDiv]]=0, 1, 0), 0)</f>
        <v>1</v>
      </c>
      <c r="W9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9" s="2"/>
      <c r="Y909" s="2"/>
      <c r="Z909" s="145">
        <f>IF(AND(Table2[[#This Row],[GameIsOver]]=1,Table2[[#This Row],[ActualHomeScore]]*Table2[[#This Row],[ActualAwayScore]]=0), 1,0)</f>
        <v>0</v>
      </c>
      <c r="AA9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9" s="2">
        <f>Table2[[#This Row],[ActualAwayScore]]-Table2[[#This Row],[PredictedAwayScore]]</f>
        <v>0</v>
      </c>
      <c r="AG909" s="2">
        <f>Table2[[#This Row],[ActualHomeScore]]-Table2[[#This Row],[PredictedHomeScore]]</f>
        <v>0</v>
      </c>
      <c r="AH909" s="2">
        <f t="shared" si="77"/>
        <v>0</v>
      </c>
      <c r="AI909" s="2">
        <f t="shared" si="78"/>
        <v>0</v>
      </c>
      <c r="AJ909" s="2"/>
      <c r="AK909" s="3"/>
      <c r="AL909" s="2">
        <f>IF(Table2[[#This Row],[GameIsOver]]=0,0,IF(Table2[[#This Row],[ActualWinner]]=Table2[[#This Row],[AwayTeam]], 1, 0))</f>
        <v>0</v>
      </c>
      <c r="AM909" s="2">
        <f>IF(Table2[[#This Row],[GameIsOver]]=0,0,IF(Table2[[#This Row],[ActualWinner]]=Table2[[#This Row],[HomeTeam]], 1, 0))</f>
        <v>0</v>
      </c>
      <c r="AN9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9" s="2" t="str">
        <f>INDEX(Sheet5!$B$2:$AG$33, MATCH(Table2[[#This Row],[AwayTeam]],Sheet5!$A$2:$A$33, 0), MATCH(Table2[[#This Row],[HomeTeam]],Sheet5!$A$2:$A$33, 0))</f>
        <v>0-0-0</v>
      </c>
      <c r="AP909" s="2" t="str">
        <f>INDEX(Sheet5!$B$2:$AG$33, MATCH(Table2[[#This Row],[HomeTeam]],Sheet5!$A$2:$A$33, 0), MATCH(Table2[[#This Row],[AwayTeam]],Sheet5!$A$2:$A$33, 0))</f>
        <v>0-0-0</v>
      </c>
      <c r="AQ909" s="2">
        <f>IF(Table2[[#This Row],[GameHasShutOut]], 1, 0)</f>
        <v>0</v>
      </c>
      <c r="AR909" s="2">
        <f>IF(Table2[[#This Row],[ActualAwayScore]] + Table2[[#This Row],[ActualHomeScore]] &gt;= 10, 1, 0)</f>
        <v>0</v>
      </c>
      <c r="AS909" s="2">
        <f>IF(ABS(Table2[[#This Row],[ActualAwayScore]]-Table2[[#This Row],[ActualHomeScore]])&gt;=5, 1, 0)</f>
        <v>0</v>
      </c>
      <c r="AT909" s="2">
        <f>IF(Table2[[#This Row],[ActualAwayScore]] + Table2[[#This Row],[ActualHomeScore]] &lt;= 3, 1, 0)</f>
        <v>1</v>
      </c>
      <c r="AU909" s="2"/>
      <c r="AV909" s="2"/>
    </row>
    <row r="910" spans="1:48" x14ac:dyDescent="0.25">
      <c r="A910" s="3"/>
      <c r="B910" s="3">
        <v>46059</v>
      </c>
      <c r="C910" s="5">
        <v>2025020908</v>
      </c>
      <c r="D910" s="2" t="s">
        <v>34</v>
      </c>
      <c r="E910" s="2" t="s">
        <v>43</v>
      </c>
      <c r="F910" s="2"/>
      <c r="G910" s="2"/>
      <c r="H910" s="2" t="str">
        <f t="shared" si="74"/>
        <v>_</v>
      </c>
      <c r="I910" s="2"/>
      <c r="J910" s="2"/>
      <c r="K910" s="2"/>
      <c r="L910" s="2" t="str">
        <f t="shared" si="75"/>
        <v>_</v>
      </c>
      <c r="M910" s="2"/>
      <c r="N910" s="2">
        <f>IF(ISBLANK(Table2[[#This Row],[ActualResult]]), 0, 1)</f>
        <v>0</v>
      </c>
      <c r="O910" s="2" t="str">
        <f>IF(ISBLANK(Table2[[#This Row],[ActualResult]]), "_", IF(Table2[[#This Row],[ActualWinner]]=Table2[[#This Row],[PredictedWinner]], "Y", "N"))</f>
        <v>_</v>
      </c>
      <c r="P9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0" s="2"/>
      <c r="S910" s="2" t="str">
        <f t="shared" si="76"/>
        <v>_</v>
      </c>
      <c r="T9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0" s="2">
        <f>IF(Table2[[#This Row],[InterConf]]=1,IF(Table2[[#This Row],[InterDiv]]=0, 1, 0), 0)</f>
        <v>0</v>
      </c>
      <c r="W9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10" s="2"/>
      <c r="Y910" s="2"/>
      <c r="Z910" s="145">
        <f>IF(AND(Table2[[#This Row],[GameIsOver]]=1,Table2[[#This Row],[ActualHomeScore]]*Table2[[#This Row],[ActualAwayScore]]=0), 1,0)</f>
        <v>0</v>
      </c>
      <c r="AA9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10" s="2">
        <f>Table2[[#This Row],[ActualAwayScore]]-Table2[[#This Row],[PredictedAwayScore]]</f>
        <v>0</v>
      </c>
      <c r="AG910" s="2">
        <f>Table2[[#This Row],[ActualHomeScore]]-Table2[[#This Row],[PredictedHomeScore]]</f>
        <v>0</v>
      </c>
      <c r="AH910" s="2">
        <f t="shared" si="77"/>
        <v>0</v>
      </c>
      <c r="AI910" s="2">
        <f t="shared" si="78"/>
        <v>0</v>
      </c>
      <c r="AJ910" s="2"/>
      <c r="AK910" s="3"/>
      <c r="AL910" s="2">
        <f>IF(Table2[[#This Row],[GameIsOver]]=0,0,IF(Table2[[#This Row],[ActualWinner]]=Table2[[#This Row],[AwayTeam]], 1, 0))</f>
        <v>0</v>
      </c>
      <c r="AM910" s="2">
        <f>IF(Table2[[#This Row],[GameIsOver]]=0,0,IF(Table2[[#This Row],[ActualWinner]]=Table2[[#This Row],[HomeTeam]], 1, 0))</f>
        <v>0</v>
      </c>
      <c r="AN9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0" s="2" t="str">
        <f>INDEX(Sheet5!$B$2:$AG$33, MATCH(Table2[[#This Row],[AwayTeam]],Sheet5!$A$2:$A$33, 0), MATCH(Table2[[#This Row],[HomeTeam]],Sheet5!$A$2:$A$33, 0))</f>
        <v>0-0-0</v>
      </c>
      <c r="AP910" s="2" t="str">
        <f>INDEX(Sheet5!$B$2:$AG$33, MATCH(Table2[[#This Row],[HomeTeam]],Sheet5!$A$2:$A$33, 0), MATCH(Table2[[#This Row],[AwayTeam]],Sheet5!$A$2:$A$33, 0))</f>
        <v>0-0-0</v>
      </c>
      <c r="AQ910" s="2">
        <f>IF(Table2[[#This Row],[GameHasShutOut]], 1, 0)</f>
        <v>0</v>
      </c>
      <c r="AR910" s="2">
        <f>IF(Table2[[#This Row],[ActualAwayScore]] + Table2[[#This Row],[ActualHomeScore]] &gt;= 10, 1, 0)</f>
        <v>0</v>
      </c>
      <c r="AS910" s="2">
        <f>IF(ABS(Table2[[#This Row],[ActualAwayScore]]-Table2[[#This Row],[ActualHomeScore]])&gt;=5, 1, 0)</f>
        <v>0</v>
      </c>
      <c r="AT910" s="2">
        <f>IF(Table2[[#This Row],[ActualAwayScore]] + Table2[[#This Row],[ActualHomeScore]] &lt;= 3, 1, 0)</f>
        <v>1</v>
      </c>
      <c r="AU910" s="2"/>
      <c r="AV910" s="2"/>
    </row>
    <row r="911" spans="1:48" x14ac:dyDescent="0.25">
      <c r="A911" s="3"/>
      <c r="B911" s="3">
        <v>46059</v>
      </c>
      <c r="C911" s="5">
        <v>2025020909</v>
      </c>
      <c r="D911" s="2" t="s">
        <v>27</v>
      </c>
      <c r="E911" s="2" t="s">
        <v>26</v>
      </c>
      <c r="F911" s="2"/>
      <c r="G911" s="2"/>
      <c r="H911" s="2" t="str">
        <f t="shared" si="74"/>
        <v>_</v>
      </c>
      <c r="I911" s="2"/>
      <c r="J911" s="2"/>
      <c r="K911" s="2"/>
      <c r="L911" s="2" t="str">
        <f t="shared" si="75"/>
        <v>_</v>
      </c>
      <c r="M911" s="2"/>
      <c r="N911" s="2">
        <f>IF(ISBLANK(Table2[[#This Row],[ActualResult]]), 0, 1)</f>
        <v>0</v>
      </c>
      <c r="O911" s="2" t="str">
        <f>IF(ISBLANK(Table2[[#This Row],[ActualResult]]), "_", IF(Table2[[#This Row],[ActualWinner]]=Table2[[#This Row],[PredictedWinner]], "Y", "N"))</f>
        <v>_</v>
      </c>
      <c r="P9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1" s="2"/>
      <c r="S911" s="2" t="str">
        <f t="shared" si="76"/>
        <v>_</v>
      </c>
      <c r="T9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1" s="2">
        <f>IF(Table2[[#This Row],[InterConf]]=1,IF(Table2[[#This Row],[InterDiv]]=0, 1, 0), 0)</f>
        <v>0</v>
      </c>
      <c r="W9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1" s="2"/>
      <c r="Y911" s="2"/>
      <c r="Z911" s="145">
        <f>IF(AND(Table2[[#This Row],[GameIsOver]]=1,Table2[[#This Row],[ActualHomeScore]]*Table2[[#This Row],[ActualAwayScore]]=0), 1,0)</f>
        <v>0</v>
      </c>
      <c r="AA9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11" s="2">
        <f>Table2[[#This Row],[ActualAwayScore]]-Table2[[#This Row],[PredictedAwayScore]]</f>
        <v>0</v>
      </c>
      <c r="AG911" s="2">
        <f>Table2[[#This Row],[ActualHomeScore]]-Table2[[#This Row],[PredictedHomeScore]]</f>
        <v>0</v>
      </c>
      <c r="AH911" s="2">
        <f t="shared" si="77"/>
        <v>0</v>
      </c>
      <c r="AI911" s="2">
        <f t="shared" si="78"/>
        <v>0</v>
      </c>
      <c r="AJ911" s="2"/>
      <c r="AK911" s="3"/>
      <c r="AL911" s="2">
        <f>IF(Table2[[#This Row],[GameIsOver]]=0,0,IF(Table2[[#This Row],[ActualWinner]]=Table2[[#This Row],[AwayTeam]], 1, 0))</f>
        <v>0</v>
      </c>
      <c r="AM911" s="2">
        <f>IF(Table2[[#This Row],[GameIsOver]]=0,0,IF(Table2[[#This Row],[ActualWinner]]=Table2[[#This Row],[HomeTeam]], 1, 0))</f>
        <v>0</v>
      </c>
      <c r="AN911" s="2">
        <f>IF(IFERROR(FIND(Table2[[#This Row],[AwayTeam]], _xlfn.TEXTJOIN(";", 1, $BD$31:$BD$40)), 0) &gt; 0, 1, 0) + IF(IFERROR(FIND(Table2[[#This Row],[HomeTeam]], _xlfn.TEXTJOIN(";", 1, $BD$31:$BD$40)), 0) &gt; 0, 1, 0)</f>
        <v>1</v>
      </c>
      <c r="AO911" s="2" t="str">
        <f>INDEX(Sheet5!$B$2:$AG$33, MATCH(Table2[[#This Row],[AwayTeam]],Sheet5!$A$2:$A$33, 0), MATCH(Table2[[#This Row],[HomeTeam]],Sheet5!$A$2:$A$33, 0))</f>
        <v>1-0-0</v>
      </c>
      <c r="AP911" s="2" t="str">
        <f>INDEX(Sheet5!$B$2:$AG$33, MATCH(Table2[[#This Row],[HomeTeam]],Sheet5!$A$2:$A$33, 0), MATCH(Table2[[#This Row],[AwayTeam]],Sheet5!$A$2:$A$33, 0))</f>
        <v>0-0-1</v>
      </c>
      <c r="AQ911" s="2">
        <f>IF(Table2[[#This Row],[GameHasShutOut]], 1, 0)</f>
        <v>0</v>
      </c>
      <c r="AR911" s="2">
        <f>IF(Table2[[#This Row],[ActualAwayScore]] + Table2[[#This Row],[ActualHomeScore]] &gt;= 10, 1, 0)</f>
        <v>0</v>
      </c>
      <c r="AS911" s="2">
        <f>IF(ABS(Table2[[#This Row],[ActualAwayScore]]-Table2[[#This Row],[ActualHomeScore]])&gt;=5, 1, 0)</f>
        <v>0</v>
      </c>
      <c r="AT911" s="2">
        <f>IF(Table2[[#This Row],[ActualAwayScore]] + Table2[[#This Row],[ActualHomeScore]] &lt;= 3, 1, 0)</f>
        <v>1</v>
      </c>
      <c r="AU911" s="2"/>
      <c r="AV911" s="2"/>
    </row>
    <row r="912" spans="1:48" x14ac:dyDescent="0.25">
      <c r="A912" s="3"/>
      <c r="B912" s="3">
        <v>46079</v>
      </c>
      <c r="C912" s="5">
        <v>2025020910</v>
      </c>
      <c r="D912" s="2" t="s">
        <v>28</v>
      </c>
      <c r="E912" s="2" t="s">
        <v>31</v>
      </c>
      <c r="F912" s="2"/>
      <c r="G912" s="2"/>
      <c r="H912" s="2" t="str">
        <f t="shared" si="74"/>
        <v>_</v>
      </c>
      <c r="I912" s="2"/>
      <c r="J912" s="2"/>
      <c r="K912" s="2"/>
      <c r="L912" s="2" t="str">
        <f t="shared" si="75"/>
        <v>_</v>
      </c>
      <c r="M912" s="2"/>
      <c r="N912" s="2">
        <f>IF(ISBLANK(Table2[[#This Row],[ActualResult]]), 0, 1)</f>
        <v>0</v>
      </c>
      <c r="O912" s="2" t="str">
        <f>IF(ISBLANK(Table2[[#This Row],[ActualResult]]), "_", IF(Table2[[#This Row],[ActualWinner]]=Table2[[#This Row],[PredictedWinner]], "Y", "N"))</f>
        <v>_</v>
      </c>
      <c r="P9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2" s="2"/>
      <c r="S912" s="2" t="str">
        <f t="shared" si="76"/>
        <v>_</v>
      </c>
      <c r="T9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2" s="2">
        <f>IF(Table2[[#This Row],[InterConf]]=1,IF(Table2[[#This Row],[InterDiv]]=0, 1, 0), 0)</f>
        <v>1</v>
      </c>
      <c r="W9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2" s="2"/>
      <c r="Y912" s="2"/>
      <c r="Z912" s="145">
        <f>IF(AND(Table2[[#This Row],[GameIsOver]]=1,Table2[[#This Row],[ActualHomeScore]]*Table2[[#This Row],[ActualAwayScore]]=0), 1,0)</f>
        <v>0</v>
      </c>
      <c r="AA9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2" s="2">
        <f>Table2[[#This Row],[ActualAwayScore]]-Table2[[#This Row],[PredictedAwayScore]]</f>
        <v>0</v>
      </c>
      <c r="AG912" s="2">
        <f>Table2[[#This Row],[ActualHomeScore]]-Table2[[#This Row],[PredictedHomeScore]]</f>
        <v>0</v>
      </c>
      <c r="AH912" s="2">
        <f t="shared" si="77"/>
        <v>0</v>
      </c>
      <c r="AI912" s="2">
        <f t="shared" si="78"/>
        <v>0</v>
      </c>
      <c r="AJ912" s="2"/>
      <c r="AK912" s="3"/>
      <c r="AL912" s="2">
        <f>IF(Table2[[#This Row],[GameIsOver]]=0,0,IF(Table2[[#This Row],[ActualWinner]]=Table2[[#This Row],[AwayTeam]], 1, 0))</f>
        <v>0</v>
      </c>
      <c r="AM912" s="2">
        <f>IF(Table2[[#This Row],[GameIsOver]]=0,0,IF(Table2[[#This Row],[ActualWinner]]=Table2[[#This Row],[HomeTeam]], 1, 0))</f>
        <v>0</v>
      </c>
      <c r="AN9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2" s="2" t="str">
        <f>INDEX(Sheet5!$B$2:$AG$33, MATCH(Table2[[#This Row],[AwayTeam]],Sheet5!$A$2:$A$33, 0), MATCH(Table2[[#This Row],[HomeTeam]],Sheet5!$A$2:$A$33, 0))</f>
        <v>0-0-0</v>
      </c>
      <c r="AP912" s="2" t="str">
        <f>INDEX(Sheet5!$B$2:$AG$33, MATCH(Table2[[#This Row],[HomeTeam]],Sheet5!$A$2:$A$33, 0), MATCH(Table2[[#This Row],[AwayTeam]],Sheet5!$A$2:$A$33, 0))</f>
        <v>0-0-0</v>
      </c>
      <c r="AQ912" s="2">
        <f>IF(Table2[[#This Row],[GameHasShutOut]], 1, 0)</f>
        <v>0</v>
      </c>
      <c r="AR912" s="2">
        <f>IF(Table2[[#This Row],[ActualAwayScore]] + Table2[[#This Row],[ActualHomeScore]] &gt;= 10, 1, 0)</f>
        <v>0</v>
      </c>
      <c r="AS912" s="2">
        <f>IF(ABS(Table2[[#This Row],[ActualAwayScore]]-Table2[[#This Row],[ActualHomeScore]])&gt;=5, 1, 0)</f>
        <v>0</v>
      </c>
      <c r="AT912" s="2">
        <f>IF(Table2[[#This Row],[ActualAwayScore]] + Table2[[#This Row],[ActualHomeScore]] &lt;= 3, 1, 0)</f>
        <v>1</v>
      </c>
      <c r="AU912" s="2"/>
      <c r="AV912" s="2"/>
    </row>
    <row r="913" spans="1:48" x14ac:dyDescent="0.25">
      <c r="A913" s="3"/>
      <c r="B913" s="3">
        <v>46079</v>
      </c>
      <c r="C913" s="5">
        <v>2025020911</v>
      </c>
      <c r="D913" s="2" t="s">
        <v>42</v>
      </c>
      <c r="E913" s="2" t="s">
        <v>43</v>
      </c>
      <c r="F913" s="2"/>
      <c r="G913" s="2"/>
      <c r="H913" s="2" t="str">
        <f t="shared" si="74"/>
        <v>_</v>
      </c>
      <c r="I913" s="2"/>
      <c r="J913" s="2"/>
      <c r="K913" s="2"/>
      <c r="L913" s="2" t="str">
        <f t="shared" si="75"/>
        <v>_</v>
      </c>
      <c r="M913" s="2"/>
      <c r="N913" s="2">
        <f>IF(ISBLANK(Table2[[#This Row],[ActualResult]]), 0, 1)</f>
        <v>0</v>
      </c>
      <c r="O913" s="2" t="str">
        <f>IF(ISBLANK(Table2[[#This Row],[ActualResult]]), "_", IF(Table2[[#This Row],[ActualWinner]]=Table2[[#This Row],[PredictedWinner]], "Y", "N"))</f>
        <v>_</v>
      </c>
      <c r="P9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3" s="2"/>
      <c r="S913" s="2" t="str">
        <f t="shared" si="76"/>
        <v>_</v>
      </c>
      <c r="T9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3" s="2">
        <f>IF(Table2[[#This Row],[InterConf]]=1,IF(Table2[[#This Row],[InterDiv]]=0, 1, 0), 0)</f>
        <v>0</v>
      </c>
      <c r="W9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3" s="2"/>
      <c r="Y913" s="2"/>
      <c r="Z913" s="145">
        <f>IF(AND(Table2[[#This Row],[GameIsOver]]=1,Table2[[#This Row],[ActualHomeScore]]*Table2[[#This Row],[ActualAwayScore]]=0), 1,0)</f>
        <v>0</v>
      </c>
      <c r="AA9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3" s="2">
        <f>Table2[[#This Row],[ActualAwayScore]]-Table2[[#This Row],[PredictedAwayScore]]</f>
        <v>0</v>
      </c>
      <c r="AG913" s="2">
        <f>Table2[[#This Row],[ActualHomeScore]]-Table2[[#This Row],[PredictedHomeScore]]</f>
        <v>0</v>
      </c>
      <c r="AH913" s="2">
        <f t="shared" si="77"/>
        <v>0</v>
      </c>
      <c r="AI913" s="2">
        <f t="shared" si="78"/>
        <v>0</v>
      </c>
      <c r="AJ913" s="2"/>
      <c r="AK913" s="3"/>
      <c r="AL913" s="2">
        <f>IF(Table2[[#This Row],[GameIsOver]]=0,0,IF(Table2[[#This Row],[ActualWinner]]=Table2[[#This Row],[AwayTeam]], 1, 0))</f>
        <v>0</v>
      </c>
      <c r="AM913" s="2">
        <f>IF(Table2[[#This Row],[GameIsOver]]=0,0,IF(Table2[[#This Row],[ActualWinner]]=Table2[[#This Row],[HomeTeam]], 1, 0))</f>
        <v>0</v>
      </c>
      <c r="AN9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3" s="2" t="str">
        <f>INDEX(Sheet5!$B$2:$AG$33, MATCH(Table2[[#This Row],[AwayTeam]],Sheet5!$A$2:$A$33, 0), MATCH(Table2[[#This Row],[HomeTeam]],Sheet5!$A$2:$A$33, 0))</f>
        <v>0-0-0</v>
      </c>
      <c r="AP913" s="2" t="str">
        <f>INDEX(Sheet5!$B$2:$AG$33, MATCH(Table2[[#This Row],[HomeTeam]],Sheet5!$A$2:$A$33, 0), MATCH(Table2[[#This Row],[AwayTeam]],Sheet5!$A$2:$A$33, 0))</f>
        <v>0-0-0</v>
      </c>
      <c r="AQ913" s="2">
        <f>IF(Table2[[#This Row],[GameHasShutOut]], 1, 0)</f>
        <v>0</v>
      </c>
      <c r="AR913" s="2">
        <f>IF(Table2[[#This Row],[ActualAwayScore]] + Table2[[#This Row],[ActualHomeScore]] &gt;= 10, 1, 0)</f>
        <v>0</v>
      </c>
      <c r="AS913" s="2">
        <f>IF(ABS(Table2[[#This Row],[ActualAwayScore]]-Table2[[#This Row],[ActualHomeScore]])&gt;=5, 1, 0)</f>
        <v>0</v>
      </c>
      <c r="AT913" s="2">
        <f>IF(Table2[[#This Row],[ActualAwayScore]] + Table2[[#This Row],[ActualHomeScore]] &lt;= 3, 1, 0)</f>
        <v>1</v>
      </c>
      <c r="AU913" s="2"/>
      <c r="AV913" s="2"/>
    </row>
    <row r="914" spans="1:48" x14ac:dyDescent="0.25">
      <c r="A914" s="3"/>
      <c r="B914" s="3">
        <v>46079</v>
      </c>
      <c r="C914" s="5">
        <v>2025020912</v>
      </c>
      <c r="D914" s="2" t="s">
        <v>17</v>
      </c>
      <c r="E914" s="2" t="s">
        <v>40</v>
      </c>
      <c r="F914" s="2"/>
      <c r="G914" s="2"/>
      <c r="H914" s="2" t="str">
        <f t="shared" si="74"/>
        <v>_</v>
      </c>
      <c r="I914" s="2"/>
      <c r="J914" s="2"/>
      <c r="K914" s="2"/>
      <c r="L914" s="2" t="str">
        <f t="shared" si="75"/>
        <v>_</v>
      </c>
      <c r="M914" s="2"/>
      <c r="N914" s="2">
        <f>IF(ISBLANK(Table2[[#This Row],[ActualResult]]), 0, 1)</f>
        <v>0</v>
      </c>
      <c r="O914" s="2" t="str">
        <f>IF(ISBLANK(Table2[[#This Row],[ActualResult]]), "_", IF(Table2[[#This Row],[ActualWinner]]=Table2[[#This Row],[PredictedWinner]], "Y", "N"))</f>
        <v>_</v>
      </c>
      <c r="P9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4" s="2"/>
      <c r="S914" s="2" t="str">
        <f t="shared" si="76"/>
        <v>_</v>
      </c>
      <c r="T9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4" s="2">
        <f>IF(Table2[[#This Row],[InterConf]]=1,IF(Table2[[#This Row],[InterDiv]]=0, 1, 0), 0)</f>
        <v>0</v>
      </c>
      <c r="W9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4" s="2"/>
      <c r="Y914" s="2"/>
      <c r="Z914" s="145">
        <f>IF(AND(Table2[[#This Row],[GameIsOver]]=1,Table2[[#This Row],[ActualHomeScore]]*Table2[[#This Row],[ActualAwayScore]]=0), 1,0)</f>
        <v>0</v>
      </c>
      <c r="AA9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4" s="2">
        <f>Table2[[#This Row],[ActualAwayScore]]-Table2[[#This Row],[PredictedAwayScore]]</f>
        <v>0</v>
      </c>
      <c r="AG914" s="2">
        <f>Table2[[#This Row],[ActualHomeScore]]-Table2[[#This Row],[PredictedHomeScore]]</f>
        <v>0</v>
      </c>
      <c r="AH914" s="2">
        <f t="shared" si="77"/>
        <v>0</v>
      </c>
      <c r="AI914" s="2">
        <f t="shared" si="78"/>
        <v>0</v>
      </c>
      <c r="AJ914" s="2"/>
      <c r="AK914" s="3"/>
      <c r="AL914" s="2">
        <f>IF(Table2[[#This Row],[GameIsOver]]=0,0,IF(Table2[[#This Row],[ActualWinner]]=Table2[[#This Row],[AwayTeam]], 1, 0))</f>
        <v>0</v>
      </c>
      <c r="AM914" s="2">
        <f>IF(Table2[[#This Row],[GameIsOver]]=0,0,IF(Table2[[#This Row],[ActualWinner]]=Table2[[#This Row],[HomeTeam]], 1, 0))</f>
        <v>0</v>
      </c>
      <c r="AN9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4" s="2" t="str">
        <f>INDEX(Sheet5!$B$2:$AG$33, MATCH(Table2[[#This Row],[AwayTeam]],Sheet5!$A$2:$A$33, 0), MATCH(Table2[[#This Row],[HomeTeam]],Sheet5!$A$2:$A$33, 0))</f>
        <v>0-0-0</v>
      </c>
      <c r="AP914" s="2" t="str">
        <f>INDEX(Sheet5!$B$2:$AG$33, MATCH(Table2[[#This Row],[HomeTeam]],Sheet5!$A$2:$A$33, 0), MATCH(Table2[[#This Row],[AwayTeam]],Sheet5!$A$2:$A$33, 0))</f>
        <v>0-0-0</v>
      </c>
      <c r="AQ914" s="2">
        <f>IF(Table2[[#This Row],[GameHasShutOut]], 1, 0)</f>
        <v>0</v>
      </c>
      <c r="AR914" s="2">
        <f>IF(Table2[[#This Row],[ActualAwayScore]] + Table2[[#This Row],[ActualHomeScore]] &gt;= 10, 1, 0)</f>
        <v>0</v>
      </c>
      <c r="AS914" s="2">
        <f>IF(ABS(Table2[[#This Row],[ActualAwayScore]]-Table2[[#This Row],[ActualHomeScore]])&gt;=5, 1, 0)</f>
        <v>0</v>
      </c>
      <c r="AT914" s="2">
        <f>IF(Table2[[#This Row],[ActualAwayScore]] + Table2[[#This Row],[ActualHomeScore]] &lt;= 3, 1, 0)</f>
        <v>1</v>
      </c>
      <c r="AU914" s="2"/>
      <c r="AV914" s="2"/>
    </row>
    <row r="915" spans="1:48" x14ac:dyDescent="0.25">
      <c r="A915" s="3"/>
      <c r="B915" s="3">
        <v>46079</v>
      </c>
      <c r="C915" s="5">
        <v>2025020913</v>
      </c>
      <c r="D915" s="2" t="s">
        <v>11</v>
      </c>
      <c r="E915" s="2" t="s">
        <v>33</v>
      </c>
      <c r="F915" s="2"/>
      <c r="G915" s="2"/>
      <c r="H915" s="2" t="str">
        <f t="shared" si="74"/>
        <v>_</v>
      </c>
      <c r="I915" s="2"/>
      <c r="J915" s="2"/>
      <c r="K915" s="2"/>
      <c r="L915" s="2" t="str">
        <f t="shared" si="75"/>
        <v>_</v>
      </c>
      <c r="M915" s="2"/>
      <c r="N915" s="2">
        <f>IF(ISBLANK(Table2[[#This Row],[ActualResult]]), 0, 1)</f>
        <v>0</v>
      </c>
      <c r="O915" s="2" t="str">
        <f>IF(ISBLANK(Table2[[#This Row],[ActualResult]]), "_", IF(Table2[[#This Row],[ActualWinner]]=Table2[[#This Row],[PredictedWinner]], "Y", "N"))</f>
        <v>_</v>
      </c>
      <c r="P9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5" s="2"/>
      <c r="S915" s="2" t="str">
        <f t="shared" si="76"/>
        <v>_</v>
      </c>
      <c r="T9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5" s="2">
        <f>IF(Table2[[#This Row],[InterConf]]=1,IF(Table2[[#This Row],[InterDiv]]=0, 1, 0), 0)</f>
        <v>1</v>
      </c>
      <c r="W9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5" s="2"/>
      <c r="Y915" s="2"/>
      <c r="Z915" s="145">
        <f>IF(AND(Table2[[#This Row],[GameIsOver]]=1,Table2[[#This Row],[ActualHomeScore]]*Table2[[#This Row],[ActualAwayScore]]=0), 1,0)</f>
        <v>0</v>
      </c>
      <c r="AA9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5" s="2">
        <f>Table2[[#This Row],[ActualAwayScore]]-Table2[[#This Row],[PredictedAwayScore]]</f>
        <v>0</v>
      </c>
      <c r="AG915" s="2">
        <f>Table2[[#This Row],[ActualHomeScore]]-Table2[[#This Row],[PredictedHomeScore]]</f>
        <v>0</v>
      </c>
      <c r="AH915" s="2">
        <f t="shared" si="77"/>
        <v>0</v>
      </c>
      <c r="AI915" s="2">
        <f t="shared" si="78"/>
        <v>0</v>
      </c>
      <c r="AJ915" s="2"/>
      <c r="AK915" s="3"/>
      <c r="AL915" s="2">
        <f>IF(Table2[[#This Row],[GameIsOver]]=0,0,IF(Table2[[#This Row],[ActualWinner]]=Table2[[#This Row],[AwayTeam]], 1, 0))</f>
        <v>0</v>
      </c>
      <c r="AM915" s="2">
        <f>IF(Table2[[#This Row],[GameIsOver]]=0,0,IF(Table2[[#This Row],[ActualWinner]]=Table2[[#This Row],[HomeTeam]], 1, 0))</f>
        <v>0</v>
      </c>
      <c r="AN9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5" s="2" t="str">
        <f>INDEX(Sheet5!$B$2:$AG$33, MATCH(Table2[[#This Row],[AwayTeam]],Sheet5!$A$2:$A$33, 0), MATCH(Table2[[#This Row],[HomeTeam]],Sheet5!$A$2:$A$33, 0))</f>
        <v>0-0-0</v>
      </c>
      <c r="AP915" s="2" t="str">
        <f>INDEX(Sheet5!$B$2:$AG$33, MATCH(Table2[[#This Row],[HomeTeam]],Sheet5!$A$2:$A$33, 0), MATCH(Table2[[#This Row],[AwayTeam]],Sheet5!$A$2:$A$33, 0))</f>
        <v>0-0-0</v>
      </c>
      <c r="AQ915" s="2">
        <f>IF(Table2[[#This Row],[GameHasShutOut]], 1, 0)</f>
        <v>0</v>
      </c>
      <c r="AR915" s="2">
        <f>IF(Table2[[#This Row],[ActualAwayScore]] + Table2[[#This Row],[ActualHomeScore]] &gt;= 10, 1, 0)</f>
        <v>0</v>
      </c>
      <c r="AS915" s="2">
        <f>IF(ABS(Table2[[#This Row],[ActualAwayScore]]-Table2[[#This Row],[ActualHomeScore]])&gt;=5, 1, 0)</f>
        <v>0</v>
      </c>
      <c r="AT915" s="2">
        <f>IF(Table2[[#This Row],[ActualAwayScore]] + Table2[[#This Row],[ActualHomeScore]] &lt;= 3, 1, 0)</f>
        <v>1</v>
      </c>
      <c r="AU915" s="2"/>
      <c r="AV915" s="2"/>
    </row>
    <row r="916" spans="1:48" x14ac:dyDescent="0.25">
      <c r="A916" s="3"/>
      <c r="B916" s="3">
        <v>46079</v>
      </c>
      <c r="C916" s="5">
        <v>2025020914</v>
      </c>
      <c r="D916" s="2" t="s">
        <v>25</v>
      </c>
      <c r="E916" s="2" t="s">
        <v>14</v>
      </c>
      <c r="F916" s="2"/>
      <c r="G916" s="2"/>
      <c r="H916" s="2" t="str">
        <f t="shared" si="74"/>
        <v>_</v>
      </c>
      <c r="I916" s="2"/>
      <c r="J916" s="2"/>
      <c r="K916" s="2"/>
      <c r="L916" s="2" t="str">
        <f t="shared" si="75"/>
        <v>_</v>
      </c>
      <c r="M916" s="2"/>
      <c r="N916" s="2">
        <f>IF(ISBLANK(Table2[[#This Row],[ActualResult]]), 0, 1)</f>
        <v>0</v>
      </c>
      <c r="O916" s="2" t="str">
        <f>IF(ISBLANK(Table2[[#This Row],[ActualResult]]), "_", IF(Table2[[#This Row],[ActualWinner]]=Table2[[#This Row],[PredictedWinner]], "Y", "N"))</f>
        <v>_</v>
      </c>
      <c r="P9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6" s="2"/>
      <c r="S916" s="2" t="str">
        <f t="shared" si="76"/>
        <v>_</v>
      </c>
      <c r="T9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6" s="2">
        <f>IF(Table2[[#This Row],[InterConf]]=1,IF(Table2[[#This Row],[InterDiv]]=0, 1, 0), 0)</f>
        <v>0</v>
      </c>
      <c r="W9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6" s="2"/>
      <c r="Y916" s="2"/>
      <c r="Z916" s="145">
        <f>IF(AND(Table2[[#This Row],[GameIsOver]]=1,Table2[[#This Row],[ActualHomeScore]]*Table2[[#This Row],[ActualAwayScore]]=0), 1,0)</f>
        <v>0</v>
      </c>
      <c r="AA9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6" s="2">
        <f>Table2[[#This Row],[ActualAwayScore]]-Table2[[#This Row],[PredictedAwayScore]]</f>
        <v>0</v>
      </c>
      <c r="AG916" s="2">
        <f>Table2[[#This Row],[ActualHomeScore]]-Table2[[#This Row],[PredictedHomeScore]]</f>
        <v>0</v>
      </c>
      <c r="AH916" s="2">
        <f t="shared" si="77"/>
        <v>0</v>
      </c>
      <c r="AI916" s="2">
        <f t="shared" si="78"/>
        <v>0</v>
      </c>
      <c r="AJ916" s="2"/>
      <c r="AK916" s="3"/>
      <c r="AL916" s="2">
        <f>IF(Table2[[#This Row],[GameIsOver]]=0,0,IF(Table2[[#This Row],[ActualWinner]]=Table2[[#This Row],[AwayTeam]], 1, 0))</f>
        <v>0</v>
      </c>
      <c r="AM916" s="2">
        <f>IF(Table2[[#This Row],[GameIsOver]]=0,0,IF(Table2[[#This Row],[ActualWinner]]=Table2[[#This Row],[HomeTeam]], 1, 0))</f>
        <v>0</v>
      </c>
      <c r="AN9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6" s="2" t="str">
        <f>INDEX(Sheet5!$B$2:$AG$33, MATCH(Table2[[#This Row],[AwayTeam]],Sheet5!$A$2:$A$33, 0), MATCH(Table2[[#This Row],[HomeTeam]],Sheet5!$A$2:$A$33, 0))</f>
        <v>1-0-1</v>
      </c>
      <c r="AP916" s="2" t="str">
        <f>INDEX(Sheet5!$B$2:$AG$33, MATCH(Table2[[#This Row],[HomeTeam]],Sheet5!$A$2:$A$33, 0), MATCH(Table2[[#This Row],[AwayTeam]],Sheet5!$A$2:$A$33, 0))</f>
        <v>1-1-0</v>
      </c>
      <c r="AQ916" s="2">
        <f>IF(Table2[[#This Row],[GameHasShutOut]], 1, 0)</f>
        <v>0</v>
      </c>
      <c r="AR916" s="2">
        <f>IF(Table2[[#This Row],[ActualAwayScore]] + Table2[[#This Row],[ActualHomeScore]] &gt;= 10, 1, 0)</f>
        <v>0</v>
      </c>
      <c r="AS916" s="2">
        <f>IF(ABS(Table2[[#This Row],[ActualAwayScore]]-Table2[[#This Row],[ActualHomeScore]])&gt;=5, 1, 0)</f>
        <v>0</v>
      </c>
      <c r="AT916" s="2">
        <f>IF(Table2[[#This Row],[ActualAwayScore]] + Table2[[#This Row],[ActualHomeScore]] &lt;= 3, 1, 0)</f>
        <v>1</v>
      </c>
      <c r="AU916" s="2"/>
      <c r="AV916" s="2"/>
    </row>
    <row r="917" spans="1:48" x14ac:dyDescent="0.25">
      <c r="A917" s="3"/>
      <c r="B917" s="3">
        <v>46079</v>
      </c>
      <c r="C917" s="5">
        <v>2025020915</v>
      </c>
      <c r="D917" s="2" t="s">
        <v>21</v>
      </c>
      <c r="E917" s="2" t="s">
        <v>24</v>
      </c>
      <c r="F917" s="2"/>
      <c r="G917" s="2"/>
      <c r="H917" s="2" t="str">
        <f t="shared" si="74"/>
        <v>_</v>
      </c>
      <c r="I917" s="2"/>
      <c r="J917" s="2"/>
      <c r="K917" s="2"/>
      <c r="L917" s="2" t="str">
        <f t="shared" si="75"/>
        <v>_</v>
      </c>
      <c r="M917" s="2"/>
      <c r="N917" s="2">
        <f>IF(ISBLANK(Table2[[#This Row],[ActualResult]]), 0, 1)</f>
        <v>0</v>
      </c>
      <c r="O917" s="2" t="str">
        <f>IF(ISBLANK(Table2[[#This Row],[ActualResult]]), "_", IF(Table2[[#This Row],[ActualWinner]]=Table2[[#This Row],[PredictedWinner]], "Y", "N"))</f>
        <v>_</v>
      </c>
      <c r="P9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7" s="2"/>
      <c r="S917" s="2" t="str">
        <f t="shared" si="76"/>
        <v>_</v>
      </c>
      <c r="T9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7" s="2">
        <f>IF(Table2[[#This Row],[InterConf]]=1,IF(Table2[[#This Row],[InterDiv]]=0, 1, 0), 0)</f>
        <v>1</v>
      </c>
      <c r="W9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7" s="2"/>
      <c r="Y917" s="2"/>
      <c r="Z917" s="145">
        <f>IF(AND(Table2[[#This Row],[GameIsOver]]=1,Table2[[#This Row],[ActualHomeScore]]*Table2[[#This Row],[ActualAwayScore]]=0), 1,0)</f>
        <v>0</v>
      </c>
      <c r="AA9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7" s="2">
        <f>Table2[[#This Row],[ActualAwayScore]]-Table2[[#This Row],[PredictedAwayScore]]</f>
        <v>0</v>
      </c>
      <c r="AG917" s="2">
        <f>Table2[[#This Row],[ActualHomeScore]]-Table2[[#This Row],[PredictedHomeScore]]</f>
        <v>0</v>
      </c>
      <c r="AH917" s="2">
        <f t="shared" si="77"/>
        <v>0</v>
      </c>
      <c r="AI917" s="2">
        <f t="shared" si="78"/>
        <v>0</v>
      </c>
      <c r="AJ917" s="2"/>
      <c r="AK917" s="3"/>
      <c r="AL917" s="2">
        <f>IF(Table2[[#This Row],[GameIsOver]]=0,0,IF(Table2[[#This Row],[ActualWinner]]=Table2[[#This Row],[AwayTeam]], 1, 0))</f>
        <v>0</v>
      </c>
      <c r="AM917" s="2">
        <f>IF(Table2[[#This Row],[GameIsOver]]=0,0,IF(Table2[[#This Row],[ActualWinner]]=Table2[[#This Row],[HomeTeam]], 1, 0))</f>
        <v>0</v>
      </c>
      <c r="AN9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7" s="2" t="str">
        <f>INDEX(Sheet5!$B$2:$AG$33, MATCH(Table2[[#This Row],[AwayTeam]],Sheet5!$A$2:$A$33, 0), MATCH(Table2[[#This Row],[HomeTeam]],Sheet5!$A$2:$A$33, 0))</f>
        <v>0-0-0</v>
      </c>
      <c r="AP917" s="2" t="str">
        <f>INDEX(Sheet5!$B$2:$AG$33, MATCH(Table2[[#This Row],[HomeTeam]],Sheet5!$A$2:$A$33, 0), MATCH(Table2[[#This Row],[AwayTeam]],Sheet5!$A$2:$A$33, 0))</f>
        <v>0-0-0</v>
      </c>
      <c r="AQ917" s="2">
        <f>IF(Table2[[#This Row],[GameHasShutOut]], 1, 0)</f>
        <v>0</v>
      </c>
      <c r="AR917" s="2">
        <f>IF(Table2[[#This Row],[ActualAwayScore]] + Table2[[#This Row],[ActualHomeScore]] &gt;= 10, 1, 0)</f>
        <v>0</v>
      </c>
      <c r="AS917" s="2">
        <f>IF(ABS(Table2[[#This Row],[ActualAwayScore]]-Table2[[#This Row],[ActualHomeScore]])&gt;=5, 1, 0)</f>
        <v>0</v>
      </c>
      <c r="AT917" s="2">
        <f>IF(Table2[[#This Row],[ActualAwayScore]] + Table2[[#This Row],[ActualHomeScore]] &lt;= 3, 1, 0)</f>
        <v>1</v>
      </c>
      <c r="AU917" s="2"/>
      <c r="AV917" s="2"/>
    </row>
    <row r="918" spans="1:48" x14ac:dyDescent="0.25">
      <c r="A918" s="3"/>
      <c r="B918" s="3">
        <v>46079</v>
      </c>
      <c r="C918" s="5">
        <v>2025020916</v>
      </c>
      <c r="D918" s="2" t="s">
        <v>26</v>
      </c>
      <c r="E918" s="2" t="s">
        <v>27</v>
      </c>
      <c r="F918" s="2"/>
      <c r="G918" s="2"/>
      <c r="H918" s="2" t="str">
        <f t="shared" si="74"/>
        <v>_</v>
      </c>
      <c r="I918" s="2"/>
      <c r="J918" s="2"/>
      <c r="K918" s="2"/>
      <c r="L918" s="2" t="str">
        <f t="shared" si="75"/>
        <v>_</v>
      </c>
      <c r="M918" s="2"/>
      <c r="N918" s="2">
        <f>IF(ISBLANK(Table2[[#This Row],[ActualResult]]), 0, 1)</f>
        <v>0</v>
      </c>
      <c r="O918" s="2" t="str">
        <f>IF(ISBLANK(Table2[[#This Row],[ActualResult]]), "_", IF(Table2[[#This Row],[ActualWinner]]=Table2[[#This Row],[PredictedWinner]], "Y", "N"))</f>
        <v>_</v>
      </c>
      <c r="P9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8" s="2"/>
      <c r="S918" s="2" t="str">
        <f t="shared" si="76"/>
        <v>_</v>
      </c>
      <c r="T9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8" s="2">
        <f>IF(Table2[[#This Row],[InterConf]]=1,IF(Table2[[#This Row],[InterDiv]]=0, 1, 0), 0)</f>
        <v>0</v>
      </c>
      <c r="W9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8" s="2"/>
      <c r="Y918" s="2"/>
      <c r="Z918" s="145">
        <f>IF(AND(Table2[[#This Row],[GameIsOver]]=1,Table2[[#This Row],[ActualHomeScore]]*Table2[[#This Row],[ActualAwayScore]]=0), 1,0)</f>
        <v>0</v>
      </c>
      <c r="AA9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8" s="2">
        <f>Table2[[#This Row],[ActualAwayScore]]-Table2[[#This Row],[PredictedAwayScore]]</f>
        <v>0</v>
      </c>
      <c r="AG918" s="2">
        <f>Table2[[#This Row],[ActualHomeScore]]-Table2[[#This Row],[PredictedHomeScore]]</f>
        <v>0</v>
      </c>
      <c r="AH918" s="2">
        <f t="shared" si="77"/>
        <v>0</v>
      </c>
      <c r="AI918" s="2">
        <f t="shared" si="78"/>
        <v>0</v>
      </c>
      <c r="AJ918" s="2"/>
      <c r="AK918" s="3"/>
      <c r="AL918" s="2">
        <f>IF(Table2[[#This Row],[GameIsOver]]=0,0,IF(Table2[[#This Row],[ActualWinner]]=Table2[[#This Row],[AwayTeam]], 1, 0))</f>
        <v>0</v>
      </c>
      <c r="AM918" s="2">
        <f>IF(Table2[[#This Row],[GameIsOver]]=0,0,IF(Table2[[#This Row],[ActualWinner]]=Table2[[#This Row],[HomeTeam]], 1, 0))</f>
        <v>0</v>
      </c>
      <c r="AN918" s="2">
        <f>IF(IFERROR(FIND(Table2[[#This Row],[AwayTeam]], _xlfn.TEXTJOIN(";", 1, $BD$31:$BD$40)), 0) &gt; 0, 1, 0) + IF(IFERROR(FIND(Table2[[#This Row],[HomeTeam]], _xlfn.TEXTJOIN(";", 1, $BD$31:$BD$40)), 0) &gt; 0, 1, 0)</f>
        <v>1</v>
      </c>
      <c r="AO918" s="2" t="str">
        <f>INDEX(Sheet5!$B$2:$AG$33, MATCH(Table2[[#This Row],[AwayTeam]],Sheet5!$A$2:$A$33, 0), MATCH(Table2[[#This Row],[HomeTeam]],Sheet5!$A$2:$A$33, 0))</f>
        <v>0-0-1</v>
      </c>
      <c r="AP918" s="2" t="str">
        <f>INDEX(Sheet5!$B$2:$AG$33, MATCH(Table2[[#This Row],[HomeTeam]],Sheet5!$A$2:$A$33, 0), MATCH(Table2[[#This Row],[AwayTeam]],Sheet5!$A$2:$A$33, 0))</f>
        <v>1-0-0</v>
      </c>
      <c r="AQ918" s="2">
        <f>IF(Table2[[#This Row],[GameHasShutOut]], 1, 0)</f>
        <v>0</v>
      </c>
      <c r="AR918" s="2">
        <f>IF(Table2[[#This Row],[ActualAwayScore]] + Table2[[#This Row],[ActualHomeScore]] &gt;= 10, 1, 0)</f>
        <v>0</v>
      </c>
      <c r="AS918" s="2">
        <f>IF(ABS(Table2[[#This Row],[ActualAwayScore]]-Table2[[#This Row],[ActualHomeScore]])&gt;=5, 1, 0)</f>
        <v>0</v>
      </c>
      <c r="AT918" s="2">
        <f>IF(Table2[[#This Row],[ActualAwayScore]] + Table2[[#This Row],[ActualHomeScore]] &lt;= 3, 1, 0)</f>
        <v>1</v>
      </c>
      <c r="AU918" s="2"/>
      <c r="AV918" s="2"/>
    </row>
    <row r="919" spans="1:48" x14ac:dyDescent="0.25">
      <c r="A919" s="3"/>
      <c r="B919" s="3">
        <v>46079</v>
      </c>
      <c r="C919" s="5">
        <v>2025020917</v>
      </c>
      <c r="D919" s="2" t="s">
        <v>22</v>
      </c>
      <c r="E919" s="2" t="s">
        <v>44</v>
      </c>
      <c r="F919" s="2"/>
      <c r="G919" s="2"/>
      <c r="H919" s="2" t="str">
        <f t="shared" si="74"/>
        <v>_</v>
      </c>
      <c r="I919" s="2"/>
      <c r="J919" s="2"/>
      <c r="K919" s="2"/>
      <c r="L919" s="2" t="str">
        <f t="shared" si="75"/>
        <v>_</v>
      </c>
      <c r="M919" s="2"/>
      <c r="N919" s="2">
        <f>IF(ISBLANK(Table2[[#This Row],[ActualResult]]), 0, 1)</f>
        <v>0</v>
      </c>
      <c r="O919" s="2" t="str">
        <f>IF(ISBLANK(Table2[[#This Row],[ActualResult]]), "_", IF(Table2[[#This Row],[ActualWinner]]=Table2[[#This Row],[PredictedWinner]], "Y", "N"))</f>
        <v>_</v>
      </c>
      <c r="P9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9" s="2"/>
      <c r="S919" s="2" t="str">
        <f t="shared" si="76"/>
        <v>_</v>
      </c>
      <c r="T9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9" s="2">
        <f>IF(Table2[[#This Row],[InterConf]]=1,IF(Table2[[#This Row],[InterDiv]]=0, 1, 0), 0)</f>
        <v>0</v>
      </c>
      <c r="W9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9" s="2"/>
      <c r="Y919" s="2"/>
      <c r="Z919" s="145">
        <f>IF(AND(Table2[[#This Row],[GameIsOver]]=1,Table2[[#This Row],[ActualHomeScore]]*Table2[[#This Row],[ActualAwayScore]]=0), 1,0)</f>
        <v>0</v>
      </c>
      <c r="AA9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9" s="2">
        <f>Table2[[#This Row],[ActualAwayScore]]-Table2[[#This Row],[PredictedAwayScore]]</f>
        <v>0</v>
      </c>
      <c r="AG919" s="2">
        <f>Table2[[#This Row],[ActualHomeScore]]-Table2[[#This Row],[PredictedHomeScore]]</f>
        <v>0</v>
      </c>
      <c r="AH919" s="2">
        <f t="shared" si="77"/>
        <v>0</v>
      </c>
      <c r="AI919" s="2">
        <f t="shared" si="78"/>
        <v>0</v>
      </c>
      <c r="AJ919" s="2"/>
      <c r="AK919" s="3"/>
      <c r="AL919" s="2">
        <f>IF(Table2[[#This Row],[GameIsOver]]=0,0,IF(Table2[[#This Row],[ActualWinner]]=Table2[[#This Row],[AwayTeam]], 1, 0))</f>
        <v>0</v>
      </c>
      <c r="AM919" s="2">
        <f>IF(Table2[[#This Row],[GameIsOver]]=0,0,IF(Table2[[#This Row],[ActualWinner]]=Table2[[#This Row],[HomeTeam]], 1, 0))</f>
        <v>0</v>
      </c>
      <c r="AN9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9" s="2" t="str">
        <f>INDEX(Sheet5!$B$2:$AG$33, MATCH(Table2[[#This Row],[AwayTeam]],Sheet5!$A$2:$A$33, 0), MATCH(Table2[[#This Row],[HomeTeam]],Sheet5!$A$2:$A$33, 0))</f>
        <v>0-0-0</v>
      </c>
      <c r="AP919" s="2" t="str">
        <f>INDEX(Sheet5!$B$2:$AG$33, MATCH(Table2[[#This Row],[HomeTeam]],Sheet5!$A$2:$A$33, 0), MATCH(Table2[[#This Row],[AwayTeam]],Sheet5!$A$2:$A$33, 0))</f>
        <v>0-0-0</v>
      </c>
      <c r="AQ919" s="2">
        <f>IF(Table2[[#This Row],[GameHasShutOut]], 1, 0)</f>
        <v>0</v>
      </c>
      <c r="AR919" s="2">
        <f>IF(Table2[[#This Row],[ActualAwayScore]] + Table2[[#This Row],[ActualHomeScore]] &gt;= 10, 1, 0)</f>
        <v>0</v>
      </c>
      <c r="AS919" s="2">
        <f>IF(ABS(Table2[[#This Row],[ActualAwayScore]]-Table2[[#This Row],[ActualHomeScore]])&gt;=5, 1, 0)</f>
        <v>0</v>
      </c>
      <c r="AT919" s="2">
        <f>IF(Table2[[#This Row],[ActualAwayScore]] + Table2[[#This Row],[ActualHomeScore]] &lt;= 3, 1, 0)</f>
        <v>1</v>
      </c>
      <c r="AU919" s="2"/>
      <c r="AV919" s="2"/>
    </row>
    <row r="920" spans="1:48" x14ac:dyDescent="0.25">
      <c r="A920" s="3"/>
      <c r="B920" s="3">
        <v>46080</v>
      </c>
      <c r="C920" s="5">
        <v>2025020918</v>
      </c>
      <c r="D920" s="2" t="s">
        <v>35</v>
      </c>
      <c r="E920" s="2" t="s">
        <v>15</v>
      </c>
      <c r="F920" s="2"/>
      <c r="G920" s="2"/>
      <c r="H920" s="2" t="str">
        <f t="shared" si="74"/>
        <v>_</v>
      </c>
      <c r="I920" s="2"/>
      <c r="J920" s="2"/>
      <c r="K920" s="2"/>
      <c r="L920" s="2" t="str">
        <f t="shared" si="75"/>
        <v>_</v>
      </c>
      <c r="M920" s="2"/>
      <c r="N920" s="2">
        <f>IF(ISBLANK(Table2[[#This Row],[ActualResult]]), 0, 1)</f>
        <v>0</v>
      </c>
      <c r="O920" s="2" t="str">
        <f>IF(ISBLANK(Table2[[#This Row],[ActualResult]]), "_", IF(Table2[[#This Row],[ActualWinner]]=Table2[[#This Row],[PredictedWinner]], "Y", "N"))</f>
        <v>_</v>
      </c>
      <c r="P9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0" s="2"/>
      <c r="S920" s="2" t="str">
        <f t="shared" si="76"/>
        <v>_</v>
      </c>
      <c r="T9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0" s="2">
        <f>IF(Table2[[#This Row],[InterConf]]=1,IF(Table2[[#This Row],[InterDiv]]=0, 1, 0), 0)</f>
        <v>1</v>
      </c>
      <c r="W9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0" s="2"/>
      <c r="Y920" s="2"/>
      <c r="Z920" s="145">
        <f>IF(AND(Table2[[#This Row],[GameIsOver]]=1,Table2[[#This Row],[ActualHomeScore]]*Table2[[#This Row],[ActualAwayScore]]=0), 1,0)</f>
        <v>0</v>
      </c>
      <c r="AA9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0" s="2">
        <f>Table2[[#This Row],[ActualAwayScore]]-Table2[[#This Row],[PredictedAwayScore]]</f>
        <v>0</v>
      </c>
      <c r="AG920" s="2">
        <f>Table2[[#This Row],[ActualHomeScore]]-Table2[[#This Row],[PredictedHomeScore]]</f>
        <v>0</v>
      </c>
      <c r="AH920" s="2">
        <f t="shared" si="77"/>
        <v>0</v>
      </c>
      <c r="AI920" s="2">
        <f t="shared" si="78"/>
        <v>0</v>
      </c>
      <c r="AJ920" s="2"/>
      <c r="AK920" s="3"/>
      <c r="AL920" s="2">
        <f>IF(Table2[[#This Row],[GameIsOver]]=0,0,IF(Table2[[#This Row],[ActualWinner]]=Table2[[#This Row],[AwayTeam]], 1, 0))</f>
        <v>0</v>
      </c>
      <c r="AM920" s="2">
        <f>IF(Table2[[#This Row],[GameIsOver]]=0,0,IF(Table2[[#This Row],[ActualWinner]]=Table2[[#This Row],[HomeTeam]], 1, 0))</f>
        <v>0</v>
      </c>
      <c r="AN9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0" s="2" t="str">
        <f>INDEX(Sheet5!$B$2:$AG$33, MATCH(Table2[[#This Row],[AwayTeam]],Sheet5!$A$2:$A$33, 0), MATCH(Table2[[#This Row],[HomeTeam]],Sheet5!$A$2:$A$33, 0))</f>
        <v>0-0-0</v>
      </c>
      <c r="AP920" s="2" t="str">
        <f>INDEX(Sheet5!$B$2:$AG$33, MATCH(Table2[[#This Row],[HomeTeam]],Sheet5!$A$2:$A$33, 0), MATCH(Table2[[#This Row],[AwayTeam]],Sheet5!$A$2:$A$33, 0))</f>
        <v>0-0-0</v>
      </c>
      <c r="AQ920" s="2">
        <f>IF(Table2[[#This Row],[GameHasShutOut]], 1, 0)</f>
        <v>0</v>
      </c>
      <c r="AR920" s="2">
        <f>IF(Table2[[#This Row],[ActualAwayScore]] + Table2[[#This Row],[ActualHomeScore]] &gt;= 10, 1, 0)</f>
        <v>0</v>
      </c>
      <c r="AS920" s="2">
        <f>IF(ABS(Table2[[#This Row],[ActualAwayScore]]-Table2[[#This Row],[ActualHomeScore]])&gt;=5, 1, 0)</f>
        <v>0</v>
      </c>
      <c r="AT920" s="2">
        <f>IF(Table2[[#This Row],[ActualAwayScore]] + Table2[[#This Row],[ActualHomeScore]] &lt;= 3, 1, 0)</f>
        <v>1</v>
      </c>
      <c r="AU920" s="2"/>
      <c r="AV920" s="2"/>
    </row>
    <row r="921" spans="1:48" x14ac:dyDescent="0.25">
      <c r="A921" s="3"/>
      <c r="B921" s="3">
        <v>46080</v>
      </c>
      <c r="C921" s="5">
        <v>2025020919</v>
      </c>
      <c r="D921" s="2" t="s">
        <v>32</v>
      </c>
      <c r="E921" s="2" t="s">
        <v>18</v>
      </c>
      <c r="F921" s="2"/>
      <c r="G921" s="2"/>
      <c r="H921" s="2" t="str">
        <f t="shared" si="74"/>
        <v>_</v>
      </c>
      <c r="I921" s="2"/>
      <c r="J921" s="2"/>
      <c r="K921" s="2"/>
      <c r="L921" s="2" t="str">
        <f t="shared" si="75"/>
        <v>_</v>
      </c>
      <c r="M921" s="2"/>
      <c r="N921" s="2">
        <f>IF(ISBLANK(Table2[[#This Row],[ActualResult]]), 0, 1)</f>
        <v>0</v>
      </c>
      <c r="O921" s="2" t="str">
        <f>IF(ISBLANK(Table2[[#This Row],[ActualResult]]), "_", IF(Table2[[#This Row],[ActualWinner]]=Table2[[#This Row],[PredictedWinner]], "Y", "N"))</f>
        <v>_</v>
      </c>
      <c r="P9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1" s="2"/>
      <c r="S921" s="2" t="str">
        <f t="shared" si="76"/>
        <v>_</v>
      </c>
      <c r="T9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1" s="2">
        <f>IF(Table2[[#This Row],[InterConf]]=1,IF(Table2[[#This Row],[InterDiv]]=0, 1, 0), 0)</f>
        <v>1</v>
      </c>
      <c r="W9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1" s="2"/>
      <c r="Y921" s="2"/>
      <c r="Z921" s="145">
        <f>IF(AND(Table2[[#This Row],[GameIsOver]]=1,Table2[[#This Row],[ActualHomeScore]]*Table2[[#This Row],[ActualAwayScore]]=0), 1,0)</f>
        <v>0</v>
      </c>
      <c r="AA9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1" s="2">
        <f>Table2[[#This Row],[ActualAwayScore]]-Table2[[#This Row],[PredictedAwayScore]]</f>
        <v>0</v>
      </c>
      <c r="AG921" s="2">
        <f>Table2[[#This Row],[ActualHomeScore]]-Table2[[#This Row],[PredictedHomeScore]]</f>
        <v>0</v>
      </c>
      <c r="AH921" s="2">
        <f t="shared" si="77"/>
        <v>0</v>
      </c>
      <c r="AI921" s="2">
        <f t="shared" si="78"/>
        <v>0</v>
      </c>
      <c r="AJ921" s="2"/>
      <c r="AK921" s="3"/>
      <c r="AL921" s="2">
        <f>IF(Table2[[#This Row],[GameIsOver]]=0,0,IF(Table2[[#This Row],[ActualWinner]]=Table2[[#This Row],[AwayTeam]], 1, 0))</f>
        <v>0</v>
      </c>
      <c r="AM921" s="2">
        <f>IF(Table2[[#This Row],[GameIsOver]]=0,0,IF(Table2[[#This Row],[ActualWinner]]=Table2[[#This Row],[HomeTeam]], 1, 0))</f>
        <v>0</v>
      </c>
      <c r="AN9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1" s="2" t="str">
        <f>INDEX(Sheet5!$B$2:$AG$33, MATCH(Table2[[#This Row],[AwayTeam]],Sheet5!$A$2:$A$33, 0), MATCH(Table2[[#This Row],[HomeTeam]],Sheet5!$A$2:$A$33, 0))</f>
        <v>0-0-0</v>
      </c>
      <c r="AP921" s="2" t="str">
        <f>INDEX(Sheet5!$B$2:$AG$33, MATCH(Table2[[#This Row],[HomeTeam]],Sheet5!$A$2:$A$33, 0), MATCH(Table2[[#This Row],[AwayTeam]],Sheet5!$A$2:$A$33, 0))</f>
        <v>0-0-0</v>
      </c>
      <c r="AQ921" s="2">
        <f>IF(Table2[[#This Row],[GameHasShutOut]], 1, 0)</f>
        <v>0</v>
      </c>
      <c r="AR921" s="2">
        <f>IF(Table2[[#This Row],[ActualAwayScore]] + Table2[[#This Row],[ActualHomeScore]] &gt;= 10, 1, 0)</f>
        <v>0</v>
      </c>
      <c r="AS921" s="2">
        <f>IF(ABS(Table2[[#This Row],[ActualAwayScore]]-Table2[[#This Row],[ActualHomeScore]])&gt;=5, 1, 0)</f>
        <v>0</v>
      </c>
      <c r="AT921" s="2">
        <f>IF(Table2[[#This Row],[ActualAwayScore]] + Table2[[#This Row],[ActualHomeScore]] &lt;= 3, 1, 0)</f>
        <v>1</v>
      </c>
      <c r="AU921" s="2"/>
      <c r="AV921" s="2"/>
    </row>
    <row r="922" spans="1:48" x14ac:dyDescent="0.25">
      <c r="A922" s="3"/>
      <c r="B922" s="3">
        <v>46080</v>
      </c>
      <c r="C922" s="5">
        <v>2025020920</v>
      </c>
      <c r="D922" s="2" t="s">
        <v>30</v>
      </c>
      <c r="E922" s="2" t="s">
        <v>29</v>
      </c>
      <c r="F922" s="2"/>
      <c r="G922" s="2"/>
      <c r="H922" s="2" t="str">
        <f t="shared" si="74"/>
        <v>_</v>
      </c>
      <c r="I922" s="2"/>
      <c r="J922" s="2"/>
      <c r="K922" s="2"/>
      <c r="L922" s="2" t="str">
        <f t="shared" si="75"/>
        <v>_</v>
      </c>
      <c r="M922" s="2"/>
      <c r="N922" s="2">
        <f>IF(ISBLANK(Table2[[#This Row],[ActualResult]]), 0, 1)</f>
        <v>0</v>
      </c>
      <c r="O922" s="2" t="str">
        <f>IF(ISBLANK(Table2[[#This Row],[ActualResult]]), "_", IF(Table2[[#This Row],[ActualWinner]]=Table2[[#This Row],[PredictedWinner]], "Y", "N"))</f>
        <v>_</v>
      </c>
      <c r="P9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2" s="2"/>
      <c r="S922" s="2" t="str">
        <f t="shared" si="76"/>
        <v>_</v>
      </c>
      <c r="T9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2" s="2">
        <f>IF(Table2[[#This Row],[InterConf]]=1,IF(Table2[[#This Row],[InterDiv]]=0, 1, 0), 0)</f>
        <v>0</v>
      </c>
      <c r="W9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2" s="2"/>
      <c r="Y922" s="2"/>
      <c r="Z922" s="145">
        <f>IF(AND(Table2[[#This Row],[GameIsOver]]=1,Table2[[#This Row],[ActualHomeScore]]*Table2[[#This Row],[ActualAwayScore]]=0), 1,0)</f>
        <v>0</v>
      </c>
      <c r="AA9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2" s="2">
        <f>Table2[[#This Row],[ActualAwayScore]]-Table2[[#This Row],[PredictedAwayScore]]</f>
        <v>0</v>
      </c>
      <c r="AG922" s="2">
        <f>Table2[[#This Row],[ActualHomeScore]]-Table2[[#This Row],[PredictedHomeScore]]</f>
        <v>0</v>
      </c>
      <c r="AH922" s="2">
        <f t="shared" si="77"/>
        <v>0</v>
      </c>
      <c r="AI922" s="2">
        <f t="shared" si="78"/>
        <v>0</v>
      </c>
      <c r="AJ922" s="2"/>
      <c r="AK922" s="3"/>
      <c r="AL922" s="2">
        <f>IF(Table2[[#This Row],[GameIsOver]]=0,0,IF(Table2[[#This Row],[ActualWinner]]=Table2[[#This Row],[AwayTeam]], 1, 0))</f>
        <v>0</v>
      </c>
      <c r="AM922" s="2">
        <f>IF(Table2[[#This Row],[GameIsOver]]=0,0,IF(Table2[[#This Row],[ActualWinner]]=Table2[[#This Row],[HomeTeam]], 1, 0))</f>
        <v>0</v>
      </c>
      <c r="AN9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2" s="2" t="str">
        <f>INDEX(Sheet5!$B$2:$AG$33, MATCH(Table2[[#This Row],[AwayTeam]],Sheet5!$A$2:$A$33, 0), MATCH(Table2[[#This Row],[HomeTeam]],Sheet5!$A$2:$A$33, 0))</f>
        <v>0-0-0</v>
      </c>
      <c r="AP922" s="2" t="str">
        <f>INDEX(Sheet5!$B$2:$AG$33, MATCH(Table2[[#This Row],[HomeTeam]],Sheet5!$A$2:$A$33, 0), MATCH(Table2[[#This Row],[AwayTeam]],Sheet5!$A$2:$A$33, 0))</f>
        <v>0-0-0</v>
      </c>
      <c r="AQ922" s="2">
        <f>IF(Table2[[#This Row],[GameHasShutOut]], 1, 0)</f>
        <v>0</v>
      </c>
      <c r="AR922" s="2">
        <f>IF(Table2[[#This Row],[ActualAwayScore]] + Table2[[#This Row],[ActualHomeScore]] &gt;= 10, 1, 0)</f>
        <v>0</v>
      </c>
      <c r="AS922" s="2">
        <f>IF(ABS(Table2[[#This Row],[ActualAwayScore]]-Table2[[#This Row],[ActualHomeScore]])&gt;=5, 1, 0)</f>
        <v>0</v>
      </c>
      <c r="AT922" s="2">
        <f>IF(Table2[[#This Row],[ActualAwayScore]] + Table2[[#This Row],[ActualHomeScore]] &lt;= 3, 1, 0)</f>
        <v>1</v>
      </c>
      <c r="AU922" s="2"/>
      <c r="AV922" s="2"/>
    </row>
    <row r="923" spans="1:48" x14ac:dyDescent="0.25">
      <c r="A923" s="3"/>
      <c r="B923" s="3">
        <v>46080</v>
      </c>
      <c r="C923" s="5">
        <v>2025020921</v>
      </c>
      <c r="D923" s="2" t="s">
        <v>17</v>
      </c>
      <c r="E923" s="2" t="s">
        <v>13</v>
      </c>
      <c r="F923" s="2"/>
      <c r="G923" s="2"/>
      <c r="H923" s="2" t="str">
        <f t="shared" si="74"/>
        <v>_</v>
      </c>
      <c r="I923" s="2"/>
      <c r="J923" s="2"/>
      <c r="K923" s="2"/>
      <c r="L923" s="2" t="str">
        <f t="shared" si="75"/>
        <v>_</v>
      </c>
      <c r="M923" s="2"/>
      <c r="N923" s="2">
        <f>IF(ISBLANK(Table2[[#This Row],[ActualResult]]), 0, 1)</f>
        <v>0</v>
      </c>
      <c r="O923" s="2" t="str">
        <f>IF(ISBLANK(Table2[[#This Row],[ActualResult]]), "_", IF(Table2[[#This Row],[ActualWinner]]=Table2[[#This Row],[PredictedWinner]], "Y", "N"))</f>
        <v>_</v>
      </c>
      <c r="P9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3" s="2"/>
      <c r="S923" s="2" t="str">
        <f t="shared" si="76"/>
        <v>_</v>
      </c>
      <c r="T9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3" s="2">
        <f>IF(Table2[[#This Row],[InterConf]]=1,IF(Table2[[#This Row],[InterDiv]]=0, 1, 0), 0)</f>
        <v>0</v>
      </c>
      <c r="W9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3" s="2"/>
      <c r="Y923" s="2"/>
      <c r="Z923" s="145">
        <f>IF(AND(Table2[[#This Row],[GameIsOver]]=1,Table2[[#This Row],[ActualHomeScore]]*Table2[[#This Row],[ActualAwayScore]]=0), 1,0)</f>
        <v>0</v>
      </c>
      <c r="AA9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3" s="2">
        <f>Table2[[#This Row],[ActualAwayScore]]-Table2[[#This Row],[PredictedAwayScore]]</f>
        <v>0</v>
      </c>
      <c r="AG923" s="2">
        <f>Table2[[#This Row],[ActualHomeScore]]-Table2[[#This Row],[PredictedHomeScore]]</f>
        <v>0</v>
      </c>
      <c r="AH923" s="2">
        <f t="shared" si="77"/>
        <v>0</v>
      </c>
      <c r="AI923" s="2">
        <f t="shared" si="78"/>
        <v>0</v>
      </c>
      <c r="AJ923" s="2"/>
      <c r="AK923" s="3"/>
      <c r="AL923" s="2">
        <f>IF(Table2[[#This Row],[GameIsOver]]=0,0,IF(Table2[[#This Row],[ActualWinner]]=Table2[[#This Row],[AwayTeam]], 1, 0))</f>
        <v>0</v>
      </c>
      <c r="AM923" s="2">
        <f>IF(Table2[[#This Row],[GameIsOver]]=0,0,IF(Table2[[#This Row],[ActualWinner]]=Table2[[#This Row],[HomeTeam]], 1, 0))</f>
        <v>0</v>
      </c>
      <c r="AN9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3" s="2" t="str">
        <f>INDEX(Sheet5!$B$2:$AG$33, MATCH(Table2[[#This Row],[AwayTeam]],Sheet5!$A$2:$A$33, 0), MATCH(Table2[[#This Row],[HomeTeam]],Sheet5!$A$2:$A$33, 0))</f>
        <v>0-0-0</v>
      </c>
      <c r="AP923" s="2" t="str">
        <f>INDEX(Sheet5!$B$2:$AG$33, MATCH(Table2[[#This Row],[HomeTeam]],Sheet5!$A$2:$A$33, 0), MATCH(Table2[[#This Row],[AwayTeam]],Sheet5!$A$2:$A$33, 0))</f>
        <v>0-0-0</v>
      </c>
      <c r="AQ923" s="2">
        <f>IF(Table2[[#This Row],[GameHasShutOut]], 1, 0)</f>
        <v>0</v>
      </c>
      <c r="AR923" s="2">
        <f>IF(Table2[[#This Row],[ActualAwayScore]] + Table2[[#This Row],[ActualHomeScore]] &gt;= 10, 1, 0)</f>
        <v>0</v>
      </c>
      <c r="AS923" s="2">
        <f>IF(ABS(Table2[[#This Row],[ActualAwayScore]]-Table2[[#This Row],[ActualHomeScore]])&gt;=5, 1, 0)</f>
        <v>0</v>
      </c>
      <c r="AT923" s="2">
        <f>IF(Table2[[#This Row],[ActualAwayScore]] + Table2[[#This Row],[ActualHomeScore]] &lt;= 3, 1, 0)</f>
        <v>1</v>
      </c>
      <c r="AU923" s="2"/>
      <c r="AV923" s="2"/>
    </row>
    <row r="924" spans="1:48" x14ac:dyDescent="0.25">
      <c r="A924" s="3"/>
      <c r="B924" s="3">
        <v>46080</v>
      </c>
      <c r="C924" s="5">
        <v>2025020922</v>
      </c>
      <c r="D924" s="2" t="s">
        <v>31</v>
      </c>
      <c r="E924" s="2" t="s">
        <v>20</v>
      </c>
      <c r="F924" s="2"/>
      <c r="G924" s="2"/>
      <c r="H924" s="2" t="str">
        <f t="shared" si="74"/>
        <v>_</v>
      </c>
      <c r="I924" s="2"/>
      <c r="J924" s="2"/>
      <c r="K924" s="2"/>
      <c r="L924" s="2" t="str">
        <f t="shared" si="75"/>
        <v>_</v>
      </c>
      <c r="M924" s="2"/>
      <c r="N924" s="2">
        <f>IF(ISBLANK(Table2[[#This Row],[ActualResult]]), 0, 1)</f>
        <v>0</v>
      </c>
      <c r="O924" s="2" t="str">
        <f>IF(ISBLANK(Table2[[#This Row],[ActualResult]]), "_", IF(Table2[[#This Row],[ActualWinner]]=Table2[[#This Row],[PredictedWinner]], "Y", "N"))</f>
        <v>_</v>
      </c>
      <c r="P9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4" s="2"/>
      <c r="S924" s="2" t="str">
        <f t="shared" si="76"/>
        <v>_</v>
      </c>
      <c r="T9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4" s="2">
        <f>IF(Table2[[#This Row],[InterConf]]=1,IF(Table2[[#This Row],[InterDiv]]=0, 1, 0), 0)</f>
        <v>0</v>
      </c>
      <c r="W9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4" s="2"/>
      <c r="Y924" s="2"/>
      <c r="Z924" s="145">
        <f>IF(AND(Table2[[#This Row],[GameIsOver]]=1,Table2[[#This Row],[ActualHomeScore]]*Table2[[#This Row],[ActualAwayScore]]=0), 1,0)</f>
        <v>0</v>
      </c>
      <c r="AA9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4" s="2">
        <f>Table2[[#This Row],[ActualAwayScore]]-Table2[[#This Row],[PredictedAwayScore]]</f>
        <v>0</v>
      </c>
      <c r="AG924" s="2">
        <f>Table2[[#This Row],[ActualHomeScore]]-Table2[[#This Row],[PredictedHomeScore]]</f>
        <v>0</v>
      </c>
      <c r="AH924" s="2">
        <f t="shared" si="77"/>
        <v>0</v>
      </c>
      <c r="AI924" s="2">
        <f t="shared" si="78"/>
        <v>0</v>
      </c>
      <c r="AJ924" s="2"/>
      <c r="AK924" s="3"/>
      <c r="AL924" s="2">
        <f>IF(Table2[[#This Row],[GameIsOver]]=0,0,IF(Table2[[#This Row],[ActualWinner]]=Table2[[#This Row],[AwayTeam]], 1, 0))</f>
        <v>0</v>
      </c>
      <c r="AM924" s="2">
        <f>IF(Table2[[#This Row],[GameIsOver]]=0,0,IF(Table2[[#This Row],[ActualWinner]]=Table2[[#This Row],[HomeTeam]], 1, 0))</f>
        <v>0</v>
      </c>
      <c r="AN9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4" s="2" t="str">
        <f>INDEX(Sheet5!$B$2:$AG$33, MATCH(Table2[[#This Row],[AwayTeam]],Sheet5!$A$2:$A$33, 0), MATCH(Table2[[#This Row],[HomeTeam]],Sheet5!$A$2:$A$33, 0))</f>
        <v>0-0-0</v>
      </c>
      <c r="AP924" s="2" t="str">
        <f>INDEX(Sheet5!$B$2:$AG$33, MATCH(Table2[[#This Row],[HomeTeam]],Sheet5!$A$2:$A$33, 0), MATCH(Table2[[#This Row],[AwayTeam]],Sheet5!$A$2:$A$33, 0))</f>
        <v>0-0-0</v>
      </c>
      <c r="AQ924" s="2">
        <f>IF(Table2[[#This Row],[GameHasShutOut]], 1, 0)</f>
        <v>0</v>
      </c>
      <c r="AR924" s="2">
        <f>IF(Table2[[#This Row],[ActualAwayScore]] + Table2[[#This Row],[ActualHomeScore]] &gt;= 10, 1, 0)</f>
        <v>0</v>
      </c>
      <c r="AS924" s="2">
        <f>IF(ABS(Table2[[#This Row],[ActualAwayScore]]-Table2[[#This Row],[ActualHomeScore]])&gt;=5, 1, 0)</f>
        <v>0</v>
      </c>
      <c r="AT924" s="2">
        <f>IF(Table2[[#This Row],[ActualAwayScore]] + Table2[[#This Row],[ActualHomeScore]] &lt;= 3, 1, 0)</f>
        <v>1</v>
      </c>
      <c r="AU924" s="2"/>
      <c r="AV924" s="2"/>
    </row>
    <row r="925" spans="1:48" x14ac:dyDescent="0.25">
      <c r="A925" s="3"/>
      <c r="B925" s="3">
        <v>46080</v>
      </c>
      <c r="C925" s="5">
        <v>2025020923</v>
      </c>
      <c r="D925" s="2" t="s">
        <v>40</v>
      </c>
      <c r="E925" s="2" t="s">
        <v>41</v>
      </c>
      <c r="F925" s="2"/>
      <c r="G925" s="2"/>
      <c r="H925" s="2" t="str">
        <f t="shared" si="74"/>
        <v>_</v>
      </c>
      <c r="I925" s="2"/>
      <c r="J925" s="2"/>
      <c r="K925" s="2"/>
      <c r="L925" s="2" t="str">
        <f t="shared" si="75"/>
        <v>_</v>
      </c>
      <c r="M925" s="2"/>
      <c r="N925" s="2">
        <f>IF(ISBLANK(Table2[[#This Row],[ActualResult]]), 0, 1)</f>
        <v>0</v>
      </c>
      <c r="O925" s="2" t="str">
        <f>IF(ISBLANK(Table2[[#This Row],[ActualResult]]), "_", IF(Table2[[#This Row],[ActualWinner]]=Table2[[#This Row],[PredictedWinner]], "Y", "N"))</f>
        <v>_</v>
      </c>
      <c r="P9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5" s="2"/>
      <c r="S925" s="2" t="str">
        <f t="shared" si="76"/>
        <v>_</v>
      </c>
      <c r="T9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5" s="2">
        <f>IF(Table2[[#This Row],[InterConf]]=1,IF(Table2[[#This Row],[InterDiv]]=0, 1, 0), 0)</f>
        <v>1</v>
      </c>
      <c r="W9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5" s="2"/>
      <c r="Y925" s="2"/>
      <c r="Z925" s="145">
        <f>IF(AND(Table2[[#This Row],[GameIsOver]]=1,Table2[[#This Row],[ActualHomeScore]]*Table2[[#This Row],[ActualAwayScore]]=0), 1,0)</f>
        <v>0</v>
      </c>
      <c r="AA9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5" s="2">
        <f>Table2[[#This Row],[ActualAwayScore]]-Table2[[#This Row],[PredictedAwayScore]]</f>
        <v>0</v>
      </c>
      <c r="AG925" s="2">
        <f>Table2[[#This Row],[ActualHomeScore]]-Table2[[#This Row],[PredictedHomeScore]]</f>
        <v>0</v>
      </c>
      <c r="AH925" s="2">
        <f t="shared" si="77"/>
        <v>0</v>
      </c>
      <c r="AI925" s="2">
        <f t="shared" si="78"/>
        <v>0</v>
      </c>
      <c r="AJ925" s="2"/>
      <c r="AK925" s="3"/>
      <c r="AL925" s="2">
        <f>IF(Table2[[#This Row],[GameIsOver]]=0,0,IF(Table2[[#This Row],[ActualWinner]]=Table2[[#This Row],[AwayTeam]], 1, 0))</f>
        <v>0</v>
      </c>
      <c r="AM925" s="2">
        <f>IF(Table2[[#This Row],[GameIsOver]]=0,0,IF(Table2[[#This Row],[ActualWinner]]=Table2[[#This Row],[HomeTeam]], 1, 0))</f>
        <v>0</v>
      </c>
      <c r="AN9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5" s="2" t="str">
        <f>INDEX(Sheet5!$B$2:$AG$33, MATCH(Table2[[#This Row],[AwayTeam]],Sheet5!$A$2:$A$33, 0), MATCH(Table2[[#This Row],[HomeTeam]],Sheet5!$A$2:$A$33, 0))</f>
        <v>0-0-0</v>
      </c>
      <c r="AP925" s="2" t="str">
        <f>INDEX(Sheet5!$B$2:$AG$33, MATCH(Table2[[#This Row],[HomeTeam]],Sheet5!$A$2:$A$33, 0), MATCH(Table2[[#This Row],[AwayTeam]],Sheet5!$A$2:$A$33, 0))</f>
        <v>0-0-0</v>
      </c>
      <c r="AQ925" s="2">
        <f>IF(Table2[[#This Row],[GameHasShutOut]], 1, 0)</f>
        <v>0</v>
      </c>
      <c r="AR925" s="2">
        <f>IF(Table2[[#This Row],[ActualAwayScore]] + Table2[[#This Row],[ActualHomeScore]] &gt;= 10, 1, 0)</f>
        <v>0</v>
      </c>
      <c r="AS925" s="2">
        <f>IF(ABS(Table2[[#This Row],[ActualAwayScore]]-Table2[[#This Row],[ActualHomeScore]])&gt;=5, 1, 0)</f>
        <v>0</v>
      </c>
      <c r="AT925" s="2">
        <f>IF(Table2[[#This Row],[ActualAwayScore]] + Table2[[#This Row],[ActualHomeScore]] &lt;= 3, 1, 0)</f>
        <v>1</v>
      </c>
      <c r="AU925" s="2"/>
      <c r="AV925" s="2"/>
    </row>
    <row r="926" spans="1:48" x14ac:dyDescent="0.25">
      <c r="A926" s="3"/>
      <c r="B926" s="3">
        <v>46080</v>
      </c>
      <c r="C926" s="5">
        <v>2025020924</v>
      </c>
      <c r="D926" s="2" t="s">
        <v>42</v>
      </c>
      <c r="E926" s="2" t="s">
        <v>19</v>
      </c>
      <c r="F926" s="2"/>
      <c r="G926" s="2"/>
      <c r="H926" s="2" t="str">
        <f t="shared" si="74"/>
        <v>_</v>
      </c>
      <c r="I926" s="2"/>
      <c r="J926" s="2"/>
      <c r="K926" s="2"/>
      <c r="L926" s="2" t="str">
        <f t="shared" si="75"/>
        <v>_</v>
      </c>
      <c r="M926" s="2"/>
      <c r="N926" s="2">
        <f>IF(ISBLANK(Table2[[#This Row],[ActualResult]]), 0, 1)</f>
        <v>0</v>
      </c>
      <c r="O926" s="2" t="str">
        <f>IF(ISBLANK(Table2[[#This Row],[ActualResult]]), "_", IF(Table2[[#This Row],[ActualWinner]]=Table2[[#This Row],[PredictedWinner]], "Y", "N"))</f>
        <v>_</v>
      </c>
      <c r="P9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6" s="2"/>
      <c r="S926" s="2" t="str">
        <f t="shared" si="76"/>
        <v>_</v>
      </c>
      <c r="T9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6" s="2">
        <f>IF(Table2[[#This Row],[InterConf]]=1,IF(Table2[[#This Row],[InterDiv]]=0, 1, 0), 0)</f>
        <v>0</v>
      </c>
      <c r="W9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6" s="2"/>
      <c r="Y926" s="2"/>
      <c r="Z926" s="145">
        <f>IF(AND(Table2[[#This Row],[GameIsOver]]=1,Table2[[#This Row],[ActualHomeScore]]*Table2[[#This Row],[ActualAwayScore]]=0), 1,0)</f>
        <v>0</v>
      </c>
      <c r="AA9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6" s="2">
        <f>Table2[[#This Row],[ActualAwayScore]]-Table2[[#This Row],[PredictedAwayScore]]</f>
        <v>0</v>
      </c>
      <c r="AG926" s="2">
        <f>Table2[[#This Row],[ActualHomeScore]]-Table2[[#This Row],[PredictedHomeScore]]</f>
        <v>0</v>
      </c>
      <c r="AH926" s="2">
        <f t="shared" si="77"/>
        <v>0</v>
      </c>
      <c r="AI926" s="2">
        <f t="shared" si="78"/>
        <v>0</v>
      </c>
      <c r="AJ926" s="2"/>
      <c r="AK926" s="3"/>
      <c r="AL926" s="2">
        <f>IF(Table2[[#This Row],[GameIsOver]]=0,0,IF(Table2[[#This Row],[ActualWinner]]=Table2[[#This Row],[AwayTeam]], 1, 0))</f>
        <v>0</v>
      </c>
      <c r="AM926" s="2">
        <f>IF(Table2[[#This Row],[GameIsOver]]=0,0,IF(Table2[[#This Row],[ActualWinner]]=Table2[[#This Row],[HomeTeam]], 1, 0))</f>
        <v>0</v>
      </c>
      <c r="AN9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6" s="2" t="str">
        <f>INDEX(Sheet5!$B$2:$AG$33, MATCH(Table2[[#This Row],[AwayTeam]],Sheet5!$A$2:$A$33, 0), MATCH(Table2[[#This Row],[HomeTeam]],Sheet5!$A$2:$A$33, 0))</f>
        <v>0-0-0</v>
      </c>
      <c r="AP926" s="2" t="str">
        <f>INDEX(Sheet5!$B$2:$AG$33, MATCH(Table2[[#This Row],[HomeTeam]],Sheet5!$A$2:$A$33, 0), MATCH(Table2[[#This Row],[AwayTeam]],Sheet5!$A$2:$A$33, 0))</f>
        <v>0-0-0</v>
      </c>
      <c r="AQ926" s="2">
        <f>IF(Table2[[#This Row],[GameHasShutOut]], 1, 0)</f>
        <v>0</v>
      </c>
      <c r="AR926" s="2">
        <f>IF(Table2[[#This Row],[ActualAwayScore]] + Table2[[#This Row],[ActualHomeScore]] &gt;= 10, 1, 0)</f>
        <v>0</v>
      </c>
      <c r="AS926" s="2">
        <f>IF(ABS(Table2[[#This Row],[ActualAwayScore]]-Table2[[#This Row],[ActualHomeScore]])&gt;=5, 1, 0)</f>
        <v>0</v>
      </c>
      <c r="AT926" s="2">
        <f>IF(Table2[[#This Row],[ActualAwayScore]] + Table2[[#This Row],[ActualHomeScore]] &lt;= 3, 1, 0)</f>
        <v>1</v>
      </c>
      <c r="AU926" s="2"/>
      <c r="AV926" s="2"/>
    </row>
    <row r="927" spans="1:48" x14ac:dyDescent="0.25">
      <c r="A927" s="3"/>
      <c r="B927" s="3">
        <v>46080</v>
      </c>
      <c r="C927" s="5">
        <v>2025020925</v>
      </c>
      <c r="D927" s="2" t="s">
        <v>11</v>
      </c>
      <c r="E927" s="2" t="s">
        <v>12</v>
      </c>
      <c r="F927" s="2"/>
      <c r="G927" s="2"/>
      <c r="H927" s="2" t="str">
        <f t="shared" si="74"/>
        <v>_</v>
      </c>
      <c r="I927" s="2"/>
      <c r="J927" s="2"/>
      <c r="K927" s="2"/>
      <c r="L927" s="2" t="str">
        <f t="shared" si="75"/>
        <v>_</v>
      </c>
      <c r="M927" s="2"/>
      <c r="N927" s="2">
        <f>IF(ISBLANK(Table2[[#This Row],[ActualResult]]), 0, 1)</f>
        <v>0</v>
      </c>
      <c r="O927" s="2" t="str">
        <f>IF(ISBLANK(Table2[[#This Row],[ActualResult]]), "_", IF(Table2[[#This Row],[ActualWinner]]=Table2[[#This Row],[PredictedWinner]], "Y", "N"))</f>
        <v>_</v>
      </c>
      <c r="P9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7" s="2"/>
      <c r="S927" s="2" t="str">
        <f t="shared" si="76"/>
        <v>_</v>
      </c>
      <c r="T9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7" s="2">
        <f>IF(Table2[[#This Row],[InterConf]]=1,IF(Table2[[#This Row],[InterDiv]]=0, 1, 0), 0)</f>
        <v>1</v>
      </c>
      <c r="W9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7" s="2"/>
      <c r="Y927" s="2"/>
      <c r="Z927" s="145">
        <f>IF(AND(Table2[[#This Row],[GameIsOver]]=1,Table2[[#This Row],[ActualHomeScore]]*Table2[[#This Row],[ActualAwayScore]]=0), 1,0)</f>
        <v>0</v>
      </c>
      <c r="AA9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7" s="2">
        <f>Table2[[#This Row],[ActualAwayScore]]-Table2[[#This Row],[PredictedAwayScore]]</f>
        <v>0</v>
      </c>
      <c r="AG927" s="2">
        <f>Table2[[#This Row],[ActualHomeScore]]-Table2[[#This Row],[PredictedHomeScore]]</f>
        <v>0</v>
      </c>
      <c r="AH927" s="2">
        <f t="shared" si="77"/>
        <v>0</v>
      </c>
      <c r="AI927" s="2">
        <f t="shared" si="78"/>
        <v>0</v>
      </c>
      <c r="AJ927" s="2"/>
      <c r="AK927" s="3"/>
      <c r="AL927" s="2">
        <f>IF(Table2[[#This Row],[GameIsOver]]=0,0,IF(Table2[[#This Row],[ActualWinner]]=Table2[[#This Row],[AwayTeam]], 1, 0))</f>
        <v>0</v>
      </c>
      <c r="AM927" s="2">
        <f>IF(Table2[[#This Row],[GameIsOver]]=0,0,IF(Table2[[#This Row],[ActualWinner]]=Table2[[#This Row],[HomeTeam]], 1, 0))</f>
        <v>0</v>
      </c>
      <c r="AN9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7" s="2" t="str">
        <f>INDEX(Sheet5!$B$2:$AG$33, MATCH(Table2[[#This Row],[AwayTeam]],Sheet5!$A$2:$A$33, 0), MATCH(Table2[[#This Row],[HomeTeam]],Sheet5!$A$2:$A$33, 0))</f>
        <v>0-0-0</v>
      </c>
      <c r="AP927" s="2" t="str">
        <f>INDEX(Sheet5!$B$2:$AG$33, MATCH(Table2[[#This Row],[HomeTeam]],Sheet5!$A$2:$A$33, 0), MATCH(Table2[[#This Row],[AwayTeam]],Sheet5!$A$2:$A$33, 0))</f>
        <v>0-0-0</v>
      </c>
      <c r="AQ927" s="2">
        <f>IF(Table2[[#This Row],[GameHasShutOut]], 1, 0)</f>
        <v>0</v>
      </c>
      <c r="AR927" s="2">
        <f>IF(Table2[[#This Row],[ActualAwayScore]] + Table2[[#This Row],[ActualHomeScore]] &gt;= 10, 1, 0)</f>
        <v>0</v>
      </c>
      <c r="AS927" s="2">
        <f>IF(ABS(Table2[[#This Row],[ActualAwayScore]]-Table2[[#This Row],[ActualHomeScore]])&gt;=5, 1, 0)</f>
        <v>0</v>
      </c>
      <c r="AT927" s="2">
        <f>IF(Table2[[#This Row],[ActualAwayScore]] + Table2[[#This Row],[ActualHomeScore]] &lt;= 3, 1, 0)</f>
        <v>1</v>
      </c>
      <c r="AU927" s="2"/>
      <c r="AV927" s="2"/>
    </row>
    <row r="928" spans="1:48" x14ac:dyDescent="0.25">
      <c r="A928" s="3"/>
      <c r="B928" s="3">
        <v>46080</v>
      </c>
      <c r="C928" s="5">
        <v>2025020926</v>
      </c>
      <c r="D928" s="2" t="s">
        <v>16</v>
      </c>
      <c r="E928" s="2" t="s">
        <v>34</v>
      </c>
      <c r="F928" s="2"/>
      <c r="G928" s="2"/>
      <c r="H928" s="2" t="str">
        <f t="shared" si="74"/>
        <v>_</v>
      </c>
      <c r="I928" s="2"/>
      <c r="J928" s="2"/>
      <c r="K928" s="2"/>
      <c r="L928" s="2" t="str">
        <f t="shared" si="75"/>
        <v>_</v>
      </c>
      <c r="M928" s="2"/>
      <c r="N928" s="2">
        <f>IF(ISBLANK(Table2[[#This Row],[ActualResult]]), 0, 1)</f>
        <v>0</v>
      </c>
      <c r="O928" s="2" t="str">
        <f>IF(ISBLANK(Table2[[#This Row],[ActualResult]]), "_", IF(Table2[[#This Row],[ActualWinner]]=Table2[[#This Row],[PredictedWinner]], "Y", "N"))</f>
        <v>_</v>
      </c>
      <c r="P9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8" s="2"/>
      <c r="S928" s="2" t="str">
        <f t="shared" si="76"/>
        <v>_</v>
      </c>
      <c r="T9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8" s="2">
        <f>IF(Table2[[#This Row],[InterConf]]=1,IF(Table2[[#This Row],[InterDiv]]=0, 1, 0), 0)</f>
        <v>0</v>
      </c>
      <c r="W9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8" s="2"/>
      <c r="Y928" s="2"/>
      <c r="Z928" s="145">
        <f>IF(AND(Table2[[#This Row],[GameIsOver]]=1,Table2[[#This Row],[ActualHomeScore]]*Table2[[#This Row],[ActualAwayScore]]=0), 1,0)</f>
        <v>0</v>
      </c>
      <c r="AA9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8" s="2">
        <f>Table2[[#This Row],[ActualAwayScore]]-Table2[[#This Row],[PredictedAwayScore]]</f>
        <v>0</v>
      </c>
      <c r="AG928" s="2">
        <f>Table2[[#This Row],[ActualHomeScore]]-Table2[[#This Row],[PredictedHomeScore]]</f>
        <v>0</v>
      </c>
      <c r="AH928" s="2">
        <f t="shared" si="77"/>
        <v>0</v>
      </c>
      <c r="AI928" s="2">
        <f t="shared" si="78"/>
        <v>0</v>
      </c>
      <c r="AJ928" s="2"/>
      <c r="AK928" s="3"/>
      <c r="AL928" s="2">
        <f>IF(Table2[[#This Row],[GameIsOver]]=0,0,IF(Table2[[#This Row],[ActualWinner]]=Table2[[#This Row],[AwayTeam]], 1, 0))</f>
        <v>0</v>
      </c>
      <c r="AM928" s="2">
        <f>IF(Table2[[#This Row],[GameIsOver]]=0,0,IF(Table2[[#This Row],[ActualWinner]]=Table2[[#This Row],[HomeTeam]], 1, 0))</f>
        <v>0</v>
      </c>
      <c r="AN9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8" s="2" t="str">
        <f>INDEX(Sheet5!$B$2:$AG$33, MATCH(Table2[[#This Row],[AwayTeam]],Sheet5!$A$2:$A$33, 0), MATCH(Table2[[#This Row],[HomeTeam]],Sheet5!$A$2:$A$33, 0))</f>
        <v>0-0-0</v>
      </c>
      <c r="AP928" s="2" t="str">
        <f>INDEX(Sheet5!$B$2:$AG$33, MATCH(Table2[[#This Row],[HomeTeam]],Sheet5!$A$2:$A$33, 0), MATCH(Table2[[#This Row],[AwayTeam]],Sheet5!$A$2:$A$33, 0))</f>
        <v>0-0-0</v>
      </c>
      <c r="AQ928" s="2">
        <f>IF(Table2[[#This Row],[GameHasShutOut]], 1, 0)</f>
        <v>0</v>
      </c>
      <c r="AR928" s="2">
        <f>IF(Table2[[#This Row],[ActualAwayScore]] + Table2[[#This Row],[ActualHomeScore]] &gt;= 10, 1, 0)</f>
        <v>0</v>
      </c>
      <c r="AS928" s="2">
        <f>IF(ABS(Table2[[#This Row],[ActualAwayScore]]-Table2[[#This Row],[ActualHomeScore]])&gt;=5, 1, 0)</f>
        <v>0</v>
      </c>
      <c r="AT928" s="2">
        <f>IF(Table2[[#This Row],[ActualAwayScore]] + Table2[[#This Row],[ActualHomeScore]] &lt;= 3, 1, 0)</f>
        <v>1</v>
      </c>
      <c r="AU928" s="2"/>
      <c r="AV928" s="2"/>
    </row>
    <row r="929" spans="1:48" x14ac:dyDescent="0.25">
      <c r="A929" s="3"/>
      <c r="B929" s="3">
        <v>46080</v>
      </c>
      <c r="C929" s="5">
        <v>2025020927</v>
      </c>
      <c r="D929" s="2" t="s">
        <v>36</v>
      </c>
      <c r="E929" s="2" t="s">
        <v>25</v>
      </c>
      <c r="F929" s="2"/>
      <c r="G929" s="2"/>
      <c r="H929" s="2" t="str">
        <f t="shared" si="74"/>
        <v>_</v>
      </c>
      <c r="I929" s="2"/>
      <c r="J929" s="2"/>
      <c r="K929" s="2"/>
      <c r="L929" s="2" t="str">
        <f t="shared" si="75"/>
        <v>_</v>
      </c>
      <c r="M929" s="2"/>
      <c r="N929" s="2">
        <f>IF(ISBLANK(Table2[[#This Row],[ActualResult]]), 0, 1)</f>
        <v>0</v>
      </c>
      <c r="O929" s="2" t="str">
        <f>IF(ISBLANK(Table2[[#This Row],[ActualResult]]), "_", IF(Table2[[#This Row],[ActualWinner]]=Table2[[#This Row],[PredictedWinner]], "Y", "N"))</f>
        <v>_</v>
      </c>
      <c r="P9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9" s="2"/>
      <c r="S929" s="2" t="str">
        <f t="shared" si="76"/>
        <v>_</v>
      </c>
      <c r="T9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9" s="2">
        <f>IF(Table2[[#This Row],[InterConf]]=1,IF(Table2[[#This Row],[InterDiv]]=0, 1, 0), 0)</f>
        <v>0</v>
      </c>
      <c r="W9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9" s="2"/>
      <c r="Y929" s="2"/>
      <c r="Z929" s="145">
        <f>IF(AND(Table2[[#This Row],[GameIsOver]]=1,Table2[[#This Row],[ActualHomeScore]]*Table2[[#This Row],[ActualAwayScore]]=0), 1,0)</f>
        <v>0</v>
      </c>
      <c r="AA9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9" s="2">
        <f>Table2[[#This Row],[ActualAwayScore]]-Table2[[#This Row],[PredictedAwayScore]]</f>
        <v>0</v>
      </c>
      <c r="AG929" s="2">
        <f>Table2[[#This Row],[ActualHomeScore]]-Table2[[#This Row],[PredictedHomeScore]]</f>
        <v>0</v>
      </c>
      <c r="AH929" s="2">
        <f t="shared" si="77"/>
        <v>0</v>
      </c>
      <c r="AI929" s="2">
        <f t="shared" si="78"/>
        <v>0</v>
      </c>
      <c r="AJ929" s="2"/>
      <c r="AK929" s="3"/>
      <c r="AL929" s="2">
        <f>IF(Table2[[#This Row],[GameIsOver]]=0,0,IF(Table2[[#This Row],[ActualWinner]]=Table2[[#This Row],[AwayTeam]], 1, 0))</f>
        <v>0</v>
      </c>
      <c r="AM929" s="2">
        <f>IF(Table2[[#This Row],[GameIsOver]]=0,0,IF(Table2[[#This Row],[ActualWinner]]=Table2[[#This Row],[HomeTeam]], 1, 0))</f>
        <v>0</v>
      </c>
      <c r="AN9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9" s="2" t="str">
        <f>INDEX(Sheet5!$B$2:$AG$33, MATCH(Table2[[#This Row],[AwayTeam]],Sheet5!$A$2:$A$33, 0), MATCH(Table2[[#This Row],[HomeTeam]],Sheet5!$A$2:$A$33, 0))</f>
        <v>0-0-0</v>
      </c>
      <c r="AP929" s="2" t="str">
        <f>INDEX(Sheet5!$B$2:$AG$33, MATCH(Table2[[#This Row],[HomeTeam]],Sheet5!$A$2:$A$33, 0), MATCH(Table2[[#This Row],[AwayTeam]],Sheet5!$A$2:$A$33, 0))</f>
        <v>0-0-0</v>
      </c>
      <c r="AQ929" s="2">
        <f>IF(Table2[[#This Row],[GameHasShutOut]], 1, 0)</f>
        <v>0</v>
      </c>
      <c r="AR929" s="2">
        <f>IF(Table2[[#This Row],[ActualAwayScore]] + Table2[[#This Row],[ActualHomeScore]] &gt;= 10, 1, 0)</f>
        <v>0</v>
      </c>
      <c r="AS929" s="2">
        <f>IF(ABS(Table2[[#This Row],[ActualAwayScore]]-Table2[[#This Row],[ActualHomeScore]])&gt;=5, 1, 0)</f>
        <v>0</v>
      </c>
      <c r="AT929" s="2">
        <f>IF(Table2[[#This Row],[ActualAwayScore]] + Table2[[#This Row],[ActualHomeScore]] &lt;= 3, 1, 0)</f>
        <v>1</v>
      </c>
      <c r="AU929" s="2"/>
      <c r="AV929" s="2"/>
    </row>
    <row r="930" spans="1:48" x14ac:dyDescent="0.25">
      <c r="A930" s="3"/>
      <c r="B930" s="3">
        <v>46080</v>
      </c>
      <c r="C930" s="5">
        <v>2025020928</v>
      </c>
      <c r="D930" s="2" t="s">
        <v>23</v>
      </c>
      <c r="E930" s="2" t="s">
        <v>37</v>
      </c>
      <c r="F930" s="2"/>
      <c r="G930" s="2"/>
      <c r="H930" s="2" t="str">
        <f t="shared" si="74"/>
        <v>_</v>
      </c>
      <c r="I930" s="2"/>
      <c r="J930" s="2"/>
      <c r="K930" s="2"/>
      <c r="L930" s="2" t="str">
        <f t="shared" si="75"/>
        <v>_</v>
      </c>
      <c r="M930" s="2"/>
      <c r="N930" s="2">
        <f>IF(ISBLANK(Table2[[#This Row],[ActualResult]]), 0, 1)</f>
        <v>0</v>
      </c>
      <c r="O930" s="2" t="str">
        <f>IF(ISBLANK(Table2[[#This Row],[ActualResult]]), "_", IF(Table2[[#This Row],[ActualWinner]]=Table2[[#This Row],[PredictedWinner]], "Y", "N"))</f>
        <v>_</v>
      </c>
      <c r="P9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0" s="2"/>
      <c r="S930" s="2" t="str">
        <f t="shared" si="76"/>
        <v>_</v>
      </c>
      <c r="T9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0" s="2">
        <f>IF(Table2[[#This Row],[InterConf]]=1,IF(Table2[[#This Row],[InterDiv]]=0, 1, 0), 0)</f>
        <v>0</v>
      </c>
      <c r="W9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0" s="2"/>
      <c r="Y930" s="2"/>
      <c r="Z930" s="145">
        <f>IF(AND(Table2[[#This Row],[GameIsOver]]=1,Table2[[#This Row],[ActualHomeScore]]*Table2[[#This Row],[ActualAwayScore]]=0), 1,0)</f>
        <v>0</v>
      </c>
      <c r="AA9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30" s="2">
        <f>Table2[[#This Row],[ActualAwayScore]]-Table2[[#This Row],[PredictedAwayScore]]</f>
        <v>0</v>
      </c>
      <c r="AG930" s="2">
        <f>Table2[[#This Row],[ActualHomeScore]]-Table2[[#This Row],[PredictedHomeScore]]</f>
        <v>0</v>
      </c>
      <c r="AH930" s="2">
        <f t="shared" si="77"/>
        <v>0</v>
      </c>
      <c r="AI930" s="2">
        <f t="shared" si="78"/>
        <v>0</v>
      </c>
      <c r="AJ930" s="2"/>
      <c r="AK930" s="3"/>
      <c r="AL930" s="2">
        <f>IF(Table2[[#This Row],[GameIsOver]]=0,0,IF(Table2[[#This Row],[ActualWinner]]=Table2[[#This Row],[AwayTeam]], 1, 0))</f>
        <v>0</v>
      </c>
      <c r="AM930" s="2">
        <f>IF(Table2[[#This Row],[GameIsOver]]=0,0,IF(Table2[[#This Row],[ActualWinner]]=Table2[[#This Row],[HomeTeam]], 1, 0))</f>
        <v>0</v>
      </c>
      <c r="AN9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0" s="2" t="str">
        <f>INDEX(Sheet5!$B$2:$AG$33, MATCH(Table2[[#This Row],[AwayTeam]],Sheet5!$A$2:$A$33, 0), MATCH(Table2[[#This Row],[HomeTeam]],Sheet5!$A$2:$A$33, 0))</f>
        <v>0-0-0</v>
      </c>
      <c r="AP930" s="2" t="str">
        <f>INDEX(Sheet5!$B$2:$AG$33, MATCH(Table2[[#This Row],[HomeTeam]],Sheet5!$A$2:$A$33, 0), MATCH(Table2[[#This Row],[AwayTeam]],Sheet5!$A$2:$A$33, 0))</f>
        <v>0-0-0</v>
      </c>
      <c r="AQ930" s="2">
        <f>IF(Table2[[#This Row],[GameHasShutOut]], 1, 0)</f>
        <v>0</v>
      </c>
      <c r="AR930" s="2">
        <f>IF(Table2[[#This Row],[ActualAwayScore]] + Table2[[#This Row],[ActualHomeScore]] &gt;= 10, 1, 0)</f>
        <v>0</v>
      </c>
      <c r="AS930" s="2">
        <f>IF(ABS(Table2[[#This Row],[ActualAwayScore]]-Table2[[#This Row],[ActualHomeScore]])&gt;=5, 1, 0)</f>
        <v>0</v>
      </c>
      <c r="AT930" s="2">
        <f>IF(Table2[[#This Row],[ActualAwayScore]] + Table2[[#This Row],[ActualHomeScore]] &lt;= 3, 1, 0)</f>
        <v>1</v>
      </c>
      <c r="AU930" s="2"/>
      <c r="AV930" s="2"/>
    </row>
    <row r="931" spans="1:48" x14ac:dyDescent="0.25">
      <c r="A931" s="3"/>
      <c r="B931" s="3">
        <v>46080</v>
      </c>
      <c r="C931" s="5">
        <v>2025020929</v>
      </c>
      <c r="D931" s="2" t="s">
        <v>22</v>
      </c>
      <c r="E931" s="2" t="s">
        <v>27</v>
      </c>
      <c r="F931" s="2"/>
      <c r="G931" s="2"/>
      <c r="H931" s="2" t="str">
        <f t="shared" si="74"/>
        <v>_</v>
      </c>
      <c r="I931" s="2"/>
      <c r="J931" s="2"/>
      <c r="K931" s="2"/>
      <c r="L931" s="2" t="str">
        <f t="shared" si="75"/>
        <v>_</v>
      </c>
      <c r="M931" s="2"/>
      <c r="N931" s="2">
        <f>IF(ISBLANK(Table2[[#This Row],[ActualResult]]), 0, 1)</f>
        <v>0</v>
      </c>
      <c r="O931" s="2" t="str">
        <f>IF(ISBLANK(Table2[[#This Row],[ActualResult]]), "_", IF(Table2[[#This Row],[ActualWinner]]=Table2[[#This Row],[PredictedWinner]], "Y", "N"))</f>
        <v>_</v>
      </c>
      <c r="P9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1" s="2"/>
      <c r="S931" s="2" t="str">
        <f t="shared" si="76"/>
        <v>_</v>
      </c>
      <c r="T9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1" s="2">
        <f>IF(Table2[[#This Row],[InterConf]]=1,IF(Table2[[#This Row],[InterDiv]]=0, 1, 0), 0)</f>
        <v>0</v>
      </c>
      <c r="W9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1" s="2"/>
      <c r="Y931" s="2"/>
      <c r="Z931" s="145">
        <f>IF(AND(Table2[[#This Row],[GameIsOver]]=1,Table2[[#This Row],[ActualHomeScore]]*Table2[[#This Row],[ActualAwayScore]]=0), 1,0)</f>
        <v>0</v>
      </c>
      <c r="AA9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31" s="2">
        <f>Table2[[#This Row],[ActualAwayScore]]-Table2[[#This Row],[PredictedAwayScore]]</f>
        <v>0</v>
      </c>
      <c r="AG931" s="2">
        <f>Table2[[#This Row],[ActualHomeScore]]-Table2[[#This Row],[PredictedHomeScore]]</f>
        <v>0</v>
      </c>
      <c r="AH931" s="2">
        <f t="shared" si="77"/>
        <v>0</v>
      </c>
      <c r="AI931" s="2">
        <f t="shared" si="78"/>
        <v>0</v>
      </c>
      <c r="AJ931" s="2"/>
      <c r="AK931" s="3"/>
      <c r="AL931" s="2">
        <f>IF(Table2[[#This Row],[GameIsOver]]=0,0,IF(Table2[[#This Row],[ActualWinner]]=Table2[[#This Row],[AwayTeam]], 1, 0))</f>
        <v>0</v>
      </c>
      <c r="AM931" s="2">
        <f>IF(Table2[[#This Row],[GameIsOver]]=0,0,IF(Table2[[#This Row],[ActualWinner]]=Table2[[#This Row],[HomeTeam]], 1, 0))</f>
        <v>0</v>
      </c>
      <c r="AN931" s="2">
        <f>IF(IFERROR(FIND(Table2[[#This Row],[AwayTeam]], _xlfn.TEXTJOIN(";", 1, $BD$31:$BD$40)), 0) &gt; 0, 1, 0) + IF(IFERROR(FIND(Table2[[#This Row],[HomeTeam]], _xlfn.TEXTJOIN(";", 1, $BD$31:$BD$40)), 0) &gt; 0, 1, 0)</f>
        <v>1</v>
      </c>
      <c r="AO931" s="2" t="str">
        <f>INDEX(Sheet5!$B$2:$AG$33, MATCH(Table2[[#This Row],[AwayTeam]],Sheet5!$A$2:$A$33, 0), MATCH(Table2[[#This Row],[HomeTeam]],Sheet5!$A$2:$A$33, 0))</f>
        <v>0-0-0</v>
      </c>
      <c r="AP931" s="2" t="str">
        <f>INDEX(Sheet5!$B$2:$AG$33, MATCH(Table2[[#This Row],[HomeTeam]],Sheet5!$A$2:$A$33, 0), MATCH(Table2[[#This Row],[AwayTeam]],Sheet5!$A$2:$A$33, 0))</f>
        <v>0-0-0</v>
      </c>
      <c r="AQ931" s="2">
        <f>IF(Table2[[#This Row],[GameHasShutOut]], 1, 0)</f>
        <v>0</v>
      </c>
      <c r="AR931" s="2">
        <f>IF(Table2[[#This Row],[ActualAwayScore]] + Table2[[#This Row],[ActualHomeScore]] &gt;= 10, 1, 0)</f>
        <v>0</v>
      </c>
      <c r="AS931" s="2">
        <f>IF(ABS(Table2[[#This Row],[ActualAwayScore]]-Table2[[#This Row],[ActualHomeScore]])&gt;=5, 1, 0)</f>
        <v>0</v>
      </c>
      <c r="AT931" s="2">
        <f>IF(Table2[[#This Row],[ActualAwayScore]] + Table2[[#This Row],[ActualHomeScore]] &lt;= 3, 1, 0)</f>
        <v>1</v>
      </c>
      <c r="AU931" s="2"/>
      <c r="AV931" s="2"/>
    </row>
    <row r="932" spans="1:48" x14ac:dyDescent="0.25">
      <c r="A932" s="3"/>
      <c r="B932" s="3">
        <v>46081</v>
      </c>
      <c r="C932" s="5">
        <v>2025020930</v>
      </c>
      <c r="D932" s="2" t="s">
        <v>28</v>
      </c>
      <c r="E932" s="2" t="s">
        <v>13</v>
      </c>
      <c r="F932" s="2"/>
      <c r="G932" s="2"/>
      <c r="H932" s="2" t="str">
        <f t="shared" si="74"/>
        <v>_</v>
      </c>
      <c r="I932" s="2"/>
      <c r="J932" s="2"/>
      <c r="K932" s="2"/>
      <c r="L932" s="2" t="str">
        <f t="shared" si="75"/>
        <v>_</v>
      </c>
      <c r="M932" s="2"/>
      <c r="N932" s="2">
        <f>IF(ISBLANK(Table2[[#This Row],[ActualResult]]), 0, 1)</f>
        <v>0</v>
      </c>
      <c r="O932" s="2" t="str">
        <f>IF(ISBLANK(Table2[[#This Row],[ActualResult]]), "_", IF(Table2[[#This Row],[ActualWinner]]=Table2[[#This Row],[PredictedWinner]], "Y", "N"))</f>
        <v>_</v>
      </c>
      <c r="P9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2" s="2"/>
      <c r="S932" s="2" t="str">
        <f t="shared" si="76"/>
        <v>_</v>
      </c>
      <c r="T9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2" s="2">
        <f>IF(Table2[[#This Row],[InterConf]]=1,IF(Table2[[#This Row],[InterDiv]]=0, 1, 0), 0)</f>
        <v>0</v>
      </c>
      <c r="W9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2" s="2"/>
      <c r="Y932" s="2"/>
      <c r="Z932" s="145">
        <f>IF(AND(Table2[[#This Row],[GameIsOver]]=1,Table2[[#This Row],[ActualHomeScore]]*Table2[[#This Row],[ActualAwayScore]]=0), 1,0)</f>
        <v>0</v>
      </c>
      <c r="AA9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2" s="2">
        <f>Table2[[#This Row],[ActualAwayScore]]-Table2[[#This Row],[PredictedAwayScore]]</f>
        <v>0</v>
      </c>
      <c r="AG932" s="2">
        <f>Table2[[#This Row],[ActualHomeScore]]-Table2[[#This Row],[PredictedHomeScore]]</f>
        <v>0</v>
      </c>
      <c r="AH932" s="2">
        <f t="shared" si="77"/>
        <v>0</v>
      </c>
      <c r="AI932" s="2">
        <f t="shared" si="78"/>
        <v>0</v>
      </c>
      <c r="AJ932" s="2"/>
      <c r="AK932" s="3"/>
      <c r="AL932" s="2">
        <f>IF(Table2[[#This Row],[GameIsOver]]=0,0,IF(Table2[[#This Row],[ActualWinner]]=Table2[[#This Row],[AwayTeam]], 1, 0))</f>
        <v>0</v>
      </c>
      <c r="AM932" s="2">
        <f>IF(Table2[[#This Row],[GameIsOver]]=0,0,IF(Table2[[#This Row],[ActualWinner]]=Table2[[#This Row],[HomeTeam]], 1, 0))</f>
        <v>0</v>
      </c>
      <c r="AN9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2" s="2" t="str">
        <f>INDEX(Sheet5!$B$2:$AG$33, MATCH(Table2[[#This Row],[AwayTeam]],Sheet5!$A$2:$A$33, 0), MATCH(Table2[[#This Row],[HomeTeam]],Sheet5!$A$2:$A$33, 0))</f>
        <v>1-0-0</v>
      </c>
      <c r="AP932" s="2" t="str">
        <f>INDEX(Sheet5!$B$2:$AG$33, MATCH(Table2[[#This Row],[HomeTeam]],Sheet5!$A$2:$A$33, 0), MATCH(Table2[[#This Row],[AwayTeam]],Sheet5!$A$2:$A$33, 0))</f>
        <v>0-1-0</v>
      </c>
      <c r="AQ932" s="2">
        <f>IF(Table2[[#This Row],[GameHasShutOut]], 1, 0)</f>
        <v>0</v>
      </c>
      <c r="AR932" s="2">
        <f>IF(Table2[[#This Row],[ActualAwayScore]] + Table2[[#This Row],[ActualHomeScore]] &gt;= 10, 1, 0)</f>
        <v>0</v>
      </c>
      <c r="AS932" s="2">
        <f>IF(ABS(Table2[[#This Row],[ActualAwayScore]]-Table2[[#This Row],[ActualHomeScore]])&gt;=5, 1, 0)</f>
        <v>0</v>
      </c>
      <c r="AT932" s="2">
        <f>IF(Table2[[#This Row],[ActualAwayScore]] + Table2[[#This Row],[ActualHomeScore]] &lt;= 3, 1, 0)</f>
        <v>1</v>
      </c>
      <c r="AU932" s="2"/>
      <c r="AV932" s="2"/>
    </row>
    <row r="933" spans="1:48" x14ac:dyDescent="0.25">
      <c r="A933" s="3"/>
      <c r="B933" s="3">
        <v>46081</v>
      </c>
      <c r="C933" s="5">
        <v>2025020931</v>
      </c>
      <c r="D933" s="2" t="s">
        <v>26</v>
      </c>
      <c r="E933" s="2" t="s">
        <v>43</v>
      </c>
      <c r="F933" s="2"/>
      <c r="G933" s="2"/>
      <c r="H933" s="2" t="str">
        <f t="shared" si="74"/>
        <v>_</v>
      </c>
      <c r="I933" s="2"/>
      <c r="J933" s="2"/>
      <c r="K933" s="2"/>
      <c r="L933" s="2" t="str">
        <f t="shared" si="75"/>
        <v>_</v>
      </c>
      <c r="M933" s="2"/>
      <c r="N933" s="2">
        <f>IF(ISBLANK(Table2[[#This Row],[ActualResult]]), 0, 1)</f>
        <v>0</v>
      </c>
      <c r="O933" s="2" t="str">
        <f>IF(ISBLANK(Table2[[#This Row],[ActualResult]]), "_", IF(Table2[[#This Row],[ActualWinner]]=Table2[[#This Row],[PredictedWinner]], "Y", "N"))</f>
        <v>_</v>
      </c>
      <c r="P9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3" s="2"/>
      <c r="S933" s="2" t="str">
        <f t="shared" si="76"/>
        <v>_</v>
      </c>
      <c r="T9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3" s="2">
        <f>IF(Table2[[#This Row],[InterConf]]=1,IF(Table2[[#This Row],[InterDiv]]=0, 1, 0), 0)</f>
        <v>0</v>
      </c>
      <c r="W9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33" s="2"/>
      <c r="Y933" s="2"/>
      <c r="Z933" s="145">
        <f>IF(AND(Table2[[#This Row],[GameIsOver]]=1,Table2[[#This Row],[ActualHomeScore]]*Table2[[#This Row],[ActualAwayScore]]=0), 1,0)</f>
        <v>0</v>
      </c>
      <c r="AA9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3" s="2">
        <f>Table2[[#This Row],[ActualAwayScore]]-Table2[[#This Row],[PredictedAwayScore]]</f>
        <v>0</v>
      </c>
      <c r="AG933" s="2">
        <f>Table2[[#This Row],[ActualHomeScore]]-Table2[[#This Row],[PredictedHomeScore]]</f>
        <v>0</v>
      </c>
      <c r="AH933" s="2">
        <f t="shared" si="77"/>
        <v>0</v>
      </c>
      <c r="AI933" s="2">
        <f t="shared" si="78"/>
        <v>0</v>
      </c>
      <c r="AJ933" s="2"/>
      <c r="AK933" s="3"/>
      <c r="AL933" s="2">
        <f>IF(Table2[[#This Row],[GameIsOver]]=0,0,IF(Table2[[#This Row],[ActualWinner]]=Table2[[#This Row],[AwayTeam]], 1, 0))</f>
        <v>0</v>
      </c>
      <c r="AM933" s="2">
        <f>IF(Table2[[#This Row],[GameIsOver]]=0,0,IF(Table2[[#This Row],[ActualWinner]]=Table2[[#This Row],[HomeTeam]], 1, 0))</f>
        <v>0</v>
      </c>
      <c r="AN9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3" s="2" t="str">
        <f>INDEX(Sheet5!$B$2:$AG$33, MATCH(Table2[[#This Row],[AwayTeam]],Sheet5!$A$2:$A$33, 0), MATCH(Table2[[#This Row],[HomeTeam]],Sheet5!$A$2:$A$33, 0))</f>
        <v>0-0-0</v>
      </c>
      <c r="AP933" s="2" t="str">
        <f>INDEX(Sheet5!$B$2:$AG$33, MATCH(Table2[[#This Row],[HomeTeam]],Sheet5!$A$2:$A$33, 0), MATCH(Table2[[#This Row],[AwayTeam]],Sheet5!$A$2:$A$33, 0))</f>
        <v>0-0-0</v>
      </c>
      <c r="AQ933" s="2">
        <f>IF(Table2[[#This Row],[GameHasShutOut]], 1, 0)</f>
        <v>0</v>
      </c>
      <c r="AR933" s="2">
        <f>IF(Table2[[#This Row],[ActualAwayScore]] + Table2[[#This Row],[ActualHomeScore]] &gt;= 10, 1, 0)</f>
        <v>0</v>
      </c>
      <c r="AS933" s="2">
        <f>IF(ABS(Table2[[#This Row],[ActualAwayScore]]-Table2[[#This Row],[ActualHomeScore]])&gt;=5, 1, 0)</f>
        <v>0</v>
      </c>
      <c r="AT933" s="2">
        <f>IF(Table2[[#This Row],[ActualAwayScore]] + Table2[[#This Row],[ActualHomeScore]] &lt;= 3, 1, 0)</f>
        <v>1</v>
      </c>
      <c r="AU933" s="2"/>
      <c r="AV933" s="2"/>
    </row>
    <row r="934" spans="1:48" x14ac:dyDescent="0.25">
      <c r="A934" s="3"/>
      <c r="B934" s="3">
        <v>46081</v>
      </c>
      <c r="C934" s="5">
        <v>2025020932</v>
      </c>
      <c r="D934" s="2" t="s">
        <v>36</v>
      </c>
      <c r="E934" s="2" t="s">
        <v>14</v>
      </c>
      <c r="F934" s="2"/>
      <c r="G934" s="2"/>
      <c r="H934" s="2" t="str">
        <f t="shared" si="74"/>
        <v>_</v>
      </c>
      <c r="I934" s="2"/>
      <c r="J934" s="2"/>
      <c r="K934" s="2"/>
      <c r="L934" s="2" t="str">
        <f t="shared" si="75"/>
        <v>_</v>
      </c>
      <c r="M934" s="2"/>
      <c r="N934" s="2">
        <f>IF(ISBLANK(Table2[[#This Row],[ActualResult]]), 0, 1)</f>
        <v>0</v>
      </c>
      <c r="O934" s="2" t="str">
        <f>IF(ISBLANK(Table2[[#This Row],[ActualResult]]), "_", IF(Table2[[#This Row],[ActualWinner]]=Table2[[#This Row],[PredictedWinner]], "Y", "N"))</f>
        <v>_</v>
      </c>
      <c r="P9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4" s="2"/>
      <c r="S934" s="2" t="str">
        <f t="shared" si="76"/>
        <v>_</v>
      </c>
      <c r="T9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4" s="2">
        <f>IF(Table2[[#This Row],[InterConf]]=1,IF(Table2[[#This Row],[InterDiv]]=0, 1, 0), 0)</f>
        <v>0</v>
      </c>
      <c r="W9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4" s="2"/>
      <c r="Y934" s="2"/>
      <c r="Z934" s="145">
        <f>IF(AND(Table2[[#This Row],[GameIsOver]]=1,Table2[[#This Row],[ActualHomeScore]]*Table2[[#This Row],[ActualAwayScore]]=0), 1,0)</f>
        <v>0</v>
      </c>
      <c r="AA9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4" s="2">
        <f>Table2[[#This Row],[ActualAwayScore]]-Table2[[#This Row],[PredictedAwayScore]]</f>
        <v>0</v>
      </c>
      <c r="AG934" s="2">
        <f>Table2[[#This Row],[ActualHomeScore]]-Table2[[#This Row],[PredictedHomeScore]]</f>
        <v>0</v>
      </c>
      <c r="AH934" s="2">
        <f t="shared" si="77"/>
        <v>0</v>
      </c>
      <c r="AI934" s="2">
        <f t="shared" si="78"/>
        <v>0</v>
      </c>
      <c r="AJ934" s="2"/>
      <c r="AK934" s="3"/>
      <c r="AL934" s="2">
        <f>IF(Table2[[#This Row],[GameIsOver]]=0,0,IF(Table2[[#This Row],[ActualWinner]]=Table2[[#This Row],[AwayTeam]], 1, 0))</f>
        <v>0</v>
      </c>
      <c r="AM934" s="2">
        <f>IF(Table2[[#This Row],[GameIsOver]]=0,0,IF(Table2[[#This Row],[ActualWinner]]=Table2[[#This Row],[HomeTeam]], 1, 0))</f>
        <v>0</v>
      </c>
      <c r="AN9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4" s="2" t="str">
        <f>INDEX(Sheet5!$B$2:$AG$33, MATCH(Table2[[#This Row],[AwayTeam]],Sheet5!$A$2:$A$33, 0), MATCH(Table2[[#This Row],[HomeTeam]],Sheet5!$A$2:$A$33, 0))</f>
        <v>0-0-0</v>
      </c>
      <c r="AP934" s="2" t="str">
        <f>INDEX(Sheet5!$B$2:$AG$33, MATCH(Table2[[#This Row],[HomeTeam]],Sheet5!$A$2:$A$33, 0), MATCH(Table2[[#This Row],[AwayTeam]],Sheet5!$A$2:$A$33, 0))</f>
        <v>0-0-0</v>
      </c>
      <c r="AQ934" s="2">
        <f>IF(Table2[[#This Row],[GameHasShutOut]], 1, 0)</f>
        <v>0</v>
      </c>
      <c r="AR934" s="2">
        <f>IF(Table2[[#This Row],[ActualAwayScore]] + Table2[[#This Row],[ActualHomeScore]] &gt;= 10, 1, 0)</f>
        <v>0</v>
      </c>
      <c r="AS934" s="2">
        <f>IF(ABS(Table2[[#This Row],[ActualAwayScore]]-Table2[[#This Row],[ActualHomeScore]])&gt;=5, 1, 0)</f>
        <v>0</v>
      </c>
      <c r="AT934" s="2">
        <f>IF(Table2[[#This Row],[ActualAwayScore]] + Table2[[#This Row],[ActualHomeScore]] &lt;= 3, 1, 0)</f>
        <v>1</v>
      </c>
      <c r="AU934" s="2"/>
      <c r="AV934" s="2"/>
    </row>
    <row r="935" spans="1:48" x14ac:dyDescent="0.25">
      <c r="A935" s="3"/>
      <c r="B935" s="3">
        <v>46081</v>
      </c>
      <c r="C935" s="5">
        <v>2025020933</v>
      </c>
      <c r="D935" s="2" t="s">
        <v>21</v>
      </c>
      <c r="E935" s="2" t="s">
        <v>44</v>
      </c>
      <c r="F935" s="2"/>
      <c r="G935" s="2"/>
      <c r="H935" s="2" t="str">
        <f t="shared" si="74"/>
        <v>_</v>
      </c>
      <c r="I935" s="2"/>
      <c r="J935" s="2"/>
      <c r="K935" s="2"/>
      <c r="L935" s="2" t="str">
        <f t="shared" si="75"/>
        <v>_</v>
      </c>
      <c r="M935" s="2"/>
      <c r="N935" s="2">
        <f>IF(ISBLANK(Table2[[#This Row],[ActualResult]]), 0, 1)</f>
        <v>0</v>
      </c>
      <c r="O935" s="2" t="str">
        <f>IF(ISBLANK(Table2[[#This Row],[ActualResult]]), "_", IF(Table2[[#This Row],[ActualWinner]]=Table2[[#This Row],[PredictedWinner]], "Y", "N"))</f>
        <v>_</v>
      </c>
      <c r="P9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5" s="2"/>
      <c r="S935" s="2" t="str">
        <f t="shared" si="76"/>
        <v>_</v>
      </c>
      <c r="T9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5" s="2">
        <f>IF(Table2[[#This Row],[InterConf]]=1,IF(Table2[[#This Row],[InterDiv]]=0, 1, 0), 0)</f>
        <v>1</v>
      </c>
      <c r="W9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5" s="2"/>
      <c r="Y935" s="2"/>
      <c r="Z935" s="145">
        <f>IF(AND(Table2[[#This Row],[GameIsOver]]=1,Table2[[#This Row],[ActualHomeScore]]*Table2[[#This Row],[ActualAwayScore]]=0), 1,0)</f>
        <v>0</v>
      </c>
      <c r="AA9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5" s="2">
        <f>Table2[[#This Row],[ActualAwayScore]]-Table2[[#This Row],[PredictedAwayScore]]</f>
        <v>0</v>
      </c>
      <c r="AG935" s="2">
        <f>Table2[[#This Row],[ActualHomeScore]]-Table2[[#This Row],[PredictedHomeScore]]</f>
        <v>0</v>
      </c>
      <c r="AH935" s="2">
        <f t="shared" si="77"/>
        <v>0</v>
      </c>
      <c r="AI935" s="2">
        <f t="shared" si="78"/>
        <v>0</v>
      </c>
      <c r="AJ935" s="2"/>
      <c r="AK935" s="3"/>
      <c r="AL935" s="2">
        <f>IF(Table2[[#This Row],[GameIsOver]]=0,0,IF(Table2[[#This Row],[ActualWinner]]=Table2[[#This Row],[AwayTeam]], 1, 0))</f>
        <v>0</v>
      </c>
      <c r="AM935" s="2">
        <f>IF(Table2[[#This Row],[GameIsOver]]=0,0,IF(Table2[[#This Row],[ActualWinner]]=Table2[[#This Row],[HomeTeam]], 1, 0))</f>
        <v>0</v>
      </c>
      <c r="AN9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5" s="2" t="str">
        <f>INDEX(Sheet5!$B$2:$AG$33, MATCH(Table2[[#This Row],[AwayTeam]],Sheet5!$A$2:$A$33, 0), MATCH(Table2[[#This Row],[HomeTeam]],Sheet5!$A$2:$A$33, 0))</f>
        <v>0-0-0</v>
      </c>
      <c r="AP935" s="2" t="str">
        <f>INDEX(Sheet5!$B$2:$AG$33, MATCH(Table2[[#This Row],[HomeTeam]],Sheet5!$A$2:$A$33, 0), MATCH(Table2[[#This Row],[AwayTeam]],Sheet5!$A$2:$A$33, 0))</f>
        <v>0-0-0</v>
      </c>
      <c r="AQ935" s="2">
        <f>IF(Table2[[#This Row],[GameHasShutOut]], 1, 0)</f>
        <v>0</v>
      </c>
      <c r="AR935" s="2">
        <f>IF(Table2[[#This Row],[ActualAwayScore]] + Table2[[#This Row],[ActualHomeScore]] &gt;= 10, 1, 0)</f>
        <v>0</v>
      </c>
      <c r="AS935" s="2">
        <f>IF(ABS(Table2[[#This Row],[ActualAwayScore]]-Table2[[#This Row],[ActualHomeScore]])&gt;=5, 1, 0)</f>
        <v>0</v>
      </c>
      <c r="AT935" s="2">
        <f>IF(Table2[[#This Row],[ActualAwayScore]] + Table2[[#This Row],[ActualHomeScore]] &lt;= 3, 1, 0)</f>
        <v>1</v>
      </c>
      <c r="AU935" s="2"/>
      <c r="AV935" s="2"/>
    </row>
    <row r="936" spans="1:48" x14ac:dyDescent="0.25">
      <c r="A936" s="3"/>
      <c r="B936" s="3">
        <v>46081</v>
      </c>
      <c r="C936" s="5">
        <v>2025020934</v>
      </c>
      <c r="D936" s="2" t="s">
        <v>20</v>
      </c>
      <c r="E936" s="2" t="s">
        <v>19</v>
      </c>
      <c r="F936" s="2"/>
      <c r="G936" s="2"/>
      <c r="H936" s="2" t="str">
        <f t="shared" si="74"/>
        <v>_</v>
      </c>
      <c r="I936" s="2"/>
      <c r="J936" s="2"/>
      <c r="K936" s="2"/>
      <c r="L936" s="2" t="str">
        <f t="shared" si="75"/>
        <v>_</v>
      </c>
      <c r="M936" s="2"/>
      <c r="N936" s="2">
        <f>IF(ISBLANK(Table2[[#This Row],[ActualResult]]), 0, 1)</f>
        <v>0</v>
      </c>
      <c r="O936" s="2" t="str">
        <f>IF(ISBLANK(Table2[[#This Row],[ActualResult]]), "_", IF(Table2[[#This Row],[ActualWinner]]=Table2[[#This Row],[PredictedWinner]], "Y", "N"))</f>
        <v>_</v>
      </c>
      <c r="P9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6" s="2"/>
      <c r="S936" s="2" t="str">
        <f t="shared" si="76"/>
        <v>_</v>
      </c>
      <c r="T9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6" s="2">
        <f>IF(Table2[[#This Row],[InterConf]]=1,IF(Table2[[#This Row],[InterDiv]]=0, 1, 0), 0)</f>
        <v>0</v>
      </c>
      <c r="W9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6" s="2"/>
      <c r="Y936" s="2"/>
      <c r="Z936" s="145">
        <f>IF(AND(Table2[[#This Row],[GameIsOver]]=1,Table2[[#This Row],[ActualHomeScore]]*Table2[[#This Row],[ActualAwayScore]]=0), 1,0)</f>
        <v>0</v>
      </c>
      <c r="AA9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6" s="2">
        <f>Table2[[#This Row],[ActualAwayScore]]-Table2[[#This Row],[PredictedAwayScore]]</f>
        <v>0</v>
      </c>
      <c r="AG936" s="2">
        <f>Table2[[#This Row],[ActualHomeScore]]-Table2[[#This Row],[PredictedHomeScore]]</f>
        <v>0</v>
      </c>
      <c r="AH936" s="2">
        <f t="shared" si="77"/>
        <v>0</v>
      </c>
      <c r="AI936" s="2">
        <f t="shared" si="78"/>
        <v>0</v>
      </c>
      <c r="AJ936" s="2"/>
      <c r="AK936" s="3"/>
      <c r="AL936" s="2">
        <f>IF(Table2[[#This Row],[GameIsOver]]=0,0,IF(Table2[[#This Row],[ActualWinner]]=Table2[[#This Row],[AwayTeam]], 1, 0))</f>
        <v>0</v>
      </c>
      <c r="AM936" s="2">
        <f>IF(Table2[[#This Row],[GameIsOver]]=0,0,IF(Table2[[#This Row],[ActualWinner]]=Table2[[#This Row],[HomeTeam]], 1, 0))</f>
        <v>0</v>
      </c>
      <c r="AN9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6" s="2" t="str">
        <f>INDEX(Sheet5!$B$2:$AG$33, MATCH(Table2[[#This Row],[AwayTeam]],Sheet5!$A$2:$A$33, 0), MATCH(Table2[[#This Row],[HomeTeam]],Sheet5!$A$2:$A$33, 0))</f>
        <v>1-1-0</v>
      </c>
      <c r="AP936" s="2" t="str">
        <f>INDEX(Sheet5!$B$2:$AG$33, MATCH(Table2[[#This Row],[HomeTeam]],Sheet5!$A$2:$A$33, 0), MATCH(Table2[[#This Row],[AwayTeam]],Sheet5!$A$2:$A$33, 0))</f>
        <v>1-1-0</v>
      </c>
      <c r="AQ936" s="2">
        <f>IF(Table2[[#This Row],[GameHasShutOut]], 1, 0)</f>
        <v>0</v>
      </c>
      <c r="AR936" s="2">
        <f>IF(Table2[[#This Row],[ActualAwayScore]] + Table2[[#This Row],[ActualHomeScore]] &gt;= 10, 1, 0)</f>
        <v>0</v>
      </c>
      <c r="AS936" s="2">
        <f>IF(ABS(Table2[[#This Row],[ActualAwayScore]]-Table2[[#This Row],[ActualHomeScore]])&gt;=5, 1, 0)</f>
        <v>0</v>
      </c>
      <c r="AT936" s="2">
        <f>IF(Table2[[#This Row],[ActualAwayScore]] + Table2[[#This Row],[ActualHomeScore]] &lt;= 3, 1, 0)</f>
        <v>1</v>
      </c>
      <c r="AU936" s="2"/>
      <c r="AV936" s="2"/>
    </row>
    <row r="937" spans="1:48" x14ac:dyDescent="0.25">
      <c r="A937" s="3"/>
      <c r="B937" s="3">
        <v>46081</v>
      </c>
      <c r="C937" s="5">
        <v>2025020935</v>
      </c>
      <c r="D937" s="2" t="s">
        <v>15</v>
      </c>
      <c r="E937" s="2" t="s">
        <v>42</v>
      </c>
      <c r="F937" s="2"/>
      <c r="G937" s="2"/>
      <c r="H937" s="2" t="str">
        <f t="shared" si="74"/>
        <v>_</v>
      </c>
      <c r="I937" s="2"/>
      <c r="J937" s="2"/>
      <c r="K937" s="2"/>
      <c r="L937" s="2" t="str">
        <f t="shared" si="75"/>
        <v>_</v>
      </c>
      <c r="M937" s="2"/>
      <c r="N937" s="2">
        <f>IF(ISBLANK(Table2[[#This Row],[ActualResult]]), 0, 1)</f>
        <v>0</v>
      </c>
      <c r="O937" s="2" t="str">
        <f>IF(ISBLANK(Table2[[#This Row],[ActualResult]]), "_", IF(Table2[[#This Row],[ActualWinner]]=Table2[[#This Row],[PredictedWinner]], "Y", "N"))</f>
        <v>_</v>
      </c>
      <c r="P9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7" s="2"/>
      <c r="S937" s="2" t="str">
        <f t="shared" si="76"/>
        <v>_</v>
      </c>
      <c r="T9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7" s="2">
        <f>IF(Table2[[#This Row],[InterConf]]=1,IF(Table2[[#This Row],[InterDiv]]=0, 1, 0), 0)</f>
        <v>1</v>
      </c>
      <c r="W9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7" s="2"/>
      <c r="Y937" s="2"/>
      <c r="Z937" s="145">
        <f>IF(AND(Table2[[#This Row],[GameIsOver]]=1,Table2[[#This Row],[ActualHomeScore]]*Table2[[#This Row],[ActualAwayScore]]=0), 1,0)</f>
        <v>0</v>
      </c>
      <c r="AA9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7" s="2">
        <f>Table2[[#This Row],[ActualAwayScore]]-Table2[[#This Row],[PredictedAwayScore]]</f>
        <v>0</v>
      </c>
      <c r="AG937" s="2">
        <f>Table2[[#This Row],[ActualHomeScore]]-Table2[[#This Row],[PredictedHomeScore]]</f>
        <v>0</v>
      </c>
      <c r="AH937" s="2">
        <f t="shared" si="77"/>
        <v>0</v>
      </c>
      <c r="AI937" s="2">
        <f t="shared" si="78"/>
        <v>0</v>
      </c>
      <c r="AJ937" s="2"/>
      <c r="AK937" s="3"/>
      <c r="AL937" s="2">
        <f>IF(Table2[[#This Row],[GameIsOver]]=0,0,IF(Table2[[#This Row],[ActualWinner]]=Table2[[#This Row],[AwayTeam]], 1, 0))</f>
        <v>0</v>
      </c>
      <c r="AM937" s="2">
        <f>IF(Table2[[#This Row],[GameIsOver]]=0,0,IF(Table2[[#This Row],[ActualWinner]]=Table2[[#This Row],[HomeTeam]], 1, 0))</f>
        <v>0</v>
      </c>
      <c r="AN9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7" s="2" t="str">
        <f>INDEX(Sheet5!$B$2:$AG$33, MATCH(Table2[[#This Row],[AwayTeam]],Sheet5!$A$2:$A$33, 0), MATCH(Table2[[#This Row],[HomeTeam]],Sheet5!$A$2:$A$33, 0))</f>
        <v>0-0-0</v>
      </c>
      <c r="AP937" s="2" t="str">
        <f>INDEX(Sheet5!$B$2:$AG$33, MATCH(Table2[[#This Row],[HomeTeam]],Sheet5!$A$2:$A$33, 0), MATCH(Table2[[#This Row],[AwayTeam]],Sheet5!$A$2:$A$33, 0))</f>
        <v>0-0-0</v>
      </c>
      <c r="AQ937" s="2">
        <f>IF(Table2[[#This Row],[GameHasShutOut]], 1, 0)</f>
        <v>0</v>
      </c>
      <c r="AR937" s="2">
        <f>IF(Table2[[#This Row],[ActualAwayScore]] + Table2[[#This Row],[ActualHomeScore]] &gt;= 10, 1, 0)</f>
        <v>0</v>
      </c>
      <c r="AS937" s="2">
        <f>IF(ABS(Table2[[#This Row],[ActualAwayScore]]-Table2[[#This Row],[ActualHomeScore]])&gt;=5, 1, 0)</f>
        <v>0</v>
      </c>
      <c r="AT937" s="2">
        <f>IF(Table2[[#This Row],[ActualAwayScore]] + Table2[[#This Row],[ActualHomeScore]] &lt;= 3, 1, 0)</f>
        <v>1</v>
      </c>
      <c r="AU937" s="2"/>
      <c r="AV937" s="2"/>
    </row>
    <row r="938" spans="1:48" x14ac:dyDescent="0.25">
      <c r="A938" s="3"/>
      <c r="B938" s="3">
        <v>46081</v>
      </c>
      <c r="C938" s="5">
        <v>2025020936</v>
      </c>
      <c r="D938" s="2" t="s">
        <v>22</v>
      </c>
      <c r="E938" s="2" t="s">
        <v>37</v>
      </c>
      <c r="F938" s="2"/>
      <c r="G938" s="2"/>
      <c r="H938" s="2" t="str">
        <f t="shared" si="74"/>
        <v>_</v>
      </c>
      <c r="I938" s="2"/>
      <c r="J938" s="2"/>
      <c r="K938" s="2"/>
      <c r="L938" s="2" t="str">
        <f t="shared" si="75"/>
        <v>_</v>
      </c>
      <c r="M938" s="2"/>
      <c r="N938" s="2">
        <f>IF(ISBLANK(Table2[[#This Row],[ActualResult]]), 0, 1)</f>
        <v>0</v>
      </c>
      <c r="O938" s="2" t="str">
        <f>IF(ISBLANK(Table2[[#This Row],[ActualResult]]), "_", IF(Table2[[#This Row],[ActualWinner]]=Table2[[#This Row],[PredictedWinner]], "Y", "N"))</f>
        <v>_</v>
      </c>
      <c r="P9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8" s="2"/>
      <c r="S938" s="2" t="str">
        <f t="shared" si="76"/>
        <v>_</v>
      </c>
      <c r="T9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8" s="2">
        <f>IF(Table2[[#This Row],[InterConf]]=1,IF(Table2[[#This Row],[InterDiv]]=0, 1, 0), 0)</f>
        <v>0</v>
      </c>
      <c r="W9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8" s="2"/>
      <c r="Y938" s="2"/>
      <c r="Z938" s="145">
        <f>IF(AND(Table2[[#This Row],[GameIsOver]]=1,Table2[[#This Row],[ActualHomeScore]]*Table2[[#This Row],[ActualAwayScore]]=0), 1,0)</f>
        <v>0</v>
      </c>
      <c r="AA9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8" s="2">
        <f>Table2[[#This Row],[ActualAwayScore]]-Table2[[#This Row],[PredictedAwayScore]]</f>
        <v>0</v>
      </c>
      <c r="AG938" s="2">
        <f>Table2[[#This Row],[ActualHomeScore]]-Table2[[#This Row],[PredictedHomeScore]]</f>
        <v>0</v>
      </c>
      <c r="AH938" s="2">
        <f t="shared" si="77"/>
        <v>0</v>
      </c>
      <c r="AI938" s="2">
        <f t="shared" si="78"/>
        <v>0</v>
      </c>
      <c r="AJ938" s="2"/>
      <c r="AK938" s="3"/>
      <c r="AL938" s="2">
        <f>IF(Table2[[#This Row],[GameIsOver]]=0,0,IF(Table2[[#This Row],[ActualWinner]]=Table2[[#This Row],[AwayTeam]], 1, 0))</f>
        <v>0</v>
      </c>
      <c r="AM938" s="2">
        <f>IF(Table2[[#This Row],[GameIsOver]]=0,0,IF(Table2[[#This Row],[ActualWinner]]=Table2[[#This Row],[HomeTeam]], 1, 0))</f>
        <v>0</v>
      </c>
      <c r="AN9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8" s="2" t="str">
        <f>INDEX(Sheet5!$B$2:$AG$33, MATCH(Table2[[#This Row],[AwayTeam]],Sheet5!$A$2:$A$33, 0), MATCH(Table2[[#This Row],[HomeTeam]],Sheet5!$A$2:$A$33, 0))</f>
        <v>0-0-0</v>
      </c>
      <c r="AP938" s="2" t="str">
        <f>INDEX(Sheet5!$B$2:$AG$33, MATCH(Table2[[#This Row],[HomeTeam]],Sheet5!$A$2:$A$33, 0), MATCH(Table2[[#This Row],[AwayTeam]],Sheet5!$A$2:$A$33, 0))</f>
        <v>0-0-0</v>
      </c>
      <c r="AQ938" s="2">
        <f>IF(Table2[[#This Row],[GameHasShutOut]], 1, 0)</f>
        <v>0</v>
      </c>
      <c r="AR938" s="2">
        <f>IF(Table2[[#This Row],[ActualAwayScore]] + Table2[[#This Row],[ActualHomeScore]] &gt;= 10, 1, 0)</f>
        <v>0</v>
      </c>
      <c r="AS938" s="2">
        <f>IF(ABS(Table2[[#This Row],[ActualAwayScore]]-Table2[[#This Row],[ActualHomeScore]])&gt;=5, 1, 0)</f>
        <v>0</v>
      </c>
      <c r="AT938" s="2">
        <f>IF(Table2[[#This Row],[ActualAwayScore]] + Table2[[#This Row],[ActualHomeScore]] &lt;= 3, 1, 0)</f>
        <v>1</v>
      </c>
      <c r="AU938" s="2"/>
      <c r="AV938" s="2"/>
    </row>
    <row r="939" spans="1:48" x14ac:dyDescent="0.25">
      <c r="A939" s="3"/>
      <c r="B939" s="3">
        <v>46081</v>
      </c>
      <c r="C939" s="5">
        <v>2025020937</v>
      </c>
      <c r="D939" s="2" t="s">
        <v>32</v>
      </c>
      <c r="E939" s="2" t="s">
        <v>35</v>
      </c>
      <c r="F939" s="2"/>
      <c r="G939" s="2"/>
      <c r="H939" s="2" t="str">
        <f t="shared" si="74"/>
        <v>_</v>
      </c>
      <c r="I939" s="2"/>
      <c r="J939" s="2"/>
      <c r="K939" s="2"/>
      <c r="L939" s="2" t="str">
        <f t="shared" si="75"/>
        <v>_</v>
      </c>
      <c r="M939" s="2"/>
      <c r="N939" s="2">
        <f>IF(ISBLANK(Table2[[#This Row],[ActualResult]]), 0, 1)</f>
        <v>0</v>
      </c>
      <c r="O939" s="2" t="str">
        <f>IF(ISBLANK(Table2[[#This Row],[ActualResult]]), "_", IF(Table2[[#This Row],[ActualWinner]]=Table2[[#This Row],[PredictedWinner]], "Y", "N"))</f>
        <v>_</v>
      </c>
      <c r="P9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9" s="2"/>
      <c r="S939" s="2" t="str">
        <f t="shared" si="76"/>
        <v>_</v>
      </c>
      <c r="T9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9" s="2">
        <f>IF(Table2[[#This Row],[InterConf]]=1,IF(Table2[[#This Row],[InterDiv]]=0, 1, 0), 0)</f>
        <v>0</v>
      </c>
      <c r="W9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9" s="2"/>
      <c r="Y939" s="2"/>
      <c r="Z939" s="145">
        <f>IF(AND(Table2[[#This Row],[GameIsOver]]=1,Table2[[#This Row],[ActualHomeScore]]*Table2[[#This Row],[ActualAwayScore]]=0), 1,0)</f>
        <v>0</v>
      </c>
      <c r="AA9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9" s="2">
        <f>Table2[[#This Row],[ActualAwayScore]]-Table2[[#This Row],[PredictedAwayScore]]</f>
        <v>0</v>
      </c>
      <c r="AG939" s="2">
        <f>Table2[[#This Row],[ActualHomeScore]]-Table2[[#This Row],[PredictedHomeScore]]</f>
        <v>0</v>
      </c>
      <c r="AH939" s="2">
        <f t="shared" si="77"/>
        <v>0</v>
      </c>
      <c r="AI939" s="2">
        <f t="shared" si="78"/>
        <v>0</v>
      </c>
      <c r="AJ939" s="2"/>
      <c r="AK939" s="3"/>
      <c r="AL939" s="2">
        <f>IF(Table2[[#This Row],[GameIsOver]]=0,0,IF(Table2[[#This Row],[ActualWinner]]=Table2[[#This Row],[AwayTeam]], 1, 0))</f>
        <v>0</v>
      </c>
      <c r="AM939" s="2">
        <f>IF(Table2[[#This Row],[GameIsOver]]=0,0,IF(Table2[[#This Row],[ActualWinner]]=Table2[[#This Row],[HomeTeam]], 1, 0))</f>
        <v>0</v>
      </c>
      <c r="AN9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9" s="2" t="str">
        <f>INDEX(Sheet5!$B$2:$AG$33, MATCH(Table2[[#This Row],[AwayTeam]],Sheet5!$A$2:$A$33, 0), MATCH(Table2[[#This Row],[HomeTeam]],Sheet5!$A$2:$A$33, 0))</f>
        <v>0-0-0</v>
      </c>
      <c r="AP939" s="2" t="str">
        <f>INDEX(Sheet5!$B$2:$AG$33, MATCH(Table2[[#This Row],[HomeTeam]],Sheet5!$A$2:$A$33, 0), MATCH(Table2[[#This Row],[AwayTeam]],Sheet5!$A$2:$A$33, 0))</f>
        <v>0-0-0</v>
      </c>
      <c r="AQ939" s="2">
        <f>IF(Table2[[#This Row],[GameHasShutOut]], 1, 0)</f>
        <v>0</v>
      </c>
      <c r="AR939" s="2">
        <f>IF(Table2[[#This Row],[ActualAwayScore]] + Table2[[#This Row],[ActualHomeScore]] &gt;= 10, 1, 0)</f>
        <v>0</v>
      </c>
      <c r="AS939" s="2">
        <f>IF(ABS(Table2[[#This Row],[ActualAwayScore]]-Table2[[#This Row],[ActualHomeScore]])&gt;=5, 1, 0)</f>
        <v>0</v>
      </c>
      <c r="AT939" s="2">
        <f>IF(Table2[[#This Row],[ActualAwayScore]] + Table2[[#This Row],[ActualHomeScore]] &lt;= 3, 1, 0)</f>
        <v>1</v>
      </c>
      <c r="AU939" s="2"/>
      <c r="AV939" s="2"/>
    </row>
    <row r="940" spans="1:48" x14ac:dyDescent="0.25">
      <c r="A940" s="3"/>
      <c r="B940" s="3">
        <v>46081</v>
      </c>
      <c r="C940" s="5">
        <v>2025020938</v>
      </c>
      <c r="D940" s="2" t="s">
        <v>16</v>
      </c>
      <c r="E940" s="2" t="s">
        <v>25</v>
      </c>
      <c r="F940" s="2"/>
      <c r="G940" s="2"/>
      <c r="H940" s="2" t="str">
        <f t="shared" si="74"/>
        <v>_</v>
      </c>
      <c r="I940" s="2"/>
      <c r="J940" s="2"/>
      <c r="K940" s="2"/>
      <c r="L940" s="2" t="str">
        <f t="shared" si="75"/>
        <v>_</v>
      </c>
      <c r="M940" s="2"/>
      <c r="N940" s="2">
        <f>IF(ISBLANK(Table2[[#This Row],[ActualResult]]), 0, 1)</f>
        <v>0</v>
      </c>
      <c r="O940" s="2" t="str">
        <f>IF(ISBLANK(Table2[[#This Row],[ActualResult]]), "_", IF(Table2[[#This Row],[ActualWinner]]=Table2[[#This Row],[PredictedWinner]], "Y", "N"))</f>
        <v>_</v>
      </c>
      <c r="P9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0" s="2"/>
      <c r="S940" s="2" t="str">
        <f t="shared" si="76"/>
        <v>_</v>
      </c>
      <c r="T9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0" s="2">
        <f>IF(Table2[[#This Row],[InterConf]]=1,IF(Table2[[#This Row],[InterDiv]]=0, 1, 0), 0)</f>
        <v>0</v>
      </c>
      <c r="W9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0" s="2"/>
      <c r="Y940" s="2"/>
      <c r="Z940" s="145">
        <f>IF(AND(Table2[[#This Row],[GameIsOver]]=1,Table2[[#This Row],[ActualHomeScore]]*Table2[[#This Row],[ActualAwayScore]]=0), 1,0)</f>
        <v>0</v>
      </c>
      <c r="AA9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40" s="2">
        <f>Table2[[#This Row],[ActualAwayScore]]-Table2[[#This Row],[PredictedAwayScore]]</f>
        <v>0</v>
      </c>
      <c r="AG940" s="2">
        <f>Table2[[#This Row],[ActualHomeScore]]-Table2[[#This Row],[PredictedHomeScore]]</f>
        <v>0</v>
      </c>
      <c r="AH940" s="2">
        <f t="shared" si="77"/>
        <v>0</v>
      </c>
      <c r="AI940" s="2">
        <f t="shared" si="78"/>
        <v>0</v>
      </c>
      <c r="AJ940" s="2"/>
      <c r="AK940" s="3"/>
      <c r="AL940" s="2">
        <f>IF(Table2[[#This Row],[GameIsOver]]=0,0,IF(Table2[[#This Row],[ActualWinner]]=Table2[[#This Row],[AwayTeam]], 1, 0))</f>
        <v>0</v>
      </c>
      <c r="AM940" s="2">
        <f>IF(Table2[[#This Row],[GameIsOver]]=0,0,IF(Table2[[#This Row],[ActualWinner]]=Table2[[#This Row],[HomeTeam]], 1, 0))</f>
        <v>0</v>
      </c>
      <c r="AN9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0" s="2" t="str">
        <f>INDEX(Sheet5!$B$2:$AG$33, MATCH(Table2[[#This Row],[AwayTeam]],Sheet5!$A$2:$A$33, 0), MATCH(Table2[[#This Row],[HomeTeam]],Sheet5!$A$2:$A$33, 0))</f>
        <v>0-0-0</v>
      </c>
      <c r="AP940" s="2" t="str">
        <f>INDEX(Sheet5!$B$2:$AG$33, MATCH(Table2[[#This Row],[HomeTeam]],Sheet5!$A$2:$A$33, 0), MATCH(Table2[[#This Row],[AwayTeam]],Sheet5!$A$2:$A$33, 0))</f>
        <v>0-0-0</v>
      </c>
      <c r="AQ940" s="2">
        <f>IF(Table2[[#This Row],[GameHasShutOut]], 1, 0)</f>
        <v>0</v>
      </c>
      <c r="AR940" s="2">
        <f>IF(Table2[[#This Row],[ActualAwayScore]] + Table2[[#This Row],[ActualHomeScore]] &gt;= 10, 1, 0)</f>
        <v>0</v>
      </c>
      <c r="AS940" s="2">
        <f>IF(ABS(Table2[[#This Row],[ActualAwayScore]]-Table2[[#This Row],[ActualHomeScore]])&gt;=5, 1, 0)</f>
        <v>0</v>
      </c>
      <c r="AT940" s="2">
        <f>IF(Table2[[#This Row],[ActualAwayScore]] + Table2[[#This Row],[ActualHomeScore]] &lt;= 3, 1, 0)</f>
        <v>1</v>
      </c>
      <c r="AU940" s="2"/>
      <c r="AV940" s="2"/>
    </row>
    <row r="941" spans="1:48" x14ac:dyDescent="0.25">
      <c r="A941" s="3"/>
      <c r="B941" s="3">
        <v>46082</v>
      </c>
      <c r="C941" s="5">
        <v>2025020939</v>
      </c>
      <c r="D941" s="2" t="s">
        <v>29</v>
      </c>
      <c r="E941" s="2" t="s">
        <v>17</v>
      </c>
      <c r="F941" s="2"/>
      <c r="G941" s="2"/>
      <c r="H941" s="2" t="str">
        <f t="shared" si="74"/>
        <v>_</v>
      </c>
      <c r="I941" s="2"/>
      <c r="J941" s="2"/>
      <c r="K941" s="2"/>
      <c r="L941" s="2" t="str">
        <f t="shared" si="75"/>
        <v>_</v>
      </c>
      <c r="M941" s="2"/>
      <c r="N941" s="2">
        <f>IF(ISBLANK(Table2[[#This Row],[ActualResult]]), 0, 1)</f>
        <v>0</v>
      </c>
      <c r="O941" s="2" t="str">
        <f>IF(ISBLANK(Table2[[#This Row],[ActualResult]]), "_", IF(Table2[[#This Row],[ActualWinner]]=Table2[[#This Row],[PredictedWinner]], "Y", "N"))</f>
        <v>_</v>
      </c>
      <c r="P9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1" s="2"/>
      <c r="S941" s="2" t="str">
        <f t="shared" si="76"/>
        <v>_</v>
      </c>
      <c r="T9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1" s="2">
        <f>IF(Table2[[#This Row],[InterConf]]=1,IF(Table2[[#This Row],[InterDiv]]=0, 1, 0), 0)</f>
        <v>0</v>
      </c>
      <c r="W9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1" s="2"/>
      <c r="Y941" s="2"/>
      <c r="Z941" s="145">
        <f>IF(AND(Table2[[#This Row],[GameIsOver]]=1,Table2[[#This Row],[ActualHomeScore]]*Table2[[#This Row],[ActualAwayScore]]=0), 1,0)</f>
        <v>0</v>
      </c>
      <c r="AA9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1" s="2">
        <f>Table2[[#This Row],[ActualAwayScore]]-Table2[[#This Row],[PredictedAwayScore]]</f>
        <v>0</v>
      </c>
      <c r="AG941" s="2">
        <f>Table2[[#This Row],[ActualHomeScore]]-Table2[[#This Row],[PredictedHomeScore]]</f>
        <v>0</v>
      </c>
      <c r="AH941" s="2">
        <f t="shared" si="77"/>
        <v>0</v>
      </c>
      <c r="AI941" s="2">
        <f t="shared" si="78"/>
        <v>0</v>
      </c>
      <c r="AJ941" s="2"/>
      <c r="AK941" s="3"/>
      <c r="AL941" s="2">
        <f>IF(Table2[[#This Row],[GameIsOver]]=0,0,IF(Table2[[#This Row],[ActualWinner]]=Table2[[#This Row],[AwayTeam]], 1, 0))</f>
        <v>0</v>
      </c>
      <c r="AM941" s="2">
        <f>IF(Table2[[#This Row],[GameIsOver]]=0,0,IF(Table2[[#This Row],[ActualWinner]]=Table2[[#This Row],[HomeTeam]], 1, 0))</f>
        <v>0</v>
      </c>
      <c r="AN9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1" s="2" t="str">
        <f>INDEX(Sheet5!$B$2:$AG$33, MATCH(Table2[[#This Row],[AwayTeam]],Sheet5!$A$2:$A$33, 0), MATCH(Table2[[#This Row],[HomeTeam]],Sheet5!$A$2:$A$33, 0))</f>
        <v>0-0-0</v>
      </c>
      <c r="AP941" s="2" t="str">
        <f>INDEX(Sheet5!$B$2:$AG$33, MATCH(Table2[[#This Row],[HomeTeam]],Sheet5!$A$2:$A$33, 0), MATCH(Table2[[#This Row],[AwayTeam]],Sheet5!$A$2:$A$33, 0))</f>
        <v>0-0-0</v>
      </c>
      <c r="AQ941" s="2">
        <f>IF(Table2[[#This Row],[GameHasShutOut]], 1, 0)</f>
        <v>0</v>
      </c>
      <c r="AR941" s="2">
        <f>IF(Table2[[#This Row],[ActualAwayScore]] + Table2[[#This Row],[ActualHomeScore]] &gt;= 10, 1, 0)</f>
        <v>0</v>
      </c>
      <c r="AS941" s="2">
        <f>IF(ABS(Table2[[#This Row],[ActualAwayScore]]-Table2[[#This Row],[ActualHomeScore]])&gt;=5, 1, 0)</f>
        <v>0</v>
      </c>
      <c r="AT941" s="2">
        <f>IF(Table2[[#This Row],[ActualAwayScore]] + Table2[[#This Row],[ActualHomeScore]] &lt;= 3, 1, 0)</f>
        <v>1</v>
      </c>
      <c r="AU941" s="2"/>
      <c r="AV941" s="2"/>
    </row>
    <row r="942" spans="1:48" x14ac:dyDescent="0.25">
      <c r="A942" s="3"/>
      <c r="B942" s="3">
        <v>46082</v>
      </c>
      <c r="C942" s="5">
        <v>2025020940</v>
      </c>
      <c r="D942" s="2" t="s">
        <v>43</v>
      </c>
      <c r="E942" s="2" t="s">
        <v>18</v>
      </c>
      <c r="F942" s="2"/>
      <c r="G942" s="2"/>
      <c r="H942" s="2" t="str">
        <f t="shared" si="74"/>
        <v>_</v>
      </c>
      <c r="I942" s="2"/>
      <c r="J942" s="2"/>
      <c r="K942" s="2"/>
      <c r="L942" s="2" t="str">
        <f t="shared" si="75"/>
        <v>_</v>
      </c>
      <c r="M942" s="2"/>
      <c r="N942" s="2">
        <f>IF(ISBLANK(Table2[[#This Row],[ActualResult]]), 0, 1)</f>
        <v>0</v>
      </c>
      <c r="O942" s="2" t="str">
        <f>IF(ISBLANK(Table2[[#This Row],[ActualResult]]), "_", IF(Table2[[#This Row],[ActualWinner]]=Table2[[#This Row],[PredictedWinner]], "Y", "N"))</f>
        <v>_</v>
      </c>
      <c r="P9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2" s="2"/>
      <c r="S942" s="2" t="str">
        <f t="shared" si="76"/>
        <v>_</v>
      </c>
      <c r="T9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2" s="2">
        <f>IF(Table2[[#This Row],[InterConf]]=1,IF(Table2[[#This Row],[InterDiv]]=0, 1, 0), 0)</f>
        <v>1</v>
      </c>
      <c r="W9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2" s="2"/>
      <c r="Y942" s="2"/>
      <c r="Z942" s="145">
        <f>IF(AND(Table2[[#This Row],[GameIsOver]]=1,Table2[[#This Row],[ActualHomeScore]]*Table2[[#This Row],[ActualAwayScore]]=0), 1,0)</f>
        <v>0</v>
      </c>
      <c r="AA9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2" s="2">
        <f>Table2[[#This Row],[ActualAwayScore]]-Table2[[#This Row],[PredictedAwayScore]]</f>
        <v>0</v>
      </c>
      <c r="AG942" s="2">
        <f>Table2[[#This Row],[ActualHomeScore]]-Table2[[#This Row],[PredictedHomeScore]]</f>
        <v>0</v>
      </c>
      <c r="AH942" s="2">
        <f t="shared" si="77"/>
        <v>0</v>
      </c>
      <c r="AI942" s="2">
        <f t="shared" si="78"/>
        <v>0</v>
      </c>
      <c r="AJ942" s="2"/>
      <c r="AK942" s="3"/>
      <c r="AL942" s="2">
        <f>IF(Table2[[#This Row],[GameIsOver]]=0,0,IF(Table2[[#This Row],[ActualWinner]]=Table2[[#This Row],[AwayTeam]], 1, 0))</f>
        <v>0</v>
      </c>
      <c r="AM942" s="2">
        <f>IF(Table2[[#This Row],[GameIsOver]]=0,0,IF(Table2[[#This Row],[ActualWinner]]=Table2[[#This Row],[HomeTeam]], 1, 0))</f>
        <v>0</v>
      </c>
      <c r="AN9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2" s="2" t="str">
        <f>INDEX(Sheet5!$B$2:$AG$33, MATCH(Table2[[#This Row],[AwayTeam]],Sheet5!$A$2:$A$33, 0), MATCH(Table2[[#This Row],[HomeTeam]],Sheet5!$A$2:$A$33, 0))</f>
        <v>0-0-0</v>
      </c>
      <c r="AP942" s="2" t="str">
        <f>INDEX(Sheet5!$B$2:$AG$33, MATCH(Table2[[#This Row],[HomeTeam]],Sheet5!$A$2:$A$33, 0), MATCH(Table2[[#This Row],[AwayTeam]],Sheet5!$A$2:$A$33, 0))</f>
        <v>0-0-0</v>
      </c>
      <c r="AQ942" s="2">
        <f>IF(Table2[[#This Row],[GameHasShutOut]], 1, 0)</f>
        <v>0</v>
      </c>
      <c r="AR942" s="2">
        <f>IF(Table2[[#This Row],[ActualAwayScore]] + Table2[[#This Row],[ActualHomeScore]] &gt;= 10, 1, 0)</f>
        <v>0</v>
      </c>
      <c r="AS942" s="2">
        <f>IF(ABS(Table2[[#This Row],[ActualAwayScore]]-Table2[[#This Row],[ActualHomeScore]])&gt;=5, 1, 0)</f>
        <v>0</v>
      </c>
      <c r="AT942" s="2">
        <f>IF(Table2[[#This Row],[ActualAwayScore]] + Table2[[#This Row],[ActualHomeScore]] &lt;= 3, 1, 0)</f>
        <v>1</v>
      </c>
      <c r="AU942" s="2"/>
      <c r="AV942" s="2"/>
    </row>
    <row r="943" spans="1:48" x14ac:dyDescent="0.25">
      <c r="A943" s="3"/>
      <c r="B943" s="3">
        <v>46082</v>
      </c>
      <c r="C943" s="5">
        <v>2025020941</v>
      </c>
      <c r="D943" s="2" t="s">
        <v>28</v>
      </c>
      <c r="E943" s="2" t="s">
        <v>40</v>
      </c>
      <c r="F943" s="2"/>
      <c r="G943" s="2"/>
      <c r="H943" s="2" t="str">
        <f t="shared" si="74"/>
        <v>_</v>
      </c>
      <c r="I943" s="2"/>
      <c r="J943" s="2"/>
      <c r="K943" s="2"/>
      <c r="L943" s="2" t="str">
        <f t="shared" si="75"/>
        <v>_</v>
      </c>
      <c r="M943" s="2"/>
      <c r="N943" s="2">
        <f>IF(ISBLANK(Table2[[#This Row],[ActualResult]]), 0, 1)</f>
        <v>0</v>
      </c>
      <c r="O943" s="2" t="str">
        <f>IF(ISBLANK(Table2[[#This Row],[ActualResult]]), "_", IF(Table2[[#This Row],[ActualWinner]]=Table2[[#This Row],[PredictedWinner]], "Y", "N"))</f>
        <v>_</v>
      </c>
      <c r="P9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3" s="2"/>
      <c r="S943" s="2" t="str">
        <f t="shared" si="76"/>
        <v>_</v>
      </c>
      <c r="T9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3" s="2">
        <f>IF(Table2[[#This Row],[InterConf]]=1,IF(Table2[[#This Row],[InterDiv]]=0, 1, 0), 0)</f>
        <v>0</v>
      </c>
      <c r="W9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3" s="2"/>
      <c r="Y943" s="2"/>
      <c r="Z943" s="145">
        <f>IF(AND(Table2[[#This Row],[GameIsOver]]=1,Table2[[#This Row],[ActualHomeScore]]*Table2[[#This Row],[ActualAwayScore]]=0), 1,0)</f>
        <v>0</v>
      </c>
      <c r="AA9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3" s="2">
        <f>Table2[[#This Row],[ActualAwayScore]]-Table2[[#This Row],[PredictedAwayScore]]</f>
        <v>0</v>
      </c>
      <c r="AG943" s="2">
        <f>Table2[[#This Row],[ActualHomeScore]]-Table2[[#This Row],[PredictedHomeScore]]</f>
        <v>0</v>
      </c>
      <c r="AH943" s="2">
        <f t="shared" si="77"/>
        <v>0</v>
      </c>
      <c r="AI943" s="2">
        <f t="shared" si="78"/>
        <v>0</v>
      </c>
      <c r="AJ943" s="2"/>
      <c r="AK943" s="3"/>
      <c r="AL943" s="2">
        <f>IF(Table2[[#This Row],[GameIsOver]]=0,0,IF(Table2[[#This Row],[ActualWinner]]=Table2[[#This Row],[AwayTeam]], 1, 0))</f>
        <v>0</v>
      </c>
      <c r="AM943" s="2">
        <f>IF(Table2[[#This Row],[GameIsOver]]=0,0,IF(Table2[[#This Row],[ActualWinner]]=Table2[[#This Row],[HomeTeam]], 1, 0))</f>
        <v>0</v>
      </c>
      <c r="AN9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3" s="2" t="str">
        <f>INDEX(Sheet5!$B$2:$AG$33, MATCH(Table2[[#This Row],[AwayTeam]],Sheet5!$A$2:$A$33, 0), MATCH(Table2[[#This Row],[HomeTeam]],Sheet5!$A$2:$A$33, 0))</f>
        <v>0-0-0</v>
      </c>
      <c r="AP943" s="2" t="str">
        <f>INDEX(Sheet5!$B$2:$AG$33, MATCH(Table2[[#This Row],[HomeTeam]],Sheet5!$A$2:$A$33, 0), MATCH(Table2[[#This Row],[AwayTeam]],Sheet5!$A$2:$A$33, 0))</f>
        <v>0-0-0</v>
      </c>
      <c r="AQ943" s="2">
        <f>IF(Table2[[#This Row],[GameHasShutOut]], 1, 0)</f>
        <v>0</v>
      </c>
      <c r="AR943" s="2">
        <f>IF(Table2[[#This Row],[ActualAwayScore]] + Table2[[#This Row],[ActualHomeScore]] &gt;= 10, 1, 0)</f>
        <v>0</v>
      </c>
      <c r="AS943" s="2">
        <f>IF(ABS(Table2[[#This Row],[ActualAwayScore]]-Table2[[#This Row],[ActualHomeScore]])&gt;=5, 1, 0)</f>
        <v>0</v>
      </c>
      <c r="AT943" s="2">
        <f>IF(Table2[[#This Row],[ActualAwayScore]] + Table2[[#This Row],[ActualHomeScore]] &lt;= 3, 1, 0)</f>
        <v>1</v>
      </c>
      <c r="AU943" s="2"/>
      <c r="AV943" s="2"/>
    </row>
    <row r="944" spans="1:48" x14ac:dyDescent="0.25">
      <c r="A944" s="3"/>
      <c r="B944" s="3">
        <v>46082</v>
      </c>
      <c r="C944" s="5">
        <v>2025020942</v>
      </c>
      <c r="D944" s="2" t="s">
        <v>30</v>
      </c>
      <c r="E944" s="2" t="s">
        <v>41</v>
      </c>
      <c r="F944" s="2"/>
      <c r="G944" s="2"/>
      <c r="H944" s="2" t="str">
        <f t="shared" si="74"/>
        <v>_</v>
      </c>
      <c r="I944" s="2"/>
      <c r="J944" s="2"/>
      <c r="K944" s="2"/>
      <c r="L944" s="2" t="str">
        <f t="shared" si="75"/>
        <v>_</v>
      </c>
      <c r="M944" s="2"/>
      <c r="N944" s="2">
        <f>IF(ISBLANK(Table2[[#This Row],[ActualResult]]), 0, 1)</f>
        <v>0</v>
      </c>
      <c r="O944" s="2" t="str">
        <f>IF(ISBLANK(Table2[[#This Row],[ActualResult]]), "_", IF(Table2[[#This Row],[ActualWinner]]=Table2[[#This Row],[PredictedWinner]], "Y", "N"))</f>
        <v>_</v>
      </c>
      <c r="P9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4" s="2"/>
      <c r="S944" s="2" t="str">
        <f t="shared" si="76"/>
        <v>_</v>
      </c>
      <c r="T9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4" s="2">
        <f>IF(Table2[[#This Row],[InterConf]]=1,IF(Table2[[#This Row],[InterDiv]]=0, 1, 0), 0)</f>
        <v>1</v>
      </c>
      <c r="W9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4" s="2"/>
      <c r="Y944" s="2"/>
      <c r="Z944" s="145">
        <f>IF(AND(Table2[[#This Row],[GameIsOver]]=1,Table2[[#This Row],[ActualHomeScore]]*Table2[[#This Row],[ActualAwayScore]]=0), 1,0)</f>
        <v>0</v>
      </c>
      <c r="AA9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4" s="2">
        <f>Table2[[#This Row],[ActualAwayScore]]-Table2[[#This Row],[PredictedAwayScore]]</f>
        <v>0</v>
      </c>
      <c r="AG944" s="2">
        <f>Table2[[#This Row],[ActualHomeScore]]-Table2[[#This Row],[PredictedHomeScore]]</f>
        <v>0</v>
      </c>
      <c r="AH944" s="2">
        <f t="shared" si="77"/>
        <v>0</v>
      </c>
      <c r="AI944" s="2">
        <f t="shared" si="78"/>
        <v>0</v>
      </c>
      <c r="AJ944" s="2"/>
      <c r="AK944" s="3"/>
      <c r="AL944" s="2">
        <f>IF(Table2[[#This Row],[GameIsOver]]=0,0,IF(Table2[[#This Row],[ActualWinner]]=Table2[[#This Row],[AwayTeam]], 1, 0))</f>
        <v>0</v>
      </c>
      <c r="AM944" s="2">
        <f>IF(Table2[[#This Row],[GameIsOver]]=0,0,IF(Table2[[#This Row],[ActualWinner]]=Table2[[#This Row],[HomeTeam]], 1, 0))</f>
        <v>0</v>
      </c>
      <c r="AN9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4" s="2" t="str">
        <f>INDEX(Sheet5!$B$2:$AG$33, MATCH(Table2[[#This Row],[AwayTeam]],Sheet5!$A$2:$A$33, 0), MATCH(Table2[[#This Row],[HomeTeam]],Sheet5!$A$2:$A$33, 0))</f>
        <v>0-0-0</v>
      </c>
      <c r="AP944" s="2" t="str">
        <f>INDEX(Sheet5!$B$2:$AG$33, MATCH(Table2[[#This Row],[HomeTeam]],Sheet5!$A$2:$A$33, 0), MATCH(Table2[[#This Row],[AwayTeam]],Sheet5!$A$2:$A$33, 0))</f>
        <v>0-0-0</v>
      </c>
      <c r="AQ944" s="2">
        <f>IF(Table2[[#This Row],[GameHasShutOut]], 1, 0)</f>
        <v>0</v>
      </c>
      <c r="AR944" s="2">
        <f>IF(Table2[[#This Row],[ActualAwayScore]] + Table2[[#This Row],[ActualHomeScore]] &gt;= 10, 1, 0)</f>
        <v>0</v>
      </c>
      <c r="AS944" s="2">
        <f>IF(ABS(Table2[[#This Row],[ActualAwayScore]]-Table2[[#This Row],[ActualHomeScore]])&gt;=5, 1, 0)</f>
        <v>0</v>
      </c>
      <c r="AT944" s="2">
        <f>IF(Table2[[#This Row],[ActualAwayScore]] + Table2[[#This Row],[ActualHomeScore]] &lt;= 3, 1, 0)</f>
        <v>1</v>
      </c>
      <c r="AU944" s="2"/>
      <c r="AV944" s="2"/>
    </row>
    <row r="945" spans="1:48" x14ac:dyDescent="0.25">
      <c r="A945" s="3"/>
      <c r="B945" s="3">
        <v>46082</v>
      </c>
      <c r="C945" s="5">
        <v>2025020943</v>
      </c>
      <c r="D945" s="2" t="s">
        <v>31</v>
      </c>
      <c r="E945" s="2" t="s">
        <v>12</v>
      </c>
      <c r="F945" s="2"/>
      <c r="G945" s="2"/>
      <c r="H945" s="2" t="str">
        <f t="shared" si="74"/>
        <v>_</v>
      </c>
      <c r="I945" s="2"/>
      <c r="J945" s="2"/>
      <c r="K945" s="2"/>
      <c r="L945" s="2" t="str">
        <f t="shared" si="75"/>
        <v>_</v>
      </c>
      <c r="M945" s="2"/>
      <c r="N945" s="2">
        <f>IF(ISBLANK(Table2[[#This Row],[ActualResult]]), 0, 1)</f>
        <v>0</v>
      </c>
      <c r="O945" s="2" t="str">
        <f>IF(ISBLANK(Table2[[#This Row],[ActualResult]]), "_", IF(Table2[[#This Row],[ActualWinner]]=Table2[[#This Row],[PredictedWinner]], "Y", "N"))</f>
        <v>_</v>
      </c>
      <c r="P9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5" s="2"/>
      <c r="S945" s="2" t="str">
        <f t="shared" si="76"/>
        <v>_</v>
      </c>
      <c r="T9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5" s="2">
        <f>IF(Table2[[#This Row],[InterConf]]=1,IF(Table2[[#This Row],[InterDiv]]=0, 1, 0), 0)</f>
        <v>0</v>
      </c>
      <c r="W9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45" s="2"/>
      <c r="Y945" s="2"/>
      <c r="Z945" s="145">
        <f>IF(AND(Table2[[#This Row],[GameIsOver]]=1,Table2[[#This Row],[ActualHomeScore]]*Table2[[#This Row],[ActualAwayScore]]=0), 1,0)</f>
        <v>0</v>
      </c>
      <c r="AA9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5" s="2">
        <f>Table2[[#This Row],[ActualAwayScore]]-Table2[[#This Row],[PredictedAwayScore]]</f>
        <v>0</v>
      </c>
      <c r="AG945" s="2">
        <f>Table2[[#This Row],[ActualHomeScore]]-Table2[[#This Row],[PredictedHomeScore]]</f>
        <v>0</v>
      </c>
      <c r="AH945" s="2">
        <f t="shared" si="77"/>
        <v>0</v>
      </c>
      <c r="AI945" s="2">
        <f t="shared" si="78"/>
        <v>0</v>
      </c>
      <c r="AJ945" s="2"/>
      <c r="AK945" s="3"/>
      <c r="AL945" s="2">
        <f>IF(Table2[[#This Row],[GameIsOver]]=0,0,IF(Table2[[#This Row],[ActualWinner]]=Table2[[#This Row],[AwayTeam]], 1, 0))</f>
        <v>0</v>
      </c>
      <c r="AM945" s="2">
        <f>IF(Table2[[#This Row],[GameIsOver]]=0,0,IF(Table2[[#This Row],[ActualWinner]]=Table2[[#This Row],[HomeTeam]], 1, 0))</f>
        <v>0</v>
      </c>
      <c r="AN9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5" s="2" t="str">
        <f>INDEX(Sheet5!$B$2:$AG$33, MATCH(Table2[[#This Row],[AwayTeam]],Sheet5!$A$2:$A$33, 0), MATCH(Table2[[#This Row],[HomeTeam]],Sheet5!$A$2:$A$33, 0))</f>
        <v>0-0-0</v>
      </c>
      <c r="AP945" s="2" t="str">
        <f>INDEX(Sheet5!$B$2:$AG$33, MATCH(Table2[[#This Row],[HomeTeam]],Sheet5!$A$2:$A$33, 0), MATCH(Table2[[#This Row],[AwayTeam]],Sheet5!$A$2:$A$33, 0))</f>
        <v>0-0-0</v>
      </c>
      <c r="AQ945" s="2">
        <f>IF(Table2[[#This Row],[GameHasShutOut]], 1, 0)</f>
        <v>0</v>
      </c>
      <c r="AR945" s="2">
        <f>IF(Table2[[#This Row],[ActualAwayScore]] + Table2[[#This Row],[ActualHomeScore]] &gt;= 10, 1, 0)</f>
        <v>0</v>
      </c>
      <c r="AS945" s="2">
        <f>IF(ABS(Table2[[#This Row],[ActualAwayScore]]-Table2[[#This Row],[ActualHomeScore]])&gt;=5, 1, 0)</f>
        <v>0</v>
      </c>
      <c r="AT945" s="2">
        <f>IF(Table2[[#This Row],[ActualAwayScore]] + Table2[[#This Row],[ActualHomeScore]] &lt;= 3, 1, 0)</f>
        <v>1</v>
      </c>
      <c r="AU945" s="2"/>
      <c r="AV945" s="2"/>
    </row>
    <row r="946" spans="1:48" x14ac:dyDescent="0.25">
      <c r="A946" s="3"/>
      <c r="B946" s="3">
        <v>46082</v>
      </c>
      <c r="C946" s="5">
        <v>2025020944</v>
      </c>
      <c r="D946" s="2" t="s">
        <v>23</v>
      </c>
      <c r="E946" s="2" t="s">
        <v>27</v>
      </c>
      <c r="F946" s="2"/>
      <c r="G946" s="2"/>
      <c r="H946" s="2" t="str">
        <f t="shared" si="74"/>
        <v>_</v>
      </c>
      <c r="I946" s="2"/>
      <c r="J946" s="2"/>
      <c r="K946" s="2"/>
      <c r="L946" s="2" t="str">
        <f t="shared" si="75"/>
        <v>_</v>
      </c>
      <c r="M946" s="2"/>
      <c r="N946" s="2">
        <f>IF(ISBLANK(Table2[[#This Row],[ActualResult]]), 0, 1)</f>
        <v>0</v>
      </c>
      <c r="O946" s="2" t="str">
        <f>IF(ISBLANK(Table2[[#This Row],[ActualResult]]), "_", IF(Table2[[#This Row],[ActualWinner]]=Table2[[#This Row],[PredictedWinner]], "Y", "N"))</f>
        <v>_</v>
      </c>
      <c r="P9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6" s="2"/>
      <c r="S946" s="2" t="str">
        <f t="shared" si="76"/>
        <v>_</v>
      </c>
      <c r="T9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6" s="2">
        <f>IF(Table2[[#This Row],[InterConf]]=1,IF(Table2[[#This Row],[InterDiv]]=0, 1, 0), 0)</f>
        <v>0</v>
      </c>
      <c r="W9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6" s="2"/>
      <c r="Y946" s="2"/>
      <c r="Z946" s="145">
        <f>IF(AND(Table2[[#This Row],[GameIsOver]]=1,Table2[[#This Row],[ActualHomeScore]]*Table2[[#This Row],[ActualAwayScore]]=0), 1,0)</f>
        <v>0</v>
      </c>
      <c r="AA9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6" s="2">
        <f>Table2[[#This Row],[ActualAwayScore]]-Table2[[#This Row],[PredictedAwayScore]]</f>
        <v>0</v>
      </c>
      <c r="AG946" s="2">
        <f>Table2[[#This Row],[ActualHomeScore]]-Table2[[#This Row],[PredictedHomeScore]]</f>
        <v>0</v>
      </c>
      <c r="AH946" s="2">
        <f t="shared" si="77"/>
        <v>0</v>
      </c>
      <c r="AI946" s="2">
        <f t="shared" si="78"/>
        <v>0</v>
      </c>
      <c r="AJ946" s="2"/>
      <c r="AK946" s="3"/>
      <c r="AL946" s="2">
        <f>IF(Table2[[#This Row],[GameIsOver]]=0,0,IF(Table2[[#This Row],[ActualWinner]]=Table2[[#This Row],[AwayTeam]], 1, 0))</f>
        <v>0</v>
      </c>
      <c r="AM946" s="2">
        <f>IF(Table2[[#This Row],[GameIsOver]]=0,0,IF(Table2[[#This Row],[ActualWinner]]=Table2[[#This Row],[HomeTeam]], 1, 0))</f>
        <v>0</v>
      </c>
      <c r="AN946" s="2">
        <f>IF(IFERROR(FIND(Table2[[#This Row],[AwayTeam]], _xlfn.TEXTJOIN(";", 1, $BD$31:$BD$40)), 0) &gt; 0, 1, 0) + IF(IFERROR(FIND(Table2[[#This Row],[HomeTeam]], _xlfn.TEXTJOIN(";", 1, $BD$31:$BD$40)), 0) &gt; 0, 1, 0)</f>
        <v>1</v>
      </c>
      <c r="AO946" s="2" t="str">
        <f>INDEX(Sheet5!$B$2:$AG$33, MATCH(Table2[[#This Row],[AwayTeam]],Sheet5!$A$2:$A$33, 0), MATCH(Table2[[#This Row],[HomeTeam]],Sheet5!$A$2:$A$33, 0))</f>
        <v>0-0-0</v>
      </c>
      <c r="AP946" s="2" t="str">
        <f>INDEX(Sheet5!$B$2:$AG$33, MATCH(Table2[[#This Row],[HomeTeam]],Sheet5!$A$2:$A$33, 0), MATCH(Table2[[#This Row],[AwayTeam]],Sheet5!$A$2:$A$33, 0))</f>
        <v>0-0-0</v>
      </c>
      <c r="AQ946" s="2">
        <f>IF(Table2[[#This Row],[GameHasShutOut]], 1, 0)</f>
        <v>0</v>
      </c>
      <c r="AR946" s="2">
        <f>IF(Table2[[#This Row],[ActualAwayScore]] + Table2[[#This Row],[ActualHomeScore]] &gt;= 10, 1, 0)</f>
        <v>0</v>
      </c>
      <c r="AS946" s="2">
        <f>IF(ABS(Table2[[#This Row],[ActualAwayScore]]-Table2[[#This Row],[ActualHomeScore]])&gt;=5, 1, 0)</f>
        <v>0</v>
      </c>
      <c r="AT946" s="2">
        <f>IF(Table2[[#This Row],[ActualAwayScore]] + Table2[[#This Row],[ActualHomeScore]] &lt;= 3, 1, 0)</f>
        <v>1</v>
      </c>
      <c r="AU946" s="2"/>
      <c r="AV946" s="2"/>
    </row>
    <row r="947" spans="1:48" x14ac:dyDescent="0.25">
      <c r="A947" s="3"/>
      <c r="B947" s="3">
        <v>46082</v>
      </c>
      <c r="C947" s="5">
        <v>2025020945</v>
      </c>
      <c r="D947" s="2" t="s">
        <v>34</v>
      </c>
      <c r="E947" s="2" t="s">
        <v>33</v>
      </c>
      <c r="F947" s="2"/>
      <c r="G947" s="2"/>
      <c r="H947" s="2" t="str">
        <f t="shared" si="74"/>
        <v>_</v>
      </c>
      <c r="I947" s="2"/>
      <c r="J947" s="2"/>
      <c r="K947" s="2"/>
      <c r="L947" s="2" t="str">
        <f t="shared" si="75"/>
        <v>_</v>
      </c>
      <c r="M947" s="2"/>
      <c r="N947" s="2">
        <f>IF(ISBLANK(Table2[[#This Row],[ActualResult]]), 0, 1)</f>
        <v>0</v>
      </c>
      <c r="O947" s="2" t="str">
        <f>IF(ISBLANK(Table2[[#This Row],[ActualResult]]), "_", IF(Table2[[#This Row],[ActualWinner]]=Table2[[#This Row],[PredictedWinner]], "Y", "N"))</f>
        <v>_</v>
      </c>
      <c r="P9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7" s="2"/>
      <c r="S947" s="2" t="str">
        <f t="shared" si="76"/>
        <v>_</v>
      </c>
      <c r="T9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7" s="2">
        <f>IF(Table2[[#This Row],[InterConf]]=1,IF(Table2[[#This Row],[InterDiv]]=0, 1, 0), 0)</f>
        <v>0</v>
      </c>
      <c r="W9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7" s="2"/>
      <c r="Y947" s="2"/>
      <c r="Z947" s="145">
        <f>IF(AND(Table2[[#This Row],[GameIsOver]]=1,Table2[[#This Row],[ActualHomeScore]]*Table2[[#This Row],[ActualAwayScore]]=0), 1,0)</f>
        <v>0</v>
      </c>
      <c r="AA9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7" s="2">
        <f>Table2[[#This Row],[ActualAwayScore]]-Table2[[#This Row],[PredictedAwayScore]]</f>
        <v>0</v>
      </c>
      <c r="AG947" s="2">
        <f>Table2[[#This Row],[ActualHomeScore]]-Table2[[#This Row],[PredictedHomeScore]]</f>
        <v>0</v>
      </c>
      <c r="AH947" s="2">
        <f t="shared" si="77"/>
        <v>0</v>
      </c>
      <c r="AI947" s="2">
        <f t="shared" si="78"/>
        <v>0</v>
      </c>
      <c r="AJ947" s="2"/>
      <c r="AK947" s="3"/>
      <c r="AL947" s="2">
        <f>IF(Table2[[#This Row],[GameIsOver]]=0,0,IF(Table2[[#This Row],[ActualWinner]]=Table2[[#This Row],[AwayTeam]], 1, 0))</f>
        <v>0</v>
      </c>
      <c r="AM947" s="2">
        <f>IF(Table2[[#This Row],[GameIsOver]]=0,0,IF(Table2[[#This Row],[ActualWinner]]=Table2[[#This Row],[HomeTeam]], 1, 0))</f>
        <v>0</v>
      </c>
      <c r="AN9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7" s="2" t="str">
        <f>INDEX(Sheet5!$B$2:$AG$33, MATCH(Table2[[#This Row],[AwayTeam]],Sheet5!$A$2:$A$33, 0), MATCH(Table2[[#This Row],[HomeTeam]],Sheet5!$A$2:$A$33, 0))</f>
        <v>0-0-0</v>
      </c>
      <c r="AP947" s="2" t="str">
        <f>INDEX(Sheet5!$B$2:$AG$33, MATCH(Table2[[#This Row],[HomeTeam]],Sheet5!$A$2:$A$33, 0), MATCH(Table2[[#This Row],[AwayTeam]],Sheet5!$A$2:$A$33, 0))</f>
        <v>0-0-0</v>
      </c>
      <c r="AQ947" s="2">
        <f>IF(Table2[[#This Row],[GameHasShutOut]], 1, 0)</f>
        <v>0</v>
      </c>
      <c r="AR947" s="2">
        <f>IF(Table2[[#This Row],[ActualAwayScore]] + Table2[[#This Row],[ActualHomeScore]] &gt;= 10, 1, 0)</f>
        <v>0</v>
      </c>
      <c r="AS947" s="2">
        <f>IF(ABS(Table2[[#This Row],[ActualAwayScore]]-Table2[[#This Row],[ActualHomeScore]])&gt;=5, 1, 0)</f>
        <v>0</v>
      </c>
      <c r="AT947" s="2">
        <f>IF(Table2[[#This Row],[ActualAwayScore]] + Table2[[#This Row],[ActualHomeScore]] &lt;= 3, 1, 0)</f>
        <v>1</v>
      </c>
      <c r="AU947" s="2"/>
      <c r="AV947" s="2"/>
    </row>
    <row r="948" spans="1:48" x14ac:dyDescent="0.25">
      <c r="A948" s="3"/>
      <c r="B948" s="3">
        <v>46082</v>
      </c>
      <c r="C948" s="5">
        <v>2025020946</v>
      </c>
      <c r="D948" s="2" t="s">
        <v>24</v>
      </c>
      <c r="E948" s="2" t="s">
        <v>11</v>
      </c>
      <c r="F948" s="2"/>
      <c r="G948" s="2"/>
      <c r="H948" s="2" t="str">
        <f t="shared" si="74"/>
        <v>_</v>
      </c>
      <c r="I948" s="2"/>
      <c r="J948" s="2"/>
      <c r="K948" s="2"/>
      <c r="L948" s="2" t="str">
        <f t="shared" si="75"/>
        <v>_</v>
      </c>
      <c r="M948" s="2"/>
      <c r="N948" s="2">
        <f>IF(ISBLANK(Table2[[#This Row],[ActualResult]]), 0, 1)</f>
        <v>0</v>
      </c>
      <c r="O948" s="2" t="str">
        <f>IF(ISBLANK(Table2[[#This Row],[ActualResult]]), "_", IF(Table2[[#This Row],[ActualWinner]]=Table2[[#This Row],[PredictedWinner]], "Y", "N"))</f>
        <v>_</v>
      </c>
      <c r="P9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8" s="2"/>
      <c r="S948" s="2" t="str">
        <f t="shared" si="76"/>
        <v>_</v>
      </c>
      <c r="T9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8" s="2">
        <f>IF(Table2[[#This Row],[InterConf]]=1,IF(Table2[[#This Row],[InterDiv]]=0, 1, 0), 0)</f>
        <v>0</v>
      </c>
      <c r="W9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8" s="2"/>
      <c r="Y948" s="2"/>
      <c r="Z948" s="145">
        <f>IF(AND(Table2[[#This Row],[GameIsOver]]=1,Table2[[#This Row],[ActualHomeScore]]*Table2[[#This Row],[ActualAwayScore]]=0), 1,0)</f>
        <v>0</v>
      </c>
      <c r="AA9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8" s="2">
        <f>Table2[[#This Row],[ActualAwayScore]]-Table2[[#This Row],[PredictedAwayScore]]</f>
        <v>0</v>
      </c>
      <c r="AG948" s="2">
        <f>Table2[[#This Row],[ActualHomeScore]]-Table2[[#This Row],[PredictedHomeScore]]</f>
        <v>0</v>
      </c>
      <c r="AH948" s="2">
        <f t="shared" si="77"/>
        <v>0</v>
      </c>
      <c r="AI948" s="2">
        <f t="shared" si="78"/>
        <v>0</v>
      </c>
      <c r="AJ948" s="2"/>
      <c r="AK948" s="3"/>
      <c r="AL948" s="2">
        <f>IF(Table2[[#This Row],[GameIsOver]]=0,0,IF(Table2[[#This Row],[ActualWinner]]=Table2[[#This Row],[AwayTeam]], 1, 0))</f>
        <v>0</v>
      </c>
      <c r="AM948" s="2">
        <f>IF(Table2[[#This Row],[GameIsOver]]=0,0,IF(Table2[[#This Row],[ActualWinner]]=Table2[[#This Row],[HomeTeam]], 1, 0))</f>
        <v>0</v>
      </c>
      <c r="AN9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8" s="2" t="str">
        <f>INDEX(Sheet5!$B$2:$AG$33, MATCH(Table2[[#This Row],[AwayTeam]],Sheet5!$A$2:$A$33, 0), MATCH(Table2[[#This Row],[HomeTeam]],Sheet5!$A$2:$A$33, 0))</f>
        <v>0-0-0</v>
      </c>
      <c r="AP948" s="2" t="str">
        <f>INDEX(Sheet5!$B$2:$AG$33, MATCH(Table2[[#This Row],[HomeTeam]],Sheet5!$A$2:$A$33, 0), MATCH(Table2[[#This Row],[AwayTeam]],Sheet5!$A$2:$A$33, 0))</f>
        <v>0-0-0</v>
      </c>
      <c r="AQ948" s="2">
        <f>IF(Table2[[#This Row],[GameHasShutOut]], 1, 0)</f>
        <v>0</v>
      </c>
      <c r="AR948" s="2">
        <f>IF(Table2[[#This Row],[ActualAwayScore]] + Table2[[#This Row],[ActualHomeScore]] &gt;= 10, 1, 0)</f>
        <v>0</v>
      </c>
      <c r="AS948" s="2">
        <f>IF(ABS(Table2[[#This Row],[ActualAwayScore]]-Table2[[#This Row],[ActualHomeScore]])&gt;=5, 1, 0)</f>
        <v>0</v>
      </c>
      <c r="AT948" s="2">
        <f>IF(Table2[[#This Row],[ActualAwayScore]] + Table2[[#This Row],[ActualHomeScore]] &lt;= 3, 1, 0)</f>
        <v>1</v>
      </c>
      <c r="AU948" s="2"/>
      <c r="AV948" s="2"/>
    </row>
    <row r="949" spans="1:48" x14ac:dyDescent="0.25">
      <c r="A949" s="3"/>
      <c r="B949" s="3">
        <v>46082</v>
      </c>
      <c r="C949" s="5">
        <v>2025020947</v>
      </c>
      <c r="D949" s="2" t="s">
        <v>26</v>
      </c>
      <c r="E949" s="2" t="s">
        <v>20</v>
      </c>
      <c r="F949" s="2"/>
      <c r="G949" s="2"/>
      <c r="H949" s="2" t="str">
        <f t="shared" si="74"/>
        <v>_</v>
      </c>
      <c r="I949" s="2"/>
      <c r="J949" s="2"/>
      <c r="K949" s="2"/>
      <c r="L949" s="2" t="str">
        <f t="shared" si="75"/>
        <v>_</v>
      </c>
      <c r="M949" s="2"/>
      <c r="N949" s="2">
        <f>IF(ISBLANK(Table2[[#This Row],[ActualResult]]), 0, 1)</f>
        <v>0</v>
      </c>
      <c r="O949" s="2" t="str">
        <f>IF(ISBLANK(Table2[[#This Row],[ActualResult]]), "_", IF(Table2[[#This Row],[ActualWinner]]=Table2[[#This Row],[PredictedWinner]], "Y", "N"))</f>
        <v>_</v>
      </c>
      <c r="P9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9" s="2"/>
      <c r="S949" s="2" t="str">
        <f t="shared" si="76"/>
        <v>_</v>
      </c>
      <c r="T9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9" s="2">
        <f>IF(Table2[[#This Row],[InterConf]]=1,IF(Table2[[#This Row],[InterDiv]]=0, 1, 0), 0)</f>
        <v>0</v>
      </c>
      <c r="W9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49" s="2"/>
      <c r="Y949" s="2"/>
      <c r="Z949" s="145">
        <f>IF(AND(Table2[[#This Row],[GameIsOver]]=1,Table2[[#This Row],[ActualHomeScore]]*Table2[[#This Row],[ActualAwayScore]]=0), 1,0)</f>
        <v>0</v>
      </c>
      <c r="AA9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9" s="2">
        <f>Table2[[#This Row],[ActualAwayScore]]-Table2[[#This Row],[PredictedAwayScore]]</f>
        <v>0</v>
      </c>
      <c r="AG949" s="2">
        <f>Table2[[#This Row],[ActualHomeScore]]-Table2[[#This Row],[PredictedHomeScore]]</f>
        <v>0</v>
      </c>
      <c r="AH949" s="2">
        <f t="shared" si="77"/>
        <v>0</v>
      </c>
      <c r="AI949" s="2">
        <f t="shared" si="78"/>
        <v>0</v>
      </c>
      <c r="AJ949" s="2"/>
      <c r="AK949" s="3"/>
      <c r="AL949" s="2">
        <f>IF(Table2[[#This Row],[GameIsOver]]=0,0,IF(Table2[[#This Row],[ActualWinner]]=Table2[[#This Row],[AwayTeam]], 1, 0))</f>
        <v>0</v>
      </c>
      <c r="AM949" s="2">
        <f>IF(Table2[[#This Row],[GameIsOver]]=0,0,IF(Table2[[#This Row],[ActualWinner]]=Table2[[#This Row],[HomeTeam]], 1, 0))</f>
        <v>0</v>
      </c>
      <c r="AN9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9" s="2" t="str">
        <f>INDEX(Sheet5!$B$2:$AG$33, MATCH(Table2[[#This Row],[AwayTeam]],Sheet5!$A$2:$A$33, 0), MATCH(Table2[[#This Row],[HomeTeam]],Sheet5!$A$2:$A$33, 0))</f>
        <v>0-0-0</v>
      </c>
      <c r="AP949" s="2" t="str">
        <f>INDEX(Sheet5!$B$2:$AG$33, MATCH(Table2[[#This Row],[HomeTeam]],Sheet5!$A$2:$A$33, 0), MATCH(Table2[[#This Row],[AwayTeam]],Sheet5!$A$2:$A$33, 0))</f>
        <v>0-0-0</v>
      </c>
      <c r="AQ949" s="2">
        <f>IF(Table2[[#This Row],[GameHasShutOut]], 1, 0)</f>
        <v>0</v>
      </c>
      <c r="AR949" s="2">
        <f>IF(Table2[[#This Row],[ActualAwayScore]] + Table2[[#This Row],[ActualHomeScore]] &gt;= 10, 1, 0)</f>
        <v>0</v>
      </c>
      <c r="AS949" s="2">
        <f>IF(ABS(Table2[[#This Row],[ActualAwayScore]]-Table2[[#This Row],[ActualHomeScore]])&gt;=5, 1, 0)</f>
        <v>0</v>
      </c>
      <c r="AT949" s="2">
        <f>IF(Table2[[#This Row],[ActualAwayScore]] + Table2[[#This Row],[ActualHomeScore]] &lt;= 3, 1, 0)</f>
        <v>1</v>
      </c>
      <c r="AU949" s="2"/>
      <c r="AV949" s="2"/>
    </row>
    <row r="950" spans="1:48" x14ac:dyDescent="0.25">
      <c r="A950" s="3"/>
      <c r="B950" s="3">
        <v>46082</v>
      </c>
      <c r="C950" s="5">
        <v>2025020948</v>
      </c>
      <c r="D950" s="2" t="s">
        <v>13</v>
      </c>
      <c r="E950" s="2" t="s">
        <v>32</v>
      </c>
      <c r="F950" s="2"/>
      <c r="G950" s="2"/>
      <c r="H950" s="2" t="str">
        <f t="shared" si="74"/>
        <v>_</v>
      </c>
      <c r="I950" s="2"/>
      <c r="J950" s="2"/>
      <c r="K950" s="2"/>
      <c r="L950" s="2" t="str">
        <f t="shared" si="75"/>
        <v>_</v>
      </c>
      <c r="M950" s="2"/>
      <c r="N950" s="2">
        <f>IF(ISBLANK(Table2[[#This Row],[ActualResult]]), 0, 1)</f>
        <v>0</v>
      </c>
      <c r="O950" s="2" t="str">
        <f>IF(ISBLANK(Table2[[#This Row],[ActualResult]]), "_", IF(Table2[[#This Row],[ActualWinner]]=Table2[[#This Row],[PredictedWinner]], "Y", "N"))</f>
        <v>_</v>
      </c>
      <c r="P9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0" s="2"/>
      <c r="S950" s="2" t="str">
        <f t="shared" si="76"/>
        <v>_</v>
      </c>
      <c r="T9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0" s="2">
        <f>IF(Table2[[#This Row],[InterConf]]=1,IF(Table2[[#This Row],[InterDiv]]=0, 1, 0), 0)</f>
        <v>1</v>
      </c>
      <c r="W9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0" s="2"/>
      <c r="Y950" s="2"/>
      <c r="Z950" s="145">
        <f>IF(AND(Table2[[#This Row],[GameIsOver]]=1,Table2[[#This Row],[ActualHomeScore]]*Table2[[#This Row],[ActualAwayScore]]=0), 1,0)</f>
        <v>0</v>
      </c>
      <c r="AA9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0" s="2">
        <f>Table2[[#This Row],[ActualAwayScore]]-Table2[[#This Row],[PredictedAwayScore]]</f>
        <v>0</v>
      </c>
      <c r="AG950" s="2">
        <f>Table2[[#This Row],[ActualHomeScore]]-Table2[[#This Row],[PredictedHomeScore]]</f>
        <v>0</v>
      </c>
      <c r="AH950" s="2">
        <f t="shared" si="77"/>
        <v>0</v>
      </c>
      <c r="AI950" s="2">
        <f t="shared" si="78"/>
        <v>0</v>
      </c>
      <c r="AJ950" s="2"/>
      <c r="AK950" s="3"/>
      <c r="AL950" s="2">
        <f>IF(Table2[[#This Row],[GameIsOver]]=0,0,IF(Table2[[#This Row],[ActualWinner]]=Table2[[#This Row],[AwayTeam]], 1, 0))</f>
        <v>0</v>
      </c>
      <c r="AM950" s="2">
        <f>IF(Table2[[#This Row],[GameIsOver]]=0,0,IF(Table2[[#This Row],[ActualWinner]]=Table2[[#This Row],[HomeTeam]], 1, 0))</f>
        <v>0</v>
      </c>
      <c r="AN9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0" s="2" t="str">
        <f>INDEX(Sheet5!$B$2:$AG$33, MATCH(Table2[[#This Row],[AwayTeam]],Sheet5!$A$2:$A$33, 0), MATCH(Table2[[#This Row],[HomeTeam]],Sheet5!$A$2:$A$33, 0))</f>
        <v>0-0-0</v>
      </c>
      <c r="AP950" s="2" t="str">
        <f>INDEX(Sheet5!$B$2:$AG$33, MATCH(Table2[[#This Row],[HomeTeam]],Sheet5!$A$2:$A$33, 0), MATCH(Table2[[#This Row],[AwayTeam]],Sheet5!$A$2:$A$33, 0))</f>
        <v>0-0-0</v>
      </c>
      <c r="AQ950" s="2">
        <f>IF(Table2[[#This Row],[GameHasShutOut]], 1, 0)</f>
        <v>0</v>
      </c>
      <c r="AR950" s="2">
        <f>IF(Table2[[#This Row],[ActualAwayScore]] + Table2[[#This Row],[ActualHomeScore]] &gt;= 10, 1, 0)</f>
        <v>0</v>
      </c>
      <c r="AS950" s="2">
        <f>IF(ABS(Table2[[#This Row],[ActualAwayScore]]-Table2[[#This Row],[ActualHomeScore]])&gt;=5, 1, 0)</f>
        <v>0</v>
      </c>
      <c r="AT950" s="2">
        <f>IF(Table2[[#This Row],[ActualAwayScore]] + Table2[[#This Row],[ActualHomeScore]] &lt;= 3, 1, 0)</f>
        <v>1</v>
      </c>
      <c r="AU950" s="2"/>
      <c r="AV950" s="2"/>
    </row>
    <row r="951" spans="1:48" x14ac:dyDescent="0.25">
      <c r="A951" s="3"/>
      <c r="B951" s="3">
        <v>46082</v>
      </c>
      <c r="C951" s="5">
        <v>2025020949</v>
      </c>
      <c r="D951" s="2" t="s">
        <v>16</v>
      </c>
      <c r="E951" s="2" t="s">
        <v>14</v>
      </c>
      <c r="F951" s="2"/>
      <c r="G951" s="2"/>
      <c r="H951" s="2" t="str">
        <f t="shared" si="74"/>
        <v>_</v>
      </c>
      <c r="I951" s="2"/>
      <c r="J951" s="2"/>
      <c r="K951" s="2"/>
      <c r="L951" s="2" t="str">
        <f t="shared" si="75"/>
        <v>_</v>
      </c>
      <c r="M951" s="2"/>
      <c r="N951" s="2">
        <f>IF(ISBLANK(Table2[[#This Row],[ActualResult]]), 0, 1)</f>
        <v>0</v>
      </c>
      <c r="O951" s="2" t="str">
        <f>IF(ISBLANK(Table2[[#This Row],[ActualResult]]), "_", IF(Table2[[#This Row],[ActualWinner]]=Table2[[#This Row],[PredictedWinner]], "Y", "N"))</f>
        <v>_</v>
      </c>
      <c r="P9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1" s="2"/>
      <c r="S951" s="2" t="str">
        <f t="shared" si="76"/>
        <v>_</v>
      </c>
      <c r="T9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1" s="2">
        <f>IF(Table2[[#This Row],[InterConf]]=1,IF(Table2[[#This Row],[InterDiv]]=0, 1, 0), 0)</f>
        <v>0</v>
      </c>
      <c r="W9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1" s="2"/>
      <c r="Y951" s="2"/>
      <c r="Z951" s="145">
        <f>IF(AND(Table2[[#This Row],[GameIsOver]]=1,Table2[[#This Row],[ActualHomeScore]]*Table2[[#This Row],[ActualAwayScore]]=0), 1,0)</f>
        <v>0</v>
      </c>
      <c r="AA9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1" s="2">
        <f>Table2[[#This Row],[ActualAwayScore]]-Table2[[#This Row],[PredictedAwayScore]]</f>
        <v>0</v>
      </c>
      <c r="AG951" s="2">
        <f>Table2[[#This Row],[ActualHomeScore]]-Table2[[#This Row],[PredictedHomeScore]]</f>
        <v>0</v>
      </c>
      <c r="AH951" s="2">
        <f t="shared" si="77"/>
        <v>0</v>
      </c>
      <c r="AI951" s="2">
        <f t="shared" si="78"/>
        <v>0</v>
      </c>
      <c r="AJ951" s="2"/>
      <c r="AK951" s="3"/>
      <c r="AL951" s="2">
        <f>IF(Table2[[#This Row],[GameIsOver]]=0,0,IF(Table2[[#This Row],[ActualWinner]]=Table2[[#This Row],[AwayTeam]], 1, 0))</f>
        <v>0</v>
      </c>
      <c r="AM951" s="2">
        <f>IF(Table2[[#This Row],[GameIsOver]]=0,0,IF(Table2[[#This Row],[ActualWinner]]=Table2[[#This Row],[HomeTeam]], 1, 0))</f>
        <v>0</v>
      </c>
      <c r="AN9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1" s="2" t="str">
        <f>INDEX(Sheet5!$B$2:$AG$33, MATCH(Table2[[#This Row],[AwayTeam]],Sheet5!$A$2:$A$33, 0), MATCH(Table2[[#This Row],[HomeTeam]],Sheet5!$A$2:$A$33, 0))</f>
        <v>1-0-0</v>
      </c>
      <c r="AP951" s="2" t="str">
        <f>INDEX(Sheet5!$B$2:$AG$33, MATCH(Table2[[#This Row],[HomeTeam]],Sheet5!$A$2:$A$33, 0), MATCH(Table2[[#This Row],[AwayTeam]],Sheet5!$A$2:$A$33, 0))</f>
        <v>0-1-0</v>
      </c>
      <c r="AQ951" s="2">
        <f>IF(Table2[[#This Row],[GameHasShutOut]], 1, 0)</f>
        <v>0</v>
      </c>
      <c r="AR951" s="2">
        <f>IF(Table2[[#This Row],[ActualAwayScore]] + Table2[[#This Row],[ActualHomeScore]] &gt;= 10, 1, 0)</f>
        <v>0</v>
      </c>
      <c r="AS951" s="2">
        <f>IF(ABS(Table2[[#This Row],[ActualAwayScore]]-Table2[[#This Row],[ActualHomeScore]])&gt;=5, 1, 0)</f>
        <v>0</v>
      </c>
      <c r="AT951" s="2">
        <f>IF(Table2[[#This Row],[ActualAwayScore]] + Table2[[#This Row],[ActualHomeScore]] &lt;= 3, 1, 0)</f>
        <v>1</v>
      </c>
      <c r="AU951" s="2"/>
      <c r="AV951" s="2"/>
    </row>
    <row r="952" spans="1:48" x14ac:dyDescent="0.25">
      <c r="A952" s="3"/>
      <c r="B952" s="3">
        <v>46082</v>
      </c>
      <c r="C952" s="5">
        <v>2025020950</v>
      </c>
      <c r="D952" s="2" t="s">
        <v>21</v>
      </c>
      <c r="E952" s="2" t="s">
        <v>37</v>
      </c>
      <c r="F952" s="2"/>
      <c r="G952" s="2"/>
      <c r="H952" s="2" t="str">
        <f t="shared" si="74"/>
        <v>_</v>
      </c>
      <c r="I952" s="2"/>
      <c r="J952" s="2"/>
      <c r="K952" s="2"/>
      <c r="L952" s="2" t="str">
        <f t="shared" si="75"/>
        <v>_</v>
      </c>
      <c r="M952" s="2"/>
      <c r="N952" s="2">
        <f>IF(ISBLANK(Table2[[#This Row],[ActualResult]]), 0, 1)</f>
        <v>0</v>
      </c>
      <c r="O952" s="2" t="str">
        <f>IF(ISBLANK(Table2[[#This Row],[ActualResult]]), "_", IF(Table2[[#This Row],[ActualWinner]]=Table2[[#This Row],[PredictedWinner]], "Y", "N"))</f>
        <v>_</v>
      </c>
      <c r="P9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2" s="2"/>
      <c r="S952" s="2" t="str">
        <f t="shared" si="76"/>
        <v>_</v>
      </c>
      <c r="T9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2" s="2">
        <f>IF(Table2[[#This Row],[InterConf]]=1,IF(Table2[[#This Row],[InterDiv]]=0, 1, 0), 0)</f>
        <v>1</v>
      </c>
      <c r="W9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2" s="2"/>
      <c r="Y952" s="2"/>
      <c r="Z952" s="145">
        <f>IF(AND(Table2[[#This Row],[GameIsOver]]=1,Table2[[#This Row],[ActualHomeScore]]*Table2[[#This Row],[ActualAwayScore]]=0), 1,0)</f>
        <v>0</v>
      </c>
      <c r="AA9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2" s="2">
        <f>Table2[[#This Row],[ActualAwayScore]]-Table2[[#This Row],[PredictedAwayScore]]</f>
        <v>0</v>
      </c>
      <c r="AG952" s="2">
        <f>Table2[[#This Row],[ActualHomeScore]]-Table2[[#This Row],[PredictedHomeScore]]</f>
        <v>0</v>
      </c>
      <c r="AH952" s="2">
        <f t="shared" si="77"/>
        <v>0</v>
      </c>
      <c r="AI952" s="2">
        <f t="shared" si="78"/>
        <v>0</v>
      </c>
      <c r="AJ952" s="2"/>
      <c r="AK952" s="3"/>
      <c r="AL952" s="2">
        <f>IF(Table2[[#This Row],[GameIsOver]]=0,0,IF(Table2[[#This Row],[ActualWinner]]=Table2[[#This Row],[AwayTeam]], 1, 0))</f>
        <v>0</v>
      </c>
      <c r="AM952" s="2">
        <f>IF(Table2[[#This Row],[GameIsOver]]=0,0,IF(Table2[[#This Row],[ActualWinner]]=Table2[[#This Row],[HomeTeam]], 1, 0))</f>
        <v>0</v>
      </c>
      <c r="AN9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2" s="2" t="str">
        <f>INDEX(Sheet5!$B$2:$AG$33, MATCH(Table2[[#This Row],[AwayTeam]],Sheet5!$A$2:$A$33, 0), MATCH(Table2[[#This Row],[HomeTeam]],Sheet5!$A$2:$A$33, 0))</f>
        <v>0-0-0</v>
      </c>
      <c r="AP952" s="2" t="str">
        <f>INDEX(Sheet5!$B$2:$AG$33, MATCH(Table2[[#This Row],[HomeTeam]],Sheet5!$A$2:$A$33, 0), MATCH(Table2[[#This Row],[AwayTeam]],Sheet5!$A$2:$A$33, 0))</f>
        <v>0-0-0</v>
      </c>
      <c r="AQ952" s="2">
        <f>IF(Table2[[#This Row],[GameHasShutOut]], 1, 0)</f>
        <v>0</v>
      </c>
      <c r="AR952" s="2">
        <f>IF(Table2[[#This Row],[ActualAwayScore]] + Table2[[#This Row],[ActualHomeScore]] &gt;= 10, 1, 0)</f>
        <v>0</v>
      </c>
      <c r="AS952" s="2">
        <f>IF(ABS(Table2[[#This Row],[ActualAwayScore]]-Table2[[#This Row],[ActualHomeScore]])&gt;=5, 1, 0)</f>
        <v>0</v>
      </c>
      <c r="AT952" s="2">
        <f>IF(Table2[[#This Row],[ActualAwayScore]] + Table2[[#This Row],[ActualHomeScore]] &lt;= 3, 1, 0)</f>
        <v>1</v>
      </c>
      <c r="AU952" s="2"/>
      <c r="AV952" s="2"/>
    </row>
    <row r="953" spans="1:48" x14ac:dyDescent="0.25">
      <c r="A953" s="3"/>
      <c r="B953" s="3">
        <v>46082</v>
      </c>
      <c r="C953" s="5">
        <v>2025020951</v>
      </c>
      <c r="D953" s="2" t="s">
        <v>12</v>
      </c>
      <c r="E953" s="2" t="s">
        <v>36</v>
      </c>
      <c r="F953" s="2"/>
      <c r="G953" s="2"/>
      <c r="H953" s="2" t="str">
        <f t="shared" si="74"/>
        <v>_</v>
      </c>
      <c r="I953" s="2"/>
      <c r="J953" s="2"/>
      <c r="K953" s="2"/>
      <c r="L953" s="2" t="str">
        <f t="shared" si="75"/>
        <v>_</v>
      </c>
      <c r="M953" s="2"/>
      <c r="N953" s="2">
        <f>IF(ISBLANK(Table2[[#This Row],[ActualResult]]), 0, 1)</f>
        <v>0</v>
      </c>
      <c r="O953" s="2" t="str">
        <f>IF(ISBLANK(Table2[[#This Row],[ActualResult]]), "_", IF(Table2[[#This Row],[ActualWinner]]=Table2[[#This Row],[PredictedWinner]], "Y", "N"))</f>
        <v>_</v>
      </c>
      <c r="P9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3" s="2"/>
      <c r="S953" s="2" t="str">
        <f t="shared" si="76"/>
        <v>_</v>
      </c>
      <c r="T9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3" s="2">
        <f>IF(Table2[[#This Row],[InterConf]]=1,IF(Table2[[#This Row],[InterDiv]]=0, 1, 0), 0)</f>
        <v>0</v>
      </c>
      <c r="W9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3" s="2"/>
      <c r="Y953" s="2"/>
      <c r="Z953" s="145">
        <f>IF(AND(Table2[[#This Row],[GameIsOver]]=1,Table2[[#This Row],[ActualHomeScore]]*Table2[[#This Row],[ActualAwayScore]]=0), 1,0)</f>
        <v>0</v>
      </c>
      <c r="AA9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3" s="2">
        <f>Table2[[#This Row],[ActualAwayScore]]-Table2[[#This Row],[PredictedAwayScore]]</f>
        <v>0</v>
      </c>
      <c r="AG953" s="2">
        <f>Table2[[#This Row],[ActualHomeScore]]-Table2[[#This Row],[PredictedHomeScore]]</f>
        <v>0</v>
      </c>
      <c r="AH953" s="2">
        <f t="shared" si="77"/>
        <v>0</v>
      </c>
      <c r="AI953" s="2">
        <f t="shared" si="78"/>
        <v>0</v>
      </c>
      <c r="AJ953" s="2"/>
      <c r="AK953" s="3"/>
      <c r="AL953" s="2">
        <f>IF(Table2[[#This Row],[GameIsOver]]=0,0,IF(Table2[[#This Row],[ActualWinner]]=Table2[[#This Row],[AwayTeam]], 1, 0))</f>
        <v>0</v>
      </c>
      <c r="AM953" s="2">
        <f>IF(Table2[[#This Row],[GameIsOver]]=0,0,IF(Table2[[#This Row],[ActualWinner]]=Table2[[#This Row],[HomeTeam]], 1, 0))</f>
        <v>0</v>
      </c>
      <c r="AN9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3" s="2" t="str">
        <f>INDEX(Sheet5!$B$2:$AG$33, MATCH(Table2[[#This Row],[AwayTeam]],Sheet5!$A$2:$A$33, 0), MATCH(Table2[[#This Row],[HomeTeam]],Sheet5!$A$2:$A$33, 0))</f>
        <v>0-1-0</v>
      </c>
      <c r="AP953" s="2" t="str">
        <f>INDEX(Sheet5!$B$2:$AG$33, MATCH(Table2[[#This Row],[HomeTeam]],Sheet5!$A$2:$A$33, 0), MATCH(Table2[[#This Row],[AwayTeam]],Sheet5!$A$2:$A$33, 0))</f>
        <v>1-0-0</v>
      </c>
      <c r="AQ953" s="2">
        <f>IF(Table2[[#This Row],[GameHasShutOut]], 1, 0)</f>
        <v>0</v>
      </c>
      <c r="AR953" s="2">
        <f>IF(Table2[[#This Row],[ActualAwayScore]] + Table2[[#This Row],[ActualHomeScore]] &gt;= 10, 1, 0)</f>
        <v>0</v>
      </c>
      <c r="AS953" s="2">
        <f>IF(ABS(Table2[[#This Row],[ActualAwayScore]]-Table2[[#This Row],[ActualHomeScore]])&gt;=5, 1, 0)</f>
        <v>0</v>
      </c>
      <c r="AT953" s="2">
        <f>IF(Table2[[#This Row],[ActualAwayScore]] + Table2[[#This Row],[ActualHomeScore]] &lt;= 3, 1, 0)</f>
        <v>1</v>
      </c>
      <c r="AU953" s="2"/>
      <c r="AV953" s="2"/>
    </row>
    <row r="954" spans="1:48" x14ac:dyDescent="0.25">
      <c r="A954" s="3"/>
      <c r="B954" s="3">
        <v>46083</v>
      </c>
      <c r="C954" s="5">
        <v>2025020952</v>
      </c>
      <c r="D954" s="2" t="s">
        <v>23</v>
      </c>
      <c r="E954" s="2" t="s">
        <v>44</v>
      </c>
      <c r="F954" s="2"/>
      <c r="G954" s="2"/>
      <c r="H954" s="2" t="str">
        <f t="shared" si="74"/>
        <v>_</v>
      </c>
      <c r="I954" s="2"/>
      <c r="J954" s="2"/>
      <c r="K954" s="2"/>
      <c r="L954" s="2" t="str">
        <f t="shared" si="75"/>
        <v>_</v>
      </c>
      <c r="M954" s="2"/>
      <c r="N954" s="2">
        <f>IF(ISBLANK(Table2[[#This Row],[ActualResult]]), 0, 1)</f>
        <v>0</v>
      </c>
      <c r="O954" s="2" t="str">
        <f>IF(ISBLANK(Table2[[#This Row],[ActualResult]]), "_", IF(Table2[[#This Row],[ActualWinner]]=Table2[[#This Row],[PredictedWinner]], "Y", "N"))</f>
        <v>_</v>
      </c>
      <c r="P9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4" s="2"/>
      <c r="S954" s="2" t="str">
        <f t="shared" si="76"/>
        <v>_</v>
      </c>
      <c r="T9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4" s="2">
        <f>IF(Table2[[#This Row],[InterConf]]=1,IF(Table2[[#This Row],[InterDiv]]=0, 1, 0), 0)</f>
        <v>0</v>
      </c>
      <c r="W9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4" s="2"/>
      <c r="Y954" s="2"/>
      <c r="Z954" s="145">
        <f>IF(AND(Table2[[#This Row],[GameIsOver]]=1,Table2[[#This Row],[ActualHomeScore]]*Table2[[#This Row],[ActualAwayScore]]=0), 1,0)</f>
        <v>0</v>
      </c>
      <c r="AA9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54" s="2">
        <f>Table2[[#This Row],[ActualAwayScore]]-Table2[[#This Row],[PredictedAwayScore]]</f>
        <v>0</v>
      </c>
      <c r="AG954" s="2">
        <f>Table2[[#This Row],[ActualHomeScore]]-Table2[[#This Row],[PredictedHomeScore]]</f>
        <v>0</v>
      </c>
      <c r="AH954" s="2">
        <f t="shared" si="77"/>
        <v>0</v>
      </c>
      <c r="AI954" s="2">
        <f t="shared" si="78"/>
        <v>0</v>
      </c>
      <c r="AJ954" s="2"/>
      <c r="AK954" s="3"/>
      <c r="AL954" s="2">
        <f>IF(Table2[[#This Row],[GameIsOver]]=0,0,IF(Table2[[#This Row],[ActualWinner]]=Table2[[#This Row],[AwayTeam]], 1, 0))</f>
        <v>0</v>
      </c>
      <c r="AM954" s="2">
        <f>IF(Table2[[#This Row],[GameIsOver]]=0,0,IF(Table2[[#This Row],[ActualWinner]]=Table2[[#This Row],[HomeTeam]], 1, 0))</f>
        <v>0</v>
      </c>
      <c r="AN9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4" s="2" t="str">
        <f>INDEX(Sheet5!$B$2:$AG$33, MATCH(Table2[[#This Row],[AwayTeam]],Sheet5!$A$2:$A$33, 0), MATCH(Table2[[#This Row],[HomeTeam]],Sheet5!$A$2:$A$33, 0))</f>
        <v>0-0-0</v>
      </c>
      <c r="AP954" s="2" t="str">
        <f>INDEX(Sheet5!$B$2:$AG$33, MATCH(Table2[[#This Row],[HomeTeam]],Sheet5!$A$2:$A$33, 0), MATCH(Table2[[#This Row],[AwayTeam]],Sheet5!$A$2:$A$33, 0))</f>
        <v>0-0-0</v>
      </c>
      <c r="AQ954" s="2">
        <f>IF(Table2[[#This Row],[GameHasShutOut]], 1, 0)</f>
        <v>0</v>
      </c>
      <c r="AR954" s="2">
        <f>IF(Table2[[#This Row],[ActualAwayScore]] + Table2[[#This Row],[ActualHomeScore]] &gt;= 10, 1, 0)</f>
        <v>0</v>
      </c>
      <c r="AS954" s="2">
        <f>IF(ABS(Table2[[#This Row],[ActualAwayScore]]-Table2[[#This Row],[ActualHomeScore]])&gt;=5, 1, 0)</f>
        <v>0</v>
      </c>
      <c r="AT954" s="2">
        <f>IF(Table2[[#This Row],[ActualAwayScore]] + Table2[[#This Row],[ActualHomeScore]] &lt;= 3, 1, 0)</f>
        <v>1</v>
      </c>
      <c r="AU954" s="2"/>
      <c r="AV954" s="2"/>
    </row>
    <row r="955" spans="1:48" x14ac:dyDescent="0.25">
      <c r="A955" s="3"/>
      <c r="B955" s="3">
        <v>46084</v>
      </c>
      <c r="C955" s="5">
        <v>2025020953</v>
      </c>
      <c r="D955" s="2" t="s">
        <v>35</v>
      </c>
      <c r="E955" s="2" t="s">
        <v>19</v>
      </c>
      <c r="F955" s="2"/>
      <c r="G955" s="2"/>
      <c r="H955" s="2" t="str">
        <f t="shared" si="74"/>
        <v>_</v>
      </c>
      <c r="I955" s="2"/>
      <c r="J955" s="2"/>
      <c r="K955" s="2"/>
      <c r="L955" s="2" t="str">
        <f t="shared" si="75"/>
        <v>_</v>
      </c>
      <c r="M955" s="2"/>
      <c r="N955" s="2">
        <f>IF(ISBLANK(Table2[[#This Row],[ActualResult]]), 0, 1)</f>
        <v>0</v>
      </c>
      <c r="O955" s="2" t="str">
        <f>IF(ISBLANK(Table2[[#This Row],[ActualResult]]), "_", IF(Table2[[#This Row],[ActualWinner]]=Table2[[#This Row],[PredictedWinner]], "Y", "N"))</f>
        <v>_</v>
      </c>
      <c r="P9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5" s="2"/>
      <c r="S955" s="2" t="str">
        <f t="shared" si="76"/>
        <v>_</v>
      </c>
      <c r="T9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5" s="2">
        <f>IF(Table2[[#This Row],[InterConf]]=1,IF(Table2[[#This Row],[InterDiv]]=0, 1, 0), 0)</f>
        <v>0</v>
      </c>
      <c r="W9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5" s="2"/>
      <c r="Y955" s="2"/>
      <c r="Z955" s="145">
        <f>IF(AND(Table2[[#This Row],[GameIsOver]]=1,Table2[[#This Row],[ActualHomeScore]]*Table2[[#This Row],[ActualAwayScore]]=0), 1,0)</f>
        <v>0</v>
      </c>
      <c r="AA9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5" s="2">
        <f>Table2[[#This Row],[ActualAwayScore]]-Table2[[#This Row],[PredictedAwayScore]]</f>
        <v>0</v>
      </c>
      <c r="AG955" s="2">
        <f>Table2[[#This Row],[ActualHomeScore]]-Table2[[#This Row],[PredictedHomeScore]]</f>
        <v>0</v>
      </c>
      <c r="AH955" s="2">
        <f t="shared" si="77"/>
        <v>0</v>
      </c>
      <c r="AI955" s="2">
        <f t="shared" si="78"/>
        <v>0</v>
      </c>
      <c r="AJ955" s="2"/>
      <c r="AK955" s="3"/>
      <c r="AL955" s="2">
        <f>IF(Table2[[#This Row],[GameIsOver]]=0,0,IF(Table2[[#This Row],[ActualWinner]]=Table2[[#This Row],[AwayTeam]], 1, 0))</f>
        <v>0</v>
      </c>
      <c r="AM955" s="2">
        <f>IF(Table2[[#This Row],[GameIsOver]]=0,0,IF(Table2[[#This Row],[ActualWinner]]=Table2[[#This Row],[HomeTeam]], 1, 0))</f>
        <v>0</v>
      </c>
      <c r="AN9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5" s="2" t="str">
        <f>INDEX(Sheet5!$B$2:$AG$33, MATCH(Table2[[#This Row],[AwayTeam]],Sheet5!$A$2:$A$33, 0), MATCH(Table2[[#This Row],[HomeTeam]],Sheet5!$A$2:$A$33, 0))</f>
        <v>0-0-0</v>
      </c>
      <c r="AP955" s="2" t="str">
        <f>INDEX(Sheet5!$B$2:$AG$33, MATCH(Table2[[#This Row],[HomeTeam]],Sheet5!$A$2:$A$33, 0), MATCH(Table2[[#This Row],[AwayTeam]],Sheet5!$A$2:$A$33, 0))</f>
        <v>0-0-0</v>
      </c>
      <c r="AQ955" s="2">
        <f>IF(Table2[[#This Row],[GameHasShutOut]], 1, 0)</f>
        <v>0</v>
      </c>
      <c r="AR955" s="2">
        <f>IF(Table2[[#This Row],[ActualAwayScore]] + Table2[[#This Row],[ActualHomeScore]] &gt;= 10, 1, 0)</f>
        <v>0</v>
      </c>
      <c r="AS955" s="2">
        <f>IF(ABS(Table2[[#This Row],[ActualAwayScore]]-Table2[[#This Row],[ActualHomeScore]])&gt;=5, 1, 0)</f>
        <v>0</v>
      </c>
      <c r="AT955" s="2">
        <f>IF(Table2[[#This Row],[ActualAwayScore]] + Table2[[#This Row],[ActualHomeScore]] &lt;= 3, 1, 0)</f>
        <v>1</v>
      </c>
      <c r="AU955" s="2"/>
      <c r="AV955" s="2"/>
    </row>
    <row r="956" spans="1:48" x14ac:dyDescent="0.25">
      <c r="A956" s="3"/>
      <c r="B956" s="3">
        <v>46084</v>
      </c>
      <c r="C956" s="5">
        <v>2025020954</v>
      </c>
      <c r="D956" s="2" t="s">
        <v>42</v>
      </c>
      <c r="E956" s="2" t="s">
        <v>17</v>
      </c>
      <c r="F956" s="2"/>
      <c r="G956" s="2"/>
      <c r="H956" s="2" t="str">
        <f t="shared" si="74"/>
        <v>_</v>
      </c>
      <c r="I956" s="2"/>
      <c r="J956" s="2"/>
      <c r="K956" s="2"/>
      <c r="L956" s="2" t="str">
        <f t="shared" si="75"/>
        <v>_</v>
      </c>
      <c r="M956" s="2"/>
      <c r="N956" s="2">
        <f>IF(ISBLANK(Table2[[#This Row],[ActualResult]]), 0, 1)</f>
        <v>0</v>
      </c>
      <c r="O956" s="2" t="str">
        <f>IF(ISBLANK(Table2[[#This Row],[ActualResult]]), "_", IF(Table2[[#This Row],[ActualWinner]]=Table2[[#This Row],[PredictedWinner]], "Y", "N"))</f>
        <v>_</v>
      </c>
      <c r="P9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6" s="2"/>
      <c r="S956" s="2" t="str">
        <f t="shared" si="76"/>
        <v>_</v>
      </c>
      <c r="T9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6" s="2">
        <f>IF(Table2[[#This Row],[InterConf]]=1,IF(Table2[[#This Row],[InterDiv]]=0, 1, 0), 0)</f>
        <v>1</v>
      </c>
      <c r="W9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6" s="2"/>
      <c r="Y956" s="2"/>
      <c r="Z956" s="145">
        <f>IF(AND(Table2[[#This Row],[GameIsOver]]=1,Table2[[#This Row],[ActualHomeScore]]*Table2[[#This Row],[ActualAwayScore]]=0), 1,0)</f>
        <v>0</v>
      </c>
      <c r="AA9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6" s="2">
        <f>Table2[[#This Row],[ActualAwayScore]]-Table2[[#This Row],[PredictedAwayScore]]</f>
        <v>0</v>
      </c>
      <c r="AG956" s="2">
        <f>Table2[[#This Row],[ActualHomeScore]]-Table2[[#This Row],[PredictedHomeScore]]</f>
        <v>0</v>
      </c>
      <c r="AH956" s="2">
        <f t="shared" si="77"/>
        <v>0</v>
      </c>
      <c r="AI956" s="2">
        <f t="shared" si="78"/>
        <v>0</v>
      </c>
      <c r="AJ956" s="2"/>
      <c r="AK956" s="3"/>
      <c r="AL956" s="2">
        <f>IF(Table2[[#This Row],[GameIsOver]]=0,0,IF(Table2[[#This Row],[ActualWinner]]=Table2[[#This Row],[AwayTeam]], 1, 0))</f>
        <v>0</v>
      </c>
      <c r="AM956" s="2">
        <f>IF(Table2[[#This Row],[GameIsOver]]=0,0,IF(Table2[[#This Row],[ActualWinner]]=Table2[[#This Row],[HomeTeam]], 1, 0))</f>
        <v>0</v>
      </c>
      <c r="AN9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6" s="2" t="str">
        <f>INDEX(Sheet5!$B$2:$AG$33, MATCH(Table2[[#This Row],[AwayTeam]],Sheet5!$A$2:$A$33, 0), MATCH(Table2[[#This Row],[HomeTeam]],Sheet5!$A$2:$A$33, 0))</f>
        <v>0-0-0</v>
      </c>
      <c r="AP956" s="2" t="str">
        <f>INDEX(Sheet5!$B$2:$AG$33, MATCH(Table2[[#This Row],[HomeTeam]],Sheet5!$A$2:$A$33, 0), MATCH(Table2[[#This Row],[AwayTeam]],Sheet5!$A$2:$A$33, 0))</f>
        <v>0-0-0</v>
      </c>
      <c r="AQ956" s="2">
        <f>IF(Table2[[#This Row],[GameHasShutOut]], 1, 0)</f>
        <v>0</v>
      </c>
      <c r="AR956" s="2">
        <f>IF(Table2[[#This Row],[ActualAwayScore]] + Table2[[#This Row],[ActualHomeScore]] &gt;= 10, 1, 0)</f>
        <v>0</v>
      </c>
      <c r="AS956" s="2">
        <f>IF(ABS(Table2[[#This Row],[ActualAwayScore]]-Table2[[#This Row],[ActualHomeScore]])&gt;=5, 1, 0)</f>
        <v>0</v>
      </c>
      <c r="AT956" s="2">
        <f>IF(Table2[[#This Row],[ActualAwayScore]] + Table2[[#This Row],[ActualHomeScore]] &lt;= 3, 1, 0)</f>
        <v>1</v>
      </c>
      <c r="AU956" s="2"/>
      <c r="AV956" s="2"/>
    </row>
    <row r="957" spans="1:48" x14ac:dyDescent="0.25">
      <c r="A957" s="3"/>
      <c r="B957" s="3">
        <v>46084</v>
      </c>
      <c r="C957" s="5">
        <v>2025020955</v>
      </c>
      <c r="D957" s="2" t="s">
        <v>30</v>
      </c>
      <c r="E957" s="2" t="s">
        <v>34</v>
      </c>
      <c r="F957" s="2"/>
      <c r="G957" s="2"/>
      <c r="H957" s="2" t="str">
        <f t="shared" si="74"/>
        <v>_</v>
      </c>
      <c r="I957" s="2"/>
      <c r="J957" s="2"/>
      <c r="K957" s="2"/>
      <c r="L957" s="2" t="str">
        <f t="shared" si="75"/>
        <v>_</v>
      </c>
      <c r="M957" s="2"/>
      <c r="N957" s="2">
        <f>IF(ISBLANK(Table2[[#This Row],[ActualResult]]), 0, 1)</f>
        <v>0</v>
      </c>
      <c r="O957" s="2" t="str">
        <f>IF(ISBLANK(Table2[[#This Row],[ActualResult]]), "_", IF(Table2[[#This Row],[ActualWinner]]=Table2[[#This Row],[PredictedWinner]], "Y", "N"))</f>
        <v>_</v>
      </c>
      <c r="P9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7" s="2"/>
      <c r="S957" s="2" t="str">
        <f t="shared" si="76"/>
        <v>_</v>
      </c>
      <c r="T9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7" s="2">
        <f>IF(Table2[[#This Row],[InterConf]]=1,IF(Table2[[#This Row],[InterDiv]]=0, 1, 0), 0)</f>
        <v>0</v>
      </c>
      <c r="W9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57" s="2"/>
      <c r="Y957" s="2"/>
      <c r="Z957" s="145">
        <f>IF(AND(Table2[[#This Row],[GameIsOver]]=1,Table2[[#This Row],[ActualHomeScore]]*Table2[[#This Row],[ActualAwayScore]]=0), 1,0)</f>
        <v>0</v>
      </c>
      <c r="AA9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7" s="2">
        <f>Table2[[#This Row],[ActualAwayScore]]-Table2[[#This Row],[PredictedAwayScore]]</f>
        <v>0</v>
      </c>
      <c r="AG957" s="2">
        <f>Table2[[#This Row],[ActualHomeScore]]-Table2[[#This Row],[PredictedHomeScore]]</f>
        <v>0</v>
      </c>
      <c r="AH957" s="2">
        <f t="shared" si="77"/>
        <v>0</v>
      </c>
      <c r="AI957" s="2">
        <f t="shared" si="78"/>
        <v>0</v>
      </c>
      <c r="AJ957" s="2"/>
      <c r="AK957" s="3"/>
      <c r="AL957" s="2">
        <f>IF(Table2[[#This Row],[GameIsOver]]=0,0,IF(Table2[[#This Row],[ActualWinner]]=Table2[[#This Row],[AwayTeam]], 1, 0))</f>
        <v>0</v>
      </c>
      <c r="AM957" s="2">
        <f>IF(Table2[[#This Row],[GameIsOver]]=0,0,IF(Table2[[#This Row],[ActualWinner]]=Table2[[#This Row],[HomeTeam]], 1, 0))</f>
        <v>0</v>
      </c>
      <c r="AN9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7" s="2" t="str">
        <f>INDEX(Sheet5!$B$2:$AG$33, MATCH(Table2[[#This Row],[AwayTeam]],Sheet5!$A$2:$A$33, 0), MATCH(Table2[[#This Row],[HomeTeam]],Sheet5!$A$2:$A$33, 0))</f>
        <v>0-0-0</v>
      </c>
      <c r="AP957" s="2" t="str">
        <f>INDEX(Sheet5!$B$2:$AG$33, MATCH(Table2[[#This Row],[HomeTeam]],Sheet5!$A$2:$A$33, 0), MATCH(Table2[[#This Row],[AwayTeam]],Sheet5!$A$2:$A$33, 0))</f>
        <v>0-0-0</v>
      </c>
      <c r="AQ957" s="2">
        <f>IF(Table2[[#This Row],[GameHasShutOut]], 1, 0)</f>
        <v>0</v>
      </c>
      <c r="AR957" s="2">
        <f>IF(Table2[[#This Row],[ActualAwayScore]] + Table2[[#This Row],[ActualHomeScore]] &gt;= 10, 1, 0)</f>
        <v>0</v>
      </c>
      <c r="AS957" s="2">
        <f>IF(ABS(Table2[[#This Row],[ActualAwayScore]]-Table2[[#This Row],[ActualHomeScore]])&gt;=5, 1, 0)</f>
        <v>0</v>
      </c>
      <c r="AT957" s="2">
        <f>IF(Table2[[#This Row],[ActualAwayScore]] + Table2[[#This Row],[ActualHomeScore]] &lt;= 3, 1, 0)</f>
        <v>1</v>
      </c>
      <c r="AU957" s="2"/>
      <c r="AV957" s="2"/>
    </row>
    <row r="958" spans="1:48" x14ac:dyDescent="0.25">
      <c r="A958" s="3"/>
      <c r="B958" s="3">
        <v>46084</v>
      </c>
      <c r="C958" s="5">
        <v>2025020956</v>
      </c>
      <c r="D958" s="2" t="s">
        <v>33</v>
      </c>
      <c r="E958" s="2" t="s">
        <v>24</v>
      </c>
      <c r="F958" s="2"/>
      <c r="G958" s="2"/>
      <c r="H958" s="2" t="str">
        <f t="shared" si="74"/>
        <v>_</v>
      </c>
      <c r="I958" s="2"/>
      <c r="J958" s="2"/>
      <c r="K958" s="2"/>
      <c r="L958" s="2" t="str">
        <f t="shared" si="75"/>
        <v>_</v>
      </c>
      <c r="M958" s="2"/>
      <c r="N958" s="2">
        <f>IF(ISBLANK(Table2[[#This Row],[ActualResult]]), 0, 1)</f>
        <v>0</v>
      </c>
      <c r="O958" s="2" t="str">
        <f>IF(ISBLANK(Table2[[#This Row],[ActualResult]]), "_", IF(Table2[[#This Row],[ActualWinner]]=Table2[[#This Row],[PredictedWinner]], "Y", "N"))</f>
        <v>_</v>
      </c>
      <c r="P9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8" s="2"/>
      <c r="S958" s="2" t="str">
        <f t="shared" si="76"/>
        <v>_</v>
      </c>
      <c r="T9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8" s="2">
        <f>IF(Table2[[#This Row],[InterConf]]=1,IF(Table2[[#This Row],[InterDiv]]=0, 1, 0), 0)</f>
        <v>1</v>
      </c>
      <c r="W9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8" s="2"/>
      <c r="Y958" s="2"/>
      <c r="Z958" s="145">
        <f>IF(AND(Table2[[#This Row],[GameIsOver]]=1,Table2[[#This Row],[ActualHomeScore]]*Table2[[#This Row],[ActualAwayScore]]=0), 1,0)</f>
        <v>0</v>
      </c>
      <c r="AA9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8" s="2">
        <f>Table2[[#This Row],[ActualAwayScore]]-Table2[[#This Row],[PredictedAwayScore]]</f>
        <v>0</v>
      </c>
      <c r="AG958" s="2">
        <f>Table2[[#This Row],[ActualHomeScore]]-Table2[[#This Row],[PredictedHomeScore]]</f>
        <v>0</v>
      </c>
      <c r="AH958" s="2">
        <f t="shared" si="77"/>
        <v>0</v>
      </c>
      <c r="AI958" s="2">
        <f t="shared" si="78"/>
        <v>0</v>
      </c>
      <c r="AJ958" s="2"/>
      <c r="AK958" s="3"/>
      <c r="AL958" s="2">
        <f>IF(Table2[[#This Row],[GameIsOver]]=0,0,IF(Table2[[#This Row],[ActualWinner]]=Table2[[#This Row],[AwayTeam]], 1, 0))</f>
        <v>0</v>
      </c>
      <c r="AM958" s="2">
        <f>IF(Table2[[#This Row],[GameIsOver]]=0,0,IF(Table2[[#This Row],[ActualWinner]]=Table2[[#This Row],[HomeTeam]], 1, 0))</f>
        <v>0</v>
      </c>
      <c r="AN9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8" s="2" t="str">
        <f>INDEX(Sheet5!$B$2:$AG$33, MATCH(Table2[[#This Row],[AwayTeam]],Sheet5!$A$2:$A$33, 0), MATCH(Table2[[#This Row],[HomeTeam]],Sheet5!$A$2:$A$33, 0))</f>
        <v>0-1-0</v>
      </c>
      <c r="AP958" s="2" t="str">
        <f>INDEX(Sheet5!$B$2:$AG$33, MATCH(Table2[[#This Row],[HomeTeam]],Sheet5!$A$2:$A$33, 0), MATCH(Table2[[#This Row],[AwayTeam]],Sheet5!$A$2:$A$33, 0))</f>
        <v>1-0-0</v>
      </c>
      <c r="AQ958" s="2">
        <f>IF(Table2[[#This Row],[GameHasShutOut]], 1, 0)</f>
        <v>0</v>
      </c>
      <c r="AR958" s="2">
        <f>IF(Table2[[#This Row],[ActualAwayScore]] + Table2[[#This Row],[ActualHomeScore]] &gt;= 10, 1, 0)</f>
        <v>0</v>
      </c>
      <c r="AS958" s="2">
        <f>IF(ABS(Table2[[#This Row],[ActualAwayScore]]-Table2[[#This Row],[ActualHomeScore]])&gt;=5, 1, 0)</f>
        <v>0</v>
      </c>
      <c r="AT958" s="2">
        <f>IF(Table2[[#This Row],[ActualAwayScore]] + Table2[[#This Row],[ActualHomeScore]] &lt;= 3, 1, 0)</f>
        <v>1</v>
      </c>
      <c r="AU958" s="2"/>
      <c r="AV958" s="2"/>
    </row>
    <row r="959" spans="1:48" x14ac:dyDescent="0.25">
      <c r="A959" s="3"/>
      <c r="B959" s="3">
        <v>46084</v>
      </c>
      <c r="C959" s="5">
        <v>2025020957</v>
      </c>
      <c r="D959" s="2" t="s">
        <v>41</v>
      </c>
      <c r="E959" s="2" t="s">
        <v>11</v>
      </c>
      <c r="F959" s="2"/>
      <c r="G959" s="2"/>
      <c r="H959" s="2" t="str">
        <f t="shared" si="74"/>
        <v>_</v>
      </c>
      <c r="I959" s="2"/>
      <c r="J959" s="2"/>
      <c r="K959" s="2"/>
      <c r="L959" s="2" t="str">
        <f t="shared" si="75"/>
        <v>_</v>
      </c>
      <c r="M959" s="2"/>
      <c r="N959" s="2">
        <f>IF(ISBLANK(Table2[[#This Row],[ActualResult]]), 0, 1)</f>
        <v>0</v>
      </c>
      <c r="O959" s="2" t="str">
        <f>IF(ISBLANK(Table2[[#This Row],[ActualResult]]), "_", IF(Table2[[#This Row],[ActualWinner]]=Table2[[#This Row],[PredictedWinner]], "Y", "N"))</f>
        <v>_</v>
      </c>
      <c r="P9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9" s="2"/>
      <c r="S959" s="2" t="str">
        <f t="shared" si="76"/>
        <v>_</v>
      </c>
      <c r="T9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9" s="2">
        <f>IF(Table2[[#This Row],[InterConf]]=1,IF(Table2[[#This Row],[InterDiv]]=0, 1, 0), 0)</f>
        <v>0</v>
      </c>
      <c r="W9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59" s="2"/>
      <c r="Y959" s="2"/>
      <c r="Z959" s="145">
        <f>IF(AND(Table2[[#This Row],[GameIsOver]]=1,Table2[[#This Row],[ActualHomeScore]]*Table2[[#This Row],[ActualAwayScore]]=0), 1,0)</f>
        <v>0</v>
      </c>
      <c r="AA9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9" s="2">
        <f>Table2[[#This Row],[ActualAwayScore]]-Table2[[#This Row],[PredictedAwayScore]]</f>
        <v>0</v>
      </c>
      <c r="AG959" s="2">
        <f>Table2[[#This Row],[ActualHomeScore]]-Table2[[#This Row],[PredictedHomeScore]]</f>
        <v>0</v>
      </c>
      <c r="AH959" s="2">
        <f t="shared" si="77"/>
        <v>0</v>
      </c>
      <c r="AI959" s="2">
        <f t="shared" si="78"/>
        <v>0</v>
      </c>
      <c r="AJ959" s="2"/>
      <c r="AK959" s="3"/>
      <c r="AL959" s="2">
        <f>IF(Table2[[#This Row],[GameIsOver]]=0,0,IF(Table2[[#This Row],[ActualWinner]]=Table2[[#This Row],[AwayTeam]], 1, 0))</f>
        <v>0</v>
      </c>
      <c r="AM959" s="2">
        <f>IF(Table2[[#This Row],[GameIsOver]]=0,0,IF(Table2[[#This Row],[ActualWinner]]=Table2[[#This Row],[HomeTeam]], 1, 0))</f>
        <v>0</v>
      </c>
      <c r="AN9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9" s="2" t="str">
        <f>INDEX(Sheet5!$B$2:$AG$33, MATCH(Table2[[#This Row],[AwayTeam]],Sheet5!$A$2:$A$33, 0), MATCH(Table2[[#This Row],[HomeTeam]],Sheet5!$A$2:$A$33, 0))</f>
        <v>0-0-0</v>
      </c>
      <c r="AP959" s="2" t="str">
        <f>INDEX(Sheet5!$B$2:$AG$33, MATCH(Table2[[#This Row],[HomeTeam]],Sheet5!$A$2:$A$33, 0), MATCH(Table2[[#This Row],[AwayTeam]],Sheet5!$A$2:$A$33, 0))</f>
        <v>0-0-0</v>
      </c>
      <c r="AQ959" s="2">
        <f>IF(Table2[[#This Row],[GameHasShutOut]], 1, 0)</f>
        <v>0</v>
      </c>
      <c r="AR959" s="2">
        <f>IF(Table2[[#This Row],[ActualAwayScore]] + Table2[[#This Row],[ActualHomeScore]] &gt;= 10, 1, 0)</f>
        <v>0</v>
      </c>
      <c r="AS959" s="2">
        <f>IF(ABS(Table2[[#This Row],[ActualAwayScore]]-Table2[[#This Row],[ActualHomeScore]])&gt;=5, 1, 0)</f>
        <v>0</v>
      </c>
      <c r="AT959" s="2">
        <f>IF(Table2[[#This Row],[ActualAwayScore]] + Table2[[#This Row],[ActualHomeScore]] &lt;= 3, 1, 0)</f>
        <v>1</v>
      </c>
      <c r="AU959" s="2"/>
      <c r="AV959" s="2"/>
    </row>
    <row r="960" spans="1:48" x14ac:dyDescent="0.25">
      <c r="A960" s="3"/>
      <c r="B960" s="3">
        <v>46084</v>
      </c>
      <c r="C960" s="5">
        <v>2025020958</v>
      </c>
      <c r="D960" s="2" t="s">
        <v>25</v>
      </c>
      <c r="E960" s="2" t="s">
        <v>27</v>
      </c>
      <c r="F960" s="2"/>
      <c r="G960" s="2"/>
      <c r="H960" s="2" t="str">
        <f t="shared" si="74"/>
        <v>_</v>
      </c>
      <c r="I960" s="2"/>
      <c r="J960" s="2"/>
      <c r="K960" s="2"/>
      <c r="L960" s="2" t="str">
        <f t="shared" si="75"/>
        <v>_</v>
      </c>
      <c r="M960" s="2"/>
      <c r="N960" s="2">
        <f>IF(ISBLANK(Table2[[#This Row],[ActualResult]]), 0, 1)</f>
        <v>0</v>
      </c>
      <c r="O960" s="2" t="str">
        <f>IF(ISBLANK(Table2[[#This Row],[ActualResult]]), "_", IF(Table2[[#This Row],[ActualWinner]]=Table2[[#This Row],[PredictedWinner]], "Y", "N"))</f>
        <v>_</v>
      </c>
      <c r="P9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0" s="2"/>
      <c r="S960" s="2" t="str">
        <f t="shared" si="76"/>
        <v>_</v>
      </c>
      <c r="T9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0" s="2">
        <f>IF(Table2[[#This Row],[InterConf]]=1,IF(Table2[[#This Row],[InterDiv]]=0, 1, 0), 0)</f>
        <v>1</v>
      </c>
      <c r="W9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0" s="2"/>
      <c r="Y960" s="2"/>
      <c r="Z960" s="145">
        <f>IF(AND(Table2[[#This Row],[GameIsOver]]=1,Table2[[#This Row],[ActualHomeScore]]*Table2[[#This Row],[ActualAwayScore]]=0), 1,0)</f>
        <v>0</v>
      </c>
      <c r="AA9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60" s="2">
        <f>Table2[[#This Row],[ActualAwayScore]]-Table2[[#This Row],[PredictedAwayScore]]</f>
        <v>0</v>
      </c>
      <c r="AG960" s="2">
        <f>Table2[[#This Row],[ActualHomeScore]]-Table2[[#This Row],[PredictedHomeScore]]</f>
        <v>0</v>
      </c>
      <c r="AH960" s="2">
        <f t="shared" si="77"/>
        <v>0</v>
      </c>
      <c r="AI960" s="2">
        <f t="shared" si="78"/>
        <v>0</v>
      </c>
      <c r="AJ960" s="2"/>
      <c r="AK960" s="3"/>
      <c r="AL960" s="2">
        <f>IF(Table2[[#This Row],[GameIsOver]]=0,0,IF(Table2[[#This Row],[ActualWinner]]=Table2[[#This Row],[AwayTeam]], 1, 0))</f>
        <v>0</v>
      </c>
      <c r="AM960" s="2">
        <f>IF(Table2[[#This Row],[GameIsOver]]=0,0,IF(Table2[[#This Row],[ActualWinner]]=Table2[[#This Row],[HomeTeam]], 1, 0))</f>
        <v>0</v>
      </c>
      <c r="AN960" s="2">
        <f>IF(IFERROR(FIND(Table2[[#This Row],[AwayTeam]], _xlfn.TEXTJOIN(";", 1, $BD$31:$BD$40)), 0) &gt; 0, 1, 0) + IF(IFERROR(FIND(Table2[[#This Row],[HomeTeam]], _xlfn.TEXTJOIN(";", 1, $BD$31:$BD$40)), 0) &gt; 0, 1, 0)</f>
        <v>1</v>
      </c>
      <c r="AO960" s="2" t="str">
        <f>INDEX(Sheet5!$B$2:$AG$33, MATCH(Table2[[#This Row],[AwayTeam]],Sheet5!$A$2:$A$33, 0), MATCH(Table2[[#This Row],[HomeTeam]],Sheet5!$A$2:$A$33, 0))</f>
        <v>1-0-0</v>
      </c>
      <c r="AP960" s="2" t="str">
        <f>INDEX(Sheet5!$B$2:$AG$33, MATCH(Table2[[#This Row],[HomeTeam]],Sheet5!$A$2:$A$33, 0), MATCH(Table2[[#This Row],[AwayTeam]],Sheet5!$A$2:$A$33, 0))</f>
        <v>0-1-0</v>
      </c>
      <c r="AQ960" s="2">
        <f>IF(Table2[[#This Row],[GameHasShutOut]], 1, 0)</f>
        <v>0</v>
      </c>
      <c r="AR960" s="2">
        <f>IF(Table2[[#This Row],[ActualAwayScore]] + Table2[[#This Row],[ActualHomeScore]] &gt;= 10, 1, 0)</f>
        <v>0</v>
      </c>
      <c r="AS960" s="2">
        <f>IF(ABS(Table2[[#This Row],[ActualAwayScore]]-Table2[[#This Row],[ActualHomeScore]])&gt;=5, 1, 0)</f>
        <v>0</v>
      </c>
      <c r="AT960" s="2">
        <f>IF(Table2[[#This Row],[ActualAwayScore]] + Table2[[#This Row],[ActualHomeScore]] &lt;= 3, 1, 0)</f>
        <v>1</v>
      </c>
      <c r="AU960" s="2"/>
      <c r="AV960" s="2"/>
    </row>
    <row r="961" spans="1:48" x14ac:dyDescent="0.25">
      <c r="A961" s="3"/>
      <c r="B961" s="3">
        <v>46085</v>
      </c>
      <c r="C961" s="5">
        <v>2025020959</v>
      </c>
      <c r="D961" s="2" t="s">
        <v>20</v>
      </c>
      <c r="E961" s="2" t="s">
        <v>15</v>
      </c>
      <c r="F961" s="2"/>
      <c r="G961" s="2"/>
      <c r="H961" s="2" t="str">
        <f t="shared" si="74"/>
        <v>_</v>
      </c>
      <c r="I961" s="2"/>
      <c r="J961" s="2"/>
      <c r="K961" s="2"/>
      <c r="L961" s="2" t="str">
        <f t="shared" si="75"/>
        <v>_</v>
      </c>
      <c r="M961" s="2"/>
      <c r="N961" s="2">
        <f>IF(ISBLANK(Table2[[#This Row],[ActualResult]]), 0, 1)</f>
        <v>0</v>
      </c>
      <c r="O961" s="2" t="str">
        <f>IF(ISBLANK(Table2[[#This Row],[ActualResult]]), "_", IF(Table2[[#This Row],[ActualWinner]]=Table2[[#This Row],[PredictedWinner]], "Y", "N"))</f>
        <v>_</v>
      </c>
      <c r="P9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1" s="2"/>
      <c r="S961" s="2" t="str">
        <f t="shared" si="76"/>
        <v>_</v>
      </c>
      <c r="T9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1" s="2">
        <f>IF(Table2[[#This Row],[InterConf]]=1,IF(Table2[[#This Row],[InterDiv]]=0, 1, 0), 0)</f>
        <v>1</v>
      </c>
      <c r="W9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1" s="2"/>
      <c r="Y961" s="2"/>
      <c r="Z961" s="145">
        <f>IF(AND(Table2[[#This Row],[GameIsOver]]=1,Table2[[#This Row],[ActualHomeScore]]*Table2[[#This Row],[ActualAwayScore]]=0), 1,0)</f>
        <v>0</v>
      </c>
      <c r="AA9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1" s="2">
        <f>Table2[[#This Row],[ActualAwayScore]]-Table2[[#This Row],[PredictedAwayScore]]</f>
        <v>0</v>
      </c>
      <c r="AG961" s="2">
        <f>Table2[[#This Row],[ActualHomeScore]]-Table2[[#This Row],[PredictedHomeScore]]</f>
        <v>0</v>
      </c>
      <c r="AH961" s="2">
        <f t="shared" si="77"/>
        <v>0</v>
      </c>
      <c r="AI961" s="2">
        <f t="shared" si="78"/>
        <v>0</v>
      </c>
      <c r="AJ961" s="2"/>
      <c r="AK961" s="3"/>
      <c r="AL961" s="2">
        <f>IF(Table2[[#This Row],[GameIsOver]]=0,0,IF(Table2[[#This Row],[ActualWinner]]=Table2[[#This Row],[AwayTeam]], 1, 0))</f>
        <v>0</v>
      </c>
      <c r="AM961" s="2">
        <f>IF(Table2[[#This Row],[GameIsOver]]=0,0,IF(Table2[[#This Row],[ActualWinner]]=Table2[[#This Row],[HomeTeam]], 1, 0))</f>
        <v>0</v>
      </c>
      <c r="AN9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1" s="2" t="str">
        <f>INDEX(Sheet5!$B$2:$AG$33, MATCH(Table2[[#This Row],[AwayTeam]],Sheet5!$A$2:$A$33, 0), MATCH(Table2[[#This Row],[HomeTeam]],Sheet5!$A$2:$A$33, 0))</f>
        <v>0-0-0</v>
      </c>
      <c r="AP961" s="2" t="str">
        <f>INDEX(Sheet5!$B$2:$AG$33, MATCH(Table2[[#This Row],[HomeTeam]],Sheet5!$A$2:$A$33, 0), MATCH(Table2[[#This Row],[AwayTeam]],Sheet5!$A$2:$A$33, 0))</f>
        <v>0-0-0</v>
      </c>
      <c r="AQ961" s="2">
        <f>IF(Table2[[#This Row],[GameHasShutOut]], 1, 0)</f>
        <v>0</v>
      </c>
      <c r="AR961" s="2">
        <f>IF(Table2[[#This Row],[ActualAwayScore]] + Table2[[#This Row],[ActualHomeScore]] &gt;= 10, 1, 0)</f>
        <v>0</v>
      </c>
      <c r="AS961" s="2">
        <f>IF(ABS(Table2[[#This Row],[ActualAwayScore]]-Table2[[#This Row],[ActualHomeScore]])&gt;=5, 1, 0)</f>
        <v>0</v>
      </c>
      <c r="AT961" s="2">
        <f>IF(Table2[[#This Row],[ActualAwayScore]] + Table2[[#This Row],[ActualHomeScore]] &lt;= 3, 1, 0)</f>
        <v>1</v>
      </c>
      <c r="AU961" s="2"/>
      <c r="AV961" s="2"/>
    </row>
    <row r="962" spans="1:48" x14ac:dyDescent="0.25">
      <c r="A962" s="3"/>
      <c r="B962" s="3">
        <v>46085</v>
      </c>
      <c r="C962" s="5">
        <v>2025020960</v>
      </c>
      <c r="D962" s="2" t="s">
        <v>26</v>
      </c>
      <c r="E962" s="2" t="s">
        <v>28</v>
      </c>
      <c r="F962" s="2"/>
      <c r="G962" s="2"/>
      <c r="H962" s="2" t="str">
        <f t="shared" si="74"/>
        <v>_</v>
      </c>
      <c r="I962" s="2"/>
      <c r="J962" s="2"/>
      <c r="K962" s="2"/>
      <c r="L962" s="2" t="str">
        <f t="shared" si="75"/>
        <v>_</v>
      </c>
      <c r="M962" s="2"/>
      <c r="N962" s="2">
        <f>IF(ISBLANK(Table2[[#This Row],[ActualResult]]), 0, 1)</f>
        <v>0</v>
      </c>
      <c r="O962" s="2" t="str">
        <f>IF(ISBLANK(Table2[[#This Row],[ActualResult]]), "_", IF(Table2[[#This Row],[ActualWinner]]=Table2[[#This Row],[PredictedWinner]], "Y", "N"))</f>
        <v>_</v>
      </c>
      <c r="P9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2" s="2"/>
      <c r="S962" s="2" t="str">
        <f t="shared" si="76"/>
        <v>_</v>
      </c>
      <c r="T9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2" s="2">
        <f>IF(Table2[[#This Row],[InterConf]]=1,IF(Table2[[#This Row],[InterDiv]]=0, 1, 0), 0)</f>
        <v>0</v>
      </c>
      <c r="W9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2" s="2"/>
      <c r="Y962" s="2"/>
      <c r="Z962" s="145">
        <f>IF(AND(Table2[[#This Row],[GameIsOver]]=1,Table2[[#This Row],[ActualHomeScore]]*Table2[[#This Row],[ActualAwayScore]]=0), 1,0)</f>
        <v>0</v>
      </c>
      <c r="AA9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2" s="2">
        <f>Table2[[#This Row],[ActualAwayScore]]-Table2[[#This Row],[PredictedAwayScore]]</f>
        <v>0</v>
      </c>
      <c r="AG962" s="2">
        <f>Table2[[#This Row],[ActualHomeScore]]-Table2[[#This Row],[PredictedHomeScore]]</f>
        <v>0</v>
      </c>
      <c r="AH962" s="2">
        <f t="shared" si="77"/>
        <v>0</v>
      </c>
      <c r="AI962" s="2">
        <f t="shared" si="78"/>
        <v>0</v>
      </c>
      <c r="AJ962" s="2"/>
      <c r="AK962" s="3"/>
      <c r="AL962" s="2">
        <f>IF(Table2[[#This Row],[GameIsOver]]=0,0,IF(Table2[[#This Row],[ActualWinner]]=Table2[[#This Row],[AwayTeam]], 1, 0))</f>
        <v>0</v>
      </c>
      <c r="AM962" s="2">
        <f>IF(Table2[[#This Row],[GameIsOver]]=0,0,IF(Table2[[#This Row],[ActualWinner]]=Table2[[#This Row],[HomeTeam]], 1, 0))</f>
        <v>0</v>
      </c>
      <c r="AN9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2" s="2" t="str">
        <f>INDEX(Sheet5!$B$2:$AG$33, MATCH(Table2[[#This Row],[AwayTeam]],Sheet5!$A$2:$A$33, 0), MATCH(Table2[[#This Row],[HomeTeam]],Sheet5!$A$2:$A$33, 0))</f>
        <v>0-0-0</v>
      </c>
      <c r="AP962" s="2" t="str">
        <f>INDEX(Sheet5!$B$2:$AG$33, MATCH(Table2[[#This Row],[HomeTeam]],Sheet5!$A$2:$A$33, 0), MATCH(Table2[[#This Row],[AwayTeam]],Sheet5!$A$2:$A$33, 0))</f>
        <v>0-0-0</v>
      </c>
      <c r="AQ962" s="2">
        <f>IF(Table2[[#This Row],[GameHasShutOut]], 1, 0)</f>
        <v>0</v>
      </c>
      <c r="AR962" s="2">
        <f>IF(Table2[[#This Row],[ActualAwayScore]] + Table2[[#This Row],[ActualHomeScore]] &gt;= 10, 1, 0)</f>
        <v>0</v>
      </c>
      <c r="AS962" s="2">
        <f>IF(ABS(Table2[[#This Row],[ActualAwayScore]]-Table2[[#This Row],[ActualHomeScore]])&gt;=5, 1, 0)</f>
        <v>0</v>
      </c>
      <c r="AT962" s="2">
        <f>IF(Table2[[#This Row],[ActualAwayScore]] + Table2[[#This Row],[ActualHomeScore]] &lt;= 3, 1, 0)</f>
        <v>1</v>
      </c>
      <c r="AU962" s="2"/>
      <c r="AV962" s="2"/>
    </row>
    <row r="963" spans="1:48" x14ac:dyDescent="0.25">
      <c r="A963" s="3"/>
      <c r="B963" s="3">
        <v>46085</v>
      </c>
      <c r="C963" s="5">
        <v>2025020961</v>
      </c>
      <c r="D963" s="2" t="s">
        <v>13</v>
      </c>
      <c r="E963" s="2" t="s">
        <v>31</v>
      </c>
      <c r="F963" s="2"/>
      <c r="G963" s="2"/>
      <c r="H963" s="2" t="str">
        <f t="shared" ref="H963:H1026" si="79">IF(AND(ISBLANK($F963),ISBLANK($G963)),"_",IF($F963&gt;$G963,$D963,$E963))</f>
        <v>_</v>
      </c>
      <c r="I963" s="2"/>
      <c r="J963" s="2"/>
      <c r="K963" s="2"/>
      <c r="L963" s="2" t="str">
        <f t="shared" ref="L963:L1026" si="80">IF(OR($J963=$K963,AND(ISBLANK($J963),ISBLANK($K963))),"_",IF($J963&gt;$K963,$D963,$E963))</f>
        <v>_</v>
      </c>
      <c r="M963" s="2"/>
      <c r="N963" s="2">
        <f>IF(ISBLANK(Table2[[#This Row],[ActualResult]]), 0, 1)</f>
        <v>0</v>
      </c>
      <c r="O963" s="2" t="str">
        <f>IF(ISBLANK(Table2[[#This Row],[ActualResult]]), "_", IF(Table2[[#This Row],[ActualWinner]]=Table2[[#This Row],[PredictedWinner]], "Y", "N"))</f>
        <v>_</v>
      </c>
      <c r="P9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3" s="2"/>
      <c r="S963" s="2" t="str">
        <f t="shared" ref="S963:S1026" si="81">IF($L963="_", "_", IF($L963=$D963,$E963,$D963))</f>
        <v>_</v>
      </c>
      <c r="T9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3" s="2">
        <f>IF(Table2[[#This Row],[InterConf]]=1,IF(Table2[[#This Row],[InterDiv]]=0, 1, 0), 0)</f>
        <v>1</v>
      </c>
      <c r="W9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3" s="2"/>
      <c r="Y963" s="2"/>
      <c r="Z963" s="145">
        <f>IF(AND(Table2[[#This Row],[GameIsOver]]=1,Table2[[#This Row],[ActualHomeScore]]*Table2[[#This Row],[ActualAwayScore]]=0), 1,0)</f>
        <v>0</v>
      </c>
      <c r="AA9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3" s="2">
        <f>Table2[[#This Row],[ActualAwayScore]]-Table2[[#This Row],[PredictedAwayScore]]</f>
        <v>0</v>
      </c>
      <c r="AG963" s="2">
        <f>Table2[[#This Row],[ActualHomeScore]]-Table2[[#This Row],[PredictedHomeScore]]</f>
        <v>0</v>
      </c>
      <c r="AH963" s="2">
        <f t="shared" ref="AH963:AH1026" si="82">SUMIF($B$3:$B$1315, $B963, $AF$3:$AF$1315)</f>
        <v>0</v>
      </c>
      <c r="AI963" s="2">
        <f t="shared" ref="AI963:AI1026" si="83">SUMIF($B$3:$B$1315, $B963, $AG$3:$AG$1315)</f>
        <v>0</v>
      </c>
      <c r="AJ963" s="2"/>
      <c r="AK963" s="3"/>
      <c r="AL963" s="2">
        <f>IF(Table2[[#This Row],[GameIsOver]]=0,0,IF(Table2[[#This Row],[ActualWinner]]=Table2[[#This Row],[AwayTeam]], 1, 0))</f>
        <v>0</v>
      </c>
      <c r="AM963" s="2">
        <f>IF(Table2[[#This Row],[GameIsOver]]=0,0,IF(Table2[[#This Row],[ActualWinner]]=Table2[[#This Row],[HomeTeam]], 1, 0))</f>
        <v>0</v>
      </c>
      <c r="AN9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3" s="2" t="str">
        <f>INDEX(Sheet5!$B$2:$AG$33, MATCH(Table2[[#This Row],[AwayTeam]],Sheet5!$A$2:$A$33, 0), MATCH(Table2[[#This Row],[HomeTeam]],Sheet5!$A$2:$A$33, 0))</f>
        <v>0-1-0</v>
      </c>
      <c r="AP963" s="2" t="str">
        <f>INDEX(Sheet5!$B$2:$AG$33, MATCH(Table2[[#This Row],[HomeTeam]],Sheet5!$A$2:$A$33, 0), MATCH(Table2[[#This Row],[AwayTeam]],Sheet5!$A$2:$A$33, 0))</f>
        <v>1-0-0</v>
      </c>
      <c r="AQ963" s="2">
        <f>IF(Table2[[#This Row],[GameHasShutOut]], 1, 0)</f>
        <v>0</v>
      </c>
      <c r="AR963" s="2">
        <f>IF(Table2[[#This Row],[ActualAwayScore]] + Table2[[#This Row],[ActualHomeScore]] &gt;= 10, 1, 0)</f>
        <v>0</v>
      </c>
      <c r="AS963" s="2">
        <f>IF(ABS(Table2[[#This Row],[ActualAwayScore]]-Table2[[#This Row],[ActualHomeScore]])&gt;=5, 1, 0)</f>
        <v>0</v>
      </c>
      <c r="AT963" s="2">
        <f>IF(Table2[[#This Row],[ActualAwayScore]] + Table2[[#This Row],[ActualHomeScore]] &lt;= 3, 1, 0)</f>
        <v>1</v>
      </c>
      <c r="AU963" s="2"/>
      <c r="AV963" s="2"/>
    </row>
    <row r="964" spans="1:48" x14ac:dyDescent="0.25">
      <c r="A964" s="3"/>
      <c r="B964" s="3">
        <v>46085</v>
      </c>
      <c r="C964" s="5">
        <v>2025020962</v>
      </c>
      <c r="D964" s="2" t="s">
        <v>14</v>
      </c>
      <c r="E964" s="2" t="s">
        <v>43</v>
      </c>
      <c r="F964" s="2"/>
      <c r="G964" s="2"/>
      <c r="H964" s="2" t="str">
        <f t="shared" si="79"/>
        <v>_</v>
      </c>
      <c r="I964" s="2"/>
      <c r="J964" s="2"/>
      <c r="K964" s="2"/>
      <c r="L964" s="2" t="str">
        <f t="shared" si="80"/>
        <v>_</v>
      </c>
      <c r="M964" s="2"/>
      <c r="N964" s="2">
        <f>IF(ISBLANK(Table2[[#This Row],[ActualResult]]), 0, 1)</f>
        <v>0</v>
      </c>
      <c r="O964" s="2" t="str">
        <f>IF(ISBLANK(Table2[[#This Row],[ActualResult]]), "_", IF(Table2[[#This Row],[ActualWinner]]=Table2[[#This Row],[PredictedWinner]], "Y", "N"))</f>
        <v>_</v>
      </c>
      <c r="P9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4" s="2"/>
      <c r="S964" s="2" t="str">
        <f t="shared" si="81"/>
        <v>_</v>
      </c>
      <c r="T9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4" s="2">
        <f>IF(Table2[[#This Row],[InterConf]]=1,IF(Table2[[#This Row],[InterDiv]]=0, 1, 0), 0)</f>
        <v>0</v>
      </c>
      <c r="W9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4" s="2"/>
      <c r="Y964" s="2"/>
      <c r="Z964" s="145">
        <f>IF(AND(Table2[[#This Row],[GameIsOver]]=1,Table2[[#This Row],[ActualHomeScore]]*Table2[[#This Row],[ActualAwayScore]]=0), 1,0)</f>
        <v>0</v>
      </c>
      <c r="AA9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4" s="2">
        <f>Table2[[#This Row],[ActualAwayScore]]-Table2[[#This Row],[PredictedAwayScore]]</f>
        <v>0</v>
      </c>
      <c r="AG964" s="2">
        <f>Table2[[#This Row],[ActualHomeScore]]-Table2[[#This Row],[PredictedHomeScore]]</f>
        <v>0</v>
      </c>
      <c r="AH964" s="2">
        <f t="shared" si="82"/>
        <v>0</v>
      </c>
      <c r="AI964" s="2">
        <f t="shared" si="83"/>
        <v>0</v>
      </c>
      <c r="AJ964" s="2"/>
      <c r="AK964" s="3"/>
      <c r="AL964" s="2">
        <f>IF(Table2[[#This Row],[GameIsOver]]=0,0,IF(Table2[[#This Row],[ActualWinner]]=Table2[[#This Row],[AwayTeam]], 1, 0))</f>
        <v>0</v>
      </c>
      <c r="AM964" s="2">
        <f>IF(Table2[[#This Row],[GameIsOver]]=0,0,IF(Table2[[#This Row],[ActualWinner]]=Table2[[#This Row],[HomeTeam]], 1, 0))</f>
        <v>0</v>
      </c>
      <c r="AN9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4" s="2" t="str">
        <f>INDEX(Sheet5!$B$2:$AG$33, MATCH(Table2[[#This Row],[AwayTeam]],Sheet5!$A$2:$A$33, 0), MATCH(Table2[[#This Row],[HomeTeam]],Sheet5!$A$2:$A$33, 0))</f>
        <v>0-0-0</v>
      </c>
      <c r="AP964" s="2" t="str">
        <f>INDEX(Sheet5!$B$2:$AG$33, MATCH(Table2[[#This Row],[HomeTeam]],Sheet5!$A$2:$A$33, 0), MATCH(Table2[[#This Row],[AwayTeam]],Sheet5!$A$2:$A$33, 0))</f>
        <v>0-0-0</v>
      </c>
      <c r="AQ964" s="2">
        <f>IF(Table2[[#This Row],[GameHasShutOut]], 1, 0)</f>
        <v>0</v>
      </c>
      <c r="AR964" s="2">
        <f>IF(Table2[[#This Row],[ActualAwayScore]] + Table2[[#This Row],[ActualHomeScore]] &gt;= 10, 1, 0)</f>
        <v>0</v>
      </c>
      <c r="AS964" s="2">
        <f>IF(ABS(Table2[[#This Row],[ActualAwayScore]]-Table2[[#This Row],[ActualHomeScore]])&gt;=5, 1, 0)</f>
        <v>0</v>
      </c>
      <c r="AT964" s="2">
        <f>IF(Table2[[#This Row],[ActualAwayScore]] + Table2[[#This Row],[ActualHomeScore]] &lt;= 3, 1, 0)</f>
        <v>1</v>
      </c>
      <c r="AU964" s="2"/>
      <c r="AV964" s="2"/>
    </row>
    <row r="965" spans="1:48" x14ac:dyDescent="0.25">
      <c r="A965" s="3"/>
      <c r="B965" s="3">
        <v>46085</v>
      </c>
      <c r="C965" s="5">
        <v>2025020963</v>
      </c>
      <c r="D965" s="2" t="s">
        <v>34</v>
      </c>
      <c r="E965" s="2" t="s">
        <v>35</v>
      </c>
      <c r="F965" s="2"/>
      <c r="G965" s="2"/>
      <c r="H965" s="2" t="str">
        <f t="shared" si="79"/>
        <v>_</v>
      </c>
      <c r="I965" s="2"/>
      <c r="J965" s="2"/>
      <c r="K965" s="2"/>
      <c r="L965" s="2" t="str">
        <f t="shared" si="80"/>
        <v>_</v>
      </c>
      <c r="M965" s="2"/>
      <c r="N965" s="2">
        <f>IF(ISBLANK(Table2[[#This Row],[ActualResult]]), 0, 1)</f>
        <v>0</v>
      </c>
      <c r="O965" s="2" t="str">
        <f>IF(ISBLANK(Table2[[#This Row],[ActualResult]]), "_", IF(Table2[[#This Row],[ActualWinner]]=Table2[[#This Row],[PredictedWinner]], "Y", "N"))</f>
        <v>_</v>
      </c>
      <c r="P9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5" s="2"/>
      <c r="S965" s="2" t="str">
        <f t="shared" si="81"/>
        <v>_</v>
      </c>
      <c r="T9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5" s="2">
        <f>IF(Table2[[#This Row],[InterConf]]=1,IF(Table2[[#This Row],[InterDiv]]=0, 1, 0), 0)</f>
        <v>0</v>
      </c>
      <c r="W9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5" s="2"/>
      <c r="Y965" s="2"/>
      <c r="Z965" s="145">
        <f>IF(AND(Table2[[#This Row],[GameIsOver]]=1,Table2[[#This Row],[ActualHomeScore]]*Table2[[#This Row],[ActualAwayScore]]=0), 1,0)</f>
        <v>0</v>
      </c>
      <c r="AA9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5" s="2">
        <f>Table2[[#This Row],[ActualAwayScore]]-Table2[[#This Row],[PredictedAwayScore]]</f>
        <v>0</v>
      </c>
      <c r="AG965" s="2">
        <f>Table2[[#This Row],[ActualHomeScore]]-Table2[[#This Row],[PredictedHomeScore]]</f>
        <v>0</v>
      </c>
      <c r="AH965" s="2">
        <f t="shared" si="82"/>
        <v>0</v>
      </c>
      <c r="AI965" s="2">
        <f t="shared" si="83"/>
        <v>0</v>
      </c>
      <c r="AJ965" s="2"/>
      <c r="AK965" s="3"/>
      <c r="AL965" s="2">
        <f>IF(Table2[[#This Row],[GameIsOver]]=0,0,IF(Table2[[#This Row],[ActualWinner]]=Table2[[#This Row],[AwayTeam]], 1, 0))</f>
        <v>0</v>
      </c>
      <c r="AM965" s="2">
        <f>IF(Table2[[#This Row],[GameIsOver]]=0,0,IF(Table2[[#This Row],[ActualWinner]]=Table2[[#This Row],[HomeTeam]], 1, 0))</f>
        <v>0</v>
      </c>
      <c r="AN9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5" s="2" t="str">
        <f>INDEX(Sheet5!$B$2:$AG$33, MATCH(Table2[[#This Row],[AwayTeam]],Sheet5!$A$2:$A$33, 0), MATCH(Table2[[#This Row],[HomeTeam]],Sheet5!$A$2:$A$33, 0))</f>
        <v>1-0-0</v>
      </c>
      <c r="AP965" s="2" t="str">
        <f>INDEX(Sheet5!$B$2:$AG$33, MATCH(Table2[[#This Row],[HomeTeam]],Sheet5!$A$2:$A$33, 0), MATCH(Table2[[#This Row],[AwayTeam]],Sheet5!$A$2:$A$33, 0))</f>
        <v>0-1-0</v>
      </c>
      <c r="AQ965" s="2">
        <f>IF(Table2[[#This Row],[GameHasShutOut]], 1, 0)</f>
        <v>0</v>
      </c>
      <c r="AR965" s="2">
        <f>IF(Table2[[#This Row],[ActualAwayScore]] + Table2[[#This Row],[ActualHomeScore]] &gt;= 10, 1, 0)</f>
        <v>0</v>
      </c>
      <c r="AS965" s="2">
        <f>IF(ABS(Table2[[#This Row],[ActualAwayScore]]-Table2[[#This Row],[ActualHomeScore]])&gt;=5, 1, 0)</f>
        <v>0</v>
      </c>
      <c r="AT965" s="2">
        <f>IF(Table2[[#This Row],[ActualAwayScore]] + Table2[[#This Row],[ActualHomeScore]] &lt;= 3, 1, 0)</f>
        <v>1</v>
      </c>
      <c r="AU965" s="2"/>
      <c r="AV965" s="2"/>
    </row>
    <row r="966" spans="1:48" x14ac:dyDescent="0.25">
      <c r="A966" s="3"/>
      <c r="B966" s="3">
        <v>46085</v>
      </c>
      <c r="C966" s="5">
        <v>2025020964</v>
      </c>
      <c r="D966" s="2" t="s">
        <v>16</v>
      </c>
      <c r="E966" s="2" t="s">
        <v>21</v>
      </c>
      <c r="F966" s="2"/>
      <c r="G966" s="2"/>
      <c r="H966" s="2" t="str">
        <f t="shared" si="79"/>
        <v>_</v>
      </c>
      <c r="I966" s="2"/>
      <c r="J966" s="2"/>
      <c r="K966" s="2"/>
      <c r="L966" s="2" t="str">
        <f t="shared" si="80"/>
        <v>_</v>
      </c>
      <c r="M966" s="2"/>
      <c r="N966" s="2">
        <f>IF(ISBLANK(Table2[[#This Row],[ActualResult]]), 0, 1)</f>
        <v>0</v>
      </c>
      <c r="O966" s="2" t="str">
        <f>IF(ISBLANK(Table2[[#This Row],[ActualResult]]), "_", IF(Table2[[#This Row],[ActualWinner]]=Table2[[#This Row],[PredictedWinner]], "Y", "N"))</f>
        <v>_</v>
      </c>
      <c r="P9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6" s="2"/>
      <c r="S966" s="2" t="str">
        <f t="shared" si="81"/>
        <v>_</v>
      </c>
      <c r="T9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66" s="2">
        <f>IF(Table2[[#This Row],[InterConf]]=1,IF(Table2[[#This Row],[InterDiv]]=0, 1, 0), 0)</f>
        <v>0</v>
      </c>
      <c r="W9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6" s="2"/>
      <c r="Y966" s="2"/>
      <c r="Z966" s="145">
        <f>IF(AND(Table2[[#This Row],[GameIsOver]]=1,Table2[[#This Row],[ActualHomeScore]]*Table2[[#This Row],[ActualAwayScore]]=0), 1,0)</f>
        <v>0</v>
      </c>
      <c r="AA9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6" s="2">
        <f>Table2[[#This Row],[ActualAwayScore]]-Table2[[#This Row],[PredictedAwayScore]]</f>
        <v>0</v>
      </c>
      <c r="AG966" s="2">
        <f>Table2[[#This Row],[ActualHomeScore]]-Table2[[#This Row],[PredictedHomeScore]]</f>
        <v>0</v>
      </c>
      <c r="AH966" s="2">
        <f t="shared" si="82"/>
        <v>0</v>
      </c>
      <c r="AI966" s="2">
        <f t="shared" si="83"/>
        <v>0</v>
      </c>
      <c r="AJ966" s="2"/>
      <c r="AK966" s="3"/>
      <c r="AL966" s="2">
        <f>IF(Table2[[#This Row],[GameIsOver]]=0,0,IF(Table2[[#This Row],[ActualWinner]]=Table2[[#This Row],[AwayTeam]], 1, 0))</f>
        <v>0</v>
      </c>
      <c r="AM966" s="2">
        <f>IF(Table2[[#This Row],[GameIsOver]]=0,0,IF(Table2[[#This Row],[ActualWinner]]=Table2[[#This Row],[HomeTeam]], 1, 0))</f>
        <v>0</v>
      </c>
      <c r="AN9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6" s="2" t="str">
        <f>INDEX(Sheet5!$B$2:$AG$33, MATCH(Table2[[#This Row],[AwayTeam]],Sheet5!$A$2:$A$33, 0), MATCH(Table2[[#This Row],[HomeTeam]],Sheet5!$A$2:$A$33, 0))</f>
        <v>0-0-0</v>
      </c>
      <c r="AP966" s="2" t="str">
        <f>INDEX(Sheet5!$B$2:$AG$33, MATCH(Table2[[#This Row],[HomeTeam]],Sheet5!$A$2:$A$33, 0), MATCH(Table2[[#This Row],[AwayTeam]],Sheet5!$A$2:$A$33, 0))</f>
        <v>0-0-0</v>
      </c>
      <c r="AQ966" s="2">
        <f>IF(Table2[[#This Row],[GameHasShutOut]], 1, 0)</f>
        <v>0</v>
      </c>
      <c r="AR966" s="2">
        <f>IF(Table2[[#This Row],[ActualAwayScore]] + Table2[[#This Row],[ActualHomeScore]] &gt;= 10, 1, 0)</f>
        <v>0</v>
      </c>
      <c r="AS966" s="2">
        <f>IF(ABS(Table2[[#This Row],[ActualAwayScore]]-Table2[[#This Row],[ActualHomeScore]])&gt;=5, 1, 0)</f>
        <v>0</v>
      </c>
      <c r="AT966" s="2">
        <f>IF(Table2[[#This Row],[ActualAwayScore]] + Table2[[#This Row],[ActualHomeScore]] &lt;= 3, 1, 0)</f>
        <v>1</v>
      </c>
      <c r="AU966" s="2"/>
      <c r="AV966" s="2"/>
    </row>
    <row r="967" spans="1:48" x14ac:dyDescent="0.25">
      <c r="A967" s="3"/>
      <c r="B967" s="3">
        <v>46085</v>
      </c>
      <c r="C967" s="5">
        <v>2025020965</v>
      </c>
      <c r="D967" s="2" t="s">
        <v>33</v>
      </c>
      <c r="E967" s="2" t="s">
        <v>23</v>
      </c>
      <c r="F967" s="2"/>
      <c r="G967" s="2"/>
      <c r="H967" s="2" t="str">
        <f t="shared" si="79"/>
        <v>_</v>
      </c>
      <c r="I967" s="2"/>
      <c r="J967" s="2"/>
      <c r="K967" s="2"/>
      <c r="L967" s="2" t="str">
        <f t="shared" si="80"/>
        <v>_</v>
      </c>
      <c r="M967" s="2"/>
      <c r="N967" s="2">
        <f>IF(ISBLANK(Table2[[#This Row],[ActualResult]]), 0, 1)</f>
        <v>0</v>
      </c>
      <c r="O967" s="2" t="str">
        <f>IF(ISBLANK(Table2[[#This Row],[ActualResult]]), "_", IF(Table2[[#This Row],[ActualWinner]]=Table2[[#This Row],[PredictedWinner]], "Y", "N"))</f>
        <v>_</v>
      </c>
      <c r="P9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7" s="2"/>
      <c r="S967" s="2" t="str">
        <f t="shared" si="81"/>
        <v>_</v>
      </c>
      <c r="T9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7" s="2">
        <f>IF(Table2[[#This Row],[InterConf]]=1,IF(Table2[[#This Row],[InterDiv]]=0, 1, 0), 0)</f>
        <v>1</v>
      </c>
      <c r="W9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7" s="2"/>
      <c r="Y967" s="2"/>
      <c r="Z967" s="145">
        <f>IF(AND(Table2[[#This Row],[GameIsOver]]=1,Table2[[#This Row],[ActualHomeScore]]*Table2[[#This Row],[ActualAwayScore]]=0), 1,0)</f>
        <v>0</v>
      </c>
      <c r="AA9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7" s="2">
        <f>Table2[[#This Row],[ActualAwayScore]]-Table2[[#This Row],[PredictedAwayScore]]</f>
        <v>0</v>
      </c>
      <c r="AG967" s="2">
        <f>Table2[[#This Row],[ActualHomeScore]]-Table2[[#This Row],[PredictedHomeScore]]</f>
        <v>0</v>
      </c>
      <c r="AH967" s="2">
        <f t="shared" si="82"/>
        <v>0</v>
      </c>
      <c r="AI967" s="2">
        <f t="shared" si="83"/>
        <v>0</v>
      </c>
      <c r="AJ967" s="2"/>
      <c r="AK967" s="3"/>
      <c r="AL967" s="2">
        <f>IF(Table2[[#This Row],[GameIsOver]]=0,0,IF(Table2[[#This Row],[ActualWinner]]=Table2[[#This Row],[AwayTeam]], 1, 0))</f>
        <v>0</v>
      </c>
      <c r="AM967" s="2">
        <f>IF(Table2[[#This Row],[GameIsOver]]=0,0,IF(Table2[[#This Row],[ActualWinner]]=Table2[[#This Row],[HomeTeam]], 1, 0))</f>
        <v>0</v>
      </c>
      <c r="AN9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7" s="2" t="str">
        <f>INDEX(Sheet5!$B$2:$AG$33, MATCH(Table2[[#This Row],[AwayTeam]],Sheet5!$A$2:$A$33, 0), MATCH(Table2[[#This Row],[HomeTeam]],Sheet5!$A$2:$A$33, 0))</f>
        <v>0-0-0</v>
      </c>
      <c r="AP967" s="2" t="str">
        <f>INDEX(Sheet5!$B$2:$AG$33, MATCH(Table2[[#This Row],[HomeTeam]],Sheet5!$A$2:$A$33, 0), MATCH(Table2[[#This Row],[AwayTeam]],Sheet5!$A$2:$A$33, 0))</f>
        <v>0-0-0</v>
      </c>
      <c r="AQ967" s="2">
        <f>IF(Table2[[#This Row],[GameHasShutOut]], 1, 0)</f>
        <v>0</v>
      </c>
      <c r="AR967" s="2">
        <f>IF(Table2[[#This Row],[ActualAwayScore]] + Table2[[#This Row],[ActualHomeScore]] &gt;= 10, 1, 0)</f>
        <v>0</v>
      </c>
      <c r="AS967" s="2">
        <f>IF(ABS(Table2[[#This Row],[ActualAwayScore]]-Table2[[#This Row],[ActualHomeScore]])&gt;=5, 1, 0)</f>
        <v>0</v>
      </c>
      <c r="AT967" s="2">
        <f>IF(Table2[[#This Row],[ActualAwayScore]] + Table2[[#This Row],[ActualHomeScore]] &lt;= 3, 1, 0)</f>
        <v>1</v>
      </c>
      <c r="AU967" s="2"/>
      <c r="AV967" s="2"/>
    </row>
    <row r="968" spans="1:48" x14ac:dyDescent="0.25">
      <c r="A968" s="3"/>
      <c r="B968" s="3">
        <v>46085</v>
      </c>
      <c r="C968" s="5">
        <v>2025020966</v>
      </c>
      <c r="D968" s="2" t="s">
        <v>29</v>
      </c>
      <c r="E968" s="2" t="s">
        <v>22</v>
      </c>
      <c r="F968" s="2"/>
      <c r="G968" s="2"/>
      <c r="H968" s="2" t="str">
        <f t="shared" si="79"/>
        <v>_</v>
      </c>
      <c r="I968" s="2"/>
      <c r="J968" s="2"/>
      <c r="K968" s="2"/>
      <c r="L968" s="2" t="str">
        <f t="shared" si="80"/>
        <v>_</v>
      </c>
      <c r="M968" s="2"/>
      <c r="N968" s="2">
        <f>IF(ISBLANK(Table2[[#This Row],[ActualResult]]), 0, 1)</f>
        <v>0</v>
      </c>
      <c r="O968" s="2" t="str">
        <f>IF(ISBLANK(Table2[[#This Row],[ActualResult]]), "_", IF(Table2[[#This Row],[ActualWinner]]=Table2[[#This Row],[PredictedWinner]], "Y", "N"))</f>
        <v>_</v>
      </c>
      <c r="P9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8" s="2"/>
      <c r="S968" s="2" t="str">
        <f t="shared" si="81"/>
        <v>_</v>
      </c>
      <c r="T9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8" s="2">
        <f>IF(Table2[[#This Row],[InterConf]]=1,IF(Table2[[#This Row],[InterDiv]]=0, 1, 0), 0)</f>
        <v>0</v>
      </c>
      <c r="W9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8" s="2"/>
      <c r="Y968" s="2"/>
      <c r="Z968" s="145">
        <f>IF(AND(Table2[[#This Row],[GameIsOver]]=1,Table2[[#This Row],[ActualHomeScore]]*Table2[[#This Row],[ActualAwayScore]]=0), 1,0)</f>
        <v>0</v>
      </c>
      <c r="AA9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8" s="2">
        <f>Table2[[#This Row],[ActualAwayScore]]-Table2[[#This Row],[PredictedAwayScore]]</f>
        <v>0</v>
      </c>
      <c r="AG968" s="2">
        <f>Table2[[#This Row],[ActualHomeScore]]-Table2[[#This Row],[PredictedHomeScore]]</f>
        <v>0</v>
      </c>
      <c r="AH968" s="2">
        <f t="shared" si="82"/>
        <v>0</v>
      </c>
      <c r="AI968" s="2">
        <f t="shared" si="83"/>
        <v>0</v>
      </c>
      <c r="AJ968" s="2"/>
      <c r="AK968" s="3"/>
      <c r="AL968" s="2">
        <f>IF(Table2[[#This Row],[GameIsOver]]=0,0,IF(Table2[[#This Row],[ActualWinner]]=Table2[[#This Row],[AwayTeam]], 1, 0))</f>
        <v>0</v>
      </c>
      <c r="AM968" s="2">
        <f>IF(Table2[[#This Row],[GameIsOver]]=0,0,IF(Table2[[#This Row],[ActualWinner]]=Table2[[#This Row],[HomeTeam]], 1, 0))</f>
        <v>0</v>
      </c>
      <c r="AN9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8" s="2" t="str">
        <f>INDEX(Sheet5!$B$2:$AG$33, MATCH(Table2[[#This Row],[AwayTeam]],Sheet5!$A$2:$A$33, 0), MATCH(Table2[[#This Row],[HomeTeam]],Sheet5!$A$2:$A$33, 0))</f>
        <v>0-0-1</v>
      </c>
      <c r="AP968" s="2" t="str">
        <f>INDEX(Sheet5!$B$2:$AG$33, MATCH(Table2[[#This Row],[HomeTeam]],Sheet5!$A$2:$A$33, 0), MATCH(Table2[[#This Row],[AwayTeam]],Sheet5!$A$2:$A$33, 0))</f>
        <v>1-0-0</v>
      </c>
      <c r="AQ968" s="2">
        <f>IF(Table2[[#This Row],[GameHasShutOut]], 1, 0)</f>
        <v>0</v>
      </c>
      <c r="AR968" s="2">
        <f>IF(Table2[[#This Row],[ActualAwayScore]] + Table2[[#This Row],[ActualHomeScore]] &gt;= 10, 1, 0)</f>
        <v>0</v>
      </c>
      <c r="AS968" s="2">
        <f>IF(ABS(Table2[[#This Row],[ActualAwayScore]]-Table2[[#This Row],[ActualHomeScore]])&gt;=5, 1, 0)</f>
        <v>0</v>
      </c>
      <c r="AT968" s="2">
        <f>IF(Table2[[#This Row],[ActualAwayScore]] + Table2[[#This Row],[ActualHomeScore]] &lt;= 3, 1, 0)</f>
        <v>1</v>
      </c>
      <c r="AU968" s="2"/>
      <c r="AV968" s="2"/>
    </row>
    <row r="969" spans="1:48" x14ac:dyDescent="0.25">
      <c r="A969" s="3"/>
      <c r="B969" s="3">
        <v>46085</v>
      </c>
      <c r="C969" s="5">
        <v>2025020967</v>
      </c>
      <c r="D969" s="2" t="s">
        <v>40</v>
      </c>
      <c r="E969" s="2" t="s">
        <v>36</v>
      </c>
      <c r="F969" s="2"/>
      <c r="G969" s="2"/>
      <c r="H969" s="2" t="str">
        <f t="shared" si="79"/>
        <v>_</v>
      </c>
      <c r="I969" s="2"/>
      <c r="J969" s="2"/>
      <c r="K969" s="2"/>
      <c r="L969" s="2" t="str">
        <f t="shared" si="80"/>
        <v>_</v>
      </c>
      <c r="M969" s="2"/>
      <c r="N969" s="2">
        <f>IF(ISBLANK(Table2[[#This Row],[ActualResult]]), 0, 1)</f>
        <v>0</v>
      </c>
      <c r="O969" s="2" t="str">
        <f>IF(ISBLANK(Table2[[#This Row],[ActualResult]]), "_", IF(Table2[[#This Row],[ActualWinner]]=Table2[[#This Row],[PredictedWinner]], "Y", "N"))</f>
        <v>_</v>
      </c>
      <c r="P9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9" s="2"/>
      <c r="S969" s="2" t="str">
        <f t="shared" si="81"/>
        <v>_</v>
      </c>
      <c r="T9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9" s="2">
        <f>IF(Table2[[#This Row],[InterConf]]=1,IF(Table2[[#This Row],[InterDiv]]=0, 1, 0), 0)</f>
        <v>0</v>
      </c>
      <c r="W9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9" s="2"/>
      <c r="Y969" s="2"/>
      <c r="Z969" s="145">
        <f>IF(AND(Table2[[#This Row],[GameIsOver]]=1,Table2[[#This Row],[ActualHomeScore]]*Table2[[#This Row],[ActualAwayScore]]=0), 1,0)</f>
        <v>0</v>
      </c>
      <c r="AA9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9" s="2">
        <f>Table2[[#This Row],[ActualAwayScore]]-Table2[[#This Row],[PredictedAwayScore]]</f>
        <v>0</v>
      </c>
      <c r="AG969" s="2">
        <f>Table2[[#This Row],[ActualHomeScore]]-Table2[[#This Row],[PredictedHomeScore]]</f>
        <v>0</v>
      </c>
      <c r="AH969" s="2">
        <f t="shared" si="82"/>
        <v>0</v>
      </c>
      <c r="AI969" s="2">
        <f t="shared" si="83"/>
        <v>0</v>
      </c>
      <c r="AJ969" s="2"/>
      <c r="AK969" s="3"/>
      <c r="AL969" s="2">
        <f>IF(Table2[[#This Row],[GameIsOver]]=0,0,IF(Table2[[#This Row],[ActualWinner]]=Table2[[#This Row],[AwayTeam]], 1, 0))</f>
        <v>0</v>
      </c>
      <c r="AM969" s="2">
        <f>IF(Table2[[#This Row],[GameIsOver]]=0,0,IF(Table2[[#This Row],[ActualWinner]]=Table2[[#This Row],[HomeTeam]], 1, 0))</f>
        <v>0</v>
      </c>
      <c r="AN9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9" s="2" t="str">
        <f>INDEX(Sheet5!$B$2:$AG$33, MATCH(Table2[[#This Row],[AwayTeam]],Sheet5!$A$2:$A$33, 0), MATCH(Table2[[#This Row],[HomeTeam]],Sheet5!$A$2:$A$33, 0))</f>
        <v>0-0-0</v>
      </c>
      <c r="AP969" s="2" t="str">
        <f>INDEX(Sheet5!$B$2:$AG$33, MATCH(Table2[[#This Row],[HomeTeam]],Sheet5!$A$2:$A$33, 0), MATCH(Table2[[#This Row],[AwayTeam]],Sheet5!$A$2:$A$33, 0))</f>
        <v>0-0-0</v>
      </c>
      <c r="AQ969" s="2">
        <f>IF(Table2[[#This Row],[GameHasShutOut]], 1, 0)</f>
        <v>0</v>
      </c>
      <c r="AR969" s="2">
        <f>IF(Table2[[#This Row],[ActualAwayScore]] + Table2[[#This Row],[ActualHomeScore]] &gt;= 10, 1, 0)</f>
        <v>0</v>
      </c>
      <c r="AS969" s="2">
        <f>IF(ABS(Table2[[#This Row],[ActualAwayScore]]-Table2[[#This Row],[ActualHomeScore]])&gt;=5, 1, 0)</f>
        <v>0</v>
      </c>
      <c r="AT969" s="2">
        <f>IF(Table2[[#This Row],[ActualAwayScore]] + Table2[[#This Row],[ActualHomeScore]] &lt;= 3, 1, 0)</f>
        <v>1</v>
      </c>
      <c r="AU969" s="2"/>
      <c r="AV969" s="2"/>
    </row>
    <row r="970" spans="1:48" x14ac:dyDescent="0.25">
      <c r="A970" s="3"/>
      <c r="B970" s="3">
        <v>46085</v>
      </c>
      <c r="C970" s="5">
        <v>2025020968</v>
      </c>
      <c r="D970" s="2" t="s">
        <v>25</v>
      </c>
      <c r="E970" s="2" t="s">
        <v>44</v>
      </c>
      <c r="F970" s="2"/>
      <c r="G970" s="2"/>
      <c r="H970" s="2" t="str">
        <f t="shared" si="79"/>
        <v>_</v>
      </c>
      <c r="I970" s="2"/>
      <c r="J970" s="2"/>
      <c r="K970" s="2"/>
      <c r="L970" s="2" t="str">
        <f t="shared" si="80"/>
        <v>_</v>
      </c>
      <c r="M970" s="2"/>
      <c r="N970" s="2">
        <f>IF(ISBLANK(Table2[[#This Row],[ActualResult]]), 0, 1)</f>
        <v>0</v>
      </c>
      <c r="O970" s="2" t="str">
        <f>IF(ISBLANK(Table2[[#This Row],[ActualResult]]), "_", IF(Table2[[#This Row],[ActualWinner]]=Table2[[#This Row],[PredictedWinner]], "Y", "N"))</f>
        <v>_</v>
      </c>
      <c r="P9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0" s="2"/>
      <c r="S970" s="2" t="str">
        <f t="shared" si="81"/>
        <v>_</v>
      </c>
      <c r="T9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0" s="2">
        <f>IF(Table2[[#This Row],[InterConf]]=1,IF(Table2[[#This Row],[InterDiv]]=0, 1, 0), 0)</f>
        <v>1</v>
      </c>
      <c r="W9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0" s="2"/>
      <c r="Y970" s="2"/>
      <c r="Z970" s="145">
        <f>IF(AND(Table2[[#This Row],[GameIsOver]]=1,Table2[[#This Row],[ActualHomeScore]]*Table2[[#This Row],[ActualAwayScore]]=0), 1,0)</f>
        <v>0</v>
      </c>
      <c r="AA9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70" s="2">
        <f>Table2[[#This Row],[ActualAwayScore]]-Table2[[#This Row],[PredictedAwayScore]]</f>
        <v>0</v>
      </c>
      <c r="AG970" s="2">
        <f>Table2[[#This Row],[ActualHomeScore]]-Table2[[#This Row],[PredictedHomeScore]]</f>
        <v>0</v>
      </c>
      <c r="AH970" s="2">
        <f t="shared" si="82"/>
        <v>0</v>
      </c>
      <c r="AI970" s="2">
        <f t="shared" si="83"/>
        <v>0</v>
      </c>
      <c r="AJ970" s="2"/>
      <c r="AK970" s="3"/>
      <c r="AL970" s="2">
        <f>IF(Table2[[#This Row],[GameIsOver]]=0,0,IF(Table2[[#This Row],[ActualWinner]]=Table2[[#This Row],[AwayTeam]], 1, 0))</f>
        <v>0</v>
      </c>
      <c r="AM970" s="2">
        <f>IF(Table2[[#This Row],[GameIsOver]]=0,0,IF(Table2[[#This Row],[ActualWinner]]=Table2[[#This Row],[HomeTeam]], 1, 0))</f>
        <v>0</v>
      </c>
      <c r="AN9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0" s="2" t="str">
        <f>INDEX(Sheet5!$B$2:$AG$33, MATCH(Table2[[#This Row],[AwayTeam]],Sheet5!$A$2:$A$33, 0), MATCH(Table2[[#This Row],[HomeTeam]],Sheet5!$A$2:$A$33, 0))</f>
        <v>0-0-0</v>
      </c>
      <c r="AP970" s="2" t="str">
        <f>INDEX(Sheet5!$B$2:$AG$33, MATCH(Table2[[#This Row],[HomeTeam]],Sheet5!$A$2:$A$33, 0), MATCH(Table2[[#This Row],[AwayTeam]],Sheet5!$A$2:$A$33, 0))</f>
        <v>0-0-0</v>
      </c>
      <c r="AQ970" s="2">
        <f>IF(Table2[[#This Row],[GameHasShutOut]], 1, 0)</f>
        <v>0</v>
      </c>
      <c r="AR970" s="2">
        <f>IF(Table2[[#This Row],[ActualAwayScore]] + Table2[[#This Row],[ActualHomeScore]] &gt;= 10, 1, 0)</f>
        <v>0</v>
      </c>
      <c r="AS970" s="2">
        <f>IF(ABS(Table2[[#This Row],[ActualAwayScore]]-Table2[[#This Row],[ActualHomeScore]])&gt;=5, 1, 0)</f>
        <v>0</v>
      </c>
      <c r="AT970" s="2">
        <f>IF(Table2[[#This Row],[ActualAwayScore]] + Table2[[#This Row],[ActualHomeScore]] &lt;= 3, 1, 0)</f>
        <v>1</v>
      </c>
      <c r="AU970" s="2"/>
      <c r="AV970" s="2"/>
    </row>
    <row r="971" spans="1:48" x14ac:dyDescent="0.25">
      <c r="A971" s="3"/>
      <c r="B971" s="3">
        <v>46085</v>
      </c>
      <c r="C971" s="5">
        <v>2025020969</v>
      </c>
      <c r="D971" s="2" t="s">
        <v>18</v>
      </c>
      <c r="E971" s="2" t="s">
        <v>37</v>
      </c>
      <c r="F971" s="2"/>
      <c r="G971" s="2"/>
      <c r="H971" s="2" t="str">
        <f t="shared" si="79"/>
        <v>_</v>
      </c>
      <c r="I971" s="2"/>
      <c r="J971" s="2"/>
      <c r="K971" s="2"/>
      <c r="L971" s="2" t="str">
        <f t="shared" si="80"/>
        <v>_</v>
      </c>
      <c r="M971" s="2"/>
      <c r="N971" s="2">
        <f>IF(ISBLANK(Table2[[#This Row],[ActualResult]]), 0, 1)</f>
        <v>0</v>
      </c>
      <c r="O971" s="2" t="str">
        <f>IF(ISBLANK(Table2[[#This Row],[ActualResult]]), "_", IF(Table2[[#This Row],[ActualWinner]]=Table2[[#This Row],[PredictedWinner]], "Y", "N"))</f>
        <v>_</v>
      </c>
      <c r="P9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1" s="2"/>
      <c r="S971" s="2" t="str">
        <f t="shared" si="81"/>
        <v>_</v>
      </c>
      <c r="T9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1" s="2">
        <f>IF(Table2[[#This Row],[InterConf]]=1,IF(Table2[[#This Row],[InterDiv]]=0, 1, 0), 0)</f>
        <v>0</v>
      </c>
      <c r="W9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1" s="2"/>
      <c r="Y971" s="2"/>
      <c r="Z971" s="145">
        <f>IF(AND(Table2[[#This Row],[GameIsOver]]=1,Table2[[#This Row],[ActualHomeScore]]*Table2[[#This Row],[ActualAwayScore]]=0), 1,0)</f>
        <v>0</v>
      </c>
      <c r="AA9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71" s="2">
        <f>Table2[[#This Row],[ActualAwayScore]]-Table2[[#This Row],[PredictedAwayScore]]</f>
        <v>0</v>
      </c>
      <c r="AG971" s="2">
        <f>Table2[[#This Row],[ActualHomeScore]]-Table2[[#This Row],[PredictedHomeScore]]</f>
        <v>0</v>
      </c>
      <c r="AH971" s="2">
        <f t="shared" si="82"/>
        <v>0</v>
      </c>
      <c r="AI971" s="2">
        <f t="shared" si="83"/>
        <v>0</v>
      </c>
      <c r="AJ971" s="2"/>
      <c r="AK971" s="3"/>
      <c r="AL971" s="2">
        <f>IF(Table2[[#This Row],[GameIsOver]]=0,0,IF(Table2[[#This Row],[ActualWinner]]=Table2[[#This Row],[AwayTeam]], 1, 0))</f>
        <v>0</v>
      </c>
      <c r="AM971" s="2">
        <f>IF(Table2[[#This Row],[GameIsOver]]=0,0,IF(Table2[[#This Row],[ActualWinner]]=Table2[[#This Row],[HomeTeam]], 1, 0))</f>
        <v>0</v>
      </c>
      <c r="AN9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1" s="2" t="str">
        <f>INDEX(Sheet5!$B$2:$AG$33, MATCH(Table2[[#This Row],[AwayTeam]],Sheet5!$A$2:$A$33, 0), MATCH(Table2[[#This Row],[HomeTeam]],Sheet5!$A$2:$A$33, 0))</f>
        <v>0-0-0</v>
      </c>
      <c r="AP971" s="2" t="str">
        <f>INDEX(Sheet5!$B$2:$AG$33, MATCH(Table2[[#This Row],[HomeTeam]],Sheet5!$A$2:$A$33, 0), MATCH(Table2[[#This Row],[AwayTeam]],Sheet5!$A$2:$A$33, 0))</f>
        <v>0-0-0</v>
      </c>
      <c r="AQ971" s="2">
        <f>IF(Table2[[#This Row],[GameHasShutOut]], 1, 0)</f>
        <v>0</v>
      </c>
      <c r="AR971" s="2">
        <f>IF(Table2[[#This Row],[ActualAwayScore]] + Table2[[#This Row],[ActualHomeScore]] &gt;= 10, 1, 0)</f>
        <v>0</v>
      </c>
      <c r="AS971" s="2">
        <f>IF(ABS(Table2[[#This Row],[ActualAwayScore]]-Table2[[#This Row],[ActualHomeScore]])&gt;=5, 1, 0)</f>
        <v>0</v>
      </c>
      <c r="AT971" s="2">
        <f>IF(Table2[[#This Row],[ActualAwayScore]] + Table2[[#This Row],[ActualHomeScore]] &lt;= 3, 1, 0)</f>
        <v>1</v>
      </c>
      <c r="AU971" s="2"/>
      <c r="AV971" s="2"/>
    </row>
    <row r="972" spans="1:48" x14ac:dyDescent="0.25">
      <c r="A972" s="3"/>
      <c r="B972" s="3">
        <v>46086</v>
      </c>
      <c r="C972" s="5">
        <v>2025020970</v>
      </c>
      <c r="D972" s="2" t="s">
        <v>26</v>
      </c>
      <c r="E972" s="2" t="s">
        <v>30</v>
      </c>
      <c r="F972" s="2"/>
      <c r="G972" s="2"/>
      <c r="H972" s="2" t="str">
        <f t="shared" si="79"/>
        <v>_</v>
      </c>
      <c r="I972" s="2"/>
      <c r="J972" s="2"/>
      <c r="K972" s="2"/>
      <c r="L972" s="2" t="str">
        <f t="shared" si="80"/>
        <v>_</v>
      </c>
      <c r="M972" s="2"/>
      <c r="N972" s="2">
        <f>IF(ISBLANK(Table2[[#This Row],[ActualResult]]), 0, 1)</f>
        <v>0</v>
      </c>
      <c r="O972" s="2" t="str">
        <f>IF(ISBLANK(Table2[[#This Row],[ActualResult]]), "_", IF(Table2[[#This Row],[ActualWinner]]=Table2[[#This Row],[PredictedWinner]], "Y", "N"))</f>
        <v>_</v>
      </c>
      <c r="P9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2" s="2"/>
      <c r="S972" s="2" t="str">
        <f t="shared" si="81"/>
        <v>_</v>
      </c>
      <c r="T9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2" s="2">
        <f>IF(Table2[[#This Row],[InterConf]]=1,IF(Table2[[#This Row],[InterDiv]]=0, 1, 0), 0)</f>
        <v>0</v>
      </c>
      <c r="W9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2" s="2"/>
      <c r="Y972" s="2"/>
      <c r="Z972" s="145">
        <f>IF(AND(Table2[[#This Row],[GameIsOver]]=1,Table2[[#This Row],[ActualHomeScore]]*Table2[[#This Row],[ActualAwayScore]]=0), 1,0)</f>
        <v>0</v>
      </c>
      <c r="AA9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2" s="2">
        <f>Table2[[#This Row],[ActualAwayScore]]-Table2[[#This Row],[PredictedAwayScore]]</f>
        <v>0</v>
      </c>
      <c r="AG972" s="2">
        <f>Table2[[#This Row],[ActualHomeScore]]-Table2[[#This Row],[PredictedHomeScore]]</f>
        <v>0</v>
      </c>
      <c r="AH972" s="2">
        <f t="shared" si="82"/>
        <v>0</v>
      </c>
      <c r="AI972" s="2">
        <f t="shared" si="83"/>
        <v>0</v>
      </c>
      <c r="AJ972" s="2"/>
      <c r="AK972" s="3"/>
      <c r="AL972" s="2">
        <f>IF(Table2[[#This Row],[GameIsOver]]=0,0,IF(Table2[[#This Row],[ActualWinner]]=Table2[[#This Row],[AwayTeam]], 1, 0))</f>
        <v>0</v>
      </c>
      <c r="AM972" s="2">
        <f>IF(Table2[[#This Row],[GameIsOver]]=0,0,IF(Table2[[#This Row],[ActualWinner]]=Table2[[#This Row],[HomeTeam]], 1, 0))</f>
        <v>0</v>
      </c>
      <c r="AN9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2" s="2" t="str">
        <f>INDEX(Sheet5!$B$2:$AG$33, MATCH(Table2[[#This Row],[AwayTeam]],Sheet5!$A$2:$A$33, 0), MATCH(Table2[[#This Row],[HomeTeam]],Sheet5!$A$2:$A$33, 0))</f>
        <v>0-0-0</v>
      </c>
      <c r="AP972" s="2" t="str">
        <f>INDEX(Sheet5!$B$2:$AG$33, MATCH(Table2[[#This Row],[HomeTeam]],Sheet5!$A$2:$A$33, 0), MATCH(Table2[[#This Row],[AwayTeam]],Sheet5!$A$2:$A$33, 0))</f>
        <v>0-0-0</v>
      </c>
      <c r="AQ972" s="2">
        <f>IF(Table2[[#This Row],[GameHasShutOut]], 1, 0)</f>
        <v>0</v>
      </c>
      <c r="AR972" s="2">
        <f>IF(Table2[[#This Row],[ActualAwayScore]] + Table2[[#This Row],[ActualHomeScore]] &gt;= 10, 1, 0)</f>
        <v>0</v>
      </c>
      <c r="AS972" s="2">
        <f>IF(ABS(Table2[[#This Row],[ActualAwayScore]]-Table2[[#This Row],[ActualHomeScore]])&gt;=5, 1, 0)</f>
        <v>0</v>
      </c>
      <c r="AT972" s="2">
        <f>IF(Table2[[#This Row],[ActualAwayScore]] + Table2[[#This Row],[ActualHomeScore]] &lt;= 3, 1, 0)</f>
        <v>1</v>
      </c>
      <c r="AU972" s="2"/>
      <c r="AV972" s="2"/>
    </row>
    <row r="973" spans="1:48" x14ac:dyDescent="0.25">
      <c r="A973" s="3"/>
      <c r="B973" s="3">
        <v>46086</v>
      </c>
      <c r="C973" s="5">
        <v>2025020971</v>
      </c>
      <c r="D973" s="2" t="s">
        <v>17</v>
      </c>
      <c r="E973" s="2" t="s">
        <v>31</v>
      </c>
      <c r="F973" s="2"/>
      <c r="G973" s="2"/>
      <c r="H973" s="2" t="str">
        <f t="shared" si="79"/>
        <v>_</v>
      </c>
      <c r="I973" s="2"/>
      <c r="J973" s="2"/>
      <c r="K973" s="2"/>
      <c r="L973" s="2" t="str">
        <f t="shared" si="80"/>
        <v>_</v>
      </c>
      <c r="M973" s="2"/>
      <c r="N973" s="2">
        <f>IF(ISBLANK(Table2[[#This Row],[ActualResult]]), 0, 1)</f>
        <v>0</v>
      </c>
      <c r="O973" s="2" t="str">
        <f>IF(ISBLANK(Table2[[#This Row],[ActualResult]]), "_", IF(Table2[[#This Row],[ActualWinner]]=Table2[[#This Row],[PredictedWinner]], "Y", "N"))</f>
        <v>_</v>
      </c>
      <c r="P9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3" s="2"/>
      <c r="S973" s="2" t="str">
        <f t="shared" si="81"/>
        <v>_</v>
      </c>
      <c r="T9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3" s="2">
        <f>IF(Table2[[#This Row],[InterConf]]=1,IF(Table2[[#This Row],[InterDiv]]=0, 1, 0), 0)</f>
        <v>1</v>
      </c>
      <c r="W9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3" s="2"/>
      <c r="Y973" s="2"/>
      <c r="Z973" s="145">
        <f>IF(AND(Table2[[#This Row],[GameIsOver]]=1,Table2[[#This Row],[ActualHomeScore]]*Table2[[#This Row],[ActualAwayScore]]=0), 1,0)</f>
        <v>0</v>
      </c>
      <c r="AA9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3" s="2">
        <f>Table2[[#This Row],[ActualAwayScore]]-Table2[[#This Row],[PredictedAwayScore]]</f>
        <v>0</v>
      </c>
      <c r="AG973" s="2">
        <f>Table2[[#This Row],[ActualHomeScore]]-Table2[[#This Row],[PredictedHomeScore]]</f>
        <v>0</v>
      </c>
      <c r="AH973" s="2">
        <f t="shared" si="82"/>
        <v>0</v>
      </c>
      <c r="AI973" s="2">
        <f t="shared" si="83"/>
        <v>0</v>
      </c>
      <c r="AJ973" s="2"/>
      <c r="AK973" s="3"/>
      <c r="AL973" s="2">
        <f>IF(Table2[[#This Row],[GameIsOver]]=0,0,IF(Table2[[#This Row],[ActualWinner]]=Table2[[#This Row],[AwayTeam]], 1, 0))</f>
        <v>0</v>
      </c>
      <c r="AM973" s="2">
        <f>IF(Table2[[#This Row],[GameIsOver]]=0,0,IF(Table2[[#This Row],[ActualWinner]]=Table2[[#This Row],[HomeTeam]], 1, 0))</f>
        <v>0</v>
      </c>
      <c r="AN9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3" s="2" t="str">
        <f>INDEX(Sheet5!$B$2:$AG$33, MATCH(Table2[[#This Row],[AwayTeam]],Sheet5!$A$2:$A$33, 0), MATCH(Table2[[#This Row],[HomeTeam]],Sheet5!$A$2:$A$33, 0))</f>
        <v>0-1-0</v>
      </c>
      <c r="AP973" s="2" t="str">
        <f>INDEX(Sheet5!$B$2:$AG$33, MATCH(Table2[[#This Row],[HomeTeam]],Sheet5!$A$2:$A$33, 0), MATCH(Table2[[#This Row],[AwayTeam]],Sheet5!$A$2:$A$33, 0))</f>
        <v>1-0-0</v>
      </c>
      <c r="AQ973" s="2">
        <f>IF(Table2[[#This Row],[GameHasShutOut]], 1, 0)</f>
        <v>0</v>
      </c>
      <c r="AR973" s="2">
        <f>IF(Table2[[#This Row],[ActualAwayScore]] + Table2[[#This Row],[ActualHomeScore]] &gt;= 10, 1, 0)</f>
        <v>0</v>
      </c>
      <c r="AS973" s="2">
        <f>IF(ABS(Table2[[#This Row],[ActualAwayScore]]-Table2[[#This Row],[ActualHomeScore]])&gt;=5, 1, 0)</f>
        <v>0</v>
      </c>
      <c r="AT973" s="2">
        <f>IF(Table2[[#This Row],[ActualAwayScore]] + Table2[[#This Row],[ActualHomeScore]] &lt;= 3, 1, 0)</f>
        <v>1</v>
      </c>
      <c r="AU973" s="2"/>
      <c r="AV973" s="2"/>
    </row>
    <row r="974" spans="1:48" x14ac:dyDescent="0.25">
      <c r="A974" s="3"/>
      <c r="B974" s="3">
        <v>46086</v>
      </c>
      <c r="C974" s="5">
        <v>2025020972</v>
      </c>
      <c r="D974" s="2" t="s">
        <v>41</v>
      </c>
      <c r="E974" s="2" t="s">
        <v>24</v>
      </c>
      <c r="F974" s="2"/>
      <c r="G974" s="2"/>
      <c r="H974" s="2" t="str">
        <f t="shared" si="79"/>
        <v>_</v>
      </c>
      <c r="I974" s="2"/>
      <c r="J974" s="2"/>
      <c r="K974" s="2"/>
      <c r="L974" s="2" t="str">
        <f t="shared" si="80"/>
        <v>_</v>
      </c>
      <c r="M974" s="2"/>
      <c r="N974" s="2">
        <f>IF(ISBLANK(Table2[[#This Row],[ActualResult]]), 0, 1)</f>
        <v>0</v>
      </c>
      <c r="O974" s="2" t="str">
        <f>IF(ISBLANK(Table2[[#This Row],[ActualResult]]), "_", IF(Table2[[#This Row],[ActualWinner]]=Table2[[#This Row],[PredictedWinner]], "Y", "N"))</f>
        <v>_</v>
      </c>
      <c r="P9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4" s="2"/>
      <c r="S974" s="2" t="str">
        <f t="shared" si="81"/>
        <v>_</v>
      </c>
      <c r="T9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4" s="2">
        <f>IF(Table2[[#This Row],[InterConf]]=1,IF(Table2[[#This Row],[InterDiv]]=0, 1, 0), 0)</f>
        <v>0</v>
      </c>
      <c r="W9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4" s="2"/>
      <c r="Y974" s="2"/>
      <c r="Z974" s="145">
        <f>IF(AND(Table2[[#This Row],[GameIsOver]]=1,Table2[[#This Row],[ActualHomeScore]]*Table2[[#This Row],[ActualAwayScore]]=0), 1,0)</f>
        <v>0</v>
      </c>
      <c r="AA9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4" s="2">
        <f>Table2[[#This Row],[ActualAwayScore]]-Table2[[#This Row],[PredictedAwayScore]]</f>
        <v>0</v>
      </c>
      <c r="AG974" s="2">
        <f>Table2[[#This Row],[ActualHomeScore]]-Table2[[#This Row],[PredictedHomeScore]]</f>
        <v>0</v>
      </c>
      <c r="AH974" s="2">
        <f t="shared" si="82"/>
        <v>0</v>
      </c>
      <c r="AI974" s="2">
        <f t="shared" si="83"/>
        <v>0</v>
      </c>
      <c r="AJ974" s="2"/>
      <c r="AK974" s="3"/>
      <c r="AL974" s="2">
        <f>IF(Table2[[#This Row],[GameIsOver]]=0,0,IF(Table2[[#This Row],[ActualWinner]]=Table2[[#This Row],[AwayTeam]], 1, 0))</f>
        <v>0</v>
      </c>
      <c r="AM974" s="2">
        <f>IF(Table2[[#This Row],[GameIsOver]]=0,0,IF(Table2[[#This Row],[ActualWinner]]=Table2[[#This Row],[HomeTeam]], 1, 0))</f>
        <v>0</v>
      </c>
      <c r="AN9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4" s="2" t="str">
        <f>INDEX(Sheet5!$B$2:$AG$33, MATCH(Table2[[#This Row],[AwayTeam]],Sheet5!$A$2:$A$33, 0), MATCH(Table2[[#This Row],[HomeTeam]],Sheet5!$A$2:$A$33, 0))</f>
        <v>0-0-0</v>
      </c>
      <c r="AP974" s="2" t="str">
        <f>INDEX(Sheet5!$B$2:$AG$33, MATCH(Table2[[#This Row],[HomeTeam]],Sheet5!$A$2:$A$33, 0), MATCH(Table2[[#This Row],[AwayTeam]],Sheet5!$A$2:$A$33, 0))</f>
        <v>0-0-0</v>
      </c>
      <c r="AQ974" s="2">
        <f>IF(Table2[[#This Row],[GameHasShutOut]], 1, 0)</f>
        <v>0</v>
      </c>
      <c r="AR974" s="2">
        <f>IF(Table2[[#This Row],[ActualAwayScore]] + Table2[[#This Row],[ActualHomeScore]] &gt;= 10, 1, 0)</f>
        <v>0</v>
      </c>
      <c r="AS974" s="2">
        <f>IF(ABS(Table2[[#This Row],[ActualAwayScore]]-Table2[[#This Row],[ActualHomeScore]])&gt;=5, 1, 0)</f>
        <v>0</v>
      </c>
      <c r="AT974" s="2">
        <f>IF(Table2[[#This Row],[ActualAwayScore]] + Table2[[#This Row],[ActualHomeScore]] &lt;= 3, 1, 0)</f>
        <v>1</v>
      </c>
      <c r="AU974" s="2"/>
      <c r="AV974" s="2"/>
    </row>
    <row r="975" spans="1:48" x14ac:dyDescent="0.25">
      <c r="A975" s="3"/>
      <c r="B975" s="3">
        <v>46086</v>
      </c>
      <c r="C975" s="5">
        <v>2025020973</v>
      </c>
      <c r="D975" s="2" t="s">
        <v>32</v>
      </c>
      <c r="E975" s="2" t="s">
        <v>44</v>
      </c>
      <c r="F975" s="2"/>
      <c r="G975" s="2"/>
      <c r="H975" s="2" t="str">
        <f t="shared" si="79"/>
        <v>_</v>
      </c>
      <c r="I975" s="2"/>
      <c r="J975" s="2"/>
      <c r="K975" s="2"/>
      <c r="L975" s="2" t="str">
        <f t="shared" si="80"/>
        <v>_</v>
      </c>
      <c r="M975" s="2"/>
      <c r="N975" s="2">
        <f>IF(ISBLANK(Table2[[#This Row],[ActualResult]]), 0, 1)</f>
        <v>0</v>
      </c>
      <c r="O975" s="2" t="str">
        <f>IF(ISBLANK(Table2[[#This Row],[ActualResult]]), "_", IF(Table2[[#This Row],[ActualWinner]]=Table2[[#This Row],[PredictedWinner]], "Y", "N"))</f>
        <v>_</v>
      </c>
      <c r="P9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5" s="2"/>
      <c r="S975" s="2" t="str">
        <f t="shared" si="81"/>
        <v>_</v>
      </c>
      <c r="T9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5" s="2">
        <f>IF(Table2[[#This Row],[InterConf]]=1,IF(Table2[[#This Row],[InterDiv]]=0, 1, 0), 0)</f>
        <v>0</v>
      </c>
      <c r="W9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5" s="2"/>
      <c r="Y975" s="2"/>
      <c r="Z975" s="145">
        <f>IF(AND(Table2[[#This Row],[GameIsOver]]=1,Table2[[#This Row],[ActualHomeScore]]*Table2[[#This Row],[ActualAwayScore]]=0), 1,0)</f>
        <v>0</v>
      </c>
      <c r="AA9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5" s="2">
        <f>Table2[[#This Row],[ActualAwayScore]]-Table2[[#This Row],[PredictedAwayScore]]</f>
        <v>0</v>
      </c>
      <c r="AG975" s="2">
        <f>Table2[[#This Row],[ActualHomeScore]]-Table2[[#This Row],[PredictedHomeScore]]</f>
        <v>0</v>
      </c>
      <c r="AH975" s="2">
        <f t="shared" si="82"/>
        <v>0</v>
      </c>
      <c r="AI975" s="2">
        <f t="shared" si="83"/>
        <v>0</v>
      </c>
      <c r="AJ975" s="2"/>
      <c r="AK975" s="3"/>
      <c r="AL975" s="2">
        <f>IF(Table2[[#This Row],[GameIsOver]]=0,0,IF(Table2[[#This Row],[ActualWinner]]=Table2[[#This Row],[AwayTeam]], 1, 0))</f>
        <v>0</v>
      </c>
      <c r="AM975" s="2">
        <f>IF(Table2[[#This Row],[GameIsOver]]=0,0,IF(Table2[[#This Row],[ActualWinner]]=Table2[[#This Row],[HomeTeam]], 1, 0))</f>
        <v>0</v>
      </c>
      <c r="AN9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5" s="2" t="str">
        <f>INDEX(Sheet5!$B$2:$AG$33, MATCH(Table2[[#This Row],[AwayTeam]],Sheet5!$A$2:$A$33, 0), MATCH(Table2[[#This Row],[HomeTeam]],Sheet5!$A$2:$A$33, 0))</f>
        <v>0-0-0</v>
      </c>
      <c r="AP975" s="2" t="str">
        <f>INDEX(Sheet5!$B$2:$AG$33, MATCH(Table2[[#This Row],[HomeTeam]],Sheet5!$A$2:$A$33, 0), MATCH(Table2[[#This Row],[AwayTeam]],Sheet5!$A$2:$A$33, 0))</f>
        <v>0-0-0</v>
      </c>
      <c r="AQ975" s="2">
        <f>IF(Table2[[#This Row],[GameHasShutOut]], 1, 0)</f>
        <v>0</v>
      </c>
      <c r="AR975" s="2">
        <f>IF(Table2[[#This Row],[ActualAwayScore]] + Table2[[#This Row],[ActualHomeScore]] &gt;= 10, 1, 0)</f>
        <v>0</v>
      </c>
      <c r="AS975" s="2">
        <f>IF(ABS(Table2[[#This Row],[ActualAwayScore]]-Table2[[#This Row],[ActualHomeScore]])&gt;=5, 1, 0)</f>
        <v>0</v>
      </c>
      <c r="AT975" s="2">
        <f>IF(Table2[[#This Row],[ActualAwayScore]] + Table2[[#This Row],[ActualHomeScore]] &lt;= 3, 1, 0)</f>
        <v>1</v>
      </c>
      <c r="AU975" s="2"/>
      <c r="AV975" s="2"/>
    </row>
    <row r="976" spans="1:48" x14ac:dyDescent="0.25">
      <c r="A976" s="3"/>
      <c r="B976" s="3">
        <v>46086</v>
      </c>
      <c r="C976" s="5">
        <v>2025020974</v>
      </c>
      <c r="D976" s="2" t="s">
        <v>12</v>
      </c>
      <c r="E976" s="2" t="s">
        <v>11</v>
      </c>
      <c r="F976" s="2"/>
      <c r="G976" s="2"/>
      <c r="H976" s="2" t="str">
        <f t="shared" si="79"/>
        <v>_</v>
      </c>
      <c r="I976" s="2"/>
      <c r="J976" s="2"/>
      <c r="K976" s="2"/>
      <c r="L976" s="2" t="str">
        <f t="shared" si="80"/>
        <v>_</v>
      </c>
      <c r="M976" s="2"/>
      <c r="N976" s="2">
        <f>IF(ISBLANK(Table2[[#This Row],[ActualResult]]), 0, 1)</f>
        <v>0</v>
      </c>
      <c r="O976" s="2" t="str">
        <f>IF(ISBLANK(Table2[[#This Row],[ActualResult]]), "_", IF(Table2[[#This Row],[ActualWinner]]=Table2[[#This Row],[PredictedWinner]], "Y", "N"))</f>
        <v>_</v>
      </c>
      <c r="P9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6" s="2"/>
      <c r="S976" s="2" t="str">
        <f t="shared" si="81"/>
        <v>_</v>
      </c>
      <c r="T9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6" s="2">
        <f>IF(Table2[[#This Row],[InterConf]]=1,IF(Table2[[#This Row],[InterDiv]]=0, 1, 0), 0)</f>
        <v>1</v>
      </c>
      <c r="W9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6" s="2"/>
      <c r="Y976" s="2"/>
      <c r="Z976" s="145">
        <f>IF(AND(Table2[[#This Row],[GameIsOver]]=1,Table2[[#This Row],[ActualHomeScore]]*Table2[[#This Row],[ActualAwayScore]]=0), 1,0)</f>
        <v>0</v>
      </c>
      <c r="AA9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6" s="2">
        <f>Table2[[#This Row],[ActualAwayScore]]-Table2[[#This Row],[PredictedAwayScore]]</f>
        <v>0</v>
      </c>
      <c r="AG976" s="2">
        <f>Table2[[#This Row],[ActualHomeScore]]-Table2[[#This Row],[PredictedHomeScore]]</f>
        <v>0</v>
      </c>
      <c r="AH976" s="2">
        <f t="shared" si="82"/>
        <v>0</v>
      </c>
      <c r="AI976" s="2">
        <f t="shared" si="83"/>
        <v>0</v>
      </c>
      <c r="AJ976" s="2"/>
      <c r="AK976" s="3"/>
      <c r="AL976" s="2">
        <f>IF(Table2[[#This Row],[GameIsOver]]=0,0,IF(Table2[[#This Row],[ActualWinner]]=Table2[[#This Row],[AwayTeam]], 1, 0))</f>
        <v>0</v>
      </c>
      <c r="AM976" s="2">
        <f>IF(Table2[[#This Row],[GameIsOver]]=0,0,IF(Table2[[#This Row],[ActualWinner]]=Table2[[#This Row],[HomeTeam]], 1, 0))</f>
        <v>0</v>
      </c>
      <c r="AN9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6" s="2" t="str">
        <f>INDEX(Sheet5!$B$2:$AG$33, MATCH(Table2[[#This Row],[AwayTeam]],Sheet5!$A$2:$A$33, 0), MATCH(Table2[[#This Row],[HomeTeam]],Sheet5!$A$2:$A$33, 0))</f>
        <v>0-0-0</v>
      </c>
      <c r="AP976" s="2" t="str">
        <f>INDEX(Sheet5!$B$2:$AG$33, MATCH(Table2[[#This Row],[HomeTeam]],Sheet5!$A$2:$A$33, 0), MATCH(Table2[[#This Row],[AwayTeam]],Sheet5!$A$2:$A$33, 0))</f>
        <v>0-0-0</v>
      </c>
      <c r="AQ976" s="2">
        <f>IF(Table2[[#This Row],[GameHasShutOut]], 1, 0)</f>
        <v>0</v>
      </c>
      <c r="AR976" s="2">
        <f>IF(Table2[[#This Row],[ActualAwayScore]] + Table2[[#This Row],[ActualHomeScore]] &gt;= 10, 1, 0)</f>
        <v>0</v>
      </c>
      <c r="AS976" s="2">
        <f>IF(ABS(Table2[[#This Row],[ActualAwayScore]]-Table2[[#This Row],[ActualHomeScore]])&gt;=5, 1, 0)</f>
        <v>0</v>
      </c>
      <c r="AT976" s="2">
        <f>IF(Table2[[#This Row],[ActualAwayScore]] + Table2[[#This Row],[ActualHomeScore]] &lt;= 3, 1, 0)</f>
        <v>1</v>
      </c>
      <c r="AU976" s="2"/>
      <c r="AV976" s="2"/>
    </row>
    <row r="977" spans="1:48" x14ac:dyDescent="0.25">
      <c r="A977" s="3"/>
      <c r="B977" s="3">
        <v>46087</v>
      </c>
      <c r="C977" s="5">
        <v>2025020975</v>
      </c>
      <c r="D977" s="2" t="s">
        <v>17</v>
      </c>
      <c r="E977" s="2" t="s">
        <v>19</v>
      </c>
      <c r="F977" s="2"/>
      <c r="G977" s="2"/>
      <c r="H977" s="2" t="str">
        <f t="shared" si="79"/>
        <v>_</v>
      </c>
      <c r="I977" s="2"/>
      <c r="J977" s="2"/>
      <c r="K977" s="2"/>
      <c r="L977" s="2" t="str">
        <f t="shared" si="80"/>
        <v>_</v>
      </c>
      <c r="M977" s="2"/>
      <c r="N977" s="2">
        <f>IF(ISBLANK(Table2[[#This Row],[ActualResult]]), 0, 1)</f>
        <v>0</v>
      </c>
      <c r="O977" s="2" t="str">
        <f>IF(ISBLANK(Table2[[#This Row],[ActualResult]]), "_", IF(Table2[[#This Row],[ActualWinner]]=Table2[[#This Row],[PredictedWinner]], "Y", "N"))</f>
        <v>_</v>
      </c>
      <c r="P9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7" s="2"/>
      <c r="S977" s="2" t="str">
        <f t="shared" si="81"/>
        <v>_</v>
      </c>
      <c r="T9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7" s="2">
        <f>IF(Table2[[#This Row],[InterConf]]=1,IF(Table2[[#This Row],[InterDiv]]=0, 1, 0), 0)</f>
        <v>1</v>
      </c>
      <c r="W9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7" s="2"/>
      <c r="Y977" s="2"/>
      <c r="Z977" s="145">
        <f>IF(AND(Table2[[#This Row],[GameIsOver]]=1,Table2[[#This Row],[ActualHomeScore]]*Table2[[#This Row],[ActualAwayScore]]=0), 1,0)</f>
        <v>0</v>
      </c>
      <c r="AA9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77" s="2">
        <f>Table2[[#This Row],[ActualAwayScore]]-Table2[[#This Row],[PredictedAwayScore]]</f>
        <v>0</v>
      </c>
      <c r="AG977" s="2">
        <f>Table2[[#This Row],[ActualHomeScore]]-Table2[[#This Row],[PredictedHomeScore]]</f>
        <v>0</v>
      </c>
      <c r="AH977" s="2">
        <f t="shared" si="82"/>
        <v>0</v>
      </c>
      <c r="AI977" s="2">
        <f t="shared" si="83"/>
        <v>0</v>
      </c>
      <c r="AJ977" s="2"/>
      <c r="AK977" s="3"/>
      <c r="AL977" s="2">
        <f>IF(Table2[[#This Row],[GameIsOver]]=0,0,IF(Table2[[#This Row],[ActualWinner]]=Table2[[#This Row],[AwayTeam]], 1, 0))</f>
        <v>0</v>
      </c>
      <c r="AM977" s="2">
        <f>IF(Table2[[#This Row],[GameIsOver]]=0,0,IF(Table2[[#This Row],[ActualWinner]]=Table2[[#This Row],[HomeTeam]], 1, 0))</f>
        <v>0</v>
      </c>
      <c r="AN9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7" s="2" t="str">
        <f>INDEX(Sheet5!$B$2:$AG$33, MATCH(Table2[[#This Row],[AwayTeam]],Sheet5!$A$2:$A$33, 0), MATCH(Table2[[#This Row],[HomeTeam]],Sheet5!$A$2:$A$33, 0))</f>
        <v>1-0-0</v>
      </c>
      <c r="AP977" s="2" t="str">
        <f>INDEX(Sheet5!$B$2:$AG$33, MATCH(Table2[[#This Row],[HomeTeam]],Sheet5!$A$2:$A$33, 0), MATCH(Table2[[#This Row],[AwayTeam]],Sheet5!$A$2:$A$33, 0))</f>
        <v>0-0-1</v>
      </c>
      <c r="AQ977" s="2">
        <f>IF(Table2[[#This Row],[GameHasShutOut]], 1, 0)</f>
        <v>0</v>
      </c>
      <c r="AR977" s="2">
        <f>IF(Table2[[#This Row],[ActualAwayScore]] + Table2[[#This Row],[ActualHomeScore]] &gt;= 10, 1, 0)</f>
        <v>0</v>
      </c>
      <c r="AS977" s="2">
        <f>IF(ABS(Table2[[#This Row],[ActualAwayScore]]-Table2[[#This Row],[ActualHomeScore]])&gt;=5, 1, 0)</f>
        <v>0</v>
      </c>
      <c r="AT977" s="2">
        <f>IF(Table2[[#This Row],[ActualAwayScore]] + Table2[[#This Row],[ActualHomeScore]] &lt;= 3, 1, 0)</f>
        <v>1</v>
      </c>
      <c r="AU977" s="2"/>
      <c r="AV977" s="2"/>
    </row>
    <row r="978" spans="1:48" x14ac:dyDescent="0.25">
      <c r="A978" s="3"/>
      <c r="B978" s="3">
        <v>46087</v>
      </c>
      <c r="C978" s="5">
        <v>2025020976</v>
      </c>
      <c r="D978" s="2" t="s">
        <v>14</v>
      </c>
      <c r="E978" s="2" t="s">
        <v>42</v>
      </c>
      <c r="F978" s="2"/>
      <c r="G978" s="2"/>
      <c r="H978" s="2" t="str">
        <f t="shared" si="79"/>
        <v>_</v>
      </c>
      <c r="I978" s="2"/>
      <c r="J978" s="2"/>
      <c r="K978" s="2"/>
      <c r="L978" s="2" t="str">
        <f t="shared" si="80"/>
        <v>_</v>
      </c>
      <c r="M978" s="2"/>
      <c r="N978" s="2">
        <f>IF(ISBLANK(Table2[[#This Row],[ActualResult]]), 0, 1)</f>
        <v>0</v>
      </c>
      <c r="O978" s="2" t="str">
        <f>IF(ISBLANK(Table2[[#This Row],[ActualResult]]), "_", IF(Table2[[#This Row],[ActualWinner]]=Table2[[#This Row],[PredictedWinner]], "Y", "N"))</f>
        <v>_</v>
      </c>
      <c r="P9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8" s="2"/>
      <c r="S978" s="2" t="str">
        <f t="shared" si="81"/>
        <v>_</v>
      </c>
      <c r="T9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8" s="2">
        <f>IF(Table2[[#This Row],[InterConf]]=1,IF(Table2[[#This Row],[InterDiv]]=0, 1, 0), 0)</f>
        <v>0</v>
      </c>
      <c r="W9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8" s="2"/>
      <c r="Y978" s="2"/>
      <c r="Z978" s="145">
        <f>IF(AND(Table2[[#This Row],[GameIsOver]]=1,Table2[[#This Row],[ActualHomeScore]]*Table2[[#This Row],[ActualAwayScore]]=0), 1,0)</f>
        <v>0</v>
      </c>
      <c r="AA9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78" s="2">
        <f>Table2[[#This Row],[ActualAwayScore]]-Table2[[#This Row],[PredictedAwayScore]]</f>
        <v>0</v>
      </c>
      <c r="AG978" s="2">
        <f>Table2[[#This Row],[ActualHomeScore]]-Table2[[#This Row],[PredictedHomeScore]]</f>
        <v>0</v>
      </c>
      <c r="AH978" s="2">
        <f t="shared" si="82"/>
        <v>0</v>
      </c>
      <c r="AI978" s="2">
        <f t="shared" si="83"/>
        <v>0</v>
      </c>
      <c r="AJ978" s="2"/>
      <c r="AK978" s="3"/>
      <c r="AL978" s="2">
        <f>IF(Table2[[#This Row],[GameIsOver]]=0,0,IF(Table2[[#This Row],[ActualWinner]]=Table2[[#This Row],[AwayTeam]], 1, 0))</f>
        <v>0</v>
      </c>
      <c r="AM978" s="2">
        <f>IF(Table2[[#This Row],[GameIsOver]]=0,0,IF(Table2[[#This Row],[ActualWinner]]=Table2[[#This Row],[HomeTeam]], 1, 0))</f>
        <v>0</v>
      </c>
      <c r="AN9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8" s="2" t="str">
        <f>INDEX(Sheet5!$B$2:$AG$33, MATCH(Table2[[#This Row],[AwayTeam]],Sheet5!$A$2:$A$33, 0), MATCH(Table2[[#This Row],[HomeTeam]],Sheet5!$A$2:$A$33, 0))</f>
        <v>0-0-0</v>
      </c>
      <c r="AP978" s="2" t="str">
        <f>INDEX(Sheet5!$B$2:$AG$33, MATCH(Table2[[#This Row],[HomeTeam]],Sheet5!$A$2:$A$33, 0), MATCH(Table2[[#This Row],[AwayTeam]],Sheet5!$A$2:$A$33, 0))</f>
        <v>0-0-0</v>
      </c>
      <c r="AQ978" s="2">
        <f>IF(Table2[[#This Row],[GameHasShutOut]], 1, 0)</f>
        <v>0</v>
      </c>
      <c r="AR978" s="2">
        <f>IF(Table2[[#This Row],[ActualAwayScore]] + Table2[[#This Row],[ActualHomeScore]] &gt;= 10, 1, 0)</f>
        <v>0</v>
      </c>
      <c r="AS978" s="2">
        <f>IF(ABS(Table2[[#This Row],[ActualAwayScore]]-Table2[[#This Row],[ActualHomeScore]])&gt;=5, 1, 0)</f>
        <v>0</v>
      </c>
      <c r="AT978" s="2">
        <f>IF(Table2[[#This Row],[ActualAwayScore]] + Table2[[#This Row],[ActualHomeScore]] &lt;= 3, 1, 0)</f>
        <v>1</v>
      </c>
      <c r="AU978" s="2"/>
      <c r="AV978" s="2"/>
    </row>
    <row r="979" spans="1:48" x14ac:dyDescent="0.25">
      <c r="A979" s="3"/>
      <c r="B979" s="3">
        <v>46087</v>
      </c>
      <c r="C979" s="5">
        <v>2025020977</v>
      </c>
      <c r="D979" s="2" t="s">
        <v>28</v>
      </c>
      <c r="E979" s="2" t="s">
        <v>20</v>
      </c>
      <c r="F979" s="2"/>
      <c r="G979" s="2"/>
      <c r="H979" s="2" t="str">
        <f t="shared" si="79"/>
        <v>_</v>
      </c>
      <c r="I979" s="2"/>
      <c r="J979" s="2"/>
      <c r="K979" s="2"/>
      <c r="L979" s="2" t="str">
        <f t="shared" si="80"/>
        <v>_</v>
      </c>
      <c r="M979" s="2"/>
      <c r="N979" s="2">
        <f>IF(ISBLANK(Table2[[#This Row],[ActualResult]]), 0, 1)</f>
        <v>0</v>
      </c>
      <c r="O979" s="2" t="str">
        <f>IF(ISBLANK(Table2[[#This Row],[ActualResult]]), "_", IF(Table2[[#This Row],[ActualWinner]]=Table2[[#This Row],[PredictedWinner]], "Y", "N"))</f>
        <v>_</v>
      </c>
      <c r="P9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9" s="2"/>
      <c r="S979" s="2" t="str">
        <f t="shared" si="81"/>
        <v>_</v>
      </c>
      <c r="T9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9" s="2">
        <f>IF(Table2[[#This Row],[InterConf]]=1,IF(Table2[[#This Row],[InterDiv]]=0, 1, 0), 0)</f>
        <v>1</v>
      </c>
      <c r="W9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9" s="2"/>
      <c r="Y979" s="2"/>
      <c r="Z979" s="145">
        <f>IF(AND(Table2[[#This Row],[GameIsOver]]=1,Table2[[#This Row],[ActualHomeScore]]*Table2[[#This Row],[ActualAwayScore]]=0), 1,0)</f>
        <v>0</v>
      </c>
      <c r="AA9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79" s="2">
        <f>Table2[[#This Row],[ActualAwayScore]]-Table2[[#This Row],[PredictedAwayScore]]</f>
        <v>0</v>
      </c>
      <c r="AG979" s="2">
        <f>Table2[[#This Row],[ActualHomeScore]]-Table2[[#This Row],[PredictedHomeScore]]</f>
        <v>0</v>
      </c>
      <c r="AH979" s="2">
        <f t="shared" si="82"/>
        <v>0</v>
      </c>
      <c r="AI979" s="2">
        <f t="shared" si="83"/>
        <v>0</v>
      </c>
      <c r="AJ979" s="2"/>
      <c r="AK979" s="3"/>
      <c r="AL979" s="2">
        <f>IF(Table2[[#This Row],[GameIsOver]]=0,0,IF(Table2[[#This Row],[ActualWinner]]=Table2[[#This Row],[AwayTeam]], 1, 0))</f>
        <v>0</v>
      </c>
      <c r="AM979" s="2">
        <f>IF(Table2[[#This Row],[GameIsOver]]=0,0,IF(Table2[[#This Row],[ActualWinner]]=Table2[[#This Row],[HomeTeam]], 1, 0))</f>
        <v>0</v>
      </c>
      <c r="AN9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9" s="2" t="str">
        <f>INDEX(Sheet5!$B$2:$AG$33, MATCH(Table2[[#This Row],[AwayTeam]],Sheet5!$A$2:$A$33, 0), MATCH(Table2[[#This Row],[HomeTeam]],Sheet5!$A$2:$A$33, 0))</f>
        <v>0-0-0</v>
      </c>
      <c r="AP979" s="2" t="str">
        <f>INDEX(Sheet5!$B$2:$AG$33, MATCH(Table2[[#This Row],[HomeTeam]],Sheet5!$A$2:$A$33, 0), MATCH(Table2[[#This Row],[AwayTeam]],Sheet5!$A$2:$A$33, 0))</f>
        <v>0-0-0</v>
      </c>
      <c r="AQ979" s="2">
        <f>IF(Table2[[#This Row],[GameHasShutOut]], 1, 0)</f>
        <v>0</v>
      </c>
      <c r="AR979" s="2">
        <f>IF(Table2[[#This Row],[ActualAwayScore]] + Table2[[#This Row],[ActualHomeScore]] &gt;= 10, 1, 0)</f>
        <v>0</v>
      </c>
      <c r="AS979" s="2">
        <f>IF(ABS(Table2[[#This Row],[ActualAwayScore]]-Table2[[#This Row],[ActualHomeScore]])&gt;=5, 1, 0)</f>
        <v>0</v>
      </c>
      <c r="AT979" s="2">
        <f>IF(Table2[[#This Row],[ActualAwayScore]] + Table2[[#This Row],[ActualHomeScore]] &lt;= 3, 1, 0)</f>
        <v>1</v>
      </c>
      <c r="AU979" s="2"/>
      <c r="AV979" s="2"/>
    </row>
    <row r="980" spans="1:48" x14ac:dyDescent="0.25">
      <c r="A980" s="3"/>
      <c r="B980" s="3">
        <v>46087</v>
      </c>
      <c r="C980" s="5">
        <v>2025020978</v>
      </c>
      <c r="D980" s="2" t="s">
        <v>13</v>
      </c>
      <c r="E980" s="2" t="s">
        <v>35</v>
      </c>
      <c r="F980" s="2"/>
      <c r="G980" s="2"/>
      <c r="H980" s="2" t="str">
        <f t="shared" si="79"/>
        <v>_</v>
      </c>
      <c r="I980" s="2"/>
      <c r="J980" s="2"/>
      <c r="K980" s="2"/>
      <c r="L980" s="2" t="str">
        <f t="shared" si="80"/>
        <v>_</v>
      </c>
      <c r="M980" s="2"/>
      <c r="N980" s="2">
        <f>IF(ISBLANK(Table2[[#This Row],[ActualResult]]), 0, 1)</f>
        <v>0</v>
      </c>
      <c r="O980" s="2" t="str">
        <f>IF(ISBLANK(Table2[[#This Row],[ActualResult]]), "_", IF(Table2[[#This Row],[ActualWinner]]=Table2[[#This Row],[PredictedWinner]], "Y", "N"))</f>
        <v>_</v>
      </c>
      <c r="P9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0" s="2"/>
      <c r="S980" s="2" t="str">
        <f t="shared" si="81"/>
        <v>_</v>
      </c>
      <c r="T9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0" s="2">
        <f>IF(Table2[[#This Row],[InterConf]]=1,IF(Table2[[#This Row],[InterDiv]]=0, 1, 0), 0)</f>
        <v>1</v>
      </c>
      <c r="W9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0" s="2"/>
      <c r="Y980" s="2"/>
      <c r="Z980" s="145">
        <f>IF(AND(Table2[[#This Row],[GameIsOver]]=1,Table2[[#This Row],[ActualHomeScore]]*Table2[[#This Row],[ActualAwayScore]]=0), 1,0)</f>
        <v>0</v>
      </c>
      <c r="AA9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0" s="2">
        <f>Table2[[#This Row],[ActualAwayScore]]-Table2[[#This Row],[PredictedAwayScore]]</f>
        <v>0</v>
      </c>
      <c r="AG980" s="2">
        <f>Table2[[#This Row],[ActualHomeScore]]-Table2[[#This Row],[PredictedHomeScore]]</f>
        <v>0</v>
      </c>
      <c r="AH980" s="2">
        <f t="shared" si="82"/>
        <v>0</v>
      </c>
      <c r="AI980" s="2">
        <f t="shared" si="83"/>
        <v>0</v>
      </c>
      <c r="AJ980" s="2"/>
      <c r="AK980" s="3"/>
      <c r="AL980" s="2">
        <f>IF(Table2[[#This Row],[GameIsOver]]=0,0,IF(Table2[[#This Row],[ActualWinner]]=Table2[[#This Row],[AwayTeam]], 1, 0))</f>
        <v>0</v>
      </c>
      <c r="AM980" s="2">
        <f>IF(Table2[[#This Row],[GameIsOver]]=0,0,IF(Table2[[#This Row],[ActualWinner]]=Table2[[#This Row],[HomeTeam]], 1, 0))</f>
        <v>0</v>
      </c>
      <c r="AN9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0" s="2" t="str">
        <f>INDEX(Sheet5!$B$2:$AG$33, MATCH(Table2[[#This Row],[AwayTeam]],Sheet5!$A$2:$A$33, 0), MATCH(Table2[[#This Row],[HomeTeam]],Sheet5!$A$2:$A$33, 0))</f>
        <v>0-0-0</v>
      </c>
      <c r="AP980" s="2" t="str">
        <f>INDEX(Sheet5!$B$2:$AG$33, MATCH(Table2[[#This Row],[HomeTeam]],Sheet5!$A$2:$A$33, 0), MATCH(Table2[[#This Row],[AwayTeam]],Sheet5!$A$2:$A$33, 0))</f>
        <v>0-0-0</v>
      </c>
      <c r="AQ980" s="2">
        <f>IF(Table2[[#This Row],[GameHasShutOut]], 1, 0)</f>
        <v>0</v>
      </c>
      <c r="AR980" s="2">
        <f>IF(Table2[[#This Row],[ActualAwayScore]] + Table2[[#This Row],[ActualHomeScore]] &gt;= 10, 1, 0)</f>
        <v>0</v>
      </c>
      <c r="AS980" s="2">
        <f>IF(ABS(Table2[[#This Row],[ActualAwayScore]]-Table2[[#This Row],[ActualHomeScore]])&gt;=5, 1, 0)</f>
        <v>0</v>
      </c>
      <c r="AT980" s="2">
        <f>IF(Table2[[#This Row],[ActualAwayScore]] + Table2[[#This Row],[ActualHomeScore]] &lt;= 3, 1, 0)</f>
        <v>1</v>
      </c>
      <c r="AU980" s="2"/>
      <c r="AV980" s="2"/>
    </row>
    <row r="981" spans="1:48" x14ac:dyDescent="0.25">
      <c r="A981" s="3"/>
      <c r="B981" s="3">
        <v>46087</v>
      </c>
      <c r="C981" s="5">
        <v>2025020979</v>
      </c>
      <c r="D981" s="2" t="s">
        <v>15</v>
      </c>
      <c r="E981" s="2" t="s">
        <v>34</v>
      </c>
      <c r="F981" s="2"/>
      <c r="G981" s="2"/>
      <c r="H981" s="2" t="str">
        <f t="shared" si="79"/>
        <v>_</v>
      </c>
      <c r="I981" s="2"/>
      <c r="J981" s="2"/>
      <c r="K981" s="2"/>
      <c r="L981" s="2" t="str">
        <f t="shared" si="80"/>
        <v>_</v>
      </c>
      <c r="M981" s="2"/>
      <c r="N981" s="2">
        <f>IF(ISBLANK(Table2[[#This Row],[ActualResult]]), 0, 1)</f>
        <v>0</v>
      </c>
      <c r="O981" s="2" t="str">
        <f>IF(ISBLANK(Table2[[#This Row],[ActualResult]]), "_", IF(Table2[[#This Row],[ActualWinner]]=Table2[[#This Row],[PredictedWinner]], "Y", "N"))</f>
        <v>_</v>
      </c>
      <c r="P9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1" s="2"/>
      <c r="S981" s="2" t="str">
        <f t="shared" si="81"/>
        <v>_</v>
      </c>
      <c r="T9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1" s="2">
        <f>IF(Table2[[#This Row],[InterConf]]=1,IF(Table2[[#This Row],[InterDiv]]=0, 1, 0), 0)</f>
        <v>0</v>
      </c>
      <c r="W9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1" s="2"/>
      <c r="Y981" s="2"/>
      <c r="Z981" s="145">
        <f>IF(AND(Table2[[#This Row],[GameIsOver]]=1,Table2[[#This Row],[ActualHomeScore]]*Table2[[#This Row],[ActualAwayScore]]=0), 1,0)</f>
        <v>0</v>
      </c>
      <c r="AA9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1" s="2">
        <f>Table2[[#This Row],[ActualAwayScore]]-Table2[[#This Row],[PredictedAwayScore]]</f>
        <v>0</v>
      </c>
      <c r="AG981" s="2">
        <f>Table2[[#This Row],[ActualHomeScore]]-Table2[[#This Row],[PredictedHomeScore]]</f>
        <v>0</v>
      </c>
      <c r="AH981" s="2">
        <f t="shared" si="82"/>
        <v>0</v>
      </c>
      <c r="AI981" s="2">
        <f t="shared" si="83"/>
        <v>0</v>
      </c>
      <c r="AJ981" s="2"/>
      <c r="AK981" s="3"/>
      <c r="AL981" s="2">
        <f>IF(Table2[[#This Row],[GameIsOver]]=0,0,IF(Table2[[#This Row],[ActualWinner]]=Table2[[#This Row],[AwayTeam]], 1, 0))</f>
        <v>0</v>
      </c>
      <c r="AM981" s="2">
        <f>IF(Table2[[#This Row],[GameIsOver]]=0,0,IF(Table2[[#This Row],[ActualWinner]]=Table2[[#This Row],[HomeTeam]], 1, 0))</f>
        <v>0</v>
      </c>
      <c r="AN9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1" s="2" t="str">
        <f>INDEX(Sheet5!$B$2:$AG$33, MATCH(Table2[[#This Row],[AwayTeam]],Sheet5!$A$2:$A$33, 0), MATCH(Table2[[#This Row],[HomeTeam]],Sheet5!$A$2:$A$33, 0))</f>
        <v>0-0-0</v>
      </c>
      <c r="AP981" s="2" t="str">
        <f>INDEX(Sheet5!$B$2:$AG$33, MATCH(Table2[[#This Row],[HomeTeam]],Sheet5!$A$2:$A$33, 0), MATCH(Table2[[#This Row],[AwayTeam]],Sheet5!$A$2:$A$33, 0))</f>
        <v>0-0-0</v>
      </c>
      <c r="AQ981" s="2">
        <f>IF(Table2[[#This Row],[GameHasShutOut]], 1, 0)</f>
        <v>0</v>
      </c>
      <c r="AR981" s="2">
        <f>IF(Table2[[#This Row],[ActualAwayScore]] + Table2[[#This Row],[ActualHomeScore]] &gt;= 10, 1, 0)</f>
        <v>0</v>
      </c>
      <c r="AS981" s="2">
        <f>IF(ABS(Table2[[#This Row],[ActualAwayScore]]-Table2[[#This Row],[ActualHomeScore]])&gt;=5, 1, 0)</f>
        <v>0</v>
      </c>
      <c r="AT981" s="2">
        <f>IF(Table2[[#This Row],[ActualAwayScore]] + Table2[[#This Row],[ActualHomeScore]] &lt;= 3, 1, 0)</f>
        <v>1</v>
      </c>
      <c r="AU981" s="2"/>
      <c r="AV981" s="2"/>
    </row>
    <row r="982" spans="1:48" x14ac:dyDescent="0.25">
      <c r="A982" s="3"/>
      <c r="B982" s="3">
        <v>46087</v>
      </c>
      <c r="C982" s="5">
        <v>2025020980</v>
      </c>
      <c r="D982" s="2" t="s">
        <v>40</v>
      </c>
      <c r="E982" s="2" t="s">
        <v>21</v>
      </c>
      <c r="F982" s="2"/>
      <c r="G982" s="2"/>
      <c r="H982" s="2" t="str">
        <f t="shared" si="79"/>
        <v>_</v>
      </c>
      <c r="I982" s="2"/>
      <c r="J982" s="2"/>
      <c r="K982" s="2"/>
      <c r="L982" s="2" t="str">
        <f t="shared" si="80"/>
        <v>_</v>
      </c>
      <c r="M982" s="2"/>
      <c r="N982" s="2">
        <f>IF(ISBLANK(Table2[[#This Row],[ActualResult]]), 0, 1)</f>
        <v>0</v>
      </c>
      <c r="O982" s="2" t="str">
        <f>IF(ISBLANK(Table2[[#This Row],[ActualResult]]), "_", IF(Table2[[#This Row],[ActualWinner]]=Table2[[#This Row],[PredictedWinner]], "Y", "N"))</f>
        <v>_</v>
      </c>
      <c r="P9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2" s="2"/>
      <c r="S982" s="2" t="str">
        <f t="shared" si="81"/>
        <v>_</v>
      </c>
      <c r="T9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2" s="2">
        <f>IF(Table2[[#This Row],[InterConf]]=1,IF(Table2[[#This Row],[InterDiv]]=0, 1, 0), 0)</f>
        <v>0</v>
      </c>
      <c r="W9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2" s="2"/>
      <c r="Y982" s="2"/>
      <c r="Z982" s="145">
        <f>IF(AND(Table2[[#This Row],[GameIsOver]]=1,Table2[[#This Row],[ActualHomeScore]]*Table2[[#This Row],[ActualAwayScore]]=0), 1,0)</f>
        <v>0</v>
      </c>
      <c r="AA9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2" s="2">
        <f>Table2[[#This Row],[ActualAwayScore]]-Table2[[#This Row],[PredictedAwayScore]]</f>
        <v>0</v>
      </c>
      <c r="AG982" s="2">
        <f>Table2[[#This Row],[ActualHomeScore]]-Table2[[#This Row],[PredictedHomeScore]]</f>
        <v>0</v>
      </c>
      <c r="AH982" s="2">
        <f t="shared" si="82"/>
        <v>0</v>
      </c>
      <c r="AI982" s="2">
        <f t="shared" si="83"/>
        <v>0</v>
      </c>
      <c r="AJ982" s="2"/>
      <c r="AK982" s="3"/>
      <c r="AL982" s="2">
        <f>IF(Table2[[#This Row],[GameIsOver]]=0,0,IF(Table2[[#This Row],[ActualWinner]]=Table2[[#This Row],[AwayTeam]], 1, 0))</f>
        <v>0</v>
      </c>
      <c r="AM982" s="2">
        <f>IF(Table2[[#This Row],[GameIsOver]]=0,0,IF(Table2[[#This Row],[ActualWinner]]=Table2[[#This Row],[HomeTeam]], 1, 0))</f>
        <v>0</v>
      </c>
      <c r="AN9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2" s="2" t="str">
        <f>INDEX(Sheet5!$B$2:$AG$33, MATCH(Table2[[#This Row],[AwayTeam]],Sheet5!$A$2:$A$33, 0), MATCH(Table2[[#This Row],[HomeTeam]],Sheet5!$A$2:$A$33, 0))</f>
        <v>0-0-0</v>
      </c>
      <c r="AP982" s="2" t="str">
        <f>INDEX(Sheet5!$B$2:$AG$33, MATCH(Table2[[#This Row],[HomeTeam]],Sheet5!$A$2:$A$33, 0), MATCH(Table2[[#This Row],[AwayTeam]],Sheet5!$A$2:$A$33, 0))</f>
        <v>0-0-0</v>
      </c>
      <c r="AQ982" s="2">
        <f>IF(Table2[[#This Row],[GameHasShutOut]], 1, 0)</f>
        <v>0</v>
      </c>
      <c r="AR982" s="2">
        <f>IF(Table2[[#This Row],[ActualAwayScore]] + Table2[[#This Row],[ActualHomeScore]] &gt;= 10, 1, 0)</f>
        <v>0</v>
      </c>
      <c r="AS982" s="2">
        <f>IF(ABS(Table2[[#This Row],[ActualAwayScore]]-Table2[[#This Row],[ActualHomeScore]])&gt;=5, 1, 0)</f>
        <v>0</v>
      </c>
      <c r="AT982" s="2">
        <f>IF(Table2[[#This Row],[ActualAwayScore]] + Table2[[#This Row],[ActualHomeScore]] &lt;= 3, 1, 0)</f>
        <v>1</v>
      </c>
      <c r="AU982" s="2"/>
      <c r="AV982" s="2"/>
    </row>
    <row r="983" spans="1:48" x14ac:dyDescent="0.25">
      <c r="A983" s="3"/>
      <c r="B983" s="3">
        <v>46087</v>
      </c>
      <c r="C983" s="5">
        <v>2025020981</v>
      </c>
      <c r="D983" s="2" t="s">
        <v>29</v>
      </c>
      <c r="E983" s="2" t="s">
        <v>23</v>
      </c>
      <c r="F983" s="2"/>
      <c r="G983" s="2"/>
      <c r="H983" s="2" t="str">
        <f t="shared" si="79"/>
        <v>_</v>
      </c>
      <c r="I983" s="2"/>
      <c r="J983" s="2"/>
      <c r="K983" s="2"/>
      <c r="L983" s="2" t="str">
        <f t="shared" si="80"/>
        <v>_</v>
      </c>
      <c r="M983" s="2"/>
      <c r="N983" s="2">
        <f>IF(ISBLANK(Table2[[#This Row],[ActualResult]]), 0, 1)</f>
        <v>0</v>
      </c>
      <c r="O983" s="2" t="str">
        <f>IF(ISBLANK(Table2[[#This Row],[ActualResult]]), "_", IF(Table2[[#This Row],[ActualWinner]]=Table2[[#This Row],[PredictedWinner]], "Y", "N"))</f>
        <v>_</v>
      </c>
      <c r="P9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3" s="2"/>
      <c r="S983" s="2" t="str">
        <f t="shared" si="81"/>
        <v>_</v>
      </c>
      <c r="T9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3" s="2">
        <f>IF(Table2[[#This Row],[InterConf]]=1,IF(Table2[[#This Row],[InterDiv]]=0, 1, 0), 0)</f>
        <v>0</v>
      </c>
      <c r="W9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3" s="2"/>
      <c r="Y983" s="2"/>
      <c r="Z983" s="145">
        <f>IF(AND(Table2[[#This Row],[GameIsOver]]=1,Table2[[#This Row],[ActualHomeScore]]*Table2[[#This Row],[ActualAwayScore]]=0), 1,0)</f>
        <v>0</v>
      </c>
      <c r="AA9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3" s="2">
        <f>Table2[[#This Row],[ActualAwayScore]]-Table2[[#This Row],[PredictedAwayScore]]</f>
        <v>0</v>
      </c>
      <c r="AG983" s="2">
        <f>Table2[[#This Row],[ActualHomeScore]]-Table2[[#This Row],[PredictedHomeScore]]</f>
        <v>0</v>
      </c>
      <c r="AH983" s="2">
        <f t="shared" si="82"/>
        <v>0</v>
      </c>
      <c r="AI983" s="2">
        <f t="shared" si="83"/>
        <v>0</v>
      </c>
      <c r="AJ983" s="2"/>
      <c r="AK983" s="3"/>
      <c r="AL983" s="2">
        <f>IF(Table2[[#This Row],[GameIsOver]]=0,0,IF(Table2[[#This Row],[ActualWinner]]=Table2[[#This Row],[AwayTeam]], 1, 0))</f>
        <v>0</v>
      </c>
      <c r="AM983" s="2">
        <f>IF(Table2[[#This Row],[GameIsOver]]=0,0,IF(Table2[[#This Row],[ActualWinner]]=Table2[[#This Row],[HomeTeam]], 1, 0))</f>
        <v>0</v>
      </c>
      <c r="AN9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3" s="2" t="str">
        <f>INDEX(Sheet5!$B$2:$AG$33, MATCH(Table2[[#This Row],[AwayTeam]],Sheet5!$A$2:$A$33, 0), MATCH(Table2[[#This Row],[HomeTeam]],Sheet5!$A$2:$A$33, 0))</f>
        <v>0-0-0</v>
      </c>
      <c r="AP983" s="2" t="str">
        <f>INDEX(Sheet5!$B$2:$AG$33, MATCH(Table2[[#This Row],[HomeTeam]],Sheet5!$A$2:$A$33, 0), MATCH(Table2[[#This Row],[AwayTeam]],Sheet5!$A$2:$A$33, 0))</f>
        <v>0-0-0</v>
      </c>
      <c r="AQ983" s="2">
        <f>IF(Table2[[#This Row],[GameHasShutOut]], 1, 0)</f>
        <v>0</v>
      </c>
      <c r="AR983" s="2">
        <f>IF(Table2[[#This Row],[ActualAwayScore]] + Table2[[#This Row],[ActualHomeScore]] &gt;= 10, 1, 0)</f>
        <v>0</v>
      </c>
      <c r="AS983" s="2">
        <f>IF(ABS(Table2[[#This Row],[ActualAwayScore]]-Table2[[#This Row],[ActualHomeScore]])&gt;=5, 1, 0)</f>
        <v>0</v>
      </c>
      <c r="AT983" s="2">
        <f>IF(Table2[[#This Row],[ActualAwayScore]] + Table2[[#This Row],[ActualHomeScore]] &lt;= 3, 1, 0)</f>
        <v>1</v>
      </c>
      <c r="AU983" s="2"/>
      <c r="AV983" s="2"/>
    </row>
    <row r="984" spans="1:48" x14ac:dyDescent="0.25">
      <c r="A984" s="3"/>
      <c r="B984" s="3">
        <v>46087</v>
      </c>
      <c r="C984" s="5">
        <v>2025020982</v>
      </c>
      <c r="D984" s="2" t="s">
        <v>32</v>
      </c>
      <c r="E984" s="2" t="s">
        <v>27</v>
      </c>
      <c r="F984" s="2"/>
      <c r="G984" s="2"/>
      <c r="H984" s="2" t="str">
        <f t="shared" si="79"/>
        <v>_</v>
      </c>
      <c r="I984" s="2"/>
      <c r="J984" s="2"/>
      <c r="K984" s="2"/>
      <c r="L984" s="2" t="str">
        <f t="shared" si="80"/>
        <v>_</v>
      </c>
      <c r="M984" s="2"/>
      <c r="N984" s="2">
        <f>IF(ISBLANK(Table2[[#This Row],[ActualResult]]), 0, 1)</f>
        <v>0</v>
      </c>
      <c r="O984" s="2" t="str">
        <f>IF(ISBLANK(Table2[[#This Row],[ActualResult]]), "_", IF(Table2[[#This Row],[ActualWinner]]=Table2[[#This Row],[PredictedWinner]], "Y", "N"))</f>
        <v>_</v>
      </c>
      <c r="P9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4" s="2"/>
      <c r="S984" s="2" t="str">
        <f t="shared" si="81"/>
        <v>_</v>
      </c>
      <c r="T9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4" s="2">
        <f>IF(Table2[[#This Row],[InterConf]]=1,IF(Table2[[#This Row],[InterDiv]]=0, 1, 0), 0)</f>
        <v>0</v>
      </c>
      <c r="W9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4" s="2"/>
      <c r="Y984" s="2"/>
      <c r="Z984" s="145">
        <f>IF(AND(Table2[[#This Row],[GameIsOver]]=1,Table2[[#This Row],[ActualHomeScore]]*Table2[[#This Row],[ActualAwayScore]]=0), 1,0)</f>
        <v>0</v>
      </c>
      <c r="AA9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4" s="2">
        <f>Table2[[#This Row],[ActualAwayScore]]-Table2[[#This Row],[PredictedAwayScore]]</f>
        <v>0</v>
      </c>
      <c r="AG984" s="2">
        <f>Table2[[#This Row],[ActualHomeScore]]-Table2[[#This Row],[PredictedHomeScore]]</f>
        <v>0</v>
      </c>
      <c r="AH984" s="2">
        <f t="shared" si="82"/>
        <v>0</v>
      </c>
      <c r="AI984" s="2">
        <f t="shared" si="83"/>
        <v>0</v>
      </c>
      <c r="AJ984" s="2"/>
      <c r="AK984" s="3"/>
      <c r="AL984" s="2">
        <f>IF(Table2[[#This Row],[GameIsOver]]=0,0,IF(Table2[[#This Row],[ActualWinner]]=Table2[[#This Row],[AwayTeam]], 1, 0))</f>
        <v>0</v>
      </c>
      <c r="AM984" s="2">
        <f>IF(Table2[[#This Row],[GameIsOver]]=0,0,IF(Table2[[#This Row],[ActualWinner]]=Table2[[#This Row],[HomeTeam]], 1, 0))</f>
        <v>0</v>
      </c>
      <c r="AN984" s="2">
        <f>IF(IFERROR(FIND(Table2[[#This Row],[AwayTeam]], _xlfn.TEXTJOIN(";", 1, $BD$31:$BD$40)), 0) &gt; 0, 1, 0) + IF(IFERROR(FIND(Table2[[#This Row],[HomeTeam]], _xlfn.TEXTJOIN(";", 1, $BD$31:$BD$40)), 0) &gt; 0, 1, 0)</f>
        <v>1</v>
      </c>
      <c r="AO984" s="2" t="str">
        <f>INDEX(Sheet5!$B$2:$AG$33, MATCH(Table2[[#This Row],[AwayTeam]],Sheet5!$A$2:$A$33, 0), MATCH(Table2[[#This Row],[HomeTeam]],Sheet5!$A$2:$A$33, 0))</f>
        <v>0-0-0</v>
      </c>
      <c r="AP984" s="2" t="str">
        <f>INDEX(Sheet5!$B$2:$AG$33, MATCH(Table2[[#This Row],[HomeTeam]],Sheet5!$A$2:$A$33, 0), MATCH(Table2[[#This Row],[AwayTeam]],Sheet5!$A$2:$A$33, 0))</f>
        <v>0-0-0</v>
      </c>
      <c r="AQ984" s="2">
        <f>IF(Table2[[#This Row],[GameHasShutOut]], 1, 0)</f>
        <v>0</v>
      </c>
      <c r="AR984" s="2">
        <f>IF(Table2[[#This Row],[ActualAwayScore]] + Table2[[#This Row],[ActualHomeScore]] &gt;= 10, 1, 0)</f>
        <v>0</v>
      </c>
      <c r="AS984" s="2">
        <f>IF(ABS(Table2[[#This Row],[ActualAwayScore]]-Table2[[#This Row],[ActualHomeScore]])&gt;=5, 1, 0)</f>
        <v>0</v>
      </c>
      <c r="AT984" s="2">
        <f>IF(Table2[[#This Row],[ActualAwayScore]] + Table2[[#This Row],[ActualHomeScore]] &lt;= 3, 1, 0)</f>
        <v>1</v>
      </c>
      <c r="AU984" s="2"/>
      <c r="AV984" s="2"/>
    </row>
    <row r="985" spans="1:48" x14ac:dyDescent="0.25">
      <c r="A985" s="3"/>
      <c r="B985" s="3">
        <v>46088</v>
      </c>
      <c r="C985" s="5">
        <v>2025020983</v>
      </c>
      <c r="D985" s="2" t="s">
        <v>13</v>
      </c>
      <c r="E985" s="2" t="s">
        <v>30</v>
      </c>
      <c r="F985" s="2"/>
      <c r="G985" s="2"/>
      <c r="H985" s="2" t="str">
        <f t="shared" si="79"/>
        <v>_</v>
      </c>
      <c r="I985" s="2"/>
      <c r="J985" s="2"/>
      <c r="K985" s="2"/>
      <c r="L985" s="2" t="str">
        <f t="shared" si="80"/>
        <v>_</v>
      </c>
      <c r="M985" s="2"/>
      <c r="N985" s="2">
        <f>IF(ISBLANK(Table2[[#This Row],[ActualResult]]), 0, 1)</f>
        <v>0</v>
      </c>
      <c r="O985" s="2" t="str">
        <f>IF(ISBLANK(Table2[[#This Row],[ActualResult]]), "_", IF(Table2[[#This Row],[ActualWinner]]=Table2[[#This Row],[PredictedWinner]], "Y", "N"))</f>
        <v>_</v>
      </c>
      <c r="P9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5" s="2"/>
      <c r="S985" s="2" t="str">
        <f t="shared" si="81"/>
        <v>_</v>
      </c>
      <c r="T9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85" s="2">
        <f>IF(Table2[[#This Row],[InterConf]]=1,IF(Table2[[#This Row],[InterDiv]]=0, 1, 0), 0)</f>
        <v>0</v>
      </c>
      <c r="W9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5" s="2"/>
      <c r="Y985" s="2"/>
      <c r="Z985" s="145">
        <f>IF(AND(Table2[[#This Row],[GameIsOver]]=1,Table2[[#This Row],[ActualHomeScore]]*Table2[[#This Row],[ActualAwayScore]]=0), 1,0)</f>
        <v>0</v>
      </c>
      <c r="AA9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5" s="2">
        <f>Table2[[#This Row],[ActualAwayScore]]-Table2[[#This Row],[PredictedAwayScore]]</f>
        <v>0</v>
      </c>
      <c r="AG985" s="2">
        <f>Table2[[#This Row],[ActualHomeScore]]-Table2[[#This Row],[PredictedHomeScore]]</f>
        <v>0</v>
      </c>
      <c r="AH985" s="2">
        <f t="shared" si="82"/>
        <v>0</v>
      </c>
      <c r="AI985" s="2">
        <f t="shared" si="83"/>
        <v>0</v>
      </c>
      <c r="AJ985" s="2"/>
      <c r="AK985" s="3"/>
      <c r="AL985" s="2">
        <f>IF(Table2[[#This Row],[GameIsOver]]=0,0,IF(Table2[[#This Row],[ActualWinner]]=Table2[[#This Row],[AwayTeam]], 1, 0))</f>
        <v>0</v>
      </c>
      <c r="AM985" s="2">
        <f>IF(Table2[[#This Row],[GameIsOver]]=0,0,IF(Table2[[#This Row],[ActualWinner]]=Table2[[#This Row],[HomeTeam]], 1, 0))</f>
        <v>0</v>
      </c>
      <c r="AN9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5" s="2" t="str">
        <f>INDEX(Sheet5!$B$2:$AG$33, MATCH(Table2[[#This Row],[AwayTeam]],Sheet5!$A$2:$A$33, 0), MATCH(Table2[[#This Row],[HomeTeam]],Sheet5!$A$2:$A$33, 0))</f>
        <v>0-1-0</v>
      </c>
      <c r="AP985" s="2" t="str">
        <f>INDEX(Sheet5!$B$2:$AG$33, MATCH(Table2[[#This Row],[HomeTeam]],Sheet5!$A$2:$A$33, 0), MATCH(Table2[[#This Row],[AwayTeam]],Sheet5!$A$2:$A$33, 0))</f>
        <v>1-0-0</v>
      </c>
      <c r="AQ985" s="2">
        <f>IF(Table2[[#This Row],[GameHasShutOut]], 1, 0)</f>
        <v>0</v>
      </c>
      <c r="AR985" s="2">
        <f>IF(Table2[[#This Row],[ActualAwayScore]] + Table2[[#This Row],[ActualHomeScore]] &gt;= 10, 1, 0)</f>
        <v>0</v>
      </c>
      <c r="AS985" s="2">
        <f>IF(ABS(Table2[[#This Row],[ActualAwayScore]]-Table2[[#This Row],[ActualHomeScore]])&gt;=5, 1, 0)</f>
        <v>0</v>
      </c>
      <c r="AT985" s="2">
        <f>IF(Table2[[#This Row],[ActualAwayScore]] + Table2[[#This Row],[ActualHomeScore]] &lt;= 3, 1, 0)</f>
        <v>1</v>
      </c>
      <c r="AU985" s="2"/>
      <c r="AV985" s="2"/>
    </row>
    <row r="986" spans="1:48" x14ac:dyDescent="0.25">
      <c r="A986" s="3"/>
      <c r="B986" s="3">
        <v>46088</v>
      </c>
      <c r="C986" s="5">
        <v>2025020984</v>
      </c>
      <c r="D986" s="2" t="s">
        <v>25</v>
      </c>
      <c r="E986" s="2" t="s">
        <v>33</v>
      </c>
      <c r="F986" s="2"/>
      <c r="G986" s="2"/>
      <c r="H986" s="2" t="str">
        <f t="shared" si="79"/>
        <v>_</v>
      </c>
      <c r="I986" s="2"/>
      <c r="J986" s="2"/>
      <c r="K986" s="2"/>
      <c r="L986" s="2" t="str">
        <f t="shared" si="80"/>
        <v>_</v>
      </c>
      <c r="M986" s="2"/>
      <c r="N986" s="2">
        <f>IF(ISBLANK(Table2[[#This Row],[ActualResult]]), 0, 1)</f>
        <v>0</v>
      </c>
      <c r="O986" s="2" t="str">
        <f>IF(ISBLANK(Table2[[#This Row],[ActualResult]]), "_", IF(Table2[[#This Row],[ActualWinner]]=Table2[[#This Row],[PredictedWinner]], "Y", "N"))</f>
        <v>_</v>
      </c>
      <c r="P9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6" s="2"/>
      <c r="S986" s="2" t="str">
        <f t="shared" si="81"/>
        <v>_</v>
      </c>
      <c r="T9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86" s="2">
        <f>IF(Table2[[#This Row],[InterConf]]=1,IF(Table2[[#This Row],[InterDiv]]=0, 1, 0), 0)</f>
        <v>0</v>
      </c>
      <c r="W9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6" s="2"/>
      <c r="Y986" s="2"/>
      <c r="Z986" s="145">
        <f>IF(AND(Table2[[#This Row],[GameIsOver]]=1,Table2[[#This Row],[ActualHomeScore]]*Table2[[#This Row],[ActualAwayScore]]=0), 1,0)</f>
        <v>0</v>
      </c>
      <c r="AA9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6" s="2">
        <f>Table2[[#This Row],[ActualAwayScore]]-Table2[[#This Row],[PredictedAwayScore]]</f>
        <v>0</v>
      </c>
      <c r="AG986" s="2">
        <f>Table2[[#This Row],[ActualHomeScore]]-Table2[[#This Row],[PredictedHomeScore]]</f>
        <v>0</v>
      </c>
      <c r="AH986" s="2">
        <f t="shared" si="82"/>
        <v>0</v>
      </c>
      <c r="AI986" s="2">
        <f t="shared" si="83"/>
        <v>0</v>
      </c>
      <c r="AJ986" s="2"/>
      <c r="AK986" s="3"/>
      <c r="AL986" s="2">
        <f>IF(Table2[[#This Row],[GameIsOver]]=0,0,IF(Table2[[#This Row],[ActualWinner]]=Table2[[#This Row],[AwayTeam]], 1, 0))</f>
        <v>0</v>
      </c>
      <c r="AM986" s="2">
        <f>IF(Table2[[#This Row],[GameIsOver]]=0,0,IF(Table2[[#This Row],[ActualWinner]]=Table2[[#This Row],[HomeTeam]], 1, 0))</f>
        <v>0</v>
      </c>
      <c r="AN9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6" s="2" t="str">
        <f>INDEX(Sheet5!$B$2:$AG$33, MATCH(Table2[[#This Row],[AwayTeam]],Sheet5!$A$2:$A$33, 0), MATCH(Table2[[#This Row],[HomeTeam]],Sheet5!$A$2:$A$33, 0))</f>
        <v>0-0-1</v>
      </c>
      <c r="AP986" s="2" t="str">
        <f>INDEX(Sheet5!$B$2:$AG$33, MATCH(Table2[[#This Row],[HomeTeam]],Sheet5!$A$2:$A$33, 0), MATCH(Table2[[#This Row],[AwayTeam]],Sheet5!$A$2:$A$33, 0))</f>
        <v>1-0-0</v>
      </c>
      <c r="AQ986" s="2">
        <f>IF(Table2[[#This Row],[GameHasShutOut]], 1, 0)</f>
        <v>0</v>
      </c>
      <c r="AR986" s="2">
        <f>IF(Table2[[#This Row],[ActualAwayScore]] + Table2[[#This Row],[ActualHomeScore]] &gt;= 10, 1, 0)</f>
        <v>0</v>
      </c>
      <c r="AS986" s="2">
        <f>IF(ABS(Table2[[#This Row],[ActualAwayScore]]-Table2[[#This Row],[ActualHomeScore]])&gt;=5, 1, 0)</f>
        <v>0</v>
      </c>
      <c r="AT986" s="2">
        <f>IF(Table2[[#This Row],[ActualAwayScore]] + Table2[[#This Row],[ActualHomeScore]] &lt;= 3, 1, 0)</f>
        <v>1</v>
      </c>
      <c r="AU986" s="2"/>
      <c r="AV986" s="2"/>
    </row>
    <row r="987" spans="1:48" x14ac:dyDescent="0.25">
      <c r="A987" s="3"/>
      <c r="B987" s="3">
        <v>46088</v>
      </c>
      <c r="C987" s="5">
        <v>2025020985</v>
      </c>
      <c r="D987" s="2" t="s">
        <v>24</v>
      </c>
      <c r="E987" s="2" t="s">
        <v>16</v>
      </c>
      <c r="F987" s="2"/>
      <c r="G987" s="2"/>
      <c r="H987" s="2" t="str">
        <f t="shared" si="79"/>
        <v>_</v>
      </c>
      <c r="I987" s="2"/>
      <c r="J987" s="2"/>
      <c r="K987" s="2"/>
      <c r="L987" s="2" t="str">
        <f t="shared" si="80"/>
        <v>_</v>
      </c>
      <c r="M987" s="2"/>
      <c r="N987" s="2">
        <f>IF(ISBLANK(Table2[[#This Row],[ActualResult]]), 0, 1)</f>
        <v>0</v>
      </c>
      <c r="O987" s="2" t="str">
        <f>IF(ISBLANK(Table2[[#This Row],[ActualResult]]), "_", IF(Table2[[#This Row],[ActualWinner]]=Table2[[#This Row],[PredictedWinner]], "Y", "N"))</f>
        <v>_</v>
      </c>
      <c r="P9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7" s="2"/>
      <c r="S987" s="2" t="str">
        <f t="shared" si="81"/>
        <v>_</v>
      </c>
      <c r="T9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7" s="2">
        <f>IF(Table2[[#This Row],[InterConf]]=1,IF(Table2[[#This Row],[InterDiv]]=0, 1, 0), 0)</f>
        <v>1</v>
      </c>
      <c r="W9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7" s="2"/>
      <c r="Y987" s="2"/>
      <c r="Z987" s="145">
        <f>IF(AND(Table2[[#This Row],[GameIsOver]]=1,Table2[[#This Row],[ActualHomeScore]]*Table2[[#This Row],[ActualAwayScore]]=0), 1,0)</f>
        <v>0</v>
      </c>
      <c r="AA9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7" s="2">
        <f>Table2[[#This Row],[ActualAwayScore]]-Table2[[#This Row],[PredictedAwayScore]]</f>
        <v>0</v>
      </c>
      <c r="AG987" s="2">
        <f>Table2[[#This Row],[ActualHomeScore]]-Table2[[#This Row],[PredictedHomeScore]]</f>
        <v>0</v>
      </c>
      <c r="AH987" s="2">
        <f t="shared" si="82"/>
        <v>0</v>
      </c>
      <c r="AI987" s="2">
        <f t="shared" si="83"/>
        <v>0</v>
      </c>
      <c r="AJ987" s="2"/>
      <c r="AK987" s="3"/>
      <c r="AL987" s="2">
        <f>IF(Table2[[#This Row],[GameIsOver]]=0,0,IF(Table2[[#This Row],[ActualWinner]]=Table2[[#This Row],[AwayTeam]], 1, 0))</f>
        <v>0</v>
      </c>
      <c r="AM987" s="2">
        <f>IF(Table2[[#This Row],[GameIsOver]]=0,0,IF(Table2[[#This Row],[ActualWinner]]=Table2[[#This Row],[HomeTeam]], 1, 0))</f>
        <v>0</v>
      </c>
      <c r="AN9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7" s="2" t="str">
        <f>INDEX(Sheet5!$B$2:$AG$33, MATCH(Table2[[#This Row],[AwayTeam]],Sheet5!$A$2:$A$33, 0), MATCH(Table2[[#This Row],[HomeTeam]],Sheet5!$A$2:$A$33, 0))</f>
        <v>1-0-0</v>
      </c>
      <c r="AP987" s="2" t="str">
        <f>INDEX(Sheet5!$B$2:$AG$33, MATCH(Table2[[#This Row],[HomeTeam]],Sheet5!$A$2:$A$33, 0), MATCH(Table2[[#This Row],[AwayTeam]],Sheet5!$A$2:$A$33, 0))</f>
        <v>0-0-1</v>
      </c>
      <c r="AQ987" s="2">
        <f>IF(Table2[[#This Row],[GameHasShutOut]], 1, 0)</f>
        <v>0</v>
      </c>
      <c r="AR987" s="2">
        <f>IF(Table2[[#This Row],[ActualAwayScore]] + Table2[[#This Row],[ActualHomeScore]] &gt;= 10, 1, 0)</f>
        <v>0</v>
      </c>
      <c r="AS987" s="2">
        <f>IF(ABS(Table2[[#This Row],[ActualAwayScore]]-Table2[[#This Row],[ActualHomeScore]])&gt;=5, 1, 0)</f>
        <v>0</v>
      </c>
      <c r="AT987" s="2">
        <f>IF(Table2[[#This Row],[ActualAwayScore]] + Table2[[#This Row],[ActualHomeScore]] &lt;= 3, 1, 0)</f>
        <v>1</v>
      </c>
      <c r="AU987" s="2"/>
      <c r="AV987" s="2"/>
    </row>
    <row r="988" spans="1:48" x14ac:dyDescent="0.25">
      <c r="A988" s="3"/>
      <c r="B988" s="3">
        <v>46088</v>
      </c>
      <c r="C988" s="5">
        <v>2025020986</v>
      </c>
      <c r="D988" s="2" t="s">
        <v>41</v>
      </c>
      <c r="E988" s="2" t="s">
        <v>22</v>
      </c>
      <c r="F988" s="2"/>
      <c r="G988" s="2"/>
      <c r="H988" s="2" t="str">
        <f t="shared" si="79"/>
        <v>_</v>
      </c>
      <c r="I988" s="2"/>
      <c r="J988" s="2"/>
      <c r="K988" s="2"/>
      <c r="L988" s="2" t="str">
        <f t="shared" si="80"/>
        <v>_</v>
      </c>
      <c r="M988" s="2"/>
      <c r="N988" s="2">
        <f>IF(ISBLANK(Table2[[#This Row],[ActualResult]]), 0, 1)</f>
        <v>0</v>
      </c>
      <c r="O988" s="2" t="str">
        <f>IF(ISBLANK(Table2[[#This Row],[ActualResult]]), "_", IF(Table2[[#This Row],[ActualWinner]]=Table2[[#This Row],[PredictedWinner]], "Y", "N"))</f>
        <v>_</v>
      </c>
      <c r="P9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8" s="2"/>
      <c r="S988" s="2" t="str">
        <f t="shared" si="81"/>
        <v>_</v>
      </c>
      <c r="T9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8" s="2">
        <f>IF(Table2[[#This Row],[InterConf]]=1,IF(Table2[[#This Row],[InterDiv]]=0, 1, 0), 0)</f>
        <v>0</v>
      </c>
      <c r="W9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8" s="2"/>
      <c r="Y988" s="2"/>
      <c r="Z988" s="145">
        <f>IF(AND(Table2[[#This Row],[GameIsOver]]=1,Table2[[#This Row],[ActualHomeScore]]*Table2[[#This Row],[ActualAwayScore]]=0), 1,0)</f>
        <v>0</v>
      </c>
      <c r="AA9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8" s="2">
        <f>Table2[[#This Row],[ActualAwayScore]]-Table2[[#This Row],[PredictedAwayScore]]</f>
        <v>0</v>
      </c>
      <c r="AG988" s="2">
        <f>Table2[[#This Row],[ActualHomeScore]]-Table2[[#This Row],[PredictedHomeScore]]</f>
        <v>0</v>
      </c>
      <c r="AH988" s="2">
        <f t="shared" si="82"/>
        <v>0</v>
      </c>
      <c r="AI988" s="2">
        <f t="shared" si="83"/>
        <v>0</v>
      </c>
      <c r="AJ988" s="2"/>
      <c r="AK988" s="3"/>
      <c r="AL988" s="2">
        <f>IF(Table2[[#This Row],[GameIsOver]]=0,0,IF(Table2[[#This Row],[ActualWinner]]=Table2[[#This Row],[AwayTeam]], 1, 0))</f>
        <v>0</v>
      </c>
      <c r="AM988" s="2">
        <f>IF(Table2[[#This Row],[GameIsOver]]=0,0,IF(Table2[[#This Row],[ActualWinner]]=Table2[[#This Row],[HomeTeam]], 1, 0))</f>
        <v>0</v>
      </c>
      <c r="AN9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8" s="2" t="str">
        <f>INDEX(Sheet5!$B$2:$AG$33, MATCH(Table2[[#This Row],[AwayTeam]],Sheet5!$A$2:$A$33, 0), MATCH(Table2[[#This Row],[HomeTeam]],Sheet5!$A$2:$A$33, 0))</f>
        <v>0-0-0</v>
      </c>
      <c r="AP988" s="2" t="str">
        <f>INDEX(Sheet5!$B$2:$AG$33, MATCH(Table2[[#This Row],[HomeTeam]],Sheet5!$A$2:$A$33, 0), MATCH(Table2[[#This Row],[AwayTeam]],Sheet5!$A$2:$A$33, 0))</f>
        <v>0-0-0</v>
      </c>
      <c r="AQ988" s="2">
        <f>IF(Table2[[#This Row],[GameHasShutOut]], 1, 0)</f>
        <v>0</v>
      </c>
      <c r="AR988" s="2">
        <f>IF(Table2[[#This Row],[ActualAwayScore]] + Table2[[#This Row],[ActualHomeScore]] &gt;= 10, 1, 0)</f>
        <v>0</v>
      </c>
      <c r="AS988" s="2">
        <f>IF(ABS(Table2[[#This Row],[ActualAwayScore]]-Table2[[#This Row],[ActualHomeScore]])&gt;=5, 1, 0)</f>
        <v>0</v>
      </c>
      <c r="AT988" s="2">
        <f>IF(Table2[[#This Row],[ActualAwayScore]] + Table2[[#This Row],[ActualHomeScore]] &lt;= 3, 1, 0)</f>
        <v>1</v>
      </c>
      <c r="AU988" s="2"/>
      <c r="AV988" s="2"/>
    </row>
    <row r="989" spans="1:48" x14ac:dyDescent="0.25">
      <c r="A989" s="3"/>
      <c r="B989" s="3">
        <v>46088</v>
      </c>
      <c r="C989" s="5">
        <v>2025020987</v>
      </c>
      <c r="D989" s="2" t="s">
        <v>18</v>
      </c>
      <c r="E989" s="2" t="s">
        <v>44</v>
      </c>
      <c r="F989" s="2"/>
      <c r="G989" s="2"/>
      <c r="H989" s="2" t="str">
        <f t="shared" si="79"/>
        <v>_</v>
      </c>
      <c r="I989" s="2"/>
      <c r="J989" s="2"/>
      <c r="K989" s="2"/>
      <c r="L989" s="2" t="str">
        <f t="shared" si="80"/>
        <v>_</v>
      </c>
      <c r="M989" s="2"/>
      <c r="N989" s="2">
        <f>IF(ISBLANK(Table2[[#This Row],[ActualResult]]), 0, 1)</f>
        <v>0</v>
      </c>
      <c r="O989" s="2" t="str">
        <f>IF(ISBLANK(Table2[[#This Row],[ActualResult]]), "_", IF(Table2[[#This Row],[ActualWinner]]=Table2[[#This Row],[PredictedWinner]], "Y", "N"))</f>
        <v>_</v>
      </c>
      <c r="P9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9" s="2"/>
      <c r="S989" s="2" t="str">
        <f t="shared" si="81"/>
        <v>_</v>
      </c>
      <c r="T9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9" s="2">
        <f>IF(Table2[[#This Row],[InterConf]]=1,IF(Table2[[#This Row],[InterDiv]]=0, 1, 0), 0)</f>
        <v>0</v>
      </c>
      <c r="W9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9" s="2"/>
      <c r="Y989" s="2"/>
      <c r="Z989" s="145">
        <f>IF(AND(Table2[[#This Row],[GameIsOver]]=1,Table2[[#This Row],[ActualHomeScore]]*Table2[[#This Row],[ActualAwayScore]]=0), 1,0)</f>
        <v>0</v>
      </c>
      <c r="AA9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9" s="2">
        <f>Table2[[#This Row],[ActualAwayScore]]-Table2[[#This Row],[PredictedAwayScore]]</f>
        <v>0</v>
      </c>
      <c r="AG989" s="2">
        <f>Table2[[#This Row],[ActualHomeScore]]-Table2[[#This Row],[PredictedHomeScore]]</f>
        <v>0</v>
      </c>
      <c r="AH989" s="2">
        <f t="shared" si="82"/>
        <v>0</v>
      </c>
      <c r="AI989" s="2">
        <f t="shared" si="83"/>
        <v>0</v>
      </c>
      <c r="AJ989" s="2"/>
      <c r="AK989" s="3"/>
      <c r="AL989" s="2">
        <f>IF(Table2[[#This Row],[GameIsOver]]=0,0,IF(Table2[[#This Row],[ActualWinner]]=Table2[[#This Row],[AwayTeam]], 1, 0))</f>
        <v>0</v>
      </c>
      <c r="AM989" s="2">
        <f>IF(Table2[[#This Row],[GameIsOver]]=0,0,IF(Table2[[#This Row],[ActualWinner]]=Table2[[#This Row],[HomeTeam]], 1, 0))</f>
        <v>0</v>
      </c>
      <c r="AN9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9" s="2" t="str">
        <f>INDEX(Sheet5!$B$2:$AG$33, MATCH(Table2[[#This Row],[AwayTeam]],Sheet5!$A$2:$A$33, 0), MATCH(Table2[[#This Row],[HomeTeam]],Sheet5!$A$2:$A$33, 0))</f>
        <v>0-0-0</v>
      </c>
      <c r="AP989" s="2" t="str">
        <f>INDEX(Sheet5!$B$2:$AG$33, MATCH(Table2[[#This Row],[HomeTeam]],Sheet5!$A$2:$A$33, 0), MATCH(Table2[[#This Row],[AwayTeam]],Sheet5!$A$2:$A$33, 0))</f>
        <v>0-0-0</v>
      </c>
      <c r="AQ989" s="2">
        <f>IF(Table2[[#This Row],[GameHasShutOut]], 1, 0)</f>
        <v>0</v>
      </c>
      <c r="AR989" s="2">
        <f>IF(Table2[[#This Row],[ActualAwayScore]] + Table2[[#This Row],[ActualHomeScore]] &gt;= 10, 1, 0)</f>
        <v>0</v>
      </c>
      <c r="AS989" s="2">
        <f>IF(ABS(Table2[[#This Row],[ActualAwayScore]]-Table2[[#This Row],[ActualHomeScore]])&gt;=5, 1, 0)</f>
        <v>0</v>
      </c>
      <c r="AT989" s="2">
        <f>IF(Table2[[#This Row],[ActualAwayScore]] + Table2[[#This Row],[ActualHomeScore]] &lt;= 3, 1, 0)</f>
        <v>1</v>
      </c>
      <c r="AU989" s="2"/>
      <c r="AV989" s="2"/>
    </row>
    <row r="990" spans="1:48" x14ac:dyDescent="0.25">
      <c r="A990" s="3"/>
      <c r="B990" s="3">
        <v>46088</v>
      </c>
      <c r="C990" s="5">
        <v>2025020988</v>
      </c>
      <c r="D990" s="2" t="s">
        <v>36</v>
      </c>
      <c r="E990" s="2" t="s">
        <v>26</v>
      </c>
      <c r="F990" s="2"/>
      <c r="G990" s="2"/>
      <c r="H990" s="2" t="str">
        <f t="shared" si="79"/>
        <v>_</v>
      </c>
      <c r="I990" s="2"/>
      <c r="J990" s="2"/>
      <c r="K990" s="2"/>
      <c r="L990" s="2" t="str">
        <f t="shared" si="80"/>
        <v>_</v>
      </c>
      <c r="M990" s="2"/>
      <c r="N990" s="2">
        <f>IF(ISBLANK(Table2[[#This Row],[ActualResult]]), 0, 1)</f>
        <v>0</v>
      </c>
      <c r="O990" s="2" t="str">
        <f>IF(ISBLANK(Table2[[#This Row],[ActualResult]]), "_", IF(Table2[[#This Row],[ActualWinner]]=Table2[[#This Row],[PredictedWinner]], "Y", "N"))</f>
        <v>_</v>
      </c>
      <c r="P9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0" s="2"/>
      <c r="S990" s="2" t="str">
        <f t="shared" si="81"/>
        <v>_</v>
      </c>
      <c r="T9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0" s="2">
        <f>IF(Table2[[#This Row],[InterConf]]=1,IF(Table2[[#This Row],[InterDiv]]=0, 1, 0), 0)</f>
        <v>1</v>
      </c>
      <c r="W9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0" s="2"/>
      <c r="Y990" s="2"/>
      <c r="Z990" s="145">
        <f>IF(AND(Table2[[#This Row],[GameIsOver]]=1,Table2[[#This Row],[ActualHomeScore]]*Table2[[#This Row],[ActualAwayScore]]=0), 1,0)</f>
        <v>0</v>
      </c>
      <c r="AA9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0" s="2">
        <f>Table2[[#This Row],[ActualAwayScore]]-Table2[[#This Row],[PredictedAwayScore]]</f>
        <v>0</v>
      </c>
      <c r="AG990" s="2">
        <f>Table2[[#This Row],[ActualHomeScore]]-Table2[[#This Row],[PredictedHomeScore]]</f>
        <v>0</v>
      </c>
      <c r="AH990" s="2">
        <f t="shared" si="82"/>
        <v>0</v>
      </c>
      <c r="AI990" s="2">
        <f t="shared" si="83"/>
        <v>0</v>
      </c>
      <c r="AJ990" s="2"/>
      <c r="AK990" s="3"/>
      <c r="AL990" s="2">
        <f>IF(Table2[[#This Row],[GameIsOver]]=0,0,IF(Table2[[#This Row],[ActualWinner]]=Table2[[#This Row],[AwayTeam]], 1, 0))</f>
        <v>0</v>
      </c>
      <c r="AM990" s="2">
        <f>IF(Table2[[#This Row],[GameIsOver]]=0,0,IF(Table2[[#This Row],[ActualWinner]]=Table2[[#This Row],[HomeTeam]], 1, 0))</f>
        <v>0</v>
      </c>
      <c r="AN9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0" s="2" t="str">
        <f>INDEX(Sheet5!$B$2:$AG$33, MATCH(Table2[[#This Row],[AwayTeam]],Sheet5!$A$2:$A$33, 0), MATCH(Table2[[#This Row],[HomeTeam]],Sheet5!$A$2:$A$33, 0))</f>
        <v>0-0-0</v>
      </c>
      <c r="AP990" s="2" t="str">
        <f>INDEX(Sheet5!$B$2:$AG$33, MATCH(Table2[[#This Row],[HomeTeam]],Sheet5!$A$2:$A$33, 0), MATCH(Table2[[#This Row],[AwayTeam]],Sheet5!$A$2:$A$33, 0))</f>
        <v>0-0-0</v>
      </c>
      <c r="AQ990" s="2">
        <f>IF(Table2[[#This Row],[GameHasShutOut]], 1, 0)</f>
        <v>0</v>
      </c>
      <c r="AR990" s="2">
        <f>IF(Table2[[#This Row],[ActualAwayScore]] + Table2[[#This Row],[ActualHomeScore]] &gt;= 10, 1, 0)</f>
        <v>0</v>
      </c>
      <c r="AS990" s="2">
        <f>IF(ABS(Table2[[#This Row],[ActualAwayScore]]-Table2[[#This Row],[ActualHomeScore]])&gt;=5, 1, 0)</f>
        <v>0</v>
      </c>
      <c r="AT990" s="2">
        <f>IF(Table2[[#This Row],[ActualAwayScore]] + Table2[[#This Row],[ActualHomeScore]] &lt;= 3, 1, 0)</f>
        <v>1</v>
      </c>
      <c r="AU990" s="2"/>
      <c r="AV990" s="2"/>
    </row>
    <row r="991" spans="1:48" x14ac:dyDescent="0.25">
      <c r="A991" s="3"/>
      <c r="B991" s="3">
        <v>46088</v>
      </c>
      <c r="C991" s="5">
        <v>2025020989</v>
      </c>
      <c r="D991" s="2" t="s">
        <v>12</v>
      </c>
      <c r="E991" s="2" t="s">
        <v>37</v>
      </c>
      <c r="F991" s="2"/>
      <c r="G991" s="2"/>
      <c r="H991" s="2" t="str">
        <f t="shared" si="79"/>
        <v>_</v>
      </c>
      <c r="I991" s="2"/>
      <c r="J991" s="2"/>
      <c r="K991" s="2"/>
      <c r="L991" s="2" t="str">
        <f t="shared" si="80"/>
        <v>_</v>
      </c>
      <c r="M991" s="2"/>
      <c r="N991" s="2">
        <f>IF(ISBLANK(Table2[[#This Row],[ActualResult]]), 0, 1)</f>
        <v>0</v>
      </c>
      <c r="O991" s="2" t="str">
        <f>IF(ISBLANK(Table2[[#This Row],[ActualResult]]), "_", IF(Table2[[#This Row],[ActualWinner]]=Table2[[#This Row],[PredictedWinner]], "Y", "N"))</f>
        <v>_</v>
      </c>
      <c r="P9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1" s="2"/>
      <c r="S991" s="2" t="str">
        <f t="shared" si="81"/>
        <v>_</v>
      </c>
      <c r="T9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1" s="2">
        <f>IF(Table2[[#This Row],[InterConf]]=1,IF(Table2[[#This Row],[InterDiv]]=0, 1, 0), 0)</f>
        <v>1</v>
      </c>
      <c r="W9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1" s="2"/>
      <c r="Y991" s="2"/>
      <c r="Z991" s="145">
        <f>IF(AND(Table2[[#This Row],[GameIsOver]]=1,Table2[[#This Row],[ActualHomeScore]]*Table2[[#This Row],[ActualAwayScore]]=0), 1,0)</f>
        <v>0</v>
      </c>
      <c r="AA9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1" s="2">
        <f>Table2[[#This Row],[ActualAwayScore]]-Table2[[#This Row],[PredictedAwayScore]]</f>
        <v>0</v>
      </c>
      <c r="AG991" s="2">
        <f>Table2[[#This Row],[ActualHomeScore]]-Table2[[#This Row],[PredictedHomeScore]]</f>
        <v>0</v>
      </c>
      <c r="AH991" s="2">
        <f t="shared" si="82"/>
        <v>0</v>
      </c>
      <c r="AI991" s="2">
        <f t="shared" si="83"/>
        <v>0</v>
      </c>
      <c r="AJ991" s="2"/>
      <c r="AK991" s="3"/>
      <c r="AL991" s="2">
        <f>IF(Table2[[#This Row],[GameIsOver]]=0,0,IF(Table2[[#This Row],[ActualWinner]]=Table2[[#This Row],[AwayTeam]], 1, 0))</f>
        <v>0</v>
      </c>
      <c r="AM991" s="2">
        <f>IF(Table2[[#This Row],[GameIsOver]]=0,0,IF(Table2[[#This Row],[ActualWinner]]=Table2[[#This Row],[HomeTeam]], 1, 0))</f>
        <v>0</v>
      </c>
      <c r="AN9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1" s="2" t="str">
        <f>INDEX(Sheet5!$B$2:$AG$33, MATCH(Table2[[#This Row],[AwayTeam]],Sheet5!$A$2:$A$33, 0), MATCH(Table2[[#This Row],[HomeTeam]],Sheet5!$A$2:$A$33, 0))</f>
        <v>0-0-0</v>
      </c>
      <c r="AP991" s="2" t="str">
        <f>INDEX(Sheet5!$B$2:$AG$33, MATCH(Table2[[#This Row],[HomeTeam]],Sheet5!$A$2:$A$33, 0), MATCH(Table2[[#This Row],[AwayTeam]],Sheet5!$A$2:$A$33, 0))</f>
        <v>0-0-0</v>
      </c>
      <c r="AQ991" s="2">
        <f>IF(Table2[[#This Row],[GameHasShutOut]], 1, 0)</f>
        <v>0</v>
      </c>
      <c r="AR991" s="2">
        <f>IF(Table2[[#This Row],[ActualAwayScore]] + Table2[[#This Row],[ActualHomeScore]] &gt;= 10, 1, 0)</f>
        <v>0</v>
      </c>
      <c r="AS991" s="2">
        <f>IF(ABS(Table2[[#This Row],[ActualAwayScore]]-Table2[[#This Row],[ActualHomeScore]])&gt;=5, 1, 0)</f>
        <v>0</v>
      </c>
      <c r="AT991" s="2">
        <f>IF(Table2[[#This Row],[ActualAwayScore]] + Table2[[#This Row],[ActualHomeScore]] &lt;= 3, 1, 0)</f>
        <v>1</v>
      </c>
      <c r="AU991" s="2"/>
      <c r="AV991" s="2"/>
    </row>
    <row r="992" spans="1:48" x14ac:dyDescent="0.25">
      <c r="A992" s="3"/>
      <c r="B992" s="3">
        <v>46088</v>
      </c>
      <c r="C992" s="5">
        <v>2025020990</v>
      </c>
      <c r="D992" s="2" t="s">
        <v>43</v>
      </c>
      <c r="E992" s="2" t="s">
        <v>15</v>
      </c>
      <c r="F992" s="2"/>
      <c r="G992" s="2"/>
      <c r="H992" s="2" t="str">
        <f t="shared" si="79"/>
        <v>_</v>
      </c>
      <c r="I992" s="2"/>
      <c r="J992" s="2"/>
      <c r="K992" s="2"/>
      <c r="L992" s="2" t="str">
        <f t="shared" si="80"/>
        <v>_</v>
      </c>
      <c r="M992" s="2"/>
      <c r="N992" s="2">
        <f>IF(ISBLANK(Table2[[#This Row],[ActualResult]]), 0, 1)</f>
        <v>0</v>
      </c>
      <c r="O992" s="2" t="str">
        <f>IF(ISBLANK(Table2[[#This Row],[ActualResult]]), "_", IF(Table2[[#This Row],[ActualWinner]]=Table2[[#This Row],[PredictedWinner]], "Y", "N"))</f>
        <v>_</v>
      </c>
      <c r="P9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2" s="2"/>
      <c r="S992" s="2" t="str">
        <f t="shared" si="81"/>
        <v>_</v>
      </c>
      <c r="T9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2" s="2">
        <f>IF(Table2[[#This Row],[InterConf]]=1,IF(Table2[[#This Row],[InterDiv]]=0, 1, 0), 0)</f>
        <v>1</v>
      </c>
      <c r="W9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2" s="2"/>
      <c r="Y992" s="2"/>
      <c r="Z992" s="145">
        <f>IF(AND(Table2[[#This Row],[GameIsOver]]=1,Table2[[#This Row],[ActualHomeScore]]*Table2[[#This Row],[ActualAwayScore]]=0), 1,0)</f>
        <v>0</v>
      </c>
      <c r="AA9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2" s="2">
        <f>Table2[[#This Row],[ActualAwayScore]]-Table2[[#This Row],[PredictedAwayScore]]</f>
        <v>0</v>
      </c>
      <c r="AG992" s="2">
        <f>Table2[[#This Row],[ActualHomeScore]]-Table2[[#This Row],[PredictedHomeScore]]</f>
        <v>0</v>
      </c>
      <c r="AH992" s="2">
        <f t="shared" si="82"/>
        <v>0</v>
      </c>
      <c r="AI992" s="2">
        <f t="shared" si="83"/>
        <v>0</v>
      </c>
      <c r="AJ992" s="2"/>
      <c r="AK992" s="3"/>
      <c r="AL992" s="2">
        <f>IF(Table2[[#This Row],[GameIsOver]]=0,0,IF(Table2[[#This Row],[ActualWinner]]=Table2[[#This Row],[AwayTeam]], 1, 0))</f>
        <v>0</v>
      </c>
      <c r="AM992" s="2">
        <f>IF(Table2[[#This Row],[GameIsOver]]=0,0,IF(Table2[[#This Row],[ActualWinner]]=Table2[[#This Row],[HomeTeam]], 1, 0))</f>
        <v>0</v>
      </c>
      <c r="AN9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2" s="2" t="str">
        <f>INDEX(Sheet5!$B$2:$AG$33, MATCH(Table2[[#This Row],[AwayTeam]],Sheet5!$A$2:$A$33, 0), MATCH(Table2[[#This Row],[HomeTeam]],Sheet5!$A$2:$A$33, 0))</f>
        <v>0-1-0</v>
      </c>
      <c r="AP992" s="2" t="str">
        <f>INDEX(Sheet5!$B$2:$AG$33, MATCH(Table2[[#This Row],[HomeTeam]],Sheet5!$A$2:$A$33, 0), MATCH(Table2[[#This Row],[AwayTeam]],Sheet5!$A$2:$A$33, 0))</f>
        <v>1-0-0</v>
      </c>
      <c r="AQ992" s="2">
        <f>IF(Table2[[#This Row],[GameHasShutOut]], 1, 0)</f>
        <v>0</v>
      </c>
      <c r="AR992" s="2">
        <f>IF(Table2[[#This Row],[ActualAwayScore]] + Table2[[#This Row],[ActualHomeScore]] &gt;= 10, 1, 0)</f>
        <v>0</v>
      </c>
      <c r="AS992" s="2">
        <f>IF(ABS(Table2[[#This Row],[ActualAwayScore]]-Table2[[#This Row],[ActualHomeScore]])&gt;=5, 1, 0)</f>
        <v>0</v>
      </c>
      <c r="AT992" s="2">
        <f>IF(Table2[[#This Row],[ActualAwayScore]] + Table2[[#This Row],[ActualHomeScore]] &lt;= 3, 1, 0)</f>
        <v>1</v>
      </c>
      <c r="AU992" s="2"/>
      <c r="AV992" s="2"/>
    </row>
    <row r="993" spans="1:48" x14ac:dyDescent="0.25">
      <c r="A993" s="3"/>
      <c r="B993" s="3">
        <v>46088</v>
      </c>
      <c r="C993" s="5">
        <v>2025020991</v>
      </c>
      <c r="D993" s="2" t="s">
        <v>19</v>
      </c>
      <c r="E993" s="2" t="s">
        <v>31</v>
      </c>
      <c r="F993" s="2"/>
      <c r="G993" s="2"/>
      <c r="H993" s="2" t="str">
        <f t="shared" si="79"/>
        <v>_</v>
      </c>
      <c r="I993" s="2"/>
      <c r="J993" s="2"/>
      <c r="K993" s="2"/>
      <c r="L993" s="2" t="str">
        <f t="shared" si="80"/>
        <v>_</v>
      </c>
      <c r="M993" s="2"/>
      <c r="N993" s="2">
        <f>IF(ISBLANK(Table2[[#This Row],[ActualResult]]), 0, 1)</f>
        <v>0</v>
      </c>
      <c r="O993" s="2" t="str">
        <f>IF(ISBLANK(Table2[[#This Row],[ActualResult]]), "_", IF(Table2[[#This Row],[ActualWinner]]=Table2[[#This Row],[PredictedWinner]], "Y", "N"))</f>
        <v>_</v>
      </c>
      <c r="P9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3" s="2"/>
      <c r="S993" s="2" t="str">
        <f t="shared" si="81"/>
        <v>_</v>
      </c>
      <c r="T9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93" s="2">
        <f>IF(Table2[[#This Row],[InterConf]]=1,IF(Table2[[#This Row],[InterDiv]]=0, 1, 0), 0)</f>
        <v>0</v>
      </c>
      <c r="W9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3" s="2"/>
      <c r="Y993" s="2"/>
      <c r="Z993" s="145">
        <f>IF(AND(Table2[[#This Row],[GameIsOver]]=1,Table2[[#This Row],[ActualHomeScore]]*Table2[[#This Row],[ActualAwayScore]]=0), 1,0)</f>
        <v>0</v>
      </c>
      <c r="AA9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3" s="2">
        <f>Table2[[#This Row],[ActualAwayScore]]-Table2[[#This Row],[PredictedAwayScore]]</f>
        <v>0</v>
      </c>
      <c r="AG993" s="2">
        <f>Table2[[#This Row],[ActualHomeScore]]-Table2[[#This Row],[PredictedHomeScore]]</f>
        <v>0</v>
      </c>
      <c r="AH993" s="2">
        <f t="shared" si="82"/>
        <v>0</v>
      </c>
      <c r="AI993" s="2">
        <f t="shared" si="83"/>
        <v>0</v>
      </c>
      <c r="AJ993" s="2"/>
      <c r="AK993" s="3"/>
      <c r="AL993" s="2">
        <f>IF(Table2[[#This Row],[GameIsOver]]=0,0,IF(Table2[[#This Row],[ActualWinner]]=Table2[[#This Row],[AwayTeam]], 1, 0))</f>
        <v>0</v>
      </c>
      <c r="AM993" s="2">
        <f>IF(Table2[[#This Row],[GameIsOver]]=0,0,IF(Table2[[#This Row],[ActualWinner]]=Table2[[#This Row],[HomeTeam]], 1, 0))</f>
        <v>0</v>
      </c>
      <c r="AN9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3" s="2" t="str">
        <f>INDEX(Sheet5!$B$2:$AG$33, MATCH(Table2[[#This Row],[AwayTeam]],Sheet5!$A$2:$A$33, 0), MATCH(Table2[[#This Row],[HomeTeam]],Sheet5!$A$2:$A$33, 0))</f>
        <v>0-0-0</v>
      </c>
      <c r="AP993" s="2" t="str">
        <f>INDEX(Sheet5!$B$2:$AG$33, MATCH(Table2[[#This Row],[HomeTeam]],Sheet5!$A$2:$A$33, 0), MATCH(Table2[[#This Row],[AwayTeam]],Sheet5!$A$2:$A$33, 0))</f>
        <v>0-0-0</v>
      </c>
      <c r="AQ993" s="2">
        <f>IF(Table2[[#This Row],[GameHasShutOut]], 1, 0)</f>
        <v>0</v>
      </c>
      <c r="AR993" s="2">
        <f>IF(Table2[[#This Row],[ActualAwayScore]] + Table2[[#This Row],[ActualHomeScore]] &gt;= 10, 1, 0)</f>
        <v>0</v>
      </c>
      <c r="AS993" s="2">
        <f>IF(ABS(Table2[[#This Row],[ActualAwayScore]]-Table2[[#This Row],[ActualHomeScore]])&gt;=5, 1, 0)</f>
        <v>0</v>
      </c>
      <c r="AT993" s="2">
        <f>IF(Table2[[#This Row],[ActualAwayScore]] + Table2[[#This Row],[ActualHomeScore]] &lt;= 3, 1, 0)</f>
        <v>1</v>
      </c>
      <c r="AU993" s="2"/>
      <c r="AV993" s="2"/>
    </row>
    <row r="994" spans="1:48" x14ac:dyDescent="0.25">
      <c r="A994" s="3"/>
      <c r="B994" s="3">
        <v>46088</v>
      </c>
      <c r="C994" s="5">
        <v>2025020992</v>
      </c>
      <c r="D994" s="2" t="s">
        <v>34</v>
      </c>
      <c r="E994" s="2" t="s">
        <v>28</v>
      </c>
      <c r="F994" s="2"/>
      <c r="G994" s="2"/>
      <c r="H994" s="2" t="str">
        <f t="shared" si="79"/>
        <v>_</v>
      </c>
      <c r="I994" s="2"/>
      <c r="J994" s="2"/>
      <c r="K994" s="2"/>
      <c r="L994" s="2" t="str">
        <f t="shared" si="80"/>
        <v>_</v>
      </c>
      <c r="M994" s="2"/>
      <c r="N994" s="2">
        <f>IF(ISBLANK(Table2[[#This Row],[ActualResult]]), 0, 1)</f>
        <v>0</v>
      </c>
      <c r="O994" s="2" t="str">
        <f>IF(ISBLANK(Table2[[#This Row],[ActualResult]]), "_", IF(Table2[[#This Row],[ActualWinner]]=Table2[[#This Row],[PredictedWinner]], "Y", "N"))</f>
        <v>_</v>
      </c>
      <c r="P9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4" s="2"/>
      <c r="S994" s="2" t="str">
        <f t="shared" si="81"/>
        <v>_</v>
      </c>
      <c r="T9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4" s="2">
        <f>IF(Table2[[#This Row],[InterConf]]=1,IF(Table2[[#This Row],[InterDiv]]=0, 1, 0), 0)</f>
        <v>0</v>
      </c>
      <c r="W9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4" s="2"/>
      <c r="Y994" s="2"/>
      <c r="Z994" s="145">
        <f>IF(AND(Table2[[#This Row],[GameIsOver]]=1,Table2[[#This Row],[ActualHomeScore]]*Table2[[#This Row],[ActualAwayScore]]=0), 1,0)</f>
        <v>0</v>
      </c>
      <c r="AA9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4" s="2">
        <f>Table2[[#This Row],[ActualAwayScore]]-Table2[[#This Row],[PredictedAwayScore]]</f>
        <v>0</v>
      </c>
      <c r="AG994" s="2">
        <f>Table2[[#This Row],[ActualHomeScore]]-Table2[[#This Row],[PredictedHomeScore]]</f>
        <v>0</v>
      </c>
      <c r="AH994" s="2">
        <f t="shared" si="82"/>
        <v>0</v>
      </c>
      <c r="AI994" s="2">
        <f t="shared" si="83"/>
        <v>0</v>
      </c>
      <c r="AJ994" s="2"/>
      <c r="AK994" s="3"/>
      <c r="AL994" s="2">
        <f>IF(Table2[[#This Row],[GameIsOver]]=0,0,IF(Table2[[#This Row],[ActualWinner]]=Table2[[#This Row],[AwayTeam]], 1, 0))</f>
        <v>0</v>
      </c>
      <c r="AM994" s="2">
        <f>IF(Table2[[#This Row],[GameIsOver]]=0,0,IF(Table2[[#This Row],[ActualWinner]]=Table2[[#This Row],[HomeTeam]], 1, 0))</f>
        <v>0</v>
      </c>
      <c r="AN9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4" s="2" t="str">
        <f>INDEX(Sheet5!$B$2:$AG$33, MATCH(Table2[[#This Row],[AwayTeam]],Sheet5!$A$2:$A$33, 0), MATCH(Table2[[#This Row],[HomeTeam]],Sheet5!$A$2:$A$33, 0))</f>
        <v>0-0-0</v>
      </c>
      <c r="AP994" s="2" t="str">
        <f>INDEX(Sheet5!$B$2:$AG$33, MATCH(Table2[[#This Row],[HomeTeam]],Sheet5!$A$2:$A$33, 0), MATCH(Table2[[#This Row],[AwayTeam]],Sheet5!$A$2:$A$33, 0))</f>
        <v>0-0-0</v>
      </c>
      <c r="AQ994" s="2">
        <f>IF(Table2[[#This Row],[GameHasShutOut]], 1, 0)</f>
        <v>0</v>
      </c>
      <c r="AR994" s="2">
        <f>IF(Table2[[#This Row],[ActualAwayScore]] + Table2[[#This Row],[ActualHomeScore]] &gt;= 10, 1, 0)</f>
        <v>0</v>
      </c>
      <c r="AS994" s="2">
        <f>IF(ABS(Table2[[#This Row],[ActualAwayScore]]-Table2[[#This Row],[ActualHomeScore]])&gt;=5, 1, 0)</f>
        <v>0</v>
      </c>
      <c r="AT994" s="2">
        <f>IF(Table2[[#This Row],[ActualAwayScore]] + Table2[[#This Row],[ActualHomeScore]] &lt;= 3, 1, 0)</f>
        <v>1</v>
      </c>
      <c r="AU994" s="2"/>
      <c r="AV994" s="2"/>
    </row>
    <row r="995" spans="1:48" x14ac:dyDescent="0.25">
      <c r="A995" s="3"/>
      <c r="B995" s="3">
        <v>46088</v>
      </c>
      <c r="C995" s="5">
        <v>2025020993</v>
      </c>
      <c r="D995" s="2" t="s">
        <v>42</v>
      </c>
      <c r="E995" s="2" t="s">
        <v>20</v>
      </c>
      <c r="F995" s="2"/>
      <c r="G995" s="2"/>
      <c r="H995" s="2" t="str">
        <f t="shared" si="79"/>
        <v>_</v>
      </c>
      <c r="I995" s="2"/>
      <c r="J995" s="2"/>
      <c r="K995" s="2"/>
      <c r="L995" s="2" t="str">
        <f t="shared" si="80"/>
        <v>_</v>
      </c>
      <c r="M995" s="2"/>
      <c r="N995" s="2">
        <f>IF(ISBLANK(Table2[[#This Row],[ActualResult]]), 0, 1)</f>
        <v>0</v>
      </c>
      <c r="O995" s="2" t="str">
        <f>IF(ISBLANK(Table2[[#This Row],[ActualResult]]), "_", IF(Table2[[#This Row],[ActualWinner]]=Table2[[#This Row],[PredictedWinner]], "Y", "N"))</f>
        <v>_</v>
      </c>
      <c r="P9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5" s="2"/>
      <c r="S995" s="2" t="str">
        <f t="shared" si="81"/>
        <v>_</v>
      </c>
      <c r="T9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95" s="2">
        <f>IF(Table2[[#This Row],[InterConf]]=1,IF(Table2[[#This Row],[InterDiv]]=0, 1, 0), 0)</f>
        <v>0</v>
      </c>
      <c r="W9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5" s="2"/>
      <c r="Y995" s="2"/>
      <c r="Z995" s="145">
        <f>IF(AND(Table2[[#This Row],[GameIsOver]]=1,Table2[[#This Row],[ActualHomeScore]]*Table2[[#This Row],[ActualAwayScore]]=0), 1,0)</f>
        <v>0</v>
      </c>
      <c r="AA9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5" s="2">
        <f>Table2[[#This Row],[ActualAwayScore]]-Table2[[#This Row],[PredictedAwayScore]]</f>
        <v>0</v>
      </c>
      <c r="AG995" s="2">
        <f>Table2[[#This Row],[ActualHomeScore]]-Table2[[#This Row],[PredictedHomeScore]]</f>
        <v>0</v>
      </c>
      <c r="AH995" s="2">
        <f t="shared" si="82"/>
        <v>0</v>
      </c>
      <c r="AI995" s="2">
        <f t="shared" si="83"/>
        <v>0</v>
      </c>
      <c r="AJ995" s="2"/>
      <c r="AK995" s="3"/>
      <c r="AL995" s="2">
        <f>IF(Table2[[#This Row],[GameIsOver]]=0,0,IF(Table2[[#This Row],[ActualWinner]]=Table2[[#This Row],[AwayTeam]], 1, 0))</f>
        <v>0</v>
      </c>
      <c r="AM995" s="2">
        <f>IF(Table2[[#This Row],[GameIsOver]]=0,0,IF(Table2[[#This Row],[ActualWinner]]=Table2[[#This Row],[HomeTeam]], 1, 0))</f>
        <v>0</v>
      </c>
      <c r="AN9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5" s="2" t="str">
        <f>INDEX(Sheet5!$B$2:$AG$33, MATCH(Table2[[#This Row],[AwayTeam]],Sheet5!$A$2:$A$33, 0), MATCH(Table2[[#This Row],[HomeTeam]],Sheet5!$A$2:$A$33, 0))</f>
        <v>0-0-0</v>
      </c>
      <c r="AP995" s="2" t="str">
        <f>INDEX(Sheet5!$B$2:$AG$33, MATCH(Table2[[#This Row],[HomeTeam]],Sheet5!$A$2:$A$33, 0), MATCH(Table2[[#This Row],[AwayTeam]],Sheet5!$A$2:$A$33, 0))</f>
        <v>0-0-0</v>
      </c>
      <c r="AQ995" s="2">
        <f>IF(Table2[[#This Row],[GameHasShutOut]], 1, 0)</f>
        <v>0</v>
      </c>
      <c r="AR995" s="2">
        <f>IF(Table2[[#This Row],[ActualAwayScore]] + Table2[[#This Row],[ActualHomeScore]] &gt;= 10, 1, 0)</f>
        <v>0</v>
      </c>
      <c r="AS995" s="2">
        <f>IF(ABS(Table2[[#This Row],[ActualAwayScore]]-Table2[[#This Row],[ActualHomeScore]])&gt;=5, 1, 0)</f>
        <v>0</v>
      </c>
      <c r="AT995" s="2">
        <f>IF(Table2[[#This Row],[ActualAwayScore]] + Table2[[#This Row],[ActualHomeScore]] &lt;= 3, 1, 0)</f>
        <v>1</v>
      </c>
      <c r="AU995" s="2"/>
      <c r="AV995" s="2"/>
    </row>
    <row r="996" spans="1:48" x14ac:dyDescent="0.25">
      <c r="A996" s="3"/>
      <c r="B996" s="3">
        <v>46089</v>
      </c>
      <c r="C996" s="5">
        <v>2025020994</v>
      </c>
      <c r="D996" s="2" t="s">
        <v>40</v>
      </c>
      <c r="E996" s="2" t="s">
        <v>17</v>
      </c>
      <c r="F996" s="2"/>
      <c r="G996" s="2"/>
      <c r="H996" s="2" t="str">
        <f t="shared" si="79"/>
        <v>_</v>
      </c>
      <c r="I996" s="2"/>
      <c r="J996" s="2"/>
      <c r="K996" s="2"/>
      <c r="L996" s="2" t="str">
        <f t="shared" si="80"/>
        <v>_</v>
      </c>
      <c r="M996" s="2"/>
      <c r="N996" s="2">
        <f>IF(ISBLANK(Table2[[#This Row],[ActualResult]]), 0, 1)</f>
        <v>0</v>
      </c>
      <c r="O996" s="2" t="str">
        <f>IF(ISBLANK(Table2[[#This Row],[ActualResult]]), "_", IF(Table2[[#This Row],[ActualWinner]]=Table2[[#This Row],[PredictedWinner]], "Y", "N"))</f>
        <v>_</v>
      </c>
      <c r="P9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6" s="2"/>
      <c r="S996" s="2" t="str">
        <f t="shared" si="81"/>
        <v>_</v>
      </c>
      <c r="T9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96" s="2">
        <f>IF(Table2[[#This Row],[InterConf]]=1,IF(Table2[[#This Row],[InterDiv]]=0, 1, 0), 0)</f>
        <v>0</v>
      </c>
      <c r="W9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6" s="2"/>
      <c r="Y996" s="2"/>
      <c r="Z996" s="145">
        <f>IF(AND(Table2[[#This Row],[GameIsOver]]=1,Table2[[#This Row],[ActualHomeScore]]*Table2[[#This Row],[ActualAwayScore]]=0), 1,0)</f>
        <v>0</v>
      </c>
      <c r="AA9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6" s="2">
        <f>Table2[[#This Row],[ActualAwayScore]]-Table2[[#This Row],[PredictedAwayScore]]</f>
        <v>0</v>
      </c>
      <c r="AG996" s="2">
        <f>Table2[[#This Row],[ActualHomeScore]]-Table2[[#This Row],[PredictedHomeScore]]</f>
        <v>0</v>
      </c>
      <c r="AH996" s="2">
        <f t="shared" si="82"/>
        <v>0</v>
      </c>
      <c r="AI996" s="2">
        <f t="shared" si="83"/>
        <v>0</v>
      </c>
      <c r="AJ996" s="2"/>
      <c r="AK996" s="3"/>
      <c r="AL996" s="2">
        <f>IF(Table2[[#This Row],[GameIsOver]]=0,0,IF(Table2[[#This Row],[ActualWinner]]=Table2[[#This Row],[AwayTeam]], 1, 0))</f>
        <v>0</v>
      </c>
      <c r="AM996" s="2">
        <f>IF(Table2[[#This Row],[GameIsOver]]=0,0,IF(Table2[[#This Row],[ActualWinner]]=Table2[[#This Row],[HomeTeam]], 1, 0))</f>
        <v>0</v>
      </c>
      <c r="AN9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6" s="2" t="str">
        <f>INDEX(Sheet5!$B$2:$AG$33, MATCH(Table2[[#This Row],[AwayTeam]],Sheet5!$A$2:$A$33, 0), MATCH(Table2[[#This Row],[HomeTeam]],Sheet5!$A$2:$A$33, 0))</f>
        <v>0-0-0</v>
      </c>
      <c r="AP996" s="2" t="str">
        <f>INDEX(Sheet5!$B$2:$AG$33, MATCH(Table2[[#This Row],[HomeTeam]],Sheet5!$A$2:$A$33, 0), MATCH(Table2[[#This Row],[AwayTeam]],Sheet5!$A$2:$A$33, 0))</f>
        <v>0-0-0</v>
      </c>
      <c r="AQ996" s="2">
        <f>IF(Table2[[#This Row],[GameHasShutOut]], 1, 0)</f>
        <v>0</v>
      </c>
      <c r="AR996" s="2">
        <f>IF(Table2[[#This Row],[ActualAwayScore]] + Table2[[#This Row],[ActualHomeScore]] &gt;= 10, 1, 0)</f>
        <v>0</v>
      </c>
      <c r="AS996" s="2">
        <f>IF(ABS(Table2[[#This Row],[ActualAwayScore]]-Table2[[#This Row],[ActualHomeScore]])&gt;=5, 1, 0)</f>
        <v>0</v>
      </c>
      <c r="AT996" s="2">
        <f>IF(Table2[[#This Row],[ActualAwayScore]] + Table2[[#This Row],[ActualHomeScore]] &lt;= 3, 1, 0)</f>
        <v>1</v>
      </c>
      <c r="AU996" s="2"/>
      <c r="AV996" s="2"/>
    </row>
    <row r="997" spans="1:48" x14ac:dyDescent="0.25">
      <c r="A997" s="3"/>
      <c r="B997" s="3">
        <v>46089</v>
      </c>
      <c r="C997" s="5">
        <v>2025020995</v>
      </c>
      <c r="D997" s="2" t="s">
        <v>14</v>
      </c>
      <c r="E997" s="2" t="s">
        <v>35</v>
      </c>
      <c r="F997" s="2"/>
      <c r="G997" s="2"/>
      <c r="H997" s="2" t="str">
        <f t="shared" si="79"/>
        <v>_</v>
      </c>
      <c r="I997" s="2"/>
      <c r="J997" s="2"/>
      <c r="K997" s="2"/>
      <c r="L997" s="2" t="str">
        <f t="shared" si="80"/>
        <v>_</v>
      </c>
      <c r="M997" s="2"/>
      <c r="N997" s="2">
        <f>IF(ISBLANK(Table2[[#This Row],[ActualResult]]), 0, 1)</f>
        <v>0</v>
      </c>
      <c r="O997" s="2" t="str">
        <f>IF(ISBLANK(Table2[[#This Row],[ActualResult]]), "_", IF(Table2[[#This Row],[ActualWinner]]=Table2[[#This Row],[PredictedWinner]], "Y", "N"))</f>
        <v>_</v>
      </c>
      <c r="P9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7" s="2"/>
      <c r="S997" s="2" t="str">
        <f t="shared" si="81"/>
        <v>_</v>
      </c>
      <c r="T9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7" s="2">
        <f>IF(Table2[[#This Row],[InterConf]]=1,IF(Table2[[#This Row],[InterDiv]]=0, 1, 0), 0)</f>
        <v>0</v>
      </c>
      <c r="W9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7" s="2"/>
      <c r="Y997" s="2"/>
      <c r="Z997" s="145">
        <f>IF(AND(Table2[[#This Row],[GameIsOver]]=1,Table2[[#This Row],[ActualHomeScore]]*Table2[[#This Row],[ActualAwayScore]]=0), 1,0)</f>
        <v>0</v>
      </c>
      <c r="AA9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7" s="2">
        <f>Table2[[#This Row],[ActualAwayScore]]-Table2[[#This Row],[PredictedAwayScore]]</f>
        <v>0</v>
      </c>
      <c r="AG997" s="2">
        <f>Table2[[#This Row],[ActualHomeScore]]-Table2[[#This Row],[PredictedHomeScore]]</f>
        <v>0</v>
      </c>
      <c r="AH997" s="2">
        <f t="shared" si="82"/>
        <v>0</v>
      </c>
      <c r="AI997" s="2">
        <f t="shared" si="83"/>
        <v>0</v>
      </c>
      <c r="AJ997" s="2"/>
      <c r="AK997" s="3"/>
      <c r="AL997" s="2">
        <f>IF(Table2[[#This Row],[GameIsOver]]=0,0,IF(Table2[[#This Row],[ActualWinner]]=Table2[[#This Row],[AwayTeam]], 1, 0))</f>
        <v>0</v>
      </c>
      <c r="AM997" s="2">
        <f>IF(Table2[[#This Row],[GameIsOver]]=0,0,IF(Table2[[#This Row],[ActualWinner]]=Table2[[#This Row],[HomeTeam]], 1, 0))</f>
        <v>0</v>
      </c>
      <c r="AN9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7" s="2" t="str">
        <f>INDEX(Sheet5!$B$2:$AG$33, MATCH(Table2[[#This Row],[AwayTeam]],Sheet5!$A$2:$A$33, 0), MATCH(Table2[[#This Row],[HomeTeam]],Sheet5!$A$2:$A$33, 0))</f>
        <v>0-0-0</v>
      </c>
      <c r="AP997" s="2" t="str">
        <f>INDEX(Sheet5!$B$2:$AG$33, MATCH(Table2[[#This Row],[HomeTeam]],Sheet5!$A$2:$A$33, 0), MATCH(Table2[[#This Row],[AwayTeam]],Sheet5!$A$2:$A$33, 0))</f>
        <v>0-0-0</v>
      </c>
      <c r="AQ997" s="2">
        <f>IF(Table2[[#This Row],[GameHasShutOut]], 1, 0)</f>
        <v>0</v>
      </c>
      <c r="AR997" s="2">
        <f>IF(Table2[[#This Row],[ActualAwayScore]] + Table2[[#This Row],[ActualHomeScore]] &gt;= 10, 1, 0)</f>
        <v>0</v>
      </c>
      <c r="AS997" s="2">
        <f>IF(ABS(Table2[[#This Row],[ActualAwayScore]]-Table2[[#This Row],[ActualHomeScore]])&gt;=5, 1, 0)</f>
        <v>0</v>
      </c>
      <c r="AT997" s="2">
        <f>IF(Table2[[#This Row],[ActualAwayScore]] + Table2[[#This Row],[ActualHomeScore]] &lt;= 3, 1, 0)</f>
        <v>1</v>
      </c>
      <c r="AU997" s="2"/>
      <c r="AV997" s="2"/>
    </row>
    <row r="998" spans="1:48" x14ac:dyDescent="0.25">
      <c r="A998" s="3"/>
      <c r="B998" s="3">
        <v>46089</v>
      </c>
      <c r="C998" s="5">
        <v>2025020996</v>
      </c>
      <c r="D998" s="2" t="s">
        <v>24</v>
      </c>
      <c r="E998" s="2" t="s">
        <v>21</v>
      </c>
      <c r="F998" s="2"/>
      <c r="G998" s="2"/>
      <c r="H998" s="2" t="str">
        <f t="shared" si="79"/>
        <v>_</v>
      </c>
      <c r="I998" s="2"/>
      <c r="J998" s="2"/>
      <c r="K998" s="2"/>
      <c r="L998" s="2" t="str">
        <f t="shared" si="80"/>
        <v>_</v>
      </c>
      <c r="M998" s="2"/>
      <c r="N998" s="2">
        <f>IF(ISBLANK(Table2[[#This Row],[ActualResult]]), 0, 1)</f>
        <v>0</v>
      </c>
      <c r="O998" s="2" t="str">
        <f>IF(ISBLANK(Table2[[#This Row],[ActualResult]]), "_", IF(Table2[[#This Row],[ActualWinner]]=Table2[[#This Row],[PredictedWinner]], "Y", "N"))</f>
        <v>_</v>
      </c>
      <c r="P9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8" s="2"/>
      <c r="S998" s="2" t="str">
        <f t="shared" si="81"/>
        <v>_</v>
      </c>
      <c r="T9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8" s="2">
        <f>IF(Table2[[#This Row],[InterConf]]=1,IF(Table2[[#This Row],[InterDiv]]=0, 1, 0), 0)</f>
        <v>1</v>
      </c>
      <c r="W9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8" s="2"/>
      <c r="Y998" s="2"/>
      <c r="Z998" s="145">
        <f>IF(AND(Table2[[#This Row],[GameIsOver]]=1,Table2[[#This Row],[ActualHomeScore]]*Table2[[#This Row],[ActualAwayScore]]=0), 1,0)</f>
        <v>0</v>
      </c>
      <c r="AA9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8" s="2">
        <f>Table2[[#This Row],[ActualAwayScore]]-Table2[[#This Row],[PredictedAwayScore]]</f>
        <v>0</v>
      </c>
      <c r="AG998" s="2">
        <f>Table2[[#This Row],[ActualHomeScore]]-Table2[[#This Row],[PredictedHomeScore]]</f>
        <v>0</v>
      </c>
      <c r="AH998" s="2">
        <f t="shared" si="82"/>
        <v>0</v>
      </c>
      <c r="AI998" s="2">
        <f t="shared" si="83"/>
        <v>0</v>
      </c>
      <c r="AJ998" s="2"/>
      <c r="AK998" s="3"/>
      <c r="AL998" s="2">
        <f>IF(Table2[[#This Row],[GameIsOver]]=0,0,IF(Table2[[#This Row],[ActualWinner]]=Table2[[#This Row],[AwayTeam]], 1, 0))</f>
        <v>0</v>
      </c>
      <c r="AM998" s="2">
        <f>IF(Table2[[#This Row],[GameIsOver]]=0,0,IF(Table2[[#This Row],[ActualWinner]]=Table2[[#This Row],[HomeTeam]], 1, 0))</f>
        <v>0</v>
      </c>
      <c r="AN9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8" s="2" t="str">
        <f>INDEX(Sheet5!$B$2:$AG$33, MATCH(Table2[[#This Row],[AwayTeam]],Sheet5!$A$2:$A$33, 0), MATCH(Table2[[#This Row],[HomeTeam]],Sheet5!$A$2:$A$33, 0))</f>
        <v>0-0-0</v>
      </c>
      <c r="AP998" s="2" t="str">
        <f>INDEX(Sheet5!$B$2:$AG$33, MATCH(Table2[[#This Row],[HomeTeam]],Sheet5!$A$2:$A$33, 0), MATCH(Table2[[#This Row],[AwayTeam]],Sheet5!$A$2:$A$33, 0))</f>
        <v>0-0-0</v>
      </c>
      <c r="AQ998" s="2">
        <f>IF(Table2[[#This Row],[GameHasShutOut]], 1, 0)</f>
        <v>0</v>
      </c>
      <c r="AR998" s="2">
        <f>IF(Table2[[#This Row],[ActualAwayScore]] + Table2[[#This Row],[ActualHomeScore]] &gt;= 10, 1, 0)</f>
        <v>0</v>
      </c>
      <c r="AS998" s="2">
        <f>IF(ABS(Table2[[#This Row],[ActualAwayScore]]-Table2[[#This Row],[ActualHomeScore]])&gt;=5, 1, 0)</f>
        <v>0</v>
      </c>
      <c r="AT998" s="2">
        <f>IF(Table2[[#This Row],[ActualAwayScore]] + Table2[[#This Row],[ActualHomeScore]] &lt;= 3, 1, 0)</f>
        <v>1</v>
      </c>
      <c r="AU998" s="2"/>
      <c r="AV998" s="2"/>
    </row>
    <row r="999" spans="1:48" x14ac:dyDescent="0.25">
      <c r="A999" s="3"/>
      <c r="B999" s="3">
        <v>46089</v>
      </c>
      <c r="C999" s="5">
        <v>2025020997</v>
      </c>
      <c r="D999" s="2" t="s">
        <v>18</v>
      </c>
      <c r="E999" s="2" t="s">
        <v>27</v>
      </c>
      <c r="F999" s="2"/>
      <c r="G999" s="2"/>
      <c r="H999" s="2" t="str">
        <f t="shared" si="79"/>
        <v>_</v>
      </c>
      <c r="I999" s="2"/>
      <c r="J999" s="2"/>
      <c r="K999" s="2"/>
      <c r="L999" s="2" t="str">
        <f t="shared" si="80"/>
        <v>_</v>
      </c>
      <c r="M999" s="2"/>
      <c r="N999" s="2">
        <f>IF(ISBLANK(Table2[[#This Row],[ActualResult]]), 0, 1)</f>
        <v>0</v>
      </c>
      <c r="O999" s="2" t="str">
        <f>IF(ISBLANK(Table2[[#This Row],[ActualResult]]), "_", IF(Table2[[#This Row],[ActualWinner]]=Table2[[#This Row],[PredictedWinner]], "Y", "N"))</f>
        <v>_</v>
      </c>
      <c r="P9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9" s="2"/>
      <c r="S999" s="2" t="str">
        <f t="shared" si="81"/>
        <v>_</v>
      </c>
      <c r="T9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9" s="2">
        <f>IF(Table2[[#This Row],[InterConf]]=1,IF(Table2[[#This Row],[InterDiv]]=0, 1, 0), 0)</f>
        <v>0</v>
      </c>
      <c r="W9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9" s="2"/>
      <c r="Y999" s="2"/>
      <c r="Z999" s="145">
        <f>IF(AND(Table2[[#This Row],[GameIsOver]]=1,Table2[[#This Row],[ActualHomeScore]]*Table2[[#This Row],[ActualAwayScore]]=0), 1,0)</f>
        <v>0</v>
      </c>
      <c r="AA9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9" s="2">
        <f>Table2[[#This Row],[ActualAwayScore]]-Table2[[#This Row],[PredictedAwayScore]]</f>
        <v>0</v>
      </c>
      <c r="AG999" s="2">
        <f>Table2[[#This Row],[ActualHomeScore]]-Table2[[#This Row],[PredictedHomeScore]]</f>
        <v>0</v>
      </c>
      <c r="AH999" s="2">
        <f t="shared" si="82"/>
        <v>0</v>
      </c>
      <c r="AI999" s="2">
        <f t="shared" si="83"/>
        <v>0</v>
      </c>
      <c r="AJ999" s="2"/>
      <c r="AK999" s="3"/>
      <c r="AL999" s="2">
        <f>IF(Table2[[#This Row],[GameIsOver]]=0,0,IF(Table2[[#This Row],[ActualWinner]]=Table2[[#This Row],[AwayTeam]], 1, 0))</f>
        <v>0</v>
      </c>
      <c r="AM999" s="2">
        <f>IF(Table2[[#This Row],[GameIsOver]]=0,0,IF(Table2[[#This Row],[ActualWinner]]=Table2[[#This Row],[HomeTeam]], 1, 0))</f>
        <v>0</v>
      </c>
      <c r="AN999" s="2">
        <f>IF(IFERROR(FIND(Table2[[#This Row],[AwayTeam]], _xlfn.TEXTJOIN(";", 1, $BD$31:$BD$40)), 0) &gt; 0, 1, 0) + IF(IFERROR(FIND(Table2[[#This Row],[HomeTeam]], _xlfn.TEXTJOIN(";", 1, $BD$31:$BD$40)), 0) &gt; 0, 1, 0)</f>
        <v>1</v>
      </c>
      <c r="AO999" s="2" t="str">
        <f>INDEX(Sheet5!$B$2:$AG$33, MATCH(Table2[[#This Row],[AwayTeam]],Sheet5!$A$2:$A$33, 0), MATCH(Table2[[#This Row],[HomeTeam]],Sheet5!$A$2:$A$33, 0))</f>
        <v>0-0-0</v>
      </c>
      <c r="AP999" s="2" t="str">
        <f>INDEX(Sheet5!$B$2:$AG$33, MATCH(Table2[[#This Row],[HomeTeam]],Sheet5!$A$2:$A$33, 0), MATCH(Table2[[#This Row],[AwayTeam]],Sheet5!$A$2:$A$33, 0))</f>
        <v>0-0-0</v>
      </c>
      <c r="AQ999" s="2">
        <f>IF(Table2[[#This Row],[GameHasShutOut]], 1, 0)</f>
        <v>0</v>
      </c>
      <c r="AR999" s="2">
        <f>IF(Table2[[#This Row],[ActualAwayScore]] + Table2[[#This Row],[ActualHomeScore]] &gt;= 10, 1, 0)</f>
        <v>0</v>
      </c>
      <c r="AS999" s="2">
        <f>IF(ABS(Table2[[#This Row],[ActualAwayScore]]-Table2[[#This Row],[ActualHomeScore]])&gt;=5, 1, 0)</f>
        <v>0</v>
      </c>
      <c r="AT999" s="2">
        <f>IF(Table2[[#This Row],[ActualAwayScore]] + Table2[[#This Row],[ActualHomeScore]] &lt;= 3, 1, 0)</f>
        <v>1</v>
      </c>
      <c r="AU999" s="2"/>
      <c r="AV999" s="2"/>
    </row>
    <row r="1000" spans="1:48" x14ac:dyDescent="0.25">
      <c r="A1000" s="3"/>
      <c r="B1000" s="3">
        <v>46089</v>
      </c>
      <c r="C1000" s="5">
        <v>2025020998</v>
      </c>
      <c r="D1000" s="2" t="s">
        <v>41</v>
      </c>
      <c r="E1000" s="2" t="s">
        <v>23</v>
      </c>
      <c r="F1000" s="2"/>
      <c r="G1000" s="2"/>
      <c r="H1000" s="2" t="str">
        <f t="shared" si="79"/>
        <v>_</v>
      </c>
      <c r="I1000" s="2"/>
      <c r="J1000" s="2"/>
      <c r="K1000" s="2"/>
      <c r="L1000" s="2" t="str">
        <f t="shared" si="80"/>
        <v>_</v>
      </c>
      <c r="M1000" s="2"/>
      <c r="N1000" s="2">
        <f>IF(ISBLANK(Table2[[#This Row],[ActualResult]]), 0, 1)</f>
        <v>0</v>
      </c>
      <c r="O1000" s="2" t="str">
        <f>IF(ISBLANK(Table2[[#This Row],[ActualResult]]), "_", IF(Table2[[#This Row],[ActualWinner]]=Table2[[#This Row],[PredictedWinner]], "Y", "N"))</f>
        <v>_</v>
      </c>
      <c r="P10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0" s="2"/>
      <c r="S1000" s="2" t="str">
        <f t="shared" si="81"/>
        <v>_</v>
      </c>
      <c r="T10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0" s="2">
        <f>IF(Table2[[#This Row],[InterConf]]=1,IF(Table2[[#This Row],[InterDiv]]=0, 1, 0), 0)</f>
        <v>0</v>
      </c>
      <c r="W10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00" s="2"/>
      <c r="Y1000" s="2"/>
      <c r="Z1000" s="145">
        <f>IF(AND(Table2[[#This Row],[GameIsOver]]=1,Table2[[#This Row],[ActualHomeScore]]*Table2[[#This Row],[ActualAwayScore]]=0), 1,0)</f>
        <v>0</v>
      </c>
      <c r="AA10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0" s="2">
        <f>Table2[[#This Row],[ActualAwayScore]]-Table2[[#This Row],[PredictedAwayScore]]</f>
        <v>0</v>
      </c>
      <c r="AG1000" s="2">
        <f>Table2[[#This Row],[ActualHomeScore]]-Table2[[#This Row],[PredictedHomeScore]]</f>
        <v>0</v>
      </c>
      <c r="AH1000" s="2">
        <f t="shared" si="82"/>
        <v>0</v>
      </c>
      <c r="AI1000" s="2">
        <f t="shared" si="83"/>
        <v>0</v>
      </c>
      <c r="AJ1000" s="2"/>
      <c r="AK1000" s="3"/>
      <c r="AL1000" s="2">
        <f>IF(Table2[[#This Row],[GameIsOver]]=0,0,IF(Table2[[#This Row],[ActualWinner]]=Table2[[#This Row],[AwayTeam]], 1, 0))</f>
        <v>0</v>
      </c>
      <c r="AM1000" s="2">
        <f>IF(Table2[[#This Row],[GameIsOver]]=0,0,IF(Table2[[#This Row],[ActualWinner]]=Table2[[#This Row],[HomeTeam]], 1, 0))</f>
        <v>0</v>
      </c>
      <c r="AN10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0" s="2" t="str">
        <f>INDEX(Sheet5!$B$2:$AG$33, MATCH(Table2[[#This Row],[AwayTeam]],Sheet5!$A$2:$A$33, 0), MATCH(Table2[[#This Row],[HomeTeam]],Sheet5!$A$2:$A$33, 0))</f>
        <v>0-0-0</v>
      </c>
      <c r="AP1000" s="2" t="str">
        <f>INDEX(Sheet5!$B$2:$AG$33, MATCH(Table2[[#This Row],[HomeTeam]],Sheet5!$A$2:$A$33, 0), MATCH(Table2[[#This Row],[AwayTeam]],Sheet5!$A$2:$A$33, 0))</f>
        <v>0-0-0</v>
      </c>
      <c r="AQ1000" s="2">
        <f>IF(Table2[[#This Row],[GameHasShutOut]], 1, 0)</f>
        <v>0</v>
      </c>
      <c r="AR1000" s="2">
        <f>IF(Table2[[#This Row],[ActualAwayScore]] + Table2[[#This Row],[ActualHomeScore]] &gt;= 10, 1, 0)</f>
        <v>0</v>
      </c>
      <c r="AS1000" s="2">
        <f>IF(ABS(Table2[[#This Row],[ActualAwayScore]]-Table2[[#This Row],[ActualHomeScore]])&gt;=5, 1, 0)</f>
        <v>0</v>
      </c>
      <c r="AT1000" s="2">
        <f>IF(Table2[[#This Row],[ActualAwayScore]] + Table2[[#This Row],[ActualHomeScore]] &lt;= 3, 1, 0)</f>
        <v>1</v>
      </c>
      <c r="AU1000" s="2"/>
      <c r="AV1000" s="2"/>
    </row>
    <row r="1001" spans="1:48" x14ac:dyDescent="0.25">
      <c r="A1001" s="3"/>
      <c r="B1001" s="3">
        <v>46089</v>
      </c>
      <c r="C1001" s="5">
        <v>2025020999</v>
      </c>
      <c r="D1001" s="2" t="s">
        <v>32</v>
      </c>
      <c r="E1001" s="2" t="s">
        <v>37</v>
      </c>
      <c r="F1001" s="2"/>
      <c r="G1001" s="2"/>
      <c r="H1001" s="2" t="str">
        <f t="shared" si="79"/>
        <v>_</v>
      </c>
      <c r="I1001" s="2"/>
      <c r="J1001" s="2"/>
      <c r="K1001" s="2"/>
      <c r="L1001" s="2" t="str">
        <f t="shared" si="80"/>
        <v>_</v>
      </c>
      <c r="M1001" s="2"/>
      <c r="N1001" s="2">
        <f>IF(ISBLANK(Table2[[#This Row],[ActualResult]]), 0, 1)</f>
        <v>0</v>
      </c>
      <c r="O1001" s="2" t="str">
        <f>IF(ISBLANK(Table2[[#This Row],[ActualResult]]), "_", IF(Table2[[#This Row],[ActualWinner]]=Table2[[#This Row],[PredictedWinner]], "Y", "N"))</f>
        <v>_</v>
      </c>
      <c r="P10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1" s="2"/>
      <c r="S1001" s="2" t="str">
        <f t="shared" si="81"/>
        <v>_</v>
      </c>
      <c r="T10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1" s="2">
        <f>IF(Table2[[#This Row],[InterConf]]=1,IF(Table2[[#This Row],[InterDiv]]=0, 1, 0), 0)</f>
        <v>0</v>
      </c>
      <c r="W10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01" s="2"/>
      <c r="Y1001" s="2"/>
      <c r="Z1001" s="145">
        <f>IF(AND(Table2[[#This Row],[GameIsOver]]=1,Table2[[#This Row],[ActualHomeScore]]*Table2[[#This Row],[ActualAwayScore]]=0), 1,0)</f>
        <v>0</v>
      </c>
      <c r="AA10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1" s="2">
        <f>Table2[[#This Row],[ActualAwayScore]]-Table2[[#This Row],[PredictedAwayScore]]</f>
        <v>0</v>
      </c>
      <c r="AG1001" s="2">
        <f>Table2[[#This Row],[ActualHomeScore]]-Table2[[#This Row],[PredictedHomeScore]]</f>
        <v>0</v>
      </c>
      <c r="AH1001" s="2">
        <f t="shared" si="82"/>
        <v>0</v>
      </c>
      <c r="AI1001" s="2">
        <f t="shared" si="83"/>
        <v>0</v>
      </c>
      <c r="AJ1001" s="2"/>
      <c r="AK1001" s="3"/>
      <c r="AL1001" s="2">
        <f>IF(Table2[[#This Row],[GameIsOver]]=0,0,IF(Table2[[#This Row],[ActualWinner]]=Table2[[#This Row],[AwayTeam]], 1, 0))</f>
        <v>0</v>
      </c>
      <c r="AM1001" s="2">
        <f>IF(Table2[[#This Row],[GameIsOver]]=0,0,IF(Table2[[#This Row],[ActualWinner]]=Table2[[#This Row],[HomeTeam]], 1, 0))</f>
        <v>0</v>
      </c>
      <c r="AN10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1" s="2" t="str">
        <f>INDEX(Sheet5!$B$2:$AG$33, MATCH(Table2[[#This Row],[AwayTeam]],Sheet5!$A$2:$A$33, 0), MATCH(Table2[[#This Row],[HomeTeam]],Sheet5!$A$2:$A$33, 0))</f>
        <v>1-0-0</v>
      </c>
      <c r="AP1001" s="2" t="str">
        <f>INDEX(Sheet5!$B$2:$AG$33, MATCH(Table2[[#This Row],[HomeTeam]],Sheet5!$A$2:$A$33, 0), MATCH(Table2[[#This Row],[AwayTeam]],Sheet5!$A$2:$A$33, 0))</f>
        <v>0-1-0</v>
      </c>
      <c r="AQ1001" s="2">
        <f>IF(Table2[[#This Row],[GameHasShutOut]], 1, 0)</f>
        <v>0</v>
      </c>
      <c r="AR1001" s="2">
        <f>IF(Table2[[#This Row],[ActualAwayScore]] + Table2[[#This Row],[ActualHomeScore]] &gt;= 10, 1, 0)</f>
        <v>0</v>
      </c>
      <c r="AS1001" s="2">
        <f>IF(ABS(Table2[[#This Row],[ActualAwayScore]]-Table2[[#This Row],[ActualHomeScore]])&gt;=5, 1, 0)</f>
        <v>0</v>
      </c>
      <c r="AT1001" s="2">
        <f>IF(Table2[[#This Row],[ActualAwayScore]] + Table2[[#This Row],[ActualHomeScore]] &lt;= 3, 1, 0)</f>
        <v>1</v>
      </c>
      <c r="AU1001" s="2"/>
      <c r="AV1001" s="2"/>
    </row>
    <row r="1002" spans="1:48" x14ac:dyDescent="0.25">
      <c r="A1002" s="3"/>
      <c r="B1002" s="3">
        <v>46089</v>
      </c>
      <c r="C1002" s="5">
        <v>2025021000</v>
      </c>
      <c r="D1002" s="2" t="s">
        <v>29</v>
      </c>
      <c r="E1002" s="2" t="s">
        <v>11</v>
      </c>
      <c r="F1002" s="2"/>
      <c r="G1002" s="2"/>
      <c r="H1002" s="2" t="str">
        <f t="shared" si="79"/>
        <v>_</v>
      </c>
      <c r="I1002" s="2"/>
      <c r="J1002" s="2"/>
      <c r="K1002" s="2"/>
      <c r="L1002" s="2" t="str">
        <f t="shared" si="80"/>
        <v>_</v>
      </c>
      <c r="M1002" s="2"/>
      <c r="N1002" s="2">
        <f>IF(ISBLANK(Table2[[#This Row],[ActualResult]]), 0, 1)</f>
        <v>0</v>
      </c>
      <c r="O1002" s="2" t="str">
        <f>IF(ISBLANK(Table2[[#This Row],[ActualResult]]), "_", IF(Table2[[#This Row],[ActualWinner]]=Table2[[#This Row],[PredictedWinner]], "Y", "N"))</f>
        <v>_</v>
      </c>
      <c r="P10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2" s="2"/>
      <c r="S1002" s="2" t="str">
        <f t="shared" si="81"/>
        <v>_</v>
      </c>
      <c r="T10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2" s="2">
        <f>IF(Table2[[#This Row],[InterConf]]=1,IF(Table2[[#This Row],[InterDiv]]=0, 1, 0), 0)</f>
        <v>0</v>
      </c>
      <c r="W10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02" s="2"/>
      <c r="Y1002" s="2"/>
      <c r="Z1002" s="145">
        <f>IF(AND(Table2[[#This Row],[GameIsOver]]=1,Table2[[#This Row],[ActualHomeScore]]*Table2[[#This Row],[ActualAwayScore]]=0), 1,0)</f>
        <v>0</v>
      </c>
      <c r="AA10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2" s="2">
        <f>Table2[[#This Row],[ActualAwayScore]]-Table2[[#This Row],[PredictedAwayScore]]</f>
        <v>0</v>
      </c>
      <c r="AG1002" s="2">
        <f>Table2[[#This Row],[ActualHomeScore]]-Table2[[#This Row],[PredictedHomeScore]]</f>
        <v>0</v>
      </c>
      <c r="AH1002" s="2">
        <f t="shared" si="82"/>
        <v>0</v>
      </c>
      <c r="AI1002" s="2">
        <f t="shared" si="83"/>
        <v>0</v>
      </c>
      <c r="AJ1002" s="2"/>
      <c r="AK1002" s="3"/>
      <c r="AL1002" s="2">
        <f>IF(Table2[[#This Row],[GameIsOver]]=0,0,IF(Table2[[#This Row],[ActualWinner]]=Table2[[#This Row],[AwayTeam]], 1, 0))</f>
        <v>0</v>
      </c>
      <c r="AM1002" s="2">
        <f>IF(Table2[[#This Row],[GameIsOver]]=0,0,IF(Table2[[#This Row],[ActualWinner]]=Table2[[#This Row],[HomeTeam]], 1, 0))</f>
        <v>0</v>
      </c>
      <c r="AN10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2" s="2" t="str">
        <f>INDEX(Sheet5!$B$2:$AG$33, MATCH(Table2[[#This Row],[AwayTeam]],Sheet5!$A$2:$A$33, 0), MATCH(Table2[[#This Row],[HomeTeam]],Sheet5!$A$2:$A$33, 0))</f>
        <v>1-0-0</v>
      </c>
      <c r="AP1002" s="2" t="str">
        <f>INDEX(Sheet5!$B$2:$AG$33, MATCH(Table2[[#This Row],[HomeTeam]],Sheet5!$A$2:$A$33, 0), MATCH(Table2[[#This Row],[AwayTeam]],Sheet5!$A$2:$A$33, 0))</f>
        <v>0-0-1</v>
      </c>
      <c r="AQ1002" s="2">
        <f>IF(Table2[[#This Row],[GameHasShutOut]], 1, 0)</f>
        <v>0</v>
      </c>
      <c r="AR1002" s="2">
        <f>IF(Table2[[#This Row],[ActualAwayScore]] + Table2[[#This Row],[ActualHomeScore]] &gt;= 10, 1, 0)</f>
        <v>0</v>
      </c>
      <c r="AS1002" s="2">
        <f>IF(ABS(Table2[[#This Row],[ActualAwayScore]]-Table2[[#This Row],[ActualHomeScore]])&gt;=5, 1, 0)</f>
        <v>0</v>
      </c>
      <c r="AT1002" s="2">
        <f>IF(Table2[[#This Row],[ActualAwayScore]] + Table2[[#This Row],[ActualHomeScore]] &lt;= 3, 1, 0)</f>
        <v>1</v>
      </c>
      <c r="AU1002" s="2"/>
      <c r="AV1002" s="2"/>
    </row>
    <row r="1003" spans="1:48" x14ac:dyDescent="0.25">
      <c r="A1003" s="3"/>
      <c r="B1003" s="3">
        <v>46089</v>
      </c>
      <c r="C1003" s="5">
        <v>2025021001</v>
      </c>
      <c r="D1003" s="2" t="s">
        <v>36</v>
      </c>
      <c r="E1003" s="2" t="s">
        <v>25</v>
      </c>
      <c r="F1003" s="2"/>
      <c r="G1003" s="2"/>
      <c r="H1003" s="2" t="str">
        <f t="shared" si="79"/>
        <v>_</v>
      </c>
      <c r="I1003" s="2"/>
      <c r="J1003" s="2"/>
      <c r="K1003" s="2"/>
      <c r="L1003" s="2" t="str">
        <f t="shared" si="80"/>
        <v>_</v>
      </c>
      <c r="M1003" s="2"/>
      <c r="N1003" s="2">
        <f>IF(ISBLANK(Table2[[#This Row],[ActualResult]]), 0, 1)</f>
        <v>0</v>
      </c>
      <c r="O1003" s="2" t="str">
        <f>IF(ISBLANK(Table2[[#This Row],[ActualResult]]), "_", IF(Table2[[#This Row],[ActualWinner]]=Table2[[#This Row],[PredictedWinner]], "Y", "N"))</f>
        <v>_</v>
      </c>
      <c r="P10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3" s="2"/>
      <c r="S1003" s="2" t="str">
        <f t="shared" si="81"/>
        <v>_</v>
      </c>
      <c r="T10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3" s="2">
        <f>IF(Table2[[#This Row],[InterConf]]=1,IF(Table2[[#This Row],[InterDiv]]=0, 1, 0), 0)</f>
        <v>0</v>
      </c>
      <c r="W10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3" s="2"/>
      <c r="Y1003" s="2"/>
      <c r="Z1003" s="145">
        <f>IF(AND(Table2[[#This Row],[GameIsOver]]=1,Table2[[#This Row],[ActualHomeScore]]*Table2[[#This Row],[ActualAwayScore]]=0), 1,0)</f>
        <v>0</v>
      </c>
      <c r="AA10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3" s="2">
        <f>Table2[[#This Row],[ActualAwayScore]]-Table2[[#This Row],[PredictedAwayScore]]</f>
        <v>0</v>
      </c>
      <c r="AG1003" s="2">
        <f>Table2[[#This Row],[ActualHomeScore]]-Table2[[#This Row],[PredictedHomeScore]]</f>
        <v>0</v>
      </c>
      <c r="AH1003" s="2">
        <f t="shared" si="82"/>
        <v>0</v>
      </c>
      <c r="AI1003" s="2">
        <f t="shared" si="83"/>
        <v>0</v>
      </c>
      <c r="AJ1003" s="2"/>
      <c r="AK1003" s="3"/>
      <c r="AL1003" s="2">
        <f>IF(Table2[[#This Row],[GameIsOver]]=0,0,IF(Table2[[#This Row],[ActualWinner]]=Table2[[#This Row],[AwayTeam]], 1, 0))</f>
        <v>0</v>
      </c>
      <c r="AM1003" s="2">
        <f>IF(Table2[[#This Row],[GameIsOver]]=0,0,IF(Table2[[#This Row],[ActualWinner]]=Table2[[#This Row],[HomeTeam]], 1, 0))</f>
        <v>0</v>
      </c>
      <c r="AN10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3" s="2" t="str">
        <f>INDEX(Sheet5!$B$2:$AG$33, MATCH(Table2[[#This Row],[AwayTeam]],Sheet5!$A$2:$A$33, 0), MATCH(Table2[[#This Row],[HomeTeam]],Sheet5!$A$2:$A$33, 0))</f>
        <v>0-0-0</v>
      </c>
      <c r="AP1003" s="2" t="str">
        <f>INDEX(Sheet5!$B$2:$AG$33, MATCH(Table2[[#This Row],[HomeTeam]],Sheet5!$A$2:$A$33, 0), MATCH(Table2[[#This Row],[AwayTeam]],Sheet5!$A$2:$A$33, 0))</f>
        <v>0-0-0</v>
      </c>
      <c r="AQ1003" s="2">
        <f>IF(Table2[[#This Row],[GameHasShutOut]], 1, 0)</f>
        <v>0</v>
      </c>
      <c r="AR1003" s="2">
        <f>IF(Table2[[#This Row],[ActualAwayScore]] + Table2[[#This Row],[ActualHomeScore]] &gt;= 10, 1, 0)</f>
        <v>0</v>
      </c>
      <c r="AS1003" s="2">
        <f>IF(ABS(Table2[[#This Row],[ActualAwayScore]]-Table2[[#This Row],[ActualHomeScore]])&gt;=5, 1, 0)</f>
        <v>0</v>
      </c>
      <c r="AT1003" s="2">
        <f>IF(Table2[[#This Row],[ActualAwayScore]] + Table2[[#This Row],[ActualHomeScore]] &lt;= 3, 1, 0)</f>
        <v>1</v>
      </c>
      <c r="AU1003" s="2"/>
      <c r="AV1003" s="2"/>
    </row>
    <row r="1004" spans="1:48" x14ac:dyDescent="0.25">
      <c r="A1004" s="3"/>
      <c r="B1004" s="3">
        <v>46089</v>
      </c>
      <c r="C1004" s="5">
        <v>2025021002</v>
      </c>
      <c r="D1004" s="2" t="s">
        <v>15</v>
      </c>
      <c r="E1004" s="2" t="s">
        <v>20</v>
      </c>
      <c r="F1004" s="2"/>
      <c r="G1004" s="2"/>
      <c r="H1004" s="2" t="str">
        <f t="shared" si="79"/>
        <v>_</v>
      </c>
      <c r="I1004" s="2"/>
      <c r="J1004" s="2"/>
      <c r="K1004" s="2"/>
      <c r="L1004" s="2" t="str">
        <f t="shared" si="80"/>
        <v>_</v>
      </c>
      <c r="M1004" s="2"/>
      <c r="N1004" s="2">
        <f>IF(ISBLANK(Table2[[#This Row],[ActualResult]]), 0, 1)</f>
        <v>0</v>
      </c>
      <c r="O1004" s="2" t="str">
        <f>IF(ISBLANK(Table2[[#This Row],[ActualResult]]), "_", IF(Table2[[#This Row],[ActualWinner]]=Table2[[#This Row],[PredictedWinner]], "Y", "N"))</f>
        <v>_</v>
      </c>
      <c r="P10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4" s="2"/>
      <c r="S1004" s="2" t="str">
        <f t="shared" si="81"/>
        <v>_</v>
      </c>
      <c r="T10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4" s="2">
        <f>IF(Table2[[#This Row],[InterConf]]=1,IF(Table2[[#This Row],[InterDiv]]=0, 1, 0), 0)</f>
        <v>1</v>
      </c>
      <c r="W10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4" s="2"/>
      <c r="Y1004" s="2"/>
      <c r="Z1004" s="145">
        <f>IF(AND(Table2[[#This Row],[GameIsOver]]=1,Table2[[#This Row],[ActualHomeScore]]*Table2[[#This Row],[ActualAwayScore]]=0), 1,0)</f>
        <v>0</v>
      </c>
      <c r="AA10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4" s="2">
        <f>Table2[[#This Row],[ActualAwayScore]]-Table2[[#This Row],[PredictedAwayScore]]</f>
        <v>0</v>
      </c>
      <c r="AG1004" s="2">
        <f>Table2[[#This Row],[ActualHomeScore]]-Table2[[#This Row],[PredictedHomeScore]]</f>
        <v>0</v>
      </c>
      <c r="AH1004" s="2">
        <f t="shared" si="82"/>
        <v>0</v>
      </c>
      <c r="AI1004" s="2">
        <f t="shared" si="83"/>
        <v>0</v>
      </c>
      <c r="AJ1004" s="2"/>
      <c r="AK1004" s="3"/>
      <c r="AL1004" s="2">
        <f>IF(Table2[[#This Row],[GameIsOver]]=0,0,IF(Table2[[#This Row],[ActualWinner]]=Table2[[#This Row],[AwayTeam]], 1, 0))</f>
        <v>0</v>
      </c>
      <c r="AM1004" s="2">
        <f>IF(Table2[[#This Row],[GameIsOver]]=0,0,IF(Table2[[#This Row],[ActualWinner]]=Table2[[#This Row],[HomeTeam]], 1, 0))</f>
        <v>0</v>
      </c>
      <c r="AN10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4" s="2" t="str">
        <f>INDEX(Sheet5!$B$2:$AG$33, MATCH(Table2[[#This Row],[AwayTeam]],Sheet5!$A$2:$A$33, 0), MATCH(Table2[[#This Row],[HomeTeam]],Sheet5!$A$2:$A$33, 0))</f>
        <v>0-0-0</v>
      </c>
      <c r="AP1004" s="2" t="str">
        <f>INDEX(Sheet5!$B$2:$AG$33, MATCH(Table2[[#This Row],[HomeTeam]],Sheet5!$A$2:$A$33, 0), MATCH(Table2[[#This Row],[AwayTeam]],Sheet5!$A$2:$A$33, 0))</f>
        <v>0-0-0</v>
      </c>
      <c r="AQ1004" s="2">
        <f>IF(Table2[[#This Row],[GameHasShutOut]], 1, 0)</f>
        <v>0</v>
      </c>
      <c r="AR1004" s="2">
        <f>IF(Table2[[#This Row],[ActualAwayScore]] + Table2[[#This Row],[ActualHomeScore]] &gt;= 10, 1, 0)</f>
        <v>0</v>
      </c>
      <c r="AS1004" s="2">
        <f>IF(ABS(Table2[[#This Row],[ActualAwayScore]]-Table2[[#This Row],[ActualHomeScore]])&gt;=5, 1, 0)</f>
        <v>0</v>
      </c>
      <c r="AT1004" s="2">
        <f>IF(Table2[[#This Row],[ActualAwayScore]] + Table2[[#This Row],[ActualHomeScore]] &lt;= 3, 1, 0)</f>
        <v>1</v>
      </c>
      <c r="AU1004" s="2"/>
      <c r="AV1004" s="2"/>
    </row>
    <row r="1005" spans="1:48" x14ac:dyDescent="0.25">
      <c r="A1005" s="3"/>
      <c r="B1005" s="3">
        <v>46089</v>
      </c>
      <c r="C1005" s="5">
        <v>2025021003</v>
      </c>
      <c r="D1005" s="2" t="s">
        <v>40</v>
      </c>
      <c r="E1005" s="2" t="s">
        <v>28</v>
      </c>
      <c r="F1005" s="2"/>
      <c r="G1005" s="2"/>
      <c r="H1005" s="2" t="str">
        <f t="shared" si="79"/>
        <v>_</v>
      </c>
      <c r="I1005" s="2"/>
      <c r="J1005" s="2"/>
      <c r="K1005" s="2"/>
      <c r="L1005" s="2" t="str">
        <f t="shared" si="80"/>
        <v>_</v>
      </c>
      <c r="M1005" s="2"/>
      <c r="N1005" s="2">
        <f>IF(ISBLANK(Table2[[#This Row],[ActualResult]]), 0, 1)</f>
        <v>0</v>
      </c>
      <c r="O1005" s="2" t="str">
        <f>IF(ISBLANK(Table2[[#This Row],[ActualResult]]), "_", IF(Table2[[#This Row],[ActualWinner]]=Table2[[#This Row],[PredictedWinner]], "Y", "N"))</f>
        <v>_</v>
      </c>
      <c r="P10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5" s="2"/>
      <c r="S1005" s="2" t="str">
        <f t="shared" si="81"/>
        <v>_</v>
      </c>
      <c r="T10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5" s="2">
        <f>IF(Table2[[#This Row],[InterConf]]=1,IF(Table2[[#This Row],[InterDiv]]=0, 1, 0), 0)</f>
        <v>0</v>
      </c>
      <c r="W10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5" s="2"/>
      <c r="Y1005" s="2"/>
      <c r="Z1005" s="145">
        <f>IF(AND(Table2[[#This Row],[GameIsOver]]=1,Table2[[#This Row],[ActualHomeScore]]*Table2[[#This Row],[ActualAwayScore]]=0), 1,0)</f>
        <v>0</v>
      </c>
      <c r="AA10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5" s="2">
        <f>Table2[[#This Row],[ActualAwayScore]]-Table2[[#This Row],[PredictedAwayScore]]</f>
        <v>0</v>
      </c>
      <c r="AG1005" s="2">
        <f>Table2[[#This Row],[ActualHomeScore]]-Table2[[#This Row],[PredictedHomeScore]]</f>
        <v>0</v>
      </c>
      <c r="AH1005" s="2">
        <f t="shared" si="82"/>
        <v>0</v>
      </c>
      <c r="AI1005" s="2">
        <f t="shared" si="83"/>
        <v>0</v>
      </c>
      <c r="AJ1005" s="2"/>
      <c r="AK1005" s="3"/>
      <c r="AL1005" s="2">
        <f>IF(Table2[[#This Row],[GameIsOver]]=0,0,IF(Table2[[#This Row],[ActualWinner]]=Table2[[#This Row],[AwayTeam]], 1, 0))</f>
        <v>0</v>
      </c>
      <c r="AM1005" s="2">
        <f>IF(Table2[[#This Row],[GameIsOver]]=0,0,IF(Table2[[#This Row],[ActualWinner]]=Table2[[#This Row],[HomeTeam]], 1, 0))</f>
        <v>0</v>
      </c>
      <c r="AN10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5" s="2" t="str">
        <f>INDEX(Sheet5!$B$2:$AG$33, MATCH(Table2[[#This Row],[AwayTeam]],Sheet5!$A$2:$A$33, 0), MATCH(Table2[[#This Row],[HomeTeam]],Sheet5!$A$2:$A$33, 0))</f>
        <v>0-0-0</v>
      </c>
      <c r="AP1005" s="2" t="str">
        <f>INDEX(Sheet5!$B$2:$AG$33, MATCH(Table2[[#This Row],[HomeTeam]],Sheet5!$A$2:$A$33, 0), MATCH(Table2[[#This Row],[AwayTeam]],Sheet5!$A$2:$A$33, 0))</f>
        <v>0-0-0</v>
      </c>
      <c r="AQ1005" s="2">
        <f>IF(Table2[[#This Row],[GameHasShutOut]], 1, 0)</f>
        <v>0</v>
      </c>
      <c r="AR1005" s="2">
        <f>IF(Table2[[#This Row],[ActualAwayScore]] + Table2[[#This Row],[ActualHomeScore]] &gt;= 10, 1, 0)</f>
        <v>0</v>
      </c>
      <c r="AS1005" s="2">
        <f>IF(ABS(Table2[[#This Row],[ActualAwayScore]]-Table2[[#This Row],[ActualHomeScore]])&gt;=5, 1, 0)</f>
        <v>0</v>
      </c>
      <c r="AT1005" s="2">
        <f>IF(Table2[[#This Row],[ActualAwayScore]] + Table2[[#This Row],[ActualHomeScore]] &lt;= 3, 1, 0)</f>
        <v>1</v>
      </c>
      <c r="AU1005" s="2"/>
      <c r="AV1005" s="2"/>
    </row>
    <row r="1006" spans="1:48" x14ac:dyDescent="0.25">
      <c r="A1006" s="3"/>
      <c r="B1006" s="3">
        <v>46089</v>
      </c>
      <c r="C1006" s="5">
        <v>2025021004</v>
      </c>
      <c r="D1006" s="2" t="s">
        <v>16</v>
      </c>
      <c r="E1006" s="2" t="s">
        <v>33</v>
      </c>
      <c r="F1006" s="2"/>
      <c r="G1006" s="2"/>
      <c r="H1006" s="2" t="str">
        <f t="shared" si="79"/>
        <v>_</v>
      </c>
      <c r="I1006" s="2"/>
      <c r="J1006" s="2"/>
      <c r="K1006" s="2"/>
      <c r="L1006" s="2" t="str">
        <f t="shared" si="80"/>
        <v>_</v>
      </c>
      <c r="M1006" s="2"/>
      <c r="N1006" s="2">
        <f>IF(ISBLANK(Table2[[#This Row],[ActualResult]]), 0, 1)</f>
        <v>0</v>
      </c>
      <c r="O1006" s="2" t="str">
        <f>IF(ISBLANK(Table2[[#This Row],[ActualResult]]), "_", IF(Table2[[#This Row],[ActualWinner]]=Table2[[#This Row],[PredictedWinner]], "Y", "N"))</f>
        <v>_</v>
      </c>
      <c r="P10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6" s="2"/>
      <c r="S1006" s="2" t="str">
        <f t="shared" si="81"/>
        <v>_</v>
      </c>
      <c r="T10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6" s="2">
        <f>IF(Table2[[#This Row],[InterConf]]=1,IF(Table2[[#This Row],[InterDiv]]=0, 1, 0), 0)</f>
        <v>0</v>
      </c>
      <c r="W10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6" s="2"/>
      <c r="Y1006" s="2"/>
      <c r="Z1006" s="145">
        <f>IF(AND(Table2[[#This Row],[GameIsOver]]=1,Table2[[#This Row],[ActualHomeScore]]*Table2[[#This Row],[ActualAwayScore]]=0), 1,0)</f>
        <v>0</v>
      </c>
      <c r="AA10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6" s="2">
        <f>Table2[[#This Row],[ActualAwayScore]]-Table2[[#This Row],[PredictedAwayScore]]</f>
        <v>0</v>
      </c>
      <c r="AG1006" s="2">
        <f>Table2[[#This Row],[ActualHomeScore]]-Table2[[#This Row],[PredictedHomeScore]]</f>
        <v>0</v>
      </c>
      <c r="AH1006" s="2">
        <f t="shared" si="82"/>
        <v>0</v>
      </c>
      <c r="AI1006" s="2">
        <f t="shared" si="83"/>
        <v>0</v>
      </c>
      <c r="AJ1006" s="2"/>
      <c r="AK1006" s="3"/>
      <c r="AL1006" s="2">
        <f>IF(Table2[[#This Row],[GameIsOver]]=0,0,IF(Table2[[#This Row],[ActualWinner]]=Table2[[#This Row],[AwayTeam]], 1, 0))</f>
        <v>0</v>
      </c>
      <c r="AM1006" s="2">
        <f>IF(Table2[[#This Row],[GameIsOver]]=0,0,IF(Table2[[#This Row],[ActualWinner]]=Table2[[#This Row],[HomeTeam]], 1, 0))</f>
        <v>0</v>
      </c>
      <c r="AN10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6" s="2" t="str">
        <f>INDEX(Sheet5!$B$2:$AG$33, MATCH(Table2[[#This Row],[AwayTeam]],Sheet5!$A$2:$A$33, 0), MATCH(Table2[[#This Row],[HomeTeam]],Sheet5!$A$2:$A$33, 0))</f>
        <v>0-0-0</v>
      </c>
      <c r="AP1006" s="2" t="str">
        <f>INDEX(Sheet5!$B$2:$AG$33, MATCH(Table2[[#This Row],[HomeTeam]],Sheet5!$A$2:$A$33, 0), MATCH(Table2[[#This Row],[AwayTeam]],Sheet5!$A$2:$A$33, 0))</f>
        <v>0-0-0</v>
      </c>
      <c r="AQ1006" s="2">
        <f>IF(Table2[[#This Row],[GameHasShutOut]], 1, 0)</f>
        <v>0</v>
      </c>
      <c r="AR1006" s="2">
        <f>IF(Table2[[#This Row],[ActualAwayScore]] + Table2[[#This Row],[ActualHomeScore]] &gt;= 10, 1, 0)</f>
        <v>0</v>
      </c>
      <c r="AS1006" s="2">
        <f>IF(ABS(Table2[[#This Row],[ActualAwayScore]]-Table2[[#This Row],[ActualHomeScore]])&gt;=5, 1, 0)</f>
        <v>0</v>
      </c>
      <c r="AT1006" s="2">
        <f>IF(Table2[[#This Row],[ActualAwayScore]] + Table2[[#This Row],[ActualHomeScore]] &lt;= 3, 1, 0)</f>
        <v>1</v>
      </c>
      <c r="AU1006" s="2"/>
      <c r="AV1006" s="2"/>
    </row>
    <row r="1007" spans="1:48" x14ac:dyDescent="0.25">
      <c r="A1007" s="3"/>
      <c r="B1007" s="3">
        <v>46089</v>
      </c>
      <c r="C1007" s="5">
        <v>2025021005</v>
      </c>
      <c r="D1007" s="2" t="s">
        <v>30</v>
      </c>
      <c r="E1007" s="2" t="s">
        <v>31</v>
      </c>
      <c r="F1007" s="2"/>
      <c r="G1007" s="2"/>
      <c r="H1007" s="2" t="str">
        <f t="shared" si="79"/>
        <v>_</v>
      </c>
      <c r="I1007" s="2"/>
      <c r="J1007" s="2"/>
      <c r="K1007" s="2"/>
      <c r="L1007" s="2" t="str">
        <f t="shared" si="80"/>
        <v>_</v>
      </c>
      <c r="M1007" s="2"/>
      <c r="N1007" s="2">
        <f>IF(ISBLANK(Table2[[#This Row],[ActualResult]]), 0, 1)</f>
        <v>0</v>
      </c>
      <c r="O1007" s="2" t="str">
        <f>IF(ISBLANK(Table2[[#This Row],[ActualResult]]), "_", IF(Table2[[#This Row],[ActualWinner]]=Table2[[#This Row],[PredictedWinner]], "Y", "N"))</f>
        <v>_</v>
      </c>
      <c r="P10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7" s="2"/>
      <c r="S1007" s="2" t="str">
        <f t="shared" si="81"/>
        <v>_</v>
      </c>
      <c r="T10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7" s="2">
        <f>IF(Table2[[#This Row],[InterConf]]=1,IF(Table2[[#This Row],[InterDiv]]=0, 1, 0), 0)</f>
        <v>1</v>
      </c>
      <c r="W10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7" s="2"/>
      <c r="Y1007" s="2"/>
      <c r="Z1007" s="145">
        <f>IF(AND(Table2[[#This Row],[GameIsOver]]=1,Table2[[#This Row],[ActualHomeScore]]*Table2[[#This Row],[ActualAwayScore]]=0), 1,0)</f>
        <v>0</v>
      </c>
      <c r="AA10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7" s="2">
        <f>Table2[[#This Row],[ActualAwayScore]]-Table2[[#This Row],[PredictedAwayScore]]</f>
        <v>0</v>
      </c>
      <c r="AG1007" s="2">
        <f>Table2[[#This Row],[ActualHomeScore]]-Table2[[#This Row],[PredictedHomeScore]]</f>
        <v>0</v>
      </c>
      <c r="AH1007" s="2">
        <f t="shared" si="82"/>
        <v>0</v>
      </c>
      <c r="AI1007" s="2">
        <f t="shared" si="83"/>
        <v>0</v>
      </c>
      <c r="AJ1007" s="2"/>
      <c r="AK1007" s="3"/>
      <c r="AL1007" s="2">
        <f>IF(Table2[[#This Row],[GameIsOver]]=0,0,IF(Table2[[#This Row],[ActualWinner]]=Table2[[#This Row],[AwayTeam]], 1, 0))</f>
        <v>0</v>
      </c>
      <c r="AM1007" s="2">
        <f>IF(Table2[[#This Row],[GameIsOver]]=0,0,IF(Table2[[#This Row],[ActualWinner]]=Table2[[#This Row],[HomeTeam]], 1, 0))</f>
        <v>0</v>
      </c>
      <c r="AN10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7" s="2" t="str">
        <f>INDEX(Sheet5!$B$2:$AG$33, MATCH(Table2[[#This Row],[AwayTeam]],Sheet5!$A$2:$A$33, 0), MATCH(Table2[[#This Row],[HomeTeam]],Sheet5!$A$2:$A$33, 0))</f>
        <v>0-0-0</v>
      </c>
      <c r="AP1007" s="2" t="str">
        <f>INDEX(Sheet5!$B$2:$AG$33, MATCH(Table2[[#This Row],[HomeTeam]],Sheet5!$A$2:$A$33, 0), MATCH(Table2[[#This Row],[AwayTeam]],Sheet5!$A$2:$A$33, 0))</f>
        <v>0-0-0</v>
      </c>
      <c r="AQ1007" s="2">
        <f>IF(Table2[[#This Row],[GameHasShutOut]], 1, 0)</f>
        <v>0</v>
      </c>
      <c r="AR1007" s="2">
        <f>IF(Table2[[#This Row],[ActualAwayScore]] + Table2[[#This Row],[ActualHomeScore]] &gt;= 10, 1, 0)</f>
        <v>0</v>
      </c>
      <c r="AS1007" s="2">
        <f>IF(ABS(Table2[[#This Row],[ActualAwayScore]]-Table2[[#This Row],[ActualHomeScore]])&gt;=5, 1, 0)</f>
        <v>0</v>
      </c>
      <c r="AT1007" s="2">
        <f>IF(Table2[[#This Row],[ActualAwayScore]] + Table2[[#This Row],[ActualHomeScore]] &lt;= 3, 1, 0)</f>
        <v>1</v>
      </c>
      <c r="AU1007" s="2"/>
      <c r="AV1007" s="2"/>
    </row>
    <row r="1008" spans="1:48" x14ac:dyDescent="0.25">
      <c r="A1008" s="3"/>
      <c r="B1008" s="3">
        <v>46090</v>
      </c>
      <c r="C1008" s="5">
        <v>2025021006</v>
      </c>
      <c r="D1008" s="2" t="s">
        <v>12</v>
      </c>
      <c r="E1008" s="2" t="s">
        <v>44</v>
      </c>
      <c r="F1008" s="2"/>
      <c r="G1008" s="2"/>
      <c r="H1008" s="2" t="str">
        <f t="shared" si="79"/>
        <v>_</v>
      </c>
      <c r="I1008" s="2"/>
      <c r="J1008" s="2"/>
      <c r="K1008" s="2"/>
      <c r="L1008" s="2" t="str">
        <f t="shared" si="80"/>
        <v>_</v>
      </c>
      <c r="M1008" s="2"/>
      <c r="N1008" s="2">
        <f>IF(ISBLANK(Table2[[#This Row],[ActualResult]]), 0, 1)</f>
        <v>0</v>
      </c>
      <c r="O1008" s="2" t="str">
        <f>IF(ISBLANK(Table2[[#This Row],[ActualResult]]), "_", IF(Table2[[#This Row],[ActualWinner]]=Table2[[#This Row],[PredictedWinner]], "Y", "N"))</f>
        <v>_</v>
      </c>
      <c r="P10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8" s="2"/>
      <c r="S1008" s="2" t="str">
        <f t="shared" si="81"/>
        <v>_</v>
      </c>
      <c r="T10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8" s="2">
        <f>IF(Table2[[#This Row],[InterConf]]=1,IF(Table2[[#This Row],[InterDiv]]=0, 1, 0), 0)</f>
        <v>1</v>
      </c>
      <c r="W10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8" s="2"/>
      <c r="Y1008" s="2"/>
      <c r="Z1008" s="145">
        <f>IF(AND(Table2[[#This Row],[GameIsOver]]=1,Table2[[#This Row],[ActualHomeScore]]*Table2[[#This Row],[ActualAwayScore]]=0), 1,0)</f>
        <v>0</v>
      </c>
      <c r="AA10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08" s="2">
        <f>Table2[[#This Row],[ActualAwayScore]]-Table2[[#This Row],[PredictedAwayScore]]</f>
        <v>0</v>
      </c>
      <c r="AG1008" s="2">
        <f>Table2[[#This Row],[ActualHomeScore]]-Table2[[#This Row],[PredictedHomeScore]]</f>
        <v>0</v>
      </c>
      <c r="AH1008" s="2">
        <f t="shared" si="82"/>
        <v>0</v>
      </c>
      <c r="AI1008" s="2">
        <f t="shared" si="83"/>
        <v>0</v>
      </c>
      <c r="AJ1008" s="2"/>
      <c r="AK1008" s="3"/>
      <c r="AL1008" s="2">
        <f>IF(Table2[[#This Row],[GameIsOver]]=0,0,IF(Table2[[#This Row],[ActualWinner]]=Table2[[#This Row],[AwayTeam]], 1, 0))</f>
        <v>0</v>
      </c>
      <c r="AM1008" s="2">
        <f>IF(Table2[[#This Row],[GameIsOver]]=0,0,IF(Table2[[#This Row],[ActualWinner]]=Table2[[#This Row],[HomeTeam]], 1, 0))</f>
        <v>0</v>
      </c>
      <c r="AN10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8" s="2" t="str">
        <f>INDEX(Sheet5!$B$2:$AG$33, MATCH(Table2[[#This Row],[AwayTeam]],Sheet5!$A$2:$A$33, 0), MATCH(Table2[[#This Row],[HomeTeam]],Sheet5!$A$2:$A$33, 0))</f>
        <v>0-0-0</v>
      </c>
      <c r="AP1008" s="2" t="str">
        <f>INDEX(Sheet5!$B$2:$AG$33, MATCH(Table2[[#This Row],[HomeTeam]],Sheet5!$A$2:$A$33, 0), MATCH(Table2[[#This Row],[AwayTeam]],Sheet5!$A$2:$A$33, 0))</f>
        <v>0-0-0</v>
      </c>
      <c r="AQ1008" s="2">
        <f>IF(Table2[[#This Row],[GameHasShutOut]], 1, 0)</f>
        <v>0</v>
      </c>
      <c r="AR1008" s="2">
        <f>IF(Table2[[#This Row],[ActualAwayScore]] + Table2[[#This Row],[ActualHomeScore]] &gt;= 10, 1, 0)</f>
        <v>0</v>
      </c>
      <c r="AS1008" s="2">
        <f>IF(ABS(Table2[[#This Row],[ActualAwayScore]]-Table2[[#This Row],[ActualHomeScore]])&gt;=5, 1, 0)</f>
        <v>0</v>
      </c>
      <c r="AT1008" s="2">
        <f>IF(Table2[[#This Row],[ActualAwayScore]] + Table2[[#This Row],[ActualHomeScore]] &lt;= 3, 1, 0)</f>
        <v>1</v>
      </c>
      <c r="AU1008" s="2"/>
      <c r="AV1008" s="2"/>
    </row>
    <row r="1009" spans="1:48" x14ac:dyDescent="0.25">
      <c r="A1009" s="3"/>
      <c r="B1009" s="3">
        <v>46090</v>
      </c>
      <c r="C1009" s="5">
        <v>2025021007</v>
      </c>
      <c r="D1009" s="2" t="s">
        <v>22</v>
      </c>
      <c r="E1009" s="2" t="s">
        <v>26</v>
      </c>
      <c r="F1009" s="2"/>
      <c r="G1009" s="2"/>
      <c r="H1009" s="2" t="str">
        <f t="shared" si="79"/>
        <v>_</v>
      </c>
      <c r="I1009" s="2"/>
      <c r="J1009" s="2"/>
      <c r="K1009" s="2"/>
      <c r="L1009" s="2" t="str">
        <f t="shared" si="80"/>
        <v>_</v>
      </c>
      <c r="M1009" s="2"/>
      <c r="N1009" s="2">
        <f>IF(ISBLANK(Table2[[#This Row],[ActualResult]]), 0, 1)</f>
        <v>0</v>
      </c>
      <c r="O1009" s="2" t="str">
        <f>IF(ISBLANK(Table2[[#This Row],[ActualResult]]), "_", IF(Table2[[#This Row],[ActualWinner]]=Table2[[#This Row],[PredictedWinner]], "Y", "N"))</f>
        <v>_</v>
      </c>
      <c r="P10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9" s="2"/>
      <c r="S1009" s="2" t="str">
        <f t="shared" si="81"/>
        <v>_</v>
      </c>
      <c r="T10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9" s="2">
        <f>IF(Table2[[#This Row],[InterConf]]=1,IF(Table2[[#This Row],[InterDiv]]=0, 1, 0), 0)</f>
        <v>0</v>
      </c>
      <c r="W10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9" s="2"/>
      <c r="Y1009" s="2"/>
      <c r="Z1009" s="145">
        <f>IF(AND(Table2[[#This Row],[GameIsOver]]=1,Table2[[#This Row],[ActualHomeScore]]*Table2[[#This Row],[ActualAwayScore]]=0), 1,0)</f>
        <v>0</v>
      </c>
      <c r="AA10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09" s="2">
        <f>Table2[[#This Row],[ActualAwayScore]]-Table2[[#This Row],[PredictedAwayScore]]</f>
        <v>0</v>
      </c>
      <c r="AG1009" s="2">
        <f>Table2[[#This Row],[ActualHomeScore]]-Table2[[#This Row],[PredictedHomeScore]]</f>
        <v>0</v>
      </c>
      <c r="AH1009" s="2">
        <f t="shared" si="82"/>
        <v>0</v>
      </c>
      <c r="AI1009" s="2">
        <f t="shared" si="83"/>
        <v>0</v>
      </c>
      <c r="AJ1009" s="2"/>
      <c r="AK1009" s="3"/>
      <c r="AL1009" s="2">
        <f>IF(Table2[[#This Row],[GameIsOver]]=0,0,IF(Table2[[#This Row],[ActualWinner]]=Table2[[#This Row],[AwayTeam]], 1, 0))</f>
        <v>0</v>
      </c>
      <c r="AM1009" s="2">
        <f>IF(Table2[[#This Row],[GameIsOver]]=0,0,IF(Table2[[#This Row],[ActualWinner]]=Table2[[#This Row],[HomeTeam]], 1, 0))</f>
        <v>0</v>
      </c>
      <c r="AN10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9" s="2" t="str">
        <f>INDEX(Sheet5!$B$2:$AG$33, MATCH(Table2[[#This Row],[AwayTeam]],Sheet5!$A$2:$A$33, 0), MATCH(Table2[[#This Row],[HomeTeam]],Sheet5!$A$2:$A$33, 0))</f>
        <v>0-0-0</v>
      </c>
      <c r="AP1009" s="2" t="str">
        <f>INDEX(Sheet5!$B$2:$AG$33, MATCH(Table2[[#This Row],[HomeTeam]],Sheet5!$A$2:$A$33, 0), MATCH(Table2[[#This Row],[AwayTeam]],Sheet5!$A$2:$A$33, 0))</f>
        <v>0-0-0</v>
      </c>
      <c r="AQ1009" s="2">
        <f>IF(Table2[[#This Row],[GameHasShutOut]], 1, 0)</f>
        <v>0</v>
      </c>
      <c r="AR1009" s="2">
        <f>IF(Table2[[#This Row],[ActualAwayScore]] + Table2[[#This Row],[ActualHomeScore]] &gt;= 10, 1, 0)</f>
        <v>0</v>
      </c>
      <c r="AS1009" s="2">
        <f>IF(ABS(Table2[[#This Row],[ActualAwayScore]]-Table2[[#This Row],[ActualHomeScore]])&gt;=5, 1, 0)</f>
        <v>0</v>
      </c>
      <c r="AT1009" s="2">
        <f>IF(Table2[[#This Row],[ActualAwayScore]] + Table2[[#This Row],[ActualHomeScore]] &lt;= 3, 1, 0)</f>
        <v>1</v>
      </c>
      <c r="AU1009" s="2"/>
      <c r="AV1009" s="2"/>
    </row>
    <row r="1010" spans="1:48" x14ac:dyDescent="0.25">
      <c r="A1010" s="3"/>
      <c r="B1010" s="3">
        <v>46090</v>
      </c>
      <c r="C1010" s="5">
        <v>2025021008</v>
      </c>
      <c r="D1010" s="2" t="s">
        <v>19</v>
      </c>
      <c r="E1010" s="2" t="s">
        <v>42</v>
      </c>
      <c r="F1010" s="2"/>
      <c r="G1010" s="2"/>
      <c r="H1010" s="2" t="str">
        <f t="shared" si="79"/>
        <v>_</v>
      </c>
      <c r="I1010" s="2"/>
      <c r="J1010" s="2"/>
      <c r="K1010" s="2"/>
      <c r="L1010" s="2" t="str">
        <f t="shared" si="80"/>
        <v>_</v>
      </c>
      <c r="M1010" s="2"/>
      <c r="N1010" s="2">
        <f>IF(ISBLANK(Table2[[#This Row],[ActualResult]]), 0, 1)</f>
        <v>0</v>
      </c>
      <c r="O1010" s="2" t="str">
        <f>IF(ISBLANK(Table2[[#This Row],[ActualResult]]), "_", IF(Table2[[#This Row],[ActualWinner]]=Table2[[#This Row],[PredictedWinner]], "Y", "N"))</f>
        <v>_</v>
      </c>
      <c r="P10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0" s="2"/>
      <c r="S1010" s="2" t="str">
        <f t="shared" si="81"/>
        <v>_</v>
      </c>
      <c r="T10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0" s="2">
        <f>IF(Table2[[#This Row],[InterConf]]=1,IF(Table2[[#This Row],[InterDiv]]=0, 1, 0), 0)</f>
        <v>0</v>
      </c>
      <c r="W10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0" s="2"/>
      <c r="Y1010" s="2"/>
      <c r="Z1010" s="145">
        <f>IF(AND(Table2[[#This Row],[GameIsOver]]=1,Table2[[#This Row],[ActualHomeScore]]*Table2[[#This Row],[ActualAwayScore]]=0), 1,0)</f>
        <v>0</v>
      </c>
      <c r="AA10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10" s="2">
        <f>Table2[[#This Row],[ActualAwayScore]]-Table2[[#This Row],[PredictedAwayScore]]</f>
        <v>0</v>
      </c>
      <c r="AG1010" s="2">
        <f>Table2[[#This Row],[ActualHomeScore]]-Table2[[#This Row],[PredictedHomeScore]]</f>
        <v>0</v>
      </c>
      <c r="AH1010" s="2">
        <f t="shared" si="82"/>
        <v>0</v>
      </c>
      <c r="AI1010" s="2">
        <f t="shared" si="83"/>
        <v>0</v>
      </c>
      <c r="AJ1010" s="2"/>
      <c r="AK1010" s="3"/>
      <c r="AL1010" s="2">
        <f>IF(Table2[[#This Row],[GameIsOver]]=0,0,IF(Table2[[#This Row],[ActualWinner]]=Table2[[#This Row],[AwayTeam]], 1, 0))</f>
        <v>0</v>
      </c>
      <c r="AM1010" s="2">
        <f>IF(Table2[[#This Row],[GameIsOver]]=0,0,IF(Table2[[#This Row],[ActualWinner]]=Table2[[#This Row],[HomeTeam]], 1, 0))</f>
        <v>0</v>
      </c>
      <c r="AN10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0" s="2" t="str">
        <f>INDEX(Sheet5!$B$2:$AG$33, MATCH(Table2[[#This Row],[AwayTeam]],Sheet5!$A$2:$A$33, 0), MATCH(Table2[[#This Row],[HomeTeam]],Sheet5!$A$2:$A$33, 0))</f>
        <v>0-0-0</v>
      </c>
      <c r="AP1010" s="2" t="str">
        <f>INDEX(Sheet5!$B$2:$AG$33, MATCH(Table2[[#This Row],[HomeTeam]],Sheet5!$A$2:$A$33, 0), MATCH(Table2[[#This Row],[AwayTeam]],Sheet5!$A$2:$A$33, 0))</f>
        <v>0-0-0</v>
      </c>
      <c r="AQ1010" s="2">
        <f>IF(Table2[[#This Row],[GameHasShutOut]], 1, 0)</f>
        <v>0</v>
      </c>
      <c r="AR1010" s="2">
        <f>IF(Table2[[#This Row],[ActualAwayScore]] + Table2[[#This Row],[ActualHomeScore]] &gt;= 10, 1, 0)</f>
        <v>0</v>
      </c>
      <c r="AS1010" s="2">
        <f>IF(ABS(Table2[[#This Row],[ActualAwayScore]]-Table2[[#This Row],[ActualHomeScore]])&gt;=5, 1, 0)</f>
        <v>0</v>
      </c>
      <c r="AT1010" s="2">
        <f>IF(Table2[[#This Row],[ActualAwayScore]] + Table2[[#This Row],[ActualHomeScore]] &lt;= 3, 1, 0)</f>
        <v>1</v>
      </c>
      <c r="AU1010" s="2"/>
      <c r="AV1010" s="2"/>
    </row>
    <row r="1011" spans="1:48" x14ac:dyDescent="0.25">
      <c r="A1011" s="3"/>
      <c r="B1011" s="3">
        <v>46090</v>
      </c>
      <c r="C1011" s="5">
        <v>2025021009</v>
      </c>
      <c r="D1011" s="2" t="s">
        <v>23</v>
      </c>
      <c r="E1011" s="2" t="s">
        <v>43</v>
      </c>
      <c r="F1011" s="2"/>
      <c r="G1011" s="2"/>
      <c r="H1011" s="2" t="str">
        <f t="shared" si="79"/>
        <v>_</v>
      </c>
      <c r="I1011" s="2"/>
      <c r="J1011" s="2"/>
      <c r="K1011" s="2"/>
      <c r="L1011" s="2" t="str">
        <f t="shared" si="80"/>
        <v>_</v>
      </c>
      <c r="M1011" s="2"/>
      <c r="N1011" s="2">
        <f>IF(ISBLANK(Table2[[#This Row],[ActualResult]]), 0, 1)</f>
        <v>0</v>
      </c>
      <c r="O1011" s="2" t="str">
        <f>IF(ISBLANK(Table2[[#This Row],[ActualResult]]), "_", IF(Table2[[#This Row],[ActualWinner]]=Table2[[#This Row],[PredictedWinner]], "Y", "N"))</f>
        <v>_</v>
      </c>
      <c r="P10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1" s="2"/>
      <c r="S1011" s="2" t="str">
        <f t="shared" si="81"/>
        <v>_</v>
      </c>
      <c r="T10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1" s="2">
        <f>IF(Table2[[#This Row],[InterConf]]=1,IF(Table2[[#This Row],[InterDiv]]=0, 1, 0), 0)</f>
        <v>0</v>
      </c>
      <c r="W10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1" s="2"/>
      <c r="Y1011" s="2"/>
      <c r="Z1011" s="145">
        <f>IF(AND(Table2[[#This Row],[GameIsOver]]=1,Table2[[#This Row],[ActualHomeScore]]*Table2[[#This Row],[ActualAwayScore]]=0), 1,0)</f>
        <v>0</v>
      </c>
      <c r="AA10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11" s="2">
        <f>Table2[[#This Row],[ActualAwayScore]]-Table2[[#This Row],[PredictedAwayScore]]</f>
        <v>0</v>
      </c>
      <c r="AG1011" s="2">
        <f>Table2[[#This Row],[ActualHomeScore]]-Table2[[#This Row],[PredictedHomeScore]]</f>
        <v>0</v>
      </c>
      <c r="AH1011" s="2">
        <f t="shared" si="82"/>
        <v>0</v>
      </c>
      <c r="AI1011" s="2">
        <f t="shared" si="83"/>
        <v>0</v>
      </c>
      <c r="AJ1011" s="2"/>
      <c r="AK1011" s="3"/>
      <c r="AL1011" s="2">
        <f>IF(Table2[[#This Row],[GameIsOver]]=0,0,IF(Table2[[#This Row],[ActualWinner]]=Table2[[#This Row],[AwayTeam]], 1, 0))</f>
        <v>0</v>
      </c>
      <c r="AM1011" s="2">
        <f>IF(Table2[[#This Row],[GameIsOver]]=0,0,IF(Table2[[#This Row],[ActualWinner]]=Table2[[#This Row],[HomeTeam]], 1, 0))</f>
        <v>0</v>
      </c>
      <c r="AN10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1" s="2" t="str">
        <f>INDEX(Sheet5!$B$2:$AG$33, MATCH(Table2[[#This Row],[AwayTeam]],Sheet5!$A$2:$A$33, 0), MATCH(Table2[[#This Row],[HomeTeam]],Sheet5!$A$2:$A$33, 0))</f>
        <v>0-0-0</v>
      </c>
      <c r="AP1011" s="2" t="str">
        <f>INDEX(Sheet5!$B$2:$AG$33, MATCH(Table2[[#This Row],[HomeTeam]],Sheet5!$A$2:$A$33, 0), MATCH(Table2[[#This Row],[AwayTeam]],Sheet5!$A$2:$A$33, 0))</f>
        <v>0-0-0</v>
      </c>
      <c r="AQ1011" s="2">
        <f>IF(Table2[[#This Row],[GameHasShutOut]], 1, 0)</f>
        <v>0</v>
      </c>
      <c r="AR1011" s="2">
        <f>IF(Table2[[#This Row],[ActualAwayScore]] + Table2[[#This Row],[ActualHomeScore]] &gt;= 10, 1, 0)</f>
        <v>0</v>
      </c>
      <c r="AS1011" s="2">
        <f>IF(ABS(Table2[[#This Row],[ActualAwayScore]]-Table2[[#This Row],[ActualHomeScore]])&gt;=5, 1, 0)</f>
        <v>0</v>
      </c>
      <c r="AT1011" s="2">
        <f>IF(Table2[[#This Row],[ActualAwayScore]] + Table2[[#This Row],[ActualHomeScore]] &lt;= 3, 1, 0)</f>
        <v>1</v>
      </c>
      <c r="AU1011" s="2"/>
      <c r="AV1011" s="2"/>
    </row>
    <row r="1012" spans="1:48" x14ac:dyDescent="0.25">
      <c r="A1012" s="3"/>
      <c r="B1012" s="3">
        <v>46091</v>
      </c>
      <c r="C1012" s="5">
        <v>2025021010</v>
      </c>
      <c r="D1012" s="2" t="s">
        <v>14</v>
      </c>
      <c r="E1012" s="2" t="s">
        <v>16</v>
      </c>
      <c r="F1012" s="2"/>
      <c r="G1012" s="2"/>
      <c r="H1012" s="2" t="str">
        <f t="shared" si="79"/>
        <v>_</v>
      </c>
      <c r="I1012" s="2"/>
      <c r="J1012" s="2"/>
      <c r="K1012" s="2"/>
      <c r="L1012" s="2" t="str">
        <f t="shared" si="80"/>
        <v>_</v>
      </c>
      <c r="M1012" s="2"/>
      <c r="N1012" s="2">
        <f>IF(ISBLANK(Table2[[#This Row],[ActualResult]]), 0, 1)</f>
        <v>0</v>
      </c>
      <c r="O1012" s="2" t="str">
        <f>IF(ISBLANK(Table2[[#This Row],[ActualResult]]), "_", IF(Table2[[#This Row],[ActualWinner]]=Table2[[#This Row],[PredictedWinner]], "Y", "N"))</f>
        <v>_</v>
      </c>
      <c r="P10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2" s="2"/>
      <c r="S1012" s="2" t="str">
        <f t="shared" si="81"/>
        <v>_</v>
      </c>
      <c r="T10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2" s="2">
        <f>IF(Table2[[#This Row],[InterConf]]=1,IF(Table2[[#This Row],[InterDiv]]=0, 1, 0), 0)</f>
        <v>0</v>
      </c>
      <c r="W10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2" s="2"/>
      <c r="Y1012" s="2"/>
      <c r="Z1012" s="145">
        <f>IF(AND(Table2[[#This Row],[GameIsOver]]=1,Table2[[#This Row],[ActualHomeScore]]*Table2[[#This Row],[ActualAwayScore]]=0), 1,0)</f>
        <v>0</v>
      </c>
      <c r="AA10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2" s="2">
        <f>Table2[[#This Row],[ActualAwayScore]]-Table2[[#This Row],[PredictedAwayScore]]</f>
        <v>0</v>
      </c>
      <c r="AG1012" s="2">
        <f>Table2[[#This Row],[ActualHomeScore]]-Table2[[#This Row],[PredictedHomeScore]]</f>
        <v>0</v>
      </c>
      <c r="AH1012" s="2">
        <f t="shared" si="82"/>
        <v>0</v>
      </c>
      <c r="AI1012" s="2">
        <f t="shared" si="83"/>
        <v>0</v>
      </c>
      <c r="AJ1012" s="2"/>
      <c r="AK1012" s="3"/>
      <c r="AL1012" s="2">
        <f>IF(Table2[[#This Row],[GameIsOver]]=0,0,IF(Table2[[#This Row],[ActualWinner]]=Table2[[#This Row],[AwayTeam]], 1, 0))</f>
        <v>0</v>
      </c>
      <c r="AM1012" s="2">
        <f>IF(Table2[[#This Row],[GameIsOver]]=0,0,IF(Table2[[#This Row],[ActualWinner]]=Table2[[#This Row],[HomeTeam]], 1, 0))</f>
        <v>0</v>
      </c>
      <c r="AN10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2" s="2" t="str">
        <f>INDEX(Sheet5!$B$2:$AG$33, MATCH(Table2[[#This Row],[AwayTeam]],Sheet5!$A$2:$A$33, 0), MATCH(Table2[[#This Row],[HomeTeam]],Sheet5!$A$2:$A$33, 0))</f>
        <v>0-1-0</v>
      </c>
      <c r="AP1012" s="2" t="str">
        <f>INDEX(Sheet5!$B$2:$AG$33, MATCH(Table2[[#This Row],[HomeTeam]],Sheet5!$A$2:$A$33, 0), MATCH(Table2[[#This Row],[AwayTeam]],Sheet5!$A$2:$A$33, 0))</f>
        <v>1-0-0</v>
      </c>
      <c r="AQ1012" s="2">
        <f>IF(Table2[[#This Row],[GameHasShutOut]], 1, 0)</f>
        <v>0</v>
      </c>
      <c r="AR1012" s="2">
        <f>IF(Table2[[#This Row],[ActualAwayScore]] + Table2[[#This Row],[ActualHomeScore]] &gt;= 10, 1, 0)</f>
        <v>0</v>
      </c>
      <c r="AS1012" s="2">
        <f>IF(ABS(Table2[[#This Row],[ActualAwayScore]]-Table2[[#This Row],[ActualHomeScore]])&gt;=5, 1, 0)</f>
        <v>0</v>
      </c>
      <c r="AT1012" s="2">
        <f>IF(Table2[[#This Row],[ActualAwayScore]] + Table2[[#This Row],[ActualHomeScore]] &lt;= 3, 1, 0)</f>
        <v>1</v>
      </c>
      <c r="AU1012" s="2"/>
      <c r="AV1012" s="2"/>
    </row>
    <row r="1013" spans="1:48" x14ac:dyDescent="0.25">
      <c r="A1013" s="3"/>
      <c r="B1013" s="3">
        <v>46091</v>
      </c>
      <c r="C1013" s="5">
        <v>2025021011</v>
      </c>
      <c r="D1013" s="2" t="s">
        <v>29</v>
      </c>
      <c r="E1013" s="2" t="s">
        <v>24</v>
      </c>
      <c r="F1013" s="2"/>
      <c r="G1013" s="2"/>
      <c r="H1013" s="2" t="str">
        <f t="shared" si="79"/>
        <v>_</v>
      </c>
      <c r="I1013" s="2"/>
      <c r="J1013" s="2"/>
      <c r="K1013" s="2"/>
      <c r="L1013" s="2" t="str">
        <f t="shared" si="80"/>
        <v>_</v>
      </c>
      <c r="M1013" s="2"/>
      <c r="N1013" s="2">
        <f>IF(ISBLANK(Table2[[#This Row],[ActualResult]]), 0, 1)</f>
        <v>0</v>
      </c>
      <c r="O1013" s="2" t="str">
        <f>IF(ISBLANK(Table2[[#This Row],[ActualResult]]), "_", IF(Table2[[#This Row],[ActualWinner]]=Table2[[#This Row],[PredictedWinner]], "Y", "N"))</f>
        <v>_</v>
      </c>
      <c r="P10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3" s="2"/>
      <c r="S1013" s="2" t="str">
        <f t="shared" si="81"/>
        <v>_</v>
      </c>
      <c r="T10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3" s="2">
        <f>IF(Table2[[#This Row],[InterConf]]=1,IF(Table2[[#This Row],[InterDiv]]=0, 1, 0), 0)</f>
        <v>0</v>
      </c>
      <c r="W10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3" s="2"/>
      <c r="Y1013" s="2"/>
      <c r="Z1013" s="145">
        <f>IF(AND(Table2[[#This Row],[GameIsOver]]=1,Table2[[#This Row],[ActualHomeScore]]*Table2[[#This Row],[ActualAwayScore]]=0), 1,0)</f>
        <v>0</v>
      </c>
      <c r="AA10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3" s="2">
        <f>Table2[[#This Row],[ActualAwayScore]]-Table2[[#This Row],[PredictedAwayScore]]</f>
        <v>0</v>
      </c>
      <c r="AG1013" s="2">
        <f>Table2[[#This Row],[ActualHomeScore]]-Table2[[#This Row],[PredictedHomeScore]]</f>
        <v>0</v>
      </c>
      <c r="AH1013" s="2">
        <f t="shared" si="82"/>
        <v>0</v>
      </c>
      <c r="AI1013" s="2">
        <f t="shared" si="83"/>
        <v>0</v>
      </c>
      <c r="AJ1013" s="2"/>
      <c r="AK1013" s="3"/>
      <c r="AL1013" s="2">
        <f>IF(Table2[[#This Row],[GameIsOver]]=0,0,IF(Table2[[#This Row],[ActualWinner]]=Table2[[#This Row],[AwayTeam]], 1, 0))</f>
        <v>0</v>
      </c>
      <c r="AM1013" s="2">
        <f>IF(Table2[[#This Row],[GameIsOver]]=0,0,IF(Table2[[#This Row],[ActualWinner]]=Table2[[#This Row],[HomeTeam]], 1, 0))</f>
        <v>0</v>
      </c>
      <c r="AN10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3" s="2" t="str">
        <f>INDEX(Sheet5!$B$2:$AG$33, MATCH(Table2[[#This Row],[AwayTeam]],Sheet5!$A$2:$A$33, 0), MATCH(Table2[[#This Row],[HomeTeam]],Sheet5!$A$2:$A$33, 0))</f>
        <v>0-0-0</v>
      </c>
      <c r="AP1013" s="2" t="str">
        <f>INDEX(Sheet5!$B$2:$AG$33, MATCH(Table2[[#This Row],[HomeTeam]],Sheet5!$A$2:$A$33, 0), MATCH(Table2[[#This Row],[AwayTeam]],Sheet5!$A$2:$A$33, 0))</f>
        <v>0-0-0</v>
      </c>
      <c r="AQ1013" s="2">
        <f>IF(Table2[[#This Row],[GameHasShutOut]], 1, 0)</f>
        <v>0</v>
      </c>
      <c r="AR1013" s="2">
        <f>IF(Table2[[#This Row],[ActualAwayScore]] + Table2[[#This Row],[ActualHomeScore]] &gt;= 10, 1, 0)</f>
        <v>0</v>
      </c>
      <c r="AS1013" s="2">
        <f>IF(ABS(Table2[[#This Row],[ActualAwayScore]]-Table2[[#This Row],[ActualHomeScore]])&gt;=5, 1, 0)</f>
        <v>0</v>
      </c>
      <c r="AT1013" s="2">
        <f>IF(Table2[[#This Row],[ActualAwayScore]] + Table2[[#This Row],[ActualHomeScore]] &lt;= 3, 1, 0)</f>
        <v>1</v>
      </c>
      <c r="AU1013" s="2"/>
      <c r="AV1013" s="2"/>
    </row>
    <row r="1014" spans="1:48" x14ac:dyDescent="0.25">
      <c r="A1014" s="3"/>
      <c r="B1014" s="3">
        <v>46091</v>
      </c>
      <c r="C1014" s="5">
        <v>2025021012</v>
      </c>
      <c r="D1014" s="2" t="s">
        <v>27</v>
      </c>
      <c r="E1014" s="2" t="s">
        <v>15</v>
      </c>
      <c r="F1014" s="2"/>
      <c r="G1014" s="2"/>
      <c r="H1014" s="2" t="str">
        <f t="shared" si="79"/>
        <v>_</v>
      </c>
      <c r="I1014" s="2"/>
      <c r="J1014" s="2"/>
      <c r="K1014" s="2"/>
      <c r="L1014" s="2" t="str">
        <f t="shared" si="80"/>
        <v>_</v>
      </c>
      <c r="M1014" s="2"/>
      <c r="N1014" s="2">
        <f>IF(ISBLANK(Table2[[#This Row],[ActualResult]]), 0, 1)</f>
        <v>0</v>
      </c>
      <c r="O1014" s="2" t="str">
        <f>IF(ISBLANK(Table2[[#This Row],[ActualResult]]), "_", IF(Table2[[#This Row],[ActualWinner]]=Table2[[#This Row],[PredictedWinner]], "Y", "N"))</f>
        <v>_</v>
      </c>
      <c r="P10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4" s="2"/>
      <c r="S1014" s="2" t="str">
        <f t="shared" si="81"/>
        <v>_</v>
      </c>
      <c r="T10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4" s="2">
        <f>IF(Table2[[#This Row],[InterConf]]=1,IF(Table2[[#This Row],[InterDiv]]=0, 1, 0), 0)</f>
        <v>0</v>
      </c>
      <c r="W10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4" s="2"/>
      <c r="Y1014" s="2"/>
      <c r="Z1014" s="145">
        <f>IF(AND(Table2[[#This Row],[GameIsOver]]=1,Table2[[#This Row],[ActualHomeScore]]*Table2[[#This Row],[ActualAwayScore]]=0), 1,0)</f>
        <v>0</v>
      </c>
      <c r="AA10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4" s="2">
        <f>Table2[[#This Row],[ActualAwayScore]]-Table2[[#This Row],[PredictedAwayScore]]</f>
        <v>0</v>
      </c>
      <c r="AG1014" s="2">
        <f>Table2[[#This Row],[ActualHomeScore]]-Table2[[#This Row],[PredictedHomeScore]]</f>
        <v>0</v>
      </c>
      <c r="AH1014" s="2">
        <f t="shared" si="82"/>
        <v>0</v>
      </c>
      <c r="AI1014" s="2">
        <f t="shared" si="83"/>
        <v>0</v>
      </c>
      <c r="AJ1014" s="2"/>
      <c r="AK1014" s="3"/>
      <c r="AL1014" s="2">
        <f>IF(Table2[[#This Row],[GameIsOver]]=0,0,IF(Table2[[#This Row],[ActualWinner]]=Table2[[#This Row],[AwayTeam]], 1, 0))</f>
        <v>0</v>
      </c>
      <c r="AM1014" s="2">
        <f>IF(Table2[[#This Row],[GameIsOver]]=0,0,IF(Table2[[#This Row],[ActualWinner]]=Table2[[#This Row],[HomeTeam]], 1, 0))</f>
        <v>0</v>
      </c>
      <c r="AN1014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14" s="2" t="str">
        <f>INDEX(Sheet5!$B$2:$AG$33, MATCH(Table2[[#This Row],[AwayTeam]],Sheet5!$A$2:$A$33, 0), MATCH(Table2[[#This Row],[HomeTeam]],Sheet5!$A$2:$A$33, 0))</f>
        <v>0-0-0</v>
      </c>
      <c r="AP1014" s="2" t="str">
        <f>INDEX(Sheet5!$B$2:$AG$33, MATCH(Table2[[#This Row],[HomeTeam]],Sheet5!$A$2:$A$33, 0), MATCH(Table2[[#This Row],[AwayTeam]],Sheet5!$A$2:$A$33, 0))</f>
        <v>0-0-0</v>
      </c>
      <c r="AQ1014" s="2">
        <f>IF(Table2[[#This Row],[GameHasShutOut]], 1, 0)</f>
        <v>0</v>
      </c>
      <c r="AR1014" s="2">
        <f>IF(Table2[[#This Row],[ActualAwayScore]] + Table2[[#This Row],[ActualHomeScore]] &gt;= 10, 1, 0)</f>
        <v>0</v>
      </c>
      <c r="AS1014" s="2">
        <f>IF(ABS(Table2[[#This Row],[ActualAwayScore]]-Table2[[#This Row],[ActualHomeScore]])&gt;=5, 1, 0)</f>
        <v>0</v>
      </c>
      <c r="AT1014" s="2">
        <f>IF(Table2[[#This Row],[ActualAwayScore]] + Table2[[#This Row],[ActualHomeScore]] &lt;= 3, 1, 0)</f>
        <v>1</v>
      </c>
      <c r="AU1014" s="2"/>
      <c r="AV1014" s="2"/>
    </row>
    <row r="1015" spans="1:48" x14ac:dyDescent="0.25">
      <c r="A1015" s="3"/>
      <c r="B1015" s="3">
        <v>46091</v>
      </c>
      <c r="C1015" s="5">
        <v>2025021013</v>
      </c>
      <c r="D1015" s="2" t="s">
        <v>37</v>
      </c>
      <c r="E1015" s="2" t="s">
        <v>28</v>
      </c>
      <c r="F1015" s="2"/>
      <c r="G1015" s="2"/>
      <c r="H1015" s="2" t="str">
        <f t="shared" si="79"/>
        <v>_</v>
      </c>
      <c r="I1015" s="2"/>
      <c r="J1015" s="2"/>
      <c r="K1015" s="2"/>
      <c r="L1015" s="2" t="str">
        <f t="shared" si="80"/>
        <v>_</v>
      </c>
      <c r="M1015" s="2"/>
      <c r="N1015" s="2">
        <f>IF(ISBLANK(Table2[[#This Row],[ActualResult]]), 0, 1)</f>
        <v>0</v>
      </c>
      <c r="O1015" s="2" t="str">
        <f>IF(ISBLANK(Table2[[#This Row],[ActualResult]]), "_", IF(Table2[[#This Row],[ActualWinner]]=Table2[[#This Row],[PredictedWinner]], "Y", "N"))</f>
        <v>_</v>
      </c>
      <c r="P10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5" s="2"/>
      <c r="S1015" s="2" t="str">
        <f t="shared" si="81"/>
        <v>_</v>
      </c>
      <c r="T10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5" s="2">
        <f>IF(Table2[[#This Row],[InterConf]]=1,IF(Table2[[#This Row],[InterDiv]]=0, 1, 0), 0)</f>
        <v>0</v>
      </c>
      <c r="W10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5" s="2"/>
      <c r="Y1015" s="2"/>
      <c r="Z1015" s="145">
        <f>IF(AND(Table2[[#This Row],[GameIsOver]]=1,Table2[[#This Row],[ActualHomeScore]]*Table2[[#This Row],[ActualAwayScore]]=0), 1,0)</f>
        <v>0</v>
      </c>
      <c r="AA10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5" s="2">
        <f>Table2[[#This Row],[ActualAwayScore]]-Table2[[#This Row],[PredictedAwayScore]]</f>
        <v>0</v>
      </c>
      <c r="AG1015" s="2">
        <f>Table2[[#This Row],[ActualHomeScore]]-Table2[[#This Row],[PredictedHomeScore]]</f>
        <v>0</v>
      </c>
      <c r="AH1015" s="2">
        <f t="shared" si="82"/>
        <v>0</v>
      </c>
      <c r="AI1015" s="2">
        <f t="shared" si="83"/>
        <v>0</v>
      </c>
      <c r="AJ1015" s="2"/>
      <c r="AK1015" s="3"/>
      <c r="AL1015" s="2">
        <f>IF(Table2[[#This Row],[GameIsOver]]=0,0,IF(Table2[[#This Row],[ActualWinner]]=Table2[[#This Row],[AwayTeam]], 1, 0))</f>
        <v>0</v>
      </c>
      <c r="AM1015" s="2">
        <f>IF(Table2[[#This Row],[GameIsOver]]=0,0,IF(Table2[[#This Row],[ActualWinner]]=Table2[[#This Row],[HomeTeam]], 1, 0))</f>
        <v>0</v>
      </c>
      <c r="AN10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5" s="2" t="str">
        <f>INDEX(Sheet5!$B$2:$AG$33, MATCH(Table2[[#This Row],[AwayTeam]],Sheet5!$A$2:$A$33, 0), MATCH(Table2[[#This Row],[HomeTeam]],Sheet5!$A$2:$A$33, 0))</f>
        <v>0-0-0</v>
      </c>
      <c r="AP1015" s="2" t="str">
        <f>INDEX(Sheet5!$B$2:$AG$33, MATCH(Table2[[#This Row],[HomeTeam]],Sheet5!$A$2:$A$33, 0), MATCH(Table2[[#This Row],[AwayTeam]],Sheet5!$A$2:$A$33, 0))</f>
        <v>0-0-0</v>
      </c>
      <c r="AQ1015" s="2">
        <f>IF(Table2[[#This Row],[GameHasShutOut]], 1, 0)</f>
        <v>0</v>
      </c>
      <c r="AR1015" s="2">
        <f>IF(Table2[[#This Row],[ActualAwayScore]] + Table2[[#This Row],[ActualHomeScore]] &gt;= 10, 1, 0)</f>
        <v>0</v>
      </c>
      <c r="AS1015" s="2">
        <f>IF(ABS(Table2[[#This Row],[ActualAwayScore]]-Table2[[#This Row],[ActualHomeScore]])&gt;=5, 1, 0)</f>
        <v>0</v>
      </c>
      <c r="AT1015" s="2">
        <f>IF(Table2[[#This Row],[ActualAwayScore]] + Table2[[#This Row],[ActualHomeScore]] &lt;= 3, 1, 0)</f>
        <v>1</v>
      </c>
      <c r="AU1015" s="2"/>
      <c r="AV1015" s="2"/>
    </row>
    <row r="1016" spans="1:48" x14ac:dyDescent="0.25">
      <c r="A1016" s="3"/>
      <c r="B1016" s="3">
        <v>46091</v>
      </c>
      <c r="C1016" s="5">
        <v>2025021014</v>
      </c>
      <c r="D1016" s="2" t="s">
        <v>17</v>
      </c>
      <c r="E1016" s="2" t="s">
        <v>18</v>
      </c>
      <c r="F1016" s="2"/>
      <c r="G1016" s="2"/>
      <c r="H1016" s="2" t="str">
        <f t="shared" si="79"/>
        <v>_</v>
      </c>
      <c r="I1016" s="2"/>
      <c r="J1016" s="2"/>
      <c r="K1016" s="2"/>
      <c r="L1016" s="2" t="str">
        <f t="shared" si="80"/>
        <v>_</v>
      </c>
      <c r="M1016" s="2"/>
      <c r="N1016" s="2">
        <f>IF(ISBLANK(Table2[[#This Row],[ActualResult]]), 0, 1)</f>
        <v>0</v>
      </c>
      <c r="O1016" s="2" t="str">
        <f>IF(ISBLANK(Table2[[#This Row],[ActualResult]]), "_", IF(Table2[[#This Row],[ActualWinner]]=Table2[[#This Row],[PredictedWinner]], "Y", "N"))</f>
        <v>_</v>
      </c>
      <c r="P10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6" s="2"/>
      <c r="S1016" s="2" t="str">
        <f t="shared" si="81"/>
        <v>_</v>
      </c>
      <c r="T10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6" s="2">
        <f>IF(Table2[[#This Row],[InterConf]]=1,IF(Table2[[#This Row],[InterDiv]]=0, 1, 0), 0)</f>
        <v>0</v>
      </c>
      <c r="W10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6" s="2"/>
      <c r="Y1016" s="2"/>
      <c r="Z1016" s="145">
        <f>IF(AND(Table2[[#This Row],[GameIsOver]]=1,Table2[[#This Row],[ActualHomeScore]]*Table2[[#This Row],[ActualAwayScore]]=0), 1,0)</f>
        <v>0</v>
      </c>
      <c r="AA10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6" s="2">
        <f>Table2[[#This Row],[ActualAwayScore]]-Table2[[#This Row],[PredictedAwayScore]]</f>
        <v>0</v>
      </c>
      <c r="AG1016" s="2">
        <f>Table2[[#This Row],[ActualHomeScore]]-Table2[[#This Row],[PredictedHomeScore]]</f>
        <v>0</v>
      </c>
      <c r="AH1016" s="2">
        <f t="shared" si="82"/>
        <v>0</v>
      </c>
      <c r="AI1016" s="2">
        <f t="shared" si="83"/>
        <v>0</v>
      </c>
      <c r="AJ1016" s="2"/>
      <c r="AK1016" s="3"/>
      <c r="AL1016" s="2">
        <f>IF(Table2[[#This Row],[GameIsOver]]=0,0,IF(Table2[[#This Row],[ActualWinner]]=Table2[[#This Row],[AwayTeam]], 1, 0))</f>
        <v>0</v>
      </c>
      <c r="AM1016" s="2">
        <f>IF(Table2[[#This Row],[GameIsOver]]=0,0,IF(Table2[[#This Row],[ActualWinner]]=Table2[[#This Row],[HomeTeam]], 1, 0))</f>
        <v>0</v>
      </c>
      <c r="AN10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6" s="2" t="str">
        <f>INDEX(Sheet5!$B$2:$AG$33, MATCH(Table2[[#This Row],[AwayTeam]],Sheet5!$A$2:$A$33, 0), MATCH(Table2[[#This Row],[HomeTeam]],Sheet5!$A$2:$A$33, 0))</f>
        <v>1-0-0</v>
      </c>
      <c r="AP1016" s="2" t="str">
        <f>INDEX(Sheet5!$B$2:$AG$33, MATCH(Table2[[#This Row],[HomeTeam]],Sheet5!$A$2:$A$33, 0), MATCH(Table2[[#This Row],[AwayTeam]],Sheet5!$A$2:$A$33, 0))</f>
        <v>0-1-0</v>
      </c>
      <c r="AQ1016" s="2">
        <f>IF(Table2[[#This Row],[GameHasShutOut]], 1, 0)</f>
        <v>0</v>
      </c>
      <c r="AR1016" s="2">
        <f>IF(Table2[[#This Row],[ActualAwayScore]] + Table2[[#This Row],[ActualHomeScore]] &gt;= 10, 1, 0)</f>
        <v>0</v>
      </c>
      <c r="AS1016" s="2">
        <f>IF(ABS(Table2[[#This Row],[ActualAwayScore]]-Table2[[#This Row],[ActualHomeScore]])&gt;=5, 1, 0)</f>
        <v>0</v>
      </c>
      <c r="AT1016" s="2">
        <f>IF(Table2[[#This Row],[ActualAwayScore]] + Table2[[#This Row],[ActualHomeScore]] &lt;= 3, 1, 0)</f>
        <v>1</v>
      </c>
      <c r="AU1016" s="2"/>
      <c r="AV1016" s="2"/>
    </row>
    <row r="1017" spans="1:48" x14ac:dyDescent="0.25">
      <c r="A1017" s="3"/>
      <c r="B1017" s="3">
        <v>46091</v>
      </c>
      <c r="C1017" s="5">
        <v>2025021015</v>
      </c>
      <c r="D1017" s="2" t="s">
        <v>35</v>
      </c>
      <c r="E1017" s="2" t="s">
        <v>40</v>
      </c>
      <c r="F1017" s="2"/>
      <c r="G1017" s="2"/>
      <c r="H1017" s="2" t="str">
        <f t="shared" si="79"/>
        <v>_</v>
      </c>
      <c r="I1017" s="2"/>
      <c r="J1017" s="2"/>
      <c r="K1017" s="2"/>
      <c r="L1017" s="2" t="str">
        <f t="shared" si="80"/>
        <v>_</v>
      </c>
      <c r="M1017" s="2"/>
      <c r="N1017" s="2">
        <f>IF(ISBLANK(Table2[[#This Row],[ActualResult]]), 0, 1)</f>
        <v>0</v>
      </c>
      <c r="O1017" s="2" t="str">
        <f>IF(ISBLANK(Table2[[#This Row],[ActualResult]]), "_", IF(Table2[[#This Row],[ActualWinner]]=Table2[[#This Row],[PredictedWinner]], "Y", "N"))</f>
        <v>_</v>
      </c>
      <c r="P10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7" s="2"/>
      <c r="S1017" s="2" t="str">
        <f t="shared" si="81"/>
        <v>_</v>
      </c>
      <c r="T10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7" s="2">
        <f>IF(Table2[[#This Row],[InterConf]]=1,IF(Table2[[#This Row],[InterDiv]]=0, 1, 0), 0)</f>
        <v>1</v>
      </c>
      <c r="W10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7" s="2"/>
      <c r="Y1017" s="2"/>
      <c r="Z1017" s="145">
        <f>IF(AND(Table2[[#This Row],[GameIsOver]]=1,Table2[[#This Row],[ActualHomeScore]]*Table2[[#This Row],[ActualAwayScore]]=0), 1,0)</f>
        <v>0</v>
      </c>
      <c r="AA10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7" s="2">
        <f>Table2[[#This Row],[ActualAwayScore]]-Table2[[#This Row],[PredictedAwayScore]]</f>
        <v>0</v>
      </c>
      <c r="AG1017" s="2">
        <f>Table2[[#This Row],[ActualHomeScore]]-Table2[[#This Row],[PredictedHomeScore]]</f>
        <v>0</v>
      </c>
      <c r="AH1017" s="2">
        <f t="shared" si="82"/>
        <v>0</v>
      </c>
      <c r="AI1017" s="2">
        <f t="shared" si="83"/>
        <v>0</v>
      </c>
      <c r="AJ1017" s="2"/>
      <c r="AK1017" s="3"/>
      <c r="AL1017" s="2">
        <f>IF(Table2[[#This Row],[GameIsOver]]=0,0,IF(Table2[[#This Row],[ActualWinner]]=Table2[[#This Row],[AwayTeam]], 1, 0))</f>
        <v>0</v>
      </c>
      <c r="AM1017" s="2">
        <f>IF(Table2[[#This Row],[GameIsOver]]=0,0,IF(Table2[[#This Row],[ActualWinner]]=Table2[[#This Row],[HomeTeam]], 1, 0))</f>
        <v>0</v>
      </c>
      <c r="AN10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7" s="2" t="str">
        <f>INDEX(Sheet5!$B$2:$AG$33, MATCH(Table2[[#This Row],[AwayTeam]],Sheet5!$A$2:$A$33, 0), MATCH(Table2[[#This Row],[HomeTeam]],Sheet5!$A$2:$A$33, 0))</f>
        <v>1-0-0</v>
      </c>
      <c r="AP1017" s="2" t="str">
        <f>INDEX(Sheet5!$B$2:$AG$33, MATCH(Table2[[#This Row],[HomeTeam]],Sheet5!$A$2:$A$33, 0), MATCH(Table2[[#This Row],[AwayTeam]],Sheet5!$A$2:$A$33, 0))</f>
        <v>0-1-0</v>
      </c>
      <c r="AQ1017" s="2">
        <f>IF(Table2[[#This Row],[GameHasShutOut]], 1, 0)</f>
        <v>0</v>
      </c>
      <c r="AR1017" s="2">
        <f>IF(Table2[[#This Row],[ActualAwayScore]] + Table2[[#This Row],[ActualHomeScore]] &gt;= 10, 1, 0)</f>
        <v>0</v>
      </c>
      <c r="AS1017" s="2">
        <f>IF(ABS(Table2[[#This Row],[ActualAwayScore]]-Table2[[#This Row],[ActualHomeScore]])&gt;=5, 1, 0)</f>
        <v>0</v>
      </c>
      <c r="AT1017" s="2">
        <f>IF(Table2[[#This Row],[ActualAwayScore]] + Table2[[#This Row],[ActualHomeScore]] &lt;= 3, 1, 0)</f>
        <v>1</v>
      </c>
      <c r="AU1017" s="2"/>
      <c r="AV1017" s="2"/>
    </row>
    <row r="1018" spans="1:48" x14ac:dyDescent="0.25">
      <c r="A1018" s="3"/>
      <c r="B1018" s="3">
        <v>46091</v>
      </c>
      <c r="C1018" s="5">
        <v>2025021016</v>
      </c>
      <c r="D1018" s="2" t="s">
        <v>30</v>
      </c>
      <c r="E1018" s="2" t="s">
        <v>13</v>
      </c>
      <c r="F1018" s="2"/>
      <c r="G1018" s="2"/>
      <c r="H1018" s="2" t="str">
        <f t="shared" si="79"/>
        <v>_</v>
      </c>
      <c r="I1018" s="2"/>
      <c r="J1018" s="2"/>
      <c r="K1018" s="2"/>
      <c r="L1018" s="2" t="str">
        <f t="shared" si="80"/>
        <v>_</v>
      </c>
      <c r="M1018" s="2"/>
      <c r="N1018" s="2">
        <f>IF(ISBLANK(Table2[[#This Row],[ActualResult]]), 0, 1)</f>
        <v>0</v>
      </c>
      <c r="O1018" s="2" t="str">
        <f>IF(ISBLANK(Table2[[#This Row],[ActualResult]]), "_", IF(Table2[[#This Row],[ActualWinner]]=Table2[[#This Row],[PredictedWinner]], "Y", "N"))</f>
        <v>_</v>
      </c>
      <c r="P10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8" s="2"/>
      <c r="S1018" s="2" t="str">
        <f t="shared" si="81"/>
        <v>_</v>
      </c>
      <c r="T10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8" s="2">
        <f>IF(Table2[[#This Row],[InterConf]]=1,IF(Table2[[#This Row],[InterDiv]]=0, 1, 0), 0)</f>
        <v>0</v>
      </c>
      <c r="W10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8" s="2"/>
      <c r="Y1018" s="2"/>
      <c r="Z1018" s="145">
        <f>IF(AND(Table2[[#This Row],[GameIsOver]]=1,Table2[[#This Row],[ActualHomeScore]]*Table2[[#This Row],[ActualAwayScore]]=0), 1,0)</f>
        <v>0</v>
      </c>
      <c r="AA10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8" s="2">
        <f>Table2[[#This Row],[ActualAwayScore]]-Table2[[#This Row],[PredictedAwayScore]]</f>
        <v>0</v>
      </c>
      <c r="AG1018" s="2">
        <f>Table2[[#This Row],[ActualHomeScore]]-Table2[[#This Row],[PredictedHomeScore]]</f>
        <v>0</v>
      </c>
      <c r="AH1018" s="2">
        <f t="shared" si="82"/>
        <v>0</v>
      </c>
      <c r="AI1018" s="2">
        <f t="shared" si="83"/>
        <v>0</v>
      </c>
      <c r="AJ1018" s="2"/>
      <c r="AK1018" s="3"/>
      <c r="AL1018" s="2">
        <f>IF(Table2[[#This Row],[GameIsOver]]=0,0,IF(Table2[[#This Row],[ActualWinner]]=Table2[[#This Row],[AwayTeam]], 1, 0))</f>
        <v>0</v>
      </c>
      <c r="AM1018" s="2">
        <f>IF(Table2[[#This Row],[GameIsOver]]=0,0,IF(Table2[[#This Row],[ActualWinner]]=Table2[[#This Row],[HomeTeam]], 1, 0))</f>
        <v>0</v>
      </c>
      <c r="AN10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8" s="2" t="str">
        <f>INDEX(Sheet5!$B$2:$AG$33, MATCH(Table2[[#This Row],[AwayTeam]],Sheet5!$A$2:$A$33, 0), MATCH(Table2[[#This Row],[HomeTeam]],Sheet5!$A$2:$A$33, 0))</f>
        <v>1-0-0</v>
      </c>
      <c r="AP1018" s="2" t="str">
        <f>INDEX(Sheet5!$B$2:$AG$33, MATCH(Table2[[#This Row],[HomeTeam]],Sheet5!$A$2:$A$33, 0), MATCH(Table2[[#This Row],[AwayTeam]],Sheet5!$A$2:$A$33, 0))</f>
        <v>0-1-0</v>
      </c>
      <c r="AQ1018" s="2">
        <f>IF(Table2[[#This Row],[GameHasShutOut]], 1, 0)</f>
        <v>0</v>
      </c>
      <c r="AR1018" s="2">
        <f>IF(Table2[[#This Row],[ActualAwayScore]] + Table2[[#This Row],[ActualHomeScore]] &gt;= 10, 1, 0)</f>
        <v>0</v>
      </c>
      <c r="AS1018" s="2">
        <f>IF(ABS(Table2[[#This Row],[ActualAwayScore]]-Table2[[#This Row],[ActualHomeScore]])&gt;=5, 1, 0)</f>
        <v>0</v>
      </c>
      <c r="AT1018" s="2">
        <f>IF(Table2[[#This Row],[ActualAwayScore]] + Table2[[#This Row],[ActualHomeScore]] &lt;= 3, 1, 0)</f>
        <v>1</v>
      </c>
      <c r="AU1018" s="2"/>
      <c r="AV1018" s="2"/>
    </row>
    <row r="1019" spans="1:48" x14ac:dyDescent="0.25">
      <c r="A1019" s="3"/>
      <c r="B1019" s="3">
        <v>46091</v>
      </c>
      <c r="C1019" s="5">
        <v>2025021017</v>
      </c>
      <c r="D1019" s="2" t="s">
        <v>23</v>
      </c>
      <c r="E1019" s="2" t="s">
        <v>19</v>
      </c>
      <c r="F1019" s="2"/>
      <c r="G1019" s="2"/>
      <c r="H1019" s="2" t="str">
        <f t="shared" si="79"/>
        <v>_</v>
      </c>
      <c r="I1019" s="2"/>
      <c r="J1019" s="2"/>
      <c r="K1019" s="2"/>
      <c r="L1019" s="2" t="str">
        <f t="shared" si="80"/>
        <v>_</v>
      </c>
      <c r="M1019" s="2"/>
      <c r="N1019" s="2">
        <f>IF(ISBLANK(Table2[[#This Row],[ActualResult]]), 0, 1)</f>
        <v>0</v>
      </c>
      <c r="O1019" s="2" t="str">
        <f>IF(ISBLANK(Table2[[#This Row],[ActualResult]]), "_", IF(Table2[[#This Row],[ActualWinner]]=Table2[[#This Row],[PredictedWinner]], "Y", "N"))</f>
        <v>_</v>
      </c>
      <c r="P10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9" s="2"/>
      <c r="S1019" s="2" t="str">
        <f t="shared" si="81"/>
        <v>_</v>
      </c>
      <c r="T10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9" s="2">
        <f>IF(Table2[[#This Row],[InterConf]]=1,IF(Table2[[#This Row],[InterDiv]]=0, 1, 0), 0)</f>
        <v>0</v>
      </c>
      <c r="W10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9" s="2"/>
      <c r="Y1019" s="2"/>
      <c r="Z1019" s="145">
        <f>IF(AND(Table2[[#This Row],[GameIsOver]]=1,Table2[[#This Row],[ActualHomeScore]]*Table2[[#This Row],[ActualAwayScore]]=0), 1,0)</f>
        <v>0</v>
      </c>
      <c r="AA10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9" s="2">
        <f>Table2[[#This Row],[ActualAwayScore]]-Table2[[#This Row],[PredictedAwayScore]]</f>
        <v>0</v>
      </c>
      <c r="AG1019" s="2">
        <f>Table2[[#This Row],[ActualHomeScore]]-Table2[[#This Row],[PredictedHomeScore]]</f>
        <v>0</v>
      </c>
      <c r="AH1019" s="2">
        <f t="shared" si="82"/>
        <v>0</v>
      </c>
      <c r="AI1019" s="2">
        <f t="shared" si="83"/>
        <v>0</v>
      </c>
      <c r="AJ1019" s="2"/>
      <c r="AK1019" s="3"/>
      <c r="AL1019" s="2">
        <f>IF(Table2[[#This Row],[GameIsOver]]=0,0,IF(Table2[[#This Row],[ActualWinner]]=Table2[[#This Row],[AwayTeam]], 1, 0))</f>
        <v>0</v>
      </c>
      <c r="AM1019" s="2">
        <f>IF(Table2[[#This Row],[GameIsOver]]=0,0,IF(Table2[[#This Row],[ActualWinner]]=Table2[[#This Row],[HomeTeam]], 1, 0))</f>
        <v>0</v>
      </c>
      <c r="AN10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9" s="2" t="str">
        <f>INDEX(Sheet5!$B$2:$AG$33, MATCH(Table2[[#This Row],[AwayTeam]],Sheet5!$A$2:$A$33, 0), MATCH(Table2[[#This Row],[HomeTeam]],Sheet5!$A$2:$A$33, 0))</f>
        <v>0-0-0</v>
      </c>
      <c r="AP1019" s="2" t="str">
        <f>INDEX(Sheet5!$B$2:$AG$33, MATCH(Table2[[#This Row],[HomeTeam]],Sheet5!$A$2:$A$33, 0), MATCH(Table2[[#This Row],[AwayTeam]],Sheet5!$A$2:$A$33, 0))</f>
        <v>0-0-0</v>
      </c>
      <c r="AQ1019" s="2">
        <f>IF(Table2[[#This Row],[GameHasShutOut]], 1, 0)</f>
        <v>0</v>
      </c>
      <c r="AR1019" s="2">
        <f>IF(Table2[[#This Row],[ActualAwayScore]] + Table2[[#This Row],[ActualHomeScore]] &gt;= 10, 1, 0)</f>
        <v>0</v>
      </c>
      <c r="AS1019" s="2">
        <f>IF(ABS(Table2[[#This Row],[ActualAwayScore]]-Table2[[#This Row],[ActualHomeScore]])&gt;=5, 1, 0)</f>
        <v>0</v>
      </c>
      <c r="AT1019" s="2">
        <f>IF(Table2[[#This Row],[ActualAwayScore]] + Table2[[#This Row],[ActualHomeScore]] &lt;= 3, 1, 0)</f>
        <v>1</v>
      </c>
      <c r="AU1019" s="2"/>
      <c r="AV1019" s="2"/>
    </row>
    <row r="1020" spans="1:48" x14ac:dyDescent="0.25">
      <c r="A1020" s="3"/>
      <c r="B1020" s="3">
        <v>46091</v>
      </c>
      <c r="C1020" s="5">
        <v>2025021018</v>
      </c>
      <c r="D1020" s="2" t="s">
        <v>20</v>
      </c>
      <c r="E1020" s="2" t="s">
        <v>41</v>
      </c>
      <c r="F1020" s="2"/>
      <c r="G1020" s="2"/>
      <c r="H1020" s="2" t="str">
        <f t="shared" si="79"/>
        <v>_</v>
      </c>
      <c r="I1020" s="2"/>
      <c r="J1020" s="2"/>
      <c r="K1020" s="2"/>
      <c r="L1020" s="2" t="str">
        <f t="shared" si="80"/>
        <v>_</v>
      </c>
      <c r="M1020" s="2"/>
      <c r="N1020" s="2">
        <f>IF(ISBLANK(Table2[[#This Row],[ActualResult]]), 0, 1)</f>
        <v>0</v>
      </c>
      <c r="O1020" s="2" t="str">
        <f>IF(ISBLANK(Table2[[#This Row],[ActualResult]]), "_", IF(Table2[[#This Row],[ActualWinner]]=Table2[[#This Row],[PredictedWinner]], "Y", "N"))</f>
        <v>_</v>
      </c>
      <c r="P10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0" s="2"/>
      <c r="S1020" s="2" t="str">
        <f t="shared" si="81"/>
        <v>_</v>
      </c>
      <c r="T10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0" s="2">
        <f>IF(Table2[[#This Row],[InterConf]]=1,IF(Table2[[#This Row],[InterDiv]]=0, 1, 0), 0)</f>
        <v>0</v>
      </c>
      <c r="W10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0" s="2"/>
      <c r="Y1020" s="2"/>
      <c r="Z1020" s="145">
        <f>IF(AND(Table2[[#This Row],[GameIsOver]]=1,Table2[[#This Row],[ActualHomeScore]]*Table2[[#This Row],[ActualAwayScore]]=0), 1,0)</f>
        <v>0</v>
      </c>
      <c r="AA10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20" s="2">
        <f>Table2[[#This Row],[ActualAwayScore]]-Table2[[#This Row],[PredictedAwayScore]]</f>
        <v>0</v>
      </c>
      <c r="AG1020" s="2">
        <f>Table2[[#This Row],[ActualHomeScore]]-Table2[[#This Row],[PredictedHomeScore]]</f>
        <v>0</v>
      </c>
      <c r="AH1020" s="2">
        <f t="shared" si="82"/>
        <v>0</v>
      </c>
      <c r="AI1020" s="2">
        <f t="shared" si="83"/>
        <v>0</v>
      </c>
      <c r="AJ1020" s="2"/>
      <c r="AK1020" s="3"/>
      <c r="AL1020" s="2">
        <f>IF(Table2[[#This Row],[GameIsOver]]=0,0,IF(Table2[[#This Row],[ActualWinner]]=Table2[[#This Row],[AwayTeam]], 1, 0))</f>
        <v>0</v>
      </c>
      <c r="AM1020" s="2">
        <f>IF(Table2[[#This Row],[GameIsOver]]=0,0,IF(Table2[[#This Row],[ActualWinner]]=Table2[[#This Row],[HomeTeam]], 1, 0))</f>
        <v>0</v>
      </c>
      <c r="AN10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0" s="2" t="str">
        <f>INDEX(Sheet5!$B$2:$AG$33, MATCH(Table2[[#This Row],[AwayTeam]],Sheet5!$A$2:$A$33, 0), MATCH(Table2[[#This Row],[HomeTeam]],Sheet5!$A$2:$A$33, 0))</f>
        <v>0-0-0</v>
      </c>
      <c r="AP1020" s="2" t="str">
        <f>INDEX(Sheet5!$B$2:$AG$33, MATCH(Table2[[#This Row],[HomeTeam]],Sheet5!$A$2:$A$33, 0), MATCH(Table2[[#This Row],[AwayTeam]],Sheet5!$A$2:$A$33, 0))</f>
        <v>0-0-0</v>
      </c>
      <c r="AQ1020" s="2">
        <f>IF(Table2[[#This Row],[GameHasShutOut]], 1, 0)</f>
        <v>0</v>
      </c>
      <c r="AR1020" s="2">
        <f>IF(Table2[[#This Row],[ActualAwayScore]] + Table2[[#This Row],[ActualHomeScore]] &gt;= 10, 1, 0)</f>
        <v>0</v>
      </c>
      <c r="AS1020" s="2">
        <f>IF(ABS(Table2[[#This Row],[ActualAwayScore]]-Table2[[#This Row],[ActualHomeScore]])&gt;=5, 1, 0)</f>
        <v>0</v>
      </c>
      <c r="AT1020" s="2">
        <f>IF(Table2[[#This Row],[ActualAwayScore]] + Table2[[#This Row],[ActualHomeScore]] &lt;= 3, 1, 0)</f>
        <v>1</v>
      </c>
      <c r="AU1020" s="2"/>
      <c r="AV1020" s="2"/>
    </row>
    <row r="1021" spans="1:48" x14ac:dyDescent="0.25">
      <c r="A1021" s="3"/>
      <c r="B1021" s="3">
        <v>46091</v>
      </c>
      <c r="C1021" s="5">
        <v>2025021019</v>
      </c>
      <c r="D1021" s="2" t="s">
        <v>32</v>
      </c>
      <c r="E1021" s="2" t="s">
        <v>12</v>
      </c>
      <c r="F1021" s="2"/>
      <c r="G1021" s="2"/>
      <c r="H1021" s="2" t="str">
        <f t="shared" si="79"/>
        <v>_</v>
      </c>
      <c r="I1021" s="2"/>
      <c r="J1021" s="2"/>
      <c r="K1021" s="2"/>
      <c r="L1021" s="2" t="str">
        <f t="shared" si="80"/>
        <v>_</v>
      </c>
      <c r="M1021" s="2"/>
      <c r="N1021" s="2">
        <f>IF(ISBLANK(Table2[[#This Row],[ActualResult]]), 0, 1)</f>
        <v>0</v>
      </c>
      <c r="O1021" s="2" t="str">
        <f>IF(ISBLANK(Table2[[#This Row],[ActualResult]]), "_", IF(Table2[[#This Row],[ActualWinner]]=Table2[[#This Row],[PredictedWinner]], "Y", "N"))</f>
        <v>_</v>
      </c>
      <c r="P10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1" s="2"/>
      <c r="S1021" s="2" t="str">
        <f t="shared" si="81"/>
        <v>_</v>
      </c>
      <c r="T10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1" s="2">
        <f>IF(Table2[[#This Row],[InterConf]]=1,IF(Table2[[#This Row],[InterDiv]]=0, 1, 0), 0)</f>
        <v>0</v>
      </c>
      <c r="W10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21" s="2"/>
      <c r="Y1021" s="2"/>
      <c r="Z1021" s="145">
        <f>IF(AND(Table2[[#This Row],[GameIsOver]]=1,Table2[[#This Row],[ActualHomeScore]]*Table2[[#This Row],[ActualAwayScore]]=0), 1,0)</f>
        <v>0</v>
      </c>
      <c r="AA10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21" s="2">
        <f>Table2[[#This Row],[ActualAwayScore]]-Table2[[#This Row],[PredictedAwayScore]]</f>
        <v>0</v>
      </c>
      <c r="AG1021" s="2">
        <f>Table2[[#This Row],[ActualHomeScore]]-Table2[[#This Row],[PredictedHomeScore]]</f>
        <v>0</v>
      </c>
      <c r="AH1021" s="2">
        <f t="shared" si="82"/>
        <v>0</v>
      </c>
      <c r="AI1021" s="2">
        <f t="shared" si="83"/>
        <v>0</v>
      </c>
      <c r="AJ1021" s="2"/>
      <c r="AK1021" s="3"/>
      <c r="AL1021" s="2">
        <f>IF(Table2[[#This Row],[GameIsOver]]=0,0,IF(Table2[[#This Row],[ActualWinner]]=Table2[[#This Row],[AwayTeam]], 1, 0))</f>
        <v>0</v>
      </c>
      <c r="AM1021" s="2">
        <f>IF(Table2[[#This Row],[GameIsOver]]=0,0,IF(Table2[[#This Row],[ActualWinner]]=Table2[[#This Row],[HomeTeam]], 1, 0))</f>
        <v>0</v>
      </c>
      <c r="AN10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1" s="2" t="str">
        <f>INDEX(Sheet5!$B$2:$AG$33, MATCH(Table2[[#This Row],[AwayTeam]],Sheet5!$A$2:$A$33, 0), MATCH(Table2[[#This Row],[HomeTeam]],Sheet5!$A$2:$A$33, 0))</f>
        <v>0-0-0</v>
      </c>
      <c r="AP1021" s="2" t="str">
        <f>INDEX(Sheet5!$B$2:$AG$33, MATCH(Table2[[#This Row],[HomeTeam]],Sheet5!$A$2:$A$33, 0), MATCH(Table2[[#This Row],[AwayTeam]],Sheet5!$A$2:$A$33, 0))</f>
        <v>0-0-0</v>
      </c>
      <c r="AQ1021" s="2">
        <f>IF(Table2[[#This Row],[GameHasShutOut]], 1, 0)</f>
        <v>0</v>
      </c>
      <c r="AR1021" s="2">
        <f>IF(Table2[[#This Row],[ActualAwayScore]] + Table2[[#This Row],[ActualHomeScore]] &gt;= 10, 1, 0)</f>
        <v>0</v>
      </c>
      <c r="AS1021" s="2">
        <f>IF(ABS(Table2[[#This Row],[ActualAwayScore]]-Table2[[#This Row],[ActualHomeScore]])&gt;=5, 1, 0)</f>
        <v>0</v>
      </c>
      <c r="AT1021" s="2">
        <f>IF(Table2[[#This Row],[ActualAwayScore]] + Table2[[#This Row],[ActualHomeScore]] &lt;= 3, 1, 0)</f>
        <v>1</v>
      </c>
      <c r="AU1021" s="2"/>
      <c r="AV1021" s="2"/>
    </row>
    <row r="1022" spans="1:48" x14ac:dyDescent="0.25">
      <c r="A1022" s="3"/>
      <c r="B1022" s="3">
        <v>46092</v>
      </c>
      <c r="C1022" s="5">
        <v>2025021020</v>
      </c>
      <c r="D1022" s="2" t="s">
        <v>26</v>
      </c>
      <c r="E1022" s="2" t="s">
        <v>33</v>
      </c>
      <c r="F1022" s="2"/>
      <c r="G1022" s="2"/>
      <c r="H1022" s="2" t="str">
        <f t="shared" si="79"/>
        <v>_</v>
      </c>
      <c r="I1022" s="2"/>
      <c r="J1022" s="2"/>
      <c r="K1022" s="2"/>
      <c r="L1022" s="2" t="str">
        <f t="shared" si="80"/>
        <v>_</v>
      </c>
      <c r="M1022" s="2"/>
      <c r="N1022" s="2">
        <f>IF(ISBLANK(Table2[[#This Row],[ActualResult]]), 0, 1)</f>
        <v>0</v>
      </c>
      <c r="O1022" s="2" t="str">
        <f>IF(ISBLANK(Table2[[#This Row],[ActualResult]]), "_", IF(Table2[[#This Row],[ActualWinner]]=Table2[[#This Row],[PredictedWinner]], "Y", "N"))</f>
        <v>_</v>
      </c>
      <c r="P10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2" s="2"/>
      <c r="S1022" s="2" t="str">
        <f t="shared" si="81"/>
        <v>_</v>
      </c>
      <c r="T10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2" s="2">
        <f>IF(Table2[[#This Row],[InterConf]]=1,IF(Table2[[#This Row],[InterDiv]]=0, 1, 0), 0)</f>
        <v>1</v>
      </c>
      <c r="W10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2" s="2"/>
      <c r="Y1022" s="2"/>
      <c r="Z1022" s="145">
        <f>IF(AND(Table2[[#This Row],[GameIsOver]]=1,Table2[[#This Row],[ActualHomeScore]]*Table2[[#This Row],[ActualAwayScore]]=0), 1,0)</f>
        <v>0</v>
      </c>
      <c r="AA10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2" s="2">
        <f>Table2[[#This Row],[ActualAwayScore]]-Table2[[#This Row],[PredictedAwayScore]]</f>
        <v>0</v>
      </c>
      <c r="AG1022" s="2">
        <f>Table2[[#This Row],[ActualHomeScore]]-Table2[[#This Row],[PredictedHomeScore]]</f>
        <v>0</v>
      </c>
      <c r="AH1022" s="2">
        <f t="shared" si="82"/>
        <v>0</v>
      </c>
      <c r="AI1022" s="2">
        <f t="shared" si="83"/>
        <v>0</v>
      </c>
      <c r="AJ1022" s="2"/>
      <c r="AK1022" s="3"/>
      <c r="AL1022" s="2">
        <f>IF(Table2[[#This Row],[GameIsOver]]=0,0,IF(Table2[[#This Row],[ActualWinner]]=Table2[[#This Row],[AwayTeam]], 1, 0))</f>
        <v>0</v>
      </c>
      <c r="AM1022" s="2">
        <f>IF(Table2[[#This Row],[GameIsOver]]=0,0,IF(Table2[[#This Row],[ActualWinner]]=Table2[[#This Row],[HomeTeam]], 1, 0))</f>
        <v>0</v>
      </c>
      <c r="AN10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2" s="2" t="str">
        <f>INDEX(Sheet5!$B$2:$AG$33, MATCH(Table2[[#This Row],[AwayTeam]],Sheet5!$A$2:$A$33, 0), MATCH(Table2[[#This Row],[HomeTeam]],Sheet5!$A$2:$A$33, 0))</f>
        <v>0-0-0</v>
      </c>
      <c r="AP1022" s="2" t="str">
        <f>INDEX(Sheet5!$B$2:$AG$33, MATCH(Table2[[#This Row],[HomeTeam]],Sheet5!$A$2:$A$33, 0), MATCH(Table2[[#This Row],[AwayTeam]],Sheet5!$A$2:$A$33, 0))</f>
        <v>0-0-0</v>
      </c>
      <c r="AQ1022" s="2">
        <f>IF(Table2[[#This Row],[GameHasShutOut]], 1, 0)</f>
        <v>0</v>
      </c>
      <c r="AR1022" s="2">
        <f>IF(Table2[[#This Row],[ActualAwayScore]] + Table2[[#This Row],[ActualHomeScore]] &gt;= 10, 1, 0)</f>
        <v>0</v>
      </c>
      <c r="AS1022" s="2">
        <f>IF(ABS(Table2[[#This Row],[ActualAwayScore]]-Table2[[#This Row],[ActualHomeScore]])&gt;=5, 1, 0)</f>
        <v>0</v>
      </c>
      <c r="AT1022" s="2">
        <f>IF(Table2[[#This Row],[ActualAwayScore]] + Table2[[#This Row],[ActualHomeScore]] &lt;= 3, 1, 0)</f>
        <v>1</v>
      </c>
      <c r="AU1022" s="2"/>
      <c r="AV1022" s="2"/>
    </row>
    <row r="1023" spans="1:48" x14ac:dyDescent="0.25">
      <c r="A1023" s="3"/>
      <c r="B1023" s="3">
        <v>46092</v>
      </c>
      <c r="C1023" s="5">
        <v>2025021021</v>
      </c>
      <c r="D1023" s="2" t="s">
        <v>14</v>
      </c>
      <c r="E1023" s="2" t="s">
        <v>36</v>
      </c>
      <c r="F1023" s="2"/>
      <c r="G1023" s="2"/>
      <c r="H1023" s="2" t="str">
        <f t="shared" si="79"/>
        <v>_</v>
      </c>
      <c r="I1023" s="2"/>
      <c r="J1023" s="2"/>
      <c r="K1023" s="2"/>
      <c r="L1023" s="2" t="str">
        <f t="shared" si="80"/>
        <v>_</v>
      </c>
      <c r="M1023" s="2"/>
      <c r="N1023" s="2">
        <f>IF(ISBLANK(Table2[[#This Row],[ActualResult]]), 0, 1)</f>
        <v>0</v>
      </c>
      <c r="O1023" s="2" t="str">
        <f>IF(ISBLANK(Table2[[#This Row],[ActualResult]]), "_", IF(Table2[[#This Row],[ActualWinner]]=Table2[[#This Row],[PredictedWinner]], "Y", "N"))</f>
        <v>_</v>
      </c>
      <c r="P10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3" s="2"/>
      <c r="S1023" s="2" t="str">
        <f t="shared" si="81"/>
        <v>_</v>
      </c>
      <c r="T10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3" s="2">
        <f>IF(Table2[[#This Row],[InterConf]]=1,IF(Table2[[#This Row],[InterDiv]]=0, 1, 0), 0)</f>
        <v>0</v>
      </c>
      <c r="W10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3" s="2"/>
      <c r="Y1023" s="2"/>
      <c r="Z1023" s="145">
        <f>IF(AND(Table2[[#This Row],[GameIsOver]]=1,Table2[[#This Row],[ActualHomeScore]]*Table2[[#This Row],[ActualAwayScore]]=0), 1,0)</f>
        <v>0</v>
      </c>
      <c r="AA10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3" s="2">
        <f>Table2[[#This Row],[ActualAwayScore]]-Table2[[#This Row],[PredictedAwayScore]]</f>
        <v>0</v>
      </c>
      <c r="AG1023" s="2">
        <f>Table2[[#This Row],[ActualHomeScore]]-Table2[[#This Row],[PredictedHomeScore]]</f>
        <v>0</v>
      </c>
      <c r="AH1023" s="2">
        <f t="shared" si="82"/>
        <v>0</v>
      </c>
      <c r="AI1023" s="2">
        <f t="shared" si="83"/>
        <v>0</v>
      </c>
      <c r="AJ1023" s="2"/>
      <c r="AK1023" s="3"/>
      <c r="AL1023" s="2">
        <f>IF(Table2[[#This Row],[GameIsOver]]=0,0,IF(Table2[[#This Row],[ActualWinner]]=Table2[[#This Row],[AwayTeam]], 1, 0))</f>
        <v>0</v>
      </c>
      <c r="AM1023" s="2">
        <f>IF(Table2[[#This Row],[GameIsOver]]=0,0,IF(Table2[[#This Row],[ActualWinner]]=Table2[[#This Row],[HomeTeam]], 1, 0))</f>
        <v>0</v>
      </c>
      <c r="AN10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3" s="2" t="str">
        <f>INDEX(Sheet5!$B$2:$AG$33, MATCH(Table2[[#This Row],[AwayTeam]],Sheet5!$A$2:$A$33, 0), MATCH(Table2[[#This Row],[HomeTeam]],Sheet5!$A$2:$A$33, 0))</f>
        <v>0-0-0</v>
      </c>
      <c r="AP1023" s="2" t="str">
        <f>INDEX(Sheet5!$B$2:$AG$33, MATCH(Table2[[#This Row],[HomeTeam]],Sheet5!$A$2:$A$33, 0), MATCH(Table2[[#This Row],[AwayTeam]],Sheet5!$A$2:$A$33, 0))</f>
        <v>0-0-0</v>
      </c>
      <c r="AQ1023" s="2">
        <f>IF(Table2[[#This Row],[GameHasShutOut]], 1, 0)</f>
        <v>0</v>
      </c>
      <c r="AR1023" s="2">
        <f>IF(Table2[[#This Row],[ActualAwayScore]] + Table2[[#This Row],[ActualHomeScore]] &gt;= 10, 1, 0)</f>
        <v>0</v>
      </c>
      <c r="AS1023" s="2">
        <f>IF(ABS(Table2[[#This Row],[ActualAwayScore]]-Table2[[#This Row],[ActualHomeScore]])&gt;=5, 1, 0)</f>
        <v>0</v>
      </c>
      <c r="AT1023" s="2">
        <f>IF(Table2[[#This Row],[ActualAwayScore]] + Table2[[#This Row],[ActualHomeScore]] &lt;= 3, 1, 0)</f>
        <v>1</v>
      </c>
      <c r="AU1023" s="2"/>
      <c r="AV1023" s="2"/>
    </row>
    <row r="1024" spans="1:48" x14ac:dyDescent="0.25">
      <c r="A1024" s="3"/>
      <c r="B1024" s="3">
        <v>46092</v>
      </c>
      <c r="C1024" s="5">
        <v>2025021022</v>
      </c>
      <c r="D1024" s="2" t="s">
        <v>44</v>
      </c>
      <c r="E1024" s="2" t="s">
        <v>21</v>
      </c>
      <c r="F1024" s="2"/>
      <c r="G1024" s="2"/>
      <c r="H1024" s="2" t="str">
        <f t="shared" si="79"/>
        <v>_</v>
      </c>
      <c r="I1024" s="2"/>
      <c r="J1024" s="2"/>
      <c r="K1024" s="2"/>
      <c r="L1024" s="2" t="str">
        <f t="shared" si="80"/>
        <v>_</v>
      </c>
      <c r="M1024" s="2"/>
      <c r="N1024" s="2">
        <f>IF(ISBLANK(Table2[[#This Row],[ActualResult]]), 0, 1)</f>
        <v>0</v>
      </c>
      <c r="O1024" s="2" t="str">
        <f>IF(ISBLANK(Table2[[#This Row],[ActualResult]]), "_", IF(Table2[[#This Row],[ActualWinner]]=Table2[[#This Row],[PredictedWinner]], "Y", "N"))</f>
        <v>_</v>
      </c>
      <c r="P10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4" s="2"/>
      <c r="S1024" s="2" t="str">
        <f t="shared" si="81"/>
        <v>_</v>
      </c>
      <c r="T10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4" s="2">
        <f>IF(Table2[[#This Row],[InterConf]]=1,IF(Table2[[#This Row],[InterDiv]]=0, 1, 0), 0)</f>
        <v>1</v>
      </c>
      <c r="W10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4" s="2"/>
      <c r="Y1024" s="2"/>
      <c r="Z1024" s="145">
        <f>IF(AND(Table2[[#This Row],[GameIsOver]]=1,Table2[[#This Row],[ActualHomeScore]]*Table2[[#This Row],[ActualAwayScore]]=0), 1,0)</f>
        <v>0</v>
      </c>
      <c r="AA10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4" s="2">
        <f>Table2[[#This Row],[ActualAwayScore]]-Table2[[#This Row],[PredictedAwayScore]]</f>
        <v>0</v>
      </c>
      <c r="AG1024" s="2">
        <f>Table2[[#This Row],[ActualHomeScore]]-Table2[[#This Row],[PredictedHomeScore]]</f>
        <v>0</v>
      </c>
      <c r="AH1024" s="2">
        <f t="shared" si="82"/>
        <v>0</v>
      </c>
      <c r="AI1024" s="2">
        <f t="shared" si="83"/>
        <v>0</v>
      </c>
      <c r="AJ1024" s="2"/>
      <c r="AK1024" s="3"/>
      <c r="AL1024" s="2">
        <f>IF(Table2[[#This Row],[GameIsOver]]=0,0,IF(Table2[[#This Row],[ActualWinner]]=Table2[[#This Row],[AwayTeam]], 1, 0))</f>
        <v>0</v>
      </c>
      <c r="AM1024" s="2">
        <f>IF(Table2[[#This Row],[GameIsOver]]=0,0,IF(Table2[[#This Row],[ActualWinner]]=Table2[[#This Row],[HomeTeam]], 1, 0))</f>
        <v>0</v>
      </c>
      <c r="AN10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4" s="2" t="str">
        <f>INDEX(Sheet5!$B$2:$AG$33, MATCH(Table2[[#This Row],[AwayTeam]],Sheet5!$A$2:$A$33, 0), MATCH(Table2[[#This Row],[HomeTeam]],Sheet5!$A$2:$A$33, 0))</f>
        <v>0-0-0</v>
      </c>
      <c r="AP1024" s="2" t="str">
        <f>INDEX(Sheet5!$B$2:$AG$33, MATCH(Table2[[#This Row],[HomeTeam]],Sheet5!$A$2:$A$33, 0), MATCH(Table2[[#This Row],[AwayTeam]],Sheet5!$A$2:$A$33, 0))</f>
        <v>0-0-0</v>
      </c>
      <c r="AQ1024" s="2">
        <f>IF(Table2[[#This Row],[GameHasShutOut]], 1, 0)</f>
        <v>0</v>
      </c>
      <c r="AR1024" s="2">
        <f>IF(Table2[[#This Row],[ActualAwayScore]] + Table2[[#This Row],[ActualHomeScore]] &gt;= 10, 1, 0)</f>
        <v>0</v>
      </c>
      <c r="AS1024" s="2">
        <f>IF(ABS(Table2[[#This Row],[ActualAwayScore]]-Table2[[#This Row],[ActualHomeScore]])&gt;=5, 1, 0)</f>
        <v>0</v>
      </c>
      <c r="AT1024" s="2">
        <f>IF(Table2[[#This Row],[ActualAwayScore]] + Table2[[#This Row],[ActualHomeScore]] &lt;= 3, 1, 0)</f>
        <v>1</v>
      </c>
      <c r="AU1024" s="2"/>
      <c r="AV1024" s="2"/>
    </row>
    <row r="1025" spans="1:48" x14ac:dyDescent="0.25">
      <c r="A1025" s="3"/>
      <c r="B1025" s="3">
        <v>46092</v>
      </c>
      <c r="C1025" s="5">
        <v>2025021023</v>
      </c>
      <c r="D1025" s="2" t="s">
        <v>22</v>
      </c>
      <c r="E1025" s="2" t="s">
        <v>25</v>
      </c>
      <c r="F1025" s="2"/>
      <c r="G1025" s="2"/>
      <c r="H1025" s="2" t="str">
        <f t="shared" si="79"/>
        <v>_</v>
      </c>
      <c r="I1025" s="2"/>
      <c r="J1025" s="2"/>
      <c r="K1025" s="2"/>
      <c r="L1025" s="2" t="str">
        <f t="shared" si="80"/>
        <v>_</v>
      </c>
      <c r="M1025" s="2"/>
      <c r="N1025" s="2">
        <f>IF(ISBLANK(Table2[[#This Row],[ActualResult]]), 0, 1)</f>
        <v>0</v>
      </c>
      <c r="O1025" s="2" t="str">
        <f>IF(ISBLANK(Table2[[#This Row],[ActualResult]]), "_", IF(Table2[[#This Row],[ActualWinner]]=Table2[[#This Row],[PredictedWinner]], "Y", "N"))</f>
        <v>_</v>
      </c>
      <c r="P10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5" s="2"/>
      <c r="S1025" s="2" t="str">
        <f t="shared" si="81"/>
        <v>_</v>
      </c>
      <c r="T10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5" s="2">
        <f>IF(Table2[[#This Row],[InterConf]]=1,IF(Table2[[#This Row],[InterDiv]]=0, 1, 0), 0)</f>
        <v>1</v>
      </c>
      <c r="W10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5" s="2"/>
      <c r="Y1025" s="2"/>
      <c r="Z1025" s="145">
        <f>IF(AND(Table2[[#This Row],[GameIsOver]]=1,Table2[[#This Row],[ActualHomeScore]]*Table2[[#This Row],[ActualAwayScore]]=0), 1,0)</f>
        <v>0</v>
      </c>
      <c r="AA10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5" s="2">
        <f>Table2[[#This Row],[ActualAwayScore]]-Table2[[#This Row],[PredictedAwayScore]]</f>
        <v>0</v>
      </c>
      <c r="AG1025" s="2">
        <f>Table2[[#This Row],[ActualHomeScore]]-Table2[[#This Row],[PredictedHomeScore]]</f>
        <v>0</v>
      </c>
      <c r="AH1025" s="2">
        <f t="shared" si="82"/>
        <v>0</v>
      </c>
      <c r="AI1025" s="2">
        <f t="shared" si="83"/>
        <v>0</v>
      </c>
      <c r="AJ1025" s="2"/>
      <c r="AK1025" s="3"/>
      <c r="AL1025" s="2">
        <f>IF(Table2[[#This Row],[GameIsOver]]=0,0,IF(Table2[[#This Row],[ActualWinner]]=Table2[[#This Row],[AwayTeam]], 1, 0))</f>
        <v>0</v>
      </c>
      <c r="AM1025" s="2">
        <f>IF(Table2[[#This Row],[GameIsOver]]=0,0,IF(Table2[[#This Row],[ActualWinner]]=Table2[[#This Row],[HomeTeam]], 1, 0))</f>
        <v>0</v>
      </c>
      <c r="AN10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5" s="2" t="str">
        <f>INDEX(Sheet5!$B$2:$AG$33, MATCH(Table2[[#This Row],[AwayTeam]],Sheet5!$A$2:$A$33, 0), MATCH(Table2[[#This Row],[HomeTeam]],Sheet5!$A$2:$A$33, 0))</f>
        <v>0-0-0</v>
      </c>
      <c r="AP1025" s="2" t="str">
        <f>INDEX(Sheet5!$B$2:$AG$33, MATCH(Table2[[#This Row],[HomeTeam]],Sheet5!$A$2:$A$33, 0), MATCH(Table2[[#This Row],[AwayTeam]],Sheet5!$A$2:$A$33, 0))</f>
        <v>0-0-0</v>
      </c>
      <c r="AQ1025" s="2">
        <f>IF(Table2[[#This Row],[GameHasShutOut]], 1, 0)</f>
        <v>0</v>
      </c>
      <c r="AR1025" s="2">
        <f>IF(Table2[[#This Row],[ActualAwayScore]] + Table2[[#This Row],[ActualHomeScore]] &gt;= 10, 1, 0)</f>
        <v>0</v>
      </c>
      <c r="AS1025" s="2">
        <f>IF(ABS(Table2[[#This Row],[ActualAwayScore]]-Table2[[#This Row],[ActualHomeScore]])&gt;=5, 1, 0)</f>
        <v>0</v>
      </c>
      <c r="AT1025" s="2">
        <f>IF(Table2[[#This Row],[ActualAwayScore]] + Table2[[#This Row],[ActualHomeScore]] &lt;= 3, 1, 0)</f>
        <v>1</v>
      </c>
      <c r="AU1025" s="2"/>
      <c r="AV1025" s="2"/>
    </row>
    <row r="1026" spans="1:48" x14ac:dyDescent="0.25">
      <c r="A1026" s="3"/>
      <c r="B1026" s="3">
        <v>46092</v>
      </c>
      <c r="C1026" s="5">
        <v>2025021024</v>
      </c>
      <c r="D1026" s="2" t="s">
        <v>34</v>
      </c>
      <c r="E1026" s="2" t="s">
        <v>11</v>
      </c>
      <c r="F1026" s="2"/>
      <c r="G1026" s="2"/>
      <c r="H1026" s="2" t="str">
        <f t="shared" si="79"/>
        <v>_</v>
      </c>
      <c r="I1026" s="2"/>
      <c r="J1026" s="2"/>
      <c r="K1026" s="2"/>
      <c r="L1026" s="2" t="str">
        <f t="shared" si="80"/>
        <v>_</v>
      </c>
      <c r="M1026" s="2"/>
      <c r="N1026" s="2">
        <f>IF(ISBLANK(Table2[[#This Row],[ActualResult]]), 0, 1)</f>
        <v>0</v>
      </c>
      <c r="O1026" s="2" t="str">
        <f>IF(ISBLANK(Table2[[#This Row],[ActualResult]]), "_", IF(Table2[[#This Row],[ActualWinner]]=Table2[[#This Row],[PredictedWinner]], "Y", "N"))</f>
        <v>_</v>
      </c>
      <c r="P10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6" s="2"/>
      <c r="S1026" s="2" t="str">
        <f t="shared" si="81"/>
        <v>_</v>
      </c>
      <c r="T10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6" s="2">
        <f>IF(Table2[[#This Row],[InterConf]]=1,IF(Table2[[#This Row],[InterDiv]]=0, 1, 0), 0)</f>
        <v>1</v>
      </c>
      <c r="W10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6" s="2"/>
      <c r="Y1026" s="2"/>
      <c r="Z1026" s="145">
        <f>IF(AND(Table2[[#This Row],[GameIsOver]]=1,Table2[[#This Row],[ActualHomeScore]]*Table2[[#This Row],[ActualAwayScore]]=0), 1,0)</f>
        <v>0</v>
      </c>
      <c r="AA10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6" s="2">
        <f>Table2[[#This Row],[ActualAwayScore]]-Table2[[#This Row],[PredictedAwayScore]]</f>
        <v>0</v>
      </c>
      <c r="AG1026" s="2">
        <f>Table2[[#This Row],[ActualHomeScore]]-Table2[[#This Row],[PredictedHomeScore]]</f>
        <v>0</v>
      </c>
      <c r="AH1026" s="2">
        <f t="shared" si="82"/>
        <v>0</v>
      </c>
      <c r="AI1026" s="2">
        <f t="shared" si="83"/>
        <v>0</v>
      </c>
      <c r="AJ1026" s="2"/>
      <c r="AK1026" s="3"/>
      <c r="AL1026" s="2">
        <f>IF(Table2[[#This Row],[GameIsOver]]=0,0,IF(Table2[[#This Row],[ActualWinner]]=Table2[[#This Row],[AwayTeam]], 1, 0))</f>
        <v>0</v>
      </c>
      <c r="AM1026" s="2">
        <f>IF(Table2[[#This Row],[GameIsOver]]=0,0,IF(Table2[[#This Row],[ActualWinner]]=Table2[[#This Row],[HomeTeam]], 1, 0))</f>
        <v>0</v>
      </c>
      <c r="AN10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6" s="2" t="str">
        <f>INDEX(Sheet5!$B$2:$AG$33, MATCH(Table2[[#This Row],[AwayTeam]],Sheet5!$A$2:$A$33, 0), MATCH(Table2[[#This Row],[HomeTeam]],Sheet5!$A$2:$A$33, 0))</f>
        <v>0-0-0</v>
      </c>
      <c r="AP1026" s="2" t="str">
        <f>INDEX(Sheet5!$B$2:$AG$33, MATCH(Table2[[#This Row],[HomeTeam]],Sheet5!$A$2:$A$33, 0), MATCH(Table2[[#This Row],[AwayTeam]],Sheet5!$A$2:$A$33, 0))</f>
        <v>0-0-0</v>
      </c>
      <c r="AQ1026" s="2">
        <f>IF(Table2[[#This Row],[GameHasShutOut]], 1, 0)</f>
        <v>0</v>
      </c>
      <c r="AR1026" s="2">
        <f>IF(Table2[[#This Row],[ActualAwayScore]] + Table2[[#This Row],[ActualHomeScore]] &gt;= 10, 1, 0)</f>
        <v>0</v>
      </c>
      <c r="AS1026" s="2">
        <f>IF(ABS(Table2[[#This Row],[ActualAwayScore]]-Table2[[#This Row],[ActualHomeScore]])&gt;=5, 1, 0)</f>
        <v>0</v>
      </c>
      <c r="AT1026" s="2">
        <f>IF(Table2[[#This Row],[ActualAwayScore]] + Table2[[#This Row],[ActualHomeScore]] &lt;= 3, 1, 0)</f>
        <v>1</v>
      </c>
      <c r="AU1026" s="2"/>
      <c r="AV1026" s="2"/>
    </row>
    <row r="1027" spans="1:48" x14ac:dyDescent="0.25">
      <c r="A1027" s="3"/>
      <c r="B1027" s="3">
        <v>46092</v>
      </c>
      <c r="C1027" s="5">
        <v>2025021025</v>
      </c>
      <c r="D1027" s="2" t="s">
        <v>18</v>
      </c>
      <c r="E1027" s="2" t="s">
        <v>29</v>
      </c>
      <c r="F1027" s="2"/>
      <c r="G1027" s="2"/>
      <c r="H1027" s="2" t="str">
        <f t="shared" ref="H1027:H1090" si="84">IF(AND(ISBLANK($F1027),ISBLANK($G1027)),"_",IF($F1027&gt;$G1027,$D1027,$E1027))</f>
        <v>_</v>
      </c>
      <c r="I1027" s="2"/>
      <c r="J1027" s="2"/>
      <c r="K1027" s="2"/>
      <c r="L1027" s="2" t="str">
        <f t="shared" ref="L1027:L1090" si="85">IF(OR($J1027=$K1027,AND(ISBLANK($J1027),ISBLANK($K1027))),"_",IF($J1027&gt;$K1027,$D1027,$E1027))</f>
        <v>_</v>
      </c>
      <c r="M1027" s="2"/>
      <c r="N1027" s="2">
        <f>IF(ISBLANK(Table2[[#This Row],[ActualResult]]), 0, 1)</f>
        <v>0</v>
      </c>
      <c r="O1027" s="2" t="str">
        <f>IF(ISBLANK(Table2[[#This Row],[ActualResult]]), "_", IF(Table2[[#This Row],[ActualWinner]]=Table2[[#This Row],[PredictedWinner]], "Y", "N"))</f>
        <v>_</v>
      </c>
      <c r="P10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7" s="2"/>
      <c r="S1027" s="2" t="str">
        <f t="shared" ref="S1027:S1090" si="86">IF($L1027="_", "_", IF($L1027=$D1027,$E1027,$D1027))</f>
        <v>_</v>
      </c>
      <c r="T10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7" s="2">
        <f>IF(Table2[[#This Row],[InterConf]]=1,IF(Table2[[#This Row],[InterDiv]]=0, 1, 0), 0)</f>
        <v>0</v>
      </c>
      <c r="W10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7" s="2"/>
      <c r="Y1027" s="2"/>
      <c r="Z1027" s="145">
        <f>IF(AND(Table2[[#This Row],[GameIsOver]]=1,Table2[[#This Row],[ActualHomeScore]]*Table2[[#This Row],[ActualAwayScore]]=0), 1,0)</f>
        <v>0</v>
      </c>
      <c r="AA10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7" s="2">
        <f>Table2[[#This Row],[ActualAwayScore]]-Table2[[#This Row],[PredictedAwayScore]]</f>
        <v>0</v>
      </c>
      <c r="AG1027" s="2">
        <f>Table2[[#This Row],[ActualHomeScore]]-Table2[[#This Row],[PredictedHomeScore]]</f>
        <v>0</v>
      </c>
      <c r="AH1027" s="2">
        <f t="shared" ref="AH1027:AH1090" si="87">SUMIF($B$3:$B$1315, $B1027, $AF$3:$AF$1315)</f>
        <v>0</v>
      </c>
      <c r="AI1027" s="2">
        <f t="shared" ref="AI1027:AI1090" si="88">SUMIF($B$3:$B$1315, $B1027, $AG$3:$AG$1315)</f>
        <v>0</v>
      </c>
      <c r="AJ1027" s="2"/>
      <c r="AK1027" s="3"/>
      <c r="AL1027" s="2">
        <f>IF(Table2[[#This Row],[GameIsOver]]=0,0,IF(Table2[[#This Row],[ActualWinner]]=Table2[[#This Row],[AwayTeam]], 1, 0))</f>
        <v>0</v>
      </c>
      <c r="AM1027" s="2">
        <f>IF(Table2[[#This Row],[GameIsOver]]=0,0,IF(Table2[[#This Row],[ActualWinner]]=Table2[[#This Row],[HomeTeam]], 1, 0))</f>
        <v>0</v>
      </c>
      <c r="AN10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7" s="2" t="str">
        <f>INDEX(Sheet5!$B$2:$AG$33, MATCH(Table2[[#This Row],[AwayTeam]],Sheet5!$A$2:$A$33, 0), MATCH(Table2[[#This Row],[HomeTeam]],Sheet5!$A$2:$A$33, 0))</f>
        <v>0-0-0</v>
      </c>
      <c r="AP1027" s="2" t="str">
        <f>INDEX(Sheet5!$B$2:$AG$33, MATCH(Table2[[#This Row],[HomeTeam]],Sheet5!$A$2:$A$33, 0), MATCH(Table2[[#This Row],[AwayTeam]],Sheet5!$A$2:$A$33, 0))</f>
        <v>0-0-0</v>
      </c>
      <c r="AQ1027" s="2">
        <f>IF(Table2[[#This Row],[GameHasShutOut]], 1, 0)</f>
        <v>0</v>
      </c>
      <c r="AR1027" s="2">
        <f>IF(Table2[[#This Row],[ActualAwayScore]] + Table2[[#This Row],[ActualHomeScore]] &gt;= 10, 1, 0)</f>
        <v>0</v>
      </c>
      <c r="AS1027" s="2">
        <f>IF(ABS(Table2[[#This Row],[ActualAwayScore]]-Table2[[#This Row],[ActualHomeScore]])&gt;=5, 1, 0)</f>
        <v>0</v>
      </c>
      <c r="AT1027" s="2">
        <f>IF(Table2[[#This Row],[ActualAwayScore]] + Table2[[#This Row],[ActualHomeScore]] &lt;= 3, 1, 0)</f>
        <v>1</v>
      </c>
      <c r="AU1027" s="2"/>
      <c r="AV1027" s="2"/>
    </row>
    <row r="1028" spans="1:48" x14ac:dyDescent="0.25">
      <c r="A1028" s="3"/>
      <c r="B1028" s="3">
        <v>46092</v>
      </c>
      <c r="C1028" s="5">
        <v>2025021026</v>
      </c>
      <c r="D1028" s="2" t="s">
        <v>43</v>
      </c>
      <c r="E1028" s="2" t="s">
        <v>42</v>
      </c>
      <c r="F1028" s="2"/>
      <c r="G1028" s="2"/>
      <c r="H1028" s="2" t="str">
        <f t="shared" si="84"/>
        <v>_</v>
      </c>
      <c r="I1028" s="2"/>
      <c r="J1028" s="2"/>
      <c r="K1028" s="2"/>
      <c r="L1028" s="2" t="str">
        <f t="shared" si="85"/>
        <v>_</v>
      </c>
      <c r="M1028" s="2"/>
      <c r="N1028" s="2">
        <f>IF(ISBLANK(Table2[[#This Row],[ActualResult]]), 0, 1)</f>
        <v>0</v>
      </c>
      <c r="O1028" s="2" t="str">
        <f>IF(ISBLANK(Table2[[#This Row],[ActualResult]]), "_", IF(Table2[[#This Row],[ActualWinner]]=Table2[[#This Row],[PredictedWinner]], "Y", "N"))</f>
        <v>_</v>
      </c>
      <c r="P10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8" s="2"/>
      <c r="S1028" s="2" t="str">
        <f t="shared" si="86"/>
        <v>_</v>
      </c>
      <c r="T10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8" s="2">
        <f>IF(Table2[[#This Row],[InterConf]]=1,IF(Table2[[#This Row],[InterDiv]]=0, 1, 0), 0)</f>
        <v>0</v>
      </c>
      <c r="W10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8" s="2"/>
      <c r="Y1028" s="2"/>
      <c r="Z1028" s="145">
        <f>IF(AND(Table2[[#This Row],[GameIsOver]]=1,Table2[[#This Row],[ActualHomeScore]]*Table2[[#This Row],[ActualAwayScore]]=0), 1,0)</f>
        <v>0</v>
      </c>
      <c r="AA10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8" s="2">
        <f>Table2[[#This Row],[ActualAwayScore]]-Table2[[#This Row],[PredictedAwayScore]]</f>
        <v>0</v>
      </c>
      <c r="AG1028" s="2">
        <f>Table2[[#This Row],[ActualHomeScore]]-Table2[[#This Row],[PredictedHomeScore]]</f>
        <v>0</v>
      </c>
      <c r="AH1028" s="2">
        <f t="shared" si="87"/>
        <v>0</v>
      </c>
      <c r="AI1028" s="2">
        <f t="shared" si="88"/>
        <v>0</v>
      </c>
      <c r="AJ1028" s="2"/>
      <c r="AK1028" s="3"/>
      <c r="AL1028" s="2">
        <f>IF(Table2[[#This Row],[GameIsOver]]=0,0,IF(Table2[[#This Row],[ActualWinner]]=Table2[[#This Row],[AwayTeam]], 1, 0))</f>
        <v>0</v>
      </c>
      <c r="AM1028" s="2">
        <f>IF(Table2[[#This Row],[GameIsOver]]=0,0,IF(Table2[[#This Row],[ActualWinner]]=Table2[[#This Row],[HomeTeam]], 1, 0))</f>
        <v>0</v>
      </c>
      <c r="AN10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8" s="2" t="str">
        <f>INDEX(Sheet5!$B$2:$AG$33, MATCH(Table2[[#This Row],[AwayTeam]],Sheet5!$A$2:$A$33, 0), MATCH(Table2[[#This Row],[HomeTeam]],Sheet5!$A$2:$A$33, 0))</f>
        <v>0-0-0</v>
      </c>
      <c r="AP1028" s="2" t="str">
        <f>INDEX(Sheet5!$B$2:$AG$33, MATCH(Table2[[#This Row],[HomeTeam]],Sheet5!$A$2:$A$33, 0), MATCH(Table2[[#This Row],[AwayTeam]],Sheet5!$A$2:$A$33, 0))</f>
        <v>0-0-0</v>
      </c>
      <c r="AQ1028" s="2">
        <f>IF(Table2[[#This Row],[GameHasShutOut]], 1, 0)</f>
        <v>0</v>
      </c>
      <c r="AR1028" s="2">
        <f>IF(Table2[[#This Row],[ActualAwayScore]] + Table2[[#This Row],[ActualHomeScore]] &gt;= 10, 1, 0)</f>
        <v>0</v>
      </c>
      <c r="AS1028" s="2">
        <f>IF(ABS(Table2[[#This Row],[ActualAwayScore]]-Table2[[#This Row],[ActualHomeScore]])&gt;=5, 1, 0)</f>
        <v>0</v>
      </c>
      <c r="AT1028" s="2">
        <f>IF(Table2[[#This Row],[ActualAwayScore]] + Table2[[#This Row],[ActualHomeScore]] &lt;= 3, 1, 0)</f>
        <v>1</v>
      </c>
      <c r="AU1028" s="2"/>
      <c r="AV1028" s="2"/>
    </row>
    <row r="1029" spans="1:48" x14ac:dyDescent="0.25">
      <c r="A1029" s="3"/>
      <c r="B1029" s="3">
        <v>46093</v>
      </c>
      <c r="C1029" s="5">
        <v>2025021027</v>
      </c>
      <c r="D1029" s="2" t="s">
        <v>37</v>
      </c>
      <c r="E1029" s="2" t="s">
        <v>15</v>
      </c>
      <c r="F1029" s="2"/>
      <c r="G1029" s="2"/>
      <c r="H1029" s="2" t="str">
        <f t="shared" si="84"/>
        <v>_</v>
      </c>
      <c r="I1029" s="2"/>
      <c r="J1029" s="2"/>
      <c r="K1029" s="2"/>
      <c r="L1029" s="2" t="str">
        <f t="shared" si="85"/>
        <v>_</v>
      </c>
      <c r="M1029" s="2"/>
      <c r="N1029" s="2">
        <f>IF(ISBLANK(Table2[[#This Row],[ActualResult]]), 0, 1)</f>
        <v>0</v>
      </c>
      <c r="O1029" s="2" t="str">
        <f>IF(ISBLANK(Table2[[#This Row],[ActualResult]]), "_", IF(Table2[[#This Row],[ActualWinner]]=Table2[[#This Row],[PredictedWinner]], "Y", "N"))</f>
        <v>_</v>
      </c>
      <c r="P10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9" s="2"/>
      <c r="S1029" s="2" t="str">
        <f t="shared" si="86"/>
        <v>_</v>
      </c>
      <c r="T10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9" s="2">
        <f>IF(Table2[[#This Row],[InterConf]]=1,IF(Table2[[#This Row],[InterDiv]]=0, 1, 0), 0)</f>
        <v>0</v>
      </c>
      <c r="W10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29" s="2"/>
      <c r="Y1029" s="2"/>
      <c r="Z1029" s="145">
        <f>IF(AND(Table2[[#This Row],[GameIsOver]]=1,Table2[[#This Row],[ActualHomeScore]]*Table2[[#This Row],[ActualAwayScore]]=0), 1,0)</f>
        <v>0</v>
      </c>
      <c r="AA10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29" s="2">
        <f>Table2[[#This Row],[ActualAwayScore]]-Table2[[#This Row],[PredictedAwayScore]]</f>
        <v>0</v>
      </c>
      <c r="AG1029" s="2">
        <f>Table2[[#This Row],[ActualHomeScore]]-Table2[[#This Row],[PredictedHomeScore]]</f>
        <v>0</v>
      </c>
      <c r="AH1029" s="2">
        <f t="shared" si="87"/>
        <v>0</v>
      </c>
      <c r="AI1029" s="2">
        <f t="shared" si="88"/>
        <v>0</v>
      </c>
      <c r="AJ1029" s="2"/>
      <c r="AK1029" s="3"/>
      <c r="AL1029" s="2">
        <f>IF(Table2[[#This Row],[GameIsOver]]=0,0,IF(Table2[[#This Row],[ActualWinner]]=Table2[[#This Row],[AwayTeam]], 1, 0))</f>
        <v>0</v>
      </c>
      <c r="AM1029" s="2">
        <f>IF(Table2[[#This Row],[GameIsOver]]=0,0,IF(Table2[[#This Row],[ActualWinner]]=Table2[[#This Row],[HomeTeam]], 1, 0))</f>
        <v>0</v>
      </c>
      <c r="AN10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9" s="2" t="str">
        <f>INDEX(Sheet5!$B$2:$AG$33, MATCH(Table2[[#This Row],[AwayTeam]],Sheet5!$A$2:$A$33, 0), MATCH(Table2[[#This Row],[HomeTeam]],Sheet5!$A$2:$A$33, 0))</f>
        <v>0-0-0</v>
      </c>
      <c r="AP1029" s="2" t="str">
        <f>INDEX(Sheet5!$B$2:$AG$33, MATCH(Table2[[#This Row],[HomeTeam]],Sheet5!$A$2:$A$33, 0), MATCH(Table2[[#This Row],[AwayTeam]],Sheet5!$A$2:$A$33, 0))</f>
        <v>0-0-0</v>
      </c>
      <c r="AQ1029" s="2">
        <f>IF(Table2[[#This Row],[GameHasShutOut]], 1, 0)</f>
        <v>0</v>
      </c>
      <c r="AR1029" s="2">
        <f>IF(Table2[[#This Row],[ActualAwayScore]] + Table2[[#This Row],[ActualHomeScore]] &gt;= 10, 1, 0)</f>
        <v>0</v>
      </c>
      <c r="AS1029" s="2">
        <f>IF(ABS(Table2[[#This Row],[ActualAwayScore]]-Table2[[#This Row],[ActualHomeScore]])&gt;=5, 1, 0)</f>
        <v>0</v>
      </c>
      <c r="AT1029" s="2">
        <f>IF(Table2[[#This Row],[ActualAwayScore]] + Table2[[#This Row],[ActualHomeScore]] &lt;= 3, 1, 0)</f>
        <v>1</v>
      </c>
      <c r="AU1029" s="2"/>
      <c r="AV1029" s="2"/>
    </row>
    <row r="1030" spans="1:48" x14ac:dyDescent="0.25">
      <c r="A1030" s="3"/>
      <c r="B1030" s="3">
        <v>46093</v>
      </c>
      <c r="C1030" s="5">
        <v>2025021028</v>
      </c>
      <c r="D1030" s="2" t="s">
        <v>43</v>
      </c>
      <c r="E1030" s="2" t="s">
        <v>28</v>
      </c>
      <c r="F1030" s="2"/>
      <c r="G1030" s="2"/>
      <c r="H1030" s="2" t="str">
        <f t="shared" si="84"/>
        <v>_</v>
      </c>
      <c r="I1030" s="2"/>
      <c r="J1030" s="2"/>
      <c r="K1030" s="2"/>
      <c r="L1030" s="2" t="str">
        <f t="shared" si="85"/>
        <v>_</v>
      </c>
      <c r="M1030" s="2"/>
      <c r="N1030" s="2">
        <f>IF(ISBLANK(Table2[[#This Row],[ActualResult]]), 0, 1)</f>
        <v>0</v>
      </c>
      <c r="O1030" s="2" t="str">
        <f>IF(ISBLANK(Table2[[#This Row],[ActualResult]]), "_", IF(Table2[[#This Row],[ActualWinner]]=Table2[[#This Row],[PredictedWinner]], "Y", "N"))</f>
        <v>_</v>
      </c>
      <c r="P10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0" s="2"/>
      <c r="S1030" s="2" t="str">
        <f t="shared" si="86"/>
        <v>_</v>
      </c>
      <c r="T10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0" s="2">
        <f>IF(Table2[[#This Row],[InterConf]]=1,IF(Table2[[#This Row],[InterDiv]]=0, 1, 0), 0)</f>
        <v>1</v>
      </c>
      <c r="W10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0" s="2"/>
      <c r="Y1030" s="2"/>
      <c r="Z1030" s="145">
        <f>IF(AND(Table2[[#This Row],[GameIsOver]]=1,Table2[[#This Row],[ActualHomeScore]]*Table2[[#This Row],[ActualAwayScore]]=0), 1,0)</f>
        <v>0</v>
      </c>
      <c r="AA10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0" s="2">
        <f>Table2[[#This Row],[ActualAwayScore]]-Table2[[#This Row],[PredictedAwayScore]]</f>
        <v>0</v>
      </c>
      <c r="AG1030" s="2">
        <f>Table2[[#This Row],[ActualHomeScore]]-Table2[[#This Row],[PredictedHomeScore]]</f>
        <v>0</v>
      </c>
      <c r="AH1030" s="2">
        <f t="shared" si="87"/>
        <v>0</v>
      </c>
      <c r="AI1030" s="2">
        <f t="shared" si="88"/>
        <v>0</v>
      </c>
      <c r="AJ1030" s="2"/>
      <c r="AK1030" s="3"/>
      <c r="AL1030" s="2">
        <f>IF(Table2[[#This Row],[GameIsOver]]=0,0,IF(Table2[[#This Row],[ActualWinner]]=Table2[[#This Row],[AwayTeam]], 1, 0))</f>
        <v>0</v>
      </c>
      <c r="AM1030" s="2">
        <f>IF(Table2[[#This Row],[GameIsOver]]=0,0,IF(Table2[[#This Row],[ActualWinner]]=Table2[[#This Row],[HomeTeam]], 1, 0))</f>
        <v>0</v>
      </c>
      <c r="AN10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0" s="2" t="str">
        <f>INDEX(Sheet5!$B$2:$AG$33, MATCH(Table2[[#This Row],[AwayTeam]],Sheet5!$A$2:$A$33, 0), MATCH(Table2[[#This Row],[HomeTeam]],Sheet5!$A$2:$A$33, 0))</f>
        <v>0-0-0</v>
      </c>
      <c r="AP1030" s="2" t="str">
        <f>INDEX(Sheet5!$B$2:$AG$33, MATCH(Table2[[#This Row],[HomeTeam]],Sheet5!$A$2:$A$33, 0), MATCH(Table2[[#This Row],[AwayTeam]],Sheet5!$A$2:$A$33, 0))</f>
        <v>0-0-0</v>
      </c>
      <c r="AQ1030" s="2">
        <f>IF(Table2[[#This Row],[GameHasShutOut]], 1, 0)</f>
        <v>0</v>
      </c>
      <c r="AR1030" s="2">
        <f>IF(Table2[[#This Row],[ActualAwayScore]] + Table2[[#This Row],[ActualHomeScore]] &gt;= 10, 1, 0)</f>
        <v>0</v>
      </c>
      <c r="AS1030" s="2">
        <f>IF(ABS(Table2[[#This Row],[ActualAwayScore]]-Table2[[#This Row],[ActualHomeScore]])&gt;=5, 1, 0)</f>
        <v>0</v>
      </c>
      <c r="AT1030" s="2">
        <f>IF(Table2[[#This Row],[ActualAwayScore]] + Table2[[#This Row],[ActualHomeScore]] &lt;= 3, 1, 0)</f>
        <v>1</v>
      </c>
      <c r="AU1030" s="2"/>
      <c r="AV1030" s="2"/>
    </row>
    <row r="1031" spans="1:48" x14ac:dyDescent="0.25">
      <c r="A1031" s="3"/>
      <c r="B1031" s="3">
        <v>46093</v>
      </c>
      <c r="C1031" s="5">
        <v>2025021029</v>
      </c>
      <c r="D1031" s="2" t="s">
        <v>44</v>
      </c>
      <c r="E1031" s="2" t="s">
        <v>17</v>
      </c>
      <c r="F1031" s="2"/>
      <c r="G1031" s="2"/>
      <c r="H1031" s="2" t="str">
        <f t="shared" si="84"/>
        <v>_</v>
      </c>
      <c r="I1031" s="2"/>
      <c r="J1031" s="2"/>
      <c r="K1031" s="2"/>
      <c r="L1031" s="2" t="str">
        <f t="shared" si="85"/>
        <v>_</v>
      </c>
      <c r="M1031" s="2"/>
      <c r="N1031" s="2">
        <f>IF(ISBLANK(Table2[[#This Row],[ActualResult]]), 0, 1)</f>
        <v>0</v>
      </c>
      <c r="O1031" s="2" t="str">
        <f>IF(ISBLANK(Table2[[#This Row],[ActualResult]]), "_", IF(Table2[[#This Row],[ActualWinner]]=Table2[[#This Row],[PredictedWinner]], "Y", "N"))</f>
        <v>_</v>
      </c>
      <c r="P10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1" s="2"/>
      <c r="S1031" s="2" t="str">
        <f t="shared" si="86"/>
        <v>_</v>
      </c>
      <c r="T10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1" s="2">
        <f>IF(Table2[[#This Row],[InterConf]]=1,IF(Table2[[#This Row],[InterDiv]]=0, 1, 0), 0)</f>
        <v>0</v>
      </c>
      <c r="W10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1" s="2"/>
      <c r="Y1031" s="2"/>
      <c r="Z1031" s="145">
        <f>IF(AND(Table2[[#This Row],[GameIsOver]]=1,Table2[[#This Row],[ActualHomeScore]]*Table2[[#This Row],[ActualAwayScore]]=0), 1,0)</f>
        <v>0</v>
      </c>
      <c r="AA10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1" s="2">
        <f>Table2[[#This Row],[ActualAwayScore]]-Table2[[#This Row],[PredictedAwayScore]]</f>
        <v>0</v>
      </c>
      <c r="AG1031" s="2">
        <f>Table2[[#This Row],[ActualHomeScore]]-Table2[[#This Row],[PredictedHomeScore]]</f>
        <v>0</v>
      </c>
      <c r="AH1031" s="2">
        <f t="shared" si="87"/>
        <v>0</v>
      </c>
      <c r="AI1031" s="2">
        <f t="shared" si="88"/>
        <v>0</v>
      </c>
      <c r="AJ1031" s="2"/>
      <c r="AK1031" s="3"/>
      <c r="AL1031" s="2">
        <f>IF(Table2[[#This Row],[GameIsOver]]=0,0,IF(Table2[[#This Row],[ActualWinner]]=Table2[[#This Row],[AwayTeam]], 1, 0))</f>
        <v>0</v>
      </c>
      <c r="AM1031" s="2">
        <f>IF(Table2[[#This Row],[GameIsOver]]=0,0,IF(Table2[[#This Row],[ActualWinner]]=Table2[[#This Row],[HomeTeam]], 1, 0))</f>
        <v>0</v>
      </c>
      <c r="AN10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1" s="2" t="str">
        <f>INDEX(Sheet5!$B$2:$AG$33, MATCH(Table2[[#This Row],[AwayTeam]],Sheet5!$A$2:$A$33, 0), MATCH(Table2[[#This Row],[HomeTeam]],Sheet5!$A$2:$A$33, 0))</f>
        <v>0-0-0</v>
      </c>
      <c r="AP1031" s="2" t="str">
        <f>INDEX(Sheet5!$B$2:$AG$33, MATCH(Table2[[#This Row],[HomeTeam]],Sheet5!$A$2:$A$33, 0), MATCH(Table2[[#This Row],[AwayTeam]],Sheet5!$A$2:$A$33, 0))</f>
        <v>0-0-0</v>
      </c>
      <c r="AQ1031" s="2">
        <f>IF(Table2[[#This Row],[GameHasShutOut]], 1, 0)</f>
        <v>0</v>
      </c>
      <c r="AR1031" s="2">
        <f>IF(Table2[[#This Row],[ActualAwayScore]] + Table2[[#This Row],[ActualHomeScore]] &gt;= 10, 1, 0)</f>
        <v>0</v>
      </c>
      <c r="AS1031" s="2">
        <f>IF(ABS(Table2[[#This Row],[ActualAwayScore]]-Table2[[#This Row],[ActualHomeScore]])&gt;=5, 1, 0)</f>
        <v>0</v>
      </c>
      <c r="AT1031" s="2">
        <f>IF(Table2[[#This Row],[ActualAwayScore]] + Table2[[#This Row],[ActualHomeScore]] &lt;= 3, 1, 0)</f>
        <v>1</v>
      </c>
      <c r="AU1031" s="2"/>
      <c r="AV1031" s="2"/>
    </row>
    <row r="1032" spans="1:48" x14ac:dyDescent="0.25">
      <c r="A1032" s="3"/>
      <c r="B1032" s="3">
        <v>46093</v>
      </c>
      <c r="C1032" s="5">
        <v>2025021030</v>
      </c>
      <c r="D1032" s="2" t="s">
        <v>30</v>
      </c>
      <c r="E1032" s="2" t="s">
        <v>40</v>
      </c>
      <c r="F1032" s="2"/>
      <c r="G1032" s="2"/>
      <c r="H1032" s="2" t="str">
        <f t="shared" si="84"/>
        <v>_</v>
      </c>
      <c r="I1032" s="2"/>
      <c r="J1032" s="2"/>
      <c r="K1032" s="2"/>
      <c r="L1032" s="2" t="str">
        <f t="shared" si="85"/>
        <v>_</v>
      </c>
      <c r="M1032" s="2"/>
      <c r="N1032" s="2">
        <f>IF(ISBLANK(Table2[[#This Row],[ActualResult]]), 0, 1)</f>
        <v>0</v>
      </c>
      <c r="O1032" s="2" t="str">
        <f>IF(ISBLANK(Table2[[#This Row],[ActualResult]]), "_", IF(Table2[[#This Row],[ActualWinner]]=Table2[[#This Row],[PredictedWinner]], "Y", "N"))</f>
        <v>_</v>
      </c>
      <c r="P10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2" s="2"/>
      <c r="S1032" s="2" t="str">
        <f t="shared" si="86"/>
        <v>_</v>
      </c>
      <c r="T10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32" s="2">
        <f>IF(Table2[[#This Row],[InterConf]]=1,IF(Table2[[#This Row],[InterDiv]]=0, 1, 0), 0)</f>
        <v>0</v>
      </c>
      <c r="W10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2" s="2"/>
      <c r="Y1032" s="2"/>
      <c r="Z1032" s="145">
        <f>IF(AND(Table2[[#This Row],[GameIsOver]]=1,Table2[[#This Row],[ActualHomeScore]]*Table2[[#This Row],[ActualAwayScore]]=0), 1,0)</f>
        <v>0</v>
      </c>
      <c r="AA10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2" s="2">
        <f>Table2[[#This Row],[ActualAwayScore]]-Table2[[#This Row],[PredictedAwayScore]]</f>
        <v>0</v>
      </c>
      <c r="AG1032" s="2">
        <f>Table2[[#This Row],[ActualHomeScore]]-Table2[[#This Row],[PredictedHomeScore]]</f>
        <v>0</v>
      </c>
      <c r="AH1032" s="2">
        <f t="shared" si="87"/>
        <v>0</v>
      </c>
      <c r="AI1032" s="2">
        <f t="shared" si="88"/>
        <v>0</v>
      </c>
      <c r="AJ1032" s="2"/>
      <c r="AK1032" s="3"/>
      <c r="AL1032" s="2">
        <f>IF(Table2[[#This Row],[GameIsOver]]=0,0,IF(Table2[[#This Row],[ActualWinner]]=Table2[[#This Row],[AwayTeam]], 1, 0))</f>
        <v>0</v>
      </c>
      <c r="AM1032" s="2">
        <f>IF(Table2[[#This Row],[GameIsOver]]=0,0,IF(Table2[[#This Row],[ActualWinner]]=Table2[[#This Row],[HomeTeam]], 1, 0))</f>
        <v>0</v>
      </c>
      <c r="AN10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2" s="2" t="str">
        <f>INDEX(Sheet5!$B$2:$AG$33, MATCH(Table2[[#This Row],[AwayTeam]],Sheet5!$A$2:$A$33, 0), MATCH(Table2[[#This Row],[HomeTeam]],Sheet5!$A$2:$A$33, 0))</f>
        <v>1-0-0</v>
      </c>
      <c r="AP1032" s="2" t="str">
        <f>INDEX(Sheet5!$B$2:$AG$33, MATCH(Table2[[#This Row],[HomeTeam]],Sheet5!$A$2:$A$33, 0), MATCH(Table2[[#This Row],[AwayTeam]],Sheet5!$A$2:$A$33, 0))</f>
        <v>0-0-1</v>
      </c>
      <c r="AQ1032" s="2">
        <f>IF(Table2[[#This Row],[GameHasShutOut]], 1, 0)</f>
        <v>0</v>
      </c>
      <c r="AR1032" s="2">
        <f>IF(Table2[[#This Row],[ActualAwayScore]] + Table2[[#This Row],[ActualHomeScore]] &gt;= 10, 1, 0)</f>
        <v>0</v>
      </c>
      <c r="AS1032" s="2">
        <f>IF(ABS(Table2[[#This Row],[ActualAwayScore]]-Table2[[#This Row],[ActualHomeScore]])&gt;=5, 1, 0)</f>
        <v>0</v>
      </c>
      <c r="AT1032" s="2">
        <f>IF(Table2[[#This Row],[ActualAwayScore]] + Table2[[#This Row],[ActualHomeScore]] &lt;= 3, 1, 0)</f>
        <v>1</v>
      </c>
      <c r="AU1032" s="2"/>
      <c r="AV1032" s="2"/>
    </row>
    <row r="1033" spans="1:48" x14ac:dyDescent="0.25">
      <c r="A1033" s="3"/>
      <c r="B1033" s="3">
        <v>46093</v>
      </c>
      <c r="C1033" s="5">
        <v>2025021031</v>
      </c>
      <c r="D1033" s="2" t="s">
        <v>35</v>
      </c>
      <c r="E1033" s="2" t="s">
        <v>13</v>
      </c>
      <c r="F1033" s="2"/>
      <c r="G1033" s="2"/>
      <c r="H1033" s="2" t="str">
        <f t="shared" si="84"/>
        <v>_</v>
      </c>
      <c r="I1033" s="2"/>
      <c r="J1033" s="2"/>
      <c r="K1033" s="2"/>
      <c r="L1033" s="2" t="str">
        <f t="shared" si="85"/>
        <v>_</v>
      </c>
      <c r="M1033" s="2"/>
      <c r="N1033" s="2">
        <f>IF(ISBLANK(Table2[[#This Row],[ActualResult]]), 0, 1)</f>
        <v>0</v>
      </c>
      <c r="O1033" s="2" t="str">
        <f>IF(ISBLANK(Table2[[#This Row],[ActualResult]]), "_", IF(Table2[[#This Row],[ActualWinner]]=Table2[[#This Row],[PredictedWinner]], "Y", "N"))</f>
        <v>_</v>
      </c>
      <c r="P10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3" s="2"/>
      <c r="S1033" s="2" t="str">
        <f t="shared" si="86"/>
        <v>_</v>
      </c>
      <c r="T10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3" s="2">
        <f>IF(Table2[[#This Row],[InterConf]]=1,IF(Table2[[#This Row],[InterDiv]]=0, 1, 0), 0)</f>
        <v>1</v>
      </c>
      <c r="W10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3" s="2"/>
      <c r="Y1033" s="2"/>
      <c r="Z1033" s="145">
        <f>IF(AND(Table2[[#This Row],[GameIsOver]]=1,Table2[[#This Row],[ActualHomeScore]]*Table2[[#This Row],[ActualAwayScore]]=0), 1,0)</f>
        <v>0</v>
      </c>
      <c r="AA10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3" s="2">
        <f>Table2[[#This Row],[ActualAwayScore]]-Table2[[#This Row],[PredictedAwayScore]]</f>
        <v>0</v>
      </c>
      <c r="AG1033" s="2">
        <f>Table2[[#This Row],[ActualHomeScore]]-Table2[[#This Row],[PredictedHomeScore]]</f>
        <v>0</v>
      </c>
      <c r="AH1033" s="2">
        <f t="shared" si="87"/>
        <v>0</v>
      </c>
      <c r="AI1033" s="2">
        <f t="shared" si="88"/>
        <v>0</v>
      </c>
      <c r="AJ1033" s="2"/>
      <c r="AK1033" s="3"/>
      <c r="AL1033" s="2">
        <f>IF(Table2[[#This Row],[GameIsOver]]=0,0,IF(Table2[[#This Row],[ActualWinner]]=Table2[[#This Row],[AwayTeam]], 1, 0))</f>
        <v>0</v>
      </c>
      <c r="AM1033" s="2">
        <f>IF(Table2[[#This Row],[GameIsOver]]=0,0,IF(Table2[[#This Row],[ActualWinner]]=Table2[[#This Row],[HomeTeam]], 1, 0))</f>
        <v>0</v>
      </c>
      <c r="AN10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3" s="2" t="str">
        <f>INDEX(Sheet5!$B$2:$AG$33, MATCH(Table2[[#This Row],[AwayTeam]],Sheet5!$A$2:$A$33, 0), MATCH(Table2[[#This Row],[HomeTeam]],Sheet5!$A$2:$A$33, 0))</f>
        <v>0-0-0</v>
      </c>
      <c r="AP1033" s="2" t="str">
        <f>INDEX(Sheet5!$B$2:$AG$33, MATCH(Table2[[#This Row],[HomeTeam]],Sheet5!$A$2:$A$33, 0), MATCH(Table2[[#This Row],[AwayTeam]],Sheet5!$A$2:$A$33, 0))</f>
        <v>0-0-0</v>
      </c>
      <c r="AQ1033" s="2">
        <f>IF(Table2[[#This Row],[GameHasShutOut]], 1, 0)</f>
        <v>0</v>
      </c>
      <c r="AR1033" s="2">
        <f>IF(Table2[[#This Row],[ActualAwayScore]] + Table2[[#This Row],[ActualHomeScore]] &gt;= 10, 1, 0)</f>
        <v>0</v>
      </c>
      <c r="AS1033" s="2">
        <f>IF(ABS(Table2[[#This Row],[ActualAwayScore]]-Table2[[#This Row],[ActualHomeScore]])&gt;=5, 1, 0)</f>
        <v>0</v>
      </c>
      <c r="AT1033" s="2">
        <f>IF(Table2[[#This Row],[ActualAwayScore]] + Table2[[#This Row],[ActualHomeScore]] &lt;= 3, 1, 0)</f>
        <v>1</v>
      </c>
      <c r="AU1033" s="2"/>
      <c r="AV1033" s="2"/>
    </row>
    <row r="1034" spans="1:48" x14ac:dyDescent="0.25">
      <c r="A1034" s="3"/>
      <c r="B1034" s="3">
        <v>46093</v>
      </c>
      <c r="C1034" s="5">
        <v>2025021032</v>
      </c>
      <c r="D1034" s="2" t="s">
        <v>23</v>
      </c>
      <c r="E1034" s="2" t="s">
        <v>31</v>
      </c>
      <c r="F1034" s="2"/>
      <c r="G1034" s="2"/>
      <c r="H1034" s="2" t="str">
        <f t="shared" si="84"/>
        <v>_</v>
      </c>
      <c r="I1034" s="2"/>
      <c r="J1034" s="2"/>
      <c r="K1034" s="2"/>
      <c r="L1034" s="2" t="str">
        <f t="shared" si="85"/>
        <v>_</v>
      </c>
      <c r="M1034" s="2"/>
      <c r="N1034" s="2">
        <f>IF(ISBLANK(Table2[[#This Row],[ActualResult]]), 0, 1)</f>
        <v>0</v>
      </c>
      <c r="O1034" s="2" t="str">
        <f>IF(ISBLANK(Table2[[#This Row],[ActualResult]]), "_", IF(Table2[[#This Row],[ActualWinner]]=Table2[[#This Row],[PredictedWinner]], "Y", "N"))</f>
        <v>_</v>
      </c>
      <c r="P10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4" s="2"/>
      <c r="S1034" s="2" t="str">
        <f t="shared" si="86"/>
        <v>_</v>
      </c>
      <c r="T10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4" s="2">
        <f>IF(Table2[[#This Row],[InterConf]]=1,IF(Table2[[#This Row],[InterDiv]]=0, 1, 0), 0)</f>
        <v>0</v>
      </c>
      <c r="W10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4" s="2"/>
      <c r="Y1034" s="2"/>
      <c r="Z1034" s="145">
        <f>IF(AND(Table2[[#This Row],[GameIsOver]]=1,Table2[[#This Row],[ActualHomeScore]]*Table2[[#This Row],[ActualAwayScore]]=0), 1,0)</f>
        <v>0</v>
      </c>
      <c r="AA10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4" s="2">
        <f>Table2[[#This Row],[ActualAwayScore]]-Table2[[#This Row],[PredictedAwayScore]]</f>
        <v>0</v>
      </c>
      <c r="AG1034" s="2">
        <f>Table2[[#This Row],[ActualHomeScore]]-Table2[[#This Row],[PredictedHomeScore]]</f>
        <v>0</v>
      </c>
      <c r="AH1034" s="2">
        <f t="shared" si="87"/>
        <v>0</v>
      </c>
      <c r="AI1034" s="2">
        <f t="shared" si="88"/>
        <v>0</v>
      </c>
      <c r="AJ1034" s="2"/>
      <c r="AK1034" s="3"/>
      <c r="AL1034" s="2">
        <f>IF(Table2[[#This Row],[GameIsOver]]=0,0,IF(Table2[[#This Row],[ActualWinner]]=Table2[[#This Row],[AwayTeam]], 1, 0))</f>
        <v>0</v>
      </c>
      <c r="AM1034" s="2">
        <f>IF(Table2[[#This Row],[GameIsOver]]=0,0,IF(Table2[[#This Row],[ActualWinner]]=Table2[[#This Row],[HomeTeam]], 1, 0))</f>
        <v>0</v>
      </c>
      <c r="AN10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4" s="2" t="str">
        <f>INDEX(Sheet5!$B$2:$AG$33, MATCH(Table2[[#This Row],[AwayTeam]],Sheet5!$A$2:$A$33, 0), MATCH(Table2[[#This Row],[HomeTeam]],Sheet5!$A$2:$A$33, 0))</f>
        <v>0-0-0</v>
      </c>
      <c r="AP1034" s="2" t="str">
        <f>INDEX(Sheet5!$B$2:$AG$33, MATCH(Table2[[#This Row],[HomeTeam]],Sheet5!$A$2:$A$33, 0), MATCH(Table2[[#This Row],[AwayTeam]],Sheet5!$A$2:$A$33, 0))</f>
        <v>0-0-0</v>
      </c>
      <c r="AQ1034" s="2">
        <f>IF(Table2[[#This Row],[GameHasShutOut]], 1, 0)</f>
        <v>0</v>
      </c>
      <c r="AR1034" s="2">
        <f>IF(Table2[[#This Row],[ActualAwayScore]] + Table2[[#This Row],[ActualHomeScore]] &gt;= 10, 1, 0)</f>
        <v>0</v>
      </c>
      <c r="AS1034" s="2">
        <f>IF(ABS(Table2[[#This Row],[ActualAwayScore]]-Table2[[#This Row],[ActualHomeScore]])&gt;=5, 1, 0)</f>
        <v>0</v>
      </c>
      <c r="AT1034" s="2">
        <f>IF(Table2[[#This Row],[ActualAwayScore]] + Table2[[#This Row],[ActualHomeScore]] &lt;= 3, 1, 0)</f>
        <v>1</v>
      </c>
      <c r="AU1034" s="2"/>
      <c r="AV1034" s="2"/>
    </row>
    <row r="1035" spans="1:48" x14ac:dyDescent="0.25">
      <c r="A1035" s="3"/>
      <c r="B1035" s="3">
        <v>46093</v>
      </c>
      <c r="C1035" s="5">
        <v>2025021033</v>
      </c>
      <c r="D1035" s="2" t="s">
        <v>12</v>
      </c>
      <c r="E1035" s="2" t="s">
        <v>41</v>
      </c>
      <c r="F1035" s="2"/>
      <c r="G1035" s="2"/>
      <c r="H1035" s="2" t="str">
        <f t="shared" si="84"/>
        <v>_</v>
      </c>
      <c r="I1035" s="2"/>
      <c r="J1035" s="2"/>
      <c r="K1035" s="2"/>
      <c r="L1035" s="2" t="str">
        <f t="shared" si="85"/>
        <v>_</v>
      </c>
      <c r="M1035" s="2"/>
      <c r="N1035" s="2">
        <f>IF(ISBLANK(Table2[[#This Row],[ActualResult]]), 0, 1)</f>
        <v>0</v>
      </c>
      <c r="O1035" s="2" t="str">
        <f>IF(ISBLANK(Table2[[#This Row],[ActualResult]]), "_", IF(Table2[[#This Row],[ActualWinner]]=Table2[[#This Row],[PredictedWinner]], "Y", "N"))</f>
        <v>_</v>
      </c>
      <c r="P10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5" s="2"/>
      <c r="S1035" s="2" t="str">
        <f t="shared" si="86"/>
        <v>_</v>
      </c>
      <c r="T10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5" s="2">
        <f>IF(Table2[[#This Row],[InterConf]]=1,IF(Table2[[#This Row],[InterDiv]]=0, 1, 0), 0)</f>
        <v>0</v>
      </c>
      <c r="W10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5" s="2"/>
      <c r="Y1035" s="2"/>
      <c r="Z1035" s="145">
        <f>IF(AND(Table2[[#This Row],[GameIsOver]]=1,Table2[[#This Row],[ActualHomeScore]]*Table2[[#This Row],[ActualAwayScore]]=0), 1,0)</f>
        <v>0</v>
      </c>
      <c r="AA10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5" s="2">
        <f>Table2[[#This Row],[ActualAwayScore]]-Table2[[#This Row],[PredictedAwayScore]]</f>
        <v>0</v>
      </c>
      <c r="AG1035" s="2">
        <f>Table2[[#This Row],[ActualHomeScore]]-Table2[[#This Row],[PredictedHomeScore]]</f>
        <v>0</v>
      </c>
      <c r="AH1035" s="2">
        <f t="shared" si="87"/>
        <v>0</v>
      </c>
      <c r="AI1035" s="2">
        <f t="shared" si="88"/>
        <v>0</v>
      </c>
      <c r="AJ1035" s="2"/>
      <c r="AK1035" s="3"/>
      <c r="AL1035" s="2">
        <f>IF(Table2[[#This Row],[GameIsOver]]=0,0,IF(Table2[[#This Row],[ActualWinner]]=Table2[[#This Row],[AwayTeam]], 1, 0))</f>
        <v>0</v>
      </c>
      <c r="AM1035" s="2">
        <f>IF(Table2[[#This Row],[GameIsOver]]=0,0,IF(Table2[[#This Row],[ActualWinner]]=Table2[[#This Row],[HomeTeam]], 1, 0))</f>
        <v>0</v>
      </c>
      <c r="AN10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5" s="2" t="str">
        <f>INDEX(Sheet5!$B$2:$AG$33, MATCH(Table2[[#This Row],[AwayTeam]],Sheet5!$A$2:$A$33, 0), MATCH(Table2[[#This Row],[HomeTeam]],Sheet5!$A$2:$A$33, 0))</f>
        <v>0-0-0</v>
      </c>
      <c r="AP1035" s="2" t="str">
        <f>INDEX(Sheet5!$B$2:$AG$33, MATCH(Table2[[#This Row],[HomeTeam]],Sheet5!$A$2:$A$33, 0), MATCH(Table2[[#This Row],[AwayTeam]],Sheet5!$A$2:$A$33, 0))</f>
        <v>0-0-0</v>
      </c>
      <c r="AQ1035" s="2">
        <f>IF(Table2[[#This Row],[GameHasShutOut]], 1, 0)</f>
        <v>0</v>
      </c>
      <c r="AR1035" s="2">
        <f>IF(Table2[[#This Row],[ActualAwayScore]] + Table2[[#This Row],[ActualHomeScore]] &gt;= 10, 1, 0)</f>
        <v>0</v>
      </c>
      <c r="AS1035" s="2">
        <f>IF(ABS(Table2[[#This Row],[ActualAwayScore]]-Table2[[#This Row],[ActualHomeScore]])&gt;=5, 1, 0)</f>
        <v>0</v>
      </c>
      <c r="AT1035" s="2">
        <f>IF(Table2[[#This Row],[ActualAwayScore]] + Table2[[#This Row],[ActualHomeScore]] &lt;= 3, 1, 0)</f>
        <v>1</v>
      </c>
      <c r="AU1035" s="2"/>
      <c r="AV1035" s="2"/>
    </row>
    <row r="1036" spans="1:48" x14ac:dyDescent="0.25">
      <c r="A1036" s="3"/>
      <c r="B1036" s="3">
        <v>46094</v>
      </c>
      <c r="C1036" s="5">
        <v>2025021034</v>
      </c>
      <c r="D1036" s="2" t="s">
        <v>22</v>
      </c>
      <c r="E1036" s="2" t="s">
        <v>33</v>
      </c>
      <c r="F1036" s="2"/>
      <c r="G1036" s="2"/>
      <c r="H1036" s="2" t="str">
        <f t="shared" si="84"/>
        <v>_</v>
      </c>
      <c r="I1036" s="2"/>
      <c r="J1036" s="2"/>
      <c r="K1036" s="2"/>
      <c r="L1036" s="2" t="str">
        <f t="shared" si="85"/>
        <v>_</v>
      </c>
      <c r="M1036" s="2"/>
      <c r="N1036" s="2">
        <f>IF(ISBLANK(Table2[[#This Row],[ActualResult]]), 0, 1)</f>
        <v>0</v>
      </c>
      <c r="O1036" s="2" t="str">
        <f>IF(ISBLANK(Table2[[#This Row],[ActualResult]]), "_", IF(Table2[[#This Row],[ActualWinner]]=Table2[[#This Row],[PredictedWinner]], "Y", "N"))</f>
        <v>_</v>
      </c>
      <c r="P10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6" s="2"/>
      <c r="S1036" s="2" t="str">
        <f t="shared" si="86"/>
        <v>_</v>
      </c>
      <c r="T10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6" s="2">
        <f>IF(Table2[[#This Row],[InterConf]]=1,IF(Table2[[#This Row],[InterDiv]]=0, 1, 0), 0)</f>
        <v>1</v>
      </c>
      <c r="W10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6" s="2"/>
      <c r="Y1036" s="2"/>
      <c r="Z1036" s="145">
        <f>IF(AND(Table2[[#This Row],[GameIsOver]]=1,Table2[[#This Row],[ActualHomeScore]]*Table2[[#This Row],[ActualAwayScore]]=0), 1,0)</f>
        <v>0</v>
      </c>
      <c r="AA10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6" s="2">
        <f>Table2[[#This Row],[ActualAwayScore]]-Table2[[#This Row],[PredictedAwayScore]]</f>
        <v>0</v>
      </c>
      <c r="AG1036" s="2">
        <f>Table2[[#This Row],[ActualHomeScore]]-Table2[[#This Row],[PredictedHomeScore]]</f>
        <v>0</v>
      </c>
      <c r="AH1036" s="2">
        <f t="shared" si="87"/>
        <v>0</v>
      </c>
      <c r="AI1036" s="2">
        <f t="shared" si="88"/>
        <v>0</v>
      </c>
      <c r="AJ1036" s="2"/>
      <c r="AK1036" s="3"/>
      <c r="AL1036" s="2">
        <f>IF(Table2[[#This Row],[GameIsOver]]=0,0,IF(Table2[[#This Row],[ActualWinner]]=Table2[[#This Row],[AwayTeam]], 1, 0))</f>
        <v>0</v>
      </c>
      <c r="AM1036" s="2">
        <f>IF(Table2[[#This Row],[GameIsOver]]=0,0,IF(Table2[[#This Row],[ActualWinner]]=Table2[[#This Row],[HomeTeam]], 1, 0))</f>
        <v>0</v>
      </c>
      <c r="AN10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6" s="2" t="str">
        <f>INDEX(Sheet5!$B$2:$AG$33, MATCH(Table2[[#This Row],[AwayTeam]],Sheet5!$A$2:$A$33, 0), MATCH(Table2[[#This Row],[HomeTeam]],Sheet5!$A$2:$A$33, 0))</f>
        <v>0-0-0</v>
      </c>
      <c r="AP1036" s="2" t="str">
        <f>INDEX(Sheet5!$B$2:$AG$33, MATCH(Table2[[#This Row],[HomeTeam]],Sheet5!$A$2:$A$33, 0), MATCH(Table2[[#This Row],[AwayTeam]],Sheet5!$A$2:$A$33, 0))</f>
        <v>0-0-0</v>
      </c>
      <c r="AQ1036" s="2">
        <f>IF(Table2[[#This Row],[GameHasShutOut]], 1, 0)</f>
        <v>0</v>
      </c>
      <c r="AR1036" s="2">
        <f>IF(Table2[[#This Row],[ActualAwayScore]] + Table2[[#This Row],[ActualHomeScore]] &gt;= 10, 1, 0)</f>
        <v>0</v>
      </c>
      <c r="AS1036" s="2">
        <f>IF(ABS(Table2[[#This Row],[ActualAwayScore]]-Table2[[#This Row],[ActualHomeScore]])&gt;=5, 1, 0)</f>
        <v>0</v>
      </c>
      <c r="AT1036" s="2">
        <f>IF(Table2[[#This Row],[ActualAwayScore]] + Table2[[#This Row],[ActualHomeScore]] &lt;= 3, 1, 0)</f>
        <v>1</v>
      </c>
      <c r="AU1036" s="2"/>
      <c r="AV1036" s="2"/>
    </row>
    <row r="1037" spans="1:48" x14ac:dyDescent="0.25">
      <c r="A1037" s="3"/>
      <c r="B1037" s="3">
        <v>46094</v>
      </c>
      <c r="C1037" s="5">
        <v>2025021035</v>
      </c>
      <c r="D1037" s="2" t="s">
        <v>42</v>
      </c>
      <c r="E1037" s="2" t="s">
        <v>36</v>
      </c>
      <c r="F1037" s="2"/>
      <c r="G1037" s="2"/>
      <c r="H1037" s="2" t="str">
        <f t="shared" si="84"/>
        <v>_</v>
      </c>
      <c r="I1037" s="2"/>
      <c r="J1037" s="2"/>
      <c r="K1037" s="2"/>
      <c r="L1037" s="2" t="str">
        <f t="shared" si="85"/>
        <v>_</v>
      </c>
      <c r="M1037" s="2"/>
      <c r="N1037" s="2">
        <f>IF(ISBLANK(Table2[[#This Row],[ActualResult]]), 0, 1)</f>
        <v>0</v>
      </c>
      <c r="O1037" s="2" t="str">
        <f>IF(ISBLANK(Table2[[#This Row],[ActualResult]]), "_", IF(Table2[[#This Row],[ActualWinner]]=Table2[[#This Row],[PredictedWinner]], "Y", "N"))</f>
        <v>_</v>
      </c>
      <c r="P10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7" s="2"/>
      <c r="S1037" s="2" t="str">
        <f t="shared" si="86"/>
        <v>_</v>
      </c>
      <c r="T10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7" s="2">
        <f>IF(Table2[[#This Row],[InterConf]]=1,IF(Table2[[#This Row],[InterDiv]]=0, 1, 0), 0)</f>
        <v>0</v>
      </c>
      <c r="W10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7" s="2"/>
      <c r="Y1037" s="2"/>
      <c r="Z1037" s="145">
        <f>IF(AND(Table2[[#This Row],[GameIsOver]]=1,Table2[[#This Row],[ActualHomeScore]]*Table2[[#This Row],[ActualAwayScore]]=0), 1,0)</f>
        <v>0</v>
      </c>
      <c r="AA10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7" s="2">
        <f>Table2[[#This Row],[ActualAwayScore]]-Table2[[#This Row],[PredictedAwayScore]]</f>
        <v>0</v>
      </c>
      <c r="AG1037" s="2">
        <f>Table2[[#This Row],[ActualHomeScore]]-Table2[[#This Row],[PredictedHomeScore]]</f>
        <v>0</v>
      </c>
      <c r="AH1037" s="2">
        <f t="shared" si="87"/>
        <v>0</v>
      </c>
      <c r="AI1037" s="2">
        <f t="shared" si="88"/>
        <v>0</v>
      </c>
      <c r="AJ1037" s="2"/>
      <c r="AK1037" s="3"/>
      <c r="AL1037" s="2">
        <f>IF(Table2[[#This Row],[GameIsOver]]=0,0,IF(Table2[[#This Row],[ActualWinner]]=Table2[[#This Row],[AwayTeam]], 1, 0))</f>
        <v>0</v>
      </c>
      <c r="AM1037" s="2">
        <f>IF(Table2[[#This Row],[GameIsOver]]=0,0,IF(Table2[[#This Row],[ActualWinner]]=Table2[[#This Row],[HomeTeam]], 1, 0))</f>
        <v>0</v>
      </c>
      <c r="AN10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7" s="2" t="str">
        <f>INDEX(Sheet5!$B$2:$AG$33, MATCH(Table2[[#This Row],[AwayTeam]],Sheet5!$A$2:$A$33, 0), MATCH(Table2[[#This Row],[HomeTeam]],Sheet5!$A$2:$A$33, 0))</f>
        <v>1-0-0</v>
      </c>
      <c r="AP1037" s="2" t="str">
        <f>INDEX(Sheet5!$B$2:$AG$33, MATCH(Table2[[#This Row],[HomeTeam]],Sheet5!$A$2:$A$33, 0), MATCH(Table2[[#This Row],[AwayTeam]],Sheet5!$A$2:$A$33, 0))</f>
        <v>0-0-1</v>
      </c>
      <c r="AQ1037" s="2">
        <f>IF(Table2[[#This Row],[GameHasShutOut]], 1, 0)</f>
        <v>0</v>
      </c>
      <c r="AR1037" s="2">
        <f>IF(Table2[[#This Row],[ActualAwayScore]] + Table2[[#This Row],[ActualHomeScore]] &gt;= 10, 1, 0)</f>
        <v>0</v>
      </c>
      <c r="AS1037" s="2">
        <f>IF(ABS(Table2[[#This Row],[ActualAwayScore]]-Table2[[#This Row],[ActualHomeScore]])&gt;=5, 1, 0)</f>
        <v>0</v>
      </c>
      <c r="AT1037" s="2">
        <f>IF(Table2[[#This Row],[ActualAwayScore]] + Table2[[#This Row],[ActualHomeScore]] &lt;= 3, 1, 0)</f>
        <v>1</v>
      </c>
      <c r="AU1037" s="2"/>
      <c r="AV1037" s="2"/>
    </row>
    <row r="1038" spans="1:48" x14ac:dyDescent="0.25">
      <c r="A1038" s="3"/>
      <c r="B1038" s="3">
        <v>46094</v>
      </c>
      <c r="C1038" s="5">
        <v>2025021036</v>
      </c>
      <c r="D1038" s="2" t="s">
        <v>19</v>
      </c>
      <c r="E1038" s="2" t="s">
        <v>21</v>
      </c>
      <c r="F1038" s="2"/>
      <c r="G1038" s="2"/>
      <c r="H1038" s="2" t="str">
        <f t="shared" si="84"/>
        <v>_</v>
      </c>
      <c r="I1038" s="2"/>
      <c r="J1038" s="2"/>
      <c r="K1038" s="2"/>
      <c r="L1038" s="2" t="str">
        <f t="shared" si="85"/>
        <v>_</v>
      </c>
      <c r="M1038" s="2"/>
      <c r="N1038" s="2">
        <f>IF(ISBLANK(Table2[[#This Row],[ActualResult]]), 0, 1)</f>
        <v>0</v>
      </c>
      <c r="O1038" s="2" t="str">
        <f>IF(ISBLANK(Table2[[#This Row],[ActualResult]]), "_", IF(Table2[[#This Row],[ActualWinner]]=Table2[[#This Row],[PredictedWinner]], "Y", "N"))</f>
        <v>_</v>
      </c>
      <c r="P10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8" s="2"/>
      <c r="S1038" s="2" t="str">
        <f t="shared" si="86"/>
        <v>_</v>
      </c>
      <c r="T10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8" s="2">
        <f>IF(Table2[[#This Row],[InterConf]]=1,IF(Table2[[#This Row],[InterDiv]]=0, 1, 0), 0)</f>
        <v>0</v>
      </c>
      <c r="W10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8" s="2"/>
      <c r="Y1038" s="2"/>
      <c r="Z1038" s="145">
        <f>IF(AND(Table2[[#This Row],[GameIsOver]]=1,Table2[[#This Row],[ActualHomeScore]]*Table2[[#This Row],[ActualAwayScore]]=0), 1,0)</f>
        <v>0</v>
      </c>
      <c r="AA10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8" s="2">
        <f>Table2[[#This Row],[ActualAwayScore]]-Table2[[#This Row],[PredictedAwayScore]]</f>
        <v>0</v>
      </c>
      <c r="AG1038" s="2">
        <f>Table2[[#This Row],[ActualHomeScore]]-Table2[[#This Row],[PredictedHomeScore]]</f>
        <v>0</v>
      </c>
      <c r="AH1038" s="2">
        <f t="shared" si="87"/>
        <v>0</v>
      </c>
      <c r="AI1038" s="2">
        <f t="shared" si="88"/>
        <v>0</v>
      </c>
      <c r="AJ1038" s="2"/>
      <c r="AK1038" s="3"/>
      <c r="AL1038" s="2">
        <f>IF(Table2[[#This Row],[GameIsOver]]=0,0,IF(Table2[[#This Row],[ActualWinner]]=Table2[[#This Row],[AwayTeam]], 1, 0))</f>
        <v>0</v>
      </c>
      <c r="AM1038" s="2">
        <f>IF(Table2[[#This Row],[GameIsOver]]=0,0,IF(Table2[[#This Row],[ActualWinner]]=Table2[[#This Row],[HomeTeam]], 1, 0))</f>
        <v>0</v>
      </c>
      <c r="AN10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8" s="2" t="str">
        <f>INDEX(Sheet5!$B$2:$AG$33, MATCH(Table2[[#This Row],[AwayTeam]],Sheet5!$A$2:$A$33, 0), MATCH(Table2[[#This Row],[HomeTeam]],Sheet5!$A$2:$A$33, 0))</f>
        <v>0-0-0</v>
      </c>
      <c r="AP1038" s="2" t="str">
        <f>INDEX(Sheet5!$B$2:$AG$33, MATCH(Table2[[#This Row],[HomeTeam]],Sheet5!$A$2:$A$33, 0), MATCH(Table2[[#This Row],[AwayTeam]],Sheet5!$A$2:$A$33, 0))</f>
        <v>0-0-0</v>
      </c>
      <c r="AQ1038" s="2">
        <f>IF(Table2[[#This Row],[GameHasShutOut]], 1, 0)</f>
        <v>0</v>
      </c>
      <c r="AR1038" s="2">
        <f>IF(Table2[[#This Row],[ActualAwayScore]] + Table2[[#This Row],[ActualHomeScore]] &gt;= 10, 1, 0)</f>
        <v>0</v>
      </c>
      <c r="AS1038" s="2">
        <f>IF(ABS(Table2[[#This Row],[ActualAwayScore]]-Table2[[#This Row],[ActualHomeScore]])&gt;=5, 1, 0)</f>
        <v>0</v>
      </c>
      <c r="AT1038" s="2">
        <f>IF(Table2[[#This Row],[ActualAwayScore]] + Table2[[#This Row],[ActualHomeScore]] &lt;= 3, 1, 0)</f>
        <v>1</v>
      </c>
      <c r="AU1038" s="2"/>
      <c r="AV1038" s="2"/>
    </row>
    <row r="1039" spans="1:48" x14ac:dyDescent="0.25">
      <c r="A1039" s="3"/>
      <c r="B1039" s="3">
        <v>46094</v>
      </c>
      <c r="C1039" s="5">
        <v>2025021037</v>
      </c>
      <c r="D1039" s="2" t="s">
        <v>16</v>
      </c>
      <c r="E1039" s="2" t="s">
        <v>14</v>
      </c>
      <c r="F1039" s="2"/>
      <c r="G1039" s="2"/>
      <c r="H1039" s="2" t="str">
        <f t="shared" si="84"/>
        <v>_</v>
      </c>
      <c r="I1039" s="2"/>
      <c r="J1039" s="2"/>
      <c r="K1039" s="2"/>
      <c r="L1039" s="2" t="str">
        <f t="shared" si="85"/>
        <v>_</v>
      </c>
      <c r="M1039" s="2"/>
      <c r="N1039" s="2">
        <f>IF(ISBLANK(Table2[[#This Row],[ActualResult]]), 0, 1)</f>
        <v>0</v>
      </c>
      <c r="O1039" s="2" t="str">
        <f>IF(ISBLANK(Table2[[#This Row],[ActualResult]]), "_", IF(Table2[[#This Row],[ActualWinner]]=Table2[[#This Row],[PredictedWinner]], "Y", "N"))</f>
        <v>_</v>
      </c>
      <c r="P10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9" s="2"/>
      <c r="S1039" s="2" t="str">
        <f t="shared" si="86"/>
        <v>_</v>
      </c>
      <c r="T10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39" s="2">
        <f>IF(Table2[[#This Row],[InterConf]]=1,IF(Table2[[#This Row],[InterDiv]]=0, 1, 0), 0)</f>
        <v>0</v>
      </c>
      <c r="W10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9" s="2"/>
      <c r="Y1039" s="2"/>
      <c r="Z1039" s="145">
        <f>IF(AND(Table2[[#This Row],[GameIsOver]]=1,Table2[[#This Row],[ActualHomeScore]]*Table2[[#This Row],[ActualAwayScore]]=0), 1,0)</f>
        <v>0</v>
      </c>
      <c r="AA10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9" s="2">
        <f>Table2[[#This Row],[ActualAwayScore]]-Table2[[#This Row],[PredictedAwayScore]]</f>
        <v>0</v>
      </c>
      <c r="AG1039" s="2">
        <f>Table2[[#This Row],[ActualHomeScore]]-Table2[[#This Row],[PredictedHomeScore]]</f>
        <v>0</v>
      </c>
      <c r="AH1039" s="2">
        <f t="shared" si="87"/>
        <v>0</v>
      </c>
      <c r="AI1039" s="2">
        <f t="shared" si="88"/>
        <v>0</v>
      </c>
      <c r="AJ1039" s="2"/>
      <c r="AK1039" s="3"/>
      <c r="AL1039" s="2">
        <f>IF(Table2[[#This Row],[GameIsOver]]=0,0,IF(Table2[[#This Row],[ActualWinner]]=Table2[[#This Row],[AwayTeam]], 1, 0))</f>
        <v>0</v>
      </c>
      <c r="AM1039" s="2">
        <f>IF(Table2[[#This Row],[GameIsOver]]=0,0,IF(Table2[[#This Row],[ActualWinner]]=Table2[[#This Row],[HomeTeam]], 1, 0))</f>
        <v>0</v>
      </c>
      <c r="AN10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9" s="2" t="str">
        <f>INDEX(Sheet5!$B$2:$AG$33, MATCH(Table2[[#This Row],[AwayTeam]],Sheet5!$A$2:$A$33, 0), MATCH(Table2[[#This Row],[HomeTeam]],Sheet5!$A$2:$A$33, 0))</f>
        <v>1-0-0</v>
      </c>
      <c r="AP1039" s="2" t="str">
        <f>INDEX(Sheet5!$B$2:$AG$33, MATCH(Table2[[#This Row],[HomeTeam]],Sheet5!$A$2:$A$33, 0), MATCH(Table2[[#This Row],[AwayTeam]],Sheet5!$A$2:$A$33, 0))</f>
        <v>0-1-0</v>
      </c>
      <c r="AQ1039" s="2">
        <f>IF(Table2[[#This Row],[GameHasShutOut]], 1, 0)</f>
        <v>0</v>
      </c>
      <c r="AR1039" s="2">
        <f>IF(Table2[[#This Row],[ActualAwayScore]] + Table2[[#This Row],[ActualHomeScore]] &gt;= 10, 1, 0)</f>
        <v>0</v>
      </c>
      <c r="AS1039" s="2">
        <f>IF(ABS(Table2[[#This Row],[ActualAwayScore]]-Table2[[#This Row],[ActualHomeScore]])&gt;=5, 1, 0)</f>
        <v>0</v>
      </c>
      <c r="AT1039" s="2">
        <f>IF(Table2[[#This Row],[ActualAwayScore]] + Table2[[#This Row],[ActualHomeScore]] &lt;= 3, 1, 0)</f>
        <v>1</v>
      </c>
      <c r="AU1039" s="2"/>
      <c r="AV1039" s="2"/>
    </row>
    <row r="1040" spans="1:48" x14ac:dyDescent="0.25">
      <c r="A1040" s="3"/>
      <c r="B1040" s="3">
        <v>46094</v>
      </c>
      <c r="C1040" s="5">
        <v>2025021038</v>
      </c>
      <c r="D1040" s="2" t="s">
        <v>34</v>
      </c>
      <c r="E1040" s="2" t="s">
        <v>24</v>
      </c>
      <c r="F1040" s="2"/>
      <c r="G1040" s="2"/>
      <c r="H1040" s="2" t="str">
        <f t="shared" si="84"/>
        <v>_</v>
      </c>
      <c r="I1040" s="2"/>
      <c r="J1040" s="2"/>
      <c r="K1040" s="2"/>
      <c r="L1040" s="2" t="str">
        <f t="shared" si="85"/>
        <v>_</v>
      </c>
      <c r="M1040" s="2"/>
      <c r="N1040" s="2">
        <f>IF(ISBLANK(Table2[[#This Row],[ActualResult]]), 0, 1)</f>
        <v>0</v>
      </c>
      <c r="O1040" s="2" t="str">
        <f>IF(ISBLANK(Table2[[#This Row],[ActualResult]]), "_", IF(Table2[[#This Row],[ActualWinner]]=Table2[[#This Row],[PredictedWinner]], "Y", "N"))</f>
        <v>_</v>
      </c>
      <c r="P10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0" s="2"/>
      <c r="S1040" s="2" t="str">
        <f t="shared" si="86"/>
        <v>_</v>
      </c>
      <c r="T10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0" s="2">
        <f>IF(Table2[[#This Row],[InterConf]]=1,IF(Table2[[#This Row],[InterDiv]]=0, 1, 0), 0)</f>
        <v>1</v>
      </c>
      <c r="W10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0" s="2"/>
      <c r="Y1040" s="2"/>
      <c r="Z1040" s="145">
        <f>IF(AND(Table2[[#This Row],[GameIsOver]]=1,Table2[[#This Row],[ActualHomeScore]]*Table2[[#This Row],[ActualAwayScore]]=0), 1,0)</f>
        <v>0</v>
      </c>
      <c r="AA10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0" s="2">
        <f>Table2[[#This Row],[ActualAwayScore]]-Table2[[#This Row],[PredictedAwayScore]]</f>
        <v>0</v>
      </c>
      <c r="AG1040" s="2">
        <f>Table2[[#This Row],[ActualHomeScore]]-Table2[[#This Row],[PredictedHomeScore]]</f>
        <v>0</v>
      </c>
      <c r="AH1040" s="2">
        <f t="shared" si="87"/>
        <v>0</v>
      </c>
      <c r="AI1040" s="2">
        <f t="shared" si="88"/>
        <v>0</v>
      </c>
      <c r="AJ1040" s="2"/>
      <c r="AK1040" s="3"/>
      <c r="AL1040" s="2">
        <f>IF(Table2[[#This Row],[GameIsOver]]=0,0,IF(Table2[[#This Row],[ActualWinner]]=Table2[[#This Row],[AwayTeam]], 1, 0))</f>
        <v>0</v>
      </c>
      <c r="AM1040" s="2">
        <f>IF(Table2[[#This Row],[GameIsOver]]=0,0,IF(Table2[[#This Row],[ActualWinner]]=Table2[[#This Row],[HomeTeam]], 1, 0))</f>
        <v>0</v>
      </c>
      <c r="AN10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0" s="2" t="str">
        <f>INDEX(Sheet5!$B$2:$AG$33, MATCH(Table2[[#This Row],[AwayTeam]],Sheet5!$A$2:$A$33, 0), MATCH(Table2[[#This Row],[HomeTeam]],Sheet5!$A$2:$A$33, 0))</f>
        <v>0-0-0</v>
      </c>
      <c r="AP1040" s="2" t="str">
        <f>INDEX(Sheet5!$B$2:$AG$33, MATCH(Table2[[#This Row],[HomeTeam]],Sheet5!$A$2:$A$33, 0), MATCH(Table2[[#This Row],[AwayTeam]],Sheet5!$A$2:$A$33, 0))</f>
        <v>0-0-0</v>
      </c>
      <c r="AQ1040" s="2">
        <f>IF(Table2[[#This Row],[GameHasShutOut]], 1, 0)</f>
        <v>0</v>
      </c>
      <c r="AR1040" s="2">
        <f>IF(Table2[[#This Row],[ActualAwayScore]] + Table2[[#This Row],[ActualHomeScore]] &gt;= 10, 1, 0)</f>
        <v>0</v>
      </c>
      <c r="AS1040" s="2">
        <f>IF(ABS(Table2[[#This Row],[ActualAwayScore]]-Table2[[#This Row],[ActualHomeScore]])&gt;=5, 1, 0)</f>
        <v>0</v>
      </c>
      <c r="AT1040" s="2">
        <f>IF(Table2[[#This Row],[ActualAwayScore]] + Table2[[#This Row],[ActualHomeScore]] &lt;= 3, 1, 0)</f>
        <v>1</v>
      </c>
      <c r="AU1040" s="2"/>
      <c r="AV1040" s="2"/>
    </row>
    <row r="1041" spans="1:48" x14ac:dyDescent="0.25">
      <c r="A1041" s="3"/>
      <c r="B1041" s="3">
        <v>46094</v>
      </c>
      <c r="C1041" s="5">
        <v>2025021039</v>
      </c>
      <c r="D1041" s="2" t="s">
        <v>20</v>
      </c>
      <c r="E1041" s="2" t="s">
        <v>26</v>
      </c>
      <c r="F1041" s="2"/>
      <c r="G1041" s="2"/>
      <c r="H1041" s="2" t="str">
        <f t="shared" si="84"/>
        <v>_</v>
      </c>
      <c r="I1041" s="2"/>
      <c r="J1041" s="2"/>
      <c r="K1041" s="2"/>
      <c r="L1041" s="2" t="str">
        <f t="shared" si="85"/>
        <v>_</v>
      </c>
      <c r="M1041" s="2"/>
      <c r="N1041" s="2">
        <f>IF(ISBLANK(Table2[[#This Row],[ActualResult]]), 0, 1)</f>
        <v>0</v>
      </c>
      <c r="O1041" s="2" t="str">
        <f>IF(ISBLANK(Table2[[#This Row],[ActualResult]]), "_", IF(Table2[[#This Row],[ActualWinner]]=Table2[[#This Row],[PredictedWinner]], "Y", "N"))</f>
        <v>_</v>
      </c>
      <c r="P10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1" s="2"/>
      <c r="S1041" s="2" t="str">
        <f t="shared" si="86"/>
        <v>_</v>
      </c>
      <c r="T10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1" s="2">
        <f>IF(Table2[[#This Row],[InterConf]]=1,IF(Table2[[#This Row],[InterDiv]]=0, 1, 0), 0)</f>
        <v>0</v>
      </c>
      <c r="W10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1" s="2"/>
      <c r="Y1041" s="2"/>
      <c r="Z1041" s="145">
        <f>IF(AND(Table2[[#This Row],[GameIsOver]]=1,Table2[[#This Row],[ActualHomeScore]]*Table2[[#This Row],[ActualAwayScore]]=0), 1,0)</f>
        <v>0</v>
      </c>
      <c r="AA10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1" s="2">
        <f>Table2[[#This Row],[ActualAwayScore]]-Table2[[#This Row],[PredictedAwayScore]]</f>
        <v>0</v>
      </c>
      <c r="AG1041" s="2">
        <f>Table2[[#This Row],[ActualHomeScore]]-Table2[[#This Row],[PredictedHomeScore]]</f>
        <v>0</v>
      </c>
      <c r="AH1041" s="2">
        <f t="shared" si="87"/>
        <v>0</v>
      </c>
      <c r="AI1041" s="2">
        <f t="shared" si="88"/>
        <v>0</v>
      </c>
      <c r="AJ1041" s="2"/>
      <c r="AK1041" s="3"/>
      <c r="AL1041" s="2">
        <f>IF(Table2[[#This Row],[GameIsOver]]=0,0,IF(Table2[[#This Row],[ActualWinner]]=Table2[[#This Row],[AwayTeam]], 1, 0))</f>
        <v>0</v>
      </c>
      <c r="AM1041" s="2">
        <f>IF(Table2[[#This Row],[GameIsOver]]=0,0,IF(Table2[[#This Row],[ActualWinner]]=Table2[[#This Row],[HomeTeam]], 1, 0))</f>
        <v>0</v>
      </c>
      <c r="AN10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1" s="2" t="str">
        <f>INDEX(Sheet5!$B$2:$AG$33, MATCH(Table2[[#This Row],[AwayTeam]],Sheet5!$A$2:$A$33, 0), MATCH(Table2[[#This Row],[HomeTeam]],Sheet5!$A$2:$A$33, 0))</f>
        <v>0-0-0</v>
      </c>
      <c r="AP1041" s="2" t="str">
        <f>INDEX(Sheet5!$B$2:$AG$33, MATCH(Table2[[#This Row],[HomeTeam]],Sheet5!$A$2:$A$33, 0), MATCH(Table2[[#This Row],[AwayTeam]],Sheet5!$A$2:$A$33, 0))</f>
        <v>0-0-0</v>
      </c>
      <c r="AQ1041" s="2">
        <f>IF(Table2[[#This Row],[GameHasShutOut]], 1, 0)</f>
        <v>0</v>
      </c>
      <c r="AR1041" s="2">
        <f>IF(Table2[[#This Row],[ActualAwayScore]] + Table2[[#This Row],[ActualHomeScore]] &gt;= 10, 1, 0)</f>
        <v>0</v>
      </c>
      <c r="AS1041" s="2">
        <f>IF(ABS(Table2[[#This Row],[ActualAwayScore]]-Table2[[#This Row],[ActualHomeScore]])&gt;=5, 1, 0)</f>
        <v>0</v>
      </c>
      <c r="AT1041" s="2">
        <f>IF(Table2[[#This Row],[ActualAwayScore]] + Table2[[#This Row],[ActualHomeScore]] &lt;= 3, 1, 0)</f>
        <v>1</v>
      </c>
      <c r="AU1041" s="2"/>
      <c r="AV1041" s="2"/>
    </row>
    <row r="1042" spans="1:48" x14ac:dyDescent="0.25">
      <c r="A1042" s="3"/>
      <c r="B1042" s="3">
        <v>46094</v>
      </c>
      <c r="C1042" s="5">
        <v>2025021040</v>
      </c>
      <c r="D1042" s="2" t="s">
        <v>25</v>
      </c>
      <c r="E1042" s="2" t="s">
        <v>11</v>
      </c>
      <c r="F1042" s="2"/>
      <c r="G1042" s="2"/>
      <c r="H1042" s="2" t="str">
        <f t="shared" si="84"/>
        <v>_</v>
      </c>
      <c r="I1042" s="2"/>
      <c r="J1042" s="2"/>
      <c r="K1042" s="2"/>
      <c r="L1042" s="2" t="str">
        <f t="shared" si="85"/>
        <v>_</v>
      </c>
      <c r="M1042" s="2"/>
      <c r="N1042" s="2">
        <f>IF(ISBLANK(Table2[[#This Row],[ActualResult]]), 0, 1)</f>
        <v>0</v>
      </c>
      <c r="O1042" s="2" t="str">
        <f>IF(ISBLANK(Table2[[#This Row],[ActualResult]]), "_", IF(Table2[[#This Row],[ActualWinner]]=Table2[[#This Row],[PredictedWinner]], "Y", "N"))</f>
        <v>_</v>
      </c>
      <c r="P10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2" s="2"/>
      <c r="S1042" s="2" t="str">
        <f t="shared" si="86"/>
        <v>_</v>
      </c>
      <c r="T10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2" s="2">
        <f>IF(Table2[[#This Row],[InterConf]]=1,IF(Table2[[#This Row],[InterDiv]]=0, 1, 0), 0)</f>
        <v>1</v>
      </c>
      <c r="W10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2" s="2"/>
      <c r="Y1042" s="2"/>
      <c r="Z1042" s="145">
        <f>IF(AND(Table2[[#This Row],[GameIsOver]]=1,Table2[[#This Row],[ActualHomeScore]]*Table2[[#This Row],[ActualAwayScore]]=0), 1,0)</f>
        <v>0</v>
      </c>
      <c r="AA10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2" s="2">
        <f>Table2[[#This Row],[ActualAwayScore]]-Table2[[#This Row],[PredictedAwayScore]]</f>
        <v>0</v>
      </c>
      <c r="AG1042" s="2">
        <f>Table2[[#This Row],[ActualHomeScore]]-Table2[[#This Row],[PredictedHomeScore]]</f>
        <v>0</v>
      </c>
      <c r="AH1042" s="2">
        <f t="shared" si="87"/>
        <v>0</v>
      </c>
      <c r="AI1042" s="2">
        <f t="shared" si="88"/>
        <v>0</v>
      </c>
      <c r="AJ1042" s="2"/>
      <c r="AK1042" s="3"/>
      <c r="AL1042" s="2">
        <f>IF(Table2[[#This Row],[GameIsOver]]=0,0,IF(Table2[[#This Row],[ActualWinner]]=Table2[[#This Row],[AwayTeam]], 1, 0))</f>
        <v>0</v>
      </c>
      <c r="AM1042" s="2">
        <f>IF(Table2[[#This Row],[GameIsOver]]=0,0,IF(Table2[[#This Row],[ActualWinner]]=Table2[[#This Row],[HomeTeam]], 1, 0))</f>
        <v>0</v>
      </c>
      <c r="AN10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2" s="2" t="str">
        <f>INDEX(Sheet5!$B$2:$AG$33, MATCH(Table2[[#This Row],[AwayTeam]],Sheet5!$A$2:$A$33, 0), MATCH(Table2[[#This Row],[HomeTeam]],Sheet5!$A$2:$A$33, 0))</f>
        <v>0-0-0</v>
      </c>
      <c r="AP1042" s="2" t="str">
        <f>INDEX(Sheet5!$B$2:$AG$33, MATCH(Table2[[#This Row],[HomeTeam]],Sheet5!$A$2:$A$33, 0), MATCH(Table2[[#This Row],[AwayTeam]],Sheet5!$A$2:$A$33, 0))</f>
        <v>0-0-0</v>
      </c>
      <c r="AQ1042" s="2">
        <f>IF(Table2[[#This Row],[GameHasShutOut]], 1, 0)</f>
        <v>0</v>
      </c>
      <c r="AR1042" s="2">
        <f>IF(Table2[[#This Row],[ActualAwayScore]] + Table2[[#This Row],[ActualHomeScore]] &gt;= 10, 1, 0)</f>
        <v>0</v>
      </c>
      <c r="AS1042" s="2">
        <f>IF(ABS(Table2[[#This Row],[ActualAwayScore]]-Table2[[#This Row],[ActualHomeScore]])&gt;=5, 1, 0)</f>
        <v>0</v>
      </c>
      <c r="AT1042" s="2">
        <f>IF(Table2[[#This Row],[ActualAwayScore]] + Table2[[#This Row],[ActualHomeScore]] &lt;= 3, 1, 0)</f>
        <v>1</v>
      </c>
      <c r="AU1042" s="2"/>
      <c r="AV1042" s="2"/>
    </row>
    <row r="1043" spans="1:48" x14ac:dyDescent="0.25">
      <c r="A1043" s="3"/>
      <c r="B1043" s="3">
        <v>46094</v>
      </c>
      <c r="C1043" s="5">
        <v>2025021041</v>
      </c>
      <c r="D1043" s="2" t="s">
        <v>27</v>
      </c>
      <c r="E1043" s="2" t="s">
        <v>32</v>
      </c>
      <c r="F1043" s="2"/>
      <c r="G1043" s="2"/>
      <c r="H1043" s="2" t="str">
        <f t="shared" si="84"/>
        <v>_</v>
      </c>
      <c r="I1043" s="2"/>
      <c r="J1043" s="2"/>
      <c r="K1043" s="2"/>
      <c r="L1043" s="2" t="str">
        <f t="shared" si="85"/>
        <v>_</v>
      </c>
      <c r="M1043" s="2"/>
      <c r="N1043" s="2">
        <f>IF(ISBLANK(Table2[[#This Row],[ActualResult]]), 0, 1)</f>
        <v>0</v>
      </c>
      <c r="O1043" s="2" t="str">
        <f>IF(ISBLANK(Table2[[#This Row],[ActualResult]]), "_", IF(Table2[[#This Row],[ActualWinner]]=Table2[[#This Row],[PredictedWinner]], "Y", "N"))</f>
        <v>_</v>
      </c>
      <c r="P10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3" s="2"/>
      <c r="S1043" s="2" t="str">
        <f t="shared" si="86"/>
        <v>_</v>
      </c>
      <c r="T10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3" s="2">
        <f>IF(Table2[[#This Row],[InterConf]]=1,IF(Table2[[#This Row],[InterDiv]]=0, 1, 0), 0)</f>
        <v>0</v>
      </c>
      <c r="W10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3" s="2"/>
      <c r="Y1043" s="2"/>
      <c r="Z1043" s="145">
        <f>IF(AND(Table2[[#This Row],[GameIsOver]]=1,Table2[[#This Row],[ActualHomeScore]]*Table2[[#This Row],[ActualAwayScore]]=0), 1,0)</f>
        <v>0</v>
      </c>
      <c r="AA10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3" s="2">
        <f>Table2[[#This Row],[ActualAwayScore]]-Table2[[#This Row],[PredictedAwayScore]]</f>
        <v>0</v>
      </c>
      <c r="AG1043" s="2">
        <f>Table2[[#This Row],[ActualHomeScore]]-Table2[[#This Row],[PredictedHomeScore]]</f>
        <v>0</v>
      </c>
      <c r="AH1043" s="2">
        <f t="shared" si="87"/>
        <v>0</v>
      </c>
      <c r="AI1043" s="2">
        <f t="shared" si="88"/>
        <v>0</v>
      </c>
      <c r="AJ1043" s="2"/>
      <c r="AK1043" s="3"/>
      <c r="AL1043" s="2">
        <f>IF(Table2[[#This Row],[GameIsOver]]=0,0,IF(Table2[[#This Row],[ActualWinner]]=Table2[[#This Row],[AwayTeam]], 1, 0))</f>
        <v>0</v>
      </c>
      <c r="AM1043" s="2">
        <f>IF(Table2[[#This Row],[GameIsOver]]=0,0,IF(Table2[[#This Row],[ActualWinner]]=Table2[[#This Row],[HomeTeam]], 1, 0))</f>
        <v>0</v>
      </c>
      <c r="AN1043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43" s="2" t="str">
        <f>INDEX(Sheet5!$B$2:$AG$33, MATCH(Table2[[#This Row],[AwayTeam]],Sheet5!$A$2:$A$33, 0), MATCH(Table2[[#This Row],[HomeTeam]],Sheet5!$A$2:$A$33, 0))</f>
        <v>0-0-0</v>
      </c>
      <c r="AP1043" s="2" t="str">
        <f>INDEX(Sheet5!$B$2:$AG$33, MATCH(Table2[[#This Row],[HomeTeam]],Sheet5!$A$2:$A$33, 0), MATCH(Table2[[#This Row],[AwayTeam]],Sheet5!$A$2:$A$33, 0))</f>
        <v>0-0-0</v>
      </c>
      <c r="AQ1043" s="2">
        <f>IF(Table2[[#This Row],[GameHasShutOut]], 1, 0)</f>
        <v>0</v>
      </c>
      <c r="AR1043" s="2">
        <f>IF(Table2[[#This Row],[ActualAwayScore]] + Table2[[#This Row],[ActualHomeScore]] &gt;= 10, 1, 0)</f>
        <v>0</v>
      </c>
      <c r="AS1043" s="2">
        <f>IF(ABS(Table2[[#This Row],[ActualAwayScore]]-Table2[[#This Row],[ActualHomeScore]])&gt;=5, 1, 0)</f>
        <v>0</v>
      </c>
      <c r="AT1043" s="2">
        <f>IF(Table2[[#This Row],[ActualAwayScore]] + Table2[[#This Row],[ActualHomeScore]] &lt;= 3, 1, 0)</f>
        <v>1</v>
      </c>
      <c r="AU1043" s="2"/>
      <c r="AV1043" s="2"/>
    </row>
    <row r="1044" spans="1:48" x14ac:dyDescent="0.25">
      <c r="A1044" s="3"/>
      <c r="B1044" s="3">
        <v>46095</v>
      </c>
      <c r="C1044" s="5">
        <v>2025021042</v>
      </c>
      <c r="D1044" s="2" t="s">
        <v>22</v>
      </c>
      <c r="E1044" s="2" t="s">
        <v>12</v>
      </c>
      <c r="F1044" s="2"/>
      <c r="G1044" s="2"/>
      <c r="H1044" s="2" t="str">
        <f t="shared" si="84"/>
        <v>_</v>
      </c>
      <c r="I1044" s="2"/>
      <c r="J1044" s="2"/>
      <c r="K1044" s="2"/>
      <c r="L1044" s="2" t="str">
        <f t="shared" si="85"/>
        <v>_</v>
      </c>
      <c r="M1044" s="2"/>
      <c r="N1044" s="2">
        <f>IF(ISBLANK(Table2[[#This Row],[ActualResult]]), 0, 1)</f>
        <v>0</v>
      </c>
      <c r="O1044" s="2" t="str">
        <f>IF(ISBLANK(Table2[[#This Row],[ActualResult]]), "_", IF(Table2[[#This Row],[ActualWinner]]=Table2[[#This Row],[PredictedWinner]], "Y", "N"))</f>
        <v>_</v>
      </c>
      <c r="P10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4" s="2"/>
      <c r="S1044" s="2" t="str">
        <f t="shared" si="86"/>
        <v>_</v>
      </c>
      <c r="T10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4" s="2">
        <f>IF(Table2[[#This Row],[InterConf]]=1,IF(Table2[[#This Row],[InterDiv]]=0, 1, 0), 0)</f>
        <v>1</v>
      </c>
      <c r="W10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4" s="2"/>
      <c r="Y1044" s="2"/>
      <c r="Z1044" s="145">
        <f>IF(AND(Table2[[#This Row],[GameIsOver]]=1,Table2[[#This Row],[ActualHomeScore]]*Table2[[#This Row],[ActualAwayScore]]=0), 1,0)</f>
        <v>0</v>
      </c>
      <c r="AA10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4" s="2">
        <f>Table2[[#This Row],[ActualAwayScore]]-Table2[[#This Row],[PredictedAwayScore]]</f>
        <v>0</v>
      </c>
      <c r="AG1044" s="2">
        <f>Table2[[#This Row],[ActualHomeScore]]-Table2[[#This Row],[PredictedHomeScore]]</f>
        <v>0</v>
      </c>
      <c r="AH1044" s="2">
        <f t="shared" si="87"/>
        <v>0</v>
      </c>
      <c r="AI1044" s="2">
        <f t="shared" si="88"/>
        <v>0</v>
      </c>
      <c r="AJ1044" s="2"/>
      <c r="AK1044" s="3"/>
      <c r="AL1044" s="2">
        <f>IF(Table2[[#This Row],[GameIsOver]]=0,0,IF(Table2[[#This Row],[ActualWinner]]=Table2[[#This Row],[AwayTeam]], 1, 0))</f>
        <v>0</v>
      </c>
      <c r="AM1044" s="2">
        <f>IF(Table2[[#This Row],[GameIsOver]]=0,0,IF(Table2[[#This Row],[ActualWinner]]=Table2[[#This Row],[HomeTeam]], 1, 0))</f>
        <v>0</v>
      </c>
      <c r="AN10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4" s="2" t="str">
        <f>INDEX(Sheet5!$B$2:$AG$33, MATCH(Table2[[#This Row],[AwayTeam]],Sheet5!$A$2:$A$33, 0), MATCH(Table2[[#This Row],[HomeTeam]],Sheet5!$A$2:$A$33, 0))</f>
        <v>0-0-0</v>
      </c>
      <c r="AP1044" s="2" t="str">
        <f>INDEX(Sheet5!$B$2:$AG$33, MATCH(Table2[[#This Row],[HomeTeam]],Sheet5!$A$2:$A$33, 0), MATCH(Table2[[#This Row],[AwayTeam]],Sheet5!$A$2:$A$33, 0))</f>
        <v>0-0-0</v>
      </c>
      <c r="AQ1044" s="2">
        <f>IF(Table2[[#This Row],[GameHasShutOut]], 1, 0)</f>
        <v>0</v>
      </c>
      <c r="AR1044" s="2">
        <f>IF(Table2[[#This Row],[ActualAwayScore]] + Table2[[#This Row],[ActualHomeScore]] &gt;= 10, 1, 0)</f>
        <v>0</v>
      </c>
      <c r="AS1044" s="2">
        <f>IF(ABS(Table2[[#This Row],[ActualAwayScore]]-Table2[[#This Row],[ActualHomeScore]])&gt;=5, 1, 0)</f>
        <v>0</v>
      </c>
      <c r="AT1044" s="2">
        <f>IF(Table2[[#This Row],[ActualAwayScore]] + Table2[[#This Row],[ActualHomeScore]] &lt;= 3, 1, 0)</f>
        <v>1</v>
      </c>
      <c r="AU1044" s="2"/>
      <c r="AV1044" s="2"/>
    </row>
    <row r="1045" spans="1:48" x14ac:dyDescent="0.25">
      <c r="A1045" s="3"/>
      <c r="B1045" s="3">
        <v>46095</v>
      </c>
      <c r="C1045" s="5">
        <v>2025021043</v>
      </c>
      <c r="D1045" s="2" t="s">
        <v>44</v>
      </c>
      <c r="E1045" s="2" t="s">
        <v>29</v>
      </c>
      <c r="F1045" s="2"/>
      <c r="G1045" s="2"/>
      <c r="H1045" s="2" t="str">
        <f t="shared" si="84"/>
        <v>_</v>
      </c>
      <c r="I1045" s="2"/>
      <c r="J1045" s="2"/>
      <c r="K1045" s="2"/>
      <c r="L1045" s="2" t="str">
        <f t="shared" si="85"/>
        <v>_</v>
      </c>
      <c r="M1045" s="2"/>
      <c r="N1045" s="2">
        <f>IF(ISBLANK(Table2[[#This Row],[ActualResult]]), 0, 1)</f>
        <v>0</v>
      </c>
      <c r="O1045" s="2" t="str">
        <f>IF(ISBLANK(Table2[[#This Row],[ActualResult]]), "_", IF(Table2[[#This Row],[ActualWinner]]=Table2[[#This Row],[PredictedWinner]], "Y", "N"))</f>
        <v>_</v>
      </c>
      <c r="P10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5" s="2"/>
      <c r="S1045" s="2" t="str">
        <f t="shared" si="86"/>
        <v>_</v>
      </c>
      <c r="T10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5" s="2">
        <f>IF(Table2[[#This Row],[InterConf]]=1,IF(Table2[[#This Row],[InterDiv]]=0, 1, 0), 0)</f>
        <v>0</v>
      </c>
      <c r="W10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5" s="2"/>
      <c r="Y1045" s="2"/>
      <c r="Z1045" s="145">
        <f>IF(AND(Table2[[#This Row],[GameIsOver]]=1,Table2[[#This Row],[ActualHomeScore]]*Table2[[#This Row],[ActualAwayScore]]=0), 1,0)</f>
        <v>0</v>
      </c>
      <c r="AA10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5" s="2">
        <f>Table2[[#This Row],[ActualAwayScore]]-Table2[[#This Row],[PredictedAwayScore]]</f>
        <v>0</v>
      </c>
      <c r="AG1045" s="2">
        <f>Table2[[#This Row],[ActualHomeScore]]-Table2[[#This Row],[PredictedHomeScore]]</f>
        <v>0</v>
      </c>
      <c r="AH1045" s="2">
        <f t="shared" si="87"/>
        <v>0</v>
      </c>
      <c r="AI1045" s="2">
        <f t="shared" si="88"/>
        <v>0</v>
      </c>
      <c r="AJ1045" s="2"/>
      <c r="AK1045" s="3"/>
      <c r="AL1045" s="2">
        <f>IF(Table2[[#This Row],[GameIsOver]]=0,0,IF(Table2[[#This Row],[ActualWinner]]=Table2[[#This Row],[AwayTeam]], 1, 0))</f>
        <v>0</v>
      </c>
      <c r="AM1045" s="2">
        <f>IF(Table2[[#This Row],[GameIsOver]]=0,0,IF(Table2[[#This Row],[ActualWinner]]=Table2[[#This Row],[HomeTeam]], 1, 0))</f>
        <v>0</v>
      </c>
      <c r="AN10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5" s="2" t="str">
        <f>INDEX(Sheet5!$B$2:$AG$33, MATCH(Table2[[#This Row],[AwayTeam]],Sheet5!$A$2:$A$33, 0), MATCH(Table2[[#This Row],[HomeTeam]],Sheet5!$A$2:$A$33, 0))</f>
        <v>0-0-0</v>
      </c>
      <c r="AP1045" s="2" t="str">
        <f>INDEX(Sheet5!$B$2:$AG$33, MATCH(Table2[[#This Row],[HomeTeam]],Sheet5!$A$2:$A$33, 0), MATCH(Table2[[#This Row],[AwayTeam]],Sheet5!$A$2:$A$33, 0))</f>
        <v>0-0-0</v>
      </c>
      <c r="AQ1045" s="2">
        <f>IF(Table2[[#This Row],[GameHasShutOut]], 1, 0)</f>
        <v>0</v>
      </c>
      <c r="AR1045" s="2">
        <f>IF(Table2[[#This Row],[ActualAwayScore]] + Table2[[#This Row],[ActualHomeScore]] &gt;= 10, 1, 0)</f>
        <v>0</v>
      </c>
      <c r="AS1045" s="2">
        <f>IF(ABS(Table2[[#This Row],[ActualAwayScore]]-Table2[[#This Row],[ActualHomeScore]])&gt;=5, 1, 0)</f>
        <v>0</v>
      </c>
      <c r="AT1045" s="2">
        <f>IF(Table2[[#This Row],[ActualAwayScore]] + Table2[[#This Row],[ActualHomeScore]] &lt;= 3, 1, 0)</f>
        <v>1</v>
      </c>
      <c r="AU1045" s="2"/>
      <c r="AV1045" s="2"/>
    </row>
    <row r="1046" spans="1:48" x14ac:dyDescent="0.25">
      <c r="A1046" s="3"/>
      <c r="B1046" s="3">
        <v>46095</v>
      </c>
      <c r="C1046" s="5">
        <v>2025021044</v>
      </c>
      <c r="D1046" s="2" t="s">
        <v>15</v>
      </c>
      <c r="E1046" s="2" t="s">
        <v>43</v>
      </c>
      <c r="F1046" s="2"/>
      <c r="G1046" s="2"/>
      <c r="H1046" s="2" t="str">
        <f t="shared" si="84"/>
        <v>_</v>
      </c>
      <c r="I1046" s="2"/>
      <c r="J1046" s="2"/>
      <c r="K1046" s="2"/>
      <c r="L1046" s="2" t="str">
        <f t="shared" si="85"/>
        <v>_</v>
      </c>
      <c r="M1046" s="2"/>
      <c r="N1046" s="2">
        <f>IF(ISBLANK(Table2[[#This Row],[ActualResult]]), 0, 1)</f>
        <v>0</v>
      </c>
      <c r="O1046" s="2" t="str">
        <f>IF(ISBLANK(Table2[[#This Row],[ActualResult]]), "_", IF(Table2[[#This Row],[ActualWinner]]=Table2[[#This Row],[PredictedWinner]], "Y", "N"))</f>
        <v>_</v>
      </c>
      <c r="P10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6" s="2"/>
      <c r="S1046" s="2" t="str">
        <f t="shared" si="86"/>
        <v>_</v>
      </c>
      <c r="T10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6" s="2">
        <f>IF(Table2[[#This Row],[InterConf]]=1,IF(Table2[[#This Row],[InterDiv]]=0, 1, 0), 0)</f>
        <v>1</v>
      </c>
      <c r="W10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6" s="2"/>
      <c r="Y1046" s="2"/>
      <c r="Z1046" s="145">
        <f>IF(AND(Table2[[#This Row],[GameIsOver]]=1,Table2[[#This Row],[ActualHomeScore]]*Table2[[#This Row],[ActualAwayScore]]=0), 1,0)</f>
        <v>0</v>
      </c>
      <c r="AA10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6" s="2">
        <f>Table2[[#This Row],[ActualAwayScore]]-Table2[[#This Row],[PredictedAwayScore]]</f>
        <v>0</v>
      </c>
      <c r="AG1046" s="2">
        <f>Table2[[#This Row],[ActualHomeScore]]-Table2[[#This Row],[PredictedHomeScore]]</f>
        <v>0</v>
      </c>
      <c r="AH1046" s="2">
        <f t="shared" si="87"/>
        <v>0</v>
      </c>
      <c r="AI1046" s="2">
        <f t="shared" si="88"/>
        <v>0</v>
      </c>
      <c r="AJ1046" s="2"/>
      <c r="AK1046" s="3"/>
      <c r="AL1046" s="2">
        <f>IF(Table2[[#This Row],[GameIsOver]]=0,0,IF(Table2[[#This Row],[ActualWinner]]=Table2[[#This Row],[AwayTeam]], 1, 0))</f>
        <v>0</v>
      </c>
      <c r="AM1046" s="2">
        <f>IF(Table2[[#This Row],[GameIsOver]]=0,0,IF(Table2[[#This Row],[ActualWinner]]=Table2[[#This Row],[HomeTeam]], 1, 0))</f>
        <v>0</v>
      </c>
      <c r="AN10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6" s="2" t="str">
        <f>INDEX(Sheet5!$B$2:$AG$33, MATCH(Table2[[#This Row],[AwayTeam]],Sheet5!$A$2:$A$33, 0), MATCH(Table2[[#This Row],[HomeTeam]],Sheet5!$A$2:$A$33, 0))</f>
        <v>1-0-0</v>
      </c>
      <c r="AP1046" s="2" t="str">
        <f>INDEX(Sheet5!$B$2:$AG$33, MATCH(Table2[[#This Row],[HomeTeam]],Sheet5!$A$2:$A$33, 0), MATCH(Table2[[#This Row],[AwayTeam]],Sheet5!$A$2:$A$33, 0))</f>
        <v>0-1-0</v>
      </c>
      <c r="AQ1046" s="2">
        <f>IF(Table2[[#This Row],[GameHasShutOut]], 1, 0)</f>
        <v>0</v>
      </c>
      <c r="AR1046" s="2">
        <f>IF(Table2[[#This Row],[ActualAwayScore]] + Table2[[#This Row],[ActualHomeScore]] &gt;= 10, 1, 0)</f>
        <v>0</v>
      </c>
      <c r="AS1046" s="2">
        <f>IF(ABS(Table2[[#This Row],[ActualAwayScore]]-Table2[[#This Row],[ActualHomeScore]])&gt;=5, 1, 0)</f>
        <v>0</v>
      </c>
      <c r="AT1046" s="2">
        <f>IF(Table2[[#This Row],[ActualAwayScore]] + Table2[[#This Row],[ActualHomeScore]] &lt;= 3, 1, 0)</f>
        <v>1</v>
      </c>
      <c r="AU1046" s="2"/>
      <c r="AV1046" s="2"/>
    </row>
    <row r="1047" spans="1:48" x14ac:dyDescent="0.25">
      <c r="A1047" s="3"/>
      <c r="B1047" s="3">
        <v>46095</v>
      </c>
      <c r="C1047" s="5">
        <v>2025021045</v>
      </c>
      <c r="D1047" s="2" t="s">
        <v>25</v>
      </c>
      <c r="E1047" s="2" t="s">
        <v>21</v>
      </c>
      <c r="F1047" s="2"/>
      <c r="G1047" s="2"/>
      <c r="H1047" s="2" t="str">
        <f t="shared" si="84"/>
        <v>_</v>
      </c>
      <c r="I1047" s="2"/>
      <c r="J1047" s="2"/>
      <c r="K1047" s="2"/>
      <c r="L1047" s="2" t="str">
        <f t="shared" si="85"/>
        <v>_</v>
      </c>
      <c r="M1047" s="2"/>
      <c r="N1047" s="2">
        <f>IF(ISBLANK(Table2[[#This Row],[ActualResult]]), 0, 1)</f>
        <v>0</v>
      </c>
      <c r="O1047" s="2" t="str">
        <f>IF(ISBLANK(Table2[[#This Row],[ActualResult]]), "_", IF(Table2[[#This Row],[ActualWinner]]=Table2[[#This Row],[PredictedWinner]], "Y", "N"))</f>
        <v>_</v>
      </c>
      <c r="P10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7" s="2"/>
      <c r="S1047" s="2" t="str">
        <f t="shared" si="86"/>
        <v>_</v>
      </c>
      <c r="T10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47" s="2">
        <f>IF(Table2[[#This Row],[InterConf]]=1,IF(Table2[[#This Row],[InterDiv]]=0, 1, 0), 0)</f>
        <v>0</v>
      </c>
      <c r="W10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7" s="2"/>
      <c r="Y1047" s="2"/>
      <c r="Z1047" s="145">
        <f>IF(AND(Table2[[#This Row],[GameIsOver]]=1,Table2[[#This Row],[ActualHomeScore]]*Table2[[#This Row],[ActualAwayScore]]=0), 1,0)</f>
        <v>0</v>
      </c>
      <c r="AA10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7" s="2">
        <f>Table2[[#This Row],[ActualAwayScore]]-Table2[[#This Row],[PredictedAwayScore]]</f>
        <v>0</v>
      </c>
      <c r="AG1047" s="2">
        <f>Table2[[#This Row],[ActualHomeScore]]-Table2[[#This Row],[PredictedHomeScore]]</f>
        <v>0</v>
      </c>
      <c r="AH1047" s="2">
        <f t="shared" si="87"/>
        <v>0</v>
      </c>
      <c r="AI1047" s="2">
        <f t="shared" si="88"/>
        <v>0</v>
      </c>
      <c r="AJ1047" s="2"/>
      <c r="AK1047" s="3"/>
      <c r="AL1047" s="2">
        <f>IF(Table2[[#This Row],[GameIsOver]]=0,0,IF(Table2[[#This Row],[ActualWinner]]=Table2[[#This Row],[AwayTeam]], 1, 0))</f>
        <v>0</v>
      </c>
      <c r="AM1047" s="2">
        <f>IF(Table2[[#This Row],[GameIsOver]]=0,0,IF(Table2[[#This Row],[ActualWinner]]=Table2[[#This Row],[HomeTeam]], 1, 0))</f>
        <v>0</v>
      </c>
      <c r="AN10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7" s="2" t="str">
        <f>INDEX(Sheet5!$B$2:$AG$33, MATCH(Table2[[#This Row],[AwayTeam]],Sheet5!$A$2:$A$33, 0), MATCH(Table2[[#This Row],[HomeTeam]],Sheet5!$A$2:$A$33, 0))</f>
        <v>0-0-0</v>
      </c>
      <c r="AP1047" s="2" t="str">
        <f>INDEX(Sheet5!$B$2:$AG$33, MATCH(Table2[[#This Row],[HomeTeam]],Sheet5!$A$2:$A$33, 0), MATCH(Table2[[#This Row],[AwayTeam]],Sheet5!$A$2:$A$33, 0))</f>
        <v>0-0-0</v>
      </c>
      <c r="AQ1047" s="2">
        <f>IF(Table2[[#This Row],[GameHasShutOut]], 1, 0)</f>
        <v>0</v>
      </c>
      <c r="AR1047" s="2">
        <f>IF(Table2[[#This Row],[ActualAwayScore]] + Table2[[#This Row],[ActualHomeScore]] &gt;= 10, 1, 0)</f>
        <v>0</v>
      </c>
      <c r="AS1047" s="2">
        <f>IF(ABS(Table2[[#This Row],[ActualAwayScore]]-Table2[[#This Row],[ActualHomeScore]])&gt;=5, 1, 0)</f>
        <v>0</v>
      </c>
      <c r="AT1047" s="2">
        <f>IF(Table2[[#This Row],[ActualAwayScore]] + Table2[[#This Row],[ActualHomeScore]] &lt;= 3, 1, 0)</f>
        <v>1</v>
      </c>
      <c r="AU1047" s="2"/>
      <c r="AV1047" s="2"/>
    </row>
    <row r="1048" spans="1:48" x14ac:dyDescent="0.25">
      <c r="A1048" s="3"/>
      <c r="B1048" s="3">
        <v>46095</v>
      </c>
      <c r="C1048" s="5">
        <v>2025021046</v>
      </c>
      <c r="D1048" s="2" t="s">
        <v>19</v>
      </c>
      <c r="E1048" s="2" t="s">
        <v>36</v>
      </c>
      <c r="F1048" s="2"/>
      <c r="G1048" s="2"/>
      <c r="H1048" s="2" t="str">
        <f t="shared" si="84"/>
        <v>_</v>
      </c>
      <c r="I1048" s="2"/>
      <c r="J1048" s="2"/>
      <c r="K1048" s="2"/>
      <c r="L1048" s="2" t="str">
        <f t="shared" si="85"/>
        <v>_</v>
      </c>
      <c r="M1048" s="2"/>
      <c r="N1048" s="2">
        <f>IF(ISBLANK(Table2[[#This Row],[ActualResult]]), 0, 1)</f>
        <v>0</v>
      </c>
      <c r="O1048" s="2" t="str">
        <f>IF(ISBLANK(Table2[[#This Row],[ActualResult]]), "_", IF(Table2[[#This Row],[ActualWinner]]=Table2[[#This Row],[PredictedWinner]], "Y", "N"))</f>
        <v>_</v>
      </c>
      <c r="P10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8" s="2"/>
      <c r="S1048" s="2" t="str">
        <f t="shared" si="86"/>
        <v>_</v>
      </c>
      <c r="T10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8" s="2">
        <f>IF(Table2[[#This Row],[InterConf]]=1,IF(Table2[[#This Row],[InterDiv]]=0, 1, 0), 0)</f>
        <v>0</v>
      </c>
      <c r="W10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8" s="2"/>
      <c r="Y1048" s="2"/>
      <c r="Z1048" s="145">
        <f>IF(AND(Table2[[#This Row],[GameIsOver]]=1,Table2[[#This Row],[ActualHomeScore]]*Table2[[#This Row],[ActualAwayScore]]=0), 1,0)</f>
        <v>0</v>
      </c>
      <c r="AA10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8" s="2">
        <f>Table2[[#This Row],[ActualAwayScore]]-Table2[[#This Row],[PredictedAwayScore]]</f>
        <v>0</v>
      </c>
      <c r="AG1048" s="2">
        <f>Table2[[#This Row],[ActualHomeScore]]-Table2[[#This Row],[PredictedHomeScore]]</f>
        <v>0</v>
      </c>
      <c r="AH1048" s="2">
        <f t="shared" si="87"/>
        <v>0</v>
      </c>
      <c r="AI1048" s="2">
        <f t="shared" si="88"/>
        <v>0</v>
      </c>
      <c r="AJ1048" s="2"/>
      <c r="AK1048" s="3"/>
      <c r="AL1048" s="2">
        <f>IF(Table2[[#This Row],[GameIsOver]]=0,0,IF(Table2[[#This Row],[ActualWinner]]=Table2[[#This Row],[AwayTeam]], 1, 0))</f>
        <v>0</v>
      </c>
      <c r="AM1048" s="2">
        <f>IF(Table2[[#This Row],[GameIsOver]]=0,0,IF(Table2[[#This Row],[ActualWinner]]=Table2[[#This Row],[HomeTeam]], 1, 0))</f>
        <v>0</v>
      </c>
      <c r="AN10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8" s="2" t="str">
        <f>INDEX(Sheet5!$B$2:$AG$33, MATCH(Table2[[#This Row],[AwayTeam]],Sheet5!$A$2:$A$33, 0), MATCH(Table2[[#This Row],[HomeTeam]],Sheet5!$A$2:$A$33, 0))</f>
        <v>0-1-0</v>
      </c>
      <c r="AP1048" s="2" t="str">
        <f>INDEX(Sheet5!$B$2:$AG$33, MATCH(Table2[[#This Row],[HomeTeam]],Sheet5!$A$2:$A$33, 0), MATCH(Table2[[#This Row],[AwayTeam]],Sheet5!$A$2:$A$33, 0))</f>
        <v>1-0-0</v>
      </c>
      <c r="AQ1048" s="2">
        <f>IF(Table2[[#This Row],[GameHasShutOut]], 1, 0)</f>
        <v>0</v>
      </c>
      <c r="AR1048" s="2">
        <f>IF(Table2[[#This Row],[ActualAwayScore]] + Table2[[#This Row],[ActualHomeScore]] &gt;= 10, 1, 0)</f>
        <v>0</v>
      </c>
      <c r="AS1048" s="2">
        <f>IF(ABS(Table2[[#This Row],[ActualAwayScore]]-Table2[[#This Row],[ActualHomeScore]])&gt;=5, 1, 0)</f>
        <v>0</v>
      </c>
      <c r="AT1048" s="2">
        <f>IF(Table2[[#This Row],[ActualAwayScore]] + Table2[[#This Row],[ActualHomeScore]] &lt;= 3, 1, 0)</f>
        <v>1</v>
      </c>
      <c r="AU1048" s="2"/>
      <c r="AV1048" s="2"/>
    </row>
    <row r="1049" spans="1:48" x14ac:dyDescent="0.25">
      <c r="A1049" s="3"/>
      <c r="B1049" s="3">
        <v>46095</v>
      </c>
      <c r="C1049" s="5">
        <v>2025021047</v>
      </c>
      <c r="D1049" s="2" t="s">
        <v>17</v>
      </c>
      <c r="E1049" s="2" t="s">
        <v>28</v>
      </c>
      <c r="F1049" s="2"/>
      <c r="G1049" s="2"/>
      <c r="H1049" s="2" t="str">
        <f t="shared" si="84"/>
        <v>_</v>
      </c>
      <c r="I1049" s="2"/>
      <c r="J1049" s="2"/>
      <c r="K1049" s="2"/>
      <c r="L1049" s="2" t="str">
        <f t="shared" si="85"/>
        <v>_</v>
      </c>
      <c r="M1049" s="2"/>
      <c r="N1049" s="2">
        <f>IF(ISBLANK(Table2[[#This Row],[ActualResult]]), 0, 1)</f>
        <v>0</v>
      </c>
      <c r="O1049" s="2" t="str">
        <f>IF(ISBLANK(Table2[[#This Row],[ActualResult]]), "_", IF(Table2[[#This Row],[ActualWinner]]=Table2[[#This Row],[PredictedWinner]], "Y", "N"))</f>
        <v>_</v>
      </c>
      <c r="P10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9" s="2"/>
      <c r="S1049" s="2" t="str">
        <f t="shared" si="86"/>
        <v>_</v>
      </c>
      <c r="T10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49" s="2">
        <f>IF(Table2[[#This Row],[InterConf]]=1,IF(Table2[[#This Row],[InterDiv]]=0, 1, 0), 0)</f>
        <v>0</v>
      </c>
      <c r="W10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9" s="2"/>
      <c r="Y1049" s="2"/>
      <c r="Z1049" s="145">
        <f>IF(AND(Table2[[#This Row],[GameIsOver]]=1,Table2[[#This Row],[ActualHomeScore]]*Table2[[#This Row],[ActualAwayScore]]=0), 1,0)</f>
        <v>0</v>
      </c>
      <c r="AA10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9" s="2">
        <f>Table2[[#This Row],[ActualAwayScore]]-Table2[[#This Row],[PredictedAwayScore]]</f>
        <v>0</v>
      </c>
      <c r="AG1049" s="2">
        <f>Table2[[#This Row],[ActualHomeScore]]-Table2[[#This Row],[PredictedHomeScore]]</f>
        <v>0</v>
      </c>
      <c r="AH1049" s="2">
        <f t="shared" si="87"/>
        <v>0</v>
      </c>
      <c r="AI1049" s="2">
        <f t="shared" si="88"/>
        <v>0</v>
      </c>
      <c r="AJ1049" s="2"/>
      <c r="AK1049" s="3"/>
      <c r="AL1049" s="2">
        <f>IF(Table2[[#This Row],[GameIsOver]]=0,0,IF(Table2[[#This Row],[ActualWinner]]=Table2[[#This Row],[AwayTeam]], 1, 0))</f>
        <v>0</v>
      </c>
      <c r="AM1049" s="2">
        <f>IF(Table2[[#This Row],[GameIsOver]]=0,0,IF(Table2[[#This Row],[ActualWinner]]=Table2[[#This Row],[HomeTeam]], 1, 0))</f>
        <v>0</v>
      </c>
      <c r="AN10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9" s="2" t="str">
        <f>INDEX(Sheet5!$B$2:$AG$33, MATCH(Table2[[#This Row],[AwayTeam]],Sheet5!$A$2:$A$33, 0), MATCH(Table2[[#This Row],[HomeTeam]],Sheet5!$A$2:$A$33, 0))</f>
        <v>0-0-0</v>
      </c>
      <c r="AP1049" s="2" t="str">
        <f>INDEX(Sheet5!$B$2:$AG$33, MATCH(Table2[[#This Row],[HomeTeam]],Sheet5!$A$2:$A$33, 0), MATCH(Table2[[#This Row],[AwayTeam]],Sheet5!$A$2:$A$33, 0))</f>
        <v>0-0-0</v>
      </c>
      <c r="AQ1049" s="2">
        <f>IF(Table2[[#This Row],[GameHasShutOut]], 1, 0)</f>
        <v>0</v>
      </c>
      <c r="AR1049" s="2">
        <f>IF(Table2[[#This Row],[ActualAwayScore]] + Table2[[#This Row],[ActualHomeScore]] &gt;= 10, 1, 0)</f>
        <v>0</v>
      </c>
      <c r="AS1049" s="2">
        <f>IF(ABS(Table2[[#This Row],[ActualAwayScore]]-Table2[[#This Row],[ActualHomeScore]])&gt;=5, 1, 0)</f>
        <v>0</v>
      </c>
      <c r="AT1049" s="2">
        <f>IF(Table2[[#This Row],[ActualAwayScore]] + Table2[[#This Row],[ActualHomeScore]] &lt;= 3, 1, 0)</f>
        <v>1</v>
      </c>
      <c r="AU1049" s="2"/>
      <c r="AV1049" s="2"/>
    </row>
    <row r="1050" spans="1:48" x14ac:dyDescent="0.25">
      <c r="A1050" s="3"/>
      <c r="B1050" s="3">
        <v>46095</v>
      </c>
      <c r="C1050" s="5">
        <v>2025021048</v>
      </c>
      <c r="D1050" s="2" t="s">
        <v>37</v>
      </c>
      <c r="E1050" s="2" t="s">
        <v>18</v>
      </c>
      <c r="F1050" s="2"/>
      <c r="G1050" s="2"/>
      <c r="H1050" s="2" t="str">
        <f t="shared" si="84"/>
        <v>_</v>
      </c>
      <c r="I1050" s="2"/>
      <c r="J1050" s="2"/>
      <c r="K1050" s="2"/>
      <c r="L1050" s="2" t="str">
        <f t="shared" si="85"/>
        <v>_</v>
      </c>
      <c r="M1050" s="2"/>
      <c r="N1050" s="2">
        <f>IF(ISBLANK(Table2[[#This Row],[ActualResult]]), 0, 1)</f>
        <v>0</v>
      </c>
      <c r="O1050" s="2" t="str">
        <f>IF(ISBLANK(Table2[[#This Row],[ActualResult]]), "_", IF(Table2[[#This Row],[ActualWinner]]=Table2[[#This Row],[PredictedWinner]], "Y", "N"))</f>
        <v>_</v>
      </c>
      <c r="P10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0" s="2"/>
      <c r="S1050" s="2" t="str">
        <f t="shared" si="86"/>
        <v>_</v>
      </c>
      <c r="T10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0" s="2">
        <f>IF(Table2[[#This Row],[InterConf]]=1,IF(Table2[[#This Row],[InterDiv]]=0, 1, 0), 0)</f>
        <v>0</v>
      </c>
      <c r="W10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0" s="2"/>
      <c r="Y1050" s="2"/>
      <c r="Z1050" s="145">
        <f>IF(AND(Table2[[#This Row],[GameIsOver]]=1,Table2[[#This Row],[ActualHomeScore]]*Table2[[#This Row],[ActualAwayScore]]=0), 1,0)</f>
        <v>0</v>
      </c>
      <c r="AA10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0" s="2">
        <f>Table2[[#This Row],[ActualAwayScore]]-Table2[[#This Row],[PredictedAwayScore]]</f>
        <v>0</v>
      </c>
      <c r="AG1050" s="2">
        <f>Table2[[#This Row],[ActualHomeScore]]-Table2[[#This Row],[PredictedHomeScore]]</f>
        <v>0</v>
      </c>
      <c r="AH1050" s="2">
        <f t="shared" si="87"/>
        <v>0</v>
      </c>
      <c r="AI1050" s="2">
        <f t="shared" si="88"/>
        <v>0</v>
      </c>
      <c r="AJ1050" s="2"/>
      <c r="AK1050" s="3"/>
      <c r="AL1050" s="2">
        <f>IF(Table2[[#This Row],[GameIsOver]]=0,0,IF(Table2[[#This Row],[ActualWinner]]=Table2[[#This Row],[AwayTeam]], 1, 0))</f>
        <v>0</v>
      </c>
      <c r="AM1050" s="2">
        <f>IF(Table2[[#This Row],[GameIsOver]]=0,0,IF(Table2[[#This Row],[ActualWinner]]=Table2[[#This Row],[HomeTeam]], 1, 0))</f>
        <v>0</v>
      </c>
      <c r="AN10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0" s="2" t="str">
        <f>INDEX(Sheet5!$B$2:$AG$33, MATCH(Table2[[#This Row],[AwayTeam]],Sheet5!$A$2:$A$33, 0), MATCH(Table2[[#This Row],[HomeTeam]],Sheet5!$A$2:$A$33, 0))</f>
        <v>0-0-0</v>
      </c>
      <c r="AP1050" s="2" t="str">
        <f>INDEX(Sheet5!$B$2:$AG$33, MATCH(Table2[[#This Row],[HomeTeam]],Sheet5!$A$2:$A$33, 0), MATCH(Table2[[#This Row],[AwayTeam]],Sheet5!$A$2:$A$33, 0))</f>
        <v>0-0-0</v>
      </c>
      <c r="AQ1050" s="2">
        <f>IF(Table2[[#This Row],[GameHasShutOut]], 1, 0)</f>
        <v>0</v>
      </c>
      <c r="AR1050" s="2">
        <f>IF(Table2[[#This Row],[ActualAwayScore]] + Table2[[#This Row],[ActualHomeScore]] &gt;= 10, 1, 0)</f>
        <v>0</v>
      </c>
      <c r="AS1050" s="2">
        <f>IF(ABS(Table2[[#This Row],[ActualAwayScore]]-Table2[[#This Row],[ActualHomeScore]])&gt;=5, 1, 0)</f>
        <v>0</v>
      </c>
      <c r="AT1050" s="2">
        <f>IF(Table2[[#This Row],[ActualAwayScore]] + Table2[[#This Row],[ActualHomeScore]] &lt;= 3, 1, 0)</f>
        <v>1</v>
      </c>
      <c r="AU1050" s="2"/>
      <c r="AV1050" s="2"/>
    </row>
    <row r="1051" spans="1:48" x14ac:dyDescent="0.25">
      <c r="A1051" s="3"/>
      <c r="B1051" s="3">
        <v>46095</v>
      </c>
      <c r="C1051" s="5">
        <v>2025021049</v>
      </c>
      <c r="D1051" s="2" t="s">
        <v>41</v>
      </c>
      <c r="E1051" s="2" t="s">
        <v>40</v>
      </c>
      <c r="F1051" s="2"/>
      <c r="G1051" s="2"/>
      <c r="H1051" s="2" t="str">
        <f t="shared" si="84"/>
        <v>_</v>
      </c>
      <c r="I1051" s="2"/>
      <c r="J1051" s="2"/>
      <c r="K1051" s="2"/>
      <c r="L1051" s="2" t="str">
        <f t="shared" si="85"/>
        <v>_</v>
      </c>
      <c r="M1051" s="2"/>
      <c r="N1051" s="2">
        <f>IF(ISBLANK(Table2[[#This Row],[ActualResult]]), 0, 1)</f>
        <v>0</v>
      </c>
      <c r="O1051" s="2" t="str">
        <f>IF(ISBLANK(Table2[[#This Row],[ActualResult]]), "_", IF(Table2[[#This Row],[ActualWinner]]=Table2[[#This Row],[PredictedWinner]], "Y", "N"))</f>
        <v>_</v>
      </c>
      <c r="P10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1" s="2"/>
      <c r="S1051" s="2" t="str">
        <f t="shared" si="86"/>
        <v>_</v>
      </c>
      <c r="T10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1" s="2">
        <f>IF(Table2[[#This Row],[InterConf]]=1,IF(Table2[[#This Row],[InterDiv]]=0, 1, 0), 0)</f>
        <v>1</v>
      </c>
      <c r="W10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1" s="2"/>
      <c r="Y1051" s="2"/>
      <c r="Z1051" s="145">
        <f>IF(AND(Table2[[#This Row],[GameIsOver]]=1,Table2[[#This Row],[ActualHomeScore]]*Table2[[#This Row],[ActualAwayScore]]=0), 1,0)</f>
        <v>0</v>
      </c>
      <c r="AA10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1" s="2">
        <f>Table2[[#This Row],[ActualAwayScore]]-Table2[[#This Row],[PredictedAwayScore]]</f>
        <v>0</v>
      </c>
      <c r="AG1051" s="2">
        <f>Table2[[#This Row],[ActualHomeScore]]-Table2[[#This Row],[PredictedHomeScore]]</f>
        <v>0</v>
      </c>
      <c r="AH1051" s="2">
        <f t="shared" si="87"/>
        <v>0</v>
      </c>
      <c r="AI1051" s="2">
        <f t="shared" si="88"/>
        <v>0</v>
      </c>
      <c r="AJ1051" s="2"/>
      <c r="AK1051" s="3"/>
      <c r="AL1051" s="2">
        <f>IF(Table2[[#This Row],[GameIsOver]]=0,0,IF(Table2[[#This Row],[ActualWinner]]=Table2[[#This Row],[AwayTeam]], 1, 0))</f>
        <v>0</v>
      </c>
      <c r="AM1051" s="2">
        <f>IF(Table2[[#This Row],[GameIsOver]]=0,0,IF(Table2[[#This Row],[ActualWinner]]=Table2[[#This Row],[HomeTeam]], 1, 0))</f>
        <v>0</v>
      </c>
      <c r="AN10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1" s="2" t="str">
        <f>INDEX(Sheet5!$B$2:$AG$33, MATCH(Table2[[#This Row],[AwayTeam]],Sheet5!$A$2:$A$33, 0), MATCH(Table2[[#This Row],[HomeTeam]],Sheet5!$A$2:$A$33, 0))</f>
        <v>0-0-0</v>
      </c>
      <c r="AP1051" s="2" t="str">
        <f>INDEX(Sheet5!$B$2:$AG$33, MATCH(Table2[[#This Row],[HomeTeam]],Sheet5!$A$2:$A$33, 0), MATCH(Table2[[#This Row],[AwayTeam]],Sheet5!$A$2:$A$33, 0))</f>
        <v>0-0-0</v>
      </c>
      <c r="AQ1051" s="2">
        <f>IF(Table2[[#This Row],[GameHasShutOut]], 1, 0)</f>
        <v>0</v>
      </c>
      <c r="AR1051" s="2">
        <f>IF(Table2[[#This Row],[ActualAwayScore]] + Table2[[#This Row],[ActualHomeScore]] &gt;= 10, 1, 0)</f>
        <v>0</v>
      </c>
      <c r="AS1051" s="2">
        <f>IF(ABS(Table2[[#This Row],[ActualAwayScore]]-Table2[[#This Row],[ActualHomeScore]])&gt;=5, 1, 0)</f>
        <v>0</v>
      </c>
      <c r="AT1051" s="2">
        <f>IF(Table2[[#This Row],[ActualAwayScore]] + Table2[[#This Row],[ActualHomeScore]] &lt;= 3, 1, 0)</f>
        <v>1</v>
      </c>
      <c r="AU1051" s="2"/>
      <c r="AV1051" s="2"/>
    </row>
    <row r="1052" spans="1:48" x14ac:dyDescent="0.25">
      <c r="A1052" s="3"/>
      <c r="B1052" s="3">
        <v>46095</v>
      </c>
      <c r="C1052" s="5">
        <v>2025021050</v>
      </c>
      <c r="D1052" s="2" t="s">
        <v>27</v>
      </c>
      <c r="E1052" s="2" t="s">
        <v>31</v>
      </c>
      <c r="F1052" s="2"/>
      <c r="G1052" s="2"/>
      <c r="H1052" s="2" t="str">
        <f t="shared" si="84"/>
        <v>_</v>
      </c>
      <c r="I1052" s="2"/>
      <c r="J1052" s="2"/>
      <c r="K1052" s="2"/>
      <c r="L1052" s="2" t="str">
        <f t="shared" si="85"/>
        <v>_</v>
      </c>
      <c r="M1052" s="2"/>
      <c r="N1052" s="2">
        <f>IF(ISBLANK(Table2[[#This Row],[ActualResult]]), 0, 1)</f>
        <v>0</v>
      </c>
      <c r="O1052" s="2" t="str">
        <f>IF(ISBLANK(Table2[[#This Row],[ActualResult]]), "_", IF(Table2[[#This Row],[ActualWinner]]=Table2[[#This Row],[PredictedWinner]], "Y", "N"))</f>
        <v>_</v>
      </c>
      <c r="P10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2" s="2"/>
      <c r="S1052" s="2" t="str">
        <f t="shared" si="86"/>
        <v>_</v>
      </c>
      <c r="T10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2" s="2">
        <f>IF(Table2[[#This Row],[InterConf]]=1,IF(Table2[[#This Row],[InterDiv]]=0, 1, 0), 0)</f>
        <v>0</v>
      </c>
      <c r="W10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2" s="2"/>
      <c r="Y1052" s="2"/>
      <c r="Z1052" s="145">
        <f>IF(AND(Table2[[#This Row],[GameIsOver]]=1,Table2[[#This Row],[ActualHomeScore]]*Table2[[#This Row],[ActualAwayScore]]=0), 1,0)</f>
        <v>0</v>
      </c>
      <c r="AA10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2" s="2">
        <f>Table2[[#This Row],[ActualAwayScore]]-Table2[[#This Row],[PredictedAwayScore]]</f>
        <v>0</v>
      </c>
      <c r="AG1052" s="2">
        <f>Table2[[#This Row],[ActualHomeScore]]-Table2[[#This Row],[PredictedHomeScore]]</f>
        <v>0</v>
      </c>
      <c r="AH1052" s="2">
        <f t="shared" si="87"/>
        <v>0</v>
      </c>
      <c r="AI1052" s="2">
        <f t="shared" si="88"/>
        <v>0</v>
      </c>
      <c r="AJ1052" s="2"/>
      <c r="AK1052" s="3"/>
      <c r="AL1052" s="2">
        <f>IF(Table2[[#This Row],[GameIsOver]]=0,0,IF(Table2[[#This Row],[ActualWinner]]=Table2[[#This Row],[AwayTeam]], 1, 0))</f>
        <v>0</v>
      </c>
      <c r="AM1052" s="2">
        <f>IF(Table2[[#This Row],[GameIsOver]]=0,0,IF(Table2[[#This Row],[ActualWinner]]=Table2[[#This Row],[HomeTeam]], 1, 0))</f>
        <v>0</v>
      </c>
      <c r="AN1052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52" s="2" t="str">
        <f>INDEX(Sheet5!$B$2:$AG$33, MATCH(Table2[[#This Row],[AwayTeam]],Sheet5!$A$2:$A$33, 0), MATCH(Table2[[#This Row],[HomeTeam]],Sheet5!$A$2:$A$33, 0))</f>
        <v>0-0-0</v>
      </c>
      <c r="AP1052" s="2" t="str">
        <f>INDEX(Sheet5!$B$2:$AG$33, MATCH(Table2[[#This Row],[HomeTeam]],Sheet5!$A$2:$A$33, 0), MATCH(Table2[[#This Row],[AwayTeam]],Sheet5!$A$2:$A$33, 0))</f>
        <v>0-0-0</v>
      </c>
      <c r="AQ1052" s="2">
        <f>IF(Table2[[#This Row],[GameHasShutOut]], 1, 0)</f>
        <v>0</v>
      </c>
      <c r="AR1052" s="2">
        <f>IF(Table2[[#This Row],[ActualAwayScore]] + Table2[[#This Row],[ActualHomeScore]] &gt;= 10, 1, 0)</f>
        <v>0</v>
      </c>
      <c r="AS1052" s="2">
        <f>IF(ABS(Table2[[#This Row],[ActualAwayScore]]-Table2[[#This Row],[ActualHomeScore]])&gt;=5, 1, 0)</f>
        <v>0</v>
      </c>
      <c r="AT1052" s="2">
        <f>IF(Table2[[#This Row],[ActualAwayScore]] + Table2[[#This Row],[ActualHomeScore]] &lt;= 3, 1, 0)</f>
        <v>1</v>
      </c>
      <c r="AU1052" s="2"/>
      <c r="AV1052" s="2"/>
    </row>
    <row r="1053" spans="1:48" x14ac:dyDescent="0.25">
      <c r="A1053" s="3"/>
      <c r="B1053" s="3">
        <v>46095</v>
      </c>
      <c r="C1053" s="5">
        <v>2025021051</v>
      </c>
      <c r="D1053" s="2" t="s">
        <v>23</v>
      </c>
      <c r="E1053" s="2" t="s">
        <v>32</v>
      </c>
      <c r="F1053" s="2"/>
      <c r="G1053" s="2"/>
      <c r="H1053" s="2" t="str">
        <f t="shared" si="84"/>
        <v>_</v>
      </c>
      <c r="I1053" s="2"/>
      <c r="J1053" s="2"/>
      <c r="K1053" s="2"/>
      <c r="L1053" s="2" t="str">
        <f t="shared" si="85"/>
        <v>_</v>
      </c>
      <c r="M1053" s="2"/>
      <c r="N1053" s="2">
        <f>IF(ISBLANK(Table2[[#This Row],[ActualResult]]), 0, 1)</f>
        <v>0</v>
      </c>
      <c r="O1053" s="2" t="str">
        <f>IF(ISBLANK(Table2[[#This Row],[ActualResult]]), "_", IF(Table2[[#This Row],[ActualWinner]]=Table2[[#This Row],[PredictedWinner]], "Y", "N"))</f>
        <v>_</v>
      </c>
      <c r="P10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3" s="2"/>
      <c r="S1053" s="2" t="str">
        <f t="shared" si="86"/>
        <v>_</v>
      </c>
      <c r="T10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3" s="2">
        <f>IF(Table2[[#This Row],[InterConf]]=1,IF(Table2[[#This Row],[InterDiv]]=0, 1, 0), 0)</f>
        <v>0</v>
      </c>
      <c r="W10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3" s="2"/>
      <c r="Y1053" s="2"/>
      <c r="Z1053" s="145">
        <f>IF(AND(Table2[[#This Row],[GameIsOver]]=1,Table2[[#This Row],[ActualHomeScore]]*Table2[[#This Row],[ActualAwayScore]]=0), 1,0)</f>
        <v>0</v>
      </c>
      <c r="AA10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3" s="2">
        <f>Table2[[#This Row],[ActualAwayScore]]-Table2[[#This Row],[PredictedAwayScore]]</f>
        <v>0</v>
      </c>
      <c r="AG1053" s="2">
        <f>Table2[[#This Row],[ActualHomeScore]]-Table2[[#This Row],[PredictedHomeScore]]</f>
        <v>0</v>
      </c>
      <c r="AH1053" s="2">
        <f t="shared" si="87"/>
        <v>0</v>
      </c>
      <c r="AI1053" s="2">
        <f t="shared" si="88"/>
        <v>0</v>
      </c>
      <c r="AJ1053" s="2"/>
      <c r="AK1053" s="3"/>
      <c r="AL1053" s="2">
        <f>IF(Table2[[#This Row],[GameIsOver]]=0,0,IF(Table2[[#This Row],[ActualWinner]]=Table2[[#This Row],[AwayTeam]], 1, 0))</f>
        <v>0</v>
      </c>
      <c r="AM1053" s="2">
        <f>IF(Table2[[#This Row],[GameIsOver]]=0,0,IF(Table2[[#This Row],[ActualWinner]]=Table2[[#This Row],[HomeTeam]], 1, 0))</f>
        <v>0</v>
      </c>
      <c r="AN10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3" s="2" t="str">
        <f>INDEX(Sheet5!$B$2:$AG$33, MATCH(Table2[[#This Row],[AwayTeam]],Sheet5!$A$2:$A$33, 0), MATCH(Table2[[#This Row],[HomeTeam]],Sheet5!$A$2:$A$33, 0))</f>
        <v>0-0-0</v>
      </c>
      <c r="AP1053" s="2" t="str">
        <f>INDEX(Sheet5!$B$2:$AG$33, MATCH(Table2[[#This Row],[HomeTeam]],Sheet5!$A$2:$A$33, 0), MATCH(Table2[[#This Row],[AwayTeam]],Sheet5!$A$2:$A$33, 0))</f>
        <v>0-0-0</v>
      </c>
      <c r="AQ1053" s="2">
        <f>IF(Table2[[#This Row],[GameHasShutOut]], 1, 0)</f>
        <v>0</v>
      </c>
      <c r="AR1053" s="2">
        <f>IF(Table2[[#This Row],[ActualAwayScore]] + Table2[[#This Row],[ActualHomeScore]] &gt;= 10, 1, 0)</f>
        <v>0</v>
      </c>
      <c r="AS1053" s="2">
        <f>IF(ABS(Table2[[#This Row],[ActualAwayScore]]-Table2[[#This Row],[ActualHomeScore]])&gt;=5, 1, 0)</f>
        <v>0</v>
      </c>
      <c r="AT1053" s="2">
        <f>IF(Table2[[#This Row],[ActualAwayScore]] + Table2[[#This Row],[ActualHomeScore]] &lt;= 3, 1, 0)</f>
        <v>1</v>
      </c>
      <c r="AU1053" s="2"/>
      <c r="AV1053" s="2"/>
    </row>
    <row r="1054" spans="1:48" x14ac:dyDescent="0.25">
      <c r="A1054" s="3"/>
      <c r="B1054" s="3">
        <v>46095</v>
      </c>
      <c r="C1054" s="5">
        <v>2025021052</v>
      </c>
      <c r="D1054" s="2" t="s">
        <v>35</v>
      </c>
      <c r="E1054" s="2" t="s">
        <v>42</v>
      </c>
      <c r="F1054" s="2"/>
      <c r="G1054" s="2"/>
      <c r="H1054" s="2" t="str">
        <f t="shared" si="84"/>
        <v>_</v>
      </c>
      <c r="I1054" s="2"/>
      <c r="J1054" s="2"/>
      <c r="K1054" s="2"/>
      <c r="L1054" s="2" t="str">
        <f t="shared" si="85"/>
        <v>_</v>
      </c>
      <c r="M1054" s="2"/>
      <c r="N1054" s="2">
        <f>IF(ISBLANK(Table2[[#This Row],[ActualResult]]), 0, 1)</f>
        <v>0</v>
      </c>
      <c r="O1054" s="2" t="str">
        <f>IF(ISBLANK(Table2[[#This Row],[ActualResult]]), "_", IF(Table2[[#This Row],[ActualWinner]]=Table2[[#This Row],[PredictedWinner]], "Y", "N"))</f>
        <v>_</v>
      </c>
      <c r="P10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4" s="2"/>
      <c r="S1054" s="2" t="str">
        <f t="shared" si="86"/>
        <v>_</v>
      </c>
      <c r="T10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4" s="2">
        <f>IF(Table2[[#This Row],[InterConf]]=1,IF(Table2[[#This Row],[InterDiv]]=0, 1, 0), 0)</f>
        <v>0</v>
      </c>
      <c r="W10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4" s="2"/>
      <c r="Y1054" s="2"/>
      <c r="Z1054" s="145">
        <f>IF(AND(Table2[[#This Row],[GameIsOver]]=1,Table2[[#This Row],[ActualHomeScore]]*Table2[[#This Row],[ActualAwayScore]]=0), 1,0)</f>
        <v>0</v>
      </c>
      <c r="AA10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4" s="2">
        <f>Table2[[#This Row],[ActualAwayScore]]-Table2[[#This Row],[PredictedAwayScore]]</f>
        <v>0</v>
      </c>
      <c r="AG1054" s="2">
        <f>Table2[[#This Row],[ActualHomeScore]]-Table2[[#This Row],[PredictedHomeScore]]</f>
        <v>0</v>
      </c>
      <c r="AH1054" s="2">
        <f t="shared" si="87"/>
        <v>0</v>
      </c>
      <c r="AI1054" s="2">
        <f t="shared" si="88"/>
        <v>0</v>
      </c>
      <c r="AJ1054" s="2"/>
      <c r="AK1054" s="3"/>
      <c r="AL1054" s="2">
        <f>IF(Table2[[#This Row],[GameIsOver]]=0,0,IF(Table2[[#This Row],[ActualWinner]]=Table2[[#This Row],[AwayTeam]], 1, 0))</f>
        <v>0</v>
      </c>
      <c r="AM1054" s="2">
        <f>IF(Table2[[#This Row],[GameIsOver]]=0,0,IF(Table2[[#This Row],[ActualWinner]]=Table2[[#This Row],[HomeTeam]], 1, 0))</f>
        <v>0</v>
      </c>
      <c r="AN10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4" s="2" t="str">
        <f>INDEX(Sheet5!$B$2:$AG$33, MATCH(Table2[[#This Row],[AwayTeam]],Sheet5!$A$2:$A$33, 0), MATCH(Table2[[#This Row],[HomeTeam]],Sheet5!$A$2:$A$33, 0))</f>
        <v>0-0-0</v>
      </c>
      <c r="AP1054" s="2" t="str">
        <f>INDEX(Sheet5!$B$2:$AG$33, MATCH(Table2[[#This Row],[HomeTeam]],Sheet5!$A$2:$A$33, 0), MATCH(Table2[[#This Row],[AwayTeam]],Sheet5!$A$2:$A$33, 0))</f>
        <v>0-0-0</v>
      </c>
      <c r="AQ1054" s="2">
        <f>IF(Table2[[#This Row],[GameHasShutOut]], 1, 0)</f>
        <v>0</v>
      </c>
      <c r="AR1054" s="2">
        <f>IF(Table2[[#This Row],[ActualAwayScore]] + Table2[[#This Row],[ActualHomeScore]] &gt;= 10, 1, 0)</f>
        <v>0</v>
      </c>
      <c r="AS1054" s="2">
        <f>IF(ABS(Table2[[#This Row],[ActualAwayScore]]-Table2[[#This Row],[ActualHomeScore]])&gt;=5, 1, 0)</f>
        <v>0</v>
      </c>
      <c r="AT1054" s="2">
        <f>IF(Table2[[#This Row],[ActualAwayScore]] + Table2[[#This Row],[ActualHomeScore]] &lt;= 3, 1, 0)</f>
        <v>1</v>
      </c>
      <c r="AU1054" s="2"/>
      <c r="AV1054" s="2"/>
    </row>
    <row r="1055" spans="1:48" x14ac:dyDescent="0.25">
      <c r="A1055" s="3"/>
      <c r="B1055" s="3">
        <v>46096</v>
      </c>
      <c r="C1055" s="5">
        <v>2025021053</v>
      </c>
      <c r="D1055" s="2" t="s">
        <v>30</v>
      </c>
      <c r="E1055" s="2" t="s">
        <v>33</v>
      </c>
      <c r="F1055" s="2"/>
      <c r="G1055" s="2"/>
      <c r="H1055" s="2" t="str">
        <f t="shared" si="84"/>
        <v>_</v>
      </c>
      <c r="I1055" s="2"/>
      <c r="J1055" s="2"/>
      <c r="K1055" s="2"/>
      <c r="L1055" s="2" t="str">
        <f t="shared" si="85"/>
        <v>_</v>
      </c>
      <c r="M1055" s="2"/>
      <c r="N1055" s="2">
        <f>IF(ISBLANK(Table2[[#This Row],[ActualResult]]), 0, 1)</f>
        <v>0</v>
      </c>
      <c r="O1055" s="2" t="str">
        <f>IF(ISBLANK(Table2[[#This Row],[ActualResult]]), "_", IF(Table2[[#This Row],[ActualWinner]]=Table2[[#This Row],[PredictedWinner]], "Y", "N"))</f>
        <v>_</v>
      </c>
      <c r="P10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5" s="2"/>
      <c r="S1055" s="2" t="str">
        <f t="shared" si="86"/>
        <v>_</v>
      </c>
      <c r="T10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5" s="2">
        <f>IF(Table2[[#This Row],[InterConf]]=1,IF(Table2[[#This Row],[InterDiv]]=0, 1, 0), 0)</f>
        <v>0</v>
      </c>
      <c r="W10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5" s="2"/>
      <c r="Y1055" s="2"/>
      <c r="Z1055" s="145">
        <f>IF(AND(Table2[[#This Row],[GameIsOver]]=1,Table2[[#This Row],[ActualHomeScore]]*Table2[[#This Row],[ActualAwayScore]]=0), 1,0)</f>
        <v>0</v>
      </c>
      <c r="AA10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5" s="2">
        <f>Table2[[#This Row],[ActualAwayScore]]-Table2[[#This Row],[PredictedAwayScore]]</f>
        <v>0</v>
      </c>
      <c r="AG1055" s="2">
        <f>Table2[[#This Row],[ActualHomeScore]]-Table2[[#This Row],[PredictedHomeScore]]</f>
        <v>0</v>
      </c>
      <c r="AH1055" s="2">
        <f t="shared" si="87"/>
        <v>0</v>
      </c>
      <c r="AI1055" s="2">
        <f t="shared" si="88"/>
        <v>0</v>
      </c>
      <c r="AJ1055" s="2"/>
      <c r="AK1055" s="3"/>
      <c r="AL1055" s="2">
        <f>IF(Table2[[#This Row],[GameIsOver]]=0,0,IF(Table2[[#This Row],[ActualWinner]]=Table2[[#This Row],[AwayTeam]], 1, 0))</f>
        <v>0</v>
      </c>
      <c r="AM1055" s="2">
        <f>IF(Table2[[#This Row],[GameIsOver]]=0,0,IF(Table2[[#This Row],[ActualWinner]]=Table2[[#This Row],[HomeTeam]], 1, 0))</f>
        <v>0</v>
      </c>
      <c r="AN10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5" s="2" t="str">
        <f>INDEX(Sheet5!$B$2:$AG$33, MATCH(Table2[[#This Row],[AwayTeam]],Sheet5!$A$2:$A$33, 0), MATCH(Table2[[#This Row],[HomeTeam]],Sheet5!$A$2:$A$33, 0))</f>
        <v>0-0-0</v>
      </c>
      <c r="AP1055" s="2" t="str">
        <f>INDEX(Sheet5!$B$2:$AG$33, MATCH(Table2[[#This Row],[HomeTeam]],Sheet5!$A$2:$A$33, 0), MATCH(Table2[[#This Row],[AwayTeam]],Sheet5!$A$2:$A$33, 0))</f>
        <v>0-0-0</v>
      </c>
      <c r="AQ1055" s="2">
        <f>IF(Table2[[#This Row],[GameHasShutOut]], 1, 0)</f>
        <v>0</v>
      </c>
      <c r="AR1055" s="2">
        <f>IF(Table2[[#This Row],[ActualAwayScore]] + Table2[[#This Row],[ActualHomeScore]] &gt;= 10, 1, 0)</f>
        <v>0</v>
      </c>
      <c r="AS1055" s="2">
        <f>IF(ABS(Table2[[#This Row],[ActualAwayScore]]-Table2[[#This Row],[ActualHomeScore]])&gt;=5, 1, 0)</f>
        <v>0</v>
      </c>
      <c r="AT1055" s="2">
        <f>IF(Table2[[#This Row],[ActualAwayScore]] + Table2[[#This Row],[ActualHomeScore]] &lt;= 3, 1, 0)</f>
        <v>1</v>
      </c>
      <c r="AU1055" s="2"/>
      <c r="AV1055" s="2"/>
    </row>
    <row r="1056" spans="1:48" x14ac:dyDescent="0.25">
      <c r="A1056" s="3"/>
      <c r="B1056" s="3">
        <v>46096</v>
      </c>
      <c r="C1056" s="5">
        <v>2025021054</v>
      </c>
      <c r="D1056" s="2" t="s">
        <v>20</v>
      </c>
      <c r="E1056" s="2" t="s">
        <v>14</v>
      </c>
      <c r="F1056" s="2"/>
      <c r="G1056" s="2"/>
      <c r="H1056" s="2" t="str">
        <f t="shared" si="84"/>
        <v>_</v>
      </c>
      <c r="I1056" s="2"/>
      <c r="J1056" s="2"/>
      <c r="K1056" s="2"/>
      <c r="L1056" s="2" t="str">
        <f t="shared" si="85"/>
        <v>_</v>
      </c>
      <c r="M1056" s="2"/>
      <c r="N1056" s="2">
        <f>IF(ISBLANK(Table2[[#This Row],[ActualResult]]), 0, 1)</f>
        <v>0</v>
      </c>
      <c r="O1056" s="2" t="str">
        <f>IF(ISBLANK(Table2[[#This Row],[ActualResult]]), "_", IF(Table2[[#This Row],[ActualWinner]]=Table2[[#This Row],[PredictedWinner]], "Y", "N"))</f>
        <v>_</v>
      </c>
      <c r="P10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6" s="2"/>
      <c r="S1056" s="2" t="str">
        <f t="shared" si="86"/>
        <v>_</v>
      </c>
      <c r="T10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6" s="2">
        <f>IF(Table2[[#This Row],[InterConf]]=1,IF(Table2[[#This Row],[InterDiv]]=0, 1, 0), 0)</f>
        <v>0</v>
      </c>
      <c r="W10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6" s="2"/>
      <c r="Y1056" s="2"/>
      <c r="Z1056" s="145">
        <f>IF(AND(Table2[[#This Row],[GameIsOver]]=1,Table2[[#This Row],[ActualHomeScore]]*Table2[[#This Row],[ActualAwayScore]]=0), 1,0)</f>
        <v>0</v>
      </c>
      <c r="AA10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6" s="2">
        <f>Table2[[#This Row],[ActualAwayScore]]-Table2[[#This Row],[PredictedAwayScore]]</f>
        <v>0</v>
      </c>
      <c r="AG1056" s="2">
        <f>Table2[[#This Row],[ActualHomeScore]]-Table2[[#This Row],[PredictedHomeScore]]</f>
        <v>0</v>
      </c>
      <c r="AH1056" s="2">
        <f t="shared" si="87"/>
        <v>0</v>
      </c>
      <c r="AI1056" s="2">
        <f t="shared" si="88"/>
        <v>0</v>
      </c>
      <c r="AJ1056" s="2"/>
      <c r="AK1056" s="3"/>
      <c r="AL1056" s="2">
        <f>IF(Table2[[#This Row],[GameIsOver]]=0,0,IF(Table2[[#This Row],[ActualWinner]]=Table2[[#This Row],[AwayTeam]], 1, 0))</f>
        <v>0</v>
      </c>
      <c r="AM1056" s="2">
        <f>IF(Table2[[#This Row],[GameIsOver]]=0,0,IF(Table2[[#This Row],[ActualWinner]]=Table2[[#This Row],[HomeTeam]], 1, 0))</f>
        <v>0</v>
      </c>
      <c r="AN10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6" s="2" t="str">
        <f>INDEX(Sheet5!$B$2:$AG$33, MATCH(Table2[[#This Row],[AwayTeam]],Sheet5!$A$2:$A$33, 0), MATCH(Table2[[#This Row],[HomeTeam]],Sheet5!$A$2:$A$33, 0))</f>
        <v>0-0-0</v>
      </c>
      <c r="AP1056" s="2" t="str">
        <f>INDEX(Sheet5!$B$2:$AG$33, MATCH(Table2[[#This Row],[HomeTeam]],Sheet5!$A$2:$A$33, 0), MATCH(Table2[[#This Row],[AwayTeam]],Sheet5!$A$2:$A$33, 0))</f>
        <v>0-0-0</v>
      </c>
      <c r="AQ1056" s="2">
        <f>IF(Table2[[#This Row],[GameHasShutOut]], 1, 0)</f>
        <v>0</v>
      </c>
      <c r="AR1056" s="2">
        <f>IF(Table2[[#This Row],[ActualAwayScore]] + Table2[[#This Row],[ActualHomeScore]] &gt;= 10, 1, 0)</f>
        <v>0</v>
      </c>
      <c r="AS1056" s="2">
        <f>IF(ABS(Table2[[#This Row],[ActualAwayScore]]-Table2[[#This Row],[ActualHomeScore]])&gt;=5, 1, 0)</f>
        <v>0</v>
      </c>
      <c r="AT1056" s="2">
        <f>IF(Table2[[#This Row],[ActualAwayScore]] + Table2[[#This Row],[ActualHomeScore]] &lt;= 3, 1, 0)</f>
        <v>1</v>
      </c>
      <c r="AU1056" s="2"/>
      <c r="AV1056" s="2"/>
    </row>
    <row r="1057" spans="1:48" x14ac:dyDescent="0.25">
      <c r="A1057" s="3"/>
      <c r="B1057" s="3">
        <v>46096</v>
      </c>
      <c r="C1057" s="5">
        <v>2025021055</v>
      </c>
      <c r="D1057" s="2" t="s">
        <v>11</v>
      </c>
      <c r="E1057" s="2" t="s">
        <v>24</v>
      </c>
      <c r="F1057" s="2"/>
      <c r="G1057" s="2"/>
      <c r="H1057" s="2" t="str">
        <f t="shared" si="84"/>
        <v>_</v>
      </c>
      <c r="I1057" s="2"/>
      <c r="J1057" s="2"/>
      <c r="K1057" s="2"/>
      <c r="L1057" s="2" t="str">
        <f t="shared" si="85"/>
        <v>_</v>
      </c>
      <c r="M1057" s="2"/>
      <c r="N1057" s="2">
        <f>IF(ISBLANK(Table2[[#This Row],[ActualResult]]), 0, 1)</f>
        <v>0</v>
      </c>
      <c r="O1057" s="2" t="str">
        <f>IF(ISBLANK(Table2[[#This Row],[ActualResult]]), "_", IF(Table2[[#This Row],[ActualWinner]]=Table2[[#This Row],[PredictedWinner]], "Y", "N"))</f>
        <v>_</v>
      </c>
      <c r="P10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7" s="2"/>
      <c r="S1057" s="2" t="str">
        <f t="shared" si="86"/>
        <v>_</v>
      </c>
      <c r="T10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7" s="2">
        <f>IF(Table2[[#This Row],[InterConf]]=1,IF(Table2[[#This Row],[InterDiv]]=0, 1, 0), 0)</f>
        <v>0</v>
      </c>
      <c r="W10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7" s="2"/>
      <c r="Y1057" s="2"/>
      <c r="Z1057" s="145">
        <f>IF(AND(Table2[[#This Row],[GameIsOver]]=1,Table2[[#This Row],[ActualHomeScore]]*Table2[[#This Row],[ActualAwayScore]]=0), 1,0)</f>
        <v>0</v>
      </c>
      <c r="AA10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7" s="2">
        <f>Table2[[#This Row],[ActualAwayScore]]-Table2[[#This Row],[PredictedAwayScore]]</f>
        <v>0</v>
      </c>
      <c r="AG1057" s="2">
        <f>Table2[[#This Row],[ActualHomeScore]]-Table2[[#This Row],[PredictedHomeScore]]</f>
        <v>0</v>
      </c>
      <c r="AH1057" s="2">
        <f t="shared" si="87"/>
        <v>0</v>
      </c>
      <c r="AI1057" s="2">
        <f t="shared" si="88"/>
        <v>0</v>
      </c>
      <c r="AJ1057" s="2"/>
      <c r="AK1057" s="3"/>
      <c r="AL1057" s="2">
        <f>IF(Table2[[#This Row],[GameIsOver]]=0,0,IF(Table2[[#This Row],[ActualWinner]]=Table2[[#This Row],[AwayTeam]], 1, 0))</f>
        <v>0</v>
      </c>
      <c r="AM1057" s="2">
        <f>IF(Table2[[#This Row],[GameIsOver]]=0,0,IF(Table2[[#This Row],[ActualWinner]]=Table2[[#This Row],[HomeTeam]], 1, 0))</f>
        <v>0</v>
      </c>
      <c r="AN10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7" s="2" t="str">
        <f>INDEX(Sheet5!$B$2:$AG$33, MATCH(Table2[[#This Row],[AwayTeam]],Sheet5!$A$2:$A$33, 0), MATCH(Table2[[#This Row],[HomeTeam]],Sheet5!$A$2:$A$33, 0))</f>
        <v>0-0-0</v>
      </c>
      <c r="AP1057" s="2" t="str">
        <f>INDEX(Sheet5!$B$2:$AG$33, MATCH(Table2[[#This Row],[HomeTeam]],Sheet5!$A$2:$A$33, 0), MATCH(Table2[[#This Row],[AwayTeam]],Sheet5!$A$2:$A$33, 0))</f>
        <v>0-0-0</v>
      </c>
      <c r="AQ1057" s="2">
        <f>IF(Table2[[#This Row],[GameHasShutOut]], 1, 0)</f>
        <v>0</v>
      </c>
      <c r="AR1057" s="2">
        <f>IF(Table2[[#This Row],[ActualAwayScore]] + Table2[[#This Row],[ActualHomeScore]] &gt;= 10, 1, 0)</f>
        <v>0</v>
      </c>
      <c r="AS1057" s="2">
        <f>IF(ABS(Table2[[#This Row],[ActualAwayScore]]-Table2[[#This Row],[ActualHomeScore]])&gt;=5, 1, 0)</f>
        <v>0</v>
      </c>
      <c r="AT1057" s="2">
        <f>IF(Table2[[#This Row],[ActualAwayScore]] + Table2[[#This Row],[ActualHomeScore]] &lt;= 3, 1, 0)</f>
        <v>1</v>
      </c>
      <c r="AU1057" s="2"/>
      <c r="AV1057" s="2"/>
    </row>
    <row r="1058" spans="1:48" x14ac:dyDescent="0.25">
      <c r="A1058" s="3"/>
      <c r="B1058" s="3">
        <v>46096</v>
      </c>
      <c r="C1058" s="5">
        <v>2025021056</v>
      </c>
      <c r="D1058" s="2" t="s">
        <v>16</v>
      </c>
      <c r="E1058" s="2" t="s">
        <v>26</v>
      </c>
      <c r="F1058" s="2"/>
      <c r="G1058" s="2"/>
      <c r="H1058" s="2" t="str">
        <f t="shared" si="84"/>
        <v>_</v>
      </c>
      <c r="I1058" s="2"/>
      <c r="J1058" s="2"/>
      <c r="K1058" s="2"/>
      <c r="L1058" s="2" t="str">
        <f t="shared" si="85"/>
        <v>_</v>
      </c>
      <c r="M1058" s="2"/>
      <c r="N1058" s="2">
        <f>IF(ISBLANK(Table2[[#This Row],[ActualResult]]), 0, 1)</f>
        <v>0</v>
      </c>
      <c r="O1058" s="2" t="str">
        <f>IF(ISBLANK(Table2[[#This Row],[ActualResult]]), "_", IF(Table2[[#This Row],[ActualWinner]]=Table2[[#This Row],[PredictedWinner]], "Y", "N"))</f>
        <v>_</v>
      </c>
      <c r="P10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8" s="2"/>
      <c r="S1058" s="2" t="str">
        <f t="shared" si="86"/>
        <v>_</v>
      </c>
      <c r="T10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8" s="2">
        <f>IF(Table2[[#This Row],[InterConf]]=1,IF(Table2[[#This Row],[InterDiv]]=0, 1, 0), 0)</f>
        <v>1</v>
      </c>
      <c r="W10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8" s="2"/>
      <c r="Y1058" s="2"/>
      <c r="Z1058" s="145">
        <f>IF(AND(Table2[[#This Row],[GameIsOver]]=1,Table2[[#This Row],[ActualHomeScore]]*Table2[[#This Row],[ActualAwayScore]]=0), 1,0)</f>
        <v>0</v>
      </c>
      <c r="AA10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8" s="2">
        <f>Table2[[#This Row],[ActualAwayScore]]-Table2[[#This Row],[PredictedAwayScore]]</f>
        <v>0</v>
      </c>
      <c r="AG1058" s="2">
        <f>Table2[[#This Row],[ActualHomeScore]]-Table2[[#This Row],[PredictedHomeScore]]</f>
        <v>0</v>
      </c>
      <c r="AH1058" s="2">
        <f t="shared" si="87"/>
        <v>0</v>
      </c>
      <c r="AI1058" s="2">
        <f t="shared" si="88"/>
        <v>0</v>
      </c>
      <c r="AJ1058" s="2"/>
      <c r="AK1058" s="3"/>
      <c r="AL1058" s="2">
        <f>IF(Table2[[#This Row],[GameIsOver]]=0,0,IF(Table2[[#This Row],[ActualWinner]]=Table2[[#This Row],[AwayTeam]], 1, 0))</f>
        <v>0</v>
      </c>
      <c r="AM1058" s="2">
        <f>IF(Table2[[#This Row],[GameIsOver]]=0,0,IF(Table2[[#This Row],[ActualWinner]]=Table2[[#This Row],[HomeTeam]], 1, 0))</f>
        <v>0</v>
      </c>
      <c r="AN10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8" s="2" t="str">
        <f>INDEX(Sheet5!$B$2:$AG$33, MATCH(Table2[[#This Row],[AwayTeam]],Sheet5!$A$2:$A$33, 0), MATCH(Table2[[#This Row],[HomeTeam]],Sheet5!$A$2:$A$33, 0))</f>
        <v>0-0-0</v>
      </c>
      <c r="AP1058" s="2" t="str">
        <f>INDEX(Sheet5!$B$2:$AG$33, MATCH(Table2[[#This Row],[HomeTeam]],Sheet5!$A$2:$A$33, 0), MATCH(Table2[[#This Row],[AwayTeam]],Sheet5!$A$2:$A$33, 0))</f>
        <v>0-0-0</v>
      </c>
      <c r="AQ1058" s="2">
        <f>IF(Table2[[#This Row],[GameHasShutOut]], 1, 0)</f>
        <v>0</v>
      </c>
      <c r="AR1058" s="2">
        <f>IF(Table2[[#This Row],[ActualAwayScore]] + Table2[[#This Row],[ActualHomeScore]] &gt;= 10, 1, 0)</f>
        <v>0</v>
      </c>
      <c r="AS1058" s="2">
        <f>IF(ABS(Table2[[#This Row],[ActualAwayScore]]-Table2[[#This Row],[ActualHomeScore]])&gt;=5, 1, 0)</f>
        <v>0</v>
      </c>
      <c r="AT1058" s="2">
        <f>IF(Table2[[#This Row],[ActualAwayScore]] + Table2[[#This Row],[ActualHomeScore]] &lt;= 3, 1, 0)</f>
        <v>1</v>
      </c>
      <c r="AU1058" s="2"/>
      <c r="AV1058" s="2"/>
    </row>
    <row r="1059" spans="1:48" x14ac:dyDescent="0.25">
      <c r="A1059" s="3"/>
      <c r="B1059" s="3">
        <v>46096</v>
      </c>
      <c r="C1059" s="5">
        <v>2025021057</v>
      </c>
      <c r="D1059" s="2" t="s">
        <v>12</v>
      </c>
      <c r="E1059" s="2" t="s">
        <v>21</v>
      </c>
      <c r="F1059" s="2"/>
      <c r="G1059" s="2"/>
      <c r="H1059" s="2" t="str">
        <f t="shared" si="84"/>
        <v>_</v>
      </c>
      <c r="I1059" s="2"/>
      <c r="J1059" s="2"/>
      <c r="K1059" s="2"/>
      <c r="L1059" s="2" t="str">
        <f t="shared" si="85"/>
        <v>_</v>
      </c>
      <c r="M1059" s="2"/>
      <c r="N1059" s="2">
        <f>IF(ISBLANK(Table2[[#This Row],[ActualResult]]), 0, 1)</f>
        <v>0</v>
      </c>
      <c r="O1059" s="2" t="str">
        <f>IF(ISBLANK(Table2[[#This Row],[ActualResult]]), "_", IF(Table2[[#This Row],[ActualWinner]]=Table2[[#This Row],[PredictedWinner]], "Y", "N"))</f>
        <v>_</v>
      </c>
      <c r="P10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9" s="2"/>
      <c r="S1059" s="2" t="str">
        <f t="shared" si="86"/>
        <v>_</v>
      </c>
      <c r="T10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9" s="2">
        <f>IF(Table2[[#This Row],[InterConf]]=1,IF(Table2[[#This Row],[InterDiv]]=0, 1, 0), 0)</f>
        <v>0</v>
      </c>
      <c r="W10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9" s="2"/>
      <c r="Y1059" s="2"/>
      <c r="Z1059" s="145">
        <f>IF(AND(Table2[[#This Row],[GameIsOver]]=1,Table2[[#This Row],[ActualHomeScore]]*Table2[[#This Row],[ActualAwayScore]]=0), 1,0)</f>
        <v>0</v>
      </c>
      <c r="AA10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9" s="2">
        <f>Table2[[#This Row],[ActualAwayScore]]-Table2[[#This Row],[PredictedAwayScore]]</f>
        <v>0</v>
      </c>
      <c r="AG1059" s="2">
        <f>Table2[[#This Row],[ActualHomeScore]]-Table2[[#This Row],[PredictedHomeScore]]</f>
        <v>0</v>
      </c>
      <c r="AH1059" s="2">
        <f t="shared" si="87"/>
        <v>0</v>
      </c>
      <c r="AI1059" s="2">
        <f t="shared" si="88"/>
        <v>0</v>
      </c>
      <c r="AJ1059" s="2"/>
      <c r="AK1059" s="3"/>
      <c r="AL1059" s="2">
        <f>IF(Table2[[#This Row],[GameIsOver]]=0,0,IF(Table2[[#This Row],[ActualWinner]]=Table2[[#This Row],[AwayTeam]], 1, 0))</f>
        <v>0</v>
      </c>
      <c r="AM1059" s="2">
        <f>IF(Table2[[#This Row],[GameIsOver]]=0,0,IF(Table2[[#This Row],[ActualWinner]]=Table2[[#This Row],[HomeTeam]], 1, 0))</f>
        <v>0</v>
      </c>
      <c r="AN10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9" s="2" t="str">
        <f>INDEX(Sheet5!$B$2:$AG$33, MATCH(Table2[[#This Row],[AwayTeam]],Sheet5!$A$2:$A$33, 0), MATCH(Table2[[#This Row],[HomeTeam]],Sheet5!$A$2:$A$33, 0))</f>
        <v>0-0-0</v>
      </c>
      <c r="AP1059" s="2" t="str">
        <f>INDEX(Sheet5!$B$2:$AG$33, MATCH(Table2[[#This Row],[HomeTeam]],Sheet5!$A$2:$A$33, 0), MATCH(Table2[[#This Row],[AwayTeam]],Sheet5!$A$2:$A$33, 0))</f>
        <v>0-0-0</v>
      </c>
      <c r="AQ1059" s="2">
        <f>IF(Table2[[#This Row],[GameHasShutOut]], 1, 0)</f>
        <v>0</v>
      </c>
      <c r="AR1059" s="2">
        <f>IF(Table2[[#This Row],[ActualAwayScore]] + Table2[[#This Row],[ActualHomeScore]] &gt;= 10, 1, 0)</f>
        <v>0</v>
      </c>
      <c r="AS1059" s="2">
        <f>IF(ABS(Table2[[#This Row],[ActualAwayScore]]-Table2[[#This Row],[ActualHomeScore]])&gt;=5, 1, 0)</f>
        <v>0</v>
      </c>
      <c r="AT1059" s="2">
        <f>IF(Table2[[#This Row],[ActualAwayScore]] + Table2[[#This Row],[ActualHomeScore]] &lt;= 3, 1, 0)</f>
        <v>1</v>
      </c>
      <c r="AU1059" s="2"/>
      <c r="AV1059" s="2"/>
    </row>
    <row r="1060" spans="1:48" x14ac:dyDescent="0.25">
      <c r="A1060" s="3"/>
      <c r="B1060" s="3">
        <v>46096</v>
      </c>
      <c r="C1060" s="5">
        <v>2025021058</v>
      </c>
      <c r="D1060" s="2" t="s">
        <v>37</v>
      </c>
      <c r="E1060" s="2" t="s">
        <v>29</v>
      </c>
      <c r="F1060" s="2"/>
      <c r="G1060" s="2"/>
      <c r="H1060" s="2" t="str">
        <f t="shared" si="84"/>
        <v>_</v>
      </c>
      <c r="I1060" s="2"/>
      <c r="J1060" s="2"/>
      <c r="K1060" s="2"/>
      <c r="L1060" s="2" t="str">
        <f t="shared" si="85"/>
        <v>_</v>
      </c>
      <c r="M1060" s="2"/>
      <c r="N1060" s="2">
        <f>IF(ISBLANK(Table2[[#This Row],[ActualResult]]), 0, 1)</f>
        <v>0</v>
      </c>
      <c r="O1060" s="2" t="str">
        <f>IF(ISBLANK(Table2[[#This Row],[ActualResult]]), "_", IF(Table2[[#This Row],[ActualWinner]]=Table2[[#This Row],[PredictedWinner]], "Y", "N"))</f>
        <v>_</v>
      </c>
      <c r="P10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0" s="2"/>
      <c r="S1060" s="2" t="str">
        <f t="shared" si="86"/>
        <v>_</v>
      </c>
      <c r="T10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0" s="2">
        <f>IF(Table2[[#This Row],[InterConf]]=1,IF(Table2[[#This Row],[InterDiv]]=0, 1, 0), 0)</f>
        <v>0</v>
      </c>
      <c r="W10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0" s="2"/>
      <c r="Y1060" s="2"/>
      <c r="Z1060" s="145">
        <f>IF(AND(Table2[[#This Row],[GameIsOver]]=1,Table2[[#This Row],[ActualHomeScore]]*Table2[[#This Row],[ActualAwayScore]]=0), 1,0)</f>
        <v>0</v>
      </c>
      <c r="AA10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60" s="2">
        <f>Table2[[#This Row],[ActualAwayScore]]-Table2[[#This Row],[PredictedAwayScore]]</f>
        <v>0</v>
      </c>
      <c r="AG1060" s="2">
        <f>Table2[[#This Row],[ActualHomeScore]]-Table2[[#This Row],[PredictedHomeScore]]</f>
        <v>0</v>
      </c>
      <c r="AH1060" s="2">
        <f t="shared" si="87"/>
        <v>0</v>
      </c>
      <c r="AI1060" s="2">
        <f t="shared" si="88"/>
        <v>0</v>
      </c>
      <c r="AJ1060" s="2"/>
      <c r="AK1060" s="3"/>
      <c r="AL1060" s="2">
        <f>IF(Table2[[#This Row],[GameIsOver]]=0,0,IF(Table2[[#This Row],[ActualWinner]]=Table2[[#This Row],[AwayTeam]], 1, 0))</f>
        <v>0</v>
      </c>
      <c r="AM1060" s="2">
        <f>IF(Table2[[#This Row],[GameIsOver]]=0,0,IF(Table2[[#This Row],[ActualWinner]]=Table2[[#This Row],[HomeTeam]], 1, 0))</f>
        <v>0</v>
      </c>
      <c r="AN10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0" s="2" t="str">
        <f>INDEX(Sheet5!$B$2:$AG$33, MATCH(Table2[[#This Row],[AwayTeam]],Sheet5!$A$2:$A$33, 0), MATCH(Table2[[#This Row],[HomeTeam]],Sheet5!$A$2:$A$33, 0))</f>
        <v>0-0-0</v>
      </c>
      <c r="AP1060" s="2" t="str">
        <f>INDEX(Sheet5!$B$2:$AG$33, MATCH(Table2[[#This Row],[HomeTeam]],Sheet5!$A$2:$A$33, 0), MATCH(Table2[[#This Row],[AwayTeam]],Sheet5!$A$2:$A$33, 0))</f>
        <v>0-0-0</v>
      </c>
      <c r="AQ1060" s="2">
        <f>IF(Table2[[#This Row],[GameHasShutOut]], 1, 0)</f>
        <v>0</v>
      </c>
      <c r="AR1060" s="2">
        <f>IF(Table2[[#This Row],[ActualAwayScore]] + Table2[[#This Row],[ActualHomeScore]] &gt;= 10, 1, 0)</f>
        <v>0</v>
      </c>
      <c r="AS1060" s="2">
        <f>IF(ABS(Table2[[#This Row],[ActualAwayScore]]-Table2[[#This Row],[ActualHomeScore]])&gt;=5, 1, 0)</f>
        <v>0</v>
      </c>
      <c r="AT1060" s="2">
        <f>IF(Table2[[#This Row],[ActualAwayScore]] + Table2[[#This Row],[ActualHomeScore]] &lt;= 3, 1, 0)</f>
        <v>1</v>
      </c>
      <c r="AU1060" s="2"/>
      <c r="AV1060" s="2"/>
    </row>
    <row r="1061" spans="1:48" x14ac:dyDescent="0.25">
      <c r="A1061" s="3"/>
      <c r="B1061" s="3">
        <v>46096</v>
      </c>
      <c r="C1061" s="5">
        <v>2025021059</v>
      </c>
      <c r="D1061" s="2" t="s">
        <v>44</v>
      </c>
      <c r="E1061" s="2" t="s">
        <v>18</v>
      </c>
      <c r="F1061" s="2"/>
      <c r="G1061" s="2"/>
      <c r="H1061" s="2" t="str">
        <f t="shared" si="84"/>
        <v>_</v>
      </c>
      <c r="I1061" s="2"/>
      <c r="J1061" s="2"/>
      <c r="K1061" s="2"/>
      <c r="L1061" s="2" t="str">
        <f t="shared" si="85"/>
        <v>_</v>
      </c>
      <c r="M1061" s="2"/>
      <c r="N1061" s="2">
        <f>IF(ISBLANK(Table2[[#This Row],[ActualResult]]), 0, 1)</f>
        <v>0</v>
      </c>
      <c r="O1061" s="2" t="str">
        <f>IF(ISBLANK(Table2[[#This Row],[ActualResult]]), "_", IF(Table2[[#This Row],[ActualWinner]]=Table2[[#This Row],[PredictedWinner]], "Y", "N"))</f>
        <v>_</v>
      </c>
      <c r="P10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1" s="2"/>
      <c r="S1061" s="2" t="str">
        <f t="shared" si="86"/>
        <v>_</v>
      </c>
      <c r="T10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1" s="2">
        <f>IF(Table2[[#This Row],[InterConf]]=1,IF(Table2[[#This Row],[InterDiv]]=0, 1, 0), 0)</f>
        <v>0</v>
      </c>
      <c r="W10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1" s="2"/>
      <c r="Y1061" s="2"/>
      <c r="Z1061" s="145">
        <f>IF(AND(Table2[[#This Row],[GameIsOver]]=1,Table2[[#This Row],[ActualHomeScore]]*Table2[[#This Row],[ActualAwayScore]]=0), 1,0)</f>
        <v>0</v>
      </c>
      <c r="AA10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61" s="2">
        <f>Table2[[#This Row],[ActualAwayScore]]-Table2[[#This Row],[PredictedAwayScore]]</f>
        <v>0</v>
      </c>
      <c r="AG1061" s="2">
        <f>Table2[[#This Row],[ActualHomeScore]]-Table2[[#This Row],[PredictedHomeScore]]</f>
        <v>0</v>
      </c>
      <c r="AH1061" s="2">
        <f t="shared" si="87"/>
        <v>0</v>
      </c>
      <c r="AI1061" s="2">
        <f t="shared" si="88"/>
        <v>0</v>
      </c>
      <c r="AJ1061" s="2"/>
      <c r="AK1061" s="3"/>
      <c r="AL1061" s="2">
        <f>IF(Table2[[#This Row],[GameIsOver]]=0,0,IF(Table2[[#This Row],[ActualWinner]]=Table2[[#This Row],[AwayTeam]], 1, 0))</f>
        <v>0</v>
      </c>
      <c r="AM1061" s="2">
        <f>IF(Table2[[#This Row],[GameIsOver]]=0,0,IF(Table2[[#This Row],[ActualWinner]]=Table2[[#This Row],[HomeTeam]], 1, 0))</f>
        <v>0</v>
      </c>
      <c r="AN10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1" s="2" t="str">
        <f>INDEX(Sheet5!$B$2:$AG$33, MATCH(Table2[[#This Row],[AwayTeam]],Sheet5!$A$2:$A$33, 0), MATCH(Table2[[#This Row],[HomeTeam]],Sheet5!$A$2:$A$33, 0))</f>
        <v>0-0-0</v>
      </c>
      <c r="AP1061" s="2" t="str">
        <f>INDEX(Sheet5!$B$2:$AG$33, MATCH(Table2[[#This Row],[HomeTeam]],Sheet5!$A$2:$A$33, 0), MATCH(Table2[[#This Row],[AwayTeam]],Sheet5!$A$2:$A$33, 0))</f>
        <v>0-0-0</v>
      </c>
      <c r="AQ1061" s="2">
        <f>IF(Table2[[#This Row],[GameHasShutOut]], 1, 0)</f>
        <v>0</v>
      </c>
      <c r="AR1061" s="2">
        <f>IF(Table2[[#This Row],[ActualAwayScore]] + Table2[[#This Row],[ActualHomeScore]] &gt;= 10, 1, 0)</f>
        <v>0</v>
      </c>
      <c r="AS1061" s="2">
        <f>IF(ABS(Table2[[#This Row],[ActualAwayScore]]-Table2[[#This Row],[ActualHomeScore]])&gt;=5, 1, 0)</f>
        <v>0</v>
      </c>
      <c r="AT1061" s="2">
        <f>IF(Table2[[#This Row],[ActualAwayScore]] + Table2[[#This Row],[ActualHomeScore]] &lt;= 3, 1, 0)</f>
        <v>1</v>
      </c>
      <c r="AU1061" s="2"/>
      <c r="AV1061" s="2"/>
    </row>
    <row r="1062" spans="1:48" x14ac:dyDescent="0.25">
      <c r="A1062" s="3"/>
      <c r="B1062" s="3">
        <v>46096</v>
      </c>
      <c r="C1062" s="5">
        <v>2025021060</v>
      </c>
      <c r="D1062" s="2" t="s">
        <v>17</v>
      </c>
      <c r="E1062" s="2" t="s">
        <v>36</v>
      </c>
      <c r="F1062" s="2"/>
      <c r="G1062" s="2"/>
      <c r="H1062" s="2" t="str">
        <f t="shared" si="84"/>
        <v>_</v>
      </c>
      <c r="I1062" s="2"/>
      <c r="J1062" s="2"/>
      <c r="K1062" s="2"/>
      <c r="L1062" s="2" t="str">
        <f t="shared" si="85"/>
        <v>_</v>
      </c>
      <c r="M1062" s="2"/>
      <c r="N1062" s="2">
        <f>IF(ISBLANK(Table2[[#This Row],[ActualResult]]), 0, 1)</f>
        <v>0</v>
      </c>
      <c r="O1062" s="2" t="str">
        <f>IF(ISBLANK(Table2[[#This Row],[ActualResult]]), "_", IF(Table2[[#This Row],[ActualWinner]]=Table2[[#This Row],[PredictedWinner]], "Y", "N"))</f>
        <v>_</v>
      </c>
      <c r="P10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2" s="2"/>
      <c r="S1062" s="2" t="str">
        <f t="shared" si="86"/>
        <v>_</v>
      </c>
      <c r="T10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2" s="2">
        <f>IF(Table2[[#This Row],[InterConf]]=1,IF(Table2[[#This Row],[InterDiv]]=0, 1, 0), 0)</f>
        <v>0</v>
      </c>
      <c r="W10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2" s="2"/>
      <c r="Y1062" s="2"/>
      <c r="Z1062" s="145">
        <f>IF(AND(Table2[[#This Row],[GameIsOver]]=1,Table2[[#This Row],[ActualHomeScore]]*Table2[[#This Row],[ActualAwayScore]]=0), 1,0)</f>
        <v>0</v>
      </c>
      <c r="AA10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62" s="2">
        <f>Table2[[#This Row],[ActualAwayScore]]-Table2[[#This Row],[PredictedAwayScore]]</f>
        <v>0</v>
      </c>
      <c r="AG1062" s="2">
        <f>Table2[[#This Row],[ActualHomeScore]]-Table2[[#This Row],[PredictedHomeScore]]</f>
        <v>0</v>
      </c>
      <c r="AH1062" s="2">
        <f t="shared" si="87"/>
        <v>0</v>
      </c>
      <c r="AI1062" s="2">
        <f t="shared" si="88"/>
        <v>0</v>
      </c>
      <c r="AJ1062" s="2"/>
      <c r="AK1062" s="3"/>
      <c r="AL1062" s="2">
        <f>IF(Table2[[#This Row],[GameIsOver]]=0,0,IF(Table2[[#This Row],[ActualWinner]]=Table2[[#This Row],[AwayTeam]], 1, 0))</f>
        <v>0</v>
      </c>
      <c r="AM1062" s="2">
        <f>IF(Table2[[#This Row],[GameIsOver]]=0,0,IF(Table2[[#This Row],[ActualWinner]]=Table2[[#This Row],[HomeTeam]], 1, 0))</f>
        <v>0</v>
      </c>
      <c r="AN10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2" s="2" t="str">
        <f>INDEX(Sheet5!$B$2:$AG$33, MATCH(Table2[[#This Row],[AwayTeam]],Sheet5!$A$2:$A$33, 0), MATCH(Table2[[#This Row],[HomeTeam]],Sheet5!$A$2:$A$33, 0))</f>
        <v>0-0-0</v>
      </c>
      <c r="AP1062" s="2" t="str">
        <f>INDEX(Sheet5!$B$2:$AG$33, MATCH(Table2[[#This Row],[HomeTeam]],Sheet5!$A$2:$A$33, 0), MATCH(Table2[[#This Row],[AwayTeam]],Sheet5!$A$2:$A$33, 0))</f>
        <v>0-0-0</v>
      </c>
      <c r="AQ1062" s="2">
        <f>IF(Table2[[#This Row],[GameHasShutOut]], 1, 0)</f>
        <v>0</v>
      </c>
      <c r="AR1062" s="2">
        <f>IF(Table2[[#This Row],[ActualAwayScore]] + Table2[[#This Row],[ActualHomeScore]] &gt;= 10, 1, 0)</f>
        <v>0</v>
      </c>
      <c r="AS1062" s="2">
        <f>IF(ABS(Table2[[#This Row],[ActualAwayScore]]-Table2[[#This Row],[ActualHomeScore]])&gt;=5, 1, 0)</f>
        <v>0</v>
      </c>
      <c r="AT1062" s="2">
        <f>IF(Table2[[#This Row],[ActualAwayScore]] + Table2[[#This Row],[ActualHomeScore]] &lt;= 3, 1, 0)</f>
        <v>1</v>
      </c>
      <c r="AU1062" s="2"/>
      <c r="AV1062" s="2"/>
    </row>
    <row r="1063" spans="1:48" x14ac:dyDescent="0.25">
      <c r="A1063" s="3"/>
      <c r="B1063" s="3">
        <v>46097</v>
      </c>
      <c r="C1063" s="5">
        <v>2025021061</v>
      </c>
      <c r="D1063" s="2" t="s">
        <v>34</v>
      </c>
      <c r="E1063" s="2" t="s">
        <v>22</v>
      </c>
      <c r="F1063" s="2"/>
      <c r="G1063" s="2"/>
      <c r="H1063" s="2" t="str">
        <f t="shared" si="84"/>
        <v>_</v>
      </c>
      <c r="I1063" s="2"/>
      <c r="J1063" s="2"/>
      <c r="K1063" s="2"/>
      <c r="L1063" s="2" t="str">
        <f t="shared" si="85"/>
        <v>_</v>
      </c>
      <c r="M1063" s="2"/>
      <c r="N1063" s="2">
        <f>IF(ISBLANK(Table2[[#This Row],[ActualResult]]), 0, 1)</f>
        <v>0</v>
      </c>
      <c r="O1063" s="2" t="str">
        <f>IF(ISBLANK(Table2[[#This Row],[ActualResult]]), "_", IF(Table2[[#This Row],[ActualWinner]]=Table2[[#This Row],[PredictedWinner]], "Y", "N"))</f>
        <v>_</v>
      </c>
      <c r="P10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3" s="2"/>
      <c r="S1063" s="2" t="str">
        <f t="shared" si="86"/>
        <v>_</v>
      </c>
      <c r="T10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3" s="2">
        <f>IF(Table2[[#This Row],[InterConf]]=1,IF(Table2[[#This Row],[InterDiv]]=0, 1, 0), 0)</f>
        <v>1</v>
      </c>
      <c r="W10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3" s="2"/>
      <c r="Y1063" s="2"/>
      <c r="Z1063" s="145">
        <f>IF(AND(Table2[[#This Row],[GameIsOver]]=1,Table2[[#This Row],[ActualHomeScore]]*Table2[[#This Row],[ActualAwayScore]]=0), 1,0)</f>
        <v>0</v>
      </c>
      <c r="AA10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3" s="2">
        <f>Table2[[#This Row],[ActualAwayScore]]-Table2[[#This Row],[PredictedAwayScore]]</f>
        <v>0</v>
      </c>
      <c r="AG1063" s="2">
        <f>Table2[[#This Row],[ActualHomeScore]]-Table2[[#This Row],[PredictedHomeScore]]</f>
        <v>0</v>
      </c>
      <c r="AH1063" s="2">
        <f t="shared" si="87"/>
        <v>0</v>
      </c>
      <c r="AI1063" s="2">
        <f t="shared" si="88"/>
        <v>0</v>
      </c>
      <c r="AJ1063" s="2"/>
      <c r="AK1063" s="3"/>
      <c r="AL1063" s="2">
        <f>IF(Table2[[#This Row],[GameIsOver]]=0,0,IF(Table2[[#This Row],[ActualWinner]]=Table2[[#This Row],[AwayTeam]], 1, 0))</f>
        <v>0</v>
      </c>
      <c r="AM1063" s="2">
        <f>IF(Table2[[#This Row],[GameIsOver]]=0,0,IF(Table2[[#This Row],[ActualWinner]]=Table2[[#This Row],[HomeTeam]], 1, 0))</f>
        <v>0</v>
      </c>
      <c r="AN10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3" s="2" t="str">
        <f>INDEX(Sheet5!$B$2:$AG$33, MATCH(Table2[[#This Row],[AwayTeam]],Sheet5!$A$2:$A$33, 0), MATCH(Table2[[#This Row],[HomeTeam]],Sheet5!$A$2:$A$33, 0))</f>
        <v>0-0-0</v>
      </c>
      <c r="AP1063" s="2" t="str">
        <f>INDEX(Sheet5!$B$2:$AG$33, MATCH(Table2[[#This Row],[HomeTeam]],Sheet5!$A$2:$A$33, 0), MATCH(Table2[[#This Row],[AwayTeam]],Sheet5!$A$2:$A$33, 0))</f>
        <v>0-0-0</v>
      </c>
      <c r="AQ1063" s="2">
        <f>IF(Table2[[#This Row],[GameHasShutOut]], 1, 0)</f>
        <v>0</v>
      </c>
      <c r="AR1063" s="2">
        <f>IF(Table2[[#This Row],[ActualAwayScore]] + Table2[[#This Row],[ActualHomeScore]] &gt;= 10, 1, 0)</f>
        <v>0</v>
      </c>
      <c r="AS1063" s="2">
        <f>IF(ABS(Table2[[#This Row],[ActualAwayScore]]-Table2[[#This Row],[ActualHomeScore]])&gt;=5, 1, 0)</f>
        <v>0</v>
      </c>
      <c r="AT1063" s="2">
        <f>IF(Table2[[#This Row],[ActualAwayScore]] + Table2[[#This Row],[ActualHomeScore]] &lt;= 3, 1, 0)</f>
        <v>1</v>
      </c>
      <c r="AU1063" s="2"/>
      <c r="AV1063" s="2"/>
    </row>
    <row r="1064" spans="1:48" x14ac:dyDescent="0.25">
      <c r="A1064" s="3"/>
      <c r="B1064" s="3">
        <v>46097</v>
      </c>
      <c r="C1064" s="5">
        <v>2025021062</v>
      </c>
      <c r="D1064" s="2" t="s">
        <v>13</v>
      </c>
      <c r="E1064" s="2" t="s">
        <v>11</v>
      </c>
      <c r="F1064" s="2"/>
      <c r="G1064" s="2"/>
      <c r="H1064" s="2" t="str">
        <f t="shared" si="84"/>
        <v>_</v>
      </c>
      <c r="I1064" s="2"/>
      <c r="J1064" s="2"/>
      <c r="K1064" s="2"/>
      <c r="L1064" s="2" t="str">
        <f t="shared" si="85"/>
        <v>_</v>
      </c>
      <c r="M1064" s="2"/>
      <c r="N1064" s="2">
        <f>IF(ISBLANK(Table2[[#This Row],[ActualResult]]), 0, 1)</f>
        <v>0</v>
      </c>
      <c r="O1064" s="2" t="str">
        <f>IF(ISBLANK(Table2[[#This Row],[ActualResult]]), "_", IF(Table2[[#This Row],[ActualWinner]]=Table2[[#This Row],[PredictedWinner]], "Y", "N"))</f>
        <v>_</v>
      </c>
      <c r="P10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4" s="2"/>
      <c r="S1064" s="2" t="str">
        <f t="shared" si="86"/>
        <v>_</v>
      </c>
      <c r="T10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4" s="2">
        <f>IF(Table2[[#This Row],[InterConf]]=1,IF(Table2[[#This Row],[InterDiv]]=0, 1, 0), 0)</f>
        <v>0</v>
      </c>
      <c r="W10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4" s="2"/>
      <c r="Y1064" s="2"/>
      <c r="Z1064" s="145">
        <f>IF(AND(Table2[[#This Row],[GameIsOver]]=1,Table2[[#This Row],[ActualHomeScore]]*Table2[[#This Row],[ActualAwayScore]]=0), 1,0)</f>
        <v>0</v>
      </c>
      <c r="AA10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4" s="2">
        <f>Table2[[#This Row],[ActualAwayScore]]-Table2[[#This Row],[PredictedAwayScore]]</f>
        <v>0</v>
      </c>
      <c r="AG1064" s="2">
        <f>Table2[[#This Row],[ActualHomeScore]]-Table2[[#This Row],[PredictedHomeScore]]</f>
        <v>0</v>
      </c>
      <c r="AH1064" s="2">
        <f t="shared" si="87"/>
        <v>0</v>
      </c>
      <c r="AI1064" s="2">
        <f t="shared" si="88"/>
        <v>0</v>
      </c>
      <c r="AJ1064" s="2"/>
      <c r="AK1064" s="3"/>
      <c r="AL1064" s="2">
        <f>IF(Table2[[#This Row],[GameIsOver]]=0,0,IF(Table2[[#This Row],[ActualWinner]]=Table2[[#This Row],[AwayTeam]], 1, 0))</f>
        <v>0</v>
      </c>
      <c r="AM1064" s="2">
        <f>IF(Table2[[#This Row],[GameIsOver]]=0,0,IF(Table2[[#This Row],[ActualWinner]]=Table2[[#This Row],[HomeTeam]], 1, 0))</f>
        <v>0</v>
      </c>
      <c r="AN10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4" s="2" t="str">
        <f>INDEX(Sheet5!$B$2:$AG$33, MATCH(Table2[[#This Row],[AwayTeam]],Sheet5!$A$2:$A$33, 0), MATCH(Table2[[#This Row],[HomeTeam]],Sheet5!$A$2:$A$33, 0))</f>
        <v>0-0-0</v>
      </c>
      <c r="AP1064" s="2" t="str">
        <f>INDEX(Sheet5!$B$2:$AG$33, MATCH(Table2[[#This Row],[HomeTeam]],Sheet5!$A$2:$A$33, 0), MATCH(Table2[[#This Row],[AwayTeam]],Sheet5!$A$2:$A$33, 0))</f>
        <v>0-0-0</v>
      </c>
      <c r="AQ1064" s="2">
        <f>IF(Table2[[#This Row],[GameHasShutOut]], 1, 0)</f>
        <v>0</v>
      </c>
      <c r="AR1064" s="2">
        <f>IF(Table2[[#This Row],[ActualAwayScore]] + Table2[[#This Row],[ActualHomeScore]] &gt;= 10, 1, 0)</f>
        <v>0</v>
      </c>
      <c r="AS1064" s="2">
        <f>IF(ABS(Table2[[#This Row],[ActualAwayScore]]-Table2[[#This Row],[ActualHomeScore]])&gt;=5, 1, 0)</f>
        <v>0</v>
      </c>
      <c r="AT1064" s="2">
        <f>IF(Table2[[#This Row],[ActualAwayScore]] + Table2[[#This Row],[ActualHomeScore]] &lt;= 3, 1, 0)</f>
        <v>1</v>
      </c>
      <c r="AU1064" s="2"/>
      <c r="AV1064" s="2"/>
    </row>
    <row r="1065" spans="1:48" x14ac:dyDescent="0.25">
      <c r="A1065" s="3"/>
      <c r="B1065" s="3">
        <v>46097</v>
      </c>
      <c r="C1065" s="5">
        <v>2025021063</v>
      </c>
      <c r="D1065" s="2" t="s">
        <v>23</v>
      </c>
      <c r="E1065" s="2" t="s">
        <v>30</v>
      </c>
      <c r="F1065" s="2"/>
      <c r="G1065" s="2"/>
      <c r="H1065" s="2" t="str">
        <f t="shared" si="84"/>
        <v>_</v>
      </c>
      <c r="I1065" s="2"/>
      <c r="J1065" s="2"/>
      <c r="K1065" s="2"/>
      <c r="L1065" s="2" t="str">
        <f t="shared" si="85"/>
        <v>_</v>
      </c>
      <c r="M1065" s="2"/>
      <c r="N1065" s="2">
        <f>IF(ISBLANK(Table2[[#This Row],[ActualResult]]), 0, 1)</f>
        <v>0</v>
      </c>
      <c r="O1065" s="2" t="str">
        <f>IF(ISBLANK(Table2[[#This Row],[ActualResult]]), "_", IF(Table2[[#This Row],[ActualWinner]]=Table2[[#This Row],[PredictedWinner]], "Y", "N"))</f>
        <v>_</v>
      </c>
      <c r="P10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5" s="2"/>
      <c r="S1065" s="2" t="str">
        <f t="shared" si="86"/>
        <v>_</v>
      </c>
      <c r="T10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5" s="2">
        <f>IF(Table2[[#This Row],[InterConf]]=1,IF(Table2[[#This Row],[InterDiv]]=0, 1, 0), 0)</f>
        <v>0</v>
      </c>
      <c r="W10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5" s="2"/>
      <c r="Y1065" s="2"/>
      <c r="Z1065" s="145">
        <f>IF(AND(Table2[[#This Row],[GameIsOver]]=1,Table2[[#This Row],[ActualHomeScore]]*Table2[[#This Row],[ActualAwayScore]]=0), 1,0)</f>
        <v>0</v>
      </c>
      <c r="AA10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5" s="2">
        <f>Table2[[#This Row],[ActualAwayScore]]-Table2[[#This Row],[PredictedAwayScore]]</f>
        <v>0</v>
      </c>
      <c r="AG1065" s="2">
        <f>Table2[[#This Row],[ActualHomeScore]]-Table2[[#This Row],[PredictedHomeScore]]</f>
        <v>0</v>
      </c>
      <c r="AH1065" s="2">
        <f t="shared" si="87"/>
        <v>0</v>
      </c>
      <c r="AI1065" s="2">
        <f t="shared" si="88"/>
        <v>0</v>
      </c>
      <c r="AJ1065" s="2"/>
      <c r="AK1065" s="3"/>
      <c r="AL1065" s="2">
        <f>IF(Table2[[#This Row],[GameIsOver]]=0,0,IF(Table2[[#This Row],[ActualWinner]]=Table2[[#This Row],[AwayTeam]], 1, 0))</f>
        <v>0</v>
      </c>
      <c r="AM1065" s="2">
        <f>IF(Table2[[#This Row],[GameIsOver]]=0,0,IF(Table2[[#This Row],[ActualWinner]]=Table2[[#This Row],[HomeTeam]], 1, 0))</f>
        <v>0</v>
      </c>
      <c r="AN10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5" s="2" t="str">
        <f>INDEX(Sheet5!$B$2:$AG$33, MATCH(Table2[[#This Row],[AwayTeam]],Sheet5!$A$2:$A$33, 0), MATCH(Table2[[#This Row],[HomeTeam]],Sheet5!$A$2:$A$33, 0))</f>
        <v>0-0-0</v>
      </c>
      <c r="AP1065" s="2" t="str">
        <f>INDEX(Sheet5!$B$2:$AG$33, MATCH(Table2[[#This Row],[HomeTeam]],Sheet5!$A$2:$A$33, 0), MATCH(Table2[[#This Row],[AwayTeam]],Sheet5!$A$2:$A$33, 0))</f>
        <v>0-0-0</v>
      </c>
      <c r="AQ1065" s="2">
        <f>IF(Table2[[#This Row],[GameHasShutOut]], 1, 0)</f>
        <v>0</v>
      </c>
      <c r="AR1065" s="2">
        <f>IF(Table2[[#This Row],[ActualAwayScore]] + Table2[[#This Row],[ActualHomeScore]] &gt;= 10, 1, 0)</f>
        <v>0</v>
      </c>
      <c r="AS1065" s="2">
        <f>IF(ABS(Table2[[#This Row],[ActualAwayScore]]-Table2[[#This Row],[ActualHomeScore]])&gt;=5, 1, 0)</f>
        <v>0</v>
      </c>
      <c r="AT1065" s="2">
        <f>IF(Table2[[#This Row],[ActualAwayScore]] + Table2[[#This Row],[ActualHomeScore]] &lt;= 3, 1, 0)</f>
        <v>1</v>
      </c>
      <c r="AU1065" s="2"/>
      <c r="AV1065" s="2"/>
    </row>
    <row r="1066" spans="1:48" x14ac:dyDescent="0.25">
      <c r="A1066" s="3"/>
      <c r="B1066" s="3">
        <v>46097</v>
      </c>
      <c r="C1066" s="5">
        <v>2025021064</v>
      </c>
      <c r="D1066" s="2" t="s">
        <v>15</v>
      </c>
      <c r="E1066" s="2" t="s">
        <v>31</v>
      </c>
      <c r="F1066" s="2"/>
      <c r="G1066" s="2"/>
      <c r="H1066" s="2" t="str">
        <f t="shared" si="84"/>
        <v>_</v>
      </c>
      <c r="I1066" s="2"/>
      <c r="J1066" s="2"/>
      <c r="K1066" s="2"/>
      <c r="L1066" s="2" t="str">
        <f t="shared" si="85"/>
        <v>_</v>
      </c>
      <c r="M1066" s="2"/>
      <c r="N1066" s="2">
        <f>IF(ISBLANK(Table2[[#This Row],[ActualResult]]), 0, 1)</f>
        <v>0</v>
      </c>
      <c r="O1066" s="2" t="str">
        <f>IF(ISBLANK(Table2[[#This Row],[ActualResult]]), "_", IF(Table2[[#This Row],[ActualWinner]]=Table2[[#This Row],[PredictedWinner]], "Y", "N"))</f>
        <v>_</v>
      </c>
      <c r="P10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6" s="2"/>
      <c r="S1066" s="2" t="str">
        <f t="shared" si="86"/>
        <v>_</v>
      </c>
      <c r="T10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6" s="2">
        <f>IF(Table2[[#This Row],[InterConf]]=1,IF(Table2[[#This Row],[InterDiv]]=0, 1, 0), 0)</f>
        <v>1</v>
      </c>
      <c r="W10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6" s="2"/>
      <c r="Y1066" s="2"/>
      <c r="Z1066" s="145">
        <f>IF(AND(Table2[[#This Row],[GameIsOver]]=1,Table2[[#This Row],[ActualHomeScore]]*Table2[[#This Row],[ActualAwayScore]]=0), 1,0)</f>
        <v>0</v>
      </c>
      <c r="AA10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6" s="2">
        <f>Table2[[#This Row],[ActualAwayScore]]-Table2[[#This Row],[PredictedAwayScore]]</f>
        <v>0</v>
      </c>
      <c r="AG1066" s="2">
        <f>Table2[[#This Row],[ActualHomeScore]]-Table2[[#This Row],[PredictedHomeScore]]</f>
        <v>0</v>
      </c>
      <c r="AH1066" s="2">
        <f t="shared" si="87"/>
        <v>0</v>
      </c>
      <c r="AI1066" s="2">
        <f t="shared" si="88"/>
        <v>0</v>
      </c>
      <c r="AJ1066" s="2"/>
      <c r="AK1066" s="3"/>
      <c r="AL1066" s="2">
        <f>IF(Table2[[#This Row],[GameIsOver]]=0,0,IF(Table2[[#This Row],[ActualWinner]]=Table2[[#This Row],[AwayTeam]], 1, 0))</f>
        <v>0</v>
      </c>
      <c r="AM1066" s="2">
        <f>IF(Table2[[#This Row],[GameIsOver]]=0,0,IF(Table2[[#This Row],[ActualWinner]]=Table2[[#This Row],[HomeTeam]], 1, 0))</f>
        <v>0</v>
      </c>
      <c r="AN10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6" s="2" t="str">
        <f>INDEX(Sheet5!$B$2:$AG$33, MATCH(Table2[[#This Row],[AwayTeam]],Sheet5!$A$2:$A$33, 0), MATCH(Table2[[#This Row],[HomeTeam]],Sheet5!$A$2:$A$33, 0))</f>
        <v>0-0-0</v>
      </c>
      <c r="AP1066" s="2" t="str">
        <f>INDEX(Sheet5!$B$2:$AG$33, MATCH(Table2[[#This Row],[HomeTeam]],Sheet5!$A$2:$A$33, 0), MATCH(Table2[[#This Row],[AwayTeam]],Sheet5!$A$2:$A$33, 0))</f>
        <v>0-0-0</v>
      </c>
      <c r="AQ1066" s="2">
        <f>IF(Table2[[#This Row],[GameHasShutOut]], 1, 0)</f>
        <v>0</v>
      </c>
      <c r="AR1066" s="2">
        <f>IF(Table2[[#This Row],[ActualAwayScore]] + Table2[[#This Row],[ActualHomeScore]] &gt;= 10, 1, 0)</f>
        <v>0</v>
      </c>
      <c r="AS1066" s="2">
        <f>IF(ABS(Table2[[#This Row],[ActualAwayScore]]-Table2[[#This Row],[ActualHomeScore]])&gt;=5, 1, 0)</f>
        <v>0</v>
      </c>
      <c r="AT1066" s="2">
        <f>IF(Table2[[#This Row],[ActualAwayScore]] + Table2[[#This Row],[ActualHomeScore]] &lt;= 3, 1, 0)</f>
        <v>1</v>
      </c>
      <c r="AU1066" s="2"/>
      <c r="AV1066" s="2"/>
    </row>
    <row r="1067" spans="1:48" x14ac:dyDescent="0.25">
      <c r="A1067" s="3"/>
      <c r="B1067" s="3">
        <v>46097</v>
      </c>
      <c r="C1067" s="5">
        <v>2025021065</v>
      </c>
      <c r="D1067" s="2" t="s">
        <v>27</v>
      </c>
      <c r="E1067" s="2" t="s">
        <v>19</v>
      </c>
      <c r="F1067" s="2"/>
      <c r="G1067" s="2"/>
      <c r="H1067" s="2" t="str">
        <f t="shared" si="84"/>
        <v>_</v>
      </c>
      <c r="I1067" s="2"/>
      <c r="J1067" s="2"/>
      <c r="K1067" s="2"/>
      <c r="L1067" s="2" t="str">
        <f t="shared" si="85"/>
        <v>_</v>
      </c>
      <c r="M1067" s="2"/>
      <c r="N1067" s="2">
        <f>IF(ISBLANK(Table2[[#This Row],[ActualResult]]), 0, 1)</f>
        <v>0</v>
      </c>
      <c r="O1067" s="2" t="str">
        <f>IF(ISBLANK(Table2[[#This Row],[ActualResult]]), "_", IF(Table2[[#This Row],[ActualWinner]]=Table2[[#This Row],[PredictedWinner]], "Y", "N"))</f>
        <v>_</v>
      </c>
      <c r="P10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7" s="2"/>
      <c r="S1067" s="2" t="str">
        <f t="shared" si="86"/>
        <v>_</v>
      </c>
      <c r="T10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7" s="2">
        <f>IF(Table2[[#This Row],[InterConf]]=1,IF(Table2[[#This Row],[InterDiv]]=0, 1, 0), 0)</f>
        <v>0</v>
      </c>
      <c r="W10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7" s="2"/>
      <c r="Y1067" s="2"/>
      <c r="Z1067" s="145">
        <f>IF(AND(Table2[[#This Row],[GameIsOver]]=1,Table2[[#This Row],[ActualHomeScore]]*Table2[[#This Row],[ActualAwayScore]]=0), 1,0)</f>
        <v>0</v>
      </c>
      <c r="AA10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7" s="2">
        <f>Table2[[#This Row],[ActualAwayScore]]-Table2[[#This Row],[PredictedAwayScore]]</f>
        <v>0</v>
      </c>
      <c r="AG1067" s="2">
        <f>Table2[[#This Row],[ActualHomeScore]]-Table2[[#This Row],[PredictedHomeScore]]</f>
        <v>0</v>
      </c>
      <c r="AH1067" s="2">
        <f t="shared" si="87"/>
        <v>0</v>
      </c>
      <c r="AI1067" s="2">
        <f t="shared" si="88"/>
        <v>0</v>
      </c>
      <c r="AJ1067" s="2"/>
      <c r="AK1067" s="3"/>
      <c r="AL1067" s="2">
        <f>IF(Table2[[#This Row],[GameIsOver]]=0,0,IF(Table2[[#This Row],[ActualWinner]]=Table2[[#This Row],[AwayTeam]], 1, 0))</f>
        <v>0</v>
      </c>
      <c r="AM1067" s="2">
        <f>IF(Table2[[#This Row],[GameIsOver]]=0,0,IF(Table2[[#This Row],[ActualWinner]]=Table2[[#This Row],[HomeTeam]], 1, 0))</f>
        <v>0</v>
      </c>
      <c r="AN1067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67" s="2" t="str">
        <f>INDEX(Sheet5!$B$2:$AG$33, MATCH(Table2[[#This Row],[AwayTeam]],Sheet5!$A$2:$A$33, 0), MATCH(Table2[[#This Row],[HomeTeam]],Sheet5!$A$2:$A$33, 0))</f>
        <v>0-0-0</v>
      </c>
      <c r="AP1067" s="2" t="str">
        <f>INDEX(Sheet5!$B$2:$AG$33, MATCH(Table2[[#This Row],[HomeTeam]],Sheet5!$A$2:$A$33, 0), MATCH(Table2[[#This Row],[AwayTeam]],Sheet5!$A$2:$A$33, 0))</f>
        <v>0-0-0</v>
      </c>
      <c r="AQ1067" s="2">
        <f>IF(Table2[[#This Row],[GameHasShutOut]], 1, 0)</f>
        <v>0</v>
      </c>
      <c r="AR1067" s="2">
        <f>IF(Table2[[#This Row],[ActualAwayScore]] + Table2[[#This Row],[ActualHomeScore]] &gt;= 10, 1, 0)</f>
        <v>0</v>
      </c>
      <c r="AS1067" s="2">
        <f>IF(ABS(Table2[[#This Row],[ActualAwayScore]]-Table2[[#This Row],[ActualHomeScore]])&gt;=5, 1, 0)</f>
        <v>0</v>
      </c>
      <c r="AT1067" s="2">
        <f>IF(Table2[[#This Row],[ActualAwayScore]] + Table2[[#This Row],[ActualHomeScore]] &lt;= 3, 1, 0)</f>
        <v>1</v>
      </c>
      <c r="AU1067" s="2"/>
      <c r="AV1067" s="2"/>
    </row>
    <row r="1068" spans="1:48" x14ac:dyDescent="0.25">
      <c r="A1068" s="3"/>
      <c r="B1068" s="3">
        <v>46098</v>
      </c>
      <c r="C1068" s="5">
        <v>2025021066</v>
      </c>
      <c r="D1068" s="2" t="s">
        <v>14</v>
      </c>
      <c r="E1068" s="2" t="s">
        <v>33</v>
      </c>
      <c r="F1068" s="2"/>
      <c r="G1068" s="2"/>
      <c r="H1068" s="2" t="str">
        <f t="shared" si="84"/>
        <v>_</v>
      </c>
      <c r="I1068" s="2"/>
      <c r="J1068" s="2"/>
      <c r="K1068" s="2"/>
      <c r="L1068" s="2" t="str">
        <f t="shared" si="85"/>
        <v>_</v>
      </c>
      <c r="M1068" s="2"/>
      <c r="N1068" s="2">
        <f>IF(ISBLANK(Table2[[#This Row],[ActualResult]]), 0, 1)</f>
        <v>0</v>
      </c>
      <c r="O1068" s="2" t="str">
        <f>IF(ISBLANK(Table2[[#This Row],[ActualResult]]), "_", IF(Table2[[#This Row],[ActualWinner]]=Table2[[#This Row],[PredictedWinner]], "Y", "N"))</f>
        <v>_</v>
      </c>
      <c r="P10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8" s="2"/>
      <c r="S1068" s="2" t="str">
        <f t="shared" si="86"/>
        <v>_</v>
      </c>
      <c r="T10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68" s="2">
        <f>IF(Table2[[#This Row],[InterConf]]=1,IF(Table2[[#This Row],[InterDiv]]=0, 1, 0), 0)</f>
        <v>0</v>
      </c>
      <c r="W10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8" s="2"/>
      <c r="Y1068" s="2"/>
      <c r="Z1068" s="145">
        <f>IF(AND(Table2[[#This Row],[GameIsOver]]=1,Table2[[#This Row],[ActualHomeScore]]*Table2[[#This Row],[ActualAwayScore]]=0), 1,0)</f>
        <v>0</v>
      </c>
      <c r="AA10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68" s="2">
        <f>Table2[[#This Row],[ActualAwayScore]]-Table2[[#This Row],[PredictedAwayScore]]</f>
        <v>0</v>
      </c>
      <c r="AG1068" s="2">
        <f>Table2[[#This Row],[ActualHomeScore]]-Table2[[#This Row],[PredictedHomeScore]]</f>
        <v>0</v>
      </c>
      <c r="AH1068" s="2">
        <f t="shared" si="87"/>
        <v>0</v>
      </c>
      <c r="AI1068" s="2">
        <f t="shared" si="88"/>
        <v>0</v>
      </c>
      <c r="AJ1068" s="2"/>
      <c r="AK1068" s="3"/>
      <c r="AL1068" s="2">
        <f>IF(Table2[[#This Row],[GameIsOver]]=0,0,IF(Table2[[#This Row],[ActualWinner]]=Table2[[#This Row],[AwayTeam]], 1, 0))</f>
        <v>0</v>
      </c>
      <c r="AM1068" s="2">
        <f>IF(Table2[[#This Row],[GameIsOver]]=0,0,IF(Table2[[#This Row],[ActualWinner]]=Table2[[#This Row],[HomeTeam]], 1, 0))</f>
        <v>0</v>
      </c>
      <c r="AN10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8" s="2" t="str">
        <f>INDEX(Sheet5!$B$2:$AG$33, MATCH(Table2[[#This Row],[AwayTeam]],Sheet5!$A$2:$A$33, 0), MATCH(Table2[[#This Row],[HomeTeam]],Sheet5!$A$2:$A$33, 0))</f>
        <v>0-0-0</v>
      </c>
      <c r="AP1068" s="2" t="str">
        <f>INDEX(Sheet5!$B$2:$AG$33, MATCH(Table2[[#This Row],[HomeTeam]],Sheet5!$A$2:$A$33, 0), MATCH(Table2[[#This Row],[AwayTeam]],Sheet5!$A$2:$A$33, 0))</f>
        <v>0-0-0</v>
      </c>
      <c r="AQ1068" s="2">
        <f>IF(Table2[[#This Row],[GameHasShutOut]], 1, 0)</f>
        <v>0</v>
      </c>
      <c r="AR1068" s="2">
        <f>IF(Table2[[#This Row],[ActualAwayScore]] + Table2[[#This Row],[ActualHomeScore]] &gt;= 10, 1, 0)</f>
        <v>0</v>
      </c>
      <c r="AS1068" s="2">
        <f>IF(ABS(Table2[[#This Row],[ActualAwayScore]]-Table2[[#This Row],[ActualHomeScore]])&gt;=5, 1, 0)</f>
        <v>0</v>
      </c>
      <c r="AT1068" s="2">
        <f>IF(Table2[[#This Row],[ActualAwayScore]] + Table2[[#This Row],[ActualHomeScore]] &lt;= 3, 1, 0)</f>
        <v>1</v>
      </c>
      <c r="AU1068" s="2"/>
      <c r="AV1068" s="2"/>
    </row>
    <row r="1069" spans="1:48" x14ac:dyDescent="0.25">
      <c r="A1069" s="3"/>
      <c r="B1069" s="3">
        <v>46098</v>
      </c>
      <c r="C1069" s="5">
        <v>2025021067</v>
      </c>
      <c r="D1069" s="2" t="s">
        <v>20</v>
      </c>
      <c r="E1069" s="2" t="s">
        <v>25</v>
      </c>
      <c r="F1069" s="2"/>
      <c r="G1069" s="2"/>
      <c r="H1069" s="2" t="str">
        <f t="shared" si="84"/>
        <v>_</v>
      </c>
      <c r="I1069" s="2"/>
      <c r="J1069" s="2"/>
      <c r="K1069" s="2"/>
      <c r="L1069" s="2" t="str">
        <f t="shared" si="85"/>
        <v>_</v>
      </c>
      <c r="M1069" s="2"/>
      <c r="N1069" s="2">
        <f>IF(ISBLANK(Table2[[#This Row],[ActualResult]]), 0, 1)</f>
        <v>0</v>
      </c>
      <c r="O1069" s="2" t="str">
        <f>IF(ISBLANK(Table2[[#This Row],[ActualResult]]), "_", IF(Table2[[#This Row],[ActualWinner]]=Table2[[#This Row],[PredictedWinner]], "Y", "N"))</f>
        <v>_</v>
      </c>
      <c r="P10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9" s="2"/>
      <c r="S1069" s="2" t="str">
        <f t="shared" si="86"/>
        <v>_</v>
      </c>
      <c r="T10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9" s="2">
        <f>IF(Table2[[#This Row],[InterConf]]=1,IF(Table2[[#This Row],[InterDiv]]=0, 1, 0), 0)</f>
        <v>0</v>
      </c>
      <c r="W10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9" s="2"/>
      <c r="Y1069" s="2"/>
      <c r="Z1069" s="145">
        <f>IF(AND(Table2[[#This Row],[GameIsOver]]=1,Table2[[#This Row],[ActualHomeScore]]*Table2[[#This Row],[ActualAwayScore]]=0), 1,0)</f>
        <v>0</v>
      </c>
      <c r="AA10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69" s="2">
        <f>Table2[[#This Row],[ActualAwayScore]]-Table2[[#This Row],[PredictedAwayScore]]</f>
        <v>0</v>
      </c>
      <c r="AG1069" s="2">
        <f>Table2[[#This Row],[ActualHomeScore]]-Table2[[#This Row],[PredictedHomeScore]]</f>
        <v>0</v>
      </c>
      <c r="AH1069" s="2">
        <f t="shared" si="87"/>
        <v>0</v>
      </c>
      <c r="AI1069" s="2">
        <f t="shared" si="88"/>
        <v>0</v>
      </c>
      <c r="AJ1069" s="2"/>
      <c r="AK1069" s="3"/>
      <c r="AL1069" s="2">
        <f>IF(Table2[[#This Row],[GameIsOver]]=0,0,IF(Table2[[#This Row],[ActualWinner]]=Table2[[#This Row],[AwayTeam]], 1, 0))</f>
        <v>0</v>
      </c>
      <c r="AM1069" s="2">
        <f>IF(Table2[[#This Row],[GameIsOver]]=0,0,IF(Table2[[#This Row],[ActualWinner]]=Table2[[#This Row],[HomeTeam]], 1, 0))</f>
        <v>0</v>
      </c>
      <c r="AN10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9" s="2" t="str">
        <f>INDEX(Sheet5!$B$2:$AG$33, MATCH(Table2[[#This Row],[AwayTeam]],Sheet5!$A$2:$A$33, 0), MATCH(Table2[[#This Row],[HomeTeam]],Sheet5!$A$2:$A$33, 0))</f>
        <v>0-0-0</v>
      </c>
      <c r="AP1069" s="2" t="str">
        <f>INDEX(Sheet5!$B$2:$AG$33, MATCH(Table2[[#This Row],[HomeTeam]],Sheet5!$A$2:$A$33, 0), MATCH(Table2[[#This Row],[AwayTeam]],Sheet5!$A$2:$A$33, 0))</f>
        <v>0-0-0</v>
      </c>
      <c r="AQ1069" s="2">
        <f>IF(Table2[[#This Row],[GameHasShutOut]], 1, 0)</f>
        <v>0</v>
      </c>
      <c r="AR1069" s="2">
        <f>IF(Table2[[#This Row],[ActualAwayScore]] + Table2[[#This Row],[ActualHomeScore]] &gt;= 10, 1, 0)</f>
        <v>0</v>
      </c>
      <c r="AS1069" s="2">
        <f>IF(ABS(Table2[[#This Row],[ActualAwayScore]]-Table2[[#This Row],[ActualHomeScore]])&gt;=5, 1, 0)</f>
        <v>0</v>
      </c>
      <c r="AT1069" s="2">
        <f>IF(Table2[[#This Row],[ActualAwayScore]] + Table2[[#This Row],[ActualHomeScore]] &lt;= 3, 1, 0)</f>
        <v>1</v>
      </c>
      <c r="AU1069" s="2"/>
      <c r="AV1069" s="2"/>
    </row>
    <row r="1070" spans="1:48" x14ac:dyDescent="0.25">
      <c r="A1070" s="3"/>
      <c r="B1070" s="3">
        <v>46098</v>
      </c>
      <c r="C1070" s="5">
        <v>2025021068</v>
      </c>
      <c r="D1070" s="2" t="s">
        <v>32</v>
      </c>
      <c r="E1070" s="2" t="s">
        <v>17</v>
      </c>
      <c r="F1070" s="2"/>
      <c r="G1070" s="2"/>
      <c r="H1070" s="2" t="str">
        <f t="shared" si="84"/>
        <v>_</v>
      </c>
      <c r="I1070" s="2"/>
      <c r="J1070" s="2"/>
      <c r="K1070" s="2"/>
      <c r="L1070" s="2" t="str">
        <f t="shared" si="85"/>
        <v>_</v>
      </c>
      <c r="M1070" s="2"/>
      <c r="N1070" s="2">
        <f>IF(ISBLANK(Table2[[#This Row],[ActualResult]]), 0, 1)</f>
        <v>0</v>
      </c>
      <c r="O1070" s="2" t="str">
        <f>IF(ISBLANK(Table2[[#This Row],[ActualResult]]), "_", IF(Table2[[#This Row],[ActualWinner]]=Table2[[#This Row],[PredictedWinner]], "Y", "N"))</f>
        <v>_</v>
      </c>
      <c r="P10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0" s="2"/>
      <c r="S1070" s="2" t="str">
        <f t="shared" si="86"/>
        <v>_</v>
      </c>
      <c r="T10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0" s="2">
        <f>IF(Table2[[#This Row],[InterConf]]=1,IF(Table2[[#This Row],[InterDiv]]=0, 1, 0), 0)</f>
        <v>1</v>
      </c>
      <c r="W10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0" s="2"/>
      <c r="Y1070" s="2"/>
      <c r="Z1070" s="145">
        <f>IF(AND(Table2[[#This Row],[GameIsOver]]=1,Table2[[#This Row],[ActualHomeScore]]*Table2[[#This Row],[ActualAwayScore]]=0), 1,0)</f>
        <v>0</v>
      </c>
      <c r="AA10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0" s="2">
        <f>Table2[[#This Row],[ActualAwayScore]]-Table2[[#This Row],[PredictedAwayScore]]</f>
        <v>0</v>
      </c>
      <c r="AG1070" s="2">
        <f>Table2[[#This Row],[ActualHomeScore]]-Table2[[#This Row],[PredictedHomeScore]]</f>
        <v>0</v>
      </c>
      <c r="AH1070" s="2">
        <f t="shared" si="87"/>
        <v>0</v>
      </c>
      <c r="AI1070" s="2">
        <f t="shared" si="88"/>
        <v>0</v>
      </c>
      <c r="AJ1070" s="2"/>
      <c r="AK1070" s="3"/>
      <c r="AL1070" s="2">
        <f>IF(Table2[[#This Row],[GameIsOver]]=0,0,IF(Table2[[#This Row],[ActualWinner]]=Table2[[#This Row],[AwayTeam]], 1, 0))</f>
        <v>0</v>
      </c>
      <c r="AM1070" s="2">
        <f>IF(Table2[[#This Row],[GameIsOver]]=0,0,IF(Table2[[#This Row],[ActualWinner]]=Table2[[#This Row],[HomeTeam]], 1, 0))</f>
        <v>0</v>
      </c>
      <c r="AN10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0" s="2" t="str">
        <f>INDEX(Sheet5!$B$2:$AG$33, MATCH(Table2[[#This Row],[AwayTeam]],Sheet5!$A$2:$A$33, 0), MATCH(Table2[[#This Row],[HomeTeam]],Sheet5!$A$2:$A$33, 0))</f>
        <v>0-0-0</v>
      </c>
      <c r="AP1070" s="2" t="str">
        <f>INDEX(Sheet5!$B$2:$AG$33, MATCH(Table2[[#This Row],[HomeTeam]],Sheet5!$A$2:$A$33, 0), MATCH(Table2[[#This Row],[AwayTeam]],Sheet5!$A$2:$A$33, 0))</f>
        <v>0-0-0</v>
      </c>
      <c r="AQ1070" s="2">
        <f>IF(Table2[[#This Row],[GameHasShutOut]], 1, 0)</f>
        <v>0</v>
      </c>
      <c r="AR1070" s="2">
        <f>IF(Table2[[#This Row],[ActualAwayScore]] + Table2[[#This Row],[ActualHomeScore]] &gt;= 10, 1, 0)</f>
        <v>0</v>
      </c>
      <c r="AS1070" s="2">
        <f>IF(ABS(Table2[[#This Row],[ActualAwayScore]]-Table2[[#This Row],[ActualHomeScore]])&gt;=5, 1, 0)</f>
        <v>0</v>
      </c>
      <c r="AT1070" s="2">
        <f>IF(Table2[[#This Row],[ActualAwayScore]] + Table2[[#This Row],[ActualHomeScore]] &lt;= 3, 1, 0)</f>
        <v>1</v>
      </c>
      <c r="AU1070" s="2"/>
      <c r="AV1070" s="2"/>
    </row>
    <row r="1071" spans="1:48" x14ac:dyDescent="0.25">
      <c r="A1071" s="3"/>
      <c r="B1071" s="3">
        <v>46098</v>
      </c>
      <c r="C1071" s="5">
        <v>2025021069</v>
      </c>
      <c r="D1071" s="2" t="s">
        <v>15</v>
      </c>
      <c r="E1071" s="2" t="s">
        <v>18</v>
      </c>
      <c r="F1071" s="2"/>
      <c r="G1071" s="2"/>
      <c r="H1071" s="2" t="str">
        <f t="shared" si="84"/>
        <v>_</v>
      </c>
      <c r="I1071" s="2"/>
      <c r="J1071" s="2"/>
      <c r="K1071" s="2"/>
      <c r="L1071" s="2" t="str">
        <f t="shared" si="85"/>
        <v>_</v>
      </c>
      <c r="M1071" s="2"/>
      <c r="N1071" s="2">
        <f>IF(ISBLANK(Table2[[#This Row],[ActualResult]]), 0, 1)</f>
        <v>0</v>
      </c>
      <c r="O1071" s="2" t="str">
        <f>IF(ISBLANK(Table2[[#This Row],[ActualResult]]), "_", IF(Table2[[#This Row],[ActualWinner]]=Table2[[#This Row],[PredictedWinner]], "Y", "N"))</f>
        <v>_</v>
      </c>
      <c r="P10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1" s="2"/>
      <c r="S1071" s="2" t="str">
        <f t="shared" si="86"/>
        <v>_</v>
      </c>
      <c r="T10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1" s="2">
        <f>IF(Table2[[#This Row],[InterConf]]=1,IF(Table2[[#This Row],[InterDiv]]=0, 1, 0), 0)</f>
        <v>0</v>
      </c>
      <c r="W10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1" s="2"/>
      <c r="Y1071" s="2"/>
      <c r="Z1071" s="145">
        <f>IF(AND(Table2[[#This Row],[GameIsOver]]=1,Table2[[#This Row],[ActualHomeScore]]*Table2[[#This Row],[ActualAwayScore]]=0), 1,0)</f>
        <v>0</v>
      </c>
      <c r="AA10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1" s="2">
        <f>Table2[[#This Row],[ActualAwayScore]]-Table2[[#This Row],[PredictedAwayScore]]</f>
        <v>0</v>
      </c>
      <c r="AG1071" s="2">
        <f>Table2[[#This Row],[ActualHomeScore]]-Table2[[#This Row],[PredictedHomeScore]]</f>
        <v>0</v>
      </c>
      <c r="AH1071" s="2">
        <f t="shared" si="87"/>
        <v>0</v>
      </c>
      <c r="AI1071" s="2">
        <f t="shared" si="88"/>
        <v>0</v>
      </c>
      <c r="AJ1071" s="2"/>
      <c r="AK1071" s="3"/>
      <c r="AL1071" s="2">
        <f>IF(Table2[[#This Row],[GameIsOver]]=0,0,IF(Table2[[#This Row],[ActualWinner]]=Table2[[#This Row],[AwayTeam]], 1, 0))</f>
        <v>0</v>
      </c>
      <c r="AM1071" s="2">
        <f>IF(Table2[[#This Row],[GameIsOver]]=0,0,IF(Table2[[#This Row],[ActualWinner]]=Table2[[#This Row],[HomeTeam]], 1, 0))</f>
        <v>0</v>
      </c>
      <c r="AN10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1" s="2" t="str">
        <f>INDEX(Sheet5!$B$2:$AG$33, MATCH(Table2[[#This Row],[AwayTeam]],Sheet5!$A$2:$A$33, 0), MATCH(Table2[[#This Row],[HomeTeam]],Sheet5!$A$2:$A$33, 0))</f>
        <v>0-0-0</v>
      </c>
      <c r="AP1071" s="2" t="str">
        <f>INDEX(Sheet5!$B$2:$AG$33, MATCH(Table2[[#This Row],[HomeTeam]],Sheet5!$A$2:$A$33, 0), MATCH(Table2[[#This Row],[AwayTeam]],Sheet5!$A$2:$A$33, 0))</f>
        <v>0-0-0</v>
      </c>
      <c r="AQ1071" s="2">
        <f>IF(Table2[[#This Row],[GameHasShutOut]], 1, 0)</f>
        <v>0</v>
      </c>
      <c r="AR1071" s="2">
        <f>IF(Table2[[#This Row],[ActualAwayScore]] + Table2[[#This Row],[ActualHomeScore]] &gt;= 10, 1, 0)</f>
        <v>0</v>
      </c>
      <c r="AS1071" s="2">
        <f>IF(ABS(Table2[[#This Row],[ActualAwayScore]]-Table2[[#This Row],[ActualHomeScore]])&gt;=5, 1, 0)</f>
        <v>0</v>
      </c>
      <c r="AT1071" s="2">
        <f>IF(Table2[[#This Row],[ActualAwayScore]] + Table2[[#This Row],[ActualHomeScore]] &lt;= 3, 1, 0)</f>
        <v>1</v>
      </c>
      <c r="AU1071" s="2"/>
      <c r="AV1071" s="2"/>
    </row>
    <row r="1072" spans="1:48" x14ac:dyDescent="0.25">
      <c r="A1072" s="3"/>
      <c r="B1072" s="3">
        <v>46098</v>
      </c>
      <c r="C1072" s="5">
        <v>2025021070</v>
      </c>
      <c r="D1072" s="2" t="s">
        <v>41</v>
      </c>
      <c r="E1072" s="2" t="s">
        <v>35</v>
      </c>
      <c r="F1072" s="2"/>
      <c r="G1072" s="2"/>
      <c r="H1072" s="2" t="str">
        <f t="shared" si="84"/>
        <v>_</v>
      </c>
      <c r="I1072" s="2"/>
      <c r="J1072" s="2"/>
      <c r="K1072" s="2"/>
      <c r="L1072" s="2" t="str">
        <f t="shared" si="85"/>
        <v>_</v>
      </c>
      <c r="M1072" s="2"/>
      <c r="N1072" s="2">
        <f>IF(ISBLANK(Table2[[#This Row],[ActualResult]]), 0, 1)</f>
        <v>0</v>
      </c>
      <c r="O1072" s="2" t="str">
        <f>IF(ISBLANK(Table2[[#This Row],[ActualResult]]), "_", IF(Table2[[#This Row],[ActualWinner]]=Table2[[#This Row],[PredictedWinner]], "Y", "N"))</f>
        <v>_</v>
      </c>
      <c r="P10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2" s="2"/>
      <c r="S1072" s="2" t="str">
        <f t="shared" si="86"/>
        <v>_</v>
      </c>
      <c r="T10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2" s="2">
        <f>IF(Table2[[#This Row],[InterConf]]=1,IF(Table2[[#This Row],[InterDiv]]=0, 1, 0), 0)</f>
        <v>0</v>
      </c>
      <c r="W10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2" s="2"/>
      <c r="Y1072" s="2"/>
      <c r="Z1072" s="145">
        <f>IF(AND(Table2[[#This Row],[GameIsOver]]=1,Table2[[#This Row],[ActualHomeScore]]*Table2[[#This Row],[ActualAwayScore]]=0), 1,0)</f>
        <v>0</v>
      </c>
      <c r="AA10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2" s="2">
        <f>Table2[[#This Row],[ActualAwayScore]]-Table2[[#This Row],[PredictedAwayScore]]</f>
        <v>0</v>
      </c>
      <c r="AG1072" s="2">
        <f>Table2[[#This Row],[ActualHomeScore]]-Table2[[#This Row],[PredictedHomeScore]]</f>
        <v>0</v>
      </c>
      <c r="AH1072" s="2">
        <f t="shared" si="87"/>
        <v>0</v>
      </c>
      <c r="AI1072" s="2">
        <f t="shared" si="88"/>
        <v>0</v>
      </c>
      <c r="AJ1072" s="2"/>
      <c r="AK1072" s="3"/>
      <c r="AL1072" s="2">
        <f>IF(Table2[[#This Row],[GameIsOver]]=0,0,IF(Table2[[#This Row],[ActualWinner]]=Table2[[#This Row],[AwayTeam]], 1, 0))</f>
        <v>0</v>
      </c>
      <c r="AM1072" s="2">
        <f>IF(Table2[[#This Row],[GameIsOver]]=0,0,IF(Table2[[#This Row],[ActualWinner]]=Table2[[#This Row],[HomeTeam]], 1, 0))</f>
        <v>0</v>
      </c>
      <c r="AN10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2" s="2" t="str">
        <f>INDEX(Sheet5!$B$2:$AG$33, MATCH(Table2[[#This Row],[AwayTeam]],Sheet5!$A$2:$A$33, 0), MATCH(Table2[[#This Row],[HomeTeam]],Sheet5!$A$2:$A$33, 0))</f>
        <v>0-0-0</v>
      </c>
      <c r="AP1072" s="2" t="str">
        <f>INDEX(Sheet5!$B$2:$AG$33, MATCH(Table2[[#This Row],[HomeTeam]],Sheet5!$A$2:$A$33, 0), MATCH(Table2[[#This Row],[AwayTeam]],Sheet5!$A$2:$A$33, 0))</f>
        <v>0-0-0</v>
      </c>
      <c r="AQ1072" s="2">
        <f>IF(Table2[[#This Row],[GameHasShutOut]], 1, 0)</f>
        <v>0</v>
      </c>
      <c r="AR1072" s="2">
        <f>IF(Table2[[#This Row],[ActualAwayScore]] + Table2[[#This Row],[ActualHomeScore]] &gt;= 10, 1, 0)</f>
        <v>0</v>
      </c>
      <c r="AS1072" s="2">
        <f>IF(ABS(Table2[[#This Row],[ActualAwayScore]]-Table2[[#This Row],[ActualHomeScore]])&gt;=5, 1, 0)</f>
        <v>0</v>
      </c>
      <c r="AT1072" s="2">
        <f>IF(Table2[[#This Row],[ActualAwayScore]] + Table2[[#This Row],[ActualHomeScore]] &lt;= 3, 1, 0)</f>
        <v>1</v>
      </c>
      <c r="AU1072" s="2"/>
      <c r="AV1072" s="2"/>
    </row>
    <row r="1073" spans="1:48" x14ac:dyDescent="0.25">
      <c r="A1073" s="3"/>
      <c r="B1073" s="3">
        <v>46099</v>
      </c>
      <c r="C1073" s="5">
        <v>2025021071</v>
      </c>
      <c r="D1073" s="2" t="s">
        <v>34</v>
      </c>
      <c r="E1073" s="2" t="s">
        <v>21</v>
      </c>
      <c r="F1073" s="2"/>
      <c r="G1073" s="2"/>
      <c r="H1073" s="2" t="str">
        <f t="shared" si="84"/>
        <v>_</v>
      </c>
      <c r="I1073" s="2"/>
      <c r="J1073" s="2"/>
      <c r="K1073" s="2"/>
      <c r="L1073" s="2" t="str">
        <f t="shared" si="85"/>
        <v>_</v>
      </c>
      <c r="M1073" s="2"/>
      <c r="N1073" s="2">
        <f>IF(ISBLANK(Table2[[#This Row],[ActualResult]]), 0, 1)</f>
        <v>0</v>
      </c>
      <c r="O1073" s="2" t="str">
        <f>IF(ISBLANK(Table2[[#This Row],[ActualResult]]), "_", IF(Table2[[#This Row],[ActualWinner]]=Table2[[#This Row],[PredictedWinner]], "Y", "N"))</f>
        <v>_</v>
      </c>
      <c r="P10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3" s="2"/>
      <c r="S1073" s="2" t="str">
        <f t="shared" si="86"/>
        <v>_</v>
      </c>
      <c r="T10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3" s="2">
        <f>IF(Table2[[#This Row],[InterConf]]=1,IF(Table2[[#This Row],[InterDiv]]=0, 1, 0), 0)</f>
        <v>0</v>
      </c>
      <c r="W10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3" s="2"/>
      <c r="Y1073" s="2"/>
      <c r="Z1073" s="145">
        <f>IF(AND(Table2[[#This Row],[GameIsOver]]=1,Table2[[#This Row],[ActualHomeScore]]*Table2[[#This Row],[ActualAwayScore]]=0), 1,0)</f>
        <v>0</v>
      </c>
      <c r="AA10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3" s="2">
        <f>Table2[[#This Row],[ActualAwayScore]]-Table2[[#This Row],[PredictedAwayScore]]</f>
        <v>0</v>
      </c>
      <c r="AG1073" s="2">
        <f>Table2[[#This Row],[ActualHomeScore]]-Table2[[#This Row],[PredictedHomeScore]]</f>
        <v>0</v>
      </c>
      <c r="AH1073" s="2">
        <f t="shared" si="87"/>
        <v>0</v>
      </c>
      <c r="AI1073" s="2">
        <f t="shared" si="88"/>
        <v>0</v>
      </c>
      <c r="AJ1073" s="2"/>
      <c r="AK1073" s="3"/>
      <c r="AL1073" s="2">
        <f>IF(Table2[[#This Row],[GameIsOver]]=0,0,IF(Table2[[#This Row],[ActualWinner]]=Table2[[#This Row],[AwayTeam]], 1, 0))</f>
        <v>0</v>
      </c>
      <c r="AM1073" s="2">
        <f>IF(Table2[[#This Row],[GameIsOver]]=0,0,IF(Table2[[#This Row],[ActualWinner]]=Table2[[#This Row],[HomeTeam]], 1, 0))</f>
        <v>0</v>
      </c>
      <c r="AN10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3" s="2" t="str">
        <f>INDEX(Sheet5!$B$2:$AG$33, MATCH(Table2[[#This Row],[AwayTeam]],Sheet5!$A$2:$A$33, 0), MATCH(Table2[[#This Row],[HomeTeam]],Sheet5!$A$2:$A$33, 0))</f>
        <v>0-1-0</v>
      </c>
      <c r="AP1073" s="2" t="str">
        <f>INDEX(Sheet5!$B$2:$AG$33, MATCH(Table2[[#This Row],[HomeTeam]],Sheet5!$A$2:$A$33, 0), MATCH(Table2[[#This Row],[AwayTeam]],Sheet5!$A$2:$A$33, 0))</f>
        <v>1-0-0</v>
      </c>
      <c r="AQ1073" s="2">
        <f>IF(Table2[[#This Row],[GameHasShutOut]], 1, 0)</f>
        <v>0</v>
      </c>
      <c r="AR1073" s="2">
        <f>IF(Table2[[#This Row],[ActualAwayScore]] + Table2[[#This Row],[ActualHomeScore]] &gt;= 10, 1, 0)</f>
        <v>0</v>
      </c>
      <c r="AS1073" s="2">
        <f>IF(ABS(Table2[[#This Row],[ActualAwayScore]]-Table2[[#This Row],[ActualHomeScore]])&gt;=5, 1, 0)</f>
        <v>0</v>
      </c>
      <c r="AT1073" s="2">
        <f>IF(Table2[[#This Row],[ActualAwayScore]] + Table2[[#This Row],[ActualHomeScore]] &lt;= 3, 1, 0)</f>
        <v>1</v>
      </c>
      <c r="AU1073" s="2"/>
      <c r="AV1073" s="2"/>
    </row>
    <row r="1074" spans="1:48" x14ac:dyDescent="0.25">
      <c r="A1074" s="3"/>
      <c r="B1074" s="3">
        <v>46099</v>
      </c>
      <c r="C1074" s="5">
        <v>2025021072</v>
      </c>
      <c r="D1074" s="2" t="s">
        <v>36</v>
      </c>
      <c r="E1074" s="2" t="s">
        <v>16</v>
      </c>
      <c r="F1074" s="2"/>
      <c r="G1074" s="2"/>
      <c r="H1074" s="2" t="str">
        <f t="shared" si="84"/>
        <v>_</v>
      </c>
      <c r="I1074" s="2"/>
      <c r="J1074" s="2"/>
      <c r="K1074" s="2"/>
      <c r="L1074" s="2" t="str">
        <f t="shared" si="85"/>
        <v>_</v>
      </c>
      <c r="M1074" s="2"/>
      <c r="N1074" s="2">
        <f>IF(ISBLANK(Table2[[#This Row],[ActualResult]]), 0, 1)</f>
        <v>0</v>
      </c>
      <c r="O1074" s="2" t="str">
        <f>IF(ISBLANK(Table2[[#This Row],[ActualResult]]), "_", IF(Table2[[#This Row],[ActualWinner]]=Table2[[#This Row],[PredictedWinner]], "Y", "N"))</f>
        <v>_</v>
      </c>
      <c r="P10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4" s="2"/>
      <c r="S1074" s="2" t="str">
        <f t="shared" si="86"/>
        <v>_</v>
      </c>
      <c r="T10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4" s="2">
        <f>IF(Table2[[#This Row],[InterConf]]=1,IF(Table2[[#This Row],[InterDiv]]=0, 1, 0), 0)</f>
        <v>0</v>
      </c>
      <c r="W10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4" s="2"/>
      <c r="Y1074" s="2"/>
      <c r="Z1074" s="145">
        <f>IF(AND(Table2[[#This Row],[GameIsOver]]=1,Table2[[#This Row],[ActualHomeScore]]*Table2[[#This Row],[ActualAwayScore]]=0), 1,0)</f>
        <v>0</v>
      </c>
      <c r="AA10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4" s="2">
        <f>Table2[[#This Row],[ActualAwayScore]]-Table2[[#This Row],[PredictedAwayScore]]</f>
        <v>0</v>
      </c>
      <c r="AG1074" s="2">
        <f>Table2[[#This Row],[ActualHomeScore]]-Table2[[#This Row],[PredictedHomeScore]]</f>
        <v>0</v>
      </c>
      <c r="AH1074" s="2">
        <f t="shared" si="87"/>
        <v>0</v>
      </c>
      <c r="AI1074" s="2">
        <f t="shared" si="88"/>
        <v>0</v>
      </c>
      <c r="AJ1074" s="2"/>
      <c r="AK1074" s="3"/>
      <c r="AL1074" s="2">
        <f>IF(Table2[[#This Row],[GameIsOver]]=0,0,IF(Table2[[#This Row],[ActualWinner]]=Table2[[#This Row],[AwayTeam]], 1, 0))</f>
        <v>0</v>
      </c>
      <c r="AM1074" s="2">
        <f>IF(Table2[[#This Row],[GameIsOver]]=0,0,IF(Table2[[#This Row],[ActualWinner]]=Table2[[#This Row],[HomeTeam]], 1, 0))</f>
        <v>0</v>
      </c>
      <c r="AN10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4" s="2" t="str">
        <f>INDEX(Sheet5!$B$2:$AG$33, MATCH(Table2[[#This Row],[AwayTeam]],Sheet5!$A$2:$A$33, 0), MATCH(Table2[[#This Row],[HomeTeam]],Sheet5!$A$2:$A$33, 0))</f>
        <v>0-0-0</v>
      </c>
      <c r="AP1074" s="2" t="str">
        <f>INDEX(Sheet5!$B$2:$AG$33, MATCH(Table2[[#This Row],[HomeTeam]],Sheet5!$A$2:$A$33, 0), MATCH(Table2[[#This Row],[AwayTeam]],Sheet5!$A$2:$A$33, 0))</f>
        <v>0-0-0</v>
      </c>
      <c r="AQ1074" s="2">
        <f>IF(Table2[[#This Row],[GameHasShutOut]], 1, 0)</f>
        <v>0</v>
      </c>
      <c r="AR1074" s="2">
        <f>IF(Table2[[#This Row],[ActualAwayScore]] + Table2[[#This Row],[ActualHomeScore]] &gt;= 10, 1, 0)</f>
        <v>0</v>
      </c>
      <c r="AS1074" s="2">
        <f>IF(ABS(Table2[[#This Row],[ActualAwayScore]]-Table2[[#This Row],[ActualHomeScore]])&gt;=5, 1, 0)</f>
        <v>0</v>
      </c>
      <c r="AT1074" s="2">
        <f>IF(Table2[[#This Row],[ActualAwayScore]] + Table2[[#This Row],[ActualHomeScore]] &lt;= 3, 1, 0)</f>
        <v>1</v>
      </c>
      <c r="AU1074" s="2"/>
      <c r="AV1074" s="2"/>
    </row>
    <row r="1075" spans="1:48" x14ac:dyDescent="0.25">
      <c r="A1075" s="3"/>
      <c r="B1075" s="3">
        <v>46099</v>
      </c>
      <c r="C1075" s="5">
        <v>2025021073</v>
      </c>
      <c r="D1075" s="2" t="s">
        <v>37</v>
      </c>
      <c r="E1075" s="2" t="s">
        <v>22</v>
      </c>
      <c r="F1075" s="2"/>
      <c r="G1075" s="2"/>
      <c r="H1075" s="2" t="str">
        <f t="shared" si="84"/>
        <v>_</v>
      </c>
      <c r="I1075" s="2"/>
      <c r="J1075" s="2"/>
      <c r="K1075" s="2"/>
      <c r="L1075" s="2" t="str">
        <f t="shared" si="85"/>
        <v>_</v>
      </c>
      <c r="M1075" s="2"/>
      <c r="N1075" s="2">
        <f>IF(ISBLANK(Table2[[#This Row],[ActualResult]]), 0, 1)</f>
        <v>0</v>
      </c>
      <c r="O1075" s="2" t="str">
        <f>IF(ISBLANK(Table2[[#This Row],[ActualResult]]), "_", IF(Table2[[#This Row],[ActualWinner]]=Table2[[#This Row],[PredictedWinner]], "Y", "N"))</f>
        <v>_</v>
      </c>
      <c r="P10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5" s="2"/>
      <c r="S1075" s="2" t="str">
        <f t="shared" si="86"/>
        <v>_</v>
      </c>
      <c r="T10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5" s="2">
        <f>IF(Table2[[#This Row],[InterConf]]=1,IF(Table2[[#This Row],[InterDiv]]=0, 1, 0), 0)</f>
        <v>0</v>
      </c>
      <c r="W10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5" s="2"/>
      <c r="Y1075" s="2"/>
      <c r="Z1075" s="145">
        <f>IF(AND(Table2[[#This Row],[GameIsOver]]=1,Table2[[#This Row],[ActualHomeScore]]*Table2[[#This Row],[ActualAwayScore]]=0), 1,0)</f>
        <v>0</v>
      </c>
      <c r="AA10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5" s="2">
        <f>Table2[[#This Row],[ActualAwayScore]]-Table2[[#This Row],[PredictedAwayScore]]</f>
        <v>0</v>
      </c>
      <c r="AG1075" s="2">
        <f>Table2[[#This Row],[ActualHomeScore]]-Table2[[#This Row],[PredictedHomeScore]]</f>
        <v>0</v>
      </c>
      <c r="AH1075" s="2">
        <f t="shared" si="87"/>
        <v>0</v>
      </c>
      <c r="AI1075" s="2">
        <f t="shared" si="88"/>
        <v>0</v>
      </c>
      <c r="AJ1075" s="2"/>
      <c r="AK1075" s="3"/>
      <c r="AL1075" s="2">
        <f>IF(Table2[[#This Row],[GameIsOver]]=0,0,IF(Table2[[#This Row],[ActualWinner]]=Table2[[#This Row],[AwayTeam]], 1, 0))</f>
        <v>0</v>
      </c>
      <c r="AM1075" s="2">
        <f>IF(Table2[[#This Row],[GameIsOver]]=0,0,IF(Table2[[#This Row],[ActualWinner]]=Table2[[#This Row],[HomeTeam]], 1, 0))</f>
        <v>0</v>
      </c>
      <c r="AN10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5" s="2" t="str">
        <f>INDEX(Sheet5!$B$2:$AG$33, MATCH(Table2[[#This Row],[AwayTeam]],Sheet5!$A$2:$A$33, 0), MATCH(Table2[[#This Row],[HomeTeam]],Sheet5!$A$2:$A$33, 0))</f>
        <v>0-0-0</v>
      </c>
      <c r="AP1075" s="2" t="str">
        <f>INDEX(Sheet5!$B$2:$AG$33, MATCH(Table2[[#This Row],[HomeTeam]],Sheet5!$A$2:$A$33, 0), MATCH(Table2[[#This Row],[AwayTeam]],Sheet5!$A$2:$A$33, 0))</f>
        <v>0-0-0</v>
      </c>
      <c r="AQ1075" s="2">
        <f>IF(Table2[[#This Row],[GameHasShutOut]], 1, 0)</f>
        <v>0</v>
      </c>
      <c r="AR1075" s="2">
        <f>IF(Table2[[#This Row],[ActualAwayScore]] + Table2[[#This Row],[ActualHomeScore]] &gt;= 10, 1, 0)</f>
        <v>0</v>
      </c>
      <c r="AS1075" s="2">
        <f>IF(ABS(Table2[[#This Row],[ActualAwayScore]]-Table2[[#This Row],[ActualHomeScore]])&gt;=5, 1, 0)</f>
        <v>0</v>
      </c>
      <c r="AT1075" s="2">
        <f>IF(Table2[[#This Row],[ActualAwayScore]] + Table2[[#This Row],[ActualHomeScore]] &lt;= 3, 1, 0)</f>
        <v>1</v>
      </c>
      <c r="AU1075" s="2"/>
      <c r="AV1075" s="2"/>
    </row>
    <row r="1076" spans="1:48" x14ac:dyDescent="0.25">
      <c r="A1076" s="3"/>
      <c r="B1076" s="3">
        <v>46099</v>
      </c>
      <c r="C1076" s="5">
        <v>2025021074</v>
      </c>
      <c r="D1076" s="2" t="s">
        <v>13</v>
      </c>
      <c r="E1076" s="2" t="s">
        <v>24</v>
      </c>
      <c r="F1076" s="2"/>
      <c r="G1076" s="2"/>
      <c r="H1076" s="2" t="str">
        <f t="shared" si="84"/>
        <v>_</v>
      </c>
      <c r="I1076" s="2"/>
      <c r="J1076" s="2"/>
      <c r="K1076" s="2"/>
      <c r="L1076" s="2" t="str">
        <f t="shared" si="85"/>
        <v>_</v>
      </c>
      <c r="M1076" s="2"/>
      <c r="N1076" s="2">
        <f>IF(ISBLANK(Table2[[#This Row],[ActualResult]]), 0, 1)</f>
        <v>0</v>
      </c>
      <c r="O1076" s="2" t="str">
        <f>IF(ISBLANK(Table2[[#This Row],[ActualResult]]), "_", IF(Table2[[#This Row],[ActualWinner]]=Table2[[#This Row],[PredictedWinner]], "Y", "N"))</f>
        <v>_</v>
      </c>
      <c r="P10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6" s="2"/>
      <c r="S1076" s="2" t="str">
        <f t="shared" si="86"/>
        <v>_</v>
      </c>
      <c r="T10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6" s="2">
        <f>IF(Table2[[#This Row],[InterConf]]=1,IF(Table2[[#This Row],[InterDiv]]=0, 1, 0), 0)</f>
        <v>0</v>
      </c>
      <c r="W10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76" s="2"/>
      <c r="Y1076" s="2"/>
      <c r="Z1076" s="145">
        <f>IF(AND(Table2[[#This Row],[GameIsOver]]=1,Table2[[#This Row],[ActualHomeScore]]*Table2[[#This Row],[ActualAwayScore]]=0), 1,0)</f>
        <v>0</v>
      </c>
      <c r="AA10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6" s="2">
        <f>Table2[[#This Row],[ActualAwayScore]]-Table2[[#This Row],[PredictedAwayScore]]</f>
        <v>0</v>
      </c>
      <c r="AG1076" s="2">
        <f>Table2[[#This Row],[ActualHomeScore]]-Table2[[#This Row],[PredictedHomeScore]]</f>
        <v>0</v>
      </c>
      <c r="AH1076" s="2">
        <f t="shared" si="87"/>
        <v>0</v>
      </c>
      <c r="AI1076" s="2">
        <f t="shared" si="88"/>
        <v>0</v>
      </c>
      <c r="AJ1076" s="2"/>
      <c r="AK1076" s="3"/>
      <c r="AL1076" s="2">
        <f>IF(Table2[[#This Row],[GameIsOver]]=0,0,IF(Table2[[#This Row],[ActualWinner]]=Table2[[#This Row],[AwayTeam]], 1, 0))</f>
        <v>0</v>
      </c>
      <c r="AM1076" s="2">
        <f>IF(Table2[[#This Row],[GameIsOver]]=0,0,IF(Table2[[#This Row],[ActualWinner]]=Table2[[#This Row],[HomeTeam]], 1, 0))</f>
        <v>0</v>
      </c>
      <c r="AN10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6" s="2" t="str">
        <f>INDEX(Sheet5!$B$2:$AG$33, MATCH(Table2[[#This Row],[AwayTeam]],Sheet5!$A$2:$A$33, 0), MATCH(Table2[[#This Row],[HomeTeam]],Sheet5!$A$2:$A$33, 0))</f>
        <v>0-0-0</v>
      </c>
      <c r="AP1076" s="2" t="str">
        <f>INDEX(Sheet5!$B$2:$AG$33, MATCH(Table2[[#This Row],[HomeTeam]],Sheet5!$A$2:$A$33, 0), MATCH(Table2[[#This Row],[AwayTeam]],Sheet5!$A$2:$A$33, 0))</f>
        <v>0-0-0</v>
      </c>
      <c r="AQ1076" s="2">
        <f>IF(Table2[[#This Row],[GameHasShutOut]], 1, 0)</f>
        <v>0</v>
      </c>
      <c r="AR1076" s="2">
        <f>IF(Table2[[#This Row],[ActualAwayScore]] + Table2[[#This Row],[ActualHomeScore]] &gt;= 10, 1, 0)</f>
        <v>0</v>
      </c>
      <c r="AS1076" s="2">
        <f>IF(ABS(Table2[[#This Row],[ActualAwayScore]]-Table2[[#This Row],[ActualHomeScore]])&gt;=5, 1, 0)</f>
        <v>0</v>
      </c>
      <c r="AT1076" s="2">
        <f>IF(Table2[[#This Row],[ActualAwayScore]] + Table2[[#This Row],[ActualHomeScore]] &lt;= 3, 1, 0)</f>
        <v>1</v>
      </c>
      <c r="AU1076" s="2"/>
      <c r="AV1076" s="2"/>
    </row>
    <row r="1077" spans="1:48" x14ac:dyDescent="0.25">
      <c r="A1077" s="3"/>
      <c r="B1077" s="3">
        <v>46099</v>
      </c>
      <c r="C1077" s="5">
        <v>2025021075</v>
      </c>
      <c r="D1077" s="2" t="s">
        <v>28</v>
      </c>
      <c r="E1077" s="2" t="s">
        <v>26</v>
      </c>
      <c r="F1077" s="2"/>
      <c r="G1077" s="2"/>
      <c r="H1077" s="2" t="str">
        <f t="shared" si="84"/>
        <v>_</v>
      </c>
      <c r="I1077" s="2"/>
      <c r="J1077" s="2"/>
      <c r="K1077" s="2"/>
      <c r="L1077" s="2" t="str">
        <f t="shared" si="85"/>
        <v>_</v>
      </c>
      <c r="M1077" s="2"/>
      <c r="N1077" s="2">
        <f>IF(ISBLANK(Table2[[#This Row],[ActualResult]]), 0, 1)</f>
        <v>0</v>
      </c>
      <c r="O1077" s="2" t="str">
        <f>IF(ISBLANK(Table2[[#This Row],[ActualResult]]), "_", IF(Table2[[#This Row],[ActualWinner]]=Table2[[#This Row],[PredictedWinner]], "Y", "N"))</f>
        <v>_</v>
      </c>
      <c r="P10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7" s="2"/>
      <c r="S1077" s="2" t="str">
        <f t="shared" si="86"/>
        <v>_</v>
      </c>
      <c r="T10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7" s="2">
        <f>IF(Table2[[#This Row],[InterConf]]=1,IF(Table2[[#This Row],[InterDiv]]=0, 1, 0), 0)</f>
        <v>0</v>
      </c>
      <c r="W10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77" s="2"/>
      <c r="Y1077" s="2"/>
      <c r="Z1077" s="145">
        <f>IF(AND(Table2[[#This Row],[GameIsOver]]=1,Table2[[#This Row],[ActualHomeScore]]*Table2[[#This Row],[ActualAwayScore]]=0), 1,0)</f>
        <v>0</v>
      </c>
      <c r="AA10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7" s="2">
        <f>Table2[[#This Row],[ActualAwayScore]]-Table2[[#This Row],[PredictedAwayScore]]</f>
        <v>0</v>
      </c>
      <c r="AG1077" s="2">
        <f>Table2[[#This Row],[ActualHomeScore]]-Table2[[#This Row],[PredictedHomeScore]]</f>
        <v>0</v>
      </c>
      <c r="AH1077" s="2">
        <f t="shared" si="87"/>
        <v>0</v>
      </c>
      <c r="AI1077" s="2">
        <f t="shared" si="88"/>
        <v>0</v>
      </c>
      <c r="AJ1077" s="2"/>
      <c r="AK1077" s="3"/>
      <c r="AL1077" s="2">
        <f>IF(Table2[[#This Row],[GameIsOver]]=0,0,IF(Table2[[#This Row],[ActualWinner]]=Table2[[#This Row],[AwayTeam]], 1, 0))</f>
        <v>0</v>
      </c>
      <c r="AM1077" s="2">
        <f>IF(Table2[[#This Row],[GameIsOver]]=0,0,IF(Table2[[#This Row],[ActualWinner]]=Table2[[#This Row],[HomeTeam]], 1, 0))</f>
        <v>0</v>
      </c>
      <c r="AN10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7" s="2" t="str">
        <f>INDEX(Sheet5!$B$2:$AG$33, MATCH(Table2[[#This Row],[AwayTeam]],Sheet5!$A$2:$A$33, 0), MATCH(Table2[[#This Row],[HomeTeam]],Sheet5!$A$2:$A$33, 0))</f>
        <v>0-0-0</v>
      </c>
      <c r="AP1077" s="2" t="str">
        <f>INDEX(Sheet5!$B$2:$AG$33, MATCH(Table2[[#This Row],[HomeTeam]],Sheet5!$A$2:$A$33, 0), MATCH(Table2[[#This Row],[AwayTeam]],Sheet5!$A$2:$A$33, 0))</f>
        <v>0-0-0</v>
      </c>
      <c r="AQ1077" s="2">
        <f>IF(Table2[[#This Row],[GameHasShutOut]], 1, 0)</f>
        <v>0</v>
      </c>
      <c r="AR1077" s="2">
        <f>IF(Table2[[#This Row],[ActualAwayScore]] + Table2[[#This Row],[ActualHomeScore]] &gt;= 10, 1, 0)</f>
        <v>0</v>
      </c>
      <c r="AS1077" s="2">
        <f>IF(ABS(Table2[[#This Row],[ActualAwayScore]]-Table2[[#This Row],[ActualHomeScore]])&gt;=5, 1, 0)</f>
        <v>0</v>
      </c>
      <c r="AT1077" s="2">
        <f>IF(Table2[[#This Row],[ActualAwayScore]] + Table2[[#This Row],[ActualHomeScore]] &lt;= 3, 1, 0)</f>
        <v>1</v>
      </c>
      <c r="AU1077" s="2"/>
      <c r="AV1077" s="2"/>
    </row>
    <row r="1078" spans="1:48" x14ac:dyDescent="0.25">
      <c r="A1078" s="3"/>
      <c r="B1078" s="3">
        <v>46099</v>
      </c>
      <c r="C1078" s="5">
        <v>2025021076</v>
      </c>
      <c r="D1078" s="2" t="s">
        <v>40</v>
      </c>
      <c r="E1078" s="2" t="s">
        <v>11</v>
      </c>
      <c r="F1078" s="2"/>
      <c r="G1078" s="2"/>
      <c r="H1078" s="2" t="str">
        <f t="shared" si="84"/>
        <v>_</v>
      </c>
      <c r="I1078" s="2"/>
      <c r="J1078" s="2"/>
      <c r="K1078" s="2"/>
      <c r="L1078" s="2" t="str">
        <f t="shared" si="85"/>
        <v>_</v>
      </c>
      <c r="M1078" s="2"/>
      <c r="N1078" s="2">
        <f>IF(ISBLANK(Table2[[#This Row],[ActualResult]]), 0, 1)</f>
        <v>0</v>
      </c>
      <c r="O1078" s="2" t="str">
        <f>IF(ISBLANK(Table2[[#This Row],[ActualResult]]), "_", IF(Table2[[#This Row],[ActualWinner]]=Table2[[#This Row],[PredictedWinner]], "Y", "N"))</f>
        <v>_</v>
      </c>
      <c r="P10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8" s="2"/>
      <c r="S1078" s="2" t="str">
        <f t="shared" si="86"/>
        <v>_</v>
      </c>
      <c r="T10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8" s="2">
        <f>IF(Table2[[#This Row],[InterConf]]=1,IF(Table2[[#This Row],[InterDiv]]=0, 1, 0), 0)</f>
        <v>0</v>
      </c>
      <c r="W10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78" s="2"/>
      <c r="Y1078" s="2"/>
      <c r="Z1078" s="145">
        <f>IF(AND(Table2[[#This Row],[GameIsOver]]=1,Table2[[#This Row],[ActualHomeScore]]*Table2[[#This Row],[ActualAwayScore]]=0), 1,0)</f>
        <v>0</v>
      </c>
      <c r="AA10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8" s="2">
        <f>Table2[[#This Row],[ActualAwayScore]]-Table2[[#This Row],[PredictedAwayScore]]</f>
        <v>0</v>
      </c>
      <c r="AG1078" s="2">
        <f>Table2[[#This Row],[ActualHomeScore]]-Table2[[#This Row],[PredictedHomeScore]]</f>
        <v>0</v>
      </c>
      <c r="AH1078" s="2">
        <f t="shared" si="87"/>
        <v>0</v>
      </c>
      <c r="AI1078" s="2">
        <f t="shared" si="88"/>
        <v>0</v>
      </c>
      <c r="AJ1078" s="2"/>
      <c r="AK1078" s="3"/>
      <c r="AL1078" s="2">
        <f>IF(Table2[[#This Row],[GameIsOver]]=0,0,IF(Table2[[#This Row],[ActualWinner]]=Table2[[#This Row],[AwayTeam]], 1, 0))</f>
        <v>0</v>
      </c>
      <c r="AM1078" s="2">
        <f>IF(Table2[[#This Row],[GameIsOver]]=0,0,IF(Table2[[#This Row],[ActualWinner]]=Table2[[#This Row],[HomeTeam]], 1, 0))</f>
        <v>0</v>
      </c>
      <c r="AN10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8" s="2" t="str">
        <f>INDEX(Sheet5!$B$2:$AG$33, MATCH(Table2[[#This Row],[AwayTeam]],Sheet5!$A$2:$A$33, 0), MATCH(Table2[[#This Row],[HomeTeam]],Sheet5!$A$2:$A$33, 0))</f>
        <v>0-0-0</v>
      </c>
      <c r="AP1078" s="2" t="str">
        <f>INDEX(Sheet5!$B$2:$AG$33, MATCH(Table2[[#This Row],[HomeTeam]],Sheet5!$A$2:$A$33, 0), MATCH(Table2[[#This Row],[AwayTeam]],Sheet5!$A$2:$A$33, 0))</f>
        <v>0-0-0</v>
      </c>
      <c r="AQ1078" s="2">
        <f>IF(Table2[[#This Row],[GameHasShutOut]], 1, 0)</f>
        <v>0</v>
      </c>
      <c r="AR1078" s="2">
        <f>IF(Table2[[#This Row],[ActualAwayScore]] + Table2[[#This Row],[ActualHomeScore]] &gt;= 10, 1, 0)</f>
        <v>0</v>
      </c>
      <c r="AS1078" s="2">
        <f>IF(ABS(Table2[[#This Row],[ActualAwayScore]]-Table2[[#This Row],[ActualHomeScore]])&gt;=5, 1, 0)</f>
        <v>0</v>
      </c>
      <c r="AT1078" s="2">
        <f>IF(Table2[[#This Row],[ActualAwayScore]] + Table2[[#This Row],[ActualHomeScore]] &lt;= 3, 1, 0)</f>
        <v>1</v>
      </c>
      <c r="AU1078" s="2"/>
      <c r="AV1078" s="2"/>
    </row>
    <row r="1079" spans="1:48" x14ac:dyDescent="0.25">
      <c r="A1079" s="3"/>
      <c r="B1079" s="3">
        <v>46099</v>
      </c>
      <c r="C1079" s="5">
        <v>2025021077</v>
      </c>
      <c r="D1079" s="2" t="s">
        <v>31</v>
      </c>
      <c r="E1079" s="2" t="s">
        <v>19</v>
      </c>
      <c r="F1079" s="2"/>
      <c r="G1079" s="2"/>
      <c r="H1079" s="2" t="str">
        <f t="shared" si="84"/>
        <v>_</v>
      </c>
      <c r="I1079" s="2"/>
      <c r="J1079" s="2"/>
      <c r="K1079" s="2"/>
      <c r="L1079" s="2" t="str">
        <f t="shared" si="85"/>
        <v>_</v>
      </c>
      <c r="M1079" s="2"/>
      <c r="N1079" s="2">
        <f>IF(ISBLANK(Table2[[#This Row],[ActualResult]]), 0, 1)</f>
        <v>0</v>
      </c>
      <c r="O1079" s="2" t="str">
        <f>IF(ISBLANK(Table2[[#This Row],[ActualResult]]), "_", IF(Table2[[#This Row],[ActualWinner]]=Table2[[#This Row],[PredictedWinner]], "Y", "N"))</f>
        <v>_</v>
      </c>
      <c r="P10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9" s="2"/>
      <c r="S1079" s="2" t="str">
        <f t="shared" si="86"/>
        <v>_</v>
      </c>
      <c r="T10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9" s="2">
        <f>IF(Table2[[#This Row],[InterConf]]=1,IF(Table2[[#This Row],[InterDiv]]=0, 1, 0), 0)</f>
        <v>0</v>
      </c>
      <c r="W10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9" s="2"/>
      <c r="Y1079" s="2"/>
      <c r="Z1079" s="145">
        <f>IF(AND(Table2[[#This Row],[GameIsOver]]=1,Table2[[#This Row],[ActualHomeScore]]*Table2[[#This Row],[ActualAwayScore]]=0), 1,0)</f>
        <v>0</v>
      </c>
      <c r="AA10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9" s="2">
        <f>Table2[[#This Row],[ActualAwayScore]]-Table2[[#This Row],[PredictedAwayScore]]</f>
        <v>0</v>
      </c>
      <c r="AG1079" s="2">
        <f>Table2[[#This Row],[ActualHomeScore]]-Table2[[#This Row],[PredictedHomeScore]]</f>
        <v>0</v>
      </c>
      <c r="AH1079" s="2">
        <f t="shared" si="87"/>
        <v>0</v>
      </c>
      <c r="AI1079" s="2">
        <f t="shared" si="88"/>
        <v>0</v>
      </c>
      <c r="AJ1079" s="2"/>
      <c r="AK1079" s="3"/>
      <c r="AL1079" s="2">
        <f>IF(Table2[[#This Row],[GameIsOver]]=0,0,IF(Table2[[#This Row],[ActualWinner]]=Table2[[#This Row],[AwayTeam]], 1, 0))</f>
        <v>0</v>
      </c>
      <c r="AM1079" s="2">
        <f>IF(Table2[[#This Row],[GameIsOver]]=0,0,IF(Table2[[#This Row],[ActualWinner]]=Table2[[#This Row],[HomeTeam]], 1, 0))</f>
        <v>0</v>
      </c>
      <c r="AN10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9" s="2" t="str">
        <f>INDEX(Sheet5!$B$2:$AG$33, MATCH(Table2[[#This Row],[AwayTeam]],Sheet5!$A$2:$A$33, 0), MATCH(Table2[[#This Row],[HomeTeam]],Sheet5!$A$2:$A$33, 0))</f>
        <v>0-0-0</v>
      </c>
      <c r="AP1079" s="2" t="str">
        <f>INDEX(Sheet5!$B$2:$AG$33, MATCH(Table2[[#This Row],[HomeTeam]],Sheet5!$A$2:$A$33, 0), MATCH(Table2[[#This Row],[AwayTeam]],Sheet5!$A$2:$A$33, 0))</f>
        <v>0-0-0</v>
      </c>
      <c r="AQ1079" s="2">
        <f>IF(Table2[[#This Row],[GameHasShutOut]], 1, 0)</f>
        <v>0</v>
      </c>
      <c r="AR1079" s="2">
        <f>IF(Table2[[#This Row],[ActualAwayScore]] + Table2[[#This Row],[ActualHomeScore]] &gt;= 10, 1, 0)</f>
        <v>0</v>
      </c>
      <c r="AS1079" s="2">
        <f>IF(ABS(Table2[[#This Row],[ActualAwayScore]]-Table2[[#This Row],[ActualHomeScore]])&gt;=5, 1, 0)</f>
        <v>0</v>
      </c>
      <c r="AT1079" s="2">
        <f>IF(Table2[[#This Row],[ActualAwayScore]] + Table2[[#This Row],[ActualHomeScore]] &lt;= 3, 1, 0)</f>
        <v>1</v>
      </c>
      <c r="AU1079" s="2"/>
      <c r="AV1079" s="2"/>
    </row>
    <row r="1080" spans="1:48" x14ac:dyDescent="0.25">
      <c r="A1080" s="3"/>
      <c r="B1080" s="3">
        <v>46099</v>
      </c>
      <c r="C1080" s="5">
        <v>2025021078</v>
      </c>
      <c r="D1080" s="2" t="s">
        <v>20</v>
      </c>
      <c r="E1080" s="2" t="s">
        <v>41</v>
      </c>
      <c r="F1080" s="2"/>
      <c r="G1080" s="2"/>
      <c r="H1080" s="2" t="str">
        <f t="shared" si="84"/>
        <v>_</v>
      </c>
      <c r="I1080" s="2"/>
      <c r="J1080" s="2"/>
      <c r="K1080" s="2"/>
      <c r="L1080" s="2" t="str">
        <f t="shared" si="85"/>
        <v>_</v>
      </c>
      <c r="M1080" s="2"/>
      <c r="N1080" s="2">
        <f>IF(ISBLANK(Table2[[#This Row],[ActualResult]]), 0, 1)</f>
        <v>0</v>
      </c>
      <c r="O1080" s="2" t="str">
        <f>IF(ISBLANK(Table2[[#This Row],[ActualResult]]), "_", IF(Table2[[#This Row],[ActualWinner]]=Table2[[#This Row],[PredictedWinner]], "Y", "N"))</f>
        <v>_</v>
      </c>
      <c r="P10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0" s="2"/>
      <c r="S1080" s="2" t="str">
        <f t="shared" si="86"/>
        <v>_</v>
      </c>
      <c r="T10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0" s="2">
        <f>IF(Table2[[#This Row],[InterConf]]=1,IF(Table2[[#This Row],[InterDiv]]=0, 1, 0), 0)</f>
        <v>0</v>
      </c>
      <c r="W10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0" s="2"/>
      <c r="Y1080" s="2"/>
      <c r="Z1080" s="145">
        <f>IF(AND(Table2[[#This Row],[GameIsOver]]=1,Table2[[#This Row],[ActualHomeScore]]*Table2[[#This Row],[ActualAwayScore]]=0), 1,0)</f>
        <v>0</v>
      </c>
      <c r="AA10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80" s="2">
        <f>Table2[[#This Row],[ActualAwayScore]]-Table2[[#This Row],[PredictedAwayScore]]</f>
        <v>0</v>
      </c>
      <c r="AG1080" s="2">
        <f>Table2[[#This Row],[ActualHomeScore]]-Table2[[#This Row],[PredictedHomeScore]]</f>
        <v>0</v>
      </c>
      <c r="AH1080" s="2">
        <f t="shared" si="87"/>
        <v>0</v>
      </c>
      <c r="AI1080" s="2">
        <f t="shared" si="88"/>
        <v>0</v>
      </c>
      <c r="AJ1080" s="2"/>
      <c r="AK1080" s="3"/>
      <c r="AL1080" s="2">
        <f>IF(Table2[[#This Row],[GameIsOver]]=0,0,IF(Table2[[#This Row],[ActualWinner]]=Table2[[#This Row],[AwayTeam]], 1, 0))</f>
        <v>0</v>
      </c>
      <c r="AM1080" s="2">
        <f>IF(Table2[[#This Row],[GameIsOver]]=0,0,IF(Table2[[#This Row],[ActualWinner]]=Table2[[#This Row],[HomeTeam]], 1, 0))</f>
        <v>0</v>
      </c>
      <c r="AN10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0" s="2" t="str">
        <f>INDEX(Sheet5!$B$2:$AG$33, MATCH(Table2[[#This Row],[AwayTeam]],Sheet5!$A$2:$A$33, 0), MATCH(Table2[[#This Row],[HomeTeam]],Sheet5!$A$2:$A$33, 0))</f>
        <v>0-0-0</v>
      </c>
      <c r="AP1080" s="2" t="str">
        <f>INDEX(Sheet5!$B$2:$AG$33, MATCH(Table2[[#This Row],[HomeTeam]],Sheet5!$A$2:$A$33, 0), MATCH(Table2[[#This Row],[AwayTeam]],Sheet5!$A$2:$A$33, 0))</f>
        <v>0-0-0</v>
      </c>
      <c r="AQ1080" s="2">
        <f>IF(Table2[[#This Row],[GameHasShutOut]], 1, 0)</f>
        <v>0</v>
      </c>
      <c r="AR1080" s="2">
        <f>IF(Table2[[#This Row],[ActualAwayScore]] + Table2[[#This Row],[ActualHomeScore]] &gt;= 10, 1, 0)</f>
        <v>0</v>
      </c>
      <c r="AS1080" s="2">
        <f>IF(ABS(Table2[[#This Row],[ActualAwayScore]]-Table2[[#This Row],[ActualHomeScore]])&gt;=5, 1, 0)</f>
        <v>0</v>
      </c>
      <c r="AT1080" s="2">
        <f>IF(Table2[[#This Row],[ActualAwayScore]] + Table2[[#This Row],[ActualHomeScore]] &lt;= 3, 1, 0)</f>
        <v>1</v>
      </c>
      <c r="AU1080" s="2"/>
      <c r="AV1080" s="2"/>
    </row>
    <row r="1081" spans="1:48" x14ac:dyDescent="0.25">
      <c r="A1081" s="3"/>
      <c r="B1081" s="3">
        <v>46099</v>
      </c>
      <c r="C1081" s="5">
        <v>2025021079</v>
      </c>
      <c r="D1081" s="2" t="s">
        <v>29</v>
      </c>
      <c r="E1081" s="2" t="s">
        <v>43</v>
      </c>
      <c r="F1081" s="2"/>
      <c r="G1081" s="2"/>
      <c r="H1081" s="2" t="str">
        <f t="shared" si="84"/>
        <v>_</v>
      </c>
      <c r="I1081" s="2"/>
      <c r="J1081" s="2"/>
      <c r="K1081" s="2"/>
      <c r="L1081" s="2" t="str">
        <f t="shared" si="85"/>
        <v>_</v>
      </c>
      <c r="M1081" s="2"/>
      <c r="N1081" s="2">
        <f>IF(ISBLANK(Table2[[#This Row],[ActualResult]]), 0, 1)</f>
        <v>0</v>
      </c>
      <c r="O1081" s="2" t="str">
        <f>IF(ISBLANK(Table2[[#This Row],[ActualResult]]), "_", IF(Table2[[#This Row],[ActualWinner]]=Table2[[#This Row],[PredictedWinner]], "Y", "N"))</f>
        <v>_</v>
      </c>
      <c r="P10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1" s="2"/>
      <c r="S1081" s="2" t="str">
        <f t="shared" si="86"/>
        <v>_</v>
      </c>
      <c r="T10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1" s="2">
        <f>IF(Table2[[#This Row],[InterConf]]=1,IF(Table2[[#This Row],[InterDiv]]=0, 1, 0), 0)</f>
        <v>1</v>
      </c>
      <c r="W10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1" s="2"/>
      <c r="Y1081" s="2"/>
      <c r="Z1081" s="145">
        <f>IF(AND(Table2[[#This Row],[GameIsOver]]=1,Table2[[#This Row],[ActualHomeScore]]*Table2[[#This Row],[ActualAwayScore]]=0), 1,0)</f>
        <v>0</v>
      </c>
      <c r="AA10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81" s="2">
        <f>Table2[[#This Row],[ActualAwayScore]]-Table2[[#This Row],[PredictedAwayScore]]</f>
        <v>0</v>
      </c>
      <c r="AG1081" s="2">
        <f>Table2[[#This Row],[ActualHomeScore]]-Table2[[#This Row],[PredictedHomeScore]]</f>
        <v>0</v>
      </c>
      <c r="AH1081" s="2">
        <f t="shared" si="87"/>
        <v>0</v>
      </c>
      <c r="AI1081" s="2">
        <f t="shared" si="88"/>
        <v>0</v>
      </c>
      <c r="AJ1081" s="2"/>
      <c r="AK1081" s="3"/>
      <c r="AL1081" s="2">
        <f>IF(Table2[[#This Row],[GameIsOver]]=0,0,IF(Table2[[#This Row],[ActualWinner]]=Table2[[#This Row],[AwayTeam]], 1, 0))</f>
        <v>0</v>
      </c>
      <c r="AM1081" s="2">
        <f>IF(Table2[[#This Row],[GameIsOver]]=0,0,IF(Table2[[#This Row],[ActualWinner]]=Table2[[#This Row],[HomeTeam]], 1, 0))</f>
        <v>0</v>
      </c>
      <c r="AN10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1" s="2" t="str">
        <f>INDEX(Sheet5!$B$2:$AG$33, MATCH(Table2[[#This Row],[AwayTeam]],Sheet5!$A$2:$A$33, 0), MATCH(Table2[[#This Row],[HomeTeam]],Sheet5!$A$2:$A$33, 0))</f>
        <v>0-0-0</v>
      </c>
      <c r="AP1081" s="2" t="str">
        <f>INDEX(Sheet5!$B$2:$AG$33, MATCH(Table2[[#This Row],[HomeTeam]],Sheet5!$A$2:$A$33, 0), MATCH(Table2[[#This Row],[AwayTeam]],Sheet5!$A$2:$A$33, 0))</f>
        <v>0-0-0</v>
      </c>
      <c r="AQ1081" s="2">
        <f>IF(Table2[[#This Row],[GameHasShutOut]], 1, 0)</f>
        <v>0</v>
      </c>
      <c r="AR1081" s="2">
        <f>IF(Table2[[#This Row],[ActualAwayScore]] + Table2[[#This Row],[ActualHomeScore]] &gt;= 10, 1, 0)</f>
        <v>0</v>
      </c>
      <c r="AS1081" s="2">
        <f>IF(ABS(Table2[[#This Row],[ActualAwayScore]]-Table2[[#This Row],[ActualHomeScore]])&gt;=5, 1, 0)</f>
        <v>0</v>
      </c>
      <c r="AT1081" s="2">
        <f>IF(Table2[[#This Row],[ActualAwayScore]] + Table2[[#This Row],[ActualHomeScore]] &lt;= 3, 1, 0)</f>
        <v>1</v>
      </c>
      <c r="AU1081" s="2"/>
      <c r="AV1081" s="2"/>
    </row>
    <row r="1082" spans="1:48" x14ac:dyDescent="0.25">
      <c r="A1082" s="3"/>
      <c r="B1082" s="3">
        <v>46100</v>
      </c>
      <c r="C1082" s="5">
        <v>2025021080</v>
      </c>
      <c r="D1082" s="2" t="s">
        <v>33</v>
      </c>
      <c r="E1082" s="2" t="s">
        <v>25</v>
      </c>
      <c r="F1082" s="2"/>
      <c r="G1082" s="2"/>
      <c r="H1082" s="2" t="str">
        <f t="shared" si="84"/>
        <v>_</v>
      </c>
      <c r="I1082" s="2"/>
      <c r="J1082" s="2"/>
      <c r="K1082" s="2"/>
      <c r="L1082" s="2" t="str">
        <f t="shared" si="85"/>
        <v>_</v>
      </c>
      <c r="M1082" s="2"/>
      <c r="N1082" s="2">
        <f>IF(ISBLANK(Table2[[#This Row],[ActualResult]]), 0, 1)</f>
        <v>0</v>
      </c>
      <c r="O1082" s="2" t="str">
        <f>IF(ISBLANK(Table2[[#This Row],[ActualResult]]), "_", IF(Table2[[#This Row],[ActualWinner]]=Table2[[#This Row],[PredictedWinner]], "Y", "N"))</f>
        <v>_</v>
      </c>
      <c r="P10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2" s="2"/>
      <c r="S1082" s="2" t="str">
        <f t="shared" si="86"/>
        <v>_</v>
      </c>
      <c r="T10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2" s="2">
        <f>IF(Table2[[#This Row],[InterConf]]=1,IF(Table2[[#This Row],[InterDiv]]=0, 1, 0), 0)</f>
        <v>0</v>
      </c>
      <c r="W10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2" s="2"/>
      <c r="Y1082" s="2"/>
      <c r="Z1082" s="145">
        <f>IF(AND(Table2[[#This Row],[GameIsOver]]=1,Table2[[#This Row],[ActualHomeScore]]*Table2[[#This Row],[ActualAwayScore]]=0), 1,0)</f>
        <v>0</v>
      </c>
      <c r="AA10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2" s="2">
        <f>Table2[[#This Row],[ActualAwayScore]]-Table2[[#This Row],[PredictedAwayScore]]</f>
        <v>0</v>
      </c>
      <c r="AG1082" s="2">
        <f>Table2[[#This Row],[ActualHomeScore]]-Table2[[#This Row],[PredictedHomeScore]]</f>
        <v>0</v>
      </c>
      <c r="AH1082" s="2">
        <f t="shared" si="87"/>
        <v>0</v>
      </c>
      <c r="AI1082" s="2">
        <f t="shared" si="88"/>
        <v>0</v>
      </c>
      <c r="AJ1082" s="2"/>
      <c r="AK1082" s="3"/>
      <c r="AL1082" s="2">
        <f>IF(Table2[[#This Row],[GameIsOver]]=0,0,IF(Table2[[#This Row],[ActualWinner]]=Table2[[#This Row],[AwayTeam]], 1, 0))</f>
        <v>0</v>
      </c>
      <c r="AM1082" s="2">
        <f>IF(Table2[[#This Row],[GameIsOver]]=0,0,IF(Table2[[#This Row],[ActualWinner]]=Table2[[#This Row],[HomeTeam]], 1, 0))</f>
        <v>0</v>
      </c>
      <c r="AN10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2" s="2" t="str">
        <f>INDEX(Sheet5!$B$2:$AG$33, MATCH(Table2[[#This Row],[AwayTeam]],Sheet5!$A$2:$A$33, 0), MATCH(Table2[[#This Row],[HomeTeam]],Sheet5!$A$2:$A$33, 0))</f>
        <v>1-0-0</v>
      </c>
      <c r="AP1082" s="2" t="str">
        <f>INDEX(Sheet5!$B$2:$AG$33, MATCH(Table2[[#This Row],[HomeTeam]],Sheet5!$A$2:$A$33, 0), MATCH(Table2[[#This Row],[AwayTeam]],Sheet5!$A$2:$A$33, 0))</f>
        <v>0-0-1</v>
      </c>
      <c r="AQ1082" s="2">
        <f>IF(Table2[[#This Row],[GameHasShutOut]], 1, 0)</f>
        <v>0</v>
      </c>
      <c r="AR1082" s="2">
        <f>IF(Table2[[#This Row],[ActualAwayScore]] + Table2[[#This Row],[ActualHomeScore]] &gt;= 10, 1, 0)</f>
        <v>0</v>
      </c>
      <c r="AS1082" s="2">
        <f>IF(ABS(Table2[[#This Row],[ActualAwayScore]]-Table2[[#This Row],[ActualHomeScore]])&gt;=5, 1, 0)</f>
        <v>0</v>
      </c>
      <c r="AT1082" s="2">
        <f>IF(Table2[[#This Row],[ActualAwayScore]] + Table2[[#This Row],[ActualHomeScore]] &lt;= 3, 1, 0)</f>
        <v>1</v>
      </c>
      <c r="AU1082" s="2"/>
      <c r="AV1082" s="2"/>
    </row>
    <row r="1083" spans="1:48" x14ac:dyDescent="0.25">
      <c r="A1083" s="3"/>
      <c r="B1083" s="3">
        <v>46100</v>
      </c>
      <c r="C1083" s="5">
        <v>2025021081</v>
      </c>
      <c r="D1083" s="2" t="s">
        <v>12</v>
      </c>
      <c r="E1083" s="2" t="s">
        <v>23</v>
      </c>
      <c r="F1083" s="2"/>
      <c r="G1083" s="2"/>
      <c r="H1083" s="2" t="str">
        <f t="shared" si="84"/>
        <v>_</v>
      </c>
      <c r="I1083" s="2"/>
      <c r="J1083" s="2"/>
      <c r="K1083" s="2"/>
      <c r="L1083" s="2" t="str">
        <f t="shared" si="85"/>
        <v>_</v>
      </c>
      <c r="M1083" s="2"/>
      <c r="N1083" s="2">
        <f>IF(ISBLANK(Table2[[#This Row],[ActualResult]]), 0, 1)</f>
        <v>0</v>
      </c>
      <c r="O1083" s="2" t="str">
        <f>IF(ISBLANK(Table2[[#This Row],[ActualResult]]), "_", IF(Table2[[#This Row],[ActualWinner]]=Table2[[#This Row],[PredictedWinner]], "Y", "N"))</f>
        <v>_</v>
      </c>
      <c r="P10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3" s="2"/>
      <c r="S1083" s="2" t="str">
        <f t="shared" si="86"/>
        <v>_</v>
      </c>
      <c r="T10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3" s="2">
        <f>IF(Table2[[#This Row],[InterConf]]=1,IF(Table2[[#This Row],[InterDiv]]=0, 1, 0), 0)</f>
        <v>1</v>
      </c>
      <c r="W10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3" s="2"/>
      <c r="Y1083" s="2"/>
      <c r="Z1083" s="145">
        <f>IF(AND(Table2[[#This Row],[GameIsOver]]=1,Table2[[#This Row],[ActualHomeScore]]*Table2[[#This Row],[ActualAwayScore]]=0), 1,0)</f>
        <v>0</v>
      </c>
      <c r="AA10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3" s="2">
        <f>Table2[[#This Row],[ActualAwayScore]]-Table2[[#This Row],[PredictedAwayScore]]</f>
        <v>0</v>
      </c>
      <c r="AG1083" s="2">
        <f>Table2[[#This Row],[ActualHomeScore]]-Table2[[#This Row],[PredictedHomeScore]]</f>
        <v>0</v>
      </c>
      <c r="AH1083" s="2">
        <f t="shared" si="87"/>
        <v>0</v>
      </c>
      <c r="AI1083" s="2">
        <f t="shared" si="88"/>
        <v>0</v>
      </c>
      <c r="AJ1083" s="2"/>
      <c r="AK1083" s="3"/>
      <c r="AL1083" s="2">
        <f>IF(Table2[[#This Row],[GameIsOver]]=0,0,IF(Table2[[#This Row],[ActualWinner]]=Table2[[#This Row],[AwayTeam]], 1, 0))</f>
        <v>0</v>
      </c>
      <c r="AM1083" s="2">
        <f>IF(Table2[[#This Row],[GameIsOver]]=0,0,IF(Table2[[#This Row],[ActualWinner]]=Table2[[#This Row],[HomeTeam]], 1, 0))</f>
        <v>0</v>
      </c>
      <c r="AN10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3" s="2" t="str">
        <f>INDEX(Sheet5!$B$2:$AG$33, MATCH(Table2[[#This Row],[AwayTeam]],Sheet5!$A$2:$A$33, 0), MATCH(Table2[[#This Row],[HomeTeam]],Sheet5!$A$2:$A$33, 0))</f>
        <v>1-0-0</v>
      </c>
      <c r="AP1083" s="2" t="str">
        <f>INDEX(Sheet5!$B$2:$AG$33, MATCH(Table2[[#This Row],[HomeTeam]],Sheet5!$A$2:$A$33, 0), MATCH(Table2[[#This Row],[AwayTeam]],Sheet5!$A$2:$A$33, 0))</f>
        <v>0-1-0</v>
      </c>
      <c r="AQ1083" s="2">
        <f>IF(Table2[[#This Row],[GameHasShutOut]], 1, 0)</f>
        <v>0</v>
      </c>
      <c r="AR1083" s="2">
        <f>IF(Table2[[#This Row],[ActualAwayScore]] + Table2[[#This Row],[ActualHomeScore]] &gt;= 10, 1, 0)</f>
        <v>0</v>
      </c>
      <c r="AS1083" s="2">
        <f>IF(ABS(Table2[[#This Row],[ActualAwayScore]]-Table2[[#This Row],[ActualHomeScore]])&gt;=5, 1, 0)</f>
        <v>0</v>
      </c>
      <c r="AT1083" s="2">
        <f>IF(Table2[[#This Row],[ActualAwayScore]] + Table2[[#This Row],[ActualHomeScore]] &lt;= 3, 1, 0)</f>
        <v>1</v>
      </c>
      <c r="AU1083" s="2"/>
      <c r="AV1083" s="2"/>
    </row>
    <row r="1084" spans="1:48" x14ac:dyDescent="0.25">
      <c r="A1084" s="3"/>
      <c r="B1084" s="3">
        <v>46100</v>
      </c>
      <c r="C1084" s="5">
        <v>2025021082</v>
      </c>
      <c r="D1084" s="2" t="s">
        <v>42</v>
      </c>
      <c r="E1084" s="2" t="s">
        <v>44</v>
      </c>
      <c r="F1084" s="2"/>
      <c r="G1084" s="2"/>
      <c r="H1084" s="2" t="str">
        <f t="shared" si="84"/>
        <v>_</v>
      </c>
      <c r="I1084" s="2"/>
      <c r="J1084" s="2"/>
      <c r="K1084" s="2"/>
      <c r="L1084" s="2" t="str">
        <f t="shared" si="85"/>
        <v>_</v>
      </c>
      <c r="M1084" s="2"/>
      <c r="N1084" s="2">
        <f>IF(ISBLANK(Table2[[#This Row],[ActualResult]]), 0, 1)</f>
        <v>0</v>
      </c>
      <c r="O1084" s="2" t="str">
        <f>IF(ISBLANK(Table2[[#This Row],[ActualResult]]), "_", IF(Table2[[#This Row],[ActualWinner]]=Table2[[#This Row],[PredictedWinner]], "Y", "N"))</f>
        <v>_</v>
      </c>
      <c r="P10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4" s="2"/>
      <c r="S1084" s="2" t="str">
        <f t="shared" si="86"/>
        <v>_</v>
      </c>
      <c r="T10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4" s="2">
        <f>IF(Table2[[#This Row],[InterConf]]=1,IF(Table2[[#This Row],[InterDiv]]=0, 1, 0), 0)</f>
        <v>0</v>
      </c>
      <c r="W10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84" s="2"/>
      <c r="Y1084" s="2"/>
      <c r="Z1084" s="145">
        <f>IF(AND(Table2[[#This Row],[GameIsOver]]=1,Table2[[#This Row],[ActualHomeScore]]*Table2[[#This Row],[ActualAwayScore]]=0), 1,0)</f>
        <v>0</v>
      </c>
      <c r="AA10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4" s="2">
        <f>Table2[[#This Row],[ActualAwayScore]]-Table2[[#This Row],[PredictedAwayScore]]</f>
        <v>0</v>
      </c>
      <c r="AG1084" s="2">
        <f>Table2[[#This Row],[ActualHomeScore]]-Table2[[#This Row],[PredictedHomeScore]]</f>
        <v>0</v>
      </c>
      <c r="AH1084" s="2">
        <f t="shared" si="87"/>
        <v>0</v>
      </c>
      <c r="AI1084" s="2">
        <f t="shared" si="88"/>
        <v>0</v>
      </c>
      <c r="AJ1084" s="2"/>
      <c r="AK1084" s="3"/>
      <c r="AL1084" s="2">
        <f>IF(Table2[[#This Row],[GameIsOver]]=0,0,IF(Table2[[#This Row],[ActualWinner]]=Table2[[#This Row],[AwayTeam]], 1, 0))</f>
        <v>0</v>
      </c>
      <c r="AM1084" s="2">
        <f>IF(Table2[[#This Row],[GameIsOver]]=0,0,IF(Table2[[#This Row],[ActualWinner]]=Table2[[#This Row],[HomeTeam]], 1, 0))</f>
        <v>0</v>
      </c>
      <c r="AN10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4" s="2" t="str">
        <f>INDEX(Sheet5!$B$2:$AG$33, MATCH(Table2[[#This Row],[AwayTeam]],Sheet5!$A$2:$A$33, 0), MATCH(Table2[[#This Row],[HomeTeam]],Sheet5!$A$2:$A$33, 0))</f>
        <v>0-0-0</v>
      </c>
      <c r="AP1084" s="2" t="str">
        <f>INDEX(Sheet5!$B$2:$AG$33, MATCH(Table2[[#This Row],[HomeTeam]],Sheet5!$A$2:$A$33, 0), MATCH(Table2[[#This Row],[AwayTeam]],Sheet5!$A$2:$A$33, 0))</f>
        <v>0-0-0</v>
      </c>
      <c r="AQ1084" s="2">
        <f>IF(Table2[[#This Row],[GameHasShutOut]], 1, 0)</f>
        <v>0</v>
      </c>
      <c r="AR1084" s="2">
        <f>IF(Table2[[#This Row],[ActualAwayScore]] + Table2[[#This Row],[ActualHomeScore]] &gt;= 10, 1, 0)</f>
        <v>0</v>
      </c>
      <c r="AS1084" s="2">
        <f>IF(ABS(Table2[[#This Row],[ActualAwayScore]]-Table2[[#This Row],[ActualHomeScore]])&gt;=5, 1, 0)</f>
        <v>0</v>
      </c>
      <c r="AT1084" s="2">
        <f>IF(Table2[[#This Row],[ActualAwayScore]] + Table2[[#This Row],[ActualHomeScore]] &lt;= 3, 1, 0)</f>
        <v>1</v>
      </c>
      <c r="AU1084" s="2"/>
      <c r="AV1084" s="2"/>
    </row>
    <row r="1085" spans="1:48" x14ac:dyDescent="0.25">
      <c r="A1085" s="3"/>
      <c r="B1085" s="3">
        <v>46100</v>
      </c>
      <c r="C1085" s="5">
        <v>2025021083</v>
      </c>
      <c r="D1085" s="2" t="s">
        <v>21</v>
      </c>
      <c r="E1085" s="2" t="s">
        <v>15</v>
      </c>
      <c r="F1085" s="2"/>
      <c r="G1085" s="2"/>
      <c r="H1085" s="2" t="str">
        <f t="shared" si="84"/>
        <v>_</v>
      </c>
      <c r="I1085" s="2"/>
      <c r="J1085" s="2"/>
      <c r="K1085" s="2"/>
      <c r="L1085" s="2" t="str">
        <f t="shared" si="85"/>
        <v>_</v>
      </c>
      <c r="M1085" s="2"/>
      <c r="N1085" s="2">
        <f>IF(ISBLANK(Table2[[#This Row],[ActualResult]]), 0, 1)</f>
        <v>0</v>
      </c>
      <c r="O1085" s="2" t="str">
        <f>IF(ISBLANK(Table2[[#This Row],[ActualResult]]), "_", IF(Table2[[#This Row],[ActualWinner]]=Table2[[#This Row],[PredictedWinner]], "Y", "N"))</f>
        <v>_</v>
      </c>
      <c r="P10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5" s="2"/>
      <c r="S1085" s="2" t="str">
        <f t="shared" si="86"/>
        <v>_</v>
      </c>
      <c r="T10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5" s="2">
        <f>IF(Table2[[#This Row],[InterConf]]=1,IF(Table2[[#This Row],[InterDiv]]=0, 1, 0), 0)</f>
        <v>0</v>
      </c>
      <c r="W10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85" s="2"/>
      <c r="Y1085" s="2"/>
      <c r="Z1085" s="145">
        <f>IF(AND(Table2[[#This Row],[GameIsOver]]=1,Table2[[#This Row],[ActualHomeScore]]*Table2[[#This Row],[ActualAwayScore]]=0), 1,0)</f>
        <v>0</v>
      </c>
      <c r="AA10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5" s="2">
        <f>Table2[[#This Row],[ActualAwayScore]]-Table2[[#This Row],[PredictedAwayScore]]</f>
        <v>0</v>
      </c>
      <c r="AG1085" s="2">
        <f>Table2[[#This Row],[ActualHomeScore]]-Table2[[#This Row],[PredictedHomeScore]]</f>
        <v>0</v>
      </c>
      <c r="AH1085" s="2">
        <f t="shared" si="87"/>
        <v>0</v>
      </c>
      <c r="AI1085" s="2">
        <f t="shared" si="88"/>
        <v>0</v>
      </c>
      <c r="AJ1085" s="2"/>
      <c r="AK1085" s="3"/>
      <c r="AL1085" s="2">
        <f>IF(Table2[[#This Row],[GameIsOver]]=0,0,IF(Table2[[#This Row],[ActualWinner]]=Table2[[#This Row],[AwayTeam]], 1, 0))</f>
        <v>0</v>
      </c>
      <c r="AM1085" s="2">
        <f>IF(Table2[[#This Row],[GameIsOver]]=0,0,IF(Table2[[#This Row],[ActualWinner]]=Table2[[#This Row],[HomeTeam]], 1, 0))</f>
        <v>0</v>
      </c>
      <c r="AN10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5" s="2" t="str">
        <f>INDEX(Sheet5!$B$2:$AG$33, MATCH(Table2[[#This Row],[AwayTeam]],Sheet5!$A$2:$A$33, 0), MATCH(Table2[[#This Row],[HomeTeam]],Sheet5!$A$2:$A$33, 0))</f>
        <v>0-0-0</v>
      </c>
      <c r="AP1085" s="2" t="str">
        <f>INDEX(Sheet5!$B$2:$AG$33, MATCH(Table2[[#This Row],[HomeTeam]],Sheet5!$A$2:$A$33, 0), MATCH(Table2[[#This Row],[AwayTeam]],Sheet5!$A$2:$A$33, 0))</f>
        <v>0-0-0</v>
      </c>
      <c r="AQ1085" s="2">
        <f>IF(Table2[[#This Row],[GameHasShutOut]], 1, 0)</f>
        <v>0</v>
      </c>
      <c r="AR1085" s="2">
        <f>IF(Table2[[#This Row],[ActualAwayScore]] + Table2[[#This Row],[ActualHomeScore]] &gt;= 10, 1, 0)</f>
        <v>0</v>
      </c>
      <c r="AS1085" s="2">
        <f>IF(ABS(Table2[[#This Row],[ActualAwayScore]]-Table2[[#This Row],[ActualHomeScore]])&gt;=5, 1, 0)</f>
        <v>0</v>
      </c>
      <c r="AT1085" s="2">
        <f>IF(Table2[[#This Row],[ActualAwayScore]] + Table2[[#This Row],[ActualHomeScore]] &lt;= 3, 1, 0)</f>
        <v>1</v>
      </c>
      <c r="AU1085" s="2"/>
      <c r="AV1085" s="2"/>
    </row>
    <row r="1086" spans="1:48" x14ac:dyDescent="0.25">
      <c r="A1086" s="3"/>
      <c r="B1086" s="3">
        <v>46100</v>
      </c>
      <c r="C1086" s="5">
        <v>2025021084</v>
      </c>
      <c r="D1086" s="2" t="s">
        <v>32</v>
      </c>
      <c r="E1086" s="2" t="s">
        <v>29</v>
      </c>
      <c r="F1086" s="2"/>
      <c r="G1086" s="2"/>
      <c r="H1086" s="2" t="str">
        <f t="shared" si="84"/>
        <v>_</v>
      </c>
      <c r="I1086" s="2"/>
      <c r="J1086" s="2"/>
      <c r="K1086" s="2"/>
      <c r="L1086" s="2" t="str">
        <f t="shared" si="85"/>
        <v>_</v>
      </c>
      <c r="M1086" s="2"/>
      <c r="N1086" s="2">
        <f>IF(ISBLANK(Table2[[#This Row],[ActualResult]]), 0, 1)</f>
        <v>0</v>
      </c>
      <c r="O1086" s="2" t="str">
        <f>IF(ISBLANK(Table2[[#This Row],[ActualResult]]), "_", IF(Table2[[#This Row],[ActualWinner]]=Table2[[#This Row],[PredictedWinner]], "Y", "N"))</f>
        <v>_</v>
      </c>
      <c r="P10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6" s="2"/>
      <c r="S1086" s="2" t="str">
        <f t="shared" si="86"/>
        <v>_</v>
      </c>
      <c r="T10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6" s="2">
        <f>IF(Table2[[#This Row],[InterConf]]=1,IF(Table2[[#This Row],[InterDiv]]=0, 1, 0), 0)</f>
        <v>1</v>
      </c>
      <c r="W10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6" s="2"/>
      <c r="Y1086" s="2"/>
      <c r="Z1086" s="145">
        <f>IF(AND(Table2[[#This Row],[GameIsOver]]=1,Table2[[#This Row],[ActualHomeScore]]*Table2[[#This Row],[ActualAwayScore]]=0), 1,0)</f>
        <v>0</v>
      </c>
      <c r="AA10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6" s="2">
        <f>Table2[[#This Row],[ActualAwayScore]]-Table2[[#This Row],[PredictedAwayScore]]</f>
        <v>0</v>
      </c>
      <c r="AG1086" s="2">
        <f>Table2[[#This Row],[ActualHomeScore]]-Table2[[#This Row],[PredictedHomeScore]]</f>
        <v>0</v>
      </c>
      <c r="AH1086" s="2">
        <f t="shared" si="87"/>
        <v>0</v>
      </c>
      <c r="AI1086" s="2">
        <f t="shared" si="88"/>
        <v>0</v>
      </c>
      <c r="AJ1086" s="2"/>
      <c r="AK1086" s="3"/>
      <c r="AL1086" s="2">
        <f>IF(Table2[[#This Row],[GameIsOver]]=0,0,IF(Table2[[#This Row],[ActualWinner]]=Table2[[#This Row],[AwayTeam]], 1, 0))</f>
        <v>0</v>
      </c>
      <c r="AM1086" s="2">
        <f>IF(Table2[[#This Row],[GameIsOver]]=0,0,IF(Table2[[#This Row],[ActualWinner]]=Table2[[#This Row],[HomeTeam]], 1, 0))</f>
        <v>0</v>
      </c>
      <c r="AN10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6" s="2" t="str">
        <f>INDEX(Sheet5!$B$2:$AG$33, MATCH(Table2[[#This Row],[AwayTeam]],Sheet5!$A$2:$A$33, 0), MATCH(Table2[[#This Row],[HomeTeam]],Sheet5!$A$2:$A$33, 0))</f>
        <v>1-0-0</v>
      </c>
      <c r="AP1086" s="2" t="str">
        <f>INDEX(Sheet5!$B$2:$AG$33, MATCH(Table2[[#This Row],[HomeTeam]],Sheet5!$A$2:$A$33, 0), MATCH(Table2[[#This Row],[AwayTeam]],Sheet5!$A$2:$A$33, 0))</f>
        <v>0-1-0</v>
      </c>
      <c r="AQ1086" s="2">
        <f>IF(Table2[[#This Row],[GameHasShutOut]], 1, 0)</f>
        <v>0</v>
      </c>
      <c r="AR1086" s="2">
        <f>IF(Table2[[#This Row],[ActualAwayScore]] + Table2[[#This Row],[ActualHomeScore]] &gt;= 10, 1, 0)</f>
        <v>0</v>
      </c>
      <c r="AS1086" s="2">
        <f>IF(ABS(Table2[[#This Row],[ActualAwayScore]]-Table2[[#This Row],[ActualHomeScore]])&gt;=5, 1, 0)</f>
        <v>0</v>
      </c>
      <c r="AT1086" s="2">
        <f>IF(Table2[[#This Row],[ActualAwayScore]] + Table2[[#This Row],[ActualHomeScore]] &lt;= 3, 1, 0)</f>
        <v>1</v>
      </c>
      <c r="AU1086" s="2"/>
      <c r="AV1086" s="2"/>
    </row>
    <row r="1087" spans="1:48" x14ac:dyDescent="0.25">
      <c r="A1087" s="3"/>
      <c r="B1087" s="3">
        <v>46100</v>
      </c>
      <c r="C1087" s="5">
        <v>2025021085</v>
      </c>
      <c r="D1087" s="2" t="s">
        <v>18</v>
      </c>
      <c r="E1087" s="2" t="s">
        <v>30</v>
      </c>
      <c r="F1087" s="2"/>
      <c r="G1087" s="2"/>
      <c r="H1087" s="2" t="str">
        <f t="shared" si="84"/>
        <v>_</v>
      </c>
      <c r="I1087" s="2"/>
      <c r="J1087" s="2"/>
      <c r="K1087" s="2"/>
      <c r="L1087" s="2" t="str">
        <f t="shared" si="85"/>
        <v>_</v>
      </c>
      <c r="M1087" s="2"/>
      <c r="N1087" s="2">
        <f>IF(ISBLANK(Table2[[#This Row],[ActualResult]]), 0, 1)</f>
        <v>0</v>
      </c>
      <c r="O1087" s="2" t="str">
        <f>IF(ISBLANK(Table2[[#This Row],[ActualResult]]), "_", IF(Table2[[#This Row],[ActualWinner]]=Table2[[#This Row],[PredictedWinner]], "Y", "N"))</f>
        <v>_</v>
      </c>
      <c r="P10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7" s="2"/>
      <c r="S1087" s="2" t="str">
        <f t="shared" si="86"/>
        <v>_</v>
      </c>
      <c r="T10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7" s="2">
        <f>IF(Table2[[#This Row],[InterConf]]=1,IF(Table2[[#This Row],[InterDiv]]=0, 1, 0), 0)</f>
        <v>0</v>
      </c>
      <c r="W10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7" s="2"/>
      <c r="Y1087" s="2"/>
      <c r="Z1087" s="145">
        <f>IF(AND(Table2[[#This Row],[GameIsOver]]=1,Table2[[#This Row],[ActualHomeScore]]*Table2[[#This Row],[ActualAwayScore]]=0), 1,0)</f>
        <v>0</v>
      </c>
      <c r="AA10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7" s="2">
        <f>Table2[[#This Row],[ActualAwayScore]]-Table2[[#This Row],[PredictedAwayScore]]</f>
        <v>0</v>
      </c>
      <c r="AG1087" s="2">
        <f>Table2[[#This Row],[ActualHomeScore]]-Table2[[#This Row],[PredictedHomeScore]]</f>
        <v>0</v>
      </c>
      <c r="AH1087" s="2">
        <f t="shared" si="87"/>
        <v>0</v>
      </c>
      <c r="AI1087" s="2">
        <f t="shared" si="88"/>
        <v>0</v>
      </c>
      <c r="AJ1087" s="2"/>
      <c r="AK1087" s="3"/>
      <c r="AL1087" s="2">
        <f>IF(Table2[[#This Row],[GameIsOver]]=0,0,IF(Table2[[#This Row],[ActualWinner]]=Table2[[#This Row],[AwayTeam]], 1, 0))</f>
        <v>0</v>
      </c>
      <c r="AM1087" s="2">
        <f>IF(Table2[[#This Row],[GameIsOver]]=0,0,IF(Table2[[#This Row],[ActualWinner]]=Table2[[#This Row],[HomeTeam]], 1, 0))</f>
        <v>0</v>
      </c>
      <c r="AN10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7" s="2" t="str">
        <f>INDEX(Sheet5!$B$2:$AG$33, MATCH(Table2[[#This Row],[AwayTeam]],Sheet5!$A$2:$A$33, 0), MATCH(Table2[[#This Row],[HomeTeam]],Sheet5!$A$2:$A$33, 0))</f>
        <v>1-0-0</v>
      </c>
      <c r="AP1087" s="2" t="str">
        <f>INDEX(Sheet5!$B$2:$AG$33, MATCH(Table2[[#This Row],[HomeTeam]],Sheet5!$A$2:$A$33, 0), MATCH(Table2[[#This Row],[AwayTeam]],Sheet5!$A$2:$A$33, 0))</f>
        <v>0-1-0</v>
      </c>
      <c r="AQ1087" s="2">
        <f>IF(Table2[[#This Row],[GameHasShutOut]], 1, 0)</f>
        <v>0</v>
      </c>
      <c r="AR1087" s="2">
        <f>IF(Table2[[#This Row],[ActualAwayScore]] + Table2[[#This Row],[ActualHomeScore]] &gt;= 10, 1, 0)</f>
        <v>0</v>
      </c>
      <c r="AS1087" s="2">
        <f>IF(ABS(Table2[[#This Row],[ActualAwayScore]]-Table2[[#This Row],[ActualHomeScore]])&gt;=5, 1, 0)</f>
        <v>0</v>
      </c>
      <c r="AT1087" s="2">
        <f>IF(Table2[[#This Row],[ActualAwayScore]] + Table2[[#This Row],[ActualHomeScore]] &lt;= 3, 1, 0)</f>
        <v>1</v>
      </c>
      <c r="AU1087" s="2"/>
      <c r="AV1087" s="2"/>
    </row>
    <row r="1088" spans="1:48" x14ac:dyDescent="0.25">
      <c r="A1088" s="3"/>
      <c r="B1088" s="3">
        <v>46100</v>
      </c>
      <c r="C1088" s="5">
        <v>2025021086</v>
      </c>
      <c r="D1088" s="2" t="s">
        <v>19</v>
      </c>
      <c r="E1088" s="2" t="s">
        <v>35</v>
      </c>
      <c r="F1088" s="2"/>
      <c r="G1088" s="2"/>
      <c r="H1088" s="2" t="str">
        <f t="shared" si="84"/>
        <v>_</v>
      </c>
      <c r="I1088" s="2"/>
      <c r="J1088" s="2"/>
      <c r="K1088" s="2"/>
      <c r="L1088" s="2" t="str">
        <f t="shared" si="85"/>
        <v>_</v>
      </c>
      <c r="M1088" s="2"/>
      <c r="N1088" s="2">
        <f>IF(ISBLANK(Table2[[#This Row],[ActualResult]]), 0, 1)</f>
        <v>0</v>
      </c>
      <c r="O1088" s="2" t="str">
        <f>IF(ISBLANK(Table2[[#This Row],[ActualResult]]), "_", IF(Table2[[#This Row],[ActualWinner]]=Table2[[#This Row],[PredictedWinner]], "Y", "N"))</f>
        <v>_</v>
      </c>
      <c r="P10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8" s="2"/>
      <c r="S1088" s="2" t="str">
        <f t="shared" si="86"/>
        <v>_</v>
      </c>
      <c r="T10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8" s="2">
        <f>IF(Table2[[#This Row],[InterConf]]=1,IF(Table2[[#This Row],[InterDiv]]=0, 1, 0), 0)</f>
        <v>0</v>
      </c>
      <c r="W10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8" s="2"/>
      <c r="Y1088" s="2"/>
      <c r="Z1088" s="145">
        <f>IF(AND(Table2[[#This Row],[GameIsOver]]=1,Table2[[#This Row],[ActualHomeScore]]*Table2[[#This Row],[ActualAwayScore]]=0), 1,0)</f>
        <v>0</v>
      </c>
      <c r="AA10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8" s="2">
        <f>Table2[[#This Row],[ActualAwayScore]]-Table2[[#This Row],[PredictedAwayScore]]</f>
        <v>0</v>
      </c>
      <c r="AG1088" s="2">
        <f>Table2[[#This Row],[ActualHomeScore]]-Table2[[#This Row],[PredictedHomeScore]]</f>
        <v>0</v>
      </c>
      <c r="AH1088" s="2">
        <f t="shared" si="87"/>
        <v>0</v>
      </c>
      <c r="AI1088" s="2">
        <f t="shared" si="88"/>
        <v>0</v>
      </c>
      <c r="AJ1088" s="2"/>
      <c r="AK1088" s="3"/>
      <c r="AL1088" s="2">
        <f>IF(Table2[[#This Row],[GameIsOver]]=0,0,IF(Table2[[#This Row],[ActualWinner]]=Table2[[#This Row],[AwayTeam]], 1, 0))</f>
        <v>0</v>
      </c>
      <c r="AM1088" s="2">
        <f>IF(Table2[[#This Row],[GameIsOver]]=0,0,IF(Table2[[#This Row],[ActualWinner]]=Table2[[#This Row],[HomeTeam]], 1, 0))</f>
        <v>0</v>
      </c>
      <c r="AN10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8" s="2" t="str">
        <f>INDEX(Sheet5!$B$2:$AG$33, MATCH(Table2[[#This Row],[AwayTeam]],Sheet5!$A$2:$A$33, 0), MATCH(Table2[[#This Row],[HomeTeam]],Sheet5!$A$2:$A$33, 0))</f>
        <v>0-0-0</v>
      </c>
      <c r="AP1088" s="2" t="str">
        <f>INDEX(Sheet5!$B$2:$AG$33, MATCH(Table2[[#This Row],[HomeTeam]],Sheet5!$A$2:$A$33, 0), MATCH(Table2[[#This Row],[AwayTeam]],Sheet5!$A$2:$A$33, 0))</f>
        <v>0-0-0</v>
      </c>
      <c r="AQ1088" s="2">
        <f>IF(Table2[[#This Row],[GameHasShutOut]], 1, 0)</f>
        <v>0</v>
      </c>
      <c r="AR1088" s="2">
        <f>IF(Table2[[#This Row],[ActualAwayScore]] + Table2[[#This Row],[ActualHomeScore]] &gt;= 10, 1, 0)</f>
        <v>0</v>
      </c>
      <c r="AS1088" s="2">
        <f>IF(ABS(Table2[[#This Row],[ActualAwayScore]]-Table2[[#This Row],[ActualHomeScore]])&gt;=5, 1, 0)</f>
        <v>0</v>
      </c>
      <c r="AT1088" s="2">
        <f>IF(Table2[[#This Row],[ActualAwayScore]] + Table2[[#This Row],[ActualHomeScore]] &lt;= 3, 1, 0)</f>
        <v>1</v>
      </c>
      <c r="AU1088" s="2"/>
      <c r="AV1088" s="2"/>
    </row>
    <row r="1089" spans="1:48" x14ac:dyDescent="0.25">
      <c r="A1089" s="3"/>
      <c r="B1089" s="3">
        <v>46101</v>
      </c>
      <c r="C1089" s="5">
        <v>2025021087</v>
      </c>
      <c r="D1089" s="2" t="s">
        <v>11</v>
      </c>
      <c r="E1089" s="2" t="s">
        <v>34</v>
      </c>
      <c r="F1089" s="2"/>
      <c r="G1089" s="2"/>
      <c r="H1089" s="2" t="str">
        <f t="shared" si="84"/>
        <v>_</v>
      </c>
      <c r="I1089" s="2"/>
      <c r="J1089" s="2"/>
      <c r="K1089" s="2"/>
      <c r="L1089" s="2" t="str">
        <f t="shared" si="85"/>
        <v>_</v>
      </c>
      <c r="M1089" s="2"/>
      <c r="N1089" s="2">
        <f>IF(ISBLANK(Table2[[#This Row],[ActualResult]]), 0, 1)</f>
        <v>0</v>
      </c>
      <c r="O1089" s="2" t="str">
        <f>IF(ISBLANK(Table2[[#This Row],[ActualResult]]), "_", IF(Table2[[#This Row],[ActualWinner]]=Table2[[#This Row],[PredictedWinner]], "Y", "N"))</f>
        <v>_</v>
      </c>
      <c r="P10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9" s="2"/>
      <c r="S1089" s="2" t="str">
        <f t="shared" si="86"/>
        <v>_</v>
      </c>
      <c r="T10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9" s="2">
        <f>IF(Table2[[#This Row],[InterConf]]=1,IF(Table2[[#This Row],[InterDiv]]=0, 1, 0), 0)</f>
        <v>1</v>
      </c>
      <c r="W10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9" s="2"/>
      <c r="Y1089" s="2"/>
      <c r="Z1089" s="145">
        <f>IF(AND(Table2[[#This Row],[GameIsOver]]=1,Table2[[#This Row],[ActualHomeScore]]*Table2[[#This Row],[ActualAwayScore]]=0), 1,0)</f>
        <v>0</v>
      </c>
      <c r="AA10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89" s="2">
        <f>Table2[[#This Row],[ActualAwayScore]]-Table2[[#This Row],[PredictedAwayScore]]</f>
        <v>0</v>
      </c>
      <c r="AG1089" s="2">
        <f>Table2[[#This Row],[ActualHomeScore]]-Table2[[#This Row],[PredictedHomeScore]]</f>
        <v>0</v>
      </c>
      <c r="AH1089" s="2">
        <f t="shared" si="87"/>
        <v>0</v>
      </c>
      <c r="AI1089" s="2">
        <f t="shared" si="88"/>
        <v>0</v>
      </c>
      <c r="AJ1089" s="2"/>
      <c r="AK1089" s="3"/>
      <c r="AL1089" s="2">
        <f>IF(Table2[[#This Row],[GameIsOver]]=0,0,IF(Table2[[#This Row],[ActualWinner]]=Table2[[#This Row],[AwayTeam]], 1, 0))</f>
        <v>0</v>
      </c>
      <c r="AM1089" s="2">
        <f>IF(Table2[[#This Row],[GameIsOver]]=0,0,IF(Table2[[#This Row],[ActualWinner]]=Table2[[#This Row],[HomeTeam]], 1, 0))</f>
        <v>0</v>
      </c>
      <c r="AN10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9" s="2" t="str">
        <f>INDEX(Sheet5!$B$2:$AG$33, MATCH(Table2[[#This Row],[AwayTeam]],Sheet5!$A$2:$A$33, 0), MATCH(Table2[[#This Row],[HomeTeam]],Sheet5!$A$2:$A$33, 0))</f>
        <v>0-0-0</v>
      </c>
      <c r="AP1089" s="2" t="str">
        <f>INDEX(Sheet5!$B$2:$AG$33, MATCH(Table2[[#This Row],[HomeTeam]],Sheet5!$A$2:$A$33, 0), MATCH(Table2[[#This Row],[AwayTeam]],Sheet5!$A$2:$A$33, 0))</f>
        <v>0-0-0</v>
      </c>
      <c r="AQ1089" s="2">
        <f>IF(Table2[[#This Row],[GameHasShutOut]], 1, 0)</f>
        <v>0</v>
      </c>
      <c r="AR1089" s="2">
        <f>IF(Table2[[#This Row],[ActualAwayScore]] + Table2[[#This Row],[ActualHomeScore]] &gt;= 10, 1, 0)</f>
        <v>0</v>
      </c>
      <c r="AS1089" s="2">
        <f>IF(ABS(Table2[[#This Row],[ActualAwayScore]]-Table2[[#This Row],[ActualHomeScore]])&gt;=5, 1, 0)</f>
        <v>0</v>
      </c>
      <c r="AT1089" s="2">
        <f>IF(Table2[[#This Row],[ActualAwayScore]] + Table2[[#This Row],[ActualHomeScore]] &lt;= 3, 1, 0)</f>
        <v>1</v>
      </c>
      <c r="AU1089" s="2"/>
      <c r="AV1089" s="2"/>
    </row>
    <row r="1090" spans="1:48" x14ac:dyDescent="0.25">
      <c r="A1090" s="3"/>
      <c r="B1090" s="3">
        <v>46101</v>
      </c>
      <c r="C1090" s="5">
        <v>2025021088</v>
      </c>
      <c r="D1090" s="2" t="s">
        <v>16</v>
      </c>
      <c r="E1090" s="2" t="s">
        <v>36</v>
      </c>
      <c r="F1090" s="2"/>
      <c r="G1090" s="2"/>
      <c r="H1090" s="2" t="str">
        <f t="shared" si="84"/>
        <v>_</v>
      </c>
      <c r="I1090" s="2"/>
      <c r="J1090" s="2"/>
      <c r="K1090" s="2"/>
      <c r="L1090" s="2" t="str">
        <f t="shared" si="85"/>
        <v>_</v>
      </c>
      <c r="M1090" s="2"/>
      <c r="N1090" s="2">
        <f>IF(ISBLANK(Table2[[#This Row],[ActualResult]]), 0, 1)</f>
        <v>0</v>
      </c>
      <c r="O1090" s="2" t="str">
        <f>IF(ISBLANK(Table2[[#This Row],[ActualResult]]), "_", IF(Table2[[#This Row],[ActualWinner]]=Table2[[#This Row],[PredictedWinner]], "Y", "N"))</f>
        <v>_</v>
      </c>
      <c r="P10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0" s="2"/>
      <c r="S1090" s="2" t="str">
        <f t="shared" si="86"/>
        <v>_</v>
      </c>
      <c r="T10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0" s="2">
        <f>IF(Table2[[#This Row],[InterConf]]=1,IF(Table2[[#This Row],[InterDiv]]=0, 1, 0), 0)</f>
        <v>0</v>
      </c>
      <c r="W10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0" s="2"/>
      <c r="Y1090" s="2"/>
      <c r="Z1090" s="145">
        <f>IF(AND(Table2[[#This Row],[GameIsOver]]=1,Table2[[#This Row],[ActualHomeScore]]*Table2[[#This Row],[ActualAwayScore]]=0), 1,0)</f>
        <v>0</v>
      </c>
      <c r="AA10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0" s="2">
        <f>Table2[[#This Row],[ActualAwayScore]]-Table2[[#This Row],[PredictedAwayScore]]</f>
        <v>0</v>
      </c>
      <c r="AG1090" s="2">
        <f>Table2[[#This Row],[ActualHomeScore]]-Table2[[#This Row],[PredictedHomeScore]]</f>
        <v>0</v>
      </c>
      <c r="AH1090" s="2">
        <f t="shared" si="87"/>
        <v>0</v>
      </c>
      <c r="AI1090" s="2">
        <f t="shared" si="88"/>
        <v>0</v>
      </c>
      <c r="AJ1090" s="2"/>
      <c r="AK1090" s="3"/>
      <c r="AL1090" s="2">
        <f>IF(Table2[[#This Row],[GameIsOver]]=0,0,IF(Table2[[#This Row],[ActualWinner]]=Table2[[#This Row],[AwayTeam]], 1, 0))</f>
        <v>0</v>
      </c>
      <c r="AM1090" s="2">
        <f>IF(Table2[[#This Row],[GameIsOver]]=0,0,IF(Table2[[#This Row],[ActualWinner]]=Table2[[#This Row],[HomeTeam]], 1, 0))</f>
        <v>0</v>
      </c>
      <c r="AN10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0" s="2" t="str">
        <f>INDEX(Sheet5!$B$2:$AG$33, MATCH(Table2[[#This Row],[AwayTeam]],Sheet5!$A$2:$A$33, 0), MATCH(Table2[[#This Row],[HomeTeam]],Sheet5!$A$2:$A$33, 0))</f>
        <v>0-0-0</v>
      </c>
      <c r="AP1090" s="2" t="str">
        <f>INDEX(Sheet5!$B$2:$AG$33, MATCH(Table2[[#This Row],[HomeTeam]],Sheet5!$A$2:$A$33, 0), MATCH(Table2[[#This Row],[AwayTeam]],Sheet5!$A$2:$A$33, 0))</f>
        <v>0-0-0</v>
      </c>
      <c r="AQ1090" s="2">
        <f>IF(Table2[[#This Row],[GameHasShutOut]], 1, 0)</f>
        <v>0</v>
      </c>
      <c r="AR1090" s="2">
        <f>IF(Table2[[#This Row],[ActualAwayScore]] + Table2[[#This Row],[ActualHomeScore]] &gt;= 10, 1, 0)</f>
        <v>0</v>
      </c>
      <c r="AS1090" s="2">
        <f>IF(ABS(Table2[[#This Row],[ActualAwayScore]]-Table2[[#This Row],[ActualHomeScore]])&gt;=5, 1, 0)</f>
        <v>0</v>
      </c>
      <c r="AT1090" s="2">
        <f>IF(Table2[[#This Row],[ActualAwayScore]] + Table2[[#This Row],[ActualHomeScore]] &lt;= 3, 1, 0)</f>
        <v>1</v>
      </c>
      <c r="AU1090" s="2"/>
      <c r="AV1090" s="2"/>
    </row>
    <row r="1091" spans="1:48" x14ac:dyDescent="0.25">
      <c r="A1091" s="3"/>
      <c r="B1091" s="3">
        <v>46101</v>
      </c>
      <c r="C1091" s="5">
        <v>2025021089</v>
      </c>
      <c r="D1091" s="2" t="s">
        <v>13</v>
      </c>
      <c r="E1091" s="2" t="s">
        <v>22</v>
      </c>
      <c r="F1091" s="2"/>
      <c r="G1091" s="2"/>
      <c r="H1091" s="2" t="str">
        <f t="shared" ref="H1091:H1154" si="89">IF(AND(ISBLANK($F1091),ISBLANK($G1091)),"_",IF($F1091&gt;$G1091,$D1091,$E1091))</f>
        <v>_</v>
      </c>
      <c r="I1091" s="2"/>
      <c r="J1091" s="2"/>
      <c r="K1091" s="2"/>
      <c r="L1091" s="2" t="str">
        <f t="shared" ref="L1091:L1154" si="90">IF(OR($J1091=$K1091,AND(ISBLANK($J1091),ISBLANK($K1091))),"_",IF($J1091&gt;$K1091,$D1091,$E1091))</f>
        <v>_</v>
      </c>
      <c r="M1091" s="2"/>
      <c r="N1091" s="2">
        <f>IF(ISBLANK(Table2[[#This Row],[ActualResult]]), 0, 1)</f>
        <v>0</v>
      </c>
      <c r="O1091" s="2" t="str">
        <f>IF(ISBLANK(Table2[[#This Row],[ActualResult]]), "_", IF(Table2[[#This Row],[ActualWinner]]=Table2[[#This Row],[PredictedWinner]], "Y", "N"))</f>
        <v>_</v>
      </c>
      <c r="P10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1" s="2"/>
      <c r="S1091" s="2" t="str">
        <f t="shared" ref="S1091:S1154" si="91">IF($L1091="_", "_", IF($L1091=$D1091,$E1091,$D1091))</f>
        <v>_</v>
      </c>
      <c r="T10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1" s="2">
        <f>IF(Table2[[#This Row],[InterConf]]=1,IF(Table2[[#This Row],[InterDiv]]=0, 1, 0), 0)</f>
        <v>0</v>
      </c>
      <c r="W10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1" s="2"/>
      <c r="Y1091" s="2"/>
      <c r="Z1091" s="145">
        <f>IF(AND(Table2[[#This Row],[GameIsOver]]=1,Table2[[#This Row],[ActualHomeScore]]*Table2[[#This Row],[ActualAwayScore]]=0), 1,0)</f>
        <v>0</v>
      </c>
      <c r="AA10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1" s="2">
        <f>Table2[[#This Row],[ActualAwayScore]]-Table2[[#This Row],[PredictedAwayScore]]</f>
        <v>0</v>
      </c>
      <c r="AG1091" s="2">
        <f>Table2[[#This Row],[ActualHomeScore]]-Table2[[#This Row],[PredictedHomeScore]]</f>
        <v>0</v>
      </c>
      <c r="AH1091" s="2">
        <f t="shared" ref="AH1091:AH1154" si="92">SUMIF($B$3:$B$1315, $B1091, $AF$3:$AF$1315)</f>
        <v>0</v>
      </c>
      <c r="AI1091" s="2">
        <f t="shared" ref="AI1091:AI1154" si="93">SUMIF($B$3:$B$1315, $B1091, $AG$3:$AG$1315)</f>
        <v>0</v>
      </c>
      <c r="AJ1091" s="2"/>
      <c r="AK1091" s="3"/>
      <c r="AL1091" s="2">
        <f>IF(Table2[[#This Row],[GameIsOver]]=0,0,IF(Table2[[#This Row],[ActualWinner]]=Table2[[#This Row],[AwayTeam]], 1, 0))</f>
        <v>0</v>
      </c>
      <c r="AM1091" s="2">
        <f>IF(Table2[[#This Row],[GameIsOver]]=0,0,IF(Table2[[#This Row],[ActualWinner]]=Table2[[#This Row],[HomeTeam]], 1, 0))</f>
        <v>0</v>
      </c>
      <c r="AN10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1" s="2" t="str">
        <f>INDEX(Sheet5!$B$2:$AG$33, MATCH(Table2[[#This Row],[AwayTeam]],Sheet5!$A$2:$A$33, 0), MATCH(Table2[[#This Row],[HomeTeam]],Sheet5!$A$2:$A$33, 0))</f>
        <v>0-0-0</v>
      </c>
      <c r="AP1091" s="2" t="str">
        <f>INDEX(Sheet5!$B$2:$AG$33, MATCH(Table2[[#This Row],[HomeTeam]],Sheet5!$A$2:$A$33, 0), MATCH(Table2[[#This Row],[AwayTeam]],Sheet5!$A$2:$A$33, 0))</f>
        <v>0-0-0</v>
      </c>
      <c r="AQ1091" s="2">
        <f>IF(Table2[[#This Row],[GameHasShutOut]], 1, 0)</f>
        <v>0</v>
      </c>
      <c r="AR1091" s="2">
        <f>IF(Table2[[#This Row],[ActualAwayScore]] + Table2[[#This Row],[ActualHomeScore]] &gt;= 10, 1, 0)</f>
        <v>0</v>
      </c>
      <c r="AS1091" s="2">
        <f>IF(ABS(Table2[[#This Row],[ActualAwayScore]]-Table2[[#This Row],[ActualHomeScore]])&gt;=5, 1, 0)</f>
        <v>0</v>
      </c>
      <c r="AT1091" s="2">
        <f>IF(Table2[[#This Row],[ActualAwayScore]] + Table2[[#This Row],[ActualHomeScore]] &lt;= 3, 1, 0)</f>
        <v>1</v>
      </c>
      <c r="AU1091" s="2"/>
      <c r="AV1091" s="2"/>
    </row>
    <row r="1092" spans="1:48" x14ac:dyDescent="0.25">
      <c r="A1092" s="3"/>
      <c r="B1092" s="3">
        <v>46101</v>
      </c>
      <c r="C1092" s="5">
        <v>2025021090</v>
      </c>
      <c r="D1092" s="2" t="s">
        <v>40</v>
      </c>
      <c r="E1092" s="2" t="s">
        <v>24</v>
      </c>
      <c r="F1092" s="2"/>
      <c r="G1092" s="2"/>
      <c r="H1092" s="2" t="str">
        <f t="shared" si="89"/>
        <v>_</v>
      </c>
      <c r="I1092" s="2"/>
      <c r="J1092" s="2"/>
      <c r="K1092" s="2"/>
      <c r="L1092" s="2" t="str">
        <f t="shared" si="90"/>
        <v>_</v>
      </c>
      <c r="M1092" s="2"/>
      <c r="N1092" s="2">
        <f>IF(ISBLANK(Table2[[#This Row],[ActualResult]]), 0, 1)</f>
        <v>0</v>
      </c>
      <c r="O1092" s="2" t="str">
        <f>IF(ISBLANK(Table2[[#This Row],[ActualResult]]), "_", IF(Table2[[#This Row],[ActualWinner]]=Table2[[#This Row],[PredictedWinner]], "Y", "N"))</f>
        <v>_</v>
      </c>
      <c r="P10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2" s="2"/>
      <c r="S1092" s="2" t="str">
        <f t="shared" si="91"/>
        <v>_</v>
      </c>
      <c r="T10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2" s="2">
        <f>IF(Table2[[#This Row],[InterConf]]=1,IF(Table2[[#This Row],[InterDiv]]=0, 1, 0), 0)</f>
        <v>0</v>
      </c>
      <c r="W10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2" s="2"/>
      <c r="Y1092" s="2"/>
      <c r="Z1092" s="145">
        <f>IF(AND(Table2[[#This Row],[GameIsOver]]=1,Table2[[#This Row],[ActualHomeScore]]*Table2[[#This Row],[ActualAwayScore]]=0), 1,0)</f>
        <v>0</v>
      </c>
      <c r="AA10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2" s="2">
        <f>Table2[[#This Row],[ActualAwayScore]]-Table2[[#This Row],[PredictedAwayScore]]</f>
        <v>0</v>
      </c>
      <c r="AG1092" s="2">
        <f>Table2[[#This Row],[ActualHomeScore]]-Table2[[#This Row],[PredictedHomeScore]]</f>
        <v>0</v>
      </c>
      <c r="AH1092" s="2">
        <f t="shared" si="92"/>
        <v>0</v>
      </c>
      <c r="AI1092" s="2">
        <f t="shared" si="93"/>
        <v>0</v>
      </c>
      <c r="AJ1092" s="2"/>
      <c r="AK1092" s="3"/>
      <c r="AL1092" s="2">
        <f>IF(Table2[[#This Row],[GameIsOver]]=0,0,IF(Table2[[#This Row],[ActualWinner]]=Table2[[#This Row],[AwayTeam]], 1, 0))</f>
        <v>0</v>
      </c>
      <c r="AM1092" s="2">
        <f>IF(Table2[[#This Row],[GameIsOver]]=0,0,IF(Table2[[#This Row],[ActualWinner]]=Table2[[#This Row],[HomeTeam]], 1, 0))</f>
        <v>0</v>
      </c>
      <c r="AN10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2" s="2" t="str">
        <f>INDEX(Sheet5!$B$2:$AG$33, MATCH(Table2[[#This Row],[AwayTeam]],Sheet5!$A$2:$A$33, 0), MATCH(Table2[[#This Row],[HomeTeam]],Sheet5!$A$2:$A$33, 0))</f>
        <v>0-0-0</v>
      </c>
      <c r="AP1092" s="2" t="str">
        <f>INDEX(Sheet5!$B$2:$AG$33, MATCH(Table2[[#This Row],[HomeTeam]],Sheet5!$A$2:$A$33, 0), MATCH(Table2[[#This Row],[AwayTeam]],Sheet5!$A$2:$A$33, 0))</f>
        <v>0-0-0</v>
      </c>
      <c r="AQ1092" s="2">
        <f>IF(Table2[[#This Row],[GameHasShutOut]], 1, 0)</f>
        <v>0</v>
      </c>
      <c r="AR1092" s="2">
        <f>IF(Table2[[#This Row],[ActualAwayScore]] + Table2[[#This Row],[ActualHomeScore]] &gt;= 10, 1, 0)</f>
        <v>0</v>
      </c>
      <c r="AS1092" s="2">
        <f>IF(ABS(Table2[[#This Row],[ActualAwayScore]]-Table2[[#This Row],[ActualHomeScore]])&gt;=5, 1, 0)</f>
        <v>0</v>
      </c>
      <c r="AT1092" s="2">
        <f>IF(Table2[[#This Row],[ActualAwayScore]] + Table2[[#This Row],[ActualHomeScore]] &lt;= 3, 1, 0)</f>
        <v>1</v>
      </c>
      <c r="AU1092" s="2"/>
      <c r="AV1092" s="2"/>
    </row>
    <row r="1093" spans="1:48" x14ac:dyDescent="0.25">
      <c r="A1093" s="3"/>
      <c r="B1093" s="3">
        <v>46101</v>
      </c>
      <c r="C1093" s="5">
        <v>2025021091</v>
      </c>
      <c r="D1093" s="2" t="s">
        <v>14</v>
      </c>
      <c r="E1093" s="2" t="s">
        <v>26</v>
      </c>
      <c r="F1093" s="2"/>
      <c r="G1093" s="2"/>
      <c r="H1093" s="2" t="str">
        <f t="shared" si="89"/>
        <v>_</v>
      </c>
      <c r="I1093" s="2"/>
      <c r="J1093" s="2"/>
      <c r="K1093" s="2"/>
      <c r="L1093" s="2" t="str">
        <f t="shared" si="90"/>
        <v>_</v>
      </c>
      <c r="M1093" s="2"/>
      <c r="N1093" s="2">
        <f>IF(ISBLANK(Table2[[#This Row],[ActualResult]]), 0, 1)</f>
        <v>0</v>
      </c>
      <c r="O1093" s="2" t="str">
        <f>IF(ISBLANK(Table2[[#This Row],[ActualResult]]), "_", IF(Table2[[#This Row],[ActualWinner]]=Table2[[#This Row],[PredictedWinner]], "Y", "N"))</f>
        <v>_</v>
      </c>
      <c r="P10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3" s="2"/>
      <c r="S1093" s="2" t="str">
        <f t="shared" si="91"/>
        <v>_</v>
      </c>
      <c r="T10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3" s="2">
        <f>IF(Table2[[#This Row],[InterConf]]=1,IF(Table2[[#This Row],[InterDiv]]=0, 1, 0), 0)</f>
        <v>1</v>
      </c>
      <c r="W10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3" s="2"/>
      <c r="Y1093" s="2"/>
      <c r="Z1093" s="145">
        <f>IF(AND(Table2[[#This Row],[GameIsOver]]=1,Table2[[#This Row],[ActualHomeScore]]*Table2[[#This Row],[ActualAwayScore]]=0), 1,0)</f>
        <v>0</v>
      </c>
      <c r="AA10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3" s="2">
        <f>Table2[[#This Row],[ActualAwayScore]]-Table2[[#This Row],[PredictedAwayScore]]</f>
        <v>0</v>
      </c>
      <c r="AG1093" s="2">
        <f>Table2[[#This Row],[ActualHomeScore]]-Table2[[#This Row],[PredictedHomeScore]]</f>
        <v>0</v>
      </c>
      <c r="AH1093" s="2">
        <f t="shared" si="92"/>
        <v>0</v>
      </c>
      <c r="AI1093" s="2">
        <f t="shared" si="93"/>
        <v>0</v>
      </c>
      <c r="AJ1093" s="2"/>
      <c r="AK1093" s="3"/>
      <c r="AL1093" s="2">
        <f>IF(Table2[[#This Row],[GameIsOver]]=0,0,IF(Table2[[#This Row],[ActualWinner]]=Table2[[#This Row],[AwayTeam]], 1, 0))</f>
        <v>0</v>
      </c>
      <c r="AM1093" s="2">
        <f>IF(Table2[[#This Row],[GameIsOver]]=0,0,IF(Table2[[#This Row],[ActualWinner]]=Table2[[#This Row],[HomeTeam]], 1, 0))</f>
        <v>0</v>
      </c>
      <c r="AN10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3" s="2" t="str">
        <f>INDEX(Sheet5!$B$2:$AG$33, MATCH(Table2[[#This Row],[AwayTeam]],Sheet5!$A$2:$A$33, 0), MATCH(Table2[[#This Row],[HomeTeam]],Sheet5!$A$2:$A$33, 0))</f>
        <v>0-0-0</v>
      </c>
      <c r="AP1093" s="2" t="str">
        <f>INDEX(Sheet5!$B$2:$AG$33, MATCH(Table2[[#This Row],[HomeTeam]],Sheet5!$A$2:$A$33, 0), MATCH(Table2[[#This Row],[AwayTeam]],Sheet5!$A$2:$A$33, 0))</f>
        <v>0-0-0</v>
      </c>
      <c r="AQ1093" s="2">
        <f>IF(Table2[[#This Row],[GameHasShutOut]], 1, 0)</f>
        <v>0</v>
      </c>
      <c r="AR1093" s="2">
        <f>IF(Table2[[#This Row],[ActualAwayScore]] + Table2[[#This Row],[ActualHomeScore]] &gt;= 10, 1, 0)</f>
        <v>0</v>
      </c>
      <c r="AS1093" s="2">
        <f>IF(ABS(Table2[[#This Row],[ActualAwayScore]]-Table2[[#This Row],[ActualHomeScore]])&gt;=5, 1, 0)</f>
        <v>0</v>
      </c>
      <c r="AT1093" s="2">
        <f>IF(Table2[[#This Row],[ActualAwayScore]] + Table2[[#This Row],[ActualHomeScore]] &lt;= 3, 1, 0)</f>
        <v>1</v>
      </c>
      <c r="AU1093" s="2"/>
      <c r="AV1093" s="2"/>
    </row>
    <row r="1094" spans="1:48" x14ac:dyDescent="0.25">
      <c r="A1094" s="3"/>
      <c r="B1094" s="3">
        <v>46101</v>
      </c>
      <c r="C1094" s="5">
        <v>2025021092</v>
      </c>
      <c r="D1094" s="2" t="s">
        <v>28</v>
      </c>
      <c r="E1094" s="2" t="s">
        <v>37</v>
      </c>
      <c r="F1094" s="2"/>
      <c r="G1094" s="2"/>
      <c r="H1094" s="2" t="str">
        <f t="shared" si="89"/>
        <v>_</v>
      </c>
      <c r="I1094" s="2"/>
      <c r="J1094" s="2"/>
      <c r="K1094" s="2"/>
      <c r="L1094" s="2" t="str">
        <f t="shared" si="90"/>
        <v>_</v>
      </c>
      <c r="M1094" s="2"/>
      <c r="N1094" s="2">
        <f>IF(ISBLANK(Table2[[#This Row],[ActualResult]]), 0, 1)</f>
        <v>0</v>
      </c>
      <c r="O1094" s="2" t="str">
        <f>IF(ISBLANK(Table2[[#This Row],[ActualResult]]), "_", IF(Table2[[#This Row],[ActualWinner]]=Table2[[#This Row],[PredictedWinner]], "Y", "N"))</f>
        <v>_</v>
      </c>
      <c r="P10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4" s="2"/>
      <c r="S1094" s="2" t="str">
        <f t="shared" si="91"/>
        <v>_</v>
      </c>
      <c r="T10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4" s="2">
        <f>IF(Table2[[#This Row],[InterConf]]=1,IF(Table2[[#This Row],[InterDiv]]=0, 1, 0), 0)</f>
        <v>0</v>
      </c>
      <c r="W10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4" s="2"/>
      <c r="Y1094" s="2"/>
      <c r="Z1094" s="145">
        <f>IF(AND(Table2[[#This Row],[GameIsOver]]=1,Table2[[#This Row],[ActualHomeScore]]*Table2[[#This Row],[ActualAwayScore]]=0), 1,0)</f>
        <v>0</v>
      </c>
      <c r="AA10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4" s="2">
        <f>Table2[[#This Row],[ActualAwayScore]]-Table2[[#This Row],[PredictedAwayScore]]</f>
        <v>0</v>
      </c>
      <c r="AG1094" s="2">
        <f>Table2[[#This Row],[ActualHomeScore]]-Table2[[#This Row],[PredictedHomeScore]]</f>
        <v>0</v>
      </c>
      <c r="AH1094" s="2">
        <f t="shared" si="92"/>
        <v>0</v>
      </c>
      <c r="AI1094" s="2">
        <f t="shared" si="93"/>
        <v>0</v>
      </c>
      <c r="AJ1094" s="2"/>
      <c r="AK1094" s="3"/>
      <c r="AL1094" s="2">
        <f>IF(Table2[[#This Row],[GameIsOver]]=0,0,IF(Table2[[#This Row],[ActualWinner]]=Table2[[#This Row],[AwayTeam]], 1, 0))</f>
        <v>0</v>
      </c>
      <c r="AM1094" s="2">
        <f>IF(Table2[[#This Row],[GameIsOver]]=0,0,IF(Table2[[#This Row],[ActualWinner]]=Table2[[#This Row],[HomeTeam]], 1, 0))</f>
        <v>0</v>
      </c>
      <c r="AN10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4" s="2" t="str">
        <f>INDEX(Sheet5!$B$2:$AG$33, MATCH(Table2[[#This Row],[AwayTeam]],Sheet5!$A$2:$A$33, 0), MATCH(Table2[[#This Row],[HomeTeam]],Sheet5!$A$2:$A$33, 0))</f>
        <v>0-0-0</v>
      </c>
      <c r="AP1094" s="2" t="str">
        <f>INDEX(Sheet5!$B$2:$AG$33, MATCH(Table2[[#This Row],[HomeTeam]],Sheet5!$A$2:$A$33, 0), MATCH(Table2[[#This Row],[AwayTeam]],Sheet5!$A$2:$A$33, 0))</f>
        <v>0-0-0</v>
      </c>
      <c r="AQ1094" s="2">
        <f>IF(Table2[[#This Row],[GameHasShutOut]], 1, 0)</f>
        <v>0</v>
      </c>
      <c r="AR1094" s="2">
        <f>IF(Table2[[#This Row],[ActualAwayScore]] + Table2[[#This Row],[ActualHomeScore]] &gt;= 10, 1, 0)</f>
        <v>0</v>
      </c>
      <c r="AS1094" s="2">
        <f>IF(ABS(Table2[[#This Row],[ActualAwayScore]]-Table2[[#This Row],[ActualHomeScore]])&gt;=5, 1, 0)</f>
        <v>0</v>
      </c>
      <c r="AT1094" s="2">
        <f>IF(Table2[[#This Row],[ActualAwayScore]] + Table2[[#This Row],[ActualHomeScore]] &lt;= 3, 1, 0)</f>
        <v>1</v>
      </c>
      <c r="AU1094" s="2"/>
      <c r="AV1094" s="2"/>
    </row>
    <row r="1095" spans="1:48" x14ac:dyDescent="0.25">
      <c r="A1095" s="3"/>
      <c r="B1095" s="3">
        <v>46101</v>
      </c>
      <c r="C1095" s="5">
        <v>2025021093</v>
      </c>
      <c r="D1095" s="2" t="s">
        <v>42</v>
      </c>
      <c r="E1095" s="2" t="s">
        <v>27</v>
      </c>
      <c r="F1095" s="2"/>
      <c r="G1095" s="2"/>
      <c r="H1095" s="2" t="str">
        <f t="shared" si="89"/>
        <v>_</v>
      </c>
      <c r="I1095" s="2"/>
      <c r="J1095" s="2"/>
      <c r="K1095" s="2"/>
      <c r="L1095" s="2" t="str">
        <f t="shared" si="90"/>
        <v>_</v>
      </c>
      <c r="M1095" s="2"/>
      <c r="N1095" s="2">
        <f>IF(ISBLANK(Table2[[#This Row],[ActualResult]]), 0, 1)</f>
        <v>0</v>
      </c>
      <c r="O1095" s="2" t="str">
        <f>IF(ISBLANK(Table2[[#This Row],[ActualResult]]), "_", IF(Table2[[#This Row],[ActualWinner]]=Table2[[#This Row],[PredictedWinner]], "Y", "N"))</f>
        <v>_</v>
      </c>
      <c r="P10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5" s="2"/>
      <c r="S1095" s="2" t="str">
        <f t="shared" si="91"/>
        <v>_</v>
      </c>
      <c r="T10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5" s="2">
        <f>IF(Table2[[#This Row],[InterConf]]=1,IF(Table2[[#This Row],[InterDiv]]=0, 1, 0), 0)</f>
        <v>0</v>
      </c>
      <c r="W10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5" s="2"/>
      <c r="Y1095" s="2"/>
      <c r="Z1095" s="145">
        <f>IF(AND(Table2[[#This Row],[GameIsOver]]=1,Table2[[#This Row],[ActualHomeScore]]*Table2[[#This Row],[ActualAwayScore]]=0), 1,0)</f>
        <v>0</v>
      </c>
      <c r="AA10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5" s="2">
        <f>Table2[[#This Row],[ActualAwayScore]]-Table2[[#This Row],[PredictedAwayScore]]</f>
        <v>0</v>
      </c>
      <c r="AG1095" s="2">
        <f>Table2[[#This Row],[ActualHomeScore]]-Table2[[#This Row],[PredictedHomeScore]]</f>
        <v>0</v>
      </c>
      <c r="AH1095" s="2">
        <f t="shared" si="92"/>
        <v>0</v>
      </c>
      <c r="AI1095" s="2">
        <f t="shared" si="93"/>
        <v>0</v>
      </c>
      <c r="AJ1095" s="2"/>
      <c r="AK1095" s="3"/>
      <c r="AL1095" s="2">
        <f>IF(Table2[[#This Row],[GameIsOver]]=0,0,IF(Table2[[#This Row],[ActualWinner]]=Table2[[#This Row],[AwayTeam]], 1, 0))</f>
        <v>0</v>
      </c>
      <c r="AM1095" s="2">
        <f>IF(Table2[[#This Row],[GameIsOver]]=0,0,IF(Table2[[#This Row],[ActualWinner]]=Table2[[#This Row],[HomeTeam]], 1, 0))</f>
        <v>0</v>
      </c>
      <c r="AN1095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95" s="2" t="str">
        <f>INDEX(Sheet5!$B$2:$AG$33, MATCH(Table2[[#This Row],[AwayTeam]],Sheet5!$A$2:$A$33, 0), MATCH(Table2[[#This Row],[HomeTeam]],Sheet5!$A$2:$A$33, 0))</f>
        <v>0-0-0</v>
      </c>
      <c r="AP1095" s="2" t="str">
        <f>INDEX(Sheet5!$B$2:$AG$33, MATCH(Table2[[#This Row],[HomeTeam]],Sheet5!$A$2:$A$33, 0), MATCH(Table2[[#This Row],[AwayTeam]],Sheet5!$A$2:$A$33, 0))</f>
        <v>0-0-0</v>
      </c>
      <c r="AQ1095" s="2">
        <f>IF(Table2[[#This Row],[GameHasShutOut]], 1, 0)</f>
        <v>0</v>
      </c>
      <c r="AR1095" s="2">
        <f>IF(Table2[[#This Row],[ActualAwayScore]] + Table2[[#This Row],[ActualHomeScore]] &gt;= 10, 1, 0)</f>
        <v>0</v>
      </c>
      <c r="AS1095" s="2">
        <f>IF(ABS(Table2[[#This Row],[ActualAwayScore]]-Table2[[#This Row],[ActualHomeScore]])&gt;=5, 1, 0)</f>
        <v>0</v>
      </c>
      <c r="AT1095" s="2">
        <f>IF(Table2[[#This Row],[ActualAwayScore]] + Table2[[#This Row],[ActualHomeScore]] &lt;= 3, 1, 0)</f>
        <v>1</v>
      </c>
      <c r="AU1095" s="2"/>
      <c r="AV1095" s="2"/>
    </row>
    <row r="1096" spans="1:48" x14ac:dyDescent="0.25">
      <c r="A1096" s="3"/>
      <c r="B1096" s="3">
        <v>46101</v>
      </c>
      <c r="C1096" s="5">
        <v>2025021094</v>
      </c>
      <c r="D1096" s="2" t="s">
        <v>41</v>
      </c>
      <c r="E1096" s="2" t="s">
        <v>17</v>
      </c>
      <c r="F1096" s="2"/>
      <c r="G1096" s="2"/>
      <c r="H1096" s="2" t="str">
        <f t="shared" si="89"/>
        <v>_</v>
      </c>
      <c r="I1096" s="2"/>
      <c r="J1096" s="2"/>
      <c r="K1096" s="2"/>
      <c r="L1096" s="2" t="str">
        <f t="shared" si="90"/>
        <v>_</v>
      </c>
      <c r="M1096" s="2"/>
      <c r="N1096" s="2">
        <f>IF(ISBLANK(Table2[[#This Row],[ActualResult]]), 0, 1)</f>
        <v>0</v>
      </c>
      <c r="O1096" s="2" t="str">
        <f>IF(ISBLANK(Table2[[#This Row],[ActualResult]]), "_", IF(Table2[[#This Row],[ActualWinner]]=Table2[[#This Row],[PredictedWinner]], "Y", "N"))</f>
        <v>_</v>
      </c>
      <c r="P10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6" s="2"/>
      <c r="S1096" s="2" t="str">
        <f t="shared" si="91"/>
        <v>_</v>
      </c>
      <c r="T10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6" s="2">
        <f>IF(Table2[[#This Row],[InterConf]]=1,IF(Table2[[#This Row],[InterDiv]]=0, 1, 0), 0)</f>
        <v>1</v>
      </c>
      <c r="W10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6" s="2"/>
      <c r="Y1096" s="2"/>
      <c r="Z1096" s="145">
        <f>IF(AND(Table2[[#This Row],[GameIsOver]]=1,Table2[[#This Row],[ActualHomeScore]]*Table2[[#This Row],[ActualAwayScore]]=0), 1,0)</f>
        <v>0</v>
      </c>
      <c r="AA10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6" s="2">
        <f>Table2[[#This Row],[ActualAwayScore]]-Table2[[#This Row],[PredictedAwayScore]]</f>
        <v>0</v>
      </c>
      <c r="AG1096" s="2">
        <f>Table2[[#This Row],[ActualHomeScore]]-Table2[[#This Row],[PredictedHomeScore]]</f>
        <v>0</v>
      </c>
      <c r="AH1096" s="2">
        <f t="shared" si="92"/>
        <v>0</v>
      </c>
      <c r="AI1096" s="2">
        <f t="shared" si="93"/>
        <v>0</v>
      </c>
      <c r="AJ1096" s="2"/>
      <c r="AK1096" s="3"/>
      <c r="AL1096" s="2">
        <f>IF(Table2[[#This Row],[GameIsOver]]=0,0,IF(Table2[[#This Row],[ActualWinner]]=Table2[[#This Row],[AwayTeam]], 1, 0))</f>
        <v>0</v>
      </c>
      <c r="AM1096" s="2">
        <f>IF(Table2[[#This Row],[GameIsOver]]=0,0,IF(Table2[[#This Row],[ActualWinner]]=Table2[[#This Row],[HomeTeam]], 1, 0))</f>
        <v>0</v>
      </c>
      <c r="AN10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6" s="2" t="str">
        <f>INDEX(Sheet5!$B$2:$AG$33, MATCH(Table2[[#This Row],[AwayTeam]],Sheet5!$A$2:$A$33, 0), MATCH(Table2[[#This Row],[HomeTeam]],Sheet5!$A$2:$A$33, 0))</f>
        <v>0-0-0</v>
      </c>
      <c r="AP1096" s="2" t="str">
        <f>INDEX(Sheet5!$B$2:$AG$33, MATCH(Table2[[#This Row],[HomeTeam]],Sheet5!$A$2:$A$33, 0), MATCH(Table2[[#This Row],[AwayTeam]],Sheet5!$A$2:$A$33, 0))</f>
        <v>0-0-0</v>
      </c>
      <c r="AQ1096" s="2">
        <f>IF(Table2[[#This Row],[GameHasShutOut]], 1, 0)</f>
        <v>0</v>
      </c>
      <c r="AR1096" s="2">
        <f>IF(Table2[[#This Row],[ActualAwayScore]] + Table2[[#This Row],[ActualHomeScore]] &gt;= 10, 1, 0)</f>
        <v>0</v>
      </c>
      <c r="AS1096" s="2">
        <f>IF(ABS(Table2[[#This Row],[ActualAwayScore]]-Table2[[#This Row],[ActualHomeScore]])&gt;=5, 1, 0)</f>
        <v>0</v>
      </c>
      <c r="AT1096" s="2">
        <f>IF(Table2[[#This Row],[ActualAwayScore]] + Table2[[#This Row],[ActualHomeScore]] &lt;= 3, 1, 0)</f>
        <v>1</v>
      </c>
      <c r="AU1096" s="2"/>
      <c r="AV1096" s="2"/>
    </row>
    <row r="1097" spans="1:48" x14ac:dyDescent="0.25">
      <c r="A1097" s="3"/>
      <c r="B1097" s="3">
        <v>46101</v>
      </c>
      <c r="C1097" s="5">
        <v>2025021095</v>
      </c>
      <c r="D1097" s="2" t="s">
        <v>31</v>
      </c>
      <c r="E1097" s="2" t="s">
        <v>43</v>
      </c>
      <c r="F1097" s="2"/>
      <c r="G1097" s="2"/>
      <c r="H1097" s="2" t="str">
        <f t="shared" si="89"/>
        <v>_</v>
      </c>
      <c r="I1097" s="2"/>
      <c r="J1097" s="2"/>
      <c r="K1097" s="2"/>
      <c r="L1097" s="2" t="str">
        <f t="shared" si="90"/>
        <v>_</v>
      </c>
      <c r="M1097" s="2"/>
      <c r="N1097" s="2">
        <f>IF(ISBLANK(Table2[[#This Row],[ActualResult]]), 0, 1)</f>
        <v>0</v>
      </c>
      <c r="O1097" s="2" t="str">
        <f>IF(ISBLANK(Table2[[#This Row],[ActualResult]]), "_", IF(Table2[[#This Row],[ActualWinner]]=Table2[[#This Row],[PredictedWinner]], "Y", "N"))</f>
        <v>_</v>
      </c>
      <c r="P10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7" s="2"/>
      <c r="S1097" s="2" t="str">
        <f t="shared" si="91"/>
        <v>_</v>
      </c>
      <c r="T10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7" s="2">
        <f>IF(Table2[[#This Row],[InterConf]]=1,IF(Table2[[#This Row],[InterDiv]]=0, 1, 0), 0)</f>
        <v>0</v>
      </c>
      <c r="W10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7" s="2"/>
      <c r="Y1097" s="2"/>
      <c r="Z1097" s="145">
        <f>IF(AND(Table2[[#This Row],[GameIsOver]]=1,Table2[[#This Row],[ActualHomeScore]]*Table2[[#This Row],[ActualAwayScore]]=0), 1,0)</f>
        <v>0</v>
      </c>
      <c r="AA10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7" s="2">
        <f>Table2[[#This Row],[ActualAwayScore]]-Table2[[#This Row],[PredictedAwayScore]]</f>
        <v>0</v>
      </c>
      <c r="AG1097" s="2">
        <f>Table2[[#This Row],[ActualHomeScore]]-Table2[[#This Row],[PredictedHomeScore]]</f>
        <v>0</v>
      </c>
      <c r="AH1097" s="2">
        <f t="shared" si="92"/>
        <v>0</v>
      </c>
      <c r="AI1097" s="2">
        <f t="shared" si="93"/>
        <v>0</v>
      </c>
      <c r="AJ1097" s="2"/>
      <c r="AK1097" s="3"/>
      <c r="AL1097" s="2">
        <f>IF(Table2[[#This Row],[GameIsOver]]=0,0,IF(Table2[[#This Row],[ActualWinner]]=Table2[[#This Row],[AwayTeam]], 1, 0))</f>
        <v>0</v>
      </c>
      <c r="AM1097" s="2">
        <f>IF(Table2[[#This Row],[GameIsOver]]=0,0,IF(Table2[[#This Row],[ActualWinner]]=Table2[[#This Row],[HomeTeam]], 1, 0))</f>
        <v>0</v>
      </c>
      <c r="AN10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7" s="2" t="str">
        <f>INDEX(Sheet5!$B$2:$AG$33, MATCH(Table2[[#This Row],[AwayTeam]],Sheet5!$A$2:$A$33, 0), MATCH(Table2[[#This Row],[HomeTeam]],Sheet5!$A$2:$A$33, 0))</f>
        <v>0-0-0</v>
      </c>
      <c r="AP1097" s="2" t="str">
        <f>INDEX(Sheet5!$B$2:$AG$33, MATCH(Table2[[#This Row],[HomeTeam]],Sheet5!$A$2:$A$33, 0), MATCH(Table2[[#This Row],[AwayTeam]],Sheet5!$A$2:$A$33, 0))</f>
        <v>0-0-0</v>
      </c>
      <c r="AQ1097" s="2">
        <f>IF(Table2[[#This Row],[GameHasShutOut]], 1, 0)</f>
        <v>0</v>
      </c>
      <c r="AR1097" s="2">
        <f>IF(Table2[[#This Row],[ActualAwayScore]] + Table2[[#This Row],[ActualHomeScore]] &gt;= 10, 1, 0)</f>
        <v>0</v>
      </c>
      <c r="AS1097" s="2">
        <f>IF(ABS(Table2[[#This Row],[ActualAwayScore]]-Table2[[#This Row],[ActualHomeScore]])&gt;=5, 1, 0)</f>
        <v>0</v>
      </c>
      <c r="AT1097" s="2">
        <f>IF(Table2[[#This Row],[ActualAwayScore]] + Table2[[#This Row],[ActualHomeScore]] &lt;= 3, 1, 0)</f>
        <v>1</v>
      </c>
      <c r="AU1097" s="2"/>
      <c r="AV1097" s="2"/>
    </row>
    <row r="1098" spans="1:48" x14ac:dyDescent="0.25">
      <c r="A1098" s="3"/>
      <c r="B1098" s="3">
        <v>46102</v>
      </c>
      <c r="C1098" s="5">
        <v>2025021096</v>
      </c>
      <c r="D1098" s="2" t="s">
        <v>25</v>
      </c>
      <c r="E1098" s="2" t="s">
        <v>16</v>
      </c>
      <c r="F1098" s="2"/>
      <c r="G1098" s="2"/>
      <c r="H1098" s="2" t="str">
        <f t="shared" si="89"/>
        <v>_</v>
      </c>
      <c r="I1098" s="2"/>
      <c r="J1098" s="2"/>
      <c r="K1098" s="2"/>
      <c r="L1098" s="2" t="str">
        <f t="shared" si="90"/>
        <v>_</v>
      </c>
      <c r="M1098" s="2"/>
      <c r="N1098" s="2">
        <f>IF(ISBLANK(Table2[[#This Row],[ActualResult]]), 0, 1)</f>
        <v>0</v>
      </c>
      <c r="O1098" s="2" t="str">
        <f>IF(ISBLANK(Table2[[#This Row],[ActualResult]]), "_", IF(Table2[[#This Row],[ActualWinner]]=Table2[[#This Row],[PredictedWinner]], "Y", "N"))</f>
        <v>_</v>
      </c>
      <c r="P10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8" s="2"/>
      <c r="S1098" s="2" t="str">
        <f t="shared" si="91"/>
        <v>_</v>
      </c>
      <c r="T10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8" s="2">
        <f>IF(Table2[[#This Row],[InterConf]]=1,IF(Table2[[#This Row],[InterDiv]]=0, 1, 0), 0)</f>
        <v>0</v>
      </c>
      <c r="W10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8" s="2"/>
      <c r="Y1098" s="2"/>
      <c r="Z1098" s="145">
        <f>IF(AND(Table2[[#This Row],[GameIsOver]]=1,Table2[[#This Row],[ActualHomeScore]]*Table2[[#This Row],[ActualAwayScore]]=0), 1,0)</f>
        <v>0</v>
      </c>
      <c r="AA10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98" s="2">
        <f>Table2[[#This Row],[ActualAwayScore]]-Table2[[#This Row],[PredictedAwayScore]]</f>
        <v>0</v>
      </c>
      <c r="AG1098" s="2">
        <f>Table2[[#This Row],[ActualHomeScore]]-Table2[[#This Row],[PredictedHomeScore]]</f>
        <v>0</v>
      </c>
      <c r="AH1098" s="2">
        <f t="shared" si="92"/>
        <v>0</v>
      </c>
      <c r="AI1098" s="2">
        <f t="shared" si="93"/>
        <v>0</v>
      </c>
      <c r="AJ1098" s="2"/>
      <c r="AK1098" s="3"/>
      <c r="AL1098" s="2">
        <f>IF(Table2[[#This Row],[GameIsOver]]=0,0,IF(Table2[[#This Row],[ActualWinner]]=Table2[[#This Row],[AwayTeam]], 1, 0))</f>
        <v>0</v>
      </c>
      <c r="AM1098" s="2">
        <f>IF(Table2[[#This Row],[GameIsOver]]=0,0,IF(Table2[[#This Row],[ActualWinner]]=Table2[[#This Row],[HomeTeam]], 1, 0))</f>
        <v>0</v>
      </c>
      <c r="AN10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8" s="2" t="str">
        <f>INDEX(Sheet5!$B$2:$AG$33, MATCH(Table2[[#This Row],[AwayTeam]],Sheet5!$A$2:$A$33, 0), MATCH(Table2[[#This Row],[HomeTeam]],Sheet5!$A$2:$A$33, 0))</f>
        <v>0-0-0</v>
      </c>
      <c r="AP1098" s="2" t="str">
        <f>INDEX(Sheet5!$B$2:$AG$33, MATCH(Table2[[#This Row],[HomeTeam]],Sheet5!$A$2:$A$33, 0), MATCH(Table2[[#This Row],[AwayTeam]],Sheet5!$A$2:$A$33, 0))</f>
        <v>0-0-0</v>
      </c>
      <c r="AQ1098" s="2">
        <f>IF(Table2[[#This Row],[GameHasShutOut]], 1, 0)</f>
        <v>0</v>
      </c>
      <c r="AR1098" s="2">
        <f>IF(Table2[[#This Row],[ActualAwayScore]] + Table2[[#This Row],[ActualHomeScore]] &gt;= 10, 1, 0)</f>
        <v>0</v>
      </c>
      <c r="AS1098" s="2">
        <f>IF(ABS(Table2[[#This Row],[ActualAwayScore]]-Table2[[#This Row],[ActualHomeScore]])&gt;=5, 1, 0)</f>
        <v>0</v>
      </c>
      <c r="AT1098" s="2">
        <f>IF(Table2[[#This Row],[ActualAwayScore]] + Table2[[#This Row],[ActualHomeScore]] &lt;= 3, 1, 0)</f>
        <v>1</v>
      </c>
      <c r="AU1098" s="2"/>
      <c r="AV1098" s="2"/>
    </row>
    <row r="1099" spans="1:48" x14ac:dyDescent="0.25">
      <c r="A1099" s="3"/>
      <c r="B1099" s="3">
        <v>46102</v>
      </c>
      <c r="C1099" s="5">
        <v>2025021097</v>
      </c>
      <c r="D1099" s="2" t="s">
        <v>13</v>
      </c>
      <c r="E1099" s="2" t="s">
        <v>23</v>
      </c>
      <c r="F1099" s="2"/>
      <c r="G1099" s="2"/>
      <c r="H1099" s="2" t="str">
        <f t="shared" si="89"/>
        <v>_</v>
      </c>
      <c r="I1099" s="2"/>
      <c r="J1099" s="2"/>
      <c r="K1099" s="2"/>
      <c r="L1099" s="2" t="str">
        <f t="shared" si="90"/>
        <v>_</v>
      </c>
      <c r="M1099" s="2"/>
      <c r="N1099" s="2">
        <f>IF(ISBLANK(Table2[[#This Row],[ActualResult]]), 0, 1)</f>
        <v>0</v>
      </c>
      <c r="O1099" s="2" t="str">
        <f>IF(ISBLANK(Table2[[#This Row],[ActualResult]]), "_", IF(Table2[[#This Row],[ActualWinner]]=Table2[[#This Row],[PredictedWinner]], "Y", "N"))</f>
        <v>_</v>
      </c>
      <c r="P10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9" s="2"/>
      <c r="S1099" s="2" t="str">
        <f t="shared" si="91"/>
        <v>_</v>
      </c>
      <c r="T10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9" s="2">
        <f>IF(Table2[[#This Row],[InterConf]]=1,IF(Table2[[#This Row],[InterDiv]]=0, 1, 0), 0)</f>
        <v>0</v>
      </c>
      <c r="W10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9" s="2"/>
      <c r="Y1099" s="2"/>
      <c r="Z1099" s="145">
        <f>IF(AND(Table2[[#This Row],[GameIsOver]]=1,Table2[[#This Row],[ActualHomeScore]]*Table2[[#This Row],[ActualAwayScore]]=0), 1,0)</f>
        <v>0</v>
      </c>
      <c r="AA10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99" s="2">
        <f>Table2[[#This Row],[ActualAwayScore]]-Table2[[#This Row],[PredictedAwayScore]]</f>
        <v>0</v>
      </c>
      <c r="AG1099" s="2">
        <f>Table2[[#This Row],[ActualHomeScore]]-Table2[[#This Row],[PredictedHomeScore]]</f>
        <v>0</v>
      </c>
      <c r="AH1099" s="2">
        <f t="shared" si="92"/>
        <v>0</v>
      </c>
      <c r="AI1099" s="2">
        <f t="shared" si="93"/>
        <v>0</v>
      </c>
      <c r="AJ1099" s="2"/>
      <c r="AK1099" s="3"/>
      <c r="AL1099" s="2">
        <f>IF(Table2[[#This Row],[GameIsOver]]=0,0,IF(Table2[[#This Row],[ActualWinner]]=Table2[[#This Row],[AwayTeam]], 1, 0))</f>
        <v>0</v>
      </c>
      <c r="AM1099" s="2">
        <f>IF(Table2[[#This Row],[GameIsOver]]=0,0,IF(Table2[[#This Row],[ActualWinner]]=Table2[[#This Row],[HomeTeam]], 1, 0))</f>
        <v>0</v>
      </c>
      <c r="AN10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9" s="2" t="str">
        <f>INDEX(Sheet5!$B$2:$AG$33, MATCH(Table2[[#This Row],[AwayTeam]],Sheet5!$A$2:$A$33, 0), MATCH(Table2[[#This Row],[HomeTeam]],Sheet5!$A$2:$A$33, 0))</f>
        <v>0-0-0</v>
      </c>
      <c r="AP1099" s="2" t="str">
        <f>INDEX(Sheet5!$B$2:$AG$33, MATCH(Table2[[#This Row],[HomeTeam]],Sheet5!$A$2:$A$33, 0), MATCH(Table2[[#This Row],[AwayTeam]],Sheet5!$A$2:$A$33, 0))</f>
        <v>0-0-0</v>
      </c>
      <c r="AQ1099" s="2">
        <f>IF(Table2[[#This Row],[GameHasShutOut]], 1, 0)</f>
        <v>0</v>
      </c>
      <c r="AR1099" s="2">
        <f>IF(Table2[[#This Row],[ActualAwayScore]] + Table2[[#This Row],[ActualHomeScore]] &gt;= 10, 1, 0)</f>
        <v>0</v>
      </c>
      <c r="AS1099" s="2">
        <f>IF(ABS(Table2[[#This Row],[ActualAwayScore]]-Table2[[#This Row],[ActualHomeScore]])&gt;=5, 1, 0)</f>
        <v>0</v>
      </c>
      <c r="AT1099" s="2">
        <f>IF(Table2[[#This Row],[ActualAwayScore]] + Table2[[#This Row],[ActualHomeScore]] &lt;= 3, 1, 0)</f>
        <v>1</v>
      </c>
      <c r="AU1099" s="2"/>
      <c r="AV1099" s="2"/>
    </row>
    <row r="1100" spans="1:48" x14ac:dyDescent="0.25">
      <c r="A1100" s="3"/>
      <c r="B1100" s="3">
        <v>46102</v>
      </c>
      <c r="C1100" s="5">
        <v>2025021098</v>
      </c>
      <c r="D1100" s="2" t="s">
        <v>44</v>
      </c>
      <c r="E1100" s="2" t="s">
        <v>14</v>
      </c>
      <c r="F1100" s="2"/>
      <c r="G1100" s="2"/>
      <c r="H1100" s="2" t="str">
        <f t="shared" si="89"/>
        <v>_</v>
      </c>
      <c r="I1100" s="2"/>
      <c r="J1100" s="2"/>
      <c r="K1100" s="2"/>
      <c r="L1100" s="2" t="str">
        <f t="shared" si="90"/>
        <v>_</v>
      </c>
      <c r="M1100" s="2"/>
      <c r="N1100" s="2">
        <f>IF(ISBLANK(Table2[[#This Row],[ActualResult]]), 0, 1)</f>
        <v>0</v>
      </c>
      <c r="O1100" s="2" t="str">
        <f>IF(ISBLANK(Table2[[#This Row],[ActualResult]]), "_", IF(Table2[[#This Row],[ActualWinner]]=Table2[[#This Row],[PredictedWinner]], "Y", "N"))</f>
        <v>_</v>
      </c>
      <c r="P11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0" s="2"/>
      <c r="S1100" s="2" t="str">
        <f t="shared" si="91"/>
        <v>_</v>
      </c>
      <c r="T11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0" s="2">
        <f>IF(Table2[[#This Row],[InterConf]]=1,IF(Table2[[#This Row],[InterDiv]]=0, 1, 0), 0)</f>
        <v>1</v>
      </c>
      <c r="W11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0" s="2"/>
      <c r="Y1100" s="2"/>
      <c r="Z1100" s="145">
        <f>IF(AND(Table2[[#This Row],[GameIsOver]]=1,Table2[[#This Row],[ActualHomeScore]]*Table2[[#This Row],[ActualAwayScore]]=0), 1,0)</f>
        <v>0</v>
      </c>
      <c r="AA11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0" s="2">
        <f>Table2[[#This Row],[ActualAwayScore]]-Table2[[#This Row],[PredictedAwayScore]]</f>
        <v>0</v>
      </c>
      <c r="AG1100" s="2">
        <f>Table2[[#This Row],[ActualHomeScore]]-Table2[[#This Row],[PredictedHomeScore]]</f>
        <v>0</v>
      </c>
      <c r="AH1100" s="2">
        <f t="shared" si="92"/>
        <v>0</v>
      </c>
      <c r="AI1100" s="2">
        <f t="shared" si="93"/>
        <v>0</v>
      </c>
      <c r="AJ1100" s="2"/>
      <c r="AK1100" s="3"/>
      <c r="AL1100" s="2">
        <f>IF(Table2[[#This Row],[GameIsOver]]=0,0,IF(Table2[[#This Row],[ActualWinner]]=Table2[[#This Row],[AwayTeam]], 1, 0))</f>
        <v>0</v>
      </c>
      <c r="AM1100" s="2">
        <f>IF(Table2[[#This Row],[GameIsOver]]=0,0,IF(Table2[[#This Row],[ActualWinner]]=Table2[[#This Row],[HomeTeam]], 1, 0))</f>
        <v>0</v>
      </c>
      <c r="AN11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0" s="2" t="str">
        <f>INDEX(Sheet5!$B$2:$AG$33, MATCH(Table2[[#This Row],[AwayTeam]],Sheet5!$A$2:$A$33, 0), MATCH(Table2[[#This Row],[HomeTeam]],Sheet5!$A$2:$A$33, 0))</f>
        <v>0-0-0</v>
      </c>
      <c r="AP1100" s="2" t="str">
        <f>INDEX(Sheet5!$B$2:$AG$33, MATCH(Table2[[#This Row],[HomeTeam]],Sheet5!$A$2:$A$33, 0), MATCH(Table2[[#This Row],[AwayTeam]],Sheet5!$A$2:$A$33, 0))</f>
        <v>0-0-0</v>
      </c>
      <c r="AQ1100" s="2">
        <f>IF(Table2[[#This Row],[GameHasShutOut]], 1, 0)</f>
        <v>0</v>
      </c>
      <c r="AR1100" s="2">
        <f>IF(Table2[[#This Row],[ActualAwayScore]] + Table2[[#This Row],[ActualHomeScore]] &gt;= 10, 1, 0)</f>
        <v>0</v>
      </c>
      <c r="AS1100" s="2">
        <f>IF(ABS(Table2[[#This Row],[ActualAwayScore]]-Table2[[#This Row],[ActualHomeScore]])&gt;=5, 1, 0)</f>
        <v>0</v>
      </c>
      <c r="AT1100" s="2">
        <f>IF(Table2[[#This Row],[ActualAwayScore]] + Table2[[#This Row],[ActualHomeScore]] &lt;= 3, 1, 0)</f>
        <v>1</v>
      </c>
      <c r="AU1100" s="2"/>
      <c r="AV1100" s="2"/>
    </row>
    <row r="1101" spans="1:48" x14ac:dyDescent="0.25">
      <c r="A1101" s="3"/>
      <c r="B1101" s="3">
        <v>46102</v>
      </c>
      <c r="C1101" s="5">
        <v>2025021099</v>
      </c>
      <c r="D1101" s="2" t="s">
        <v>21</v>
      </c>
      <c r="E1101" s="2" t="s">
        <v>20</v>
      </c>
      <c r="F1101" s="2"/>
      <c r="G1101" s="2"/>
      <c r="H1101" s="2" t="str">
        <f t="shared" si="89"/>
        <v>_</v>
      </c>
      <c r="I1101" s="2"/>
      <c r="J1101" s="2"/>
      <c r="K1101" s="2"/>
      <c r="L1101" s="2" t="str">
        <f t="shared" si="90"/>
        <v>_</v>
      </c>
      <c r="M1101" s="2"/>
      <c r="N1101" s="2">
        <f>IF(ISBLANK(Table2[[#This Row],[ActualResult]]), 0, 1)</f>
        <v>0</v>
      </c>
      <c r="O1101" s="2" t="str">
        <f>IF(ISBLANK(Table2[[#This Row],[ActualResult]]), "_", IF(Table2[[#This Row],[ActualWinner]]=Table2[[#This Row],[PredictedWinner]], "Y", "N"))</f>
        <v>_</v>
      </c>
      <c r="P11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1" s="2"/>
      <c r="S1101" s="2" t="str">
        <f t="shared" si="91"/>
        <v>_</v>
      </c>
      <c r="T11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1" s="2">
        <f>IF(Table2[[#This Row],[InterConf]]=1,IF(Table2[[#This Row],[InterDiv]]=0, 1, 0), 0)</f>
        <v>0</v>
      </c>
      <c r="W11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1" s="2"/>
      <c r="Y1101" s="2"/>
      <c r="Z1101" s="145">
        <f>IF(AND(Table2[[#This Row],[GameIsOver]]=1,Table2[[#This Row],[ActualHomeScore]]*Table2[[#This Row],[ActualAwayScore]]=0), 1,0)</f>
        <v>0</v>
      </c>
      <c r="AA11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1" s="2">
        <f>Table2[[#This Row],[ActualAwayScore]]-Table2[[#This Row],[PredictedAwayScore]]</f>
        <v>0</v>
      </c>
      <c r="AG1101" s="2">
        <f>Table2[[#This Row],[ActualHomeScore]]-Table2[[#This Row],[PredictedHomeScore]]</f>
        <v>0</v>
      </c>
      <c r="AH1101" s="2">
        <f t="shared" si="92"/>
        <v>0</v>
      </c>
      <c r="AI1101" s="2">
        <f t="shared" si="93"/>
        <v>0</v>
      </c>
      <c r="AJ1101" s="2"/>
      <c r="AK1101" s="3"/>
      <c r="AL1101" s="2">
        <f>IF(Table2[[#This Row],[GameIsOver]]=0,0,IF(Table2[[#This Row],[ActualWinner]]=Table2[[#This Row],[AwayTeam]], 1, 0))</f>
        <v>0</v>
      </c>
      <c r="AM1101" s="2">
        <f>IF(Table2[[#This Row],[GameIsOver]]=0,0,IF(Table2[[#This Row],[ActualWinner]]=Table2[[#This Row],[HomeTeam]], 1, 0))</f>
        <v>0</v>
      </c>
      <c r="AN11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1" s="2" t="str">
        <f>INDEX(Sheet5!$B$2:$AG$33, MATCH(Table2[[#This Row],[AwayTeam]],Sheet5!$A$2:$A$33, 0), MATCH(Table2[[#This Row],[HomeTeam]],Sheet5!$A$2:$A$33, 0))</f>
        <v>0-0-0</v>
      </c>
      <c r="AP1101" s="2" t="str">
        <f>INDEX(Sheet5!$B$2:$AG$33, MATCH(Table2[[#This Row],[HomeTeam]],Sheet5!$A$2:$A$33, 0), MATCH(Table2[[#This Row],[AwayTeam]],Sheet5!$A$2:$A$33, 0))</f>
        <v>0-0-0</v>
      </c>
      <c r="AQ1101" s="2">
        <f>IF(Table2[[#This Row],[GameHasShutOut]], 1, 0)</f>
        <v>0</v>
      </c>
      <c r="AR1101" s="2">
        <f>IF(Table2[[#This Row],[ActualAwayScore]] + Table2[[#This Row],[ActualHomeScore]] &gt;= 10, 1, 0)</f>
        <v>0</v>
      </c>
      <c r="AS1101" s="2">
        <f>IF(ABS(Table2[[#This Row],[ActualAwayScore]]-Table2[[#This Row],[ActualHomeScore]])&gt;=5, 1, 0)</f>
        <v>0</v>
      </c>
      <c r="AT1101" s="2">
        <f>IF(Table2[[#This Row],[ActualAwayScore]] + Table2[[#This Row],[ActualHomeScore]] &lt;= 3, 1, 0)</f>
        <v>1</v>
      </c>
      <c r="AU1101" s="2"/>
      <c r="AV1101" s="2"/>
    </row>
    <row r="1102" spans="1:48" x14ac:dyDescent="0.25">
      <c r="A1102" s="3"/>
      <c r="B1102" s="3">
        <v>46102</v>
      </c>
      <c r="C1102" s="5">
        <v>2025021100</v>
      </c>
      <c r="D1102" s="2" t="s">
        <v>26</v>
      </c>
      <c r="E1102" s="2" t="s">
        <v>34</v>
      </c>
      <c r="F1102" s="2"/>
      <c r="G1102" s="2"/>
      <c r="H1102" s="2" t="str">
        <f t="shared" si="89"/>
        <v>_</v>
      </c>
      <c r="I1102" s="2"/>
      <c r="J1102" s="2"/>
      <c r="K1102" s="2"/>
      <c r="L1102" s="2" t="str">
        <f t="shared" si="90"/>
        <v>_</v>
      </c>
      <c r="M1102" s="2"/>
      <c r="N1102" s="2">
        <f>IF(ISBLANK(Table2[[#This Row],[ActualResult]]), 0, 1)</f>
        <v>0</v>
      </c>
      <c r="O1102" s="2" t="str">
        <f>IF(ISBLANK(Table2[[#This Row],[ActualResult]]), "_", IF(Table2[[#This Row],[ActualWinner]]=Table2[[#This Row],[PredictedWinner]], "Y", "N"))</f>
        <v>_</v>
      </c>
      <c r="P11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2" s="2"/>
      <c r="S1102" s="2" t="str">
        <f t="shared" si="91"/>
        <v>_</v>
      </c>
      <c r="T11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2" s="2">
        <f>IF(Table2[[#This Row],[InterConf]]=1,IF(Table2[[#This Row],[InterDiv]]=0, 1, 0), 0)</f>
        <v>1</v>
      </c>
      <c r="W11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2" s="2"/>
      <c r="Y1102" s="2"/>
      <c r="Z1102" s="145">
        <f>IF(AND(Table2[[#This Row],[GameIsOver]]=1,Table2[[#This Row],[ActualHomeScore]]*Table2[[#This Row],[ActualAwayScore]]=0), 1,0)</f>
        <v>0</v>
      </c>
      <c r="AA11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2" s="2">
        <f>Table2[[#This Row],[ActualAwayScore]]-Table2[[#This Row],[PredictedAwayScore]]</f>
        <v>0</v>
      </c>
      <c r="AG1102" s="2">
        <f>Table2[[#This Row],[ActualHomeScore]]-Table2[[#This Row],[PredictedHomeScore]]</f>
        <v>0</v>
      </c>
      <c r="AH1102" s="2">
        <f t="shared" si="92"/>
        <v>0</v>
      </c>
      <c r="AI1102" s="2">
        <f t="shared" si="93"/>
        <v>0</v>
      </c>
      <c r="AJ1102" s="2"/>
      <c r="AK1102" s="3"/>
      <c r="AL1102" s="2">
        <f>IF(Table2[[#This Row],[GameIsOver]]=0,0,IF(Table2[[#This Row],[ActualWinner]]=Table2[[#This Row],[AwayTeam]], 1, 0))</f>
        <v>0</v>
      </c>
      <c r="AM1102" s="2">
        <f>IF(Table2[[#This Row],[GameIsOver]]=0,0,IF(Table2[[#This Row],[ActualWinner]]=Table2[[#This Row],[HomeTeam]], 1, 0))</f>
        <v>0</v>
      </c>
      <c r="AN11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2" s="2" t="str">
        <f>INDEX(Sheet5!$B$2:$AG$33, MATCH(Table2[[#This Row],[AwayTeam]],Sheet5!$A$2:$A$33, 0), MATCH(Table2[[#This Row],[HomeTeam]],Sheet5!$A$2:$A$33, 0))</f>
        <v>0-0-0</v>
      </c>
      <c r="AP1102" s="2" t="str">
        <f>INDEX(Sheet5!$B$2:$AG$33, MATCH(Table2[[#This Row],[HomeTeam]],Sheet5!$A$2:$A$33, 0), MATCH(Table2[[#This Row],[AwayTeam]],Sheet5!$A$2:$A$33, 0))</f>
        <v>0-0-0</v>
      </c>
      <c r="AQ1102" s="2">
        <f>IF(Table2[[#This Row],[GameHasShutOut]], 1, 0)</f>
        <v>0</v>
      </c>
      <c r="AR1102" s="2">
        <f>IF(Table2[[#This Row],[ActualAwayScore]] + Table2[[#This Row],[ActualHomeScore]] &gt;= 10, 1, 0)</f>
        <v>0</v>
      </c>
      <c r="AS1102" s="2">
        <f>IF(ABS(Table2[[#This Row],[ActualAwayScore]]-Table2[[#This Row],[ActualHomeScore]])&gt;=5, 1, 0)</f>
        <v>0</v>
      </c>
      <c r="AT1102" s="2">
        <f>IF(Table2[[#This Row],[ActualAwayScore]] + Table2[[#This Row],[ActualHomeScore]] &lt;= 3, 1, 0)</f>
        <v>1</v>
      </c>
      <c r="AU1102" s="2"/>
      <c r="AV1102" s="2"/>
    </row>
    <row r="1103" spans="1:48" x14ac:dyDescent="0.25">
      <c r="A1103" s="3"/>
      <c r="B1103" s="3">
        <v>46102</v>
      </c>
      <c r="C1103" s="5">
        <v>2025021101</v>
      </c>
      <c r="D1103" s="2" t="s">
        <v>33</v>
      </c>
      <c r="E1103" s="2" t="s">
        <v>36</v>
      </c>
      <c r="F1103" s="2"/>
      <c r="G1103" s="2"/>
      <c r="H1103" s="2" t="str">
        <f t="shared" si="89"/>
        <v>_</v>
      </c>
      <c r="I1103" s="2"/>
      <c r="J1103" s="2"/>
      <c r="K1103" s="2"/>
      <c r="L1103" s="2" t="str">
        <f t="shared" si="90"/>
        <v>_</v>
      </c>
      <c r="M1103" s="2"/>
      <c r="N1103" s="2">
        <f>IF(ISBLANK(Table2[[#This Row],[ActualResult]]), 0, 1)</f>
        <v>0</v>
      </c>
      <c r="O1103" s="2" t="str">
        <f>IF(ISBLANK(Table2[[#This Row],[ActualResult]]), "_", IF(Table2[[#This Row],[ActualWinner]]=Table2[[#This Row],[PredictedWinner]], "Y", "N"))</f>
        <v>_</v>
      </c>
      <c r="P11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3" s="2"/>
      <c r="S1103" s="2" t="str">
        <f t="shared" si="91"/>
        <v>_</v>
      </c>
      <c r="T11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03" s="2">
        <f>IF(Table2[[#This Row],[InterConf]]=1,IF(Table2[[#This Row],[InterDiv]]=0, 1, 0), 0)</f>
        <v>0</v>
      </c>
      <c r="W11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3" s="2"/>
      <c r="Y1103" s="2"/>
      <c r="Z1103" s="145">
        <f>IF(AND(Table2[[#This Row],[GameIsOver]]=1,Table2[[#This Row],[ActualHomeScore]]*Table2[[#This Row],[ActualAwayScore]]=0), 1,0)</f>
        <v>0</v>
      </c>
      <c r="AA11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3" s="2">
        <f>Table2[[#This Row],[ActualAwayScore]]-Table2[[#This Row],[PredictedAwayScore]]</f>
        <v>0</v>
      </c>
      <c r="AG1103" s="2">
        <f>Table2[[#This Row],[ActualHomeScore]]-Table2[[#This Row],[PredictedHomeScore]]</f>
        <v>0</v>
      </c>
      <c r="AH1103" s="2">
        <f t="shared" si="92"/>
        <v>0</v>
      </c>
      <c r="AI1103" s="2">
        <f t="shared" si="93"/>
        <v>0</v>
      </c>
      <c r="AJ1103" s="2"/>
      <c r="AK1103" s="3"/>
      <c r="AL1103" s="2">
        <f>IF(Table2[[#This Row],[GameIsOver]]=0,0,IF(Table2[[#This Row],[ActualWinner]]=Table2[[#This Row],[AwayTeam]], 1, 0))</f>
        <v>0</v>
      </c>
      <c r="AM1103" s="2">
        <f>IF(Table2[[#This Row],[GameIsOver]]=0,0,IF(Table2[[#This Row],[ActualWinner]]=Table2[[#This Row],[HomeTeam]], 1, 0))</f>
        <v>0</v>
      </c>
      <c r="AN11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3" s="2" t="str">
        <f>INDEX(Sheet5!$B$2:$AG$33, MATCH(Table2[[#This Row],[AwayTeam]],Sheet5!$A$2:$A$33, 0), MATCH(Table2[[#This Row],[HomeTeam]],Sheet5!$A$2:$A$33, 0))</f>
        <v>1-0-0</v>
      </c>
      <c r="AP1103" s="2" t="str">
        <f>INDEX(Sheet5!$B$2:$AG$33, MATCH(Table2[[#This Row],[HomeTeam]],Sheet5!$A$2:$A$33, 0), MATCH(Table2[[#This Row],[AwayTeam]],Sheet5!$A$2:$A$33, 0))</f>
        <v>0-1-0</v>
      </c>
      <c r="AQ1103" s="2">
        <f>IF(Table2[[#This Row],[GameHasShutOut]], 1, 0)</f>
        <v>0</v>
      </c>
      <c r="AR1103" s="2">
        <f>IF(Table2[[#This Row],[ActualAwayScore]] + Table2[[#This Row],[ActualHomeScore]] &gt;= 10, 1, 0)</f>
        <v>0</v>
      </c>
      <c r="AS1103" s="2">
        <f>IF(ABS(Table2[[#This Row],[ActualAwayScore]]-Table2[[#This Row],[ActualHomeScore]])&gt;=5, 1, 0)</f>
        <v>0</v>
      </c>
      <c r="AT1103" s="2">
        <f>IF(Table2[[#This Row],[ActualAwayScore]] + Table2[[#This Row],[ActualHomeScore]] &lt;= 3, 1, 0)</f>
        <v>1</v>
      </c>
      <c r="AU1103" s="2"/>
      <c r="AV1103" s="2"/>
    </row>
    <row r="1104" spans="1:48" x14ac:dyDescent="0.25">
      <c r="A1104" s="3"/>
      <c r="B1104" s="3">
        <v>46102</v>
      </c>
      <c r="C1104" s="5">
        <v>2025021102</v>
      </c>
      <c r="D1104" s="2" t="s">
        <v>28</v>
      </c>
      <c r="E1104" s="2" t="s">
        <v>27</v>
      </c>
      <c r="F1104" s="2"/>
      <c r="G1104" s="2"/>
      <c r="H1104" s="2" t="str">
        <f t="shared" si="89"/>
        <v>_</v>
      </c>
      <c r="I1104" s="2"/>
      <c r="J1104" s="2"/>
      <c r="K1104" s="2"/>
      <c r="L1104" s="2" t="str">
        <f t="shared" si="90"/>
        <v>_</v>
      </c>
      <c r="M1104" s="2"/>
      <c r="N1104" s="2">
        <f>IF(ISBLANK(Table2[[#This Row],[ActualResult]]), 0, 1)</f>
        <v>0</v>
      </c>
      <c r="O1104" s="2" t="str">
        <f>IF(ISBLANK(Table2[[#This Row],[ActualResult]]), "_", IF(Table2[[#This Row],[ActualWinner]]=Table2[[#This Row],[PredictedWinner]], "Y", "N"))</f>
        <v>_</v>
      </c>
      <c r="P11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4" s="2"/>
      <c r="S1104" s="2" t="str">
        <f t="shared" si="91"/>
        <v>_</v>
      </c>
      <c r="T11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4" s="2">
        <f>IF(Table2[[#This Row],[InterConf]]=1,IF(Table2[[#This Row],[InterDiv]]=0, 1, 0), 0)</f>
        <v>0</v>
      </c>
      <c r="W11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4" s="2"/>
      <c r="Y1104" s="2"/>
      <c r="Z1104" s="145">
        <f>IF(AND(Table2[[#This Row],[GameIsOver]]=1,Table2[[#This Row],[ActualHomeScore]]*Table2[[#This Row],[ActualAwayScore]]=0), 1,0)</f>
        <v>0</v>
      </c>
      <c r="AA11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4" s="2">
        <f>Table2[[#This Row],[ActualAwayScore]]-Table2[[#This Row],[PredictedAwayScore]]</f>
        <v>0</v>
      </c>
      <c r="AG1104" s="2">
        <f>Table2[[#This Row],[ActualHomeScore]]-Table2[[#This Row],[PredictedHomeScore]]</f>
        <v>0</v>
      </c>
      <c r="AH1104" s="2">
        <f t="shared" si="92"/>
        <v>0</v>
      </c>
      <c r="AI1104" s="2">
        <f t="shared" si="93"/>
        <v>0</v>
      </c>
      <c r="AJ1104" s="2"/>
      <c r="AK1104" s="3"/>
      <c r="AL1104" s="2">
        <f>IF(Table2[[#This Row],[GameIsOver]]=0,0,IF(Table2[[#This Row],[ActualWinner]]=Table2[[#This Row],[AwayTeam]], 1, 0))</f>
        <v>0</v>
      </c>
      <c r="AM1104" s="2">
        <f>IF(Table2[[#This Row],[GameIsOver]]=0,0,IF(Table2[[#This Row],[ActualWinner]]=Table2[[#This Row],[HomeTeam]], 1, 0))</f>
        <v>0</v>
      </c>
      <c r="AN1104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04" s="2" t="str">
        <f>INDEX(Sheet5!$B$2:$AG$33, MATCH(Table2[[#This Row],[AwayTeam]],Sheet5!$A$2:$A$33, 0), MATCH(Table2[[#This Row],[HomeTeam]],Sheet5!$A$2:$A$33, 0))</f>
        <v>0-0-0</v>
      </c>
      <c r="AP1104" s="2" t="str">
        <f>INDEX(Sheet5!$B$2:$AG$33, MATCH(Table2[[#This Row],[HomeTeam]],Sheet5!$A$2:$A$33, 0), MATCH(Table2[[#This Row],[AwayTeam]],Sheet5!$A$2:$A$33, 0))</f>
        <v>0-0-0</v>
      </c>
      <c r="AQ1104" s="2">
        <f>IF(Table2[[#This Row],[GameHasShutOut]], 1, 0)</f>
        <v>0</v>
      </c>
      <c r="AR1104" s="2">
        <f>IF(Table2[[#This Row],[ActualAwayScore]] + Table2[[#This Row],[ActualHomeScore]] &gt;= 10, 1, 0)</f>
        <v>0</v>
      </c>
      <c r="AS1104" s="2">
        <f>IF(ABS(Table2[[#This Row],[ActualAwayScore]]-Table2[[#This Row],[ActualHomeScore]])&gt;=5, 1, 0)</f>
        <v>0</v>
      </c>
      <c r="AT1104" s="2">
        <f>IF(Table2[[#This Row],[ActualAwayScore]] + Table2[[#This Row],[ActualHomeScore]] &lt;= 3, 1, 0)</f>
        <v>1</v>
      </c>
      <c r="AU1104" s="2"/>
      <c r="AV1104" s="2"/>
    </row>
    <row r="1105" spans="1:48" x14ac:dyDescent="0.25">
      <c r="A1105" s="3"/>
      <c r="B1105" s="3">
        <v>46102</v>
      </c>
      <c r="C1105" s="5">
        <v>2025021103</v>
      </c>
      <c r="D1105" s="2" t="s">
        <v>42</v>
      </c>
      <c r="E1105" s="2" t="s">
        <v>37</v>
      </c>
      <c r="F1105" s="2"/>
      <c r="G1105" s="2"/>
      <c r="H1105" s="2" t="str">
        <f t="shared" si="89"/>
        <v>_</v>
      </c>
      <c r="I1105" s="2"/>
      <c r="J1105" s="2"/>
      <c r="K1105" s="2"/>
      <c r="L1105" s="2" t="str">
        <f t="shared" si="90"/>
        <v>_</v>
      </c>
      <c r="M1105" s="2"/>
      <c r="N1105" s="2">
        <f>IF(ISBLANK(Table2[[#This Row],[ActualResult]]), 0, 1)</f>
        <v>0</v>
      </c>
      <c r="O1105" s="2" t="str">
        <f>IF(ISBLANK(Table2[[#This Row],[ActualResult]]), "_", IF(Table2[[#This Row],[ActualWinner]]=Table2[[#This Row],[PredictedWinner]], "Y", "N"))</f>
        <v>_</v>
      </c>
      <c r="P11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5" s="2"/>
      <c r="S1105" s="2" t="str">
        <f t="shared" si="91"/>
        <v>_</v>
      </c>
      <c r="T11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5" s="2">
        <f>IF(Table2[[#This Row],[InterConf]]=1,IF(Table2[[#This Row],[InterDiv]]=0, 1, 0), 0)</f>
        <v>0</v>
      </c>
      <c r="W11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5" s="2"/>
      <c r="Y1105" s="2"/>
      <c r="Z1105" s="145">
        <f>IF(AND(Table2[[#This Row],[GameIsOver]]=1,Table2[[#This Row],[ActualHomeScore]]*Table2[[#This Row],[ActualAwayScore]]=0), 1,0)</f>
        <v>0</v>
      </c>
      <c r="AA11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5" s="2">
        <f>Table2[[#This Row],[ActualAwayScore]]-Table2[[#This Row],[PredictedAwayScore]]</f>
        <v>0</v>
      </c>
      <c r="AG1105" s="2">
        <f>Table2[[#This Row],[ActualHomeScore]]-Table2[[#This Row],[PredictedHomeScore]]</f>
        <v>0</v>
      </c>
      <c r="AH1105" s="2">
        <f t="shared" si="92"/>
        <v>0</v>
      </c>
      <c r="AI1105" s="2">
        <f t="shared" si="93"/>
        <v>0</v>
      </c>
      <c r="AJ1105" s="2"/>
      <c r="AK1105" s="3"/>
      <c r="AL1105" s="2">
        <f>IF(Table2[[#This Row],[GameIsOver]]=0,0,IF(Table2[[#This Row],[ActualWinner]]=Table2[[#This Row],[AwayTeam]], 1, 0))</f>
        <v>0</v>
      </c>
      <c r="AM1105" s="2">
        <f>IF(Table2[[#This Row],[GameIsOver]]=0,0,IF(Table2[[#This Row],[ActualWinner]]=Table2[[#This Row],[HomeTeam]], 1, 0))</f>
        <v>0</v>
      </c>
      <c r="AN11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5" s="2" t="str">
        <f>INDEX(Sheet5!$B$2:$AG$33, MATCH(Table2[[#This Row],[AwayTeam]],Sheet5!$A$2:$A$33, 0), MATCH(Table2[[#This Row],[HomeTeam]],Sheet5!$A$2:$A$33, 0))</f>
        <v>0-0-0</v>
      </c>
      <c r="AP1105" s="2" t="str">
        <f>INDEX(Sheet5!$B$2:$AG$33, MATCH(Table2[[#This Row],[HomeTeam]],Sheet5!$A$2:$A$33, 0), MATCH(Table2[[#This Row],[AwayTeam]],Sheet5!$A$2:$A$33, 0))</f>
        <v>0-0-0</v>
      </c>
      <c r="AQ1105" s="2">
        <f>IF(Table2[[#This Row],[GameHasShutOut]], 1, 0)</f>
        <v>0</v>
      </c>
      <c r="AR1105" s="2">
        <f>IF(Table2[[#This Row],[ActualAwayScore]] + Table2[[#This Row],[ActualHomeScore]] &gt;= 10, 1, 0)</f>
        <v>0</v>
      </c>
      <c r="AS1105" s="2">
        <f>IF(ABS(Table2[[#This Row],[ActualAwayScore]]-Table2[[#This Row],[ActualHomeScore]])&gt;=5, 1, 0)</f>
        <v>0</v>
      </c>
      <c r="AT1105" s="2">
        <f>IF(Table2[[#This Row],[ActualAwayScore]] + Table2[[#This Row],[ActualHomeScore]] &lt;= 3, 1, 0)</f>
        <v>1</v>
      </c>
      <c r="AU1105" s="2"/>
      <c r="AV1105" s="2"/>
    </row>
    <row r="1106" spans="1:48" x14ac:dyDescent="0.25">
      <c r="A1106" s="3"/>
      <c r="B1106" s="3">
        <v>46102</v>
      </c>
      <c r="C1106" s="5">
        <v>2025021104</v>
      </c>
      <c r="D1106" s="2" t="s">
        <v>11</v>
      </c>
      <c r="E1106" s="2" t="s">
        <v>35</v>
      </c>
      <c r="F1106" s="2"/>
      <c r="G1106" s="2"/>
      <c r="H1106" s="2" t="str">
        <f t="shared" si="89"/>
        <v>_</v>
      </c>
      <c r="I1106" s="2"/>
      <c r="J1106" s="2"/>
      <c r="K1106" s="2"/>
      <c r="L1106" s="2" t="str">
        <f t="shared" si="90"/>
        <v>_</v>
      </c>
      <c r="M1106" s="2"/>
      <c r="N1106" s="2">
        <f>IF(ISBLANK(Table2[[#This Row],[ActualResult]]), 0, 1)</f>
        <v>0</v>
      </c>
      <c r="O1106" s="2" t="str">
        <f>IF(ISBLANK(Table2[[#This Row],[ActualResult]]), "_", IF(Table2[[#This Row],[ActualWinner]]=Table2[[#This Row],[PredictedWinner]], "Y", "N"))</f>
        <v>_</v>
      </c>
      <c r="P11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6" s="2"/>
      <c r="S1106" s="2" t="str">
        <f t="shared" si="91"/>
        <v>_</v>
      </c>
      <c r="T11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6" s="2">
        <f>IF(Table2[[#This Row],[InterConf]]=1,IF(Table2[[#This Row],[InterDiv]]=0, 1, 0), 0)</f>
        <v>0</v>
      </c>
      <c r="W11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6" s="2"/>
      <c r="Y1106" s="2"/>
      <c r="Z1106" s="145">
        <f>IF(AND(Table2[[#This Row],[GameIsOver]]=1,Table2[[#This Row],[ActualHomeScore]]*Table2[[#This Row],[ActualAwayScore]]=0), 1,0)</f>
        <v>0</v>
      </c>
      <c r="AA11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6" s="2">
        <f>Table2[[#This Row],[ActualAwayScore]]-Table2[[#This Row],[PredictedAwayScore]]</f>
        <v>0</v>
      </c>
      <c r="AG1106" s="2">
        <f>Table2[[#This Row],[ActualHomeScore]]-Table2[[#This Row],[PredictedHomeScore]]</f>
        <v>0</v>
      </c>
      <c r="AH1106" s="2">
        <f t="shared" si="92"/>
        <v>0</v>
      </c>
      <c r="AI1106" s="2">
        <f t="shared" si="93"/>
        <v>0</v>
      </c>
      <c r="AJ1106" s="2"/>
      <c r="AK1106" s="3"/>
      <c r="AL1106" s="2">
        <f>IF(Table2[[#This Row],[GameIsOver]]=0,0,IF(Table2[[#This Row],[ActualWinner]]=Table2[[#This Row],[AwayTeam]], 1, 0))</f>
        <v>0</v>
      </c>
      <c r="AM1106" s="2">
        <f>IF(Table2[[#This Row],[GameIsOver]]=0,0,IF(Table2[[#This Row],[ActualWinner]]=Table2[[#This Row],[HomeTeam]], 1, 0))</f>
        <v>0</v>
      </c>
      <c r="AN11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6" s="2" t="str">
        <f>INDEX(Sheet5!$B$2:$AG$33, MATCH(Table2[[#This Row],[AwayTeam]],Sheet5!$A$2:$A$33, 0), MATCH(Table2[[#This Row],[HomeTeam]],Sheet5!$A$2:$A$33, 0))</f>
        <v>0-0-0</v>
      </c>
      <c r="AP1106" s="2" t="str">
        <f>INDEX(Sheet5!$B$2:$AG$33, MATCH(Table2[[#This Row],[HomeTeam]],Sheet5!$A$2:$A$33, 0), MATCH(Table2[[#This Row],[AwayTeam]],Sheet5!$A$2:$A$33, 0))</f>
        <v>0-0-0</v>
      </c>
      <c r="AQ1106" s="2">
        <f>IF(Table2[[#This Row],[GameHasShutOut]], 1, 0)</f>
        <v>0</v>
      </c>
      <c r="AR1106" s="2">
        <f>IF(Table2[[#This Row],[ActualAwayScore]] + Table2[[#This Row],[ActualHomeScore]] &gt;= 10, 1, 0)</f>
        <v>0</v>
      </c>
      <c r="AS1106" s="2">
        <f>IF(ABS(Table2[[#This Row],[ActualAwayScore]]-Table2[[#This Row],[ActualHomeScore]])&gt;=5, 1, 0)</f>
        <v>0</v>
      </c>
      <c r="AT1106" s="2">
        <f>IF(Table2[[#This Row],[ActualAwayScore]] + Table2[[#This Row],[ActualHomeScore]] &lt;= 3, 1, 0)</f>
        <v>1</v>
      </c>
      <c r="AU1106" s="2"/>
      <c r="AV1106" s="2"/>
    </row>
    <row r="1107" spans="1:48" x14ac:dyDescent="0.25">
      <c r="A1107" s="3"/>
      <c r="B1107" s="3">
        <v>46102</v>
      </c>
      <c r="C1107" s="5">
        <v>2025021105</v>
      </c>
      <c r="D1107" s="2" t="s">
        <v>32</v>
      </c>
      <c r="E1107" s="2" t="s">
        <v>18</v>
      </c>
      <c r="F1107" s="2"/>
      <c r="G1107" s="2"/>
      <c r="H1107" s="2" t="str">
        <f t="shared" si="89"/>
        <v>_</v>
      </c>
      <c r="I1107" s="2"/>
      <c r="J1107" s="2"/>
      <c r="K1107" s="2"/>
      <c r="L1107" s="2" t="str">
        <f t="shared" si="90"/>
        <v>_</v>
      </c>
      <c r="M1107" s="2"/>
      <c r="N1107" s="2">
        <f>IF(ISBLANK(Table2[[#This Row],[ActualResult]]), 0, 1)</f>
        <v>0</v>
      </c>
      <c r="O1107" s="2" t="str">
        <f>IF(ISBLANK(Table2[[#This Row],[ActualResult]]), "_", IF(Table2[[#This Row],[ActualWinner]]=Table2[[#This Row],[PredictedWinner]], "Y", "N"))</f>
        <v>_</v>
      </c>
      <c r="P11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7" s="2"/>
      <c r="S1107" s="2" t="str">
        <f t="shared" si="91"/>
        <v>_</v>
      </c>
      <c r="T11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7" s="2">
        <f>IF(Table2[[#This Row],[InterConf]]=1,IF(Table2[[#This Row],[InterDiv]]=0, 1, 0), 0)</f>
        <v>1</v>
      </c>
      <c r="W11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7" s="2"/>
      <c r="Y1107" s="2"/>
      <c r="Z1107" s="145">
        <f>IF(AND(Table2[[#This Row],[GameIsOver]]=1,Table2[[#This Row],[ActualHomeScore]]*Table2[[#This Row],[ActualAwayScore]]=0), 1,0)</f>
        <v>0</v>
      </c>
      <c r="AA11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7" s="2">
        <f>Table2[[#This Row],[ActualAwayScore]]-Table2[[#This Row],[PredictedAwayScore]]</f>
        <v>0</v>
      </c>
      <c r="AG1107" s="2">
        <f>Table2[[#This Row],[ActualHomeScore]]-Table2[[#This Row],[PredictedHomeScore]]</f>
        <v>0</v>
      </c>
      <c r="AH1107" s="2">
        <f t="shared" si="92"/>
        <v>0</v>
      </c>
      <c r="AI1107" s="2">
        <f t="shared" si="93"/>
        <v>0</v>
      </c>
      <c r="AJ1107" s="2"/>
      <c r="AK1107" s="3"/>
      <c r="AL1107" s="2">
        <f>IF(Table2[[#This Row],[GameIsOver]]=0,0,IF(Table2[[#This Row],[ActualWinner]]=Table2[[#This Row],[AwayTeam]], 1, 0))</f>
        <v>0</v>
      </c>
      <c r="AM1107" s="2">
        <f>IF(Table2[[#This Row],[GameIsOver]]=0,0,IF(Table2[[#This Row],[ActualWinner]]=Table2[[#This Row],[HomeTeam]], 1, 0))</f>
        <v>0</v>
      </c>
      <c r="AN11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7" s="2" t="str">
        <f>INDEX(Sheet5!$B$2:$AG$33, MATCH(Table2[[#This Row],[AwayTeam]],Sheet5!$A$2:$A$33, 0), MATCH(Table2[[#This Row],[HomeTeam]],Sheet5!$A$2:$A$33, 0))</f>
        <v>0-0-0</v>
      </c>
      <c r="AP1107" s="2" t="str">
        <f>INDEX(Sheet5!$B$2:$AG$33, MATCH(Table2[[#This Row],[HomeTeam]],Sheet5!$A$2:$A$33, 0), MATCH(Table2[[#This Row],[AwayTeam]],Sheet5!$A$2:$A$33, 0))</f>
        <v>0-0-0</v>
      </c>
      <c r="AQ1107" s="2">
        <f>IF(Table2[[#This Row],[GameHasShutOut]], 1, 0)</f>
        <v>0</v>
      </c>
      <c r="AR1107" s="2">
        <f>IF(Table2[[#This Row],[ActualAwayScore]] + Table2[[#This Row],[ActualHomeScore]] &gt;= 10, 1, 0)</f>
        <v>0</v>
      </c>
      <c r="AS1107" s="2">
        <f>IF(ABS(Table2[[#This Row],[ActualAwayScore]]-Table2[[#This Row],[ActualHomeScore]])&gt;=5, 1, 0)</f>
        <v>0</v>
      </c>
      <c r="AT1107" s="2">
        <f>IF(Table2[[#This Row],[ActualAwayScore]] + Table2[[#This Row],[ActualHomeScore]] &lt;= 3, 1, 0)</f>
        <v>1</v>
      </c>
      <c r="AU1107" s="2"/>
      <c r="AV1107" s="2"/>
    </row>
    <row r="1108" spans="1:48" x14ac:dyDescent="0.25">
      <c r="A1108" s="3"/>
      <c r="B1108" s="3">
        <v>46102</v>
      </c>
      <c r="C1108" s="5">
        <v>2025021106</v>
      </c>
      <c r="D1108" s="2" t="s">
        <v>17</v>
      </c>
      <c r="E1108" s="2" t="s">
        <v>29</v>
      </c>
      <c r="F1108" s="2"/>
      <c r="G1108" s="2"/>
      <c r="H1108" s="2" t="str">
        <f t="shared" si="89"/>
        <v>_</v>
      </c>
      <c r="I1108" s="2"/>
      <c r="J1108" s="2"/>
      <c r="K1108" s="2"/>
      <c r="L1108" s="2" t="str">
        <f t="shared" si="90"/>
        <v>_</v>
      </c>
      <c r="M1108" s="2"/>
      <c r="N1108" s="2">
        <f>IF(ISBLANK(Table2[[#This Row],[ActualResult]]), 0, 1)</f>
        <v>0</v>
      </c>
      <c r="O1108" s="2" t="str">
        <f>IF(ISBLANK(Table2[[#This Row],[ActualResult]]), "_", IF(Table2[[#This Row],[ActualWinner]]=Table2[[#This Row],[PredictedWinner]], "Y", "N"))</f>
        <v>_</v>
      </c>
      <c r="P11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8" s="2"/>
      <c r="S1108" s="2" t="str">
        <f t="shared" si="91"/>
        <v>_</v>
      </c>
      <c r="T11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08" s="2">
        <f>IF(Table2[[#This Row],[InterConf]]=1,IF(Table2[[#This Row],[InterDiv]]=0, 1, 0), 0)</f>
        <v>0</v>
      </c>
      <c r="W11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8" s="2"/>
      <c r="Y1108" s="2"/>
      <c r="Z1108" s="145">
        <f>IF(AND(Table2[[#This Row],[GameIsOver]]=1,Table2[[#This Row],[ActualHomeScore]]*Table2[[#This Row],[ActualAwayScore]]=0), 1,0)</f>
        <v>0</v>
      </c>
      <c r="AA11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8" s="2">
        <f>Table2[[#This Row],[ActualAwayScore]]-Table2[[#This Row],[PredictedAwayScore]]</f>
        <v>0</v>
      </c>
      <c r="AG1108" s="2">
        <f>Table2[[#This Row],[ActualHomeScore]]-Table2[[#This Row],[PredictedHomeScore]]</f>
        <v>0</v>
      </c>
      <c r="AH1108" s="2">
        <f t="shared" si="92"/>
        <v>0</v>
      </c>
      <c r="AI1108" s="2">
        <f t="shared" si="93"/>
        <v>0</v>
      </c>
      <c r="AJ1108" s="2"/>
      <c r="AK1108" s="3"/>
      <c r="AL1108" s="2">
        <f>IF(Table2[[#This Row],[GameIsOver]]=0,0,IF(Table2[[#This Row],[ActualWinner]]=Table2[[#This Row],[AwayTeam]], 1, 0))</f>
        <v>0</v>
      </c>
      <c r="AM1108" s="2">
        <f>IF(Table2[[#This Row],[GameIsOver]]=0,0,IF(Table2[[#This Row],[ActualWinner]]=Table2[[#This Row],[HomeTeam]], 1, 0))</f>
        <v>0</v>
      </c>
      <c r="AN11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8" s="2" t="str">
        <f>INDEX(Sheet5!$B$2:$AG$33, MATCH(Table2[[#This Row],[AwayTeam]],Sheet5!$A$2:$A$33, 0), MATCH(Table2[[#This Row],[HomeTeam]],Sheet5!$A$2:$A$33, 0))</f>
        <v>0-0-0</v>
      </c>
      <c r="AP1108" s="2" t="str">
        <f>INDEX(Sheet5!$B$2:$AG$33, MATCH(Table2[[#This Row],[HomeTeam]],Sheet5!$A$2:$A$33, 0), MATCH(Table2[[#This Row],[AwayTeam]],Sheet5!$A$2:$A$33, 0))</f>
        <v>0-0-0</v>
      </c>
      <c r="AQ1108" s="2">
        <f>IF(Table2[[#This Row],[GameHasShutOut]], 1, 0)</f>
        <v>0</v>
      </c>
      <c r="AR1108" s="2">
        <f>IF(Table2[[#This Row],[ActualAwayScore]] + Table2[[#This Row],[ActualHomeScore]] &gt;= 10, 1, 0)</f>
        <v>0</v>
      </c>
      <c r="AS1108" s="2">
        <f>IF(ABS(Table2[[#This Row],[ActualAwayScore]]-Table2[[#This Row],[ActualHomeScore]])&gt;=5, 1, 0)</f>
        <v>0</v>
      </c>
      <c r="AT1108" s="2">
        <f>IF(Table2[[#This Row],[ActualAwayScore]] + Table2[[#This Row],[ActualHomeScore]] &lt;= 3, 1, 0)</f>
        <v>1</v>
      </c>
      <c r="AU1108" s="2"/>
      <c r="AV1108" s="2"/>
    </row>
    <row r="1109" spans="1:48" x14ac:dyDescent="0.25">
      <c r="A1109" s="3"/>
      <c r="B1109" s="3">
        <v>46102</v>
      </c>
      <c r="C1109" s="5">
        <v>2025021107</v>
      </c>
      <c r="D1109" s="2" t="s">
        <v>12</v>
      </c>
      <c r="E1109" s="2" t="s">
        <v>24</v>
      </c>
      <c r="F1109" s="2"/>
      <c r="G1109" s="2"/>
      <c r="H1109" s="2" t="str">
        <f t="shared" si="89"/>
        <v>_</v>
      </c>
      <c r="I1109" s="2"/>
      <c r="J1109" s="2"/>
      <c r="K1109" s="2"/>
      <c r="L1109" s="2" t="str">
        <f t="shared" si="90"/>
        <v>_</v>
      </c>
      <c r="M1109" s="2"/>
      <c r="N1109" s="2">
        <f>IF(ISBLANK(Table2[[#This Row],[ActualResult]]), 0, 1)</f>
        <v>0</v>
      </c>
      <c r="O1109" s="2" t="str">
        <f>IF(ISBLANK(Table2[[#This Row],[ActualResult]]), "_", IF(Table2[[#This Row],[ActualWinner]]=Table2[[#This Row],[PredictedWinner]], "Y", "N"))</f>
        <v>_</v>
      </c>
      <c r="P11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9" s="2"/>
      <c r="S1109" s="2" t="str">
        <f t="shared" si="91"/>
        <v>_</v>
      </c>
      <c r="T11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9" s="2">
        <f>IF(Table2[[#This Row],[InterConf]]=1,IF(Table2[[#This Row],[InterDiv]]=0, 1, 0), 0)</f>
        <v>1</v>
      </c>
      <c r="W11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9" s="2"/>
      <c r="Y1109" s="2"/>
      <c r="Z1109" s="145">
        <f>IF(AND(Table2[[#This Row],[GameIsOver]]=1,Table2[[#This Row],[ActualHomeScore]]*Table2[[#This Row],[ActualAwayScore]]=0), 1,0)</f>
        <v>0</v>
      </c>
      <c r="AA11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9" s="2">
        <f>Table2[[#This Row],[ActualAwayScore]]-Table2[[#This Row],[PredictedAwayScore]]</f>
        <v>0</v>
      </c>
      <c r="AG1109" s="2">
        <f>Table2[[#This Row],[ActualHomeScore]]-Table2[[#This Row],[PredictedHomeScore]]</f>
        <v>0</v>
      </c>
      <c r="AH1109" s="2">
        <f t="shared" si="92"/>
        <v>0</v>
      </c>
      <c r="AI1109" s="2">
        <f t="shared" si="93"/>
        <v>0</v>
      </c>
      <c r="AJ1109" s="2"/>
      <c r="AK1109" s="3"/>
      <c r="AL1109" s="2">
        <f>IF(Table2[[#This Row],[GameIsOver]]=0,0,IF(Table2[[#This Row],[ActualWinner]]=Table2[[#This Row],[AwayTeam]], 1, 0))</f>
        <v>0</v>
      </c>
      <c r="AM1109" s="2">
        <f>IF(Table2[[#This Row],[GameIsOver]]=0,0,IF(Table2[[#This Row],[ActualWinner]]=Table2[[#This Row],[HomeTeam]], 1, 0))</f>
        <v>0</v>
      </c>
      <c r="AN11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9" s="2" t="str">
        <f>INDEX(Sheet5!$B$2:$AG$33, MATCH(Table2[[#This Row],[AwayTeam]],Sheet5!$A$2:$A$33, 0), MATCH(Table2[[#This Row],[HomeTeam]],Sheet5!$A$2:$A$33, 0))</f>
        <v>1-0-0</v>
      </c>
      <c r="AP1109" s="2" t="str">
        <f>INDEX(Sheet5!$B$2:$AG$33, MATCH(Table2[[#This Row],[HomeTeam]],Sheet5!$A$2:$A$33, 0), MATCH(Table2[[#This Row],[AwayTeam]],Sheet5!$A$2:$A$33, 0))</f>
        <v>0-1-0</v>
      </c>
      <c r="AQ1109" s="2">
        <f>IF(Table2[[#This Row],[GameHasShutOut]], 1, 0)</f>
        <v>0</v>
      </c>
      <c r="AR1109" s="2">
        <f>IF(Table2[[#This Row],[ActualAwayScore]] + Table2[[#This Row],[ActualHomeScore]] &gt;= 10, 1, 0)</f>
        <v>0</v>
      </c>
      <c r="AS1109" s="2">
        <f>IF(ABS(Table2[[#This Row],[ActualAwayScore]]-Table2[[#This Row],[ActualHomeScore]])&gt;=5, 1, 0)</f>
        <v>0</v>
      </c>
      <c r="AT1109" s="2">
        <f>IF(Table2[[#This Row],[ActualAwayScore]] + Table2[[#This Row],[ActualHomeScore]] &lt;= 3, 1, 0)</f>
        <v>1</v>
      </c>
      <c r="AU1109" s="2"/>
      <c r="AV1109" s="2"/>
    </row>
    <row r="1110" spans="1:48" x14ac:dyDescent="0.25">
      <c r="A1110" s="3"/>
      <c r="B1110" s="3">
        <v>46103</v>
      </c>
      <c r="C1110" s="5">
        <v>2025021108</v>
      </c>
      <c r="D1110" s="2" t="s">
        <v>15</v>
      </c>
      <c r="E1110" s="2" t="s">
        <v>30</v>
      </c>
      <c r="F1110" s="2"/>
      <c r="G1110" s="2"/>
      <c r="H1110" s="2" t="str">
        <f t="shared" si="89"/>
        <v>_</v>
      </c>
      <c r="I1110" s="2"/>
      <c r="J1110" s="2"/>
      <c r="K1110" s="2"/>
      <c r="L1110" s="2" t="str">
        <f t="shared" si="90"/>
        <v>_</v>
      </c>
      <c r="M1110" s="2"/>
      <c r="N1110" s="2">
        <f>IF(ISBLANK(Table2[[#This Row],[ActualResult]]), 0, 1)</f>
        <v>0</v>
      </c>
      <c r="O1110" s="2" t="str">
        <f>IF(ISBLANK(Table2[[#This Row],[ActualResult]]), "_", IF(Table2[[#This Row],[ActualWinner]]=Table2[[#This Row],[PredictedWinner]], "Y", "N"))</f>
        <v>_</v>
      </c>
      <c r="P11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0" s="2"/>
      <c r="S1110" s="2" t="str">
        <f t="shared" si="91"/>
        <v>_</v>
      </c>
      <c r="T11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0" s="2">
        <f>IF(Table2[[#This Row],[InterConf]]=1,IF(Table2[[#This Row],[InterDiv]]=0, 1, 0), 0)</f>
        <v>0</v>
      </c>
      <c r="W11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0" s="2"/>
      <c r="Y1110" s="2"/>
      <c r="Z1110" s="145">
        <f>IF(AND(Table2[[#This Row],[GameIsOver]]=1,Table2[[#This Row],[ActualHomeScore]]*Table2[[#This Row],[ActualAwayScore]]=0), 1,0)</f>
        <v>0</v>
      </c>
      <c r="AA11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0" s="2">
        <f>Table2[[#This Row],[ActualAwayScore]]-Table2[[#This Row],[PredictedAwayScore]]</f>
        <v>0</v>
      </c>
      <c r="AG1110" s="2">
        <f>Table2[[#This Row],[ActualHomeScore]]-Table2[[#This Row],[PredictedHomeScore]]</f>
        <v>0</v>
      </c>
      <c r="AH1110" s="2">
        <f t="shared" si="92"/>
        <v>0</v>
      </c>
      <c r="AI1110" s="2">
        <f t="shared" si="93"/>
        <v>0</v>
      </c>
      <c r="AJ1110" s="2"/>
      <c r="AK1110" s="3"/>
      <c r="AL1110" s="2">
        <f>IF(Table2[[#This Row],[GameIsOver]]=0,0,IF(Table2[[#This Row],[ActualWinner]]=Table2[[#This Row],[AwayTeam]], 1, 0))</f>
        <v>0</v>
      </c>
      <c r="AM1110" s="2">
        <f>IF(Table2[[#This Row],[GameIsOver]]=0,0,IF(Table2[[#This Row],[ActualWinner]]=Table2[[#This Row],[HomeTeam]], 1, 0))</f>
        <v>0</v>
      </c>
      <c r="AN11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0" s="2" t="str">
        <f>INDEX(Sheet5!$B$2:$AG$33, MATCH(Table2[[#This Row],[AwayTeam]],Sheet5!$A$2:$A$33, 0), MATCH(Table2[[#This Row],[HomeTeam]],Sheet5!$A$2:$A$33, 0))</f>
        <v>0-0-0</v>
      </c>
      <c r="AP1110" s="2" t="str">
        <f>INDEX(Sheet5!$B$2:$AG$33, MATCH(Table2[[#This Row],[HomeTeam]],Sheet5!$A$2:$A$33, 0), MATCH(Table2[[#This Row],[AwayTeam]],Sheet5!$A$2:$A$33, 0))</f>
        <v>0-0-0</v>
      </c>
      <c r="AQ1110" s="2">
        <f>IF(Table2[[#This Row],[GameHasShutOut]], 1, 0)</f>
        <v>0</v>
      </c>
      <c r="AR1110" s="2">
        <f>IF(Table2[[#This Row],[ActualAwayScore]] + Table2[[#This Row],[ActualHomeScore]] &gt;= 10, 1, 0)</f>
        <v>0</v>
      </c>
      <c r="AS1110" s="2">
        <f>IF(ABS(Table2[[#This Row],[ActualAwayScore]]-Table2[[#This Row],[ActualHomeScore]])&gt;=5, 1, 0)</f>
        <v>0</v>
      </c>
      <c r="AT1110" s="2">
        <f>IF(Table2[[#This Row],[ActualAwayScore]] + Table2[[#This Row],[ActualHomeScore]] &lt;= 3, 1, 0)</f>
        <v>1</v>
      </c>
      <c r="AU1110" s="2"/>
      <c r="AV1110" s="2"/>
    </row>
    <row r="1111" spans="1:48" x14ac:dyDescent="0.25">
      <c r="A1111" s="3"/>
      <c r="B1111" s="3">
        <v>46103</v>
      </c>
      <c r="C1111" s="5">
        <v>2025021109</v>
      </c>
      <c r="D1111" s="2" t="s">
        <v>40</v>
      </c>
      <c r="E1111" s="2" t="s">
        <v>22</v>
      </c>
      <c r="F1111" s="2"/>
      <c r="G1111" s="2"/>
      <c r="H1111" s="2" t="str">
        <f t="shared" si="89"/>
        <v>_</v>
      </c>
      <c r="I1111" s="2"/>
      <c r="J1111" s="2"/>
      <c r="K1111" s="2"/>
      <c r="L1111" s="2" t="str">
        <f t="shared" si="90"/>
        <v>_</v>
      </c>
      <c r="M1111" s="2"/>
      <c r="N1111" s="2">
        <f>IF(ISBLANK(Table2[[#This Row],[ActualResult]]), 0, 1)</f>
        <v>0</v>
      </c>
      <c r="O1111" s="2" t="str">
        <f>IF(ISBLANK(Table2[[#This Row],[ActualResult]]), "_", IF(Table2[[#This Row],[ActualWinner]]=Table2[[#This Row],[PredictedWinner]], "Y", "N"))</f>
        <v>_</v>
      </c>
      <c r="P11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1" s="2"/>
      <c r="S1111" s="2" t="str">
        <f t="shared" si="91"/>
        <v>_</v>
      </c>
      <c r="T11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1" s="2">
        <f>IF(Table2[[#This Row],[InterConf]]=1,IF(Table2[[#This Row],[InterDiv]]=0, 1, 0), 0)</f>
        <v>0</v>
      </c>
      <c r="W11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1" s="2"/>
      <c r="Y1111" s="2"/>
      <c r="Z1111" s="145">
        <f>IF(AND(Table2[[#This Row],[GameIsOver]]=1,Table2[[#This Row],[ActualHomeScore]]*Table2[[#This Row],[ActualAwayScore]]=0), 1,0)</f>
        <v>0</v>
      </c>
      <c r="AA11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1" s="2">
        <f>Table2[[#This Row],[ActualAwayScore]]-Table2[[#This Row],[PredictedAwayScore]]</f>
        <v>0</v>
      </c>
      <c r="AG1111" s="2">
        <f>Table2[[#This Row],[ActualHomeScore]]-Table2[[#This Row],[PredictedHomeScore]]</f>
        <v>0</v>
      </c>
      <c r="AH1111" s="2">
        <f t="shared" si="92"/>
        <v>0</v>
      </c>
      <c r="AI1111" s="2">
        <f t="shared" si="93"/>
        <v>0</v>
      </c>
      <c r="AJ1111" s="2"/>
      <c r="AK1111" s="3"/>
      <c r="AL1111" s="2">
        <f>IF(Table2[[#This Row],[GameIsOver]]=0,0,IF(Table2[[#This Row],[ActualWinner]]=Table2[[#This Row],[AwayTeam]], 1, 0))</f>
        <v>0</v>
      </c>
      <c r="AM1111" s="2">
        <f>IF(Table2[[#This Row],[GameIsOver]]=0,0,IF(Table2[[#This Row],[ActualWinner]]=Table2[[#This Row],[HomeTeam]], 1, 0))</f>
        <v>0</v>
      </c>
      <c r="AN11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1" s="2" t="str">
        <f>INDEX(Sheet5!$B$2:$AG$33, MATCH(Table2[[#This Row],[AwayTeam]],Sheet5!$A$2:$A$33, 0), MATCH(Table2[[#This Row],[HomeTeam]],Sheet5!$A$2:$A$33, 0))</f>
        <v>0-0-0</v>
      </c>
      <c r="AP1111" s="2" t="str">
        <f>INDEX(Sheet5!$B$2:$AG$33, MATCH(Table2[[#This Row],[HomeTeam]],Sheet5!$A$2:$A$33, 0), MATCH(Table2[[#This Row],[AwayTeam]],Sheet5!$A$2:$A$33, 0))</f>
        <v>0-0-0</v>
      </c>
      <c r="AQ1111" s="2">
        <f>IF(Table2[[#This Row],[GameHasShutOut]], 1, 0)</f>
        <v>0</v>
      </c>
      <c r="AR1111" s="2">
        <f>IF(Table2[[#This Row],[ActualAwayScore]] + Table2[[#This Row],[ActualHomeScore]] &gt;= 10, 1, 0)</f>
        <v>0</v>
      </c>
      <c r="AS1111" s="2">
        <f>IF(ABS(Table2[[#This Row],[ActualAwayScore]]-Table2[[#This Row],[ActualHomeScore]])&gt;=5, 1, 0)</f>
        <v>0</v>
      </c>
      <c r="AT1111" s="2">
        <f>IF(Table2[[#This Row],[ActualAwayScore]] + Table2[[#This Row],[ActualHomeScore]] &lt;= 3, 1, 0)</f>
        <v>1</v>
      </c>
      <c r="AU1111" s="2"/>
      <c r="AV1111" s="2"/>
    </row>
    <row r="1112" spans="1:48" x14ac:dyDescent="0.25">
      <c r="A1112" s="3"/>
      <c r="B1112" s="3">
        <v>46103</v>
      </c>
      <c r="C1112" s="5">
        <v>2025021110</v>
      </c>
      <c r="D1112" s="2" t="s">
        <v>21</v>
      </c>
      <c r="E1112" s="2" t="s">
        <v>19</v>
      </c>
      <c r="F1112" s="2"/>
      <c r="G1112" s="2"/>
      <c r="H1112" s="2" t="str">
        <f t="shared" si="89"/>
        <v>_</v>
      </c>
      <c r="I1112" s="2"/>
      <c r="J1112" s="2"/>
      <c r="K1112" s="2"/>
      <c r="L1112" s="2" t="str">
        <f t="shared" si="90"/>
        <v>_</v>
      </c>
      <c r="M1112" s="2"/>
      <c r="N1112" s="2">
        <f>IF(ISBLANK(Table2[[#This Row],[ActualResult]]), 0, 1)</f>
        <v>0</v>
      </c>
      <c r="O1112" s="2" t="str">
        <f>IF(ISBLANK(Table2[[#This Row],[ActualResult]]), "_", IF(Table2[[#This Row],[ActualWinner]]=Table2[[#This Row],[PredictedWinner]], "Y", "N"))</f>
        <v>_</v>
      </c>
      <c r="P11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2" s="2"/>
      <c r="S1112" s="2" t="str">
        <f t="shared" si="91"/>
        <v>_</v>
      </c>
      <c r="T11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2" s="2">
        <f>IF(Table2[[#This Row],[InterConf]]=1,IF(Table2[[#This Row],[InterDiv]]=0, 1, 0), 0)</f>
        <v>0</v>
      </c>
      <c r="W11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2" s="2"/>
      <c r="Y1112" s="2"/>
      <c r="Z1112" s="145">
        <f>IF(AND(Table2[[#This Row],[GameIsOver]]=1,Table2[[#This Row],[ActualHomeScore]]*Table2[[#This Row],[ActualAwayScore]]=0), 1,0)</f>
        <v>0</v>
      </c>
      <c r="AA11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2" s="2">
        <f>Table2[[#This Row],[ActualAwayScore]]-Table2[[#This Row],[PredictedAwayScore]]</f>
        <v>0</v>
      </c>
      <c r="AG1112" s="2">
        <f>Table2[[#This Row],[ActualHomeScore]]-Table2[[#This Row],[PredictedHomeScore]]</f>
        <v>0</v>
      </c>
      <c r="AH1112" s="2">
        <f t="shared" si="92"/>
        <v>0</v>
      </c>
      <c r="AI1112" s="2">
        <f t="shared" si="93"/>
        <v>0</v>
      </c>
      <c r="AJ1112" s="2"/>
      <c r="AK1112" s="3"/>
      <c r="AL1112" s="2">
        <f>IF(Table2[[#This Row],[GameIsOver]]=0,0,IF(Table2[[#This Row],[ActualWinner]]=Table2[[#This Row],[AwayTeam]], 1, 0))</f>
        <v>0</v>
      </c>
      <c r="AM1112" s="2">
        <f>IF(Table2[[#This Row],[GameIsOver]]=0,0,IF(Table2[[#This Row],[ActualWinner]]=Table2[[#This Row],[HomeTeam]], 1, 0))</f>
        <v>0</v>
      </c>
      <c r="AN11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2" s="2" t="str">
        <f>INDEX(Sheet5!$B$2:$AG$33, MATCH(Table2[[#This Row],[AwayTeam]],Sheet5!$A$2:$A$33, 0), MATCH(Table2[[#This Row],[HomeTeam]],Sheet5!$A$2:$A$33, 0))</f>
        <v>0-0-0</v>
      </c>
      <c r="AP1112" s="2" t="str">
        <f>INDEX(Sheet5!$B$2:$AG$33, MATCH(Table2[[#This Row],[HomeTeam]],Sheet5!$A$2:$A$33, 0), MATCH(Table2[[#This Row],[AwayTeam]],Sheet5!$A$2:$A$33, 0))</f>
        <v>0-0-0</v>
      </c>
      <c r="AQ1112" s="2">
        <f>IF(Table2[[#This Row],[GameHasShutOut]], 1, 0)</f>
        <v>0</v>
      </c>
      <c r="AR1112" s="2">
        <f>IF(Table2[[#This Row],[ActualAwayScore]] + Table2[[#This Row],[ActualHomeScore]] &gt;= 10, 1, 0)</f>
        <v>0</v>
      </c>
      <c r="AS1112" s="2">
        <f>IF(ABS(Table2[[#This Row],[ActualAwayScore]]-Table2[[#This Row],[ActualHomeScore]])&gt;=5, 1, 0)</f>
        <v>0</v>
      </c>
      <c r="AT1112" s="2">
        <f>IF(Table2[[#This Row],[ActualAwayScore]] + Table2[[#This Row],[ActualHomeScore]] &lt;= 3, 1, 0)</f>
        <v>1</v>
      </c>
      <c r="AU1112" s="2"/>
      <c r="AV1112" s="2"/>
    </row>
    <row r="1113" spans="1:48" x14ac:dyDescent="0.25">
      <c r="A1113" s="3"/>
      <c r="B1113" s="3">
        <v>46103</v>
      </c>
      <c r="C1113" s="5">
        <v>2025021111</v>
      </c>
      <c r="D1113" s="2" t="s">
        <v>25</v>
      </c>
      <c r="E1113" s="2" t="s">
        <v>43</v>
      </c>
      <c r="F1113" s="2"/>
      <c r="G1113" s="2"/>
      <c r="H1113" s="2" t="str">
        <f t="shared" si="89"/>
        <v>_</v>
      </c>
      <c r="I1113" s="2"/>
      <c r="J1113" s="2"/>
      <c r="K1113" s="2"/>
      <c r="L1113" s="2" t="str">
        <f t="shared" si="90"/>
        <v>_</v>
      </c>
      <c r="M1113" s="2"/>
      <c r="N1113" s="2">
        <f>IF(ISBLANK(Table2[[#This Row],[ActualResult]]), 0, 1)</f>
        <v>0</v>
      </c>
      <c r="O1113" s="2" t="str">
        <f>IF(ISBLANK(Table2[[#This Row],[ActualResult]]), "_", IF(Table2[[#This Row],[ActualWinner]]=Table2[[#This Row],[PredictedWinner]], "Y", "N"))</f>
        <v>_</v>
      </c>
      <c r="P11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3" s="2"/>
      <c r="S1113" s="2" t="str">
        <f t="shared" si="91"/>
        <v>_</v>
      </c>
      <c r="T11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3" s="2">
        <f>IF(Table2[[#This Row],[InterConf]]=1,IF(Table2[[#This Row],[InterDiv]]=0, 1, 0), 0)</f>
        <v>0</v>
      </c>
      <c r="W11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3" s="2"/>
      <c r="Y1113" s="2"/>
      <c r="Z1113" s="145">
        <f>IF(AND(Table2[[#This Row],[GameIsOver]]=1,Table2[[#This Row],[ActualHomeScore]]*Table2[[#This Row],[ActualAwayScore]]=0), 1,0)</f>
        <v>0</v>
      </c>
      <c r="AA11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3" s="2">
        <f>Table2[[#This Row],[ActualAwayScore]]-Table2[[#This Row],[PredictedAwayScore]]</f>
        <v>0</v>
      </c>
      <c r="AG1113" s="2">
        <f>Table2[[#This Row],[ActualHomeScore]]-Table2[[#This Row],[PredictedHomeScore]]</f>
        <v>0</v>
      </c>
      <c r="AH1113" s="2">
        <f t="shared" si="92"/>
        <v>0</v>
      </c>
      <c r="AI1113" s="2">
        <f t="shared" si="93"/>
        <v>0</v>
      </c>
      <c r="AJ1113" s="2"/>
      <c r="AK1113" s="3"/>
      <c r="AL1113" s="2">
        <f>IF(Table2[[#This Row],[GameIsOver]]=0,0,IF(Table2[[#This Row],[ActualWinner]]=Table2[[#This Row],[AwayTeam]], 1, 0))</f>
        <v>0</v>
      </c>
      <c r="AM1113" s="2">
        <f>IF(Table2[[#This Row],[GameIsOver]]=0,0,IF(Table2[[#This Row],[ActualWinner]]=Table2[[#This Row],[HomeTeam]], 1, 0))</f>
        <v>0</v>
      </c>
      <c r="AN11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3" s="2" t="str">
        <f>INDEX(Sheet5!$B$2:$AG$33, MATCH(Table2[[#This Row],[AwayTeam]],Sheet5!$A$2:$A$33, 0), MATCH(Table2[[#This Row],[HomeTeam]],Sheet5!$A$2:$A$33, 0))</f>
        <v>0-0-0</v>
      </c>
      <c r="AP1113" s="2" t="str">
        <f>INDEX(Sheet5!$B$2:$AG$33, MATCH(Table2[[#This Row],[HomeTeam]],Sheet5!$A$2:$A$33, 0), MATCH(Table2[[#This Row],[AwayTeam]],Sheet5!$A$2:$A$33, 0))</f>
        <v>0-0-0</v>
      </c>
      <c r="AQ1113" s="2">
        <f>IF(Table2[[#This Row],[GameHasShutOut]], 1, 0)</f>
        <v>0</v>
      </c>
      <c r="AR1113" s="2">
        <f>IF(Table2[[#This Row],[ActualAwayScore]] + Table2[[#This Row],[ActualHomeScore]] &gt;= 10, 1, 0)</f>
        <v>0</v>
      </c>
      <c r="AS1113" s="2">
        <f>IF(ABS(Table2[[#This Row],[ActualAwayScore]]-Table2[[#This Row],[ActualHomeScore]])&gt;=5, 1, 0)</f>
        <v>0</v>
      </c>
      <c r="AT1113" s="2">
        <f>IF(Table2[[#This Row],[ActualAwayScore]] + Table2[[#This Row],[ActualHomeScore]] &lt;= 3, 1, 0)</f>
        <v>1</v>
      </c>
      <c r="AU1113" s="2"/>
      <c r="AV1113" s="2"/>
    </row>
    <row r="1114" spans="1:48" x14ac:dyDescent="0.25">
      <c r="A1114" s="3"/>
      <c r="B1114" s="3">
        <v>46103</v>
      </c>
      <c r="C1114" s="5">
        <v>2025021112</v>
      </c>
      <c r="D1114" s="2" t="s">
        <v>41</v>
      </c>
      <c r="E1114" s="2" t="s">
        <v>20</v>
      </c>
      <c r="F1114" s="2"/>
      <c r="G1114" s="2"/>
      <c r="H1114" s="2" t="str">
        <f t="shared" si="89"/>
        <v>_</v>
      </c>
      <c r="I1114" s="2"/>
      <c r="J1114" s="2"/>
      <c r="K1114" s="2"/>
      <c r="L1114" s="2" t="str">
        <f t="shared" si="90"/>
        <v>_</v>
      </c>
      <c r="M1114" s="2"/>
      <c r="N1114" s="2">
        <f>IF(ISBLANK(Table2[[#This Row],[ActualResult]]), 0, 1)</f>
        <v>0</v>
      </c>
      <c r="O1114" s="2" t="str">
        <f>IF(ISBLANK(Table2[[#This Row],[ActualResult]]), "_", IF(Table2[[#This Row],[ActualWinner]]=Table2[[#This Row],[PredictedWinner]], "Y", "N"))</f>
        <v>_</v>
      </c>
      <c r="P11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4" s="2"/>
      <c r="S1114" s="2" t="str">
        <f t="shared" si="91"/>
        <v>_</v>
      </c>
      <c r="T11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4" s="2">
        <f>IF(Table2[[#This Row],[InterConf]]=1,IF(Table2[[#This Row],[InterDiv]]=0, 1, 0), 0)</f>
        <v>0</v>
      </c>
      <c r="W11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4" s="2"/>
      <c r="Y1114" s="2"/>
      <c r="Z1114" s="145">
        <f>IF(AND(Table2[[#This Row],[GameIsOver]]=1,Table2[[#This Row],[ActualHomeScore]]*Table2[[#This Row],[ActualAwayScore]]=0), 1,0)</f>
        <v>0</v>
      </c>
      <c r="AA11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4" s="2">
        <f>Table2[[#This Row],[ActualAwayScore]]-Table2[[#This Row],[PredictedAwayScore]]</f>
        <v>0</v>
      </c>
      <c r="AG1114" s="2">
        <f>Table2[[#This Row],[ActualHomeScore]]-Table2[[#This Row],[PredictedHomeScore]]</f>
        <v>0</v>
      </c>
      <c r="AH1114" s="2">
        <f t="shared" si="92"/>
        <v>0</v>
      </c>
      <c r="AI1114" s="2">
        <f t="shared" si="93"/>
        <v>0</v>
      </c>
      <c r="AJ1114" s="2"/>
      <c r="AK1114" s="3"/>
      <c r="AL1114" s="2">
        <f>IF(Table2[[#This Row],[GameIsOver]]=0,0,IF(Table2[[#This Row],[ActualWinner]]=Table2[[#This Row],[AwayTeam]], 1, 0))</f>
        <v>0</v>
      </c>
      <c r="AM1114" s="2">
        <f>IF(Table2[[#This Row],[GameIsOver]]=0,0,IF(Table2[[#This Row],[ActualWinner]]=Table2[[#This Row],[HomeTeam]], 1, 0))</f>
        <v>0</v>
      </c>
      <c r="AN11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4" s="2" t="str">
        <f>INDEX(Sheet5!$B$2:$AG$33, MATCH(Table2[[#This Row],[AwayTeam]],Sheet5!$A$2:$A$33, 0), MATCH(Table2[[#This Row],[HomeTeam]],Sheet5!$A$2:$A$33, 0))</f>
        <v>0-0-0</v>
      </c>
      <c r="AP1114" s="2" t="str">
        <f>INDEX(Sheet5!$B$2:$AG$33, MATCH(Table2[[#This Row],[HomeTeam]],Sheet5!$A$2:$A$33, 0), MATCH(Table2[[#This Row],[AwayTeam]],Sheet5!$A$2:$A$33, 0))</f>
        <v>0-0-0</v>
      </c>
      <c r="AQ1114" s="2">
        <f>IF(Table2[[#This Row],[GameHasShutOut]], 1, 0)</f>
        <v>0</v>
      </c>
      <c r="AR1114" s="2">
        <f>IF(Table2[[#This Row],[ActualAwayScore]] + Table2[[#This Row],[ActualHomeScore]] &gt;= 10, 1, 0)</f>
        <v>0</v>
      </c>
      <c r="AS1114" s="2">
        <f>IF(ABS(Table2[[#This Row],[ActualAwayScore]]-Table2[[#This Row],[ActualHomeScore]])&gt;=5, 1, 0)</f>
        <v>0</v>
      </c>
      <c r="AT1114" s="2">
        <f>IF(Table2[[#This Row],[ActualAwayScore]] + Table2[[#This Row],[ActualHomeScore]] &lt;= 3, 1, 0)</f>
        <v>1</v>
      </c>
      <c r="AU1114" s="2"/>
      <c r="AV1114" s="2"/>
    </row>
    <row r="1115" spans="1:48" x14ac:dyDescent="0.25">
      <c r="A1115" s="3"/>
      <c r="B1115" s="3">
        <v>46103</v>
      </c>
      <c r="C1115" s="5">
        <v>2025021113</v>
      </c>
      <c r="D1115" s="2" t="s">
        <v>34</v>
      </c>
      <c r="E1115" s="2" t="s">
        <v>16</v>
      </c>
      <c r="F1115" s="2"/>
      <c r="G1115" s="2"/>
      <c r="H1115" s="2" t="str">
        <f t="shared" si="89"/>
        <v>_</v>
      </c>
      <c r="I1115" s="2"/>
      <c r="J1115" s="2"/>
      <c r="K1115" s="2"/>
      <c r="L1115" s="2" t="str">
        <f t="shared" si="90"/>
        <v>_</v>
      </c>
      <c r="M1115" s="2"/>
      <c r="N1115" s="2">
        <f>IF(ISBLANK(Table2[[#This Row],[ActualResult]]), 0, 1)</f>
        <v>0</v>
      </c>
      <c r="O1115" s="2" t="str">
        <f>IF(ISBLANK(Table2[[#This Row],[ActualResult]]), "_", IF(Table2[[#This Row],[ActualWinner]]=Table2[[#This Row],[PredictedWinner]], "Y", "N"))</f>
        <v>_</v>
      </c>
      <c r="P11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5" s="2"/>
      <c r="S1115" s="2" t="str">
        <f t="shared" si="91"/>
        <v>_</v>
      </c>
      <c r="T11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5" s="2">
        <f>IF(Table2[[#This Row],[InterConf]]=1,IF(Table2[[#This Row],[InterDiv]]=0, 1, 0), 0)</f>
        <v>0</v>
      </c>
      <c r="W11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5" s="2"/>
      <c r="Y1115" s="2"/>
      <c r="Z1115" s="145">
        <f>IF(AND(Table2[[#This Row],[GameIsOver]]=1,Table2[[#This Row],[ActualHomeScore]]*Table2[[#This Row],[ActualAwayScore]]=0), 1,0)</f>
        <v>0</v>
      </c>
      <c r="AA11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5" s="2">
        <f>Table2[[#This Row],[ActualAwayScore]]-Table2[[#This Row],[PredictedAwayScore]]</f>
        <v>0</v>
      </c>
      <c r="AG1115" s="2">
        <f>Table2[[#This Row],[ActualHomeScore]]-Table2[[#This Row],[PredictedHomeScore]]</f>
        <v>0</v>
      </c>
      <c r="AH1115" s="2">
        <f t="shared" si="92"/>
        <v>0</v>
      </c>
      <c r="AI1115" s="2">
        <f t="shared" si="93"/>
        <v>0</v>
      </c>
      <c r="AJ1115" s="2"/>
      <c r="AK1115" s="3"/>
      <c r="AL1115" s="2">
        <f>IF(Table2[[#This Row],[GameIsOver]]=0,0,IF(Table2[[#This Row],[ActualWinner]]=Table2[[#This Row],[AwayTeam]], 1, 0))</f>
        <v>0</v>
      </c>
      <c r="AM1115" s="2">
        <f>IF(Table2[[#This Row],[GameIsOver]]=0,0,IF(Table2[[#This Row],[ActualWinner]]=Table2[[#This Row],[HomeTeam]], 1, 0))</f>
        <v>0</v>
      </c>
      <c r="AN11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5" s="2" t="str">
        <f>INDEX(Sheet5!$B$2:$AG$33, MATCH(Table2[[#This Row],[AwayTeam]],Sheet5!$A$2:$A$33, 0), MATCH(Table2[[#This Row],[HomeTeam]],Sheet5!$A$2:$A$33, 0))</f>
        <v>0-0-0</v>
      </c>
      <c r="AP1115" s="2" t="str">
        <f>INDEX(Sheet5!$B$2:$AG$33, MATCH(Table2[[#This Row],[HomeTeam]],Sheet5!$A$2:$A$33, 0), MATCH(Table2[[#This Row],[AwayTeam]],Sheet5!$A$2:$A$33, 0))</f>
        <v>0-0-0</v>
      </c>
      <c r="AQ1115" s="2">
        <f>IF(Table2[[#This Row],[GameHasShutOut]], 1, 0)</f>
        <v>0</v>
      </c>
      <c r="AR1115" s="2">
        <f>IF(Table2[[#This Row],[ActualAwayScore]] + Table2[[#This Row],[ActualHomeScore]] &gt;= 10, 1, 0)</f>
        <v>0</v>
      </c>
      <c r="AS1115" s="2">
        <f>IF(ABS(Table2[[#This Row],[ActualAwayScore]]-Table2[[#This Row],[ActualHomeScore]])&gt;=5, 1, 0)</f>
        <v>0</v>
      </c>
      <c r="AT1115" s="2">
        <f>IF(Table2[[#This Row],[ActualAwayScore]] + Table2[[#This Row],[ActualHomeScore]] &lt;= 3, 1, 0)</f>
        <v>1</v>
      </c>
      <c r="AU1115" s="2"/>
      <c r="AV1115" s="2"/>
    </row>
    <row r="1116" spans="1:48" x14ac:dyDescent="0.25">
      <c r="A1116" s="3"/>
      <c r="B1116" s="3">
        <v>46103</v>
      </c>
      <c r="C1116" s="5">
        <v>2025021114</v>
      </c>
      <c r="D1116" s="2" t="s">
        <v>35</v>
      </c>
      <c r="E1116" s="2" t="s">
        <v>32</v>
      </c>
      <c r="F1116" s="2"/>
      <c r="G1116" s="2"/>
      <c r="H1116" s="2" t="str">
        <f t="shared" si="89"/>
        <v>_</v>
      </c>
      <c r="I1116" s="2"/>
      <c r="J1116" s="2"/>
      <c r="K1116" s="2"/>
      <c r="L1116" s="2" t="str">
        <f t="shared" si="90"/>
        <v>_</v>
      </c>
      <c r="M1116" s="2"/>
      <c r="N1116" s="2">
        <f>IF(ISBLANK(Table2[[#This Row],[ActualResult]]), 0, 1)</f>
        <v>0</v>
      </c>
      <c r="O1116" s="2" t="str">
        <f>IF(ISBLANK(Table2[[#This Row],[ActualResult]]), "_", IF(Table2[[#This Row],[ActualWinner]]=Table2[[#This Row],[PredictedWinner]], "Y", "N"))</f>
        <v>_</v>
      </c>
      <c r="P11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6" s="2"/>
      <c r="S1116" s="2" t="str">
        <f t="shared" si="91"/>
        <v>_</v>
      </c>
      <c r="T11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6" s="2">
        <f>IF(Table2[[#This Row],[InterConf]]=1,IF(Table2[[#This Row],[InterDiv]]=0, 1, 0), 0)</f>
        <v>0</v>
      </c>
      <c r="W11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6" s="2"/>
      <c r="Y1116" s="2"/>
      <c r="Z1116" s="145">
        <f>IF(AND(Table2[[#This Row],[GameIsOver]]=1,Table2[[#This Row],[ActualHomeScore]]*Table2[[#This Row],[ActualAwayScore]]=0), 1,0)</f>
        <v>0</v>
      </c>
      <c r="AA11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6" s="2">
        <f>Table2[[#This Row],[ActualAwayScore]]-Table2[[#This Row],[PredictedAwayScore]]</f>
        <v>0</v>
      </c>
      <c r="AG1116" s="2">
        <f>Table2[[#This Row],[ActualHomeScore]]-Table2[[#This Row],[PredictedHomeScore]]</f>
        <v>0</v>
      </c>
      <c r="AH1116" s="2">
        <f t="shared" si="92"/>
        <v>0</v>
      </c>
      <c r="AI1116" s="2">
        <f t="shared" si="93"/>
        <v>0</v>
      </c>
      <c r="AJ1116" s="2"/>
      <c r="AK1116" s="3"/>
      <c r="AL1116" s="2">
        <f>IF(Table2[[#This Row],[GameIsOver]]=0,0,IF(Table2[[#This Row],[ActualWinner]]=Table2[[#This Row],[AwayTeam]], 1, 0))</f>
        <v>0</v>
      </c>
      <c r="AM1116" s="2">
        <f>IF(Table2[[#This Row],[GameIsOver]]=0,0,IF(Table2[[#This Row],[ActualWinner]]=Table2[[#This Row],[HomeTeam]], 1, 0))</f>
        <v>0</v>
      </c>
      <c r="AN11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6" s="2" t="str">
        <f>INDEX(Sheet5!$B$2:$AG$33, MATCH(Table2[[#This Row],[AwayTeam]],Sheet5!$A$2:$A$33, 0), MATCH(Table2[[#This Row],[HomeTeam]],Sheet5!$A$2:$A$33, 0))</f>
        <v>0-0-0</v>
      </c>
      <c r="AP1116" s="2" t="str">
        <f>INDEX(Sheet5!$B$2:$AG$33, MATCH(Table2[[#This Row],[HomeTeam]],Sheet5!$A$2:$A$33, 0), MATCH(Table2[[#This Row],[AwayTeam]],Sheet5!$A$2:$A$33, 0))</f>
        <v>0-0-0</v>
      </c>
      <c r="AQ1116" s="2">
        <f>IF(Table2[[#This Row],[GameHasShutOut]], 1, 0)</f>
        <v>0</v>
      </c>
      <c r="AR1116" s="2">
        <f>IF(Table2[[#This Row],[ActualAwayScore]] + Table2[[#This Row],[ActualHomeScore]] &gt;= 10, 1, 0)</f>
        <v>0</v>
      </c>
      <c r="AS1116" s="2">
        <f>IF(ABS(Table2[[#This Row],[ActualAwayScore]]-Table2[[#This Row],[ActualHomeScore]])&gt;=5, 1, 0)</f>
        <v>0</v>
      </c>
      <c r="AT1116" s="2">
        <f>IF(Table2[[#This Row],[ActualAwayScore]] + Table2[[#This Row],[ActualHomeScore]] &lt;= 3, 1, 0)</f>
        <v>1</v>
      </c>
      <c r="AU1116" s="2"/>
      <c r="AV1116" s="2"/>
    </row>
    <row r="1117" spans="1:48" x14ac:dyDescent="0.25">
      <c r="A1117" s="3"/>
      <c r="B1117" s="3">
        <v>46103</v>
      </c>
      <c r="C1117" s="5">
        <v>2025021115</v>
      </c>
      <c r="D1117" s="2" t="s">
        <v>26</v>
      </c>
      <c r="E1117" s="2" t="s">
        <v>33</v>
      </c>
      <c r="F1117" s="2"/>
      <c r="G1117" s="2"/>
      <c r="H1117" s="2" t="str">
        <f t="shared" si="89"/>
        <v>_</v>
      </c>
      <c r="I1117" s="2"/>
      <c r="J1117" s="2"/>
      <c r="K1117" s="2"/>
      <c r="L1117" s="2" t="str">
        <f t="shared" si="90"/>
        <v>_</v>
      </c>
      <c r="M1117" s="2"/>
      <c r="N1117" s="2">
        <f>IF(ISBLANK(Table2[[#This Row],[ActualResult]]), 0, 1)</f>
        <v>0</v>
      </c>
      <c r="O1117" s="2" t="str">
        <f>IF(ISBLANK(Table2[[#This Row],[ActualResult]]), "_", IF(Table2[[#This Row],[ActualWinner]]=Table2[[#This Row],[PredictedWinner]], "Y", "N"))</f>
        <v>_</v>
      </c>
      <c r="P11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7" s="2"/>
      <c r="S1117" s="2" t="str">
        <f t="shared" si="91"/>
        <v>_</v>
      </c>
      <c r="T11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7" s="2">
        <f>IF(Table2[[#This Row],[InterConf]]=1,IF(Table2[[#This Row],[InterDiv]]=0, 1, 0), 0)</f>
        <v>1</v>
      </c>
      <c r="W11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7" s="2"/>
      <c r="Y1117" s="2"/>
      <c r="Z1117" s="145">
        <f>IF(AND(Table2[[#This Row],[GameIsOver]]=1,Table2[[#This Row],[ActualHomeScore]]*Table2[[#This Row],[ActualAwayScore]]=0), 1,0)</f>
        <v>0</v>
      </c>
      <c r="AA11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7" s="2">
        <f>Table2[[#This Row],[ActualAwayScore]]-Table2[[#This Row],[PredictedAwayScore]]</f>
        <v>0</v>
      </c>
      <c r="AG1117" s="2">
        <f>Table2[[#This Row],[ActualHomeScore]]-Table2[[#This Row],[PredictedHomeScore]]</f>
        <v>0</v>
      </c>
      <c r="AH1117" s="2">
        <f t="shared" si="92"/>
        <v>0</v>
      </c>
      <c r="AI1117" s="2">
        <f t="shared" si="93"/>
        <v>0</v>
      </c>
      <c r="AJ1117" s="2"/>
      <c r="AK1117" s="3"/>
      <c r="AL1117" s="2">
        <f>IF(Table2[[#This Row],[GameIsOver]]=0,0,IF(Table2[[#This Row],[ActualWinner]]=Table2[[#This Row],[AwayTeam]], 1, 0))</f>
        <v>0</v>
      </c>
      <c r="AM1117" s="2">
        <f>IF(Table2[[#This Row],[GameIsOver]]=0,0,IF(Table2[[#This Row],[ActualWinner]]=Table2[[#This Row],[HomeTeam]], 1, 0))</f>
        <v>0</v>
      </c>
      <c r="AN11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7" s="2" t="str">
        <f>INDEX(Sheet5!$B$2:$AG$33, MATCH(Table2[[#This Row],[AwayTeam]],Sheet5!$A$2:$A$33, 0), MATCH(Table2[[#This Row],[HomeTeam]],Sheet5!$A$2:$A$33, 0))</f>
        <v>0-0-0</v>
      </c>
      <c r="AP1117" s="2" t="str">
        <f>INDEX(Sheet5!$B$2:$AG$33, MATCH(Table2[[#This Row],[HomeTeam]],Sheet5!$A$2:$A$33, 0), MATCH(Table2[[#This Row],[AwayTeam]],Sheet5!$A$2:$A$33, 0))</f>
        <v>0-0-0</v>
      </c>
      <c r="AQ1117" s="2">
        <f>IF(Table2[[#This Row],[GameHasShutOut]], 1, 0)</f>
        <v>0</v>
      </c>
      <c r="AR1117" s="2">
        <f>IF(Table2[[#This Row],[ActualAwayScore]] + Table2[[#This Row],[ActualHomeScore]] &gt;= 10, 1, 0)</f>
        <v>0</v>
      </c>
      <c r="AS1117" s="2">
        <f>IF(ABS(Table2[[#This Row],[ActualAwayScore]]-Table2[[#This Row],[ActualHomeScore]])&gt;=5, 1, 0)</f>
        <v>0</v>
      </c>
      <c r="AT1117" s="2">
        <f>IF(Table2[[#This Row],[ActualAwayScore]] + Table2[[#This Row],[ActualHomeScore]] &lt;= 3, 1, 0)</f>
        <v>1</v>
      </c>
      <c r="AU1117" s="2"/>
      <c r="AV1117" s="2"/>
    </row>
    <row r="1118" spans="1:48" x14ac:dyDescent="0.25">
      <c r="A1118" s="3"/>
      <c r="B1118" s="3">
        <v>46104</v>
      </c>
      <c r="C1118" s="5">
        <v>2025021116</v>
      </c>
      <c r="D1118" s="2" t="s">
        <v>40</v>
      </c>
      <c r="E1118" s="2" t="s">
        <v>23</v>
      </c>
      <c r="F1118" s="2"/>
      <c r="G1118" s="2"/>
      <c r="H1118" s="2" t="str">
        <f t="shared" si="89"/>
        <v>_</v>
      </c>
      <c r="I1118" s="2"/>
      <c r="J1118" s="2"/>
      <c r="K1118" s="2"/>
      <c r="L1118" s="2" t="str">
        <f t="shared" si="90"/>
        <v>_</v>
      </c>
      <c r="M1118" s="2"/>
      <c r="N1118" s="2">
        <f>IF(ISBLANK(Table2[[#This Row],[ActualResult]]), 0, 1)</f>
        <v>0</v>
      </c>
      <c r="O1118" s="2" t="str">
        <f>IF(ISBLANK(Table2[[#This Row],[ActualResult]]), "_", IF(Table2[[#This Row],[ActualWinner]]=Table2[[#This Row],[PredictedWinner]], "Y", "N"))</f>
        <v>_</v>
      </c>
      <c r="P11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8" s="2"/>
      <c r="S1118" s="2" t="str">
        <f t="shared" si="91"/>
        <v>_</v>
      </c>
      <c r="T11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8" s="2">
        <f>IF(Table2[[#This Row],[InterConf]]=1,IF(Table2[[#This Row],[InterDiv]]=0, 1, 0), 0)</f>
        <v>0</v>
      </c>
      <c r="W11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8" s="2"/>
      <c r="Y1118" s="2"/>
      <c r="Z1118" s="145">
        <f>IF(AND(Table2[[#This Row],[GameIsOver]]=1,Table2[[#This Row],[ActualHomeScore]]*Table2[[#This Row],[ActualAwayScore]]=0), 1,0)</f>
        <v>0</v>
      </c>
      <c r="AA11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18" s="2">
        <f>Table2[[#This Row],[ActualAwayScore]]-Table2[[#This Row],[PredictedAwayScore]]</f>
        <v>0</v>
      </c>
      <c r="AG1118" s="2">
        <f>Table2[[#This Row],[ActualHomeScore]]-Table2[[#This Row],[PredictedHomeScore]]</f>
        <v>0</v>
      </c>
      <c r="AH1118" s="2">
        <f t="shared" si="92"/>
        <v>0</v>
      </c>
      <c r="AI1118" s="2">
        <f t="shared" si="93"/>
        <v>0</v>
      </c>
      <c r="AJ1118" s="2"/>
      <c r="AK1118" s="3"/>
      <c r="AL1118" s="2">
        <f>IF(Table2[[#This Row],[GameIsOver]]=0,0,IF(Table2[[#This Row],[ActualWinner]]=Table2[[#This Row],[AwayTeam]], 1, 0))</f>
        <v>0</v>
      </c>
      <c r="AM1118" s="2">
        <f>IF(Table2[[#This Row],[GameIsOver]]=0,0,IF(Table2[[#This Row],[ActualWinner]]=Table2[[#This Row],[HomeTeam]], 1, 0))</f>
        <v>0</v>
      </c>
      <c r="AN11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8" s="2" t="str">
        <f>INDEX(Sheet5!$B$2:$AG$33, MATCH(Table2[[#This Row],[AwayTeam]],Sheet5!$A$2:$A$33, 0), MATCH(Table2[[#This Row],[HomeTeam]],Sheet5!$A$2:$A$33, 0))</f>
        <v>0-0-0</v>
      </c>
      <c r="AP1118" s="2" t="str">
        <f>INDEX(Sheet5!$B$2:$AG$33, MATCH(Table2[[#This Row],[HomeTeam]],Sheet5!$A$2:$A$33, 0), MATCH(Table2[[#This Row],[AwayTeam]],Sheet5!$A$2:$A$33, 0))</f>
        <v>0-0-0</v>
      </c>
      <c r="AQ1118" s="2">
        <f>IF(Table2[[#This Row],[GameHasShutOut]], 1, 0)</f>
        <v>0</v>
      </c>
      <c r="AR1118" s="2">
        <f>IF(Table2[[#This Row],[ActualAwayScore]] + Table2[[#This Row],[ActualHomeScore]] &gt;= 10, 1, 0)</f>
        <v>0</v>
      </c>
      <c r="AS1118" s="2">
        <f>IF(ABS(Table2[[#This Row],[ActualAwayScore]]-Table2[[#This Row],[ActualHomeScore]])&gt;=5, 1, 0)</f>
        <v>0</v>
      </c>
      <c r="AT1118" s="2">
        <f>IF(Table2[[#This Row],[ActualAwayScore]] + Table2[[#This Row],[ActualHomeScore]] &lt;= 3, 1, 0)</f>
        <v>1</v>
      </c>
      <c r="AU1118" s="2"/>
      <c r="AV1118" s="2"/>
    </row>
    <row r="1119" spans="1:48" x14ac:dyDescent="0.25">
      <c r="A1119" s="3"/>
      <c r="B1119" s="3">
        <v>46104</v>
      </c>
      <c r="C1119" s="5">
        <v>2025021117</v>
      </c>
      <c r="D1119" s="2" t="s">
        <v>28</v>
      </c>
      <c r="E1119" s="2" t="s">
        <v>44</v>
      </c>
      <c r="F1119" s="2"/>
      <c r="G1119" s="2"/>
      <c r="H1119" s="2" t="str">
        <f t="shared" si="89"/>
        <v>_</v>
      </c>
      <c r="I1119" s="2"/>
      <c r="J1119" s="2"/>
      <c r="K1119" s="2"/>
      <c r="L1119" s="2" t="str">
        <f t="shared" si="90"/>
        <v>_</v>
      </c>
      <c r="M1119" s="2"/>
      <c r="N1119" s="2">
        <f>IF(ISBLANK(Table2[[#This Row],[ActualResult]]), 0, 1)</f>
        <v>0</v>
      </c>
      <c r="O1119" s="2" t="str">
        <f>IF(ISBLANK(Table2[[#This Row],[ActualResult]]), "_", IF(Table2[[#This Row],[ActualWinner]]=Table2[[#This Row],[PredictedWinner]], "Y", "N"))</f>
        <v>_</v>
      </c>
      <c r="P11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9" s="2"/>
      <c r="S1119" s="2" t="str">
        <f t="shared" si="91"/>
        <v>_</v>
      </c>
      <c r="T11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9" s="2">
        <f>IF(Table2[[#This Row],[InterConf]]=1,IF(Table2[[#This Row],[InterDiv]]=0, 1, 0), 0)</f>
        <v>0</v>
      </c>
      <c r="W11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9" s="2"/>
      <c r="Y1119" s="2"/>
      <c r="Z1119" s="145">
        <f>IF(AND(Table2[[#This Row],[GameIsOver]]=1,Table2[[#This Row],[ActualHomeScore]]*Table2[[#This Row],[ActualAwayScore]]=0), 1,0)</f>
        <v>0</v>
      </c>
      <c r="AA11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19" s="2">
        <f>Table2[[#This Row],[ActualAwayScore]]-Table2[[#This Row],[PredictedAwayScore]]</f>
        <v>0</v>
      </c>
      <c r="AG1119" s="2">
        <f>Table2[[#This Row],[ActualHomeScore]]-Table2[[#This Row],[PredictedHomeScore]]</f>
        <v>0</v>
      </c>
      <c r="AH1119" s="2">
        <f t="shared" si="92"/>
        <v>0</v>
      </c>
      <c r="AI1119" s="2">
        <f t="shared" si="93"/>
        <v>0</v>
      </c>
      <c r="AJ1119" s="2"/>
      <c r="AK1119" s="3"/>
      <c r="AL1119" s="2">
        <f>IF(Table2[[#This Row],[GameIsOver]]=0,0,IF(Table2[[#This Row],[ActualWinner]]=Table2[[#This Row],[AwayTeam]], 1, 0))</f>
        <v>0</v>
      </c>
      <c r="AM1119" s="2">
        <f>IF(Table2[[#This Row],[GameIsOver]]=0,0,IF(Table2[[#This Row],[ActualWinner]]=Table2[[#This Row],[HomeTeam]], 1, 0))</f>
        <v>0</v>
      </c>
      <c r="AN11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9" s="2" t="str">
        <f>INDEX(Sheet5!$B$2:$AG$33, MATCH(Table2[[#This Row],[AwayTeam]],Sheet5!$A$2:$A$33, 0), MATCH(Table2[[#This Row],[HomeTeam]],Sheet5!$A$2:$A$33, 0))</f>
        <v>0-0-0</v>
      </c>
      <c r="AP1119" s="2" t="str">
        <f>INDEX(Sheet5!$B$2:$AG$33, MATCH(Table2[[#This Row],[HomeTeam]],Sheet5!$A$2:$A$33, 0), MATCH(Table2[[#This Row],[AwayTeam]],Sheet5!$A$2:$A$33, 0))</f>
        <v>0-0-0</v>
      </c>
      <c r="AQ1119" s="2">
        <f>IF(Table2[[#This Row],[GameHasShutOut]], 1, 0)</f>
        <v>0</v>
      </c>
      <c r="AR1119" s="2">
        <f>IF(Table2[[#This Row],[ActualAwayScore]] + Table2[[#This Row],[ActualHomeScore]] &gt;= 10, 1, 0)</f>
        <v>0</v>
      </c>
      <c r="AS1119" s="2">
        <f>IF(ABS(Table2[[#This Row],[ActualAwayScore]]-Table2[[#This Row],[ActualHomeScore]])&gt;=5, 1, 0)</f>
        <v>0</v>
      </c>
      <c r="AT1119" s="2">
        <f>IF(Table2[[#This Row],[ActualAwayScore]] + Table2[[#This Row],[ActualHomeScore]] &lt;= 3, 1, 0)</f>
        <v>1</v>
      </c>
      <c r="AU1119" s="2"/>
      <c r="AV1119" s="2"/>
    </row>
    <row r="1120" spans="1:48" x14ac:dyDescent="0.25">
      <c r="A1120" s="3"/>
      <c r="B1120" s="3">
        <v>46104</v>
      </c>
      <c r="C1120" s="5">
        <v>2025021118</v>
      </c>
      <c r="D1120" s="2" t="s">
        <v>27</v>
      </c>
      <c r="E1120" s="2" t="s">
        <v>14</v>
      </c>
      <c r="F1120" s="2"/>
      <c r="G1120" s="2"/>
      <c r="H1120" s="2" t="str">
        <f t="shared" si="89"/>
        <v>_</v>
      </c>
      <c r="I1120" s="2"/>
      <c r="J1120" s="2"/>
      <c r="K1120" s="2"/>
      <c r="L1120" s="2" t="str">
        <f t="shared" si="90"/>
        <v>_</v>
      </c>
      <c r="M1120" s="2"/>
      <c r="N1120" s="2">
        <f>IF(ISBLANK(Table2[[#This Row],[ActualResult]]), 0, 1)</f>
        <v>0</v>
      </c>
      <c r="O1120" s="2" t="str">
        <f>IF(ISBLANK(Table2[[#This Row],[ActualResult]]), "_", IF(Table2[[#This Row],[ActualWinner]]=Table2[[#This Row],[PredictedWinner]], "Y", "N"))</f>
        <v>_</v>
      </c>
      <c r="P11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0" s="2"/>
      <c r="S1120" s="2" t="str">
        <f t="shared" si="91"/>
        <v>_</v>
      </c>
      <c r="T11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0" s="2">
        <f>IF(Table2[[#This Row],[InterConf]]=1,IF(Table2[[#This Row],[InterDiv]]=0, 1, 0), 0)</f>
        <v>1</v>
      </c>
      <c r="W11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0" s="2"/>
      <c r="Y1120" s="2"/>
      <c r="Z1120" s="145">
        <f>IF(AND(Table2[[#This Row],[GameIsOver]]=1,Table2[[#This Row],[ActualHomeScore]]*Table2[[#This Row],[ActualAwayScore]]=0), 1,0)</f>
        <v>0</v>
      </c>
      <c r="AA11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20" s="2">
        <f>Table2[[#This Row],[ActualAwayScore]]-Table2[[#This Row],[PredictedAwayScore]]</f>
        <v>0</v>
      </c>
      <c r="AG1120" s="2">
        <f>Table2[[#This Row],[ActualHomeScore]]-Table2[[#This Row],[PredictedHomeScore]]</f>
        <v>0</v>
      </c>
      <c r="AH1120" s="2">
        <f t="shared" si="92"/>
        <v>0</v>
      </c>
      <c r="AI1120" s="2">
        <f t="shared" si="93"/>
        <v>0</v>
      </c>
      <c r="AJ1120" s="2"/>
      <c r="AK1120" s="3"/>
      <c r="AL1120" s="2">
        <f>IF(Table2[[#This Row],[GameIsOver]]=0,0,IF(Table2[[#This Row],[ActualWinner]]=Table2[[#This Row],[AwayTeam]], 1, 0))</f>
        <v>0</v>
      </c>
      <c r="AM1120" s="2">
        <f>IF(Table2[[#This Row],[GameIsOver]]=0,0,IF(Table2[[#This Row],[ActualWinner]]=Table2[[#This Row],[HomeTeam]], 1, 0))</f>
        <v>0</v>
      </c>
      <c r="AN1120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20" s="2" t="str">
        <f>INDEX(Sheet5!$B$2:$AG$33, MATCH(Table2[[#This Row],[AwayTeam]],Sheet5!$A$2:$A$33, 0), MATCH(Table2[[#This Row],[HomeTeam]],Sheet5!$A$2:$A$33, 0))</f>
        <v>0-0-0</v>
      </c>
      <c r="AP1120" s="2" t="str">
        <f>INDEX(Sheet5!$B$2:$AG$33, MATCH(Table2[[#This Row],[HomeTeam]],Sheet5!$A$2:$A$33, 0), MATCH(Table2[[#This Row],[AwayTeam]],Sheet5!$A$2:$A$33, 0))</f>
        <v>0-0-0</v>
      </c>
      <c r="AQ1120" s="2">
        <f>IF(Table2[[#This Row],[GameHasShutOut]], 1, 0)</f>
        <v>0</v>
      </c>
      <c r="AR1120" s="2">
        <f>IF(Table2[[#This Row],[ActualAwayScore]] + Table2[[#This Row],[ActualHomeScore]] &gt;= 10, 1, 0)</f>
        <v>0</v>
      </c>
      <c r="AS1120" s="2">
        <f>IF(ABS(Table2[[#This Row],[ActualAwayScore]]-Table2[[#This Row],[ActualHomeScore]])&gt;=5, 1, 0)</f>
        <v>0</v>
      </c>
      <c r="AT1120" s="2">
        <f>IF(Table2[[#This Row],[ActualAwayScore]] + Table2[[#This Row],[ActualHomeScore]] &lt;= 3, 1, 0)</f>
        <v>1</v>
      </c>
      <c r="AU1120" s="2"/>
      <c r="AV1120" s="2"/>
    </row>
    <row r="1121" spans="1:48" x14ac:dyDescent="0.25">
      <c r="A1121" s="3"/>
      <c r="B1121" s="3">
        <v>46104</v>
      </c>
      <c r="C1121" s="5">
        <v>2025021119</v>
      </c>
      <c r="D1121" s="2" t="s">
        <v>29</v>
      </c>
      <c r="E1121" s="2" t="s">
        <v>19</v>
      </c>
      <c r="F1121" s="2"/>
      <c r="G1121" s="2"/>
      <c r="H1121" s="2" t="str">
        <f t="shared" si="89"/>
        <v>_</v>
      </c>
      <c r="I1121" s="2"/>
      <c r="J1121" s="2"/>
      <c r="K1121" s="2"/>
      <c r="L1121" s="2" t="str">
        <f t="shared" si="90"/>
        <v>_</v>
      </c>
      <c r="M1121" s="2"/>
      <c r="N1121" s="2">
        <f>IF(ISBLANK(Table2[[#This Row],[ActualResult]]), 0, 1)</f>
        <v>0</v>
      </c>
      <c r="O1121" s="2" t="str">
        <f>IF(ISBLANK(Table2[[#This Row],[ActualResult]]), "_", IF(Table2[[#This Row],[ActualWinner]]=Table2[[#This Row],[PredictedWinner]], "Y", "N"))</f>
        <v>_</v>
      </c>
      <c r="P11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1" s="2"/>
      <c r="S1121" s="2" t="str">
        <f t="shared" si="91"/>
        <v>_</v>
      </c>
      <c r="T11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1" s="2">
        <f>IF(Table2[[#This Row],[InterConf]]=1,IF(Table2[[#This Row],[InterDiv]]=0, 1, 0), 0)</f>
        <v>1</v>
      </c>
      <c r="W11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1" s="2"/>
      <c r="Y1121" s="2"/>
      <c r="Z1121" s="145">
        <f>IF(AND(Table2[[#This Row],[GameIsOver]]=1,Table2[[#This Row],[ActualHomeScore]]*Table2[[#This Row],[ActualAwayScore]]=0), 1,0)</f>
        <v>0</v>
      </c>
      <c r="AA11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21" s="2">
        <f>Table2[[#This Row],[ActualAwayScore]]-Table2[[#This Row],[PredictedAwayScore]]</f>
        <v>0</v>
      </c>
      <c r="AG1121" s="2">
        <f>Table2[[#This Row],[ActualHomeScore]]-Table2[[#This Row],[PredictedHomeScore]]</f>
        <v>0</v>
      </c>
      <c r="AH1121" s="2">
        <f t="shared" si="92"/>
        <v>0</v>
      </c>
      <c r="AI1121" s="2">
        <f t="shared" si="93"/>
        <v>0</v>
      </c>
      <c r="AJ1121" s="2"/>
      <c r="AK1121" s="3"/>
      <c r="AL1121" s="2">
        <f>IF(Table2[[#This Row],[GameIsOver]]=0,0,IF(Table2[[#This Row],[ActualWinner]]=Table2[[#This Row],[AwayTeam]], 1, 0))</f>
        <v>0</v>
      </c>
      <c r="AM1121" s="2">
        <f>IF(Table2[[#This Row],[GameIsOver]]=0,0,IF(Table2[[#This Row],[ActualWinner]]=Table2[[#This Row],[HomeTeam]], 1, 0))</f>
        <v>0</v>
      </c>
      <c r="AN11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1" s="2" t="str">
        <f>INDEX(Sheet5!$B$2:$AG$33, MATCH(Table2[[#This Row],[AwayTeam]],Sheet5!$A$2:$A$33, 0), MATCH(Table2[[#This Row],[HomeTeam]],Sheet5!$A$2:$A$33, 0))</f>
        <v>0-0-0</v>
      </c>
      <c r="AP1121" s="2" t="str">
        <f>INDEX(Sheet5!$B$2:$AG$33, MATCH(Table2[[#This Row],[HomeTeam]],Sheet5!$A$2:$A$33, 0), MATCH(Table2[[#This Row],[AwayTeam]],Sheet5!$A$2:$A$33, 0))</f>
        <v>0-0-0</v>
      </c>
      <c r="AQ1121" s="2">
        <f>IF(Table2[[#This Row],[GameHasShutOut]], 1, 0)</f>
        <v>0</v>
      </c>
      <c r="AR1121" s="2">
        <f>IF(Table2[[#This Row],[ActualAwayScore]] + Table2[[#This Row],[ActualHomeScore]] &gt;= 10, 1, 0)</f>
        <v>0</v>
      </c>
      <c r="AS1121" s="2">
        <f>IF(ABS(Table2[[#This Row],[ActualAwayScore]]-Table2[[#This Row],[ActualHomeScore]])&gt;=5, 1, 0)</f>
        <v>0</v>
      </c>
      <c r="AT1121" s="2">
        <f>IF(Table2[[#This Row],[ActualAwayScore]] + Table2[[#This Row],[ActualHomeScore]] &lt;= 3, 1, 0)</f>
        <v>1</v>
      </c>
      <c r="AU1121" s="2"/>
      <c r="AV1121" s="2"/>
    </row>
    <row r="1122" spans="1:48" x14ac:dyDescent="0.25">
      <c r="A1122" s="3"/>
      <c r="B1122" s="3">
        <v>46105</v>
      </c>
      <c r="C1122" s="5">
        <v>2025021120</v>
      </c>
      <c r="D1122" s="2" t="s">
        <v>17</v>
      </c>
      <c r="E1122" s="2" t="s">
        <v>15</v>
      </c>
      <c r="F1122" s="2"/>
      <c r="G1122" s="2"/>
      <c r="H1122" s="2" t="str">
        <f t="shared" si="89"/>
        <v>_</v>
      </c>
      <c r="I1122" s="2"/>
      <c r="J1122" s="2"/>
      <c r="K1122" s="2"/>
      <c r="L1122" s="2" t="str">
        <f t="shared" si="90"/>
        <v>_</v>
      </c>
      <c r="M1122" s="2"/>
      <c r="N1122" s="2">
        <f>IF(ISBLANK(Table2[[#This Row],[ActualResult]]), 0, 1)</f>
        <v>0</v>
      </c>
      <c r="O1122" s="2" t="str">
        <f>IF(ISBLANK(Table2[[#This Row],[ActualResult]]), "_", IF(Table2[[#This Row],[ActualWinner]]=Table2[[#This Row],[PredictedWinner]], "Y", "N"))</f>
        <v>_</v>
      </c>
      <c r="P11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2" s="2"/>
      <c r="S1122" s="2" t="str">
        <f t="shared" si="91"/>
        <v>_</v>
      </c>
      <c r="T11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22" s="2">
        <f>IF(Table2[[#This Row],[InterConf]]=1,IF(Table2[[#This Row],[InterDiv]]=0, 1, 0), 0)</f>
        <v>0</v>
      </c>
      <c r="W11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2" s="2"/>
      <c r="Y1122" s="2"/>
      <c r="Z1122" s="145">
        <f>IF(AND(Table2[[#This Row],[GameIsOver]]=1,Table2[[#This Row],[ActualHomeScore]]*Table2[[#This Row],[ActualAwayScore]]=0), 1,0)</f>
        <v>0</v>
      </c>
      <c r="AA11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2" s="2">
        <f>Table2[[#This Row],[ActualAwayScore]]-Table2[[#This Row],[PredictedAwayScore]]</f>
        <v>0</v>
      </c>
      <c r="AG1122" s="2">
        <f>Table2[[#This Row],[ActualHomeScore]]-Table2[[#This Row],[PredictedHomeScore]]</f>
        <v>0</v>
      </c>
      <c r="AH1122" s="2">
        <f t="shared" si="92"/>
        <v>0</v>
      </c>
      <c r="AI1122" s="2">
        <f t="shared" si="93"/>
        <v>0</v>
      </c>
      <c r="AJ1122" s="2"/>
      <c r="AK1122" s="3"/>
      <c r="AL1122" s="2">
        <f>IF(Table2[[#This Row],[GameIsOver]]=0,0,IF(Table2[[#This Row],[ActualWinner]]=Table2[[#This Row],[AwayTeam]], 1, 0))</f>
        <v>0</v>
      </c>
      <c r="AM1122" s="2">
        <f>IF(Table2[[#This Row],[GameIsOver]]=0,0,IF(Table2[[#This Row],[ActualWinner]]=Table2[[#This Row],[HomeTeam]], 1, 0))</f>
        <v>0</v>
      </c>
      <c r="AN11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2" s="2" t="str">
        <f>INDEX(Sheet5!$B$2:$AG$33, MATCH(Table2[[#This Row],[AwayTeam]],Sheet5!$A$2:$A$33, 0), MATCH(Table2[[#This Row],[HomeTeam]],Sheet5!$A$2:$A$33, 0))</f>
        <v>0-0-0</v>
      </c>
      <c r="AP1122" s="2" t="str">
        <f>INDEX(Sheet5!$B$2:$AG$33, MATCH(Table2[[#This Row],[HomeTeam]],Sheet5!$A$2:$A$33, 0), MATCH(Table2[[#This Row],[AwayTeam]],Sheet5!$A$2:$A$33, 0))</f>
        <v>0-0-0</v>
      </c>
      <c r="AQ1122" s="2">
        <f>IF(Table2[[#This Row],[GameHasShutOut]], 1, 0)</f>
        <v>0</v>
      </c>
      <c r="AR1122" s="2">
        <f>IF(Table2[[#This Row],[ActualAwayScore]] + Table2[[#This Row],[ActualHomeScore]] &gt;= 10, 1, 0)</f>
        <v>0</v>
      </c>
      <c r="AS1122" s="2">
        <f>IF(ABS(Table2[[#This Row],[ActualAwayScore]]-Table2[[#This Row],[ActualHomeScore]])&gt;=5, 1, 0)</f>
        <v>0</v>
      </c>
      <c r="AT1122" s="2">
        <f>IF(Table2[[#This Row],[ActualAwayScore]] + Table2[[#This Row],[ActualHomeScore]] &lt;= 3, 1, 0)</f>
        <v>1</v>
      </c>
      <c r="AU1122" s="2"/>
      <c r="AV1122" s="2"/>
    </row>
    <row r="1123" spans="1:48" x14ac:dyDescent="0.25">
      <c r="A1123" s="3"/>
      <c r="B1123" s="3">
        <v>46105</v>
      </c>
      <c r="C1123" s="5">
        <v>2025021121</v>
      </c>
      <c r="D1123" s="2" t="s">
        <v>41</v>
      </c>
      <c r="E1123" s="2" t="s">
        <v>18</v>
      </c>
      <c r="F1123" s="2"/>
      <c r="G1123" s="2"/>
      <c r="H1123" s="2" t="str">
        <f t="shared" si="89"/>
        <v>_</v>
      </c>
      <c r="I1123" s="2"/>
      <c r="J1123" s="2"/>
      <c r="K1123" s="2"/>
      <c r="L1123" s="2" t="str">
        <f t="shared" si="90"/>
        <v>_</v>
      </c>
      <c r="M1123" s="2"/>
      <c r="N1123" s="2">
        <f>IF(ISBLANK(Table2[[#This Row],[ActualResult]]), 0, 1)</f>
        <v>0</v>
      </c>
      <c r="O1123" s="2" t="str">
        <f>IF(ISBLANK(Table2[[#This Row],[ActualResult]]), "_", IF(Table2[[#This Row],[ActualWinner]]=Table2[[#This Row],[PredictedWinner]], "Y", "N"))</f>
        <v>_</v>
      </c>
      <c r="P11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3" s="2"/>
      <c r="S1123" s="2" t="str">
        <f t="shared" si="91"/>
        <v>_</v>
      </c>
      <c r="T11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3" s="2">
        <f>IF(Table2[[#This Row],[InterConf]]=1,IF(Table2[[#This Row],[InterDiv]]=0, 1, 0), 0)</f>
        <v>1</v>
      </c>
      <c r="W11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3" s="2"/>
      <c r="Y1123" s="2"/>
      <c r="Z1123" s="145">
        <f>IF(AND(Table2[[#This Row],[GameIsOver]]=1,Table2[[#This Row],[ActualHomeScore]]*Table2[[#This Row],[ActualAwayScore]]=0), 1,0)</f>
        <v>0</v>
      </c>
      <c r="AA11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3" s="2">
        <f>Table2[[#This Row],[ActualAwayScore]]-Table2[[#This Row],[PredictedAwayScore]]</f>
        <v>0</v>
      </c>
      <c r="AG1123" s="2">
        <f>Table2[[#This Row],[ActualHomeScore]]-Table2[[#This Row],[PredictedHomeScore]]</f>
        <v>0</v>
      </c>
      <c r="AH1123" s="2">
        <f t="shared" si="92"/>
        <v>0</v>
      </c>
      <c r="AI1123" s="2">
        <f t="shared" si="93"/>
        <v>0</v>
      </c>
      <c r="AJ1123" s="2"/>
      <c r="AK1123" s="3"/>
      <c r="AL1123" s="2">
        <f>IF(Table2[[#This Row],[GameIsOver]]=0,0,IF(Table2[[#This Row],[ActualWinner]]=Table2[[#This Row],[AwayTeam]], 1, 0))</f>
        <v>0</v>
      </c>
      <c r="AM1123" s="2">
        <f>IF(Table2[[#This Row],[GameIsOver]]=0,0,IF(Table2[[#This Row],[ActualWinner]]=Table2[[#This Row],[HomeTeam]], 1, 0))</f>
        <v>0</v>
      </c>
      <c r="AN11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3" s="2" t="str">
        <f>INDEX(Sheet5!$B$2:$AG$33, MATCH(Table2[[#This Row],[AwayTeam]],Sheet5!$A$2:$A$33, 0), MATCH(Table2[[#This Row],[HomeTeam]],Sheet5!$A$2:$A$33, 0))</f>
        <v>0-0-0</v>
      </c>
      <c r="AP1123" s="2" t="str">
        <f>INDEX(Sheet5!$B$2:$AG$33, MATCH(Table2[[#This Row],[HomeTeam]],Sheet5!$A$2:$A$33, 0), MATCH(Table2[[#This Row],[AwayTeam]],Sheet5!$A$2:$A$33, 0))</f>
        <v>0-0-0</v>
      </c>
      <c r="AQ1123" s="2">
        <f>IF(Table2[[#This Row],[GameHasShutOut]], 1, 0)</f>
        <v>0</v>
      </c>
      <c r="AR1123" s="2">
        <f>IF(Table2[[#This Row],[ActualAwayScore]] + Table2[[#This Row],[ActualHomeScore]] &gt;= 10, 1, 0)</f>
        <v>0</v>
      </c>
      <c r="AS1123" s="2">
        <f>IF(ABS(Table2[[#This Row],[ActualAwayScore]]-Table2[[#This Row],[ActualHomeScore]])&gt;=5, 1, 0)</f>
        <v>0</v>
      </c>
      <c r="AT1123" s="2">
        <f>IF(Table2[[#This Row],[ActualAwayScore]] + Table2[[#This Row],[ActualHomeScore]] &lt;= 3, 1, 0)</f>
        <v>1</v>
      </c>
      <c r="AU1123" s="2"/>
      <c r="AV1123" s="2"/>
    </row>
    <row r="1124" spans="1:48" x14ac:dyDescent="0.25">
      <c r="A1124" s="3"/>
      <c r="B1124" s="3">
        <v>46105</v>
      </c>
      <c r="C1124" s="5">
        <v>2025021122</v>
      </c>
      <c r="D1124" s="2" t="s">
        <v>29</v>
      </c>
      <c r="E1124" s="2" t="s">
        <v>30</v>
      </c>
      <c r="F1124" s="2"/>
      <c r="G1124" s="2"/>
      <c r="H1124" s="2" t="str">
        <f t="shared" si="89"/>
        <v>_</v>
      </c>
      <c r="I1124" s="2"/>
      <c r="J1124" s="2"/>
      <c r="K1124" s="2"/>
      <c r="L1124" s="2" t="str">
        <f t="shared" si="90"/>
        <v>_</v>
      </c>
      <c r="M1124" s="2"/>
      <c r="N1124" s="2">
        <f>IF(ISBLANK(Table2[[#This Row],[ActualResult]]), 0, 1)</f>
        <v>0</v>
      </c>
      <c r="O1124" s="2" t="str">
        <f>IF(ISBLANK(Table2[[#This Row],[ActualResult]]), "_", IF(Table2[[#This Row],[ActualWinner]]=Table2[[#This Row],[PredictedWinner]], "Y", "N"))</f>
        <v>_</v>
      </c>
      <c r="P11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4" s="2"/>
      <c r="S1124" s="2" t="str">
        <f t="shared" si="91"/>
        <v>_</v>
      </c>
      <c r="T11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24" s="2">
        <f>IF(Table2[[#This Row],[InterConf]]=1,IF(Table2[[#This Row],[InterDiv]]=0, 1, 0), 0)</f>
        <v>0</v>
      </c>
      <c r="W11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4" s="2"/>
      <c r="Y1124" s="2"/>
      <c r="Z1124" s="145">
        <f>IF(AND(Table2[[#This Row],[GameIsOver]]=1,Table2[[#This Row],[ActualHomeScore]]*Table2[[#This Row],[ActualAwayScore]]=0), 1,0)</f>
        <v>0</v>
      </c>
      <c r="AA11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4" s="2">
        <f>Table2[[#This Row],[ActualAwayScore]]-Table2[[#This Row],[PredictedAwayScore]]</f>
        <v>0</v>
      </c>
      <c r="AG1124" s="2">
        <f>Table2[[#This Row],[ActualHomeScore]]-Table2[[#This Row],[PredictedHomeScore]]</f>
        <v>0</v>
      </c>
      <c r="AH1124" s="2">
        <f t="shared" si="92"/>
        <v>0</v>
      </c>
      <c r="AI1124" s="2">
        <f t="shared" si="93"/>
        <v>0</v>
      </c>
      <c r="AJ1124" s="2"/>
      <c r="AK1124" s="3"/>
      <c r="AL1124" s="2">
        <f>IF(Table2[[#This Row],[GameIsOver]]=0,0,IF(Table2[[#This Row],[ActualWinner]]=Table2[[#This Row],[AwayTeam]], 1, 0))</f>
        <v>0</v>
      </c>
      <c r="AM1124" s="2">
        <f>IF(Table2[[#This Row],[GameIsOver]]=0,0,IF(Table2[[#This Row],[ActualWinner]]=Table2[[#This Row],[HomeTeam]], 1, 0))</f>
        <v>0</v>
      </c>
      <c r="AN11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4" s="2" t="str">
        <f>INDEX(Sheet5!$B$2:$AG$33, MATCH(Table2[[#This Row],[AwayTeam]],Sheet5!$A$2:$A$33, 0), MATCH(Table2[[#This Row],[HomeTeam]],Sheet5!$A$2:$A$33, 0))</f>
        <v>0-0-0</v>
      </c>
      <c r="AP1124" s="2" t="str">
        <f>INDEX(Sheet5!$B$2:$AG$33, MATCH(Table2[[#This Row],[HomeTeam]],Sheet5!$A$2:$A$33, 0), MATCH(Table2[[#This Row],[AwayTeam]],Sheet5!$A$2:$A$33, 0))</f>
        <v>0-0-0</v>
      </c>
      <c r="AQ1124" s="2">
        <f>IF(Table2[[#This Row],[GameHasShutOut]], 1, 0)</f>
        <v>0</v>
      </c>
      <c r="AR1124" s="2">
        <f>IF(Table2[[#This Row],[ActualAwayScore]] + Table2[[#This Row],[ActualHomeScore]] &gt;= 10, 1, 0)</f>
        <v>0</v>
      </c>
      <c r="AS1124" s="2">
        <f>IF(ABS(Table2[[#This Row],[ActualAwayScore]]-Table2[[#This Row],[ActualHomeScore]])&gt;=5, 1, 0)</f>
        <v>0</v>
      </c>
      <c r="AT1124" s="2">
        <f>IF(Table2[[#This Row],[ActualAwayScore]] + Table2[[#This Row],[ActualHomeScore]] &lt;= 3, 1, 0)</f>
        <v>1</v>
      </c>
      <c r="AU1124" s="2"/>
      <c r="AV1124" s="2"/>
    </row>
    <row r="1125" spans="1:48" x14ac:dyDescent="0.25">
      <c r="A1125" s="3"/>
      <c r="B1125" s="3">
        <v>46105</v>
      </c>
      <c r="C1125" s="5">
        <v>2025021123</v>
      </c>
      <c r="D1125" s="2" t="s">
        <v>11</v>
      </c>
      <c r="E1125" s="2" t="s">
        <v>13</v>
      </c>
      <c r="F1125" s="2"/>
      <c r="G1125" s="2"/>
      <c r="H1125" s="2" t="str">
        <f t="shared" si="89"/>
        <v>_</v>
      </c>
      <c r="I1125" s="2"/>
      <c r="J1125" s="2"/>
      <c r="K1125" s="2"/>
      <c r="L1125" s="2" t="str">
        <f t="shared" si="90"/>
        <v>_</v>
      </c>
      <c r="M1125" s="2"/>
      <c r="N1125" s="2">
        <f>IF(ISBLANK(Table2[[#This Row],[ActualResult]]), 0, 1)</f>
        <v>0</v>
      </c>
      <c r="O1125" s="2" t="str">
        <f>IF(ISBLANK(Table2[[#This Row],[ActualResult]]), "_", IF(Table2[[#This Row],[ActualWinner]]=Table2[[#This Row],[PredictedWinner]], "Y", "N"))</f>
        <v>_</v>
      </c>
      <c r="P11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5" s="2"/>
      <c r="S1125" s="2" t="str">
        <f t="shared" si="91"/>
        <v>_</v>
      </c>
      <c r="T11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5" s="2">
        <f>IF(Table2[[#This Row],[InterConf]]=1,IF(Table2[[#This Row],[InterDiv]]=0, 1, 0), 0)</f>
        <v>0</v>
      </c>
      <c r="W11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5" s="2"/>
      <c r="Y1125" s="2"/>
      <c r="Z1125" s="145">
        <f>IF(AND(Table2[[#This Row],[GameIsOver]]=1,Table2[[#This Row],[ActualHomeScore]]*Table2[[#This Row],[ActualAwayScore]]=0), 1,0)</f>
        <v>0</v>
      </c>
      <c r="AA11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5" s="2">
        <f>Table2[[#This Row],[ActualAwayScore]]-Table2[[#This Row],[PredictedAwayScore]]</f>
        <v>0</v>
      </c>
      <c r="AG1125" s="2">
        <f>Table2[[#This Row],[ActualHomeScore]]-Table2[[#This Row],[PredictedHomeScore]]</f>
        <v>0</v>
      </c>
      <c r="AH1125" s="2">
        <f t="shared" si="92"/>
        <v>0</v>
      </c>
      <c r="AI1125" s="2">
        <f t="shared" si="93"/>
        <v>0</v>
      </c>
      <c r="AJ1125" s="2"/>
      <c r="AK1125" s="3"/>
      <c r="AL1125" s="2">
        <f>IF(Table2[[#This Row],[GameIsOver]]=0,0,IF(Table2[[#This Row],[ActualWinner]]=Table2[[#This Row],[AwayTeam]], 1, 0))</f>
        <v>0</v>
      </c>
      <c r="AM1125" s="2">
        <f>IF(Table2[[#This Row],[GameIsOver]]=0,0,IF(Table2[[#This Row],[ActualWinner]]=Table2[[#This Row],[HomeTeam]], 1, 0))</f>
        <v>0</v>
      </c>
      <c r="AN11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5" s="2" t="str">
        <f>INDEX(Sheet5!$B$2:$AG$33, MATCH(Table2[[#This Row],[AwayTeam]],Sheet5!$A$2:$A$33, 0), MATCH(Table2[[#This Row],[HomeTeam]],Sheet5!$A$2:$A$33, 0))</f>
        <v>0-0-0</v>
      </c>
      <c r="AP1125" s="2" t="str">
        <f>INDEX(Sheet5!$B$2:$AG$33, MATCH(Table2[[#This Row],[HomeTeam]],Sheet5!$A$2:$A$33, 0), MATCH(Table2[[#This Row],[AwayTeam]],Sheet5!$A$2:$A$33, 0))</f>
        <v>0-0-0</v>
      </c>
      <c r="AQ1125" s="2">
        <f>IF(Table2[[#This Row],[GameHasShutOut]], 1, 0)</f>
        <v>0</v>
      </c>
      <c r="AR1125" s="2">
        <f>IF(Table2[[#This Row],[ActualAwayScore]] + Table2[[#This Row],[ActualHomeScore]] &gt;= 10, 1, 0)</f>
        <v>0</v>
      </c>
      <c r="AS1125" s="2">
        <f>IF(ABS(Table2[[#This Row],[ActualAwayScore]]-Table2[[#This Row],[ActualHomeScore]])&gt;=5, 1, 0)</f>
        <v>0</v>
      </c>
      <c r="AT1125" s="2">
        <f>IF(Table2[[#This Row],[ActualAwayScore]] + Table2[[#This Row],[ActualHomeScore]] &lt;= 3, 1, 0)</f>
        <v>1</v>
      </c>
      <c r="AU1125" s="2"/>
      <c r="AV1125" s="2"/>
    </row>
    <row r="1126" spans="1:48" x14ac:dyDescent="0.25">
      <c r="A1126" s="3"/>
      <c r="B1126" s="3">
        <v>46105</v>
      </c>
      <c r="C1126" s="5">
        <v>2025021124</v>
      </c>
      <c r="D1126" s="2" t="s">
        <v>16</v>
      </c>
      <c r="E1126" s="2" t="s">
        <v>32</v>
      </c>
      <c r="F1126" s="2"/>
      <c r="G1126" s="2"/>
      <c r="H1126" s="2" t="str">
        <f t="shared" si="89"/>
        <v>_</v>
      </c>
      <c r="I1126" s="2"/>
      <c r="J1126" s="2"/>
      <c r="K1126" s="2"/>
      <c r="L1126" s="2" t="str">
        <f t="shared" si="90"/>
        <v>_</v>
      </c>
      <c r="M1126" s="2"/>
      <c r="N1126" s="2">
        <f>IF(ISBLANK(Table2[[#This Row],[ActualResult]]), 0, 1)</f>
        <v>0</v>
      </c>
      <c r="O1126" s="2" t="str">
        <f>IF(ISBLANK(Table2[[#This Row],[ActualResult]]), "_", IF(Table2[[#This Row],[ActualWinner]]=Table2[[#This Row],[PredictedWinner]], "Y", "N"))</f>
        <v>_</v>
      </c>
      <c r="P11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6" s="2"/>
      <c r="S1126" s="2" t="str">
        <f t="shared" si="91"/>
        <v>_</v>
      </c>
      <c r="T11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6" s="2">
        <f>IF(Table2[[#This Row],[InterConf]]=1,IF(Table2[[#This Row],[InterDiv]]=0, 1, 0), 0)</f>
        <v>0</v>
      </c>
      <c r="W11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6" s="2"/>
      <c r="Y1126" s="2"/>
      <c r="Z1126" s="145">
        <f>IF(AND(Table2[[#This Row],[GameIsOver]]=1,Table2[[#This Row],[ActualHomeScore]]*Table2[[#This Row],[ActualAwayScore]]=0), 1,0)</f>
        <v>0</v>
      </c>
      <c r="AA11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6" s="2">
        <f>Table2[[#This Row],[ActualAwayScore]]-Table2[[#This Row],[PredictedAwayScore]]</f>
        <v>0</v>
      </c>
      <c r="AG1126" s="2">
        <f>Table2[[#This Row],[ActualHomeScore]]-Table2[[#This Row],[PredictedHomeScore]]</f>
        <v>0</v>
      </c>
      <c r="AH1126" s="2">
        <f t="shared" si="92"/>
        <v>0</v>
      </c>
      <c r="AI1126" s="2">
        <f t="shared" si="93"/>
        <v>0</v>
      </c>
      <c r="AJ1126" s="2"/>
      <c r="AK1126" s="3"/>
      <c r="AL1126" s="2">
        <f>IF(Table2[[#This Row],[GameIsOver]]=0,0,IF(Table2[[#This Row],[ActualWinner]]=Table2[[#This Row],[AwayTeam]], 1, 0))</f>
        <v>0</v>
      </c>
      <c r="AM1126" s="2">
        <f>IF(Table2[[#This Row],[GameIsOver]]=0,0,IF(Table2[[#This Row],[ActualWinner]]=Table2[[#This Row],[HomeTeam]], 1, 0))</f>
        <v>0</v>
      </c>
      <c r="AN11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6" s="2" t="str">
        <f>INDEX(Sheet5!$B$2:$AG$33, MATCH(Table2[[#This Row],[AwayTeam]],Sheet5!$A$2:$A$33, 0), MATCH(Table2[[#This Row],[HomeTeam]],Sheet5!$A$2:$A$33, 0))</f>
        <v>0-0-0</v>
      </c>
      <c r="AP1126" s="2" t="str">
        <f>INDEX(Sheet5!$B$2:$AG$33, MATCH(Table2[[#This Row],[HomeTeam]],Sheet5!$A$2:$A$33, 0), MATCH(Table2[[#This Row],[AwayTeam]],Sheet5!$A$2:$A$33, 0))</f>
        <v>0-0-0</v>
      </c>
      <c r="AQ1126" s="2">
        <f>IF(Table2[[#This Row],[GameHasShutOut]], 1, 0)</f>
        <v>0</v>
      </c>
      <c r="AR1126" s="2">
        <f>IF(Table2[[#This Row],[ActualAwayScore]] + Table2[[#This Row],[ActualHomeScore]] &gt;= 10, 1, 0)</f>
        <v>0</v>
      </c>
      <c r="AS1126" s="2">
        <f>IF(ABS(Table2[[#This Row],[ActualAwayScore]]-Table2[[#This Row],[ActualHomeScore]])&gt;=5, 1, 0)</f>
        <v>0</v>
      </c>
      <c r="AT1126" s="2">
        <f>IF(Table2[[#This Row],[ActualAwayScore]] + Table2[[#This Row],[ActualHomeScore]] &lt;= 3, 1, 0)</f>
        <v>1</v>
      </c>
      <c r="AU1126" s="2"/>
      <c r="AV1126" s="2"/>
    </row>
    <row r="1127" spans="1:48" x14ac:dyDescent="0.25">
      <c r="A1127" s="3"/>
      <c r="B1127" s="3">
        <v>46105</v>
      </c>
      <c r="C1127" s="5">
        <v>2025021125</v>
      </c>
      <c r="D1127" s="2" t="s">
        <v>35</v>
      </c>
      <c r="E1127" s="2" t="s">
        <v>42</v>
      </c>
      <c r="F1127" s="2"/>
      <c r="G1127" s="2"/>
      <c r="H1127" s="2" t="str">
        <f t="shared" si="89"/>
        <v>_</v>
      </c>
      <c r="I1127" s="2"/>
      <c r="J1127" s="2"/>
      <c r="K1127" s="2"/>
      <c r="L1127" s="2" t="str">
        <f t="shared" si="90"/>
        <v>_</v>
      </c>
      <c r="M1127" s="2"/>
      <c r="N1127" s="2">
        <f>IF(ISBLANK(Table2[[#This Row],[ActualResult]]), 0, 1)</f>
        <v>0</v>
      </c>
      <c r="O1127" s="2" t="str">
        <f>IF(ISBLANK(Table2[[#This Row],[ActualResult]]), "_", IF(Table2[[#This Row],[ActualWinner]]=Table2[[#This Row],[PredictedWinner]], "Y", "N"))</f>
        <v>_</v>
      </c>
      <c r="P11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7" s="2"/>
      <c r="S1127" s="2" t="str">
        <f t="shared" si="91"/>
        <v>_</v>
      </c>
      <c r="T11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27" s="2">
        <f>IF(Table2[[#This Row],[InterConf]]=1,IF(Table2[[#This Row],[InterDiv]]=0, 1, 0), 0)</f>
        <v>0</v>
      </c>
      <c r="W11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7" s="2"/>
      <c r="Y1127" s="2"/>
      <c r="Z1127" s="145">
        <f>IF(AND(Table2[[#This Row],[GameIsOver]]=1,Table2[[#This Row],[ActualHomeScore]]*Table2[[#This Row],[ActualAwayScore]]=0), 1,0)</f>
        <v>0</v>
      </c>
      <c r="AA11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7" s="2">
        <f>Table2[[#This Row],[ActualAwayScore]]-Table2[[#This Row],[PredictedAwayScore]]</f>
        <v>0</v>
      </c>
      <c r="AG1127" s="2">
        <f>Table2[[#This Row],[ActualHomeScore]]-Table2[[#This Row],[PredictedHomeScore]]</f>
        <v>0</v>
      </c>
      <c r="AH1127" s="2">
        <f t="shared" si="92"/>
        <v>0</v>
      </c>
      <c r="AI1127" s="2">
        <f t="shared" si="93"/>
        <v>0</v>
      </c>
      <c r="AJ1127" s="2"/>
      <c r="AK1127" s="3"/>
      <c r="AL1127" s="2">
        <f>IF(Table2[[#This Row],[GameIsOver]]=0,0,IF(Table2[[#This Row],[ActualWinner]]=Table2[[#This Row],[AwayTeam]], 1, 0))</f>
        <v>0</v>
      </c>
      <c r="AM1127" s="2">
        <f>IF(Table2[[#This Row],[GameIsOver]]=0,0,IF(Table2[[#This Row],[ActualWinner]]=Table2[[#This Row],[HomeTeam]], 1, 0))</f>
        <v>0</v>
      </c>
      <c r="AN11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7" s="2" t="str">
        <f>INDEX(Sheet5!$B$2:$AG$33, MATCH(Table2[[#This Row],[AwayTeam]],Sheet5!$A$2:$A$33, 0), MATCH(Table2[[#This Row],[HomeTeam]],Sheet5!$A$2:$A$33, 0))</f>
        <v>0-0-0</v>
      </c>
      <c r="AP1127" s="2" t="str">
        <f>INDEX(Sheet5!$B$2:$AG$33, MATCH(Table2[[#This Row],[HomeTeam]],Sheet5!$A$2:$A$33, 0), MATCH(Table2[[#This Row],[AwayTeam]],Sheet5!$A$2:$A$33, 0))</f>
        <v>0-0-0</v>
      </c>
      <c r="AQ1127" s="2">
        <f>IF(Table2[[#This Row],[GameHasShutOut]], 1, 0)</f>
        <v>0</v>
      </c>
      <c r="AR1127" s="2">
        <f>IF(Table2[[#This Row],[ActualAwayScore]] + Table2[[#This Row],[ActualHomeScore]] &gt;= 10, 1, 0)</f>
        <v>0</v>
      </c>
      <c r="AS1127" s="2">
        <f>IF(ABS(Table2[[#This Row],[ActualAwayScore]]-Table2[[#This Row],[ActualHomeScore]])&gt;=5, 1, 0)</f>
        <v>0</v>
      </c>
      <c r="AT1127" s="2">
        <f>IF(Table2[[#This Row],[ActualAwayScore]] + Table2[[#This Row],[ActualHomeScore]] &lt;= 3, 1, 0)</f>
        <v>1</v>
      </c>
      <c r="AU1127" s="2"/>
      <c r="AV1127" s="2"/>
    </row>
    <row r="1128" spans="1:48" x14ac:dyDescent="0.25">
      <c r="A1128" s="3"/>
      <c r="B1128" s="3">
        <v>46105</v>
      </c>
      <c r="C1128" s="5">
        <v>2025021126</v>
      </c>
      <c r="D1128" s="2" t="s">
        <v>25</v>
      </c>
      <c r="E1128" s="2" t="s">
        <v>20</v>
      </c>
      <c r="F1128" s="2"/>
      <c r="G1128" s="2"/>
      <c r="H1128" s="2" t="str">
        <f t="shared" si="89"/>
        <v>_</v>
      </c>
      <c r="I1128" s="2"/>
      <c r="J1128" s="2"/>
      <c r="K1128" s="2"/>
      <c r="L1128" s="2" t="str">
        <f t="shared" si="90"/>
        <v>_</v>
      </c>
      <c r="M1128" s="2"/>
      <c r="N1128" s="2">
        <f>IF(ISBLANK(Table2[[#This Row],[ActualResult]]), 0, 1)</f>
        <v>0</v>
      </c>
      <c r="O1128" s="2" t="str">
        <f>IF(ISBLANK(Table2[[#This Row],[ActualResult]]), "_", IF(Table2[[#This Row],[ActualWinner]]=Table2[[#This Row],[PredictedWinner]], "Y", "N"))</f>
        <v>_</v>
      </c>
      <c r="P11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8" s="2"/>
      <c r="S1128" s="2" t="str">
        <f t="shared" si="91"/>
        <v>_</v>
      </c>
      <c r="T11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8" s="2">
        <f>IF(Table2[[#This Row],[InterConf]]=1,IF(Table2[[#This Row],[InterDiv]]=0, 1, 0), 0)</f>
        <v>0</v>
      </c>
      <c r="W11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8" s="2"/>
      <c r="Y1128" s="2"/>
      <c r="Z1128" s="145">
        <f>IF(AND(Table2[[#This Row],[GameIsOver]]=1,Table2[[#This Row],[ActualHomeScore]]*Table2[[#This Row],[ActualAwayScore]]=0), 1,0)</f>
        <v>0</v>
      </c>
      <c r="AA11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8" s="2">
        <f>Table2[[#This Row],[ActualAwayScore]]-Table2[[#This Row],[PredictedAwayScore]]</f>
        <v>0</v>
      </c>
      <c r="AG1128" s="2">
        <f>Table2[[#This Row],[ActualHomeScore]]-Table2[[#This Row],[PredictedHomeScore]]</f>
        <v>0</v>
      </c>
      <c r="AH1128" s="2">
        <f t="shared" si="92"/>
        <v>0</v>
      </c>
      <c r="AI1128" s="2">
        <f t="shared" si="93"/>
        <v>0</v>
      </c>
      <c r="AJ1128" s="2"/>
      <c r="AK1128" s="3"/>
      <c r="AL1128" s="2">
        <f>IF(Table2[[#This Row],[GameIsOver]]=0,0,IF(Table2[[#This Row],[ActualWinner]]=Table2[[#This Row],[AwayTeam]], 1, 0))</f>
        <v>0</v>
      </c>
      <c r="AM1128" s="2">
        <f>IF(Table2[[#This Row],[GameIsOver]]=0,0,IF(Table2[[#This Row],[ActualWinner]]=Table2[[#This Row],[HomeTeam]], 1, 0))</f>
        <v>0</v>
      </c>
      <c r="AN11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8" s="2" t="str">
        <f>INDEX(Sheet5!$B$2:$AG$33, MATCH(Table2[[#This Row],[AwayTeam]],Sheet5!$A$2:$A$33, 0), MATCH(Table2[[#This Row],[HomeTeam]],Sheet5!$A$2:$A$33, 0))</f>
        <v>0-0-0</v>
      </c>
      <c r="AP1128" s="2" t="str">
        <f>INDEX(Sheet5!$B$2:$AG$33, MATCH(Table2[[#This Row],[HomeTeam]],Sheet5!$A$2:$A$33, 0), MATCH(Table2[[#This Row],[AwayTeam]],Sheet5!$A$2:$A$33, 0))</f>
        <v>0-0-0</v>
      </c>
      <c r="AQ1128" s="2">
        <f>IF(Table2[[#This Row],[GameHasShutOut]], 1, 0)</f>
        <v>0</v>
      </c>
      <c r="AR1128" s="2">
        <f>IF(Table2[[#This Row],[ActualAwayScore]] + Table2[[#This Row],[ActualHomeScore]] &gt;= 10, 1, 0)</f>
        <v>0</v>
      </c>
      <c r="AS1128" s="2">
        <f>IF(ABS(Table2[[#This Row],[ActualAwayScore]]-Table2[[#This Row],[ActualHomeScore]])&gt;=5, 1, 0)</f>
        <v>0</v>
      </c>
      <c r="AT1128" s="2">
        <f>IF(Table2[[#This Row],[ActualAwayScore]] + Table2[[#This Row],[ActualHomeScore]] &lt;= 3, 1, 0)</f>
        <v>1</v>
      </c>
      <c r="AU1128" s="2"/>
      <c r="AV1128" s="2"/>
    </row>
    <row r="1129" spans="1:48" x14ac:dyDescent="0.25">
      <c r="A1129" s="3"/>
      <c r="B1129" s="3">
        <v>46105</v>
      </c>
      <c r="C1129" s="5">
        <v>2025021127</v>
      </c>
      <c r="D1129" s="2" t="s">
        <v>36</v>
      </c>
      <c r="E1129" s="2" t="s">
        <v>40</v>
      </c>
      <c r="F1129" s="2"/>
      <c r="G1129" s="2"/>
      <c r="H1129" s="2" t="str">
        <f t="shared" si="89"/>
        <v>_</v>
      </c>
      <c r="I1129" s="2"/>
      <c r="J1129" s="2"/>
      <c r="K1129" s="2"/>
      <c r="L1129" s="2" t="str">
        <f t="shared" si="90"/>
        <v>_</v>
      </c>
      <c r="M1129" s="2"/>
      <c r="N1129" s="2">
        <f>IF(ISBLANK(Table2[[#This Row],[ActualResult]]), 0, 1)</f>
        <v>0</v>
      </c>
      <c r="O1129" s="2" t="str">
        <f>IF(ISBLANK(Table2[[#This Row],[ActualResult]]), "_", IF(Table2[[#This Row],[ActualWinner]]=Table2[[#This Row],[PredictedWinner]], "Y", "N"))</f>
        <v>_</v>
      </c>
      <c r="P11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9" s="2"/>
      <c r="S1129" s="2" t="str">
        <f t="shared" si="91"/>
        <v>_</v>
      </c>
      <c r="T11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9" s="2">
        <f>IF(Table2[[#This Row],[InterConf]]=1,IF(Table2[[#This Row],[InterDiv]]=0, 1, 0), 0)</f>
        <v>0</v>
      </c>
      <c r="W11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9" s="2"/>
      <c r="Y1129" s="2"/>
      <c r="Z1129" s="145">
        <f>IF(AND(Table2[[#This Row],[GameIsOver]]=1,Table2[[#This Row],[ActualHomeScore]]*Table2[[#This Row],[ActualAwayScore]]=0), 1,0)</f>
        <v>0</v>
      </c>
      <c r="AA11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9" s="2">
        <f>Table2[[#This Row],[ActualAwayScore]]-Table2[[#This Row],[PredictedAwayScore]]</f>
        <v>0</v>
      </c>
      <c r="AG1129" s="2">
        <f>Table2[[#This Row],[ActualHomeScore]]-Table2[[#This Row],[PredictedHomeScore]]</f>
        <v>0</v>
      </c>
      <c r="AH1129" s="2">
        <f t="shared" si="92"/>
        <v>0</v>
      </c>
      <c r="AI1129" s="2">
        <f t="shared" si="93"/>
        <v>0</v>
      </c>
      <c r="AJ1129" s="2"/>
      <c r="AK1129" s="3"/>
      <c r="AL1129" s="2">
        <f>IF(Table2[[#This Row],[GameIsOver]]=0,0,IF(Table2[[#This Row],[ActualWinner]]=Table2[[#This Row],[AwayTeam]], 1, 0))</f>
        <v>0</v>
      </c>
      <c r="AM1129" s="2">
        <f>IF(Table2[[#This Row],[GameIsOver]]=0,0,IF(Table2[[#This Row],[ActualWinner]]=Table2[[#This Row],[HomeTeam]], 1, 0))</f>
        <v>0</v>
      </c>
      <c r="AN11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9" s="2" t="str">
        <f>INDEX(Sheet5!$B$2:$AG$33, MATCH(Table2[[#This Row],[AwayTeam]],Sheet5!$A$2:$A$33, 0), MATCH(Table2[[#This Row],[HomeTeam]],Sheet5!$A$2:$A$33, 0))</f>
        <v>0-0-0</v>
      </c>
      <c r="AP1129" s="2" t="str">
        <f>INDEX(Sheet5!$B$2:$AG$33, MATCH(Table2[[#This Row],[HomeTeam]],Sheet5!$A$2:$A$33, 0), MATCH(Table2[[#This Row],[AwayTeam]],Sheet5!$A$2:$A$33, 0))</f>
        <v>0-0-0</v>
      </c>
      <c r="AQ1129" s="2">
        <f>IF(Table2[[#This Row],[GameHasShutOut]], 1, 0)</f>
        <v>0</v>
      </c>
      <c r="AR1129" s="2">
        <f>IF(Table2[[#This Row],[ActualAwayScore]] + Table2[[#This Row],[ActualHomeScore]] &gt;= 10, 1, 0)</f>
        <v>0</v>
      </c>
      <c r="AS1129" s="2">
        <f>IF(ABS(Table2[[#This Row],[ActualAwayScore]]-Table2[[#This Row],[ActualHomeScore]])&gt;=5, 1, 0)</f>
        <v>0</v>
      </c>
      <c r="AT1129" s="2">
        <f>IF(Table2[[#This Row],[ActualAwayScore]] + Table2[[#This Row],[ActualHomeScore]] &lt;= 3, 1, 0)</f>
        <v>1</v>
      </c>
      <c r="AU1129" s="2"/>
      <c r="AV1129" s="2"/>
    </row>
    <row r="1130" spans="1:48" x14ac:dyDescent="0.25">
      <c r="A1130" s="3"/>
      <c r="B1130" s="3">
        <v>46106</v>
      </c>
      <c r="C1130" s="5">
        <v>2025021128</v>
      </c>
      <c r="D1130" s="2" t="s">
        <v>43</v>
      </c>
      <c r="E1130" s="2" t="s">
        <v>12</v>
      </c>
      <c r="F1130" s="2"/>
      <c r="G1130" s="2"/>
      <c r="H1130" s="2" t="str">
        <f t="shared" si="89"/>
        <v>_</v>
      </c>
      <c r="I1130" s="2"/>
      <c r="J1130" s="2"/>
      <c r="K1130" s="2"/>
      <c r="L1130" s="2" t="str">
        <f t="shared" si="90"/>
        <v>_</v>
      </c>
      <c r="M1130" s="2"/>
      <c r="N1130" s="2">
        <f>IF(ISBLANK(Table2[[#This Row],[ActualResult]]), 0, 1)</f>
        <v>0</v>
      </c>
      <c r="O1130" s="2" t="str">
        <f>IF(ISBLANK(Table2[[#This Row],[ActualResult]]), "_", IF(Table2[[#This Row],[ActualWinner]]=Table2[[#This Row],[PredictedWinner]], "Y", "N"))</f>
        <v>_</v>
      </c>
      <c r="P11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0" s="2"/>
      <c r="S1130" s="2" t="str">
        <f t="shared" si="91"/>
        <v>_</v>
      </c>
      <c r="T11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0" s="2">
        <f>IF(Table2[[#This Row],[InterConf]]=1,IF(Table2[[#This Row],[InterDiv]]=0, 1, 0), 0)</f>
        <v>0</v>
      </c>
      <c r="W11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30" s="2"/>
      <c r="Y1130" s="2"/>
      <c r="Z1130" s="145">
        <f>IF(AND(Table2[[#This Row],[GameIsOver]]=1,Table2[[#This Row],[ActualHomeScore]]*Table2[[#This Row],[ActualAwayScore]]=0), 1,0)</f>
        <v>0</v>
      </c>
      <c r="AA11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0" s="2">
        <f>Table2[[#This Row],[ActualAwayScore]]-Table2[[#This Row],[PredictedAwayScore]]</f>
        <v>0</v>
      </c>
      <c r="AG1130" s="2">
        <f>Table2[[#This Row],[ActualHomeScore]]-Table2[[#This Row],[PredictedHomeScore]]</f>
        <v>0</v>
      </c>
      <c r="AH1130" s="2">
        <f t="shared" si="92"/>
        <v>0</v>
      </c>
      <c r="AI1130" s="2">
        <f t="shared" si="93"/>
        <v>0</v>
      </c>
      <c r="AJ1130" s="2"/>
      <c r="AK1130" s="3"/>
      <c r="AL1130" s="2">
        <f>IF(Table2[[#This Row],[GameIsOver]]=0,0,IF(Table2[[#This Row],[ActualWinner]]=Table2[[#This Row],[AwayTeam]], 1, 0))</f>
        <v>0</v>
      </c>
      <c r="AM1130" s="2">
        <f>IF(Table2[[#This Row],[GameIsOver]]=0,0,IF(Table2[[#This Row],[ActualWinner]]=Table2[[#This Row],[HomeTeam]], 1, 0))</f>
        <v>0</v>
      </c>
      <c r="AN11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0" s="2" t="str">
        <f>INDEX(Sheet5!$B$2:$AG$33, MATCH(Table2[[#This Row],[AwayTeam]],Sheet5!$A$2:$A$33, 0), MATCH(Table2[[#This Row],[HomeTeam]],Sheet5!$A$2:$A$33, 0))</f>
        <v>0-0-0</v>
      </c>
      <c r="AP1130" s="2" t="str">
        <f>INDEX(Sheet5!$B$2:$AG$33, MATCH(Table2[[#This Row],[HomeTeam]],Sheet5!$A$2:$A$33, 0), MATCH(Table2[[#This Row],[AwayTeam]],Sheet5!$A$2:$A$33, 0))</f>
        <v>0-0-0</v>
      </c>
      <c r="AQ1130" s="2">
        <f>IF(Table2[[#This Row],[GameHasShutOut]], 1, 0)</f>
        <v>0</v>
      </c>
      <c r="AR1130" s="2">
        <f>IF(Table2[[#This Row],[ActualAwayScore]] + Table2[[#This Row],[ActualHomeScore]] &gt;= 10, 1, 0)</f>
        <v>0</v>
      </c>
      <c r="AS1130" s="2">
        <f>IF(ABS(Table2[[#This Row],[ActualAwayScore]]-Table2[[#This Row],[ActualHomeScore]])&gt;=5, 1, 0)</f>
        <v>0</v>
      </c>
      <c r="AT1130" s="2">
        <f>IF(Table2[[#This Row],[ActualAwayScore]] + Table2[[#This Row],[ActualHomeScore]] &lt;= 3, 1, 0)</f>
        <v>1</v>
      </c>
      <c r="AU1130" s="2"/>
      <c r="AV1130" s="2"/>
    </row>
    <row r="1131" spans="1:48" x14ac:dyDescent="0.25">
      <c r="A1131" s="3"/>
      <c r="B1131" s="3">
        <v>46106</v>
      </c>
      <c r="C1131" s="5">
        <v>2025021129</v>
      </c>
      <c r="D1131" s="2" t="s">
        <v>37</v>
      </c>
      <c r="E1131" s="2" t="s">
        <v>34</v>
      </c>
      <c r="F1131" s="2"/>
      <c r="G1131" s="2"/>
      <c r="H1131" s="2" t="str">
        <f t="shared" si="89"/>
        <v>_</v>
      </c>
      <c r="I1131" s="2"/>
      <c r="J1131" s="2"/>
      <c r="K1131" s="2"/>
      <c r="L1131" s="2" t="str">
        <f t="shared" si="90"/>
        <v>_</v>
      </c>
      <c r="M1131" s="2"/>
      <c r="N1131" s="2">
        <f>IF(ISBLANK(Table2[[#This Row],[ActualResult]]), 0, 1)</f>
        <v>0</v>
      </c>
      <c r="O1131" s="2" t="str">
        <f>IF(ISBLANK(Table2[[#This Row],[ActualResult]]), "_", IF(Table2[[#This Row],[ActualWinner]]=Table2[[#This Row],[PredictedWinner]], "Y", "N"))</f>
        <v>_</v>
      </c>
      <c r="P11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1" s="2"/>
      <c r="S1131" s="2" t="str">
        <f t="shared" si="91"/>
        <v>_</v>
      </c>
      <c r="T11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1" s="2">
        <f>IF(Table2[[#This Row],[InterConf]]=1,IF(Table2[[#This Row],[InterDiv]]=0, 1, 0), 0)</f>
        <v>1</v>
      </c>
      <c r="W11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1" s="2"/>
      <c r="Y1131" s="2"/>
      <c r="Z1131" s="145">
        <f>IF(AND(Table2[[#This Row],[GameIsOver]]=1,Table2[[#This Row],[ActualHomeScore]]*Table2[[#This Row],[ActualAwayScore]]=0), 1,0)</f>
        <v>0</v>
      </c>
      <c r="AA11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1" s="2">
        <f>Table2[[#This Row],[ActualAwayScore]]-Table2[[#This Row],[PredictedAwayScore]]</f>
        <v>0</v>
      </c>
      <c r="AG1131" s="2">
        <f>Table2[[#This Row],[ActualHomeScore]]-Table2[[#This Row],[PredictedHomeScore]]</f>
        <v>0</v>
      </c>
      <c r="AH1131" s="2">
        <f t="shared" si="92"/>
        <v>0</v>
      </c>
      <c r="AI1131" s="2">
        <f t="shared" si="93"/>
        <v>0</v>
      </c>
      <c r="AJ1131" s="2"/>
      <c r="AK1131" s="3"/>
      <c r="AL1131" s="2">
        <f>IF(Table2[[#This Row],[GameIsOver]]=0,0,IF(Table2[[#This Row],[ActualWinner]]=Table2[[#This Row],[AwayTeam]], 1, 0))</f>
        <v>0</v>
      </c>
      <c r="AM1131" s="2">
        <f>IF(Table2[[#This Row],[GameIsOver]]=0,0,IF(Table2[[#This Row],[ActualWinner]]=Table2[[#This Row],[HomeTeam]], 1, 0))</f>
        <v>0</v>
      </c>
      <c r="AN11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1" s="2" t="str">
        <f>INDEX(Sheet5!$B$2:$AG$33, MATCH(Table2[[#This Row],[AwayTeam]],Sheet5!$A$2:$A$33, 0), MATCH(Table2[[#This Row],[HomeTeam]],Sheet5!$A$2:$A$33, 0))</f>
        <v>0-0-0</v>
      </c>
      <c r="AP1131" s="2" t="str">
        <f>INDEX(Sheet5!$B$2:$AG$33, MATCH(Table2[[#This Row],[HomeTeam]],Sheet5!$A$2:$A$33, 0), MATCH(Table2[[#This Row],[AwayTeam]],Sheet5!$A$2:$A$33, 0))</f>
        <v>0-0-0</v>
      </c>
      <c r="AQ1131" s="2">
        <f>IF(Table2[[#This Row],[GameHasShutOut]], 1, 0)</f>
        <v>0</v>
      </c>
      <c r="AR1131" s="2">
        <f>IF(Table2[[#This Row],[ActualAwayScore]] + Table2[[#This Row],[ActualHomeScore]] &gt;= 10, 1, 0)</f>
        <v>0</v>
      </c>
      <c r="AS1131" s="2">
        <f>IF(ABS(Table2[[#This Row],[ActualAwayScore]]-Table2[[#This Row],[ActualHomeScore]])&gt;=5, 1, 0)</f>
        <v>0</v>
      </c>
      <c r="AT1131" s="2">
        <f>IF(Table2[[#This Row],[ActualAwayScore]] + Table2[[#This Row],[ActualHomeScore]] &lt;= 3, 1, 0)</f>
        <v>1</v>
      </c>
      <c r="AU1131" s="2"/>
      <c r="AV1131" s="2"/>
    </row>
    <row r="1132" spans="1:48" x14ac:dyDescent="0.25">
      <c r="A1132" s="3"/>
      <c r="B1132" s="3">
        <v>46106</v>
      </c>
      <c r="C1132" s="5">
        <v>2025021130</v>
      </c>
      <c r="D1132" s="2" t="s">
        <v>31</v>
      </c>
      <c r="E1132" s="2" t="s">
        <v>33</v>
      </c>
      <c r="F1132" s="2"/>
      <c r="G1132" s="2"/>
      <c r="H1132" s="2" t="str">
        <f t="shared" si="89"/>
        <v>_</v>
      </c>
      <c r="I1132" s="2"/>
      <c r="J1132" s="2"/>
      <c r="K1132" s="2"/>
      <c r="L1132" s="2" t="str">
        <f t="shared" si="90"/>
        <v>_</v>
      </c>
      <c r="M1132" s="2"/>
      <c r="N1132" s="2">
        <f>IF(ISBLANK(Table2[[#This Row],[ActualResult]]), 0, 1)</f>
        <v>0</v>
      </c>
      <c r="O1132" s="2" t="str">
        <f>IF(ISBLANK(Table2[[#This Row],[ActualResult]]), "_", IF(Table2[[#This Row],[ActualWinner]]=Table2[[#This Row],[PredictedWinner]], "Y", "N"))</f>
        <v>_</v>
      </c>
      <c r="P11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2" s="2"/>
      <c r="S1132" s="2" t="str">
        <f t="shared" si="91"/>
        <v>_</v>
      </c>
      <c r="T11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2" s="2">
        <f>IF(Table2[[#This Row],[InterConf]]=1,IF(Table2[[#This Row],[InterDiv]]=0, 1, 0), 0)</f>
        <v>0</v>
      </c>
      <c r="W11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32" s="2"/>
      <c r="Y1132" s="2"/>
      <c r="Z1132" s="145">
        <f>IF(AND(Table2[[#This Row],[GameIsOver]]=1,Table2[[#This Row],[ActualHomeScore]]*Table2[[#This Row],[ActualAwayScore]]=0), 1,0)</f>
        <v>0</v>
      </c>
      <c r="AA11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2" s="2">
        <f>Table2[[#This Row],[ActualAwayScore]]-Table2[[#This Row],[PredictedAwayScore]]</f>
        <v>0</v>
      </c>
      <c r="AG1132" s="2">
        <f>Table2[[#This Row],[ActualHomeScore]]-Table2[[#This Row],[PredictedHomeScore]]</f>
        <v>0</v>
      </c>
      <c r="AH1132" s="2">
        <f t="shared" si="92"/>
        <v>0</v>
      </c>
      <c r="AI1132" s="2">
        <f t="shared" si="93"/>
        <v>0</v>
      </c>
      <c r="AJ1132" s="2"/>
      <c r="AK1132" s="3"/>
      <c r="AL1132" s="2">
        <f>IF(Table2[[#This Row],[GameIsOver]]=0,0,IF(Table2[[#This Row],[ActualWinner]]=Table2[[#This Row],[AwayTeam]], 1, 0))</f>
        <v>0</v>
      </c>
      <c r="AM1132" s="2">
        <f>IF(Table2[[#This Row],[GameIsOver]]=0,0,IF(Table2[[#This Row],[ActualWinner]]=Table2[[#This Row],[HomeTeam]], 1, 0))</f>
        <v>0</v>
      </c>
      <c r="AN11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2" s="2" t="str">
        <f>INDEX(Sheet5!$B$2:$AG$33, MATCH(Table2[[#This Row],[AwayTeam]],Sheet5!$A$2:$A$33, 0), MATCH(Table2[[#This Row],[HomeTeam]],Sheet5!$A$2:$A$33, 0))</f>
        <v>0-0-0</v>
      </c>
      <c r="AP1132" s="2" t="str">
        <f>INDEX(Sheet5!$B$2:$AG$33, MATCH(Table2[[#This Row],[HomeTeam]],Sheet5!$A$2:$A$33, 0), MATCH(Table2[[#This Row],[AwayTeam]],Sheet5!$A$2:$A$33, 0))</f>
        <v>0-0-0</v>
      </c>
      <c r="AQ1132" s="2">
        <f>IF(Table2[[#This Row],[GameHasShutOut]], 1, 0)</f>
        <v>0</v>
      </c>
      <c r="AR1132" s="2">
        <f>IF(Table2[[#This Row],[ActualAwayScore]] + Table2[[#This Row],[ActualHomeScore]] &gt;= 10, 1, 0)</f>
        <v>0</v>
      </c>
      <c r="AS1132" s="2">
        <f>IF(ABS(Table2[[#This Row],[ActualAwayScore]]-Table2[[#This Row],[ActualHomeScore]])&gt;=5, 1, 0)</f>
        <v>0</v>
      </c>
      <c r="AT1132" s="2">
        <f>IF(Table2[[#This Row],[ActualAwayScore]] + Table2[[#This Row],[ActualHomeScore]] &lt;= 3, 1, 0)</f>
        <v>1</v>
      </c>
      <c r="AU1132" s="2"/>
      <c r="AV1132" s="2"/>
    </row>
    <row r="1133" spans="1:48" x14ac:dyDescent="0.25">
      <c r="A1133" s="3"/>
      <c r="B1133" s="3">
        <v>46106</v>
      </c>
      <c r="C1133" s="5">
        <v>2025021131</v>
      </c>
      <c r="D1133" s="2" t="s">
        <v>26</v>
      </c>
      <c r="E1133" s="2" t="s">
        <v>21</v>
      </c>
      <c r="F1133" s="2"/>
      <c r="G1133" s="2"/>
      <c r="H1133" s="2" t="str">
        <f t="shared" si="89"/>
        <v>_</v>
      </c>
      <c r="I1133" s="2"/>
      <c r="J1133" s="2"/>
      <c r="K1133" s="2"/>
      <c r="L1133" s="2" t="str">
        <f t="shared" si="90"/>
        <v>_</v>
      </c>
      <c r="M1133" s="2"/>
      <c r="N1133" s="2">
        <f>IF(ISBLANK(Table2[[#This Row],[ActualResult]]), 0, 1)</f>
        <v>0</v>
      </c>
      <c r="O1133" s="2" t="str">
        <f>IF(ISBLANK(Table2[[#This Row],[ActualResult]]), "_", IF(Table2[[#This Row],[ActualWinner]]=Table2[[#This Row],[PredictedWinner]], "Y", "N"))</f>
        <v>_</v>
      </c>
      <c r="P11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3" s="2"/>
      <c r="S1133" s="2" t="str">
        <f t="shared" si="91"/>
        <v>_</v>
      </c>
      <c r="T11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3" s="2">
        <f>IF(Table2[[#This Row],[InterConf]]=1,IF(Table2[[#This Row],[InterDiv]]=0, 1, 0), 0)</f>
        <v>1</v>
      </c>
      <c r="W11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3" s="2"/>
      <c r="Y1133" s="2"/>
      <c r="Z1133" s="145">
        <f>IF(AND(Table2[[#This Row],[GameIsOver]]=1,Table2[[#This Row],[ActualHomeScore]]*Table2[[#This Row],[ActualAwayScore]]=0), 1,0)</f>
        <v>0</v>
      </c>
      <c r="AA11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3" s="2">
        <f>Table2[[#This Row],[ActualAwayScore]]-Table2[[#This Row],[PredictedAwayScore]]</f>
        <v>0</v>
      </c>
      <c r="AG1133" s="2">
        <f>Table2[[#This Row],[ActualHomeScore]]-Table2[[#This Row],[PredictedHomeScore]]</f>
        <v>0</v>
      </c>
      <c r="AH1133" s="2">
        <f t="shared" si="92"/>
        <v>0</v>
      </c>
      <c r="AI1133" s="2">
        <f t="shared" si="93"/>
        <v>0</v>
      </c>
      <c r="AJ1133" s="2"/>
      <c r="AK1133" s="3"/>
      <c r="AL1133" s="2">
        <f>IF(Table2[[#This Row],[GameIsOver]]=0,0,IF(Table2[[#This Row],[ActualWinner]]=Table2[[#This Row],[AwayTeam]], 1, 0))</f>
        <v>0</v>
      </c>
      <c r="AM1133" s="2">
        <f>IF(Table2[[#This Row],[GameIsOver]]=0,0,IF(Table2[[#This Row],[ActualWinner]]=Table2[[#This Row],[HomeTeam]], 1, 0))</f>
        <v>0</v>
      </c>
      <c r="AN11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3" s="2" t="str">
        <f>INDEX(Sheet5!$B$2:$AG$33, MATCH(Table2[[#This Row],[AwayTeam]],Sheet5!$A$2:$A$33, 0), MATCH(Table2[[#This Row],[HomeTeam]],Sheet5!$A$2:$A$33, 0))</f>
        <v>0-0-0</v>
      </c>
      <c r="AP1133" s="2" t="str">
        <f>INDEX(Sheet5!$B$2:$AG$33, MATCH(Table2[[#This Row],[HomeTeam]],Sheet5!$A$2:$A$33, 0), MATCH(Table2[[#This Row],[AwayTeam]],Sheet5!$A$2:$A$33, 0))</f>
        <v>0-0-0</v>
      </c>
      <c r="AQ1133" s="2">
        <f>IF(Table2[[#This Row],[GameHasShutOut]], 1, 0)</f>
        <v>0</v>
      </c>
      <c r="AR1133" s="2">
        <f>IF(Table2[[#This Row],[ActualAwayScore]] + Table2[[#This Row],[ActualHomeScore]] &gt;= 10, 1, 0)</f>
        <v>0</v>
      </c>
      <c r="AS1133" s="2">
        <f>IF(ABS(Table2[[#This Row],[ActualAwayScore]]-Table2[[#This Row],[ActualHomeScore]])&gt;=5, 1, 0)</f>
        <v>0</v>
      </c>
      <c r="AT1133" s="2">
        <f>IF(Table2[[#This Row],[ActualAwayScore]] + Table2[[#This Row],[ActualHomeScore]] &lt;= 3, 1, 0)</f>
        <v>1</v>
      </c>
      <c r="AU1133" s="2"/>
      <c r="AV1133" s="2"/>
    </row>
    <row r="1134" spans="1:48" x14ac:dyDescent="0.25">
      <c r="A1134" s="3"/>
      <c r="B1134" s="3">
        <v>46106</v>
      </c>
      <c r="C1134" s="5">
        <v>2025021132</v>
      </c>
      <c r="D1134" s="2" t="s">
        <v>22</v>
      </c>
      <c r="E1134" s="2" t="s">
        <v>14</v>
      </c>
      <c r="F1134" s="2"/>
      <c r="G1134" s="2"/>
      <c r="H1134" s="2" t="str">
        <f t="shared" si="89"/>
        <v>_</v>
      </c>
      <c r="I1134" s="2"/>
      <c r="J1134" s="2"/>
      <c r="K1134" s="2"/>
      <c r="L1134" s="2" t="str">
        <f t="shared" si="90"/>
        <v>_</v>
      </c>
      <c r="M1134" s="2"/>
      <c r="N1134" s="2">
        <f>IF(ISBLANK(Table2[[#This Row],[ActualResult]]), 0, 1)</f>
        <v>0</v>
      </c>
      <c r="O1134" s="2" t="str">
        <f>IF(ISBLANK(Table2[[#This Row],[ActualResult]]), "_", IF(Table2[[#This Row],[ActualWinner]]=Table2[[#This Row],[PredictedWinner]], "Y", "N"))</f>
        <v>_</v>
      </c>
      <c r="P11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4" s="2"/>
      <c r="S1134" s="2" t="str">
        <f t="shared" si="91"/>
        <v>_</v>
      </c>
      <c r="T11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4" s="2">
        <f>IF(Table2[[#This Row],[InterConf]]=1,IF(Table2[[#This Row],[InterDiv]]=0, 1, 0), 0)</f>
        <v>1</v>
      </c>
      <c r="W11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4" s="2"/>
      <c r="Y1134" s="2"/>
      <c r="Z1134" s="145">
        <f>IF(AND(Table2[[#This Row],[GameIsOver]]=1,Table2[[#This Row],[ActualHomeScore]]*Table2[[#This Row],[ActualAwayScore]]=0), 1,0)</f>
        <v>0</v>
      </c>
      <c r="AA11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4" s="2">
        <f>Table2[[#This Row],[ActualAwayScore]]-Table2[[#This Row],[PredictedAwayScore]]</f>
        <v>0</v>
      </c>
      <c r="AG1134" s="2">
        <f>Table2[[#This Row],[ActualHomeScore]]-Table2[[#This Row],[PredictedHomeScore]]</f>
        <v>0</v>
      </c>
      <c r="AH1134" s="2">
        <f t="shared" si="92"/>
        <v>0</v>
      </c>
      <c r="AI1134" s="2">
        <f t="shared" si="93"/>
        <v>0</v>
      </c>
      <c r="AJ1134" s="2"/>
      <c r="AK1134" s="3"/>
      <c r="AL1134" s="2">
        <f>IF(Table2[[#This Row],[GameIsOver]]=0,0,IF(Table2[[#This Row],[ActualWinner]]=Table2[[#This Row],[AwayTeam]], 1, 0))</f>
        <v>0</v>
      </c>
      <c r="AM1134" s="2">
        <f>IF(Table2[[#This Row],[GameIsOver]]=0,0,IF(Table2[[#This Row],[ActualWinner]]=Table2[[#This Row],[HomeTeam]], 1, 0))</f>
        <v>0</v>
      </c>
      <c r="AN11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4" s="2" t="str">
        <f>INDEX(Sheet5!$B$2:$AG$33, MATCH(Table2[[#This Row],[AwayTeam]],Sheet5!$A$2:$A$33, 0), MATCH(Table2[[#This Row],[HomeTeam]],Sheet5!$A$2:$A$33, 0))</f>
        <v>0-0-0</v>
      </c>
      <c r="AP1134" s="2" t="str">
        <f>INDEX(Sheet5!$B$2:$AG$33, MATCH(Table2[[#This Row],[HomeTeam]],Sheet5!$A$2:$A$33, 0), MATCH(Table2[[#This Row],[AwayTeam]],Sheet5!$A$2:$A$33, 0))</f>
        <v>0-0-0</v>
      </c>
      <c r="AQ1134" s="2">
        <f>IF(Table2[[#This Row],[GameHasShutOut]], 1, 0)</f>
        <v>0</v>
      </c>
      <c r="AR1134" s="2">
        <f>IF(Table2[[#This Row],[ActualAwayScore]] + Table2[[#This Row],[ActualHomeScore]] &gt;= 10, 1, 0)</f>
        <v>0</v>
      </c>
      <c r="AS1134" s="2">
        <f>IF(ABS(Table2[[#This Row],[ActualAwayScore]]-Table2[[#This Row],[ActualHomeScore]])&gt;=5, 1, 0)</f>
        <v>0</v>
      </c>
      <c r="AT1134" s="2">
        <f>IF(Table2[[#This Row],[ActualAwayScore]] + Table2[[#This Row],[ActualHomeScore]] &lt;= 3, 1, 0)</f>
        <v>1</v>
      </c>
      <c r="AU1134" s="2"/>
      <c r="AV1134" s="2"/>
    </row>
    <row r="1135" spans="1:48" x14ac:dyDescent="0.25">
      <c r="A1135" s="3"/>
      <c r="B1135" s="3">
        <v>46106</v>
      </c>
      <c r="C1135" s="5">
        <v>2025021133</v>
      </c>
      <c r="D1135" s="2" t="s">
        <v>27</v>
      </c>
      <c r="E1135" s="2" t="s">
        <v>23</v>
      </c>
      <c r="F1135" s="2"/>
      <c r="G1135" s="2"/>
      <c r="H1135" s="2" t="str">
        <f t="shared" si="89"/>
        <v>_</v>
      </c>
      <c r="I1135" s="2"/>
      <c r="J1135" s="2"/>
      <c r="K1135" s="2"/>
      <c r="L1135" s="2" t="str">
        <f t="shared" si="90"/>
        <v>_</v>
      </c>
      <c r="M1135" s="2"/>
      <c r="N1135" s="2">
        <f>IF(ISBLANK(Table2[[#This Row],[ActualResult]]), 0, 1)</f>
        <v>0</v>
      </c>
      <c r="O1135" s="2" t="str">
        <f>IF(ISBLANK(Table2[[#This Row],[ActualResult]]), "_", IF(Table2[[#This Row],[ActualWinner]]=Table2[[#This Row],[PredictedWinner]], "Y", "N"))</f>
        <v>_</v>
      </c>
      <c r="P11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5" s="2"/>
      <c r="S1135" s="2" t="str">
        <f t="shared" si="91"/>
        <v>_</v>
      </c>
      <c r="T11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35" s="2">
        <f>IF(Table2[[#This Row],[InterConf]]=1,IF(Table2[[#This Row],[InterDiv]]=0, 1, 0), 0)</f>
        <v>0</v>
      </c>
      <c r="W11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5" s="2"/>
      <c r="Y1135" s="2"/>
      <c r="Z1135" s="145">
        <f>IF(AND(Table2[[#This Row],[GameIsOver]]=1,Table2[[#This Row],[ActualHomeScore]]*Table2[[#This Row],[ActualAwayScore]]=0), 1,0)</f>
        <v>0</v>
      </c>
      <c r="AA11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5" s="2">
        <f>Table2[[#This Row],[ActualAwayScore]]-Table2[[#This Row],[PredictedAwayScore]]</f>
        <v>0</v>
      </c>
      <c r="AG1135" s="2">
        <f>Table2[[#This Row],[ActualHomeScore]]-Table2[[#This Row],[PredictedHomeScore]]</f>
        <v>0</v>
      </c>
      <c r="AH1135" s="2">
        <f t="shared" si="92"/>
        <v>0</v>
      </c>
      <c r="AI1135" s="2">
        <f t="shared" si="93"/>
        <v>0</v>
      </c>
      <c r="AJ1135" s="2"/>
      <c r="AK1135" s="3"/>
      <c r="AL1135" s="2">
        <f>IF(Table2[[#This Row],[GameIsOver]]=0,0,IF(Table2[[#This Row],[ActualWinner]]=Table2[[#This Row],[AwayTeam]], 1, 0))</f>
        <v>0</v>
      </c>
      <c r="AM1135" s="2">
        <f>IF(Table2[[#This Row],[GameIsOver]]=0,0,IF(Table2[[#This Row],[ActualWinner]]=Table2[[#This Row],[HomeTeam]], 1, 0))</f>
        <v>0</v>
      </c>
      <c r="AN1135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35" s="2" t="str">
        <f>INDEX(Sheet5!$B$2:$AG$33, MATCH(Table2[[#This Row],[AwayTeam]],Sheet5!$A$2:$A$33, 0), MATCH(Table2[[#This Row],[HomeTeam]],Sheet5!$A$2:$A$33, 0))</f>
        <v>0-0-0</v>
      </c>
      <c r="AP1135" s="2" t="str">
        <f>INDEX(Sheet5!$B$2:$AG$33, MATCH(Table2[[#This Row],[HomeTeam]],Sheet5!$A$2:$A$33, 0), MATCH(Table2[[#This Row],[AwayTeam]],Sheet5!$A$2:$A$33, 0))</f>
        <v>0-0-0</v>
      </c>
      <c r="AQ1135" s="2">
        <f>IF(Table2[[#This Row],[GameHasShutOut]], 1, 0)</f>
        <v>0</v>
      </c>
      <c r="AR1135" s="2">
        <f>IF(Table2[[#This Row],[ActualAwayScore]] + Table2[[#This Row],[ActualHomeScore]] &gt;= 10, 1, 0)</f>
        <v>0</v>
      </c>
      <c r="AS1135" s="2">
        <f>IF(ABS(Table2[[#This Row],[ActualAwayScore]]-Table2[[#This Row],[ActualHomeScore]])&gt;=5, 1, 0)</f>
        <v>0</v>
      </c>
      <c r="AT1135" s="2">
        <f>IF(Table2[[#This Row],[ActualAwayScore]] + Table2[[#This Row],[ActualHomeScore]] &lt;= 3, 1, 0)</f>
        <v>1</v>
      </c>
      <c r="AU1135" s="2"/>
      <c r="AV1135" s="2"/>
    </row>
    <row r="1136" spans="1:48" x14ac:dyDescent="0.25">
      <c r="A1136" s="3"/>
      <c r="B1136" s="3">
        <v>46106</v>
      </c>
      <c r="C1136" s="5">
        <v>2025021134</v>
      </c>
      <c r="D1136" s="2" t="s">
        <v>44</v>
      </c>
      <c r="E1136" s="2" t="s">
        <v>24</v>
      </c>
      <c r="F1136" s="2"/>
      <c r="G1136" s="2"/>
      <c r="H1136" s="2" t="str">
        <f t="shared" si="89"/>
        <v>_</v>
      </c>
      <c r="I1136" s="2"/>
      <c r="J1136" s="2"/>
      <c r="K1136" s="2"/>
      <c r="L1136" s="2" t="str">
        <f t="shared" si="90"/>
        <v>_</v>
      </c>
      <c r="M1136" s="2"/>
      <c r="N1136" s="2">
        <f>IF(ISBLANK(Table2[[#This Row],[ActualResult]]), 0, 1)</f>
        <v>0</v>
      </c>
      <c r="O1136" s="2" t="str">
        <f>IF(ISBLANK(Table2[[#This Row],[ActualResult]]), "_", IF(Table2[[#This Row],[ActualWinner]]=Table2[[#This Row],[PredictedWinner]], "Y", "N"))</f>
        <v>_</v>
      </c>
      <c r="P11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6" s="2"/>
      <c r="S1136" s="2" t="str">
        <f t="shared" si="91"/>
        <v>_</v>
      </c>
      <c r="T11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36" s="2">
        <f>IF(Table2[[#This Row],[InterConf]]=1,IF(Table2[[#This Row],[InterDiv]]=0, 1, 0), 0)</f>
        <v>0</v>
      </c>
      <c r="W11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6" s="2"/>
      <c r="Y1136" s="2"/>
      <c r="Z1136" s="145">
        <f>IF(AND(Table2[[#This Row],[GameIsOver]]=1,Table2[[#This Row],[ActualHomeScore]]*Table2[[#This Row],[ActualAwayScore]]=0), 1,0)</f>
        <v>0</v>
      </c>
      <c r="AA11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6" s="2">
        <f>Table2[[#This Row],[ActualAwayScore]]-Table2[[#This Row],[PredictedAwayScore]]</f>
        <v>0</v>
      </c>
      <c r="AG1136" s="2">
        <f>Table2[[#This Row],[ActualHomeScore]]-Table2[[#This Row],[PredictedHomeScore]]</f>
        <v>0</v>
      </c>
      <c r="AH1136" s="2">
        <f t="shared" si="92"/>
        <v>0</v>
      </c>
      <c r="AI1136" s="2">
        <f t="shared" si="93"/>
        <v>0</v>
      </c>
      <c r="AJ1136" s="2"/>
      <c r="AK1136" s="3"/>
      <c r="AL1136" s="2">
        <f>IF(Table2[[#This Row],[GameIsOver]]=0,0,IF(Table2[[#This Row],[ActualWinner]]=Table2[[#This Row],[AwayTeam]], 1, 0))</f>
        <v>0</v>
      </c>
      <c r="AM1136" s="2">
        <f>IF(Table2[[#This Row],[GameIsOver]]=0,0,IF(Table2[[#This Row],[ActualWinner]]=Table2[[#This Row],[HomeTeam]], 1, 0))</f>
        <v>0</v>
      </c>
      <c r="AN11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6" s="2" t="str">
        <f>INDEX(Sheet5!$B$2:$AG$33, MATCH(Table2[[#This Row],[AwayTeam]],Sheet5!$A$2:$A$33, 0), MATCH(Table2[[#This Row],[HomeTeam]],Sheet5!$A$2:$A$33, 0))</f>
        <v>0-0-0</v>
      </c>
      <c r="AP1136" s="2" t="str">
        <f>INDEX(Sheet5!$B$2:$AG$33, MATCH(Table2[[#This Row],[HomeTeam]],Sheet5!$A$2:$A$33, 0), MATCH(Table2[[#This Row],[AwayTeam]],Sheet5!$A$2:$A$33, 0))</f>
        <v>0-0-0</v>
      </c>
      <c r="AQ1136" s="2">
        <f>IF(Table2[[#This Row],[GameHasShutOut]], 1, 0)</f>
        <v>0</v>
      </c>
      <c r="AR1136" s="2">
        <f>IF(Table2[[#This Row],[ActualAwayScore]] + Table2[[#This Row],[ActualHomeScore]] &gt;= 10, 1, 0)</f>
        <v>0</v>
      </c>
      <c r="AS1136" s="2">
        <f>IF(ABS(Table2[[#This Row],[ActualAwayScore]]-Table2[[#This Row],[ActualHomeScore]])&gt;=5, 1, 0)</f>
        <v>0</v>
      </c>
      <c r="AT1136" s="2">
        <f>IF(Table2[[#This Row],[ActualAwayScore]] + Table2[[#This Row],[ActualHomeScore]] &lt;= 3, 1, 0)</f>
        <v>1</v>
      </c>
      <c r="AU1136" s="2"/>
      <c r="AV1136" s="2"/>
    </row>
    <row r="1137" spans="1:48" x14ac:dyDescent="0.25">
      <c r="A1137" s="3"/>
      <c r="B1137" s="3">
        <v>46106</v>
      </c>
      <c r="C1137" s="5">
        <v>2025021135</v>
      </c>
      <c r="D1137" s="2" t="s">
        <v>15</v>
      </c>
      <c r="E1137" s="2" t="s">
        <v>28</v>
      </c>
      <c r="F1137" s="2"/>
      <c r="G1137" s="2"/>
      <c r="H1137" s="2" t="str">
        <f t="shared" si="89"/>
        <v>_</v>
      </c>
      <c r="I1137" s="2"/>
      <c r="J1137" s="2"/>
      <c r="K1137" s="2"/>
      <c r="L1137" s="2" t="str">
        <f t="shared" si="90"/>
        <v>_</v>
      </c>
      <c r="M1137" s="2"/>
      <c r="N1137" s="2">
        <f>IF(ISBLANK(Table2[[#This Row],[ActualResult]]), 0, 1)</f>
        <v>0</v>
      </c>
      <c r="O1137" s="2" t="str">
        <f>IF(ISBLANK(Table2[[#This Row],[ActualResult]]), "_", IF(Table2[[#This Row],[ActualWinner]]=Table2[[#This Row],[PredictedWinner]], "Y", "N"))</f>
        <v>_</v>
      </c>
      <c r="P11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7" s="2"/>
      <c r="S1137" s="2" t="str">
        <f t="shared" si="91"/>
        <v>_</v>
      </c>
      <c r="T11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37" s="2">
        <f>IF(Table2[[#This Row],[InterConf]]=1,IF(Table2[[#This Row],[InterDiv]]=0, 1, 0), 0)</f>
        <v>0</v>
      </c>
      <c r="W11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7" s="2"/>
      <c r="Y1137" s="2"/>
      <c r="Z1137" s="145">
        <f>IF(AND(Table2[[#This Row],[GameIsOver]]=1,Table2[[#This Row],[ActualHomeScore]]*Table2[[#This Row],[ActualAwayScore]]=0), 1,0)</f>
        <v>0</v>
      </c>
      <c r="AA11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7" s="2">
        <f>Table2[[#This Row],[ActualAwayScore]]-Table2[[#This Row],[PredictedAwayScore]]</f>
        <v>0</v>
      </c>
      <c r="AG1137" s="2">
        <f>Table2[[#This Row],[ActualHomeScore]]-Table2[[#This Row],[PredictedHomeScore]]</f>
        <v>0</v>
      </c>
      <c r="AH1137" s="2">
        <f t="shared" si="92"/>
        <v>0</v>
      </c>
      <c r="AI1137" s="2">
        <f t="shared" si="93"/>
        <v>0</v>
      </c>
      <c r="AJ1137" s="2"/>
      <c r="AK1137" s="3"/>
      <c r="AL1137" s="2">
        <f>IF(Table2[[#This Row],[GameIsOver]]=0,0,IF(Table2[[#This Row],[ActualWinner]]=Table2[[#This Row],[AwayTeam]], 1, 0))</f>
        <v>0</v>
      </c>
      <c r="AM1137" s="2">
        <f>IF(Table2[[#This Row],[GameIsOver]]=0,0,IF(Table2[[#This Row],[ActualWinner]]=Table2[[#This Row],[HomeTeam]], 1, 0))</f>
        <v>0</v>
      </c>
      <c r="AN11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7" s="2" t="str">
        <f>INDEX(Sheet5!$B$2:$AG$33, MATCH(Table2[[#This Row],[AwayTeam]],Sheet5!$A$2:$A$33, 0), MATCH(Table2[[#This Row],[HomeTeam]],Sheet5!$A$2:$A$33, 0))</f>
        <v>1-0-0</v>
      </c>
      <c r="AP1137" s="2" t="str">
        <f>INDEX(Sheet5!$B$2:$AG$33, MATCH(Table2[[#This Row],[HomeTeam]],Sheet5!$A$2:$A$33, 0), MATCH(Table2[[#This Row],[AwayTeam]],Sheet5!$A$2:$A$33, 0))</f>
        <v>0-1-0</v>
      </c>
      <c r="AQ1137" s="2">
        <f>IF(Table2[[#This Row],[GameHasShutOut]], 1, 0)</f>
        <v>0</v>
      </c>
      <c r="AR1137" s="2">
        <f>IF(Table2[[#This Row],[ActualAwayScore]] + Table2[[#This Row],[ActualHomeScore]] &gt;= 10, 1, 0)</f>
        <v>0</v>
      </c>
      <c r="AS1137" s="2">
        <f>IF(ABS(Table2[[#This Row],[ActualAwayScore]]-Table2[[#This Row],[ActualHomeScore]])&gt;=5, 1, 0)</f>
        <v>0</v>
      </c>
      <c r="AT1137" s="2">
        <f>IF(Table2[[#This Row],[ActualAwayScore]] + Table2[[#This Row],[ActualHomeScore]] &lt;= 3, 1, 0)</f>
        <v>1</v>
      </c>
      <c r="AU1137" s="2"/>
      <c r="AV1137" s="2"/>
    </row>
    <row r="1138" spans="1:48" x14ac:dyDescent="0.25">
      <c r="A1138" s="3"/>
      <c r="B1138" s="3">
        <v>46106</v>
      </c>
      <c r="C1138" s="5">
        <v>2025021136</v>
      </c>
      <c r="D1138" s="2" t="s">
        <v>19</v>
      </c>
      <c r="E1138" s="2" t="s">
        <v>17</v>
      </c>
      <c r="F1138" s="2"/>
      <c r="G1138" s="2"/>
      <c r="H1138" s="2" t="str">
        <f t="shared" si="89"/>
        <v>_</v>
      </c>
      <c r="I1138" s="2"/>
      <c r="J1138" s="2"/>
      <c r="K1138" s="2"/>
      <c r="L1138" s="2" t="str">
        <f t="shared" si="90"/>
        <v>_</v>
      </c>
      <c r="M1138" s="2"/>
      <c r="N1138" s="2">
        <f>IF(ISBLANK(Table2[[#This Row],[ActualResult]]), 0, 1)</f>
        <v>0</v>
      </c>
      <c r="O1138" s="2" t="str">
        <f>IF(ISBLANK(Table2[[#This Row],[ActualResult]]), "_", IF(Table2[[#This Row],[ActualWinner]]=Table2[[#This Row],[PredictedWinner]], "Y", "N"))</f>
        <v>_</v>
      </c>
      <c r="P11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8" s="2"/>
      <c r="S1138" s="2" t="str">
        <f t="shared" si="91"/>
        <v>_</v>
      </c>
      <c r="T11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8" s="2">
        <f>IF(Table2[[#This Row],[InterConf]]=1,IF(Table2[[#This Row],[InterDiv]]=0, 1, 0), 0)</f>
        <v>1</v>
      </c>
      <c r="W11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8" s="2"/>
      <c r="Y1138" s="2"/>
      <c r="Z1138" s="145">
        <f>IF(AND(Table2[[#This Row],[GameIsOver]]=1,Table2[[#This Row],[ActualHomeScore]]*Table2[[#This Row],[ActualAwayScore]]=0), 1,0)</f>
        <v>0</v>
      </c>
      <c r="AA11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8" s="2">
        <f>Table2[[#This Row],[ActualAwayScore]]-Table2[[#This Row],[PredictedAwayScore]]</f>
        <v>0</v>
      </c>
      <c r="AG1138" s="2">
        <f>Table2[[#This Row],[ActualHomeScore]]-Table2[[#This Row],[PredictedHomeScore]]</f>
        <v>0</v>
      </c>
      <c r="AH1138" s="2">
        <f t="shared" si="92"/>
        <v>0</v>
      </c>
      <c r="AI1138" s="2">
        <f t="shared" si="93"/>
        <v>0</v>
      </c>
      <c r="AJ1138" s="2"/>
      <c r="AK1138" s="3"/>
      <c r="AL1138" s="2">
        <f>IF(Table2[[#This Row],[GameIsOver]]=0,0,IF(Table2[[#This Row],[ActualWinner]]=Table2[[#This Row],[AwayTeam]], 1, 0))</f>
        <v>0</v>
      </c>
      <c r="AM1138" s="2">
        <f>IF(Table2[[#This Row],[GameIsOver]]=0,0,IF(Table2[[#This Row],[ActualWinner]]=Table2[[#This Row],[HomeTeam]], 1, 0))</f>
        <v>0</v>
      </c>
      <c r="AN11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8" s="2" t="str">
        <f>INDEX(Sheet5!$B$2:$AG$33, MATCH(Table2[[#This Row],[AwayTeam]],Sheet5!$A$2:$A$33, 0), MATCH(Table2[[#This Row],[HomeTeam]],Sheet5!$A$2:$A$33, 0))</f>
        <v>0-0-1</v>
      </c>
      <c r="AP1138" s="2" t="str">
        <f>INDEX(Sheet5!$B$2:$AG$33, MATCH(Table2[[#This Row],[HomeTeam]],Sheet5!$A$2:$A$33, 0), MATCH(Table2[[#This Row],[AwayTeam]],Sheet5!$A$2:$A$33, 0))</f>
        <v>1-0-0</v>
      </c>
      <c r="AQ1138" s="2">
        <f>IF(Table2[[#This Row],[GameHasShutOut]], 1, 0)</f>
        <v>0</v>
      </c>
      <c r="AR1138" s="2">
        <f>IF(Table2[[#This Row],[ActualAwayScore]] + Table2[[#This Row],[ActualHomeScore]] &gt;= 10, 1, 0)</f>
        <v>0</v>
      </c>
      <c r="AS1138" s="2">
        <f>IF(ABS(Table2[[#This Row],[ActualAwayScore]]-Table2[[#This Row],[ActualHomeScore]])&gt;=5, 1, 0)</f>
        <v>0</v>
      </c>
      <c r="AT1138" s="2">
        <f>IF(Table2[[#This Row],[ActualAwayScore]] + Table2[[#This Row],[ActualHomeScore]] &lt;= 3, 1, 0)</f>
        <v>1</v>
      </c>
      <c r="AU1138" s="2"/>
      <c r="AV1138" s="2"/>
    </row>
    <row r="1139" spans="1:48" x14ac:dyDescent="0.25">
      <c r="A1139" s="3"/>
      <c r="B1139" s="3">
        <v>46107</v>
      </c>
      <c r="C1139" s="5">
        <v>2025021137</v>
      </c>
      <c r="D1139" s="2" t="s">
        <v>35</v>
      </c>
      <c r="E1139" s="2" t="s">
        <v>18</v>
      </c>
      <c r="F1139" s="2"/>
      <c r="G1139" s="2"/>
      <c r="H1139" s="2" t="str">
        <f t="shared" si="89"/>
        <v>_</v>
      </c>
      <c r="I1139" s="2"/>
      <c r="J1139" s="2"/>
      <c r="K1139" s="2"/>
      <c r="L1139" s="2" t="str">
        <f t="shared" si="90"/>
        <v>_</v>
      </c>
      <c r="M1139" s="2"/>
      <c r="N1139" s="2">
        <f>IF(ISBLANK(Table2[[#This Row],[ActualResult]]), 0, 1)</f>
        <v>0</v>
      </c>
      <c r="O1139" s="2" t="str">
        <f>IF(ISBLANK(Table2[[#This Row],[ActualResult]]), "_", IF(Table2[[#This Row],[ActualWinner]]=Table2[[#This Row],[PredictedWinner]], "Y", "N"))</f>
        <v>_</v>
      </c>
      <c r="P11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9" s="2"/>
      <c r="S1139" s="2" t="str">
        <f t="shared" si="91"/>
        <v>_</v>
      </c>
      <c r="T11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9" s="2">
        <f>IF(Table2[[#This Row],[InterConf]]=1,IF(Table2[[#This Row],[InterDiv]]=0, 1, 0), 0)</f>
        <v>1</v>
      </c>
      <c r="W11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9" s="2"/>
      <c r="Y1139" s="2"/>
      <c r="Z1139" s="145">
        <f>IF(AND(Table2[[#This Row],[GameIsOver]]=1,Table2[[#This Row],[ActualHomeScore]]*Table2[[#This Row],[ActualAwayScore]]=0), 1,0)</f>
        <v>0</v>
      </c>
      <c r="AA11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39" s="2">
        <f>Table2[[#This Row],[ActualAwayScore]]-Table2[[#This Row],[PredictedAwayScore]]</f>
        <v>0</v>
      </c>
      <c r="AG1139" s="2">
        <f>Table2[[#This Row],[ActualHomeScore]]-Table2[[#This Row],[PredictedHomeScore]]</f>
        <v>0</v>
      </c>
      <c r="AH1139" s="2">
        <f t="shared" si="92"/>
        <v>0</v>
      </c>
      <c r="AI1139" s="2">
        <f t="shared" si="93"/>
        <v>0</v>
      </c>
      <c r="AJ1139" s="2"/>
      <c r="AK1139" s="3"/>
      <c r="AL1139" s="2">
        <f>IF(Table2[[#This Row],[GameIsOver]]=0,0,IF(Table2[[#This Row],[ActualWinner]]=Table2[[#This Row],[AwayTeam]], 1, 0))</f>
        <v>0</v>
      </c>
      <c r="AM1139" s="2">
        <f>IF(Table2[[#This Row],[GameIsOver]]=0,0,IF(Table2[[#This Row],[ActualWinner]]=Table2[[#This Row],[HomeTeam]], 1, 0))</f>
        <v>0</v>
      </c>
      <c r="AN11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9" s="2" t="str">
        <f>INDEX(Sheet5!$B$2:$AG$33, MATCH(Table2[[#This Row],[AwayTeam]],Sheet5!$A$2:$A$33, 0), MATCH(Table2[[#This Row],[HomeTeam]],Sheet5!$A$2:$A$33, 0))</f>
        <v>0-0-0</v>
      </c>
      <c r="AP1139" s="2" t="str">
        <f>INDEX(Sheet5!$B$2:$AG$33, MATCH(Table2[[#This Row],[HomeTeam]],Sheet5!$A$2:$A$33, 0), MATCH(Table2[[#This Row],[AwayTeam]],Sheet5!$A$2:$A$33, 0))</f>
        <v>0-0-0</v>
      </c>
      <c r="AQ1139" s="2">
        <f>IF(Table2[[#This Row],[GameHasShutOut]], 1, 0)</f>
        <v>0</v>
      </c>
      <c r="AR1139" s="2">
        <f>IF(Table2[[#This Row],[ActualAwayScore]] + Table2[[#This Row],[ActualHomeScore]] &gt;= 10, 1, 0)</f>
        <v>0</v>
      </c>
      <c r="AS1139" s="2">
        <f>IF(ABS(Table2[[#This Row],[ActualAwayScore]]-Table2[[#This Row],[ActualHomeScore]])&gt;=5, 1, 0)</f>
        <v>0</v>
      </c>
      <c r="AT1139" s="2">
        <f>IF(Table2[[#This Row],[ActualAwayScore]] + Table2[[#This Row],[ActualHomeScore]] &lt;= 3, 1, 0)</f>
        <v>1</v>
      </c>
      <c r="AU1139" s="2"/>
      <c r="AV1139" s="2"/>
    </row>
    <row r="1140" spans="1:48" x14ac:dyDescent="0.25">
      <c r="A1140" s="3"/>
      <c r="B1140" s="3">
        <v>46107</v>
      </c>
      <c r="C1140" s="5">
        <v>2025021138</v>
      </c>
      <c r="D1140" s="2" t="s">
        <v>20</v>
      </c>
      <c r="E1140" s="2" t="s">
        <v>29</v>
      </c>
      <c r="F1140" s="2"/>
      <c r="G1140" s="2"/>
      <c r="H1140" s="2" t="str">
        <f t="shared" si="89"/>
        <v>_</v>
      </c>
      <c r="I1140" s="2"/>
      <c r="J1140" s="2"/>
      <c r="K1140" s="2"/>
      <c r="L1140" s="2" t="str">
        <f t="shared" si="90"/>
        <v>_</v>
      </c>
      <c r="M1140" s="2"/>
      <c r="N1140" s="2">
        <f>IF(ISBLANK(Table2[[#This Row],[ActualResult]]), 0, 1)</f>
        <v>0</v>
      </c>
      <c r="O1140" s="2" t="str">
        <f>IF(ISBLANK(Table2[[#This Row],[ActualResult]]), "_", IF(Table2[[#This Row],[ActualWinner]]=Table2[[#This Row],[PredictedWinner]], "Y", "N"))</f>
        <v>_</v>
      </c>
      <c r="P11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0" s="2"/>
      <c r="S1140" s="2" t="str">
        <f t="shared" si="91"/>
        <v>_</v>
      </c>
      <c r="T11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0" s="2">
        <f>IF(Table2[[#This Row],[InterConf]]=1,IF(Table2[[#This Row],[InterDiv]]=0, 1, 0), 0)</f>
        <v>1</v>
      </c>
      <c r="W11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0" s="2"/>
      <c r="Y1140" s="2"/>
      <c r="Z1140" s="145">
        <f>IF(AND(Table2[[#This Row],[GameIsOver]]=1,Table2[[#This Row],[ActualHomeScore]]*Table2[[#This Row],[ActualAwayScore]]=0), 1,0)</f>
        <v>0</v>
      </c>
      <c r="AA11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0" s="2">
        <f>Table2[[#This Row],[ActualAwayScore]]-Table2[[#This Row],[PredictedAwayScore]]</f>
        <v>0</v>
      </c>
      <c r="AG1140" s="2">
        <f>Table2[[#This Row],[ActualHomeScore]]-Table2[[#This Row],[PredictedHomeScore]]</f>
        <v>0</v>
      </c>
      <c r="AH1140" s="2">
        <f t="shared" si="92"/>
        <v>0</v>
      </c>
      <c r="AI1140" s="2">
        <f t="shared" si="93"/>
        <v>0</v>
      </c>
      <c r="AJ1140" s="2"/>
      <c r="AK1140" s="3"/>
      <c r="AL1140" s="2">
        <f>IF(Table2[[#This Row],[GameIsOver]]=0,0,IF(Table2[[#This Row],[ActualWinner]]=Table2[[#This Row],[AwayTeam]], 1, 0))</f>
        <v>0</v>
      </c>
      <c r="AM1140" s="2">
        <f>IF(Table2[[#This Row],[GameIsOver]]=0,0,IF(Table2[[#This Row],[ActualWinner]]=Table2[[#This Row],[HomeTeam]], 1, 0))</f>
        <v>0</v>
      </c>
      <c r="AN11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0" s="2" t="str">
        <f>INDEX(Sheet5!$B$2:$AG$33, MATCH(Table2[[#This Row],[AwayTeam]],Sheet5!$A$2:$A$33, 0), MATCH(Table2[[#This Row],[HomeTeam]],Sheet5!$A$2:$A$33, 0))</f>
        <v>0-0-0</v>
      </c>
      <c r="AP1140" s="2" t="str">
        <f>INDEX(Sheet5!$B$2:$AG$33, MATCH(Table2[[#This Row],[HomeTeam]],Sheet5!$A$2:$A$33, 0), MATCH(Table2[[#This Row],[AwayTeam]],Sheet5!$A$2:$A$33, 0))</f>
        <v>0-0-0</v>
      </c>
      <c r="AQ1140" s="2">
        <f>IF(Table2[[#This Row],[GameHasShutOut]], 1, 0)</f>
        <v>0</v>
      </c>
      <c r="AR1140" s="2">
        <f>IF(Table2[[#This Row],[ActualAwayScore]] + Table2[[#This Row],[ActualHomeScore]] &gt;= 10, 1, 0)</f>
        <v>0</v>
      </c>
      <c r="AS1140" s="2">
        <f>IF(ABS(Table2[[#This Row],[ActualAwayScore]]-Table2[[#This Row],[ActualHomeScore]])&gt;=5, 1, 0)</f>
        <v>0</v>
      </c>
      <c r="AT1140" s="2">
        <f>IF(Table2[[#This Row],[ActualAwayScore]] + Table2[[#This Row],[ActualHomeScore]] &lt;= 3, 1, 0)</f>
        <v>1</v>
      </c>
      <c r="AU1140" s="2"/>
      <c r="AV1140" s="2"/>
    </row>
    <row r="1141" spans="1:48" x14ac:dyDescent="0.25">
      <c r="A1141" s="3"/>
      <c r="B1141" s="3">
        <v>46107</v>
      </c>
      <c r="C1141" s="5">
        <v>2025021139</v>
      </c>
      <c r="D1141" s="2" t="s">
        <v>11</v>
      </c>
      <c r="E1141" s="2" t="s">
        <v>40</v>
      </c>
      <c r="F1141" s="2"/>
      <c r="G1141" s="2"/>
      <c r="H1141" s="2" t="str">
        <f t="shared" si="89"/>
        <v>_</v>
      </c>
      <c r="I1141" s="2"/>
      <c r="J1141" s="2"/>
      <c r="K1141" s="2"/>
      <c r="L1141" s="2" t="str">
        <f t="shared" si="90"/>
        <v>_</v>
      </c>
      <c r="M1141" s="2"/>
      <c r="N1141" s="2">
        <f>IF(ISBLANK(Table2[[#This Row],[ActualResult]]), 0, 1)</f>
        <v>0</v>
      </c>
      <c r="O1141" s="2" t="str">
        <f>IF(ISBLANK(Table2[[#This Row],[ActualResult]]), "_", IF(Table2[[#This Row],[ActualWinner]]=Table2[[#This Row],[PredictedWinner]], "Y", "N"))</f>
        <v>_</v>
      </c>
      <c r="P11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1" s="2"/>
      <c r="S1141" s="2" t="str">
        <f t="shared" si="91"/>
        <v>_</v>
      </c>
      <c r="T11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1" s="2">
        <f>IF(Table2[[#This Row],[InterConf]]=1,IF(Table2[[#This Row],[InterDiv]]=0, 1, 0), 0)</f>
        <v>0</v>
      </c>
      <c r="W11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1" s="2"/>
      <c r="Y1141" s="2"/>
      <c r="Z1141" s="145">
        <f>IF(AND(Table2[[#This Row],[GameIsOver]]=1,Table2[[#This Row],[ActualHomeScore]]*Table2[[#This Row],[ActualAwayScore]]=0), 1,0)</f>
        <v>0</v>
      </c>
      <c r="AA11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1" s="2">
        <f>Table2[[#This Row],[ActualAwayScore]]-Table2[[#This Row],[PredictedAwayScore]]</f>
        <v>0</v>
      </c>
      <c r="AG1141" s="2">
        <f>Table2[[#This Row],[ActualHomeScore]]-Table2[[#This Row],[PredictedHomeScore]]</f>
        <v>0</v>
      </c>
      <c r="AH1141" s="2">
        <f t="shared" si="92"/>
        <v>0</v>
      </c>
      <c r="AI1141" s="2">
        <f t="shared" si="93"/>
        <v>0</v>
      </c>
      <c r="AJ1141" s="2"/>
      <c r="AK1141" s="3"/>
      <c r="AL1141" s="2">
        <f>IF(Table2[[#This Row],[GameIsOver]]=0,0,IF(Table2[[#This Row],[ActualWinner]]=Table2[[#This Row],[AwayTeam]], 1, 0))</f>
        <v>0</v>
      </c>
      <c r="AM1141" s="2">
        <f>IF(Table2[[#This Row],[GameIsOver]]=0,0,IF(Table2[[#This Row],[ActualWinner]]=Table2[[#This Row],[HomeTeam]], 1, 0))</f>
        <v>0</v>
      </c>
      <c r="AN11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1" s="2" t="str">
        <f>INDEX(Sheet5!$B$2:$AG$33, MATCH(Table2[[#This Row],[AwayTeam]],Sheet5!$A$2:$A$33, 0), MATCH(Table2[[#This Row],[HomeTeam]],Sheet5!$A$2:$A$33, 0))</f>
        <v>0-0-0</v>
      </c>
      <c r="AP1141" s="2" t="str">
        <f>INDEX(Sheet5!$B$2:$AG$33, MATCH(Table2[[#This Row],[HomeTeam]],Sheet5!$A$2:$A$33, 0), MATCH(Table2[[#This Row],[AwayTeam]],Sheet5!$A$2:$A$33, 0))</f>
        <v>0-0-0</v>
      </c>
      <c r="AQ1141" s="2">
        <f>IF(Table2[[#This Row],[GameHasShutOut]], 1, 0)</f>
        <v>0</v>
      </c>
      <c r="AR1141" s="2">
        <f>IF(Table2[[#This Row],[ActualAwayScore]] + Table2[[#This Row],[ActualHomeScore]] &gt;= 10, 1, 0)</f>
        <v>0</v>
      </c>
      <c r="AS1141" s="2">
        <f>IF(ABS(Table2[[#This Row],[ActualAwayScore]]-Table2[[#This Row],[ActualHomeScore]])&gt;=5, 1, 0)</f>
        <v>0</v>
      </c>
      <c r="AT1141" s="2">
        <f>IF(Table2[[#This Row],[ActualAwayScore]] + Table2[[#This Row],[ActualHomeScore]] &lt;= 3, 1, 0)</f>
        <v>1</v>
      </c>
      <c r="AU1141" s="2"/>
      <c r="AV1141" s="2"/>
    </row>
    <row r="1142" spans="1:48" x14ac:dyDescent="0.25">
      <c r="A1142" s="3"/>
      <c r="B1142" s="3">
        <v>46107</v>
      </c>
      <c r="C1142" s="5">
        <v>2025021140</v>
      </c>
      <c r="D1142" s="2" t="s">
        <v>36</v>
      </c>
      <c r="E1142" s="2" t="s">
        <v>13</v>
      </c>
      <c r="F1142" s="2"/>
      <c r="G1142" s="2"/>
      <c r="H1142" s="2" t="str">
        <f t="shared" si="89"/>
        <v>_</v>
      </c>
      <c r="I1142" s="2"/>
      <c r="J1142" s="2"/>
      <c r="K1142" s="2"/>
      <c r="L1142" s="2" t="str">
        <f t="shared" si="90"/>
        <v>_</v>
      </c>
      <c r="M1142" s="2"/>
      <c r="N1142" s="2">
        <f>IF(ISBLANK(Table2[[#This Row],[ActualResult]]), 0, 1)</f>
        <v>0</v>
      </c>
      <c r="O1142" s="2" t="str">
        <f>IF(ISBLANK(Table2[[#This Row],[ActualResult]]), "_", IF(Table2[[#This Row],[ActualWinner]]=Table2[[#This Row],[PredictedWinner]], "Y", "N"))</f>
        <v>_</v>
      </c>
      <c r="P11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2" s="2"/>
      <c r="S1142" s="2" t="str">
        <f t="shared" si="91"/>
        <v>_</v>
      </c>
      <c r="T11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2" s="2">
        <f>IF(Table2[[#This Row],[InterConf]]=1,IF(Table2[[#This Row],[InterDiv]]=0, 1, 0), 0)</f>
        <v>0</v>
      </c>
      <c r="W11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2" s="2"/>
      <c r="Y1142" s="2"/>
      <c r="Z1142" s="145">
        <f>IF(AND(Table2[[#This Row],[GameIsOver]]=1,Table2[[#This Row],[ActualHomeScore]]*Table2[[#This Row],[ActualAwayScore]]=0), 1,0)</f>
        <v>0</v>
      </c>
      <c r="AA11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2" s="2">
        <f>Table2[[#This Row],[ActualAwayScore]]-Table2[[#This Row],[PredictedAwayScore]]</f>
        <v>0</v>
      </c>
      <c r="AG1142" s="2">
        <f>Table2[[#This Row],[ActualHomeScore]]-Table2[[#This Row],[PredictedHomeScore]]</f>
        <v>0</v>
      </c>
      <c r="AH1142" s="2">
        <f t="shared" si="92"/>
        <v>0</v>
      </c>
      <c r="AI1142" s="2">
        <f t="shared" si="93"/>
        <v>0</v>
      </c>
      <c r="AJ1142" s="2"/>
      <c r="AK1142" s="3"/>
      <c r="AL1142" s="2">
        <f>IF(Table2[[#This Row],[GameIsOver]]=0,0,IF(Table2[[#This Row],[ActualWinner]]=Table2[[#This Row],[AwayTeam]], 1, 0))</f>
        <v>0</v>
      </c>
      <c r="AM1142" s="2">
        <f>IF(Table2[[#This Row],[GameIsOver]]=0,0,IF(Table2[[#This Row],[ActualWinner]]=Table2[[#This Row],[HomeTeam]], 1, 0))</f>
        <v>0</v>
      </c>
      <c r="AN11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2" s="2" t="str">
        <f>INDEX(Sheet5!$B$2:$AG$33, MATCH(Table2[[#This Row],[AwayTeam]],Sheet5!$A$2:$A$33, 0), MATCH(Table2[[#This Row],[HomeTeam]],Sheet5!$A$2:$A$33, 0))</f>
        <v>0-0-0</v>
      </c>
      <c r="AP1142" s="2" t="str">
        <f>INDEX(Sheet5!$B$2:$AG$33, MATCH(Table2[[#This Row],[HomeTeam]],Sheet5!$A$2:$A$33, 0), MATCH(Table2[[#This Row],[AwayTeam]],Sheet5!$A$2:$A$33, 0))</f>
        <v>0-0-0</v>
      </c>
      <c r="AQ1142" s="2">
        <f>IF(Table2[[#This Row],[GameHasShutOut]], 1, 0)</f>
        <v>0</v>
      </c>
      <c r="AR1142" s="2">
        <f>IF(Table2[[#This Row],[ActualAwayScore]] + Table2[[#This Row],[ActualHomeScore]] &gt;= 10, 1, 0)</f>
        <v>0</v>
      </c>
      <c r="AS1142" s="2">
        <f>IF(ABS(Table2[[#This Row],[ActualAwayScore]]-Table2[[#This Row],[ActualHomeScore]])&gt;=5, 1, 0)</f>
        <v>0</v>
      </c>
      <c r="AT1142" s="2">
        <f>IF(Table2[[#This Row],[ActualAwayScore]] + Table2[[#This Row],[ActualHomeScore]] &lt;= 3, 1, 0)</f>
        <v>1</v>
      </c>
      <c r="AU1142" s="2"/>
      <c r="AV1142" s="2"/>
    </row>
    <row r="1143" spans="1:48" x14ac:dyDescent="0.25">
      <c r="A1143" s="3"/>
      <c r="B1143" s="3">
        <v>46107</v>
      </c>
      <c r="C1143" s="5">
        <v>2025021141</v>
      </c>
      <c r="D1143" s="2" t="s">
        <v>33</v>
      </c>
      <c r="E1143" s="2" t="s">
        <v>32</v>
      </c>
      <c r="F1143" s="2"/>
      <c r="G1143" s="2"/>
      <c r="H1143" s="2" t="str">
        <f t="shared" si="89"/>
        <v>_</v>
      </c>
      <c r="I1143" s="2"/>
      <c r="J1143" s="2"/>
      <c r="K1143" s="2"/>
      <c r="L1143" s="2" t="str">
        <f t="shared" si="90"/>
        <v>_</v>
      </c>
      <c r="M1143" s="2"/>
      <c r="N1143" s="2">
        <f>IF(ISBLANK(Table2[[#This Row],[ActualResult]]), 0, 1)</f>
        <v>0</v>
      </c>
      <c r="O1143" s="2" t="str">
        <f>IF(ISBLANK(Table2[[#This Row],[ActualResult]]), "_", IF(Table2[[#This Row],[ActualWinner]]=Table2[[#This Row],[PredictedWinner]], "Y", "N"))</f>
        <v>_</v>
      </c>
      <c r="P11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3" s="2"/>
      <c r="S1143" s="2" t="str">
        <f t="shared" si="91"/>
        <v>_</v>
      </c>
      <c r="T11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3" s="2">
        <f>IF(Table2[[#This Row],[InterConf]]=1,IF(Table2[[#This Row],[InterDiv]]=0, 1, 0), 0)</f>
        <v>0</v>
      </c>
      <c r="W11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3" s="2"/>
      <c r="Y1143" s="2"/>
      <c r="Z1143" s="145">
        <f>IF(AND(Table2[[#This Row],[GameIsOver]]=1,Table2[[#This Row],[ActualHomeScore]]*Table2[[#This Row],[ActualAwayScore]]=0), 1,0)</f>
        <v>0</v>
      </c>
      <c r="AA11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3" s="2">
        <f>Table2[[#This Row],[ActualAwayScore]]-Table2[[#This Row],[PredictedAwayScore]]</f>
        <v>0</v>
      </c>
      <c r="AG1143" s="2">
        <f>Table2[[#This Row],[ActualHomeScore]]-Table2[[#This Row],[PredictedHomeScore]]</f>
        <v>0</v>
      </c>
      <c r="AH1143" s="2">
        <f t="shared" si="92"/>
        <v>0</v>
      </c>
      <c r="AI1143" s="2">
        <f t="shared" si="93"/>
        <v>0</v>
      </c>
      <c r="AJ1143" s="2"/>
      <c r="AK1143" s="3"/>
      <c r="AL1143" s="2">
        <f>IF(Table2[[#This Row],[GameIsOver]]=0,0,IF(Table2[[#This Row],[ActualWinner]]=Table2[[#This Row],[AwayTeam]], 1, 0))</f>
        <v>0</v>
      </c>
      <c r="AM1143" s="2">
        <f>IF(Table2[[#This Row],[GameIsOver]]=0,0,IF(Table2[[#This Row],[ActualWinner]]=Table2[[#This Row],[HomeTeam]], 1, 0))</f>
        <v>0</v>
      </c>
      <c r="AN11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3" s="2" t="str">
        <f>INDEX(Sheet5!$B$2:$AG$33, MATCH(Table2[[#This Row],[AwayTeam]],Sheet5!$A$2:$A$33, 0), MATCH(Table2[[#This Row],[HomeTeam]],Sheet5!$A$2:$A$33, 0))</f>
        <v>0-0-0</v>
      </c>
      <c r="AP1143" s="2" t="str">
        <f>INDEX(Sheet5!$B$2:$AG$33, MATCH(Table2[[#This Row],[HomeTeam]],Sheet5!$A$2:$A$33, 0), MATCH(Table2[[#This Row],[AwayTeam]],Sheet5!$A$2:$A$33, 0))</f>
        <v>0-0-0</v>
      </c>
      <c r="AQ1143" s="2">
        <f>IF(Table2[[#This Row],[GameHasShutOut]], 1, 0)</f>
        <v>0</v>
      </c>
      <c r="AR1143" s="2">
        <f>IF(Table2[[#This Row],[ActualAwayScore]] + Table2[[#This Row],[ActualHomeScore]] &gt;= 10, 1, 0)</f>
        <v>0</v>
      </c>
      <c r="AS1143" s="2">
        <f>IF(ABS(Table2[[#This Row],[ActualAwayScore]]-Table2[[#This Row],[ActualHomeScore]])&gt;=5, 1, 0)</f>
        <v>0</v>
      </c>
      <c r="AT1143" s="2">
        <f>IF(Table2[[#This Row],[ActualAwayScore]] + Table2[[#This Row],[ActualHomeScore]] &lt;= 3, 1, 0)</f>
        <v>1</v>
      </c>
      <c r="AU1143" s="2"/>
      <c r="AV1143" s="2"/>
    </row>
    <row r="1144" spans="1:48" x14ac:dyDescent="0.25">
      <c r="A1144" s="3"/>
      <c r="B1144" s="3">
        <v>46107</v>
      </c>
      <c r="C1144" s="5">
        <v>2025021142</v>
      </c>
      <c r="D1144" s="2" t="s">
        <v>16</v>
      </c>
      <c r="E1144" s="2" t="s">
        <v>42</v>
      </c>
      <c r="F1144" s="2"/>
      <c r="G1144" s="2"/>
      <c r="H1144" s="2" t="str">
        <f t="shared" si="89"/>
        <v>_</v>
      </c>
      <c r="I1144" s="2"/>
      <c r="J1144" s="2"/>
      <c r="K1144" s="2"/>
      <c r="L1144" s="2" t="str">
        <f t="shared" si="90"/>
        <v>_</v>
      </c>
      <c r="M1144" s="2"/>
      <c r="N1144" s="2">
        <f>IF(ISBLANK(Table2[[#This Row],[ActualResult]]), 0, 1)</f>
        <v>0</v>
      </c>
      <c r="O1144" s="2" t="str">
        <f>IF(ISBLANK(Table2[[#This Row],[ActualResult]]), "_", IF(Table2[[#This Row],[ActualWinner]]=Table2[[#This Row],[PredictedWinner]], "Y", "N"))</f>
        <v>_</v>
      </c>
      <c r="P11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4" s="2"/>
      <c r="S1144" s="2" t="str">
        <f t="shared" si="91"/>
        <v>_</v>
      </c>
      <c r="T11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4" s="2">
        <f>IF(Table2[[#This Row],[InterConf]]=1,IF(Table2[[#This Row],[InterDiv]]=0, 1, 0), 0)</f>
        <v>0</v>
      </c>
      <c r="W11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4" s="2"/>
      <c r="Y1144" s="2"/>
      <c r="Z1144" s="145">
        <f>IF(AND(Table2[[#This Row],[GameIsOver]]=1,Table2[[#This Row],[ActualHomeScore]]*Table2[[#This Row],[ActualAwayScore]]=0), 1,0)</f>
        <v>0</v>
      </c>
      <c r="AA11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4" s="2">
        <f>Table2[[#This Row],[ActualAwayScore]]-Table2[[#This Row],[PredictedAwayScore]]</f>
        <v>0</v>
      </c>
      <c r="AG1144" s="2">
        <f>Table2[[#This Row],[ActualHomeScore]]-Table2[[#This Row],[PredictedHomeScore]]</f>
        <v>0</v>
      </c>
      <c r="AH1144" s="2">
        <f t="shared" si="92"/>
        <v>0</v>
      </c>
      <c r="AI1144" s="2">
        <f t="shared" si="93"/>
        <v>0</v>
      </c>
      <c r="AJ1144" s="2"/>
      <c r="AK1144" s="3"/>
      <c r="AL1144" s="2">
        <f>IF(Table2[[#This Row],[GameIsOver]]=0,0,IF(Table2[[#This Row],[ActualWinner]]=Table2[[#This Row],[AwayTeam]], 1, 0))</f>
        <v>0</v>
      </c>
      <c r="AM1144" s="2">
        <f>IF(Table2[[#This Row],[GameIsOver]]=0,0,IF(Table2[[#This Row],[ActualWinner]]=Table2[[#This Row],[HomeTeam]], 1, 0))</f>
        <v>0</v>
      </c>
      <c r="AN11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4" s="2" t="str">
        <f>INDEX(Sheet5!$B$2:$AG$33, MATCH(Table2[[#This Row],[AwayTeam]],Sheet5!$A$2:$A$33, 0), MATCH(Table2[[#This Row],[HomeTeam]],Sheet5!$A$2:$A$33, 0))</f>
        <v>0-0-0</v>
      </c>
      <c r="AP1144" s="2" t="str">
        <f>INDEX(Sheet5!$B$2:$AG$33, MATCH(Table2[[#This Row],[HomeTeam]],Sheet5!$A$2:$A$33, 0), MATCH(Table2[[#This Row],[AwayTeam]],Sheet5!$A$2:$A$33, 0))</f>
        <v>0-0-0</v>
      </c>
      <c r="AQ1144" s="2">
        <f>IF(Table2[[#This Row],[GameHasShutOut]], 1, 0)</f>
        <v>0</v>
      </c>
      <c r="AR1144" s="2">
        <f>IF(Table2[[#This Row],[ActualAwayScore]] + Table2[[#This Row],[ActualHomeScore]] &gt;= 10, 1, 0)</f>
        <v>0</v>
      </c>
      <c r="AS1144" s="2">
        <f>IF(ABS(Table2[[#This Row],[ActualAwayScore]]-Table2[[#This Row],[ActualHomeScore]])&gt;=5, 1, 0)</f>
        <v>0</v>
      </c>
      <c r="AT1144" s="2">
        <f>IF(Table2[[#This Row],[ActualAwayScore]] + Table2[[#This Row],[ActualHomeScore]] &lt;= 3, 1, 0)</f>
        <v>1</v>
      </c>
      <c r="AU1144" s="2"/>
      <c r="AV1144" s="2"/>
    </row>
    <row r="1145" spans="1:48" x14ac:dyDescent="0.25">
      <c r="A1145" s="3"/>
      <c r="B1145" s="3">
        <v>46108</v>
      </c>
      <c r="C1145" s="5">
        <v>2025021143</v>
      </c>
      <c r="D1145" s="2" t="s">
        <v>37</v>
      </c>
      <c r="E1145" s="2" t="s">
        <v>12</v>
      </c>
      <c r="F1145" s="2"/>
      <c r="G1145" s="2"/>
      <c r="H1145" s="2" t="str">
        <f t="shared" si="89"/>
        <v>_</v>
      </c>
      <c r="I1145" s="2"/>
      <c r="J1145" s="2"/>
      <c r="K1145" s="2"/>
      <c r="L1145" s="2" t="str">
        <f t="shared" si="90"/>
        <v>_</v>
      </c>
      <c r="M1145" s="2"/>
      <c r="N1145" s="2">
        <f>IF(ISBLANK(Table2[[#This Row],[ActualResult]]), 0, 1)</f>
        <v>0</v>
      </c>
      <c r="O1145" s="2" t="str">
        <f>IF(ISBLANK(Table2[[#This Row],[ActualResult]]), "_", IF(Table2[[#This Row],[ActualWinner]]=Table2[[#This Row],[PredictedWinner]], "Y", "N"))</f>
        <v>_</v>
      </c>
      <c r="P11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5" s="2"/>
      <c r="S1145" s="2" t="str">
        <f t="shared" si="91"/>
        <v>_</v>
      </c>
      <c r="T11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5" s="2">
        <f>IF(Table2[[#This Row],[InterConf]]=1,IF(Table2[[#This Row],[InterDiv]]=0, 1, 0), 0)</f>
        <v>1</v>
      </c>
      <c r="W11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5" s="2"/>
      <c r="Y1145" s="2"/>
      <c r="Z1145" s="145">
        <f>IF(AND(Table2[[#This Row],[GameIsOver]]=1,Table2[[#This Row],[ActualHomeScore]]*Table2[[#This Row],[ActualAwayScore]]=0), 1,0)</f>
        <v>0</v>
      </c>
      <c r="AA11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5" s="2">
        <f>Table2[[#This Row],[ActualAwayScore]]-Table2[[#This Row],[PredictedAwayScore]]</f>
        <v>0</v>
      </c>
      <c r="AG1145" s="2">
        <f>Table2[[#This Row],[ActualHomeScore]]-Table2[[#This Row],[PredictedHomeScore]]</f>
        <v>0</v>
      </c>
      <c r="AH1145" s="2">
        <f t="shared" si="92"/>
        <v>0</v>
      </c>
      <c r="AI1145" s="2">
        <f t="shared" si="93"/>
        <v>0</v>
      </c>
      <c r="AJ1145" s="2"/>
      <c r="AK1145" s="3"/>
      <c r="AL1145" s="2">
        <f>IF(Table2[[#This Row],[GameIsOver]]=0,0,IF(Table2[[#This Row],[ActualWinner]]=Table2[[#This Row],[AwayTeam]], 1, 0))</f>
        <v>0</v>
      </c>
      <c r="AM1145" s="2">
        <f>IF(Table2[[#This Row],[GameIsOver]]=0,0,IF(Table2[[#This Row],[ActualWinner]]=Table2[[#This Row],[HomeTeam]], 1, 0))</f>
        <v>0</v>
      </c>
      <c r="AN11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5" s="2" t="str">
        <f>INDEX(Sheet5!$B$2:$AG$33, MATCH(Table2[[#This Row],[AwayTeam]],Sheet5!$A$2:$A$33, 0), MATCH(Table2[[#This Row],[HomeTeam]],Sheet5!$A$2:$A$33, 0))</f>
        <v>0-0-0</v>
      </c>
      <c r="AP1145" s="2" t="str">
        <f>INDEX(Sheet5!$B$2:$AG$33, MATCH(Table2[[#This Row],[HomeTeam]],Sheet5!$A$2:$A$33, 0), MATCH(Table2[[#This Row],[AwayTeam]],Sheet5!$A$2:$A$33, 0))</f>
        <v>0-0-0</v>
      </c>
      <c r="AQ1145" s="2">
        <f>IF(Table2[[#This Row],[GameHasShutOut]], 1, 0)</f>
        <v>0</v>
      </c>
      <c r="AR1145" s="2">
        <f>IF(Table2[[#This Row],[ActualAwayScore]] + Table2[[#This Row],[ActualHomeScore]] &gt;= 10, 1, 0)</f>
        <v>0</v>
      </c>
      <c r="AS1145" s="2">
        <f>IF(ABS(Table2[[#This Row],[ActualAwayScore]]-Table2[[#This Row],[ActualHomeScore]])&gt;=5, 1, 0)</f>
        <v>0</v>
      </c>
      <c r="AT1145" s="2">
        <f>IF(Table2[[#This Row],[ActualAwayScore]] + Table2[[#This Row],[ActualHomeScore]] &lt;= 3, 1, 0)</f>
        <v>1</v>
      </c>
      <c r="AU1145" s="2"/>
      <c r="AV1145" s="2"/>
    </row>
    <row r="1146" spans="1:48" x14ac:dyDescent="0.25">
      <c r="A1146" s="3"/>
      <c r="B1146" s="3">
        <v>46108</v>
      </c>
      <c r="C1146" s="5">
        <v>2025021144</v>
      </c>
      <c r="D1146" s="2" t="s">
        <v>31</v>
      </c>
      <c r="E1146" s="2" t="s">
        <v>34</v>
      </c>
      <c r="F1146" s="2"/>
      <c r="G1146" s="2"/>
      <c r="H1146" s="2" t="str">
        <f t="shared" si="89"/>
        <v>_</v>
      </c>
      <c r="I1146" s="2"/>
      <c r="J1146" s="2"/>
      <c r="K1146" s="2"/>
      <c r="L1146" s="2" t="str">
        <f t="shared" si="90"/>
        <v>_</v>
      </c>
      <c r="M1146" s="2"/>
      <c r="N1146" s="2">
        <f>IF(ISBLANK(Table2[[#This Row],[ActualResult]]), 0, 1)</f>
        <v>0</v>
      </c>
      <c r="O1146" s="2" t="str">
        <f>IF(ISBLANK(Table2[[#This Row],[ActualResult]]), "_", IF(Table2[[#This Row],[ActualWinner]]=Table2[[#This Row],[PredictedWinner]], "Y", "N"))</f>
        <v>_</v>
      </c>
      <c r="P11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6" s="2"/>
      <c r="S1146" s="2" t="str">
        <f t="shared" si="91"/>
        <v>_</v>
      </c>
      <c r="T11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6" s="2">
        <f>IF(Table2[[#This Row],[InterConf]]=1,IF(Table2[[#This Row],[InterDiv]]=0, 1, 0), 0)</f>
        <v>0</v>
      </c>
      <c r="W11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6" s="2"/>
      <c r="Y1146" s="2"/>
      <c r="Z1146" s="145">
        <f>IF(AND(Table2[[#This Row],[GameIsOver]]=1,Table2[[#This Row],[ActualHomeScore]]*Table2[[#This Row],[ActualAwayScore]]=0), 1,0)</f>
        <v>0</v>
      </c>
      <c r="AA11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6" s="2">
        <f>Table2[[#This Row],[ActualAwayScore]]-Table2[[#This Row],[PredictedAwayScore]]</f>
        <v>0</v>
      </c>
      <c r="AG1146" s="2">
        <f>Table2[[#This Row],[ActualHomeScore]]-Table2[[#This Row],[PredictedHomeScore]]</f>
        <v>0</v>
      </c>
      <c r="AH1146" s="2">
        <f t="shared" si="92"/>
        <v>0</v>
      </c>
      <c r="AI1146" s="2">
        <f t="shared" si="93"/>
        <v>0</v>
      </c>
      <c r="AJ1146" s="2"/>
      <c r="AK1146" s="3"/>
      <c r="AL1146" s="2">
        <f>IF(Table2[[#This Row],[GameIsOver]]=0,0,IF(Table2[[#This Row],[ActualWinner]]=Table2[[#This Row],[AwayTeam]], 1, 0))</f>
        <v>0</v>
      </c>
      <c r="AM1146" s="2">
        <f>IF(Table2[[#This Row],[GameIsOver]]=0,0,IF(Table2[[#This Row],[ActualWinner]]=Table2[[#This Row],[HomeTeam]], 1, 0))</f>
        <v>0</v>
      </c>
      <c r="AN11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6" s="2" t="str">
        <f>INDEX(Sheet5!$B$2:$AG$33, MATCH(Table2[[#This Row],[AwayTeam]],Sheet5!$A$2:$A$33, 0), MATCH(Table2[[#This Row],[HomeTeam]],Sheet5!$A$2:$A$33, 0))</f>
        <v>0-0-0</v>
      </c>
      <c r="AP1146" s="2" t="str">
        <f>INDEX(Sheet5!$B$2:$AG$33, MATCH(Table2[[#This Row],[HomeTeam]],Sheet5!$A$2:$A$33, 0), MATCH(Table2[[#This Row],[AwayTeam]],Sheet5!$A$2:$A$33, 0))</f>
        <v>0-0-0</v>
      </c>
      <c r="AQ1146" s="2">
        <f>IF(Table2[[#This Row],[GameHasShutOut]], 1, 0)</f>
        <v>0</v>
      </c>
      <c r="AR1146" s="2">
        <f>IF(Table2[[#This Row],[ActualAwayScore]] + Table2[[#This Row],[ActualHomeScore]] &gt;= 10, 1, 0)</f>
        <v>0</v>
      </c>
      <c r="AS1146" s="2">
        <f>IF(ABS(Table2[[#This Row],[ActualAwayScore]]-Table2[[#This Row],[ActualHomeScore]])&gt;=5, 1, 0)</f>
        <v>0</v>
      </c>
      <c r="AT1146" s="2">
        <f>IF(Table2[[#This Row],[ActualAwayScore]] + Table2[[#This Row],[ActualHomeScore]] &lt;= 3, 1, 0)</f>
        <v>1</v>
      </c>
      <c r="AU1146" s="2"/>
      <c r="AV1146" s="2"/>
    </row>
    <row r="1147" spans="1:48" x14ac:dyDescent="0.25">
      <c r="A1147" s="3"/>
      <c r="B1147" s="3">
        <v>46108</v>
      </c>
      <c r="C1147" s="5">
        <v>2025021145</v>
      </c>
      <c r="D1147" s="2" t="s">
        <v>25</v>
      </c>
      <c r="E1147" s="2" t="s">
        <v>21</v>
      </c>
      <c r="F1147" s="2"/>
      <c r="G1147" s="2"/>
      <c r="H1147" s="2" t="str">
        <f t="shared" si="89"/>
        <v>_</v>
      </c>
      <c r="I1147" s="2"/>
      <c r="J1147" s="2"/>
      <c r="K1147" s="2"/>
      <c r="L1147" s="2" t="str">
        <f t="shared" si="90"/>
        <v>_</v>
      </c>
      <c r="M1147" s="2"/>
      <c r="N1147" s="2">
        <f>IF(ISBLANK(Table2[[#This Row],[ActualResult]]), 0, 1)</f>
        <v>0</v>
      </c>
      <c r="O1147" s="2" t="str">
        <f>IF(ISBLANK(Table2[[#This Row],[ActualResult]]), "_", IF(Table2[[#This Row],[ActualWinner]]=Table2[[#This Row],[PredictedWinner]], "Y", "N"))</f>
        <v>_</v>
      </c>
      <c r="P11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7" s="2"/>
      <c r="S1147" s="2" t="str">
        <f t="shared" si="91"/>
        <v>_</v>
      </c>
      <c r="T11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47" s="2">
        <f>IF(Table2[[#This Row],[InterConf]]=1,IF(Table2[[#This Row],[InterDiv]]=0, 1, 0), 0)</f>
        <v>0</v>
      </c>
      <c r="W11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7" s="2"/>
      <c r="Y1147" s="2"/>
      <c r="Z1147" s="145">
        <f>IF(AND(Table2[[#This Row],[GameIsOver]]=1,Table2[[#This Row],[ActualHomeScore]]*Table2[[#This Row],[ActualAwayScore]]=0), 1,0)</f>
        <v>0</v>
      </c>
      <c r="AA11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7" s="2">
        <f>Table2[[#This Row],[ActualAwayScore]]-Table2[[#This Row],[PredictedAwayScore]]</f>
        <v>0</v>
      </c>
      <c r="AG1147" s="2">
        <f>Table2[[#This Row],[ActualHomeScore]]-Table2[[#This Row],[PredictedHomeScore]]</f>
        <v>0</v>
      </c>
      <c r="AH1147" s="2">
        <f t="shared" si="92"/>
        <v>0</v>
      </c>
      <c r="AI1147" s="2">
        <f t="shared" si="93"/>
        <v>0</v>
      </c>
      <c r="AJ1147" s="2"/>
      <c r="AK1147" s="3"/>
      <c r="AL1147" s="2">
        <f>IF(Table2[[#This Row],[GameIsOver]]=0,0,IF(Table2[[#This Row],[ActualWinner]]=Table2[[#This Row],[AwayTeam]], 1, 0))</f>
        <v>0</v>
      </c>
      <c r="AM1147" s="2">
        <f>IF(Table2[[#This Row],[GameIsOver]]=0,0,IF(Table2[[#This Row],[ActualWinner]]=Table2[[#This Row],[HomeTeam]], 1, 0))</f>
        <v>0</v>
      </c>
      <c r="AN11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7" s="2" t="str">
        <f>INDEX(Sheet5!$B$2:$AG$33, MATCH(Table2[[#This Row],[AwayTeam]],Sheet5!$A$2:$A$33, 0), MATCH(Table2[[#This Row],[HomeTeam]],Sheet5!$A$2:$A$33, 0))</f>
        <v>0-0-0</v>
      </c>
      <c r="AP1147" s="2" t="str">
        <f>INDEX(Sheet5!$B$2:$AG$33, MATCH(Table2[[#This Row],[HomeTeam]],Sheet5!$A$2:$A$33, 0), MATCH(Table2[[#This Row],[AwayTeam]],Sheet5!$A$2:$A$33, 0))</f>
        <v>0-0-0</v>
      </c>
      <c r="AQ1147" s="2">
        <f>IF(Table2[[#This Row],[GameHasShutOut]], 1, 0)</f>
        <v>0</v>
      </c>
      <c r="AR1147" s="2">
        <f>IF(Table2[[#This Row],[ActualAwayScore]] + Table2[[#This Row],[ActualHomeScore]] &gt;= 10, 1, 0)</f>
        <v>0</v>
      </c>
      <c r="AS1147" s="2">
        <f>IF(ABS(Table2[[#This Row],[ActualAwayScore]]-Table2[[#This Row],[ActualHomeScore]])&gt;=5, 1, 0)</f>
        <v>0</v>
      </c>
      <c r="AT1147" s="2">
        <f>IF(Table2[[#This Row],[ActualAwayScore]] + Table2[[#This Row],[ActualHomeScore]] &lt;= 3, 1, 0)</f>
        <v>1</v>
      </c>
      <c r="AU1147" s="2"/>
      <c r="AV1147" s="2"/>
    </row>
    <row r="1148" spans="1:48" x14ac:dyDescent="0.25">
      <c r="A1148" s="3"/>
      <c r="B1148" s="3">
        <v>46108</v>
      </c>
      <c r="C1148" s="5">
        <v>2025021146</v>
      </c>
      <c r="D1148" s="2" t="s">
        <v>43</v>
      </c>
      <c r="E1148" s="2" t="s">
        <v>14</v>
      </c>
      <c r="F1148" s="2"/>
      <c r="G1148" s="2"/>
      <c r="H1148" s="2" t="str">
        <f t="shared" si="89"/>
        <v>_</v>
      </c>
      <c r="I1148" s="2"/>
      <c r="J1148" s="2"/>
      <c r="K1148" s="2"/>
      <c r="L1148" s="2" t="str">
        <f t="shared" si="90"/>
        <v>_</v>
      </c>
      <c r="M1148" s="2"/>
      <c r="N1148" s="2">
        <f>IF(ISBLANK(Table2[[#This Row],[ActualResult]]), 0, 1)</f>
        <v>0</v>
      </c>
      <c r="O1148" s="2" t="str">
        <f>IF(ISBLANK(Table2[[#This Row],[ActualResult]]), "_", IF(Table2[[#This Row],[ActualWinner]]=Table2[[#This Row],[PredictedWinner]], "Y", "N"))</f>
        <v>_</v>
      </c>
      <c r="P11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8" s="2"/>
      <c r="S1148" s="2" t="str">
        <f t="shared" si="91"/>
        <v>_</v>
      </c>
      <c r="T11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8" s="2">
        <f>IF(Table2[[#This Row],[InterConf]]=1,IF(Table2[[#This Row],[InterDiv]]=0, 1, 0), 0)</f>
        <v>0</v>
      </c>
      <c r="W11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8" s="2"/>
      <c r="Y1148" s="2"/>
      <c r="Z1148" s="145">
        <f>IF(AND(Table2[[#This Row],[GameIsOver]]=1,Table2[[#This Row],[ActualHomeScore]]*Table2[[#This Row],[ActualAwayScore]]=0), 1,0)</f>
        <v>0</v>
      </c>
      <c r="AA11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8" s="2">
        <f>Table2[[#This Row],[ActualAwayScore]]-Table2[[#This Row],[PredictedAwayScore]]</f>
        <v>0</v>
      </c>
      <c r="AG1148" s="2">
        <f>Table2[[#This Row],[ActualHomeScore]]-Table2[[#This Row],[PredictedHomeScore]]</f>
        <v>0</v>
      </c>
      <c r="AH1148" s="2">
        <f t="shared" si="92"/>
        <v>0</v>
      </c>
      <c r="AI1148" s="2">
        <f t="shared" si="93"/>
        <v>0</v>
      </c>
      <c r="AJ1148" s="2"/>
      <c r="AK1148" s="3"/>
      <c r="AL1148" s="2">
        <f>IF(Table2[[#This Row],[GameIsOver]]=0,0,IF(Table2[[#This Row],[ActualWinner]]=Table2[[#This Row],[AwayTeam]], 1, 0))</f>
        <v>0</v>
      </c>
      <c r="AM1148" s="2">
        <f>IF(Table2[[#This Row],[GameIsOver]]=0,0,IF(Table2[[#This Row],[ActualWinner]]=Table2[[#This Row],[HomeTeam]], 1, 0))</f>
        <v>0</v>
      </c>
      <c r="AN11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8" s="2" t="str">
        <f>INDEX(Sheet5!$B$2:$AG$33, MATCH(Table2[[#This Row],[AwayTeam]],Sheet5!$A$2:$A$33, 0), MATCH(Table2[[#This Row],[HomeTeam]],Sheet5!$A$2:$A$33, 0))</f>
        <v>0-0-0</v>
      </c>
      <c r="AP1148" s="2" t="str">
        <f>INDEX(Sheet5!$B$2:$AG$33, MATCH(Table2[[#This Row],[HomeTeam]],Sheet5!$A$2:$A$33, 0), MATCH(Table2[[#This Row],[AwayTeam]],Sheet5!$A$2:$A$33, 0))</f>
        <v>0-0-0</v>
      </c>
      <c r="AQ1148" s="2">
        <f>IF(Table2[[#This Row],[GameHasShutOut]], 1, 0)</f>
        <v>0</v>
      </c>
      <c r="AR1148" s="2">
        <f>IF(Table2[[#This Row],[ActualAwayScore]] + Table2[[#This Row],[ActualHomeScore]] &gt;= 10, 1, 0)</f>
        <v>0</v>
      </c>
      <c r="AS1148" s="2">
        <f>IF(ABS(Table2[[#This Row],[ActualAwayScore]]-Table2[[#This Row],[ActualHomeScore]])&gt;=5, 1, 0)</f>
        <v>0</v>
      </c>
      <c r="AT1148" s="2">
        <f>IF(Table2[[#This Row],[ActualAwayScore]] + Table2[[#This Row],[ActualHomeScore]] &lt;= 3, 1, 0)</f>
        <v>1</v>
      </c>
      <c r="AU1148" s="2"/>
      <c r="AV1148" s="2"/>
    </row>
    <row r="1149" spans="1:48" x14ac:dyDescent="0.25">
      <c r="A1149" s="3"/>
      <c r="B1149" s="3">
        <v>46108</v>
      </c>
      <c r="C1149" s="5">
        <v>2025021147</v>
      </c>
      <c r="D1149" s="2" t="s">
        <v>44</v>
      </c>
      <c r="E1149" s="2" t="s">
        <v>23</v>
      </c>
      <c r="F1149" s="2"/>
      <c r="G1149" s="2"/>
      <c r="H1149" s="2" t="str">
        <f t="shared" si="89"/>
        <v>_</v>
      </c>
      <c r="I1149" s="2"/>
      <c r="J1149" s="2"/>
      <c r="K1149" s="2"/>
      <c r="L1149" s="2" t="str">
        <f t="shared" si="90"/>
        <v>_</v>
      </c>
      <c r="M1149" s="2"/>
      <c r="N1149" s="2">
        <f>IF(ISBLANK(Table2[[#This Row],[ActualResult]]), 0, 1)</f>
        <v>0</v>
      </c>
      <c r="O1149" s="2" t="str">
        <f>IF(ISBLANK(Table2[[#This Row],[ActualResult]]), "_", IF(Table2[[#This Row],[ActualWinner]]=Table2[[#This Row],[PredictedWinner]], "Y", "N"))</f>
        <v>_</v>
      </c>
      <c r="P11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9" s="2"/>
      <c r="S1149" s="2" t="str">
        <f t="shared" si="91"/>
        <v>_</v>
      </c>
      <c r="T11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49" s="2">
        <f>IF(Table2[[#This Row],[InterConf]]=1,IF(Table2[[#This Row],[InterDiv]]=0, 1, 0), 0)</f>
        <v>0</v>
      </c>
      <c r="W11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9" s="2"/>
      <c r="Y1149" s="2"/>
      <c r="Z1149" s="145">
        <f>IF(AND(Table2[[#This Row],[GameIsOver]]=1,Table2[[#This Row],[ActualHomeScore]]*Table2[[#This Row],[ActualAwayScore]]=0), 1,0)</f>
        <v>0</v>
      </c>
      <c r="AA11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9" s="2">
        <f>Table2[[#This Row],[ActualAwayScore]]-Table2[[#This Row],[PredictedAwayScore]]</f>
        <v>0</v>
      </c>
      <c r="AG1149" s="2">
        <f>Table2[[#This Row],[ActualHomeScore]]-Table2[[#This Row],[PredictedHomeScore]]</f>
        <v>0</v>
      </c>
      <c r="AH1149" s="2">
        <f t="shared" si="92"/>
        <v>0</v>
      </c>
      <c r="AI1149" s="2">
        <f t="shared" si="93"/>
        <v>0</v>
      </c>
      <c r="AJ1149" s="2"/>
      <c r="AK1149" s="3"/>
      <c r="AL1149" s="2">
        <f>IF(Table2[[#This Row],[GameIsOver]]=0,0,IF(Table2[[#This Row],[ActualWinner]]=Table2[[#This Row],[AwayTeam]], 1, 0))</f>
        <v>0</v>
      </c>
      <c r="AM1149" s="2">
        <f>IF(Table2[[#This Row],[GameIsOver]]=0,0,IF(Table2[[#This Row],[ActualWinner]]=Table2[[#This Row],[HomeTeam]], 1, 0))</f>
        <v>0</v>
      </c>
      <c r="AN11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9" s="2" t="str">
        <f>INDEX(Sheet5!$B$2:$AG$33, MATCH(Table2[[#This Row],[AwayTeam]],Sheet5!$A$2:$A$33, 0), MATCH(Table2[[#This Row],[HomeTeam]],Sheet5!$A$2:$A$33, 0))</f>
        <v>0-0-0</v>
      </c>
      <c r="AP1149" s="2" t="str">
        <f>INDEX(Sheet5!$B$2:$AG$33, MATCH(Table2[[#This Row],[HomeTeam]],Sheet5!$A$2:$A$33, 0), MATCH(Table2[[#This Row],[AwayTeam]],Sheet5!$A$2:$A$33, 0))</f>
        <v>0-0-0</v>
      </c>
      <c r="AQ1149" s="2">
        <f>IF(Table2[[#This Row],[GameHasShutOut]], 1, 0)</f>
        <v>0</v>
      </c>
      <c r="AR1149" s="2">
        <f>IF(Table2[[#This Row],[ActualAwayScore]] + Table2[[#This Row],[ActualHomeScore]] &gt;= 10, 1, 0)</f>
        <v>0</v>
      </c>
      <c r="AS1149" s="2">
        <f>IF(ABS(Table2[[#This Row],[ActualAwayScore]]-Table2[[#This Row],[ActualHomeScore]])&gt;=5, 1, 0)</f>
        <v>0</v>
      </c>
      <c r="AT1149" s="2">
        <f>IF(Table2[[#This Row],[ActualAwayScore]] + Table2[[#This Row],[ActualHomeScore]] &lt;= 3, 1, 0)</f>
        <v>1</v>
      </c>
      <c r="AU1149" s="2"/>
      <c r="AV1149" s="2"/>
    </row>
    <row r="1150" spans="1:48" x14ac:dyDescent="0.25">
      <c r="A1150" s="3"/>
      <c r="B1150" s="3">
        <v>46108</v>
      </c>
      <c r="C1150" s="5">
        <v>2025021148</v>
      </c>
      <c r="D1150" s="2" t="s">
        <v>22</v>
      </c>
      <c r="E1150" s="2" t="s">
        <v>26</v>
      </c>
      <c r="F1150" s="2"/>
      <c r="G1150" s="2"/>
      <c r="H1150" s="2" t="str">
        <f t="shared" si="89"/>
        <v>_</v>
      </c>
      <c r="I1150" s="2"/>
      <c r="J1150" s="2"/>
      <c r="K1150" s="2"/>
      <c r="L1150" s="2" t="str">
        <f t="shared" si="90"/>
        <v>_</v>
      </c>
      <c r="M1150" s="2"/>
      <c r="N1150" s="2">
        <f>IF(ISBLANK(Table2[[#This Row],[ActualResult]]), 0, 1)</f>
        <v>0</v>
      </c>
      <c r="O1150" s="2" t="str">
        <f>IF(ISBLANK(Table2[[#This Row],[ActualResult]]), "_", IF(Table2[[#This Row],[ActualWinner]]=Table2[[#This Row],[PredictedWinner]], "Y", "N"))</f>
        <v>_</v>
      </c>
      <c r="P11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0" s="2"/>
      <c r="S1150" s="2" t="str">
        <f t="shared" si="91"/>
        <v>_</v>
      </c>
      <c r="T11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0" s="2">
        <f>IF(Table2[[#This Row],[InterConf]]=1,IF(Table2[[#This Row],[InterDiv]]=0, 1, 0), 0)</f>
        <v>0</v>
      </c>
      <c r="W11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0" s="2"/>
      <c r="Y1150" s="2"/>
      <c r="Z1150" s="145">
        <f>IF(AND(Table2[[#This Row],[GameIsOver]]=1,Table2[[#This Row],[ActualHomeScore]]*Table2[[#This Row],[ActualAwayScore]]=0), 1,0)</f>
        <v>0</v>
      </c>
      <c r="AA11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0" s="2">
        <f>Table2[[#This Row],[ActualAwayScore]]-Table2[[#This Row],[PredictedAwayScore]]</f>
        <v>0</v>
      </c>
      <c r="AG1150" s="2">
        <f>Table2[[#This Row],[ActualHomeScore]]-Table2[[#This Row],[PredictedHomeScore]]</f>
        <v>0</v>
      </c>
      <c r="AH1150" s="2">
        <f t="shared" si="92"/>
        <v>0</v>
      </c>
      <c r="AI1150" s="2">
        <f t="shared" si="93"/>
        <v>0</v>
      </c>
      <c r="AJ1150" s="2"/>
      <c r="AK1150" s="3"/>
      <c r="AL1150" s="2">
        <f>IF(Table2[[#This Row],[GameIsOver]]=0,0,IF(Table2[[#This Row],[ActualWinner]]=Table2[[#This Row],[AwayTeam]], 1, 0))</f>
        <v>0</v>
      </c>
      <c r="AM1150" s="2">
        <f>IF(Table2[[#This Row],[GameIsOver]]=0,0,IF(Table2[[#This Row],[ActualWinner]]=Table2[[#This Row],[HomeTeam]], 1, 0))</f>
        <v>0</v>
      </c>
      <c r="AN11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0" s="2" t="str">
        <f>INDEX(Sheet5!$B$2:$AG$33, MATCH(Table2[[#This Row],[AwayTeam]],Sheet5!$A$2:$A$33, 0), MATCH(Table2[[#This Row],[HomeTeam]],Sheet5!$A$2:$A$33, 0))</f>
        <v>0-0-0</v>
      </c>
      <c r="AP1150" s="2" t="str">
        <f>INDEX(Sheet5!$B$2:$AG$33, MATCH(Table2[[#This Row],[HomeTeam]],Sheet5!$A$2:$A$33, 0), MATCH(Table2[[#This Row],[AwayTeam]],Sheet5!$A$2:$A$33, 0))</f>
        <v>0-0-0</v>
      </c>
      <c r="AQ1150" s="2">
        <f>IF(Table2[[#This Row],[GameHasShutOut]], 1, 0)</f>
        <v>0</v>
      </c>
      <c r="AR1150" s="2">
        <f>IF(Table2[[#This Row],[ActualAwayScore]] + Table2[[#This Row],[ActualHomeScore]] &gt;= 10, 1, 0)</f>
        <v>0</v>
      </c>
      <c r="AS1150" s="2">
        <f>IF(ABS(Table2[[#This Row],[ActualAwayScore]]-Table2[[#This Row],[ActualHomeScore]])&gt;=5, 1, 0)</f>
        <v>0</v>
      </c>
      <c r="AT1150" s="2">
        <f>IF(Table2[[#This Row],[ActualAwayScore]] + Table2[[#This Row],[ActualHomeScore]] &lt;= 3, 1, 0)</f>
        <v>1</v>
      </c>
      <c r="AU1150" s="2"/>
      <c r="AV1150" s="2"/>
    </row>
    <row r="1151" spans="1:48" x14ac:dyDescent="0.25">
      <c r="A1151" s="3"/>
      <c r="B1151" s="3">
        <v>46108</v>
      </c>
      <c r="C1151" s="5">
        <v>2025021149</v>
      </c>
      <c r="D1151" s="2" t="s">
        <v>27</v>
      </c>
      <c r="E1151" s="2" t="s">
        <v>24</v>
      </c>
      <c r="F1151" s="2"/>
      <c r="G1151" s="2"/>
      <c r="H1151" s="2" t="str">
        <f t="shared" si="89"/>
        <v>_</v>
      </c>
      <c r="I1151" s="2"/>
      <c r="J1151" s="2"/>
      <c r="K1151" s="2"/>
      <c r="L1151" s="2" t="str">
        <f t="shared" si="90"/>
        <v>_</v>
      </c>
      <c r="M1151" s="2"/>
      <c r="N1151" s="2">
        <f>IF(ISBLANK(Table2[[#This Row],[ActualResult]]), 0, 1)</f>
        <v>0</v>
      </c>
      <c r="O1151" s="2" t="str">
        <f>IF(ISBLANK(Table2[[#This Row],[ActualResult]]), "_", IF(Table2[[#This Row],[ActualWinner]]=Table2[[#This Row],[PredictedWinner]], "Y", "N"))</f>
        <v>_</v>
      </c>
      <c r="P11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1" s="2"/>
      <c r="S1151" s="2" t="str">
        <f t="shared" si="91"/>
        <v>_</v>
      </c>
      <c r="T11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1" s="2">
        <f>IF(Table2[[#This Row],[InterConf]]=1,IF(Table2[[#This Row],[InterDiv]]=0, 1, 0), 0)</f>
        <v>0</v>
      </c>
      <c r="W11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1" s="2"/>
      <c r="Y1151" s="2"/>
      <c r="Z1151" s="145">
        <f>IF(AND(Table2[[#This Row],[GameIsOver]]=1,Table2[[#This Row],[ActualHomeScore]]*Table2[[#This Row],[ActualAwayScore]]=0), 1,0)</f>
        <v>0</v>
      </c>
      <c r="AA11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1" s="2">
        <f>Table2[[#This Row],[ActualAwayScore]]-Table2[[#This Row],[PredictedAwayScore]]</f>
        <v>0</v>
      </c>
      <c r="AG1151" s="2">
        <f>Table2[[#This Row],[ActualHomeScore]]-Table2[[#This Row],[PredictedHomeScore]]</f>
        <v>0</v>
      </c>
      <c r="AH1151" s="2">
        <f t="shared" si="92"/>
        <v>0</v>
      </c>
      <c r="AI1151" s="2">
        <f t="shared" si="93"/>
        <v>0</v>
      </c>
      <c r="AJ1151" s="2"/>
      <c r="AK1151" s="3"/>
      <c r="AL1151" s="2">
        <f>IF(Table2[[#This Row],[GameIsOver]]=0,0,IF(Table2[[#This Row],[ActualWinner]]=Table2[[#This Row],[AwayTeam]], 1, 0))</f>
        <v>0</v>
      </c>
      <c r="AM1151" s="2">
        <f>IF(Table2[[#This Row],[GameIsOver]]=0,0,IF(Table2[[#This Row],[ActualWinner]]=Table2[[#This Row],[HomeTeam]], 1, 0))</f>
        <v>0</v>
      </c>
      <c r="AN1151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51" s="2" t="str">
        <f>INDEX(Sheet5!$B$2:$AG$33, MATCH(Table2[[#This Row],[AwayTeam]],Sheet5!$A$2:$A$33, 0), MATCH(Table2[[#This Row],[HomeTeam]],Sheet5!$A$2:$A$33, 0))</f>
        <v>0-0-0</v>
      </c>
      <c r="AP1151" s="2" t="str">
        <f>INDEX(Sheet5!$B$2:$AG$33, MATCH(Table2[[#This Row],[HomeTeam]],Sheet5!$A$2:$A$33, 0), MATCH(Table2[[#This Row],[AwayTeam]],Sheet5!$A$2:$A$33, 0))</f>
        <v>0-0-0</v>
      </c>
      <c r="AQ1151" s="2">
        <f>IF(Table2[[#This Row],[GameHasShutOut]], 1, 0)</f>
        <v>0</v>
      </c>
      <c r="AR1151" s="2">
        <f>IF(Table2[[#This Row],[ActualAwayScore]] + Table2[[#This Row],[ActualHomeScore]] &gt;= 10, 1, 0)</f>
        <v>0</v>
      </c>
      <c r="AS1151" s="2">
        <f>IF(ABS(Table2[[#This Row],[ActualAwayScore]]-Table2[[#This Row],[ActualHomeScore]])&gt;=5, 1, 0)</f>
        <v>0</v>
      </c>
      <c r="AT1151" s="2">
        <f>IF(Table2[[#This Row],[ActualAwayScore]] + Table2[[#This Row],[ActualHomeScore]] &lt;= 3, 1, 0)</f>
        <v>1</v>
      </c>
      <c r="AU1151" s="2"/>
      <c r="AV1151" s="2"/>
    </row>
    <row r="1152" spans="1:48" x14ac:dyDescent="0.25">
      <c r="A1152" s="3"/>
      <c r="B1152" s="3">
        <v>46108</v>
      </c>
      <c r="C1152" s="5">
        <v>2025021150</v>
      </c>
      <c r="D1152" s="2" t="s">
        <v>30</v>
      </c>
      <c r="E1152" s="2" t="s">
        <v>28</v>
      </c>
      <c r="F1152" s="2"/>
      <c r="G1152" s="2"/>
      <c r="H1152" s="2" t="str">
        <f t="shared" si="89"/>
        <v>_</v>
      </c>
      <c r="I1152" s="2"/>
      <c r="J1152" s="2"/>
      <c r="K1152" s="2"/>
      <c r="L1152" s="2" t="str">
        <f t="shared" si="90"/>
        <v>_</v>
      </c>
      <c r="M1152" s="2"/>
      <c r="N1152" s="2">
        <f>IF(ISBLANK(Table2[[#This Row],[ActualResult]]), 0, 1)</f>
        <v>0</v>
      </c>
      <c r="O1152" s="2" t="str">
        <f>IF(ISBLANK(Table2[[#This Row],[ActualResult]]), "_", IF(Table2[[#This Row],[ActualWinner]]=Table2[[#This Row],[PredictedWinner]], "Y", "N"))</f>
        <v>_</v>
      </c>
      <c r="P11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2" s="2"/>
      <c r="S1152" s="2" t="str">
        <f t="shared" si="91"/>
        <v>_</v>
      </c>
      <c r="T11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2" s="2">
        <f>IF(Table2[[#This Row],[InterConf]]=1,IF(Table2[[#This Row],[InterDiv]]=0, 1, 0), 0)</f>
        <v>0</v>
      </c>
      <c r="W11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2" s="2"/>
      <c r="Y1152" s="2"/>
      <c r="Z1152" s="145">
        <f>IF(AND(Table2[[#This Row],[GameIsOver]]=1,Table2[[#This Row],[ActualHomeScore]]*Table2[[#This Row],[ActualAwayScore]]=0), 1,0)</f>
        <v>0</v>
      </c>
      <c r="AA11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2" s="2">
        <f>Table2[[#This Row],[ActualAwayScore]]-Table2[[#This Row],[PredictedAwayScore]]</f>
        <v>0</v>
      </c>
      <c r="AG1152" s="2">
        <f>Table2[[#This Row],[ActualHomeScore]]-Table2[[#This Row],[PredictedHomeScore]]</f>
        <v>0</v>
      </c>
      <c r="AH1152" s="2">
        <f t="shared" si="92"/>
        <v>0</v>
      </c>
      <c r="AI1152" s="2">
        <f t="shared" si="93"/>
        <v>0</v>
      </c>
      <c r="AJ1152" s="2"/>
      <c r="AK1152" s="3"/>
      <c r="AL1152" s="2">
        <f>IF(Table2[[#This Row],[GameIsOver]]=0,0,IF(Table2[[#This Row],[ActualWinner]]=Table2[[#This Row],[AwayTeam]], 1, 0))</f>
        <v>0</v>
      </c>
      <c r="AM1152" s="2">
        <f>IF(Table2[[#This Row],[GameIsOver]]=0,0,IF(Table2[[#This Row],[ActualWinner]]=Table2[[#This Row],[HomeTeam]], 1, 0))</f>
        <v>0</v>
      </c>
      <c r="AN11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2" s="2" t="str">
        <f>INDEX(Sheet5!$B$2:$AG$33, MATCH(Table2[[#This Row],[AwayTeam]],Sheet5!$A$2:$A$33, 0), MATCH(Table2[[#This Row],[HomeTeam]],Sheet5!$A$2:$A$33, 0))</f>
        <v>0-0-0</v>
      </c>
      <c r="AP1152" s="2" t="str">
        <f>INDEX(Sheet5!$B$2:$AG$33, MATCH(Table2[[#This Row],[HomeTeam]],Sheet5!$A$2:$A$33, 0), MATCH(Table2[[#This Row],[AwayTeam]],Sheet5!$A$2:$A$33, 0))</f>
        <v>0-0-0</v>
      </c>
      <c r="AQ1152" s="2">
        <f>IF(Table2[[#This Row],[GameHasShutOut]], 1, 0)</f>
        <v>0</v>
      </c>
      <c r="AR1152" s="2">
        <f>IF(Table2[[#This Row],[ActualAwayScore]] + Table2[[#This Row],[ActualHomeScore]] &gt;= 10, 1, 0)</f>
        <v>0</v>
      </c>
      <c r="AS1152" s="2">
        <f>IF(ABS(Table2[[#This Row],[ActualAwayScore]]-Table2[[#This Row],[ActualHomeScore]])&gt;=5, 1, 0)</f>
        <v>0</v>
      </c>
      <c r="AT1152" s="2">
        <f>IF(Table2[[#This Row],[ActualAwayScore]] + Table2[[#This Row],[ActualHomeScore]] &lt;= 3, 1, 0)</f>
        <v>1</v>
      </c>
      <c r="AU1152" s="2"/>
      <c r="AV1152" s="2"/>
    </row>
    <row r="1153" spans="1:48" x14ac:dyDescent="0.25">
      <c r="A1153" s="3"/>
      <c r="B1153" s="3">
        <v>46108</v>
      </c>
      <c r="C1153" s="5">
        <v>2025021151</v>
      </c>
      <c r="D1153" s="2" t="s">
        <v>16</v>
      </c>
      <c r="E1153" s="2" t="s">
        <v>19</v>
      </c>
      <c r="F1153" s="2"/>
      <c r="G1153" s="2"/>
      <c r="H1153" s="2" t="str">
        <f t="shared" si="89"/>
        <v>_</v>
      </c>
      <c r="I1153" s="2"/>
      <c r="J1153" s="2"/>
      <c r="K1153" s="2"/>
      <c r="L1153" s="2" t="str">
        <f t="shared" si="90"/>
        <v>_</v>
      </c>
      <c r="M1153" s="2"/>
      <c r="N1153" s="2">
        <f>IF(ISBLANK(Table2[[#This Row],[ActualResult]]), 0, 1)</f>
        <v>0</v>
      </c>
      <c r="O1153" s="2" t="str">
        <f>IF(ISBLANK(Table2[[#This Row],[ActualResult]]), "_", IF(Table2[[#This Row],[ActualWinner]]=Table2[[#This Row],[PredictedWinner]], "Y", "N"))</f>
        <v>_</v>
      </c>
      <c r="P11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3" s="2"/>
      <c r="S1153" s="2" t="str">
        <f t="shared" si="91"/>
        <v>_</v>
      </c>
      <c r="T11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3" s="2">
        <f>IF(Table2[[#This Row],[InterConf]]=1,IF(Table2[[#This Row],[InterDiv]]=0, 1, 0), 0)</f>
        <v>0</v>
      </c>
      <c r="W11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3" s="2"/>
      <c r="Y1153" s="2"/>
      <c r="Z1153" s="145">
        <f>IF(AND(Table2[[#This Row],[GameIsOver]]=1,Table2[[#This Row],[ActualHomeScore]]*Table2[[#This Row],[ActualAwayScore]]=0), 1,0)</f>
        <v>0</v>
      </c>
      <c r="AA11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3" s="2">
        <f>Table2[[#This Row],[ActualAwayScore]]-Table2[[#This Row],[PredictedAwayScore]]</f>
        <v>0</v>
      </c>
      <c r="AG1153" s="2">
        <f>Table2[[#This Row],[ActualHomeScore]]-Table2[[#This Row],[PredictedHomeScore]]</f>
        <v>0</v>
      </c>
      <c r="AH1153" s="2">
        <f t="shared" si="92"/>
        <v>0</v>
      </c>
      <c r="AI1153" s="2">
        <f t="shared" si="93"/>
        <v>0</v>
      </c>
      <c r="AJ1153" s="2"/>
      <c r="AK1153" s="3"/>
      <c r="AL1153" s="2">
        <f>IF(Table2[[#This Row],[GameIsOver]]=0,0,IF(Table2[[#This Row],[ActualWinner]]=Table2[[#This Row],[AwayTeam]], 1, 0))</f>
        <v>0</v>
      </c>
      <c r="AM1153" s="2">
        <f>IF(Table2[[#This Row],[GameIsOver]]=0,0,IF(Table2[[#This Row],[ActualWinner]]=Table2[[#This Row],[HomeTeam]], 1, 0))</f>
        <v>0</v>
      </c>
      <c r="AN11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3" s="2" t="str">
        <f>INDEX(Sheet5!$B$2:$AG$33, MATCH(Table2[[#This Row],[AwayTeam]],Sheet5!$A$2:$A$33, 0), MATCH(Table2[[#This Row],[HomeTeam]],Sheet5!$A$2:$A$33, 0))</f>
        <v>0-0-0</v>
      </c>
      <c r="AP1153" s="2" t="str">
        <f>INDEX(Sheet5!$B$2:$AG$33, MATCH(Table2[[#This Row],[HomeTeam]],Sheet5!$A$2:$A$33, 0), MATCH(Table2[[#This Row],[AwayTeam]],Sheet5!$A$2:$A$33, 0))</f>
        <v>0-0-0</v>
      </c>
      <c r="AQ1153" s="2">
        <f>IF(Table2[[#This Row],[GameHasShutOut]], 1, 0)</f>
        <v>0</v>
      </c>
      <c r="AR1153" s="2">
        <f>IF(Table2[[#This Row],[ActualAwayScore]] + Table2[[#This Row],[ActualHomeScore]] &gt;= 10, 1, 0)</f>
        <v>0</v>
      </c>
      <c r="AS1153" s="2">
        <f>IF(ABS(Table2[[#This Row],[ActualAwayScore]]-Table2[[#This Row],[ActualHomeScore]])&gt;=5, 1, 0)</f>
        <v>0</v>
      </c>
      <c r="AT1153" s="2">
        <f>IF(Table2[[#This Row],[ActualAwayScore]] + Table2[[#This Row],[ActualHomeScore]] &lt;= 3, 1, 0)</f>
        <v>1</v>
      </c>
      <c r="AU1153" s="2"/>
      <c r="AV1153" s="2"/>
    </row>
    <row r="1154" spans="1:48" x14ac:dyDescent="0.25">
      <c r="A1154" s="3"/>
      <c r="B1154" s="3">
        <v>46109</v>
      </c>
      <c r="C1154" s="5">
        <v>2025021152</v>
      </c>
      <c r="D1154" s="2" t="s">
        <v>29</v>
      </c>
      <c r="E1154" s="2" t="s">
        <v>40</v>
      </c>
      <c r="F1154" s="2"/>
      <c r="G1154" s="2"/>
      <c r="H1154" s="2" t="str">
        <f t="shared" si="89"/>
        <v>_</v>
      </c>
      <c r="I1154" s="2"/>
      <c r="J1154" s="2"/>
      <c r="K1154" s="2"/>
      <c r="L1154" s="2" t="str">
        <f t="shared" si="90"/>
        <v>_</v>
      </c>
      <c r="M1154" s="2"/>
      <c r="N1154" s="2">
        <f>IF(ISBLANK(Table2[[#This Row],[ActualResult]]), 0, 1)</f>
        <v>0</v>
      </c>
      <c r="O1154" s="2" t="str">
        <f>IF(ISBLANK(Table2[[#This Row],[ActualResult]]), "_", IF(Table2[[#This Row],[ActualWinner]]=Table2[[#This Row],[PredictedWinner]], "Y", "N"))</f>
        <v>_</v>
      </c>
      <c r="P11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4" s="2"/>
      <c r="S1154" s="2" t="str">
        <f t="shared" si="91"/>
        <v>_</v>
      </c>
      <c r="T11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4" s="2">
        <f>IF(Table2[[#This Row],[InterConf]]=1,IF(Table2[[#This Row],[InterDiv]]=0, 1, 0), 0)</f>
        <v>0</v>
      </c>
      <c r="W11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4" s="2"/>
      <c r="Y1154" s="2"/>
      <c r="Z1154" s="145">
        <f>IF(AND(Table2[[#This Row],[GameIsOver]]=1,Table2[[#This Row],[ActualHomeScore]]*Table2[[#This Row],[ActualAwayScore]]=0), 1,0)</f>
        <v>0</v>
      </c>
      <c r="AA11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4" s="2">
        <f>Table2[[#This Row],[ActualAwayScore]]-Table2[[#This Row],[PredictedAwayScore]]</f>
        <v>0</v>
      </c>
      <c r="AG1154" s="2">
        <f>Table2[[#This Row],[ActualHomeScore]]-Table2[[#This Row],[PredictedHomeScore]]</f>
        <v>0</v>
      </c>
      <c r="AH1154" s="2">
        <f t="shared" si="92"/>
        <v>0</v>
      </c>
      <c r="AI1154" s="2">
        <f t="shared" si="93"/>
        <v>0</v>
      </c>
      <c r="AJ1154" s="2"/>
      <c r="AK1154" s="3"/>
      <c r="AL1154" s="2">
        <f>IF(Table2[[#This Row],[GameIsOver]]=0,0,IF(Table2[[#This Row],[ActualWinner]]=Table2[[#This Row],[AwayTeam]], 1, 0))</f>
        <v>0</v>
      </c>
      <c r="AM1154" s="2">
        <f>IF(Table2[[#This Row],[GameIsOver]]=0,0,IF(Table2[[#This Row],[ActualWinner]]=Table2[[#This Row],[HomeTeam]], 1, 0))</f>
        <v>0</v>
      </c>
      <c r="AN11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4" s="2" t="str">
        <f>INDEX(Sheet5!$B$2:$AG$33, MATCH(Table2[[#This Row],[AwayTeam]],Sheet5!$A$2:$A$33, 0), MATCH(Table2[[#This Row],[HomeTeam]],Sheet5!$A$2:$A$33, 0))</f>
        <v>1-0-0</v>
      </c>
      <c r="AP1154" s="2" t="str">
        <f>INDEX(Sheet5!$B$2:$AG$33, MATCH(Table2[[#This Row],[HomeTeam]],Sheet5!$A$2:$A$33, 0), MATCH(Table2[[#This Row],[AwayTeam]],Sheet5!$A$2:$A$33, 0))</f>
        <v>0-1-0</v>
      </c>
      <c r="AQ1154" s="2">
        <f>IF(Table2[[#This Row],[GameHasShutOut]], 1, 0)</f>
        <v>0</v>
      </c>
      <c r="AR1154" s="2">
        <f>IF(Table2[[#This Row],[ActualAwayScore]] + Table2[[#This Row],[ActualHomeScore]] &gt;= 10, 1, 0)</f>
        <v>0</v>
      </c>
      <c r="AS1154" s="2">
        <f>IF(ABS(Table2[[#This Row],[ActualAwayScore]]-Table2[[#This Row],[ActualHomeScore]])&gt;=5, 1, 0)</f>
        <v>0</v>
      </c>
      <c r="AT1154" s="2">
        <f>IF(Table2[[#This Row],[ActualAwayScore]] + Table2[[#This Row],[ActualHomeScore]] &lt;= 3, 1, 0)</f>
        <v>1</v>
      </c>
      <c r="AU1154" s="2"/>
      <c r="AV1154" s="2"/>
    </row>
    <row r="1155" spans="1:48" x14ac:dyDescent="0.25">
      <c r="A1155" s="3"/>
      <c r="B1155" s="3">
        <v>46109</v>
      </c>
      <c r="C1155" s="5">
        <v>2025021153</v>
      </c>
      <c r="D1155" s="2" t="s">
        <v>13</v>
      </c>
      <c r="E1155" s="2" t="s">
        <v>32</v>
      </c>
      <c r="F1155" s="2"/>
      <c r="G1155" s="2"/>
      <c r="H1155" s="2" t="str">
        <f t="shared" ref="H1155:H1218" si="94">IF(AND(ISBLANK($F1155),ISBLANK($G1155)),"_",IF($F1155&gt;$G1155,$D1155,$E1155))</f>
        <v>_</v>
      </c>
      <c r="I1155" s="2"/>
      <c r="J1155" s="2"/>
      <c r="K1155" s="2"/>
      <c r="L1155" s="2" t="str">
        <f t="shared" ref="L1155:L1218" si="95">IF(OR($J1155=$K1155,AND(ISBLANK($J1155),ISBLANK($K1155))),"_",IF($J1155&gt;$K1155,$D1155,$E1155))</f>
        <v>_</v>
      </c>
      <c r="M1155" s="2"/>
      <c r="N1155" s="2">
        <f>IF(ISBLANK(Table2[[#This Row],[ActualResult]]), 0, 1)</f>
        <v>0</v>
      </c>
      <c r="O1155" s="2" t="str">
        <f>IF(ISBLANK(Table2[[#This Row],[ActualResult]]), "_", IF(Table2[[#This Row],[ActualWinner]]=Table2[[#This Row],[PredictedWinner]], "Y", "N"))</f>
        <v>_</v>
      </c>
      <c r="P11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5" s="2"/>
      <c r="S1155" s="2" t="str">
        <f t="shared" ref="S1155:S1218" si="96">IF($L1155="_", "_", IF($L1155=$D1155,$E1155,$D1155))</f>
        <v>_</v>
      </c>
      <c r="T11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5" s="2">
        <f>IF(Table2[[#This Row],[InterConf]]=1,IF(Table2[[#This Row],[InterDiv]]=0, 1, 0), 0)</f>
        <v>1</v>
      </c>
      <c r="W11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5" s="2"/>
      <c r="Y1155" s="2"/>
      <c r="Z1155" s="145">
        <f>IF(AND(Table2[[#This Row],[GameIsOver]]=1,Table2[[#This Row],[ActualHomeScore]]*Table2[[#This Row],[ActualAwayScore]]=0), 1,0)</f>
        <v>0</v>
      </c>
      <c r="AA11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5" s="2">
        <f>Table2[[#This Row],[ActualAwayScore]]-Table2[[#This Row],[PredictedAwayScore]]</f>
        <v>0</v>
      </c>
      <c r="AG1155" s="2">
        <f>Table2[[#This Row],[ActualHomeScore]]-Table2[[#This Row],[PredictedHomeScore]]</f>
        <v>0</v>
      </c>
      <c r="AH1155" s="2">
        <f t="shared" ref="AH1155:AH1218" si="97">SUMIF($B$3:$B$1315, $B1155, $AF$3:$AF$1315)</f>
        <v>0</v>
      </c>
      <c r="AI1155" s="2">
        <f t="shared" ref="AI1155:AI1218" si="98">SUMIF($B$3:$B$1315, $B1155, $AG$3:$AG$1315)</f>
        <v>0</v>
      </c>
      <c r="AJ1155" s="2"/>
      <c r="AK1155" s="3"/>
      <c r="AL1155" s="2">
        <f>IF(Table2[[#This Row],[GameIsOver]]=0,0,IF(Table2[[#This Row],[ActualWinner]]=Table2[[#This Row],[AwayTeam]], 1, 0))</f>
        <v>0</v>
      </c>
      <c r="AM1155" s="2">
        <f>IF(Table2[[#This Row],[GameIsOver]]=0,0,IF(Table2[[#This Row],[ActualWinner]]=Table2[[#This Row],[HomeTeam]], 1, 0))</f>
        <v>0</v>
      </c>
      <c r="AN11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5" s="2" t="str">
        <f>INDEX(Sheet5!$B$2:$AG$33, MATCH(Table2[[#This Row],[AwayTeam]],Sheet5!$A$2:$A$33, 0), MATCH(Table2[[#This Row],[HomeTeam]],Sheet5!$A$2:$A$33, 0))</f>
        <v>0-0-0</v>
      </c>
      <c r="AP1155" s="2" t="str">
        <f>INDEX(Sheet5!$B$2:$AG$33, MATCH(Table2[[#This Row],[HomeTeam]],Sheet5!$A$2:$A$33, 0), MATCH(Table2[[#This Row],[AwayTeam]],Sheet5!$A$2:$A$33, 0))</f>
        <v>0-0-0</v>
      </c>
      <c r="AQ1155" s="2">
        <f>IF(Table2[[#This Row],[GameHasShutOut]], 1, 0)</f>
        <v>0</v>
      </c>
      <c r="AR1155" s="2">
        <f>IF(Table2[[#This Row],[ActualAwayScore]] + Table2[[#This Row],[ActualHomeScore]] &gt;= 10, 1, 0)</f>
        <v>0</v>
      </c>
      <c r="AS1155" s="2">
        <f>IF(ABS(Table2[[#This Row],[ActualAwayScore]]-Table2[[#This Row],[ActualHomeScore]])&gt;=5, 1, 0)</f>
        <v>0</v>
      </c>
      <c r="AT1155" s="2">
        <f>IF(Table2[[#This Row],[ActualAwayScore]] + Table2[[#This Row],[ActualHomeScore]] &lt;= 3, 1, 0)</f>
        <v>1</v>
      </c>
      <c r="AU1155" s="2"/>
      <c r="AV1155" s="2"/>
    </row>
    <row r="1156" spans="1:48" x14ac:dyDescent="0.25">
      <c r="A1156" s="3"/>
      <c r="B1156" s="3">
        <v>46109</v>
      </c>
      <c r="C1156" s="5">
        <v>2025021154</v>
      </c>
      <c r="D1156" s="2" t="s">
        <v>44</v>
      </c>
      <c r="E1156" s="2" t="s">
        <v>22</v>
      </c>
      <c r="F1156" s="2"/>
      <c r="G1156" s="2"/>
      <c r="H1156" s="2" t="str">
        <f t="shared" si="94"/>
        <v>_</v>
      </c>
      <c r="I1156" s="2"/>
      <c r="J1156" s="2"/>
      <c r="K1156" s="2"/>
      <c r="L1156" s="2" t="str">
        <f t="shared" si="95"/>
        <v>_</v>
      </c>
      <c r="M1156" s="2"/>
      <c r="N1156" s="2">
        <f>IF(ISBLANK(Table2[[#This Row],[ActualResult]]), 0, 1)</f>
        <v>0</v>
      </c>
      <c r="O1156" s="2" t="str">
        <f>IF(ISBLANK(Table2[[#This Row],[ActualResult]]), "_", IF(Table2[[#This Row],[ActualWinner]]=Table2[[#This Row],[PredictedWinner]], "Y", "N"))</f>
        <v>_</v>
      </c>
      <c r="P11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6" s="2"/>
      <c r="S1156" s="2" t="str">
        <f t="shared" si="96"/>
        <v>_</v>
      </c>
      <c r="T11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6" s="2">
        <f>IF(Table2[[#This Row],[InterConf]]=1,IF(Table2[[#This Row],[InterDiv]]=0, 1, 0), 0)</f>
        <v>0</v>
      </c>
      <c r="W11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6" s="2"/>
      <c r="Y1156" s="2"/>
      <c r="Z1156" s="145">
        <f>IF(AND(Table2[[#This Row],[GameIsOver]]=1,Table2[[#This Row],[ActualHomeScore]]*Table2[[#This Row],[ActualAwayScore]]=0), 1,0)</f>
        <v>0</v>
      </c>
      <c r="AA11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6" s="2">
        <f>Table2[[#This Row],[ActualAwayScore]]-Table2[[#This Row],[PredictedAwayScore]]</f>
        <v>0</v>
      </c>
      <c r="AG1156" s="2">
        <f>Table2[[#This Row],[ActualHomeScore]]-Table2[[#This Row],[PredictedHomeScore]]</f>
        <v>0</v>
      </c>
      <c r="AH1156" s="2">
        <f t="shared" si="97"/>
        <v>0</v>
      </c>
      <c r="AI1156" s="2">
        <f t="shared" si="98"/>
        <v>0</v>
      </c>
      <c r="AJ1156" s="2"/>
      <c r="AK1156" s="3"/>
      <c r="AL1156" s="2">
        <f>IF(Table2[[#This Row],[GameIsOver]]=0,0,IF(Table2[[#This Row],[ActualWinner]]=Table2[[#This Row],[AwayTeam]], 1, 0))</f>
        <v>0</v>
      </c>
      <c r="AM1156" s="2">
        <f>IF(Table2[[#This Row],[GameIsOver]]=0,0,IF(Table2[[#This Row],[ActualWinner]]=Table2[[#This Row],[HomeTeam]], 1, 0))</f>
        <v>0</v>
      </c>
      <c r="AN11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6" s="2" t="str">
        <f>INDEX(Sheet5!$B$2:$AG$33, MATCH(Table2[[#This Row],[AwayTeam]],Sheet5!$A$2:$A$33, 0), MATCH(Table2[[#This Row],[HomeTeam]],Sheet5!$A$2:$A$33, 0))</f>
        <v>0-0-0</v>
      </c>
      <c r="AP1156" s="2" t="str">
        <f>INDEX(Sheet5!$B$2:$AG$33, MATCH(Table2[[#This Row],[HomeTeam]],Sheet5!$A$2:$A$33, 0), MATCH(Table2[[#This Row],[AwayTeam]],Sheet5!$A$2:$A$33, 0))</f>
        <v>0-0-0</v>
      </c>
      <c r="AQ1156" s="2">
        <f>IF(Table2[[#This Row],[GameHasShutOut]], 1, 0)</f>
        <v>0</v>
      </c>
      <c r="AR1156" s="2">
        <f>IF(Table2[[#This Row],[ActualAwayScore]] + Table2[[#This Row],[ActualHomeScore]] &gt;= 10, 1, 0)</f>
        <v>0</v>
      </c>
      <c r="AS1156" s="2">
        <f>IF(ABS(Table2[[#This Row],[ActualAwayScore]]-Table2[[#This Row],[ActualHomeScore]])&gt;=5, 1, 0)</f>
        <v>0</v>
      </c>
      <c r="AT1156" s="2">
        <f>IF(Table2[[#This Row],[ActualAwayScore]] + Table2[[#This Row],[ActualHomeScore]] &lt;= 3, 1, 0)</f>
        <v>1</v>
      </c>
      <c r="AU1156" s="2"/>
      <c r="AV1156" s="2"/>
    </row>
    <row r="1157" spans="1:48" x14ac:dyDescent="0.25">
      <c r="A1157" s="3"/>
      <c r="B1157" s="3">
        <v>46109</v>
      </c>
      <c r="C1157" s="5">
        <v>2025021155</v>
      </c>
      <c r="D1157" s="2" t="s">
        <v>36</v>
      </c>
      <c r="E1157" s="2" t="s">
        <v>15</v>
      </c>
      <c r="F1157" s="2"/>
      <c r="G1157" s="2"/>
      <c r="H1157" s="2" t="str">
        <f t="shared" si="94"/>
        <v>_</v>
      </c>
      <c r="I1157" s="2"/>
      <c r="J1157" s="2"/>
      <c r="K1157" s="2"/>
      <c r="L1157" s="2" t="str">
        <f t="shared" si="95"/>
        <v>_</v>
      </c>
      <c r="M1157" s="2"/>
      <c r="N1157" s="2">
        <f>IF(ISBLANK(Table2[[#This Row],[ActualResult]]), 0, 1)</f>
        <v>0</v>
      </c>
      <c r="O1157" s="2" t="str">
        <f>IF(ISBLANK(Table2[[#This Row],[ActualResult]]), "_", IF(Table2[[#This Row],[ActualWinner]]=Table2[[#This Row],[PredictedWinner]], "Y", "N"))</f>
        <v>_</v>
      </c>
      <c r="P11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7" s="2"/>
      <c r="S1157" s="2" t="str">
        <f t="shared" si="96"/>
        <v>_</v>
      </c>
      <c r="T11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7" s="2">
        <f>IF(Table2[[#This Row],[InterConf]]=1,IF(Table2[[#This Row],[InterDiv]]=0, 1, 0), 0)</f>
        <v>0</v>
      </c>
      <c r="W11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7" s="2"/>
      <c r="Y1157" s="2"/>
      <c r="Z1157" s="145">
        <f>IF(AND(Table2[[#This Row],[GameIsOver]]=1,Table2[[#This Row],[ActualHomeScore]]*Table2[[#This Row],[ActualAwayScore]]=0), 1,0)</f>
        <v>0</v>
      </c>
      <c r="AA11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7" s="2">
        <f>Table2[[#This Row],[ActualAwayScore]]-Table2[[#This Row],[PredictedAwayScore]]</f>
        <v>0</v>
      </c>
      <c r="AG1157" s="2">
        <f>Table2[[#This Row],[ActualHomeScore]]-Table2[[#This Row],[PredictedHomeScore]]</f>
        <v>0</v>
      </c>
      <c r="AH1157" s="2">
        <f t="shared" si="97"/>
        <v>0</v>
      </c>
      <c r="AI1157" s="2">
        <f t="shared" si="98"/>
        <v>0</v>
      </c>
      <c r="AJ1157" s="2"/>
      <c r="AK1157" s="3"/>
      <c r="AL1157" s="2">
        <f>IF(Table2[[#This Row],[GameIsOver]]=0,0,IF(Table2[[#This Row],[ActualWinner]]=Table2[[#This Row],[AwayTeam]], 1, 0))</f>
        <v>0</v>
      </c>
      <c r="AM1157" s="2">
        <f>IF(Table2[[#This Row],[GameIsOver]]=0,0,IF(Table2[[#This Row],[ActualWinner]]=Table2[[#This Row],[HomeTeam]], 1, 0))</f>
        <v>0</v>
      </c>
      <c r="AN11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7" s="2" t="str">
        <f>INDEX(Sheet5!$B$2:$AG$33, MATCH(Table2[[#This Row],[AwayTeam]],Sheet5!$A$2:$A$33, 0), MATCH(Table2[[#This Row],[HomeTeam]],Sheet5!$A$2:$A$33, 0))</f>
        <v>0-0-0</v>
      </c>
      <c r="AP1157" s="2" t="str">
        <f>INDEX(Sheet5!$B$2:$AG$33, MATCH(Table2[[#This Row],[HomeTeam]],Sheet5!$A$2:$A$33, 0), MATCH(Table2[[#This Row],[AwayTeam]],Sheet5!$A$2:$A$33, 0))</f>
        <v>0-0-0</v>
      </c>
      <c r="AQ1157" s="2">
        <f>IF(Table2[[#This Row],[GameHasShutOut]], 1, 0)</f>
        <v>0</v>
      </c>
      <c r="AR1157" s="2">
        <f>IF(Table2[[#This Row],[ActualAwayScore]] + Table2[[#This Row],[ActualHomeScore]] &gt;= 10, 1, 0)</f>
        <v>0</v>
      </c>
      <c r="AS1157" s="2">
        <f>IF(ABS(Table2[[#This Row],[ActualAwayScore]]-Table2[[#This Row],[ActualHomeScore]])&gt;=5, 1, 0)</f>
        <v>0</v>
      </c>
      <c r="AT1157" s="2">
        <f>IF(Table2[[#This Row],[ActualAwayScore]] + Table2[[#This Row],[ActualHomeScore]] &lt;= 3, 1, 0)</f>
        <v>1</v>
      </c>
      <c r="AU1157" s="2"/>
      <c r="AV1157" s="2"/>
    </row>
    <row r="1158" spans="1:48" x14ac:dyDescent="0.25">
      <c r="A1158" s="3"/>
      <c r="B1158" s="3">
        <v>46109</v>
      </c>
      <c r="C1158" s="5">
        <v>2025021156</v>
      </c>
      <c r="D1158" s="2" t="s">
        <v>33</v>
      </c>
      <c r="E1158" s="2" t="s">
        <v>20</v>
      </c>
      <c r="F1158" s="2"/>
      <c r="G1158" s="2"/>
      <c r="H1158" s="2" t="str">
        <f t="shared" si="94"/>
        <v>_</v>
      </c>
      <c r="I1158" s="2"/>
      <c r="J1158" s="2"/>
      <c r="K1158" s="2"/>
      <c r="L1158" s="2" t="str">
        <f t="shared" si="95"/>
        <v>_</v>
      </c>
      <c r="M1158" s="2"/>
      <c r="N1158" s="2">
        <f>IF(ISBLANK(Table2[[#This Row],[ActualResult]]), 0, 1)</f>
        <v>0</v>
      </c>
      <c r="O1158" s="2" t="str">
        <f>IF(ISBLANK(Table2[[#This Row],[ActualResult]]), "_", IF(Table2[[#This Row],[ActualWinner]]=Table2[[#This Row],[PredictedWinner]], "Y", "N"))</f>
        <v>_</v>
      </c>
      <c r="P11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8" s="2"/>
      <c r="S1158" s="2" t="str">
        <f t="shared" si="96"/>
        <v>_</v>
      </c>
      <c r="T11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8" s="2">
        <f>IF(Table2[[#This Row],[InterConf]]=1,IF(Table2[[#This Row],[InterDiv]]=0, 1, 0), 0)</f>
        <v>0</v>
      </c>
      <c r="W11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8" s="2"/>
      <c r="Y1158" s="2"/>
      <c r="Z1158" s="145">
        <f>IF(AND(Table2[[#This Row],[GameIsOver]]=1,Table2[[#This Row],[ActualHomeScore]]*Table2[[#This Row],[ActualAwayScore]]=0), 1,0)</f>
        <v>0</v>
      </c>
      <c r="AA11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8" s="2">
        <f>Table2[[#This Row],[ActualAwayScore]]-Table2[[#This Row],[PredictedAwayScore]]</f>
        <v>0</v>
      </c>
      <c r="AG1158" s="2">
        <f>Table2[[#This Row],[ActualHomeScore]]-Table2[[#This Row],[PredictedHomeScore]]</f>
        <v>0</v>
      </c>
      <c r="AH1158" s="2">
        <f t="shared" si="97"/>
        <v>0</v>
      </c>
      <c r="AI1158" s="2">
        <f t="shared" si="98"/>
        <v>0</v>
      </c>
      <c r="AJ1158" s="2"/>
      <c r="AK1158" s="3"/>
      <c r="AL1158" s="2">
        <f>IF(Table2[[#This Row],[GameIsOver]]=0,0,IF(Table2[[#This Row],[ActualWinner]]=Table2[[#This Row],[AwayTeam]], 1, 0))</f>
        <v>0</v>
      </c>
      <c r="AM1158" s="2">
        <f>IF(Table2[[#This Row],[GameIsOver]]=0,0,IF(Table2[[#This Row],[ActualWinner]]=Table2[[#This Row],[HomeTeam]], 1, 0))</f>
        <v>0</v>
      </c>
      <c r="AN11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8" s="2" t="str">
        <f>INDEX(Sheet5!$B$2:$AG$33, MATCH(Table2[[#This Row],[AwayTeam]],Sheet5!$A$2:$A$33, 0), MATCH(Table2[[#This Row],[HomeTeam]],Sheet5!$A$2:$A$33, 0))</f>
        <v>0-0-0</v>
      </c>
      <c r="AP1158" s="2" t="str">
        <f>INDEX(Sheet5!$B$2:$AG$33, MATCH(Table2[[#This Row],[HomeTeam]],Sheet5!$A$2:$A$33, 0), MATCH(Table2[[#This Row],[AwayTeam]],Sheet5!$A$2:$A$33, 0))</f>
        <v>0-0-0</v>
      </c>
      <c r="AQ1158" s="2">
        <f>IF(Table2[[#This Row],[GameHasShutOut]], 1, 0)</f>
        <v>0</v>
      </c>
      <c r="AR1158" s="2">
        <f>IF(Table2[[#This Row],[ActualAwayScore]] + Table2[[#This Row],[ActualHomeScore]] &gt;= 10, 1, 0)</f>
        <v>0</v>
      </c>
      <c r="AS1158" s="2">
        <f>IF(ABS(Table2[[#This Row],[ActualAwayScore]]-Table2[[#This Row],[ActualHomeScore]])&gt;=5, 1, 0)</f>
        <v>0</v>
      </c>
      <c r="AT1158" s="2">
        <f>IF(Table2[[#This Row],[ActualAwayScore]] + Table2[[#This Row],[ActualHomeScore]] &lt;= 3, 1, 0)</f>
        <v>1</v>
      </c>
      <c r="AU1158" s="2"/>
      <c r="AV1158" s="2"/>
    </row>
    <row r="1159" spans="1:48" x14ac:dyDescent="0.25">
      <c r="A1159" s="3"/>
      <c r="B1159" s="3">
        <v>46109</v>
      </c>
      <c r="C1159" s="5">
        <v>2025021157</v>
      </c>
      <c r="D1159" s="2" t="s">
        <v>31</v>
      </c>
      <c r="E1159" s="2" t="s">
        <v>41</v>
      </c>
      <c r="F1159" s="2"/>
      <c r="G1159" s="2"/>
      <c r="H1159" s="2" t="str">
        <f t="shared" si="94"/>
        <v>_</v>
      </c>
      <c r="I1159" s="2"/>
      <c r="J1159" s="2"/>
      <c r="K1159" s="2"/>
      <c r="L1159" s="2" t="str">
        <f t="shared" si="95"/>
        <v>_</v>
      </c>
      <c r="M1159" s="2"/>
      <c r="N1159" s="2">
        <f>IF(ISBLANK(Table2[[#This Row],[ActualResult]]), 0, 1)</f>
        <v>0</v>
      </c>
      <c r="O1159" s="2" t="str">
        <f>IF(ISBLANK(Table2[[#This Row],[ActualResult]]), "_", IF(Table2[[#This Row],[ActualWinner]]=Table2[[#This Row],[PredictedWinner]], "Y", "N"))</f>
        <v>_</v>
      </c>
      <c r="P11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9" s="2"/>
      <c r="S1159" s="2" t="str">
        <f t="shared" si="96"/>
        <v>_</v>
      </c>
      <c r="T11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9" s="2">
        <f>IF(Table2[[#This Row],[InterConf]]=1,IF(Table2[[#This Row],[InterDiv]]=0, 1, 0), 0)</f>
        <v>0</v>
      </c>
      <c r="W11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9" s="2"/>
      <c r="Y1159" s="2"/>
      <c r="Z1159" s="145">
        <f>IF(AND(Table2[[#This Row],[GameIsOver]]=1,Table2[[#This Row],[ActualHomeScore]]*Table2[[#This Row],[ActualAwayScore]]=0), 1,0)</f>
        <v>0</v>
      </c>
      <c r="AA11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9" s="2">
        <f>Table2[[#This Row],[ActualAwayScore]]-Table2[[#This Row],[PredictedAwayScore]]</f>
        <v>0</v>
      </c>
      <c r="AG1159" s="2">
        <f>Table2[[#This Row],[ActualHomeScore]]-Table2[[#This Row],[PredictedHomeScore]]</f>
        <v>0</v>
      </c>
      <c r="AH1159" s="2">
        <f t="shared" si="97"/>
        <v>0</v>
      </c>
      <c r="AI1159" s="2">
        <f t="shared" si="98"/>
        <v>0</v>
      </c>
      <c r="AJ1159" s="2"/>
      <c r="AK1159" s="3"/>
      <c r="AL1159" s="2">
        <f>IF(Table2[[#This Row],[GameIsOver]]=0,0,IF(Table2[[#This Row],[ActualWinner]]=Table2[[#This Row],[AwayTeam]], 1, 0))</f>
        <v>0</v>
      </c>
      <c r="AM1159" s="2">
        <f>IF(Table2[[#This Row],[GameIsOver]]=0,0,IF(Table2[[#This Row],[ActualWinner]]=Table2[[#This Row],[HomeTeam]], 1, 0))</f>
        <v>0</v>
      </c>
      <c r="AN11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9" s="2" t="str">
        <f>INDEX(Sheet5!$B$2:$AG$33, MATCH(Table2[[#This Row],[AwayTeam]],Sheet5!$A$2:$A$33, 0), MATCH(Table2[[#This Row],[HomeTeam]],Sheet5!$A$2:$A$33, 0))</f>
        <v>0-1-0</v>
      </c>
      <c r="AP1159" s="2" t="str">
        <f>INDEX(Sheet5!$B$2:$AG$33, MATCH(Table2[[#This Row],[HomeTeam]],Sheet5!$A$2:$A$33, 0), MATCH(Table2[[#This Row],[AwayTeam]],Sheet5!$A$2:$A$33, 0))</f>
        <v>1-0-0</v>
      </c>
      <c r="AQ1159" s="2">
        <f>IF(Table2[[#This Row],[GameHasShutOut]], 1, 0)</f>
        <v>0</v>
      </c>
      <c r="AR1159" s="2">
        <f>IF(Table2[[#This Row],[ActualAwayScore]] + Table2[[#This Row],[ActualHomeScore]] &gt;= 10, 1, 0)</f>
        <v>0</v>
      </c>
      <c r="AS1159" s="2">
        <f>IF(ABS(Table2[[#This Row],[ActualAwayScore]]-Table2[[#This Row],[ActualHomeScore]])&gt;=5, 1, 0)</f>
        <v>0</v>
      </c>
      <c r="AT1159" s="2">
        <f>IF(Table2[[#This Row],[ActualAwayScore]] + Table2[[#This Row],[ActualHomeScore]] &lt;= 3, 1, 0)</f>
        <v>1</v>
      </c>
      <c r="AU1159" s="2"/>
      <c r="AV1159" s="2"/>
    </row>
    <row r="1160" spans="1:48" x14ac:dyDescent="0.25">
      <c r="A1160" s="3"/>
      <c r="B1160" s="3">
        <v>46109</v>
      </c>
      <c r="C1160" s="5">
        <v>2025021158</v>
      </c>
      <c r="D1160" s="2" t="s">
        <v>37</v>
      </c>
      <c r="E1160" s="2" t="s">
        <v>35</v>
      </c>
      <c r="F1160" s="2"/>
      <c r="G1160" s="2"/>
      <c r="H1160" s="2" t="str">
        <f t="shared" si="94"/>
        <v>_</v>
      </c>
      <c r="I1160" s="2"/>
      <c r="J1160" s="2"/>
      <c r="K1160" s="2"/>
      <c r="L1160" s="2" t="str">
        <f t="shared" si="95"/>
        <v>_</v>
      </c>
      <c r="M1160" s="2"/>
      <c r="N1160" s="2">
        <f>IF(ISBLANK(Table2[[#This Row],[ActualResult]]), 0, 1)</f>
        <v>0</v>
      </c>
      <c r="O1160" s="2" t="str">
        <f>IF(ISBLANK(Table2[[#This Row],[ActualResult]]), "_", IF(Table2[[#This Row],[ActualWinner]]=Table2[[#This Row],[PredictedWinner]], "Y", "N"))</f>
        <v>_</v>
      </c>
      <c r="P11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0" s="2"/>
      <c r="S1160" s="2" t="str">
        <f t="shared" si="96"/>
        <v>_</v>
      </c>
      <c r="T11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0" s="2">
        <f>IF(Table2[[#This Row],[InterConf]]=1,IF(Table2[[#This Row],[InterDiv]]=0, 1, 0), 0)</f>
        <v>0</v>
      </c>
      <c r="W11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0" s="2"/>
      <c r="Y1160" s="2"/>
      <c r="Z1160" s="145">
        <f>IF(AND(Table2[[#This Row],[GameIsOver]]=1,Table2[[#This Row],[ActualHomeScore]]*Table2[[#This Row],[ActualAwayScore]]=0), 1,0)</f>
        <v>0</v>
      </c>
      <c r="AA11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0" s="2">
        <f>Table2[[#This Row],[ActualAwayScore]]-Table2[[#This Row],[PredictedAwayScore]]</f>
        <v>0</v>
      </c>
      <c r="AG1160" s="2">
        <f>Table2[[#This Row],[ActualHomeScore]]-Table2[[#This Row],[PredictedHomeScore]]</f>
        <v>0</v>
      </c>
      <c r="AH1160" s="2">
        <f t="shared" si="97"/>
        <v>0</v>
      </c>
      <c r="AI1160" s="2">
        <f t="shared" si="98"/>
        <v>0</v>
      </c>
      <c r="AJ1160" s="2"/>
      <c r="AK1160" s="3"/>
      <c r="AL1160" s="2">
        <f>IF(Table2[[#This Row],[GameIsOver]]=0,0,IF(Table2[[#This Row],[ActualWinner]]=Table2[[#This Row],[AwayTeam]], 1, 0))</f>
        <v>0</v>
      </c>
      <c r="AM1160" s="2">
        <f>IF(Table2[[#This Row],[GameIsOver]]=0,0,IF(Table2[[#This Row],[ActualWinner]]=Table2[[#This Row],[HomeTeam]], 1, 0))</f>
        <v>0</v>
      </c>
      <c r="AN11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0" s="2" t="str">
        <f>INDEX(Sheet5!$B$2:$AG$33, MATCH(Table2[[#This Row],[AwayTeam]],Sheet5!$A$2:$A$33, 0), MATCH(Table2[[#This Row],[HomeTeam]],Sheet5!$A$2:$A$33, 0))</f>
        <v>0-0-0</v>
      </c>
      <c r="AP1160" s="2" t="str">
        <f>INDEX(Sheet5!$B$2:$AG$33, MATCH(Table2[[#This Row],[HomeTeam]],Sheet5!$A$2:$A$33, 0), MATCH(Table2[[#This Row],[AwayTeam]],Sheet5!$A$2:$A$33, 0))</f>
        <v>0-0-0</v>
      </c>
      <c r="AQ1160" s="2">
        <f>IF(Table2[[#This Row],[GameHasShutOut]], 1, 0)</f>
        <v>0</v>
      </c>
      <c r="AR1160" s="2">
        <f>IF(Table2[[#This Row],[ActualAwayScore]] + Table2[[#This Row],[ActualHomeScore]] &gt;= 10, 1, 0)</f>
        <v>0</v>
      </c>
      <c r="AS1160" s="2">
        <f>IF(ABS(Table2[[#This Row],[ActualAwayScore]]-Table2[[#This Row],[ActualHomeScore]])&gt;=5, 1, 0)</f>
        <v>0</v>
      </c>
      <c r="AT1160" s="2">
        <f>IF(Table2[[#This Row],[ActualAwayScore]] + Table2[[#This Row],[ActualHomeScore]] &lt;= 3, 1, 0)</f>
        <v>1</v>
      </c>
      <c r="AU1160" s="2"/>
      <c r="AV1160" s="2"/>
    </row>
    <row r="1161" spans="1:48" x14ac:dyDescent="0.25">
      <c r="A1161" s="3"/>
      <c r="B1161" s="3">
        <v>46109</v>
      </c>
      <c r="C1161" s="5">
        <v>2025021159</v>
      </c>
      <c r="D1161" s="2" t="s">
        <v>11</v>
      </c>
      <c r="E1161" s="2" t="s">
        <v>28</v>
      </c>
      <c r="F1161" s="2"/>
      <c r="G1161" s="2"/>
      <c r="H1161" s="2" t="str">
        <f t="shared" si="94"/>
        <v>_</v>
      </c>
      <c r="I1161" s="2"/>
      <c r="J1161" s="2"/>
      <c r="K1161" s="2"/>
      <c r="L1161" s="2" t="str">
        <f t="shared" si="95"/>
        <v>_</v>
      </c>
      <c r="M1161" s="2"/>
      <c r="N1161" s="2">
        <f>IF(ISBLANK(Table2[[#This Row],[ActualResult]]), 0, 1)</f>
        <v>0</v>
      </c>
      <c r="O1161" s="2" t="str">
        <f>IF(ISBLANK(Table2[[#This Row],[ActualResult]]), "_", IF(Table2[[#This Row],[ActualWinner]]=Table2[[#This Row],[PredictedWinner]], "Y", "N"))</f>
        <v>_</v>
      </c>
      <c r="P11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1" s="2"/>
      <c r="S1161" s="2" t="str">
        <f t="shared" si="96"/>
        <v>_</v>
      </c>
      <c r="T11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1" s="2">
        <f>IF(Table2[[#This Row],[InterConf]]=1,IF(Table2[[#This Row],[InterDiv]]=0, 1, 0), 0)</f>
        <v>0</v>
      </c>
      <c r="W11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1" s="2"/>
      <c r="Y1161" s="2"/>
      <c r="Z1161" s="145">
        <f>IF(AND(Table2[[#This Row],[GameIsOver]]=1,Table2[[#This Row],[ActualHomeScore]]*Table2[[#This Row],[ActualAwayScore]]=0), 1,0)</f>
        <v>0</v>
      </c>
      <c r="AA11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1" s="2">
        <f>Table2[[#This Row],[ActualAwayScore]]-Table2[[#This Row],[PredictedAwayScore]]</f>
        <v>0</v>
      </c>
      <c r="AG1161" s="2">
        <f>Table2[[#This Row],[ActualHomeScore]]-Table2[[#This Row],[PredictedHomeScore]]</f>
        <v>0</v>
      </c>
      <c r="AH1161" s="2">
        <f t="shared" si="97"/>
        <v>0</v>
      </c>
      <c r="AI1161" s="2">
        <f t="shared" si="98"/>
        <v>0</v>
      </c>
      <c r="AJ1161" s="2"/>
      <c r="AK1161" s="3"/>
      <c r="AL1161" s="2">
        <f>IF(Table2[[#This Row],[GameIsOver]]=0,0,IF(Table2[[#This Row],[ActualWinner]]=Table2[[#This Row],[AwayTeam]], 1, 0))</f>
        <v>0</v>
      </c>
      <c r="AM1161" s="2">
        <f>IF(Table2[[#This Row],[GameIsOver]]=0,0,IF(Table2[[#This Row],[ActualWinner]]=Table2[[#This Row],[HomeTeam]], 1, 0))</f>
        <v>0</v>
      </c>
      <c r="AN11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1" s="2" t="str">
        <f>INDEX(Sheet5!$B$2:$AG$33, MATCH(Table2[[#This Row],[AwayTeam]],Sheet5!$A$2:$A$33, 0), MATCH(Table2[[#This Row],[HomeTeam]],Sheet5!$A$2:$A$33, 0))</f>
        <v>0-0-0</v>
      </c>
      <c r="AP1161" s="2" t="str">
        <f>INDEX(Sheet5!$B$2:$AG$33, MATCH(Table2[[#This Row],[HomeTeam]],Sheet5!$A$2:$A$33, 0), MATCH(Table2[[#This Row],[AwayTeam]],Sheet5!$A$2:$A$33, 0))</f>
        <v>0-0-0</v>
      </c>
      <c r="AQ1161" s="2">
        <f>IF(Table2[[#This Row],[GameHasShutOut]], 1, 0)</f>
        <v>0</v>
      </c>
      <c r="AR1161" s="2">
        <f>IF(Table2[[#This Row],[ActualAwayScore]] + Table2[[#This Row],[ActualHomeScore]] &gt;= 10, 1, 0)</f>
        <v>0</v>
      </c>
      <c r="AS1161" s="2">
        <f>IF(ABS(Table2[[#This Row],[ActualAwayScore]]-Table2[[#This Row],[ActualHomeScore]])&gt;=5, 1, 0)</f>
        <v>0</v>
      </c>
      <c r="AT1161" s="2">
        <f>IF(Table2[[#This Row],[ActualAwayScore]] + Table2[[#This Row],[ActualHomeScore]] &lt;= 3, 1, 0)</f>
        <v>1</v>
      </c>
      <c r="AU1161" s="2"/>
      <c r="AV1161" s="2"/>
    </row>
    <row r="1162" spans="1:48" x14ac:dyDescent="0.25">
      <c r="A1162" s="3"/>
      <c r="B1162" s="3">
        <v>46109</v>
      </c>
      <c r="C1162" s="5">
        <v>2025021160</v>
      </c>
      <c r="D1162" s="2" t="s">
        <v>17</v>
      </c>
      <c r="E1162" s="2" t="s">
        <v>12</v>
      </c>
      <c r="F1162" s="2"/>
      <c r="G1162" s="2"/>
      <c r="H1162" s="2" t="str">
        <f t="shared" si="94"/>
        <v>_</v>
      </c>
      <c r="I1162" s="2"/>
      <c r="J1162" s="2"/>
      <c r="K1162" s="2"/>
      <c r="L1162" s="2" t="str">
        <f t="shared" si="95"/>
        <v>_</v>
      </c>
      <c r="M1162" s="2"/>
      <c r="N1162" s="2">
        <f>IF(ISBLANK(Table2[[#This Row],[ActualResult]]), 0, 1)</f>
        <v>0</v>
      </c>
      <c r="O1162" s="2" t="str">
        <f>IF(ISBLANK(Table2[[#This Row],[ActualResult]]), "_", IF(Table2[[#This Row],[ActualWinner]]=Table2[[#This Row],[PredictedWinner]], "Y", "N"))</f>
        <v>_</v>
      </c>
      <c r="P11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2" s="2"/>
      <c r="S1162" s="2" t="str">
        <f t="shared" si="96"/>
        <v>_</v>
      </c>
      <c r="T11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2" s="2">
        <f>IF(Table2[[#This Row],[InterConf]]=1,IF(Table2[[#This Row],[InterDiv]]=0, 1, 0), 0)</f>
        <v>0</v>
      </c>
      <c r="W11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2" s="2"/>
      <c r="Y1162" s="2"/>
      <c r="Z1162" s="145">
        <f>IF(AND(Table2[[#This Row],[GameIsOver]]=1,Table2[[#This Row],[ActualHomeScore]]*Table2[[#This Row],[ActualAwayScore]]=0), 1,0)</f>
        <v>0</v>
      </c>
      <c r="AA11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2" s="2">
        <f>Table2[[#This Row],[ActualAwayScore]]-Table2[[#This Row],[PredictedAwayScore]]</f>
        <v>0</v>
      </c>
      <c r="AG1162" s="2">
        <f>Table2[[#This Row],[ActualHomeScore]]-Table2[[#This Row],[PredictedHomeScore]]</f>
        <v>0</v>
      </c>
      <c r="AH1162" s="2">
        <f t="shared" si="97"/>
        <v>0</v>
      </c>
      <c r="AI1162" s="2">
        <f t="shared" si="98"/>
        <v>0</v>
      </c>
      <c r="AJ1162" s="2"/>
      <c r="AK1162" s="3"/>
      <c r="AL1162" s="2">
        <f>IF(Table2[[#This Row],[GameIsOver]]=0,0,IF(Table2[[#This Row],[ActualWinner]]=Table2[[#This Row],[AwayTeam]], 1, 0))</f>
        <v>0</v>
      </c>
      <c r="AM1162" s="2">
        <f>IF(Table2[[#This Row],[GameIsOver]]=0,0,IF(Table2[[#This Row],[ActualWinner]]=Table2[[#This Row],[HomeTeam]], 1, 0))</f>
        <v>0</v>
      </c>
      <c r="AN11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2" s="2" t="str">
        <f>INDEX(Sheet5!$B$2:$AG$33, MATCH(Table2[[#This Row],[AwayTeam]],Sheet5!$A$2:$A$33, 0), MATCH(Table2[[#This Row],[HomeTeam]],Sheet5!$A$2:$A$33, 0))</f>
        <v>0-0-0</v>
      </c>
      <c r="AP1162" s="2" t="str">
        <f>INDEX(Sheet5!$B$2:$AG$33, MATCH(Table2[[#This Row],[HomeTeam]],Sheet5!$A$2:$A$33, 0), MATCH(Table2[[#This Row],[AwayTeam]],Sheet5!$A$2:$A$33, 0))</f>
        <v>0-0-0</v>
      </c>
      <c r="AQ1162" s="2">
        <f>IF(Table2[[#This Row],[GameHasShutOut]], 1, 0)</f>
        <v>0</v>
      </c>
      <c r="AR1162" s="2">
        <f>IF(Table2[[#This Row],[ActualAwayScore]] + Table2[[#This Row],[ActualHomeScore]] &gt;= 10, 1, 0)</f>
        <v>0</v>
      </c>
      <c r="AS1162" s="2">
        <f>IF(ABS(Table2[[#This Row],[ActualAwayScore]]-Table2[[#This Row],[ActualHomeScore]])&gt;=5, 1, 0)</f>
        <v>0</v>
      </c>
      <c r="AT1162" s="2">
        <f>IF(Table2[[#This Row],[ActualAwayScore]] + Table2[[#This Row],[ActualHomeScore]] &lt;= 3, 1, 0)</f>
        <v>1</v>
      </c>
      <c r="AU1162" s="2"/>
      <c r="AV1162" s="2"/>
    </row>
    <row r="1163" spans="1:48" x14ac:dyDescent="0.25">
      <c r="A1163" s="3"/>
      <c r="B1163" s="3">
        <v>46109</v>
      </c>
      <c r="C1163" s="5">
        <v>2025021161</v>
      </c>
      <c r="D1163" s="2" t="s">
        <v>18</v>
      </c>
      <c r="E1163" s="2" t="s">
        <v>34</v>
      </c>
      <c r="F1163" s="2"/>
      <c r="G1163" s="2"/>
      <c r="H1163" s="2" t="str">
        <f t="shared" si="94"/>
        <v>_</v>
      </c>
      <c r="I1163" s="2"/>
      <c r="J1163" s="2"/>
      <c r="K1163" s="2"/>
      <c r="L1163" s="2" t="str">
        <f t="shared" si="95"/>
        <v>_</v>
      </c>
      <c r="M1163" s="2"/>
      <c r="N1163" s="2">
        <f>IF(ISBLANK(Table2[[#This Row],[ActualResult]]), 0, 1)</f>
        <v>0</v>
      </c>
      <c r="O1163" s="2" t="str">
        <f>IF(ISBLANK(Table2[[#This Row],[ActualResult]]), "_", IF(Table2[[#This Row],[ActualWinner]]=Table2[[#This Row],[PredictedWinner]], "Y", "N"))</f>
        <v>_</v>
      </c>
      <c r="P11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3" s="2"/>
      <c r="S1163" s="2" t="str">
        <f t="shared" si="96"/>
        <v>_</v>
      </c>
      <c r="T11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3" s="2">
        <f>IF(Table2[[#This Row],[InterConf]]=1,IF(Table2[[#This Row],[InterDiv]]=0, 1, 0), 0)</f>
        <v>0</v>
      </c>
      <c r="W11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3" s="2"/>
      <c r="Y1163" s="2"/>
      <c r="Z1163" s="145">
        <f>IF(AND(Table2[[#This Row],[GameIsOver]]=1,Table2[[#This Row],[ActualHomeScore]]*Table2[[#This Row],[ActualAwayScore]]=0), 1,0)</f>
        <v>0</v>
      </c>
      <c r="AA11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3" s="2">
        <f>Table2[[#This Row],[ActualAwayScore]]-Table2[[#This Row],[PredictedAwayScore]]</f>
        <v>0</v>
      </c>
      <c r="AG1163" s="2">
        <f>Table2[[#This Row],[ActualHomeScore]]-Table2[[#This Row],[PredictedHomeScore]]</f>
        <v>0</v>
      </c>
      <c r="AH1163" s="2">
        <f t="shared" si="97"/>
        <v>0</v>
      </c>
      <c r="AI1163" s="2">
        <f t="shared" si="98"/>
        <v>0</v>
      </c>
      <c r="AJ1163" s="2"/>
      <c r="AK1163" s="3"/>
      <c r="AL1163" s="2">
        <f>IF(Table2[[#This Row],[GameIsOver]]=0,0,IF(Table2[[#This Row],[ActualWinner]]=Table2[[#This Row],[AwayTeam]], 1, 0))</f>
        <v>0</v>
      </c>
      <c r="AM1163" s="2">
        <f>IF(Table2[[#This Row],[GameIsOver]]=0,0,IF(Table2[[#This Row],[ActualWinner]]=Table2[[#This Row],[HomeTeam]], 1, 0))</f>
        <v>0</v>
      </c>
      <c r="AN11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3" s="2" t="str">
        <f>INDEX(Sheet5!$B$2:$AG$33, MATCH(Table2[[#This Row],[AwayTeam]],Sheet5!$A$2:$A$33, 0), MATCH(Table2[[#This Row],[HomeTeam]],Sheet5!$A$2:$A$33, 0))</f>
        <v>1-0-0</v>
      </c>
      <c r="AP1163" s="2" t="str">
        <f>INDEX(Sheet5!$B$2:$AG$33, MATCH(Table2[[#This Row],[HomeTeam]],Sheet5!$A$2:$A$33, 0), MATCH(Table2[[#This Row],[AwayTeam]],Sheet5!$A$2:$A$33, 0))</f>
        <v>0-0-1</v>
      </c>
      <c r="AQ1163" s="2">
        <f>IF(Table2[[#This Row],[GameHasShutOut]], 1, 0)</f>
        <v>0</v>
      </c>
      <c r="AR1163" s="2">
        <f>IF(Table2[[#This Row],[ActualAwayScore]] + Table2[[#This Row],[ActualHomeScore]] &gt;= 10, 1, 0)</f>
        <v>0</v>
      </c>
      <c r="AS1163" s="2">
        <f>IF(ABS(Table2[[#This Row],[ActualAwayScore]]-Table2[[#This Row],[ActualHomeScore]])&gt;=5, 1, 0)</f>
        <v>0</v>
      </c>
      <c r="AT1163" s="2">
        <f>IF(Table2[[#This Row],[ActualAwayScore]] + Table2[[#This Row],[ActualHomeScore]] &lt;= 3, 1, 0)</f>
        <v>1</v>
      </c>
      <c r="AU1163" s="2"/>
      <c r="AV1163" s="2"/>
    </row>
    <row r="1164" spans="1:48" x14ac:dyDescent="0.25">
      <c r="A1164" s="3"/>
      <c r="B1164" s="3">
        <v>46109</v>
      </c>
      <c r="C1164" s="5">
        <v>2025021162</v>
      </c>
      <c r="D1164" s="2" t="s">
        <v>21</v>
      </c>
      <c r="E1164" s="2" t="s">
        <v>25</v>
      </c>
      <c r="F1164" s="2"/>
      <c r="G1164" s="2"/>
      <c r="H1164" s="2" t="str">
        <f t="shared" si="94"/>
        <v>_</v>
      </c>
      <c r="I1164" s="2"/>
      <c r="J1164" s="2"/>
      <c r="K1164" s="2"/>
      <c r="L1164" s="2" t="str">
        <f t="shared" si="95"/>
        <v>_</v>
      </c>
      <c r="M1164" s="2"/>
      <c r="N1164" s="2">
        <f>IF(ISBLANK(Table2[[#This Row],[ActualResult]]), 0, 1)</f>
        <v>0</v>
      </c>
      <c r="O1164" s="2" t="str">
        <f>IF(ISBLANK(Table2[[#This Row],[ActualResult]]), "_", IF(Table2[[#This Row],[ActualWinner]]=Table2[[#This Row],[PredictedWinner]], "Y", "N"))</f>
        <v>_</v>
      </c>
      <c r="P11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4" s="2"/>
      <c r="S1164" s="2" t="str">
        <f t="shared" si="96"/>
        <v>_</v>
      </c>
      <c r="T11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64" s="2">
        <f>IF(Table2[[#This Row],[InterConf]]=1,IF(Table2[[#This Row],[InterDiv]]=0, 1, 0), 0)</f>
        <v>0</v>
      </c>
      <c r="W11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4" s="2"/>
      <c r="Y1164" s="2"/>
      <c r="Z1164" s="145">
        <f>IF(AND(Table2[[#This Row],[GameIsOver]]=1,Table2[[#This Row],[ActualHomeScore]]*Table2[[#This Row],[ActualAwayScore]]=0), 1,0)</f>
        <v>0</v>
      </c>
      <c r="AA11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4" s="2">
        <f>Table2[[#This Row],[ActualAwayScore]]-Table2[[#This Row],[PredictedAwayScore]]</f>
        <v>0</v>
      </c>
      <c r="AG1164" s="2">
        <f>Table2[[#This Row],[ActualHomeScore]]-Table2[[#This Row],[PredictedHomeScore]]</f>
        <v>0</v>
      </c>
      <c r="AH1164" s="2">
        <f t="shared" si="97"/>
        <v>0</v>
      </c>
      <c r="AI1164" s="2">
        <f t="shared" si="98"/>
        <v>0</v>
      </c>
      <c r="AJ1164" s="2"/>
      <c r="AK1164" s="3"/>
      <c r="AL1164" s="2">
        <f>IF(Table2[[#This Row],[GameIsOver]]=0,0,IF(Table2[[#This Row],[ActualWinner]]=Table2[[#This Row],[AwayTeam]], 1, 0))</f>
        <v>0</v>
      </c>
      <c r="AM1164" s="2">
        <f>IF(Table2[[#This Row],[GameIsOver]]=0,0,IF(Table2[[#This Row],[ActualWinner]]=Table2[[#This Row],[HomeTeam]], 1, 0))</f>
        <v>0</v>
      </c>
      <c r="AN11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4" s="2" t="str">
        <f>INDEX(Sheet5!$B$2:$AG$33, MATCH(Table2[[#This Row],[AwayTeam]],Sheet5!$A$2:$A$33, 0), MATCH(Table2[[#This Row],[HomeTeam]],Sheet5!$A$2:$A$33, 0))</f>
        <v>0-0-0</v>
      </c>
      <c r="AP1164" s="2" t="str">
        <f>INDEX(Sheet5!$B$2:$AG$33, MATCH(Table2[[#This Row],[HomeTeam]],Sheet5!$A$2:$A$33, 0), MATCH(Table2[[#This Row],[AwayTeam]],Sheet5!$A$2:$A$33, 0))</f>
        <v>0-0-0</v>
      </c>
      <c r="AQ1164" s="2">
        <f>IF(Table2[[#This Row],[GameHasShutOut]], 1, 0)</f>
        <v>0</v>
      </c>
      <c r="AR1164" s="2">
        <f>IF(Table2[[#This Row],[ActualAwayScore]] + Table2[[#This Row],[ActualHomeScore]] &gt;= 10, 1, 0)</f>
        <v>0</v>
      </c>
      <c r="AS1164" s="2">
        <f>IF(ABS(Table2[[#This Row],[ActualAwayScore]]-Table2[[#This Row],[ActualHomeScore]])&gt;=5, 1, 0)</f>
        <v>0</v>
      </c>
      <c r="AT1164" s="2">
        <f>IF(Table2[[#This Row],[ActualAwayScore]] + Table2[[#This Row],[ActualHomeScore]] &lt;= 3, 1, 0)</f>
        <v>1</v>
      </c>
      <c r="AU1164" s="2"/>
      <c r="AV1164" s="2"/>
    </row>
    <row r="1165" spans="1:48" x14ac:dyDescent="0.25">
      <c r="A1165" s="3"/>
      <c r="B1165" s="3">
        <v>46110</v>
      </c>
      <c r="C1165" s="5">
        <v>2025021163</v>
      </c>
      <c r="D1165" s="2" t="s">
        <v>42</v>
      </c>
      <c r="E1165" s="2" t="s">
        <v>30</v>
      </c>
      <c r="F1165" s="2"/>
      <c r="G1165" s="2"/>
      <c r="H1165" s="2" t="str">
        <f t="shared" si="94"/>
        <v>_</v>
      </c>
      <c r="I1165" s="2"/>
      <c r="J1165" s="2"/>
      <c r="K1165" s="2"/>
      <c r="L1165" s="2" t="str">
        <f t="shared" si="95"/>
        <v>_</v>
      </c>
      <c r="M1165" s="2"/>
      <c r="N1165" s="2">
        <f>IF(ISBLANK(Table2[[#This Row],[ActualResult]]), 0, 1)</f>
        <v>0</v>
      </c>
      <c r="O1165" s="2" t="str">
        <f>IF(ISBLANK(Table2[[#This Row],[ActualResult]]), "_", IF(Table2[[#This Row],[ActualWinner]]=Table2[[#This Row],[PredictedWinner]], "Y", "N"))</f>
        <v>_</v>
      </c>
      <c r="P11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5" s="2"/>
      <c r="S1165" s="2" t="str">
        <f t="shared" si="96"/>
        <v>_</v>
      </c>
      <c r="T11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5" s="2">
        <f>IF(Table2[[#This Row],[InterConf]]=1,IF(Table2[[#This Row],[InterDiv]]=0, 1, 0), 0)</f>
        <v>1</v>
      </c>
      <c r="W11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5" s="2"/>
      <c r="Y1165" s="2"/>
      <c r="Z1165" s="145">
        <f>IF(AND(Table2[[#This Row],[GameIsOver]]=1,Table2[[#This Row],[ActualHomeScore]]*Table2[[#This Row],[ActualAwayScore]]=0), 1,0)</f>
        <v>0</v>
      </c>
      <c r="AA11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5" s="2">
        <f>Table2[[#This Row],[ActualAwayScore]]-Table2[[#This Row],[PredictedAwayScore]]</f>
        <v>0</v>
      </c>
      <c r="AG1165" s="2">
        <f>Table2[[#This Row],[ActualHomeScore]]-Table2[[#This Row],[PredictedHomeScore]]</f>
        <v>0</v>
      </c>
      <c r="AH1165" s="2">
        <f t="shared" si="97"/>
        <v>0</v>
      </c>
      <c r="AI1165" s="2">
        <f t="shared" si="98"/>
        <v>0</v>
      </c>
      <c r="AJ1165" s="2"/>
      <c r="AK1165" s="3"/>
      <c r="AL1165" s="2">
        <f>IF(Table2[[#This Row],[GameIsOver]]=0,0,IF(Table2[[#This Row],[ActualWinner]]=Table2[[#This Row],[AwayTeam]], 1, 0))</f>
        <v>0</v>
      </c>
      <c r="AM1165" s="2">
        <f>IF(Table2[[#This Row],[GameIsOver]]=0,0,IF(Table2[[#This Row],[ActualWinner]]=Table2[[#This Row],[HomeTeam]], 1, 0))</f>
        <v>0</v>
      </c>
      <c r="AN11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5" s="2" t="str">
        <f>INDEX(Sheet5!$B$2:$AG$33, MATCH(Table2[[#This Row],[AwayTeam]],Sheet5!$A$2:$A$33, 0), MATCH(Table2[[#This Row],[HomeTeam]],Sheet5!$A$2:$A$33, 0))</f>
        <v>0-0-0</v>
      </c>
      <c r="AP1165" s="2" t="str">
        <f>INDEX(Sheet5!$B$2:$AG$33, MATCH(Table2[[#This Row],[HomeTeam]],Sheet5!$A$2:$A$33, 0), MATCH(Table2[[#This Row],[AwayTeam]],Sheet5!$A$2:$A$33, 0))</f>
        <v>0-0-0</v>
      </c>
      <c r="AQ1165" s="2">
        <f>IF(Table2[[#This Row],[GameHasShutOut]], 1, 0)</f>
        <v>0</v>
      </c>
      <c r="AR1165" s="2">
        <f>IF(Table2[[#This Row],[ActualAwayScore]] + Table2[[#This Row],[ActualHomeScore]] &gt;= 10, 1, 0)</f>
        <v>0</v>
      </c>
      <c r="AS1165" s="2">
        <f>IF(ABS(Table2[[#This Row],[ActualAwayScore]]-Table2[[#This Row],[ActualHomeScore]])&gt;=5, 1, 0)</f>
        <v>0</v>
      </c>
      <c r="AT1165" s="2">
        <f>IF(Table2[[#This Row],[ActualAwayScore]] + Table2[[#This Row],[ActualHomeScore]] &lt;= 3, 1, 0)</f>
        <v>1</v>
      </c>
      <c r="AU1165" s="2"/>
      <c r="AV1165" s="2"/>
    </row>
    <row r="1166" spans="1:48" x14ac:dyDescent="0.25">
      <c r="A1166" s="3"/>
      <c r="B1166" s="3">
        <v>46110</v>
      </c>
      <c r="C1166" s="5">
        <v>2025021164</v>
      </c>
      <c r="D1166" s="2" t="s">
        <v>14</v>
      </c>
      <c r="E1166" s="2" t="s">
        <v>27</v>
      </c>
      <c r="F1166" s="2"/>
      <c r="G1166" s="2"/>
      <c r="H1166" s="2" t="str">
        <f t="shared" si="94"/>
        <v>_</v>
      </c>
      <c r="I1166" s="2"/>
      <c r="J1166" s="2"/>
      <c r="K1166" s="2"/>
      <c r="L1166" s="2" t="str">
        <f t="shared" si="95"/>
        <v>_</v>
      </c>
      <c r="M1166" s="2"/>
      <c r="N1166" s="2">
        <f>IF(ISBLANK(Table2[[#This Row],[ActualResult]]), 0, 1)</f>
        <v>0</v>
      </c>
      <c r="O1166" s="2" t="str">
        <f>IF(ISBLANK(Table2[[#This Row],[ActualResult]]), "_", IF(Table2[[#This Row],[ActualWinner]]=Table2[[#This Row],[PredictedWinner]], "Y", "N"))</f>
        <v>_</v>
      </c>
      <c r="P11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6" s="2"/>
      <c r="S1166" s="2" t="str">
        <f t="shared" si="96"/>
        <v>_</v>
      </c>
      <c r="T11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6" s="2">
        <f>IF(Table2[[#This Row],[InterConf]]=1,IF(Table2[[#This Row],[InterDiv]]=0, 1, 0), 0)</f>
        <v>1</v>
      </c>
      <c r="W11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6" s="2"/>
      <c r="Y1166" s="2"/>
      <c r="Z1166" s="145">
        <f>IF(AND(Table2[[#This Row],[GameIsOver]]=1,Table2[[#This Row],[ActualHomeScore]]*Table2[[#This Row],[ActualAwayScore]]=0), 1,0)</f>
        <v>0</v>
      </c>
      <c r="AA11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6" s="2">
        <f>Table2[[#This Row],[ActualAwayScore]]-Table2[[#This Row],[PredictedAwayScore]]</f>
        <v>0</v>
      </c>
      <c r="AG1166" s="2">
        <f>Table2[[#This Row],[ActualHomeScore]]-Table2[[#This Row],[PredictedHomeScore]]</f>
        <v>0</v>
      </c>
      <c r="AH1166" s="2">
        <f t="shared" si="97"/>
        <v>0</v>
      </c>
      <c r="AI1166" s="2">
        <f t="shared" si="98"/>
        <v>0</v>
      </c>
      <c r="AJ1166" s="2"/>
      <c r="AK1166" s="3"/>
      <c r="AL1166" s="2">
        <f>IF(Table2[[#This Row],[GameIsOver]]=0,0,IF(Table2[[#This Row],[ActualWinner]]=Table2[[#This Row],[AwayTeam]], 1, 0))</f>
        <v>0</v>
      </c>
      <c r="AM1166" s="2">
        <f>IF(Table2[[#This Row],[GameIsOver]]=0,0,IF(Table2[[#This Row],[ActualWinner]]=Table2[[#This Row],[HomeTeam]], 1, 0))</f>
        <v>0</v>
      </c>
      <c r="AN1166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66" s="2" t="str">
        <f>INDEX(Sheet5!$B$2:$AG$33, MATCH(Table2[[#This Row],[AwayTeam]],Sheet5!$A$2:$A$33, 0), MATCH(Table2[[#This Row],[HomeTeam]],Sheet5!$A$2:$A$33, 0))</f>
        <v>0-0-0</v>
      </c>
      <c r="AP1166" s="2" t="str">
        <f>INDEX(Sheet5!$B$2:$AG$33, MATCH(Table2[[#This Row],[HomeTeam]],Sheet5!$A$2:$A$33, 0), MATCH(Table2[[#This Row],[AwayTeam]],Sheet5!$A$2:$A$33, 0))</f>
        <v>0-0-0</v>
      </c>
      <c r="AQ1166" s="2">
        <f>IF(Table2[[#This Row],[GameHasShutOut]], 1, 0)</f>
        <v>0</v>
      </c>
      <c r="AR1166" s="2">
        <f>IF(Table2[[#This Row],[ActualAwayScore]] + Table2[[#This Row],[ActualHomeScore]] &gt;= 10, 1, 0)</f>
        <v>0</v>
      </c>
      <c r="AS1166" s="2">
        <f>IF(ABS(Table2[[#This Row],[ActualAwayScore]]-Table2[[#This Row],[ActualHomeScore]])&gt;=5, 1, 0)</f>
        <v>0</v>
      </c>
      <c r="AT1166" s="2">
        <f>IF(Table2[[#This Row],[ActualAwayScore]] + Table2[[#This Row],[ActualHomeScore]] &lt;= 3, 1, 0)</f>
        <v>1</v>
      </c>
      <c r="AU1166" s="2"/>
      <c r="AV1166" s="2"/>
    </row>
    <row r="1167" spans="1:48" x14ac:dyDescent="0.25">
      <c r="A1167" s="3"/>
      <c r="B1167" s="3">
        <v>46110</v>
      </c>
      <c r="C1167" s="5">
        <v>2025021165</v>
      </c>
      <c r="D1167" s="2" t="s">
        <v>24</v>
      </c>
      <c r="E1167" s="2" t="s">
        <v>23</v>
      </c>
      <c r="F1167" s="2"/>
      <c r="G1167" s="2"/>
      <c r="H1167" s="2" t="str">
        <f t="shared" si="94"/>
        <v>_</v>
      </c>
      <c r="I1167" s="2"/>
      <c r="J1167" s="2"/>
      <c r="K1167" s="2"/>
      <c r="L1167" s="2" t="str">
        <f t="shared" si="95"/>
        <v>_</v>
      </c>
      <c r="M1167" s="2"/>
      <c r="N1167" s="2">
        <f>IF(ISBLANK(Table2[[#This Row],[ActualResult]]), 0, 1)</f>
        <v>0</v>
      </c>
      <c r="O1167" s="2" t="str">
        <f>IF(ISBLANK(Table2[[#This Row],[ActualResult]]), "_", IF(Table2[[#This Row],[ActualWinner]]=Table2[[#This Row],[PredictedWinner]], "Y", "N"))</f>
        <v>_</v>
      </c>
      <c r="P11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7" s="2"/>
      <c r="S1167" s="2" t="str">
        <f t="shared" si="96"/>
        <v>_</v>
      </c>
      <c r="T11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67" s="2">
        <f>IF(Table2[[#This Row],[InterConf]]=1,IF(Table2[[#This Row],[InterDiv]]=0, 1, 0), 0)</f>
        <v>0</v>
      </c>
      <c r="W11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7" s="2"/>
      <c r="Y1167" s="2"/>
      <c r="Z1167" s="145">
        <f>IF(AND(Table2[[#This Row],[GameIsOver]]=1,Table2[[#This Row],[ActualHomeScore]]*Table2[[#This Row],[ActualAwayScore]]=0), 1,0)</f>
        <v>0</v>
      </c>
      <c r="AA11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7" s="2">
        <f>Table2[[#This Row],[ActualAwayScore]]-Table2[[#This Row],[PredictedAwayScore]]</f>
        <v>0</v>
      </c>
      <c r="AG1167" s="2">
        <f>Table2[[#This Row],[ActualHomeScore]]-Table2[[#This Row],[PredictedHomeScore]]</f>
        <v>0</v>
      </c>
      <c r="AH1167" s="2">
        <f t="shared" si="97"/>
        <v>0</v>
      </c>
      <c r="AI1167" s="2">
        <f t="shared" si="98"/>
        <v>0</v>
      </c>
      <c r="AJ1167" s="2"/>
      <c r="AK1167" s="3"/>
      <c r="AL1167" s="2">
        <f>IF(Table2[[#This Row],[GameIsOver]]=0,0,IF(Table2[[#This Row],[ActualWinner]]=Table2[[#This Row],[AwayTeam]], 1, 0))</f>
        <v>0</v>
      </c>
      <c r="AM1167" s="2">
        <f>IF(Table2[[#This Row],[GameIsOver]]=0,0,IF(Table2[[#This Row],[ActualWinner]]=Table2[[#This Row],[HomeTeam]], 1, 0))</f>
        <v>0</v>
      </c>
      <c r="AN11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7" s="2" t="str">
        <f>INDEX(Sheet5!$B$2:$AG$33, MATCH(Table2[[#This Row],[AwayTeam]],Sheet5!$A$2:$A$33, 0), MATCH(Table2[[#This Row],[HomeTeam]],Sheet5!$A$2:$A$33, 0))</f>
        <v>1-0-0</v>
      </c>
      <c r="AP1167" s="2" t="str">
        <f>INDEX(Sheet5!$B$2:$AG$33, MATCH(Table2[[#This Row],[HomeTeam]],Sheet5!$A$2:$A$33, 0), MATCH(Table2[[#This Row],[AwayTeam]],Sheet5!$A$2:$A$33, 0))</f>
        <v>0-1-0</v>
      </c>
      <c r="AQ1167" s="2">
        <f>IF(Table2[[#This Row],[GameHasShutOut]], 1, 0)</f>
        <v>0</v>
      </c>
      <c r="AR1167" s="2">
        <f>IF(Table2[[#This Row],[ActualAwayScore]] + Table2[[#This Row],[ActualHomeScore]] &gt;= 10, 1, 0)</f>
        <v>0</v>
      </c>
      <c r="AS1167" s="2">
        <f>IF(ABS(Table2[[#This Row],[ActualAwayScore]]-Table2[[#This Row],[ActualHomeScore]])&gt;=5, 1, 0)</f>
        <v>0</v>
      </c>
      <c r="AT1167" s="2">
        <f>IF(Table2[[#This Row],[ActualAwayScore]] + Table2[[#This Row],[ActualHomeScore]] &lt;= 3, 1, 0)</f>
        <v>1</v>
      </c>
      <c r="AU1167" s="2"/>
      <c r="AV1167" s="2"/>
    </row>
    <row r="1168" spans="1:48" x14ac:dyDescent="0.25">
      <c r="A1168" s="3"/>
      <c r="B1168" s="3">
        <v>46110</v>
      </c>
      <c r="C1168" s="5">
        <v>2025021166</v>
      </c>
      <c r="D1168" s="2" t="s">
        <v>43</v>
      </c>
      <c r="E1168" s="2" t="s">
        <v>26</v>
      </c>
      <c r="F1168" s="2"/>
      <c r="G1168" s="2"/>
      <c r="H1168" s="2" t="str">
        <f t="shared" si="94"/>
        <v>_</v>
      </c>
      <c r="I1168" s="2"/>
      <c r="J1168" s="2"/>
      <c r="K1168" s="2"/>
      <c r="L1168" s="2" t="str">
        <f t="shared" si="95"/>
        <v>_</v>
      </c>
      <c r="M1168" s="2"/>
      <c r="N1168" s="2">
        <f>IF(ISBLANK(Table2[[#This Row],[ActualResult]]), 0, 1)</f>
        <v>0</v>
      </c>
      <c r="O1168" s="2" t="str">
        <f>IF(ISBLANK(Table2[[#This Row],[ActualResult]]), "_", IF(Table2[[#This Row],[ActualWinner]]=Table2[[#This Row],[PredictedWinner]], "Y", "N"))</f>
        <v>_</v>
      </c>
      <c r="P11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8" s="2"/>
      <c r="S1168" s="2" t="str">
        <f t="shared" si="96"/>
        <v>_</v>
      </c>
      <c r="T11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8" s="2">
        <f>IF(Table2[[#This Row],[InterConf]]=1,IF(Table2[[#This Row],[InterDiv]]=0, 1, 0), 0)</f>
        <v>0</v>
      </c>
      <c r="W11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8" s="2"/>
      <c r="Y1168" s="2"/>
      <c r="Z1168" s="145">
        <f>IF(AND(Table2[[#This Row],[GameIsOver]]=1,Table2[[#This Row],[ActualHomeScore]]*Table2[[#This Row],[ActualAwayScore]]=0), 1,0)</f>
        <v>0</v>
      </c>
      <c r="AA11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8" s="2">
        <f>Table2[[#This Row],[ActualAwayScore]]-Table2[[#This Row],[PredictedAwayScore]]</f>
        <v>0</v>
      </c>
      <c r="AG1168" s="2">
        <f>Table2[[#This Row],[ActualHomeScore]]-Table2[[#This Row],[PredictedHomeScore]]</f>
        <v>0</v>
      </c>
      <c r="AH1168" s="2">
        <f t="shared" si="97"/>
        <v>0</v>
      </c>
      <c r="AI1168" s="2">
        <f t="shared" si="98"/>
        <v>0</v>
      </c>
      <c r="AJ1168" s="2"/>
      <c r="AK1168" s="3"/>
      <c r="AL1168" s="2">
        <f>IF(Table2[[#This Row],[GameIsOver]]=0,0,IF(Table2[[#This Row],[ActualWinner]]=Table2[[#This Row],[AwayTeam]], 1, 0))</f>
        <v>0</v>
      </c>
      <c r="AM1168" s="2">
        <f>IF(Table2[[#This Row],[GameIsOver]]=0,0,IF(Table2[[#This Row],[ActualWinner]]=Table2[[#This Row],[HomeTeam]], 1, 0))</f>
        <v>0</v>
      </c>
      <c r="AN11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8" s="2" t="str">
        <f>INDEX(Sheet5!$B$2:$AG$33, MATCH(Table2[[#This Row],[AwayTeam]],Sheet5!$A$2:$A$33, 0), MATCH(Table2[[#This Row],[HomeTeam]],Sheet5!$A$2:$A$33, 0))</f>
        <v>0-0-0</v>
      </c>
      <c r="AP1168" s="2" t="str">
        <f>INDEX(Sheet5!$B$2:$AG$33, MATCH(Table2[[#This Row],[HomeTeam]],Sheet5!$A$2:$A$33, 0), MATCH(Table2[[#This Row],[AwayTeam]],Sheet5!$A$2:$A$33, 0))</f>
        <v>0-0-0</v>
      </c>
      <c r="AQ1168" s="2">
        <f>IF(Table2[[#This Row],[GameHasShutOut]], 1, 0)</f>
        <v>0</v>
      </c>
      <c r="AR1168" s="2">
        <f>IF(Table2[[#This Row],[ActualAwayScore]] + Table2[[#This Row],[ActualHomeScore]] &gt;= 10, 1, 0)</f>
        <v>0</v>
      </c>
      <c r="AS1168" s="2">
        <f>IF(ABS(Table2[[#This Row],[ActualAwayScore]]-Table2[[#This Row],[ActualHomeScore]])&gt;=5, 1, 0)</f>
        <v>0</v>
      </c>
      <c r="AT1168" s="2">
        <f>IF(Table2[[#This Row],[ActualAwayScore]] + Table2[[#This Row],[ActualHomeScore]] &lt;= 3, 1, 0)</f>
        <v>1</v>
      </c>
      <c r="AU1168" s="2"/>
      <c r="AV1168" s="2"/>
    </row>
    <row r="1169" spans="1:48" x14ac:dyDescent="0.25">
      <c r="A1169" s="3"/>
      <c r="B1169" s="3">
        <v>46110</v>
      </c>
      <c r="C1169" s="5">
        <v>2025021167</v>
      </c>
      <c r="D1169" s="2" t="s">
        <v>13</v>
      </c>
      <c r="E1169" s="2" t="s">
        <v>19</v>
      </c>
      <c r="F1169" s="2"/>
      <c r="G1169" s="2"/>
      <c r="H1169" s="2" t="str">
        <f t="shared" si="94"/>
        <v>_</v>
      </c>
      <c r="I1169" s="2"/>
      <c r="J1169" s="2"/>
      <c r="K1169" s="2"/>
      <c r="L1169" s="2" t="str">
        <f t="shared" si="95"/>
        <v>_</v>
      </c>
      <c r="M1169" s="2"/>
      <c r="N1169" s="2">
        <f>IF(ISBLANK(Table2[[#This Row],[ActualResult]]), 0, 1)</f>
        <v>0</v>
      </c>
      <c r="O1169" s="2" t="str">
        <f>IF(ISBLANK(Table2[[#This Row],[ActualResult]]), "_", IF(Table2[[#This Row],[ActualWinner]]=Table2[[#This Row],[PredictedWinner]], "Y", "N"))</f>
        <v>_</v>
      </c>
      <c r="P11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9" s="2"/>
      <c r="S1169" s="2" t="str">
        <f t="shared" si="96"/>
        <v>_</v>
      </c>
      <c r="T11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9" s="2">
        <f>IF(Table2[[#This Row],[InterConf]]=1,IF(Table2[[#This Row],[InterDiv]]=0, 1, 0), 0)</f>
        <v>1</v>
      </c>
      <c r="W11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9" s="2"/>
      <c r="Y1169" s="2"/>
      <c r="Z1169" s="145">
        <f>IF(AND(Table2[[#This Row],[GameIsOver]]=1,Table2[[#This Row],[ActualHomeScore]]*Table2[[#This Row],[ActualAwayScore]]=0), 1,0)</f>
        <v>0</v>
      </c>
      <c r="AA11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9" s="2">
        <f>Table2[[#This Row],[ActualAwayScore]]-Table2[[#This Row],[PredictedAwayScore]]</f>
        <v>0</v>
      </c>
      <c r="AG1169" s="2">
        <f>Table2[[#This Row],[ActualHomeScore]]-Table2[[#This Row],[PredictedHomeScore]]</f>
        <v>0</v>
      </c>
      <c r="AH1169" s="2">
        <f t="shared" si="97"/>
        <v>0</v>
      </c>
      <c r="AI1169" s="2">
        <f t="shared" si="98"/>
        <v>0</v>
      </c>
      <c r="AJ1169" s="2"/>
      <c r="AK1169" s="3"/>
      <c r="AL1169" s="2">
        <f>IF(Table2[[#This Row],[GameIsOver]]=0,0,IF(Table2[[#This Row],[ActualWinner]]=Table2[[#This Row],[AwayTeam]], 1, 0))</f>
        <v>0</v>
      </c>
      <c r="AM1169" s="2">
        <f>IF(Table2[[#This Row],[GameIsOver]]=0,0,IF(Table2[[#This Row],[ActualWinner]]=Table2[[#This Row],[HomeTeam]], 1, 0))</f>
        <v>0</v>
      </c>
      <c r="AN11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9" s="2" t="str">
        <f>INDEX(Sheet5!$B$2:$AG$33, MATCH(Table2[[#This Row],[AwayTeam]],Sheet5!$A$2:$A$33, 0), MATCH(Table2[[#This Row],[HomeTeam]],Sheet5!$A$2:$A$33, 0))</f>
        <v>0-0-0</v>
      </c>
      <c r="AP1169" s="2" t="str">
        <f>INDEX(Sheet5!$B$2:$AG$33, MATCH(Table2[[#This Row],[HomeTeam]],Sheet5!$A$2:$A$33, 0), MATCH(Table2[[#This Row],[AwayTeam]],Sheet5!$A$2:$A$33, 0))</f>
        <v>0-0-0</v>
      </c>
      <c r="AQ1169" s="2">
        <f>IF(Table2[[#This Row],[GameHasShutOut]], 1, 0)</f>
        <v>0</v>
      </c>
      <c r="AR1169" s="2">
        <f>IF(Table2[[#This Row],[ActualAwayScore]] + Table2[[#This Row],[ActualHomeScore]] &gt;= 10, 1, 0)</f>
        <v>0</v>
      </c>
      <c r="AS1169" s="2">
        <f>IF(ABS(Table2[[#This Row],[ActualAwayScore]]-Table2[[#This Row],[ActualHomeScore]])&gt;=5, 1, 0)</f>
        <v>0</v>
      </c>
      <c r="AT1169" s="2">
        <f>IF(Table2[[#This Row],[ActualAwayScore]] + Table2[[#This Row],[ActualHomeScore]] &lt;= 3, 1, 0)</f>
        <v>1</v>
      </c>
      <c r="AU1169" s="2"/>
      <c r="AV1169" s="2"/>
    </row>
    <row r="1170" spans="1:48" x14ac:dyDescent="0.25">
      <c r="A1170" s="3"/>
      <c r="B1170" s="3">
        <v>46110</v>
      </c>
      <c r="C1170" s="5">
        <v>2025021168</v>
      </c>
      <c r="D1170" s="2" t="s">
        <v>34</v>
      </c>
      <c r="E1170" s="2" t="s">
        <v>40</v>
      </c>
      <c r="F1170" s="2"/>
      <c r="G1170" s="2"/>
      <c r="H1170" s="2" t="str">
        <f t="shared" si="94"/>
        <v>_</v>
      </c>
      <c r="I1170" s="2"/>
      <c r="J1170" s="2"/>
      <c r="K1170" s="2"/>
      <c r="L1170" s="2" t="str">
        <f t="shared" si="95"/>
        <v>_</v>
      </c>
      <c r="M1170" s="2"/>
      <c r="N1170" s="2">
        <f>IF(ISBLANK(Table2[[#This Row],[ActualResult]]), 0, 1)</f>
        <v>0</v>
      </c>
      <c r="O1170" s="2" t="str">
        <f>IF(ISBLANK(Table2[[#This Row],[ActualResult]]), "_", IF(Table2[[#This Row],[ActualWinner]]=Table2[[#This Row],[PredictedWinner]], "Y", "N"))</f>
        <v>_</v>
      </c>
      <c r="P11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0" s="2"/>
      <c r="S1170" s="2" t="str">
        <f t="shared" si="96"/>
        <v>_</v>
      </c>
      <c r="T11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0" s="2">
        <f>IF(Table2[[#This Row],[InterConf]]=1,IF(Table2[[#This Row],[InterDiv]]=0, 1, 0), 0)</f>
        <v>0</v>
      </c>
      <c r="W11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0" s="2"/>
      <c r="Y1170" s="2"/>
      <c r="Z1170" s="145">
        <f>IF(AND(Table2[[#This Row],[GameIsOver]]=1,Table2[[#This Row],[ActualHomeScore]]*Table2[[#This Row],[ActualAwayScore]]=0), 1,0)</f>
        <v>0</v>
      </c>
      <c r="AA11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0" s="2">
        <f>Table2[[#This Row],[ActualAwayScore]]-Table2[[#This Row],[PredictedAwayScore]]</f>
        <v>0</v>
      </c>
      <c r="AG1170" s="2">
        <f>Table2[[#This Row],[ActualHomeScore]]-Table2[[#This Row],[PredictedHomeScore]]</f>
        <v>0</v>
      </c>
      <c r="AH1170" s="2">
        <f t="shared" si="97"/>
        <v>0</v>
      </c>
      <c r="AI1170" s="2">
        <f t="shared" si="98"/>
        <v>0</v>
      </c>
      <c r="AJ1170" s="2"/>
      <c r="AK1170" s="3"/>
      <c r="AL1170" s="2">
        <f>IF(Table2[[#This Row],[GameIsOver]]=0,0,IF(Table2[[#This Row],[ActualWinner]]=Table2[[#This Row],[AwayTeam]], 1, 0))</f>
        <v>0</v>
      </c>
      <c r="AM1170" s="2">
        <f>IF(Table2[[#This Row],[GameIsOver]]=0,0,IF(Table2[[#This Row],[ActualWinner]]=Table2[[#This Row],[HomeTeam]], 1, 0))</f>
        <v>0</v>
      </c>
      <c r="AN11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0" s="2" t="str">
        <f>INDEX(Sheet5!$B$2:$AG$33, MATCH(Table2[[#This Row],[AwayTeam]],Sheet5!$A$2:$A$33, 0), MATCH(Table2[[#This Row],[HomeTeam]],Sheet5!$A$2:$A$33, 0))</f>
        <v>0-0-0</v>
      </c>
      <c r="AP1170" s="2" t="str">
        <f>INDEX(Sheet5!$B$2:$AG$33, MATCH(Table2[[#This Row],[HomeTeam]],Sheet5!$A$2:$A$33, 0), MATCH(Table2[[#This Row],[AwayTeam]],Sheet5!$A$2:$A$33, 0))</f>
        <v>0-0-0</v>
      </c>
      <c r="AQ1170" s="2">
        <f>IF(Table2[[#This Row],[GameHasShutOut]], 1, 0)</f>
        <v>0</v>
      </c>
      <c r="AR1170" s="2">
        <f>IF(Table2[[#This Row],[ActualAwayScore]] + Table2[[#This Row],[ActualHomeScore]] &gt;= 10, 1, 0)</f>
        <v>0</v>
      </c>
      <c r="AS1170" s="2">
        <f>IF(ABS(Table2[[#This Row],[ActualAwayScore]]-Table2[[#This Row],[ActualHomeScore]])&gt;=5, 1, 0)</f>
        <v>0</v>
      </c>
      <c r="AT1170" s="2">
        <f>IF(Table2[[#This Row],[ActualAwayScore]] + Table2[[#This Row],[ActualHomeScore]] &lt;= 3, 1, 0)</f>
        <v>1</v>
      </c>
      <c r="AU1170" s="2"/>
      <c r="AV1170" s="2"/>
    </row>
    <row r="1171" spans="1:48" x14ac:dyDescent="0.25">
      <c r="A1171" s="3"/>
      <c r="B1171" s="3">
        <v>46110</v>
      </c>
      <c r="C1171" s="5">
        <v>2025021169</v>
      </c>
      <c r="D1171" s="2" t="s">
        <v>18</v>
      </c>
      <c r="E1171" s="2" t="s">
        <v>41</v>
      </c>
      <c r="F1171" s="2"/>
      <c r="G1171" s="2"/>
      <c r="H1171" s="2" t="str">
        <f t="shared" si="94"/>
        <v>_</v>
      </c>
      <c r="I1171" s="2"/>
      <c r="J1171" s="2"/>
      <c r="K1171" s="2"/>
      <c r="L1171" s="2" t="str">
        <f t="shared" si="95"/>
        <v>_</v>
      </c>
      <c r="M1171" s="2"/>
      <c r="N1171" s="2">
        <f>IF(ISBLANK(Table2[[#This Row],[ActualResult]]), 0, 1)</f>
        <v>0</v>
      </c>
      <c r="O1171" s="2" t="str">
        <f>IF(ISBLANK(Table2[[#This Row],[ActualResult]]), "_", IF(Table2[[#This Row],[ActualWinner]]=Table2[[#This Row],[PredictedWinner]], "Y", "N"))</f>
        <v>_</v>
      </c>
      <c r="P11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1" s="2"/>
      <c r="S1171" s="2" t="str">
        <f t="shared" si="96"/>
        <v>_</v>
      </c>
      <c r="T11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1" s="2">
        <f>IF(Table2[[#This Row],[InterConf]]=1,IF(Table2[[#This Row],[InterDiv]]=0, 1, 0), 0)</f>
        <v>1</v>
      </c>
      <c r="W11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1" s="2"/>
      <c r="Y1171" s="2"/>
      <c r="Z1171" s="145">
        <f>IF(AND(Table2[[#This Row],[GameIsOver]]=1,Table2[[#This Row],[ActualHomeScore]]*Table2[[#This Row],[ActualAwayScore]]=0), 1,0)</f>
        <v>0</v>
      </c>
      <c r="AA11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1" s="2">
        <f>Table2[[#This Row],[ActualAwayScore]]-Table2[[#This Row],[PredictedAwayScore]]</f>
        <v>0</v>
      </c>
      <c r="AG1171" s="2">
        <f>Table2[[#This Row],[ActualHomeScore]]-Table2[[#This Row],[PredictedHomeScore]]</f>
        <v>0</v>
      </c>
      <c r="AH1171" s="2">
        <f t="shared" si="97"/>
        <v>0</v>
      </c>
      <c r="AI1171" s="2">
        <f t="shared" si="98"/>
        <v>0</v>
      </c>
      <c r="AJ1171" s="2"/>
      <c r="AK1171" s="3"/>
      <c r="AL1171" s="2">
        <f>IF(Table2[[#This Row],[GameIsOver]]=0,0,IF(Table2[[#This Row],[ActualWinner]]=Table2[[#This Row],[AwayTeam]], 1, 0))</f>
        <v>0</v>
      </c>
      <c r="AM1171" s="2">
        <f>IF(Table2[[#This Row],[GameIsOver]]=0,0,IF(Table2[[#This Row],[ActualWinner]]=Table2[[#This Row],[HomeTeam]], 1, 0))</f>
        <v>0</v>
      </c>
      <c r="AN11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1" s="2" t="str">
        <f>INDEX(Sheet5!$B$2:$AG$33, MATCH(Table2[[#This Row],[AwayTeam]],Sheet5!$A$2:$A$33, 0), MATCH(Table2[[#This Row],[HomeTeam]],Sheet5!$A$2:$A$33, 0))</f>
        <v>0-0-0</v>
      </c>
      <c r="AP1171" s="2" t="str">
        <f>INDEX(Sheet5!$B$2:$AG$33, MATCH(Table2[[#This Row],[HomeTeam]],Sheet5!$A$2:$A$33, 0), MATCH(Table2[[#This Row],[AwayTeam]],Sheet5!$A$2:$A$33, 0))</f>
        <v>0-0-0</v>
      </c>
      <c r="AQ1171" s="2">
        <f>IF(Table2[[#This Row],[GameHasShutOut]], 1, 0)</f>
        <v>0</v>
      </c>
      <c r="AR1171" s="2">
        <f>IF(Table2[[#This Row],[ActualAwayScore]] + Table2[[#This Row],[ActualHomeScore]] &gt;= 10, 1, 0)</f>
        <v>0</v>
      </c>
      <c r="AS1171" s="2">
        <f>IF(ABS(Table2[[#This Row],[ActualAwayScore]]-Table2[[#This Row],[ActualHomeScore]])&gt;=5, 1, 0)</f>
        <v>0</v>
      </c>
      <c r="AT1171" s="2">
        <f>IF(Table2[[#This Row],[ActualAwayScore]] + Table2[[#This Row],[ActualHomeScore]] &lt;= 3, 1, 0)</f>
        <v>1</v>
      </c>
      <c r="AU1171" s="2"/>
      <c r="AV1171" s="2"/>
    </row>
    <row r="1172" spans="1:48" x14ac:dyDescent="0.25">
      <c r="A1172" s="3"/>
      <c r="B1172" s="3">
        <v>46110</v>
      </c>
      <c r="C1172" s="5">
        <v>2025021170</v>
      </c>
      <c r="D1172" s="2" t="s">
        <v>15</v>
      </c>
      <c r="E1172" s="2" t="s">
        <v>35</v>
      </c>
      <c r="F1172" s="2"/>
      <c r="G1172" s="2"/>
      <c r="H1172" s="2" t="str">
        <f t="shared" si="94"/>
        <v>_</v>
      </c>
      <c r="I1172" s="2"/>
      <c r="J1172" s="2"/>
      <c r="K1172" s="2"/>
      <c r="L1172" s="2" t="str">
        <f t="shared" si="95"/>
        <v>_</v>
      </c>
      <c r="M1172" s="2"/>
      <c r="N1172" s="2">
        <f>IF(ISBLANK(Table2[[#This Row],[ActualResult]]), 0, 1)</f>
        <v>0</v>
      </c>
      <c r="O1172" s="2" t="str">
        <f>IF(ISBLANK(Table2[[#This Row],[ActualResult]]), "_", IF(Table2[[#This Row],[ActualWinner]]=Table2[[#This Row],[PredictedWinner]], "Y", "N"))</f>
        <v>_</v>
      </c>
      <c r="P11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2" s="2"/>
      <c r="S1172" s="2" t="str">
        <f t="shared" si="96"/>
        <v>_</v>
      </c>
      <c r="T11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2" s="2">
        <f>IF(Table2[[#This Row],[InterConf]]=1,IF(Table2[[#This Row],[InterDiv]]=0, 1, 0), 0)</f>
        <v>1</v>
      </c>
      <c r="W11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2" s="2"/>
      <c r="Y1172" s="2"/>
      <c r="Z1172" s="145">
        <f>IF(AND(Table2[[#This Row],[GameIsOver]]=1,Table2[[#This Row],[ActualHomeScore]]*Table2[[#This Row],[ActualAwayScore]]=0), 1,0)</f>
        <v>0</v>
      </c>
      <c r="AA11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2" s="2">
        <f>Table2[[#This Row],[ActualAwayScore]]-Table2[[#This Row],[PredictedAwayScore]]</f>
        <v>0</v>
      </c>
      <c r="AG1172" s="2">
        <f>Table2[[#This Row],[ActualHomeScore]]-Table2[[#This Row],[PredictedHomeScore]]</f>
        <v>0</v>
      </c>
      <c r="AH1172" s="2">
        <f t="shared" si="97"/>
        <v>0</v>
      </c>
      <c r="AI1172" s="2">
        <f t="shared" si="98"/>
        <v>0</v>
      </c>
      <c r="AJ1172" s="2"/>
      <c r="AK1172" s="3"/>
      <c r="AL1172" s="2">
        <f>IF(Table2[[#This Row],[GameIsOver]]=0,0,IF(Table2[[#This Row],[ActualWinner]]=Table2[[#This Row],[AwayTeam]], 1, 0))</f>
        <v>0</v>
      </c>
      <c r="AM1172" s="2">
        <f>IF(Table2[[#This Row],[GameIsOver]]=0,0,IF(Table2[[#This Row],[ActualWinner]]=Table2[[#This Row],[HomeTeam]], 1, 0))</f>
        <v>0</v>
      </c>
      <c r="AN11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2" s="2" t="str">
        <f>INDEX(Sheet5!$B$2:$AG$33, MATCH(Table2[[#This Row],[AwayTeam]],Sheet5!$A$2:$A$33, 0), MATCH(Table2[[#This Row],[HomeTeam]],Sheet5!$A$2:$A$33, 0))</f>
        <v>0-0-0</v>
      </c>
      <c r="AP1172" s="2" t="str">
        <f>INDEX(Sheet5!$B$2:$AG$33, MATCH(Table2[[#This Row],[HomeTeam]],Sheet5!$A$2:$A$33, 0), MATCH(Table2[[#This Row],[AwayTeam]],Sheet5!$A$2:$A$33, 0))</f>
        <v>0-0-0</v>
      </c>
      <c r="AQ1172" s="2">
        <f>IF(Table2[[#This Row],[GameHasShutOut]], 1, 0)</f>
        <v>0</v>
      </c>
      <c r="AR1172" s="2">
        <f>IF(Table2[[#This Row],[ActualAwayScore]] + Table2[[#This Row],[ActualHomeScore]] &gt;= 10, 1, 0)</f>
        <v>0</v>
      </c>
      <c r="AS1172" s="2">
        <f>IF(ABS(Table2[[#This Row],[ActualAwayScore]]-Table2[[#This Row],[ActualHomeScore]])&gt;=5, 1, 0)</f>
        <v>0</v>
      </c>
      <c r="AT1172" s="2">
        <f>IF(Table2[[#This Row],[ActualAwayScore]] + Table2[[#This Row],[ActualHomeScore]] &lt;= 3, 1, 0)</f>
        <v>1</v>
      </c>
      <c r="AU1172" s="2"/>
      <c r="AV1172" s="2"/>
    </row>
    <row r="1173" spans="1:48" x14ac:dyDescent="0.25">
      <c r="A1173" s="3"/>
      <c r="B1173" s="3">
        <v>46110</v>
      </c>
      <c r="C1173" s="5">
        <v>2025021171</v>
      </c>
      <c r="D1173" s="2" t="s">
        <v>16</v>
      </c>
      <c r="E1173" s="2" t="s">
        <v>31</v>
      </c>
      <c r="F1173" s="2"/>
      <c r="G1173" s="2"/>
      <c r="H1173" s="2" t="str">
        <f t="shared" si="94"/>
        <v>_</v>
      </c>
      <c r="I1173" s="2"/>
      <c r="J1173" s="2"/>
      <c r="K1173" s="2"/>
      <c r="L1173" s="2" t="str">
        <f t="shared" si="95"/>
        <v>_</v>
      </c>
      <c r="M1173" s="2"/>
      <c r="N1173" s="2">
        <f>IF(ISBLANK(Table2[[#This Row],[ActualResult]]), 0, 1)</f>
        <v>0</v>
      </c>
      <c r="O1173" s="2" t="str">
        <f>IF(ISBLANK(Table2[[#This Row],[ActualResult]]), "_", IF(Table2[[#This Row],[ActualWinner]]=Table2[[#This Row],[PredictedWinner]], "Y", "N"))</f>
        <v>_</v>
      </c>
      <c r="P11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3" s="2"/>
      <c r="S1173" s="2" t="str">
        <f t="shared" si="96"/>
        <v>_</v>
      </c>
      <c r="T11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3" s="2">
        <f>IF(Table2[[#This Row],[InterConf]]=1,IF(Table2[[#This Row],[InterDiv]]=0, 1, 0), 0)</f>
        <v>0</v>
      </c>
      <c r="W11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3" s="2"/>
      <c r="Y1173" s="2"/>
      <c r="Z1173" s="145">
        <f>IF(AND(Table2[[#This Row],[GameIsOver]]=1,Table2[[#This Row],[ActualHomeScore]]*Table2[[#This Row],[ActualAwayScore]]=0), 1,0)</f>
        <v>0</v>
      </c>
      <c r="AA11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3" s="2">
        <f>Table2[[#This Row],[ActualAwayScore]]-Table2[[#This Row],[PredictedAwayScore]]</f>
        <v>0</v>
      </c>
      <c r="AG1173" s="2">
        <f>Table2[[#This Row],[ActualHomeScore]]-Table2[[#This Row],[PredictedHomeScore]]</f>
        <v>0</v>
      </c>
      <c r="AH1173" s="2">
        <f t="shared" si="97"/>
        <v>0</v>
      </c>
      <c r="AI1173" s="2">
        <f t="shared" si="98"/>
        <v>0</v>
      </c>
      <c r="AJ1173" s="2"/>
      <c r="AK1173" s="3"/>
      <c r="AL1173" s="2">
        <f>IF(Table2[[#This Row],[GameIsOver]]=0,0,IF(Table2[[#This Row],[ActualWinner]]=Table2[[#This Row],[AwayTeam]], 1, 0))</f>
        <v>0</v>
      </c>
      <c r="AM1173" s="2">
        <f>IF(Table2[[#This Row],[GameIsOver]]=0,0,IF(Table2[[#This Row],[ActualWinner]]=Table2[[#This Row],[HomeTeam]], 1, 0))</f>
        <v>0</v>
      </c>
      <c r="AN11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3" s="2" t="str">
        <f>INDEX(Sheet5!$B$2:$AG$33, MATCH(Table2[[#This Row],[AwayTeam]],Sheet5!$A$2:$A$33, 0), MATCH(Table2[[#This Row],[HomeTeam]],Sheet5!$A$2:$A$33, 0))</f>
        <v>0-0-0</v>
      </c>
      <c r="AP1173" s="2" t="str">
        <f>INDEX(Sheet5!$B$2:$AG$33, MATCH(Table2[[#This Row],[HomeTeam]],Sheet5!$A$2:$A$33, 0), MATCH(Table2[[#This Row],[AwayTeam]],Sheet5!$A$2:$A$33, 0))</f>
        <v>0-0-0</v>
      </c>
      <c r="AQ1173" s="2">
        <f>IF(Table2[[#This Row],[GameHasShutOut]], 1, 0)</f>
        <v>0</v>
      </c>
      <c r="AR1173" s="2">
        <f>IF(Table2[[#This Row],[ActualAwayScore]] + Table2[[#This Row],[ActualHomeScore]] &gt;= 10, 1, 0)</f>
        <v>0</v>
      </c>
      <c r="AS1173" s="2">
        <f>IF(ABS(Table2[[#This Row],[ActualAwayScore]]-Table2[[#This Row],[ActualHomeScore]])&gt;=5, 1, 0)</f>
        <v>0</v>
      </c>
      <c r="AT1173" s="2">
        <f>IF(Table2[[#This Row],[ActualAwayScore]] + Table2[[#This Row],[ActualHomeScore]] &lt;= 3, 1, 0)</f>
        <v>1</v>
      </c>
      <c r="AU1173" s="2"/>
      <c r="AV1173" s="2"/>
    </row>
    <row r="1174" spans="1:48" x14ac:dyDescent="0.25">
      <c r="A1174" s="3"/>
      <c r="B1174" s="3">
        <v>46110</v>
      </c>
      <c r="C1174" s="5">
        <v>2025021172</v>
      </c>
      <c r="D1174" s="2" t="s">
        <v>33</v>
      </c>
      <c r="E1174" s="2" t="s">
        <v>42</v>
      </c>
      <c r="F1174" s="2"/>
      <c r="G1174" s="2"/>
      <c r="H1174" s="2" t="str">
        <f t="shared" si="94"/>
        <v>_</v>
      </c>
      <c r="I1174" s="2"/>
      <c r="J1174" s="2"/>
      <c r="K1174" s="2"/>
      <c r="L1174" s="2" t="str">
        <f t="shared" si="95"/>
        <v>_</v>
      </c>
      <c r="M1174" s="2"/>
      <c r="N1174" s="2">
        <f>IF(ISBLANK(Table2[[#This Row],[ActualResult]]), 0, 1)</f>
        <v>0</v>
      </c>
      <c r="O1174" s="2" t="str">
        <f>IF(ISBLANK(Table2[[#This Row],[ActualResult]]), "_", IF(Table2[[#This Row],[ActualWinner]]=Table2[[#This Row],[PredictedWinner]], "Y", "N"))</f>
        <v>_</v>
      </c>
      <c r="P11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4" s="2"/>
      <c r="S1174" s="2" t="str">
        <f t="shared" si="96"/>
        <v>_</v>
      </c>
      <c r="T11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4" s="2">
        <f>IF(Table2[[#This Row],[InterConf]]=1,IF(Table2[[#This Row],[InterDiv]]=0, 1, 0), 0)</f>
        <v>0</v>
      </c>
      <c r="W11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4" s="2"/>
      <c r="Y1174" s="2"/>
      <c r="Z1174" s="145">
        <f>IF(AND(Table2[[#This Row],[GameIsOver]]=1,Table2[[#This Row],[ActualHomeScore]]*Table2[[#This Row],[ActualAwayScore]]=0), 1,0)</f>
        <v>0</v>
      </c>
      <c r="AA11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4" s="2">
        <f>Table2[[#This Row],[ActualAwayScore]]-Table2[[#This Row],[PredictedAwayScore]]</f>
        <v>0</v>
      </c>
      <c r="AG1174" s="2">
        <f>Table2[[#This Row],[ActualHomeScore]]-Table2[[#This Row],[PredictedHomeScore]]</f>
        <v>0</v>
      </c>
      <c r="AH1174" s="2">
        <f t="shared" si="97"/>
        <v>0</v>
      </c>
      <c r="AI1174" s="2">
        <f t="shared" si="98"/>
        <v>0</v>
      </c>
      <c r="AJ1174" s="2"/>
      <c r="AK1174" s="3"/>
      <c r="AL1174" s="2">
        <f>IF(Table2[[#This Row],[GameIsOver]]=0,0,IF(Table2[[#This Row],[ActualWinner]]=Table2[[#This Row],[AwayTeam]], 1, 0))</f>
        <v>0</v>
      </c>
      <c r="AM1174" s="2">
        <f>IF(Table2[[#This Row],[GameIsOver]]=0,0,IF(Table2[[#This Row],[ActualWinner]]=Table2[[#This Row],[HomeTeam]], 1, 0))</f>
        <v>0</v>
      </c>
      <c r="AN11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4" s="2" t="str">
        <f>INDEX(Sheet5!$B$2:$AG$33, MATCH(Table2[[#This Row],[AwayTeam]],Sheet5!$A$2:$A$33, 0), MATCH(Table2[[#This Row],[HomeTeam]],Sheet5!$A$2:$A$33, 0))</f>
        <v>0-0-0</v>
      </c>
      <c r="AP1174" s="2" t="str">
        <f>INDEX(Sheet5!$B$2:$AG$33, MATCH(Table2[[#This Row],[HomeTeam]],Sheet5!$A$2:$A$33, 0), MATCH(Table2[[#This Row],[AwayTeam]],Sheet5!$A$2:$A$33, 0))</f>
        <v>0-0-0</v>
      </c>
      <c r="AQ1174" s="2">
        <f>IF(Table2[[#This Row],[GameHasShutOut]], 1, 0)</f>
        <v>0</v>
      </c>
      <c r="AR1174" s="2">
        <f>IF(Table2[[#This Row],[ActualAwayScore]] + Table2[[#This Row],[ActualHomeScore]] &gt;= 10, 1, 0)</f>
        <v>0</v>
      </c>
      <c r="AS1174" s="2">
        <f>IF(ABS(Table2[[#This Row],[ActualAwayScore]]-Table2[[#This Row],[ActualHomeScore]])&gt;=5, 1, 0)</f>
        <v>0</v>
      </c>
      <c r="AT1174" s="2">
        <f>IF(Table2[[#This Row],[ActualAwayScore]] + Table2[[#This Row],[ActualHomeScore]] &lt;= 3, 1, 0)</f>
        <v>1</v>
      </c>
      <c r="AU1174" s="2"/>
      <c r="AV1174" s="2"/>
    </row>
    <row r="1175" spans="1:48" x14ac:dyDescent="0.25">
      <c r="A1175" s="3"/>
      <c r="B1175" s="3">
        <v>46111</v>
      </c>
      <c r="C1175" s="5">
        <v>2025021173</v>
      </c>
      <c r="D1175" s="2" t="s">
        <v>20</v>
      </c>
      <c r="E1175" s="2" t="s">
        <v>32</v>
      </c>
      <c r="F1175" s="2"/>
      <c r="G1175" s="2"/>
      <c r="H1175" s="2" t="str">
        <f t="shared" si="94"/>
        <v>_</v>
      </c>
      <c r="I1175" s="2"/>
      <c r="J1175" s="2"/>
      <c r="K1175" s="2"/>
      <c r="L1175" s="2" t="str">
        <f t="shared" si="95"/>
        <v>_</v>
      </c>
      <c r="M1175" s="2"/>
      <c r="N1175" s="2">
        <f>IF(ISBLANK(Table2[[#This Row],[ActualResult]]), 0, 1)</f>
        <v>0</v>
      </c>
      <c r="O1175" s="2" t="str">
        <f>IF(ISBLANK(Table2[[#This Row],[ActualResult]]), "_", IF(Table2[[#This Row],[ActualWinner]]=Table2[[#This Row],[PredictedWinner]], "Y", "N"))</f>
        <v>_</v>
      </c>
      <c r="P11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5" s="2"/>
      <c r="S1175" s="2" t="str">
        <f t="shared" si="96"/>
        <v>_</v>
      </c>
      <c r="T11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75" s="2">
        <f>IF(Table2[[#This Row],[InterConf]]=1,IF(Table2[[#This Row],[InterDiv]]=0, 1, 0), 0)</f>
        <v>0</v>
      </c>
      <c r="W11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5" s="2"/>
      <c r="Y1175" s="2"/>
      <c r="Z1175" s="145">
        <f>IF(AND(Table2[[#This Row],[GameIsOver]]=1,Table2[[#This Row],[ActualHomeScore]]*Table2[[#This Row],[ActualAwayScore]]=0), 1,0)</f>
        <v>0</v>
      </c>
      <c r="AA11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75" s="2">
        <f>Table2[[#This Row],[ActualAwayScore]]-Table2[[#This Row],[PredictedAwayScore]]</f>
        <v>0</v>
      </c>
      <c r="AG1175" s="2">
        <f>Table2[[#This Row],[ActualHomeScore]]-Table2[[#This Row],[PredictedHomeScore]]</f>
        <v>0</v>
      </c>
      <c r="AH1175" s="2">
        <f t="shared" si="97"/>
        <v>0</v>
      </c>
      <c r="AI1175" s="2">
        <f t="shared" si="98"/>
        <v>0</v>
      </c>
      <c r="AJ1175" s="2"/>
      <c r="AK1175" s="3"/>
      <c r="AL1175" s="2">
        <f>IF(Table2[[#This Row],[GameIsOver]]=0,0,IF(Table2[[#This Row],[ActualWinner]]=Table2[[#This Row],[AwayTeam]], 1, 0))</f>
        <v>0</v>
      </c>
      <c r="AM1175" s="2">
        <f>IF(Table2[[#This Row],[GameIsOver]]=0,0,IF(Table2[[#This Row],[ActualWinner]]=Table2[[#This Row],[HomeTeam]], 1, 0))</f>
        <v>0</v>
      </c>
      <c r="AN11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5" s="2" t="str">
        <f>INDEX(Sheet5!$B$2:$AG$33, MATCH(Table2[[#This Row],[AwayTeam]],Sheet5!$A$2:$A$33, 0), MATCH(Table2[[#This Row],[HomeTeam]],Sheet5!$A$2:$A$33, 0))</f>
        <v>1-0-0</v>
      </c>
      <c r="AP1175" s="2" t="str">
        <f>INDEX(Sheet5!$B$2:$AG$33, MATCH(Table2[[#This Row],[HomeTeam]],Sheet5!$A$2:$A$33, 0), MATCH(Table2[[#This Row],[AwayTeam]],Sheet5!$A$2:$A$33, 0))</f>
        <v>0-1-0</v>
      </c>
      <c r="AQ1175" s="2">
        <f>IF(Table2[[#This Row],[GameHasShutOut]], 1, 0)</f>
        <v>0</v>
      </c>
      <c r="AR1175" s="2">
        <f>IF(Table2[[#This Row],[ActualAwayScore]] + Table2[[#This Row],[ActualHomeScore]] &gt;= 10, 1, 0)</f>
        <v>0</v>
      </c>
      <c r="AS1175" s="2">
        <f>IF(ABS(Table2[[#This Row],[ActualAwayScore]]-Table2[[#This Row],[ActualHomeScore]])&gt;=5, 1, 0)</f>
        <v>0</v>
      </c>
      <c r="AT1175" s="2">
        <f>IF(Table2[[#This Row],[ActualAwayScore]] + Table2[[#This Row],[ActualHomeScore]] &lt;= 3, 1, 0)</f>
        <v>1</v>
      </c>
      <c r="AU1175" s="2"/>
      <c r="AV1175" s="2"/>
    </row>
    <row r="1176" spans="1:48" x14ac:dyDescent="0.25">
      <c r="A1176" s="3"/>
      <c r="B1176" s="3">
        <v>46112</v>
      </c>
      <c r="C1176" s="5">
        <v>2025021174</v>
      </c>
      <c r="D1176" s="2" t="s">
        <v>23</v>
      </c>
      <c r="E1176" s="2" t="s">
        <v>25</v>
      </c>
      <c r="F1176" s="2"/>
      <c r="G1176" s="2"/>
      <c r="H1176" s="2" t="str">
        <f t="shared" si="94"/>
        <v>_</v>
      </c>
      <c r="I1176" s="2"/>
      <c r="J1176" s="2"/>
      <c r="K1176" s="2"/>
      <c r="L1176" s="2" t="str">
        <f t="shared" si="95"/>
        <v>_</v>
      </c>
      <c r="M1176" s="2"/>
      <c r="N1176" s="2">
        <f>IF(ISBLANK(Table2[[#This Row],[ActualResult]]), 0, 1)</f>
        <v>0</v>
      </c>
      <c r="O1176" s="2" t="str">
        <f>IF(ISBLANK(Table2[[#This Row],[ActualResult]]), "_", IF(Table2[[#This Row],[ActualWinner]]=Table2[[#This Row],[PredictedWinner]], "Y", "N"))</f>
        <v>_</v>
      </c>
      <c r="P11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6" s="2"/>
      <c r="S1176" s="2" t="str">
        <f t="shared" si="96"/>
        <v>_</v>
      </c>
      <c r="T11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6" s="2">
        <f>IF(Table2[[#This Row],[InterConf]]=1,IF(Table2[[#This Row],[InterDiv]]=0, 1, 0), 0)</f>
        <v>1</v>
      </c>
      <c r="W11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6" s="2"/>
      <c r="Y1176" s="2"/>
      <c r="Z1176" s="145">
        <f>IF(AND(Table2[[#This Row],[GameIsOver]]=1,Table2[[#This Row],[ActualHomeScore]]*Table2[[#This Row],[ActualAwayScore]]=0), 1,0)</f>
        <v>0</v>
      </c>
      <c r="AA11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6" s="2">
        <f>Table2[[#This Row],[ActualAwayScore]]-Table2[[#This Row],[PredictedAwayScore]]</f>
        <v>0</v>
      </c>
      <c r="AG1176" s="2">
        <f>Table2[[#This Row],[ActualHomeScore]]-Table2[[#This Row],[PredictedHomeScore]]</f>
        <v>0</v>
      </c>
      <c r="AH1176" s="2">
        <f t="shared" si="97"/>
        <v>0</v>
      </c>
      <c r="AI1176" s="2">
        <f t="shared" si="98"/>
        <v>0</v>
      </c>
      <c r="AJ1176" s="2"/>
      <c r="AK1176" s="3"/>
      <c r="AL1176" s="2">
        <f>IF(Table2[[#This Row],[GameIsOver]]=0,0,IF(Table2[[#This Row],[ActualWinner]]=Table2[[#This Row],[AwayTeam]], 1, 0))</f>
        <v>0</v>
      </c>
      <c r="AM1176" s="2">
        <f>IF(Table2[[#This Row],[GameIsOver]]=0,0,IF(Table2[[#This Row],[ActualWinner]]=Table2[[#This Row],[HomeTeam]], 1, 0))</f>
        <v>0</v>
      </c>
      <c r="AN11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6" s="2" t="str">
        <f>INDEX(Sheet5!$B$2:$AG$33, MATCH(Table2[[#This Row],[AwayTeam]],Sheet5!$A$2:$A$33, 0), MATCH(Table2[[#This Row],[HomeTeam]],Sheet5!$A$2:$A$33, 0))</f>
        <v>0-0-0</v>
      </c>
      <c r="AP1176" s="2" t="str">
        <f>INDEX(Sheet5!$B$2:$AG$33, MATCH(Table2[[#This Row],[HomeTeam]],Sheet5!$A$2:$A$33, 0), MATCH(Table2[[#This Row],[AwayTeam]],Sheet5!$A$2:$A$33, 0))</f>
        <v>0-0-0</v>
      </c>
      <c r="AQ1176" s="2">
        <f>IF(Table2[[#This Row],[GameHasShutOut]], 1, 0)</f>
        <v>0</v>
      </c>
      <c r="AR1176" s="2">
        <f>IF(Table2[[#This Row],[ActualAwayScore]] + Table2[[#This Row],[ActualHomeScore]] &gt;= 10, 1, 0)</f>
        <v>0</v>
      </c>
      <c r="AS1176" s="2">
        <f>IF(ABS(Table2[[#This Row],[ActualAwayScore]]-Table2[[#This Row],[ActualHomeScore]])&gt;=5, 1, 0)</f>
        <v>0</v>
      </c>
      <c r="AT1176" s="2">
        <f>IF(Table2[[#This Row],[ActualAwayScore]] + Table2[[#This Row],[ActualHomeScore]] &lt;= 3, 1, 0)</f>
        <v>1</v>
      </c>
      <c r="AU1176" s="2"/>
      <c r="AV1176" s="2"/>
    </row>
    <row r="1177" spans="1:48" x14ac:dyDescent="0.25">
      <c r="A1177" s="3"/>
      <c r="B1177" s="3">
        <v>46112</v>
      </c>
      <c r="C1177" s="5">
        <v>2025021175</v>
      </c>
      <c r="D1177" s="2" t="s">
        <v>24</v>
      </c>
      <c r="E1177" s="2" t="s">
        <v>26</v>
      </c>
      <c r="F1177" s="2"/>
      <c r="G1177" s="2"/>
      <c r="H1177" s="2" t="str">
        <f t="shared" si="94"/>
        <v>_</v>
      </c>
      <c r="I1177" s="2"/>
      <c r="J1177" s="2"/>
      <c r="K1177" s="2"/>
      <c r="L1177" s="2" t="str">
        <f t="shared" si="95"/>
        <v>_</v>
      </c>
      <c r="M1177" s="2"/>
      <c r="N1177" s="2">
        <f>IF(ISBLANK(Table2[[#This Row],[ActualResult]]), 0, 1)</f>
        <v>0</v>
      </c>
      <c r="O1177" s="2" t="str">
        <f>IF(ISBLANK(Table2[[#This Row],[ActualResult]]), "_", IF(Table2[[#This Row],[ActualWinner]]=Table2[[#This Row],[PredictedWinner]], "Y", "N"))</f>
        <v>_</v>
      </c>
      <c r="P11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7" s="2"/>
      <c r="S1177" s="2" t="str">
        <f t="shared" si="96"/>
        <v>_</v>
      </c>
      <c r="T11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77" s="2">
        <f>IF(Table2[[#This Row],[InterConf]]=1,IF(Table2[[#This Row],[InterDiv]]=0, 1, 0), 0)</f>
        <v>0</v>
      </c>
      <c r="W11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7" s="2"/>
      <c r="Y1177" s="2"/>
      <c r="Z1177" s="145">
        <f>IF(AND(Table2[[#This Row],[GameIsOver]]=1,Table2[[#This Row],[ActualHomeScore]]*Table2[[#This Row],[ActualAwayScore]]=0), 1,0)</f>
        <v>0</v>
      </c>
      <c r="AA11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7" s="2">
        <f>Table2[[#This Row],[ActualAwayScore]]-Table2[[#This Row],[PredictedAwayScore]]</f>
        <v>0</v>
      </c>
      <c r="AG1177" s="2">
        <f>Table2[[#This Row],[ActualHomeScore]]-Table2[[#This Row],[PredictedHomeScore]]</f>
        <v>0</v>
      </c>
      <c r="AH1177" s="2">
        <f t="shared" si="97"/>
        <v>0</v>
      </c>
      <c r="AI1177" s="2">
        <f t="shared" si="98"/>
        <v>0</v>
      </c>
      <c r="AJ1177" s="2"/>
      <c r="AK1177" s="3"/>
      <c r="AL1177" s="2">
        <f>IF(Table2[[#This Row],[GameIsOver]]=0,0,IF(Table2[[#This Row],[ActualWinner]]=Table2[[#This Row],[AwayTeam]], 1, 0))</f>
        <v>0</v>
      </c>
      <c r="AM1177" s="2">
        <f>IF(Table2[[#This Row],[GameIsOver]]=0,0,IF(Table2[[#This Row],[ActualWinner]]=Table2[[#This Row],[HomeTeam]], 1, 0))</f>
        <v>0</v>
      </c>
      <c r="AN11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7" s="2" t="str">
        <f>INDEX(Sheet5!$B$2:$AG$33, MATCH(Table2[[#This Row],[AwayTeam]],Sheet5!$A$2:$A$33, 0), MATCH(Table2[[#This Row],[HomeTeam]],Sheet5!$A$2:$A$33, 0))</f>
        <v>0-0-0</v>
      </c>
      <c r="AP1177" s="2" t="str">
        <f>INDEX(Sheet5!$B$2:$AG$33, MATCH(Table2[[#This Row],[HomeTeam]],Sheet5!$A$2:$A$33, 0), MATCH(Table2[[#This Row],[AwayTeam]],Sheet5!$A$2:$A$33, 0))</f>
        <v>0-0-0</v>
      </c>
      <c r="AQ1177" s="2">
        <f>IF(Table2[[#This Row],[GameHasShutOut]], 1, 0)</f>
        <v>0</v>
      </c>
      <c r="AR1177" s="2">
        <f>IF(Table2[[#This Row],[ActualAwayScore]] + Table2[[#This Row],[ActualHomeScore]] &gt;= 10, 1, 0)</f>
        <v>0</v>
      </c>
      <c r="AS1177" s="2">
        <f>IF(ABS(Table2[[#This Row],[ActualAwayScore]]-Table2[[#This Row],[ActualHomeScore]])&gt;=5, 1, 0)</f>
        <v>0</v>
      </c>
      <c r="AT1177" s="2">
        <f>IF(Table2[[#This Row],[ActualAwayScore]] + Table2[[#This Row],[ActualHomeScore]] &lt;= 3, 1, 0)</f>
        <v>1</v>
      </c>
      <c r="AU1177" s="2"/>
      <c r="AV1177" s="2"/>
    </row>
    <row r="1178" spans="1:48" x14ac:dyDescent="0.25">
      <c r="A1178" s="3"/>
      <c r="B1178" s="3">
        <v>46112</v>
      </c>
      <c r="C1178" s="5">
        <v>2025021176</v>
      </c>
      <c r="D1178" s="2" t="s">
        <v>17</v>
      </c>
      <c r="E1178" s="2" t="s">
        <v>44</v>
      </c>
      <c r="F1178" s="2"/>
      <c r="G1178" s="2"/>
      <c r="H1178" s="2" t="str">
        <f t="shared" si="94"/>
        <v>_</v>
      </c>
      <c r="I1178" s="2"/>
      <c r="J1178" s="2"/>
      <c r="K1178" s="2"/>
      <c r="L1178" s="2" t="str">
        <f t="shared" si="95"/>
        <v>_</v>
      </c>
      <c r="M1178" s="2"/>
      <c r="N1178" s="2">
        <f>IF(ISBLANK(Table2[[#This Row],[ActualResult]]), 0, 1)</f>
        <v>0</v>
      </c>
      <c r="O1178" s="2" t="str">
        <f>IF(ISBLANK(Table2[[#This Row],[ActualResult]]), "_", IF(Table2[[#This Row],[ActualWinner]]=Table2[[#This Row],[PredictedWinner]], "Y", "N"))</f>
        <v>_</v>
      </c>
      <c r="P11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8" s="2"/>
      <c r="S1178" s="2" t="str">
        <f t="shared" si="96"/>
        <v>_</v>
      </c>
      <c r="T11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8" s="2">
        <f>IF(Table2[[#This Row],[InterConf]]=1,IF(Table2[[#This Row],[InterDiv]]=0, 1, 0), 0)</f>
        <v>0</v>
      </c>
      <c r="W11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8" s="2"/>
      <c r="Y1178" s="2"/>
      <c r="Z1178" s="145">
        <f>IF(AND(Table2[[#This Row],[GameIsOver]]=1,Table2[[#This Row],[ActualHomeScore]]*Table2[[#This Row],[ActualAwayScore]]=0), 1,0)</f>
        <v>0</v>
      </c>
      <c r="AA11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8" s="2">
        <f>Table2[[#This Row],[ActualAwayScore]]-Table2[[#This Row],[PredictedAwayScore]]</f>
        <v>0</v>
      </c>
      <c r="AG1178" s="2">
        <f>Table2[[#This Row],[ActualHomeScore]]-Table2[[#This Row],[PredictedHomeScore]]</f>
        <v>0</v>
      </c>
      <c r="AH1178" s="2">
        <f t="shared" si="97"/>
        <v>0</v>
      </c>
      <c r="AI1178" s="2">
        <f t="shared" si="98"/>
        <v>0</v>
      </c>
      <c r="AJ1178" s="2"/>
      <c r="AK1178" s="3"/>
      <c r="AL1178" s="2">
        <f>IF(Table2[[#This Row],[GameIsOver]]=0,0,IF(Table2[[#This Row],[ActualWinner]]=Table2[[#This Row],[AwayTeam]], 1, 0))</f>
        <v>0</v>
      </c>
      <c r="AM1178" s="2">
        <f>IF(Table2[[#This Row],[GameIsOver]]=0,0,IF(Table2[[#This Row],[ActualWinner]]=Table2[[#This Row],[HomeTeam]], 1, 0))</f>
        <v>0</v>
      </c>
      <c r="AN11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8" s="2" t="str">
        <f>INDEX(Sheet5!$B$2:$AG$33, MATCH(Table2[[#This Row],[AwayTeam]],Sheet5!$A$2:$A$33, 0), MATCH(Table2[[#This Row],[HomeTeam]],Sheet5!$A$2:$A$33, 0))</f>
        <v>0-0-0</v>
      </c>
      <c r="AP1178" s="2" t="str">
        <f>INDEX(Sheet5!$B$2:$AG$33, MATCH(Table2[[#This Row],[HomeTeam]],Sheet5!$A$2:$A$33, 0), MATCH(Table2[[#This Row],[AwayTeam]],Sheet5!$A$2:$A$33, 0))</f>
        <v>0-0-0</v>
      </c>
      <c r="AQ1178" s="2">
        <f>IF(Table2[[#This Row],[GameHasShutOut]], 1, 0)</f>
        <v>0</v>
      </c>
      <c r="AR1178" s="2">
        <f>IF(Table2[[#This Row],[ActualAwayScore]] + Table2[[#This Row],[ActualHomeScore]] &gt;= 10, 1, 0)</f>
        <v>0</v>
      </c>
      <c r="AS1178" s="2">
        <f>IF(ABS(Table2[[#This Row],[ActualAwayScore]]-Table2[[#This Row],[ActualHomeScore]])&gt;=5, 1, 0)</f>
        <v>0</v>
      </c>
      <c r="AT1178" s="2">
        <f>IF(Table2[[#This Row],[ActualAwayScore]] + Table2[[#This Row],[ActualHomeScore]] &lt;= 3, 1, 0)</f>
        <v>1</v>
      </c>
      <c r="AU1178" s="2"/>
      <c r="AV1178" s="2"/>
    </row>
    <row r="1179" spans="1:48" x14ac:dyDescent="0.25">
      <c r="A1179" s="3"/>
      <c r="B1179" s="3">
        <v>46112</v>
      </c>
      <c r="C1179" s="5">
        <v>2025021177</v>
      </c>
      <c r="D1179" s="2" t="s">
        <v>12</v>
      </c>
      <c r="E1179" s="2" t="s">
        <v>37</v>
      </c>
      <c r="F1179" s="2"/>
      <c r="G1179" s="2"/>
      <c r="H1179" s="2" t="str">
        <f t="shared" si="94"/>
        <v>_</v>
      </c>
      <c r="I1179" s="2"/>
      <c r="J1179" s="2"/>
      <c r="K1179" s="2"/>
      <c r="L1179" s="2" t="str">
        <f t="shared" si="95"/>
        <v>_</v>
      </c>
      <c r="M1179" s="2"/>
      <c r="N1179" s="2">
        <f>IF(ISBLANK(Table2[[#This Row],[ActualResult]]), 0, 1)</f>
        <v>0</v>
      </c>
      <c r="O1179" s="2" t="str">
        <f>IF(ISBLANK(Table2[[#This Row],[ActualResult]]), "_", IF(Table2[[#This Row],[ActualWinner]]=Table2[[#This Row],[PredictedWinner]], "Y", "N"))</f>
        <v>_</v>
      </c>
      <c r="P11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9" s="2"/>
      <c r="S1179" s="2" t="str">
        <f t="shared" si="96"/>
        <v>_</v>
      </c>
      <c r="T11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9" s="2">
        <f>IF(Table2[[#This Row],[InterConf]]=1,IF(Table2[[#This Row],[InterDiv]]=0, 1, 0), 0)</f>
        <v>1</v>
      </c>
      <c r="W11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9" s="2"/>
      <c r="Y1179" s="2"/>
      <c r="Z1179" s="145">
        <f>IF(AND(Table2[[#This Row],[GameIsOver]]=1,Table2[[#This Row],[ActualHomeScore]]*Table2[[#This Row],[ActualAwayScore]]=0), 1,0)</f>
        <v>0</v>
      </c>
      <c r="AA11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9" s="2">
        <f>Table2[[#This Row],[ActualAwayScore]]-Table2[[#This Row],[PredictedAwayScore]]</f>
        <v>0</v>
      </c>
      <c r="AG1179" s="2">
        <f>Table2[[#This Row],[ActualHomeScore]]-Table2[[#This Row],[PredictedHomeScore]]</f>
        <v>0</v>
      </c>
      <c r="AH1179" s="2">
        <f t="shared" si="97"/>
        <v>0</v>
      </c>
      <c r="AI1179" s="2">
        <f t="shared" si="98"/>
        <v>0</v>
      </c>
      <c r="AJ1179" s="2"/>
      <c r="AK1179" s="3"/>
      <c r="AL1179" s="2">
        <f>IF(Table2[[#This Row],[GameIsOver]]=0,0,IF(Table2[[#This Row],[ActualWinner]]=Table2[[#This Row],[AwayTeam]], 1, 0))</f>
        <v>0</v>
      </c>
      <c r="AM1179" s="2">
        <f>IF(Table2[[#This Row],[GameIsOver]]=0,0,IF(Table2[[#This Row],[ActualWinner]]=Table2[[#This Row],[HomeTeam]], 1, 0))</f>
        <v>0</v>
      </c>
      <c r="AN11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9" s="2" t="str">
        <f>INDEX(Sheet5!$B$2:$AG$33, MATCH(Table2[[#This Row],[AwayTeam]],Sheet5!$A$2:$A$33, 0), MATCH(Table2[[#This Row],[HomeTeam]],Sheet5!$A$2:$A$33, 0))</f>
        <v>0-0-0</v>
      </c>
      <c r="AP1179" s="2" t="str">
        <f>INDEX(Sheet5!$B$2:$AG$33, MATCH(Table2[[#This Row],[HomeTeam]],Sheet5!$A$2:$A$33, 0), MATCH(Table2[[#This Row],[AwayTeam]],Sheet5!$A$2:$A$33, 0))</f>
        <v>0-0-0</v>
      </c>
      <c r="AQ1179" s="2">
        <f>IF(Table2[[#This Row],[GameHasShutOut]], 1, 0)</f>
        <v>0</v>
      </c>
      <c r="AR1179" s="2">
        <f>IF(Table2[[#This Row],[ActualAwayScore]] + Table2[[#This Row],[ActualHomeScore]] &gt;= 10, 1, 0)</f>
        <v>0</v>
      </c>
      <c r="AS1179" s="2">
        <f>IF(ABS(Table2[[#This Row],[ActualAwayScore]]-Table2[[#This Row],[ActualHomeScore]])&gt;=5, 1, 0)</f>
        <v>0</v>
      </c>
      <c r="AT1179" s="2">
        <f>IF(Table2[[#This Row],[ActualAwayScore]] + Table2[[#This Row],[ActualHomeScore]] &lt;= 3, 1, 0)</f>
        <v>1</v>
      </c>
      <c r="AU1179" s="2"/>
      <c r="AV1179" s="2"/>
    </row>
    <row r="1180" spans="1:48" x14ac:dyDescent="0.25">
      <c r="A1180" s="3"/>
      <c r="B1180" s="3">
        <v>46112</v>
      </c>
      <c r="C1180" s="5">
        <v>2025021178</v>
      </c>
      <c r="D1180" s="2" t="s">
        <v>33</v>
      </c>
      <c r="E1180" s="2" t="s">
        <v>15</v>
      </c>
      <c r="F1180" s="2"/>
      <c r="G1180" s="2"/>
      <c r="H1180" s="2" t="str">
        <f t="shared" si="94"/>
        <v>_</v>
      </c>
      <c r="I1180" s="2"/>
      <c r="J1180" s="2"/>
      <c r="K1180" s="2"/>
      <c r="L1180" s="2" t="str">
        <f t="shared" si="95"/>
        <v>_</v>
      </c>
      <c r="M1180" s="2"/>
      <c r="N1180" s="2">
        <f>IF(ISBLANK(Table2[[#This Row],[ActualResult]]), 0, 1)</f>
        <v>0</v>
      </c>
      <c r="O1180" s="2" t="str">
        <f>IF(ISBLANK(Table2[[#This Row],[ActualResult]]), "_", IF(Table2[[#This Row],[ActualWinner]]=Table2[[#This Row],[PredictedWinner]], "Y", "N"))</f>
        <v>_</v>
      </c>
      <c r="P11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0" s="2"/>
      <c r="S1180" s="2" t="str">
        <f t="shared" si="96"/>
        <v>_</v>
      </c>
      <c r="T11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0" s="2">
        <f>IF(Table2[[#This Row],[InterConf]]=1,IF(Table2[[#This Row],[InterDiv]]=0, 1, 0), 0)</f>
        <v>0</v>
      </c>
      <c r="W11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80" s="2"/>
      <c r="Y1180" s="2"/>
      <c r="Z1180" s="145">
        <f>IF(AND(Table2[[#This Row],[GameIsOver]]=1,Table2[[#This Row],[ActualHomeScore]]*Table2[[#This Row],[ActualAwayScore]]=0), 1,0)</f>
        <v>0</v>
      </c>
      <c r="AA11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0" s="2">
        <f>Table2[[#This Row],[ActualAwayScore]]-Table2[[#This Row],[PredictedAwayScore]]</f>
        <v>0</v>
      </c>
      <c r="AG1180" s="2">
        <f>Table2[[#This Row],[ActualHomeScore]]-Table2[[#This Row],[PredictedHomeScore]]</f>
        <v>0</v>
      </c>
      <c r="AH1180" s="2">
        <f t="shared" si="97"/>
        <v>0</v>
      </c>
      <c r="AI1180" s="2">
        <f t="shared" si="98"/>
        <v>0</v>
      </c>
      <c r="AJ1180" s="2"/>
      <c r="AK1180" s="3"/>
      <c r="AL1180" s="2">
        <f>IF(Table2[[#This Row],[GameIsOver]]=0,0,IF(Table2[[#This Row],[ActualWinner]]=Table2[[#This Row],[AwayTeam]], 1, 0))</f>
        <v>0</v>
      </c>
      <c r="AM1180" s="2">
        <f>IF(Table2[[#This Row],[GameIsOver]]=0,0,IF(Table2[[#This Row],[ActualWinner]]=Table2[[#This Row],[HomeTeam]], 1, 0))</f>
        <v>0</v>
      </c>
      <c r="AN11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0" s="2" t="str">
        <f>INDEX(Sheet5!$B$2:$AG$33, MATCH(Table2[[#This Row],[AwayTeam]],Sheet5!$A$2:$A$33, 0), MATCH(Table2[[#This Row],[HomeTeam]],Sheet5!$A$2:$A$33, 0))</f>
        <v>0-0-0</v>
      </c>
      <c r="AP1180" s="2" t="str">
        <f>INDEX(Sheet5!$B$2:$AG$33, MATCH(Table2[[#This Row],[HomeTeam]],Sheet5!$A$2:$A$33, 0), MATCH(Table2[[#This Row],[AwayTeam]],Sheet5!$A$2:$A$33, 0))</f>
        <v>0-0-0</v>
      </c>
      <c r="AQ1180" s="2">
        <f>IF(Table2[[#This Row],[GameHasShutOut]], 1, 0)</f>
        <v>0</v>
      </c>
      <c r="AR1180" s="2">
        <f>IF(Table2[[#This Row],[ActualAwayScore]] + Table2[[#This Row],[ActualHomeScore]] &gt;= 10, 1, 0)</f>
        <v>0</v>
      </c>
      <c r="AS1180" s="2">
        <f>IF(ABS(Table2[[#This Row],[ActualAwayScore]]-Table2[[#This Row],[ActualHomeScore]])&gt;=5, 1, 0)</f>
        <v>0</v>
      </c>
      <c r="AT1180" s="2">
        <f>IF(Table2[[#This Row],[ActualAwayScore]] + Table2[[#This Row],[ActualHomeScore]] &lt;= 3, 1, 0)</f>
        <v>1</v>
      </c>
      <c r="AU1180" s="2"/>
      <c r="AV1180" s="2"/>
    </row>
    <row r="1181" spans="1:48" x14ac:dyDescent="0.25">
      <c r="A1181" s="3"/>
      <c r="B1181" s="3">
        <v>46112</v>
      </c>
      <c r="C1181" s="5">
        <v>2025021179</v>
      </c>
      <c r="D1181" s="2" t="s">
        <v>32</v>
      </c>
      <c r="E1181" s="2" t="s">
        <v>28</v>
      </c>
      <c r="F1181" s="2"/>
      <c r="G1181" s="2"/>
      <c r="H1181" s="2" t="str">
        <f t="shared" si="94"/>
        <v>_</v>
      </c>
      <c r="I1181" s="2"/>
      <c r="J1181" s="2"/>
      <c r="K1181" s="2"/>
      <c r="L1181" s="2" t="str">
        <f t="shared" si="95"/>
        <v>_</v>
      </c>
      <c r="M1181" s="2"/>
      <c r="N1181" s="2">
        <f>IF(ISBLANK(Table2[[#This Row],[ActualResult]]), 0, 1)</f>
        <v>0</v>
      </c>
      <c r="O1181" s="2" t="str">
        <f>IF(ISBLANK(Table2[[#This Row],[ActualResult]]), "_", IF(Table2[[#This Row],[ActualWinner]]=Table2[[#This Row],[PredictedWinner]], "Y", "N"))</f>
        <v>_</v>
      </c>
      <c r="P11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1" s="2"/>
      <c r="S1181" s="2" t="str">
        <f t="shared" si="96"/>
        <v>_</v>
      </c>
      <c r="T11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1" s="2">
        <f>IF(Table2[[#This Row],[InterConf]]=1,IF(Table2[[#This Row],[InterDiv]]=0, 1, 0), 0)</f>
        <v>1</v>
      </c>
      <c r="W11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1" s="2"/>
      <c r="Y1181" s="2"/>
      <c r="Z1181" s="145">
        <f>IF(AND(Table2[[#This Row],[GameIsOver]]=1,Table2[[#This Row],[ActualHomeScore]]*Table2[[#This Row],[ActualAwayScore]]=0), 1,0)</f>
        <v>0</v>
      </c>
      <c r="AA11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1" s="2">
        <f>Table2[[#This Row],[ActualAwayScore]]-Table2[[#This Row],[PredictedAwayScore]]</f>
        <v>0</v>
      </c>
      <c r="AG1181" s="2">
        <f>Table2[[#This Row],[ActualHomeScore]]-Table2[[#This Row],[PredictedHomeScore]]</f>
        <v>0</v>
      </c>
      <c r="AH1181" s="2">
        <f t="shared" si="97"/>
        <v>0</v>
      </c>
      <c r="AI1181" s="2">
        <f t="shared" si="98"/>
        <v>0</v>
      </c>
      <c r="AJ1181" s="2"/>
      <c r="AK1181" s="3"/>
      <c r="AL1181" s="2">
        <f>IF(Table2[[#This Row],[GameIsOver]]=0,0,IF(Table2[[#This Row],[ActualWinner]]=Table2[[#This Row],[AwayTeam]], 1, 0))</f>
        <v>0</v>
      </c>
      <c r="AM1181" s="2">
        <f>IF(Table2[[#This Row],[GameIsOver]]=0,0,IF(Table2[[#This Row],[ActualWinner]]=Table2[[#This Row],[HomeTeam]], 1, 0))</f>
        <v>0</v>
      </c>
      <c r="AN11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1" s="2" t="str">
        <f>INDEX(Sheet5!$B$2:$AG$33, MATCH(Table2[[#This Row],[AwayTeam]],Sheet5!$A$2:$A$33, 0), MATCH(Table2[[#This Row],[HomeTeam]],Sheet5!$A$2:$A$33, 0))</f>
        <v>0-0-0</v>
      </c>
      <c r="AP1181" s="2" t="str">
        <f>INDEX(Sheet5!$B$2:$AG$33, MATCH(Table2[[#This Row],[HomeTeam]],Sheet5!$A$2:$A$33, 0), MATCH(Table2[[#This Row],[AwayTeam]],Sheet5!$A$2:$A$33, 0))</f>
        <v>0-0-0</v>
      </c>
      <c r="AQ1181" s="2">
        <f>IF(Table2[[#This Row],[GameHasShutOut]], 1, 0)</f>
        <v>0</v>
      </c>
      <c r="AR1181" s="2">
        <f>IF(Table2[[#This Row],[ActualAwayScore]] + Table2[[#This Row],[ActualHomeScore]] &gt;= 10, 1, 0)</f>
        <v>0</v>
      </c>
      <c r="AS1181" s="2">
        <f>IF(ABS(Table2[[#This Row],[ActualAwayScore]]-Table2[[#This Row],[ActualHomeScore]])&gt;=5, 1, 0)</f>
        <v>0</v>
      </c>
      <c r="AT1181" s="2">
        <f>IF(Table2[[#This Row],[ActualAwayScore]] + Table2[[#This Row],[ActualHomeScore]] &lt;= 3, 1, 0)</f>
        <v>1</v>
      </c>
      <c r="AU1181" s="2"/>
      <c r="AV1181" s="2"/>
    </row>
    <row r="1182" spans="1:48" x14ac:dyDescent="0.25">
      <c r="A1182" s="3"/>
      <c r="B1182" s="3">
        <v>46112</v>
      </c>
      <c r="C1182" s="5">
        <v>2025021180</v>
      </c>
      <c r="D1182" s="2" t="s">
        <v>18</v>
      </c>
      <c r="E1182" s="2" t="s">
        <v>40</v>
      </c>
      <c r="F1182" s="2"/>
      <c r="G1182" s="2"/>
      <c r="H1182" s="2" t="str">
        <f t="shared" si="94"/>
        <v>_</v>
      </c>
      <c r="I1182" s="2"/>
      <c r="J1182" s="2"/>
      <c r="K1182" s="2"/>
      <c r="L1182" s="2" t="str">
        <f t="shared" si="95"/>
        <v>_</v>
      </c>
      <c r="M1182" s="2"/>
      <c r="N1182" s="2">
        <f>IF(ISBLANK(Table2[[#This Row],[ActualResult]]), 0, 1)</f>
        <v>0</v>
      </c>
      <c r="O1182" s="2" t="str">
        <f>IF(ISBLANK(Table2[[#This Row],[ActualResult]]), "_", IF(Table2[[#This Row],[ActualWinner]]=Table2[[#This Row],[PredictedWinner]], "Y", "N"))</f>
        <v>_</v>
      </c>
      <c r="P11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2" s="2"/>
      <c r="S1182" s="2" t="str">
        <f t="shared" si="96"/>
        <v>_</v>
      </c>
      <c r="T11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2" s="2">
        <f>IF(Table2[[#This Row],[InterConf]]=1,IF(Table2[[#This Row],[InterDiv]]=0, 1, 0), 0)</f>
        <v>0</v>
      </c>
      <c r="W11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2" s="2"/>
      <c r="Y1182" s="2"/>
      <c r="Z1182" s="145">
        <f>IF(AND(Table2[[#This Row],[GameIsOver]]=1,Table2[[#This Row],[ActualHomeScore]]*Table2[[#This Row],[ActualAwayScore]]=0), 1,0)</f>
        <v>0</v>
      </c>
      <c r="AA11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2" s="2">
        <f>Table2[[#This Row],[ActualAwayScore]]-Table2[[#This Row],[PredictedAwayScore]]</f>
        <v>0</v>
      </c>
      <c r="AG1182" s="2">
        <f>Table2[[#This Row],[ActualHomeScore]]-Table2[[#This Row],[PredictedHomeScore]]</f>
        <v>0</v>
      </c>
      <c r="AH1182" s="2">
        <f t="shared" si="97"/>
        <v>0</v>
      </c>
      <c r="AI1182" s="2">
        <f t="shared" si="98"/>
        <v>0</v>
      </c>
      <c r="AJ1182" s="2"/>
      <c r="AK1182" s="3"/>
      <c r="AL1182" s="2">
        <f>IF(Table2[[#This Row],[GameIsOver]]=0,0,IF(Table2[[#This Row],[ActualWinner]]=Table2[[#This Row],[AwayTeam]], 1, 0))</f>
        <v>0</v>
      </c>
      <c r="AM1182" s="2">
        <f>IF(Table2[[#This Row],[GameIsOver]]=0,0,IF(Table2[[#This Row],[ActualWinner]]=Table2[[#This Row],[HomeTeam]], 1, 0))</f>
        <v>0</v>
      </c>
      <c r="AN11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2" s="2" t="str">
        <f>INDEX(Sheet5!$B$2:$AG$33, MATCH(Table2[[#This Row],[AwayTeam]],Sheet5!$A$2:$A$33, 0), MATCH(Table2[[#This Row],[HomeTeam]],Sheet5!$A$2:$A$33, 0))</f>
        <v>0-0-0</v>
      </c>
      <c r="AP1182" s="2" t="str">
        <f>INDEX(Sheet5!$B$2:$AG$33, MATCH(Table2[[#This Row],[HomeTeam]],Sheet5!$A$2:$A$33, 0), MATCH(Table2[[#This Row],[AwayTeam]],Sheet5!$A$2:$A$33, 0))</f>
        <v>0-0-0</v>
      </c>
      <c r="AQ1182" s="2">
        <f>IF(Table2[[#This Row],[GameHasShutOut]], 1, 0)</f>
        <v>0</v>
      </c>
      <c r="AR1182" s="2">
        <f>IF(Table2[[#This Row],[ActualAwayScore]] + Table2[[#This Row],[ActualHomeScore]] &gt;= 10, 1, 0)</f>
        <v>0</v>
      </c>
      <c r="AS1182" s="2">
        <f>IF(ABS(Table2[[#This Row],[ActualAwayScore]]-Table2[[#This Row],[ActualHomeScore]])&gt;=5, 1, 0)</f>
        <v>0</v>
      </c>
      <c r="AT1182" s="2">
        <f>IF(Table2[[#This Row],[ActualAwayScore]] + Table2[[#This Row],[ActualHomeScore]] &lt;= 3, 1, 0)</f>
        <v>1</v>
      </c>
      <c r="AU1182" s="2"/>
      <c r="AV1182" s="2"/>
    </row>
    <row r="1183" spans="1:48" x14ac:dyDescent="0.25">
      <c r="A1183" s="3"/>
      <c r="B1183" s="3">
        <v>46112</v>
      </c>
      <c r="C1183" s="5">
        <v>2025021181</v>
      </c>
      <c r="D1183" s="2" t="s">
        <v>29</v>
      </c>
      <c r="E1183" s="2" t="s">
        <v>13</v>
      </c>
      <c r="F1183" s="2"/>
      <c r="G1183" s="2"/>
      <c r="H1183" s="2" t="str">
        <f t="shared" si="94"/>
        <v>_</v>
      </c>
      <c r="I1183" s="2"/>
      <c r="J1183" s="2"/>
      <c r="K1183" s="2"/>
      <c r="L1183" s="2" t="str">
        <f t="shared" si="95"/>
        <v>_</v>
      </c>
      <c r="M1183" s="2"/>
      <c r="N1183" s="2">
        <f>IF(ISBLANK(Table2[[#This Row],[ActualResult]]), 0, 1)</f>
        <v>0</v>
      </c>
      <c r="O1183" s="2" t="str">
        <f>IF(ISBLANK(Table2[[#This Row],[ActualResult]]), "_", IF(Table2[[#This Row],[ActualWinner]]=Table2[[#This Row],[PredictedWinner]], "Y", "N"))</f>
        <v>_</v>
      </c>
      <c r="P11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3" s="2"/>
      <c r="S1183" s="2" t="str">
        <f t="shared" si="96"/>
        <v>_</v>
      </c>
      <c r="T11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3" s="2">
        <f>IF(Table2[[#This Row],[InterConf]]=1,IF(Table2[[#This Row],[InterDiv]]=0, 1, 0), 0)</f>
        <v>0</v>
      </c>
      <c r="W11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3" s="2"/>
      <c r="Y1183" s="2"/>
      <c r="Z1183" s="145">
        <f>IF(AND(Table2[[#This Row],[GameIsOver]]=1,Table2[[#This Row],[ActualHomeScore]]*Table2[[#This Row],[ActualAwayScore]]=0), 1,0)</f>
        <v>0</v>
      </c>
      <c r="AA11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3" s="2">
        <f>Table2[[#This Row],[ActualAwayScore]]-Table2[[#This Row],[PredictedAwayScore]]</f>
        <v>0</v>
      </c>
      <c r="AG1183" s="2">
        <f>Table2[[#This Row],[ActualHomeScore]]-Table2[[#This Row],[PredictedHomeScore]]</f>
        <v>0</v>
      </c>
      <c r="AH1183" s="2">
        <f t="shared" si="97"/>
        <v>0</v>
      </c>
      <c r="AI1183" s="2">
        <f t="shared" si="98"/>
        <v>0</v>
      </c>
      <c r="AJ1183" s="2"/>
      <c r="AK1183" s="3"/>
      <c r="AL1183" s="2">
        <f>IF(Table2[[#This Row],[GameIsOver]]=0,0,IF(Table2[[#This Row],[ActualWinner]]=Table2[[#This Row],[AwayTeam]], 1, 0))</f>
        <v>0</v>
      </c>
      <c r="AM1183" s="2">
        <f>IF(Table2[[#This Row],[GameIsOver]]=0,0,IF(Table2[[#This Row],[ActualWinner]]=Table2[[#This Row],[HomeTeam]], 1, 0))</f>
        <v>0</v>
      </c>
      <c r="AN11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3" s="2" t="str">
        <f>INDEX(Sheet5!$B$2:$AG$33, MATCH(Table2[[#This Row],[AwayTeam]],Sheet5!$A$2:$A$33, 0), MATCH(Table2[[#This Row],[HomeTeam]],Sheet5!$A$2:$A$33, 0))</f>
        <v>0-1-0</v>
      </c>
      <c r="AP1183" s="2" t="str">
        <f>INDEX(Sheet5!$B$2:$AG$33, MATCH(Table2[[#This Row],[HomeTeam]],Sheet5!$A$2:$A$33, 0), MATCH(Table2[[#This Row],[AwayTeam]],Sheet5!$A$2:$A$33, 0))</f>
        <v>1-0-0</v>
      </c>
      <c r="AQ1183" s="2">
        <f>IF(Table2[[#This Row],[GameHasShutOut]], 1, 0)</f>
        <v>0</v>
      </c>
      <c r="AR1183" s="2">
        <f>IF(Table2[[#This Row],[ActualAwayScore]] + Table2[[#This Row],[ActualHomeScore]] &gt;= 10, 1, 0)</f>
        <v>0</v>
      </c>
      <c r="AS1183" s="2">
        <f>IF(ABS(Table2[[#This Row],[ActualAwayScore]]-Table2[[#This Row],[ActualHomeScore]])&gt;=5, 1, 0)</f>
        <v>0</v>
      </c>
      <c r="AT1183" s="2">
        <f>IF(Table2[[#This Row],[ActualAwayScore]] + Table2[[#This Row],[ActualHomeScore]] &lt;= 3, 1, 0)</f>
        <v>1</v>
      </c>
      <c r="AU1183" s="2"/>
      <c r="AV1183" s="2"/>
    </row>
    <row r="1184" spans="1:48" x14ac:dyDescent="0.25">
      <c r="A1184" s="3"/>
      <c r="B1184" s="3">
        <v>46112</v>
      </c>
      <c r="C1184" s="5">
        <v>2025021182</v>
      </c>
      <c r="D1184" s="2" t="s">
        <v>31</v>
      </c>
      <c r="E1184" s="2" t="s">
        <v>19</v>
      </c>
      <c r="F1184" s="2"/>
      <c r="G1184" s="2"/>
      <c r="H1184" s="2" t="str">
        <f t="shared" si="94"/>
        <v>_</v>
      </c>
      <c r="I1184" s="2"/>
      <c r="J1184" s="2"/>
      <c r="K1184" s="2"/>
      <c r="L1184" s="2" t="str">
        <f t="shared" si="95"/>
        <v>_</v>
      </c>
      <c r="M1184" s="2"/>
      <c r="N1184" s="2">
        <f>IF(ISBLANK(Table2[[#This Row],[ActualResult]]), 0, 1)</f>
        <v>0</v>
      </c>
      <c r="O1184" s="2" t="str">
        <f>IF(ISBLANK(Table2[[#This Row],[ActualResult]]), "_", IF(Table2[[#This Row],[ActualWinner]]=Table2[[#This Row],[PredictedWinner]], "Y", "N"))</f>
        <v>_</v>
      </c>
      <c r="P11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4" s="2"/>
      <c r="S1184" s="2" t="str">
        <f t="shared" si="96"/>
        <v>_</v>
      </c>
      <c r="T11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4" s="2">
        <f>IF(Table2[[#This Row],[InterConf]]=1,IF(Table2[[#This Row],[InterDiv]]=0, 1, 0), 0)</f>
        <v>0</v>
      </c>
      <c r="W11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4" s="2"/>
      <c r="Y1184" s="2"/>
      <c r="Z1184" s="145">
        <f>IF(AND(Table2[[#This Row],[GameIsOver]]=1,Table2[[#This Row],[ActualHomeScore]]*Table2[[#This Row],[ActualAwayScore]]=0), 1,0)</f>
        <v>0</v>
      </c>
      <c r="AA11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4" s="2">
        <f>Table2[[#This Row],[ActualAwayScore]]-Table2[[#This Row],[PredictedAwayScore]]</f>
        <v>0</v>
      </c>
      <c r="AG1184" s="2">
        <f>Table2[[#This Row],[ActualHomeScore]]-Table2[[#This Row],[PredictedHomeScore]]</f>
        <v>0</v>
      </c>
      <c r="AH1184" s="2">
        <f t="shared" si="97"/>
        <v>0</v>
      </c>
      <c r="AI1184" s="2">
        <f t="shared" si="98"/>
        <v>0</v>
      </c>
      <c r="AJ1184" s="2"/>
      <c r="AK1184" s="3"/>
      <c r="AL1184" s="2">
        <f>IF(Table2[[#This Row],[GameIsOver]]=0,0,IF(Table2[[#This Row],[ActualWinner]]=Table2[[#This Row],[AwayTeam]], 1, 0))</f>
        <v>0</v>
      </c>
      <c r="AM1184" s="2">
        <f>IF(Table2[[#This Row],[GameIsOver]]=0,0,IF(Table2[[#This Row],[ActualWinner]]=Table2[[#This Row],[HomeTeam]], 1, 0))</f>
        <v>0</v>
      </c>
      <c r="AN11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4" s="2" t="str">
        <f>INDEX(Sheet5!$B$2:$AG$33, MATCH(Table2[[#This Row],[AwayTeam]],Sheet5!$A$2:$A$33, 0), MATCH(Table2[[#This Row],[HomeTeam]],Sheet5!$A$2:$A$33, 0))</f>
        <v>0-0-0</v>
      </c>
      <c r="AP1184" s="2" t="str">
        <f>INDEX(Sheet5!$B$2:$AG$33, MATCH(Table2[[#This Row],[HomeTeam]],Sheet5!$A$2:$A$33, 0), MATCH(Table2[[#This Row],[AwayTeam]],Sheet5!$A$2:$A$33, 0))</f>
        <v>0-0-0</v>
      </c>
      <c r="AQ1184" s="2">
        <f>IF(Table2[[#This Row],[GameHasShutOut]], 1, 0)</f>
        <v>0</v>
      </c>
      <c r="AR1184" s="2">
        <f>IF(Table2[[#This Row],[ActualAwayScore]] + Table2[[#This Row],[ActualHomeScore]] &gt;= 10, 1, 0)</f>
        <v>0</v>
      </c>
      <c r="AS1184" s="2">
        <f>IF(ABS(Table2[[#This Row],[ActualAwayScore]]-Table2[[#This Row],[ActualHomeScore]])&gt;=5, 1, 0)</f>
        <v>0</v>
      </c>
      <c r="AT1184" s="2">
        <f>IF(Table2[[#This Row],[ActualAwayScore]] + Table2[[#This Row],[ActualHomeScore]] &lt;= 3, 1, 0)</f>
        <v>1</v>
      </c>
      <c r="AU1184" s="2"/>
      <c r="AV1184" s="2"/>
    </row>
    <row r="1185" spans="1:48" x14ac:dyDescent="0.25">
      <c r="A1185" s="3"/>
      <c r="B1185" s="3">
        <v>46112</v>
      </c>
      <c r="C1185" s="5">
        <v>2025021183</v>
      </c>
      <c r="D1185" s="2" t="s">
        <v>30</v>
      </c>
      <c r="E1185" s="2" t="s">
        <v>20</v>
      </c>
      <c r="F1185" s="2"/>
      <c r="G1185" s="2"/>
      <c r="H1185" s="2" t="str">
        <f t="shared" si="94"/>
        <v>_</v>
      </c>
      <c r="I1185" s="2"/>
      <c r="J1185" s="2"/>
      <c r="K1185" s="2"/>
      <c r="L1185" s="2" t="str">
        <f t="shared" si="95"/>
        <v>_</v>
      </c>
      <c r="M1185" s="2"/>
      <c r="N1185" s="2">
        <f>IF(ISBLANK(Table2[[#This Row],[ActualResult]]), 0, 1)</f>
        <v>0</v>
      </c>
      <c r="O1185" s="2" t="str">
        <f>IF(ISBLANK(Table2[[#This Row],[ActualResult]]), "_", IF(Table2[[#This Row],[ActualWinner]]=Table2[[#This Row],[PredictedWinner]], "Y", "N"))</f>
        <v>_</v>
      </c>
      <c r="P11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5" s="2"/>
      <c r="S1185" s="2" t="str">
        <f t="shared" si="96"/>
        <v>_</v>
      </c>
      <c r="T11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5" s="2">
        <f>IF(Table2[[#This Row],[InterConf]]=1,IF(Table2[[#This Row],[InterDiv]]=0, 1, 0), 0)</f>
        <v>1</v>
      </c>
      <c r="W11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5" s="2"/>
      <c r="Y1185" s="2"/>
      <c r="Z1185" s="145">
        <f>IF(AND(Table2[[#This Row],[GameIsOver]]=1,Table2[[#This Row],[ActualHomeScore]]*Table2[[#This Row],[ActualAwayScore]]=0), 1,0)</f>
        <v>0</v>
      </c>
      <c r="AA11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5" s="2">
        <f>Table2[[#This Row],[ActualAwayScore]]-Table2[[#This Row],[PredictedAwayScore]]</f>
        <v>0</v>
      </c>
      <c r="AG1185" s="2">
        <f>Table2[[#This Row],[ActualHomeScore]]-Table2[[#This Row],[PredictedHomeScore]]</f>
        <v>0</v>
      </c>
      <c r="AH1185" s="2">
        <f t="shared" si="97"/>
        <v>0</v>
      </c>
      <c r="AI1185" s="2">
        <f t="shared" si="98"/>
        <v>0</v>
      </c>
      <c r="AJ1185" s="2"/>
      <c r="AK1185" s="3"/>
      <c r="AL1185" s="2">
        <f>IF(Table2[[#This Row],[GameIsOver]]=0,0,IF(Table2[[#This Row],[ActualWinner]]=Table2[[#This Row],[AwayTeam]], 1, 0))</f>
        <v>0</v>
      </c>
      <c r="AM1185" s="2">
        <f>IF(Table2[[#This Row],[GameIsOver]]=0,0,IF(Table2[[#This Row],[ActualWinner]]=Table2[[#This Row],[HomeTeam]], 1, 0))</f>
        <v>0</v>
      </c>
      <c r="AN11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5" s="2" t="str">
        <f>INDEX(Sheet5!$B$2:$AG$33, MATCH(Table2[[#This Row],[AwayTeam]],Sheet5!$A$2:$A$33, 0), MATCH(Table2[[#This Row],[HomeTeam]],Sheet5!$A$2:$A$33, 0))</f>
        <v>0-0-0</v>
      </c>
      <c r="AP1185" s="2" t="str">
        <f>INDEX(Sheet5!$B$2:$AG$33, MATCH(Table2[[#This Row],[HomeTeam]],Sheet5!$A$2:$A$33, 0), MATCH(Table2[[#This Row],[AwayTeam]],Sheet5!$A$2:$A$33, 0))</f>
        <v>0-0-0</v>
      </c>
      <c r="AQ1185" s="2">
        <f>IF(Table2[[#This Row],[GameHasShutOut]], 1, 0)</f>
        <v>0</v>
      </c>
      <c r="AR1185" s="2">
        <f>IF(Table2[[#This Row],[ActualAwayScore]] + Table2[[#This Row],[ActualHomeScore]] &gt;= 10, 1, 0)</f>
        <v>0</v>
      </c>
      <c r="AS1185" s="2">
        <f>IF(ABS(Table2[[#This Row],[ActualAwayScore]]-Table2[[#This Row],[ActualHomeScore]])&gt;=5, 1, 0)</f>
        <v>0</v>
      </c>
      <c r="AT1185" s="2">
        <f>IF(Table2[[#This Row],[ActualAwayScore]] + Table2[[#This Row],[ActualHomeScore]] &lt;= 3, 1, 0)</f>
        <v>1</v>
      </c>
      <c r="AU1185" s="2"/>
      <c r="AV1185" s="2"/>
    </row>
    <row r="1186" spans="1:48" x14ac:dyDescent="0.25">
      <c r="A1186" s="3"/>
      <c r="B1186" s="3">
        <v>46112</v>
      </c>
      <c r="C1186" s="5">
        <v>2025021184</v>
      </c>
      <c r="D1186" s="2" t="s">
        <v>42</v>
      </c>
      <c r="E1186" s="2" t="s">
        <v>43</v>
      </c>
      <c r="F1186" s="2"/>
      <c r="G1186" s="2"/>
      <c r="H1186" s="2" t="str">
        <f t="shared" si="94"/>
        <v>_</v>
      </c>
      <c r="I1186" s="2"/>
      <c r="J1186" s="2"/>
      <c r="K1186" s="2"/>
      <c r="L1186" s="2" t="str">
        <f t="shared" si="95"/>
        <v>_</v>
      </c>
      <c r="M1186" s="2"/>
      <c r="N1186" s="2">
        <f>IF(ISBLANK(Table2[[#This Row],[ActualResult]]), 0, 1)</f>
        <v>0</v>
      </c>
      <c r="O1186" s="2" t="str">
        <f>IF(ISBLANK(Table2[[#This Row],[ActualResult]]), "_", IF(Table2[[#This Row],[ActualWinner]]=Table2[[#This Row],[PredictedWinner]], "Y", "N"))</f>
        <v>_</v>
      </c>
      <c r="P11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6" s="2"/>
      <c r="S1186" s="2" t="str">
        <f t="shared" si="96"/>
        <v>_</v>
      </c>
      <c r="T11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6" s="2">
        <f>IF(Table2[[#This Row],[InterConf]]=1,IF(Table2[[#This Row],[InterDiv]]=0, 1, 0), 0)</f>
        <v>0</v>
      </c>
      <c r="W11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6" s="2"/>
      <c r="Y1186" s="2"/>
      <c r="Z1186" s="145">
        <f>IF(AND(Table2[[#This Row],[GameIsOver]]=1,Table2[[#This Row],[ActualHomeScore]]*Table2[[#This Row],[ActualAwayScore]]=0), 1,0)</f>
        <v>0</v>
      </c>
      <c r="AA11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6" s="2">
        <f>Table2[[#This Row],[ActualAwayScore]]-Table2[[#This Row],[PredictedAwayScore]]</f>
        <v>0</v>
      </c>
      <c r="AG1186" s="2">
        <f>Table2[[#This Row],[ActualHomeScore]]-Table2[[#This Row],[PredictedHomeScore]]</f>
        <v>0</v>
      </c>
      <c r="AH1186" s="2">
        <f t="shared" si="97"/>
        <v>0</v>
      </c>
      <c r="AI1186" s="2">
        <f t="shared" si="98"/>
        <v>0</v>
      </c>
      <c r="AJ1186" s="2"/>
      <c r="AK1186" s="3"/>
      <c r="AL1186" s="2">
        <f>IF(Table2[[#This Row],[GameIsOver]]=0,0,IF(Table2[[#This Row],[ActualWinner]]=Table2[[#This Row],[AwayTeam]], 1, 0))</f>
        <v>0</v>
      </c>
      <c r="AM1186" s="2">
        <f>IF(Table2[[#This Row],[GameIsOver]]=0,0,IF(Table2[[#This Row],[ActualWinner]]=Table2[[#This Row],[HomeTeam]], 1, 0))</f>
        <v>0</v>
      </c>
      <c r="AN11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6" s="2" t="str">
        <f>INDEX(Sheet5!$B$2:$AG$33, MATCH(Table2[[#This Row],[AwayTeam]],Sheet5!$A$2:$A$33, 0), MATCH(Table2[[#This Row],[HomeTeam]],Sheet5!$A$2:$A$33, 0))</f>
        <v>0-0-0</v>
      </c>
      <c r="AP1186" s="2" t="str">
        <f>INDEX(Sheet5!$B$2:$AG$33, MATCH(Table2[[#This Row],[HomeTeam]],Sheet5!$A$2:$A$33, 0), MATCH(Table2[[#This Row],[AwayTeam]],Sheet5!$A$2:$A$33, 0))</f>
        <v>0-0-0</v>
      </c>
      <c r="AQ1186" s="2">
        <f>IF(Table2[[#This Row],[GameHasShutOut]], 1, 0)</f>
        <v>0</v>
      </c>
      <c r="AR1186" s="2">
        <f>IF(Table2[[#This Row],[ActualAwayScore]] + Table2[[#This Row],[ActualHomeScore]] &gt;= 10, 1, 0)</f>
        <v>0</v>
      </c>
      <c r="AS1186" s="2">
        <f>IF(ABS(Table2[[#This Row],[ActualAwayScore]]-Table2[[#This Row],[ActualHomeScore]])&gt;=5, 1, 0)</f>
        <v>0</v>
      </c>
      <c r="AT1186" s="2">
        <f>IF(Table2[[#This Row],[ActualAwayScore]] + Table2[[#This Row],[ActualHomeScore]] &lt;= 3, 1, 0)</f>
        <v>1</v>
      </c>
      <c r="AU1186" s="2"/>
      <c r="AV1186" s="2"/>
    </row>
    <row r="1187" spans="1:48" x14ac:dyDescent="0.25">
      <c r="A1187" s="3"/>
      <c r="B1187" s="3">
        <v>46112</v>
      </c>
      <c r="C1187" s="5">
        <v>2025021185</v>
      </c>
      <c r="D1187" s="2" t="s">
        <v>41</v>
      </c>
      <c r="E1187" s="2" t="s">
        <v>35</v>
      </c>
      <c r="F1187" s="2"/>
      <c r="G1187" s="2"/>
      <c r="H1187" s="2" t="str">
        <f t="shared" si="94"/>
        <v>_</v>
      </c>
      <c r="I1187" s="2"/>
      <c r="J1187" s="2"/>
      <c r="K1187" s="2"/>
      <c r="L1187" s="2" t="str">
        <f t="shared" si="95"/>
        <v>_</v>
      </c>
      <c r="M1187" s="2"/>
      <c r="N1187" s="2">
        <f>IF(ISBLANK(Table2[[#This Row],[ActualResult]]), 0, 1)</f>
        <v>0</v>
      </c>
      <c r="O1187" s="2" t="str">
        <f>IF(ISBLANK(Table2[[#This Row],[ActualResult]]), "_", IF(Table2[[#This Row],[ActualWinner]]=Table2[[#This Row],[PredictedWinner]], "Y", "N"))</f>
        <v>_</v>
      </c>
      <c r="P11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7" s="2"/>
      <c r="S1187" s="2" t="str">
        <f t="shared" si="96"/>
        <v>_</v>
      </c>
      <c r="T11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7" s="2">
        <f>IF(Table2[[#This Row],[InterConf]]=1,IF(Table2[[#This Row],[InterDiv]]=0, 1, 0), 0)</f>
        <v>0</v>
      </c>
      <c r="W11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7" s="2"/>
      <c r="Y1187" s="2"/>
      <c r="Z1187" s="145">
        <f>IF(AND(Table2[[#This Row],[GameIsOver]]=1,Table2[[#This Row],[ActualHomeScore]]*Table2[[#This Row],[ActualAwayScore]]=0), 1,0)</f>
        <v>0</v>
      </c>
      <c r="AA11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7" s="2">
        <f>Table2[[#This Row],[ActualAwayScore]]-Table2[[#This Row],[PredictedAwayScore]]</f>
        <v>0</v>
      </c>
      <c r="AG1187" s="2">
        <f>Table2[[#This Row],[ActualHomeScore]]-Table2[[#This Row],[PredictedHomeScore]]</f>
        <v>0</v>
      </c>
      <c r="AH1187" s="2">
        <f t="shared" si="97"/>
        <v>0</v>
      </c>
      <c r="AI1187" s="2">
        <f t="shared" si="98"/>
        <v>0</v>
      </c>
      <c r="AJ1187" s="2"/>
      <c r="AK1187" s="3"/>
      <c r="AL1187" s="2">
        <f>IF(Table2[[#This Row],[GameIsOver]]=0,0,IF(Table2[[#This Row],[ActualWinner]]=Table2[[#This Row],[AwayTeam]], 1, 0))</f>
        <v>0</v>
      </c>
      <c r="AM1187" s="2">
        <f>IF(Table2[[#This Row],[GameIsOver]]=0,0,IF(Table2[[#This Row],[ActualWinner]]=Table2[[#This Row],[HomeTeam]], 1, 0))</f>
        <v>0</v>
      </c>
      <c r="AN11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7" s="2" t="str">
        <f>INDEX(Sheet5!$B$2:$AG$33, MATCH(Table2[[#This Row],[AwayTeam]],Sheet5!$A$2:$A$33, 0), MATCH(Table2[[#This Row],[HomeTeam]],Sheet5!$A$2:$A$33, 0))</f>
        <v>0-0-0</v>
      </c>
      <c r="AP1187" s="2" t="str">
        <f>INDEX(Sheet5!$B$2:$AG$33, MATCH(Table2[[#This Row],[HomeTeam]],Sheet5!$A$2:$A$33, 0), MATCH(Table2[[#This Row],[AwayTeam]],Sheet5!$A$2:$A$33, 0))</f>
        <v>0-0-0</v>
      </c>
      <c r="AQ1187" s="2">
        <f>IF(Table2[[#This Row],[GameHasShutOut]], 1, 0)</f>
        <v>0</v>
      </c>
      <c r="AR1187" s="2">
        <f>IF(Table2[[#This Row],[ActualAwayScore]] + Table2[[#This Row],[ActualHomeScore]] &gt;= 10, 1, 0)</f>
        <v>0</v>
      </c>
      <c r="AS1187" s="2">
        <f>IF(ABS(Table2[[#This Row],[ActualAwayScore]]-Table2[[#This Row],[ActualHomeScore]])&gt;=5, 1, 0)</f>
        <v>0</v>
      </c>
      <c r="AT1187" s="2">
        <f>IF(Table2[[#This Row],[ActualAwayScore]] + Table2[[#This Row],[ActualHomeScore]] &lt;= 3, 1, 0)</f>
        <v>1</v>
      </c>
      <c r="AU1187" s="2"/>
      <c r="AV1187" s="2"/>
    </row>
    <row r="1188" spans="1:48" x14ac:dyDescent="0.25">
      <c r="A1188" s="3"/>
      <c r="B1188" s="3">
        <v>46113</v>
      </c>
      <c r="C1188" s="5">
        <v>2025021186</v>
      </c>
      <c r="D1188" s="2" t="s">
        <v>21</v>
      </c>
      <c r="E1188" s="2" t="s">
        <v>16</v>
      </c>
      <c r="F1188" s="2"/>
      <c r="G1188" s="2"/>
      <c r="H1188" s="2" t="str">
        <f t="shared" si="94"/>
        <v>_</v>
      </c>
      <c r="I1188" s="2"/>
      <c r="J1188" s="2"/>
      <c r="K1188" s="2"/>
      <c r="L1188" s="2" t="str">
        <f t="shared" si="95"/>
        <v>_</v>
      </c>
      <c r="M1188" s="2"/>
      <c r="N1188" s="2">
        <f>IF(ISBLANK(Table2[[#This Row],[ActualResult]]), 0, 1)</f>
        <v>0</v>
      </c>
      <c r="O1188" s="2" t="str">
        <f>IF(ISBLANK(Table2[[#This Row],[ActualResult]]), "_", IF(Table2[[#This Row],[ActualWinner]]=Table2[[#This Row],[PredictedWinner]], "Y", "N"))</f>
        <v>_</v>
      </c>
      <c r="P11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8" s="2"/>
      <c r="S1188" s="2" t="str">
        <f t="shared" si="96"/>
        <v>_</v>
      </c>
      <c r="T11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8" s="2">
        <f>IF(Table2[[#This Row],[InterConf]]=1,IF(Table2[[#This Row],[InterDiv]]=0, 1, 0), 0)</f>
        <v>0</v>
      </c>
      <c r="W11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8" s="2"/>
      <c r="Y1188" s="2"/>
      <c r="Z1188" s="145">
        <f>IF(AND(Table2[[#This Row],[GameIsOver]]=1,Table2[[#This Row],[ActualHomeScore]]*Table2[[#This Row],[ActualAwayScore]]=0), 1,0)</f>
        <v>0</v>
      </c>
      <c r="AA11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88" s="2">
        <f>Table2[[#This Row],[ActualAwayScore]]-Table2[[#This Row],[PredictedAwayScore]]</f>
        <v>0</v>
      </c>
      <c r="AG1188" s="2">
        <f>Table2[[#This Row],[ActualHomeScore]]-Table2[[#This Row],[PredictedHomeScore]]</f>
        <v>0</v>
      </c>
      <c r="AH1188" s="2">
        <f t="shared" si="97"/>
        <v>0</v>
      </c>
      <c r="AI1188" s="2">
        <f t="shared" si="98"/>
        <v>0</v>
      </c>
      <c r="AJ1188" s="2"/>
      <c r="AK1188" s="3"/>
      <c r="AL1188" s="2">
        <f>IF(Table2[[#This Row],[GameIsOver]]=0,0,IF(Table2[[#This Row],[ActualWinner]]=Table2[[#This Row],[AwayTeam]], 1, 0))</f>
        <v>0</v>
      </c>
      <c r="AM1188" s="2">
        <f>IF(Table2[[#This Row],[GameIsOver]]=0,0,IF(Table2[[#This Row],[ActualWinner]]=Table2[[#This Row],[HomeTeam]], 1, 0))</f>
        <v>0</v>
      </c>
      <c r="AN11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8" s="2" t="str">
        <f>INDEX(Sheet5!$B$2:$AG$33, MATCH(Table2[[#This Row],[AwayTeam]],Sheet5!$A$2:$A$33, 0), MATCH(Table2[[#This Row],[HomeTeam]],Sheet5!$A$2:$A$33, 0))</f>
        <v>0-0-0</v>
      </c>
      <c r="AP1188" s="2" t="str">
        <f>INDEX(Sheet5!$B$2:$AG$33, MATCH(Table2[[#This Row],[HomeTeam]],Sheet5!$A$2:$A$33, 0), MATCH(Table2[[#This Row],[AwayTeam]],Sheet5!$A$2:$A$33, 0))</f>
        <v>0-0-0</v>
      </c>
      <c r="AQ1188" s="2">
        <f>IF(Table2[[#This Row],[GameHasShutOut]], 1, 0)</f>
        <v>0</v>
      </c>
      <c r="AR1188" s="2">
        <f>IF(Table2[[#This Row],[ActualAwayScore]] + Table2[[#This Row],[ActualHomeScore]] &gt;= 10, 1, 0)</f>
        <v>0</v>
      </c>
      <c r="AS1188" s="2">
        <f>IF(ABS(Table2[[#This Row],[ActualAwayScore]]-Table2[[#This Row],[ActualHomeScore]])&gt;=5, 1, 0)</f>
        <v>0</v>
      </c>
      <c r="AT1188" s="2">
        <f>IF(Table2[[#This Row],[ActualAwayScore]] + Table2[[#This Row],[ActualHomeScore]] &lt;= 3, 1, 0)</f>
        <v>1</v>
      </c>
      <c r="AU1188" s="2"/>
      <c r="AV1188" s="2"/>
    </row>
    <row r="1189" spans="1:48" x14ac:dyDescent="0.25">
      <c r="A1189" s="3"/>
      <c r="B1189" s="3">
        <v>46113</v>
      </c>
      <c r="C1189" s="5">
        <v>2025021187</v>
      </c>
      <c r="D1189" s="2" t="s">
        <v>11</v>
      </c>
      <c r="E1189" s="2" t="s">
        <v>22</v>
      </c>
      <c r="F1189" s="2"/>
      <c r="G1189" s="2"/>
      <c r="H1189" s="2" t="str">
        <f t="shared" si="94"/>
        <v>_</v>
      </c>
      <c r="I1189" s="2"/>
      <c r="J1189" s="2"/>
      <c r="K1189" s="2"/>
      <c r="L1189" s="2" t="str">
        <f t="shared" si="95"/>
        <v>_</v>
      </c>
      <c r="M1189" s="2"/>
      <c r="N1189" s="2">
        <f>IF(ISBLANK(Table2[[#This Row],[ActualResult]]), 0, 1)</f>
        <v>0</v>
      </c>
      <c r="O1189" s="2" t="str">
        <f>IF(ISBLANK(Table2[[#This Row],[ActualResult]]), "_", IF(Table2[[#This Row],[ActualWinner]]=Table2[[#This Row],[PredictedWinner]], "Y", "N"))</f>
        <v>_</v>
      </c>
      <c r="P11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9" s="2"/>
      <c r="S1189" s="2" t="str">
        <f t="shared" si="96"/>
        <v>_</v>
      </c>
      <c r="T11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9" s="2">
        <f>IF(Table2[[#This Row],[InterConf]]=1,IF(Table2[[#This Row],[InterDiv]]=0, 1, 0), 0)</f>
        <v>0</v>
      </c>
      <c r="W11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9" s="2"/>
      <c r="Y1189" s="2"/>
      <c r="Z1189" s="145">
        <f>IF(AND(Table2[[#This Row],[GameIsOver]]=1,Table2[[#This Row],[ActualHomeScore]]*Table2[[#This Row],[ActualAwayScore]]=0), 1,0)</f>
        <v>0</v>
      </c>
      <c r="AA11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89" s="2">
        <f>Table2[[#This Row],[ActualAwayScore]]-Table2[[#This Row],[PredictedAwayScore]]</f>
        <v>0</v>
      </c>
      <c r="AG1189" s="2">
        <f>Table2[[#This Row],[ActualHomeScore]]-Table2[[#This Row],[PredictedHomeScore]]</f>
        <v>0</v>
      </c>
      <c r="AH1189" s="2">
        <f t="shared" si="97"/>
        <v>0</v>
      </c>
      <c r="AI1189" s="2">
        <f t="shared" si="98"/>
        <v>0</v>
      </c>
      <c r="AJ1189" s="2"/>
      <c r="AK1189" s="3"/>
      <c r="AL1189" s="2">
        <f>IF(Table2[[#This Row],[GameIsOver]]=0,0,IF(Table2[[#This Row],[ActualWinner]]=Table2[[#This Row],[AwayTeam]], 1, 0))</f>
        <v>0</v>
      </c>
      <c r="AM1189" s="2">
        <f>IF(Table2[[#This Row],[GameIsOver]]=0,0,IF(Table2[[#This Row],[ActualWinner]]=Table2[[#This Row],[HomeTeam]], 1, 0))</f>
        <v>0</v>
      </c>
      <c r="AN11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9" s="2" t="str">
        <f>INDEX(Sheet5!$B$2:$AG$33, MATCH(Table2[[#This Row],[AwayTeam]],Sheet5!$A$2:$A$33, 0), MATCH(Table2[[#This Row],[HomeTeam]],Sheet5!$A$2:$A$33, 0))</f>
        <v>0-0-0</v>
      </c>
      <c r="AP1189" s="2" t="str">
        <f>INDEX(Sheet5!$B$2:$AG$33, MATCH(Table2[[#This Row],[HomeTeam]],Sheet5!$A$2:$A$33, 0), MATCH(Table2[[#This Row],[AwayTeam]],Sheet5!$A$2:$A$33, 0))</f>
        <v>0-0-0</v>
      </c>
      <c r="AQ1189" s="2">
        <f>IF(Table2[[#This Row],[GameHasShutOut]], 1, 0)</f>
        <v>0</v>
      </c>
      <c r="AR1189" s="2">
        <f>IF(Table2[[#This Row],[ActualAwayScore]] + Table2[[#This Row],[ActualHomeScore]] &gt;= 10, 1, 0)</f>
        <v>0</v>
      </c>
      <c r="AS1189" s="2">
        <f>IF(ABS(Table2[[#This Row],[ActualAwayScore]]-Table2[[#This Row],[ActualHomeScore]])&gt;=5, 1, 0)</f>
        <v>0</v>
      </c>
      <c r="AT1189" s="2">
        <f>IF(Table2[[#This Row],[ActualAwayScore]] + Table2[[#This Row],[ActualHomeScore]] &lt;= 3, 1, 0)</f>
        <v>1</v>
      </c>
      <c r="AU1189" s="2"/>
      <c r="AV1189" s="2"/>
    </row>
    <row r="1190" spans="1:48" x14ac:dyDescent="0.25">
      <c r="A1190" s="3"/>
      <c r="B1190" s="3">
        <v>46114</v>
      </c>
      <c r="C1190" s="5">
        <v>2025021188</v>
      </c>
      <c r="D1190" s="2" t="s">
        <v>24</v>
      </c>
      <c r="E1190" s="2" t="s">
        <v>25</v>
      </c>
      <c r="F1190" s="2"/>
      <c r="G1190" s="2"/>
      <c r="H1190" s="2" t="str">
        <f t="shared" si="94"/>
        <v>_</v>
      </c>
      <c r="I1190" s="2"/>
      <c r="J1190" s="2"/>
      <c r="K1190" s="2"/>
      <c r="L1190" s="2" t="str">
        <f t="shared" si="95"/>
        <v>_</v>
      </c>
      <c r="M1190" s="2"/>
      <c r="N1190" s="2">
        <f>IF(ISBLANK(Table2[[#This Row],[ActualResult]]), 0, 1)</f>
        <v>0</v>
      </c>
      <c r="O1190" s="2" t="str">
        <f>IF(ISBLANK(Table2[[#This Row],[ActualResult]]), "_", IF(Table2[[#This Row],[ActualWinner]]=Table2[[#This Row],[PredictedWinner]], "Y", "N"))</f>
        <v>_</v>
      </c>
      <c r="P11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0" s="2"/>
      <c r="S1190" s="2" t="str">
        <f t="shared" si="96"/>
        <v>_</v>
      </c>
      <c r="T11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0" s="2">
        <f>IF(Table2[[#This Row],[InterConf]]=1,IF(Table2[[#This Row],[InterDiv]]=0, 1, 0), 0)</f>
        <v>1</v>
      </c>
      <c r="W11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0" s="2"/>
      <c r="Y1190" s="2"/>
      <c r="Z1190" s="145">
        <f>IF(AND(Table2[[#This Row],[GameIsOver]]=1,Table2[[#This Row],[ActualHomeScore]]*Table2[[#This Row],[ActualAwayScore]]=0), 1,0)</f>
        <v>0</v>
      </c>
      <c r="AA11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0" s="2">
        <f>Table2[[#This Row],[ActualAwayScore]]-Table2[[#This Row],[PredictedAwayScore]]</f>
        <v>0</v>
      </c>
      <c r="AG1190" s="2">
        <f>Table2[[#This Row],[ActualHomeScore]]-Table2[[#This Row],[PredictedHomeScore]]</f>
        <v>0</v>
      </c>
      <c r="AH1190" s="2">
        <f t="shared" si="97"/>
        <v>0</v>
      </c>
      <c r="AI1190" s="2">
        <f t="shared" si="98"/>
        <v>0</v>
      </c>
      <c r="AJ1190" s="2"/>
      <c r="AK1190" s="3"/>
      <c r="AL1190" s="2">
        <f>IF(Table2[[#This Row],[GameIsOver]]=0,0,IF(Table2[[#This Row],[ActualWinner]]=Table2[[#This Row],[AwayTeam]], 1, 0))</f>
        <v>0</v>
      </c>
      <c r="AM1190" s="2">
        <f>IF(Table2[[#This Row],[GameIsOver]]=0,0,IF(Table2[[#This Row],[ActualWinner]]=Table2[[#This Row],[HomeTeam]], 1, 0))</f>
        <v>0</v>
      </c>
      <c r="AN11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0" s="2" t="str">
        <f>INDEX(Sheet5!$B$2:$AG$33, MATCH(Table2[[#This Row],[AwayTeam]],Sheet5!$A$2:$A$33, 0), MATCH(Table2[[#This Row],[HomeTeam]],Sheet5!$A$2:$A$33, 0))</f>
        <v>0-0-0</v>
      </c>
      <c r="AP1190" s="2" t="str">
        <f>INDEX(Sheet5!$B$2:$AG$33, MATCH(Table2[[#This Row],[HomeTeam]],Sheet5!$A$2:$A$33, 0), MATCH(Table2[[#This Row],[AwayTeam]],Sheet5!$A$2:$A$33, 0))</f>
        <v>0-0-0</v>
      </c>
      <c r="AQ1190" s="2">
        <f>IF(Table2[[#This Row],[GameHasShutOut]], 1, 0)</f>
        <v>0</v>
      </c>
      <c r="AR1190" s="2">
        <f>IF(Table2[[#This Row],[ActualAwayScore]] + Table2[[#This Row],[ActualHomeScore]] &gt;= 10, 1, 0)</f>
        <v>0</v>
      </c>
      <c r="AS1190" s="2">
        <f>IF(ABS(Table2[[#This Row],[ActualAwayScore]]-Table2[[#This Row],[ActualHomeScore]])&gt;=5, 1, 0)</f>
        <v>0</v>
      </c>
      <c r="AT1190" s="2">
        <f>IF(Table2[[#This Row],[ActualAwayScore]] + Table2[[#This Row],[ActualHomeScore]] &lt;= 3, 1, 0)</f>
        <v>1</v>
      </c>
      <c r="AU1190" s="2"/>
      <c r="AV1190" s="2"/>
    </row>
    <row r="1191" spans="1:48" x14ac:dyDescent="0.25">
      <c r="A1191" s="3"/>
      <c r="B1191" s="3">
        <v>46114</v>
      </c>
      <c r="C1191" s="5">
        <v>2025021189</v>
      </c>
      <c r="D1191" s="2" t="s">
        <v>12</v>
      </c>
      <c r="E1191" s="2" t="s">
        <v>27</v>
      </c>
      <c r="F1191" s="2"/>
      <c r="G1191" s="2"/>
      <c r="H1191" s="2" t="str">
        <f t="shared" si="94"/>
        <v>_</v>
      </c>
      <c r="I1191" s="2"/>
      <c r="J1191" s="2"/>
      <c r="K1191" s="2"/>
      <c r="L1191" s="2" t="str">
        <f t="shared" si="95"/>
        <v>_</v>
      </c>
      <c r="M1191" s="2"/>
      <c r="N1191" s="2">
        <f>IF(ISBLANK(Table2[[#This Row],[ActualResult]]), 0, 1)</f>
        <v>0</v>
      </c>
      <c r="O1191" s="2" t="str">
        <f>IF(ISBLANK(Table2[[#This Row],[ActualResult]]), "_", IF(Table2[[#This Row],[ActualWinner]]=Table2[[#This Row],[PredictedWinner]], "Y", "N"))</f>
        <v>_</v>
      </c>
      <c r="P11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1" s="2"/>
      <c r="S1191" s="2" t="str">
        <f t="shared" si="96"/>
        <v>_</v>
      </c>
      <c r="T11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1" s="2">
        <f>IF(Table2[[#This Row],[InterConf]]=1,IF(Table2[[#This Row],[InterDiv]]=0, 1, 0), 0)</f>
        <v>1</v>
      </c>
      <c r="W11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1" s="2"/>
      <c r="Y1191" s="2"/>
      <c r="Z1191" s="145">
        <f>IF(AND(Table2[[#This Row],[GameIsOver]]=1,Table2[[#This Row],[ActualHomeScore]]*Table2[[#This Row],[ActualAwayScore]]=0), 1,0)</f>
        <v>0</v>
      </c>
      <c r="AA11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1" s="2">
        <f>Table2[[#This Row],[ActualAwayScore]]-Table2[[#This Row],[PredictedAwayScore]]</f>
        <v>0</v>
      </c>
      <c r="AG1191" s="2">
        <f>Table2[[#This Row],[ActualHomeScore]]-Table2[[#This Row],[PredictedHomeScore]]</f>
        <v>0</v>
      </c>
      <c r="AH1191" s="2">
        <f t="shared" si="97"/>
        <v>0</v>
      </c>
      <c r="AI1191" s="2">
        <f t="shared" si="98"/>
        <v>0</v>
      </c>
      <c r="AJ1191" s="2"/>
      <c r="AK1191" s="3"/>
      <c r="AL1191" s="2">
        <f>IF(Table2[[#This Row],[GameIsOver]]=0,0,IF(Table2[[#This Row],[ActualWinner]]=Table2[[#This Row],[AwayTeam]], 1, 0))</f>
        <v>0</v>
      </c>
      <c r="AM1191" s="2">
        <f>IF(Table2[[#This Row],[GameIsOver]]=0,0,IF(Table2[[#This Row],[ActualWinner]]=Table2[[#This Row],[HomeTeam]], 1, 0))</f>
        <v>0</v>
      </c>
      <c r="AN1191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91" s="2" t="str">
        <f>INDEX(Sheet5!$B$2:$AG$33, MATCH(Table2[[#This Row],[AwayTeam]],Sheet5!$A$2:$A$33, 0), MATCH(Table2[[#This Row],[HomeTeam]],Sheet5!$A$2:$A$33, 0))</f>
        <v>0-0-1</v>
      </c>
      <c r="AP1191" s="2" t="str">
        <f>INDEX(Sheet5!$B$2:$AG$33, MATCH(Table2[[#This Row],[HomeTeam]],Sheet5!$A$2:$A$33, 0), MATCH(Table2[[#This Row],[AwayTeam]],Sheet5!$A$2:$A$33, 0))</f>
        <v>1-0-0</v>
      </c>
      <c r="AQ1191" s="2">
        <f>IF(Table2[[#This Row],[GameHasShutOut]], 1, 0)</f>
        <v>0</v>
      </c>
      <c r="AR1191" s="2">
        <f>IF(Table2[[#This Row],[ActualAwayScore]] + Table2[[#This Row],[ActualHomeScore]] &gt;= 10, 1, 0)</f>
        <v>0</v>
      </c>
      <c r="AS1191" s="2">
        <f>IF(ABS(Table2[[#This Row],[ActualAwayScore]]-Table2[[#This Row],[ActualHomeScore]])&gt;=5, 1, 0)</f>
        <v>0</v>
      </c>
      <c r="AT1191" s="2">
        <f>IF(Table2[[#This Row],[ActualAwayScore]] + Table2[[#This Row],[ActualHomeScore]] &lt;= 3, 1, 0)</f>
        <v>1</v>
      </c>
      <c r="AU1191" s="2"/>
      <c r="AV1191" s="2"/>
    </row>
    <row r="1192" spans="1:48" x14ac:dyDescent="0.25">
      <c r="A1192" s="3"/>
      <c r="B1192" s="3">
        <v>46114</v>
      </c>
      <c r="C1192" s="5">
        <v>2025021190</v>
      </c>
      <c r="D1192" s="2" t="s">
        <v>44</v>
      </c>
      <c r="E1192" s="2" t="s">
        <v>37</v>
      </c>
      <c r="F1192" s="2"/>
      <c r="G1192" s="2"/>
      <c r="H1192" s="2" t="str">
        <f t="shared" si="94"/>
        <v>_</v>
      </c>
      <c r="I1192" s="2"/>
      <c r="J1192" s="2"/>
      <c r="K1192" s="2"/>
      <c r="L1192" s="2" t="str">
        <f t="shared" si="95"/>
        <v>_</v>
      </c>
      <c r="M1192" s="2"/>
      <c r="N1192" s="2">
        <f>IF(ISBLANK(Table2[[#This Row],[ActualResult]]), 0, 1)</f>
        <v>0</v>
      </c>
      <c r="O1192" s="2" t="str">
        <f>IF(ISBLANK(Table2[[#This Row],[ActualResult]]), "_", IF(Table2[[#This Row],[ActualWinner]]=Table2[[#This Row],[PredictedWinner]], "Y", "N"))</f>
        <v>_</v>
      </c>
      <c r="P11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2" s="2"/>
      <c r="S1192" s="2" t="str">
        <f t="shared" si="96"/>
        <v>_</v>
      </c>
      <c r="T11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2" s="2">
        <f>IF(Table2[[#This Row],[InterConf]]=1,IF(Table2[[#This Row],[InterDiv]]=0, 1, 0), 0)</f>
        <v>0</v>
      </c>
      <c r="W11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2" s="2"/>
      <c r="Y1192" s="2"/>
      <c r="Z1192" s="145">
        <f>IF(AND(Table2[[#This Row],[GameIsOver]]=1,Table2[[#This Row],[ActualHomeScore]]*Table2[[#This Row],[ActualAwayScore]]=0), 1,0)</f>
        <v>0</v>
      </c>
      <c r="AA11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2" s="2">
        <f>Table2[[#This Row],[ActualAwayScore]]-Table2[[#This Row],[PredictedAwayScore]]</f>
        <v>0</v>
      </c>
      <c r="AG1192" s="2">
        <f>Table2[[#This Row],[ActualHomeScore]]-Table2[[#This Row],[PredictedHomeScore]]</f>
        <v>0</v>
      </c>
      <c r="AH1192" s="2">
        <f t="shared" si="97"/>
        <v>0</v>
      </c>
      <c r="AI1192" s="2">
        <f t="shared" si="98"/>
        <v>0</v>
      </c>
      <c r="AJ1192" s="2"/>
      <c r="AK1192" s="3"/>
      <c r="AL1192" s="2">
        <f>IF(Table2[[#This Row],[GameIsOver]]=0,0,IF(Table2[[#This Row],[ActualWinner]]=Table2[[#This Row],[AwayTeam]], 1, 0))</f>
        <v>0</v>
      </c>
      <c r="AM1192" s="2">
        <f>IF(Table2[[#This Row],[GameIsOver]]=0,0,IF(Table2[[#This Row],[ActualWinner]]=Table2[[#This Row],[HomeTeam]], 1, 0))</f>
        <v>0</v>
      </c>
      <c r="AN11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2" s="2" t="str">
        <f>INDEX(Sheet5!$B$2:$AG$33, MATCH(Table2[[#This Row],[AwayTeam]],Sheet5!$A$2:$A$33, 0), MATCH(Table2[[#This Row],[HomeTeam]],Sheet5!$A$2:$A$33, 0))</f>
        <v>1-0-0</v>
      </c>
      <c r="AP1192" s="2" t="str">
        <f>INDEX(Sheet5!$B$2:$AG$33, MATCH(Table2[[#This Row],[HomeTeam]],Sheet5!$A$2:$A$33, 0), MATCH(Table2[[#This Row],[AwayTeam]],Sheet5!$A$2:$A$33, 0))</f>
        <v>0-0-1</v>
      </c>
      <c r="AQ1192" s="2">
        <f>IF(Table2[[#This Row],[GameHasShutOut]], 1, 0)</f>
        <v>0</v>
      </c>
      <c r="AR1192" s="2">
        <f>IF(Table2[[#This Row],[ActualAwayScore]] + Table2[[#This Row],[ActualHomeScore]] &gt;= 10, 1, 0)</f>
        <v>0</v>
      </c>
      <c r="AS1192" s="2">
        <f>IF(ABS(Table2[[#This Row],[ActualAwayScore]]-Table2[[#This Row],[ActualHomeScore]])&gt;=5, 1, 0)</f>
        <v>0</v>
      </c>
      <c r="AT1192" s="2">
        <f>IF(Table2[[#This Row],[ActualAwayScore]] + Table2[[#This Row],[ActualHomeScore]] &lt;= 3, 1, 0)</f>
        <v>1</v>
      </c>
      <c r="AU1192" s="2"/>
      <c r="AV1192" s="2"/>
    </row>
    <row r="1193" spans="1:48" x14ac:dyDescent="0.25">
      <c r="A1193" s="3"/>
      <c r="B1193" s="3">
        <v>46114</v>
      </c>
      <c r="C1193" s="5">
        <v>2025021191</v>
      </c>
      <c r="D1193" s="2" t="s">
        <v>28</v>
      </c>
      <c r="E1193" s="2" t="s">
        <v>29</v>
      </c>
      <c r="F1193" s="2"/>
      <c r="G1193" s="2"/>
      <c r="H1193" s="2" t="str">
        <f t="shared" si="94"/>
        <v>_</v>
      </c>
      <c r="I1193" s="2"/>
      <c r="J1193" s="2"/>
      <c r="K1193" s="2"/>
      <c r="L1193" s="2" t="str">
        <f t="shared" si="95"/>
        <v>_</v>
      </c>
      <c r="M1193" s="2"/>
      <c r="N1193" s="2">
        <f>IF(ISBLANK(Table2[[#This Row],[ActualResult]]), 0, 1)</f>
        <v>0</v>
      </c>
      <c r="O1193" s="2" t="str">
        <f>IF(ISBLANK(Table2[[#This Row],[ActualResult]]), "_", IF(Table2[[#This Row],[ActualWinner]]=Table2[[#This Row],[PredictedWinner]], "Y", "N"))</f>
        <v>_</v>
      </c>
      <c r="P11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3" s="2"/>
      <c r="S1193" s="2" t="str">
        <f t="shared" si="96"/>
        <v>_</v>
      </c>
      <c r="T11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3" s="2">
        <f>IF(Table2[[#This Row],[InterConf]]=1,IF(Table2[[#This Row],[InterDiv]]=0, 1, 0), 0)</f>
        <v>0</v>
      </c>
      <c r="W11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3" s="2"/>
      <c r="Y1193" s="2"/>
      <c r="Z1193" s="145">
        <f>IF(AND(Table2[[#This Row],[GameIsOver]]=1,Table2[[#This Row],[ActualHomeScore]]*Table2[[#This Row],[ActualAwayScore]]=0), 1,0)</f>
        <v>0</v>
      </c>
      <c r="AA11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3" s="2">
        <f>Table2[[#This Row],[ActualAwayScore]]-Table2[[#This Row],[PredictedAwayScore]]</f>
        <v>0</v>
      </c>
      <c r="AG1193" s="2">
        <f>Table2[[#This Row],[ActualHomeScore]]-Table2[[#This Row],[PredictedHomeScore]]</f>
        <v>0</v>
      </c>
      <c r="AH1193" s="2">
        <f t="shared" si="97"/>
        <v>0</v>
      </c>
      <c r="AI1193" s="2">
        <f t="shared" si="98"/>
        <v>0</v>
      </c>
      <c r="AJ1193" s="2"/>
      <c r="AK1193" s="3"/>
      <c r="AL1193" s="2">
        <f>IF(Table2[[#This Row],[GameIsOver]]=0,0,IF(Table2[[#This Row],[ActualWinner]]=Table2[[#This Row],[AwayTeam]], 1, 0))</f>
        <v>0</v>
      </c>
      <c r="AM1193" s="2">
        <f>IF(Table2[[#This Row],[GameIsOver]]=0,0,IF(Table2[[#This Row],[ActualWinner]]=Table2[[#This Row],[HomeTeam]], 1, 0))</f>
        <v>0</v>
      </c>
      <c r="AN11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3" s="2" t="str">
        <f>INDEX(Sheet5!$B$2:$AG$33, MATCH(Table2[[#This Row],[AwayTeam]],Sheet5!$A$2:$A$33, 0), MATCH(Table2[[#This Row],[HomeTeam]],Sheet5!$A$2:$A$33, 0))</f>
        <v>1-0-0</v>
      </c>
      <c r="AP1193" s="2" t="str">
        <f>INDEX(Sheet5!$B$2:$AG$33, MATCH(Table2[[#This Row],[HomeTeam]],Sheet5!$A$2:$A$33, 0), MATCH(Table2[[#This Row],[AwayTeam]],Sheet5!$A$2:$A$33, 0))</f>
        <v>0-1-0</v>
      </c>
      <c r="AQ1193" s="2">
        <f>IF(Table2[[#This Row],[GameHasShutOut]], 1, 0)</f>
        <v>0</v>
      </c>
      <c r="AR1193" s="2">
        <f>IF(Table2[[#This Row],[ActualAwayScore]] + Table2[[#This Row],[ActualHomeScore]] &gt;= 10, 1, 0)</f>
        <v>0</v>
      </c>
      <c r="AS1193" s="2">
        <f>IF(ABS(Table2[[#This Row],[ActualAwayScore]]-Table2[[#This Row],[ActualHomeScore]])&gt;=5, 1, 0)</f>
        <v>0</v>
      </c>
      <c r="AT1193" s="2">
        <f>IF(Table2[[#This Row],[ActualAwayScore]] + Table2[[#This Row],[ActualHomeScore]] &lt;= 3, 1, 0)</f>
        <v>1</v>
      </c>
      <c r="AU1193" s="2"/>
      <c r="AV1193" s="2"/>
    </row>
    <row r="1194" spans="1:48" x14ac:dyDescent="0.25">
      <c r="A1194" s="3"/>
      <c r="B1194" s="3">
        <v>46114</v>
      </c>
      <c r="C1194" s="5">
        <v>2025021192</v>
      </c>
      <c r="D1194" s="2" t="s">
        <v>20</v>
      </c>
      <c r="E1194" s="2" t="s">
        <v>40</v>
      </c>
      <c r="F1194" s="2"/>
      <c r="G1194" s="2"/>
      <c r="H1194" s="2" t="str">
        <f t="shared" si="94"/>
        <v>_</v>
      </c>
      <c r="I1194" s="2"/>
      <c r="J1194" s="2"/>
      <c r="K1194" s="2"/>
      <c r="L1194" s="2" t="str">
        <f t="shared" si="95"/>
        <v>_</v>
      </c>
      <c r="M1194" s="2"/>
      <c r="N1194" s="2">
        <f>IF(ISBLANK(Table2[[#This Row],[ActualResult]]), 0, 1)</f>
        <v>0</v>
      </c>
      <c r="O1194" s="2" t="str">
        <f>IF(ISBLANK(Table2[[#This Row],[ActualResult]]), "_", IF(Table2[[#This Row],[ActualWinner]]=Table2[[#This Row],[PredictedWinner]], "Y", "N"))</f>
        <v>_</v>
      </c>
      <c r="P11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4" s="2"/>
      <c r="S1194" s="2" t="str">
        <f t="shared" si="96"/>
        <v>_</v>
      </c>
      <c r="T11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4" s="2">
        <f>IF(Table2[[#This Row],[InterConf]]=1,IF(Table2[[#This Row],[InterDiv]]=0, 1, 0), 0)</f>
        <v>1</v>
      </c>
      <c r="W11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4" s="2"/>
      <c r="Y1194" s="2"/>
      <c r="Z1194" s="145">
        <f>IF(AND(Table2[[#This Row],[GameIsOver]]=1,Table2[[#This Row],[ActualHomeScore]]*Table2[[#This Row],[ActualAwayScore]]=0), 1,0)</f>
        <v>0</v>
      </c>
      <c r="AA11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4" s="2">
        <f>Table2[[#This Row],[ActualAwayScore]]-Table2[[#This Row],[PredictedAwayScore]]</f>
        <v>0</v>
      </c>
      <c r="AG1194" s="2">
        <f>Table2[[#This Row],[ActualHomeScore]]-Table2[[#This Row],[PredictedHomeScore]]</f>
        <v>0</v>
      </c>
      <c r="AH1194" s="2">
        <f t="shared" si="97"/>
        <v>0</v>
      </c>
      <c r="AI1194" s="2">
        <f t="shared" si="98"/>
        <v>0</v>
      </c>
      <c r="AJ1194" s="2"/>
      <c r="AK1194" s="3"/>
      <c r="AL1194" s="2">
        <f>IF(Table2[[#This Row],[GameIsOver]]=0,0,IF(Table2[[#This Row],[ActualWinner]]=Table2[[#This Row],[AwayTeam]], 1, 0))</f>
        <v>0</v>
      </c>
      <c r="AM1194" s="2">
        <f>IF(Table2[[#This Row],[GameIsOver]]=0,0,IF(Table2[[#This Row],[ActualWinner]]=Table2[[#This Row],[HomeTeam]], 1, 0))</f>
        <v>0</v>
      </c>
      <c r="AN11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4" s="2" t="str">
        <f>INDEX(Sheet5!$B$2:$AG$33, MATCH(Table2[[#This Row],[AwayTeam]],Sheet5!$A$2:$A$33, 0), MATCH(Table2[[#This Row],[HomeTeam]],Sheet5!$A$2:$A$33, 0))</f>
        <v>0-0-0</v>
      </c>
      <c r="AP1194" s="2" t="str">
        <f>INDEX(Sheet5!$B$2:$AG$33, MATCH(Table2[[#This Row],[HomeTeam]],Sheet5!$A$2:$A$33, 0), MATCH(Table2[[#This Row],[AwayTeam]],Sheet5!$A$2:$A$33, 0))</f>
        <v>0-0-0</v>
      </c>
      <c r="AQ1194" s="2">
        <f>IF(Table2[[#This Row],[GameHasShutOut]], 1, 0)</f>
        <v>0</v>
      </c>
      <c r="AR1194" s="2">
        <f>IF(Table2[[#This Row],[ActualAwayScore]] + Table2[[#This Row],[ActualHomeScore]] &gt;= 10, 1, 0)</f>
        <v>0</v>
      </c>
      <c r="AS1194" s="2">
        <f>IF(ABS(Table2[[#This Row],[ActualAwayScore]]-Table2[[#This Row],[ActualHomeScore]])&gt;=5, 1, 0)</f>
        <v>0</v>
      </c>
      <c r="AT1194" s="2">
        <f>IF(Table2[[#This Row],[ActualAwayScore]] + Table2[[#This Row],[ActualHomeScore]] &lt;= 3, 1, 0)</f>
        <v>1</v>
      </c>
      <c r="AU1194" s="2"/>
      <c r="AV1194" s="2"/>
    </row>
    <row r="1195" spans="1:48" x14ac:dyDescent="0.25">
      <c r="A1195" s="3"/>
      <c r="B1195" s="3">
        <v>46114</v>
      </c>
      <c r="C1195" s="5">
        <v>2025021193</v>
      </c>
      <c r="D1195" s="2" t="s">
        <v>15</v>
      </c>
      <c r="E1195" s="2" t="s">
        <v>13</v>
      </c>
      <c r="F1195" s="2"/>
      <c r="G1195" s="2"/>
      <c r="H1195" s="2" t="str">
        <f t="shared" si="94"/>
        <v>_</v>
      </c>
      <c r="I1195" s="2"/>
      <c r="J1195" s="2"/>
      <c r="K1195" s="2"/>
      <c r="L1195" s="2" t="str">
        <f t="shared" si="95"/>
        <v>_</v>
      </c>
      <c r="M1195" s="2"/>
      <c r="N1195" s="2">
        <f>IF(ISBLANK(Table2[[#This Row],[ActualResult]]), 0, 1)</f>
        <v>0</v>
      </c>
      <c r="O1195" s="2" t="str">
        <f>IF(ISBLANK(Table2[[#This Row],[ActualResult]]), "_", IF(Table2[[#This Row],[ActualWinner]]=Table2[[#This Row],[PredictedWinner]], "Y", "N"))</f>
        <v>_</v>
      </c>
      <c r="P11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5" s="2"/>
      <c r="S1195" s="2" t="str">
        <f t="shared" si="96"/>
        <v>_</v>
      </c>
      <c r="T11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5" s="2">
        <f>IF(Table2[[#This Row],[InterConf]]=1,IF(Table2[[#This Row],[InterDiv]]=0, 1, 0), 0)</f>
        <v>0</v>
      </c>
      <c r="W11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5" s="2"/>
      <c r="Y1195" s="2"/>
      <c r="Z1195" s="145">
        <f>IF(AND(Table2[[#This Row],[GameIsOver]]=1,Table2[[#This Row],[ActualHomeScore]]*Table2[[#This Row],[ActualAwayScore]]=0), 1,0)</f>
        <v>0</v>
      </c>
      <c r="AA11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5" s="2">
        <f>Table2[[#This Row],[ActualAwayScore]]-Table2[[#This Row],[PredictedAwayScore]]</f>
        <v>0</v>
      </c>
      <c r="AG1195" s="2">
        <f>Table2[[#This Row],[ActualHomeScore]]-Table2[[#This Row],[PredictedHomeScore]]</f>
        <v>0</v>
      </c>
      <c r="AH1195" s="2">
        <f t="shared" si="97"/>
        <v>0</v>
      </c>
      <c r="AI1195" s="2">
        <f t="shared" si="98"/>
        <v>0</v>
      </c>
      <c r="AJ1195" s="2"/>
      <c r="AK1195" s="3"/>
      <c r="AL1195" s="2">
        <f>IF(Table2[[#This Row],[GameIsOver]]=0,0,IF(Table2[[#This Row],[ActualWinner]]=Table2[[#This Row],[AwayTeam]], 1, 0))</f>
        <v>0</v>
      </c>
      <c r="AM1195" s="2">
        <f>IF(Table2[[#This Row],[GameIsOver]]=0,0,IF(Table2[[#This Row],[ActualWinner]]=Table2[[#This Row],[HomeTeam]], 1, 0))</f>
        <v>0</v>
      </c>
      <c r="AN11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5" s="2" t="str">
        <f>INDEX(Sheet5!$B$2:$AG$33, MATCH(Table2[[#This Row],[AwayTeam]],Sheet5!$A$2:$A$33, 0), MATCH(Table2[[#This Row],[HomeTeam]],Sheet5!$A$2:$A$33, 0))</f>
        <v>0-1-0</v>
      </c>
      <c r="AP1195" s="2" t="str">
        <f>INDEX(Sheet5!$B$2:$AG$33, MATCH(Table2[[#This Row],[HomeTeam]],Sheet5!$A$2:$A$33, 0), MATCH(Table2[[#This Row],[AwayTeam]],Sheet5!$A$2:$A$33, 0))</f>
        <v>1-0-0</v>
      </c>
      <c r="AQ1195" s="2">
        <f>IF(Table2[[#This Row],[GameHasShutOut]], 1, 0)</f>
        <v>0</v>
      </c>
      <c r="AR1195" s="2">
        <f>IF(Table2[[#This Row],[ActualAwayScore]] + Table2[[#This Row],[ActualHomeScore]] &gt;= 10, 1, 0)</f>
        <v>0</v>
      </c>
      <c r="AS1195" s="2">
        <f>IF(ABS(Table2[[#This Row],[ActualAwayScore]]-Table2[[#This Row],[ActualHomeScore]])&gt;=5, 1, 0)</f>
        <v>0</v>
      </c>
      <c r="AT1195" s="2">
        <f>IF(Table2[[#This Row],[ActualAwayScore]] + Table2[[#This Row],[ActualHomeScore]] &lt;= 3, 1, 0)</f>
        <v>1</v>
      </c>
      <c r="AU1195" s="2"/>
      <c r="AV1195" s="2"/>
    </row>
    <row r="1196" spans="1:48" x14ac:dyDescent="0.25">
      <c r="A1196" s="3"/>
      <c r="B1196" s="3">
        <v>46114</v>
      </c>
      <c r="C1196" s="5">
        <v>2025021194</v>
      </c>
      <c r="D1196" s="2" t="s">
        <v>43</v>
      </c>
      <c r="E1196" s="2" t="s">
        <v>31</v>
      </c>
      <c r="F1196" s="2"/>
      <c r="G1196" s="2"/>
      <c r="H1196" s="2" t="str">
        <f t="shared" si="94"/>
        <v>_</v>
      </c>
      <c r="I1196" s="2"/>
      <c r="J1196" s="2"/>
      <c r="K1196" s="2"/>
      <c r="L1196" s="2" t="str">
        <f t="shared" si="95"/>
        <v>_</v>
      </c>
      <c r="M1196" s="2"/>
      <c r="N1196" s="2">
        <f>IF(ISBLANK(Table2[[#This Row],[ActualResult]]), 0, 1)</f>
        <v>0</v>
      </c>
      <c r="O1196" s="2" t="str">
        <f>IF(ISBLANK(Table2[[#This Row],[ActualResult]]), "_", IF(Table2[[#This Row],[ActualWinner]]=Table2[[#This Row],[PredictedWinner]], "Y", "N"))</f>
        <v>_</v>
      </c>
      <c r="P11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6" s="2"/>
      <c r="S1196" s="2" t="str">
        <f t="shared" si="96"/>
        <v>_</v>
      </c>
      <c r="T11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6" s="2">
        <f>IF(Table2[[#This Row],[InterConf]]=1,IF(Table2[[#This Row],[InterDiv]]=0, 1, 0), 0)</f>
        <v>0</v>
      </c>
      <c r="W11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6" s="2"/>
      <c r="Y1196" s="2"/>
      <c r="Z1196" s="145">
        <f>IF(AND(Table2[[#This Row],[GameIsOver]]=1,Table2[[#This Row],[ActualHomeScore]]*Table2[[#This Row],[ActualAwayScore]]=0), 1,0)</f>
        <v>0</v>
      </c>
      <c r="AA11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6" s="2">
        <f>Table2[[#This Row],[ActualAwayScore]]-Table2[[#This Row],[PredictedAwayScore]]</f>
        <v>0</v>
      </c>
      <c r="AG1196" s="2">
        <f>Table2[[#This Row],[ActualHomeScore]]-Table2[[#This Row],[PredictedHomeScore]]</f>
        <v>0</v>
      </c>
      <c r="AH1196" s="2">
        <f t="shared" si="97"/>
        <v>0</v>
      </c>
      <c r="AI1196" s="2">
        <f t="shared" si="98"/>
        <v>0</v>
      </c>
      <c r="AJ1196" s="2"/>
      <c r="AK1196" s="3"/>
      <c r="AL1196" s="2">
        <f>IF(Table2[[#This Row],[GameIsOver]]=0,0,IF(Table2[[#This Row],[ActualWinner]]=Table2[[#This Row],[AwayTeam]], 1, 0))</f>
        <v>0</v>
      </c>
      <c r="AM1196" s="2">
        <f>IF(Table2[[#This Row],[GameIsOver]]=0,0,IF(Table2[[#This Row],[ActualWinner]]=Table2[[#This Row],[HomeTeam]], 1, 0))</f>
        <v>0</v>
      </c>
      <c r="AN11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6" s="2" t="str">
        <f>INDEX(Sheet5!$B$2:$AG$33, MATCH(Table2[[#This Row],[AwayTeam]],Sheet5!$A$2:$A$33, 0), MATCH(Table2[[#This Row],[HomeTeam]],Sheet5!$A$2:$A$33, 0))</f>
        <v>0-0-0</v>
      </c>
      <c r="AP1196" s="2" t="str">
        <f>INDEX(Sheet5!$B$2:$AG$33, MATCH(Table2[[#This Row],[HomeTeam]],Sheet5!$A$2:$A$33, 0), MATCH(Table2[[#This Row],[AwayTeam]],Sheet5!$A$2:$A$33, 0))</f>
        <v>0-0-0</v>
      </c>
      <c r="AQ1196" s="2">
        <f>IF(Table2[[#This Row],[GameHasShutOut]], 1, 0)</f>
        <v>0</v>
      </c>
      <c r="AR1196" s="2">
        <f>IF(Table2[[#This Row],[ActualAwayScore]] + Table2[[#This Row],[ActualHomeScore]] &gt;= 10, 1, 0)</f>
        <v>0</v>
      </c>
      <c r="AS1196" s="2">
        <f>IF(ABS(Table2[[#This Row],[ActualAwayScore]]-Table2[[#This Row],[ActualHomeScore]])&gt;=5, 1, 0)</f>
        <v>0</v>
      </c>
      <c r="AT1196" s="2">
        <f>IF(Table2[[#This Row],[ActualAwayScore]] + Table2[[#This Row],[ActualHomeScore]] &lt;= 3, 1, 0)</f>
        <v>1</v>
      </c>
      <c r="AU1196" s="2"/>
      <c r="AV1196" s="2"/>
    </row>
    <row r="1197" spans="1:48" x14ac:dyDescent="0.25">
      <c r="A1197" s="3"/>
      <c r="B1197" s="3">
        <v>46114</v>
      </c>
      <c r="C1197" s="5">
        <v>2025021195</v>
      </c>
      <c r="D1197" s="2" t="s">
        <v>18</v>
      </c>
      <c r="E1197" s="2" t="s">
        <v>19</v>
      </c>
      <c r="F1197" s="2"/>
      <c r="G1197" s="2"/>
      <c r="H1197" s="2" t="str">
        <f t="shared" si="94"/>
        <v>_</v>
      </c>
      <c r="I1197" s="2"/>
      <c r="J1197" s="2"/>
      <c r="K1197" s="2"/>
      <c r="L1197" s="2" t="str">
        <f t="shared" si="95"/>
        <v>_</v>
      </c>
      <c r="M1197" s="2"/>
      <c r="N1197" s="2">
        <f>IF(ISBLANK(Table2[[#This Row],[ActualResult]]), 0, 1)</f>
        <v>0</v>
      </c>
      <c r="O1197" s="2" t="str">
        <f>IF(ISBLANK(Table2[[#This Row],[ActualResult]]), "_", IF(Table2[[#This Row],[ActualWinner]]=Table2[[#This Row],[PredictedWinner]], "Y", "N"))</f>
        <v>_</v>
      </c>
      <c r="P11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7" s="2"/>
      <c r="S1197" s="2" t="str">
        <f t="shared" si="96"/>
        <v>_</v>
      </c>
      <c r="T11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7" s="2">
        <f>IF(Table2[[#This Row],[InterConf]]=1,IF(Table2[[#This Row],[InterDiv]]=0, 1, 0), 0)</f>
        <v>1</v>
      </c>
      <c r="W11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7" s="2"/>
      <c r="Y1197" s="2"/>
      <c r="Z1197" s="145">
        <f>IF(AND(Table2[[#This Row],[GameIsOver]]=1,Table2[[#This Row],[ActualHomeScore]]*Table2[[#This Row],[ActualAwayScore]]=0), 1,0)</f>
        <v>0</v>
      </c>
      <c r="AA11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7" s="2">
        <f>Table2[[#This Row],[ActualAwayScore]]-Table2[[#This Row],[PredictedAwayScore]]</f>
        <v>0</v>
      </c>
      <c r="AG1197" s="2">
        <f>Table2[[#This Row],[ActualHomeScore]]-Table2[[#This Row],[PredictedHomeScore]]</f>
        <v>0</v>
      </c>
      <c r="AH1197" s="2">
        <f t="shared" si="97"/>
        <v>0</v>
      </c>
      <c r="AI1197" s="2">
        <f t="shared" si="98"/>
        <v>0</v>
      </c>
      <c r="AJ1197" s="2"/>
      <c r="AK1197" s="3"/>
      <c r="AL1197" s="2">
        <f>IF(Table2[[#This Row],[GameIsOver]]=0,0,IF(Table2[[#This Row],[ActualWinner]]=Table2[[#This Row],[AwayTeam]], 1, 0))</f>
        <v>0</v>
      </c>
      <c r="AM1197" s="2">
        <f>IF(Table2[[#This Row],[GameIsOver]]=0,0,IF(Table2[[#This Row],[ActualWinner]]=Table2[[#This Row],[HomeTeam]], 1, 0))</f>
        <v>0</v>
      </c>
      <c r="AN11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7" s="2" t="str">
        <f>INDEX(Sheet5!$B$2:$AG$33, MATCH(Table2[[#This Row],[AwayTeam]],Sheet5!$A$2:$A$33, 0), MATCH(Table2[[#This Row],[HomeTeam]],Sheet5!$A$2:$A$33, 0))</f>
        <v>0-1-0</v>
      </c>
      <c r="AP1197" s="2" t="str">
        <f>INDEX(Sheet5!$B$2:$AG$33, MATCH(Table2[[#This Row],[HomeTeam]],Sheet5!$A$2:$A$33, 0), MATCH(Table2[[#This Row],[AwayTeam]],Sheet5!$A$2:$A$33, 0))</f>
        <v>1-0-0</v>
      </c>
      <c r="AQ1197" s="2">
        <f>IF(Table2[[#This Row],[GameHasShutOut]], 1, 0)</f>
        <v>0</v>
      </c>
      <c r="AR1197" s="2">
        <f>IF(Table2[[#This Row],[ActualAwayScore]] + Table2[[#This Row],[ActualHomeScore]] &gt;= 10, 1, 0)</f>
        <v>0</v>
      </c>
      <c r="AS1197" s="2">
        <f>IF(ABS(Table2[[#This Row],[ActualAwayScore]]-Table2[[#This Row],[ActualHomeScore]])&gt;=5, 1, 0)</f>
        <v>0</v>
      </c>
      <c r="AT1197" s="2">
        <f>IF(Table2[[#This Row],[ActualAwayScore]] + Table2[[#This Row],[ActualHomeScore]] &lt;= 3, 1, 0)</f>
        <v>1</v>
      </c>
      <c r="AU1197" s="2"/>
      <c r="AV1197" s="2"/>
    </row>
    <row r="1198" spans="1:48" x14ac:dyDescent="0.25">
      <c r="A1198" s="3"/>
      <c r="B1198" s="3">
        <v>46114</v>
      </c>
      <c r="C1198" s="5">
        <v>2025021196</v>
      </c>
      <c r="D1198" s="2" t="s">
        <v>30</v>
      </c>
      <c r="E1198" s="2" t="s">
        <v>42</v>
      </c>
      <c r="F1198" s="2"/>
      <c r="G1198" s="2"/>
      <c r="H1198" s="2" t="str">
        <f t="shared" si="94"/>
        <v>_</v>
      </c>
      <c r="I1198" s="2"/>
      <c r="J1198" s="2"/>
      <c r="K1198" s="2"/>
      <c r="L1198" s="2" t="str">
        <f t="shared" si="95"/>
        <v>_</v>
      </c>
      <c r="M1198" s="2"/>
      <c r="N1198" s="2">
        <f>IF(ISBLANK(Table2[[#This Row],[ActualResult]]), 0, 1)</f>
        <v>0</v>
      </c>
      <c r="O1198" s="2" t="str">
        <f>IF(ISBLANK(Table2[[#This Row],[ActualResult]]), "_", IF(Table2[[#This Row],[ActualWinner]]=Table2[[#This Row],[PredictedWinner]], "Y", "N"))</f>
        <v>_</v>
      </c>
      <c r="P11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8" s="2"/>
      <c r="S1198" s="2" t="str">
        <f t="shared" si="96"/>
        <v>_</v>
      </c>
      <c r="T11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8" s="2">
        <f>IF(Table2[[#This Row],[InterConf]]=1,IF(Table2[[#This Row],[InterDiv]]=0, 1, 0), 0)</f>
        <v>1</v>
      </c>
      <c r="W11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8" s="2"/>
      <c r="Y1198" s="2"/>
      <c r="Z1198" s="145">
        <f>IF(AND(Table2[[#This Row],[GameIsOver]]=1,Table2[[#This Row],[ActualHomeScore]]*Table2[[#This Row],[ActualAwayScore]]=0), 1,0)</f>
        <v>0</v>
      </c>
      <c r="AA11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8" s="2">
        <f>Table2[[#This Row],[ActualAwayScore]]-Table2[[#This Row],[PredictedAwayScore]]</f>
        <v>0</v>
      </c>
      <c r="AG1198" s="2">
        <f>Table2[[#This Row],[ActualHomeScore]]-Table2[[#This Row],[PredictedHomeScore]]</f>
        <v>0</v>
      </c>
      <c r="AH1198" s="2">
        <f t="shared" si="97"/>
        <v>0</v>
      </c>
      <c r="AI1198" s="2">
        <f t="shared" si="98"/>
        <v>0</v>
      </c>
      <c r="AJ1198" s="2"/>
      <c r="AK1198" s="3"/>
      <c r="AL1198" s="2">
        <f>IF(Table2[[#This Row],[GameIsOver]]=0,0,IF(Table2[[#This Row],[ActualWinner]]=Table2[[#This Row],[AwayTeam]], 1, 0))</f>
        <v>0</v>
      </c>
      <c r="AM1198" s="2">
        <f>IF(Table2[[#This Row],[GameIsOver]]=0,0,IF(Table2[[#This Row],[ActualWinner]]=Table2[[#This Row],[HomeTeam]], 1, 0))</f>
        <v>0</v>
      </c>
      <c r="AN11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8" s="2" t="str">
        <f>INDEX(Sheet5!$B$2:$AG$33, MATCH(Table2[[#This Row],[AwayTeam]],Sheet5!$A$2:$A$33, 0), MATCH(Table2[[#This Row],[HomeTeam]],Sheet5!$A$2:$A$33, 0))</f>
        <v>0-0-0</v>
      </c>
      <c r="AP1198" s="2" t="str">
        <f>INDEX(Sheet5!$B$2:$AG$33, MATCH(Table2[[#This Row],[HomeTeam]],Sheet5!$A$2:$A$33, 0), MATCH(Table2[[#This Row],[AwayTeam]],Sheet5!$A$2:$A$33, 0))</f>
        <v>0-0-0</v>
      </c>
      <c r="AQ1198" s="2">
        <f>IF(Table2[[#This Row],[GameHasShutOut]], 1, 0)</f>
        <v>0</v>
      </c>
      <c r="AR1198" s="2">
        <f>IF(Table2[[#This Row],[ActualAwayScore]] + Table2[[#This Row],[ActualHomeScore]] &gt;= 10, 1, 0)</f>
        <v>0</v>
      </c>
      <c r="AS1198" s="2">
        <f>IF(ABS(Table2[[#This Row],[ActualAwayScore]]-Table2[[#This Row],[ActualHomeScore]])&gt;=5, 1, 0)</f>
        <v>0</v>
      </c>
      <c r="AT1198" s="2">
        <f>IF(Table2[[#This Row],[ActualAwayScore]] + Table2[[#This Row],[ActualHomeScore]] &lt;= 3, 1, 0)</f>
        <v>1</v>
      </c>
      <c r="AU1198" s="2"/>
      <c r="AV1198" s="2"/>
    </row>
    <row r="1199" spans="1:48" x14ac:dyDescent="0.25">
      <c r="A1199" s="3"/>
      <c r="B1199" s="3">
        <v>46114</v>
      </c>
      <c r="C1199" s="5">
        <v>2025021197</v>
      </c>
      <c r="D1199" s="2" t="s">
        <v>35</v>
      </c>
      <c r="E1199" s="2" t="s">
        <v>41</v>
      </c>
      <c r="F1199" s="2"/>
      <c r="G1199" s="2"/>
      <c r="H1199" s="2" t="str">
        <f t="shared" si="94"/>
        <v>_</v>
      </c>
      <c r="I1199" s="2"/>
      <c r="J1199" s="2"/>
      <c r="K1199" s="2"/>
      <c r="L1199" s="2" t="str">
        <f t="shared" si="95"/>
        <v>_</v>
      </c>
      <c r="M1199" s="2"/>
      <c r="N1199" s="2">
        <f>IF(ISBLANK(Table2[[#This Row],[ActualResult]]), 0, 1)</f>
        <v>0</v>
      </c>
      <c r="O1199" s="2" t="str">
        <f>IF(ISBLANK(Table2[[#This Row],[ActualResult]]), "_", IF(Table2[[#This Row],[ActualWinner]]=Table2[[#This Row],[PredictedWinner]], "Y", "N"))</f>
        <v>_</v>
      </c>
      <c r="P11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9" s="2"/>
      <c r="S1199" s="2" t="str">
        <f t="shared" si="96"/>
        <v>_</v>
      </c>
      <c r="T11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9" s="2">
        <f>IF(Table2[[#This Row],[InterConf]]=1,IF(Table2[[#This Row],[InterDiv]]=0, 1, 0), 0)</f>
        <v>0</v>
      </c>
      <c r="W11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9" s="2"/>
      <c r="Y1199" s="2"/>
      <c r="Z1199" s="145">
        <f>IF(AND(Table2[[#This Row],[GameIsOver]]=1,Table2[[#This Row],[ActualHomeScore]]*Table2[[#This Row],[ActualAwayScore]]=0), 1,0)</f>
        <v>0</v>
      </c>
      <c r="AA11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9" s="2">
        <f>Table2[[#This Row],[ActualAwayScore]]-Table2[[#This Row],[PredictedAwayScore]]</f>
        <v>0</v>
      </c>
      <c r="AG1199" s="2">
        <f>Table2[[#This Row],[ActualHomeScore]]-Table2[[#This Row],[PredictedHomeScore]]</f>
        <v>0</v>
      </c>
      <c r="AH1199" s="2">
        <f t="shared" si="97"/>
        <v>0</v>
      </c>
      <c r="AI1199" s="2">
        <f t="shared" si="98"/>
        <v>0</v>
      </c>
      <c r="AJ1199" s="2"/>
      <c r="AK1199" s="3"/>
      <c r="AL1199" s="2">
        <f>IF(Table2[[#This Row],[GameIsOver]]=0,0,IF(Table2[[#This Row],[ActualWinner]]=Table2[[#This Row],[AwayTeam]], 1, 0))</f>
        <v>0</v>
      </c>
      <c r="AM1199" s="2">
        <f>IF(Table2[[#This Row],[GameIsOver]]=0,0,IF(Table2[[#This Row],[ActualWinner]]=Table2[[#This Row],[HomeTeam]], 1, 0))</f>
        <v>0</v>
      </c>
      <c r="AN11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9" s="2" t="str">
        <f>INDEX(Sheet5!$B$2:$AG$33, MATCH(Table2[[#This Row],[AwayTeam]],Sheet5!$A$2:$A$33, 0), MATCH(Table2[[#This Row],[HomeTeam]],Sheet5!$A$2:$A$33, 0))</f>
        <v>0-0-0</v>
      </c>
      <c r="AP1199" s="2" t="str">
        <f>INDEX(Sheet5!$B$2:$AG$33, MATCH(Table2[[#This Row],[HomeTeam]],Sheet5!$A$2:$A$33, 0), MATCH(Table2[[#This Row],[AwayTeam]],Sheet5!$A$2:$A$33, 0))</f>
        <v>0-0-0</v>
      </c>
      <c r="AQ1199" s="2">
        <f>IF(Table2[[#This Row],[GameHasShutOut]], 1, 0)</f>
        <v>0</v>
      </c>
      <c r="AR1199" s="2">
        <f>IF(Table2[[#This Row],[ActualAwayScore]] + Table2[[#This Row],[ActualHomeScore]] &gt;= 10, 1, 0)</f>
        <v>0</v>
      </c>
      <c r="AS1199" s="2">
        <f>IF(ABS(Table2[[#This Row],[ActualAwayScore]]-Table2[[#This Row],[ActualHomeScore]])&gt;=5, 1, 0)</f>
        <v>0</v>
      </c>
      <c r="AT1199" s="2">
        <f>IF(Table2[[#This Row],[ActualAwayScore]] + Table2[[#This Row],[ActualHomeScore]] &lt;= 3, 1, 0)</f>
        <v>1</v>
      </c>
      <c r="AU1199" s="2"/>
      <c r="AV1199" s="2"/>
    </row>
    <row r="1200" spans="1:48" x14ac:dyDescent="0.25">
      <c r="A1200" s="3"/>
      <c r="B1200" s="3">
        <v>46115</v>
      </c>
      <c r="C1200" s="5">
        <v>2025021198</v>
      </c>
      <c r="D1200" s="2" t="s">
        <v>21</v>
      </c>
      <c r="E1200" s="2" t="s">
        <v>33</v>
      </c>
      <c r="F1200" s="2"/>
      <c r="G1200" s="2"/>
      <c r="H1200" s="2" t="str">
        <f t="shared" si="94"/>
        <v>_</v>
      </c>
      <c r="I1200" s="2"/>
      <c r="J1200" s="2"/>
      <c r="K1200" s="2"/>
      <c r="L1200" s="2" t="str">
        <f t="shared" si="95"/>
        <v>_</v>
      </c>
      <c r="M1200" s="2"/>
      <c r="N1200" s="2">
        <f>IF(ISBLANK(Table2[[#This Row],[ActualResult]]), 0, 1)</f>
        <v>0</v>
      </c>
      <c r="O1200" s="2" t="str">
        <f>IF(ISBLANK(Table2[[#This Row],[ActualResult]]), "_", IF(Table2[[#This Row],[ActualWinner]]=Table2[[#This Row],[PredictedWinner]], "Y", "N"))</f>
        <v>_</v>
      </c>
      <c r="P12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0" s="2"/>
      <c r="S1200" s="2" t="str">
        <f t="shared" si="96"/>
        <v>_</v>
      </c>
      <c r="T12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00" s="2">
        <f>IF(Table2[[#This Row],[InterConf]]=1,IF(Table2[[#This Row],[InterDiv]]=0, 1, 0), 0)</f>
        <v>0</v>
      </c>
      <c r="W12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0" s="2"/>
      <c r="Y1200" s="2"/>
      <c r="Z1200" s="145">
        <f>IF(AND(Table2[[#This Row],[GameIsOver]]=1,Table2[[#This Row],[ActualHomeScore]]*Table2[[#This Row],[ActualAwayScore]]=0), 1,0)</f>
        <v>0</v>
      </c>
      <c r="AA12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0" s="2">
        <f>Table2[[#This Row],[ActualAwayScore]]-Table2[[#This Row],[PredictedAwayScore]]</f>
        <v>0</v>
      </c>
      <c r="AG1200" s="2">
        <f>Table2[[#This Row],[ActualHomeScore]]-Table2[[#This Row],[PredictedHomeScore]]</f>
        <v>0</v>
      </c>
      <c r="AH1200" s="2">
        <f t="shared" si="97"/>
        <v>0</v>
      </c>
      <c r="AI1200" s="2">
        <f t="shared" si="98"/>
        <v>0</v>
      </c>
      <c r="AJ1200" s="2"/>
      <c r="AK1200" s="3"/>
      <c r="AL1200" s="2">
        <f>IF(Table2[[#This Row],[GameIsOver]]=0,0,IF(Table2[[#This Row],[ActualWinner]]=Table2[[#This Row],[AwayTeam]], 1, 0))</f>
        <v>0</v>
      </c>
      <c r="AM1200" s="2">
        <f>IF(Table2[[#This Row],[GameIsOver]]=0,0,IF(Table2[[#This Row],[ActualWinner]]=Table2[[#This Row],[HomeTeam]], 1, 0))</f>
        <v>0</v>
      </c>
      <c r="AN12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0" s="2" t="str">
        <f>INDEX(Sheet5!$B$2:$AG$33, MATCH(Table2[[#This Row],[AwayTeam]],Sheet5!$A$2:$A$33, 0), MATCH(Table2[[#This Row],[HomeTeam]],Sheet5!$A$2:$A$33, 0))</f>
        <v>0-1-0</v>
      </c>
      <c r="AP1200" s="2" t="str">
        <f>INDEX(Sheet5!$B$2:$AG$33, MATCH(Table2[[#This Row],[HomeTeam]],Sheet5!$A$2:$A$33, 0), MATCH(Table2[[#This Row],[AwayTeam]],Sheet5!$A$2:$A$33, 0))</f>
        <v>1-0-0</v>
      </c>
      <c r="AQ1200" s="2">
        <f>IF(Table2[[#This Row],[GameHasShutOut]], 1, 0)</f>
        <v>0</v>
      </c>
      <c r="AR1200" s="2">
        <f>IF(Table2[[#This Row],[ActualAwayScore]] + Table2[[#This Row],[ActualHomeScore]] &gt;= 10, 1, 0)</f>
        <v>0</v>
      </c>
      <c r="AS1200" s="2">
        <f>IF(ABS(Table2[[#This Row],[ActualAwayScore]]-Table2[[#This Row],[ActualHomeScore]])&gt;=5, 1, 0)</f>
        <v>0</v>
      </c>
      <c r="AT1200" s="2">
        <f>IF(Table2[[#This Row],[ActualAwayScore]] + Table2[[#This Row],[ActualHomeScore]] &lt;= 3, 1, 0)</f>
        <v>1</v>
      </c>
      <c r="AU1200" s="2"/>
      <c r="AV1200" s="2"/>
    </row>
    <row r="1201" spans="1:48" x14ac:dyDescent="0.25">
      <c r="A1201" s="3"/>
      <c r="B1201" s="3">
        <v>46115</v>
      </c>
      <c r="C1201" s="5">
        <v>2025021199</v>
      </c>
      <c r="D1201" s="2" t="s">
        <v>24</v>
      </c>
      <c r="E1201" s="2" t="s">
        <v>36</v>
      </c>
      <c r="F1201" s="2"/>
      <c r="G1201" s="2"/>
      <c r="H1201" s="2" t="str">
        <f t="shared" si="94"/>
        <v>_</v>
      </c>
      <c r="I1201" s="2"/>
      <c r="J1201" s="2"/>
      <c r="K1201" s="2"/>
      <c r="L1201" s="2" t="str">
        <f t="shared" si="95"/>
        <v>_</v>
      </c>
      <c r="M1201" s="2"/>
      <c r="N1201" s="2">
        <f>IF(ISBLANK(Table2[[#This Row],[ActualResult]]), 0, 1)</f>
        <v>0</v>
      </c>
      <c r="O1201" s="2" t="str">
        <f>IF(ISBLANK(Table2[[#This Row],[ActualResult]]), "_", IF(Table2[[#This Row],[ActualWinner]]=Table2[[#This Row],[PredictedWinner]], "Y", "N"))</f>
        <v>_</v>
      </c>
      <c r="P12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1" s="2"/>
      <c r="S1201" s="2" t="str">
        <f t="shared" si="96"/>
        <v>_</v>
      </c>
      <c r="T12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1" s="2">
        <f>IF(Table2[[#This Row],[InterConf]]=1,IF(Table2[[#This Row],[InterDiv]]=0, 1, 0), 0)</f>
        <v>1</v>
      </c>
      <c r="W12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1" s="2"/>
      <c r="Y1201" s="2"/>
      <c r="Z1201" s="145">
        <f>IF(AND(Table2[[#This Row],[GameIsOver]]=1,Table2[[#This Row],[ActualHomeScore]]*Table2[[#This Row],[ActualAwayScore]]=0), 1,0)</f>
        <v>0</v>
      </c>
      <c r="AA12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1" s="2">
        <f>Table2[[#This Row],[ActualAwayScore]]-Table2[[#This Row],[PredictedAwayScore]]</f>
        <v>0</v>
      </c>
      <c r="AG1201" s="2">
        <f>Table2[[#This Row],[ActualHomeScore]]-Table2[[#This Row],[PredictedHomeScore]]</f>
        <v>0</v>
      </c>
      <c r="AH1201" s="2">
        <f t="shared" si="97"/>
        <v>0</v>
      </c>
      <c r="AI1201" s="2">
        <f t="shared" si="98"/>
        <v>0</v>
      </c>
      <c r="AJ1201" s="2"/>
      <c r="AK1201" s="3"/>
      <c r="AL1201" s="2">
        <f>IF(Table2[[#This Row],[GameIsOver]]=0,0,IF(Table2[[#This Row],[ActualWinner]]=Table2[[#This Row],[AwayTeam]], 1, 0))</f>
        <v>0</v>
      </c>
      <c r="AM1201" s="2">
        <f>IF(Table2[[#This Row],[GameIsOver]]=0,0,IF(Table2[[#This Row],[ActualWinner]]=Table2[[#This Row],[HomeTeam]], 1, 0))</f>
        <v>0</v>
      </c>
      <c r="AN12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1" s="2" t="str">
        <f>INDEX(Sheet5!$B$2:$AG$33, MATCH(Table2[[#This Row],[AwayTeam]],Sheet5!$A$2:$A$33, 0), MATCH(Table2[[#This Row],[HomeTeam]],Sheet5!$A$2:$A$33, 0))</f>
        <v>0-0-0</v>
      </c>
      <c r="AP1201" s="2" t="str">
        <f>INDEX(Sheet5!$B$2:$AG$33, MATCH(Table2[[#This Row],[HomeTeam]],Sheet5!$A$2:$A$33, 0), MATCH(Table2[[#This Row],[AwayTeam]],Sheet5!$A$2:$A$33, 0))</f>
        <v>0-0-0</v>
      </c>
      <c r="AQ1201" s="2">
        <f>IF(Table2[[#This Row],[GameHasShutOut]], 1, 0)</f>
        <v>0</v>
      </c>
      <c r="AR1201" s="2">
        <f>IF(Table2[[#This Row],[ActualAwayScore]] + Table2[[#This Row],[ActualHomeScore]] &gt;= 10, 1, 0)</f>
        <v>0</v>
      </c>
      <c r="AS1201" s="2">
        <f>IF(ABS(Table2[[#This Row],[ActualAwayScore]]-Table2[[#This Row],[ActualHomeScore]])&gt;=5, 1, 0)</f>
        <v>0</v>
      </c>
      <c r="AT1201" s="2">
        <f>IF(Table2[[#This Row],[ActualAwayScore]] + Table2[[#This Row],[ActualHomeScore]] &lt;= 3, 1, 0)</f>
        <v>1</v>
      </c>
      <c r="AU1201" s="2"/>
      <c r="AV1201" s="2"/>
    </row>
    <row r="1202" spans="1:48" x14ac:dyDescent="0.25">
      <c r="A1202" s="3"/>
      <c r="B1202" s="3">
        <v>46115</v>
      </c>
      <c r="C1202" s="5">
        <v>2025021200</v>
      </c>
      <c r="D1202" s="2" t="s">
        <v>16</v>
      </c>
      <c r="E1202" s="2" t="s">
        <v>22</v>
      </c>
      <c r="F1202" s="2"/>
      <c r="G1202" s="2"/>
      <c r="H1202" s="2" t="str">
        <f t="shared" si="94"/>
        <v>_</v>
      </c>
      <c r="I1202" s="2"/>
      <c r="J1202" s="2"/>
      <c r="K1202" s="2"/>
      <c r="L1202" s="2" t="str">
        <f t="shared" si="95"/>
        <v>_</v>
      </c>
      <c r="M1202" s="2"/>
      <c r="N1202" s="2">
        <f>IF(ISBLANK(Table2[[#This Row],[ActualResult]]), 0, 1)</f>
        <v>0</v>
      </c>
      <c r="O1202" s="2" t="str">
        <f>IF(ISBLANK(Table2[[#This Row],[ActualResult]]), "_", IF(Table2[[#This Row],[ActualWinner]]=Table2[[#This Row],[PredictedWinner]], "Y", "N"))</f>
        <v>_</v>
      </c>
      <c r="P12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2" s="2"/>
      <c r="S1202" s="2" t="str">
        <f t="shared" si="96"/>
        <v>_</v>
      </c>
      <c r="T12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2" s="2">
        <f>IF(Table2[[#This Row],[InterConf]]=1,IF(Table2[[#This Row],[InterDiv]]=0, 1, 0), 0)</f>
        <v>1</v>
      </c>
      <c r="W12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2" s="2"/>
      <c r="Y1202" s="2"/>
      <c r="Z1202" s="145">
        <f>IF(AND(Table2[[#This Row],[GameIsOver]]=1,Table2[[#This Row],[ActualHomeScore]]*Table2[[#This Row],[ActualAwayScore]]=0), 1,0)</f>
        <v>0</v>
      </c>
      <c r="AA12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2" s="2">
        <f>Table2[[#This Row],[ActualAwayScore]]-Table2[[#This Row],[PredictedAwayScore]]</f>
        <v>0</v>
      </c>
      <c r="AG1202" s="2">
        <f>Table2[[#This Row],[ActualHomeScore]]-Table2[[#This Row],[PredictedHomeScore]]</f>
        <v>0</v>
      </c>
      <c r="AH1202" s="2">
        <f t="shared" si="97"/>
        <v>0</v>
      </c>
      <c r="AI1202" s="2">
        <f t="shared" si="98"/>
        <v>0</v>
      </c>
      <c r="AJ1202" s="2"/>
      <c r="AK1202" s="3"/>
      <c r="AL1202" s="2">
        <f>IF(Table2[[#This Row],[GameIsOver]]=0,0,IF(Table2[[#This Row],[ActualWinner]]=Table2[[#This Row],[AwayTeam]], 1, 0))</f>
        <v>0</v>
      </c>
      <c r="AM1202" s="2">
        <f>IF(Table2[[#This Row],[GameIsOver]]=0,0,IF(Table2[[#This Row],[ActualWinner]]=Table2[[#This Row],[HomeTeam]], 1, 0))</f>
        <v>0</v>
      </c>
      <c r="AN12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2" s="2" t="str">
        <f>INDEX(Sheet5!$B$2:$AG$33, MATCH(Table2[[#This Row],[AwayTeam]],Sheet5!$A$2:$A$33, 0), MATCH(Table2[[#This Row],[HomeTeam]],Sheet5!$A$2:$A$33, 0))</f>
        <v>0-0-0</v>
      </c>
      <c r="AP1202" s="2" t="str">
        <f>INDEX(Sheet5!$B$2:$AG$33, MATCH(Table2[[#This Row],[HomeTeam]],Sheet5!$A$2:$A$33, 0), MATCH(Table2[[#This Row],[AwayTeam]],Sheet5!$A$2:$A$33, 0))</f>
        <v>0-0-0</v>
      </c>
      <c r="AQ1202" s="2">
        <f>IF(Table2[[#This Row],[GameHasShutOut]], 1, 0)</f>
        <v>0</v>
      </c>
      <c r="AR1202" s="2">
        <f>IF(Table2[[#This Row],[ActualAwayScore]] + Table2[[#This Row],[ActualHomeScore]] &gt;= 10, 1, 0)</f>
        <v>0</v>
      </c>
      <c r="AS1202" s="2">
        <f>IF(ABS(Table2[[#This Row],[ActualAwayScore]]-Table2[[#This Row],[ActualHomeScore]])&gt;=5, 1, 0)</f>
        <v>0</v>
      </c>
      <c r="AT1202" s="2">
        <f>IF(Table2[[#This Row],[ActualAwayScore]] + Table2[[#This Row],[ActualHomeScore]] &lt;= 3, 1, 0)</f>
        <v>1</v>
      </c>
      <c r="AU1202" s="2"/>
      <c r="AV1202" s="2"/>
    </row>
    <row r="1203" spans="1:48" x14ac:dyDescent="0.25">
      <c r="A1203" s="3"/>
      <c r="B1203" s="3">
        <v>46115</v>
      </c>
      <c r="C1203" s="5">
        <v>2025021201</v>
      </c>
      <c r="D1203" s="2" t="s">
        <v>23</v>
      </c>
      <c r="E1203" s="2" t="s">
        <v>26</v>
      </c>
      <c r="F1203" s="2"/>
      <c r="G1203" s="2"/>
      <c r="H1203" s="2" t="str">
        <f t="shared" si="94"/>
        <v>_</v>
      </c>
      <c r="I1203" s="2"/>
      <c r="J1203" s="2"/>
      <c r="K1203" s="2"/>
      <c r="L1203" s="2" t="str">
        <f t="shared" si="95"/>
        <v>_</v>
      </c>
      <c r="M1203" s="2"/>
      <c r="N1203" s="2">
        <f>IF(ISBLANK(Table2[[#This Row],[ActualResult]]), 0, 1)</f>
        <v>0</v>
      </c>
      <c r="O1203" s="2" t="str">
        <f>IF(ISBLANK(Table2[[#This Row],[ActualResult]]), "_", IF(Table2[[#This Row],[ActualWinner]]=Table2[[#This Row],[PredictedWinner]], "Y", "N"))</f>
        <v>_</v>
      </c>
      <c r="P12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3" s="2"/>
      <c r="S1203" s="2" t="str">
        <f t="shared" si="96"/>
        <v>_</v>
      </c>
      <c r="T12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03" s="2">
        <f>IF(Table2[[#This Row],[InterConf]]=1,IF(Table2[[#This Row],[InterDiv]]=0, 1, 0), 0)</f>
        <v>0</v>
      </c>
      <c r="W12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3" s="2"/>
      <c r="Y1203" s="2"/>
      <c r="Z1203" s="145">
        <f>IF(AND(Table2[[#This Row],[GameIsOver]]=1,Table2[[#This Row],[ActualHomeScore]]*Table2[[#This Row],[ActualAwayScore]]=0), 1,0)</f>
        <v>0</v>
      </c>
      <c r="AA12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3" s="2">
        <f>Table2[[#This Row],[ActualAwayScore]]-Table2[[#This Row],[PredictedAwayScore]]</f>
        <v>0</v>
      </c>
      <c r="AG1203" s="2">
        <f>Table2[[#This Row],[ActualHomeScore]]-Table2[[#This Row],[PredictedHomeScore]]</f>
        <v>0</v>
      </c>
      <c r="AH1203" s="2">
        <f t="shared" si="97"/>
        <v>0</v>
      </c>
      <c r="AI1203" s="2">
        <f t="shared" si="98"/>
        <v>0</v>
      </c>
      <c r="AJ1203" s="2"/>
      <c r="AK1203" s="3"/>
      <c r="AL1203" s="2">
        <f>IF(Table2[[#This Row],[GameIsOver]]=0,0,IF(Table2[[#This Row],[ActualWinner]]=Table2[[#This Row],[AwayTeam]], 1, 0))</f>
        <v>0</v>
      </c>
      <c r="AM1203" s="2">
        <f>IF(Table2[[#This Row],[GameIsOver]]=0,0,IF(Table2[[#This Row],[ActualWinner]]=Table2[[#This Row],[HomeTeam]], 1, 0))</f>
        <v>0</v>
      </c>
      <c r="AN12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3" s="2" t="str">
        <f>INDEX(Sheet5!$B$2:$AG$33, MATCH(Table2[[#This Row],[AwayTeam]],Sheet5!$A$2:$A$33, 0), MATCH(Table2[[#This Row],[HomeTeam]],Sheet5!$A$2:$A$33, 0))</f>
        <v>0-2-0</v>
      </c>
      <c r="AP1203" s="2" t="str">
        <f>INDEX(Sheet5!$B$2:$AG$33, MATCH(Table2[[#This Row],[HomeTeam]],Sheet5!$A$2:$A$33, 0), MATCH(Table2[[#This Row],[AwayTeam]],Sheet5!$A$2:$A$33, 0))</f>
        <v>2-0-0</v>
      </c>
      <c r="AQ1203" s="2">
        <f>IF(Table2[[#This Row],[GameHasShutOut]], 1, 0)</f>
        <v>0</v>
      </c>
      <c r="AR1203" s="2">
        <f>IF(Table2[[#This Row],[ActualAwayScore]] + Table2[[#This Row],[ActualHomeScore]] &gt;= 10, 1, 0)</f>
        <v>0</v>
      </c>
      <c r="AS1203" s="2">
        <f>IF(ABS(Table2[[#This Row],[ActualAwayScore]]-Table2[[#This Row],[ActualHomeScore]])&gt;=5, 1, 0)</f>
        <v>0</v>
      </c>
      <c r="AT1203" s="2">
        <f>IF(Table2[[#This Row],[ActualAwayScore]] + Table2[[#This Row],[ActualHomeScore]] &lt;= 3, 1, 0)</f>
        <v>1</v>
      </c>
      <c r="AU1203" s="2"/>
      <c r="AV1203" s="2"/>
    </row>
    <row r="1204" spans="1:48" x14ac:dyDescent="0.25">
      <c r="A1204" s="3"/>
      <c r="B1204" s="3">
        <v>46115</v>
      </c>
      <c r="C1204" s="5">
        <v>2025021202</v>
      </c>
      <c r="D1204" s="2" t="s">
        <v>17</v>
      </c>
      <c r="E1204" s="2" t="s">
        <v>37</v>
      </c>
      <c r="F1204" s="2"/>
      <c r="G1204" s="2"/>
      <c r="H1204" s="2" t="str">
        <f t="shared" si="94"/>
        <v>_</v>
      </c>
      <c r="I1204" s="2"/>
      <c r="J1204" s="2"/>
      <c r="K1204" s="2"/>
      <c r="L1204" s="2" t="str">
        <f t="shared" si="95"/>
        <v>_</v>
      </c>
      <c r="M1204" s="2"/>
      <c r="N1204" s="2">
        <f>IF(ISBLANK(Table2[[#This Row],[ActualResult]]), 0, 1)</f>
        <v>0</v>
      </c>
      <c r="O1204" s="2" t="str">
        <f>IF(ISBLANK(Table2[[#This Row],[ActualResult]]), "_", IF(Table2[[#This Row],[ActualWinner]]=Table2[[#This Row],[PredictedWinner]], "Y", "N"))</f>
        <v>_</v>
      </c>
      <c r="P12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4" s="2"/>
      <c r="S1204" s="2" t="str">
        <f t="shared" si="96"/>
        <v>_</v>
      </c>
      <c r="T12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4" s="2">
        <f>IF(Table2[[#This Row],[InterConf]]=1,IF(Table2[[#This Row],[InterDiv]]=0, 1, 0), 0)</f>
        <v>0</v>
      </c>
      <c r="W12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04" s="2"/>
      <c r="Y1204" s="2"/>
      <c r="Z1204" s="145">
        <f>IF(AND(Table2[[#This Row],[GameIsOver]]=1,Table2[[#This Row],[ActualHomeScore]]*Table2[[#This Row],[ActualAwayScore]]=0), 1,0)</f>
        <v>0</v>
      </c>
      <c r="AA12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4" s="2">
        <f>Table2[[#This Row],[ActualAwayScore]]-Table2[[#This Row],[PredictedAwayScore]]</f>
        <v>0</v>
      </c>
      <c r="AG1204" s="2">
        <f>Table2[[#This Row],[ActualHomeScore]]-Table2[[#This Row],[PredictedHomeScore]]</f>
        <v>0</v>
      </c>
      <c r="AH1204" s="2">
        <f t="shared" si="97"/>
        <v>0</v>
      </c>
      <c r="AI1204" s="2">
        <f t="shared" si="98"/>
        <v>0</v>
      </c>
      <c r="AJ1204" s="2"/>
      <c r="AK1204" s="3"/>
      <c r="AL1204" s="2">
        <f>IF(Table2[[#This Row],[GameIsOver]]=0,0,IF(Table2[[#This Row],[ActualWinner]]=Table2[[#This Row],[AwayTeam]], 1, 0))</f>
        <v>0</v>
      </c>
      <c r="AM1204" s="2">
        <f>IF(Table2[[#This Row],[GameIsOver]]=0,0,IF(Table2[[#This Row],[ActualWinner]]=Table2[[#This Row],[HomeTeam]], 1, 0))</f>
        <v>0</v>
      </c>
      <c r="AN12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4" s="2" t="str">
        <f>INDEX(Sheet5!$B$2:$AG$33, MATCH(Table2[[#This Row],[AwayTeam]],Sheet5!$A$2:$A$33, 0), MATCH(Table2[[#This Row],[HomeTeam]],Sheet5!$A$2:$A$33, 0))</f>
        <v>0-0-0</v>
      </c>
      <c r="AP1204" s="2" t="str">
        <f>INDEX(Sheet5!$B$2:$AG$33, MATCH(Table2[[#This Row],[HomeTeam]],Sheet5!$A$2:$A$33, 0), MATCH(Table2[[#This Row],[AwayTeam]],Sheet5!$A$2:$A$33, 0))</f>
        <v>0-0-0</v>
      </c>
      <c r="AQ1204" s="2">
        <f>IF(Table2[[#This Row],[GameHasShutOut]], 1, 0)</f>
        <v>0</v>
      </c>
      <c r="AR1204" s="2">
        <f>IF(Table2[[#This Row],[ActualAwayScore]] + Table2[[#This Row],[ActualHomeScore]] &gt;= 10, 1, 0)</f>
        <v>0</v>
      </c>
      <c r="AS1204" s="2">
        <f>IF(ABS(Table2[[#This Row],[ActualAwayScore]]-Table2[[#This Row],[ActualHomeScore]])&gt;=5, 1, 0)</f>
        <v>0</v>
      </c>
      <c r="AT1204" s="2">
        <f>IF(Table2[[#This Row],[ActualAwayScore]] + Table2[[#This Row],[ActualHomeScore]] &lt;= 3, 1, 0)</f>
        <v>1</v>
      </c>
      <c r="AU1204" s="2"/>
      <c r="AV1204" s="2"/>
    </row>
    <row r="1205" spans="1:48" x14ac:dyDescent="0.25">
      <c r="A1205" s="3"/>
      <c r="B1205" s="3">
        <v>46115</v>
      </c>
      <c r="C1205" s="5">
        <v>2025021203</v>
      </c>
      <c r="D1205" s="2" t="s">
        <v>14</v>
      </c>
      <c r="E1205" s="2" t="s">
        <v>11</v>
      </c>
      <c r="F1205" s="2"/>
      <c r="G1205" s="2"/>
      <c r="H1205" s="2" t="str">
        <f t="shared" si="94"/>
        <v>_</v>
      </c>
      <c r="I1205" s="2"/>
      <c r="J1205" s="2"/>
      <c r="K1205" s="2"/>
      <c r="L1205" s="2" t="str">
        <f t="shared" si="95"/>
        <v>_</v>
      </c>
      <c r="M1205" s="2"/>
      <c r="N1205" s="2">
        <f>IF(ISBLANK(Table2[[#This Row],[ActualResult]]), 0, 1)</f>
        <v>0</v>
      </c>
      <c r="O1205" s="2" t="str">
        <f>IF(ISBLANK(Table2[[#This Row],[ActualResult]]), "_", IF(Table2[[#This Row],[ActualWinner]]=Table2[[#This Row],[PredictedWinner]], "Y", "N"))</f>
        <v>_</v>
      </c>
      <c r="P12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5" s="2"/>
      <c r="S1205" s="2" t="str">
        <f t="shared" si="96"/>
        <v>_</v>
      </c>
      <c r="T12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5" s="2">
        <f>IF(Table2[[#This Row],[InterConf]]=1,IF(Table2[[#This Row],[InterDiv]]=0, 1, 0), 0)</f>
        <v>1</v>
      </c>
      <c r="W12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5" s="2"/>
      <c r="Y1205" s="2"/>
      <c r="Z1205" s="145">
        <f>IF(AND(Table2[[#This Row],[GameIsOver]]=1,Table2[[#This Row],[ActualHomeScore]]*Table2[[#This Row],[ActualAwayScore]]=0), 1,0)</f>
        <v>0</v>
      </c>
      <c r="AA12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5" s="2">
        <f>Table2[[#This Row],[ActualAwayScore]]-Table2[[#This Row],[PredictedAwayScore]]</f>
        <v>0</v>
      </c>
      <c r="AG1205" s="2">
        <f>Table2[[#This Row],[ActualHomeScore]]-Table2[[#This Row],[PredictedHomeScore]]</f>
        <v>0</v>
      </c>
      <c r="AH1205" s="2">
        <f t="shared" si="97"/>
        <v>0</v>
      </c>
      <c r="AI1205" s="2">
        <f t="shared" si="98"/>
        <v>0</v>
      </c>
      <c r="AJ1205" s="2"/>
      <c r="AK1205" s="3"/>
      <c r="AL1205" s="2">
        <f>IF(Table2[[#This Row],[GameIsOver]]=0,0,IF(Table2[[#This Row],[ActualWinner]]=Table2[[#This Row],[AwayTeam]], 1, 0))</f>
        <v>0</v>
      </c>
      <c r="AM1205" s="2">
        <f>IF(Table2[[#This Row],[GameIsOver]]=0,0,IF(Table2[[#This Row],[ActualWinner]]=Table2[[#This Row],[HomeTeam]], 1, 0))</f>
        <v>0</v>
      </c>
      <c r="AN12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5" s="2" t="str">
        <f>INDEX(Sheet5!$B$2:$AG$33, MATCH(Table2[[#This Row],[AwayTeam]],Sheet5!$A$2:$A$33, 0), MATCH(Table2[[#This Row],[HomeTeam]],Sheet5!$A$2:$A$33, 0))</f>
        <v>0-0-0</v>
      </c>
      <c r="AP1205" s="2" t="str">
        <f>INDEX(Sheet5!$B$2:$AG$33, MATCH(Table2[[#This Row],[HomeTeam]],Sheet5!$A$2:$A$33, 0), MATCH(Table2[[#This Row],[AwayTeam]],Sheet5!$A$2:$A$33, 0))</f>
        <v>0-0-0</v>
      </c>
      <c r="AQ1205" s="2">
        <f>IF(Table2[[#This Row],[GameHasShutOut]], 1, 0)</f>
        <v>0</v>
      </c>
      <c r="AR1205" s="2">
        <f>IF(Table2[[#This Row],[ActualAwayScore]] + Table2[[#This Row],[ActualHomeScore]] &gt;= 10, 1, 0)</f>
        <v>0</v>
      </c>
      <c r="AS1205" s="2">
        <f>IF(ABS(Table2[[#This Row],[ActualAwayScore]]-Table2[[#This Row],[ActualHomeScore]])&gt;=5, 1, 0)</f>
        <v>0</v>
      </c>
      <c r="AT1205" s="2">
        <f>IF(Table2[[#This Row],[ActualAwayScore]] + Table2[[#This Row],[ActualHomeScore]] &lt;= 3, 1, 0)</f>
        <v>1</v>
      </c>
      <c r="AU1205" s="2"/>
      <c r="AV1205" s="2"/>
    </row>
    <row r="1206" spans="1:48" x14ac:dyDescent="0.25">
      <c r="A1206" s="3"/>
      <c r="B1206" s="3">
        <v>46115</v>
      </c>
      <c r="C1206" s="5">
        <v>2025021204</v>
      </c>
      <c r="D1206" s="2" t="s">
        <v>34</v>
      </c>
      <c r="E1206" s="2" t="s">
        <v>27</v>
      </c>
      <c r="F1206" s="2"/>
      <c r="G1206" s="2"/>
      <c r="H1206" s="2" t="str">
        <f t="shared" si="94"/>
        <v>_</v>
      </c>
      <c r="I1206" s="2"/>
      <c r="J1206" s="2"/>
      <c r="K1206" s="2"/>
      <c r="L1206" s="2" t="str">
        <f t="shared" si="95"/>
        <v>_</v>
      </c>
      <c r="M1206" s="2"/>
      <c r="N1206" s="2">
        <f>IF(ISBLANK(Table2[[#This Row],[ActualResult]]), 0, 1)</f>
        <v>0</v>
      </c>
      <c r="O1206" s="2" t="str">
        <f>IF(ISBLANK(Table2[[#This Row],[ActualResult]]), "_", IF(Table2[[#This Row],[ActualWinner]]=Table2[[#This Row],[PredictedWinner]], "Y", "N"))</f>
        <v>_</v>
      </c>
      <c r="P12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6" s="2"/>
      <c r="S1206" s="2" t="str">
        <f t="shared" si="96"/>
        <v>_</v>
      </c>
      <c r="T12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6" s="2">
        <f>IF(Table2[[#This Row],[InterConf]]=1,IF(Table2[[#This Row],[InterDiv]]=0, 1, 0), 0)</f>
        <v>1</v>
      </c>
      <c r="W12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6" s="2"/>
      <c r="Y1206" s="2"/>
      <c r="Z1206" s="145">
        <f>IF(AND(Table2[[#This Row],[GameIsOver]]=1,Table2[[#This Row],[ActualHomeScore]]*Table2[[#This Row],[ActualAwayScore]]=0), 1,0)</f>
        <v>0</v>
      </c>
      <c r="AA12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6" s="2">
        <f>Table2[[#This Row],[ActualAwayScore]]-Table2[[#This Row],[PredictedAwayScore]]</f>
        <v>0</v>
      </c>
      <c r="AG1206" s="2">
        <f>Table2[[#This Row],[ActualHomeScore]]-Table2[[#This Row],[PredictedHomeScore]]</f>
        <v>0</v>
      </c>
      <c r="AH1206" s="2">
        <f t="shared" si="97"/>
        <v>0</v>
      </c>
      <c r="AI1206" s="2">
        <f t="shared" si="98"/>
        <v>0</v>
      </c>
      <c r="AJ1206" s="2"/>
      <c r="AK1206" s="3"/>
      <c r="AL1206" s="2">
        <f>IF(Table2[[#This Row],[GameIsOver]]=0,0,IF(Table2[[#This Row],[ActualWinner]]=Table2[[#This Row],[AwayTeam]], 1, 0))</f>
        <v>0</v>
      </c>
      <c r="AM1206" s="2">
        <f>IF(Table2[[#This Row],[GameIsOver]]=0,0,IF(Table2[[#This Row],[ActualWinner]]=Table2[[#This Row],[HomeTeam]], 1, 0))</f>
        <v>0</v>
      </c>
      <c r="AN1206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06" s="2" t="str">
        <f>INDEX(Sheet5!$B$2:$AG$33, MATCH(Table2[[#This Row],[AwayTeam]],Sheet5!$A$2:$A$33, 0), MATCH(Table2[[#This Row],[HomeTeam]],Sheet5!$A$2:$A$33, 0))</f>
        <v>0-0-0</v>
      </c>
      <c r="AP1206" s="2" t="str">
        <f>INDEX(Sheet5!$B$2:$AG$33, MATCH(Table2[[#This Row],[HomeTeam]],Sheet5!$A$2:$A$33, 0), MATCH(Table2[[#This Row],[AwayTeam]],Sheet5!$A$2:$A$33, 0))</f>
        <v>0-0-0</v>
      </c>
      <c r="AQ1206" s="2">
        <f>IF(Table2[[#This Row],[GameHasShutOut]], 1, 0)</f>
        <v>0</v>
      </c>
      <c r="AR1206" s="2">
        <f>IF(Table2[[#This Row],[ActualAwayScore]] + Table2[[#This Row],[ActualHomeScore]] &gt;= 10, 1, 0)</f>
        <v>0</v>
      </c>
      <c r="AS1206" s="2">
        <f>IF(ABS(Table2[[#This Row],[ActualAwayScore]]-Table2[[#This Row],[ActualHomeScore]])&gt;=5, 1, 0)</f>
        <v>0</v>
      </c>
      <c r="AT1206" s="2">
        <f>IF(Table2[[#This Row],[ActualAwayScore]] + Table2[[#This Row],[ActualHomeScore]] &lt;= 3, 1, 0)</f>
        <v>1</v>
      </c>
      <c r="AU1206" s="2"/>
      <c r="AV1206" s="2"/>
    </row>
    <row r="1207" spans="1:48" x14ac:dyDescent="0.25">
      <c r="A1207" s="3"/>
      <c r="B1207" s="3">
        <v>46115</v>
      </c>
      <c r="C1207" s="5">
        <v>2025021205</v>
      </c>
      <c r="D1207" s="2" t="s">
        <v>42</v>
      </c>
      <c r="E1207" s="2" t="s">
        <v>32</v>
      </c>
      <c r="F1207" s="2"/>
      <c r="G1207" s="2"/>
      <c r="H1207" s="2" t="str">
        <f t="shared" si="94"/>
        <v>_</v>
      </c>
      <c r="I1207" s="2"/>
      <c r="J1207" s="2"/>
      <c r="K1207" s="2"/>
      <c r="L1207" s="2" t="str">
        <f t="shared" si="95"/>
        <v>_</v>
      </c>
      <c r="M1207" s="2"/>
      <c r="N1207" s="2">
        <f>IF(ISBLANK(Table2[[#This Row],[ActualResult]]), 0, 1)</f>
        <v>0</v>
      </c>
      <c r="O1207" s="2" t="str">
        <f>IF(ISBLANK(Table2[[#This Row],[ActualResult]]), "_", IF(Table2[[#This Row],[ActualWinner]]=Table2[[#This Row],[PredictedWinner]], "Y", "N"))</f>
        <v>_</v>
      </c>
      <c r="P12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7" s="2"/>
      <c r="S1207" s="2" t="str">
        <f t="shared" si="96"/>
        <v>_</v>
      </c>
      <c r="T12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07" s="2">
        <f>IF(Table2[[#This Row],[InterConf]]=1,IF(Table2[[#This Row],[InterDiv]]=0, 1, 0), 0)</f>
        <v>0</v>
      </c>
      <c r="W12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7" s="2"/>
      <c r="Y1207" s="2"/>
      <c r="Z1207" s="145">
        <f>IF(AND(Table2[[#This Row],[GameIsOver]]=1,Table2[[#This Row],[ActualHomeScore]]*Table2[[#This Row],[ActualAwayScore]]=0), 1,0)</f>
        <v>0</v>
      </c>
      <c r="AA12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7" s="2">
        <f>Table2[[#This Row],[ActualAwayScore]]-Table2[[#This Row],[PredictedAwayScore]]</f>
        <v>0</v>
      </c>
      <c r="AG1207" s="2">
        <f>Table2[[#This Row],[ActualHomeScore]]-Table2[[#This Row],[PredictedHomeScore]]</f>
        <v>0</v>
      </c>
      <c r="AH1207" s="2">
        <f t="shared" si="97"/>
        <v>0</v>
      </c>
      <c r="AI1207" s="2">
        <f t="shared" si="98"/>
        <v>0</v>
      </c>
      <c r="AJ1207" s="2"/>
      <c r="AK1207" s="3"/>
      <c r="AL1207" s="2">
        <f>IF(Table2[[#This Row],[GameIsOver]]=0,0,IF(Table2[[#This Row],[ActualWinner]]=Table2[[#This Row],[AwayTeam]], 1, 0))</f>
        <v>0</v>
      </c>
      <c r="AM1207" s="2">
        <f>IF(Table2[[#This Row],[GameIsOver]]=0,0,IF(Table2[[#This Row],[ActualWinner]]=Table2[[#This Row],[HomeTeam]], 1, 0))</f>
        <v>0</v>
      </c>
      <c r="AN12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7" s="2" t="str">
        <f>INDEX(Sheet5!$B$2:$AG$33, MATCH(Table2[[#This Row],[AwayTeam]],Sheet5!$A$2:$A$33, 0), MATCH(Table2[[#This Row],[HomeTeam]],Sheet5!$A$2:$A$33, 0))</f>
        <v>0-0-0</v>
      </c>
      <c r="AP1207" s="2" t="str">
        <f>INDEX(Sheet5!$B$2:$AG$33, MATCH(Table2[[#This Row],[HomeTeam]],Sheet5!$A$2:$A$33, 0), MATCH(Table2[[#This Row],[AwayTeam]],Sheet5!$A$2:$A$33, 0))</f>
        <v>0-0-0</v>
      </c>
      <c r="AQ1207" s="2">
        <f>IF(Table2[[#This Row],[GameHasShutOut]], 1, 0)</f>
        <v>0</v>
      </c>
      <c r="AR1207" s="2">
        <f>IF(Table2[[#This Row],[ActualAwayScore]] + Table2[[#This Row],[ActualHomeScore]] &gt;= 10, 1, 0)</f>
        <v>0</v>
      </c>
      <c r="AS1207" s="2">
        <f>IF(ABS(Table2[[#This Row],[ActualAwayScore]]-Table2[[#This Row],[ActualHomeScore]])&gt;=5, 1, 0)</f>
        <v>0</v>
      </c>
      <c r="AT1207" s="2">
        <f>IF(Table2[[#This Row],[ActualAwayScore]] + Table2[[#This Row],[ActualHomeScore]] &lt;= 3, 1, 0)</f>
        <v>1</v>
      </c>
      <c r="AU1207" s="2"/>
      <c r="AV1207" s="2"/>
    </row>
    <row r="1208" spans="1:48" x14ac:dyDescent="0.25">
      <c r="A1208" s="3"/>
      <c r="B1208" s="3">
        <v>46116</v>
      </c>
      <c r="C1208" s="5">
        <v>2025021206</v>
      </c>
      <c r="D1208" s="2" t="s">
        <v>12</v>
      </c>
      <c r="E1208" s="2" t="s">
        <v>44</v>
      </c>
      <c r="F1208" s="2"/>
      <c r="G1208" s="2"/>
      <c r="H1208" s="2" t="str">
        <f t="shared" si="94"/>
        <v>_</v>
      </c>
      <c r="I1208" s="2"/>
      <c r="J1208" s="2"/>
      <c r="K1208" s="2"/>
      <c r="L1208" s="2" t="str">
        <f t="shared" si="95"/>
        <v>_</v>
      </c>
      <c r="M1208" s="2"/>
      <c r="N1208" s="2">
        <f>IF(ISBLANK(Table2[[#This Row],[ActualResult]]), 0, 1)</f>
        <v>0</v>
      </c>
      <c r="O1208" s="2" t="str">
        <f>IF(ISBLANK(Table2[[#This Row],[ActualResult]]), "_", IF(Table2[[#This Row],[ActualWinner]]=Table2[[#This Row],[PredictedWinner]], "Y", "N"))</f>
        <v>_</v>
      </c>
      <c r="P12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8" s="2"/>
      <c r="S1208" s="2" t="str">
        <f t="shared" si="96"/>
        <v>_</v>
      </c>
      <c r="T12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8" s="2">
        <f>IF(Table2[[#This Row],[InterConf]]=1,IF(Table2[[#This Row],[InterDiv]]=0, 1, 0), 0)</f>
        <v>1</v>
      </c>
      <c r="W12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8" s="2"/>
      <c r="Y1208" s="2"/>
      <c r="Z1208" s="145">
        <f>IF(AND(Table2[[#This Row],[GameIsOver]]=1,Table2[[#This Row],[ActualHomeScore]]*Table2[[#This Row],[ActualAwayScore]]=0), 1,0)</f>
        <v>0</v>
      </c>
      <c r="AA12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08" s="2">
        <f>Table2[[#This Row],[ActualAwayScore]]-Table2[[#This Row],[PredictedAwayScore]]</f>
        <v>0</v>
      </c>
      <c r="AG1208" s="2">
        <f>Table2[[#This Row],[ActualHomeScore]]-Table2[[#This Row],[PredictedHomeScore]]</f>
        <v>0</v>
      </c>
      <c r="AH1208" s="2">
        <f t="shared" si="97"/>
        <v>0</v>
      </c>
      <c r="AI1208" s="2">
        <f t="shared" si="98"/>
        <v>0</v>
      </c>
      <c r="AJ1208" s="2"/>
      <c r="AK1208" s="3"/>
      <c r="AL1208" s="2">
        <f>IF(Table2[[#This Row],[GameIsOver]]=0,0,IF(Table2[[#This Row],[ActualWinner]]=Table2[[#This Row],[AwayTeam]], 1, 0))</f>
        <v>0</v>
      </c>
      <c r="AM1208" s="2">
        <f>IF(Table2[[#This Row],[GameIsOver]]=0,0,IF(Table2[[#This Row],[ActualWinner]]=Table2[[#This Row],[HomeTeam]], 1, 0))</f>
        <v>0</v>
      </c>
      <c r="AN12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8" s="2" t="str">
        <f>INDEX(Sheet5!$B$2:$AG$33, MATCH(Table2[[#This Row],[AwayTeam]],Sheet5!$A$2:$A$33, 0), MATCH(Table2[[#This Row],[HomeTeam]],Sheet5!$A$2:$A$33, 0))</f>
        <v>0-0-0</v>
      </c>
      <c r="AP1208" s="2" t="str">
        <f>INDEX(Sheet5!$B$2:$AG$33, MATCH(Table2[[#This Row],[HomeTeam]],Sheet5!$A$2:$A$33, 0), MATCH(Table2[[#This Row],[AwayTeam]],Sheet5!$A$2:$A$33, 0))</f>
        <v>0-0-0</v>
      </c>
      <c r="AQ1208" s="2">
        <f>IF(Table2[[#This Row],[GameHasShutOut]], 1, 0)</f>
        <v>0</v>
      </c>
      <c r="AR1208" s="2">
        <f>IF(Table2[[#This Row],[ActualAwayScore]] + Table2[[#This Row],[ActualHomeScore]] &gt;= 10, 1, 0)</f>
        <v>0</v>
      </c>
      <c r="AS1208" s="2">
        <f>IF(ABS(Table2[[#This Row],[ActualAwayScore]]-Table2[[#This Row],[ActualHomeScore]])&gt;=5, 1, 0)</f>
        <v>0</v>
      </c>
      <c r="AT1208" s="2">
        <f>IF(Table2[[#This Row],[ActualAwayScore]] + Table2[[#This Row],[ActualHomeScore]] &lt;= 3, 1, 0)</f>
        <v>1</v>
      </c>
      <c r="AU1208" s="2"/>
      <c r="AV1208" s="2"/>
    </row>
    <row r="1209" spans="1:48" x14ac:dyDescent="0.25">
      <c r="A1209" s="3"/>
      <c r="B1209" s="3">
        <v>46116</v>
      </c>
      <c r="C1209" s="5">
        <v>2025021207</v>
      </c>
      <c r="D1209" s="2" t="s">
        <v>30</v>
      </c>
      <c r="E1209" s="2" t="s">
        <v>19</v>
      </c>
      <c r="F1209" s="2"/>
      <c r="G1209" s="2"/>
      <c r="H1209" s="2" t="str">
        <f t="shared" si="94"/>
        <v>_</v>
      </c>
      <c r="I1209" s="2"/>
      <c r="J1209" s="2"/>
      <c r="K1209" s="2"/>
      <c r="L1209" s="2" t="str">
        <f t="shared" si="95"/>
        <v>_</v>
      </c>
      <c r="M1209" s="2"/>
      <c r="N1209" s="2">
        <f>IF(ISBLANK(Table2[[#This Row],[ActualResult]]), 0, 1)</f>
        <v>0</v>
      </c>
      <c r="O1209" s="2" t="str">
        <f>IF(ISBLANK(Table2[[#This Row],[ActualResult]]), "_", IF(Table2[[#This Row],[ActualWinner]]=Table2[[#This Row],[PredictedWinner]], "Y", "N"))</f>
        <v>_</v>
      </c>
      <c r="P12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9" s="2"/>
      <c r="S1209" s="2" t="str">
        <f t="shared" si="96"/>
        <v>_</v>
      </c>
      <c r="T12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9" s="2">
        <f>IF(Table2[[#This Row],[InterConf]]=1,IF(Table2[[#This Row],[InterDiv]]=0, 1, 0), 0)</f>
        <v>1</v>
      </c>
      <c r="W12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9" s="2"/>
      <c r="Y1209" s="2"/>
      <c r="Z1209" s="145">
        <f>IF(AND(Table2[[#This Row],[GameIsOver]]=1,Table2[[#This Row],[ActualHomeScore]]*Table2[[#This Row],[ActualAwayScore]]=0), 1,0)</f>
        <v>0</v>
      </c>
      <c r="AA12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09" s="2">
        <f>Table2[[#This Row],[ActualAwayScore]]-Table2[[#This Row],[PredictedAwayScore]]</f>
        <v>0</v>
      </c>
      <c r="AG1209" s="2">
        <f>Table2[[#This Row],[ActualHomeScore]]-Table2[[#This Row],[PredictedHomeScore]]</f>
        <v>0</v>
      </c>
      <c r="AH1209" s="2">
        <f t="shared" si="97"/>
        <v>0</v>
      </c>
      <c r="AI1209" s="2">
        <f t="shared" si="98"/>
        <v>0</v>
      </c>
      <c r="AJ1209" s="2"/>
      <c r="AK1209" s="3"/>
      <c r="AL1209" s="2">
        <f>IF(Table2[[#This Row],[GameIsOver]]=0,0,IF(Table2[[#This Row],[ActualWinner]]=Table2[[#This Row],[AwayTeam]], 1, 0))</f>
        <v>0</v>
      </c>
      <c r="AM1209" s="2">
        <f>IF(Table2[[#This Row],[GameIsOver]]=0,0,IF(Table2[[#This Row],[ActualWinner]]=Table2[[#This Row],[HomeTeam]], 1, 0))</f>
        <v>0</v>
      </c>
      <c r="AN12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9" s="2" t="str">
        <f>INDEX(Sheet5!$B$2:$AG$33, MATCH(Table2[[#This Row],[AwayTeam]],Sheet5!$A$2:$A$33, 0), MATCH(Table2[[#This Row],[HomeTeam]],Sheet5!$A$2:$A$33, 0))</f>
        <v>0-0-0</v>
      </c>
      <c r="AP1209" s="2" t="str">
        <f>INDEX(Sheet5!$B$2:$AG$33, MATCH(Table2[[#This Row],[HomeTeam]],Sheet5!$A$2:$A$33, 0), MATCH(Table2[[#This Row],[AwayTeam]],Sheet5!$A$2:$A$33, 0))</f>
        <v>0-0-0</v>
      </c>
      <c r="AQ1209" s="2">
        <f>IF(Table2[[#This Row],[GameHasShutOut]], 1, 0)</f>
        <v>0</v>
      </c>
      <c r="AR1209" s="2">
        <f>IF(Table2[[#This Row],[ActualAwayScore]] + Table2[[#This Row],[ActualHomeScore]] &gt;= 10, 1, 0)</f>
        <v>0</v>
      </c>
      <c r="AS1209" s="2">
        <f>IF(ABS(Table2[[#This Row],[ActualAwayScore]]-Table2[[#This Row],[ActualHomeScore]])&gt;=5, 1, 0)</f>
        <v>0</v>
      </c>
      <c r="AT1209" s="2">
        <f>IF(Table2[[#This Row],[ActualAwayScore]] + Table2[[#This Row],[ActualHomeScore]] &lt;= 3, 1, 0)</f>
        <v>1</v>
      </c>
      <c r="AU1209" s="2"/>
      <c r="AV1209" s="2"/>
    </row>
    <row r="1210" spans="1:48" x14ac:dyDescent="0.25">
      <c r="A1210" s="3"/>
      <c r="B1210" s="3">
        <v>46116</v>
      </c>
      <c r="C1210" s="5">
        <v>2025021208</v>
      </c>
      <c r="D1210" s="2" t="s">
        <v>36</v>
      </c>
      <c r="E1210" s="2" t="s">
        <v>29</v>
      </c>
      <c r="F1210" s="2"/>
      <c r="G1210" s="2"/>
      <c r="H1210" s="2" t="str">
        <f t="shared" si="94"/>
        <v>_</v>
      </c>
      <c r="I1210" s="2"/>
      <c r="J1210" s="2"/>
      <c r="K1210" s="2"/>
      <c r="L1210" s="2" t="str">
        <f t="shared" si="95"/>
        <v>_</v>
      </c>
      <c r="M1210" s="2"/>
      <c r="N1210" s="2">
        <f>IF(ISBLANK(Table2[[#This Row],[ActualResult]]), 0, 1)</f>
        <v>0</v>
      </c>
      <c r="O1210" s="2" t="str">
        <f>IF(ISBLANK(Table2[[#This Row],[ActualResult]]), "_", IF(Table2[[#This Row],[ActualWinner]]=Table2[[#This Row],[PredictedWinner]], "Y", "N"))</f>
        <v>_</v>
      </c>
      <c r="P12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0" s="2"/>
      <c r="S1210" s="2" t="str">
        <f t="shared" si="96"/>
        <v>_</v>
      </c>
      <c r="T12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0" s="2">
        <f>IF(Table2[[#This Row],[InterConf]]=1,IF(Table2[[#This Row],[InterDiv]]=0, 1, 0), 0)</f>
        <v>0</v>
      </c>
      <c r="W12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10" s="2"/>
      <c r="Y1210" s="2"/>
      <c r="Z1210" s="145">
        <f>IF(AND(Table2[[#This Row],[GameIsOver]]=1,Table2[[#This Row],[ActualHomeScore]]*Table2[[#This Row],[ActualAwayScore]]=0), 1,0)</f>
        <v>0</v>
      </c>
      <c r="AA12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0" s="2">
        <f>Table2[[#This Row],[ActualAwayScore]]-Table2[[#This Row],[PredictedAwayScore]]</f>
        <v>0</v>
      </c>
      <c r="AG1210" s="2">
        <f>Table2[[#This Row],[ActualHomeScore]]-Table2[[#This Row],[PredictedHomeScore]]</f>
        <v>0</v>
      </c>
      <c r="AH1210" s="2">
        <f t="shared" si="97"/>
        <v>0</v>
      </c>
      <c r="AI1210" s="2">
        <f t="shared" si="98"/>
        <v>0</v>
      </c>
      <c r="AJ1210" s="2"/>
      <c r="AK1210" s="3"/>
      <c r="AL1210" s="2">
        <f>IF(Table2[[#This Row],[GameIsOver]]=0,0,IF(Table2[[#This Row],[ActualWinner]]=Table2[[#This Row],[AwayTeam]], 1, 0))</f>
        <v>0</v>
      </c>
      <c r="AM1210" s="2">
        <f>IF(Table2[[#This Row],[GameIsOver]]=0,0,IF(Table2[[#This Row],[ActualWinner]]=Table2[[#This Row],[HomeTeam]], 1, 0))</f>
        <v>0</v>
      </c>
      <c r="AN12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0" s="2" t="str">
        <f>INDEX(Sheet5!$B$2:$AG$33, MATCH(Table2[[#This Row],[AwayTeam]],Sheet5!$A$2:$A$33, 0), MATCH(Table2[[#This Row],[HomeTeam]],Sheet5!$A$2:$A$33, 0))</f>
        <v>0-0-0</v>
      </c>
      <c r="AP1210" s="2" t="str">
        <f>INDEX(Sheet5!$B$2:$AG$33, MATCH(Table2[[#This Row],[HomeTeam]],Sheet5!$A$2:$A$33, 0), MATCH(Table2[[#This Row],[AwayTeam]],Sheet5!$A$2:$A$33, 0))</f>
        <v>0-0-0</v>
      </c>
      <c r="AQ1210" s="2">
        <f>IF(Table2[[#This Row],[GameHasShutOut]], 1, 0)</f>
        <v>0</v>
      </c>
      <c r="AR1210" s="2">
        <f>IF(Table2[[#This Row],[ActualAwayScore]] + Table2[[#This Row],[ActualHomeScore]] &gt;= 10, 1, 0)</f>
        <v>0</v>
      </c>
      <c r="AS1210" s="2">
        <f>IF(ABS(Table2[[#This Row],[ActualAwayScore]]-Table2[[#This Row],[ActualHomeScore]])&gt;=5, 1, 0)</f>
        <v>0</v>
      </c>
      <c r="AT1210" s="2">
        <f>IF(Table2[[#This Row],[ActualAwayScore]] + Table2[[#This Row],[ActualHomeScore]] &lt;= 3, 1, 0)</f>
        <v>1</v>
      </c>
      <c r="AU1210" s="2"/>
      <c r="AV1210" s="2"/>
    </row>
    <row r="1211" spans="1:48" x14ac:dyDescent="0.25">
      <c r="A1211" s="3"/>
      <c r="B1211" s="3">
        <v>46116</v>
      </c>
      <c r="C1211" s="5">
        <v>2025021209</v>
      </c>
      <c r="D1211" s="2" t="s">
        <v>25</v>
      </c>
      <c r="E1211" s="2" t="s">
        <v>33</v>
      </c>
      <c r="F1211" s="2"/>
      <c r="G1211" s="2"/>
      <c r="H1211" s="2" t="str">
        <f t="shared" si="94"/>
        <v>_</v>
      </c>
      <c r="I1211" s="2"/>
      <c r="J1211" s="2"/>
      <c r="K1211" s="2"/>
      <c r="L1211" s="2" t="str">
        <f t="shared" si="95"/>
        <v>_</v>
      </c>
      <c r="M1211" s="2"/>
      <c r="N1211" s="2">
        <f>IF(ISBLANK(Table2[[#This Row],[ActualResult]]), 0, 1)</f>
        <v>0</v>
      </c>
      <c r="O1211" s="2" t="str">
        <f>IF(ISBLANK(Table2[[#This Row],[ActualResult]]), "_", IF(Table2[[#This Row],[ActualWinner]]=Table2[[#This Row],[PredictedWinner]], "Y", "N"))</f>
        <v>_</v>
      </c>
      <c r="P12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1" s="2"/>
      <c r="S1211" s="2" t="str">
        <f t="shared" si="96"/>
        <v>_</v>
      </c>
      <c r="T12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11" s="2">
        <f>IF(Table2[[#This Row],[InterConf]]=1,IF(Table2[[#This Row],[InterDiv]]=0, 1, 0), 0)</f>
        <v>0</v>
      </c>
      <c r="W12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1" s="2"/>
      <c r="Y1211" s="2"/>
      <c r="Z1211" s="145">
        <f>IF(AND(Table2[[#This Row],[GameIsOver]]=1,Table2[[#This Row],[ActualHomeScore]]*Table2[[#This Row],[ActualAwayScore]]=0), 1,0)</f>
        <v>0</v>
      </c>
      <c r="AA12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1" s="2">
        <f>Table2[[#This Row],[ActualAwayScore]]-Table2[[#This Row],[PredictedAwayScore]]</f>
        <v>0</v>
      </c>
      <c r="AG1211" s="2">
        <f>Table2[[#This Row],[ActualHomeScore]]-Table2[[#This Row],[PredictedHomeScore]]</f>
        <v>0</v>
      </c>
      <c r="AH1211" s="2">
        <f t="shared" si="97"/>
        <v>0</v>
      </c>
      <c r="AI1211" s="2">
        <f t="shared" si="98"/>
        <v>0</v>
      </c>
      <c r="AJ1211" s="2"/>
      <c r="AK1211" s="3"/>
      <c r="AL1211" s="2">
        <f>IF(Table2[[#This Row],[GameIsOver]]=0,0,IF(Table2[[#This Row],[ActualWinner]]=Table2[[#This Row],[AwayTeam]], 1, 0))</f>
        <v>0</v>
      </c>
      <c r="AM1211" s="2">
        <f>IF(Table2[[#This Row],[GameIsOver]]=0,0,IF(Table2[[#This Row],[ActualWinner]]=Table2[[#This Row],[HomeTeam]], 1, 0))</f>
        <v>0</v>
      </c>
      <c r="AN12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1" s="2" t="str">
        <f>INDEX(Sheet5!$B$2:$AG$33, MATCH(Table2[[#This Row],[AwayTeam]],Sheet5!$A$2:$A$33, 0), MATCH(Table2[[#This Row],[HomeTeam]],Sheet5!$A$2:$A$33, 0))</f>
        <v>0-0-1</v>
      </c>
      <c r="AP1211" s="2" t="str">
        <f>INDEX(Sheet5!$B$2:$AG$33, MATCH(Table2[[#This Row],[HomeTeam]],Sheet5!$A$2:$A$33, 0), MATCH(Table2[[#This Row],[AwayTeam]],Sheet5!$A$2:$A$33, 0))</f>
        <v>1-0-0</v>
      </c>
      <c r="AQ1211" s="2">
        <f>IF(Table2[[#This Row],[GameHasShutOut]], 1, 0)</f>
        <v>0</v>
      </c>
      <c r="AR1211" s="2">
        <f>IF(Table2[[#This Row],[ActualAwayScore]] + Table2[[#This Row],[ActualHomeScore]] &gt;= 10, 1, 0)</f>
        <v>0</v>
      </c>
      <c r="AS1211" s="2">
        <f>IF(ABS(Table2[[#This Row],[ActualAwayScore]]-Table2[[#This Row],[ActualHomeScore]])&gt;=5, 1, 0)</f>
        <v>0</v>
      </c>
      <c r="AT1211" s="2">
        <f>IF(Table2[[#This Row],[ActualAwayScore]] + Table2[[#This Row],[ActualHomeScore]] &lt;= 3, 1, 0)</f>
        <v>1</v>
      </c>
      <c r="AU1211" s="2"/>
      <c r="AV1211" s="2"/>
    </row>
    <row r="1212" spans="1:48" x14ac:dyDescent="0.25">
      <c r="A1212" s="3"/>
      <c r="B1212" s="3">
        <v>46116</v>
      </c>
      <c r="C1212" s="5">
        <v>2025021210</v>
      </c>
      <c r="D1212" s="2" t="s">
        <v>15</v>
      </c>
      <c r="E1212" s="2" t="s">
        <v>40</v>
      </c>
      <c r="F1212" s="2"/>
      <c r="G1212" s="2"/>
      <c r="H1212" s="2" t="str">
        <f t="shared" si="94"/>
        <v>_</v>
      </c>
      <c r="I1212" s="2"/>
      <c r="J1212" s="2"/>
      <c r="K1212" s="2"/>
      <c r="L1212" s="2" t="str">
        <f t="shared" si="95"/>
        <v>_</v>
      </c>
      <c r="M1212" s="2"/>
      <c r="N1212" s="2">
        <f>IF(ISBLANK(Table2[[#This Row],[ActualResult]]), 0, 1)</f>
        <v>0</v>
      </c>
      <c r="O1212" s="2" t="str">
        <f>IF(ISBLANK(Table2[[#This Row],[ActualResult]]), "_", IF(Table2[[#This Row],[ActualWinner]]=Table2[[#This Row],[PredictedWinner]], "Y", "N"))</f>
        <v>_</v>
      </c>
      <c r="P12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2" s="2"/>
      <c r="S1212" s="2" t="str">
        <f t="shared" si="96"/>
        <v>_</v>
      </c>
      <c r="T12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12" s="2">
        <f>IF(Table2[[#This Row],[InterConf]]=1,IF(Table2[[#This Row],[InterDiv]]=0, 1, 0), 0)</f>
        <v>0</v>
      </c>
      <c r="W12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2" s="2"/>
      <c r="Y1212" s="2"/>
      <c r="Z1212" s="145">
        <f>IF(AND(Table2[[#This Row],[GameIsOver]]=1,Table2[[#This Row],[ActualHomeScore]]*Table2[[#This Row],[ActualAwayScore]]=0), 1,0)</f>
        <v>0</v>
      </c>
      <c r="AA12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2" s="2">
        <f>Table2[[#This Row],[ActualAwayScore]]-Table2[[#This Row],[PredictedAwayScore]]</f>
        <v>0</v>
      </c>
      <c r="AG1212" s="2">
        <f>Table2[[#This Row],[ActualHomeScore]]-Table2[[#This Row],[PredictedHomeScore]]</f>
        <v>0</v>
      </c>
      <c r="AH1212" s="2">
        <f t="shared" si="97"/>
        <v>0</v>
      </c>
      <c r="AI1212" s="2">
        <f t="shared" si="98"/>
        <v>0</v>
      </c>
      <c r="AJ1212" s="2"/>
      <c r="AK1212" s="3"/>
      <c r="AL1212" s="2">
        <f>IF(Table2[[#This Row],[GameIsOver]]=0,0,IF(Table2[[#This Row],[ActualWinner]]=Table2[[#This Row],[AwayTeam]], 1, 0))</f>
        <v>0</v>
      </c>
      <c r="AM1212" s="2">
        <f>IF(Table2[[#This Row],[GameIsOver]]=0,0,IF(Table2[[#This Row],[ActualWinner]]=Table2[[#This Row],[HomeTeam]], 1, 0))</f>
        <v>0</v>
      </c>
      <c r="AN12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2" s="2" t="str">
        <f>INDEX(Sheet5!$B$2:$AG$33, MATCH(Table2[[#This Row],[AwayTeam]],Sheet5!$A$2:$A$33, 0), MATCH(Table2[[#This Row],[HomeTeam]],Sheet5!$A$2:$A$33, 0))</f>
        <v>0-1-0</v>
      </c>
      <c r="AP1212" s="2" t="str">
        <f>INDEX(Sheet5!$B$2:$AG$33, MATCH(Table2[[#This Row],[HomeTeam]],Sheet5!$A$2:$A$33, 0), MATCH(Table2[[#This Row],[AwayTeam]],Sheet5!$A$2:$A$33, 0))</f>
        <v>1-0-0</v>
      </c>
      <c r="AQ1212" s="2">
        <f>IF(Table2[[#This Row],[GameHasShutOut]], 1, 0)</f>
        <v>0</v>
      </c>
      <c r="AR1212" s="2">
        <f>IF(Table2[[#This Row],[ActualAwayScore]] + Table2[[#This Row],[ActualHomeScore]] &gt;= 10, 1, 0)</f>
        <v>0</v>
      </c>
      <c r="AS1212" s="2">
        <f>IF(ABS(Table2[[#This Row],[ActualAwayScore]]-Table2[[#This Row],[ActualHomeScore]])&gt;=5, 1, 0)</f>
        <v>0</v>
      </c>
      <c r="AT1212" s="2">
        <f>IF(Table2[[#This Row],[ActualAwayScore]] + Table2[[#This Row],[ActualHomeScore]] &lt;= 3, 1, 0)</f>
        <v>1</v>
      </c>
      <c r="AU1212" s="2"/>
      <c r="AV1212" s="2"/>
    </row>
    <row r="1213" spans="1:48" x14ac:dyDescent="0.25">
      <c r="A1213" s="3"/>
      <c r="B1213" s="3">
        <v>46116</v>
      </c>
      <c r="C1213" s="5">
        <v>2025021211</v>
      </c>
      <c r="D1213" s="2" t="s">
        <v>13</v>
      </c>
      <c r="E1213" s="2" t="s">
        <v>20</v>
      </c>
      <c r="F1213" s="2"/>
      <c r="G1213" s="2"/>
      <c r="H1213" s="2" t="str">
        <f t="shared" si="94"/>
        <v>_</v>
      </c>
      <c r="I1213" s="2"/>
      <c r="J1213" s="2"/>
      <c r="K1213" s="2"/>
      <c r="L1213" s="2" t="str">
        <f t="shared" si="95"/>
        <v>_</v>
      </c>
      <c r="M1213" s="2"/>
      <c r="N1213" s="2">
        <f>IF(ISBLANK(Table2[[#This Row],[ActualResult]]), 0, 1)</f>
        <v>0</v>
      </c>
      <c r="O1213" s="2" t="str">
        <f>IF(ISBLANK(Table2[[#This Row],[ActualResult]]), "_", IF(Table2[[#This Row],[ActualWinner]]=Table2[[#This Row],[PredictedWinner]], "Y", "N"))</f>
        <v>_</v>
      </c>
      <c r="P12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3" s="2"/>
      <c r="S1213" s="2" t="str">
        <f t="shared" si="96"/>
        <v>_</v>
      </c>
      <c r="T12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3" s="2">
        <f>IF(Table2[[#This Row],[InterConf]]=1,IF(Table2[[#This Row],[InterDiv]]=0, 1, 0), 0)</f>
        <v>1</v>
      </c>
      <c r="W12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3" s="2"/>
      <c r="Y1213" s="2"/>
      <c r="Z1213" s="145">
        <f>IF(AND(Table2[[#This Row],[GameIsOver]]=1,Table2[[#This Row],[ActualHomeScore]]*Table2[[#This Row],[ActualAwayScore]]=0), 1,0)</f>
        <v>0</v>
      </c>
      <c r="AA12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3" s="2">
        <f>Table2[[#This Row],[ActualAwayScore]]-Table2[[#This Row],[PredictedAwayScore]]</f>
        <v>0</v>
      </c>
      <c r="AG1213" s="2">
        <f>Table2[[#This Row],[ActualHomeScore]]-Table2[[#This Row],[PredictedHomeScore]]</f>
        <v>0</v>
      </c>
      <c r="AH1213" s="2">
        <f t="shared" si="97"/>
        <v>0</v>
      </c>
      <c r="AI1213" s="2">
        <f t="shared" si="98"/>
        <v>0</v>
      </c>
      <c r="AJ1213" s="2"/>
      <c r="AK1213" s="3"/>
      <c r="AL1213" s="2">
        <f>IF(Table2[[#This Row],[GameIsOver]]=0,0,IF(Table2[[#This Row],[ActualWinner]]=Table2[[#This Row],[AwayTeam]], 1, 0))</f>
        <v>0</v>
      </c>
      <c r="AM1213" s="2">
        <f>IF(Table2[[#This Row],[GameIsOver]]=0,0,IF(Table2[[#This Row],[ActualWinner]]=Table2[[#This Row],[HomeTeam]], 1, 0))</f>
        <v>0</v>
      </c>
      <c r="AN12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3" s="2" t="str">
        <f>INDEX(Sheet5!$B$2:$AG$33, MATCH(Table2[[#This Row],[AwayTeam]],Sheet5!$A$2:$A$33, 0), MATCH(Table2[[#This Row],[HomeTeam]],Sheet5!$A$2:$A$33, 0))</f>
        <v>0-0-0</v>
      </c>
      <c r="AP1213" s="2" t="str">
        <f>INDEX(Sheet5!$B$2:$AG$33, MATCH(Table2[[#This Row],[HomeTeam]],Sheet5!$A$2:$A$33, 0), MATCH(Table2[[#This Row],[AwayTeam]],Sheet5!$A$2:$A$33, 0))</f>
        <v>0-0-0</v>
      </c>
      <c r="AQ1213" s="2">
        <f>IF(Table2[[#This Row],[GameHasShutOut]], 1, 0)</f>
        <v>0</v>
      </c>
      <c r="AR1213" s="2">
        <f>IF(Table2[[#This Row],[ActualAwayScore]] + Table2[[#This Row],[ActualHomeScore]] &gt;= 10, 1, 0)</f>
        <v>0</v>
      </c>
      <c r="AS1213" s="2">
        <f>IF(ABS(Table2[[#This Row],[ActualAwayScore]]-Table2[[#This Row],[ActualHomeScore]])&gt;=5, 1, 0)</f>
        <v>0</v>
      </c>
      <c r="AT1213" s="2">
        <f>IF(Table2[[#This Row],[ActualAwayScore]] + Table2[[#This Row],[ActualHomeScore]] &lt;= 3, 1, 0)</f>
        <v>1</v>
      </c>
      <c r="AU1213" s="2"/>
      <c r="AV1213" s="2"/>
    </row>
    <row r="1214" spans="1:48" x14ac:dyDescent="0.25">
      <c r="A1214" s="3"/>
      <c r="B1214" s="3">
        <v>46116</v>
      </c>
      <c r="C1214" s="5">
        <v>2025021212</v>
      </c>
      <c r="D1214" s="2" t="s">
        <v>18</v>
      </c>
      <c r="E1214" s="2" t="s">
        <v>31</v>
      </c>
      <c r="F1214" s="2"/>
      <c r="G1214" s="2"/>
      <c r="H1214" s="2" t="str">
        <f t="shared" si="94"/>
        <v>_</v>
      </c>
      <c r="I1214" s="2"/>
      <c r="J1214" s="2"/>
      <c r="K1214" s="2"/>
      <c r="L1214" s="2" t="str">
        <f t="shared" si="95"/>
        <v>_</v>
      </c>
      <c r="M1214" s="2"/>
      <c r="N1214" s="2">
        <f>IF(ISBLANK(Table2[[#This Row],[ActualResult]]), 0, 1)</f>
        <v>0</v>
      </c>
      <c r="O1214" s="2" t="str">
        <f>IF(ISBLANK(Table2[[#This Row],[ActualResult]]), "_", IF(Table2[[#This Row],[ActualWinner]]=Table2[[#This Row],[PredictedWinner]], "Y", "N"))</f>
        <v>_</v>
      </c>
      <c r="P12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4" s="2"/>
      <c r="S1214" s="2" t="str">
        <f t="shared" si="96"/>
        <v>_</v>
      </c>
      <c r="T12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4" s="2">
        <f>IF(Table2[[#This Row],[InterConf]]=1,IF(Table2[[#This Row],[InterDiv]]=0, 1, 0), 0)</f>
        <v>1</v>
      </c>
      <c r="W12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4" s="2"/>
      <c r="Y1214" s="2"/>
      <c r="Z1214" s="145">
        <f>IF(AND(Table2[[#This Row],[GameIsOver]]=1,Table2[[#This Row],[ActualHomeScore]]*Table2[[#This Row],[ActualAwayScore]]=0), 1,0)</f>
        <v>0</v>
      </c>
      <c r="AA12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4" s="2">
        <f>Table2[[#This Row],[ActualAwayScore]]-Table2[[#This Row],[PredictedAwayScore]]</f>
        <v>0</v>
      </c>
      <c r="AG1214" s="2">
        <f>Table2[[#This Row],[ActualHomeScore]]-Table2[[#This Row],[PredictedHomeScore]]</f>
        <v>0</v>
      </c>
      <c r="AH1214" s="2">
        <f t="shared" si="97"/>
        <v>0</v>
      </c>
      <c r="AI1214" s="2">
        <f t="shared" si="98"/>
        <v>0</v>
      </c>
      <c r="AJ1214" s="2"/>
      <c r="AK1214" s="3"/>
      <c r="AL1214" s="2">
        <f>IF(Table2[[#This Row],[GameIsOver]]=0,0,IF(Table2[[#This Row],[ActualWinner]]=Table2[[#This Row],[AwayTeam]], 1, 0))</f>
        <v>0</v>
      </c>
      <c r="AM1214" s="2">
        <f>IF(Table2[[#This Row],[GameIsOver]]=0,0,IF(Table2[[#This Row],[ActualWinner]]=Table2[[#This Row],[HomeTeam]], 1, 0))</f>
        <v>0</v>
      </c>
      <c r="AN12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4" s="2" t="str">
        <f>INDEX(Sheet5!$B$2:$AG$33, MATCH(Table2[[#This Row],[AwayTeam]],Sheet5!$A$2:$A$33, 0), MATCH(Table2[[#This Row],[HomeTeam]],Sheet5!$A$2:$A$33, 0))</f>
        <v>0-0-0</v>
      </c>
      <c r="AP1214" s="2" t="str">
        <f>INDEX(Sheet5!$B$2:$AG$33, MATCH(Table2[[#This Row],[HomeTeam]],Sheet5!$A$2:$A$33, 0), MATCH(Table2[[#This Row],[AwayTeam]],Sheet5!$A$2:$A$33, 0))</f>
        <v>0-0-0</v>
      </c>
      <c r="AQ1214" s="2">
        <f>IF(Table2[[#This Row],[GameHasShutOut]], 1, 0)</f>
        <v>0</v>
      </c>
      <c r="AR1214" s="2">
        <f>IF(Table2[[#This Row],[ActualAwayScore]] + Table2[[#This Row],[ActualHomeScore]] &gt;= 10, 1, 0)</f>
        <v>0</v>
      </c>
      <c r="AS1214" s="2">
        <f>IF(ABS(Table2[[#This Row],[ActualAwayScore]]-Table2[[#This Row],[ActualHomeScore]])&gt;=5, 1, 0)</f>
        <v>0</v>
      </c>
      <c r="AT1214" s="2">
        <f>IF(Table2[[#This Row],[ActualAwayScore]] + Table2[[#This Row],[ActualHomeScore]] &lt;= 3, 1, 0)</f>
        <v>1</v>
      </c>
      <c r="AU1214" s="2"/>
      <c r="AV1214" s="2"/>
    </row>
    <row r="1215" spans="1:48" x14ac:dyDescent="0.25">
      <c r="A1215" s="3"/>
      <c r="B1215" s="3">
        <v>46116</v>
      </c>
      <c r="C1215" s="5">
        <v>2025021213</v>
      </c>
      <c r="D1215" s="2" t="s">
        <v>28</v>
      </c>
      <c r="E1215" s="2" t="s">
        <v>43</v>
      </c>
      <c r="F1215" s="2"/>
      <c r="G1215" s="2"/>
      <c r="H1215" s="2" t="str">
        <f t="shared" si="94"/>
        <v>_</v>
      </c>
      <c r="I1215" s="2"/>
      <c r="J1215" s="2"/>
      <c r="K1215" s="2"/>
      <c r="L1215" s="2" t="str">
        <f t="shared" si="95"/>
        <v>_</v>
      </c>
      <c r="M1215" s="2"/>
      <c r="N1215" s="2">
        <f>IF(ISBLANK(Table2[[#This Row],[ActualResult]]), 0, 1)</f>
        <v>0</v>
      </c>
      <c r="O1215" s="2" t="str">
        <f>IF(ISBLANK(Table2[[#This Row],[ActualResult]]), "_", IF(Table2[[#This Row],[ActualWinner]]=Table2[[#This Row],[PredictedWinner]], "Y", "N"))</f>
        <v>_</v>
      </c>
      <c r="P12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5" s="2"/>
      <c r="S1215" s="2" t="str">
        <f t="shared" si="96"/>
        <v>_</v>
      </c>
      <c r="T12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5" s="2">
        <f>IF(Table2[[#This Row],[InterConf]]=1,IF(Table2[[#This Row],[InterDiv]]=0, 1, 0), 0)</f>
        <v>1</v>
      </c>
      <c r="W12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5" s="2"/>
      <c r="Y1215" s="2"/>
      <c r="Z1215" s="145">
        <f>IF(AND(Table2[[#This Row],[GameIsOver]]=1,Table2[[#This Row],[ActualHomeScore]]*Table2[[#This Row],[ActualAwayScore]]=0), 1,0)</f>
        <v>0</v>
      </c>
      <c r="AA12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5" s="2">
        <f>Table2[[#This Row],[ActualAwayScore]]-Table2[[#This Row],[PredictedAwayScore]]</f>
        <v>0</v>
      </c>
      <c r="AG1215" s="2">
        <f>Table2[[#This Row],[ActualHomeScore]]-Table2[[#This Row],[PredictedHomeScore]]</f>
        <v>0</v>
      </c>
      <c r="AH1215" s="2">
        <f t="shared" si="97"/>
        <v>0</v>
      </c>
      <c r="AI1215" s="2">
        <f t="shared" si="98"/>
        <v>0</v>
      </c>
      <c r="AJ1215" s="2"/>
      <c r="AK1215" s="3"/>
      <c r="AL1215" s="2">
        <f>IF(Table2[[#This Row],[GameIsOver]]=0,0,IF(Table2[[#This Row],[ActualWinner]]=Table2[[#This Row],[AwayTeam]], 1, 0))</f>
        <v>0</v>
      </c>
      <c r="AM1215" s="2">
        <f>IF(Table2[[#This Row],[GameIsOver]]=0,0,IF(Table2[[#This Row],[ActualWinner]]=Table2[[#This Row],[HomeTeam]], 1, 0))</f>
        <v>0</v>
      </c>
      <c r="AN12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5" s="2" t="str">
        <f>INDEX(Sheet5!$B$2:$AG$33, MATCH(Table2[[#This Row],[AwayTeam]],Sheet5!$A$2:$A$33, 0), MATCH(Table2[[#This Row],[HomeTeam]],Sheet5!$A$2:$A$33, 0))</f>
        <v>0-0-0</v>
      </c>
      <c r="AP1215" s="2" t="str">
        <f>INDEX(Sheet5!$B$2:$AG$33, MATCH(Table2[[#This Row],[HomeTeam]],Sheet5!$A$2:$A$33, 0), MATCH(Table2[[#This Row],[AwayTeam]],Sheet5!$A$2:$A$33, 0))</f>
        <v>0-0-0</v>
      </c>
      <c r="AQ1215" s="2">
        <f>IF(Table2[[#This Row],[GameHasShutOut]], 1, 0)</f>
        <v>0</v>
      </c>
      <c r="AR1215" s="2">
        <f>IF(Table2[[#This Row],[ActualAwayScore]] + Table2[[#This Row],[ActualHomeScore]] &gt;= 10, 1, 0)</f>
        <v>0</v>
      </c>
      <c r="AS1215" s="2">
        <f>IF(ABS(Table2[[#This Row],[ActualAwayScore]]-Table2[[#This Row],[ActualHomeScore]])&gt;=5, 1, 0)</f>
        <v>0</v>
      </c>
      <c r="AT1215" s="2">
        <f>IF(Table2[[#This Row],[ActualAwayScore]] + Table2[[#This Row],[ActualHomeScore]] &lt;= 3, 1, 0)</f>
        <v>1</v>
      </c>
      <c r="AU1215" s="2"/>
      <c r="AV1215" s="2"/>
    </row>
    <row r="1216" spans="1:48" x14ac:dyDescent="0.25">
      <c r="A1216" s="3"/>
      <c r="B1216" s="3">
        <v>46116</v>
      </c>
      <c r="C1216" s="5">
        <v>2025021214</v>
      </c>
      <c r="D1216" s="2" t="s">
        <v>32</v>
      </c>
      <c r="E1216" s="2" t="s">
        <v>41</v>
      </c>
      <c r="F1216" s="2"/>
      <c r="G1216" s="2"/>
      <c r="H1216" s="2" t="str">
        <f t="shared" si="94"/>
        <v>_</v>
      </c>
      <c r="I1216" s="2"/>
      <c r="J1216" s="2"/>
      <c r="K1216" s="2"/>
      <c r="L1216" s="2" t="str">
        <f t="shared" si="95"/>
        <v>_</v>
      </c>
      <c r="M1216" s="2"/>
      <c r="N1216" s="2">
        <f>IF(ISBLANK(Table2[[#This Row],[ActualResult]]), 0, 1)</f>
        <v>0</v>
      </c>
      <c r="O1216" s="2" t="str">
        <f>IF(ISBLANK(Table2[[#This Row],[ActualResult]]), "_", IF(Table2[[#This Row],[ActualWinner]]=Table2[[#This Row],[PredictedWinner]], "Y", "N"))</f>
        <v>_</v>
      </c>
      <c r="P12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6" s="2"/>
      <c r="S1216" s="2" t="str">
        <f t="shared" si="96"/>
        <v>_</v>
      </c>
      <c r="T12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16" s="2">
        <f>IF(Table2[[#This Row],[InterConf]]=1,IF(Table2[[#This Row],[InterDiv]]=0, 1, 0), 0)</f>
        <v>0</v>
      </c>
      <c r="W12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6" s="2"/>
      <c r="Y1216" s="2"/>
      <c r="Z1216" s="145">
        <f>IF(AND(Table2[[#This Row],[GameIsOver]]=1,Table2[[#This Row],[ActualHomeScore]]*Table2[[#This Row],[ActualAwayScore]]=0), 1,0)</f>
        <v>0</v>
      </c>
      <c r="AA12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6" s="2">
        <f>Table2[[#This Row],[ActualAwayScore]]-Table2[[#This Row],[PredictedAwayScore]]</f>
        <v>0</v>
      </c>
      <c r="AG1216" s="2">
        <f>Table2[[#This Row],[ActualHomeScore]]-Table2[[#This Row],[PredictedHomeScore]]</f>
        <v>0</v>
      </c>
      <c r="AH1216" s="2">
        <f t="shared" si="97"/>
        <v>0</v>
      </c>
      <c r="AI1216" s="2">
        <f t="shared" si="98"/>
        <v>0</v>
      </c>
      <c r="AJ1216" s="2"/>
      <c r="AK1216" s="3"/>
      <c r="AL1216" s="2">
        <f>IF(Table2[[#This Row],[GameIsOver]]=0,0,IF(Table2[[#This Row],[ActualWinner]]=Table2[[#This Row],[AwayTeam]], 1, 0))</f>
        <v>0</v>
      </c>
      <c r="AM1216" s="2">
        <f>IF(Table2[[#This Row],[GameIsOver]]=0,0,IF(Table2[[#This Row],[ActualWinner]]=Table2[[#This Row],[HomeTeam]], 1, 0))</f>
        <v>0</v>
      </c>
      <c r="AN12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6" s="2" t="str">
        <f>INDEX(Sheet5!$B$2:$AG$33, MATCH(Table2[[#This Row],[AwayTeam]],Sheet5!$A$2:$A$33, 0), MATCH(Table2[[#This Row],[HomeTeam]],Sheet5!$A$2:$A$33, 0))</f>
        <v>0-0-0</v>
      </c>
      <c r="AP1216" s="2" t="str">
        <f>INDEX(Sheet5!$B$2:$AG$33, MATCH(Table2[[#This Row],[HomeTeam]],Sheet5!$A$2:$A$33, 0), MATCH(Table2[[#This Row],[AwayTeam]],Sheet5!$A$2:$A$33, 0))</f>
        <v>0-0-0</v>
      </c>
      <c r="AQ1216" s="2">
        <f>IF(Table2[[#This Row],[GameHasShutOut]], 1, 0)</f>
        <v>0</v>
      </c>
      <c r="AR1216" s="2">
        <f>IF(Table2[[#This Row],[ActualAwayScore]] + Table2[[#This Row],[ActualHomeScore]] &gt;= 10, 1, 0)</f>
        <v>0</v>
      </c>
      <c r="AS1216" s="2">
        <f>IF(ABS(Table2[[#This Row],[ActualAwayScore]]-Table2[[#This Row],[ActualHomeScore]])&gt;=5, 1, 0)</f>
        <v>0</v>
      </c>
      <c r="AT1216" s="2">
        <f>IF(Table2[[#This Row],[ActualAwayScore]] + Table2[[#This Row],[ActualHomeScore]] &lt;= 3, 1, 0)</f>
        <v>1</v>
      </c>
      <c r="AU1216" s="2"/>
      <c r="AV1216" s="2"/>
    </row>
    <row r="1217" spans="1:48" x14ac:dyDescent="0.25">
      <c r="A1217" s="3"/>
      <c r="B1217" s="3">
        <v>46116</v>
      </c>
      <c r="C1217" s="5">
        <v>2025021215</v>
      </c>
      <c r="D1217" s="2" t="s">
        <v>21</v>
      </c>
      <c r="E1217" s="2" t="s">
        <v>35</v>
      </c>
      <c r="F1217" s="2"/>
      <c r="G1217" s="2"/>
      <c r="H1217" s="2" t="str">
        <f t="shared" si="94"/>
        <v>_</v>
      </c>
      <c r="I1217" s="2"/>
      <c r="J1217" s="2"/>
      <c r="K1217" s="2"/>
      <c r="L1217" s="2" t="str">
        <f t="shared" si="95"/>
        <v>_</v>
      </c>
      <c r="M1217" s="2"/>
      <c r="N1217" s="2">
        <f>IF(ISBLANK(Table2[[#This Row],[ActualResult]]), 0, 1)</f>
        <v>0</v>
      </c>
      <c r="O1217" s="2" t="str">
        <f>IF(ISBLANK(Table2[[#This Row],[ActualResult]]), "_", IF(Table2[[#This Row],[ActualWinner]]=Table2[[#This Row],[PredictedWinner]], "Y", "N"))</f>
        <v>_</v>
      </c>
      <c r="P12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7" s="2"/>
      <c r="S1217" s="2" t="str">
        <f t="shared" si="96"/>
        <v>_</v>
      </c>
      <c r="T12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7" s="2">
        <f>IF(Table2[[#This Row],[InterConf]]=1,IF(Table2[[#This Row],[InterDiv]]=0, 1, 0), 0)</f>
        <v>0</v>
      </c>
      <c r="W12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17" s="2"/>
      <c r="Y1217" s="2"/>
      <c r="Z1217" s="145">
        <f>IF(AND(Table2[[#This Row],[GameIsOver]]=1,Table2[[#This Row],[ActualHomeScore]]*Table2[[#This Row],[ActualAwayScore]]=0), 1,0)</f>
        <v>0</v>
      </c>
      <c r="AA12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7" s="2">
        <f>Table2[[#This Row],[ActualAwayScore]]-Table2[[#This Row],[PredictedAwayScore]]</f>
        <v>0</v>
      </c>
      <c r="AG1217" s="2">
        <f>Table2[[#This Row],[ActualHomeScore]]-Table2[[#This Row],[PredictedHomeScore]]</f>
        <v>0</v>
      </c>
      <c r="AH1217" s="2">
        <f t="shared" si="97"/>
        <v>0</v>
      </c>
      <c r="AI1217" s="2">
        <f t="shared" si="98"/>
        <v>0</v>
      </c>
      <c r="AJ1217" s="2"/>
      <c r="AK1217" s="3"/>
      <c r="AL1217" s="2">
        <f>IF(Table2[[#This Row],[GameIsOver]]=0,0,IF(Table2[[#This Row],[ActualWinner]]=Table2[[#This Row],[AwayTeam]], 1, 0))</f>
        <v>0</v>
      </c>
      <c r="AM1217" s="2">
        <f>IF(Table2[[#This Row],[GameIsOver]]=0,0,IF(Table2[[#This Row],[ActualWinner]]=Table2[[#This Row],[HomeTeam]], 1, 0))</f>
        <v>0</v>
      </c>
      <c r="AN12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7" s="2" t="str">
        <f>INDEX(Sheet5!$B$2:$AG$33, MATCH(Table2[[#This Row],[AwayTeam]],Sheet5!$A$2:$A$33, 0), MATCH(Table2[[#This Row],[HomeTeam]],Sheet5!$A$2:$A$33, 0))</f>
        <v>0-0-0</v>
      </c>
      <c r="AP1217" s="2" t="str">
        <f>INDEX(Sheet5!$B$2:$AG$33, MATCH(Table2[[#This Row],[HomeTeam]],Sheet5!$A$2:$A$33, 0), MATCH(Table2[[#This Row],[AwayTeam]],Sheet5!$A$2:$A$33, 0))</f>
        <v>0-0-0</v>
      </c>
      <c r="AQ1217" s="2">
        <f>IF(Table2[[#This Row],[GameHasShutOut]], 1, 0)</f>
        <v>0</v>
      </c>
      <c r="AR1217" s="2">
        <f>IF(Table2[[#This Row],[ActualAwayScore]] + Table2[[#This Row],[ActualHomeScore]] &gt;= 10, 1, 0)</f>
        <v>0</v>
      </c>
      <c r="AS1217" s="2">
        <f>IF(ABS(Table2[[#This Row],[ActualAwayScore]]-Table2[[#This Row],[ActualHomeScore]])&gt;=5, 1, 0)</f>
        <v>0</v>
      </c>
      <c r="AT1217" s="2">
        <f>IF(Table2[[#This Row],[ActualAwayScore]] + Table2[[#This Row],[ActualHomeScore]] &lt;= 3, 1, 0)</f>
        <v>1</v>
      </c>
      <c r="AU1217" s="2"/>
      <c r="AV1217" s="2"/>
    </row>
    <row r="1218" spans="1:48" x14ac:dyDescent="0.25">
      <c r="A1218" s="3"/>
      <c r="B1218" s="3">
        <v>46116</v>
      </c>
      <c r="C1218" s="5">
        <v>2025021216</v>
      </c>
      <c r="D1218" s="2" t="s">
        <v>14</v>
      </c>
      <c r="E1218" s="2" t="s">
        <v>24</v>
      </c>
      <c r="F1218" s="2"/>
      <c r="G1218" s="2"/>
      <c r="H1218" s="2" t="str">
        <f t="shared" si="94"/>
        <v>_</v>
      </c>
      <c r="I1218" s="2"/>
      <c r="J1218" s="2"/>
      <c r="K1218" s="2"/>
      <c r="L1218" s="2" t="str">
        <f t="shared" si="95"/>
        <v>_</v>
      </c>
      <c r="M1218" s="2"/>
      <c r="N1218" s="2">
        <f>IF(ISBLANK(Table2[[#This Row],[ActualResult]]), 0, 1)</f>
        <v>0</v>
      </c>
      <c r="O1218" s="2" t="str">
        <f>IF(ISBLANK(Table2[[#This Row],[ActualResult]]), "_", IF(Table2[[#This Row],[ActualWinner]]=Table2[[#This Row],[PredictedWinner]], "Y", "N"))</f>
        <v>_</v>
      </c>
      <c r="P12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8" s="2"/>
      <c r="S1218" s="2" t="str">
        <f t="shared" si="96"/>
        <v>_</v>
      </c>
      <c r="T12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8" s="2">
        <f>IF(Table2[[#This Row],[InterConf]]=1,IF(Table2[[#This Row],[InterDiv]]=0, 1, 0), 0)</f>
        <v>1</v>
      </c>
      <c r="W12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8" s="2"/>
      <c r="Y1218" s="2"/>
      <c r="Z1218" s="145">
        <f>IF(AND(Table2[[#This Row],[GameIsOver]]=1,Table2[[#This Row],[ActualHomeScore]]*Table2[[#This Row],[ActualAwayScore]]=0), 1,0)</f>
        <v>0</v>
      </c>
      <c r="AA12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8" s="2">
        <f>Table2[[#This Row],[ActualAwayScore]]-Table2[[#This Row],[PredictedAwayScore]]</f>
        <v>0</v>
      </c>
      <c r="AG1218" s="2">
        <f>Table2[[#This Row],[ActualHomeScore]]-Table2[[#This Row],[PredictedHomeScore]]</f>
        <v>0</v>
      </c>
      <c r="AH1218" s="2">
        <f t="shared" si="97"/>
        <v>0</v>
      </c>
      <c r="AI1218" s="2">
        <f t="shared" si="98"/>
        <v>0</v>
      </c>
      <c r="AJ1218" s="2"/>
      <c r="AK1218" s="3"/>
      <c r="AL1218" s="2">
        <f>IF(Table2[[#This Row],[GameIsOver]]=0,0,IF(Table2[[#This Row],[ActualWinner]]=Table2[[#This Row],[AwayTeam]], 1, 0))</f>
        <v>0</v>
      </c>
      <c r="AM1218" s="2">
        <f>IF(Table2[[#This Row],[GameIsOver]]=0,0,IF(Table2[[#This Row],[ActualWinner]]=Table2[[#This Row],[HomeTeam]], 1, 0))</f>
        <v>0</v>
      </c>
      <c r="AN12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8" s="2" t="str">
        <f>INDEX(Sheet5!$B$2:$AG$33, MATCH(Table2[[#This Row],[AwayTeam]],Sheet5!$A$2:$A$33, 0), MATCH(Table2[[#This Row],[HomeTeam]],Sheet5!$A$2:$A$33, 0))</f>
        <v>0-0-0</v>
      </c>
      <c r="AP1218" s="2" t="str">
        <f>INDEX(Sheet5!$B$2:$AG$33, MATCH(Table2[[#This Row],[HomeTeam]],Sheet5!$A$2:$A$33, 0), MATCH(Table2[[#This Row],[AwayTeam]],Sheet5!$A$2:$A$33, 0))</f>
        <v>0-0-0</v>
      </c>
      <c r="AQ1218" s="2">
        <f>IF(Table2[[#This Row],[GameHasShutOut]], 1, 0)</f>
        <v>0</v>
      </c>
      <c r="AR1218" s="2">
        <f>IF(Table2[[#This Row],[ActualAwayScore]] + Table2[[#This Row],[ActualHomeScore]] &gt;= 10, 1, 0)</f>
        <v>0</v>
      </c>
      <c r="AS1218" s="2">
        <f>IF(ABS(Table2[[#This Row],[ActualAwayScore]]-Table2[[#This Row],[ActualHomeScore]])&gt;=5, 1, 0)</f>
        <v>0</v>
      </c>
      <c r="AT1218" s="2">
        <f>IF(Table2[[#This Row],[ActualAwayScore]] + Table2[[#This Row],[ActualHomeScore]] &lt;= 3, 1, 0)</f>
        <v>1</v>
      </c>
      <c r="AU1218" s="2"/>
      <c r="AV1218" s="2"/>
    </row>
    <row r="1219" spans="1:48" x14ac:dyDescent="0.25">
      <c r="A1219" s="3"/>
      <c r="B1219" s="3">
        <v>46116</v>
      </c>
      <c r="C1219" s="5">
        <v>2025021217</v>
      </c>
      <c r="D1219" s="2" t="s">
        <v>17</v>
      </c>
      <c r="E1219" s="2" t="s">
        <v>27</v>
      </c>
      <c r="F1219" s="2"/>
      <c r="G1219" s="2"/>
      <c r="H1219" s="2" t="str">
        <f t="shared" ref="H1219:H1282" si="99">IF(AND(ISBLANK($F1219),ISBLANK($G1219)),"_",IF($F1219&gt;$G1219,$D1219,$E1219))</f>
        <v>_</v>
      </c>
      <c r="I1219" s="2"/>
      <c r="J1219" s="2"/>
      <c r="K1219" s="2"/>
      <c r="L1219" s="2" t="str">
        <f t="shared" ref="L1219:L1282" si="100">IF(OR($J1219=$K1219,AND(ISBLANK($J1219),ISBLANK($K1219))),"_",IF($J1219&gt;$K1219,$D1219,$E1219))</f>
        <v>_</v>
      </c>
      <c r="M1219" s="2"/>
      <c r="N1219" s="2">
        <f>IF(ISBLANK(Table2[[#This Row],[ActualResult]]), 0, 1)</f>
        <v>0</v>
      </c>
      <c r="O1219" s="2" t="str">
        <f>IF(ISBLANK(Table2[[#This Row],[ActualResult]]), "_", IF(Table2[[#This Row],[ActualWinner]]=Table2[[#This Row],[PredictedWinner]], "Y", "N"))</f>
        <v>_</v>
      </c>
      <c r="P12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9" s="2"/>
      <c r="S1219" s="2" t="str">
        <f t="shared" ref="S1219:S1282" si="101">IF($L1219="_", "_", IF($L1219=$D1219,$E1219,$D1219))</f>
        <v>_</v>
      </c>
      <c r="T12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9" s="2">
        <f>IF(Table2[[#This Row],[InterConf]]=1,IF(Table2[[#This Row],[InterDiv]]=0, 1, 0), 0)</f>
        <v>0</v>
      </c>
      <c r="W12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19" s="2"/>
      <c r="Y1219" s="2"/>
      <c r="Z1219" s="145">
        <f>IF(AND(Table2[[#This Row],[GameIsOver]]=1,Table2[[#This Row],[ActualHomeScore]]*Table2[[#This Row],[ActualAwayScore]]=0), 1,0)</f>
        <v>0</v>
      </c>
      <c r="AA12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9" s="2">
        <f>Table2[[#This Row],[ActualAwayScore]]-Table2[[#This Row],[PredictedAwayScore]]</f>
        <v>0</v>
      </c>
      <c r="AG1219" s="2">
        <f>Table2[[#This Row],[ActualHomeScore]]-Table2[[#This Row],[PredictedHomeScore]]</f>
        <v>0</v>
      </c>
      <c r="AH1219" s="2">
        <f t="shared" ref="AH1219:AH1282" si="102">SUMIF($B$3:$B$1315, $B1219, $AF$3:$AF$1315)</f>
        <v>0</v>
      </c>
      <c r="AI1219" s="2">
        <f t="shared" ref="AI1219:AI1282" si="103">SUMIF($B$3:$B$1315, $B1219, $AG$3:$AG$1315)</f>
        <v>0</v>
      </c>
      <c r="AJ1219" s="2"/>
      <c r="AK1219" s="3"/>
      <c r="AL1219" s="2">
        <f>IF(Table2[[#This Row],[GameIsOver]]=0,0,IF(Table2[[#This Row],[ActualWinner]]=Table2[[#This Row],[AwayTeam]], 1, 0))</f>
        <v>0</v>
      </c>
      <c r="AM1219" s="2">
        <f>IF(Table2[[#This Row],[GameIsOver]]=0,0,IF(Table2[[#This Row],[ActualWinner]]=Table2[[#This Row],[HomeTeam]], 1, 0))</f>
        <v>0</v>
      </c>
      <c r="AN1219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19" s="2" t="str">
        <f>INDEX(Sheet5!$B$2:$AG$33, MATCH(Table2[[#This Row],[AwayTeam]],Sheet5!$A$2:$A$33, 0), MATCH(Table2[[#This Row],[HomeTeam]],Sheet5!$A$2:$A$33, 0))</f>
        <v>0-0-0</v>
      </c>
      <c r="AP1219" s="2" t="str">
        <f>INDEX(Sheet5!$B$2:$AG$33, MATCH(Table2[[#This Row],[HomeTeam]],Sheet5!$A$2:$A$33, 0), MATCH(Table2[[#This Row],[AwayTeam]],Sheet5!$A$2:$A$33, 0))</f>
        <v>0-0-0</v>
      </c>
      <c r="AQ1219" s="2">
        <f>IF(Table2[[#This Row],[GameHasShutOut]], 1, 0)</f>
        <v>0</v>
      </c>
      <c r="AR1219" s="2">
        <f>IF(Table2[[#This Row],[ActualAwayScore]] + Table2[[#This Row],[ActualHomeScore]] &gt;= 10, 1, 0)</f>
        <v>0</v>
      </c>
      <c r="AS1219" s="2">
        <f>IF(ABS(Table2[[#This Row],[ActualAwayScore]]-Table2[[#This Row],[ActualHomeScore]])&gt;=5, 1, 0)</f>
        <v>0</v>
      </c>
      <c r="AT1219" s="2">
        <f>IF(Table2[[#This Row],[ActualAwayScore]] + Table2[[#This Row],[ActualHomeScore]] &lt;= 3, 1, 0)</f>
        <v>1</v>
      </c>
      <c r="AU1219" s="2"/>
      <c r="AV1219" s="2"/>
    </row>
    <row r="1220" spans="1:48" x14ac:dyDescent="0.25">
      <c r="A1220" s="3"/>
      <c r="B1220" s="3">
        <v>46117</v>
      </c>
      <c r="C1220" s="5">
        <v>2025021218</v>
      </c>
      <c r="D1220" s="2" t="s">
        <v>26</v>
      </c>
      <c r="E1220" s="2" t="s">
        <v>22</v>
      </c>
      <c r="F1220" s="2"/>
      <c r="G1220" s="2"/>
      <c r="H1220" s="2" t="str">
        <f t="shared" si="99"/>
        <v>_</v>
      </c>
      <c r="I1220" s="2"/>
      <c r="J1220" s="2"/>
      <c r="K1220" s="2"/>
      <c r="L1220" s="2" t="str">
        <f t="shared" si="100"/>
        <v>_</v>
      </c>
      <c r="M1220" s="2"/>
      <c r="N1220" s="2">
        <f>IF(ISBLANK(Table2[[#This Row],[ActualResult]]), 0, 1)</f>
        <v>0</v>
      </c>
      <c r="O1220" s="2" t="str">
        <f>IF(ISBLANK(Table2[[#This Row],[ActualResult]]), "_", IF(Table2[[#This Row],[ActualWinner]]=Table2[[#This Row],[PredictedWinner]], "Y", "N"))</f>
        <v>_</v>
      </c>
      <c r="P12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0" s="2"/>
      <c r="S1220" s="2" t="str">
        <f t="shared" si="101"/>
        <v>_</v>
      </c>
      <c r="T12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20" s="2">
        <f>IF(Table2[[#This Row],[InterConf]]=1,IF(Table2[[#This Row],[InterDiv]]=0, 1, 0), 0)</f>
        <v>0</v>
      </c>
      <c r="W12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0" s="2"/>
      <c r="Y1220" s="2"/>
      <c r="Z1220" s="145">
        <f>IF(AND(Table2[[#This Row],[GameIsOver]]=1,Table2[[#This Row],[ActualHomeScore]]*Table2[[#This Row],[ActualAwayScore]]=0), 1,0)</f>
        <v>0</v>
      </c>
      <c r="AA12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0" s="2">
        <f>Table2[[#This Row],[ActualAwayScore]]-Table2[[#This Row],[PredictedAwayScore]]</f>
        <v>0</v>
      </c>
      <c r="AG1220" s="2">
        <f>Table2[[#This Row],[ActualHomeScore]]-Table2[[#This Row],[PredictedHomeScore]]</f>
        <v>0</v>
      </c>
      <c r="AH1220" s="2">
        <f t="shared" si="102"/>
        <v>0</v>
      </c>
      <c r="AI1220" s="2">
        <f t="shared" si="103"/>
        <v>0</v>
      </c>
      <c r="AJ1220" s="2"/>
      <c r="AK1220" s="3"/>
      <c r="AL1220" s="2">
        <f>IF(Table2[[#This Row],[GameIsOver]]=0,0,IF(Table2[[#This Row],[ActualWinner]]=Table2[[#This Row],[AwayTeam]], 1, 0))</f>
        <v>0</v>
      </c>
      <c r="AM1220" s="2">
        <f>IF(Table2[[#This Row],[GameIsOver]]=0,0,IF(Table2[[#This Row],[ActualWinner]]=Table2[[#This Row],[HomeTeam]], 1, 0))</f>
        <v>0</v>
      </c>
      <c r="AN12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0" s="2" t="str">
        <f>INDEX(Sheet5!$B$2:$AG$33, MATCH(Table2[[#This Row],[AwayTeam]],Sheet5!$A$2:$A$33, 0), MATCH(Table2[[#This Row],[HomeTeam]],Sheet5!$A$2:$A$33, 0))</f>
        <v>0-0-0</v>
      </c>
      <c r="AP1220" s="2" t="str">
        <f>INDEX(Sheet5!$B$2:$AG$33, MATCH(Table2[[#This Row],[HomeTeam]],Sheet5!$A$2:$A$33, 0), MATCH(Table2[[#This Row],[AwayTeam]],Sheet5!$A$2:$A$33, 0))</f>
        <v>0-0-0</v>
      </c>
      <c r="AQ1220" s="2">
        <f>IF(Table2[[#This Row],[GameHasShutOut]], 1, 0)</f>
        <v>0</v>
      </c>
      <c r="AR1220" s="2">
        <f>IF(Table2[[#This Row],[ActualAwayScore]] + Table2[[#This Row],[ActualHomeScore]] &gt;= 10, 1, 0)</f>
        <v>0</v>
      </c>
      <c r="AS1220" s="2">
        <f>IF(ABS(Table2[[#This Row],[ActualAwayScore]]-Table2[[#This Row],[ActualHomeScore]])&gt;=5, 1, 0)</f>
        <v>0</v>
      </c>
      <c r="AT1220" s="2">
        <f>IF(Table2[[#This Row],[ActualAwayScore]] + Table2[[#This Row],[ActualHomeScore]] &lt;= 3, 1, 0)</f>
        <v>1</v>
      </c>
      <c r="AU1220" s="2"/>
      <c r="AV1220" s="2"/>
    </row>
    <row r="1221" spans="1:48" x14ac:dyDescent="0.25">
      <c r="A1221" s="3"/>
      <c r="B1221" s="3">
        <v>46117</v>
      </c>
      <c r="C1221" s="5">
        <v>2025021219</v>
      </c>
      <c r="D1221" s="2" t="s">
        <v>23</v>
      </c>
      <c r="E1221" s="2" t="s">
        <v>44</v>
      </c>
      <c r="F1221" s="2"/>
      <c r="G1221" s="2"/>
      <c r="H1221" s="2" t="str">
        <f t="shared" si="99"/>
        <v>_</v>
      </c>
      <c r="I1221" s="2"/>
      <c r="J1221" s="2"/>
      <c r="K1221" s="2"/>
      <c r="L1221" s="2" t="str">
        <f t="shared" si="100"/>
        <v>_</v>
      </c>
      <c r="M1221" s="2"/>
      <c r="N1221" s="2">
        <f>IF(ISBLANK(Table2[[#This Row],[ActualResult]]), 0, 1)</f>
        <v>0</v>
      </c>
      <c r="O1221" s="2" t="str">
        <f>IF(ISBLANK(Table2[[#This Row],[ActualResult]]), "_", IF(Table2[[#This Row],[ActualWinner]]=Table2[[#This Row],[PredictedWinner]], "Y", "N"))</f>
        <v>_</v>
      </c>
      <c r="P12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1" s="2"/>
      <c r="S1221" s="2" t="str">
        <f t="shared" si="101"/>
        <v>_</v>
      </c>
      <c r="T12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21" s="2">
        <f>IF(Table2[[#This Row],[InterConf]]=1,IF(Table2[[#This Row],[InterDiv]]=0, 1, 0), 0)</f>
        <v>0</v>
      </c>
      <c r="W12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1" s="2"/>
      <c r="Y1221" s="2"/>
      <c r="Z1221" s="145">
        <f>IF(AND(Table2[[#This Row],[GameIsOver]]=1,Table2[[#This Row],[ActualHomeScore]]*Table2[[#This Row],[ActualAwayScore]]=0), 1,0)</f>
        <v>0</v>
      </c>
      <c r="AA12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1" s="2">
        <f>Table2[[#This Row],[ActualAwayScore]]-Table2[[#This Row],[PredictedAwayScore]]</f>
        <v>0</v>
      </c>
      <c r="AG1221" s="2">
        <f>Table2[[#This Row],[ActualHomeScore]]-Table2[[#This Row],[PredictedHomeScore]]</f>
        <v>0</v>
      </c>
      <c r="AH1221" s="2">
        <f t="shared" si="102"/>
        <v>0</v>
      </c>
      <c r="AI1221" s="2">
        <f t="shared" si="103"/>
        <v>0</v>
      </c>
      <c r="AJ1221" s="2"/>
      <c r="AK1221" s="3"/>
      <c r="AL1221" s="2">
        <f>IF(Table2[[#This Row],[GameIsOver]]=0,0,IF(Table2[[#This Row],[ActualWinner]]=Table2[[#This Row],[AwayTeam]], 1, 0))</f>
        <v>0</v>
      </c>
      <c r="AM1221" s="2">
        <f>IF(Table2[[#This Row],[GameIsOver]]=0,0,IF(Table2[[#This Row],[ActualWinner]]=Table2[[#This Row],[HomeTeam]], 1, 0))</f>
        <v>0</v>
      </c>
      <c r="AN12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1" s="2" t="str">
        <f>INDEX(Sheet5!$B$2:$AG$33, MATCH(Table2[[#This Row],[AwayTeam]],Sheet5!$A$2:$A$33, 0), MATCH(Table2[[#This Row],[HomeTeam]],Sheet5!$A$2:$A$33, 0))</f>
        <v>0-0-0</v>
      </c>
      <c r="AP1221" s="2" t="str">
        <f>INDEX(Sheet5!$B$2:$AG$33, MATCH(Table2[[#This Row],[HomeTeam]],Sheet5!$A$2:$A$33, 0), MATCH(Table2[[#This Row],[AwayTeam]],Sheet5!$A$2:$A$33, 0))</f>
        <v>0-0-0</v>
      </c>
      <c r="AQ1221" s="2">
        <f>IF(Table2[[#This Row],[GameHasShutOut]], 1, 0)</f>
        <v>0</v>
      </c>
      <c r="AR1221" s="2">
        <f>IF(Table2[[#This Row],[ActualAwayScore]] + Table2[[#This Row],[ActualHomeScore]] &gt;= 10, 1, 0)</f>
        <v>0</v>
      </c>
      <c r="AS1221" s="2">
        <f>IF(ABS(Table2[[#This Row],[ActualAwayScore]]-Table2[[#This Row],[ActualHomeScore]])&gt;=5, 1, 0)</f>
        <v>0</v>
      </c>
      <c r="AT1221" s="2">
        <f>IF(Table2[[#This Row],[ActualAwayScore]] + Table2[[#This Row],[ActualHomeScore]] &lt;= 3, 1, 0)</f>
        <v>1</v>
      </c>
      <c r="AU1221" s="2"/>
      <c r="AV1221" s="2"/>
    </row>
    <row r="1222" spans="1:48" x14ac:dyDescent="0.25">
      <c r="A1222" s="3"/>
      <c r="B1222" s="3">
        <v>46117</v>
      </c>
      <c r="C1222" s="5">
        <v>2025021220</v>
      </c>
      <c r="D1222" s="2" t="s">
        <v>34</v>
      </c>
      <c r="E1222" s="2" t="s">
        <v>37</v>
      </c>
      <c r="F1222" s="2"/>
      <c r="G1222" s="2"/>
      <c r="H1222" s="2" t="str">
        <f t="shared" si="99"/>
        <v>_</v>
      </c>
      <c r="I1222" s="2"/>
      <c r="J1222" s="2"/>
      <c r="K1222" s="2"/>
      <c r="L1222" s="2" t="str">
        <f t="shared" si="100"/>
        <v>_</v>
      </c>
      <c r="M1222" s="2"/>
      <c r="N1222" s="2">
        <f>IF(ISBLANK(Table2[[#This Row],[ActualResult]]), 0, 1)</f>
        <v>0</v>
      </c>
      <c r="O1222" s="2" t="str">
        <f>IF(ISBLANK(Table2[[#This Row],[ActualResult]]), "_", IF(Table2[[#This Row],[ActualWinner]]=Table2[[#This Row],[PredictedWinner]], "Y", "N"))</f>
        <v>_</v>
      </c>
      <c r="P12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2" s="2"/>
      <c r="S1222" s="2" t="str">
        <f t="shared" si="101"/>
        <v>_</v>
      </c>
      <c r="T12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2" s="2">
        <f>IF(Table2[[#This Row],[InterConf]]=1,IF(Table2[[#This Row],[InterDiv]]=0, 1, 0), 0)</f>
        <v>1</v>
      </c>
      <c r="W12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2" s="2"/>
      <c r="Y1222" s="2"/>
      <c r="Z1222" s="145">
        <f>IF(AND(Table2[[#This Row],[GameIsOver]]=1,Table2[[#This Row],[ActualHomeScore]]*Table2[[#This Row],[ActualAwayScore]]=0), 1,0)</f>
        <v>0</v>
      </c>
      <c r="AA12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2" s="2">
        <f>Table2[[#This Row],[ActualAwayScore]]-Table2[[#This Row],[PredictedAwayScore]]</f>
        <v>0</v>
      </c>
      <c r="AG1222" s="2">
        <f>Table2[[#This Row],[ActualHomeScore]]-Table2[[#This Row],[PredictedHomeScore]]</f>
        <v>0</v>
      </c>
      <c r="AH1222" s="2">
        <f t="shared" si="102"/>
        <v>0</v>
      </c>
      <c r="AI1222" s="2">
        <f t="shared" si="103"/>
        <v>0</v>
      </c>
      <c r="AJ1222" s="2"/>
      <c r="AK1222" s="3"/>
      <c r="AL1222" s="2">
        <f>IF(Table2[[#This Row],[GameIsOver]]=0,0,IF(Table2[[#This Row],[ActualWinner]]=Table2[[#This Row],[AwayTeam]], 1, 0))</f>
        <v>0</v>
      </c>
      <c r="AM1222" s="2">
        <f>IF(Table2[[#This Row],[GameIsOver]]=0,0,IF(Table2[[#This Row],[ActualWinner]]=Table2[[#This Row],[HomeTeam]], 1, 0))</f>
        <v>0</v>
      </c>
      <c r="AN12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2" s="2" t="str">
        <f>INDEX(Sheet5!$B$2:$AG$33, MATCH(Table2[[#This Row],[AwayTeam]],Sheet5!$A$2:$A$33, 0), MATCH(Table2[[#This Row],[HomeTeam]],Sheet5!$A$2:$A$33, 0))</f>
        <v>0-0-0</v>
      </c>
      <c r="AP1222" s="2" t="str">
        <f>INDEX(Sheet5!$B$2:$AG$33, MATCH(Table2[[#This Row],[HomeTeam]],Sheet5!$A$2:$A$33, 0), MATCH(Table2[[#This Row],[AwayTeam]],Sheet5!$A$2:$A$33, 0))</f>
        <v>0-0-0</v>
      </c>
      <c r="AQ1222" s="2">
        <f>IF(Table2[[#This Row],[GameHasShutOut]], 1, 0)</f>
        <v>0</v>
      </c>
      <c r="AR1222" s="2">
        <f>IF(Table2[[#This Row],[ActualAwayScore]] + Table2[[#This Row],[ActualHomeScore]] &gt;= 10, 1, 0)</f>
        <v>0</v>
      </c>
      <c r="AS1222" s="2">
        <f>IF(ABS(Table2[[#This Row],[ActualAwayScore]]-Table2[[#This Row],[ActualHomeScore]])&gt;=5, 1, 0)</f>
        <v>0</v>
      </c>
      <c r="AT1222" s="2">
        <f>IF(Table2[[#This Row],[ActualAwayScore]] + Table2[[#This Row],[ActualHomeScore]] &lt;= 3, 1, 0)</f>
        <v>1</v>
      </c>
      <c r="AU1222" s="2"/>
      <c r="AV1222" s="2"/>
    </row>
    <row r="1223" spans="1:48" x14ac:dyDescent="0.25">
      <c r="A1223" s="3"/>
      <c r="B1223" s="3">
        <v>46117</v>
      </c>
      <c r="C1223" s="5">
        <v>2025021221</v>
      </c>
      <c r="D1223" s="2" t="s">
        <v>16</v>
      </c>
      <c r="E1223" s="2" t="s">
        <v>11</v>
      </c>
      <c r="F1223" s="2"/>
      <c r="G1223" s="2"/>
      <c r="H1223" s="2" t="str">
        <f t="shared" si="99"/>
        <v>_</v>
      </c>
      <c r="I1223" s="2"/>
      <c r="J1223" s="2"/>
      <c r="K1223" s="2"/>
      <c r="L1223" s="2" t="str">
        <f t="shared" si="100"/>
        <v>_</v>
      </c>
      <c r="M1223" s="2"/>
      <c r="N1223" s="2">
        <f>IF(ISBLANK(Table2[[#This Row],[ActualResult]]), 0, 1)</f>
        <v>0</v>
      </c>
      <c r="O1223" s="2" t="str">
        <f>IF(ISBLANK(Table2[[#This Row],[ActualResult]]), "_", IF(Table2[[#This Row],[ActualWinner]]=Table2[[#This Row],[PredictedWinner]], "Y", "N"))</f>
        <v>_</v>
      </c>
      <c r="P12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3" s="2"/>
      <c r="S1223" s="2" t="str">
        <f t="shared" si="101"/>
        <v>_</v>
      </c>
      <c r="T12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3" s="2">
        <f>IF(Table2[[#This Row],[InterConf]]=1,IF(Table2[[#This Row],[InterDiv]]=0, 1, 0), 0)</f>
        <v>1</v>
      </c>
      <c r="W12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3" s="2"/>
      <c r="Y1223" s="2"/>
      <c r="Z1223" s="145">
        <f>IF(AND(Table2[[#This Row],[GameIsOver]]=1,Table2[[#This Row],[ActualHomeScore]]*Table2[[#This Row],[ActualAwayScore]]=0), 1,0)</f>
        <v>0</v>
      </c>
      <c r="AA12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3" s="2">
        <f>Table2[[#This Row],[ActualAwayScore]]-Table2[[#This Row],[PredictedAwayScore]]</f>
        <v>0</v>
      </c>
      <c r="AG1223" s="2">
        <f>Table2[[#This Row],[ActualHomeScore]]-Table2[[#This Row],[PredictedHomeScore]]</f>
        <v>0</v>
      </c>
      <c r="AH1223" s="2">
        <f t="shared" si="102"/>
        <v>0</v>
      </c>
      <c r="AI1223" s="2">
        <f t="shared" si="103"/>
        <v>0</v>
      </c>
      <c r="AJ1223" s="2"/>
      <c r="AK1223" s="3"/>
      <c r="AL1223" s="2">
        <f>IF(Table2[[#This Row],[GameIsOver]]=0,0,IF(Table2[[#This Row],[ActualWinner]]=Table2[[#This Row],[AwayTeam]], 1, 0))</f>
        <v>0</v>
      </c>
      <c r="AM1223" s="2">
        <f>IF(Table2[[#This Row],[GameIsOver]]=0,0,IF(Table2[[#This Row],[ActualWinner]]=Table2[[#This Row],[HomeTeam]], 1, 0))</f>
        <v>0</v>
      </c>
      <c r="AN12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3" s="2" t="str">
        <f>INDEX(Sheet5!$B$2:$AG$33, MATCH(Table2[[#This Row],[AwayTeam]],Sheet5!$A$2:$A$33, 0), MATCH(Table2[[#This Row],[HomeTeam]],Sheet5!$A$2:$A$33, 0))</f>
        <v>0-0-0</v>
      </c>
      <c r="AP1223" s="2" t="str">
        <f>INDEX(Sheet5!$B$2:$AG$33, MATCH(Table2[[#This Row],[HomeTeam]],Sheet5!$A$2:$A$33, 0), MATCH(Table2[[#This Row],[AwayTeam]],Sheet5!$A$2:$A$33, 0))</f>
        <v>0-0-0</v>
      </c>
      <c r="AQ1223" s="2">
        <f>IF(Table2[[#This Row],[GameHasShutOut]], 1, 0)</f>
        <v>0</v>
      </c>
      <c r="AR1223" s="2">
        <f>IF(Table2[[#This Row],[ActualAwayScore]] + Table2[[#This Row],[ActualHomeScore]] &gt;= 10, 1, 0)</f>
        <v>0</v>
      </c>
      <c r="AS1223" s="2">
        <f>IF(ABS(Table2[[#This Row],[ActualAwayScore]]-Table2[[#This Row],[ActualHomeScore]])&gt;=5, 1, 0)</f>
        <v>0</v>
      </c>
      <c r="AT1223" s="2">
        <f>IF(Table2[[#This Row],[ActualAwayScore]] + Table2[[#This Row],[ActualHomeScore]] &lt;= 3, 1, 0)</f>
        <v>1</v>
      </c>
      <c r="AU1223" s="2"/>
      <c r="AV1223" s="2"/>
    </row>
    <row r="1224" spans="1:48" x14ac:dyDescent="0.25">
      <c r="A1224" s="3"/>
      <c r="B1224" s="3">
        <v>46117</v>
      </c>
      <c r="C1224" s="5">
        <v>2025021222</v>
      </c>
      <c r="D1224" s="2" t="s">
        <v>36</v>
      </c>
      <c r="E1224" s="2" t="s">
        <v>30</v>
      </c>
      <c r="F1224" s="2"/>
      <c r="G1224" s="2"/>
      <c r="H1224" s="2" t="str">
        <f t="shared" si="99"/>
        <v>_</v>
      </c>
      <c r="I1224" s="2"/>
      <c r="J1224" s="2"/>
      <c r="K1224" s="2"/>
      <c r="L1224" s="2" t="str">
        <f t="shared" si="100"/>
        <v>_</v>
      </c>
      <c r="M1224" s="2"/>
      <c r="N1224" s="2">
        <f>IF(ISBLANK(Table2[[#This Row],[ActualResult]]), 0, 1)</f>
        <v>0</v>
      </c>
      <c r="O1224" s="2" t="str">
        <f>IF(ISBLANK(Table2[[#This Row],[ActualResult]]), "_", IF(Table2[[#This Row],[ActualWinner]]=Table2[[#This Row],[PredictedWinner]], "Y", "N"))</f>
        <v>_</v>
      </c>
      <c r="P12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4" s="2"/>
      <c r="S1224" s="2" t="str">
        <f t="shared" si="101"/>
        <v>_</v>
      </c>
      <c r="T12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4" s="2">
        <f>IF(Table2[[#This Row],[InterConf]]=1,IF(Table2[[#This Row],[InterDiv]]=0, 1, 0), 0)</f>
        <v>0</v>
      </c>
      <c r="W12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24" s="2"/>
      <c r="Y1224" s="2"/>
      <c r="Z1224" s="145">
        <f>IF(AND(Table2[[#This Row],[GameIsOver]]=1,Table2[[#This Row],[ActualHomeScore]]*Table2[[#This Row],[ActualAwayScore]]=0), 1,0)</f>
        <v>0</v>
      </c>
      <c r="AA12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4" s="2">
        <f>Table2[[#This Row],[ActualAwayScore]]-Table2[[#This Row],[PredictedAwayScore]]</f>
        <v>0</v>
      </c>
      <c r="AG1224" s="2">
        <f>Table2[[#This Row],[ActualHomeScore]]-Table2[[#This Row],[PredictedHomeScore]]</f>
        <v>0</v>
      </c>
      <c r="AH1224" s="2">
        <f t="shared" si="102"/>
        <v>0</v>
      </c>
      <c r="AI1224" s="2">
        <f t="shared" si="103"/>
        <v>0</v>
      </c>
      <c r="AJ1224" s="2"/>
      <c r="AK1224" s="3"/>
      <c r="AL1224" s="2">
        <f>IF(Table2[[#This Row],[GameIsOver]]=0,0,IF(Table2[[#This Row],[ActualWinner]]=Table2[[#This Row],[AwayTeam]], 1, 0))</f>
        <v>0</v>
      </c>
      <c r="AM1224" s="2">
        <f>IF(Table2[[#This Row],[GameIsOver]]=0,0,IF(Table2[[#This Row],[ActualWinner]]=Table2[[#This Row],[HomeTeam]], 1, 0))</f>
        <v>0</v>
      </c>
      <c r="AN12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4" s="2" t="str">
        <f>INDEX(Sheet5!$B$2:$AG$33, MATCH(Table2[[#This Row],[AwayTeam]],Sheet5!$A$2:$A$33, 0), MATCH(Table2[[#This Row],[HomeTeam]],Sheet5!$A$2:$A$33, 0))</f>
        <v>0-0-0</v>
      </c>
      <c r="AP1224" s="2" t="str">
        <f>INDEX(Sheet5!$B$2:$AG$33, MATCH(Table2[[#This Row],[HomeTeam]],Sheet5!$A$2:$A$33, 0), MATCH(Table2[[#This Row],[AwayTeam]],Sheet5!$A$2:$A$33, 0))</f>
        <v>0-0-0</v>
      </c>
      <c r="AQ1224" s="2">
        <f>IF(Table2[[#This Row],[GameHasShutOut]], 1, 0)</f>
        <v>0</v>
      </c>
      <c r="AR1224" s="2">
        <f>IF(Table2[[#This Row],[ActualAwayScore]] + Table2[[#This Row],[ActualHomeScore]] &gt;= 10, 1, 0)</f>
        <v>0</v>
      </c>
      <c r="AS1224" s="2">
        <f>IF(ABS(Table2[[#This Row],[ActualAwayScore]]-Table2[[#This Row],[ActualHomeScore]])&gt;=5, 1, 0)</f>
        <v>0</v>
      </c>
      <c r="AT1224" s="2">
        <f>IF(Table2[[#This Row],[ActualAwayScore]] + Table2[[#This Row],[ActualHomeScore]] &lt;= 3, 1, 0)</f>
        <v>1</v>
      </c>
      <c r="AU1224" s="2"/>
      <c r="AV1224" s="2"/>
    </row>
    <row r="1225" spans="1:48" x14ac:dyDescent="0.25">
      <c r="A1225" s="3"/>
      <c r="B1225" s="3">
        <v>46117</v>
      </c>
      <c r="C1225" s="5">
        <v>2025021223</v>
      </c>
      <c r="D1225" s="2" t="s">
        <v>13</v>
      </c>
      <c r="E1225" s="2" t="s">
        <v>20</v>
      </c>
      <c r="F1225" s="2"/>
      <c r="G1225" s="2"/>
      <c r="H1225" s="2" t="str">
        <f t="shared" si="99"/>
        <v>_</v>
      </c>
      <c r="I1225" s="2"/>
      <c r="J1225" s="2"/>
      <c r="K1225" s="2"/>
      <c r="L1225" s="2" t="str">
        <f t="shared" si="100"/>
        <v>_</v>
      </c>
      <c r="M1225" s="2"/>
      <c r="N1225" s="2">
        <f>IF(ISBLANK(Table2[[#This Row],[ActualResult]]), 0, 1)</f>
        <v>0</v>
      </c>
      <c r="O1225" s="2" t="str">
        <f>IF(ISBLANK(Table2[[#This Row],[ActualResult]]), "_", IF(Table2[[#This Row],[ActualWinner]]=Table2[[#This Row],[PredictedWinner]], "Y", "N"))</f>
        <v>_</v>
      </c>
      <c r="P12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5" s="2"/>
      <c r="S1225" s="2" t="str">
        <f t="shared" si="101"/>
        <v>_</v>
      </c>
      <c r="T12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5" s="2">
        <f>IF(Table2[[#This Row],[InterConf]]=1,IF(Table2[[#This Row],[InterDiv]]=0, 1, 0), 0)</f>
        <v>1</v>
      </c>
      <c r="W12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5" s="2"/>
      <c r="Y1225" s="2"/>
      <c r="Z1225" s="145">
        <f>IF(AND(Table2[[#This Row],[GameIsOver]]=1,Table2[[#This Row],[ActualHomeScore]]*Table2[[#This Row],[ActualAwayScore]]=0), 1,0)</f>
        <v>0</v>
      </c>
      <c r="AA12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5" s="2">
        <f>Table2[[#This Row],[ActualAwayScore]]-Table2[[#This Row],[PredictedAwayScore]]</f>
        <v>0</v>
      </c>
      <c r="AG1225" s="2">
        <f>Table2[[#This Row],[ActualHomeScore]]-Table2[[#This Row],[PredictedHomeScore]]</f>
        <v>0</v>
      </c>
      <c r="AH1225" s="2">
        <f t="shared" si="102"/>
        <v>0</v>
      </c>
      <c r="AI1225" s="2">
        <f t="shared" si="103"/>
        <v>0</v>
      </c>
      <c r="AJ1225" s="2"/>
      <c r="AK1225" s="3"/>
      <c r="AL1225" s="2">
        <f>IF(Table2[[#This Row],[GameIsOver]]=0,0,IF(Table2[[#This Row],[ActualWinner]]=Table2[[#This Row],[AwayTeam]], 1, 0))</f>
        <v>0</v>
      </c>
      <c r="AM1225" s="2">
        <f>IF(Table2[[#This Row],[GameIsOver]]=0,0,IF(Table2[[#This Row],[ActualWinner]]=Table2[[#This Row],[HomeTeam]], 1, 0))</f>
        <v>0</v>
      </c>
      <c r="AN12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5" s="2" t="str">
        <f>INDEX(Sheet5!$B$2:$AG$33, MATCH(Table2[[#This Row],[AwayTeam]],Sheet5!$A$2:$A$33, 0), MATCH(Table2[[#This Row],[HomeTeam]],Sheet5!$A$2:$A$33, 0))</f>
        <v>0-0-0</v>
      </c>
      <c r="AP1225" s="2" t="str">
        <f>INDEX(Sheet5!$B$2:$AG$33, MATCH(Table2[[#This Row],[HomeTeam]],Sheet5!$A$2:$A$33, 0), MATCH(Table2[[#This Row],[AwayTeam]],Sheet5!$A$2:$A$33, 0))</f>
        <v>0-0-0</v>
      </c>
      <c r="AQ1225" s="2">
        <f>IF(Table2[[#This Row],[GameHasShutOut]], 1, 0)</f>
        <v>0</v>
      </c>
      <c r="AR1225" s="2">
        <f>IF(Table2[[#This Row],[ActualAwayScore]] + Table2[[#This Row],[ActualHomeScore]] &gt;= 10, 1, 0)</f>
        <v>0</v>
      </c>
      <c r="AS1225" s="2">
        <f>IF(ABS(Table2[[#This Row],[ActualAwayScore]]-Table2[[#This Row],[ActualHomeScore]])&gt;=5, 1, 0)</f>
        <v>0</v>
      </c>
      <c r="AT1225" s="2">
        <f>IF(Table2[[#This Row],[ActualAwayScore]] + Table2[[#This Row],[ActualHomeScore]] &lt;= 3, 1, 0)</f>
        <v>1</v>
      </c>
      <c r="AU1225" s="2"/>
      <c r="AV1225" s="2"/>
    </row>
    <row r="1226" spans="1:48" x14ac:dyDescent="0.25">
      <c r="A1226" s="3"/>
      <c r="B1226" s="3">
        <v>46117</v>
      </c>
      <c r="C1226" s="5">
        <v>2025021224</v>
      </c>
      <c r="D1226" s="2" t="s">
        <v>15</v>
      </c>
      <c r="E1226" s="2" t="s">
        <v>42</v>
      </c>
      <c r="F1226" s="2"/>
      <c r="G1226" s="2"/>
      <c r="H1226" s="2" t="str">
        <f t="shared" si="99"/>
        <v>_</v>
      </c>
      <c r="I1226" s="2"/>
      <c r="J1226" s="2"/>
      <c r="K1226" s="2"/>
      <c r="L1226" s="2" t="str">
        <f t="shared" si="100"/>
        <v>_</v>
      </c>
      <c r="M1226" s="2"/>
      <c r="N1226" s="2">
        <f>IF(ISBLANK(Table2[[#This Row],[ActualResult]]), 0, 1)</f>
        <v>0</v>
      </c>
      <c r="O1226" s="2" t="str">
        <f>IF(ISBLANK(Table2[[#This Row],[ActualResult]]), "_", IF(Table2[[#This Row],[ActualWinner]]=Table2[[#This Row],[PredictedWinner]], "Y", "N"))</f>
        <v>_</v>
      </c>
      <c r="P12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6" s="2"/>
      <c r="S1226" s="2" t="str">
        <f t="shared" si="101"/>
        <v>_</v>
      </c>
      <c r="T12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6" s="2">
        <f>IF(Table2[[#This Row],[InterConf]]=1,IF(Table2[[#This Row],[InterDiv]]=0, 1, 0), 0)</f>
        <v>1</v>
      </c>
      <c r="W12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6" s="2"/>
      <c r="Y1226" s="2"/>
      <c r="Z1226" s="145">
        <f>IF(AND(Table2[[#This Row],[GameIsOver]]=1,Table2[[#This Row],[ActualHomeScore]]*Table2[[#This Row],[ActualAwayScore]]=0), 1,0)</f>
        <v>0</v>
      </c>
      <c r="AA12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6" s="2">
        <f>Table2[[#This Row],[ActualAwayScore]]-Table2[[#This Row],[PredictedAwayScore]]</f>
        <v>0</v>
      </c>
      <c r="AG1226" s="2">
        <f>Table2[[#This Row],[ActualHomeScore]]-Table2[[#This Row],[PredictedHomeScore]]</f>
        <v>0</v>
      </c>
      <c r="AH1226" s="2">
        <f t="shared" si="102"/>
        <v>0</v>
      </c>
      <c r="AI1226" s="2">
        <f t="shared" si="103"/>
        <v>0</v>
      </c>
      <c r="AJ1226" s="2"/>
      <c r="AK1226" s="3"/>
      <c r="AL1226" s="2">
        <f>IF(Table2[[#This Row],[GameIsOver]]=0,0,IF(Table2[[#This Row],[ActualWinner]]=Table2[[#This Row],[AwayTeam]], 1, 0))</f>
        <v>0</v>
      </c>
      <c r="AM1226" s="2">
        <f>IF(Table2[[#This Row],[GameIsOver]]=0,0,IF(Table2[[#This Row],[ActualWinner]]=Table2[[#This Row],[HomeTeam]], 1, 0))</f>
        <v>0</v>
      </c>
      <c r="AN12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6" s="2" t="str">
        <f>INDEX(Sheet5!$B$2:$AG$33, MATCH(Table2[[#This Row],[AwayTeam]],Sheet5!$A$2:$A$33, 0), MATCH(Table2[[#This Row],[HomeTeam]],Sheet5!$A$2:$A$33, 0))</f>
        <v>0-0-0</v>
      </c>
      <c r="AP1226" s="2" t="str">
        <f>INDEX(Sheet5!$B$2:$AG$33, MATCH(Table2[[#This Row],[HomeTeam]],Sheet5!$A$2:$A$33, 0), MATCH(Table2[[#This Row],[AwayTeam]],Sheet5!$A$2:$A$33, 0))</f>
        <v>0-0-0</v>
      </c>
      <c r="AQ1226" s="2">
        <f>IF(Table2[[#This Row],[GameHasShutOut]], 1, 0)</f>
        <v>0</v>
      </c>
      <c r="AR1226" s="2">
        <f>IF(Table2[[#This Row],[ActualAwayScore]] + Table2[[#This Row],[ActualHomeScore]] &gt;= 10, 1, 0)</f>
        <v>0</v>
      </c>
      <c r="AS1226" s="2">
        <f>IF(ABS(Table2[[#This Row],[ActualAwayScore]]-Table2[[#This Row],[ActualHomeScore]])&gt;=5, 1, 0)</f>
        <v>0</v>
      </c>
      <c r="AT1226" s="2">
        <f>IF(Table2[[#This Row],[ActualAwayScore]] + Table2[[#This Row],[ActualHomeScore]] &lt;= 3, 1, 0)</f>
        <v>1</v>
      </c>
      <c r="AU1226" s="2"/>
      <c r="AV1226" s="2"/>
    </row>
    <row r="1227" spans="1:48" x14ac:dyDescent="0.25">
      <c r="A1227" s="3"/>
      <c r="B1227" s="3">
        <v>46117</v>
      </c>
      <c r="C1227" s="5">
        <v>2025021225</v>
      </c>
      <c r="D1227" s="2" t="s">
        <v>41</v>
      </c>
      <c r="E1227" s="2" t="s">
        <v>29</v>
      </c>
      <c r="F1227" s="2"/>
      <c r="G1227" s="2"/>
      <c r="H1227" s="2" t="str">
        <f t="shared" si="99"/>
        <v>_</v>
      </c>
      <c r="I1227" s="2"/>
      <c r="J1227" s="2"/>
      <c r="K1227" s="2"/>
      <c r="L1227" s="2" t="str">
        <f t="shared" si="100"/>
        <v>_</v>
      </c>
      <c r="M1227" s="2"/>
      <c r="N1227" s="2">
        <f>IF(ISBLANK(Table2[[#This Row],[ActualResult]]), 0, 1)</f>
        <v>0</v>
      </c>
      <c r="O1227" s="2" t="str">
        <f>IF(ISBLANK(Table2[[#This Row],[ActualResult]]), "_", IF(Table2[[#This Row],[ActualWinner]]=Table2[[#This Row],[PredictedWinner]], "Y", "N"))</f>
        <v>_</v>
      </c>
      <c r="P12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7" s="2"/>
      <c r="S1227" s="2" t="str">
        <f t="shared" si="101"/>
        <v>_</v>
      </c>
      <c r="T12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7" s="2">
        <f>IF(Table2[[#This Row],[InterConf]]=1,IF(Table2[[#This Row],[InterDiv]]=0, 1, 0), 0)</f>
        <v>1</v>
      </c>
      <c r="W12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7" s="2"/>
      <c r="Y1227" s="2"/>
      <c r="Z1227" s="145">
        <f>IF(AND(Table2[[#This Row],[GameIsOver]]=1,Table2[[#This Row],[ActualHomeScore]]*Table2[[#This Row],[ActualAwayScore]]=0), 1,0)</f>
        <v>0</v>
      </c>
      <c r="AA12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7" s="2">
        <f>Table2[[#This Row],[ActualAwayScore]]-Table2[[#This Row],[PredictedAwayScore]]</f>
        <v>0</v>
      </c>
      <c r="AG1227" s="2">
        <f>Table2[[#This Row],[ActualHomeScore]]-Table2[[#This Row],[PredictedHomeScore]]</f>
        <v>0</v>
      </c>
      <c r="AH1227" s="2">
        <f t="shared" si="102"/>
        <v>0</v>
      </c>
      <c r="AI1227" s="2">
        <f t="shared" si="103"/>
        <v>0</v>
      </c>
      <c r="AJ1227" s="2"/>
      <c r="AK1227" s="3"/>
      <c r="AL1227" s="2">
        <f>IF(Table2[[#This Row],[GameIsOver]]=0,0,IF(Table2[[#This Row],[ActualWinner]]=Table2[[#This Row],[AwayTeam]], 1, 0))</f>
        <v>0</v>
      </c>
      <c r="AM1227" s="2">
        <f>IF(Table2[[#This Row],[GameIsOver]]=0,0,IF(Table2[[#This Row],[ActualWinner]]=Table2[[#This Row],[HomeTeam]], 1, 0))</f>
        <v>0</v>
      </c>
      <c r="AN12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7" s="2" t="str">
        <f>INDEX(Sheet5!$B$2:$AG$33, MATCH(Table2[[#This Row],[AwayTeam]],Sheet5!$A$2:$A$33, 0), MATCH(Table2[[#This Row],[HomeTeam]],Sheet5!$A$2:$A$33, 0))</f>
        <v>0-0-0</v>
      </c>
      <c r="AP1227" s="2" t="str">
        <f>INDEX(Sheet5!$B$2:$AG$33, MATCH(Table2[[#This Row],[HomeTeam]],Sheet5!$A$2:$A$33, 0), MATCH(Table2[[#This Row],[AwayTeam]],Sheet5!$A$2:$A$33, 0))</f>
        <v>0-0-0</v>
      </c>
      <c r="AQ1227" s="2">
        <f>IF(Table2[[#This Row],[GameHasShutOut]], 1, 0)</f>
        <v>0</v>
      </c>
      <c r="AR1227" s="2">
        <f>IF(Table2[[#This Row],[ActualAwayScore]] + Table2[[#This Row],[ActualHomeScore]] &gt;= 10, 1, 0)</f>
        <v>0</v>
      </c>
      <c r="AS1227" s="2">
        <f>IF(ABS(Table2[[#This Row],[ActualAwayScore]]-Table2[[#This Row],[ActualHomeScore]])&gt;=5, 1, 0)</f>
        <v>0</v>
      </c>
      <c r="AT1227" s="2">
        <f>IF(Table2[[#This Row],[ActualAwayScore]] + Table2[[#This Row],[ActualHomeScore]] &lt;= 3, 1, 0)</f>
        <v>1</v>
      </c>
      <c r="AU1227" s="2"/>
      <c r="AV1227" s="2"/>
    </row>
    <row r="1228" spans="1:48" x14ac:dyDescent="0.25">
      <c r="A1228" s="3"/>
      <c r="B1228" s="3">
        <v>46117</v>
      </c>
      <c r="C1228" s="5">
        <v>2025021226</v>
      </c>
      <c r="D1228" s="2" t="s">
        <v>31</v>
      </c>
      <c r="E1228" s="2" t="s">
        <v>18</v>
      </c>
      <c r="F1228" s="2"/>
      <c r="G1228" s="2"/>
      <c r="H1228" s="2" t="str">
        <f t="shared" si="99"/>
        <v>_</v>
      </c>
      <c r="I1228" s="2"/>
      <c r="J1228" s="2"/>
      <c r="K1228" s="2"/>
      <c r="L1228" s="2" t="str">
        <f t="shared" si="100"/>
        <v>_</v>
      </c>
      <c r="M1228" s="2"/>
      <c r="N1228" s="2">
        <f>IF(ISBLANK(Table2[[#This Row],[ActualResult]]), 0, 1)</f>
        <v>0</v>
      </c>
      <c r="O1228" s="2" t="str">
        <f>IF(ISBLANK(Table2[[#This Row],[ActualResult]]), "_", IF(Table2[[#This Row],[ActualWinner]]=Table2[[#This Row],[PredictedWinner]], "Y", "N"))</f>
        <v>_</v>
      </c>
      <c r="P12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8" s="2"/>
      <c r="S1228" s="2" t="str">
        <f t="shared" si="101"/>
        <v>_</v>
      </c>
      <c r="T12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8" s="2">
        <f>IF(Table2[[#This Row],[InterConf]]=1,IF(Table2[[#This Row],[InterDiv]]=0, 1, 0), 0)</f>
        <v>1</v>
      </c>
      <c r="W12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8" s="2"/>
      <c r="Y1228" s="2"/>
      <c r="Z1228" s="145">
        <f>IF(AND(Table2[[#This Row],[GameIsOver]]=1,Table2[[#This Row],[ActualHomeScore]]*Table2[[#This Row],[ActualAwayScore]]=0), 1,0)</f>
        <v>0</v>
      </c>
      <c r="AA12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8" s="2">
        <f>Table2[[#This Row],[ActualAwayScore]]-Table2[[#This Row],[PredictedAwayScore]]</f>
        <v>0</v>
      </c>
      <c r="AG1228" s="2">
        <f>Table2[[#This Row],[ActualHomeScore]]-Table2[[#This Row],[PredictedHomeScore]]</f>
        <v>0</v>
      </c>
      <c r="AH1228" s="2">
        <f t="shared" si="102"/>
        <v>0</v>
      </c>
      <c r="AI1228" s="2">
        <f t="shared" si="103"/>
        <v>0</v>
      </c>
      <c r="AJ1228" s="2"/>
      <c r="AK1228" s="3"/>
      <c r="AL1228" s="2">
        <f>IF(Table2[[#This Row],[GameIsOver]]=0,0,IF(Table2[[#This Row],[ActualWinner]]=Table2[[#This Row],[AwayTeam]], 1, 0))</f>
        <v>0</v>
      </c>
      <c r="AM1228" s="2">
        <f>IF(Table2[[#This Row],[GameIsOver]]=0,0,IF(Table2[[#This Row],[ActualWinner]]=Table2[[#This Row],[HomeTeam]], 1, 0))</f>
        <v>0</v>
      </c>
      <c r="AN12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8" s="2" t="str">
        <f>INDEX(Sheet5!$B$2:$AG$33, MATCH(Table2[[#This Row],[AwayTeam]],Sheet5!$A$2:$A$33, 0), MATCH(Table2[[#This Row],[HomeTeam]],Sheet5!$A$2:$A$33, 0))</f>
        <v>0-0-0</v>
      </c>
      <c r="AP1228" s="2" t="str">
        <f>INDEX(Sheet5!$B$2:$AG$33, MATCH(Table2[[#This Row],[HomeTeam]],Sheet5!$A$2:$A$33, 0), MATCH(Table2[[#This Row],[AwayTeam]],Sheet5!$A$2:$A$33, 0))</f>
        <v>0-0-0</v>
      </c>
      <c r="AQ1228" s="2">
        <f>IF(Table2[[#This Row],[GameHasShutOut]], 1, 0)</f>
        <v>0</v>
      </c>
      <c r="AR1228" s="2">
        <f>IF(Table2[[#This Row],[ActualAwayScore]] + Table2[[#This Row],[ActualHomeScore]] &gt;= 10, 1, 0)</f>
        <v>0</v>
      </c>
      <c r="AS1228" s="2">
        <f>IF(ABS(Table2[[#This Row],[ActualAwayScore]]-Table2[[#This Row],[ActualHomeScore]])&gt;=5, 1, 0)</f>
        <v>0</v>
      </c>
      <c r="AT1228" s="2">
        <f>IF(Table2[[#This Row],[ActualAwayScore]] + Table2[[#This Row],[ActualHomeScore]] &lt;= 3, 1, 0)</f>
        <v>1</v>
      </c>
      <c r="AU1228" s="2"/>
      <c r="AV1228" s="2"/>
    </row>
    <row r="1229" spans="1:48" x14ac:dyDescent="0.25">
      <c r="A1229" s="3"/>
      <c r="B1229" s="3">
        <v>46117</v>
      </c>
      <c r="C1229" s="5">
        <v>2025021227</v>
      </c>
      <c r="D1229" s="2" t="s">
        <v>43</v>
      </c>
      <c r="E1229" s="2" t="s">
        <v>19</v>
      </c>
      <c r="F1229" s="2"/>
      <c r="G1229" s="2"/>
      <c r="H1229" s="2" t="str">
        <f t="shared" si="99"/>
        <v>_</v>
      </c>
      <c r="I1229" s="2"/>
      <c r="J1229" s="2"/>
      <c r="K1229" s="2"/>
      <c r="L1229" s="2" t="str">
        <f t="shared" si="100"/>
        <v>_</v>
      </c>
      <c r="M1229" s="2"/>
      <c r="N1229" s="2">
        <f>IF(ISBLANK(Table2[[#This Row],[ActualResult]]), 0, 1)</f>
        <v>0</v>
      </c>
      <c r="O1229" s="2" t="str">
        <f>IF(ISBLANK(Table2[[#This Row],[ActualResult]]), "_", IF(Table2[[#This Row],[ActualWinner]]=Table2[[#This Row],[PredictedWinner]], "Y", "N"))</f>
        <v>_</v>
      </c>
      <c r="P12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9" s="2"/>
      <c r="S1229" s="2" t="str">
        <f t="shared" si="101"/>
        <v>_</v>
      </c>
      <c r="T12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29" s="2">
        <f>IF(Table2[[#This Row],[InterConf]]=1,IF(Table2[[#This Row],[InterDiv]]=0, 1, 0), 0)</f>
        <v>0</v>
      </c>
      <c r="W12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9" s="2"/>
      <c r="Y1229" s="2"/>
      <c r="Z1229" s="145">
        <f>IF(AND(Table2[[#This Row],[GameIsOver]]=1,Table2[[#This Row],[ActualHomeScore]]*Table2[[#This Row],[ActualAwayScore]]=0), 1,0)</f>
        <v>0</v>
      </c>
      <c r="AA12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9" s="2">
        <f>Table2[[#This Row],[ActualAwayScore]]-Table2[[#This Row],[PredictedAwayScore]]</f>
        <v>0</v>
      </c>
      <c r="AG1229" s="2">
        <f>Table2[[#This Row],[ActualHomeScore]]-Table2[[#This Row],[PredictedHomeScore]]</f>
        <v>0</v>
      </c>
      <c r="AH1229" s="2">
        <f t="shared" si="102"/>
        <v>0</v>
      </c>
      <c r="AI1229" s="2">
        <f t="shared" si="103"/>
        <v>0</v>
      </c>
      <c r="AJ1229" s="2"/>
      <c r="AK1229" s="3"/>
      <c r="AL1229" s="2">
        <f>IF(Table2[[#This Row],[GameIsOver]]=0,0,IF(Table2[[#This Row],[ActualWinner]]=Table2[[#This Row],[AwayTeam]], 1, 0))</f>
        <v>0</v>
      </c>
      <c r="AM1229" s="2">
        <f>IF(Table2[[#This Row],[GameIsOver]]=0,0,IF(Table2[[#This Row],[ActualWinner]]=Table2[[#This Row],[HomeTeam]], 1, 0))</f>
        <v>0</v>
      </c>
      <c r="AN12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9" s="2" t="str">
        <f>INDEX(Sheet5!$B$2:$AG$33, MATCH(Table2[[#This Row],[AwayTeam]],Sheet5!$A$2:$A$33, 0), MATCH(Table2[[#This Row],[HomeTeam]],Sheet5!$A$2:$A$33, 0))</f>
        <v>1-0-0</v>
      </c>
      <c r="AP1229" s="2" t="str">
        <f>INDEX(Sheet5!$B$2:$AG$33, MATCH(Table2[[#This Row],[HomeTeam]],Sheet5!$A$2:$A$33, 0), MATCH(Table2[[#This Row],[AwayTeam]],Sheet5!$A$2:$A$33, 0))</f>
        <v>0-1-0</v>
      </c>
      <c r="AQ1229" s="2">
        <f>IF(Table2[[#This Row],[GameHasShutOut]], 1, 0)</f>
        <v>0</v>
      </c>
      <c r="AR1229" s="2">
        <f>IF(Table2[[#This Row],[ActualAwayScore]] + Table2[[#This Row],[ActualHomeScore]] &gt;= 10, 1, 0)</f>
        <v>0</v>
      </c>
      <c r="AS1229" s="2">
        <f>IF(ABS(Table2[[#This Row],[ActualAwayScore]]-Table2[[#This Row],[ActualHomeScore]])&gt;=5, 1, 0)</f>
        <v>0</v>
      </c>
      <c r="AT1229" s="2">
        <f>IF(Table2[[#This Row],[ActualAwayScore]] + Table2[[#This Row],[ActualHomeScore]] &lt;= 3, 1, 0)</f>
        <v>1</v>
      </c>
      <c r="AU1229" s="2"/>
      <c r="AV1229" s="2"/>
    </row>
    <row r="1230" spans="1:48" x14ac:dyDescent="0.25">
      <c r="A1230" s="3"/>
      <c r="B1230" s="3">
        <v>46118</v>
      </c>
      <c r="C1230" s="5">
        <v>2025021228</v>
      </c>
      <c r="D1230" s="2" t="s">
        <v>12</v>
      </c>
      <c r="E1230" s="2" t="s">
        <v>25</v>
      </c>
      <c r="F1230" s="2"/>
      <c r="G1230" s="2"/>
      <c r="H1230" s="2" t="str">
        <f t="shared" si="99"/>
        <v>_</v>
      </c>
      <c r="I1230" s="2"/>
      <c r="J1230" s="2"/>
      <c r="K1230" s="2"/>
      <c r="L1230" s="2" t="str">
        <f t="shared" si="100"/>
        <v>_</v>
      </c>
      <c r="M1230" s="2"/>
      <c r="N1230" s="2">
        <f>IF(ISBLANK(Table2[[#This Row],[ActualResult]]), 0, 1)</f>
        <v>0</v>
      </c>
      <c r="O1230" s="2" t="str">
        <f>IF(ISBLANK(Table2[[#This Row],[ActualResult]]), "_", IF(Table2[[#This Row],[ActualWinner]]=Table2[[#This Row],[PredictedWinner]], "Y", "N"))</f>
        <v>_</v>
      </c>
      <c r="P12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0" s="2"/>
      <c r="S1230" s="2" t="str">
        <f t="shared" si="101"/>
        <v>_</v>
      </c>
      <c r="T12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0" s="2">
        <f>IF(Table2[[#This Row],[InterConf]]=1,IF(Table2[[#This Row],[InterDiv]]=0, 1, 0), 0)</f>
        <v>0</v>
      </c>
      <c r="W12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0" s="2"/>
      <c r="Y1230" s="2"/>
      <c r="Z1230" s="145">
        <f>IF(AND(Table2[[#This Row],[GameIsOver]]=1,Table2[[#This Row],[ActualHomeScore]]*Table2[[#This Row],[ActualAwayScore]]=0), 1,0)</f>
        <v>0</v>
      </c>
      <c r="AA12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30" s="2">
        <f>Table2[[#This Row],[ActualAwayScore]]-Table2[[#This Row],[PredictedAwayScore]]</f>
        <v>0</v>
      </c>
      <c r="AG1230" s="2">
        <f>Table2[[#This Row],[ActualHomeScore]]-Table2[[#This Row],[PredictedHomeScore]]</f>
        <v>0</v>
      </c>
      <c r="AH1230" s="2">
        <f t="shared" si="102"/>
        <v>0</v>
      </c>
      <c r="AI1230" s="2">
        <f t="shared" si="103"/>
        <v>0</v>
      </c>
      <c r="AJ1230" s="2"/>
      <c r="AK1230" s="3"/>
      <c r="AL1230" s="2">
        <f>IF(Table2[[#This Row],[GameIsOver]]=0,0,IF(Table2[[#This Row],[ActualWinner]]=Table2[[#This Row],[AwayTeam]], 1, 0))</f>
        <v>0</v>
      </c>
      <c r="AM1230" s="2">
        <f>IF(Table2[[#This Row],[GameIsOver]]=0,0,IF(Table2[[#This Row],[ActualWinner]]=Table2[[#This Row],[HomeTeam]], 1, 0))</f>
        <v>0</v>
      </c>
      <c r="AN12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0" s="2" t="str">
        <f>INDEX(Sheet5!$B$2:$AG$33, MATCH(Table2[[#This Row],[AwayTeam]],Sheet5!$A$2:$A$33, 0), MATCH(Table2[[#This Row],[HomeTeam]],Sheet5!$A$2:$A$33, 0))</f>
        <v>0-0-0</v>
      </c>
      <c r="AP1230" s="2" t="str">
        <f>INDEX(Sheet5!$B$2:$AG$33, MATCH(Table2[[#This Row],[HomeTeam]],Sheet5!$A$2:$A$33, 0), MATCH(Table2[[#This Row],[AwayTeam]],Sheet5!$A$2:$A$33, 0))</f>
        <v>0-0-0</v>
      </c>
      <c r="AQ1230" s="2">
        <f>IF(Table2[[#This Row],[GameHasShutOut]], 1, 0)</f>
        <v>0</v>
      </c>
      <c r="AR1230" s="2">
        <f>IF(Table2[[#This Row],[ActualAwayScore]] + Table2[[#This Row],[ActualHomeScore]] &gt;= 10, 1, 0)</f>
        <v>0</v>
      </c>
      <c r="AS1230" s="2">
        <f>IF(ABS(Table2[[#This Row],[ActualAwayScore]]-Table2[[#This Row],[ActualHomeScore]])&gt;=5, 1, 0)</f>
        <v>0</v>
      </c>
      <c r="AT1230" s="2">
        <f>IF(Table2[[#This Row],[ActualAwayScore]] + Table2[[#This Row],[ActualHomeScore]] &lt;= 3, 1, 0)</f>
        <v>1</v>
      </c>
      <c r="AU1230" s="2"/>
      <c r="AV1230" s="2"/>
    </row>
    <row r="1231" spans="1:48" x14ac:dyDescent="0.25">
      <c r="A1231" s="3"/>
      <c r="B1231" s="3">
        <v>46118</v>
      </c>
      <c r="C1231" s="5">
        <v>2025021229</v>
      </c>
      <c r="D1231" s="2" t="s">
        <v>40</v>
      </c>
      <c r="E1231" s="2" t="s">
        <v>28</v>
      </c>
      <c r="F1231" s="2"/>
      <c r="G1231" s="2"/>
      <c r="H1231" s="2" t="str">
        <f t="shared" si="99"/>
        <v>_</v>
      </c>
      <c r="I1231" s="2"/>
      <c r="J1231" s="2"/>
      <c r="K1231" s="2"/>
      <c r="L1231" s="2" t="str">
        <f t="shared" si="100"/>
        <v>_</v>
      </c>
      <c r="M1231" s="2"/>
      <c r="N1231" s="2">
        <f>IF(ISBLANK(Table2[[#This Row],[ActualResult]]), 0, 1)</f>
        <v>0</v>
      </c>
      <c r="O1231" s="2" t="str">
        <f>IF(ISBLANK(Table2[[#This Row],[ActualResult]]), "_", IF(Table2[[#This Row],[ActualWinner]]=Table2[[#This Row],[PredictedWinner]], "Y", "N"))</f>
        <v>_</v>
      </c>
      <c r="P12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1" s="2"/>
      <c r="S1231" s="2" t="str">
        <f t="shared" si="101"/>
        <v>_</v>
      </c>
      <c r="T12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1" s="2">
        <f>IF(Table2[[#This Row],[InterConf]]=1,IF(Table2[[#This Row],[InterDiv]]=0, 1, 0), 0)</f>
        <v>0</v>
      </c>
      <c r="W12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1" s="2"/>
      <c r="Y1231" s="2"/>
      <c r="Z1231" s="145">
        <f>IF(AND(Table2[[#This Row],[GameIsOver]]=1,Table2[[#This Row],[ActualHomeScore]]*Table2[[#This Row],[ActualAwayScore]]=0), 1,0)</f>
        <v>0</v>
      </c>
      <c r="AA12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31" s="2">
        <f>Table2[[#This Row],[ActualAwayScore]]-Table2[[#This Row],[PredictedAwayScore]]</f>
        <v>0</v>
      </c>
      <c r="AG1231" s="2">
        <f>Table2[[#This Row],[ActualHomeScore]]-Table2[[#This Row],[PredictedHomeScore]]</f>
        <v>0</v>
      </c>
      <c r="AH1231" s="2">
        <f t="shared" si="102"/>
        <v>0</v>
      </c>
      <c r="AI1231" s="2">
        <f t="shared" si="103"/>
        <v>0</v>
      </c>
      <c r="AJ1231" s="2"/>
      <c r="AK1231" s="3"/>
      <c r="AL1231" s="2">
        <f>IF(Table2[[#This Row],[GameIsOver]]=0,0,IF(Table2[[#This Row],[ActualWinner]]=Table2[[#This Row],[AwayTeam]], 1, 0))</f>
        <v>0</v>
      </c>
      <c r="AM1231" s="2">
        <f>IF(Table2[[#This Row],[GameIsOver]]=0,0,IF(Table2[[#This Row],[ActualWinner]]=Table2[[#This Row],[HomeTeam]], 1, 0))</f>
        <v>0</v>
      </c>
      <c r="AN12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1" s="2" t="str">
        <f>INDEX(Sheet5!$B$2:$AG$33, MATCH(Table2[[#This Row],[AwayTeam]],Sheet5!$A$2:$A$33, 0), MATCH(Table2[[#This Row],[HomeTeam]],Sheet5!$A$2:$A$33, 0))</f>
        <v>0-0-0</v>
      </c>
      <c r="AP1231" s="2" t="str">
        <f>INDEX(Sheet5!$B$2:$AG$33, MATCH(Table2[[#This Row],[HomeTeam]],Sheet5!$A$2:$A$33, 0), MATCH(Table2[[#This Row],[AwayTeam]],Sheet5!$A$2:$A$33, 0))</f>
        <v>0-0-0</v>
      </c>
      <c r="AQ1231" s="2">
        <f>IF(Table2[[#This Row],[GameHasShutOut]], 1, 0)</f>
        <v>0</v>
      </c>
      <c r="AR1231" s="2">
        <f>IF(Table2[[#This Row],[ActualAwayScore]] + Table2[[#This Row],[ActualHomeScore]] &gt;= 10, 1, 0)</f>
        <v>0</v>
      </c>
      <c r="AS1231" s="2">
        <f>IF(ABS(Table2[[#This Row],[ActualAwayScore]]-Table2[[#This Row],[ActualHomeScore]])&gt;=5, 1, 0)</f>
        <v>0</v>
      </c>
      <c r="AT1231" s="2">
        <f>IF(Table2[[#This Row],[ActualAwayScore]] + Table2[[#This Row],[ActualHomeScore]] &lt;= 3, 1, 0)</f>
        <v>1</v>
      </c>
      <c r="AU1231" s="2"/>
      <c r="AV1231" s="2"/>
    </row>
    <row r="1232" spans="1:48" x14ac:dyDescent="0.25">
      <c r="A1232" s="3"/>
      <c r="B1232" s="3">
        <v>46118</v>
      </c>
      <c r="C1232" s="5">
        <v>2025021230</v>
      </c>
      <c r="D1232" s="2" t="s">
        <v>11</v>
      </c>
      <c r="E1232" s="2" t="s">
        <v>21</v>
      </c>
      <c r="F1232" s="2"/>
      <c r="G1232" s="2"/>
      <c r="H1232" s="2" t="str">
        <f t="shared" si="99"/>
        <v>_</v>
      </c>
      <c r="I1232" s="2"/>
      <c r="J1232" s="2"/>
      <c r="K1232" s="2"/>
      <c r="L1232" s="2" t="str">
        <f t="shared" si="100"/>
        <v>_</v>
      </c>
      <c r="M1232" s="2"/>
      <c r="N1232" s="2">
        <f>IF(ISBLANK(Table2[[#This Row],[ActualResult]]), 0, 1)</f>
        <v>0</v>
      </c>
      <c r="O1232" s="2" t="str">
        <f>IF(ISBLANK(Table2[[#This Row],[ActualResult]]), "_", IF(Table2[[#This Row],[ActualWinner]]=Table2[[#This Row],[PredictedWinner]], "Y", "N"))</f>
        <v>_</v>
      </c>
      <c r="P12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2" s="2"/>
      <c r="S1232" s="2" t="str">
        <f t="shared" si="101"/>
        <v>_</v>
      </c>
      <c r="T12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2" s="2">
        <f>IF(Table2[[#This Row],[InterConf]]=1,IF(Table2[[#This Row],[InterDiv]]=0, 1, 0), 0)</f>
        <v>1</v>
      </c>
      <c r="W12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2" s="2"/>
      <c r="Y1232" s="2"/>
      <c r="Z1232" s="145">
        <f>IF(AND(Table2[[#This Row],[GameIsOver]]=1,Table2[[#This Row],[ActualHomeScore]]*Table2[[#This Row],[ActualAwayScore]]=0), 1,0)</f>
        <v>0</v>
      </c>
      <c r="AA12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32" s="2">
        <f>Table2[[#This Row],[ActualAwayScore]]-Table2[[#This Row],[PredictedAwayScore]]</f>
        <v>0</v>
      </c>
      <c r="AG1232" s="2">
        <f>Table2[[#This Row],[ActualHomeScore]]-Table2[[#This Row],[PredictedHomeScore]]</f>
        <v>0</v>
      </c>
      <c r="AH1232" s="2">
        <f t="shared" si="102"/>
        <v>0</v>
      </c>
      <c r="AI1232" s="2">
        <f t="shared" si="103"/>
        <v>0</v>
      </c>
      <c r="AJ1232" s="2"/>
      <c r="AK1232" s="3"/>
      <c r="AL1232" s="2">
        <f>IF(Table2[[#This Row],[GameIsOver]]=0,0,IF(Table2[[#This Row],[ActualWinner]]=Table2[[#This Row],[AwayTeam]], 1, 0))</f>
        <v>0</v>
      </c>
      <c r="AM1232" s="2">
        <f>IF(Table2[[#This Row],[GameIsOver]]=0,0,IF(Table2[[#This Row],[ActualWinner]]=Table2[[#This Row],[HomeTeam]], 1, 0))</f>
        <v>0</v>
      </c>
      <c r="AN12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2" s="2" t="str">
        <f>INDEX(Sheet5!$B$2:$AG$33, MATCH(Table2[[#This Row],[AwayTeam]],Sheet5!$A$2:$A$33, 0), MATCH(Table2[[#This Row],[HomeTeam]],Sheet5!$A$2:$A$33, 0))</f>
        <v>0-0-0</v>
      </c>
      <c r="AP1232" s="2" t="str">
        <f>INDEX(Sheet5!$B$2:$AG$33, MATCH(Table2[[#This Row],[HomeTeam]],Sheet5!$A$2:$A$33, 0), MATCH(Table2[[#This Row],[AwayTeam]],Sheet5!$A$2:$A$33, 0))</f>
        <v>0-0-0</v>
      </c>
      <c r="AQ1232" s="2">
        <f>IF(Table2[[#This Row],[GameHasShutOut]], 1, 0)</f>
        <v>0</v>
      </c>
      <c r="AR1232" s="2">
        <f>IF(Table2[[#This Row],[ActualAwayScore]] + Table2[[#This Row],[ActualHomeScore]] &gt;= 10, 1, 0)</f>
        <v>0</v>
      </c>
      <c r="AS1232" s="2">
        <f>IF(ABS(Table2[[#This Row],[ActualAwayScore]]-Table2[[#This Row],[ActualHomeScore]])&gt;=5, 1, 0)</f>
        <v>0</v>
      </c>
      <c r="AT1232" s="2">
        <f>IF(Table2[[#This Row],[ActualAwayScore]] + Table2[[#This Row],[ActualHomeScore]] &lt;= 3, 1, 0)</f>
        <v>1</v>
      </c>
      <c r="AU1232" s="2"/>
      <c r="AV1232" s="2"/>
    </row>
    <row r="1233" spans="1:48" x14ac:dyDescent="0.25">
      <c r="A1233" s="3"/>
      <c r="B1233" s="3">
        <v>46119</v>
      </c>
      <c r="C1233" s="5">
        <v>2025021231</v>
      </c>
      <c r="D1233" s="2" t="s">
        <v>16</v>
      </c>
      <c r="E1233" s="2" t="s">
        <v>37</v>
      </c>
      <c r="F1233" s="2"/>
      <c r="G1233" s="2"/>
      <c r="H1233" s="2" t="str">
        <f t="shared" si="99"/>
        <v>_</v>
      </c>
      <c r="I1233" s="2"/>
      <c r="J1233" s="2"/>
      <c r="K1233" s="2"/>
      <c r="L1233" s="2" t="str">
        <f t="shared" si="100"/>
        <v>_</v>
      </c>
      <c r="M1233" s="2"/>
      <c r="N1233" s="2">
        <f>IF(ISBLANK(Table2[[#This Row],[ActualResult]]), 0, 1)</f>
        <v>0</v>
      </c>
      <c r="O1233" s="2" t="str">
        <f>IF(ISBLANK(Table2[[#This Row],[ActualResult]]), "_", IF(Table2[[#This Row],[ActualWinner]]=Table2[[#This Row],[PredictedWinner]], "Y", "N"))</f>
        <v>_</v>
      </c>
      <c r="P12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3" s="2"/>
      <c r="S1233" s="2" t="str">
        <f t="shared" si="101"/>
        <v>_</v>
      </c>
      <c r="T12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3" s="2">
        <f>IF(Table2[[#This Row],[InterConf]]=1,IF(Table2[[#This Row],[InterDiv]]=0, 1, 0), 0)</f>
        <v>1</v>
      </c>
      <c r="W12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3" s="2"/>
      <c r="Y1233" s="2"/>
      <c r="Z1233" s="145">
        <f>IF(AND(Table2[[#This Row],[GameIsOver]]=1,Table2[[#This Row],[ActualHomeScore]]*Table2[[#This Row],[ActualAwayScore]]=0), 1,0)</f>
        <v>0</v>
      </c>
      <c r="AA12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3" s="2">
        <f>Table2[[#This Row],[ActualAwayScore]]-Table2[[#This Row],[PredictedAwayScore]]</f>
        <v>0</v>
      </c>
      <c r="AG1233" s="2">
        <f>Table2[[#This Row],[ActualHomeScore]]-Table2[[#This Row],[PredictedHomeScore]]</f>
        <v>0</v>
      </c>
      <c r="AH1233" s="2">
        <f t="shared" si="102"/>
        <v>0</v>
      </c>
      <c r="AI1233" s="2">
        <f t="shared" si="103"/>
        <v>0</v>
      </c>
      <c r="AJ1233" s="2"/>
      <c r="AK1233" s="3"/>
      <c r="AL1233" s="2">
        <f>IF(Table2[[#This Row],[GameIsOver]]=0,0,IF(Table2[[#This Row],[ActualWinner]]=Table2[[#This Row],[AwayTeam]], 1, 0))</f>
        <v>0</v>
      </c>
      <c r="AM1233" s="2">
        <f>IF(Table2[[#This Row],[GameIsOver]]=0,0,IF(Table2[[#This Row],[ActualWinner]]=Table2[[#This Row],[HomeTeam]], 1, 0))</f>
        <v>0</v>
      </c>
      <c r="AN12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3" s="2" t="str">
        <f>INDEX(Sheet5!$B$2:$AG$33, MATCH(Table2[[#This Row],[AwayTeam]],Sheet5!$A$2:$A$33, 0), MATCH(Table2[[#This Row],[HomeTeam]],Sheet5!$A$2:$A$33, 0))</f>
        <v>0-0-0</v>
      </c>
      <c r="AP1233" s="2" t="str">
        <f>INDEX(Sheet5!$B$2:$AG$33, MATCH(Table2[[#This Row],[HomeTeam]],Sheet5!$A$2:$A$33, 0), MATCH(Table2[[#This Row],[AwayTeam]],Sheet5!$A$2:$A$33, 0))</f>
        <v>0-0-0</v>
      </c>
      <c r="AQ1233" s="2">
        <f>IF(Table2[[#This Row],[GameHasShutOut]], 1, 0)</f>
        <v>0</v>
      </c>
      <c r="AR1233" s="2">
        <f>IF(Table2[[#This Row],[ActualAwayScore]] + Table2[[#This Row],[ActualHomeScore]] &gt;= 10, 1, 0)</f>
        <v>0</v>
      </c>
      <c r="AS1233" s="2">
        <f>IF(ABS(Table2[[#This Row],[ActualAwayScore]]-Table2[[#This Row],[ActualHomeScore]])&gt;=5, 1, 0)</f>
        <v>0</v>
      </c>
      <c r="AT1233" s="2">
        <f>IF(Table2[[#This Row],[ActualAwayScore]] + Table2[[#This Row],[ActualHomeScore]] &lt;= 3, 1, 0)</f>
        <v>1</v>
      </c>
      <c r="AU1233" s="2"/>
      <c r="AV1233" s="2"/>
    </row>
    <row r="1234" spans="1:48" x14ac:dyDescent="0.25">
      <c r="A1234" s="3"/>
      <c r="B1234" s="3">
        <v>46119</v>
      </c>
      <c r="C1234" s="5">
        <v>2025021232</v>
      </c>
      <c r="D1234" s="2" t="s">
        <v>34</v>
      </c>
      <c r="E1234" s="2" t="s">
        <v>27</v>
      </c>
      <c r="F1234" s="2"/>
      <c r="G1234" s="2"/>
      <c r="H1234" s="2" t="str">
        <f t="shared" si="99"/>
        <v>_</v>
      </c>
      <c r="I1234" s="2"/>
      <c r="J1234" s="2"/>
      <c r="K1234" s="2"/>
      <c r="L1234" s="2" t="str">
        <f t="shared" si="100"/>
        <v>_</v>
      </c>
      <c r="M1234" s="2"/>
      <c r="N1234" s="2">
        <f>IF(ISBLANK(Table2[[#This Row],[ActualResult]]), 0, 1)</f>
        <v>0</v>
      </c>
      <c r="O1234" s="2" t="str">
        <f>IF(ISBLANK(Table2[[#This Row],[ActualResult]]), "_", IF(Table2[[#This Row],[ActualWinner]]=Table2[[#This Row],[PredictedWinner]], "Y", "N"))</f>
        <v>_</v>
      </c>
      <c r="P12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4" s="2"/>
      <c r="S1234" s="2" t="str">
        <f t="shared" si="101"/>
        <v>_</v>
      </c>
      <c r="T12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4" s="2">
        <f>IF(Table2[[#This Row],[InterConf]]=1,IF(Table2[[#This Row],[InterDiv]]=0, 1, 0), 0)</f>
        <v>1</v>
      </c>
      <c r="W12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4" s="2"/>
      <c r="Y1234" s="2"/>
      <c r="Z1234" s="145">
        <f>IF(AND(Table2[[#This Row],[GameIsOver]]=1,Table2[[#This Row],[ActualHomeScore]]*Table2[[#This Row],[ActualAwayScore]]=0), 1,0)</f>
        <v>0</v>
      </c>
      <c r="AA12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4" s="2">
        <f>Table2[[#This Row],[ActualAwayScore]]-Table2[[#This Row],[PredictedAwayScore]]</f>
        <v>0</v>
      </c>
      <c r="AG1234" s="2">
        <f>Table2[[#This Row],[ActualHomeScore]]-Table2[[#This Row],[PredictedHomeScore]]</f>
        <v>0</v>
      </c>
      <c r="AH1234" s="2">
        <f t="shared" si="102"/>
        <v>0</v>
      </c>
      <c r="AI1234" s="2">
        <f t="shared" si="103"/>
        <v>0</v>
      </c>
      <c r="AJ1234" s="2"/>
      <c r="AK1234" s="3"/>
      <c r="AL1234" s="2">
        <f>IF(Table2[[#This Row],[GameIsOver]]=0,0,IF(Table2[[#This Row],[ActualWinner]]=Table2[[#This Row],[AwayTeam]], 1, 0))</f>
        <v>0</v>
      </c>
      <c r="AM1234" s="2">
        <f>IF(Table2[[#This Row],[GameIsOver]]=0,0,IF(Table2[[#This Row],[ActualWinner]]=Table2[[#This Row],[HomeTeam]], 1, 0))</f>
        <v>0</v>
      </c>
      <c r="AN1234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34" s="2" t="str">
        <f>INDEX(Sheet5!$B$2:$AG$33, MATCH(Table2[[#This Row],[AwayTeam]],Sheet5!$A$2:$A$33, 0), MATCH(Table2[[#This Row],[HomeTeam]],Sheet5!$A$2:$A$33, 0))</f>
        <v>0-0-0</v>
      </c>
      <c r="AP1234" s="2" t="str">
        <f>INDEX(Sheet5!$B$2:$AG$33, MATCH(Table2[[#This Row],[HomeTeam]],Sheet5!$A$2:$A$33, 0), MATCH(Table2[[#This Row],[AwayTeam]],Sheet5!$A$2:$A$33, 0))</f>
        <v>0-0-0</v>
      </c>
      <c r="AQ1234" s="2">
        <f>IF(Table2[[#This Row],[GameHasShutOut]], 1, 0)</f>
        <v>0</v>
      </c>
      <c r="AR1234" s="2">
        <f>IF(Table2[[#This Row],[ActualAwayScore]] + Table2[[#This Row],[ActualHomeScore]] &gt;= 10, 1, 0)</f>
        <v>0</v>
      </c>
      <c r="AS1234" s="2">
        <f>IF(ABS(Table2[[#This Row],[ActualAwayScore]]-Table2[[#This Row],[ActualHomeScore]])&gt;=5, 1, 0)</f>
        <v>0</v>
      </c>
      <c r="AT1234" s="2">
        <f>IF(Table2[[#This Row],[ActualAwayScore]] + Table2[[#This Row],[ActualHomeScore]] &lt;= 3, 1, 0)</f>
        <v>1</v>
      </c>
      <c r="AU1234" s="2"/>
      <c r="AV1234" s="2"/>
    </row>
    <row r="1235" spans="1:48" x14ac:dyDescent="0.25">
      <c r="A1235" s="3"/>
      <c r="B1235" s="3">
        <v>46119</v>
      </c>
      <c r="C1235" s="5">
        <v>2025021233</v>
      </c>
      <c r="D1235" s="2" t="s">
        <v>13</v>
      </c>
      <c r="E1235" s="2" t="s">
        <v>18</v>
      </c>
      <c r="F1235" s="2"/>
      <c r="G1235" s="2"/>
      <c r="H1235" s="2" t="str">
        <f t="shared" si="99"/>
        <v>_</v>
      </c>
      <c r="I1235" s="2"/>
      <c r="J1235" s="2"/>
      <c r="K1235" s="2"/>
      <c r="L1235" s="2" t="str">
        <f t="shared" si="100"/>
        <v>_</v>
      </c>
      <c r="M1235" s="2"/>
      <c r="N1235" s="2">
        <f>IF(ISBLANK(Table2[[#This Row],[ActualResult]]), 0, 1)</f>
        <v>0</v>
      </c>
      <c r="O1235" s="2" t="str">
        <f>IF(ISBLANK(Table2[[#This Row],[ActualResult]]), "_", IF(Table2[[#This Row],[ActualWinner]]=Table2[[#This Row],[PredictedWinner]], "Y", "N"))</f>
        <v>_</v>
      </c>
      <c r="P12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5" s="2"/>
      <c r="S1235" s="2" t="str">
        <f t="shared" si="101"/>
        <v>_</v>
      </c>
      <c r="T12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5" s="2">
        <f>IF(Table2[[#This Row],[InterConf]]=1,IF(Table2[[#This Row],[InterDiv]]=0, 1, 0), 0)</f>
        <v>0</v>
      </c>
      <c r="W12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5" s="2"/>
      <c r="Y1235" s="2"/>
      <c r="Z1235" s="145">
        <f>IF(AND(Table2[[#This Row],[GameIsOver]]=1,Table2[[#This Row],[ActualHomeScore]]*Table2[[#This Row],[ActualAwayScore]]=0), 1,0)</f>
        <v>0</v>
      </c>
      <c r="AA12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5" s="2">
        <f>Table2[[#This Row],[ActualAwayScore]]-Table2[[#This Row],[PredictedAwayScore]]</f>
        <v>0</v>
      </c>
      <c r="AG1235" s="2">
        <f>Table2[[#This Row],[ActualHomeScore]]-Table2[[#This Row],[PredictedHomeScore]]</f>
        <v>0</v>
      </c>
      <c r="AH1235" s="2">
        <f t="shared" si="102"/>
        <v>0</v>
      </c>
      <c r="AI1235" s="2">
        <f t="shared" si="103"/>
        <v>0</v>
      </c>
      <c r="AJ1235" s="2"/>
      <c r="AK1235" s="3"/>
      <c r="AL1235" s="2">
        <f>IF(Table2[[#This Row],[GameIsOver]]=0,0,IF(Table2[[#This Row],[ActualWinner]]=Table2[[#This Row],[AwayTeam]], 1, 0))</f>
        <v>0</v>
      </c>
      <c r="AM1235" s="2">
        <f>IF(Table2[[#This Row],[GameIsOver]]=0,0,IF(Table2[[#This Row],[ActualWinner]]=Table2[[#This Row],[HomeTeam]], 1, 0))</f>
        <v>0</v>
      </c>
      <c r="AN12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5" s="2" t="str">
        <f>INDEX(Sheet5!$B$2:$AG$33, MATCH(Table2[[#This Row],[AwayTeam]],Sheet5!$A$2:$A$33, 0), MATCH(Table2[[#This Row],[HomeTeam]],Sheet5!$A$2:$A$33, 0))</f>
        <v>0-0-0</v>
      </c>
      <c r="AP1235" s="2" t="str">
        <f>INDEX(Sheet5!$B$2:$AG$33, MATCH(Table2[[#This Row],[HomeTeam]],Sheet5!$A$2:$A$33, 0), MATCH(Table2[[#This Row],[AwayTeam]],Sheet5!$A$2:$A$33, 0))</f>
        <v>0-0-0</v>
      </c>
      <c r="AQ1235" s="2">
        <f>IF(Table2[[#This Row],[GameHasShutOut]], 1, 0)</f>
        <v>0</v>
      </c>
      <c r="AR1235" s="2">
        <f>IF(Table2[[#This Row],[ActualAwayScore]] + Table2[[#This Row],[ActualHomeScore]] &gt;= 10, 1, 0)</f>
        <v>0</v>
      </c>
      <c r="AS1235" s="2">
        <f>IF(ABS(Table2[[#This Row],[ActualAwayScore]]-Table2[[#This Row],[ActualHomeScore]])&gt;=5, 1, 0)</f>
        <v>0</v>
      </c>
      <c r="AT1235" s="2">
        <f>IF(Table2[[#This Row],[ActualAwayScore]] + Table2[[#This Row],[ActualHomeScore]] &lt;= 3, 1, 0)</f>
        <v>1</v>
      </c>
      <c r="AU1235" s="2"/>
      <c r="AV1235" s="2"/>
    </row>
    <row r="1236" spans="1:48" x14ac:dyDescent="0.25">
      <c r="A1236" s="3"/>
      <c r="B1236" s="3">
        <v>46119</v>
      </c>
      <c r="C1236" s="5">
        <v>2025021234</v>
      </c>
      <c r="D1236" s="2" t="s">
        <v>40</v>
      </c>
      <c r="E1236" s="2" t="s">
        <v>29</v>
      </c>
      <c r="F1236" s="2"/>
      <c r="G1236" s="2"/>
      <c r="H1236" s="2" t="str">
        <f t="shared" si="99"/>
        <v>_</v>
      </c>
      <c r="I1236" s="2"/>
      <c r="J1236" s="2"/>
      <c r="K1236" s="2"/>
      <c r="L1236" s="2" t="str">
        <f t="shared" si="100"/>
        <v>_</v>
      </c>
      <c r="M1236" s="2"/>
      <c r="N1236" s="2">
        <f>IF(ISBLANK(Table2[[#This Row],[ActualResult]]), 0, 1)</f>
        <v>0</v>
      </c>
      <c r="O1236" s="2" t="str">
        <f>IF(ISBLANK(Table2[[#This Row],[ActualResult]]), "_", IF(Table2[[#This Row],[ActualWinner]]=Table2[[#This Row],[PredictedWinner]], "Y", "N"))</f>
        <v>_</v>
      </c>
      <c r="P12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6" s="2"/>
      <c r="S1236" s="2" t="str">
        <f t="shared" si="101"/>
        <v>_</v>
      </c>
      <c r="T12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6" s="2">
        <f>IF(Table2[[#This Row],[InterConf]]=1,IF(Table2[[#This Row],[InterDiv]]=0, 1, 0), 0)</f>
        <v>0</v>
      </c>
      <c r="W12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6" s="2"/>
      <c r="Y1236" s="2"/>
      <c r="Z1236" s="145">
        <f>IF(AND(Table2[[#This Row],[GameIsOver]]=1,Table2[[#This Row],[ActualHomeScore]]*Table2[[#This Row],[ActualAwayScore]]=0), 1,0)</f>
        <v>0</v>
      </c>
      <c r="AA12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6" s="2">
        <f>Table2[[#This Row],[ActualAwayScore]]-Table2[[#This Row],[PredictedAwayScore]]</f>
        <v>0</v>
      </c>
      <c r="AG1236" s="2">
        <f>Table2[[#This Row],[ActualHomeScore]]-Table2[[#This Row],[PredictedHomeScore]]</f>
        <v>0</v>
      </c>
      <c r="AH1236" s="2">
        <f t="shared" si="102"/>
        <v>0</v>
      </c>
      <c r="AI1236" s="2">
        <f t="shared" si="103"/>
        <v>0</v>
      </c>
      <c r="AJ1236" s="2"/>
      <c r="AK1236" s="3"/>
      <c r="AL1236" s="2">
        <f>IF(Table2[[#This Row],[GameIsOver]]=0,0,IF(Table2[[#This Row],[ActualWinner]]=Table2[[#This Row],[AwayTeam]], 1, 0))</f>
        <v>0</v>
      </c>
      <c r="AM1236" s="2">
        <f>IF(Table2[[#This Row],[GameIsOver]]=0,0,IF(Table2[[#This Row],[ActualWinner]]=Table2[[#This Row],[HomeTeam]], 1, 0))</f>
        <v>0</v>
      </c>
      <c r="AN12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6" s="2" t="str">
        <f>INDEX(Sheet5!$B$2:$AG$33, MATCH(Table2[[#This Row],[AwayTeam]],Sheet5!$A$2:$A$33, 0), MATCH(Table2[[#This Row],[HomeTeam]],Sheet5!$A$2:$A$33, 0))</f>
        <v>0-1-0</v>
      </c>
      <c r="AP1236" s="2" t="str">
        <f>INDEX(Sheet5!$B$2:$AG$33, MATCH(Table2[[#This Row],[HomeTeam]],Sheet5!$A$2:$A$33, 0), MATCH(Table2[[#This Row],[AwayTeam]],Sheet5!$A$2:$A$33, 0))</f>
        <v>1-0-0</v>
      </c>
      <c r="AQ1236" s="2">
        <f>IF(Table2[[#This Row],[GameHasShutOut]], 1, 0)</f>
        <v>0</v>
      </c>
      <c r="AR1236" s="2">
        <f>IF(Table2[[#This Row],[ActualAwayScore]] + Table2[[#This Row],[ActualHomeScore]] &gt;= 10, 1, 0)</f>
        <v>0</v>
      </c>
      <c r="AS1236" s="2">
        <f>IF(ABS(Table2[[#This Row],[ActualAwayScore]]-Table2[[#This Row],[ActualHomeScore]])&gt;=5, 1, 0)</f>
        <v>0</v>
      </c>
      <c r="AT1236" s="2">
        <f>IF(Table2[[#This Row],[ActualAwayScore]] + Table2[[#This Row],[ActualHomeScore]] &lt;= 3, 1, 0)</f>
        <v>1</v>
      </c>
      <c r="AU1236" s="2"/>
      <c r="AV1236" s="2"/>
    </row>
    <row r="1237" spans="1:48" x14ac:dyDescent="0.25">
      <c r="A1237" s="3"/>
      <c r="B1237" s="3">
        <v>46119</v>
      </c>
      <c r="C1237" s="5">
        <v>2025021235</v>
      </c>
      <c r="D1237" s="2" t="s">
        <v>35</v>
      </c>
      <c r="E1237" s="2" t="s">
        <v>30</v>
      </c>
      <c r="F1237" s="2"/>
      <c r="G1237" s="2"/>
      <c r="H1237" s="2" t="str">
        <f t="shared" si="99"/>
        <v>_</v>
      </c>
      <c r="I1237" s="2"/>
      <c r="J1237" s="2"/>
      <c r="K1237" s="2"/>
      <c r="L1237" s="2" t="str">
        <f t="shared" si="100"/>
        <v>_</v>
      </c>
      <c r="M1237" s="2"/>
      <c r="N1237" s="2">
        <f>IF(ISBLANK(Table2[[#This Row],[ActualResult]]), 0, 1)</f>
        <v>0</v>
      </c>
      <c r="O1237" s="2" t="str">
        <f>IF(ISBLANK(Table2[[#This Row],[ActualResult]]), "_", IF(Table2[[#This Row],[ActualWinner]]=Table2[[#This Row],[PredictedWinner]], "Y", "N"))</f>
        <v>_</v>
      </c>
      <c r="P12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7" s="2"/>
      <c r="S1237" s="2" t="str">
        <f t="shared" si="101"/>
        <v>_</v>
      </c>
      <c r="T12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7" s="2">
        <f>IF(Table2[[#This Row],[InterConf]]=1,IF(Table2[[#This Row],[InterDiv]]=0, 1, 0), 0)</f>
        <v>1</v>
      </c>
      <c r="W12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7" s="2"/>
      <c r="Y1237" s="2"/>
      <c r="Z1237" s="145">
        <f>IF(AND(Table2[[#This Row],[GameIsOver]]=1,Table2[[#This Row],[ActualHomeScore]]*Table2[[#This Row],[ActualAwayScore]]=0), 1,0)</f>
        <v>0</v>
      </c>
      <c r="AA12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7" s="2">
        <f>Table2[[#This Row],[ActualAwayScore]]-Table2[[#This Row],[PredictedAwayScore]]</f>
        <v>0</v>
      </c>
      <c r="AG1237" s="2">
        <f>Table2[[#This Row],[ActualHomeScore]]-Table2[[#This Row],[PredictedHomeScore]]</f>
        <v>0</v>
      </c>
      <c r="AH1237" s="2">
        <f t="shared" si="102"/>
        <v>0</v>
      </c>
      <c r="AI1237" s="2">
        <f t="shared" si="103"/>
        <v>0</v>
      </c>
      <c r="AJ1237" s="2"/>
      <c r="AK1237" s="3"/>
      <c r="AL1237" s="2">
        <f>IF(Table2[[#This Row],[GameIsOver]]=0,0,IF(Table2[[#This Row],[ActualWinner]]=Table2[[#This Row],[AwayTeam]], 1, 0))</f>
        <v>0</v>
      </c>
      <c r="AM1237" s="2">
        <f>IF(Table2[[#This Row],[GameIsOver]]=0,0,IF(Table2[[#This Row],[ActualWinner]]=Table2[[#This Row],[HomeTeam]], 1, 0))</f>
        <v>0</v>
      </c>
      <c r="AN12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7" s="2" t="str">
        <f>INDEX(Sheet5!$B$2:$AG$33, MATCH(Table2[[#This Row],[AwayTeam]],Sheet5!$A$2:$A$33, 0), MATCH(Table2[[#This Row],[HomeTeam]],Sheet5!$A$2:$A$33, 0))</f>
        <v>0-0-0</v>
      </c>
      <c r="AP1237" s="2" t="str">
        <f>INDEX(Sheet5!$B$2:$AG$33, MATCH(Table2[[#This Row],[HomeTeam]],Sheet5!$A$2:$A$33, 0), MATCH(Table2[[#This Row],[AwayTeam]],Sheet5!$A$2:$A$33, 0))</f>
        <v>0-0-0</v>
      </c>
      <c r="AQ1237" s="2">
        <f>IF(Table2[[#This Row],[GameHasShutOut]], 1, 0)</f>
        <v>0</v>
      </c>
      <c r="AR1237" s="2">
        <f>IF(Table2[[#This Row],[ActualAwayScore]] + Table2[[#This Row],[ActualHomeScore]] &gt;= 10, 1, 0)</f>
        <v>0</v>
      </c>
      <c r="AS1237" s="2">
        <f>IF(ABS(Table2[[#This Row],[ActualAwayScore]]-Table2[[#This Row],[ActualHomeScore]])&gt;=5, 1, 0)</f>
        <v>0</v>
      </c>
      <c r="AT1237" s="2">
        <f>IF(Table2[[#This Row],[ActualAwayScore]] + Table2[[#This Row],[ActualHomeScore]] &lt;= 3, 1, 0)</f>
        <v>1</v>
      </c>
      <c r="AU1237" s="2"/>
      <c r="AV1237" s="2"/>
    </row>
    <row r="1238" spans="1:48" x14ac:dyDescent="0.25">
      <c r="A1238" s="3"/>
      <c r="B1238" s="3">
        <v>46119</v>
      </c>
      <c r="C1238" s="5">
        <v>2025021236</v>
      </c>
      <c r="D1238" s="2" t="s">
        <v>42</v>
      </c>
      <c r="E1238" s="2" t="s">
        <v>31</v>
      </c>
      <c r="F1238" s="2"/>
      <c r="G1238" s="2"/>
      <c r="H1238" s="2" t="str">
        <f t="shared" si="99"/>
        <v>_</v>
      </c>
      <c r="I1238" s="2"/>
      <c r="J1238" s="2"/>
      <c r="K1238" s="2"/>
      <c r="L1238" s="2" t="str">
        <f t="shared" si="100"/>
        <v>_</v>
      </c>
      <c r="M1238" s="2"/>
      <c r="N1238" s="2">
        <f>IF(ISBLANK(Table2[[#This Row],[ActualResult]]), 0, 1)</f>
        <v>0</v>
      </c>
      <c r="O1238" s="2" t="str">
        <f>IF(ISBLANK(Table2[[#This Row],[ActualResult]]), "_", IF(Table2[[#This Row],[ActualWinner]]=Table2[[#This Row],[PredictedWinner]], "Y", "N"))</f>
        <v>_</v>
      </c>
      <c r="P12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8" s="2"/>
      <c r="S1238" s="2" t="str">
        <f t="shared" si="101"/>
        <v>_</v>
      </c>
      <c r="T12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8" s="2">
        <f>IF(Table2[[#This Row],[InterConf]]=1,IF(Table2[[#This Row],[InterDiv]]=0, 1, 0), 0)</f>
        <v>0</v>
      </c>
      <c r="W12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8" s="2"/>
      <c r="Y1238" s="2"/>
      <c r="Z1238" s="145">
        <f>IF(AND(Table2[[#This Row],[GameIsOver]]=1,Table2[[#This Row],[ActualHomeScore]]*Table2[[#This Row],[ActualAwayScore]]=0), 1,0)</f>
        <v>0</v>
      </c>
      <c r="AA12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8" s="2">
        <f>Table2[[#This Row],[ActualAwayScore]]-Table2[[#This Row],[PredictedAwayScore]]</f>
        <v>0</v>
      </c>
      <c r="AG1238" s="2">
        <f>Table2[[#This Row],[ActualHomeScore]]-Table2[[#This Row],[PredictedHomeScore]]</f>
        <v>0</v>
      </c>
      <c r="AH1238" s="2">
        <f t="shared" si="102"/>
        <v>0</v>
      </c>
      <c r="AI1238" s="2">
        <f t="shared" si="103"/>
        <v>0</v>
      </c>
      <c r="AJ1238" s="2"/>
      <c r="AK1238" s="3"/>
      <c r="AL1238" s="2">
        <f>IF(Table2[[#This Row],[GameIsOver]]=0,0,IF(Table2[[#This Row],[ActualWinner]]=Table2[[#This Row],[AwayTeam]], 1, 0))</f>
        <v>0</v>
      </c>
      <c r="AM1238" s="2">
        <f>IF(Table2[[#This Row],[GameIsOver]]=0,0,IF(Table2[[#This Row],[ActualWinner]]=Table2[[#This Row],[HomeTeam]], 1, 0))</f>
        <v>0</v>
      </c>
      <c r="AN12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8" s="2" t="str">
        <f>INDEX(Sheet5!$B$2:$AG$33, MATCH(Table2[[#This Row],[AwayTeam]],Sheet5!$A$2:$A$33, 0), MATCH(Table2[[#This Row],[HomeTeam]],Sheet5!$A$2:$A$33, 0))</f>
        <v>0-0-0</v>
      </c>
      <c r="AP1238" s="2" t="str">
        <f>INDEX(Sheet5!$B$2:$AG$33, MATCH(Table2[[#This Row],[HomeTeam]],Sheet5!$A$2:$A$33, 0), MATCH(Table2[[#This Row],[AwayTeam]],Sheet5!$A$2:$A$33, 0))</f>
        <v>0-0-0</v>
      </c>
      <c r="AQ1238" s="2">
        <f>IF(Table2[[#This Row],[GameHasShutOut]], 1, 0)</f>
        <v>0</v>
      </c>
      <c r="AR1238" s="2">
        <f>IF(Table2[[#This Row],[ActualAwayScore]] + Table2[[#This Row],[ActualHomeScore]] &gt;= 10, 1, 0)</f>
        <v>0</v>
      </c>
      <c r="AS1238" s="2">
        <f>IF(ABS(Table2[[#This Row],[ActualAwayScore]]-Table2[[#This Row],[ActualHomeScore]])&gt;=5, 1, 0)</f>
        <v>0</v>
      </c>
      <c r="AT1238" s="2">
        <f>IF(Table2[[#This Row],[ActualAwayScore]] + Table2[[#This Row],[ActualHomeScore]] &lt;= 3, 1, 0)</f>
        <v>1</v>
      </c>
      <c r="AU1238" s="2"/>
      <c r="AV1238" s="2"/>
    </row>
    <row r="1239" spans="1:48" x14ac:dyDescent="0.25">
      <c r="A1239" s="3"/>
      <c r="B1239" s="3">
        <v>46119</v>
      </c>
      <c r="C1239" s="5">
        <v>2025021237</v>
      </c>
      <c r="D1239" s="2" t="s">
        <v>15</v>
      </c>
      <c r="E1239" s="2" t="s">
        <v>41</v>
      </c>
      <c r="F1239" s="2"/>
      <c r="G1239" s="2"/>
      <c r="H1239" s="2" t="str">
        <f t="shared" si="99"/>
        <v>_</v>
      </c>
      <c r="I1239" s="2"/>
      <c r="J1239" s="2"/>
      <c r="K1239" s="2"/>
      <c r="L1239" s="2" t="str">
        <f t="shared" si="100"/>
        <v>_</v>
      </c>
      <c r="M1239" s="2"/>
      <c r="N1239" s="2">
        <f>IF(ISBLANK(Table2[[#This Row],[ActualResult]]), 0, 1)</f>
        <v>0</v>
      </c>
      <c r="O1239" s="2" t="str">
        <f>IF(ISBLANK(Table2[[#This Row],[ActualResult]]), "_", IF(Table2[[#This Row],[ActualWinner]]=Table2[[#This Row],[PredictedWinner]], "Y", "N"))</f>
        <v>_</v>
      </c>
      <c r="P12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9" s="2"/>
      <c r="S1239" s="2" t="str">
        <f t="shared" si="101"/>
        <v>_</v>
      </c>
      <c r="T12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9" s="2">
        <f>IF(Table2[[#This Row],[InterConf]]=1,IF(Table2[[#This Row],[InterDiv]]=0, 1, 0), 0)</f>
        <v>1</v>
      </c>
      <c r="W12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9" s="2"/>
      <c r="Y1239" s="2"/>
      <c r="Z1239" s="145">
        <f>IF(AND(Table2[[#This Row],[GameIsOver]]=1,Table2[[#This Row],[ActualHomeScore]]*Table2[[#This Row],[ActualAwayScore]]=0), 1,0)</f>
        <v>0</v>
      </c>
      <c r="AA12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9" s="2">
        <f>Table2[[#This Row],[ActualAwayScore]]-Table2[[#This Row],[PredictedAwayScore]]</f>
        <v>0</v>
      </c>
      <c r="AG1239" s="2">
        <f>Table2[[#This Row],[ActualHomeScore]]-Table2[[#This Row],[PredictedHomeScore]]</f>
        <v>0</v>
      </c>
      <c r="AH1239" s="2">
        <f t="shared" si="102"/>
        <v>0</v>
      </c>
      <c r="AI1239" s="2">
        <f t="shared" si="103"/>
        <v>0</v>
      </c>
      <c r="AJ1239" s="2"/>
      <c r="AK1239" s="3"/>
      <c r="AL1239" s="2">
        <f>IF(Table2[[#This Row],[GameIsOver]]=0,0,IF(Table2[[#This Row],[ActualWinner]]=Table2[[#This Row],[AwayTeam]], 1, 0))</f>
        <v>0</v>
      </c>
      <c r="AM1239" s="2">
        <f>IF(Table2[[#This Row],[GameIsOver]]=0,0,IF(Table2[[#This Row],[ActualWinner]]=Table2[[#This Row],[HomeTeam]], 1, 0))</f>
        <v>0</v>
      </c>
      <c r="AN12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9" s="2" t="str">
        <f>INDEX(Sheet5!$B$2:$AG$33, MATCH(Table2[[#This Row],[AwayTeam]],Sheet5!$A$2:$A$33, 0), MATCH(Table2[[#This Row],[HomeTeam]],Sheet5!$A$2:$A$33, 0))</f>
        <v>0-0-0</v>
      </c>
      <c r="AP1239" s="2" t="str">
        <f>INDEX(Sheet5!$B$2:$AG$33, MATCH(Table2[[#This Row],[HomeTeam]],Sheet5!$A$2:$A$33, 0), MATCH(Table2[[#This Row],[AwayTeam]],Sheet5!$A$2:$A$33, 0))</f>
        <v>0-0-0</v>
      </c>
      <c r="AQ1239" s="2">
        <f>IF(Table2[[#This Row],[GameHasShutOut]], 1, 0)</f>
        <v>0</v>
      </c>
      <c r="AR1239" s="2">
        <f>IF(Table2[[#This Row],[ActualAwayScore]] + Table2[[#This Row],[ActualHomeScore]] &gt;= 10, 1, 0)</f>
        <v>0</v>
      </c>
      <c r="AS1239" s="2">
        <f>IF(ABS(Table2[[#This Row],[ActualAwayScore]]-Table2[[#This Row],[ActualHomeScore]])&gt;=5, 1, 0)</f>
        <v>0</v>
      </c>
      <c r="AT1239" s="2">
        <f>IF(Table2[[#This Row],[ActualAwayScore]] + Table2[[#This Row],[ActualHomeScore]] &lt;= 3, 1, 0)</f>
        <v>1</v>
      </c>
      <c r="AU1239" s="2"/>
      <c r="AV1239" s="2"/>
    </row>
    <row r="1240" spans="1:48" x14ac:dyDescent="0.25">
      <c r="A1240" s="3"/>
      <c r="B1240" s="3">
        <v>46120</v>
      </c>
      <c r="C1240" s="5">
        <v>2025021238</v>
      </c>
      <c r="D1240" s="2" t="s">
        <v>25</v>
      </c>
      <c r="E1240" s="2" t="s">
        <v>12</v>
      </c>
      <c r="F1240" s="2"/>
      <c r="G1240" s="2"/>
      <c r="H1240" s="2" t="str">
        <f t="shared" si="99"/>
        <v>_</v>
      </c>
      <c r="I1240" s="2"/>
      <c r="J1240" s="2"/>
      <c r="K1240" s="2"/>
      <c r="L1240" s="2" t="str">
        <f t="shared" si="100"/>
        <v>_</v>
      </c>
      <c r="M1240" s="2"/>
      <c r="N1240" s="2">
        <f>IF(ISBLANK(Table2[[#This Row],[ActualResult]]), 0, 1)</f>
        <v>0</v>
      </c>
      <c r="O1240" s="2" t="str">
        <f>IF(ISBLANK(Table2[[#This Row],[ActualResult]]), "_", IF(Table2[[#This Row],[ActualWinner]]=Table2[[#This Row],[PredictedWinner]], "Y", "N"))</f>
        <v>_</v>
      </c>
      <c r="P12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0" s="2"/>
      <c r="S1240" s="2" t="str">
        <f t="shared" si="101"/>
        <v>_</v>
      </c>
      <c r="T12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40" s="2">
        <f>IF(Table2[[#This Row],[InterConf]]=1,IF(Table2[[#This Row],[InterDiv]]=0, 1, 0), 0)</f>
        <v>0</v>
      </c>
      <c r="W12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0" s="2"/>
      <c r="Y1240" s="2"/>
      <c r="Z1240" s="145">
        <f>IF(AND(Table2[[#This Row],[GameIsOver]]=1,Table2[[#This Row],[ActualHomeScore]]*Table2[[#This Row],[ActualAwayScore]]=0), 1,0)</f>
        <v>0</v>
      </c>
      <c r="AA12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0" s="2">
        <f>Table2[[#This Row],[ActualAwayScore]]-Table2[[#This Row],[PredictedAwayScore]]</f>
        <v>0</v>
      </c>
      <c r="AG1240" s="2">
        <f>Table2[[#This Row],[ActualHomeScore]]-Table2[[#This Row],[PredictedHomeScore]]</f>
        <v>0</v>
      </c>
      <c r="AH1240" s="2">
        <f t="shared" si="102"/>
        <v>0</v>
      </c>
      <c r="AI1240" s="2">
        <f t="shared" si="103"/>
        <v>0</v>
      </c>
      <c r="AJ1240" s="2"/>
      <c r="AK1240" s="3"/>
      <c r="AL1240" s="2">
        <f>IF(Table2[[#This Row],[GameIsOver]]=0,0,IF(Table2[[#This Row],[ActualWinner]]=Table2[[#This Row],[AwayTeam]], 1, 0))</f>
        <v>0</v>
      </c>
      <c r="AM1240" s="2">
        <f>IF(Table2[[#This Row],[GameIsOver]]=0,0,IF(Table2[[#This Row],[ActualWinner]]=Table2[[#This Row],[HomeTeam]], 1, 0))</f>
        <v>0</v>
      </c>
      <c r="AN12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0" s="2" t="str">
        <f>INDEX(Sheet5!$B$2:$AG$33, MATCH(Table2[[#This Row],[AwayTeam]],Sheet5!$A$2:$A$33, 0), MATCH(Table2[[#This Row],[HomeTeam]],Sheet5!$A$2:$A$33, 0))</f>
        <v>0-0-0</v>
      </c>
      <c r="AP1240" s="2" t="str">
        <f>INDEX(Sheet5!$B$2:$AG$33, MATCH(Table2[[#This Row],[HomeTeam]],Sheet5!$A$2:$A$33, 0), MATCH(Table2[[#This Row],[AwayTeam]],Sheet5!$A$2:$A$33, 0))</f>
        <v>0-0-0</v>
      </c>
      <c r="AQ1240" s="2">
        <f>IF(Table2[[#This Row],[GameHasShutOut]], 1, 0)</f>
        <v>0</v>
      </c>
      <c r="AR1240" s="2">
        <f>IF(Table2[[#This Row],[ActualAwayScore]] + Table2[[#This Row],[ActualHomeScore]] &gt;= 10, 1, 0)</f>
        <v>0</v>
      </c>
      <c r="AS1240" s="2">
        <f>IF(ABS(Table2[[#This Row],[ActualAwayScore]]-Table2[[#This Row],[ActualHomeScore]])&gt;=5, 1, 0)</f>
        <v>0</v>
      </c>
      <c r="AT1240" s="2">
        <f>IF(Table2[[#This Row],[ActualAwayScore]] + Table2[[#This Row],[ActualHomeScore]] &lt;= 3, 1, 0)</f>
        <v>1</v>
      </c>
      <c r="AU1240" s="2"/>
      <c r="AV1240" s="2"/>
    </row>
    <row r="1241" spans="1:48" x14ac:dyDescent="0.25">
      <c r="A1241" s="3"/>
      <c r="B1241" s="3">
        <v>46120</v>
      </c>
      <c r="C1241" s="5">
        <v>2025021239</v>
      </c>
      <c r="D1241" s="2" t="s">
        <v>23</v>
      </c>
      <c r="E1241" s="2" t="s">
        <v>33</v>
      </c>
      <c r="F1241" s="2"/>
      <c r="G1241" s="2"/>
      <c r="H1241" s="2" t="str">
        <f t="shared" si="99"/>
        <v>_</v>
      </c>
      <c r="I1241" s="2"/>
      <c r="J1241" s="2"/>
      <c r="K1241" s="2"/>
      <c r="L1241" s="2" t="str">
        <f t="shared" si="100"/>
        <v>_</v>
      </c>
      <c r="M1241" s="2"/>
      <c r="N1241" s="2">
        <f>IF(ISBLANK(Table2[[#This Row],[ActualResult]]), 0, 1)</f>
        <v>0</v>
      </c>
      <c r="O1241" s="2" t="str">
        <f>IF(ISBLANK(Table2[[#This Row],[ActualResult]]), "_", IF(Table2[[#This Row],[ActualWinner]]=Table2[[#This Row],[PredictedWinner]], "Y", "N"))</f>
        <v>_</v>
      </c>
      <c r="P12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1" s="2"/>
      <c r="S1241" s="2" t="str">
        <f t="shared" si="101"/>
        <v>_</v>
      </c>
      <c r="T12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1" s="2">
        <f>IF(Table2[[#This Row],[InterConf]]=1,IF(Table2[[#This Row],[InterDiv]]=0, 1, 0), 0)</f>
        <v>1</v>
      </c>
      <c r="W12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1" s="2"/>
      <c r="Y1241" s="2"/>
      <c r="Z1241" s="145">
        <f>IF(AND(Table2[[#This Row],[GameIsOver]]=1,Table2[[#This Row],[ActualHomeScore]]*Table2[[#This Row],[ActualAwayScore]]=0), 1,0)</f>
        <v>0</v>
      </c>
      <c r="AA12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1" s="2">
        <f>Table2[[#This Row],[ActualAwayScore]]-Table2[[#This Row],[PredictedAwayScore]]</f>
        <v>0</v>
      </c>
      <c r="AG1241" s="2">
        <f>Table2[[#This Row],[ActualHomeScore]]-Table2[[#This Row],[PredictedHomeScore]]</f>
        <v>0</v>
      </c>
      <c r="AH1241" s="2">
        <f t="shared" si="102"/>
        <v>0</v>
      </c>
      <c r="AI1241" s="2">
        <f t="shared" si="103"/>
        <v>0</v>
      </c>
      <c r="AJ1241" s="2"/>
      <c r="AK1241" s="3"/>
      <c r="AL1241" s="2">
        <f>IF(Table2[[#This Row],[GameIsOver]]=0,0,IF(Table2[[#This Row],[ActualWinner]]=Table2[[#This Row],[AwayTeam]], 1, 0))</f>
        <v>0</v>
      </c>
      <c r="AM1241" s="2">
        <f>IF(Table2[[#This Row],[GameIsOver]]=0,0,IF(Table2[[#This Row],[ActualWinner]]=Table2[[#This Row],[HomeTeam]], 1, 0))</f>
        <v>0</v>
      </c>
      <c r="AN12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1" s="2" t="str">
        <f>INDEX(Sheet5!$B$2:$AG$33, MATCH(Table2[[#This Row],[AwayTeam]],Sheet5!$A$2:$A$33, 0), MATCH(Table2[[#This Row],[HomeTeam]],Sheet5!$A$2:$A$33, 0))</f>
        <v>0-0-0</v>
      </c>
      <c r="AP1241" s="2" t="str">
        <f>INDEX(Sheet5!$B$2:$AG$33, MATCH(Table2[[#This Row],[HomeTeam]],Sheet5!$A$2:$A$33, 0), MATCH(Table2[[#This Row],[AwayTeam]],Sheet5!$A$2:$A$33, 0))</f>
        <v>0-0-0</v>
      </c>
      <c r="AQ1241" s="2">
        <f>IF(Table2[[#This Row],[GameHasShutOut]], 1, 0)</f>
        <v>0</v>
      </c>
      <c r="AR1241" s="2">
        <f>IF(Table2[[#This Row],[ActualAwayScore]] + Table2[[#This Row],[ActualHomeScore]] &gt;= 10, 1, 0)</f>
        <v>0</v>
      </c>
      <c r="AS1241" s="2">
        <f>IF(ABS(Table2[[#This Row],[ActualAwayScore]]-Table2[[#This Row],[ActualHomeScore]])&gt;=5, 1, 0)</f>
        <v>0</v>
      </c>
      <c r="AT1241" s="2">
        <f>IF(Table2[[#This Row],[ActualAwayScore]] + Table2[[#This Row],[ActualHomeScore]] &lt;= 3, 1, 0)</f>
        <v>1</v>
      </c>
      <c r="AU1241" s="2"/>
      <c r="AV1241" s="2"/>
    </row>
    <row r="1242" spans="1:48" x14ac:dyDescent="0.25">
      <c r="A1242" s="3"/>
      <c r="B1242" s="3">
        <v>46120</v>
      </c>
      <c r="C1242" s="5">
        <v>2025021240</v>
      </c>
      <c r="D1242" s="2" t="s">
        <v>11</v>
      </c>
      <c r="E1242" s="2" t="s">
        <v>36</v>
      </c>
      <c r="F1242" s="2"/>
      <c r="G1242" s="2"/>
      <c r="H1242" s="2" t="str">
        <f t="shared" si="99"/>
        <v>_</v>
      </c>
      <c r="I1242" s="2"/>
      <c r="J1242" s="2"/>
      <c r="K1242" s="2"/>
      <c r="L1242" s="2" t="str">
        <f t="shared" si="100"/>
        <v>_</v>
      </c>
      <c r="M1242" s="2"/>
      <c r="N1242" s="2">
        <f>IF(ISBLANK(Table2[[#This Row],[ActualResult]]), 0, 1)</f>
        <v>0</v>
      </c>
      <c r="O1242" s="2" t="str">
        <f>IF(ISBLANK(Table2[[#This Row],[ActualResult]]), "_", IF(Table2[[#This Row],[ActualWinner]]=Table2[[#This Row],[PredictedWinner]], "Y", "N"))</f>
        <v>_</v>
      </c>
      <c r="P12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2" s="2"/>
      <c r="S1242" s="2" t="str">
        <f t="shared" si="101"/>
        <v>_</v>
      </c>
      <c r="T12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2" s="2">
        <f>IF(Table2[[#This Row],[InterConf]]=1,IF(Table2[[#This Row],[InterDiv]]=0, 1, 0), 0)</f>
        <v>1</v>
      </c>
      <c r="W12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2" s="2"/>
      <c r="Y1242" s="2"/>
      <c r="Z1242" s="145">
        <f>IF(AND(Table2[[#This Row],[GameIsOver]]=1,Table2[[#This Row],[ActualHomeScore]]*Table2[[#This Row],[ActualAwayScore]]=0), 1,0)</f>
        <v>0</v>
      </c>
      <c r="AA12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2" s="2">
        <f>Table2[[#This Row],[ActualAwayScore]]-Table2[[#This Row],[PredictedAwayScore]]</f>
        <v>0</v>
      </c>
      <c r="AG1242" s="2">
        <f>Table2[[#This Row],[ActualHomeScore]]-Table2[[#This Row],[PredictedHomeScore]]</f>
        <v>0</v>
      </c>
      <c r="AH1242" s="2">
        <f t="shared" si="102"/>
        <v>0</v>
      </c>
      <c r="AI1242" s="2">
        <f t="shared" si="103"/>
        <v>0</v>
      </c>
      <c r="AJ1242" s="2"/>
      <c r="AK1242" s="3"/>
      <c r="AL1242" s="2">
        <f>IF(Table2[[#This Row],[GameIsOver]]=0,0,IF(Table2[[#This Row],[ActualWinner]]=Table2[[#This Row],[AwayTeam]], 1, 0))</f>
        <v>0</v>
      </c>
      <c r="AM1242" s="2">
        <f>IF(Table2[[#This Row],[GameIsOver]]=0,0,IF(Table2[[#This Row],[ActualWinner]]=Table2[[#This Row],[HomeTeam]], 1, 0))</f>
        <v>0</v>
      </c>
      <c r="AN12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2" s="2" t="str">
        <f>INDEX(Sheet5!$B$2:$AG$33, MATCH(Table2[[#This Row],[AwayTeam]],Sheet5!$A$2:$A$33, 0), MATCH(Table2[[#This Row],[HomeTeam]],Sheet5!$A$2:$A$33, 0))</f>
        <v>0-0-0</v>
      </c>
      <c r="AP1242" s="2" t="str">
        <f>INDEX(Sheet5!$B$2:$AG$33, MATCH(Table2[[#This Row],[HomeTeam]],Sheet5!$A$2:$A$33, 0), MATCH(Table2[[#This Row],[AwayTeam]],Sheet5!$A$2:$A$33, 0))</f>
        <v>0-0-0</v>
      </c>
      <c r="AQ1242" s="2">
        <f>IF(Table2[[#This Row],[GameHasShutOut]], 1, 0)</f>
        <v>0</v>
      </c>
      <c r="AR1242" s="2">
        <f>IF(Table2[[#This Row],[ActualAwayScore]] + Table2[[#This Row],[ActualHomeScore]] &gt;= 10, 1, 0)</f>
        <v>0</v>
      </c>
      <c r="AS1242" s="2">
        <f>IF(ABS(Table2[[#This Row],[ActualAwayScore]]-Table2[[#This Row],[ActualHomeScore]])&gt;=5, 1, 0)</f>
        <v>0</v>
      </c>
      <c r="AT1242" s="2">
        <f>IF(Table2[[#This Row],[ActualAwayScore]] + Table2[[#This Row],[ActualHomeScore]] &lt;= 3, 1, 0)</f>
        <v>1</v>
      </c>
      <c r="AU1242" s="2"/>
      <c r="AV1242" s="2"/>
    </row>
    <row r="1243" spans="1:48" x14ac:dyDescent="0.25">
      <c r="A1243" s="3"/>
      <c r="B1243" s="3">
        <v>46120</v>
      </c>
      <c r="C1243" s="5">
        <v>2025021241</v>
      </c>
      <c r="D1243" s="2" t="s">
        <v>22</v>
      </c>
      <c r="E1243" s="2" t="s">
        <v>14</v>
      </c>
      <c r="F1243" s="2"/>
      <c r="G1243" s="2"/>
      <c r="H1243" s="2" t="str">
        <f t="shared" si="99"/>
        <v>_</v>
      </c>
      <c r="I1243" s="2"/>
      <c r="J1243" s="2"/>
      <c r="K1243" s="2"/>
      <c r="L1243" s="2" t="str">
        <f t="shared" si="100"/>
        <v>_</v>
      </c>
      <c r="M1243" s="2"/>
      <c r="N1243" s="2">
        <f>IF(ISBLANK(Table2[[#This Row],[ActualResult]]), 0, 1)</f>
        <v>0</v>
      </c>
      <c r="O1243" s="2" t="str">
        <f>IF(ISBLANK(Table2[[#This Row],[ActualResult]]), "_", IF(Table2[[#This Row],[ActualWinner]]=Table2[[#This Row],[PredictedWinner]], "Y", "N"))</f>
        <v>_</v>
      </c>
      <c r="P12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3" s="2"/>
      <c r="S1243" s="2" t="str">
        <f t="shared" si="101"/>
        <v>_</v>
      </c>
      <c r="T12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3" s="2">
        <f>IF(Table2[[#This Row],[InterConf]]=1,IF(Table2[[#This Row],[InterDiv]]=0, 1, 0), 0)</f>
        <v>1</v>
      </c>
      <c r="W12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3" s="2"/>
      <c r="Y1243" s="2"/>
      <c r="Z1243" s="145">
        <f>IF(AND(Table2[[#This Row],[GameIsOver]]=1,Table2[[#This Row],[ActualHomeScore]]*Table2[[#This Row],[ActualAwayScore]]=0), 1,0)</f>
        <v>0</v>
      </c>
      <c r="AA12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3" s="2">
        <f>Table2[[#This Row],[ActualAwayScore]]-Table2[[#This Row],[PredictedAwayScore]]</f>
        <v>0</v>
      </c>
      <c r="AG1243" s="2">
        <f>Table2[[#This Row],[ActualHomeScore]]-Table2[[#This Row],[PredictedHomeScore]]</f>
        <v>0</v>
      </c>
      <c r="AH1243" s="2">
        <f t="shared" si="102"/>
        <v>0</v>
      </c>
      <c r="AI1243" s="2">
        <f t="shared" si="103"/>
        <v>0</v>
      </c>
      <c r="AJ1243" s="2"/>
      <c r="AK1243" s="3"/>
      <c r="AL1243" s="2">
        <f>IF(Table2[[#This Row],[GameIsOver]]=0,0,IF(Table2[[#This Row],[ActualWinner]]=Table2[[#This Row],[AwayTeam]], 1, 0))</f>
        <v>0</v>
      </c>
      <c r="AM1243" s="2">
        <f>IF(Table2[[#This Row],[GameIsOver]]=0,0,IF(Table2[[#This Row],[ActualWinner]]=Table2[[#This Row],[HomeTeam]], 1, 0))</f>
        <v>0</v>
      </c>
      <c r="AN12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3" s="2" t="str">
        <f>INDEX(Sheet5!$B$2:$AG$33, MATCH(Table2[[#This Row],[AwayTeam]],Sheet5!$A$2:$A$33, 0), MATCH(Table2[[#This Row],[HomeTeam]],Sheet5!$A$2:$A$33, 0))</f>
        <v>0-0-0</v>
      </c>
      <c r="AP1243" s="2" t="str">
        <f>INDEX(Sheet5!$B$2:$AG$33, MATCH(Table2[[#This Row],[HomeTeam]],Sheet5!$A$2:$A$33, 0), MATCH(Table2[[#This Row],[AwayTeam]],Sheet5!$A$2:$A$33, 0))</f>
        <v>0-0-0</v>
      </c>
      <c r="AQ1243" s="2">
        <f>IF(Table2[[#This Row],[GameHasShutOut]], 1, 0)</f>
        <v>0</v>
      </c>
      <c r="AR1243" s="2">
        <f>IF(Table2[[#This Row],[ActualAwayScore]] + Table2[[#This Row],[ActualHomeScore]] &gt;= 10, 1, 0)</f>
        <v>0</v>
      </c>
      <c r="AS1243" s="2">
        <f>IF(ABS(Table2[[#This Row],[ActualAwayScore]]-Table2[[#This Row],[ActualHomeScore]])&gt;=5, 1, 0)</f>
        <v>0</v>
      </c>
      <c r="AT1243" s="2">
        <f>IF(Table2[[#This Row],[ActualAwayScore]] + Table2[[#This Row],[ActualHomeScore]] &lt;= 3, 1, 0)</f>
        <v>1</v>
      </c>
      <c r="AU1243" s="2"/>
      <c r="AV1243" s="2"/>
    </row>
    <row r="1244" spans="1:48" x14ac:dyDescent="0.25">
      <c r="A1244" s="3"/>
      <c r="B1244" s="3">
        <v>46120</v>
      </c>
      <c r="C1244" s="5">
        <v>2025021242</v>
      </c>
      <c r="D1244" s="2" t="s">
        <v>26</v>
      </c>
      <c r="E1244" s="2" t="s">
        <v>24</v>
      </c>
      <c r="F1244" s="2"/>
      <c r="G1244" s="2"/>
      <c r="H1244" s="2" t="str">
        <f t="shared" si="99"/>
        <v>_</v>
      </c>
      <c r="I1244" s="2"/>
      <c r="J1244" s="2"/>
      <c r="K1244" s="2"/>
      <c r="L1244" s="2" t="str">
        <f t="shared" si="100"/>
        <v>_</v>
      </c>
      <c r="M1244" s="2"/>
      <c r="N1244" s="2">
        <f>IF(ISBLANK(Table2[[#This Row],[ActualResult]]), 0, 1)</f>
        <v>0</v>
      </c>
      <c r="O1244" s="2" t="str">
        <f>IF(ISBLANK(Table2[[#This Row],[ActualResult]]), "_", IF(Table2[[#This Row],[ActualWinner]]=Table2[[#This Row],[PredictedWinner]], "Y", "N"))</f>
        <v>_</v>
      </c>
      <c r="P12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4" s="2"/>
      <c r="S1244" s="2" t="str">
        <f t="shared" si="101"/>
        <v>_</v>
      </c>
      <c r="T12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44" s="2">
        <f>IF(Table2[[#This Row],[InterConf]]=1,IF(Table2[[#This Row],[InterDiv]]=0, 1, 0), 0)</f>
        <v>0</v>
      </c>
      <c r="W12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4" s="2"/>
      <c r="Y1244" s="2"/>
      <c r="Z1244" s="145">
        <f>IF(AND(Table2[[#This Row],[GameIsOver]]=1,Table2[[#This Row],[ActualHomeScore]]*Table2[[#This Row],[ActualAwayScore]]=0), 1,0)</f>
        <v>0</v>
      </c>
      <c r="AA12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4" s="2">
        <f>Table2[[#This Row],[ActualAwayScore]]-Table2[[#This Row],[PredictedAwayScore]]</f>
        <v>0</v>
      </c>
      <c r="AG1244" s="2">
        <f>Table2[[#This Row],[ActualHomeScore]]-Table2[[#This Row],[PredictedHomeScore]]</f>
        <v>0</v>
      </c>
      <c r="AH1244" s="2">
        <f t="shared" si="102"/>
        <v>0</v>
      </c>
      <c r="AI1244" s="2">
        <f t="shared" si="103"/>
        <v>0</v>
      </c>
      <c r="AJ1244" s="2"/>
      <c r="AK1244" s="3"/>
      <c r="AL1244" s="2">
        <f>IF(Table2[[#This Row],[GameIsOver]]=0,0,IF(Table2[[#This Row],[ActualWinner]]=Table2[[#This Row],[AwayTeam]], 1, 0))</f>
        <v>0</v>
      </c>
      <c r="AM1244" s="2">
        <f>IF(Table2[[#This Row],[GameIsOver]]=0,0,IF(Table2[[#This Row],[ActualWinner]]=Table2[[#This Row],[HomeTeam]], 1, 0))</f>
        <v>0</v>
      </c>
      <c r="AN12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4" s="2" t="str">
        <f>INDEX(Sheet5!$B$2:$AG$33, MATCH(Table2[[#This Row],[AwayTeam]],Sheet5!$A$2:$A$33, 0), MATCH(Table2[[#This Row],[HomeTeam]],Sheet5!$A$2:$A$33, 0))</f>
        <v>0-0-0</v>
      </c>
      <c r="AP1244" s="2" t="str">
        <f>INDEX(Sheet5!$B$2:$AG$33, MATCH(Table2[[#This Row],[HomeTeam]],Sheet5!$A$2:$A$33, 0), MATCH(Table2[[#This Row],[AwayTeam]],Sheet5!$A$2:$A$33, 0))</f>
        <v>0-0-0</v>
      </c>
      <c r="AQ1244" s="2">
        <f>IF(Table2[[#This Row],[GameHasShutOut]], 1, 0)</f>
        <v>0</v>
      </c>
      <c r="AR1244" s="2">
        <f>IF(Table2[[#This Row],[ActualAwayScore]] + Table2[[#This Row],[ActualHomeScore]] &gt;= 10, 1, 0)</f>
        <v>0</v>
      </c>
      <c r="AS1244" s="2">
        <f>IF(ABS(Table2[[#This Row],[ActualAwayScore]]-Table2[[#This Row],[ActualHomeScore]])&gt;=5, 1, 0)</f>
        <v>0</v>
      </c>
      <c r="AT1244" s="2">
        <f>IF(Table2[[#This Row],[ActualAwayScore]] + Table2[[#This Row],[ActualHomeScore]] &lt;= 3, 1, 0)</f>
        <v>1</v>
      </c>
      <c r="AU1244" s="2"/>
      <c r="AV1244" s="2"/>
    </row>
    <row r="1245" spans="1:48" x14ac:dyDescent="0.25">
      <c r="A1245" s="3"/>
      <c r="B1245" s="3">
        <v>46120</v>
      </c>
      <c r="C1245" s="5">
        <v>2025021243</v>
      </c>
      <c r="D1245" s="2" t="s">
        <v>34</v>
      </c>
      <c r="E1245" s="2" t="s">
        <v>44</v>
      </c>
      <c r="F1245" s="2"/>
      <c r="G1245" s="2"/>
      <c r="H1245" s="2" t="str">
        <f t="shared" si="99"/>
        <v>_</v>
      </c>
      <c r="I1245" s="2"/>
      <c r="J1245" s="2"/>
      <c r="K1245" s="2"/>
      <c r="L1245" s="2" t="str">
        <f t="shared" si="100"/>
        <v>_</v>
      </c>
      <c r="M1245" s="2"/>
      <c r="N1245" s="2">
        <f>IF(ISBLANK(Table2[[#This Row],[ActualResult]]), 0, 1)</f>
        <v>0</v>
      </c>
      <c r="O1245" s="2" t="str">
        <f>IF(ISBLANK(Table2[[#This Row],[ActualResult]]), "_", IF(Table2[[#This Row],[ActualWinner]]=Table2[[#This Row],[PredictedWinner]], "Y", "N"))</f>
        <v>_</v>
      </c>
      <c r="P12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5" s="2"/>
      <c r="S1245" s="2" t="str">
        <f t="shared" si="101"/>
        <v>_</v>
      </c>
      <c r="T12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5" s="2">
        <f>IF(Table2[[#This Row],[InterConf]]=1,IF(Table2[[#This Row],[InterDiv]]=0, 1, 0), 0)</f>
        <v>1</v>
      </c>
      <c r="W12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5" s="2"/>
      <c r="Y1245" s="2"/>
      <c r="Z1245" s="145">
        <f>IF(AND(Table2[[#This Row],[GameIsOver]]=1,Table2[[#This Row],[ActualHomeScore]]*Table2[[#This Row],[ActualAwayScore]]=0), 1,0)</f>
        <v>0</v>
      </c>
      <c r="AA12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5" s="2">
        <f>Table2[[#This Row],[ActualAwayScore]]-Table2[[#This Row],[PredictedAwayScore]]</f>
        <v>0</v>
      </c>
      <c r="AG1245" s="2">
        <f>Table2[[#This Row],[ActualHomeScore]]-Table2[[#This Row],[PredictedHomeScore]]</f>
        <v>0</v>
      </c>
      <c r="AH1245" s="2">
        <f t="shared" si="102"/>
        <v>0</v>
      </c>
      <c r="AI1245" s="2">
        <f t="shared" si="103"/>
        <v>0</v>
      </c>
      <c r="AJ1245" s="2"/>
      <c r="AK1245" s="3"/>
      <c r="AL1245" s="2">
        <f>IF(Table2[[#This Row],[GameIsOver]]=0,0,IF(Table2[[#This Row],[ActualWinner]]=Table2[[#This Row],[AwayTeam]], 1, 0))</f>
        <v>0</v>
      </c>
      <c r="AM1245" s="2">
        <f>IF(Table2[[#This Row],[GameIsOver]]=0,0,IF(Table2[[#This Row],[ActualWinner]]=Table2[[#This Row],[HomeTeam]], 1, 0))</f>
        <v>0</v>
      </c>
      <c r="AN12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5" s="2" t="str">
        <f>INDEX(Sheet5!$B$2:$AG$33, MATCH(Table2[[#This Row],[AwayTeam]],Sheet5!$A$2:$A$33, 0), MATCH(Table2[[#This Row],[HomeTeam]],Sheet5!$A$2:$A$33, 0))</f>
        <v>0-1-0</v>
      </c>
      <c r="AP1245" s="2" t="str">
        <f>INDEX(Sheet5!$B$2:$AG$33, MATCH(Table2[[#This Row],[HomeTeam]],Sheet5!$A$2:$A$33, 0), MATCH(Table2[[#This Row],[AwayTeam]],Sheet5!$A$2:$A$33, 0))</f>
        <v>1-0-0</v>
      </c>
      <c r="AQ1245" s="2">
        <f>IF(Table2[[#This Row],[GameHasShutOut]], 1, 0)</f>
        <v>0</v>
      </c>
      <c r="AR1245" s="2">
        <f>IF(Table2[[#This Row],[ActualAwayScore]] + Table2[[#This Row],[ActualHomeScore]] &gt;= 10, 1, 0)</f>
        <v>0</v>
      </c>
      <c r="AS1245" s="2">
        <f>IF(ABS(Table2[[#This Row],[ActualAwayScore]]-Table2[[#This Row],[ActualHomeScore]])&gt;=5, 1, 0)</f>
        <v>0</v>
      </c>
      <c r="AT1245" s="2">
        <f>IF(Table2[[#This Row],[ActualAwayScore]] + Table2[[#This Row],[ActualHomeScore]] &lt;= 3, 1, 0)</f>
        <v>1</v>
      </c>
      <c r="AU1245" s="2"/>
      <c r="AV1245" s="2"/>
    </row>
    <row r="1246" spans="1:48" x14ac:dyDescent="0.25">
      <c r="A1246" s="3"/>
      <c r="B1246" s="3">
        <v>46120</v>
      </c>
      <c r="C1246" s="5">
        <v>2025021244</v>
      </c>
      <c r="D1246" s="2" t="s">
        <v>28</v>
      </c>
      <c r="E1246" s="2" t="s">
        <v>19</v>
      </c>
      <c r="F1246" s="2"/>
      <c r="G1246" s="2"/>
      <c r="H1246" s="2" t="str">
        <f t="shared" si="99"/>
        <v>_</v>
      </c>
      <c r="I1246" s="2"/>
      <c r="J1246" s="2"/>
      <c r="K1246" s="2"/>
      <c r="L1246" s="2" t="str">
        <f t="shared" si="100"/>
        <v>_</v>
      </c>
      <c r="M1246" s="2"/>
      <c r="N1246" s="2">
        <f>IF(ISBLANK(Table2[[#This Row],[ActualResult]]), 0, 1)</f>
        <v>0</v>
      </c>
      <c r="O1246" s="2" t="str">
        <f>IF(ISBLANK(Table2[[#This Row],[ActualResult]]), "_", IF(Table2[[#This Row],[ActualWinner]]=Table2[[#This Row],[PredictedWinner]], "Y", "N"))</f>
        <v>_</v>
      </c>
      <c r="P12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6" s="2"/>
      <c r="S1246" s="2" t="str">
        <f t="shared" si="101"/>
        <v>_</v>
      </c>
      <c r="T12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6" s="2">
        <f>IF(Table2[[#This Row],[InterConf]]=1,IF(Table2[[#This Row],[InterDiv]]=0, 1, 0), 0)</f>
        <v>1</v>
      </c>
      <c r="W12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6" s="2"/>
      <c r="Y1246" s="2"/>
      <c r="Z1246" s="145">
        <f>IF(AND(Table2[[#This Row],[GameIsOver]]=1,Table2[[#This Row],[ActualHomeScore]]*Table2[[#This Row],[ActualAwayScore]]=0), 1,0)</f>
        <v>0</v>
      </c>
      <c r="AA12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6" s="2">
        <f>Table2[[#This Row],[ActualAwayScore]]-Table2[[#This Row],[PredictedAwayScore]]</f>
        <v>0</v>
      </c>
      <c r="AG1246" s="2">
        <f>Table2[[#This Row],[ActualHomeScore]]-Table2[[#This Row],[PredictedHomeScore]]</f>
        <v>0</v>
      </c>
      <c r="AH1246" s="2">
        <f t="shared" si="102"/>
        <v>0</v>
      </c>
      <c r="AI1246" s="2">
        <f t="shared" si="103"/>
        <v>0</v>
      </c>
      <c r="AJ1246" s="2"/>
      <c r="AK1246" s="3"/>
      <c r="AL1246" s="2">
        <f>IF(Table2[[#This Row],[GameIsOver]]=0,0,IF(Table2[[#This Row],[ActualWinner]]=Table2[[#This Row],[AwayTeam]], 1, 0))</f>
        <v>0</v>
      </c>
      <c r="AM1246" s="2">
        <f>IF(Table2[[#This Row],[GameIsOver]]=0,0,IF(Table2[[#This Row],[ActualWinner]]=Table2[[#This Row],[HomeTeam]], 1, 0))</f>
        <v>0</v>
      </c>
      <c r="AN12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6" s="2" t="str">
        <f>INDEX(Sheet5!$B$2:$AG$33, MATCH(Table2[[#This Row],[AwayTeam]],Sheet5!$A$2:$A$33, 0), MATCH(Table2[[#This Row],[HomeTeam]],Sheet5!$A$2:$A$33, 0))</f>
        <v>0-1-0</v>
      </c>
      <c r="AP1246" s="2" t="str">
        <f>INDEX(Sheet5!$B$2:$AG$33, MATCH(Table2[[#This Row],[HomeTeam]],Sheet5!$A$2:$A$33, 0), MATCH(Table2[[#This Row],[AwayTeam]],Sheet5!$A$2:$A$33, 0))</f>
        <v>1-0-0</v>
      </c>
      <c r="AQ1246" s="2">
        <f>IF(Table2[[#This Row],[GameHasShutOut]], 1, 0)</f>
        <v>0</v>
      </c>
      <c r="AR1246" s="2">
        <f>IF(Table2[[#This Row],[ActualAwayScore]] + Table2[[#This Row],[ActualHomeScore]] &gt;= 10, 1, 0)</f>
        <v>0</v>
      </c>
      <c r="AS1246" s="2">
        <f>IF(ABS(Table2[[#This Row],[ActualAwayScore]]-Table2[[#This Row],[ActualHomeScore]])&gt;=5, 1, 0)</f>
        <v>0</v>
      </c>
      <c r="AT1246" s="2">
        <f>IF(Table2[[#This Row],[ActualAwayScore]] + Table2[[#This Row],[ActualHomeScore]] &lt;= 3, 1, 0)</f>
        <v>1</v>
      </c>
      <c r="AU1246" s="2"/>
      <c r="AV1246" s="2"/>
    </row>
    <row r="1247" spans="1:48" x14ac:dyDescent="0.25">
      <c r="A1247" s="3"/>
      <c r="B1247" s="3">
        <v>46120</v>
      </c>
      <c r="C1247" s="5">
        <v>2025021245</v>
      </c>
      <c r="D1247" s="2" t="s">
        <v>43</v>
      </c>
      <c r="E1247" s="2" t="s">
        <v>17</v>
      </c>
      <c r="F1247" s="2"/>
      <c r="G1247" s="2"/>
      <c r="H1247" s="2" t="str">
        <f t="shared" si="99"/>
        <v>_</v>
      </c>
      <c r="I1247" s="2"/>
      <c r="J1247" s="2"/>
      <c r="K1247" s="2"/>
      <c r="L1247" s="2" t="str">
        <f t="shared" si="100"/>
        <v>_</v>
      </c>
      <c r="M1247" s="2"/>
      <c r="N1247" s="2">
        <f>IF(ISBLANK(Table2[[#This Row],[ActualResult]]), 0, 1)</f>
        <v>0</v>
      </c>
      <c r="O1247" s="2" t="str">
        <f>IF(ISBLANK(Table2[[#This Row],[ActualResult]]), "_", IF(Table2[[#This Row],[ActualWinner]]=Table2[[#This Row],[PredictedWinner]], "Y", "N"))</f>
        <v>_</v>
      </c>
      <c r="P12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7" s="2"/>
      <c r="S1247" s="2" t="str">
        <f t="shared" si="101"/>
        <v>_</v>
      </c>
      <c r="T12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7" s="2">
        <f>IF(Table2[[#This Row],[InterConf]]=1,IF(Table2[[#This Row],[InterDiv]]=0, 1, 0), 0)</f>
        <v>1</v>
      </c>
      <c r="W12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7" s="2"/>
      <c r="Y1247" s="2"/>
      <c r="Z1247" s="145">
        <f>IF(AND(Table2[[#This Row],[GameIsOver]]=1,Table2[[#This Row],[ActualHomeScore]]*Table2[[#This Row],[ActualAwayScore]]=0), 1,0)</f>
        <v>0</v>
      </c>
      <c r="AA12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7" s="2">
        <f>Table2[[#This Row],[ActualAwayScore]]-Table2[[#This Row],[PredictedAwayScore]]</f>
        <v>0</v>
      </c>
      <c r="AG1247" s="2">
        <f>Table2[[#This Row],[ActualHomeScore]]-Table2[[#This Row],[PredictedHomeScore]]</f>
        <v>0</v>
      </c>
      <c r="AH1247" s="2">
        <f t="shared" si="102"/>
        <v>0</v>
      </c>
      <c r="AI1247" s="2">
        <f t="shared" si="103"/>
        <v>0</v>
      </c>
      <c r="AJ1247" s="2"/>
      <c r="AK1247" s="3"/>
      <c r="AL1247" s="2">
        <f>IF(Table2[[#This Row],[GameIsOver]]=0,0,IF(Table2[[#This Row],[ActualWinner]]=Table2[[#This Row],[AwayTeam]], 1, 0))</f>
        <v>0</v>
      </c>
      <c r="AM1247" s="2">
        <f>IF(Table2[[#This Row],[GameIsOver]]=0,0,IF(Table2[[#This Row],[ActualWinner]]=Table2[[#This Row],[HomeTeam]], 1, 0))</f>
        <v>0</v>
      </c>
      <c r="AN12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7" s="2" t="str">
        <f>INDEX(Sheet5!$B$2:$AG$33, MATCH(Table2[[#This Row],[AwayTeam]],Sheet5!$A$2:$A$33, 0), MATCH(Table2[[#This Row],[HomeTeam]],Sheet5!$A$2:$A$33, 0))</f>
        <v>0-0-0</v>
      </c>
      <c r="AP1247" s="2" t="str">
        <f>INDEX(Sheet5!$B$2:$AG$33, MATCH(Table2[[#This Row],[HomeTeam]],Sheet5!$A$2:$A$33, 0), MATCH(Table2[[#This Row],[AwayTeam]],Sheet5!$A$2:$A$33, 0))</f>
        <v>0-0-0</v>
      </c>
      <c r="AQ1247" s="2">
        <f>IF(Table2[[#This Row],[GameHasShutOut]], 1, 0)</f>
        <v>0</v>
      </c>
      <c r="AR1247" s="2">
        <f>IF(Table2[[#This Row],[ActualAwayScore]] + Table2[[#This Row],[ActualHomeScore]] &gt;= 10, 1, 0)</f>
        <v>0</v>
      </c>
      <c r="AS1247" s="2">
        <f>IF(ABS(Table2[[#This Row],[ActualAwayScore]]-Table2[[#This Row],[ActualHomeScore]])&gt;=5, 1, 0)</f>
        <v>0</v>
      </c>
      <c r="AT1247" s="2">
        <f>IF(Table2[[#This Row],[ActualAwayScore]] + Table2[[#This Row],[ActualHomeScore]] &lt;= 3, 1, 0)</f>
        <v>1</v>
      </c>
      <c r="AU1247" s="2"/>
      <c r="AV1247" s="2"/>
    </row>
    <row r="1248" spans="1:48" x14ac:dyDescent="0.25">
      <c r="A1248" s="3"/>
      <c r="B1248" s="3">
        <v>46121</v>
      </c>
      <c r="C1248" s="5">
        <v>2025021246</v>
      </c>
      <c r="D1248" s="2" t="s">
        <v>22</v>
      </c>
      <c r="E1248" s="2" t="s">
        <v>37</v>
      </c>
      <c r="F1248" s="2"/>
      <c r="G1248" s="2"/>
      <c r="H1248" s="2" t="str">
        <f t="shared" si="99"/>
        <v>_</v>
      </c>
      <c r="I1248" s="2"/>
      <c r="J1248" s="2"/>
      <c r="K1248" s="2"/>
      <c r="L1248" s="2" t="str">
        <f t="shared" si="100"/>
        <v>_</v>
      </c>
      <c r="M1248" s="2"/>
      <c r="N1248" s="2">
        <f>IF(ISBLANK(Table2[[#This Row],[ActualResult]]), 0, 1)</f>
        <v>0</v>
      </c>
      <c r="O1248" s="2" t="str">
        <f>IF(ISBLANK(Table2[[#This Row],[ActualResult]]), "_", IF(Table2[[#This Row],[ActualWinner]]=Table2[[#This Row],[PredictedWinner]], "Y", "N"))</f>
        <v>_</v>
      </c>
      <c r="P12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8" s="2"/>
      <c r="S1248" s="2" t="str">
        <f t="shared" si="101"/>
        <v>_</v>
      </c>
      <c r="T12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48" s="2">
        <f>IF(Table2[[#This Row],[InterConf]]=1,IF(Table2[[#This Row],[InterDiv]]=0, 1, 0), 0)</f>
        <v>0</v>
      </c>
      <c r="W12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8" s="2"/>
      <c r="Y1248" s="2"/>
      <c r="Z1248" s="145">
        <f>IF(AND(Table2[[#This Row],[GameIsOver]]=1,Table2[[#This Row],[ActualHomeScore]]*Table2[[#This Row],[ActualAwayScore]]=0), 1,0)</f>
        <v>0</v>
      </c>
      <c r="AA12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48" s="2">
        <f>Table2[[#This Row],[ActualAwayScore]]-Table2[[#This Row],[PredictedAwayScore]]</f>
        <v>0</v>
      </c>
      <c r="AG1248" s="2">
        <f>Table2[[#This Row],[ActualHomeScore]]-Table2[[#This Row],[PredictedHomeScore]]</f>
        <v>0</v>
      </c>
      <c r="AH1248" s="2">
        <f t="shared" si="102"/>
        <v>0</v>
      </c>
      <c r="AI1248" s="2">
        <f t="shared" si="103"/>
        <v>0</v>
      </c>
      <c r="AJ1248" s="2"/>
      <c r="AK1248" s="3"/>
      <c r="AL1248" s="2">
        <f>IF(Table2[[#This Row],[GameIsOver]]=0,0,IF(Table2[[#This Row],[ActualWinner]]=Table2[[#This Row],[AwayTeam]], 1, 0))</f>
        <v>0</v>
      </c>
      <c r="AM1248" s="2">
        <f>IF(Table2[[#This Row],[GameIsOver]]=0,0,IF(Table2[[#This Row],[ActualWinner]]=Table2[[#This Row],[HomeTeam]], 1, 0))</f>
        <v>0</v>
      </c>
      <c r="AN12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8" s="2" t="str">
        <f>INDEX(Sheet5!$B$2:$AG$33, MATCH(Table2[[#This Row],[AwayTeam]],Sheet5!$A$2:$A$33, 0), MATCH(Table2[[#This Row],[HomeTeam]],Sheet5!$A$2:$A$33, 0))</f>
        <v>0-0-0</v>
      </c>
      <c r="AP1248" s="2" t="str">
        <f>INDEX(Sheet5!$B$2:$AG$33, MATCH(Table2[[#This Row],[HomeTeam]],Sheet5!$A$2:$A$33, 0), MATCH(Table2[[#This Row],[AwayTeam]],Sheet5!$A$2:$A$33, 0))</f>
        <v>0-0-0</v>
      </c>
      <c r="AQ1248" s="2">
        <f>IF(Table2[[#This Row],[GameHasShutOut]], 1, 0)</f>
        <v>0</v>
      </c>
      <c r="AR1248" s="2">
        <f>IF(Table2[[#This Row],[ActualAwayScore]] + Table2[[#This Row],[ActualHomeScore]] &gt;= 10, 1, 0)</f>
        <v>0</v>
      </c>
      <c r="AS1248" s="2">
        <f>IF(ABS(Table2[[#This Row],[ActualAwayScore]]-Table2[[#This Row],[ActualHomeScore]])&gt;=5, 1, 0)</f>
        <v>0</v>
      </c>
      <c r="AT1248" s="2">
        <f>IF(Table2[[#This Row],[ActualAwayScore]] + Table2[[#This Row],[ActualHomeScore]] &lt;= 3, 1, 0)</f>
        <v>1</v>
      </c>
      <c r="AU1248" s="2"/>
      <c r="AV1248" s="2"/>
    </row>
    <row r="1249" spans="1:48" x14ac:dyDescent="0.25">
      <c r="A1249" s="3"/>
      <c r="B1249" s="3">
        <v>46121</v>
      </c>
      <c r="C1249" s="5">
        <v>2025021247</v>
      </c>
      <c r="D1249" s="2" t="s">
        <v>35</v>
      </c>
      <c r="E1249" s="2" t="s">
        <v>28</v>
      </c>
      <c r="F1249" s="2"/>
      <c r="G1249" s="2"/>
      <c r="H1249" s="2" t="str">
        <f t="shared" si="99"/>
        <v>_</v>
      </c>
      <c r="I1249" s="2"/>
      <c r="J1249" s="2"/>
      <c r="K1249" s="2"/>
      <c r="L1249" s="2" t="str">
        <f t="shared" si="100"/>
        <v>_</v>
      </c>
      <c r="M1249" s="2"/>
      <c r="N1249" s="2">
        <f>IF(ISBLANK(Table2[[#This Row],[ActualResult]]), 0, 1)</f>
        <v>0</v>
      </c>
      <c r="O1249" s="2" t="str">
        <f>IF(ISBLANK(Table2[[#This Row],[ActualResult]]), "_", IF(Table2[[#This Row],[ActualWinner]]=Table2[[#This Row],[PredictedWinner]], "Y", "N"))</f>
        <v>_</v>
      </c>
      <c r="P12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9" s="2"/>
      <c r="S1249" s="2" t="str">
        <f t="shared" si="101"/>
        <v>_</v>
      </c>
      <c r="T12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9" s="2">
        <f>IF(Table2[[#This Row],[InterConf]]=1,IF(Table2[[#This Row],[InterDiv]]=0, 1, 0), 0)</f>
        <v>1</v>
      </c>
      <c r="W12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9" s="2"/>
      <c r="Y1249" s="2"/>
      <c r="Z1249" s="145">
        <f>IF(AND(Table2[[#This Row],[GameIsOver]]=1,Table2[[#This Row],[ActualHomeScore]]*Table2[[#This Row],[ActualAwayScore]]=0), 1,0)</f>
        <v>0</v>
      </c>
      <c r="AA12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49" s="2">
        <f>Table2[[#This Row],[ActualAwayScore]]-Table2[[#This Row],[PredictedAwayScore]]</f>
        <v>0</v>
      </c>
      <c r="AG1249" s="2">
        <f>Table2[[#This Row],[ActualHomeScore]]-Table2[[#This Row],[PredictedHomeScore]]</f>
        <v>0</v>
      </c>
      <c r="AH1249" s="2">
        <f t="shared" si="102"/>
        <v>0</v>
      </c>
      <c r="AI1249" s="2">
        <f t="shared" si="103"/>
        <v>0</v>
      </c>
      <c r="AJ1249" s="2"/>
      <c r="AK1249" s="3"/>
      <c r="AL1249" s="2">
        <f>IF(Table2[[#This Row],[GameIsOver]]=0,0,IF(Table2[[#This Row],[ActualWinner]]=Table2[[#This Row],[AwayTeam]], 1, 0))</f>
        <v>0</v>
      </c>
      <c r="AM1249" s="2">
        <f>IF(Table2[[#This Row],[GameIsOver]]=0,0,IF(Table2[[#This Row],[ActualWinner]]=Table2[[#This Row],[HomeTeam]], 1, 0))</f>
        <v>0</v>
      </c>
      <c r="AN12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9" s="2" t="str">
        <f>INDEX(Sheet5!$B$2:$AG$33, MATCH(Table2[[#This Row],[AwayTeam]],Sheet5!$A$2:$A$33, 0), MATCH(Table2[[#This Row],[HomeTeam]],Sheet5!$A$2:$A$33, 0))</f>
        <v>0-0-0</v>
      </c>
      <c r="AP1249" s="2" t="str">
        <f>INDEX(Sheet5!$B$2:$AG$33, MATCH(Table2[[#This Row],[HomeTeam]],Sheet5!$A$2:$A$33, 0), MATCH(Table2[[#This Row],[AwayTeam]],Sheet5!$A$2:$A$33, 0))</f>
        <v>0-0-0</v>
      </c>
      <c r="AQ1249" s="2">
        <f>IF(Table2[[#This Row],[GameHasShutOut]], 1, 0)</f>
        <v>0</v>
      </c>
      <c r="AR1249" s="2">
        <f>IF(Table2[[#This Row],[ActualAwayScore]] + Table2[[#This Row],[ActualHomeScore]] &gt;= 10, 1, 0)</f>
        <v>0</v>
      </c>
      <c r="AS1249" s="2">
        <f>IF(ABS(Table2[[#This Row],[ActualAwayScore]]-Table2[[#This Row],[ActualHomeScore]])&gt;=5, 1, 0)</f>
        <v>0</v>
      </c>
      <c r="AT1249" s="2">
        <f>IF(Table2[[#This Row],[ActualAwayScore]] + Table2[[#This Row],[ActualHomeScore]] &lt;= 3, 1, 0)</f>
        <v>1</v>
      </c>
      <c r="AU1249" s="2"/>
      <c r="AV1249" s="2"/>
    </row>
    <row r="1250" spans="1:48" x14ac:dyDescent="0.25">
      <c r="A1250" s="3"/>
      <c r="B1250" s="3">
        <v>46121</v>
      </c>
      <c r="C1250" s="5">
        <v>2025021248</v>
      </c>
      <c r="D1250" s="2" t="s">
        <v>40</v>
      </c>
      <c r="E1250" s="2" t="s">
        <v>18</v>
      </c>
      <c r="F1250" s="2"/>
      <c r="G1250" s="2"/>
      <c r="H1250" s="2" t="str">
        <f t="shared" si="99"/>
        <v>_</v>
      </c>
      <c r="I1250" s="2"/>
      <c r="J1250" s="2"/>
      <c r="K1250" s="2"/>
      <c r="L1250" s="2" t="str">
        <f t="shared" si="100"/>
        <v>_</v>
      </c>
      <c r="M1250" s="2"/>
      <c r="N1250" s="2">
        <f>IF(ISBLANK(Table2[[#This Row],[ActualResult]]), 0, 1)</f>
        <v>0</v>
      </c>
      <c r="O1250" s="2" t="str">
        <f>IF(ISBLANK(Table2[[#This Row],[ActualResult]]), "_", IF(Table2[[#This Row],[ActualWinner]]=Table2[[#This Row],[PredictedWinner]], "Y", "N"))</f>
        <v>_</v>
      </c>
      <c r="P12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0" s="2"/>
      <c r="S1250" s="2" t="str">
        <f t="shared" si="101"/>
        <v>_</v>
      </c>
      <c r="T12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0" s="2">
        <f>IF(Table2[[#This Row],[InterConf]]=1,IF(Table2[[#This Row],[InterDiv]]=0, 1, 0), 0)</f>
        <v>0</v>
      </c>
      <c r="W12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0" s="2"/>
      <c r="Y1250" s="2"/>
      <c r="Z1250" s="145">
        <f>IF(AND(Table2[[#This Row],[GameIsOver]]=1,Table2[[#This Row],[ActualHomeScore]]*Table2[[#This Row],[ActualAwayScore]]=0), 1,0)</f>
        <v>0</v>
      </c>
      <c r="AA12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0" s="2">
        <f>Table2[[#This Row],[ActualAwayScore]]-Table2[[#This Row],[PredictedAwayScore]]</f>
        <v>0</v>
      </c>
      <c r="AG1250" s="2">
        <f>Table2[[#This Row],[ActualHomeScore]]-Table2[[#This Row],[PredictedHomeScore]]</f>
        <v>0</v>
      </c>
      <c r="AH1250" s="2">
        <f t="shared" si="102"/>
        <v>0</v>
      </c>
      <c r="AI1250" s="2">
        <f t="shared" si="103"/>
        <v>0</v>
      </c>
      <c r="AJ1250" s="2"/>
      <c r="AK1250" s="3"/>
      <c r="AL1250" s="2">
        <f>IF(Table2[[#This Row],[GameIsOver]]=0,0,IF(Table2[[#This Row],[ActualWinner]]=Table2[[#This Row],[AwayTeam]], 1, 0))</f>
        <v>0</v>
      </c>
      <c r="AM1250" s="2">
        <f>IF(Table2[[#This Row],[GameIsOver]]=0,0,IF(Table2[[#This Row],[ActualWinner]]=Table2[[#This Row],[HomeTeam]], 1, 0))</f>
        <v>0</v>
      </c>
      <c r="AN12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0" s="2" t="str">
        <f>INDEX(Sheet5!$B$2:$AG$33, MATCH(Table2[[#This Row],[AwayTeam]],Sheet5!$A$2:$A$33, 0), MATCH(Table2[[#This Row],[HomeTeam]],Sheet5!$A$2:$A$33, 0))</f>
        <v>0-0-0</v>
      </c>
      <c r="AP1250" s="2" t="str">
        <f>INDEX(Sheet5!$B$2:$AG$33, MATCH(Table2[[#This Row],[HomeTeam]],Sheet5!$A$2:$A$33, 0), MATCH(Table2[[#This Row],[AwayTeam]],Sheet5!$A$2:$A$33, 0))</f>
        <v>0-0-0</v>
      </c>
      <c r="AQ1250" s="2">
        <f>IF(Table2[[#This Row],[GameHasShutOut]], 1, 0)</f>
        <v>0</v>
      </c>
      <c r="AR1250" s="2">
        <f>IF(Table2[[#This Row],[ActualAwayScore]] + Table2[[#This Row],[ActualHomeScore]] &gt;= 10, 1, 0)</f>
        <v>0</v>
      </c>
      <c r="AS1250" s="2">
        <f>IF(ABS(Table2[[#This Row],[ActualAwayScore]]-Table2[[#This Row],[ActualHomeScore]])&gt;=5, 1, 0)</f>
        <v>0</v>
      </c>
      <c r="AT1250" s="2">
        <f>IF(Table2[[#This Row],[ActualAwayScore]] + Table2[[#This Row],[ActualHomeScore]] &lt;= 3, 1, 0)</f>
        <v>1</v>
      </c>
      <c r="AU1250" s="2"/>
      <c r="AV1250" s="2"/>
    </row>
    <row r="1251" spans="1:48" x14ac:dyDescent="0.25">
      <c r="A1251" s="3"/>
      <c r="B1251" s="3">
        <v>46121</v>
      </c>
      <c r="C1251" s="5">
        <v>2025021249</v>
      </c>
      <c r="D1251" s="2" t="s">
        <v>13</v>
      </c>
      <c r="E1251" s="2" t="s">
        <v>29</v>
      </c>
      <c r="F1251" s="2"/>
      <c r="G1251" s="2"/>
      <c r="H1251" s="2" t="str">
        <f t="shared" si="99"/>
        <v>_</v>
      </c>
      <c r="I1251" s="2"/>
      <c r="J1251" s="2"/>
      <c r="K1251" s="2"/>
      <c r="L1251" s="2" t="str">
        <f t="shared" si="100"/>
        <v>_</v>
      </c>
      <c r="M1251" s="2"/>
      <c r="N1251" s="2">
        <f>IF(ISBLANK(Table2[[#This Row],[ActualResult]]), 0, 1)</f>
        <v>0</v>
      </c>
      <c r="O1251" s="2" t="str">
        <f>IF(ISBLANK(Table2[[#This Row],[ActualResult]]), "_", IF(Table2[[#This Row],[ActualWinner]]=Table2[[#This Row],[PredictedWinner]], "Y", "N"))</f>
        <v>_</v>
      </c>
      <c r="P12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1" s="2"/>
      <c r="S1251" s="2" t="str">
        <f t="shared" si="101"/>
        <v>_</v>
      </c>
      <c r="T12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1" s="2">
        <f>IF(Table2[[#This Row],[InterConf]]=1,IF(Table2[[#This Row],[InterDiv]]=0, 1, 0), 0)</f>
        <v>0</v>
      </c>
      <c r="W12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1" s="2"/>
      <c r="Y1251" s="2"/>
      <c r="Z1251" s="145">
        <f>IF(AND(Table2[[#This Row],[GameIsOver]]=1,Table2[[#This Row],[ActualHomeScore]]*Table2[[#This Row],[ActualAwayScore]]=0), 1,0)</f>
        <v>0</v>
      </c>
      <c r="AA12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1" s="2">
        <f>Table2[[#This Row],[ActualAwayScore]]-Table2[[#This Row],[PredictedAwayScore]]</f>
        <v>0</v>
      </c>
      <c r="AG1251" s="2">
        <f>Table2[[#This Row],[ActualHomeScore]]-Table2[[#This Row],[PredictedHomeScore]]</f>
        <v>0</v>
      </c>
      <c r="AH1251" s="2">
        <f t="shared" si="102"/>
        <v>0</v>
      </c>
      <c r="AI1251" s="2">
        <f t="shared" si="103"/>
        <v>0</v>
      </c>
      <c r="AJ1251" s="2"/>
      <c r="AK1251" s="3"/>
      <c r="AL1251" s="2">
        <f>IF(Table2[[#This Row],[GameIsOver]]=0,0,IF(Table2[[#This Row],[ActualWinner]]=Table2[[#This Row],[AwayTeam]], 1, 0))</f>
        <v>0</v>
      </c>
      <c r="AM1251" s="2">
        <f>IF(Table2[[#This Row],[GameIsOver]]=0,0,IF(Table2[[#This Row],[ActualWinner]]=Table2[[#This Row],[HomeTeam]], 1, 0))</f>
        <v>0</v>
      </c>
      <c r="AN12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1" s="2" t="str">
        <f>INDEX(Sheet5!$B$2:$AG$33, MATCH(Table2[[#This Row],[AwayTeam]],Sheet5!$A$2:$A$33, 0), MATCH(Table2[[#This Row],[HomeTeam]],Sheet5!$A$2:$A$33, 0))</f>
        <v>1-0-0</v>
      </c>
      <c r="AP1251" s="2" t="str">
        <f>INDEX(Sheet5!$B$2:$AG$33, MATCH(Table2[[#This Row],[HomeTeam]],Sheet5!$A$2:$A$33, 0), MATCH(Table2[[#This Row],[AwayTeam]],Sheet5!$A$2:$A$33, 0))</f>
        <v>0-1-0</v>
      </c>
      <c r="AQ1251" s="2">
        <f>IF(Table2[[#This Row],[GameHasShutOut]], 1, 0)</f>
        <v>0</v>
      </c>
      <c r="AR1251" s="2">
        <f>IF(Table2[[#This Row],[ActualAwayScore]] + Table2[[#This Row],[ActualHomeScore]] &gt;= 10, 1, 0)</f>
        <v>0</v>
      </c>
      <c r="AS1251" s="2">
        <f>IF(ABS(Table2[[#This Row],[ActualAwayScore]]-Table2[[#This Row],[ActualHomeScore]])&gt;=5, 1, 0)</f>
        <v>0</v>
      </c>
      <c r="AT1251" s="2">
        <f>IF(Table2[[#This Row],[ActualAwayScore]] + Table2[[#This Row],[ActualHomeScore]] &lt;= 3, 1, 0)</f>
        <v>1</v>
      </c>
      <c r="AU1251" s="2"/>
      <c r="AV1251" s="2"/>
    </row>
    <row r="1252" spans="1:48" x14ac:dyDescent="0.25">
      <c r="A1252" s="3"/>
      <c r="B1252" s="3">
        <v>46121</v>
      </c>
      <c r="C1252" s="5">
        <v>2025021250</v>
      </c>
      <c r="D1252" s="2" t="s">
        <v>42</v>
      </c>
      <c r="E1252" s="2" t="s">
        <v>30</v>
      </c>
      <c r="F1252" s="2"/>
      <c r="G1252" s="2"/>
      <c r="H1252" s="2" t="str">
        <f t="shared" si="99"/>
        <v>_</v>
      </c>
      <c r="I1252" s="2"/>
      <c r="J1252" s="2"/>
      <c r="K1252" s="2"/>
      <c r="L1252" s="2" t="str">
        <f t="shared" si="100"/>
        <v>_</v>
      </c>
      <c r="M1252" s="2"/>
      <c r="N1252" s="2">
        <f>IF(ISBLANK(Table2[[#This Row],[ActualResult]]), 0, 1)</f>
        <v>0</v>
      </c>
      <c r="O1252" s="2" t="str">
        <f>IF(ISBLANK(Table2[[#This Row],[ActualResult]]), "_", IF(Table2[[#This Row],[ActualWinner]]=Table2[[#This Row],[PredictedWinner]], "Y", "N"))</f>
        <v>_</v>
      </c>
      <c r="P12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2" s="2"/>
      <c r="S1252" s="2" t="str">
        <f t="shared" si="101"/>
        <v>_</v>
      </c>
      <c r="T12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2" s="2">
        <f>IF(Table2[[#This Row],[InterConf]]=1,IF(Table2[[#This Row],[InterDiv]]=0, 1, 0), 0)</f>
        <v>1</v>
      </c>
      <c r="W12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2" s="2"/>
      <c r="Y1252" s="2"/>
      <c r="Z1252" s="145">
        <f>IF(AND(Table2[[#This Row],[GameIsOver]]=1,Table2[[#This Row],[ActualHomeScore]]*Table2[[#This Row],[ActualAwayScore]]=0), 1,0)</f>
        <v>0</v>
      </c>
      <c r="AA12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2" s="2">
        <f>Table2[[#This Row],[ActualAwayScore]]-Table2[[#This Row],[PredictedAwayScore]]</f>
        <v>0</v>
      </c>
      <c r="AG1252" s="2">
        <f>Table2[[#This Row],[ActualHomeScore]]-Table2[[#This Row],[PredictedHomeScore]]</f>
        <v>0</v>
      </c>
      <c r="AH1252" s="2">
        <f t="shared" si="102"/>
        <v>0</v>
      </c>
      <c r="AI1252" s="2">
        <f t="shared" si="103"/>
        <v>0</v>
      </c>
      <c r="AJ1252" s="2"/>
      <c r="AK1252" s="3"/>
      <c r="AL1252" s="2">
        <f>IF(Table2[[#This Row],[GameIsOver]]=0,0,IF(Table2[[#This Row],[ActualWinner]]=Table2[[#This Row],[AwayTeam]], 1, 0))</f>
        <v>0</v>
      </c>
      <c r="AM1252" s="2">
        <f>IF(Table2[[#This Row],[GameIsOver]]=0,0,IF(Table2[[#This Row],[ActualWinner]]=Table2[[#This Row],[HomeTeam]], 1, 0))</f>
        <v>0</v>
      </c>
      <c r="AN12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2" s="2" t="str">
        <f>INDEX(Sheet5!$B$2:$AG$33, MATCH(Table2[[#This Row],[AwayTeam]],Sheet5!$A$2:$A$33, 0), MATCH(Table2[[#This Row],[HomeTeam]],Sheet5!$A$2:$A$33, 0))</f>
        <v>0-0-0</v>
      </c>
      <c r="AP1252" s="2" t="str">
        <f>INDEX(Sheet5!$B$2:$AG$33, MATCH(Table2[[#This Row],[HomeTeam]],Sheet5!$A$2:$A$33, 0), MATCH(Table2[[#This Row],[AwayTeam]],Sheet5!$A$2:$A$33, 0))</f>
        <v>0-0-0</v>
      </c>
      <c r="AQ1252" s="2">
        <f>IF(Table2[[#This Row],[GameHasShutOut]], 1, 0)</f>
        <v>0</v>
      </c>
      <c r="AR1252" s="2">
        <f>IF(Table2[[#This Row],[ActualAwayScore]] + Table2[[#This Row],[ActualHomeScore]] &gt;= 10, 1, 0)</f>
        <v>0</v>
      </c>
      <c r="AS1252" s="2">
        <f>IF(ABS(Table2[[#This Row],[ActualAwayScore]]-Table2[[#This Row],[ActualHomeScore]])&gt;=5, 1, 0)</f>
        <v>0</v>
      </c>
      <c r="AT1252" s="2">
        <f>IF(Table2[[#This Row],[ActualAwayScore]] + Table2[[#This Row],[ActualHomeScore]] &lt;= 3, 1, 0)</f>
        <v>1</v>
      </c>
      <c r="AU1252" s="2"/>
      <c r="AV1252" s="2"/>
    </row>
    <row r="1253" spans="1:48" x14ac:dyDescent="0.25">
      <c r="A1253" s="3"/>
      <c r="B1253" s="3">
        <v>46121</v>
      </c>
      <c r="C1253" s="5">
        <v>2025021251</v>
      </c>
      <c r="D1253" s="2" t="s">
        <v>20</v>
      </c>
      <c r="E1253" s="2" t="s">
        <v>31</v>
      </c>
      <c r="F1253" s="2"/>
      <c r="G1253" s="2"/>
      <c r="H1253" s="2" t="str">
        <f t="shared" si="99"/>
        <v>_</v>
      </c>
      <c r="I1253" s="2"/>
      <c r="J1253" s="2"/>
      <c r="K1253" s="2"/>
      <c r="L1253" s="2" t="str">
        <f t="shared" si="100"/>
        <v>_</v>
      </c>
      <c r="M1253" s="2"/>
      <c r="N1253" s="2">
        <f>IF(ISBLANK(Table2[[#This Row],[ActualResult]]), 0, 1)</f>
        <v>0</v>
      </c>
      <c r="O1253" s="2" t="str">
        <f>IF(ISBLANK(Table2[[#This Row],[ActualResult]]), "_", IF(Table2[[#This Row],[ActualWinner]]=Table2[[#This Row],[PredictedWinner]], "Y", "N"))</f>
        <v>_</v>
      </c>
      <c r="P12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3" s="2"/>
      <c r="S1253" s="2" t="str">
        <f t="shared" si="101"/>
        <v>_</v>
      </c>
      <c r="T12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3" s="2">
        <f>IF(Table2[[#This Row],[InterConf]]=1,IF(Table2[[#This Row],[InterDiv]]=0, 1, 0), 0)</f>
        <v>0</v>
      </c>
      <c r="W12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3" s="2"/>
      <c r="Y1253" s="2"/>
      <c r="Z1253" s="145">
        <f>IF(AND(Table2[[#This Row],[GameIsOver]]=1,Table2[[#This Row],[ActualHomeScore]]*Table2[[#This Row],[ActualAwayScore]]=0), 1,0)</f>
        <v>0</v>
      </c>
      <c r="AA12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3" s="2">
        <f>Table2[[#This Row],[ActualAwayScore]]-Table2[[#This Row],[PredictedAwayScore]]</f>
        <v>0</v>
      </c>
      <c r="AG1253" s="2">
        <f>Table2[[#This Row],[ActualHomeScore]]-Table2[[#This Row],[PredictedHomeScore]]</f>
        <v>0</v>
      </c>
      <c r="AH1253" s="2">
        <f t="shared" si="102"/>
        <v>0</v>
      </c>
      <c r="AI1253" s="2">
        <f t="shared" si="103"/>
        <v>0</v>
      </c>
      <c r="AJ1253" s="2"/>
      <c r="AK1253" s="3"/>
      <c r="AL1253" s="2">
        <f>IF(Table2[[#This Row],[GameIsOver]]=0,0,IF(Table2[[#This Row],[ActualWinner]]=Table2[[#This Row],[AwayTeam]], 1, 0))</f>
        <v>0</v>
      </c>
      <c r="AM1253" s="2">
        <f>IF(Table2[[#This Row],[GameIsOver]]=0,0,IF(Table2[[#This Row],[ActualWinner]]=Table2[[#This Row],[HomeTeam]], 1, 0))</f>
        <v>0</v>
      </c>
      <c r="AN12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3" s="2" t="str">
        <f>INDEX(Sheet5!$B$2:$AG$33, MATCH(Table2[[#This Row],[AwayTeam]],Sheet5!$A$2:$A$33, 0), MATCH(Table2[[#This Row],[HomeTeam]],Sheet5!$A$2:$A$33, 0))</f>
        <v>0-0-0</v>
      </c>
      <c r="AP1253" s="2" t="str">
        <f>INDEX(Sheet5!$B$2:$AG$33, MATCH(Table2[[#This Row],[HomeTeam]],Sheet5!$A$2:$A$33, 0), MATCH(Table2[[#This Row],[AwayTeam]],Sheet5!$A$2:$A$33, 0))</f>
        <v>0-0-0</v>
      </c>
      <c r="AQ1253" s="2">
        <f>IF(Table2[[#This Row],[GameHasShutOut]], 1, 0)</f>
        <v>0</v>
      </c>
      <c r="AR1253" s="2">
        <f>IF(Table2[[#This Row],[ActualAwayScore]] + Table2[[#This Row],[ActualHomeScore]] &gt;= 10, 1, 0)</f>
        <v>0</v>
      </c>
      <c r="AS1253" s="2">
        <f>IF(ABS(Table2[[#This Row],[ActualAwayScore]]-Table2[[#This Row],[ActualHomeScore]])&gt;=5, 1, 0)</f>
        <v>0</v>
      </c>
      <c r="AT1253" s="2">
        <f>IF(Table2[[#This Row],[ActualAwayScore]] + Table2[[#This Row],[ActualHomeScore]] &lt;= 3, 1, 0)</f>
        <v>1</v>
      </c>
      <c r="AU1253" s="2"/>
      <c r="AV1253" s="2"/>
    </row>
    <row r="1254" spans="1:48" x14ac:dyDescent="0.25">
      <c r="A1254" s="3"/>
      <c r="B1254" s="3">
        <v>46121</v>
      </c>
      <c r="C1254" s="5">
        <v>2025021252</v>
      </c>
      <c r="D1254" s="2" t="s">
        <v>17</v>
      </c>
      <c r="E1254" s="2" t="s">
        <v>32</v>
      </c>
      <c r="F1254" s="2"/>
      <c r="G1254" s="2"/>
      <c r="H1254" s="2" t="str">
        <f t="shared" si="99"/>
        <v>_</v>
      </c>
      <c r="I1254" s="2"/>
      <c r="J1254" s="2"/>
      <c r="K1254" s="2"/>
      <c r="L1254" s="2" t="str">
        <f t="shared" si="100"/>
        <v>_</v>
      </c>
      <c r="M1254" s="2"/>
      <c r="N1254" s="2">
        <f>IF(ISBLANK(Table2[[#This Row],[ActualResult]]), 0, 1)</f>
        <v>0</v>
      </c>
      <c r="O1254" s="2" t="str">
        <f>IF(ISBLANK(Table2[[#This Row],[ActualResult]]), "_", IF(Table2[[#This Row],[ActualWinner]]=Table2[[#This Row],[PredictedWinner]], "Y", "N"))</f>
        <v>_</v>
      </c>
      <c r="P12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4" s="2"/>
      <c r="S1254" s="2" t="str">
        <f t="shared" si="101"/>
        <v>_</v>
      </c>
      <c r="T12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4" s="2">
        <f>IF(Table2[[#This Row],[InterConf]]=1,IF(Table2[[#This Row],[InterDiv]]=0, 1, 0), 0)</f>
        <v>1</v>
      </c>
      <c r="W12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4" s="2"/>
      <c r="Y1254" s="2"/>
      <c r="Z1254" s="145">
        <f>IF(AND(Table2[[#This Row],[GameIsOver]]=1,Table2[[#This Row],[ActualHomeScore]]*Table2[[#This Row],[ActualAwayScore]]=0), 1,0)</f>
        <v>0</v>
      </c>
      <c r="AA12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4" s="2">
        <f>Table2[[#This Row],[ActualAwayScore]]-Table2[[#This Row],[PredictedAwayScore]]</f>
        <v>0</v>
      </c>
      <c r="AG1254" s="2">
        <f>Table2[[#This Row],[ActualHomeScore]]-Table2[[#This Row],[PredictedHomeScore]]</f>
        <v>0</v>
      </c>
      <c r="AH1254" s="2">
        <f t="shared" si="102"/>
        <v>0</v>
      </c>
      <c r="AI1254" s="2">
        <f t="shared" si="103"/>
        <v>0</v>
      </c>
      <c r="AJ1254" s="2"/>
      <c r="AK1254" s="3"/>
      <c r="AL1254" s="2">
        <f>IF(Table2[[#This Row],[GameIsOver]]=0,0,IF(Table2[[#This Row],[ActualWinner]]=Table2[[#This Row],[AwayTeam]], 1, 0))</f>
        <v>0</v>
      </c>
      <c r="AM1254" s="2">
        <f>IF(Table2[[#This Row],[GameIsOver]]=0,0,IF(Table2[[#This Row],[ActualWinner]]=Table2[[#This Row],[HomeTeam]], 1, 0))</f>
        <v>0</v>
      </c>
      <c r="AN12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4" s="2" t="str">
        <f>INDEX(Sheet5!$B$2:$AG$33, MATCH(Table2[[#This Row],[AwayTeam]],Sheet5!$A$2:$A$33, 0), MATCH(Table2[[#This Row],[HomeTeam]],Sheet5!$A$2:$A$33, 0))</f>
        <v>0-0-0</v>
      </c>
      <c r="AP1254" s="2" t="str">
        <f>INDEX(Sheet5!$B$2:$AG$33, MATCH(Table2[[#This Row],[HomeTeam]],Sheet5!$A$2:$A$33, 0), MATCH(Table2[[#This Row],[AwayTeam]],Sheet5!$A$2:$A$33, 0))</f>
        <v>0-0-0</v>
      </c>
      <c r="AQ1254" s="2">
        <f>IF(Table2[[#This Row],[GameHasShutOut]], 1, 0)</f>
        <v>0</v>
      </c>
      <c r="AR1254" s="2">
        <f>IF(Table2[[#This Row],[ActualAwayScore]] + Table2[[#This Row],[ActualHomeScore]] &gt;= 10, 1, 0)</f>
        <v>0</v>
      </c>
      <c r="AS1254" s="2">
        <f>IF(ABS(Table2[[#This Row],[ActualAwayScore]]-Table2[[#This Row],[ActualHomeScore]])&gt;=5, 1, 0)</f>
        <v>0</v>
      </c>
      <c r="AT1254" s="2">
        <f>IF(Table2[[#This Row],[ActualAwayScore]] + Table2[[#This Row],[ActualHomeScore]] &lt;= 3, 1, 0)</f>
        <v>1</v>
      </c>
      <c r="AU1254" s="2"/>
      <c r="AV1254" s="2"/>
    </row>
    <row r="1255" spans="1:48" x14ac:dyDescent="0.25">
      <c r="A1255" s="3"/>
      <c r="B1255" s="3">
        <v>46122</v>
      </c>
      <c r="C1255" s="5">
        <v>2025021253</v>
      </c>
      <c r="D1255" s="2" t="s">
        <v>21</v>
      </c>
      <c r="E1255" s="2" t="s">
        <v>12</v>
      </c>
      <c r="F1255" s="2"/>
      <c r="G1255" s="2"/>
      <c r="H1255" s="2" t="str">
        <f t="shared" si="99"/>
        <v>_</v>
      </c>
      <c r="I1255" s="2"/>
      <c r="J1255" s="2"/>
      <c r="K1255" s="2"/>
      <c r="L1255" s="2" t="str">
        <f t="shared" si="100"/>
        <v>_</v>
      </c>
      <c r="M1255" s="2"/>
      <c r="N1255" s="2">
        <f>IF(ISBLANK(Table2[[#This Row],[ActualResult]]), 0, 1)</f>
        <v>0</v>
      </c>
      <c r="O1255" s="2" t="str">
        <f>IF(ISBLANK(Table2[[#This Row],[ActualResult]]), "_", IF(Table2[[#This Row],[ActualWinner]]=Table2[[#This Row],[PredictedWinner]], "Y", "N"))</f>
        <v>_</v>
      </c>
      <c r="P12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5" s="2"/>
      <c r="S1255" s="2" t="str">
        <f t="shared" si="101"/>
        <v>_</v>
      </c>
      <c r="T12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5" s="2">
        <f>IF(Table2[[#This Row],[InterConf]]=1,IF(Table2[[#This Row],[InterDiv]]=0, 1, 0), 0)</f>
        <v>0</v>
      </c>
      <c r="W12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5" s="2"/>
      <c r="Y1255" s="2"/>
      <c r="Z1255" s="145">
        <f>IF(AND(Table2[[#This Row],[GameIsOver]]=1,Table2[[#This Row],[ActualHomeScore]]*Table2[[#This Row],[ActualAwayScore]]=0), 1,0)</f>
        <v>0</v>
      </c>
      <c r="AA12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5" s="2">
        <f>Table2[[#This Row],[ActualAwayScore]]-Table2[[#This Row],[PredictedAwayScore]]</f>
        <v>0</v>
      </c>
      <c r="AG1255" s="2">
        <f>Table2[[#This Row],[ActualHomeScore]]-Table2[[#This Row],[PredictedHomeScore]]</f>
        <v>0</v>
      </c>
      <c r="AH1255" s="2">
        <f t="shared" si="102"/>
        <v>0</v>
      </c>
      <c r="AI1255" s="2">
        <f t="shared" si="103"/>
        <v>0</v>
      </c>
      <c r="AJ1255" s="2"/>
      <c r="AK1255" s="3"/>
      <c r="AL1255" s="2">
        <f>IF(Table2[[#This Row],[GameIsOver]]=0,0,IF(Table2[[#This Row],[ActualWinner]]=Table2[[#This Row],[AwayTeam]], 1, 0))</f>
        <v>0</v>
      </c>
      <c r="AM1255" s="2">
        <f>IF(Table2[[#This Row],[GameIsOver]]=0,0,IF(Table2[[#This Row],[ActualWinner]]=Table2[[#This Row],[HomeTeam]], 1, 0))</f>
        <v>0</v>
      </c>
      <c r="AN12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5" s="2" t="str">
        <f>INDEX(Sheet5!$B$2:$AG$33, MATCH(Table2[[#This Row],[AwayTeam]],Sheet5!$A$2:$A$33, 0), MATCH(Table2[[#This Row],[HomeTeam]],Sheet5!$A$2:$A$33, 0))</f>
        <v>0-0-0</v>
      </c>
      <c r="AP1255" s="2" t="str">
        <f>INDEX(Sheet5!$B$2:$AG$33, MATCH(Table2[[#This Row],[HomeTeam]],Sheet5!$A$2:$A$33, 0), MATCH(Table2[[#This Row],[AwayTeam]],Sheet5!$A$2:$A$33, 0))</f>
        <v>0-0-0</v>
      </c>
      <c r="AQ1255" s="2">
        <f>IF(Table2[[#This Row],[GameHasShutOut]], 1, 0)</f>
        <v>0</v>
      </c>
      <c r="AR1255" s="2">
        <f>IF(Table2[[#This Row],[ActualAwayScore]] + Table2[[#This Row],[ActualHomeScore]] &gt;= 10, 1, 0)</f>
        <v>0</v>
      </c>
      <c r="AS1255" s="2">
        <f>IF(ABS(Table2[[#This Row],[ActualAwayScore]]-Table2[[#This Row],[ActualHomeScore]])&gt;=5, 1, 0)</f>
        <v>0</v>
      </c>
      <c r="AT1255" s="2">
        <f>IF(Table2[[#This Row],[ActualAwayScore]] + Table2[[#This Row],[ActualHomeScore]] &lt;= 3, 1, 0)</f>
        <v>1</v>
      </c>
      <c r="AU1255" s="2"/>
      <c r="AV1255" s="2"/>
    </row>
    <row r="1256" spans="1:48" x14ac:dyDescent="0.25">
      <c r="A1256" s="3"/>
      <c r="B1256" s="3">
        <v>46122</v>
      </c>
      <c r="C1256" s="5">
        <v>2025021254</v>
      </c>
      <c r="D1256" s="2" t="s">
        <v>36</v>
      </c>
      <c r="E1256" s="2" t="s">
        <v>33</v>
      </c>
      <c r="F1256" s="2"/>
      <c r="G1256" s="2"/>
      <c r="H1256" s="2" t="str">
        <f t="shared" si="99"/>
        <v>_</v>
      </c>
      <c r="I1256" s="2"/>
      <c r="J1256" s="2"/>
      <c r="K1256" s="2"/>
      <c r="L1256" s="2" t="str">
        <f t="shared" si="100"/>
        <v>_</v>
      </c>
      <c r="M1256" s="2"/>
      <c r="N1256" s="2">
        <f>IF(ISBLANK(Table2[[#This Row],[ActualResult]]), 0, 1)</f>
        <v>0</v>
      </c>
      <c r="O1256" s="2" t="str">
        <f>IF(ISBLANK(Table2[[#This Row],[ActualResult]]), "_", IF(Table2[[#This Row],[ActualWinner]]=Table2[[#This Row],[PredictedWinner]], "Y", "N"))</f>
        <v>_</v>
      </c>
      <c r="P12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6" s="2"/>
      <c r="S1256" s="2" t="str">
        <f t="shared" si="101"/>
        <v>_</v>
      </c>
      <c r="T12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6" s="2">
        <f>IF(Table2[[#This Row],[InterConf]]=1,IF(Table2[[#This Row],[InterDiv]]=0, 1, 0), 0)</f>
        <v>0</v>
      </c>
      <c r="W12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6" s="2"/>
      <c r="Y1256" s="2"/>
      <c r="Z1256" s="145">
        <f>IF(AND(Table2[[#This Row],[GameIsOver]]=1,Table2[[#This Row],[ActualHomeScore]]*Table2[[#This Row],[ActualAwayScore]]=0), 1,0)</f>
        <v>0</v>
      </c>
      <c r="AA12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6" s="2">
        <f>Table2[[#This Row],[ActualAwayScore]]-Table2[[#This Row],[PredictedAwayScore]]</f>
        <v>0</v>
      </c>
      <c r="AG1256" s="2">
        <f>Table2[[#This Row],[ActualHomeScore]]-Table2[[#This Row],[PredictedHomeScore]]</f>
        <v>0</v>
      </c>
      <c r="AH1256" s="2">
        <f t="shared" si="102"/>
        <v>0</v>
      </c>
      <c r="AI1256" s="2">
        <f t="shared" si="103"/>
        <v>0</v>
      </c>
      <c r="AJ1256" s="2"/>
      <c r="AK1256" s="3"/>
      <c r="AL1256" s="2">
        <f>IF(Table2[[#This Row],[GameIsOver]]=0,0,IF(Table2[[#This Row],[ActualWinner]]=Table2[[#This Row],[AwayTeam]], 1, 0))</f>
        <v>0</v>
      </c>
      <c r="AM1256" s="2">
        <f>IF(Table2[[#This Row],[GameIsOver]]=0,0,IF(Table2[[#This Row],[ActualWinner]]=Table2[[#This Row],[HomeTeam]], 1, 0))</f>
        <v>0</v>
      </c>
      <c r="AN12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6" s="2" t="str">
        <f>INDEX(Sheet5!$B$2:$AG$33, MATCH(Table2[[#This Row],[AwayTeam]],Sheet5!$A$2:$A$33, 0), MATCH(Table2[[#This Row],[HomeTeam]],Sheet5!$A$2:$A$33, 0))</f>
        <v>0-1-0</v>
      </c>
      <c r="AP1256" s="2" t="str">
        <f>INDEX(Sheet5!$B$2:$AG$33, MATCH(Table2[[#This Row],[HomeTeam]],Sheet5!$A$2:$A$33, 0), MATCH(Table2[[#This Row],[AwayTeam]],Sheet5!$A$2:$A$33, 0))</f>
        <v>1-0-0</v>
      </c>
      <c r="AQ1256" s="2">
        <f>IF(Table2[[#This Row],[GameHasShutOut]], 1, 0)</f>
        <v>0</v>
      </c>
      <c r="AR1256" s="2">
        <f>IF(Table2[[#This Row],[ActualAwayScore]] + Table2[[#This Row],[ActualHomeScore]] &gt;= 10, 1, 0)</f>
        <v>0</v>
      </c>
      <c r="AS1256" s="2">
        <f>IF(ABS(Table2[[#This Row],[ActualAwayScore]]-Table2[[#This Row],[ActualHomeScore]])&gt;=5, 1, 0)</f>
        <v>0</v>
      </c>
      <c r="AT1256" s="2">
        <f>IF(Table2[[#This Row],[ActualAwayScore]] + Table2[[#This Row],[ActualHomeScore]] &lt;= 3, 1, 0)</f>
        <v>1</v>
      </c>
      <c r="AU1256" s="2"/>
      <c r="AV1256" s="2"/>
    </row>
    <row r="1257" spans="1:48" x14ac:dyDescent="0.25">
      <c r="A1257" s="3"/>
      <c r="B1257" s="3">
        <v>46122</v>
      </c>
      <c r="C1257" s="5">
        <v>2025021255</v>
      </c>
      <c r="D1257" s="2" t="s">
        <v>41</v>
      </c>
      <c r="E1257" s="2" t="s">
        <v>16</v>
      </c>
      <c r="F1257" s="2"/>
      <c r="G1257" s="2"/>
      <c r="H1257" s="2" t="str">
        <f t="shared" si="99"/>
        <v>_</v>
      </c>
      <c r="I1257" s="2"/>
      <c r="J1257" s="2"/>
      <c r="K1257" s="2"/>
      <c r="L1257" s="2" t="str">
        <f t="shared" si="100"/>
        <v>_</v>
      </c>
      <c r="M1257" s="2"/>
      <c r="N1257" s="2">
        <f>IF(ISBLANK(Table2[[#This Row],[ActualResult]]), 0, 1)</f>
        <v>0</v>
      </c>
      <c r="O1257" s="2" t="str">
        <f>IF(ISBLANK(Table2[[#This Row],[ActualResult]]), "_", IF(Table2[[#This Row],[ActualWinner]]=Table2[[#This Row],[PredictedWinner]], "Y", "N"))</f>
        <v>_</v>
      </c>
      <c r="P12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7" s="2"/>
      <c r="S1257" s="2" t="str">
        <f t="shared" si="101"/>
        <v>_</v>
      </c>
      <c r="T12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7" s="2">
        <f>IF(Table2[[#This Row],[InterConf]]=1,IF(Table2[[#This Row],[InterDiv]]=0, 1, 0), 0)</f>
        <v>0</v>
      </c>
      <c r="W12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57" s="2"/>
      <c r="Y1257" s="2"/>
      <c r="Z1257" s="145">
        <f>IF(AND(Table2[[#This Row],[GameIsOver]]=1,Table2[[#This Row],[ActualHomeScore]]*Table2[[#This Row],[ActualAwayScore]]=0), 1,0)</f>
        <v>0</v>
      </c>
      <c r="AA12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7" s="2">
        <f>Table2[[#This Row],[ActualAwayScore]]-Table2[[#This Row],[PredictedAwayScore]]</f>
        <v>0</v>
      </c>
      <c r="AG1257" s="2">
        <f>Table2[[#This Row],[ActualHomeScore]]-Table2[[#This Row],[PredictedHomeScore]]</f>
        <v>0</v>
      </c>
      <c r="AH1257" s="2">
        <f t="shared" si="102"/>
        <v>0</v>
      </c>
      <c r="AI1257" s="2">
        <f t="shared" si="103"/>
        <v>0</v>
      </c>
      <c r="AJ1257" s="2"/>
      <c r="AK1257" s="3"/>
      <c r="AL1257" s="2">
        <f>IF(Table2[[#This Row],[GameIsOver]]=0,0,IF(Table2[[#This Row],[ActualWinner]]=Table2[[#This Row],[AwayTeam]], 1, 0))</f>
        <v>0</v>
      </c>
      <c r="AM1257" s="2">
        <f>IF(Table2[[#This Row],[GameIsOver]]=0,0,IF(Table2[[#This Row],[ActualWinner]]=Table2[[#This Row],[HomeTeam]], 1, 0))</f>
        <v>0</v>
      </c>
      <c r="AN12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7" s="2" t="str">
        <f>INDEX(Sheet5!$B$2:$AG$33, MATCH(Table2[[#This Row],[AwayTeam]],Sheet5!$A$2:$A$33, 0), MATCH(Table2[[#This Row],[HomeTeam]],Sheet5!$A$2:$A$33, 0))</f>
        <v>0-0-0</v>
      </c>
      <c r="AP1257" s="2" t="str">
        <f>INDEX(Sheet5!$B$2:$AG$33, MATCH(Table2[[#This Row],[HomeTeam]],Sheet5!$A$2:$A$33, 0), MATCH(Table2[[#This Row],[AwayTeam]],Sheet5!$A$2:$A$33, 0))</f>
        <v>0-0-0</v>
      </c>
      <c r="AQ1257" s="2">
        <f>IF(Table2[[#This Row],[GameHasShutOut]], 1, 0)</f>
        <v>0</v>
      </c>
      <c r="AR1257" s="2">
        <f>IF(Table2[[#This Row],[ActualAwayScore]] + Table2[[#This Row],[ActualHomeScore]] &gt;= 10, 1, 0)</f>
        <v>0</v>
      </c>
      <c r="AS1257" s="2">
        <f>IF(ABS(Table2[[#This Row],[ActualAwayScore]]-Table2[[#This Row],[ActualHomeScore]])&gt;=5, 1, 0)</f>
        <v>0</v>
      </c>
      <c r="AT1257" s="2">
        <f>IF(Table2[[#This Row],[ActualAwayScore]] + Table2[[#This Row],[ActualHomeScore]] &lt;= 3, 1, 0)</f>
        <v>1</v>
      </c>
      <c r="AU1257" s="2"/>
      <c r="AV1257" s="2"/>
    </row>
    <row r="1258" spans="1:48" x14ac:dyDescent="0.25">
      <c r="A1258" s="3"/>
      <c r="B1258" s="3">
        <v>46122</v>
      </c>
      <c r="C1258" s="5">
        <v>2025021256</v>
      </c>
      <c r="D1258" s="2" t="s">
        <v>23</v>
      </c>
      <c r="E1258" s="2" t="s">
        <v>25</v>
      </c>
      <c r="F1258" s="2"/>
      <c r="G1258" s="2"/>
      <c r="H1258" s="2" t="str">
        <f t="shared" si="99"/>
        <v>_</v>
      </c>
      <c r="I1258" s="2"/>
      <c r="J1258" s="2"/>
      <c r="K1258" s="2"/>
      <c r="L1258" s="2" t="str">
        <f t="shared" si="100"/>
        <v>_</v>
      </c>
      <c r="M1258" s="2"/>
      <c r="N1258" s="2">
        <f>IF(ISBLANK(Table2[[#This Row],[ActualResult]]), 0, 1)</f>
        <v>0</v>
      </c>
      <c r="O1258" s="2" t="str">
        <f>IF(ISBLANK(Table2[[#This Row],[ActualResult]]), "_", IF(Table2[[#This Row],[ActualWinner]]=Table2[[#This Row],[PredictedWinner]], "Y", "N"))</f>
        <v>_</v>
      </c>
      <c r="P12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8" s="2"/>
      <c r="S1258" s="2" t="str">
        <f t="shared" si="101"/>
        <v>_</v>
      </c>
      <c r="T12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8" s="2">
        <f>IF(Table2[[#This Row],[InterConf]]=1,IF(Table2[[#This Row],[InterDiv]]=0, 1, 0), 0)</f>
        <v>1</v>
      </c>
      <c r="W12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8" s="2"/>
      <c r="Y1258" s="2"/>
      <c r="Z1258" s="145">
        <f>IF(AND(Table2[[#This Row],[GameIsOver]]=1,Table2[[#This Row],[ActualHomeScore]]*Table2[[#This Row],[ActualAwayScore]]=0), 1,0)</f>
        <v>0</v>
      </c>
      <c r="AA12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8" s="2">
        <f>Table2[[#This Row],[ActualAwayScore]]-Table2[[#This Row],[PredictedAwayScore]]</f>
        <v>0</v>
      </c>
      <c r="AG1258" s="2">
        <f>Table2[[#This Row],[ActualHomeScore]]-Table2[[#This Row],[PredictedHomeScore]]</f>
        <v>0</v>
      </c>
      <c r="AH1258" s="2">
        <f t="shared" si="102"/>
        <v>0</v>
      </c>
      <c r="AI1258" s="2">
        <f t="shared" si="103"/>
        <v>0</v>
      </c>
      <c r="AJ1258" s="2"/>
      <c r="AK1258" s="3"/>
      <c r="AL1258" s="2">
        <f>IF(Table2[[#This Row],[GameIsOver]]=0,0,IF(Table2[[#This Row],[ActualWinner]]=Table2[[#This Row],[AwayTeam]], 1, 0))</f>
        <v>0</v>
      </c>
      <c r="AM1258" s="2">
        <f>IF(Table2[[#This Row],[GameIsOver]]=0,0,IF(Table2[[#This Row],[ActualWinner]]=Table2[[#This Row],[HomeTeam]], 1, 0))</f>
        <v>0</v>
      </c>
      <c r="AN12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8" s="2" t="str">
        <f>INDEX(Sheet5!$B$2:$AG$33, MATCH(Table2[[#This Row],[AwayTeam]],Sheet5!$A$2:$A$33, 0), MATCH(Table2[[#This Row],[HomeTeam]],Sheet5!$A$2:$A$33, 0))</f>
        <v>0-0-0</v>
      </c>
      <c r="AP1258" s="2" t="str">
        <f>INDEX(Sheet5!$B$2:$AG$33, MATCH(Table2[[#This Row],[HomeTeam]],Sheet5!$A$2:$A$33, 0), MATCH(Table2[[#This Row],[AwayTeam]],Sheet5!$A$2:$A$33, 0))</f>
        <v>0-0-0</v>
      </c>
      <c r="AQ1258" s="2">
        <f>IF(Table2[[#This Row],[GameHasShutOut]], 1, 0)</f>
        <v>0</v>
      </c>
      <c r="AR1258" s="2">
        <f>IF(Table2[[#This Row],[ActualAwayScore]] + Table2[[#This Row],[ActualHomeScore]] &gt;= 10, 1, 0)</f>
        <v>0</v>
      </c>
      <c r="AS1258" s="2">
        <f>IF(ABS(Table2[[#This Row],[ActualAwayScore]]-Table2[[#This Row],[ActualHomeScore]])&gt;=5, 1, 0)</f>
        <v>0</v>
      </c>
      <c r="AT1258" s="2">
        <f>IF(Table2[[#This Row],[ActualAwayScore]] + Table2[[#This Row],[ActualHomeScore]] &lt;= 3, 1, 0)</f>
        <v>1</v>
      </c>
      <c r="AU1258" s="2"/>
      <c r="AV1258" s="2"/>
    </row>
    <row r="1259" spans="1:48" x14ac:dyDescent="0.25">
      <c r="A1259" s="3"/>
      <c r="B1259" s="3">
        <v>46122</v>
      </c>
      <c r="C1259" s="5">
        <v>2025021257</v>
      </c>
      <c r="D1259" s="2" t="s">
        <v>34</v>
      </c>
      <c r="E1259" s="2" t="s">
        <v>14</v>
      </c>
      <c r="F1259" s="2"/>
      <c r="G1259" s="2"/>
      <c r="H1259" s="2" t="str">
        <f t="shared" si="99"/>
        <v>_</v>
      </c>
      <c r="I1259" s="2"/>
      <c r="J1259" s="2"/>
      <c r="K1259" s="2"/>
      <c r="L1259" s="2" t="str">
        <f t="shared" si="100"/>
        <v>_</v>
      </c>
      <c r="M1259" s="2"/>
      <c r="N1259" s="2">
        <f>IF(ISBLANK(Table2[[#This Row],[ActualResult]]), 0, 1)</f>
        <v>0</v>
      </c>
      <c r="O1259" s="2" t="str">
        <f>IF(ISBLANK(Table2[[#This Row],[ActualResult]]), "_", IF(Table2[[#This Row],[ActualWinner]]=Table2[[#This Row],[PredictedWinner]], "Y", "N"))</f>
        <v>_</v>
      </c>
      <c r="P12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9" s="2"/>
      <c r="S1259" s="2" t="str">
        <f t="shared" si="101"/>
        <v>_</v>
      </c>
      <c r="T12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9" s="2">
        <f>IF(Table2[[#This Row],[InterConf]]=1,IF(Table2[[#This Row],[InterDiv]]=0, 1, 0), 0)</f>
        <v>0</v>
      </c>
      <c r="W12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9" s="2"/>
      <c r="Y1259" s="2"/>
      <c r="Z1259" s="145">
        <f>IF(AND(Table2[[#This Row],[GameIsOver]]=1,Table2[[#This Row],[ActualHomeScore]]*Table2[[#This Row],[ActualAwayScore]]=0), 1,0)</f>
        <v>0</v>
      </c>
      <c r="AA12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9" s="2">
        <f>Table2[[#This Row],[ActualAwayScore]]-Table2[[#This Row],[PredictedAwayScore]]</f>
        <v>0</v>
      </c>
      <c r="AG1259" s="2">
        <f>Table2[[#This Row],[ActualHomeScore]]-Table2[[#This Row],[PredictedHomeScore]]</f>
        <v>0</v>
      </c>
      <c r="AH1259" s="2">
        <f t="shared" si="102"/>
        <v>0</v>
      </c>
      <c r="AI1259" s="2">
        <f t="shared" si="103"/>
        <v>0</v>
      </c>
      <c r="AJ1259" s="2"/>
      <c r="AK1259" s="3"/>
      <c r="AL1259" s="2">
        <f>IF(Table2[[#This Row],[GameIsOver]]=0,0,IF(Table2[[#This Row],[ActualWinner]]=Table2[[#This Row],[AwayTeam]], 1, 0))</f>
        <v>0</v>
      </c>
      <c r="AM1259" s="2">
        <f>IF(Table2[[#This Row],[GameIsOver]]=0,0,IF(Table2[[#This Row],[ActualWinner]]=Table2[[#This Row],[HomeTeam]], 1, 0))</f>
        <v>0</v>
      </c>
      <c r="AN12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9" s="2" t="str">
        <f>INDEX(Sheet5!$B$2:$AG$33, MATCH(Table2[[#This Row],[AwayTeam]],Sheet5!$A$2:$A$33, 0), MATCH(Table2[[#This Row],[HomeTeam]],Sheet5!$A$2:$A$33, 0))</f>
        <v>0-0-1</v>
      </c>
      <c r="AP1259" s="2" t="str">
        <f>INDEX(Sheet5!$B$2:$AG$33, MATCH(Table2[[#This Row],[HomeTeam]],Sheet5!$A$2:$A$33, 0), MATCH(Table2[[#This Row],[AwayTeam]],Sheet5!$A$2:$A$33, 0))</f>
        <v>1-0-0</v>
      </c>
      <c r="AQ1259" s="2">
        <f>IF(Table2[[#This Row],[GameHasShutOut]], 1, 0)</f>
        <v>0</v>
      </c>
      <c r="AR1259" s="2">
        <f>IF(Table2[[#This Row],[ActualAwayScore]] + Table2[[#This Row],[ActualHomeScore]] &gt;= 10, 1, 0)</f>
        <v>0</v>
      </c>
      <c r="AS1259" s="2">
        <f>IF(ABS(Table2[[#This Row],[ActualAwayScore]]-Table2[[#This Row],[ActualHomeScore]])&gt;=5, 1, 0)</f>
        <v>0</v>
      </c>
      <c r="AT1259" s="2">
        <f>IF(Table2[[#This Row],[ActualAwayScore]] + Table2[[#This Row],[ActualHomeScore]] &lt;= 3, 1, 0)</f>
        <v>1</v>
      </c>
      <c r="AU1259" s="2"/>
      <c r="AV1259" s="2"/>
    </row>
    <row r="1260" spans="1:48" x14ac:dyDescent="0.25">
      <c r="A1260" s="3"/>
      <c r="B1260" s="3">
        <v>46122</v>
      </c>
      <c r="C1260" s="5">
        <v>2025021258</v>
      </c>
      <c r="D1260" s="2" t="s">
        <v>37</v>
      </c>
      <c r="E1260" s="2" t="s">
        <v>44</v>
      </c>
      <c r="F1260" s="2"/>
      <c r="G1260" s="2"/>
      <c r="H1260" s="2" t="str">
        <f t="shared" si="99"/>
        <v>_</v>
      </c>
      <c r="I1260" s="2"/>
      <c r="J1260" s="2"/>
      <c r="K1260" s="2"/>
      <c r="L1260" s="2" t="str">
        <f t="shared" si="100"/>
        <v>_</v>
      </c>
      <c r="M1260" s="2"/>
      <c r="N1260" s="2">
        <f>IF(ISBLANK(Table2[[#This Row],[ActualResult]]), 0, 1)</f>
        <v>0</v>
      </c>
      <c r="O1260" s="2" t="str">
        <f>IF(ISBLANK(Table2[[#This Row],[ActualResult]]), "_", IF(Table2[[#This Row],[ActualWinner]]=Table2[[#This Row],[PredictedWinner]], "Y", "N"))</f>
        <v>_</v>
      </c>
      <c r="P12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0" s="2"/>
      <c r="S1260" s="2" t="str">
        <f t="shared" si="101"/>
        <v>_</v>
      </c>
      <c r="T12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0" s="2">
        <f>IF(Table2[[#This Row],[InterConf]]=1,IF(Table2[[#This Row],[InterDiv]]=0, 1, 0), 0)</f>
        <v>0</v>
      </c>
      <c r="W12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0" s="2"/>
      <c r="Y1260" s="2"/>
      <c r="Z1260" s="145">
        <f>IF(AND(Table2[[#This Row],[GameIsOver]]=1,Table2[[#This Row],[ActualHomeScore]]*Table2[[#This Row],[ActualAwayScore]]=0), 1,0)</f>
        <v>0</v>
      </c>
      <c r="AA12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0" s="2">
        <f>Table2[[#This Row],[ActualAwayScore]]-Table2[[#This Row],[PredictedAwayScore]]</f>
        <v>0</v>
      </c>
      <c r="AG1260" s="2">
        <f>Table2[[#This Row],[ActualHomeScore]]-Table2[[#This Row],[PredictedHomeScore]]</f>
        <v>0</v>
      </c>
      <c r="AH1260" s="2">
        <f t="shared" si="102"/>
        <v>0</v>
      </c>
      <c r="AI1260" s="2">
        <f t="shared" si="103"/>
        <v>0</v>
      </c>
      <c r="AJ1260" s="2"/>
      <c r="AK1260" s="3"/>
      <c r="AL1260" s="2">
        <f>IF(Table2[[#This Row],[GameIsOver]]=0,0,IF(Table2[[#This Row],[ActualWinner]]=Table2[[#This Row],[AwayTeam]], 1, 0))</f>
        <v>0</v>
      </c>
      <c r="AM1260" s="2">
        <f>IF(Table2[[#This Row],[GameIsOver]]=0,0,IF(Table2[[#This Row],[ActualWinner]]=Table2[[#This Row],[HomeTeam]], 1, 0))</f>
        <v>0</v>
      </c>
      <c r="AN12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0" s="2" t="str">
        <f>INDEX(Sheet5!$B$2:$AG$33, MATCH(Table2[[#This Row],[AwayTeam]],Sheet5!$A$2:$A$33, 0), MATCH(Table2[[#This Row],[HomeTeam]],Sheet5!$A$2:$A$33, 0))</f>
        <v>0-0-1</v>
      </c>
      <c r="AP1260" s="2" t="str">
        <f>INDEX(Sheet5!$B$2:$AG$33, MATCH(Table2[[#This Row],[HomeTeam]],Sheet5!$A$2:$A$33, 0), MATCH(Table2[[#This Row],[AwayTeam]],Sheet5!$A$2:$A$33, 0))</f>
        <v>1-0-0</v>
      </c>
      <c r="AQ1260" s="2">
        <f>IF(Table2[[#This Row],[GameHasShutOut]], 1, 0)</f>
        <v>0</v>
      </c>
      <c r="AR1260" s="2">
        <f>IF(Table2[[#This Row],[ActualAwayScore]] + Table2[[#This Row],[ActualHomeScore]] &gt;= 10, 1, 0)</f>
        <v>0</v>
      </c>
      <c r="AS1260" s="2">
        <f>IF(ABS(Table2[[#This Row],[ActualAwayScore]]-Table2[[#This Row],[ActualHomeScore]])&gt;=5, 1, 0)</f>
        <v>0</v>
      </c>
      <c r="AT1260" s="2">
        <f>IF(Table2[[#This Row],[ActualAwayScore]] + Table2[[#This Row],[ActualHomeScore]] &lt;= 3, 1, 0)</f>
        <v>1</v>
      </c>
      <c r="AU1260" s="2"/>
      <c r="AV1260" s="2"/>
    </row>
    <row r="1261" spans="1:48" x14ac:dyDescent="0.25">
      <c r="A1261" s="3"/>
      <c r="B1261" s="3">
        <v>46122</v>
      </c>
      <c r="C1261" s="5">
        <v>2025021259</v>
      </c>
      <c r="D1261" s="2" t="s">
        <v>26</v>
      </c>
      <c r="E1261" s="2" t="s">
        <v>11</v>
      </c>
      <c r="F1261" s="2"/>
      <c r="G1261" s="2"/>
      <c r="H1261" s="2" t="str">
        <f t="shared" si="99"/>
        <v>_</v>
      </c>
      <c r="I1261" s="2"/>
      <c r="J1261" s="2"/>
      <c r="K1261" s="2"/>
      <c r="L1261" s="2" t="str">
        <f t="shared" si="100"/>
        <v>_</v>
      </c>
      <c r="M1261" s="2"/>
      <c r="N1261" s="2">
        <f>IF(ISBLANK(Table2[[#This Row],[ActualResult]]), 0, 1)</f>
        <v>0</v>
      </c>
      <c r="O1261" s="2" t="str">
        <f>IF(ISBLANK(Table2[[#This Row],[ActualResult]]), "_", IF(Table2[[#This Row],[ActualWinner]]=Table2[[#This Row],[PredictedWinner]], "Y", "N"))</f>
        <v>_</v>
      </c>
      <c r="P12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1" s="2"/>
      <c r="S1261" s="2" t="str">
        <f t="shared" si="101"/>
        <v>_</v>
      </c>
      <c r="T12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1" s="2">
        <f>IF(Table2[[#This Row],[InterConf]]=1,IF(Table2[[#This Row],[InterDiv]]=0, 1, 0), 0)</f>
        <v>0</v>
      </c>
      <c r="W12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1" s="2"/>
      <c r="Y1261" s="2"/>
      <c r="Z1261" s="145">
        <f>IF(AND(Table2[[#This Row],[GameIsOver]]=1,Table2[[#This Row],[ActualHomeScore]]*Table2[[#This Row],[ActualAwayScore]]=0), 1,0)</f>
        <v>0</v>
      </c>
      <c r="AA12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1" s="2">
        <f>Table2[[#This Row],[ActualAwayScore]]-Table2[[#This Row],[PredictedAwayScore]]</f>
        <v>0</v>
      </c>
      <c r="AG1261" s="2">
        <f>Table2[[#This Row],[ActualHomeScore]]-Table2[[#This Row],[PredictedHomeScore]]</f>
        <v>0</v>
      </c>
      <c r="AH1261" s="2">
        <f t="shared" si="102"/>
        <v>0</v>
      </c>
      <c r="AI1261" s="2">
        <f t="shared" si="103"/>
        <v>0</v>
      </c>
      <c r="AJ1261" s="2"/>
      <c r="AK1261" s="3"/>
      <c r="AL1261" s="2">
        <f>IF(Table2[[#This Row],[GameIsOver]]=0,0,IF(Table2[[#This Row],[ActualWinner]]=Table2[[#This Row],[AwayTeam]], 1, 0))</f>
        <v>0</v>
      </c>
      <c r="AM1261" s="2">
        <f>IF(Table2[[#This Row],[GameIsOver]]=0,0,IF(Table2[[#This Row],[ActualWinner]]=Table2[[#This Row],[HomeTeam]], 1, 0))</f>
        <v>0</v>
      </c>
      <c r="AN12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1" s="2" t="str">
        <f>INDEX(Sheet5!$B$2:$AG$33, MATCH(Table2[[#This Row],[AwayTeam]],Sheet5!$A$2:$A$33, 0), MATCH(Table2[[#This Row],[HomeTeam]],Sheet5!$A$2:$A$33, 0))</f>
        <v>0-0-1</v>
      </c>
      <c r="AP1261" s="2" t="str">
        <f>INDEX(Sheet5!$B$2:$AG$33, MATCH(Table2[[#This Row],[HomeTeam]],Sheet5!$A$2:$A$33, 0), MATCH(Table2[[#This Row],[AwayTeam]],Sheet5!$A$2:$A$33, 0))</f>
        <v>1-0-0</v>
      </c>
      <c r="AQ1261" s="2">
        <f>IF(Table2[[#This Row],[GameHasShutOut]], 1, 0)</f>
        <v>0</v>
      </c>
      <c r="AR1261" s="2">
        <f>IF(Table2[[#This Row],[ActualAwayScore]] + Table2[[#This Row],[ActualHomeScore]] &gt;= 10, 1, 0)</f>
        <v>0</v>
      </c>
      <c r="AS1261" s="2">
        <f>IF(ABS(Table2[[#This Row],[ActualAwayScore]]-Table2[[#This Row],[ActualHomeScore]])&gt;=5, 1, 0)</f>
        <v>0</v>
      </c>
      <c r="AT1261" s="2">
        <f>IF(Table2[[#This Row],[ActualAwayScore]] + Table2[[#This Row],[ActualHomeScore]] &lt;= 3, 1, 0)</f>
        <v>1</v>
      </c>
      <c r="AU1261" s="2"/>
      <c r="AV1261" s="2"/>
    </row>
    <row r="1262" spans="1:48" x14ac:dyDescent="0.25">
      <c r="A1262" s="3"/>
      <c r="B1262" s="3">
        <v>46122</v>
      </c>
      <c r="C1262" s="5">
        <v>2025021260</v>
      </c>
      <c r="D1262" s="2" t="s">
        <v>24</v>
      </c>
      <c r="E1262" s="2" t="s">
        <v>27</v>
      </c>
      <c r="F1262" s="2"/>
      <c r="G1262" s="2"/>
      <c r="H1262" s="2" t="str">
        <f t="shared" si="99"/>
        <v>_</v>
      </c>
      <c r="I1262" s="2"/>
      <c r="J1262" s="2"/>
      <c r="K1262" s="2"/>
      <c r="L1262" s="2" t="str">
        <f t="shared" si="100"/>
        <v>_</v>
      </c>
      <c r="M1262" s="2"/>
      <c r="N1262" s="2">
        <f>IF(ISBLANK(Table2[[#This Row],[ActualResult]]), 0, 1)</f>
        <v>0</v>
      </c>
      <c r="O1262" s="2" t="str">
        <f>IF(ISBLANK(Table2[[#This Row],[ActualResult]]), "_", IF(Table2[[#This Row],[ActualWinner]]=Table2[[#This Row],[PredictedWinner]], "Y", "N"))</f>
        <v>_</v>
      </c>
      <c r="P12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2" s="2"/>
      <c r="S1262" s="2" t="str">
        <f t="shared" si="101"/>
        <v>_</v>
      </c>
      <c r="T12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2" s="2">
        <f>IF(Table2[[#This Row],[InterConf]]=1,IF(Table2[[#This Row],[InterDiv]]=0, 1, 0), 0)</f>
        <v>0</v>
      </c>
      <c r="W12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2" s="2"/>
      <c r="Y1262" s="2"/>
      <c r="Z1262" s="145">
        <f>IF(AND(Table2[[#This Row],[GameIsOver]]=1,Table2[[#This Row],[ActualHomeScore]]*Table2[[#This Row],[ActualAwayScore]]=0), 1,0)</f>
        <v>0</v>
      </c>
      <c r="AA12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2" s="2">
        <f>Table2[[#This Row],[ActualAwayScore]]-Table2[[#This Row],[PredictedAwayScore]]</f>
        <v>0</v>
      </c>
      <c r="AG1262" s="2">
        <f>Table2[[#This Row],[ActualHomeScore]]-Table2[[#This Row],[PredictedHomeScore]]</f>
        <v>0</v>
      </c>
      <c r="AH1262" s="2">
        <f t="shared" si="102"/>
        <v>0</v>
      </c>
      <c r="AI1262" s="2">
        <f t="shared" si="103"/>
        <v>0</v>
      </c>
      <c r="AJ1262" s="2"/>
      <c r="AK1262" s="3"/>
      <c r="AL1262" s="2">
        <f>IF(Table2[[#This Row],[GameIsOver]]=0,0,IF(Table2[[#This Row],[ActualWinner]]=Table2[[#This Row],[AwayTeam]], 1, 0))</f>
        <v>0</v>
      </c>
      <c r="AM1262" s="2">
        <f>IF(Table2[[#This Row],[GameIsOver]]=0,0,IF(Table2[[#This Row],[ActualWinner]]=Table2[[#This Row],[HomeTeam]], 1, 0))</f>
        <v>0</v>
      </c>
      <c r="AN1262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62" s="2" t="str">
        <f>INDEX(Sheet5!$B$2:$AG$33, MATCH(Table2[[#This Row],[AwayTeam]],Sheet5!$A$2:$A$33, 0), MATCH(Table2[[#This Row],[HomeTeam]],Sheet5!$A$2:$A$33, 0))</f>
        <v>0-0-0</v>
      </c>
      <c r="AP1262" s="2" t="str">
        <f>INDEX(Sheet5!$B$2:$AG$33, MATCH(Table2[[#This Row],[HomeTeam]],Sheet5!$A$2:$A$33, 0), MATCH(Table2[[#This Row],[AwayTeam]],Sheet5!$A$2:$A$33, 0))</f>
        <v>0-0-0</v>
      </c>
      <c r="AQ1262" s="2">
        <f>IF(Table2[[#This Row],[GameHasShutOut]], 1, 0)</f>
        <v>0</v>
      </c>
      <c r="AR1262" s="2">
        <f>IF(Table2[[#This Row],[ActualAwayScore]] + Table2[[#This Row],[ActualHomeScore]] &gt;= 10, 1, 0)</f>
        <v>0</v>
      </c>
      <c r="AS1262" s="2">
        <f>IF(ABS(Table2[[#This Row],[ActualAwayScore]]-Table2[[#This Row],[ActualHomeScore]])&gt;=5, 1, 0)</f>
        <v>0</v>
      </c>
      <c r="AT1262" s="2">
        <f>IF(Table2[[#This Row],[ActualAwayScore]] + Table2[[#This Row],[ActualHomeScore]] &lt;= 3, 1, 0)</f>
        <v>1</v>
      </c>
      <c r="AU1262" s="2"/>
      <c r="AV1262" s="2"/>
    </row>
    <row r="1263" spans="1:48" x14ac:dyDescent="0.25">
      <c r="A1263" s="3"/>
      <c r="B1263" s="3">
        <v>46123</v>
      </c>
      <c r="C1263" s="5">
        <v>2025021261</v>
      </c>
      <c r="D1263" s="2" t="s">
        <v>40</v>
      </c>
      <c r="E1263" s="2" t="s">
        <v>15</v>
      </c>
      <c r="F1263" s="2"/>
      <c r="G1263" s="2"/>
      <c r="H1263" s="2" t="str">
        <f t="shared" si="99"/>
        <v>_</v>
      </c>
      <c r="I1263" s="2"/>
      <c r="J1263" s="2"/>
      <c r="K1263" s="2"/>
      <c r="L1263" s="2" t="str">
        <f t="shared" si="100"/>
        <v>_</v>
      </c>
      <c r="M1263" s="2"/>
      <c r="N1263" s="2">
        <f>IF(ISBLANK(Table2[[#This Row],[ActualResult]]), 0, 1)</f>
        <v>0</v>
      </c>
      <c r="O1263" s="2" t="str">
        <f>IF(ISBLANK(Table2[[#This Row],[ActualResult]]), "_", IF(Table2[[#This Row],[ActualWinner]]=Table2[[#This Row],[PredictedWinner]], "Y", "N"))</f>
        <v>_</v>
      </c>
      <c r="P12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3" s="2"/>
      <c r="S1263" s="2" t="str">
        <f t="shared" si="101"/>
        <v>_</v>
      </c>
      <c r="T12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3" s="2">
        <f>IF(Table2[[#This Row],[InterConf]]=1,IF(Table2[[#This Row],[InterDiv]]=0, 1, 0), 0)</f>
        <v>0</v>
      </c>
      <c r="W12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3" s="2"/>
      <c r="Y1263" s="2"/>
      <c r="Z1263" s="145">
        <f>IF(AND(Table2[[#This Row],[GameIsOver]]=1,Table2[[#This Row],[ActualHomeScore]]*Table2[[#This Row],[ActualAwayScore]]=0), 1,0)</f>
        <v>0</v>
      </c>
      <c r="AA12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3" s="2">
        <f>Table2[[#This Row],[ActualAwayScore]]-Table2[[#This Row],[PredictedAwayScore]]</f>
        <v>0</v>
      </c>
      <c r="AG1263" s="2">
        <f>Table2[[#This Row],[ActualHomeScore]]-Table2[[#This Row],[PredictedHomeScore]]</f>
        <v>0</v>
      </c>
      <c r="AH1263" s="2">
        <f t="shared" si="102"/>
        <v>0</v>
      </c>
      <c r="AI1263" s="2">
        <f t="shared" si="103"/>
        <v>0</v>
      </c>
      <c r="AJ1263" s="2"/>
      <c r="AK1263" s="3"/>
      <c r="AL1263" s="2">
        <f>IF(Table2[[#This Row],[GameIsOver]]=0,0,IF(Table2[[#This Row],[ActualWinner]]=Table2[[#This Row],[AwayTeam]], 1, 0))</f>
        <v>0</v>
      </c>
      <c r="AM1263" s="2">
        <f>IF(Table2[[#This Row],[GameIsOver]]=0,0,IF(Table2[[#This Row],[ActualWinner]]=Table2[[#This Row],[HomeTeam]], 1, 0))</f>
        <v>0</v>
      </c>
      <c r="AN12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3" s="2" t="str">
        <f>INDEX(Sheet5!$B$2:$AG$33, MATCH(Table2[[#This Row],[AwayTeam]],Sheet5!$A$2:$A$33, 0), MATCH(Table2[[#This Row],[HomeTeam]],Sheet5!$A$2:$A$33, 0))</f>
        <v>1-0-0</v>
      </c>
      <c r="AP1263" s="2" t="str">
        <f>INDEX(Sheet5!$B$2:$AG$33, MATCH(Table2[[#This Row],[HomeTeam]],Sheet5!$A$2:$A$33, 0), MATCH(Table2[[#This Row],[AwayTeam]],Sheet5!$A$2:$A$33, 0))</f>
        <v>0-1-0</v>
      </c>
      <c r="AQ1263" s="2">
        <f>IF(Table2[[#This Row],[GameHasShutOut]], 1, 0)</f>
        <v>0</v>
      </c>
      <c r="AR1263" s="2">
        <f>IF(Table2[[#This Row],[ActualAwayScore]] + Table2[[#This Row],[ActualHomeScore]] &gt;= 10, 1, 0)</f>
        <v>0</v>
      </c>
      <c r="AS1263" s="2">
        <f>IF(ABS(Table2[[#This Row],[ActualAwayScore]]-Table2[[#This Row],[ActualHomeScore]])&gt;=5, 1, 0)</f>
        <v>0</v>
      </c>
      <c r="AT1263" s="2">
        <f>IF(Table2[[#This Row],[ActualAwayScore]] + Table2[[#This Row],[ActualHomeScore]] &lt;= 3, 1, 0)</f>
        <v>1</v>
      </c>
      <c r="AU1263" s="2"/>
      <c r="AV1263" s="2"/>
    </row>
    <row r="1264" spans="1:48" x14ac:dyDescent="0.25">
      <c r="A1264" s="3"/>
      <c r="B1264" s="3">
        <v>46123</v>
      </c>
      <c r="C1264" s="5">
        <v>2025021262</v>
      </c>
      <c r="D1264" s="2" t="s">
        <v>29</v>
      </c>
      <c r="E1264" s="2" t="s">
        <v>32</v>
      </c>
      <c r="F1264" s="2"/>
      <c r="G1264" s="2"/>
      <c r="H1264" s="2" t="str">
        <f t="shared" si="99"/>
        <v>_</v>
      </c>
      <c r="I1264" s="2"/>
      <c r="J1264" s="2"/>
      <c r="K1264" s="2"/>
      <c r="L1264" s="2" t="str">
        <f t="shared" si="100"/>
        <v>_</v>
      </c>
      <c r="M1264" s="2"/>
      <c r="N1264" s="2">
        <f>IF(ISBLANK(Table2[[#This Row],[ActualResult]]), 0, 1)</f>
        <v>0</v>
      </c>
      <c r="O1264" s="2" t="str">
        <f>IF(ISBLANK(Table2[[#This Row],[ActualResult]]), "_", IF(Table2[[#This Row],[ActualWinner]]=Table2[[#This Row],[PredictedWinner]], "Y", "N"))</f>
        <v>_</v>
      </c>
      <c r="P12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4" s="2"/>
      <c r="S1264" s="2" t="str">
        <f t="shared" si="101"/>
        <v>_</v>
      </c>
      <c r="T12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64" s="2">
        <f>IF(Table2[[#This Row],[InterConf]]=1,IF(Table2[[#This Row],[InterDiv]]=0, 1, 0), 0)</f>
        <v>1</v>
      </c>
      <c r="W12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4" s="2"/>
      <c r="Y1264" s="2"/>
      <c r="Z1264" s="145">
        <f>IF(AND(Table2[[#This Row],[GameIsOver]]=1,Table2[[#This Row],[ActualHomeScore]]*Table2[[#This Row],[ActualAwayScore]]=0), 1,0)</f>
        <v>0</v>
      </c>
      <c r="AA12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4" s="2">
        <f>Table2[[#This Row],[ActualAwayScore]]-Table2[[#This Row],[PredictedAwayScore]]</f>
        <v>0</v>
      </c>
      <c r="AG1264" s="2">
        <f>Table2[[#This Row],[ActualHomeScore]]-Table2[[#This Row],[PredictedHomeScore]]</f>
        <v>0</v>
      </c>
      <c r="AH1264" s="2">
        <f t="shared" si="102"/>
        <v>0</v>
      </c>
      <c r="AI1264" s="2">
        <f t="shared" si="103"/>
        <v>0</v>
      </c>
      <c r="AJ1264" s="2"/>
      <c r="AK1264" s="3"/>
      <c r="AL1264" s="2">
        <f>IF(Table2[[#This Row],[GameIsOver]]=0,0,IF(Table2[[#This Row],[ActualWinner]]=Table2[[#This Row],[AwayTeam]], 1, 0))</f>
        <v>0</v>
      </c>
      <c r="AM1264" s="2">
        <f>IF(Table2[[#This Row],[GameIsOver]]=0,0,IF(Table2[[#This Row],[ActualWinner]]=Table2[[#This Row],[HomeTeam]], 1, 0))</f>
        <v>0</v>
      </c>
      <c r="AN12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4" s="2" t="str">
        <f>INDEX(Sheet5!$B$2:$AG$33, MATCH(Table2[[#This Row],[AwayTeam]],Sheet5!$A$2:$A$33, 0), MATCH(Table2[[#This Row],[HomeTeam]],Sheet5!$A$2:$A$33, 0))</f>
        <v>0-1-0</v>
      </c>
      <c r="AP1264" s="2" t="str">
        <f>INDEX(Sheet5!$B$2:$AG$33, MATCH(Table2[[#This Row],[HomeTeam]],Sheet5!$A$2:$A$33, 0), MATCH(Table2[[#This Row],[AwayTeam]],Sheet5!$A$2:$A$33, 0))</f>
        <v>1-0-0</v>
      </c>
      <c r="AQ1264" s="2">
        <f>IF(Table2[[#This Row],[GameHasShutOut]], 1, 0)</f>
        <v>0</v>
      </c>
      <c r="AR1264" s="2">
        <f>IF(Table2[[#This Row],[ActualAwayScore]] + Table2[[#This Row],[ActualHomeScore]] &gt;= 10, 1, 0)</f>
        <v>0</v>
      </c>
      <c r="AS1264" s="2">
        <f>IF(ABS(Table2[[#This Row],[ActualAwayScore]]-Table2[[#This Row],[ActualHomeScore]])&gt;=5, 1, 0)</f>
        <v>0</v>
      </c>
      <c r="AT1264" s="2">
        <f>IF(Table2[[#This Row],[ActualAwayScore]] + Table2[[#This Row],[ActualHomeScore]] &lt;= 3, 1, 0)</f>
        <v>1</v>
      </c>
      <c r="AU1264" s="2"/>
      <c r="AV1264" s="2"/>
    </row>
    <row r="1265" spans="1:48" x14ac:dyDescent="0.25">
      <c r="A1265" s="3"/>
      <c r="B1265" s="3">
        <v>46123</v>
      </c>
      <c r="C1265" s="5">
        <v>2025021263</v>
      </c>
      <c r="D1265" s="2" t="s">
        <v>43</v>
      </c>
      <c r="E1265" s="2" t="s">
        <v>20</v>
      </c>
      <c r="F1265" s="2"/>
      <c r="G1265" s="2"/>
      <c r="H1265" s="2" t="str">
        <f t="shared" si="99"/>
        <v>_</v>
      </c>
      <c r="I1265" s="2"/>
      <c r="J1265" s="2"/>
      <c r="K1265" s="2"/>
      <c r="L1265" s="2" t="str">
        <f t="shared" si="100"/>
        <v>_</v>
      </c>
      <c r="M1265" s="2"/>
      <c r="N1265" s="2">
        <f>IF(ISBLANK(Table2[[#This Row],[ActualResult]]), 0, 1)</f>
        <v>0</v>
      </c>
      <c r="O1265" s="2" t="str">
        <f>IF(ISBLANK(Table2[[#This Row],[ActualResult]]), "_", IF(Table2[[#This Row],[ActualWinner]]=Table2[[#This Row],[PredictedWinner]], "Y", "N"))</f>
        <v>_</v>
      </c>
      <c r="P12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5" s="2"/>
      <c r="S1265" s="2" t="str">
        <f t="shared" si="101"/>
        <v>_</v>
      </c>
      <c r="T12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5" s="2">
        <f>IF(Table2[[#This Row],[InterConf]]=1,IF(Table2[[#This Row],[InterDiv]]=0, 1, 0), 0)</f>
        <v>0</v>
      </c>
      <c r="W12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5" s="2"/>
      <c r="Y1265" s="2"/>
      <c r="Z1265" s="145">
        <f>IF(AND(Table2[[#This Row],[GameIsOver]]=1,Table2[[#This Row],[ActualHomeScore]]*Table2[[#This Row],[ActualAwayScore]]=0), 1,0)</f>
        <v>0</v>
      </c>
      <c r="AA12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5" s="2">
        <f>Table2[[#This Row],[ActualAwayScore]]-Table2[[#This Row],[PredictedAwayScore]]</f>
        <v>0</v>
      </c>
      <c r="AG1265" s="2">
        <f>Table2[[#This Row],[ActualHomeScore]]-Table2[[#This Row],[PredictedHomeScore]]</f>
        <v>0</v>
      </c>
      <c r="AH1265" s="2">
        <f t="shared" si="102"/>
        <v>0</v>
      </c>
      <c r="AI1265" s="2">
        <f t="shared" si="103"/>
        <v>0</v>
      </c>
      <c r="AJ1265" s="2"/>
      <c r="AK1265" s="3"/>
      <c r="AL1265" s="2">
        <f>IF(Table2[[#This Row],[GameIsOver]]=0,0,IF(Table2[[#This Row],[ActualWinner]]=Table2[[#This Row],[AwayTeam]], 1, 0))</f>
        <v>0</v>
      </c>
      <c r="AM1265" s="2">
        <f>IF(Table2[[#This Row],[GameIsOver]]=0,0,IF(Table2[[#This Row],[ActualWinner]]=Table2[[#This Row],[HomeTeam]], 1, 0))</f>
        <v>0</v>
      </c>
      <c r="AN12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5" s="2" t="str">
        <f>INDEX(Sheet5!$B$2:$AG$33, MATCH(Table2[[#This Row],[AwayTeam]],Sheet5!$A$2:$A$33, 0), MATCH(Table2[[#This Row],[HomeTeam]],Sheet5!$A$2:$A$33, 0))</f>
        <v>0-0-0</v>
      </c>
      <c r="AP1265" s="2" t="str">
        <f>INDEX(Sheet5!$B$2:$AG$33, MATCH(Table2[[#This Row],[HomeTeam]],Sheet5!$A$2:$A$33, 0), MATCH(Table2[[#This Row],[AwayTeam]],Sheet5!$A$2:$A$33, 0))</f>
        <v>0-0-0</v>
      </c>
      <c r="AQ1265" s="2">
        <f>IF(Table2[[#This Row],[GameHasShutOut]], 1, 0)</f>
        <v>0</v>
      </c>
      <c r="AR1265" s="2">
        <f>IF(Table2[[#This Row],[ActualAwayScore]] + Table2[[#This Row],[ActualHomeScore]] &gt;= 10, 1, 0)</f>
        <v>0</v>
      </c>
      <c r="AS1265" s="2">
        <f>IF(ABS(Table2[[#This Row],[ActualAwayScore]]-Table2[[#This Row],[ActualHomeScore]])&gt;=5, 1, 0)</f>
        <v>0</v>
      </c>
      <c r="AT1265" s="2">
        <f>IF(Table2[[#This Row],[ActualAwayScore]] + Table2[[#This Row],[ActualHomeScore]] &lt;= 3, 1, 0)</f>
        <v>1</v>
      </c>
      <c r="AU1265" s="2"/>
      <c r="AV1265" s="2"/>
    </row>
    <row r="1266" spans="1:48" x14ac:dyDescent="0.25">
      <c r="A1266" s="3"/>
      <c r="B1266" s="3">
        <v>46123</v>
      </c>
      <c r="C1266" s="5">
        <v>2025021264</v>
      </c>
      <c r="D1266" s="2" t="s">
        <v>22</v>
      </c>
      <c r="E1266" s="2" t="s">
        <v>27</v>
      </c>
      <c r="F1266" s="2"/>
      <c r="G1266" s="2"/>
      <c r="H1266" s="2" t="str">
        <f t="shared" si="99"/>
        <v>_</v>
      </c>
      <c r="I1266" s="2"/>
      <c r="J1266" s="2"/>
      <c r="K1266" s="2"/>
      <c r="L1266" s="2" t="str">
        <f t="shared" si="100"/>
        <v>_</v>
      </c>
      <c r="M1266" s="2"/>
      <c r="N1266" s="2">
        <f>IF(ISBLANK(Table2[[#This Row],[ActualResult]]), 0, 1)</f>
        <v>0</v>
      </c>
      <c r="O1266" s="2" t="str">
        <f>IF(ISBLANK(Table2[[#This Row],[ActualResult]]), "_", IF(Table2[[#This Row],[ActualWinner]]=Table2[[#This Row],[PredictedWinner]], "Y", "N"))</f>
        <v>_</v>
      </c>
      <c r="P12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6" s="2"/>
      <c r="S1266" s="2" t="str">
        <f t="shared" si="101"/>
        <v>_</v>
      </c>
      <c r="T12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6" s="2">
        <f>IF(Table2[[#This Row],[InterConf]]=1,IF(Table2[[#This Row],[InterDiv]]=0, 1, 0), 0)</f>
        <v>0</v>
      </c>
      <c r="W12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6" s="2"/>
      <c r="Y1266" s="2"/>
      <c r="Z1266" s="145">
        <f>IF(AND(Table2[[#This Row],[GameIsOver]]=1,Table2[[#This Row],[ActualHomeScore]]*Table2[[#This Row],[ActualAwayScore]]=0), 1,0)</f>
        <v>0</v>
      </c>
      <c r="AA12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6" s="2">
        <f>Table2[[#This Row],[ActualAwayScore]]-Table2[[#This Row],[PredictedAwayScore]]</f>
        <v>0</v>
      </c>
      <c r="AG1266" s="2">
        <f>Table2[[#This Row],[ActualHomeScore]]-Table2[[#This Row],[PredictedHomeScore]]</f>
        <v>0</v>
      </c>
      <c r="AH1266" s="2">
        <f t="shared" si="102"/>
        <v>0</v>
      </c>
      <c r="AI1266" s="2">
        <f t="shared" si="103"/>
        <v>0</v>
      </c>
      <c r="AJ1266" s="2"/>
      <c r="AK1266" s="3"/>
      <c r="AL1266" s="2">
        <f>IF(Table2[[#This Row],[GameIsOver]]=0,0,IF(Table2[[#This Row],[ActualWinner]]=Table2[[#This Row],[AwayTeam]], 1, 0))</f>
        <v>0</v>
      </c>
      <c r="AM1266" s="2">
        <f>IF(Table2[[#This Row],[GameIsOver]]=0,0,IF(Table2[[#This Row],[ActualWinner]]=Table2[[#This Row],[HomeTeam]], 1, 0))</f>
        <v>0</v>
      </c>
      <c r="AN1266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66" s="2" t="str">
        <f>INDEX(Sheet5!$B$2:$AG$33, MATCH(Table2[[#This Row],[AwayTeam]],Sheet5!$A$2:$A$33, 0), MATCH(Table2[[#This Row],[HomeTeam]],Sheet5!$A$2:$A$33, 0))</f>
        <v>0-0-0</v>
      </c>
      <c r="AP1266" s="2" t="str">
        <f>INDEX(Sheet5!$B$2:$AG$33, MATCH(Table2[[#This Row],[HomeTeam]],Sheet5!$A$2:$A$33, 0), MATCH(Table2[[#This Row],[AwayTeam]],Sheet5!$A$2:$A$33, 0))</f>
        <v>0-0-0</v>
      </c>
      <c r="AQ1266" s="2">
        <f>IF(Table2[[#This Row],[GameHasShutOut]], 1, 0)</f>
        <v>0</v>
      </c>
      <c r="AR1266" s="2">
        <f>IF(Table2[[#This Row],[ActualAwayScore]] + Table2[[#This Row],[ActualHomeScore]] &gt;= 10, 1, 0)</f>
        <v>0</v>
      </c>
      <c r="AS1266" s="2">
        <f>IF(ABS(Table2[[#This Row],[ActualAwayScore]]-Table2[[#This Row],[ActualHomeScore]])&gt;=5, 1, 0)</f>
        <v>0</v>
      </c>
      <c r="AT1266" s="2">
        <f>IF(Table2[[#This Row],[ActualAwayScore]] + Table2[[#This Row],[ActualHomeScore]] &lt;= 3, 1, 0)</f>
        <v>1</v>
      </c>
      <c r="AU1266" s="2"/>
      <c r="AV1266" s="2"/>
    </row>
    <row r="1267" spans="1:48" x14ac:dyDescent="0.25">
      <c r="A1267" s="3"/>
      <c r="B1267" s="3">
        <v>46123</v>
      </c>
      <c r="C1267" s="5">
        <v>2025021265</v>
      </c>
      <c r="D1267" s="2" t="s">
        <v>31</v>
      </c>
      <c r="E1267" s="2" t="s">
        <v>30</v>
      </c>
      <c r="F1267" s="2"/>
      <c r="G1267" s="2"/>
      <c r="H1267" s="2" t="str">
        <f t="shared" si="99"/>
        <v>_</v>
      </c>
      <c r="I1267" s="2"/>
      <c r="J1267" s="2"/>
      <c r="K1267" s="2"/>
      <c r="L1267" s="2" t="str">
        <f t="shared" si="100"/>
        <v>_</v>
      </c>
      <c r="M1267" s="2"/>
      <c r="N1267" s="2">
        <f>IF(ISBLANK(Table2[[#This Row],[ActualResult]]), 0, 1)</f>
        <v>0</v>
      </c>
      <c r="O1267" s="2" t="str">
        <f>IF(ISBLANK(Table2[[#This Row],[ActualResult]]), "_", IF(Table2[[#This Row],[ActualWinner]]=Table2[[#This Row],[PredictedWinner]], "Y", "N"))</f>
        <v>_</v>
      </c>
      <c r="P12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7" s="2"/>
      <c r="S1267" s="2" t="str">
        <f t="shared" si="101"/>
        <v>_</v>
      </c>
      <c r="T12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67" s="2">
        <f>IF(Table2[[#This Row],[InterConf]]=1,IF(Table2[[#This Row],[InterDiv]]=0, 1, 0), 0)</f>
        <v>1</v>
      </c>
      <c r="W12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7" s="2"/>
      <c r="Y1267" s="2"/>
      <c r="Z1267" s="145">
        <f>IF(AND(Table2[[#This Row],[GameIsOver]]=1,Table2[[#This Row],[ActualHomeScore]]*Table2[[#This Row],[ActualAwayScore]]=0), 1,0)</f>
        <v>0</v>
      </c>
      <c r="AA12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7" s="2">
        <f>Table2[[#This Row],[ActualAwayScore]]-Table2[[#This Row],[PredictedAwayScore]]</f>
        <v>0</v>
      </c>
      <c r="AG1267" s="2">
        <f>Table2[[#This Row],[ActualHomeScore]]-Table2[[#This Row],[PredictedHomeScore]]</f>
        <v>0</v>
      </c>
      <c r="AH1267" s="2">
        <f t="shared" si="102"/>
        <v>0</v>
      </c>
      <c r="AI1267" s="2">
        <f t="shared" si="103"/>
        <v>0</v>
      </c>
      <c r="AJ1267" s="2"/>
      <c r="AK1267" s="3"/>
      <c r="AL1267" s="2">
        <f>IF(Table2[[#This Row],[GameIsOver]]=0,0,IF(Table2[[#This Row],[ActualWinner]]=Table2[[#This Row],[AwayTeam]], 1, 0))</f>
        <v>0</v>
      </c>
      <c r="AM1267" s="2">
        <f>IF(Table2[[#This Row],[GameIsOver]]=0,0,IF(Table2[[#This Row],[ActualWinner]]=Table2[[#This Row],[HomeTeam]], 1, 0))</f>
        <v>0</v>
      </c>
      <c r="AN12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7" s="2" t="str">
        <f>INDEX(Sheet5!$B$2:$AG$33, MATCH(Table2[[#This Row],[AwayTeam]],Sheet5!$A$2:$A$33, 0), MATCH(Table2[[#This Row],[HomeTeam]],Sheet5!$A$2:$A$33, 0))</f>
        <v>0-0-0</v>
      </c>
      <c r="AP1267" s="2" t="str">
        <f>INDEX(Sheet5!$B$2:$AG$33, MATCH(Table2[[#This Row],[HomeTeam]],Sheet5!$A$2:$A$33, 0), MATCH(Table2[[#This Row],[AwayTeam]],Sheet5!$A$2:$A$33, 0))</f>
        <v>0-0-0</v>
      </c>
      <c r="AQ1267" s="2">
        <f>IF(Table2[[#This Row],[GameHasShutOut]], 1, 0)</f>
        <v>0</v>
      </c>
      <c r="AR1267" s="2">
        <f>IF(Table2[[#This Row],[ActualAwayScore]] + Table2[[#This Row],[ActualHomeScore]] &gt;= 10, 1, 0)</f>
        <v>0</v>
      </c>
      <c r="AS1267" s="2">
        <f>IF(ABS(Table2[[#This Row],[ActualAwayScore]]-Table2[[#This Row],[ActualHomeScore]])&gt;=5, 1, 0)</f>
        <v>0</v>
      </c>
      <c r="AT1267" s="2">
        <f>IF(Table2[[#This Row],[ActualAwayScore]] + Table2[[#This Row],[ActualHomeScore]] &lt;= 3, 1, 0)</f>
        <v>1</v>
      </c>
      <c r="AU1267" s="2"/>
      <c r="AV1267" s="2"/>
    </row>
    <row r="1268" spans="1:48" x14ac:dyDescent="0.25">
      <c r="A1268" s="3"/>
      <c r="B1268" s="3">
        <v>46123</v>
      </c>
      <c r="C1268" s="5">
        <v>2025021266</v>
      </c>
      <c r="D1268" s="2" t="s">
        <v>12</v>
      </c>
      <c r="E1268" s="2" t="s">
        <v>16</v>
      </c>
      <c r="F1268" s="2"/>
      <c r="G1268" s="2"/>
      <c r="H1268" s="2" t="str">
        <f t="shared" si="99"/>
        <v>_</v>
      </c>
      <c r="I1268" s="2"/>
      <c r="J1268" s="2"/>
      <c r="K1268" s="2"/>
      <c r="L1268" s="2" t="str">
        <f t="shared" si="100"/>
        <v>_</v>
      </c>
      <c r="M1268" s="2"/>
      <c r="N1268" s="2">
        <f>IF(ISBLANK(Table2[[#This Row],[ActualResult]]), 0, 1)</f>
        <v>0</v>
      </c>
      <c r="O1268" s="2" t="str">
        <f>IF(ISBLANK(Table2[[#This Row],[ActualResult]]), "_", IF(Table2[[#This Row],[ActualWinner]]=Table2[[#This Row],[PredictedWinner]], "Y", "N"))</f>
        <v>_</v>
      </c>
      <c r="P12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8" s="2"/>
      <c r="S1268" s="2" t="str">
        <f t="shared" si="101"/>
        <v>_</v>
      </c>
      <c r="T12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8" s="2">
        <f>IF(Table2[[#This Row],[InterConf]]=1,IF(Table2[[#This Row],[InterDiv]]=0, 1, 0), 0)</f>
        <v>0</v>
      </c>
      <c r="W12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8" s="2"/>
      <c r="Y1268" s="2"/>
      <c r="Z1268" s="145">
        <f>IF(AND(Table2[[#This Row],[GameIsOver]]=1,Table2[[#This Row],[ActualHomeScore]]*Table2[[#This Row],[ActualAwayScore]]=0), 1,0)</f>
        <v>0</v>
      </c>
      <c r="AA12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8" s="2">
        <f>Table2[[#This Row],[ActualAwayScore]]-Table2[[#This Row],[PredictedAwayScore]]</f>
        <v>0</v>
      </c>
      <c r="AG1268" s="2">
        <f>Table2[[#This Row],[ActualHomeScore]]-Table2[[#This Row],[PredictedHomeScore]]</f>
        <v>0</v>
      </c>
      <c r="AH1268" s="2">
        <f t="shared" si="102"/>
        <v>0</v>
      </c>
      <c r="AI1268" s="2">
        <f t="shared" si="103"/>
        <v>0</v>
      </c>
      <c r="AJ1268" s="2"/>
      <c r="AK1268" s="3"/>
      <c r="AL1268" s="2">
        <f>IF(Table2[[#This Row],[GameIsOver]]=0,0,IF(Table2[[#This Row],[ActualWinner]]=Table2[[#This Row],[AwayTeam]], 1, 0))</f>
        <v>0</v>
      </c>
      <c r="AM1268" s="2">
        <f>IF(Table2[[#This Row],[GameIsOver]]=0,0,IF(Table2[[#This Row],[ActualWinner]]=Table2[[#This Row],[HomeTeam]], 1, 0))</f>
        <v>0</v>
      </c>
      <c r="AN12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8" s="2" t="str">
        <f>INDEX(Sheet5!$B$2:$AG$33, MATCH(Table2[[#This Row],[AwayTeam]],Sheet5!$A$2:$A$33, 0), MATCH(Table2[[#This Row],[HomeTeam]],Sheet5!$A$2:$A$33, 0))</f>
        <v>0-1-0</v>
      </c>
      <c r="AP1268" s="2" t="str">
        <f>INDEX(Sheet5!$B$2:$AG$33, MATCH(Table2[[#This Row],[HomeTeam]],Sheet5!$A$2:$A$33, 0), MATCH(Table2[[#This Row],[AwayTeam]],Sheet5!$A$2:$A$33, 0))</f>
        <v>1-0-0</v>
      </c>
      <c r="AQ1268" s="2">
        <f>IF(Table2[[#This Row],[GameHasShutOut]], 1, 0)</f>
        <v>0</v>
      </c>
      <c r="AR1268" s="2">
        <f>IF(Table2[[#This Row],[ActualAwayScore]] + Table2[[#This Row],[ActualHomeScore]] &gt;= 10, 1, 0)</f>
        <v>0</v>
      </c>
      <c r="AS1268" s="2">
        <f>IF(ABS(Table2[[#This Row],[ActualAwayScore]]-Table2[[#This Row],[ActualHomeScore]])&gt;=5, 1, 0)</f>
        <v>0</v>
      </c>
      <c r="AT1268" s="2">
        <f>IF(Table2[[#This Row],[ActualAwayScore]] + Table2[[#This Row],[ActualHomeScore]] &lt;= 3, 1, 0)</f>
        <v>1</v>
      </c>
      <c r="AU1268" s="2"/>
      <c r="AV1268" s="2"/>
    </row>
    <row r="1269" spans="1:48" x14ac:dyDescent="0.25">
      <c r="A1269" s="3"/>
      <c r="B1269" s="3">
        <v>46123</v>
      </c>
      <c r="C1269" s="5">
        <v>2025021267</v>
      </c>
      <c r="D1269" s="2" t="s">
        <v>36</v>
      </c>
      <c r="E1269" s="2" t="s">
        <v>34</v>
      </c>
      <c r="F1269" s="2"/>
      <c r="G1269" s="2"/>
      <c r="H1269" s="2" t="str">
        <f t="shared" si="99"/>
        <v>_</v>
      </c>
      <c r="I1269" s="2"/>
      <c r="J1269" s="2"/>
      <c r="K1269" s="2"/>
      <c r="L1269" s="2" t="str">
        <f t="shared" si="100"/>
        <v>_</v>
      </c>
      <c r="M1269" s="2"/>
      <c r="N1269" s="2">
        <f>IF(ISBLANK(Table2[[#This Row],[ActualResult]]), 0, 1)</f>
        <v>0</v>
      </c>
      <c r="O1269" s="2" t="str">
        <f>IF(ISBLANK(Table2[[#This Row],[ActualResult]]), "_", IF(Table2[[#This Row],[ActualWinner]]=Table2[[#This Row],[PredictedWinner]], "Y", "N"))</f>
        <v>_</v>
      </c>
      <c r="P12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9" s="2"/>
      <c r="S1269" s="2" t="str">
        <f t="shared" si="101"/>
        <v>_</v>
      </c>
      <c r="T12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9" s="2">
        <f>IF(Table2[[#This Row],[InterConf]]=1,IF(Table2[[#This Row],[InterDiv]]=0, 1, 0), 0)</f>
        <v>0</v>
      </c>
      <c r="W12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9" s="2"/>
      <c r="Y1269" s="2"/>
      <c r="Z1269" s="145">
        <f>IF(AND(Table2[[#This Row],[GameIsOver]]=1,Table2[[#This Row],[ActualHomeScore]]*Table2[[#This Row],[ActualAwayScore]]=0), 1,0)</f>
        <v>0</v>
      </c>
      <c r="AA12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9" s="2">
        <f>Table2[[#This Row],[ActualAwayScore]]-Table2[[#This Row],[PredictedAwayScore]]</f>
        <v>0</v>
      </c>
      <c r="AG1269" s="2">
        <f>Table2[[#This Row],[ActualHomeScore]]-Table2[[#This Row],[PredictedHomeScore]]</f>
        <v>0</v>
      </c>
      <c r="AH1269" s="2">
        <f t="shared" si="102"/>
        <v>0</v>
      </c>
      <c r="AI1269" s="2">
        <f t="shared" si="103"/>
        <v>0</v>
      </c>
      <c r="AJ1269" s="2"/>
      <c r="AK1269" s="3"/>
      <c r="AL1269" s="2">
        <f>IF(Table2[[#This Row],[GameIsOver]]=0,0,IF(Table2[[#This Row],[ActualWinner]]=Table2[[#This Row],[AwayTeam]], 1, 0))</f>
        <v>0</v>
      </c>
      <c r="AM1269" s="2">
        <f>IF(Table2[[#This Row],[GameIsOver]]=0,0,IF(Table2[[#This Row],[ActualWinner]]=Table2[[#This Row],[HomeTeam]], 1, 0))</f>
        <v>0</v>
      </c>
      <c r="AN12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9" s="2" t="str">
        <f>INDEX(Sheet5!$B$2:$AG$33, MATCH(Table2[[#This Row],[AwayTeam]],Sheet5!$A$2:$A$33, 0), MATCH(Table2[[#This Row],[HomeTeam]],Sheet5!$A$2:$A$33, 0))</f>
        <v>0-0-0</v>
      </c>
      <c r="AP1269" s="2" t="str">
        <f>INDEX(Sheet5!$B$2:$AG$33, MATCH(Table2[[#This Row],[HomeTeam]],Sheet5!$A$2:$A$33, 0), MATCH(Table2[[#This Row],[AwayTeam]],Sheet5!$A$2:$A$33, 0))</f>
        <v>0-0-0</v>
      </c>
      <c r="AQ1269" s="2">
        <f>IF(Table2[[#This Row],[GameHasShutOut]], 1, 0)</f>
        <v>0</v>
      </c>
      <c r="AR1269" s="2">
        <f>IF(Table2[[#This Row],[ActualAwayScore]] + Table2[[#This Row],[ActualHomeScore]] &gt;= 10, 1, 0)</f>
        <v>0</v>
      </c>
      <c r="AS1269" s="2">
        <f>IF(ABS(Table2[[#This Row],[ActualAwayScore]]-Table2[[#This Row],[ActualHomeScore]])&gt;=5, 1, 0)</f>
        <v>0</v>
      </c>
      <c r="AT1269" s="2">
        <f>IF(Table2[[#This Row],[ActualAwayScore]] + Table2[[#This Row],[ActualHomeScore]] &lt;= 3, 1, 0)</f>
        <v>1</v>
      </c>
      <c r="AU1269" s="2"/>
      <c r="AV1269" s="2"/>
    </row>
    <row r="1270" spans="1:48" x14ac:dyDescent="0.25">
      <c r="A1270" s="3"/>
      <c r="B1270" s="3">
        <v>46123</v>
      </c>
      <c r="C1270" s="5">
        <v>2025021268</v>
      </c>
      <c r="D1270" s="2" t="s">
        <v>19</v>
      </c>
      <c r="E1270" s="2" t="s">
        <v>33</v>
      </c>
      <c r="F1270" s="2"/>
      <c r="G1270" s="2"/>
      <c r="H1270" s="2" t="str">
        <f t="shared" si="99"/>
        <v>_</v>
      </c>
      <c r="I1270" s="2"/>
      <c r="J1270" s="2"/>
      <c r="K1270" s="2"/>
      <c r="L1270" s="2" t="str">
        <f t="shared" si="100"/>
        <v>_</v>
      </c>
      <c r="M1270" s="2"/>
      <c r="N1270" s="2">
        <f>IF(ISBLANK(Table2[[#This Row],[ActualResult]]), 0, 1)</f>
        <v>0</v>
      </c>
      <c r="O1270" s="2" t="str">
        <f>IF(ISBLANK(Table2[[#This Row],[ActualResult]]), "_", IF(Table2[[#This Row],[ActualWinner]]=Table2[[#This Row],[PredictedWinner]], "Y", "N"))</f>
        <v>_</v>
      </c>
      <c r="P12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0" s="2"/>
      <c r="S1270" s="2" t="str">
        <f t="shared" si="101"/>
        <v>_</v>
      </c>
      <c r="T12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0" s="2">
        <f>IF(Table2[[#This Row],[InterConf]]=1,IF(Table2[[#This Row],[InterDiv]]=0, 1, 0), 0)</f>
        <v>0</v>
      </c>
      <c r="W12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70" s="2"/>
      <c r="Y1270" s="2"/>
      <c r="Z1270" s="145">
        <f>IF(AND(Table2[[#This Row],[GameIsOver]]=1,Table2[[#This Row],[ActualHomeScore]]*Table2[[#This Row],[ActualAwayScore]]=0), 1,0)</f>
        <v>0</v>
      </c>
      <c r="AA12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0" s="2">
        <f>Table2[[#This Row],[ActualAwayScore]]-Table2[[#This Row],[PredictedAwayScore]]</f>
        <v>0</v>
      </c>
      <c r="AG1270" s="2">
        <f>Table2[[#This Row],[ActualHomeScore]]-Table2[[#This Row],[PredictedHomeScore]]</f>
        <v>0</v>
      </c>
      <c r="AH1270" s="2">
        <f t="shared" si="102"/>
        <v>0</v>
      </c>
      <c r="AI1270" s="2">
        <f t="shared" si="103"/>
        <v>0</v>
      </c>
      <c r="AJ1270" s="2"/>
      <c r="AK1270" s="3"/>
      <c r="AL1270" s="2">
        <f>IF(Table2[[#This Row],[GameIsOver]]=0,0,IF(Table2[[#This Row],[ActualWinner]]=Table2[[#This Row],[AwayTeam]], 1, 0))</f>
        <v>0</v>
      </c>
      <c r="AM1270" s="2">
        <f>IF(Table2[[#This Row],[GameIsOver]]=0,0,IF(Table2[[#This Row],[ActualWinner]]=Table2[[#This Row],[HomeTeam]], 1, 0))</f>
        <v>0</v>
      </c>
      <c r="AN12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0" s="2" t="str">
        <f>INDEX(Sheet5!$B$2:$AG$33, MATCH(Table2[[#This Row],[AwayTeam]],Sheet5!$A$2:$A$33, 0), MATCH(Table2[[#This Row],[HomeTeam]],Sheet5!$A$2:$A$33, 0))</f>
        <v>0-0-0</v>
      </c>
      <c r="AP1270" s="2" t="str">
        <f>INDEX(Sheet5!$B$2:$AG$33, MATCH(Table2[[#This Row],[HomeTeam]],Sheet5!$A$2:$A$33, 0), MATCH(Table2[[#This Row],[AwayTeam]],Sheet5!$A$2:$A$33, 0))</f>
        <v>0-0-0</v>
      </c>
      <c r="AQ1270" s="2">
        <f>IF(Table2[[#This Row],[GameHasShutOut]], 1, 0)</f>
        <v>0</v>
      </c>
      <c r="AR1270" s="2">
        <f>IF(Table2[[#This Row],[ActualAwayScore]] + Table2[[#This Row],[ActualHomeScore]] &gt;= 10, 1, 0)</f>
        <v>0</v>
      </c>
      <c r="AS1270" s="2">
        <f>IF(ABS(Table2[[#This Row],[ActualAwayScore]]-Table2[[#This Row],[ActualHomeScore]])&gt;=5, 1, 0)</f>
        <v>0</v>
      </c>
      <c r="AT1270" s="2">
        <f>IF(Table2[[#This Row],[ActualAwayScore]] + Table2[[#This Row],[ActualHomeScore]] &lt;= 3, 1, 0)</f>
        <v>1</v>
      </c>
      <c r="AU1270" s="2"/>
      <c r="AV1270" s="2"/>
    </row>
    <row r="1271" spans="1:48" x14ac:dyDescent="0.25">
      <c r="A1271" s="3"/>
      <c r="B1271" s="3">
        <v>46123</v>
      </c>
      <c r="C1271" s="5">
        <v>2025021269</v>
      </c>
      <c r="D1271" s="2" t="s">
        <v>41</v>
      </c>
      <c r="E1271" s="2" t="s">
        <v>14</v>
      </c>
      <c r="F1271" s="2"/>
      <c r="G1271" s="2"/>
      <c r="H1271" s="2" t="str">
        <f t="shared" si="99"/>
        <v>_</v>
      </c>
      <c r="I1271" s="2"/>
      <c r="J1271" s="2"/>
      <c r="K1271" s="2"/>
      <c r="L1271" s="2" t="str">
        <f t="shared" si="100"/>
        <v>_</v>
      </c>
      <c r="M1271" s="2"/>
      <c r="N1271" s="2">
        <f>IF(ISBLANK(Table2[[#This Row],[ActualResult]]), 0, 1)</f>
        <v>0</v>
      </c>
      <c r="O1271" s="2" t="str">
        <f>IF(ISBLANK(Table2[[#This Row],[ActualResult]]), "_", IF(Table2[[#This Row],[ActualWinner]]=Table2[[#This Row],[PredictedWinner]], "Y", "N"))</f>
        <v>_</v>
      </c>
      <c r="P12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1" s="2"/>
      <c r="S1271" s="2" t="str">
        <f t="shared" si="101"/>
        <v>_</v>
      </c>
      <c r="T12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1" s="2">
        <f>IF(Table2[[#This Row],[InterConf]]=1,IF(Table2[[#This Row],[InterDiv]]=0, 1, 0), 0)</f>
        <v>0</v>
      </c>
      <c r="W12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71" s="2"/>
      <c r="Y1271" s="2"/>
      <c r="Z1271" s="145">
        <f>IF(AND(Table2[[#This Row],[GameIsOver]]=1,Table2[[#This Row],[ActualHomeScore]]*Table2[[#This Row],[ActualAwayScore]]=0), 1,0)</f>
        <v>0</v>
      </c>
      <c r="AA12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1" s="2">
        <f>Table2[[#This Row],[ActualAwayScore]]-Table2[[#This Row],[PredictedAwayScore]]</f>
        <v>0</v>
      </c>
      <c r="AG1271" s="2">
        <f>Table2[[#This Row],[ActualHomeScore]]-Table2[[#This Row],[PredictedHomeScore]]</f>
        <v>0</v>
      </c>
      <c r="AH1271" s="2">
        <f t="shared" si="102"/>
        <v>0</v>
      </c>
      <c r="AI1271" s="2">
        <f t="shared" si="103"/>
        <v>0</v>
      </c>
      <c r="AJ1271" s="2"/>
      <c r="AK1271" s="3"/>
      <c r="AL1271" s="2">
        <f>IF(Table2[[#This Row],[GameIsOver]]=0,0,IF(Table2[[#This Row],[ActualWinner]]=Table2[[#This Row],[AwayTeam]], 1, 0))</f>
        <v>0</v>
      </c>
      <c r="AM1271" s="2">
        <f>IF(Table2[[#This Row],[GameIsOver]]=0,0,IF(Table2[[#This Row],[ActualWinner]]=Table2[[#This Row],[HomeTeam]], 1, 0))</f>
        <v>0</v>
      </c>
      <c r="AN12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1" s="2" t="str">
        <f>INDEX(Sheet5!$B$2:$AG$33, MATCH(Table2[[#This Row],[AwayTeam]],Sheet5!$A$2:$A$33, 0), MATCH(Table2[[#This Row],[HomeTeam]],Sheet5!$A$2:$A$33, 0))</f>
        <v>0-0-0</v>
      </c>
      <c r="AP1271" s="2" t="str">
        <f>INDEX(Sheet5!$B$2:$AG$33, MATCH(Table2[[#This Row],[HomeTeam]],Sheet5!$A$2:$A$33, 0), MATCH(Table2[[#This Row],[AwayTeam]],Sheet5!$A$2:$A$33, 0))</f>
        <v>0-0-0</v>
      </c>
      <c r="AQ1271" s="2">
        <f>IF(Table2[[#This Row],[GameHasShutOut]], 1, 0)</f>
        <v>0</v>
      </c>
      <c r="AR1271" s="2">
        <f>IF(Table2[[#This Row],[ActualAwayScore]] + Table2[[#This Row],[ActualHomeScore]] &gt;= 10, 1, 0)</f>
        <v>0</v>
      </c>
      <c r="AS1271" s="2">
        <f>IF(ABS(Table2[[#This Row],[ActualAwayScore]]-Table2[[#This Row],[ActualHomeScore]])&gt;=5, 1, 0)</f>
        <v>0</v>
      </c>
      <c r="AT1271" s="2">
        <f>IF(Table2[[#This Row],[ActualAwayScore]] + Table2[[#This Row],[ActualHomeScore]] &lt;= 3, 1, 0)</f>
        <v>1</v>
      </c>
      <c r="AU1271" s="2"/>
      <c r="AV1271" s="2"/>
    </row>
    <row r="1272" spans="1:48" x14ac:dyDescent="0.25">
      <c r="A1272" s="3"/>
      <c r="B1272" s="3">
        <v>46123</v>
      </c>
      <c r="C1272" s="5">
        <v>2025021270</v>
      </c>
      <c r="D1272" s="2" t="s">
        <v>13</v>
      </c>
      <c r="E1272" s="2" t="s">
        <v>17</v>
      </c>
      <c r="F1272" s="2"/>
      <c r="G1272" s="2"/>
      <c r="H1272" s="2" t="str">
        <f t="shared" si="99"/>
        <v>_</v>
      </c>
      <c r="I1272" s="2"/>
      <c r="J1272" s="2"/>
      <c r="K1272" s="2"/>
      <c r="L1272" s="2" t="str">
        <f t="shared" si="100"/>
        <v>_</v>
      </c>
      <c r="M1272" s="2"/>
      <c r="N1272" s="2">
        <f>IF(ISBLANK(Table2[[#This Row],[ActualResult]]), 0, 1)</f>
        <v>0</v>
      </c>
      <c r="O1272" s="2" t="str">
        <f>IF(ISBLANK(Table2[[#This Row],[ActualResult]]), "_", IF(Table2[[#This Row],[ActualWinner]]=Table2[[#This Row],[PredictedWinner]], "Y", "N"))</f>
        <v>_</v>
      </c>
      <c r="P12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2" s="2"/>
      <c r="S1272" s="2" t="str">
        <f t="shared" si="101"/>
        <v>_</v>
      </c>
      <c r="T12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2" s="2">
        <f>IF(Table2[[#This Row],[InterConf]]=1,IF(Table2[[#This Row],[InterDiv]]=0, 1, 0), 0)</f>
        <v>0</v>
      </c>
      <c r="W12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2" s="2"/>
      <c r="Y1272" s="2"/>
      <c r="Z1272" s="145">
        <f>IF(AND(Table2[[#This Row],[GameIsOver]]=1,Table2[[#This Row],[ActualHomeScore]]*Table2[[#This Row],[ActualAwayScore]]=0), 1,0)</f>
        <v>0</v>
      </c>
      <c r="AA12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2" s="2">
        <f>Table2[[#This Row],[ActualAwayScore]]-Table2[[#This Row],[PredictedAwayScore]]</f>
        <v>0</v>
      </c>
      <c r="AG1272" s="2">
        <f>Table2[[#This Row],[ActualHomeScore]]-Table2[[#This Row],[PredictedHomeScore]]</f>
        <v>0</v>
      </c>
      <c r="AH1272" s="2">
        <f t="shared" si="102"/>
        <v>0</v>
      </c>
      <c r="AI1272" s="2">
        <f t="shared" si="103"/>
        <v>0</v>
      </c>
      <c r="AJ1272" s="2"/>
      <c r="AK1272" s="3"/>
      <c r="AL1272" s="2">
        <f>IF(Table2[[#This Row],[GameIsOver]]=0,0,IF(Table2[[#This Row],[ActualWinner]]=Table2[[#This Row],[AwayTeam]], 1, 0))</f>
        <v>0</v>
      </c>
      <c r="AM1272" s="2">
        <f>IF(Table2[[#This Row],[GameIsOver]]=0,0,IF(Table2[[#This Row],[ActualWinner]]=Table2[[#This Row],[HomeTeam]], 1, 0))</f>
        <v>0</v>
      </c>
      <c r="AN12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2" s="2" t="str">
        <f>INDEX(Sheet5!$B$2:$AG$33, MATCH(Table2[[#This Row],[AwayTeam]],Sheet5!$A$2:$A$33, 0), MATCH(Table2[[#This Row],[HomeTeam]],Sheet5!$A$2:$A$33, 0))</f>
        <v>0-0-0</v>
      </c>
      <c r="AP1272" s="2" t="str">
        <f>INDEX(Sheet5!$B$2:$AG$33, MATCH(Table2[[#This Row],[HomeTeam]],Sheet5!$A$2:$A$33, 0), MATCH(Table2[[#This Row],[AwayTeam]],Sheet5!$A$2:$A$33, 0))</f>
        <v>0-0-0</v>
      </c>
      <c r="AQ1272" s="2">
        <f>IF(Table2[[#This Row],[GameHasShutOut]], 1, 0)</f>
        <v>0</v>
      </c>
      <c r="AR1272" s="2">
        <f>IF(Table2[[#This Row],[ActualAwayScore]] + Table2[[#This Row],[ActualHomeScore]] &gt;= 10, 1, 0)</f>
        <v>0</v>
      </c>
      <c r="AS1272" s="2">
        <f>IF(ABS(Table2[[#This Row],[ActualAwayScore]]-Table2[[#This Row],[ActualHomeScore]])&gt;=5, 1, 0)</f>
        <v>0</v>
      </c>
      <c r="AT1272" s="2">
        <f>IF(Table2[[#This Row],[ActualAwayScore]] + Table2[[#This Row],[ActualHomeScore]] &lt;= 3, 1, 0)</f>
        <v>1</v>
      </c>
      <c r="AU1272" s="2"/>
      <c r="AV1272" s="2"/>
    </row>
    <row r="1273" spans="1:48" x14ac:dyDescent="0.25">
      <c r="A1273" s="3"/>
      <c r="B1273" s="3">
        <v>46123</v>
      </c>
      <c r="C1273" s="5">
        <v>2025021271</v>
      </c>
      <c r="D1273" s="2" t="s">
        <v>35</v>
      </c>
      <c r="E1273" s="2" t="s">
        <v>18</v>
      </c>
      <c r="F1273" s="2"/>
      <c r="G1273" s="2"/>
      <c r="H1273" s="2" t="str">
        <f t="shared" si="99"/>
        <v>_</v>
      </c>
      <c r="I1273" s="2"/>
      <c r="J1273" s="2"/>
      <c r="K1273" s="2"/>
      <c r="L1273" s="2" t="str">
        <f t="shared" si="100"/>
        <v>_</v>
      </c>
      <c r="M1273" s="2"/>
      <c r="N1273" s="2">
        <f>IF(ISBLANK(Table2[[#This Row],[ActualResult]]), 0, 1)</f>
        <v>0</v>
      </c>
      <c r="O1273" s="2" t="str">
        <f>IF(ISBLANK(Table2[[#This Row],[ActualResult]]), "_", IF(Table2[[#This Row],[ActualWinner]]=Table2[[#This Row],[PredictedWinner]], "Y", "N"))</f>
        <v>_</v>
      </c>
      <c r="P12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3" s="2"/>
      <c r="S1273" s="2" t="str">
        <f t="shared" si="101"/>
        <v>_</v>
      </c>
      <c r="T12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3" s="2">
        <f>IF(Table2[[#This Row],[InterConf]]=1,IF(Table2[[#This Row],[InterDiv]]=0, 1, 0), 0)</f>
        <v>1</v>
      </c>
      <c r="W12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3" s="2"/>
      <c r="Y1273" s="2"/>
      <c r="Z1273" s="145">
        <f>IF(AND(Table2[[#This Row],[GameIsOver]]=1,Table2[[#This Row],[ActualHomeScore]]*Table2[[#This Row],[ActualAwayScore]]=0), 1,0)</f>
        <v>0</v>
      </c>
      <c r="AA12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3" s="2">
        <f>Table2[[#This Row],[ActualAwayScore]]-Table2[[#This Row],[PredictedAwayScore]]</f>
        <v>0</v>
      </c>
      <c r="AG1273" s="2">
        <f>Table2[[#This Row],[ActualHomeScore]]-Table2[[#This Row],[PredictedHomeScore]]</f>
        <v>0</v>
      </c>
      <c r="AH1273" s="2">
        <f t="shared" si="102"/>
        <v>0</v>
      </c>
      <c r="AI1273" s="2">
        <f t="shared" si="103"/>
        <v>0</v>
      </c>
      <c r="AJ1273" s="2"/>
      <c r="AK1273" s="3"/>
      <c r="AL1273" s="2">
        <f>IF(Table2[[#This Row],[GameIsOver]]=0,0,IF(Table2[[#This Row],[ActualWinner]]=Table2[[#This Row],[AwayTeam]], 1, 0))</f>
        <v>0</v>
      </c>
      <c r="AM1273" s="2">
        <f>IF(Table2[[#This Row],[GameIsOver]]=0,0,IF(Table2[[#This Row],[ActualWinner]]=Table2[[#This Row],[HomeTeam]], 1, 0))</f>
        <v>0</v>
      </c>
      <c r="AN12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3" s="2" t="str">
        <f>INDEX(Sheet5!$B$2:$AG$33, MATCH(Table2[[#This Row],[AwayTeam]],Sheet5!$A$2:$A$33, 0), MATCH(Table2[[#This Row],[HomeTeam]],Sheet5!$A$2:$A$33, 0))</f>
        <v>0-0-0</v>
      </c>
      <c r="AP1273" s="2" t="str">
        <f>INDEX(Sheet5!$B$2:$AG$33, MATCH(Table2[[#This Row],[HomeTeam]],Sheet5!$A$2:$A$33, 0), MATCH(Table2[[#This Row],[AwayTeam]],Sheet5!$A$2:$A$33, 0))</f>
        <v>0-0-0</v>
      </c>
      <c r="AQ1273" s="2">
        <f>IF(Table2[[#This Row],[GameHasShutOut]], 1, 0)</f>
        <v>0</v>
      </c>
      <c r="AR1273" s="2">
        <f>IF(Table2[[#This Row],[ActualAwayScore]] + Table2[[#This Row],[ActualHomeScore]] &gt;= 10, 1, 0)</f>
        <v>0</v>
      </c>
      <c r="AS1273" s="2">
        <f>IF(ABS(Table2[[#This Row],[ActualAwayScore]]-Table2[[#This Row],[ActualHomeScore]])&gt;=5, 1, 0)</f>
        <v>0</v>
      </c>
      <c r="AT1273" s="2">
        <f>IF(Table2[[#This Row],[ActualAwayScore]] + Table2[[#This Row],[ActualHomeScore]] &lt;= 3, 1, 0)</f>
        <v>1</v>
      </c>
      <c r="AU1273" s="2"/>
      <c r="AV1273" s="2"/>
    </row>
    <row r="1274" spans="1:48" x14ac:dyDescent="0.25">
      <c r="A1274" s="3"/>
      <c r="B1274" s="3">
        <v>46123</v>
      </c>
      <c r="C1274" s="5">
        <v>2025021272</v>
      </c>
      <c r="D1274" s="2" t="s">
        <v>42</v>
      </c>
      <c r="E1274" s="2" t="s">
        <v>21</v>
      </c>
      <c r="F1274" s="2"/>
      <c r="G1274" s="2"/>
      <c r="H1274" s="2" t="str">
        <f t="shared" si="99"/>
        <v>_</v>
      </c>
      <c r="I1274" s="2"/>
      <c r="J1274" s="2"/>
      <c r="K1274" s="2"/>
      <c r="L1274" s="2" t="str">
        <f t="shared" si="100"/>
        <v>_</v>
      </c>
      <c r="M1274" s="2"/>
      <c r="N1274" s="2">
        <f>IF(ISBLANK(Table2[[#This Row],[ActualResult]]), 0, 1)</f>
        <v>0</v>
      </c>
      <c r="O1274" s="2" t="str">
        <f>IF(ISBLANK(Table2[[#This Row],[ActualResult]]), "_", IF(Table2[[#This Row],[ActualWinner]]=Table2[[#This Row],[PredictedWinner]], "Y", "N"))</f>
        <v>_</v>
      </c>
      <c r="P12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4" s="2"/>
      <c r="S1274" s="2" t="str">
        <f t="shared" si="101"/>
        <v>_</v>
      </c>
      <c r="T12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4" s="2">
        <f>IF(Table2[[#This Row],[InterConf]]=1,IF(Table2[[#This Row],[InterDiv]]=0, 1, 0), 0)</f>
        <v>0</v>
      </c>
      <c r="W12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74" s="2"/>
      <c r="Y1274" s="2"/>
      <c r="Z1274" s="145">
        <f>IF(AND(Table2[[#This Row],[GameIsOver]]=1,Table2[[#This Row],[ActualHomeScore]]*Table2[[#This Row],[ActualAwayScore]]=0), 1,0)</f>
        <v>0</v>
      </c>
      <c r="AA12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4" s="2">
        <f>Table2[[#This Row],[ActualAwayScore]]-Table2[[#This Row],[PredictedAwayScore]]</f>
        <v>0</v>
      </c>
      <c r="AG1274" s="2">
        <f>Table2[[#This Row],[ActualHomeScore]]-Table2[[#This Row],[PredictedHomeScore]]</f>
        <v>0</v>
      </c>
      <c r="AH1274" s="2">
        <f t="shared" si="102"/>
        <v>0</v>
      </c>
      <c r="AI1274" s="2">
        <f t="shared" si="103"/>
        <v>0</v>
      </c>
      <c r="AJ1274" s="2"/>
      <c r="AK1274" s="3"/>
      <c r="AL1274" s="2">
        <f>IF(Table2[[#This Row],[GameIsOver]]=0,0,IF(Table2[[#This Row],[ActualWinner]]=Table2[[#This Row],[AwayTeam]], 1, 0))</f>
        <v>0</v>
      </c>
      <c r="AM1274" s="2">
        <f>IF(Table2[[#This Row],[GameIsOver]]=0,0,IF(Table2[[#This Row],[ActualWinner]]=Table2[[#This Row],[HomeTeam]], 1, 0))</f>
        <v>0</v>
      </c>
      <c r="AN12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4" s="2" t="str">
        <f>INDEX(Sheet5!$B$2:$AG$33, MATCH(Table2[[#This Row],[AwayTeam]],Sheet5!$A$2:$A$33, 0), MATCH(Table2[[#This Row],[HomeTeam]],Sheet5!$A$2:$A$33, 0))</f>
        <v>0-1-0</v>
      </c>
      <c r="AP1274" s="2" t="str">
        <f>INDEX(Sheet5!$B$2:$AG$33, MATCH(Table2[[#This Row],[HomeTeam]],Sheet5!$A$2:$A$33, 0), MATCH(Table2[[#This Row],[AwayTeam]],Sheet5!$A$2:$A$33, 0))</f>
        <v>1-0-0</v>
      </c>
      <c r="AQ1274" s="2">
        <f>IF(Table2[[#This Row],[GameHasShutOut]], 1, 0)</f>
        <v>0</v>
      </c>
      <c r="AR1274" s="2">
        <f>IF(Table2[[#This Row],[ActualAwayScore]] + Table2[[#This Row],[ActualHomeScore]] &gt;= 10, 1, 0)</f>
        <v>0</v>
      </c>
      <c r="AS1274" s="2">
        <f>IF(ABS(Table2[[#This Row],[ActualAwayScore]]-Table2[[#This Row],[ActualHomeScore]])&gt;=5, 1, 0)</f>
        <v>0</v>
      </c>
      <c r="AT1274" s="2">
        <f>IF(Table2[[#This Row],[ActualAwayScore]] + Table2[[#This Row],[ActualHomeScore]] &lt;= 3, 1, 0)</f>
        <v>1</v>
      </c>
      <c r="AU1274" s="2"/>
      <c r="AV1274" s="2"/>
    </row>
    <row r="1275" spans="1:48" x14ac:dyDescent="0.25">
      <c r="A1275" s="3"/>
      <c r="B1275" s="3">
        <v>46123</v>
      </c>
      <c r="C1275" s="5">
        <v>2025021273</v>
      </c>
      <c r="D1275" s="2" t="s">
        <v>23</v>
      </c>
      <c r="E1275" s="2" t="s">
        <v>11</v>
      </c>
      <c r="F1275" s="2"/>
      <c r="G1275" s="2"/>
      <c r="H1275" s="2" t="str">
        <f t="shared" si="99"/>
        <v>_</v>
      </c>
      <c r="I1275" s="2"/>
      <c r="J1275" s="2"/>
      <c r="K1275" s="2"/>
      <c r="L1275" s="2" t="str">
        <f t="shared" si="100"/>
        <v>_</v>
      </c>
      <c r="M1275" s="2"/>
      <c r="N1275" s="2">
        <f>IF(ISBLANK(Table2[[#This Row],[ActualResult]]), 0, 1)</f>
        <v>0</v>
      </c>
      <c r="O1275" s="2" t="str">
        <f>IF(ISBLANK(Table2[[#This Row],[ActualResult]]), "_", IF(Table2[[#This Row],[ActualWinner]]=Table2[[#This Row],[PredictedWinner]], "Y", "N"))</f>
        <v>_</v>
      </c>
      <c r="P12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5" s="2"/>
      <c r="S1275" s="2" t="str">
        <f t="shared" si="101"/>
        <v>_</v>
      </c>
      <c r="T12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5" s="2">
        <f>IF(Table2[[#This Row],[InterConf]]=1,IF(Table2[[#This Row],[InterDiv]]=0, 1, 0), 0)</f>
        <v>0</v>
      </c>
      <c r="W12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5" s="2"/>
      <c r="Y1275" s="2"/>
      <c r="Z1275" s="145">
        <f>IF(AND(Table2[[#This Row],[GameIsOver]]=1,Table2[[#This Row],[ActualHomeScore]]*Table2[[#This Row],[ActualAwayScore]]=0), 1,0)</f>
        <v>0</v>
      </c>
      <c r="AA12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5" s="2">
        <f>Table2[[#This Row],[ActualAwayScore]]-Table2[[#This Row],[PredictedAwayScore]]</f>
        <v>0</v>
      </c>
      <c r="AG1275" s="2">
        <f>Table2[[#This Row],[ActualHomeScore]]-Table2[[#This Row],[PredictedHomeScore]]</f>
        <v>0</v>
      </c>
      <c r="AH1275" s="2">
        <f t="shared" si="102"/>
        <v>0</v>
      </c>
      <c r="AI1275" s="2">
        <f t="shared" si="103"/>
        <v>0</v>
      </c>
      <c r="AJ1275" s="2"/>
      <c r="AK1275" s="3"/>
      <c r="AL1275" s="2">
        <f>IF(Table2[[#This Row],[GameIsOver]]=0,0,IF(Table2[[#This Row],[ActualWinner]]=Table2[[#This Row],[AwayTeam]], 1, 0))</f>
        <v>0</v>
      </c>
      <c r="AM1275" s="2">
        <f>IF(Table2[[#This Row],[GameIsOver]]=0,0,IF(Table2[[#This Row],[ActualWinner]]=Table2[[#This Row],[HomeTeam]], 1, 0))</f>
        <v>0</v>
      </c>
      <c r="AN12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5" s="2" t="str">
        <f>INDEX(Sheet5!$B$2:$AG$33, MATCH(Table2[[#This Row],[AwayTeam]],Sheet5!$A$2:$A$33, 0), MATCH(Table2[[#This Row],[HomeTeam]],Sheet5!$A$2:$A$33, 0))</f>
        <v>0-0-0</v>
      </c>
      <c r="AP1275" s="2" t="str">
        <f>INDEX(Sheet5!$B$2:$AG$33, MATCH(Table2[[#This Row],[HomeTeam]],Sheet5!$A$2:$A$33, 0), MATCH(Table2[[#This Row],[AwayTeam]],Sheet5!$A$2:$A$33, 0))</f>
        <v>0-0-0</v>
      </c>
      <c r="AQ1275" s="2">
        <f>IF(Table2[[#This Row],[GameHasShutOut]], 1, 0)</f>
        <v>0</v>
      </c>
      <c r="AR1275" s="2">
        <f>IF(Table2[[#This Row],[ActualAwayScore]] + Table2[[#This Row],[ActualHomeScore]] &gt;= 10, 1, 0)</f>
        <v>0</v>
      </c>
      <c r="AS1275" s="2">
        <f>IF(ABS(Table2[[#This Row],[ActualAwayScore]]-Table2[[#This Row],[ActualHomeScore]])&gt;=5, 1, 0)</f>
        <v>0</v>
      </c>
      <c r="AT1275" s="2">
        <f>IF(Table2[[#This Row],[ActualAwayScore]] + Table2[[#This Row],[ActualHomeScore]] &lt;= 3, 1, 0)</f>
        <v>1</v>
      </c>
      <c r="AU1275" s="2"/>
      <c r="AV1275" s="2"/>
    </row>
    <row r="1276" spans="1:48" x14ac:dyDescent="0.25">
      <c r="A1276" s="3"/>
      <c r="B1276" s="3">
        <v>46124</v>
      </c>
      <c r="C1276" s="5">
        <v>2025021274</v>
      </c>
      <c r="D1276" s="2" t="s">
        <v>26</v>
      </c>
      <c r="E1276" s="2" t="s">
        <v>25</v>
      </c>
      <c r="F1276" s="2"/>
      <c r="G1276" s="2"/>
      <c r="H1276" s="2" t="str">
        <f t="shared" si="99"/>
        <v>_</v>
      </c>
      <c r="I1276" s="2"/>
      <c r="J1276" s="2"/>
      <c r="K1276" s="2"/>
      <c r="L1276" s="2" t="str">
        <f t="shared" si="100"/>
        <v>_</v>
      </c>
      <c r="M1276" s="2"/>
      <c r="N1276" s="2">
        <f>IF(ISBLANK(Table2[[#This Row],[ActualResult]]), 0, 1)</f>
        <v>0</v>
      </c>
      <c r="O1276" s="2" t="str">
        <f>IF(ISBLANK(Table2[[#This Row],[ActualResult]]), "_", IF(Table2[[#This Row],[ActualWinner]]=Table2[[#This Row],[PredictedWinner]], "Y", "N"))</f>
        <v>_</v>
      </c>
      <c r="P12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6" s="2"/>
      <c r="S1276" s="2" t="str">
        <f t="shared" si="101"/>
        <v>_</v>
      </c>
      <c r="T12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6" s="2">
        <f>IF(Table2[[#This Row],[InterConf]]=1,IF(Table2[[#This Row],[InterDiv]]=0, 1, 0), 0)</f>
        <v>1</v>
      </c>
      <c r="W12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6" s="2"/>
      <c r="Y1276" s="2"/>
      <c r="Z1276" s="145">
        <f>IF(AND(Table2[[#This Row],[GameIsOver]]=1,Table2[[#This Row],[ActualHomeScore]]*Table2[[#This Row],[ActualAwayScore]]=0), 1,0)</f>
        <v>0</v>
      </c>
      <c r="AA12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6" s="2">
        <f>Table2[[#This Row],[ActualAwayScore]]-Table2[[#This Row],[PredictedAwayScore]]</f>
        <v>0</v>
      </c>
      <c r="AG1276" s="2">
        <f>Table2[[#This Row],[ActualHomeScore]]-Table2[[#This Row],[PredictedHomeScore]]</f>
        <v>0</v>
      </c>
      <c r="AH1276" s="2">
        <f t="shared" si="102"/>
        <v>0</v>
      </c>
      <c r="AI1276" s="2">
        <f t="shared" si="103"/>
        <v>0</v>
      </c>
      <c r="AJ1276" s="2"/>
      <c r="AK1276" s="3"/>
      <c r="AL1276" s="2">
        <f>IF(Table2[[#This Row],[GameIsOver]]=0,0,IF(Table2[[#This Row],[ActualWinner]]=Table2[[#This Row],[AwayTeam]], 1, 0))</f>
        <v>0</v>
      </c>
      <c r="AM1276" s="2">
        <f>IF(Table2[[#This Row],[GameIsOver]]=0,0,IF(Table2[[#This Row],[ActualWinner]]=Table2[[#This Row],[HomeTeam]], 1, 0))</f>
        <v>0</v>
      </c>
      <c r="AN12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6" s="2" t="str">
        <f>INDEX(Sheet5!$B$2:$AG$33, MATCH(Table2[[#This Row],[AwayTeam]],Sheet5!$A$2:$A$33, 0), MATCH(Table2[[#This Row],[HomeTeam]],Sheet5!$A$2:$A$33, 0))</f>
        <v>0-0-0</v>
      </c>
      <c r="AP1276" s="2" t="str">
        <f>INDEX(Sheet5!$B$2:$AG$33, MATCH(Table2[[#This Row],[HomeTeam]],Sheet5!$A$2:$A$33, 0), MATCH(Table2[[#This Row],[AwayTeam]],Sheet5!$A$2:$A$33, 0))</f>
        <v>0-0-0</v>
      </c>
      <c r="AQ1276" s="2">
        <f>IF(Table2[[#This Row],[GameHasShutOut]], 1, 0)</f>
        <v>0</v>
      </c>
      <c r="AR1276" s="2">
        <f>IF(Table2[[#This Row],[ActualAwayScore]] + Table2[[#This Row],[ActualHomeScore]] &gt;= 10, 1, 0)</f>
        <v>0</v>
      </c>
      <c r="AS1276" s="2">
        <f>IF(ABS(Table2[[#This Row],[ActualAwayScore]]-Table2[[#This Row],[ActualHomeScore]])&gt;=5, 1, 0)</f>
        <v>0</v>
      </c>
      <c r="AT1276" s="2">
        <f>IF(Table2[[#This Row],[ActualAwayScore]] + Table2[[#This Row],[ActualHomeScore]] &lt;= 3, 1, 0)</f>
        <v>1</v>
      </c>
      <c r="AU1276" s="2"/>
      <c r="AV1276" s="2"/>
    </row>
    <row r="1277" spans="1:48" x14ac:dyDescent="0.25">
      <c r="A1277" s="3"/>
      <c r="B1277" s="3">
        <v>46124</v>
      </c>
      <c r="C1277" s="5">
        <v>2025021275</v>
      </c>
      <c r="D1277" s="2" t="s">
        <v>24</v>
      </c>
      <c r="E1277" s="2" t="s">
        <v>37</v>
      </c>
      <c r="F1277" s="2"/>
      <c r="G1277" s="2"/>
      <c r="H1277" s="2" t="str">
        <f t="shared" si="99"/>
        <v>_</v>
      </c>
      <c r="I1277" s="2"/>
      <c r="J1277" s="2"/>
      <c r="K1277" s="2"/>
      <c r="L1277" s="2" t="str">
        <f t="shared" si="100"/>
        <v>_</v>
      </c>
      <c r="M1277" s="2"/>
      <c r="N1277" s="2">
        <f>IF(ISBLANK(Table2[[#This Row],[ActualResult]]), 0, 1)</f>
        <v>0</v>
      </c>
      <c r="O1277" s="2" t="str">
        <f>IF(ISBLANK(Table2[[#This Row],[ActualResult]]), "_", IF(Table2[[#This Row],[ActualWinner]]=Table2[[#This Row],[PredictedWinner]], "Y", "N"))</f>
        <v>_</v>
      </c>
      <c r="P12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7" s="2"/>
      <c r="S1277" s="2" t="str">
        <f t="shared" si="101"/>
        <v>_</v>
      </c>
      <c r="T12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7" s="2">
        <f>IF(Table2[[#This Row],[InterConf]]=1,IF(Table2[[#This Row],[InterDiv]]=0, 1, 0), 0)</f>
        <v>0</v>
      </c>
      <c r="W12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7" s="2"/>
      <c r="Y1277" s="2"/>
      <c r="Z1277" s="145">
        <f>IF(AND(Table2[[#This Row],[GameIsOver]]=1,Table2[[#This Row],[ActualHomeScore]]*Table2[[#This Row],[ActualAwayScore]]=0), 1,0)</f>
        <v>0</v>
      </c>
      <c r="AA12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7" s="2">
        <f>Table2[[#This Row],[ActualAwayScore]]-Table2[[#This Row],[PredictedAwayScore]]</f>
        <v>0</v>
      </c>
      <c r="AG1277" s="2">
        <f>Table2[[#This Row],[ActualHomeScore]]-Table2[[#This Row],[PredictedHomeScore]]</f>
        <v>0</v>
      </c>
      <c r="AH1277" s="2">
        <f t="shared" si="102"/>
        <v>0</v>
      </c>
      <c r="AI1277" s="2">
        <f t="shared" si="103"/>
        <v>0</v>
      </c>
      <c r="AJ1277" s="2"/>
      <c r="AK1277" s="3"/>
      <c r="AL1277" s="2">
        <f>IF(Table2[[#This Row],[GameIsOver]]=0,0,IF(Table2[[#This Row],[ActualWinner]]=Table2[[#This Row],[AwayTeam]], 1, 0))</f>
        <v>0</v>
      </c>
      <c r="AM1277" s="2">
        <f>IF(Table2[[#This Row],[GameIsOver]]=0,0,IF(Table2[[#This Row],[ActualWinner]]=Table2[[#This Row],[HomeTeam]], 1, 0))</f>
        <v>0</v>
      </c>
      <c r="AN12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7" s="2" t="str">
        <f>INDEX(Sheet5!$B$2:$AG$33, MATCH(Table2[[#This Row],[AwayTeam]],Sheet5!$A$2:$A$33, 0), MATCH(Table2[[#This Row],[HomeTeam]],Sheet5!$A$2:$A$33, 0))</f>
        <v>0-0-0</v>
      </c>
      <c r="AP1277" s="2" t="str">
        <f>INDEX(Sheet5!$B$2:$AG$33, MATCH(Table2[[#This Row],[HomeTeam]],Sheet5!$A$2:$A$33, 0), MATCH(Table2[[#This Row],[AwayTeam]],Sheet5!$A$2:$A$33, 0))</f>
        <v>0-0-0</v>
      </c>
      <c r="AQ1277" s="2">
        <f>IF(Table2[[#This Row],[GameHasShutOut]], 1, 0)</f>
        <v>0</v>
      </c>
      <c r="AR1277" s="2">
        <f>IF(Table2[[#This Row],[ActualAwayScore]] + Table2[[#This Row],[ActualHomeScore]] &gt;= 10, 1, 0)</f>
        <v>0</v>
      </c>
      <c r="AS1277" s="2">
        <f>IF(ABS(Table2[[#This Row],[ActualAwayScore]]-Table2[[#This Row],[ActualHomeScore]])&gt;=5, 1, 0)</f>
        <v>0</v>
      </c>
      <c r="AT1277" s="2">
        <f>IF(Table2[[#This Row],[ActualAwayScore]] + Table2[[#This Row],[ActualHomeScore]] &lt;= 3, 1, 0)</f>
        <v>1</v>
      </c>
      <c r="AU1277" s="2"/>
      <c r="AV1277" s="2"/>
    </row>
    <row r="1278" spans="1:48" x14ac:dyDescent="0.25">
      <c r="A1278" s="3"/>
      <c r="B1278" s="3">
        <v>46124</v>
      </c>
      <c r="C1278" s="5">
        <v>2025021276</v>
      </c>
      <c r="D1278" s="2" t="s">
        <v>20</v>
      </c>
      <c r="E1278" s="2" t="s">
        <v>43</v>
      </c>
      <c r="F1278" s="2"/>
      <c r="G1278" s="2"/>
      <c r="H1278" s="2" t="str">
        <f t="shared" si="99"/>
        <v>_</v>
      </c>
      <c r="I1278" s="2"/>
      <c r="J1278" s="2"/>
      <c r="K1278" s="2"/>
      <c r="L1278" s="2" t="str">
        <f t="shared" si="100"/>
        <v>_</v>
      </c>
      <c r="M1278" s="2"/>
      <c r="N1278" s="2">
        <f>IF(ISBLANK(Table2[[#This Row],[ActualResult]]), 0, 1)</f>
        <v>0</v>
      </c>
      <c r="O1278" s="2" t="str">
        <f>IF(ISBLANK(Table2[[#This Row],[ActualResult]]), "_", IF(Table2[[#This Row],[ActualWinner]]=Table2[[#This Row],[PredictedWinner]], "Y", "N"))</f>
        <v>_</v>
      </c>
      <c r="P12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8" s="2"/>
      <c r="S1278" s="2" t="str">
        <f t="shared" si="101"/>
        <v>_</v>
      </c>
      <c r="T12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8" s="2">
        <f>IF(Table2[[#This Row],[InterConf]]=1,IF(Table2[[#This Row],[InterDiv]]=0, 1, 0), 0)</f>
        <v>0</v>
      </c>
      <c r="W12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8" s="2"/>
      <c r="Y1278" s="2"/>
      <c r="Z1278" s="145">
        <f>IF(AND(Table2[[#This Row],[GameIsOver]]=1,Table2[[#This Row],[ActualHomeScore]]*Table2[[#This Row],[ActualAwayScore]]=0), 1,0)</f>
        <v>0</v>
      </c>
      <c r="AA12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8" s="2">
        <f>Table2[[#This Row],[ActualAwayScore]]-Table2[[#This Row],[PredictedAwayScore]]</f>
        <v>0</v>
      </c>
      <c r="AG1278" s="2">
        <f>Table2[[#This Row],[ActualHomeScore]]-Table2[[#This Row],[PredictedHomeScore]]</f>
        <v>0</v>
      </c>
      <c r="AH1278" s="2">
        <f t="shared" si="102"/>
        <v>0</v>
      </c>
      <c r="AI1278" s="2">
        <f t="shared" si="103"/>
        <v>0</v>
      </c>
      <c r="AJ1278" s="2"/>
      <c r="AK1278" s="3"/>
      <c r="AL1278" s="2">
        <f>IF(Table2[[#This Row],[GameIsOver]]=0,0,IF(Table2[[#This Row],[ActualWinner]]=Table2[[#This Row],[AwayTeam]], 1, 0))</f>
        <v>0</v>
      </c>
      <c r="AM1278" s="2">
        <f>IF(Table2[[#This Row],[GameIsOver]]=0,0,IF(Table2[[#This Row],[ActualWinner]]=Table2[[#This Row],[HomeTeam]], 1, 0))</f>
        <v>0</v>
      </c>
      <c r="AN12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8" s="2" t="str">
        <f>INDEX(Sheet5!$B$2:$AG$33, MATCH(Table2[[#This Row],[AwayTeam]],Sheet5!$A$2:$A$33, 0), MATCH(Table2[[#This Row],[HomeTeam]],Sheet5!$A$2:$A$33, 0))</f>
        <v>0-0-0</v>
      </c>
      <c r="AP1278" s="2" t="str">
        <f>INDEX(Sheet5!$B$2:$AG$33, MATCH(Table2[[#This Row],[HomeTeam]],Sheet5!$A$2:$A$33, 0), MATCH(Table2[[#This Row],[AwayTeam]],Sheet5!$A$2:$A$33, 0))</f>
        <v>0-0-0</v>
      </c>
      <c r="AQ1278" s="2">
        <f>IF(Table2[[#This Row],[GameHasShutOut]], 1, 0)</f>
        <v>0</v>
      </c>
      <c r="AR1278" s="2">
        <f>IF(Table2[[#This Row],[ActualAwayScore]] + Table2[[#This Row],[ActualHomeScore]] &gt;= 10, 1, 0)</f>
        <v>0</v>
      </c>
      <c r="AS1278" s="2">
        <f>IF(ABS(Table2[[#This Row],[ActualAwayScore]]-Table2[[#This Row],[ActualHomeScore]])&gt;=5, 1, 0)</f>
        <v>0</v>
      </c>
      <c r="AT1278" s="2">
        <f>IF(Table2[[#This Row],[ActualAwayScore]] + Table2[[#This Row],[ActualHomeScore]] &lt;= 3, 1, 0)</f>
        <v>1</v>
      </c>
      <c r="AU1278" s="2"/>
      <c r="AV1278" s="2"/>
    </row>
    <row r="1279" spans="1:48" x14ac:dyDescent="0.25">
      <c r="A1279" s="3"/>
      <c r="B1279" s="3">
        <v>46124</v>
      </c>
      <c r="C1279" s="5">
        <v>2025021277</v>
      </c>
      <c r="D1279" s="2" t="s">
        <v>18</v>
      </c>
      <c r="E1279" s="2" t="s">
        <v>32</v>
      </c>
      <c r="F1279" s="2"/>
      <c r="G1279" s="2"/>
      <c r="H1279" s="2" t="str">
        <f t="shared" si="99"/>
        <v>_</v>
      </c>
      <c r="I1279" s="2"/>
      <c r="J1279" s="2"/>
      <c r="K1279" s="2"/>
      <c r="L1279" s="2" t="str">
        <f t="shared" si="100"/>
        <v>_</v>
      </c>
      <c r="M1279" s="2"/>
      <c r="N1279" s="2">
        <f>IF(ISBLANK(Table2[[#This Row],[ActualResult]]), 0, 1)</f>
        <v>0</v>
      </c>
      <c r="O1279" s="2" t="str">
        <f>IF(ISBLANK(Table2[[#This Row],[ActualResult]]), "_", IF(Table2[[#This Row],[ActualWinner]]=Table2[[#This Row],[PredictedWinner]], "Y", "N"))</f>
        <v>_</v>
      </c>
      <c r="P12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9" s="2"/>
      <c r="S1279" s="2" t="str">
        <f t="shared" si="101"/>
        <v>_</v>
      </c>
      <c r="T12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9" s="2">
        <f>IF(Table2[[#This Row],[InterConf]]=1,IF(Table2[[#This Row],[InterDiv]]=0, 1, 0), 0)</f>
        <v>1</v>
      </c>
      <c r="W12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9" s="2"/>
      <c r="Y1279" s="2"/>
      <c r="Z1279" s="145">
        <f>IF(AND(Table2[[#This Row],[GameIsOver]]=1,Table2[[#This Row],[ActualHomeScore]]*Table2[[#This Row],[ActualAwayScore]]=0), 1,0)</f>
        <v>0</v>
      </c>
      <c r="AA12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9" s="2">
        <f>Table2[[#This Row],[ActualAwayScore]]-Table2[[#This Row],[PredictedAwayScore]]</f>
        <v>0</v>
      </c>
      <c r="AG1279" s="2">
        <f>Table2[[#This Row],[ActualHomeScore]]-Table2[[#This Row],[PredictedHomeScore]]</f>
        <v>0</v>
      </c>
      <c r="AH1279" s="2">
        <f t="shared" si="102"/>
        <v>0</v>
      </c>
      <c r="AI1279" s="2">
        <f t="shared" si="103"/>
        <v>0</v>
      </c>
      <c r="AJ1279" s="2"/>
      <c r="AK1279" s="3"/>
      <c r="AL1279" s="2">
        <f>IF(Table2[[#This Row],[GameIsOver]]=0,0,IF(Table2[[#This Row],[ActualWinner]]=Table2[[#This Row],[AwayTeam]], 1, 0))</f>
        <v>0</v>
      </c>
      <c r="AM1279" s="2">
        <f>IF(Table2[[#This Row],[GameIsOver]]=0,0,IF(Table2[[#This Row],[ActualWinner]]=Table2[[#This Row],[HomeTeam]], 1, 0))</f>
        <v>0</v>
      </c>
      <c r="AN12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9" s="2" t="str">
        <f>INDEX(Sheet5!$B$2:$AG$33, MATCH(Table2[[#This Row],[AwayTeam]],Sheet5!$A$2:$A$33, 0), MATCH(Table2[[#This Row],[HomeTeam]],Sheet5!$A$2:$A$33, 0))</f>
        <v>0-0-0</v>
      </c>
      <c r="AP1279" s="2" t="str">
        <f>INDEX(Sheet5!$B$2:$AG$33, MATCH(Table2[[#This Row],[HomeTeam]],Sheet5!$A$2:$A$33, 0), MATCH(Table2[[#This Row],[AwayTeam]],Sheet5!$A$2:$A$33, 0))</f>
        <v>0-0-0</v>
      </c>
      <c r="AQ1279" s="2">
        <f>IF(Table2[[#This Row],[GameHasShutOut]], 1, 0)</f>
        <v>0</v>
      </c>
      <c r="AR1279" s="2">
        <f>IF(Table2[[#This Row],[ActualAwayScore]] + Table2[[#This Row],[ActualHomeScore]] &gt;= 10, 1, 0)</f>
        <v>0</v>
      </c>
      <c r="AS1279" s="2">
        <f>IF(ABS(Table2[[#This Row],[ActualAwayScore]]-Table2[[#This Row],[ActualHomeScore]])&gt;=5, 1, 0)</f>
        <v>0</v>
      </c>
      <c r="AT1279" s="2">
        <f>IF(Table2[[#This Row],[ActualAwayScore]] + Table2[[#This Row],[ActualHomeScore]] &lt;= 3, 1, 0)</f>
        <v>1</v>
      </c>
      <c r="AU1279" s="2"/>
      <c r="AV1279" s="2"/>
    </row>
    <row r="1280" spans="1:48" x14ac:dyDescent="0.25">
      <c r="A1280" s="3"/>
      <c r="B1280" s="3">
        <v>46124</v>
      </c>
      <c r="C1280" s="5">
        <v>2025021278</v>
      </c>
      <c r="D1280" s="2" t="s">
        <v>15</v>
      </c>
      <c r="E1280" s="2" t="s">
        <v>35</v>
      </c>
      <c r="F1280" s="2"/>
      <c r="G1280" s="2"/>
      <c r="H1280" s="2" t="str">
        <f t="shared" si="99"/>
        <v>_</v>
      </c>
      <c r="I1280" s="2"/>
      <c r="J1280" s="2"/>
      <c r="K1280" s="2"/>
      <c r="L1280" s="2" t="str">
        <f t="shared" si="100"/>
        <v>_</v>
      </c>
      <c r="M1280" s="2"/>
      <c r="N1280" s="2">
        <f>IF(ISBLANK(Table2[[#This Row],[ActualResult]]), 0, 1)</f>
        <v>0</v>
      </c>
      <c r="O1280" s="2" t="str">
        <f>IF(ISBLANK(Table2[[#This Row],[ActualResult]]), "_", IF(Table2[[#This Row],[ActualWinner]]=Table2[[#This Row],[PredictedWinner]], "Y", "N"))</f>
        <v>_</v>
      </c>
      <c r="P12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0" s="2"/>
      <c r="S1280" s="2" t="str">
        <f t="shared" si="101"/>
        <v>_</v>
      </c>
      <c r="T12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0" s="2">
        <f>IF(Table2[[#This Row],[InterConf]]=1,IF(Table2[[#This Row],[InterDiv]]=0, 1, 0), 0)</f>
        <v>1</v>
      </c>
      <c r="W12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0" s="2"/>
      <c r="Y1280" s="2"/>
      <c r="Z1280" s="145">
        <f>IF(AND(Table2[[#This Row],[GameIsOver]]=1,Table2[[#This Row],[ActualHomeScore]]*Table2[[#This Row],[ActualAwayScore]]=0), 1,0)</f>
        <v>0</v>
      </c>
      <c r="AA12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80" s="2">
        <f>Table2[[#This Row],[ActualAwayScore]]-Table2[[#This Row],[PredictedAwayScore]]</f>
        <v>0</v>
      </c>
      <c r="AG1280" s="2">
        <f>Table2[[#This Row],[ActualHomeScore]]-Table2[[#This Row],[PredictedHomeScore]]</f>
        <v>0</v>
      </c>
      <c r="AH1280" s="2">
        <f t="shared" si="102"/>
        <v>0</v>
      </c>
      <c r="AI1280" s="2">
        <f t="shared" si="103"/>
        <v>0</v>
      </c>
      <c r="AJ1280" s="2"/>
      <c r="AK1280" s="3"/>
      <c r="AL1280" s="2">
        <f>IF(Table2[[#This Row],[GameIsOver]]=0,0,IF(Table2[[#This Row],[ActualWinner]]=Table2[[#This Row],[AwayTeam]], 1, 0))</f>
        <v>0</v>
      </c>
      <c r="AM1280" s="2">
        <f>IF(Table2[[#This Row],[GameIsOver]]=0,0,IF(Table2[[#This Row],[ActualWinner]]=Table2[[#This Row],[HomeTeam]], 1, 0))</f>
        <v>0</v>
      </c>
      <c r="AN12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0" s="2" t="str">
        <f>INDEX(Sheet5!$B$2:$AG$33, MATCH(Table2[[#This Row],[AwayTeam]],Sheet5!$A$2:$A$33, 0), MATCH(Table2[[#This Row],[HomeTeam]],Sheet5!$A$2:$A$33, 0))</f>
        <v>0-0-0</v>
      </c>
      <c r="AP1280" s="2" t="str">
        <f>INDEX(Sheet5!$B$2:$AG$33, MATCH(Table2[[#This Row],[HomeTeam]],Sheet5!$A$2:$A$33, 0), MATCH(Table2[[#This Row],[AwayTeam]],Sheet5!$A$2:$A$33, 0))</f>
        <v>0-0-0</v>
      </c>
      <c r="AQ1280" s="2">
        <f>IF(Table2[[#This Row],[GameHasShutOut]], 1, 0)</f>
        <v>0</v>
      </c>
      <c r="AR1280" s="2">
        <f>IF(Table2[[#This Row],[ActualAwayScore]] + Table2[[#This Row],[ActualHomeScore]] &gt;= 10, 1, 0)</f>
        <v>0</v>
      </c>
      <c r="AS1280" s="2">
        <f>IF(ABS(Table2[[#This Row],[ActualAwayScore]]-Table2[[#This Row],[ActualHomeScore]])&gt;=5, 1, 0)</f>
        <v>0</v>
      </c>
      <c r="AT1280" s="2">
        <f>IF(Table2[[#This Row],[ActualAwayScore]] + Table2[[#This Row],[ActualHomeScore]] &lt;= 3, 1, 0)</f>
        <v>1</v>
      </c>
      <c r="AU1280" s="2"/>
      <c r="AV1280" s="2"/>
    </row>
    <row r="1281" spans="1:48" x14ac:dyDescent="0.25">
      <c r="A1281" s="3"/>
      <c r="B1281" s="3">
        <v>46124</v>
      </c>
      <c r="C1281" s="5">
        <v>2025021279</v>
      </c>
      <c r="D1281" s="2" t="s">
        <v>29</v>
      </c>
      <c r="E1281" s="2" t="s">
        <v>31</v>
      </c>
      <c r="F1281" s="2"/>
      <c r="G1281" s="2"/>
      <c r="H1281" s="2" t="str">
        <f t="shared" si="99"/>
        <v>_</v>
      </c>
      <c r="I1281" s="2"/>
      <c r="J1281" s="2"/>
      <c r="K1281" s="2"/>
      <c r="L1281" s="2" t="str">
        <f t="shared" si="100"/>
        <v>_</v>
      </c>
      <c r="M1281" s="2"/>
      <c r="N1281" s="2">
        <f>IF(ISBLANK(Table2[[#This Row],[ActualResult]]), 0, 1)</f>
        <v>0</v>
      </c>
      <c r="O1281" s="2" t="str">
        <f>IF(ISBLANK(Table2[[#This Row],[ActualResult]]), "_", IF(Table2[[#This Row],[ActualWinner]]=Table2[[#This Row],[PredictedWinner]], "Y", "N"))</f>
        <v>_</v>
      </c>
      <c r="P12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1" s="2"/>
      <c r="S1281" s="2" t="str">
        <f t="shared" si="101"/>
        <v>_</v>
      </c>
      <c r="T12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1" s="2">
        <f>IF(Table2[[#This Row],[InterConf]]=1,IF(Table2[[#This Row],[InterDiv]]=0, 1, 0), 0)</f>
        <v>1</v>
      </c>
      <c r="W12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1" s="2"/>
      <c r="Y1281" s="2"/>
      <c r="Z1281" s="145">
        <f>IF(AND(Table2[[#This Row],[GameIsOver]]=1,Table2[[#This Row],[ActualHomeScore]]*Table2[[#This Row],[ActualAwayScore]]=0), 1,0)</f>
        <v>0</v>
      </c>
      <c r="AA12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81" s="2">
        <f>Table2[[#This Row],[ActualAwayScore]]-Table2[[#This Row],[PredictedAwayScore]]</f>
        <v>0</v>
      </c>
      <c r="AG1281" s="2">
        <f>Table2[[#This Row],[ActualHomeScore]]-Table2[[#This Row],[PredictedHomeScore]]</f>
        <v>0</v>
      </c>
      <c r="AH1281" s="2">
        <f t="shared" si="102"/>
        <v>0</v>
      </c>
      <c r="AI1281" s="2">
        <f t="shared" si="103"/>
        <v>0</v>
      </c>
      <c r="AJ1281" s="2"/>
      <c r="AK1281" s="3"/>
      <c r="AL1281" s="2">
        <f>IF(Table2[[#This Row],[GameIsOver]]=0,0,IF(Table2[[#This Row],[ActualWinner]]=Table2[[#This Row],[AwayTeam]], 1, 0))</f>
        <v>0</v>
      </c>
      <c r="AM1281" s="2">
        <f>IF(Table2[[#This Row],[GameIsOver]]=0,0,IF(Table2[[#This Row],[ActualWinner]]=Table2[[#This Row],[HomeTeam]], 1, 0))</f>
        <v>0</v>
      </c>
      <c r="AN12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1" s="2" t="str">
        <f>INDEX(Sheet5!$B$2:$AG$33, MATCH(Table2[[#This Row],[AwayTeam]],Sheet5!$A$2:$A$33, 0), MATCH(Table2[[#This Row],[HomeTeam]],Sheet5!$A$2:$A$33, 0))</f>
        <v>0-0-0</v>
      </c>
      <c r="AP1281" s="2" t="str">
        <f>INDEX(Sheet5!$B$2:$AG$33, MATCH(Table2[[#This Row],[HomeTeam]],Sheet5!$A$2:$A$33, 0), MATCH(Table2[[#This Row],[AwayTeam]],Sheet5!$A$2:$A$33, 0))</f>
        <v>0-0-0</v>
      </c>
      <c r="AQ1281" s="2">
        <f>IF(Table2[[#This Row],[GameHasShutOut]], 1, 0)</f>
        <v>0</v>
      </c>
      <c r="AR1281" s="2">
        <f>IF(Table2[[#This Row],[ActualAwayScore]] + Table2[[#This Row],[ActualHomeScore]] &gt;= 10, 1, 0)</f>
        <v>0</v>
      </c>
      <c r="AS1281" s="2">
        <f>IF(ABS(Table2[[#This Row],[ActualAwayScore]]-Table2[[#This Row],[ActualHomeScore]])&gt;=5, 1, 0)</f>
        <v>0</v>
      </c>
      <c r="AT1281" s="2">
        <f>IF(Table2[[#This Row],[ActualAwayScore]] + Table2[[#This Row],[ActualHomeScore]] &lt;= 3, 1, 0)</f>
        <v>1</v>
      </c>
      <c r="AU1281" s="2"/>
      <c r="AV1281" s="2"/>
    </row>
    <row r="1282" spans="1:48" x14ac:dyDescent="0.25">
      <c r="A1282" s="3"/>
      <c r="B1282" s="3">
        <v>46125</v>
      </c>
      <c r="C1282" s="5">
        <v>2025021280</v>
      </c>
      <c r="D1282" s="2" t="s">
        <v>24</v>
      </c>
      <c r="E1282" s="2" t="s">
        <v>44</v>
      </c>
      <c r="F1282" s="2"/>
      <c r="G1282" s="2"/>
      <c r="H1282" s="2" t="str">
        <f t="shared" si="99"/>
        <v>_</v>
      </c>
      <c r="I1282" s="2"/>
      <c r="J1282" s="2"/>
      <c r="K1282" s="2"/>
      <c r="L1282" s="2" t="str">
        <f t="shared" si="100"/>
        <v>_</v>
      </c>
      <c r="M1282" s="2"/>
      <c r="N1282" s="2">
        <f>IF(ISBLANK(Table2[[#This Row],[ActualResult]]), 0, 1)</f>
        <v>0</v>
      </c>
      <c r="O1282" s="2" t="str">
        <f>IF(ISBLANK(Table2[[#This Row],[ActualResult]]), "_", IF(Table2[[#This Row],[ActualWinner]]=Table2[[#This Row],[PredictedWinner]], "Y", "N"))</f>
        <v>_</v>
      </c>
      <c r="P12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2" s="2"/>
      <c r="S1282" s="2" t="str">
        <f t="shared" si="101"/>
        <v>_</v>
      </c>
      <c r="T12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2" s="2">
        <f>IF(Table2[[#This Row],[InterConf]]=1,IF(Table2[[#This Row],[InterDiv]]=0, 1, 0), 0)</f>
        <v>0</v>
      </c>
      <c r="W12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2" s="2"/>
      <c r="Y1282" s="2"/>
      <c r="Z1282" s="145">
        <f>IF(AND(Table2[[#This Row],[GameIsOver]]=1,Table2[[#This Row],[ActualHomeScore]]*Table2[[#This Row],[ActualAwayScore]]=0), 1,0)</f>
        <v>0</v>
      </c>
      <c r="AA12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2" s="2">
        <f>Table2[[#This Row],[ActualAwayScore]]-Table2[[#This Row],[PredictedAwayScore]]</f>
        <v>0</v>
      </c>
      <c r="AG1282" s="2">
        <f>Table2[[#This Row],[ActualHomeScore]]-Table2[[#This Row],[PredictedHomeScore]]</f>
        <v>0</v>
      </c>
      <c r="AH1282" s="2">
        <f t="shared" si="102"/>
        <v>0</v>
      </c>
      <c r="AI1282" s="2">
        <f t="shared" si="103"/>
        <v>0</v>
      </c>
      <c r="AJ1282" s="2"/>
      <c r="AK1282" s="3"/>
      <c r="AL1282" s="2">
        <f>IF(Table2[[#This Row],[GameIsOver]]=0,0,IF(Table2[[#This Row],[ActualWinner]]=Table2[[#This Row],[AwayTeam]], 1, 0))</f>
        <v>0</v>
      </c>
      <c r="AM1282" s="2">
        <f>IF(Table2[[#This Row],[GameIsOver]]=0,0,IF(Table2[[#This Row],[ActualWinner]]=Table2[[#This Row],[HomeTeam]], 1, 0))</f>
        <v>0</v>
      </c>
      <c r="AN12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2" s="2" t="str">
        <f>INDEX(Sheet5!$B$2:$AG$33, MATCH(Table2[[#This Row],[AwayTeam]],Sheet5!$A$2:$A$33, 0), MATCH(Table2[[#This Row],[HomeTeam]],Sheet5!$A$2:$A$33, 0))</f>
        <v>0-0-0</v>
      </c>
      <c r="AP1282" s="2" t="str">
        <f>INDEX(Sheet5!$B$2:$AG$33, MATCH(Table2[[#This Row],[HomeTeam]],Sheet5!$A$2:$A$33, 0), MATCH(Table2[[#This Row],[AwayTeam]],Sheet5!$A$2:$A$33, 0))</f>
        <v>0-0-0</v>
      </c>
      <c r="AQ1282" s="2">
        <f>IF(Table2[[#This Row],[GameHasShutOut]], 1, 0)</f>
        <v>0</v>
      </c>
      <c r="AR1282" s="2">
        <f>IF(Table2[[#This Row],[ActualAwayScore]] + Table2[[#This Row],[ActualHomeScore]] &gt;= 10, 1, 0)</f>
        <v>0</v>
      </c>
      <c r="AS1282" s="2">
        <f>IF(ABS(Table2[[#This Row],[ActualAwayScore]]-Table2[[#This Row],[ActualHomeScore]])&gt;=5, 1, 0)</f>
        <v>0</v>
      </c>
      <c r="AT1282" s="2">
        <f>IF(Table2[[#This Row],[ActualAwayScore]] + Table2[[#This Row],[ActualHomeScore]] &lt;= 3, 1, 0)</f>
        <v>1</v>
      </c>
      <c r="AU1282" s="2"/>
      <c r="AV1282" s="2"/>
    </row>
    <row r="1283" spans="1:48" x14ac:dyDescent="0.25">
      <c r="A1283" s="3"/>
      <c r="B1283" s="3">
        <v>46125</v>
      </c>
      <c r="C1283" s="5">
        <v>2025021281</v>
      </c>
      <c r="D1283" s="2" t="s">
        <v>14</v>
      </c>
      <c r="E1283" s="2" t="s">
        <v>23</v>
      </c>
      <c r="F1283" s="2"/>
      <c r="G1283" s="2"/>
      <c r="H1283" s="2" t="str">
        <f t="shared" ref="H1283:H1314" si="104">IF(AND(ISBLANK($F1283),ISBLANK($G1283)),"_",IF($F1283&gt;$G1283,$D1283,$E1283))</f>
        <v>_</v>
      </c>
      <c r="I1283" s="2"/>
      <c r="J1283" s="2"/>
      <c r="K1283" s="2"/>
      <c r="L1283" s="2" t="str">
        <f t="shared" ref="L1283:L1314" si="105">IF(OR($J1283=$K1283,AND(ISBLANK($J1283),ISBLANK($K1283))),"_",IF($J1283&gt;$K1283,$D1283,$E1283))</f>
        <v>_</v>
      </c>
      <c r="M1283" s="2"/>
      <c r="N1283" s="2">
        <f>IF(ISBLANK(Table2[[#This Row],[ActualResult]]), 0, 1)</f>
        <v>0</v>
      </c>
      <c r="O1283" s="2" t="str">
        <f>IF(ISBLANK(Table2[[#This Row],[ActualResult]]), "_", IF(Table2[[#This Row],[ActualWinner]]=Table2[[#This Row],[PredictedWinner]], "Y", "N"))</f>
        <v>_</v>
      </c>
      <c r="P12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3" s="2"/>
      <c r="S1283" s="2" t="str">
        <f t="shared" ref="S1283:S1314" si="106">IF($L1283="_", "_", IF($L1283=$D1283,$E1283,$D1283))</f>
        <v>_</v>
      </c>
      <c r="T12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3" s="2">
        <f>IF(Table2[[#This Row],[InterConf]]=1,IF(Table2[[#This Row],[InterDiv]]=0, 1, 0), 0)</f>
        <v>1</v>
      </c>
      <c r="W12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3" s="2"/>
      <c r="Y1283" s="2"/>
      <c r="Z1283" s="145">
        <f>IF(AND(Table2[[#This Row],[GameIsOver]]=1,Table2[[#This Row],[ActualHomeScore]]*Table2[[#This Row],[ActualAwayScore]]=0), 1,0)</f>
        <v>0</v>
      </c>
      <c r="AA12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3" s="2">
        <f>Table2[[#This Row],[ActualAwayScore]]-Table2[[#This Row],[PredictedAwayScore]]</f>
        <v>0</v>
      </c>
      <c r="AG1283" s="2">
        <f>Table2[[#This Row],[ActualHomeScore]]-Table2[[#This Row],[PredictedHomeScore]]</f>
        <v>0</v>
      </c>
      <c r="AH1283" s="2">
        <f t="shared" ref="AH1283:AH1314" si="107">SUMIF($B$3:$B$1315, $B1283, $AF$3:$AF$1315)</f>
        <v>0</v>
      </c>
      <c r="AI1283" s="2">
        <f t="shared" ref="AI1283:AI1314" si="108">SUMIF($B$3:$B$1315, $B1283, $AG$3:$AG$1315)</f>
        <v>0</v>
      </c>
      <c r="AJ1283" s="2"/>
      <c r="AK1283" s="3"/>
      <c r="AL1283" s="2">
        <f>IF(Table2[[#This Row],[GameIsOver]]=0,0,IF(Table2[[#This Row],[ActualWinner]]=Table2[[#This Row],[AwayTeam]], 1, 0))</f>
        <v>0</v>
      </c>
      <c r="AM1283" s="2">
        <f>IF(Table2[[#This Row],[GameIsOver]]=0,0,IF(Table2[[#This Row],[ActualWinner]]=Table2[[#This Row],[HomeTeam]], 1, 0))</f>
        <v>0</v>
      </c>
      <c r="AN12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3" s="2" t="str">
        <f>INDEX(Sheet5!$B$2:$AG$33, MATCH(Table2[[#This Row],[AwayTeam]],Sheet5!$A$2:$A$33, 0), MATCH(Table2[[#This Row],[HomeTeam]],Sheet5!$A$2:$A$33, 0))</f>
        <v>1-0-0</v>
      </c>
      <c r="AP1283" s="2" t="str">
        <f>INDEX(Sheet5!$B$2:$AG$33, MATCH(Table2[[#This Row],[HomeTeam]],Sheet5!$A$2:$A$33, 0), MATCH(Table2[[#This Row],[AwayTeam]],Sheet5!$A$2:$A$33, 0))</f>
        <v>0-1-0</v>
      </c>
      <c r="AQ1283" s="2">
        <f>IF(Table2[[#This Row],[GameHasShutOut]], 1, 0)</f>
        <v>0</v>
      </c>
      <c r="AR1283" s="2">
        <f>IF(Table2[[#This Row],[ActualAwayScore]] + Table2[[#This Row],[ActualHomeScore]] &gt;= 10, 1, 0)</f>
        <v>0</v>
      </c>
      <c r="AS1283" s="2">
        <f>IF(ABS(Table2[[#This Row],[ActualAwayScore]]-Table2[[#This Row],[ActualHomeScore]])&gt;=5, 1, 0)</f>
        <v>0</v>
      </c>
      <c r="AT1283" s="2">
        <f>IF(Table2[[#This Row],[ActualAwayScore]] + Table2[[#This Row],[ActualHomeScore]] &lt;= 3, 1, 0)</f>
        <v>1</v>
      </c>
      <c r="AU1283" s="2"/>
      <c r="AV1283" s="2"/>
    </row>
    <row r="1284" spans="1:48" x14ac:dyDescent="0.25">
      <c r="A1284" s="3"/>
      <c r="B1284" s="3">
        <v>46125</v>
      </c>
      <c r="C1284" s="5">
        <v>2025021282</v>
      </c>
      <c r="D1284" s="2" t="s">
        <v>30</v>
      </c>
      <c r="E1284" s="2" t="s">
        <v>40</v>
      </c>
      <c r="F1284" s="2"/>
      <c r="G1284" s="2"/>
      <c r="H1284" s="2" t="str">
        <f t="shared" si="104"/>
        <v>_</v>
      </c>
      <c r="I1284" s="2"/>
      <c r="J1284" s="2"/>
      <c r="K1284" s="2"/>
      <c r="L1284" s="2" t="str">
        <f t="shared" si="105"/>
        <v>_</v>
      </c>
      <c r="M1284" s="2"/>
      <c r="N1284" s="2">
        <f>IF(ISBLANK(Table2[[#This Row],[ActualResult]]), 0, 1)</f>
        <v>0</v>
      </c>
      <c r="O1284" s="2" t="str">
        <f>IF(ISBLANK(Table2[[#This Row],[ActualResult]]), "_", IF(Table2[[#This Row],[ActualWinner]]=Table2[[#This Row],[PredictedWinner]], "Y", "N"))</f>
        <v>_</v>
      </c>
      <c r="P12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4" s="2"/>
      <c r="S1284" s="2" t="str">
        <f t="shared" si="106"/>
        <v>_</v>
      </c>
      <c r="T12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4" s="2">
        <f>IF(Table2[[#This Row],[InterConf]]=1,IF(Table2[[#This Row],[InterDiv]]=0, 1, 0), 0)</f>
        <v>0</v>
      </c>
      <c r="W12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4" s="2"/>
      <c r="Y1284" s="2"/>
      <c r="Z1284" s="145">
        <f>IF(AND(Table2[[#This Row],[GameIsOver]]=1,Table2[[#This Row],[ActualHomeScore]]*Table2[[#This Row],[ActualAwayScore]]=0), 1,0)</f>
        <v>0</v>
      </c>
      <c r="AA12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4" s="2">
        <f>Table2[[#This Row],[ActualAwayScore]]-Table2[[#This Row],[PredictedAwayScore]]</f>
        <v>0</v>
      </c>
      <c r="AG1284" s="2">
        <f>Table2[[#This Row],[ActualHomeScore]]-Table2[[#This Row],[PredictedHomeScore]]</f>
        <v>0</v>
      </c>
      <c r="AH1284" s="2">
        <f t="shared" si="107"/>
        <v>0</v>
      </c>
      <c r="AI1284" s="2">
        <f t="shared" si="108"/>
        <v>0</v>
      </c>
      <c r="AJ1284" s="2"/>
      <c r="AK1284" s="3"/>
      <c r="AL1284" s="2">
        <f>IF(Table2[[#This Row],[GameIsOver]]=0,0,IF(Table2[[#This Row],[ActualWinner]]=Table2[[#This Row],[AwayTeam]], 1, 0))</f>
        <v>0</v>
      </c>
      <c r="AM1284" s="2">
        <f>IF(Table2[[#This Row],[GameIsOver]]=0,0,IF(Table2[[#This Row],[ActualWinner]]=Table2[[#This Row],[HomeTeam]], 1, 0))</f>
        <v>0</v>
      </c>
      <c r="AN12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4" s="2" t="str">
        <f>INDEX(Sheet5!$B$2:$AG$33, MATCH(Table2[[#This Row],[AwayTeam]],Sheet5!$A$2:$A$33, 0), MATCH(Table2[[#This Row],[HomeTeam]],Sheet5!$A$2:$A$33, 0))</f>
        <v>1-0-0</v>
      </c>
      <c r="AP1284" s="2" t="str">
        <f>INDEX(Sheet5!$B$2:$AG$33, MATCH(Table2[[#This Row],[HomeTeam]],Sheet5!$A$2:$A$33, 0), MATCH(Table2[[#This Row],[AwayTeam]],Sheet5!$A$2:$A$33, 0))</f>
        <v>0-0-1</v>
      </c>
      <c r="AQ1284" s="2">
        <f>IF(Table2[[#This Row],[GameHasShutOut]], 1, 0)</f>
        <v>0</v>
      </c>
      <c r="AR1284" s="2">
        <f>IF(Table2[[#This Row],[ActualAwayScore]] + Table2[[#This Row],[ActualHomeScore]] &gt;= 10, 1, 0)</f>
        <v>0</v>
      </c>
      <c r="AS1284" s="2">
        <f>IF(ABS(Table2[[#This Row],[ActualAwayScore]]-Table2[[#This Row],[ActualHomeScore]])&gt;=5, 1, 0)</f>
        <v>0</v>
      </c>
      <c r="AT1284" s="2">
        <f>IF(Table2[[#This Row],[ActualAwayScore]] + Table2[[#This Row],[ActualHomeScore]] &lt;= 3, 1, 0)</f>
        <v>1</v>
      </c>
      <c r="AU1284" s="2"/>
      <c r="AV1284" s="2"/>
    </row>
    <row r="1285" spans="1:48" x14ac:dyDescent="0.25">
      <c r="A1285" s="3"/>
      <c r="B1285" s="3">
        <v>46125</v>
      </c>
      <c r="C1285" s="5">
        <v>2025021283</v>
      </c>
      <c r="D1285" s="2" t="s">
        <v>19</v>
      </c>
      <c r="E1285" s="2" t="s">
        <v>13</v>
      </c>
      <c r="F1285" s="2"/>
      <c r="G1285" s="2"/>
      <c r="H1285" s="2" t="str">
        <f t="shared" si="104"/>
        <v>_</v>
      </c>
      <c r="I1285" s="2"/>
      <c r="J1285" s="2"/>
      <c r="K1285" s="2"/>
      <c r="L1285" s="2" t="str">
        <f t="shared" si="105"/>
        <v>_</v>
      </c>
      <c r="M1285" s="2"/>
      <c r="N1285" s="2">
        <f>IF(ISBLANK(Table2[[#This Row],[ActualResult]]), 0, 1)</f>
        <v>0</v>
      </c>
      <c r="O1285" s="2" t="str">
        <f>IF(ISBLANK(Table2[[#This Row],[ActualResult]]), "_", IF(Table2[[#This Row],[ActualWinner]]=Table2[[#This Row],[PredictedWinner]], "Y", "N"))</f>
        <v>_</v>
      </c>
      <c r="P12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5" s="2"/>
      <c r="S1285" s="2" t="str">
        <f t="shared" si="106"/>
        <v>_</v>
      </c>
      <c r="T12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5" s="2">
        <f>IF(Table2[[#This Row],[InterConf]]=1,IF(Table2[[#This Row],[InterDiv]]=0, 1, 0), 0)</f>
        <v>1</v>
      </c>
      <c r="W12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5" s="2"/>
      <c r="Y1285" s="2"/>
      <c r="Z1285" s="145">
        <f>IF(AND(Table2[[#This Row],[GameIsOver]]=1,Table2[[#This Row],[ActualHomeScore]]*Table2[[#This Row],[ActualAwayScore]]=0), 1,0)</f>
        <v>0</v>
      </c>
      <c r="AA12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5" s="2">
        <f>Table2[[#This Row],[ActualAwayScore]]-Table2[[#This Row],[PredictedAwayScore]]</f>
        <v>0</v>
      </c>
      <c r="AG1285" s="2">
        <f>Table2[[#This Row],[ActualHomeScore]]-Table2[[#This Row],[PredictedHomeScore]]</f>
        <v>0</v>
      </c>
      <c r="AH1285" s="2">
        <f t="shared" si="107"/>
        <v>0</v>
      </c>
      <c r="AI1285" s="2">
        <f t="shared" si="108"/>
        <v>0</v>
      </c>
      <c r="AJ1285" s="2"/>
      <c r="AK1285" s="3"/>
      <c r="AL1285" s="2">
        <f>IF(Table2[[#This Row],[GameIsOver]]=0,0,IF(Table2[[#This Row],[ActualWinner]]=Table2[[#This Row],[AwayTeam]], 1, 0))</f>
        <v>0</v>
      </c>
      <c r="AM1285" s="2">
        <f>IF(Table2[[#This Row],[GameIsOver]]=0,0,IF(Table2[[#This Row],[ActualWinner]]=Table2[[#This Row],[HomeTeam]], 1, 0))</f>
        <v>0</v>
      </c>
      <c r="AN12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5" s="2" t="str">
        <f>INDEX(Sheet5!$B$2:$AG$33, MATCH(Table2[[#This Row],[AwayTeam]],Sheet5!$A$2:$A$33, 0), MATCH(Table2[[#This Row],[HomeTeam]],Sheet5!$A$2:$A$33, 0))</f>
        <v>0-0-0</v>
      </c>
      <c r="AP1285" s="2" t="str">
        <f>INDEX(Sheet5!$B$2:$AG$33, MATCH(Table2[[#This Row],[HomeTeam]],Sheet5!$A$2:$A$33, 0), MATCH(Table2[[#This Row],[AwayTeam]],Sheet5!$A$2:$A$33, 0))</f>
        <v>0-0-0</v>
      </c>
      <c r="AQ1285" s="2">
        <f>IF(Table2[[#This Row],[GameHasShutOut]], 1, 0)</f>
        <v>0</v>
      </c>
      <c r="AR1285" s="2">
        <f>IF(Table2[[#This Row],[ActualAwayScore]] + Table2[[#This Row],[ActualHomeScore]] &gt;= 10, 1, 0)</f>
        <v>0</v>
      </c>
      <c r="AS1285" s="2">
        <f>IF(ABS(Table2[[#This Row],[ActualAwayScore]]-Table2[[#This Row],[ActualHomeScore]])&gt;=5, 1, 0)</f>
        <v>0</v>
      </c>
      <c r="AT1285" s="2">
        <f>IF(Table2[[#This Row],[ActualAwayScore]] + Table2[[#This Row],[ActualHomeScore]] &lt;= 3, 1, 0)</f>
        <v>1</v>
      </c>
      <c r="AU1285" s="2"/>
      <c r="AV1285" s="2"/>
    </row>
    <row r="1286" spans="1:48" x14ac:dyDescent="0.25">
      <c r="A1286" s="3"/>
      <c r="B1286" s="3">
        <v>46125</v>
      </c>
      <c r="C1286" s="5">
        <v>2025021284</v>
      </c>
      <c r="D1286" s="2" t="s">
        <v>41</v>
      </c>
      <c r="E1286" s="2" t="s">
        <v>42</v>
      </c>
      <c r="F1286" s="2"/>
      <c r="G1286" s="2"/>
      <c r="H1286" s="2" t="str">
        <f t="shared" si="104"/>
        <v>_</v>
      </c>
      <c r="I1286" s="2"/>
      <c r="J1286" s="2"/>
      <c r="K1286" s="2"/>
      <c r="L1286" s="2" t="str">
        <f t="shared" si="105"/>
        <v>_</v>
      </c>
      <c r="M1286" s="2"/>
      <c r="N1286" s="2">
        <f>IF(ISBLANK(Table2[[#This Row],[ActualResult]]), 0, 1)</f>
        <v>0</v>
      </c>
      <c r="O1286" s="2" t="str">
        <f>IF(ISBLANK(Table2[[#This Row],[ActualResult]]), "_", IF(Table2[[#This Row],[ActualWinner]]=Table2[[#This Row],[PredictedWinner]], "Y", "N"))</f>
        <v>_</v>
      </c>
      <c r="P12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6" s="2"/>
      <c r="S1286" s="2" t="str">
        <f t="shared" si="106"/>
        <v>_</v>
      </c>
      <c r="T12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6" s="2">
        <f>IF(Table2[[#This Row],[InterConf]]=1,IF(Table2[[#This Row],[InterDiv]]=0, 1, 0), 0)</f>
        <v>0</v>
      </c>
      <c r="W12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6" s="2"/>
      <c r="Y1286" s="2"/>
      <c r="Z1286" s="145">
        <f>IF(AND(Table2[[#This Row],[GameIsOver]]=1,Table2[[#This Row],[ActualHomeScore]]*Table2[[#This Row],[ActualAwayScore]]=0), 1,0)</f>
        <v>0</v>
      </c>
      <c r="AA12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6" s="2">
        <f>Table2[[#This Row],[ActualAwayScore]]-Table2[[#This Row],[PredictedAwayScore]]</f>
        <v>0</v>
      </c>
      <c r="AG1286" s="2">
        <f>Table2[[#This Row],[ActualHomeScore]]-Table2[[#This Row],[PredictedHomeScore]]</f>
        <v>0</v>
      </c>
      <c r="AH1286" s="2">
        <f t="shared" si="107"/>
        <v>0</v>
      </c>
      <c r="AI1286" s="2">
        <f t="shared" si="108"/>
        <v>0</v>
      </c>
      <c r="AJ1286" s="2"/>
      <c r="AK1286" s="3"/>
      <c r="AL1286" s="2">
        <f>IF(Table2[[#This Row],[GameIsOver]]=0,0,IF(Table2[[#This Row],[ActualWinner]]=Table2[[#This Row],[AwayTeam]], 1, 0))</f>
        <v>0</v>
      </c>
      <c r="AM1286" s="2">
        <f>IF(Table2[[#This Row],[GameIsOver]]=0,0,IF(Table2[[#This Row],[ActualWinner]]=Table2[[#This Row],[HomeTeam]], 1, 0))</f>
        <v>0</v>
      </c>
      <c r="AN12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6" s="2" t="str">
        <f>INDEX(Sheet5!$B$2:$AG$33, MATCH(Table2[[#This Row],[AwayTeam]],Sheet5!$A$2:$A$33, 0), MATCH(Table2[[#This Row],[HomeTeam]],Sheet5!$A$2:$A$33, 0))</f>
        <v>1-0-0</v>
      </c>
      <c r="AP1286" s="2" t="str">
        <f>INDEX(Sheet5!$B$2:$AG$33, MATCH(Table2[[#This Row],[HomeTeam]],Sheet5!$A$2:$A$33, 0), MATCH(Table2[[#This Row],[AwayTeam]],Sheet5!$A$2:$A$33, 0))</f>
        <v>0-0-1</v>
      </c>
      <c r="AQ1286" s="2">
        <f>IF(Table2[[#This Row],[GameHasShutOut]], 1, 0)</f>
        <v>0</v>
      </c>
      <c r="AR1286" s="2">
        <f>IF(Table2[[#This Row],[ActualAwayScore]] + Table2[[#This Row],[ActualHomeScore]] &gt;= 10, 1, 0)</f>
        <v>0</v>
      </c>
      <c r="AS1286" s="2">
        <f>IF(ABS(Table2[[#This Row],[ActualAwayScore]]-Table2[[#This Row],[ActualHomeScore]])&gt;=5, 1, 0)</f>
        <v>0</v>
      </c>
      <c r="AT1286" s="2">
        <f>IF(Table2[[#This Row],[ActualAwayScore]] + Table2[[#This Row],[ActualHomeScore]] &lt;= 3, 1, 0)</f>
        <v>1</v>
      </c>
      <c r="AU1286" s="2"/>
      <c r="AV1286" s="2"/>
    </row>
    <row r="1287" spans="1:48" x14ac:dyDescent="0.25">
      <c r="A1287" s="3"/>
      <c r="B1287" s="3">
        <v>46125</v>
      </c>
      <c r="C1287" s="5">
        <v>2025021285</v>
      </c>
      <c r="D1287" s="2" t="s">
        <v>33</v>
      </c>
      <c r="E1287" s="2" t="s">
        <v>17</v>
      </c>
      <c r="F1287" s="2"/>
      <c r="G1287" s="2"/>
      <c r="H1287" s="2" t="str">
        <f t="shared" si="104"/>
        <v>_</v>
      </c>
      <c r="I1287" s="2"/>
      <c r="J1287" s="2"/>
      <c r="K1287" s="2"/>
      <c r="L1287" s="2" t="str">
        <f t="shared" si="105"/>
        <v>_</v>
      </c>
      <c r="M1287" s="2"/>
      <c r="N1287" s="2">
        <f>IF(ISBLANK(Table2[[#This Row],[ActualResult]]), 0, 1)</f>
        <v>0</v>
      </c>
      <c r="O1287" s="2" t="str">
        <f>IF(ISBLANK(Table2[[#This Row],[ActualResult]]), "_", IF(Table2[[#This Row],[ActualWinner]]=Table2[[#This Row],[PredictedWinner]], "Y", "N"))</f>
        <v>_</v>
      </c>
      <c r="P12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7" s="2"/>
      <c r="S1287" s="2" t="str">
        <f t="shared" si="106"/>
        <v>_</v>
      </c>
      <c r="T12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7" s="2">
        <f>IF(Table2[[#This Row],[InterConf]]=1,IF(Table2[[#This Row],[InterDiv]]=0, 1, 0), 0)</f>
        <v>0</v>
      </c>
      <c r="W12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87" s="2"/>
      <c r="Y1287" s="2"/>
      <c r="Z1287" s="145">
        <f>IF(AND(Table2[[#This Row],[GameIsOver]]=1,Table2[[#This Row],[ActualHomeScore]]*Table2[[#This Row],[ActualAwayScore]]=0), 1,0)</f>
        <v>0</v>
      </c>
      <c r="AA12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7" s="2">
        <f>Table2[[#This Row],[ActualAwayScore]]-Table2[[#This Row],[PredictedAwayScore]]</f>
        <v>0</v>
      </c>
      <c r="AG1287" s="2">
        <f>Table2[[#This Row],[ActualHomeScore]]-Table2[[#This Row],[PredictedHomeScore]]</f>
        <v>0</v>
      </c>
      <c r="AH1287" s="2">
        <f t="shared" si="107"/>
        <v>0</v>
      </c>
      <c r="AI1287" s="2">
        <f t="shared" si="108"/>
        <v>0</v>
      </c>
      <c r="AJ1287" s="2"/>
      <c r="AK1287" s="3"/>
      <c r="AL1287" s="2">
        <f>IF(Table2[[#This Row],[GameIsOver]]=0,0,IF(Table2[[#This Row],[ActualWinner]]=Table2[[#This Row],[AwayTeam]], 1, 0))</f>
        <v>0</v>
      </c>
      <c r="AM1287" s="2">
        <f>IF(Table2[[#This Row],[GameIsOver]]=0,0,IF(Table2[[#This Row],[ActualWinner]]=Table2[[#This Row],[HomeTeam]], 1, 0))</f>
        <v>0</v>
      </c>
      <c r="AN12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7" s="2" t="str">
        <f>INDEX(Sheet5!$B$2:$AG$33, MATCH(Table2[[#This Row],[AwayTeam]],Sheet5!$A$2:$A$33, 0), MATCH(Table2[[#This Row],[HomeTeam]],Sheet5!$A$2:$A$33, 0))</f>
        <v>0-0-0</v>
      </c>
      <c r="AP1287" s="2" t="str">
        <f>INDEX(Sheet5!$B$2:$AG$33, MATCH(Table2[[#This Row],[HomeTeam]],Sheet5!$A$2:$A$33, 0), MATCH(Table2[[#This Row],[AwayTeam]],Sheet5!$A$2:$A$33, 0))</f>
        <v>0-0-0</v>
      </c>
      <c r="AQ1287" s="2">
        <f>IF(Table2[[#This Row],[GameHasShutOut]], 1, 0)</f>
        <v>0</v>
      </c>
      <c r="AR1287" s="2">
        <f>IF(Table2[[#This Row],[ActualAwayScore]] + Table2[[#This Row],[ActualHomeScore]] &gt;= 10, 1, 0)</f>
        <v>0</v>
      </c>
      <c r="AS1287" s="2">
        <f>IF(ABS(Table2[[#This Row],[ActualAwayScore]]-Table2[[#This Row],[ActualHomeScore]])&gt;=5, 1, 0)</f>
        <v>0</v>
      </c>
      <c r="AT1287" s="2">
        <f>IF(Table2[[#This Row],[ActualAwayScore]] + Table2[[#This Row],[ActualHomeScore]] &lt;= 3, 1, 0)</f>
        <v>1</v>
      </c>
      <c r="AU1287" s="2"/>
      <c r="AV1287" s="2"/>
    </row>
    <row r="1288" spans="1:48" x14ac:dyDescent="0.25">
      <c r="A1288" s="3"/>
      <c r="B1288" s="3">
        <v>46126</v>
      </c>
      <c r="C1288" s="5">
        <v>2025021286</v>
      </c>
      <c r="D1288" s="2" t="s">
        <v>36</v>
      </c>
      <c r="E1288" s="2" t="s">
        <v>12</v>
      </c>
      <c r="F1288" s="2"/>
      <c r="G1288" s="2"/>
      <c r="H1288" s="2" t="str">
        <f t="shared" si="104"/>
        <v>_</v>
      </c>
      <c r="I1288" s="2"/>
      <c r="J1288" s="2"/>
      <c r="K1288" s="2"/>
      <c r="L1288" s="2" t="str">
        <f t="shared" si="105"/>
        <v>_</v>
      </c>
      <c r="M1288" s="2"/>
      <c r="N1288" s="2">
        <f>IF(ISBLANK(Table2[[#This Row],[ActualResult]]), 0, 1)</f>
        <v>0</v>
      </c>
      <c r="O1288" s="2" t="str">
        <f>IF(ISBLANK(Table2[[#This Row],[ActualResult]]), "_", IF(Table2[[#This Row],[ActualWinner]]=Table2[[#This Row],[PredictedWinner]], "Y", "N"))</f>
        <v>_</v>
      </c>
      <c r="P12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8" s="2"/>
      <c r="S1288" s="2" t="str">
        <f t="shared" si="106"/>
        <v>_</v>
      </c>
      <c r="T12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8" s="2">
        <f>IF(Table2[[#This Row],[InterConf]]=1,IF(Table2[[#This Row],[InterDiv]]=0, 1, 0), 0)</f>
        <v>0</v>
      </c>
      <c r="W12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8" s="2"/>
      <c r="Y1288" s="2"/>
      <c r="Z1288" s="145">
        <f>IF(AND(Table2[[#This Row],[GameIsOver]]=1,Table2[[#This Row],[ActualHomeScore]]*Table2[[#This Row],[ActualAwayScore]]=0), 1,0)</f>
        <v>0</v>
      </c>
      <c r="AA12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88" s="2">
        <f>Table2[[#This Row],[ActualAwayScore]]-Table2[[#This Row],[PredictedAwayScore]]</f>
        <v>0</v>
      </c>
      <c r="AG1288" s="2">
        <f>Table2[[#This Row],[ActualHomeScore]]-Table2[[#This Row],[PredictedHomeScore]]</f>
        <v>0</v>
      </c>
      <c r="AH1288" s="2">
        <f t="shared" si="107"/>
        <v>0</v>
      </c>
      <c r="AI1288" s="2">
        <f t="shared" si="108"/>
        <v>0</v>
      </c>
      <c r="AJ1288" s="2"/>
      <c r="AK1288" s="3"/>
      <c r="AL1288" s="2">
        <f>IF(Table2[[#This Row],[GameIsOver]]=0,0,IF(Table2[[#This Row],[ActualWinner]]=Table2[[#This Row],[AwayTeam]], 1, 0))</f>
        <v>0</v>
      </c>
      <c r="AM1288" s="2">
        <f>IF(Table2[[#This Row],[GameIsOver]]=0,0,IF(Table2[[#This Row],[ActualWinner]]=Table2[[#This Row],[HomeTeam]], 1, 0))</f>
        <v>0</v>
      </c>
      <c r="AN12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8" s="2" t="str">
        <f>INDEX(Sheet5!$B$2:$AG$33, MATCH(Table2[[#This Row],[AwayTeam]],Sheet5!$A$2:$A$33, 0), MATCH(Table2[[#This Row],[HomeTeam]],Sheet5!$A$2:$A$33, 0))</f>
        <v>1-0-0</v>
      </c>
      <c r="AP1288" s="2" t="str">
        <f>INDEX(Sheet5!$B$2:$AG$33, MATCH(Table2[[#This Row],[HomeTeam]],Sheet5!$A$2:$A$33, 0), MATCH(Table2[[#This Row],[AwayTeam]],Sheet5!$A$2:$A$33, 0))</f>
        <v>0-1-0</v>
      </c>
      <c r="AQ1288" s="2">
        <f>IF(Table2[[#This Row],[GameHasShutOut]], 1, 0)</f>
        <v>0</v>
      </c>
      <c r="AR1288" s="2">
        <f>IF(Table2[[#This Row],[ActualAwayScore]] + Table2[[#This Row],[ActualHomeScore]] &gt;= 10, 1, 0)</f>
        <v>0</v>
      </c>
      <c r="AS1288" s="2">
        <f>IF(ABS(Table2[[#This Row],[ActualAwayScore]]-Table2[[#This Row],[ActualHomeScore]])&gt;=5, 1, 0)</f>
        <v>0</v>
      </c>
      <c r="AT1288" s="2">
        <f>IF(Table2[[#This Row],[ActualAwayScore]] + Table2[[#This Row],[ActualHomeScore]] &lt;= 3, 1, 0)</f>
        <v>1</v>
      </c>
      <c r="AU1288" s="2"/>
      <c r="AV1288" s="2"/>
    </row>
    <row r="1289" spans="1:48" x14ac:dyDescent="0.25">
      <c r="A1289" s="3"/>
      <c r="B1289" s="3">
        <v>46126</v>
      </c>
      <c r="C1289" s="5">
        <v>2025021287</v>
      </c>
      <c r="D1289" s="2" t="s">
        <v>37</v>
      </c>
      <c r="E1289" s="2" t="s">
        <v>34</v>
      </c>
      <c r="F1289" s="2"/>
      <c r="G1289" s="2"/>
      <c r="H1289" s="2" t="str">
        <f t="shared" si="104"/>
        <v>_</v>
      </c>
      <c r="I1289" s="2"/>
      <c r="J1289" s="2"/>
      <c r="K1289" s="2"/>
      <c r="L1289" s="2" t="str">
        <f t="shared" si="105"/>
        <v>_</v>
      </c>
      <c r="M1289" s="2"/>
      <c r="N1289" s="2">
        <f>IF(ISBLANK(Table2[[#This Row],[ActualResult]]), 0, 1)</f>
        <v>0</v>
      </c>
      <c r="O1289" s="2" t="str">
        <f>IF(ISBLANK(Table2[[#This Row],[ActualResult]]), "_", IF(Table2[[#This Row],[ActualWinner]]=Table2[[#This Row],[PredictedWinner]], "Y", "N"))</f>
        <v>_</v>
      </c>
      <c r="P12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9" s="2"/>
      <c r="S1289" s="2" t="str">
        <f t="shared" si="106"/>
        <v>_</v>
      </c>
      <c r="T12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9" s="2">
        <f>IF(Table2[[#This Row],[InterConf]]=1,IF(Table2[[#This Row],[InterDiv]]=0, 1, 0), 0)</f>
        <v>1</v>
      </c>
      <c r="W12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9" s="2"/>
      <c r="Y1289" s="2"/>
      <c r="Z1289" s="145">
        <f>IF(AND(Table2[[#This Row],[GameIsOver]]=1,Table2[[#This Row],[ActualHomeScore]]*Table2[[#This Row],[ActualAwayScore]]=0), 1,0)</f>
        <v>0</v>
      </c>
      <c r="AA12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89" s="2">
        <f>Table2[[#This Row],[ActualAwayScore]]-Table2[[#This Row],[PredictedAwayScore]]</f>
        <v>0</v>
      </c>
      <c r="AG1289" s="2">
        <f>Table2[[#This Row],[ActualHomeScore]]-Table2[[#This Row],[PredictedHomeScore]]</f>
        <v>0</v>
      </c>
      <c r="AH1289" s="2">
        <f t="shared" si="107"/>
        <v>0</v>
      </c>
      <c r="AI1289" s="2">
        <f t="shared" si="108"/>
        <v>0</v>
      </c>
      <c r="AJ1289" s="2"/>
      <c r="AK1289" s="3"/>
      <c r="AL1289" s="2">
        <f>IF(Table2[[#This Row],[GameIsOver]]=0,0,IF(Table2[[#This Row],[ActualWinner]]=Table2[[#This Row],[AwayTeam]], 1, 0))</f>
        <v>0</v>
      </c>
      <c r="AM1289" s="2">
        <f>IF(Table2[[#This Row],[GameIsOver]]=0,0,IF(Table2[[#This Row],[ActualWinner]]=Table2[[#This Row],[HomeTeam]], 1, 0))</f>
        <v>0</v>
      </c>
      <c r="AN12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9" s="2" t="str">
        <f>INDEX(Sheet5!$B$2:$AG$33, MATCH(Table2[[#This Row],[AwayTeam]],Sheet5!$A$2:$A$33, 0), MATCH(Table2[[#This Row],[HomeTeam]],Sheet5!$A$2:$A$33, 0))</f>
        <v>0-0-0</v>
      </c>
      <c r="AP1289" s="2" t="str">
        <f>INDEX(Sheet5!$B$2:$AG$33, MATCH(Table2[[#This Row],[HomeTeam]],Sheet5!$A$2:$A$33, 0), MATCH(Table2[[#This Row],[AwayTeam]],Sheet5!$A$2:$A$33, 0))</f>
        <v>0-0-0</v>
      </c>
      <c r="AQ1289" s="2">
        <f>IF(Table2[[#This Row],[GameHasShutOut]], 1, 0)</f>
        <v>0</v>
      </c>
      <c r="AR1289" s="2">
        <f>IF(Table2[[#This Row],[ActualAwayScore]] + Table2[[#This Row],[ActualHomeScore]] &gt;= 10, 1, 0)</f>
        <v>0</v>
      </c>
      <c r="AS1289" s="2">
        <f>IF(ABS(Table2[[#This Row],[ActualAwayScore]]-Table2[[#This Row],[ActualHomeScore]])&gt;=5, 1, 0)</f>
        <v>0</v>
      </c>
      <c r="AT1289" s="2">
        <f>IF(Table2[[#This Row],[ActualAwayScore]] + Table2[[#This Row],[ActualHomeScore]] &lt;= 3, 1, 0)</f>
        <v>1</v>
      </c>
      <c r="AU1289" s="2"/>
      <c r="AV1289" s="2"/>
    </row>
    <row r="1290" spans="1:48" x14ac:dyDescent="0.25">
      <c r="A1290" s="3"/>
      <c r="B1290" s="3">
        <v>46126</v>
      </c>
      <c r="C1290" s="5">
        <v>2025021288</v>
      </c>
      <c r="D1290" s="2" t="s">
        <v>28</v>
      </c>
      <c r="E1290" s="2" t="s">
        <v>16</v>
      </c>
      <c r="F1290" s="2"/>
      <c r="G1290" s="2"/>
      <c r="H1290" s="2" t="str">
        <f t="shared" si="104"/>
        <v>_</v>
      </c>
      <c r="I1290" s="2"/>
      <c r="J1290" s="2"/>
      <c r="K1290" s="2"/>
      <c r="L1290" s="2" t="str">
        <f t="shared" si="105"/>
        <v>_</v>
      </c>
      <c r="M1290" s="2"/>
      <c r="N1290" s="2">
        <f>IF(ISBLANK(Table2[[#This Row],[ActualResult]]), 0, 1)</f>
        <v>0</v>
      </c>
      <c r="O1290" s="2" t="str">
        <f>IF(ISBLANK(Table2[[#This Row],[ActualResult]]), "_", IF(Table2[[#This Row],[ActualWinner]]=Table2[[#This Row],[PredictedWinner]], "Y", "N"))</f>
        <v>_</v>
      </c>
      <c r="P12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0" s="2"/>
      <c r="S1290" s="2" t="str">
        <f t="shared" si="106"/>
        <v>_</v>
      </c>
      <c r="T12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0" s="2">
        <f>IF(Table2[[#This Row],[InterConf]]=1,IF(Table2[[#This Row],[InterDiv]]=0, 1, 0), 0)</f>
        <v>0</v>
      </c>
      <c r="W12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90" s="2"/>
      <c r="Y1290" s="2"/>
      <c r="Z1290" s="145">
        <f>IF(AND(Table2[[#This Row],[GameIsOver]]=1,Table2[[#This Row],[ActualHomeScore]]*Table2[[#This Row],[ActualAwayScore]]=0), 1,0)</f>
        <v>0</v>
      </c>
      <c r="AA12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0" s="2">
        <f>Table2[[#This Row],[ActualAwayScore]]-Table2[[#This Row],[PredictedAwayScore]]</f>
        <v>0</v>
      </c>
      <c r="AG1290" s="2">
        <f>Table2[[#This Row],[ActualHomeScore]]-Table2[[#This Row],[PredictedHomeScore]]</f>
        <v>0</v>
      </c>
      <c r="AH1290" s="2">
        <f t="shared" si="107"/>
        <v>0</v>
      </c>
      <c r="AI1290" s="2">
        <f t="shared" si="108"/>
        <v>0</v>
      </c>
      <c r="AJ1290" s="2"/>
      <c r="AK1290" s="3"/>
      <c r="AL1290" s="2">
        <f>IF(Table2[[#This Row],[GameIsOver]]=0,0,IF(Table2[[#This Row],[ActualWinner]]=Table2[[#This Row],[AwayTeam]], 1, 0))</f>
        <v>0</v>
      </c>
      <c r="AM1290" s="2">
        <f>IF(Table2[[#This Row],[GameIsOver]]=0,0,IF(Table2[[#This Row],[ActualWinner]]=Table2[[#This Row],[HomeTeam]], 1, 0))</f>
        <v>0</v>
      </c>
      <c r="AN12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0" s="2" t="str">
        <f>INDEX(Sheet5!$B$2:$AG$33, MATCH(Table2[[#This Row],[AwayTeam]],Sheet5!$A$2:$A$33, 0), MATCH(Table2[[#This Row],[HomeTeam]],Sheet5!$A$2:$A$33, 0))</f>
        <v>0-0-0</v>
      </c>
      <c r="AP1290" s="2" t="str">
        <f>INDEX(Sheet5!$B$2:$AG$33, MATCH(Table2[[#This Row],[HomeTeam]],Sheet5!$A$2:$A$33, 0), MATCH(Table2[[#This Row],[AwayTeam]],Sheet5!$A$2:$A$33, 0))</f>
        <v>0-0-0</v>
      </c>
      <c r="AQ1290" s="2">
        <f>IF(Table2[[#This Row],[GameHasShutOut]], 1, 0)</f>
        <v>0</v>
      </c>
      <c r="AR1290" s="2">
        <f>IF(Table2[[#This Row],[ActualAwayScore]] + Table2[[#This Row],[ActualHomeScore]] &gt;= 10, 1, 0)</f>
        <v>0</v>
      </c>
      <c r="AS1290" s="2">
        <f>IF(ABS(Table2[[#This Row],[ActualAwayScore]]-Table2[[#This Row],[ActualHomeScore]])&gt;=5, 1, 0)</f>
        <v>0</v>
      </c>
      <c r="AT1290" s="2">
        <f>IF(Table2[[#This Row],[ActualAwayScore]] + Table2[[#This Row],[ActualHomeScore]] &lt;= 3, 1, 0)</f>
        <v>1</v>
      </c>
      <c r="AU1290" s="2"/>
      <c r="AV1290" s="2"/>
    </row>
    <row r="1291" spans="1:48" x14ac:dyDescent="0.25">
      <c r="A1291" s="3"/>
      <c r="B1291" s="3">
        <v>46126</v>
      </c>
      <c r="C1291" s="5">
        <v>2025021289</v>
      </c>
      <c r="D1291" s="2" t="s">
        <v>25</v>
      </c>
      <c r="E1291" s="2" t="s">
        <v>22</v>
      </c>
      <c r="F1291" s="2"/>
      <c r="G1291" s="2"/>
      <c r="H1291" s="2" t="str">
        <f t="shared" si="104"/>
        <v>_</v>
      </c>
      <c r="I1291" s="2"/>
      <c r="J1291" s="2"/>
      <c r="K1291" s="2"/>
      <c r="L1291" s="2" t="str">
        <f t="shared" si="105"/>
        <v>_</v>
      </c>
      <c r="M1291" s="2"/>
      <c r="N1291" s="2">
        <f>IF(ISBLANK(Table2[[#This Row],[ActualResult]]), 0, 1)</f>
        <v>0</v>
      </c>
      <c r="O1291" s="2" t="str">
        <f>IF(ISBLANK(Table2[[#This Row],[ActualResult]]), "_", IF(Table2[[#This Row],[ActualWinner]]=Table2[[#This Row],[PredictedWinner]], "Y", "N"))</f>
        <v>_</v>
      </c>
      <c r="P12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1" s="2"/>
      <c r="S1291" s="2" t="str">
        <f t="shared" si="106"/>
        <v>_</v>
      </c>
      <c r="T12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1" s="2">
        <f>IF(Table2[[#This Row],[InterConf]]=1,IF(Table2[[#This Row],[InterDiv]]=0, 1, 0), 0)</f>
        <v>1</v>
      </c>
      <c r="W12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1" s="2"/>
      <c r="Y1291" s="2"/>
      <c r="Z1291" s="145">
        <f>IF(AND(Table2[[#This Row],[GameIsOver]]=1,Table2[[#This Row],[ActualHomeScore]]*Table2[[#This Row],[ActualAwayScore]]=0), 1,0)</f>
        <v>0</v>
      </c>
      <c r="AA12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1" s="2">
        <f>Table2[[#This Row],[ActualAwayScore]]-Table2[[#This Row],[PredictedAwayScore]]</f>
        <v>0</v>
      </c>
      <c r="AG1291" s="2">
        <f>Table2[[#This Row],[ActualHomeScore]]-Table2[[#This Row],[PredictedHomeScore]]</f>
        <v>0</v>
      </c>
      <c r="AH1291" s="2">
        <f t="shared" si="107"/>
        <v>0</v>
      </c>
      <c r="AI1291" s="2">
        <f t="shared" si="108"/>
        <v>0</v>
      </c>
      <c r="AJ1291" s="2"/>
      <c r="AK1291" s="3"/>
      <c r="AL1291" s="2">
        <f>IF(Table2[[#This Row],[GameIsOver]]=0,0,IF(Table2[[#This Row],[ActualWinner]]=Table2[[#This Row],[AwayTeam]], 1, 0))</f>
        <v>0</v>
      </c>
      <c r="AM1291" s="2">
        <f>IF(Table2[[#This Row],[GameIsOver]]=0,0,IF(Table2[[#This Row],[ActualWinner]]=Table2[[#This Row],[HomeTeam]], 1, 0))</f>
        <v>0</v>
      </c>
      <c r="AN12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1" s="2" t="str">
        <f>INDEX(Sheet5!$B$2:$AG$33, MATCH(Table2[[#This Row],[AwayTeam]],Sheet5!$A$2:$A$33, 0), MATCH(Table2[[#This Row],[HomeTeam]],Sheet5!$A$2:$A$33, 0))</f>
        <v>0-0-0</v>
      </c>
      <c r="AP1291" s="2" t="str">
        <f>INDEX(Sheet5!$B$2:$AG$33, MATCH(Table2[[#This Row],[HomeTeam]],Sheet5!$A$2:$A$33, 0), MATCH(Table2[[#This Row],[AwayTeam]],Sheet5!$A$2:$A$33, 0))</f>
        <v>0-0-0</v>
      </c>
      <c r="AQ1291" s="2">
        <f>IF(Table2[[#This Row],[GameHasShutOut]], 1, 0)</f>
        <v>0</v>
      </c>
      <c r="AR1291" s="2">
        <f>IF(Table2[[#This Row],[ActualAwayScore]] + Table2[[#This Row],[ActualHomeScore]] &gt;= 10, 1, 0)</f>
        <v>0</v>
      </c>
      <c r="AS1291" s="2">
        <f>IF(ABS(Table2[[#This Row],[ActualAwayScore]]-Table2[[#This Row],[ActualHomeScore]])&gt;=5, 1, 0)</f>
        <v>0</v>
      </c>
      <c r="AT1291" s="2">
        <f>IF(Table2[[#This Row],[ActualAwayScore]] + Table2[[#This Row],[ActualHomeScore]] &lt;= 3, 1, 0)</f>
        <v>1</v>
      </c>
      <c r="AU1291" s="2"/>
      <c r="AV1291" s="2"/>
    </row>
    <row r="1292" spans="1:48" x14ac:dyDescent="0.25">
      <c r="A1292" s="3"/>
      <c r="B1292" s="3">
        <v>46126</v>
      </c>
      <c r="C1292" s="5">
        <v>2025021290</v>
      </c>
      <c r="D1292" s="2" t="s">
        <v>21</v>
      </c>
      <c r="E1292" s="2" t="s">
        <v>26</v>
      </c>
      <c r="F1292" s="2"/>
      <c r="G1292" s="2"/>
      <c r="H1292" s="2" t="str">
        <f t="shared" si="104"/>
        <v>_</v>
      </c>
      <c r="I1292" s="2"/>
      <c r="J1292" s="2"/>
      <c r="K1292" s="2"/>
      <c r="L1292" s="2" t="str">
        <f t="shared" si="105"/>
        <v>_</v>
      </c>
      <c r="M1292" s="2"/>
      <c r="N1292" s="2">
        <f>IF(ISBLANK(Table2[[#This Row],[ActualResult]]), 0, 1)</f>
        <v>0</v>
      </c>
      <c r="O1292" s="2" t="str">
        <f>IF(ISBLANK(Table2[[#This Row],[ActualResult]]), "_", IF(Table2[[#This Row],[ActualWinner]]=Table2[[#This Row],[PredictedWinner]], "Y", "N"))</f>
        <v>_</v>
      </c>
      <c r="P12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2" s="2"/>
      <c r="S1292" s="2" t="str">
        <f t="shared" si="106"/>
        <v>_</v>
      </c>
      <c r="T12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2" s="2">
        <f>IF(Table2[[#This Row],[InterConf]]=1,IF(Table2[[#This Row],[InterDiv]]=0, 1, 0), 0)</f>
        <v>1</v>
      </c>
      <c r="W12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2" s="2"/>
      <c r="Y1292" s="2"/>
      <c r="Z1292" s="145">
        <f>IF(AND(Table2[[#This Row],[GameIsOver]]=1,Table2[[#This Row],[ActualHomeScore]]*Table2[[#This Row],[ActualAwayScore]]=0), 1,0)</f>
        <v>0</v>
      </c>
      <c r="AA12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2" s="2">
        <f>Table2[[#This Row],[ActualAwayScore]]-Table2[[#This Row],[PredictedAwayScore]]</f>
        <v>0</v>
      </c>
      <c r="AG1292" s="2">
        <f>Table2[[#This Row],[ActualHomeScore]]-Table2[[#This Row],[PredictedHomeScore]]</f>
        <v>0</v>
      </c>
      <c r="AH1292" s="2">
        <f t="shared" si="107"/>
        <v>0</v>
      </c>
      <c r="AI1292" s="2">
        <f t="shared" si="108"/>
        <v>0</v>
      </c>
      <c r="AJ1292" s="2"/>
      <c r="AK1292" s="3"/>
      <c r="AL1292" s="2">
        <f>IF(Table2[[#This Row],[GameIsOver]]=0,0,IF(Table2[[#This Row],[ActualWinner]]=Table2[[#This Row],[AwayTeam]], 1, 0))</f>
        <v>0</v>
      </c>
      <c r="AM1292" s="2">
        <f>IF(Table2[[#This Row],[GameIsOver]]=0,0,IF(Table2[[#This Row],[ActualWinner]]=Table2[[#This Row],[HomeTeam]], 1, 0))</f>
        <v>0</v>
      </c>
      <c r="AN12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2" s="2" t="str">
        <f>INDEX(Sheet5!$B$2:$AG$33, MATCH(Table2[[#This Row],[AwayTeam]],Sheet5!$A$2:$A$33, 0), MATCH(Table2[[#This Row],[HomeTeam]],Sheet5!$A$2:$A$33, 0))</f>
        <v>0-0-0</v>
      </c>
      <c r="AP1292" s="2" t="str">
        <f>INDEX(Sheet5!$B$2:$AG$33, MATCH(Table2[[#This Row],[HomeTeam]],Sheet5!$A$2:$A$33, 0), MATCH(Table2[[#This Row],[AwayTeam]],Sheet5!$A$2:$A$33, 0))</f>
        <v>0-0-0</v>
      </c>
      <c r="AQ1292" s="2">
        <f>IF(Table2[[#This Row],[GameHasShutOut]], 1, 0)</f>
        <v>0</v>
      </c>
      <c r="AR1292" s="2">
        <f>IF(Table2[[#This Row],[ActualAwayScore]] + Table2[[#This Row],[ActualHomeScore]] &gt;= 10, 1, 0)</f>
        <v>0</v>
      </c>
      <c r="AS1292" s="2">
        <f>IF(ABS(Table2[[#This Row],[ActualAwayScore]]-Table2[[#This Row],[ActualHomeScore]])&gt;=5, 1, 0)</f>
        <v>0</v>
      </c>
      <c r="AT1292" s="2">
        <f>IF(Table2[[#This Row],[ActualAwayScore]] + Table2[[#This Row],[ActualHomeScore]] &lt;= 3, 1, 0)</f>
        <v>1</v>
      </c>
      <c r="AU1292" s="2"/>
      <c r="AV1292" s="2"/>
    </row>
    <row r="1293" spans="1:48" x14ac:dyDescent="0.25">
      <c r="A1293" s="3"/>
      <c r="B1293" s="3">
        <v>46126</v>
      </c>
      <c r="C1293" s="5">
        <v>2025021291</v>
      </c>
      <c r="D1293" s="2" t="s">
        <v>27</v>
      </c>
      <c r="E1293" s="2" t="s">
        <v>11</v>
      </c>
      <c r="F1293" s="2"/>
      <c r="G1293" s="2"/>
      <c r="H1293" s="2" t="str">
        <f t="shared" si="104"/>
        <v>_</v>
      </c>
      <c r="I1293" s="2"/>
      <c r="J1293" s="2"/>
      <c r="K1293" s="2"/>
      <c r="L1293" s="2" t="str">
        <f t="shared" si="105"/>
        <v>_</v>
      </c>
      <c r="M1293" s="2"/>
      <c r="N1293" s="2">
        <f>IF(ISBLANK(Table2[[#This Row],[ActualResult]]), 0, 1)</f>
        <v>0</v>
      </c>
      <c r="O1293" s="2" t="str">
        <f>IF(ISBLANK(Table2[[#This Row],[ActualResult]]), "_", IF(Table2[[#This Row],[ActualWinner]]=Table2[[#This Row],[PredictedWinner]], "Y", "N"))</f>
        <v>_</v>
      </c>
      <c r="P12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3" s="2"/>
      <c r="S1293" s="2" t="str">
        <f t="shared" si="106"/>
        <v>_</v>
      </c>
      <c r="T12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3" s="2">
        <f>IF(Table2[[#This Row],[InterConf]]=1,IF(Table2[[#This Row],[InterDiv]]=0, 1, 0), 0)</f>
        <v>0</v>
      </c>
      <c r="W12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3" s="2"/>
      <c r="Y1293" s="2"/>
      <c r="Z1293" s="145">
        <f>IF(AND(Table2[[#This Row],[GameIsOver]]=1,Table2[[#This Row],[ActualHomeScore]]*Table2[[#This Row],[ActualAwayScore]]=0), 1,0)</f>
        <v>0</v>
      </c>
      <c r="AA12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3" s="2">
        <f>Table2[[#This Row],[ActualAwayScore]]-Table2[[#This Row],[PredictedAwayScore]]</f>
        <v>0</v>
      </c>
      <c r="AG1293" s="2">
        <f>Table2[[#This Row],[ActualHomeScore]]-Table2[[#This Row],[PredictedHomeScore]]</f>
        <v>0</v>
      </c>
      <c r="AH1293" s="2">
        <f t="shared" si="107"/>
        <v>0</v>
      </c>
      <c r="AI1293" s="2">
        <f t="shared" si="108"/>
        <v>0</v>
      </c>
      <c r="AJ1293" s="2"/>
      <c r="AK1293" s="3"/>
      <c r="AL1293" s="2">
        <f>IF(Table2[[#This Row],[GameIsOver]]=0,0,IF(Table2[[#This Row],[ActualWinner]]=Table2[[#This Row],[AwayTeam]], 1, 0))</f>
        <v>0</v>
      </c>
      <c r="AM1293" s="2">
        <f>IF(Table2[[#This Row],[GameIsOver]]=0,0,IF(Table2[[#This Row],[ActualWinner]]=Table2[[#This Row],[HomeTeam]], 1, 0))</f>
        <v>0</v>
      </c>
      <c r="AN1293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93" s="2" t="str">
        <f>INDEX(Sheet5!$B$2:$AG$33, MATCH(Table2[[#This Row],[AwayTeam]],Sheet5!$A$2:$A$33, 0), MATCH(Table2[[#This Row],[HomeTeam]],Sheet5!$A$2:$A$33, 0))</f>
        <v>0-0-0</v>
      </c>
      <c r="AP1293" s="2" t="str">
        <f>INDEX(Sheet5!$B$2:$AG$33, MATCH(Table2[[#This Row],[HomeTeam]],Sheet5!$A$2:$A$33, 0), MATCH(Table2[[#This Row],[AwayTeam]],Sheet5!$A$2:$A$33, 0))</f>
        <v>0-0-0</v>
      </c>
      <c r="AQ1293" s="2">
        <f>IF(Table2[[#This Row],[GameHasShutOut]], 1, 0)</f>
        <v>0</v>
      </c>
      <c r="AR1293" s="2">
        <f>IF(Table2[[#This Row],[ActualAwayScore]] + Table2[[#This Row],[ActualHomeScore]] &gt;= 10, 1, 0)</f>
        <v>0</v>
      </c>
      <c r="AS1293" s="2">
        <f>IF(ABS(Table2[[#This Row],[ActualAwayScore]]-Table2[[#This Row],[ActualHomeScore]])&gt;=5, 1, 0)</f>
        <v>0</v>
      </c>
      <c r="AT1293" s="2">
        <f>IF(Table2[[#This Row],[ActualAwayScore]] + Table2[[#This Row],[ActualHomeScore]] &lt;= 3, 1, 0)</f>
        <v>1</v>
      </c>
      <c r="AU1293" s="2"/>
      <c r="AV1293" s="2"/>
    </row>
    <row r="1294" spans="1:48" x14ac:dyDescent="0.25">
      <c r="A1294" s="3"/>
      <c r="B1294" s="3">
        <v>46126</v>
      </c>
      <c r="C1294" s="5">
        <v>2025021292</v>
      </c>
      <c r="D1294" s="2" t="s">
        <v>31</v>
      </c>
      <c r="E1294" s="2" t="s">
        <v>15</v>
      </c>
      <c r="F1294" s="2"/>
      <c r="G1294" s="2"/>
      <c r="H1294" s="2" t="str">
        <f t="shared" si="104"/>
        <v>_</v>
      </c>
      <c r="I1294" s="2"/>
      <c r="J1294" s="2"/>
      <c r="K1294" s="2"/>
      <c r="L1294" s="2" t="str">
        <f t="shared" si="105"/>
        <v>_</v>
      </c>
      <c r="M1294" s="2"/>
      <c r="N1294" s="2">
        <f>IF(ISBLANK(Table2[[#This Row],[ActualResult]]), 0, 1)</f>
        <v>0</v>
      </c>
      <c r="O1294" s="2" t="str">
        <f>IF(ISBLANK(Table2[[#This Row],[ActualResult]]), "_", IF(Table2[[#This Row],[ActualWinner]]=Table2[[#This Row],[PredictedWinner]], "Y", "N"))</f>
        <v>_</v>
      </c>
      <c r="P12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4" s="2"/>
      <c r="S1294" s="2" t="str">
        <f t="shared" si="106"/>
        <v>_</v>
      </c>
      <c r="T12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4" s="2">
        <f>IF(Table2[[#This Row],[InterConf]]=1,IF(Table2[[#This Row],[InterDiv]]=0, 1, 0), 0)</f>
        <v>1</v>
      </c>
      <c r="W12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4" s="2"/>
      <c r="Y1294" s="2"/>
      <c r="Z1294" s="145">
        <f>IF(AND(Table2[[#This Row],[GameIsOver]]=1,Table2[[#This Row],[ActualHomeScore]]*Table2[[#This Row],[ActualAwayScore]]=0), 1,0)</f>
        <v>0</v>
      </c>
      <c r="AA12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4" s="2">
        <f>Table2[[#This Row],[ActualAwayScore]]-Table2[[#This Row],[PredictedAwayScore]]</f>
        <v>0</v>
      </c>
      <c r="AG1294" s="2">
        <f>Table2[[#This Row],[ActualHomeScore]]-Table2[[#This Row],[PredictedHomeScore]]</f>
        <v>0</v>
      </c>
      <c r="AH1294" s="2">
        <f t="shared" si="107"/>
        <v>0</v>
      </c>
      <c r="AI1294" s="2">
        <f t="shared" si="108"/>
        <v>0</v>
      </c>
      <c r="AJ1294" s="2"/>
      <c r="AK1294" s="3"/>
      <c r="AL1294" s="2">
        <f>IF(Table2[[#This Row],[GameIsOver]]=0,0,IF(Table2[[#This Row],[ActualWinner]]=Table2[[#This Row],[AwayTeam]], 1, 0))</f>
        <v>0</v>
      </c>
      <c r="AM1294" s="2">
        <f>IF(Table2[[#This Row],[GameIsOver]]=0,0,IF(Table2[[#This Row],[ActualWinner]]=Table2[[#This Row],[HomeTeam]], 1, 0))</f>
        <v>0</v>
      </c>
      <c r="AN12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4" s="2" t="str">
        <f>INDEX(Sheet5!$B$2:$AG$33, MATCH(Table2[[#This Row],[AwayTeam]],Sheet5!$A$2:$A$33, 0), MATCH(Table2[[#This Row],[HomeTeam]],Sheet5!$A$2:$A$33, 0))</f>
        <v>0-0-0</v>
      </c>
      <c r="AP1294" s="2" t="str">
        <f>INDEX(Sheet5!$B$2:$AG$33, MATCH(Table2[[#This Row],[HomeTeam]],Sheet5!$A$2:$A$33, 0), MATCH(Table2[[#This Row],[AwayTeam]],Sheet5!$A$2:$A$33, 0))</f>
        <v>0-0-0</v>
      </c>
      <c r="AQ1294" s="2">
        <f>IF(Table2[[#This Row],[GameHasShutOut]], 1, 0)</f>
        <v>0</v>
      </c>
      <c r="AR1294" s="2">
        <f>IF(Table2[[#This Row],[ActualAwayScore]] + Table2[[#This Row],[ActualHomeScore]] &gt;= 10, 1, 0)</f>
        <v>0</v>
      </c>
      <c r="AS1294" s="2">
        <f>IF(ABS(Table2[[#This Row],[ActualAwayScore]]-Table2[[#This Row],[ActualHomeScore]])&gt;=5, 1, 0)</f>
        <v>0</v>
      </c>
      <c r="AT1294" s="2">
        <f>IF(Table2[[#This Row],[ActualAwayScore]] + Table2[[#This Row],[ActualHomeScore]] &lt;= 3, 1, 0)</f>
        <v>1</v>
      </c>
      <c r="AU1294" s="2"/>
      <c r="AV1294" s="2"/>
    </row>
    <row r="1295" spans="1:48" x14ac:dyDescent="0.25">
      <c r="A1295" s="3"/>
      <c r="B1295" s="3">
        <v>46126</v>
      </c>
      <c r="C1295" s="5">
        <v>2025021293</v>
      </c>
      <c r="D1295" s="2" t="s">
        <v>41</v>
      </c>
      <c r="E1295" s="2" t="s">
        <v>32</v>
      </c>
      <c r="F1295" s="2"/>
      <c r="G1295" s="2"/>
      <c r="H1295" s="2" t="str">
        <f t="shared" si="104"/>
        <v>_</v>
      </c>
      <c r="I1295" s="2"/>
      <c r="J1295" s="2"/>
      <c r="K1295" s="2"/>
      <c r="L1295" s="2" t="str">
        <f t="shared" si="105"/>
        <v>_</v>
      </c>
      <c r="M1295" s="2"/>
      <c r="N1295" s="2">
        <f>IF(ISBLANK(Table2[[#This Row],[ActualResult]]), 0, 1)</f>
        <v>0</v>
      </c>
      <c r="O1295" s="2" t="str">
        <f>IF(ISBLANK(Table2[[#This Row],[ActualResult]]), "_", IF(Table2[[#This Row],[ActualWinner]]=Table2[[#This Row],[PredictedWinner]], "Y", "N"))</f>
        <v>_</v>
      </c>
      <c r="P12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5" s="2"/>
      <c r="S1295" s="2" t="str">
        <f t="shared" si="106"/>
        <v>_</v>
      </c>
      <c r="T12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5" s="2">
        <f>IF(Table2[[#This Row],[InterConf]]=1,IF(Table2[[#This Row],[InterDiv]]=0, 1, 0), 0)</f>
        <v>0</v>
      </c>
      <c r="W12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5" s="2"/>
      <c r="Y1295" s="2"/>
      <c r="Z1295" s="145">
        <f>IF(AND(Table2[[#This Row],[GameIsOver]]=1,Table2[[#This Row],[ActualHomeScore]]*Table2[[#This Row],[ActualAwayScore]]=0), 1,0)</f>
        <v>0</v>
      </c>
      <c r="AA12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5" s="2">
        <f>Table2[[#This Row],[ActualAwayScore]]-Table2[[#This Row],[PredictedAwayScore]]</f>
        <v>0</v>
      </c>
      <c r="AG1295" s="2">
        <f>Table2[[#This Row],[ActualHomeScore]]-Table2[[#This Row],[PredictedHomeScore]]</f>
        <v>0</v>
      </c>
      <c r="AH1295" s="2">
        <f t="shared" si="107"/>
        <v>0</v>
      </c>
      <c r="AI1295" s="2">
        <f t="shared" si="108"/>
        <v>0</v>
      </c>
      <c r="AJ1295" s="2"/>
      <c r="AK1295" s="3"/>
      <c r="AL1295" s="2">
        <f>IF(Table2[[#This Row],[GameIsOver]]=0,0,IF(Table2[[#This Row],[ActualWinner]]=Table2[[#This Row],[AwayTeam]], 1, 0))</f>
        <v>0</v>
      </c>
      <c r="AM1295" s="2">
        <f>IF(Table2[[#This Row],[GameIsOver]]=0,0,IF(Table2[[#This Row],[ActualWinner]]=Table2[[#This Row],[HomeTeam]], 1, 0))</f>
        <v>0</v>
      </c>
      <c r="AN12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5" s="2" t="str">
        <f>INDEX(Sheet5!$B$2:$AG$33, MATCH(Table2[[#This Row],[AwayTeam]],Sheet5!$A$2:$A$33, 0), MATCH(Table2[[#This Row],[HomeTeam]],Sheet5!$A$2:$A$33, 0))</f>
        <v>0-0-0</v>
      </c>
      <c r="AP1295" s="2" t="str">
        <f>INDEX(Sheet5!$B$2:$AG$33, MATCH(Table2[[#This Row],[HomeTeam]],Sheet5!$A$2:$A$33, 0), MATCH(Table2[[#This Row],[AwayTeam]],Sheet5!$A$2:$A$33, 0))</f>
        <v>0-0-0</v>
      </c>
      <c r="AQ1295" s="2">
        <f>IF(Table2[[#This Row],[GameHasShutOut]], 1, 0)</f>
        <v>0</v>
      </c>
      <c r="AR1295" s="2">
        <f>IF(Table2[[#This Row],[ActualAwayScore]] + Table2[[#This Row],[ActualHomeScore]] &gt;= 10, 1, 0)</f>
        <v>0</v>
      </c>
      <c r="AS1295" s="2">
        <f>IF(ABS(Table2[[#This Row],[ActualAwayScore]]-Table2[[#This Row],[ActualHomeScore]])&gt;=5, 1, 0)</f>
        <v>0</v>
      </c>
      <c r="AT1295" s="2">
        <f>IF(Table2[[#This Row],[ActualAwayScore]] + Table2[[#This Row],[ActualHomeScore]] &lt;= 3, 1, 0)</f>
        <v>1</v>
      </c>
      <c r="AU1295" s="2"/>
      <c r="AV1295" s="2"/>
    </row>
    <row r="1296" spans="1:48" x14ac:dyDescent="0.25">
      <c r="A1296" s="3"/>
      <c r="B1296" s="3">
        <v>46126</v>
      </c>
      <c r="C1296" s="5">
        <v>2025021294</v>
      </c>
      <c r="D1296" s="2" t="s">
        <v>18</v>
      </c>
      <c r="E1296" s="2" t="s">
        <v>42</v>
      </c>
      <c r="F1296" s="2"/>
      <c r="G1296" s="2"/>
      <c r="H1296" s="2" t="str">
        <f t="shared" si="104"/>
        <v>_</v>
      </c>
      <c r="I1296" s="2"/>
      <c r="J1296" s="2"/>
      <c r="K1296" s="2"/>
      <c r="L1296" s="2" t="str">
        <f t="shared" si="105"/>
        <v>_</v>
      </c>
      <c r="M1296" s="2"/>
      <c r="N1296" s="2">
        <f>IF(ISBLANK(Table2[[#This Row],[ActualResult]]), 0, 1)</f>
        <v>0</v>
      </c>
      <c r="O1296" s="2" t="str">
        <f>IF(ISBLANK(Table2[[#This Row],[ActualResult]]), "_", IF(Table2[[#This Row],[ActualWinner]]=Table2[[#This Row],[PredictedWinner]], "Y", "N"))</f>
        <v>_</v>
      </c>
      <c r="P12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6" s="2"/>
      <c r="S1296" s="2" t="str">
        <f t="shared" si="106"/>
        <v>_</v>
      </c>
      <c r="T12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6" s="2">
        <f>IF(Table2[[#This Row],[InterConf]]=1,IF(Table2[[#This Row],[InterDiv]]=0, 1, 0), 0)</f>
        <v>1</v>
      </c>
      <c r="W12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6" s="2"/>
      <c r="Y1296" s="2"/>
      <c r="Z1296" s="145">
        <f>IF(AND(Table2[[#This Row],[GameIsOver]]=1,Table2[[#This Row],[ActualHomeScore]]*Table2[[#This Row],[ActualAwayScore]]=0), 1,0)</f>
        <v>0</v>
      </c>
      <c r="AA12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6" s="2">
        <f>Table2[[#This Row],[ActualAwayScore]]-Table2[[#This Row],[PredictedAwayScore]]</f>
        <v>0</v>
      </c>
      <c r="AG1296" s="2">
        <f>Table2[[#This Row],[ActualHomeScore]]-Table2[[#This Row],[PredictedHomeScore]]</f>
        <v>0</v>
      </c>
      <c r="AH1296" s="2">
        <f t="shared" si="107"/>
        <v>0</v>
      </c>
      <c r="AI1296" s="2">
        <f t="shared" si="108"/>
        <v>0</v>
      </c>
      <c r="AJ1296" s="2"/>
      <c r="AK1296" s="3"/>
      <c r="AL1296" s="2">
        <f>IF(Table2[[#This Row],[GameIsOver]]=0,0,IF(Table2[[#This Row],[ActualWinner]]=Table2[[#This Row],[AwayTeam]], 1, 0))</f>
        <v>0</v>
      </c>
      <c r="AM1296" s="2">
        <f>IF(Table2[[#This Row],[GameIsOver]]=0,0,IF(Table2[[#This Row],[ActualWinner]]=Table2[[#This Row],[HomeTeam]], 1, 0))</f>
        <v>0</v>
      </c>
      <c r="AN12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6" s="2" t="str">
        <f>INDEX(Sheet5!$B$2:$AG$33, MATCH(Table2[[#This Row],[AwayTeam]],Sheet5!$A$2:$A$33, 0), MATCH(Table2[[#This Row],[HomeTeam]],Sheet5!$A$2:$A$33, 0))</f>
        <v>0-0-0</v>
      </c>
      <c r="AP1296" s="2" t="str">
        <f>INDEX(Sheet5!$B$2:$AG$33, MATCH(Table2[[#This Row],[HomeTeam]],Sheet5!$A$2:$A$33, 0), MATCH(Table2[[#This Row],[AwayTeam]],Sheet5!$A$2:$A$33, 0))</f>
        <v>0-0-0</v>
      </c>
      <c r="AQ1296" s="2">
        <f>IF(Table2[[#This Row],[GameHasShutOut]], 1, 0)</f>
        <v>0</v>
      </c>
      <c r="AR1296" s="2">
        <f>IF(Table2[[#This Row],[ActualAwayScore]] + Table2[[#This Row],[ActualHomeScore]] &gt;= 10, 1, 0)</f>
        <v>0</v>
      </c>
      <c r="AS1296" s="2">
        <f>IF(ABS(Table2[[#This Row],[ActualAwayScore]]-Table2[[#This Row],[ActualHomeScore]])&gt;=5, 1, 0)</f>
        <v>0</v>
      </c>
      <c r="AT1296" s="2">
        <f>IF(Table2[[#This Row],[ActualAwayScore]] + Table2[[#This Row],[ActualHomeScore]] &lt;= 3, 1, 0)</f>
        <v>1</v>
      </c>
      <c r="AU1296" s="2"/>
      <c r="AV1296" s="2"/>
    </row>
    <row r="1297" spans="1:48" x14ac:dyDescent="0.25">
      <c r="A1297" s="3"/>
      <c r="B1297" s="3">
        <v>46126</v>
      </c>
      <c r="C1297" s="5">
        <v>2025021295</v>
      </c>
      <c r="D1297" s="2" t="s">
        <v>43</v>
      </c>
      <c r="E1297" s="2" t="s">
        <v>35</v>
      </c>
      <c r="F1297" s="2"/>
      <c r="G1297" s="2"/>
      <c r="H1297" s="2" t="str">
        <f t="shared" si="104"/>
        <v>_</v>
      </c>
      <c r="I1297" s="2"/>
      <c r="J1297" s="2"/>
      <c r="K1297" s="2"/>
      <c r="L1297" s="2" t="str">
        <f t="shared" si="105"/>
        <v>_</v>
      </c>
      <c r="M1297" s="2"/>
      <c r="N1297" s="2">
        <f>IF(ISBLANK(Table2[[#This Row],[ActualResult]]), 0, 1)</f>
        <v>0</v>
      </c>
      <c r="O1297" s="2" t="str">
        <f>IF(ISBLANK(Table2[[#This Row],[ActualResult]]), "_", IF(Table2[[#This Row],[ActualWinner]]=Table2[[#This Row],[PredictedWinner]], "Y", "N"))</f>
        <v>_</v>
      </c>
      <c r="P12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7" s="2"/>
      <c r="S1297" s="2" t="str">
        <f t="shared" si="106"/>
        <v>_</v>
      </c>
      <c r="T12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7" s="2">
        <f>IF(Table2[[#This Row],[InterConf]]=1,IF(Table2[[#This Row],[InterDiv]]=0, 1, 0), 0)</f>
        <v>0</v>
      </c>
      <c r="W12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7" s="2"/>
      <c r="Y1297" s="2"/>
      <c r="Z1297" s="145">
        <f>IF(AND(Table2[[#This Row],[GameIsOver]]=1,Table2[[#This Row],[ActualHomeScore]]*Table2[[#This Row],[ActualAwayScore]]=0), 1,0)</f>
        <v>0</v>
      </c>
      <c r="AA12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7" s="2">
        <f>Table2[[#This Row],[ActualAwayScore]]-Table2[[#This Row],[PredictedAwayScore]]</f>
        <v>0</v>
      </c>
      <c r="AG1297" s="2">
        <f>Table2[[#This Row],[ActualHomeScore]]-Table2[[#This Row],[PredictedHomeScore]]</f>
        <v>0</v>
      </c>
      <c r="AH1297" s="2">
        <f t="shared" si="107"/>
        <v>0</v>
      </c>
      <c r="AI1297" s="2">
        <f t="shared" si="108"/>
        <v>0</v>
      </c>
      <c r="AJ1297" s="2"/>
      <c r="AK1297" s="3"/>
      <c r="AL1297" s="2">
        <f>IF(Table2[[#This Row],[GameIsOver]]=0,0,IF(Table2[[#This Row],[ActualWinner]]=Table2[[#This Row],[AwayTeam]], 1, 0))</f>
        <v>0</v>
      </c>
      <c r="AM1297" s="2">
        <f>IF(Table2[[#This Row],[GameIsOver]]=0,0,IF(Table2[[#This Row],[ActualWinner]]=Table2[[#This Row],[HomeTeam]], 1, 0))</f>
        <v>0</v>
      </c>
      <c r="AN12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7" s="2" t="str">
        <f>INDEX(Sheet5!$B$2:$AG$33, MATCH(Table2[[#This Row],[AwayTeam]],Sheet5!$A$2:$A$33, 0), MATCH(Table2[[#This Row],[HomeTeam]],Sheet5!$A$2:$A$33, 0))</f>
        <v>0-0-0</v>
      </c>
      <c r="AP1297" s="2" t="str">
        <f>INDEX(Sheet5!$B$2:$AG$33, MATCH(Table2[[#This Row],[HomeTeam]],Sheet5!$A$2:$A$33, 0), MATCH(Table2[[#This Row],[AwayTeam]],Sheet5!$A$2:$A$33, 0))</f>
        <v>0-0-0</v>
      </c>
      <c r="AQ1297" s="2">
        <f>IF(Table2[[#This Row],[GameHasShutOut]], 1, 0)</f>
        <v>0</v>
      </c>
      <c r="AR1297" s="2">
        <f>IF(Table2[[#This Row],[ActualAwayScore]] + Table2[[#This Row],[ActualHomeScore]] &gt;= 10, 1, 0)</f>
        <v>0</v>
      </c>
      <c r="AS1297" s="2">
        <f>IF(ABS(Table2[[#This Row],[ActualAwayScore]]-Table2[[#This Row],[ActualHomeScore]])&gt;=5, 1, 0)</f>
        <v>0</v>
      </c>
      <c r="AT1297" s="2">
        <f>IF(Table2[[#This Row],[ActualAwayScore]] + Table2[[#This Row],[ActualHomeScore]] &lt;= 3, 1, 0)</f>
        <v>1</v>
      </c>
      <c r="AU1297" s="2"/>
      <c r="AV1297" s="2"/>
    </row>
    <row r="1298" spans="1:48" x14ac:dyDescent="0.25">
      <c r="A1298" s="3"/>
      <c r="B1298" s="3">
        <v>46127</v>
      </c>
      <c r="C1298" s="5">
        <v>2025021296</v>
      </c>
      <c r="D1298" s="2" t="s">
        <v>44</v>
      </c>
      <c r="E1298" s="2" t="s">
        <v>36</v>
      </c>
      <c r="F1298" s="2"/>
      <c r="G1298" s="2"/>
      <c r="H1298" s="2" t="str">
        <f t="shared" si="104"/>
        <v>_</v>
      </c>
      <c r="I1298" s="2"/>
      <c r="J1298" s="2"/>
      <c r="K1298" s="2"/>
      <c r="L1298" s="2" t="str">
        <f t="shared" si="105"/>
        <v>_</v>
      </c>
      <c r="M1298" s="2"/>
      <c r="N1298" s="2">
        <f>IF(ISBLANK(Table2[[#This Row],[ActualResult]]), 0, 1)</f>
        <v>0</v>
      </c>
      <c r="O1298" s="2" t="str">
        <f>IF(ISBLANK(Table2[[#This Row],[ActualResult]]), "_", IF(Table2[[#This Row],[ActualWinner]]=Table2[[#This Row],[PredictedWinner]], "Y", "N"))</f>
        <v>_</v>
      </c>
      <c r="P12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8" s="2"/>
      <c r="S1298" s="2" t="str">
        <f t="shared" si="106"/>
        <v>_</v>
      </c>
      <c r="T12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8" s="2">
        <f>IF(Table2[[#This Row],[InterConf]]=1,IF(Table2[[#This Row],[InterDiv]]=0, 1, 0), 0)</f>
        <v>1</v>
      </c>
      <c r="W12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8" s="2"/>
      <c r="Y1298" s="2"/>
      <c r="Z1298" s="145">
        <f>IF(AND(Table2[[#This Row],[GameIsOver]]=1,Table2[[#This Row],[ActualHomeScore]]*Table2[[#This Row],[ActualAwayScore]]=0), 1,0)</f>
        <v>0</v>
      </c>
      <c r="AA12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98" s="2">
        <f>Table2[[#This Row],[ActualAwayScore]]-Table2[[#This Row],[PredictedAwayScore]]</f>
        <v>0</v>
      </c>
      <c r="AG1298" s="2">
        <f>Table2[[#This Row],[ActualHomeScore]]-Table2[[#This Row],[PredictedHomeScore]]</f>
        <v>0</v>
      </c>
      <c r="AH1298" s="2">
        <f t="shared" si="107"/>
        <v>0</v>
      </c>
      <c r="AI1298" s="2">
        <f t="shared" si="108"/>
        <v>0</v>
      </c>
      <c r="AJ1298" s="2"/>
      <c r="AK1298" s="3"/>
      <c r="AL1298" s="2">
        <f>IF(Table2[[#This Row],[GameIsOver]]=0,0,IF(Table2[[#This Row],[ActualWinner]]=Table2[[#This Row],[AwayTeam]], 1, 0))</f>
        <v>0</v>
      </c>
      <c r="AM1298" s="2">
        <f>IF(Table2[[#This Row],[GameIsOver]]=0,0,IF(Table2[[#This Row],[ActualWinner]]=Table2[[#This Row],[HomeTeam]], 1, 0))</f>
        <v>0</v>
      </c>
      <c r="AN12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8" s="2" t="str">
        <f>INDEX(Sheet5!$B$2:$AG$33, MATCH(Table2[[#This Row],[AwayTeam]],Sheet5!$A$2:$A$33, 0), MATCH(Table2[[#This Row],[HomeTeam]],Sheet5!$A$2:$A$33, 0))</f>
        <v>0-0-0</v>
      </c>
      <c r="AP1298" s="2" t="str">
        <f>INDEX(Sheet5!$B$2:$AG$33, MATCH(Table2[[#This Row],[HomeTeam]],Sheet5!$A$2:$A$33, 0), MATCH(Table2[[#This Row],[AwayTeam]],Sheet5!$A$2:$A$33, 0))</f>
        <v>0-0-0</v>
      </c>
      <c r="AQ1298" s="2">
        <f>IF(Table2[[#This Row],[GameHasShutOut]], 1, 0)</f>
        <v>0</v>
      </c>
      <c r="AR1298" s="2">
        <f>IF(Table2[[#This Row],[ActualAwayScore]] + Table2[[#This Row],[ActualHomeScore]] &gt;= 10, 1, 0)</f>
        <v>0</v>
      </c>
      <c r="AS1298" s="2">
        <f>IF(ABS(Table2[[#This Row],[ActualAwayScore]]-Table2[[#This Row],[ActualHomeScore]])&gt;=5, 1, 0)</f>
        <v>0</v>
      </c>
      <c r="AT1298" s="2">
        <f>IF(Table2[[#This Row],[ActualAwayScore]] + Table2[[#This Row],[ActualHomeScore]] &lt;= 3, 1, 0)</f>
        <v>1</v>
      </c>
      <c r="AU1298" s="2"/>
      <c r="AV1298" s="2"/>
    </row>
    <row r="1299" spans="1:48" x14ac:dyDescent="0.25">
      <c r="A1299" s="3"/>
      <c r="B1299" s="3">
        <v>46127</v>
      </c>
      <c r="C1299" s="5">
        <v>2025021297</v>
      </c>
      <c r="D1299" s="2" t="s">
        <v>21</v>
      </c>
      <c r="E1299" s="2" t="s">
        <v>14</v>
      </c>
      <c r="F1299" s="2"/>
      <c r="G1299" s="2"/>
      <c r="H1299" s="2" t="str">
        <f t="shared" si="104"/>
        <v>_</v>
      </c>
      <c r="I1299" s="2"/>
      <c r="J1299" s="2"/>
      <c r="K1299" s="2"/>
      <c r="L1299" s="2" t="str">
        <f t="shared" si="105"/>
        <v>_</v>
      </c>
      <c r="M1299" s="2"/>
      <c r="N1299" s="2">
        <f>IF(ISBLANK(Table2[[#This Row],[ActualResult]]), 0, 1)</f>
        <v>0</v>
      </c>
      <c r="O1299" s="2" t="str">
        <f>IF(ISBLANK(Table2[[#This Row],[ActualResult]]), "_", IF(Table2[[#This Row],[ActualWinner]]=Table2[[#This Row],[PredictedWinner]], "Y", "N"))</f>
        <v>_</v>
      </c>
      <c r="P12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9" s="2"/>
      <c r="S1299" s="2" t="str">
        <f t="shared" si="106"/>
        <v>_</v>
      </c>
      <c r="T12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9" s="2">
        <f>IF(Table2[[#This Row],[InterConf]]=1,IF(Table2[[#This Row],[InterDiv]]=0, 1, 0), 0)</f>
        <v>0</v>
      </c>
      <c r="W12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9" s="2"/>
      <c r="Y1299" s="2"/>
      <c r="Z1299" s="145">
        <f>IF(AND(Table2[[#This Row],[GameIsOver]]=1,Table2[[#This Row],[ActualHomeScore]]*Table2[[#This Row],[ActualAwayScore]]=0), 1,0)</f>
        <v>0</v>
      </c>
      <c r="AA12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99" s="2">
        <f>Table2[[#This Row],[ActualAwayScore]]-Table2[[#This Row],[PredictedAwayScore]]</f>
        <v>0</v>
      </c>
      <c r="AG1299" s="2">
        <f>Table2[[#This Row],[ActualHomeScore]]-Table2[[#This Row],[PredictedHomeScore]]</f>
        <v>0</v>
      </c>
      <c r="AH1299" s="2">
        <f t="shared" si="107"/>
        <v>0</v>
      </c>
      <c r="AI1299" s="2">
        <f t="shared" si="108"/>
        <v>0</v>
      </c>
      <c r="AJ1299" s="2"/>
      <c r="AK1299" s="3"/>
      <c r="AL1299" s="2">
        <f>IF(Table2[[#This Row],[GameIsOver]]=0,0,IF(Table2[[#This Row],[ActualWinner]]=Table2[[#This Row],[AwayTeam]], 1, 0))</f>
        <v>0</v>
      </c>
      <c r="AM1299" s="2">
        <f>IF(Table2[[#This Row],[GameIsOver]]=0,0,IF(Table2[[#This Row],[ActualWinner]]=Table2[[#This Row],[HomeTeam]], 1, 0))</f>
        <v>0</v>
      </c>
      <c r="AN12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9" s="2" t="str">
        <f>INDEX(Sheet5!$B$2:$AG$33, MATCH(Table2[[#This Row],[AwayTeam]],Sheet5!$A$2:$A$33, 0), MATCH(Table2[[#This Row],[HomeTeam]],Sheet5!$A$2:$A$33, 0))</f>
        <v>0-0-0</v>
      </c>
      <c r="AP1299" s="2" t="str">
        <f>INDEX(Sheet5!$B$2:$AG$33, MATCH(Table2[[#This Row],[HomeTeam]],Sheet5!$A$2:$A$33, 0), MATCH(Table2[[#This Row],[AwayTeam]],Sheet5!$A$2:$A$33, 0))</f>
        <v>0-0-0</v>
      </c>
      <c r="AQ1299" s="2">
        <f>IF(Table2[[#This Row],[GameHasShutOut]], 1, 0)</f>
        <v>0</v>
      </c>
      <c r="AR1299" s="2">
        <f>IF(Table2[[#This Row],[ActualAwayScore]] + Table2[[#This Row],[ActualHomeScore]] &gt;= 10, 1, 0)</f>
        <v>0</v>
      </c>
      <c r="AS1299" s="2">
        <f>IF(ABS(Table2[[#This Row],[ActualAwayScore]]-Table2[[#This Row],[ActualHomeScore]])&gt;=5, 1, 0)</f>
        <v>0</v>
      </c>
      <c r="AT1299" s="2">
        <f>IF(Table2[[#This Row],[ActualAwayScore]] + Table2[[#This Row],[ActualHomeScore]] &lt;= 3, 1, 0)</f>
        <v>1</v>
      </c>
      <c r="AU1299" s="2"/>
      <c r="AV1299" s="2"/>
    </row>
    <row r="1300" spans="1:48" x14ac:dyDescent="0.25">
      <c r="A1300" s="3"/>
      <c r="B1300" s="3">
        <v>46127</v>
      </c>
      <c r="C1300" s="5">
        <v>2025021298</v>
      </c>
      <c r="D1300" s="2" t="s">
        <v>25</v>
      </c>
      <c r="E1300" s="2" t="s">
        <v>23</v>
      </c>
      <c r="F1300" s="2"/>
      <c r="G1300" s="2"/>
      <c r="H1300" s="2" t="str">
        <f t="shared" si="104"/>
        <v>_</v>
      </c>
      <c r="I1300" s="2"/>
      <c r="J1300" s="2"/>
      <c r="K1300" s="2"/>
      <c r="L1300" s="2" t="str">
        <f t="shared" si="105"/>
        <v>_</v>
      </c>
      <c r="M1300" s="2"/>
      <c r="N1300" s="2">
        <f>IF(ISBLANK(Table2[[#This Row],[ActualResult]]), 0, 1)</f>
        <v>0</v>
      </c>
      <c r="O1300" s="2" t="str">
        <f>IF(ISBLANK(Table2[[#This Row],[ActualResult]]), "_", IF(Table2[[#This Row],[ActualWinner]]=Table2[[#This Row],[PredictedWinner]], "Y", "N"))</f>
        <v>_</v>
      </c>
      <c r="P13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0" s="2"/>
      <c r="S1300" s="2" t="str">
        <f t="shared" si="106"/>
        <v>_</v>
      </c>
      <c r="T13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0" s="2">
        <f>IF(Table2[[#This Row],[InterConf]]=1,IF(Table2[[#This Row],[InterDiv]]=0, 1, 0), 0)</f>
        <v>1</v>
      </c>
      <c r="W13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0" s="2"/>
      <c r="Y1300" s="2"/>
      <c r="Z1300" s="145">
        <f>IF(AND(Table2[[#This Row],[GameIsOver]]=1,Table2[[#This Row],[ActualHomeScore]]*Table2[[#This Row],[ActualAwayScore]]=0), 1,0)</f>
        <v>0</v>
      </c>
      <c r="AA13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0" s="2">
        <f>Table2[[#This Row],[ActualAwayScore]]-Table2[[#This Row],[PredictedAwayScore]]</f>
        <v>0</v>
      </c>
      <c r="AG1300" s="2">
        <f>Table2[[#This Row],[ActualHomeScore]]-Table2[[#This Row],[PredictedHomeScore]]</f>
        <v>0</v>
      </c>
      <c r="AH1300" s="2">
        <f t="shared" si="107"/>
        <v>0</v>
      </c>
      <c r="AI1300" s="2">
        <f t="shared" si="108"/>
        <v>0</v>
      </c>
      <c r="AJ1300" s="2"/>
      <c r="AK1300" s="3"/>
      <c r="AL1300" s="2">
        <f>IF(Table2[[#This Row],[GameIsOver]]=0,0,IF(Table2[[#This Row],[ActualWinner]]=Table2[[#This Row],[AwayTeam]], 1, 0))</f>
        <v>0</v>
      </c>
      <c r="AM1300" s="2">
        <f>IF(Table2[[#This Row],[GameIsOver]]=0,0,IF(Table2[[#This Row],[ActualWinner]]=Table2[[#This Row],[HomeTeam]], 1, 0))</f>
        <v>0</v>
      </c>
      <c r="AN13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0" s="2" t="str">
        <f>INDEX(Sheet5!$B$2:$AG$33, MATCH(Table2[[#This Row],[AwayTeam]],Sheet5!$A$2:$A$33, 0), MATCH(Table2[[#This Row],[HomeTeam]],Sheet5!$A$2:$A$33, 0))</f>
        <v>0-0-0</v>
      </c>
      <c r="AP1300" s="2" t="str">
        <f>INDEX(Sheet5!$B$2:$AG$33, MATCH(Table2[[#This Row],[HomeTeam]],Sheet5!$A$2:$A$33, 0), MATCH(Table2[[#This Row],[AwayTeam]],Sheet5!$A$2:$A$33, 0))</f>
        <v>0-0-0</v>
      </c>
      <c r="AQ1300" s="2">
        <f>IF(Table2[[#This Row],[GameHasShutOut]], 1, 0)</f>
        <v>0</v>
      </c>
      <c r="AR1300" s="2">
        <f>IF(Table2[[#This Row],[ActualAwayScore]] + Table2[[#This Row],[ActualHomeScore]] &gt;= 10, 1, 0)</f>
        <v>0</v>
      </c>
      <c r="AS1300" s="2">
        <f>IF(ABS(Table2[[#This Row],[ActualAwayScore]]-Table2[[#This Row],[ActualHomeScore]])&gt;=5, 1, 0)</f>
        <v>0</v>
      </c>
      <c r="AT1300" s="2">
        <f>IF(Table2[[#This Row],[ActualAwayScore]] + Table2[[#This Row],[ActualHomeScore]] &lt;= 3, 1, 0)</f>
        <v>1</v>
      </c>
      <c r="AU1300" s="2"/>
      <c r="AV1300" s="2"/>
    </row>
    <row r="1301" spans="1:48" x14ac:dyDescent="0.25">
      <c r="A1301" s="3"/>
      <c r="B1301" s="3">
        <v>46127</v>
      </c>
      <c r="C1301" s="5">
        <v>2025021299</v>
      </c>
      <c r="D1301" s="2" t="s">
        <v>20</v>
      </c>
      <c r="E1301" s="2" t="s">
        <v>12</v>
      </c>
      <c r="F1301" s="2"/>
      <c r="G1301" s="2"/>
      <c r="H1301" s="2" t="str">
        <f t="shared" si="104"/>
        <v>_</v>
      </c>
      <c r="I1301" s="2"/>
      <c r="J1301" s="2"/>
      <c r="K1301" s="2"/>
      <c r="L1301" s="2" t="str">
        <f t="shared" si="105"/>
        <v>_</v>
      </c>
      <c r="M1301" s="2"/>
      <c r="N1301" s="2">
        <f>IF(ISBLANK(Table2[[#This Row],[ActualResult]]), 0, 1)</f>
        <v>0</v>
      </c>
      <c r="O1301" s="2" t="str">
        <f>IF(ISBLANK(Table2[[#This Row],[ActualResult]]), "_", IF(Table2[[#This Row],[ActualWinner]]=Table2[[#This Row],[PredictedWinner]], "Y", "N"))</f>
        <v>_</v>
      </c>
      <c r="P13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1" s="2"/>
      <c r="S1301" s="2" t="str">
        <f t="shared" si="106"/>
        <v>_</v>
      </c>
      <c r="T13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1" s="2">
        <f>IF(Table2[[#This Row],[InterConf]]=1,IF(Table2[[#This Row],[InterDiv]]=0, 1, 0), 0)</f>
        <v>0</v>
      </c>
      <c r="W13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01" s="2"/>
      <c r="Y1301" s="2"/>
      <c r="Z1301" s="145">
        <f>IF(AND(Table2[[#This Row],[GameIsOver]]=1,Table2[[#This Row],[ActualHomeScore]]*Table2[[#This Row],[ActualAwayScore]]=0), 1,0)</f>
        <v>0</v>
      </c>
      <c r="AA13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1" s="2">
        <f>Table2[[#This Row],[ActualAwayScore]]-Table2[[#This Row],[PredictedAwayScore]]</f>
        <v>0</v>
      </c>
      <c r="AG1301" s="2">
        <f>Table2[[#This Row],[ActualHomeScore]]-Table2[[#This Row],[PredictedHomeScore]]</f>
        <v>0</v>
      </c>
      <c r="AH1301" s="2">
        <f t="shared" si="107"/>
        <v>0</v>
      </c>
      <c r="AI1301" s="2">
        <f t="shared" si="108"/>
        <v>0</v>
      </c>
      <c r="AJ1301" s="2"/>
      <c r="AK1301" s="3"/>
      <c r="AL1301" s="2">
        <f>IF(Table2[[#This Row],[GameIsOver]]=0,0,IF(Table2[[#This Row],[ActualWinner]]=Table2[[#This Row],[AwayTeam]], 1, 0))</f>
        <v>0</v>
      </c>
      <c r="AM1301" s="2">
        <f>IF(Table2[[#This Row],[GameIsOver]]=0,0,IF(Table2[[#This Row],[ActualWinner]]=Table2[[#This Row],[HomeTeam]], 1, 0))</f>
        <v>0</v>
      </c>
      <c r="AN13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1" s="2" t="str">
        <f>INDEX(Sheet5!$B$2:$AG$33, MATCH(Table2[[#This Row],[AwayTeam]],Sheet5!$A$2:$A$33, 0), MATCH(Table2[[#This Row],[HomeTeam]],Sheet5!$A$2:$A$33, 0))</f>
        <v>0-0-0</v>
      </c>
      <c r="AP1301" s="2" t="str">
        <f>INDEX(Sheet5!$B$2:$AG$33, MATCH(Table2[[#This Row],[HomeTeam]],Sheet5!$A$2:$A$33, 0), MATCH(Table2[[#This Row],[AwayTeam]],Sheet5!$A$2:$A$33, 0))</f>
        <v>0-0-0</v>
      </c>
      <c r="AQ1301" s="2">
        <f>IF(Table2[[#This Row],[GameHasShutOut]], 1, 0)</f>
        <v>0</v>
      </c>
      <c r="AR1301" s="2">
        <f>IF(Table2[[#This Row],[ActualAwayScore]] + Table2[[#This Row],[ActualHomeScore]] &gt;= 10, 1, 0)</f>
        <v>0</v>
      </c>
      <c r="AS1301" s="2">
        <f>IF(ABS(Table2[[#This Row],[ActualAwayScore]]-Table2[[#This Row],[ActualHomeScore]])&gt;=5, 1, 0)</f>
        <v>0</v>
      </c>
      <c r="AT1301" s="2">
        <f>IF(Table2[[#This Row],[ActualAwayScore]] + Table2[[#This Row],[ActualHomeScore]] &lt;= 3, 1, 0)</f>
        <v>1</v>
      </c>
      <c r="AU1301" s="2"/>
      <c r="AV1301" s="2"/>
    </row>
    <row r="1302" spans="1:48" x14ac:dyDescent="0.25">
      <c r="A1302" s="3"/>
      <c r="B1302" s="3">
        <v>46127</v>
      </c>
      <c r="C1302" s="5">
        <v>2025021300</v>
      </c>
      <c r="D1302" s="2" t="s">
        <v>27</v>
      </c>
      <c r="E1302" s="2" t="s">
        <v>24</v>
      </c>
      <c r="F1302" s="2"/>
      <c r="G1302" s="2"/>
      <c r="H1302" s="2" t="str">
        <f t="shared" si="104"/>
        <v>_</v>
      </c>
      <c r="I1302" s="2"/>
      <c r="J1302" s="2"/>
      <c r="K1302" s="2"/>
      <c r="L1302" s="2" t="str">
        <f t="shared" si="105"/>
        <v>_</v>
      </c>
      <c r="M1302" s="2"/>
      <c r="N1302" s="2">
        <f>IF(ISBLANK(Table2[[#This Row],[ActualResult]]), 0, 1)</f>
        <v>0</v>
      </c>
      <c r="O1302" s="2" t="str">
        <f>IF(ISBLANK(Table2[[#This Row],[ActualResult]]), "_", IF(Table2[[#This Row],[ActualWinner]]=Table2[[#This Row],[PredictedWinner]], "Y", "N"))</f>
        <v>_</v>
      </c>
      <c r="P13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2" s="2"/>
      <c r="S1302" s="2" t="str">
        <f t="shared" si="106"/>
        <v>_</v>
      </c>
      <c r="T13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2" s="2">
        <f>IF(Table2[[#This Row],[InterConf]]=1,IF(Table2[[#This Row],[InterDiv]]=0, 1, 0), 0)</f>
        <v>0</v>
      </c>
      <c r="W13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2" s="2"/>
      <c r="Y1302" s="2"/>
      <c r="Z1302" s="145">
        <f>IF(AND(Table2[[#This Row],[GameIsOver]]=1,Table2[[#This Row],[ActualHomeScore]]*Table2[[#This Row],[ActualAwayScore]]=0), 1,0)</f>
        <v>0</v>
      </c>
      <c r="AA13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2" s="2">
        <f>Table2[[#This Row],[ActualAwayScore]]-Table2[[#This Row],[PredictedAwayScore]]</f>
        <v>0</v>
      </c>
      <c r="AG1302" s="2">
        <f>Table2[[#This Row],[ActualHomeScore]]-Table2[[#This Row],[PredictedHomeScore]]</f>
        <v>0</v>
      </c>
      <c r="AH1302" s="2">
        <f t="shared" si="107"/>
        <v>0</v>
      </c>
      <c r="AI1302" s="2">
        <f t="shared" si="108"/>
        <v>0</v>
      </c>
      <c r="AJ1302" s="2"/>
      <c r="AK1302" s="3"/>
      <c r="AL1302" s="2">
        <f>IF(Table2[[#This Row],[GameIsOver]]=0,0,IF(Table2[[#This Row],[ActualWinner]]=Table2[[#This Row],[AwayTeam]], 1, 0))</f>
        <v>0</v>
      </c>
      <c r="AM1302" s="2">
        <f>IF(Table2[[#This Row],[GameIsOver]]=0,0,IF(Table2[[#This Row],[ActualWinner]]=Table2[[#This Row],[HomeTeam]], 1, 0))</f>
        <v>0</v>
      </c>
      <c r="AN1302" s="2">
        <f>IF(IFERROR(FIND(Table2[[#This Row],[AwayTeam]], _xlfn.TEXTJOIN(";", 1, $BD$31:$BD$40)), 0) &gt; 0, 1, 0) + IF(IFERROR(FIND(Table2[[#This Row],[HomeTeam]], _xlfn.TEXTJOIN(";", 1, $BD$31:$BD$40)), 0) &gt; 0, 1, 0)</f>
        <v>1</v>
      </c>
      <c r="AO1302" s="2" t="str">
        <f>INDEX(Sheet5!$B$2:$AG$33, MATCH(Table2[[#This Row],[AwayTeam]],Sheet5!$A$2:$A$33, 0), MATCH(Table2[[#This Row],[HomeTeam]],Sheet5!$A$2:$A$33, 0))</f>
        <v>0-0-0</v>
      </c>
      <c r="AP1302" s="2" t="str">
        <f>INDEX(Sheet5!$B$2:$AG$33, MATCH(Table2[[#This Row],[HomeTeam]],Sheet5!$A$2:$A$33, 0), MATCH(Table2[[#This Row],[AwayTeam]],Sheet5!$A$2:$A$33, 0))</f>
        <v>0-0-0</v>
      </c>
      <c r="AQ1302" s="2">
        <f>IF(Table2[[#This Row],[GameHasShutOut]], 1, 0)</f>
        <v>0</v>
      </c>
      <c r="AR1302" s="2">
        <f>IF(Table2[[#This Row],[ActualAwayScore]] + Table2[[#This Row],[ActualHomeScore]] &gt;= 10, 1, 0)</f>
        <v>0</v>
      </c>
      <c r="AS1302" s="2">
        <f>IF(ABS(Table2[[#This Row],[ActualAwayScore]]-Table2[[#This Row],[ActualHomeScore]])&gt;=5, 1, 0)</f>
        <v>0</v>
      </c>
      <c r="AT1302" s="2">
        <f>IF(Table2[[#This Row],[ActualAwayScore]] + Table2[[#This Row],[ActualHomeScore]] &lt;= 3, 1, 0)</f>
        <v>1</v>
      </c>
      <c r="AU1302" s="2"/>
      <c r="AV1302" s="2"/>
    </row>
    <row r="1303" spans="1:48" x14ac:dyDescent="0.25">
      <c r="A1303" s="3"/>
      <c r="B1303" s="3">
        <v>46127</v>
      </c>
      <c r="C1303" s="5">
        <v>2025021301</v>
      </c>
      <c r="D1303" s="2" t="s">
        <v>33</v>
      </c>
      <c r="E1303" s="2" t="s">
        <v>28</v>
      </c>
      <c r="F1303" s="2"/>
      <c r="G1303" s="2"/>
      <c r="H1303" s="2" t="str">
        <f t="shared" si="104"/>
        <v>_</v>
      </c>
      <c r="I1303" s="2"/>
      <c r="J1303" s="2"/>
      <c r="K1303" s="2"/>
      <c r="L1303" s="2" t="str">
        <f t="shared" si="105"/>
        <v>_</v>
      </c>
      <c r="M1303" s="2"/>
      <c r="N1303" s="2">
        <f>IF(ISBLANK(Table2[[#This Row],[ActualResult]]), 0, 1)</f>
        <v>0</v>
      </c>
      <c r="O1303" s="2" t="str">
        <f>IF(ISBLANK(Table2[[#This Row],[ActualResult]]), "_", IF(Table2[[#This Row],[ActualWinner]]=Table2[[#This Row],[PredictedWinner]], "Y", "N"))</f>
        <v>_</v>
      </c>
      <c r="P13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3" s="2"/>
      <c r="S1303" s="2" t="str">
        <f t="shared" si="106"/>
        <v>_</v>
      </c>
      <c r="T13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3" s="2">
        <f>IF(Table2[[#This Row],[InterConf]]=1,IF(Table2[[#This Row],[InterDiv]]=0, 1, 0), 0)</f>
        <v>0</v>
      </c>
      <c r="W13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03" s="2"/>
      <c r="Y1303" s="2"/>
      <c r="Z1303" s="145">
        <f>IF(AND(Table2[[#This Row],[GameIsOver]]=1,Table2[[#This Row],[ActualHomeScore]]*Table2[[#This Row],[ActualAwayScore]]=0), 1,0)</f>
        <v>0</v>
      </c>
      <c r="AA13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3" s="2">
        <f>Table2[[#This Row],[ActualAwayScore]]-Table2[[#This Row],[PredictedAwayScore]]</f>
        <v>0</v>
      </c>
      <c r="AG1303" s="2">
        <f>Table2[[#This Row],[ActualHomeScore]]-Table2[[#This Row],[PredictedHomeScore]]</f>
        <v>0</v>
      </c>
      <c r="AH1303" s="2">
        <f t="shared" si="107"/>
        <v>0</v>
      </c>
      <c r="AI1303" s="2">
        <f t="shared" si="108"/>
        <v>0</v>
      </c>
      <c r="AJ1303" s="2"/>
      <c r="AK1303" s="3"/>
      <c r="AL1303" s="2">
        <f>IF(Table2[[#This Row],[GameIsOver]]=0,0,IF(Table2[[#This Row],[ActualWinner]]=Table2[[#This Row],[AwayTeam]], 1, 0))</f>
        <v>0</v>
      </c>
      <c r="AM1303" s="2">
        <f>IF(Table2[[#This Row],[GameIsOver]]=0,0,IF(Table2[[#This Row],[ActualWinner]]=Table2[[#This Row],[HomeTeam]], 1, 0))</f>
        <v>0</v>
      </c>
      <c r="AN13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3" s="2" t="str">
        <f>INDEX(Sheet5!$B$2:$AG$33, MATCH(Table2[[#This Row],[AwayTeam]],Sheet5!$A$2:$A$33, 0), MATCH(Table2[[#This Row],[HomeTeam]],Sheet5!$A$2:$A$33, 0))</f>
        <v>0-0-0</v>
      </c>
      <c r="AP1303" s="2" t="str">
        <f>INDEX(Sheet5!$B$2:$AG$33, MATCH(Table2[[#This Row],[HomeTeam]],Sheet5!$A$2:$A$33, 0), MATCH(Table2[[#This Row],[AwayTeam]],Sheet5!$A$2:$A$33, 0))</f>
        <v>0-0-0</v>
      </c>
      <c r="AQ1303" s="2">
        <f>IF(Table2[[#This Row],[GameHasShutOut]], 1, 0)</f>
        <v>0</v>
      </c>
      <c r="AR1303" s="2">
        <f>IF(Table2[[#This Row],[ActualAwayScore]] + Table2[[#This Row],[ActualHomeScore]] &gt;= 10, 1, 0)</f>
        <v>0</v>
      </c>
      <c r="AS1303" s="2">
        <f>IF(ABS(Table2[[#This Row],[ActualAwayScore]]-Table2[[#This Row],[ActualHomeScore]])&gt;=5, 1, 0)</f>
        <v>0</v>
      </c>
      <c r="AT1303" s="2">
        <f>IF(Table2[[#This Row],[ActualAwayScore]] + Table2[[#This Row],[ActualHomeScore]] &lt;= 3, 1, 0)</f>
        <v>1</v>
      </c>
      <c r="AU1303" s="2"/>
      <c r="AV1303" s="2"/>
    </row>
    <row r="1304" spans="1:48" x14ac:dyDescent="0.25">
      <c r="A1304" s="3"/>
      <c r="B1304" s="3">
        <v>46127</v>
      </c>
      <c r="C1304" s="5">
        <v>2025021302</v>
      </c>
      <c r="D1304" s="2" t="s">
        <v>19</v>
      </c>
      <c r="E1304" s="2" t="s">
        <v>40</v>
      </c>
      <c r="F1304" s="2"/>
      <c r="G1304" s="2"/>
      <c r="H1304" s="2" t="str">
        <f t="shared" si="104"/>
        <v>_</v>
      </c>
      <c r="I1304" s="2"/>
      <c r="J1304" s="2"/>
      <c r="K1304" s="2"/>
      <c r="L1304" s="2" t="str">
        <f t="shared" si="105"/>
        <v>_</v>
      </c>
      <c r="M1304" s="2"/>
      <c r="N1304" s="2">
        <f>IF(ISBLANK(Table2[[#This Row],[ActualResult]]), 0, 1)</f>
        <v>0</v>
      </c>
      <c r="O1304" s="2" t="str">
        <f>IF(ISBLANK(Table2[[#This Row],[ActualResult]]), "_", IF(Table2[[#This Row],[ActualWinner]]=Table2[[#This Row],[PredictedWinner]], "Y", "N"))</f>
        <v>_</v>
      </c>
      <c r="P13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4" s="2"/>
      <c r="S1304" s="2" t="str">
        <f t="shared" si="106"/>
        <v>_</v>
      </c>
      <c r="T13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4" s="2">
        <f>IF(Table2[[#This Row],[InterConf]]=1,IF(Table2[[#This Row],[InterDiv]]=0, 1, 0), 0)</f>
        <v>1</v>
      </c>
      <c r="W13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4" s="2"/>
      <c r="Y1304" s="2"/>
      <c r="Z1304" s="145">
        <f>IF(AND(Table2[[#This Row],[GameIsOver]]=1,Table2[[#This Row],[ActualHomeScore]]*Table2[[#This Row],[ActualAwayScore]]=0), 1,0)</f>
        <v>0</v>
      </c>
      <c r="AA13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4" s="2">
        <f>Table2[[#This Row],[ActualAwayScore]]-Table2[[#This Row],[PredictedAwayScore]]</f>
        <v>0</v>
      </c>
      <c r="AG1304" s="2">
        <f>Table2[[#This Row],[ActualHomeScore]]-Table2[[#This Row],[PredictedHomeScore]]</f>
        <v>0</v>
      </c>
      <c r="AH1304" s="2">
        <f t="shared" si="107"/>
        <v>0</v>
      </c>
      <c r="AI1304" s="2">
        <f t="shared" si="108"/>
        <v>0</v>
      </c>
      <c r="AJ1304" s="2"/>
      <c r="AK1304" s="3"/>
      <c r="AL1304" s="2">
        <f>IF(Table2[[#This Row],[GameIsOver]]=0,0,IF(Table2[[#This Row],[ActualWinner]]=Table2[[#This Row],[AwayTeam]], 1, 0))</f>
        <v>0</v>
      </c>
      <c r="AM1304" s="2">
        <f>IF(Table2[[#This Row],[GameIsOver]]=0,0,IF(Table2[[#This Row],[ActualWinner]]=Table2[[#This Row],[HomeTeam]], 1, 0))</f>
        <v>0</v>
      </c>
      <c r="AN13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4" s="2" t="str">
        <f>INDEX(Sheet5!$B$2:$AG$33, MATCH(Table2[[#This Row],[AwayTeam]],Sheet5!$A$2:$A$33, 0), MATCH(Table2[[#This Row],[HomeTeam]],Sheet5!$A$2:$A$33, 0))</f>
        <v>0-0-0</v>
      </c>
      <c r="AP1304" s="2" t="str">
        <f>INDEX(Sheet5!$B$2:$AG$33, MATCH(Table2[[#This Row],[HomeTeam]],Sheet5!$A$2:$A$33, 0), MATCH(Table2[[#This Row],[AwayTeam]],Sheet5!$A$2:$A$33, 0))</f>
        <v>0-0-0</v>
      </c>
      <c r="AQ1304" s="2">
        <f>IF(Table2[[#This Row],[GameHasShutOut]], 1, 0)</f>
        <v>0</v>
      </c>
      <c r="AR1304" s="2">
        <f>IF(Table2[[#This Row],[ActualAwayScore]] + Table2[[#This Row],[ActualHomeScore]] &gt;= 10, 1, 0)</f>
        <v>0</v>
      </c>
      <c r="AS1304" s="2">
        <f>IF(ABS(Table2[[#This Row],[ActualAwayScore]]-Table2[[#This Row],[ActualHomeScore]])&gt;=5, 1, 0)</f>
        <v>0</v>
      </c>
      <c r="AT1304" s="2">
        <f>IF(Table2[[#This Row],[ActualAwayScore]] + Table2[[#This Row],[ActualHomeScore]] &lt;= 3, 1, 0)</f>
        <v>1</v>
      </c>
      <c r="AU1304" s="2"/>
      <c r="AV1304" s="2"/>
    </row>
    <row r="1305" spans="1:48" x14ac:dyDescent="0.25">
      <c r="A1305" s="3"/>
      <c r="B1305" s="3">
        <v>46127</v>
      </c>
      <c r="C1305" s="5">
        <v>2025021303</v>
      </c>
      <c r="D1305" s="2" t="s">
        <v>30</v>
      </c>
      <c r="E1305" s="2" t="s">
        <v>13</v>
      </c>
      <c r="F1305" s="2"/>
      <c r="G1305" s="2"/>
      <c r="H1305" s="2" t="str">
        <f t="shared" si="104"/>
        <v>_</v>
      </c>
      <c r="I1305" s="2"/>
      <c r="J1305" s="2"/>
      <c r="K1305" s="2"/>
      <c r="L1305" s="2" t="str">
        <f t="shared" si="105"/>
        <v>_</v>
      </c>
      <c r="M1305" s="2"/>
      <c r="N1305" s="2">
        <f>IF(ISBLANK(Table2[[#This Row],[ActualResult]]), 0, 1)</f>
        <v>0</v>
      </c>
      <c r="O1305" s="2" t="str">
        <f>IF(ISBLANK(Table2[[#This Row],[ActualResult]]), "_", IF(Table2[[#This Row],[ActualWinner]]=Table2[[#This Row],[PredictedWinner]], "Y", "N"))</f>
        <v>_</v>
      </c>
      <c r="P13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5" s="2"/>
      <c r="S1305" s="2" t="str">
        <f t="shared" si="106"/>
        <v>_</v>
      </c>
      <c r="T13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5" s="2">
        <f>IF(Table2[[#This Row],[InterConf]]=1,IF(Table2[[#This Row],[InterDiv]]=0, 1, 0), 0)</f>
        <v>0</v>
      </c>
      <c r="W13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5" s="2"/>
      <c r="Y1305" s="2"/>
      <c r="Z1305" s="145">
        <f>IF(AND(Table2[[#This Row],[GameIsOver]]=1,Table2[[#This Row],[ActualHomeScore]]*Table2[[#This Row],[ActualAwayScore]]=0), 1,0)</f>
        <v>0</v>
      </c>
      <c r="AA13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5" s="2">
        <f>Table2[[#This Row],[ActualAwayScore]]-Table2[[#This Row],[PredictedAwayScore]]</f>
        <v>0</v>
      </c>
      <c r="AG1305" s="2">
        <f>Table2[[#This Row],[ActualHomeScore]]-Table2[[#This Row],[PredictedHomeScore]]</f>
        <v>0</v>
      </c>
      <c r="AH1305" s="2">
        <f t="shared" si="107"/>
        <v>0</v>
      </c>
      <c r="AI1305" s="2">
        <f t="shared" si="108"/>
        <v>0</v>
      </c>
      <c r="AJ1305" s="2"/>
      <c r="AK1305" s="3"/>
      <c r="AL1305" s="2">
        <f>IF(Table2[[#This Row],[GameIsOver]]=0,0,IF(Table2[[#This Row],[ActualWinner]]=Table2[[#This Row],[AwayTeam]], 1, 0))</f>
        <v>0</v>
      </c>
      <c r="AM1305" s="2">
        <f>IF(Table2[[#This Row],[GameIsOver]]=0,0,IF(Table2[[#This Row],[ActualWinner]]=Table2[[#This Row],[HomeTeam]], 1, 0))</f>
        <v>0</v>
      </c>
      <c r="AN13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5" s="2" t="str">
        <f>INDEX(Sheet5!$B$2:$AG$33, MATCH(Table2[[#This Row],[AwayTeam]],Sheet5!$A$2:$A$33, 0), MATCH(Table2[[#This Row],[HomeTeam]],Sheet5!$A$2:$A$33, 0))</f>
        <v>1-0-0</v>
      </c>
      <c r="AP1305" s="2" t="str">
        <f>INDEX(Sheet5!$B$2:$AG$33, MATCH(Table2[[#This Row],[HomeTeam]],Sheet5!$A$2:$A$33, 0), MATCH(Table2[[#This Row],[AwayTeam]],Sheet5!$A$2:$A$33, 0))</f>
        <v>0-1-0</v>
      </c>
      <c r="AQ1305" s="2">
        <f>IF(Table2[[#This Row],[GameHasShutOut]], 1, 0)</f>
        <v>0</v>
      </c>
      <c r="AR1305" s="2">
        <f>IF(Table2[[#This Row],[ActualAwayScore]] + Table2[[#This Row],[ActualHomeScore]] &gt;= 10, 1, 0)</f>
        <v>0</v>
      </c>
      <c r="AS1305" s="2">
        <f>IF(ABS(Table2[[#This Row],[ActualAwayScore]]-Table2[[#This Row],[ActualHomeScore]])&gt;=5, 1, 0)</f>
        <v>0</v>
      </c>
      <c r="AT1305" s="2">
        <f>IF(Table2[[#This Row],[ActualAwayScore]] + Table2[[#This Row],[ActualHomeScore]] &lt;= 3, 1, 0)</f>
        <v>1</v>
      </c>
      <c r="AU1305" s="2"/>
      <c r="AV1305" s="2"/>
    </row>
    <row r="1306" spans="1:48" x14ac:dyDescent="0.25">
      <c r="A1306" s="3"/>
      <c r="B1306" s="3">
        <v>46127</v>
      </c>
      <c r="C1306" s="5">
        <v>2025021304</v>
      </c>
      <c r="D1306" s="2" t="s">
        <v>17</v>
      </c>
      <c r="E1306" s="2" t="s">
        <v>29</v>
      </c>
      <c r="F1306" s="2"/>
      <c r="G1306" s="2"/>
      <c r="H1306" s="2" t="str">
        <f t="shared" si="104"/>
        <v>_</v>
      </c>
      <c r="I1306" s="2"/>
      <c r="J1306" s="2"/>
      <c r="K1306" s="2"/>
      <c r="L1306" s="2" t="str">
        <f t="shared" si="105"/>
        <v>_</v>
      </c>
      <c r="M1306" s="2"/>
      <c r="N1306" s="2">
        <f>IF(ISBLANK(Table2[[#This Row],[ActualResult]]), 0, 1)</f>
        <v>0</v>
      </c>
      <c r="O1306" s="2" t="str">
        <f>IF(ISBLANK(Table2[[#This Row],[ActualResult]]), "_", IF(Table2[[#This Row],[ActualWinner]]=Table2[[#This Row],[PredictedWinner]], "Y", "N"))</f>
        <v>_</v>
      </c>
      <c r="P13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6" s="2"/>
      <c r="S1306" s="2" t="str">
        <f t="shared" si="106"/>
        <v>_</v>
      </c>
      <c r="T13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6" s="2">
        <f>IF(Table2[[#This Row],[InterConf]]=1,IF(Table2[[#This Row],[InterDiv]]=0, 1, 0), 0)</f>
        <v>0</v>
      </c>
      <c r="W13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6" s="2"/>
      <c r="Y1306" s="2"/>
      <c r="Z1306" s="145">
        <f>IF(AND(Table2[[#This Row],[GameIsOver]]=1,Table2[[#This Row],[ActualHomeScore]]*Table2[[#This Row],[ActualAwayScore]]=0), 1,0)</f>
        <v>0</v>
      </c>
      <c r="AA13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6" s="2">
        <f>Table2[[#This Row],[ActualAwayScore]]-Table2[[#This Row],[PredictedAwayScore]]</f>
        <v>0</v>
      </c>
      <c r="AG1306" s="2">
        <f>Table2[[#This Row],[ActualHomeScore]]-Table2[[#This Row],[PredictedHomeScore]]</f>
        <v>0</v>
      </c>
      <c r="AH1306" s="2">
        <f t="shared" si="107"/>
        <v>0</v>
      </c>
      <c r="AI1306" s="2">
        <f t="shared" si="108"/>
        <v>0</v>
      </c>
      <c r="AJ1306" s="2"/>
      <c r="AK1306" s="3"/>
      <c r="AL1306" s="2">
        <f>IF(Table2[[#This Row],[GameIsOver]]=0,0,IF(Table2[[#This Row],[ActualWinner]]=Table2[[#This Row],[AwayTeam]], 1, 0))</f>
        <v>0</v>
      </c>
      <c r="AM1306" s="2">
        <f>IF(Table2[[#This Row],[GameIsOver]]=0,0,IF(Table2[[#This Row],[ActualWinner]]=Table2[[#This Row],[HomeTeam]], 1, 0))</f>
        <v>0</v>
      </c>
      <c r="AN13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6" s="2" t="str">
        <f>INDEX(Sheet5!$B$2:$AG$33, MATCH(Table2[[#This Row],[AwayTeam]],Sheet5!$A$2:$A$33, 0), MATCH(Table2[[#This Row],[HomeTeam]],Sheet5!$A$2:$A$33, 0))</f>
        <v>0-0-0</v>
      </c>
      <c r="AP1306" s="2" t="str">
        <f>INDEX(Sheet5!$B$2:$AG$33, MATCH(Table2[[#This Row],[HomeTeam]],Sheet5!$A$2:$A$33, 0), MATCH(Table2[[#This Row],[AwayTeam]],Sheet5!$A$2:$A$33, 0))</f>
        <v>0-0-0</v>
      </c>
      <c r="AQ1306" s="2">
        <f>IF(Table2[[#This Row],[GameHasShutOut]], 1, 0)</f>
        <v>0</v>
      </c>
      <c r="AR1306" s="2">
        <f>IF(Table2[[#This Row],[ActualAwayScore]] + Table2[[#This Row],[ActualHomeScore]] &gt;= 10, 1, 0)</f>
        <v>0</v>
      </c>
      <c r="AS1306" s="2">
        <f>IF(ABS(Table2[[#This Row],[ActualAwayScore]]-Table2[[#This Row],[ActualHomeScore]])&gt;=5, 1, 0)</f>
        <v>0</v>
      </c>
      <c r="AT1306" s="2">
        <f>IF(Table2[[#This Row],[ActualAwayScore]] + Table2[[#This Row],[ActualHomeScore]] &lt;= 3, 1, 0)</f>
        <v>1</v>
      </c>
      <c r="AU1306" s="2"/>
      <c r="AV1306" s="2"/>
    </row>
    <row r="1307" spans="1:48" x14ac:dyDescent="0.25">
      <c r="A1307" s="3"/>
      <c r="B1307" s="3">
        <v>46128</v>
      </c>
      <c r="C1307" s="5">
        <v>2025021305</v>
      </c>
      <c r="D1307" s="2" t="s">
        <v>37</v>
      </c>
      <c r="E1307" s="2" t="s">
        <v>16</v>
      </c>
      <c r="F1307" s="2"/>
      <c r="G1307" s="2"/>
      <c r="H1307" s="2" t="str">
        <f t="shared" si="104"/>
        <v>_</v>
      </c>
      <c r="I1307" s="2"/>
      <c r="J1307" s="2"/>
      <c r="K1307" s="2"/>
      <c r="L1307" s="2" t="str">
        <f t="shared" si="105"/>
        <v>_</v>
      </c>
      <c r="M1307" s="2"/>
      <c r="N1307" s="2">
        <f>IF(ISBLANK(Table2[[#This Row],[ActualResult]]), 0, 1)</f>
        <v>0</v>
      </c>
      <c r="O1307" s="2" t="str">
        <f>IF(ISBLANK(Table2[[#This Row],[ActualResult]]), "_", IF(Table2[[#This Row],[ActualWinner]]=Table2[[#This Row],[PredictedWinner]], "Y", "N"))</f>
        <v>_</v>
      </c>
      <c r="P13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7" s="2"/>
      <c r="S1307" s="2" t="str">
        <f t="shared" si="106"/>
        <v>_</v>
      </c>
      <c r="T13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7" s="2">
        <f>IF(Table2[[#This Row],[InterConf]]=1,IF(Table2[[#This Row],[InterDiv]]=0, 1, 0), 0)</f>
        <v>1</v>
      </c>
      <c r="W13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7" s="2"/>
      <c r="Y1307" s="2"/>
      <c r="Z1307" s="145">
        <f>IF(AND(Table2[[#This Row],[GameIsOver]]=1,Table2[[#This Row],[ActualHomeScore]]*Table2[[#This Row],[ActualAwayScore]]=0), 1,0)</f>
        <v>0</v>
      </c>
      <c r="AA13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307" s="2">
        <f>Table2[[#This Row],[ActualAwayScore]]-Table2[[#This Row],[PredictedAwayScore]]</f>
        <v>0</v>
      </c>
      <c r="AG1307" s="2">
        <f>Table2[[#This Row],[ActualHomeScore]]-Table2[[#This Row],[PredictedHomeScore]]</f>
        <v>0</v>
      </c>
      <c r="AH1307" s="2">
        <f t="shared" si="107"/>
        <v>0</v>
      </c>
      <c r="AI1307" s="2">
        <f t="shared" si="108"/>
        <v>0</v>
      </c>
      <c r="AJ1307" s="2"/>
      <c r="AK1307" s="3"/>
      <c r="AL1307" s="2">
        <f>IF(Table2[[#This Row],[GameIsOver]]=0,0,IF(Table2[[#This Row],[ActualWinner]]=Table2[[#This Row],[AwayTeam]], 1, 0))</f>
        <v>0</v>
      </c>
      <c r="AM1307" s="2">
        <f>IF(Table2[[#This Row],[GameIsOver]]=0,0,IF(Table2[[#This Row],[ActualWinner]]=Table2[[#This Row],[HomeTeam]], 1, 0))</f>
        <v>0</v>
      </c>
      <c r="AN13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7" s="2" t="str">
        <f>INDEX(Sheet5!$B$2:$AG$33, MATCH(Table2[[#This Row],[AwayTeam]],Sheet5!$A$2:$A$33, 0), MATCH(Table2[[#This Row],[HomeTeam]],Sheet5!$A$2:$A$33, 0))</f>
        <v>0-0-0</v>
      </c>
      <c r="AP1307" s="2" t="str">
        <f>INDEX(Sheet5!$B$2:$AG$33, MATCH(Table2[[#This Row],[HomeTeam]],Sheet5!$A$2:$A$33, 0), MATCH(Table2[[#This Row],[AwayTeam]],Sheet5!$A$2:$A$33, 0))</f>
        <v>0-0-0</v>
      </c>
      <c r="AQ1307" s="2">
        <f>IF(Table2[[#This Row],[GameHasShutOut]], 1, 0)</f>
        <v>0</v>
      </c>
      <c r="AR1307" s="2">
        <f>IF(Table2[[#This Row],[ActualAwayScore]] + Table2[[#This Row],[ActualHomeScore]] &gt;= 10, 1, 0)</f>
        <v>0</v>
      </c>
      <c r="AS1307" s="2">
        <f>IF(ABS(Table2[[#This Row],[ActualAwayScore]]-Table2[[#This Row],[ActualHomeScore]])&gt;=5, 1, 0)</f>
        <v>0</v>
      </c>
      <c r="AT1307" s="2">
        <f>IF(Table2[[#This Row],[ActualAwayScore]] + Table2[[#This Row],[ActualHomeScore]] &lt;= 3, 1, 0)</f>
        <v>1</v>
      </c>
      <c r="AU1307" s="2"/>
      <c r="AV1307" s="2"/>
    </row>
    <row r="1308" spans="1:48" x14ac:dyDescent="0.25">
      <c r="A1308" s="3"/>
      <c r="B1308" s="3">
        <v>46128</v>
      </c>
      <c r="C1308" s="5">
        <v>2025021306</v>
      </c>
      <c r="D1308" s="2" t="s">
        <v>11</v>
      </c>
      <c r="E1308" s="2" t="s">
        <v>26</v>
      </c>
      <c r="F1308" s="2"/>
      <c r="G1308" s="2"/>
      <c r="H1308" s="2" t="str">
        <f t="shared" si="104"/>
        <v>_</v>
      </c>
      <c r="I1308" s="2"/>
      <c r="J1308" s="2"/>
      <c r="K1308" s="2"/>
      <c r="L1308" s="2" t="str">
        <f t="shared" si="105"/>
        <v>_</v>
      </c>
      <c r="M1308" s="2"/>
      <c r="N1308" s="2">
        <f>IF(ISBLANK(Table2[[#This Row],[ActualResult]]), 0, 1)</f>
        <v>0</v>
      </c>
      <c r="O1308" s="2" t="str">
        <f>IF(ISBLANK(Table2[[#This Row],[ActualResult]]), "_", IF(Table2[[#This Row],[ActualWinner]]=Table2[[#This Row],[PredictedWinner]], "Y", "N"))</f>
        <v>_</v>
      </c>
      <c r="P13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8" s="2"/>
      <c r="S1308" s="2" t="str">
        <f t="shared" si="106"/>
        <v>_</v>
      </c>
      <c r="T13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8" s="2">
        <f>IF(Table2[[#This Row],[InterConf]]=1,IF(Table2[[#This Row],[InterDiv]]=0, 1, 0), 0)</f>
        <v>0</v>
      </c>
      <c r="W13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8" s="2"/>
      <c r="Y1308" s="2"/>
      <c r="Z1308" s="145">
        <f>IF(AND(Table2[[#This Row],[GameIsOver]]=1,Table2[[#This Row],[ActualHomeScore]]*Table2[[#This Row],[ActualAwayScore]]=0), 1,0)</f>
        <v>0</v>
      </c>
      <c r="AA13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308" s="2">
        <f>Table2[[#This Row],[ActualAwayScore]]-Table2[[#This Row],[PredictedAwayScore]]</f>
        <v>0</v>
      </c>
      <c r="AG1308" s="2">
        <f>Table2[[#This Row],[ActualHomeScore]]-Table2[[#This Row],[PredictedHomeScore]]</f>
        <v>0</v>
      </c>
      <c r="AH1308" s="2">
        <f t="shared" si="107"/>
        <v>0</v>
      </c>
      <c r="AI1308" s="2">
        <f t="shared" si="108"/>
        <v>0</v>
      </c>
      <c r="AJ1308" s="2"/>
      <c r="AK1308" s="3"/>
      <c r="AL1308" s="2">
        <f>IF(Table2[[#This Row],[GameIsOver]]=0,0,IF(Table2[[#This Row],[ActualWinner]]=Table2[[#This Row],[AwayTeam]], 1, 0))</f>
        <v>0</v>
      </c>
      <c r="AM1308" s="2">
        <f>IF(Table2[[#This Row],[GameIsOver]]=0,0,IF(Table2[[#This Row],[ActualWinner]]=Table2[[#This Row],[HomeTeam]], 1, 0))</f>
        <v>0</v>
      </c>
      <c r="AN13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8" s="2" t="str">
        <f>INDEX(Sheet5!$B$2:$AG$33, MATCH(Table2[[#This Row],[AwayTeam]],Sheet5!$A$2:$A$33, 0), MATCH(Table2[[#This Row],[HomeTeam]],Sheet5!$A$2:$A$33, 0))</f>
        <v>1-0-0</v>
      </c>
      <c r="AP1308" s="2" t="str">
        <f>INDEX(Sheet5!$B$2:$AG$33, MATCH(Table2[[#This Row],[HomeTeam]],Sheet5!$A$2:$A$33, 0), MATCH(Table2[[#This Row],[AwayTeam]],Sheet5!$A$2:$A$33, 0))</f>
        <v>0-0-1</v>
      </c>
      <c r="AQ1308" s="2">
        <f>IF(Table2[[#This Row],[GameHasShutOut]], 1, 0)</f>
        <v>0</v>
      </c>
      <c r="AR1308" s="2">
        <f>IF(Table2[[#This Row],[ActualAwayScore]] + Table2[[#This Row],[ActualHomeScore]] &gt;= 10, 1, 0)</f>
        <v>0</v>
      </c>
      <c r="AS1308" s="2">
        <f>IF(ABS(Table2[[#This Row],[ActualAwayScore]]-Table2[[#This Row],[ActualHomeScore]])&gt;=5, 1, 0)</f>
        <v>0</v>
      </c>
      <c r="AT1308" s="2">
        <f>IF(Table2[[#This Row],[ActualAwayScore]] + Table2[[#This Row],[ActualHomeScore]] &lt;= 3, 1, 0)</f>
        <v>1</v>
      </c>
      <c r="AU1308" s="2"/>
      <c r="AV1308" s="2"/>
    </row>
    <row r="1309" spans="1:48" x14ac:dyDescent="0.25">
      <c r="A1309" s="3"/>
      <c r="B1309" s="3">
        <v>46129</v>
      </c>
      <c r="C1309" s="5">
        <v>2025021307</v>
      </c>
      <c r="D1309" s="2" t="s">
        <v>44</v>
      </c>
      <c r="E1309" s="2" t="s">
        <v>34</v>
      </c>
      <c r="F1309" s="2"/>
      <c r="G1309" s="2"/>
      <c r="H1309" s="2" t="str">
        <f t="shared" si="104"/>
        <v>_</v>
      </c>
      <c r="I1309" s="2"/>
      <c r="J1309" s="2"/>
      <c r="K1309" s="2"/>
      <c r="L1309" s="2" t="str">
        <f t="shared" si="105"/>
        <v>_</v>
      </c>
      <c r="M1309" s="2"/>
      <c r="N1309" s="2">
        <f>IF(ISBLANK(Table2[[#This Row],[ActualResult]]), 0, 1)</f>
        <v>0</v>
      </c>
      <c r="O1309" s="2" t="str">
        <f>IF(ISBLANK(Table2[[#This Row],[ActualResult]]), "_", IF(Table2[[#This Row],[ActualWinner]]=Table2[[#This Row],[PredictedWinner]], "Y", "N"))</f>
        <v>_</v>
      </c>
      <c r="P13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9" s="2"/>
      <c r="S1309" s="2" t="str">
        <f t="shared" si="106"/>
        <v>_</v>
      </c>
      <c r="T13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9" s="2">
        <f>IF(Table2[[#This Row],[InterConf]]=1,IF(Table2[[#This Row],[InterDiv]]=0, 1, 0), 0)</f>
        <v>1</v>
      </c>
      <c r="W13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9" s="2"/>
      <c r="Y1309" s="2"/>
      <c r="Z1309" s="145">
        <f>IF(AND(Table2[[#This Row],[GameIsOver]]=1,Table2[[#This Row],[ActualHomeScore]]*Table2[[#This Row],[ActualAwayScore]]=0), 1,0)</f>
        <v>0</v>
      </c>
      <c r="AA13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09" s="2">
        <f>Table2[[#This Row],[ActualAwayScore]]-Table2[[#This Row],[PredictedAwayScore]]</f>
        <v>0</v>
      </c>
      <c r="AG1309" s="2">
        <f>Table2[[#This Row],[ActualHomeScore]]-Table2[[#This Row],[PredictedHomeScore]]</f>
        <v>0</v>
      </c>
      <c r="AH1309" s="2">
        <f t="shared" si="107"/>
        <v>0</v>
      </c>
      <c r="AI1309" s="2">
        <f t="shared" si="108"/>
        <v>0</v>
      </c>
      <c r="AJ1309" s="2"/>
      <c r="AK1309" s="3"/>
      <c r="AL1309" s="2">
        <f>IF(Table2[[#This Row],[GameIsOver]]=0,0,IF(Table2[[#This Row],[ActualWinner]]=Table2[[#This Row],[AwayTeam]], 1, 0))</f>
        <v>0</v>
      </c>
      <c r="AM1309" s="2">
        <f>IF(Table2[[#This Row],[GameIsOver]]=0,0,IF(Table2[[#This Row],[ActualWinner]]=Table2[[#This Row],[HomeTeam]], 1, 0))</f>
        <v>0</v>
      </c>
      <c r="AN13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9" s="2" t="str">
        <f>INDEX(Sheet5!$B$2:$AG$33, MATCH(Table2[[#This Row],[AwayTeam]],Sheet5!$A$2:$A$33, 0), MATCH(Table2[[#This Row],[HomeTeam]],Sheet5!$A$2:$A$33, 0))</f>
        <v>1-0-0</v>
      </c>
      <c r="AP1309" s="2" t="str">
        <f>INDEX(Sheet5!$B$2:$AG$33, MATCH(Table2[[#This Row],[HomeTeam]],Sheet5!$A$2:$A$33, 0), MATCH(Table2[[#This Row],[AwayTeam]],Sheet5!$A$2:$A$33, 0))</f>
        <v>0-1-0</v>
      </c>
      <c r="AQ1309" s="2">
        <f>IF(Table2[[#This Row],[GameHasShutOut]], 1, 0)</f>
        <v>0</v>
      </c>
      <c r="AR1309" s="2">
        <f>IF(Table2[[#This Row],[ActualAwayScore]] + Table2[[#This Row],[ActualHomeScore]] &gt;= 10, 1, 0)</f>
        <v>0</v>
      </c>
      <c r="AS1309" s="2">
        <f>IF(ABS(Table2[[#This Row],[ActualAwayScore]]-Table2[[#This Row],[ActualHomeScore]])&gt;=5, 1, 0)</f>
        <v>0</v>
      </c>
      <c r="AT1309" s="2">
        <f>IF(Table2[[#This Row],[ActualAwayScore]] + Table2[[#This Row],[ActualHomeScore]] &lt;= 3, 1, 0)</f>
        <v>1</v>
      </c>
      <c r="AU1309" s="2"/>
      <c r="AV1309" s="2"/>
    </row>
    <row r="1310" spans="1:48" x14ac:dyDescent="0.25">
      <c r="A1310" s="3"/>
      <c r="B1310" s="3">
        <v>46129</v>
      </c>
      <c r="C1310" s="5">
        <v>2025021308</v>
      </c>
      <c r="D1310" s="2" t="s">
        <v>37</v>
      </c>
      <c r="E1310" s="2" t="s">
        <v>21</v>
      </c>
      <c r="F1310" s="2"/>
      <c r="G1310" s="2"/>
      <c r="H1310" s="2" t="str">
        <f t="shared" si="104"/>
        <v>_</v>
      </c>
      <c r="I1310" s="2"/>
      <c r="J1310" s="2"/>
      <c r="K1310" s="2"/>
      <c r="L1310" s="2" t="str">
        <f t="shared" si="105"/>
        <v>_</v>
      </c>
      <c r="M1310" s="2"/>
      <c r="N1310" s="2">
        <f>IF(ISBLANK(Table2[[#This Row],[ActualResult]]), 0, 1)</f>
        <v>0</v>
      </c>
      <c r="O1310" s="2" t="str">
        <f>IF(ISBLANK(Table2[[#This Row],[ActualResult]]), "_", IF(Table2[[#This Row],[ActualWinner]]=Table2[[#This Row],[PredictedWinner]], "Y", "N"))</f>
        <v>_</v>
      </c>
      <c r="P13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0" s="2"/>
      <c r="S1310" s="2" t="str">
        <f t="shared" si="106"/>
        <v>_</v>
      </c>
      <c r="T13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10" s="2">
        <f>IF(Table2[[#This Row],[InterConf]]=1,IF(Table2[[#This Row],[InterDiv]]=0, 1, 0), 0)</f>
        <v>1</v>
      </c>
      <c r="W13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0" s="2"/>
      <c r="Y1310" s="2"/>
      <c r="Z1310" s="145">
        <f>IF(AND(Table2[[#This Row],[GameIsOver]]=1,Table2[[#This Row],[ActualHomeScore]]*Table2[[#This Row],[ActualAwayScore]]=0), 1,0)</f>
        <v>0</v>
      </c>
      <c r="AA13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0" s="2">
        <f>Table2[[#This Row],[ActualAwayScore]]-Table2[[#This Row],[PredictedAwayScore]]</f>
        <v>0</v>
      </c>
      <c r="AG1310" s="2">
        <f>Table2[[#This Row],[ActualHomeScore]]-Table2[[#This Row],[PredictedHomeScore]]</f>
        <v>0</v>
      </c>
      <c r="AH1310" s="2">
        <f t="shared" si="107"/>
        <v>0</v>
      </c>
      <c r="AI1310" s="2">
        <f t="shared" si="108"/>
        <v>0</v>
      </c>
      <c r="AJ1310" s="2"/>
      <c r="AK1310" s="3"/>
      <c r="AL1310" s="2">
        <f>IF(Table2[[#This Row],[GameIsOver]]=0,0,IF(Table2[[#This Row],[ActualWinner]]=Table2[[#This Row],[AwayTeam]], 1, 0))</f>
        <v>0</v>
      </c>
      <c r="AM1310" s="2">
        <f>IF(Table2[[#This Row],[GameIsOver]]=0,0,IF(Table2[[#This Row],[ActualWinner]]=Table2[[#This Row],[HomeTeam]], 1, 0))</f>
        <v>0</v>
      </c>
      <c r="AN13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10" s="2" t="str">
        <f>INDEX(Sheet5!$B$2:$AG$33, MATCH(Table2[[#This Row],[AwayTeam]],Sheet5!$A$2:$A$33, 0), MATCH(Table2[[#This Row],[HomeTeam]],Sheet5!$A$2:$A$33, 0))</f>
        <v>0-0-0</v>
      </c>
      <c r="AP1310" s="2" t="str">
        <f>INDEX(Sheet5!$B$2:$AG$33, MATCH(Table2[[#This Row],[HomeTeam]],Sheet5!$A$2:$A$33, 0), MATCH(Table2[[#This Row],[AwayTeam]],Sheet5!$A$2:$A$33, 0))</f>
        <v>0-0-0</v>
      </c>
      <c r="AQ1310" s="2">
        <f>IF(Table2[[#This Row],[GameHasShutOut]], 1, 0)</f>
        <v>0</v>
      </c>
      <c r="AR1310" s="2">
        <f>IF(Table2[[#This Row],[ActualAwayScore]] + Table2[[#This Row],[ActualHomeScore]] &gt;= 10, 1, 0)</f>
        <v>0</v>
      </c>
      <c r="AS1310" s="2">
        <f>IF(ABS(Table2[[#This Row],[ActualAwayScore]]-Table2[[#This Row],[ActualHomeScore]])&gt;=5, 1, 0)</f>
        <v>0</v>
      </c>
      <c r="AT1310" s="2">
        <f>IF(Table2[[#This Row],[ActualAwayScore]] + Table2[[#This Row],[ActualHomeScore]] &lt;= 3, 1, 0)</f>
        <v>1</v>
      </c>
      <c r="AU1310" s="2"/>
      <c r="AV1310" s="2"/>
    </row>
    <row r="1311" spans="1:48" x14ac:dyDescent="0.25">
      <c r="A1311" s="3"/>
      <c r="B1311" s="3">
        <v>46129</v>
      </c>
      <c r="C1311" s="5">
        <v>2025021309</v>
      </c>
      <c r="D1311" s="2" t="s">
        <v>12</v>
      </c>
      <c r="E1311" s="2" t="s">
        <v>14</v>
      </c>
      <c r="F1311" s="2"/>
      <c r="G1311" s="2"/>
      <c r="H1311" s="2" t="str">
        <f t="shared" si="104"/>
        <v>_</v>
      </c>
      <c r="I1311" s="2"/>
      <c r="J1311" s="2"/>
      <c r="K1311" s="2"/>
      <c r="L1311" s="2" t="str">
        <f t="shared" si="105"/>
        <v>_</v>
      </c>
      <c r="M1311" s="2"/>
      <c r="N1311" s="2">
        <f>IF(ISBLANK(Table2[[#This Row],[ActualResult]]), 0, 1)</f>
        <v>0</v>
      </c>
      <c r="O1311" s="2" t="str">
        <f>IF(ISBLANK(Table2[[#This Row],[ActualResult]]), "_", IF(Table2[[#This Row],[ActualWinner]]=Table2[[#This Row],[PredictedWinner]], "Y", "N"))</f>
        <v>_</v>
      </c>
      <c r="P13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1" s="2"/>
      <c r="S1311" s="2" t="str">
        <f t="shared" si="106"/>
        <v>_</v>
      </c>
      <c r="T13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11" s="2">
        <f>IF(Table2[[#This Row],[InterConf]]=1,IF(Table2[[#This Row],[InterDiv]]=0, 1, 0), 0)</f>
        <v>0</v>
      </c>
      <c r="W13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1" s="2"/>
      <c r="Y1311" s="2"/>
      <c r="Z1311" s="145">
        <f>IF(AND(Table2[[#This Row],[GameIsOver]]=1,Table2[[#This Row],[ActualHomeScore]]*Table2[[#This Row],[ActualAwayScore]]=0), 1,0)</f>
        <v>0</v>
      </c>
      <c r="AA13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1" s="2">
        <f>Table2[[#This Row],[ActualAwayScore]]-Table2[[#This Row],[PredictedAwayScore]]</f>
        <v>0</v>
      </c>
      <c r="AG1311" s="2">
        <f>Table2[[#This Row],[ActualHomeScore]]-Table2[[#This Row],[PredictedHomeScore]]</f>
        <v>0</v>
      </c>
      <c r="AH1311" s="2">
        <f t="shared" si="107"/>
        <v>0</v>
      </c>
      <c r="AI1311" s="2">
        <f t="shared" si="108"/>
        <v>0</v>
      </c>
      <c r="AJ1311" s="2"/>
      <c r="AK1311" s="3"/>
      <c r="AL1311" s="2">
        <f>IF(Table2[[#This Row],[GameIsOver]]=0,0,IF(Table2[[#This Row],[ActualWinner]]=Table2[[#This Row],[AwayTeam]], 1, 0))</f>
        <v>0</v>
      </c>
      <c r="AM1311" s="2">
        <f>IF(Table2[[#This Row],[GameIsOver]]=0,0,IF(Table2[[#This Row],[ActualWinner]]=Table2[[#This Row],[HomeTeam]], 1, 0))</f>
        <v>0</v>
      </c>
      <c r="AN13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11" s="2" t="str">
        <f>INDEX(Sheet5!$B$2:$AG$33, MATCH(Table2[[#This Row],[AwayTeam]],Sheet5!$A$2:$A$33, 0), MATCH(Table2[[#This Row],[HomeTeam]],Sheet5!$A$2:$A$33, 0))</f>
        <v>0-0-0</v>
      </c>
      <c r="AP1311" s="2" t="str">
        <f>INDEX(Sheet5!$B$2:$AG$33, MATCH(Table2[[#This Row],[HomeTeam]],Sheet5!$A$2:$A$33, 0), MATCH(Table2[[#This Row],[AwayTeam]],Sheet5!$A$2:$A$33, 0))</f>
        <v>0-0-0</v>
      </c>
      <c r="AQ1311" s="2">
        <f>IF(Table2[[#This Row],[GameHasShutOut]], 1, 0)</f>
        <v>0</v>
      </c>
      <c r="AR1311" s="2">
        <f>IF(Table2[[#This Row],[ActualAwayScore]] + Table2[[#This Row],[ActualHomeScore]] &gt;= 10, 1, 0)</f>
        <v>0</v>
      </c>
      <c r="AS1311" s="2">
        <f>IF(ABS(Table2[[#This Row],[ActualAwayScore]]-Table2[[#This Row],[ActualHomeScore]])&gt;=5, 1, 0)</f>
        <v>0</v>
      </c>
      <c r="AT1311" s="2">
        <f>IF(Table2[[#This Row],[ActualAwayScore]] + Table2[[#This Row],[ActualHomeScore]] &lt;= 3, 1, 0)</f>
        <v>1</v>
      </c>
      <c r="AU1311" s="2"/>
      <c r="AV1311" s="2"/>
    </row>
    <row r="1312" spans="1:48" x14ac:dyDescent="0.25">
      <c r="A1312" s="3"/>
      <c r="B1312" s="3">
        <v>46129</v>
      </c>
      <c r="C1312" s="5">
        <v>2025021310</v>
      </c>
      <c r="D1312" s="2" t="s">
        <v>27</v>
      </c>
      <c r="E1312" s="2" t="s">
        <v>23</v>
      </c>
      <c r="F1312" s="2"/>
      <c r="G1312" s="2"/>
      <c r="H1312" s="2" t="str">
        <f t="shared" si="104"/>
        <v>_</v>
      </c>
      <c r="I1312" s="2"/>
      <c r="J1312" s="2"/>
      <c r="K1312" s="2"/>
      <c r="L1312" s="2" t="str">
        <f t="shared" si="105"/>
        <v>_</v>
      </c>
      <c r="M1312" s="2"/>
      <c r="N1312" s="2">
        <f>IF(ISBLANK(Table2[[#This Row],[ActualResult]]), 0, 1)</f>
        <v>0</v>
      </c>
      <c r="O1312" s="2" t="str">
        <f>IF(ISBLANK(Table2[[#This Row],[ActualResult]]), "_", IF(Table2[[#This Row],[ActualWinner]]=Table2[[#This Row],[PredictedWinner]], "Y", "N"))</f>
        <v>_</v>
      </c>
      <c r="P13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2" s="2"/>
      <c r="S1312" s="2" t="str">
        <f t="shared" si="106"/>
        <v>_</v>
      </c>
      <c r="T13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12" s="2">
        <f>IF(Table2[[#This Row],[InterConf]]=1,IF(Table2[[#This Row],[InterDiv]]=0, 1, 0), 0)</f>
        <v>0</v>
      </c>
      <c r="W13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2" s="2"/>
      <c r="Y1312" s="2"/>
      <c r="Z1312" s="145">
        <f>IF(AND(Table2[[#This Row],[GameIsOver]]=1,Table2[[#This Row],[ActualHomeScore]]*Table2[[#This Row],[ActualAwayScore]]=0), 1,0)</f>
        <v>0</v>
      </c>
      <c r="AA13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2" s="2">
        <f>Table2[[#This Row],[ActualAwayScore]]-Table2[[#This Row],[PredictedAwayScore]]</f>
        <v>0</v>
      </c>
      <c r="AG1312" s="2">
        <f>Table2[[#This Row],[ActualHomeScore]]-Table2[[#This Row],[PredictedHomeScore]]</f>
        <v>0</v>
      </c>
      <c r="AH1312" s="2">
        <f t="shared" si="107"/>
        <v>0</v>
      </c>
      <c r="AI1312" s="2">
        <f t="shared" si="108"/>
        <v>0</v>
      </c>
      <c r="AJ1312" s="2"/>
      <c r="AK1312" s="3"/>
      <c r="AL1312" s="2">
        <f>IF(Table2[[#This Row],[GameIsOver]]=0,0,IF(Table2[[#This Row],[ActualWinner]]=Table2[[#This Row],[AwayTeam]], 1, 0))</f>
        <v>0</v>
      </c>
      <c r="AM1312" s="2">
        <f>IF(Table2[[#This Row],[GameIsOver]]=0,0,IF(Table2[[#This Row],[ActualWinner]]=Table2[[#This Row],[HomeTeam]], 1, 0))</f>
        <v>0</v>
      </c>
      <c r="AN1312" s="2">
        <f>IF(IFERROR(FIND(Table2[[#This Row],[AwayTeam]], _xlfn.TEXTJOIN(";", 1, $BD$31:$BD$40)), 0) &gt; 0, 1, 0) + IF(IFERROR(FIND(Table2[[#This Row],[HomeTeam]], _xlfn.TEXTJOIN(";", 1, $BD$31:$BD$40)), 0) &gt; 0, 1, 0)</f>
        <v>1</v>
      </c>
      <c r="AO1312" s="2" t="str">
        <f>INDEX(Sheet5!$B$2:$AG$33, MATCH(Table2[[#This Row],[AwayTeam]],Sheet5!$A$2:$A$33, 0), MATCH(Table2[[#This Row],[HomeTeam]],Sheet5!$A$2:$A$33, 0))</f>
        <v>0-0-0</v>
      </c>
      <c r="AP1312" s="2" t="str">
        <f>INDEX(Sheet5!$B$2:$AG$33, MATCH(Table2[[#This Row],[HomeTeam]],Sheet5!$A$2:$A$33, 0), MATCH(Table2[[#This Row],[AwayTeam]],Sheet5!$A$2:$A$33, 0))</f>
        <v>0-0-0</v>
      </c>
      <c r="AQ1312" s="2">
        <f>IF(Table2[[#This Row],[GameHasShutOut]], 1, 0)</f>
        <v>0</v>
      </c>
      <c r="AR1312" s="2">
        <f>IF(Table2[[#This Row],[ActualAwayScore]] + Table2[[#This Row],[ActualHomeScore]] &gt;= 10, 1, 0)</f>
        <v>0</v>
      </c>
      <c r="AS1312" s="2">
        <f>IF(ABS(Table2[[#This Row],[ActualAwayScore]]-Table2[[#This Row],[ActualHomeScore]])&gt;=5, 1, 0)</f>
        <v>0</v>
      </c>
      <c r="AT1312" s="2">
        <f>IF(Table2[[#This Row],[ActualAwayScore]] + Table2[[#This Row],[ActualHomeScore]] &lt;= 3, 1, 0)</f>
        <v>1</v>
      </c>
      <c r="AU1312" s="2"/>
      <c r="AV1312" s="2"/>
    </row>
    <row r="1313" spans="1:48" x14ac:dyDescent="0.25">
      <c r="A1313" s="3"/>
      <c r="B1313" s="3">
        <v>46129</v>
      </c>
      <c r="C1313" s="5">
        <v>2025021311</v>
      </c>
      <c r="D1313" s="2" t="s">
        <v>24</v>
      </c>
      <c r="E1313" s="2" t="s">
        <v>22</v>
      </c>
      <c r="F1313" s="2"/>
      <c r="G1313" s="2"/>
      <c r="H1313" s="2" t="str">
        <f t="shared" si="104"/>
        <v>_</v>
      </c>
      <c r="I1313" s="2"/>
      <c r="J1313" s="2"/>
      <c r="K1313" s="2"/>
      <c r="L1313" s="2" t="str">
        <f t="shared" si="105"/>
        <v>_</v>
      </c>
      <c r="M1313" s="2"/>
      <c r="N1313" s="2">
        <f>IF(ISBLANK(Table2[[#This Row],[ActualResult]]), 0, 1)</f>
        <v>0</v>
      </c>
      <c r="O1313" s="2" t="str">
        <f>IF(ISBLANK(Table2[[#This Row],[ActualResult]]), "_", IF(Table2[[#This Row],[ActualWinner]]=Table2[[#This Row],[PredictedWinner]], "Y", "N"))</f>
        <v>_</v>
      </c>
      <c r="P13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3" s="2"/>
      <c r="S1313" s="2" t="str">
        <f t="shared" si="106"/>
        <v>_</v>
      </c>
      <c r="T13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13" s="2">
        <f>IF(Table2[[#This Row],[InterConf]]=1,IF(Table2[[#This Row],[InterDiv]]=0, 1, 0), 0)</f>
        <v>0</v>
      </c>
      <c r="W13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3" s="2"/>
      <c r="Y1313" s="2"/>
      <c r="Z1313" s="145">
        <f>IF(AND(Table2[[#This Row],[GameIsOver]]=1,Table2[[#This Row],[ActualHomeScore]]*Table2[[#This Row],[ActualAwayScore]]=0), 1,0)</f>
        <v>0</v>
      </c>
      <c r="AA13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3" s="2">
        <f>Table2[[#This Row],[ActualAwayScore]]-Table2[[#This Row],[PredictedAwayScore]]</f>
        <v>0</v>
      </c>
      <c r="AG1313" s="2">
        <f>Table2[[#This Row],[ActualHomeScore]]-Table2[[#This Row],[PredictedHomeScore]]</f>
        <v>0</v>
      </c>
      <c r="AH1313" s="2">
        <f t="shared" si="107"/>
        <v>0</v>
      </c>
      <c r="AI1313" s="2">
        <f t="shared" si="108"/>
        <v>0</v>
      </c>
      <c r="AJ1313" s="2"/>
      <c r="AK1313" s="3"/>
      <c r="AL1313" s="2">
        <f>IF(Table2[[#This Row],[GameIsOver]]=0,0,IF(Table2[[#This Row],[ActualWinner]]=Table2[[#This Row],[AwayTeam]], 1, 0))</f>
        <v>0</v>
      </c>
      <c r="AM1313" s="2">
        <f>IF(Table2[[#This Row],[GameIsOver]]=0,0,IF(Table2[[#This Row],[ActualWinner]]=Table2[[#This Row],[HomeTeam]], 1, 0))</f>
        <v>0</v>
      </c>
      <c r="AN13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13" s="2" t="str">
        <f>INDEX(Sheet5!$B$2:$AG$33, MATCH(Table2[[#This Row],[AwayTeam]],Sheet5!$A$2:$A$33, 0), MATCH(Table2[[#This Row],[HomeTeam]],Sheet5!$A$2:$A$33, 0))</f>
        <v>0-1-0</v>
      </c>
      <c r="AP1313" s="2" t="str">
        <f>INDEX(Sheet5!$B$2:$AG$33, MATCH(Table2[[#This Row],[HomeTeam]],Sheet5!$A$2:$A$33, 0), MATCH(Table2[[#This Row],[AwayTeam]],Sheet5!$A$2:$A$33, 0))</f>
        <v>1-0-0</v>
      </c>
      <c r="AQ1313" s="2">
        <f>IF(Table2[[#This Row],[GameHasShutOut]], 1, 0)</f>
        <v>0</v>
      </c>
      <c r="AR1313" s="2">
        <f>IF(Table2[[#This Row],[ActualAwayScore]] + Table2[[#This Row],[ActualHomeScore]] &gt;= 10, 1, 0)</f>
        <v>0</v>
      </c>
      <c r="AS1313" s="2">
        <f>IF(ABS(Table2[[#This Row],[ActualAwayScore]]-Table2[[#This Row],[ActualHomeScore]])&gt;=5, 1, 0)</f>
        <v>0</v>
      </c>
      <c r="AT1313" s="2">
        <f>IF(Table2[[#This Row],[ActualAwayScore]] + Table2[[#This Row],[ActualHomeScore]] &lt;= 3, 1, 0)</f>
        <v>1</v>
      </c>
      <c r="AU1313" s="2"/>
      <c r="AV1313" s="2"/>
    </row>
    <row r="1314" spans="1:48" x14ac:dyDescent="0.25">
      <c r="A1314" s="3"/>
      <c r="B1314" s="3">
        <v>46129</v>
      </c>
      <c r="C1314" s="5">
        <v>2025021312</v>
      </c>
      <c r="D1314" s="2" t="s">
        <v>11</v>
      </c>
      <c r="E1314" s="2" t="s">
        <v>25</v>
      </c>
      <c r="F1314" s="2"/>
      <c r="G1314" s="2"/>
      <c r="H1314" s="2" t="str">
        <f t="shared" si="104"/>
        <v>_</v>
      </c>
      <c r="I1314" s="2"/>
      <c r="J1314" s="2"/>
      <c r="K1314" s="2"/>
      <c r="L1314" s="2" t="str">
        <f t="shared" si="105"/>
        <v>_</v>
      </c>
      <c r="M1314" s="2"/>
      <c r="N1314" s="2">
        <f>IF(ISBLANK(Table2[[#This Row],[ActualResult]]), 0, 1)</f>
        <v>0</v>
      </c>
      <c r="O1314" s="2" t="str">
        <f>IF(ISBLANK(Table2[[#This Row],[ActualResult]]), "_", IF(Table2[[#This Row],[ActualWinner]]=Table2[[#This Row],[PredictedWinner]], "Y", "N"))</f>
        <v>_</v>
      </c>
      <c r="P13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4" s="2"/>
      <c r="S1314" s="2" t="str">
        <f t="shared" si="106"/>
        <v>_</v>
      </c>
      <c r="T13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14" s="2">
        <f>IF(Table2[[#This Row],[InterConf]]=1,IF(Table2[[#This Row],[InterDiv]]=0, 1, 0), 0)</f>
        <v>1</v>
      </c>
      <c r="W13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4" s="2"/>
      <c r="Y1314" s="2"/>
      <c r="Z1314" s="145">
        <f>IF(AND(Table2[[#This Row],[GameIsOver]]=1,Table2[[#This Row],[ActualHomeScore]]*Table2[[#This Row],[ActualAwayScore]]=0), 1,0)</f>
        <v>0</v>
      </c>
      <c r="AA13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4" s="2">
        <f>Table2[[#This Row],[ActualAwayScore]]-Table2[[#This Row],[PredictedAwayScore]]</f>
        <v>0</v>
      </c>
      <c r="AG1314" s="2">
        <f>Table2[[#This Row],[ActualHomeScore]]-Table2[[#This Row],[PredictedHomeScore]]</f>
        <v>0</v>
      </c>
      <c r="AH1314" s="2">
        <f t="shared" si="107"/>
        <v>0</v>
      </c>
      <c r="AI1314" s="2">
        <f t="shared" si="108"/>
        <v>0</v>
      </c>
      <c r="AJ1314" s="2"/>
      <c r="AK1314" s="3"/>
      <c r="AL1314" s="2">
        <f>IF(Table2[[#This Row],[GameIsOver]]=0,0,IF(Table2[[#This Row],[ActualWinner]]=Table2[[#This Row],[AwayTeam]], 1, 0))</f>
        <v>0</v>
      </c>
      <c r="AM1314" s="2">
        <f>IF(Table2[[#This Row],[GameIsOver]]=0,0,IF(Table2[[#This Row],[ActualWinner]]=Table2[[#This Row],[HomeTeam]], 1, 0))</f>
        <v>0</v>
      </c>
      <c r="AN13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14" s="2" t="str">
        <f>INDEX(Sheet5!$B$2:$AG$33, MATCH(Table2[[#This Row],[AwayTeam]],Sheet5!$A$2:$A$33, 0), MATCH(Table2[[#This Row],[HomeTeam]],Sheet5!$A$2:$A$33, 0))</f>
        <v>0-0-0</v>
      </c>
      <c r="AP1314" s="2" t="str">
        <f>INDEX(Sheet5!$B$2:$AG$33, MATCH(Table2[[#This Row],[HomeTeam]],Sheet5!$A$2:$A$33, 0), MATCH(Table2[[#This Row],[AwayTeam]],Sheet5!$A$2:$A$33, 0))</f>
        <v>0-0-0</v>
      </c>
      <c r="AQ1314" s="2">
        <f>IF(Table2[[#This Row],[GameHasShutOut]], 1, 0)</f>
        <v>0</v>
      </c>
      <c r="AR1314" s="2">
        <f>IF(Table2[[#This Row],[ActualAwayScore]] + Table2[[#This Row],[ActualHomeScore]] &gt;= 10, 1, 0)</f>
        <v>0</v>
      </c>
      <c r="AS1314" s="2">
        <f>IF(ABS(Table2[[#This Row],[ActualAwayScore]]-Table2[[#This Row],[ActualHomeScore]])&gt;=5, 1, 0)</f>
        <v>0</v>
      </c>
      <c r="AT1314" s="2">
        <f>IF(Table2[[#This Row],[ActualAwayScore]] + Table2[[#This Row],[ActualHomeScore]] &lt;= 3, 1, 0)</f>
        <v>1</v>
      </c>
      <c r="AU1314" s="2"/>
      <c r="AV1314" s="2"/>
    </row>
    <row r="1315" spans="1:48" x14ac:dyDescent="0.25"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</row>
    <row r="1316" spans="1:48" x14ac:dyDescent="0.25"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</row>
  </sheetData>
  <mergeCells count="10">
    <mergeCell ref="BS16:BT16"/>
    <mergeCell ref="BU16:BV16"/>
    <mergeCell ref="BL12:BM12"/>
    <mergeCell ref="BL3:BP3"/>
    <mergeCell ref="E1:H1"/>
    <mergeCell ref="I1:L1"/>
    <mergeCell ref="BR3:BU3"/>
    <mergeCell ref="BL11:BM11"/>
    <mergeCell ref="BS4:BT4"/>
    <mergeCell ref="BU4:BV4"/>
  </mergeCells>
  <phoneticPr fontId="1" type="noConversion"/>
  <conditionalFormatting sqref="C1:AD1 C2:BI2 C3:Y3 C4:T7 T4:T1314 C8:Y11 C12:AH22 C23:AM662 D663:AM663 C664:AM949 C950:X950 C951:AM1314 D1315:BH1048576 AF1:BG1 Z950:AM950 AO23:BI1314 AE1:AE1314 A1:B1048576 BB3:BI5 X4:Y7 BB6:BG11 BI6:BI11 BH6:BH12 BA12:BI16 BA17:BG17 BA18:BI22">
    <cfRule type="cellIs" dxfId="49" priority="20" operator="equal">
      <formula>"OTT"</formula>
    </cfRule>
    <cfRule type="cellIs" dxfId="48" priority="33" operator="equal">
      <formula>"CGY"</formula>
    </cfRule>
    <cfRule type="cellIs" dxfId="47" priority="34" operator="equal">
      <formula>"COL"</formula>
    </cfRule>
    <cfRule type="cellIs" dxfId="46" priority="35" operator="equal">
      <formula>"CHI"</formula>
    </cfRule>
    <cfRule type="cellIs" dxfId="45" priority="36" operator="equal">
      <formula>"CAR"</formula>
    </cfRule>
    <cfRule type="cellIs" dxfId="44" priority="37" operator="equal">
      <formula>"BUF"</formula>
    </cfRule>
    <cfRule type="cellIs" dxfId="43" priority="7" operator="equal">
      <formula>"WSH"</formula>
    </cfRule>
    <cfRule type="cellIs" dxfId="42" priority="8" operator="equal">
      <formula>"UTA"</formula>
    </cfRule>
    <cfRule type="cellIs" dxfId="41" priority="9" operator="equal">
      <formula>"TBL"</formula>
    </cfRule>
    <cfRule type="cellIs" dxfId="40" priority="10" operator="equal">
      <formula>"TOR"</formula>
    </cfRule>
    <cfRule type="cellIs" dxfId="39" priority="11" operator="equal">
      <formula>"WPG"</formula>
    </cfRule>
    <cfRule type="cellIs" dxfId="38" priority="12" operator="equal">
      <formula>"VAN"</formula>
    </cfRule>
    <cfRule type="cellIs" dxfId="37" priority="13" operator="equal">
      <formula>"VGK"</formula>
    </cfRule>
    <cfRule type="cellIs" dxfId="36" priority="14" operator="equal">
      <formula>"SEA"</formula>
    </cfRule>
    <cfRule type="cellIs" dxfId="35" priority="15" operator="equal">
      <formula>"STL"</formula>
    </cfRule>
    <cfRule type="cellIs" dxfId="34" priority="16" operator="equal">
      <formula>"SJS"</formula>
    </cfRule>
    <cfRule type="cellIs" dxfId="33" priority="17" operator="equal">
      <formula>"PHI"</formula>
    </cfRule>
    <cfRule type="cellIs" dxfId="32" priority="18" operator="equal">
      <formula>"LAK"</formula>
    </cfRule>
    <cfRule type="cellIs" dxfId="31" priority="19" operator="equal">
      <formula>"PIT"</formula>
    </cfRule>
    <cfRule type="cellIs" dxfId="30" priority="38" operator="equal">
      <formula>"ANA"</formula>
    </cfRule>
    <cfRule type="cellIs" dxfId="29" priority="21" operator="equal">
      <formula>"NSH"</formula>
    </cfRule>
    <cfRule type="cellIs" dxfId="28" priority="22" operator="equal">
      <formula>"MIN"</formula>
    </cfRule>
    <cfRule type="cellIs" dxfId="27" priority="23" operator="equal">
      <formula>"MTL"</formula>
    </cfRule>
    <cfRule type="cellIs" dxfId="26" priority="24" operator="equal">
      <formula>"NYR"</formula>
    </cfRule>
    <cfRule type="cellIs" dxfId="25" priority="25" operator="equal">
      <formula>"NJD"</formula>
    </cfRule>
    <cfRule type="cellIs" dxfId="24" priority="26" operator="equal">
      <formula>"NYI"</formula>
    </cfRule>
    <cfRule type="cellIs" dxfId="23" priority="27" operator="equal">
      <formula>"BOS"</formula>
    </cfRule>
    <cfRule type="cellIs" dxfId="22" priority="28" operator="equal">
      <formula>"FLA"</formula>
    </cfRule>
    <cfRule type="cellIs" dxfId="21" priority="29" operator="equal">
      <formula>"EDM"</formula>
    </cfRule>
    <cfRule type="cellIs" dxfId="20" priority="30" operator="equal">
      <formula>"DAL"</formula>
    </cfRule>
    <cfRule type="cellIs" dxfId="19" priority="31" operator="equal">
      <formula>"DET"</formula>
    </cfRule>
    <cfRule type="cellIs" dxfId="18" priority="32" operator="equal">
      <formula>"CBJ"</formula>
    </cfRule>
  </conditionalFormatting>
  <conditionalFormatting sqref="T2:T1048576 S1">
    <cfRule type="colorScale" priority="6">
      <colorScale>
        <cfvo type="min"/>
        <cfvo type="max"/>
        <color rgb="FFFCFCFF"/>
        <color rgb="FFF8696B"/>
      </colorScale>
    </cfRule>
  </conditionalFormatting>
  <conditionalFormatting sqref="U1315:U1048576 T1 U2:V1314">
    <cfRule type="colorScale" priority="5">
      <colorScale>
        <cfvo type="min"/>
        <cfvo type="max"/>
        <color rgb="FFFCFCFF"/>
        <color rgb="FFF8696B"/>
      </colorScale>
    </cfRule>
  </conditionalFormatting>
  <conditionalFormatting sqref="W2:W1314 V1315:V1048576 U1">
    <cfRule type="colorScale" priority="4">
      <colorScale>
        <cfvo type="min"/>
        <cfvo type="max"/>
        <color rgb="FFFCFCFF"/>
        <color rgb="FFF8696B"/>
      </colorScale>
    </cfRule>
  </conditionalFormatting>
  <conditionalFormatting sqref="AC3:AD1314">
    <cfRule type="colorScale" priority="2">
      <colorScale>
        <cfvo type="min"/>
        <cfvo type="num" val="0.7"/>
        <cfvo type="max"/>
        <color rgb="FFF8696B"/>
        <color rgb="FFFFEB84"/>
        <color rgb="FF63BE7B"/>
      </colorScale>
    </cfRule>
  </conditionalFormatting>
  <conditionalFormatting sqref="AF1:AG1048576">
    <cfRule type="colorScale" priority="3">
      <colorScale>
        <cfvo type="min"/>
        <cfvo type="percentile" val="50"/>
        <cfvo type="max"/>
        <color rgb="FFFF5050"/>
        <color theme="9" tint="0.59999389629810485"/>
        <color rgb="FFFF5050"/>
      </colorScale>
    </cfRule>
  </conditionalFormatting>
  <conditionalFormatting sqref="AO3:AP1314">
    <cfRule type="containsText" dxfId="17" priority="1" operator="containsText" text="0-0-0">
      <formula>NOT(ISERROR(SEARCH("0-0-0",AO3)))</formula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82033-0511-47DC-B835-C05731A72803}">
  <dimension ref="A1:AG273"/>
  <sheetViews>
    <sheetView topLeftCell="A4" workbookViewId="0">
      <selection activeCell="A21" sqref="A21:XFD21"/>
    </sheetView>
  </sheetViews>
  <sheetFormatPr defaultColWidth="5.7109375" defaultRowHeight="15" x14ac:dyDescent="0.25"/>
  <cols>
    <col min="1" max="1" width="11.7109375" style="1" customWidth="1"/>
    <col min="2" max="2" width="8.140625" bestFit="1" customWidth="1"/>
    <col min="3" max="3" width="7" bestFit="1" customWidth="1"/>
    <col min="4" max="4" width="6.7109375" bestFit="1" customWidth="1"/>
    <col min="5" max="5" width="6.42578125" customWidth="1"/>
    <col min="6" max="6" width="6.5703125" bestFit="1" customWidth="1"/>
    <col min="7" max="7" width="7.28515625" bestFit="1" customWidth="1"/>
    <col min="8" max="8" width="6.7109375" bestFit="1" customWidth="1"/>
    <col min="9" max="9" width="7.140625" bestFit="1" customWidth="1"/>
    <col min="10" max="11" width="6.85546875" bestFit="1" customWidth="1"/>
    <col min="12" max="12" width="7.42578125" bestFit="1" customWidth="1"/>
    <col min="13" max="13" width="6.42578125" bestFit="1" customWidth="1"/>
    <col min="14" max="14" width="6.5703125" bestFit="1" customWidth="1"/>
    <col min="15" max="17" width="6.85546875" bestFit="1" customWidth="1"/>
    <col min="18" max="18" width="7.28515625" bestFit="1" customWidth="1"/>
    <col min="19" max="19" width="6.42578125" bestFit="1" customWidth="1"/>
    <col min="20" max="20" width="7.140625" bestFit="1" customWidth="1"/>
    <col min="21" max="22" width="10.42578125" bestFit="1" customWidth="1"/>
    <col min="23" max="23" width="6" customWidth="1"/>
    <col min="24" max="24" width="6.7109375" bestFit="1" customWidth="1"/>
    <col min="25" max="25" width="6.28515625" bestFit="1" customWidth="1"/>
    <col min="26" max="27" width="6.42578125" bestFit="1" customWidth="1"/>
    <col min="28" max="28" width="7" bestFit="1" customWidth="1"/>
    <col min="29" max="29" width="6.7109375" bestFit="1" customWidth="1"/>
    <col min="30" max="31" width="7" bestFit="1" customWidth="1"/>
    <col min="32" max="33" width="7.7109375" bestFit="1" customWidth="1"/>
  </cols>
  <sheetData>
    <row r="1" spans="1:33" x14ac:dyDescent="0.25">
      <c r="A1" s="1" t="s">
        <v>160</v>
      </c>
      <c r="B1" t="s">
        <v>44</v>
      </c>
      <c r="C1" t="s">
        <v>15</v>
      </c>
      <c r="D1" t="s">
        <v>28</v>
      </c>
      <c r="E1" t="s">
        <v>41</v>
      </c>
      <c r="F1" t="s">
        <v>35</v>
      </c>
      <c r="G1" t="s">
        <v>23</v>
      </c>
      <c r="H1" t="s">
        <v>16</v>
      </c>
      <c r="I1" t="s">
        <v>25</v>
      </c>
      <c r="J1" t="s">
        <v>33</v>
      </c>
      <c r="K1" t="s">
        <v>30</v>
      </c>
      <c r="L1" t="s">
        <v>22</v>
      </c>
      <c r="M1" t="s">
        <v>13</v>
      </c>
      <c r="N1" t="s">
        <v>27</v>
      </c>
      <c r="O1" t="s">
        <v>36</v>
      </c>
      <c r="P1" t="s">
        <v>18</v>
      </c>
      <c r="Q1" t="s">
        <v>31</v>
      </c>
      <c r="R1" t="s">
        <v>34</v>
      </c>
      <c r="S1" t="s">
        <v>32</v>
      </c>
      <c r="T1" t="s">
        <v>19</v>
      </c>
      <c r="U1" t="s">
        <v>29</v>
      </c>
      <c r="V1" t="s">
        <v>42</v>
      </c>
      <c r="W1" t="s">
        <v>20</v>
      </c>
      <c r="X1" t="s">
        <v>11</v>
      </c>
      <c r="Y1" t="s">
        <v>37</v>
      </c>
      <c r="Z1" t="s">
        <v>12</v>
      </c>
      <c r="AA1" t="s">
        <v>40</v>
      </c>
      <c r="AB1" t="s">
        <v>17</v>
      </c>
      <c r="AC1" t="s">
        <v>14</v>
      </c>
      <c r="AD1" t="s">
        <v>24</v>
      </c>
      <c r="AE1" t="s">
        <v>26</v>
      </c>
      <c r="AF1" t="s">
        <v>21</v>
      </c>
      <c r="AG1" t="s">
        <v>43</v>
      </c>
    </row>
    <row r="2" spans="1:33" x14ac:dyDescent="0.25">
      <c r="A2" s="3">
        <v>45933</v>
      </c>
      <c r="B2" s="145">
        <f>SUMIFS(Table2[NewPointsAway],Table2[GameDate], "&lt;=" &amp; $A2, Table2[AwayTeam], B$1)+SUMIFS(Table2[NewPointsHome],Table2[GameDate], "&lt;=" &amp; $A2, Table2[HomeTeam], B$1)</f>
        <v>0</v>
      </c>
      <c r="C2" s="145">
        <f>SUMIFS(Table2[NewPointsAway],Table2[GameDate], "&lt;=" &amp; $A2, Table2[AwayTeam], C$1)+SUMIFS(Table2[NewPointsHome],Table2[GameDate], "&lt;=" &amp; $A2, Table2[HomeTeam], C$1)</f>
        <v>0</v>
      </c>
      <c r="D2" s="145">
        <f>SUMIFS(Table2[NewPointsAway],Table2[GameDate], "&lt;=" &amp; $A2, Table2[AwayTeam], D$1)+SUMIFS(Table2[NewPointsHome],Table2[GameDate], "&lt;=" &amp; $A2, Table2[HomeTeam], D$1)</f>
        <v>0</v>
      </c>
      <c r="E2" s="145">
        <f>SUMIFS(Table2[NewPointsAway],Table2[GameDate], "&lt;=" &amp; $A2, Table2[AwayTeam], E$1)+SUMIFS(Table2[NewPointsHome],Table2[GameDate], "&lt;=" &amp; $A2, Table2[HomeTeam], E$1)</f>
        <v>0</v>
      </c>
      <c r="F2" s="145">
        <f>SUMIFS(Table2[NewPointsAway],Table2[GameDate], "&lt;=" &amp; $A2, Table2[AwayTeam], F$1)+SUMIFS(Table2[NewPointsHome],Table2[GameDate], "&lt;=" &amp; $A2, Table2[HomeTeam], F$1)</f>
        <v>0</v>
      </c>
      <c r="G2" s="145">
        <f>SUMIFS(Table2[NewPointsAway],Table2[GameDate], "&lt;=" &amp; $A2, Table2[AwayTeam], G$1)+SUMIFS(Table2[NewPointsHome],Table2[GameDate], "&lt;=" &amp; $A2, Table2[HomeTeam], G$1)</f>
        <v>0</v>
      </c>
      <c r="H2" s="145">
        <f>SUMIFS(Table2[NewPointsAway],Table2[GameDate], "&lt;=" &amp; $A2, Table2[AwayTeam], H$1)+SUMIFS(Table2[NewPointsHome],Table2[GameDate], "&lt;=" &amp; $A2, Table2[HomeTeam], H$1)</f>
        <v>0</v>
      </c>
      <c r="I2" s="145">
        <f>SUMIFS(Table2[NewPointsAway],Table2[GameDate], "&lt;=" &amp; $A2, Table2[AwayTeam], I$1)+SUMIFS(Table2[NewPointsHome],Table2[GameDate], "&lt;=" &amp; $A2, Table2[HomeTeam], I$1)</f>
        <v>0</v>
      </c>
      <c r="J2" s="145">
        <f>SUMIFS(Table2[NewPointsAway],Table2[GameDate], "&lt;=" &amp; $A2, Table2[AwayTeam], J$1)+SUMIFS(Table2[NewPointsHome],Table2[GameDate], "&lt;=" &amp; $A2, Table2[HomeTeam], J$1)</f>
        <v>0</v>
      </c>
      <c r="K2" s="145">
        <f>SUMIFS(Table2[NewPointsAway],Table2[GameDate], "&lt;=" &amp; $A2, Table2[AwayTeam], K$1)+SUMIFS(Table2[NewPointsHome],Table2[GameDate], "&lt;=" &amp; $A2, Table2[HomeTeam], K$1)</f>
        <v>0</v>
      </c>
      <c r="L2" s="145">
        <f>SUMIFS(Table2[NewPointsAway],Table2[GameDate], "&lt;=" &amp; $A2, Table2[AwayTeam], L$1)+SUMIFS(Table2[NewPointsHome],Table2[GameDate], "&lt;=" &amp; $A2, Table2[HomeTeam], L$1)</f>
        <v>0</v>
      </c>
      <c r="M2" s="145">
        <f>SUMIFS(Table2[NewPointsAway],Table2[GameDate], "&lt;=" &amp; $A2, Table2[AwayTeam], M$1)+SUMIFS(Table2[NewPointsHome],Table2[GameDate], "&lt;=" &amp; $A2, Table2[HomeTeam], M$1)</f>
        <v>0</v>
      </c>
      <c r="N2" s="145">
        <f>SUMIFS(Table2[NewPointsAway],Table2[GameDate], "&lt;=" &amp; $A2, Table2[AwayTeam], N$1)+SUMIFS(Table2[NewPointsHome],Table2[GameDate], "&lt;=" &amp; $A2, Table2[HomeTeam], N$1)</f>
        <v>0</v>
      </c>
      <c r="O2" s="145">
        <f>SUMIFS(Table2[NewPointsAway],Table2[GameDate], "&lt;=" &amp; $A2, Table2[AwayTeam], O$1)+SUMIFS(Table2[NewPointsHome],Table2[GameDate], "&lt;=" &amp; $A2, Table2[HomeTeam], O$1)</f>
        <v>0</v>
      </c>
      <c r="P2" s="145">
        <f>SUMIFS(Table2[NewPointsAway],Table2[GameDate], "&lt;=" &amp; $A2, Table2[AwayTeam], P$1)+SUMIFS(Table2[NewPointsHome],Table2[GameDate], "&lt;=" &amp; $A2, Table2[HomeTeam], P$1)</f>
        <v>0</v>
      </c>
      <c r="Q2" s="145">
        <f>SUMIFS(Table2[NewPointsAway],Table2[GameDate], "&lt;=" &amp; $A2, Table2[AwayTeam], Q$1)+SUMIFS(Table2[NewPointsHome],Table2[GameDate], "&lt;=" &amp; $A2, Table2[HomeTeam], Q$1)</f>
        <v>0</v>
      </c>
      <c r="R2" s="145">
        <f>SUMIFS(Table2[NewPointsAway],Table2[GameDate], "&lt;=" &amp; $A2, Table2[AwayTeam], R$1)+SUMIFS(Table2[NewPointsHome],Table2[GameDate], "&lt;=" &amp; $A2, Table2[HomeTeam], R$1)</f>
        <v>0</v>
      </c>
      <c r="S2" s="145">
        <f>SUMIFS(Table2[NewPointsAway],Table2[GameDate], "&lt;=" &amp; $A2, Table2[AwayTeam], S$1)+SUMIFS(Table2[NewPointsHome],Table2[GameDate], "&lt;=" &amp; $A2, Table2[HomeTeam], S$1)</f>
        <v>0</v>
      </c>
      <c r="T2" s="145">
        <f>SUMIFS(Table2[NewPointsAway],Table2[GameDate], "&lt;=" &amp; $A2, Table2[AwayTeam], T$1)+SUMIFS(Table2[NewPointsHome],Table2[GameDate], "&lt;=" &amp; $A2, Table2[HomeTeam], T$1)</f>
        <v>0</v>
      </c>
      <c r="U2" s="145">
        <f>SUMIFS(Table2[NewPointsAway],Table2[GameDate], "&lt;=" &amp; $A2, Table2[AwayTeam], U$1)+SUMIFS(Table2[NewPointsHome],Table2[GameDate], "&lt;=" &amp; $A2, Table2[HomeTeam], U$1)</f>
        <v>0</v>
      </c>
      <c r="V2" s="145">
        <f>SUMIFS(Table2[NewPointsAway],Table2[GameDate], "&lt;=" &amp; $A2, Table2[AwayTeam], V$1)+SUMIFS(Table2[NewPointsHome],Table2[GameDate], "&lt;=" &amp; $A2, Table2[HomeTeam], V$1)</f>
        <v>0</v>
      </c>
      <c r="W2" s="145">
        <f>SUMIFS(Table2[NewPointsAway],Table2[GameDate], "&lt;=" &amp; $A2, Table2[AwayTeam], W$1)+SUMIFS(Table2[NewPointsHome],Table2[GameDate], "&lt;=" &amp; $A2, Table2[HomeTeam], W$1)</f>
        <v>0</v>
      </c>
      <c r="X2" s="145">
        <f>SUMIFS(Table2[NewPointsAway],Table2[GameDate], "&lt;=" &amp; $A2, Table2[AwayTeam], X$1)+SUMIFS(Table2[NewPointsHome],Table2[GameDate], "&lt;=" &amp; $A2, Table2[HomeTeam], X$1)</f>
        <v>0</v>
      </c>
      <c r="Y2" s="145">
        <f>SUMIFS(Table2[NewPointsAway],Table2[GameDate], "&lt;=" &amp; $A2, Table2[AwayTeam], Y$1)+SUMIFS(Table2[NewPointsHome],Table2[GameDate], "&lt;=" &amp; $A2, Table2[HomeTeam], Y$1)</f>
        <v>0</v>
      </c>
      <c r="Z2" s="145">
        <f>SUMIFS(Table2[NewPointsAway],Table2[GameDate], "&lt;=" &amp; $A2, Table2[AwayTeam], Z$1)+SUMIFS(Table2[NewPointsHome],Table2[GameDate], "&lt;=" &amp; $A2, Table2[HomeTeam], Z$1)</f>
        <v>0</v>
      </c>
      <c r="AA2" s="145">
        <f>SUMIFS(Table2[NewPointsAway],Table2[GameDate], "&lt;=" &amp; $A2, Table2[AwayTeam], AA$1)+SUMIFS(Table2[NewPointsHome],Table2[GameDate], "&lt;=" &amp; $A2, Table2[HomeTeam], AA$1)</f>
        <v>0</v>
      </c>
      <c r="AB2" s="145">
        <f>SUMIFS(Table2[NewPointsAway],Table2[GameDate], "&lt;=" &amp; $A2, Table2[AwayTeam], AB$1)+SUMIFS(Table2[NewPointsHome],Table2[GameDate], "&lt;=" &amp; $A2, Table2[HomeTeam], AB$1)</f>
        <v>0</v>
      </c>
      <c r="AC2" s="145">
        <f>SUMIFS(Table2[NewPointsAway],Table2[GameDate], "&lt;=" &amp; $A2, Table2[AwayTeam], AC$1)+SUMIFS(Table2[NewPointsHome],Table2[GameDate], "&lt;=" &amp; $A2, Table2[HomeTeam], AC$1)</f>
        <v>0</v>
      </c>
      <c r="AD2" s="145">
        <f>SUMIFS(Table2[NewPointsAway],Table2[GameDate], "&lt;=" &amp; $A2, Table2[AwayTeam], AD$1)+SUMIFS(Table2[NewPointsHome],Table2[GameDate], "&lt;=" &amp; $A2, Table2[HomeTeam], AD$1)</f>
        <v>0</v>
      </c>
      <c r="AE2" s="145">
        <f>SUMIFS(Table2[NewPointsAway],Table2[GameDate], "&lt;=" &amp; $A2, Table2[AwayTeam], AE$1)+SUMIFS(Table2[NewPointsHome],Table2[GameDate], "&lt;=" &amp; $A2, Table2[HomeTeam], AE$1)</f>
        <v>0</v>
      </c>
      <c r="AF2" s="145">
        <f>SUMIFS(Table2[NewPointsAway],Table2[GameDate], "&lt;=" &amp; $A2, Table2[AwayTeam], AF$1)+SUMIFS(Table2[NewPointsHome],Table2[GameDate], "&lt;=" &amp; $A2, Table2[HomeTeam], AF$1)</f>
        <v>0</v>
      </c>
      <c r="AG2" s="145">
        <f>SUMIFS(Table2[NewPointsAway],Table2[GameDate], "&lt;=" &amp; $A2, Table2[AwayTeam], AG$1)+SUMIFS(Table2[NewPointsHome],Table2[GameDate], "&lt;=" &amp; $A2, Table2[HomeTeam], AG$1)</f>
        <v>0</v>
      </c>
    </row>
    <row r="3" spans="1:33" x14ac:dyDescent="0.25">
      <c r="A3" s="3">
        <v>45934</v>
      </c>
      <c r="B3" s="145">
        <f>SUMIFS(Table2[NewPointsAway],Table2[GameDate], "&lt;=" &amp; $A3, Table2[AwayTeam], B$1)+SUMIFS(Table2[NewPointsHome],Table2[GameDate], "&lt;=" &amp; $A3, Table2[HomeTeam], B$1)</f>
        <v>0</v>
      </c>
      <c r="C3" s="145">
        <f>SUMIFS(Table2[NewPointsAway],Table2[GameDate], "&lt;=" &amp; $A3, Table2[AwayTeam], C$1)+SUMIFS(Table2[NewPointsHome],Table2[GameDate], "&lt;=" &amp; $A3, Table2[HomeTeam], C$1)</f>
        <v>0</v>
      </c>
      <c r="D3" s="145">
        <f>SUMIFS(Table2[NewPointsAway],Table2[GameDate], "&lt;=" &amp; $A3, Table2[AwayTeam], D$1)+SUMIFS(Table2[NewPointsHome],Table2[GameDate], "&lt;=" &amp; $A3, Table2[HomeTeam], D$1)</f>
        <v>0</v>
      </c>
      <c r="E3" s="145">
        <f>SUMIFS(Table2[NewPointsAway],Table2[GameDate], "&lt;=" &amp; $A3, Table2[AwayTeam], E$1)+SUMIFS(Table2[NewPointsHome],Table2[GameDate], "&lt;=" &amp; $A3, Table2[HomeTeam], E$1)</f>
        <v>0</v>
      </c>
      <c r="F3" s="145">
        <f>SUMIFS(Table2[NewPointsAway],Table2[GameDate], "&lt;=" &amp; $A3, Table2[AwayTeam], F$1)+SUMIFS(Table2[NewPointsHome],Table2[GameDate], "&lt;=" &amp; $A3, Table2[HomeTeam], F$1)</f>
        <v>0</v>
      </c>
      <c r="G3" s="145">
        <f>SUMIFS(Table2[NewPointsAway],Table2[GameDate], "&lt;=" &amp; $A3, Table2[AwayTeam], G$1)+SUMIFS(Table2[NewPointsHome],Table2[GameDate], "&lt;=" &amp; $A3, Table2[HomeTeam], G$1)</f>
        <v>0</v>
      </c>
      <c r="H3" s="145">
        <f>SUMIFS(Table2[NewPointsAway],Table2[GameDate], "&lt;=" &amp; $A3, Table2[AwayTeam], H$1)+SUMIFS(Table2[NewPointsHome],Table2[GameDate], "&lt;=" &amp; $A3, Table2[HomeTeam], H$1)</f>
        <v>0</v>
      </c>
      <c r="I3" s="145">
        <f>SUMIFS(Table2[NewPointsAway],Table2[GameDate], "&lt;=" &amp; $A3, Table2[AwayTeam], I$1)+SUMIFS(Table2[NewPointsHome],Table2[GameDate], "&lt;=" &amp; $A3, Table2[HomeTeam], I$1)</f>
        <v>0</v>
      </c>
      <c r="J3" s="145">
        <f>SUMIFS(Table2[NewPointsAway],Table2[GameDate], "&lt;=" &amp; $A3, Table2[AwayTeam], J$1)+SUMIFS(Table2[NewPointsHome],Table2[GameDate], "&lt;=" &amp; $A3, Table2[HomeTeam], J$1)</f>
        <v>0</v>
      </c>
      <c r="K3" s="145">
        <f>SUMIFS(Table2[NewPointsAway],Table2[GameDate], "&lt;=" &amp; $A3, Table2[AwayTeam], K$1)+SUMIFS(Table2[NewPointsHome],Table2[GameDate], "&lt;=" &amp; $A3, Table2[HomeTeam], K$1)</f>
        <v>0</v>
      </c>
      <c r="L3" s="145">
        <f>SUMIFS(Table2[NewPointsAway],Table2[GameDate], "&lt;=" &amp; $A3, Table2[AwayTeam], L$1)+SUMIFS(Table2[NewPointsHome],Table2[GameDate], "&lt;=" &amp; $A3, Table2[HomeTeam], L$1)</f>
        <v>0</v>
      </c>
      <c r="M3" s="145">
        <f>SUMIFS(Table2[NewPointsAway],Table2[GameDate], "&lt;=" &amp; $A3, Table2[AwayTeam], M$1)+SUMIFS(Table2[NewPointsHome],Table2[GameDate], "&lt;=" &amp; $A3, Table2[HomeTeam], M$1)</f>
        <v>0</v>
      </c>
      <c r="N3" s="145">
        <f>SUMIFS(Table2[NewPointsAway],Table2[GameDate], "&lt;=" &amp; $A3, Table2[AwayTeam], N$1)+SUMIFS(Table2[NewPointsHome],Table2[GameDate], "&lt;=" &amp; $A3, Table2[HomeTeam], N$1)</f>
        <v>0</v>
      </c>
      <c r="O3" s="145">
        <f>SUMIFS(Table2[NewPointsAway],Table2[GameDate], "&lt;=" &amp; $A3, Table2[AwayTeam], O$1)+SUMIFS(Table2[NewPointsHome],Table2[GameDate], "&lt;=" &amp; $A3, Table2[HomeTeam], O$1)</f>
        <v>0</v>
      </c>
      <c r="P3" s="145">
        <f>SUMIFS(Table2[NewPointsAway],Table2[GameDate], "&lt;=" &amp; $A3, Table2[AwayTeam], P$1)+SUMIFS(Table2[NewPointsHome],Table2[GameDate], "&lt;=" &amp; $A3, Table2[HomeTeam], P$1)</f>
        <v>0</v>
      </c>
      <c r="Q3" s="145">
        <f>SUMIFS(Table2[NewPointsAway],Table2[GameDate], "&lt;=" &amp; $A3, Table2[AwayTeam], Q$1)+SUMIFS(Table2[NewPointsHome],Table2[GameDate], "&lt;=" &amp; $A3, Table2[HomeTeam], Q$1)</f>
        <v>0</v>
      </c>
      <c r="R3" s="145">
        <f>SUMIFS(Table2[NewPointsAway],Table2[GameDate], "&lt;=" &amp; $A3, Table2[AwayTeam], R$1)+SUMIFS(Table2[NewPointsHome],Table2[GameDate], "&lt;=" &amp; $A3, Table2[HomeTeam], R$1)</f>
        <v>0</v>
      </c>
      <c r="S3" s="145">
        <f>SUMIFS(Table2[NewPointsAway],Table2[GameDate], "&lt;=" &amp; $A3, Table2[AwayTeam], S$1)+SUMIFS(Table2[NewPointsHome],Table2[GameDate], "&lt;=" &amp; $A3, Table2[HomeTeam], S$1)</f>
        <v>0</v>
      </c>
      <c r="T3" s="145">
        <f>SUMIFS(Table2[NewPointsAway],Table2[GameDate], "&lt;=" &amp; $A3, Table2[AwayTeam], T$1)+SUMIFS(Table2[NewPointsHome],Table2[GameDate], "&lt;=" &amp; $A3, Table2[HomeTeam], T$1)</f>
        <v>0</v>
      </c>
      <c r="U3" s="145">
        <f>SUMIFS(Table2[NewPointsAway],Table2[GameDate], "&lt;=" &amp; $A3, Table2[AwayTeam], U$1)+SUMIFS(Table2[NewPointsHome],Table2[GameDate], "&lt;=" &amp; $A3, Table2[HomeTeam], U$1)</f>
        <v>0</v>
      </c>
      <c r="V3" s="145">
        <f>SUMIFS(Table2[NewPointsAway],Table2[GameDate], "&lt;=" &amp; $A3, Table2[AwayTeam], V$1)+SUMIFS(Table2[NewPointsHome],Table2[GameDate], "&lt;=" &amp; $A3, Table2[HomeTeam], V$1)</f>
        <v>0</v>
      </c>
      <c r="W3" s="145">
        <f>SUMIFS(Table2[NewPointsAway],Table2[GameDate], "&lt;=" &amp; $A3, Table2[AwayTeam], W$1)+SUMIFS(Table2[NewPointsHome],Table2[GameDate], "&lt;=" &amp; $A3, Table2[HomeTeam], W$1)</f>
        <v>0</v>
      </c>
      <c r="X3" s="145">
        <f>SUMIFS(Table2[NewPointsAway],Table2[GameDate], "&lt;=" &amp; $A3, Table2[AwayTeam], X$1)+SUMIFS(Table2[NewPointsHome],Table2[GameDate], "&lt;=" &amp; $A3, Table2[HomeTeam], X$1)</f>
        <v>0</v>
      </c>
      <c r="Y3" s="145">
        <f>SUMIFS(Table2[NewPointsAway],Table2[GameDate], "&lt;=" &amp; $A3, Table2[AwayTeam], Y$1)+SUMIFS(Table2[NewPointsHome],Table2[GameDate], "&lt;=" &amp; $A3, Table2[HomeTeam], Y$1)</f>
        <v>0</v>
      </c>
      <c r="Z3" s="145">
        <f>SUMIFS(Table2[NewPointsAway],Table2[GameDate], "&lt;=" &amp; $A3, Table2[AwayTeam], Z$1)+SUMIFS(Table2[NewPointsHome],Table2[GameDate], "&lt;=" &amp; $A3, Table2[HomeTeam], Z$1)</f>
        <v>0</v>
      </c>
      <c r="AA3" s="145">
        <f>SUMIFS(Table2[NewPointsAway],Table2[GameDate], "&lt;=" &amp; $A3, Table2[AwayTeam], AA$1)+SUMIFS(Table2[NewPointsHome],Table2[GameDate], "&lt;=" &amp; $A3, Table2[HomeTeam], AA$1)</f>
        <v>0</v>
      </c>
      <c r="AB3" s="145">
        <f>SUMIFS(Table2[NewPointsAway],Table2[GameDate], "&lt;=" &amp; $A3, Table2[AwayTeam], AB$1)+SUMIFS(Table2[NewPointsHome],Table2[GameDate], "&lt;=" &amp; $A3, Table2[HomeTeam], AB$1)</f>
        <v>0</v>
      </c>
      <c r="AC3" s="145">
        <f>SUMIFS(Table2[NewPointsAway],Table2[GameDate], "&lt;=" &amp; $A3, Table2[AwayTeam], AC$1)+SUMIFS(Table2[NewPointsHome],Table2[GameDate], "&lt;=" &amp; $A3, Table2[HomeTeam], AC$1)</f>
        <v>0</v>
      </c>
      <c r="AD3" s="145">
        <f>SUMIFS(Table2[NewPointsAway],Table2[GameDate], "&lt;=" &amp; $A3, Table2[AwayTeam], AD$1)+SUMIFS(Table2[NewPointsHome],Table2[GameDate], "&lt;=" &amp; $A3, Table2[HomeTeam], AD$1)</f>
        <v>0</v>
      </c>
      <c r="AE3" s="145">
        <f>SUMIFS(Table2[NewPointsAway],Table2[GameDate], "&lt;=" &amp; $A3, Table2[AwayTeam], AE$1)+SUMIFS(Table2[NewPointsHome],Table2[GameDate], "&lt;=" &amp; $A3, Table2[HomeTeam], AE$1)</f>
        <v>0</v>
      </c>
      <c r="AF3" s="145">
        <f>SUMIFS(Table2[NewPointsAway],Table2[GameDate], "&lt;=" &amp; $A3, Table2[AwayTeam], AF$1)+SUMIFS(Table2[NewPointsHome],Table2[GameDate], "&lt;=" &amp; $A3, Table2[HomeTeam], AF$1)</f>
        <v>0</v>
      </c>
      <c r="AG3" s="145">
        <f>SUMIFS(Table2[NewPointsAway],Table2[GameDate], "&lt;=" &amp; $A3, Table2[AwayTeam], AG$1)+SUMIFS(Table2[NewPointsHome],Table2[GameDate], "&lt;=" &amp; $A3, Table2[HomeTeam], AG$1)</f>
        <v>0</v>
      </c>
    </row>
    <row r="4" spans="1:33" x14ac:dyDescent="0.25">
      <c r="A4" s="3">
        <v>45935</v>
      </c>
      <c r="B4" s="145">
        <f>SUMIFS(Table2[NewPointsAway],Table2[GameDate], "&lt;=" &amp; $A4, Table2[AwayTeam], B$1)+SUMIFS(Table2[NewPointsHome],Table2[GameDate], "&lt;=" &amp; $A4, Table2[HomeTeam], B$1)</f>
        <v>0</v>
      </c>
      <c r="C4" s="145">
        <f>SUMIFS(Table2[NewPointsAway],Table2[GameDate], "&lt;=" &amp; $A4, Table2[AwayTeam], C$1)+SUMIFS(Table2[NewPointsHome],Table2[GameDate], "&lt;=" &amp; $A4, Table2[HomeTeam], C$1)</f>
        <v>0</v>
      </c>
      <c r="D4" s="145">
        <f>SUMIFS(Table2[NewPointsAway],Table2[GameDate], "&lt;=" &amp; $A4, Table2[AwayTeam], D$1)+SUMIFS(Table2[NewPointsHome],Table2[GameDate], "&lt;=" &amp; $A4, Table2[HomeTeam], D$1)</f>
        <v>0</v>
      </c>
      <c r="E4" s="145">
        <f>SUMIFS(Table2[NewPointsAway],Table2[GameDate], "&lt;=" &amp; $A4, Table2[AwayTeam], E$1)+SUMIFS(Table2[NewPointsHome],Table2[GameDate], "&lt;=" &amp; $A4, Table2[HomeTeam], E$1)</f>
        <v>0</v>
      </c>
      <c r="F4" s="145">
        <f>SUMIFS(Table2[NewPointsAway],Table2[GameDate], "&lt;=" &amp; $A4, Table2[AwayTeam], F$1)+SUMIFS(Table2[NewPointsHome],Table2[GameDate], "&lt;=" &amp; $A4, Table2[HomeTeam], F$1)</f>
        <v>0</v>
      </c>
      <c r="G4" s="145">
        <f>SUMIFS(Table2[NewPointsAway],Table2[GameDate], "&lt;=" &amp; $A4, Table2[AwayTeam], G$1)+SUMIFS(Table2[NewPointsHome],Table2[GameDate], "&lt;=" &amp; $A4, Table2[HomeTeam], G$1)</f>
        <v>0</v>
      </c>
      <c r="H4" s="145">
        <f>SUMIFS(Table2[NewPointsAway],Table2[GameDate], "&lt;=" &amp; $A4, Table2[AwayTeam], H$1)+SUMIFS(Table2[NewPointsHome],Table2[GameDate], "&lt;=" &amp; $A4, Table2[HomeTeam], H$1)</f>
        <v>0</v>
      </c>
      <c r="I4" s="145">
        <f>SUMIFS(Table2[NewPointsAway],Table2[GameDate], "&lt;=" &amp; $A4, Table2[AwayTeam], I$1)+SUMIFS(Table2[NewPointsHome],Table2[GameDate], "&lt;=" &amp; $A4, Table2[HomeTeam], I$1)</f>
        <v>0</v>
      </c>
      <c r="J4" s="145">
        <f>SUMIFS(Table2[NewPointsAway],Table2[GameDate], "&lt;=" &amp; $A4, Table2[AwayTeam], J$1)+SUMIFS(Table2[NewPointsHome],Table2[GameDate], "&lt;=" &amp; $A4, Table2[HomeTeam], J$1)</f>
        <v>0</v>
      </c>
      <c r="K4" s="145">
        <f>SUMIFS(Table2[NewPointsAway],Table2[GameDate], "&lt;=" &amp; $A4, Table2[AwayTeam], K$1)+SUMIFS(Table2[NewPointsHome],Table2[GameDate], "&lt;=" &amp; $A4, Table2[HomeTeam], K$1)</f>
        <v>0</v>
      </c>
      <c r="L4" s="145">
        <f>SUMIFS(Table2[NewPointsAway],Table2[GameDate], "&lt;=" &amp; $A4, Table2[AwayTeam], L$1)+SUMIFS(Table2[NewPointsHome],Table2[GameDate], "&lt;=" &amp; $A4, Table2[HomeTeam], L$1)</f>
        <v>0</v>
      </c>
      <c r="M4" s="145">
        <f>SUMIFS(Table2[NewPointsAway],Table2[GameDate], "&lt;=" &amp; $A4, Table2[AwayTeam], M$1)+SUMIFS(Table2[NewPointsHome],Table2[GameDate], "&lt;=" &amp; $A4, Table2[HomeTeam], M$1)</f>
        <v>0</v>
      </c>
      <c r="N4" s="145">
        <f>SUMIFS(Table2[NewPointsAway],Table2[GameDate], "&lt;=" &amp; $A4, Table2[AwayTeam], N$1)+SUMIFS(Table2[NewPointsHome],Table2[GameDate], "&lt;=" &amp; $A4, Table2[HomeTeam], N$1)</f>
        <v>0</v>
      </c>
      <c r="O4" s="145">
        <f>SUMIFS(Table2[NewPointsAway],Table2[GameDate], "&lt;=" &amp; $A4, Table2[AwayTeam], O$1)+SUMIFS(Table2[NewPointsHome],Table2[GameDate], "&lt;=" &amp; $A4, Table2[HomeTeam], O$1)</f>
        <v>0</v>
      </c>
      <c r="P4" s="145">
        <f>SUMIFS(Table2[NewPointsAway],Table2[GameDate], "&lt;=" &amp; $A4, Table2[AwayTeam], P$1)+SUMIFS(Table2[NewPointsHome],Table2[GameDate], "&lt;=" &amp; $A4, Table2[HomeTeam], P$1)</f>
        <v>0</v>
      </c>
      <c r="Q4" s="145">
        <f>SUMIFS(Table2[NewPointsAway],Table2[GameDate], "&lt;=" &amp; $A4, Table2[AwayTeam], Q$1)+SUMIFS(Table2[NewPointsHome],Table2[GameDate], "&lt;=" &amp; $A4, Table2[HomeTeam], Q$1)</f>
        <v>0</v>
      </c>
      <c r="R4" s="145">
        <f>SUMIFS(Table2[NewPointsAway],Table2[GameDate], "&lt;=" &amp; $A4, Table2[AwayTeam], R$1)+SUMIFS(Table2[NewPointsHome],Table2[GameDate], "&lt;=" &amp; $A4, Table2[HomeTeam], R$1)</f>
        <v>0</v>
      </c>
      <c r="S4" s="145">
        <f>SUMIFS(Table2[NewPointsAway],Table2[GameDate], "&lt;=" &amp; $A4, Table2[AwayTeam], S$1)+SUMIFS(Table2[NewPointsHome],Table2[GameDate], "&lt;=" &amp; $A4, Table2[HomeTeam], S$1)</f>
        <v>0</v>
      </c>
      <c r="T4" s="145">
        <f>SUMIFS(Table2[NewPointsAway],Table2[GameDate], "&lt;=" &amp; $A4, Table2[AwayTeam], T$1)+SUMIFS(Table2[NewPointsHome],Table2[GameDate], "&lt;=" &amp; $A4, Table2[HomeTeam], T$1)</f>
        <v>0</v>
      </c>
      <c r="U4" s="145">
        <f>SUMIFS(Table2[NewPointsAway],Table2[GameDate], "&lt;=" &amp; $A4, Table2[AwayTeam], U$1)+SUMIFS(Table2[NewPointsHome],Table2[GameDate], "&lt;=" &amp; $A4, Table2[HomeTeam], U$1)</f>
        <v>0</v>
      </c>
      <c r="V4" s="145">
        <f>SUMIFS(Table2[NewPointsAway],Table2[GameDate], "&lt;=" &amp; $A4, Table2[AwayTeam], V$1)+SUMIFS(Table2[NewPointsHome],Table2[GameDate], "&lt;=" &amp; $A4, Table2[HomeTeam], V$1)</f>
        <v>0</v>
      </c>
      <c r="W4" s="145">
        <f>SUMIFS(Table2[NewPointsAway],Table2[GameDate], "&lt;=" &amp; $A4, Table2[AwayTeam], W$1)+SUMIFS(Table2[NewPointsHome],Table2[GameDate], "&lt;=" &amp; $A4, Table2[HomeTeam], W$1)</f>
        <v>0</v>
      </c>
      <c r="X4" s="145">
        <f>SUMIFS(Table2[NewPointsAway],Table2[GameDate], "&lt;=" &amp; $A4, Table2[AwayTeam], X$1)+SUMIFS(Table2[NewPointsHome],Table2[GameDate], "&lt;=" &amp; $A4, Table2[HomeTeam], X$1)</f>
        <v>0</v>
      </c>
      <c r="Y4" s="145">
        <f>SUMIFS(Table2[NewPointsAway],Table2[GameDate], "&lt;=" &amp; $A4, Table2[AwayTeam], Y$1)+SUMIFS(Table2[NewPointsHome],Table2[GameDate], "&lt;=" &amp; $A4, Table2[HomeTeam], Y$1)</f>
        <v>0</v>
      </c>
      <c r="Z4" s="145">
        <f>SUMIFS(Table2[NewPointsAway],Table2[GameDate], "&lt;=" &amp; $A4, Table2[AwayTeam], Z$1)+SUMIFS(Table2[NewPointsHome],Table2[GameDate], "&lt;=" &amp; $A4, Table2[HomeTeam], Z$1)</f>
        <v>0</v>
      </c>
      <c r="AA4" s="145">
        <f>SUMIFS(Table2[NewPointsAway],Table2[GameDate], "&lt;=" &amp; $A4, Table2[AwayTeam], AA$1)+SUMIFS(Table2[NewPointsHome],Table2[GameDate], "&lt;=" &amp; $A4, Table2[HomeTeam], AA$1)</f>
        <v>0</v>
      </c>
      <c r="AB4" s="145">
        <f>SUMIFS(Table2[NewPointsAway],Table2[GameDate], "&lt;=" &amp; $A4, Table2[AwayTeam], AB$1)+SUMIFS(Table2[NewPointsHome],Table2[GameDate], "&lt;=" &amp; $A4, Table2[HomeTeam], AB$1)</f>
        <v>0</v>
      </c>
      <c r="AC4" s="145">
        <f>SUMIFS(Table2[NewPointsAway],Table2[GameDate], "&lt;=" &amp; $A4, Table2[AwayTeam], AC$1)+SUMIFS(Table2[NewPointsHome],Table2[GameDate], "&lt;=" &amp; $A4, Table2[HomeTeam], AC$1)</f>
        <v>0</v>
      </c>
      <c r="AD4" s="145">
        <f>SUMIFS(Table2[NewPointsAway],Table2[GameDate], "&lt;=" &amp; $A4, Table2[AwayTeam], AD$1)+SUMIFS(Table2[NewPointsHome],Table2[GameDate], "&lt;=" &amp; $A4, Table2[HomeTeam], AD$1)</f>
        <v>0</v>
      </c>
      <c r="AE4" s="145">
        <f>SUMIFS(Table2[NewPointsAway],Table2[GameDate], "&lt;=" &amp; $A4, Table2[AwayTeam], AE$1)+SUMIFS(Table2[NewPointsHome],Table2[GameDate], "&lt;=" &amp; $A4, Table2[HomeTeam], AE$1)</f>
        <v>0</v>
      </c>
      <c r="AF4" s="145">
        <f>SUMIFS(Table2[NewPointsAway],Table2[GameDate], "&lt;=" &amp; $A4, Table2[AwayTeam], AF$1)+SUMIFS(Table2[NewPointsHome],Table2[GameDate], "&lt;=" &amp; $A4, Table2[HomeTeam], AF$1)</f>
        <v>0</v>
      </c>
      <c r="AG4" s="145">
        <f>SUMIFS(Table2[NewPointsAway],Table2[GameDate], "&lt;=" &amp; $A4, Table2[AwayTeam], AG$1)+SUMIFS(Table2[NewPointsHome],Table2[GameDate], "&lt;=" &amp; $A4, Table2[HomeTeam], AG$1)</f>
        <v>0</v>
      </c>
    </row>
    <row r="5" spans="1:33" x14ac:dyDescent="0.25">
      <c r="A5" s="3">
        <v>45936</v>
      </c>
      <c r="B5" s="145">
        <f>SUMIFS(Table2[NewPointsAway],Table2[GameDate], "&lt;=" &amp; $A5, Table2[AwayTeam], B$1)+SUMIFS(Table2[NewPointsHome],Table2[GameDate], "&lt;=" &amp; $A5, Table2[HomeTeam], B$1)</f>
        <v>0</v>
      </c>
      <c r="C5" s="145">
        <f>SUMIFS(Table2[NewPointsAway],Table2[GameDate], "&lt;=" &amp; $A5, Table2[AwayTeam], C$1)+SUMIFS(Table2[NewPointsHome],Table2[GameDate], "&lt;=" &amp; $A5, Table2[HomeTeam], C$1)</f>
        <v>0</v>
      </c>
      <c r="D5" s="145">
        <f>SUMIFS(Table2[NewPointsAway],Table2[GameDate], "&lt;=" &amp; $A5, Table2[AwayTeam], D$1)+SUMIFS(Table2[NewPointsHome],Table2[GameDate], "&lt;=" &amp; $A5, Table2[HomeTeam], D$1)</f>
        <v>0</v>
      </c>
      <c r="E5" s="145">
        <f>SUMIFS(Table2[NewPointsAway],Table2[GameDate], "&lt;=" &amp; $A5, Table2[AwayTeam], E$1)+SUMIFS(Table2[NewPointsHome],Table2[GameDate], "&lt;=" &amp; $A5, Table2[HomeTeam], E$1)</f>
        <v>0</v>
      </c>
      <c r="F5" s="145">
        <f>SUMIFS(Table2[NewPointsAway],Table2[GameDate], "&lt;=" &amp; $A5, Table2[AwayTeam], F$1)+SUMIFS(Table2[NewPointsHome],Table2[GameDate], "&lt;=" &amp; $A5, Table2[HomeTeam], F$1)</f>
        <v>0</v>
      </c>
      <c r="G5" s="145">
        <f>SUMIFS(Table2[NewPointsAway],Table2[GameDate], "&lt;=" &amp; $A5, Table2[AwayTeam], G$1)+SUMIFS(Table2[NewPointsHome],Table2[GameDate], "&lt;=" &amp; $A5, Table2[HomeTeam], G$1)</f>
        <v>0</v>
      </c>
      <c r="H5" s="145">
        <f>SUMIFS(Table2[NewPointsAway],Table2[GameDate], "&lt;=" &amp; $A5, Table2[AwayTeam], H$1)+SUMIFS(Table2[NewPointsHome],Table2[GameDate], "&lt;=" &amp; $A5, Table2[HomeTeam], H$1)</f>
        <v>0</v>
      </c>
      <c r="I5" s="145">
        <f>SUMIFS(Table2[NewPointsAway],Table2[GameDate], "&lt;=" &amp; $A5, Table2[AwayTeam], I$1)+SUMIFS(Table2[NewPointsHome],Table2[GameDate], "&lt;=" &amp; $A5, Table2[HomeTeam], I$1)</f>
        <v>0</v>
      </c>
      <c r="J5" s="145">
        <f>SUMIFS(Table2[NewPointsAway],Table2[GameDate], "&lt;=" &amp; $A5, Table2[AwayTeam], J$1)+SUMIFS(Table2[NewPointsHome],Table2[GameDate], "&lt;=" &amp; $A5, Table2[HomeTeam], J$1)</f>
        <v>0</v>
      </c>
      <c r="K5" s="145">
        <f>SUMIFS(Table2[NewPointsAway],Table2[GameDate], "&lt;=" &amp; $A5, Table2[AwayTeam], K$1)+SUMIFS(Table2[NewPointsHome],Table2[GameDate], "&lt;=" &amp; $A5, Table2[HomeTeam], K$1)</f>
        <v>0</v>
      </c>
      <c r="L5" s="145">
        <f>SUMIFS(Table2[NewPointsAway],Table2[GameDate], "&lt;=" &amp; $A5, Table2[AwayTeam], L$1)+SUMIFS(Table2[NewPointsHome],Table2[GameDate], "&lt;=" &amp; $A5, Table2[HomeTeam], L$1)</f>
        <v>0</v>
      </c>
      <c r="M5" s="145">
        <f>SUMIFS(Table2[NewPointsAway],Table2[GameDate], "&lt;=" &amp; $A5, Table2[AwayTeam], M$1)+SUMIFS(Table2[NewPointsHome],Table2[GameDate], "&lt;=" &amp; $A5, Table2[HomeTeam], M$1)</f>
        <v>0</v>
      </c>
      <c r="N5" s="145">
        <f>SUMIFS(Table2[NewPointsAway],Table2[GameDate], "&lt;=" &amp; $A5, Table2[AwayTeam], N$1)+SUMIFS(Table2[NewPointsHome],Table2[GameDate], "&lt;=" &amp; $A5, Table2[HomeTeam], N$1)</f>
        <v>0</v>
      </c>
      <c r="O5" s="145">
        <f>SUMIFS(Table2[NewPointsAway],Table2[GameDate], "&lt;=" &amp; $A5, Table2[AwayTeam], O$1)+SUMIFS(Table2[NewPointsHome],Table2[GameDate], "&lt;=" &amp; $A5, Table2[HomeTeam], O$1)</f>
        <v>0</v>
      </c>
      <c r="P5" s="145">
        <f>SUMIFS(Table2[NewPointsAway],Table2[GameDate], "&lt;=" &amp; $A5, Table2[AwayTeam], P$1)+SUMIFS(Table2[NewPointsHome],Table2[GameDate], "&lt;=" &amp; $A5, Table2[HomeTeam], P$1)</f>
        <v>0</v>
      </c>
      <c r="Q5" s="145">
        <f>SUMIFS(Table2[NewPointsAway],Table2[GameDate], "&lt;=" &amp; $A5, Table2[AwayTeam], Q$1)+SUMIFS(Table2[NewPointsHome],Table2[GameDate], "&lt;=" &amp; $A5, Table2[HomeTeam], Q$1)</f>
        <v>0</v>
      </c>
      <c r="R5" s="145">
        <f>SUMIFS(Table2[NewPointsAway],Table2[GameDate], "&lt;=" &amp; $A5, Table2[AwayTeam], R$1)+SUMIFS(Table2[NewPointsHome],Table2[GameDate], "&lt;=" &amp; $A5, Table2[HomeTeam], R$1)</f>
        <v>0</v>
      </c>
      <c r="S5" s="145">
        <f>SUMIFS(Table2[NewPointsAway],Table2[GameDate], "&lt;=" &amp; $A5, Table2[AwayTeam], S$1)+SUMIFS(Table2[NewPointsHome],Table2[GameDate], "&lt;=" &amp; $A5, Table2[HomeTeam], S$1)</f>
        <v>0</v>
      </c>
      <c r="T5" s="145">
        <f>SUMIFS(Table2[NewPointsAway],Table2[GameDate], "&lt;=" &amp; $A5, Table2[AwayTeam], T$1)+SUMIFS(Table2[NewPointsHome],Table2[GameDate], "&lt;=" &amp; $A5, Table2[HomeTeam], T$1)</f>
        <v>0</v>
      </c>
      <c r="U5" s="145">
        <f>SUMIFS(Table2[NewPointsAway],Table2[GameDate], "&lt;=" &amp; $A5, Table2[AwayTeam], U$1)+SUMIFS(Table2[NewPointsHome],Table2[GameDate], "&lt;=" &amp; $A5, Table2[HomeTeam], U$1)</f>
        <v>0</v>
      </c>
      <c r="V5" s="145">
        <f>SUMIFS(Table2[NewPointsAway],Table2[GameDate], "&lt;=" &amp; $A5, Table2[AwayTeam], V$1)+SUMIFS(Table2[NewPointsHome],Table2[GameDate], "&lt;=" &amp; $A5, Table2[HomeTeam], V$1)</f>
        <v>0</v>
      </c>
      <c r="W5" s="145">
        <f>SUMIFS(Table2[NewPointsAway],Table2[GameDate], "&lt;=" &amp; $A5, Table2[AwayTeam], W$1)+SUMIFS(Table2[NewPointsHome],Table2[GameDate], "&lt;=" &amp; $A5, Table2[HomeTeam], W$1)</f>
        <v>0</v>
      </c>
      <c r="X5" s="145">
        <f>SUMIFS(Table2[NewPointsAway],Table2[GameDate], "&lt;=" &amp; $A5, Table2[AwayTeam], X$1)+SUMIFS(Table2[NewPointsHome],Table2[GameDate], "&lt;=" &amp; $A5, Table2[HomeTeam], X$1)</f>
        <v>0</v>
      </c>
      <c r="Y5" s="145">
        <f>SUMIFS(Table2[NewPointsAway],Table2[GameDate], "&lt;=" &amp; $A5, Table2[AwayTeam], Y$1)+SUMIFS(Table2[NewPointsHome],Table2[GameDate], "&lt;=" &amp; $A5, Table2[HomeTeam], Y$1)</f>
        <v>0</v>
      </c>
      <c r="Z5" s="145">
        <f>SUMIFS(Table2[NewPointsAway],Table2[GameDate], "&lt;=" &amp; $A5, Table2[AwayTeam], Z$1)+SUMIFS(Table2[NewPointsHome],Table2[GameDate], "&lt;=" &amp; $A5, Table2[HomeTeam], Z$1)</f>
        <v>0</v>
      </c>
      <c r="AA5" s="145">
        <f>SUMIFS(Table2[NewPointsAway],Table2[GameDate], "&lt;=" &amp; $A5, Table2[AwayTeam], AA$1)+SUMIFS(Table2[NewPointsHome],Table2[GameDate], "&lt;=" &amp; $A5, Table2[HomeTeam], AA$1)</f>
        <v>0</v>
      </c>
      <c r="AB5" s="145">
        <f>SUMIFS(Table2[NewPointsAway],Table2[GameDate], "&lt;=" &amp; $A5, Table2[AwayTeam], AB$1)+SUMIFS(Table2[NewPointsHome],Table2[GameDate], "&lt;=" &amp; $A5, Table2[HomeTeam], AB$1)</f>
        <v>0</v>
      </c>
      <c r="AC5" s="145">
        <f>SUMIFS(Table2[NewPointsAway],Table2[GameDate], "&lt;=" &amp; $A5, Table2[AwayTeam], AC$1)+SUMIFS(Table2[NewPointsHome],Table2[GameDate], "&lt;=" &amp; $A5, Table2[HomeTeam], AC$1)</f>
        <v>0</v>
      </c>
      <c r="AD5" s="145">
        <f>SUMIFS(Table2[NewPointsAway],Table2[GameDate], "&lt;=" &amp; $A5, Table2[AwayTeam], AD$1)+SUMIFS(Table2[NewPointsHome],Table2[GameDate], "&lt;=" &amp; $A5, Table2[HomeTeam], AD$1)</f>
        <v>0</v>
      </c>
      <c r="AE5" s="145">
        <f>SUMIFS(Table2[NewPointsAway],Table2[GameDate], "&lt;=" &amp; $A5, Table2[AwayTeam], AE$1)+SUMIFS(Table2[NewPointsHome],Table2[GameDate], "&lt;=" &amp; $A5, Table2[HomeTeam], AE$1)</f>
        <v>0</v>
      </c>
      <c r="AF5" s="145">
        <f>SUMIFS(Table2[NewPointsAway],Table2[GameDate], "&lt;=" &amp; $A5, Table2[AwayTeam], AF$1)+SUMIFS(Table2[NewPointsHome],Table2[GameDate], "&lt;=" &amp; $A5, Table2[HomeTeam], AF$1)</f>
        <v>0</v>
      </c>
      <c r="AG5" s="145">
        <f>SUMIFS(Table2[NewPointsAway],Table2[GameDate], "&lt;=" &amp; $A5, Table2[AwayTeam], AG$1)+SUMIFS(Table2[NewPointsHome],Table2[GameDate], "&lt;=" &amp; $A5, Table2[HomeTeam], AG$1)</f>
        <v>0</v>
      </c>
    </row>
    <row r="6" spans="1:33" x14ac:dyDescent="0.25">
      <c r="A6" s="3">
        <v>45937</v>
      </c>
      <c r="B6" s="145">
        <f>SUMIFS(Table2[NewPointsAway],Table2[GameDate], "&lt;=" &amp; $A6, Table2[AwayTeam], B$1)+SUMIFS(Table2[NewPointsHome],Table2[GameDate], "&lt;=" &amp; $A6, Table2[HomeTeam], B$1)</f>
        <v>0</v>
      </c>
      <c r="C6" s="145">
        <f>SUMIFS(Table2[NewPointsAway],Table2[GameDate], "&lt;=" &amp; $A6, Table2[AwayTeam], C$1)+SUMIFS(Table2[NewPointsHome],Table2[GameDate], "&lt;=" &amp; $A6, Table2[HomeTeam], C$1)</f>
        <v>0</v>
      </c>
      <c r="D6" s="145">
        <f>SUMIFS(Table2[NewPointsAway],Table2[GameDate], "&lt;=" &amp; $A6, Table2[AwayTeam], D$1)+SUMIFS(Table2[NewPointsHome],Table2[GameDate], "&lt;=" &amp; $A6, Table2[HomeTeam], D$1)</f>
        <v>0</v>
      </c>
      <c r="E6" s="145">
        <f>SUMIFS(Table2[NewPointsAway],Table2[GameDate], "&lt;=" &amp; $A6, Table2[AwayTeam], E$1)+SUMIFS(Table2[NewPointsHome],Table2[GameDate], "&lt;=" &amp; $A6, Table2[HomeTeam], E$1)</f>
        <v>0</v>
      </c>
      <c r="F6" s="145">
        <f>SUMIFS(Table2[NewPointsAway],Table2[GameDate], "&lt;=" &amp; $A6, Table2[AwayTeam], F$1)+SUMIFS(Table2[NewPointsHome],Table2[GameDate], "&lt;=" &amp; $A6, Table2[HomeTeam], F$1)</f>
        <v>0</v>
      </c>
      <c r="G6" s="145">
        <f>SUMIFS(Table2[NewPointsAway],Table2[GameDate], "&lt;=" &amp; $A6, Table2[AwayTeam], G$1)+SUMIFS(Table2[NewPointsHome],Table2[GameDate], "&lt;=" &amp; $A6, Table2[HomeTeam], G$1)</f>
        <v>0</v>
      </c>
      <c r="H6" s="145">
        <f>SUMIFS(Table2[NewPointsAway],Table2[GameDate], "&lt;=" &amp; $A6, Table2[AwayTeam], H$1)+SUMIFS(Table2[NewPointsHome],Table2[GameDate], "&lt;=" &amp; $A6, Table2[HomeTeam], H$1)</f>
        <v>0</v>
      </c>
      <c r="I6" s="145">
        <f>SUMIFS(Table2[NewPointsAway],Table2[GameDate], "&lt;=" &amp; $A6, Table2[AwayTeam], I$1)+SUMIFS(Table2[NewPointsHome],Table2[GameDate], "&lt;=" &amp; $A6, Table2[HomeTeam], I$1)</f>
        <v>2</v>
      </c>
      <c r="J6" s="145">
        <f>SUMIFS(Table2[NewPointsAway],Table2[GameDate], "&lt;=" &amp; $A6, Table2[AwayTeam], J$1)+SUMIFS(Table2[NewPointsHome],Table2[GameDate], "&lt;=" &amp; $A6, Table2[HomeTeam], J$1)</f>
        <v>0</v>
      </c>
      <c r="K6" s="145">
        <f>SUMIFS(Table2[NewPointsAway],Table2[GameDate], "&lt;=" &amp; $A6, Table2[AwayTeam], K$1)+SUMIFS(Table2[NewPointsHome],Table2[GameDate], "&lt;=" &amp; $A6, Table2[HomeTeam], K$1)</f>
        <v>0</v>
      </c>
      <c r="L6" s="145">
        <f>SUMIFS(Table2[NewPointsAway],Table2[GameDate], "&lt;=" &amp; $A6, Table2[AwayTeam], L$1)+SUMIFS(Table2[NewPointsHome],Table2[GameDate], "&lt;=" &amp; $A6, Table2[HomeTeam], L$1)</f>
        <v>0</v>
      </c>
      <c r="M6" s="145">
        <f>SUMIFS(Table2[NewPointsAway],Table2[GameDate], "&lt;=" &amp; $A6, Table2[AwayTeam], M$1)+SUMIFS(Table2[NewPointsHome],Table2[GameDate], "&lt;=" &amp; $A6, Table2[HomeTeam], M$1)</f>
        <v>2</v>
      </c>
      <c r="N6" s="145">
        <f>SUMIFS(Table2[NewPointsAway],Table2[GameDate], "&lt;=" &amp; $A6, Table2[AwayTeam], N$1)+SUMIFS(Table2[NewPointsHome],Table2[GameDate], "&lt;=" &amp; $A6, Table2[HomeTeam], N$1)</f>
        <v>0</v>
      </c>
      <c r="O6" s="145">
        <f>SUMIFS(Table2[NewPointsAway],Table2[GameDate], "&lt;=" &amp; $A6, Table2[AwayTeam], O$1)+SUMIFS(Table2[NewPointsHome],Table2[GameDate], "&lt;=" &amp; $A6, Table2[HomeTeam], O$1)</f>
        <v>0</v>
      </c>
      <c r="P6" s="145">
        <f>SUMIFS(Table2[NewPointsAway],Table2[GameDate], "&lt;=" &amp; $A6, Table2[AwayTeam], P$1)+SUMIFS(Table2[NewPointsHome],Table2[GameDate], "&lt;=" &amp; $A6, Table2[HomeTeam], P$1)</f>
        <v>0</v>
      </c>
      <c r="Q6" s="145">
        <f>SUMIFS(Table2[NewPointsAway],Table2[GameDate], "&lt;=" &amp; $A6, Table2[AwayTeam], Q$1)+SUMIFS(Table2[NewPointsHome],Table2[GameDate], "&lt;=" &amp; $A6, Table2[HomeTeam], Q$1)</f>
        <v>0</v>
      </c>
      <c r="R6" s="145">
        <f>SUMIFS(Table2[NewPointsAway],Table2[GameDate], "&lt;=" &amp; $A6, Table2[AwayTeam], R$1)+SUMIFS(Table2[NewPointsHome],Table2[GameDate], "&lt;=" &amp; $A6, Table2[HomeTeam], R$1)</f>
        <v>0</v>
      </c>
      <c r="S6" s="145">
        <f>SUMIFS(Table2[NewPointsAway],Table2[GameDate], "&lt;=" &amp; $A6, Table2[AwayTeam], S$1)+SUMIFS(Table2[NewPointsHome],Table2[GameDate], "&lt;=" &amp; $A6, Table2[HomeTeam], S$1)</f>
        <v>0</v>
      </c>
      <c r="T6" s="145">
        <f>SUMIFS(Table2[NewPointsAway],Table2[GameDate], "&lt;=" &amp; $A6, Table2[AwayTeam], T$1)+SUMIFS(Table2[NewPointsHome],Table2[GameDate], "&lt;=" &amp; $A6, Table2[HomeTeam], T$1)</f>
        <v>0</v>
      </c>
      <c r="U6" s="145">
        <f>SUMIFS(Table2[NewPointsAway],Table2[GameDate], "&lt;=" &amp; $A6, Table2[AwayTeam], U$1)+SUMIFS(Table2[NewPointsHome],Table2[GameDate], "&lt;=" &amp; $A6, Table2[HomeTeam], U$1)</f>
        <v>0</v>
      </c>
      <c r="V6" s="145">
        <f>SUMIFS(Table2[NewPointsAway],Table2[GameDate], "&lt;=" &amp; $A6, Table2[AwayTeam], V$1)+SUMIFS(Table2[NewPointsHome],Table2[GameDate], "&lt;=" &amp; $A6, Table2[HomeTeam], V$1)</f>
        <v>0</v>
      </c>
      <c r="W6" s="145">
        <f>SUMIFS(Table2[NewPointsAway],Table2[GameDate], "&lt;=" &amp; $A6, Table2[AwayTeam], W$1)+SUMIFS(Table2[NewPointsHome],Table2[GameDate], "&lt;=" &amp; $A6, Table2[HomeTeam], W$1)</f>
        <v>2</v>
      </c>
      <c r="X6" s="145">
        <f>SUMIFS(Table2[NewPointsAway],Table2[GameDate], "&lt;=" &amp; $A6, Table2[AwayTeam], X$1)+SUMIFS(Table2[NewPointsHome],Table2[GameDate], "&lt;=" &amp; $A6, Table2[HomeTeam], X$1)</f>
        <v>0</v>
      </c>
      <c r="Y6" s="145">
        <f>SUMIFS(Table2[NewPointsAway],Table2[GameDate], "&lt;=" &amp; $A6, Table2[AwayTeam], Y$1)+SUMIFS(Table2[NewPointsHome],Table2[GameDate], "&lt;=" &amp; $A6, Table2[HomeTeam], Y$1)</f>
        <v>0</v>
      </c>
      <c r="Z6" s="145">
        <f>SUMIFS(Table2[NewPointsAway],Table2[GameDate], "&lt;=" &amp; $A6, Table2[AwayTeam], Z$1)+SUMIFS(Table2[NewPointsHome],Table2[GameDate], "&lt;=" &amp; $A6, Table2[HomeTeam], Z$1)</f>
        <v>0</v>
      </c>
      <c r="AA6" s="145">
        <f>SUMIFS(Table2[NewPointsAway],Table2[GameDate], "&lt;=" &amp; $A6, Table2[AwayTeam], AA$1)+SUMIFS(Table2[NewPointsHome],Table2[GameDate], "&lt;=" &amp; $A6, Table2[HomeTeam], AA$1)</f>
        <v>0</v>
      </c>
      <c r="AB6" s="145">
        <f>SUMIFS(Table2[NewPointsAway],Table2[GameDate], "&lt;=" &amp; $A6, Table2[AwayTeam], AB$1)+SUMIFS(Table2[NewPointsHome],Table2[GameDate], "&lt;=" &amp; $A6, Table2[HomeTeam], AB$1)</f>
        <v>0</v>
      </c>
      <c r="AC6" s="145">
        <f>SUMIFS(Table2[NewPointsAway],Table2[GameDate], "&lt;=" &amp; $A6, Table2[AwayTeam], AC$1)+SUMIFS(Table2[NewPointsHome],Table2[GameDate], "&lt;=" &amp; $A6, Table2[HomeTeam], AC$1)</f>
        <v>0</v>
      </c>
      <c r="AD6" s="145">
        <f>SUMIFS(Table2[NewPointsAway],Table2[GameDate], "&lt;=" &amp; $A6, Table2[AwayTeam], AD$1)+SUMIFS(Table2[NewPointsHome],Table2[GameDate], "&lt;=" &amp; $A6, Table2[HomeTeam], AD$1)</f>
        <v>0</v>
      </c>
      <c r="AE6" s="145">
        <f>SUMIFS(Table2[NewPointsAway],Table2[GameDate], "&lt;=" &amp; $A6, Table2[AwayTeam], AE$1)+SUMIFS(Table2[NewPointsHome],Table2[GameDate], "&lt;=" &amp; $A6, Table2[HomeTeam], AE$1)</f>
        <v>0</v>
      </c>
      <c r="AF6" s="145">
        <f>SUMIFS(Table2[NewPointsAway],Table2[GameDate], "&lt;=" &amp; $A6, Table2[AwayTeam], AF$1)+SUMIFS(Table2[NewPointsHome],Table2[GameDate], "&lt;=" &amp; $A6, Table2[HomeTeam], AF$1)</f>
        <v>0</v>
      </c>
      <c r="AG6" s="145">
        <f>SUMIFS(Table2[NewPointsAway],Table2[GameDate], "&lt;=" &amp; $A6, Table2[AwayTeam], AG$1)+SUMIFS(Table2[NewPointsHome],Table2[GameDate], "&lt;=" &amp; $A6, Table2[HomeTeam], AG$1)</f>
        <v>0</v>
      </c>
    </row>
    <row r="7" spans="1:33" x14ac:dyDescent="0.25">
      <c r="A7" s="3">
        <v>45938</v>
      </c>
      <c r="B7" s="145">
        <f>SUMIFS(Table2[NewPointsAway],Table2[GameDate], "&lt;=" &amp; $A7, Table2[AwayTeam], B$1)+SUMIFS(Table2[NewPointsHome],Table2[GameDate], "&lt;=" &amp; $A7, Table2[HomeTeam], B$1)</f>
        <v>0</v>
      </c>
      <c r="C7" s="145">
        <f>SUMIFS(Table2[NewPointsAway],Table2[GameDate], "&lt;=" &amp; $A7, Table2[AwayTeam], C$1)+SUMIFS(Table2[NewPointsHome],Table2[GameDate], "&lt;=" &amp; $A7, Table2[HomeTeam], C$1)</f>
        <v>2</v>
      </c>
      <c r="D7" s="145">
        <f>SUMIFS(Table2[NewPointsAway],Table2[GameDate], "&lt;=" &amp; $A7, Table2[AwayTeam], D$1)+SUMIFS(Table2[NewPointsHome],Table2[GameDate], "&lt;=" &amp; $A7, Table2[HomeTeam], D$1)</f>
        <v>0</v>
      </c>
      <c r="E7" s="145">
        <f>SUMIFS(Table2[NewPointsAway],Table2[GameDate], "&lt;=" &amp; $A7, Table2[AwayTeam], E$1)+SUMIFS(Table2[NewPointsHome],Table2[GameDate], "&lt;=" &amp; $A7, Table2[HomeTeam], E$1)</f>
        <v>0</v>
      </c>
      <c r="F7" s="145">
        <f>SUMIFS(Table2[NewPointsAway],Table2[GameDate], "&lt;=" &amp; $A7, Table2[AwayTeam], F$1)+SUMIFS(Table2[NewPointsHome],Table2[GameDate], "&lt;=" &amp; $A7, Table2[HomeTeam], F$1)</f>
        <v>0</v>
      </c>
      <c r="G7" s="145">
        <f>SUMIFS(Table2[NewPointsAway],Table2[GameDate], "&lt;=" &amp; $A7, Table2[AwayTeam], G$1)+SUMIFS(Table2[NewPointsHome],Table2[GameDate], "&lt;=" &amp; $A7, Table2[HomeTeam], G$1)</f>
        <v>2</v>
      </c>
      <c r="H7" s="145">
        <f>SUMIFS(Table2[NewPointsAway],Table2[GameDate], "&lt;=" &amp; $A7, Table2[AwayTeam], H$1)+SUMIFS(Table2[NewPointsHome],Table2[GameDate], "&lt;=" &amp; $A7, Table2[HomeTeam], H$1)</f>
        <v>0</v>
      </c>
      <c r="I7" s="145">
        <f>SUMIFS(Table2[NewPointsAway],Table2[GameDate], "&lt;=" &amp; $A7, Table2[AwayTeam], I$1)+SUMIFS(Table2[NewPointsHome],Table2[GameDate], "&lt;=" &amp; $A7, Table2[HomeTeam], I$1)</f>
        <v>2</v>
      </c>
      <c r="J7" s="145">
        <f>SUMIFS(Table2[NewPointsAway],Table2[GameDate], "&lt;=" &amp; $A7, Table2[AwayTeam], J$1)+SUMIFS(Table2[NewPointsHome],Table2[GameDate], "&lt;=" &amp; $A7, Table2[HomeTeam], J$1)</f>
        <v>0</v>
      </c>
      <c r="K7" s="145">
        <f>SUMIFS(Table2[NewPointsAway],Table2[GameDate], "&lt;=" &amp; $A7, Table2[AwayTeam], K$1)+SUMIFS(Table2[NewPointsHome],Table2[GameDate], "&lt;=" &amp; $A7, Table2[HomeTeam], K$1)</f>
        <v>0</v>
      </c>
      <c r="L7" s="145">
        <f>SUMIFS(Table2[NewPointsAway],Table2[GameDate], "&lt;=" &amp; $A7, Table2[AwayTeam], L$1)+SUMIFS(Table2[NewPointsHome],Table2[GameDate], "&lt;=" &amp; $A7, Table2[HomeTeam], L$1)</f>
        <v>1</v>
      </c>
      <c r="M7" s="145">
        <f>SUMIFS(Table2[NewPointsAway],Table2[GameDate], "&lt;=" &amp; $A7, Table2[AwayTeam], M$1)+SUMIFS(Table2[NewPointsHome],Table2[GameDate], "&lt;=" &amp; $A7, Table2[HomeTeam], M$1)</f>
        <v>2</v>
      </c>
      <c r="N7" s="145">
        <f>SUMIFS(Table2[NewPointsAway],Table2[GameDate], "&lt;=" &amp; $A7, Table2[AwayTeam], N$1)+SUMIFS(Table2[NewPointsHome],Table2[GameDate], "&lt;=" &amp; $A7, Table2[HomeTeam], N$1)</f>
        <v>2</v>
      </c>
      <c r="O7" s="145">
        <f>SUMIFS(Table2[NewPointsAway],Table2[GameDate], "&lt;=" &amp; $A7, Table2[AwayTeam], O$1)+SUMIFS(Table2[NewPointsHome],Table2[GameDate], "&lt;=" &amp; $A7, Table2[HomeTeam], O$1)</f>
        <v>0</v>
      </c>
      <c r="P7" s="145">
        <f>SUMIFS(Table2[NewPointsAway],Table2[GameDate], "&lt;=" &amp; $A7, Table2[AwayTeam], P$1)+SUMIFS(Table2[NewPointsHome],Table2[GameDate], "&lt;=" &amp; $A7, Table2[HomeTeam], P$1)</f>
        <v>0</v>
      </c>
      <c r="Q7" s="145">
        <f>SUMIFS(Table2[NewPointsAway],Table2[GameDate], "&lt;=" &amp; $A7, Table2[AwayTeam], Q$1)+SUMIFS(Table2[NewPointsHome],Table2[GameDate], "&lt;=" &amp; $A7, Table2[HomeTeam], Q$1)</f>
        <v>0</v>
      </c>
      <c r="R7" s="145">
        <f>SUMIFS(Table2[NewPointsAway],Table2[GameDate], "&lt;=" &amp; $A7, Table2[AwayTeam], R$1)+SUMIFS(Table2[NewPointsHome],Table2[GameDate], "&lt;=" &amp; $A7, Table2[HomeTeam], R$1)</f>
        <v>0</v>
      </c>
      <c r="S7" s="145">
        <f>SUMIFS(Table2[NewPointsAway],Table2[GameDate], "&lt;=" &amp; $A7, Table2[AwayTeam], S$1)+SUMIFS(Table2[NewPointsHome],Table2[GameDate], "&lt;=" &amp; $A7, Table2[HomeTeam], S$1)</f>
        <v>0</v>
      </c>
      <c r="T7" s="145">
        <f>SUMIFS(Table2[NewPointsAway],Table2[GameDate], "&lt;=" &amp; $A7, Table2[AwayTeam], T$1)+SUMIFS(Table2[NewPointsHome],Table2[GameDate], "&lt;=" &amp; $A7, Table2[HomeTeam], T$1)</f>
        <v>0</v>
      </c>
      <c r="U7" s="145">
        <f>SUMIFS(Table2[NewPointsAway],Table2[GameDate], "&lt;=" &amp; $A7, Table2[AwayTeam], U$1)+SUMIFS(Table2[NewPointsHome],Table2[GameDate], "&lt;=" &amp; $A7, Table2[HomeTeam], U$1)</f>
        <v>0</v>
      </c>
      <c r="V7" s="145">
        <f>SUMIFS(Table2[NewPointsAway],Table2[GameDate], "&lt;=" &amp; $A7, Table2[AwayTeam], V$1)+SUMIFS(Table2[NewPointsHome],Table2[GameDate], "&lt;=" &amp; $A7, Table2[HomeTeam], V$1)</f>
        <v>0</v>
      </c>
      <c r="W7" s="145">
        <f>SUMIFS(Table2[NewPointsAway],Table2[GameDate], "&lt;=" &amp; $A7, Table2[AwayTeam], W$1)+SUMIFS(Table2[NewPointsHome],Table2[GameDate], "&lt;=" &amp; $A7, Table2[HomeTeam], W$1)</f>
        <v>2</v>
      </c>
      <c r="X7" s="145">
        <f>SUMIFS(Table2[NewPointsAway],Table2[GameDate], "&lt;=" &amp; $A7, Table2[AwayTeam], X$1)+SUMIFS(Table2[NewPointsHome],Table2[GameDate], "&lt;=" &amp; $A7, Table2[HomeTeam], X$1)</f>
        <v>0</v>
      </c>
      <c r="Y7" s="145">
        <f>SUMIFS(Table2[NewPointsAway],Table2[GameDate], "&lt;=" &amp; $A7, Table2[AwayTeam], Y$1)+SUMIFS(Table2[NewPointsHome],Table2[GameDate], "&lt;=" &amp; $A7, Table2[HomeTeam], Y$1)</f>
        <v>0</v>
      </c>
      <c r="Z7" s="145">
        <f>SUMIFS(Table2[NewPointsAway],Table2[GameDate], "&lt;=" &amp; $A7, Table2[AwayTeam], Z$1)+SUMIFS(Table2[NewPointsHome],Table2[GameDate], "&lt;=" &amp; $A7, Table2[HomeTeam], Z$1)</f>
        <v>0</v>
      </c>
      <c r="AA7" s="145">
        <f>SUMIFS(Table2[NewPointsAway],Table2[GameDate], "&lt;=" &amp; $A7, Table2[AwayTeam], AA$1)+SUMIFS(Table2[NewPointsHome],Table2[GameDate], "&lt;=" &amp; $A7, Table2[HomeTeam], AA$1)</f>
        <v>0</v>
      </c>
      <c r="AB7" s="145">
        <f>SUMIFS(Table2[NewPointsAway],Table2[GameDate], "&lt;=" &amp; $A7, Table2[AwayTeam], AB$1)+SUMIFS(Table2[NewPointsHome],Table2[GameDate], "&lt;=" &amp; $A7, Table2[HomeTeam], AB$1)</f>
        <v>2</v>
      </c>
      <c r="AC7" s="145">
        <f>SUMIFS(Table2[NewPointsAway],Table2[GameDate], "&lt;=" &amp; $A7, Table2[AwayTeam], AC$1)+SUMIFS(Table2[NewPointsHome],Table2[GameDate], "&lt;=" &amp; $A7, Table2[HomeTeam], AC$1)</f>
        <v>0</v>
      </c>
      <c r="AD7" s="145">
        <f>SUMIFS(Table2[NewPointsAway],Table2[GameDate], "&lt;=" &amp; $A7, Table2[AwayTeam], AD$1)+SUMIFS(Table2[NewPointsHome],Table2[GameDate], "&lt;=" &amp; $A7, Table2[HomeTeam], AD$1)</f>
        <v>0</v>
      </c>
      <c r="AE7" s="145">
        <f>SUMIFS(Table2[NewPointsAway],Table2[GameDate], "&lt;=" &amp; $A7, Table2[AwayTeam], AE$1)+SUMIFS(Table2[NewPointsHome],Table2[GameDate], "&lt;=" &amp; $A7, Table2[HomeTeam], AE$1)</f>
        <v>1</v>
      </c>
      <c r="AF7" s="145">
        <f>SUMIFS(Table2[NewPointsAway],Table2[GameDate], "&lt;=" &amp; $A7, Table2[AwayTeam], AF$1)+SUMIFS(Table2[NewPointsHome],Table2[GameDate], "&lt;=" &amp; $A7, Table2[HomeTeam], AF$1)</f>
        <v>0</v>
      </c>
      <c r="AG7" s="145">
        <f>SUMIFS(Table2[NewPointsAway],Table2[GameDate], "&lt;=" &amp; $A7, Table2[AwayTeam], AG$1)+SUMIFS(Table2[NewPointsHome],Table2[GameDate], "&lt;=" &amp; $A7, Table2[HomeTeam], AG$1)</f>
        <v>0</v>
      </c>
    </row>
    <row r="8" spans="1:33" x14ac:dyDescent="0.25">
      <c r="A8" s="3">
        <v>45939</v>
      </c>
      <c r="B8" s="145">
        <f>SUMIFS(Table2[NewPointsAway],Table2[GameDate], "&lt;=" &amp; $A8, Table2[AwayTeam], B$1)+SUMIFS(Table2[NewPointsHome],Table2[GameDate], "&lt;=" &amp; $A8, Table2[HomeTeam], B$1)</f>
        <v>0</v>
      </c>
      <c r="C8" s="145">
        <f>SUMIFS(Table2[NewPointsAway],Table2[GameDate], "&lt;=" &amp; $A8, Table2[AwayTeam], C$1)+SUMIFS(Table2[NewPointsHome],Table2[GameDate], "&lt;=" &amp; $A8, Table2[HomeTeam], C$1)</f>
        <v>4</v>
      </c>
      <c r="D8" s="145">
        <f>SUMIFS(Table2[NewPointsAway],Table2[GameDate], "&lt;=" &amp; $A8, Table2[AwayTeam], D$1)+SUMIFS(Table2[NewPointsHome],Table2[GameDate], "&lt;=" &amp; $A8, Table2[HomeTeam], D$1)</f>
        <v>0</v>
      </c>
      <c r="E8" s="145">
        <f>SUMIFS(Table2[NewPointsAway],Table2[GameDate], "&lt;=" &amp; $A8, Table2[AwayTeam], E$1)+SUMIFS(Table2[NewPointsHome],Table2[GameDate], "&lt;=" &amp; $A8, Table2[HomeTeam], E$1)</f>
        <v>2</v>
      </c>
      <c r="F8" s="145">
        <f>SUMIFS(Table2[NewPointsAway],Table2[GameDate], "&lt;=" &amp; $A8, Table2[AwayTeam], F$1)+SUMIFS(Table2[NewPointsHome],Table2[GameDate], "&lt;=" &amp; $A8, Table2[HomeTeam], F$1)</f>
        <v>0</v>
      </c>
      <c r="G8" s="145">
        <f>SUMIFS(Table2[NewPointsAway],Table2[GameDate], "&lt;=" &amp; $A8, Table2[AwayTeam], G$1)+SUMIFS(Table2[NewPointsHome],Table2[GameDate], "&lt;=" &amp; $A8, Table2[HomeTeam], G$1)</f>
        <v>2</v>
      </c>
      <c r="H8" s="145">
        <f>SUMIFS(Table2[NewPointsAway],Table2[GameDate], "&lt;=" &amp; $A8, Table2[AwayTeam], H$1)+SUMIFS(Table2[NewPointsHome],Table2[GameDate], "&lt;=" &amp; $A8, Table2[HomeTeam], H$1)</f>
        <v>1</v>
      </c>
      <c r="I8" s="145">
        <f>SUMIFS(Table2[NewPointsAway],Table2[GameDate], "&lt;=" &amp; $A8, Table2[AwayTeam], I$1)+SUMIFS(Table2[NewPointsHome],Table2[GameDate], "&lt;=" &amp; $A8, Table2[HomeTeam], I$1)</f>
        <v>4</v>
      </c>
      <c r="J8" s="145">
        <f>SUMIFS(Table2[NewPointsAway],Table2[GameDate], "&lt;=" &amp; $A8, Table2[AwayTeam], J$1)+SUMIFS(Table2[NewPointsHome],Table2[GameDate], "&lt;=" &amp; $A8, Table2[HomeTeam], J$1)</f>
        <v>2</v>
      </c>
      <c r="K8" s="145">
        <f>SUMIFS(Table2[NewPointsAway],Table2[GameDate], "&lt;=" &amp; $A8, Table2[AwayTeam], K$1)+SUMIFS(Table2[NewPointsHome],Table2[GameDate], "&lt;=" &amp; $A8, Table2[HomeTeam], K$1)</f>
        <v>0</v>
      </c>
      <c r="L8" s="145">
        <f>SUMIFS(Table2[NewPointsAway],Table2[GameDate], "&lt;=" &amp; $A8, Table2[AwayTeam], L$1)+SUMIFS(Table2[NewPointsHome],Table2[GameDate], "&lt;=" &amp; $A8, Table2[HomeTeam], L$1)</f>
        <v>1</v>
      </c>
      <c r="M8" s="145">
        <f>SUMIFS(Table2[NewPointsAway],Table2[GameDate], "&lt;=" &amp; $A8, Table2[AwayTeam], M$1)+SUMIFS(Table2[NewPointsHome],Table2[GameDate], "&lt;=" &amp; $A8, Table2[HomeTeam], M$1)</f>
        <v>4</v>
      </c>
      <c r="N8" s="145">
        <f>SUMIFS(Table2[NewPointsAway],Table2[GameDate], "&lt;=" &amp; $A8, Table2[AwayTeam], N$1)+SUMIFS(Table2[NewPointsHome],Table2[GameDate], "&lt;=" &amp; $A8, Table2[HomeTeam], N$1)</f>
        <v>2</v>
      </c>
      <c r="O8" s="145">
        <f>SUMIFS(Table2[NewPointsAway],Table2[GameDate], "&lt;=" &amp; $A8, Table2[AwayTeam], O$1)+SUMIFS(Table2[NewPointsHome],Table2[GameDate], "&lt;=" &amp; $A8, Table2[HomeTeam], O$1)</f>
        <v>2</v>
      </c>
      <c r="P8" s="145">
        <f>SUMIFS(Table2[NewPointsAway],Table2[GameDate], "&lt;=" &amp; $A8, Table2[AwayTeam], P$1)+SUMIFS(Table2[NewPointsHome],Table2[GameDate], "&lt;=" &amp; $A8, Table2[HomeTeam], P$1)</f>
        <v>2</v>
      </c>
      <c r="Q8" s="145">
        <f>SUMIFS(Table2[NewPointsAway],Table2[GameDate], "&lt;=" &amp; $A8, Table2[AwayTeam], Q$1)+SUMIFS(Table2[NewPointsHome],Table2[GameDate], "&lt;=" &amp; $A8, Table2[HomeTeam], Q$1)</f>
        <v>0</v>
      </c>
      <c r="R8" s="145">
        <f>SUMIFS(Table2[NewPointsAway],Table2[GameDate], "&lt;=" &amp; $A8, Table2[AwayTeam], R$1)+SUMIFS(Table2[NewPointsHome],Table2[GameDate], "&lt;=" &amp; $A8, Table2[HomeTeam], R$1)</f>
        <v>2</v>
      </c>
      <c r="S8" s="145">
        <f>SUMIFS(Table2[NewPointsAway],Table2[GameDate], "&lt;=" &amp; $A8, Table2[AwayTeam], S$1)+SUMIFS(Table2[NewPointsHome],Table2[GameDate], "&lt;=" &amp; $A8, Table2[HomeTeam], S$1)</f>
        <v>0</v>
      </c>
      <c r="T8" s="145">
        <f>SUMIFS(Table2[NewPointsAway],Table2[GameDate], "&lt;=" &amp; $A8, Table2[AwayTeam], T$1)+SUMIFS(Table2[NewPointsHome],Table2[GameDate], "&lt;=" &amp; $A8, Table2[HomeTeam], T$1)</f>
        <v>2</v>
      </c>
      <c r="U8" s="145">
        <f>SUMIFS(Table2[NewPointsAway],Table2[GameDate], "&lt;=" &amp; $A8, Table2[AwayTeam], U$1)+SUMIFS(Table2[NewPointsHome],Table2[GameDate], "&lt;=" &amp; $A8, Table2[HomeTeam], U$1)</f>
        <v>2</v>
      </c>
      <c r="V8" s="145">
        <f>SUMIFS(Table2[NewPointsAway],Table2[GameDate], "&lt;=" &amp; $A8, Table2[AwayTeam], V$1)+SUMIFS(Table2[NewPointsHome],Table2[GameDate], "&lt;=" &amp; $A8, Table2[HomeTeam], V$1)</f>
        <v>0</v>
      </c>
      <c r="W8" s="145">
        <f>SUMIFS(Table2[NewPointsAway],Table2[GameDate], "&lt;=" &amp; $A8, Table2[AwayTeam], W$1)+SUMIFS(Table2[NewPointsHome],Table2[GameDate], "&lt;=" &amp; $A8, Table2[HomeTeam], W$1)</f>
        <v>4</v>
      </c>
      <c r="X8" s="145">
        <f>SUMIFS(Table2[NewPointsAway],Table2[GameDate], "&lt;=" &amp; $A8, Table2[AwayTeam], X$1)+SUMIFS(Table2[NewPointsHome],Table2[GameDate], "&lt;=" &amp; $A8, Table2[HomeTeam], X$1)</f>
        <v>2</v>
      </c>
      <c r="Y8" s="145">
        <f>SUMIFS(Table2[NewPointsAway],Table2[GameDate], "&lt;=" &amp; $A8, Table2[AwayTeam], Y$1)+SUMIFS(Table2[NewPointsHome],Table2[GameDate], "&lt;=" &amp; $A8, Table2[HomeTeam], Y$1)</f>
        <v>1</v>
      </c>
      <c r="Z8" s="145">
        <f>SUMIFS(Table2[NewPointsAway],Table2[GameDate], "&lt;=" &amp; $A8, Table2[AwayTeam], Z$1)+SUMIFS(Table2[NewPointsHome],Table2[GameDate], "&lt;=" &amp; $A8, Table2[HomeTeam], Z$1)</f>
        <v>0</v>
      </c>
      <c r="AA8" s="145">
        <f>SUMIFS(Table2[NewPointsAway],Table2[GameDate], "&lt;=" &amp; $A8, Table2[AwayTeam], AA$1)+SUMIFS(Table2[NewPointsHome],Table2[GameDate], "&lt;=" &amp; $A8, Table2[HomeTeam], AA$1)</f>
        <v>0</v>
      </c>
      <c r="AB8" s="145">
        <f>SUMIFS(Table2[NewPointsAway],Table2[GameDate], "&lt;=" &amp; $A8, Table2[AwayTeam], AB$1)+SUMIFS(Table2[NewPointsHome],Table2[GameDate], "&lt;=" &amp; $A8, Table2[HomeTeam], AB$1)</f>
        <v>2</v>
      </c>
      <c r="AC8" s="145">
        <f>SUMIFS(Table2[NewPointsAway],Table2[GameDate], "&lt;=" &amp; $A8, Table2[AwayTeam], AC$1)+SUMIFS(Table2[NewPointsHome],Table2[GameDate], "&lt;=" &amp; $A8, Table2[HomeTeam], AC$1)</f>
        <v>0</v>
      </c>
      <c r="AD8" s="145">
        <f>SUMIFS(Table2[NewPointsAway],Table2[GameDate], "&lt;=" &amp; $A8, Table2[AwayTeam], AD$1)+SUMIFS(Table2[NewPointsHome],Table2[GameDate], "&lt;=" &amp; $A8, Table2[HomeTeam], AD$1)</f>
        <v>2</v>
      </c>
      <c r="AE8" s="145">
        <f>SUMIFS(Table2[NewPointsAway],Table2[GameDate], "&lt;=" &amp; $A8, Table2[AwayTeam], AE$1)+SUMIFS(Table2[NewPointsHome],Table2[GameDate], "&lt;=" &amp; $A8, Table2[HomeTeam], AE$1)</f>
        <v>3</v>
      </c>
      <c r="AF8" s="145">
        <f>SUMIFS(Table2[NewPointsAway],Table2[GameDate], "&lt;=" &amp; $A8, Table2[AwayTeam], AF$1)+SUMIFS(Table2[NewPointsHome],Table2[GameDate], "&lt;=" &amp; $A8, Table2[HomeTeam], AF$1)</f>
        <v>0</v>
      </c>
      <c r="AG8" s="145">
        <f>SUMIFS(Table2[NewPointsAway],Table2[GameDate], "&lt;=" &amp; $A8, Table2[AwayTeam], AG$1)+SUMIFS(Table2[NewPointsHome],Table2[GameDate], "&lt;=" &amp; $A8, Table2[HomeTeam], AG$1)</f>
        <v>0</v>
      </c>
    </row>
    <row r="9" spans="1:33" x14ac:dyDescent="0.25">
      <c r="A9" s="3">
        <v>45940</v>
      </c>
      <c r="B9" s="145">
        <f>SUMIFS(Table2[NewPointsAway],Table2[GameDate], "&lt;=" &amp; $A9, Table2[AwayTeam], B$1)+SUMIFS(Table2[NewPointsHome],Table2[GameDate], "&lt;=" &amp; $A9, Table2[HomeTeam], B$1)</f>
        <v>0</v>
      </c>
      <c r="C9" s="145">
        <f>SUMIFS(Table2[NewPointsAway],Table2[GameDate], "&lt;=" &amp; $A9, Table2[AwayTeam], C$1)+SUMIFS(Table2[NewPointsHome],Table2[GameDate], "&lt;=" &amp; $A9, Table2[HomeTeam], C$1)</f>
        <v>4</v>
      </c>
      <c r="D9" s="145">
        <f>SUMIFS(Table2[NewPointsAway],Table2[GameDate], "&lt;=" &amp; $A9, Table2[AwayTeam], D$1)+SUMIFS(Table2[NewPointsHome],Table2[GameDate], "&lt;=" &amp; $A9, Table2[HomeTeam], D$1)</f>
        <v>0</v>
      </c>
      <c r="E9" s="145">
        <f>SUMIFS(Table2[NewPointsAway],Table2[GameDate], "&lt;=" &amp; $A9, Table2[AwayTeam], E$1)+SUMIFS(Table2[NewPointsHome],Table2[GameDate], "&lt;=" &amp; $A9, Table2[HomeTeam], E$1)</f>
        <v>2</v>
      </c>
      <c r="F9" s="145">
        <f>SUMIFS(Table2[NewPointsAway],Table2[GameDate], "&lt;=" &amp; $A9, Table2[AwayTeam], F$1)+SUMIFS(Table2[NewPointsHome],Table2[GameDate], "&lt;=" &amp; $A9, Table2[HomeTeam], F$1)</f>
        <v>0</v>
      </c>
      <c r="G9" s="145">
        <f>SUMIFS(Table2[NewPointsAway],Table2[GameDate], "&lt;=" &amp; $A9, Table2[AwayTeam], G$1)+SUMIFS(Table2[NewPointsHome],Table2[GameDate], "&lt;=" &amp; $A9, Table2[HomeTeam], G$1)</f>
        <v>2</v>
      </c>
      <c r="H9" s="145">
        <f>SUMIFS(Table2[NewPointsAway],Table2[GameDate], "&lt;=" &amp; $A9, Table2[AwayTeam], H$1)+SUMIFS(Table2[NewPointsHome],Table2[GameDate], "&lt;=" &amp; $A9, Table2[HomeTeam], H$1)</f>
        <v>1</v>
      </c>
      <c r="I9" s="145">
        <f>SUMIFS(Table2[NewPointsAway],Table2[GameDate], "&lt;=" &amp; $A9, Table2[AwayTeam], I$1)+SUMIFS(Table2[NewPointsHome],Table2[GameDate], "&lt;=" &amp; $A9, Table2[HomeTeam], I$1)</f>
        <v>4</v>
      </c>
      <c r="J9" s="145">
        <f>SUMIFS(Table2[NewPointsAway],Table2[GameDate], "&lt;=" &amp; $A9, Table2[AwayTeam], J$1)+SUMIFS(Table2[NewPointsHome],Table2[GameDate], "&lt;=" &amp; $A9, Table2[HomeTeam], J$1)</f>
        <v>2</v>
      </c>
      <c r="K9" s="145">
        <f>SUMIFS(Table2[NewPointsAway],Table2[GameDate], "&lt;=" &amp; $A9, Table2[AwayTeam], K$1)+SUMIFS(Table2[NewPointsHome],Table2[GameDate], "&lt;=" &amp; $A9, Table2[HomeTeam], K$1)</f>
        <v>0</v>
      </c>
      <c r="L9" s="145">
        <f>SUMIFS(Table2[NewPointsAway],Table2[GameDate], "&lt;=" &amp; $A9, Table2[AwayTeam], L$1)+SUMIFS(Table2[NewPointsHome],Table2[GameDate], "&lt;=" &amp; $A9, Table2[HomeTeam], L$1)</f>
        <v>1</v>
      </c>
      <c r="M9" s="145">
        <f>SUMIFS(Table2[NewPointsAway],Table2[GameDate], "&lt;=" &amp; $A9, Table2[AwayTeam], M$1)+SUMIFS(Table2[NewPointsHome],Table2[GameDate], "&lt;=" &amp; $A9, Table2[HomeTeam], M$1)</f>
        <v>4</v>
      </c>
      <c r="N9" s="145">
        <f>SUMIFS(Table2[NewPointsAway],Table2[GameDate], "&lt;=" &amp; $A9, Table2[AwayTeam], N$1)+SUMIFS(Table2[NewPointsHome],Table2[GameDate], "&lt;=" &amp; $A9, Table2[HomeTeam], N$1)</f>
        <v>2</v>
      </c>
      <c r="O9" s="145">
        <f>SUMIFS(Table2[NewPointsAway],Table2[GameDate], "&lt;=" &amp; $A9, Table2[AwayTeam], O$1)+SUMIFS(Table2[NewPointsHome],Table2[GameDate], "&lt;=" &amp; $A9, Table2[HomeTeam], O$1)</f>
        <v>2</v>
      </c>
      <c r="P9" s="145">
        <f>SUMIFS(Table2[NewPointsAway],Table2[GameDate], "&lt;=" &amp; $A9, Table2[AwayTeam], P$1)+SUMIFS(Table2[NewPointsHome],Table2[GameDate], "&lt;=" &amp; $A9, Table2[HomeTeam], P$1)</f>
        <v>2</v>
      </c>
      <c r="Q9" s="145">
        <f>SUMIFS(Table2[NewPointsAway],Table2[GameDate], "&lt;=" &amp; $A9, Table2[AwayTeam], Q$1)+SUMIFS(Table2[NewPointsHome],Table2[GameDate], "&lt;=" &amp; $A9, Table2[HomeTeam], Q$1)</f>
        <v>0</v>
      </c>
      <c r="R9" s="145">
        <f>SUMIFS(Table2[NewPointsAway],Table2[GameDate], "&lt;=" &amp; $A9, Table2[AwayTeam], R$1)+SUMIFS(Table2[NewPointsHome],Table2[GameDate], "&lt;=" &amp; $A9, Table2[HomeTeam], R$1)</f>
        <v>2</v>
      </c>
      <c r="S9" s="145">
        <f>SUMIFS(Table2[NewPointsAway],Table2[GameDate], "&lt;=" &amp; $A9, Table2[AwayTeam], S$1)+SUMIFS(Table2[NewPointsHome],Table2[GameDate], "&lt;=" &amp; $A9, Table2[HomeTeam], S$1)</f>
        <v>0</v>
      </c>
      <c r="T9" s="145">
        <f>SUMIFS(Table2[NewPointsAway],Table2[GameDate], "&lt;=" &amp; $A9, Table2[AwayTeam], T$1)+SUMIFS(Table2[NewPointsHome],Table2[GameDate], "&lt;=" &amp; $A9, Table2[HomeTeam], T$1)</f>
        <v>2</v>
      </c>
      <c r="U9" s="145">
        <f>SUMIFS(Table2[NewPointsAway],Table2[GameDate], "&lt;=" &amp; $A9, Table2[AwayTeam], U$1)+SUMIFS(Table2[NewPointsHome],Table2[GameDate], "&lt;=" &amp; $A9, Table2[HomeTeam], U$1)</f>
        <v>2</v>
      </c>
      <c r="V9" s="145">
        <f>SUMIFS(Table2[NewPointsAway],Table2[GameDate], "&lt;=" &amp; $A9, Table2[AwayTeam], V$1)+SUMIFS(Table2[NewPointsHome],Table2[GameDate], "&lt;=" &amp; $A9, Table2[HomeTeam], V$1)</f>
        <v>0</v>
      </c>
      <c r="W9" s="145">
        <f>SUMIFS(Table2[NewPointsAway],Table2[GameDate], "&lt;=" &amp; $A9, Table2[AwayTeam], W$1)+SUMIFS(Table2[NewPointsHome],Table2[GameDate], "&lt;=" &amp; $A9, Table2[HomeTeam], W$1)</f>
        <v>4</v>
      </c>
      <c r="X9" s="145">
        <f>SUMIFS(Table2[NewPointsAway],Table2[GameDate], "&lt;=" &amp; $A9, Table2[AwayTeam], X$1)+SUMIFS(Table2[NewPointsHome],Table2[GameDate], "&lt;=" &amp; $A9, Table2[HomeTeam], X$1)</f>
        <v>2</v>
      </c>
      <c r="Y9" s="145">
        <f>SUMIFS(Table2[NewPointsAway],Table2[GameDate], "&lt;=" &amp; $A9, Table2[AwayTeam], Y$1)+SUMIFS(Table2[NewPointsHome],Table2[GameDate], "&lt;=" &amp; $A9, Table2[HomeTeam], Y$1)</f>
        <v>1</v>
      </c>
      <c r="Z9" s="145">
        <f>SUMIFS(Table2[NewPointsAway],Table2[GameDate], "&lt;=" &amp; $A9, Table2[AwayTeam], Z$1)+SUMIFS(Table2[NewPointsHome],Table2[GameDate], "&lt;=" &amp; $A9, Table2[HomeTeam], Z$1)</f>
        <v>0</v>
      </c>
      <c r="AA9" s="145">
        <f>SUMIFS(Table2[NewPointsAway],Table2[GameDate], "&lt;=" &amp; $A9, Table2[AwayTeam], AA$1)+SUMIFS(Table2[NewPointsHome],Table2[GameDate], "&lt;=" &amp; $A9, Table2[HomeTeam], AA$1)</f>
        <v>0</v>
      </c>
      <c r="AB9" s="145">
        <f>SUMIFS(Table2[NewPointsAway],Table2[GameDate], "&lt;=" &amp; $A9, Table2[AwayTeam], AB$1)+SUMIFS(Table2[NewPointsHome],Table2[GameDate], "&lt;=" &amp; $A9, Table2[HomeTeam], AB$1)</f>
        <v>2</v>
      </c>
      <c r="AC9" s="145">
        <f>SUMIFS(Table2[NewPointsAway],Table2[GameDate], "&lt;=" &amp; $A9, Table2[AwayTeam], AC$1)+SUMIFS(Table2[NewPointsHome],Table2[GameDate], "&lt;=" &amp; $A9, Table2[HomeTeam], AC$1)</f>
        <v>0</v>
      </c>
      <c r="AD9" s="145">
        <f>SUMIFS(Table2[NewPointsAway],Table2[GameDate], "&lt;=" &amp; $A9, Table2[AwayTeam], AD$1)+SUMIFS(Table2[NewPointsHome],Table2[GameDate], "&lt;=" &amp; $A9, Table2[HomeTeam], AD$1)</f>
        <v>2</v>
      </c>
      <c r="AE9" s="145">
        <f>SUMIFS(Table2[NewPointsAway],Table2[GameDate], "&lt;=" &amp; $A9, Table2[AwayTeam], AE$1)+SUMIFS(Table2[NewPointsHome],Table2[GameDate], "&lt;=" &amp; $A9, Table2[HomeTeam], AE$1)</f>
        <v>3</v>
      </c>
      <c r="AF9" s="145">
        <f>SUMIFS(Table2[NewPointsAway],Table2[GameDate], "&lt;=" &amp; $A9, Table2[AwayTeam], AF$1)+SUMIFS(Table2[NewPointsHome],Table2[GameDate], "&lt;=" &amp; $A9, Table2[HomeTeam], AF$1)</f>
        <v>0</v>
      </c>
      <c r="AG9" s="145">
        <f>SUMIFS(Table2[NewPointsAway],Table2[GameDate], "&lt;=" &amp; $A9, Table2[AwayTeam], AG$1)+SUMIFS(Table2[NewPointsHome],Table2[GameDate], "&lt;=" &amp; $A9, Table2[HomeTeam], AG$1)</f>
        <v>0</v>
      </c>
    </row>
    <row r="10" spans="1:33" x14ac:dyDescent="0.25">
      <c r="A10" s="3">
        <v>45941</v>
      </c>
      <c r="B10" s="145">
        <f>SUMIFS(Table2[NewPointsAway],Table2[GameDate], "&lt;=" &amp; $A10, Table2[AwayTeam], B$1)+SUMIFS(Table2[NewPointsHome],Table2[GameDate], "&lt;=" &amp; $A10, Table2[HomeTeam], B$1)</f>
        <v>2</v>
      </c>
      <c r="C10" s="145">
        <f>SUMIFS(Table2[NewPointsAway],Table2[GameDate], "&lt;=" &amp; $A10, Table2[AwayTeam], C$1)+SUMIFS(Table2[NewPointsHome],Table2[GameDate], "&lt;=" &amp; $A10, Table2[HomeTeam], C$1)</f>
        <v>6</v>
      </c>
      <c r="D10" s="145">
        <f>SUMIFS(Table2[NewPointsAway],Table2[GameDate], "&lt;=" &amp; $A10, Table2[AwayTeam], D$1)+SUMIFS(Table2[NewPointsHome],Table2[GameDate], "&lt;=" &amp; $A10, Table2[HomeTeam], D$1)</f>
        <v>0</v>
      </c>
      <c r="E10" s="145">
        <f>SUMIFS(Table2[NewPointsAway],Table2[GameDate], "&lt;=" &amp; $A10, Table2[AwayTeam], E$1)+SUMIFS(Table2[NewPointsHome],Table2[GameDate], "&lt;=" &amp; $A10, Table2[HomeTeam], E$1)</f>
        <v>4</v>
      </c>
      <c r="F10" s="145">
        <f>SUMIFS(Table2[NewPointsAway],Table2[GameDate], "&lt;=" &amp; $A10, Table2[AwayTeam], F$1)+SUMIFS(Table2[NewPointsHome],Table2[GameDate], "&lt;=" &amp; $A10, Table2[HomeTeam], F$1)</f>
        <v>2</v>
      </c>
      <c r="G10" s="145">
        <f>SUMIFS(Table2[NewPointsAway],Table2[GameDate], "&lt;=" &amp; $A10, Table2[AwayTeam], G$1)+SUMIFS(Table2[NewPointsHome],Table2[GameDate], "&lt;=" &amp; $A10, Table2[HomeTeam], G$1)</f>
        <v>2</v>
      </c>
      <c r="H10" s="145">
        <f>SUMIFS(Table2[NewPointsAway],Table2[GameDate], "&lt;=" &amp; $A10, Table2[AwayTeam], H$1)+SUMIFS(Table2[NewPointsHome],Table2[GameDate], "&lt;=" &amp; $A10, Table2[HomeTeam], H$1)</f>
        <v>1</v>
      </c>
      <c r="I10" s="145">
        <f>SUMIFS(Table2[NewPointsAway],Table2[GameDate], "&lt;=" &amp; $A10, Table2[AwayTeam], I$1)+SUMIFS(Table2[NewPointsHome],Table2[GameDate], "&lt;=" &amp; $A10, Table2[HomeTeam], I$1)</f>
        <v>5</v>
      </c>
      <c r="J10" s="145">
        <f>SUMIFS(Table2[NewPointsAway],Table2[GameDate], "&lt;=" &amp; $A10, Table2[AwayTeam], J$1)+SUMIFS(Table2[NewPointsHome],Table2[GameDate], "&lt;=" &amp; $A10, Table2[HomeTeam], J$1)</f>
        <v>4</v>
      </c>
      <c r="K10" s="145">
        <f>SUMIFS(Table2[NewPointsAway],Table2[GameDate], "&lt;=" &amp; $A10, Table2[AwayTeam], K$1)+SUMIFS(Table2[NewPointsHome],Table2[GameDate], "&lt;=" &amp; $A10, Table2[HomeTeam], K$1)</f>
        <v>2</v>
      </c>
      <c r="L10" s="145">
        <f>SUMIFS(Table2[NewPointsAway],Table2[GameDate], "&lt;=" &amp; $A10, Table2[AwayTeam], L$1)+SUMIFS(Table2[NewPointsHome],Table2[GameDate], "&lt;=" &amp; $A10, Table2[HomeTeam], L$1)</f>
        <v>3</v>
      </c>
      <c r="M10" s="145">
        <f>SUMIFS(Table2[NewPointsAway],Table2[GameDate], "&lt;=" &amp; $A10, Table2[AwayTeam], M$1)+SUMIFS(Table2[NewPointsHome],Table2[GameDate], "&lt;=" &amp; $A10, Table2[HomeTeam], M$1)</f>
        <v>6</v>
      </c>
      <c r="N10" s="145">
        <f>SUMIFS(Table2[NewPointsAway],Table2[GameDate], "&lt;=" &amp; $A10, Table2[AwayTeam], N$1)+SUMIFS(Table2[NewPointsHome],Table2[GameDate], "&lt;=" &amp; $A10, Table2[HomeTeam], N$1)</f>
        <v>2</v>
      </c>
      <c r="O10" s="145">
        <f>SUMIFS(Table2[NewPointsAway],Table2[GameDate], "&lt;=" &amp; $A10, Table2[AwayTeam], O$1)+SUMIFS(Table2[NewPointsHome],Table2[GameDate], "&lt;=" &amp; $A10, Table2[HomeTeam], O$1)</f>
        <v>2</v>
      </c>
      <c r="P10" s="145">
        <f>SUMIFS(Table2[NewPointsAway],Table2[GameDate], "&lt;=" &amp; $A10, Table2[AwayTeam], P$1)+SUMIFS(Table2[NewPointsHome],Table2[GameDate], "&lt;=" &amp; $A10, Table2[HomeTeam], P$1)</f>
        <v>4</v>
      </c>
      <c r="Q10" s="145">
        <f>SUMIFS(Table2[NewPointsAway],Table2[GameDate], "&lt;=" &amp; $A10, Table2[AwayTeam], Q$1)+SUMIFS(Table2[NewPointsHome],Table2[GameDate], "&lt;=" &amp; $A10, Table2[HomeTeam], Q$1)</f>
        <v>2</v>
      </c>
      <c r="R10" s="145">
        <f>SUMIFS(Table2[NewPointsAway],Table2[GameDate], "&lt;=" &amp; $A10, Table2[AwayTeam], R$1)+SUMIFS(Table2[NewPointsHome],Table2[GameDate], "&lt;=" &amp; $A10, Table2[HomeTeam], R$1)</f>
        <v>3</v>
      </c>
      <c r="S10" s="145">
        <f>SUMIFS(Table2[NewPointsAway],Table2[GameDate], "&lt;=" &amp; $A10, Table2[AwayTeam], S$1)+SUMIFS(Table2[NewPointsHome],Table2[GameDate], "&lt;=" &amp; $A10, Table2[HomeTeam], S$1)</f>
        <v>0</v>
      </c>
      <c r="T10" s="145">
        <f>SUMIFS(Table2[NewPointsAway],Table2[GameDate], "&lt;=" &amp; $A10, Table2[AwayTeam], T$1)+SUMIFS(Table2[NewPointsHome],Table2[GameDate], "&lt;=" &amp; $A10, Table2[HomeTeam], T$1)</f>
        <v>4</v>
      </c>
      <c r="U10" s="145">
        <f>SUMIFS(Table2[NewPointsAway],Table2[GameDate], "&lt;=" &amp; $A10, Table2[AwayTeam], U$1)+SUMIFS(Table2[NewPointsHome],Table2[GameDate], "&lt;=" &amp; $A10, Table2[HomeTeam], U$1)</f>
        <v>2</v>
      </c>
      <c r="V10" s="145">
        <f>SUMIFS(Table2[NewPointsAway],Table2[GameDate], "&lt;=" &amp; $A10, Table2[AwayTeam], V$1)+SUMIFS(Table2[NewPointsHome],Table2[GameDate], "&lt;=" &amp; $A10, Table2[HomeTeam], V$1)</f>
        <v>1</v>
      </c>
      <c r="W10" s="145">
        <f>SUMIFS(Table2[NewPointsAway],Table2[GameDate], "&lt;=" &amp; $A10, Table2[AwayTeam], W$1)+SUMIFS(Table2[NewPointsHome],Table2[GameDate], "&lt;=" &amp; $A10, Table2[HomeTeam], W$1)</f>
        <v>4</v>
      </c>
      <c r="X10" s="145">
        <f>SUMIFS(Table2[NewPointsAway],Table2[GameDate], "&lt;=" &amp; $A10, Table2[AwayTeam], X$1)+SUMIFS(Table2[NewPointsHome],Table2[GameDate], "&lt;=" &amp; $A10, Table2[HomeTeam], X$1)</f>
        <v>4</v>
      </c>
      <c r="Y10" s="145">
        <f>SUMIFS(Table2[NewPointsAway],Table2[GameDate], "&lt;=" &amp; $A10, Table2[AwayTeam], Y$1)+SUMIFS(Table2[NewPointsHome],Table2[GameDate], "&lt;=" &amp; $A10, Table2[HomeTeam], Y$1)</f>
        <v>2</v>
      </c>
      <c r="Z10" s="145">
        <f>SUMIFS(Table2[NewPointsAway],Table2[GameDate], "&lt;=" &amp; $A10, Table2[AwayTeam], Z$1)+SUMIFS(Table2[NewPointsHome],Table2[GameDate], "&lt;=" &amp; $A10, Table2[HomeTeam], Z$1)</f>
        <v>2</v>
      </c>
      <c r="AA10" s="145">
        <f>SUMIFS(Table2[NewPointsAway],Table2[GameDate], "&lt;=" &amp; $A10, Table2[AwayTeam], AA$1)+SUMIFS(Table2[NewPointsHome],Table2[GameDate], "&lt;=" &amp; $A10, Table2[HomeTeam], AA$1)</f>
        <v>0</v>
      </c>
      <c r="AB10" s="145">
        <f>SUMIFS(Table2[NewPointsAway],Table2[GameDate], "&lt;=" &amp; $A10, Table2[AwayTeam], AB$1)+SUMIFS(Table2[NewPointsHome],Table2[GameDate], "&lt;=" &amp; $A10, Table2[HomeTeam], AB$1)</f>
        <v>2</v>
      </c>
      <c r="AC10" s="145">
        <f>SUMIFS(Table2[NewPointsAway],Table2[GameDate], "&lt;=" &amp; $A10, Table2[AwayTeam], AC$1)+SUMIFS(Table2[NewPointsHome],Table2[GameDate], "&lt;=" &amp; $A10, Table2[HomeTeam], AC$1)</f>
        <v>2</v>
      </c>
      <c r="AD10" s="145">
        <f>SUMIFS(Table2[NewPointsAway],Table2[GameDate], "&lt;=" &amp; $A10, Table2[AwayTeam], AD$1)+SUMIFS(Table2[NewPointsHome],Table2[GameDate], "&lt;=" &amp; $A10, Table2[HomeTeam], AD$1)</f>
        <v>2</v>
      </c>
      <c r="AE10" s="145">
        <f>SUMIFS(Table2[NewPointsAway],Table2[GameDate], "&lt;=" &amp; $A10, Table2[AwayTeam], AE$1)+SUMIFS(Table2[NewPointsHome],Table2[GameDate], "&lt;=" &amp; $A10, Table2[HomeTeam], AE$1)</f>
        <v>4</v>
      </c>
      <c r="AF10" s="145">
        <f>SUMIFS(Table2[NewPointsAway],Table2[GameDate], "&lt;=" &amp; $A10, Table2[AwayTeam], AF$1)+SUMIFS(Table2[NewPointsHome],Table2[GameDate], "&lt;=" &amp; $A10, Table2[HomeTeam], AF$1)</f>
        <v>2</v>
      </c>
      <c r="AG10" s="145">
        <f>SUMIFS(Table2[NewPointsAway],Table2[GameDate], "&lt;=" &amp; $A10, Table2[AwayTeam], AG$1)+SUMIFS(Table2[NewPointsHome],Table2[GameDate], "&lt;=" &amp; $A10, Table2[HomeTeam], AG$1)</f>
        <v>2</v>
      </c>
    </row>
    <row r="11" spans="1:33" x14ac:dyDescent="0.25">
      <c r="A11" s="3">
        <v>45942</v>
      </c>
      <c r="B11" s="145">
        <f>SUMIFS(Table2[NewPointsAway],Table2[GameDate], "&lt;=" &amp; $A11, Table2[AwayTeam], B$1)+SUMIFS(Table2[NewPointsHome],Table2[GameDate], "&lt;=" &amp; $A11, Table2[HomeTeam], B$1)</f>
        <v>2</v>
      </c>
      <c r="C11" s="145">
        <f>SUMIFS(Table2[NewPointsAway],Table2[GameDate], "&lt;=" &amp; $A11, Table2[AwayTeam], C$1)+SUMIFS(Table2[NewPointsHome],Table2[GameDate], "&lt;=" &amp; $A11, Table2[HomeTeam], C$1)</f>
        <v>6</v>
      </c>
      <c r="D11" s="145">
        <f>SUMIFS(Table2[NewPointsAway],Table2[GameDate], "&lt;=" &amp; $A11, Table2[AwayTeam], D$1)+SUMIFS(Table2[NewPointsHome],Table2[GameDate], "&lt;=" &amp; $A11, Table2[HomeTeam], D$1)</f>
        <v>0</v>
      </c>
      <c r="E11" s="145">
        <f>SUMIFS(Table2[NewPointsAway],Table2[GameDate], "&lt;=" &amp; $A11, Table2[AwayTeam], E$1)+SUMIFS(Table2[NewPointsHome],Table2[GameDate], "&lt;=" &amp; $A11, Table2[HomeTeam], E$1)</f>
        <v>4</v>
      </c>
      <c r="F11" s="145">
        <f>SUMIFS(Table2[NewPointsAway],Table2[GameDate], "&lt;=" &amp; $A11, Table2[AwayTeam], F$1)+SUMIFS(Table2[NewPointsHome],Table2[GameDate], "&lt;=" &amp; $A11, Table2[HomeTeam], F$1)</f>
        <v>2</v>
      </c>
      <c r="G11" s="145">
        <f>SUMIFS(Table2[NewPointsAway],Table2[GameDate], "&lt;=" &amp; $A11, Table2[AwayTeam], G$1)+SUMIFS(Table2[NewPointsHome],Table2[GameDate], "&lt;=" &amp; $A11, Table2[HomeTeam], G$1)</f>
        <v>2</v>
      </c>
      <c r="H11" s="145">
        <f>SUMIFS(Table2[NewPointsAway],Table2[GameDate], "&lt;=" &amp; $A11, Table2[AwayTeam], H$1)+SUMIFS(Table2[NewPointsHome],Table2[GameDate], "&lt;=" &amp; $A11, Table2[HomeTeam], H$1)</f>
        <v>1</v>
      </c>
      <c r="I11" s="145">
        <f>SUMIFS(Table2[NewPointsAway],Table2[GameDate], "&lt;=" &amp; $A11, Table2[AwayTeam], I$1)+SUMIFS(Table2[NewPointsHome],Table2[GameDate], "&lt;=" &amp; $A11, Table2[HomeTeam], I$1)</f>
        <v>5</v>
      </c>
      <c r="J11" s="145">
        <f>SUMIFS(Table2[NewPointsAway],Table2[GameDate], "&lt;=" &amp; $A11, Table2[AwayTeam], J$1)+SUMIFS(Table2[NewPointsHome],Table2[GameDate], "&lt;=" &amp; $A11, Table2[HomeTeam], J$1)</f>
        <v>4</v>
      </c>
      <c r="K11" s="145">
        <f>SUMIFS(Table2[NewPointsAway],Table2[GameDate], "&lt;=" &amp; $A11, Table2[AwayTeam], K$1)+SUMIFS(Table2[NewPointsHome],Table2[GameDate], "&lt;=" &amp; $A11, Table2[HomeTeam], K$1)</f>
        <v>2</v>
      </c>
      <c r="L11" s="145">
        <f>SUMIFS(Table2[NewPointsAway],Table2[GameDate], "&lt;=" &amp; $A11, Table2[AwayTeam], L$1)+SUMIFS(Table2[NewPointsHome],Table2[GameDate], "&lt;=" &amp; $A11, Table2[HomeTeam], L$1)</f>
        <v>3</v>
      </c>
      <c r="M11" s="145">
        <f>SUMIFS(Table2[NewPointsAway],Table2[GameDate], "&lt;=" &amp; $A11, Table2[AwayTeam], M$1)+SUMIFS(Table2[NewPointsHome],Table2[GameDate], "&lt;=" &amp; $A11, Table2[HomeTeam], M$1)</f>
        <v>6</v>
      </c>
      <c r="N11" s="145">
        <f>SUMIFS(Table2[NewPointsAway],Table2[GameDate], "&lt;=" &amp; $A11, Table2[AwayTeam], N$1)+SUMIFS(Table2[NewPointsHome],Table2[GameDate], "&lt;=" &amp; $A11, Table2[HomeTeam], N$1)</f>
        <v>2</v>
      </c>
      <c r="O11" s="145">
        <f>SUMIFS(Table2[NewPointsAway],Table2[GameDate], "&lt;=" &amp; $A11, Table2[AwayTeam], O$1)+SUMIFS(Table2[NewPointsHome],Table2[GameDate], "&lt;=" &amp; $A11, Table2[HomeTeam], O$1)</f>
        <v>2</v>
      </c>
      <c r="P11" s="145">
        <f>SUMIFS(Table2[NewPointsAway],Table2[GameDate], "&lt;=" &amp; $A11, Table2[AwayTeam], P$1)+SUMIFS(Table2[NewPointsHome],Table2[GameDate], "&lt;=" &amp; $A11, Table2[HomeTeam], P$1)</f>
        <v>4</v>
      </c>
      <c r="Q11" s="145">
        <f>SUMIFS(Table2[NewPointsAway],Table2[GameDate], "&lt;=" &amp; $A11, Table2[AwayTeam], Q$1)+SUMIFS(Table2[NewPointsHome],Table2[GameDate], "&lt;=" &amp; $A11, Table2[HomeTeam], Q$1)</f>
        <v>2</v>
      </c>
      <c r="R11" s="145">
        <f>SUMIFS(Table2[NewPointsAway],Table2[GameDate], "&lt;=" &amp; $A11, Table2[AwayTeam], R$1)+SUMIFS(Table2[NewPointsHome],Table2[GameDate], "&lt;=" &amp; $A11, Table2[HomeTeam], R$1)</f>
        <v>3</v>
      </c>
      <c r="S11" s="145">
        <f>SUMIFS(Table2[NewPointsAway],Table2[GameDate], "&lt;=" &amp; $A11, Table2[AwayTeam], S$1)+SUMIFS(Table2[NewPointsHome],Table2[GameDate], "&lt;=" &amp; $A11, Table2[HomeTeam], S$1)</f>
        <v>0</v>
      </c>
      <c r="T11" s="145">
        <f>SUMIFS(Table2[NewPointsAway],Table2[GameDate], "&lt;=" &amp; $A11, Table2[AwayTeam], T$1)+SUMIFS(Table2[NewPointsHome],Table2[GameDate], "&lt;=" &amp; $A11, Table2[HomeTeam], T$1)</f>
        <v>4</v>
      </c>
      <c r="U11" s="145">
        <f>SUMIFS(Table2[NewPointsAway],Table2[GameDate], "&lt;=" &amp; $A11, Table2[AwayTeam], U$1)+SUMIFS(Table2[NewPointsHome],Table2[GameDate], "&lt;=" &amp; $A11, Table2[HomeTeam], U$1)</f>
        <v>2</v>
      </c>
      <c r="V11" s="145">
        <f>SUMIFS(Table2[NewPointsAway],Table2[GameDate], "&lt;=" &amp; $A11, Table2[AwayTeam], V$1)+SUMIFS(Table2[NewPointsHome],Table2[GameDate], "&lt;=" &amp; $A11, Table2[HomeTeam], V$1)</f>
        <v>1</v>
      </c>
      <c r="W11" s="145">
        <f>SUMIFS(Table2[NewPointsAway],Table2[GameDate], "&lt;=" &amp; $A11, Table2[AwayTeam], W$1)+SUMIFS(Table2[NewPointsHome],Table2[GameDate], "&lt;=" &amp; $A11, Table2[HomeTeam], W$1)</f>
        <v>4</v>
      </c>
      <c r="X11" s="145">
        <f>SUMIFS(Table2[NewPointsAway],Table2[GameDate], "&lt;=" &amp; $A11, Table2[AwayTeam], X$1)+SUMIFS(Table2[NewPointsHome],Table2[GameDate], "&lt;=" &amp; $A11, Table2[HomeTeam], X$1)</f>
        <v>4</v>
      </c>
      <c r="Y11" s="145">
        <f>SUMIFS(Table2[NewPointsAway],Table2[GameDate], "&lt;=" &amp; $A11, Table2[AwayTeam], Y$1)+SUMIFS(Table2[NewPointsHome],Table2[GameDate], "&lt;=" &amp; $A11, Table2[HomeTeam], Y$1)</f>
        <v>2</v>
      </c>
      <c r="Z11" s="145">
        <f>SUMIFS(Table2[NewPointsAway],Table2[GameDate], "&lt;=" &amp; $A11, Table2[AwayTeam], Z$1)+SUMIFS(Table2[NewPointsHome],Table2[GameDate], "&lt;=" &amp; $A11, Table2[HomeTeam], Z$1)</f>
        <v>2</v>
      </c>
      <c r="AA11" s="145">
        <f>SUMIFS(Table2[NewPointsAway],Table2[GameDate], "&lt;=" &amp; $A11, Table2[AwayTeam], AA$1)+SUMIFS(Table2[NewPointsHome],Table2[GameDate], "&lt;=" &amp; $A11, Table2[HomeTeam], AA$1)</f>
        <v>0</v>
      </c>
      <c r="AB11" s="145">
        <f>SUMIFS(Table2[NewPointsAway],Table2[GameDate], "&lt;=" &amp; $A11, Table2[AwayTeam], AB$1)+SUMIFS(Table2[NewPointsHome],Table2[GameDate], "&lt;=" &amp; $A11, Table2[HomeTeam], AB$1)</f>
        <v>2</v>
      </c>
      <c r="AC11" s="145">
        <f>SUMIFS(Table2[NewPointsAway],Table2[GameDate], "&lt;=" &amp; $A11, Table2[AwayTeam], AC$1)+SUMIFS(Table2[NewPointsHome],Table2[GameDate], "&lt;=" &amp; $A11, Table2[HomeTeam], AC$1)</f>
        <v>2</v>
      </c>
      <c r="AD11" s="145">
        <f>SUMIFS(Table2[NewPointsAway],Table2[GameDate], "&lt;=" &amp; $A11, Table2[AwayTeam], AD$1)+SUMIFS(Table2[NewPointsHome],Table2[GameDate], "&lt;=" &amp; $A11, Table2[HomeTeam], AD$1)</f>
        <v>2</v>
      </c>
      <c r="AE11" s="145">
        <f>SUMIFS(Table2[NewPointsAway],Table2[GameDate], "&lt;=" &amp; $A11, Table2[AwayTeam], AE$1)+SUMIFS(Table2[NewPointsHome],Table2[GameDate], "&lt;=" &amp; $A11, Table2[HomeTeam], AE$1)</f>
        <v>4</v>
      </c>
      <c r="AF11" s="145">
        <f>SUMIFS(Table2[NewPointsAway],Table2[GameDate], "&lt;=" &amp; $A11, Table2[AwayTeam], AF$1)+SUMIFS(Table2[NewPointsHome],Table2[GameDate], "&lt;=" &amp; $A11, Table2[HomeTeam], AF$1)</f>
        <v>2</v>
      </c>
      <c r="AG11" s="145">
        <f>SUMIFS(Table2[NewPointsAway],Table2[GameDate], "&lt;=" &amp; $A11, Table2[AwayTeam], AG$1)+SUMIFS(Table2[NewPointsHome],Table2[GameDate], "&lt;=" &amp; $A11, Table2[HomeTeam], AG$1)</f>
        <v>4</v>
      </c>
    </row>
    <row r="12" spans="1:33" x14ac:dyDescent="0.25">
      <c r="A12" s="3">
        <v>45943</v>
      </c>
      <c r="B12" s="145">
        <f>SUMIFS(Table2[NewPointsAway],Table2[GameDate], "&lt;=" &amp; $A12, Table2[AwayTeam], B$1)+SUMIFS(Table2[NewPointsHome],Table2[GameDate], "&lt;=" &amp; $A12, Table2[HomeTeam], B$1)</f>
        <v>2</v>
      </c>
      <c r="C12" s="145">
        <f>SUMIFS(Table2[NewPointsAway],Table2[GameDate], "&lt;=" &amp; $A12, Table2[AwayTeam], C$1)+SUMIFS(Table2[NewPointsHome],Table2[GameDate], "&lt;=" &amp; $A12, Table2[HomeTeam], C$1)</f>
        <v>6</v>
      </c>
      <c r="D12" s="145">
        <f>SUMIFS(Table2[NewPointsAway],Table2[GameDate], "&lt;=" &amp; $A12, Table2[AwayTeam], D$1)+SUMIFS(Table2[NewPointsHome],Table2[GameDate], "&lt;=" &amp; $A12, Table2[HomeTeam], D$1)</f>
        <v>0</v>
      </c>
      <c r="E12" s="145">
        <f>SUMIFS(Table2[NewPointsAway],Table2[GameDate], "&lt;=" &amp; $A12, Table2[AwayTeam], E$1)+SUMIFS(Table2[NewPointsHome],Table2[GameDate], "&lt;=" &amp; $A12, Table2[HomeTeam], E$1)</f>
        <v>4</v>
      </c>
      <c r="F12" s="145">
        <f>SUMIFS(Table2[NewPointsAway],Table2[GameDate], "&lt;=" &amp; $A12, Table2[AwayTeam], F$1)+SUMIFS(Table2[NewPointsHome],Table2[GameDate], "&lt;=" &amp; $A12, Table2[HomeTeam], F$1)</f>
        <v>2</v>
      </c>
      <c r="G12" s="145">
        <f>SUMIFS(Table2[NewPointsAway],Table2[GameDate], "&lt;=" &amp; $A12, Table2[AwayTeam], G$1)+SUMIFS(Table2[NewPointsHome],Table2[GameDate], "&lt;=" &amp; $A12, Table2[HomeTeam], G$1)</f>
        <v>2</v>
      </c>
      <c r="H12" s="145">
        <f>SUMIFS(Table2[NewPointsAway],Table2[GameDate], "&lt;=" &amp; $A12, Table2[AwayTeam], H$1)+SUMIFS(Table2[NewPointsHome],Table2[GameDate], "&lt;=" &amp; $A12, Table2[HomeTeam], H$1)</f>
        <v>3</v>
      </c>
      <c r="I12" s="145">
        <f>SUMIFS(Table2[NewPointsAway],Table2[GameDate], "&lt;=" &amp; $A12, Table2[AwayTeam], I$1)+SUMIFS(Table2[NewPointsHome],Table2[GameDate], "&lt;=" &amp; $A12, Table2[HomeTeam], I$1)</f>
        <v>7</v>
      </c>
      <c r="J12" s="145">
        <f>SUMIFS(Table2[NewPointsAway],Table2[GameDate], "&lt;=" &amp; $A12, Table2[AwayTeam], J$1)+SUMIFS(Table2[NewPointsHome],Table2[GameDate], "&lt;=" &amp; $A12, Table2[HomeTeam], J$1)</f>
        <v>4</v>
      </c>
      <c r="K12" s="145">
        <f>SUMIFS(Table2[NewPointsAway],Table2[GameDate], "&lt;=" &amp; $A12, Table2[AwayTeam], K$1)+SUMIFS(Table2[NewPointsHome],Table2[GameDate], "&lt;=" &amp; $A12, Table2[HomeTeam], K$1)</f>
        <v>4</v>
      </c>
      <c r="L12" s="145">
        <f>SUMIFS(Table2[NewPointsAway],Table2[GameDate], "&lt;=" &amp; $A12, Table2[AwayTeam], L$1)+SUMIFS(Table2[NewPointsHome],Table2[GameDate], "&lt;=" &amp; $A12, Table2[HomeTeam], L$1)</f>
        <v>3</v>
      </c>
      <c r="M12" s="145">
        <f>SUMIFS(Table2[NewPointsAway],Table2[GameDate], "&lt;=" &amp; $A12, Table2[AwayTeam], M$1)+SUMIFS(Table2[NewPointsHome],Table2[GameDate], "&lt;=" &amp; $A12, Table2[HomeTeam], M$1)</f>
        <v>6</v>
      </c>
      <c r="N12" s="145">
        <f>SUMIFS(Table2[NewPointsAway],Table2[GameDate], "&lt;=" &amp; $A12, Table2[AwayTeam], N$1)+SUMIFS(Table2[NewPointsHome],Table2[GameDate], "&lt;=" &amp; $A12, Table2[HomeTeam], N$1)</f>
        <v>3</v>
      </c>
      <c r="O12" s="145">
        <f>SUMIFS(Table2[NewPointsAway],Table2[GameDate], "&lt;=" &amp; $A12, Table2[AwayTeam], O$1)+SUMIFS(Table2[NewPointsHome],Table2[GameDate], "&lt;=" &amp; $A12, Table2[HomeTeam], O$1)</f>
        <v>4</v>
      </c>
      <c r="P12" s="145">
        <f>SUMIFS(Table2[NewPointsAway],Table2[GameDate], "&lt;=" &amp; $A12, Table2[AwayTeam], P$1)+SUMIFS(Table2[NewPointsHome],Table2[GameDate], "&lt;=" &amp; $A12, Table2[HomeTeam], P$1)</f>
        <v>4</v>
      </c>
      <c r="Q12" s="145">
        <f>SUMIFS(Table2[NewPointsAway],Table2[GameDate], "&lt;=" &amp; $A12, Table2[AwayTeam], Q$1)+SUMIFS(Table2[NewPointsHome],Table2[GameDate], "&lt;=" &amp; $A12, Table2[HomeTeam], Q$1)</f>
        <v>4</v>
      </c>
      <c r="R12" s="145">
        <f>SUMIFS(Table2[NewPointsAway],Table2[GameDate], "&lt;=" &amp; $A12, Table2[AwayTeam], R$1)+SUMIFS(Table2[NewPointsHome],Table2[GameDate], "&lt;=" &amp; $A12, Table2[HomeTeam], R$1)</f>
        <v>5</v>
      </c>
      <c r="S12" s="145">
        <f>SUMIFS(Table2[NewPointsAway],Table2[GameDate], "&lt;=" &amp; $A12, Table2[AwayTeam], S$1)+SUMIFS(Table2[NewPointsHome],Table2[GameDate], "&lt;=" &amp; $A12, Table2[HomeTeam], S$1)</f>
        <v>0</v>
      </c>
      <c r="T12" s="145">
        <f>SUMIFS(Table2[NewPointsAway],Table2[GameDate], "&lt;=" &amp; $A12, Table2[AwayTeam], T$1)+SUMIFS(Table2[NewPointsHome],Table2[GameDate], "&lt;=" &amp; $A12, Table2[HomeTeam], T$1)</f>
        <v>4</v>
      </c>
      <c r="U12" s="145">
        <f>SUMIFS(Table2[NewPointsAway],Table2[GameDate], "&lt;=" &amp; $A12, Table2[AwayTeam], U$1)+SUMIFS(Table2[NewPointsHome],Table2[GameDate], "&lt;=" &amp; $A12, Table2[HomeTeam], U$1)</f>
        <v>2</v>
      </c>
      <c r="V12" s="145">
        <f>SUMIFS(Table2[NewPointsAway],Table2[GameDate], "&lt;=" &amp; $A12, Table2[AwayTeam], V$1)+SUMIFS(Table2[NewPointsHome],Table2[GameDate], "&lt;=" &amp; $A12, Table2[HomeTeam], V$1)</f>
        <v>3</v>
      </c>
      <c r="W12" s="145">
        <f>SUMIFS(Table2[NewPointsAway],Table2[GameDate], "&lt;=" &amp; $A12, Table2[AwayTeam], W$1)+SUMIFS(Table2[NewPointsHome],Table2[GameDate], "&lt;=" &amp; $A12, Table2[HomeTeam], W$1)</f>
        <v>4</v>
      </c>
      <c r="X12" s="145">
        <f>SUMIFS(Table2[NewPointsAway],Table2[GameDate], "&lt;=" &amp; $A12, Table2[AwayTeam], X$1)+SUMIFS(Table2[NewPointsHome],Table2[GameDate], "&lt;=" &amp; $A12, Table2[HomeTeam], X$1)</f>
        <v>4</v>
      </c>
      <c r="Y12" s="145">
        <f>SUMIFS(Table2[NewPointsAway],Table2[GameDate], "&lt;=" &amp; $A12, Table2[AwayTeam], Y$1)+SUMIFS(Table2[NewPointsHome],Table2[GameDate], "&lt;=" &amp; $A12, Table2[HomeTeam], Y$1)</f>
        <v>2</v>
      </c>
      <c r="Z12" s="145">
        <f>SUMIFS(Table2[NewPointsAway],Table2[GameDate], "&lt;=" &amp; $A12, Table2[AwayTeam], Z$1)+SUMIFS(Table2[NewPointsHome],Table2[GameDate], "&lt;=" &amp; $A12, Table2[HomeTeam], Z$1)</f>
        <v>4</v>
      </c>
      <c r="AA12" s="145">
        <f>SUMIFS(Table2[NewPointsAway],Table2[GameDate], "&lt;=" &amp; $A12, Table2[AwayTeam], AA$1)+SUMIFS(Table2[NewPointsHome],Table2[GameDate], "&lt;=" &amp; $A12, Table2[HomeTeam], AA$1)</f>
        <v>2</v>
      </c>
      <c r="AB12" s="145">
        <f>SUMIFS(Table2[NewPointsAway],Table2[GameDate], "&lt;=" &amp; $A12, Table2[AwayTeam], AB$1)+SUMIFS(Table2[NewPointsHome],Table2[GameDate], "&lt;=" &amp; $A12, Table2[HomeTeam], AB$1)</f>
        <v>2</v>
      </c>
      <c r="AC12" s="145">
        <f>SUMIFS(Table2[NewPointsAway],Table2[GameDate], "&lt;=" &amp; $A12, Table2[AwayTeam], AC$1)+SUMIFS(Table2[NewPointsHome],Table2[GameDate], "&lt;=" &amp; $A12, Table2[HomeTeam], AC$1)</f>
        <v>2</v>
      </c>
      <c r="AD12" s="145">
        <f>SUMIFS(Table2[NewPointsAway],Table2[GameDate], "&lt;=" &amp; $A12, Table2[AwayTeam], AD$1)+SUMIFS(Table2[NewPointsHome],Table2[GameDate], "&lt;=" &amp; $A12, Table2[HomeTeam], AD$1)</f>
        <v>2</v>
      </c>
      <c r="AE12" s="145">
        <f>SUMIFS(Table2[NewPointsAway],Table2[GameDate], "&lt;=" &amp; $A12, Table2[AwayTeam], AE$1)+SUMIFS(Table2[NewPointsHome],Table2[GameDate], "&lt;=" &amp; $A12, Table2[HomeTeam], AE$1)</f>
        <v>4</v>
      </c>
      <c r="AF12" s="145">
        <f>SUMIFS(Table2[NewPointsAway],Table2[GameDate], "&lt;=" &amp; $A12, Table2[AwayTeam], AF$1)+SUMIFS(Table2[NewPointsHome],Table2[GameDate], "&lt;=" &amp; $A12, Table2[HomeTeam], AF$1)</f>
        <v>4</v>
      </c>
      <c r="AG12" s="145">
        <f>SUMIFS(Table2[NewPointsAway],Table2[GameDate], "&lt;=" &amp; $A12, Table2[AwayTeam], AG$1)+SUMIFS(Table2[NewPointsHome],Table2[GameDate], "&lt;=" &amp; $A12, Table2[HomeTeam], AG$1)</f>
        <v>4</v>
      </c>
    </row>
    <row r="13" spans="1:33" x14ac:dyDescent="0.25">
      <c r="A13" s="3">
        <v>45944</v>
      </c>
      <c r="B13" s="145">
        <f>SUMIFS(Table2[NewPointsAway],Table2[GameDate], "&lt;=" &amp; $A13, Table2[AwayTeam], B$1)+SUMIFS(Table2[NewPointsHome],Table2[GameDate], "&lt;=" &amp; $A13, Table2[HomeTeam], B$1)</f>
        <v>4</v>
      </c>
      <c r="C13" s="145">
        <f>SUMIFS(Table2[NewPointsAway],Table2[GameDate], "&lt;=" &amp; $A13, Table2[AwayTeam], C$1)+SUMIFS(Table2[NewPointsHome],Table2[GameDate], "&lt;=" &amp; $A13, Table2[HomeTeam], C$1)</f>
        <v>6</v>
      </c>
      <c r="D13" s="145">
        <f>SUMIFS(Table2[NewPointsAway],Table2[GameDate], "&lt;=" &amp; $A13, Table2[AwayTeam], D$1)+SUMIFS(Table2[NewPointsHome],Table2[GameDate], "&lt;=" &amp; $A13, Table2[HomeTeam], D$1)</f>
        <v>0</v>
      </c>
      <c r="E13" s="145">
        <f>SUMIFS(Table2[NewPointsAway],Table2[GameDate], "&lt;=" &amp; $A13, Table2[AwayTeam], E$1)+SUMIFS(Table2[NewPointsHome],Table2[GameDate], "&lt;=" &amp; $A13, Table2[HomeTeam], E$1)</f>
        <v>6</v>
      </c>
      <c r="F13" s="145">
        <f>SUMIFS(Table2[NewPointsAway],Table2[GameDate], "&lt;=" &amp; $A13, Table2[AwayTeam], F$1)+SUMIFS(Table2[NewPointsHome],Table2[GameDate], "&lt;=" &amp; $A13, Table2[HomeTeam], F$1)</f>
        <v>2</v>
      </c>
      <c r="G13" s="145">
        <f>SUMIFS(Table2[NewPointsAway],Table2[GameDate], "&lt;=" &amp; $A13, Table2[AwayTeam], G$1)+SUMIFS(Table2[NewPointsHome],Table2[GameDate], "&lt;=" &amp; $A13, Table2[HomeTeam], G$1)</f>
        <v>2</v>
      </c>
      <c r="H13" s="145">
        <f>SUMIFS(Table2[NewPointsAway],Table2[GameDate], "&lt;=" &amp; $A13, Table2[AwayTeam], H$1)+SUMIFS(Table2[NewPointsHome],Table2[GameDate], "&lt;=" &amp; $A13, Table2[HomeTeam], H$1)</f>
        <v>3</v>
      </c>
      <c r="I13" s="145">
        <f>SUMIFS(Table2[NewPointsAway],Table2[GameDate], "&lt;=" &amp; $A13, Table2[AwayTeam], I$1)+SUMIFS(Table2[NewPointsHome],Table2[GameDate], "&lt;=" &amp; $A13, Table2[HomeTeam], I$1)</f>
        <v>7</v>
      </c>
      <c r="J13" s="145">
        <f>SUMIFS(Table2[NewPointsAway],Table2[GameDate], "&lt;=" &amp; $A13, Table2[AwayTeam], J$1)+SUMIFS(Table2[NewPointsHome],Table2[GameDate], "&lt;=" &amp; $A13, Table2[HomeTeam], J$1)</f>
        <v>6</v>
      </c>
      <c r="K13" s="145">
        <f>SUMIFS(Table2[NewPointsAway],Table2[GameDate], "&lt;=" &amp; $A13, Table2[AwayTeam], K$1)+SUMIFS(Table2[NewPointsHome],Table2[GameDate], "&lt;=" &amp; $A13, Table2[HomeTeam], K$1)</f>
        <v>4</v>
      </c>
      <c r="L13" s="145">
        <f>SUMIFS(Table2[NewPointsAway],Table2[GameDate], "&lt;=" &amp; $A13, Table2[AwayTeam], L$1)+SUMIFS(Table2[NewPointsHome],Table2[GameDate], "&lt;=" &amp; $A13, Table2[HomeTeam], L$1)</f>
        <v>5</v>
      </c>
      <c r="M13" s="145">
        <f>SUMIFS(Table2[NewPointsAway],Table2[GameDate], "&lt;=" &amp; $A13, Table2[AwayTeam], M$1)+SUMIFS(Table2[NewPointsHome],Table2[GameDate], "&lt;=" &amp; $A13, Table2[HomeTeam], M$1)</f>
        <v>6</v>
      </c>
      <c r="N13" s="145">
        <f>SUMIFS(Table2[NewPointsAway],Table2[GameDate], "&lt;=" &amp; $A13, Table2[AwayTeam], N$1)+SUMIFS(Table2[NewPointsHome],Table2[GameDate], "&lt;=" &amp; $A13, Table2[HomeTeam], N$1)</f>
        <v>3</v>
      </c>
      <c r="O13" s="145">
        <f>SUMIFS(Table2[NewPointsAway],Table2[GameDate], "&lt;=" &amp; $A13, Table2[AwayTeam], O$1)+SUMIFS(Table2[NewPointsHome],Table2[GameDate], "&lt;=" &amp; $A13, Table2[HomeTeam], O$1)</f>
        <v>4</v>
      </c>
      <c r="P13" s="145">
        <f>SUMIFS(Table2[NewPointsAway],Table2[GameDate], "&lt;=" &amp; $A13, Table2[AwayTeam], P$1)+SUMIFS(Table2[NewPointsHome],Table2[GameDate], "&lt;=" &amp; $A13, Table2[HomeTeam], P$1)</f>
        <v>6</v>
      </c>
      <c r="Q13" s="145">
        <f>SUMIFS(Table2[NewPointsAway],Table2[GameDate], "&lt;=" &amp; $A13, Table2[AwayTeam], Q$1)+SUMIFS(Table2[NewPointsHome],Table2[GameDate], "&lt;=" &amp; $A13, Table2[HomeTeam], Q$1)</f>
        <v>4</v>
      </c>
      <c r="R13" s="145">
        <f>SUMIFS(Table2[NewPointsAway],Table2[GameDate], "&lt;=" &amp; $A13, Table2[AwayTeam], R$1)+SUMIFS(Table2[NewPointsHome],Table2[GameDate], "&lt;=" &amp; $A13, Table2[HomeTeam], R$1)</f>
        <v>5</v>
      </c>
      <c r="S13" s="145">
        <f>SUMIFS(Table2[NewPointsAway],Table2[GameDate], "&lt;=" &amp; $A13, Table2[AwayTeam], S$1)+SUMIFS(Table2[NewPointsHome],Table2[GameDate], "&lt;=" &amp; $A13, Table2[HomeTeam], S$1)</f>
        <v>0</v>
      </c>
      <c r="T13" s="145">
        <f>SUMIFS(Table2[NewPointsAway],Table2[GameDate], "&lt;=" &amp; $A13, Table2[AwayTeam], T$1)+SUMIFS(Table2[NewPointsHome],Table2[GameDate], "&lt;=" &amp; $A13, Table2[HomeTeam], T$1)</f>
        <v>4</v>
      </c>
      <c r="U13" s="145">
        <f>SUMIFS(Table2[NewPointsAway],Table2[GameDate], "&lt;=" &amp; $A13, Table2[AwayTeam], U$1)+SUMIFS(Table2[NewPointsHome],Table2[GameDate], "&lt;=" &amp; $A13, Table2[HomeTeam], U$1)</f>
        <v>2</v>
      </c>
      <c r="V13" s="145">
        <f>SUMIFS(Table2[NewPointsAway],Table2[GameDate], "&lt;=" &amp; $A13, Table2[AwayTeam], V$1)+SUMIFS(Table2[NewPointsHome],Table2[GameDate], "&lt;=" &amp; $A13, Table2[HomeTeam], V$1)</f>
        <v>3</v>
      </c>
      <c r="W13" s="145">
        <f>SUMIFS(Table2[NewPointsAway],Table2[GameDate], "&lt;=" &amp; $A13, Table2[AwayTeam], W$1)+SUMIFS(Table2[NewPointsHome],Table2[GameDate], "&lt;=" &amp; $A13, Table2[HomeTeam], W$1)</f>
        <v>4</v>
      </c>
      <c r="X13" s="145">
        <f>SUMIFS(Table2[NewPointsAway],Table2[GameDate], "&lt;=" &amp; $A13, Table2[AwayTeam], X$1)+SUMIFS(Table2[NewPointsHome],Table2[GameDate], "&lt;=" &amp; $A13, Table2[HomeTeam], X$1)</f>
        <v>5</v>
      </c>
      <c r="Y13" s="145">
        <f>SUMIFS(Table2[NewPointsAway],Table2[GameDate], "&lt;=" &amp; $A13, Table2[AwayTeam], Y$1)+SUMIFS(Table2[NewPointsHome],Table2[GameDate], "&lt;=" &amp; $A13, Table2[HomeTeam], Y$1)</f>
        <v>2</v>
      </c>
      <c r="Z13" s="145">
        <f>SUMIFS(Table2[NewPointsAway],Table2[GameDate], "&lt;=" &amp; $A13, Table2[AwayTeam], Z$1)+SUMIFS(Table2[NewPointsHome],Table2[GameDate], "&lt;=" &amp; $A13, Table2[HomeTeam], Z$1)</f>
        <v>4</v>
      </c>
      <c r="AA13" s="145">
        <f>SUMIFS(Table2[NewPointsAway],Table2[GameDate], "&lt;=" &amp; $A13, Table2[AwayTeam], AA$1)+SUMIFS(Table2[NewPointsHome],Table2[GameDate], "&lt;=" &amp; $A13, Table2[HomeTeam], AA$1)</f>
        <v>3</v>
      </c>
      <c r="AB13" s="145">
        <f>SUMIFS(Table2[NewPointsAway],Table2[GameDate], "&lt;=" &amp; $A13, Table2[AwayTeam], AB$1)+SUMIFS(Table2[NewPointsHome],Table2[GameDate], "&lt;=" &amp; $A13, Table2[HomeTeam], AB$1)</f>
        <v>4</v>
      </c>
      <c r="AC13" s="145">
        <f>SUMIFS(Table2[NewPointsAway],Table2[GameDate], "&lt;=" &amp; $A13, Table2[AwayTeam], AC$1)+SUMIFS(Table2[NewPointsHome],Table2[GameDate], "&lt;=" &amp; $A13, Table2[HomeTeam], AC$1)</f>
        <v>2</v>
      </c>
      <c r="AD13" s="145">
        <f>SUMIFS(Table2[NewPointsAway],Table2[GameDate], "&lt;=" &amp; $A13, Table2[AwayTeam], AD$1)+SUMIFS(Table2[NewPointsHome],Table2[GameDate], "&lt;=" &amp; $A13, Table2[HomeTeam], AD$1)</f>
        <v>2</v>
      </c>
      <c r="AE13" s="145">
        <f>SUMIFS(Table2[NewPointsAway],Table2[GameDate], "&lt;=" &amp; $A13, Table2[AwayTeam], AE$1)+SUMIFS(Table2[NewPointsHome],Table2[GameDate], "&lt;=" &amp; $A13, Table2[HomeTeam], AE$1)</f>
        <v>6</v>
      </c>
      <c r="AF13" s="145">
        <f>SUMIFS(Table2[NewPointsAway],Table2[GameDate], "&lt;=" &amp; $A13, Table2[AwayTeam], AF$1)+SUMIFS(Table2[NewPointsHome],Table2[GameDate], "&lt;=" &amp; $A13, Table2[HomeTeam], AF$1)</f>
        <v>4</v>
      </c>
      <c r="AG13" s="145">
        <f>SUMIFS(Table2[NewPointsAway],Table2[GameDate], "&lt;=" &amp; $A13, Table2[AwayTeam], AG$1)+SUMIFS(Table2[NewPointsHome],Table2[GameDate], "&lt;=" &amp; $A13, Table2[HomeTeam], AG$1)</f>
        <v>6</v>
      </c>
    </row>
    <row r="14" spans="1:33" x14ac:dyDescent="0.25">
      <c r="A14" s="3">
        <v>45945</v>
      </c>
      <c r="B14" s="145">
        <f>SUMIFS(Table2[NewPointsAway],Table2[GameDate], "&lt;=" &amp; $A14, Table2[AwayTeam], B$1)+SUMIFS(Table2[NewPointsHome],Table2[GameDate], "&lt;=" &amp; $A14, Table2[HomeTeam], B$1)</f>
        <v>4</v>
      </c>
      <c r="C14" s="145">
        <f>SUMIFS(Table2[NewPointsAway],Table2[GameDate], "&lt;=" &amp; $A14, Table2[AwayTeam], C$1)+SUMIFS(Table2[NewPointsHome],Table2[GameDate], "&lt;=" &amp; $A14, Table2[HomeTeam], C$1)</f>
        <v>6</v>
      </c>
      <c r="D14" s="145">
        <f>SUMIFS(Table2[NewPointsAway],Table2[GameDate], "&lt;=" &amp; $A14, Table2[AwayTeam], D$1)+SUMIFS(Table2[NewPointsHome],Table2[GameDate], "&lt;=" &amp; $A14, Table2[HomeTeam], D$1)</f>
        <v>2</v>
      </c>
      <c r="E14" s="145">
        <f>SUMIFS(Table2[NewPointsAway],Table2[GameDate], "&lt;=" &amp; $A14, Table2[AwayTeam], E$1)+SUMIFS(Table2[NewPointsHome],Table2[GameDate], "&lt;=" &amp; $A14, Table2[HomeTeam], E$1)</f>
        <v>6</v>
      </c>
      <c r="F14" s="145">
        <f>SUMIFS(Table2[NewPointsAway],Table2[GameDate], "&lt;=" &amp; $A14, Table2[AwayTeam], F$1)+SUMIFS(Table2[NewPointsHome],Table2[GameDate], "&lt;=" &amp; $A14, Table2[HomeTeam], F$1)</f>
        <v>2</v>
      </c>
      <c r="G14" s="145">
        <f>SUMIFS(Table2[NewPointsAway],Table2[GameDate], "&lt;=" &amp; $A14, Table2[AwayTeam], G$1)+SUMIFS(Table2[NewPointsHome],Table2[GameDate], "&lt;=" &amp; $A14, Table2[HomeTeam], G$1)</f>
        <v>2</v>
      </c>
      <c r="H14" s="145">
        <f>SUMIFS(Table2[NewPointsAway],Table2[GameDate], "&lt;=" &amp; $A14, Table2[AwayTeam], H$1)+SUMIFS(Table2[NewPointsHome],Table2[GameDate], "&lt;=" &amp; $A14, Table2[HomeTeam], H$1)</f>
        <v>5</v>
      </c>
      <c r="I14" s="145">
        <f>SUMIFS(Table2[NewPointsAway],Table2[GameDate], "&lt;=" &amp; $A14, Table2[AwayTeam], I$1)+SUMIFS(Table2[NewPointsHome],Table2[GameDate], "&lt;=" &amp; $A14, Table2[HomeTeam], I$1)</f>
        <v>7</v>
      </c>
      <c r="J14" s="145">
        <f>SUMIFS(Table2[NewPointsAway],Table2[GameDate], "&lt;=" &amp; $A14, Table2[AwayTeam], J$1)+SUMIFS(Table2[NewPointsHome],Table2[GameDate], "&lt;=" &amp; $A14, Table2[HomeTeam], J$1)</f>
        <v>6</v>
      </c>
      <c r="K14" s="145">
        <f>SUMIFS(Table2[NewPointsAway],Table2[GameDate], "&lt;=" &amp; $A14, Table2[AwayTeam], K$1)+SUMIFS(Table2[NewPointsHome],Table2[GameDate], "&lt;=" &amp; $A14, Table2[HomeTeam], K$1)</f>
        <v>6</v>
      </c>
      <c r="L14" s="145">
        <f>SUMIFS(Table2[NewPointsAway],Table2[GameDate], "&lt;=" &amp; $A14, Table2[AwayTeam], L$1)+SUMIFS(Table2[NewPointsHome],Table2[GameDate], "&lt;=" &amp; $A14, Table2[HomeTeam], L$1)</f>
        <v>5</v>
      </c>
      <c r="M14" s="145">
        <f>SUMIFS(Table2[NewPointsAway],Table2[GameDate], "&lt;=" &amp; $A14, Table2[AwayTeam], M$1)+SUMIFS(Table2[NewPointsHome],Table2[GameDate], "&lt;=" &amp; $A14, Table2[HomeTeam], M$1)</f>
        <v>6</v>
      </c>
      <c r="N14" s="145">
        <f>SUMIFS(Table2[NewPointsAway],Table2[GameDate], "&lt;=" &amp; $A14, Table2[AwayTeam], N$1)+SUMIFS(Table2[NewPointsHome],Table2[GameDate], "&lt;=" &amp; $A14, Table2[HomeTeam], N$1)</f>
        <v>3</v>
      </c>
      <c r="O14" s="145">
        <f>SUMIFS(Table2[NewPointsAway],Table2[GameDate], "&lt;=" &amp; $A14, Table2[AwayTeam], O$1)+SUMIFS(Table2[NewPointsHome],Table2[GameDate], "&lt;=" &amp; $A14, Table2[HomeTeam], O$1)</f>
        <v>4</v>
      </c>
      <c r="P14" s="145">
        <f>SUMIFS(Table2[NewPointsAway],Table2[GameDate], "&lt;=" &amp; $A14, Table2[AwayTeam], P$1)+SUMIFS(Table2[NewPointsHome],Table2[GameDate], "&lt;=" &amp; $A14, Table2[HomeTeam], P$1)</f>
        <v>6</v>
      </c>
      <c r="Q14" s="145">
        <f>SUMIFS(Table2[NewPointsAway],Table2[GameDate], "&lt;=" &amp; $A14, Table2[AwayTeam], Q$1)+SUMIFS(Table2[NewPointsHome],Table2[GameDate], "&lt;=" &amp; $A14, Table2[HomeTeam], Q$1)</f>
        <v>4</v>
      </c>
      <c r="R14" s="145">
        <f>SUMIFS(Table2[NewPointsAway],Table2[GameDate], "&lt;=" &amp; $A14, Table2[AwayTeam], R$1)+SUMIFS(Table2[NewPointsHome],Table2[GameDate], "&lt;=" &amp; $A14, Table2[HomeTeam], R$1)</f>
        <v>5</v>
      </c>
      <c r="S14" s="145">
        <f>SUMIFS(Table2[NewPointsAway],Table2[GameDate], "&lt;=" &amp; $A14, Table2[AwayTeam], S$1)+SUMIFS(Table2[NewPointsHome],Table2[GameDate], "&lt;=" &amp; $A14, Table2[HomeTeam], S$1)</f>
        <v>0</v>
      </c>
      <c r="T14" s="145">
        <f>SUMIFS(Table2[NewPointsAway],Table2[GameDate], "&lt;=" &amp; $A14, Table2[AwayTeam], T$1)+SUMIFS(Table2[NewPointsHome],Table2[GameDate], "&lt;=" &amp; $A14, Table2[HomeTeam], T$1)</f>
        <v>4</v>
      </c>
      <c r="U14" s="145">
        <f>SUMIFS(Table2[NewPointsAway],Table2[GameDate], "&lt;=" &amp; $A14, Table2[AwayTeam], U$1)+SUMIFS(Table2[NewPointsHome],Table2[GameDate], "&lt;=" &amp; $A14, Table2[HomeTeam], U$1)</f>
        <v>2</v>
      </c>
      <c r="V14" s="145">
        <f>SUMIFS(Table2[NewPointsAway],Table2[GameDate], "&lt;=" &amp; $A14, Table2[AwayTeam], V$1)+SUMIFS(Table2[NewPointsHome],Table2[GameDate], "&lt;=" &amp; $A14, Table2[HomeTeam], V$1)</f>
        <v>3</v>
      </c>
      <c r="W14" s="145">
        <f>SUMIFS(Table2[NewPointsAway],Table2[GameDate], "&lt;=" &amp; $A14, Table2[AwayTeam], W$1)+SUMIFS(Table2[NewPointsHome],Table2[GameDate], "&lt;=" &amp; $A14, Table2[HomeTeam], W$1)</f>
        <v>4</v>
      </c>
      <c r="X14" s="145">
        <f>SUMIFS(Table2[NewPointsAway],Table2[GameDate], "&lt;=" &amp; $A14, Table2[AwayTeam], X$1)+SUMIFS(Table2[NewPointsHome],Table2[GameDate], "&lt;=" &amp; $A14, Table2[HomeTeam], X$1)</f>
        <v>5</v>
      </c>
      <c r="Y14" s="145">
        <f>SUMIFS(Table2[NewPointsAway],Table2[GameDate], "&lt;=" &amp; $A14, Table2[AwayTeam], Y$1)+SUMIFS(Table2[NewPointsHome],Table2[GameDate], "&lt;=" &amp; $A14, Table2[HomeTeam], Y$1)</f>
        <v>2</v>
      </c>
      <c r="Z14" s="145">
        <f>SUMIFS(Table2[NewPointsAway],Table2[GameDate], "&lt;=" &amp; $A14, Table2[AwayTeam], Z$1)+SUMIFS(Table2[NewPointsHome],Table2[GameDate], "&lt;=" &amp; $A14, Table2[HomeTeam], Z$1)</f>
        <v>4</v>
      </c>
      <c r="AA14" s="145">
        <f>SUMIFS(Table2[NewPointsAway],Table2[GameDate], "&lt;=" &amp; $A14, Table2[AwayTeam], AA$1)+SUMIFS(Table2[NewPointsHome],Table2[GameDate], "&lt;=" &amp; $A14, Table2[HomeTeam], AA$1)</f>
        <v>3</v>
      </c>
      <c r="AB14" s="145">
        <f>SUMIFS(Table2[NewPointsAway],Table2[GameDate], "&lt;=" &amp; $A14, Table2[AwayTeam], AB$1)+SUMIFS(Table2[NewPointsHome],Table2[GameDate], "&lt;=" &amp; $A14, Table2[HomeTeam], AB$1)</f>
        <v>4</v>
      </c>
      <c r="AC14" s="145">
        <f>SUMIFS(Table2[NewPointsAway],Table2[GameDate], "&lt;=" &amp; $A14, Table2[AwayTeam], AC$1)+SUMIFS(Table2[NewPointsHome],Table2[GameDate], "&lt;=" &amp; $A14, Table2[HomeTeam], AC$1)</f>
        <v>4</v>
      </c>
      <c r="AD14" s="145">
        <f>SUMIFS(Table2[NewPointsAway],Table2[GameDate], "&lt;=" &amp; $A14, Table2[AwayTeam], AD$1)+SUMIFS(Table2[NewPointsHome],Table2[GameDate], "&lt;=" &amp; $A14, Table2[HomeTeam], AD$1)</f>
        <v>2</v>
      </c>
      <c r="AE14" s="145">
        <f>SUMIFS(Table2[NewPointsAway],Table2[GameDate], "&lt;=" &amp; $A14, Table2[AwayTeam], AE$1)+SUMIFS(Table2[NewPointsHome],Table2[GameDate], "&lt;=" &amp; $A14, Table2[HomeTeam], AE$1)</f>
        <v>6</v>
      </c>
      <c r="AF14" s="145">
        <f>SUMIFS(Table2[NewPointsAway],Table2[GameDate], "&lt;=" &amp; $A14, Table2[AwayTeam], AF$1)+SUMIFS(Table2[NewPointsHome],Table2[GameDate], "&lt;=" &amp; $A14, Table2[HomeTeam], AF$1)</f>
        <v>4</v>
      </c>
      <c r="AG14" s="145">
        <f>SUMIFS(Table2[NewPointsAway],Table2[GameDate], "&lt;=" &amp; $A14, Table2[AwayTeam], AG$1)+SUMIFS(Table2[NewPointsHome],Table2[GameDate], "&lt;=" &amp; $A14, Table2[HomeTeam], AG$1)</f>
        <v>6</v>
      </c>
    </row>
    <row r="15" spans="1:33" x14ac:dyDescent="0.25">
      <c r="A15" s="3">
        <v>45946</v>
      </c>
      <c r="B15" s="145">
        <f>SUMIFS(Table2[NewPointsAway],Table2[GameDate], "&lt;=" &amp; $A15, Table2[AwayTeam], B$1)+SUMIFS(Table2[NewPointsHome],Table2[GameDate], "&lt;=" &amp; $A15, Table2[HomeTeam], B$1)</f>
        <v>4</v>
      </c>
      <c r="C15" s="145">
        <f>SUMIFS(Table2[NewPointsAway],Table2[GameDate], "&lt;=" &amp; $A15, Table2[AwayTeam], C$1)+SUMIFS(Table2[NewPointsHome],Table2[GameDate], "&lt;=" &amp; $A15, Table2[HomeTeam], C$1)</f>
        <v>6</v>
      </c>
      <c r="D15" s="145">
        <f>SUMIFS(Table2[NewPointsAway],Table2[GameDate], "&lt;=" &amp; $A15, Table2[AwayTeam], D$1)+SUMIFS(Table2[NewPointsHome],Table2[GameDate], "&lt;=" &amp; $A15, Table2[HomeTeam], D$1)</f>
        <v>2</v>
      </c>
      <c r="E15" s="145">
        <f>SUMIFS(Table2[NewPointsAway],Table2[GameDate], "&lt;=" &amp; $A15, Table2[AwayTeam], E$1)+SUMIFS(Table2[NewPointsHome],Table2[GameDate], "&lt;=" &amp; $A15, Table2[HomeTeam], E$1)</f>
        <v>8</v>
      </c>
      <c r="F15" s="145">
        <f>SUMIFS(Table2[NewPointsAway],Table2[GameDate], "&lt;=" &amp; $A15, Table2[AwayTeam], F$1)+SUMIFS(Table2[NewPointsHome],Table2[GameDate], "&lt;=" &amp; $A15, Table2[HomeTeam], F$1)</f>
        <v>2</v>
      </c>
      <c r="G15" s="145">
        <f>SUMIFS(Table2[NewPointsAway],Table2[GameDate], "&lt;=" &amp; $A15, Table2[AwayTeam], G$1)+SUMIFS(Table2[NewPointsHome],Table2[GameDate], "&lt;=" &amp; $A15, Table2[HomeTeam], G$1)</f>
        <v>2</v>
      </c>
      <c r="H15" s="145">
        <f>SUMIFS(Table2[NewPointsAway],Table2[GameDate], "&lt;=" &amp; $A15, Table2[AwayTeam], H$1)+SUMIFS(Table2[NewPointsHome],Table2[GameDate], "&lt;=" &amp; $A15, Table2[HomeTeam], H$1)</f>
        <v>5</v>
      </c>
      <c r="I15" s="145">
        <f>SUMIFS(Table2[NewPointsAway],Table2[GameDate], "&lt;=" &amp; $A15, Table2[AwayTeam], I$1)+SUMIFS(Table2[NewPointsHome],Table2[GameDate], "&lt;=" &amp; $A15, Table2[HomeTeam], I$1)</f>
        <v>9</v>
      </c>
      <c r="J15" s="145">
        <f>SUMIFS(Table2[NewPointsAway],Table2[GameDate], "&lt;=" &amp; $A15, Table2[AwayTeam], J$1)+SUMIFS(Table2[NewPointsHome],Table2[GameDate], "&lt;=" &amp; $A15, Table2[HomeTeam], J$1)</f>
        <v>6</v>
      </c>
      <c r="K15" s="145">
        <f>SUMIFS(Table2[NewPointsAway],Table2[GameDate], "&lt;=" &amp; $A15, Table2[AwayTeam], K$1)+SUMIFS(Table2[NewPointsHome],Table2[GameDate], "&lt;=" &amp; $A15, Table2[HomeTeam], K$1)</f>
        <v>6</v>
      </c>
      <c r="L15" s="145">
        <f>SUMIFS(Table2[NewPointsAway],Table2[GameDate], "&lt;=" &amp; $A15, Table2[AwayTeam], L$1)+SUMIFS(Table2[NewPointsHome],Table2[GameDate], "&lt;=" &amp; $A15, Table2[HomeTeam], L$1)</f>
        <v>5</v>
      </c>
      <c r="M15" s="145">
        <f>SUMIFS(Table2[NewPointsAway],Table2[GameDate], "&lt;=" &amp; $A15, Table2[AwayTeam], M$1)+SUMIFS(Table2[NewPointsHome],Table2[GameDate], "&lt;=" &amp; $A15, Table2[HomeTeam], M$1)</f>
        <v>6</v>
      </c>
      <c r="N15" s="145">
        <f>SUMIFS(Table2[NewPointsAway],Table2[GameDate], "&lt;=" &amp; $A15, Table2[AwayTeam], N$1)+SUMIFS(Table2[NewPointsHome],Table2[GameDate], "&lt;=" &amp; $A15, Table2[HomeTeam], N$1)</f>
        <v>3</v>
      </c>
      <c r="O15" s="145">
        <f>SUMIFS(Table2[NewPointsAway],Table2[GameDate], "&lt;=" &amp; $A15, Table2[AwayTeam], O$1)+SUMIFS(Table2[NewPointsHome],Table2[GameDate], "&lt;=" &amp; $A15, Table2[HomeTeam], O$1)</f>
        <v>4</v>
      </c>
      <c r="P15" s="145">
        <f>SUMIFS(Table2[NewPointsAway],Table2[GameDate], "&lt;=" &amp; $A15, Table2[AwayTeam], P$1)+SUMIFS(Table2[NewPointsHome],Table2[GameDate], "&lt;=" &amp; $A15, Table2[HomeTeam], P$1)</f>
        <v>8</v>
      </c>
      <c r="Q15" s="145">
        <f>SUMIFS(Table2[NewPointsAway],Table2[GameDate], "&lt;=" &amp; $A15, Table2[AwayTeam], Q$1)+SUMIFS(Table2[NewPointsHome],Table2[GameDate], "&lt;=" &amp; $A15, Table2[HomeTeam], Q$1)</f>
        <v>6</v>
      </c>
      <c r="R15" s="145">
        <f>SUMIFS(Table2[NewPointsAway],Table2[GameDate], "&lt;=" &amp; $A15, Table2[AwayTeam], R$1)+SUMIFS(Table2[NewPointsHome],Table2[GameDate], "&lt;=" &amp; $A15, Table2[HomeTeam], R$1)</f>
        <v>6</v>
      </c>
      <c r="S15" s="145">
        <f>SUMIFS(Table2[NewPointsAway],Table2[GameDate], "&lt;=" &amp; $A15, Table2[AwayTeam], S$1)+SUMIFS(Table2[NewPointsHome],Table2[GameDate], "&lt;=" &amp; $A15, Table2[HomeTeam], S$1)</f>
        <v>2</v>
      </c>
      <c r="T15" s="145">
        <f>SUMIFS(Table2[NewPointsAway],Table2[GameDate], "&lt;=" &amp; $A15, Table2[AwayTeam], T$1)+SUMIFS(Table2[NewPointsHome],Table2[GameDate], "&lt;=" &amp; $A15, Table2[HomeTeam], T$1)</f>
        <v>5</v>
      </c>
      <c r="U15" s="145">
        <f>SUMIFS(Table2[NewPointsAway],Table2[GameDate], "&lt;=" &amp; $A15, Table2[AwayTeam], U$1)+SUMIFS(Table2[NewPointsHome],Table2[GameDate], "&lt;=" &amp; $A15, Table2[HomeTeam], U$1)</f>
        <v>4</v>
      </c>
      <c r="V15" s="145">
        <f>SUMIFS(Table2[NewPointsAway],Table2[GameDate], "&lt;=" &amp; $A15, Table2[AwayTeam], V$1)+SUMIFS(Table2[NewPointsHome],Table2[GameDate], "&lt;=" &amp; $A15, Table2[HomeTeam], V$1)</f>
        <v>3</v>
      </c>
      <c r="W15" s="145">
        <f>SUMIFS(Table2[NewPointsAway],Table2[GameDate], "&lt;=" &amp; $A15, Table2[AwayTeam], W$1)+SUMIFS(Table2[NewPointsHome],Table2[GameDate], "&lt;=" &amp; $A15, Table2[HomeTeam], W$1)</f>
        <v>6</v>
      </c>
      <c r="X15" s="145">
        <f>SUMIFS(Table2[NewPointsAway],Table2[GameDate], "&lt;=" &amp; $A15, Table2[AwayTeam], X$1)+SUMIFS(Table2[NewPointsHome],Table2[GameDate], "&lt;=" &amp; $A15, Table2[HomeTeam], X$1)</f>
        <v>6</v>
      </c>
      <c r="Y15" s="145">
        <f>SUMIFS(Table2[NewPointsAway],Table2[GameDate], "&lt;=" &amp; $A15, Table2[AwayTeam], Y$1)+SUMIFS(Table2[NewPointsHome],Table2[GameDate], "&lt;=" &amp; $A15, Table2[HomeTeam], Y$1)</f>
        <v>2</v>
      </c>
      <c r="Z15" s="145">
        <f>SUMIFS(Table2[NewPointsAway],Table2[GameDate], "&lt;=" &amp; $A15, Table2[AwayTeam], Z$1)+SUMIFS(Table2[NewPointsHome],Table2[GameDate], "&lt;=" &amp; $A15, Table2[HomeTeam], Z$1)</f>
        <v>4</v>
      </c>
      <c r="AA15" s="145">
        <f>SUMIFS(Table2[NewPointsAway],Table2[GameDate], "&lt;=" &amp; $A15, Table2[AwayTeam], AA$1)+SUMIFS(Table2[NewPointsHome],Table2[GameDate], "&lt;=" &amp; $A15, Table2[HomeTeam], AA$1)</f>
        <v>3</v>
      </c>
      <c r="AB15" s="145">
        <f>SUMIFS(Table2[NewPointsAway],Table2[GameDate], "&lt;=" &amp; $A15, Table2[AwayTeam], AB$1)+SUMIFS(Table2[NewPointsHome],Table2[GameDate], "&lt;=" &amp; $A15, Table2[HomeTeam], AB$1)</f>
        <v>6</v>
      </c>
      <c r="AC15" s="145">
        <f>SUMIFS(Table2[NewPointsAway],Table2[GameDate], "&lt;=" &amp; $A15, Table2[AwayTeam], AC$1)+SUMIFS(Table2[NewPointsHome],Table2[GameDate], "&lt;=" &amp; $A15, Table2[HomeTeam], AC$1)</f>
        <v>4</v>
      </c>
      <c r="AD15" s="145">
        <f>SUMIFS(Table2[NewPointsAway],Table2[GameDate], "&lt;=" &amp; $A15, Table2[AwayTeam], AD$1)+SUMIFS(Table2[NewPointsHome],Table2[GameDate], "&lt;=" &amp; $A15, Table2[HomeTeam], AD$1)</f>
        <v>4</v>
      </c>
      <c r="AE15" s="145">
        <f>SUMIFS(Table2[NewPointsAway],Table2[GameDate], "&lt;=" &amp; $A15, Table2[AwayTeam], AE$1)+SUMIFS(Table2[NewPointsHome],Table2[GameDate], "&lt;=" &amp; $A15, Table2[HomeTeam], AE$1)</f>
        <v>8</v>
      </c>
      <c r="AF15" s="145">
        <f>SUMIFS(Table2[NewPointsAway],Table2[GameDate], "&lt;=" &amp; $A15, Table2[AwayTeam], AF$1)+SUMIFS(Table2[NewPointsHome],Table2[GameDate], "&lt;=" &amp; $A15, Table2[HomeTeam], AF$1)</f>
        <v>6</v>
      </c>
      <c r="AG15" s="145">
        <f>SUMIFS(Table2[NewPointsAway],Table2[GameDate], "&lt;=" &amp; $A15, Table2[AwayTeam], AG$1)+SUMIFS(Table2[NewPointsHome],Table2[GameDate], "&lt;=" &amp; $A15, Table2[HomeTeam], AG$1)</f>
        <v>6</v>
      </c>
    </row>
    <row r="16" spans="1:33" x14ac:dyDescent="0.25">
      <c r="A16" s="3">
        <v>45947</v>
      </c>
      <c r="B16" s="145">
        <f>SUMIFS(Table2[NewPointsAway],Table2[GameDate], "&lt;=" &amp; $A16, Table2[AwayTeam], B$1)+SUMIFS(Table2[NewPointsHome],Table2[GameDate], "&lt;=" &amp; $A16, Table2[HomeTeam], B$1)</f>
        <v>4</v>
      </c>
      <c r="C16" s="145">
        <f>SUMIFS(Table2[NewPointsAway],Table2[GameDate], "&lt;=" &amp; $A16, Table2[AwayTeam], C$1)+SUMIFS(Table2[NewPointsHome],Table2[GameDate], "&lt;=" &amp; $A16, Table2[HomeTeam], C$1)</f>
        <v>6</v>
      </c>
      <c r="D16" s="145">
        <f>SUMIFS(Table2[NewPointsAway],Table2[GameDate], "&lt;=" &amp; $A16, Table2[AwayTeam], D$1)+SUMIFS(Table2[NewPointsHome],Table2[GameDate], "&lt;=" &amp; $A16, Table2[HomeTeam], D$1)</f>
        <v>2</v>
      </c>
      <c r="E16" s="145">
        <f>SUMIFS(Table2[NewPointsAway],Table2[GameDate], "&lt;=" &amp; $A16, Table2[AwayTeam], E$1)+SUMIFS(Table2[NewPointsHome],Table2[GameDate], "&lt;=" &amp; $A16, Table2[HomeTeam], E$1)</f>
        <v>8</v>
      </c>
      <c r="F16" s="145">
        <f>SUMIFS(Table2[NewPointsAway],Table2[GameDate], "&lt;=" &amp; $A16, Table2[AwayTeam], F$1)+SUMIFS(Table2[NewPointsHome],Table2[GameDate], "&lt;=" &amp; $A16, Table2[HomeTeam], F$1)</f>
        <v>2</v>
      </c>
      <c r="G16" s="145">
        <f>SUMIFS(Table2[NewPointsAway],Table2[GameDate], "&lt;=" &amp; $A16, Table2[AwayTeam], G$1)+SUMIFS(Table2[NewPointsHome],Table2[GameDate], "&lt;=" &amp; $A16, Table2[HomeTeam], G$1)</f>
        <v>2</v>
      </c>
      <c r="H16" s="145">
        <f>SUMIFS(Table2[NewPointsAway],Table2[GameDate], "&lt;=" &amp; $A16, Table2[AwayTeam], H$1)+SUMIFS(Table2[NewPointsHome],Table2[GameDate], "&lt;=" &amp; $A16, Table2[HomeTeam], H$1)</f>
        <v>6</v>
      </c>
      <c r="I16" s="145">
        <f>SUMIFS(Table2[NewPointsAway],Table2[GameDate], "&lt;=" &amp; $A16, Table2[AwayTeam], I$1)+SUMIFS(Table2[NewPointsHome],Table2[GameDate], "&lt;=" &amp; $A16, Table2[HomeTeam], I$1)</f>
        <v>9</v>
      </c>
      <c r="J16" s="145">
        <f>SUMIFS(Table2[NewPointsAway],Table2[GameDate], "&lt;=" &amp; $A16, Table2[AwayTeam], J$1)+SUMIFS(Table2[NewPointsHome],Table2[GameDate], "&lt;=" &amp; $A16, Table2[HomeTeam], J$1)</f>
        <v>6</v>
      </c>
      <c r="K16" s="145">
        <f>SUMIFS(Table2[NewPointsAway],Table2[GameDate], "&lt;=" &amp; $A16, Table2[AwayTeam], K$1)+SUMIFS(Table2[NewPointsHome],Table2[GameDate], "&lt;=" &amp; $A16, Table2[HomeTeam], K$1)</f>
        <v>8</v>
      </c>
      <c r="L16" s="145">
        <f>SUMIFS(Table2[NewPointsAway],Table2[GameDate], "&lt;=" &amp; $A16, Table2[AwayTeam], L$1)+SUMIFS(Table2[NewPointsHome],Table2[GameDate], "&lt;=" &amp; $A16, Table2[HomeTeam], L$1)</f>
        <v>5</v>
      </c>
      <c r="M16" s="145">
        <f>SUMIFS(Table2[NewPointsAway],Table2[GameDate], "&lt;=" &amp; $A16, Table2[AwayTeam], M$1)+SUMIFS(Table2[NewPointsHome],Table2[GameDate], "&lt;=" &amp; $A16, Table2[HomeTeam], M$1)</f>
        <v>6</v>
      </c>
      <c r="N16" s="145">
        <f>SUMIFS(Table2[NewPointsAway],Table2[GameDate], "&lt;=" &amp; $A16, Table2[AwayTeam], N$1)+SUMIFS(Table2[NewPointsHome],Table2[GameDate], "&lt;=" &amp; $A16, Table2[HomeTeam], N$1)</f>
        <v>3</v>
      </c>
      <c r="O16" s="145">
        <f>SUMIFS(Table2[NewPointsAway],Table2[GameDate], "&lt;=" &amp; $A16, Table2[AwayTeam], O$1)+SUMIFS(Table2[NewPointsHome],Table2[GameDate], "&lt;=" &amp; $A16, Table2[HomeTeam], O$1)</f>
        <v>4</v>
      </c>
      <c r="P16" s="145">
        <f>SUMIFS(Table2[NewPointsAway],Table2[GameDate], "&lt;=" &amp; $A16, Table2[AwayTeam], P$1)+SUMIFS(Table2[NewPointsHome],Table2[GameDate], "&lt;=" &amp; $A16, Table2[HomeTeam], P$1)</f>
        <v>8</v>
      </c>
      <c r="Q16" s="145">
        <f>SUMIFS(Table2[NewPointsAway],Table2[GameDate], "&lt;=" &amp; $A16, Table2[AwayTeam], Q$1)+SUMIFS(Table2[NewPointsHome],Table2[GameDate], "&lt;=" &amp; $A16, Table2[HomeTeam], Q$1)</f>
        <v>6</v>
      </c>
      <c r="R16" s="145">
        <f>SUMIFS(Table2[NewPointsAway],Table2[GameDate], "&lt;=" &amp; $A16, Table2[AwayTeam], R$1)+SUMIFS(Table2[NewPointsHome],Table2[GameDate], "&lt;=" &amp; $A16, Table2[HomeTeam], R$1)</f>
        <v>6</v>
      </c>
      <c r="S16" s="145">
        <f>SUMIFS(Table2[NewPointsAway],Table2[GameDate], "&lt;=" &amp; $A16, Table2[AwayTeam], S$1)+SUMIFS(Table2[NewPointsHome],Table2[GameDate], "&lt;=" &amp; $A16, Table2[HomeTeam], S$1)</f>
        <v>2</v>
      </c>
      <c r="T16" s="145">
        <f>SUMIFS(Table2[NewPointsAway],Table2[GameDate], "&lt;=" &amp; $A16, Table2[AwayTeam], T$1)+SUMIFS(Table2[NewPointsHome],Table2[GameDate], "&lt;=" &amp; $A16, Table2[HomeTeam], T$1)</f>
        <v>5</v>
      </c>
      <c r="U16" s="145">
        <f>SUMIFS(Table2[NewPointsAway],Table2[GameDate], "&lt;=" &amp; $A16, Table2[AwayTeam], U$1)+SUMIFS(Table2[NewPointsHome],Table2[GameDate], "&lt;=" &amp; $A16, Table2[HomeTeam], U$1)</f>
        <v>4</v>
      </c>
      <c r="V16" s="145">
        <f>SUMIFS(Table2[NewPointsAway],Table2[GameDate], "&lt;=" &amp; $A16, Table2[AwayTeam], V$1)+SUMIFS(Table2[NewPointsHome],Table2[GameDate], "&lt;=" &amp; $A16, Table2[HomeTeam], V$1)</f>
        <v>3</v>
      </c>
      <c r="W16" s="145">
        <f>SUMIFS(Table2[NewPointsAway],Table2[GameDate], "&lt;=" &amp; $A16, Table2[AwayTeam], W$1)+SUMIFS(Table2[NewPointsHome],Table2[GameDate], "&lt;=" &amp; $A16, Table2[HomeTeam], W$1)</f>
        <v>6</v>
      </c>
      <c r="X16" s="145">
        <f>SUMIFS(Table2[NewPointsAway],Table2[GameDate], "&lt;=" &amp; $A16, Table2[AwayTeam], X$1)+SUMIFS(Table2[NewPointsHome],Table2[GameDate], "&lt;=" &amp; $A16, Table2[HomeTeam], X$1)</f>
        <v>6</v>
      </c>
      <c r="Y16" s="145">
        <f>SUMIFS(Table2[NewPointsAway],Table2[GameDate], "&lt;=" &amp; $A16, Table2[AwayTeam], Y$1)+SUMIFS(Table2[NewPointsHome],Table2[GameDate], "&lt;=" &amp; $A16, Table2[HomeTeam], Y$1)</f>
        <v>2</v>
      </c>
      <c r="Z16" s="145">
        <f>SUMIFS(Table2[NewPointsAway],Table2[GameDate], "&lt;=" &amp; $A16, Table2[AwayTeam], Z$1)+SUMIFS(Table2[NewPointsHome],Table2[GameDate], "&lt;=" &amp; $A16, Table2[HomeTeam], Z$1)</f>
        <v>4</v>
      </c>
      <c r="AA16" s="145">
        <f>SUMIFS(Table2[NewPointsAway],Table2[GameDate], "&lt;=" &amp; $A16, Table2[AwayTeam], AA$1)+SUMIFS(Table2[NewPointsHome],Table2[GameDate], "&lt;=" &amp; $A16, Table2[HomeTeam], AA$1)</f>
        <v>4</v>
      </c>
      <c r="AB16" s="145">
        <f>SUMIFS(Table2[NewPointsAway],Table2[GameDate], "&lt;=" &amp; $A16, Table2[AwayTeam], AB$1)+SUMIFS(Table2[NewPointsHome],Table2[GameDate], "&lt;=" &amp; $A16, Table2[HomeTeam], AB$1)</f>
        <v>6</v>
      </c>
      <c r="AC16" s="145">
        <f>SUMIFS(Table2[NewPointsAway],Table2[GameDate], "&lt;=" &amp; $A16, Table2[AwayTeam], AC$1)+SUMIFS(Table2[NewPointsHome],Table2[GameDate], "&lt;=" &amp; $A16, Table2[HomeTeam], AC$1)</f>
        <v>6</v>
      </c>
      <c r="AD16" s="145">
        <f>SUMIFS(Table2[NewPointsAway],Table2[GameDate], "&lt;=" &amp; $A16, Table2[AwayTeam], AD$1)+SUMIFS(Table2[NewPointsHome],Table2[GameDate], "&lt;=" &amp; $A16, Table2[HomeTeam], AD$1)</f>
        <v>6</v>
      </c>
      <c r="AE16" s="145">
        <f>SUMIFS(Table2[NewPointsAway],Table2[GameDate], "&lt;=" &amp; $A16, Table2[AwayTeam], AE$1)+SUMIFS(Table2[NewPointsHome],Table2[GameDate], "&lt;=" &amp; $A16, Table2[HomeTeam], AE$1)</f>
        <v>8</v>
      </c>
      <c r="AF16" s="145">
        <f>SUMIFS(Table2[NewPointsAway],Table2[GameDate], "&lt;=" &amp; $A16, Table2[AwayTeam], AF$1)+SUMIFS(Table2[NewPointsHome],Table2[GameDate], "&lt;=" &amp; $A16, Table2[HomeTeam], AF$1)</f>
        <v>6</v>
      </c>
      <c r="AG16" s="145">
        <f>SUMIFS(Table2[NewPointsAway],Table2[GameDate], "&lt;=" &amp; $A16, Table2[AwayTeam], AG$1)+SUMIFS(Table2[NewPointsHome],Table2[GameDate], "&lt;=" &amp; $A16, Table2[HomeTeam], AG$1)</f>
        <v>8</v>
      </c>
    </row>
    <row r="17" spans="1:33" x14ac:dyDescent="0.25">
      <c r="A17" s="3">
        <v>45948</v>
      </c>
      <c r="B17" s="145">
        <f>SUMIFS(Table2[NewPointsAway],Table2[GameDate], "&lt;=" &amp; $A17, Table2[AwayTeam], B$1)+SUMIFS(Table2[NewPointsHome],Table2[GameDate], "&lt;=" &amp; $A17, Table2[HomeTeam], B$1)</f>
        <v>4</v>
      </c>
      <c r="C17" s="145">
        <f>SUMIFS(Table2[NewPointsAway],Table2[GameDate], "&lt;=" &amp; $A17, Table2[AwayTeam], C$1)+SUMIFS(Table2[NewPointsHome],Table2[GameDate], "&lt;=" &amp; $A17, Table2[HomeTeam], C$1)</f>
        <v>6</v>
      </c>
      <c r="D17" s="145">
        <f>SUMIFS(Table2[NewPointsAway],Table2[GameDate], "&lt;=" &amp; $A17, Table2[AwayTeam], D$1)+SUMIFS(Table2[NewPointsHome],Table2[GameDate], "&lt;=" &amp; $A17, Table2[HomeTeam], D$1)</f>
        <v>4</v>
      </c>
      <c r="E17" s="145">
        <f>SUMIFS(Table2[NewPointsAway],Table2[GameDate], "&lt;=" &amp; $A17, Table2[AwayTeam], E$1)+SUMIFS(Table2[NewPointsHome],Table2[GameDate], "&lt;=" &amp; $A17, Table2[HomeTeam], E$1)</f>
        <v>10</v>
      </c>
      <c r="F17" s="145">
        <f>SUMIFS(Table2[NewPointsAway],Table2[GameDate], "&lt;=" &amp; $A17, Table2[AwayTeam], F$1)+SUMIFS(Table2[NewPointsHome],Table2[GameDate], "&lt;=" &amp; $A17, Table2[HomeTeam], F$1)</f>
        <v>4</v>
      </c>
      <c r="G17" s="145">
        <f>SUMIFS(Table2[NewPointsAway],Table2[GameDate], "&lt;=" &amp; $A17, Table2[AwayTeam], G$1)+SUMIFS(Table2[NewPointsHome],Table2[GameDate], "&lt;=" &amp; $A17, Table2[HomeTeam], G$1)</f>
        <v>2</v>
      </c>
      <c r="H17" s="145">
        <f>SUMIFS(Table2[NewPointsAway],Table2[GameDate], "&lt;=" &amp; $A17, Table2[AwayTeam], H$1)+SUMIFS(Table2[NewPointsHome],Table2[GameDate], "&lt;=" &amp; $A17, Table2[HomeTeam], H$1)</f>
        <v>6</v>
      </c>
      <c r="I17" s="145">
        <f>SUMIFS(Table2[NewPointsAway],Table2[GameDate], "&lt;=" &amp; $A17, Table2[AwayTeam], I$1)+SUMIFS(Table2[NewPointsHome],Table2[GameDate], "&lt;=" &amp; $A17, Table2[HomeTeam], I$1)</f>
        <v>11</v>
      </c>
      <c r="J17" s="145">
        <f>SUMIFS(Table2[NewPointsAway],Table2[GameDate], "&lt;=" &amp; $A17, Table2[AwayTeam], J$1)+SUMIFS(Table2[NewPointsHome],Table2[GameDate], "&lt;=" &amp; $A17, Table2[HomeTeam], J$1)</f>
        <v>6</v>
      </c>
      <c r="K17" s="145">
        <f>SUMIFS(Table2[NewPointsAway],Table2[GameDate], "&lt;=" &amp; $A17, Table2[AwayTeam], K$1)+SUMIFS(Table2[NewPointsHome],Table2[GameDate], "&lt;=" &amp; $A17, Table2[HomeTeam], K$1)</f>
        <v>8</v>
      </c>
      <c r="L17" s="145">
        <f>SUMIFS(Table2[NewPointsAway],Table2[GameDate], "&lt;=" &amp; $A17, Table2[AwayTeam], L$1)+SUMIFS(Table2[NewPointsHome],Table2[GameDate], "&lt;=" &amp; $A17, Table2[HomeTeam], L$1)</f>
        <v>5</v>
      </c>
      <c r="M17" s="145">
        <f>SUMIFS(Table2[NewPointsAway],Table2[GameDate], "&lt;=" &amp; $A17, Table2[AwayTeam], M$1)+SUMIFS(Table2[NewPointsHome],Table2[GameDate], "&lt;=" &amp; $A17, Table2[HomeTeam], M$1)</f>
        <v>6</v>
      </c>
      <c r="N17" s="145">
        <f>SUMIFS(Table2[NewPointsAway],Table2[GameDate], "&lt;=" &amp; $A17, Table2[AwayTeam], N$1)+SUMIFS(Table2[NewPointsHome],Table2[GameDate], "&lt;=" &amp; $A17, Table2[HomeTeam], N$1)</f>
        <v>4</v>
      </c>
      <c r="O17" s="145">
        <f>SUMIFS(Table2[NewPointsAway],Table2[GameDate], "&lt;=" &amp; $A17, Table2[AwayTeam], O$1)+SUMIFS(Table2[NewPointsHome],Table2[GameDate], "&lt;=" &amp; $A17, Table2[HomeTeam], O$1)</f>
        <v>5</v>
      </c>
      <c r="P17" s="145">
        <f>SUMIFS(Table2[NewPointsAway],Table2[GameDate], "&lt;=" &amp; $A17, Table2[AwayTeam], P$1)+SUMIFS(Table2[NewPointsHome],Table2[GameDate], "&lt;=" &amp; $A17, Table2[HomeTeam], P$1)</f>
        <v>8</v>
      </c>
      <c r="Q17" s="145">
        <f>SUMIFS(Table2[NewPointsAway],Table2[GameDate], "&lt;=" &amp; $A17, Table2[AwayTeam], Q$1)+SUMIFS(Table2[NewPointsHome],Table2[GameDate], "&lt;=" &amp; $A17, Table2[HomeTeam], Q$1)</f>
        <v>8</v>
      </c>
      <c r="R17" s="145">
        <f>SUMIFS(Table2[NewPointsAway],Table2[GameDate], "&lt;=" &amp; $A17, Table2[AwayTeam], R$1)+SUMIFS(Table2[NewPointsHome],Table2[GameDate], "&lt;=" &amp; $A17, Table2[HomeTeam], R$1)</f>
        <v>6</v>
      </c>
      <c r="S17" s="145">
        <f>SUMIFS(Table2[NewPointsAway],Table2[GameDate], "&lt;=" &amp; $A17, Table2[AwayTeam], S$1)+SUMIFS(Table2[NewPointsHome],Table2[GameDate], "&lt;=" &amp; $A17, Table2[HomeTeam], S$1)</f>
        <v>4</v>
      </c>
      <c r="T17" s="145">
        <f>SUMIFS(Table2[NewPointsAway],Table2[GameDate], "&lt;=" &amp; $A17, Table2[AwayTeam], T$1)+SUMIFS(Table2[NewPointsHome],Table2[GameDate], "&lt;=" &amp; $A17, Table2[HomeTeam], T$1)</f>
        <v>7</v>
      </c>
      <c r="U17" s="145">
        <f>SUMIFS(Table2[NewPointsAway],Table2[GameDate], "&lt;=" &amp; $A17, Table2[AwayTeam], U$1)+SUMIFS(Table2[NewPointsHome],Table2[GameDate], "&lt;=" &amp; $A17, Table2[HomeTeam], U$1)</f>
        <v>4</v>
      </c>
      <c r="V17" s="145">
        <f>SUMIFS(Table2[NewPointsAway],Table2[GameDate], "&lt;=" &amp; $A17, Table2[AwayTeam], V$1)+SUMIFS(Table2[NewPointsHome],Table2[GameDate], "&lt;=" &amp; $A17, Table2[HomeTeam], V$1)</f>
        <v>5</v>
      </c>
      <c r="W17" s="145">
        <f>SUMIFS(Table2[NewPointsAway],Table2[GameDate], "&lt;=" &amp; $A17, Table2[AwayTeam], W$1)+SUMIFS(Table2[NewPointsHome],Table2[GameDate], "&lt;=" &amp; $A17, Table2[HomeTeam], W$1)</f>
        <v>8</v>
      </c>
      <c r="X17" s="145">
        <f>SUMIFS(Table2[NewPointsAway],Table2[GameDate], "&lt;=" &amp; $A17, Table2[AwayTeam], X$1)+SUMIFS(Table2[NewPointsHome],Table2[GameDate], "&lt;=" &amp; $A17, Table2[HomeTeam], X$1)</f>
        <v>8</v>
      </c>
      <c r="Y17" s="145">
        <f>SUMIFS(Table2[NewPointsAway],Table2[GameDate], "&lt;=" &amp; $A17, Table2[AwayTeam], Y$1)+SUMIFS(Table2[NewPointsHome],Table2[GameDate], "&lt;=" &amp; $A17, Table2[HomeTeam], Y$1)</f>
        <v>2</v>
      </c>
      <c r="Z17" s="145">
        <f>SUMIFS(Table2[NewPointsAway],Table2[GameDate], "&lt;=" &amp; $A17, Table2[AwayTeam], Z$1)+SUMIFS(Table2[NewPointsHome],Table2[GameDate], "&lt;=" &amp; $A17, Table2[HomeTeam], Z$1)</f>
        <v>6</v>
      </c>
      <c r="AA17" s="145">
        <f>SUMIFS(Table2[NewPointsAway],Table2[GameDate], "&lt;=" &amp; $A17, Table2[AwayTeam], AA$1)+SUMIFS(Table2[NewPointsHome],Table2[GameDate], "&lt;=" &amp; $A17, Table2[HomeTeam], AA$1)</f>
        <v>4</v>
      </c>
      <c r="AB17" s="145">
        <f>SUMIFS(Table2[NewPointsAway],Table2[GameDate], "&lt;=" &amp; $A17, Table2[AwayTeam], AB$1)+SUMIFS(Table2[NewPointsHome],Table2[GameDate], "&lt;=" &amp; $A17, Table2[HomeTeam], AB$1)</f>
        <v>7</v>
      </c>
      <c r="AC17" s="145">
        <f>SUMIFS(Table2[NewPointsAway],Table2[GameDate], "&lt;=" &amp; $A17, Table2[AwayTeam], AC$1)+SUMIFS(Table2[NewPointsHome],Table2[GameDate], "&lt;=" &amp; $A17, Table2[HomeTeam], AC$1)</f>
        <v>6</v>
      </c>
      <c r="AD17" s="145">
        <f>SUMIFS(Table2[NewPointsAway],Table2[GameDate], "&lt;=" &amp; $A17, Table2[AwayTeam], AD$1)+SUMIFS(Table2[NewPointsHome],Table2[GameDate], "&lt;=" &amp; $A17, Table2[HomeTeam], AD$1)</f>
        <v>6</v>
      </c>
      <c r="AE17" s="145">
        <f>SUMIFS(Table2[NewPointsAway],Table2[GameDate], "&lt;=" &amp; $A17, Table2[AwayTeam], AE$1)+SUMIFS(Table2[NewPointsHome],Table2[GameDate], "&lt;=" &amp; $A17, Table2[HomeTeam], AE$1)</f>
        <v>10</v>
      </c>
      <c r="AF17" s="145">
        <f>SUMIFS(Table2[NewPointsAway],Table2[GameDate], "&lt;=" &amp; $A17, Table2[AwayTeam], AF$1)+SUMIFS(Table2[NewPointsHome],Table2[GameDate], "&lt;=" &amp; $A17, Table2[HomeTeam], AF$1)</f>
        <v>8</v>
      </c>
      <c r="AG17" s="145">
        <f>SUMIFS(Table2[NewPointsAway],Table2[GameDate], "&lt;=" &amp; $A17, Table2[AwayTeam], AG$1)+SUMIFS(Table2[NewPointsHome],Table2[GameDate], "&lt;=" &amp; $A17, Table2[HomeTeam], AG$1)</f>
        <v>8</v>
      </c>
    </row>
    <row r="18" spans="1:33" x14ac:dyDescent="0.25">
      <c r="A18" s="3">
        <v>45949</v>
      </c>
      <c r="B18" s="145">
        <f>SUMIFS(Table2[NewPointsAway],Table2[GameDate], "&lt;=" &amp; $A18, Table2[AwayTeam], B$1)+SUMIFS(Table2[NewPointsHome],Table2[GameDate], "&lt;=" &amp; $A18, Table2[HomeTeam], B$1)</f>
        <v>5</v>
      </c>
      <c r="C18" s="145">
        <f>SUMIFS(Table2[NewPointsAway],Table2[GameDate], "&lt;=" &amp; $A18, Table2[AwayTeam], C$1)+SUMIFS(Table2[NewPointsHome],Table2[GameDate], "&lt;=" &amp; $A18, Table2[HomeTeam], C$1)</f>
        <v>6</v>
      </c>
      <c r="D18" s="145">
        <f>SUMIFS(Table2[NewPointsAway],Table2[GameDate], "&lt;=" &amp; $A18, Table2[AwayTeam], D$1)+SUMIFS(Table2[NewPointsHome],Table2[GameDate], "&lt;=" &amp; $A18, Table2[HomeTeam], D$1)</f>
        <v>4</v>
      </c>
      <c r="E18" s="145">
        <f>SUMIFS(Table2[NewPointsAway],Table2[GameDate], "&lt;=" &amp; $A18, Table2[AwayTeam], E$1)+SUMIFS(Table2[NewPointsHome],Table2[GameDate], "&lt;=" &amp; $A18, Table2[HomeTeam], E$1)</f>
        <v>10</v>
      </c>
      <c r="F18" s="145">
        <f>SUMIFS(Table2[NewPointsAway],Table2[GameDate], "&lt;=" &amp; $A18, Table2[AwayTeam], F$1)+SUMIFS(Table2[NewPointsHome],Table2[GameDate], "&lt;=" &amp; $A18, Table2[HomeTeam], F$1)</f>
        <v>4</v>
      </c>
      <c r="G18" s="145">
        <f>SUMIFS(Table2[NewPointsAway],Table2[GameDate], "&lt;=" &amp; $A18, Table2[AwayTeam], G$1)+SUMIFS(Table2[NewPointsHome],Table2[GameDate], "&lt;=" &amp; $A18, Table2[HomeTeam], G$1)</f>
        <v>2</v>
      </c>
      <c r="H18" s="145">
        <f>SUMIFS(Table2[NewPointsAway],Table2[GameDate], "&lt;=" &amp; $A18, Table2[AwayTeam], H$1)+SUMIFS(Table2[NewPointsHome],Table2[GameDate], "&lt;=" &amp; $A18, Table2[HomeTeam], H$1)</f>
        <v>8</v>
      </c>
      <c r="I18" s="145">
        <f>SUMIFS(Table2[NewPointsAway],Table2[GameDate], "&lt;=" &amp; $A18, Table2[AwayTeam], I$1)+SUMIFS(Table2[NewPointsHome],Table2[GameDate], "&lt;=" &amp; $A18, Table2[HomeTeam], I$1)</f>
        <v>11</v>
      </c>
      <c r="J18" s="145">
        <f>SUMIFS(Table2[NewPointsAway],Table2[GameDate], "&lt;=" &amp; $A18, Table2[AwayTeam], J$1)+SUMIFS(Table2[NewPointsHome],Table2[GameDate], "&lt;=" &amp; $A18, Table2[HomeTeam], J$1)</f>
        <v>6</v>
      </c>
      <c r="K18" s="145">
        <f>SUMIFS(Table2[NewPointsAway],Table2[GameDate], "&lt;=" &amp; $A18, Table2[AwayTeam], K$1)+SUMIFS(Table2[NewPointsHome],Table2[GameDate], "&lt;=" &amp; $A18, Table2[HomeTeam], K$1)</f>
        <v>10</v>
      </c>
      <c r="L18" s="145">
        <f>SUMIFS(Table2[NewPointsAway],Table2[GameDate], "&lt;=" &amp; $A18, Table2[AwayTeam], L$1)+SUMIFS(Table2[NewPointsHome],Table2[GameDate], "&lt;=" &amp; $A18, Table2[HomeTeam], L$1)</f>
        <v>5</v>
      </c>
      <c r="M18" s="145">
        <f>SUMIFS(Table2[NewPointsAway],Table2[GameDate], "&lt;=" &amp; $A18, Table2[AwayTeam], M$1)+SUMIFS(Table2[NewPointsHome],Table2[GameDate], "&lt;=" &amp; $A18, Table2[HomeTeam], M$1)</f>
        <v>6</v>
      </c>
      <c r="N18" s="145">
        <f>SUMIFS(Table2[NewPointsAway],Table2[GameDate], "&lt;=" &amp; $A18, Table2[AwayTeam], N$1)+SUMIFS(Table2[NewPointsHome],Table2[GameDate], "&lt;=" &amp; $A18, Table2[HomeTeam], N$1)</f>
        <v>4</v>
      </c>
      <c r="O18" s="145">
        <f>SUMIFS(Table2[NewPointsAway],Table2[GameDate], "&lt;=" &amp; $A18, Table2[AwayTeam], O$1)+SUMIFS(Table2[NewPointsHome],Table2[GameDate], "&lt;=" &amp; $A18, Table2[HomeTeam], O$1)</f>
        <v>5</v>
      </c>
      <c r="P18" s="145">
        <f>SUMIFS(Table2[NewPointsAway],Table2[GameDate], "&lt;=" &amp; $A18, Table2[AwayTeam], P$1)+SUMIFS(Table2[NewPointsHome],Table2[GameDate], "&lt;=" &amp; $A18, Table2[HomeTeam], P$1)</f>
        <v>8</v>
      </c>
      <c r="Q18" s="145">
        <f>SUMIFS(Table2[NewPointsAway],Table2[GameDate], "&lt;=" &amp; $A18, Table2[AwayTeam], Q$1)+SUMIFS(Table2[NewPointsHome],Table2[GameDate], "&lt;=" &amp; $A18, Table2[HomeTeam], Q$1)</f>
        <v>8</v>
      </c>
      <c r="R18" s="145">
        <f>SUMIFS(Table2[NewPointsAway],Table2[GameDate], "&lt;=" &amp; $A18, Table2[AwayTeam], R$1)+SUMIFS(Table2[NewPointsHome],Table2[GameDate], "&lt;=" &amp; $A18, Table2[HomeTeam], R$1)</f>
        <v>6</v>
      </c>
      <c r="S18" s="145">
        <f>SUMIFS(Table2[NewPointsAway],Table2[GameDate], "&lt;=" &amp; $A18, Table2[AwayTeam], S$1)+SUMIFS(Table2[NewPointsHome],Table2[GameDate], "&lt;=" &amp; $A18, Table2[HomeTeam], S$1)</f>
        <v>4</v>
      </c>
      <c r="T18" s="145">
        <f>SUMIFS(Table2[NewPointsAway],Table2[GameDate], "&lt;=" &amp; $A18, Table2[AwayTeam], T$1)+SUMIFS(Table2[NewPointsHome],Table2[GameDate], "&lt;=" &amp; $A18, Table2[HomeTeam], T$1)</f>
        <v>7</v>
      </c>
      <c r="U18" s="145">
        <f>SUMIFS(Table2[NewPointsAway],Table2[GameDate], "&lt;=" &amp; $A18, Table2[AwayTeam], U$1)+SUMIFS(Table2[NewPointsHome],Table2[GameDate], "&lt;=" &amp; $A18, Table2[HomeTeam], U$1)</f>
        <v>4</v>
      </c>
      <c r="V18" s="145">
        <f>SUMIFS(Table2[NewPointsAway],Table2[GameDate], "&lt;=" &amp; $A18, Table2[AwayTeam], V$1)+SUMIFS(Table2[NewPointsHome],Table2[GameDate], "&lt;=" &amp; $A18, Table2[HomeTeam], V$1)</f>
        <v>5</v>
      </c>
      <c r="W18" s="145">
        <f>SUMIFS(Table2[NewPointsAway],Table2[GameDate], "&lt;=" &amp; $A18, Table2[AwayTeam], W$1)+SUMIFS(Table2[NewPointsHome],Table2[GameDate], "&lt;=" &amp; $A18, Table2[HomeTeam], W$1)</f>
        <v>8</v>
      </c>
      <c r="X18" s="145">
        <f>SUMIFS(Table2[NewPointsAway],Table2[GameDate], "&lt;=" &amp; $A18, Table2[AwayTeam], X$1)+SUMIFS(Table2[NewPointsHome],Table2[GameDate], "&lt;=" &amp; $A18, Table2[HomeTeam], X$1)</f>
        <v>8</v>
      </c>
      <c r="Y18" s="145">
        <f>SUMIFS(Table2[NewPointsAway],Table2[GameDate], "&lt;=" &amp; $A18, Table2[AwayTeam], Y$1)+SUMIFS(Table2[NewPointsHome],Table2[GameDate], "&lt;=" &amp; $A18, Table2[HomeTeam], Y$1)</f>
        <v>2</v>
      </c>
      <c r="Z18" s="145">
        <f>SUMIFS(Table2[NewPointsAway],Table2[GameDate], "&lt;=" &amp; $A18, Table2[AwayTeam], Z$1)+SUMIFS(Table2[NewPointsHome],Table2[GameDate], "&lt;=" &amp; $A18, Table2[HomeTeam], Z$1)</f>
        <v>6</v>
      </c>
      <c r="AA18" s="145">
        <f>SUMIFS(Table2[NewPointsAway],Table2[GameDate], "&lt;=" &amp; $A18, Table2[AwayTeam], AA$1)+SUMIFS(Table2[NewPointsHome],Table2[GameDate], "&lt;=" &amp; $A18, Table2[HomeTeam], AA$1)</f>
        <v>4</v>
      </c>
      <c r="AB18" s="145">
        <f>SUMIFS(Table2[NewPointsAway],Table2[GameDate], "&lt;=" &amp; $A18, Table2[AwayTeam], AB$1)+SUMIFS(Table2[NewPointsHome],Table2[GameDate], "&lt;=" &amp; $A18, Table2[HomeTeam], AB$1)</f>
        <v>7</v>
      </c>
      <c r="AC18" s="145">
        <f>SUMIFS(Table2[NewPointsAway],Table2[GameDate], "&lt;=" &amp; $A18, Table2[AwayTeam], AC$1)+SUMIFS(Table2[NewPointsHome],Table2[GameDate], "&lt;=" &amp; $A18, Table2[HomeTeam], AC$1)</f>
        <v>8</v>
      </c>
      <c r="AD18" s="145">
        <f>SUMIFS(Table2[NewPointsAway],Table2[GameDate], "&lt;=" &amp; $A18, Table2[AwayTeam], AD$1)+SUMIFS(Table2[NewPointsHome],Table2[GameDate], "&lt;=" &amp; $A18, Table2[HomeTeam], AD$1)</f>
        <v>8</v>
      </c>
      <c r="AE18" s="145">
        <f>SUMIFS(Table2[NewPointsAway],Table2[GameDate], "&lt;=" &amp; $A18, Table2[AwayTeam], AE$1)+SUMIFS(Table2[NewPointsHome],Table2[GameDate], "&lt;=" &amp; $A18, Table2[HomeTeam], AE$1)</f>
        <v>10</v>
      </c>
      <c r="AF18" s="145">
        <f>SUMIFS(Table2[NewPointsAway],Table2[GameDate], "&lt;=" &amp; $A18, Table2[AwayTeam], AF$1)+SUMIFS(Table2[NewPointsHome],Table2[GameDate], "&lt;=" &amp; $A18, Table2[HomeTeam], AF$1)</f>
        <v>8</v>
      </c>
      <c r="AG18" s="145">
        <f>SUMIFS(Table2[NewPointsAway],Table2[GameDate], "&lt;=" &amp; $A18, Table2[AwayTeam], AG$1)+SUMIFS(Table2[NewPointsHome],Table2[GameDate], "&lt;=" &amp; $A18, Table2[HomeTeam], AG$1)</f>
        <v>8</v>
      </c>
    </row>
    <row r="19" spans="1:33" x14ac:dyDescent="0.25">
      <c r="A19" s="3">
        <v>45950</v>
      </c>
      <c r="B19" s="145">
        <f>SUMIFS(Table2[NewPointsAway],Table2[GameDate], "&lt;=" &amp; $A19, Table2[AwayTeam], B$1)+SUMIFS(Table2[NewPointsHome],Table2[GameDate], "&lt;=" &amp; $A19, Table2[HomeTeam], B$1)</f>
        <v>5</v>
      </c>
      <c r="C19" s="145">
        <f>SUMIFS(Table2[NewPointsAway],Table2[GameDate], "&lt;=" &amp; $A19, Table2[AwayTeam], C$1)+SUMIFS(Table2[NewPointsHome],Table2[GameDate], "&lt;=" &amp; $A19, Table2[HomeTeam], C$1)</f>
        <v>6</v>
      </c>
      <c r="D19" s="145">
        <f>SUMIFS(Table2[NewPointsAway],Table2[GameDate], "&lt;=" &amp; $A19, Table2[AwayTeam], D$1)+SUMIFS(Table2[NewPointsHome],Table2[GameDate], "&lt;=" &amp; $A19, Table2[HomeTeam], D$1)</f>
        <v>4</v>
      </c>
      <c r="E19" s="145">
        <f>SUMIFS(Table2[NewPointsAway],Table2[GameDate], "&lt;=" &amp; $A19, Table2[AwayTeam], E$1)+SUMIFS(Table2[NewPointsHome],Table2[GameDate], "&lt;=" &amp; $A19, Table2[HomeTeam], E$1)</f>
        <v>10</v>
      </c>
      <c r="F19" s="145">
        <f>SUMIFS(Table2[NewPointsAway],Table2[GameDate], "&lt;=" &amp; $A19, Table2[AwayTeam], F$1)+SUMIFS(Table2[NewPointsHome],Table2[GameDate], "&lt;=" &amp; $A19, Table2[HomeTeam], F$1)</f>
        <v>4</v>
      </c>
      <c r="G19" s="145">
        <f>SUMIFS(Table2[NewPointsAway],Table2[GameDate], "&lt;=" &amp; $A19, Table2[AwayTeam], G$1)+SUMIFS(Table2[NewPointsHome],Table2[GameDate], "&lt;=" &amp; $A19, Table2[HomeTeam], G$1)</f>
        <v>2</v>
      </c>
      <c r="H19" s="145">
        <f>SUMIFS(Table2[NewPointsAway],Table2[GameDate], "&lt;=" &amp; $A19, Table2[AwayTeam], H$1)+SUMIFS(Table2[NewPointsHome],Table2[GameDate], "&lt;=" &amp; $A19, Table2[HomeTeam], H$1)</f>
        <v>8</v>
      </c>
      <c r="I19" s="145">
        <f>SUMIFS(Table2[NewPointsAway],Table2[GameDate], "&lt;=" &amp; $A19, Table2[AwayTeam], I$1)+SUMIFS(Table2[NewPointsHome],Table2[GameDate], "&lt;=" &amp; $A19, Table2[HomeTeam], I$1)</f>
        <v>11</v>
      </c>
      <c r="J19" s="145">
        <f>SUMIFS(Table2[NewPointsAway],Table2[GameDate], "&lt;=" &amp; $A19, Table2[AwayTeam], J$1)+SUMIFS(Table2[NewPointsHome],Table2[GameDate], "&lt;=" &amp; $A19, Table2[HomeTeam], J$1)</f>
        <v>6</v>
      </c>
      <c r="K19" s="145">
        <f>SUMIFS(Table2[NewPointsAway],Table2[GameDate], "&lt;=" &amp; $A19, Table2[AwayTeam], K$1)+SUMIFS(Table2[NewPointsHome],Table2[GameDate], "&lt;=" &amp; $A19, Table2[HomeTeam], K$1)</f>
        <v>10</v>
      </c>
      <c r="L19" s="145">
        <f>SUMIFS(Table2[NewPointsAway],Table2[GameDate], "&lt;=" &amp; $A19, Table2[AwayTeam], L$1)+SUMIFS(Table2[NewPointsHome],Table2[GameDate], "&lt;=" &amp; $A19, Table2[HomeTeam], L$1)</f>
        <v>5</v>
      </c>
      <c r="M19" s="145">
        <f>SUMIFS(Table2[NewPointsAway],Table2[GameDate], "&lt;=" &amp; $A19, Table2[AwayTeam], M$1)+SUMIFS(Table2[NewPointsHome],Table2[GameDate], "&lt;=" &amp; $A19, Table2[HomeTeam], M$1)</f>
        <v>6</v>
      </c>
      <c r="N19" s="145">
        <f>SUMIFS(Table2[NewPointsAway],Table2[GameDate], "&lt;=" &amp; $A19, Table2[AwayTeam], N$1)+SUMIFS(Table2[NewPointsHome],Table2[GameDate], "&lt;=" &amp; $A19, Table2[HomeTeam], N$1)</f>
        <v>4</v>
      </c>
      <c r="O19" s="145">
        <f>SUMIFS(Table2[NewPointsAway],Table2[GameDate], "&lt;=" &amp; $A19, Table2[AwayTeam], O$1)+SUMIFS(Table2[NewPointsHome],Table2[GameDate], "&lt;=" &amp; $A19, Table2[HomeTeam], O$1)</f>
        <v>7</v>
      </c>
      <c r="P19" s="145">
        <f>SUMIFS(Table2[NewPointsAway],Table2[GameDate], "&lt;=" &amp; $A19, Table2[AwayTeam], P$1)+SUMIFS(Table2[NewPointsHome],Table2[GameDate], "&lt;=" &amp; $A19, Table2[HomeTeam], P$1)</f>
        <v>10</v>
      </c>
      <c r="Q19" s="145">
        <f>SUMIFS(Table2[NewPointsAway],Table2[GameDate], "&lt;=" &amp; $A19, Table2[AwayTeam], Q$1)+SUMIFS(Table2[NewPointsHome],Table2[GameDate], "&lt;=" &amp; $A19, Table2[HomeTeam], Q$1)</f>
        <v>8</v>
      </c>
      <c r="R19" s="145">
        <f>SUMIFS(Table2[NewPointsAway],Table2[GameDate], "&lt;=" &amp; $A19, Table2[AwayTeam], R$1)+SUMIFS(Table2[NewPointsHome],Table2[GameDate], "&lt;=" &amp; $A19, Table2[HomeTeam], R$1)</f>
        <v>6</v>
      </c>
      <c r="S19" s="145">
        <f>SUMIFS(Table2[NewPointsAway],Table2[GameDate], "&lt;=" &amp; $A19, Table2[AwayTeam], S$1)+SUMIFS(Table2[NewPointsHome],Table2[GameDate], "&lt;=" &amp; $A19, Table2[HomeTeam], S$1)</f>
        <v>4</v>
      </c>
      <c r="T19" s="145">
        <f>SUMIFS(Table2[NewPointsAway],Table2[GameDate], "&lt;=" &amp; $A19, Table2[AwayTeam], T$1)+SUMIFS(Table2[NewPointsHome],Table2[GameDate], "&lt;=" &amp; $A19, Table2[HomeTeam], T$1)</f>
        <v>7</v>
      </c>
      <c r="U19" s="145">
        <f>SUMIFS(Table2[NewPointsAway],Table2[GameDate], "&lt;=" &amp; $A19, Table2[AwayTeam], U$1)+SUMIFS(Table2[NewPointsHome],Table2[GameDate], "&lt;=" &amp; $A19, Table2[HomeTeam], U$1)</f>
        <v>4</v>
      </c>
      <c r="V19" s="145">
        <f>SUMIFS(Table2[NewPointsAway],Table2[GameDate], "&lt;=" &amp; $A19, Table2[AwayTeam], V$1)+SUMIFS(Table2[NewPointsHome],Table2[GameDate], "&lt;=" &amp; $A19, Table2[HomeTeam], V$1)</f>
        <v>7</v>
      </c>
      <c r="W19" s="145">
        <f>SUMIFS(Table2[NewPointsAway],Table2[GameDate], "&lt;=" &amp; $A19, Table2[AwayTeam], W$1)+SUMIFS(Table2[NewPointsHome],Table2[GameDate], "&lt;=" &amp; $A19, Table2[HomeTeam], W$1)</f>
        <v>8</v>
      </c>
      <c r="X19" s="145">
        <f>SUMIFS(Table2[NewPointsAway],Table2[GameDate], "&lt;=" &amp; $A19, Table2[AwayTeam], X$1)+SUMIFS(Table2[NewPointsHome],Table2[GameDate], "&lt;=" &amp; $A19, Table2[HomeTeam], X$1)</f>
        <v>8</v>
      </c>
      <c r="Y19" s="145">
        <f>SUMIFS(Table2[NewPointsAway],Table2[GameDate], "&lt;=" &amp; $A19, Table2[AwayTeam], Y$1)+SUMIFS(Table2[NewPointsHome],Table2[GameDate], "&lt;=" &amp; $A19, Table2[HomeTeam], Y$1)</f>
        <v>2</v>
      </c>
      <c r="Z19" s="145">
        <f>SUMIFS(Table2[NewPointsAway],Table2[GameDate], "&lt;=" &amp; $A19, Table2[AwayTeam], Z$1)+SUMIFS(Table2[NewPointsHome],Table2[GameDate], "&lt;=" &amp; $A19, Table2[HomeTeam], Z$1)</f>
        <v>6</v>
      </c>
      <c r="AA19" s="145">
        <f>SUMIFS(Table2[NewPointsAway],Table2[GameDate], "&lt;=" &amp; $A19, Table2[AwayTeam], AA$1)+SUMIFS(Table2[NewPointsHome],Table2[GameDate], "&lt;=" &amp; $A19, Table2[HomeTeam], AA$1)</f>
        <v>4</v>
      </c>
      <c r="AB19" s="145">
        <f>SUMIFS(Table2[NewPointsAway],Table2[GameDate], "&lt;=" &amp; $A19, Table2[AwayTeam], AB$1)+SUMIFS(Table2[NewPointsHome],Table2[GameDate], "&lt;=" &amp; $A19, Table2[HomeTeam], AB$1)</f>
        <v>7</v>
      </c>
      <c r="AC19" s="145">
        <f>SUMIFS(Table2[NewPointsAway],Table2[GameDate], "&lt;=" &amp; $A19, Table2[AwayTeam], AC$1)+SUMIFS(Table2[NewPointsHome],Table2[GameDate], "&lt;=" &amp; $A19, Table2[HomeTeam], AC$1)</f>
        <v>8</v>
      </c>
      <c r="AD19" s="145">
        <f>SUMIFS(Table2[NewPointsAway],Table2[GameDate], "&lt;=" &amp; $A19, Table2[AwayTeam], AD$1)+SUMIFS(Table2[NewPointsHome],Table2[GameDate], "&lt;=" &amp; $A19, Table2[HomeTeam], AD$1)</f>
        <v>8</v>
      </c>
      <c r="AE19" s="145">
        <f>SUMIFS(Table2[NewPointsAway],Table2[GameDate], "&lt;=" &amp; $A19, Table2[AwayTeam], AE$1)+SUMIFS(Table2[NewPointsHome],Table2[GameDate], "&lt;=" &amp; $A19, Table2[HomeTeam], AE$1)</f>
        <v>12</v>
      </c>
      <c r="AF19" s="145">
        <f>SUMIFS(Table2[NewPointsAway],Table2[GameDate], "&lt;=" &amp; $A19, Table2[AwayTeam], AF$1)+SUMIFS(Table2[NewPointsHome],Table2[GameDate], "&lt;=" &amp; $A19, Table2[HomeTeam], AF$1)</f>
        <v>10</v>
      </c>
      <c r="AG19" s="145">
        <f>SUMIFS(Table2[NewPointsAway],Table2[GameDate], "&lt;=" &amp; $A19, Table2[AwayTeam], AG$1)+SUMIFS(Table2[NewPointsHome],Table2[GameDate], "&lt;=" &amp; $A19, Table2[HomeTeam], AG$1)</f>
        <v>8</v>
      </c>
    </row>
    <row r="20" spans="1:33" x14ac:dyDescent="0.25">
      <c r="A20" s="3">
        <v>45951</v>
      </c>
      <c r="B20" s="145">
        <f>SUMIFS(Table2[NewPointsAway],Table2[GameDate], "&lt;=" &amp; $A20, Table2[AwayTeam], B$1)+SUMIFS(Table2[NewPointsHome],Table2[GameDate], "&lt;=" &amp; $A20, Table2[HomeTeam], B$1)</f>
        <v>7</v>
      </c>
      <c r="C20" s="145">
        <f>SUMIFS(Table2[NewPointsAway],Table2[GameDate], "&lt;=" &amp; $A20, Table2[AwayTeam], C$1)+SUMIFS(Table2[NewPointsHome],Table2[GameDate], "&lt;=" &amp; $A20, Table2[HomeTeam], C$1)</f>
        <v>6</v>
      </c>
      <c r="D20" s="145">
        <f>SUMIFS(Table2[NewPointsAway],Table2[GameDate], "&lt;=" &amp; $A20, Table2[AwayTeam], D$1)+SUMIFS(Table2[NewPointsHome],Table2[GameDate], "&lt;=" &amp; $A20, Table2[HomeTeam], D$1)</f>
        <v>4</v>
      </c>
      <c r="E20" s="145">
        <f>SUMIFS(Table2[NewPointsAway],Table2[GameDate], "&lt;=" &amp; $A20, Table2[AwayTeam], E$1)+SUMIFS(Table2[NewPointsHome],Table2[GameDate], "&lt;=" &amp; $A20, Table2[HomeTeam], E$1)</f>
        <v>10</v>
      </c>
      <c r="F20" s="145">
        <f>SUMIFS(Table2[NewPointsAway],Table2[GameDate], "&lt;=" &amp; $A20, Table2[AwayTeam], F$1)+SUMIFS(Table2[NewPointsHome],Table2[GameDate], "&lt;=" &amp; $A20, Table2[HomeTeam], F$1)</f>
        <v>6</v>
      </c>
      <c r="G20" s="145">
        <f>SUMIFS(Table2[NewPointsAway],Table2[GameDate], "&lt;=" &amp; $A20, Table2[AwayTeam], G$1)+SUMIFS(Table2[NewPointsHome],Table2[GameDate], "&lt;=" &amp; $A20, Table2[HomeTeam], G$1)</f>
        <v>2</v>
      </c>
      <c r="H20" s="145">
        <f>SUMIFS(Table2[NewPointsAway],Table2[GameDate], "&lt;=" &amp; $A20, Table2[AwayTeam], H$1)+SUMIFS(Table2[NewPointsHome],Table2[GameDate], "&lt;=" &amp; $A20, Table2[HomeTeam], H$1)</f>
        <v>8</v>
      </c>
      <c r="I20" s="145">
        <f>SUMIFS(Table2[NewPointsAway],Table2[GameDate], "&lt;=" &amp; $A20, Table2[AwayTeam], I$1)+SUMIFS(Table2[NewPointsHome],Table2[GameDate], "&lt;=" &amp; $A20, Table2[HomeTeam], I$1)</f>
        <v>12</v>
      </c>
      <c r="J20" s="145">
        <f>SUMIFS(Table2[NewPointsAway],Table2[GameDate], "&lt;=" &amp; $A20, Table2[AwayTeam], J$1)+SUMIFS(Table2[NewPointsHome],Table2[GameDate], "&lt;=" &amp; $A20, Table2[HomeTeam], J$1)</f>
        <v>6</v>
      </c>
      <c r="K20" s="145">
        <f>SUMIFS(Table2[NewPointsAway],Table2[GameDate], "&lt;=" &amp; $A20, Table2[AwayTeam], K$1)+SUMIFS(Table2[NewPointsHome],Table2[GameDate], "&lt;=" &amp; $A20, Table2[HomeTeam], K$1)</f>
        <v>10</v>
      </c>
      <c r="L20" s="145">
        <f>SUMIFS(Table2[NewPointsAway],Table2[GameDate], "&lt;=" &amp; $A20, Table2[AwayTeam], L$1)+SUMIFS(Table2[NewPointsHome],Table2[GameDate], "&lt;=" &amp; $A20, Table2[HomeTeam], L$1)</f>
        <v>7</v>
      </c>
      <c r="M20" s="145">
        <f>SUMIFS(Table2[NewPointsAway],Table2[GameDate], "&lt;=" &amp; $A20, Table2[AwayTeam], M$1)+SUMIFS(Table2[NewPointsHome],Table2[GameDate], "&lt;=" &amp; $A20, Table2[HomeTeam], M$1)</f>
        <v>8</v>
      </c>
      <c r="N20" s="145">
        <f>SUMIFS(Table2[NewPointsAway],Table2[GameDate], "&lt;=" &amp; $A20, Table2[AwayTeam], N$1)+SUMIFS(Table2[NewPointsHome],Table2[GameDate], "&lt;=" &amp; $A20, Table2[HomeTeam], N$1)</f>
        <v>6</v>
      </c>
      <c r="O20" s="145">
        <f>SUMIFS(Table2[NewPointsAway],Table2[GameDate], "&lt;=" &amp; $A20, Table2[AwayTeam], O$1)+SUMIFS(Table2[NewPointsHome],Table2[GameDate], "&lt;=" &amp; $A20, Table2[HomeTeam], O$1)</f>
        <v>7</v>
      </c>
      <c r="P20" s="145">
        <f>SUMIFS(Table2[NewPointsAway],Table2[GameDate], "&lt;=" &amp; $A20, Table2[AwayTeam], P$1)+SUMIFS(Table2[NewPointsHome],Table2[GameDate], "&lt;=" &amp; $A20, Table2[HomeTeam], P$1)</f>
        <v>10</v>
      </c>
      <c r="Q20" s="145">
        <f>SUMIFS(Table2[NewPointsAway],Table2[GameDate], "&lt;=" &amp; $A20, Table2[AwayTeam], Q$1)+SUMIFS(Table2[NewPointsHome],Table2[GameDate], "&lt;=" &amp; $A20, Table2[HomeTeam], Q$1)</f>
        <v>10</v>
      </c>
      <c r="R20" s="145">
        <f>SUMIFS(Table2[NewPointsAway],Table2[GameDate], "&lt;=" &amp; $A20, Table2[AwayTeam], R$1)+SUMIFS(Table2[NewPointsHome],Table2[GameDate], "&lt;=" &amp; $A20, Table2[HomeTeam], R$1)</f>
        <v>6</v>
      </c>
      <c r="S20" s="145">
        <f>SUMIFS(Table2[NewPointsAway],Table2[GameDate], "&lt;=" &amp; $A20, Table2[AwayTeam], S$1)+SUMIFS(Table2[NewPointsHome],Table2[GameDate], "&lt;=" &amp; $A20, Table2[HomeTeam], S$1)</f>
        <v>6</v>
      </c>
      <c r="T20" s="145">
        <f>SUMIFS(Table2[NewPointsAway],Table2[GameDate], "&lt;=" &amp; $A20, Table2[AwayTeam], T$1)+SUMIFS(Table2[NewPointsHome],Table2[GameDate], "&lt;=" &amp; $A20, Table2[HomeTeam], T$1)</f>
        <v>7</v>
      </c>
      <c r="U20" s="145">
        <f>SUMIFS(Table2[NewPointsAway],Table2[GameDate], "&lt;=" &amp; $A20, Table2[AwayTeam], U$1)+SUMIFS(Table2[NewPointsHome],Table2[GameDate], "&lt;=" &amp; $A20, Table2[HomeTeam], U$1)</f>
        <v>5</v>
      </c>
      <c r="V20" s="145">
        <f>SUMIFS(Table2[NewPointsAway],Table2[GameDate], "&lt;=" &amp; $A20, Table2[AwayTeam], V$1)+SUMIFS(Table2[NewPointsHome],Table2[GameDate], "&lt;=" &amp; $A20, Table2[HomeTeam], V$1)</f>
        <v>7</v>
      </c>
      <c r="W20" s="145">
        <f>SUMIFS(Table2[NewPointsAway],Table2[GameDate], "&lt;=" &amp; $A20, Table2[AwayTeam], W$1)+SUMIFS(Table2[NewPointsHome],Table2[GameDate], "&lt;=" &amp; $A20, Table2[HomeTeam], W$1)</f>
        <v>10</v>
      </c>
      <c r="X20" s="145">
        <f>SUMIFS(Table2[NewPointsAway],Table2[GameDate], "&lt;=" &amp; $A20, Table2[AwayTeam], X$1)+SUMIFS(Table2[NewPointsHome],Table2[GameDate], "&lt;=" &amp; $A20, Table2[HomeTeam], X$1)</f>
        <v>8</v>
      </c>
      <c r="Y20" s="145">
        <f>SUMIFS(Table2[NewPointsAway],Table2[GameDate], "&lt;=" &amp; $A20, Table2[AwayTeam], Y$1)+SUMIFS(Table2[NewPointsHome],Table2[GameDate], "&lt;=" &amp; $A20, Table2[HomeTeam], Y$1)</f>
        <v>2</v>
      </c>
      <c r="Z20" s="145">
        <f>SUMIFS(Table2[NewPointsAway],Table2[GameDate], "&lt;=" &amp; $A20, Table2[AwayTeam], Z$1)+SUMIFS(Table2[NewPointsHome],Table2[GameDate], "&lt;=" &amp; $A20, Table2[HomeTeam], Z$1)</f>
        <v>7</v>
      </c>
      <c r="AA20" s="145">
        <f>SUMIFS(Table2[NewPointsAway],Table2[GameDate], "&lt;=" &amp; $A20, Table2[AwayTeam], AA$1)+SUMIFS(Table2[NewPointsHome],Table2[GameDate], "&lt;=" &amp; $A20, Table2[HomeTeam], AA$1)</f>
        <v>4</v>
      </c>
      <c r="AB20" s="145">
        <f>SUMIFS(Table2[NewPointsAway],Table2[GameDate], "&lt;=" &amp; $A20, Table2[AwayTeam], AB$1)+SUMIFS(Table2[NewPointsHome],Table2[GameDate], "&lt;=" &amp; $A20, Table2[HomeTeam], AB$1)</f>
        <v>7</v>
      </c>
      <c r="AC20" s="145">
        <f>SUMIFS(Table2[NewPointsAway],Table2[GameDate], "&lt;=" &amp; $A20, Table2[AwayTeam], AC$1)+SUMIFS(Table2[NewPointsHome],Table2[GameDate], "&lt;=" &amp; $A20, Table2[HomeTeam], AC$1)</f>
        <v>10</v>
      </c>
      <c r="AD20" s="145">
        <f>SUMIFS(Table2[NewPointsAway],Table2[GameDate], "&lt;=" &amp; $A20, Table2[AwayTeam], AD$1)+SUMIFS(Table2[NewPointsHome],Table2[GameDate], "&lt;=" &amp; $A20, Table2[HomeTeam], AD$1)</f>
        <v>8</v>
      </c>
      <c r="AE20" s="145">
        <f>SUMIFS(Table2[NewPointsAway],Table2[GameDate], "&lt;=" &amp; $A20, Table2[AwayTeam], AE$1)+SUMIFS(Table2[NewPointsHome],Table2[GameDate], "&lt;=" &amp; $A20, Table2[HomeTeam], AE$1)</f>
        <v>12</v>
      </c>
      <c r="AF20" s="145">
        <f>SUMIFS(Table2[NewPointsAway],Table2[GameDate], "&lt;=" &amp; $A20, Table2[AwayTeam], AF$1)+SUMIFS(Table2[NewPointsHome],Table2[GameDate], "&lt;=" &amp; $A20, Table2[HomeTeam], AF$1)</f>
        <v>10</v>
      </c>
      <c r="AG20" s="145">
        <f>SUMIFS(Table2[NewPointsAway],Table2[GameDate], "&lt;=" &amp; $A20, Table2[AwayTeam], AG$1)+SUMIFS(Table2[NewPointsHome],Table2[GameDate], "&lt;=" &amp; $A20, Table2[HomeTeam], AG$1)</f>
        <v>10</v>
      </c>
    </row>
    <row r="21" spans="1:33" x14ac:dyDescent="0.25">
      <c r="A21" s="3">
        <v>45952</v>
      </c>
      <c r="B21" s="145">
        <f>SUMIFS(Table2[NewPointsAway],Table2[GameDate], "&lt;=" &amp; $A21, Table2[AwayTeam], B$1)+SUMIFS(Table2[NewPointsHome],Table2[GameDate], "&lt;=" &amp; $A21, Table2[HomeTeam], B$1)</f>
        <v>7</v>
      </c>
      <c r="C21" s="145">
        <f>SUMIFS(Table2[NewPointsAway],Table2[GameDate], "&lt;=" &amp; $A21, Table2[AwayTeam], C$1)+SUMIFS(Table2[NewPointsHome],Table2[GameDate], "&lt;=" &amp; $A21, Table2[HomeTeam], C$1)</f>
        <v>6</v>
      </c>
      <c r="D21" s="145">
        <f>SUMIFS(Table2[NewPointsAway],Table2[GameDate], "&lt;=" &amp; $A21, Table2[AwayTeam], D$1)+SUMIFS(Table2[NewPointsHome],Table2[GameDate], "&lt;=" &amp; $A21, Table2[HomeTeam], D$1)</f>
        <v>4</v>
      </c>
      <c r="E21" s="145">
        <f>SUMIFS(Table2[NewPointsAway],Table2[GameDate], "&lt;=" &amp; $A21, Table2[AwayTeam], E$1)+SUMIFS(Table2[NewPointsHome],Table2[GameDate], "&lt;=" &amp; $A21, Table2[HomeTeam], E$1)</f>
        <v>10</v>
      </c>
      <c r="F21" s="145">
        <f>SUMIFS(Table2[NewPointsAway],Table2[GameDate], "&lt;=" &amp; $A21, Table2[AwayTeam], F$1)+SUMIFS(Table2[NewPointsHome],Table2[GameDate], "&lt;=" &amp; $A21, Table2[HomeTeam], F$1)</f>
        <v>6</v>
      </c>
      <c r="G21" s="145">
        <f>SUMIFS(Table2[NewPointsAway],Table2[GameDate], "&lt;=" &amp; $A21, Table2[AwayTeam], G$1)+SUMIFS(Table2[NewPointsHome],Table2[GameDate], "&lt;=" &amp; $A21, Table2[HomeTeam], G$1)</f>
        <v>2</v>
      </c>
      <c r="H21" s="145">
        <f>SUMIFS(Table2[NewPointsAway],Table2[GameDate], "&lt;=" &amp; $A21, Table2[AwayTeam], H$1)+SUMIFS(Table2[NewPointsHome],Table2[GameDate], "&lt;=" &amp; $A21, Table2[HomeTeam], H$1)</f>
        <v>8</v>
      </c>
      <c r="I21" s="145">
        <f>SUMIFS(Table2[NewPointsAway],Table2[GameDate], "&lt;=" &amp; $A21, Table2[AwayTeam], I$1)+SUMIFS(Table2[NewPointsHome],Table2[GameDate], "&lt;=" &amp; $A21, Table2[HomeTeam], I$1)</f>
        <v>12</v>
      </c>
      <c r="J21" s="145">
        <f>SUMIFS(Table2[NewPointsAway],Table2[GameDate], "&lt;=" &amp; $A21, Table2[AwayTeam], J$1)+SUMIFS(Table2[NewPointsHome],Table2[GameDate], "&lt;=" &amp; $A21, Table2[HomeTeam], J$1)</f>
        <v>6</v>
      </c>
      <c r="K21" s="145">
        <f>SUMIFS(Table2[NewPointsAway],Table2[GameDate], "&lt;=" &amp; $A21, Table2[AwayTeam], K$1)+SUMIFS(Table2[NewPointsHome],Table2[GameDate], "&lt;=" &amp; $A21, Table2[HomeTeam], K$1)</f>
        <v>10</v>
      </c>
      <c r="L21" s="145">
        <f>SUMIFS(Table2[NewPointsAway],Table2[GameDate], "&lt;=" &amp; $A21, Table2[AwayTeam], L$1)+SUMIFS(Table2[NewPointsHome],Table2[GameDate], "&lt;=" &amp; $A21, Table2[HomeTeam], L$1)</f>
        <v>7</v>
      </c>
      <c r="M21" s="145">
        <f>SUMIFS(Table2[NewPointsAway],Table2[GameDate], "&lt;=" &amp; $A21, Table2[AwayTeam], M$1)+SUMIFS(Table2[NewPointsHome],Table2[GameDate], "&lt;=" &amp; $A21, Table2[HomeTeam], M$1)</f>
        <v>8</v>
      </c>
      <c r="N21" s="145">
        <f>SUMIFS(Table2[NewPointsAway],Table2[GameDate], "&lt;=" &amp; $A21, Table2[AwayTeam], N$1)+SUMIFS(Table2[NewPointsHome],Table2[GameDate], "&lt;=" &amp; $A21, Table2[HomeTeam], N$1)</f>
        <v>6</v>
      </c>
      <c r="O21" s="145">
        <f>SUMIFS(Table2[NewPointsAway],Table2[GameDate], "&lt;=" &amp; $A21, Table2[AwayTeam], O$1)+SUMIFS(Table2[NewPointsHome],Table2[GameDate], "&lt;=" &amp; $A21, Table2[HomeTeam], O$1)</f>
        <v>7</v>
      </c>
      <c r="P21" s="145">
        <f>SUMIFS(Table2[NewPointsAway],Table2[GameDate], "&lt;=" &amp; $A21, Table2[AwayTeam], P$1)+SUMIFS(Table2[NewPointsHome],Table2[GameDate], "&lt;=" &amp; $A21, Table2[HomeTeam], P$1)</f>
        <v>10</v>
      </c>
      <c r="Q21" s="145">
        <f>SUMIFS(Table2[NewPointsAway],Table2[GameDate], "&lt;=" &amp; $A21, Table2[AwayTeam], Q$1)+SUMIFS(Table2[NewPointsHome],Table2[GameDate], "&lt;=" &amp; $A21, Table2[HomeTeam], Q$1)</f>
        <v>10</v>
      </c>
      <c r="R21" s="145">
        <f>SUMIFS(Table2[NewPointsAway],Table2[GameDate], "&lt;=" &amp; $A21, Table2[AwayTeam], R$1)+SUMIFS(Table2[NewPointsHome],Table2[GameDate], "&lt;=" &amp; $A21, Table2[HomeTeam], R$1)</f>
        <v>6</v>
      </c>
      <c r="S21" s="145">
        <f>SUMIFS(Table2[NewPointsAway],Table2[GameDate], "&lt;=" &amp; $A21, Table2[AwayTeam], S$1)+SUMIFS(Table2[NewPointsHome],Table2[GameDate], "&lt;=" &amp; $A21, Table2[HomeTeam], S$1)</f>
        <v>6</v>
      </c>
      <c r="T21" s="145">
        <f>SUMIFS(Table2[NewPointsAway],Table2[GameDate], "&lt;=" &amp; $A21, Table2[AwayTeam], T$1)+SUMIFS(Table2[NewPointsHome],Table2[GameDate], "&lt;=" &amp; $A21, Table2[HomeTeam], T$1)</f>
        <v>7</v>
      </c>
      <c r="U21" s="145">
        <f>SUMIFS(Table2[NewPointsAway],Table2[GameDate], "&lt;=" &amp; $A21, Table2[AwayTeam], U$1)+SUMIFS(Table2[NewPointsHome],Table2[GameDate], "&lt;=" &amp; $A21, Table2[HomeTeam], U$1)</f>
        <v>5</v>
      </c>
      <c r="V21" s="145">
        <f>SUMIFS(Table2[NewPointsAway],Table2[GameDate], "&lt;=" &amp; $A21, Table2[AwayTeam], V$1)+SUMIFS(Table2[NewPointsHome],Table2[GameDate], "&lt;=" &amp; $A21, Table2[HomeTeam], V$1)</f>
        <v>7</v>
      </c>
      <c r="W21" s="145">
        <f>SUMIFS(Table2[NewPointsAway],Table2[GameDate], "&lt;=" &amp; $A21, Table2[AwayTeam], W$1)+SUMIFS(Table2[NewPointsHome],Table2[GameDate], "&lt;=" &amp; $A21, Table2[HomeTeam], W$1)</f>
        <v>10</v>
      </c>
      <c r="X21" s="145">
        <f>SUMIFS(Table2[NewPointsAway],Table2[GameDate], "&lt;=" &amp; $A21, Table2[AwayTeam], X$1)+SUMIFS(Table2[NewPointsHome],Table2[GameDate], "&lt;=" &amp; $A21, Table2[HomeTeam], X$1)</f>
        <v>8</v>
      </c>
      <c r="Y21" s="145">
        <f>SUMIFS(Table2[NewPointsAway],Table2[GameDate], "&lt;=" &amp; $A21, Table2[AwayTeam], Y$1)+SUMIFS(Table2[NewPointsHome],Table2[GameDate], "&lt;=" &amp; $A21, Table2[HomeTeam], Y$1)</f>
        <v>2</v>
      </c>
      <c r="Z21" s="145">
        <f>SUMIFS(Table2[NewPointsAway],Table2[GameDate], "&lt;=" &amp; $A21, Table2[AwayTeam], Z$1)+SUMIFS(Table2[NewPointsHome],Table2[GameDate], "&lt;=" &amp; $A21, Table2[HomeTeam], Z$1)</f>
        <v>7</v>
      </c>
      <c r="AA21" s="145">
        <f>SUMIFS(Table2[NewPointsAway],Table2[GameDate], "&lt;=" &amp; $A21, Table2[AwayTeam], AA$1)+SUMIFS(Table2[NewPointsHome],Table2[GameDate], "&lt;=" &amp; $A21, Table2[HomeTeam], AA$1)</f>
        <v>4</v>
      </c>
      <c r="AB21" s="145">
        <f>SUMIFS(Table2[NewPointsAway],Table2[GameDate], "&lt;=" &amp; $A21, Table2[AwayTeam], AB$1)+SUMIFS(Table2[NewPointsHome],Table2[GameDate], "&lt;=" &amp; $A21, Table2[HomeTeam], AB$1)</f>
        <v>7</v>
      </c>
      <c r="AC21" s="145">
        <f>SUMIFS(Table2[NewPointsAway],Table2[GameDate], "&lt;=" &amp; $A21, Table2[AwayTeam], AC$1)+SUMIFS(Table2[NewPointsHome],Table2[GameDate], "&lt;=" &amp; $A21, Table2[HomeTeam], AC$1)</f>
        <v>10</v>
      </c>
      <c r="AD21" s="145">
        <f>SUMIFS(Table2[NewPointsAway],Table2[GameDate], "&lt;=" &amp; $A21, Table2[AwayTeam], AD$1)+SUMIFS(Table2[NewPointsHome],Table2[GameDate], "&lt;=" &amp; $A21, Table2[HomeTeam], AD$1)</f>
        <v>8</v>
      </c>
      <c r="AE21" s="145">
        <f>SUMIFS(Table2[NewPointsAway],Table2[GameDate], "&lt;=" &amp; $A21, Table2[AwayTeam], AE$1)+SUMIFS(Table2[NewPointsHome],Table2[GameDate], "&lt;=" &amp; $A21, Table2[HomeTeam], AE$1)</f>
        <v>12</v>
      </c>
      <c r="AF21" s="145">
        <f>SUMIFS(Table2[NewPointsAway],Table2[GameDate], "&lt;=" &amp; $A21, Table2[AwayTeam], AF$1)+SUMIFS(Table2[NewPointsHome],Table2[GameDate], "&lt;=" &amp; $A21, Table2[HomeTeam], AF$1)</f>
        <v>10</v>
      </c>
      <c r="AG21" s="145">
        <f>SUMIFS(Table2[NewPointsAway],Table2[GameDate], "&lt;=" &amp; $A21, Table2[AwayTeam], AG$1)+SUMIFS(Table2[NewPointsHome],Table2[GameDate], "&lt;=" &amp; $A21, Table2[HomeTeam], AG$1)</f>
        <v>10</v>
      </c>
    </row>
    <row r="22" spans="1:33" x14ac:dyDescent="0.25">
      <c r="A22" s="3">
        <v>45953</v>
      </c>
      <c r="B22" s="145">
        <f>SUMIFS(Table2[NewPointsAway],Table2[GameDate], "&lt;=" &amp; $A22, Table2[AwayTeam], B$1)+SUMIFS(Table2[NewPointsHome],Table2[GameDate], "&lt;=" &amp; $A22, Table2[HomeTeam], B$1)</f>
        <v>7</v>
      </c>
      <c r="C22" s="145">
        <f>SUMIFS(Table2[NewPointsAway],Table2[GameDate], "&lt;=" &amp; $A22, Table2[AwayTeam], C$1)+SUMIFS(Table2[NewPointsHome],Table2[GameDate], "&lt;=" &amp; $A22, Table2[HomeTeam], C$1)</f>
        <v>6</v>
      </c>
      <c r="D22" s="145">
        <f>SUMIFS(Table2[NewPointsAway],Table2[GameDate], "&lt;=" &amp; $A22, Table2[AwayTeam], D$1)+SUMIFS(Table2[NewPointsHome],Table2[GameDate], "&lt;=" &amp; $A22, Table2[HomeTeam], D$1)</f>
        <v>4</v>
      </c>
      <c r="E22" s="145">
        <f>SUMIFS(Table2[NewPointsAway],Table2[GameDate], "&lt;=" &amp; $A22, Table2[AwayTeam], E$1)+SUMIFS(Table2[NewPointsHome],Table2[GameDate], "&lt;=" &amp; $A22, Table2[HomeTeam], E$1)</f>
        <v>10</v>
      </c>
      <c r="F22" s="145">
        <f>SUMIFS(Table2[NewPointsAway],Table2[GameDate], "&lt;=" &amp; $A22, Table2[AwayTeam], F$1)+SUMIFS(Table2[NewPointsHome],Table2[GameDate], "&lt;=" &amp; $A22, Table2[HomeTeam], F$1)</f>
        <v>6</v>
      </c>
      <c r="G22" s="145">
        <f>SUMIFS(Table2[NewPointsAway],Table2[GameDate], "&lt;=" &amp; $A22, Table2[AwayTeam], G$1)+SUMIFS(Table2[NewPointsHome],Table2[GameDate], "&lt;=" &amp; $A22, Table2[HomeTeam], G$1)</f>
        <v>2</v>
      </c>
      <c r="H22" s="145">
        <f>SUMIFS(Table2[NewPointsAway],Table2[GameDate], "&lt;=" &amp; $A22, Table2[AwayTeam], H$1)+SUMIFS(Table2[NewPointsHome],Table2[GameDate], "&lt;=" &amp; $A22, Table2[HomeTeam], H$1)</f>
        <v>8</v>
      </c>
      <c r="I22" s="145">
        <f>SUMIFS(Table2[NewPointsAway],Table2[GameDate], "&lt;=" &amp; $A22, Table2[AwayTeam], I$1)+SUMIFS(Table2[NewPointsHome],Table2[GameDate], "&lt;=" &amp; $A22, Table2[HomeTeam], I$1)</f>
        <v>12</v>
      </c>
      <c r="J22" s="145">
        <f>SUMIFS(Table2[NewPointsAway],Table2[GameDate], "&lt;=" &amp; $A22, Table2[AwayTeam], J$1)+SUMIFS(Table2[NewPointsHome],Table2[GameDate], "&lt;=" &amp; $A22, Table2[HomeTeam], J$1)</f>
        <v>6</v>
      </c>
      <c r="K22" s="145">
        <f>SUMIFS(Table2[NewPointsAway],Table2[GameDate], "&lt;=" &amp; $A22, Table2[AwayTeam], K$1)+SUMIFS(Table2[NewPointsHome],Table2[GameDate], "&lt;=" &amp; $A22, Table2[HomeTeam], K$1)</f>
        <v>10</v>
      </c>
      <c r="L22" s="145">
        <f>SUMIFS(Table2[NewPointsAway],Table2[GameDate], "&lt;=" &amp; $A22, Table2[AwayTeam], L$1)+SUMIFS(Table2[NewPointsHome],Table2[GameDate], "&lt;=" &amp; $A22, Table2[HomeTeam], L$1)</f>
        <v>7</v>
      </c>
      <c r="M22" s="145">
        <f>SUMIFS(Table2[NewPointsAway],Table2[GameDate], "&lt;=" &amp; $A22, Table2[AwayTeam], M$1)+SUMIFS(Table2[NewPointsHome],Table2[GameDate], "&lt;=" &amp; $A22, Table2[HomeTeam], M$1)</f>
        <v>8</v>
      </c>
      <c r="N22" s="145">
        <f>SUMIFS(Table2[NewPointsAway],Table2[GameDate], "&lt;=" &amp; $A22, Table2[AwayTeam], N$1)+SUMIFS(Table2[NewPointsHome],Table2[GameDate], "&lt;=" &amp; $A22, Table2[HomeTeam], N$1)</f>
        <v>6</v>
      </c>
      <c r="O22" s="145">
        <f>SUMIFS(Table2[NewPointsAway],Table2[GameDate], "&lt;=" &amp; $A22, Table2[AwayTeam], O$1)+SUMIFS(Table2[NewPointsHome],Table2[GameDate], "&lt;=" &amp; $A22, Table2[HomeTeam], O$1)</f>
        <v>7</v>
      </c>
      <c r="P22" s="145">
        <f>SUMIFS(Table2[NewPointsAway],Table2[GameDate], "&lt;=" &amp; $A22, Table2[AwayTeam], P$1)+SUMIFS(Table2[NewPointsHome],Table2[GameDate], "&lt;=" &amp; $A22, Table2[HomeTeam], P$1)</f>
        <v>10</v>
      </c>
      <c r="Q22" s="145">
        <f>SUMIFS(Table2[NewPointsAway],Table2[GameDate], "&lt;=" &amp; $A22, Table2[AwayTeam], Q$1)+SUMIFS(Table2[NewPointsHome],Table2[GameDate], "&lt;=" &amp; $A22, Table2[HomeTeam], Q$1)</f>
        <v>10</v>
      </c>
      <c r="R22" s="145">
        <f>SUMIFS(Table2[NewPointsAway],Table2[GameDate], "&lt;=" &amp; $A22, Table2[AwayTeam], R$1)+SUMIFS(Table2[NewPointsHome],Table2[GameDate], "&lt;=" &amp; $A22, Table2[HomeTeam], R$1)</f>
        <v>6</v>
      </c>
      <c r="S22" s="145">
        <f>SUMIFS(Table2[NewPointsAway],Table2[GameDate], "&lt;=" &amp; $A22, Table2[AwayTeam], S$1)+SUMIFS(Table2[NewPointsHome],Table2[GameDate], "&lt;=" &amp; $A22, Table2[HomeTeam], S$1)</f>
        <v>6</v>
      </c>
      <c r="T22" s="145">
        <f>SUMIFS(Table2[NewPointsAway],Table2[GameDate], "&lt;=" &amp; $A22, Table2[AwayTeam], T$1)+SUMIFS(Table2[NewPointsHome],Table2[GameDate], "&lt;=" &amp; $A22, Table2[HomeTeam], T$1)</f>
        <v>7</v>
      </c>
      <c r="U22" s="145">
        <f>SUMIFS(Table2[NewPointsAway],Table2[GameDate], "&lt;=" &amp; $A22, Table2[AwayTeam], U$1)+SUMIFS(Table2[NewPointsHome],Table2[GameDate], "&lt;=" &amp; $A22, Table2[HomeTeam], U$1)</f>
        <v>5</v>
      </c>
      <c r="V22" s="145">
        <f>SUMIFS(Table2[NewPointsAway],Table2[GameDate], "&lt;=" &amp; $A22, Table2[AwayTeam], V$1)+SUMIFS(Table2[NewPointsHome],Table2[GameDate], "&lt;=" &amp; $A22, Table2[HomeTeam], V$1)</f>
        <v>7</v>
      </c>
      <c r="W22" s="145">
        <f>SUMIFS(Table2[NewPointsAway],Table2[GameDate], "&lt;=" &amp; $A22, Table2[AwayTeam], W$1)+SUMIFS(Table2[NewPointsHome],Table2[GameDate], "&lt;=" &amp; $A22, Table2[HomeTeam], W$1)</f>
        <v>10</v>
      </c>
      <c r="X22" s="145">
        <f>SUMIFS(Table2[NewPointsAway],Table2[GameDate], "&lt;=" &amp; $A22, Table2[AwayTeam], X$1)+SUMIFS(Table2[NewPointsHome],Table2[GameDate], "&lt;=" &amp; $A22, Table2[HomeTeam], X$1)</f>
        <v>8</v>
      </c>
      <c r="Y22" s="145">
        <f>SUMIFS(Table2[NewPointsAway],Table2[GameDate], "&lt;=" &amp; $A22, Table2[AwayTeam], Y$1)+SUMIFS(Table2[NewPointsHome],Table2[GameDate], "&lt;=" &amp; $A22, Table2[HomeTeam], Y$1)</f>
        <v>2</v>
      </c>
      <c r="Z22" s="145">
        <f>SUMIFS(Table2[NewPointsAway],Table2[GameDate], "&lt;=" &amp; $A22, Table2[AwayTeam], Z$1)+SUMIFS(Table2[NewPointsHome],Table2[GameDate], "&lt;=" &amp; $A22, Table2[HomeTeam], Z$1)</f>
        <v>7</v>
      </c>
      <c r="AA22" s="145">
        <f>SUMIFS(Table2[NewPointsAway],Table2[GameDate], "&lt;=" &amp; $A22, Table2[AwayTeam], AA$1)+SUMIFS(Table2[NewPointsHome],Table2[GameDate], "&lt;=" &amp; $A22, Table2[HomeTeam], AA$1)</f>
        <v>4</v>
      </c>
      <c r="AB22" s="145">
        <f>SUMIFS(Table2[NewPointsAway],Table2[GameDate], "&lt;=" &amp; $A22, Table2[AwayTeam], AB$1)+SUMIFS(Table2[NewPointsHome],Table2[GameDate], "&lt;=" &amp; $A22, Table2[HomeTeam], AB$1)</f>
        <v>7</v>
      </c>
      <c r="AC22" s="145">
        <f>SUMIFS(Table2[NewPointsAway],Table2[GameDate], "&lt;=" &amp; $A22, Table2[AwayTeam], AC$1)+SUMIFS(Table2[NewPointsHome],Table2[GameDate], "&lt;=" &amp; $A22, Table2[HomeTeam], AC$1)</f>
        <v>10</v>
      </c>
      <c r="AD22" s="145">
        <f>SUMIFS(Table2[NewPointsAway],Table2[GameDate], "&lt;=" &amp; $A22, Table2[AwayTeam], AD$1)+SUMIFS(Table2[NewPointsHome],Table2[GameDate], "&lt;=" &amp; $A22, Table2[HomeTeam], AD$1)</f>
        <v>8</v>
      </c>
      <c r="AE22" s="145">
        <f>SUMIFS(Table2[NewPointsAway],Table2[GameDate], "&lt;=" &amp; $A22, Table2[AwayTeam], AE$1)+SUMIFS(Table2[NewPointsHome],Table2[GameDate], "&lt;=" &amp; $A22, Table2[HomeTeam], AE$1)</f>
        <v>12</v>
      </c>
      <c r="AF22" s="145">
        <f>SUMIFS(Table2[NewPointsAway],Table2[GameDate], "&lt;=" &amp; $A22, Table2[AwayTeam], AF$1)+SUMIFS(Table2[NewPointsHome],Table2[GameDate], "&lt;=" &amp; $A22, Table2[HomeTeam], AF$1)</f>
        <v>10</v>
      </c>
      <c r="AG22" s="145">
        <f>SUMIFS(Table2[NewPointsAway],Table2[GameDate], "&lt;=" &amp; $A22, Table2[AwayTeam], AG$1)+SUMIFS(Table2[NewPointsHome],Table2[GameDate], "&lt;=" &amp; $A22, Table2[HomeTeam], AG$1)</f>
        <v>10</v>
      </c>
    </row>
    <row r="23" spans="1:33" x14ac:dyDescent="0.25">
      <c r="A23" s="3">
        <v>45954</v>
      </c>
      <c r="B23" s="145">
        <f>SUMIFS(Table2[NewPointsAway],Table2[GameDate], "&lt;=" &amp; $A23, Table2[AwayTeam], B$1)+SUMIFS(Table2[NewPointsHome],Table2[GameDate], "&lt;=" &amp; $A23, Table2[HomeTeam], B$1)</f>
        <v>7</v>
      </c>
      <c r="C23" s="145">
        <f>SUMIFS(Table2[NewPointsAway],Table2[GameDate], "&lt;=" &amp; $A23, Table2[AwayTeam], C$1)+SUMIFS(Table2[NewPointsHome],Table2[GameDate], "&lt;=" &amp; $A23, Table2[HomeTeam], C$1)</f>
        <v>6</v>
      </c>
      <c r="D23" s="145">
        <f>SUMIFS(Table2[NewPointsAway],Table2[GameDate], "&lt;=" &amp; $A23, Table2[AwayTeam], D$1)+SUMIFS(Table2[NewPointsHome],Table2[GameDate], "&lt;=" &amp; $A23, Table2[HomeTeam], D$1)</f>
        <v>4</v>
      </c>
      <c r="E23" s="145">
        <f>SUMIFS(Table2[NewPointsAway],Table2[GameDate], "&lt;=" &amp; $A23, Table2[AwayTeam], E$1)+SUMIFS(Table2[NewPointsHome],Table2[GameDate], "&lt;=" &amp; $A23, Table2[HomeTeam], E$1)</f>
        <v>10</v>
      </c>
      <c r="F23" s="145">
        <f>SUMIFS(Table2[NewPointsAway],Table2[GameDate], "&lt;=" &amp; $A23, Table2[AwayTeam], F$1)+SUMIFS(Table2[NewPointsHome],Table2[GameDate], "&lt;=" &amp; $A23, Table2[HomeTeam], F$1)</f>
        <v>6</v>
      </c>
      <c r="G23" s="145">
        <f>SUMIFS(Table2[NewPointsAway],Table2[GameDate], "&lt;=" &amp; $A23, Table2[AwayTeam], G$1)+SUMIFS(Table2[NewPointsHome],Table2[GameDate], "&lt;=" &amp; $A23, Table2[HomeTeam], G$1)</f>
        <v>2</v>
      </c>
      <c r="H23" s="145">
        <f>SUMIFS(Table2[NewPointsAway],Table2[GameDate], "&lt;=" &amp; $A23, Table2[AwayTeam], H$1)+SUMIFS(Table2[NewPointsHome],Table2[GameDate], "&lt;=" &amp; $A23, Table2[HomeTeam], H$1)</f>
        <v>8</v>
      </c>
      <c r="I23" s="145">
        <f>SUMIFS(Table2[NewPointsAway],Table2[GameDate], "&lt;=" &amp; $A23, Table2[AwayTeam], I$1)+SUMIFS(Table2[NewPointsHome],Table2[GameDate], "&lt;=" &amp; $A23, Table2[HomeTeam], I$1)</f>
        <v>12</v>
      </c>
      <c r="J23" s="145">
        <f>SUMIFS(Table2[NewPointsAway],Table2[GameDate], "&lt;=" &amp; $A23, Table2[AwayTeam], J$1)+SUMIFS(Table2[NewPointsHome],Table2[GameDate], "&lt;=" &amp; $A23, Table2[HomeTeam], J$1)</f>
        <v>6</v>
      </c>
      <c r="K23" s="145">
        <f>SUMIFS(Table2[NewPointsAway],Table2[GameDate], "&lt;=" &amp; $A23, Table2[AwayTeam], K$1)+SUMIFS(Table2[NewPointsHome],Table2[GameDate], "&lt;=" &amp; $A23, Table2[HomeTeam], K$1)</f>
        <v>10</v>
      </c>
      <c r="L23" s="145">
        <f>SUMIFS(Table2[NewPointsAway],Table2[GameDate], "&lt;=" &amp; $A23, Table2[AwayTeam], L$1)+SUMIFS(Table2[NewPointsHome],Table2[GameDate], "&lt;=" &amp; $A23, Table2[HomeTeam], L$1)</f>
        <v>7</v>
      </c>
      <c r="M23" s="145">
        <f>SUMIFS(Table2[NewPointsAway],Table2[GameDate], "&lt;=" &amp; $A23, Table2[AwayTeam], M$1)+SUMIFS(Table2[NewPointsHome],Table2[GameDate], "&lt;=" &amp; $A23, Table2[HomeTeam], M$1)</f>
        <v>8</v>
      </c>
      <c r="N23" s="145">
        <f>SUMIFS(Table2[NewPointsAway],Table2[GameDate], "&lt;=" &amp; $A23, Table2[AwayTeam], N$1)+SUMIFS(Table2[NewPointsHome],Table2[GameDate], "&lt;=" &amp; $A23, Table2[HomeTeam], N$1)</f>
        <v>6</v>
      </c>
      <c r="O23" s="145">
        <f>SUMIFS(Table2[NewPointsAway],Table2[GameDate], "&lt;=" &amp; $A23, Table2[AwayTeam], O$1)+SUMIFS(Table2[NewPointsHome],Table2[GameDate], "&lt;=" &amp; $A23, Table2[HomeTeam], O$1)</f>
        <v>7</v>
      </c>
      <c r="P23" s="145">
        <f>SUMIFS(Table2[NewPointsAway],Table2[GameDate], "&lt;=" &amp; $A23, Table2[AwayTeam], P$1)+SUMIFS(Table2[NewPointsHome],Table2[GameDate], "&lt;=" &amp; $A23, Table2[HomeTeam], P$1)</f>
        <v>10</v>
      </c>
      <c r="Q23" s="145">
        <f>SUMIFS(Table2[NewPointsAway],Table2[GameDate], "&lt;=" &amp; $A23, Table2[AwayTeam], Q$1)+SUMIFS(Table2[NewPointsHome],Table2[GameDate], "&lt;=" &amp; $A23, Table2[HomeTeam], Q$1)</f>
        <v>10</v>
      </c>
      <c r="R23" s="145">
        <f>SUMIFS(Table2[NewPointsAway],Table2[GameDate], "&lt;=" &amp; $A23, Table2[AwayTeam], R$1)+SUMIFS(Table2[NewPointsHome],Table2[GameDate], "&lt;=" &amp; $A23, Table2[HomeTeam], R$1)</f>
        <v>6</v>
      </c>
      <c r="S23" s="145">
        <f>SUMIFS(Table2[NewPointsAway],Table2[GameDate], "&lt;=" &amp; $A23, Table2[AwayTeam], S$1)+SUMIFS(Table2[NewPointsHome],Table2[GameDate], "&lt;=" &amp; $A23, Table2[HomeTeam], S$1)</f>
        <v>6</v>
      </c>
      <c r="T23" s="145">
        <f>SUMIFS(Table2[NewPointsAway],Table2[GameDate], "&lt;=" &amp; $A23, Table2[AwayTeam], T$1)+SUMIFS(Table2[NewPointsHome],Table2[GameDate], "&lt;=" &amp; $A23, Table2[HomeTeam], T$1)</f>
        <v>7</v>
      </c>
      <c r="U23" s="145">
        <f>SUMIFS(Table2[NewPointsAway],Table2[GameDate], "&lt;=" &amp; $A23, Table2[AwayTeam], U$1)+SUMIFS(Table2[NewPointsHome],Table2[GameDate], "&lt;=" &amp; $A23, Table2[HomeTeam], U$1)</f>
        <v>5</v>
      </c>
      <c r="V23" s="145">
        <f>SUMIFS(Table2[NewPointsAway],Table2[GameDate], "&lt;=" &amp; $A23, Table2[AwayTeam], V$1)+SUMIFS(Table2[NewPointsHome],Table2[GameDate], "&lt;=" &amp; $A23, Table2[HomeTeam], V$1)</f>
        <v>7</v>
      </c>
      <c r="W23" s="145">
        <f>SUMIFS(Table2[NewPointsAway],Table2[GameDate], "&lt;=" &amp; $A23, Table2[AwayTeam], W$1)+SUMIFS(Table2[NewPointsHome],Table2[GameDate], "&lt;=" &amp; $A23, Table2[HomeTeam], W$1)</f>
        <v>10</v>
      </c>
      <c r="X23" s="145">
        <f>SUMIFS(Table2[NewPointsAway],Table2[GameDate], "&lt;=" &amp; $A23, Table2[AwayTeam], X$1)+SUMIFS(Table2[NewPointsHome],Table2[GameDate], "&lt;=" &amp; $A23, Table2[HomeTeam], X$1)</f>
        <v>8</v>
      </c>
      <c r="Y23" s="145">
        <f>SUMIFS(Table2[NewPointsAway],Table2[GameDate], "&lt;=" &amp; $A23, Table2[AwayTeam], Y$1)+SUMIFS(Table2[NewPointsHome],Table2[GameDate], "&lt;=" &amp; $A23, Table2[HomeTeam], Y$1)</f>
        <v>2</v>
      </c>
      <c r="Z23" s="145">
        <f>SUMIFS(Table2[NewPointsAway],Table2[GameDate], "&lt;=" &amp; $A23, Table2[AwayTeam], Z$1)+SUMIFS(Table2[NewPointsHome],Table2[GameDate], "&lt;=" &amp; $A23, Table2[HomeTeam], Z$1)</f>
        <v>7</v>
      </c>
      <c r="AA23" s="145">
        <f>SUMIFS(Table2[NewPointsAway],Table2[GameDate], "&lt;=" &amp; $A23, Table2[AwayTeam], AA$1)+SUMIFS(Table2[NewPointsHome],Table2[GameDate], "&lt;=" &amp; $A23, Table2[HomeTeam], AA$1)</f>
        <v>4</v>
      </c>
      <c r="AB23" s="145">
        <f>SUMIFS(Table2[NewPointsAway],Table2[GameDate], "&lt;=" &amp; $A23, Table2[AwayTeam], AB$1)+SUMIFS(Table2[NewPointsHome],Table2[GameDate], "&lt;=" &amp; $A23, Table2[HomeTeam], AB$1)</f>
        <v>7</v>
      </c>
      <c r="AC23" s="145">
        <f>SUMIFS(Table2[NewPointsAway],Table2[GameDate], "&lt;=" &amp; $A23, Table2[AwayTeam], AC$1)+SUMIFS(Table2[NewPointsHome],Table2[GameDate], "&lt;=" &amp; $A23, Table2[HomeTeam], AC$1)</f>
        <v>10</v>
      </c>
      <c r="AD23" s="145">
        <f>SUMIFS(Table2[NewPointsAway],Table2[GameDate], "&lt;=" &amp; $A23, Table2[AwayTeam], AD$1)+SUMIFS(Table2[NewPointsHome],Table2[GameDate], "&lt;=" &amp; $A23, Table2[HomeTeam], AD$1)</f>
        <v>8</v>
      </c>
      <c r="AE23" s="145">
        <f>SUMIFS(Table2[NewPointsAway],Table2[GameDate], "&lt;=" &amp; $A23, Table2[AwayTeam], AE$1)+SUMIFS(Table2[NewPointsHome],Table2[GameDate], "&lt;=" &amp; $A23, Table2[HomeTeam], AE$1)</f>
        <v>12</v>
      </c>
      <c r="AF23" s="145">
        <f>SUMIFS(Table2[NewPointsAway],Table2[GameDate], "&lt;=" &amp; $A23, Table2[AwayTeam], AF$1)+SUMIFS(Table2[NewPointsHome],Table2[GameDate], "&lt;=" &amp; $A23, Table2[HomeTeam], AF$1)</f>
        <v>10</v>
      </c>
      <c r="AG23" s="145">
        <f>SUMIFS(Table2[NewPointsAway],Table2[GameDate], "&lt;=" &amp; $A23, Table2[AwayTeam], AG$1)+SUMIFS(Table2[NewPointsHome],Table2[GameDate], "&lt;=" &amp; $A23, Table2[HomeTeam], AG$1)</f>
        <v>10</v>
      </c>
    </row>
    <row r="24" spans="1:33" x14ac:dyDescent="0.25">
      <c r="A24" s="3">
        <v>45955</v>
      </c>
      <c r="B24" s="145">
        <f>SUMIFS(Table2[NewPointsAway],Table2[GameDate], "&lt;=" &amp; $A24, Table2[AwayTeam], B$1)+SUMIFS(Table2[NewPointsHome],Table2[GameDate], "&lt;=" &amp; $A24, Table2[HomeTeam], B$1)</f>
        <v>7</v>
      </c>
      <c r="C24" s="145">
        <f>SUMIFS(Table2[NewPointsAway],Table2[GameDate], "&lt;=" &amp; $A24, Table2[AwayTeam], C$1)+SUMIFS(Table2[NewPointsHome],Table2[GameDate], "&lt;=" &amp; $A24, Table2[HomeTeam], C$1)</f>
        <v>6</v>
      </c>
      <c r="D24" s="145">
        <f>SUMIFS(Table2[NewPointsAway],Table2[GameDate], "&lt;=" &amp; $A24, Table2[AwayTeam], D$1)+SUMIFS(Table2[NewPointsHome],Table2[GameDate], "&lt;=" &amp; $A24, Table2[HomeTeam], D$1)</f>
        <v>4</v>
      </c>
      <c r="E24" s="145">
        <f>SUMIFS(Table2[NewPointsAway],Table2[GameDate], "&lt;=" &amp; $A24, Table2[AwayTeam], E$1)+SUMIFS(Table2[NewPointsHome],Table2[GameDate], "&lt;=" &amp; $A24, Table2[HomeTeam], E$1)</f>
        <v>10</v>
      </c>
      <c r="F24" s="145">
        <f>SUMIFS(Table2[NewPointsAway],Table2[GameDate], "&lt;=" &amp; $A24, Table2[AwayTeam], F$1)+SUMIFS(Table2[NewPointsHome],Table2[GameDate], "&lt;=" &amp; $A24, Table2[HomeTeam], F$1)</f>
        <v>6</v>
      </c>
      <c r="G24" s="145">
        <f>SUMIFS(Table2[NewPointsAway],Table2[GameDate], "&lt;=" &amp; $A24, Table2[AwayTeam], G$1)+SUMIFS(Table2[NewPointsHome],Table2[GameDate], "&lt;=" &amp; $A24, Table2[HomeTeam], G$1)</f>
        <v>2</v>
      </c>
      <c r="H24" s="145">
        <f>SUMIFS(Table2[NewPointsAway],Table2[GameDate], "&lt;=" &amp; $A24, Table2[AwayTeam], H$1)+SUMIFS(Table2[NewPointsHome],Table2[GameDate], "&lt;=" &amp; $A24, Table2[HomeTeam], H$1)</f>
        <v>8</v>
      </c>
      <c r="I24" s="145">
        <f>SUMIFS(Table2[NewPointsAway],Table2[GameDate], "&lt;=" &amp; $A24, Table2[AwayTeam], I$1)+SUMIFS(Table2[NewPointsHome],Table2[GameDate], "&lt;=" &amp; $A24, Table2[HomeTeam], I$1)</f>
        <v>12</v>
      </c>
      <c r="J24" s="145">
        <f>SUMIFS(Table2[NewPointsAway],Table2[GameDate], "&lt;=" &amp; $A24, Table2[AwayTeam], J$1)+SUMIFS(Table2[NewPointsHome],Table2[GameDate], "&lt;=" &amp; $A24, Table2[HomeTeam], J$1)</f>
        <v>6</v>
      </c>
      <c r="K24" s="145">
        <f>SUMIFS(Table2[NewPointsAway],Table2[GameDate], "&lt;=" &amp; $A24, Table2[AwayTeam], K$1)+SUMIFS(Table2[NewPointsHome],Table2[GameDate], "&lt;=" &amp; $A24, Table2[HomeTeam], K$1)</f>
        <v>10</v>
      </c>
      <c r="L24" s="145">
        <f>SUMIFS(Table2[NewPointsAway],Table2[GameDate], "&lt;=" &amp; $A24, Table2[AwayTeam], L$1)+SUMIFS(Table2[NewPointsHome],Table2[GameDate], "&lt;=" &amp; $A24, Table2[HomeTeam], L$1)</f>
        <v>7</v>
      </c>
      <c r="M24" s="145">
        <f>SUMIFS(Table2[NewPointsAway],Table2[GameDate], "&lt;=" &amp; $A24, Table2[AwayTeam], M$1)+SUMIFS(Table2[NewPointsHome],Table2[GameDate], "&lt;=" &amp; $A24, Table2[HomeTeam], M$1)</f>
        <v>8</v>
      </c>
      <c r="N24" s="145">
        <f>SUMIFS(Table2[NewPointsAway],Table2[GameDate], "&lt;=" &amp; $A24, Table2[AwayTeam], N$1)+SUMIFS(Table2[NewPointsHome],Table2[GameDate], "&lt;=" &amp; $A24, Table2[HomeTeam], N$1)</f>
        <v>6</v>
      </c>
      <c r="O24" s="145">
        <f>SUMIFS(Table2[NewPointsAway],Table2[GameDate], "&lt;=" &amp; $A24, Table2[AwayTeam], O$1)+SUMIFS(Table2[NewPointsHome],Table2[GameDate], "&lt;=" &amp; $A24, Table2[HomeTeam], O$1)</f>
        <v>7</v>
      </c>
      <c r="P24" s="145">
        <f>SUMIFS(Table2[NewPointsAway],Table2[GameDate], "&lt;=" &amp; $A24, Table2[AwayTeam], P$1)+SUMIFS(Table2[NewPointsHome],Table2[GameDate], "&lt;=" &amp; $A24, Table2[HomeTeam], P$1)</f>
        <v>10</v>
      </c>
      <c r="Q24" s="145">
        <f>SUMIFS(Table2[NewPointsAway],Table2[GameDate], "&lt;=" &amp; $A24, Table2[AwayTeam], Q$1)+SUMIFS(Table2[NewPointsHome],Table2[GameDate], "&lt;=" &amp; $A24, Table2[HomeTeam], Q$1)</f>
        <v>10</v>
      </c>
      <c r="R24" s="145">
        <f>SUMIFS(Table2[NewPointsAway],Table2[GameDate], "&lt;=" &amp; $A24, Table2[AwayTeam], R$1)+SUMIFS(Table2[NewPointsHome],Table2[GameDate], "&lt;=" &amp; $A24, Table2[HomeTeam], R$1)</f>
        <v>6</v>
      </c>
      <c r="S24" s="145">
        <f>SUMIFS(Table2[NewPointsAway],Table2[GameDate], "&lt;=" &amp; $A24, Table2[AwayTeam], S$1)+SUMIFS(Table2[NewPointsHome],Table2[GameDate], "&lt;=" &amp; $A24, Table2[HomeTeam], S$1)</f>
        <v>6</v>
      </c>
      <c r="T24" s="145">
        <f>SUMIFS(Table2[NewPointsAway],Table2[GameDate], "&lt;=" &amp; $A24, Table2[AwayTeam], T$1)+SUMIFS(Table2[NewPointsHome],Table2[GameDate], "&lt;=" &amp; $A24, Table2[HomeTeam], T$1)</f>
        <v>7</v>
      </c>
      <c r="U24" s="145">
        <f>SUMIFS(Table2[NewPointsAway],Table2[GameDate], "&lt;=" &amp; $A24, Table2[AwayTeam], U$1)+SUMIFS(Table2[NewPointsHome],Table2[GameDate], "&lt;=" &amp; $A24, Table2[HomeTeam], U$1)</f>
        <v>5</v>
      </c>
      <c r="V24" s="145">
        <f>SUMIFS(Table2[NewPointsAway],Table2[GameDate], "&lt;=" &amp; $A24, Table2[AwayTeam], V$1)+SUMIFS(Table2[NewPointsHome],Table2[GameDate], "&lt;=" &amp; $A24, Table2[HomeTeam], V$1)</f>
        <v>7</v>
      </c>
      <c r="W24" s="145">
        <f>SUMIFS(Table2[NewPointsAway],Table2[GameDate], "&lt;=" &amp; $A24, Table2[AwayTeam], W$1)+SUMIFS(Table2[NewPointsHome],Table2[GameDate], "&lt;=" &amp; $A24, Table2[HomeTeam], W$1)</f>
        <v>10</v>
      </c>
      <c r="X24" s="145">
        <f>SUMIFS(Table2[NewPointsAway],Table2[GameDate], "&lt;=" &amp; $A24, Table2[AwayTeam], X$1)+SUMIFS(Table2[NewPointsHome],Table2[GameDate], "&lt;=" &amp; $A24, Table2[HomeTeam], X$1)</f>
        <v>8</v>
      </c>
      <c r="Y24" s="145">
        <f>SUMIFS(Table2[NewPointsAway],Table2[GameDate], "&lt;=" &amp; $A24, Table2[AwayTeam], Y$1)+SUMIFS(Table2[NewPointsHome],Table2[GameDate], "&lt;=" &amp; $A24, Table2[HomeTeam], Y$1)</f>
        <v>2</v>
      </c>
      <c r="Z24" s="145">
        <f>SUMIFS(Table2[NewPointsAway],Table2[GameDate], "&lt;=" &amp; $A24, Table2[AwayTeam], Z$1)+SUMIFS(Table2[NewPointsHome],Table2[GameDate], "&lt;=" &amp; $A24, Table2[HomeTeam], Z$1)</f>
        <v>7</v>
      </c>
      <c r="AA24" s="145">
        <f>SUMIFS(Table2[NewPointsAway],Table2[GameDate], "&lt;=" &amp; $A24, Table2[AwayTeam], AA$1)+SUMIFS(Table2[NewPointsHome],Table2[GameDate], "&lt;=" &amp; $A24, Table2[HomeTeam], AA$1)</f>
        <v>4</v>
      </c>
      <c r="AB24" s="145">
        <f>SUMIFS(Table2[NewPointsAway],Table2[GameDate], "&lt;=" &amp; $A24, Table2[AwayTeam], AB$1)+SUMIFS(Table2[NewPointsHome],Table2[GameDate], "&lt;=" &amp; $A24, Table2[HomeTeam], AB$1)</f>
        <v>7</v>
      </c>
      <c r="AC24" s="145">
        <f>SUMIFS(Table2[NewPointsAway],Table2[GameDate], "&lt;=" &amp; $A24, Table2[AwayTeam], AC$1)+SUMIFS(Table2[NewPointsHome],Table2[GameDate], "&lt;=" &amp; $A24, Table2[HomeTeam], AC$1)</f>
        <v>10</v>
      </c>
      <c r="AD24" s="145">
        <f>SUMIFS(Table2[NewPointsAway],Table2[GameDate], "&lt;=" &amp; $A24, Table2[AwayTeam], AD$1)+SUMIFS(Table2[NewPointsHome],Table2[GameDate], "&lt;=" &amp; $A24, Table2[HomeTeam], AD$1)</f>
        <v>8</v>
      </c>
      <c r="AE24" s="145">
        <f>SUMIFS(Table2[NewPointsAway],Table2[GameDate], "&lt;=" &amp; $A24, Table2[AwayTeam], AE$1)+SUMIFS(Table2[NewPointsHome],Table2[GameDate], "&lt;=" &amp; $A24, Table2[HomeTeam], AE$1)</f>
        <v>12</v>
      </c>
      <c r="AF24" s="145">
        <f>SUMIFS(Table2[NewPointsAway],Table2[GameDate], "&lt;=" &amp; $A24, Table2[AwayTeam], AF$1)+SUMIFS(Table2[NewPointsHome],Table2[GameDate], "&lt;=" &amp; $A24, Table2[HomeTeam], AF$1)</f>
        <v>10</v>
      </c>
      <c r="AG24" s="145">
        <f>SUMIFS(Table2[NewPointsAway],Table2[GameDate], "&lt;=" &amp; $A24, Table2[AwayTeam], AG$1)+SUMIFS(Table2[NewPointsHome],Table2[GameDate], "&lt;=" &amp; $A24, Table2[HomeTeam], AG$1)</f>
        <v>10</v>
      </c>
    </row>
    <row r="25" spans="1:33" x14ac:dyDescent="0.25">
      <c r="A25" s="3">
        <v>45956</v>
      </c>
      <c r="B25" s="145">
        <f>SUMIFS(Table2[NewPointsAway],Table2[GameDate], "&lt;=" &amp; $A25, Table2[AwayTeam], B$1)+SUMIFS(Table2[NewPointsHome],Table2[GameDate], "&lt;=" &amp; $A25, Table2[HomeTeam], B$1)</f>
        <v>7</v>
      </c>
      <c r="C25" s="145">
        <f>SUMIFS(Table2[NewPointsAway],Table2[GameDate], "&lt;=" &amp; $A25, Table2[AwayTeam], C$1)+SUMIFS(Table2[NewPointsHome],Table2[GameDate], "&lt;=" &amp; $A25, Table2[HomeTeam], C$1)</f>
        <v>6</v>
      </c>
      <c r="D25" s="145">
        <f>SUMIFS(Table2[NewPointsAway],Table2[GameDate], "&lt;=" &amp; $A25, Table2[AwayTeam], D$1)+SUMIFS(Table2[NewPointsHome],Table2[GameDate], "&lt;=" &amp; $A25, Table2[HomeTeam], D$1)</f>
        <v>4</v>
      </c>
      <c r="E25" s="145">
        <f>SUMIFS(Table2[NewPointsAway],Table2[GameDate], "&lt;=" &amp; $A25, Table2[AwayTeam], E$1)+SUMIFS(Table2[NewPointsHome],Table2[GameDate], "&lt;=" &amp; $A25, Table2[HomeTeam], E$1)</f>
        <v>10</v>
      </c>
      <c r="F25" s="145">
        <f>SUMIFS(Table2[NewPointsAway],Table2[GameDate], "&lt;=" &amp; $A25, Table2[AwayTeam], F$1)+SUMIFS(Table2[NewPointsHome],Table2[GameDate], "&lt;=" &amp; $A25, Table2[HomeTeam], F$1)</f>
        <v>6</v>
      </c>
      <c r="G25" s="145">
        <f>SUMIFS(Table2[NewPointsAway],Table2[GameDate], "&lt;=" &amp; $A25, Table2[AwayTeam], G$1)+SUMIFS(Table2[NewPointsHome],Table2[GameDate], "&lt;=" &amp; $A25, Table2[HomeTeam], G$1)</f>
        <v>2</v>
      </c>
      <c r="H25" s="145">
        <f>SUMIFS(Table2[NewPointsAway],Table2[GameDate], "&lt;=" &amp; $A25, Table2[AwayTeam], H$1)+SUMIFS(Table2[NewPointsHome],Table2[GameDate], "&lt;=" &amp; $A25, Table2[HomeTeam], H$1)</f>
        <v>8</v>
      </c>
      <c r="I25" s="145">
        <f>SUMIFS(Table2[NewPointsAway],Table2[GameDate], "&lt;=" &amp; $A25, Table2[AwayTeam], I$1)+SUMIFS(Table2[NewPointsHome],Table2[GameDate], "&lt;=" &amp; $A25, Table2[HomeTeam], I$1)</f>
        <v>12</v>
      </c>
      <c r="J25" s="145">
        <f>SUMIFS(Table2[NewPointsAway],Table2[GameDate], "&lt;=" &amp; $A25, Table2[AwayTeam], J$1)+SUMIFS(Table2[NewPointsHome],Table2[GameDate], "&lt;=" &amp; $A25, Table2[HomeTeam], J$1)</f>
        <v>6</v>
      </c>
      <c r="K25" s="145">
        <f>SUMIFS(Table2[NewPointsAway],Table2[GameDate], "&lt;=" &amp; $A25, Table2[AwayTeam], K$1)+SUMIFS(Table2[NewPointsHome],Table2[GameDate], "&lt;=" &amp; $A25, Table2[HomeTeam], K$1)</f>
        <v>10</v>
      </c>
      <c r="L25" s="145">
        <f>SUMIFS(Table2[NewPointsAway],Table2[GameDate], "&lt;=" &amp; $A25, Table2[AwayTeam], L$1)+SUMIFS(Table2[NewPointsHome],Table2[GameDate], "&lt;=" &amp; $A25, Table2[HomeTeam], L$1)</f>
        <v>7</v>
      </c>
      <c r="M25" s="145">
        <f>SUMIFS(Table2[NewPointsAway],Table2[GameDate], "&lt;=" &amp; $A25, Table2[AwayTeam], M$1)+SUMIFS(Table2[NewPointsHome],Table2[GameDate], "&lt;=" &amp; $A25, Table2[HomeTeam], M$1)</f>
        <v>8</v>
      </c>
      <c r="N25" s="145">
        <f>SUMIFS(Table2[NewPointsAway],Table2[GameDate], "&lt;=" &amp; $A25, Table2[AwayTeam], N$1)+SUMIFS(Table2[NewPointsHome],Table2[GameDate], "&lt;=" &amp; $A25, Table2[HomeTeam], N$1)</f>
        <v>6</v>
      </c>
      <c r="O25" s="145">
        <f>SUMIFS(Table2[NewPointsAway],Table2[GameDate], "&lt;=" &amp; $A25, Table2[AwayTeam], O$1)+SUMIFS(Table2[NewPointsHome],Table2[GameDate], "&lt;=" &amp; $A25, Table2[HomeTeam], O$1)</f>
        <v>7</v>
      </c>
      <c r="P25" s="145">
        <f>SUMIFS(Table2[NewPointsAway],Table2[GameDate], "&lt;=" &amp; $A25, Table2[AwayTeam], P$1)+SUMIFS(Table2[NewPointsHome],Table2[GameDate], "&lt;=" &amp; $A25, Table2[HomeTeam], P$1)</f>
        <v>10</v>
      </c>
      <c r="Q25" s="145">
        <f>SUMIFS(Table2[NewPointsAway],Table2[GameDate], "&lt;=" &amp; $A25, Table2[AwayTeam], Q$1)+SUMIFS(Table2[NewPointsHome],Table2[GameDate], "&lt;=" &amp; $A25, Table2[HomeTeam], Q$1)</f>
        <v>10</v>
      </c>
      <c r="R25" s="145">
        <f>SUMIFS(Table2[NewPointsAway],Table2[GameDate], "&lt;=" &amp; $A25, Table2[AwayTeam], R$1)+SUMIFS(Table2[NewPointsHome],Table2[GameDate], "&lt;=" &amp; $A25, Table2[HomeTeam], R$1)</f>
        <v>6</v>
      </c>
      <c r="S25" s="145">
        <f>SUMIFS(Table2[NewPointsAway],Table2[GameDate], "&lt;=" &amp; $A25, Table2[AwayTeam], S$1)+SUMIFS(Table2[NewPointsHome],Table2[GameDate], "&lt;=" &amp; $A25, Table2[HomeTeam], S$1)</f>
        <v>6</v>
      </c>
      <c r="T25" s="145">
        <f>SUMIFS(Table2[NewPointsAway],Table2[GameDate], "&lt;=" &amp; $A25, Table2[AwayTeam], T$1)+SUMIFS(Table2[NewPointsHome],Table2[GameDate], "&lt;=" &amp; $A25, Table2[HomeTeam], T$1)</f>
        <v>7</v>
      </c>
      <c r="U25" s="145">
        <f>SUMIFS(Table2[NewPointsAway],Table2[GameDate], "&lt;=" &amp; $A25, Table2[AwayTeam], U$1)+SUMIFS(Table2[NewPointsHome],Table2[GameDate], "&lt;=" &amp; $A25, Table2[HomeTeam], U$1)</f>
        <v>5</v>
      </c>
      <c r="V25" s="145">
        <f>SUMIFS(Table2[NewPointsAway],Table2[GameDate], "&lt;=" &amp; $A25, Table2[AwayTeam], V$1)+SUMIFS(Table2[NewPointsHome],Table2[GameDate], "&lt;=" &amp; $A25, Table2[HomeTeam], V$1)</f>
        <v>7</v>
      </c>
      <c r="W25" s="145">
        <f>SUMIFS(Table2[NewPointsAway],Table2[GameDate], "&lt;=" &amp; $A25, Table2[AwayTeam], W$1)+SUMIFS(Table2[NewPointsHome],Table2[GameDate], "&lt;=" &amp; $A25, Table2[HomeTeam], W$1)</f>
        <v>10</v>
      </c>
      <c r="X25" s="145">
        <f>SUMIFS(Table2[NewPointsAway],Table2[GameDate], "&lt;=" &amp; $A25, Table2[AwayTeam], X$1)+SUMIFS(Table2[NewPointsHome],Table2[GameDate], "&lt;=" &amp; $A25, Table2[HomeTeam], X$1)</f>
        <v>8</v>
      </c>
      <c r="Y25" s="145">
        <f>SUMIFS(Table2[NewPointsAway],Table2[GameDate], "&lt;=" &amp; $A25, Table2[AwayTeam], Y$1)+SUMIFS(Table2[NewPointsHome],Table2[GameDate], "&lt;=" &amp; $A25, Table2[HomeTeam], Y$1)</f>
        <v>2</v>
      </c>
      <c r="Z25" s="145">
        <f>SUMIFS(Table2[NewPointsAway],Table2[GameDate], "&lt;=" &amp; $A25, Table2[AwayTeam], Z$1)+SUMIFS(Table2[NewPointsHome],Table2[GameDate], "&lt;=" &amp; $A25, Table2[HomeTeam], Z$1)</f>
        <v>7</v>
      </c>
      <c r="AA25" s="145">
        <f>SUMIFS(Table2[NewPointsAway],Table2[GameDate], "&lt;=" &amp; $A25, Table2[AwayTeam], AA$1)+SUMIFS(Table2[NewPointsHome],Table2[GameDate], "&lt;=" &amp; $A25, Table2[HomeTeam], AA$1)</f>
        <v>4</v>
      </c>
      <c r="AB25" s="145">
        <f>SUMIFS(Table2[NewPointsAway],Table2[GameDate], "&lt;=" &amp; $A25, Table2[AwayTeam], AB$1)+SUMIFS(Table2[NewPointsHome],Table2[GameDate], "&lt;=" &amp; $A25, Table2[HomeTeam], AB$1)</f>
        <v>7</v>
      </c>
      <c r="AC25" s="145">
        <f>SUMIFS(Table2[NewPointsAway],Table2[GameDate], "&lt;=" &amp; $A25, Table2[AwayTeam], AC$1)+SUMIFS(Table2[NewPointsHome],Table2[GameDate], "&lt;=" &amp; $A25, Table2[HomeTeam], AC$1)</f>
        <v>10</v>
      </c>
      <c r="AD25" s="145">
        <f>SUMIFS(Table2[NewPointsAway],Table2[GameDate], "&lt;=" &amp; $A25, Table2[AwayTeam], AD$1)+SUMIFS(Table2[NewPointsHome],Table2[GameDate], "&lt;=" &amp; $A25, Table2[HomeTeam], AD$1)</f>
        <v>8</v>
      </c>
      <c r="AE25" s="145">
        <f>SUMIFS(Table2[NewPointsAway],Table2[GameDate], "&lt;=" &amp; $A25, Table2[AwayTeam], AE$1)+SUMIFS(Table2[NewPointsHome],Table2[GameDate], "&lt;=" &amp; $A25, Table2[HomeTeam], AE$1)</f>
        <v>12</v>
      </c>
      <c r="AF25" s="145">
        <f>SUMIFS(Table2[NewPointsAway],Table2[GameDate], "&lt;=" &amp; $A25, Table2[AwayTeam], AF$1)+SUMIFS(Table2[NewPointsHome],Table2[GameDate], "&lt;=" &amp; $A25, Table2[HomeTeam], AF$1)</f>
        <v>10</v>
      </c>
      <c r="AG25" s="145">
        <f>SUMIFS(Table2[NewPointsAway],Table2[GameDate], "&lt;=" &amp; $A25, Table2[AwayTeam], AG$1)+SUMIFS(Table2[NewPointsHome],Table2[GameDate], "&lt;=" &amp; $A25, Table2[HomeTeam], AG$1)</f>
        <v>10</v>
      </c>
    </row>
    <row r="26" spans="1:33" x14ac:dyDescent="0.25">
      <c r="A26" s="3">
        <v>45957</v>
      </c>
      <c r="B26" s="145">
        <f>SUMIFS(Table2[NewPointsAway],Table2[GameDate], "&lt;=" &amp; $A26, Table2[AwayTeam], B$1)+SUMIFS(Table2[NewPointsHome],Table2[GameDate], "&lt;=" &amp; $A26, Table2[HomeTeam], B$1)</f>
        <v>7</v>
      </c>
      <c r="C26" s="145">
        <f>SUMIFS(Table2[NewPointsAway],Table2[GameDate], "&lt;=" &amp; $A26, Table2[AwayTeam], C$1)+SUMIFS(Table2[NewPointsHome],Table2[GameDate], "&lt;=" &amp; $A26, Table2[HomeTeam], C$1)</f>
        <v>6</v>
      </c>
      <c r="D26" s="145">
        <f>SUMIFS(Table2[NewPointsAway],Table2[GameDate], "&lt;=" &amp; $A26, Table2[AwayTeam], D$1)+SUMIFS(Table2[NewPointsHome],Table2[GameDate], "&lt;=" &amp; $A26, Table2[HomeTeam], D$1)</f>
        <v>4</v>
      </c>
      <c r="E26" s="145">
        <f>SUMIFS(Table2[NewPointsAway],Table2[GameDate], "&lt;=" &amp; $A26, Table2[AwayTeam], E$1)+SUMIFS(Table2[NewPointsHome],Table2[GameDate], "&lt;=" &amp; $A26, Table2[HomeTeam], E$1)</f>
        <v>10</v>
      </c>
      <c r="F26" s="145">
        <f>SUMIFS(Table2[NewPointsAway],Table2[GameDate], "&lt;=" &amp; $A26, Table2[AwayTeam], F$1)+SUMIFS(Table2[NewPointsHome],Table2[GameDate], "&lt;=" &amp; $A26, Table2[HomeTeam], F$1)</f>
        <v>6</v>
      </c>
      <c r="G26" s="145">
        <f>SUMIFS(Table2[NewPointsAway],Table2[GameDate], "&lt;=" &amp; $A26, Table2[AwayTeam], G$1)+SUMIFS(Table2[NewPointsHome],Table2[GameDate], "&lt;=" &amp; $A26, Table2[HomeTeam], G$1)</f>
        <v>2</v>
      </c>
      <c r="H26" s="145">
        <f>SUMIFS(Table2[NewPointsAway],Table2[GameDate], "&lt;=" &amp; $A26, Table2[AwayTeam], H$1)+SUMIFS(Table2[NewPointsHome],Table2[GameDate], "&lt;=" &amp; $A26, Table2[HomeTeam], H$1)</f>
        <v>8</v>
      </c>
      <c r="I26" s="145">
        <f>SUMIFS(Table2[NewPointsAway],Table2[GameDate], "&lt;=" &amp; $A26, Table2[AwayTeam], I$1)+SUMIFS(Table2[NewPointsHome],Table2[GameDate], "&lt;=" &amp; $A26, Table2[HomeTeam], I$1)</f>
        <v>12</v>
      </c>
      <c r="J26" s="145">
        <f>SUMIFS(Table2[NewPointsAway],Table2[GameDate], "&lt;=" &amp; $A26, Table2[AwayTeam], J$1)+SUMIFS(Table2[NewPointsHome],Table2[GameDate], "&lt;=" &amp; $A26, Table2[HomeTeam], J$1)</f>
        <v>6</v>
      </c>
      <c r="K26" s="145">
        <f>SUMIFS(Table2[NewPointsAway],Table2[GameDate], "&lt;=" &amp; $A26, Table2[AwayTeam], K$1)+SUMIFS(Table2[NewPointsHome],Table2[GameDate], "&lt;=" &amp; $A26, Table2[HomeTeam], K$1)</f>
        <v>10</v>
      </c>
      <c r="L26" s="145">
        <f>SUMIFS(Table2[NewPointsAway],Table2[GameDate], "&lt;=" &amp; $A26, Table2[AwayTeam], L$1)+SUMIFS(Table2[NewPointsHome],Table2[GameDate], "&lt;=" &amp; $A26, Table2[HomeTeam], L$1)</f>
        <v>7</v>
      </c>
      <c r="M26" s="145">
        <f>SUMIFS(Table2[NewPointsAway],Table2[GameDate], "&lt;=" &amp; $A26, Table2[AwayTeam], M$1)+SUMIFS(Table2[NewPointsHome],Table2[GameDate], "&lt;=" &amp; $A26, Table2[HomeTeam], M$1)</f>
        <v>8</v>
      </c>
      <c r="N26" s="145">
        <f>SUMIFS(Table2[NewPointsAway],Table2[GameDate], "&lt;=" &amp; $A26, Table2[AwayTeam], N$1)+SUMIFS(Table2[NewPointsHome],Table2[GameDate], "&lt;=" &amp; $A26, Table2[HomeTeam], N$1)</f>
        <v>6</v>
      </c>
      <c r="O26" s="145">
        <f>SUMIFS(Table2[NewPointsAway],Table2[GameDate], "&lt;=" &amp; $A26, Table2[AwayTeam], O$1)+SUMIFS(Table2[NewPointsHome],Table2[GameDate], "&lt;=" &amp; $A26, Table2[HomeTeam], O$1)</f>
        <v>7</v>
      </c>
      <c r="P26" s="145">
        <f>SUMIFS(Table2[NewPointsAway],Table2[GameDate], "&lt;=" &amp; $A26, Table2[AwayTeam], P$1)+SUMIFS(Table2[NewPointsHome],Table2[GameDate], "&lt;=" &amp; $A26, Table2[HomeTeam], P$1)</f>
        <v>10</v>
      </c>
      <c r="Q26" s="145">
        <f>SUMIFS(Table2[NewPointsAway],Table2[GameDate], "&lt;=" &amp; $A26, Table2[AwayTeam], Q$1)+SUMIFS(Table2[NewPointsHome],Table2[GameDate], "&lt;=" &amp; $A26, Table2[HomeTeam], Q$1)</f>
        <v>10</v>
      </c>
      <c r="R26" s="145">
        <f>SUMIFS(Table2[NewPointsAway],Table2[GameDate], "&lt;=" &amp; $A26, Table2[AwayTeam], R$1)+SUMIFS(Table2[NewPointsHome],Table2[GameDate], "&lt;=" &amp; $A26, Table2[HomeTeam], R$1)</f>
        <v>6</v>
      </c>
      <c r="S26" s="145">
        <f>SUMIFS(Table2[NewPointsAway],Table2[GameDate], "&lt;=" &amp; $A26, Table2[AwayTeam], S$1)+SUMIFS(Table2[NewPointsHome],Table2[GameDate], "&lt;=" &amp; $A26, Table2[HomeTeam], S$1)</f>
        <v>6</v>
      </c>
      <c r="T26" s="145">
        <f>SUMIFS(Table2[NewPointsAway],Table2[GameDate], "&lt;=" &amp; $A26, Table2[AwayTeam], T$1)+SUMIFS(Table2[NewPointsHome],Table2[GameDate], "&lt;=" &amp; $A26, Table2[HomeTeam], T$1)</f>
        <v>7</v>
      </c>
      <c r="U26" s="145">
        <f>SUMIFS(Table2[NewPointsAway],Table2[GameDate], "&lt;=" &amp; $A26, Table2[AwayTeam], U$1)+SUMIFS(Table2[NewPointsHome],Table2[GameDate], "&lt;=" &amp; $A26, Table2[HomeTeam], U$1)</f>
        <v>5</v>
      </c>
      <c r="V26" s="145">
        <f>SUMIFS(Table2[NewPointsAway],Table2[GameDate], "&lt;=" &amp; $A26, Table2[AwayTeam], V$1)+SUMIFS(Table2[NewPointsHome],Table2[GameDate], "&lt;=" &amp; $A26, Table2[HomeTeam], V$1)</f>
        <v>7</v>
      </c>
      <c r="W26" s="145">
        <f>SUMIFS(Table2[NewPointsAway],Table2[GameDate], "&lt;=" &amp; $A26, Table2[AwayTeam], W$1)+SUMIFS(Table2[NewPointsHome],Table2[GameDate], "&lt;=" &amp; $A26, Table2[HomeTeam], W$1)</f>
        <v>10</v>
      </c>
      <c r="X26" s="145">
        <f>SUMIFS(Table2[NewPointsAway],Table2[GameDate], "&lt;=" &amp; $A26, Table2[AwayTeam], X$1)+SUMIFS(Table2[NewPointsHome],Table2[GameDate], "&lt;=" &amp; $A26, Table2[HomeTeam], X$1)</f>
        <v>8</v>
      </c>
      <c r="Y26" s="145">
        <f>SUMIFS(Table2[NewPointsAway],Table2[GameDate], "&lt;=" &amp; $A26, Table2[AwayTeam], Y$1)+SUMIFS(Table2[NewPointsHome],Table2[GameDate], "&lt;=" &amp; $A26, Table2[HomeTeam], Y$1)</f>
        <v>2</v>
      </c>
      <c r="Z26" s="145">
        <f>SUMIFS(Table2[NewPointsAway],Table2[GameDate], "&lt;=" &amp; $A26, Table2[AwayTeam], Z$1)+SUMIFS(Table2[NewPointsHome],Table2[GameDate], "&lt;=" &amp; $A26, Table2[HomeTeam], Z$1)</f>
        <v>7</v>
      </c>
      <c r="AA26" s="145">
        <f>SUMIFS(Table2[NewPointsAway],Table2[GameDate], "&lt;=" &amp; $A26, Table2[AwayTeam], AA$1)+SUMIFS(Table2[NewPointsHome],Table2[GameDate], "&lt;=" &amp; $A26, Table2[HomeTeam], AA$1)</f>
        <v>4</v>
      </c>
      <c r="AB26" s="145">
        <f>SUMIFS(Table2[NewPointsAway],Table2[GameDate], "&lt;=" &amp; $A26, Table2[AwayTeam], AB$1)+SUMIFS(Table2[NewPointsHome],Table2[GameDate], "&lt;=" &amp; $A26, Table2[HomeTeam], AB$1)</f>
        <v>7</v>
      </c>
      <c r="AC26" s="145">
        <f>SUMIFS(Table2[NewPointsAway],Table2[GameDate], "&lt;=" &amp; $A26, Table2[AwayTeam], AC$1)+SUMIFS(Table2[NewPointsHome],Table2[GameDate], "&lt;=" &amp; $A26, Table2[HomeTeam], AC$1)</f>
        <v>10</v>
      </c>
      <c r="AD26" s="145">
        <f>SUMIFS(Table2[NewPointsAway],Table2[GameDate], "&lt;=" &amp; $A26, Table2[AwayTeam], AD$1)+SUMIFS(Table2[NewPointsHome],Table2[GameDate], "&lt;=" &amp; $A26, Table2[HomeTeam], AD$1)</f>
        <v>8</v>
      </c>
      <c r="AE26" s="145">
        <f>SUMIFS(Table2[NewPointsAway],Table2[GameDate], "&lt;=" &amp; $A26, Table2[AwayTeam], AE$1)+SUMIFS(Table2[NewPointsHome],Table2[GameDate], "&lt;=" &amp; $A26, Table2[HomeTeam], AE$1)</f>
        <v>12</v>
      </c>
      <c r="AF26" s="145">
        <f>SUMIFS(Table2[NewPointsAway],Table2[GameDate], "&lt;=" &amp; $A26, Table2[AwayTeam], AF$1)+SUMIFS(Table2[NewPointsHome],Table2[GameDate], "&lt;=" &amp; $A26, Table2[HomeTeam], AF$1)</f>
        <v>10</v>
      </c>
      <c r="AG26" s="145">
        <f>SUMIFS(Table2[NewPointsAway],Table2[GameDate], "&lt;=" &amp; $A26, Table2[AwayTeam], AG$1)+SUMIFS(Table2[NewPointsHome],Table2[GameDate], "&lt;=" &amp; $A26, Table2[HomeTeam], AG$1)</f>
        <v>10</v>
      </c>
    </row>
    <row r="27" spans="1:33" x14ac:dyDescent="0.25">
      <c r="A27" s="3">
        <v>45958</v>
      </c>
      <c r="B27" s="145">
        <f>SUMIFS(Table2[NewPointsAway],Table2[GameDate], "&lt;=" &amp; $A27, Table2[AwayTeam], B$1)+SUMIFS(Table2[NewPointsHome],Table2[GameDate], "&lt;=" &amp; $A27, Table2[HomeTeam], B$1)</f>
        <v>7</v>
      </c>
      <c r="C27" s="145">
        <f>SUMIFS(Table2[NewPointsAway],Table2[GameDate], "&lt;=" &amp; $A27, Table2[AwayTeam], C$1)+SUMIFS(Table2[NewPointsHome],Table2[GameDate], "&lt;=" &amp; $A27, Table2[HomeTeam], C$1)</f>
        <v>6</v>
      </c>
      <c r="D27" s="145">
        <f>SUMIFS(Table2[NewPointsAway],Table2[GameDate], "&lt;=" &amp; $A27, Table2[AwayTeam], D$1)+SUMIFS(Table2[NewPointsHome],Table2[GameDate], "&lt;=" &amp; $A27, Table2[HomeTeam], D$1)</f>
        <v>4</v>
      </c>
      <c r="E27" s="145">
        <f>SUMIFS(Table2[NewPointsAway],Table2[GameDate], "&lt;=" &amp; $A27, Table2[AwayTeam], E$1)+SUMIFS(Table2[NewPointsHome],Table2[GameDate], "&lt;=" &amp; $A27, Table2[HomeTeam], E$1)</f>
        <v>10</v>
      </c>
      <c r="F27" s="145">
        <f>SUMIFS(Table2[NewPointsAway],Table2[GameDate], "&lt;=" &amp; $A27, Table2[AwayTeam], F$1)+SUMIFS(Table2[NewPointsHome],Table2[GameDate], "&lt;=" &amp; $A27, Table2[HomeTeam], F$1)</f>
        <v>6</v>
      </c>
      <c r="G27" s="145">
        <f>SUMIFS(Table2[NewPointsAway],Table2[GameDate], "&lt;=" &amp; $A27, Table2[AwayTeam], G$1)+SUMIFS(Table2[NewPointsHome],Table2[GameDate], "&lt;=" &amp; $A27, Table2[HomeTeam], G$1)</f>
        <v>2</v>
      </c>
      <c r="H27" s="145">
        <f>SUMIFS(Table2[NewPointsAway],Table2[GameDate], "&lt;=" &amp; $A27, Table2[AwayTeam], H$1)+SUMIFS(Table2[NewPointsHome],Table2[GameDate], "&lt;=" &amp; $A27, Table2[HomeTeam], H$1)</f>
        <v>8</v>
      </c>
      <c r="I27" s="145">
        <f>SUMIFS(Table2[NewPointsAway],Table2[GameDate], "&lt;=" &amp; $A27, Table2[AwayTeam], I$1)+SUMIFS(Table2[NewPointsHome],Table2[GameDate], "&lt;=" &amp; $A27, Table2[HomeTeam], I$1)</f>
        <v>12</v>
      </c>
      <c r="J27" s="145">
        <f>SUMIFS(Table2[NewPointsAway],Table2[GameDate], "&lt;=" &amp; $A27, Table2[AwayTeam], J$1)+SUMIFS(Table2[NewPointsHome],Table2[GameDate], "&lt;=" &amp; $A27, Table2[HomeTeam], J$1)</f>
        <v>6</v>
      </c>
      <c r="K27" s="145">
        <f>SUMIFS(Table2[NewPointsAway],Table2[GameDate], "&lt;=" &amp; $A27, Table2[AwayTeam], K$1)+SUMIFS(Table2[NewPointsHome],Table2[GameDate], "&lt;=" &amp; $A27, Table2[HomeTeam], K$1)</f>
        <v>10</v>
      </c>
      <c r="L27" s="145">
        <f>SUMIFS(Table2[NewPointsAway],Table2[GameDate], "&lt;=" &amp; $A27, Table2[AwayTeam], L$1)+SUMIFS(Table2[NewPointsHome],Table2[GameDate], "&lt;=" &amp; $A27, Table2[HomeTeam], L$1)</f>
        <v>7</v>
      </c>
      <c r="M27" s="145">
        <f>SUMIFS(Table2[NewPointsAway],Table2[GameDate], "&lt;=" &amp; $A27, Table2[AwayTeam], M$1)+SUMIFS(Table2[NewPointsHome],Table2[GameDate], "&lt;=" &amp; $A27, Table2[HomeTeam], M$1)</f>
        <v>8</v>
      </c>
      <c r="N27" s="145">
        <f>SUMIFS(Table2[NewPointsAway],Table2[GameDate], "&lt;=" &amp; $A27, Table2[AwayTeam], N$1)+SUMIFS(Table2[NewPointsHome],Table2[GameDate], "&lt;=" &amp; $A27, Table2[HomeTeam], N$1)</f>
        <v>6</v>
      </c>
      <c r="O27" s="145">
        <f>SUMIFS(Table2[NewPointsAway],Table2[GameDate], "&lt;=" &amp; $A27, Table2[AwayTeam], O$1)+SUMIFS(Table2[NewPointsHome],Table2[GameDate], "&lt;=" &amp; $A27, Table2[HomeTeam], O$1)</f>
        <v>7</v>
      </c>
      <c r="P27" s="145">
        <f>SUMIFS(Table2[NewPointsAway],Table2[GameDate], "&lt;=" &amp; $A27, Table2[AwayTeam], P$1)+SUMIFS(Table2[NewPointsHome],Table2[GameDate], "&lt;=" &amp; $A27, Table2[HomeTeam], P$1)</f>
        <v>10</v>
      </c>
      <c r="Q27" s="145">
        <f>SUMIFS(Table2[NewPointsAway],Table2[GameDate], "&lt;=" &amp; $A27, Table2[AwayTeam], Q$1)+SUMIFS(Table2[NewPointsHome],Table2[GameDate], "&lt;=" &amp; $A27, Table2[HomeTeam], Q$1)</f>
        <v>10</v>
      </c>
      <c r="R27" s="145">
        <f>SUMIFS(Table2[NewPointsAway],Table2[GameDate], "&lt;=" &amp; $A27, Table2[AwayTeam], R$1)+SUMIFS(Table2[NewPointsHome],Table2[GameDate], "&lt;=" &amp; $A27, Table2[HomeTeam], R$1)</f>
        <v>6</v>
      </c>
      <c r="S27" s="145">
        <f>SUMIFS(Table2[NewPointsAway],Table2[GameDate], "&lt;=" &amp; $A27, Table2[AwayTeam], S$1)+SUMIFS(Table2[NewPointsHome],Table2[GameDate], "&lt;=" &amp; $A27, Table2[HomeTeam], S$1)</f>
        <v>6</v>
      </c>
      <c r="T27" s="145">
        <f>SUMIFS(Table2[NewPointsAway],Table2[GameDate], "&lt;=" &amp; $A27, Table2[AwayTeam], T$1)+SUMIFS(Table2[NewPointsHome],Table2[GameDate], "&lt;=" &amp; $A27, Table2[HomeTeam], T$1)</f>
        <v>7</v>
      </c>
      <c r="U27" s="145">
        <f>SUMIFS(Table2[NewPointsAway],Table2[GameDate], "&lt;=" &amp; $A27, Table2[AwayTeam], U$1)+SUMIFS(Table2[NewPointsHome],Table2[GameDate], "&lt;=" &amp; $A27, Table2[HomeTeam], U$1)</f>
        <v>5</v>
      </c>
      <c r="V27" s="145">
        <f>SUMIFS(Table2[NewPointsAway],Table2[GameDate], "&lt;=" &amp; $A27, Table2[AwayTeam], V$1)+SUMIFS(Table2[NewPointsHome],Table2[GameDate], "&lt;=" &amp; $A27, Table2[HomeTeam], V$1)</f>
        <v>7</v>
      </c>
      <c r="W27" s="145">
        <f>SUMIFS(Table2[NewPointsAway],Table2[GameDate], "&lt;=" &amp; $A27, Table2[AwayTeam], W$1)+SUMIFS(Table2[NewPointsHome],Table2[GameDate], "&lt;=" &amp; $A27, Table2[HomeTeam], W$1)</f>
        <v>10</v>
      </c>
      <c r="X27" s="145">
        <f>SUMIFS(Table2[NewPointsAway],Table2[GameDate], "&lt;=" &amp; $A27, Table2[AwayTeam], X$1)+SUMIFS(Table2[NewPointsHome],Table2[GameDate], "&lt;=" &amp; $A27, Table2[HomeTeam], X$1)</f>
        <v>8</v>
      </c>
      <c r="Y27" s="145">
        <f>SUMIFS(Table2[NewPointsAway],Table2[GameDate], "&lt;=" &amp; $A27, Table2[AwayTeam], Y$1)+SUMIFS(Table2[NewPointsHome],Table2[GameDate], "&lt;=" &amp; $A27, Table2[HomeTeam], Y$1)</f>
        <v>2</v>
      </c>
      <c r="Z27" s="145">
        <f>SUMIFS(Table2[NewPointsAway],Table2[GameDate], "&lt;=" &amp; $A27, Table2[AwayTeam], Z$1)+SUMIFS(Table2[NewPointsHome],Table2[GameDate], "&lt;=" &amp; $A27, Table2[HomeTeam], Z$1)</f>
        <v>7</v>
      </c>
      <c r="AA27" s="145">
        <f>SUMIFS(Table2[NewPointsAway],Table2[GameDate], "&lt;=" &amp; $A27, Table2[AwayTeam], AA$1)+SUMIFS(Table2[NewPointsHome],Table2[GameDate], "&lt;=" &amp; $A27, Table2[HomeTeam], AA$1)</f>
        <v>4</v>
      </c>
      <c r="AB27" s="145">
        <f>SUMIFS(Table2[NewPointsAway],Table2[GameDate], "&lt;=" &amp; $A27, Table2[AwayTeam], AB$1)+SUMIFS(Table2[NewPointsHome],Table2[GameDate], "&lt;=" &amp; $A27, Table2[HomeTeam], AB$1)</f>
        <v>7</v>
      </c>
      <c r="AC27" s="145">
        <f>SUMIFS(Table2[NewPointsAway],Table2[GameDate], "&lt;=" &amp; $A27, Table2[AwayTeam], AC$1)+SUMIFS(Table2[NewPointsHome],Table2[GameDate], "&lt;=" &amp; $A27, Table2[HomeTeam], AC$1)</f>
        <v>10</v>
      </c>
      <c r="AD27" s="145">
        <f>SUMIFS(Table2[NewPointsAway],Table2[GameDate], "&lt;=" &amp; $A27, Table2[AwayTeam], AD$1)+SUMIFS(Table2[NewPointsHome],Table2[GameDate], "&lt;=" &amp; $A27, Table2[HomeTeam], AD$1)</f>
        <v>8</v>
      </c>
      <c r="AE27" s="145">
        <f>SUMIFS(Table2[NewPointsAway],Table2[GameDate], "&lt;=" &amp; $A27, Table2[AwayTeam], AE$1)+SUMIFS(Table2[NewPointsHome],Table2[GameDate], "&lt;=" &amp; $A27, Table2[HomeTeam], AE$1)</f>
        <v>12</v>
      </c>
      <c r="AF27" s="145">
        <f>SUMIFS(Table2[NewPointsAway],Table2[GameDate], "&lt;=" &amp; $A27, Table2[AwayTeam], AF$1)+SUMIFS(Table2[NewPointsHome],Table2[GameDate], "&lt;=" &amp; $A27, Table2[HomeTeam], AF$1)</f>
        <v>10</v>
      </c>
      <c r="AG27" s="145">
        <f>SUMIFS(Table2[NewPointsAway],Table2[GameDate], "&lt;=" &amp; $A27, Table2[AwayTeam], AG$1)+SUMIFS(Table2[NewPointsHome],Table2[GameDate], "&lt;=" &amp; $A27, Table2[HomeTeam], AG$1)</f>
        <v>10</v>
      </c>
    </row>
    <row r="28" spans="1:33" x14ac:dyDescent="0.25">
      <c r="A28" s="3">
        <v>45959</v>
      </c>
      <c r="B28" s="145">
        <f>SUMIFS(Table2[NewPointsAway],Table2[GameDate], "&lt;=" &amp; $A28, Table2[AwayTeam], B$1)+SUMIFS(Table2[NewPointsHome],Table2[GameDate], "&lt;=" &amp; $A28, Table2[HomeTeam], B$1)</f>
        <v>7</v>
      </c>
      <c r="C28" s="145">
        <f>SUMIFS(Table2[NewPointsAway],Table2[GameDate], "&lt;=" &amp; $A28, Table2[AwayTeam], C$1)+SUMIFS(Table2[NewPointsHome],Table2[GameDate], "&lt;=" &amp; $A28, Table2[HomeTeam], C$1)</f>
        <v>6</v>
      </c>
      <c r="D28" s="145">
        <f>SUMIFS(Table2[NewPointsAway],Table2[GameDate], "&lt;=" &amp; $A28, Table2[AwayTeam], D$1)+SUMIFS(Table2[NewPointsHome],Table2[GameDate], "&lt;=" &amp; $A28, Table2[HomeTeam], D$1)</f>
        <v>4</v>
      </c>
      <c r="E28" s="145">
        <f>SUMIFS(Table2[NewPointsAway],Table2[GameDate], "&lt;=" &amp; $A28, Table2[AwayTeam], E$1)+SUMIFS(Table2[NewPointsHome],Table2[GameDate], "&lt;=" &amp; $A28, Table2[HomeTeam], E$1)</f>
        <v>10</v>
      </c>
      <c r="F28" s="145">
        <f>SUMIFS(Table2[NewPointsAway],Table2[GameDate], "&lt;=" &amp; $A28, Table2[AwayTeam], F$1)+SUMIFS(Table2[NewPointsHome],Table2[GameDate], "&lt;=" &amp; $A28, Table2[HomeTeam], F$1)</f>
        <v>6</v>
      </c>
      <c r="G28" s="145">
        <f>SUMIFS(Table2[NewPointsAway],Table2[GameDate], "&lt;=" &amp; $A28, Table2[AwayTeam], G$1)+SUMIFS(Table2[NewPointsHome],Table2[GameDate], "&lt;=" &amp; $A28, Table2[HomeTeam], G$1)</f>
        <v>2</v>
      </c>
      <c r="H28" s="145">
        <f>SUMIFS(Table2[NewPointsAway],Table2[GameDate], "&lt;=" &amp; $A28, Table2[AwayTeam], H$1)+SUMIFS(Table2[NewPointsHome],Table2[GameDate], "&lt;=" &amp; $A28, Table2[HomeTeam], H$1)</f>
        <v>8</v>
      </c>
      <c r="I28" s="145">
        <f>SUMIFS(Table2[NewPointsAway],Table2[GameDate], "&lt;=" &amp; $A28, Table2[AwayTeam], I$1)+SUMIFS(Table2[NewPointsHome],Table2[GameDate], "&lt;=" &amp; $A28, Table2[HomeTeam], I$1)</f>
        <v>12</v>
      </c>
      <c r="J28" s="145">
        <f>SUMIFS(Table2[NewPointsAway],Table2[GameDate], "&lt;=" &amp; $A28, Table2[AwayTeam], J$1)+SUMIFS(Table2[NewPointsHome],Table2[GameDate], "&lt;=" &amp; $A28, Table2[HomeTeam], J$1)</f>
        <v>6</v>
      </c>
      <c r="K28" s="145">
        <f>SUMIFS(Table2[NewPointsAway],Table2[GameDate], "&lt;=" &amp; $A28, Table2[AwayTeam], K$1)+SUMIFS(Table2[NewPointsHome],Table2[GameDate], "&lt;=" &amp; $A28, Table2[HomeTeam], K$1)</f>
        <v>10</v>
      </c>
      <c r="L28" s="145">
        <f>SUMIFS(Table2[NewPointsAway],Table2[GameDate], "&lt;=" &amp; $A28, Table2[AwayTeam], L$1)+SUMIFS(Table2[NewPointsHome],Table2[GameDate], "&lt;=" &amp; $A28, Table2[HomeTeam], L$1)</f>
        <v>7</v>
      </c>
      <c r="M28" s="145">
        <f>SUMIFS(Table2[NewPointsAway],Table2[GameDate], "&lt;=" &amp; $A28, Table2[AwayTeam], M$1)+SUMIFS(Table2[NewPointsHome],Table2[GameDate], "&lt;=" &amp; $A28, Table2[HomeTeam], M$1)</f>
        <v>8</v>
      </c>
      <c r="N28" s="145">
        <f>SUMIFS(Table2[NewPointsAway],Table2[GameDate], "&lt;=" &amp; $A28, Table2[AwayTeam], N$1)+SUMIFS(Table2[NewPointsHome],Table2[GameDate], "&lt;=" &amp; $A28, Table2[HomeTeam], N$1)</f>
        <v>6</v>
      </c>
      <c r="O28" s="145">
        <f>SUMIFS(Table2[NewPointsAway],Table2[GameDate], "&lt;=" &amp; $A28, Table2[AwayTeam], O$1)+SUMIFS(Table2[NewPointsHome],Table2[GameDate], "&lt;=" &amp; $A28, Table2[HomeTeam], O$1)</f>
        <v>7</v>
      </c>
      <c r="P28" s="145">
        <f>SUMIFS(Table2[NewPointsAway],Table2[GameDate], "&lt;=" &amp; $A28, Table2[AwayTeam], P$1)+SUMIFS(Table2[NewPointsHome],Table2[GameDate], "&lt;=" &amp; $A28, Table2[HomeTeam], P$1)</f>
        <v>10</v>
      </c>
      <c r="Q28" s="145">
        <f>SUMIFS(Table2[NewPointsAway],Table2[GameDate], "&lt;=" &amp; $A28, Table2[AwayTeam], Q$1)+SUMIFS(Table2[NewPointsHome],Table2[GameDate], "&lt;=" &amp; $A28, Table2[HomeTeam], Q$1)</f>
        <v>10</v>
      </c>
      <c r="R28" s="145">
        <f>SUMIFS(Table2[NewPointsAway],Table2[GameDate], "&lt;=" &amp; $A28, Table2[AwayTeam], R$1)+SUMIFS(Table2[NewPointsHome],Table2[GameDate], "&lt;=" &amp; $A28, Table2[HomeTeam], R$1)</f>
        <v>6</v>
      </c>
      <c r="S28" s="145">
        <f>SUMIFS(Table2[NewPointsAway],Table2[GameDate], "&lt;=" &amp; $A28, Table2[AwayTeam], S$1)+SUMIFS(Table2[NewPointsHome],Table2[GameDate], "&lt;=" &amp; $A28, Table2[HomeTeam], S$1)</f>
        <v>6</v>
      </c>
      <c r="T28" s="145">
        <f>SUMIFS(Table2[NewPointsAway],Table2[GameDate], "&lt;=" &amp; $A28, Table2[AwayTeam], T$1)+SUMIFS(Table2[NewPointsHome],Table2[GameDate], "&lt;=" &amp; $A28, Table2[HomeTeam], T$1)</f>
        <v>7</v>
      </c>
      <c r="U28" s="145">
        <f>SUMIFS(Table2[NewPointsAway],Table2[GameDate], "&lt;=" &amp; $A28, Table2[AwayTeam], U$1)+SUMIFS(Table2[NewPointsHome],Table2[GameDate], "&lt;=" &amp; $A28, Table2[HomeTeam], U$1)</f>
        <v>5</v>
      </c>
      <c r="V28" s="145">
        <f>SUMIFS(Table2[NewPointsAway],Table2[GameDate], "&lt;=" &amp; $A28, Table2[AwayTeam], V$1)+SUMIFS(Table2[NewPointsHome],Table2[GameDate], "&lt;=" &amp; $A28, Table2[HomeTeam], V$1)</f>
        <v>7</v>
      </c>
      <c r="W28" s="145">
        <f>SUMIFS(Table2[NewPointsAway],Table2[GameDate], "&lt;=" &amp; $A28, Table2[AwayTeam], W$1)+SUMIFS(Table2[NewPointsHome],Table2[GameDate], "&lt;=" &amp; $A28, Table2[HomeTeam], W$1)</f>
        <v>10</v>
      </c>
      <c r="X28" s="145">
        <f>SUMIFS(Table2[NewPointsAway],Table2[GameDate], "&lt;=" &amp; $A28, Table2[AwayTeam], X$1)+SUMIFS(Table2[NewPointsHome],Table2[GameDate], "&lt;=" &amp; $A28, Table2[HomeTeam], X$1)</f>
        <v>8</v>
      </c>
      <c r="Y28" s="145">
        <f>SUMIFS(Table2[NewPointsAway],Table2[GameDate], "&lt;=" &amp; $A28, Table2[AwayTeam], Y$1)+SUMIFS(Table2[NewPointsHome],Table2[GameDate], "&lt;=" &amp; $A28, Table2[HomeTeam], Y$1)</f>
        <v>2</v>
      </c>
      <c r="Z28" s="145">
        <f>SUMIFS(Table2[NewPointsAway],Table2[GameDate], "&lt;=" &amp; $A28, Table2[AwayTeam], Z$1)+SUMIFS(Table2[NewPointsHome],Table2[GameDate], "&lt;=" &amp; $A28, Table2[HomeTeam], Z$1)</f>
        <v>7</v>
      </c>
      <c r="AA28" s="145">
        <f>SUMIFS(Table2[NewPointsAway],Table2[GameDate], "&lt;=" &amp; $A28, Table2[AwayTeam], AA$1)+SUMIFS(Table2[NewPointsHome],Table2[GameDate], "&lt;=" &amp; $A28, Table2[HomeTeam], AA$1)</f>
        <v>4</v>
      </c>
      <c r="AB28" s="145">
        <f>SUMIFS(Table2[NewPointsAway],Table2[GameDate], "&lt;=" &amp; $A28, Table2[AwayTeam], AB$1)+SUMIFS(Table2[NewPointsHome],Table2[GameDate], "&lt;=" &amp; $A28, Table2[HomeTeam], AB$1)</f>
        <v>7</v>
      </c>
      <c r="AC28" s="145">
        <f>SUMIFS(Table2[NewPointsAway],Table2[GameDate], "&lt;=" &amp; $A28, Table2[AwayTeam], AC$1)+SUMIFS(Table2[NewPointsHome],Table2[GameDate], "&lt;=" &amp; $A28, Table2[HomeTeam], AC$1)</f>
        <v>10</v>
      </c>
      <c r="AD28" s="145">
        <f>SUMIFS(Table2[NewPointsAway],Table2[GameDate], "&lt;=" &amp; $A28, Table2[AwayTeam], AD$1)+SUMIFS(Table2[NewPointsHome],Table2[GameDate], "&lt;=" &amp; $A28, Table2[HomeTeam], AD$1)</f>
        <v>8</v>
      </c>
      <c r="AE28" s="145">
        <f>SUMIFS(Table2[NewPointsAway],Table2[GameDate], "&lt;=" &amp; $A28, Table2[AwayTeam], AE$1)+SUMIFS(Table2[NewPointsHome],Table2[GameDate], "&lt;=" &amp; $A28, Table2[HomeTeam], AE$1)</f>
        <v>12</v>
      </c>
      <c r="AF28" s="145">
        <f>SUMIFS(Table2[NewPointsAway],Table2[GameDate], "&lt;=" &amp; $A28, Table2[AwayTeam], AF$1)+SUMIFS(Table2[NewPointsHome],Table2[GameDate], "&lt;=" &amp; $A28, Table2[HomeTeam], AF$1)</f>
        <v>10</v>
      </c>
      <c r="AG28" s="145">
        <f>SUMIFS(Table2[NewPointsAway],Table2[GameDate], "&lt;=" &amp; $A28, Table2[AwayTeam], AG$1)+SUMIFS(Table2[NewPointsHome],Table2[GameDate], "&lt;=" &amp; $A28, Table2[HomeTeam], AG$1)</f>
        <v>10</v>
      </c>
    </row>
    <row r="29" spans="1:33" x14ac:dyDescent="0.25">
      <c r="A29" s="3">
        <v>45960</v>
      </c>
      <c r="B29" s="145">
        <f>SUMIFS(Table2[NewPointsAway],Table2[GameDate], "&lt;=" &amp; $A29, Table2[AwayTeam], B$1)+SUMIFS(Table2[NewPointsHome],Table2[GameDate], "&lt;=" &amp; $A29, Table2[HomeTeam], B$1)</f>
        <v>7</v>
      </c>
      <c r="C29" s="145">
        <f>SUMIFS(Table2[NewPointsAway],Table2[GameDate], "&lt;=" &amp; $A29, Table2[AwayTeam], C$1)+SUMIFS(Table2[NewPointsHome],Table2[GameDate], "&lt;=" &amp; $A29, Table2[HomeTeam], C$1)</f>
        <v>6</v>
      </c>
      <c r="D29" s="145">
        <f>SUMIFS(Table2[NewPointsAway],Table2[GameDate], "&lt;=" &amp; $A29, Table2[AwayTeam], D$1)+SUMIFS(Table2[NewPointsHome],Table2[GameDate], "&lt;=" &amp; $A29, Table2[HomeTeam], D$1)</f>
        <v>4</v>
      </c>
      <c r="E29" s="145">
        <f>SUMIFS(Table2[NewPointsAway],Table2[GameDate], "&lt;=" &amp; $A29, Table2[AwayTeam], E$1)+SUMIFS(Table2[NewPointsHome],Table2[GameDate], "&lt;=" &amp; $A29, Table2[HomeTeam], E$1)</f>
        <v>10</v>
      </c>
      <c r="F29" s="145">
        <f>SUMIFS(Table2[NewPointsAway],Table2[GameDate], "&lt;=" &amp; $A29, Table2[AwayTeam], F$1)+SUMIFS(Table2[NewPointsHome],Table2[GameDate], "&lt;=" &amp; $A29, Table2[HomeTeam], F$1)</f>
        <v>6</v>
      </c>
      <c r="G29" s="145">
        <f>SUMIFS(Table2[NewPointsAway],Table2[GameDate], "&lt;=" &amp; $A29, Table2[AwayTeam], G$1)+SUMIFS(Table2[NewPointsHome],Table2[GameDate], "&lt;=" &amp; $A29, Table2[HomeTeam], G$1)</f>
        <v>2</v>
      </c>
      <c r="H29" s="145">
        <f>SUMIFS(Table2[NewPointsAway],Table2[GameDate], "&lt;=" &amp; $A29, Table2[AwayTeam], H$1)+SUMIFS(Table2[NewPointsHome],Table2[GameDate], "&lt;=" &amp; $A29, Table2[HomeTeam], H$1)</f>
        <v>8</v>
      </c>
      <c r="I29" s="145">
        <f>SUMIFS(Table2[NewPointsAway],Table2[GameDate], "&lt;=" &amp; $A29, Table2[AwayTeam], I$1)+SUMIFS(Table2[NewPointsHome],Table2[GameDate], "&lt;=" &amp; $A29, Table2[HomeTeam], I$1)</f>
        <v>12</v>
      </c>
      <c r="J29" s="145">
        <f>SUMIFS(Table2[NewPointsAway],Table2[GameDate], "&lt;=" &amp; $A29, Table2[AwayTeam], J$1)+SUMIFS(Table2[NewPointsHome],Table2[GameDate], "&lt;=" &amp; $A29, Table2[HomeTeam], J$1)</f>
        <v>6</v>
      </c>
      <c r="K29" s="145">
        <f>SUMIFS(Table2[NewPointsAway],Table2[GameDate], "&lt;=" &amp; $A29, Table2[AwayTeam], K$1)+SUMIFS(Table2[NewPointsHome],Table2[GameDate], "&lt;=" &amp; $A29, Table2[HomeTeam], K$1)</f>
        <v>10</v>
      </c>
      <c r="L29" s="145">
        <f>SUMIFS(Table2[NewPointsAway],Table2[GameDate], "&lt;=" &amp; $A29, Table2[AwayTeam], L$1)+SUMIFS(Table2[NewPointsHome],Table2[GameDate], "&lt;=" &amp; $A29, Table2[HomeTeam], L$1)</f>
        <v>7</v>
      </c>
      <c r="M29" s="145">
        <f>SUMIFS(Table2[NewPointsAway],Table2[GameDate], "&lt;=" &amp; $A29, Table2[AwayTeam], M$1)+SUMIFS(Table2[NewPointsHome],Table2[GameDate], "&lt;=" &amp; $A29, Table2[HomeTeam], M$1)</f>
        <v>8</v>
      </c>
      <c r="N29" s="145">
        <f>SUMIFS(Table2[NewPointsAway],Table2[GameDate], "&lt;=" &amp; $A29, Table2[AwayTeam], N$1)+SUMIFS(Table2[NewPointsHome],Table2[GameDate], "&lt;=" &amp; $A29, Table2[HomeTeam], N$1)</f>
        <v>6</v>
      </c>
      <c r="O29" s="145">
        <f>SUMIFS(Table2[NewPointsAway],Table2[GameDate], "&lt;=" &amp; $A29, Table2[AwayTeam], O$1)+SUMIFS(Table2[NewPointsHome],Table2[GameDate], "&lt;=" &amp; $A29, Table2[HomeTeam], O$1)</f>
        <v>7</v>
      </c>
      <c r="P29" s="145">
        <f>SUMIFS(Table2[NewPointsAway],Table2[GameDate], "&lt;=" &amp; $A29, Table2[AwayTeam], P$1)+SUMIFS(Table2[NewPointsHome],Table2[GameDate], "&lt;=" &amp; $A29, Table2[HomeTeam], P$1)</f>
        <v>10</v>
      </c>
      <c r="Q29" s="145">
        <f>SUMIFS(Table2[NewPointsAway],Table2[GameDate], "&lt;=" &amp; $A29, Table2[AwayTeam], Q$1)+SUMIFS(Table2[NewPointsHome],Table2[GameDate], "&lt;=" &amp; $A29, Table2[HomeTeam], Q$1)</f>
        <v>10</v>
      </c>
      <c r="R29" s="145">
        <f>SUMIFS(Table2[NewPointsAway],Table2[GameDate], "&lt;=" &amp; $A29, Table2[AwayTeam], R$1)+SUMIFS(Table2[NewPointsHome],Table2[GameDate], "&lt;=" &amp; $A29, Table2[HomeTeam], R$1)</f>
        <v>6</v>
      </c>
      <c r="S29" s="145">
        <f>SUMIFS(Table2[NewPointsAway],Table2[GameDate], "&lt;=" &amp; $A29, Table2[AwayTeam], S$1)+SUMIFS(Table2[NewPointsHome],Table2[GameDate], "&lt;=" &amp; $A29, Table2[HomeTeam], S$1)</f>
        <v>6</v>
      </c>
      <c r="T29" s="145">
        <f>SUMIFS(Table2[NewPointsAway],Table2[GameDate], "&lt;=" &amp; $A29, Table2[AwayTeam], T$1)+SUMIFS(Table2[NewPointsHome],Table2[GameDate], "&lt;=" &amp; $A29, Table2[HomeTeam], T$1)</f>
        <v>7</v>
      </c>
      <c r="U29" s="145">
        <f>SUMIFS(Table2[NewPointsAway],Table2[GameDate], "&lt;=" &amp; $A29, Table2[AwayTeam], U$1)+SUMIFS(Table2[NewPointsHome],Table2[GameDate], "&lt;=" &amp; $A29, Table2[HomeTeam], U$1)</f>
        <v>5</v>
      </c>
      <c r="V29" s="145">
        <f>SUMIFS(Table2[NewPointsAway],Table2[GameDate], "&lt;=" &amp; $A29, Table2[AwayTeam], V$1)+SUMIFS(Table2[NewPointsHome],Table2[GameDate], "&lt;=" &amp; $A29, Table2[HomeTeam], V$1)</f>
        <v>7</v>
      </c>
      <c r="W29" s="145">
        <f>SUMIFS(Table2[NewPointsAway],Table2[GameDate], "&lt;=" &amp; $A29, Table2[AwayTeam], W$1)+SUMIFS(Table2[NewPointsHome],Table2[GameDate], "&lt;=" &amp; $A29, Table2[HomeTeam], W$1)</f>
        <v>10</v>
      </c>
      <c r="X29" s="145">
        <f>SUMIFS(Table2[NewPointsAway],Table2[GameDate], "&lt;=" &amp; $A29, Table2[AwayTeam], X$1)+SUMIFS(Table2[NewPointsHome],Table2[GameDate], "&lt;=" &amp; $A29, Table2[HomeTeam], X$1)</f>
        <v>8</v>
      </c>
      <c r="Y29" s="145">
        <f>SUMIFS(Table2[NewPointsAway],Table2[GameDate], "&lt;=" &amp; $A29, Table2[AwayTeam], Y$1)+SUMIFS(Table2[NewPointsHome],Table2[GameDate], "&lt;=" &amp; $A29, Table2[HomeTeam], Y$1)</f>
        <v>2</v>
      </c>
      <c r="Z29" s="145">
        <f>SUMIFS(Table2[NewPointsAway],Table2[GameDate], "&lt;=" &amp; $A29, Table2[AwayTeam], Z$1)+SUMIFS(Table2[NewPointsHome],Table2[GameDate], "&lt;=" &amp; $A29, Table2[HomeTeam], Z$1)</f>
        <v>7</v>
      </c>
      <c r="AA29" s="145">
        <f>SUMIFS(Table2[NewPointsAway],Table2[GameDate], "&lt;=" &amp; $A29, Table2[AwayTeam], AA$1)+SUMIFS(Table2[NewPointsHome],Table2[GameDate], "&lt;=" &amp; $A29, Table2[HomeTeam], AA$1)</f>
        <v>4</v>
      </c>
      <c r="AB29" s="145">
        <f>SUMIFS(Table2[NewPointsAway],Table2[GameDate], "&lt;=" &amp; $A29, Table2[AwayTeam], AB$1)+SUMIFS(Table2[NewPointsHome],Table2[GameDate], "&lt;=" &amp; $A29, Table2[HomeTeam], AB$1)</f>
        <v>7</v>
      </c>
      <c r="AC29" s="145">
        <f>SUMIFS(Table2[NewPointsAway],Table2[GameDate], "&lt;=" &amp; $A29, Table2[AwayTeam], AC$1)+SUMIFS(Table2[NewPointsHome],Table2[GameDate], "&lt;=" &amp; $A29, Table2[HomeTeam], AC$1)</f>
        <v>10</v>
      </c>
      <c r="AD29" s="145">
        <f>SUMIFS(Table2[NewPointsAway],Table2[GameDate], "&lt;=" &amp; $A29, Table2[AwayTeam], AD$1)+SUMIFS(Table2[NewPointsHome],Table2[GameDate], "&lt;=" &amp; $A29, Table2[HomeTeam], AD$1)</f>
        <v>8</v>
      </c>
      <c r="AE29" s="145">
        <f>SUMIFS(Table2[NewPointsAway],Table2[GameDate], "&lt;=" &amp; $A29, Table2[AwayTeam], AE$1)+SUMIFS(Table2[NewPointsHome],Table2[GameDate], "&lt;=" &amp; $A29, Table2[HomeTeam], AE$1)</f>
        <v>12</v>
      </c>
      <c r="AF29" s="145">
        <f>SUMIFS(Table2[NewPointsAway],Table2[GameDate], "&lt;=" &amp; $A29, Table2[AwayTeam], AF$1)+SUMIFS(Table2[NewPointsHome],Table2[GameDate], "&lt;=" &amp; $A29, Table2[HomeTeam], AF$1)</f>
        <v>10</v>
      </c>
      <c r="AG29" s="145">
        <f>SUMIFS(Table2[NewPointsAway],Table2[GameDate], "&lt;=" &amp; $A29, Table2[AwayTeam], AG$1)+SUMIFS(Table2[NewPointsHome],Table2[GameDate], "&lt;=" &amp; $A29, Table2[HomeTeam], AG$1)</f>
        <v>10</v>
      </c>
    </row>
    <row r="30" spans="1:33" x14ac:dyDescent="0.25">
      <c r="A30" s="3">
        <v>45961</v>
      </c>
      <c r="B30" s="145">
        <f>SUMIFS(Table2[NewPointsAway],Table2[GameDate], "&lt;=" &amp; $A30, Table2[AwayTeam], B$1)+SUMIFS(Table2[NewPointsHome],Table2[GameDate], "&lt;=" &amp; $A30, Table2[HomeTeam], B$1)</f>
        <v>7</v>
      </c>
      <c r="C30" s="145">
        <f>SUMIFS(Table2[NewPointsAway],Table2[GameDate], "&lt;=" &amp; $A30, Table2[AwayTeam], C$1)+SUMIFS(Table2[NewPointsHome],Table2[GameDate], "&lt;=" &amp; $A30, Table2[HomeTeam], C$1)</f>
        <v>6</v>
      </c>
      <c r="D30" s="145">
        <f>SUMIFS(Table2[NewPointsAway],Table2[GameDate], "&lt;=" &amp; $A30, Table2[AwayTeam], D$1)+SUMIFS(Table2[NewPointsHome],Table2[GameDate], "&lt;=" &amp; $A30, Table2[HomeTeam], D$1)</f>
        <v>4</v>
      </c>
      <c r="E30" s="145">
        <f>SUMIFS(Table2[NewPointsAway],Table2[GameDate], "&lt;=" &amp; $A30, Table2[AwayTeam], E$1)+SUMIFS(Table2[NewPointsHome],Table2[GameDate], "&lt;=" &amp; $A30, Table2[HomeTeam], E$1)</f>
        <v>10</v>
      </c>
      <c r="F30" s="145">
        <f>SUMIFS(Table2[NewPointsAway],Table2[GameDate], "&lt;=" &amp; $A30, Table2[AwayTeam], F$1)+SUMIFS(Table2[NewPointsHome],Table2[GameDate], "&lt;=" &amp; $A30, Table2[HomeTeam], F$1)</f>
        <v>6</v>
      </c>
      <c r="G30" s="145">
        <f>SUMIFS(Table2[NewPointsAway],Table2[GameDate], "&lt;=" &amp; $A30, Table2[AwayTeam], G$1)+SUMIFS(Table2[NewPointsHome],Table2[GameDate], "&lt;=" &amp; $A30, Table2[HomeTeam], G$1)</f>
        <v>2</v>
      </c>
      <c r="H30" s="145">
        <f>SUMIFS(Table2[NewPointsAway],Table2[GameDate], "&lt;=" &amp; $A30, Table2[AwayTeam], H$1)+SUMIFS(Table2[NewPointsHome],Table2[GameDate], "&lt;=" &amp; $A30, Table2[HomeTeam], H$1)</f>
        <v>8</v>
      </c>
      <c r="I30" s="145">
        <f>SUMIFS(Table2[NewPointsAway],Table2[GameDate], "&lt;=" &amp; $A30, Table2[AwayTeam], I$1)+SUMIFS(Table2[NewPointsHome],Table2[GameDate], "&lt;=" &amp; $A30, Table2[HomeTeam], I$1)</f>
        <v>12</v>
      </c>
      <c r="J30" s="145">
        <f>SUMIFS(Table2[NewPointsAway],Table2[GameDate], "&lt;=" &amp; $A30, Table2[AwayTeam], J$1)+SUMIFS(Table2[NewPointsHome],Table2[GameDate], "&lt;=" &amp; $A30, Table2[HomeTeam], J$1)</f>
        <v>6</v>
      </c>
      <c r="K30" s="145">
        <f>SUMIFS(Table2[NewPointsAway],Table2[GameDate], "&lt;=" &amp; $A30, Table2[AwayTeam], K$1)+SUMIFS(Table2[NewPointsHome],Table2[GameDate], "&lt;=" &amp; $A30, Table2[HomeTeam], K$1)</f>
        <v>10</v>
      </c>
      <c r="L30" s="145">
        <f>SUMIFS(Table2[NewPointsAway],Table2[GameDate], "&lt;=" &amp; $A30, Table2[AwayTeam], L$1)+SUMIFS(Table2[NewPointsHome],Table2[GameDate], "&lt;=" &amp; $A30, Table2[HomeTeam], L$1)</f>
        <v>7</v>
      </c>
      <c r="M30" s="145">
        <f>SUMIFS(Table2[NewPointsAway],Table2[GameDate], "&lt;=" &amp; $A30, Table2[AwayTeam], M$1)+SUMIFS(Table2[NewPointsHome],Table2[GameDate], "&lt;=" &amp; $A30, Table2[HomeTeam], M$1)</f>
        <v>8</v>
      </c>
      <c r="N30" s="145">
        <f>SUMIFS(Table2[NewPointsAway],Table2[GameDate], "&lt;=" &amp; $A30, Table2[AwayTeam], N$1)+SUMIFS(Table2[NewPointsHome],Table2[GameDate], "&lt;=" &amp; $A30, Table2[HomeTeam], N$1)</f>
        <v>6</v>
      </c>
      <c r="O30" s="145">
        <f>SUMIFS(Table2[NewPointsAway],Table2[GameDate], "&lt;=" &amp; $A30, Table2[AwayTeam], O$1)+SUMIFS(Table2[NewPointsHome],Table2[GameDate], "&lt;=" &amp; $A30, Table2[HomeTeam], O$1)</f>
        <v>7</v>
      </c>
      <c r="P30" s="145">
        <f>SUMIFS(Table2[NewPointsAway],Table2[GameDate], "&lt;=" &amp; $A30, Table2[AwayTeam], P$1)+SUMIFS(Table2[NewPointsHome],Table2[GameDate], "&lt;=" &amp; $A30, Table2[HomeTeam], P$1)</f>
        <v>10</v>
      </c>
      <c r="Q30" s="145">
        <f>SUMIFS(Table2[NewPointsAway],Table2[GameDate], "&lt;=" &amp; $A30, Table2[AwayTeam], Q$1)+SUMIFS(Table2[NewPointsHome],Table2[GameDate], "&lt;=" &amp; $A30, Table2[HomeTeam], Q$1)</f>
        <v>10</v>
      </c>
      <c r="R30" s="145">
        <f>SUMIFS(Table2[NewPointsAway],Table2[GameDate], "&lt;=" &amp; $A30, Table2[AwayTeam], R$1)+SUMIFS(Table2[NewPointsHome],Table2[GameDate], "&lt;=" &amp; $A30, Table2[HomeTeam], R$1)</f>
        <v>6</v>
      </c>
      <c r="S30" s="145">
        <f>SUMIFS(Table2[NewPointsAway],Table2[GameDate], "&lt;=" &amp; $A30, Table2[AwayTeam], S$1)+SUMIFS(Table2[NewPointsHome],Table2[GameDate], "&lt;=" &amp; $A30, Table2[HomeTeam], S$1)</f>
        <v>6</v>
      </c>
      <c r="T30" s="145">
        <f>SUMIFS(Table2[NewPointsAway],Table2[GameDate], "&lt;=" &amp; $A30, Table2[AwayTeam], T$1)+SUMIFS(Table2[NewPointsHome],Table2[GameDate], "&lt;=" &amp; $A30, Table2[HomeTeam], T$1)</f>
        <v>7</v>
      </c>
      <c r="U30" s="145">
        <f>SUMIFS(Table2[NewPointsAway],Table2[GameDate], "&lt;=" &amp; $A30, Table2[AwayTeam], U$1)+SUMIFS(Table2[NewPointsHome],Table2[GameDate], "&lt;=" &amp; $A30, Table2[HomeTeam], U$1)</f>
        <v>5</v>
      </c>
      <c r="V30" s="145">
        <f>SUMIFS(Table2[NewPointsAway],Table2[GameDate], "&lt;=" &amp; $A30, Table2[AwayTeam], V$1)+SUMIFS(Table2[NewPointsHome],Table2[GameDate], "&lt;=" &amp; $A30, Table2[HomeTeam], V$1)</f>
        <v>7</v>
      </c>
      <c r="W30" s="145">
        <f>SUMIFS(Table2[NewPointsAway],Table2[GameDate], "&lt;=" &amp; $A30, Table2[AwayTeam], W$1)+SUMIFS(Table2[NewPointsHome],Table2[GameDate], "&lt;=" &amp; $A30, Table2[HomeTeam], W$1)</f>
        <v>10</v>
      </c>
      <c r="X30" s="145">
        <f>SUMIFS(Table2[NewPointsAway],Table2[GameDate], "&lt;=" &amp; $A30, Table2[AwayTeam], X$1)+SUMIFS(Table2[NewPointsHome],Table2[GameDate], "&lt;=" &amp; $A30, Table2[HomeTeam], X$1)</f>
        <v>8</v>
      </c>
      <c r="Y30" s="145">
        <f>SUMIFS(Table2[NewPointsAway],Table2[GameDate], "&lt;=" &amp; $A30, Table2[AwayTeam], Y$1)+SUMIFS(Table2[NewPointsHome],Table2[GameDate], "&lt;=" &amp; $A30, Table2[HomeTeam], Y$1)</f>
        <v>2</v>
      </c>
      <c r="Z30" s="145">
        <f>SUMIFS(Table2[NewPointsAway],Table2[GameDate], "&lt;=" &amp; $A30, Table2[AwayTeam], Z$1)+SUMIFS(Table2[NewPointsHome],Table2[GameDate], "&lt;=" &amp; $A30, Table2[HomeTeam], Z$1)</f>
        <v>7</v>
      </c>
      <c r="AA30" s="145">
        <f>SUMIFS(Table2[NewPointsAway],Table2[GameDate], "&lt;=" &amp; $A30, Table2[AwayTeam], AA$1)+SUMIFS(Table2[NewPointsHome],Table2[GameDate], "&lt;=" &amp; $A30, Table2[HomeTeam], AA$1)</f>
        <v>4</v>
      </c>
      <c r="AB30" s="145">
        <f>SUMIFS(Table2[NewPointsAway],Table2[GameDate], "&lt;=" &amp; $A30, Table2[AwayTeam], AB$1)+SUMIFS(Table2[NewPointsHome],Table2[GameDate], "&lt;=" &amp; $A30, Table2[HomeTeam], AB$1)</f>
        <v>7</v>
      </c>
      <c r="AC30" s="145">
        <f>SUMIFS(Table2[NewPointsAway],Table2[GameDate], "&lt;=" &amp; $A30, Table2[AwayTeam], AC$1)+SUMIFS(Table2[NewPointsHome],Table2[GameDate], "&lt;=" &amp; $A30, Table2[HomeTeam], AC$1)</f>
        <v>10</v>
      </c>
      <c r="AD30" s="145">
        <f>SUMIFS(Table2[NewPointsAway],Table2[GameDate], "&lt;=" &amp; $A30, Table2[AwayTeam], AD$1)+SUMIFS(Table2[NewPointsHome],Table2[GameDate], "&lt;=" &amp; $A30, Table2[HomeTeam], AD$1)</f>
        <v>8</v>
      </c>
      <c r="AE30" s="145">
        <f>SUMIFS(Table2[NewPointsAway],Table2[GameDate], "&lt;=" &amp; $A30, Table2[AwayTeam], AE$1)+SUMIFS(Table2[NewPointsHome],Table2[GameDate], "&lt;=" &amp; $A30, Table2[HomeTeam], AE$1)</f>
        <v>12</v>
      </c>
      <c r="AF30" s="145">
        <f>SUMIFS(Table2[NewPointsAway],Table2[GameDate], "&lt;=" &amp; $A30, Table2[AwayTeam], AF$1)+SUMIFS(Table2[NewPointsHome],Table2[GameDate], "&lt;=" &amp; $A30, Table2[HomeTeam], AF$1)</f>
        <v>10</v>
      </c>
      <c r="AG30" s="145">
        <f>SUMIFS(Table2[NewPointsAway],Table2[GameDate], "&lt;=" &amp; $A30, Table2[AwayTeam], AG$1)+SUMIFS(Table2[NewPointsHome],Table2[GameDate], "&lt;=" &amp; $A30, Table2[HomeTeam], AG$1)</f>
        <v>10</v>
      </c>
    </row>
    <row r="31" spans="1:33" x14ac:dyDescent="0.25">
      <c r="A31" s="3">
        <v>45962</v>
      </c>
      <c r="B31" s="145">
        <f>SUMIFS(Table2[NewPointsAway],Table2[GameDate], "&lt;=" &amp; $A31, Table2[AwayTeam], B$1)+SUMIFS(Table2[NewPointsHome],Table2[GameDate], "&lt;=" &amp; $A31, Table2[HomeTeam], B$1)</f>
        <v>7</v>
      </c>
      <c r="C31" s="145">
        <f>SUMIFS(Table2[NewPointsAway],Table2[GameDate], "&lt;=" &amp; $A31, Table2[AwayTeam], C$1)+SUMIFS(Table2[NewPointsHome],Table2[GameDate], "&lt;=" &amp; $A31, Table2[HomeTeam], C$1)</f>
        <v>6</v>
      </c>
      <c r="D31" s="145">
        <f>SUMIFS(Table2[NewPointsAway],Table2[GameDate], "&lt;=" &amp; $A31, Table2[AwayTeam], D$1)+SUMIFS(Table2[NewPointsHome],Table2[GameDate], "&lt;=" &amp; $A31, Table2[HomeTeam], D$1)</f>
        <v>4</v>
      </c>
      <c r="E31" s="145">
        <f>SUMIFS(Table2[NewPointsAway],Table2[GameDate], "&lt;=" &amp; $A31, Table2[AwayTeam], E$1)+SUMIFS(Table2[NewPointsHome],Table2[GameDate], "&lt;=" &amp; $A31, Table2[HomeTeam], E$1)</f>
        <v>10</v>
      </c>
      <c r="F31" s="145">
        <f>SUMIFS(Table2[NewPointsAway],Table2[GameDate], "&lt;=" &amp; $A31, Table2[AwayTeam], F$1)+SUMIFS(Table2[NewPointsHome],Table2[GameDate], "&lt;=" &amp; $A31, Table2[HomeTeam], F$1)</f>
        <v>6</v>
      </c>
      <c r="G31" s="145">
        <f>SUMIFS(Table2[NewPointsAway],Table2[GameDate], "&lt;=" &amp; $A31, Table2[AwayTeam], G$1)+SUMIFS(Table2[NewPointsHome],Table2[GameDate], "&lt;=" &amp; $A31, Table2[HomeTeam], G$1)</f>
        <v>2</v>
      </c>
      <c r="H31" s="145">
        <f>SUMIFS(Table2[NewPointsAway],Table2[GameDate], "&lt;=" &amp; $A31, Table2[AwayTeam], H$1)+SUMIFS(Table2[NewPointsHome],Table2[GameDate], "&lt;=" &amp; $A31, Table2[HomeTeam], H$1)</f>
        <v>8</v>
      </c>
      <c r="I31" s="145">
        <f>SUMIFS(Table2[NewPointsAway],Table2[GameDate], "&lt;=" &amp; $A31, Table2[AwayTeam], I$1)+SUMIFS(Table2[NewPointsHome],Table2[GameDate], "&lt;=" &amp; $A31, Table2[HomeTeam], I$1)</f>
        <v>12</v>
      </c>
      <c r="J31" s="145">
        <f>SUMIFS(Table2[NewPointsAway],Table2[GameDate], "&lt;=" &amp; $A31, Table2[AwayTeam], J$1)+SUMIFS(Table2[NewPointsHome],Table2[GameDate], "&lt;=" &amp; $A31, Table2[HomeTeam], J$1)</f>
        <v>6</v>
      </c>
      <c r="K31" s="145">
        <f>SUMIFS(Table2[NewPointsAway],Table2[GameDate], "&lt;=" &amp; $A31, Table2[AwayTeam], K$1)+SUMIFS(Table2[NewPointsHome],Table2[GameDate], "&lt;=" &amp; $A31, Table2[HomeTeam], K$1)</f>
        <v>10</v>
      </c>
      <c r="L31" s="145">
        <f>SUMIFS(Table2[NewPointsAway],Table2[GameDate], "&lt;=" &amp; $A31, Table2[AwayTeam], L$1)+SUMIFS(Table2[NewPointsHome],Table2[GameDate], "&lt;=" &amp; $A31, Table2[HomeTeam], L$1)</f>
        <v>7</v>
      </c>
      <c r="M31" s="145">
        <f>SUMIFS(Table2[NewPointsAway],Table2[GameDate], "&lt;=" &amp; $A31, Table2[AwayTeam], M$1)+SUMIFS(Table2[NewPointsHome],Table2[GameDate], "&lt;=" &amp; $A31, Table2[HomeTeam], M$1)</f>
        <v>8</v>
      </c>
      <c r="N31" s="145">
        <f>SUMIFS(Table2[NewPointsAway],Table2[GameDate], "&lt;=" &amp; $A31, Table2[AwayTeam], N$1)+SUMIFS(Table2[NewPointsHome],Table2[GameDate], "&lt;=" &amp; $A31, Table2[HomeTeam], N$1)</f>
        <v>6</v>
      </c>
      <c r="O31" s="145">
        <f>SUMIFS(Table2[NewPointsAway],Table2[GameDate], "&lt;=" &amp; $A31, Table2[AwayTeam], O$1)+SUMIFS(Table2[NewPointsHome],Table2[GameDate], "&lt;=" &amp; $A31, Table2[HomeTeam], O$1)</f>
        <v>7</v>
      </c>
      <c r="P31" s="145">
        <f>SUMIFS(Table2[NewPointsAway],Table2[GameDate], "&lt;=" &amp; $A31, Table2[AwayTeam], P$1)+SUMIFS(Table2[NewPointsHome],Table2[GameDate], "&lt;=" &amp; $A31, Table2[HomeTeam], P$1)</f>
        <v>10</v>
      </c>
      <c r="Q31" s="145">
        <f>SUMIFS(Table2[NewPointsAway],Table2[GameDate], "&lt;=" &amp; $A31, Table2[AwayTeam], Q$1)+SUMIFS(Table2[NewPointsHome],Table2[GameDate], "&lt;=" &amp; $A31, Table2[HomeTeam], Q$1)</f>
        <v>10</v>
      </c>
      <c r="R31" s="145">
        <f>SUMIFS(Table2[NewPointsAway],Table2[GameDate], "&lt;=" &amp; $A31, Table2[AwayTeam], R$1)+SUMIFS(Table2[NewPointsHome],Table2[GameDate], "&lt;=" &amp; $A31, Table2[HomeTeam], R$1)</f>
        <v>6</v>
      </c>
      <c r="S31" s="145">
        <f>SUMIFS(Table2[NewPointsAway],Table2[GameDate], "&lt;=" &amp; $A31, Table2[AwayTeam], S$1)+SUMIFS(Table2[NewPointsHome],Table2[GameDate], "&lt;=" &amp; $A31, Table2[HomeTeam], S$1)</f>
        <v>6</v>
      </c>
      <c r="T31" s="145">
        <f>SUMIFS(Table2[NewPointsAway],Table2[GameDate], "&lt;=" &amp; $A31, Table2[AwayTeam], T$1)+SUMIFS(Table2[NewPointsHome],Table2[GameDate], "&lt;=" &amp; $A31, Table2[HomeTeam], T$1)</f>
        <v>7</v>
      </c>
      <c r="U31" s="145">
        <f>SUMIFS(Table2[NewPointsAway],Table2[GameDate], "&lt;=" &amp; $A31, Table2[AwayTeam], U$1)+SUMIFS(Table2[NewPointsHome],Table2[GameDate], "&lt;=" &amp; $A31, Table2[HomeTeam], U$1)</f>
        <v>5</v>
      </c>
      <c r="V31" s="145">
        <f>SUMIFS(Table2[NewPointsAway],Table2[GameDate], "&lt;=" &amp; $A31, Table2[AwayTeam], V$1)+SUMIFS(Table2[NewPointsHome],Table2[GameDate], "&lt;=" &amp; $A31, Table2[HomeTeam], V$1)</f>
        <v>7</v>
      </c>
      <c r="W31" s="145">
        <f>SUMIFS(Table2[NewPointsAway],Table2[GameDate], "&lt;=" &amp; $A31, Table2[AwayTeam], W$1)+SUMIFS(Table2[NewPointsHome],Table2[GameDate], "&lt;=" &amp; $A31, Table2[HomeTeam], W$1)</f>
        <v>10</v>
      </c>
      <c r="X31" s="145">
        <f>SUMIFS(Table2[NewPointsAway],Table2[GameDate], "&lt;=" &amp; $A31, Table2[AwayTeam], X$1)+SUMIFS(Table2[NewPointsHome],Table2[GameDate], "&lt;=" &amp; $A31, Table2[HomeTeam], X$1)</f>
        <v>8</v>
      </c>
      <c r="Y31" s="145">
        <f>SUMIFS(Table2[NewPointsAway],Table2[GameDate], "&lt;=" &amp; $A31, Table2[AwayTeam], Y$1)+SUMIFS(Table2[NewPointsHome],Table2[GameDate], "&lt;=" &amp; $A31, Table2[HomeTeam], Y$1)</f>
        <v>2</v>
      </c>
      <c r="Z31" s="145">
        <f>SUMIFS(Table2[NewPointsAway],Table2[GameDate], "&lt;=" &amp; $A31, Table2[AwayTeam], Z$1)+SUMIFS(Table2[NewPointsHome],Table2[GameDate], "&lt;=" &amp; $A31, Table2[HomeTeam], Z$1)</f>
        <v>7</v>
      </c>
      <c r="AA31" s="145">
        <f>SUMIFS(Table2[NewPointsAway],Table2[GameDate], "&lt;=" &amp; $A31, Table2[AwayTeam], AA$1)+SUMIFS(Table2[NewPointsHome],Table2[GameDate], "&lt;=" &amp; $A31, Table2[HomeTeam], AA$1)</f>
        <v>4</v>
      </c>
      <c r="AB31" s="145">
        <f>SUMIFS(Table2[NewPointsAway],Table2[GameDate], "&lt;=" &amp; $A31, Table2[AwayTeam], AB$1)+SUMIFS(Table2[NewPointsHome],Table2[GameDate], "&lt;=" &amp; $A31, Table2[HomeTeam], AB$1)</f>
        <v>7</v>
      </c>
      <c r="AC31" s="145">
        <f>SUMIFS(Table2[NewPointsAway],Table2[GameDate], "&lt;=" &amp; $A31, Table2[AwayTeam], AC$1)+SUMIFS(Table2[NewPointsHome],Table2[GameDate], "&lt;=" &amp; $A31, Table2[HomeTeam], AC$1)</f>
        <v>10</v>
      </c>
      <c r="AD31" s="145">
        <f>SUMIFS(Table2[NewPointsAway],Table2[GameDate], "&lt;=" &amp; $A31, Table2[AwayTeam], AD$1)+SUMIFS(Table2[NewPointsHome],Table2[GameDate], "&lt;=" &amp; $A31, Table2[HomeTeam], AD$1)</f>
        <v>8</v>
      </c>
      <c r="AE31" s="145">
        <f>SUMIFS(Table2[NewPointsAway],Table2[GameDate], "&lt;=" &amp; $A31, Table2[AwayTeam], AE$1)+SUMIFS(Table2[NewPointsHome],Table2[GameDate], "&lt;=" &amp; $A31, Table2[HomeTeam], AE$1)</f>
        <v>12</v>
      </c>
      <c r="AF31" s="145">
        <f>SUMIFS(Table2[NewPointsAway],Table2[GameDate], "&lt;=" &amp; $A31, Table2[AwayTeam], AF$1)+SUMIFS(Table2[NewPointsHome],Table2[GameDate], "&lt;=" &amp; $A31, Table2[HomeTeam], AF$1)</f>
        <v>10</v>
      </c>
      <c r="AG31" s="145">
        <f>SUMIFS(Table2[NewPointsAway],Table2[GameDate], "&lt;=" &amp; $A31, Table2[AwayTeam], AG$1)+SUMIFS(Table2[NewPointsHome],Table2[GameDate], "&lt;=" &amp; $A31, Table2[HomeTeam], AG$1)</f>
        <v>10</v>
      </c>
    </row>
    <row r="32" spans="1:33" x14ac:dyDescent="0.25">
      <c r="A32" s="3">
        <v>45963</v>
      </c>
      <c r="B32" s="145">
        <f>SUMIFS(Table2[NewPointsAway],Table2[GameDate], "&lt;=" &amp; $A32, Table2[AwayTeam], B$1)+SUMIFS(Table2[NewPointsHome],Table2[GameDate], "&lt;=" &amp; $A32, Table2[HomeTeam], B$1)</f>
        <v>7</v>
      </c>
      <c r="C32" s="145">
        <f>SUMIFS(Table2[NewPointsAway],Table2[GameDate], "&lt;=" &amp; $A32, Table2[AwayTeam], C$1)+SUMIFS(Table2[NewPointsHome],Table2[GameDate], "&lt;=" &amp; $A32, Table2[HomeTeam], C$1)</f>
        <v>6</v>
      </c>
      <c r="D32" s="145">
        <f>SUMIFS(Table2[NewPointsAway],Table2[GameDate], "&lt;=" &amp; $A32, Table2[AwayTeam], D$1)+SUMIFS(Table2[NewPointsHome],Table2[GameDate], "&lt;=" &amp; $A32, Table2[HomeTeam], D$1)</f>
        <v>4</v>
      </c>
      <c r="E32" s="145">
        <f>SUMIFS(Table2[NewPointsAway],Table2[GameDate], "&lt;=" &amp; $A32, Table2[AwayTeam], E$1)+SUMIFS(Table2[NewPointsHome],Table2[GameDate], "&lt;=" &amp; $A32, Table2[HomeTeam], E$1)</f>
        <v>10</v>
      </c>
      <c r="F32" s="145">
        <f>SUMIFS(Table2[NewPointsAway],Table2[GameDate], "&lt;=" &amp; $A32, Table2[AwayTeam], F$1)+SUMIFS(Table2[NewPointsHome],Table2[GameDate], "&lt;=" &amp; $A32, Table2[HomeTeam], F$1)</f>
        <v>6</v>
      </c>
      <c r="G32" s="145">
        <f>SUMIFS(Table2[NewPointsAway],Table2[GameDate], "&lt;=" &amp; $A32, Table2[AwayTeam], G$1)+SUMIFS(Table2[NewPointsHome],Table2[GameDate], "&lt;=" &amp; $A32, Table2[HomeTeam], G$1)</f>
        <v>2</v>
      </c>
      <c r="H32" s="145">
        <f>SUMIFS(Table2[NewPointsAway],Table2[GameDate], "&lt;=" &amp; $A32, Table2[AwayTeam], H$1)+SUMIFS(Table2[NewPointsHome],Table2[GameDate], "&lt;=" &amp; $A32, Table2[HomeTeam], H$1)</f>
        <v>8</v>
      </c>
      <c r="I32" s="145">
        <f>SUMIFS(Table2[NewPointsAway],Table2[GameDate], "&lt;=" &amp; $A32, Table2[AwayTeam], I$1)+SUMIFS(Table2[NewPointsHome],Table2[GameDate], "&lt;=" &amp; $A32, Table2[HomeTeam], I$1)</f>
        <v>12</v>
      </c>
      <c r="J32" s="145">
        <f>SUMIFS(Table2[NewPointsAway],Table2[GameDate], "&lt;=" &amp; $A32, Table2[AwayTeam], J$1)+SUMIFS(Table2[NewPointsHome],Table2[GameDate], "&lt;=" &amp; $A32, Table2[HomeTeam], J$1)</f>
        <v>6</v>
      </c>
      <c r="K32" s="145">
        <f>SUMIFS(Table2[NewPointsAway],Table2[GameDate], "&lt;=" &amp; $A32, Table2[AwayTeam], K$1)+SUMIFS(Table2[NewPointsHome],Table2[GameDate], "&lt;=" &amp; $A32, Table2[HomeTeam], K$1)</f>
        <v>10</v>
      </c>
      <c r="L32" s="145">
        <f>SUMIFS(Table2[NewPointsAway],Table2[GameDate], "&lt;=" &amp; $A32, Table2[AwayTeam], L$1)+SUMIFS(Table2[NewPointsHome],Table2[GameDate], "&lt;=" &amp; $A32, Table2[HomeTeam], L$1)</f>
        <v>7</v>
      </c>
      <c r="M32" s="145">
        <f>SUMIFS(Table2[NewPointsAway],Table2[GameDate], "&lt;=" &amp; $A32, Table2[AwayTeam], M$1)+SUMIFS(Table2[NewPointsHome],Table2[GameDate], "&lt;=" &amp; $A32, Table2[HomeTeam], M$1)</f>
        <v>8</v>
      </c>
      <c r="N32" s="145">
        <f>SUMIFS(Table2[NewPointsAway],Table2[GameDate], "&lt;=" &amp; $A32, Table2[AwayTeam], N$1)+SUMIFS(Table2[NewPointsHome],Table2[GameDate], "&lt;=" &amp; $A32, Table2[HomeTeam], N$1)</f>
        <v>6</v>
      </c>
      <c r="O32" s="145">
        <f>SUMIFS(Table2[NewPointsAway],Table2[GameDate], "&lt;=" &amp; $A32, Table2[AwayTeam], O$1)+SUMIFS(Table2[NewPointsHome],Table2[GameDate], "&lt;=" &amp; $A32, Table2[HomeTeam], O$1)</f>
        <v>7</v>
      </c>
      <c r="P32" s="145">
        <f>SUMIFS(Table2[NewPointsAway],Table2[GameDate], "&lt;=" &amp; $A32, Table2[AwayTeam], P$1)+SUMIFS(Table2[NewPointsHome],Table2[GameDate], "&lt;=" &amp; $A32, Table2[HomeTeam], P$1)</f>
        <v>10</v>
      </c>
      <c r="Q32" s="145">
        <f>SUMIFS(Table2[NewPointsAway],Table2[GameDate], "&lt;=" &amp; $A32, Table2[AwayTeam], Q$1)+SUMIFS(Table2[NewPointsHome],Table2[GameDate], "&lt;=" &amp; $A32, Table2[HomeTeam], Q$1)</f>
        <v>10</v>
      </c>
      <c r="R32" s="145">
        <f>SUMIFS(Table2[NewPointsAway],Table2[GameDate], "&lt;=" &amp; $A32, Table2[AwayTeam], R$1)+SUMIFS(Table2[NewPointsHome],Table2[GameDate], "&lt;=" &amp; $A32, Table2[HomeTeam], R$1)</f>
        <v>6</v>
      </c>
      <c r="S32" s="145">
        <f>SUMIFS(Table2[NewPointsAway],Table2[GameDate], "&lt;=" &amp; $A32, Table2[AwayTeam], S$1)+SUMIFS(Table2[NewPointsHome],Table2[GameDate], "&lt;=" &amp; $A32, Table2[HomeTeam], S$1)</f>
        <v>6</v>
      </c>
      <c r="T32" s="145">
        <f>SUMIFS(Table2[NewPointsAway],Table2[GameDate], "&lt;=" &amp; $A32, Table2[AwayTeam], T$1)+SUMIFS(Table2[NewPointsHome],Table2[GameDate], "&lt;=" &amp; $A32, Table2[HomeTeam], T$1)</f>
        <v>7</v>
      </c>
      <c r="U32" s="145">
        <f>SUMIFS(Table2[NewPointsAway],Table2[GameDate], "&lt;=" &amp; $A32, Table2[AwayTeam], U$1)+SUMIFS(Table2[NewPointsHome],Table2[GameDate], "&lt;=" &amp; $A32, Table2[HomeTeam], U$1)</f>
        <v>5</v>
      </c>
      <c r="V32" s="145">
        <f>SUMIFS(Table2[NewPointsAway],Table2[GameDate], "&lt;=" &amp; $A32, Table2[AwayTeam], V$1)+SUMIFS(Table2[NewPointsHome],Table2[GameDate], "&lt;=" &amp; $A32, Table2[HomeTeam], V$1)</f>
        <v>7</v>
      </c>
      <c r="W32" s="145">
        <f>SUMIFS(Table2[NewPointsAway],Table2[GameDate], "&lt;=" &amp; $A32, Table2[AwayTeam], W$1)+SUMIFS(Table2[NewPointsHome],Table2[GameDate], "&lt;=" &amp; $A32, Table2[HomeTeam], W$1)</f>
        <v>10</v>
      </c>
      <c r="X32" s="145">
        <f>SUMIFS(Table2[NewPointsAway],Table2[GameDate], "&lt;=" &amp; $A32, Table2[AwayTeam], X$1)+SUMIFS(Table2[NewPointsHome],Table2[GameDate], "&lt;=" &amp; $A32, Table2[HomeTeam], X$1)</f>
        <v>8</v>
      </c>
      <c r="Y32" s="145">
        <f>SUMIFS(Table2[NewPointsAway],Table2[GameDate], "&lt;=" &amp; $A32, Table2[AwayTeam], Y$1)+SUMIFS(Table2[NewPointsHome],Table2[GameDate], "&lt;=" &amp; $A32, Table2[HomeTeam], Y$1)</f>
        <v>2</v>
      </c>
      <c r="Z32" s="145">
        <f>SUMIFS(Table2[NewPointsAway],Table2[GameDate], "&lt;=" &amp; $A32, Table2[AwayTeam], Z$1)+SUMIFS(Table2[NewPointsHome],Table2[GameDate], "&lt;=" &amp; $A32, Table2[HomeTeam], Z$1)</f>
        <v>7</v>
      </c>
      <c r="AA32" s="145">
        <f>SUMIFS(Table2[NewPointsAway],Table2[GameDate], "&lt;=" &amp; $A32, Table2[AwayTeam], AA$1)+SUMIFS(Table2[NewPointsHome],Table2[GameDate], "&lt;=" &amp; $A32, Table2[HomeTeam], AA$1)</f>
        <v>4</v>
      </c>
      <c r="AB32" s="145">
        <f>SUMIFS(Table2[NewPointsAway],Table2[GameDate], "&lt;=" &amp; $A32, Table2[AwayTeam], AB$1)+SUMIFS(Table2[NewPointsHome],Table2[GameDate], "&lt;=" &amp; $A32, Table2[HomeTeam], AB$1)</f>
        <v>7</v>
      </c>
      <c r="AC32" s="145">
        <f>SUMIFS(Table2[NewPointsAway],Table2[GameDate], "&lt;=" &amp; $A32, Table2[AwayTeam], AC$1)+SUMIFS(Table2[NewPointsHome],Table2[GameDate], "&lt;=" &amp; $A32, Table2[HomeTeam], AC$1)</f>
        <v>10</v>
      </c>
      <c r="AD32" s="145">
        <f>SUMIFS(Table2[NewPointsAway],Table2[GameDate], "&lt;=" &amp; $A32, Table2[AwayTeam], AD$1)+SUMIFS(Table2[NewPointsHome],Table2[GameDate], "&lt;=" &amp; $A32, Table2[HomeTeam], AD$1)</f>
        <v>8</v>
      </c>
      <c r="AE32" s="145">
        <f>SUMIFS(Table2[NewPointsAway],Table2[GameDate], "&lt;=" &amp; $A32, Table2[AwayTeam], AE$1)+SUMIFS(Table2[NewPointsHome],Table2[GameDate], "&lt;=" &amp; $A32, Table2[HomeTeam], AE$1)</f>
        <v>12</v>
      </c>
      <c r="AF32" s="145">
        <f>SUMIFS(Table2[NewPointsAway],Table2[GameDate], "&lt;=" &amp; $A32, Table2[AwayTeam], AF$1)+SUMIFS(Table2[NewPointsHome],Table2[GameDate], "&lt;=" &amp; $A32, Table2[HomeTeam], AF$1)</f>
        <v>10</v>
      </c>
      <c r="AG32" s="145">
        <f>SUMIFS(Table2[NewPointsAway],Table2[GameDate], "&lt;=" &amp; $A32, Table2[AwayTeam], AG$1)+SUMIFS(Table2[NewPointsHome],Table2[GameDate], "&lt;=" &amp; $A32, Table2[HomeTeam], AG$1)</f>
        <v>10</v>
      </c>
    </row>
    <row r="33" spans="1:33" x14ac:dyDescent="0.25">
      <c r="A33" s="3">
        <v>45964</v>
      </c>
      <c r="B33" s="145">
        <f>SUMIFS(Table2[NewPointsAway],Table2[GameDate], "&lt;=" &amp; $A33, Table2[AwayTeam], B$1)+SUMIFS(Table2[NewPointsHome],Table2[GameDate], "&lt;=" &amp; $A33, Table2[HomeTeam], B$1)</f>
        <v>7</v>
      </c>
      <c r="C33" s="145">
        <f>SUMIFS(Table2[NewPointsAway],Table2[GameDate], "&lt;=" &amp; $A33, Table2[AwayTeam], C$1)+SUMIFS(Table2[NewPointsHome],Table2[GameDate], "&lt;=" &amp; $A33, Table2[HomeTeam], C$1)</f>
        <v>6</v>
      </c>
      <c r="D33" s="145">
        <f>SUMIFS(Table2[NewPointsAway],Table2[GameDate], "&lt;=" &amp; $A33, Table2[AwayTeam], D$1)+SUMIFS(Table2[NewPointsHome],Table2[GameDate], "&lt;=" &amp; $A33, Table2[HomeTeam], D$1)</f>
        <v>4</v>
      </c>
      <c r="E33" s="145">
        <f>SUMIFS(Table2[NewPointsAway],Table2[GameDate], "&lt;=" &amp; $A33, Table2[AwayTeam], E$1)+SUMIFS(Table2[NewPointsHome],Table2[GameDate], "&lt;=" &amp; $A33, Table2[HomeTeam], E$1)</f>
        <v>10</v>
      </c>
      <c r="F33" s="145">
        <f>SUMIFS(Table2[NewPointsAway],Table2[GameDate], "&lt;=" &amp; $A33, Table2[AwayTeam], F$1)+SUMIFS(Table2[NewPointsHome],Table2[GameDate], "&lt;=" &amp; $A33, Table2[HomeTeam], F$1)</f>
        <v>6</v>
      </c>
      <c r="G33" s="145">
        <f>SUMIFS(Table2[NewPointsAway],Table2[GameDate], "&lt;=" &amp; $A33, Table2[AwayTeam], G$1)+SUMIFS(Table2[NewPointsHome],Table2[GameDate], "&lt;=" &amp; $A33, Table2[HomeTeam], G$1)</f>
        <v>2</v>
      </c>
      <c r="H33" s="145">
        <f>SUMIFS(Table2[NewPointsAway],Table2[GameDate], "&lt;=" &amp; $A33, Table2[AwayTeam], H$1)+SUMIFS(Table2[NewPointsHome],Table2[GameDate], "&lt;=" &amp; $A33, Table2[HomeTeam], H$1)</f>
        <v>8</v>
      </c>
      <c r="I33" s="145">
        <f>SUMIFS(Table2[NewPointsAway],Table2[GameDate], "&lt;=" &amp; $A33, Table2[AwayTeam], I$1)+SUMIFS(Table2[NewPointsHome],Table2[GameDate], "&lt;=" &amp; $A33, Table2[HomeTeam], I$1)</f>
        <v>12</v>
      </c>
      <c r="J33" s="145">
        <f>SUMIFS(Table2[NewPointsAway],Table2[GameDate], "&lt;=" &amp; $A33, Table2[AwayTeam], J$1)+SUMIFS(Table2[NewPointsHome],Table2[GameDate], "&lt;=" &amp; $A33, Table2[HomeTeam], J$1)</f>
        <v>6</v>
      </c>
      <c r="K33" s="145">
        <f>SUMIFS(Table2[NewPointsAway],Table2[GameDate], "&lt;=" &amp; $A33, Table2[AwayTeam], K$1)+SUMIFS(Table2[NewPointsHome],Table2[GameDate], "&lt;=" &amp; $A33, Table2[HomeTeam], K$1)</f>
        <v>10</v>
      </c>
      <c r="L33" s="145">
        <f>SUMIFS(Table2[NewPointsAway],Table2[GameDate], "&lt;=" &amp; $A33, Table2[AwayTeam], L$1)+SUMIFS(Table2[NewPointsHome],Table2[GameDate], "&lt;=" &amp; $A33, Table2[HomeTeam], L$1)</f>
        <v>7</v>
      </c>
      <c r="M33" s="145">
        <f>SUMIFS(Table2[NewPointsAway],Table2[GameDate], "&lt;=" &amp; $A33, Table2[AwayTeam], M$1)+SUMIFS(Table2[NewPointsHome],Table2[GameDate], "&lt;=" &amp; $A33, Table2[HomeTeam], M$1)</f>
        <v>8</v>
      </c>
      <c r="N33" s="145">
        <f>SUMIFS(Table2[NewPointsAway],Table2[GameDate], "&lt;=" &amp; $A33, Table2[AwayTeam], N$1)+SUMIFS(Table2[NewPointsHome],Table2[GameDate], "&lt;=" &amp; $A33, Table2[HomeTeam], N$1)</f>
        <v>6</v>
      </c>
      <c r="O33" s="145">
        <f>SUMIFS(Table2[NewPointsAway],Table2[GameDate], "&lt;=" &amp; $A33, Table2[AwayTeam], O$1)+SUMIFS(Table2[NewPointsHome],Table2[GameDate], "&lt;=" &amp; $A33, Table2[HomeTeam], O$1)</f>
        <v>7</v>
      </c>
      <c r="P33" s="145">
        <f>SUMIFS(Table2[NewPointsAway],Table2[GameDate], "&lt;=" &amp; $A33, Table2[AwayTeam], P$1)+SUMIFS(Table2[NewPointsHome],Table2[GameDate], "&lt;=" &amp; $A33, Table2[HomeTeam], P$1)</f>
        <v>10</v>
      </c>
      <c r="Q33" s="145">
        <f>SUMIFS(Table2[NewPointsAway],Table2[GameDate], "&lt;=" &amp; $A33, Table2[AwayTeam], Q$1)+SUMIFS(Table2[NewPointsHome],Table2[GameDate], "&lt;=" &amp; $A33, Table2[HomeTeam], Q$1)</f>
        <v>10</v>
      </c>
      <c r="R33" s="145">
        <f>SUMIFS(Table2[NewPointsAway],Table2[GameDate], "&lt;=" &amp; $A33, Table2[AwayTeam], R$1)+SUMIFS(Table2[NewPointsHome],Table2[GameDate], "&lt;=" &amp; $A33, Table2[HomeTeam], R$1)</f>
        <v>6</v>
      </c>
      <c r="S33" s="145">
        <f>SUMIFS(Table2[NewPointsAway],Table2[GameDate], "&lt;=" &amp; $A33, Table2[AwayTeam], S$1)+SUMIFS(Table2[NewPointsHome],Table2[GameDate], "&lt;=" &amp; $A33, Table2[HomeTeam], S$1)</f>
        <v>6</v>
      </c>
      <c r="T33" s="145">
        <f>SUMIFS(Table2[NewPointsAway],Table2[GameDate], "&lt;=" &amp; $A33, Table2[AwayTeam], T$1)+SUMIFS(Table2[NewPointsHome],Table2[GameDate], "&lt;=" &amp; $A33, Table2[HomeTeam], T$1)</f>
        <v>7</v>
      </c>
      <c r="U33" s="145">
        <f>SUMIFS(Table2[NewPointsAway],Table2[GameDate], "&lt;=" &amp; $A33, Table2[AwayTeam], U$1)+SUMIFS(Table2[NewPointsHome],Table2[GameDate], "&lt;=" &amp; $A33, Table2[HomeTeam], U$1)</f>
        <v>5</v>
      </c>
      <c r="V33" s="145">
        <f>SUMIFS(Table2[NewPointsAway],Table2[GameDate], "&lt;=" &amp; $A33, Table2[AwayTeam], V$1)+SUMIFS(Table2[NewPointsHome],Table2[GameDate], "&lt;=" &amp; $A33, Table2[HomeTeam], V$1)</f>
        <v>7</v>
      </c>
      <c r="W33" s="145">
        <f>SUMIFS(Table2[NewPointsAway],Table2[GameDate], "&lt;=" &amp; $A33, Table2[AwayTeam], W$1)+SUMIFS(Table2[NewPointsHome],Table2[GameDate], "&lt;=" &amp; $A33, Table2[HomeTeam], W$1)</f>
        <v>10</v>
      </c>
      <c r="X33" s="145">
        <f>SUMIFS(Table2[NewPointsAway],Table2[GameDate], "&lt;=" &amp; $A33, Table2[AwayTeam], X$1)+SUMIFS(Table2[NewPointsHome],Table2[GameDate], "&lt;=" &amp; $A33, Table2[HomeTeam], X$1)</f>
        <v>8</v>
      </c>
      <c r="Y33" s="145">
        <f>SUMIFS(Table2[NewPointsAway],Table2[GameDate], "&lt;=" &amp; $A33, Table2[AwayTeam], Y$1)+SUMIFS(Table2[NewPointsHome],Table2[GameDate], "&lt;=" &amp; $A33, Table2[HomeTeam], Y$1)</f>
        <v>2</v>
      </c>
      <c r="Z33" s="145">
        <f>SUMIFS(Table2[NewPointsAway],Table2[GameDate], "&lt;=" &amp; $A33, Table2[AwayTeam], Z$1)+SUMIFS(Table2[NewPointsHome],Table2[GameDate], "&lt;=" &amp; $A33, Table2[HomeTeam], Z$1)</f>
        <v>7</v>
      </c>
      <c r="AA33" s="145">
        <f>SUMIFS(Table2[NewPointsAway],Table2[GameDate], "&lt;=" &amp; $A33, Table2[AwayTeam], AA$1)+SUMIFS(Table2[NewPointsHome],Table2[GameDate], "&lt;=" &amp; $A33, Table2[HomeTeam], AA$1)</f>
        <v>4</v>
      </c>
      <c r="AB33" s="145">
        <f>SUMIFS(Table2[NewPointsAway],Table2[GameDate], "&lt;=" &amp; $A33, Table2[AwayTeam], AB$1)+SUMIFS(Table2[NewPointsHome],Table2[GameDate], "&lt;=" &amp; $A33, Table2[HomeTeam], AB$1)</f>
        <v>7</v>
      </c>
      <c r="AC33" s="145">
        <f>SUMIFS(Table2[NewPointsAway],Table2[GameDate], "&lt;=" &amp; $A33, Table2[AwayTeam], AC$1)+SUMIFS(Table2[NewPointsHome],Table2[GameDate], "&lt;=" &amp; $A33, Table2[HomeTeam], AC$1)</f>
        <v>10</v>
      </c>
      <c r="AD33" s="145">
        <f>SUMIFS(Table2[NewPointsAway],Table2[GameDate], "&lt;=" &amp; $A33, Table2[AwayTeam], AD$1)+SUMIFS(Table2[NewPointsHome],Table2[GameDate], "&lt;=" &amp; $A33, Table2[HomeTeam], AD$1)</f>
        <v>8</v>
      </c>
      <c r="AE33" s="145">
        <f>SUMIFS(Table2[NewPointsAway],Table2[GameDate], "&lt;=" &amp; $A33, Table2[AwayTeam], AE$1)+SUMIFS(Table2[NewPointsHome],Table2[GameDate], "&lt;=" &amp; $A33, Table2[HomeTeam], AE$1)</f>
        <v>12</v>
      </c>
      <c r="AF33" s="145">
        <f>SUMIFS(Table2[NewPointsAway],Table2[GameDate], "&lt;=" &amp; $A33, Table2[AwayTeam], AF$1)+SUMIFS(Table2[NewPointsHome],Table2[GameDate], "&lt;=" &amp; $A33, Table2[HomeTeam], AF$1)</f>
        <v>10</v>
      </c>
      <c r="AG33" s="145">
        <f>SUMIFS(Table2[NewPointsAway],Table2[GameDate], "&lt;=" &amp; $A33, Table2[AwayTeam], AG$1)+SUMIFS(Table2[NewPointsHome],Table2[GameDate], "&lt;=" &amp; $A33, Table2[HomeTeam], AG$1)</f>
        <v>10</v>
      </c>
    </row>
    <row r="34" spans="1:33" x14ac:dyDescent="0.25">
      <c r="A34" s="3">
        <v>45965</v>
      </c>
      <c r="B34" s="145">
        <f>SUMIFS(Table2[NewPointsAway],Table2[GameDate], "&lt;=" &amp; $A34, Table2[AwayTeam], B$1)+SUMIFS(Table2[NewPointsHome],Table2[GameDate], "&lt;=" &amp; $A34, Table2[HomeTeam], B$1)</f>
        <v>7</v>
      </c>
      <c r="C34" s="145">
        <f>SUMIFS(Table2[NewPointsAway],Table2[GameDate], "&lt;=" &amp; $A34, Table2[AwayTeam], C$1)+SUMIFS(Table2[NewPointsHome],Table2[GameDate], "&lt;=" &amp; $A34, Table2[HomeTeam], C$1)</f>
        <v>6</v>
      </c>
      <c r="D34" s="145">
        <f>SUMIFS(Table2[NewPointsAway],Table2[GameDate], "&lt;=" &amp; $A34, Table2[AwayTeam], D$1)+SUMIFS(Table2[NewPointsHome],Table2[GameDate], "&lt;=" &amp; $A34, Table2[HomeTeam], D$1)</f>
        <v>4</v>
      </c>
      <c r="E34" s="145">
        <f>SUMIFS(Table2[NewPointsAway],Table2[GameDate], "&lt;=" &amp; $A34, Table2[AwayTeam], E$1)+SUMIFS(Table2[NewPointsHome],Table2[GameDate], "&lt;=" &amp; $A34, Table2[HomeTeam], E$1)</f>
        <v>10</v>
      </c>
      <c r="F34" s="145">
        <f>SUMIFS(Table2[NewPointsAway],Table2[GameDate], "&lt;=" &amp; $A34, Table2[AwayTeam], F$1)+SUMIFS(Table2[NewPointsHome],Table2[GameDate], "&lt;=" &amp; $A34, Table2[HomeTeam], F$1)</f>
        <v>6</v>
      </c>
      <c r="G34" s="145">
        <f>SUMIFS(Table2[NewPointsAway],Table2[GameDate], "&lt;=" &amp; $A34, Table2[AwayTeam], G$1)+SUMIFS(Table2[NewPointsHome],Table2[GameDate], "&lt;=" &amp; $A34, Table2[HomeTeam], G$1)</f>
        <v>2</v>
      </c>
      <c r="H34" s="145">
        <f>SUMIFS(Table2[NewPointsAway],Table2[GameDate], "&lt;=" &amp; $A34, Table2[AwayTeam], H$1)+SUMIFS(Table2[NewPointsHome],Table2[GameDate], "&lt;=" &amp; $A34, Table2[HomeTeam], H$1)</f>
        <v>8</v>
      </c>
      <c r="I34" s="145">
        <f>SUMIFS(Table2[NewPointsAway],Table2[GameDate], "&lt;=" &amp; $A34, Table2[AwayTeam], I$1)+SUMIFS(Table2[NewPointsHome],Table2[GameDate], "&lt;=" &amp; $A34, Table2[HomeTeam], I$1)</f>
        <v>12</v>
      </c>
      <c r="J34" s="145">
        <f>SUMIFS(Table2[NewPointsAway],Table2[GameDate], "&lt;=" &amp; $A34, Table2[AwayTeam], J$1)+SUMIFS(Table2[NewPointsHome],Table2[GameDate], "&lt;=" &amp; $A34, Table2[HomeTeam], J$1)</f>
        <v>6</v>
      </c>
      <c r="K34" s="145">
        <f>SUMIFS(Table2[NewPointsAway],Table2[GameDate], "&lt;=" &amp; $A34, Table2[AwayTeam], K$1)+SUMIFS(Table2[NewPointsHome],Table2[GameDate], "&lt;=" &amp; $A34, Table2[HomeTeam], K$1)</f>
        <v>10</v>
      </c>
      <c r="L34" s="145">
        <f>SUMIFS(Table2[NewPointsAway],Table2[GameDate], "&lt;=" &amp; $A34, Table2[AwayTeam], L$1)+SUMIFS(Table2[NewPointsHome],Table2[GameDate], "&lt;=" &amp; $A34, Table2[HomeTeam], L$1)</f>
        <v>7</v>
      </c>
      <c r="M34" s="145">
        <f>SUMIFS(Table2[NewPointsAway],Table2[GameDate], "&lt;=" &amp; $A34, Table2[AwayTeam], M$1)+SUMIFS(Table2[NewPointsHome],Table2[GameDate], "&lt;=" &amp; $A34, Table2[HomeTeam], M$1)</f>
        <v>8</v>
      </c>
      <c r="N34" s="145">
        <f>SUMIFS(Table2[NewPointsAway],Table2[GameDate], "&lt;=" &amp; $A34, Table2[AwayTeam], N$1)+SUMIFS(Table2[NewPointsHome],Table2[GameDate], "&lt;=" &amp; $A34, Table2[HomeTeam], N$1)</f>
        <v>6</v>
      </c>
      <c r="O34" s="145">
        <f>SUMIFS(Table2[NewPointsAway],Table2[GameDate], "&lt;=" &amp; $A34, Table2[AwayTeam], O$1)+SUMIFS(Table2[NewPointsHome],Table2[GameDate], "&lt;=" &amp; $A34, Table2[HomeTeam], O$1)</f>
        <v>7</v>
      </c>
      <c r="P34" s="145">
        <f>SUMIFS(Table2[NewPointsAway],Table2[GameDate], "&lt;=" &amp; $A34, Table2[AwayTeam], P$1)+SUMIFS(Table2[NewPointsHome],Table2[GameDate], "&lt;=" &amp; $A34, Table2[HomeTeam], P$1)</f>
        <v>10</v>
      </c>
      <c r="Q34" s="145">
        <f>SUMIFS(Table2[NewPointsAway],Table2[GameDate], "&lt;=" &amp; $A34, Table2[AwayTeam], Q$1)+SUMIFS(Table2[NewPointsHome],Table2[GameDate], "&lt;=" &amp; $A34, Table2[HomeTeam], Q$1)</f>
        <v>10</v>
      </c>
      <c r="R34" s="145">
        <f>SUMIFS(Table2[NewPointsAway],Table2[GameDate], "&lt;=" &amp; $A34, Table2[AwayTeam], R$1)+SUMIFS(Table2[NewPointsHome],Table2[GameDate], "&lt;=" &amp; $A34, Table2[HomeTeam], R$1)</f>
        <v>6</v>
      </c>
      <c r="S34" s="145">
        <f>SUMIFS(Table2[NewPointsAway],Table2[GameDate], "&lt;=" &amp; $A34, Table2[AwayTeam], S$1)+SUMIFS(Table2[NewPointsHome],Table2[GameDate], "&lt;=" &amp; $A34, Table2[HomeTeam], S$1)</f>
        <v>6</v>
      </c>
      <c r="T34" s="145">
        <f>SUMIFS(Table2[NewPointsAway],Table2[GameDate], "&lt;=" &amp; $A34, Table2[AwayTeam], T$1)+SUMIFS(Table2[NewPointsHome],Table2[GameDate], "&lt;=" &amp; $A34, Table2[HomeTeam], T$1)</f>
        <v>7</v>
      </c>
      <c r="U34" s="145">
        <f>SUMIFS(Table2[NewPointsAway],Table2[GameDate], "&lt;=" &amp; $A34, Table2[AwayTeam], U$1)+SUMIFS(Table2[NewPointsHome],Table2[GameDate], "&lt;=" &amp; $A34, Table2[HomeTeam], U$1)</f>
        <v>5</v>
      </c>
      <c r="V34" s="145">
        <f>SUMIFS(Table2[NewPointsAway],Table2[GameDate], "&lt;=" &amp; $A34, Table2[AwayTeam], V$1)+SUMIFS(Table2[NewPointsHome],Table2[GameDate], "&lt;=" &amp; $A34, Table2[HomeTeam], V$1)</f>
        <v>7</v>
      </c>
      <c r="W34" s="145">
        <f>SUMIFS(Table2[NewPointsAway],Table2[GameDate], "&lt;=" &amp; $A34, Table2[AwayTeam], W$1)+SUMIFS(Table2[NewPointsHome],Table2[GameDate], "&lt;=" &amp; $A34, Table2[HomeTeam], W$1)</f>
        <v>10</v>
      </c>
      <c r="X34" s="145">
        <f>SUMIFS(Table2[NewPointsAway],Table2[GameDate], "&lt;=" &amp; $A34, Table2[AwayTeam], X$1)+SUMIFS(Table2[NewPointsHome],Table2[GameDate], "&lt;=" &amp; $A34, Table2[HomeTeam], X$1)</f>
        <v>8</v>
      </c>
      <c r="Y34" s="145">
        <f>SUMIFS(Table2[NewPointsAway],Table2[GameDate], "&lt;=" &amp; $A34, Table2[AwayTeam], Y$1)+SUMIFS(Table2[NewPointsHome],Table2[GameDate], "&lt;=" &amp; $A34, Table2[HomeTeam], Y$1)</f>
        <v>2</v>
      </c>
      <c r="Z34" s="145">
        <f>SUMIFS(Table2[NewPointsAway],Table2[GameDate], "&lt;=" &amp; $A34, Table2[AwayTeam], Z$1)+SUMIFS(Table2[NewPointsHome],Table2[GameDate], "&lt;=" &amp; $A34, Table2[HomeTeam], Z$1)</f>
        <v>7</v>
      </c>
      <c r="AA34" s="145">
        <f>SUMIFS(Table2[NewPointsAway],Table2[GameDate], "&lt;=" &amp; $A34, Table2[AwayTeam], AA$1)+SUMIFS(Table2[NewPointsHome],Table2[GameDate], "&lt;=" &amp; $A34, Table2[HomeTeam], AA$1)</f>
        <v>4</v>
      </c>
      <c r="AB34" s="145">
        <f>SUMIFS(Table2[NewPointsAway],Table2[GameDate], "&lt;=" &amp; $A34, Table2[AwayTeam], AB$1)+SUMIFS(Table2[NewPointsHome],Table2[GameDate], "&lt;=" &amp; $A34, Table2[HomeTeam], AB$1)</f>
        <v>7</v>
      </c>
      <c r="AC34" s="145">
        <f>SUMIFS(Table2[NewPointsAway],Table2[GameDate], "&lt;=" &amp; $A34, Table2[AwayTeam], AC$1)+SUMIFS(Table2[NewPointsHome],Table2[GameDate], "&lt;=" &amp; $A34, Table2[HomeTeam], AC$1)</f>
        <v>10</v>
      </c>
      <c r="AD34" s="145">
        <f>SUMIFS(Table2[NewPointsAway],Table2[GameDate], "&lt;=" &amp; $A34, Table2[AwayTeam], AD$1)+SUMIFS(Table2[NewPointsHome],Table2[GameDate], "&lt;=" &amp; $A34, Table2[HomeTeam], AD$1)</f>
        <v>8</v>
      </c>
      <c r="AE34" s="145">
        <f>SUMIFS(Table2[NewPointsAway],Table2[GameDate], "&lt;=" &amp; $A34, Table2[AwayTeam], AE$1)+SUMIFS(Table2[NewPointsHome],Table2[GameDate], "&lt;=" &amp; $A34, Table2[HomeTeam], AE$1)</f>
        <v>12</v>
      </c>
      <c r="AF34" s="145">
        <f>SUMIFS(Table2[NewPointsAway],Table2[GameDate], "&lt;=" &amp; $A34, Table2[AwayTeam], AF$1)+SUMIFS(Table2[NewPointsHome],Table2[GameDate], "&lt;=" &amp; $A34, Table2[HomeTeam], AF$1)</f>
        <v>10</v>
      </c>
      <c r="AG34" s="145">
        <f>SUMIFS(Table2[NewPointsAway],Table2[GameDate], "&lt;=" &amp; $A34, Table2[AwayTeam], AG$1)+SUMIFS(Table2[NewPointsHome],Table2[GameDate], "&lt;=" &amp; $A34, Table2[HomeTeam], AG$1)</f>
        <v>10</v>
      </c>
    </row>
    <row r="35" spans="1:33" x14ac:dyDescent="0.25">
      <c r="A35" s="3">
        <v>45966</v>
      </c>
      <c r="B35" s="145">
        <f>SUMIFS(Table2[NewPointsAway],Table2[GameDate], "&lt;=" &amp; $A35, Table2[AwayTeam], B$1)+SUMIFS(Table2[NewPointsHome],Table2[GameDate], "&lt;=" &amp; $A35, Table2[HomeTeam], B$1)</f>
        <v>7</v>
      </c>
      <c r="C35" s="145">
        <f>SUMIFS(Table2[NewPointsAway],Table2[GameDate], "&lt;=" &amp; $A35, Table2[AwayTeam], C$1)+SUMIFS(Table2[NewPointsHome],Table2[GameDate], "&lt;=" &amp; $A35, Table2[HomeTeam], C$1)</f>
        <v>6</v>
      </c>
      <c r="D35" s="145">
        <f>SUMIFS(Table2[NewPointsAway],Table2[GameDate], "&lt;=" &amp; $A35, Table2[AwayTeam], D$1)+SUMIFS(Table2[NewPointsHome],Table2[GameDate], "&lt;=" &amp; $A35, Table2[HomeTeam], D$1)</f>
        <v>4</v>
      </c>
      <c r="E35" s="145">
        <f>SUMIFS(Table2[NewPointsAway],Table2[GameDate], "&lt;=" &amp; $A35, Table2[AwayTeam], E$1)+SUMIFS(Table2[NewPointsHome],Table2[GameDate], "&lt;=" &amp; $A35, Table2[HomeTeam], E$1)</f>
        <v>10</v>
      </c>
      <c r="F35" s="145">
        <f>SUMIFS(Table2[NewPointsAway],Table2[GameDate], "&lt;=" &amp; $A35, Table2[AwayTeam], F$1)+SUMIFS(Table2[NewPointsHome],Table2[GameDate], "&lt;=" &amp; $A35, Table2[HomeTeam], F$1)</f>
        <v>6</v>
      </c>
      <c r="G35" s="145">
        <f>SUMIFS(Table2[NewPointsAway],Table2[GameDate], "&lt;=" &amp; $A35, Table2[AwayTeam], G$1)+SUMIFS(Table2[NewPointsHome],Table2[GameDate], "&lt;=" &amp; $A35, Table2[HomeTeam], G$1)</f>
        <v>2</v>
      </c>
      <c r="H35" s="145">
        <f>SUMIFS(Table2[NewPointsAway],Table2[GameDate], "&lt;=" &amp; $A35, Table2[AwayTeam], H$1)+SUMIFS(Table2[NewPointsHome],Table2[GameDate], "&lt;=" &amp; $A35, Table2[HomeTeam], H$1)</f>
        <v>8</v>
      </c>
      <c r="I35" s="145">
        <f>SUMIFS(Table2[NewPointsAway],Table2[GameDate], "&lt;=" &amp; $A35, Table2[AwayTeam], I$1)+SUMIFS(Table2[NewPointsHome],Table2[GameDate], "&lt;=" &amp; $A35, Table2[HomeTeam], I$1)</f>
        <v>12</v>
      </c>
      <c r="J35" s="145">
        <f>SUMIFS(Table2[NewPointsAway],Table2[GameDate], "&lt;=" &amp; $A35, Table2[AwayTeam], J$1)+SUMIFS(Table2[NewPointsHome],Table2[GameDate], "&lt;=" &amp; $A35, Table2[HomeTeam], J$1)</f>
        <v>6</v>
      </c>
      <c r="K35" s="145">
        <f>SUMIFS(Table2[NewPointsAway],Table2[GameDate], "&lt;=" &amp; $A35, Table2[AwayTeam], K$1)+SUMIFS(Table2[NewPointsHome],Table2[GameDate], "&lt;=" &amp; $A35, Table2[HomeTeam], K$1)</f>
        <v>10</v>
      </c>
      <c r="L35" s="145">
        <f>SUMIFS(Table2[NewPointsAway],Table2[GameDate], "&lt;=" &amp; $A35, Table2[AwayTeam], L$1)+SUMIFS(Table2[NewPointsHome],Table2[GameDate], "&lt;=" &amp; $A35, Table2[HomeTeam], L$1)</f>
        <v>7</v>
      </c>
      <c r="M35" s="145">
        <f>SUMIFS(Table2[NewPointsAway],Table2[GameDate], "&lt;=" &amp; $A35, Table2[AwayTeam], M$1)+SUMIFS(Table2[NewPointsHome],Table2[GameDate], "&lt;=" &amp; $A35, Table2[HomeTeam], M$1)</f>
        <v>8</v>
      </c>
      <c r="N35" s="145">
        <f>SUMIFS(Table2[NewPointsAway],Table2[GameDate], "&lt;=" &amp; $A35, Table2[AwayTeam], N$1)+SUMIFS(Table2[NewPointsHome],Table2[GameDate], "&lt;=" &amp; $A35, Table2[HomeTeam], N$1)</f>
        <v>6</v>
      </c>
      <c r="O35" s="145">
        <f>SUMIFS(Table2[NewPointsAway],Table2[GameDate], "&lt;=" &amp; $A35, Table2[AwayTeam], O$1)+SUMIFS(Table2[NewPointsHome],Table2[GameDate], "&lt;=" &amp; $A35, Table2[HomeTeam], O$1)</f>
        <v>7</v>
      </c>
      <c r="P35" s="145">
        <f>SUMIFS(Table2[NewPointsAway],Table2[GameDate], "&lt;=" &amp; $A35, Table2[AwayTeam], P$1)+SUMIFS(Table2[NewPointsHome],Table2[GameDate], "&lt;=" &amp; $A35, Table2[HomeTeam], P$1)</f>
        <v>10</v>
      </c>
      <c r="Q35" s="145">
        <f>SUMIFS(Table2[NewPointsAway],Table2[GameDate], "&lt;=" &amp; $A35, Table2[AwayTeam], Q$1)+SUMIFS(Table2[NewPointsHome],Table2[GameDate], "&lt;=" &amp; $A35, Table2[HomeTeam], Q$1)</f>
        <v>10</v>
      </c>
      <c r="R35" s="145">
        <f>SUMIFS(Table2[NewPointsAway],Table2[GameDate], "&lt;=" &amp; $A35, Table2[AwayTeam], R$1)+SUMIFS(Table2[NewPointsHome],Table2[GameDate], "&lt;=" &amp; $A35, Table2[HomeTeam], R$1)</f>
        <v>6</v>
      </c>
      <c r="S35" s="145">
        <f>SUMIFS(Table2[NewPointsAway],Table2[GameDate], "&lt;=" &amp; $A35, Table2[AwayTeam], S$1)+SUMIFS(Table2[NewPointsHome],Table2[GameDate], "&lt;=" &amp; $A35, Table2[HomeTeam], S$1)</f>
        <v>6</v>
      </c>
      <c r="T35" s="145">
        <f>SUMIFS(Table2[NewPointsAway],Table2[GameDate], "&lt;=" &amp; $A35, Table2[AwayTeam], T$1)+SUMIFS(Table2[NewPointsHome],Table2[GameDate], "&lt;=" &amp; $A35, Table2[HomeTeam], T$1)</f>
        <v>7</v>
      </c>
      <c r="U35" s="145">
        <f>SUMIFS(Table2[NewPointsAway],Table2[GameDate], "&lt;=" &amp; $A35, Table2[AwayTeam], U$1)+SUMIFS(Table2[NewPointsHome],Table2[GameDate], "&lt;=" &amp; $A35, Table2[HomeTeam], U$1)</f>
        <v>5</v>
      </c>
      <c r="V35" s="145">
        <f>SUMIFS(Table2[NewPointsAway],Table2[GameDate], "&lt;=" &amp; $A35, Table2[AwayTeam], V$1)+SUMIFS(Table2[NewPointsHome],Table2[GameDate], "&lt;=" &amp; $A35, Table2[HomeTeam], V$1)</f>
        <v>7</v>
      </c>
      <c r="W35" s="145">
        <f>SUMIFS(Table2[NewPointsAway],Table2[GameDate], "&lt;=" &amp; $A35, Table2[AwayTeam], W$1)+SUMIFS(Table2[NewPointsHome],Table2[GameDate], "&lt;=" &amp; $A35, Table2[HomeTeam], W$1)</f>
        <v>10</v>
      </c>
      <c r="X35" s="145">
        <f>SUMIFS(Table2[NewPointsAway],Table2[GameDate], "&lt;=" &amp; $A35, Table2[AwayTeam], X$1)+SUMIFS(Table2[NewPointsHome],Table2[GameDate], "&lt;=" &amp; $A35, Table2[HomeTeam], X$1)</f>
        <v>8</v>
      </c>
      <c r="Y35" s="145">
        <f>SUMIFS(Table2[NewPointsAway],Table2[GameDate], "&lt;=" &amp; $A35, Table2[AwayTeam], Y$1)+SUMIFS(Table2[NewPointsHome],Table2[GameDate], "&lt;=" &amp; $A35, Table2[HomeTeam], Y$1)</f>
        <v>2</v>
      </c>
      <c r="Z35" s="145">
        <f>SUMIFS(Table2[NewPointsAway],Table2[GameDate], "&lt;=" &amp; $A35, Table2[AwayTeam], Z$1)+SUMIFS(Table2[NewPointsHome],Table2[GameDate], "&lt;=" &amp; $A35, Table2[HomeTeam], Z$1)</f>
        <v>7</v>
      </c>
      <c r="AA35" s="145">
        <f>SUMIFS(Table2[NewPointsAway],Table2[GameDate], "&lt;=" &amp; $A35, Table2[AwayTeam], AA$1)+SUMIFS(Table2[NewPointsHome],Table2[GameDate], "&lt;=" &amp; $A35, Table2[HomeTeam], AA$1)</f>
        <v>4</v>
      </c>
      <c r="AB35" s="145">
        <f>SUMIFS(Table2[NewPointsAway],Table2[GameDate], "&lt;=" &amp; $A35, Table2[AwayTeam], AB$1)+SUMIFS(Table2[NewPointsHome],Table2[GameDate], "&lt;=" &amp; $A35, Table2[HomeTeam], AB$1)</f>
        <v>7</v>
      </c>
      <c r="AC35" s="145">
        <f>SUMIFS(Table2[NewPointsAway],Table2[GameDate], "&lt;=" &amp; $A35, Table2[AwayTeam], AC$1)+SUMIFS(Table2[NewPointsHome],Table2[GameDate], "&lt;=" &amp; $A35, Table2[HomeTeam], AC$1)</f>
        <v>10</v>
      </c>
      <c r="AD35" s="145">
        <f>SUMIFS(Table2[NewPointsAway],Table2[GameDate], "&lt;=" &amp; $A35, Table2[AwayTeam], AD$1)+SUMIFS(Table2[NewPointsHome],Table2[GameDate], "&lt;=" &amp; $A35, Table2[HomeTeam], AD$1)</f>
        <v>8</v>
      </c>
      <c r="AE35" s="145">
        <f>SUMIFS(Table2[NewPointsAway],Table2[GameDate], "&lt;=" &amp; $A35, Table2[AwayTeam], AE$1)+SUMIFS(Table2[NewPointsHome],Table2[GameDate], "&lt;=" &amp; $A35, Table2[HomeTeam], AE$1)</f>
        <v>12</v>
      </c>
      <c r="AF35" s="145">
        <f>SUMIFS(Table2[NewPointsAway],Table2[GameDate], "&lt;=" &amp; $A35, Table2[AwayTeam], AF$1)+SUMIFS(Table2[NewPointsHome],Table2[GameDate], "&lt;=" &amp; $A35, Table2[HomeTeam], AF$1)</f>
        <v>10</v>
      </c>
      <c r="AG35" s="145">
        <f>SUMIFS(Table2[NewPointsAway],Table2[GameDate], "&lt;=" &amp; $A35, Table2[AwayTeam], AG$1)+SUMIFS(Table2[NewPointsHome],Table2[GameDate], "&lt;=" &amp; $A35, Table2[HomeTeam], AG$1)</f>
        <v>10</v>
      </c>
    </row>
    <row r="36" spans="1:33" x14ac:dyDescent="0.25">
      <c r="A36" s="3">
        <v>45967</v>
      </c>
      <c r="B36" s="145">
        <f>SUMIFS(Table2[NewPointsAway],Table2[GameDate], "&lt;=" &amp; $A36, Table2[AwayTeam], B$1)+SUMIFS(Table2[NewPointsHome],Table2[GameDate], "&lt;=" &amp; $A36, Table2[HomeTeam], B$1)</f>
        <v>7</v>
      </c>
      <c r="C36" s="145">
        <f>SUMIFS(Table2[NewPointsAway],Table2[GameDate], "&lt;=" &amp; $A36, Table2[AwayTeam], C$1)+SUMIFS(Table2[NewPointsHome],Table2[GameDate], "&lt;=" &amp; $A36, Table2[HomeTeam], C$1)</f>
        <v>6</v>
      </c>
      <c r="D36" s="145">
        <f>SUMIFS(Table2[NewPointsAway],Table2[GameDate], "&lt;=" &amp; $A36, Table2[AwayTeam], D$1)+SUMIFS(Table2[NewPointsHome],Table2[GameDate], "&lt;=" &amp; $A36, Table2[HomeTeam], D$1)</f>
        <v>4</v>
      </c>
      <c r="E36" s="145">
        <f>SUMIFS(Table2[NewPointsAway],Table2[GameDate], "&lt;=" &amp; $A36, Table2[AwayTeam], E$1)+SUMIFS(Table2[NewPointsHome],Table2[GameDate], "&lt;=" &amp; $A36, Table2[HomeTeam], E$1)</f>
        <v>10</v>
      </c>
      <c r="F36" s="145">
        <f>SUMIFS(Table2[NewPointsAway],Table2[GameDate], "&lt;=" &amp; $A36, Table2[AwayTeam], F$1)+SUMIFS(Table2[NewPointsHome],Table2[GameDate], "&lt;=" &amp; $A36, Table2[HomeTeam], F$1)</f>
        <v>6</v>
      </c>
      <c r="G36" s="145">
        <f>SUMIFS(Table2[NewPointsAway],Table2[GameDate], "&lt;=" &amp; $A36, Table2[AwayTeam], G$1)+SUMIFS(Table2[NewPointsHome],Table2[GameDate], "&lt;=" &amp; $A36, Table2[HomeTeam], G$1)</f>
        <v>2</v>
      </c>
      <c r="H36" s="145">
        <f>SUMIFS(Table2[NewPointsAway],Table2[GameDate], "&lt;=" &amp; $A36, Table2[AwayTeam], H$1)+SUMIFS(Table2[NewPointsHome],Table2[GameDate], "&lt;=" &amp; $A36, Table2[HomeTeam], H$1)</f>
        <v>8</v>
      </c>
      <c r="I36" s="145">
        <f>SUMIFS(Table2[NewPointsAway],Table2[GameDate], "&lt;=" &amp; $A36, Table2[AwayTeam], I$1)+SUMIFS(Table2[NewPointsHome],Table2[GameDate], "&lt;=" &amp; $A36, Table2[HomeTeam], I$1)</f>
        <v>12</v>
      </c>
      <c r="J36" s="145">
        <f>SUMIFS(Table2[NewPointsAway],Table2[GameDate], "&lt;=" &amp; $A36, Table2[AwayTeam], J$1)+SUMIFS(Table2[NewPointsHome],Table2[GameDate], "&lt;=" &amp; $A36, Table2[HomeTeam], J$1)</f>
        <v>6</v>
      </c>
      <c r="K36" s="145">
        <f>SUMIFS(Table2[NewPointsAway],Table2[GameDate], "&lt;=" &amp; $A36, Table2[AwayTeam], K$1)+SUMIFS(Table2[NewPointsHome],Table2[GameDate], "&lt;=" &amp; $A36, Table2[HomeTeam], K$1)</f>
        <v>10</v>
      </c>
      <c r="L36" s="145">
        <f>SUMIFS(Table2[NewPointsAway],Table2[GameDate], "&lt;=" &amp; $A36, Table2[AwayTeam], L$1)+SUMIFS(Table2[NewPointsHome],Table2[GameDate], "&lt;=" &amp; $A36, Table2[HomeTeam], L$1)</f>
        <v>7</v>
      </c>
      <c r="M36" s="145">
        <f>SUMIFS(Table2[NewPointsAway],Table2[GameDate], "&lt;=" &amp; $A36, Table2[AwayTeam], M$1)+SUMIFS(Table2[NewPointsHome],Table2[GameDate], "&lt;=" &amp; $A36, Table2[HomeTeam], M$1)</f>
        <v>8</v>
      </c>
      <c r="N36" s="145">
        <f>SUMIFS(Table2[NewPointsAway],Table2[GameDate], "&lt;=" &amp; $A36, Table2[AwayTeam], N$1)+SUMIFS(Table2[NewPointsHome],Table2[GameDate], "&lt;=" &amp; $A36, Table2[HomeTeam], N$1)</f>
        <v>6</v>
      </c>
      <c r="O36" s="145">
        <f>SUMIFS(Table2[NewPointsAway],Table2[GameDate], "&lt;=" &amp; $A36, Table2[AwayTeam], O$1)+SUMIFS(Table2[NewPointsHome],Table2[GameDate], "&lt;=" &amp; $A36, Table2[HomeTeam], O$1)</f>
        <v>7</v>
      </c>
      <c r="P36" s="145">
        <f>SUMIFS(Table2[NewPointsAway],Table2[GameDate], "&lt;=" &amp; $A36, Table2[AwayTeam], P$1)+SUMIFS(Table2[NewPointsHome],Table2[GameDate], "&lt;=" &amp; $A36, Table2[HomeTeam], P$1)</f>
        <v>10</v>
      </c>
      <c r="Q36" s="145">
        <f>SUMIFS(Table2[NewPointsAway],Table2[GameDate], "&lt;=" &amp; $A36, Table2[AwayTeam], Q$1)+SUMIFS(Table2[NewPointsHome],Table2[GameDate], "&lt;=" &amp; $A36, Table2[HomeTeam], Q$1)</f>
        <v>10</v>
      </c>
      <c r="R36" s="145">
        <f>SUMIFS(Table2[NewPointsAway],Table2[GameDate], "&lt;=" &amp; $A36, Table2[AwayTeam], R$1)+SUMIFS(Table2[NewPointsHome],Table2[GameDate], "&lt;=" &amp; $A36, Table2[HomeTeam], R$1)</f>
        <v>6</v>
      </c>
      <c r="S36" s="145">
        <f>SUMIFS(Table2[NewPointsAway],Table2[GameDate], "&lt;=" &amp; $A36, Table2[AwayTeam], S$1)+SUMIFS(Table2[NewPointsHome],Table2[GameDate], "&lt;=" &amp; $A36, Table2[HomeTeam], S$1)</f>
        <v>6</v>
      </c>
      <c r="T36" s="145">
        <f>SUMIFS(Table2[NewPointsAway],Table2[GameDate], "&lt;=" &amp; $A36, Table2[AwayTeam], T$1)+SUMIFS(Table2[NewPointsHome],Table2[GameDate], "&lt;=" &amp; $A36, Table2[HomeTeam], T$1)</f>
        <v>7</v>
      </c>
      <c r="U36" s="145">
        <f>SUMIFS(Table2[NewPointsAway],Table2[GameDate], "&lt;=" &amp; $A36, Table2[AwayTeam], U$1)+SUMIFS(Table2[NewPointsHome],Table2[GameDate], "&lt;=" &amp; $A36, Table2[HomeTeam], U$1)</f>
        <v>5</v>
      </c>
      <c r="V36" s="145">
        <f>SUMIFS(Table2[NewPointsAway],Table2[GameDate], "&lt;=" &amp; $A36, Table2[AwayTeam], V$1)+SUMIFS(Table2[NewPointsHome],Table2[GameDate], "&lt;=" &amp; $A36, Table2[HomeTeam], V$1)</f>
        <v>7</v>
      </c>
      <c r="W36" s="145">
        <f>SUMIFS(Table2[NewPointsAway],Table2[GameDate], "&lt;=" &amp; $A36, Table2[AwayTeam], W$1)+SUMIFS(Table2[NewPointsHome],Table2[GameDate], "&lt;=" &amp; $A36, Table2[HomeTeam], W$1)</f>
        <v>10</v>
      </c>
      <c r="X36" s="145">
        <f>SUMIFS(Table2[NewPointsAway],Table2[GameDate], "&lt;=" &amp; $A36, Table2[AwayTeam], X$1)+SUMIFS(Table2[NewPointsHome],Table2[GameDate], "&lt;=" &amp; $A36, Table2[HomeTeam], X$1)</f>
        <v>8</v>
      </c>
      <c r="Y36" s="145">
        <f>SUMIFS(Table2[NewPointsAway],Table2[GameDate], "&lt;=" &amp; $A36, Table2[AwayTeam], Y$1)+SUMIFS(Table2[NewPointsHome],Table2[GameDate], "&lt;=" &amp; $A36, Table2[HomeTeam], Y$1)</f>
        <v>2</v>
      </c>
      <c r="Z36" s="145">
        <f>SUMIFS(Table2[NewPointsAway],Table2[GameDate], "&lt;=" &amp; $A36, Table2[AwayTeam], Z$1)+SUMIFS(Table2[NewPointsHome],Table2[GameDate], "&lt;=" &amp; $A36, Table2[HomeTeam], Z$1)</f>
        <v>7</v>
      </c>
      <c r="AA36" s="145">
        <f>SUMIFS(Table2[NewPointsAway],Table2[GameDate], "&lt;=" &amp; $A36, Table2[AwayTeam], AA$1)+SUMIFS(Table2[NewPointsHome],Table2[GameDate], "&lt;=" &amp; $A36, Table2[HomeTeam], AA$1)</f>
        <v>4</v>
      </c>
      <c r="AB36" s="145">
        <f>SUMIFS(Table2[NewPointsAway],Table2[GameDate], "&lt;=" &amp; $A36, Table2[AwayTeam], AB$1)+SUMIFS(Table2[NewPointsHome],Table2[GameDate], "&lt;=" &amp; $A36, Table2[HomeTeam], AB$1)</f>
        <v>7</v>
      </c>
      <c r="AC36" s="145">
        <f>SUMIFS(Table2[NewPointsAway],Table2[GameDate], "&lt;=" &amp; $A36, Table2[AwayTeam], AC$1)+SUMIFS(Table2[NewPointsHome],Table2[GameDate], "&lt;=" &amp; $A36, Table2[HomeTeam], AC$1)</f>
        <v>10</v>
      </c>
      <c r="AD36" s="145">
        <f>SUMIFS(Table2[NewPointsAway],Table2[GameDate], "&lt;=" &amp; $A36, Table2[AwayTeam], AD$1)+SUMIFS(Table2[NewPointsHome],Table2[GameDate], "&lt;=" &amp; $A36, Table2[HomeTeam], AD$1)</f>
        <v>8</v>
      </c>
      <c r="AE36" s="145">
        <f>SUMIFS(Table2[NewPointsAway],Table2[GameDate], "&lt;=" &amp; $A36, Table2[AwayTeam], AE$1)+SUMIFS(Table2[NewPointsHome],Table2[GameDate], "&lt;=" &amp; $A36, Table2[HomeTeam], AE$1)</f>
        <v>12</v>
      </c>
      <c r="AF36" s="145">
        <f>SUMIFS(Table2[NewPointsAway],Table2[GameDate], "&lt;=" &amp; $A36, Table2[AwayTeam], AF$1)+SUMIFS(Table2[NewPointsHome],Table2[GameDate], "&lt;=" &amp; $A36, Table2[HomeTeam], AF$1)</f>
        <v>10</v>
      </c>
      <c r="AG36" s="145">
        <f>SUMIFS(Table2[NewPointsAway],Table2[GameDate], "&lt;=" &amp; $A36, Table2[AwayTeam], AG$1)+SUMIFS(Table2[NewPointsHome],Table2[GameDate], "&lt;=" &amp; $A36, Table2[HomeTeam], AG$1)</f>
        <v>10</v>
      </c>
    </row>
    <row r="37" spans="1:33" x14ac:dyDescent="0.25">
      <c r="A37" s="3">
        <v>45968</v>
      </c>
      <c r="B37" s="145">
        <f>SUMIFS(Table2[NewPointsAway],Table2[GameDate], "&lt;=" &amp; $A37, Table2[AwayTeam], B$1)+SUMIFS(Table2[NewPointsHome],Table2[GameDate], "&lt;=" &amp; $A37, Table2[HomeTeam], B$1)</f>
        <v>7</v>
      </c>
      <c r="C37" s="145">
        <f>SUMIFS(Table2[NewPointsAway],Table2[GameDate], "&lt;=" &amp; $A37, Table2[AwayTeam], C$1)+SUMIFS(Table2[NewPointsHome],Table2[GameDate], "&lt;=" &amp; $A37, Table2[HomeTeam], C$1)</f>
        <v>6</v>
      </c>
      <c r="D37" s="145">
        <f>SUMIFS(Table2[NewPointsAway],Table2[GameDate], "&lt;=" &amp; $A37, Table2[AwayTeam], D$1)+SUMIFS(Table2[NewPointsHome],Table2[GameDate], "&lt;=" &amp; $A37, Table2[HomeTeam], D$1)</f>
        <v>4</v>
      </c>
      <c r="E37" s="145">
        <f>SUMIFS(Table2[NewPointsAway],Table2[GameDate], "&lt;=" &amp; $A37, Table2[AwayTeam], E$1)+SUMIFS(Table2[NewPointsHome],Table2[GameDate], "&lt;=" &amp; $A37, Table2[HomeTeam], E$1)</f>
        <v>10</v>
      </c>
      <c r="F37" s="145">
        <f>SUMIFS(Table2[NewPointsAway],Table2[GameDate], "&lt;=" &amp; $A37, Table2[AwayTeam], F$1)+SUMIFS(Table2[NewPointsHome],Table2[GameDate], "&lt;=" &amp; $A37, Table2[HomeTeam], F$1)</f>
        <v>6</v>
      </c>
      <c r="G37" s="145">
        <f>SUMIFS(Table2[NewPointsAway],Table2[GameDate], "&lt;=" &amp; $A37, Table2[AwayTeam], G$1)+SUMIFS(Table2[NewPointsHome],Table2[GameDate], "&lt;=" &amp; $A37, Table2[HomeTeam], G$1)</f>
        <v>2</v>
      </c>
      <c r="H37" s="145">
        <f>SUMIFS(Table2[NewPointsAway],Table2[GameDate], "&lt;=" &amp; $A37, Table2[AwayTeam], H$1)+SUMIFS(Table2[NewPointsHome],Table2[GameDate], "&lt;=" &amp; $A37, Table2[HomeTeam], H$1)</f>
        <v>8</v>
      </c>
      <c r="I37" s="145">
        <f>SUMIFS(Table2[NewPointsAway],Table2[GameDate], "&lt;=" &amp; $A37, Table2[AwayTeam], I$1)+SUMIFS(Table2[NewPointsHome],Table2[GameDate], "&lt;=" &amp; $A37, Table2[HomeTeam], I$1)</f>
        <v>12</v>
      </c>
      <c r="J37" s="145">
        <f>SUMIFS(Table2[NewPointsAway],Table2[GameDate], "&lt;=" &amp; $A37, Table2[AwayTeam], J$1)+SUMIFS(Table2[NewPointsHome],Table2[GameDate], "&lt;=" &amp; $A37, Table2[HomeTeam], J$1)</f>
        <v>6</v>
      </c>
      <c r="K37" s="145">
        <f>SUMIFS(Table2[NewPointsAway],Table2[GameDate], "&lt;=" &amp; $A37, Table2[AwayTeam], K$1)+SUMIFS(Table2[NewPointsHome],Table2[GameDate], "&lt;=" &amp; $A37, Table2[HomeTeam], K$1)</f>
        <v>10</v>
      </c>
      <c r="L37" s="145">
        <f>SUMIFS(Table2[NewPointsAway],Table2[GameDate], "&lt;=" &amp; $A37, Table2[AwayTeam], L$1)+SUMIFS(Table2[NewPointsHome],Table2[GameDate], "&lt;=" &amp; $A37, Table2[HomeTeam], L$1)</f>
        <v>7</v>
      </c>
      <c r="M37" s="145">
        <f>SUMIFS(Table2[NewPointsAway],Table2[GameDate], "&lt;=" &amp; $A37, Table2[AwayTeam], M$1)+SUMIFS(Table2[NewPointsHome],Table2[GameDate], "&lt;=" &amp; $A37, Table2[HomeTeam], M$1)</f>
        <v>8</v>
      </c>
      <c r="N37" s="145">
        <f>SUMIFS(Table2[NewPointsAway],Table2[GameDate], "&lt;=" &amp; $A37, Table2[AwayTeam], N$1)+SUMIFS(Table2[NewPointsHome],Table2[GameDate], "&lt;=" &amp; $A37, Table2[HomeTeam], N$1)</f>
        <v>6</v>
      </c>
      <c r="O37" s="145">
        <f>SUMIFS(Table2[NewPointsAway],Table2[GameDate], "&lt;=" &amp; $A37, Table2[AwayTeam], O$1)+SUMIFS(Table2[NewPointsHome],Table2[GameDate], "&lt;=" &amp; $A37, Table2[HomeTeam], O$1)</f>
        <v>7</v>
      </c>
      <c r="P37" s="145">
        <f>SUMIFS(Table2[NewPointsAway],Table2[GameDate], "&lt;=" &amp; $A37, Table2[AwayTeam], P$1)+SUMIFS(Table2[NewPointsHome],Table2[GameDate], "&lt;=" &amp; $A37, Table2[HomeTeam], P$1)</f>
        <v>10</v>
      </c>
      <c r="Q37" s="145">
        <f>SUMIFS(Table2[NewPointsAway],Table2[GameDate], "&lt;=" &amp; $A37, Table2[AwayTeam], Q$1)+SUMIFS(Table2[NewPointsHome],Table2[GameDate], "&lt;=" &amp; $A37, Table2[HomeTeam], Q$1)</f>
        <v>10</v>
      </c>
      <c r="R37" s="145">
        <f>SUMIFS(Table2[NewPointsAway],Table2[GameDate], "&lt;=" &amp; $A37, Table2[AwayTeam], R$1)+SUMIFS(Table2[NewPointsHome],Table2[GameDate], "&lt;=" &amp; $A37, Table2[HomeTeam], R$1)</f>
        <v>6</v>
      </c>
      <c r="S37" s="145">
        <f>SUMIFS(Table2[NewPointsAway],Table2[GameDate], "&lt;=" &amp; $A37, Table2[AwayTeam], S$1)+SUMIFS(Table2[NewPointsHome],Table2[GameDate], "&lt;=" &amp; $A37, Table2[HomeTeam], S$1)</f>
        <v>6</v>
      </c>
      <c r="T37" s="145">
        <f>SUMIFS(Table2[NewPointsAway],Table2[GameDate], "&lt;=" &amp; $A37, Table2[AwayTeam], T$1)+SUMIFS(Table2[NewPointsHome],Table2[GameDate], "&lt;=" &amp; $A37, Table2[HomeTeam], T$1)</f>
        <v>7</v>
      </c>
      <c r="U37" s="145">
        <f>SUMIFS(Table2[NewPointsAway],Table2[GameDate], "&lt;=" &amp; $A37, Table2[AwayTeam], U$1)+SUMIFS(Table2[NewPointsHome],Table2[GameDate], "&lt;=" &amp; $A37, Table2[HomeTeam], U$1)</f>
        <v>5</v>
      </c>
      <c r="V37" s="145">
        <f>SUMIFS(Table2[NewPointsAway],Table2[GameDate], "&lt;=" &amp; $A37, Table2[AwayTeam], V$1)+SUMIFS(Table2[NewPointsHome],Table2[GameDate], "&lt;=" &amp; $A37, Table2[HomeTeam], V$1)</f>
        <v>7</v>
      </c>
      <c r="W37" s="145">
        <f>SUMIFS(Table2[NewPointsAway],Table2[GameDate], "&lt;=" &amp; $A37, Table2[AwayTeam], W$1)+SUMIFS(Table2[NewPointsHome],Table2[GameDate], "&lt;=" &amp; $A37, Table2[HomeTeam], W$1)</f>
        <v>10</v>
      </c>
      <c r="X37" s="145">
        <f>SUMIFS(Table2[NewPointsAway],Table2[GameDate], "&lt;=" &amp; $A37, Table2[AwayTeam], X$1)+SUMIFS(Table2[NewPointsHome],Table2[GameDate], "&lt;=" &amp; $A37, Table2[HomeTeam], X$1)</f>
        <v>8</v>
      </c>
      <c r="Y37" s="145">
        <f>SUMIFS(Table2[NewPointsAway],Table2[GameDate], "&lt;=" &amp; $A37, Table2[AwayTeam], Y$1)+SUMIFS(Table2[NewPointsHome],Table2[GameDate], "&lt;=" &amp; $A37, Table2[HomeTeam], Y$1)</f>
        <v>2</v>
      </c>
      <c r="Z37" s="145">
        <f>SUMIFS(Table2[NewPointsAway],Table2[GameDate], "&lt;=" &amp; $A37, Table2[AwayTeam], Z$1)+SUMIFS(Table2[NewPointsHome],Table2[GameDate], "&lt;=" &amp; $A37, Table2[HomeTeam], Z$1)</f>
        <v>7</v>
      </c>
      <c r="AA37" s="145">
        <f>SUMIFS(Table2[NewPointsAway],Table2[GameDate], "&lt;=" &amp; $A37, Table2[AwayTeam], AA$1)+SUMIFS(Table2[NewPointsHome],Table2[GameDate], "&lt;=" &amp; $A37, Table2[HomeTeam], AA$1)</f>
        <v>4</v>
      </c>
      <c r="AB37" s="145">
        <f>SUMIFS(Table2[NewPointsAway],Table2[GameDate], "&lt;=" &amp; $A37, Table2[AwayTeam], AB$1)+SUMIFS(Table2[NewPointsHome],Table2[GameDate], "&lt;=" &amp; $A37, Table2[HomeTeam], AB$1)</f>
        <v>7</v>
      </c>
      <c r="AC37" s="145">
        <f>SUMIFS(Table2[NewPointsAway],Table2[GameDate], "&lt;=" &amp; $A37, Table2[AwayTeam], AC$1)+SUMIFS(Table2[NewPointsHome],Table2[GameDate], "&lt;=" &amp; $A37, Table2[HomeTeam], AC$1)</f>
        <v>10</v>
      </c>
      <c r="AD37" s="145">
        <f>SUMIFS(Table2[NewPointsAway],Table2[GameDate], "&lt;=" &amp; $A37, Table2[AwayTeam], AD$1)+SUMIFS(Table2[NewPointsHome],Table2[GameDate], "&lt;=" &amp; $A37, Table2[HomeTeam], AD$1)</f>
        <v>8</v>
      </c>
      <c r="AE37" s="145">
        <f>SUMIFS(Table2[NewPointsAway],Table2[GameDate], "&lt;=" &amp; $A37, Table2[AwayTeam], AE$1)+SUMIFS(Table2[NewPointsHome],Table2[GameDate], "&lt;=" &amp; $A37, Table2[HomeTeam], AE$1)</f>
        <v>12</v>
      </c>
      <c r="AF37" s="145">
        <f>SUMIFS(Table2[NewPointsAway],Table2[GameDate], "&lt;=" &amp; $A37, Table2[AwayTeam], AF$1)+SUMIFS(Table2[NewPointsHome],Table2[GameDate], "&lt;=" &amp; $A37, Table2[HomeTeam], AF$1)</f>
        <v>10</v>
      </c>
      <c r="AG37" s="145">
        <f>SUMIFS(Table2[NewPointsAway],Table2[GameDate], "&lt;=" &amp; $A37, Table2[AwayTeam], AG$1)+SUMIFS(Table2[NewPointsHome],Table2[GameDate], "&lt;=" &amp; $A37, Table2[HomeTeam], AG$1)</f>
        <v>10</v>
      </c>
    </row>
    <row r="38" spans="1:33" x14ac:dyDescent="0.25">
      <c r="A38" s="3">
        <v>45969</v>
      </c>
      <c r="B38" s="145">
        <f>SUMIFS(Table2[NewPointsAway],Table2[GameDate], "&lt;=" &amp; $A38, Table2[AwayTeam], B$1)+SUMIFS(Table2[NewPointsHome],Table2[GameDate], "&lt;=" &amp; $A38, Table2[HomeTeam], B$1)</f>
        <v>7</v>
      </c>
      <c r="C38" s="145">
        <f>SUMIFS(Table2[NewPointsAway],Table2[GameDate], "&lt;=" &amp; $A38, Table2[AwayTeam], C$1)+SUMIFS(Table2[NewPointsHome],Table2[GameDate], "&lt;=" &amp; $A38, Table2[HomeTeam], C$1)</f>
        <v>6</v>
      </c>
      <c r="D38" s="145">
        <f>SUMIFS(Table2[NewPointsAway],Table2[GameDate], "&lt;=" &amp; $A38, Table2[AwayTeam], D$1)+SUMIFS(Table2[NewPointsHome],Table2[GameDate], "&lt;=" &amp; $A38, Table2[HomeTeam], D$1)</f>
        <v>4</v>
      </c>
      <c r="E38" s="145">
        <f>SUMIFS(Table2[NewPointsAway],Table2[GameDate], "&lt;=" &amp; $A38, Table2[AwayTeam], E$1)+SUMIFS(Table2[NewPointsHome],Table2[GameDate], "&lt;=" &amp; $A38, Table2[HomeTeam], E$1)</f>
        <v>10</v>
      </c>
      <c r="F38" s="145">
        <f>SUMIFS(Table2[NewPointsAway],Table2[GameDate], "&lt;=" &amp; $A38, Table2[AwayTeam], F$1)+SUMIFS(Table2[NewPointsHome],Table2[GameDate], "&lt;=" &amp; $A38, Table2[HomeTeam], F$1)</f>
        <v>6</v>
      </c>
      <c r="G38" s="145">
        <f>SUMIFS(Table2[NewPointsAway],Table2[GameDate], "&lt;=" &amp; $A38, Table2[AwayTeam], G$1)+SUMIFS(Table2[NewPointsHome],Table2[GameDate], "&lt;=" &amp; $A38, Table2[HomeTeam], G$1)</f>
        <v>2</v>
      </c>
      <c r="H38" s="145">
        <f>SUMIFS(Table2[NewPointsAway],Table2[GameDate], "&lt;=" &amp; $A38, Table2[AwayTeam], H$1)+SUMIFS(Table2[NewPointsHome],Table2[GameDate], "&lt;=" &amp; $A38, Table2[HomeTeam], H$1)</f>
        <v>8</v>
      </c>
      <c r="I38" s="145">
        <f>SUMIFS(Table2[NewPointsAway],Table2[GameDate], "&lt;=" &amp; $A38, Table2[AwayTeam], I$1)+SUMIFS(Table2[NewPointsHome],Table2[GameDate], "&lt;=" &amp; $A38, Table2[HomeTeam], I$1)</f>
        <v>12</v>
      </c>
      <c r="J38" s="145">
        <f>SUMIFS(Table2[NewPointsAway],Table2[GameDate], "&lt;=" &amp; $A38, Table2[AwayTeam], J$1)+SUMIFS(Table2[NewPointsHome],Table2[GameDate], "&lt;=" &amp; $A38, Table2[HomeTeam], J$1)</f>
        <v>6</v>
      </c>
      <c r="K38" s="145">
        <f>SUMIFS(Table2[NewPointsAway],Table2[GameDate], "&lt;=" &amp; $A38, Table2[AwayTeam], K$1)+SUMIFS(Table2[NewPointsHome],Table2[GameDate], "&lt;=" &amp; $A38, Table2[HomeTeam], K$1)</f>
        <v>10</v>
      </c>
      <c r="L38" s="145">
        <f>SUMIFS(Table2[NewPointsAway],Table2[GameDate], "&lt;=" &amp; $A38, Table2[AwayTeam], L$1)+SUMIFS(Table2[NewPointsHome],Table2[GameDate], "&lt;=" &amp; $A38, Table2[HomeTeam], L$1)</f>
        <v>7</v>
      </c>
      <c r="M38" s="145">
        <f>SUMIFS(Table2[NewPointsAway],Table2[GameDate], "&lt;=" &amp; $A38, Table2[AwayTeam], M$1)+SUMIFS(Table2[NewPointsHome],Table2[GameDate], "&lt;=" &amp; $A38, Table2[HomeTeam], M$1)</f>
        <v>8</v>
      </c>
      <c r="N38" s="145">
        <f>SUMIFS(Table2[NewPointsAway],Table2[GameDate], "&lt;=" &amp; $A38, Table2[AwayTeam], N$1)+SUMIFS(Table2[NewPointsHome],Table2[GameDate], "&lt;=" &amp; $A38, Table2[HomeTeam], N$1)</f>
        <v>6</v>
      </c>
      <c r="O38" s="145">
        <f>SUMIFS(Table2[NewPointsAway],Table2[GameDate], "&lt;=" &amp; $A38, Table2[AwayTeam], O$1)+SUMIFS(Table2[NewPointsHome],Table2[GameDate], "&lt;=" &amp; $A38, Table2[HomeTeam], O$1)</f>
        <v>7</v>
      </c>
      <c r="P38" s="145">
        <f>SUMIFS(Table2[NewPointsAway],Table2[GameDate], "&lt;=" &amp; $A38, Table2[AwayTeam], P$1)+SUMIFS(Table2[NewPointsHome],Table2[GameDate], "&lt;=" &amp; $A38, Table2[HomeTeam], P$1)</f>
        <v>10</v>
      </c>
      <c r="Q38" s="145">
        <f>SUMIFS(Table2[NewPointsAway],Table2[GameDate], "&lt;=" &amp; $A38, Table2[AwayTeam], Q$1)+SUMIFS(Table2[NewPointsHome],Table2[GameDate], "&lt;=" &amp; $A38, Table2[HomeTeam], Q$1)</f>
        <v>10</v>
      </c>
      <c r="R38" s="145">
        <f>SUMIFS(Table2[NewPointsAway],Table2[GameDate], "&lt;=" &amp; $A38, Table2[AwayTeam], R$1)+SUMIFS(Table2[NewPointsHome],Table2[GameDate], "&lt;=" &amp; $A38, Table2[HomeTeam], R$1)</f>
        <v>6</v>
      </c>
      <c r="S38" s="145">
        <f>SUMIFS(Table2[NewPointsAway],Table2[GameDate], "&lt;=" &amp; $A38, Table2[AwayTeam], S$1)+SUMIFS(Table2[NewPointsHome],Table2[GameDate], "&lt;=" &amp; $A38, Table2[HomeTeam], S$1)</f>
        <v>6</v>
      </c>
      <c r="T38" s="145">
        <f>SUMIFS(Table2[NewPointsAway],Table2[GameDate], "&lt;=" &amp; $A38, Table2[AwayTeam], T$1)+SUMIFS(Table2[NewPointsHome],Table2[GameDate], "&lt;=" &amp; $A38, Table2[HomeTeam], T$1)</f>
        <v>7</v>
      </c>
      <c r="U38" s="145">
        <f>SUMIFS(Table2[NewPointsAway],Table2[GameDate], "&lt;=" &amp; $A38, Table2[AwayTeam], U$1)+SUMIFS(Table2[NewPointsHome],Table2[GameDate], "&lt;=" &amp; $A38, Table2[HomeTeam], U$1)</f>
        <v>5</v>
      </c>
      <c r="V38" s="145">
        <f>SUMIFS(Table2[NewPointsAway],Table2[GameDate], "&lt;=" &amp; $A38, Table2[AwayTeam], V$1)+SUMIFS(Table2[NewPointsHome],Table2[GameDate], "&lt;=" &amp; $A38, Table2[HomeTeam], V$1)</f>
        <v>7</v>
      </c>
      <c r="W38" s="145">
        <f>SUMIFS(Table2[NewPointsAway],Table2[GameDate], "&lt;=" &amp; $A38, Table2[AwayTeam], W$1)+SUMIFS(Table2[NewPointsHome],Table2[GameDate], "&lt;=" &amp; $A38, Table2[HomeTeam], W$1)</f>
        <v>10</v>
      </c>
      <c r="X38" s="145">
        <f>SUMIFS(Table2[NewPointsAway],Table2[GameDate], "&lt;=" &amp; $A38, Table2[AwayTeam], X$1)+SUMIFS(Table2[NewPointsHome],Table2[GameDate], "&lt;=" &amp; $A38, Table2[HomeTeam], X$1)</f>
        <v>8</v>
      </c>
      <c r="Y38" s="145">
        <f>SUMIFS(Table2[NewPointsAway],Table2[GameDate], "&lt;=" &amp; $A38, Table2[AwayTeam], Y$1)+SUMIFS(Table2[NewPointsHome],Table2[GameDate], "&lt;=" &amp; $A38, Table2[HomeTeam], Y$1)</f>
        <v>2</v>
      </c>
      <c r="Z38" s="145">
        <f>SUMIFS(Table2[NewPointsAway],Table2[GameDate], "&lt;=" &amp; $A38, Table2[AwayTeam], Z$1)+SUMIFS(Table2[NewPointsHome],Table2[GameDate], "&lt;=" &amp; $A38, Table2[HomeTeam], Z$1)</f>
        <v>7</v>
      </c>
      <c r="AA38" s="145">
        <f>SUMIFS(Table2[NewPointsAway],Table2[GameDate], "&lt;=" &amp; $A38, Table2[AwayTeam], AA$1)+SUMIFS(Table2[NewPointsHome],Table2[GameDate], "&lt;=" &amp; $A38, Table2[HomeTeam], AA$1)</f>
        <v>4</v>
      </c>
      <c r="AB38" s="145">
        <f>SUMIFS(Table2[NewPointsAway],Table2[GameDate], "&lt;=" &amp; $A38, Table2[AwayTeam], AB$1)+SUMIFS(Table2[NewPointsHome],Table2[GameDate], "&lt;=" &amp; $A38, Table2[HomeTeam], AB$1)</f>
        <v>7</v>
      </c>
      <c r="AC38" s="145">
        <f>SUMIFS(Table2[NewPointsAway],Table2[GameDate], "&lt;=" &amp; $A38, Table2[AwayTeam], AC$1)+SUMIFS(Table2[NewPointsHome],Table2[GameDate], "&lt;=" &amp; $A38, Table2[HomeTeam], AC$1)</f>
        <v>10</v>
      </c>
      <c r="AD38" s="145">
        <f>SUMIFS(Table2[NewPointsAway],Table2[GameDate], "&lt;=" &amp; $A38, Table2[AwayTeam], AD$1)+SUMIFS(Table2[NewPointsHome],Table2[GameDate], "&lt;=" &amp; $A38, Table2[HomeTeam], AD$1)</f>
        <v>8</v>
      </c>
      <c r="AE38" s="145">
        <f>SUMIFS(Table2[NewPointsAway],Table2[GameDate], "&lt;=" &amp; $A38, Table2[AwayTeam], AE$1)+SUMIFS(Table2[NewPointsHome],Table2[GameDate], "&lt;=" &amp; $A38, Table2[HomeTeam], AE$1)</f>
        <v>12</v>
      </c>
      <c r="AF38" s="145">
        <f>SUMIFS(Table2[NewPointsAway],Table2[GameDate], "&lt;=" &amp; $A38, Table2[AwayTeam], AF$1)+SUMIFS(Table2[NewPointsHome],Table2[GameDate], "&lt;=" &amp; $A38, Table2[HomeTeam], AF$1)</f>
        <v>10</v>
      </c>
      <c r="AG38" s="145">
        <f>SUMIFS(Table2[NewPointsAway],Table2[GameDate], "&lt;=" &amp; $A38, Table2[AwayTeam], AG$1)+SUMIFS(Table2[NewPointsHome],Table2[GameDate], "&lt;=" &amp; $A38, Table2[HomeTeam], AG$1)</f>
        <v>10</v>
      </c>
    </row>
    <row r="39" spans="1:33" x14ac:dyDescent="0.25">
      <c r="A39" s="3">
        <v>45970</v>
      </c>
      <c r="B39" s="145">
        <f>SUMIFS(Table2[NewPointsAway],Table2[GameDate], "&lt;=" &amp; $A39, Table2[AwayTeam], B$1)+SUMIFS(Table2[NewPointsHome],Table2[GameDate], "&lt;=" &amp; $A39, Table2[HomeTeam], B$1)</f>
        <v>7</v>
      </c>
      <c r="C39" s="145">
        <f>SUMIFS(Table2[NewPointsAway],Table2[GameDate], "&lt;=" &amp; $A39, Table2[AwayTeam], C$1)+SUMIFS(Table2[NewPointsHome],Table2[GameDate], "&lt;=" &amp; $A39, Table2[HomeTeam], C$1)</f>
        <v>6</v>
      </c>
      <c r="D39" s="145">
        <f>SUMIFS(Table2[NewPointsAway],Table2[GameDate], "&lt;=" &amp; $A39, Table2[AwayTeam], D$1)+SUMIFS(Table2[NewPointsHome],Table2[GameDate], "&lt;=" &amp; $A39, Table2[HomeTeam], D$1)</f>
        <v>4</v>
      </c>
      <c r="E39" s="145">
        <f>SUMIFS(Table2[NewPointsAway],Table2[GameDate], "&lt;=" &amp; $A39, Table2[AwayTeam], E$1)+SUMIFS(Table2[NewPointsHome],Table2[GameDate], "&lt;=" &amp; $A39, Table2[HomeTeam], E$1)</f>
        <v>10</v>
      </c>
      <c r="F39" s="145">
        <f>SUMIFS(Table2[NewPointsAway],Table2[GameDate], "&lt;=" &amp; $A39, Table2[AwayTeam], F$1)+SUMIFS(Table2[NewPointsHome],Table2[GameDate], "&lt;=" &amp; $A39, Table2[HomeTeam], F$1)</f>
        <v>6</v>
      </c>
      <c r="G39" s="145">
        <f>SUMIFS(Table2[NewPointsAway],Table2[GameDate], "&lt;=" &amp; $A39, Table2[AwayTeam], G$1)+SUMIFS(Table2[NewPointsHome],Table2[GameDate], "&lt;=" &amp; $A39, Table2[HomeTeam], G$1)</f>
        <v>2</v>
      </c>
      <c r="H39" s="145">
        <f>SUMIFS(Table2[NewPointsAway],Table2[GameDate], "&lt;=" &amp; $A39, Table2[AwayTeam], H$1)+SUMIFS(Table2[NewPointsHome],Table2[GameDate], "&lt;=" &amp; $A39, Table2[HomeTeam], H$1)</f>
        <v>8</v>
      </c>
      <c r="I39" s="145">
        <f>SUMIFS(Table2[NewPointsAway],Table2[GameDate], "&lt;=" &amp; $A39, Table2[AwayTeam], I$1)+SUMIFS(Table2[NewPointsHome],Table2[GameDate], "&lt;=" &amp; $A39, Table2[HomeTeam], I$1)</f>
        <v>12</v>
      </c>
      <c r="J39" s="145">
        <f>SUMIFS(Table2[NewPointsAway],Table2[GameDate], "&lt;=" &amp; $A39, Table2[AwayTeam], J$1)+SUMIFS(Table2[NewPointsHome],Table2[GameDate], "&lt;=" &amp; $A39, Table2[HomeTeam], J$1)</f>
        <v>6</v>
      </c>
      <c r="K39" s="145">
        <f>SUMIFS(Table2[NewPointsAway],Table2[GameDate], "&lt;=" &amp; $A39, Table2[AwayTeam], K$1)+SUMIFS(Table2[NewPointsHome],Table2[GameDate], "&lt;=" &amp; $A39, Table2[HomeTeam], K$1)</f>
        <v>10</v>
      </c>
      <c r="L39" s="145">
        <f>SUMIFS(Table2[NewPointsAway],Table2[GameDate], "&lt;=" &amp; $A39, Table2[AwayTeam], L$1)+SUMIFS(Table2[NewPointsHome],Table2[GameDate], "&lt;=" &amp; $A39, Table2[HomeTeam], L$1)</f>
        <v>7</v>
      </c>
      <c r="M39" s="145">
        <f>SUMIFS(Table2[NewPointsAway],Table2[GameDate], "&lt;=" &amp; $A39, Table2[AwayTeam], M$1)+SUMIFS(Table2[NewPointsHome],Table2[GameDate], "&lt;=" &amp; $A39, Table2[HomeTeam], M$1)</f>
        <v>8</v>
      </c>
      <c r="N39" s="145">
        <f>SUMIFS(Table2[NewPointsAway],Table2[GameDate], "&lt;=" &amp; $A39, Table2[AwayTeam], N$1)+SUMIFS(Table2[NewPointsHome],Table2[GameDate], "&lt;=" &amp; $A39, Table2[HomeTeam], N$1)</f>
        <v>6</v>
      </c>
      <c r="O39" s="145">
        <f>SUMIFS(Table2[NewPointsAway],Table2[GameDate], "&lt;=" &amp; $A39, Table2[AwayTeam], O$1)+SUMIFS(Table2[NewPointsHome],Table2[GameDate], "&lt;=" &amp; $A39, Table2[HomeTeam], O$1)</f>
        <v>7</v>
      </c>
      <c r="P39" s="145">
        <f>SUMIFS(Table2[NewPointsAway],Table2[GameDate], "&lt;=" &amp; $A39, Table2[AwayTeam], P$1)+SUMIFS(Table2[NewPointsHome],Table2[GameDate], "&lt;=" &amp; $A39, Table2[HomeTeam], P$1)</f>
        <v>10</v>
      </c>
      <c r="Q39" s="145">
        <f>SUMIFS(Table2[NewPointsAway],Table2[GameDate], "&lt;=" &amp; $A39, Table2[AwayTeam], Q$1)+SUMIFS(Table2[NewPointsHome],Table2[GameDate], "&lt;=" &amp; $A39, Table2[HomeTeam], Q$1)</f>
        <v>10</v>
      </c>
      <c r="R39" s="145">
        <f>SUMIFS(Table2[NewPointsAway],Table2[GameDate], "&lt;=" &amp; $A39, Table2[AwayTeam], R$1)+SUMIFS(Table2[NewPointsHome],Table2[GameDate], "&lt;=" &amp; $A39, Table2[HomeTeam], R$1)</f>
        <v>6</v>
      </c>
      <c r="S39" s="145">
        <f>SUMIFS(Table2[NewPointsAway],Table2[GameDate], "&lt;=" &amp; $A39, Table2[AwayTeam], S$1)+SUMIFS(Table2[NewPointsHome],Table2[GameDate], "&lt;=" &amp; $A39, Table2[HomeTeam], S$1)</f>
        <v>6</v>
      </c>
      <c r="T39" s="145">
        <f>SUMIFS(Table2[NewPointsAway],Table2[GameDate], "&lt;=" &amp; $A39, Table2[AwayTeam], T$1)+SUMIFS(Table2[NewPointsHome],Table2[GameDate], "&lt;=" &amp; $A39, Table2[HomeTeam], T$1)</f>
        <v>7</v>
      </c>
      <c r="U39" s="145">
        <f>SUMIFS(Table2[NewPointsAway],Table2[GameDate], "&lt;=" &amp; $A39, Table2[AwayTeam], U$1)+SUMIFS(Table2[NewPointsHome],Table2[GameDate], "&lt;=" &amp; $A39, Table2[HomeTeam], U$1)</f>
        <v>5</v>
      </c>
      <c r="V39" s="145">
        <f>SUMIFS(Table2[NewPointsAway],Table2[GameDate], "&lt;=" &amp; $A39, Table2[AwayTeam], V$1)+SUMIFS(Table2[NewPointsHome],Table2[GameDate], "&lt;=" &amp; $A39, Table2[HomeTeam], V$1)</f>
        <v>7</v>
      </c>
      <c r="W39" s="145">
        <f>SUMIFS(Table2[NewPointsAway],Table2[GameDate], "&lt;=" &amp; $A39, Table2[AwayTeam], W$1)+SUMIFS(Table2[NewPointsHome],Table2[GameDate], "&lt;=" &amp; $A39, Table2[HomeTeam], W$1)</f>
        <v>10</v>
      </c>
      <c r="X39" s="145">
        <f>SUMIFS(Table2[NewPointsAway],Table2[GameDate], "&lt;=" &amp; $A39, Table2[AwayTeam], X$1)+SUMIFS(Table2[NewPointsHome],Table2[GameDate], "&lt;=" &amp; $A39, Table2[HomeTeam], X$1)</f>
        <v>8</v>
      </c>
      <c r="Y39" s="145">
        <f>SUMIFS(Table2[NewPointsAway],Table2[GameDate], "&lt;=" &amp; $A39, Table2[AwayTeam], Y$1)+SUMIFS(Table2[NewPointsHome],Table2[GameDate], "&lt;=" &amp; $A39, Table2[HomeTeam], Y$1)</f>
        <v>2</v>
      </c>
      <c r="Z39" s="145">
        <f>SUMIFS(Table2[NewPointsAway],Table2[GameDate], "&lt;=" &amp; $A39, Table2[AwayTeam], Z$1)+SUMIFS(Table2[NewPointsHome],Table2[GameDate], "&lt;=" &amp; $A39, Table2[HomeTeam], Z$1)</f>
        <v>7</v>
      </c>
      <c r="AA39" s="145">
        <f>SUMIFS(Table2[NewPointsAway],Table2[GameDate], "&lt;=" &amp; $A39, Table2[AwayTeam], AA$1)+SUMIFS(Table2[NewPointsHome],Table2[GameDate], "&lt;=" &amp; $A39, Table2[HomeTeam], AA$1)</f>
        <v>4</v>
      </c>
      <c r="AB39" s="145">
        <f>SUMIFS(Table2[NewPointsAway],Table2[GameDate], "&lt;=" &amp; $A39, Table2[AwayTeam], AB$1)+SUMIFS(Table2[NewPointsHome],Table2[GameDate], "&lt;=" &amp; $A39, Table2[HomeTeam], AB$1)</f>
        <v>7</v>
      </c>
      <c r="AC39" s="145">
        <f>SUMIFS(Table2[NewPointsAway],Table2[GameDate], "&lt;=" &amp; $A39, Table2[AwayTeam], AC$1)+SUMIFS(Table2[NewPointsHome],Table2[GameDate], "&lt;=" &amp; $A39, Table2[HomeTeam], AC$1)</f>
        <v>10</v>
      </c>
      <c r="AD39" s="145">
        <f>SUMIFS(Table2[NewPointsAway],Table2[GameDate], "&lt;=" &amp; $A39, Table2[AwayTeam], AD$1)+SUMIFS(Table2[NewPointsHome],Table2[GameDate], "&lt;=" &amp; $A39, Table2[HomeTeam], AD$1)</f>
        <v>8</v>
      </c>
      <c r="AE39" s="145">
        <f>SUMIFS(Table2[NewPointsAway],Table2[GameDate], "&lt;=" &amp; $A39, Table2[AwayTeam], AE$1)+SUMIFS(Table2[NewPointsHome],Table2[GameDate], "&lt;=" &amp; $A39, Table2[HomeTeam], AE$1)</f>
        <v>12</v>
      </c>
      <c r="AF39" s="145">
        <f>SUMIFS(Table2[NewPointsAway],Table2[GameDate], "&lt;=" &amp; $A39, Table2[AwayTeam], AF$1)+SUMIFS(Table2[NewPointsHome],Table2[GameDate], "&lt;=" &amp; $A39, Table2[HomeTeam], AF$1)</f>
        <v>10</v>
      </c>
      <c r="AG39" s="145">
        <f>SUMIFS(Table2[NewPointsAway],Table2[GameDate], "&lt;=" &amp; $A39, Table2[AwayTeam], AG$1)+SUMIFS(Table2[NewPointsHome],Table2[GameDate], "&lt;=" &amp; $A39, Table2[HomeTeam], AG$1)</f>
        <v>10</v>
      </c>
    </row>
    <row r="40" spans="1:33" x14ac:dyDescent="0.25">
      <c r="A40" s="3">
        <v>45971</v>
      </c>
      <c r="B40" s="145">
        <f>SUMIFS(Table2[NewPointsAway],Table2[GameDate], "&lt;=" &amp; $A40, Table2[AwayTeam], B$1)+SUMIFS(Table2[NewPointsHome],Table2[GameDate], "&lt;=" &amp; $A40, Table2[HomeTeam], B$1)</f>
        <v>7</v>
      </c>
      <c r="C40" s="145">
        <f>SUMIFS(Table2[NewPointsAway],Table2[GameDate], "&lt;=" &amp; $A40, Table2[AwayTeam], C$1)+SUMIFS(Table2[NewPointsHome],Table2[GameDate], "&lt;=" &amp; $A40, Table2[HomeTeam], C$1)</f>
        <v>6</v>
      </c>
      <c r="D40" s="145">
        <f>SUMIFS(Table2[NewPointsAway],Table2[GameDate], "&lt;=" &amp; $A40, Table2[AwayTeam], D$1)+SUMIFS(Table2[NewPointsHome],Table2[GameDate], "&lt;=" &amp; $A40, Table2[HomeTeam], D$1)</f>
        <v>4</v>
      </c>
      <c r="E40" s="145">
        <f>SUMIFS(Table2[NewPointsAway],Table2[GameDate], "&lt;=" &amp; $A40, Table2[AwayTeam], E$1)+SUMIFS(Table2[NewPointsHome],Table2[GameDate], "&lt;=" &amp; $A40, Table2[HomeTeam], E$1)</f>
        <v>10</v>
      </c>
      <c r="F40" s="145">
        <f>SUMIFS(Table2[NewPointsAway],Table2[GameDate], "&lt;=" &amp; $A40, Table2[AwayTeam], F$1)+SUMIFS(Table2[NewPointsHome],Table2[GameDate], "&lt;=" &amp; $A40, Table2[HomeTeam], F$1)</f>
        <v>6</v>
      </c>
      <c r="G40" s="145">
        <f>SUMIFS(Table2[NewPointsAway],Table2[GameDate], "&lt;=" &amp; $A40, Table2[AwayTeam], G$1)+SUMIFS(Table2[NewPointsHome],Table2[GameDate], "&lt;=" &amp; $A40, Table2[HomeTeam], G$1)</f>
        <v>2</v>
      </c>
      <c r="H40" s="145">
        <f>SUMIFS(Table2[NewPointsAway],Table2[GameDate], "&lt;=" &amp; $A40, Table2[AwayTeam], H$1)+SUMIFS(Table2[NewPointsHome],Table2[GameDate], "&lt;=" &amp; $A40, Table2[HomeTeam], H$1)</f>
        <v>8</v>
      </c>
      <c r="I40" s="145">
        <f>SUMIFS(Table2[NewPointsAway],Table2[GameDate], "&lt;=" &amp; $A40, Table2[AwayTeam], I$1)+SUMIFS(Table2[NewPointsHome],Table2[GameDate], "&lt;=" &amp; $A40, Table2[HomeTeam], I$1)</f>
        <v>12</v>
      </c>
      <c r="J40" s="145">
        <f>SUMIFS(Table2[NewPointsAway],Table2[GameDate], "&lt;=" &amp; $A40, Table2[AwayTeam], J$1)+SUMIFS(Table2[NewPointsHome],Table2[GameDate], "&lt;=" &amp; $A40, Table2[HomeTeam], J$1)</f>
        <v>6</v>
      </c>
      <c r="K40" s="145">
        <f>SUMIFS(Table2[NewPointsAway],Table2[GameDate], "&lt;=" &amp; $A40, Table2[AwayTeam], K$1)+SUMIFS(Table2[NewPointsHome],Table2[GameDate], "&lt;=" &amp; $A40, Table2[HomeTeam], K$1)</f>
        <v>10</v>
      </c>
      <c r="L40" s="145">
        <f>SUMIFS(Table2[NewPointsAway],Table2[GameDate], "&lt;=" &amp; $A40, Table2[AwayTeam], L$1)+SUMIFS(Table2[NewPointsHome],Table2[GameDate], "&lt;=" &amp; $A40, Table2[HomeTeam], L$1)</f>
        <v>7</v>
      </c>
      <c r="M40" s="145">
        <f>SUMIFS(Table2[NewPointsAway],Table2[GameDate], "&lt;=" &amp; $A40, Table2[AwayTeam], M$1)+SUMIFS(Table2[NewPointsHome],Table2[GameDate], "&lt;=" &amp; $A40, Table2[HomeTeam], M$1)</f>
        <v>8</v>
      </c>
      <c r="N40" s="145">
        <f>SUMIFS(Table2[NewPointsAway],Table2[GameDate], "&lt;=" &amp; $A40, Table2[AwayTeam], N$1)+SUMIFS(Table2[NewPointsHome],Table2[GameDate], "&lt;=" &amp; $A40, Table2[HomeTeam], N$1)</f>
        <v>6</v>
      </c>
      <c r="O40" s="145">
        <f>SUMIFS(Table2[NewPointsAway],Table2[GameDate], "&lt;=" &amp; $A40, Table2[AwayTeam], O$1)+SUMIFS(Table2[NewPointsHome],Table2[GameDate], "&lt;=" &amp; $A40, Table2[HomeTeam], O$1)</f>
        <v>7</v>
      </c>
      <c r="P40" s="145">
        <f>SUMIFS(Table2[NewPointsAway],Table2[GameDate], "&lt;=" &amp; $A40, Table2[AwayTeam], P$1)+SUMIFS(Table2[NewPointsHome],Table2[GameDate], "&lt;=" &amp; $A40, Table2[HomeTeam], P$1)</f>
        <v>10</v>
      </c>
      <c r="Q40" s="145">
        <f>SUMIFS(Table2[NewPointsAway],Table2[GameDate], "&lt;=" &amp; $A40, Table2[AwayTeam], Q$1)+SUMIFS(Table2[NewPointsHome],Table2[GameDate], "&lt;=" &amp; $A40, Table2[HomeTeam], Q$1)</f>
        <v>10</v>
      </c>
      <c r="R40" s="145">
        <f>SUMIFS(Table2[NewPointsAway],Table2[GameDate], "&lt;=" &amp; $A40, Table2[AwayTeam], R$1)+SUMIFS(Table2[NewPointsHome],Table2[GameDate], "&lt;=" &amp; $A40, Table2[HomeTeam], R$1)</f>
        <v>6</v>
      </c>
      <c r="S40" s="145">
        <f>SUMIFS(Table2[NewPointsAway],Table2[GameDate], "&lt;=" &amp; $A40, Table2[AwayTeam], S$1)+SUMIFS(Table2[NewPointsHome],Table2[GameDate], "&lt;=" &amp; $A40, Table2[HomeTeam], S$1)</f>
        <v>6</v>
      </c>
      <c r="T40" s="145">
        <f>SUMIFS(Table2[NewPointsAway],Table2[GameDate], "&lt;=" &amp; $A40, Table2[AwayTeam], T$1)+SUMIFS(Table2[NewPointsHome],Table2[GameDate], "&lt;=" &amp; $A40, Table2[HomeTeam], T$1)</f>
        <v>7</v>
      </c>
      <c r="U40" s="145">
        <f>SUMIFS(Table2[NewPointsAway],Table2[GameDate], "&lt;=" &amp; $A40, Table2[AwayTeam], U$1)+SUMIFS(Table2[NewPointsHome],Table2[GameDate], "&lt;=" &amp; $A40, Table2[HomeTeam], U$1)</f>
        <v>5</v>
      </c>
      <c r="V40" s="145">
        <f>SUMIFS(Table2[NewPointsAway],Table2[GameDate], "&lt;=" &amp; $A40, Table2[AwayTeam], V$1)+SUMIFS(Table2[NewPointsHome],Table2[GameDate], "&lt;=" &amp; $A40, Table2[HomeTeam], V$1)</f>
        <v>7</v>
      </c>
      <c r="W40" s="145">
        <f>SUMIFS(Table2[NewPointsAway],Table2[GameDate], "&lt;=" &amp; $A40, Table2[AwayTeam], W$1)+SUMIFS(Table2[NewPointsHome],Table2[GameDate], "&lt;=" &amp; $A40, Table2[HomeTeam], W$1)</f>
        <v>10</v>
      </c>
      <c r="X40" s="145">
        <f>SUMIFS(Table2[NewPointsAway],Table2[GameDate], "&lt;=" &amp; $A40, Table2[AwayTeam], X$1)+SUMIFS(Table2[NewPointsHome],Table2[GameDate], "&lt;=" &amp; $A40, Table2[HomeTeam], X$1)</f>
        <v>8</v>
      </c>
      <c r="Y40" s="145">
        <f>SUMIFS(Table2[NewPointsAway],Table2[GameDate], "&lt;=" &amp; $A40, Table2[AwayTeam], Y$1)+SUMIFS(Table2[NewPointsHome],Table2[GameDate], "&lt;=" &amp; $A40, Table2[HomeTeam], Y$1)</f>
        <v>2</v>
      </c>
      <c r="Z40" s="145">
        <f>SUMIFS(Table2[NewPointsAway],Table2[GameDate], "&lt;=" &amp; $A40, Table2[AwayTeam], Z$1)+SUMIFS(Table2[NewPointsHome],Table2[GameDate], "&lt;=" &amp; $A40, Table2[HomeTeam], Z$1)</f>
        <v>7</v>
      </c>
      <c r="AA40" s="145">
        <f>SUMIFS(Table2[NewPointsAway],Table2[GameDate], "&lt;=" &amp; $A40, Table2[AwayTeam], AA$1)+SUMIFS(Table2[NewPointsHome],Table2[GameDate], "&lt;=" &amp; $A40, Table2[HomeTeam], AA$1)</f>
        <v>4</v>
      </c>
      <c r="AB40" s="145">
        <f>SUMIFS(Table2[NewPointsAway],Table2[GameDate], "&lt;=" &amp; $A40, Table2[AwayTeam], AB$1)+SUMIFS(Table2[NewPointsHome],Table2[GameDate], "&lt;=" &amp; $A40, Table2[HomeTeam], AB$1)</f>
        <v>7</v>
      </c>
      <c r="AC40" s="145">
        <f>SUMIFS(Table2[NewPointsAway],Table2[GameDate], "&lt;=" &amp; $A40, Table2[AwayTeam], AC$1)+SUMIFS(Table2[NewPointsHome],Table2[GameDate], "&lt;=" &amp; $A40, Table2[HomeTeam], AC$1)</f>
        <v>10</v>
      </c>
      <c r="AD40" s="145">
        <f>SUMIFS(Table2[NewPointsAway],Table2[GameDate], "&lt;=" &amp; $A40, Table2[AwayTeam], AD$1)+SUMIFS(Table2[NewPointsHome],Table2[GameDate], "&lt;=" &amp; $A40, Table2[HomeTeam], AD$1)</f>
        <v>8</v>
      </c>
      <c r="AE40" s="145">
        <f>SUMIFS(Table2[NewPointsAway],Table2[GameDate], "&lt;=" &amp; $A40, Table2[AwayTeam], AE$1)+SUMIFS(Table2[NewPointsHome],Table2[GameDate], "&lt;=" &amp; $A40, Table2[HomeTeam], AE$1)</f>
        <v>12</v>
      </c>
      <c r="AF40" s="145">
        <f>SUMIFS(Table2[NewPointsAway],Table2[GameDate], "&lt;=" &amp; $A40, Table2[AwayTeam], AF$1)+SUMIFS(Table2[NewPointsHome],Table2[GameDate], "&lt;=" &amp; $A40, Table2[HomeTeam], AF$1)</f>
        <v>10</v>
      </c>
      <c r="AG40" s="145">
        <f>SUMIFS(Table2[NewPointsAway],Table2[GameDate], "&lt;=" &amp; $A40, Table2[AwayTeam], AG$1)+SUMIFS(Table2[NewPointsHome],Table2[GameDate], "&lt;=" &amp; $A40, Table2[HomeTeam], AG$1)</f>
        <v>10</v>
      </c>
    </row>
    <row r="41" spans="1:33" x14ac:dyDescent="0.25">
      <c r="A41" s="3">
        <v>45972</v>
      </c>
      <c r="B41" s="145">
        <f>SUMIFS(Table2[NewPointsAway],Table2[GameDate], "&lt;=" &amp; $A41, Table2[AwayTeam], B$1)+SUMIFS(Table2[NewPointsHome],Table2[GameDate], "&lt;=" &amp; $A41, Table2[HomeTeam], B$1)</f>
        <v>7</v>
      </c>
      <c r="C41" s="145">
        <f>SUMIFS(Table2[NewPointsAway],Table2[GameDate], "&lt;=" &amp; $A41, Table2[AwayTeam], C$1)+SUMIFS(Table2[NewPointsHome],Table2[GameDate], "&lt;=" &amp; $A41, Table2[HomeTeam], C$1)</f>
        <v>6</v>
      </c>
      <c r="D41" s="145">
        <f>SUMIFS(Table2[NewPointsAway],Table2[GameDate], "&lt;=" &amp; $A41, Table2[AwayTeam], D$1)+SUMIFS(Table2[NewPointsHome],Table2[GameDate], "&lt;=" &amp; $A41, Table2[HomeTeam], D$1)</f>
        <v>4</v>
      </c>
      <c r="E41" s="145">
        <f>SUMIFS(Table2[NewPointsAway],Table2[GameDate], "&lt;=" &amp; $A41, Table2[AwayTeam], E$1)+SUMIFS(Table2[NewPointsHome],Table2[GameDate], "&lt;=" &amp; $A41, Table2[HomeTeam], E$1)</f>
        <v>10</v>
      </c>
      <c r="F41" s="145">
        <f>SUMIFS(Table2[NewPointsAway],Table2[GameDate], "&lt;=" &amp; $A41, Table2[AwayTeam], F$1)+SUMIFS(Table2[NewPointsHome],Table2[GameDate], "&lt;=" &amp; $A41, Table2[HomeTeam], F$1)</f>
        <v>6</v>
      </c>
      <c r="G41" s="145">
        <f>SUMIFS(Table2[NewPointsAway],Table2[GameDate], "&lt;=" &amp; $A41, Table2[AwayTeam], G$1)+SUMIFS(Table2[NewPointsHome],Table2[GameDate], "&lt;=" &amp; $A41, Table2[HomeTeam], G$1)</f>
        <v>2</v>
      </c>
      <c r="H41" s="145">
        <f>SUMIFS(Table2[NewPointsAway],Table2[GameDate], "&lt;=" &amp; $A41, Table2[AwayTeam], H$1)+SUMIFS(Table2[NewPointsHome],Table2[GameDate], "&lt;=" &amp; $A41, Table2[HomeTeam], H$1)</f>
        <v>8</v>
      </c>
      <c r="I41" s="145">
        <f>SUMIFS(Table2[NewPointsAway],Table2[GameDate], "&lt;=" &amp; $A41, Table2[AwayTeam], I$1)+SUMIFS(Table2[NewPointsHome],Table2[GameDate], "&lt;=" &amp; $A41, Table2[HomeTeam], I$1)</f>
        <v>12</v>
      </c>
      <c r="J41" s="145">
        <f>SUMIFS(Table2[NewPointsAway],Table2[GameDate], "&lt;=" &amp; $A41, Table2[AwayTeam], J$1)+SUMIFS(Table2[NewPointsHome],Table2[GameDate], "&lt;=" &amp; $A41, Table2[HomeTeam], J$1)</f>
        <v>6</v>
      </c>
      <c r="K41" s="145">
        <f>SUMIFS(Table2[NewPointsAway],Table2[GameDate], "&lt;=" &amp; $A41, Table2[AwayTeam], K$1)+SUMIFS(Table2[NewPointsHome],Table2[GameDate], "&lt;=" &amp; $A41, Table2[HomeTeam], K$1)</f>
        <v>10</v>
      </c>
      <c r="L41" s="145">
        <f>SUMIFS(Table2[NewPointsAway],Table2[GameDate], "&lt;=" &amp; $A41, Table2[AwayTeam], L$1)+SUMIFS(Table2[NewPointsHome],Table2[GameDate], "&lt;=" &amp; $A41, Table2[HomeTeam], L$1)</f>
        <v>7</v>
      </c>
      <c r="M41" s="145">
        <f>SUMIFS(Table2[NewPointsAway],Table2[GameDate], "&lt;=" &amp; $A41, Table2[AwayTeam], M$1)+SUMIFS(Table2[NewPointsHome],Table2[GameDate], "&lt;=" &amp; $A41, Table2[HomeTeam], M$1)</f>
        <v>8</v>
      </c>
      <c r="N41" s="145">
        <f>SUMIFS(Table2[NewPointsAway],Table2[GameDate], "&lt;=" &amp; $A41, Table2[AwayTeam], N$1)+SUMIFS(Table2[NewPointsHome],Table2[GameDate], "&lt;=" &amp; $A41, Table2[HomeTeam], N$1)</f>
        <v>6</v>
      </c>
      <c r="O41" s="145">
        <f>SUMIFS(Table2[NewPointsAway],Table2[GameDate], "&lt;=" &amp; $A41, Table2[AwayTeam], O$1)+SUMIFS(Table2[NewPointsHome],Table2[GameDate], "&lt;=" &amp; $A41, Table2[HomeTeam], O$1)</f>
        <v>7</v>
      </c>
      <c r="P41" s="145">
        <f>SUMIFS(Table2[NewPointsAway],Table2[GameDate], "&lt;=" &amp; $A41, Table2[AwayTeam], P$1)+SUMIFS(Table2[NewPointsHome],Table2[GameDate], "&lt;=" &amp; $A41, Table2[HomeTeam], P$1)</f>
        <v>10</v>
      </c>
      <c r="Q41" s="145">
        <f>SUMIFS(Table2[NewPointsAway],Table2[GameDate], "&lt;=" &amp; $A41, Table2[AwayTeam], Q$1)+SUMIFS(Table2[NewPointsHome],Table2[GameDate], "&lt;=" &amp; $A41, Table2[HomeTeam], Q$1)</f>
        <v>10</v>
      </c>
      <c r="R41" s="145">
        <f>SUMIFS(Table2[NewPointsAway],Table2[GameDate], "&lt;=" &amp; $A41, Table2[AwayTeam], R$1)+SUMIFS(Table2[NewPointsHome],Table2[GameDate], "&lt;=" &amp; $A41, Table2[HomeTeam], R$1)</f>
        <v>6</v>
      </c>
      <c r="S41" s="145">
        <f>SUMIFS(Table2[NewPointsAway],Table2[GameDate], "&lt;=" &amp; $A41, Table2[AwayTeam], S$1)+SUMIFS(Table2[NewPointsHome],Table2[GameDate], "&lt;=" &amp; $A41, Table2[HomeTeam], S$1)</f>
        <v>6</v>
      </c>
      <c r="T41" s="145">
        <f>SUMIFS(Table2[NewPointsAway],Table2[GameDate], "&lt;=" &amp; $A41, Table2[AwayTeam], T$1)+SUMIFS(Table2[NewPointsHome],Table2[GameDate], "&lt;=" &amp; $A41, Table2[HomeTeam], T$1)</f>
        <v>7</v>
      </c>
      <c r="U41" s="145">
        <f>SUMIFS(Table2[NewPointsAway],Table2[GameDate], "&lt;=" &amp; $A41, Table2[AwayTeam], U$1)+SUMIFS(Table2[NewPointsHome],Table2[GameDate], "&lt;=" &amp; $A41, Table2[HomeTeam], U$1)</f>
        <v>5</v>
      </c>
      <c r="V41" s="145">
        <f>SUMIFS(Table2[NewPointsAway],Table2[GameDate], "&lt;=" &amp; $A41, Table2[AwayTeam], V$1)+SUMIFS(Table2[NewPointsHome],Table2[GameDate], "&lt;=" &amp; $A41, Table2[HomeTeam], V$1)</f>
        <v>7</v>
      </c>
      <c r="W41" s="145">
        <f>SUMIFS(Table2[NewPointsAway],Table2[GameDate], "&lt;=" &amp; $A41, Table2[AwayTeam], W$1)+SUMIFS(Table2[NewPointsHome],Table2[GameDate], "&lt;=" &amp; $A41, Table2[HomeTeam], W$1)</f>
        <v>10</v>
      </c>
      <c r="X41" s="145">
        <f>SUMIFS(Table2[NewPointsAway],Table2[GameDate], "&lt;=" &amp; $A41, Table2[AwayTeam], X$1)+SUMIFS(Table2[NewPointsHome],Table2[GameDate], "&lt;=" &amp; $A41, Table2[HomeTeam], X$1)</f>
        <v>8</v>
      </c>
      <c r="Y41" s="145">
        <f>SUMIFS(Table2[NewPointsAway],Table2[GameDate], "&lt;=" &amp; $A41, Table2[AwayTeam], Y$1)+SUMIFS(Table2[NewPointsHome],Table2[GameDate], "&lt;=" &amp; $A41, Table2[HomeTeam], Y$1)</f>
        <v>2</v>
      </c>
      <c r="Z41" s="145">
        <f>SUMIFS(Table2[NewPointsAway],Table2[GameDate], "&lt;=" &amp; $A41, Table2[AwayTeam], Z$1)+SUMIFS(Table2[NewPointsHome],Table2[GameDate], "&lt;=" &amp; $A41, Table2[HomeTeam], Z$1)</f>
        <v>7</v>
      </c>
      <c r="AA41" s="145">
        <f>SUMIFS(Table2[NewPointsAway],Table2[GameDate], "&lt;=" &amp; $A41, Table2[AwayTeam], AA$1)+SUMIFS(Table2[NewPointsHome],Table2[GameDate], "&lt;=" &amp; $A41, Table2[HomeTeam], AA$1)</f>
        <v>4</v>
      </c>
      <c r="AB41" s="145">
        <f>SUMIFS(Table2[NewPointsAway],Table2[GameDate], "&lt;=" &amp; $A41, Table2[AwayTeam], AB$1)+SUMIFS(Table2[NewPointsHome],Table2[GameDate], "&lt;=" &amp; $A41, Table2[HomeTeam], AB$1)</f>
        <v>7</v>
      </c>
      <c r="AC41" s="145">
        <f>SUMIFS(Table2[NewPointsAway],Table2[GameDate], "&lt;=" &amp; $A41, Table2[AwayTeam], AC$1)+SUMIFS(Table2[NewPointsHome],Table2[GameDate], "&lt;=" &amp; $A41, Table2[HomeTeam], AC$1)</f>
        <v>10</v>
      </c>
      <c r="AD41" s="145">
        <f>SUMIFS(Table2[NewPointsAway],Table2[GameDate], "&lt;=" &amp; $A41, Table2[AwayTeam], AD$1)+SUMIFS(Table2[NewPointsHome],Table2[GameDate], "&lt;=" &amp; $A41, Table2[HomeTeam], AD$1)</f>
        <v>8</v>
      </c>
      <c r="AE41" s="145">
        <f>SUMIFS(Table2[NewPointsAway],Table2[GameDate], "&lt;=" &amp; $A41, Table2[AwayTeam], AE$1)+SUMIFS(Table2[NewPointsHome],Table2[GameDate], "&lt;=" &amp; $A41, Table2[HomeTeam], AE$1)</f>
        <v>12</v>
      </c>
      <c r="AF41" s="145">
        <f>SUMIFS(Table2[NewPointsAway],Table2[GameDate], "&lt;=" &amp; $A41, Table2[AwayTeam], AF$1)+SUMIFS(Table2[NewPointsHome],Table2[GameDate], "&lt;=" &amp; $A41, Table2[HomeTeam], AF$1)</f>
        <v>10</v>
      </c>
      <c r="AG41" s="145">
        <f>SUMIFS(Table2[NewPointsAway],Table2[GameDate], "&lt;=" &amp; $A41, Table2[AwayTeam], AG$1)+SUMIFS(Table2[NewPointsHome],Table2[GameDate], "&lt;=" &amp; $A41, Table2[HomeTeam], AG$1)</f>
        <v>10</v>
      </c>
    </row>
    <row r="42" spans="1:33" x14ac:dyDescent="0.25">
      <c r="A42" s="3">
        <v>45973</v>
      </c>
      <c r="B42" s="145">
        <f>SUMIFS(Table2[NewPointsAway],Table2[GameDate], "&lt;=" &amp; $A42, Table2[AwayTeam], B$1)+SUMIFS(Table2[NewPointsHome],Table2[GameDate], "&lt;=" &amp; $A42, Table2[HomeTeam], B$1)</f>
        <v>7</v>
      </c>
      <c r="C42" s="145">
        <f>SUMIFS(Table2[NewPointsAway],Table2[GameDate], "&lt;=" &amp; $A42, Table2[AwayTeam], C$1)+SUMIFS(Table2[NewPointsHome],Table2[GameDate], "&lt;=" &amp; $A42, Table2[HomeTeam], C$1)</f>
        <v>6</v>
      </c>
      <c r="D42" s="145">
        <f>SUMIFS(Table2[NewPointsAway],Table2[GameDate], "&lt;=" &amp; $A42, Table2[AwayTeam], D$1)+SUMIFS(Table2[NewPointsHome],Table2[GameDate], "&lt;=" &amp; $A42, Table2[HomeTeam], D$1)</f>
        <v>4</v>
      </c>
      <c r="E42" s="145">
        <f>SUMIFS(Table2[NewPointsAway],Table2[GameDate], "&lt;=" &amp; $A42, Table2[AwayTeam], E$1)+SUMIFS(Table2[NewPointsHome],Table2[GameDate], "&lt;=" &amp; $A42, Table2[HomeTeam], E$1)</f>
        <v>10</v>
      </c>
      <c r="F42" s="145">
        <f>SUMIFS(Table2[NewPointsAway],Table2[GameDate], "&lt;=" &amp; $A42, Table2[AwayTeam], F$1)+SUMIFS(Table2[NewPointsHome],Table2[GameDate], "&lt;=" &amp; $A42, Table2[HomeTeam], F$1)</f>
        <v>6</v>
      </c>
      <c r="G42" s="145">
        <f>SUMIFS(Table2[NewPointsAway],Table2[GameDate], "&lt;=" &amp; $A42, Table2[AwayTeam], G$1)+SUMIFS(Table2[NewPointsHome],Table2[GameDate], "&lt;=" &amp; $A42, Table2[HomeTeam], G$1)</f>
        <v>2</v>
      </c>
      <c r="H42" s="145">
        <f>SUMIFS(Table2[NewPointsAway],Table2[GameDate], "&lt;=" &amp; $A42, Table2[AwayTeam], H$1)+SUMIFS(Table2[NewPointsHome],Table2[GameDate], "&lt;=" &amp; $A42, Table2[HomeTeam], H$1)</f>
        <v>8</v>
      </c>
      <c r="I42" s="145">
        <f>SUMIFS(Table2[NewPointsAway],Table2[GameDate], "&lt;=" &amp; $A42, Table2[AwayTeam], I$1)+SUMIFS(Table2[NewPointsHome],Table2[GameDate], "&lt;=" &amp; $A42, Table2[HomeTeam], I$1)</f>
        <v>12</v>
      </c>
      <c r="J42" s="145">
        <f>SUMIFS(Table2[NewPointsAway],Table2[GameDate], "&lt;=" &amp; $A42, Table2[AwayTeam], J$1)+SUMIFS(Table2[NewPointsHome],Table2[GameDate], "&lt;=" &amp; $A42, Table2[HomeTeam], J$1)</f>
        <v>6</v>
      </c>
      <c r="K42" s="145">
        <f>SUMIFS(Table2[NewPointsAway],Table2[GameDate], "&lt;=" &amp; $A42, Table2[AwayTeam], K$1)+SUMIFS(Table2[NewPointsHome],Table2[GameDate], "&lt;=" &amp; $A42, Table2[HomeTeam], K$1)</f>
        <v>10</v>
      </c>
      <c r="L42" s="145">
        <f>SUMIFS(Table2[NewPointsAway],Table2[GameDate], "&lt;=" &amp; $A42, Table2[AwayTeam], L$1)+SUMIFS(Table2[NewPointsHome],Table2[GameDate], "&lt;=" &amp; $A42, Table2[HomeTeam], L$1)</f>
        <v>7</v>
      </c>
      <c r="M42" s="145">
        <f>SUMIFS(Table2[NewPointsAway],Table2[GameDate], "&lt;=" &amp; $A42, Table2[AwayTeam], M$1)+SUMIFS(Table2[NewPointsHome],Table2[GameDate], "&lt;=" &amp; $A42, Table2[HomeTeam], M$1)</f>
        <v>8</v>
      </c>
      <c r="N42" s="145">
        <f>SUMIFS(Table2[NewPointsAway],Table2[GameDate], "&lt;=" &amp; $A42, Table2[AwayTeam], N$1)+SUMIFS(Table2[NewPointsHome],Table2[GameDate], "&lt;=" &amp; $A42, Table2[HomeTeam], N$1)</f>
        <v>6</v>
      </c>
      <c r="O42" s="145">
        <f>SUMIFS(Table2[NewPointsAway],Table2[GameDate], "&lt;=" &amp; $A42, Table2[AwayTeam], O$1)+SUMIFS(Table2[NewPointsHome],Table2[GameDate], "&lt;=" &amp; $A42, Table2[HomeTeam], O$1)</f>
        <v>7</v>
      </c>
      <c r="P42" s="145">
        <f>SUMIFS(Table2[NewPointsAway],Table2[GameDate], "&lt;=" &amp; $A42, Table2[AwayTeam], P$1)+SUMIFS(Table2[NewPointsHome],Table2[GameDate], "&lt;=" &amp; $A42, Table2[HomeTeam], P$1)</f>
        <v>10</v>
      </c>
      <c r="Q42" s="145">
        <f>SUMIFS(Table2[NewPointsAway],Table2[GameDate], "&lt;=" &amp; $A42, Table2[AwayTeam], Q$1)+SUMIFS(Table2[NewPointsHome],Table2[GameDate], "&lt;=" &amp; $A42, Table2[HomeTeam], Q$1)</f>
        <v>10</v>
      </c>
      <c r="R42" s="145">
        <f>SUMIFS(Table2[NewPointsAway],Table2[GameDate], "&lt;=" &amp; $A42, Table2[AwayTeam], R$1)+SUMIFS(Table2[NewPointsHome],Table2[GameDate], "&lt;=" &amp; $A42, Table2[HomeTeam], R$1)</f>
        <v>6</v>
      </c>
      <c r="S42" s="145">
        <f>SUMIFS(Table2[NewPointsAway],Table2[GameDate], "&lt;=" &amp; $A42, Table2[AwayTeam], S$1)+SUMIFS(Table2[NewPointsHome],Table2[GameDate], "&lt;=" &amp; $A42, Table2[HomeTeam], S$1)</f>
        <v>6</v>
      </c>
      <c r="T42" s="145">
        <f>SUMIFS(Table2[NewPointsAway],Table2[GameDate], "&lt;=" &amp; $A42, Table2[AwayTeam], T$1)+SUMIFS(Table2[NewPointsHome],Table2[GameDate], "&lt;=" &amp; $A42, Table2[HomeTeam], T$1)</f>
        <v>7</v>
      </c>
      <c r="U42" s="145">
        <f>SUMIFS(Table2[NewPointsAway],Table2[GameDate], "&lt;=" &amp; $A42, Table2[AwayTeam], U$1)+SUMIFS(Table2[NewPointsHome],Table2[GameDate], "&lt;=" &amp; $A42, Table2[HomeTeam], U$1)</f>
        <v>5</v>
      </c>
      <c r="V42" s="145">
        <f>SUMIFS(Table2[NewPointsAway],Table2[GameDate], "&lt;=" &amp; $A42, Table2[AwayTeam], V$1)+SUMIFS(Table2[NewPointsHome],Table2[GameDate], "&lt;=" &amp; $A42, Table2[HomeTeam], V$1)</f>
        <v>7</v>
      </c>
      <c r="W42" s="145">
        <f>SUMIFS(Table2[NewPointsAway],Table2[GameDate], "&lt;=" &amp; $A42, Table2[AwayTeam], W$1)+SUMIFS(Table2[NewPointsHome],Table2[GameDate], "&lt;=" &amp; $A42, Table2[HomeTeam], W$1)</f>
        <v>10</v>
      </c>
      <c r="X42" s="145">
        <f>SUMIFS(Table2[NewPointsAway],Table2[GameDate], "&lt;=" &amp; $A42, Table2[AwayTeam], X$1)+SUMIFS(Table2[NewPointsHome],Table2[GameDate], "&lt;=" &amp; $A42, Table2[HomeTeam], X$1)</f>
        <v>8</v>
      </c>
      <c r="Y42" s="145">
        <f>SUMIFS(Table2[NewPointsAway],Table2[GameDate], "&lt;=" &amp; $A42, Table2[AwayTeam], Y$1)+SUMIFS(Table2[NewPointsHome],Table2[GameDate], "&lt;=" &amp; $A42, Table2[HomeTeam], Y$1)</f>
        <v>2</v>
      </c>
      <c r="Z42" s="145">
        <f>SUMIFS(Table2[NewPointsAway],Table2[GameDate], "&lt;=" &amp; $A42, Table2[AwayTeam], Z$1)+SUMIFS(Table2[NewPointsHome],Table2[GameDate], "&lt;=" &amp; $A42, Table2[HomeTeam], Z$1)</f>
        <v>7</v>
      </c>
      <c r="AA42" s="145">
        <f>SUMIFS(Table2[NewPointsAway],Table2[GameDate], "&lt;=" &amp; $A42, Table2[AwayTeam], AA$1)+SUMIFS(Table2[NewPointsHome],Table2[GameDate], "&lt;=" &amp; $A42, Table2[HomeTeam], AA$1)</f>
        <v>4</v>
      </c>
      <c r="AB42" s="145">
        <f>SUMIFS(Table2[NewPointsAway],Table2[GameDate], "&lt;=" &amp; $A42, Table2[AwayTeam], AB$1)+SUMIFS(Table2[NewPointsHome],Table2[GameDate], "&lt;=" &amp; $A42, Table2[HomeTeam], AB$1)</f>
        <v>7</v>
      </c>
      <c r="AC42" s="145">
        <f>SUMIFS(Table2[NewPointsAway],Table2[GameDate], "&lt;=" &amp; $A42, Table2[AwayTeam], AC$1)+SUMIFS(Table2[NewPointsHome],Table2[GameDate], "&lt;=" &amp; $A42, Table2[HomeTeam], AC$1)</f>
        <v>10</v>
      </c>
      <c r="AD42" s="145">
        <f>SUMIFS(Table2[NewPointsAway],Table2[GameDate], "&lt;=" &amp; $A42, Table2[AwayTeam], AD$1)+SUMIFS(Table2[NewPointsHome],Table2[GameDate], "&lt;=" &amp; $A42, Table2[HomeTeam], AD$1)</f>
        <v>8</v>
      </c>
      <c r="AE42" s="145">
        <f>SUMIFS(Table2[NewPointsAway],Table2[GameDate], "&lt;=" &amp; $A42, Table2[AwayTeam], AE$1)+SUMIFS(Table2[NewPointsHome],Table2[GameDate], "&lt;=" &amp; $A42, Table2[HomeTeam], AE$1)</f>
        <v>12</v>
      </c>
      <c r="AF42" s="145">
        <f>SUMIFS(Table2[NewPointsAway],Table2[GameDate], "&lt;=" &amp; $A42, Table2[AwayTeam], AF$1)+SUMIFS(Table2[NewPointsHome],Table2[GameDate], "&lt;=" &amp; $A42, Table2[HomeTeam], AF$1)</f>
        <v>10</v>
      </c>
      <c r="AG42" s="145">
        <f>SUMIFS(Table2[NewPointsAway],Table2[GameDate], "&lt;=" &amp; $A42, Table2[AwayTeam], AG$1)+SUMIFS(Table2[NewPointsHome],Table2[GameDate], "&lt;=" &amp; $A42, Table2[HomeTeam], AG$1)</f>
        <v>10</v>
      </c>
    </row>
    <row r="43" spans="1:33" x14ac:dyDescent="0.25">
      <c r="A43" s="3">
        <v>45974</v>
      </c>
      <c r="B43" s="145">
        <f>SUMIFS(Table2[NewPointsAway],Table2[GameDate], "&lt;=" &amp; $A43, Table2[AwayTeam], B$1)+SUMIFS(Table2[NewPointsHome],Table2[GameDate], "&lt;=" &amp; $A43, Table2[HomeTeam], B$1)</f>
        <v>7</v>
      </c>
      <c r="C43" s="145">
        <f>SUMIFS(Table2[NewPointsAway],Table2[GameDate], "&lt;=" &amp; $A43, Table2[AwayTeam], C$1)+SUMIFS(Table2[NewPointsHome],Table2[GameDate], "&lt;=" &amp; $A43, Table2[HomeTeam], C$1)</f>
        <v>6</v>
      </c>
      <c r="D43" s="145">
        <f>SUMIFS(Table2[NewPointsAway],Table2[GameDate], "&lt;=" &amp; $A43, Table2[AwayTeam], D$1)+SUMIFS(Table2[NewPointsHome],Table2[GameDate], "&lt;=" &amp; $A43, Table2[HomeTeam], D$1)</f>
        <v>4</v>
      </c>
      <c r="E43" s="145">
        <f>SUMIFS(Table2[NewPointsAway],Table2[GameDate], "&lt;=" &amp; $A43, Table2[AwayTeam], E$1)+SUMIFS(Table2[NewPointsHome],Table2[GameDate], "&lt;=" &amp; $A43, Table2[HomeTeam], E$1)</f>
        <v>10</v>
      </c>
      <c r="F43" s="145">
        <f>SUMIFS(Table2[NewPointsAway],Table2[GameDate], "&lt;=" &amp; $A43, Table2[AwayTeam], F$1)+SUMIFS(Table2[NewPointsHome],Table2[GameDate], "&lt;=" &amp; $A43, Table2[HomeTeam], F$1)</f>
        <v>6</v>
      </c>
      <c r="G43" s="145">
        <f>SUMIFS(Table2[NewPointsAway],Table2[GameDate], "&lt;=" &amp; $A43, Table2[AwayTeam], G$1)+SUMIFS(Table2[NewPointsHome],Table2[GameDate], "&lt;=" &amp; $A43, Table2[HomeTeam], G$1)</f>
        <v>2</v>
      </c>
      <c r="H43" s="145">
        <f>SUMIFS(Table2[NewPointsAway],Table2[GameDate], "&lt;=" &amp; $A43, Table2[AwayTeam], H$1)+SUMIFS(Table2[NewPointsHome],Table2[GameDate], "&lt;=" &amp; $A43, Table2[HomeTeam], H$1)</f>
        <v>8</v>
      </c>
      <c r="I43" s="145">
        <f>SUMIFS(Table2[NewPointsAway],Table2[GameDate], "&lt;=" &amp; $A43, Table2[AwayTeam], I$1)+SUMIFS(Table2[NewPointsHome],Table2[GameDate], "&lt;=" &amp; $A43, Table2[HomeTeam], I$1)</f>
        <v>12</v>
      </c>
      <c r="J43" s="145">
        <f>SUMIFS(Table2[NewPointsAway],Table2[GameDate], "&lt;=" &amp; $A43, Table2[AwayTeam], J$1)+SUMIFS(Table2[NewPointsHome],Table2[GameDate], "&lt;=" &amp; $A43, Table2[HomeTeam], J$1)</f>
        <v>6</v>
      </c>
      <c r="K43" s="145">
        <f>SUMIFS(Table2[NewPointsAway],Table2[GameDate], "&lt;=" &amp; $A43, Table2[AwayTeam], K$1)+SUMIFS(Table2[NewPointsHome],Table2[GameDate], "&lt;=" &amp; $A43, Table2[HomeTeam], K$1)</f>
        <v>10</v>
      </c>
      <c r="L43" s="145">
        <f>SUMIFS(Table2[NewPointsAway],Table2[GameDate], "&lt;=" &amp; $A43, Table2[AwayTeam], L$1)+SUMIFS(Table2[NewPointsHome],Table2[GameDate], "&lt;=" &amp; $A43, Table2[HomeTeam], L$1)</f>
        <v>7</v>
      </c>
      <c r="M43" s="145">
        <f>SUMIFS(Table2[NewPointsAway],Table2[GameDate], "&lt;=" &amp; $A43, Table2[AwayTeam], M$1)+SUMIFS(Table2[NewPointsHome],Table2[GameDate], "&lt;=" &amp; $A43, Table2[HomeTeam], M$1)</f>
        <v>8</v>
      </c>
      <c r="N43" s="145">
        <f>SUMIFS(Table2[NewPointsAway],Table2[GameDate], "&lt;=" &amp; $A43, Table2[AwayTeam], N$1)+SUMIFS(Table2[NewPointsHome],Table2[GameDate], "&lt;=" &amp; $A43, Table2[HomeTeam], N$1)</f>
        <v>6</v>
      </c>
      <c r="O43" s="145">
        <f>SUMIFS(Table2[NewPointsAway],Table2[GameDate], "&lt;=" &amp; $A43, Table2[AwayTeam], O$1)+SUMIFS(Table2[NewPointsHome],Table2[GameDate], "&lt;=" &amp; $A43, Table2[HomeTeam], O$1)</f>
        <v>7</v>
      </c>
      <c r="P43" s="145">
        <f>SUMIFS(Table2[NewPointsAway],Table2[GameDate], "&lt;=" &amp; $A43, Table2[AwayTeam], P$1)+SUMIFS(Table2[NewPointsHome],Table2[GameDate], "&lt;=" &amp; $A43, Table2[HomeTeam], P$1)</f>
        <v>10</v>
      </c>
      <c r="Q43" s="145">
        <f>SUMIFS(Table2[NewPointsAway],Table2[GameDate], "&lt;=" &amp; $A43, Table2[AwayTeam], Q$1)+SUMIFS(Table2[NewPointsHome],Table2[GameDate], "&lt;=" &amp; $A43, Table2[HomeTeam], Q$1)</f>
        <v>10</v>
      </c>
      <c r="R43" s="145">
        <f>SUMIFS(Table2[NewPointsAway],Table2[GameDate], "&lt;=" &amp; $A43, Table2[AwayTeam], R$1)+SUMIFS(Table2[NewPointsHome],Table2[GameDate], "&lt;=" &amp; $A43, Table2[HomeTeam], R$1)</f>
        <v>6</v>
      </c>
      <c r="S43" s="145">
        <f>SUMIFS(Table2[NewPointsAway],Table2[GameDate], "&lt;=" &amp; $A43, Table2[AwayTeam], S$1)+SUMIFS(Table2[NewPointsHome],Table2[GameDate], "&lt;=" &amp; $A43, Table2[HomeTeam], S$1)</f>
        <v>6</v>
      </c>
      <c r="T43" s="145">
        <f>SUMIFS(Table2[NewPointsAway],Table2[GameDate], "&lt;=" &amp; $A43, Table2[AwayTeam], T$1)+SUMIFS(Table2[NewPointsHome],Table2[GameDate], "&lt;=" &amp; $A43, Table2[HomeTeam], T$1)</f>
        <v>7</v>
      </c>
      <c r="U43" s="145">
        <f>SUMIFS(Table2[NewPointsAway],Table2[GameDate], "&lt;=" &amp; $A43, Table2[AwayTeam], U$1)+SUMIFS(Table2[NewPointsHome],Table2[GameDate], "&lt;=" &amp; $A43, Table2[HomeTeam], U$1)</f>
        <v>5</v>
      </c>
      <c r="V43" s="145">
        <f>SUMIFS(Table2[NewPointsAway],Table2[GameDate], "&lt;=" &amp; $A43, Table2[AwayTeam], V$1)+SUMIFS(Table2[NewPointsHome],Table2[GameDate], "&lt;=" &amp; $A43, Table2[HomeTeam], V$1)</f>
        <v>7</v>
      </c>
      <c r="W43" s="145">
        <f>SUMIFS(Table2[NewPointsAway],Table2[GameDate], "&lt;=" &amp; $A43, Table2[AwayTeam], W$1)+SUMIFS(Table2[NewPointsHome],Table2[GameDate], "&lt;=" &amp; $A43, Table2[HomeTeam], W$1)</f>
        <v>10</v>
      </c>
      <c r="X43" s="145">
        <f>SUMIFS(Table2[NewPointsAway],Table2[GameDate], "&lt;=" &amp; $A43, Table2[AwayTeam], X$1)+SUMIFS(Table2[NewPointsHome],Table2[GameDate], "&lt;=" &amp; $A43, Table2[HomeTeam], X$1)</f>
        <v>8</v>
      </c>
      <c r="Y43" s="145">
        <f>SUMIFS(Table2[NewPointsAway],Table2[GameDate], "&lt;=" &amp; $A43, Table2[AwayTeam], Y$1)+SUMIFS(Table2[NewPointsHome],Table2[GameDate], "&lt;=" &amp; $A43, Table2[HomeTeam], Y$1)</f>
        <v>2</v>
      </c>
      <c r="Z43" s="145">
        <f>SUMIFS(Table2[NewPointsAway],Table2[GameDate], "&lt;=" &amp; $A43, Table2[AwayTeam], Z$1)+SUMIFS(Table2[NewPointsHome],Table2[GameDate], "&lt;=" &amp; $A43, Table2[HomeTeam], Z$1)</f>
        <v>7</v>
      </c>
      <c r="AA43" s="145">
        <f>SUMIFS(Table2[NewPointsAway],Table2[GameDate], "&lt;=" &amp; $A43, Table2[AwayTeam], AA$1)+SUMIFS(Table2[NewPointsHome],Table2[GameDate], "&lt;=" &amp; $A43, Table2[HomeTeam], AA$1)</f>
        <v>4</v>
      </c>
      <c r="AB43" s="145">
        <f>SUMIFS(Table2[NewPointsAway],Table2[GameDate], "&lt;=" &amp; $A43, Table2[AwayTeam], AB$1)+SUMIFS(Table2[NewPointsHome],Table2[GameDate], "&lt;=" &amp; $A43, Table2[HomeTeam], AB$1)</f>
        <v>7</v>
      </c>
      <c r="AC43" s="145">
        <f>SUMIFS(Table2[NewPointsAway],Table2[GameDate], "&lt;=" &amp; $A43, Table2[AwayTeam], AC$1)+SUMIFS(Table2[NewPointsHome],Table2[GameDate], "&lt;=" &amp; $A43, Table2[HomeTeam], AC$1)</f>
        <v>10</v>
      </c>
      <c r="AD43" s="145">
        <f>SUMIFS(Table2[NewPointsAway],Table2[GameDate], "&lt;=" &amp; $A43, Table2[AwayTeam], AD$1)+SUMIFS(Table2[NewPointsHome],Table2[GameDate], "&lt;=" &amp; $A43, Table2[HomeTeam], AD$1)</f>
        <v>8</v>
      </c>
      <c r="AE43" s="145">
        <f>SUMIFS(Table2[NewPointsAway],Table2[GameDate], "&lt;=" &amp; $A43, Table2[AwayTeam], AE$1)+SUMIFS(Table2[NewPointsHome],Table2[GameDate], "&lt;=" &amp; $A43, Table2[HomeTeam], AE$1)</f>
        <v>12</v>
      </c>
      <c r="AF43" s="145">
        <f>SUMIFS(Table2[NewPointsAway],Table2[GameDate], "&lt;=" &amp; $A43, Table2[AwayTeam], AF$1)+SUMIFS(Table2[NewPointsHome],Table2[GameDate], "&lt;=" &amp; $A43, Table2[HomeTeam], AF$1)</f>
        <v>10</v>
      </c>
      <c r="AG43" s="145">
        <f>SUMIFS(Table2[NewPointsAway],Table2[GameDate], "&lt;=" &amp; $A43, Table2[AwayTeam], AG$1)+SUMIFS(Table2[NewPointsHome],Table2[GameDate], "&lt;=" &amp; $A43, Table2[HomeTeam], AG$1)</f>
        <v>10</v>
      </c>
    </row>
    <row r="44" spans="1:33" x14ac:dyDescent="0.25">
      <c r="A44" s="3">
        <v>45975</v>
      </c>
      <c r="B44" s="145">
        <f>SUMIFS(Table2[NewPointsAway],Table2[GameDate], "&lt;=" &amp; $A44, Table2[AwayTeam], B$1)+SUMIFS(Table2[NewPointsHome],Table2[GameDate], "&lt;=" &amp; $A44, Table2[HomeTeam], B$1)</f>
        <v>7</v>
      </c>
      <c r="C44" s="145">
        <f>SUMIFS(Table2[NewPointsAway],Table2[GameDate], "&lt;=" &amp; $A44, Table2[AwayTeam], C$1)+SUMIFS(Table2[NewPointsHome],Table2[GameDate], "&lt;=" &amp; $A44, Table2[HomeTeam], C$1)</f>
        <v>6</v>
      </c>
      <c r="D44" s="145">
        <f>SUMIFS(Table2[NewPointsAway],Table2[GameDate], "&lt;=" &amp; $A44, Table2[AwayTeam], D$1)+SUMIFS(Table2[NewPointsHome],Table2[GameDate], "&lt;=" &amp; $A44, Table2[HomeTeam], D$1)</f>
        <v>4</v>
      </c>
      <c r="E44" s="145">
        <f>SUMIFS(Table2[NewPointsAway],Table2[GameDate], "&lt;=" &amp; $A44, Table2[AwayTeam], E$1)+SUMIFS(Table2[NewPointsHome],Table2[GameDate], "&lt;=" &amp; $A44, Table2[HomeTeam], E$1)</f>
        <v>10</v>
      </c>
      <c r="F44" s="145">
        <f>SUMIFS(Table2[NewPointsAway],Table2[GameDate], "&lt;=" &amp; $A44, Table2[AwayTeam], F$1)+SUMIFS(Table2[NewPointsHome],Table2[GameDate], "&lt;=" &amp; $A44, Table2[HomeTeam], F$1)</f>
        <v>6</v>
      </c>
      <c r="G44" s="145">
        <f>SUMIFS(Table2[NewPointsAway],Table2[GameDate], "&lt;=" &amp; $A44, Table2[AwayTeam], G$1)+SUMIFS(Table2[NewPointsHome],Table2[GameDate], "&lt;=" &amp; $A44, Table2[HomeTeam], G$1)</f>
        <v>2</v>
      </c>
      <c r="H44" s="145">
        <f>SUMIFS(Table2[NewPointsAway],Table2[GameDate], "&lt;=" &amp; $A44, Table2[AwayTeam], H$1)+SUMIFS(Table2[NewPointsHome],Table2[GameDate], "&lt;=" &amp; $A44, Table2[HomeTeam], H$1)</f>
        <v>8</v>
      </c>
      <c r="I44" s="145">
        <f>SUMIFS(Table2[NewPointsAway],Table2[GameDate], "&lt;=" &amp; $A44, Table2[AwayTeam], I$1)+SUMIFS(Table2[NewPointsHome],Table2[GameDate], "&lt;=" &amp; $A44, Table2[HomeTeam], I$1)</f>
        <v>12</v>
      </c>
      <c r="J44" s="145">
        <f>SUMIFS(Table2[NewPointsAway],Table2[GameDate], "&lt;=" &amp; $A44, Table2[AwayTeam], J$1)+SUMIFS(Table2[NewPointsHome],Table2[GameDate], "&lt;=" &amp; $A44, Table2[HomeTeam], J$1)</f>
        <v>6</v>
      </c>
      <c r="K44" s="145">
        <f>SUMIFS(Table2[NewPointsAway],Table2[GameDate], "&lt;=" &amp; $A44, Table2[AwayTeam], K$1)+SUMIFS(Table2[NewPointsHome],Table2[GameDate], "&lt;=" &amp; $A44, Table2[HomeTeam], K$1)</f>
        <v>10</v>
      </c>
      <c r="L44" s="145">
        <f>SUMIFS(Table2[NewPointsAway],Table2[GameDate], "&lt;=" &amp; $A44, Table2[AwayTeam], L$1)+SUMIFS(Table2[NewPointsHome],Table2[GameDate], "&lt;=" &amp; $A44, Table2[HomeTeam], L$1)</f>
        <v>7</v>
      </c>
      <c r="M44" s="145">
        <f>SUMIFS(Table2[NewPointsAway],Table2[GameDate], "&lt;=" &amp; $A44, Table2[AwayTeam], M$1)+SUMIFS(Table2[NewPointsHome],Table2[GameDate], "&lt;=" &amp; $A44, Table2[HomeTeam], M$1)</f>
        <v>8</v>
      </c>
      <c r="N44" s="145">
        <f>SUMIFS(Table2[NewPointsAway],Table2[GameDate], "&lt;=" &amp; $A44, Table2[AwayTeam], N$1)+SUMIFS(Table2[NewPointsHome],Table2[GameDate], "&lt;=" &amp; $A44, Table2[HomeTeam], N$1)</f>
        <v>6</v>
      </c>
      <c r="O44" s="145">
        <f>SUMIFS(Table2[NewPointsAway],Table2[GameDate], "&lt;=" &amp; $A44, Table2[AwayTeam], O$1)+SUMIFS(Table2[NewPointsHome],Table2[GameDate], "&lt;=" &amp; $A44, Table2[HomeTeam], O$1)</f>
        <v>7</v>
      </c>
      <c r="P44" s="145">
        <f>SUMIFS(Table2[NewPointsAway],Table2[GameDate], "&lt;=" &amp; $A44, Table2[AwayTeam], P$1)+SUMIFS(Table2[NewPointsHome],Table2[GameDate], "&lt;=" &amp; $A44, Table2[HomeTeam], P$1)</f>
        <v>10</v>
      </c>
      <c r="Q44" s="145">
        <f>SUMIFS(Table2[NewPointsAway],Table2[GameDate], "&lt;=" &amp; $A44, Table2[AwayTeam], Q$1)+SUMIFS(Table2[NewPointsHome],Table2[GameDate], "&lt;=" &amp; $A44, Table2[HomeTeam], Q$1)</f>
        <v>10</v>
      </c>
      <c r="R44" s="145">
        <f>SUMIFS(Table2[NewPointsAway],Table2[GameDate], "&lt;=" &amp; $A44, Table2[AwayTeam], R$1)+SUMIFS(Table2[NewPointsHome],Table2[GameDate], "&lt;=" &amp; $A44, Table2[HomeTeam], R$1)</f>
        <v>6</v>
      </c>
      <c r="S44" s="145">
        <f>SUMIFS(Table2[NewPointsAway],Table2[GameDate], "&lt;=" &amp; $A44, Table2[AwayTeam], S$1)+SUMIFS(Table2[NewPointsHome],Table2[GameDate], "&lt;=" &amp; $A44, Table2[HomeTeam], S$1)</f>
        <v>6</v>
      </c>
      <c r="T44" s="145">
        <f>SUMIFS(Table2[NewPointsAway],Table2[GameDate], "&lt;=" &amp; $A44, Table2[AwayTeam], T$1)+SUMIFS(Table2[NewPointsHome],Table2[GameDate], "&lt;=" &amp; $A44, Table2[HomeTeam], T$1)</f>
        <v>7</v>
      </c>
      <c r="U44" s="145">
        <f>SUMIFS(Table2[NewPointsAway],Table2[GameDate], "&lt;=" &amp; $A44, Table2[AwayTeam], U$1)+SUMIFS(Table2[NewPointsHome],Table2[GameDate], "&lt;=" &amp; $A44, Table2[HomeTeam], U$1)</f>
        <v>5</v>
      </c>
      <c r="V44" s="145">
        <f>SUMIFS(Table2[NewPointsAway],Table2[GameDate], "&lt;=" &amp; $A44, Table2[AwayTeam], V$1)+SUMIFS(Table2[NewPointsHome],Table2[GameDate], "&lt;=" &amp; $A44, Table2[HomeTeam], V$1)</f>
        <v>7</v>
      </c>
      <c r="W44" s="145">
        <f>SUMIFS(Table2[NewPointsAway],Table2[GameDate], "&lt;=" &amp; $A44, Table2[AwayTeam], W$1)+SUMIFS(Table2[NewPointsHome],Table2[GameDate], "&lt;=" &amp; $A44, Table2[HomeTeam], W$1)</f>
        <v>10</v>
      </c>
      <c r="X44" s="145">
        <f>SUMIFS(Table2[NewPointsAway],Table2[GameDate], "&lt;=" &amp; $A44, Table2[AwayTeam], X$1)+SUMIFS(Table2[NewPointsHome],Table2[GameDate], "&lt;=" &amp; $A44, Table2[HomeTeam], X$1)</f>
        <v>8</v>
      </c>
      <c r="Y44" s="145">
        <f>SUMIFS(Table2[NewPointsAway],Table2[GameDate], "&lt;=" &amp; $A44, Table2[AwayTeam], Y$1)+SUMIFS(Table2[NewPointsHome],Table2[GameDate], "&lt;=" &amp; $A44, Table2[HomeTeam], Y$1)</f>
        <v>2</v>
      </c>
      <c r="Z44" s="145">
        <f>SUMIFS(Table2[NewPointsAway],Table2[GameDate], "&lt;=" &amp; $A44, Table2[AwayTeam], Z$1)+SUMIFS(Table2[NewPointsHome],Table2[GameDate], "&lt;=" &amp; $A44, Table2[HomeTeam], Z$1)</f>
        <v>7</v>
      </c>
      <c r="AA44" s="145">
        <f>SUMIFS(Table2[NewPointsAway],Table2[GameDate], "&lt;=" &amp; $A44, Table2[AwayTeam], AA$1)+SUMIFS(Table2[NewPointsHome],Table2[GameDate], "&lt;=" &amp; $A44, Table2[HomeTeam], AA$1)</f>
        <v>4</v>
      </c>
      <c r="AB44" s="145">
        <f>SUMIFS(Table2[NewPointsAway],Table2[GameDate], "&lt;=" &amp; $A44, Table2[AwayTeam], AB$1)+SUMIFS(Table2[NewPointsHome],Table2[GameDate], "&lt;=" &amp; $A44, Table2[HomeTeam], AB$1)</f>
        <v>7</v>
      </c>
      <c r="AC44" s="145">
        <f>SUMIFS(Table2[NewPointsAway],Table2[GameDate], "&lt;=" &amp; $A44, Table2[AwayTeam], AC$1)+SUMIFS(Table2[NewPointsHome],Table2[GameDate], "&lt;=" &amp; $A44, Table2[HomeTeam], AC$1)</f>
        <v>10</v>
      </c>
      <c r="AD44" s="145">
        <f>SUMIFS(Table2[NewPointsAway],Table2[GameDate], "&lt;=" &amp; $A44, Table2[AwayTeam], AD$1)+SUMIFS(Table2[NewPointsHome],Table2[GameDate], "&lt;=" &amp; $A44, Table2[HomeTeam], AD$1)</f>
        <v>8</v>
      </c>
      <c r="AE44" s="145">
        <f>SUMIFS(Table2[NewPointsAway],Table2[GameDate], "&lt;=" &amp; $A44, Table2[AwayTeam], AE$1)+SUMIFS(Table2[NewPointsHome],Table2[GameDate], "&lt;=" &amp; $A44, Table2[HomeTeam], AE$1)</f>
        <v>12</v>
      </c>
      <c r="AF44" s="145">
        <f>SUMIFS(Table2[NewPointsAway],Table2[GameDate], "&lt;=" &amp; $A44, Table2[AwayTeam], AF$1)+SUMIFS(Table2[NewPointsHome],Table2[GameDate], "&lt;=" &amp; $A44, Table2[HomeTeam], AF$1)</f>
        <v>10</v>
      </c>
      <c r="AG44" s="145">
        <f>SUMIFS(Table2[NewPointsAway],Table2[GameDate], "&lt;=" &amp; $A44, Table2[AwayTeam], AG$1)+SUMIFS(Table2[NewPointsHome],Table2[GameDate], "&lt;=" &amp; $A44, Table2[HomeTeam], AG$1)</f>
        <v>10</v>
      </c>
    </row>
    <row r="45" spans="1:33" x14ac:dyDescent="0.25">
      <c r="A45" s="3">
        <v>45976</v>
      </c>
      <c r="B45" s="145">
        <f>SUMIFS(Table2[NewPointsAway],Table2[GameDate], "&lt;=" &amp; $A45, Table2[AwayTeam], B$1)+SUMIFS(Table2[NewPointsHome],Table2[GameDate], "&lt;=" &amp; $A45, Table2[HomeTeam], B$1)</f>
        <v>7</v>
      </c>
      <c r="C45" s="145">
        <f>SUMIFS(Table2[NewPointsAway],Table2[GameDate], "&lt;=" &amp; $A45, Table2[AwayTeam], C$1)+SUMIFS(Table2[NewPointsHome],Table2[GameDate], "&lt;=" &amp; $A45, Table2[HomeTeam], C$1)</f>
        <v>6</v>
      </c>
      <c r="D45" s="145">
        <f>SUMIFS(Table2[NewPointsAway],Table2[GameDate], "&lt;=" &amp; $A45, Table2[AwayTeam], D$1)+SUMIFS(Table2[NewPointsHome],Table2[GameDate], "&lt;=" &amp; $A45, Table2[HomeTeam], D$1)</f>
        <v>4</v>
      </c>
      <c r="E45" s="145">
        <f>SUMIFS(Table2[NewPointsAway],Table2[GameDate], "&lt;=" &amp; $A45, Table2[AwayTeam], E$1)+SUMIFS(Table2[NewPointsHome],Table2[GameDate], "&lt;=" &amp; $A45, Table2[HomeTeam], E$1)</f>
        <v>10</v>
      </c>
      <c r="F45" s="145">
        <f>SUMIFS(Table2[NewPointsAway],Table2[GameDate], "&lt;=" &amp; $A45, Table2[AwayTeam], F$1)+SUMIFS(Table2[NewPointsHome],Table2[GameDate], "&lt;=" &amp; $A45, Table2[HomeTeam], F$1)</f>
        <v>6</v>
      </c>
      <c r="G45" s="145">
        <f>SUMIFS(Table2[NewPointsAway],Table2[GameDate], "&lt;=" &amp; $A45, Table2[AwayTeam], G$1)+SUMIFS(Table2[NewPointsHome],Table2[GameDate], "&lt;=" &amp; $A45, Table2[HomeTeam], G$1)</f>
        <v>2</v>
      </c>
      <c r="H45" s="145">
        <f>SUMIFS(Table2[NewPointsAway],Table2[GameDate], "&lt;=" &amp; $A45, Table2[AwayTeam], H$1)+SUMIFS(Table2[NewPointsHome],Table2[GameDate], "&lt;=" &amp; $A45, Table2[HomeTeam], H$1)</f>
        <v>8</v>
      </c>
      <c r="I45" s="145">
        <f>SUMIFS(Table2[NewPointsAway],Table2[GameDate], "&lt;=" &amp; $A45, Table2[AwayTeam], I$1)+SUMIFS(Table2[NewPointsHome],Table2[GameDate], "&lt;=" &amp; $A45, Table2[HomeTeam], I$1)</f>
        <v>12</v>
      </c>
      <c r="J45" s="145">
        <f>SUMIFS(Table2[NewPointsAway],Table2[GameDate], "&lt;=" &amp; $A45, Table2[AwayTeam], J$1)+SUMIFS(Table2[NewPointsHome],Table2[GameDate], "&lt;=" &amp; $A45, Table2[HomeTeam], J$1)</f>
        <v>6</v>
      </c>
      <c r="K45" s="145">
        <f>SUMIFS(Table2[NewPointsAway],Table2[GameDate], "&lt;=" &amp; $A45, Table2[AwayTeam], K$1)+SUMIFS(Table2[NewPointsHome],Table2[GameDate], "&lt;=" &amp; $A45, Table2[HomeTeam], K$1)</f>
        <v>10</v>
      </c>
      <c r="L45" s="145">
        <f>SUMIFS(Table2[NewPointsAway],Table2[GameDate], "&lt;=" &amp; $A45, Table2[AwayTeam], L$1)+SUMIFS(Table2[NewPointsHome],Table2[GameDate], "&lt;=" &amp; $A45, Table2[HomeTeam], L$1)</f>
        <v>7</v>
      </c>
      <c r="M45" s="145">
        <f>SUMIFS(Table2[NewPointsAway],Table2[GameDate], "&lt;=" &amp; $A45, Table2[AwayTeam], M$1)+SUMIFS(Table2[NewPointsHome],Table2[GameDate], "&lt;=" &amp; $A45, Table2[HomeTeam], M$1)</f>
        <v>8</v>
      </c>
      <c r="N45" s="145">
        <f>SUMIFS(Table2[NewPointsAway],Table2[GameDate], "&lt;=" &amp; $A45, Table2[AwayTeam], N$1)+SUMIFS(Table2[NewPointsHome],Table2[GameDate], "&lt;=" &amp; $A45, Table2[HomeTeam], N$1)</f>
        <v>6</v>
      </c>
      <c r="O45" s="145">
        <f>SUMIFS(Table2[NewPointsAway],Table2[GameDate], "&lt;=" &amp; $A45, Table2[AwayTeam], O$1)+SUMIFS(Table2[NewPointsHome],Table2[GameDate], "&lt;=" &amp; $A45, Table2[HomeTeam], O$1)</f>
        <v>7</v>
      </c>
      <c r="P45" s="145">
        <f>SUMIFS(Table2[NewPointsAway],Table2[GameDate], "&lt;=" &amp; $A45, Table2[AwayTeam], P$1)+SUMIFS(Table2[NewPointsHome],Table2[GameDate], "&lt;=" &amp; $A45, Table2[HomeTeam], P$1)</f>
        <v>10</v>
      </c>
      <c r="Q45" s="145">
        <f>SUMIFS(Table2[NewPointsAway],Table2[GameDate], "&lt;=" &amp; $A45, Table2[AwayTeam], Q$1)+SUMIFS(Table2[NewPointsHome],Table2[GameDate], "&lt;=" &amp; $A45, Table2[HomeTeam], Q$1)</f>
        <v>10</v>
      </c>
      <c r="R45" s="145">
        <f>SUMIFS(Table2[NewPointsAway],Table2[GameDate], "&lt;=" &amp; $A45, Table2[AwayTeam], R$1)+SUMIFS(Table2[NewPointsHome],Table2[GameDate], "&lt;=" &amp; $A45, Table2[HomeTeam], R$1)</f>
        <v>6</v>
      </c>
      <c r="S45" s="145">
        <f>SUMIFS(Table2[NewPointsAway],Table2[GameDate], "&lt;=" &amp; $A45, Table2[AwayTeam], S$1)+SUMIFS(Table2[NewPointsHome],Table2[GameDate], "&lt;=" &amp; $A45, Table2[HomeTeam], S$1)</f>
        <v>6</v>
      </c>
      <c r="T45" s="145">
        <f>SUMIFS(Table2[NewPointsAway],Table2[GameDate], "&lt;=" &amp; $A45, Table2[AwayTeam], T$1)+SUMIFS(Table2[NewPointsHome],Table2[GameDate], "&lt;=" &amp; $A45, Table2[HomeTeam], T$1)</f>
        <v>7</v>
      </c>
      <c r="U45" s="145">
        <f>SUMIFS(Table2[NewPointsAway],Table2[GameDate], "&lt;=" &amp; $A45, Table2[AwayTeam], U$1)+SUMIFS(Table2[NewPointsHome],Table2[GameDate], "&lt;=" &amp; $A45, Table2[HomeTeam], U$1)</f>
        <v>5</v>
      </c>
      <c r="V45" s="145">
        <f>SUMIFS(Table2[NewPointsAway],Table2[GameDate], "&lt;=" &amp; $A45, Table2[AwayTeam], V$1)+SUMIFS(Table2[NewPointsHome],Table2[GameDate], "&lt;=" &amp; $A45, Table2[HomeTeam], V$1)</f>
        <v>7</v>
      </c>
      <c r="W45" s="145">
        <f>SUMIFS(Table2[NewPointsAway],Table2[GameDate], "&lt;=" &amp; $A45, Table2[AwayTeam], W$1)+SUMIFS(Table2[NewPointsHome],Table2[GameDate], "&lt;=" &amp; $A45, Table2[HomeTeam], W$1)</f>
        <v>10</v>
      </c>
      <c r="X45" s="145">
        <f>SUMIFS(Table2[NewPointsAway],Table2[GameDate], "&lt;=" &amp; $A45, Table2[AwayTeam], X$1)+SUMIFS(Table2[NewPointsHome],Table2[GameDate], "&lt;=" &amp; $A45, Table2[HomeTeam], X$1)</f>
        <v>8</v>
      </c>
      <c r="Y45" s="145">
        <f>SUMIFS(Table2[NewPointsAway],Table2[GameDate], "&lt;=" &amp; $A45, Table2[AwayTeam], Y$1)+SUMIFS(Table2[NewPointsHome],Table2[GameDate], "&lt;=" &amp; $A45, Table2[HomeTeam], Y$1)</f>
        <v>2</v>
      </c>
      <c r="Z45" s="145">
        <f>SUMIFS(Table2[NewPointsAway],Table2[GameDate], "&lt;=" &amp; $A45, Table2[AwayTeam], Z$1)+SUMIFS(Table2[NewPointsHome],Table2[GameDate], "&lt;=" &amp; $A45, Table2[HomeTeam], Z$1)</f>
        <v>7</v>
      </c>
      <c r="AA45" s="145">
        <f>SUMIFS(Table2[NewPointsAway],Table2[GameDate], "&lt;=" &amp; $A45, Table2[AwayTeam], AA$1)+SUMIFS(Table2[NewPointsHome],Table2[GameDate], "&lt;=" &amp; $A45, Table2[HomeTeam], AA$1)</f>
        <v>4</v>
      </c>
      <c r="AB45" s="145">
        <f>SUMIFS(Table2[NewPointsAway],Table2[GameDate], "&lt;=" &amp; $A45, Table2[AwayTeam], AB$1)+SUMIFS(Table2[NewPointsHome],Table2[GameDate], "&lt;=" &amp; $A45, Table2[HomeTeam], AB$1)</f>
        <v>7</v>
      </c>
      <c r="AC45" s="145">
        <f>SUMIFS(Table2[NewPointsAway],Table2[GameDate], "&lt;=" &amp; $A45, Table2[AwayTeam], AC$1)+SUMIFS(Table2[NewPointsHome],Table2[GameDate], "&lt;=" &amp; $A45, Table2[HomeTeam], AC$1)</f>
        <v>10</v>
      </c>
      <c r="AD45" s="145">
        <f>SUMIFS(Table2[NewPointsAway],Table2[GameDate], "&lt;=" &amp; $A45, Table2[AwayTeam], AD$1)+SUMIFS(Table2[NewPointsHome],Table2[GameDate], "&lt;=" &amp; $A45, Table2[HomeTeam], AD$1)</f>
        <v>8</v>
      </c>
      <c r="AE45" s="145">
        <f>SUMIFS(Table2[NewPointsAway],Table2[GameDate], "&lt;=" &amp; $A45, Table2[AwayTeam], AE$1)+SUMIFS(Table2[NewPointsHome],Table2[GameDate], "&lt;=" &amp; $A45, Table2[HomeTeam], AE$1)</f>
        <v>12</v>
      </c>
      <c r="AF45" s="145">
        <f>SUMIFS(Table2[NewPointsAway],Table2[GameDate], "&lt;=" &amp; $A45, Table2[AwayTeam], AF$1)+SUMIFS(Table2[NewPointsHome],Table2[GameDate], "&lt;=" &amp; $A45, Table2[HomeTeam], AF$1)</f>
        <v>10</v>
      </c>
      <c r="AG45" s="145">
        <f>SUMIFS(Table2[NewPointsAway],Table2[GameDate], "&lt;=" &amp; $A45, Table2[AwayTeam], AG$1)+SUMIFS(Table2[NewPointsHome],Table2[GameDate], "&lt;=" &amp; $A45, Table2[HomeTeam], AG$1)</f>
        <v>10</v>
      </c>
    </row>
    <row r="46" spans="1:33" x14ac:dyDescent="0.25">
      <c r="A46" s="3">
        <v>45977</v>
      </c>
      <c r="B46" s="145">
        <f>SUMIFS(Table2[NewPointsAway],Table2[GameDate], "&lt;=" &amp; $A46, Table2[AwayTeam], B$1)+SUMIFS(Table2[NewPointsHome],Table2[GameDate], "&lt;=" &amp; $A46, Table2[HomeTeam], B$1)</f>
        <v>7</v>
      </c>
      <c r="C46" s="145">
        <f>SUMIFS(Table2[NewPointsAway],Table2[GameDate], "&lt;=" &amp; $A46, Table2[AwayTeam], C$1)+SUMIFS(Table2[NewPointsHome],Table2[GameDate], "&lt;=" &amp; $A46, Table2[HomeTeam], C$1)</f>
        <v>6</v>
      </c>
      <c r="D46" s="145">
        <f>SUMIFS(Table2[NewPointsAway],Table2[GameDate], "&lt;=" &amp; $A46, Table2[AwayTeam], D$1)+SUMIFS(Table2[NewPointsHome],Table2[GameDate], "&lt;=" &amp; $A46, Table2[HomeTeam], D$1)</f>
        <v>4</v>
      </c>
      <c r="E46" s="145">
        <f>SUMIFS(Table2[NewPointsAway],Table2[GameDate], "&lt;=" &amp; $A46, Table2[AwayTeam], E$1)+SUMIFS(Table2[NewPointsHome],Table2[GameDate], "&lt;=" &amp; $A46, Table2[HomeTeam], E$1)</f>
        <v>10</v>
      </c>
      <c r="F46" s="145">
        <f>SUMIFS(Table2[NewPointsAway],Table2[GameDate], "&lt;=" &amp; $A46, Table2[AwayTeam], F$1)+SUMIFS(Table2[NewPointsHome],Table2[GameDate], "&lt;=" &amp; $A46, Table2[HomeTeam], F$1)</f>
        <v>6</v>
      </c>
      <c r="G46" s="145">
        <f>SUMIFS(Table2[NewPointsAway],Table2[GameDate], "&lt;=" &amp; $A46, Table2[AwayTeam], G$1)+SUMIFS(Table2[NewPointsHome],Table2[GameDate], "&lt;=" &amp; $A46, Table2[HomeTeam], G$1)</f>
        <v>2</v>
      </c>
      <c r="H46" s="145">
        <f>SUMIFS(Table2[NewPointsAway],Table2[GameDate], "&lt;=" &amp; $A46, Table2[AwayTeam], H$1)+SUMIFS(Table2[NewPointsHome],Table2[GameDate], "&lt;=" &amp; $A46, Table2[HomeTeam], H$1)</f>
        <v>8</v>
      </c>
      <c r="I46" s="145">
        <f>SUMIFS(Table2[NewPointsAway],Table2[GameDate], "&lt;=" &amp; $A46, Table2[AwayTeam], I$1)+SUMIFS(Table2[NewPointsHome],Table2[GameDate], "&lt;=" &amp; $A46, Table2[HomeTeam], I$1)</f>
        <v>12</v>
      </c>
      <c r="J46" s="145">
        <f>SUMIFS(Table2[NewPointsAway],Table2[GameDate], "&lt;=" &amp; $A46, Table2[AwayTeam], J$1)+SUMIFS(Table2[NewPointsHome],Table2[GameDate], "&lt;=" &amp; $A46, Table2[HomeTeam], J$1)</f>
        <v>6</v>
      </c>
      <c r="K46" s="145">
        <f>SUMIFS(Table2[NewPointsAway],Table2[GameDate], "&lt;=" &amp; $A46, Table2[AwayTeam], K$1)+SUMIFS(Table2[NewPointsHome],Table2[GameDate], "&lt;=" &amp; $A46, Table2[HomeTeam], K$1)</f>
        <v>10</v>
      </c>
      <c r="L46" s="145">
        <f>SUMIFS(Table2[NewPointsAway],Table2[GameDate], "&lt;=" &amp; $A46, Table2[AwayTeam], L$1)+SUMIFS(Table2[NewPointsHome],Table2[GameDate], "&lt;=" &amp; $A46, Table2[HomeTeam], L$1)</f>
        <v>7</v>
      </c>
      <c r="M46" s="145">
        <f>SUMIFS(Table2[NewPointsAway],Table2[GameDate], "&lt;=" &amp; $A46, Table2[AwayTeam], M$1)+SUMIFS(Table2[NewPointsHome],Table2[GameDate], "&lt;=" &amp; $A46, Table2[HomeTeam], M$1)</f>
        <v>8</v>
      </c>
      <c r="N46" s="145">
        <f>SUMIFS(Table2[NewPointsAway],Table2[GameDate], "&lt;=" &amp; $A46, Table2[AwayTeam], N$1)+SUMIFS(Table2[NewPointsHome],Table2[GameDate], "&lt;=" &amp; $A46, Table2[HomeTeam], N$1)</f>
        <v>6</v>
      </c>
      <c r="O46" s="145">
        <f>SUMIFS(Table2[NewPointsAway],Table2[GameDate], "&lt;=" &amp; $A46, Table2[AwayTeam], O$1)+SUMIFS(Table2[NewPointsHome],Table2[GameDate], "&lt;=" &amp; $A46, Table2[HomeTeam], O$1)</f>
        <v>7</v>
      </c>
      <c r="P46" s="145">
        <f>SUMIFS(Table2[NewPointsAway],Table2[GameDate], "&lt;=" &amp; $A46, Table2[AwayTeam], P$1)+SUMIFS(Table2[NewPointsHome],Table2[GameDate], "&lt;=" &amp; $A46, Table2[HomeTeam], P$1)</f>
        <v>10</v>
      </c>
      <c r="Q46" s="145">
        <f>SUMIFS(Table2[NewPointsAway],Table2[GameDate], "&lt;=" &amp; $A46, Table2[AwayTeam], Q$1)+SUMIFS(Table2[NewPointsHome],Table2[GameDate], "&lt;=" &amp; $A46, Table2[HomeTeam], Q$1)</f>
        <v>10</v>
      </c>
      <c r="R46" s="145">
        <f>SUMIFS(Table2[NewPointsAway],Table2[GameDate], "&lt;=" &amp; $A46, Table2[AwayTeam], R$1)+SUMIFS(Table2[NewPointsHome],Table2[GameDate], "&lt;=" &amp; $A46, Table2[HomeTeam], R$1)</f>
        <v>6</v>
      </c>
      <c r="S46" s="145">
        <f>SUMIFS(Table2[NewPointsAway],Table2[GameDate], "&lt;=" &amp; $A46, Table2[AwayTeam], S$1)+SUMIFS(Table2[NewPointsHome],Table2[GameDate], "&lt;=" &amp; $A46, Table2[HomeTeam], S$1)</f>
        <v>6</v>
      </c>
      <c r="T46" s="145">
        <f>SUMIFS(Table2[NewPointsAway],Table2[GameDate], "&lt;=" &amp; $A46, Table2[AwayTeam], T$1)+SUMIFS(Table2[NewPointsHome],Table2[GameDate], "&lt;=" &amp; $A46, Table2[HomeTeam], T$1)</f>
        <v>7</v>
      </c>
      <c r="U46" s="145">
        <f>SUMIFS(Table2[NewPointsAway],Table2[GameDate], "&lt;=" &amp; $A46, Table2[AwayTeam], U$1)+SUMIFS(Table2[NewPointsHome],Table2[GameDate], "&lt;=" &amp; $A46, Table2[HomeTeam], U$1)</f>
        <v>5</v>
      </c>
      <c r="V46" s="145">
        <f>SUMIFS(Table2[NewPointsAway],Table2[GameDate], "&lt;=" &amp; $A46, Table2[AwayTeam], V$1)+SUMIFS(Table2[NewPointsHome],Table2[GameDate], "&lt;=" &amp; $A46, Table2[HomeTeam], V$1)</f>
        <v>7</v>
      </c>
      <c r="W46" s="145">
        <f>SUMIFS(Table2[NewPointsAway],Table2[GameDate], "&lt;=" &amp; $A46, Table2[AwayTeam], W$1)+SUMIFS(Table2[NewPointsHome],Table2[GameDate], "&lt;=" &amp; $A46, Table2[HomeTeam], W$1)</f>
        <v>10</v>
      </c>
      <c r="X46" s="145">
        <f>SUMIFS(Table2[NewPointsAway],Table2[GameDate], "&lt;=" &amp; $A46, Table2[AwayTeam], X$1)+SUMIFS(Table2[NewPointsHome],Table2[GameDate], "&lt;=" &amp; $A46, Table2[HomeTeam], X$1)</f>
        <v>8</v>
      </c>
      <c r="Y46" s="145">
        <f>SUMIFS(Table2[NewPointsAway],Table2[GameDate], "&lt;=" &amp; $A46, Table2[AwayTeam], Y$1)+SUMIFS(Table2[NewPointsHome],Table2[GameDate], "&lt;=" &amp; $A46, Table2[HomeTeam], Y$1)</f>
        <v>2</v>
      </c>
      <c r="Z46" s="145">
        <f>SUMIFS(Table2[NewPointsAway],Table2[GameDate], "&lt;=" &amp; $A46, Table2[AwayTeam], Z$1)+SUMIFS(Table2[NewPointsHome],Table2[GameDate], "&lt;=" &amp; $A46, Table2[HomeTeam], Z$1)</f>
        <v>7</v>
      </c>
      <c r="AA46" s="145">
        <f>SUMIFS(Table2[NewPointsAway],Table2[GameDate], "&lt;=" &amp; $A46, Table2[AwayTeam], AA$1)+SUMIFS(Table2[NewPointsHome],Table2[GameDate], "&lt;=" &amp; $A46, Table2[HomeTeam], AA$1)</f>
        <v>4</v>
      </c>
      <c r="AB46" s="145">
        <f>SUMIFS(Table2[NewPointsAway],Table2[GameDate], "&lt;=" &amp; $A46, Table2[AwayTeam], AB$1)+SUMIFS(Table2[NewPointsHome],Table2[GameDate], "&lt;=" &amp; $A46, Table2[HomeTeam], AB$1)</f>
        <v>7</v>
      </c>
      <c r="AC46" s="145">
        <f>SUMIFS(Table2[NewPointsAway],Table2[GameDate], "&lt;=" &amp; $A46, Table2[AwayTeam], AC$1)+SUMIFS(Table2[NewPointsHome],Table2[GameDate], "&lt;=" &amp; $A46, Table2[HomeTeam], AC$1)</f>
        <v>10</v>
      </c>
      <c r="AD46" s="145">
        <f>SUMIFS(Table2[NewPointsAway],Table2[GameDate], "&lt;=" &amp; $A46, Table2[AwayTeam], AD$1)+SUMIFS(Table2[NewPointsHome],Table2[GameDate], "&lt;=" &amp; $A46, Table2[HomeTeam], AD$1)</f>
        <v>8</v>
      </c>
      <c r="AE46" s="145">
        <f>SUMIFS(Table2[NewPointsAway],Table2[GameDate], "&lt;=" &amp; $A46, Table2[AwayTeam], AE$1)+SUMIFS(Table2[NewPointsHome],Table2[GameDate], "&lt;=" &amp; $A46, Table2[HomeTeam], AE$1)</f>
        <v>12</v>
      </c>
      <c r="AF46" s="145">
        <f>SUMIFS(Table2[NewPointsAway],Table2[GameDate], "&lt;=" &amp; $A46, Table2[AwayTeam], AF$1)+SUMIFS(Table2[NewPointsHome],Table2[GameDate], "&lt;=" &amp; $A46, Table2[HomeTeam], AF$1)</f>
        <v>10</v>
      </c>
      <c r="AG46" s="145">
        <f>SUMIFS(Table2[NewPointsAway],Table2[GameDate], "&lt;=" &amp; $A46, Table2[AwayTeam], AG$1)+SUMIFS(Table2[NewPointsHome],Table2[GameDate], "&lt;=" &amp; $A46, Table2[HomeTeam], AG$1)</f>
        <v>10</v>
      </c>
    </row>
    <row r="47" spans="1:33" x14ac:dyDescent="0.25">
      <c r="A47" s="3">
        <v>45978</v>
      </c>
      <c r="B47" s="145">
        <f>SUMIFS(Table2[NewPointsAway],Table2[GameDate], "&lt;=" &amp; $A47, Table2[AwayTeam], B$1)+SUMIFS(Table2[NewPointsHome],Table2[GameDate], "&lt;=" &amp; $A47, Table2[HomeTeam], B$1)</f>
        <v>7</v>
      </c>
      <c r="C47" s="145">
        <f>SUMIFS(Table2[NewPointsAway],Table2[GameDate], "&lt;=" &amp; $A47, Table2[AwayTeam], C$1)+SUMIFS(Table2[NewPointsHome],Table2[GameDate], "&lt;=" &amp; $A47, Table2[HomeTeam], C$1)</f>
        <v>6</v>
      </c>
      <c r="D47" s="145">
        <f>SUMIFS(Table2[NewPointsAway],Table2[GameDate], "&lt;=" &amp; $A47, Table2[AwayTeam], D$1)+SUMIFS(Table2[NewPointsHome],Table2[GameDate], "&lt;=" &amp; $A47, Table2[HomeTeam], D$1)</f>
        <v>4</v>
      </c>
      <c r="E47" s="145">
        <f>SUMIFS(Table2[NewPointsAway],Table2[GameDate], "&lt;=" &amp; $A47, Table2[AwayTeam], E$1)+SUMIFS(Table2[NewPointsHome],Table2[GameDate], "&lt;=" &amp; $A47, Table2[HomeTeam], E$1)</f>
        <v>10</v>
      </c>
      <c r="F47" s="145">
        <f>SUMIFS(Table2[NewPointsAway],Table2[GameDate], "&lt;=" &amp; $A47, Table2[AwayTeam], F$1)+SUMIFS(Table2[NewPointsHome],Table2[GameDate], "&lt;=" &amp; $A47, Table2[HomeTeam], F$1)</f>
        <v>6</v>
      </c>
      <c r="G47" s="145">
        <f>SUMIFS(Table2[NewPointsAway],Table2[GameDate], "&lt;=" &amp; $A47, Table2[AwayTeam], G$1)+SUMIFS(Table2[NewPointsHome],Table2[GameDate], "&lt;=" &amp; $A47, Table2[HomeTeam], G$1)</f>
        <v>2</v>
      </c>
      <c r="H47" s="145">
        <f>SUMIFS(Table2[NewPointsAway],Table2[GameDate], "&lt;=" &amp; $A47, Table2[AwayTeam], H$1)+SUMIFS(Table2[NewPointsHome],Table2[GameDate], "&lt;=" &amp; $A47, Table2[HomeTeam], H$1)</f>
        <v>8</v>
      </c>
      <c r="I47" s="145">
        <f>SUMIFS(Table2[NewPointsAway],Table2[GameDate], "&lt;=" &amp; $A47, Table2[AwayTeam], I$1)+SUMIFS(Table2[NewPointsHome],Table2[GameDate], "&lt;=" &amp; $A47, Table2[HomeTeam], I$1)</f>
        <v>12</v>
      </c>
      <c r="J47" s="145">
        <f>SUMIFS(Table2[NewPointsAway],Table2[GameDate], "&lt;=" &amp; $A47, Table2[AwayTeam], J$1)+SUMIFS(Table2[NewPointsHome],Table2[GameDate], "&lt;=" &amp; $A47, Table2[HomeTeam], J$1)</f>
        <v>6</v>
      </c>
      <c r="K47" s="145">
        <f>SUMIFS(Table2[NewPointsAway],Table2[GameDate], "&lt;=" &amp; $A47, Table2[AwayTeam], K$1)+SUMIFS(Table2[NewPointsHome],Table2[GameDate], "&lt;=" &amp; $A47, Table2[HomeTeam], K$1)</f>
        <v>10</v>
      </c>
      <c r="L47" s="145">
        <f>SUMIFS(Table2[NewPointsAway],Table2[GameDate], "&lt;=" &amp; $A47, Table2[AwayTeam], L$1)+SUMIFS(Table2[NewPointsHome],Table2[GameDate], "&lt;=" &amp; $A47, Table2[HomeTeam], L$1)</f>
        <v>7</v>
      </c>
      <c r="M47" s="145">
        <f>SUMIFS(Table2[NewPointsAway],Table2[GameDate], "&lt;=" &amp; $A47, Table2[AwayTeam], M$1)+SUMIFS(Table2[NewPointsHome],Table2[GameDate], "&lt;=" &amp; $A47, Table2[HomeTeam], M$1)</f>
        <v>8</v>
      </c>
      <c r="N47" s="145">
        <f>SUMIFS(Table2[NewPointsAway],Table2[GameDate], "&lt;=" &amp; $A47, Table2[AwayTeam], N$1)+SUMIFS(Table2[NewPointsHome],Table2[GameDate], "&lt;=" &amp; $A47, Table2[HomeTeam], N$1)</f>
        <v>6</v>
      </c>
      <c r="O47" s="145">
        <f>SUMIFS(Table2[NewPointsAway],Table2[GameDate], "&lt;=" &amp; $A47, Table2[AwayTeam], O$1)+SUMIFS(Table2[NewPointsHome],Table2[GameDate], "&lt;=" &amp; $A47, Table2[HomeTeam], O$1)</f>
        <v>7</v>
      </c>
      <c r="P47" s="145">
        <f>SUMIFS(Table2[NewPointsAway],Table2[GameDate], "&lt;=" &amp; $A47, Table2[AwayTeam], P$1)+SUMIFS(Table2[NewPointsHome],Table2[GameDate], "&lt;=" &amp; $A47, Table2[HomeTeam], P$1)</f>
        <v>10</v>
      </c>
      <c r="Q47" s="145">
        <f>SUMIFS(Table2[NewPointsAway],Table2[GameDate], "&lt;=" &amp; $A47, Table2[AwayTeam], Q$1)+SUMIFS(Table2[NewPointsHome],Table2[GameDate], "&lt;=" &amp; $A47, Table2[HomeTeam], Q$1)</f>
        <v>10</v>
      </c>
      <c r="R47" s="145">
        <f>SUMIFS(Table2[NewPointsAway],Table2[GameDate], "&lt;=" &amp; $A47, Table2[AwayTeam], R$1)+SUMIFS(Table2[NewPointsHome],Table2[GameDate], "&lt;=" &amp; $A47, Table2[HomeTeam], R$1)</f>
        <v>6</v>
      </c>
      <c r="S47" s="145">
        <f>SUMIFS(Table2[NewPointsAway],Table2[GameDate], "&lt;=" &amp; $A47, Table2[AwayTeam], S$1)+SUMIFS(Table2[NewPointsHome],Table2[GameDate], "&lt;=" &amp; $A47, Table2[HomeTeam], S$1)</f>
        <v>6</v>
      </c>
      <c r="T47" s="145">
        <f>SUMIFS(Table2[NewPointsAway],Table2[GameDate], "&lt;=" &amp; $A47, Table2[AwayTeam], T$1)+SUMIFS(Table2[NewPointsHome],Table2[GameDate], "&lt;=" &amp; $A47, Table2[HomeTeam], T$1)</f>
        <v>7</v>
      </c>
      <c r="U47" s="145">
        <f>SUMIFS(Table2[NewPointsAway],Table2[GameDate], "&lt;=" &amp; $A47, Table2[AwayTeam], U$1)+SUMIFS(Table2[NewPointsHome],Table2[GameDate], "&lt;=" &amp; $A47, Table2[HomeTeam], U$1)</f>
        <v>5</v>
      </c>
      <c r="V47" s="145">
        <f>SUMIFS(Table2[NewPointsAway],Table2[GameDate], "&lt;=" &amp; $A47, Table2[AwayTeam], V$1)+SUMIFS(Table2[NewPointsHome],Table2[GameDate], "&lt;=" &amp; $A47, Table2[HomeTeam], V$1)</f>
        <v>7</v>
      </c>
      <c r="W47" s="145">
        <f>SUMIFS(Table2[NewPointsAway],Table2[GameDate], "&lt;=" &amp; $A47, Table2[AwayTeam], W$1)+SUMIFS(Table2[NewPointsHome],Table2[GameDate], "&lt;=" &amp; $A47, Table2[HomeTeam], W$1)</f>
        <v>10</v>
      </c>
      <c r="X47" s="145">
        <f>SUMIFS(Table2[NewPointsAway],Table2[GameDate], "&lt;=" &amp; $A47, Table2[AwayTeam], X$1)+SUMIFS(Table2[NewPointsHome],Table2[GameDate], "&lt;=" &amp; $A47, Table2[HomeTeam], X$1)</f>
        <v>8</v>
      </c>
      <c r="Y47" s="145">
        <f>SUMIFS(Table2[NewPointsAway],Table2[GameDate], "&lt;=" &amp; $A47, Table2[AwayTeam], Y$1)+SUMIFS(Table2[NewPointsHome],Table2[GameDate], "&lt;=" &amp; $A47, Table2[HomeTeam], Y$1)</f>
        <v>2</v>
      </c>
      <c r="Z47" s="145">
        <f>SUMIFS(Table2[NewPointsAway],Table2[GameDate], "&lt;=" &amp; $A47, Table2[AwayTeam], Z$1)+SUMIFS(Table2[NewPointsHome],Table2[GameDate], "&lt;=" &amp; $A47, Table2[HomeTeam], Z$1)</f>
        <v>7</v>
      </c>
      <c r="AA47" s="145">
        <f>SUMIFS(Table2[NewPointsAway],Table2[GameDate], "&lt;=" &amp; $A47, Table2[AwayTeam], AA$1)+SUMIFS(Table2[NewPointsHome],Table2[GameDate], "&lt;=" &amp; $A47, Table2[HomeTeam], AA$1)</f>
        <v>4</v>
      </c>
      <c r="AB47" s="145">
        <f>SUMIFS(Table2[NewPointsAway],Table2[GameDate], "&lt;=" &amp; $A47, Table2[AwayTeam], AB$1)+SUMIFS(Table2[NewPointsHome],Table2[GameDate], "&lt;=" &amp; $A47, Table2[HomeTeam], AB$1)</f>
        <v>7</v>
      </c>
      <c r="AC47" s="145">
        <f>SUMIFS(Table2[NewPointsAway],Table2[GameDate], "&lt;=" &amp; $A47, Table2[AwayTeam], AC$1)+SUMIFS(Table2[NewPointsHome],Table2[GameDate], "&lt;=" &amp; $A47, Table2[HomeTeam], AC$1)</f>
        <v>10</v>
      </c>
      <c r="AD47" s="145">
        <f>SUMIFS(Table2[NewPointsAway],Table2[GameDate], "&lt;=" &amp; $A47, Table2[AwayTeam], AD$1)+SUMIFS(Table2[NewPointsHome],Table2[GameDate], "&lt;=" &amp; $A47, Table2[HomeTeam], AD$1)</f>
        <v>8</v>
      </c>
      <c r="AE47" s="145">
        <f>SUMIFS(Table2[NewPointsAway],Table2[GameDate], "&lt;=" &amp; $A47, Table2[AwayTeam], AE$1)+SUMIFS(Table2[NewPointsHome],Table2[GameDate], "&lt;=" &amp; $A47, Table2[HomeTeam], AE$1)</f>
        <v>12</v>
      </c>
      <c r="AF47" s="145">
        <f>SUMIFS(Table2[NewPointsAway],Table2[GameDate], "&lt;=" &amp; $A47, Table2[AwayTeam], AF$1)+SUMIFS(Table2[NewPointsHome],Table2[GameDate], "&lt;=" &amp; $A47, Table2[HomeTeam], AF$1)</f>
        <v>10</v>
      </c>
      <c r="AG47" s="145">
        <f>SUMIFS(Table2[NewPointsAway],Table2[GameDate], "&lt;=" &amp; $A47, Table2[AwayTeam], AG$1)+SUMIFS(Table2[NewPointsHome],Table2[GameDate], "&lt;=" &amp; $A47, Table2[HomeTeam], AG$1)</f>
        <v>10</v>
      </c>
    </row>
    <row r="48" spans="1:33" x14ac:dyDescent="0.25">
      <c r="A48" s="3">
        <v>45979</v>
      </c>
      <c r="B48" s="145">
        <f>SUMIFS(Table2[NewPointsAway],Table2[GameDate], "&lt;=" &amp; $A48, Table2[AwayTeam], B$1)+SUMIFS(Table2[NewPointsHome],Table2[GameDate], "&lt;=" &amp; $A48, Table2[HomeTeam], B$1)</f>
        <v>7</v>
      </c>
      <c r="C48" s="145">
        <f>SUMIFS(Table2[NewPointsAway],Table2[GameDate], "&lt;=" &amp; $A48, Table2[AwayTeam], C$1)+SUMIFS(Table2[NewPointsHome],Table2[GameDate], "&lt;=" &amp; $A48, Table2[HomeTeam], C$1)</f>
        <v>6</v>
      </c>
      <c r="D48" s="145">
        <f>SUMIFS(Table2[NewPointsAway],Table2[GameDate], "&lt;=" &amp; $A48, Table2[AwayTeam], D$1)+SUMIFS(Table2[NewPointsHome],Table2[GameDate], "&lt;=" &amp; $A48, Table2[HomeTeam], D$1)</f>
        <v>4</v>
      </c>
      <c r="E48" s="145">
        <f>SUMIFS(Table2[NewPointsAway],Table2[GameDate], "&lt;=" &amp; $A48, Table2[AwayTeam], E$1)+SUMIFS(Table2[NewPointsHome],Table2[GameDate], "&lt;=" &amp; $A48, Table2[HomeTeam], E$1)</f>
        <v>10</v>
      </c>
      <c r="F48" s="145">
        <f>SUMIFS(Table2[NewPointsAway],Table2[GameDate], "&lt;=" &amp; $A48, Table2[AwayTeam], F$1)+SUMIFS(Table2[NewPointsHome],Table2[GameDate], "&lt;=" &amp; $A48, Table2[HomeTeam], F$1)</f>
        <v>6</v>
      </c>
      <c r="G48" s="145">
        <f>SUMIFS(Table2[NewPointsAway],Table2[GameDate], "&lt;=" &amp; $A48, Table2[AwayTeam], G$1)+SUMIFS(Table2[NewPointsHome],Table2[GameDate], "&lt;=" &amp; $A48, Table2[HomeTeam], G$1)</f>
        <v>2</v>
      </c>
      <c r="H48" s="145">
        <f>SUMIFS(Table2[NewPointsAway],Table2[GameDate], "&lt;=" &amp; $A48, Table2[AwayTeam], H$1)+SUMIFS(Table2[NewPointsHome],Table2[GameDate], "&lt;=" &amp; $A48, Table2[HomeTeam], H$1)</f>
        <v>8</v>
      </c>
      <c r="I48" s="145">
        <f>SUMIFS(Table2[NewPointsAway],Table2[GameDate], "&lt;=" &amp; $A48, Table2[AwayTeam], I$1)+SUMIFS(Table2[NewPointsHome],Table2[GameDate], "&lt;=" &amp; $A48, Table2[HomeTeam], I$1)</f>
        <v>12</v>
      </c>
      <c r="J48" s="145">
        <f>SUMIFS(Table2[NewPointsAway],Table2[GameDate], "&lt;=" &amp; $A48, Table2[AwayTeam], J$1)+SUMIFS(Table2[NewPointsHome],Table2[GameDate], "&lt;=" &amp; $A48, Table2[HomeTeam], J$1)</f>
        <v>6</v>
      </c>
      <c r="K48" s="145">
        <f>SUMIFS(Table2[NewPointsAway],Table2[GameDate], "&lt;=" &amp; $A48, Table2[AwayTeam], K$1)+SUMIFS(Table2[NewPointsHome],Table2[GameDate], "&lt;=" &amp; $A48, Table2[HomeTeam], K$1)</f>
        <v>10</v>
      </c>
      <c r="L48" s="145">
        <f>SUMIFS(Table2[NewPointsAway],Table2[GameDate], "&lt;=" &amp; $A48, Table2[AwayTeam], L$1)+SUMIFS(Table2[NewPointsHome],Table2[GameDate], "&lt;=" &amp; $A48, Table2[HomeTeam], L$1)</f>
        <v>7</v>
      </c>
      <c r="M48" s="145">
        <f>SUMIFS(Table2[NewPointsAway],Table2[GameDate], "&lt;=" &amp; $A48, Table2[AwayTeam], M$1)+SUMIFS(Table2[NewPointsHome],Table2[GameDate], "&lt;=" &amp; $A48, Table2[HomeTeam], M$1)</f>
        <v>8</v>
      </c>
      <c r="N48" s="145">
        <f>SUMIFS(Table2[NewPointsAway],Table2[GameDate], "&lt;=" &amp; $A48, Table2[AwayTeam], N$1)+SUMIFS(Table2[NewPointsHome],Table2[GameDate], "&lt;=" &amp; $A48, Table2[HomeTeam], N$1)</f>
        <v>6</v>
      </c>
      <c r="O48" s="145">
        <f>SUMIFS(Table2[NewPointsAway],Table2[GameDate], "&lt;=" &amp; $A48, Table2[AwayTeam], O$1)+SUMIFS(Table2[NewPointsHome],Table2[GameDate], "&lt;=" &amp; $A48, Table2[HomeTeam], O$1)</f>
        <v>7</v>
      </c>
      <c r="P48" s="145">
        <f>SUMIFS(Table2[NewPointsAway],Table2[GameDate], "&lt;=" &amp; $A48, Table2[AwayTeam], P$1)+SUMIFS(Table2[NewPointsHome],Table2[GameDate], "&lt;=" &amp; $A48, Table2[HomeTeam], P$1)</f>
        <v>10</v>
      </c>
      <c r="Q48" s="145">
        <f>SUMIFS(Table2[NewPointsAway],Table2[GameDate], "&lt;=" &amp; $A48, Table2[AwayTeam], Q$1)+SUMIFS(Table2[NewPointsHome],Table2[GameDate], "&lt;=" &amp; $A48, Table2[HomeTeam], Q$1)</f>
        <v>10</v>
      </c>
      <c r="R48" s="145">
        <f>SUMIFS(Table2[NewPointsAway],Table2[GameDate], "&lt;=" &amp; $A48, Table2[AwayTeam], R$1)+SUMIFS(Table2[NewPointsHome],Table2[GameDate], "&lt;=" &amp; $A48, Table2[HomeTeam], R$1)</f>
        <v>6</v>
      </c>
      <c r="S48" s="145">
        <f>SUMIFS(Table2[NewPointsAway],Table2[GameDate], "&lt;=" &amp; $A48, Table2[AwayTeam], S$1)+SUMIFS(Table2[NewPointsHome],Table2[GameDate], "&lt;=" &amp; $A48, Table2[HomeTeam], S$1)</f>
        <v>6</v>
      </c>
      <c r="T48" s="145">
        <f>SUMIFS(Table2[NewPointsAway],Table2[GameDate], "&lt;=" &amp; $A48, Table2[AwayTeam], T$1)+SUMIFS(Table2[NewPointsHome],Table2[GameDate], "&lt;=" &amp; $A48, Table2[HomeTeam], T$1)</f>
        <v>7</v>
      </c>
      <c r="U48" s="145">
        <f>SUMIFS(Table2[NewPointsAway],Table2[GameDate], "&lt;=" &amp; $A48, Table2[AwayTeam], U$1)+SUMIFS(Table2[NewPointsHome],Table2[GameDate], "&lt;=" &amp; $A48, Table2[HomeTeam], U$1)</f>
        <v>5</v>
      </c>
      <c r="V48" s="145">
        <f>SUMIFS(Table2[NewPointsAway],Table2[GameDate], "&lt;=" &amp; $A48, Table2[AwayTeam], V$1)+SUMIFS(Table2[NewPointsHome],Table2[GameDate], "&lt;=" &amp; $A48, Table2[HomeTeam], V$1)</f>
        <v>7</v>
      </c>
      <c r="W48" s="145">
        <f>SUMIFS(Table2[NewPointsAway],Table2[GameDate], "&lt;=" &amp; $A48, Table2[AwayTeam], W$1)+SUMIFS(Table2[NewPointsHome],Table2[GameDate], "&lt;=" &amp; $A48, Table2[HomeTeam], W$1)</f>
        <v>10</v>
      </c>
      <c r="X48" s="145">
        <f>SUMIFS(Table2[NewPointsAway],Table2[GameDate], "&lt;=" &amp; $A48, Table2[AwayTeam], X$1)+SUMIFS(Table2[NewPointsHome],Table2[GameDate], "&lt;=" &amp; $A48, Table2[HomeTeam], X$1)</f>
        <v>8</v>
      </c>
      <c r="Y48" s="145">
        <f>SUMIFS(Table2[NewPointsAway],Table2[GameDate], "&lt;=" &amp; $A48, Table2[AwayTeam], Y$1)+SUMIFS(Table2[NewPointsHome],Table2[GameDate], "&lt;=" &amp; $A48, Table2[HomeTeam], Y$1)</f>
        <v>2</v>
      </c>
      <c r="Z48" s="145">
        <f>SUMIFS(Table2[NewPointsAway],Table2[GameDate], "&lt;=" &amp; $A48, Table2[AwayTeam], Z$1)+SUMIFS(Table2[NewPointsHome],Table2[GameDate], "&lt;=" &amp; $A48, Table2[HomeTeam], Z$1)</f>
        <v>7</v>
      </c>
      <c r="AA48" s="145">
        <f>SUMIFS(Table2[NewPointsAway],Table2[GameDate], "&lt;=" &amp; $A48, Table2[AwayTeam], AA$1)+SUMIFS(Table2[NewPointsHome],Table2[GameDate], "&lt;=" &amp; $A48, Table2[HomeTeam], AA$1)</f>
        <v>4</v>
      </c>
      <c r="AB48" s="145">
        <f>SUMIFS(Table2[NewPointsAway],Table2[GameDate], "&lt;=" &amp; $A48, Table2[AwayTeam], AB$1)+SUMIFS(Table2[NewPointsHome],Table2[GameDate], "&lt;=" &amp; $A48, Table2[HomeTeam], AB$1)</f>
        <v>7</v>
      </c>
      <c r="AC48" s="145">
        <f>SUMIFS(Table2[NewPointsAway],Table2[GameDate], "&lt;=" &amp; $A48, Table2[AwayTeam], AC$1)+SUMIFS(Table2[NewPointsHome],Table2[GameDate], "&lt;=" &amp; $A48, Table2[HomeTeam], AC$1)</f>
        <v>10</v>
      </c>
      <c r="AD48" s="145">
        <f>SUMIFS(Table2[NewPointsAway],Table2[GameDate], "&lt;=" &amp; $A48, Table2[AwayTeam], AD$1)+SUMIFS(Table2[NewPointsHome],Table2[GameDate], "&lt;=" &amp; $A48, Table2[HomeTeam], AD$1)</f>
        <v>8</v>
      </c>
      <c r="AE48" s="145">
        <f>SUMIFS(Table2[NewPointsAway],Table2[GameDate], "&lt;=" &amp; $A48, Table2[AwayTeam], AE$1)+SUMIFS(Table2[NewPointsHome],Table2[GameDate], "&lt;=" &amp; $A48, Table2[HomeTeam], AE$1)</f>
        <v>12</v>
      </c>
      <c r="AF48" s="145">
        <f>SUMIFS(Table2[NewPointsAway],Table2[GameDate], "&lt;=" &amp; $A48, Table2[AwayTeam], AF$1)+SUMIFS(Table2[NewPointsHome],Table2[GameDate], "&lt;=" &amp; $A48, Table2[HomeTeam], AF$1)</f>
        <v>10</v>
      </c>
      <c r="AG48" s="145">
        <f>SUMIFS(Table2[NewPointsAway],Table2[GameDate], "&lt;=" &amp; $A48, Table2[AwayTeam], AG$1)+SUMIFS(Table2[NewPointsHome],Table2[GameDate], "&lt;=" &amp; $A48, Table2[HomeTeam], AG$1)</f>
        <v>10</v>
      </c>
    </row>
    <row r="49" spans="1:33" x14ac:dyDescent="0.25">
      <c r="A49" s="3">
        <v>45980</v>
      </c>
      <c r="B49" s="145">
        <f>SUMIFS(Table2[NewPointsAway],Table2[GameDate], "&lt;=" &amp; $A49, Table2[AwayTeam], B$1)+SUMIFS(Table2[NewPointsHome],Table2[GameDate], "&lt;=" &amp; $A49, Table2[HomeTeam], B$1)</f>
        <v>7</v>
      </c>
      <c r="C49" s="145">
        <f>SUMIFS(Table2[NewPointsAway],Table2[GameDate], "&lt;=" &amp; $A49, Table2[AwayTeam], C$1)+SUMIFS(Table2[NewPointsHome],Table2[GameDate], "&lt;=" &amp; $A49, Table2[HomeTeam], C$1)</f>
        <v>6</v>
      </c>
      <c r="D49" s="145">
        <f>SUMIFS(Table2[NewPointsAway],Table2[GameDate], "&lt;=" &amp; $A49, Table2[AwayTeam], D$1)+SUMIFS(Table2[NewPointsHome],Table2[GameDate], "&lt;=" &amp; $A49, Table2[HomeTeam], D$1)</f>
        <v>4</v>
      </c>
      <c r="E49" s="145">
        <f>SUMIFS(Table2[NewPointsAway],Table2[GameDate], "&lt;=" &amp; $A49, Table2[AwayTeam], E$1)+SUMIFS(Table2[NewPointsHome],Table2[GameDate], "&lt;=" &amp; $A49, Table2[HomeTeam], E$1)</f>
        <v>10</v>
      </c>
      <c r="F49" s="145">
        <f>SUMIFS(Table2[NewPointsAway],Table2[GameDate], "&lt;=" &amp; $A49, Table2[AwayTeam], F$1)+SUMIFS(Table2[NewPointsHome],Table2[GameDate], "&lt;=" &amp; $A49, Table2[HomeTeam], F$1)</f>
        <v>6</v>
      </c>
      <c r="G49" s="145">
        <f>SUMIFS(Table2[NewPointsAway],Table2[GameDate], "&lt;=" &amp; $A49, Table2[AwayTeam], G$1)+SUMIFS(Table2[NewPointsHome],Table2[GameDate], "&lt;=" &amp; $A49, Table2[HomeTeam], G$1)</f>
        <v>2</v>
      </c>
      <c r="H49" s="145">
        <f>SUMIFS(Table2[NewPointsAway],Table2[GameDate], "&lt;=" &amp; $A49, Table2[AwayTeam], H$1)+SUMIFS(Table2[NewPointsHome],Table2[GameDate], "&lt;=" &amp; $A49, Table2[HomeTeam], H$1)</f>
        <v>8</v>
      </c>
      <c r="I49" s="145">
        <f>SUMIFS(Table2[NewPointsAway],Table2[GameDate], "&lt;=" &amp; $A49, Table2[AwayTeam], I$1)+SUMIFS(Table2[NewPointsHome],Table2[GameDate], "&lt;=" &amp; $A49, Table2[HomeTeam], I$1)</f>
        <v>12</v>
      </c>
      <c r="J49" s="145">
        <f>SUMIFS(Table2[NewPointsAway],Table2[GameDate], "&lt;=" &amp; $A49, Table2[AwayTeam], J$1)+SUMIFS(Table2[NewPointsHome],Table2[GameDate], "&lt;=" &amp; $A49, Table2[HomeTeam], J$1)</f>
        <v>6</v>
      </c>
      <c r="K49" s="145">
        <f>SUMIFS(Table2[NewPointsAway],Table2[GameDate], "&lt;=" &amp; $A49, Table2[AwayTeam], K$1)+SUMIFS(Table2[NewPointsHome],Table2[GameDate], "&lt;=" &amp; $A49, Table2[HomeTeam], K$1)</f>
        <v>10</v>
      </c>
      <c r="L49" s="145">
        <f>SUMIFS(Table2[NewPointsAway],Table2[GameDate], "&lt;=" &amp; $A49, Table2[AwayTeam], L$1)+SUMIFS(Table2[NewPointsHome],Table2[GameDate], "&lt;=" &amp; $A49, Table2[HomeTeam], L$1)</f>
        <v>7</v>
      </c>
      <c r="M49" s="145">
        <f>SUMIFS(Table2[NewPointsAway],Table2[GameDate], "&lt;=" &amp; $A49, Table2[AwayTeam], M$1)+SUMIFS(Table2[NewPointsHome],Table2[GameDate], "&lt;=" &amp; $A49, Table2[HomeTeam], M$1)</f>
        <v>8</v>
      </c>
      <c r="N49" s="145">
        <f>SUMIFS(Table2[NewPointsAway],Table2[GameDate], "&lt;=" &amp; $A49, Table2[AwayTeam], N$1)+SUMIFS(Table2[NewPointsHome],Table2[GameDate], "&lt;=" &amp; $A49, Table2[HomeTeam], N$1)</f>
        <v>6</v>
      </c>
      <c r="O49" s="145">
        <f>SUMIFS(Table2[NewPointsAway],Table2[GameDate], "&lt;=" &amp; $A49, Table2[AwayTeam], O$1)+SUMIFS(Table2[NewPointsHome],Table2[GameDate], "&lt;=" &amp; $A49, Table2[HomeTeam], O$1)</f>
        <v>7</v>
      </c>
      <c r="P49" s="145">
        <f>SUMIFS(Table2[NewPointsAway],Table2[GameDate], "&lt;=" &amp; $A49, Table2[AwayTeam], P$1)+SUMIFS(Table2[NewPointsHome],Table2[GameDate], "&lt;=" &amp; $A49, Table2[HomeTeam], P$1)</f>
        <v>10</v>
      </c>
      <c r="Q49" s="145">
        <f>SUMIFS(Table2[NewPointsAway],Table2[GameDate], "&lt;=" &amp; $A49, Table2[AwayTeam], Q$1)+SUMIFS(Table2[NewPointsHome],Table2[GameDate], "&lt;=" &amp; $A49, Table2[HomeTeam], Q$1)</f>
        <v>10</v>
      </c>
      <c r="R49" s="145">
        <f>SUMIFS(Table2[NewPointsAway],Table2[GameDate], "&lt;=" &amp; $A49, Table2[AwayTeam], R$1)+SUMIFS(Table2[NewPointsHome],Table2[GameDate], "&lt;=" &amp; $A49, Table2[HomeTeam], R$1)</f>
        <v>6</v>
      </c>
      <c r="S49" s="145">
        <f>SUMIFS(Table2[NewPointsAway],Table2[GameDate], "&lt;=" &amp; $A49, Table2[AwayTeam], S$1)+SUMIFS(Table2[NewPointsHome],Table2[GameDate], "&lt;=" &amp; $A49, Table2[HomeTeam], S$1)</f>
        <v>6</v>
      </c>
      <c r="T49" s="145">
        <f>SUMIFS(Table2[NewPointsAway],Table2[GameDate], "&lt;=" &amp; $A49, Table2[AwayTeam], T$1)+SUMIFS(Table2[NewPointsHome],Table2[GameDate], "&lt;=" &amp; $A49, Table2[HomeTeam], T$1)</f>
        <v>7</v>
      </c>
      <c r="U49" s="145">
        <f>SUMIFS(Table2[NewPointsAway],Table2[GameDate], "&lt;=" &amp; $A49, Table2[AwayTeam], U$1)+SUMIFS(Table2[NewPointsHome],Table2[GameDate], "&lt;=" &amp; $A49, Table2[HomeTeam], U$1)</f>
        <v>5</v>
      </c>
      <c r="V49" s="145">
        <f>SUMIFS(Table2[NewPointsAway],Table2[GameDate], "&lt;=" &amp; $A49, Table2[AwayTeam], V$1)+SUMIFS(Table2[NewPointsHome],Table2[GameDate], "&lt;=" &amp; $A49, Table2[HomeTeam], V$1)</f>
        <v>7</v>
      </c>
      <c r="W49" s="145">
        <f>SUMIFS(Table2[NewPointsAway],Table2[GameDate], "&lt;=" &amp; $A49, Table2[AwayTeam], W$1)+SUMIFS(Table2[NewPointsHome],Table2[GameDate], "&lt;=" &amp; $A49, Table2[HomeTeam], W$1)</f>
        <v>10</v>
      </c>
      <c r="X49" s="145">
        <f>SUMIFS(Table2[NewPointsAway],Table2[GameDate], "&lt;=" &amp; $A49, Table2[AwayTeam], X$1)+SUMIFS(Table2[NewPointsHome],Table2[GameDate], "&lt;=" &amp; $A49, Table2[HomeTeam], X$1)</f>
        <v>8</v>
      </c>
      <c r="Y49" s="145">
        <f>SUMIFS(Table2[NewPointsAway],Table2[GameDate], "&lt;=" &amp; $A49, Table2[AwayTeam], Y$1)+SUMIFS(Table2[NewPointsHome],Table2[GameDate], "&lt;=" &amp; $A49, Table2[HomeTeam], Y$1)</f>
        <v>2</v>
      </c>
      <c r="Z49" s="145">
        <f>SUMIFS(Table2[NewPointsAway],Table2[GameDate], "&lt;=" &amp; $A49, Table2[AwayTeam], Z$1)+SUMIFS(Table2[NewPointsHome],Table2[GameDate], "&lt;=" &amp; $A49, Table2[HomeTeam], Z$1)</f>
        <v>7</v>
      </c>
      <c r="AA49" s="145">
        <f>SUMIFS(Table2[NewPointsAway],Table2[GameDate], "&lt;=" &amp; $A49, Table2[AwayTeam], AA$1)+SUMIFS(Table2[NewPointsHome],Table2[GameDate], "&lt;=" &amp; $A49, Table2[HomeTeam], AA$1)</f>
        <v>4</v>
      </c>
      <c r="AB49" s="145">
        <f>SUMIFS(Table2[NewPointsAway],Table2[GameDate], "&lt;=" &amp; $A49, Table2[AwayTeam], AB$1)+SUMIFS(Table2[NewPointsHome],Table2[GameDate], "&lt;=" &amp; $A49, Table2[HomeTeam], AB$1)</f>
        <v>7</v>
      </c>
      <c r="AC49" s="145">
        <f>SUMIFS(Table2[NewPointsAway],Table2[GameDate], "&lt;=" &amp; $A49, Table2[AwayTeam], AC$1)+SUMIFS(Table2[NewPointsHome],Table2[GameDate], "&lt;=" &amp; $A49, Table2[HomeTeam], AC$1)</f>
        <v>10</v>
      </c>
      <c r="AD49" s="145">
        <f>SUMIFS(Table2[NewPointsAway],Table2[GameDate], "&lt;=" &amp; $A49, Table2[AwayTeam], AD$1)+SUMIFS(Table2[NewPointsHome],Table2[GameDate], "&lt;=" &amp; $A49, Table2[HomeTeam], AD$1)</f>
        <v>8</v>
      </c>
      <c r="AE49" s="145">
        <f>SUMIFS(Table2[NewPointsAway],Table2[GameDate], "&lt;=" &amp; $A49, Table2[AwayTeam], AE$1)+SUMIFS(Table2[NewPointsHome],Table2[GameDate], "&lt;=" &amp; $A49, Table2[HomeTeam], AE$1)</f>
        <v>12</v>
      </c>
      <c r="AF49" s="145">
        <f>SUMIFS(Table2[NewPointsAway],Table2[GameDate], "&lt;=" &amp; $A49, Table2[AwayTeam], AF$1)+SUMIFS(Table2[NewPointsHome],Table2[GameDate], "&lt;=" &amp; $A49, Table2[HomeTeam], AF$1)</f>
        <v>10</v>
      </c>
      <c r="AG49" s="145">
        <f>SUMIFS(Table2[NewPointsAway],Table2[GameDate], "&lt;=" &amp; $A49, Table2[AwayTeam], AG$1)+SUMIFS(Table2[NewPointsHome],Table2[GameDate], "&lt;=" &amp; $A49, Table2[HomeTeam], AG$1)</f>
        <v>10</v>
      </c>
    </row>
    <row r="50" spans="1:33" x14ac:dyDescent="0.25">
      <c r="A50" s="3">
        <v>45981</v>
      </c>
      <c r="B50" s="145">
        <f>SUMIFS(Table2[NewPointsAway],Table2[GameDate], "&lt;=" &amp; $A50, Table2[AwayTeam], B$1)+SUMIFS(Table2[NewPointsHome],Table2[GameDate], "&lt;=" &amp; $A50, Table2[HomeTeam], B$1)</f>
        <v>7</v>
      </c>
      <c r="C50" s="145">
        <f>SUMIFS(Table2[NewPointsAway],Table2[GameDate], "&lt;=" &amp; $A50, Table2[AwayTeam], C$1)+SUMIFS(Table2[NewPointsHome],Table2[GameDate], "&lt;=" &amp; $A50, Table2[HomeTeam], C$1)</f>
        <v>6</v>
      </c>
      <c r="D50" s="145">
        <f>SUMIFS(Table2[NewPointsAway],Table2[GameDate], "&lt;=" &amp; $A50, Table2[AwayTeam], D$1)+SUMIFS(Table2[NewPointsHome],Table2[GameDate], "&lt;=" &amp; $A50, Table2[HomeTeam], D$1)</f>
        <v>4</v>
      </c>
      <c r="E50" s="145">
        <f>SUMIFS(Table2[NewPointsAway],Table2[GameDate], "&lt;=" &amp; $A50, Table2[AwayTeam], E$1)+SUMIFS(Table2[NewPointsHome],Table2[GameDate], "&lt;=" &amp; $A50, Table2[HomeTeam], E$1)</f>
        <v>10</v>
      </c>
      <c r="F50" s="145">
        <f>SUMIFS(Table2[NewPointsAway],Table2[GameDate], "&lt;=" &amp; $A50, Table2[AwayTeam], F$1)+SUMIFS(Table2[NewPointsHome],Table2[GameDate], "&lt;=" &amp; $A50, Table2[HomeTeam], F$1)</f>
        <v>6</v>
      </c>
      <c r="G50" s="145">
        <f>SUMIFS(Table2[NewPointsAway],Table2[GameDate], "&lt;=" &amp; $A50, Table2[AwayTeam], G$1)+SUMIFS(Table2[NewPointsHome],Table2[GameDate], "&lt;=" &amp; $A50, Table2[HomeTeam], G$1)</f>
        <v>2</v>
      </c>
      <c r="H50" s="145">
        <f>SUMIFS(Table2[NewPointsAway],Table2[GameDate], "&lt;=" &amp; $A50, Table2[AwayTeam], H$1)+SUMIFS(Table2[NewPointsHome],Table2[GameDate], "&lt;=" &amp; $A50, Table2[HomeTeam], H$1)</f>
        <v>8</v>
      </c>
      <c r="I50" s="145">
        <f>SUMIFS(Table2[NewPointsAway],Table2[GameDate], "&lt;=" &amp; $A50, Table2[AwayTeam], I$1)+SUMIFS(Table2[NewPointsHome],Table2[GameDate], "&lt;=" &amp; $A50, Table2[HomeTeam], I$1)</f>
        <v>12</v>
      </c>
      <c r="J50" s="145">
        <f>SUMIFS(Table2[NewPointsAway],Table2[GameDate], "&lt;=" &amp; $A50, Table2[AwayTeam], J$1)+SUMIFS(Table2[NewPointsHome],Table2[GameDate], "&lt;=" &amp; $A50, Table2[HomeTeam], J$1)</f>
        <v>6</v>
      </c>
      <c r="K50" s="145">
        <f>SUMIFS(Table2[NewPointsAway],Table2[GameDate], "&lt;=" &amp; $A50, Table2[AwayTeam], K$1)+SUMIFS(Table2[NewPointsHome],Table2[GameDate], "&lt;=" &amp; $A50, Table2[HomeTeam], K$1)</f>
        <v>10</v>
      </c>
      <c r="L50" s="145">
        <f>SUMIFS(Table2[NewPointsAway],Table2[GameDate], "&lt;=" &amp; $A50, Table2[AwayTeam], L$1)+SUMIFS(Table2[NewPointsHome],Table2[GameDate], "&lt;=" &amp; $A50, Table2[HomeTeam], L$1)</f>
        <v>7</v>
      </c>
      <c r="M50" s="145">
        <f>SUMIFS(Table2[NewPointsAway],Table2[GameDate], "&lt;=" &amp; $A50, Table2[AwayTeam], M$1)+SUMIFS(Table2[NewPointsHome],Table2[GameDate], "&lt;=" &amp; $A50, Table2[HomeTeam], M$1)</f>
        <v>8</v>
      </c>
      <c r="N50" s="145">
        <f>SUMIFS(Table2[NewPointsAway],Table2[GameDate], "&lt;=" &amp; $A50, Table2[AwayTeam], N$1)+SUMIFS(Table2[NewPointsHome],Table2[GameDate], "&lt;=" &amp; $A50, Table2[HomeTeam], N$1)</f>
        <v>6</v>
      </c>
      <c r="O50" s="145">
        <f>SUMIFS(Table2[NewPointsAway],Table2[GameDate], "&lt;=" &amp; $A50, Table2[AwayTeam], O$1)+SUMIFS(Table2[NewPointsHome],Table2[GameDate], "&lt;=" &amp; $A50, Table2[HomeTeam], O$1)</f>
        <v>7</v>
      </c>
      <c r="P50" s="145">
        <f>SUMIFS(Table2[NewPointsAway],Table2[GameDate], "&lt;=" &amp; $A50, Table2[AwayTeam], P$1)+SUMIFS(Table2[NewPointsHome],Table2[GameDate], "&lt;=" &amp; $A50, Table2[HomeTeam], P$1)</f>
        <v>10</v>
      </c>
      <c r="Q50" s="145">
        <f>SUMIFS(Table2[NewPointsAway],Table2[GameDate], "&lt;=" &amp; $A50, Table2[AwayTeam], Q$1)+SUMIFS(Table2[NewPointsHome],Table2[GameDate], "&lt;=" &amp; $A50, Table2[HomeTeam], Q$1)</f>
        <v>10</v>
      </c>
      <c r="R50" s="145">
        <f>SUMIFS(Table2[NewPointsAway],Table2[GameDate], "&lt;=" &amp; $A50, Table2[AwayTeam], R$1)+SUMIFS(Table2[NewPointsHome],Table2[GameDate], "&lt;=" &amp; $A50, Table2[HomeTeam], R$1)</f>
        <v>6</v>
      </c>
      <c r="S50" s="145">
        <f>SUMIFS(Table2[NewPointsAway],Table2[GameDate], "&lt;=" &amp; $A50, Table2[AwayTeam], S$1)+SUMIFS(Table2[NewPointsHome],Table2[GameDate], "&lt;=" &amp; $A50, Table2[HomeTeam], S$1)</f>
        <v>6</v>
      </c>
      <c r="T50" s="145">
        <f>SUMIFS(Table2[NewPointsAway],Table2[GameDate], "&lt;=" &amp; $A50, Table2[AwayTeam], T$1)+SUMIFS(Table2[NewPointsHome],Table2[GameDate], "&lt;=" &amp; $A50, Table2[HomeTeam], T$1)</f>
        <v>7</v>
      </c>
      <c r="U50" s="145">
        <f>SUMIFS(Table2[NewPointsAway],Table2[GameDate], "&lt;=" &amp; $A50, Table2[AwayTeam], U$1)+SUMIFS(Table2[NewPointsHome],Table2[GameDate], "&lt;=" &amp; $A50, Table2[HomeTeam], U$1)</f>
        <v>5</v>
      </c>
      <c r="V50" s="145">
        <f>SUMIFS(Table2[NewPointsAway],Table2[GameDate], "&lt;=" &amp; $A50, Table2[AwayTeam], V$1)+SUMIFS(Table2[NewPointsHome],Table2[GameDate], "&lt;=" &amp; $A50, Table2[HomeTeam], V$1)</f>
        <v>7</v>
      </c>
      <c r="W50" s="145">
        <f>SUMIFS(Table2[NewPointsAway],Table2[GameDate], "&lt;=" &amp; $A50, Table2[AwayTeam], W$1)+SUMIFS(Table2[NewPointsHome],Table2[GameDate], "&lt;=" &amp; $A50, Table2[HomeTeam], W$1)</f>
        <v>10</v>
      </c>
      <c r="X50" s="145">
        <f>SUMIFS(Table2[NewPointsAway],Table2[GameDate], "&lt;=" &amp; $A50, Table2[AwayTeam], X$1)+SUMIFS(Table2[NewPointsHome],Table2[GameDate], "&lt;=" &amp; $A50, Table2[HomeTeam], X$1)</f>
        <v>8</v>
      </c>
      <c r="Y50" s="145">
        <f>SUMIFS(Table2[NewPointsAway],Table2[GameDate], "&lt;=" &amp; $A50, Table2[AwayTeam], Y$1)+SUMIFS(Table2[NewPointsHome],Table2[GameDate], "&lt;=" &amp; $A50, Table2[HomeTeam], Y$1)</f>
        <v>2</v>
      </c>
      <c r="Z50" s="145">
        <f>SUMIFS(Table2[NewPointsAway],Table2[GameDate], "&lt;=" &amp; $A50, Table2[AwayTeam], Z$1)+SUMIFS(Table2[NewPointsHome],Table2[GameDate], "&lt;=" &amp; $A50, Table2[HomeTeam], Z$1)</f>
        <v>7</v>
      </c>
      <c r="AA50" s="145">
        <f>SUMIFS(Table2[NewPointsAway],Table2[GameDate], "&lt;=" &amp; $A50, Table2[AwayTeam], AA$1)+SUMIFS(Table2[NewPointsHome],Table2[GameDate], "&lt;=" &amp; $A50, Table2[HomeTeam], AA$1)</f>
        <v>4</v>
      </c>
      <c r="AB50" s="145">
        <f>SUMIFS(Table2[NewPointsAway],Table2[GameDate], "&lt;=" &amp; $A50, Table2[AwayTeam], AB$1)+SUMIFS(Table2[NewPointsHome],Table2[GameDate], "&lt;=" &amp; $A50, Table2[HomeTeam], AB$1)</f>
        <v>7</v>
      </c>
      <c r="AC50" s="145">
        <f>SUMIFS(Table2[NewPointsAway],Table2[GameDate], "&lt;=" &amp; $A50, Table2[AwayTeam], AC$1)+SUMIFS(Table2[NewPointsHome],Table2[GameDate], "&lt;=" &amp; $A50, Table2[HomeTeam], AC$1)</f>
        <v>10</v>
      </c>
      <c r="AD50" s="145">
        <f>SUMIFS(Table2[NewPointsAway],Table2[GameDate], "&lt;=" &amp; $A50, Table2[AwayTeam], AD$1)+SUMIFS(Table2[NewPointsHome],Table2[GameDate], "&lt;=" &amp; $A50, Table2[HomeTeam], AD$1)</f>
        <v>8</v>
      </c>
      <c r="AE50" s="145">
        <f>SUMIFS(Table2[NewPointsAway],Table2[GameDate], "&lt;=" &amp; $A50, Table2[AwayTeam], AE$1)+SUMIFS(Table2[NewPointsHome],Table2[GameDate], "&lt;=" &amp; $A50, Table2[HomeTeam], AE$1)</f>
        <v>12</v>
      </c>
      <c r="AF50" s="145">
        <f>SUMIFS(Table2[NewPointsAway],Table2[GameDate], "&lt;=" &amp; $A50, Table2[AwayTeam], AF$1)+SUMIFS(Table2[NewPointsHome],Table2[GameDate], "&lt;=" &amp; $A50, Table2[HomeTeam], AF$1)</f>
        <v>10</v>
      </c>
      <c r="AG50" s="145">
        <f>SUMIFS(Table2[NewPointsAway],Table2[GameDate], "&lt;=" &amp; $A50, Table2[AwayTeam], AG$1)+SUMIFS(Table2[NewPointsHome],Table2[GameDate], "&lt;=" &amp; $A50, Table2[HomeTeam], AG$1)</f>
        <v>10</v>
      </c>
    </row>
    <row r="51" spans="1:33" x14ac:dyDescent="0.25">
      <c r="A51" s="3">
        <v>45982</v>
      </c>
      <c r="B51" s="145">
        <f>SUMIFS(Table2[NewPointsAway],Table2[GameDate], "&lt;=" &amp; $A51, Table2[AwayTeam], B$1)+SUMIFS(Table2[NewPointsHome],Table2[GameDate], "&lt;=" &amp; $A51, Table2[HomeTeam], B$1)</f>
        <v>7</v>
      </c>
      <c r="C51" s="145">
        <f>SUMIFS(Table2[NewPointsAway],Table2[GameDate], "&lt;=" &amp; $A51, Table2[AwayTeam], C$1)+SUMIFS(Table2[NewPointsHome],Table2[GameDate], "&lt;=" &amp; $A51, Table2[HomeTeam], C$1)</f>
        <v>6</v>
      </c>
      <c r="D51" s="145">
        <f>SUMIFS(Table2[NewPointsAway],Table2[GameDate], "&lt;=" &amp; $A51, Table2[AwayTeam], D$1)+SUMIFS(Table2[NewPointsHome],Table2[GameDate], "&lt;=" &amp; $A51, Table2[HomeTeam], D$1)</f>
        <v>4</v>
      </c>
      <c r="E51" s="145">
        <f>SUMIFS(Table2[NewPointsAway],Table2[GameDate], "&lt;=" &amp; $A51, Table2[AwayTeam], E$1)+SUMIFS(Table2[NewPointsHome],Table2[GameDate], "&lt;=" &amp; $A51, Table2[HomeTeam], E$1)</f>
        <v>10</v>
      </c>
      <c r="F51" s="145">
        <f>SUMIFS(Table2[NewPointsAway],Table2[GameDate], "&lt;=" &amp; $A51, Table2[AwayTeam], F$1)+SUMIFS(Table2[NewPointsHome],Table2[GameDate], "&lt;=" &amp; $A51, Table2[HomeTeam], F$1)</f>
        <v>6</v>
      </c>
      <c r="G51" s="145">
        <f>SUMIFS(Table2[NewPointsAway],Table2[GameDate], "&lt;=" &amp; $A51, Table2[AwayTeam], G$1)+SUMIFS(Table2[NewPointsHome],Table2[GameDate], "&lt;=" &amp; $A51, Table2[HomeTeam], G$1)</f>
        <v>2</v>
      </c>
      <c r="H51" s="145">
        <f>SUMIFS(Table2[NewPointsAway],Table2[GameDate], "&lt;=" &amp; $A51, Table2[AwayTeam], H$1)+SUMIFS(Table2[NewPointsHome],Table2[GameDate], "&lt;=" &amp; $A51, Table2[HomeTeam], H$1)</f>
        <v>8</v>
      </c>
      <c r="I51" s="145">
        <f>SUMIFS(Table2[NewPointsAway],Table2[GameDate], "&lt;=" &amp; $A51, Table2[AwayTeam], I$1)+SUMIFS(Table2[NewPointsHome],Table2[GameDate], "&lt;=" &amp; $A51, Table2[HomeTeam], I$1)</f>
        <v>12</v>
      </c>
      <c r="J51" s="145">
        <f>SUMIFS(Table2[NewPointsAway],Table2[GameDate], "&lt;=" &amp; $A51, Table2[AwayTeam], J$1)+SUMIFS(Table2[NewPointsHome],Table2[GameDate], "&lt;=" &amp; $A51, Table2[HomeTeam], J$1)</f>
        <v>6</v>
      </c>
      <c r="K51" s="145">
        <f>SUMIFS(Table2[NewPointsAway],Table2[GameDate], "&lt;=" &amp; $A51, Table2[AwayTeam], K$1)+SUMIFS(Table2[NewPointsHome],Table2[GameDate], "&lt;=" &amp; $A51, Table2[HomeTeam], K$1)</f>
        <v>10</v>
      </c>
      <c r="L51" s="145">
        <f>SUMIFS(Table2[NewPointsAway],Table2[GameDate], "&lt;=" &amp; $A51, Table2[AwayTeam], L$1)+SUMIFS(Table2[NewPointsHome],Table2[GameDate], "&lt;=" &amp; $A51, Table2[HomeTeam], L$1)</f>
        <v>7</v>
      </c>
      <c r="M51" s="145">
        <f>SUMIFS(Table2[NewPointsAway],Table2[GameDate], "&lt;=" &amp; $A51, Table2[AwayTeam], M$1)+SUMIFS(Table2[NewPointsHome],Table2[GameDate], "&lt;=" &amp; $A51, Table2[HomeTeam], M$1)</f>
        <v>8</v>
      </c>
      <c r="N51" s="145">
        <f>SUMIFS(Table2[NewPointsAway],Table2[GameDate], "&lt;=" &amp; $A51, Table2[AwayTeam], N$1)+SUMIFS(Table2[NewPointsHome],Table2[GameDate], "&lt;=" &amp; $A51, Table2[HomeTeam], N$1)</f>
        <v>6</v>
      </c>
      <c r="O51" s="145">
        <f>SUMIFS(Table2[NewPointsAway],Table2[GameDate], "&lt;=" &amp; $A51, Table2[AwayTeam], O$1)+SUMIFS(Table2[NewPointsHome],Table2[GameDate], "&lt;=" &amp; $A51, Table2[HomeTeam], O$1)</f>
        <v>7</v>
      </c>
      <c r="P51" s="145">
        <f>SUMIFS(Table2[NewPointsAway],Table2[GameDate], "&lt;=" &amp; $A51, Table2[AwayTeam], P$1)+SUMIFS(Table2[NewPointsHome],Table2[GameDate], "&lt;=" &amp; $A51, Table2[HomeTeam], P$1)</f>
        <v>10</v>
      </c>
      <c r="Q51" s="145">
        <f>SUMIFS(Table2[NewPointsAway],Table2[GameDate], "&lt;=" &amp; $A51, Table2[AwayTeam], Q$1)+SUMIFS(Table2[NewPointsHome],Table2[GameDate], "&lt;=" &amp; $A51, Table2[HomeTeam], Q$1)</f>
        <v>10</v>
      </c>
      <c r="R51" s="145">
        <f>SUMIFS(Table2[NewPointsAway],Table2[GameDate], "&lt;=" &amp; $A51, Table2[AwayTeam], R$1)+SUMIFS(Table2[NewPointsHome],Table2[GameDate], "&lt;=" &amp; $A51, Table2[HomeTeam], R$1)</f>
        <v>6</v>
      </c>
      <c r="S51" s="145">
        <f>SUMIFS(Table2[NewPointsAway],Table2[GameDate], "&lt;=" &amp; $A51, Table2[AwayTeam], S$1)+SUMIFS(Table2[NewPointsHome],Table2[GameDate], "&lt;=" &amp; $A51, Table2[HomeTeam], S$1)</f>
        <v>6</v>
      </c>
      <c r="T51" s="145">
        <f>SUMIFS(Table2[NewPointsAway],Table2[GameDate], "&lt;=" &amp; $A51, Table2[AwayTeam], T$1)+SUMIFS(Table2[NewPointsHome],Table2[GameDate], "&lt;=" &amp; $A51, Table2[HomeTeam], T$1)</f>
        <v>7</v>
      </c>
      <c r="U51" s="145">
        <f>SUMIFS(Table2[NewPointsAway],Table2[GameDate], "&lt;=" &amp; $A51, Table2[AwayTeam], U$1)+SUMIFS(Table2[NewPointsHome],Table2[GameDate], "&lt;=" &amp; $A51, Table2[HomeTeam], U$1)</f>
        <v>5</v>
      </c>
      <c r="V51" s="145">
        <f>SUMIFS(Table2[NewPointsAway],Table2[GameDate], "&lt;=" &amp; $A51, Table2[AwayTeam], V$1)+SUMIFS(Table2[NewPointsHome],Table2[GameDate], "&lt;=" &amp; $A51, Table2[HomeTeam], V$1)</f>
        <v>7</v>
      </c>
      <c r="W51" s="145">
        <f>SUMIFS(Table2[NewPointsAway],Table2[GameDate], "&lt;=" &amp; $A51, Table2[AwayTeam], W$1)+SUMIFS(Table2[NewPointsHome],Table2[GameDate], "&lt;=" &amp; $A51, Table2[HomeTeam], W$1)</f>
        <v>10</v>
      </c>
      <c r="X51" s="145">
        <f>SUMIFS(Table2[NewPointsAway],Table2[GameDate], "&lt;=" &amp; $A51, Table2[AwayTeam], X$1)+SUMIFS(Table2[NewPointsHome],Table2[GameDate], "&lt;=" &amp; $A51, Table2[HomeTeam], X$1)</f>
        <v>8</v>
      </c>
      <c r="Y51" s="145">
        <f>SUMIFS(Table2[NewPointsAway],Table2[GameDate], "&lt;=" &amp; $A51, Table2[AwayTeam], Y$1)+SUMIFS(Table2[NewPointsHome],Table2[GameDate], "&lt;=" &amp; $A51, Table2[HomeTeam], Y$1)</f>
        <v>2</v>
      </c>
      <c r="Z51" s="145">
        <f>SUMIFS(Table2[NewPointsAway],Table2[GameDate], "&lt;=" &amp; $A51, Table2[AwayTeam], Z$1)+SUMIFS(Table2[NewPointsHome],Table2[GameDate], "&lt;=" &amp; $A51, Table2[HomeTeam], Z$1)</f>
        <v>7</v>
      </c>
      <c r="AA51" s="145">
        <f>SUMIFS(Table2[NewPointsAway],Table2[GameDate], "&lt;=" &amp; $A51, Table2[AwayTeam], AA$1)+SUMIFS(Table2[NewPointsHome],Table2[GameDate], "&lt;=" &amp; $A51, Table2[HomeTeam], AA$1)</f>
        <v>4</v>
      </c>
      <c r="AB51" s="145">
        <f>SUMIFS(Table2[NewPointsAway],Table2[GameDate], "&lt;=" &amp; $A51, Table2[AwayTeam], AB$1)+SUMIFS(Table2[NewPointsHome],Table2[GameDate], "&lt;=" &amp; $A51, Table2[HomeTeam], AB$1)</f>
        <v>7</v>
      </c>
      <c r="AC51" s="145">
        <f>SUMIFS(Table2[NewPointsAway],Table2[GameDate], "&lt;=" &amp; $A51, Table2[AwayTeam], AC$1)+SUMIFS(Table2[NewPointsHome],Table2[GameDate], "&lt;=" &amp; $A51, Table2[HomeTeam], AC$1)</f>
        <v>10</v>
      </c>
      <c r="AD51" s="145">
        <f>SUMIFS(Table2[NewPointsAway],Table2[GameDate], "&lt;=" &amp; $A51, Table2[AwayTeam], AD$1)+SUMIFS(Table2[NewPointsHome],Table2[GameDate], "&lt;=" &amp; $A51, Table2[HomeTeam], AD$1)</f>
        <v>8</v>
      </c>
      <c r="AE51" s="145">
        <f>SUMIFS(Table2[NewPointsAway],Table2[GameDate], "&lt;=" &amp; $A51, Table2[AwayTeam], AE$1)+SUMIFS(Table2[NewPointsHome],Table2[GameDate], "&lt;=" &amp; $A51, Table2[HomeTeam], AE$1)</f>
        <v>12</v>
      </c>
      <c r="AF51" s="145">
        <f>SUMIFS(Table2[NewPointsAway],Table2[GameDate], "&lt;=" &amp; $A51, Table2[AwayTeam], AF$1)+SUMIFS(Table2[NewPointsHome],Table2[GameDate], "&lt;=" &amp; $A51, Table2[HomeTeam], AF$1)</f>
        <v>10</v>
      </c>
      <c r="AG51" s="145">
        <f>SUMIFS(Table2[NewPointsAway],Table2[GameDate], "&lt;=" &amp; $A51, Table2[AwayTeam], AG$1)+SUMIFS(Table2[NewPointsHome],Table2[GameDate], "&lt;=" &amp; $A51, Table2[HomeTeam], AG$1)</f>
        <v>10</v>
      </c>
    </row>
    <row r="52" spans="1:33" x14ac:dyDescent="0.25">
      <c r="A52" s="3">
        <v>45983</v>
      </c>
      <c r="B52" s="145">
        <f>SUMIFS(Table2[NewPointsAway],Table2[GameDate], "&lt;=" &amp; $A52, Table2[AwayTeam], B$1)+SUMIFS(Table2[NewPointsHome],Table2[GameDate], "&lt;=" &amp; $A52, Table2[HomeTeam], B$1)</f>
        <v>7</v>
      </c>
      <c r="C52" s="145">
        <f>SUMIFS(Table2[NewPointsAway],Table2[GameDate], "&lt;=" &amp; $A52, Table2[AwayTeam], C$1)+SUMIFS(Table2[NewPointsHome],Table2[GameDate], "&lt;=" &amp; $A52, Table2[HomeTeam], C$1)</f>
        <v>6</v>
      </c>
      <c r="D52" s="145">
        <f>SUMIFS(Table2[NewPointsAway],Table2[GameDate], "&lt;=" &amp; $A52, Table2[AwayTeam], D$1)+SUMIFS(Table2[NewPointsHome],Table2[GameDate], "&lt;=" &amp; $A52, Table2[HomeTeam], D$1)</f>
        <v>4</v>
      </c>
      <c r="E52" s="145">
        <f>SUMIFS(Table2[NewPointsAway],Table2[GameDate], "&lt;=" &amp; $A52, Table2[AwayTeam], E$1)+SUMIFS(Table2[NewPointsHome],Table2[GameDate], "&lt;=" &amp; $A52, Table2[HomeTeam], E$1)</f>
        <v>10</v>
      </c>
      <c r="F52" s="145">
        <f>SUMIFS(Table2[NewPointsAway],Table2[GameDate], "&lt;=" &amp; $A52, Table2[AwayTeam], F$1)+SUMIFS(Table2[NewPointsHome],Table2[GameDate], "&lt;=" &amp; $A52, Table2[HomeTeam], F$1)</f>
        <v>6</v>
      </c>
      <c r="G52" s="145">
        <f>SUMIFS(Table2[NewPointsAway],Table2[GameDate], "&lt;=" &amp; $A52, Table2[AwayTeam], G$1)+SUMIFS(Table2[NewPointsHome],Table2[GameDate], "&lt;=" &amp; $A52, Table2[HomeTeam], G$1)</f>
        <v>2</v>
      </c>
      <c r="H52" s="145">
        <f>SUMIFS(Table2[NewPointsAway],Table2[GameDate], "&lt;=" &amp; $A52, Table2[AwayTeam], H$1)+SUMIFS(Table2[NewPointsHome],Table2[GameDate], "&lt;=" &amp; $A52, Table2[HomeTeam], H$1)</f>
        <v>8</v>
      </c>
      <c r="I52" s="145">
        <f>SUMIFS(Table2[NewPointsAway],Table2[GameDate], "&lt;=" &amp; $A52, Table2[AwayTeam], I$1)+SUMIFS(Table2[NewPointsHome],Table2[GameDate], "&lt;=" &amp; $A52, Table2[HomeTeam], I$1)</f>
        <v>12</v>
      </c>
      <c r="J52" s="145">
        <f>SUMIFS(Table2[NewPointsAway],Table2[GameDate], "&lt;=" &amp; $A52, Table2[AwayTeam], J$1)+SUMIFS(Table2[NewPointsHome],Table2[GameDate], "&lt;=" &amp; $A52, Table2[HomeTeam], J$1)</f>
        <v>6</v>
      </c>
      <c r="K52" s="145">
        <f>SUMIFS(Table2[NewPointsAway],Table2[GameDate], "&lt;=" &amp; $A52, Table2[AwayTeam], K$1)+SUMIFS(Table2[NewPointsHome],Table2[GameDate], "&lt;=" &amp; $A52, Table2[HomeTeam], K$1)</f>
        <v>10</v>
      </c>
      <c r="L52" s="145">
        <f>SUMIFS(Table2[NewPointsAway],Table2[GameDate], "&lt;=" &amp; $A52, Table2[AwayTeam], L$1)+SUMIFS(Table2[NewPointsHome],Table2[GameDate], "&lt;=" &amp; $A52, Table2[HomeTeam], L$1)</f>
        <v>7</v>
      </c>
      <c r="M52" s="145">
        <f>SUMIFS(Table2[NewPointsAway],Table2[GameDate], "&lt;=" &amp; $A52, Table2[AwayTeam], M$1)+SUMIFS(Table2[NewPointsHome],Table2[GameDate], "&lt;=" &amp; $A52, Table2[HomeTeam], M$1)</f>
        <v>8</v>
      </c>
      <c r="N52" s="145">
        <f>SUMIFS(Table2[NewPointsAway],Table2[GameDate], "&lt;=" &amp; $A52, Table2[AwayTeam], N$1)+SUMIFS(Table2[NewPointsHome],Table2[GameDate], "&lt;=" &amp; $A52, Table2[HomeTeam], N$1)</f>
        <v>6</v>
      </c>
      <c r="O52" s="145">
        <f>SUMIFS(Table2[NewPointsAway],Table2[GameDate], "&lt;=" &amp; $A52, Table2[AwayTeam], O$1)+SUMIFS(Table2[NewPointsHome],Table2[GameDate], "&lt;=" &amp; $A52, Table2[HomeTeam], O$1)</f>
        <v>7</v>
      </c>
      <c r="P52" s="145">
        <f>SUMIFS(Table2[NewPointsAway],Table2[GameDate], "&lt;=" &amp; $A52, Table2[AwayTeam], P$1)+SUMIFS(Table2[NewPointsHome],Table2[GameDate], "&lt;=" &amp; $A52, Table2[HomeTeam], P$1)</f>
        <v>10</v>
      </c>
      <c r="Q52" s="145">
        <f>SUMIFS(Table2[NewPointsAway],Table2[GameDate], "&lt;=" &amp; $A52, Table2[AwayTeam], Q$1)+SUMIFS(Table2[NewPointsHome],Table2[GameDate], "&lt;=" &amp; $A52, Table2[HomeTeam], Q$1)</f>
        <v>10</v>
      </c>
      <c r="R52" s="145">
        <f>SUMIFS(Table2[NewPointsAway],Table2[GameDate], "&lt;=" &amp; $A52, Table2[AwayTeam], R$1)+SUMIFS(Table2[NewPointsHome],Table2[GameDate], "&lt;=" &amp; $A52, Table2[HomeTeam], R$1)</f>
        <v>6</v>
      </c>
      <c r="S52" s="145">
        <f>SUMIFS(Table2[NewPointsAway],Table2[GameDate], "&lt;=" &amp; $A52, Table2[AwayTeam], S$1)+SUMIFS(Table2[NewPointsHome],Table2[GameDate], "&lt;=" &amp; $A52, Table2[HomeTeam], S$1)</f>
        <v>6</v>
      </c>
      <c r="T52" s="145">
        <f>SUMIFS(Table2[NewPointsAway],Table2[GameDate], "&lt;=" &amp; $A52, Table2[AwayTeam], T$1)+SUMIFS(Table2[NewPointsHome],Table2[GameDate], "&lt;=" &amp; $A52, Table2[HomeTeam], T$1)</f>
        <v>7</v>
      </c>
      <c r="U52" s="145">
        <f>SUMIFS(Table2[NewPointsAway],Table2[GameDate], "&lt;=" &amp; $A52, Table2[AwayTeam], U$1)+SUMIFS(Table2[NewPointsHome],Table2[GameDate], "&lt;=" &amp; $A52, Table2[HomeTeam], U$1)</f>
        <v>5</v>
      </c>
      <c r="V52" s="145">
        <f>SUMIFS(Table2[NewPointsAway],Table2[GameDate], "&lt;=" &amp; $A52, Table2[AwayTeam], V$1)+SUMIFS(Table2[NewPointsHome],Table2[GameDate], "&lt;=" &amp; $A52, Table2[HomeTeam], V$1)</f>
        <v>7</v>
      </c>
      <c r="W52" s="145">
        <f>SUMIFS(Table2[NewPointsAway],Table2[GameDate], "&lt;=" &amp; $A52, Table2[AwayTeam], W$1)+SUMIFS(Table2[NewPointsHome],Table2[GameDate], "&lt;=" &amp; $A52, Table2[HomeTeam], W$1)</f>
        <v>10</v>
      </c>
      <c r="X52" s="145">
        <f>SUMIFS(Table2[NewPointsAway],Table2[GameDate], "&lt;=" &amp; $A52, Table2[AwayTeam], X$1)+SUMIFS(Table2[NewPointsHome],Table2[GameDate], "&lt;=" &amp; $A52, Table2[HomeTeam], X$1)</f>
        <v>8</v>
      </c>
      <c r="Y52" s="145">
        <f>SUMIFS(Table2[NewPointsAway],Table2[GameDate], "&lt;=" &amp; $A52, Table2[AwayTeam], Y$1)+SUMIFS(Table2[NewPointsHome],Table2[GameDate], "&lt;=" &amp; $A52, Table2[HomeTeam], Y$1)</f>
        <v>2</v>
      </c>
      <c r="Z52" s="145">
        <f>SUMIFS(Table2[NewPointsAway],Table2[GameDate], "&lt;=" &amp; $A52, Table2[AwayTeam], Z$1)+SUMIFS(Table2[NewPointsHome],Table2[GameDate], "&lt;=" &amp; $A52, Table2[HomeTeam], Z$1)</f>
        <v>7</v>
      </c>
      <c r="AA52" s="145">
        <f>SUMIFS(Table2[NewPointsAway],Table2[GameDate], "&lt;=" &amp; $A52, Table2[AwayTeam], AA$1)+SUMIFS(Table2[NewPointsHome],Table2[GameDate], "&lt;=" &amp; $A52, Table2[HomeTeam], AA$1)</f>
        <v>4</v>
      </c>
      <c r="AB52" s="145">
        <f>SUMIFS(Table2[NewPointsAway],Table2[GameDate], "&lt;=" &amp; $A52, Table2[AwayTeam], AB$1)+SUMIFS(Table2[NewPointsHome],Table2[GameDate], "&lt;=" &amp; $A52, Table2[HomeTeam], AB$1)</f>
        <v>7</v>
      </c>
      <c r="AC52" s="145">
        <f>SUMIFS(Table2[NewPointsAway],Table2[GameDate], "&lt;=" &amp; $A52, Table2[AwayTeam], AC$1)+SUMIFS(Table2[NewPointsHome],Table2[GameDate], "&lt;=" &amp; $A52, Table2[HomeTeam], AC$1)</f>
        <v>10</v>
      </c>
      <c r="AD52" s="145">
        <f>SUMIFS(Table2[NewPointsAway],Table2[GameDate], "&lt;=" &amp; $A52, Table2[AwayTeam], AD$1)+SUMIFS(Table2[NewPointsHome],Table2[GameDate], "&lt;=" &amp; $A52, Table2[HomeTeam], AD$1)</f>
        <v>8</v>
      </c>
      <c r="AE52" s="145">
        <f>SUMIFS(Table2[NewPointsAway],Table2[GameDate], "&lt;=" &amp; $A52, Table2[AwayTeam], AE$1)+SUMIFS(Table2[NewPointsHome],Table2[GameDate], "&lt;=" &amp; $A52, Table2[HomeTeam], AE$1)</f>
        <v>12</v>
      </c>
      <c r="AF52" s="145">
        <f>SUMIFS(Table2[NewPointsAway],Table2[GameDate], "&lt;=" &amp; $A52, Table2[AwayTeam], AF$1)+SUMIFS(Table2[NewPointsHome],Table2[GameDate], "&lt;=" &amp; $A52, Table2[HomeTeam], AF$1)</f>
        <v>10</v>
      </c>
      <c r="AG52" s="145">
        <f>SUMIFS(Table2[NewPointsAway],Table2[GameDate], "&lt;=" &amp; $A52, Table2[AwayTeam], AG$1)+SUMIFS(Table2[NewPointsHome],Table2[GameDate], "&lt;=" &amp; $A52, Table2[HomeTeam], AG$1)</f>
        <v>10</v>
      </c>
    </row>
    <row r="53" spans="1:33" x14ac:dyDescent="0.25">
      <c r="A53" s="3">
        <v>45984</v>
      </c>
      <c r="B53" s="145">
        <f>SUMIFS(Table2[NewPointsAway],Table2[GameDate], "&lt;=" &amp; $A53, Table2[AwayTeam], B$1)+SUMIFS(Table2[NewPointsHome],Table2[GameDate], "&lt;=" &amp; $A53, Table2[HomeTeam], B$1)</f>
        <v>7</v>
      </c>
      <c r="C53" s="145">
        <f>SUMIFS(Table2[NewPointsAway],Table2[GameDate], "&lt;=" &amp; $A53, Table2[AwayTeam], C$1)+SUMIFS(Table2[NewPointsHome],Table2[GameDate], "&lt;=" &amp; $A53, Table2[HomeTeam], C$1)</f>
        <v>6</v>
      </c>
      <c r="D53" s="145">
        <f>SUMIFS(Table2[NewPointsAway],Table2[GameDate], "&lt;=" &amp; $A53, Table2[AwayTeam], D$1)+SUMIFS(Table2[NewPointsHome],Table2[GameDate], "&lt;=" &amp; $A53, Table2[HomeTeam], D$1)</f>
        <v>4</v>
      </c>
      <c r="E53" s="145">
        <f>SUMIFS(Table2[NewPointsAway],Table2[GameDate], "&lt;=" &amp; $A53, Table2[AwayTeam], E$1)+SUMIFS(Table2[NewPointsHome],Table2[GameDate], "&lt;=" &amp; $A53, Table2[HomeTeam], E$1)</f>
        <v>10</v>
      </c>
      <c r="F53" s="145">
        <f>SUMIFS(Table2[NewPointsAway],Table2[GameDate], "&lt;=" &amp; $A53, Table2[AwayTeam], F$1)+SUMIFS(Table2[NewPointsHome],Table2[GameDate], "&lt;=" &amp; $A53, Table2[HomeTeam], F$1)</f>
        <v>6</v>
      </c>
      <c r="G53" s="145">
        <f>SUMIFS(Table2[NewPointsAway],Table2[GameDate], "&lt;=" &amp; $A53, Table2[AwayTeam], G$1)+SUMIFS(Table2[NewPointsHome],Table2[GameDate], "&lt;=" &amp; $A53, Table2[HomeTeam], G$1)</f>
        <v>2</v>
      </c>
      <c r="H53" s="145">
        <f>SUMIFS(Table2[NewPointsAway],Table2[GameDate], "&lt;=" &amp; $A53, Table2[AwayTeam], H$1)+SUMIFS(Table2[NewPointsHome],Table2[GameDate], "&lt;=" &amp; $A53, Table2[HomeTeam], H$1)</f>
        <v>8</v>
      </c>
      <c r="I53" s="145">
        <f>SUMIFS(Table2[NewPointsAway],Table2[GameDate], "&lt;=" &amp; $A53, Table2[AwayTeam], I$1)+SUMIFS(Table2[NewPointsHome],Table2[GameDate], "&lt;=" &amp; $A53, Table2[HomeTeam], I$1)</f>
        <v>12</v>
      </c>
      <c r="J53" s="145">
        <f>SUMIFS(Table2[NewPointsAway],Table2[GameDate], "&lt;=" &amp; $A53, Table2[AwayTeam], J$1)+SUMIFS(Table2[NewPointsHome],Table2[GameDate], "&lt;=" &amp; $A53, Table2[HomeTeam], J$1)</f>
        <v>6</v>
      </c>
      <c r="K53" s="145">
        <f>SUMIFS(Table2[NewPointsAway],Table2[GameDate], "&lt;=" &amp; $A53, Table2[AwayTeam], K$1)+SUMIFS(Table2[NewPointsHome],Table2[GameDate], "&lt;=" &amp; $A53, Table2[HomeTeam], K$1)</f>
        <v>10</v>
      </c>
      <c r="L53" s="145">
        <f>SUMIFS(Table2[NewPointsAway],Table2[GameDate], "&lt;=" &amp; $A53, Table2[AwayTeam], L$1)+SUMIFS(Table2[NewPointsHome],Table2[GameDate], "&lt;=" &amp; $A53, Table2[HomeTeam], L$1)</f>
        <v>7</v>
      </c>
      <c r="M53" s="145">
        <f>SUMIFS(Table2[NewPointsAway],Table2[GameDate], "&lt;=" &amp; $A53, Table2[AwayTeam], M$1)+SUMIFS(Table2[NewPointsHome],Table2[GameDate], "&lt;=" &amp; $A53, Table2[HomeTeam], M$1)</f>
        <v>8</v>
      </c>
      <c r="N53" s="145">
        <f>SUMIFS(Table2[NewPointsAway],Table2[GameDate], "&lt;=" &amp; $A53, Table2[AwayTeam], N$1)+SUMIFS(Table2[NewPointsHome],Table2[GameDate], "&lt;=" &amp; $A53, Table2[HomeTeam], N$1)</f>
        <v>6</v>
      </c>
      <c r="O53" s="145">
        <f>SUMIFS(Table2[NewPointsAway],Table2[GameDate], "&lt;=" &amp; $A53, Table2[AwayTeam], O$1)+SUMIFS(Table2[NewPointsHome],Table2[GameDate], "&lt;=" &amp; $A53, Table2[HomeTeam], O$1)</f>
        <v>7</v>
      </c>
      <c r="P53" s="145">
        <f>SUMIFS(Table2[NewPointsAway],Table2[GameDate], "&lt;=" &amp; $A53, Table2[AwayTeam], P$1)+SUMIFS(Table2[NewPointsHome],Table2[GameDate], "&lt;=" &amp; $A53, Table2[HomeTeam], P$1)</f>
        <v>10</v>
      </c>
      <c r="Q53" s="145">
        <f>SUMIFS(Table2[NewPointsAway],Table2[GameDate], "&lt;=" &amp; $A53, Table2[AwayTeam], Q$1)+SUMIFS(Table2[NewPointsHome],Table2[GameDate], "&lt;=" &amp; $A53, Table2[HomeTeam], Q$1)</f>
        <v>10</v>
      </c>
      <c r="R53" s="145">
        <f>SUMIFS(Table2[NewPointsAway],Table2[GameDate], "&lt;=" &amp; $A53, Table2[AwayTeam], R$1)+SUMIFS(Table2[NewPointsHome],Table2[GameDate], "&lt;=" &amp; $A53, Table2[HomeTeam], R$1)</f>
        <v>6</v>
      </c>
      <c r="S53" s="145">
        <f>SUMIFS(Table2[NewPointsAway],Table2[GameDate], "&lt;=" &amp; $A53, Table2[AwayTeam], S$1)+SUMIFS(Table2[NewPointsHome],Table2[GameDate], "&lt;=" &amp; $A53, Table2[HomeTeam], S$1)</f>
        <v>6</v>
      </c>
      <c r="T53" s="145">
        <f>SUMIFS(Table2[NewPointsAway],Table2[GameDate], "&lt;=" &amp; $A53, Table2[AwayTeam], T$1)+SUMIFS(Table2[NewPointsHome],Table2[GameDate], "&lt;=" &amp; $A53, Table2[HomeTeam], T$1)</f>
        <v>7</v>
      </c>
      <c r="U53" s="145">
        <f>SUMIFS(Table2[NewPointsAway],Table2[GameDate], "&lt;=" &amp; $A53, Table2[AwayTeam], U$1)+SUMIFS(Table2[NewPointsHome],Table2[GameDate], "&lt;=" &amp; $A53, Table2[HomeTeam], U$1)</f>
        <v>5</v>
      </c>
      <c r="V53" s="145">
        <f>SUMIFS(Table2[NewPointsAway],Table2[GameDate], "&lt;=" &amp; $A53, Table2[AwayTeam], V$1)+SUMIFS(Table2[NewPointsHome],Table2[GameDate], "&lt;=" &amp; $A53, Table2[HomeTeam], V$1)</f>
        <v>7</v>
      </c>
      <c r="W53" s="145">
        <f>SUMIFS(Table2[NewPointsAway],Table2[GameDate], "&lt;=" &amp; $A53, Table2[AwayTeam], W$1)+SUMIFS(Table2[NewPointsHome],Table2[GameDate], "&lt;=" &amp; $A53, Table2[HomeTeam], W$1)</f>
        <v>10</v>
      </c>
      <c r="X53" s="145">
        <f>SUMIFS(Table2[NewPointsAway],Table2[GameDate], "&lt;=" &amp; $A53, Table2[AwayTeam], X$1)+SUMIFS(Table2[NewPointsHome],Table2[GameDate], "&lt;=" &amp; $A53, Table2[HomeTeam], X$1)</f>
        <v>8</v>
      </c>
      <c r="Y53" s="145">
        <f>SUMIFS(Table2[NewPointsAway],Table2[GameDate], "&lt;=" &amp; $A53, Table2[AwayTeam], Y$1)+SUMIFS(Table2[NewPointsHome],Table2[GameDate], "&lt;=" &amp; $A53, Table2[HomeTeam], Y$1)</f>
        <v>2</v>
      </c>
      <c r="Z53" s="145">
        <f>SUMIFS(Table2[NewPointsAway],Table2[GameDate], "&lt;=" &amp; $A53, Table2[AwayTeam], Z$1)+SUMIFS(Table2[NewPointsHome],Table2[GameDate], "&lt;=" &amp; $A53, Table2[HomeTeam], Z$1)</f>
        <v>7</v>
      </c>
      <c r="AA53" s="145">
        <f>SUMIFS(Table2[NewPointsAway],Table2[GameDate], "&lt;=" &amp; $A53, Table2[AwayTeam], AA$1)+SUMIFS(Table2[NewPointsHome],Table2[GameDate], "&lt;=" &amp; $A53, Table2[HomeTeam], AA$1)</f>
        <v>4</v>
      </c>
      <c r="AB53" s="145">
        <f>SUMIFS(Table2[NewPointsAway],Table2[GameDate], "&lt;=" &amp; $A53, Table2[AwayTeam], AB$1)+SUMIFS(Table2[NewPointsHome],Table2[GameDate], "&lt;=" &amp; $A53, Table2[HomeTeam], AB$1)</f>
        <v>7</v>
      </c>
      <c r="AC53" s="145">
        <f>SUMIFS(Table2[NewPointsAway],Table2[GameDate], "&lt;=" &amp; $A53, Table2[AwayTeam], AC$1)+SUMIFS(Table2[NewPointsHome],Table2[GameDate], "&lt;=" &amp; $A53, Table2[HomeTeam], AC$1)</f>
        <v>10</v>
      </c>
      <c r="AD53" s="145">
        <f>SUMIFS(Table2[NewPointsAway],Table2[GameDate], "&lt;=" &amp; $A53, Table2[AwayTeam], AD$1)+SUMIFS(Table2[NewPointsHome],Table2[GameDate], "&lt;=" &amp; $A53, Table2[HomeTeam], AD$1)</f>
        <v>8</v>
      </c>
      <c r="AE53" s="145">
        <f>SUMIFS(Table2[NewPointsAway],Table2[GameDate], "&lt;=" &amp; $A53, Table2[AwayTeam], AE$1)+SUMIFS(Table2[NewPointsHome],Table2[GameDate], "&lt;=" &amp; $A53, Table2[HomeTeam], AE$1)</f>
        <v>12</v>
      </c>
      <c r="AF53" s="145">
        <f>SUMIFS(Table2[NewPointsAway],Table2[GameDate], "&lt;=" &amp; $A53, Table2[AwayTeam], AF$1)+SUMIFS(Table2[NewPointsHome],Table2[GameDate], "&lt;=" &amp; $A53, Table2[HomeTeam], AF$1)</f>
        <v>10</v>
      </c>
      <c r="AG53" s="145">
        <f>SUMIFS(Table2[NewPointsAway],Table2[GameDate], "&lt;=" &amp; $A53, Table2[AwayTeam], AG$1)+SUMIFS(Table2[NewPointsHome],Table2[GameDate], "&lt;=" &amp; $A53, Table2[HomeTeam], AG$1)</f>
        <v>10</v>
      </c>
    </row>
    <row r="54" spans="1:33" x14ac:dyDescent="0.25">
      <c r="A54" s="3">
        <v>45985</v>
      </c>
      <c r="B54" s="145">
        <f>SUMIFS(Table2[NewPointsAway],Table2[GameDate], "&lt;=" &amp; $A54, Table2[AwayTeam], B$1)+SUMIFS(Table2[NewPointsHome],Table2[GameDate], "&lt;=" &amp; $A54, Table2[HomeTeam], B$1)</f>
        <v>7</v>
      </c>
      <c r="C54" s="145">
        <f>SUMIFS(Table2[NewPointsAway],Table2[GameDate], "&lt;=" &amp; $A54, Table2[AwayTeam], C$1)+SUMIFS(Table2[NewPointsHome],Table2[GameDate], "&lt;=" &amp; $A54, Table2[HomeTeam], C$1)</f>
        <v>6</v>
      </c>
      <c r="D54" s="145">
        <f>SUMIFS(Table2[NewPointsAway],Table2[GameDate], "&lt;=" &amp; $A54, Table2[AwayTeam], D$1)+SUMIFS(Table2[NewPointsHome],Table2[GameDate], "&lt;=" &amp; $A54, Table2[HomeTeam], D$1)</f>
        <v>4</v>
      </c>
      <c r="E54" s="145">
        <f>SUMIFS(Table2[NewPointsAway],Table2[GameDate], "&lt;=" &amp; $A54, Table2[AwayTeam], E$1)+SUMIFS(Table2[NewPointsHome],Table2[GameDate], "&lt;=" &amp; $A54, Table2[HomeTeam], E$1)</f>
        <v>10</v>
      </c>
      <c r="F54" s="145">
        <f>SUMIFS(Table2[NewPointsAway],Table2[GameDate], "&lt;=" &amp; $A54, Table2[AwayTeam], F$1)+SUMIFS(Table2[NewPointsHome],Table2[GameDate], "&lt;=" &amp; $A54, Table2[HomeTeam], F$1)</f>
        <v>6</v>
      </c>
      <c r="G54" s="145">
        <f>SUMIFS(Table2[NewPointsAway],Table2[GameDate], "&lt;=" &amp; $A54, Table2[AwayTeam], G$1)+SUMIFS(Table2[NewPointsHome],Table2[GameDate], "&lt;=" &amp; $A54, Table2[HomeTeam], G$1)</f>
        <v>2</v>
      </c>
      <c r="H54" s="145">
        <f>SUMIFS(Table2[NewPointsAway],Table2[GameDate], "&lt;=" &amp; $A54, Table2[AwayTeam], H$1)+SUMIFS(Table2[NewPointsHome],Table2[GameDate], "&lt;=" &amp; $A54, Table2[HomeTeam], H$1)</f>
        <v>8</v>
      </c>
      <c r="I54" s="145">
        <f>SUMIFS(Table2[NewPointsAway],Table2[GameDate], "&lt;=" &amp; $A54, Table2[AwayTeam], I$1)+SUMIFS(Table2[NewPointsHome],Table2[GameDate], "&lt;=" &amp; $A54, Table2[HomeTeam], I$1)</f>
        <v>12</v>
      </c>
      <c r="J54" s="145">
        <f>SUMIFS(Table2[NewPointsAway],Table2[GameDate], "&lt;=" &amp; $A54, Table2[AwayTeam], J$1)+SUMIFS(Table2[NewPointsHome],Table2[GameDate], "&lt;=" &amp; $A54, Table2[HomeTeam], J$1)</f>
        <v>6</v>
      </c>
      <c r="K54" s="145">
        <f>SUMIFS(Table2[NewPointsAway],Table2[GameDate], "&lt;=" &amp; $A54, Table2[AwayTeam], K$1)+SUMIFS(Table2[NewPointsHome],Table2[GameDate], "&lt;=" &amp; $A54, Table2[HomeTeam], K$1)</f>
        <v>10</v>
      </c>
      <c r="L54" s="145">
        <f>SUMIFS(Table2[NewPointsAway],Table2[GameDate], "&lt;=" &amp; $A54, Table2[AwayTeam], L$1)+SUMIFS(Table2[NewPointsHome],Table2[GameDate], "&lt;=" &amp; $A54, Table2[HomeTeam], L$1)</f>
        <v>7</v>
      </c>
      <c r="M54" s="145">
        <f>SUMIFS(Table2[NewPointsAway],Table2[GameDate], "&lt;=" &amp; $A54, Table2[AwayTeam], M$1)+SUMIFS(Table2[NewPointsHome],Table2[GameDate], "&lt;=" &amp; $A54, Table2[HomeTeam], M$1)</f>
        <v>8</v>
      </c>
      <c r="N54" s="145">
        <f>SUMIFS(Table2[NewPointsAway],Table2[GameDate], "&lt;=" &amp; $A54, Table2[AwayTeam], N$1)+SUMIFS(Table2[NewPointsHome],Table2[GameDate], "&lt;=" &amp; $A54, Table2[HomeTeam], N$1)</f>
        <v>6</v>
      </c>
      <c r="O54" s="145">
        <f>SUMIFS(Table2[NewPointsAway],Table2[GameDate], "&lt;=" &amp; $A54, Table2[AwayTeam], O$1)+SUMIFS(Table2[NewPointsHome],Table2[GameDate], "&lt;=" &amp; $A54, Table2[HomeTeam], O$1)</f>
        <v>7</v>
      </c>
      <c r="P54" s="145">
        <f>SUMIFS(Table2[NewPointsAway],Table2[GameDate], "&lt;=" &amp; $A54, Table2[AwayTeam], P$1)+SUMIFS(Table2[NewPointsHome],Table2[GameDate], "&lt;=" &amp; $A54, Table2[HomeTeam], P$1)</f>
        <v>10</v>
      </c>
      <c r="Q54" s="145">
        <f>SUMIFS(Table2[NewPointsAway],Table2[GameDate], "&lt;=" &amp; $A54, Table2[AwayTeam], Q$1)+SUMIFS(Table2[NewPointsHome],Table2[GameDate], "&lt;=" &amp; $A54, Table2[HomeTeam], Q$1)</f>
        <v>10</v>
      </c>
      <c r="R54" s="145">
        <f>SUMIFS(Table2[NewPointsAway],Table2[GameDate], "&lt;=" &amp; $A54, Table2[AwayTeam], R$1)+SUMIFS(Table2[NewPointsHome],Table2[GameDate], "&lt;=" &amp; $A54, Table2[HomeTeam], R$1)</f>
        <v>6</v>
      </c>
      <c r="S54" s="145">
        <f>SUMIFS(Table2[NewPointsAway],Table2[GameDate], "&lt;=" &amp; $A54, Table2[AwayTeam], S$1)+SUMIFS(Table2[NewPointsHome],Table2[GameDate], "&lt;=" &amp; $A54, Table2[HomeTeam], S$1)</f>
        <v>6</v>
      </c>
      <c r="T54" s="145">
        <f>SUMIFS(Table2[NewPointsAway],Table2[GameDate], "&lt;=" &amp; $A54, Table2[AwayTeam], T$1)+SUMIFS(Table2[NewPointsHome],Table2[GameDate], "&lt;=" &amp; $A54, Table2[HomeTeam], T$1)</f>
        <v>7</v>
      </c>
      <c r="U54" s="145">
        <f>SUMIFS(Table2[NewPointsAway],Table2[GameDate], "&lt;=" &amp; $A54, Table2[AwayTeam], U$1)+SUMIFS(Table2[NewPointsHome],Table2[GameDate], "&lt;=" &amp; $A54, Table2[HomeTeam], U$1)</f>
        <v>5</v>
      </c>
      <c r="V54" s="145">
        <f>SUMIFS(Table2[NewPointsAway],Table2[GameDate], "&lt;=" &amp; $A54, Table2[AwayTeam], V$1)+SUMIFS(Table2[NewPointsHome],Table2[GameDate], "&lt;=" &amp; $A54, Table2[HomeTeam], V$1)</f>
        <v>7</v>
      </c>
      <c r="W54" s="145">
        <f>SUMIFS(Table2[NewPointsAway],Table2[GameDate], "&lt;=" &amp; $A54, Table2[AwayTeam], W$1)+SUMIFS(Table2[NewPointsHome],Table2[GameDate], "&lt;=" &amp; $A54, Table2[HomeTeam], W$1)</f>
        <v>10</v>
      </c>
      <c r="X54" s="145">
        <f>SUMIFS(Table2[NewPointsAway],Table2[GameDate], "&lt;=" &amp; $A54, Table2[AwayTeam], X$1)+SUMIFS(Table2[NewPointsHome],Table2[GameDate], "&lt;=" &amp; $A54, Table2[HomeTeam], X$1)</f>
        <v>8</v>
      </c>
      <c r="Y54" s="145">
        <f>SUMIFS(Table2[NewPointsAway],Table2[GameDate], "&lt;=" &amp; $A54, Table2[AwayTeam], Y$1)+SUMIFS(Table2[NewPointsHome],Table2[GameDate], "&lt;=" &amp; $A54, Table2[HomeTeam], Y$1)</f>
        <v>2</v>
      </c>
      <c r="Z54" s="145">
        <f>SUMIFS(Table2[NewPointsAway],Table2[GameDate], "&lt;=" &amp; $A54, Table2[AwayTeam], Z$1)+SUMIFS(Table2[NewPointsHome],Table2[GameDate], "&lt;=" &amp; $A54, Table2[HomeTeam], Z$1)</f>
        <v>7</v>
      </c>
      <c r="AA54" s="145">
        <f>SUMIFS(Table2[NewPointsAway],Table2[GameDate], "&lt;=" &amp; $A54, Table2[AwayTeam], AA$1)+SUMIFS(Table2[NewPointsHome],Table2[GameDate], "&lt;=" &amp; $A54, Table2[HomeTeam], AA$1)</f>
        <v>4</v>
      </c>
      <c r="AB54" s="145">
        <f>SUMIFS(Table2[NewPointsAway],Table2[GameDate], "&lt;=" &amp; $A54, Table2[AwayTeam], AB$1)+SUMIFS(Table2[NewPointsHome],Table2[GameDate], "&lt;=" &amp; $A54, Table2[HomeTeam], AB$1)</f>
        <v>7</v>
      </c>
      <c r="AC54" s="145">
        <f>SUMIFS(Table2[NewPointsAway],Table2[GameDate], "&lt;=" &amp; $A54, Table2[AwayTeam], AC$1)+SUMIFS(Table2[NewPointsHome],Table2[GameDate], "&lt;=" &amp; $A54, Table2[HomeTeam], AC$1)</f>
        <v>10</v>
      </c>
      <c r="AD54" s="145">
        <f>SUMIFS(Table2[NewPointsAway],Table2[GameDate], "&lt;=" &amp; $A54, Table2[AwayTeam], AD$1)+SUMIFS(Table2[NewPointsHome],Table2[GameDate], "&lt;=" &amp; $A54, Table2[HomeTeam], AD$1)</f>
        <v>8</v>
      </c>
      <c r="AE54" s="145">
        <f>SUMIFS(Table2[NewPointsAway],Table2[GameDate], "&lt;=" &amp; $A54, Table2[AwayTeam], AE$1)+SUMIFS(Table2[NewPointsHome],Table2[GameDate], "&lt;=" &amp; $A54, Table2[HomeTeam], AE$1)</f>
        <v>12</v>
      </c>
      <c r="AF54" s="145">
        <f>SUMIFS(Table2[NewPointsAway],Table2[GameDate], "&lt;=" &amp; $A54, Table2[AwayTeam], AF$1)+SUMIFS(Table2[NewPointsHome],Table2[GameDate], "&lt;=" &amp; $A54, Table2[HomeTeam], AF$1)</f>
        <v>10</v>
      </c>
      <c r="AG54" s="145">
        <f>SUMIFS(Table2[NewPointsAway],Table2[GameDate], "&lt;=" &amp; $A54, Table2[AwayTeam], AG$1)+SUMIFS(Table2[NewPointsHome],Table2[GameDate], "&lt;=" &amp; $A54, Table2[HomeTeam], AG$1)</f>
        <v>10</v>
      </c>
    </row>
    <row r="55" spans="1:33" x14ac:dyDescent="0.25">
      <c r="A55" s="3">
        <v>45986</v>
      </c>
      <c r="B55" s="145">
        <f>SUMIFS(Table2[NewPointsAway],Table2[GameDate], "&lt;=" &amp; $A55, Table2[AwayTeam], B$1)+SUMIFS(Table2[NewPointsHome],Table2[GameDate], "&lt;=" &amp; $A55, Table2[HomeTeam], B$1)</f>
        <v>7</v>
      </c>
      <c r="C55" s="145">
        <f>SUMIFS(Table2[NewPointsAway],Table2[GameDate], "&lt;=" &amp; $A55, Table2[AwayTeam], C$1)+SUMIFS(Table2[NewPointsHome],Table2[GameDate], "&lt;=" &amp; $A55, Table2[HomeTeam], C$1)</f>
        <v>6</v>
      </c>
      <c r="D55" s="145">
        <f>SUMIFS(Table2[NewPointsAway],Table2[GameDate], "&lt;=" &amp; $A55, Table2[AwayTeam], D$1)+SUMIFS(Table2[NewPointsHome],Table2[GameDate], "&lt;=" &amp; $A55, Table2[HomeTeam], D$1)</f>
        <v>4</v>
      </c>
      <c r="E55" s="145">
        <f>SUMIFS(Table2[NewPointsAway],Table2[GameDate], "&lt;=" &amp; $A55, Table2[AwayTeam], E$1)+SUMIFS(Table2[NewPointsHome],Table2[GameDate], "&lt;=" &amp; $A55, Table2[HomeTeam], E$1)</f>
        <v>10</v>
      </c>
      <c r="F55" s="145">
        <f>SUMIFS(Table2[NewPointsAway],Table2[GameDate], "&lt;=" &amp; $A55, Table2[AwayTeam], F$1)+SUMIFS(Table2[NewPointsHome],Table2[GameDate], "&lt;=" &amp; $A55, Table2[HomeTeam], F$1)</f>
        <v>6</v>
      </c>
      <c r="G55" s="145">
        <f>SUMIFS(Table2[NewPointsAway],Table2[GameDate], "&lt;=" &amp; $A55, Table2[AwayTeam], G$1)+SUMIFS(Table2[NewPointsHome],Table2[GameDate], "&lt;=" &amp; $A55, Table2[HomeTeam], G$1)</f>
        <v>2</v>
      </c>
      <c r="H55" s="145">
        <f>SUMIFS(Table2[NewPointsAway],Table2[GameDate], "&lt;=" &amp; $A55, Table2[AwayTeam], H$1)+SUMIFS(Table2[NewPointsHome],Table2[GameDate], "&lt;=" &amp; $A55, Table2[HomeTeam], H$1)</f>
        <v>8</v>
      </c>
      <c r="I55" s="145">
        <f>SUMIFS(Table2[NewPointsAway],Table2[GameDate], "&lt;=" &amp; $A55, Table2[AwayTeam], I$1)+SUMIFS(Table2[NewPointsHome],Table2[GameDate], "&lt;=" &amp; $A55, Table2[HomeTeam], I$1)</f>
        <v>12</v>
      </c>
      <c r="J55" s="145">
        <f>SUMIFS(Table2[NewPointsAway],Table2[GameDate], "&lt;=" &amp; $A55, Table2[AwayTeam], J$1)+SUMIFS(Table2[NewPointsHome],Table2[GameDate], "&lt;=" &amp; $A55, Table2[HomeTeam], J$1)</f>
        <v>6</v>
      </c>
      <c r="K55" s="145">
        <f>SUMIFS(Table2[NewPointsAway],Table2[GameDate], "&lt;=" &amp; $A55, Table2[AwayTeam], K$1)+SUMIFS(Table2[NewPointsHome],Table2[GameDate], "&lt;=" &amp; $A55, Table2[HomeTeam], K$1)</f>
        <v>10</v>
      </c>
      <c r="L55" s="145">
        <f>SUMIFS(Table2[NewPointsAway],Table2[GameDate], "&lt;=" &amp; $A55, Table2[AwayTeam], L$1)+SUMIFS(Table2[NewPointsHome],Table2[GameDate], "&lt;=" &amp; $A55, Table2[HomeTeam], L$1)</f>
        <v>7</v>
      </c>
      <c r="M55" s="145">
        <f>SUMIFS(Table2[NewPointsAway],Table2[GameDate], "&lt;=" &amp; $A55, Table2[AwayTeam], M$1)+SUMIFS(Table2[NewPointsHome],Table2[GameDate], "&lt;=" &amp; $A55, Table2[HomeTeam], M$1)</f>
        <v>8</v>
      </c>
      <c r="N55" s="145">
        <f>SUMIFS(Table2[NewPointsAway],Table2[GameDate], "&lt;=" &amp; $A55, Table2[AwayTeam], N$1)+SUMIFS(Table2[NewPointsHome],Table2[GameDate], "&lt;=" &amp; $A55, Table2[HomeTeam], N$1)</f>
        <v>6</v>
      </c>
      <c r="O55" s="145">
        <f>SUMIFS(Table2[NewPointsAway],Table2[GameDate], "&lt;=" &amp; $A55, Table2[AwayTeam], O$1)+SUMIFS(Table2[NewPointsHome],Table2[GameDate], "&lt;=" &amp; $A55, Table2[HomeTeam], O$1)</f>
        <v>7</v>
      </c>
      <c r="P55" s="145">
        <f>SUMIFS(Table2[NewPointsAway],Table2[GameDate], "&lt;=" &amp; $A55, Table2[AwayTeam], P$1)+SUMIFS(Table2[NewPointsHome],Table2[GameDate], "&lt;=" &amp; $A55, Table2[HomeTeam], P$1)</f>
        <v>10</v>
      </c>
      <c r="Q55" s="145">
        <f>SUMIFS(Table2[NewPointsAway],Table2[GameDate], "&lt;=" &amp; $A55, Table2[AwayTeam], Q$1)+SUMIFS(Table2[NewPointsHome],Table2[GameDate], "&lt;=" &amp; $A55, Table2[HomeTeam], Q$1)</f>
        <v>10</v>
      </c>
      <c r="R55" s="145">
        <f>SUMIFS(Table2[NewPointsAway],Table2[GameDate], "&lt;=" &amp; $A55, Table2[AwayTeam], R$1)+SUMIFS(Table2[NewPointsHome],Table2[GameDate], "&lt;=" &amp; $A55, Table2[HomeTeam], R$1)</f>
        <v>6</v>
      </c>
      <c r="S55" s="145">
        <f>SUMIFS(Table2[NewPointsAway],Table2[GameDate], "&lt;=" &amp; $A55, Table2[AwayTeam], S$1)+SUMIFS(Table2[NewPointsHome],Table2[GameDate], "&lt;=" &amp; $A55, Table2[HomeTeam], S$1)</f>
        <v>6</v>
      </c>
      <c r="T55" s="145">
        <f>SUMIFS(Table2[NewPointsAway],Table2[GameDate], "&lt;=" &amp; $A55, Table2[AwayTeam], T$1)+SUMIFS(Table2[NewPointsHome],Table2[GameDate], "&lt;=" &amp; $A55, Table2[HomeTeam], T$1)</f>
        <v>7</v>
      </c>
      <c r="U55" s="145">
        <f>SUMIFS(Table2[NewPointsAway],Table2[GameDate], "&lt;=" &amp; $A55, Table2[AwayTeam], U$1)+SUMIFS(Table2[NewPointsHome],Table2[GameDate], "&lt;=" &amp; $A55, Table2[HomeTeam], U$1)</f>
        <v>5</v>
      </c>
      <c r="V55" s="145">
        <f>SUMIFS(Table2[NewPointsAway],Table2[GameDate], "&lt;=" &amp; $A55, Table2[AwayTeam], V$1)+SUMIFS(Table2[NewPointsHome],Table2[GameDate], "&lt;=" &amp; $A55, Table2[HomeTeam], V$1)</f>
        <v>7</v>
      </c>
      <c r="W55" s="145">
        <f>SUMIFS(Table2[NewPointsAway],Table2[GameDate], "&lt;=" &amp; $A55, Table2[AwayTeam], W$1)+SUMIFS(Table2[NewPointsHome],Table2[GameDate], "&lt;=" &amp; $A55, Table2[HomeTeam], W$1)</f>
        <v>10</v>
      </c>
      <c r="X55" s="145">
        <f>SUMIFS(Table2[NewPointsAway],Table2[GameDate], "&lt;=" &amp; $A55, Table2[AwayTeam], X$1)+SUMIFS(Table2[NewPointsHome],Table2[GameDate], "&lt;=" &amp; $A55, Table2[HomeTeam], X$1)</f>
        <v>8</v>
      </c>
      <c r="Y55" s="145">
        <f>SUMIFS(Table2[NewPointsAway],Table2[GameDate], "&lt;=" &amp; $A55, Table2[AwayTeam], Y$1)+SUMIFS(Table2[NewPointsHome],Table2[GameDate], "&lt;=" &amp; $A55, Table2[HomeTeam], Y$1)</f>
        <v>2</v>
      </c>
      <c r="Z55" s="145">
        <f>SUMIFS(Table2[NewPointsAway],Table2[GameDate], "&lt;=" &amp; $A55, Table2[AwayTeam], Z$1)+SUMIFS(Table2[NewPointsHome],Table2[GameDate], "&lt;=" &amp; $A55, Table2[HomeTeam], Z$1)</f>
        <v>7</v>
      </c>
      <c r="AA55" s="145">
        <f>SUMIFS(Table2[NewPointsAway],Table2[GameDate], "&lt;=" &amp; $A55, Table2[AwayTeam], AA$1)+SUMIFS(Table2[NewPointsHome],Table2[GameDate], "&lt;=" &amp; $A55, Table2[HomeTeam], AA$1)</f>
        <v>4</v>
      </c>
      <c r="AB55" s="145">
        <f>SUMIFS(Table2[NewPointsAway],Table2[GameDate], "&lt;=" &amp; $A55, Table2[AwayTeam], AB$1)+SUMIFS(Table2[NewPointsHome],Table2[GameDate], "&lt;=" &amp; $A55, Table2[HomeTeam], AB$1)</f>
        <v>7</v>
      </c>
      <c r="AC55" s="145">
        <f>SUMIFS(Table2[NewPointsAway],Table2[GameDate], "&lt;=" &amp; $A55, Table2[AwayTeam], AC$1)+SUMIFS(Table2[NewPointsHome],Table2[GameDate], "&lt;=" &amp; $A55, Table2[HomeTeam], AC$1)</f>
        <v>10</v>
      </c>
      <c r="AD55" s="145">
        <f>SUMIFS(Table2[NewPointsAway],Table2[GameDate], "&lt;=" &amp; $A55, Table2[AwayTeam], AD$1)+SUMIFS(Table2[NewPointsHome],Table2[GameDate], "&lt;=" &amp; $A55, Table2[HomeTeam], AD$1)</f>
        <v>8</v>
      </c>
      <c r="AE55" s="145">
        <f>SUMIFS(Table2[NewPointsAway],Table2[GameDate], "&lt;=" &amp; $A55, Table2[AwayTeam], AE$1)+SUMIFS(Table2[NewPointsHome],Table2[GameDate], "&lt;=" &amp; $A55, Table2[HomeTeam], AE$1)</f>
        <v>12</v>
      </c>
      <c r="AF55" s="145">
        <f>SUMIFS(Table2[NewPointsAway],Table2[GameDate], "&lt;=" &amp; $A55, Table2[AwayTeam], AF$1)+SUMIFS(Table2[NewPointsHome],Table2[GameDate], "&lt;=" &amp; $A55, Table2[HomeTeam], AF$1)</f>
        <v>10</v>
      </c>
      <c r="AG55" s="145">
        <f>SUMIFS(Table2[NewPointsAway],Table2[GameDate], "&lt;=" &amp; $A55, Table2[AwayTeam], AG$1)+SUMIFS(Table2[NewPointsHome],Table2[GameDate], "&lt;=" &amp; $A55, Table2[HomeTeam], AG$1)</f>
        <v>10</v>
      </c>
    </row>
    <row r="56" spans="1:33" x14ac:dyDescent="0.25">
      <c r="A56" s="3">
        <v>45987</v>
      </c>
      <c r="B56" s="145">
        <f>SUMIFS(Table2[NewPointsAway],Table2[GameDate], "&lt;=" &amp; $A56, Table2[AwayTeam], B$1)+SUMIFS(Table2[NewPointsHome],Table2[GameDate], "&lt;=" &amp; $A56, Table2[HomeTeam], B$1)</f>
        <v>7</v>
      </c>
      <c r="C56" s="145">
        <f>SUMIFS(Table2[NewPointsAway],Table2[GameDate], "&lt;=" &amp; $A56, Table2[AwayTeam], C$1)+SUMIFS(Table2[NewPointsHome],Table2[GameDate], "&lt;=" &amp; $A56, Table2[HomeTeam], C$1)</f>
        <v>6</v>
      </c>
      <c r="D56" s="145">
        <f>SUMIFS(Table2[NewPointsAway],Table2[GameDate], "&lt;=" &amp; $A56, Table2[AwayTeam], D$1)+SUMIFS(Table2[NewPointsHome],Table2[GameDate], "&lt;=" &amp; $A56, Table2[HomeTeam], D$1)</f>
        <v>4</v>
      </c>
      <c r="E56" s="145">
        <f>SUMIFS(Table2[NewPointsAway],Table2[GameDate], "&lt;=" &amp; $A56, Table2[AwayTeam], E$1)+SUMIFS(Table2[NewPointsHome],Table2[GameDate], "&lt;=" &amp; $A56, Table2[HomeTeam], E$1)</f>
        <v>10</v>
      </c>
      <c r="F56" s="145">
        <f>SUMIFS(Table2[NewPointsAway],Table2[GameDate], "&lt;=" &amp; $A56, Table2[AwayTeam], F$1)+SUMIFS(Table2[NewPointsHome],Table2[GameDate], "&lt;=" &amp; $A56, Table2[HomeTeam], F$1)</f>
        <v>6</v>
      </c>
      <c r="G56" s="145">
        <f>SUMIFS(Table2[NewPointsAway],Table2[GameDate], "&lt;=" &amp; $A56, Table2[AwayTeam], G$1)+SUMIFS(Table2[NewPointsHome],Table2[GameDate], "&lt;=" &amp; $A56, Table2[HomeTeam], G$1)</f>
        <v>2</v>
      </c>
      <c r="H56" s="145">
        <f>SUMIFS(Table2[NewPointsAway],Table2[GameDate], "&lt;=" &amp; $A56, Table2[AwayTeam], H$1)+SUMIFS(Table2[NewPointsHome],Table2[GameDate], "&lt;=" &amp; $A56, Table2[HomeTeam], H$1)</f>
        <v>8</v>
      </c>
      <c r="I56" s="145">
        <f>SUMIFS(Table2[NewPointsAway],Table2[GameDate], "&lt;=" &amp; $A56, Table2[AwayTeam], I$1)+SUMIFS(Table2[NewPointsHome],Table2[GameDate], "&lt;=" &amp; $A56, Table2[HomeTeam], I$1)</f>
        <v>12</v>
      </c>
      <c r="J56" s="145">
        <f>SUMIFS(Table2[NewPointsAway],Table2[GameDate], "&lt;=" &amp; $A56, Table2[AwayTeam], J$1)+SUMIFS(Table2[NewPointsHome],Table2[GameDate], "&lt;=" &amp; $A56, Table2[HomeTeam], J$1)</f>
        <v>6</v>
      </c>
      <c r="K56" s="145">
        <f>SUMIFS(Table2[NewPointsAway],Table2[GameDate], "&lt;=" &amp; $A56, Table2[AwayTeam], K$1)+SUMIFS(Table2[NewPointsHome],Table2[GameDate], "&lt;=" &amp; $A56, Table2[HomeTeam], K$1)</f>
        <v>10</v>
      </c>
      <c r="L56" s="145">
        <f>SUMIFS(Table2[NewPointsAway],Table2[GameDate], "&lt;=" &amp; $A56, Table2[AwayTeam], L$1)+SUMIFS(Table2[NewPointsHome],Table2[GameDate], "&lt;=" &amp; $A56, Table2[HomeTeam], L$1)</f>
        <v>7</v>
      </c>
      <c r="M56" s="145">
        <f>SUMIFS(Table2[NewPointsAway],Table2[GameDate], "&lt;=" &amp; $A56, Table2[AwayTeam], M$1)+SUMIFS(Table2[NewPointsHome],Table2[GameDate], "&lt;=" &amp; $A56, Table2[HomeTeam], M$1)</f>
        <v>8</v>
      </c>
      <c r="N56" s="145">
        <f>SUMIFS(Table2[NewPointsAway],Table2[GameDate], "&lt;=" &amp; $A56, Table2[AwayTeam], N$1)+SUMIFS(Table2[NewPointsHome],Table2[GameDate], "&lt;=" &amp; $A56, Table2[HomeTeam], N$1)</f>
        <v>6</v>
      </c>
      <c r="O56" s="145">
        <f>SUMIFS(Table2[NewPointsAway],Table2[GameDate], "&lt;=" &amp; $A56, Table2[AwayTeam], O$1)+SUMIFS(Table2[NewPointsHome],Table2[GameDate], "&lt;=" &amp; $A56, Table2[HomeTeam], O$1)</f>
        <v>7</v>
      </c>
      <c r="P56" s="145">
        <f>SUMIFS(Table2[NewPointsAway],Table2[GameDate], "&lt;=" &amp; $A56, Table2[AwayTeam], P$1)+SUMIFS(Table2[NewPointsHome],Table2[GameDate], "&lt;=" &amp; $A56, Table2[HomeTeam], P$1)</f>
        <v>10</v>
      </c>
      <c r="Q56" s="145">
        <f>SUMIFS(Table2[NewPointsAway],Table2[GameDate], "&lt;=" &amp; $A56, Table2[AwayTeam], Q$1)+SUMIFS(Table2[NewPointsHome],Table2[GameDate], "&lt;=" &amp; $A56, Table2[HomeTeam], Q$1)</f>
        <v>10</v>
      </c>
      <c r="R56" s="145">
        <f>SUMIFS(Table2[NewPointsAway],Table2[GameDate], "&lt;=" &amp; $A56, Table2[AwayTeam], R$1)+SUMIFS(Table2[NewPointsHome],Table2[GameDate], "&lt;=" &amp; $A56, Table2[HomeTeam], R$1)</f>
        <v>6</v>
      </c>
      <c r="S56" s="145">
        <f>SUMIFS(Table2[NewPointsAway],Table2[GameDate], "&lt;=" &amp; $A56, Table2[AwayTeam], S$1)+SUMIFS(Table2[NewPointsHome],Table2[GameDate], "&lt;=" &amp; $A56, Table2[HomeTeam], S$1)</f>
        <v>6</v>
      </c>
      <c r="T56" s="145">
        <f>SUMIFS(Table2[NewPointsAway],Table2[GameDate], "&lt;=" &amp; $A56, Table2[AwayTeam], T$1)+SUMIFS(Table2[NewPointsHome],Table2[GameDate], "&lt;=" &amp; $A56, Table2[HomeTeam], T$1)</f>
        <v>7</v>
      </c>
      <c r="U56" s="145">
        <f>SUMIFS(Table2[NewPointsAway],Table2[GameDate], "&lt;=" &amp; $A56, Table2[AwayTeam], U$1)+SUMIFS(Table2[NewPointsHome],Table2[GameDate], "&lt;=" &amp; $A56, Table2[HomeTeam], U$1)</f>
        <v>5</v>
      </c>
      <c r="V56" s="145">
        <f>SUMIFS(Table2[NewPointsAway],Table2[GameDate], "&lt;=" &amp; $A56, Table2[AwayTeam], V$1)+SUMIFS(Table2[NewPointsHome],Table2[GameDate], "&lt;=" &amp; $A56, Table2[HomeTeam], V$1)</f>
        <v>7</v>
      </c>
      <c r="W56" s="145">
        <f>SUMIFS(Table2[NewPointsAway],Table2[GameDate], "&lt;=" &amp; $A56, Table2[AwayTeam], W$1)+SUMIFS(Table2[NewPointsHome],Table2[GameDate], "&lt;=" &amp; $A56, Table2[HomeTeam], W$1)</f>
        <v>10</v>
      </c>
      <c r="X56" s="145">
        <f>SUMIFS(Table2[NewPointsAway],Table2[GameDate], "&lt;=" &amp; $A56, Table2[AwayTeam], X$1)+SUMIFS(Table2[NewPointsHome],Table2[GameDate], "&lt;=" &amp; $A56, Table2[HomeTeam], X$1)</f>
        <v>8</v>
      </c>
      <c r="Y56" s="145">
        <f>SUMIFS(Table2[NewPointsAway],Table2[GameDate], "&lt;=" &amp; $A56, Table2[AwayTeam], Y$1)+SUMIFS(Table2[NewPointsHome],Table2[GameDate], "&lt;=" &amp; $A56, Table2[HomeTeam], Y$1)</f>
        <v>2</v>
      </c>
      <c r="Z56" s="145">
        <f>SUMIFS(Table2[NewPointsAway],Table2[GameDate], "&lt;=" &amp; $A56, Table2[AwayTeam], Z$1)+SUMIFS(Table2[NewPointsHome],Table2[GameDate], "&lt;=" &amp; $A56, Table2[HomeTeam], Z$1)</f>
        <v>7</v>
      </c>
      <c r="AA56" s="145">
        <f>SUMIFS(Table2[NewPointsAway],Table2[GameDate], "&lt;=" &amp; $A56, Table2[AwayTeam], AA$1)+SUMIFS(Table2[NewPointsHome],Table2[GameDate], "&lt;=" &amp; $A56, Table2[HomeTeam], AA$1)</f>
        <v>4</v>
      </c>
      <c r="AB56" s="145">
        <f>SUMIFS(Table2[NewPointsAway],Table2[GameDate], "&lt;=" &amp; $A56, Table2[AwayTeam], AB$1)+SUMIFS(Table2[NewPointsHome],Table2[GameDate], "&lt;=" &amp; $A56, Table2[HomeTeam], AB$1)</f>
        <v>7</v>
      </c>
      <c r="AC56" s="145">
        <f>SUMIFS(Table2[NewPointsAway],Table2[GameDate], "&lt;=" &amp; $A56, Table2[AwayTeam], AC$1)+SUMIFS(Table2[NewPointsHome],Table2[GameDate], "&lt;=" &amp; $A56, Table2[HomeTeam], AC$1)</f>
        <v>10</v>
      </c>
      <c r="AD56" s="145">
        <f>SUMIFS(Table2[NewPointsAway],Table2[GameDate], "&lt;=" &amp; $A56, Table2[AwayTeam], AD$1)+SUMIFS(Table2[NewPointsHome],Table2[GameDate], "&lt;=" &amp; $A56, Table2[HomeTeam], AD$1)</f>
        <v>8</v>
      </c>
      <c r="AE56" s="145">
        <f>SUMIFS(Table2[NewPointsAway],Table2[GameDate], "&lt;=" &amp; $A56, Table2[AwayTeam], AE$1)+SUMIFS(Table2[NewPointsHome],Table2[GameDate], "&lt;=" &amp; $A56, Table2[HomeTeam], AE$1)</f>
        <v>12</v>
      </c>
      <c r="AF56" s="145">
        <f>SUMIFS(Table2[NewPointsAway],Table2[GameDate], "&lt;=" &amp; $A56, Table2[AwayTeam], AF$1)+SUMIFS(Table2[NewPointsHome],Table2[GameDate], "&lt;=" &amp; $A56, Table2[HomeTeam], AF$1)</f>
        <v>10</v>
      </c>
      <c r="AG56" s="145">
        <f>SUMIFS(Table2[NewPointsAway],Table2[GameDate], "&lt;=" &amp; $A56, Table2[AwayTeam], AG$1)+SUMIFS(Table2[NewPointsHome],Table2[GameDate], "&lt;=" &amp; $A56, Table2[HomeTeam], AG$1)</f>
        <v>10</v>
      </c>
    </row>
    <row r="57" spans="1:33" x14ac:dyDescent="0.25">
      <c r="A57" s="3">
        <v>45988</v>
      </c>
      <c r="B57" s="145">
        <f>SUMIFS(Table2[NewPointsAway],Table2[GameDate], "&lt;=" &amp; $A57, Table2[AwayTeam], B$1)+SUMIFS(Table2[NewPointsHome],Table2[GameDate], "&lt;=" &amp; $A57, Table2[HomeTeam], B$1)</f>
        <v>7</v>
      </c>
      <c r="C57" s="145">
        <f>SUMIFS(Table2[NewPointsAway],Table2[GameDate], "&lt;=" &amp; $A57, Table2[AwayTeam], C$1)+SUMIFS(Table2[NewPointsHome],Table2[GameDate], "&lt;=" &amp; $A57, Table2[HomeTeam], C$1)</f>
        <v>6</v>
      </c>
      <c r="D57" s="145">
        <f>SUMIFS(Table2[NewPointsAway],Table2[GameDate], "&lt;=" &amp; $A57, Table2[AwayTeam], D$1)+SUMIFS(Table2[NewPointsHome],Table2[GameDate], "&lt;=" &amp; $A57, Table2[HomeTeam], D$1)</f>
        <v>4</v>
      </c>
      <c r="E57" s="145">
        <f>SUMIFS(Table2[NewPointsAway],Table2[GameDate], "&lt;=" &amp; $A57, Table2[AwayTeam], E$1)+SUMIFS(Table2[NewPointsHome],Table2[GameDate], "&lt;=" &amp; $A57, Table2[HomeTeam], E$1)</f>
        <v>10</v>
      </c>
      <c r="F57" s="145">
        <f>SUMIFS(Table2[NewPointsAway],Table2[GameDate], "&lt;=" &amp; $A57, Table2[AwayTeam], F$1)+SUMIFS(Table2[NewPointsHome],Table2[GameDate], "&lt;=" &amp; $A57, Table2[HomeTeam], F$1)</f>
        <v>6</v>
      </c>
      <c r="G57" s="145">
        <f>SUMIFS(Table2[NewPointsAway],Table2[GameDate], "&lt;=" &amp; $A57, Table2[AwayTeam], G$1)+SUMIFS(Table2[NewPointsHome],Table2[GameDate], "&lt;=" &amp; $A57, Table2[HomeTeam], G$1)</f>
        <v>2</v>
      </c>
      <c r="H57" s="145">
        <f>SUMIFS(Table2[NewPointsAway],Table2[GameDate], "&lt;=" &amp; $A57, Table2[AwayTeam], H$1)+SUMIFS(Table2[NewPointsHome],Table2[GameDate], "&lt;=" &amp; $A57, Table2[HomeTeam], H$1)</f>
        <v>8</v>
      </c>
      <c r="I57" s="145">
        <f>SUMIFS(Table2[NewPointsAway],Table2[GameDate], "&lt;=" &amp; $A57, Table2[AwayTeam], I$1)+SUMIFS(Table2[NewPointsHome],Table2[GameDate], "&lt;=" &amp; $A57, Table2[HomeTeam], I$1)</f>
        <v>12</v>
      </c>
      <c r="J57" s="145">
        <f>SUMIFS(Table2[NewPointsAway],Table2[GameDate], "&lt;=" &amp; $A57, Table2[AwayTeam], J$1)+SUMIFS(Table2[NewPointsHome],Table2[GameDate], "&lt;=" &amp; $A57, Table2[HomeTeam], J$1)</f>
        <v>6</v>
      </c>
      <c r="K57" s="145">
        <f>SUMIFS(Table2[NewPointsAway],Table2[GameDate], "&lt;=" &amp; $A57, Table2[AwayTeam], K$1)+SUMIFS(Table2[NewPointsHome],Table2[GameDate], "&lt;=" &amp; $A57, Table2[HomeTeam], K$1)</f>
        <v>10</v>
      </c>
      <c r="L57" s="145">
        <f>SUMIFS(Table2[NewPointsAway],Table2[GameDate], "&lt;=" &amp; $A57, Table2[AwayTeam], L$1)+SUMIFS(Table2[NewPointsHome],Table2[GameDate], "&lt;=" &amp; $A57, Table2[HomeTeam], L$1)</f>
        <v>7</v>
      </c>
      <c r="M57" s="145">
        <f>SUMIFS(Table2[NewPointsAway],Table2[GameDate], "&lt;=" &amp; $A57, Table2[AwayTeam], M$1)+SUMIFS(Table2[NewPointsHome],Table2[GameDate], "&lt;=" &amp; $A57, Table2[HomeTeam], M$1)</f>
        <v>8</v>
      </c>
      <c r="N57" s="145">
        <f>SUMIFS(Table2[NewPointsAway],Table2[GameDate], "&lt;=" &amp; $A57, Table2[AwayTeam], N$1)+SUMIFS(Table2[NewPointsHome],Table2[GameDate], "&lt;=" &amp; $A57, Table2[HomeTeam], N$1)</f>
        <v>6</v>
      </c>
      <c r="O57" s="145">
        <f>SUMIFS(Table2[NewPointsAway],Table2[GameDate], "&lt;=" &amp; $A57, Table2[AwayTeam], O$1)+SUMIFS(Table2[NewPointsHome],Table2[GameDate], "&lt;=" &amp; $A57, Table2[HomeTeam], O$1)</f>
        <v>7</v>
      </c>
      <c r="P57" s="145">
        <f>SUMIFS(Table2[NewPointsAway],Table2[GameDate], "&lt;=" &amp; $A57, Table2[AwayTeam], P$1)+SUMIFS(Table2[NewPointsHome],Table2[GameDate], "&lt;=" &amp; $A57, Table2[HomeTeam], P$1)</f>
        <v>10</v>
      </c>
      <c r="Q57" s="145">
        <f>SUMIFS(Table2[NewPointsAway],Table2[GameDate], "&lt;=" &amp; $A57, Table2[AwayTeam], Q$1)+SUMIFS(Table2[NewPointsHome],Table2[GameDate], "&lt;=" &amp; $A57, Table2[HomeTeam], Q$1)</f>
        <v>10</v>
      </c>
      <c r="R57" s="145">
        <f>SUMIFS(Table2[NewPointsAway],Table2[GameDate], "&lt;=" &amp; $A57, Table2[AwayTeam], R$1)+SUMIFS(Table2[NewPointsHome],Table2[GameDate], "&lt;=" &amp; $A57, Table2[HomeTeam], R$1)</f>
        <v>6</v>
      </c>
      <c r="S57" s="145">
        <f>SUMIFS(Table2[NewPointsAway],Table2[GameDate], "&lt;=" &amp; $A57, Table2[AwayTeam], S$1)+SUMIFS(Table2[NewPointsHome],Table2[GameDate], "&lt;=" &amp; $A57, Table2[HomeTeam], S$1)</f>
        <v>6</v>
      </c>
      <c r="T57" s="145">
        <f>SUMIFS(Table2[NewPointsAway],Table2[GameDate], "&lt;=" &amp; $A57, Table2[AwayTeam], T$1)+SUMIFS(Table2[NewPointsHome],Table2[GameDate], "&lt;=" &amp; $A57, Table2[HomeTeam], T$1)</f>
        <v>7</v>
      </c>
      <c r="U57" s="145">
        <f>SUMIFS(Table2[NewPointsAway],Table2[GameDate], "&lt;=" &amp; $A57, Table2[AwayTeam], U$1)+SUMIFS(Table2[NewPointsHome],Table2[GameDate], "&lt;=" &amp; $A57, Table2[HomeTeam], U$1)</f>
        <v>5</v>
      </c>
      <c r="V57" s="145">
        <f>SUMIFS(Table2[NewPointsAway],Table2[GameDate], "&lt;=" &amp; $A57, Table2[AwayTeam], V$1)+SUMIFS(Table2[NewPointsHome],Table2[GameDate], "&lt;=" &amp; $A57, Table2[HomeTeam], V$1)</f>
        <v>7</v>
      </c>
      <c r="W57" s="145">
        <f>SUMIFS(Table2[NewPointsAway],Table2[GameDate], "&lt;=" &amp; $A57, Table2[AwayTeam], W$1)+SUMIFS(Table2[NewPointsHome],Table2[GameDate], "&lt;=" &amp; $A57, Table2[HomeTeam], W$1)</f>
        <v>10</v>
      </c>
      <c r="X57" s="145">
        <f>SUMIFS(Table2[NewPointsAway],Table2[GameDate], "&lt;=" &amp; $A57, Table2[AwayTeam], X$1)+SUMIFS(Table2[NewPointsHome],Table2[GameDate], "&lt;=" &amp; $A57, Table2[HomeTeam], X$1)</f>
        <v>8</v>
      </c>
      <c r="Y57" s="145">
        <f>SUMIFS(Table2[NewPointsAway],Table2[GameDate], "&lt;=" &amp; $A57, Table2[AwayTeam], Y$1)+SUMIFS(Table2[NewPointsHome],Table2[GameDate], "&lt;=" &amp; $A57, Table2[HomeTeam], Y$1)</f>
        <v>2</v>
      </c>
      <c r="Z57" s="145">
        <f>SUMIFS(Table2[NewPointsAway],Table2[GameDate], "&lt;=" &amp; $A57, Table2[AwayTeam], Z$1)+SUMIFS(Table2[NewPointsHome],Table2[GameDate], "&lt;=" &amp; $A57, Table2[HomeTeam], Z$1)</f>
        <v>7</v>
      </c>
      <c r="AA57" s="145">
        <f>SUMIFS(Table2[NewPointsAway],Table2[GameDate], "&lt;=" &amp; $A57, Table2[AwayTeam], AA$1)+SUMIFS(Table2[NewPointsHome],Table2[GameDate], "&lt;=" &amp; $A57, Table2[HomeTeam], AA$1)</f>
        <v>4</v>
      </c>
      <c r="AB57" s="145">
        <f>SUMIFS(Table2[NewPointsAway],Table2[GameDate], "&lt;=" &amp; $A57, Table2[AwayTeam], AB$1)+SUMIFS(Table2[NewPointsHome],Table2[GameDate], "&lt;=" &amp; $A57, Table2[HomeTeam], AB$1)</f>
        <v>7</v>
      </c>
      <c r="AC57" s="145">
        <f>SUMIFS(Table2[NewPointsAway],Table2[GameDate], "&lt;=" &amp; $A57, Table2[AwayTeam], AC$1)+SUMIFS(Table2[NewPointsHome],Table2[GameDate], "&lt;=" &amp; $A57, Table2[HomeTeam], AC$1)</f>
        <v>10</v>
      </c>
      <c r="AD57" s="145">
        <f>SUMIFS(Table2[NewPointsAway],Table2[GameDate], "&lt;=" &amp; $A57, Table2[AwayTeam], AD$1)+SUMIFS(Table2[NewPointsHome],Table2[GameDate], "&lt;=" &amp; $A57, Table2[HomeTeam], AD$1)</f>
        <v>8</v>
      </c>
      <c r="AE57" s="145">
        <f>SUMIFS(Table2[NewPointsAway],Table2[GameDate], "&lt;=" &amp; $A57, Table2[AwayTeam], AE$1)+SUMIFS(Table2[NewPointsHome],Table2[GameDate], "&lt;=" &amp; $A57, Table2[HomeTeam], AE$1)</f>
        <v>12</v>
      </c>
      <c r="AF57" s="145">
        <f>SUMIFS(Table2[NewPointsAway],Table2[GameDate], "&lt;=" &amp; $A57, Table2[AwayTeam], AF$1)+SUMIFS(Table2[NewPointsHome],Table2[GameDate], "&lt;=" &amp; $A57, Table2[HomeTeam], AF$1)</f>
        <v>10</v>
      </c>
      <c r="AG57" s="145">
        <f>SUMIFS(Table2[NewPointsAway],Table2[GameDate], "&lt;=" &amp; $A57, Table2[AwayTeam], AG$1)+SUMIFS(Table2[NewPointsHome],Table2[GameDate], "&lt;=" &amp; $A57, Table2[HomeTeam], AG$1)</f>
        <v>10</v>
      </c>
    </row>
    <row r="58" spans="1:33" x14ac:dyDescent="0.25">
      <c r="A58" s="3">
        <v>45989</v>
      </c>
      <c r="B58" s="145">
        <f>SUMIFS(Table2[NewPointsAway],Table2[GameDate], "&lt;=" &amp; $A58, Table2[AwayTeam], B$1)+SUMIFS(Table2[NewPointsHome],Table2[GameDate], "&lt;=" &amp; $A58, Table2[HomeTeam], B$1)</f>
        <v>7</v>
      </c>
      <c r="C58" s="145">
        <f>SUMIFS(Table2[NewPointsAway],Table2[GameDate], "&lt;=" &amp; $A58, Table2[AwayTeam], C$1)+SUMIFS(Table2[NewPointsHome],Table2[GameDate], "&lt;=" &amp; $A58, Table2[HomeTeam], C$1)</f>
        <v>6</v>
      </c>
      <c r="D58" s="145">
        <f>SUMIFS(Table2[NewPointsAway],Table2[GameDate], "&lt;=" &amp; $A58, Table2[AwayTeam], D$1)+SUMIFS(Table2[NewPointsHome],Table2[GameDate], "&lt;=" &amp; $A58, Table2[HomeTeam], D$1)</f>
        <v>4</v>
      </c>
      <c r="E58" s="145">
        <f>SUMIFS(Table2[NewPointsAway],Table2[GameDate], "&lt;=" &amp; $A58, Table2[AwayTeam], E$1)+SUMIFS(Table2[NewPointsHome],Table2[GameDate], "&lt;=" &amp; $A58, Table2[HomeTeam], E$1)</f>
        <v>10</v>
      </c>
      <c r="F58" s="145">
        <f>SUMIFS(Table2[NewPointsAway],Table2[GameDate], "&lt;=" &amp; $A58, Table2[AwayTeam], F$1)+SUMIFS(Table2[NewPointsHome],Table2[GameDate], "&lt;=" &amp; $A58, Table2[HomeTeam], F$1)</f>
        <v>6</v>
      </c>
      <c r="G58" s="145">
        <f>SUMIFS(Table2[NewPointsAway],Table2[GameDate], "&lt;=" &amp; $A58, Table2[AwayTeam], G$1)+SUMIFS(Table2[NewPointsHome],Table2[GameDate], "&lt;=" &amp; $A58, Table2[HomeTeam], G$1)</f>
        <v>2</v>
      </c>
      <c r="H58" s="145">
        <f>SUMIFS(Table2[NewPointsAway],Table2[GameDate], "&lt;=" &amp; $A58, Table2[AwayTeam], H$1)+SUMIFS(Table2[NewPointsHome],Table2[GameDate], "&lt;=" &amp; $A58, Table2[HomeTeam], H$1)</f>
        <v>8</v>
      </c>
      <c r="I58" s="145">
        <f>SUMIFS(Table2[NewPointsAway],Table2[GameDate], "&lt;=" &amp; $A58, Table2[AwayTeam], I$1)+SUMIFS(Table2[NewPointsHome],Table2[GameDate], "&lt;=" &amp; $A58, Table2[HomeTeam], I$1)</f>
        <v>12</v>
      </c>
      <c r="J58" s="145">
        <f>SUMIFS(Table2[NewPointsAway],Table2[GameDate], "&lt;=" &amp; $A58, Table2[AwayTeam], J$1)+SUMIFS(Table2[NewPointsHome],Table2[GameDate], "&lt;=" &amp; $A58, Table2[HomeTeam], J$1)</f>
        <v>6</v>
      </c>
      <c r="K58" s="145">
        <f>SUMIFS(Table2[NewPointsAway],Table2[GameDate], "&lt;=" &amp; $A58, Table2[AwayTeam], K$1)+SUMIFS(Table2[NewPointsHome],Table2[GameDate], "&lt;=" &amp; $A58, Table2[HomeTeam], K$1)</f>
        <v>10</v>
      </c>
      <c r="L58" s="145">
        <f>SUMIFS(Table2[NewPointsAway],Table2[GameDate], "&lt;=" &amp; $A58, Table2[AwayTeam], L$1)+SUMIFS(Table2[NewPointsHome],Table2[GameDate], "&lt;=" &amp; $A58, Table2[HomeTeam], L$1)</f>
        <v>7</v>
      </c>
      <c r="M58" s="145">
        <f>SUMIFS(Table2[NewPointsAway],Table2[GameDate], "&lt;=" &amp; $A58, Table2[AwayTeam], M$1)+SUMIFS(Table2[NewPointsHome],Table2[GameDate], "&lt;=" &amp; $A58, Table2[HomeTeam], M$1)</f>
        <v>8</v>
      </c>
      <c r="N58" s="145">
        <f>SUMIFS(Table2[NewPointsAway],Table2[GameDate], "&lt;=" &amp; $A58, Table2[AwayTeam], N$1)+SUMIFS(Table2[NewPointsHome],Table2[GameDate], "&lt;=" &amp; $A58, Table2[HomeTeam], N$1)</f>
        <v>6</v>
      </c>
      <c r="O58" s="145">
        <f>SUMIFS(Table2[NewPointsAway],Table2[GameDate], "&lt;=" &amp; $A58, Table2[AwayTeam], O$1)+SUMIFS(Table2[NewPointsHome],Table2[GameDate], "&lt;=" &amp; $A58, Table2[HomeTeam], O$1)</f>
        <v>7</v>
      </c>
      <c r="P58" s="145">
        <f>SUMIFS(Table2[NewPointsAway],Table2[GameDate], "&lt;=" &amp; $A58, Table2[AwayTeam], P$1)+SUMIFS(Table2[NewPointsHome],Table2[GameDate], "&lt;=" &amp; $A58, Table2[HomeTeam], P$1)</f>
        <v>10</v>
      </c>
      <c r="Q58" s="145">
        <f>SUMIFS(Table2[NewPointsAway],Table2[GameDate], "&lt;=" &amp; $A58, Table2[AwayTeam], Q$1)+SUMIFS(Table2[NewPointsHome],Table2[GameDate], "&lt;=" &amp; $A58, Table2[HomeTeam], Q$1)</f>
        <v>10</v>
      </c>
      <c r="R58" s="145">
        <f>SUMIFS(Table2[NewPointsAway],Table2[GameDate], "&lt;=" &amp; $A58, Table2[AwayTeam], R$1)+SUMIFS(Table2[NewPointsHome],Table2[GameDate], "&lt;=" &amp; $A58, Table2[HomeTeam], R$1)</f>
        <v>6</v>
      </c>
      <c r="S58" s="145">
        <f>SUMIFS(Table2[NewPointsAway],Table2[GameDate], "&lt;=" &amp; $A58, Table2[AwayTeam], S$1)+SUMIFS(Table2[NewPointsHome],Table2[GameDate], "&lt;=" &amp; $A58, Table2[HomeTeam], S$1)</f>
        <v>6</v>
      </c>
      <c r="T58" s="145">
        <f>SUMIFS(Table2[NewPointsAway],Table2[GameDate], "&lt;=" &amp; $A58, Table2[AwayTeam], T$1)+SUMIFS(Table2[NewPointsHome],Table2[GameDate], "&lt;=" &amp; $A58, Table2[HomeTeam], T$1)</f>
        <v>7</v>
      </c>
      <c r="U58" s="145">
        <f>SUMIFS(Table2[NewPointsAway],Table2[GameDate], "&lt;=" &amp; $A58, Table2[AwayTeam], U$1)+SUMIFS(Table2[NewPointsHome],Table2[GameDate], "&lt;=" &amp; $A58, Table2[HomeTeam], U$1)</f>
        <v>5</v>
      </c>
      <c r="V58" s="145">
        <f>SUMIFS(Table2[NewPointsAway],Table2[GameDate], "&lt;=" &amp; $A58, Table2[AwayTeam], V$1)+SUMIFS(Table2[NewPointsHome],Table2[GameDate], "&lt;=" &amp; $A58, Table2[HomeTeam], V$1)</f>
        <v>7</v>
      </c>
      <c r="W58" s="145">
        <f>SUMIFS(Table2[NewPointsAway],Table2[GameDate], "&lt;=" &amp; $A58, Table2[AwayTeam], W$1)+SUMIFS(Table2[NewPointsHome],Table2[GameDate], "&lt;=" &amp; $A58, Table2[HomeTeam], W$1)</f>
        <v>10</v>
      </c>
      <c r="X58" s="145">
        <f>SUMIFS(Table2[NewPointsAway],Table2[GameDate], "&lt;=" &amp; $A58, Table2[AwayTeam], X$1)+SUMIFS(Table2[NewPointsHome],Table2[GameDate], "&lt;=" &amp; $A58, Table2[HomeTeam], X$1)</f>
        <v>8</v>
      </c>
      <c r="Y58" s="145">
        <f>SUMIFS(Table2[NewPointsAway],Table2[GameDate], "&lt;=" &amp; $A58, Table2[AwayTeam], Y$1)+SUMIFS(Table2[NewPointsHome],Table2[GameDate], "&lt;=" &amp; $A58, Table2[HomeTeam], Y$1)</f>
        <v>2</v>
      </c>
      <c r="Z58" s="145">
        <f>SUMIFS(Table2[NewPointsAway],Table2[GameDate], "&lt;=" &amp; $A58, Table2[AwayTeam], Z$1)+SUMIFS(Table2[NewPointsHome],Table2[GameDate], "&lt;=" &amp; $A58, Table2[HomeTeam], Z$1)</f>
        <v>7</v>
      </c>
      <c r="AA58" s="145">
        <f>SUMIFS(Table2[NewPointsAway],Table2[GameDate], "&lt;=" &amp; $A58, Table2[AwayTeam], AA$1)+SUMIFS(Table2[NewPointsHome],Table2[GameDate], "&lt;=" &amp; $A58, Table2[HomeTeam], AA$1)</f>
        <v>4</v>
      </c>
      <c r="AB58" s="145">
        <f>SUMIFS(Table2[NewPointsAway],Table2[GameDate], "&lt;=" &amp; $A58, Table2[AwayTeam], AB$1)+SUMIFS(Table2[NewPointsHome],Table2[GameDate], "&lt;=" &amp; $A58, Table2[HomeTeam], AB$1)</f>
        <v>7</v>
      </c>
      <c r="AC58" s="145">
        <f>SUMIFS(Table2[NewPointsAway],Table2[GameDate], "&lt;=" &amp; $A58, Table2[AwayTeam], AC$1)+SUMIFS(Table2[NewPointsHome],Table2[GameDate], "&lt;=" &amp; $A58, Table2[HomeTeam], AC$1)</f>
        <v>10</v>
      </c>
      <c r="AD58" s="145">
        <f>SUMIFS(Table2[NewPointsAway],Table2[GameDate], "&lt;=" &amp; $A58, Table2[AwayTeam], AD$1)+SUMIFS(Table2[NewPointsHome],Table2[GameDate], "&lt;=" &amp; $A58, Table2[HomeTeam], AD$1)</f>
        <v>8</v>
      </c>
      <c r="AE58" s="145">
        <f>SUMIFS(Table2[NewPointsAway],Table2[GameDate], "&lt;=" &amp; $A58, Table2[AwayTeam], AE$1)+SUMIFS(Table2[NewPointsHome],Table2[GameDate], "&lt;=" &amp; $A58, Table2[HomeTeam], AE$1)</f>
        <v>12</v>
      </c>
      <c r="AF58" s="145">
        <f>SUMIFS(Table2[NewPointsAway],Table2[GameDate], "&lt;=" &amp; $A58, Table2[AwayTeam], AF$1)+SUMIFS(Table2[NewPointsHome],Table2[GameDate], "&lt;=" &amp; $A58, Table2[HomeTeam], AF$1)</f>
        <v>10</v>
      </c>
      <c r="AG58" s="145">
        <f>SUMIFS(Table2[NewPointsAway],Table2[GameDate], "&lt;=" &amp; $A58, Table2[AwayTeam], AG$1)+SUMIFS(Table2[NewPointsHome],Table2[GameDate], "&lt;=" &amp; $A58, Table2[HomeTeam], AG$1)</f>
        <v>10</v>
      </c>
    </row>
    <row r="59" spans="1:33" x14ac:dyDescent="0.25">
      <c r="A59" s="3">
        <v>45990</v>
      </c>
      <c r="B59" s="145">
        <f>SUMIFS(Table2[NewPointsAway],Table2[GameDate], "&lt;=" &amp; $A59, Table2[AwayTeam], B$1)+SUMIFS(Table2[NewPointsHome],Table2[GameDate], "&lt;=" &amp; $A59, Table2[HomeTeam], B$1)</f>
        <v>7</v>
      </c>
      <c r="C59" s="145">
        <f>SUMIFS(Table2[NewPointsAway],Table2[GameDate], "&lt;=" &amp; $A59, Table2[AwayTeam], C$1)+SUMIFS(Table2[NewPointsHome],Table2[GameDate], "&lt;=" &amp; $A59, Table2[HomeTeam], C$1)</f>
        <v>6</v>
      </c>
      <c r="D59" s="145">
        <f>SUMIFS(Table2[NewPointsAway],Table2[GameDate], "&lt;=" &amp; $A59, Table2[AwayTeam], D$1)+SUMIFS(Table2[NewPointsHome],Table2[GameDate], "&lt;=" &amp; $A59, Table2[HomeTeam], D$1)</f>
        <v>4</v>
      </c>
      <c r="E59" s="145">
        <f>SUMIFS(Table2[NewPointsAway],Table2[GameDate], "&lt;=" &amp; $A59, Table2[AwayTeam], E$1)+SUMIFS(Table2[NewPointsHome],Table2[GameDate], "&lt;=" &amp; $A59, Table2[HomeTeam], E$1)</f>
        <v>10</v>
      </c>
      <c r="F59" s="145">
        <f>SUMIFS(Table2[NewPointsAway],Table2[GameDate], "&lt;=" &amp; $A59, Table2[AwayTeam], F$1)+SUMIFS(Table2[NewPointsHome],Table2[GameDate], "&lt;=" &amp; $A59, Table2[HomeTeam], F$1)</f>
        <v>6</v>
      </c>
      <c r="G59" s="145">
        <f>SUMIFS(Table2[NewPointsAway],Table2[GameDate], "&lt;=" &amp; $A59, Table2[AwayTeam], G$1)+SUMIFS(Table2[NewPointsHome],Table2[GameDate], "&lt;=" &amp; $A59, Table2[HomeTeam], G$1)</f>
        <v>2</v>
      </c>
      <c r="H59" s="145">
        <f>SUMIFS(Table2[NewPointsAway],Table2[GameDate], "&lt;=" &amp; $A59, Table2[AwayTeam], H$1)+SUMIFS(Table2[NewPointsHome],Table2[GameDate], "&lt;=" &amp; $A59, Table2[HomeTeam], H$1)</f>
        <v>8</v>
      </c>
      <c r="I59" s="145">
        <f>SUMIFS(Table2[NewPointsAway],Table2[GameDate], "&lt;=" &amp; $A59, Table2[AwayTeam], I$1)+SUMIFS(Table2[NewPointsHome],Table2[GameDate], "&lt;=" &amp; $A59, Table2[HomeTeam], I$1)</f>
        <v>12</v>
      </c>
      <c r="J59" s="145">
        <f>SUMIFS(Table2[NewPointsAway],Table2[GameDate], "&lt;=" &amp; $A59, Table2[AwayTeam], J$1)+SUMIFS(Table2[NewPointsHome],Table2[GameDate], "&lt;=" &amp; $A59, Table2[HomeTeam], J$1)</f>
        <v>6</v>
      </c>
      <c r="K59" s="145">
        <f>SUMIFS(Table2[NewPointsAway],Table2[GameDate], "&lt;=" &amp; $A59, Table2[AwayTeam], K$1)+SUMIFS(Table2[NewPointsHome],Table2[GameDate], "&lt;=" &amp; $A59, Table2[HomeTeam], K$1)</f>
        <v>10</v>
      </c>
      <c r="L59" s="145">
        <f>SUMIFS(Table2[NewPointsAway],Table2[GameDate], "&lt;=" &amp; $A59, Table2[AwayTeam], L$1)+SUMIFS(Table2[NewPointsHome],Table2[GameDate], "&lt;=" &amp; $A59, Table2[HomeTeam], L$1)</f>
        <v>7</v>
      </c>
      <c r="M59" s="145">
        <f>SUMIFS(Table2[NewPointsAway],Table2[GameDate], "&lt;=" &amp; $A59, Table2[AwayTeam], M$1)+SUMIFS(Table2[NewPointsHome],Table2[GameDate], "&lt;=" &amp; $A59, Table2[HomeTeam], M$1)</f>
        <v>8</v>
      </c>
      <c r="N59" s="145">
        <f>SUMIFS(Table2[NewPointsAway],Table2[GameDate], "&lt;=" &amp; $A59, Table2[AwayTeam], N$1)+SUMIFS(Table2[NewPointsHome],Table2[GameDate], "&lt;=" &amp; $A59, Table2[HomeTeam], N$1)</f>
        <v>6</v>
      </c>
      <c r="O59" s="145">
        <f>SUMIFS(Table2[NewPointsAway],Table2[GameDate], "&lt;=" &amp; $A59, Table2[AwayTeam], O$1)+SUMIFS(Table2[NewPointsHome],Table2[GameDate], "&lt;=" &amp; $A59, Table2[HomeTeam], O$1)</f>
        <v>7</v>
      </c>
      <c r="P59" s="145">
        <f>SUMIFS(Table2[NewPointsAway],Table2[GameDate], "&lt;=" &amp; $A59, Table2[AwayTeam], P$1)+SUMIFS(Table2[NewPointsHome],Table2[GameDate], "&lt;=" &amp; $A59, Table2[HomeTeam], P$1)</f>
        <v>10</v>
      </c>
      <c r="Q59" s="145">
        <f>SUMIFS(Table2[NewPointsAway],Table2[GameDate], "&lt;=" &amp; $A59, Table2[AwayTeam], Q$1)+SUMIFS(Table2[NewPointsHome],Table2[GameDate], "&lt;=" &amp; $A59, Table2[HomeTeam], Q$1)</f>
        <v>10</v>
      </c>
      <c r="R59" s="145">
        <f>SUMIFS(Table2[NewPointsAway],Table2[GameDate], "&lt;=" &amp; $A59, Table2[AwayTeam], R$1)+SUMIFS(Table2[NewPointsHome],Table2[GameDate], "&lt;=" &amp; $A59, Table2[HomeTeam], R$1)</f>
        <v>6</v>
      </c>
      <c r="S59" s="145">
        <f>SUMIFS(Table2[NewPointsAway],Table2[GameDate], "&lt;=" &amp; $A59, Table2[AwayTeam], S$1)+SUMIFS(Table2[NewPointsHome],Table2[GameDate], "&lt;=" &amp; $A59, Table2[HomeTeam], S$1)</f>
        <v>6</v>
      </c>
      <c r="T59" s="145">
        <f>SUMIFS(Table2[NewPointsAway],Table2[GameDate], "&lt;=" &amp; $A59, Table2[AwayTeam], T$1)+SUMIFS(Table2[NewPointsHome],Table2[GameDate], "&lt;=" &amp; $A59, Table2[HomeTeam], T$1)</f>
        <v>7</v>
      </c>
      <c r="U59" s="145">
        <f>SUMIFS(Table2[NewPointsAway],Table2[GameDate], "&lt;=" &amp; $A59, Table2[AwayTeam], U$1)+SUMIFS(Table2[NewPointsHome],Table2[GameDate], "&lt;=" &amp; $A59, Table2[HomeTeam], U$1)</f>
        <v>5</v>
      </c>
      <c r="V59" s="145">
        <f>SUMIFS(Table2[NewPointsAway],Table2[GameDate], "&lt;=" &amp; $A59, Table2[AwayTeam], V$1)+SUMIFS(Table2[NewPointsHome],Table2[GameDate], "&lt;=" &amp; $A59, Table2[HomeTeam], V$1)</f>
        <v>7</v>
      </c>
      <c r="W59" s="145">
        <f>SUMIFS(Table2[NewPointsAway],Table2[GameDate], "&lt;=" &amp; $A59, Table2[AwayTeam], W$1)+SUMIFS(Table2[NewPointsHome],Table2[GameDate], "&lt;=" &amp; $A59, Table2[HomeTeam], W$1)</f>
        <v>10</v>
      </c>
      <c r="X59" s="145">
        <f>SUMIFS(Table2[NewPointsAway],Table2[GameDate], "&lt;=" &amp; $A59, Table2[AwayTeam], X$1)+SUMIFS(Table2[NewPointsHome],Table2[GameDate], "&lt;=" &amp; $A59, Table2[HomeTeam], X$1)</f>
        <v>8</v>
      </c>
      <c r="Y59" s="145">
        <f>SUMIFS(Table2[NewPointsAway],Table2[GameDate], "&lt;=" &amp; $A59, Table2[AwayTeam], Y$1)+SUMIFS(Table2[NewPointsHome],Table2[GameDate], "&lt;=" &amp; $A59, Table2[HomeTeam], Y$1)</f>
        <v>2</v>
      </c>
      <c r="Z59" s="145">
        <f>SUMIFS(Table2[NewPointsAway],Table2[GameDate], "&lt;=" &amp; $A59, Table2[AwayTeam], Z$1)+SUMIFS(Table2[NewPointsHome],Table2[GameDate], "&lt;=" &amp; $A59, Table2[HomeTeam], Z$1)</f>
        <v>7</v>
      </c>
      <c r="AA59" s="145">
        <f>SUMIFS(Table2[NewPointsAway],Table2[GameDate], "&lt;=" &amp; $A59, Table2[AwayTeam], AA$1)+SUMIFS(Table2[NewPointsHome],Table2[GameDate], "&lt;=" &amp; $A59, Table2[HomeTeam], AA$1)</f>
        <v>4</v>
      </c>
      <c r="AB59" s="145">
        <f>SUMIFS(Table2[NewPointsAway],Table2[GameDate], "&lt;=" &amp; $A59, Table2[AwayTeam], AB$1)+SUMIFS(Table2[NewPointsHome],Table2[GameDate], "&lt;=" &amp; $A59, Table2[HomeTeam], AB$1)</f>
        <v>7</v>
      </c>
      <c r="AC59" s="145">
        <f>SUMIFS(Table2[NewPointsAway],Table2[GameDate], "&lt;=" &amp; $A59, Table2[AwayTeam], AC$1)+SUMIFS(Table2[NewPointsHome],Table2[GameDate], "&lt;=" &amp; $A59, Table2[HomeTeam], AC$1)</f>
        <v>10</v>
      </c>
      <c r="AD59" s="145">
        <f>SUMIFS(Table2[NewPointsAway],Table2[GameDate], "&lt;=" &amp; $A59, Table2[AwayTeam], AD$1)+SUMIFS(Table2[NewPointsHome],Table2[GameDate], "&lt;=" &amp; $A59, Table2[HomeTeam], AD$1)</f>
        <v>8</v>
      </c>
      <c r="AE59" s="145">
        <f>SUMIFS(Table2[NewPointsAway],Table2[GameDate], "&lt;=" &amp; $A59, Table2[AwayTeam], AE$1)+SUMIFS(Table2[NewPointsHome],Table2[GameDate], "&lt;=" &amp; $A59, Table2[HomeTeam], AE$1)</f>
        <v>12</v>
      </c>
      <c r="AF59" s="145">
        <f>SUMIFS(Table2[NewPointsAway],Table2[GameDate], "&lt;=" &amp; $A59, Table2[AwayTeam], AF$1)+SUMIFS(Table2[NewPointsHome],Table2[GameDate], "&lt;=" &amp; $A59, Table2[HomeTeam], AF$1)</f>
        <v>10</v>
      </c>
      <c r="AG59" s="145">
        <f>SUMIFS(Table2[NewPointsAway],Table2[GameDate], "&lt;=" &amp; $A59, Table2[AwayTeam], AG$1)+SUMIFS(Table2[NewPointsHome],Table2[GameDate], "&lt;=" &amp; $A59, Table2[HomeTeam], AG$1)</f>
        <v>10</v>
      </c>
    </row>
    <row r="60" spans="1:33" x14ac:dyDescent="0.25">
      <c r="A60" s="3">
        <v>45991</v>
      </c>
      <c r="B60" s="145">
        <f>SUMIFS(Table2[NewPointsAway],Table2[GameDate], "&lt;=" &amp; $A60, Table2[AwayTeam], B$1)+SUMIFS(Table2[NewPointsHome],Table2[GameDate], "&lt;=" &amp; $A60, Table2[HomeTeam], B$1)</f>
        <v>7</v>
      </c>
      <c r="C60" s="145">
        <f>SUMIFS(Table2[NewPointsAway],Table2[GameDate], "&lt;=" &amp; $A60, Table2[AwayTeam], C$1)+SUMIFS(Table2[NewPointsHome],Table2[GameDate], "&lt;=" &amp; $A60, Table2[HomeTeam], C$1)</f>
        <v>6</v>
      </c>
      <c r="D60" s="145">
        <f>SUMIFS(Table2[NewPointsAway],Table2[GameDate], "&lt;=" &amp; $A60, Table2[AwayTeam], D$1)+SUMIFS(Table2[NewPointsHome],Table2[GameDate], "&lt;=" &amp; $A60, Table2[HomeTeam], D$1)</f>
        <v>4</v>
      </c>
      <c r="E60" s="145">
        <f>SUMIFS(Table2[NewPointsAway],Table2[GameDate], "&lt;=" &amp; $A60, Table2[AwayTeam], E$1)+SUMIFS(Table2[NewPointsHome],Table2[GameDate], "&lt;=" &amp; $A60, Table2[HomeTeam], E$1)</f>
        <v>10</v>
      </c>
      <c r="F60" s="145">
        <f>SUMIFS(Table2[NewPointsAway],Table2[GameDate], "&lt;=" &amp; $A60, Table2[AwayTeam], F$1)+SUMIFS(Table2[NewPointsHome],Table2[GameDate], "&lt;=" &amp; $A60, Table2[HomeTeam], F$1)</f>
        <v>6</v>
      </c>
      <c r="G60" s="145">
        <f>SUMIFS(Table2[NewPointsAway],Table2[GameDate], "&lt;=" &amp; $A60, Table2[AwayTeam], G$1)+SUMIFS(Table2[NewPointsHome],Table2[GameDate], "&lt;=" &amp; $A60, Table2[HomeTeam], G$1)</f>
        <v>2</v>
      </c>
      <c r="H60" s="145">
        <f>SUMIFS(Table2[NewPointsAway],Table2[GameDate], "&lt;=" &amp; $A60, Table2[AwayTeam], H$1)+SUMIFS(Table2[NewPointsHome],Table2[GameDate], "&lt;=" &amp; $A60, Table2[HomeTeam], H$1)</f>
        <v>8</v>
      </c>
      <c r="I60" s="145">
        <f>SUMIFS(Table2[NewPointsAway],Table2[GameDate], "&lt;=" &amp; $A60, Table2[AwayTeam], I$1)+SUMIFS(Table2[NewPointsHome],Table2[GameDate], "&lt;=" &amp; $A60, Table2[HomeTeam], I$1)</f>
        <v>12</v>
      </c>
      <c r="J60" s="145">
        <f>SUMIFS(Table2[NewPointsAway],Table2[GameDate], "&lt;=" &amp; $A60, Table2[AwayTeam], J$1)+SUMIFS(Table2[NewPointsHome],Table2[GameDate], "&lt;=" &amp; $A60, Table2[HomeTeam], J$1)</f>
        <v>6</v>
      </c>
      <c r="K60" s="145">
        <f>SUMIFS(Table2[NewPointsAway],Table2[GameDate], "&lt;=" &amp; $A60, Table2[AwayTeam], K$1)+SUMIFS(Table2[NewPointsHome],Table2[GameDate], "&lt;=" &amp; $A60, Table2[HomeTeam], K$1)</f>
        <v>10</v>
      </c>
      <c r="L60" s="145">
        <f>SUMIFS(Table2[NewPointsAway],Table2[GameDate], "&lt;=" &amp; $A60, Table2[AwayTeam], L$1)+SUMIFS(Table2[NewPointsHome],Table2[GameDate], "&lt;=" &amp; $A60, Table2[HomeTeam], L$1)</f>
        <v>7</v>
      </c>
      <c r="M60" s="145">
        <f>SUMIFS(Table2[NewPointsAway],Table2[GameDate], "&lt;=" &amp; $A60, Table2[AwayTeam], M$1)+SUMIFS(Table2[NewPointsHome],Table2[GameDate], "&lt;=" &amp; $A60, Table2[HomeTeam], M$1)</f>
        <v>8</v>
      </c>
      <c r="N60" s="145">
        <f>SUMIFS(Table2[NewPointsAway],Table2[GameDate], "&lt;=" &amp; $A60, Table2[AwayTeam], N$1)+SUMIFS(Table2[NewPointsHome],Table2[GameDate], "&lt;=" &amp; $A60, Table2[HomeTeam], N$1)</f>
        <v>6</v>
      </c>
      <c r="O60" s="145">
        <f>SUMIFS(Table2[NewPointsAway],Table2[GameDate], "&lt;=" &amp; $A60, Table2[AwayTeam], O$1)+SUMIFS(Table2[NewPointsHome],Table2[GameDate], "&lt;=" &amp; $A60, Table2[HomeTeam], O$1)</f>
        <v>7</v>
      </c>
      <c r="P60" s="145">
        <f>SUMIFS(Table2[NewPointsAway],Table2[GameDate], "&lt;=" &amp; $A60, Table2[AwayTeam], P$1)+SUMIFS(Table2[NewPointsHome],Table2[GameDate], "&lt;=" &amp; $A60, Table2[HomeTeam], P$1)</f>
        <v>10</v>
      </c>
      <c r="Q60" s="145">
        <f>SUMIFS(Table2[NewPointsAway],Table2[GameDate], "&lt;=" &amp; $A60, Table2[AwayTeam], Q$1)+SUMIFS(Table2[NewPointsHome],Table2[GameDate], "&lt;=" &amp; $A60, Table2[HomeTeam], Q$1)</f>
        <v>10</v>
      </c>
      <c r="R60" s="145">
        <f>SUMIFS(Table2[NewPointsAway],Table2[GameDate], "&lt;=" &amp; $A60, Table2[AwayTeam], R$1)+SUMIFS(Table2[NewPointsHome],Table2[GameDate], "&lt;=" &amp; $A60, Table2[HomeTeam], R$1)</f>
        <v>6</v>
      </c>
      <c r="S60" s="145">
        <f>SUMIFS(Table2[NewPointsAway],Table2[GameDate], "&lt;=" &amp; $A60, Table2[AwayTeam], S$1)+SUMIFS(Table2[NewPointsHome],Table2[GameDate], "&lt;=" &amp; $A60, Table2[HomeTeam], S$1)</f>
        <v>6</v>
      </c>
      <c r="T60" s="145">
        <f>SUMIFS(Table2[NewPointsAway],Table2[GameDate], "&lt;=" &amp; $A60, Table2[AwayTeam], T$1)+SUMIFS(Table2[NewPointsHome],Table2[GameDate], "&lt;=" &amp; $A60, Table2[HomeTeam], T$1)</f>
        <v>7</v>
      </c>
      <c r="U60" s="145">
        <f>SUMIFS(Table2[NewPointsAway],Table2[GameDate], "&lt;=" &amp; $A60, Table2[AwayTeam], U$1)+SUMIFS(Table2[NewPointsHome],Table2[GameDate], "&lt;=" &amp; $A60, Table2[HomeTeam], U$1)</f>
        <v>5</v>
      </c>
      <c r="V60" s="145">
        <f>SUMIFS(Table2[NewPointsAway],Table2[GameDate], "&lt;=" &amp; $A60, Table2[AwayTeam], V$1)+SUMIFS(Table2[NewPointsHome],Table2[GameDate], "&lt;=" &amp; $A60, Table2[HomeTeam], V$1)</f>
        <v>7</v>
      </c>
      <c r="W60" s="145">
        <f>SUMIFS(Table2[NewPointsAway],Table2[GameDate], "&lt;=" &amp; $A60, Table2[AwayTeam], W$1)+SUMIFS(Table2[NewPointsHome],Table2[GameDate], "&lt;=" &amp; $A60, Table2[HomeTeam], W$1)</f>
        <v>10</v>
      </c>
      <c r="X60" s="145">
        <f>SUMIFS(Table2[NewPointsAway],Table2[GameDate], "&lt;=" &amp; $A60, Table2[AwayTeam], X$1)+SUMIFS(Table2[NewPointsHome],Table2[GameDate], "&lt;=" &amp; $A60, Table2[HomeTeam], X$1)</f>
        <v>8</v>
      </c>
      <c r="Y60" s="145">
        <f>SUMIFS(Table2[NewPointsAway],Table2[GameDate], "&lt;=" &amp; $A60, Table2[AwayTeam], Y$1)+SUMIFS(Table2[NewPointsHome],Table2[GameDate], "&lt;=" &amp; $A60, Table2[HomeTeam], Y$1)</f>
        <v>2</v>
      </c>
      <c r="Z60" s="145">
        <f>SUMIFS(Table2[NewPointsAway],Table2[GameDate], "&lt;=" &amp; $A60, Table2[AwayTeam], Z$1)+SUMIFS(Table2[NewPointsHome],Table2[GameDate], "&lt;=" &amp; $A60, Table2[HomeTeam], Z$1)</f>
        <v>7</v>
      </c>
      <c r="AA60" s="145">
        <f>SUMIFS(Table2[NewPointsAway],Table2[GameDate], "&lt;=" &amp; $A60, Table2[AwayTeam], AA$1)+SUMIFS(Table2[NewPointsHome],Table2[GameDate], "&lt;=" &amp; $A60, Table2[HomeTeam], AA$1)</f>
        <v>4</v>
      </c>
      <c r="AB60" s="145">
        <f>SUMIFS(Table2[NewPointsAway],Table2[GameDate], "&lt;=" &amp; $A60, Table2[AwayTeam], AB$1)+SUMIFS(Table2[NewPointsHome],Table2[GameDate], "&lt;=" &amp; $A60, Table2[HomeTeam], AB$1)</f>
        <v>7</v>
      </c>
      <c r="AC60" s="145">
        <f>SUMIFS(Table2[NewPointsAway],Table2[GameDate], "&lt;=" &amp; $A60, Table2[AwayTeam], AC$1)+SUMIFS(Table2[NewPointsHome],Table2[GameDate], "&lt;=" &amp; $A60, Table2[HomeTeam], AC$1)</f>
        <v>10</v>
      </c>
      <c r="AD60" s="145">
        <f>SUMIFS(Table2[NewPointsAway],Table2[GameDate], "&lt;=" &amp; $A60, Table2[AwayTeam], AD$1)+SUMIFS(Table2[NewPointsHome],Table2[GameDate], "&lt;=" &amp; $A60, Table2[HomeTeam], AD$1)</f>
        <v>8</v>
      </c>
      <c r="AE60" s="145">
        <f>SUMIFS(Table2[NewPointsAway],Table2[GameDate], "&lt;=" &amp; $A60, Table2[AwayTeam], AE$1)+SUMIFS(Table2[NewPointsHome],Table2[GameDate], "&lt;=" &amp; $A60, Table2[HomeTeam], AE$1)</f>
        <v>12</v>
      </c>
      <c r="AF60" s="145">
        <f>SUMIFS(Table2[NewPointsAway],Table2[GameDate], "&lt;=" &amp; $A60, Table2[AwayTeam], AF$1)+SUMIFS(Table2[NewPointsHome],Table2[GameDate], "&lt;=" &amp; $A60, Table2[HomeTeam], AF$1)</f>
        <v>10</v>
      </c>
      <c r="AG60" s="145">
        <f>SUMIFS(Table2[NewPointsAway],Table2[GameDate], "&lt;=" &amp; $A60, Table2[AwayTeam], AG$1)+SUMIFS(Table2[NewPointsHome],Table2[GameDate], "&lt;=" &amp; $A60, Table2[HomeTeam], AG$1)</f>
        <v>10</v>
      </c>
    </row>
    <row r="61" spans="1:33" x14ac:dyDescent="0.25">
      <c r="A61" s="3">
        <v>45992</v>
      </c>
      <c r="B61" s="145">
        <f>SUMIFS(Table2[NewPointsAway],Table2[GameDate], "&lt;=" &amp; $A61, Table2[AwayTeam], B$1)+SUMIFS(Table2[NewPointsHome],Table2[GameDate], "&lt;=" &amp; $A61, Table2[HomeTeam], B$1)</f>
        <v>7</v>
      </c>
      <c r="C61" s="145">
        <f>SUMIFS(Table2[NewPointsAway],Table2[GameDate], "&lt;=" &amp; $A61, Table2[AwayTeam], C$1)+SUMIFS(Table2[NewPointsHome],Table2[GameDate], "&lt;=" &amp; $A61, Table2[HomeTeam], C$1)</f>
        <v>6</v>
      </c>
      <c r="D61" s="145">
        <f>SUMIFS(Table2[NewPointsAway],Table2[GameDate], "&lt;=" &amp; $A61, Table2[AwayTeam], D$1)+SUMIFS(Table2[NewPointsHome],Table2[GameDate], "&lt;=" &amp; $A61, Table2[HomeTeam], D$1)</f>
        <v>4</v>
      </c>
      <c r="E61" s="145">
        <f>SUMIFS(Table2[NewPointsAway],Table2[GameDate], "&lt;=" &amp; $A61, Table2[AwayTeam], E$1)+SUMIFS(Table2[NewPointsHome],Table2[GameDate], "&lt;=" &amp; $A61, Table2[HomeTeam], E$1)</f>
        <v>10</v>
      </c>
      <c r="F61" s="145">
        <f>SUMIFS(Table2[NewPointsAway],Table2[GameDate], "&lt;=" &amp; $A61, Table2[AwayTeam], F$1)+SUMIFS(Table2[NewPointsHome],Table2[GameDate], "&lt;=" &amp; $A61, Table2[HomeTeam], F$1)</f>
        <v>6</v>
      </c>
      <c r="G61" s="145">
        <f>SUMIFS(Table2[NewPointsAway],Table2[GameDate], "&lt;=" &amp; $A61, Table2[AwayTeam], G$1)+SUMIFS(Table2[NewPointsHome],Table2[GameDate], "&lt;=" &amp; $A61, Table2[HomeTeam], G$1)</f>
        <v>2</v>
      </c>
      <c r="H61" s="145">
        <f>SUMIFS(Table2[NewPointsAway],Table2[GameDate], "&lt;=" &amp; $A61, Table2[AwayTeam], H$1)+SUMIFS(Table2[NewPointsHome],Table2[GameDate], "&lt;=" &amp; $A61, Table2[HomeTeam], H$1)</f>
        <v>8</v>
      </c>
      <c r="I61" s="145">
        <f>SUMIFS(Table2[NewPointsAway],Table2[GameDate], "&lt;=" &amp; $A61, Table2[AwayTeam], I$1)+SUMIFS(Table2[NewPointsHome],Table2[GameDate], "&lt;=" &amp; $A61, Table2[HomeTeam], I$1)</f>
        <v>12</v>
      </c>
      <c r="J61" s="145">
        <f>SUMIFS(Table2[NewPointsAway],Table2[GameDate], "&lt;=" &amp; $A61, Table2[AwayTeam], J$1)+SUMIFS(Table2[NewPointsHome],Table2[GameDate], "&lt;=" &amp; $A61, Table2[HomeTeam], J$1)</f>
        <v>6</v>
      </c>
      <c r="K61" s="145">
        <f>SUMIFS(Table2[NewPointsAway],Table2[GameDate], "&lt;=" &amp; $A61, Table2[AwayTeam], K$1)+SUMIFS(Table2[NewPointsHome],Table2[GameDate], "&lt;=" &amp; $A61, Table2[HomeTeam], K$1)</f>
        <v>10</v>
      </c>
      <c r="L61" s="145">
        <f>SUMIFS(Table2[NewPointsAway],Table2[GameDate], "&lt;=" &amp; $A61, Table2[AwayTeam], L$1)+SUMIFS(Table2[NewPointsHome],Table2[GameDate], "&lt;=" &amp; $A61, Table2[HomeTeam], L$1)</f>
        <v>7</v>
      </c>
      <c r="M61" s="145">
        <f>SUMIFS(Table2[NewPointsAway],Table2[GameDate], "&lt;=" &amp; $A61, Table2[AwayTeam], M$1)+SUMIFS(Table2[NewPointsHome],Table2[GameDate], "&lt;=" &amp; $A61, Table2[HomeTeam], M$1)</f>
        <v>8</v>
      </c>
      <c r="N61" s="145">
        <f>SUMIFS(Table2[NewPointsAway],Table2[GameDate], "&lt;=" &amp; $A61, Table2[AwayTeam], N$1)+SUMIFS(Table2[NewPointsHome],Table2[GameDate], "&lt;=" &amp; $A61, Table2[HomeTeam], N$1)</f>
        <v>6</v>
      </c>
      <c r="O61" s="145">
        <f>SUMIFS(Table2[NewPointsAway],Table2[GameDate], "&lt;=" &amp; $A61, Table2[AwayTeam], O$1)+SUMIFS(Table2[NewPointsHome],Table2[GameDate], "&lt;=" &amp; $A61, Table2[HomeTeam], O$1)</f>
        <v>7</v>
      </c>
      <c r="P61" s="145">
        <f>SUMIFS(Table2[NewPointsAway],Table2[GameDate], "&lt;=" &amp; $A61, Table2[AwayTeam], P$1)+SUMIFS(Table2[NewPointsHome],Table2[GameDate], "&lt;=" &amp; $A61, Table2[HomeTeam], P$1)</f>
        <v>10</v>
      </c>
      <c r="Q61" s="145">
        <f>SUMIFS(Table2[NewPointsAway],Table2[GameDate], "&lt;=" &amp; $A61, Table2[AwayTeam], Q$1)+SUMIFS(Table2[NewPointsHome],Table2[GameDate], "&lt;=" &amp; $A61, Table2[HomeTeam], Q$1)</f>
        <v>10</v>
      </c>
      <c r="R61" s="145">
        <f>SUMIFS(Table2[NewPointsAway],Table2[GameDate], "&lt;=" &amp; $A61, Table2[AwayTeam], R$1)+SUMIFS(Table2[NewPointsHome],Table2[GameDate], "&lt;=" &amp; $A61, Table2[HomeTeam], R$1)</f>
        <v>6</v>
      </c>
      <c r="S61" s="145">
        <f>SUMIFS(Table2[NewPointsAway],Table2[GameDate], "&lt;=" &amp; $A61, Table2[AwayTeam], S$1)+SUMIFS(Table2[NewPointsHome],Table2[GameDate], "&lt;=" &amp; $A61, Table2[HomeTeam], S$1)</f>
        <v>6</v>
      </c>
      <c r="T61" s="145">
        <f>SUMIFS(Table2[NewPointsAway],Table2[GameDate], "&lt;=" &amp; $A61, Table2[AwayTeam], T$1)+SUMIFS(Table2[NewPointsHome],Table2[GameDate], "&lt;=" &amp; $A61, Table2[HomeTeam], T$1)</f>
        <v>7</v>
      </c>
      <c r="U61" s="145">
        <f>SUMIFS(Table2[NewPointsAway],Table2[GameDate], "&lt;=" &amp; $A61, Table2[AwayTeam], U$1)+SUMIFS(Table2[NewPointsHome],Table2[GameDate], "&lt;=" &amp; $A61, Table2[HomeTeam], U$1)</f>
        <v>5</v>
      </c>
      <c r="V61" s="145">
        <f>SUMIFS(Table2[NewPointsAway],Table2[GameDate], "&lt;=" &amp; $A61, Table2[AwayTeam], V$1)+SUMIFS(Table2[NewPointsHome],Table2[GameDate], "&lt;=" &amp; $A61, Table2[HomeTeam], V$1)</f>
        <v>7</v>
      </c>
      <c r="W61" s="145">
        <f>SUMIFS(Table2[NewPointsAway],Table2[GameDate], "&lt;=" &amp; $A61, Table2[AwayTeam], W$1)+SUMIFS(Table2[NewPointsHome],Table2[GameDate], "&lt;=" &amp; $A61, Table2[HomeTeam], W$1)</f>
        <v>10</v>
      </c>
      <c r="X61" s="145">
        <f>SUMIFS(Table2[NewPointsAway],Table2[GameDate], "&lt;=" &amp; $A61, Table2[AwayTeam], X$1)+SUMIFS(Table2[NewPointsHome],Table2[GameDate], "&lt;=" &amp; $A61, Table2[HomeTeam], X$1)</f>
        <v>8</v>
      </c>
      <c r="Y61" s="145">
        <f>SUMIFS(Table2[NewPointsAway],Table2[GameDate], "&lt;=" &amp; $A61, Table2[AwayTeam], Y$1)+SUMIFS(Table2[NewPointsHome],Table2[GameDate], "&lt;=" &amp; $A61, Table2[HomeTeam], Y$1)</f>
        <v>2</v>
      </c>
      <c r="Z61" s="145">
        <f>SUMIFS(Table2[NewPointsAway],Table2[GameDate], "&lt;=" &amp; $A61, Table2[AwayTeam], Z$1)+SUMIFS(Table2[NewPointsHome],Table2[GameDate], "&lt;=" &amp; $A61, Table2[HomeTeam], Z$1)</f>
        <v>7</v>
      </c>
      <c r="AA61" s="145">
        <f>SUMIFS(Table2[NewPointsAway],Table2[GameDate], "&lt;=" &amp; $A61, Table2[AwayTeam], AA$1)+SUMIFS(Table2[NewPointsHome],Table2[GameDate], "&lt;=" &amp; $A61, Table2[HomeTeam], AA$1)</f>
        <v>4</v>
      </c>
      <c r="AB61" s="145">
        <f>SUMIFS(Table2[NewPointsAway],Table2[GameDate], "&lt;=" &amp; $A61, Table2[AwayTeam], AB$1)+SUMIFS(Table2[NewPointsHome],Table2[GameDate], "&lt;=" &amp; $A61, Table2[HomeTeam], AB$1)</f>
        <v>7</v>
      </c>
      <c r="AC61" s="145">
        <f>SUMIFS(Table2[NewPointsAway],Table2[GameDate], "&lt;=" &amp; $A61, Table2[AwayTeam], AC$1)+SUMIFS(Table2[NewPointsHome],Table2[GameDate], "&lt;=" &amp; $A61, Table2[HomeTeam], AC$1)</f>
        <v>10</v>
      </c>
      <c r="AD61" s="145">
        <f>SUMIFS(Table2[NewPointsAway],Table2[GameDate], "&lt;=" &amp; $A61, Table2[AwayTeam], AD$1)+SUMIFS(Table2[NewPointsHome],Table2[GameDate], "&lt;=" &amp; $A61, Table2[HomeTeam], AD$1)</f>
        <v>8</v>
      </c>
      <c r="AE61" s="145">
        <f>SUMIFS(Table2[NewPointsAway],Table2[GameDate], "&lt;=" &amp; $A61, Table2[AwayTeam], AE$1)+SUMIFS(Table2[NewPointsHome],Table2[GameDate], "&lt;=" &amp; $A61, Table2[HomeTeam], AE$1)</f>
        <v>12</v>
      </c>
      <c r="AF61" s="145">
        <f>SUMIFS(Table2[NewPointsAway],Table2[GameDate], "&lt;=" &amp; $A61, Table2[AwayTeam], AF$1)+SUMIFS(Table2[NewPointsHome],Table2[GameDate], "&lt;=" &amp; $A61, Table2[HomeTeam], AF$1)</f>
        <v>10</v>
      </c>
      <c r="AG61" s="145">
        <f>SUMIFS(Table2[NewPointsAway],Table2[GameDate], "&lt;=" &amp; $A61, Table2[AwayTeam], AG$1)+SUMIFS(Table2[NewPointsHome],Table2[GameDate], "&lt;=" &amp; $A61, Table2[HomeTeam], AG$1)</f>
        <v>10</v>
      </c>
    </row>
    <row r="62" spans="1:33" x14ac:dyDescent="0.25">
      <c r="A62" s="3">
        <v>45993</v>
      </c>
      <c r="B62" s="145">
        <f>SUMIFS(Table2[NewPointsAway],Table2[GameDate], "&lt;=" &amp; $A62, Table2[AwayTeam], B$1)+SUMIFS(Table2[NewPointsHome],Table2[GameDate], "&lt;=" &amp; $A62, Table2[HomeTeam], B$1)</f>
        <v>7</v>
      </c>
      <c r="C62" s="145">
        <f>SUMIFS(Table2[NewPointsAway],Table2[GameDate], "&lt;=" &amp; $A62, Table2[AwayTeam], C$1)+SUMIFS(Table2[NewPointsHome],Table2[GameDate], "&lt;=" &amp; $A62, Table2[HomeTeam], C$1)</f>
        <v>6</v>
      </c>
      <c r="D62" s="145">
        <f>SUMIFS(Table2[NewPointsAway],Table2[GameDate], "&lt;=" &amp; $A62, Table2[AwayTeam], D$1)+SUMIFS(Table2[NewPointsHome],Table2[GameDate], "&lt;=" &amp; $A62, Table2[HomeTeam], D$1)</f>
        <v>4</v>
      </c>
      <c r="E62" s="145">
        <f>SUMIFS(Table2[NewPointsAway],Table2[GameDate], "&lt;=" &amp; $A62, Table2[AwayTeam], E$1)+SUMIFS(Table2[NewPointsHome],Table2[GameDate], "&lt;=" &amp; $A62, Table2[HomeTeam], E$1)</f>
        <v>10</v>
      </c>
      <c r="F62" s="145">
        <f>SUMIFS(Table2[NewPointsAway],Table2[GameDate], "&lt;=" &amp; $A62, Table2[AwayTeam], F$1)+SUMIFS(Table2[NewPointsHome],Table2[GameDate], "&lt;=" &amp; $A62, Table2[HomeTeam], F$1)</f>
        <v>6</v>
      </c>
      <c r="G62" s="145">
        <f>SUMIFS(Table2[NewPointsAway],Table2[GameDate], "&lt;=" &amp; $A62, Table2[AwayTeam], G$1)+SUMIFS(Table2[NewPointsHome],Table2[GameDate], "&lt;=" &amp; $A62, Table2[HomeTeam], G$1)</f>
        <v>2</v>
      </c>
      <c r="H62" s="145">
        <f>SUMIFS(Table2[NewPointsAway],Table2[GameDate], "&lt;=" &amp; $A62, Table2[AwayTeam], H$1)+SUMIFS(Table2[NewPointsHome],Table2[GameDate], "&lt;=" &amp; $A62, Table2[HomeTeam], H$1)</f>
        <v>8</v>
      </c>
      <c r="I62" s="145">
        <f>SUMIFS(Table2[NewPointsAway],Table2[GameDate], "&lt;=" &amp; $A62, Table2[AwayTeam], I$1)+SUMIFS(Table2[NewPointsHome],Table2[GameDate], "&lt;=" &amp; $A62, Table2[HomeTeam], I$1)</f>
        <v>12</v>
      </c>
      <c r="J62" s="145">
        <f>SUMIFS(Table2[NewPointsAway],Table2[GameDate], "&lt;=" &amp; $A62, Table2[AwayTeam], J$1)+SUMIFS(Table2[NewPointsHome],Table2[GameDate], "&lt;=" &amp; $A62, Table2[HomeTeam], J$1)</f>
        <v>6</v>
      </c>
      <c r="K62" s="145">
        <f>SUMIFS(Table2[NewPointsAway],Table2[GameDate], "&lt;=" &amp; $A62, Table2[AwayTeam], K$1)+SUMIFS(Table2[NewPointsHome],Table2[GameDate], "&lt;=" &amp; $A62, Table2[HomeTeam], K$1)</f>
        <v>10</v>
      </c>
      <c r="L62" s="145">
        <f>SUMIFS(Table2[NewPointsAway],Table2[GameDate], "&lt;=" &amp; $A62, Table2[AwayTeam], L$1)+SUMIFS(Table2[NewPointsHome],Table2[GameDate], "&lt;=" &amp; $A62, Table2[HomeTeam], L$1)</f>
        <v>7</v>
      </c>
      <c r="M62" s="145">
        <f>SUMIFS(Table2[NewPointsAway],Table2[GameDate], "&lt;=" &amp; $A62, Table2[AwayTeam], M$1)+SUMIFS(Table2[NewPointsHome],Table2[GameDate], "&lt;=" &amp; $A62, Table2[HomeTeam], M$1)</f>
        <v>8</v>
      </c>
      <c r="N62" s="145">
        <f>SUMIFS(Table2[NewPointsAway],Table2[GameDate], "&lt;=" &amp; $A62, Table2[AwayTeam], N$1)+SUMIFS(Table2[NewPointsHome],Table2[GameDate], "&lt;=" &amp; $A62, Table2[HomeTeam], N$1)</f>
        <v>6</v>
      </c>
      <c r="O62" s="145">
        <f>SUMIFS(Table2[NewPointsAway],Table2[GameDate], "&lt;=" &amp; $A62, Table2[AwayTeam], O$1)+SUMIFS(Table2[NewPointsHome],Table2[GameDate], "&lt;=" &amp; $A62, Table2[HomeTeam], O$1)</f>
        <v>7</v>
      </c>
      <c r="P62" s="145">
        <f>SUMIFS(Table2[NewPointsAway],Table2[GameDate], "&lt;=" &amp; $A62, Table2[AwayTeam], P$1)+SUMIFS(Table2[NewPointsHome],Table2[GameDate], "&lt;=" &amp; $A62, Table2[HomeTeam], P$1)</f>
        <v>10</v>
      </c>
      <c r="Q62" s="145">
        <f>SUMIFS(Table2[NewPointsAway],Table2[GameDate], "&lt;=" &amp; $A62, Table2[AwayTeam], Q$1)+SUMIFS(Table2[NewPointsHome],Table2[GameDate], "&lt;=" &amp; $A62, Table2[HomeTeam], Q$1)</f>
        <v>10</v>
      </c>
      <c r="R62" s="145">
        <f>SUMIFS(Table2[NewPointsAway],Table2[GameDate], "&lt;=" &amp; $A62, Table2[AwayTeam], R$1)+SUMIFS(Table2[NewPointsHome],Table2[GameDate], "&lt;=" &amp; $A62, Table2[HomeTeam], R$1)</f>
        <v>6</v>
      </c>
      <c r="S62" s="145">
        <f>SUMIFS(Table2[NewPointsAway],Table2[GameDate], "&lt;=" &amp; $A62, Table2[AwayTeam], S$1)+SUMIFS(Table2[NewPointsHome],Table2[GameDate], "&lt;=" &amp; $A62, Table2[HomeTeam], S$1)</f>
        <v>6</v>
      </c>
      <c r="T62" s="145">
        <f>SUMIFS(Table2[NewPointsAway],Table2[GameDate], "&lt;=" &amp; $A62, Table2[AwayTeam], T$1)+SUMIFS(Table2[NewPointsHome],Table2[GameDate], "&lt;=" &amp; $A62, Table2[HomeTeam], T$1)</f>
        <v>7</v>
      </c>
      <c r="U62" s="145">
        <f>SUMIFS(Table2[NewPointsAway],Table2[GameDate], "&lt;=" &amp; $A62, Table2[AwayTeam], U$1)+SUMIFS(Table2[NewPointsHome],Table2[GameDate], "&lt;=" &amp; $A62, Table2[HomeTeam], U$1)</f>
        <v>5</v>
      </c>
      <c r="V62" s="145">
        <f>SUMIFS(Table2[NewPointsAway],Table2[GameDate], "&lt;=" &amp; $A62, Table2[AwayTeam], V$1)+SUMIFS(Table2[NewPointsHome],Table2[GameDate], "&lt;=" &amp; $A62, Table2[HomeTeam], V$1)</f>
        <v>7</v>
      </c>
      <c r="W62" s="145">
        <f>SUMIFS(Table2[NewPointsAway],Table2[GameDate], "&lt;=" &amp; $A62, Table2[AwayTeam], W$1)+SUMIFS(Table2[NewPointsHome],Table2[GameDate], "&lt;=" &amp; $A62, Table2[HomeTeam], W$1)</f>
        <v>10</v>
      </c>
      <c r="X62" s="145">
        <f>SUMIFS(Table2[NewPointsAway],Table2[GameDate], "&lt;=" &amp; $A62, Table2[AwayTeam], X$1)+SUMIFS(Table2[NewPointsHome],Table2[GameDate], "&lt;=" &amp; $A62, Table2[HomeTeam], X$1)</f>
        <v>8</v>
      </c>
      <c r="Y62" s="145">
        <f>SUMIFS(Table2[NewPointsAway],Table2[GameDate], "&lt;=" &amp; $A62, Table2[AwayTeam], Y$1)+SUMIFS(Table2[NewPointsHome],Table2[GameDate], "&lt;=" &amp; $A62, Table2[HomeTeam], Y$1)</f>
        <v>2</v>
      </c>
      <c r="Z62" s="145">
        <f>SUMIFS(Table2[NewPointsAway],Table2[GameDate], "&lt;=" &amp; $A62, Table2[AwayTeam], Z$1)+SUMIFS(Table2[NewPointsHome],Table2[GameDate], "&lt;=" &amp; $A62, Table2[HomeTeam], Z$1)</f>
        <v>7</v>
      </c>
      <c r="AA62" s="145">
        <f>SUMIFS(Table2[NewPointsAway],Table2[GameDate], "&lt;=" &amp; $A62, Table2[AwayTeam], AA$1)+SUMIFS(Table2[NewPointsHome],Table2[GameDate], "&lt;=" &amp; $A62, Table2[HomeTeam], AA$1)</f>
        <v>4</v>
      </c>
      <c r="AB62" s="145">
        <f>SUMIFS(Table2[NewPointsAway],Table2[GameDate], "&lt;=" &amp; $A62, Table2[AwayTeam], AB$1)+SUMIFS(Table2[NewPointsHome],Table2[GameDate], "&lt;=" &amp; $A62, Table2[HomeTeam], AB$1)</f>
        <v>7</v>
      </c>
      <c r="AC62" s="145">
        <f>SUMIFS(Table2[NewPointsAway],Table2[GameDate], "&lt;=" &amp; $A62, Table2[AwayTeam], AC$1)+SUMIFS(Table2[NewPointsHome],Table2[GameDate], "&lt;=" &amp; $A62, Table2[HomeTeam], AC$1)</f>
        <v>10</v>
      </c>
      <c r="AD62" s="145">
        <f>SUMIFS(Table2[NewPointsAway],Table2[GameDate], "&lt;=" &amp; $A62, Table2[AwayTeam], AD$1)+SUMIFS(Table2[NewPointsHome],Table2[GameDate], "&lt;=" &amp; $A62, Table2[HomeTeam], AD$1)</f>
        <v>8</v>
      </c>
      <c r="AE62" s="145">
        <f>SUMIFS(Table2[NewPointsAway],Table2[GameDate], "&lt;=" &amp; $A62, Table2[AwayTeam], AE$1)+SUMIFS(Table2[NewPointsHome],Table2[GameDate], "&lt;=" &amp; $A62, Table2[HomeTeam], AE$1)</f>
        <v>12</v>
      </c>
      <c r="AF62" s="145">
        <f>SUMIFS(Table2[NewPointsAway],Table2[GameDate], "&lt;=" &amp; $A62, Table2[AwayTeam], AF$1)+SUMIFS(Table2[NewPointsHome],Table2[GameDate], "&lt;=" &amp; $A62, Table2[HomeTeam], AF$1)</f>
        <v>10</v>
      </c>
      <c r="AG62" s="145">
        <f>SUMIFS(Table2[NewPointsAway],Table2[GameDate], "&lt;=" &amp; $A62, Table2[AwayTeam], AG$1)+SUMIFS(Table2[NewPointsHome],Table2[GameDate], "&lt;=" &amp; $A62, Table2[HomeTeam], AG$1)</f>
        <v>10</v>
      </c>
    </row>
    <row r="63" spans="1:33" x14ac:dyDescent="0.25">
      <c r="A63" s="3">
        <v>45994</v>
      </c>
      <c r="B63" s="145">
        <f>SUMIFS(Table2[NewPointsAway],Table2[GameDate], "&lt;=" &amp; $A63, Table2[AwayTeam], B$1)+SUMIFS(Table2[NewPointsHome],Table2[GameDate], "&lt;=" &amp; $A63, Table2[HomeTeam], B$1)</f>
        <v>7</v>
      </c>
      <c r="C63" s="145">
        <f>SUMIFS(Table2[NewPointsAway],Table2[GameDate], "&lt;=" &amp; $A63, Table2[AwayTeam], C$1)+SUMIFS(Table2[NewPointsHome],Table2[GameDate], "&lt;=" &amp; $A63, Table2[HomeTeam], C$1)</f>
        <v>6</v>
      </c>
      <c r="D63" s="145">
        <f>SUMIFS(Table2[NewPointsAway],Table2[GameDate], "&lt;=" &amp; $A63, Table2[AwayTeam], D$1)+SUMIFS(Table2[NewPointsHome],Table2[GameDate], "&lt;=" &amp; $A63, Table2[HomeTeam], D$1)</f>
        <v>4</v>
      </c>
      <c r="E63" s="145">
        <f>SUMIFS(Table2[NewPointsAway],Table2[GameDate], "&lt;=" &amp; $A63, Table2[AwayTeam], E$1)+SUMIFS(Table2[NewPointsHome],Table2[GameDate], "&lt;=" &amp; $A63, Table2[HomeTeam], E$1)</f>
        <v>10</v>
      </c>
      <c r="F63" s="145">
        <f>SUMIFS(Table2[NewPointsAway],Table2[GameDate], "&lt;=" &amp; $A63, Table2[AwayTeam], F$1)+SUMIFS(Table2[NewPointsHome],Table2[GameDate], "&lt;=" &amp; $A63, Table2[HomeTeam], F$1)</f>
        <v>6</v>
      </c>
      <c r="G63" s="145">
        <f>SUMIFS(Table2[NewPointsAway],Table2[GameDate], "&lt;=" &amp; $A63, Table2[AwayTeam], G$1)+SUMIFS(Table2[NewPointsHome],Table2[GameDate], "&lt;=" &amp; $A63, Table2[HomeTeam], G$1)</f>
        <v>2</v>
      </c>
      <c r="H63" s="145">
        <f>SUMIFS(Table2[NewPointsAway],Table2[GameDate], "&lt;=" &amp; $A63, Table2[AwayTeam], H$1)+SUMIFS(Table2[NewPointsHome],Table2[GameDate], "&lt;=" &amp; $A63, Table2[HomeTeam], H$1)</f>
        <v>8</v>
      </c>
      <c r="I63" s="145">
        <f>SUMIFS(Table2[NewPointsAway],Table2[GameDate], "&lt;=" &amp; $A63, Table2[AwayTeam], I$1)+SUMIFS(Table2[NewPointsHome],Table2[GameDate], "&lt;=" &amp; $A63, Table2[HomeTeam], I$1)</f>
        <v>12</v>
      </c>
      <c r="J63" s="145">
        <f>SUMIFS(Table2[NewPointsAway],Table2[GameDate], "&lt;=" &amp; $A63, Table2[AwayTeam], J$1)+SUMIFS(Table2[NewPointsHome],Table2[GameDate], "&lt;=" &amp; $A63, Table2[HomeTeam], J$1)</f>
        <v>6</v>
      </c>
      <c r="K63" s="145">
        <f>SUMIFS(Table2[NewPointsAway],Table2[GameDate], "&lt;=" &amp; $A63, Table2[AwayTeam], K$1)+SUMIFS(Table2[NewPointsHome],Table2[GameDate], "&lt;=" &amp; $A63, Table2[HomeTeam], K$1)</f>
        <v>10</v>
      </c>
      <c r="L63" s="145">
        <f>SUMIFS(Table2[NewPointsAway],Table2[GameDate], "&lt;=" &amp; $A63, Table2[AwayTeam], L$1)+SUMIFS(Table2[NewPointsHome],Table2[GameDate], "&lt;=" &amp; $A63, Table2[HomeTeam], L$1)</f>
        <v>7</v>
      </c>
      <c r="M63" s="145">
        <f>SUMIFS(Table2[NewPointsAway],Table2[GameDate], "&lt;=" &amp; $A63, Table2[AwayTeam], M$1)+SUMIFS(Table2[NewPointsHome],Table2[GameDate], "&lt;=" &amp; $A63, Table2[HomeTeam], M$1)</f>
        <v>8</v>
      </c>
      <c r="N63" s="145">
        <f>SUMIFS(Table2[NewPointsAway],Table2[GameDate], "&lt;=" &amp; $A63, Table2[AwayTeam], N$1)+SUMIFS(Table2[NewPointsHome],Table2[GameDate], "&lt;=" &amp; $A63, Table2[HomeTeam], N$1)</f>
        <v>6</v>
      </c>
      <c r="O63" s="145">
        <f>SUMIFS(Table2[NewPointsAway],Table2[GameDate], "&lt;=" &amp; $A63, Table2[AwayTeam], O$1)+SUMIFS(Table2[NewPointsHome],Table2[GameDate], "&lt;=" &amp; $A63, Table2[HomeTeam], O$1)</f>
        <v>7</v>
      </c>
      <c r="P63" s="145">
        <f>SUMIFS(Table2[NewPointsAway],Table2[GameDate], "&lt;=" &amp; $A63, Table2[AwayTeam], P$1)+SUMIFS(Table2[NewPointsHome],Table2[GameDate], "&lt;=" &amp; $A63, Table2[HomeTeam], P$1)</f>
        <v>10</v>
      </c>
      <c r="Q63" s="145">
        <f>SUMIFS(Table2[NewPointsAway],Table2[GameDate], "&lt;=" &amp; $A63, Table2[AwayTeam], Q$1)+SUMIFS(Table2[NewPointsHome],Table2[GameDate], "&lt;=" &amp; $A63, Table2[HomeTeam], Q$1)</f>
        <v>10</v>
      </c>
      <c r="R63" s="145">
        <f>SUMIFS(Table2[NewPointsAway],Table2[GameDate], "&lt;=" &amp; $A63, Table2[AwayTeam], R$1)+SUMIFS(Table2[NewPointsHome],Table2[GameDate], "&lt;=" &amp; $A63, Table2[HomeTeam], R$1)</f>
        <v>6</v>
      </c>
      <c r="S63" s="145">
        <f>SUMIFS(Table2[NewPointsAway],Table2[GameDate], "&lt;=" &amp; $A63, Table2[AwayTeam], S$1)+SUMIFS(Table2[NewPointsHome],Table2[GameDate], "&lt;=" &amp; $A63, Table2[HomeTeam], S$1)</f>
        <v>6</v>
      </c>
      <c r="T63" s="145">
        <f>SUMIFS(Table2[NewPointsAway],Table2[GameDate], "&lt;=" &amp; $A63, Table2[AwayTeam], T$1)+SUMIFS(Table2[NewPointsHome],Table2[GameDate], "&lt;=" &amp; $A63, Table2[HomeTeam], T$1)</f>
        <v>7</v>
      </c>
      <c r="U63" s="145">
        <f>SUMIFS(Table2[NewPointsAway],Table2[GameDate], "&lt;=" &amp; $A63, Table2[AwayTeam], U$1)+SUMIFS(Table2[NewPointsHome],Table2[GameDate], "&lt;=" &amp; $A63, Table2[HomeTeam], U$1)</f>
        <v>5</v>
      </c>
      <c r="V63" s="145">
        <f>SUMIFS(Table2[NewPointsAway],Table2[GameDate], "&lt;=" &amp; $A63, Table2[AwayTeam], V$1)+SUMIFS(Table2[NewPointsHome],Table2[GameDate], "&lt;=" &amp; $A63, Table2[HomeTeam], V$1)</f>
        <v>7</v>
      </c>
      <c r="W63" s="145">
        <f>SUMIFS(Table2[NewPointsAway],Table2[GameDate], "&lt;=" &amp; $A63, Table2[AwayTeam], W$1)+SUMIFS(Table2[NewPointsHome],Table2[GameDate], "&lt;=" &amp; $A63, Table2[HomeTeam], W$1)</f>
        <v>10</v>
      </c>
      <c r="X63" s="145">
        <f>SUMIFS(Table2[NewPointsAway],Table2[GameDate], "&lt;=" &amp; $A63, Table2[AwayTeam], X$1)+SUMIFS(Table2[NewPointsHome],Table2[GameDate], "&lt;=" &amp; $A63, Table2[HomeTeam], X$1)</f>
        <v>8</v>
      </c>
      <c r="Y63" s="145">
        <f>SUMIFS(Table2[NewPointsAway],Table2[GameDate], "&lt;=" &amp; $A63, Table2[AwayTeam], Y$1)+SUMIFS(Table2[NewPointsHome],Table2[GameDate], "&lt;=" &amp; $A63, Table2[HomeTeam], Y$1)</f>
        <v>2</v>
      </c>
      <c r="Z63" s="145">
        <f>SUMIFS(Table2[NewPointsAway],Table2[GameDate], "&lt;=" &amp; $A63, Table2[AwayTeam], Z$1)+SUMIFS(Table2[NewPointsHome],Table2[GameDate], "&lt;=" &amp; $A63, Table2[HomeTeam], Z$1)</f>
        <v>7</v>
      </c>
      <c r="AA63" s="145">
        <f>SUMIFS(Table2[NewPointsAway],Table2[GameDate], "&lt;=" &amp; $A63, Table2[AwayTeam], AA$1)+SUMIFS(Table2[NewPointsHome],Table2[GameDate], "&lt;=" &amp; $A63, Table2[HomeTeam], AA$1)</f>
        <v>4</v>
      </c>
      <c r="AB63" s="145">
        <f>SUMIFS(Table2[NewPointsAway],Table2[GameDate], "&lt;=" &amp; $A63, Table2[AwayTeam], AB$1)+SUMIFS(Table2[NewPointsHome],Table2[GameDate], "&lt;=" &amp; $A63, Table2[HomeTeam], AB$1)</f>
        <v>7</v>
      </c>
      <c r="AC63" s="145">
        <f>SUMIFS(Table2[NewPointsAway],Table2[GameDate], "&lt;=" &amp; $A63, Table2[AwayTeam], AC$1)+SUMIFS(Table2[NewPointsHome],Table2[GameDate], "&lt;=" &amp; $A63, Table2[HomeTeam], AC$1)</f>
        <v>10</v>
      </c>
      <c r="AD63" s="145">
        <f>SUMIFS(Table2[NewPointsAway],Table2[GameDate], "&lt;=" &amp; $A63, Table2[AwayTeam], AD$1)+SUMIFS(Table2[NewPointsHome],Table2[GameDate], "&lt;=" &amp; $A63, Table2[HomeTeam], AD$1)</f>
        <v>8</v>
      </c>
      <c r="AE63" s="145">
        <f>SUMIFS(Table2[NewPointsAway],Table2[GameDate], "&lt;=" &amp; $A63, Table2[AwayTeam], AE$1)+SUMIFS(Table2[NewPointsHome],Table2[GameDate], "&lt;=" &amp; $A63, Table2[HomeTeam], AE$1)</f>
        <v>12</v>
      </c>
      <c r="AF63" s="145">
        <f>SUMIFS(Table2[NewPointsAway],Table2[GameDate], "&lt;=" &amp; $A63, Table2[AwayTeam], AF$1)+SUMIFS(Table2[NewPointsHome],Table2[GameDate], "&lt;=" &amp; $A63, Table2[HomeTeam], AF$1)</f>
        <v>10</v>
      </c>
      <c r="AG63" s="145">
        <f>SUMIFS(Table2[NewPointsAway],Table2[GameDate], "&lt;=" &amp; $A63, Table2[AwayTeam], AG$1)+SUMIFS(Table2[NewPointsHome],Table2[GameDate], "&lt;=" &amp; $A63, Table2[HomeTeam], AG$1)</f>
        <v>10</v>
      </c>
    </row>
    <row r="64" spans="1:33" x14ac:dyDescent="0.25">
      <c r="A64" s="3">
        <v>45995</v>
      </c>
      <c r="B64" s="145">
        <f>SUMIFS(Table2[NewPointsAway],Table2[GameDate], "&lt;=" &amp; $A64, Table2[AwayTeam], B$1)+SUMIFS(Table2[NewPointsHome],Table2[GameDate], "&lt;=" &amp; $A64, Table2[HomeTeam], B$1)</f>
        <v>7</v>
      </c>
      <c r="C64" s="145">
        <f>SUMIFS(Table2[NewPointsAway],Table2[GameDate], "&lt;=" &amp; $A64, Table2[AwayTeam], C$1)+SUMIFS(Table2[NewPointsHome],Table2[GameDate], "&lt;=" &amp; $A64, Table2[HomeTeam], C$1)</f>
        <v>6</v>
      </c>
      <c r="D64" s="145">
        <f>SUMIFS(Table2[NewPointsAway],Table2[GameDate], "&lt;=" &amp; $A64, Table2[AwayTeam], D$1)+SUMIFS(Table2[NewPointsHome],Table2[GameDate], "&lt;=" &amp; $A64, Table2[HomeTeam], D$1)</f>
        <v>4</v>
      </c>
      <c r="E64" s="145">
        <f>SUMIFS(Table2[NewPointsAway],Table2[GameDate], "&lt;=" &amp; $A64, Table2[AwayTeam], E$1)+SUMIFS(Table2[NewPointsHome],Table2[GameDate], "&lt;=" &amp; $A64, Table2[HomeTeam], E$1)</f>
        <v>10</v>
      </c>
      <c r="F64" s="145">
        <f>SUMIFS(Table2[NewPointsAway],Table2[GameDate], "&lt;=" &amp; $A64, Table2[AwayTeam], F$1)+SUMIFS(Table2[NewPointsHome],Table2[GameDate], "&lt;=" &amp; $A64, Table2[HomeTeam], F$1)</f>
        <v>6</v>
      </c>
      <c r="G64" s="145">
        <f>SUMIFS(Table2[NewPointsAway],Table2[GameDate], "&lt;=" &amp; $A64, Table2[AwayTeam], G$1)+SUMIFS(Table2[NewPointsHome],Table2[GameDate], "&lt;=" &amp; $A64, Table2[HomeTeam], G$1)</f>
        <v>2</v>
      </c>
      <c r="H64" s="145">
        <f>SUMIFS(Table2[NewPointsAway],Table2[GameDate], "&lt;=" &amp; $A64, Table2[AwayTeam], H$1)+SUMIFS(Table2[NewPointsHome],Table2[GameDate], "&lt;=" &amp; $A64, Table2[HomeTeam], H$1)</f>
        <v>8</v>
      </c>
      <c r="I64" s="145">
        <f>SUMIFS(Table2[NewPointsAway],Table2[GameDate], "&lt;=" &amp; $A64, Table2[AwayTeam], I$1)+SUMIFS(Table2[NewPointsHome],Table2[GameDate], "&lt;=" &amp; $A64, Table2[HomeTeam], I$1)</f>
        <v>12</v>
      </c>
      <c r="J64" s="145">
        <f>SUMIFS(Table2[NewPointsAway],Table2[GameDate], "&lt;=" &amp; $A64, Table2[AwayTeam], J$1)+SUMIFS(Table2[NewPointsHome],Table2[GameDate], "&lt;=" &amp; $A64, Table2[HomeTeam], J$1)</f>
        <v>6</v>
      </c>
      <c r="K64" s="145">
        <f>SUMIFS(Table2[NewPointsAway],Table2[GameDate], "&lt;=" &amp; $A64, Table2[AwayTeam], K$1)+SUMIFS(Table2[NewPointsHome],Table2[GameDate], "&lt;=" &amp; $A64, Table2[HomeTeam], K$1)</f>
        <v>10</v>
      </c>
      <c r="L64" s="145">
        <f>SUMIFS(Table2[NewPointsAway],Table2[GameDate], "&lt;=" &amp; $A64, Table2[AwayTeam], L$1)+SUMIFS(Table2[NewPointsHome],Table2[GameDate], "&lt;=" &amp; $A64, Table2[HomeTeam], L$1)</f>
        <v>7</v>
      </c>
      <c r="M64" s="145">
        <f>SUMIFS(Table2[NewPointsAway],Table2[GameDate], "&lt;=" &amp; $A64, Table2[AwayTeam], M$1)+SUMIFS(Table2[NewPointsHome],Table2[GameDate], "&lt;=" &amp; $A64, Table2[HomeTeam], M$1)</f>
        <v>8</v>
      </c>
      <c r="N64" s="145">
        <f>SUMIFS(Table2[NewPointsAway],Table2[GameDate], "&lt;=" &amp; $A64, Table2[AwayTeam], N$1)+SUMIFS(Table2[NewPointsHome],Table2[GameDate], "&lt;=" &amp; $A64, Table2[HomeTeam], N$1)</f>
        <v>6</v>
      </c>
      <c r="O64" s="145">
        <f>SUMIFS(Table2[NewPointsAway],Table2[GameDate], "&lt;=" &amp; $A64, Table2[AwayTeam], O$1)+SUMIFS(Table2[NewPointsHome],Table2[GameDate], "&lt;=" &amp; $A64, Table2[HomeTeam], O$1)</f>
        <v>7</v>
      </c>
      <c r="P64" s="145">
        <f>SUMIFS(Table2[NewPointsAway],Table2[GameDate], "&lt;=" &amp; $A64, Table2[AwayTeam], P$1)+SUMIFS(Table2[NewPointsHome],Table2[GameDate], "&lt;=" &amp; $A64, Table2[HomeTeam], P$1)</f>
        <v>10</v>
      </c>
      <c r="Q64" s="145">
        <f>SUMIFS(Table2[NewPointsAway],Table2[GameDate], "&lt;=" &amp; $A64, Table2[AwayTeam], Q$1)+SUMIFS(Table2[NewPointsHome],Table2[GameDate], "&lt;=" &amp; $A64, Table2[HomeTeam], Q$1)</f>
        <v>10</v>
      </c>
      <c r="R64" s="145">
        <f>SUMIFS(Table2[NewPointsAway],Table2[GameDate], "&lt;=" &amp; $A64, Table2[AwayTeam], R$1)+SUMIFS(Table2[NewPointsHome],Table2[GameDate], "&lt;=" &amp; $A64, Table2[HomeTeam], R$1)</f>
        <v>6</v>
      </c>
      <c r="S64" s="145">
        <f>SUMIFS(Table2[NewPointsAway],Table2[GameDate], "&lt;=" &amp; $A64, Table2[AwayTeam], S$1)+SUMIFS(Table2[NewPointsHome],Table2[GameDate], "&lt;=" &amp; $A64, Table2[HomeTeam], S$1)</f>
        <v>6</v>
      </c>
      <c r="T64" s="145">
        <f>SUMIFS(Table2[NewPointsAway],Table2[GameDate], "&lt;=" &amp; $A64, Table2[AwayTeam], T$1)+SUMIFS(Table2[NewPointsHome],Table2[GameDate], "&lt;=" &amp; $A64, Table2[HomeTeam], T$1)</f>
        <v>7</v>
      </c>
      <c r="U64" s="145">
        <f>SUMIFS(Table2[NewPointsAway],Table2[GameDate], "&lt;=" &amp; $A64, Table2[AwayTeam], U$1)+SUMIFS(Table2[NewPointsHome],Table2[GameDate], "&lt;=" &amp; $A64, Table2[HomeTeam], U$1)</f>
        <v>5</v>
      </c>
      <c r="V64" s="145">
        <f>SUMIFS(Table2[NewPointsAway],Table2[GameDate], "&lt;=" &amp; $A64, Table2[AwayTeam], V$1)+SUMIFS(Table2[NewPointsHome],Table2[GameDate], "&lt;=" &amp; $A64, Table2[HomeTeam], V$1)</f>
        <v>7</v>
      </c>
      <c r="W64" s="145">
        <f>SUMIFS(Table2[NewPointsAway],Table2[GameDate], "&lt;=" &amp; $A64, Table2[AwayTeam], W$1)+SUMIFS(Table2[NewPointsHome],Table2[GameDate], "&lt;=" &amp; $A64, Table2[HomeTeam], W$1)</f>
        <v>10</v>
      </c>
      <c r="X64" s="145">
        <f>SUMIFS(Table2[NewPointsAway],Table2[GameDate], "&lt;=" &amp; $A64, Table2[AwayTeam], X$1)+SUMIFS(Table2[NewPointsHome],Table2[GameDate], "&lt;=" &amp; $A64, Table2[HomeTeam], X$1)</f>
        <v>8</v>
      </c>
      <c r="Y64" s="145">
        <f>SUMIFS(Table2[NewPointsAway],Table2[GameDate], "&lt;=" &amp; $A64, Table2[AwayTeam], Y$1)+SUMIFS(Table2[NewPointsHome],Table2[GameDate], "&lt;=" &amp; $A64, Table2[HomeTeam], Y$1)</f>
        <v>2</v>
      </c>
      <c r="Z64" s="145">
        <f>SUMIFS(Table2[NewPointsAway],Table2[GameDate], "&lt;=" &amp; $A64, Table2[AwayTeam], Z$1)+SUMIFS(Table2[NewPointsHome],Table2[GameDate], "&lt;=" &amp; $A64, Table2[HomeTeam], Z$1)</f>
        <v>7</v>
      </c>
      <c r="AA64" s="145">
        <f>SUMIFS(Table2[NewPointsAway],Table2[GameDate], "&lt;=" &amp; $A64, Table2[AwayTeam], AA$1)+SUMIFS(Table2[NewPointsHome],Table2[GameDate], "&lt;=" &amp; $A64, Table2[HomeTeam], AA$1)</f>
        <v>4</v>
      </c>
      <c r="AB64" s="145">
        <f>SUMIFS(Table2[NewPointsAway],Table2[GameDate], "&lt;=" &amp; $A64, Table2[AwayTeam], AB$1)+SUMIFS(Table2[NewPointsHome],Table2[GameDate], "&lt;=" &amp; $A64, Table2[HomeTeam], AB$1)</f>
        <v>7</v>
      </c>
      <c r="AC64" s="145">
        <f>SUMIFS(Table2[NewPointsAway],Table2[GameDate], "&lt;=" &amp; $A64, Table2[AwayTeam], AC$1)+SUMIFS(Table2[NewPointsHome],Table2[GameDate], "&lt;=" &amp; $A64, Table2[HomeTeam], AC$1)</f>
        <v>10</v>
      </c>
      <c r="AD64" s="145">
        <f>SUMIFS(Table2[NewPointsAway],Table2[GameDate], "&lt;=" &amp; $A64, Table2[AwayTeam], AD$1)+SUMIFS(Table2[NewPointsHome],Table2[GameDate], "&lt;=" &amp; $A64, Table2[HomeTeam], AD$1)</f>
        <v>8</v>
      </c>
      <c r="AE64" s="145">
        <f>SUMIFS(Table2[NewPointsAway],Table2[GameDate], "&lt;=" &amp; $A64, Table2[AwayTeam], AE$1)+SUMIFS(Table2[NewPointsHome],Table2[GameDate], "&lt;=" &amp; $A64, Table2[HomeTeam], AE$1)</f>
        <v>12</v>
      </c>
      <c r="AF64" s="145">
        <f>SUMIFS(Table2[NewPointsAway],Table2[GameDate], "&lt;=" &amp; $A64, Table2[AwayTeam], AF$1)+SUMIFS(Table2[NewPointsHome],Table2[GameDate], "&lt;=" &amp; $A64, Table2[HomeTeam], AF$1)</f>
        <v>10</v>
      </c>
      <c r="AG64" s="145">
        <f>SUMIFS(Table2[NewPointsAway],Table2[GameDate], "&lt;=" &amp; $A64, Table2[AwayTeam], AG$1)+SUMIFS(Table2[NewPointsHome],Table2[GameDate], "&lt;=" &amp; $A64, Table2[HomeTeam], AG$1)</f>
        <v>10</v>
      </c>
    </row>
    <row r="65" spans="1:33" x14ac:dyDescent="0.25">
      <c r="A65" s="3">
        <v>45996</v>
      </c>
      <c r="B65" s="145">
        <f>SUMIFS(Table2[NewPointsAway],Table2[GameDate], "&lt;=" &amp; $A65, Table2[AwayTeam], B$1)+SUMIFS(Table2[NewPointsHome],Table2[GameDate], "&lt;=" &amp; $A65, Table2[HomeTeam], B$1)</f>
        <v>7</v>
      </c>
      <c r="C65" s="145">
        <f>SUMIFS(Table2[NewPointsAway],Table2[GameDate], "&lt;=" &amp; $A65, Table2[AwayTeam], C$1)+SUMIFS(Table2[NewPointsHome],Table2[GameDate], "&lt;=" &amp; $A65, Table2[HomeTeam], C$1)</f>
        <v>6</v>
      </c>
      <c r="D65" s="145">
        <f>SUMIFS(Table2[NewPointsAway],Table2[GameDate], "&lt;=" &amp; $A65, Table2[AwayTeam], D$1)+SUMIFS(Table2[NewPointsHome],Table2[GameDate], "&lt;=" &amp; $A65, Table2[HomeTeam], D$1)</f>
        <v>4</v>
      </c>
      <c r="E65" s="145">
        <f>SUMIFS(Table2[NewPointsAway],Table2[GameDate], "&lt;=" &amp; $A65, Table2[AwayTeam], E$1)+SUMIFS(Table2[NewPointsHome],Table2[GameDate], "&lt;=" &amp; $A65, Table2[HomeTeam], E$1)</f>
        <v>10</v>
      </c>
      <c r="F65" s="145">
        <f>SUMIFS(Table2[NewPointsAway],Table2[GameDate], "&lt;=" &amp; $A65, Table2[AwayTeam], F$1)+SUMIFS(Table2[NewPointsHome],Table2[GameDate], "&lt;=" &amp; $A65, Table2[HomeTeam], F$1)</f>
        <v>6</v>
      </c>
      <c r="G65" s="145">
        <f>SUMIFS(Table2[NewPointsAway],Table2[GameDate], "&lt;=" &amp; $A65, Table2[AwayTeam], G$1)+SUMIFS(Table2[NewPointsHome],Table2[GameDate], "&lt;=" &amp; $A65, Table2[HomeTeam], G$1)</f>
        <v>2</v>
      </c>
      <c r="H65" s="145">
        <f>SUMIFS(Table2[NewPointsAway],Table2[GameDate], "&lt;=" &amp; $A65, Table2[AwayTeam], H$1)+SUMIFS(Table2[NewPointsHome],Table2[GameDate], "&lt;=" &amp; $A65, Table2[HomeTeam], H$1)</f>
        <v>8</v>
      </c>
      <c r="I65" s="145">
        <f>SUMIFS(Table2[NewPointsAway],Table2[GameDate], "&lt;=" &amp; $A65, Table2[AwayTeam], I$1)+SUMIFS(Table2[NewPointsHome],Table2[GameDate], "&lt;=" &amp; $A65, Table2[HomeTeam], I$1)</f>
        <v>12</v>
      </c>
      <c r="J65" s="145">
        <f>SUMIFS(Table2[NewPointsAway],Table2[GameDate], "&lt;=" &amp; $A65, Table2[AwayTeam], J$1)+SUMIFS(Table2[NewPointsHome],Table2[GameDate], "&lt;=" &amp; $A65, Table2[HomeTeam], J$1)</f>
        <v>6</v>
      </c>
      <c r="K65" s="145">
        <f>SUMIFS(Table2[NewPointsAway],Table2[GameDate], "&lt;=" &amp; $A65, Table2[AwayTeam], K$1)+SUMIFS(Table2[NewPointsHome],Table2[GameDate], "&lt;=" &amp; $A65, Table2[HomeTeam], K$1)</f>
        <v>10</v>
      </c>
      <c r="L65" s="145">
        <f>SUMIFS(Table2[NewPointsAway],Table2[GameDate], "&lt;=" &amp; $A65, Table2[AwayTeam], L$1)+SUMIFS(Table2[NewPointsHome],Table2[GameDate], "&lt;=" &amp; $A65, Table2[HomeTeam], L$1)</f>
        <v>7</v>
      </c>
      <c r="M65" s="145">
        <f>SUMIFS(Table2[NewPointsAway],Table2[GameDate], "&lt;=" &amp; $A65, Table2[AwayTeam], M$1)+SUMIFS(Table2[NewPointsHome],Table2[GameDate], "&lt;=" &amp; $A65, Table2[HomeTeam], M$1)</f>
        <v>8</v>
      </c>
      <c r="N65" s="145">
        <f>SUMIFS(Table2[NewPointsAway],Table2[GameDate], "&lt;=" &amp; $A65, Table2[AwayTeam], N$1)+SUMIFS(Table2[NewPointsHome],Table2[GameDate], "&lt;=" &amp; $A65, Table2[HomeTeam], N$1)</f>
        <v>6</v>
      </c>
      <c r="O65" s="145">
        <f>SUMIFS(Table2[NewPointsAway],Table2[GameDate], "&lt;=" &amp; $A65, Table2[AwayTeam], O$1)+SUMIFS(Table2[NewPointsHome],Table2[GameDate], "&lt;=" &amp; $A65, Table2[HomeTeam], O$1)</f>
        <v>7</v>
      </c>
      <c r="P65" s="145">
        <f>SUMIFS(Table2[NewPointsAway],Table2[GameDate], "&lt;=" &amp; $A65, Table2[AwayTeam], P$1)+SUMIFS(Table2[NewPointsHome],Table2[GameDate], "&lt;=" &amp; $A65, Table2[HomeTeam], P$1)</f>
        <v>10</v>
      </c>
      <c r="Q65" s="145">
        <f>SUMIFS(Table2[NewPointsAway],Table2[GameDate], "&lt;=" &amp; $A65, Table2[AwayTeam], Q$1)+SUMIFS(Table2[NewPointsHome],Table2[GameDate], "&lt;=" &amp; $A65, Table2[HomeTeam], Q$1)</f>
        <v>10</v>
      </c>
      <c r="R65" s="145">
        <f>SUMIFS(Table2[NewPointsAway],Table2[GameDate], "&lt;=" &amp; $A65, Table2[AwayTeam], R$1)+SUMIFS(Table2[NewPointsHome],Table2[GameDate], "&lt;=" &amp; $A65, Table2[HomeTeam], R$1)</f>
        <v>6</v>
      </c>
      <c r="S65" s="145">
        <f>SUMIFS(Table2[NewPointsAway],Table2[GameDate], "&lt;=" &amp; $A65, Table2[AwayTeam], S$1)+SUMIFS(Table2[NewPointsHome],Table2[GameDate], "&lt;=" &amp; $A65, Table2[HomeTeam], S$1)</f>
        <v>6</v>
      </c>
      <c r="T65" s="145">
        <f>SUMIFS(Table2[NewPointsAway],Table2[GameDate], "&lt;=" &amp; $A65, Table2[AwayTeam], T$1)+SUMIFS(Table2[NewPointsHome],Table2[GameDate], "&lt;=" &amp; $A65, Table2[HomeTeam], T$1)</f>
        <v>7</v>
      </c>
      <c r="U65" s="145">
        <f>SUMIFS(Table2[NewPointsAway],Table2[GameDate], "&lt;=" &amp; $A65, Table2[AwayTeam], U$1)+SUMIFS(Table2[NewPointsHome],Table2[GameDate], "&lt;=" &amp; $A65, Table2[HomeTeam], U$1)</f>
        <v>5</v>
      </c>
      <c r="V65" s="145">
        <f>SUMIFS(Table2[NewPointsAway],Table2[GameDate], "&lt;=" &amp; $A65, Table2[AwayTeam], V$1)+SUMIFS(Table2[NewPointsHome],Table2[GameDate], "&lt;=" &amp; $A65, Table2[HomeTeam], V$1)</f>
        <v>7</v>
      </c>
      <c r="W65" s="145">
        <f>SUMIFS(Table2[NewPointsAway],Table2[GameDate], "&lt;=" &amp; $A65, Table2[AwayTeam], W$1)+SUMIFS(Table2[NewPointsHome],Table2[GameDate], "&lt;=" &amp; $A65, Table2[HomeTeam], W$1)</f>
        <v>10</v>
      </c>
      <c r="X65" s="145">
        <f>SUMIFS(Table2[NewPointsAway],Table2[GameDate], "&lt;=" &amp; $A65, Table2[AwayTeam], X$1)+SUMIFS(Table2[NewPointsHome],Table2[GameDate], "&lt;=" &amp; $A65, Table2[HomeTeam], X$1)</f>
        <v>8</v>
      </c>
      <c r="Y65" s="145">
        <f>SUMIFS(Table2[NewPointsAway],Table2[GameDate], "&lt;=" &amp; $A65, Table2[AwayTeam], Y$1)+SUMIFS(Table2[NewPointsHome],Table2[GameDate], "&lt;=" &amp; $A65, Table2[HomeTeam], Y$1)</f>
        <v>2</v>
      </c>
      <c r="Z65" s="145">
        <f>SUMIFS(Table2[NewPointsAway],Table2[GameDate], "&lt;=" &amp; $A65, Table2[AwayTeam], Z$1)+SUMIFS(Table2[NewPointsHome],Table2[GameDate], "&lt;=" &amp; $A65, Table2[HomeTeam], Z$1)</f>
        <v>7</v>
      </c>
      <c r="AA65" s="145">
        <f>SUMIFS(Table2[NewPointsAway],Table2[GameDate], "&lt;=" &amp; $A65, Table2[AwayTeam], AA$1)+SUMIFS(Table2[NewPointsHome],Table2[GameDate], "&lt;=" &amp; $A65, Table2[HomeTeam], AA$1)</f>
        <v>4</v>
      </c>
      <c r="AB65" s="145">
        <f>SUMIFS(Table2[NewPointsAway],Table2[GameDate], "&lt;=" &amp; $A65, Table2[AwayTeam], AB$1)+SUMIFS(Table2[NewPointsHome],Table2[GameDate], "&lt;=" &amp; $A65, Table2[HomeTeam], AB$1)</f>
        <v>7</v>
      </c>
      <c r="AC65" s="145">
        <f>SUMIFS(Table2[NewPointsAway],Table2[GameDate], "&lt;=" &amp; $A65, Table2[AwayTeam], AC$1)+SUMIFS(Table2[NewPointsHome],Table2[GameDate], "&lt;=" &amp; $A65, Table2[HomeTeam], AC$1)</f>
        <v>10</v>
      </c>
      <c r="AD65" s="145">
        <f>SUMIFS(Table2[NewPointsAway],Table2[GameDate], "&lt;=" &amp; $A65, Table2[AwayTeam], AD$1)+SUMIFS(Table2[NewPointsHome],Table2[GameDate], "&lt;=" &amp; $A65, Table2[HomeTeam], AD$1)</f>
        <v>8</v>
      </c>
      <c r="AE65" s="145">
        <f>SUMIFS(Table2[NewPointsAway],Table2[GameDate], "&lt;=" &amp; $A65, Table2[AwayTeam], AE$1)+SUMIFS(Table2[NewPointsHome],Table2[GameDate], "&lt;=" &amp; $A65, Table2[HomeTeam], AE$1)</f>
        <v>12</v>
      </c>
      <c r="AF65" s="145">
        <f>SUMIFS(Table2[NewPointsAway],Table2[GameDate], "&lt;=" &amp; $A65, Table2[AwayTeam], AF$1)+SUMIFS(Table2[NewPointsHome],Table2[GameDate], "&lt;=" &amp; $A65, Table2[HomeTeam], AF$1)</f>
        <v>10</v>
      </c>
      <c r="AG65" s="145">
        <f>SUMIFS(Table2[NewPointsAway],Table2[GameDate], "&lt;=" &amp; $A65, Table2[AwayTeam], AG$1)+SUMIFS(Table2[NewPointsHome],Table2[GameDate], "&lt;=" &amp; $A65, Table2[HomeTeam], AG$1)</f>
        <v>10</v>
      </c>
    </row>
    <row r="66" spans="1:33" x14ac:dyDescent="0.25">
      <c r="A66" s="3">
        <v>45997</v>
      </c>
      <c r="B66" s="145">
        <f>SUMIFS(Table2[NewPointsAway],Table2[GameDate], "&lt;=" &amp; $A66, Table2[AwayTeam], B$1)+SUMIFS(Table2[NewPointsHome],Table2[GameDate], "&lt;=" &amp; $A66, Table2[HomeTeam], B$1)</f>
        <v>7</v>
      </c>
      <c r="C66" s="145">
        <f>SUMIFS(Table2[NewPointsAway],Table2[GameDate], "&lt;=" &amp; $A66, Table2[AwayTeam], C$1)+SUMIFS(Table2[NewPointsHome],Table2[GameDate], "&lt;=" &amp; $A66, Table2[HomeTeam], C$1)</f>
        <v>6</v>
      </c>
      <c r="D66" s="145">
        <f>SUMIFS(Table2[NewPointsAway],Table2[GameDate], "&lt;=" &amp; $A66, Table2[AwayTeam], D$1)+SUMIFS(Table2[NewPointsHome],Table2[GameDate], "&lt;=" &amp; $A66, Table2[HomeTeam], D$1)</f>
        <v>4</v>
      </c>
      <c r="E66" s="145">
        <f>SUMIFS(Table2[NewPointsAway],Table2[GameDate], "&lt;=" &amp; $A66, Table2[AwayTeam], E$1)+SUMIFS(Table2[NewPointsHome],Table2[GameDate], "&lt;=" &amp; $A66, Table2[HomeTeam], E$1)</f>
        <v>10</v>
      </c>
      <c r="F66" s="145">
        <f>SUMIFS(Table2[NewPointsAway],Table2[GameDate], "&lt;=" &amp; $A66, Table2[AwayTeam], F$1)+SUMIFS(Table2[NewPointsHome],Table2[GameDate], "&lt;=" &amp; $A66, Table2[HomeTeam], F$1)</f>
        <v>6</v>
      </c>
      <c r="G66" s="145">
        <f>SUMIFS(Table2[NewPointsAway],Table2[GameDate], "&lt;=" &amp; $A66, Table2[AwayTeam], G$1)+SUMIFS(Table2[NewPointsHome],Table2[GameDate], "&lt;=" &amp; $A66, Table2[HomeTeam], G$1)</f>
        <v>2</v>
      </c>
      <c r="H66" s="145">
        <f>SUMIFS(Table2[NewPointsAway],Table2[GameDate], "&lt;=" &amp; $A66, Table2[AwayTeam], H$1)+SUMIFS(Table2[NewPointsHome],Table2[GameDate], "&lt;=" &amp; $A66, Table2[HomeTeam], H$1)</f>
        <v>8</v>
      </c>
      <c r="I66" s="145">
        <f>SUMIFS(Table2[NewPointsAway],Table2[GameDate], "&lt;=" &amp; $A66, Table2[AwayTeam], I$1)+SUMIFS(Table2[NewPointsHome],Table2[GameDate], "&lt;=" &amp; $A66, Table2[HomeTeam], I$1)</f>
        <v>12</v>
      </c>
      <c r="J66" s="145">
        <f>SUMIFS(Table2[NewPointsAway],Table2[GameDate], "&lt;=" &amp; $A66, Table2[AwayTeam], J$1)+SUMIFS(Table2[NewPointsHome],Table2[GameDate], "&lt;=" &amp; $A66, Table2[HomeTeam], J$1)</f>
        <v>6</v>
      </c>
      <c r="K66" s="145">
        <f>SUMIFS(Table2[NewPointsAway],Table2[GameDate], "&lt;=" &amp; $A66, Table2[AwayTeam], K$1)+SUMIFS(Table2[NewPointsHome],Table2[GameDate], "&lt;=" &amp; $A66, Table2[HomeTeam], K$1)</f>
        <v>10</v>
      </c>
      <c r="L66" s="145">
        <f>SUMIFS(Table2[NewPointsAway],Table2[GameDate], "&lt;=" &amp; $A66, Table2[AwayTeam], L$1)+SUMIFS(Table2[NewPointsHome],Table2[GameDate], "&lt;=" &amp; $A66, Table2[HomeTeam], L$1)</f>
        <v>7</v>
      </c>
      <c r="M66" s="145">
        <f>SUMIFS(Table2[NewPointsAway],Table2[GameDate], "&lt;=" &amp; $A66, Table2[AwayTeam], M$1)+SUMIFS(Table2[NewPointsHome],Table2[GameDate], "&lt;=" &amp; $A66, Table2[HomeTeam], M$1)</f>
        <v>8</v>
      </c>
      <c r="N66" s="145">
        <f>SUMIFS(Table2[NewPointsAway],Table2[GameDate], "&lt;=" &amp; $A66, Table2[AwayTeam], N$1)+SUMIFS(Table2[NewPointsHome],Table2[GameDate], "&lt;=" &amp; $A66, Table2[HomeTeam], N$1)</f>
        <v>6</v>
      </c>
      <c r="O66" s="145">
        <f>SUMIFS(Table2[NewPointsAway],Table2[GameDate], "&lt;=" &amp; $A66, Table2[AwayTeam], O$1)+SUMIFS(Table2[NewPointsHome],Table2[GameDate], "&lt;=" &amp; $A66, Table2[HomeTeam], O$1)</f>
        <v>7</v>
      </c>
      <c r="P66" s="145">
        <f>SUMIFS(Table2[NewPointsAway],Table2[GameDate], "&lt;=" &amp; $A66, Table2[AwayTeam], P$1)+SUMIFS(Table2[NewPointsHome],Table2[GameDate], "&lt;=" &amp; $A66, Table2[HomeTeam], P$1)</f>
        <v>10</v>
      </c>
      <c r="Q66" s="145">
        <f>SUMIFS(Table2[NewPointsAway],Table2[GameDate], "&lt;=" &amp; $A66, Table2[AwayTeam], Q$1)+SUMIFS(Table2[NewPointsHome],Table2[GameDate], "&lt;=" &amp; $A66, Table2[HomeTeam], Q$1)</f>
        <v>10</v>
      </c>
      <c r="R66" s="145">
        <f>SUMIFS(Table2[NewPointsAway],Table2[GameDate], "&lt;=" &amp; $A66, Table2[AwayTeam], R$1)+SUMIFS(Table2[NewPointsHome],Table2[GameDate], "&lt;=" &amp; $A66, Table2[HomeTeam], R$1)</f>
        <v>6</v>
      </c>
      <c r="S66" s="145">
        <f>SUMIFS(Table2[NewPointsAway],Table2[GameDate], "&lt;=" &amp; $A66, Table2[AwayTeam], S$1)+SUMIFS(Table2[NewPointsHome],Table2[GameDate], "&lt;=" &amp; $A66, Table2[HomeTeam], S$1)</f>
        <v>6</v>
      </c>
      <c r="T66" s="145">
        <f>SUMIFS(Table2[NewPointsAway],Table2[GameDate], "&lt;=" &amp; $A66, Table2[AwayTeam], T$1)+SUMIFS(Table2[NewPointsHome],Table2[GameDate], "&lt;=" &amp; $A66, Table2[HomeTeam], T$1)</f>
        <v>7</v>
      </c>
      <c r="U66" s="145">
        <f>SUMIFS(Table2[NewPointsAway],Table2[GameDate], "&lt;=" &amp; $A66, Table2[AwayTeam], U$1)+SUMIFS(Table2[NewPointsHome],Table2[GameDate], "&lt;=" &amp; $A66, Table2[HomeTeam], U$1)</f>
        <v>5</v>
      </c>
      <c r="V66" s="145">
        <f>SUMIFS(Table2[NewPointsAway],Table2[GameDate], "&lt;=" &amp; $A66, Table2[AwayTeam], V$1)+SUMIFS(Table2[NewPointsHome],Table2[GameDate], "&lt;=" &amp; $A66, Table2[HomeTeam], V$1)</f>
        <v>7</v>
      </c>
      <c r="W66" s="145">
        <f>SUMIFS(Table2[NewPointsAway],Table2[GameDate], "&lt;=" &amp; $A66, Table2[AwayTeam], W$1)+SUMIFS(Table2[NewPointsHome],Table2[GameDate], "&lt;=" &amp; $A66, Table2[HomeTeam], W$1)</f>
        <v>10</v>
      </c>
      <c r="X66" s="145">
        <f>SUMIFS(Table2[NewPointsAway],Table2[GameDate], "&lt;=" &amp; $A66, Table2[AwayTeam], X$1)+SUMIFS(Table2[NewPointsHome],Table2[GameDate], "&lt;=" &amp; $A66, Table2[HomeTeam], X$1)</f>
        <v>8</v>
      </c>
      <c r="Y66" s="145">
        <f>SUMIFS(Table2[NewPointsAway],Table2[GameDate], "&lt;=" &amp; $A66, Table2[AwayTeam], Y$1)+SUMIFS(Table2[NewPointsHome],Table2[GameDate], "&lt;=" &amp; $A66, Table2[HomeTeam], Y$1)</f>
        <v>2</v>
      </c>
      <c r="Z66" s="145">
        <f>SUMIFS(Table2[NewPointsAway],Table2[GameDate], "&lt;=" &amp; $A66, Table2[AwayTeam], Z$1)+SUMIFS(Table2[NewPointsHome],Table2[GameDate], "&lt;=" &amp; $A66, Table2[HomeTeam], Z$1)</f>
        <v>7</v>
      </c>
      <c r="AA66" s="145">
        <f>SUMIFS(Table2[NewPointsAway],Table2[GameDate], "&lt;=" &amp; $A66, Table2[AwayTeam], AA$1)+SUMIFS(Table2[NewPointsHome],Table2[GameDate], "&lt;=" &amp; $A66, Table2[HomeTeam], AA$1)</f>
        <v>4</v>
      </c>
      <c r="AB66" s="145">
        <f>SUMIFS(Table2[NewPointsAway],Table2[GameDate], "&lt;=" &amp; $A66, Table2[AwayTeam], AB$1)+SUMIFS(Table2[NewPointsHome],Table2[GameDate], "&lt;=" &amp; $A66, Table2[HomeTeam], AB$1)</f>
        <v>7</v>
      </c>
      <c r="AC66" s="145">
        <f>SUMIFS(Table2[NewPointsAway],Table2[GameDate], "&lt;=" &amp; $A66, Table2[AwayTeam], AC$1)+SUMIFS(Table2[NewPointsHome],Table2[GameDate], "&lt;=" &amp; $A66, Table2[HomeTeam], AC$1)</f>
        <v>10</v>
      </c>
      <c r="AD66" s="145">
        <f>SUMIFS(Table2[NewPointsAway],Table2[GameDate], "&lt;=" &amp; $A66, Table2[AwayTeam], AD$1)+SUMIFS(Table2[NewPointsHome],Table2[GameDate], "&lt;=" &amp; $A66, Table2[HomeTeam], AD$1)</f>
        <v>8</v>
      </c>
      <c r="AE66" s="145">
        <f>SUMIFS(Table2[NewPointsAway],Table2[GameDate], "&lt;=" &amp; $A66, Table2[AwayTeam], AE$1)+SUMIFS(Table2[NewPointsHome],Table2[GameDate], "&lt;=" &amp; $A66, Table2[HomeTeam], AE$1)</f>
        <v>12</v>
      </c>
      <c r="AF66" s="145">
        <f>SUMIFS(Table2[NewPointsAway],Table2[GameDate], "&lt;=" &amp; $A66, Table2[AwayTeam], AF$1)+SUMIFS(Table2[NewPointsHome],Table2[GameDate], "&lt;=" &amp; $A66, Table2[HomeTeam], AF$1)</f>
        <v>10</v>
      </c>
      <c r="AG66" s="145">
        <f>SUMIFS(Table2[NewPointsAway],Table2[GameDate], "&lt;=" &amp; $A66, Table2[AwayTeam], AG$1)+SUMIFS(Table2[NewPointsHome],Table2[GameDate], "&lt;=" &amp; $A66, Table2[HomeTeam], AG$1)</f>
        <v>10</v>
      </c>
    </row>
    <row r="67" spans="1:33" x14ac:dyDescent="0.25">
      <c r="A67" s="3">
        <v>45998</v>
      </c>
      <c r="B67" s="145">
        <f>SUMIFS(Table2[NewPointsAway],Table2[GameDate], "&lt;=" &amp; $A67, Table2[AwayTeam], B$1)+SUMIFS(Table2[NewPointsHome],Table2[GameDate], "&lt;=" &amp; $A67, Table2[HomeTeam], B$1)</f>
        <v>7</v>
      </c>
      <c r="C67" s="145">
        <f>SUMIFS(Table2[NewPointsAway],Table2[GameDate], "&lt;=" &amp; $A67, Table2[AwayTeam], C$1)+SUMIFS(Table2[NewPointsHome],Table2[GameDate], "&lt;=" &amp; $A67, Table2[HomeTeam], C$1)</f>
        <v>6</v>
      </c>
      <c r="D67" s="145">
        <f>SUMIFS(Table2[NewPointsAway],Table2[GameDate], "&lt;=" &amp; $A67, Table2[AwayTeam], D$1)+SUMIFS(Table2[NewPointsHome],Table2[GameDate], "&lt;=" &amp; $A67, Table2[HomeTeam], D$1)</f>
        <v>4</v>
      </c>
      <c r="E67" s="145">
        <f>SUMIFS(Table2[NewPointsAway],Table2[GameDate], "&lt;=" &amp; $A67, Table2[AwayTeam], E$1)+SUMIFS(Table2[NewPointsHome],Table2[GameDate], "&lt;=" &amp; $A67, Table2[HomeTeam], E$1)</f>
        <v>10</v>
      </c>
      <c r="F67" s="145">
        <f>SUMIFS(Table2[NewPointsAway],Table2[GameDate], "&lt;=" &amp; $A67, Table2[AwayTeam], F$1)+SUMIFS(Table2[NewPointsHome],Table2[GameDate], "&lt;=" &amp; $A67, Table2[HomeTeam], F$1)</f>
        <v>6</v>
      </c>
      <c r="G67" s="145">
        <f>SUMIFS(Table2[NewPointsAway],Table2[GameDate], "&lt;=" &amp; $A67, Table2[AwayTeam], G$1)+SUMIFS(Table2[NewPointsHome],Table2[GameDate], "&lt;=" &amp; $A67, Table2[HomeTeam], G$1)</f>
        <v>2</v>
      </c>
      <c r="H67" s="145">
        <f>SUMIFS(Table2[NewPointsAway],Table2[GameDate], "&lt;=" &amp; $A67, Table2[AwayTeam], H$1)+SUMIFS(Table2[NewPointsHome],Table2[GameDate], "&lt;=" &amp; $A67, Table2[HomeTeam], H$1)</f>
        <v>8</v>
      </c>
      <c r="I67" s="145">
        <f>SUMIFS(Table2[NewPointsAway],Table2[GameDate], "&lt;=" &amp; $A67, Table2[AwayTeam], I$1)+SUMIFS(Table2[NewPointsHome],Table2[GameDate], "&lt;=" &amp; $A67, Table2[HomeTeam], I$1)</f>
        <v>12</v>
      </c>
      <c r="J67" s="145">
        <f>SUMIFS(Table2[NewPointsAway],Table2[GameDate], "&lt;=" &amp; $A67, Table2[AwayTeam], J$1)+SUMIFS(Table2[NewPointsHome],Table2[GameDate], "&lt;=" &amp; $A67, Table2[HomeTeam], J$1)</f>
        <v>6</v>
      </c>
      <c r="K67" s="145">
        <f>SUMIFS(Table2[NewPointsAway],Table2[GameDate], "&lt;=" &amp; $A67, Table2[AwayTeam], K$1)+SUMIFS(Table2[NewPointsHome],Table2[GameDate], "&lt;=" &amp; $A67, Table2[HomeTeam], K$1)</f>
        <v>10</v>
      </c>
      <c r="L67" s="145">
        <f>SUMIFS(Table2[NewPointsAway],Table2[GameDate], "&lt;=" &amp; $A67, Table2[AwayTeam], L$1)+SUMIFS(Table2[NewPointsHome],Table2[GameDate], "&lt;=" &amp; $A67, Table2[HomeTeam], L$1)</f>
        <v>7</v>
      </c>
      <c r="M67" s="145">
        <f>SUMIFS(Table2[NewPointsAway],Table2[GameDate], "&lt;=" &amp; $A67, Table2[AwayTeam], M$1)+SUMIFS(Table2[NewPointsHome],Table2[GameDate], "&lt;=" &amp; $A67, Table2[HomeTeam], M$1)</f>
        <v>8</v>
      </c>
      <c r="N67" s="145">
        <f>SUMIFS(Table2[NewPointsAway],Table2[GameDate], "&lt;=" &amp; $A67, Table2[AwayTeam], N$1)+SUMIFS(Table2[NewPointsHome],Table2[GameDate], "&lt;=" &amp; $A67, Table2[HomeTeam], N$1)</f>
        <v>6</v>
      </c>
      <c r="O67" s="145">
        <f>SUMIFS(Table2[NewPointsAway],Table2[GameDate], "&lt;=" &amp; $A67, Table2[AwayTeam], O$1)+SUMIFS(Table2[NewPointsHome],Table2[GameDate], "&lt;=" &amp; $A67, Table2[HomeTeam], O$1)</f>
        <v>7</v>
      </c>
      <c r="P67" s="145">
        <f>SUMIFS(Table2[NewPointsAway],Table2[GameDate], "&lt;=" &amp; $A67, Table2[AwayTeam], P$1)+SUMIFS(Table2[NewPointsHome],Table2[GameDate], "&lt;=" &amp; $A67, Table2[HomeTeam], P$1)</f>
        <v>10</v>
      </c>
      <c r="Q67" s="145">
        <f>SUMIFS(Table2[NewPointsAway],Table2[GameDate], "&lt;=" &amp; $A67, Table2[AwayTeam], Q$1)+SUMIFS(Table2[NewPointsHome],Table2[GameDate], "&lt;=" &amp; $A67, Table2[HomeTeam], Q$1)</f>
        <v>10</v>
      </c>
      <c r="R67" s="145">
        <f>SUMIFS(Table2[NewPointsAway],Table2[GameDate], "&lt;=" &amp; $A67, Table2[AwayTeam], R$1)+SUMIFS(Table2[NewPointsHome],Table2[GameDate], "&lt;=" &amp; $A67, Table2[HomeTeam], R$1)</f>
        <v>6</v>
      </c>
      <c r="S67" s="145">
        <f>SUMIFS(Table2[NewPointsAway],Table2[GameDate], "&lt;=" &amp; $A67, Table2[AwayTeam], S$1)+SUMIFS(Table2[NewPointsHome],Table2[GameDate], "&lt;=" &amp; $A67, Table2[HomeTeam], S$1)</f>
        <v>6</v>
      </c>
      <c r="T67" s="145">
        <f>SUMIFS(Table2[NewPointsAway],Table2[GameDate], "&lt;=" &amp; $A67, Table2[AwayTeam], T$1)+SUMIFS(Table2[NewPointsHome],Table2[GameDate], "&lt;=" &amp; $A67, Table2[HomeTeam], T$1)</f>
        <v>7</v>
      </c>
      <c r="U67" s="145">
        <f>SUMIFS(Table2[NewPointsAway],Table2[GameDate], "&lt;=" &amp; $A67, Table2[AwayTeam], U$1)+SUMIFS(Table2[NewPointsHome],Table2[GameDate], "&lt;=" &amp; $A67, Table2[HomeTeam], U$1)</f>
        <v>5</v>
      </c>
      <c r="V67" s="145">
        <f>SUMIFS(Table2[NewPointsAway],Table2[GameDate], "&lt;=" &amp; $A67, Table2[AwayTeam], V$1)+SUMIFS(Table2[NewPointsHome],Table2[GameDate], "&lt;=" &amp; $A67, Table2[HomeTeam], V$1)</f>
        <v>7</v>
      </c>
      <c r="W67" s="145">
        <f>SUMIFS(Table2[NewPointsAway],Table2[GameDate], "&lt;=" &amp; $A67, Table2[AwayTeam], W$1)+SUMIFS(Table2[NewPointsHome],Table2[GameDate], "&lt;=" &amp; $A67, Table2[HomeTeam], W$1)</f>
        <v>10</v>
      </c>
      <c r="X67" s="145">
        <f>SUMIFS(Table2[NewPointsAway],Table2[GameDate], "&lt;=" &amp; $A67, Table2[AwayTeam], X$1)+SUMIFS(Table2[NewPointsHome],Table2[GameDate], "&lt;=" &amp; $A67, Table2[HomeTeam], X$1)</f>
        <v>8</v>
      </c>
      <c r="Y67" s="145">
        <f>SUMIFS(Table2[NewPointsAway],Table2[GameDate], "&lt;=" &amp; $A67, Table2[AwayTeam], Y$1)+SUMIFS(Table2[NewPointsHome],Table2[GameDate], "&lt;=" &amp; $A67, Table2[HomeTeam], Y$1)</f>
        <v>2</v>
      </c>
      <c r="Z67" s="145">
        <f>SUMIFS(Table2[NewPointsAway],Table2[GameDate], "&lt;=" &amp; $A67, Table2[AwayTeam], Z$1)+SUMIFS(Table2[NewPointsHome],Table2[GameDate], "&lt;=" &amp; $A67, Table2[HomeTeam], Z$1)</f>
        <v>7</v>
      </c>
      <c r="AA67" s="145">
        <f>SUMIFS(Table2[NewPointsAway],Table2[GameDate], "&lt;=" &amp; $A67, Table2[AwayTeam], AA$1)+SUMIFS(Table2[NewPointsHome],Table2[GameDate], "&lt;=" &amp; $A67, Table2[HomeTeam], AA$1)</f>
        <v>4</v>
      </c>
      <c r="AB67" s="145">
        <f>SUMIFS(Table2[NewPointsAway],Table2[GameDate], "&lt;=" &amp; $A67, Table2[AwayTeam], AB$1)+SUMIFS(Table2[NewPointsHome],Table2[GameDate], "&lt;=" &amp; $A67, Table2[HomeTeam], AB$1)</f>
        <v>7</v>
      </c>
      <c r="AC67" s="145">
        <f>SUMIFS(Table2[NewPointsAway],Table2[GameDate], "&lt;=" &amp; $A67, Table2[AwayTeam], AC$1)+SUMIFS(Table2[NewPointsHome],Table2[GameDate], "&lt;=" &amp; $A67, Table2[HomeTeam], AC$1)</f>
        <v>10</v>
      </c>
      <c r="AD67" s="145">
        <f>SUMIFS(Table2[NewPointsAway],Table2[GameDate], "&lt;=" &amp; $A67, Table2[AwayTeam], AD$1)+SUMIFS(Table2[NewPointsHome],Table2[GameDate], "&lt;=" &amp; $A67, Table2[HomeTeam], AD$1)</f>
        <v>8</v>
      </c>
      <c r="AE67" s="145">
        <f>SUMIFS(Table2[NewPointsAway],Table2[GameDate], "&lt;=" &amp; $A67, Table2[AwayTeam], AE$1)+SUMIFS(Table2[NewPointsHome],Table2[GameDate], "&lt;=" &amp; $A67, Table2[HomeTeam], AE$1)</f>
        <v>12</v>
      </c>
      <c r="AF67" s="145">
        <f>SUMIFS(Table2[NewPointsAway],Table2[GameDate], "&lt;=" &amp; $A67, Table2[AwayTeam], AF$1)+SUMIFS(Table2[NewPointsHome],Table2[GameDate], "&lt;=" &amp; $A67, Table2[HomeTeam], AF$1)</f>
        <v>10</v>
      </c>
      <c r="AG67" s="145">
        <f>SUMIFS(Table2[NewPointsAway],Table2[GameDate], "&lt;=" &amp; $A67, Table2[AwayTeam], AG$1)+SUMIFS(Table2[NewPointsHome],Table2[GameDate], "&lt;=" &amp; $A67, Table2[HomeTeam], AG$1)</f>
        <v>10</v>
      </c>
    </row>
    <row r="68" spans="1:33" x14ac:dyDescent="0.25">
      <c r="A68" s="3">
        <v>45999</v>
      </c>
      <c r="B68" s="145">
        <f>SUMIFS(Table2[NewPointsAway],Table2[GameDate], "&lt;=" &amp; $A68, Table2[AwayTeam], B$1)+SUMIFS(Table2[NewPointsHome],Table2[GameDate], "&lt;=" &amp; $A68, Table2[HomeTeam], B$1)</f>
        <v>7</v>
      </c>
      <c r="C68" s="145">
        <f>SUMIFS(Table2[NewPointsAway],Table2[GameDate], "&lt;=" &amp; $A68, Table2[AwayTeam], C$1)+SUMIFS(Table2[NewPointsHome],Table2[GameDate], "&lt;=" &amp; $A68, Table2[HomeTeam], C$1)</f>
        <v>6</v>
      </c>
      <c r="D68" s="145">
        <f>SUMIFS(Table2[NewPointsAway],Table2[GameDate], "&lt;=" &amp; $A68, Table2[AwayTeam], D$1)+SUMIFS(Table2[NewPointsHome],Table2[GameDate], "&lt;=" &amp; $A68, Table2[HomeTeam], D$1)</f>
        <v>4</v>
      </c>
      <c r="E68" s="145">
        <f>SUMIFS(Table2[NewPointsAway],Table2[GameDate], "&lt;=" &amp; $A68, Table2[AwayTeam], E$1)+SUMIFS(Table2[NewPointsHome],Table2[GameDate], "&lt;=" &amp; $A68, Table2[HomeTeam], E$1)</f>
        <v>10</v>
      </c>
      <c r="F68" s="145">
        <f>SUMIFS(Table2[NewPointsAway],Table2[GameDate], "&lt;=" &amp; $A68, Table2[AwayTeam], F$1)+SUMIFS(Table2[NewPointsHome],Table2[GameDate], "&lt;=" &amp; $A68, Table2[HomeTeam], F$1)</f>
        <v>6</v>
      </c>
      <c r="G68" s="145">
        <f>SUMIFS(Table2[NewPointsAway],Table2[GameDate], "&lt;=" &amp; $A68, Table2[AwayTeam], G$1)+SUMIFS(Table2[NewPointsHome],Table2[GameDate], "&lt;=" &amp; $A68, Table2[HomeTeam], G$1)</f>
        <v>2</v>
      </c>
      <c r="H68" s="145">
        <f>SUMIFS(Table2[NewPointsAway],Table2[GameDate], "&lt;=" &amp; $A68, Table2[AwayTeam], H$1)+SUMIFS(Table2[NewPointsHome],Table2[GameDate], "&lt;=" &amp; $A68, Table2[HomeTeam], H$1)</f>
        <v>8</v>
      </c>
      <c r="I68" s="145">
        <f>SUMIFS(Table2[NewPointsAway],Table2[GameDate], "&lt;=" &amp; $A68, Table2[AwayTeam], I$1)+SUMIFS(Table2[NewPointsHome],Table2[GameDate], "&lt;=" &amp; $A68, Table2[HomeTeam], I$1)</f>
        <v>12</v>
      </c>
      <c r="J68" s="145">
        <f>SUMIFS(Table2[NewPointsAway],Table2[GameDate], "&lt;=" &amp; $A68, Table2[AwayTeam], J$1)+SUMIFS(Table2[NewPointsHome],Table2[GameDate], "&lt;=" &amp; $A68, Table2[HomeTeam], J$1)</f>
        <v>6</v>
      </c>
      <c r="K68" s="145">
        <f>SUMIFS(Table2[NewPointsAway],Table2[GameDate], "&lt;=" &amp; $A68, Table2[AwayTeam], K$1)+SUMIFS(Table2[NewPointsHome],Table2[GameDate], "&lt;=" &amp; $A68, Table2[HomeTeam], K$1)</f>
        <v>10</v>
      </c>
      <c r="L68" s="145">
        <f>SUMIFS(Table2[NewPointsAway],Table2[GameDate], "&lt;=" &amp; $A68, Table2[AwayTeam], L$1)+SUMIFS(Table2[NewPointsHome],Table2[GameDate], "&lt;=" &amp; $A68, Table2[HomeTeam], L$1)</f>
        <v>7</v>
      </c>
      <c r="M68" s="145">
        <f>SUMIFS(Table2[NewPointsAway],Table2[GameDate], "&lt;=" &amp; $A68, Table2[AwayTeam], M$1)+SUMIFS(Table2[NewPointsHome],Table2[GameDate], "&lt;=" &amp; $A68, Table2[HomeTeam], M$1)</f>
        <v>8</v>
      </c>
      <c r="N68" s="145">
        <f>SUMIFS(Table2[NewPointsAway],Table2[GameDate], "&lt;=" &amp; $A68, Table2[AwayTeam], N$1)+SUMIFS(Table2[NewPointsHome],Table2[GameDate], "&lt;=" &amp; $A68, Table2[HomeTeam], N$1)</f>
        <v>6</v>
      </c>
      <c r="O68" s="145">
        <f>SUMIFS(Table2[NewPointsAway],Table2[GameDate], "&lt;=" &amp; $A68, Table2[AwayTeam], O$1)+SUMIFS(Table2[NewPointsHome],Table2[GameDate], "&lt;=" &amp; $A68, Table2[HomeTeam], O$1)</f>
        <v>7</v>
      </c>
      <c r="P68" s="145">
        <f>SUMIFS(Table2[NewPointsAway],Table2[GameDate], "&lt;=" &amp; $A68, Table2[AwayTeam], P$1)+SUMIFS(Table2[NewPointsHome],Table2[GameDate], "&lt;=" &amp; $A68, Table2[HomeTeam], P$1)</f>
        <v>10</v>
      </c>
      <c r="Q68" s="145">
        <f>SUMIFS(Table2[NewPointsAway],Table2[GameDate], "&lt;=" &amp; $A68, Table2[AwayTeam], Q$1)+SUMIFS(Table2[NewPointsHome],Table2[GameDate], "&lt;=" &amp; $A68, Table2[HomeTeam], Q$1)</f>
        <v>10</v>
      </c>
      <c r="R68" s="145">
        <f>SUMIFS(Table2[NewPointsAway],Table2[GameDate], "&lt;=" &amp; $A68, Table2[AwayTeam], R$1)+SUMIFS(Table2[NewPointsHome],Table2[GameDate], "&lt;=" &amp; $A68, Table2[HomeTeam], R$1)</f>
        <v>6</v>
      </c>
      <c r="S68" s="145">
        <f>SUMIFS(Table2[NewPointsAway],Table2[GameDate], "&lt;=" &amp; $A68, Table2[AwayTeam], S$1)+SUMIFS(Table2[NewPointsHome],Table2[GameDate], "&lt;=" &amp; $A68, Table2[HomeTeam], S$1)</f>
        <v>6</v>
      </c>
      <c r="T68" s="145">
        <f>SUMIFS(Table2[NewPointsAway],Table2[GameDate], "&lt;=" &amp; $A68, Table2[AwayTeam], T$1)+SUMIFS(Table2[NewPointsHome],Table2[GameDate], "&lt;=" &amp; $A68, Table2[HomeTeam], T$1)</f>
        <v>7</v>
      </c>
      <c r="U68" s="145">
        <f>SUMIFS(Table2[NewPointsAway],Table2[GameDate], "&lt;=" &amp; $A68, Table2[AwayTeam], U$1)+SUMIFS(Table2[NewPointsHome],Table2[GameDate], "&lt;=" &amp; $A68, Table2[HomeTeam], U$1)</f>
        <v>5</v>
      </c>
      <c r="V68" s="145">
        <f>SUMIFS(Table2[NewPointsAway],Table2[GameDate], "&lt;=" &amp; $A68, Table2[AwayTeam], V$1)+SUMIFS(Table2[NewPointsHome],Table2[GameDate], "&lt;=" &amp; $A68, Table2[HomeTeam], V$1)</f>
        <v>7</v>
      </c>
      <c r="W68" s="145">
        <f>SUMIFS(Table2[NewPointsAway],Table2[GameDate], "&lt;=" &amp; $A68, Table2[AwayTeam], W$1)+SUMIFS(Table2[NewPointsHome],Table2[GameDate], "&lt;=" &amp; $A68, Table2[HomeTeam], W$1)</f>
        <v>10</v>
      </c>
      <c r="X68" s="145">
        <f>SUMIFS(Table2[NewPointsAway],Table2[GameDate], "&lt;=" &amp; $A68, Table2[AwayTeam], X$1)+SUMIFS(Table2[NewPointsHome],Table2[GameDate], "&lt;=" &amp; $A68, Table2[HomeTeam], X$1)</f>
        <v>8</v>
      </c>
      <c r="Y68" s="145">
        <f>SUMIFS(Table2[NewPointsAway],Table2[GameDate], "&lt;=" &amp; $A68, Table2[AwayTeam], Y$1)+SUMIFS(Table2[NewPointsHome],Table2[GameDate], "&lt;=" &amp; $A68, Table2[HomeTeam], Y$1)</f>
        <v>2</v>
      </c>
      <c r="Z68" s="145">
        <f>SUMIFS(Table2[NewPointsAway],Table2[GameDate], "&lt;=" &amp; $A68, Table2[AwayTeam], Z$1)+SUMIFS(Table2[NewPointsHome],Table2[GameDate], "&lt;=" &amp; $A68, Table2[HomeTeam], Z$1)</f>
        <v>7</v>
      </c>
      <c r="AA68" s="145">
        <f>SUMIFS(Table2[NewPointsAway],Table2[GameDate], "&lt;=" &amp; $A68, Table2[AwayTeam], AA$1)+SUMIFS(Table2[NewPointsHome],Table2[GameDate], "&lt;=" &amp; $A68, Table2[HomeTeam], AA$1)</f>
        <v>4</v>
      </c>
      <c r="AB68" s="145">
        <f>SUMIFS(Table2[NewPointsAway],Table2[GameDate], "&lt;=" &amp; $A68, Table2[AwayTeam], AB$1)+SUMIFS(Table2[NewPointsHome],Table2[GameDate], "&lt;=" &amp; $A68, Table2[HomeTeam], AB$1)</f>
        <v>7</v>
      </c>
      <c r="AC68" s="145">
        <f>SUMIFS(Table2[NewPointsAway],Table2[GameDate], "&lt;=" &amp; $A68, Table2[AwayTeam], AC$1)+SUMIFS(Table2[NewPointsHome],Table2[GameDate], "&lt;=" &amp; $A68, Table2[HomeTeam], AC$1)</f>
        <v>10</v>
      </c>
      <c r="AD68" s="145">
        <f>SUMIFS(Table2[NewPointsAway],Table2[GameDate], "&lt;=" &amp; $A68, Table2[AwayTeam], AD$1)+SUMIFS(Table2[NewPointsHome],Table2[GameDate], "&lt;=" &amp; $A68, Table2[HomeTeam], AD$1)</f>
        <v>8</v>
      </c>
      <c r="AE68" s="145">
        <f>SUMIFS(Table2[NewPointsAway],Table2[GameDate], "&lt;=" &amp; $A68, Table2[AwayTeam], AE$1)+SUMIFS(Table2[NewPointsHome],Table2[GameDate], "&lt;=" &amp; $A68, Table2[HomeTeam], AE$1)</f>
        <v>12</v>
      </c>
      <c r="AF68" s="145">
        <f>SUMIFS(Table2[NewPointsAway],Table2[GameDate], "&lt;=" &amp; $A68, Table2[AwayTeam], AF$1)+SUMIFS(Table2[NewPointsHome],Table2[GameDate], "&lt;=" &amp; $A68, Table2[HomeTeam], AF$1)</f>
        <v>10</v>
      </c>
      <c r="AG68" s="145">
        <f>SUMIFS(Table2[NewPointsAway],Table2[GameDate], "&lt;=" &amp; $A68, Table2[AwayTeam], AG$1)+SUMIFS(Table2[NewPointsHome],Table2[GameDate], "&lt;=" &amp; $A68, Table2[HomeTeam], AG$1)</f>
        <v>10</v>
      </c>
    </row>
    <row r="69" spans="1:33" x14ac:dyDescent="0.25">
      <c r="A69" s="3">
        <v>46000</v>
      </c>
      <c r="B69" s="145">
        <f>SUMIFS(Table2[NewPointsAway],Table2[GameDate], "&lt;=" &amp; $A69, Table2[AwayTeam], B$1)+SUMIFS(Table2[NewPointsHome],Table2[GameDate], "&lt;=" &amp; $A69, Table2[HomeTeam], B$1)</f>
        <v>7</v>
      </c>
      <c r="C69" s="145">
        <f>SUMIFS(Table2[NewPointsAway],Table2[GameDate], "&lt;=" &amp; $A69, Table2[AwayTeam], C$1)+SUMIFS(Table2[NewPointsHome],Table2[GameDate], "&lt;=" &amp; $A69, Table2[HomeTeam], C$1)</f>
        <v>6</v>
      </c>
      <c r="D69" s="145">
        <f>SUMIFS(Table2[NewPointsAway],Table2[GameDate], "&lt;=" &amp; $A69, Table2[AwayTeam], D$1)+SUMIFS(Table2[NewPointsHome],Table2[GameDate], "&lt;=" &amp; $A69, Table2[HomeTeam], D$1)</f>
        <v>4</v>
      </c>
      <c r="E69" s="145">
        <f>SUMIFS(Table2[NewPointsAway],Table2[GameDate], "&lt;=" &amp; $A69, Table2[AwayTeam], E$1)+SUMIFS(Table2[NewPointsHome],Table2[GameDate], "&lt;=" &amp; $A69, Table2[HomeTeam], E$1)</f>
        <v>10</v>
      </c>
      <c r="F69" s="145">
        <f>SUMIFS(Table2[NewPointsAway],Table2[GameDate], "&lt;=" &amp; $A69, Table2[AwayTeam], F$1)+SUMIFS(Table2[NewPointsHome],Table2[GameDate], "&lt;=" &amp; $A69, Table2[HomeTeam], F$1)</f>
        <v>6</v>
      </c>
      <c r="G69" s="145">
        <f>SUMIFS(Table2[NewPointsAway],Table2[GameDate], "&lt;=" &amp; $A69, Table2[AwayTeam], G$1)+SUMIFS(Table2[NewPointsHome],Table2[GameDate], "&lt;=" &amp; $A69, Table2[HomeTeam], G$1)</f>
        <v>2</v>
      </c>
      <c r="H69" s="145">
        <f>SUMIFS(Table2[NewPointsAway],Table2[GameDate], "&lt;=" &amp; $A69, Table2[AwayTeam], H$1)+SUMIFS(Table2[NewPointsHome],Table2[GameDate], "&lt;=" &amp; $A69, Table2[HomeTeam], H$1)</f>
        <v>8</v>
      </c>
      <c r="I69" s="145">
        <f>SUMIFS(Table2[NewPointsAway],Table2[GameDate], "&lt;=" &amp; $A69, Table2[AwayTeam], I$1)+SUMIFS(Table2[NewPointsHome],Table2[GameDate], "&lt;=" &amp; $A69, Table2[HomeTeam], I$1)</f>
        <v>12</v>
      </c>
      <c r="J69" s="145">
        <f>SUMIFS(Table2[NewPointsAway],Table2[GameDate], "&lt;=" &amp; $A69, Table2[AwayTeam], J$1)+SUMIFS(Table2[NewPointsHome],Table2[GameDate], "&lt;=" &amp; $A69, Table2[HomeTeam], J$1)</f>
        <v>6</v>
      </c>
      <c r="K69" s="145">
        <f>SUMIFS(Table2[NewPointsAway],Table2[GameDate], "&lt;=" &amp; $A69, Table2[AwayTeam], K$1)+SUMIFS(Table2[NewPointsHome],Table2[GameDate], "&lt;=" &amp; $A69, Table2[HomeTeam], K$1)</f>
        <v>10</v>
      </c>
      <c r="L69" s="145">
        <f>SUMIFS(Table2[NewPointsAway],Table2[GameDate], "&lt;=" &amp; $A69, Table2[AwayTeam], L$1)+SUMIFS(Table2[NewPointsHome],Table2[GameDate], "&lt;=" &amp; $A69, Table2[HomeTeam], L$1)</f>
        <v>7</v>
      </c>
      <c r="M69" s="145">
        <f>SUMIFS(Table2[NewPointsAway],Table2[GameDate], "&lt;=" &amp; $A69, Table2[AwayTeam], M$1)+SUMIFS(Table2[NewPointsHome],Table2[GameDate], "&lt;=" &amp; $A69, Table2[HomeTeam], M$1)</f>
        <v>8</v>
      </c>
      <c r="N69" s="145">
        <f>SUMIFS(Table2[NewPointsAway],Table2[GameDate], "&lt;=" &amp; $A69, Table2[AwayTeam], N$1)+SUMIFS(Table2[NewPointsHome],Table2[GameDate], "&lt;=" &amp; $A69, Table2[HomeTeam], N$1)</f>
        <v>6</v>
      </c>
      <c r="O69" s="145">
        <f>SUMIFS(Table2[NewPointsAway],Table2[GameDate], "&lt;=" &amp; $A69, Table2[AwayTeam], O$1)+SUMIFS(Table2[NewPointsHome],Table2[GameDate], "&lt;=" &amp; $A69, Table2[HomeTeam], O$1)</f>
        <v>7</v>
      </c>
      <c r="P69" s="145">
        <f>SUMIFS(Table2[NewPointsAway],Table2[GameDate], "&lt;=" &amp; $A69, Table2[AwayTeam], P$1)+SUMIFS(Table2[NewPointsHome],Table2[GameDate], "&lt;=" &amp; $A69, Table2[HomeTeam], P$1)</f>
        <v>10</v>
      </c>
      <c r="Q69" s="145">
        <f>SUMIFS(Table2[NewPointsAway],Table2[GameDate], "&lt;=" &amp; $A69, Table2[AwayTeam], Q$1)+SUMIFS(Table2[NewPointsHome],Table2[GameDate], "&lt;=" &amp; $A69, Table2[HomeTeam], Q$1)</f>
        <v>10</v>
      </c>
      <c r="R69" s="145">
        <f>SUMIFS(Table2[NewPointsAway],Table2[GameDate], "&lt;=" &amp; $A69, Table2[AwayTeam], R$1)+SUMIFS(Table2[NewPointsHome],Table2[GameDate], "&lt;=" &amp; $A69, Table2[HomeTeam], R$1)</f>
        <v>6</v>
      </c>
      <c r="S69" s="145">
        <f>SUMIFS(Table2[NewPointsAway],Table2[GameDate], "&lt;=" &amp; $A69, Table2[AwayTeam], S$1)+SUMIFS(Table2[NewPointsHome],Table2[GameDate], "&lt;=" &amp; $A69, Table2[HomeTeam], S$1)</f>
        <v>6</v>
      </c>
      <c r="T69" s="145">
        <f>SUMIFS(Table2[NewPointsAway],Table2[GameDate], "&lt;=" &amp; $A69, Table2[AwayTeam], T$1)+SUMIFS(Table2[NewPointsHome],Table2[GameDate], "&lt;=" &amp; $A69, Table2[HomeTeam], T$1)</f>
        <v>7</v>
      </c>
      <c r="U69" s="145">
        <f>SUMIFS(Table2[NewPointsAway],Table2[GameDate], "&lt;=" &amp; $A69, Table2[AwayTeam], U$1)+SUMIFS(Table2[NewPointsHome],Table2[GameDate], "&lt;=" &amp; $A69, Table2[HomeTeam], U$1)</f>
        <v>5</v>
      </c>
      <c r="V69" s="145">
        <f>SUMIFS(Table2[NewPointsAway],Table2[GameDate], "&lt;=" &amp; $A69, Table2[AwayTeam], V$1)+SUMIFS(Table2[NewPointsHome],Table2[GameDate], "&lt;=" &amp; $A69, Table2[HomeTeam], V$1)</f>
        <v>7</v>
      </c>
      <c r="W69" s="145">
        <f>SUMIFS(Table2[NewPointsAway],Table2[GameDate], "&lt;=" &amp; $A69, Table2[AwayTeam], W$1)+SUMIFS(Table2[NewPointsHome],Table2[GameDate], "&lt;=" &amp; $A69, Table2[HomeTeam], W$1)</f>
        <v>10</v>
      </c>
      <c r="X69" s="145">
        <f>SUMIFS(Table2[NewPointsAway],Table2[GameDate], "&lt;=" &amp; $A69, Table2[AwayTeam], X$1)+SUMIFS(Table2[NewPointsHome],Table2[GameDate], "&lt;=" &amp; $A69, Table2[HomeTeam], X$1)</f>
        <v>8</v>
      </c>
      <c r="Y69" s="145">
        <f>SUMIFS(Table2[NewPointsAway],Table2[GameDate], "&lt;=" &amp; $A69, Table2[AwayTeam], Y$1)+SUMIFS(Table2[NewPointsHome],Table2[GameDate], "&lt;=" &amp; $A69, Table2[HomeTeam], Y$1)</f>
        <v>2</v>
      </c>
      <c r="Z69" s="145">
        <f>SUMIFS(Table2[NewPointsAway],Table2[GameDate], "&lt;=" &amp; $A69, Table2[AwayTeam], Z$1)+SUMIFS(Table2[NewPointsHome],Table2[GameDate], "&lt;=" &amp; $A69, Table2[HomeTeam], Z$1)</f>
        <v>7</v>
      </c>
      <c r="AA69" s="145">
        <f>SUMIFS(Table2[NewPointsAway],Table2[GameDate], "&lt;=" &amp; $A69, Table2[AwayTeam], AA$1)+SUMIFS(Table2[NewPointsHome],Table2[GameDate], "&lt;=" &amp; $A69, Table2[HomeTeam], AA$1)</f>
        <v>4</v>
      </c>
      <c r="AB69" s="145">
        <f>SUMIFS(Table2[NewPointsAway],Table2[GameDate], "&lt;=" &amp; $A69, Table2[AwayTeam], AB$1)+SUMIFS(Table2[NewPointsHome],Table2[GameDate], "&lt;=" &amp; $A69, Table2[HomeTeam], AB$1)</f>
        <v>7</v>
      </c>
      <c r="AC69" s="145">
        <f>SUMIFS(Table2[NewPointsAway],Table2[GameDate], "&lt;=" &amp; $A69, Table2[AwayTeam], AC$1)+SUMIFS(Table2[NewPointsHome],Table2[GameDate], "&lt;=" &amp; $A69, Table2[HomeTeam], AC$1)</f>
        <v>10</v>
      </c>
      <c r="AD69" s="145">
        <f>SUMIFS(Table2[NewPointsAway],Table2[GameDate], "&lt;=" &amp; $A69, Table2[AwayTeam], AD$1)+SUMIFS(Table2[NewPointsHome],Table2[GameDate], "&lt;=" &amp; $A69, Table2[HomeTeam], AD$1)</f>
        <v>8</v>
      </c>
      <c r="AE69" s="145">
        <f>SUMIFS(Table2[NewPointsAway],Table2[GameDate], "&lt;=" &amp; $A69, Table2[AwayTeam], AE$1)+SUMIFS(Table2[NewPointsHome],Table2[GameDate], "&lt;=" &amp; $A69, Table2[HomeTeam], AE$1)</f>
        <v>12</v>
      </c>
      <c r="AF69" s="145">
        <f>SUMIFS(Table2[NewPointsAway],Table2[GameDate], "&lt;=" &amp; $A69, Table2[AwayTeam], AF$1)+SUMIFS(Table2[NewPointsHome],Table2[GameDate], "&lt;=" &amp; $A69, Table2[HomeTeam], AF$1)</f>
        <v>10</v>
      </c>
      <c r="AG69" s="145">
        <f>SUMIFS(Table2[NewPointsAway],Table2[GameDate], "&lt;=" &amp; $A69, Table2[AwayTeam], AG$1)+SUMIFS(Table2[NewPointsHome],Table2[GameDate], "&lt;=" &amp; $A69, Table2[HomeTeam], AG$1)</f>
        <v>10</v>
      </c>
    </row>
    <row r="70" spans="1:33" x14ac:dyDescent="0.25">
      <c r="A70" s="3">
        <v>46001</v>
      </c>
      <c r="B70" s="145">
        <f>SUMIFS(Table2[NewPointsAway],Table2[GameDate], "&lt;=" &amp; $A70, Table2[AwayTeam], B$1)+SUMIFS(Table2[NewPointsHome],Table2[GameDate], "&lt;=" &amp; $A70, Table2[HomeTeam], B$1)</f>
        <v>7</v>
      </c>
      <c r="C70" s="145">
        <f>SUMIFS(Table2[NewPointsAway],Table2[GameDate], "&lt;=" &amp; $A70, Table2[AwayTeam], C$1)+SUMIFS(Table2[NewPointsHome],Table2[GameDate], "&lt;=" &amp; $A70, Table2[HomeTeam], C$1)</f>
        <v>6</v>
      </c>
      <c r="D70" s="145">
        <f>SUMIFS(Table2[NewPointsAway],Table2[GameDate], "&lt;=" &amp; $A70, Table2[AwayTeam], D$1)+SUMIFS(Table2[NewPointsHome],Table2[GameDate], "&lt;=" &amp; $A70, Table2[HomeTeam], D$1)</f>
        <v>4</v>
      </c>
      <c r="E70" s="145">
        <f>SUMIFS(Table2[NewPointsAway],Table2[GameDate], "&lt;=" &amp; $A70, Table2[AwayTeam], E$1)+SUMIFS(Table2[NewPointsHome],Table2[GameDate], "&lt;=" &amp; $A70, Table2[HomeTeam], E$1)</f>
        <v>10</v>
      </c>
      <c r="F70" s="145">
        <f>SUMIFS(Table2[NewPointsAway],Table2[GameDate], "&lt;=" &amp; $A70, Table2[AwayTeam], F$1)+SUMIFS(Table2[NewPointsHome],Table2[GameDate], "&lt;=" &amp; $A70, Table2[HomeTeam], F$1)</f>
        <v>6</v>
      </c>
      <c r="G70" s="145">
        <f>SUMIFS(Table2[NewPointsAway],Table2[GameDate], "&lt;=" &amp; $A70, Table2[AwayTeam], G$1)+SUMIFS(Table2[NewPointsHome],Table2[GameDate], "&lt;=" &amp; $A70, Table2[HomeTeam], G$1)</f>
        <v>2</v>
      </c>
      <c r="H70" s="145">
        <f>SUMIFS(Table2[NewPointsAway],Table2[GameDate], "&lt;=" &amp; $A70, Table2[AwayTeam], H$1)+SUMIFS(Table2[NewPointsHome],Table2[GameDate], "&lt;=" &amp; $A70, Table2[HomeTeam], H$1)</f>
        <v>8</v>
      </c>
      <c r="I70" s="145">
        <f>SUMIFS(Table2[NewPointsAway],Table2[GameDate], "&lt;=" &amp; $A70, Table2[AwayTeam], I$1)+SUMIFS(Table2[NewPointsHome],Table2[GameDate], "&lt;=" &amp; $A70, Table2[HomeTeam], I$1)</f>
        <v>12</v>
      </c>
      <c r="J70" s="145">
        <f>SUMIFS(Table2[NewPointsAway],Table2[GameDate], "&lt;=" &amp; $A70, Table2[AwayTeam], J$1)+SUMIFS(Table2[NewPointsHome],Table2[GameDate], "&lt;=" &amp; $A70, Table2[HomeTeam], J$1)</f>
        <v>6</v>
      </c>
      <c r="K70" s="145">
        <f>SUMIFS(Table2[NewPointsAway],Table2[GameDate], "&lt;=" &amp; $A70, Table2[AwayTeam], K$1)+SUMIFS(Table2[NewPointsHome],Table2[GameDate], "&lt;=" &amp; $A70, Table2[HomeTeam], K$1)</f>
        <v>10</v>
      </c>
      <c r="L70" s="145">
        <f>SUMIFS(Table2[NewPointsAway],Table2[GameDate], "&lt;=" &amp; $A70, Table2[AwayTeam], L$1)+SUMIFS(Table2[NewPointsHome],Table2[GameDate], "&lt;=" &amp; $A70, Table2[HomeTeam], L$1)</f>
        <v>7</v>
      </c>
      <c r="M70" s="145">
        <f>SUMIFS(Table2[NewPointsAway],Table2[GameDate], "&lt;=" &amp; $A70, Table2[AwayTeam], M$1)+SUMIFS(Table2[NewPointsHome],Table2[GameDate], "&lt;=" &amp; $A70, Table2[HomeTeam], M$1)</f>
        <v>8</v>
      </c>
      <c r="N70" s="145">
        <f>SUMIFS(Table2[NewPointsAway],Table2[GameDate], "&lt;=" &amp; $A70, Table2[AwayTeam], N$1)+SUMIFS(Table2[NewPointsHome],Table2[GameDate], "&lt;=" &amp; $A70, Table2[HomeTeam], N$1)</f>
        <v>6</v>
      </c>
      <c r="O70" s="145">
        <f>SUMIFS(Table2[NewPointsAway],Table2[GameDate], "&lt;=" &amp; $A70, Table2[AwayTeam], O$1)+SUMIFS(Table2[NewPointsHome],Table2[GameDate], "&lt;=" &amp; $A70, Table2[HomeTeam], O$1)</f>
        <v>7</v>
      </c>
      <c r="P70" s="145">
        <f>SUMIFS(Table2[NewPointsAway],Table2[GameDate], "&lt;=" &amp; $A70, Table2[AwayTeam], P$1)+SUMIFS(Table2[NewPointsHome],Table2[GameDate], "&lt;=" &amp; $A70, Table2[HomeTeam], P$1)</f>
        <v>10</v>
      </c>
      <c r="Q70" s="145">
        <f>SUMIFS(Table2[NewPointsAway],Table2[GameDate], "&lt;=" &amp; $A70, Table2[AwayTeam], Q$1)+SUMIFS(Table2[NewPointsHome],Table2[GameDate], "&lt;=" &amp; $A70, Table2[HomeTeam], Q$1)</f>
        <v>10</v>
      </c>
      <c r="R70" s="145">
        <f>SUMIFS(Table2[NewPointsAway],Table2[GameDate], "&lt;=" &amp; $A70, Table2[AwayTeam], R$1)+SUMIFS(Table2[NewPointsHome],Table2[GameDate], "&lt;=" &amp; $A70, Table2[HomeTeam], R$1)</f>
        <v>6</v>
      </c>
      <c r="S70" s="145">
        <f>SUMIFS(Table2[NewPointsAway],Table2[GameDate], "&lt;=" &amp; $A70, Table2[AwayTeam], S$1)+SUMIFS(Table2[NewPointsHome],Table2[GameDate], "&lt;=" &amp; $A70, Table2[HomeTeam], S$1)</f>
        <v>6</v>
      </c>
      <c r="T70" s="145">
        <f>SUMIFS(Table2[NewPointsAway],Table2[GameDate], "&lt;=" &amp; $A70, Table2[AwayTeam], T$1)+SUMIFS(Table2[NewPointsHome],Table2[GameDate], "&lt;=" &amp; $A70, Table2[HomeTeam], T$1)</f>
        <v>7</v>
      </c>
      <c r="U70" s="145">
        <f>SUMIFS(Table2[NewPointsAway],Table2[GameDate], "&lt;=" &amp; $A70, Table2[AwayTeam], U$1)+SUMIFS(Table2[NewPointsHome],Table2[GameDate], "&lt;=" &amp; $A70, Table2[HomeTeam], U$1)</f>
        <v>5</v>
      </c>
      <c r="V70" s="145">
        <f>SUMIFS(Table2[NewPointsAway],Table2[GameDate], "&lt;=" &amp; $A70, Table2[AwayTeam], V$1)+SUMIFS(Table2[NewPointsHome],Table2[GameDate], "&lt;=" &amp; $A70, Table2[HomeTeam], V$1)</f>
        <v>7</v>
      </c>
      <c r="W70" s="145">
        <f>SUMIFS(Table2[NewPointsAway],Table2[GameDate], "&lt;=" &amp; $A70, Table2[AwayTeam], W$1)+SUMIFS(Table2[NewPointsHome],Table2[GameDate], "&lt;=" &amp; $A70, Table2[HomeTeam], W$1)</f>
        <v>10</v>
      </c>
      <c r="X70" s="145">
        <f>SUMIFS(Table2[NewPointsAway],Table2[GameDate], "&lt;=" &amp; $A70, Table2[AwayTeam], X$1)+SUMIFS(Table2[NewPointsHome],Table2[GameDate], "&lt;=" &amp; $A70, Table2[HomeTeam], X$1)</f>
        <v>8</v>
      </c>
      <c r="Y70" s="145">
        <f>SUMIFS(Table2[NewPointsAway],Table2[GameDate], "&lt;=" &amp; $A70, Table2[AwayTeam], Y$1)+SUMIFS(Table2[NewPointsHome],Table2[GameDate], "&lt;=" &amp; $A70, Table2[HomeTeam], Y$1)</f>
        <v>2</v>
      </c>
      <c r="Z70" s="145">
        <f>SUMIFS(Table2[NewPointsAway],Table2[GameDate], "&lt;=" &amp; $A70, Table2[AwayTeam], Z$1)+SUMIFS(Table2[NewPointsHome],Table2[GameDate], "&lt;=" &amp; $A70, Table2[HomeTeam], Z$1)</f>
        <v>7</v>
      </c>
      <c r="AA70" s="145">
        <f>SUMIFS(Table2[NewPointsAway],Table2[GameDate], "&lt;=" &amp; $A70, Table2[AwayTeam], AA$1)+SUMIFS(Table2[NewPointsHome],Table2[GameDate], "&lt;=" &amp; $A70, Table2[HomeTeam], AA$1)</f>
        <v>4</v>
      </c>
      <c r="AB70" s="145">
        <f>SUMIFS(Table2[NewPointsAway],Table2[GameDate], "&lt;=" &amp; $A70, Table2[AwayTeam], AB$1)+SUMIFS(Table2[NewPointsHome],Table2[GameDate], "&lt;=" &amp; $A70, Table2[HomeTeam], AB$1)</f>
        <v>7</v>
      </c>
      <c r="AC70" s="145">
        <f>SUMIFS(Table2[NewPointsAway],Table2[GameDate], "&lt;=" &amp; $A70, Table2[AwayTeam], AC$1)+SUMIFS(Table2[NewPointsHome],Table2[GameDate], "&lt;=" &amp; $A70, Table2[HomeTeam], AC$1)</f>
        <v>10</v>
      </c>
      <c r="AD70" s="145">
        <f>SUMIFS(Table2[NewPointsAway],Table2[GameDate], "&lt;=" &amp; $A70, Table2[AwayTeam], AD$1)+SUMIFS(Table2[NewPointsHome],Table2[GameDate], "&lt;=" &amp; $A70, Table2[HomeTeam], AD$1)</f>
        <v>8</v>
      </c>
      <c r="AE70" s="145">
        <f>SUMIFS(Table2[NewPointsAway],Table2[GameDate], "&lt;=" &amp; $A70, Table2[AwayTeam], AE$1)+SUMIFS(Table2[NewPointsHome],Table2[GameDate], "&lt;=" &amp; $A70, Table2[HomeTeam], AE$1)</f>
        <v>12</v>
      </c>
      <c r="AF70" s="145">
        <f>SUMIFS(Table2[NewPointsAway],Table2[GameDate], "&lt;=" &amp; $A70, Table2[AwayTeam], AF$1)+SUMIFS(Table2[NewPointsHome],Table2[GameDate], "&lt;=" &amp; $A70, Table2[HomeTeam], AF$1)</f>
        <v>10</v>
      </c>
      <c r="AG70" s="145">
        <f>SUMIFS(Table2[NewPointsAway],Table2[GameDate], "&lt;=" &amp; $A70, Table2[AwayTeam], AG$1)+SUMIFS(Table2[NewPointsHome],Table2[GameDate], "&lt;=" &amp; $A70, Table2[HomeTeam], AG$1)</f>
        <v>10</v>
      </c>
    </row>
    <row r="71" spans="1:33" x14ac:dyDescent="0.25">
      <c r="A71" s="3">
        <v>46002</v>
      </c>
      <c r="B71" s="145">
        <f>SUMIFS(Table2[NewPointsAway],Table2[GameDate], "&lt;=" &amp; $A71, Table2[AwayTeam], B$1)+SUMIFS(Table2[NewPointsHome],Table2[GameDate], "&lt;=" &amp; $A71, Table2[HomeTeam], B$1)</f>
        <v>7</v>
      </c>
      <c r="C71" s="145">
        <f>SUMIFS(Table2[NewPointsAway],Table2[GameDate], "&lt;=" &amp; $A71, Table2[AwayTeam], C$1)+SUMIFS(Table2[NewPointsHome],Table2[GameDate], "&lt;=" &amp; $A71, Table2[HomeTeam], C$1)</f>
        <v>6</v>
      </c>
      <c r="D71" s="145">
        <f>SUMIFS(Table2[NewPointsAway],Table2[GameDate], "&lt;=" &amp; $A71, Table2[AwayTeam], D$1)+SUMIFS(Table2[NewPointsHome],Table2[GameDate], "&lt;=" &amp; $A71, Table2[HomeTeam], D$1)</f>
        <v>4</v>
      </c>
      <c r="E71" s="145">
        <f>SUMIFS(Table2[NewPointsAway],Table2[GameDate], "&lt;=" &amp; $A71, Table2[AwayTeam], E$1)+SUMIFS(Table2[NewPointsHome],Table2[GameDate], "&lt;=" &amp; $A71, Table2[HomeTeam], E$1)</f>
        <v>10</v>
      </c>
      <c r="F71" s="145">
        <f>SUMIFS(Table2[NewPointsAway],Table2[GameDate], "&lt;=" &amp; $A71, Table2[AwayTeam], F$1)+SUMIFS(Table2[NewPointsHome],Table2[GameDate], "&lt;=" &amp; $A71, Table2[HomeTeam], F$1)</f>
        <v>6</v>
      </c>
      <c r="G71" s="145">
        <f>SUMIFS(Table2[NewPointsAway],Table2[GameDate], "&lt;=" &amp; $A71, Table2[AwayTeam], G$1)+SUMIFS(Table2[NewPointsHome],Table2[GameDate], "&lt;=" &amp; $A71, Table2[HomeTeam], G$1)</f>
        <v>2</v>
      </c>
      <c r="H71" s="145">
        <f>SUMIFS(Table2[NewPointsAway],Table2[GameDate], "&lt;=" &amp; $A71, Table2[AwayTeam], H$1)+SUMIFS(Table2[NewPointsHome],Table2[GameDate], "&lt;=" &amp; $A71, Table2[HomeTeam], H$1)</f>
        <v>8</v>
      </c>
      <c r="I71" s="145">
        <f>SUMIFS(Table2[NewPointsAway],Table2[GameDate], "&lt;=" &amp; $A71, Table2[AwayTeam], I$1)+SUMIFS(Table2[NewPointsHome],Table2[GameDate], "&lt;=" &amp; $A71, Table2[HomeTeam], I$1)</f>
        <v>12</v>
      </c>
      <c r="J71" s="145">
        <f>SUMIFS(Table2[NewPointsAway],Table2[GameDate], "&lt;=" &amp; $A71, Table2[AwayTeam], J$1)+SUMIFS(Table2[NewPointsHome],Table2[GameDate], "&lt;=" &amp; $A71, Table2[HomeTeam], J$1)</f>
        <v>6</v>
      </c>
      <c r="K71" s="145">
        <f>SUMIFS(Table2[NewPointsAway],Table2[GameDate], "&lt;=" &amp; $A71, Table2[AwayTeam], K$1)+SUMIFS(Table2[NewPointsHome],Table2[GameDate], "&lt;=" &amp; $A71, Table2[HomeTeam], K$1)</f>
        <v>10</v>
      </c>
      <c r="L71" s="145">
        <f>SUMIFS(Table2[NewPointsAway],Table2[GameDate], "&lt;=" &amp; $A71, Table2[AwayTeam], L$1)+SUMIFS(Table2[NewPointsHome],Table2[GameDate], "&lt;=" &amp; $A71, Table2[HomeTeam], L$1)</f>
        <v>7</v>
      </c>
      <c r="M71" s="145">
        <f>SUMIFS(Table2[NewPointsAway],Table2[GameDate], "&lt;=" &amp; $A71, Table2[AwayTeam], M$1)+SUMIFS(Table2[NewPointsHome],Table2[GameDate], "&lt;=" &amp; $A71, Table2[HomeTeam], M$1)</f>
        <v>8</v>
      </c>
      <c r="N71" s="145">
        <f>SUMIFS(Table2[NewPointsAway],Table2[GameDate], "&lt;=" &amp; $A71, Table2[AwayTeam], N$1)+SUMIFS(Table2[NewPointsHome],Table2[GameDate], "&lt;=" &amp; $A71, Table2[HomeTeam], N$1)</f>
        <v>6</v>
      </c>
      <c r="O71" s="145">
        <f>SUMIFS(Table2[NewPointsAway],Table2[GameDate], "&lt;=" &amp; $A71, Table2[AwayTeam], O$1)+SUMIFS(Table2[NewPointsHome],Table2[GameDate], "&lt;=" &amp; $A71, Table2[HomeTeam], O$1)</f>
        <v>7</v>
      </c>
      <c r="P71" s="145">
        <f>SUMIFS(Table2[NewPointsAway],Table2[GameDate], "&lt;=" &amp; $A71, Table2[AwayTeam], P$1)+SUMIFS(Table2[NewPointsHome],Table2[GameDate], "&lt;=" &amp; $A71, Table2[HomeTeam], P$1)</f>
        <v>10</v>
      </c>
      <c r="Q71" s="145">
        <f>SUMIFS(Table2[NewPointsAway],Table2[GameDate], "&lt;=" &amp; $A71, Table2[AwayTeam], Q$1)+SUMIFS(Table2[NewPointsHome],Table2[GameDate], "&lt;=" &amp; $A71, Table2[HomeTeam], Q$1)</f>
        <v>10</v>
      </c>
      <c r="R71" s="145">
        <f>SUMIFS(Table2[NewPointsAway],Table2[GameDate], "&lt;=" &amp; $A71, Table2[AwayTeam], R$1)+SUMIFS(Table2[NewPointsHome],Table2[GameDate], "&lt;=" &amp; $A71, Table2[HomeTeam], R$1)</f>
        <v>6</v>
      </c>
      <c r="S71" s="145">
        <f>SUMIFS(Table2[NewPointsAway],Table2[GameDate], "&lt;=" &amp; $A71, Table2[AwayTeam], S$1)+SUMIFS(Table2[NewPointsHome],Table2[GameDate], "&lt;=" &amp; $A71, Table2[HomeTeam], S$1)</f>
        <v>6</v>
      </c>
      <c r="T71" s="145">
        <f>SUMIFS(Table2[NewPointsAway],Table2[GameDate], "&lt;=" &amp; $A71, Table2[AwayTeam], T$1)+SUMIFS(Table2[NewPointsHome],Table2[GameDate], "&lt;=" &amp; $A71, Table2[HomeTeam], T$1)</f>
        <v>7</v>
      </c>
      <c r="U71" s="145">
        <f>SUMIFS(Table2[NewPointsAway],Table2[GameDate], "&lt;=" &amp; $A71, Table2[AwayTeam], U$1)+SUMIFS(Table2[NewPointsHome],Table2[GameDate], "&lt;=" &amp; $A71, Table2[HomeTeam], U$1)</f>
        <v>5</v>
      </c>
      <c r="V71" s="145">
        <f>SUMIFS(Table2[NewPointsAway],Table2[GameDate], "&lt;=" &amp; $A71, Table2[AwayTeam], V$1)+SUMIFS(Table2[NewPointsHome],Table2[GameDate], "&lt;=" &amp; $A71, Table2[HomeTeam], V$1)</f>
        <v>7</v>
      </c>
      <c r="W71" s="145">
        <f>SUMIFS(Table2[NewPointsAway],Table2[GameDate], "&lt;=" &amp; $A71, Table2[AwayTeam], W$1)+SUMIFS(Table2[NewPointsHome],Table2[GameDate], "&lt;=" &amp; $A71, Table2[HomeTeam], W$1)</f>
        <v>10</v>
      </c>
      <c r="X71" s="145">
        <f>SUMIFS(Table2[NewPointsAway],Table2[GameDate], "&lt;=" &amp; $A71, Table2[AwayTeam], X$1)+SUMIFS(Table2[NewPointsHome],Table2[GameDate], "&lt;=" &amp; $A71, Table2[HomeTeam], X$1)</f>
        <v>8</v>
      </c>
      <c r="Y71" s="145">
        <f>SUMIFS(Table2[NewPointsAway],Table2[GameDate], "&lt;=" &amp; $A71, Table2[AwayTeam], Y$1)+SUMIFS(Table2[NewPointsHome],Table2[GameDate], "&lt;=" &amp; $A71, Table2[HomeTeam], Y$1)</f>
        <v>2</v>
      </c>
      <c r="Z71" s="145">
        <f>SUMIFS(Table2[NewPointsAway],Table2[GameDate], "&lt;=" &amp; $A71, Table2[AwayTeam], Z$1)+SUMIFS(Table2[NewPointsHome],Table2[GameDate], "&lt;=" &amp; $A71, Table2[HomeTeam], Z$1)</f>
        <v>7</v>
      </c>
      <c r="AA71" s="145">
        <f>SUMIFS(Table2[NewPointsAway],Table2[GameDate], "&lt;=" &amp; $A71, Table2[AwayTeam], AA$1)+SUMIFS(Table2[NewPointsHome],Table2[GameDate], "&lt;=" &amp; $A71, Table2[HomeTeam], AA$1)</f>
        <v>4</v>
      </c>
      <c r="AB71" s="145">
        <f>SUMIFS(Table2[NewPointsAway],Table2[GameDate], "&lt;=" &amp; $A71, Table2[AwayTeam], AB$1)+SUMIFS(Table2[NewPointsHome],Table2[GameDate], "&lt;=" &amp; $A71, Table2[HomeTeam], AB$1)</f>
        <v>7</v>
      </c>
      <c r="AC71" s="145">
        <f>SUMIFS(Table2[NewPointsAway],Table2[GameDate], "&lt;=" &amp; $A71, Table2[AwayTeam], AC$1)+SUMIFS(Table2[NewPointsHome],Table2[GameDate], "&lt;=" &amp; $A71, Table2[HomeTeam], AC$1)</f>
        <v>10</v>
      </c>
      <c r="AD71" s="145">
        <f>SUMIFS(Table2[NewPointsAway],Table2[GameDate], "&lt;=" &amp; $A71, Table2[AwayTeam], AD$1)+SUMIFS(Table2[NewPointsHome],Table2[GameDate], "&lt;=" &amp; $A71, Table2[HomeTeam], AD$1)</f>
        <v>8</v>
      </c>
      <c r="AE71" s="145">
        <f>SUMIFS(Table2[NewPointsAway],Table2[GameDate], "&lt;=" &amp; $A71, Table2[AwayTeam], AE$1)+SUMIFS(Table2[NewPointsHome],Table2[GameDate], "&lt;=" &amp; $A71, Table2[HomeTeam], AE$1)</f>
        <v>12</v>
      </c>
      <c r="AF71" s="145">
        <f>SUMIFS(Table2[NewPointsAway],Table2[GameDate], "&lt;=" &amp; $A71, Table2[AwayTeam], AF$1)+SUMIFS(Table2[NewPointsHome],Table2[GameDate], "&lt;=" &amp; $A71, Table2[HomeTeam], AF$1)</f>
        <v>10</v>
      </c>
      <c r="AG71" s="145">
        <f>SUMIFS(Table2[NewPointsAway],Table2[GameDate], "&lt;=" &amp; $A71, Table2[AwayTeam], AG$1)+SUMIFS(Table2[NewPointsHome],Table2[GameDate], "&lt;=" &amp; $A71, Table2[HomeTeam], AG$1)</f>
        <v>10</v>
      </c>
    </row>
    <row r="72" spans="1:33" x14ac:dyDescent="0.25">
      <c r="A72" s="3">
        <v>46003</v>
      </c>
      <c r="B72" s="145">
        <f>SUMIFS(Table2[NewPointsAway],Table2[GameDate], "&lt;=" &amp; $A72, Table2[AwayTeam], B$1)+SUMIFS(Table2[NewPointsHome],Table2[GameDate], "&lt;=" &amp; $A72, Table2[HomeTeam], B$1)</f>
        <v>7</v>
      </c>
      <c r="C72" s="145">
        <f>SUMIFS(Table2[NewPointsAway],Table2[GameDate], "&lt;=" &amp; $A72, Table2[AwayTeam], C$1)+SUMIFS(Table2[NewPointsHome],Table2[GameDate], "&lt;=" &amp; $A72, Table2[HomeTeam], C$1)</f>
        <v>6</v>
      </c>
      <c r="D72" s="145">
        <f>SUMIFS(Table2[NewPointsAway],Table2[GameDate], "&lt;=" &amp; $A72, Table2[AwayTeam], D$1)+SUMIFS(Table2[NewPointsHome],Table2[GameDate], "&lt;=" &amp; $A72, Table2[HomeTeam], D$1)</f>
        <v>4</v>
      </c>
      <c r="E72" s="145">
        <f>SUMIFS(Table2[NewPointsAway],Table2[GameDate], "&lt;=" &amp; $A72, Table2[AwayTeam], E$1)+SUMIFS(Table2[NewPointsHome],Table2[GameDate], "&lt;=" &amp; $A72, Table2[HomeTeam], E$1)</f>
        <v>10</v>
      </c>
      <c r="F72" s="145">
        <f>SUMIFS(Table2[NewPointsAway],Table2[GameDate], "&lt;=" &amp; $A72, Table2[AwayTeam], F$1)+SUMIFS(Table2[NewPointsHome],Table2[GameDate], "&lt;=" &amp; $A72, Table2[HomeTeam], F$1)</f>
        <v>6</v>
      </c>
      <c r="G72" s="145">
        <f>SUMIFS(Table2[NewPointsAway],Table2[GameDate], "&lt;=" &amp; $A72, Table2[AwayTeam], G$1)+SUMIFS(Table2[NewPointsHome],Table2[GameDate], "&lt;=" &amp; $A72, Table2[HomeTeam], G$1)</f>
        <v>2</v>
      </c>
      <c r="H72" s="145">
        <f>SUMIFS(Table2[NewPointsAway],Table2[GameDate], "&lt;=" &amp; $A72, Table2[AwayTeam], H$1)+SUMIFS(Table2[NewPointsHome],Table2[GameDate], "&lt;=" &amp; $A72, Table2[HomeTeam], H$1)</f>
        <v>8</v>
      </c>
      <c r="I72" s="145">
        <f>SUMIFS(Table2[NewPointsAway],Table2[GameDate], "&lt;=" &amp; $A72, Table2[AwayTeam], I$1)+SUMIFS(Table2[NewPointsHome],Table2[GameDate], "&lt;=" &amp; $A72, Table2[HomeTeam], I$1)</f>
        <v>12</v>
      </c>
      <c r="J72" s="145">
        <f>SUMIFS(Table2[NewPointsAway],Table2[GameDate], "&lt;=" &amp; $A72, Table2[AwayTeam], J$1)+SUMIFS(Table2[NewPointsHome],Table2[GameDate], "&lt;=" &amp; $A72, Table2[HomeTeam], J$1)</f>
        <v>6</v>
      </c>
      <c r="K72" s="145">
        <f>SUMIFS(Table2[NewPointsAway],Table2[GameDate], "&lt;=" &amp; $A72, Table2[AwayTeam], K$1)+SUMIFS(Table2[NewPointsHome],Table2[GameDate], "&lt;=" &amp; $A72, Table2[HomeTeam], K$1)</f>
        <v>10</v>
      </c>
      <c r="L72" s="145">
        <f>SUMIFS(Table2[NewPointsAway],Table2[GameDate], "&lt;=" &amp; $A72, Table2[AwayTeam], L$1)+SUMIFS(Table2[NewPointsHome],Table2[GameDate], "&lt;=" &amp; $A72, Table2[HomeTeam], L$1)</f>
        <v>7</v>
      </c>
      <c r="M72" s="145">
        <f>SUMIFS(Table2[NewPointsAway],Table2[GameDate], "&lt;=" &amp; $A72, Table2[AwayTeam], M$1)+SUMIFS(Table2[NewPointsHome],Table2[GameDate], "&lt;=" &amp; $A72, Table2[HomeTeam], M$1)</f>
        <v>8</v>
      </c>
      <c r="N72" s="145">
        <f>SUMIFS(Table2[NewPointsAway],Table2[GameDate], "&lt;=" &amp; $A72, Table2[AwayTeam], N$1)+SUMIFS(Table2[NewPointsHome],Table2[GameDate], "&lt;=" &amp; $A72, Table2[HomeTeam], N$1)</f>
        <v>6</v>
      </c>
      <c r="O72" s="145">
        <f>SUMIFS(Table2[NewPointsAway],Table2[GameDate], "&lt;=" &amp; $A72, Table2[AwayTeam], O$1)+SUMIFS(Table2[NewPointsHome],Table2[GameDate], "&lt;=" &amp; $A72, Table2[HomeTeam], O$1)</f>
        <v>7</v>
      </c>
      <c r="P72" s="145">
        <f>SUMIFS(Table2[NewPointsAway],Table2[GameDate], "&lt;=" &amp; $A72, Table2[AwayTeam], P$1)+SUMIFS(Table2[NewPointsHome],Table2[GameDate], "&lt;=" &amp; $A72, Table2[HomeTeam], P$1)</f>
        <v>10</v>
      </c>
      <c r="Q72" s="145">
        <f>SUMIFS(Table2[NewPointsAway],Table2[GameDate], "&lt;=" &amp; $A72, Table2[AwayTeam], Q$1)+SUMIFS(Table2[NewPointsHome],Table2[GameDate], "&lt;=" &amp; $A72, Table2[HomeTeam], Q$1)</f>
        <v>10</v>
      </c>
      <c r="R72" s="145">
        <f>SUMIFS(Table2[NewPointsAway],Table2[GameDate], "&lt;=" &amp; $A72, Table2[AwayTeam], R$1)+SUMIFS(Table2[NewPointsHome],Table2[GameDate], "&lt;=" &amp; $A72, Table2[HomeTeam], R$1)</f>
        <v>6</v>
      </c>
      <c r="S72" s="145">
        <f>SUMIFS(Table2[NewPointsAway],Table2[GameDate], "&lt;=" &amp; $A72, Table2[AwayTeam], S$1)+SUMIFS(Table2[NewPointsHome],Table2[GameDate], "&lt;=" &amp; $A72, Table2[HomeTeam], S$1)</f>
        <v>6</v>
      </c>
      <c r="T72" s="145">
        <f>SUMIFS(Table2[NewPointsAway],Table2[GameDate], "&lt;=" &amp; $A72, Table2[AwayTeam], T$1)+SUMIFS(Table2[NewPointsHome],Table2[GameDate], "&lt;=" &amp; $A72, Table2[HomeTeam], T$1)</f>
        <v>7</v>
      </c>
      <c r="U72" s="145">
        <f>SUMIFS(Table2[NewPointsAway],Table2[GameDate], "&lt;=" &amp; $A72, Table2[AwayTeam], U$1)+SUMIFS(Table2[NewPointsHome],Table2[GameDate], "&lt;=" &amp; $A72, Table2[HomeTeam], U$1)</f>
        <v>5</v>
      </c>
      <c r="V72" s="145">
        <f>SUMIFS(Table2[NewPointsAway],Table2[GameDate], "&lt;=" &amp; $A72, Table2[AwayTeam], V$1)+SUMIFS(Table2[NewPointsHome],Table2[GameDate], "&lt;=" &amp; $A72, Table2[HomeTeam], V$1)</f>
        <v>7</v>
      </c>
      <c r="W72" s="145">
        <f>SUMIFS(Table2[NewPointsAway],Table2[GameDate], "&lt;=" &amp; $A72, Table2[AwayTeam], W$1)+SUMIFS(Table2[NewPointsHome],Table2[GameDate], "&lt;=" &amp; $A72, Table2[HomeTeam], W$1)</f>
        <v>10</v>
      </c>
      <c r="X72" s="145">
        <f>SUMIFS(Table2[NewPointsAway],Table2[GameDate], "&lt;=" &amp; $A72, Table2[AwayTeam], X$1)+SUMIFS(Table2[NewPointsHome],Table2[GameDate], "&lt;=" &amp; $A72, Table2[HomeTeam], X$1)</f>
        <v>8</v>
      </c>
      <c r="Y72" s="145">
        <f>SUMIFS(Table2[NewPointsAway],Table2[GameDate], "&lt;=" &amp; $A72, Table2[AwayTeam], Y$1)+SUMIFS(Table2[NewPointsHome],Table2[GameDate], "&lt;=" &amp; $A72, Table2[HomeTeam], Y$1)</f>
        <v>2</v>
      </c>
      <c r="Z72" s="145">
        <f>SUMIFS(Table2[NewPointsAway],Table2[GameDate], "&lt;=" &amp; $A72, Table2[AwayTeam], Z$1)+SUMIFS(Table2[NewPointsHome],Table2[GameDate], "&lt;=" &amp; $A72, Table2[HomeTeam], Z$1)</f>
        <v>7</v>
      </c>
      <c r="AA72" s="145">
        <f>SUMIFS(Table2[NewPointsAway],Table2[GameDate], "&lt;=" &amp; $A72, Table2[AwayTeam], AA$1)+SUMIFS(Table2[NewPointsHome],Table2[GameDate], "&lt;=" &amp; $A72, Table2[HomeTeam], AA$1)</f>
        <v>4</v>
      </c>
      <c r="AB72" s="145">
        <f>SUMIFS(Table2[NewPointsAway],Table2[GameDate], "&lt;=" &amp; $A72, Table2[AwayTeam], AB$1)+SUMIFS(Table2[NewPointsHome],Table2[GameDate], "&lt;=" &amp; $A72, Table2[HomeTeam], AB$1)</f>
        <v>7</v>
      </c>
      <c r="AC72" s="145">
        <f>SUMIFS(Table2[NewPointsAway],Table2[GameDate], "&lt;=" &amp; $A72, Table2[AwayTeam], AC$1)+SUMIFS(Table2[NewPointsHome],Table2[GameDate], "&lt;=" &amp; $A72, Table2[HomeTeam], AC$1)</f>
        <v>10</v>
      </c>
      <c r="AD72" s="145">
        <f>SUMIFS(Table2[NewPointsAway],Table2[GameDate], "&lt;=" &amp; $A72, Table2[AwayTeam], AD$1)+SUMIFS(Table2[NewPointsHome],Table2[GameDate], "&lt;=" &amp; $A72, Table2[HomeTeam], AD$1)</f>
        <v>8</v>
      </c>
      <c r="AE72" s="145">
        <f>SUMIFS(Table2[NewPointsAway],Table2[GameDate], "&lt;=" &amp; $A72, Table2[AwayTeam], AE$1)+SUMIFS(Table2[NewPointsHome],Table2[GameDate], "&lt;=" &amp; $A72, Table2[HomeTeam], AE$1)</f>
        <v>12</v>
      </c>
      <c r="AF72" s="145">
        <f>SUMIFS(Table2[NewPointsAway],Table2[GameDate], "&lt;=" &amp; $A72, Table2[AwayTeam], AF$1)+SUMIFS(Table2[NewPointsHome],Table2[GameDate], "&lt;=" &amp; $A72, Table2[HomeTeam], AF$1)</f>
        <v>10</v>
      </c>
      <c r="AG72" s="145">
        <f>SUMIFS(Table2[NewPointsAway],Table2[GameDate], "&lt;=" &amp; $A72, Table2[AwayTeam], AG$1)+SUMIFS(Table2[NewPointsHome],Table2[GameDate], "&lt;=" &amp; $A72, Table2[HomeTeam], AG$1)</f>
        <v>10</v>
      </c>
    </row>
    <row r="73" spans="1:33" x14ac:dyDescent="0.25">
      <c r="A73" s="3">
        <v>46004</v>
      </c>
      <c r="B73" s="145">
        <f>SUMIFS(Table2[NewPointsAway],Table2[GameDate], "&lt;=" &amp; $A73, Table2[AwayTeam], B$1)+SUMIFS(Table2[NewPointsHome],Table2[GameDate], "&lt;=" &amp; $A73, Table2[HomeTeam], B$1)</f>
        <v>7</v>
      </c>
      <c r="C73" s="145">
        <f>SUMIFS(Table2[NewPointsAway],Table2[GameDate], "&lt;=" &amp; $A73, Table2[AwayTeam], C$1)+SUMIFS(Table2[NewPointsHome],Table2[GameDate], "&lt;=" &amp; $A73, Table2[HomeTeam], C$1)</f>
        <v>6</v>
      </c>
      <c r="D73" s="145">
        <f>SUMIFS(Table2[NewPointsAway],Table2[GameDate], "&lt;=" &amp; $A73, Table2[AwayTeam], D$1)+SUMIFS(Table2[NewPointsHome],Table2[GameDate], "&lt;=" &amp; $A73, Table2[HomeTeam], D$1)</f>
        <v>4</v>
      </c>
      <c r="E73" s="145">
        <f>SUMIFS(Table2[NewPointsAway],Table2[GameDate], "&lt;=" &amp; $A73, Table2[AwayTeam], E$1)+SUMIFS(Table2[NewPointsHome],Table2[GameDate], "&lt;=" &amp; $A73, Table2[HomeTeam], E$1)</f>
        <v>10</v>
      </c>
      <c r="F73" s="145">
        <f>SUMIFS(Table2[NewPointsAway],Table2[GameDate], "&lt;=" &amp; $A73, Table2[AwayTeam], F$1)+SUMIFS(Table2[NewPointsHome],Table2[GameDate], "&lt;=" &amp; $A73, Table2[HomeTeam], F$1)</f>
        <v>6</v>
      </c>
      <c r="G73" s="145">
        <f>SUMIFS(Table2[NewPointsAway],Table2[GameDate], "&lt;=" &amp; $A73, Table2[AwayTeam], G$1)+SUMIFS(Table2[NewPointsHome],Table2[GameDate], "&lt;=" &amp; $A73, Table2[HomeTeam], G$1)</f>
        <v>2</v>
      </c>
      <c r="H73" s="145">
        <f>SUMIFS(Table2[NewPointsAway],Table2[GameDate], "&lt;=" &amp; $A73, Table2[AwayTeam], H$1)+SUMIFS(Table2[NewPointsHome],Table2[GameDate], "&lt;=" &amp; $A73, Table2[HomeTeam], H$1)</f>
        <v>8</v>
      </c>
      <c r="I73" s="145">
        <f>SUMIFS(Table2[NewPointsAway],Table2[GameDate], "&lt;=" &amp; $A73, Table2[AwayTeam], I$1)+SUMIFS(Table2[NewPointsHome],Table2[GameDate], "&lt;=" &amp; $A73, Table2[HomeTeam], I$1)</f>
        <v>12</v>
      </c>
      <c r="J73" s="145">
        <f>SUMIFS(Table2[NewPointsAway],Table2[GameDate], "&lt;=" &amp; $A73, Table2[AwayTeam], J$1)+SUMIFS(Table2[NewPointsHome],Table2[GameDate], "&lt;=" &amp; $A73, Table2[HomeTeam], J$1)</f>
        <v>6</v>
      </c>
      <c r="K73" s="145">
        <f>SUMIFS(Table2[NewPointsAway],Table2[GameDate], "&lt;=" &amp; $A73, Table2[AwayTeam], K$1)+SUMIFS(Table2[NewPointsHome],Table2[GameDate], "&lt;=" &amp; $A73, Table2[HomeTeam], K$1)</f>
        <v>10</v>
      </c>
      <c r="L73" s="145">
        <f>SUMIFS(Table2[NewPointsAway],Table2[GameDate], "&lt;=" &amp; $A73, Table2[AwayTeam], L$1)+SUMIFS(Table2[NewPointsHome],Table2[GameDate], "&lt;=" &amp; $A73, Table2[HomeTeam], L$1)</f>
        <v>7</v>
      </c>
      <c r="M73" s="145">
        <f>SUMIFS(Table2[NewPointsAway],Table2[GameDate], "&lt;=" &amp; $A73, Table2[AwayTeam], M$1)+SUMIFS(Table2[NewPointsHome],Table2[GameDate], "&lt;=" &amp; $A73, Table2[HomeTeam], M$1)</f>
        <v>8</v>
      </c>
      <c r="N73" s="145">
        <f>SUMIFS(Table2[NewPointsAway],Table2[GameDate], "&lt;=" &amp; $A73, Table2[AwayTeam], N$1)+SUMIFS(Table2[NewPointsHome],Table2[GameDate], "&lt;=" &amp; $A73, Table2[HomeTeam], N$1)</f>
        <v>6</v>
      </c>
      <c r="O73" s="145">
        <f>SUMIFS(Table2[NewPointsAway],Table2[GameDate], "&lt;=" &amp; $A73, Table2[AwayTeam], O$1)+SUMIFS(Table2[NewPointsHome],Table2[GameDate], "&lt;=" &amp; $A73, Table2[HomeTeam], O$1)</f>
        <v>7</v>
      </c>
      <c r="P73" s="145">
        <f>SUMIFS(Table2[NewPointsAway],Table2[GameDate], "&lt;=" &amp; $A73, Table2[AwayTeam], P$1)+SUMIFS(Table2[NewPointsHome],Table2[GameDate], "&lt;=" &amp; $A73, Table2[HomeTeam], P$1)</f>
        <v>10</v>
      </c>
      <c r="Q73" s="145">
        <f>SUMIFS(Table2[NewPointsAway],Table2[GameDate], "&lt;=" &amp; $A73, Table2[AwayTeam], Q$1)+SUMIFS(Table2[NewPointsHome],Table2[GameDate], "&lt;=" &amp; $A73, Table2[HomeTeam], Q$1)</f>
        <v>10</v>
      </c>
      <c r="R73" s="145">
        <f>SUMIFS(Table2[NewPointsAway],Table2[GameDate], "&lt;=" &amp; $A73, Table2[AwayTeam], R$1)+SUMIFS(Table2[NewPointsHome],Table2[GameDate], "&lt;=" &amp; $A73, Table2[HomeTeam], R$1)</f>
        <v>6</v>
      </c>
      <c r="S73" s="145">
        <f>SUMIFS(Table2[NewPointsAway],Table2[GameDate], "&lt;=" &amp; $A73, Table2[AwayTeam], S$1)+SUMIFS(Table2[NewPointsHome],Table2[GameDate], "&lt;=" &amp; $A73, Table2[HomeTeam], S$1)</f>
        <v>6</v>
      </c>
      <c r="T73" s="145">
        <f>SUMIFS(Table2[NewPointsAway],Table2[GameDate], "&lt;=" &amp; $A73, Table2[AwayTeam], T$1)+SUMIFS(Table2[NewPointsHome],Table2[GameDate], "&lt;=" &amp; $A73, Table2[HomeTeam], T$1)</f>
        <v>7</v>
      </c>
      <c r="U73" s="145">
        <f>SUMIFS(Table2[NewPointsAway],Table2[GameDate], "&lt;=" &amp; $A73, Table2[AwayTeam], U$1)+SUMIFS(Table2[NewPointsHome],Table2[GameDate], "&lt;=" &amp; $A73, Table2[HomeTeam], U$1)</f>
        <v>5</v>
      </c>
      <c r="V73" s="145">
        <f>SUMIFS(Table2[NewPointsAway],Table2[GameDate], "&lt;=" &amp; $A73, Table2[AwayTeam], V$1)+SUMIFS(Table2[NewPointsHome],Table2[GameDate], "&lt;=" &amp; $A73, Table2[HomeTeam], V$1)</f>
        <v>7</v>
      </c>
      <c r="W73" s="145">
        <f>SUMIFS(Table2[NewPointsAway],Table2[GameDate], "&lt;=" &amp; $A73, Table2[AwayTeam], W$1)+SUMIFS(Table2[NewPointsHome],Table2[GameDate], "&lt;=" &amp; $A73, Table2[HomeTeam], W$1)</f>
        <v>10</v>
      </c>
      <c r="X73" s="145">
        <f>SUMIFS(Table2[NewPointsAway],Table2[GameDate], "&lt;=" &amp; $A73, Table2[AwayTeam], X$1)+SUMIFS(Table2[NewPointsHome],Table2[GameDate], "&lt;=" &amp; $A73, Table2[HomeTeam], X$1)</f>
        <v>8</v>
      </c>
      <c r="Y73" s="145">
        <f>SUMIFS(Table2[NewPointsAway],Table2[GameDate], "&lt;=" &amp; $A73, Table2[AwayTeam], Y$1)+SUMIFS(Table2[NewPointsHome],Table2[GameDate], "&lt;=" &amp; $A73, Table2[HomeTeam], Y$1)</f>
        <v>2</v>
      </c>
      <c r="Z73" s="145">
        <f>SUMIFS(Table2[NewPointsAway],Table2[GameDate], "&lt;=" &amp; $A73, Table2[AwayTeam], Z$1)+SUMIFS(Table2[NewPointsHome],Table2[GameDate], "&lt;=" &amp; $A73, Table2[HomeTeam], Z$1)</f>
        <v>7</v>
      </c>
      <c r="AA73" s="145">
        <f>SUMIFS(Table2[NewPointsAway],Table2[GameDate], "&lt;=" &amp; $A73, Table2[AwayTeam], AA$1)+SUMIFS(Table2[NewPointsHome],Table2[GameDate], "&lt;=" &amp; $A73, Table2[HomeTeam], AA$1)</f>
        <v>4</v>
      </c>
      <c r="AB73" s="145">
        <f>SUMIFS(Table2[NewPointsAway],Table2[GameDate], "&lt;=" &amp; $A73, Table2[AwayTeam], AB$1)+SUMIFS(Table2[NewPointsHome],Table2[GameDate], "&lt;=" &amp; $A73, Table2[HomeTeam], AB$1)</f>
        <v>7</v>
      </c>
      <c r="AC73" s="145">
        <f>SUMIFS(Table2[NewPointsAway],Table2[GameDate], "&lt;=" &amp; $A73, Table2[AwayTeam], AC$1)+SUMIFS(Table2[NewPointsHome],Table2[GameDate], "&lt;=" &amp; $A73, Table2[HomeTeam], AC$1)</f>
        <v>10</v>
      </c>
      <c r="AD73" s="145">
        <f>SUMIFS(Table2[NewPointsAway],Table2[GameDate], "&lt;=" &amp; $A73, Table2[AwayTeam], AD$1)+SUMIFS(Table2[NewPointsHome],Table2[GameDate], "&lt;=" &amp; $A73, Table2[HomeTeam], AD$1)</f>
        <v>8</v>
      </c>
      <c r="AE73" s="145">
        <f>SUMIFS(Table2[NewPointsAway],Table2[GameDate], "&lt;=" &amp; $A73, Table2[AwayTeam], AE$1)+SUMIFS(Table2[NewPointsHome],Table2[GameDate], "&lt;=" &amp; $A73, Table2[HomeTeam], AE$1)</f>
        <v>12</v>
      </c>
      <c r="AF73" s="145">
        <f>SUMIFS(Table2[NewPointsAway],Table2[GameDate], "&lt;=" &amp; $A73, Table2[AwayTeam], AF$1)+SUMIFS(Table2[NewPointsHome],Table2[GameDate], "&lt;=" &amp; $A73, Table2[HomeTeam], AF$1)</f>
        <v>10</v>
      </c>
      <c r="AG73" s="145">
        <f>SUMIFS(Table2[NewPointsAway],Table2[GameDate], "&lt;=" &amp; $A73, Table2[AwayTeam], AG$1)+SUMIFS(Table2[NewPointsHome],Table2[GameDate], "&lt;=" &amp; $A73, Table2[HomeTeam], AG$1)</f>
        <v>10</v>
      </c>
    </row>
    <row r="74" spans="1:33" x14ac:dyDescent="0.25">
      <c r="A74" s="3">
        <v>46005</v>
      </c>
      <c r="B74" s="145">
        <f>SUMIFS(Table2[NewPointsAway],Table2[GameDate], "&lt;=" &amp; $A74, Table2[AwayTeam], B$1)+SUMIFS(Table2[NewPointsHome],Table2[GameDate], "&lt;=" &amp; $A74, Table2[HomeTeam], B$1)</f>
        <v>7</v>
      </c>
      <c r="C74" s="145">
        <f>SUMIFS(Table2[NewPointsAway],Table2[GameDate], "&lt;=" &amp; $A74, Table2[AwayTeam], C$1)+SUMIFS(Table2[NewPointsHome],Table2[GameDate], "&lt;=" &amp; $A74, Table2[HomeTeam], C$1)</f>
        <v>6</v>
      </c>
      <c r="D74" s="145">
        <f>SUMIFS(Table2[NewPointsAway],Table2[GameDate], "&lt;=" &amp; $A74, Table2[AwayTeam], D$1)+SUMIFS(Table2[NewPointsHome],Table2[GameDate], "&lt;=" &amp; $A74, Table2[HomeTeam], D$1)</f>
        <v>4</v>
      </c>
      <c r="E74" s="145">
        <f>SUMIFS(Table2[NewPointsAway],Table2[GameDate], "&lt;=" &amp; $A74, Table2[AwayTeam], E$1)+SUMIFS(Table2[NewPointsHome],Table2[GameDate], "&lt;=" &amp; $A74, Table2[HomeTeam], E$1)</f>
        <v>10</v>
      </c>
      <c r="F74" s="145">
        <f>SUMIFS(Table2[NewPointsAway],Table2[GameDate], "&lt;=" &amp; $A74, Table2[AwayTeam], F$1)+SUMIFS(Table2[NewPointsHome],Table2[GameDate], "&lt;=" &amp; $A74, Table2[HomeTeam], F$1)</f>
        <v>6</v>
      </c>
      <c r="G74" s="145">
        <f>SUMIFS(Table2[NewPointsAway],Table2[GameDate], "&lt;=" &amp; $A74, Table2[AwayTeam], G$1)+SUMIFS(Table2[NewPointsHome],Table2[GameDate], "&lt;=" &amp; $A74, Table2[HomeTeam], G$1)</f>
        <v>2</v>
      </c>
      <c r="H74" s="145">
        <f>SUMIFS(Table2[NewPointsAway],Table2[GameDate], "&lt;=" &amp; $A74, Table2[AwayTeam], H$1)+SUMIFS(Table2[NewPointsHome],Table2[GameDate], "&lt;=" &amp; $A74, Table2[HomeTeam], H$1)</f>
        <v>8</v>
      </c>
      <c r="I74" s="145">
        <f>SUMIFS(Table2[NewPointsAway],Table2[GameDate], "&lt;=" &amp; $A74, Table2[AwayTeam], I$1)+SUMIFS(Table2[NewPointsHome],Table2[GameDate], "&lt;=" &amp; $A74, Table2[HomeTeam], I$1)</f>
        <v>12</v>
      </c>
      <c r="J74" s="145">
        <f>SUMIFS(Table2[NewPointsAway],Table2[GameDate], "&lt;=" &amp; $A74, Table2[AwayTeam], J$1)+SUMIFS(Table2[NewPointsHome],Table2[GameDate], "&lt;=" &amp; $A74, Table2[HomeTeam], J$1)</f>
        <v>6</v>
      </c>
      <c r="K74" s="145">
        <f>SUMIFS(Table2[NewPointsAway],Table2[GameDate], "&lt;=" &amp; $A74, Table2[AwayTeam], K$1)+SUMIFS(Table2[NewPointsHome],Table2[GameDate], "&lt;=" &amp; $A74, Table2[HomeTeam], K$1)</f>
        <v>10</v>
      </c>
      <c r="L74" s="145">
        <f>SUMIFS(Table2[NewPointsAway],Table2[GameDate], "&lt;=" &amp; $A74, Table2[AwayTeam], L$1)+SUMIFS(Table2[NewPointsHome],Table2[GameDate], "&lt;=" &amp; $A74, Table2[HomeTeam], L$1)</f>
        <v>7</v>
      </c>
      <c r="M74" s="145">
        <f>SUMIFS(Table2[NewPointsAway],Table2[GameDate], "&lt;=" &amp; $A74, Table2[AwayTeam], M$1)+SUMIFS(Table2[NewPointsHome],Table2[GameDate], "&lt;=" &amp; $A74, Table2[HomeTeam], M$1)</f>
        <v>8</v>
      </c>
      <c r="N74" s="145">
        <f>SUMIFS(Table2[NewPointsAway],Table2[GameDate], "&lt;=" &amp; $A74, Table2[AwayTeam], N$1)+SUMIFS(Table2[NewPointsHome],Table2[GameDate], "&lt;=" &amp; $A74, Table2[HomeTeam], N$1)</f>
        <v>6</v>
      </c>
      <c r="O74" s="145">
        <f>SUMIFS(Table2[NewPointsAway],Table2[GameDate], "&lt;=" &amp; $A74, Table2[AwayTeam], O$1)+SUMIFS(Table2[NewPointsHome],Table2[GameDate], "&lt;=" &amp; $A74, Table2[HomeTeam], O$1)</f>
        <v>7</v>
      </c>
      <c r="P74" s="145">
        <f>SUMIFS(Table2[NewPointsAway],Table2[GameDate], "&lt;=" &amp; $A74, Table2[AwayTeam], P$1)+SUMIFS(Table2[NewPointsHome],Table2[GameDate], "&lt;=" &amp; $A74, Table2[HomeTeam], P$1)</f>
        <v>10</v>
      </c>
      <c r="Q74" s="145">
        <f>SUMIFS(Table2[NewPointsAway],Table2[GameDate], "&lt;=" &amp; $A74, Table2[AwayTeam], Q$1)+SUMIFS(Table2[NewPointsHome],Table2[GameDate], "&lt;=" &amp; $A74, Table2[HomeTeam], Q$1)</f>
        <v>10</v>
      </c>
      <c r="R74" s="145">
        <f>SUMIFS(Table2[NewPointsAway],Table2[GameDate], "&lt;=" &amp; $A74, Table2[AwayTeam], R$1)+SUMIFS(Table2[NewPointsHome],Table2[GameDate], "&lt;=" &amp; $A74, Table2[HomeTeam], R$1)</f>
        <v>6</v>
      </c>
      <c r="S74" s="145">
        <f>SUMIFS(Table2[NewPointsAway],Table2[GameDate], "&lt;=" &amp; $A74, Table2[AwayTeam], S$1)+SUMIFS(Table2[NewPointsHome],Table2[GameDate], "&lt;=" &amp; $A74, Table2[HomeTeam], S$1)</f>
        <v>6</v>
      </c>
      <c r="T74" s="145">
        <f>SUMIFS(Table2[NewPointsAway],Table2[GameDate], "&lt;=" &amp; $A74, Table2[AwayTeam], T$1)+SUMIFS(Table2[NewPointsHome],Table2[GameDate], "&lt;=" &amp; $A74, Table2[HomeTeam], T$1)</f>
        <v>7</v>
      </c>
      <c r="U74" s="145">
        <f>SUMIFS(Table2[NewPointsAway],Table2[GameDate], "&lt;=" &amp; $A74, Table2[AwayTeam], U$1)+SUMIFS(Table2[NewPointsHome],Table2[GameDate], "&lt;=" &amp; $A74, Table2[HomeTeam], U$1)</f>
        <v>5</v>
      </c>
      <c r="V74" s="145">
        <f>SUMIFS(Table2[NewPointsAway],Table2[GameDate], "&lt;=" &amp; $A74, Table2[AwayTeam], V$1)+SUMIFS(Table2[NewPointsHome],Table2[GameDate], "&lt;=" &amp; $A74, Table2[HomeTeam], V$1)</f>
        <v>7</v>
      </c>
      <c r="W74" s="145">
        <f>SUMIFS(Table2[NewPointsAway],Table2[GameDate], "&lt;=" &amp; $A74, Table2[AwayTeam], W$1)+SUMIFS(Table2[NewPointsHome],Table2[GameDate], "&lt;=" &amp; $A74, Table2[HomeTeam], W$1)</f>
        <v>10</v>
      </c>
      <c r="X74" s="145">
        <f>SUMIFS(Table2[NewPointsAway],Table2[GameDate], "&lt;=" &amp; $A74, Table2[AwayTeam], X$1)+SUMIFS(Table2[NewPointsHome],Table2[GameDate], "&lt;=" &amp; $A74, Table2[HomeTeam], X$1)</f>
        <v>8</v>
      </c>
      <c r="Y74" s="145">
        <f>SUMIFS(Table2[NewPointsAway],Table2[GameDate], "&lt;=" &amp; $A74, Table2[AwayTeam], Y$1)+SUMIFS(Table2[NewPointsHome],Table2[GameDate], "&lt;=" &amp; $A74, Table2[HomeTeam], Y$1)</f>
        <v>2</v>
      </c>
      <c r="Z74" s="145">
        <f>SUMIFS(Table2[NewPointsAway],Table2[GameDate], "&lt;=" &amp; $A74, Table2[AwayTeam], Z$1)+SUMIFS(Table2[NewPointsHome],Table2[GameDate], "&lt;=" &amp; $A74, Table2[HomeTeam], Z$1)</f>
        <v>7</v>
      </c>
      <c r="AA74" s="145">
        <f>SUMIFS(Table2[NewPointsAway],Table2[GameDate], "&lt;=" &amp; $A74, Table2[AwayTeam], AA$1)+SUMIFS(Table2[NewPointsHome],Table2[GameDate], "&lt;=" &amp; $A74, Table2[HomeTeam], AA$1)</f>
        <v>4</v>
      </c>
      <c r="AB74" s="145">
        <f>SUMIFS(Table2[NewPointsAway],Table2[GameDate], "&lt;=" &amp; $A74, Table2[AwayTeam], AB$1)+SUMIFS(Table2[NewPointsHome],Table2[GameDate], "&lt;=" &amp; $A74, Table2[HomeTeam], AB$1)</f>
        <v>7</v>
      </c>
      <c r="AC74" s="145">
        <f>SUMIFS(Table2[NewPointsAway],Table2[GameDate], "&lt;=" &amp; $A74, Table2[AwayTeam], AC$1)+SUMIFS(Table2[NewPointsHome],Table2[GameDate], "&lt;=" &amp; $A74, Table2[HomeTeam], AC$1)</f>
        <v>10</v>
      </c>
      <c r="AD74" s="145">
        <f>SUMIFS(Table2[NewPointsAway],Table2[GameDate], "&lt;=" &amp; $A74, Table2[AwayTeam], AD$1)+SUMIFS(Table2[NewPointsHome],Table2[GameDate], "&lt;=" &amp; $A74, Table2[HomeTeam], AD$1)</f>
        <v>8</v>
      </c>
      <c r="AE74" s="145">
        <f>SUMIFS(Table2[NewPointsAway],Table2[GameDate], "&lt;=" &amp; $A74, Table2[AwayTeam], AE$1)+SUMIFS(Table2[NewPointsHome],Table2[GameDate], "&lt;=" &amp; $A74, Table2[HomeTeam], AE$1)</f>
        <v>12</v>
      </c>
      <c r="AF74" s="145">
        <f>SUMIFS(Table2[NewPointsAway],Table2[GameDate], "&lt;=" &amp; $A74, Table2[AwayTeam], AF$1)+SUMIFS(Table2[NewPointsHome],Table2[GameDate], "&lt;=" &amp; $A74, Table2[HomeTeam], AF$1)</f>
        <v>10</v>
      </c>
      <c r="AG74" s="145">
        <f>SUMIFS(Table2[NewPointsAway],Table2[GameDate], "&lt;=" &amp; $A74, Table2[AwayTeam], AG$1)+SUMIFS(Table2[NewPointsHome],Table2[GameDate], "&lt;=" &amp; $A74, Table2[HomeTeam], AG$1)</f>
        <v>10</v>
      </c>
    </row>
    <row r="75" spans="1:33" x14ac:dyDescent="0.25">
      <c r="A75" s="3">
        <v>46006</v>
      </c>
      <c r="B75" s="145">
        <f>SUMIFS(Table2[NewPointsAway],Table2[GameDate], "&lt;=" &amp; $A75, Table2[AwayTeam], B$1)+SUMIFS(Table2[NewPointsHome],Table2[GameDate], "&lt;=" &amp; $A75, Table2[HomeTeam], B$1)</f>
        <v>7</v>
      </c>
      <c r="C75" s="145">
        <f>SUMIFS(Table2[NewPointsAway],Table2[GameDate], "&lt;=" &amp; $A75, Table2[AwayTeam], C$1)+SUMIFS(Table2[NewPointsHome],Table2[GameDate], "&lt;=" &amp; $A75, Table2[HomeTeam], C$1)</f>
        <v>6</v>
      </c>
      <c r="D75" s="145">
        <f>SUMIFS(Table2[NewPointsAway],Table2[GameDate], "&lt;=" &amp; $A75, Table2[AwayTeam], D$1)+SUMIFS(Table2[NewPointsHome],Table2[GameDate], "&lt;=" &amp; $A75, Table2[HomeTeam], D$1)</f>
        <v>4</v>
      </c>
      <c r="E75" s="145">
        <f>SUMIFS(Table2[NewPointsAway],Table2[GameDate], "&lt;=" &amp; $A75, Table2[AwayTeam], E$1)+SUMIFS(Table2[NewPointsHome],Table2[GameDate], "&lt;=" &amp; $A75, Table2[HomeTeam], E$1)</f>
        <v>10</v>
      </c>
      <c r="F75" s="145">
        <f>SUMIFS(Table2[NewPointsAway],Table2[GameDate], "&lt;=" &amp; $A75, Table2[AwayTeam], F$1)+SUMIFS(Table2[NewPointsHome],Table2[GameDate], "&lt;=" &amp; $A75, Table2[HomeTeam], F$1)</f>
        <v>6</v>
      </c>
      <c r="G75" s="145">
        <f>SUMIFS(Table2[NewPointsAway],Table2[GameDate], "&lt;=" &amp; $A75, Table2[AwayTeam], G$1)+SUMIFS(Table2[NewPointsHome],Table2[GameDate], "&lt;=" &amp; $A75, Table2[HomeTeam], G$1)</f>
        <v>2</v>
      </c>
      <c r="H75" s="145">
        <f>SUMIFS(Table2[NewPointsAway],Table2[GameDate], "&lt;=" &amp; $A75, Table2[AwayTeam], H$1)+SUMIFS(Table2[NewPointsHome],Table2[GameDate], "&lt;=" &amp; $A75, Table2[HomeTeam], H$1)</f>
        <v>8</v>
      </c>
      <c r="I75" s="145">
        <f>SUMIFS(Table2[NewPointsAway],Table2[GameDate], "&lt;=" &amp; $A75, Table2[AwayTeam], I$1)+SUMIFS(Table2[NewPointsHome],Table2[GameDate], "&lt;=" &amp; $A75, Table2[HomeTeam], I$1)</f>
        <v>12</v>
      </c>
      <c r="J75" s="145">
        <f>SUMIFS(Table2[NewPointsAway],Table2[GameDate], "&lt;=" &amp; $A75, Table2[AwayTeam], J$1)+SUMIFS(Table2[NewPointsHome],Table2[GameDate], "&lt;=" &amp; $A75, Table2[HomeTeam], J$1)</f>
        <v>6</v>
      </c>
      <c r="K75" s="145">
        <f>SUMIFS(Table2[NewPointsAway],Table2[GameDate], "&lt;=" &amp; $A75, Table2[AwayTeam], K$1)+SUMIFS(Table2[NewPointsHome],Table2[GameDate], "&lt;=" &amp; $A75, Table2[HomeTeam], K$1)</f>
        <v>10</v>
      </c>
      <c r="L75" s="145">
        <f>SUMIFS(Table2[NewPointsAway],Table2[GameDate], "&lt;=" &amp; $A75, Table2[AwayTeam], L$1)+SUMIFS(Table2[NewPointsHome],Table2[GameDate], "&lt;=" &amp; $A75, Table2[HomeTeam], L$1)</f>
        <v>7</v>
      </c>
      <c r="M75" s="145">
        <f>SUMIFS(Table2[NewPointsAway],Table2[GameDate], "&lt;=" &amp; $A75, Table2[AwayTeam], M$1)+SUMIFS(Table2[NewPointsHome],Table2[GameDate], "&lt;=" &amp; $A75, Table2[HomeTeam], M$1)</f>
        <v>8</v>
      </c>
      <c r="N75" s="145">
        <f>SUMIFS(Table2[NewPointsAway],Table2[GameDate], "&lt;=" &amp; $A75, Table2[AwayTeam], N$1)+SUMIFS(Table2[NewPointsHome],Table2[GameDate], "&lt;=" &amp; $A75, Table2[HomeTeam], N$1)</f>
        <v>6</v>
      </c>
      <c r="O75" s="145">
        <f>SUMIFS(Table2[NewPointsAway],Table2[GameDate], "&lt;=" &amp; $A75, Table2[AwayTeam], O$1)+SUMIFS(Table2[NewPointsHome],Table2[GameDate], "&lt;=" &amp; $A75, Table2[HomeTeam], O$1)</f>
        <v>7</v>
      </c>
      <c r="P75" s="145">
        <f>SUMIFS(Table2[NewPointsAway],Table2[GameDate], "&lt;=" &amp; $A75, Table2[AwayTeam], P$1)+SUMIFS(Table2[NewPointsHome],Table2[GameDate], "&lt;=" &amp; $A75, Table2[HomeTeam], P$1)</f>
        <v>10</v>
      </c>
      <c r="Q75" s="145">
        <f>SUMIFS(Table2[NewPointsAway],Table2[GameDate], "&lt;=" &amp; $A75, Table2[AwayTeam], Q$1)+SUMIFS(Table2[NewPointsHome],Table2[GameDate], "&lt;=" &amp; $A75, Table2[HomeTeam], Q$1)</f>
        <v>10</v>
      </c>
      <c r="R75" s="145">
        <f>SUMIFS(Table2[NewPointsAway],Table2[GameDate], "&lt;=" &amp; $A75, Table2[AwayTeam], R$1)+SUMIFS(Table2[NewPointsHome],Table2[GameDate], "&lt;=" &amp; $A75, Table2[HomeTeam], R$1)</f>
        <v>6</v>
      </c>
      <c r="S75" s="145">
        <f>SUMIFS(Table2[NewPointsAway],Table2[GameDate], "&lt;=" &amp; $A75, Table2[AwayTeam], S$1)+SUMIFS(Table2[NewPointsHome],Table2[GameDate], "&lt;=" &amp; $A75, Table2[HomeTeam], S$1)</f>
        <v>6</v>
      </c>
      <c r="T75" s="145">
        <f>SUMIFS(Table2[NewPointsAway],Table2[GameDate], "&lt;=" &amp; $A75, Table2[AwayTeam], T$1)+SUMIFS(Table2[NewPointsHome],Table2[GameDate], "&lt;=" &amp; $A75, Table2[HomeTeam], T$1)</f>
        <v>7</v>
      </c>
      <c r="U75" s="145">
        <f>SUMIFS(Table2[NewPointsAway],Table2[GameDate], "&lt;=" &amp; $A75, Table2[AwayTeam], U$1)+SUMIFS(Table2[NewPointsHome],Table2[GameDate], "&lt;=" &amp; $A75, Table2[HomeTeam], U$1)</f>
        <v>5</v>
      </c>
      <c r="V75" s="145">
        <f>SUMIFS(Table2[NewPointsAway],Table2[GameDate], "&lt;=" &amp; $A75, Table2[AwayTeam], V$1)+SUMIFS(Table2[NewPointsHome],Table2[GameDate], "&lt;=" &amp; $A75, Table2[HomeTeam], V$1)</f>
        <v>7</v>
      </c>
      <c r="W75" s="145">
        <f>SUMIFS(Table2[NewPointsAway],Table2[GameDate], "&lt;=" &amp; $A75, Table2[AwayTeam], W$1)+SUMIFS(Table2[NewPointsHome],Table2[GameDate], "&lt;=" &amp; $A75, Table2[HomeTeam], W$1)</f>
        <v>10</v>
      </c>
      <c r="X75" s="145">
        <f>SUMIFS(Table2[NewPointsAway],Table2[GameDate], "&lt;=" &amp; $A75, Table2[AwayTeam], X$1)+SUMIFS(Table2[NewPointsHome],Table2[GameDate], "&lt;=" &amp; $A75, Table2[HomeTeam], X$1)</f>
        <v>8</v>
      </c>
      <c r="Y75" s="145">
        <f>SUMIFS(Table2[NewPointsAway],Table2[GameDate], "&lt;=" &amp; $A75, Table2[AwayTeam], Y$1)+SUMIFS(Table2[NewPointsHome],Table2[GameDate], "&lt;=" &amp; $A75, Table2[HomeTeam], Y$1)</f>
        <v>2</v>
      </c>
      <c r="Z75" s="145">
        <f>SUMIFS(Table2[NewPointsAway],Table2[GameDate], "&lt;=" &amp; $A75, Table2[AwayTeam], Z$1)+SUMIFS(Table2[NewPointsHome],Table2[GameDate], "&lt;=" &amp; $A75, Table2[HomeTeam], Z$1)</f>
        <v>7</v>
      </c>
      <c r="AA75" s="145">
        <f>SUMIFS(Table2[NewPointsAway],Table2[GameDate], "&lt;=" &amp; $A75, Table2[AwayTeam], AA$1)+SUMIFS(Table2[NewPointsHome],Table2[GameDate], "&lt;=" &amp; $A75, Table2[HomeTeam], AA$1)</f>
        <v>4</v>
      </c>
      <c r="AB75" s="145">
        <f>SUMIFS(Table2[NewPointsAway],Table2[GameDate], "&lt;=" &amp; $A75, Table2[AwayTeam], AB$1)+SUMIFS(Table2[NewPointsHome],Table2[GameDate], "&lt;=" &amp; $A75, Table2[HomeTeam], AB$1)</f>
        <v>7</v>
      </c>
      <c r="AC75" s="145">
        <f>SUMIFS(Table2[NewPointsAway],Table2[GameDate], "&lt;=" &amp; $A75, Table2[AwayTeam], AC$1)+SUMIFS(Table2[NewPointsHome],Table2[GameDate], "&lt;=" &amp; $A75, Table2[HomeTeam], AC$1)</f>
        <v>10</v>
      </c>
      <c r="AD75" s="145">
        <f>SUMIFS(Table2[NewPointsAway],Table2[GameDate], "&lt;=" &amp; $A75, Table2[AwayTeam], AD$1)+SUMIFS(Table2[NewPointsHome],Table2[GameDate], "&lt;=" &amp; $A75, Table2[HomeTeam], AD$1)</f>
        <v>8</v>
      </c>
      <c r="AE75" s="145">
        <f>SUMIFS(Table2[NewPointsAway],Table2[GameDate], "&lt;=" &amp; $A75, Table2[AwayTeam], AE$1)+SUMIFS(Table2[NewPointsHome],Table2[GameDate], "&lt;=" &amp; $A75, Table2[HomeTeam], AE$1)</f>
        <v>12</v>
      </c>
      <c r="AF75" s="145">
        <f>SUMIFS(Table2[NewPointsAway],Table2[GameDate], "&lt;=" &amp; $A75, Table2[AwayTeam], AF$1)+SUMIFS(Table2[NewPointsHome],Table2[GameDate], "&lt;=" &amp; $A75, Table2[HomeTeam], AF$1)</f>
        <v>10</v>
      </c>
      <c r="AG75" s="145">
        <f>SUMIFS(Table2[NewPointsAway],Table2[GameDate], "&lt;=" &amp; $A75, Table2[AwayTeam], AG$1)+SUMIFS(Table2[NewPointsHome],Table2[GameDate], "&lt;=" &amp; $A75, Table2[HomeTeam], AG$1)</f>
        <v>10</v>
      </c>
    </row>
    <row r="76" spans="1:33" x14ac:dyDescent="0.25">
      <c r="A76" s="3">
        <v>46007</v>
      </c>
      <c r="B76" s="145">
        <f>SUMIFS(Table2[NewPointsAway],Table2[GameDate], "&lt;=" &amp; $A76, Table2[AwayTeam], B$1)+SUMIFS(Table2[NewPointsHome],Table2[GameDate], "&lt;=" &amp; $A76, Table2[HomeTeam], B$1)</f>
        <v>7</v>
      </c>
      <c r="C76" s="145">
        <f>SUMIFS(Table2[NewPointsAway],Table2[GameDate], "&lt;=" &amp; $A76, Table2[AwayTeam], C$1)+SUMIFS(Table2[NewPointsHome],Table2[GameDate], "&lt;=" &amp; $A76, Table2[HomeTeam], C$1)</f>
        <v>6</v>
      </c>
      <c r="D76" s="145">
        <f>SUMIFS(Table2[NewPointsAway],Table2[GameDate], "&lt;=" &amp; $A76, Table2[AwayTeam], D$1)+SUMIFS(Table2[NewPointsHome],Table2[GameDate], "&lt;=" &amp; $A76, Table2[HomeTeam], D$1)</f>
        <v>4</v>
      </c>
      <c r="E76" s="145">
        <f>SUMIFS(Table2[NewPointsAway],Table2[GameDate], "&lt;=" &amp; $A76, Table2[AwayTeam], E$1)+SUMIFS(Table2[NewPointsHome],Table2[GameDate], "&lt;=" &amp; $A76, Table2[HomeTeam], E$1)</f>
        <v>10</v>
      </c>
      <c r="F76" s="145">
        <f>SUMIFS(Table2[NewPointsAway],Table2[GameDate], "&lt;=" &amp; $A76, Table2[AwayTeam], F$1)+SUMIFS(Table2[NewPointsHome],Table2[GameDate], "&lt;=" &amp; $A76, Table2[HomeTeam], F$1)</f>
        <v>6</v>
      </c>
      <c r="G76" s="145">
        <f>SUMIFS(Table2[NewPointsAway],Table2[GameDate], "&lt;=" &amp; $A76, Table2[AwayTeam], G$1)+SUMIFS(Table2[NewPointsHome],Table2[GameDate], "&lt;=" &amp; $A76, Table2[HomeTeam], G$1)</f>
        <v>2</v>
      </c>
      <c r="H76" s="145">
        <f>SUMIFS(Table2[NewPointsAway],Table2[GameDate], "&lt;=" &amp; $A76, Table2[AwayTeam], H$1)+SUMIFS(Table2[NewPointsHome],Table2[GameDate], "&lt;=" &amp; $A76, Table2[HomeTeam], H$1)</f>
        <v>8</v>
      </c>
      <c r="I76" s="145">
        <f>SUMIFS(Table2[NewPointsAway],Table2[GameDate], "&lt;=" &amp; $A76, Table2[AwayTeam], I$1)+SUMIFS(Table2[NewPointsHome],Table2[GameDate], "&lt;=" &amp; $A76, Table2[HomeTeam], I$1)</f>
        <v>12</v>
      </c>
      <c r="J76" s="145">
        <f>SUMIFS(Table2[NewPointsAway],Table2[GameDate], "&lt;=" &amp; $A76, Table2[AwayTeam], J$1)+SUMIFS(Table2[NewPointsHome],Table2[GameDate], "&lt;=" &amp; $A76, Table2[HomeTeam], J$1)</f>
        <v>6</v>
      </c>
      <c r="K76" s="145">
        <f>SUMIFS(Table2[NewPointsAway],Table2[GameDate], "&lt;=" &amp; $A76, Table2[AwayTeam], K$1)+SUMIFS(Table2[NewPointsHome],Table2[GameDate], "&lt;=" &amp; $A76, Table2[HomeTeam], K$1)</f>
        <v>10</v>
      </c>
      <c r="L76" s="145">
        <f>SUMIFS(Table2[NewPointsAway],Table2[GameDate], "&lt;=" &amp; $A76, Table2[AwayTeam], L$1)+SUMIFS(Table2[NewPointsHome],Table2[GameDate], "&lt;=" &amp; $A76, Table2[HomeTeam], L$1)</f>
        <v>7</v>
      </c>
      <c r="M76" s="145">
        <f>SUMIFS(Table2[NewPointsAway],Table2[GameDate], "&lt;=" &amp; $A76, Table2[AwayTeam], M$1)+SUMIFS(Table2[NewPointsHome],Table2[GameDate], "&lt;=" &amp; $A76, Table2[HomeTeam], M$1)</f>
        <v>8</v>
      </c>
      <c r="N76" s="145">
        <f>SUMIFS(Table2[NewPointsAway],Table2[GameDate], "&lt;=" &amp; $A76, Table2[AwayTeam], N$1)+SUMIFS(Table2[NewPointsHome],Table2[GameDate], "&lt;=" &amp; $A76, Table2[HomeTeam], N$1)</f>
        <v>6</v>
      </c>
      <c r="O76" s="145">
        <f>SUMIFS(Table2[NewPointsAway],Table2[GameDate], "&lt;=" &amp; $A76, Table2[AwayTeam], O$1)+SUMIFS(Table2[NewPointsHome],Table2[GameDate], "&lt;=" &amp; $A76, Table2[HomeTeam], O$1)</f>
        <v>7</v>
      </c>
      <c r="P76" s="145">
        <f>SUMIFS(Table2[NewPointsAway],Table2[GameDate], "&lt;=" &amp; $A76, Table2[AwayTeam], P$1)+SUMIFS(Table2[NewPointsHome],Table2[GameDate], "&lt;=" &amp; $A76, Table2[HomeTeam], P$1)</f>
        <v>10</v>
      </c>
      <c r="Q76" s="145">
        <f>SUMIFS(Table2[NewPointsAway],Table2[GameDate], "&lt;=" &amp; $A76, Table2[AwayTeam], Q$1)+SUMIFS(Table2[NewPointsHome],Table2[GameDate], "&lt;=" &amp; $A76, Table2[HomeTeam], Q$1)</f>
        <v>10</v>
      </c>
      <c r="R76" s="145">
        <f>SUMIFS(Table2[NewPointsAway],Table2[GameDate], "&lt;=" &amp; $A76, Table2[AwayTeam], R$1)+SUMIFS(Table2[NewPointsHome],Table2[GameDate], "&lt;=" &amp; $A76, Table2[HomeTeam], R$1)</f>
        <v>6</v>
      </c>
      <c r="S76" s="145">
        <f>SUMIFS(Table2[NewPointsAway],Table2[GameDate], "&lt;=" &amp; $A76, Table2[AwayTeam], S$1)+SUMIFS(Table2[NewPointsHome],Table2[GameDate], "&lt;=" &amp; $A76, Table2[HomeTeam], S$1)</f>
        <v>6</v>
      </c>
      <c r="T76" s="145">
        <f>SUMIFS(Table2[NewPointsAway],Table2[GameDate], "&lt;=" &amp; $A76, Table2[AwayTeam], T$1)+SUMIFS(Table2[NewPointsHome],Table2[GameDate], "&lt;=" &amp; $A76, Table2[HomeTeam], T$1)</f>
        <v>7</v>
      </c>
      <c r="U76" s="145">
        <f>SUMIFS(Table2[NewPointsAway],Table2[GameDate], "&lt;=" &amp; $A76, Table2[AwayTeam], U$1)+SUMIFS(Table2[NewPointsHome],Table2[GameDate], "&lt;=" &amp; $A76, Table2[HomeTeam], U$1)</f>
        <v>5</v>
      </c>
      <c r="V76" s="145">
        <f>SUMIFS(Table2[NewPointsAway],Table2[GameDate], "&lt;=" &amp; $A76, Table2[AwayTeam], V$1)+SUMIFS(Table2[NewPointsHome],Table2[GameDate], "&lt;=" &amp; $A76, Table2[HomeTeam], V$1)</f>
        <v>7</v>
      </c>
      <c r="W76" s="145">
        <f>SUMIFS(Table2[NewPointsAway],Table2[GameDate], "&lt;=" &amp; $A76, Table2[AwayTeam], W$1)+SUMIFS(Table2[NewPointsHome],Table2[GameDate], "&lt;=" &amp; $A76, Table2[HomeTeam], W$1)</f>
        <v>10</v>
      </c>
      <c r="X76" s="145">
        <f>SUMIFS(Table2[NewPointsAway],Table2[GameDate], "&lt;=" &amp; $A76, Table2[AwayTeam], X$1)+SUMIFS(Table2[NewPointsHome],Table2[GameDate], "&lt;=" &amp; $A76, Table2[HomeTeam], X$1)</f>
        <v>8</v>
      </c>
      <c r="Y76" s="145">
        <f>SUMIFS(Table2[NewPointsAway],Table2[GameDate], "&lt;=" &amp; $A76, Table2[AwayTeam], Y$1)+SUMIFS(Table2[NewPointsHome],Table2[GameDate], "&lt;=" &amp; $A76, Table2[HomeTeam], Y$1)</f>
        <v>2</v>
      </c>
      <c r="Z76" s="145">
        <f>SUMIFS(Table2[NewPointsAway],Table2[GameDate], "&lt;=" &amp; $A76, Table2[AwayTeam], Z$1)+SUMIFS(Table2[NewPointsHome],Table2[GameDate], "&lt;=" &amp; $A76, Table2[HomeTeam], Z$1)</f>
        <v>7</v>
      </c>
      <c r="AA76" s="145">
        <f>SUMIFS(Table2[NewPointsAway],Table2[GameDate], "&lt;=" &amp; $A76, Table2[AwayTeam], AA$1)+SUMIFS(Table2[NewPointsHome],Table2[GameDate], "&lt;=" &amp; $A76, Table2[HomeTeam], AA$1)</f>
        <v>4</v>
      </c>
      <c r="AB76" s="145">
        <f>SUMIFS(Table2[NewPointsAway],Table2[GameDate], "&lt;=" &amp; $A76, Table2[AwayTeam], AB$1)+SUMIFS(Table2[NewPointsHome],Table2[GameDate], "&lt;=" &amp; $A76, Table2[HomeTeam], AB$1)</f>
        <v>7</v>
      </c>
      <c r="AC76" s="145">
        <f>SUMIFS(Table2[NewPointsAway],Table2[GameDate], "&lt;=" &amp; $A76, Table2[AwayTeam], AC$1)+SUMIFS(Table2[NewPointsHome],Table2[GameDate], "&lt;=" &amp; $A76, Table2[HomeTeam], AC$1)</f>
        <v>10</v>
      </c>
      <c r="AD76" s="145">
        <f>SUMIFS(Table2[NewPointsAway],Table2[GameDate], "&lt;=" &amp; $A76, Table2[AwayTeam], AD$1)+SUMIFS(Table2[NewPointsHome],Table2[GameDate], "&lt;=" &amp; $A76, Table2[HomeTeam], AD$1)</f>
        <v>8</v>
      </c>
      <c r="AE76" s="145">
        <f>SUMIFS(Table2[NewPointsAway],Table2[GameDate], "&lt;=" &amp; $A76, Table2[AwayTeam], AE$1)+SUMIFS(Table2[NewPointsHome],Table2[GameDate], "&lt;=" &amp; $A76, Table2[HomeTeam], AE$1)</f>
        <v>12</v>
      </c>
      <c r="AF76" s="145">
        <f>SUMIFS(Table2[NewPointsAway],Table2[GameDate], "&lt;=" &amp; $A76, Table2[AwayTeam], AF$1)+SUMIFS(Table2[NewPointsHome],Table2[GameDate], "&lt;=" &amp; $A76, Table2[HomeTeam], AF$1)</f>
        <v>10</v>
      </c>
      <c r="AG76" s="145">
        <f>SUMIFS(Table2[NewPointsAway],Table2[GameDate], "&lt;=" &amp; $A76, Table2[AwayTeam], AG$1)+SUMIFS(Table2[NewPointsHome],Table2[GameDate], "&lt;=" &amp; $A76, Table2[HomeTeam], AG$1)</f>
        <v>10</v>
      </c>
    </row>
    <row r="77" spans="1:33" x14ac:dyDescent="0.25">
      <c r="A77" s="3">
        <v>46008</v>
      </c>
      <c r="B77" s="145">
        <f>SUMIFS(Table2[NewPointsAway],Table2[GameDate], "&lt;=" &amp; $A77, Table2[AwayTeam], B$1)+SUMIFS(Table2[NewPointsHome],Table2[GameDate], "&lt;=" &amp; $A77, Table2[HomeTeam], B$1)</f>
        <v>7</v>
      </c>
      <c r="C77" s="145">
        <f>SUMIFS(Table2[NewPointsAway],Table2[GameDate], "&lt;=" &amp; $A77, Table2[AwayTeam], C$1)+SUMIFS(Table2[NewPointsHome],Table2[GameDate], "&lt;=" &amp; $A77, Table2[HomeTeam], C$1)</f>
        <v>6</v>
      </c>
      <c r="D77" s="145">
        <f>SUMIFS(Table2[NewPointsAway],Table2[GameDate], "&lt;=" &amp; $A77, Table2[AwayTeam], D$1)+SUMIFS(Table2[NewPointsHome],Table2[GameDate], "&lt;=" &amp; $A77, Table2[HomeTeam], D$1)</f>
        <v>4</v>
      </c>
      <c r="E77" s="145">
        <f>SUMIFS(Table2[NewPointsAway],Table2[GameDate], "&lt;=" &amp; $A77, Table2[AwayTeam], E$1)+SUMIFS(Table2[NewPointsHome],Table2[GameDate], "&lt;=" &amp; $A77, Table2[HomeTeam], E$1)</f>
        <v>10</v>
      </c>
      <c r="F77" s="145">
        <f>SUMIFS(Table2[NewPointsAway],Table2[GameDate], "&lt;=" &amp; $A77, Table2[AwayTeam], F$1)+SUMIFS(Table2[NewPointsHome],Table2[GameDate], "&lt;=" &amp; $A77, Table2[HomeTeam], F$1)</f>
        <v>6</v>
      </c>
      <c r="G77" s="145">
        <f>SUMIFS(Table2[NewPointsAway],Table2[GameDate], "&lt;=" &amp; $A77, Table2[AwayTeam], G$1)+SUMIFS(Table2[NewPointsHome],Table2[GameDate], "&lt;=" &amp; $A77, Table2[HomeTeam], G$1)</f>
        <v>2</v>
      </c>
      <c r="H77" s="145">
        <f>SUMIFS(Table2[NewPointsAway],Table2[GameDate], "&lt;=" &amp; $A77, Table2[AwayTeam], H$1)+SUMIFS(Table2[NewPointsHome],Table2[GameDate], "&lt;=" &amp; $A77, Table2[HomeTeam], H$1)</f>
        <v>8</v>
      </c>
      <c r="I77" s="145">
        <f>SUMIFS(Table2[NewPointsAway],Table2[GameDate], "&lt;=" &amp; $A77, Table2[AwayTeam], I$1)+SUMIFS(Table2[NewPointsHome],Table2[GameDate], "&lt;=" &amp; $A77, Table2[HomeTeam], I$1)</f>
        <v>12</v>
      </c>
      <c r="J77" s="145">
        <f>SUMIFS(Table2[NewPointsAway],Table2[GameDate], "&lt;=" &amp; $A77, Table2[AwayTeam], J$1)+SUMIFS(Table2[NewPointsHome],Table2[GameDate], "&lt;=" &amp; $A77, Table2[HomeTeam], J$1)</f>
        <v>6</v>
      </c>
      <c r="K77" s="145">
        <f>SUMIFS(Table2[NewPointsAway],Table2[GameDate], "&lt;=" &amp; $A77, Table2[AwayTeam], K$1)+SUMIFS(Table2[NewPointsHome],Table2[GameDate], "&lt;=" &amp; $A77, Table2[HomeTeam], K$1)</f>
        <v>10</v>
      </c>
      <c r="L77" s="145">
        <f>SUMIFS(Table2[NewPointsAway],Table2[GameDate], "&lt;=" &amp; $A77, Table2[AwayTeam], L$1)+SUMIFS(Table2[NewPointsHome],Table2[GameDate], "&lt;=" &amp; $A77, Table2[HomeTeam], L$1)</f>
        <v>7</v>
      </c>
      <c r="M77" s="145">
        <f>SUMIFS(Table2[NewPointsAway],Table2[GameDate], "&lt;=" &amp; $A77, Table2[AwayTeam], M$1)+SUMIFS(Table2[NewPointsHome],Table2[GameDate], "&lt;=" &amp; $A77, Table2[HomeTeam], M$1)</f>
        <v>8</v>
      </c>
      <c r="N77" s="145">
        <f>SUMIFS(Table2[NewPointsAway],Table2[GameDate], "&lt;=" &amp; $A77, Table2[AwayTeam], N$1)+SUMIFS(Table2[NewPointsHome],Table2[GameDate], "&lt;=" &amp; $A77, Table2[HomeTeam], N$1)</f>
        <v>6</v>
      </c>
      <c r="O77" s="145">
        <f>SUMIFS(Table2[NewPointsAway],Table2[GameDate], "&lt;=" &amp; $A77, Table2[AwayTeam], O$1)+SUMIFS(Table2[NewPointsHome],Table2[GameDate], "&lt;=" &amp; $A77, Table2[HomeTeam], O$1)</f>
        <v>7</v>
      </c>
      <c r="P77" s="145">
        <f>SUMIFS(Table2[NewPointsAway],Table2[GameDate], "&lt;=" &amp; $A77, Table2[AwayTeam], P$1)+SUMIFS(Table2[NewPointsHome],Table2[GameDate], "&lt;=" &amp; $A77, Table2[HomeTeam], P$1)</f>
        <v>10</v>
      </c>
      <c r="Q77" s="145">
        <f>SUMIFS(Table2[NewPointsAway],Table2[GameDate], "&lt;=" &amp; $A77, Table2[AwayTeam], Q$1)+SUMIFS(Table2[NewPointsHome],Table2[GameDate], "&lt;=" &amp; $A77, Table2[HomeTeam], Q$1)</f>
        <v>10</v>
      </c>
      <c r="R77" s="145">
        <f>SUMIFS(Table2[NewPointsAway],Table2[GameDate], "&lt;=" &amp; $A77, Table2[AwayTeam], R$1)+SUMIFS(Table2[NewPointsHome],Table2[GameDate], "&lt;=" &amp; $A77, Table2[HomeTeam], R$1)</f>
        <v>6</v>
      </c>
      <c r="S77" s="145">
        <f>SUMIFS(Table2[NewPointsAway],Table2[GameDate], "&lt;=" &amp; $A77, Table2[AwayTeam], S$1)+SUMIFS(Table2[NewPointsHome],Table2[GameDate], "&lt;=" &amp; $A77, Table2[HomeTeam], S$1)</f>
        <v>6</v>
      </c>
      <c r="T77" s="145">
        <f>SUMIFS(Table2[NewPointsAway],Table2[GameDate], "&lt;=" &amp; $A77, Table2[AwayTeam], T$1)+SUMIFS(Table2[NewPointsHome],Table2[GameDate], "&lt;=" &amp; $A77, Table2[HomeTeam], T$1)</f>
        <v>7</v>
      </c>
      <c r="U77" s="145">
        <f>SUMIFS(Table2[NewPointsAway],Table2[GameDate], "&lt;=" &amp; $A77, Table2[AwayTeam], U$1)+SUMIFS(Table2[NewPointsHome],Table2[GameDate], "&lt;=" &amp; $A77, Table2[HomeTeam], U$1)</f>
        <v>5</v>
      </c>
      <c r="V77" s="145">
        <f>SUMIFS(Table2[NewPointsAway],Table2[GameDate], "&lt;=" &amp; $A77, Table2[AwayTeam], V$1)+SUMIFS(Table2[NewPointsHome],Table2[GameDate], "&lt;=" &amp; $A77, Table2[HomeTeam], V$1)</f>
        <v>7</v>
      </c>
      <c r="W77" s="145">
        <f>SUMIFS(Table2[NewPointsAway],Table2[GameDate], "&lt;=" &amp; $A77, Table2[AwayTeam], W$1)+SUMIFS(Table2[NewPointsHome],Table2[GameDate], "&lt;=" &amp; $A77, Table2[HomeTeam], W$1)</f>
        <v>10</v>
      </c>
      <c r="X77" s="145">
        <f>SUMIFS(Table2[NewPointsAway],Table2[GameDate], "&lt;=" &amp; $A77, Table2[AwayTeam], X$1)+SUMIFS(Table2[NewPointsHome],Table2[GameDate], "&lt;=" &amp; $A77, Table2[HomeTeam], X$1)</f>
        <v>8</v>
      </c>
      <c r="Y77" s="145">
        <f>SUMIFS(Table2[NewPointsAway],Table2[GameDate], "&lt;=" &amp; $A77, Table2[AwayTeam], Y$1)+SUMIFS(Table2[NewPointsHome],Table2[GameDate], "&lt;=" &amp; $A77, Table2[HomeTeam], Y$1)</f>
        <v>2</v>
      </c>
      <c r="Z77" s="145">
        <f>SUMIFS(Table2[NewPointsAway],Table2[GameDate], "&lt;=" &amp; $A77, Table2[AwayTeam], Z$1)+SUMIFS(Table2[NewPointsHome],Table2[GameDate], "&lt;=" &amp; $A77, Table2[HomeTeam], Z$1)</f>
        <v>7</v>
      </c>
      <c r="AA77" s="145">
        <f>SUMIFS(Table2[NewPointsAway],Table2[GameDate], "&lt;=" &amp; $A77, Table2[AwayTeam], AA$1)+SUMIFS(Table2[NewPointsHome],Table2[GameDate], "&lt;=" &amp; $A77, Table2[HomeTeam], AA$1)</f>
        <v>4</v>
      </c>
      <c r="AB77" s="145">
        <f>SUMIFS(Table2[NewPointsAway],Table2[GameDate], "&lt;=" &amp; $A77, Table2[AwayTeam], AB$1)+SUMIFS(Table2[NewPointsHome],Table2[GameDate], "&lt;=" &amp; $A77, Table2[HomeTeam], AB$1)</f>
        <v>7</v>
      </c>
      <c r="AC77" s="145">
        <f>SUMIFS(Table2[NewPointsAway],Table2[GameDate], "&lt;=" &amp; $A77, Table2[AwayTeam], AC$1)+SUMIFS(Table2[NewPointsHome],Table2[GameDate], "&lt;=" &amp; $A77, Table2[HomeTeam], AC$1)</f>
        <v>10</v>
      </c>
      <c r="AD77" s="145">
        <f>SUMIFS(Table2[NewPointsAway],Table2[GameDate], "&lt;=" &amp; $A77, Table2[AwayTeam], AD$1)+SUMIFS(Table2[NewPointsHome],Table2[GameDate], "&lt;=" &amp; $A77, Table2[HomeTeam], AD$1)</f>
        <v>8</v>
      </c>
      <c r="AE77" s="145">
        <f>SUMIFS(Table2[NewPointsAway],Table2[GameDate], "&lt;=" &amp; $A77, Table2[AwayTeam], AE$1)+SUMIFS(Table2[NewPointsHome],Table2[GameDate], "&lt;=" &amp; $A77, Table2[HomeTeam], AE$1)</f>
        <v>12</v>
      </c>
      <c r="AF77" s="145">
        <f>SUMIFS(Table2[NewPointsAway],Table2[GameDate], "&lt;=" &amp; $A77, Table2[AwayTeam], AF$1)+SUMIFS(Table2[NewPointsHome],Table2[GameDate], "&lt;=" &amp; $A77, Table2[HomeTeam], AF$1)</f>
        <v>10</v>
      </c>
      <c r="AG77" s="145">
        <f>SUMIFS(Table2[NewPointsAway],Table2[GameDate], "&lt;=" &amp; $A77, Table2[AwayTeam], AG$1)+SUMIFS(Table2[NewPointsHome],Table2[GameDate], "&lt;=" &amp; $A77, Table2[HomeTeam], AG$1)</f>
        <v>10</v>
      </c>
    </row>
    <row r="78" spans="1:33" x14ac:dyDescent="0.25">
      <c r="A78" s="3">
        <v>46009</v>
      </c>
      <c r="B78" s="145">
        <f>SUMIFS(Table2[NewPointsAway],Table2[GameDate], "&lt;=" &amp; $A78, Table2[AwayTeam], B$1)+SUMIFS(Table2[NewPointsHome],Table2[GameDate], "&lt;=" &amp; $A78, Table2[HomeTeam], B$1)</f>
        <v>7</v>
      </c>
      <c r="C78" s="145">
        <f>SUMIFS(Table2[NewPointsAway],Table2[GameDate], "&lt;=" &amp; $A78, Table2[AwayTeam], C$1)+SUMIFS(Table2[NewPointsHome],Table2[GameDate], "&lt;=" &amp; $A78, Table2[HomeTeam], C$1)</f>
        <v>6</v>
      </c>
      <c r="D78" s="145">
        <f>SUMIFS(Table2[NewPointsAway],Table2[GameDate], "&lt;=" &amp; $A78, Table2[AwayTeam], D$1)+SUMIFS(Table2[NewPointsHome],Table2[GameDate], "&lt;=" &amp; $A78, Table2[HomeTeam], D$1)</f>
        <v>4</v>
      </c>
      <c r="E78" s="145">
        <f>SUMIFS(Table2[NewPointsAway],Table2[GameDate], "&lt;=" &amp; $A78, Table2[AwayTeam], E$1)+SUMIFS(Table2[NewPointsHome],Table2[GameDate], "&lt;=" &amp; $A78, Table2[HomeTeam], E$1)</f>
        <v>10</v>
      </c>
      <c r="F78" s="145">
        <f>SUMIFS(Table2[NewPointsAway],Table2[GameDate], "&lt;=" &amp; $A78, Table2[AwayTeam], F$1)+SUMIFS(Table2[NewPointsHome],Table2[GameDate], "&lt;=" &amp; $A78, Table2[HomeTeam], F$1)</f>
        <v>6</v>
      </c>
      <c r="G78" s="145">
        <f>SUMIFS(Table2[NewPointsAway],Table2[GameDate], "&lt;=" &amp; $A78, Table2[AwayTeam], G$1)+SUMIFS(Table2[NewPointsHome],Table2[GameDate], "&lt;=" &amp; $A78, Table2[HomeTeam], G$1)</f>
        <v>2</v>
      </c>
      <c r="H78" s="145">
        <f>SUMIFS(Table2[NewPointsAway],Table2[GameDate], "&lt;=" &amp; $A78, Table2[AwayTeam], H$1)+SUMIFS(Table2[NewPointsHome],Table2[GameDate], "&lt;=" &amp; $A78, Table2[HomeTeam], H$1)</f>
        <v>8</v>
      </c>
      <c r="I78" s="145">
        <f>SUMIFS(Table2[NewPointsAway],Table2[GameDate], "&lt;=" &amp; $A78, Table2[AwayTeam], I$1)+SUMIFS(Table2[NewPointsHome],Table2[GameDate], "&lt;=" &amp; $A78, Table2[HomeTeam], I$1)</f>
        <v>12</v>
      </c>
      <c r="J78" s="145">
        <f>SUMIFS(Table2[NewPointsAway],Table2[GameDate], "&lt;=" &amp; $A78, Table2[AwayTeam], J$1)+SUMIFS(Table2[NewPointsHome],Table2[GameDate], "&lt;=" &amp; $A78, Table2[HomeTeam], J$1)</f>
        <v>6</v>
      </c>
      <c r="K78" s="145">
        <f>SUMIFS(Table2[NewPointsAway],Table2[GameDate], "&lt;=" &amp; $A78, Table2[AwayTeam], K$1)+SUMIFS(Table2[NewPointsHome],Table2[GameDate], "&lt;=" &amp; $A78, Table2[HomeTeam], K$1)</f>
        <v>10</v>
      </c>
      <c r="L78" s="145">
        <f>SUMIFS(Table2[NewPointsAway],Table2[GameDate], "&lt;=" &amp; $A78, Table2[AwayTeam], L$1)+SUMIFS(Table2[NewPointsHome],Table2[GameDate], "&lt;=" &amp; $A78, Table2[HomeTeam], L$1)</f>
        <v>7</v>
      </c>
      <c r="M78" s="145">
        <f>SUMIFS(Table2[NewPointsAway],Table2[GameDate], "&lt;=" &amp; $A78, Table2[AwayTeam], M$1)+SUMIFS(Table2[NewPointsHome],Table2[GameDate], "&lt;=" &amp; $A78, Table2[HomeTeam], M$1)</f>
        <v>8</v>
      </c>
      <c r="N78" s="145">
        <f>SUMIFS(Table2[NewPointsAway],Table2[GameDate], "&lt;=" &amp; $A78, Table2[AwayTeam], N$1)+SUMIFS(Table2[NewPointsHome],Table2[GameDate], "&lt;=" &amp; $A78, Table2[HomeTeam], N$1)</f>
        <v>6</v>
      </c>
      <c r="O78" s="145">
        <f>SUMIFS(Table2[NewPointsAway],Table2[GameDate], "&lt;=" &amp; $A78, Table2[AwayTeam], O$1)+SUMIFS(Table2[NewPointsHome],Table2[GameDate], "&lt;=" &amp; $A78, Table2[HomeTeam], O$1)</f>
        <v>7</v>
      </c>
      <c r="P78" s="145">
        <f>SUMIFS(Table2[NewPointsAway],Table2[GameDate], "&lt;=" &amp; $A78, Table2[AwayTeam], P$1)+SUMIFS(Table2[NewPointsHome],Table2[GameDate], "&lt;=" &amp; $A78, Table2[HomeTeam], P$1)</f>
        <v>10</v>
      </c>
      <c r="Q78" s="145">
        <f>SUMIFS(Table2[NewPointsAway],Table2[GameDate], "&lt;=" &amp; $A78, Table2[AwayTeam], Q$1)+SUMIFS(Table2[NewPointsHome],Table2[GameDate], "&lt;=" &amp; $A78, Table2[HomeTeam], Q$1)</f>
        <v>10</v>
      </c>
      <c r="R78" s="145">
        <f>SUMIFS(Table2[NewPointsAway],Table2[GameDate], "&lt;=" &amp; $A78, Table2[AwayTeam], R$1)+SUMIFS(Table2[NewPointsHome],Table2[GameDate], "&lt;=" &amp; $A78, Table2[HomeTeam], R$1)</f>
        <v>6</v>
      </c>
      <c r="S78" s="145">
        <f>SUMIFS(Table2[NewPointsAway],Table2[GameDate], "&lt;=" &amp; $A78, Table2[AwayTeam], S$1)+SUMIFS(Table2[NewPointsHome],Table2[GameDate], "&lt;=" &amp; $A78, Table2[HomeTeam], S$1)</f>
        <v>6</v>
      </c>
      <c r="T78" s="145">
        <f>SUMIFS(Table2[NewPointsAway],Table2[GameDate], "&lt;=" &amp; $A78, Table2[AwayTeam], T$1)+SUMIFS(Table2[NewPointsHome],Table2[GameDate], "&lt;=" &amp; $A78, Table2[HomeTeam], T$1)</f>
        <v>7</v>
      </c>
      <c r="U78" s="145">
        <f>SUMIFS(Table2[NewPointsAway],Table2[GameDate], "&lt;=" &amp; $A78, Table2[AwayTeam], U$1)+SUMIFS(Table2[NewPointsHome],Table2[GameDate], "&lt;=" &amp; $A78, Table2[HomeTeam], U$1)</f>
        <v>5</v>
      </c>
      <c r="V78" s="145">
        <f>SUMIFS(Table2[NewPointsAway],Table2[GameDate], "&lt;=" &amp; $A78, Table2[AwayTeam], V$1)+SUMIFS(Table2[NewPointsHome],Table2[GameDate], "&lt;=" &amp; $A78, Table2[HomeTeam], V$1)</f>
        <v>7</v>
      </c>
      <c r="W78" s="145">
        <f>SUMIFS(Table2[NewPointsAway],Table2[GameDate], "&lt;=" &amp; $A78, Table2[AwayTeam], W$1)+SUMIFS(Table2[NewPointsHome],Table2[GameDate], "&lt;=" &amp; $A78, Table2[HomeTeam], W$1)</f>
        <v>10</v>
      </c>
      <c r="X78" s="145">
        <f>SUMIFS(Table2[NewPointsAway],Table2[GameDate], "&lt;=" &amp; $A78, Table2[AwayTeam], X$1)+SUMIFS(Table2[NewPointsHome],Table2[GameDate], "&lt;=" &amp; $A78, Table2[HomeTeam], X$1)</f>
        <v>8</v>
      </c>
      <c r="Y78" s="145">
        <f>SUMIFS(Table2[NewPointsAway],Table2[GameDate], "&lt;=" &amp; $A78, Table2[AwayTeam], Y$1)+SUMIFS(Table2[NewPointsHome],Table2[GameDate], "&lt;=" &amp; $A78, Table2[HomeTeam], Y$1)</f>
        <v>2</v>
      </c>
      <c r="Z78" s="145">
        <f>SUMIFS(Table2[NewPointsAway],Table2[GameDate], "&lt;=" &amp; $A78, Table2[AwayTeam], Z$1)+SUMIFS(Table2[NewPointsHome],Table2[GameDate], "&lt;=" &amp; $A78, Table2[HomeTeam], Z$1)</f>
        <v>7</v>
      </c>
      <c r="AA78" s="145">
        <f>SUMIFS(Table2[NewPointsAway],Table2[GameDate], "&lt;=" &amp; $A78, Table2[AwayTeam], AA$1)+SUMIFS(Table2[NewPointsHome],Table2[GameDate], "&lt;=" &amp; $A78, Table2[HomeTeam], AA$1)</f>
        <v>4</v>
      </c>
      <c r="AB78" s="145">
        <f>SUMIFS(Table2[NewPointsAway],Table2[GameDate], "&lt;=" &amp; $A78, Table2[AwayTeam], AB$1)+SUMIFS(Table2[NewPointsHome],Table2[GameDate], "&lt;=" &amp; $A78, Table2[HomeTeam], AB$1)</f>
        <v>7</v>
      </c>
      <c r="AC78" s="145">
        <f>SUMIFS(Table2[NewPointsAway],Table2[GameDate], "&lt;=" &amp; $A78, Table2[AwayTeam], AC$1)+SUMIFS(Table2[NewPointsHome],Table2[GameDate], "&lt;=" &amp; $A78, Table2[HomeTeam], AC$1)</f>
        <v>10</v>
      </c>
      <c r="AD78" s="145">
        <f>SUMIFS(Table2[NewPointsAway],Table2[GameDate], "&lt;=" &amp; $A78, Table2[AwayTeam], AD$1)+SUMIFS(Table2[NewPointsHome],Table2[GameDate], "&lt;=" &amp; $A78, Table2[HomeTeam], AD$1)</f>
        <v>8</v>
      </c>
      <c r="AE78" s="145">
        <f>SUMIFS(Table2[NewPointsAway],Table2[GameDate], "&lt;=" &amp; $A78, Table2[AwayTeam], AE$1)+SUMIFS(Table2[NewPointsHome],Table2[GameDate], "&lt;=" &amp; $A78, Table2[HomeTeam], AE$1)</f>
        <v>12</v>
      </c>
      <c r="AF78" s="145">
        <f>SUMIFS(Table2[NewPointsAway],Table2[GameDate], "&lt;=" &amp; $A78, Table2[AwayTeam], AF$1)+SUMIFS(Table2[NewPointsHome],Table2[GameDate], "&lt;=" &amp; $A78, Table2[HomeTeam], AF$1)</f>
        <v>10</v>
      </c>
      <c r="AG78" s="145">
        <f>SUMIFS(Table2[NewPointsAway],Table2[GameDate], "&lt;=" &amp; $A78, Table2[AwayTeam], AG$1)+SUMIFS(Table2[NewPointsHome],Table2[GameDate], "&lt;=" &amp; $A78, Table2[HomeTeam], AG$1)</f>
        <v>10</v>
      </c>
    </row>
    <row r="79" spans="1:33" x14ac:dyDescent="0.25">
      <c r="A79" s="3">
        <v>46010</v>
      </c>
      <c r="B79" s="145">
        <f>SUMIFS(Table2[NewPointsAway],Table2[GameDate], "&lt;=" &amp; $A79, Table2[AwayTeam], B$1)+SUMIFS(Table2[NewPointsHome],Table2[GameDate], "&lt;=" &amp; $A79, Table2[HomeTeam], B$1)</f>
        <v>7</v>
      </c>
      <c r="C79" s="145">
        <f>SUMIFS(Table2[NewPointsAway],Table2[GameDate], "&lt;=" &amp; $A79, Table2[AwayTeam], C$1)+SUMIFS(Table2[NewPointsHome],Table2[GameDate], "&lt;=" &amp; $A79, Table2[HomeTeam], C$1)</f>
        <v>6</v>
      </c>
      <c r="D79" s="145">
        <f>SUMIFS(Table2[NewPointsAway],Table2[GameDate], "&lt;=" &amp; $A79, Table2[AwayTeam], D$1)+SUMIFS(Table2[NewPointsHome],Table2[GameDate], "&lt;=" &amp; $A79, Table2[HomeTeam], D$1)</f>
        <v>4</v>
      </c>
      <c r="E79" s="145">
        <f>SUMIFS(Table2[NewPointsAway],Table2[GameDate], "&lt;=" &amp; $A79, Table2[AwayTeam], E$1)+SUMIFS(Table2[NewPointsHome],Table2[GameDate], "&lt;=" &amp; $A79, Table2[HomeTeam], E$1)</f>
        <v>10</v>
      </c>
      <c r="F79" s="145">
        <f>SUMIFS(Table2[NewPointsAway],Table2[GameDate], "&lt;=" &amp; $A79, Table2[AwayTeam], F$1)+SUMIFS(Table2[NewPointsHome],Table2[GameDate], "&lt;=" &amp; $A79, Table2[HomeTeam], F$1)</f>
        <v>6</v>
      </c>
      <c r="G79" s="145">
        <f>SUMIFS(Table2[NewPointsAway],Table2[GameDate], "&lt;=" &amp; $A79, Table2[AwayTeam], G$1)+SUMIFS(Table2[NewPointsHome],Table2[GameDate], "&lt;=" &amp; $A79, Table2[HomeTeam], G$1)</f>
        <v>2</v>
      </c>
      <c r="H79" s="145">
        <f>SUMIFS(Table2[NewPointsAway],Table2[GameDate], "&lt;=" &amp; $A79, Table2[AwayTeam], H$1)+SUMIFS(Table2[NewPointsHome],Table2[GameDate], "&lt;=" &amp; $A79, Table2[HomeTeam], H$1)</f>
        <v>8</v>
      </c>
      <c r="I79" s="145">
        <f>SUMIFS(Table2[NewPointsAway],Table2[GameDate], "&lt;=" &amp; $A79, Table2[AwayTeam], I$1)+SUMIFS(Table2[NewPointsHome],Table2[GameDate], "&lt;=" &amp; $A79, Table2[HomeTeam], I$1)</f>
        <v>12</v>
      </c>
      <c r="J79" s="145">
        <f>SUMIFS(Table2[NewPointsAway],Table2[GameDate], "&lt;=" &amp; $A79, Table2[AwayTeam], J$1)+SUMIFS(Table2[NewPointsHome],Table2[GameDate], "&lt;=" &amp; $A79, Table2[HomeTeam], J$1)</f>
        <v>6</v>
      </c>
      <c r="K79" s="145">
        <f>SUMIFS(Table2[NewPointsAway],Table2[GameDate], "&lt;=" &amp; $A79, Table2[AwayTeam], K$1)+SUMIFS(Table2[NewPointsHome],Table2[GameDate], "&lt;=" &amp; $A79, Table2[HomeTeam], K$1)</f>
        <v>10</v>
      </c>
      <c r="L79" s="145">
        <f>SUMIFS(Table2[NewPointsAway],Table2[GameDate], "&lt;=" &amp; $A79, Table2[AwayTeam], L$1)+SUMIFS(Table2[NewPointsHome],Table2[GameDate], "&lt;=" &amp; $A79, Table2[HomeTeam], L$1)</f>
        <v>7</v>
      </c>
      <c r="M79" s="145">
        <f>SUMIFS(Table2[NewPointsAway],Table2[GameDate], "&lt;=" &amp; $A79, Table2[AwayTeam], M$1)+SUMIFS(Table2[NewPointsHome],Table2[GameDate], "&lt;=" &amp; $A79, Table2[HomeTeam], M$1)</f>
        <v>8</v>
      </c>
      <c r="N79" s="145">
        <f>SUMIFS(Table2[NewPointsAway],Table2[GameDate], "&lt;=" &amp; $A79, Table2[AwayTeam], N$1)+SUMIFS(Table2[NewPointsHome],Table2[GameDate], "&lt;=" &amp; $A79, Table2[HomeTeam], N$1)</f>
        <v>6</v>
      </c>
      <c r="O79" s="145">
        <f>SUMIFS(Table2[NewPointsAway],Table2[GameDate], "&lt;=" &amp; $A79, Table2[AwayTeam], O$1)+SUMIFS(Table2[NewPointsHome],Table2[GameDate], "&lt;=" &amp; $A79, Table2[HomeTeam], O$1)</f>
        <v>7</v>
      </c>
      <c r="P79" s="145">
        <f>SUMIFS(Table2[NewPointsAway],Table2[GameDate], "&lt;=" &amp; $A79, Table2[AwayTeam], P$1)+SUMIFS(Table2[NewPointsHome],Table2[GameDate], "&lt;=" &amp; $A79, Table2[HomeTeam], P$1)</f>
        <v>10</v>
      </c>
      <c r="Q79" s="145">
        <f>SUMIFS(Table2[NewPointsAway],Table2[GameDate], "&lt;=" &amp; $A79, Table2[AwayTeam], Q$1)+SUMIFS(Table2[NewPointsHome],Table2[GameDate], "&lt;=" &amp; $A79, Table2[HomeTeam], Q$1)</f>
        <v>10</v>
      </c>
      <c r="R79" s="145">
        <f>SUMIFS(Table2[NewPointsAway],Table2[GameDate], "&lt;=" &amp; $A79, Table2[AwayTeam], R$1)+SUMIFS(Table2[NewPointsHome],Table2[GameDate], "&lt;=" &amp; $A79, Table2[HomeTeam], R$1)</f>
        <v>6</v>
      </c>
      <c r="S79" s="145">
        <f>SUMIFS(Table2[NewPointsAway],Table2[GameDate], "&lt;=" &amp; $A79, Table2[AwayTeam], S$1)+SUMIFS(Table2[NewPointsHome],Table2[GameDate], "&lt;=" &amp; $A79, Table2[HomeTeam], S$1)</f>
        <v>6</v>
      </c>
      <c r="T79" s="145">
        <f>SUMIFS(Table2[NewPointsAway],Table2[GameDate], "&lt;=" &amp; $A79, Table2[AwayTeam], T$1)+SUMIFS(Table2[NewPointsHome],Table2[GameDate], "&lt;=" &amp; $A79, Table2[HomeTeam], T$1)</f>
        <v>7</v>
      </c>
      <c r="U79" s="145">
        <f>SUMIFS(Table2[NewPointsAway],Table2[GameDate], "&lt;=" &amp; $A79, Table2[AwayTeam], U$1)+SUMIFS(Table2[NewPointsHome],Table2[GameDate], "&lt;=" &amp; $A79, Table2[HomeTeam], U$1)</f>
        <v>5</v>
      </c>
      <c r="V79" s="145">
        <f>SUMIFS(Table2[NewPointsAway],Table2[GameDate], "&lt;=" &amp; $A79, Table2[AwayTeam], V$1)+SUMIFS(Table2[NewPointsHome],Table2[GameDate], "&lt;=" &amp; $A79, Table2[HomeTeam], V$1)</f>
        <v>7</v>
      </c>
      <c r="W79" s="145">
        <f>SUMIFS(Table2[NewPointsAway],Table2[GameDate], "&lt;=" &amp; $A79, Table2[AwayTeam], W$1)+SUMIFS(Table2[NewPointsHome],Table2[GameDate], "&lt;=" &amp; $A79, Table2[HomeTeam], W$1)</f>
        <v>10</v>
      </c>
      <c r="X79" s="145">
        <f>SUMIFS(Table2[NewPointsAway],Table2[GameDate], "&lt;=" &amp; $A79, Table2[AwayTeam], X$1)+SUMIFS(Table2[NewPointsHome],Table2[GameDate], "&lt;=" &amp; $A79, Table2[HomeTeam], X$1)</f>
        <v>8</v>
      </c>
      <c r="Y79" s="145">
        <f>SUMIFS(Table2[NewPointsAway],Table2[GameDate], "&lt;=" &amp; $A79, Table2[AwayTeam], Y$1)+SUMIFS(Table2[NewPointsHome],Table2[GameDate], "&lt;=" &amp; $A79, Table2[HomeTeam], Y$1)</f>
        <v>2</v>
      </c>
      <c r="Z79" s="145">
        <f>SUMIFS(Table2[NewPointsAway],Table2[GameDate], "&lt;=" &amp; $A79, Table2[AwayTeam], Z$1)+SUMIFS(Table2[NewPointsHome],Table2[GameDate], "&lt;=" &amp; $A79, Table2[HomeTeam], Z$1)</f>
        <v>7</v>
      </c>
      <c r="AA79" s="145">
        <f>SUMIFS(Table2[NewPointsAway],Table2[GameDate], "&lt;=" &amp; $A79, Table2[AwayTeam], AA$1)+SUMIFS(Table2[NewPointsHome],Table2[GameDate], "&lt;=" &amp; $A79, Table2[HomeTeam], AA$1)</f>
        <v>4</v>
      </c>
      <c r="AB79" s="145">
        <f>SUMIFS(Table2[NewPointsAway],Table2[GameDate], "&lt;=" &amp; $A79, Table2[AwayTeam], AB$1)+SUMIFS(Table2[NewPointsHome],Table2[GameDate], "&lt;=" &amp; $A79, Table2[HomeTeam], AB$1)</f>
        <v>7</v>
      </c>
      <c r="AC79" s="145">
        <f>SUMIFS(Table2[NewPointsAway],Table2[GameDate], "&lt;=" &amp; $A79, Table2[AwayTeam], AC$1)+SUMIFS(Table2[NewPointsHome],Table2[GameDate], "&lt;=" &amp; $A79, Table2[HomeTeam], AC$1)</f>
        <v>10</v>
      </c>
      <c r="AD79" s="145">
        <f>SUMIFS(Table2[NewPointsAway],Table2[GameDate], "&lt;=" &amp; $A79, Table2[AwayTeam], AD$1)+SUMIFS(Table2[NewPointsHome],Table2[GameDate], "&lt;=" &amp; $A79, Table2[HomeTeam], AD$1)</f>
        <v>8</v>
      </c>
      <c r="AE79" s="145">
        <f>SUMIFS(Table2[NewPointsAway],Table2[GameDate], "&lt;=" &amp; $A79, Table2[AwayTeam], AE$1)+SUMIFS(Table2[NewPointsHome],Table2[GameDate], "&lt;=" &amp; $A79, Table2[HomeTeam], AE$1)</f>
        <v>12</v>
      </c>
      <c r="AF79" s="145">
        <f>SUMIFS(Table2[NewPointsAway],Table2[GameDate], "&lt;=" &amp; $A79, Table2[AwayTeam], AF$1)+SUMIFS(Table2[NewPointsHome],Table2[GameDate], "&lt;=" &amp; $A79, Table2[HomeTeam], AF$1)</f>
        <v>10</v>
      </c>
      <c r="AG79" s="145">
        <f>SUMIFS(Table2[NewPointsAway],Table2[GameDate], "&lt;=" &amp; $A79, Table2[AwayTeam], AG$1)+SUMIFS(Table2[NewPointsHome],Table2[GameDate], "&lt;=" &amp; $A79, Table2[HomeTeam], AG$1)</f>
        <v>10</v>
      </c>
    </row>
    <row r="80" spans="1:33" x14ac:dyDescent="0.25">
      <c r="A80" s="3">
        <v>46011</v>
      </c>
      <c r="B80" s="145">
        <f>SUMIFS(Table2[NewPointsAway],Table2[GameDate], "&lt;=" &amp; $A80, Table2[AwayTeam], B$1)+SUMIFS(Table2[NewPointsHome],Table2[GameDate], "&lt;=" &amp; $A80, Table2[HomeTeam], B$1)</f>
        <v>7</v>
      </c>
      <c r="C80" s="145">
        <f>SUMIFS(Table2[NewPointsAway],Table2[GameDate], "&lt;=" &amp; $A80, Table2[AwayTeam], C$1)+SUMIFS(Table2[NewPointsHome],Table2[GameDate], "&lt;=" &amp; $A80, Table2[HomeTeam], C$1)</f>
        <v>6</v>
      </c>
      <c r="D80" s="145">
        <f>SUMIFS(Table2[NewPointsAway],Table2[GameDate], "&lt;=" &amp; $A80, Table2[AwayTeam], D$1)+SUMIFS(Table2[NewPointsHome],Table2[GameDate], "&lt;=" &amp; $A80, Table2[HomeTeam], D$1)</f>
        <v>4</v>
      </c>
      <c r="E80" s="145">
        <f>SUMIFS(Table2[NewPointsAway],Table2[GameDate], "&lt;=" &amp; $A80, Table2[AwayTeam], E$1)+SUMIFS(Table2[NewPointsHome],Table2[GameDate], "&lt;=" &amp; $A80, Table2[HomeTeam], E$1)</f>
        <v>10</v>
      </c>
      <c r="F80" s="145">
        <f>SUMIFS(Table2[NewPointsAway],Table2[GameDate], "&lt;=" &amp; $A80, Table2[AwayTeam], F$1)+SUMIFS(Table2[NewPointsHome],Table2[GameDate], "&lt;=" &amp; $A80, Table2[HomeTeam], F$1)</f>
        <v>6</v>
      </c>
      <c r="G80" s="145">
        <f>SUMIFS(Table2[NewPointsAway],Table2[GameDate], "&lt;=" &amp; $A80, Table2[AwayTeam], G$1)+SUMIFS(Table2[NewPointsHome],Table2[GameDate], "&lt;=" &amp; $A80, Table2[HomeTeam], G$1)</f>
        <v>2</v>
      </c>
      <c r="H80" s="145">
        <f>SUMIFS(Table2[NewPointsAway],Table2[GameDate], "&lt;=" &amp; $A80, Table2[AwayTeam], H$1)+SUMIFS(Table2[NewPointsHome],Table2[GameDate], "&lt;=" &amp; $A80, Table2[HomeTeam], H$1)</f>
        <v>8</v>
      </c>
      <c r="I80" s="145">
        <f>SUMIFS(Table2[NewPointsAway],Table2[GameDate], "&lt;=" &amp; $A80, Table2[AwayTeam], I$1)+SUMIFS(Table2[NewPointsHome],Table2[GameDate], "&lt;=" &amp; $A80, Table2[HomeTeam], I$1)</f>
        <v>12</v>
      </c>
      <c r="J80" s="145">
        <f>SUMIFS(Table2[NewPointsAway],Table2[GameDate], "&lt;=" &amp; $A80, Table2[AwayTeam], J$1)+SUMIFS(Table2[NewPointsHome],Table2[GameDate], "&lt;=" &amp; $A80, Table2[HomeTeam], J$1)</f>
        <v>6</v>
      </c>
      <c r="K80" s="145">
        <f>SUMIFS(Table2[NewPointsAway],Table2[GameDate], "&lt;=" &amp; $A80, Table2[AwayTeam], K$1)+SUMIFS(Table2[NewPointsHome],Table2[GameDate], "&lt;=" &amp; $A80, Table2[HomeTeam], K$1)</f>
        <v>10</v>
      </c>
      <c r="L80" s="145">
        <f>SUMIFS(Table2[NewPointsAway],Table2[GameDate], "&lt;=" &amp; $A80, Table2[AwayTeam], L$1)+SUMIFS(Table2[NewPointsHome],Table2[GameDate], "&lt;=" &amp; $A80, Table2[HomeTeam], L$1)</f>
        <v>7</v>
      </c>
      <c r="M80" s="145">
        <f>SUMIFS(Table2[NewPointsAway],Table2[GameDate], "&lt;=" &amp; $A80, Table2[AwayTeam], M$1)+SUMIFS(Table2[NewPointsHome],Table2[GameDate], "&lt;=" &amp; $A80, Table2[HomeTeam], M$1)</f>
        <v>8</v>
      </c>
      <c r="N80" s="145">
        <f>SUMIFS(Table2[NewPointsAway],Table2[GameDate], "&lt;=" &amp; $A80, Table2[AwayTeam], N$1)+SUMIFS(Table2[NewPointsHome],Table2[GameDate], "&lt;=" &amp; $A80, Table2[HomeTeam], N$1)</f>
        <v>6</v>
      </c>
      <c r="O80" s="145">
        <f>SUMIFS(Table2[NewPointsAway],Table2[GameDate], "&lt;=" &amp; $A80, Table2[AwayTeam], O$1)+SUMIFS(Table2[NewPointsHome],Table2[GameDate], "&lt;=" &amp; $A80, Table2[HomeTeam], O$1)</f>
        <v>7</v>
      </c>
      <c r="P80" s="145">
        <f>SUMIFS(Table2[NewPointsAway],Table2[GameDate], "&lt;=" &amp; $A80, Table2[AwayTeam], P$1)+SUMIFS(Table2[NewPointsHome],Table2[GameDate], "&lt;=" &amp; $A80, Table2[HomeTeam], P$1)</f>
        <v>10</v>
      </c>
      <c r="Q80" s="145">
        <f>SUMIFS(Table2[NewPointsAway],Table2[GameDate], "&lt;=" &amp; $A80, Table2[AwayTeam], Q$1)+SUMIFS(Table2[NewPointsHome],Table2[GameDate], "&lt;=" &amp; $A80, Table2[HomeTeam], Q$1)</f>
        <v>10</v>
      </c>
      <c r="R80" s="145">
        <f>SUMIFS(Table2[NewPointsAway],Table2[GameDate], "&lt;=" &amp; $A80, Table2[AwayTeam], R$1)+SUMIFS(Table2[NewPointsHome],Table2[GameDate], "&lt;=" &amp; $A80, Table2[HomeTeam], R$1)</f>
        <v>6</v>
      </c>
      <c r="S80" s="145">
        <f>SUMIFS(Table2[NewPointsAway],Table2[GameDate], "&lt;=" &amp; $A80, Table2[AwayTeam], S$1)+SUMIFS(Table2[NewPointsHome],Table2[GameDate], "&lt;=" &amp; $A80, Table2[HomeTeam], S$1)</f>
        <v>6</v>
      </c>
      <c r="T80" s="145">
        <f>SUMIFS(Table2[NewPointsAway],Table2[GameDate], "&lt;=" &amp; $A80, Table2[AwayTeam], T$1)+SUMIFS(Table2[NewPointsHome],Table2[GameDate], "&lt;=" &amp; $A80, Table2[HomeTeam], T$1)</f>
        <v>7</v>
      </c>
      <c r="U80" s="145">
        <f>SUMIFS(Table2[NewPointsAway],Table2[GameDate], "&lt;=" &amp; $A80, Table2[AwayTeam], U$1)+SUMIFS(Table2[NewPointsHome],Table2[GameDate], "&lt;=" &amp; $A80, Table2[HomeTeam], U$1)</f>
        <v>5</v>
      </c>
      <c r="V80" s="145">
        <f>SUMIFS(Table2[NewPointsAway],Table2[GameDate], "&lt;=" &amp; $A80, Table2[AwayTeam], V$1)+SUMIFS(Table2[NewPointsHome],Table2[GameDate], "&lt;=" &amp; $A80, Table2[HomeTeam], V$1)</f>
        <v>7</v>
      </c>
      <c r="W80" s="145">
        <f>SUMIFS(Table2[NewPointsAway],Table2[GameDate], "&lt;=" &amp; $A80, Table2[AwayTeam], W$1)+SUMIFS(Table2[NewPointsHome],Table2[GameDate], "&lt;=" &amp; $A80, Table2[HomeTeam], W$1)</f>
        <v>10</v>
      </c>
      <c r="X80" s="145">
        <f>SUMIFS(Table2[NewPointsAway],Table2[GameDate], "&lt;=" &amp; $A80, Table2[AwayTeam], X$1)+SUMIFS(Table2[NewPointsHome],Table2[GameDate], "&lt;=" &amp; $A80, Table2[HomeTeam], X$1)</f>
        <v>8</v>
      </c>
      <c r="Y80" s="145">
        <f>SUMIFS(Table2[NewPointsAway],Table2[GameDate], "&lt;=" &amp; $A80, Table2[AwayTeam], Y$1)+SUMIFS(Table2[NewPointsHome],Table2[GameDate], "&lt;=" &amp; $A80, Table2[HomeTeam], Y$1)</f>
        <v>2</v>
      </c>
      <c r="Z80" s="145">
        <f>SUMIFS(Table2[NewPointsAway],Table2[GameDate], "&lt;=" &amp; $A80, Table2[AwayTeam], Z$1)+SUMIFS(Table2[NewPointsHome],Table2[GameDate], "&lt;=" &amp; $A80, Table2[HomeTeam], Z$1)</f>
        <v>7</v>
      </c>
      <c r="AA80" s="145">
        <f>SUMIFS(Table2[NewPointsAway],Table2[GameDate], "&lt;=" &amp; $A80, Table2[AwayTeam], AA$1)+SUMIFS(Table2[NewPointsHome],Table2[GameDate], "&lt;=" &amp; $A80, Table2[HomeTeam], AA$1)</f>
        <v>4</v>
      </c>
      <c r="AB80" s="145">
        <f>SUMIFS(Table2[NewPointsAway],Table2[GameDate], "&lt;=" &amp; $A80, Table2[AwayTeam], AB$1)+SUMIFS(Table2[NewPointsHome],Table2[GameDate], "&lt;=" &amp; $A80, Table2[HomeTeam], AB$1)</f>
        <v>7</v>
      </c>
      <c r="AC80" s="145">
        <f>SUMIFS(Table2[NewPointsAway],Table2[GameDate], "&lt;=" &amp; $A80, Table2[AwayTeam], AC$1)+SUMIFS(Table2[NewPointsHome],Table2[GameDate], "&lt;=" &amp; $A80, Table2[HomeTeam], AC$1)</f>
        <v>10</v>
      </c>
      <c r="AD80" s="145">
        <f>SUMIFS(Table2[NewPointsAway],Table2[GameDate], "&lt;=" &amp; $A80, Table2[AwayTeam], AD$1)+SUMIFS(Table2[NewPointsHome],Table2[GameDate], "&lt;=" &amp; $A80, Table2[HomeTeam], AD$1)</f>
        <v>8</v>
      </c>
      <c r="AE80" s="145">
        <f>SUMIFS(Table2[NewPointsAway],Table2[GameDate], "&lt;=" &amp; $A80, Table2[AwayTeam], AE$1)+SUMIFS(Table2[NewPointsHome],Table2[GameDate], "&lt;=" &amp; $A80, Table2[HomeTeam], AE$1)</f>
        <v>12</v>
      </c>
      <c r="AF80" s="145">
        <f>SUMIFS(Table2[NewPointsAway],Table2[GameDate], "&lt;=" &amp; $A80, Table2[AwayTeam], AF$1)+SUMIFS(Table2[NewPointsHome],Table2[GameDate], "&lt;=" &amp; $A80, Table2[HomeTeam], AF$1)</f>
        <v>10</v>
      </c>
      <c r="AG80" s="145">
        <f>SUMIFS(Table2[NewPointsAway],Table2[GameDate], "&lt;=" &amp; $A80, Table2[AwayTeam], AG$1)+SUMIFS(Table2[NewPointsHome],Table2[GameDate], "&lt;=" &amp; $A80, Table2[HomeTeam], AG$1)</f>
        <v>10</v>
      </c>
    </row>
    <row r="81" spans="1:33" x14ac:dyDescent="0.25">
      <c r="A81" s="3">
        <v>46012</v>
      </c>
      <c r="B81" s="145">
        <f>SUMIFS(Table2[NewPointsAway],Table2[GameDate], "&lt;=" &amp; $A81, Table2[AwayTeam], B$1)+SUMIFS(Table2[NewPointsHome],Table2[GameDate], "&lt;=" &amp; $A81, Table2[HomeTeam], B$1)</f>
        <v>7</v>
      </c>
      <c r="C81" s="145">
        <f>SUMIFS(Table2[NewPointsAway],Table2[GameDate], "&lt;=" &amp; $A81, Table2[AwayTeam], C$1)+SUMIFS(Table2[NewPointsHome],Table2[GameDate], "&lt;=" &amp; $A81, Table2[HomeTeam], C$1)</f>
        <v>6</v>
      </c>
      <c r="D81" s="145">
        <f>SUMIFS(Table2[NewPointsAway],Table2[GameDate], "&lt;=" &amp; $A81, Table2[AwayTeam], D$1)+SUMIFS(Table2[NewPointsHome],Table2[GameDate], "&lt;=" &amp; $A81, Table2[HomeTeam], D$1)</f>
        <v>4</v>
      </c>
      <c r="E81" s="145">
        <f>SUMIFS(Table2[NewPointsAway],Table2[GameDate], "&lt;=" &amp; $A81, Table2[AwayTeam], E$1)+SUMIFS(Table2[NewPointsHome],Table2[GameDate], "&lt;=" &amp; $A81, Table2[HomeTeam], E$1)</f>
        <v>10</v>
      </c>
      <c r="F81" s="145">
        <f>SUMIFS(Table2[NewPointsAway],Table2[GameDate], "&lt;=" &amp; $A81, Table2[AwayTeam], F$1)+SUMIFS(Table2[NewPointsHome],Table2[GameDate], "&lt;=" &amp; $A81, Table2[HomeTeam], F$1)</f>
        <v>6</v>
      </c>
      <c r="G81" s="145">
        <f>SUMIFS(Table2[NewPointsAway],Table2[GameDate], "&lt;=" &amp; $A81, Table2[AwayTeam], G$1)+SUMIFS(Table2[NewPointsHome],Table2[GameDate], "&lt;=" &amp; $A81, Table2[HomeTeam], G$1)</f>
        <v>2</v>
      </c>
      <c r="H81" s="145">
        <f>SUMIFS(Table2[NewPointsAway],Table2[GameDate], "&lt;=" &amp; $A81, Table2[AwayTeam], H$1)+SUMIFS(Table2[NewPointsHome],Table2[GameDate], "&lt;=" &amp; $A81, Table2[HomeTeam], H$1)</f>
        <v>8</v>
      </c>
      <c r="I81" s="145">
        <f>SUMIFS(Table2[NewPointsAway],Table2[GameDate], "&lt;=" &amp; $A81, Table2[AwayTeam], I$1)+SUMIFS(Table2[NewPointsHome],Table2[GameDate], "&lt;=" &amp; $A81, Table2[HomeTeam], I$1)</f>
        <v>12</v>
      </c>
      <c r="J81" s="145">
        <f>SUMIFS(Table2[NewPointsAway],Table2[GameDate], "&lt;=" &amp; $A81, Table2[AwayTeam], J$1)+SUMIFS(Table2[NewPointsHome],Table2[GameDate], "&lt;=" &amp; $A81, Table2[HomeTeam], J$1)</f>
        <v>6</v>
      </c>
      <c r="K81" s="145">
        <f>SUMIFS(Table2[NewPointsAway],Table2[GameDate], "&lt;=" &amp; $A81, Table2[AwayTeam], K$1)+SUMIFS(Table2[NewPointsHome],Table2[GameDate], "&lt;=" &amp; $A81, Table2[HomeTeam], K$1)</f>
        <v>10</v>
      </c>
      <c r="L81" s="145">
        <f>SUMIFS(Table2[NewPointsAway],Table2[GameDate], "&lt;=" &amp; $A81, Table2[AwayTeam], L$1)+SUMIFS(Table2[NewPointsHome],Table2[GameDate], "&lt;=" &amp; $A81, Table2[HomeTeam], L$1)</f>
        <v>7</v>
      </c>
      <c r="M81" s="145">
        <f>SUMIFS(Table2[NewPointsAway],Table2[GameDate], "&lt;=" &amp; $A81, Table2[AwayTeam], M$1)+SUMIFS(Table2[NewPointsHome],Table2[GameDate], "&lt;=" &amp; $A81, Table2[HomeTeam], M$1)</f>
        <v>8</v>
      </c>
      <c r="N81" s="145">
        <f>SUMIFS(Table2[NewPointsAway],Table2[GameDate], "&lt;=" &amp; $A81, Table2[AwayTeam], N$1)+SUMIFS(Table2[NewPointsHome],Table2[GameDate], "&lt;=" &amp; $A81, Table2[HomeTeam], N$1)</f>
        <v>6</v>
      </c>
      <c r="O81" s="145">
        <f>SUMIFS(Table2[NewPointsAway],Table2[GameDate], "&lt;=" &amp; $A81, Table2[AwayTeam], O$1)+SUMIFS(Table2[NewPointsHome],Table2[GameDate], "&lt;=" &amp; $A81, Table2[HomeTeam], O$1)</f>
        <v>7</v>
      </c>
      <c r="P81" s="145">
        <f>SUMIFS(Table2[NewPointsAway],Table2[GameDate], "&lt;=" &amp; $A81, Table2[AwayTeam], P$1)+SUMIFS(Table2[NewPointsHome],Table2[GameDate], "&lt;=" &amp; $A81, Table2[HomeTeam], P$1)</f>
        <v>10</v>
      </c>
      <c r="Q81" s="145">
        <f>SUMIFS(Table2[NewPointsAway],Table2[GameDate], "&lt;=" &amp; $A81, Table2[AwayTeam], Q$1)+SUMIFS(Table2[NewPointsHome],Table2[GameDate], "&lt;=" &amp; $A81, Table2[HomeTeam], Q$1)</f>
        <v>10</v>
      </c>
      <c r="R81" s="145">
        <f>SUMIFS(Table2[NewPointsAway],Table2[GameDate], "&lt;=" &amp; $A81, Table2[AwayTeam], R$1)+SUMIFS(Table2[NewPointsHome],Table2[GameDate], "&lt;=" &amp; $A81, Table2[HomeTeam], R$1)</f>
        <v>6</v>
      </c>
      <c r="S81" s="145">
        <f>SUMIFS(Table2[NewPointsAway],Table2[GameDate], "&lt;=" &amp; $A81, Table2[AwayTeam], S$1)+SUMIFS(Table2[NewPointsHome],Table2[GameDate], "&lt;=" &amp; $A81, Table2[HomeTeam], S$1)</f>
        <v>6</v>
      </c>
      <c r="T81" s="145">
        <f>SUMIFS(Table2[NewPointsAway],Table2[GameDate], "&lt;=" &amp; $A81, Table2[AwayTeam], T$1)+SUMIFS(Table2[NewPointsHome],Table2[GameDate], "&lt;=" &amp; $A81, Table2[HomeTeam], T$1)</f>
        <v>7</v>
      </c>
      <c r="U81" s="145">
        <f>SUMIFS(Table2[NewPointsAway],Table2[GameDate], "&lt;=" &amp; $A81, Table2[AwayTeam], U$1)+SUMIFS(Table2[NewPointsHome],Table2[GameDate], "&lt;=" &amp; $A81, Table2[HomeTeam], U$1)</f>
        <v>5</v>
      </c>
      <c r="V81" s="145">
        <f>SUMIFS(Table2[NewPointsAway],Table2[GameDate], "&lt;=" &amp; $A81, Table2[AwayTeam], V$1)+SUMIFS(Table2[NewPointsHome],Table2[GameDate], "&lt;=" &amp; $A81, Table2[HomeTeam], V$1)</f>
        <v>7</v>
      </c>
      <c r="W81" s="145">
        <f>SUMIFS(Table2[NewPointsAway],Table2[GameDate], "&lt;=" &amp; $A81, Table2[AwayTeam], W$1)+SUMIFS(Table2[NewPointsHome],Table2[GameDate], "&lt;=" &amp; $A81, Table2[HomeTeam], W$1)</f>
        <v>10</v>
      </c>
      <c r="X81" s="145">
        <f>SUMIFS(Table2[NewPointsAway],Table2[GameDate], "&lt;=" &amp; $A81, Table2[AwayTeam], X$1)+SUMIFS(Table2[NewPointsHome],Table2[GameDate], "&lt;=" &amp; $A81, Table2[HomeTeam], X$1)</f>
        <v>8</v>
      </c>
      <c r="Y81" s="145">
        <f>SUMIFS(Table2[NewPointsAway],Table2[GameDate], "&lt;=" &amp; $A81, Table2[AwayTeam], Y$1)+SUMIFS(Table2[NewPointsHome],Table2[GameDate], "&lt;=" &amp; $A81, Table2[HomeTeam], Y$1)</f>
        <v>2</v>
      </c>
      <c r="Z81" s="145">
        <f>SUMIFS(Table2[NewPointsAway],Table2[GameDate], "&lt;=" &amp; $A81, Table2[AwayTeam], Z$1)+SUMIFS(Table2[NewPointsHome],Table2[GameDate], "&lt;=" &amp; $A81, Table2[HomeTeam], Z$1)</f>
        <v>7</v>
      </c>
      <c r="AA81" s="145">
        <f>SUMIFS(Table2[NewPointsAway],Table2[GameDate], "&lt;=" &amp; $A81, Table2[AwayTeam], AA$1)+SUMIFS(Table2[NewPointsHome],Table2[GameDate], "&lt;=" &amp; $A81, Table2[HomeTeam], AA$1)</f>
        <v>4</v>
      </c>
      <c r="AB81" s="145">
        <f>SUMIFS(Table2[NewPointsAway],Table2[GameDate], "&lt;=" &amp; $A81, Table2[AwayTeam], AB$1)+SUMIFS(Table2[NewPointsHome],Table2[GameDate], "&lt;=" &amp; $A81, Table2[HomeTeam], AB$1)</f>
        <v>7</v>
      </c>
      <c r="AC81" s="145">
        <f>SUMIFS(Table2[NewPointsAway],Table2[GameDate], "&lt;=" &amp; $A81, Table2[AwayTeam], AC$1)+SUMIFS(Table2[NewPointsHome],Table2[GameDate], "&lt;=" &amp; $A81, Table2[HomeTeam], AC$1)</f>
        <v>10</v>
      </c>
      <c r="AD81" s="145">
        <f>SUMIFS(Table2[NewPointsAway],Table2[GameDate], "&lt;=" &amp; $A81, Table2[AwayTeam], AD$1)+SUMIFS(Table2[NewPointsHome],Table2[GameDate], "&lt;=" &amp; $A81, Table2[HomeTeam], AD$1)</f>
        <v>8</v>
      </c>
      <c r="AE81" s="145">
        <f>SUMIFS(Table2[NewPointsAway],Table2[GameDate], "&lt;=" &amp; $A81, Table2[AwayTeam], AE$1)+SUMIFS(Table2[NewPointsHome],Table2[GameDate], "&lt;=" &amp; $A81, Table2[HomeTeam], AE$1)</f>
        <v>12</v>
      </c>
      <c r="AF81" s="145">
        <f>SUMIFS(Table2[NewPointsAway],Table2[GameDate], "&lt;=" &amp; $A81, Table2[AwayTeam], AF$1)+SUMIFS(Table2[NewPointsHome],Table2[GameDate], "&lt;=" &amp; $A81, Table2[HomeTeam], AF$1)</f>
        <v>10</v>
      </c>
      <c r="AG81" s="145">
        <f>SUMIFS(Table2[NewPointsAway],Table2[GameDate], "&lt;=" &amp; $A81, Table2[AwayTeam], AG$1)+SUMIFS(Table2[NewPointsHome],Table2[GameDate], "&lt;=" &amp; $A81, Table2[HomeTeam], AG$1)</f>
        <v>10</v>
      </c>
    </row>
    <row r="82" spans="1:33" x14ac:dyDescent="0.25">
      <c r="A82" s="3">
        <v>46013</v>
      </c>
      <c r="B82" s="145">
        <f>SUMIFS(Table2[NewPointsAway],Table2[GameDate], "&lt;=" &amp; $A82, Table2[AwayTeam], B$1)+SUMIFS(Table2[NewPointsHome],Table2[GameDate], "&lt;=" &amp; $A82, Table2[HomeTeam], B$1)</f>
        <v>7</v>
      </c>
      <c r="C82" s="145">
        <f>SUMIFS(Table2[NewPointsAway],Table2[GameDate], "&lt;=" &amp; $A82, Table2[AwayTeam], C$1)+SUMIFS(Table2[NewPointsHome],Table2[GameDate], "&lt;=" &amp; $A82, Table2[HomeTeam], C$1)</f>
        <v>6</v>
      </c>
      <c r="D82" s="145">
        <f>SUMIFS(Table2[NewPointsAway],Table2[GameDate], "&lt;=" &amp; $A82, Table2[AwayTeam], D$1)+SUMIFS(Table2[NewPointsHome],Table2[GameDate], "&lt;=" &amp; $A82, Table2[HomeTeam], D$1)</f>
        <v>4</v>
      </c>
      <c r="E82" s="145">
        <f>SUMIFS(Table2[NewPointsAway],Table2[GameDate], "&lt;=" &amp; $A82, Table2[AwayTeam], E$1)+SUMIFS(Table2[NewPointsHome],Table2[GameDate], "&lt;=" &amp; $A82, Table2[HomeTeam], E$1)</f>
        <v>10</v>
      </c>
      <c r="F82" s="145">
        <f>SUMIFS(Table2[NewPointsAway],Table2[GameDate], "&lt;=" &amp; $A82, Table2[AwayTeam], F$1)+SUMIFS(Table2[NewPointsHome],Table2[GameDate], "&lt;=" &amp; $A82, Table2[HomeTeam], F$1)</f>
        <v>6</v>
      </c>
      <c r="G82" s="145">
        <f>SUMIFS(Table2[NewPointsAway],Table2[GameDate], "&lt;=" &amp; $A82, Table2[AwayTeam], G$1)+SUMIFS(Table2[NewPointsHome],Table2[GameDate], "&lt;=" &amp; $A82, Table2[HomeTeam], G$1)</f>
        <v>2</v>
      </c>
      <c r="H82" s="145">
        <f>SUMIFS(Table2[NewPointsAway],Table2[GameDate], "&lt;=" &amp; $A82, Table2[AwayTeam], H$1)+SUMIFS(Table2[NewPointsHome],Table2[GameDate], "&lt;=" &amp; $A82, Table2[HomeTeam], H$1)</f>
        <v>8</v>
      </c>
      <c r="I82" s="145">
        <f>SUMIFS(Table2[NewPointsAway],Table2[GameDate], "&lt;=" &amp; $A82, Table2[AwayTeam], I$1)+SUMIFS(Table2[NewPointsHome],Table2[GameDate], "&lt;=" &amp; $A82, Table2[HomeTeam], I$1)</f>
        <v>12</v>
      </c>
      <c r="J82" s="145">
        <f>SUMIFS(Table2[NewPointsAway],Table2[GameDate], "&lt;=" &amp; $A82, Table2[AwayTeam], J$1)+SUMIFS(Table2[NewPointsHome],Table2[GameDate], "&lt;=" &amp; $A82, Table2[HomeTeam], J$1)</f>
        <v>6</v>
      </c>
      <c r="K82" s="145">
        <f>SUMIFS(Table2[NewPointsAway],Table2[GameDate], "&lt;=" &amp; $A82, Table2[AwayTeam], K$1)+SUMIFS(Table2[NewPointsHome],Table2[GameDate], "&lt;=" &amp; $A82, Table2[HomeTeam], K$1)</f>
        <v>10</v>
      </c>
      <c r="L82" s="145">
        <f>SUMIFS(Table2[NewPointsAway],Table2[GameDate], "&lt;=" &amp; $A82, Table2[AwayTeam], L$1)+SUMIFS(Table2[NewPointsHome],Table2[GameDate], "&lt;=" &amp; $A82, Table2[HomeTeam], L$1)</f>
        <v>7</v>
      </c>
      <c r="M82" s="145">
        <f>SUMIFS(Table2[NewPointsAway],Table2[GameDate], "&lt;=" &amp; $A82, Table2[AwayTeam], M$1)+SUMIFS(Table2[NewPointsHome],Table2[GameDate], "&lt;=" &amp; $A82, Table2[HomeTeam], M$1)</f>
        <v>8</v>
      </c>
      <c r="N82" s="145">
        <f>SUMIFS(Table2[NewPointsAway],Table2[GameDate], "&lt;=" &amp; $A82, Table2[AwayTeam], N$1)+SUMIFS(Table2[NewPointsHome],Table2[GameDate], "&lt;=" &amp; $A82, Table2[HomeTeam], N$1)</f>
        <v>6</v>
      </c>
      <c r="O82" s="145">
        <f>SUMIFS(Table2[NewPointsAway],Table2[GameDate], "&lt;=" &amp; $A82, Table2[AwayTeam], O$1)+SUMIFS(Table2[NewPointsHome],Table2[GameDate], "&lt;=" &amp; $A82, Table2[HomeTeam], O$1)</f>
        <v>7</v>
      </c>
      <c r="P82" s="145">
        <f>SUMIFS(Table2[NewPointsAway],Table2[GameDate], "&lt;=" &amp; $A82, Table2[AwayTeam], P$1)+SUMIFS(Table2[NewPointsHome],Table2[GameDate], "&lt;=" &amp; $A82, Table2[HomeTeam], P$1)</f>
        <v>10</v>
      </c>
      <c r="Q82" s="145">
        <f>SUMIFS(Table2[NewPointsAway],Table2[GameDate], "&lt;=" &amp; $A82, Table2[AwayTeam], Q$1)+SUMIFS(Table2[NewPointsHome],Table2[GameDate], "&lt;=" &amp; $A82, Table2[HomeTeam], Q$1)</f>
        <v>10</v>
      </c>
      <c r="R82" s="145">
        <f>SUMIFS(Table2[NewPointsAway],Table2[GameDate], "&lt;=" &amp; $A82, Table2[AwayTeam], R$1)+SUMIFS(Table2[NewPointsHome],Table2[GameDate], "&lt;=" &amp; $A82, Table2[HomeTeam], R$1)</f>
        <v>6</v>
      </c>
      <c r="S82" s="145">
        <f>SUMIFS(Table2[NewPointsAway],Table2[GameDate], "&lt;=" &amp; $A82, Table2[AwayTeam], S$1)+SUMIFS(Table2[NewPointsHome],Table2[GameDate], "&lt;=" &amp; $A82, Table2[HomeTeam], S$1)</f>
        <v>6</v>
      </c>
      <c r="T82" s="145">
        <f>SUMIFS(Table2[NewPointsAway],Table2[GameDate], "&lt;=" &amp; $A82, Table2[AwayTeam], T$1)+SUMIFS(Table2[NewPointsHome],Table2[GameDate], "&lt;=" &amp; $A82, Table2[HomeTeam], T$1)</f>
        <v>7</v>
      </c>
      <c r="U82" s="145">
        <f>SUMIFS(Table2[NewPointsAway],Table2[GameDate], "&lt;=" &amp; $A82, Table2[AwayTeam], U$1)+SUMIFS(Table2[NewPointsHome],Table2[GameDate], "&lt;=" &amp; $A82, Table2[HomeTeam], U$1)</f>
        <v>5</v>
      </c>
      <c r="V82" s="145">
        <f>SUMIFS(Table2[NewPointsAway],Table2[GameDate], "&lt;=" &amp; $A82, Table2[AwayTeam], V$1)+SUMIFS(Table2[NewPointsHome],Table2[GameDate], "&lt;=" &amp; $A82, Table2[HomeTeam], V$1)</f>
        <v>7</v>
      </c>
      <c r="W82" s="145">
        <f>SUMIFS(Table2[NewPointsAway],Table2[GameDate], "&lt;=" &amp; $A82, Table2[AwayTeam], W$1)+SUMIFS(Table2[NewPointsHome],Table2[GameDate], "&lt;=" &amp; $A82, Table2[HomeTeam], W$1)</f>
        <v>10</v>
      </c>
      <c r="X82" s="145">
        <f>SUMIFS(Table2[NewPointsAway],Table2[GameDate], "&lt;=" &amp; $A82, Table2[AwayTeam], X$1)+SUMIFS(Table2[NewPointsHome],Table2[GameDate], "&lt;=" &amp; $A82, Table2[HomeTeam], X$1)</f>
        <v>8</v>
      </c>
      <c r="Y82" s="145">
        <f>SUMIFS(Table2[NewPointsAway],Table2[GameDate], "&lt;=" &amp; $A82, Table2[AwayTeam], Y$1)+SUMIFS(Table2[NewPointsHome],Table2[GameDate], "&lt;=" &amp; $A82, Table2[HomeTeam], Y$1)</f>
        <v>2</v>
      </c>
      <c r="Z82" s="145">
        <f>SUMIFS(Table2[NewPointsAway],Table2[GameDate], "&lt;=" &amp; $A82, Table2[AwayTeam], Z$1)+SUMIFS(Table2[NewPointsHome],Table2[GameDate], "&lt;=" &amp; $A82, Table2[HomeTeam], Z$1)</f>
        <v>7</v>
      </c>
      <c r="AA82" s="145">
        <f>SUMIFS(Table2[NewPointsAway],Table2[GameDate], "&lt;=" &amp; $A82, Table2[AwayTeam], AA$1)+SUMIFS(Table2[NewPointsHome],Table2[GameDate], "&lt;=" &amp; $A82, Table2[HomeTeam], AA$1)</f>
        <v>4</v>
      </c>
      <c r="AB82" s="145">
        <f>SUMIFS(Table2[NewPointsAway],Table2[GameDate], "&lt;=" &amp; $A82, Table2[AwayTeam], AB$1)+SUMIFS(Table2[NewPointsHome],Table2[GameDate], "&lt;=" &amp; $A82, Table2[HomeTeam], AB$1)</f>
        <v>7</v>
      </c>
      <c r="AC82" s="145">
        <f>SUMIFS(Table2[NewPointsAway],Table2[GameDate], "&lt;=" &amp; $A82, Table2[AwayTeam], AC$1)+SUMIFS(Table2[NewPointsHome],Table2[GameDate], "&lt;=" &amp; $A82, Table2[HomeTeam], AC$1)</f>
        <v>10</v>
      </c>
      <c r="AD82" s="145">
        <f>SUMIFS(Table2[NewPointsAway],Table2[GameDate], "&lt;=" &amp; $A82, Table2[AwayTeam], AD$1)+SUMIFS(Table2[NewPointsHome],Table2[GameDate], "&lt;=" &amp; $A82, Table2[HomeTeam], AD$1)</f>
        <v>8</v>
      </c>
      <c r="AE82" s="145">
        <f>SUMIFS(Table2[NewPointsAway],Table2[GameDate], "&lt;=" &amp; $A82, Table2[AwayTeam], AE$1)+SUMIFS(Table2[NewPointsHome],Table2[GameDate], "&lt;=" &amp; $A82, Table2[HomeTeam], AE$1)</f>
        <v>12</v>
      </c>
      <c r="AF82" s="145">
        <f>SUMIFS(Table2[NewPointsAway],Table2[GameDate], "&lt;=" &amp; $A82, Table2[AwayTeam], AF$1)+SUMIFS(Table2[NewPointsHome],Table2[GameDate], "&lt;=" &amp; $A82, Table2[HomeTeam], AF$1)</f>
        <v>10</v>
      </c>
      <c r="AG82" s="145">
        <f>SUMIFS(Table2[NewPointsAway],Table2[GameDate], "&lt;=" &amp; $A82, Table2[AwayTeam], AG$1)+SUMIFS(Table2[NewPointsHome],Table2[GameDate], "&lt;=" &amp; $A82, Table2[HomeTeam], AG$1)</f>
        <v>10</v>
      </c>
    </row>
    <row r="83" spans="1:33" x14ac:dyDescent="0.25">
      <c r="A83" s="3">
        <v>46014</v>
      </c>
      <c r="B83" s="145">
        <f>SUMIFS(Table2[NewPointsAway],Table2[GameDate], "&lt;=" &amp; $A83, Table2[AwayTeam], B$1)+SUMIFS(Table2[NewPointsHome],Table2[GameDate], "&lt;=" &amp; $A83, Table2[HomeTeam], B$1)</f>
        <v>7</v>
      </c>
      <c r="C83" s="145">
        <f>SUMIFS(Table2[NewPointsAway],Table2[GameDate], "&lt;=" &amp; $A83, Table2[AwayTeam], C$1)+SUMIFS(Table2[NewPointsHome],Table2[GameDate], "&lt;=" &amp; $A83, Table2[HomeTeam], C$1)</f>
        <v>6</v>
      </c>
      <c r="D83" s="145">
        <f>SUMIFS(Table2[NewPointsAway],Table2[GameDate], "&lt;=" &amp; $A83, Table2[AwayTeam], D$1)+SUMIFS(Table2[NewPointsHome],Table2[GameDate], "&lt;=" &amp; $A83, Table2[HomeTeam], D$1)</f>
        <v>4</v>
      </c>
      <c r="E83" s="145">
        <f>SUMIFS(Table2[NewPointsAway],Table2[GameDate], "&lt;=" &amp; $A83, Table2[AwayTeam], E$1)+SUMIFS(Table2[NewPointsHome],Table2[GameDate], "&lt;=" &amp; $A83, Table2[HomeTeam], E$1)</f>
        <v>10</v>
      </c>
      <c r="F83" s="145">
        <f>SUMIFS(Table2[NewPointsAway],Table2[GameDate], "&lt;=" &amp; $A83, Table2[AwayTeam], F$1)+SUMIFS(Table2[NewPointsHome],Table2[GameDate], "&lt;=" &amp; $A83, Table2[HomeTeam], F$1)</f>
        <v>6</v>
      </c>
      <c r="G83" s="145">
        <f>SUMIFS(Table2[NewPointsAway],Table2[GameDate], "&lt;=" &amp; $A83, Table2[AwayTeam], G$1)+SUMIFS(Table2[NewPointsHome],Table2[GameDate], "&lt;=" &amp; $A83, Table2[HomeTeam], G$1)</f>
        <v>2</v>
      </c>
      <c r="H83" s="145">
        <f>SUMIFS(Table2[NewPointsAway],Table2[GameDate], "&lt;=" &amp; $A83, Table2[AwayTeam], H$1)+SUMIFS(Table2[NewPointsHome],Table2[GameDate], "&lt;=" &amp; $A83, Table2[HomeTeam], H$1)</f>
        <v>8</v>
      </c>
      <c r="I83" s="145">
        <f>SUMIFS(Table2[NewPointsAway],Table2[GameDate], "&lt;=" &amp; $A83, Table2[AwayTeam], I$1)+SUMIFS(Table2[NewPointsHome],Table2[GameDate], "&lt;=" &amp; $A83, Table2[HomeTeam], I$1)</f>
        <v>12</v>
      </c>
      <c r="J83" s="145">
        <f>SUMIFS(Table2[NewPointsAway],Table2[GameDate], "&lt;=" &amp; $A83, Table2[AwayTeam], J$1)+SUMIFS(Table2[NewPointsHome],Table2[GameDate], "&lt;=" &amp; $A83, Table2[HomeTeam], J$1)</f>
        <v>6</v>
      </c>
      <c r="K83" s="145">
        <f>SUMIFS(Table2[NewPointsAway],Table2[GameDate], "&lt;=" &amp; $A83, Table2[AwayTeam], K$1)+SUMIFS(Table2[NewPointsHome],Table2[GameDate], "&lt;=" &amp; $A83, Table2[HomeTeam], K$1)</f>
        <v>10</v>
      </c>
      <c r="L83" s="145">
        <f>SUMIFS(Table2[NewPointsAway],Table2[GameDate], "&lt;=" &amp; $A83, Table2[AwayTeam], L$1)+SUMIFS(Table2[NewPointsHome],Table2[GameDate], "&lt;=" &amp; $A83, Table2[HomeTeam], L$1)</f>
        <v>7</v>
      </c>
      <c r="M83" s="145">
        <f>SUMIFS(Table2[NewPointsAway],Table2[GameDate], "&lt;=" &amp; $A83, Table2[AwayTeam], M$1)+SUMIFS(Table2[NewPointsHome],Table2[GameDate], "&lt;=" &amp; $A83, Table2[HomeTeam], M$1)</f>
        <v>8</v>
      </c>
      <c r="N83" s="145">
        <f>SUMIFS(Table2[NewPointsAway],Table2[GameDate], "&lt;=" &amp; $A83, Table2[AwayTeam], N$1)+SUMIFS(Table2[NewPointsHome],Table2[GameDate], "&lt;=" &amp; $A83, Table2[HomeTeam], N$1)</f>
        <v>6</v>
      </c>
      <c r="O83" s="145">
        <f>SUMIFS(Table2[NewPointsAway],Table2[GameDate], "&lt;=" &amp; $A83, Table2[AwayTeam], O$1)+SUMIFS(Table2[NewPointsHome],Table2[GameDate], "&lt;=" &amp; $A83, Table2[HomeTeam], O$1)</f>
        <v>7</v>
      </c>
      <c r="P83" s="145">
        <f>SUMIFS(Table2[NewPointsAway],Table2[GameDate], "&lt;=" &amp; $A83, Table2[AwayTeam], P$1)+SUMIFS(Table2[NewPointsHome],Table2[GameDate], "&lt;=" &amp; $A83, Table2[HomeTeam], P$1)</f>
        <v>10</v>
      </c>
      <c r="Q83" s="145">
        <f>SUMIFS(Table2[NewPointsAway],Table2[GameDate], "&lt;=" &amp; $A83, Table2[AwayTeam], Q$1)+SUMIFS(Table2[NewPointsHome],Table2[GameDate], "&lt;=" &amp; $A83, Table2[HomeTeam], Q$1)</f>
        <v>10</v>
      </c>
      <c r="R83" s="145">
        <f>SUMIFS(Table2[NewPointsAway],Table2[GameDate], "&lt;=" &amp; $A83, Table2[AwayTeam], R$1)+SUMIFS(Table2[NewPointsHome],Table2[GameDate], "&lt;=" &amp; $A83, Table2[HomeTeam], R$1)</f>
        <v>6</v>
      </c>
      <c r="S83" s="145">
        <f>SUMIFS(Table2[NewPointsAway],Table2[GameDate], "&lt;=" &amp; $A83, Table2[AwayTeam], S$1)+SUMIFS(Table2[NewPointsHome],Table2[GameDate], "&lt;=" &amp; $A83, Table2[HomeTeam], S$1)</f>
        <v>6</v>
      </c>
      <c r="T83" s="145">
        <f>SUMIFS(Table2[NewPointsAway],Table2[GameDate], "&lt;=" &amp; $A83, Table2[AwayTeam], T$1)+SUMIFS(Table2[NewPointsHome],Table2[GameDate], "&lt;=" &amp; $A83, Table2[HomeTeam], T$1)</f>
        <v>7</v>
      </c>
      <c r="U83" s="145">
        <f>SUMIFS(Table2[NewPointsAway],Table2[GameDate], "&lt;=" &amp; $A83, Table2[AwayTeam], U$1)+SUMIFS(Table2[NewPointsHome],Table2[GameDate], "&lt;=" &amp; $A83, Table2[HomeTeam], U$1)</f>
        <v>5</v>
      </c>
      <c r="V83" s="145">
        <f>SUMIFS(Table2[NewPointsAway],Table2[GameDate], "&lt;=" &amp; $A83, Table2[AwayTeam], V$1)+SUMIFS(Table2[NewPointsHome],Table2[GameDate], "&lt;=" &amp; $A83, Table2[HomeTeam], V$1)</f>
        <v>7</v>
      </c>
      <c r="W83" s="145">
        <f>SUMIFS(Table2[NewPointsAway],Table2[GameDate], "&lt;=" &amp; $A83, Table2[AwayTeam], W$1)+SUMIFS(Table2[NewPointsHome],Table2[GameDate], "&lt;=" &amp; $A83, Table2[HomeTeam], W$1)</f>
        <v>10</v>
      </c>
      <c r="X83" s="145">
        <f>SUMIFS(Table2[NewPointsAway],Table2[GameDate], "&lt;=" &amp; $A83, Table2[AwayTeam], X$1)+SUMIFS(Table2[NewPointsHome],Table2[GameDate], "&lt;=" &amp; $A83, Table2[HomeTeam], X$1)</f>
        <v>8</v>
      </c>
      <c r="Y83" s="145">
        <f>SUMIFS(Table2[NewPointsAway],Table2[GameDate], "&lt;=" &amp; $A83, Table2[AwayTeam], Y$1)+SUMIFS(Table2[NewPointsHome],Table2[GameDate], "&lt;=" &amp; $A83, Table2[HomeTeam], Y$1)</f>
        <v>2</v>
      </c>
      <c r="Z83" s="145">
        <f>SUMIFS(Table2[NewPointsAway],Table2[GameDate], "&lt;=" &amp; $A83, Table2[AwayTeam], Z$1)+SUMIFS(Table2[NewPointsHome],Table2[GameDate], "&lt;=" &amp; $A83, Table2[HomeTeam], Z$1)</f>
        <v>7</v>
      </c>
      <c r="AA83" s="145">
        <f>SUMIFS(Table2[NewPointsAway],Table2[GameDate], "&lt;=" &amp; $A83, Table2[AwayTeam], AA$1)+SUMIFS(Table2[NewPointsHome],Table2[GameDate], "&lt;=" &amp; $A83, Table2[HomeTeam], AA$1)</f>
        <v>4</v>
      </c>
      <c r="AB83" s="145">
        <f>SUMIFS(Table2[NewPointsAway],Table2[GameDate], "&lt;=" &amp; $A83, Table2[AwayTeam], AB$1)+SUMIFS(Table2[NewPointsHome],Table2[GameDate], "&lt;=" &amp; $A83, Table2[HomeTeam], AB$1)</f>
        <v>7</v>
      </c>
      <c r="AC83" s="145">
        <f>SUMIFS(Table2[NewPointsAway],Table2[GameDate], "&lt;=" &amp; $A83, Table2[AwayTeam], AC$1)+SUMIFS(Table2[NewPointsHome],Table2[GameDate], "&lt;=" &amp; $A83, Table2[HomeTeam], AC$1)</f>
        <v>10</v>
      </c>
      <c r="AD83" s="145">
        <f>SUMIFS(Table2[NewPointsAway],Table2[GameDate], "&lt;=" &amp; $A83, Table2[AwayTeam], AD$1)+SUMIFS(Table2[NewPointsHome],Table2[GameDate], "&lt;=" &amp; $A83, Table2[HomeTeam], AD$1)</f>
        <v>8</v>
      </c>
      <c r="AE83" s="145">
        <f>SUMIFS(Table2[NewPointsAway],Table2[GameDate], "&lt;=" &amp; $A83, Table2[AwayTeam], AE$1)+SUMIFS(Table2[NewPointsHome],Table2[GameDate], "&lt;=" &amp; $A83, Table2[HomeTeam], AE$1)</f>
        <v>12</v>
      </c>
      <c r="AF83" s="145">
        <f>SUMIFS(Table2[NewPointsAway],Table2[GameDate], "&lt;=" &amp; $A83, Table2[AwayTeam], AF$1)+SUMIFS(Table2[NewPointsHome],Table2[GameDate], "&lt;=" &amp; $A83, Table2[HomeTeam], AF$1)</f>
        <v>10</v>
      </c>
      <c r="AG83" s="145">
        <f>SUMIFS(Table2[NewPointsAway],Table2[GameDate], "&lt;=" &amp; $A83, Table2[AwayTeam], AG$1)+SUMIFS(Table2[NewPointsHome],Table2[GameDate], "&lt;=" &amp; $A83, Table2[HomeTeam], AG$1)</f>
        <v>10</v>
      </c>
    </row>
    <row r="84" spans="1:33" x14ac:dyDescent="0.25">
      <c r="A84" s="3">
        <v>46015</v>
      </c>
      <c r="B84" s="145">
        <f>SUMIFS(Table2[NewPointsAway],Table2[GameDate], "&lt;=" &amp; $A84, Table2[AwayTeam], B$1)+SUMIFS(Table2[NewPointsHome],Table2[GameDate], "&lt;=" &amp; $A84, Table2[HomeTeam], B$1)</f>
        <v>7</v>
      </c>
      <c r="C84" s="145">
        <f>SUMIFS(Table2[NewPointsAway],Table2[GameDate], "&lt;=" &amp; $A84, Table2[AwayTeam], C$1)+SUMIFS(Table2[NewPointsHome],Table2[GameDate], "&lt;=" &amp; $A84, Table2[HomeTeam], C$1)</f>
        <v>6</v>
      </c>
      <c r="D84" s="145">
        <f>SUMIFS(Table2[NewPointsAway],Table2[GameDate], "&lt;=" &amp; $A84, Table2[AwayTeam], D$1)+SUMIFS(Table2[NewPointsHome],Table2[GameDate], "&lt;=" &amp; $A84, Table2[HomeTeam], D$1)</f>
        <v>4</v>
      </c>
      <c r="E84" s="145">
        <f>SUMIFS(Table2[NewPointsAway],Table2[GameDate], "&lt;=" &amp; $A84, Table2[AwayTeam], E$1)+SUMIFS(Table2[NewPointsHome],Table2[GameDate], "&lt;=" &amp; $A84, Table2[HomeTeam], E$1)</f>
        <v>10</v>
      </c>
      <c r="F84" s="145">
        <f>SUMIFS(Table2[NewPointsAway],Table2[GameDate], "&lt;=" &amp; $A84, Table2[AwayTeam], F$1)+SUMIFS(Table2[NewPointsHome],Table2[GameDate], "&lt;=" &amp; $A84, Table2[HomeTeam], F$1)</f>
        <v>6</v>
      </c>
      <c r="G84" s="145">
        <f>SUMIFS(Table2[NewPointsAway],Table2[GameDate], "&lt;=" &amp; $A84, Table2[AwayTeam], G$1)+SUMIFS(Table2[NewPointsHome],Table2[GameDate], "&lt;=" &amp; $A84, Table2[HomeTeam], G$1)</f>
        <v>2</v>
      </c>
      <c r="H84" s="145">
        <f>SUMIFS(Table2[NewPointsAway],Table2[GameDate], "&lt;=" &amp; $A84, Table2[AwayTeam], H$1)+SUMIFS(Table2[NewPointsHome],Table2[GameDate], "&lt;=" &amp; $A84, Table2[HomeTeam], H$1)</f>
        <v>8</v>
      </c>
      <c r="I84" s="145">
        <f>SUMIFS(Table2[NewPointsAway],Table2[GameDate], "&lt;=" &amp; $A84, Table2[AwayTeam], I$1)+SUMIFS(Table2[NewPointsHome],Table2[GameDate], "&lt;=" &amp; $A84, Table2[HomeTeam], I$1)</f>
        <v>12</v>
      </c>
      <c r="J84" s="145">
        <f>SUMIFS(Table2[NewPointsAway],Table2[GameDate], "&lt;=" &amp; $A84, Table2[AwayTeam], J$1)+SUMIFS(Table2[NewPointsHome],Table2[GameDate], "&lt;=" &amp; $A84, Table2[HomeTeam], J$1)</f>
        <v>6</v>
      </c>
      <c r="K84" s="145">
        <f>SUMIFS(Table2[NewPointsAway],Table2[GameDate], "&lt;=" &amp; $A84, Table2[AwayTeam], K$1)+SUMIFS(Table2[NewPointsHome],Table2[GameDate], "&lt;=" &amp; $A84, Table2[HomeTeam], K$1)</f>
        <v>10</v>
      </c>
      <c r="L84" s="145">
        <f>SUMIFS(Table2[NewPointsAway],Table2[GameDate], "&lt;=" &amp; $A84, Table2[AwayTeam], L$1)+SUMIFS(Table2[NewPointsHome],Table2[GameDate], "&lt;=" &amp; $A84, Table2[HomeTeam], L$1)</f>
        <v>7</v>
      </c>
      <c r="M84" s="145">
        <f>SUMIFS(Table2[NewPointsAway],Table2[GameDate], "&lt;=" &amp; $A84, Table2[AwayTeam], M$1)+SUMIFS(Table2[NewPointsHome],Table2[GameDate], "&lt;=" &amp; $A84, Table2[HomeTeam], M$1)</f>
        <v>8</v>
      </c>
      <c r="N84" s="145">
        <f>SUMIFS(Table2[NewPointsAway],Table2[GameDate], "&lt;=" &amp; $A84, Table2[AwayTeam], N$1)+SUMIFS(Table2[NewPointsHome],Table2[GameDate], "&lt;=" &amp; $A84, Table2[HomeTeam], N$1)</f>
        <v>6</v>
      </c>
      <c r="O84" s="145">
        <f>SUMIFS(Table2[NewPointsAway],Table2[GameDate], "&lt;=" &amp; $A84, Table2[AwayTeam], O$1)+SUMIFS(Table2[NewPointsHome],Table2[GameDate], "&lt;=" &amp; $A84, Table2[HomeTeam], O$1)</f>
        <v>7</v>
      </c>
      <c r="P84" s="145">
        <f>SUMIFS(Table2[NewPointsAway],Table2[GameDate], "&lt;=" &amp; $A84, Table2[AwayTeam], P$1)+SUMIFS(Table2[NewPointsHome],Table2[GameDate], "&lt;=" &amp; $A84, Table2[HomeTeam], P$1)</f>
        <v>10</v>
      </c>
      <c r="Q84" s="145">
        <f>SUMIFS(Table2[NewPointsAway],Table2[GameDate], "&lt;=" &amp; $A84, Table2[AwayTeam], Q$1)+SUMIFS(Table2[NewPointsHome],Table2[GameDate], "&lt;=" &amp; $A84, Table2[HomeTeam], Q$1)</f>
        <v>10</v>
      </c>
      <c r="R84" s="145">
        <f>SUMIFS(Table2[NewPointsAway],Table2[GameDate], "&lt;=" &amp; $A84, Table2[AwayTeam], R$1)+SUMIFS(Table2[NewPointsHome],Table2[GameDate], "&lt;=" &amp; $A84, Table2[HomeTeam], R$1)</f>
        <v>6</v>
      </c>
      <c r="S84" s="145">
        <f>SUMIFS(Table2[NewPointsAway],Table2[GameDate], "&lt;=" &amp; $A84, Table2[AwayTeam], S$1)+SUMIFS(Table2[NewPointsHome],Table2[GameDate], "&lt;=" &amp; $A84, Table2[HomeTeam], S$1)</f>
        <v>6</v>
      </c>
      <c r="T84" s="145">
        <f>SUMIFS(Table2[NewPointsAway],Table2[GameDate], "&lt;=" &amp; $A84, Table2[AwayTeam], T$1)+SUMIFS(Table2[NewPointsHome],Table2[GameDate], "&lt;=" &amp; $A84, Table2[HomeTeam], T$1)</f>
        <v>7</v>
      </c>
      <c r="U84" s="145">
        <f>SUMIFS(Table2[NewPointsAway],Table2[GameDate], "&lt;=" &amp; $A84, Table2[AwayTeam], U$1)+SUMIFS(Table2[NewPointsHome],Table2[GameDate], "&lt;=" &amp; $A84, Table2[HomeTeam], U$1)</f>
        <v>5</v>
      </c>
      <c r="V84" s="145">
        <f>SUMIFS(Table2[NewPointsAway],Table2[GameDate], "&lt;=" &amp; $A84, Table2[AwayTeam], V$1)+SUMIFS(Table2[NewPointsHome],Table2[GameDate], "&lt;=" &amp; $A84, Table2[HomeTeam], V$1)</f>
        <v>7</v>
      </c>
      <c r="W84" s="145">
        <f>SUMIFS(Table2[NewPointsAway],Table2[GameDate], "&lt;=" &amp; $A84, Table2[AwayTeam], W$1)+SUMIFS(Table2[NewPointsHome],Table2[GameDate], "&lt;=" &amp; $A84, Table2[HomeTeam], W$1)</f>
        <v>10</v>
      </c>
      <c r="X84" s="145">
        <f>SUMIFS(Table2[NewPointsAway],Table2[GameDate], "&lt;=" &amp; $A84, Table2[AwayTeam], X$1)+SUMIFS(Table2[NewPointsHome],Table2[GameDate], "&lt;=" &amp; $A84, Table2[HomeTeam], X$1)</f>
        <v>8</v>
      </c>
      <c r="Y84" s="145">
        <f>SUMIFS(Table2[NewPointsAway],Table2[GameDate], "&lt;=" &amp; $A84, Table2[AwayTeam], Y$1)+SUMIFS(Table2[NewPointsHome],Table2[GameDate], "&lt;=" &amp; $A84, Table2[HomeTeam], Y$1)</f>
        <v>2</v>
      </c>
      <c r="Z84" s="145">
        <f>SUMIFS(Table2[NewPointsAway],Table2[GameDate], "&lt;=" &amp; $A84, Table2[AwayTeam], Z$1)+SUMIFS(Table2[NewPointsHome],Table2[GameDate], "&lt;=" &amp; $A84, Table2[HomeTeam], Z$1)</f>
        <v>7</v>
      </c>
      <c r="AA84" s="145">
        <f>SUMIFS(Table2[NewPointsAway],Table2[GameDate], "&lt;=" &amp; $A84, Table2[AwayTeam], AA$1)+SUMIFS(Table2[NewPointsHome],Table2[GameDate], "&lt;=" &amp; $A84, Table2[HomeTeam], AA$1)</f>
        <v>4</v>
      </c>
      <c r="AB84" s="145">
        <f>SUMIFS(Table2[NewPointsAway],Table2[GameDate], "&lt;=" &amp; $A84, Table2[AwayTeam], AB$1)+SUMIFS(Table2[NewPointsHome],Table2[GameDate], "&lt;=" &amp; $A84, Table2[HomeTeam], AB$1)</f>
        <v>7</v>
      </c>
      <c r="AC84" s="145">
        <f>SUMIFS(Table2[NewPointsAway],Table2[GameDate], "&lt;=" &amp; $A84, Table2[AwayTeam], AC$1)+SUMIFS(Table2[NewPointsHome],Table2[GameDate], "&lt;=" &amp; $A84, Table2[HomeTeam], AC$1)</f>
        <v>10</v>
      </c>
      <c r="AD84" s="145">
        <f>SUMIFS(Table2[NewPointsAway],Table2[GameDate], "&lt;=" &amp; $A84, Table2[AwayTeam], AD$1)+SUMIFS(Table2[NewPointsHome],Table2[GameDate], "&lt;=" &amp; $A84, Table2[HomeTeam], AD$1)</f>
        <v>8</v>
      </c>
      <c r="AE84" s="145">
        <f>SUMIFS(Table2[NewPointsAway],Table2[GameDate], "&lt;=" &amp; $A84, Table2[AwayTeam], AE$1)+SUMIFS(Table2[NewPointsHome],Table2[GameDate], "&lt;=" &amp; $A84, Table2[HomeTeam], AE$1)</f>
        <v>12</v>
      </c>
      <c r="AF84" s="145">
        <f>SUMIFS(Table2[NewPointsAway],Table2[GameDate], "&lt;=" &amp; $A84, Table2[AwayTeam], AF$1)+SUMIFS(Table2[NewPointsHome],Table2[GameDate], "&lt;=" &amp; $A84, Table2[HomeTeam], AF$1)</f>
        <v>10</v>
      </c>
      <c r="AG84" s="145">
        <f>SUMIFS(Table2[NewPointsAway],Table2[GameDate], "&lt;=" &amp; $A84, Table2[AwayTeam], AG$1)+SUMIFS(Table2[NewPointsHome],Table2[GameDate], "&lt;=" &amp; $A84, Table2[HomeTeam], AG$1)</f>
        <v>10</v>
      </c>
    </row>
    <row r="85" spans="1:33" x14ac:dyDescent="0.25">
      <c r="A85" s="3">
        <v>46016</v>
      </c>
      <c r="B85" s="145">
        <f>SUMIFS(Table2[NewPointsAway],Table2[GameDate], "&lt;=" &amp; $A85, Table2[AwayTeam], B$1)+SUMIFS(Table2[NewPointsHome],Table2[GameDate], "&lt;=" &amp; $A85, Table2[HomeTeam], B$1)</f>
        <v>7</v>
      </c>
      <c r="C85" s="145">
        <f>SUMIFS(Table2[NewPointsAway],Table2[GameDate], "&lt;=" &amp; $A85, Table2[AwayTeam], C$1)+SUMIFS(Table2[NewPointsHome],Table2[GameDate], "&lt;=" &amp; $A85, Table2[HomeTeam], C$1)</f>
        <v>6</v>
      </c>
      <c r="D85" s="145">
        <f>SUMIFS(Table2[NewPointsAway],Table2[GameDate], "&lt;=" &amp; $A85, Table2[AwayTeam], D$1)+SUMIFS(Table2[NewPointsHome],Table2[GameDate], "&lt;=" &amp; $A85, Table2[HomeTeam], D$1)</f>
        <v>4</v>
      </c>
      <c r="E85" s="145">
        <f>SUMIFS(Table2[NewPointsAway],Table2[GameDate], "&lt;=" &amp; $A85, Table2[AwayTeam], E$1)+SUMIFS(Table2[NewPointsHome],Table2[GameDate], "&lt;=" &amp; $A85, Table2[HomeTeam], E$1)</f>
        <v>10</v>
      </c>
      <c r="F85" s="145">
        <f>SUMIFS(Table2[NewPointsAway],Table2[GameDate], "&lt;=" &amp; $A85, Table2[AwayTeam], F$1)+SUMIFS(Table2[NewPointsHome],Table2[GameDate], "&lt;=" &amp; $A85, Table2[HomeTeam], F$1)</f>
        <v>6</v>
      </c>
      <c r="G85" s="145">
        <f>SUMIFS(Table2[NewPointsAway],Table2[GameDate], "&lt;=" &amp; $A85, Table2[AwayTeam], G$1)+SUMIFS(Table2[NewPointsHome],Table2[GameDate], "&lt;=" &amp; $A85, Table2[HomeTeam], G$1)</f>
        <v>2</v>
      </c>
      <c r="H85" s="145">
        <f>SUMIFS(Table2[NewPointsAway],Table2[GameDate], "&lt;=" &amp; $A85, Table2[AwayTeam], H$1)+SUMIFS(Table2[NewPointsHome],Table2[GameDate], "&lt;=" &amp; $A85, Table2[HomeTeam], H$1)</f>
        <v>8</v>
      </c>
      <c r="I85" s="145">
        <f>SUMIFS(Table2[NewPointsAway],Table2[GameDate], "&lt;=" &amp; $A85, Table2[AwayTeam], I$1)+SUMIFS(Table2[NewPointsHome],Table2[GameDate], "&lt;=" &amp; $A85, Table2[HomeTeam], I$1)</f>
        <v>12</v>
      </c>
      <c r="J85" s="145">
        <f>SUMIFS(Table2[NewPointsAway],Table2[GameDate], "&lt;=" &amp; $A85, Table2[AwayTeam], J$1)+SUMIFS(Table2[NewPointsHome],Table2[GameDate], "&lt;=" &amp; $A85, Table2[HomeTeam], J$1)</f>
        <v>6</v>
      </c>
      <c r="K85" s="145">
        <f>SUMIFS(Table2[NewPointsAway],Table2[GameDate], "&lt;=" &amp; $A85, Table2[AwayTeam], K$1)+SUMIFS(Table2[NewPointsHome],Table2[GameDate], "&lt;=" &amp; $A85, Table2[HomeTeam], K$1)</f>
        <v>10</v>
      </c>
      <c r="L85" s="145">
        <f>SUMIFS(Table2[NewPointsAway],Table2[GameDate], "&lt;=" &amp; $A85, Table2[AwayTeam], L$1)+SUMIFS(Table2[NewPointsHome],Table2[GameDate], "&lt;=" &amp; $A85, Table2[HomeTeam], L$1)</f>
        <v>7</v>
      </c>
      <c r="M85" s="145">
        <f>SUMIFS(Table2[NewPointsAway],Table2[GameDate], "&lt;=" &amp; $A85, Table2[AwayTeam], M$1)+SUMIFS(Table2[NewPointsHome],Table2[GameDate], "&lt;=" &amp; $A85, Table2[HomeTeam], M$1)</f>
        <v>8</v>
      </c>
      <c r="N85" s="145">
        <f>SUMIFS(Table2[NewPointsAway],Table2[GameDate], "&lt;=" &amp; $A85, Table2[AwayTeam], N$1)+SUMIFS(Table2[NewPointsHome],Table2[GameDate], "&lt;=" &amp; $A85, Table2[HomeTeam], N$1)</f>
        <v>6</v>
      </c>
      <c r="O85" s="145">
        <f>SUMIFS(Table2[NewPointsAway],Table2[GameDate], "&lt;=" &amp; $A85, Table2[AwayTeam], O$1)+SUMIFS(Table2[NewPointsHome],Table2[GameDate], "&lt;=" &amp; $A85, Table2[HomeTeam], O$1)</f>
        <v>7</v>
      </c>
      <c r="P85" s="145">
        <f>SUMIFS(Table2[NewPointsAway],Table2[GameDate], "&lt;=" &amp; $A85, Table2[AwayTeam], P$1)+SUMIFS(Table2[NewPointsHome],Table2[GameDate], "&lt;=" &amp; $A85, Table2[HomeTeam], P$1)</f>
        <v>10</v>
      </c>
      <c r="Q85" s="145">
        <f>SUMIFS(Table2[NewPointsAway],Table2[GameDate], "&lt;=" &amp; $A85, Table2[AwayTeam], Q$1)+SUMIFS(Table2[NewPointsHome],Table2[GameDate], "&lt;=" &amp; $A85, Table2[HomeTeam], Q$1)</f>
        <v>10</v>
      </c>
      <c r="R85" s="145">
        <f>SUMIFS(Table2[NewPointsAway],Table2[GameDate], "&lt;=" &amp; $A85, Table2[AwayTeam], R$1)+SUMIFS(Table2[NewPointsHome],Table2[GameDate], "&lt;=" &amp; $A85, Table2[HomeTeam], R$1)</f>
        <v>6</v>
      </c>
      <c r="S85" s="145">
        <f>SUMIFS(Table2[NewPointsAway],Table2[GameDate], "&lt;=" &amp; $A85, Table2[AwayTeam], S$1)+SUMIFS(Table2[NewPointsHome],Table2[GameDate], "&lt;=" &amp; $A85, Table2[HomeTeam], S$1)</f>
        <v>6</v>
      </c>
      <c r="T85" s="145">
        <f>SUMIFS(Table2[NewPointsAway],Table2[GameDate], "&lt;=" &amp; $A85, Table2[AwayTeam], T$1)+SUMIFS(Table2[NewPointsHome],Table2[GameDate], "&lt;=" &amp; $A85, Table2[HomeTeam], T$1)</f>
        <v>7</v>
      </c>
      <c r="U85" s="145">
        <f>SUMIFS(Table2[NewPointsAway],Table2[GameDate], "&lt;=" &amp; $A85, Table2[AwayTeam], U$1)+SUMIFS(Table2[NewPointsHome],Table2[GameDate], "&lt;=" &amp; $A85, Table2[HomeTeam], U$1)</f>
        <v>5</v>
      </c>
      <c r="V85" s="145">
        <f>SUMIFS(Table2[NewPointsAway],Table2[GameDate], "&lt;=" &amp; $A85, Table2[AwayTeam], V$1)+SUMIFS(Table2[NewPointsHome],Table2[GameDate], "&lt;=" &amp; $A85, Table2[HomeTeam], V$1)</f>
        <v>7</v>
      </c>
      <c r="W85" s="145">
        <f>SUMIFS(Table2[NewPointsAway],Table2[GameDate], "&lt;=" &amp; $A85, Table2[AwayTeam], W$1)+SUMIFS(Table2[NewPointsHome],Table2[GameDate], "&lt;=" &amp; $A85, Table2[HomeTeam], W$1)</f>
        <v>10</v>
      </c>
      <c r="X85" s="145">
        <f>SUMIFS(Table2[NewPointsAway],Table2[GameDate], "&lt;=" &amp; $A85, Table2[AwayTeam], X$1)+SUMIFS(Table2[NewPointsHome],Table2[GameDate], "&lt;=" &amp; $A85, Table2[HomeTeam], X$1)</f>
        <v>8</v>
      </c>
      <c r="Y85" s="145">
        <f>SUMIFS(Table2[NewPointsAway],Table2[GameDate], "&lt;=" &amp; $A85, Table2[AwayTeam], Y$1)+SUMIFS(Table2[NewPointsHome],Table2[GameDate], "&lt;=" &amp; $A85, Table2[HomeTeam], Y$1)</f>
        <v>2</v>
      </c>
      <c r="Z85" s="145">
        <f>SUMIFS(Table2[NewPointsAway],Table2[GameDate], "&lt;=" &amp; $A85, Table2[AwayTeam], Z$1)+SUMIFS(Table2[NewPointsHome],Table2[GameDate], "&lt;=" &amp; $A85, Table2[HomeTeam], Z$1)</f>
        <v>7</v>
      </c>
      <c r="AA85" s="145">
        <f>SUMIFS(Table2[NewPointsAway],Table2[GameDate], "&lt;=" &amp; $A85, Table2[AwayTeam], AA$1)+SUMIFS(Table2[NewPointsHome],Table2[GameDate], "&lt;=" &amp; $A85, Table2[HomeTeam], AA$1)</f>
        <v>4</v>
      </c>
      <c r="AB85" s="145">
        <f>SUMIFS(Table2[NewPointsAway],Table2[GameDate], "&lt;=" &amp; $A85, Table2[AwayTeam], AB$1)+SUMIFS(Table2[NewPointsHome],Table2[GameDate], "&lt;=" &amp; $A85, Table2[HomeTeam], AB$1)</f>
        <v>7</v>
      </c>
      <c r="AC85" s="145">
        <f>SUMIFS(Table2[NewPointsAway],Table2[GameDate], "&lt;=" &amp; $A85, Table2[AwayTeam], AC$1)+SUMIFS(Table2[NewPointsHome],Table2[GameDate], "&lt;=" &amp; $A85, Table2[HomeTeam], AC$1)</f>
        <v>10</v>
      </c>
      <c r="AD85" s="145">
        <f>SUMIFS(Table2[NewPointsAway],Table2[GameDate], "&lt;=" &amp; $A85, Table2[AwayTeam], AD$1)+SUMIFS(Table2[NewPointsHome],Table2[GameDate], "&lt;=" &amp; $A85, Table2[HomeTeam], AD$1)</f>
        <v>8</v>
      </c>
      <c r="AE85" s="145">
        <f>SUMIFS(Table2[NewPointsAway],Table2[GameDate], "&lt;=" &amp; $A85, Table2[AwayTeam], AE$1)+SUMIFS(Table2[NewPointsHome],Table2[GameDate], "&lt;=" &amp; $A85, Table2[HomeTeam], AE$1)</f>
        <v>12</v>
      </c>
      <c r="AF85" s="145">
        <f>SUMIFS(Table2[NewPointsAway],Table2[GameDate], "&lt;=" &amp; $A85, Table2[AwayTeam], AF$1)+SUMIFS(Table2[NewPointsHome],Table2[GameDate], "&lt;=" &amp; $A85, Table2[HomeTeam], AF$1)</f>
        <v>10</v>
      </c>
      <c r="AG85" s="145">
        <f>SUMIFS(Table2[NewPointsAway],Table2[GameDate], "&lt;=" &amp; $A85, Table2[AwayTeam], AG$1)+SUMIFS(Table2[NewPointsHome],Table2[GameDate], "&lt;=" &amp; $A85, Table2[HomeTeam], AG$1)</f>
        <v>10</v>
      </c>
    </row>
    <row r="86" spans="1:33" x14ac:dyDescent="0.25">
      <c r="A86" s="3">
        <v>46017</v>
      </c>
      <c r="B86" s="145">
        <f>SUMIFS(Table2[NewPointsAway],Table2[GameDate], "&lt;=" &amp; $A86, Table2[AwayTeam], B$1)+SUMIFS(Table2[NewPointsHome],Table2[GameDate], "&lt;=" &amp; $A86, Table2[HomeTeam], B$1)</f>
        <v>7</v>
      </c>
      <c r="C86" s="145">
        <f>SUMIFS(Table2[NewPointsAway],Table2[GameDate], "&lt;=" &amp; $A86, Table2[AwayTeam], C$1)+SUMIFS(Table2[NewPointsHome],Table2[GameDate], "&lt;=" &amp; $A86, Table2[HomeTeam], C$1)</f>
        <v>6</v>
      </c>
      <c r="D86" s="145">
        <f>SUMIFS(Table2[NewPointsAway],Table2[GameDate], "&lt;=" &amp; $A86, Table2[AwayTeam], D$1)+SUMIFS(Table2[NewPointsHome],Table2[GameDate], "&lt;=" &amp; $A86, Table2[HomeTeam], D$1)</f>
        <v>4</v>
      </c>
      <c r="E86" s="145">
        <f>SUMIFS(Table2[NewPointsAway],Table2[GameDate], "&lt;=" &amp; $A86, Table2[AwayTeam], E$1)+SUMIFS(Table2[NewPointsHome],Table2[GameDate], "&lt;=" &amp; $A86, Table2[HomeTeam], E$1)</f>
        <v>10</v>
      </c>
      <c r="F86" s="145">
        <f>SUMIFS(Table2[NewPointsAway],Table2[GameDate], "&lt;=" &amp; $A86, Table2[AwayTeam], F$1)+SUMIFS(Table2[NewPointsHome],Table2[GameDate], "&lt;=" &amp; $A86, Table2[HomeTeam], F$1)</f>
        <v>6</v>
      </c>
      <c r="G86" s="145">
        <f>SUMIFS(Table2[NewPointsAway],Table2[GameDate], "&lt;=" &amp; $A86, Table2[AwayTeam], G$1)+SUMIFS(Table2[NewPointsHome],Table2[GameDate], "&lt;=" &amp; $A86, Table2[HomeTeam], G$1)</f>
        <v>2</v>
      </c>
      <c r="H86" s="145">
        <f>SUMIFS(Table2[NewPointsAway],Table2[GameDate], "&lt;=" &amp; $A86, Table2[AwayTeam], H$1)+SUMIFS(Table2[NewPointsHome],Table2[GameDate], "&lt;=" &amp; $A86, Table2[HomeTeam], H$1)</f>
        <v>8</v>
      </c>
      <c r="I86" s="145">
        <f>SUMIFS(Table2[NewPointsAway],Table2[GameDate], "&lt;=" &amp; $A86, Table2[AwayTeam], I$1)+SUMIFS(Table2[NewPointsHome],Table2[GameDate], "&lt;=" &amp; $A86, Table2[HomeTeam], I$1)</f>
        <v>12</v>
      </c>
      <c r="J86" s="145">
        <f>SUMIFS(Table2[NewPointsAway],Table2[GameDate], "&lt;=" &amp; $A86, Table2[AwayTeam], J$1)+SUMIFS(Table2[NewPointsHome],Table2[GameDate], "&lt;=" &amp; $A86, Table2[HomeTeam], J$1)</f>
        <v>6</v>
      </c>
      <c r="K86" s="145">
        <f>SUMIFS(Table2[NewPointsAway],Table2[GameDate], "&lt;=" &amp; $A86, Table2[AwayTeam], K$1)+SUMIFS(Table2[NewPointsHome],Table2[GameDate], "&lt;=" &amp; $A86, Table2[HomeTeam], K$1)</f>
        <v>10</v>
      </c>
      <c r="L86" s="145">
        <f>SUMIFS(Table2[NewPointsAway],Table2[GameDate], "&lt;=" &amp; $A86, Table2[AwayTeam], L$1)+SUMIFS(Table2[NewPointsHome],Table2[GameDate], "&lt;=" &amp; $A86, Table2[HomeTeam], L$1)</f>
        <v>7</v>
      </c>
      <c r="M86" s="145">
        <f>SUMIFS(Table2[NewPointsAway],Table2[GameDate], "&lt;=" &amp; $A86, Table2[AwayTeam], M$1)+SUMIFS(Table2[NewPointsHome],Table2[GameDate], "&lt;=" &amp; $A86, Table2[HomeTeam], M$1)</f>
        <v>8</v>
      </c>
      <c r="N86" s="145">
        <f>SUMIFS(Table2[NewPointsAway],Table2[GameDate], "&lt;=" &amp; $A86, Table2[AwayTeam], N$1)+SUMIFS(Table2[NewPointsHome],Table2[GameDate], "&lt;=" &amp; $A86, Table2[HomeTeam], N$1)</f>
        <v>6</v>
      </c>
      <c r="O86" s="145">
        <f>SUMIFS(Table2[NewPointsAway],Table2[GameDate], "&lt;=" &amp; $A86, Table2[AwayTeam], O$1)+SUMIFS(Table2[NewPointsHome],Table2[GameDate], "&lt;=" &amp; $A86, Table2[HomeTeam], O$1)</f>
        <v>7</v>
      </c>
      <c r="P86" s="145">
        <f>SUMIFS(Table2[NewPointsAway],Table2[GameDate], "&lt;=" &amp; $A86, Table2[AwayTeam], P$1)+SUMIFS(Table2[NewPointsHome],Table2[GameDate], "&lt;=" &amp; $A86, Table2[HomeTeam], P$1)</f>
        <v>10</v>
      </c>
      <c r="Q86" s="145">
        <f>SUMIFS(Table2[NewPointsAway],Table2[GameDate], "&lt;=" &amp; $A86, Table2[AwayTeam], Q$1)+SUMIFS(Table2[NewPointsHome],Table2[GameDate], "&lt;=" &amp; $A86, Table2[HomeTeam], Q$1)</f>
        <v>10</v>
      </c>
      <c r="R86" s="145">
        <f>SUMIFS(Table2[NewPointsAway],Table2[GameDate], "&lt;=" &amp; $A86, Table2[AwayTeam], R$1)+SUMIFS(Table2[NewPointsHome],Table2[GameDate], "&lt;=" &amp; $A86, Table2[HomeTeam], R$1)</f>
        <v>6</v>
      </c>
      <c r="S86" s="145">
        <f>SUMIFS(Table2[NewPointsAway],Table2[GameDate], "&lt;=" &amp; $A86, Table2[AwayTeam], S$1)+SUMIFS(Table2[NewPointsHome],Table2[GameDate], "&lt;=" &amp; $A86, Table2[HomeTeam], S$1)</f>
        <v>6</v>
      </c>
      <c r="T86" s="145">
        <f>SUMIFS(Table2[NewPointsAway],Table2[GameDate], "&lt;=" &amp; $A86, Table2[AwayTeam], T$1)+SUMIFS(Table2[NewPointsHome],Table2[GameDate], "&lt;=" &amp; $A86, Table2[HomeTeam], T$1)</f>
        <v>7</v>
      </c>
      <c r="U86" s="145">
        <f>SUMIFS(Table2[NewPointsAway],Table2[GameDate], "&lt;=" &amp; $A86, Table2[AwayTeam], U$1)+SUMIFS(Table2[NewPointsHome],Table2[GameDate], "&lt;=" &amp; $A86, Table2[HomeTeam], U$1)</f>
        <v>5</v>
      </c>
      <c r="V86" s="145">
        <f>SUMIFS(Table2[NewPointsAway],Table2[GameDate], "&lt;=" &amp; $A86, Table2[AwayTeam], V$1)+SUMIFS(Table2[NewPointsHome],Table2[GameDate], "&lt;=" &amp; $A86, Table2[HomeTeam], V$1)</f>
        <v>7</v>
      </c>
      <c r="W86" s="145">
        <f>SUMIFS(Table2[NewPointsAway],Table2[GameDate], "&lt;=" &amp; $A86, Table2[AwayTeam], W$1)+SUMIFS(Table2[NewPointsHome],Table2[GameDate], "&lt;=" &amp; $A86, Table2[HomeTeam], W$1)</f>
        <v>10</v>
      </c>
      <c r="X86" s="145">
        <f>SUMIFS(Table2[NewPointsAway],Table2[GameDate], "&lt;=" &amp; $A86, Table2[AwayTeam], X$1)+SUMIFS(Table2[NewPointsHome],Table2[GameDate], "&lt;=" &amp; $A86, Table2[HomeTeam], X$1)</f>
        <v>8</v>
      </c>
      <c r="Y86" s="145">
        <f>SUMIFS(Table2[NewPointsAway],Table2[GameDate], "&lt;=" &amp; $A86, Table2[AwayTeam], Y$1)+SUMIFS(Table2[NewPointsHome],Table2[GameDate], "&lt;=" &amp; $A86, Table2[HomeTeam], Y$1)</f>
        <v>2</v>
      </c>
      <c r="Z86" s="145">
        <f>SUMIFS(Table2[NewPointsAway],Table2[GameDate], "&lt;=" &amp; $A86, Table2[AwayTeam], Z$1)+SUMIFS(Table2[NewPointsHome],Table2[GameDate], "&lt;=" &amp; $A86, Table2[HomeTeam], Z$1)</f>
        <v>7</v>
      </c>
      <c r="AA86" s="145">
        <f>SUMIFS(Table2[NewPointsAway],Table2[GameDate], "&lt;=" &amp; $A86, Table2[AwayTeam], AA$1)+SUMIFS(Table2[NewPointsHome],Table2[GameDate], "&lt;=" &amp; $A86, Table2[HomeTeam], AA$1)</f>
        <v>4</v>
      </c>
      <c r="AB86" s="145">
        <f>SUMIFS(Table2[NewPointsAway],Table2[GameDate], "&lt;=" &amp; $A86, Table2[AwayTeam], AB$1)+SUMIFS(Table2[NewPointsHome],Table2[GameDate], "&lt;=" &amp; $A86, Table2[HomeTeam], AB$1)</f>
        <v>7</v>
      </c>
      <c r="AC86" s="145">
        <f>SUMIFS(Table2[NewPointsAway],Table2[GameDate], "&lt;=" &amp; $A86, Table2[AwayTeam], AC$1)+SUMIFS(Table2[NewPointsHome],Table2[GameDate], "&lt;=" &amp; $A86, Table2[HomeTeam], AC$1)</f>
        <v>10</v>
      </c>
      <c r="AD86" s="145">
        <f>SUMIFS(Table2[NewPointsAway],Table2[GameDate], "&lt;=" &amp; $A86, Table2[AwayTeam], AD$1)+SUMIFS(Table2[NewPointsHome],Table2[GameDate], "&lt;=" &amp; $A86, Table2[HomeTeam], AD$1)</f>
        <v>8</v>
      </c>
      <c r="AE86" s="145">
        <f>SUMIFS(Table2[NewPointsAway],Table2[GameDate], "&lt;=" &amp; $A86, Table2[AwayTeam], AE$1)+SUMIFS(Table2[NewPointsHome],Table2[GameDate], "&lt;=" &amp; $A86, Table2[HomeTeam], AE$1)</f>
        <v>12</v>
      </c>
      <c r="AF86" s="145">
        <f>SUMIFS(Table2[NewPointsAway],Table2[GameDate], "&lt;=" &amp; $A86, Table2[AwayTeam], AF$1)+SUMIFS(Table2[NewPointsHome],Table2[GameDate], "&lt;=" &amp; $A86, Table2[HomeTeam], AF$1)</f>
        <v>10</v>
      </c>
      <c r="AG86" s="145">
        <f>SUMIFS(Table2[NewPointsAway],Table2[GameDate], "&lt;=" &amp; $A86, Table2[AwayTeam], AG$1)+SUMIFS(Table2[NewPointsHome],Table2[GameDate], "&lt;=" &amp; $A86, Table2[HomeTeam], AG$1)</f>
        <v>10</v>
      </c>
    </row>
    <row r="87" spans="1:33" x14ac:dyDescent="0.25">
      <c r="A87" s="3">
        <v>46018</v>
      </c>
      <c r="B87" s="145">
        <f>SUMIFS(Table2[NewPointsAway],Table2[GameDate], "&lt;=" &amp; $A87, Table2[AwayTeam], B$1)+SUMIFS(Table2[NewPointsHome],Table2[GameDate], "&lt;=" &amp; $A87, Table2[HomeTeam], B$1)</f>
        <v>7</v>
      </c>
      <c r="C87" s="145">
        <f>SUMIFS(Table2[NewPointsAway],Table2[GameDate], "&lt;=" &amp; $A87, Table2[AwayTeam], C$1)+SUMIFS(Table2[NewPointsHome],Table2[GameDate], "&lt;=" &amp; $A87, Table2[HomeTeam], C$1)</f>
        <v>6</v>
      </c>
      <c r="D87" s="145">
        <f>SUMIFS(Table2[NewPointsAway],Table2[GameDate], "&lt;=" &amp; $A87, Table2[AwayTeam], D$1)+SUMIFS(Table2[NewPointsHome],Table2[GameDate], "&lt;=" &amp; $A87, Table2[HomeTeam], D$1)</f>
        <v>4</v>
      </c>
      <c r="E87" s="145">
        <f>SUMIFS(Table2[NewPointsAway],Table2[GameDate], "&lt;=" &amp; $A87, Table2[AwayTeam], E$1)+SUMIFS(Table2[NewPointsHome],Table2[GameDate], "&lt;=" &amp; $A87, Table2[HomeTeam], E$1)</f>
        <v>10</v>
      </c>
      <c r="F87" s="145">
        <f>SUMIFS(Table2[NewPointsAway],Table2[GameDate], "&lt;=" &amp; $A87, Table2[AwayTeam], F$1)+SUMIFS(Table2[NewPointsHome],Table2[GameDate], "&lt;=" &amp; $A87, Table2[HomeTeam], F$1)</f>
        <v>6</v>
      </c>
      <c r="G87" s="145">
        <f>SUMIFS(Table2[NewPointsAway],Table2[GameDate], "&lt;=" &amp; $A87, Table2[AwayTeam], G$1)+SUMIFS(Table2[NewPointsHome],Table2[GameDate], "&lt;=" &amp; $A87, Table2[HomeTeam], G$1)</f>
        <v>2</v>
      </c>
      <c r="H87" s="145">
        <f>SUMIFS(Table2[NewPointsAway],Table2[GameDate], "&lt;=" &amp; $A87, Table2[AwayTeam], H$1)+SUMIFS(Table2[NewPointsHome],Table2[GameDate], "&lt;=" &amp; $A87, Table2[HomeTeam], H$1)</f>
        <v>8</v>
      </c>
      <c r="I87" s="145">
        <f>SUMIFS(Table2[NewPointsAway],Table2[GameDate], "&lt;=" &amp; $A87, Table2[AwayTeam], I$1)+SUMIFS(Table2[NewPointsHome],Table2[GameDate], "&lt;=" &amp; $A87, Table2[HomeTeam], I$1)</f>
        <v>12</v>
      </c>
      <c r="J87" s="145">
        <f>SUMIFS(Table2[NewPointsAway],Table2[GameDate], "&lt;=" &amp; $A87, Table2[AwayTeam], J$1)+SUMIFS(Table2[NewPointsHome],Table2[GameDate], "&lt;=" &amp; $A87, Table2[HomeTeam], J$1)</f>
        <v>6</v>
      </c>
      <c r="K87" s="145">
        <f>SUMIFS(Table2[NewPointsAway],Table2[GameDate], "&lt;=" &amp; $A87, Table2[AwayTeam], K$1)+SUMIFS(Table2[NewPointsHome],Table2[GameDate], "&lt;=" &amp; $A87, Table2[HomeTeam], K$1)</f>
        <v>10</v>
      </c>
      <c r="L87" s="145">
        <f>SUMIFS(Table2[NewPointsAway],Table2[GameDate], "&lt;=" &amp; $A87, Table2[AwayTeam], L$1)+SUMIFS(Table2[NewPointsHome],Table2[GameDate], "&lt;=" &amp; $A87, Table2[HomeTeam], L$1)</f>
        <v>7</v>
      </c>
      <c r="M87" s="145">
        <f>SUMIFS(Table2[NewPointsAway],Table2[GameDate], "&lt;=" &amp; $A87, Table2[AwayTeam], M$1)+SUMIFS(Table2[NewPointsHome],Table2[GameDate], "&lt;=" &amp; $A87, Table2[HomeTeam], M$1)</f>
        <v>8</v>
      </c>
      <c r="N87" s="145">
        <f>SUMIFS(Table2[NewPointsAway],Table2[GameDate], "&lt;=" &amp; $A87, Table2[AwayTeam], N$1)+SUMIFS(Table2[NewPointsHome],Table2[GameDate], "&lt;=" &amp; $A87, Table2[HomeTeam], N$1)</f>
        <v>6</v>
      </c>
      <c r="O87" s="145">
        <f>SUMIFS(Table2[NewPointsAway],Table2[GameDate], "&lt;=" &amp; $A87, Table2[AwayTeam], O$1)+SUMIFS(Table2[NewPointsHome],Table2[GameDate], "&lt;=" &amp; $A87, Table2[HomeTeam], O$1)</f>
        <v>7</v>
      </c>
      <c r="P87" s="145">
        <f>SUMIFS(Table2[NewPointsAway],Table2[GameDate], "&lt;=" &amp; $A87, Table2[AwayTeam], P$1)+SUMIFS(Table2[NewPointsHome],Table2[GameDate], "&lt;=" &amp; $A87, Table2[HomeTeam], P$1)</f>
        <v>10</v>
      </c>
      <c r="Q87" s="145">
        <f>SUMIFS(Table2[NewPointsAway],Table2[GameDate], "&lt;=" &amp; $A87, Table2[AwayTeam], Q$1)+SUMIFS(Table2[NewPointsHome],Table2[GameDate], "&lt;=" &amp; $A87, Table2[HomeTeam], Q$1)</f>
        <v>10</v>
      </c>
      <c r="R87" s="145">
        <f>SUMIFS(Table2[NewPointsAway],Table2[GameDate], "&lt;=" &amp; $A87, Table2[AwayTeam], R$1)+SUMIFS(Table2[NewPointsHome],Table2[GameDate], "&lt;=" &amp; $A87, Table2[HomeTeam], R$1)</f>
        <v>6</v>
      </c>
      <c r="S87" s="145">
        <f>SUMIFS(Table2[NewPointsAway],Table2[GameDate], "&lt;=" &amp; $A87, Table2[AwayTeam], S$1)+SUMIFS(Table2[NewPointsHome],Table2[GameDate], "&lt;=" &amp; $A87, Table2[HomeTeam], S$1)</f>
        <v>6</v>
      </c>
      <c r="T87" s="145">
        <f>SUMIFS(Table2[NewPointsAway],Table2[GameDate], "&lt;=" &amp; $A87, Table2[AwayTeam], T$1)+SUMIFS(Table2[NewPointsHome],Table2[GameDate], "&lt;=" &amp; $A87, Table2[HomeTeam], T$1)</f>
        <v>7</v>
      </c>
      <c r="U87" s="145">
        <f>SUMIFS(Table2[NewPointsAway],Table2[GameDate], "&lt;=" &amp; $A87, Table2[AwayTeam], U$1)+SUMIFS(Table2[NewPointsHome],Table2[GameDate], "&lt;=" &amp; $A87, Table2[HomeTeam], U$1)</f>
        <v>5</v>
      </c>
      <c r="V87" s="145">
        <f>SUMIFS(Table2[NewPointsAway],Table2[GameDate], "&lt;=" &amp; $A87, Table2[AwayTeam], V$1)+SUMIFS(Table2[NewPointsHome],Table2[GameDate], "&lt;=" &amp; $A87, Table2[HomeTeam], V$1)</f>
        <v>7</v>
      </c>
      <c r="W87" s="145">
        <f>SUMIFS(Table2[NewPointsAway],Table2[GameDate], "&lt;=" &amp; $A87, Table2[AwayTeam], W$1)+SUMIFS(Table2[NewPointsHome],Table2[GameDate], "&lt;=" &amp; $A87, Table2[HomeTeam], W$1)</f>
        <v>10</v>
      </c>
      <c r="X87" s="145">
        <f>SUMIFS(Table2[NewPointsAway],Table2[GameDate], "&lt;=" &amp; $A87, Table2[AwayTeam], X$1)+SUMIFS(Table2[NewPointsHome],Table2[GameDate], "&lt;=" &amp; $A87, Table2[HomeTeam], X$1)</f>
        <v>8</v>
      </c>
      <c r="Y87" s="145">
        <f>SUMIFS(Table2[NewPointsAway],Table2[GameDate], "&lt;=" &amp; $A87, Table2[AwayTeam], Y$1)+SUMIFS(Table2[NewPointsHome],Table2[GameDate], "&lt;=" &amp; $A87, Table2[HomeTeam], Y$1)</f>
        <v>2</v>
      </c>
      <c r="Z87" s="145">
        <f>SUMIFS(Table2[NewPointsAway],Table2[GameDate], "&lt;=" &amp; $A87, Table2[AwayTeam], Z$1)+SUMIFS(Table2[NewPointsHome],Table2[GameDate], "&lt;=" &amp; $A87, Table2[HomeTeam], Z$1)</f>
        <v>7</v>
      </c>
      <c r="AA87" s="145">
        <f>SUMIFS(Table2[NewPointsAway],Table2[GameDate], "&lt;=" &amp; $A87, Table2[AwayTeam], AA$1)+SUMIFS(Table2[NewPointsHome],Table2[GameDate], "&lt;=" &amp; $A87, Table2[HomeTeam], AA$1)</f>
        <v>4</v>
      </c>
      <c r="AB87" s="145">
        <f>SUMIFS(Table2[NewPointsAway],Table2[GameDate], "&lt;=" &amp; $A87, Table2[AwayTeam], AB$1)+SUMIFS(Table2[NewPointsHome],Table2[GameDate], "&lt;=" &amp; $A87, Table2[HomeTeam], AB$1)</f>
        <v>7</v>
      </c>
      <c r="AC87" s="145">
        <f>SUMIFS(Table2[NewPointsAway],Table2[GameDate], "&lt;=" &amp; $A87, Table2[AwayTeam], AC$1)+SUMIFS(Table2[NewPointsHome],Table2[GameDate], "&lt;=" &amp; $A87, Table2[HomeTeam], AC$1)</f>
        <v>10</v>
      </c>
      <c r="AD87" s="145">
        <f>SUMIFS(Table2[NewPointsAway],Table2[GameDate], "&lt;=" &amp; $A87, Table2[AwayTeam], AD$1)+SUMIFS(Table2[NewPointsHome],Table2[GameDate], "&lt;=" &amp; $A87, Table2[HomeTeam], AD$1)</f>
        <v>8</v>
      </c>
      <c r="AE87" s="145">
        <f>SUMIFS(Table2[NewPointsAway],Table2[GameDate], "&lt;=" &amp; $A87, Table2[AwayTeam], AE$1)+SUMIFS(Table2[NewPointsHome],Table2[GameDate], "&lt;=" &amp; $A87, Table2[HomeTeam], AE$1)</f>
        <v>12</v>
      </c>
      <c r="AF87" s="145">
        <f>SUMIFS(Table2[NewPointsAway],Table2[GameDate], "&lt;=" &amp; $A87, Table2[AwayTeam], AF$1)+SUMIFS(Table2[NewPointsHome],Table2[GameDate], "&lt;=" &amp; $A87, Table2[HomeTeam], AF$1)</f>
        <v>10</v>
      </c>
      <c r="AG87" s="145">
        <f>SUMIFS(Table2[NewPointsAway],Table2[GameDate], "&lt;=" &amp; $A87, Table2[AwayTeam], AG$1)+SUMIFS(Table2[NewPointsHome],Table2[GameDate], "&lt;=" &amp; $A87, Table2[HomeTeam], AG$1)</f>
        <v>10</v>
      </c>
    </row>
    <row r="88" spans="1:33" x14ac:dyDescent="0.25">
      <c r="A88" s="3">
        <v>46019</v>
      </c>
      <c r="B88" s="145">
        <f>SUMIFS(Table2[NewPointsAway],Table2[GameDate], "&lt;=" &amp; $A88, Table2[AwayTeam], B$1)+SUMIFS(Table2[NewPointsHome],Table2[GameDate], "&lt;=" &amp; $A88, Table2[HomeTeam], B$1)</f>
        <v>7</v>
      </c>
      <c r="C88" s="145">
        <f>SUMIFS(Table2[NewPointsAway],Table2[GameDate], "&lt;=" &amp; $A88, Table2[AwayTeam], C$1)+SUMIFS(Table2[NewPointsHome],Table2[GameDate], "&lt;=" &amp; $A88, Table2[HomeTeam], C$1)</f>
        <v>6</v>
      </c>
      <c r="D88" s="145">
        <f>SUMIFS(Table2[NewPointsAway],Table2[GameDate], "&lt;=" &amp; $A88, Table2[AwayTeam], D$1)+SUMIFS(Table2[NewPointsHome],Table2[GameDate], "&lt;=" &amp; $A88, Table2[HomeTeam], D$1)</f>
        <v>4</v>
      </c>
      <c r="E88" s="145">
        <f>SUMIFS(Table2[NewPointsAway],Table2[GameDate], "&lt;=" &amp; $A88, Table2[AwayTeam], E$1)+SUMIFS(Table2[NewPointsHome],Table2[GameDate], "&lt;=" &amp; $A88, Table2[HomeTeam], E$1)</f>
        <v>10</v>
      </c>
      <c r="F88" s="145">
        <f>SUMIFS(Table2[NewPointsAway],Table2[GameDate], "&lt;=" &amp; $A88, Table2[AwayTeam], F$1)+SUMIFS(Table2[NewPointsHome],Table2[GameDate], "&lt;=" &amp; $A88, Table2[HomeTeam], F$1)</f>
        <v>6</v>
      </c>
      <c r="G88" s="145">
        <f>SUMIFS(Table2[NewPointsAway],Table2[GameDate], "&lt;=" &amp; $A88, Table2[AwayTeam], G$1)+SUMIFS(Table2[NewPointsHome],Table2[GameDate], "&lt;=" &amp; $A88, Table2[HomeTeam], G$1)</f>
        <v>2</v>
      </c>
      <c r="H88" s="145">
        <f>SUMIFS(Table2[NewPointsAway],Table2[GameDate], "&lt;=" &amp; $A88, Table2[AwayTeam], H$1)+SUMIFS(Table2[NewPointsHome],Table2[GameDate], "&lt;=" &amp; $A88, Table2[HomeTeam], H$1)</f>
        <v>8</v>
      </c>
      <c r="I88" s="145">
        <f>SUMIFS(Table2[NewPointsAway],Table2[GameDate], "&lt;=" &amp; $A88, Table2[AwayTeam], I$1)+SUMIFS(Table2[NewPointsHome],Table2[GameDate], "&lt;=" &amp; $A88, Table2[HomeTeam], I$1)</f>
        <v>12</v>
      </c>
      <c r="J88" s="145">
        <f>SUMIFS(Table2[NewPointsAway],Table2[GameDate], "&lt;=" &amp; $A88, Table2[AwayTeam], J$1)+SUMIFS(Table2[NewPointsHome],Table2[GameDate], "&lt;=" &amp; $A88, Table2[HomeTeam], J$1)</f>
        <v>6</v>
      </c>
      <c r="K88" s="145">
        <f>SUMIFS(Table2[NewPointsAway],Table2[GameDate], "&lt;=" &amp; $A88, Table2[AwayTeam], K$1)+SUMIFS(Table2[NewPointsHome],Table2[GameDate], "&lt;=" &amp; $A88, Table2[HomeTeam], K$1)</f>
        <v>10</v>
      </c>
      <c r="L88" s="145">
        <f>SUMIFS(Table2[NewPointsAway],Table2[GameDate], "&lt;=" &amp; $A88, Table2[AwayTeam], L$1)+SUMIFS(Table2[NewPointsHome],Table2[GameDate], "&lt;=" &amp; $A88, Table2[HomeTeam], L$1)</f>
        <v>7</v>
      </c>
      <c r="M88" s="145">
        <f>SUMIFS(Table2[NewPointsAway],Table2[GameDate], "&lt;=" &amp; $A88, Table2[AwayTeam], M$1)+SUMIFS(Table2[NewPointsHome],Table2[GameDate], "&lt;=" &amp; $A88, Table2[HomeTeam], M$1)</f>
        <v>8</v>
      </c>
      <c r="N88" s="145">
        <f>SUMIFS(Table2[NewPointsAway],Table2[GameDate], "&lt;=" &amp; $A88, Table2[AwayTeam], N$1)+SUMIFS(Table2[NewPointsHome],Table2[GameDate], "&lt;=" &amp; $A88, Table2[HomeTeam], N$1)</f>
        <v>6</v>
      </c>
      <c r="O88" s="145">
        <f>SUMIFS(Table2[NewPointsAway],Table2[GameDate], "&lt;=" &amp; $A88, Table2[AwayTeam], O$1)+SUMIFS(Table2[NewPointsHome],Table2[GameDate], "&lt;=" &amp; $A88, Table2[HomeTeam], O$1)</f>
        <v>7</v>
      </c>
      <c r="P88" s="145">
        <f>SUMIFS(Table2[NewPointsAway],Table2[GameDate], "&lt;=" &amp; $A88, Table2[AwayTeam], P$1)+SUMIFS(Table2[NewPointsHome],Table2[GameDate], "&lt;=" &amp; $A88, Table2[HomeTeam], P$1)</f>
        <v>10</v>
      </c>
      <c r="Q88" s="145">
        <f>SUMIFS(Table2[NewPointsAway],Table2[GameDate], "&lt;=" &amp; $A88, Table2[AwayTeam], Q$1)+SUMIFS(Table2[NewPointsHome],Table2[GameDate], "&lt;=" &amp; $A88, Table2[HomeTeam], Q$1)</f>
        <v>10</v>
      </c>
      <c r="R88" s="145">
        <f>SUMIFS(Table2[NewPointsAway],Table2[GameDate], "&lt;=" &amp; $A88, Table2[AwayTeam], R$1)+SUMIFS(Table2[NewPointsHome],Table2[GameDate], "&lt;=" &amp; $A88, Table2[HomeTeam], R$1)</f>
        <v>6</v>
      </c>
      <c r="S88" s="145">
        <f>SUMIFS(Table2[NewPointsAway],Table2[GameDate], "&lt;=" &amp; $A88, Table2[AwayTeam], S$1)+SUMIFS(Table2[NewPointsHome],Table2[GameDate], "&lt;=" &amp; $A88, Table2[HomeTeam], S$1)</f>
        <v>6</v>
      </c>
      <c r="T88" s="145">
        <f>SUMIFS(Table2[NewPointsAway],Table2[GameDate], "&lt;=" &amp; $A88, Table2[AwayTeam], T$1)+SUMIFS(Table2[NewPointsHome],Table2[GameDate], "&lt;=" &amp; $A88, Table2[HomeTeam], T$1)</f>
        <v>7</v>
      </c>
      <c r="U88" s="145">
        <f>SUMIFS(Table2[NewPointsAway],Table2[GameDate], "&lt;=" &amp; $A88, Table2[AwayTeam], U$1)+SUMIFS(Table2[NewPointsHome],Table2[GameDate], "&lt;=" &amp; $A88, Table2[HomeTeam], U$1)</f>
        <v>5</v>
      </c>
      <c r="V88" s="145">
        <f>SUMIFS(Table2[NewPointsAway],Table2[GameDate], "&lt;=" &amp; $A88, Table2[AwayTeam], V$1)+SUMIFS(Table2[NewPointsHome],Table2[GameDate], "&lt;=" &amp; $A88, Table2[HomeTeam], V$1)</f>
        <v>7</v>
      </c>
      <c r="W88" s="145">
        <f>SUMIFS(Table2[NewPointsAway],Table2[GameDate], "&lt;=" &amp; $A88, Table2[AwayTeam], W$1)+SUMIFS(Table2[NewPointsHome],Table2[GameDate], "&lt;=" &amp; $A88, Table2[HomeTeam], W$1)</f>
        <v>10</v>
      </c>
      <c r="X88" s="145">
        <f>SUMIFS(Table2[NewPointsAway],Table2[GameDate], "&lt;=" &amp; $A88, Table2[AwayTeam], X$1)+SUMIFS(Table2[NewPointsHome],Table2[GameDate], "&lt;=" &amp; $A88, Table2[HomeTeam], X$1)</f>
        <v>8</v>
      </c>
      <c r="Y88" s="145">
        <f>SUMIFS(Table2[NewPointsAway],Table2[GameDate], "&lt;=" &amp; $A88, Table2[AwayTeam], Y$1)+SUMIFS(Table2[NewPointsHome],Table2[GameDate], "&lt;=" &amp; $A88, Table2[HomeTeam], Y$1)</f>
        <v>2</v>
      </c>
      <c r="Z88" s="145">
        <f>SUMIFS(Table2[NewPointsAway],Table2[GameDate], "&lt;=" &amp; $A88, Table2[AwayTeam], Z$1)+SUMIFS(Table2[NewPointsHome],Table2[GameDate], "&lt;=" &amp; $A88, Table2[HomeTeam], Z$1)</f>
        <v>7</v>
      </c>
      <c r="AA88" s="145">
        <f>SUMIFS(Table2[NewPointsAway],Table2[GameDate], "&lt;=" &amp; $A88, Table2[AwayTeam], AA$1)+SUMIFS(Table2[NewPointsHome],Table2[GameDate], "&lt;=" &amp; $A88, Table2[HomeTeam], AA$1)</f>
        <v>4</v>
      </c>
      <c r="AB88" s="145">
        <f>SUMIFS(Table2[NewPointsAway],Table2[GameDate], "&lt;=" &amp; $A88, Table2[AwayTeam], AB$1)+SUMIFS(Table2[NewPointsHome],Table2[GameDate], "&lt;=" &amp; $A88, Table2[HomeTeam], AB$1)</f>
        <v>7</v>
      </c>
      <c r="AC88" s="145">
        <f>SUMIFS(Table2[NewPointsAway],Table2[GameDate], "&lt;=" &amp; $A88, Table2[AwayTeam], AC$1)+SUMIFS(Table2[NewPointsHome],Table2[GameDate], "&lt;=" &amp; $A88, Table2[HomeTeam], AC$1)</f>
        <v>10</v>
      </c>
      <c r="AD88" s="145">
        <f>SUMIFS(Table2[NewPointsAway],Table2[GameDate], "&lt;=" &amp; $A88, Table2[AwayTeam], AD$1)+SUMIFS(Table2[NewPointsHome],Table2[GameDate], "&lt;=" &amp; $A88, Table2[HomeTeam], AD$1)</f>
        <v>8</v>
      </c>
      <c r="AE88" s="145">
        <f>SUMIFS(Table2[NewPointsAway],Table2[GameDate], "&lt;=" &amp; $A88, Table2[AwayTeam], AE$1)+SUMIFS(Table2[NewPointsHome],Table2[GameDate], "&lt;=" &amp; $A88, Table2[HomeTeam], AE$1)</f>
        <v>12</v>
      </c>
      <c r="AF88" s="145">
        <f>SUMIFS(Table2[NewPointsAway],Table2[GameDate], "&lt;=" &amp; $A88, Table2[AwayTeam], AF$1)+SUMIFS(Table2[NewPointsHome],Table2[GameDate], "&lt;=" &amp; $A88, Table2[HomeTeam], AF$1)</f>
        <v>10</v>
      </c>
      <c r="AG88" s="145">
        <f>SUMIFS(Table2[NewPointsAway],Table2[GameDate], "&lt;=" &amp; $A88, Table2[AwayTeam], AG$1)+SUMIFS(Table2[NewPointsHome],Table2[GameDate], "&lt;=" &amp; $A88, Table2[HomeTeam], AG$1)</f>
        <v>10</v>
      </c>
    </row>
    <row r="89" spans="1:33" x14ac:dyDescent="0.25">
      <c r="A89" s="3">
        <v>46020</v>
      </c>
      <c r="B89" s="145">
        <f>SUMIFS(Table2[NewPointsAway],Table2[GameDate], "&lt;=" &amp; $A89, Table2[AwayTeam], B$1)+SUMIFS(Table2[NewPointsHome],Table2[GameDate], "&lt;=" &amp; $A89, Table2[HomeTeam], B$1)</f>
        <v>7</v>
      </c>
      <c r="C89" s="145">
        <f>SUMIFS(Table2[NewPointsAway],Table2[GameDate], "&lt;=" &amp; $A89, Table2[AwayTeam], C$1)+SUMIFS(Table2[NewPointsHome],Table2[GameDate], "&lt;=" &amp; $A89, Table2[HomeTeam], C$1)</f>
        <v>6</v>
      </c>
      <c r="D89" s="145">
        <f>SUMIFS(Table2[NewPointsAway],Table2[GameDate], "&lt;=" &amp; $A89, Table2[AwayTeam], D$1)+SUMIFS(Table2[NewPointsHome],Table2[GameDate], "&lt;=" &amp; $A89, Table2[HomeTeam], D$1)</f>
        <v>4</v>
      </c>
      <c r="E89" s="145">
        <f>SUMIFS(Table2[NewPointsAway],Table2[GameDate], "&lt;=" &amp; $A89, Table2[AwayTeam], E$1)+SUMIFS(Table2[NewPointsHome],Table2[GameDate], "&lt;=" &amp; $A89, Table2[HomeTeam], E$1)</f>
        <v>10</v>
      </c>
      <c r="F89" s="145">
        <f>SUMIFS(Table2[NewPointsAway],Table2[GameDate], "&lt;=" &amp; $A89, Table2[AwayTeam], F$1)+SUMIFS(Table2[NewPointsHome],Table2[GameDate], "&lt;=" &amp; $A89, Table2[HomeTeam], F$1)</f>
        <v>6</v>
      </c>
      <c r="G89" s="145">
        <f>SUMIFS(Table2[NewPointsAway],Table2[GameDate], "&lt;=" &amp; $A89, Table2[AwayTeam], G$1)+SUMIFS(Table2[NewPointsHome],Table2[GameDate], "&lt;=" &amp; $A89, Table2[HomeTeam], G$1)</f>
        <v>2</v>
      </c>
      <c r="H89" s="145">
        <f>SUMIFS(Table2[NewPointsAway],Table2[GameDate], "&lt;=" &amp; $A89, Table2[AwayTeam], H$1)+SUMIFS(Table2[NewPointsHome],Table2[GameDate], "&lt;=" &amp; $A89, Table2[HomeTeam], H$1)</f>
        <v>8</v>
      </c>
      <c r="I89" s="145">
        <f>SUMIFS(Table2[NewPointsAway],Table2[GameDate], "&lt;=" &amp; $A89, Table2[AwayTeam], I$1)+SUMIFS(Table2[NewPointsHome],Table2[GameDate], "&lt;=" &amp; $A89, Table2[HomeTeam], I$1)</f>
        <v>12</v>
      </c>
      <c r="J89" s="145">
        <f>SUMIFS(Table2[NewPointsAway],Table2[GameDate], "&lt;=" &amp; $A89, Table2[AwayTeam], J$1)+SUMIFS(Table2[NewPointsHome],Table2[GameDate], "&lt;=" &amp; $A89, Table2[HomeTeam], J$1)</f>
        <v>6</v>
      </c>
      <c r="K89" s="145">
        <f>SUMIFS(Table2[NewPointsAway],Table2[GameDate], "&lt;=" &amp; $A89, Table2[AwayTeam], K$1)+SUMIFS(Table2[NewPointsHome],Table2[GameDate], "&lt;=" &amp; $A89, Table2[HomeTeam], K$1)</f>
        <v>10</v>
      </c>
      <c r="L89" s="145">
        <f>SUMIFS(Table2[NewPointsAway],Table2[GameDate], "&lt;=" &amp; $A89, Table2[AwayTeam], L$1)+SUMIFS(Table2[NewPointsHome],Table2[GameDate], "&lt;=" &amp; $A89, Table2[HomeTeam], L$1)</f>
        <v>7</v>
      </c>
      <c r="M89" s="145">
        <f>SUMIFS(Table2[NewPointsAway],Table2[GameDate], "&lt;=" &amp; $A89, Table2[AwayTeam], M$1)+SUMIFS(Table2[NewPointsHome],Table2[GameDate], "&lt;=" &amp; $A89, Table2[HomeTeam], M$1)</f>
        <v>8</v>
      </c>
      <c r="N89" s="145">
        <f>SUMIFS(Table2[NewPointsAway],Table2[GameDate], "&lt;=" &amp; $A89, Table2[AwayTeam], N$1)+SUMIFS(Table2[NewPointsHome],Table2[GameDate], "&lt;=" &amp; $A89, Table2[HomeTeam], N$1)</f>
        <v>6</v>
      </c>
      <c r="O89" s="145">
        <f>SUMIFS(Table2[NewPointsAway],Table2[GameDate], "&lt;=" &amp; $A89, Table2[AwayTeam], O$1)+SUMIFS(Table2[NewPointsHome],Table2[GameDate], "&lt;=" &amp; $A89, Table2[HomeTeam], O$1)</f>
        <v>7</v>
      </c>
      <c r="P89" s="145">
        <f>SUMIFS(Table2[NewPointsAway],Table2[GameDate], "&lt;=" &amp; $A89, Table2[AwayTeam], P$1)+SUMIFS(Table2[NewPointsHome],Table2[GameDate], "&lt;=" &amp; $A89, Table2[HomeTeam], P$1)</f>
        <v>10</v>
      </c>
      <c r="Q89" s="145">
        <f>SUMIFS(Table2[NewPointsAway],Table2[GameDate], "&lt;=" &amp; $A89, Table2[AwayTeam], Q$1)+SUMIFS(Table2[NewPointsHome],Table2[GameDate], "&lt;=" &amp; $A89, Table2[HomeTeam], Q$1)</f>
        <v>10</v>
      </c>
      <c r="R89" s="145">
        <f>SUMIFS(Table2[NewPointsAway],Table2[GameDate], "&lt;=" &amp; $A89, Table2[AwayTeam], R$1)+SUMIFS(Table2[NewPointsHome],Table2[GameDate], "&lt;=" &amp; $A89, Table2[HomeTeam], R$1)</f>
        <v>6</v>
      </c>
      <c r="S89" s="145">
        <f>SUMIFS(Table2[NewPointsAway],Table2[GameDate], "&lt;=" &amp; $A89, Table2[AwayTeam], S$1)+SUMIFS(Table2[NewPointsHome],Table2[GameDate], "&lt;=" &amp; $A89, Table2[HomeTeam], S$1)</f>
        <v>6</v>
      </c>
      <c r="T89" s="145">
        <f>SUMIFS(Table2[NewPointsAway],Table2[GameDate], "&lt;=" &amp; $A89, Table2[AwayTeam], T$1)+SUMIFS(Table2[NewPointsHome],Table2[GameDate], "&lt;=" &amp; $A89, Table2[HomeTeam], T$1)</f>
        <v>7</v>
      </c>
      <c r="U89" s="145">
        <f>SUMIFS(Table2[NewPointsAway],Table2[GameDate], "&lt;=" &amp; $A89, Table2[AwayTeam], U$1)+SUMIFS(Table2[NewPointsHome],Table2[GameDate], "&lt;=" &amp; $A89, Table2[HomeTeam], U$1)</f>
        <v>5</v>
      </c>
      <c r="V89" s="145">
        <f>SUMIFS(Table2[NewPointsAway],Table2[GameDate], "&lt;=" &amp; $A89, Table2[AwayTeam], V$1)+SUMIFS(Table2[NewPointsHome],Table2[GameDate], "&lt;=" &amp; $A89, Table2[HomeTeam], V$1)</f>
        <v>7</v>
      </c>
      <c r="W89" s="145">
        <f>SUMIFS(Table2[NewPointsAway],Table2[GameDate], "&lt;=" &amp; $A89, Table2[AwayTeam], W$1)+SUMIFS(Table2[NewPointsHome],Table2[GameDate], "&lt;=" &amp; $A89, Table2[HomeTeam], W$1)</f>
        <v>10</v>
      </c>
      <c r="X89" s="145">
        <f>SUMIFS(Table2[NewPointsAway],Table2[GameDate], "&lt;=" &amp; $A89, Table2[AwayTeam], X$1)+SUMIFS(Table2[NewPointsHome],Table2[GameDate], "&lt;=" &amp; $A89, Table2[HomeTeam], X$1)</f>
        <v>8</v>
      </c>
      <c r="Y89" s="145">
        <f>SUMIFS(Table2[NewPointsAway],Table2[GameDate], "&lt;=" &amp; $A89, Table2[AwayTeam], Y$1)+SUMIFS(Table2[NewPointsHome],Table2[GameDate], "&lt;=" &amp; $A89, Table2[HomeTeam], Y$1)</f>
        <v>2</v>
      </c>
      <c r="Z89" s="145">
        <f>SUMIFS(Table2[NewPointsAway],Table2[GameDate], "&lt;=" &amp; $A89, Table2[AwayTeam], Z$1)+SUMIFS(Table2[NewPointsHome],Table2[GameDate], "&lt;=" &amp; $A89, Table2[HomeTeam], Z$1)</f>
        <v>7</v>
      </c>
      <c r="AA89" s="145">
        <f>SUMIFS(Table2[NewPointsAway],Table2[GameDate], "&lt;=" &amp; $A89, Table2[AwayTeam], AA$1)+SUMIFS(Table2[NewPointsHome],Table2[GameDate], "&lt;=" &amp; $A89, Table2[HomeTeam], AA$1)</f>
        <v>4</v>
      </c>
      <c r="AB89" s="145">
        <f>SUMIFS(Table2[NewPointsAway],Table2[GameDate], "&lt;=" &amp; $A89, Table2[AwayTeam], AB$1)+SUMIFS(Table2[NewPointsHome],Table2[GameDate], "&lt;=" &amp; $A89, Table2[HomeTeam], AB$1)</f>
        <v>7</v>
      </c>
      <c r="AC89" s="145">
        <f>SUMIFS(Table2[NewPointsAway],Table2[GameDate], "&lt;=" &amp; $A89, Table2[AwayTeam], AC$1)+SUMIFS(Table2[NewPointsHome],Table2[GameDate], "&lt;=" &amp; $A89, Table2[HomeTeam], AC$1)</f>
        <v>10</v>
      </c>
      <c r="AD89" s="145">
        <f>SUMIFS(Table2[NewPointsAway],Table2[GameDate], "&lt;=" &amp; $A89, Table2[AwayTeam], AD$1)+SUMIFS(Table2[NewPointsHome],Table2[GameDate], "&lt;=" &amp; $A89, Table2[HomeTeam], AD$1)</f>
        <v>8</v>
      </c>
      <c r="AE89" s="145">
        <f>SUMIFS(Table2[NewPointsAway],Table2[GameDate], "&lt;=" &amp; $A89, Table2[AwayTeam], AE$1)+SUMIFS(Table2[NewPointsHome],Table2[GameDate], "&lt;=" &amp; $A89, Table2[HomeTeam], AE$1)</f>
        <v>12</v>
      </c>
      <c r="AF89" s="145">
        <f>SUMIFS(Table2[NewPointsAway],Table2[GameDate], "&lt;=" &amp; $A89, Table2[AwayTeam], AF$1)+SUMIFS(Table2[NewPointsHome],Table2[GameDate], "&lt;=" &amp; $A89, Table2[HomeTeam], AF$1)</f>
        <v>10</v>
      </c>
      <c r="AG89" s="145">
        <f>SUMIFS(Table2[NewPointsAway],Table2[GameDate], "&lt;=" &amp; $A89, Table2[AwayTeam], AG$1)+SUMIFS(Table2[NewPointsHome],Table2[GameDate], "&lt;=" &amp; $A89, Table2[HomeTeam], AG$1)</f>
        <v>10</v>
      </c>
    </row>
    <row r="90" spans="1:33" x14ac:dyDescent="0.25">
      <c r="A90" s="3">
        <v>46021</v>
      </c>
      <c r="B90" s="145">
        <f>SUMIFS(Table2[NewPointsAway],Table2[GameDate], "&lt;=" &amp; $A90, Table2[AwayTeam], B$1)+SUMIFS(Table2[NewPointsHome],Table2[GameDate], "&lt;=" &amp; $A90, Table2[HomeTeam], B$1)</f>
        <v>7</v>
      </c>
      <c r="C90" s="145">
        <f>SUMIFS(Table2[NewPointsAway],Table2[GameDate], "&lt;=" &amp; $A90, Table2[AwayTeam], C$1)+SUMIFS(Table2[NewPointsHome],Table2[GameDate], "&lt;=" &amp; $A90, Table2[HomeTeam], C$1)</f>
        <v>6</v>
      </c>
      <c r="D90" s="145">
        <f>SUMIFS(Table2[NewPointsAway],Table2[GameDate], "&lt;=" &amp; $A90, Table2[AwayTeam], D$1)+SUMIFS(Table2[NewPointsHome],Table2[GameDate], "&lt;=" &amp; $A90, Table2[HomeTeam], D$1)</f>
        <v>4</v>
      </c>
      <c r="E90" s="145">
        <f>SUMIFS(Table2[NewPointsAway],Table2[GameDate], "&lt;=" &amp; $A90, Table2[AwayTeam], E$1)+SUMIFS(Table2[NewPointsHome],Table2[GameDate], "&lt;=" &amp; $A90, Table2[HomeTeam], E$1)</f>
        <v>10</v>
      </c>
      <c r="F90" s="145">
        <f>SUMIFS(Table2[NewPointsAway],Table2[GameDate], "&lt;=" &amp; $A90, Table2[AwayTeam], F$1)+SUMIFS(Table2[NewPointsHome],Table2[GameDate], "&lt;=" &amp; $A90, Table2[HomeTeam], F$1)</f>
        <v>6</v>
      </c>
      <c r="G90" s="145">
        <f>SUMIFS(Table2[NewPointsAway],Table2[GameDate], "&lt;=" &amp; $A90, Table2[AwayTeam], G$1)+SUMIFS(Table2[NewPointsHome],Table2[GameDate], "&lt;=" &amp; $A90, Table2[HomeTeam], G$1)</f>
        <v>2</v>
      </c>
      <c r="H90" s="145">
        <f>SUMIFS(Table2[NewPointsAway],Table2[GameDate], "&lt;=" &amp; $A90, Table2[AwayTeam], H$1)+SUMIFS(Table2[NewPointsHome],Table2[GameDate], "&lt;=" &amp; $A90, Table2[HomeTeam], H$1)</f>
        <v>8</v>
      </c>
      <c r="I90" s="145">
        <f>SUMIFS(Table2[NewPointsAway],Table2[GameDate], "&lt;=" &amp; $A90, Table2[AwayTeam], I$1)+SUMIFS(Table2[NewPointsHome],Table2[GameDate], "&lt;=" &amp; $A90, Table2[HomeTeam], I$1)</f>
        <v>12</v>
      </c>
      <c r="J90" s="145">
        <f>SUMIFS(Table2[NewPointsAway],Table2[GameDate], "&lt;=" &amp; $A90, Table2[AwayTeam], J$1)+SUMIFS(Table2[NewPointsHome],Table2[GameDate], "&lt;=" &amp; $A90, Table2[HomeTeam], J$1)</f>
        <v>6</v>
      </c>
      <c r="K90" s="145">
        <f>SUMIFS(Table2[NewPointsAway],Table2[GameDate], "&lt;=" &amp; $A90, Table2[AwayTeam], K$1)+SUMIFS(Table2[NewPointsHome],Table2[GameDate], "&lt;=" &amp; $A90, Table2[HomeTeam], K$1)</f>
        <v>10</v>
      </c>
      <c r="L90" s="145">
        <f>SUMIFS(Table2[NewPointsAway],Table2[GameDate], "&lt;=" &amp; $A90, Table2[AwayTeam], L$1)+SUMIFS(Table2[NewPointsHome],Table2[GameDate], "&lt;=" &amp; $A90, Table2[HomeTeam], L$1)</f>
        <v>7</v>
      </c>
      <c r="M90" s="145">
        <f>SUMIFS(Table2[NewPointsAway],Table2[GameDate], "&lt;=" &amp; $A90, Table2[AwayTeam], M$1)+SUMIFS(Table2[NewPointsHome],Table2[GameDate], "&lt;=" &amp; $A90, Table2[HomeTeam], M$1)</f>
        <v>8</v>
      </c>
      <c r="N90" s="145">
        <f>SUMIFS(Table2[NewPointsAway],Table2[GameDate], "&lt;=" &amp; $A90, Table2[AwayTeam], N$1)+SUMIFS(Table2[NewPointsHome],Table2[GameDate], "&lt;=" &amp; $A90, Table2[HomeTeam], N$1)</f>
        <v>6</v>
      </c>
      <c r="O90" s="145">
        <f>SUMIFS(Table2[NewPointsAway],Table2[GameDate], "&lt;=" &amp; $A90, Table2[AwayTeam], O$1)+SUMIFS(Table2[NewPointsHome],Table2[GameDate], "&lt;=" &amp; $A90, Table2[HomeTeam], O$1)</f>
        <v>7</v>
      </c>
      <c r="P90" s="145">
        <f>SUMIFS(Table2[NewPointsAway],Table2[GameDate], "&lt;=" &amp; $A90, Table2[AwayTeam], P$1)+SUMIFS(Table2[NewPointsHome],Table2[GameDate], "&lt;=" &amp; $A90, Table2[HomeTeam], P$1)</f>
        <v>10</v>
      </c>
      <c r="Q90" s="145">
        <f>SUMIFS(Table2[NewPointsAway],Table2[GameDate], "&lt;=" &amp; $A90, Table2[AwayTeam], Q$1)+SUMIFS(Table2[NewPointsHome],Table2[GameDate], "&lt;=" &amp; $A90, Table2[HomeTeam], Q$1)</f>
        <v>10</v>
      </c>
      <c r="R90" s="145">
        <f>SUMIFS(Table2[NewPointsAway],Table2[GameDate], "&lt;=" &amp; $A90, Table2[AwayTeam], R$1)+SUMIFS(Table2[NewPointsHome],Table2[GameDate], "&lt;=" &amp; $A90, Table2[HomeTeam], R$1)</f>
        <v>6</v>
      </c>
      <c r="S90" s="145">
        <f>SUMIFS(Table2[NewPointsAway],Table2[GameDate], "&lt;=" &amp; $A90, Table2[AwayTeam], S$1)+SUMIFS(Table2[NewPointsHome],Table2[GameDate], "&lt;=" &amp; $A90, Table2[HomeTeam], S$1)</f>
        <v>6</v>
      </c>
      <c r="T90" s="145">
        <f>SUMIFS(Table2[NewPointsAway],Table2[GameDate], "&lt;=" &amp; $A90, Table2[AwayTeam], T$1)+SUMIFS(Table2[NewPointsHome],Table2[GameDate], "&lt;=" &amp; $A90, Table2[HomeTeam], T$1)</f>
        <v>7</v>
      </c>
      <c r="U90" s="145">
        <f>SUMIFS(Table2[NewPointsAway],Table2[GameDate], "&lt;=" &amp; $A90, Table2[AwayTeam], U$1)+SUMIFS(Table2[NewPointsHome],Table2[GameDate], "&lt;=" &amp; $A90, Table2[HomeTeam], U$1)</f>
        <v>5</v>
      </c>
      <c r="V90" s="145">
        <f>SUMIFS(Table2[NewPointsAway],Table2[GameDate], "&lt;=" &amp; $A90, Table2[AwayTeam], V$1)+SUMIFS(Table2[NewPointsHome],Table2[GameDate], "&lt;=" &amp; $A90, Table2[HomeTeam], V$1)</f>
        <v>7</v>
      </c>
      <c r="W90" s="145">
        <f>SUMIFS(Table2[NewPointsAway],Table2[GameDate], "&lt;=" &amp; $A90, Table2[AwayTeam], W$1)+SUMIFS(Table2[NewPointsHome],Table2[GameDate], "&lt;=" &amp; $A90, Table2[HomeTeam], W$1)</f>
        <v>10</v>
      </c>
      <c r="X90" s="145">
        <f>SUMIFS(Table2[NewPointsAway],Table2[GameDate], "&lt;=" &amp; $A90, Table2[AwayTeam], X$1)+SUMIFS(Table2[NewPointsHome],Table2[GameDate], "&lt;=" &amp; $A90, Table2[HomeTeam], X$1)</f>
        <v>8</v>
      </c>
      <c r="Y90" s="145">
        <f>SUMIFS(Table2[NewPointsAway],Table2[GameDate], "&lt;=" &amp; $A90, Table2[AwayTeam], Y$1)+SUMIFS(Table2[NewPointsHome],Table2[GameDate], "&lt;=" &amp; $A90, Table2[HomeTeam], Y$1)</f>
        <v>2</v>
      </c>
      <c r="Z90" s="145">
        <f>SUMIFS(Table2[NewPointsAway],Table2[GameDate], "&lt;=" &amp; $A90, Table2[AwayTeam], Z$1)+SUMIFS(Table2[NewPointsHome],Table2[GameDate], "&lt;=" &amp; $A90, Table2[HomeTeam], Z$1)</f>
        <v>7</v>
      </c>
      <c r="AA90" s="145">
        <f>SUMIFS(Table2[NewPointsAway],Table2[GameDate], "&lt;=" &amp; $A90, Table2[AwayTeam], AA$1)+SUMIFS(Table2[NewPointsHome],Table2[GameDate], "&lt;=" &amp; $A90, Table2[HomeTeam], AA$1)</f>
        <v>4</v>
      </c>
      <c r="AB90" s="145">
        <f>SUMIFS(Table2[NewPointsAway],Table2[GameDate], "&lt;=" &amp; $A90, Table2[AwayTeam], AB$1)+SUMIFS(Table2[NewPointsHome],Table2[GameDate], "&lt;=" &amp; $A90, Table2[HomeTeam], AB$1)</f>
        <v>7</v>
      </c>
      <c r="AC90" s="145">
        <f>SUMIFS(Table2[NewPointsAway],Table2[GameDate], "&lt;=" &amp; $A90, Table2[AwayTeam], AC$1)+SUMIFS(Table2[NewPointsHome],Table2[GameDate], "&lt;=" &amp; $A90, Table2[HomeTeam], AC$1)</f>
        <v>10</v>
      </c>
      <c r="AD90" s="145">
        <f>SUMIFS(Table2[NewPointsAway],Table2[GameDate], "&lt;=" &amp; $A90, Table2[AwayTeam], AD$1)+SUMIFS(Table2[NewPointsHome],Table2[GameDate], "&lt;=" &amp; $A90, Table2[HomeTeam], AD$1)</f>
        <v>8</v>
      </c>
      <c r="AE90" s="145">
        <f>SUMIFS(Table2[NewPointsAway],Table2[GameDate], "&lt;=" &amp; $A90, Table2[AwayTeam], AE$1)+SUMIFS(Table2[NewPointsHome],Table2[GameDate], "&lt;=" &amp; $A90, Table2[HomeTeam], AE$1)</f>
        <v>12</v>
      </c>
      <c r="AF90" s="145">
        <f>SUMIFS(Table2[NewPointsAway],Table2[GameDate], "&lt;=" &amp; $A90, Table2[AwayTeam], AF$1)+SUMIFS(Table2[NewPointsHome],Table2[GameDate], "&lt;=" &amp; $A90, Table2[HomeTeam], AF$1)</f>
        <v>10</v>
      </c>
      <c r="AG90" s="145">
        <f>SUMIFS(Table2[NewPointsAway],Table2[GameDate], "&lt;=" &amp; $A90, Table2[AwayTeam], AG$1)+SUMIFS(Table2[NewPointsHome],Table2[GameDate], "&lt;=" &amp; $A90, Table2[HomeTeam], AG$1)</f>
        <v>10</v>
      </c>
    </row>
    <row r="91" spans="1:33" x14ac:dyDescent="0.25">
      <c r="A91" s="3">
        <v>46022</v>
      </c>
      <c r="B91" s="145">
        <f>SUMIFS(Table2[NewPointsAway],Table2[GameDate], "&lt;=" &amp; $A91, Table2[AwayTeam], B$1)+SUMIFS(Table2[NewPointsHome],Table2[GameDate], "&lt;=" &amp; $A91, Table2[HomeTeam], B$1)</f>
        <v>7</v>
      </c>
      <c r="C91" s="145">
        <f>SUMIFS(Table2[NewPointsAway],Table2[GameDate], "&lt;=" &amp; $A91, Table2[AwayTeam], C$1)+SUMIFS(Table2[NewPointsHome],Table2[GameDate], "&lt;=" &amp; $A91, Table2[HomeTeam], C$1)</f>
        <v>6</v>
      </c>
      <c r="D91" s="145">
        <f>SUMIFS(Table2[NewPointsAway],Table2[GameDate], "&lt;=" &amp; $A91, Table2[AwayTeam], D$1)+SUMIFS(Table2[NewPointsHome],Table2[GameDate], "&lt;=" &amp; $A91, Table2[HomeTeam], D$1)</f>
        <v>4</v>
      </c>
      <c r="E91" s="145">
        <f>SUMIFS(Table2[NewPointsAway],Table2[GameDate], "&lt;=" &amp; $A91, Table2[AwayTeam], E$1)+SUMIFS(Table2[NewPointsHome],Table2[GameDate], "&lt;=" &amp; $A91, Table2[HomeTeam], E$1)</f>
        <v>10</v>
      </c>
      <c r="F91" s="145">
        <f>SUMIFS(Table2[NewPointsAway],Table2[GameDate], "&lt;=" &amp; $A91, Table2[AwayTeam], F$1)+SUMIFS(Table2[NewPointsHome],Table2[GameDate], "&lt;=" &amp; $A91, Table2[HomeTeam], F$1)</f>
        <v>6</v>
      </c>
      <c r="G91" s="145">
        <f>SUMIFS(Table2[NewPointsAway],Table2[GameDate], "&lt;=" &amp; $A91, Table2[AwayTeam], G$1)+SUMIFS(Table2[NewPointsHome],Table2[GameDate], "&lt;=" &amp; $A91, Table2[HomeTeam], G$1)</f>
        <v>2</v>
      </c>
      <c r="H91" s="145">
        <f>SUMIFS(Table2[NewPointsAway],Table2[GameDate], "&lt;=" &amp; $A91, Table2[AwayTeam], H$1)+SUMIFS(Table2[NewPointsHome],Table2[GameDate], "&lt;=" &amp; $A91, Table2[HomeTeam], H$1)</f>
        <v>8</v>
      </c>
      <c r="I91" s="145">
        <f>SUMIFS(Table2[NewPointsAway],Table2[GameDate], "&lt;=" &amp; $A91, Table2[AwayTeam], I$1)+SUMIFS(Table2[NewPointsHome],Table2[GameDate], "&lt;=" &amp; $A91, Table2[HomeTeam], I$1)</f>
        <v>12</v>
      </c>
      <c r="J91" s="145">
        <f>SUMIFS(Table2[NewPointsAway],Table2[GameDate], "&lt;=" &amp; $A91, Table2[AwayTeam], J$1)+SUMIFS(Table2[NewPointsHome],Table2[GameDate], "&lt;=" &amp; $A91, Table2[HomeTeam], J$1)</f>
        <v>6</v>
      </c>
      <c r="K91" s="145">
        <f>SUMIFS(Table2[NewPointsAway],Table2[GameDate], "&lt;=" &amp; $A91, Table2[AwayTeam], K$1)+SUMIFS(Table2[NewPointsHome],Table2[GameDate], "&lt;=" &amp; $A91, Table2[HomeTeam], K$1)</f>
        <v>10</v>
      </c>
      <c r="L91" s="145">
        <f>SUMIFS(Table2[NewPointsAway],Table2[GameDate], "&lt;=" &amp; $A91, Table2[AwayTeam], L$1)+SUMIFS(Table2[NewPointsHome],Table2[GameDate], "&lt;=" &amp; $A91, Table2[HomeTeam], L$1)</f>
        <v>7</v>
      </c>
      <c r="M91" s="145">
        <f>SUMIFS(Table2[NewPointsAway],Table2[GameDate], "&lt;=" &amp; $A91, Table2[AwayTeam], M$1)+SUMIFS(Table2[NewPointsHome],Table2[GameDate], "&lt;=" &amp; $A91, Table2[HomeTeam], M$1)</f>
        <v>8</v>
      </c>
      <c r="N91" s="145">
        <f>SUMIFS(Table2[NewPointsAway],Table2[GameDate], "&lt;=" &amp; $A91, Table2[AwayTeam], N$1)+SUMIFS(Table2[NewPointsHome],Table2[GameDate], "&lt;=" &amp; $A91, Table2[HomeTeam], N$1)</f>
        <v>6</v>
      </c>
      <c r="O91" s="145">
        <f>SUMIFS(Table2[NewPointsAway],Table2[GameDate], "&lt;=" &amp; $A91, Table2[AwayTeam], O$1)+SUMIFS(Table2[NewPointsHome],Table2[GameDate], "&lt;=" &amp; $A91, Table2[HomeTeam], O$1)</f>
        <v>7</v>
      </c>
      <c r="P91" s="145">
        <f>SUMIFS(Table2[NewPointsAway],Table2[GameDate], "&lt;=" &amp; $A91, Table2[AwayTeam], P$1)+SUMIFS(Table2[NewPointsHome],Table2[GameDate], "&lt;=" &amp; $A91, Table2[HomeTeam], P$1)</f>
        <v>10</v>
      </c>
      <c r="Q91" s="145">
        <f>SUMIFS(Table2[NewPointsAway],Table2[GameDate], "&lt;=" &amp; $A91, Table2[AwayTeam], Q$1)+SUMIFS(Table2[NewPointsHome],Table2[GameDate], "&lt;=" &amp; $A91, Table2[HomeTeam], Q$1)</f>
        <v>10</v>
      </c>
      <c r="R91" s="145">
        <f>SUMIFS(Table2[NewPointsAway],Table2[GameDate], "&lt;=" &amp; $A91, Table2[AwayTeam], R$1)+SUMIFS(Table2[NewPointsHome],Table2[GameDate], "&lt;=" &amp; $A91, Table2[HomeTeam], R$1)</f>
        <v>6</v>
      </c>
      <c r="S91" s="145">
        <f>SUMIFS(Table2[NewPointsAway],Table2[GameDate], "&lt;=" &amp; $A91, Table2[AwayTeam], S$1)+SUMIFS(Table2[NewPointsHome],Table2[GameDate], "&lt;=" &amp; $A91, Table2[HomeTeam], S$1)</f>
        <v>6</v>
      </c>
      <c r="T91" s="145">
        <f>SUMIFS(Table2[NewPointsAway],Table2[GameDate], "&lt;=" &amp; $A91, Table2[AwayTeam], T$1)+SUMIFS(Table2[NewPointsHome],Table2[GameDate], "&lt;=" &amp; $A91, Table2[HomeTeam], T$1)</f>
        <v>7</v>
      </c>
      <c r="U91" s="145">
        <f>SUMIFS(Table2[NewPointsAway],Table2[GameDate], "&lt;=" &amp; $A91, Table2[AwayTeam], U$1)+SUMIFS(Table2[NewPointsHome],Table2[GameDate], "&lt;=" &amp; $A91, Table2[HomeTeam], U$1)</f>
        <v>5</v>
      </c>
      <c r="V91" s="145">
        <f>SUMIFS(Table2[NewPointsAway],Table2[GameDate], "&lt;=" &amp; $A91, Table2[AwayTeam], V$1)+SUMIFS(Table2[NewPointsHome],Table2[GameDate], "&lt;=" &amp; $A91, Table2[HomeTeam], V$1)</f>
        <v>7</v>
      </c>
      <c r="W91" s="145">
        <f>SUMIFS(Table2[NewPointsAway],Table2[GameDate], "&lt;=" &amp; $A91, Table2[AwayTeam], W$1)+SUMIFS(Table2[NewPointsHome],Table2[GameDate], "&lt;=" &amp; $A91, Table2[HomeTeam], W$1)</f>
        <v>10</v>
      </c>
      <c r="X91" s="145">
        <f>SUMIFS(Table2[NewPointsAway],Table2[GameDate], "&lt;=" &amp; $A91, Table2[AwayTeam], X$1)+SUMIFS(Table2[NewPointsHome],Table2[GameDate], "&lt;=" &amp; $A91, Table2[HomeTeam], X$1)</f>
        <v>8</v>
      </c>
      <c r="Y91" s="145">
        <f>SUMIFS(Table2[NewPointsAway],Table2[GameDate], "&lt;=" &amp; $A91, Table2[AwayTeam], Y$1)+SUMIFS(Table2[NewPointsHome],Table2[GameDate], "&lt;=" &amp; $A91, Table2[HomeTeam], Y$1)</f>
        <v>2</v>
      </c>
      <c r="Z91" s="145">
        <f>SUMIFS(Table2[NewPointsAway],Table2[GameDate], "&lt;=" &amp; $A91, Table2[AwayTeam], Z$1)+SUMIFS(Table2[NewPointsHome],Table2[GameDate], "&lt;=" &amp; $A91, Table2[HomeTeam], Z$1)</f>
        <v>7</v>
      </c>
      <c r="AA91" s="145">
        <f>SUMIFS(Table2[NewPointsAway],Table2[GameDate], "&lt;=" &amp; $A91, Table2[AwayTeam], AA$1)+SUMIFS(Table2[NewPointsHome],Table2[GameDate], "&lt;=" &amp; $A91, Table2[HomeTeam], AA$1)</f>
        <v>4</v>
      </c>
      <c r="AB91" s="145">
        <f>SUMIFS(Table2[NewPointsAway],Table2[GameDate], "&lt;=" &amp; $A91, Table2[AwayTeam], AB$1)+SUMIFS(Table2[NewPointsHome],Table2[GameDate], "&lt;=" &amp; $A91, Table2[HomeTeam], AB$1)</f>
        <v>7</v>
      </c>
      <c r="AC91" s="145">
        <f>SUMIFS(Table2[NewPointsAway],Table2[GameDate], "&lt;=" &amp; $A91, Table2[AwayTeam], AC$1)+SUMIFS(Table2[NewPointsHome],Table2[GameDate], "&lt;=" &amp; $A91, Table2[HomeTeam], AC$1)</f>
        <v>10</v>
      </c>
      <c r="AD91" s="145">
        <f>SUMIFS(Table2[NewPointsAway],Table2[GameDate], "&lt;=" &amp; $A91, Table2[AwayTeam], AD$1)+SUMIFS(Table2[NewPointsHome],Table2[GameDate], "&lt;=" &amp; $A91, Table2[HomeTeam], AD$1)</f>
        <v>8</v>
      </c>
      <c r="AE91" s="145">
        <f>SUMIFS(Table2[NewPointsAway],Table2[GameDate], "&lt;=" &amp; $A91, Table2[AwayTeam], AE$1)+SUMIFS(Table2[NewPointsHome],Table2[GameDate], "&lt;=" &amp; $A91, Table2[HomeTeam], AE$1)</f>
        <v>12</v>
      </c>
      <c r="AF91" s="145">
        <f>SUMIFS(Table2[NewPointsAway],Table2[GameDate], "&lt;=" &amp; $A91, Table2[AwayTeam], AF$1)+SUMIFS(Table2[NewPointsHome],Table2[GameDate], "&lt;=" &amp; $A91, Table2[HomeTeam], AF$1)</f>
        <v>10</v>
      </c>
      <c r="AG91" s="145">
        <f>SUMIFS(Table2[NewPointsAway],Table2[GameDate], "&lt;=" &amp; $A91, Table2[AwayTeam], AG$1)+SUMIFS(Table2[NewPointsHome],Table2[GameDate], "&lt;=" &amp; $A91, Table2[HomeTeam], AG$1)</f>
        <v>10</v>
      </c>
    </row>
    <row r="92" spans="1:33" x14ac:dyDescent="0.25">
      <c r="A92" s="3">
        <v>46023</v>
      </c>
      <c r="B92" s="145">
        <f>SUMIFS(Table2[NewPointsAway],Table2[GameDate], "&lt;=" &amp; $A92, Table2[AwayTeam], B$1)+SUMIFS(Table2[NewPointsHome],Table2[GameDate], "&lt;=" &amp; $A92, Table2[HomeTeam], B$1)</f>
        <v>7</v>
      </c>
      <c r="C92" s="145">
        <f>SUMIFS(Table2[NewPointsAway],Table2[GameDate], "&lt;=" &amp; $A92, Table2[AwayTeam], C$1)+SUMIFS(Table2[NewPointsHome],Table2[GameDate], "&lt;=" &amp; $A92, Table2[HomeTeam], C$1)</f>
        <v>6</v>
      </c>
      <c r="D92" s="145">
        <f>SUMIFS(Table2[NewPointsAway],Table2[GameDate], "&lt;=" &amp; $A92, Table2[AwayTeam], D$1)+SUMIFS(Table2[NewPointsHome],Table2[GameDate], "&lt;=" &amp; $A92, Table2[HomeTeam], D$1)</f>
        <v>4</v>
      </c>
      <c r="E92" s="145">
        <f>SUMIFS(Table2[NewPointsAway],Table2[GameDate], "&lt;=" &amp; $A92, Table2[AwayTeam], E$1)+SUMIFS(Table2[NewPointsHome],Table2[GameDate], "&lt;=" &amp; $A92, Table2[HomeTeam], E$1)</f>
        <v>10</v>
      </c>
      <c r="F92" s="145">
        <f>SUMIFS(Table2[NewPointsAway],Table2[GameDate], "&lt;=" &amp; $A92, Table2[AwayTeam], F$1)+SUMIFS(Table2[NewPointsHome],Table2[GameDate], "&lt;=" &amp; $A92, Table2[HomeTeam], F$1)</f>
        <v>6</v>
      </c>
      <c r="G92" s="145">
        <f>SUMIFS(Table2[NewPointsAway],Table2[GameDate], "&lt;=" &amp; $A92, Table2[AwayTeam], G$1)+SUMIFS(Table2[NewPointsHome],Table2[GameDate], "&lt;=" &amp; $A92, Table2[HomeTeam], G$1)</f>
        <v>2</v>
      </c>
      <c r="H92" s="145">
        <f>SUMIFS(Table2[NewPointsAway],Table2[GameDate], "&lt;=" &amp; $A92, Table2[AwayTeam], H$1)+SUMIFS(Table2[NewPointsHome],Table2[GameDate], "&lt;=" &amp; $A92, Table2[HomeTeam], H$1)</f>
        <v>8</v>
      </c>
      <c r="I92" s="145">
        <f>SUMIFS(Table2[NewPointsAway],Table2[GameDate], "&lt;=" &amp; $A92, Table2[AwayTeam], I$1)+SUMIFS(Table2[NewPointsHome],Table2[GameDate], "&lt;=" &amp; $A92, Table2[HomeTeam], I$1)</f>
        <v>12</v>
      </c>
      <c r="J92" s="145">
        <f>SUMIFS(Table2[NewPointsAway],Table2[GameDate], "&lt;=" &amp; $A92, Table2[AwayTeam], J$1)+SUMIFS(Table2[NewPointsHome],Table2[GameDate], "&lt;=" &amp; $A92, Table2[HomeTeam], J$1)</f>
        <v>6</v>
      </c>
      <c r="K92" s="145">
        <f>SUMIFS(Table2[NewPointsAway],Table2[GameDate], "&lt;=" &amp; $A92, Table2[AwayTeam], K$1)+SUMIFS(Table2[NewPointsHome],Table2[GameDate], "&lt;=" &amp; $A92, Table2[HomeTeam], K$1)</f>
        <v>10</v>
      </c>
      <c r="L92" s="145">
        <f>SUMIFS(Table2[NewPointsAway],Table2[GameDate], "&lt;=" &amp; $A92, Table2[AwayTeam], L$1)+SUMIFS(Table2[NewPointsHome],Table2[GameDate], "&lt;=" &amp; $A92, Table2[HomeTeam], L$1)</f>
        <v>7</v>
      </c>
      <c r="M92" s="145">
        <f>SUMIFS(Table2[NewPointsAway],Table2[GameDate], "&lt;=" &amp; $A92, Table2[AwayTeam], M$1)+SUMIFS(Table2[NewPointsHome],Table2[GameDate], "&lt;=" &amp; $A92, Table2[HomeTeam], M$1)</f>
        <v>8</v>
      </c>
      <c r="N92" s="145">
        <f>SUMIFS(Table2[NewPointsAway],Table2[GameDate], "&lt;=" &amp; $A92, Table2[AwayTeam], N$1)+SUMIFS(Table2[NewPointsHome],Table2[GameDate], "&lt;=" &amp; $A92, Table2[HomeTeam], N$1)</f>
        <v>6</v>
      </c>
      <c r="O92" s="145">
        <f>SUMIFS(Table2[NewPointsAway],Table2[GameDate], "&lt;=" &amp; $A92, Table2[AwayTeam], O$1)+SUMIFS(Table2[NewPointsHome],Table2[GameDate], "&lt;=" &amp; $A92, Table2[HomeTeam], O$1)</f>
        <v>7</v>
      </c>
      <c r="P92" s="145">
        <f>SUMIFS(Table2[NewPointsAway],Table2[GameDate], "&lt;=" &amp; $A92, Table2[AwayTeam], P$1)+SUMIFS(Table2[NewPointsHome],Table2[GameDate], "&lt;=" &amp; $A92, Table2[HomeTeam], P$1)</f>
        <v>10</v>
      </c>
      <c r="Q92" s="145">
        <f>SUMIFS(Table2[NewPointsAway],Table2[GameDate], "&lt;=" &amp; $A92, Table2[AwayTeam], Q$1)+SUMIFS(Table2[NewPointsHome],Table2[GameDate], "&lt;=" &amp; $A92, Table2[HomeTeam], Q$1)</f>
        <v>10</v>
      </c>
      <c r="R92" s="145">
        <f>SUMIFS(Table2[NewPointsAway],Table2[GameDate], "&lt;=" &amp; $A92, Table2[AwayTeam], R$1)+SUMIFS(Table2[NewPointsHome],Table2[GameDate], "&lt;=" &amp; $A92, Table2[HomeTeam], R$1)</f>
        <v>6</v>
      </c>
      <c r="S92" s="145">
        <f>SUMIFS(Table2[NewPointsAway],Table2[GameDate], "&lt;=" &amp; $A92, Table2[AwayTeam], S$1)+SUMIFS(Table2[NewPointsHome],Table2[GameDate], "&lt;=" &amp; $A92, Table2[HomeTeam], S$1)</f>
        <v>6</v>
      </c>
      <c r="T92" s="145">
        <f>SUMIFS(Table2[NewPointsAway],Table2[GameDate], "&lt;=" &amp; $A92, Table2[AwayTeam], T$1)+SUMIFS(Table2[NewPointsHome],Table2[GameDate], "&lt;=" &amp; $A92, Table2[HomeTeam], T$1)</f>
        <v>7</v>
      </c>
      <c r="U92" s="145">
        <f>SUMIFS(Table2[NewPointsAway],Table2[GameDate], "&lt;=" &amp; $A92, Table2[AwayTeam], U$1)+SUMIFS(Table2[NewPointsHome],Table2[GameDate], "&lt;=" &amp; $A92, Table2[HomeTeam], U$1)</f>
        <v>5</v>
      </c>
      <c r="V92" s="145">
        <f>SUMIFS(Table2[NewPointsAway],Table2[GameDate], "&lt;=" &amp; $A92, Table2[AwayTeam], V$1)+SUMIFS(Table2[NewPointsHome],Table2[GameDate], "&lt;=" &amp; $A92, Table2[HomeTeam], V$1)</f>
        <v>7</v>
      </c>
      <c r="W92" s="145">
        <f>SUMIFS(Table2[NewPointsAway],Table2[GameDate], "&lt;=" &amp; $A92, Table2[AwayTeam], W$1)+SUMIFS(Table2[NewPointsHome],Table2[GameDate], "&lt;=" &amp; $A92, Table2[HomeTeam], W$1)</f>
        <v>10</v>
      </c>
      <c r="X92" s="145">
        <f>SUMIFS(Table2[NewPointsAway],Table2[GameDate], "&lt;=" &amp; $A92, Table2[AwayTeam], X$1)+SUMIFS(Table2[NewPointsHome],Table2[GameDate], "&lt;=" &amp; $A92, Table2[HomeTeam], X$1)</f>
        <v>8</v>
      </c>
      <c r="Y92" s="145">
        <f>SUMIFS(Table2[NewPointsAway],Table2[GameDate], "&lt;=" &amp; $A92, Table2[AwayTeam], Y$1)+SUMIFS(Table2[NewPointsHome],Table2[GameDate], "&lt;=" &amp; $A92, Table2[HomeTeam], Y$1)</f>
        <v>2</v>
      </c>
      <c r="Z92" s="145">
        <f>SUMIFS(Table2[NewPointsAway],Table2[GameDate], "&lt;=" &amp; $A92, Table2[AwayTeam], Z$1)+SUMIFS(Table2[NewPointsHome],Table2[GameDate], "&lt;=" &amp; $A92, Table2[HomeTeam], Z$1)</f>
        <v>7</v>
      </c>
      <c r="AA92" s="145">
        <f>SUMIFS(Table2[NewPointsAway],Table2[GameDate], "&lt;=" &amp; $A92, Table2[AwayTeam], AA$1)+SUMIFS(Table2[NewPointsHome],Table2[GameDate], "&lt;=" &amp; $A92, Table2[HomeTeam], AA$1)</f>
        <v>4</v>
      </c>
      <c r="AB92" s="145">
        <f>SUMIFS(Table2[NewPointsAway],Table2[GameDate], "&lt;=" &amp; $A92, Table2[AwayTeam], AB$1)+SUMIFS(Table2[NewPointsHome],Table2[GameDate], "&lt;=" &amp; $A92, Table2[HomeTeam], AB$1)</f>
        <v>7</v>
      </c>
      <c r="AC92" s="145">
        <f>SUMIFS(Table2[NewPointsAway],Table2[GameDate], "&lt;=" &amp; $A92, Table2[AwayTeam], AC$1)+SUMIFS(Table2[NewPointsHome],Table2[GameDate], "&lt;=" &amp; $A92, Table2[HomeTeam], AC$1)</f>
        <v>10</v>
      </c>
      <c r="AD92" s="145">
        <f>SUMIFS(Table2[NewPointsAway],Table2[GameDate], "&lt;=" &amp; $A92, Table2[AwayTeam], AD$1)+SUMIFS(Table2[NewPointsHome],Table2[GameDate], "&lt;=" &amp; $A92, Table2[HomeTeam], AD$1)</f>
        <v>8</v>
      </c>
      <c r="AE92" s="145">
        <f>SUMIFS(Table2[NewPointsAway],Table2[GameDate], "&lt;=" &amp; $A92, Table2[AwayTeam], AE$1)+SUMIFS(Table2[NewPointsHome],Table2[GameDate], "&lt;=" &amp; $A92, Table2[HomeTeam], AE$1)</f>
        <v>12</v>
      </c>
      <c r="AF92" s="145">
        <f>SUMIFS(Table2[NewPointsAway],Table2[GameDate], "&lt;=" &amp; $A92, Table2[AwayTeam], AF$1)+SUMIFS(Table2[NewPointsHome],Table2[GameDate], "&lt;=" &amp; $A92, Table2[HomeTeam], AF$1)</f>
        <v>10</v>
      </c>
      <c r="AG92" s="145">
        <f>SUMIFS(Table2[NewPointsAway],Table2[GameDate], "&lt;=" &amp; $A92, Table2[AwayTeam], AG$1)+SUMIFS(Table2[NewPointsHome],Table2[GameDate], "&lt;=" &amp; $A92, Table2[HomeTeam], AG$1)</f>
        <v>10</v>
      </c>
    </row>
    <row r="93" spans="1:33" x14ac:dyDescent="0.25">
      <c r="A93" s="3">
        <v>46024</v>
      </c>
      <c r="B93" s="145">
        <f>SUMIFS(Table2[NewPointsAway],Table2[GameDate], "&lt;=" &amp; $A93, Table2[AwayTeam], B$1)+SUMIFS(Table2[NewPointsHome],Table2[GameDate], "&lt;=" &amp; $A93, Table2[HomeTeam], B$1)</f>
        <v>7</v>
      </c>
      <c r="C93" s="145">
        <f>SUMIFS(Table2[NewPointsAway],Table2[GameDate], "&lt;=" &amp; $A93, Table2[AwayTeam], C$1)+SUMIFS(Table2[NewPointsHome],Table2[GameDate], "&lt;=" &amp; $A93, Table2[HomeTeam], C$1)</f>
        <v>6</v>
      </c>
      <c r="D93" s="145">
        <f>SUMIFS(Table2[NewPointsAway],Table2[GameDate], "&lt;=" &amp; $A93, Table2[AwayTeam], D$1)+SUMIFS(Table2[NewPointsHome],Table2[GameDate], "&lt;=" &amp; $A93, Table2[HomeTeam], D$1)</f>
        <v>4</v>
      </c>
      <c r="E93" s="145">
        <f>SUMIFS(Table2[NewPointsAway],Table2[GameDate], "&lt;=" &amp; $A93, Table2[AwayTeam], E$1)+SUMIFS(Table2[NewPointsHome],Table2[GameDate], "&lt;=" &amp; $A93, Table2[HomeTeam], E$1)</f>
        <v>10</v>
      </c>
      <c r="F93" s="145">
        <f>SUMIFS(Table2[NewPointsAway],Table2[GameDate], "&lt;=" &amp; $A93, Table2[AwayTeam], F$1)+SUMIFS(Table2[NewPointsHome],Table2[GameDate], "&lt;=" &amp; $A93, Table2[HomeTeam], F$1)</f>
        <v>6</v>
      </c>
      <c r="G93" s="145">
        <f>SUMIFS(Table2[NewPointsAway],Table2[GameDate], "&lt;=" &amp; $A93, Table2[AwayTeam], G$1)+SUMIFS(Table2[NewPointsHome],Table2[GameDate], "&lt;=" &amp; $A93, Table2[HomeTeam], G$1)</f>
        <v>2</v>
      </c>
      <c r="H93" s="145">
        <f>SUMIFS(Table2[NewPointsAway],Table2[GameDate], "&lt;=" &amp; $A93, Table2[AwayTeam], H$1)+SUMIFS(Table2[NewPointsHome],Table2[GameDate], "&lt;=" &amp; $A93, Table2[HomeTeam], H$1)</f>
        <v>8</v>
      </c>
      <c r="I93" s="145">
        <f>SUMIFS(Table2[NewPointsAway],Table2[GameDate], "&lt;=" &amp; $A93, Table2[AwayTeam], I$1)+SUMIFS(Table2[NewPointsHome],Table2[GameDate], "&lt;=" &amp; $A93, Table2[HomeTeam], I$1)</f>
        <v>12</v>
      </c>
      <c r="J93" s="145">
        <f>SUMIFS(Table2[NewPointsAway],Table2[GameDate], "&lt;=" &amp; $A93, Table2[AwayTeam], J$1)+SUMIFS(Table2[NewPointsHome],Table2[GameDate], "&lt;=" &amp; $A93, Table2[HomeTeam], J$1)</f>
        <v>6</v>
      </c>
      <c r="K93" s="145">
        <f>SUMIFS(Table2[NewPointsAway],Table2[GameDate], "&lt;=" &amp; $A93, Table2[AwayTeam], K$1)+SUMIFS(Table2[NewPointsHome],Table2[GameDate], "&lt;=" &amp; $A93, Table2[HomeTeam], K$1)</f>
        <v>10</v>
      </c>
      <c r="L93" s="145">
        <f>SUMIFS(Table2[NewPointsAway],Table2[GameDate], "&lt;=" &amp; $A93, Table2[AwayTeam], L$1)+SUMIFS(Table2[NewPointsHome],Table2[GameDate], "&lt;=" &amp; $A93, Table2[HomeTeam], L$1)</f>
        <v>7</v>
      </c>
      <c r="M93" s="145">
        <f>SUMIFS(Table2[NewPointsAway],Table2[GameDate], "&lt;=" &amp; $A93, Table2[AwayTeam], M$1)+SUMIFS(Table2[NewPointsHome],Table2[GameDate], "&lt;=" &amp; $A93, Table2[HomeTeam], M$1)</f>
        <v>8</v>
      </c>
      <c r="N93" s="145">
        <f>SUMIFS(Table2[NewPointsAway],Table2[GameDate], "&lt;=" &amp; $A93, Table2[AwayTeam], N$1)+SUMIFS(Table2[NewPointsHome],Table2[GameDate], "&lt;=" &amp; $A93, Table2[HomeTeam], N$1)</f>
        <v>6</v>
      </c>
      <c r="O93" s="145">
        <f>SUMIFS(Table2[NewPointsAway],Table2[GameDate], "&lt;=" &amp; $A93, Table2[AwayTeam], O$1)+SUMIFS(Table2[NewPointsHome],Table2[GameDate], "&lt;=" &amp; $A93, Table2[HomeTeam], O$1)</f>
        <v>7</v>
      </c>
      <c r="P93" s="145">
        <f>SUMIFS(Table2[NewPointsAway],Table2[GameDate], "&lt;=" &amp; $A93, Table2[AwayTeam], P$1)+SUMIFS(Table2[NewPointsHome],Table2[GameDate], "&lt;=" &amp; $A93, Table2[HomeTeam], P$1)</f>
        <v>10</v>
      </c>
      <c r="Q93" s="145">
        <f>SUMIFS(Table2[NewPointsAway],Table2[GameDate], "&lt;=" &amp; $A93, Table2[AwayTeam], Q$1)+SUMIFS(Table2[NewPointsHome],Table2[GameDate], "&lt;=" &amp; $A93, Table2[HomeTeam], Q$1)</f>
        <v>10</v>
      </c>
      <c r="R93" s="145">
        <f>SUMIFS(Table2[NewPointsAway],Table2[GameDate], "&lt;=" &amp; $A93, Table2[AwayTeam], R$1)+SUMIFS(Table2[NewPointsHome],Table2[GameDate], "&lt;=" &amp; $A93, Table2[HomeTeam], R$1)</f>
        <v>6</v>
      </c>
      <c r="S93" s="145">
        <f>SUMIFS(Table2[NewPointsAway],Table2[GameDate], "&lt;=" &amp; $A93, Table2[AwayTeam], S$1)+SUMIFS(Table2[NewPointsHome],Table2[GameDate], "&lt;=" &amp; $A93, Table2[HomeTeam], S$1)</f>
        <v>6</v>
      </c>
      <c r="T93" s="145">
        <f>SUMIFS(Table2[NewPointsAway],Table2[GameDate], "&lt;=" &amp; $A93, Table2[AwayTeam], T$1)+SUMIFS(Table2[NewPointsHome],Table2[GameDate], "&lt;=" &amp; $A93, Table2[HomeTeam], T$1)</f>
        <v>7</v>
      </c>
      <c r="U93" s="145">
        <f>SUMIFS(Table2[NewPointsAway],Table2[GameDate], "&lt;=" &amp; $A93, Table2[AwayTeam], U$1)+SUMIFS(Table2[NewPointsHome],Table2[GameDate], "&lt;=" &amp; $A93, Table2[HomeTeam], U$1)</f>
        <v>5</v>
      </c>
      <c r="V93" s="145">
        <f>SUMIFS(Table2[NewPointsAway],Table2[GameDate], "&lt;=" &amp; $A93, Table2[AwayTeam], V$1)+SUMIFS(Table2[NewPointsHome],Table2[GameDate], "&lt;=" &amp; $A93, Table2[HomeTeam], V$1)</f>
        <v>7</v>
      </c>
      <c r="W93" s="145">
        <f>SUMIFS(Table2[NewPointsAway],Table2[GameDate], "&lt;=" &amp; $A93, Table2[AwayTeam], W$1)+SUMIFS(Table2[NewPointsHome],Table2[GameDate], "&lt;=" &amp; $A93, Table2[HomeTeam], W$1)</f>
        <v>10</v>
      </c>
      <c r="X93" s="145">
        <f>SUMIFS(Table2[NewPointsAway],Table2[GameDate], "&lt;=" &amp; $A93, Table2[AwayTeam], X$1)+SUMIFS(Table2[NewPointsHome],Table2[GameDate], "&lt;=" &amp; $A93, Table2[HomeTeam], X$1)</f>
        <v>8</v>
      </c>
      <c r="Y93" s="145">
        <f>SUMIFS(Table2[NewPointsAway],Table2[GameDate], "&lt;=" &amp; $A93, Table2[AwayTeam], Y$1)+SUMIFS(Table2[NewPointsHome],Table2[GameDate], "&lt;=" &amp; $A93, Table2[HomeTeam], Y$1)</f>
        <v>2</v>
      </c>
      <c r="Z93" s="145">
        <f>SUMIFS(Table2[NewPointsAway],Table2[GameDate], "&lt;=" &amp; $A93, Table2[AwayTeam], Z$1)+SUMIFS(Table2[NewPointsHome],Table2[GameDate], "&lt;=" &amp; $A93, Table2[HomeTeam], Z$1)</f>
        <v>7</v>
      </c>
      <c r="AA93" s="145">
        <f>SUMIFS(Table2[NewPointsAway],Table2[GameDate], "&lt;=" &amp; $A93, Table2[AwayTeam], AA$1)+SUMIFS(Table2[NewPointsHome],Table2[GameDate], "&lt;=" &amp; $A93, Table2[HomeTeam], AA$1)</f>
        <v>4</v>
      </c>
      <c r="AB93" s="145">
        <f>SUMIFS(Table2[NewPointsAway],Table2[GameDate], "&lt;=" &amp; $A93, Table2[AwayTeam], AB$1)+SUMIFS(Table2[NewPointsHome],Table2[GameDate], "&lt;=" &amp; $A93, Table2[HomeTeam], AB$1)</f>
        <v>7</v>
      </c>
      <c r="AC93" s="145">
        <f>SUMIFS(Table2[NewPointsAway],Table2[GameDate], "&lt;=" &amp; $A93, Table2[AwayTeam], AC$1)+SUMIFS(Table2[NewPointsHome],Table2[GameDate], "&lt;=" &amp; $A93, Table2[HomeTeam], AC$1)</f>
        <v>10</v>
      </c>
      <c r="AD93" s="145">
        <f>SUMIFS(Table2[NewPointsAway],Table2[GameDate], "&lt;=" &amp; $A93, Table2[AwayTeam], AD$1)+SUMIFS(Table2[NewPointsHome],Table2[GameDate], "&lt;=" &amp; $A93, Table2[HomeTeam], AD$1)</f>
        <v>8</v>
      </c>
      <c r="AE93" s="145">
        <f>SUMIFS(Table2[NewPointsAway],Table2[GameDate], "&lt;=" &amp; $A93, Table2[AwayTeam], AE$1)+SUMIFS(Table2[NewPointsHome],Table2[GameDate], "&lt;=" &amp; $A93, Table2[HomeTeam], AE$1)</f>
        <v>12</v>
      </c>
      <c r="AF93" s="145">
        <f>SUMIFS(Table2[NewPointsAway],Table2[GameDate], "&lt;=" &amp; $A93, Table2[AwayTeam], AF$1)+SUMIFS(Table2[NewPointsHome],Table2[GameDate], "&lt;=" &amp; $A93, Table2[HomeTeam], AF$1)</f>
        <v>10</v>
      </c>
      <c r="AG93" s="145">
        <f>SUMIFS(Table2[NewPointsAway],Table2[GameDate], "&lt;=" &amp; $A93, Table2[AwayTeam], AG$1)+SUMIFS(Table2[NewPointsHome],Table2[GameDate], "&lt;=" &amp; $A93, Table2[HomeTeam], AG$1)</f>
        <v>10</v>
      </c>
    </row>
    <row r="94" spans="1:33" x14ac:dyDescent="0.25">
      <c r="A94" s="3">
        <v>46025</v>
      </c>
      <c r="B94" s="145">
        <f>SUMIFS(Table2[NewPointsAway],Table2[GameDate], "&lt;=" &amp; $A94, Table2[AwayTeam], B$1)+SUMIFS(Table2[NewPointsHome],Table2[GameDate], "&lt;=" &amp; $A94, Table2[HomeTeam], B$1)</f>
        <v>7</v>
      </c>
      <c r="C94" s="145">
        <f>SUMIFS(Table2[NewPointsAway],Table2[GameDate], "&lt;=" &amp; $A94, Table2[AwayTeam], C$1)+SUMIFS(Table2[NewPointsHome],Table2[GameDate], "&lt;=" &amp; $A94, Table2[HomeTeam], C$1)</f>
        <v>6</v>
      </c>
      <c r="D94" s="145">
        <f>SUMIFS(Table2[NewPointsAway],Table2[GameDate], "&lt;=" &amp; $A94, Table2[AwayTeam], D$1)+SUMIFS(Table2[NewPointsHome],Table2[GameDate], "&lt;=" &amp; $A94, Table2[HomeTeam], D$1)</f>
        <v>4</v>
      </c>
      <c r="E94" s="145">
        <f>SUMIFS(Table2[NewPointsAway],Table2[GameDate], "&lt;=" &amp; $A94, Table2[AwayTeam], E$1)+SUMIFS(Table2[NewPointsHome],Table2[GameDate], "&lt;=" &amp; $A94, Table2[HomeTeam], E$1)</f>
        <v>10</v>
      </c>
      <c r="F94" s="145">
        <f>SUMIFS(Table2[NewPointsAway],Table2[GameDate], "&lt;=" &amp; $A94, Table2[AwayTeam], F$1)+SUMIFS(Table2[NewPointsHome],Table2[GameDate], "&lt;=" &amp; $A94, Table2[HomeTeam], F$1)</f>
        <v>6</v>
      </c>
      <c r="G94" s="145">
        <f>SUMIFS(Table2[NewPointsAway],Table2[GameDate], "&lt;=" &amp; $A94, Table2[AwayTeam], G$1)+SUMIFS(Table2[NewPointsHome],Table2[GameDate], "&lt;=" &amp; $A94, Table2[HomeTeam], G$1)</f>
        <v>2</v>
      </c>
      <c r="H94" s="145">
        <f>SUMIFS(Table2[NewPointsAway],Table2[GameDate], "&lt;=" &amp; $A94, Table2[AwayTeam], H$1)+SUMIFS(Table2[NewPointsHome],Table2[GameDate], "&lt;=" &amp; $A94, Table2[HomeTeam], H$1)</f>
        <v>8</v>
      </c>
      <c r="I94" s="145">
        <f>SUMIFS(Table2[NewPointsAway],Table2[GameDate], "&lt;=" &amp; $A94, Table2[AwayTeam], I$1)+SUMIFS(Table2[NewPointsHome],Table2[GameDate], "&lt;=" &amp; $A94, Table2[HomeTeam], I$1)</f>
        <v>12</v>
      </c>
      <c r="J94" s="145">
        <f>SUMIFS(Table2[NewPointsAway],Table2[GameDate], "&lt;=" &amp; $A94, Table2[AwayTeam], J$1)+SUMIFS(Table2[NewPointsHome],Table2[GameDate], "&lt;=" &amp; $A94, Table2[HomeTeam], J$1)</f>
        <v>6</v>
      </c>
      <c r="K94" s="145">
        <f>SUMIFS(Table2[NewPointsAway],Table2[GameDate], "&lt;=" &amp; $A94, Table2[AwayTeam], K$1)+SUMIFS(Table2[NewPointsHome],Table2[GameDate], "&lt;=" &amp; $A94, Table2[HomeTeam], K$1)</f>
        <v>10</v>
      </c>
      <c r="L94" s="145">
        <f>SUMIFS(Table2[NewPointsAway],Table2[GameDate], "&lt;=" &amp; $A94, Table2[AwayTeam], L$1)+SUMIFS(Table2[NewPointsHome],Table2[GameDate], "&lt;=" &amp; $A94, Table2[HomeTeam], L$1)</f>
        <v>7</v>
      </c>
      <c r="M94" s="145">
        <f>SUMIFS(Table2[NewPointsAway],Table2[GameDate], "&lt;=" &amp; $A94, Table2[AwayTeam], M$1)+SUMIFS(Table2[NewPointsHome],Table2[GameDate], "&lt;=" &amp; $A94, Table2[HomeTeam], M$1)</f>
        <v>8</v>
      </c>
      <c r="N94" s="145">
        <f>SUMIFS(Table2[NewPointsAway],Table2[GameDate], "&lt;=" &amp; $A94, Table2[AwayTeam], N$1)+SUMIFS(Table2[NewPointsHome],Table2[GameDate], "&lt;=" &amp; $A94, Table2[HomeTeam], N$1)</f>
        <v>6</v>
      </c>
      <c r="O94" s="145">
        <f>SUMIFS(Table2[NewPointsAway],Table2[GameDate], "&lt;=" &amp; $A94, Table2[AwayTeam], O$1)+SUMIFS(Table2[NewPointsHome],Table2[GameDate], "&lt;=" &amp; $A94, Table2[HomeTeam], O$1)</f>
        <v>7</v>
      </c>
      <c r="P94" s="145">
        <f>SUMIFS(Table2[NewPointsAway],Table2[GameDate], "&lt;=" &amp; $A94, Table2[AwayTeam], P$1)+SUMIFS(Table2[NewPointsHome],Table2[GameDate], "&lt;=" &amp; $A94, Table2[HomeTeam], P$1)</f>
        <v>10</v>
      </c>
      <c r="Q94" s="145">
        <f>SUMIFS(Table2[NewPointsAway],Table2[GameDate], "&lt;=" &amp; $A94, Table2[AwayTeam], Q$1)+SUMIFS(Table2[NewPointsHome],Table2[GameDate], "&lt;=" &amp; $A94, Table2[HomeTeam], Q$1)</f>
        <v>10</v>
      </c>
      <c r="R94" s="145">
        <f>SUMIFS(Table2[NewPointsAway],Table2[GameDate], "&lt;=" &amp; $A94, Table2[AwayTeam], R$1)+SUMIFS(Table2[NewPointsHome],Table2[GameDate], "&lt;=" &amp; $A94, Table2[HomeTeam], R$1)</f>
        <v>6</v>
      </c>
      <c r="S94" s="145">
        <f>SUMIFS(Table2[NewPointsAway],Table2[GameDate], "&lt;=" &amp; $A94, Table2[AwayTeam], S$1)+SUMIFS(Table2[NewPointsHome],Table2[GameDate], "&lt;=" &amp; $A94, Table2[HomeTeam], S$1)</f>
        <v>6</v>
      </c>
      <c r="T94" s="145">
        <f>SUMIFS(Table2[NewPointsAway],Table2[GameDate], "&lt;=" &amp; $A94, Table2[AwayTeam], T$1)+SUMIFS(Table2[NewPointsHome],Table2[GameDate], "&lt;=" &amp; $A94, Table2[HomeTeam], T$1)</f>
        <v>7</v>
      </c>
      <c r="U94" s="145">
        <f>SUMIFS(Table2[NewPointsAway],Table2[GameDate], "&lt;=" &amp; $A94, Table2[AwayTeam], U$1)+SUMIFS(Table2[NewPointsHome],Table2[GameDate], "&lt;=" &amp; $A94, Table2[HomeTeam], U$1)</f>
        <v>5</v>
      </c>
      <c r="V94" s="145">
        <f>SUMIFS(Table2[NewPointsAway],Table2[GameDate], "&lt;=" &amp; $A94, Table2[AwayTeam], V$1)+SUMIFS(Table2[NewPointsHome],Table2[GameDate], "&lt;=" &amp; $A94, Table2[HomeTeam], V$1)</f>
        <v>7</v>
      </c>
      <c r="W94" s="145">
        <f>SUMIFS(Table2[NewPointsAway],Table2[GameDate], "&lt;=" &amp; $A94, Table2[AwayTeam], W$1)+SUMIFS(Table2[NewPointsHome],Table2[GameDate], "&lt;=" &amp; $A94, Table2[HomeTeam], W$1)</f>
        <v>10</v>
      </c>
      <c r="X94" s="145">
        <f>SUMIFS(Table2[NewPointsAway],Table2[GameDate], "&lt;=" &amp; $A94, Table2[AwayTeam], X$1)+SUMIFS(Table2[NewPointsHome],Table2[GameDate], "&lt;=" &amp; $A94, Table2[HomeTeam], X$1)</f>
        <v>8</v>
      </c>
      <c r="Y94" s="145">
        <f>SUMIFS(Table2[NewPointsAway],Table2[GameDate], "&lt;=" &amp; $A94, Table2[AwayTeam], Y$1)+SUMIFS(Table2[NewPointsHome],Table2[GameDate], "&lt;=" &amp; $A94, Table2[HomeTeam], Y$1)</f>
        <v>2</v>
      </c>
      <c r="Z94" s="145">
        <f>SUMIFS(Table2[NewPointsAway],Table2[GameDate], "&lt;=" &amp; $A94, Table2[AwayTeam], Z$1)+SUMIFS(Table2[NewPointsHome],Table2[GameDate], "&lt;=" &amp; $A94, Table2[HomeTeam], Z$1)</f>
        <v>7</v>
      </c>
      <c r="AA94" s="145">
        <f>SUMIFS(Table2[NewPointsAway],Table2[GameDate], "&lt;=" &amp; $A94, Table2[AwayTeam], AA$1)+SUMIFS(Table2[NewPointsHome],Table2[GameDate], "&lt;=" &amp; $A94, Table2[HomeTeam], AA$1)</f>
        <v>4</v>
      </c>
      <c r="AB94" s="145">
        <f>SUMIFS(Table2[NewPointsAway],Table2[GameDate], "&lt;=" &amp; $A94, Table2[AwayTeam], AB$1)+SUMIFS(Table2[NewPointsHome],Table2[GameDate], "&lt;=" &amp; $A94, Table2[HomeTeam], AB$1)</f>
        <v>7</v>
      </c>
      <c r="AC94" s="145">
        <f>SUMIFS(Table2[NewPointsAway],Table2[GameDate], "&lt;=" &amp; $A94, Table2[AwayTeam], AC$1)+SUMIFS(Table2[NewPointsHome],Table2[GameDate], "&lt;=" &amp; $A94, Table2[HomeTeam], AC$1)</f>
        <v>10</v>
      </c>
      <c r="AD94" s="145">
        <f>SUMIFS(Table2[NewPointsAway],Table2[GameDate], "&lt;=" &amp; $A94, Table2[AwayTeam], AD$1)+SUMIFS(Table2[NewPointsHome],Table2[GameDate], "&lt;=" &amp; $A94, Table2[HomeTeam], AD$1)</f>
        <v>8</v>
      </c>
      <c r="AE94" s="145">
        <f>SUMIFS(Table2[NewPointsAway],Table2[GameDate], "&lt;=" &amp; $A94, Table2[AwayTeam], AE$1)+SUMIFS(Table2[NewPointsHome],Table2[GameDate], "&lt;=" &amp; $A94, Table2[HomeTeam], AE$1)</f>
        <v>12</v>
      </c>
      <c r="AF94" s="145">
        <f>SUMIFS(Table2[NewPointsAway],Table2[GameDate], "&lt;=" &amp; $A94, Table2[AwayTeam], AF$1)+SUMIFS(Table2[NewPointsHome],Table2[GameDate], "&lt;=" &amp; $A94, Table2[HomeTeam], AF$1)</f>
        <v>10</v>
      </c>
      <c r="AG94" s="145">
        <f>SUMIFS(Table2[NewPointsAway],Table2[GameDate], "&lt;=" &amp; $A94, Table2[AwayTeam], AG$1)+SUMIFS(Table2[NewPointsHome],Table2[GameDate], "&lt;=" &amp; $A94, Table2[HomeTeam], AG$1)</f>
        <v>10</v>
      </c>
    </row>
    <row r="95" spans="1:33" x14ac:dyDescent="0.25">
      <c r="A95" s="3">
        <v>46026</v>
      </c>
      <c r="B95" s="145">
        <f>SUMIFS(Table2[NewPointsAway],Table2[GameDate], "&lt;=" &amp; $A95, Table2[AwayTeam], B$1)+SUMIFS(Table2[NewPointsHome],Table2[GameDate], "&lt;=" &amp; $A95, Table2[HomeTeam], B$1)</f>
        <v>7</v>
      </c>
      <c r="C95" s="145">
        <f>SUMIFS(Table2[NewPointsAway],Table2[GameDate], "&lt;=" &amp; $A95, Table2[AwayTeam], C$1)+SUMIFS(Table2[NewPointsHome],Table2[GameDate], "&lt;=" &amp; $A95, Table2[HomeTeam], C$1)</f>
        <v>6</v>
      </c>
      <c r="D95" s="145">
        <f>SUMIFS(Table2[NewPointsAway],Table2[GameDate], "&lt;=" &amp; $A95, Table2[AwayTeam], D$1)+SUMIFS(Table2[NewPointsHome],Table2[GameDate], "&lt;=" &amp; $A95, Table2[HomeTeam], D$1)</f>
        <v>4</v>
      </c>
      <c r="E95" s="145">
        <f>SUMIFS(Table2[NewPointsAway],Table2[GameDate], "&lt;=" &amp; $A95, Table2[AwayTeam], E$1)+SUMIFS(Table2[NewPointsHome],Table2[GameDate], "&lt;=" &amp; $A95, Table2[HomeTeam], E$1)</f>
        <v>10</v>
      </c>
      <c r="F95" s="145">
        <f>SUMIFS(Table2[NewPointsAway],Table2[GameDate], "&lt;=" &amp; $A95, Table2[AwayTeam], F$1)+SUMIFS(Table2[NewPointsHome],Table2[GameDate], "&lt;=" &amp; $A95, Table2[HomeTeam], F$1)</f>
        <v>6</v>
      </c>
      <c r="G95" s="145">
        <f>SUMIFS(Table2[NewPointsAway],Table2[GameDate], "&lt;=" &amp; $A95, Table2[AwayTeam], G$1)+SUMIFS(Table2[NewPointsHome],Table2[GameDate], "&lt;=" &amp; $A95, Table2[HomeTeam], G$1)</f>
        <v>2</v>
      </c>
      <c r="H95" s="145">
        <f>SUMIFS(Table2[NewPointsAway],Table2[GameDate], "&lt;=" &amp; $A95, Table2[AwayTeam], H$1)+SUMIFS(Table2[NewPointsHome],Table2[GameDate], "&lt;=" &amp; $A95, Table2[HomeTeam], H$1)</f>
        <v>8</v>
      </c>
      <c r="I95" s="145">
        <f>SUMIFS(Table2[NewPointsAway],Table2[GameDate], "&lt;=" &amp; $A95, Table2[AwayTeam], I$1)+SUMIFS(Table2[NewPointsHome],Table2[GameDate], "&lt;=" &amp; $A95, Table2[HomeTeam], I$1)</f>
        <v>12</v>
      </c>
      <c r="J95" s="145">
        <f>SUMIFS(Table2[NewPointsAway],Table2[GameDate], "&lt;=" &amp; $A95, Table2[AwayTeam], J$1)+SUMIFS(Table2[NewPointsHome],Table2[GameDate], "&lt;=" &amp; $A95, Table2[HomeTeam], J$1)</f>
        <v>6</v>
      </c>
      <c r="K95" s="145">
        <f>SUMIFS(Table2[NewPointsAway],Table2[GameDate], "&lt;=" &amp; $A95, Table2[AwayTeam], K$1)+SUMIFS(Table2[NewPointsHome],Table2[GameDate], "&lt;=" &amp; $A95, Table2[HomeTeam], K$1)</f>
        <v>10</v>
      </c>
      <c r="L95" s="145">
        <f>SUMIFS(Table2[NewPointsAway],Table2[GameDate], "&lt;=" &amp; $A95, Table2[AwayTeam], L$1)+SUMIFS(Table2[NewPointsHome],Table2[GameDate], "&lt;=" &amp; $A95, Table2[HomeTeam], L$1)</f>
        <v>7</v>
      </c>
      <c r="M95" s="145">
        <f>SUMIFS(Table2[NewPointsAway],Table2[GameDate], "&lt;=" &amp; $A95, Table2[AwayTeam], M$1)+SUMIFS(Table2[NewPointsHome],Table2[GameDate], "&lt;=" &amp; $A95, Table2[HomeTeam], M$1)</f>
        <v>8</v>
      </c>
      <c r="N95" s="145">
        <f>SUMIFS(Table2[NewPointsAway],Table2[GameDate], "&lt;=" &amp; $A95, Table2[AwayTeam], N$1)+SUMIFS(Table2[NewPointsHome],Table2[GameDate], "&lt;=" &amp; $A95, Table2[HomeTeam], N$1)</f>
        <v>6</v>
      </c>
      <c r="O95" s="145">
        <f>SUMIFS(Table2[NewPointsAway],Table2[GameDate], "&lt;=" &amp; $A95, Table2[AwayTeam], O$1)+SUMIFS(Table2[NewPointsHome],Table2[GameDate], "&lt;=" &amp; $A95, Table2[HomeTeam], O$1)</f>
        <v>7</v>
      </c>
      <c r="P95" s="145">
        <f>SUMIFS(Table2[NewPointsAway],Table2[GameDate], "&lt;=" &amp; $A95, Table2[AwayTeam], P$1)+SUMIFS(Table2[NewPointsHome],Table2[GameDate], "&lt;=" &amp; $A95, Table2[HomeTeam], P$1)</f>
        <v>10</v>
      </c>
      <c r="Q95" s="145">
        <f>SUMIFS(Table2[NewPointsAway],Table2[GameDate], "&lt;=" &amp; $A95, Table2[AwayTeam], Q$1)+SUMIFS(Table2[NewPointsHome],Table2[GameDate], "&lt;=" &amp; $A95, Table2[HomeTeam], Q$1)</f>
        <v>10</v>
      </c>
      <c r="R95" s="145">
        <f>SUMIFS(Table2[NewPointsAway],Table2[GameDate], "&lt;=" &amp; $A95, Table2[AwayTeam], R$1)+SUMIFS(Table2[NewPointsHome],Table2[GameDate], "&lt;=" &amp; $A95, Table2[HomeTeam], R$1)</f>
        <v>6</v>
      </c>
      <c r="S95" s="145">
        <f>SUMIFS(Table2[NewPointsAway],Table2[GameDate], "&lt;=" &amp; $A95, Table2[AwayTeam], S$1)+SUMIFS(Table2[NewPointsHome],Table2[GameDate], "&lt;=" &amp; $A95, Table2[HomeTeam], S$1)</f>
        <v>6</v>
      </c>
      <c r="T95" s="145">
        <f>SUMIFS(Table2[NewPointsAway],Table2[GameDate], "&lt;=" &amp; $A95, Table2[AwayTeam], T$1)+SUMIFS(Table2[NewPointsHome],Table2[GameDate], "&lt;=" &amp; $A95, Table2[HomeTeam], T$1)</f>
        <v>7</v>
      </c>
      <c r="U95" s="145">
        <f>SUMIFS(Table2[NewPointsAway],Table2[GameDate], "&lt;=" &amp; $A95, Table2[AwayTeam], U$1)+SUMIFS(Table2[NewPointsHome],Table2[GameDate], "&lt;=" &amp; $A95, Table2[HomeTeam], U$1)</f>
        <v>5</v>
      </c>
      <c r="V95" s="145">
        <f>SUMIFS(Table2[NewPointsAway],Table2[GameDate], "&lt;=" &amp; $A95, Table2[AwayTeam], V$1)+SUMIFS(Table2[NewPointsHome],Table2[GameDate], "&lt;=" &amp; $A95, Table2[HomeTeam], V$1)</f>
        <v>7</v>
      </c>
      <c r="W95" s="145">
        <f>SUMIFS(Table2[NewPointsAway],Table2[GameDate], "&lt;=" &amp; $A95, Table2[AwayTeam], W$1)+SUMIFS(Table2[NewPointsHome],Table2[GameDate], "&lt;=" &amp; $A95, Table2[HomeTeam], W$1)</f>
        <v>10</v>
      </c>
      <c r="X95" s="145">
        <f>SUMIFS(Table2[NewPointsAway],Table2[GameDate], "&lt;=" &amp; $A95, Table2[AwayTeam], X$1)+SUMIFS(Table2[NewPointsHome],Table2[GameDate], "&lt;=" &amp; $A95, Table2[HomeTeam], X$1)</f>
        <v>8</v>
      </c>
      <c r="Y95" s="145">
        <f>SUMIFS(Table2[NewPointsAway],Table2[GameDate], "&lt;=" &amp; $A95, Table2[AwayTeam], Y$1)+SUMIFS(Table2[NewPointsHome],Table2[GameDate], "&lt;=" &amp; $A95, Table2[HomeTeam], Y$1)</f>
        <v>2</v>
      </c>
      <c r="Z95" s="145">
        <f>SUMIFS(Table2[NewPointsAway],Table2[GameDate], "&lt;=" &amp; $A95, Table2[AwayTeam], Z$1)+SUMIFS(Table2[NewPointsHome],Table2[GameDate], "&lt;=" &amp; $A95, Table2[HomeTeam], Z$1)</f>
        <v>7</v>
      </c>
      <c r="AA95" s="145">
        <f>SUMIFS(Table2[NewPointsAway],Table2[GameDate], "&lt;=" &amp; $A95, Table2[AwayTeam], AA$1)+SUMIFS(Table2[NewPointsHome],Table2[GameDate], "&lt;=" &amp; $A95, Table2[HomeTeam], AA$1)</f>
        <v>4</v>
      </c>
      <c r="AB95" s="145">
        <f>SUMIFS(Table2[NewPointsAway],Table2[GameDate], "&lt;=" &amp; $A95, Table2[AwayTeam], AB$1)+SUMIFS(Table2[NewPointsHome],Table2[GameDate], "&lt;=" &amp; $A95, Table2[HomeTeam], AB$1)</f>
        <v>7</v>
      </c>
      <c r="AC95" s="145">
        <f>SUMIFS(Table2[NewPointsAway],Table2[GameDate], "&lt;=" &amp; $A95, Table2[AwayTeam], AC$1)+SUMIFS(Table2[NewPointsHome],Table2[GameDate], "&lt;=" &amp; $A95, Table2[HomeTeam], AC$1)</f>
        <v>10</v>
      </c>
      <c r="AD95" s="145">
        <f>SUMIFS(Table2[NewPointsAway],Table2[GameDate], "&lt;=" &amp; $A95, Table2[AwayTeam], AD$1)+SUMIFS(Table2[NewPointsHome],Table2[GameDate], "&lt;=" &amp; $A95, Table2[HomeTeam], AD$1)</f>
        <v>8</v>
      </c>
      <c r="AE95" s="145">
        <f>SUMIFS(Table2[NewPointsAway],Table2[GameDate], "&lt;=" &amp; $A95, Table2[AwayTeam], AE$1)+SUMIFS(Table2[NewPointsHome],Table2[GameDate], "&lt;=" &amp; $A95, Table2[HomeTeam], AE$1)</f>
        <v>12</v>
      </c>
      <c r="AF95" s="145">
        <f>SUMIFS(Table2[NewPointsAway],Table2[GameDate], "&lt;=" &amp; $A95, Table2[AwayTeam], AF$1)+SUMIFS(Table2[NewPointsHome],Table2[GameDate], "&lt;=" &amp; $A95, Table2[HomeTeam], AF$1)</f>
        <v>10</v>
      </c>
      <c r="AG95" s="145">
        <f>SUMIFS(Table2[NewPointsAway],Table2[GameDate], "&lt;=" &amp; $A95, Table2[AwayTeam], AG$1)+SUMIFS(Table2[NewPointsHome],Table2[GameDate], "&lt;=" &amp; $A95, Table2[HomeTeam], AG$1)</f>
        <v>10</v>
      </c>
    </row>
    <row r="96" spans="1:33" x14ac:dyDescent="0.25">
      <c r="A96" s="3">
        <v>46027</v>
      </c>
      <c r="B96" s="145">
        <f>SUMIFS(Table2[NewPointsAway],Table2[GameDate], "&lt;=" &amp; $A96, Table2[AwayTeam], B$1)+SUMIFS(Table2[NewPointsHome],Table2[GameDate], "&lt;=" &amp; $A96, Table2[HomeTeam], B$1)</f>
        <v>7</v>
      </c>
      <c r="C96" s="145">
        <f>SUMIFS(Table2[NewPointsAway],Table2[GameDate], "&lt;=" &amp; $A96, Table2[AwayTeam], C$1)+SUMIFS(Table2[NewPointsHome],Table2[GameDate], "&lt;=" &amp; $A96, Table2[HomeTeam], C$1)</f>
        <v>6</v>
      </c>
      <c r="D96" s="145">
        <f>SUMIFS(Table2[NewPointsAway],Table2[GameDate], "&lt;=" &amp; $A96, Table2[AwayTeam], D$1)+SUMIFS(Table2[NewPointsHome],Table2[GameDate], "&lt;=" &amp; $A96, Table2[HomeTeam], D$1)</f>
        <v>4</v>
      </c>
      <c r="E96" s="145">
        <f>SUMIFS(Table2[NewPointsAway],Table2[GameDate], "&lt;=" &amp; $A96, Table2[AwayTeam], E$1)+SUMIFS(Table2[NewPointsHome],Table2[GameDate], "&lt;=" &amp; $A96, Table2[HomeTeam], E$1)</f>
        <v>10</v>
      </c>
      <c r="F96" s="145">
        <f>SUMIFS(Table2[NewPointsAway],Table2[GameDate], "&lt;=" &amp; $A96, Table2[AwayTeam], F$1)+SUMIFS(Table2[NewPointsHome],Table2[GameDate], "&lt;=" &amp; $A96, Table2[HomeTeam], F$1)</f>
        <v>6</v>
      </c>
      <c r="G96" s="145">
        <f>SUMIFS(Table2[NewPointsAway],Table2[GameDate], "&lt;=" &amp; $A96, Table2[AwayTeam], G$1)+SUMIFS(Table2[NewPointsHome],Table2[GameDate], "&lt;=" &amp; $A96, Table2[HomeTeam], G$1)</f>
        <v>2</v>
      </c>
      <c r="H96" s="145">
        <f>SUMIFS(Table2[NewPointsAway],Table2[GameDate], "&lt;=" &amp; $A96, Table2[AwayTeam], H$1)+SUMIFS(Table2[NewPointsHome],Table2[GameDate], "&lt;=" &amp; $A96, Table2[HomeTeam], H$1)</f>
        <v>8</v>
      </c>
      <c r="I96" s="145">
        <f>SUMIFS(Table2[NewPointsAway],Table2[GameDate], "&lt;=" &amp; $A96, Table2[AwayTeam], I$1)+SUMIFS(Table2[NewPointsHome],Table2[GameDate], "&lt;=" &amp; $A96, Table2[HomeTeam], I$1)</f>
        <v>12</v>
      </c>
      <c r="J96" s="145">
        <f>SUMIFS(Table2[NewPointsAway],Table2[GameDate], "&lt;=" &amp; $A96, Table2[AwayTeam], J$1)+SUMIFS(Table2[NewPointsHome],Table2[GameDate], "&lt;=" &amp; $A96, Table2[HomeTeam], J$1)</f>
        <v>6</v>
      </c>
      <c r="K96" s="145">
        <f>SUMIFS(Table2[NewPointsAway],Table2[GameDate], "&lt;=" &amp; $A96, Table2[AwayTeam], K$1)+SUMIFS(Table2[NewPointsHome],Table2[GameDate], "&lt;=" &amp; $A96, Table2[HomeTeam], K$1)</f>
        <v>10</v>
      </c>
      <c r="L96" s="145">
        <f>SUMIFS(Table2[NewPointsAway],Table2[GameDate], "&lt;=" &amp; $A96, Table2[AwayTeam], L$1)+SUMIFS(Table2[NewPointsHome],Table2[GameDate], "&lt;=" &amp; $A96, Table2[HomeTeam], L$1)</f>
        <v>7</v>
      </c>
      <c r="M96" s="145">
        <f>SUMIFS(Table2[NewPointsAway],Table2[GameDate], "&lt;=" &amp; $A96, Table2[AwayTeam], M$1)+SUMIFS(Table2[NewPointsHome],Table2[GameDate], "&lt;=" &amp; $A96, Table2[HomeTeam], M$1)</f>
        <v>8</v>
      </c>
      <c r="N96" s="145">
        <f>SUMIFS(Table2[NewPointsAway],Table2[GameDate], "&lt;=" &amp; $A96, Table2[AwayTeam], N$1)+SUMIFS(Table2[NewPointsHome],Table2[GameDate], "&lt;=" &amp; $A96, Table2[HomeTeam], N$1)</f>
        <v>6</v>
      </c>
      <c r="O96" s="145">
        <f>SUMIFS(Table2[NewPointsAway],Table2[GameDate], "&lt;=" &amp; $A96, Table2[AwayTeam], O$1)+SUMIFS(Table2[NewPointsHome],Table2[GameDate], "&lt;=" &amp; $A96, Table2[HomeTeam], O$1)</f>
        <v>7</v>
      </c>
      <c r="P96" s="145">
        <f>SUMIFS(Table2[NewPointsAway],Table2[GameDate], "&lt;=" &amp; $A96, Table2[AwayTeam], P$1)+SUMIFS(Table2[NewPointsHome],Table2[GameDate], "&lt;=" &amp; $A96, Table2[HomeTeam], P$1)</f>
        <v>10</v>
      </c>
      <c r="Q96" s="145">
        <f>SUMIFS(Table2[NewPointsAway],Table2[GameDate], "&lt;=" &amp; $A96, Table2[AwayTeam], Q$1)+SUMIFS(Table2[NewPointsHome],Table2[GameDate], "&lt;=" &amp; $A96, Table2[HomeTeam], Q$1)</f>
        <v>10</v>
      </c>
      <c r="R96" s="145">
        <f>SUMIFS(Table2[NewPointsAway],Table2[GameDate], "&lt;=" &amp; $A96, Table2[AwayTeam], R$1)+SUMIFS(Table2[NewPointsHome],Table2[GameDate], "&lt;=" &amp; $A96, Table2[HomeTeam], R$1)</f>
        <v>6</v>
      </c>
      <c r="S96" s="145">
        <f>SUMIFS(Table2[NewPointsAway],Table2[GameDate], "&lt;=" &amp; $A96, Table2[AwayTeam], S$1)+SUMIFS(Table2[NewPointsHome],Table2[GameDate], "&lt;=" &amp; $A96, Table2[HomeTeam], S$1)</f>
        <v>6</v>
      </c>
      <c r="T96" s="145">
        <f>SUMIFS(Table2[NewPointsAway],Table2[GameDate], "&lt;=" &amp; $A96, Table2[AwayTeam], T$1)+SUMIFS(Table2[NewPointsHome],Table2[GameDate], "&lt;=" &amp; $A96, Table2[HomeTeam], T$1)</f>
        <v>7</v>
      </c>
      <c r="U96" s="145">
        <f>SUMIFS(Table2[NewPointsAway],Table2[GameDate], "&lt;=" &amp; $A96, Table2[AwayTeam], U$1)+SUMIFS(Table2[NewPointsHome],Table2[GameDate], "&lt;=" &amp; $A96, Table2[HomeTeam], U$1)</f>
        <v>5</v>
      </c>
      <c r="V96" s="145">
        <f>SUMIFS(Table2[NewPointsAway],Table2[GameDate], "&lt;=" &amp; $A96, Table2[AwayTeam], V$1)+SUMIFS(Table2[NewPointsHome],Table2[GameDate], "&lt;=" &amp; $A96, Table2[HomeTeam], V$1)</f>
        <v>7</v>
      </c>
      <c r="W96" s="145">
        <f>SUMIFS(Table2[NewPointsAway],Table2[GameDate], "&lt;=" &amp; $A96, Table2[AwayTeam], W$1)+SUMIFS(Table2[NewPointsHome],Table2[GameDate], "&lt;=" &amp; $A96, Table2[HomeTeam], W$1)</f>
        <v>10</v>
      </c>
      <c r="X96" s="145">
        <f>SUMIFS(Table2[NewPointsAway],Table2[GameDate], "&lt;=" &amp; $A96, Table2[AwayTeam], X$1)+SUMIFS(Table2[NewPointsHome],Table2[GameDate], "&lt;=" &amp; $A96, Table2[HomeTeam], X$1)</f>
        <v>8</v>
      </c>
      <c r="Y96" s="145">
        <f>SUMIFS(Table2[NewPointsAway],Table2[GameDate], "&lt;=" &amp; $A96, Table2[AwayTeam], Y$1)+SUMIFS(Table2[NewPointsHome],Table2[GameDate], "&lt;=" &amp; $A96, Table2[HomeTeam], Y$1)</f>
        <v>2</v>
      </c>
      <c r="Z96" s="145">
        <f>SUMIFS(Table2[NewPointsAway],Table2[GameDate], "&lt;=" &amp; $A96, Table2[AwayTeam], Z$1)+SUMIFS(Table2[NewPointsHome],Table2[GameDate], "&lt;=" &amp; $A96, Table2[HomeTeam], Z$1)</f>
        <v>7</v>
      </c>
      <c r="AA96" s="145">
        <f>SUMIFS(Table2[NewPointsAway],Table2[GameDate], "&lt;=" &amp; $A96, Table2[AwayTeam], AA$1)+SUMIFS(Table2[NewPointsHome],Table2[GameDate], "&lt;=" &amp; $A96, Table2[HomeTeam], AA$1)</f>
        <v>4</v>
      </c>
      <c r="AB96" s="145">
        <f>SUMIFS(Table2[NewPointsAway],Table2[GameDate], "&lt;=" &amp; $A96, Table2[AwayTeam], AB$1)+SUMIFS(Table2[NewPointsHome],Table2[GameDate], "&lt;=" &amp; $A96, Table2[HomeTeam], AB$1)</f>
        <v>7</v>
      </c>
      <c r="AC96" s="145">
        <f>SUMIFS(Table2[NewPointsAway],Table2[GameDate], "&lt;=" &amp; $A96, Table2[AwayTeam], AC$1)+SUMIFS(Table2[NewPointsHome],Table2[GameDate], "&lt;=" &amp; $A96, Table2[HomeTeam], AC$1)</f>
        <v>10</v>
      </c>
      <c r="AD96" s="145">
        <f>SUMIFS(Table2[NewPointsAway],Table2[GameDate], "&lt;=" &amp; $A96, Table2[AwayTeam], AD$1)+SUMIFS(Table2[NewPointsHome],Table2[GameDate], "&lt;=" &amp; $A96, Table2[HomeTeam], AD$1)</f>
        <v>8</v>
      </c>
      <c r="AE96" s="145">
        <f>SUMIFS(Table2[NewPointsAway],Table2[GameDate], "&lt;=" &amp; $A96, Table2[AwayTeam], AE$1)+SUMIFS(Table2[NewPointsHome],Table2[GameDate], "&lt;=" &amp; $A96, Table2[HomeTeam], AE$1)</f>
        <v>12</v>
      </c>
      <c r="AF96" s="145">
        <f>SUMIFS(Table2[NewPointsAway],Table2[GameDate], "&lt;=" &amp; $A96, Table2[AwayTeam], AF$1)+SUMIFS(Table2[NewPointsHome],Table2[GameDate], "&lt;=" &amp; $A96, Table2[HomeTeam], AF$1)</f>
        <v>10</v>
      </c>
      <c r="AG96" s="145">
        <f>SUMIFS(Table2[NewPointsAway],Table2[GameDate], "&lt;=" &amp; $A96, Table2[AwayTeam], AG$1)+SUMIFS(Table2[NewPointsHome],Table2[GameDate], "&lt;=" &amp; $A96, Table2[HomeTeam], AG$1)</f>
        <v>10</v>
      </c>
    </row>
    <row r="97" spans="1:33" x14ac:dyDescent="0.25">
      <c r="A97" s="3">
        <v>46028</v>
      </c>
      <c r="B97" s="145">
        <f>SUMIFS(Table2[NewPointsAway],Table2[GameDate], "&lt;=" &amp; $A97, Table2[AwayTeam], B$1)+SUMIFS(Table2[NewPointsHome],Table2[GameDate], "&lt;=" &amp; $A97, Table2[HomeTeam], B$1)</f>
        <v>7</v>
      </c>
      <c r="C97" s="145">
        <f>SUMIFS(Table2[NewPointsAway],Table2[GameDate], "&lt;=" &amp; $A97, Table2[AwayTeam], C$1)+SUMIFS(Table2[NewPointsHome],Table2[GameDate], "&lt;=" &amp; $A97, Table2[HomeTeam], C$1)</f>
        <v>6</v>
      </c>
      <c r="D97" s="145">
        <f>SUMIFS(Table2[NewPointsAway],Table2[GameDate], "&lt;=" &amp; $A97, Table2[AwayTeam], D$1)+SUMIFS(Table2[NewPointsHome],Table2[GameDate], "&lt;=" &amp; $A97, Table2[HomeTeam], D$1)</f>
        <v>4</v>
      </c>
      <c r="E97" s="145">
        <f>SUMIFS(Table2[NewPointsAway],Table2[GameDate], "&lt;=" &amp; $A97, Table2[AwayTeam], E$1)+SUMIFS(Table2[NewPointsHome],Table2[GameDate], "&lt;=" &amp; $A97, Table2[HomeTeam], E$1)</f>
        <v>10</v>
      </c>
      <c r="F97" s="145">
        <f>SUMIFS(Table2[NewPointsAway],Table2[GameDate], "&lt;=" &amp; $A97, Table2[AwayTeam], F$1)+SUMIFS(Table2[NewPointsHome],Table2[GameDate], "&lt;=" &amp; $A97, Table2[HomeTeam], F$1)</f>
        <v>6</v>
      </c>
      <c r="G97" s="145">
        <f>SUMIFS(Table2[NewPointsAway],Table2[GameDate], "&lt;=" &amp; $A97, Table2[AwayTeam], G$1)+SUMIFS(Table2[NewPointsHome],Table2[GameDate], "&lt;=" &amp; $A97, Table2[HomeTeam], G$1)</f>
        <v>2</v>
      </c>
      <c r="H97" s="145">
        <f>SUMIFS(Table2[NewPointsAway],Table2[GameDate], "&lt;=" &amp; $A97, Table2[AwayTeam], H$1)+SUMIFS(Table2[NewPointsHome],Table2[GameDate], "&lt;=" &amp; $A97, Table2[HomeTeam], H$1)</f>
        <v>8</v>
      </c>
      <c r="I97" s="145">
        <f>SUMIFS(Table2[NewPointsAway],Table2[GameDate], "&lt;=" &amp; $A97, Table2[AwayTeam], I$1)+SUMIFS(Table2[NewPointsHome],Table2[GameDate], "&lt;=" &amp; $A97, Table2[HomeTeam], I$1)</f>
        <v>12</v>
      </c>
      <c r="J97" s="145">
        <f>SUMIFS(Table2[NewPointsAway],Table2[GameDate], "&lt;=" &amp; $A97, Table2[AwayTeam], J$1)+SUMIFS(Table2[NewPointsHome],Table2[GameDate], "&lt;=" &amp; $A97, Table2[HomeTeam], J$1)</f>
        <v>6</v>
      </c>
      <c r="K97" s="145">
        <f>SUMIFS(Table2[NewPointsAway],Table2[GameDate], "&lt;=" &amp; $A97, Table2[AwayTeam], K$1)+SUMIFS(Table2[NewPointsHome],Table2[GameDate], "&lt;=" &amp; $A97, Table2[HomeTeam], K$1)</f>
        <v>10</v>
      </c>
      <c r="L97" s="145">
        <f>SUMIFS(Table2[NewPointsAway],Table2[GameDate], "&lt;=" &amp; $A97, Table2[AwayTeam], L$1)+SUMIFS(Table2[NewPointsHome],Table2[GameDate], "&lt;=" &amp; $A97, Table2[HomeTeam], L$1)</f>
        <v>7</v>
      </c>
      <c r="M97" s="145">
        <f>SUMIFS(Table2[NewPointsAway],Table2[GameDate], "&lt;=" &amp; $A97, Table2[AwayTeam], M$1)+SUMIFS(Table2[NewPointsHome],Table2[GameDate], "&lt;=" &amp; $A97, Table2[HomeTeam], M$1)</f>
        <v>8</v>
      </c>
      <c r="N97" s="145">
        <f>SUMIFS(Table2[NewPointsAway],Table2[GameDate], "&lt;=" &amp; $A97, Table2[AwayTeam], N$1)+SUMIFS(Table2[NewPointsHome],Table2[GameDate], "&lt;=" &amp; $A97, Table2[HomeTeam], N$1)</f>
        <v>6</v>
      </c>
      <c r="O97" s="145">
        <f>SUMIFS(Table2[NewPointsAway],Table2[GameDate], "&lt;=" &amp; $A97, Table2[AwayTeam], O$1)+SUMIFS(Table2[NewPointsHome],Table2[GameDate], "&lt;=" &amp; $A97, Table2[HomeTeam], O$1)</f>
        <v>7</v>
      </c>
      <c r="P97" s="145">
        <f>SUMIFS(Table2[NewPointsAway],Table2[GameDate], "&lt;=" &amp; $A97, Table2[AwayTeam], P$1)+SUMIFS(Table2[NewPointsHome],Table2[GameDate], "&lt;=" &amp; $A97, Table2[HomeTeam], P$1)</f>
        <v>10</v>
      </c>
      <c r="Q97" s="145">
        <f>SUMIFS(Table2[NewPointsAway],Table2[GameDate], "&lt;=" &amp; $A97, Table2[AwayTeam], Q$1)+SUMIFS(Table2[NewPointsHome],Table2[GameDate], "&lt;=" &amp; $A97, Table2[HomeTeam], Q$1)</f>
        <v>10</v>
      </c>
      <c r="R97" s="145">
        <f>SUMIFS(Table2[NewPointsAway],Table2[GameDate], "&lt;=" &amp; $A97, Table2[AwayTeam], R$1)+SUMIFS(Table2[NewPointsHome],Table2[GameDate], "&lt;=" &amp; $A97, Table2[HomeTeam], R$1)</f>
        <v>6</v>
      </c>
      <c r="S97" s="145">
        <f>SUMIFS(Table2[NewPointsAway],Table2[GameDate], "&lt;=" &amp; $A97, Table2[AwayTeam], S$1)+SUMIFS(Table2[NewPointsHome],Table2[GameDate], "&lt;=" &amp; $A97, Table2[HomeTeam], S$1)</f>
        <v>6</v>
      </c>
      <c r="T97" s="145">
        <f>SUMIFS(Table2[NewPointsAway],Table2[GameDate], "&lt;=" &amp; $A97, Table2[AwayTeam], T$1)+SUMIFS(Table2[NewPointsHome],Table2[GameDate], "&lt;=" &amp; $A97, Table2[HomeTeam], T$1)</f>
        <v>7</v>
      </c>
      <c r="U97" s="145">
        <f>SUMIFS(Table2[NewPointsAway],Table2[GameDate], "&lt;=" &amp; $A97, Table2[AwayTeam], U$1)+SUMIFS(Table2[NewPointsHome],Table2[GameDate], "&lt;=" &amp; $A97, Table2[HomeTeam], U$1)</f>
        <v>5</v>
      </c>
      <c r="V97" s="145">
        <f>SUMIFS(Table2[NewPointsAway],Table2[GameDate], "&lt;=" &amp; $A97, Table2[AwayTeam], V$1)+SUMIFS(Table2[NewPointsHome],Table2[GameDate], "&lt;=" &amp; $A97, Table2[HomeTeam], V$1)</f>
        <v>7</v>
      </c>
      <c r="W97" s="145">
        <f>SUMIFS(Table2[NewPointsAway],Table2[GameDate], "&lt;=" &amp; $A97, Table2[AwayTeam], W$1)+SUMIFS(Table2[NewPointsHome],Table2[GameDate], "&lt;=" &amp; $A97, Table2[HomeTeam], W$1)</f>
        <v>10</v>
      </c>
      <c r="X97" s="145">
        <f>SUMIFS(Table2[NewPointsAway],Table2[GameDate], "&lt;=" &amp; $A97, Table2[AwayTeam], X$1)+SUMIFS(Table2[NewPointsHome],Table2[GameDate], "&lt;=" &amp; $A97, Table2[HomeTeam], X$1)</f>
        <v>8</v>
      </c>
      <c r="Y97" s="145">
        <f>SUMIFS(Table2[NewPointsAway],Table2[GameDate], "&lt;=" &amp; $A97, Table2[AwayTeam], Y$1)+SUMIFS(Table2[NewPointsHome],Table2[GameDate], "&lt;=" &amp; $A97, Table2[HomeTeam], Y$1)</f>
        <v>2</v>
      </c>
      <c r="Z97" s="145">
        <f>SUMIFS(Table2[NewPointsAway],Table2[GameDate], "&lt;=" &amp; $A97, Table2[AwayTeam], Z$1)+SUMIFS(Table2[NewPointsHome],Table2[GameDate], "&lt;=" &amp; $A97, Table2[HomeTeam], Z$1)</f>
        <v>7</v>
      </c>
      <c r="AA97" s="145">
        <f>SUMIFS(Table2[NewPointsAway],Table2[GameDate], "&lt;=" &amp; $A97, Table2[AwayTeam], AA$1)+SUMIFS(Table2[NewPointsHome],Table2[GameDate], "&lt;=" &amp; $A97, Table2[HomeTeam], AA$1)</f>
        <v>4</v>
      </c>
      <c r="AB97" s="145">
        <f>SUMIFS(Table2[NewPointsAway],Table2[GameDate], "&lt;=" &amp; $A97, Table2[AwayTeam], AB$1)+SUMIFS(Table2[NewPointsHome],Table2[GameDate], "&lt;=" &amp; $A97, Table2[HomeTeam], AB$1)</f>
        <v>7</v>
      </c>
      <c r="AC97" s="145">
        <f>SUMIFS(Table2[NewPointsAway],Table2[GameDate], "&lt;=" &amp; $A97, Table2[AwayTeam], AC$1)+SUMIFS(Table2[NewPointsHome],Table2[GameDate], "&lt;=" &amp; $A97, Table2[HomeTeam], AC$1)</f>
        <v>10</v>
      </c>
      <c r="AD97" s="145">
        <f>SUMIFS(Table2[NewPointsAway],Table2[GameDate], "&lt;=" &amp; $A97, Table2[AwayTeam], AD$1)+SUMIFS(Table2[NewPointsHome],Table2[GameDate], "&lt;=" &amp; $A97, Table2[HomeTeam], AD$1)</f>
        <v>8</v>
      </c>
      <c r="AE97" s="145">
        <f>SUMIFS(Table2[NewPointsAway],Table2[GameDate], "&lt;=" &amp; $A97, Table2[AwayTeam], AE$1)+SUMIFS(Table2[NewPointsHome],Table2[GameDate], "&lt;=" &amp; $A97, Table2[HomeTeam], AE$1)</f>
        <v>12</v>
      </c>
      <c r="AF97" s="145">
        <f>SUMIFS(Table2[NewPointsAway],Table2[GameDate], "&lt;=" &amp; $A97, Table2[AwayTeam], AF$1)+SUMIFS(Table2[NewPointsHome],Table2[GameDate], "&lt;=" &amp; $A97, Table2[HomeTeam], AF$1)</f>
        <v>10</v>
      </c>
      <c r="AG97" s="145">
        <f>SUMIFS(Table2[NewPointsAway],Table2[GameDate], "&lt;=" &amp; $A97, Table2[AwayTeam], AG$1)+SUMIFS(Table2[NewPointsHome],Table2[GameDate], "&lt;=" &amp; $A97, Table2[HomeTeam], AG$1)</f>
        <v>10</v>
      </c>
    </row>
    <row r="98" spans="1:33" x14ac:dyDescent="0.25">
      <c r="A98" s="3">
        <v>46029</v>
      </c>
      <c r="B98" s="145">
        <f>SUMIFS(Table2[NewPointsAway],Table2[GameDate], "&lt;=" &amp; $A98, Table2[AwayTeam], B$1)+SUMIFS(Table2[NewPointsHome],Table2[GameDate], "&lt;=" &amp; $A98, Table2[HomeTeam], B$1)</f>
        <v>7</v>
      </c>
      <c r="C98" s="145">
        <f>SUMIFS(Table2[NewPointsAway],Table2[GameDate], "&lt;=" &amp; $A98, Table2[AwayTeam], C$1)+SUMIFS(Table2[NewPointsHome],Table2[GameDate], "&lt;=" &amp; $A98, Table2[HomeTeam], C$1)</f>
        <v>6</v>
      </c>
      <c r="D98" s="145">
        <f>SUMIFS(Table2[NewPointsAway],Table2[GameDate], "&lt;=" &amp; $A98, Table2[AwayTeam], D$1)+SUMIFS(Table2[NewPointsHome],Table2[GameDate], "&lt;=" &amp; $A98, Table2[HomeTeam], D$1)</f>
        <v>4</v>
      </c>
      <c r="E98" s="145">
        <f>SUMIFS(Table2[NewPointsAway],Table2[GameDate], "&lt;=" &amp; $A98, Table2[AwayTeam], E$1)+SUMIFS(Table2[NewPointsHome],Table2[GameDate], "&lt;=" &amp; $A98, Table2[HomeTeam], E$1)</f>
        <v>10</v>
      </c>
      <c r="F98" s="145">
        <f>SUMIFS(Table2[NewPointsAway],Table2[GameDate], "&lt;=" &amp; $A98, Table2[AwayTeam], F$1)+SUMIFS(Table2[NewPointsHome],Table2[GameDate], "&lt;=" &amp; $A98, Table2[HomeTeam], F$1)</f>
        <v>6</v>
      </c>
      <c r="G98" s="145">
        <f>SUMIFS(Table2[NewPointsAway],Table2[GameDate], "&lt;=" &amp; $A98, Table2[AwayTeam], G$1)+SUMIFS(Table2[NewPointsHome],Table2[GameDate], "&lt;=" &amp; $A98, Table2[HomeTeam], G$1)</f>
        <v>2</v>
      </c>
      <c r="H98" s="145">
        <f>SUMIFS(Table2[NewPointsAway],Table2[GameDate], "&lt;=" &amp; $A98, Table2[AwayTeam], H$1)+SUMIFS(Table2[NewPointsHome],Table2[GameDate], "&lt;=" &amp; $A98, Table2[HomeTeam], H$1)</f>
        <v>8</v>
      </c>
      <c r="I98" s="145">
        <f>SUMIFS(Table2[NewPointsAway],Table2[GameDate], "&lt;=" &amp; $A98, Table2[AwayTeam], I$1)+SUMIFS(Table2[NewPointsHome],Table2[GameDate], "&lt;=" &amp; $A98, Table2[HomeTeam], I$1)</f>
        <v>12</v>
      </c>
      <c r="J98" s="145">
        <f>SUMIFS(Table2[NewPointsAway],Table2[GameDate], "&lt;=" &amp; $A98, Table2[AwayTeam], J$1)+SUMIFS(Table2[NewPointsHome],Table2[GameDate], "&lt;=" &amp; $A98, Table2[HomeTeam], J$1)</f>
        <v>6</v>
      </c>
      <c r="K98" s="145">
        <f>SUMIFS(Table2[NewPointsAway],Table2[GameDate], "&lt;=" &amp; $A98, Table2[AwayTeam], K$1)+SUMIFS(Table2[NewPointsHome],Table2[GameDate], "&lt;=" &amp; $A98, Table2[HomeTeam], K$1)</f>
        <v>10</v>
      </c>
      <c r="L98" s="145">
        <f>SUMIFS(Table2[NewPointsAway],Table2[GameDate], "&lt;=" &amp; $A98, Table2[AwayTeam], L$1)+SUMIFS(Table2[NewPointsHome],Table2[GameDate], "&lt;=" &amp; $A98, Table2[HomeTeam], L$1)</f>
        <v>7</v>
      </c>
      <c r="M98" s="145">
        <f>SUMIFS(Table2[NewPointsAway],Table2[GameDate], "&lt;=" &amp; $A98, Table2[AwayTeam], M$1)+SUMIFS(Table2[NewPointsHome],Table2[GameDate], "&lt;=" &amp; $A98, Table2[HomeTeam], M$1)</f>
        <v>8</v>
      </c>
      <c r="N98" s="145">
        <f>SUMIFS(Table2[NewPointsAway],Table2[GameDate], "&lt;=" &amp; $A98, Table2[AwayTeam], N$1)+SUMIFS(Table2[NewPointsHome],Table2[GameDate], "&lt;=" &amp; $A98, Table2[HomeTeam], N$1)</f>
        <v>6</v>
      </c>
      <c r="O98" s="145">
        <f>SUMIFS(Table2[NewPointsAway],Table2[GameDate], "&lt;=" &amp; $A98, Table2[AwayTeam], O$1)+SUMIFS(Table2[NewPointsHome],Table2[GameDate], "&lt;=" &amp; $A98, Table2[HomeTeam], O$1)</f>
        <v>7</v>
      </c>
      <c r="P98" s="145">
        <f>SUMIFS(Table2[NewPointsAway],Table2[GameDate], "&lt;=" &amp; $A98, Table2[AwayTeam], P$1)+SUMIFS(Table2[NewPointsHome],Table2[GameDate], "&lt;=" &amp; $A98, Table2[HomeTeam], P$1)</f>
        <v>10</v>
      </c>
      <c r="Q98" s="145">
        <f>SUMIFS(Table2[NewPointsAway],Table2[GameDate], "&lt;=" &amp; $A98, Table2[AwayTeam], Q$1)+SUMIFS(Table2[NewPointsHome],Table2[GameDate], "&lt;=" &amp; $A98, Table2[HomeTeam], Q$1)</f>
        <v>10</v>
      </c>
      <c r="R98" s="145">
        <f>SUMIFS(Table2[NewPointsAway],Table2[GameDate], "&lt;=" &amp; $A98, Table2[AwayTeam], R$1)+SUMIFS(Table2[NewPointsHome],Table2[GameDate], "&lt;=" &amp; $A98, Table2[HomeTeam], R$1)</f>
        <v>6</v>
      </c>
      <c r="S98" s="145">
        <f>SUMIFS(Table2[NewPointsAway],Table2[GameDate], "&lt;=" &amp; $A98, Table2[AwayTeam], S$1)+SUMIFS(Table2[NewPointsHome],Table2[GameDate], "&lt;=" &amp; $A98, Table2[HomeTeam], S$1)</f>
        <v>6</v>
      </c>
      <c r="T98" s="145">
        <f>SUMIFS(Table2[NewPointsAway],Table2[GameDate], "&lt;=" &amp; $A98, Table2[AwayTeam], T$1)+SUMIFS(Table2[NewPointsHome],Table2[GameDate], "&lt;=" &amp; $A98, Table2[HomeTeam], T$1)</f>
        <v>7</v>
      </c>
      <c r="U98" s="145">
        <f>SUMIFS(Table2[NewPointsAway],Table2[GameDate], "&lt;=" &amp; $A98, Table2[AwayTeam], U$1)+SUMIFS(Table2[NewPointsHome],Table2[GameDate], "&lt;=" &amp; $A98, Table2[HomeTeam], U$1)</f>
        <v>5</v>
      </c>
      <c r="V98" s="145">
        <f>SUMIFS(Table2[NewPointsAway],Table2[GameDate], "&lt;=" &amp; $A98, Table2[AwayTeam], V$1)+SUMIFS(Table2[NewPointsHome],Table2[GameDate], "&lt;=" &amp; $A98, Table2[HomeTeam], V$1)</f>
        <v>7</v>
      </c>
      <c r="W98" s="145">
        <f>SUMIFS(Table2[NewPointsAway],Table2[GameDate], "&lt;=" &amp; $A98, Table2[AwayTeam], W$1)+SUMIFS(Table2[NewPointsHome],Table2[GameDate], "&lt;=" &amp; $A98, Table2[HomeTeam], W$1)</f>
        <v>10</v>
      </c>
      <c r="X98" s="145">
        <f>SUMIFS(Table2[NewPointsAway],Table2[GameDate], "&lt;=" &amp; $A98, Table2[AwayTeam], X$1)+SUMIFS(Table2[NewPointsHome],Table2[GameDate], "&lt;=" &amp; $A98, Table2[HomeTeam], X$1)</f>
        <v>8</v>
      </c>
      <c r="Y98" s="145">
        <f>SUMIFS(Table2[NewPointsAway],Table2[GameDate], "&lt;=" &amp; $A98, Table2[AwayTeam], Y$1)+SUMIFS(Table2[NewPointsHome],Table2[GameDate], "&lt;=" &amp; $A98, Table2[HomeTeam], Y$1)</f>
        <v>2</v>
      </c>
      <c r="Z98" s="145">
        <f>SUMIFS(Table2[NewPointsAway],Table2[GameDate], "&lt;=" &amp; $A98, Table2[AwayTeam], Z$1)+SUMIFS(Table2[NewPointsHome],Table2[GameDate], "&lt;=" &amp; $A98, Table2[HomeTeam], Z$1)</f>
        <v>7</v>
      </c>
      <c r="AA98" s="145">
        <f>SUMIFS(Table2[NewPointsAway],Table2[GameDate], "&lt;=" &amp; $A98, Table2[AwayTeam], AA$1)+SUMIFS(Table2[NewPointsHome],Table2[GameDate], "&lt;=" &amp; $A98, Table2[HomeTeam], AA$1)</f>
        <v>4</v>
      </c>
      <c r="AB98" s="145">
        <f>SUMIFS(Table2[NewPointsAway],Table2[GameDate], "&lt;=" &amp; $A98, Table2[AwayTeam], AB$1)+SUMIFS(Table2[NewPointsHome],Table2[GameDate], "&lt;=" &amp; $A98, Table2[HomeTeam], AB$1)</f>
        <v>7</v>
      </c>
      <c r="AC98" s="145">
        <f>SUMIFS(Table2[NewPointsAway],Table2[GameDate], "&lt;=" &amp; $A98, Table2[AwayTeam], AC$1)+SUMIFS(Table2[NewPointsHome],Table2[GameDate], "&lt;=" &amp; $A98, Table2[HomeTeam], AC$1)</f>
        <v>10</v>
      </c>
      <c r="AD98" s="145">
        <f>SUMIFS(Table2[NewPointsAway],Table2[GameDate], "&lt;=" &amp; $A98, Table2[AwayTeam], AD$1)+SUMIFS(Table2[NewPointsHome],Table2[GameDate], "&lt;=" &amp; $A98, Table2[HomeTeam], AD$1)</f>
        <v>8</v>
      </c>
      <c r="AE98" s="145">
        <f>SUMIFS(Table2[NewPointsAway],Table2[GameDate], "&lt;=" &amp; $A98, Table2[AwayTeam], AE$1)+SUMIFS(Table2[NewPointsHome],Table2[GameDate], "&lt;=" &amp; $A98, Table2[HomeTeam], AE$1)</f>
        <v>12</v>
      </c>
      <c r="AF98" s="145">
        <f>SUMIFS(Table2[NewPointsAway],Table2[GameDate], "&lt;=" &amp; $A98, Table2[AwayTeam], AF$1)+SUMIFS(Table2[NewPointsHome],Table2[GameDate], "&lt;=" &amp; $A98, Table2[HomeTeam], AF$1)</f>
        <v>10</v>
      </c>
      <c r="AG98" s="145">
        <f>SUMIFS(Table2[NewPointsAway],Table2[GameDate], "&lt;=" &amp; $A98, Table2[AwayTeam], AG$1)+SUMIFS(Table2[NewPointsHome],Table2[GameDate], "&lt;=" &amp; $A98, Table2[HomeTeam], AG$1)</f>
        <v>10</v>
      </c>
    </row>
    <row r="99" spans="1:33" x14ac:dyDescent="0.25">
      <c r="A99" s="3">
        <v>46030</v>
      </c>
      <c r="B99" s="145">
        <f>SUMIFS(Table2[NewPointsAway],Table2[GameDate], "&lt;=" &amp; $A99, Table2[AwayTeam], B$1)+SUMIFS(Table2[NewPointsHome],Table2[GameDate], "&lt;=" &amp; $A99, Table2[HomeTeam], B$1)</f>
        <v>7</v>
      </c>
      <c r="C99" s="145">
        <f>SUMIFS(Table2[NewPointsAway],Table2[GameDate], "&lt;=" &amp; $A99, Table2[AwayTeam], C$1)+SUMIFS(Table2[NewPointsHome],Table2[GameDate], "&lt;=" &amp; $A99, Table2[HomeTeam], C$1)</f>
        <v>6</v>
      </c>
      <c r="D99" s="145">
        <f>SUMIFS(Table2[NewPointsAway],Table2[GameDate], "&lt;=" &amp; $A99, Table2[AwayTeam], D$1)+SUMIFS(Table2[NewPointsHome],Table2[GameDate], "&lt;=" &amp; $A99, Table2[HomeTeam], D$1)</f>
        <v>4</v>
      </c>
      <c r="E99" s="145">
        <f>SUMIFS(Table2[NewPointsAway],Table2[GameDate], "&lt;=" &amp; $A99, Table2[AwayTeam], E$1)+SUMIFS(Table2[NewPointsHome],Table2[GameDate], "&lt;=" &amp; $A99, Table2[HomeTeam], E$1)</f>
        <v>10</v>
      </c>
      <c r="F99" s="145">
        <f>SUMIFS(Table2[NewPointsAway],Table2[GameDate], "&lt;=" &amp; $A99, Table2[AwayTeam], F$1)+SUMIFS(Table2[NewPointsHome],Table2[GameDate], "&lt;=" &amp; $A99, Table2[HomeTeam], F$1)</f>
        <v>6</v>
      </c>
      <c r="G99" s="145">
        <f>SUMIFS(Table2[NewPointsAway],Table2[GameDate], "&lt;=" &amp; $A99, Table2[AwayTeam], G$1)+SUMIFS(Table2[NewPointsHome],Table2[GameDate], "&lt;=" &amp; $A99, Table2[HomeTeam], G$1)</f>
        <v>2</v>
      </c>
      <c r="H99" s="145">
        <f>SUMIFS(Table2[NewPointsAway],Table2[GameDate], "&lt;=" &amp; $A99, Table2[AwayTeam], H$1)+SUMIFS(Table2[NewPointsHome],Table2[GameDate], "&lt;=" &amp; $A99, Table2[HomeTeam], H$1)</f>
        <v>8</v>
      </c>
      <c r="I99" s="145">
        <f>SUMIFS(Table2[NewPointsAway],Table2[GameDate], "&lt;=" &amp; $A99, Table2[AwayTeam], I$1)+SUMIFS(Table2[NewPointsHome],Table2[GameDate], "&lt;=" &amp; $A99, Table2[HomeTeam], I$1)</f>
        <v>12</v>
      </c>
      <c r="J99" s="145">
        <f>SUMIFS(Table2[NewPointsAway],Table2[GameDate], "&lt;=" &amp; $A99, Table2[AwayTeam], J$1)+SUMIFS(Table2[NewPointsHome],Table2[GameDate], "&lt;=" &amp; $A99, Table2[HomeTeam], J$1)</f>
        <v>6</v>
      </c>
      <c r="K99" s="145">
        <f>SUMIFS(Table2[NewPointsAway],Table2[GameDate], "&lt;=" &amp; $A99, Table2[AwayTeam], K$1)+SUMIFS(Table2[NewPointsHome],Table2[GameDate], "&lt;=" &amp; $A99, Table2[HomeTeam], K$1)</f>
        <v>10</v>
      </c>
      <c r="L99" s="145">
        <f>SUMIFS(Table2[NewPointsAway],Table2[GameDate], "&lt;=" &amp; $A99, Table2[AwayTeam], L$1)+SUMIFS(Table2[NewPointsHome],Table2[GameDate], "&lt;=" &amp; $A99, Table2[HomeTeam], L$1)</f>
        <v>7</v>
      </c>
      <c r="M99" s="145">
        <f>SUMIFS(Table2[NewPointsAway],Table2[GameDate], "&lt;=" &amp; $A99, Table2[AwayTeam], M$1)+SUMIFS(Table2[NewPointsHome],Table2[GameDate], "&lt;=" &amp; $A99, Table2[HomeTeam], M$1)</f>
        <v>8</v>
      </c>
      <c r="N99" s="145">
        <f>SUMIFS(Table2[NewPointsAway],Table2[GameDate], "&lt;=" &amp; $A99, Table2[AwayTeam], N$1)+SUMIFS(Table2[NewPointsHome],Table2[GameDate], "&lt;=" &amp; $A99, Table2[HomeTeam], N$1)</f>
        <v>6</v>
      </c>
      <c r="O99" s="145">
        <f>SUMIFS(Table2[NewPointsAway],Table2[GameDate], "&lt;=" &amp; $A99, Table2[AwayTeam], O$1)+SUMIFS(Table2[NewPointsHome],Table2[GameDate], "&lt;=" &amp; $A99, Table2[HomeTeam], O$1)</f>
        <v>7</v>
      </c>
      <c r="P99" s="145">
        <f>SUMIFS(Table2[NewPointsAway],Table2[GameDate], "&lt;=" &amp; $A99, Table2[AwayTeam], P$1)+SUMIFS(Table2[NewPointsHome],Table2[GameDate], "&lt;=" &amp; $A99, Table2[HomeTeam], P$1)</f>
        <v>10</v>
      </c>
      <c r="Q99" s="145">
        <f>SUMIFS(Table2[NewPointsAway],Table2[GameDate], "&lt;=" &amp; $A99, Table2[AwayTeam], Q$1)+SUMIFS(Table2[NewPointsHome],Table2[GameDate], "&lt;=" &amp; $A99, Table2[HomeTeam], Q$1)</f>
        <v>10</v>
      </c>
      <c r="R99" s="145">
        <f>SUMIFS(Table2[NewPointsAway],Table2[GameDate], "&lt;=" &amp; $A99, Table2[AwayTeam], R$1)+SUMIFS(Table2[NewPointsHome],Table2[GameDate], "&lt;=" &amp; $A99, Table2[HomeTeam], R$1)</f>
        <v>6</v>
      </c>
      <c r="S99" s="145">
        <f>SUMIFS(Table2[NewPointsAway],Table2[GameDate], "&lt;=" &amp; $A99, Table2[AwayTeam], S$1)+SUMIFS(Table2[NewPointsHome],Table2[GameDate], "&lt;=" &amp; $A99, Table2[HomeTeam], S$1)</f>
        <v>6</v>
      </c>
      <c r="T99" s="145">
        <f>SUMIFS(Table2[NewPointsAway],Table2[GameDate], "&lt;=" &amp; $A99, Table2[AwayTeam], T$1)+SUMIFS(Table2[NewPointsHome],Table2[GameDate], "&lt;=" &amp; $A99, Table2[HomeTeam], T$1)</f>
        <v>7</v>
      </c>
      <c r="U99" s="145">
        <f>SUMIFS(Table2[NewPointsAway],Table2[GameDate], "&lt;=" &amp; $A99, Table2[AwayTeam], U$1)+SUMIFS(Table2[NewPointsHome],Table2[GameDate], "&lt;=" &amp; $A99, Table2[HomeTeam], U$1)</f>
        <v>5</v>
      </c>
      <c r="V99" s="145">
        <f>SUMIFS(Table2[NewPointsAway],Table2[GameDate], "&lt;=" &amp; $A99, Table2[AwayTeam], V$1)+SUMIFS(Table2[NewPointsHome],Table2[GameDate], "&lt;=" &amp; $A99, Table2[HomeTeam], V$1)</f>
        <v>7</v>
      </c>
      <c r="W99" s="145">
        <f>SUMIFS(Table2[NewPointsAway],Table2[GameDate], "&lt;=" &amp; $A99, Table2[AwayTeam], W$1)+SUMIFS(Table2[NewPointsHome],Table2[GameDate], "&lt;=" &amp; $A99, Table2[HomeTeam], W$1)</f>
        <v>10</v>
      </c>
      <c r="X99" s="145">
        <f>SUMIFS(Table2[NewPointsAway],Table2[GameDate], "&lt;=" &amp; $A99, Table2[AwayTeam], X$1)+SUMIFS(Table2[NewPointsHome],Table2[GameDate], "&lt;=" &amp; $A99, Table2[HomeTeam], X$1)</f>
        <v>8</v>
      </c>
      <c r="Y99" s="145">
        <f>SUMIFS(Table2[NewPointsAway],Table2[GameDate], "&lt;=" &amp; $A99, Table2[AwayTeam], Y$1)+SUMIFS(Table2[NewPointsHome],Table2[GameDate], "&lt;=" &amp; $A99, Table2[HomeTeam], Y$1)</f>
        <v>2</v>
      </c>
      <c r="Z99" s="145">
        <f>SUMIFS(Table2[NewPointsAway],Table2[GameDate], "&lt;=" &amp; $A99, Table2[AwayTeam], Z$1)+SUMIFS(Table2[NewPointsHome],Table2[GameDate], "&lt;=" &amp; $A99, Table2[HomeTeam], Z$1)</f>
        <v>7</v>
      </c>
      <c r="AA99" s="145">
        <f>SUMIFS(Table2[NewPointsAway],Table2[GameDate], "&lt;=" &amp; $A99, Table2[AwayTeam], AA$1)+SUMIFS(Table2[NewPointsHome],Table2[GameDate], "&lt;=" &amp; $A99, Table2[HomeTeam], AA$1)</f>
        <v>4</v>
      </c>
      <c r="AB99" s="145">
        <f>SUMIFS(Table2[NewPointsAway],Table2[GameDate], "&lt;=" &amp; $A99, Table2[AwayTeam], AB$1)+SUMIFS(Table2[NewPointsHome],Table2[GameDate], "&lt;=" &amp; $A99, Table2[HomeTeam], AB$1)</f>
        <v>7</v>
      </c>
      <c r="AC99" s="145">
        <f>SUMIFS(Table2[NewPointsAway],Table2[GameDate], "&lt;=" &amp; $A99, Table2[AwayTeam], AC$1)+SUMIFS(Table2[NewPointsHome],Table2[GameDate], "&lt;=" &amp; $A99, Table2[HomeTeam], AC$1)</f>
        <v>10</v>
      </c>
      <c r="AD99" s="145">
        <f>SUMIFS(Table2[NewPointsAway],Table2[GameDate], "&lt;=" &amp; $A99, Table2[AwayTeam], AD$1)+SUMIFS(Table2[NewPointsHome],Table2[GameDate], "&lt;=" &amp; $A99, Table2[HomeTeam], AD$1)</f>
        <v>8</v>
      </c>
      <c r="AE99" s="145">
        <f>SUMIFS(Table2[NewPointsAway],Table2[GameDate], "&lt;=" &amp; $A99, Table2[AwayTeam], AE$1)+SUMIFS(Table2[NewPointsHome],Table2[GameDate], "&lt;=" &amp; $A99, Table2[HomeTeam], AE$1)</f>
        <v>12</v>
      </c>
      <c r="AF99" s="145">
        <f>SUMIFS(Table2[NewPointsAway],Table2[GameDate], "&lt;=" &amp; $A99, Table2[AwayTeam], AF$1)+SUMIFS(Table2[NewPointsHome],Table2[GameDate], "&lt;=" &amp; $A99, Table2[HomeTeam], AF$1)</f>
        <v>10</v>
      </c>
      <c r="AG99" s="145">
        <f>SUMIFS(Table2[NewPointsAway],Table2[GameDate], "&lt;=" &amp; $A99, Table2[AwayTeam], AG$1)+SUMIFS(Table2[NewPointsHome],Table2[GameDate], "&lt;=" &amp; $A99, Table2[HomeTeam], AG$1)</f>
        <v>10</v>
      </c>
    </row>
    <row r="100" spans="1:33" x14ac:dyDescent="0.25">
      <c r="A100" s="3">
        <v>46031</v>
      </c>
      <c r="B100" s="145">
        <f>SUMIFS(Table2[NewPointsAway],Table2[GameDate], "&lt;=" &amp; $A100, Table2[AwayTeam], B$1)+SUMIFS(Table2[NewPointsHome],Table2[GameDate], "&lt;=" &amp; $A100, Table2[HomeTeam], B$1)</f>
        <v>7</v>
      </c>
      <c r="C100" s="145">
        <f>SUMIFS(Table2[NewPointsAway],Table2[GameDate], "&lt;=" &amp; $A100, Table2[AwayTeam], C$1)+SUMIFS(Table2[NewPointsHome],Table2[GameDate], "&lt;=" &amp; $A100, Table2[HomeTeam], C$1)</f>
        <v>6</v>
      </c>
      <c r="D100" s="145">
        <f>SUMIFS(Table2[NewPointsAway],Table2[GameDate], "&lt;=" &amp; $A100, Table2[AwayTeam], D$1)+SUMIFS(Table2[NewPointsHome],Table2[GameDate], "&lt;=" &amp; $A100, Table2[HomeTeam], D$1)</f>
        <v>4</v>
      </c>
      <c r="E100" s="145">
        <f>SUMIFS(Table2[NewPointsAway],Table2[GameDate], "&lt;=" &amp; $A100, Table2[AwayTeam], E$1)+SUMIFS(Table2[NewPointsHome],Table2[GameDate], "&lt;=" &amp; $A100, Table2[HomeTeam], E$1)</f>
        <v>10</v>
      </c>
      <c r="F100" s="145">
        <f>SUMIFS(Table2[NewPointsAway],Table2[GameDate], "&lt;=" &amp; $A100, Table2[AwayTeam], F$1)+SUMIFS(Table2[NewPointsHome],Table2[GameDate], "&lt;=" &amp; $A100, Table2[HomeTeam], F$1)</f>
        <v>6</v>
      </c>
      <c r="G100" s="145">
        <f>SUMIFS(Table2[NewPointsAway],Table2[GameDate], "&lt;=" &amp; $A100, Table2[AwayTeam], G$1)+SUMIFS(Table2[NewPointsHome],Table2[GameDate], "&lt;=" &amp; $A100, Table2[HomeTeam], G$1)</f>
        <v>2</v>
      </c>
      <c r="H100" s="145">
        <f>SUMIFS(Table2[NewPointsAway],Table2[GameDate], "&lt;=" &amp; $A100, Table2[AwayTeam], H$1)+SUMIFS(Table2[NewPointsHome],Table2[GameDate], "&lt;=" &amp; $A100, Table2[HomeTeam], H$1)</f>
        <v>8</v>
      </c>
      <c r="I100" s="145">
        <f>SUMIFS(Table2[NewPointsAway],Table2[GameDate], "&lt;=" &amp; $A100, Table2[AwayTeam], I$1)+SUMIFS(Table2[NewPointsHome],Table2[GameDate], "&lt;=" &amp; $A100, Table2[HomeTeam], I$1)</f>
        <v>12</v>
      </c>
      <c r="J100" s="145">
        <f>SUMIFS(Table2[NewPointsAway],Table2[GameDate], "&lt;=" &amp; $A100, Table2[AwayTeam], J$1)+SUMIFS(Table2[NewPointsHome],Table2[GameDate], "&lt;=" &amp; $A100, Table2[HomeTeam], J$1)</f>
        <v>6</v>
      </c>
      <c r="K100" s="145">
        <f>SUMIFS(Table2[NewPointsAway],Table2[GameDate], "&lt;=" &amp; $A100, Table2[AwayTeam], K$1)+SUMIFS(Table2[NewPointsHome],Table2[GameDate], "&lt;=" &amp; $A100, Table2[HomeTeam], K$1)</f>
        <v>10</v>
      </c>
      <c r="L100" s="145">
        <f>SUMIFS(Table2[NewPointsAway],Table2[GameDate], "&lt;=" &amp; $A100, Table2[AwayTeam], L$1)+SUMIFS(Table2[NewPointsHome],Table2[GameDate], "&lt;=" &amp; $A100, Table2[HomeTeam], L$1)</f>
        <v>7</v>
      </c>
      <c r="M100" s="145">
        <f>SUMIFS(Table2[NewPointsAway],Table2[GameDate], "&lt;=" &amp; $A100, Table2[AwayTeam], M$1)+SUMIFS(Table2[NewPointsHome],Table2[GameDate], "&lt;=" &amp; $A100, Table2[HomeTeam], M$1)</f>
        <v>8</v>
      </c>
      <c r="N100" s="145">
        <f>SUMIFS(Table2[NewPointsAway],Table2[GameDate], "&lt;=" &amp; $A100, Table2[AwayTeam], N$1)+SUMIFS(Table2[NewPointsHome],Table2[GameDate], "&lt;=" &amp; $A100, Table2[HomeTeam], N$1)</f>
        <v>6</v>
      </c>
      <c r="O100" s="145">
        <f>SUMIFS(Table2[NewPointsAway],Table2[GameDate], "&lt;=" &amp; $A100, Table2[AwayTeam], O$1)+SUMIFS(Table2[NewPointsHome],Table2[GameDate], "&lt;=" &amp; $A100, Table2[HomeTeam], O$1)</f>
        <v>7</v>
      </c>
      <c r="P100" s="145">
        <f>SUMIFS(Table2[NewPointsAway],Table2[GameDate], "&lt;=" &amp; $A100, Table2[AwayTeam], P$1)+SUMIFS(Table2[NewPointsHome],Table2[GameDate], "&lt;=" &amp; $A100, Table2[HomeTeam], P$1)</f>
        <v>10</v>
      </c>
      <c r="Q100" s="145">
        <f>SUMIFS(Table2[NewPointsAway],Table2[GameDate], "&lt;=" &amp; $A100, Table2[AwayTeam], Q$1)+SUMIFS(Table2[NewPointsHome],Table2[GameDate], "&lt;=" &amp; $A100, Table2[HomeTeam], Q$1)</f>
        <v>10</v>
      </c>
      <c r="R100" s="145">
        <f>SUMIFS(Table2[NewPointsAway],Table2[GameDate], "&lt;=" &amp; $A100, Table2[AwayTeam], R$1)+SUMIFS(Table2[NewPointsHome],Table2[GameDate], "&lt;=" &amp; $A100, Table2[HomeTeam], R$1)</f>
        <v>6</v>
      </c>
      <c r="S100" s="145">
        <f>SUMIFS(Table2[NewPointsAway],Table2[GameDate], "&lt;=" &amp; $A100, Table2[AwayTeam], S$1)+SUMIFS(Table2[NewPointsHome],Table2[GameDate], "&lt;=" &amp; $A100, Table2[HomeTeam], S$1)</f>
        <v>6</v>
      </c>
      <c r="T100" s="145">
        <f>SUMIFS(Table2[NewPointsAway],Table2[GameDate], "&lt;=" &amp; $A100, Table2[AwayTeam], T$1)+SUMIFS(Table2[NewPointsHome],Table2[GameDate], "&lt;=" &amp; $A100, Table2[HomeTeam], T$1)</f>
        <v>7</v>
      </c>
      <c r="U100" s="145">
        <f>SUMIFS(Table2[NewPointsAway],Table2[GameDate], "&lt;=" &amp; $A100, Table2[AwayTeam], U$1)+SUMIFS(Table2[NewPointsHome],Table2[GameDate], "&lt;=" &amp; $A100, Table2[HomeTeam], U$1)</f>
        <v>5</v>
      </c>
      <c r="V100" s="145">
        <f>SUMIFS(Table2[NewPointsAway],Table2[GameDate], "&lt;=" &amp; $A100, Table2[AwayTeam], V$1)+SUMIFS(Table2[NewPointsHome],Table2[GameDate], "&lt;=" &amp; $A100, Table2[HomeTeam], V$1)</f>
        <v>7</v>
      </c>
      <c r="W100" s="145">
        <f>SUMIFS(Table2[NewPointsAway],Table2[GameDate], "&lt;=" &amp; $A100, Table2[AwayTeam], W$1)+SUMIFS(Table2[NewPointsHome],Table2[GameDate], "&lt;=" &amp; $A100, Table2[HomeTeam], W$1)</f>
        <v>10</v>
      </c>
      <c r="X100" s="145">
        <f>SUMIFS(Table2[NewPointsAway],Table2[GameDate], "&lt;=" &amp; $A100, Table2[AwayTeam], X$1)+SUMIFS(Table2[NewPointsHome],Table2[GameDate], "&lt;=" &amp; $A100, Table2[HomeTeam], X$1)</f>
        <v>8</v>
      </c>
      <c r="Y100" s="145">
        <f>SUMIFS(Table2[NewPointsAway],Table2[GameDate], "&lt;=" &amp; $A100, Table2[AwayTeam], Y$1)+SUMIFS(Table2[NewPointsHome],Table2[GameDate], "&lt;=" &amp; $A100, Table2[HomeTeam], Y$1)</f>
        <v>2</v>
      </c>
      <c r="Z100" s="145">
        <f>SUMIFS(Table2[NewPointsAway],Table2[GameDate], "&lt;=" &amp; $A100, Table2[AwayTeam], Z$1)+SUMIFS(Table2[NewPointsHome],Table2[GameDate], "&lt;=" &amp; $A100, Table2[HomeTeam], Z$1)</f>
        <v>7</v>
      </c>
      <c r="AA100" s="145">
        <f>SUMIFS(Table2[NewPointsAway],Table2[GameDate], "&lt;=" &amp; $A100, Table2[AwayTeam], AA$1)+SUMIFS(Table2[NewPointsHome],Table2[GameDate], "&lt;=" &amp; $A100, Table2[HomeTeam], AA$1)</f>
        <v>4</v>
      </c>
      <c r="AB100" s="145">
        <f>SUMIFS(Table2[NewPointsAway],Table2[GameDate], "&lt;=" &amp; $A100, Table2[AwayTeam], AB$1)+SUMIFS(Table2[NewPointsHome],Table2[GameDate], "&lt;=" &amp; $A100, Table2[HomeTeam], AB$1)</f>
        <v>7</v>
      </c>
      <c r="AC100" s="145">
        <f>SUMIFS(Table2[NewPointsAway],Table2[GameDate], "&lt;=" &amp; $A100, Table2[AwayTeam], AC$1)+SUMIFS(Table2[NewPointsHome],Table2[GameDate], "&lt;=" &amp; $A100, Table2[HomeTeam], AC$1)</f>
        <v>10</v>
      </c>
      <c r="AD100" s="145">
        <f>SUMIFS(Table2[NewPointsAway],Table2[GameDate], "&lt;=" &amp; $A100, Table2[AwayTeam], AD$1)+SUMIFS(Table2[NewPointsHome],Table2[GameDate], "&lt;=" &amp; $A100, Table2[HomeTeam], AD$1)</f>
        <v>8</v>
      </c>
      <c r="AE100" s="145">
        <f>SUMIFS(Table2[NewPointsAway],Table2[GameDate], "&lt;=" &amp; $A100, Table2[AwayTeam], AE$1)+SUMIFS(Table2[NewPointsHome],Table2[GameDate], "&lt;=" &amp; $A100, Table2[HomeTeam], AE$1)</f>
        <v>12</v>
      </c>
      <c r="AF100" s="145">
        <f>SUMIFS(Table2[NewPointsAway],Table2[GameDate], "&lt;=" &amp; $A100, Table2[AwayTeam], AF$1)+SUMIFS(Table2[NewPointsHome],Table2[GameDate], "&lt;=" &amp; $A100, Table2[HomeTeam], AF$1)</f>
        <v>10</v>
      </c>
      <c r="AG100" s="145">
        <f>SUMIFS(Table2[NewPointsAway],Table2[GameDate], "&lt;=" &amp; $A100, Table2[AwayTeam], AG$1)+SUMIFS(Table2[NewPointsHome],Table2[GameDate], "&lt;=" &amp; $A100, Table2[HomeTeam], AG$1)</f>
        <v>10</v>
      </c>
    </row>
    <row r="101" spans="1:33" x14ac:dyDescent="0.25">
      <c r="A101" s="3">
        <v>46032</v>
      </c>
      <c r="B101" s="145">
        <f>SUMIFS(Table2[NewPointsAway],Table2[GameDate], "&lt;=" &amp; $A101, Table2[AwayTeam], B$1)+SUMIFS(Table2[NewPointsHome],Table2[GameDate], "&lt;=" &amp; $A101, Table2[HomeTeam], B$1)</f>
        <v>7</v>
      </c>
      <c r="C101" s="145">
        <f>SUMIFS(Table2[NewPointsAway],Table2[GameDate], "&lt;=" &amp; $A101, Table2[AwayTeam], C$1)+SUMIFS(Table2[NewPointsHome],Table2[GameDate], "&lt;=" &amp; $A101, Table2[HomeTeam], C$1)</f>
        <v>6</v>
      </c>
      <c r="D101" s="145">
        <f>SUMIFS(Table2[NewPointsAway],Table2[GameDate], "&lt;=" &amp; $A101, Table2[AwayTeam], D$1)+SUMIFS(Table2[NewPointsHome],Table2[GameDate], "&lt;=" &amp; $A101, Table2[HomeTeam], D$1)</f>
        <v>4</v>
      </c>
      <c r="E101" s="145">
        <f>SUMIFS(Table2[NewPointsAway],Table2[GameDate], "&lt;=" &amp; $A101, Table2[AwayTeam], E$1)+SUMIFS(Table2[NewPointsHome],Table2[GameDate], "&lt;=" &amp; $A101, Table2[HomeTeam], E$1)</f>
        <v>10</v>
      </c>
      <c r="F101" s="145">
        <f>SUMIFS(Table2[NewPointsAway],Table2[GameDate], "&lt;=" &amp; $A101, Table2[AwayTeam], F$1)+SUMIFS(Table2[NewPointsHome],Table2[GameDate], "&lt;=" &amp; $A101, Table2[HomeTeam], F$1)</f>
        <v>6</v>
      </c>
      <c r="G101" s="145">
        <f>SUMIFS(Table2[NewPointsAway],Table2[GameDate], "&lt;=" &amp; $A101, Table2[AwayTeam], G$1)+SUMIFS(Table2[NewPointsHome],Table2[GameDate], "&lt;=" &amp; $A101, Table2[HomeTeam], G$1)</f>
        <v>2</v>
      </c>
      <c r="H101" s="145">
        <f>SUMIFS(Table2[NewPointsAway],Table2[GameDate], "&lt;=" &amp; $A101, Table2[AwayTeam], H$1)+SUMIFS(Table2[NewPointsHome],Table2[GameDate], "&lt;=" &amp; $A101, Table2[HomeTeam], H$1)</f>
        <v>8</v>
      </c>
      <c r="I101" s="145">
        <f>SUMIFS(Table2[NewPointsAway],Table2[GameDate], "&lt;=" &amp; $A101, Table2[AwayTeam], I$1)+SUMIFS(Table2[NewPointsHome],Table2[GameDate], "&lt;=" &amp; $A101, Table2[HomeTeam], I$1)</f>
        <v>12</v>
      </c>
      <c r="J101" s="145">
        <f>SUMIFS(Table2[NewPointsAway],Table2[GameDate], "&lt;=" &amp; $A101, Table2[AwayTeam], J$1)+SUMIFS(Table2[NewPointsHome],Table2[GameDate], "&lt;=" &amp; $A101, Table2[HomeTeam], J$1)</f>
        <v>6</v>
      </c>
      <c r="K101" s="145">
        <f>SUMIFS(Table2[NewPointsAway],Table2[GameDate], "&lt;=" &amp; $A101, Table2[AwayTeam], K$1)+SUMIFS(Table2[NewPointsHome],Table2[GameDate], "&lt;=" &amp; $A101, Table2[HomeTeam], K$1)</f>
        <v>10</v>
      </c>
      <c r="L101" s="145">
        <f>SUMIFS(Table2[NewPointsAway],Table2[GameDate], "&lt;=" &amp; $A101, Table2[AwayTeam], L$1)+SUMIFS(Table2[NewPointsHome],Table2[GameDate], "&lt;=" &amp; $A101, Table2[HomeTeam], L$1)</f>
        <v>7</v>
      </c>
      <c r="M101" s="145">
        <f>SUMIFS(Table2[NewPointsAway],Table2[GameDate], "&lt;=" &amp; $A101, Table2[AwayTeam], M$1)+SUMIFS(Table2[NewPointsHome],Table2[GameDate], "&lt;=" &amp; $A101, Table2[HomeTeam], M$1)</f>
        <v>8</v>
      </c>
      <c r="N101" s="145">
        <f>SUMIFS(Table2[NewPointsAway],Table2[GameDate], "&lt;=" &amp; $A101, Table2[AwayTeam], N$1)+SUMIFS(Table2[NewPointsHome],Table2[GameDate], "&lt;=" &amp; $A101, Table2[HomeTeam], N$1)</f>
        <v>6</v>
      </c>
      <c r="O101" s="145">
        <f>SUMIFS(Table2[NewPointsAway],Table2[GameDate], "&lt;=" &amp; $A101, Table2[AwayTeam], O$1)+SUMIFS(Table2[NewPointsHome],Table2[GameDate], "&lt;=" &amp; $A101, Table2[HomeTeam], O$1)</f>
        <v>7</v>
      </c>
      <c r="P101" s="145">
        <f>SUMIFS(Table2[NewPointsAway],Table2[GameDate], "&lt;=" &amp; $A101, Table2[AwayTeam], P$1)+SUMIFS(Table2[NewPointsHome],Table2[GameDate], "&lt;=" &amp; $A101, Table2[HomeTeam], P$1)</f>
        <v>10</v>
      </c>
      <c r="Q101" s="145">
        <f>SUMIFS(Table2[NewPointsAway],Table2[GameDate], "&lt;=" &amp; $A101, Table2[AwayTeam], Q$1)+SUMIFS(Table2[NewPointsHome],Table2[GameDate], "&lt;=" &amp; $A101, Table2[HomeTeam], Q$1)</f>
        <v>10</v>
      </c>
      <c r="R101" s="145">
        <f>SUMIFS(Table2[NewPointsAway],Table2[GameDate], "&lt;=" &amp; $A101, Table2[AwayTeam], R$1)+SUMIFS(Table2[NewPointsHome],Table2[GameDate], "&lt;=" &amp; $A101, Table2[HomeTeam], R$1)</f>
        <v>6</v>
      </c>
      <c r="S101" s="145">
        <f>SUMIFS(Table2[NewPointsAway],Table2[GameDate], "&lt;=" &amp; $A101, Table2[AwayTeam], S$1)+SUMIFS(Table2[NewPointsHome],Table2[GameDate], "&lt;=" &amp; $A101, Table2[HomeTeam], S$1)</f>
        <v>6</v>
      </c>
      <c r="T101" s="145">
        <f>SUMIFS(Table2[NewPointsAway],Table2[GameDate], "&lt;=" &amp; $A101, Table2[AwayTeam], T$1)+SUMIFS(Table2[NewPointsHome],Table2[GameDate], "&lt;=" &amp; $A101, Table2[HomeTeam], T$1)</f>
        <v>7</v>
      </c>
      <c r="U101" s="145">
        <f>SUMIFS(Table2[NewPointsAway],Table2[GameDate], "&lt;=" &amp; $A101, Table2[AwayTeam], U$1)+SUMIFS(Table2[NewPointsHome],Table2[GameDate], "&lt;=" &amp; $A101, Table2[HomeTeam], U$1)</f>
        <v>5</v>
      </c>
      <c r="V101" s="145">
        <f>SUMIFS(Table2[NewPointsAway],Table2[GameDate], "&lt;=" &amp; $A101, Table2[AwayTeam], V$1)+SUMIFS(Table2[NewPointsHome],Table2[GameDate], "&lt;=" &amp; $A101, Table2[HomeTeam], V$1)</f>
        <v>7</v>
      </c>
      <c r="W101" s="145">
        <f>SUMIFS(Table2[NewPointsAway],Table2[GameDate], "&lt;=" &amp; $A101, Table2[AwayTeam], W$1)+SUMIFS(Table2[NewPointsHome],Table2[GameDate], "&lt;=" &amp; $A101, Table2[HomeTeam], W$1)</f>
        <v>10</v>
      </c>
      <c r="X101" s="145">
        <f>SUMIFS(Table2[NewPointsAway],Table2[GameDate], "&lt;=" &amp; $A101, Table2[AwayTeam], X$1)+SUMIFS(Table2[NewPointsHome],Table2[GameDate], "&lt;=" &amp; $A101, Table2[HomeTeam], X$1)</f>
        <v>8</v>
      </c>
      <c r="Y101" s="145">
        <f>SUMIFS(Table2[NewPointsAway],Table2[GameDate], "&lt;=" &amp; $A101, Table2[AwayTeam], Y$1)+SUMIFS(Table2[NewPointsHome],Table2[GameDate], "&lt;=" &amp; $A101, Table2[HomeTeam], Y$1)</f>
        <v>2</v>
      </c>
      <c r="Z101" s="145">
        <f>SUMIFS(Table2[NewPointsAway],Table2[GameDate], "&lt;=" &amp; $A101, Table2[AwayTeam], Z$1)+SUMIFS(Table2[NewPointsHome],Table2[GameDate], "&lt;=" &amp; $A101, Table2[HomeTeam], Z$1)</f>
        <v>7</v>
      </c>
      <c r="AA101" s="145">
        <f>SUMIFS(Table2[NewPointsAway],Table2[GameDate], "&lt;=" &amp; $A101, Table2[AwayTeam], AA$1)+SUMIFS(Table2[NewPointsHome],Table2[GameDate], "&lt;=" &amp; $A101, Table2[HomeTeam], AA$1)</f>
        <v>4</v>
      </c>
      <c r="AB101" s="145">
        <f>SUMIFS(Table2[NewPointsAway],Table2[GameDate], "&lt;=" &amp; $A101, Table2[AwayTeam], AB$1)+SUMIFS(Table2[NewPointsHome],Table2[GameDate], "&lt;=" &amp; $A101, Table2[HomeTeam], AB$1)</f>
        <v>7</v>
      </c>
      <c r="AC101" s="145">
        <f>SUMIFS(Table2[NewPointsAway],Table2[GameDate], "&lt;=" &amp; $A101, Table2[AwayTeam], AC$1)+SUMIFS(Table2[NewPointsHome],Table2[GameDate], "&lt;=" &amp; $A101, Table2[HomeTeam], AC$1)</f>
        <v>10</v>
      </c>
      <c r="AD101" s="145">
        <f>SUMIFS(Table2[NewPointsAway],Table2[GameDate], "&lt;=" &amp; $A101, Table2[AwayTeam], AD$1)+SUMIFS(Table2[NewPointsHome],Table2[GameDate], "&lt;=" &amp; $A101, Table2[HomeTeam], AD$1)</f>
        <v>8</v>
      </c>
      <c r="AE101" s="145">
        <f>SUMIFS(Table2[NewPointsAway],Table2[GameDate], "&lt;=" &amp; $A101, Table2[AwayTeam], AE$1)+SUMIFS(Table2[NewPointsHome],Table2[GameDate], "&lt;=" &amp; $A101, Table2[HomeTeam], AE$1)</f>
        <v>12</v>
      </c>
      <c r="AF101" s="145">
        <f>SUMIFS(Table2[NewPointsAway],Table2[GameDate], "&lt;=" &amp; $A101, Table2[AwayTeam], AF$1)+SUMIFS(Table2[NewPointsHome],Table2[GameDate], "&lt;=" &amp; $A101, Table2[HomeTeam], AF$1)</f>
        <v>10</v>
      </c>
      <c r="AG101" s="145">
        <f>SUMIFS(Table2[NewPointsAway],Table2[GameDate], "&lt;=" &amp; $A101, Table2[AwayTeam], AG$1)+SUMIFS(Table2[NewPointsHome],Table2[GameDate], "&lt;=" &amp; $A101, Table2[HomeTeam], AG$1)</f>
        <v>10</v>
      </c>
    </row>
    <row r="102" spans="1:33" x14ac:dyDescent="0.25">
      <c r="A102" s="3">
        <v>46033</v>
      </c>
      <c r="B102" s="145">
        <f>SUMIFS(Table2[NewPointsAway],Table2[GameDate], "&lt;=" &amp; $A102, Table2[AwayTeam], B$1)+SUMIFS(Table2[NewPointsHome],Table2[GameDate], "&lt;=" &amp; $A102, Table2[HomeTeam], B$1)</f>
        <v>7</v>
      </c>
      <c r="C102" s="145">
        <f>SUMIFS(Table2[NewPointsAway],Table2[GameDate], "&lt;=" &amp; $A102, Table2[AwayTeam], C$1)+SUMIFS(Table2[NewPointsHome],Table2[GameDate], "&lt;=" &amp; $A102, Table2[HomeTeam], C$1)</f>
        <v>6</v>
      </c>
      <c r="D102" s="145">
        <f>SUMIFS(Table2[NewPointsAway],Table2[GameDate], "&lt;=" &amp; $A102, Table2[AwayTeam], D$1)+SUMIFS(Table2[NewPointsHome],Table2[GameDate], "&lt;=" &amp; $A102, Table2[HomeTeam], D$1)</f>
        <v>4</v>
      </c>
      <c r="E102" s="145">
        <f>SUMIFS(Table2[NewPointsAway],Table2[GameDate], "&lt;=" &amp; $A102, Table2[AwayTeam], E$1)+SUMIFS(Table2[NewPointsHome],Table2[GameDate], "&lt;=" &amp; $A102, Table2[HomeTeam], E$1)</f>
        <v>10</v>
      </c>
      <c r="F102" s="145">
        <f>SUMIFS(Table2[NewPointsAway],Table2[GameDate], "&lt;=" &amp; $A102, Table2[AwayTeam], F$1)+SUMIFS(Table2[NewPointsHome],Table2[GameDate], "&lt;=" &amp; $A102, Table2[HomeTeam], F$1)</f>
        <v>6</v>
      </c>
      <c r="G102" s="145">
        <f>SUMIFS(Table2[NewPointsAway],Table2[GameDate], "&lt;=" &amp; $A102, Table2[AwayTeam], G$1)+SUMIFS(Table2[NewPointsHome],Table2[GameDate], "&lt;=" &amp; $A102, Table2[HomeTeam], G$1)</f>
        <v>2</v>
      </c>
      <c r="H102" s="145">
        <f>SUMIFS(Table2[NewPointsAway],Table2[GameDate], "&lt;=" &amp; $A102, Table2[AwayTeam], H$1)+SUMIFS(Table2[NewPointsHome],Table2[GameDate], "&lt;=" &amp; $A102, Table2[HomeTeam], H$1)</f>
        <v>8</v>
      </c>
      <c r="I102" s="145">
        <f>SUMIFS(Table2[NewPointsAway],Table2[GameDate], "&lt;=" &amp; $A102, Table2[AwayTeam], I$1)+SUMIFS(Table2[NewPointsHome],Table2[GameDate], "&lt;=" &amp; $A102, Table2[HomeTeam], I$1)</f>
        <v>12</v>
      </c>
      <c r="J102" s="145">
        <f>SUMIFS(Table2[NewPointsAway],Table2[GameDate], "&lt;=" &amp; $A102, Table2[AwayTeam], J$1)+SUMIFS(Table2[NewPointsHome],Table2[GameDate], "&lt;=" &amp; $A102, Table2[HomeTeam], J$1)</f>
        <v>6</v>
      </c>
      <c r="K102" s="145">
        <f>SUMIFS(Table2[NewPointsAway],Table2[GameDate], "&lt;=" &amp; $A102, Table2[AwayTeam], K$1)+SUMIFS(Table2[NewPointsHome],Table2[GameDate], "&lt;=" &amp; $A102, Table2[HomeTeam], K$1)</f>
        <v>10</v>
      </c>
      <c r="L102" s="145">
        <f>SUMIFS(Table2[NewPointsAway],Table2[GameDate], "&lt;=" &amp; $A102, Table2[AwayTeam], L$1)+SUMIFS(Table2[NewPointsHome],Table2[GameDate], "&lt;=" &amp; $A102, Table2[HomeTeam], L$1)</f>
        <v>7</v>
      </c>
      <c r="M102" s="145">
        <f>SUMIFS(Table2[NewPointsAway],Table2[GameDate], "&lt;=" &amp; $A102, Table2[AwayTeam], M$1)+SUMIFS(Table2[NewPointsHome],Table2[GameDate], "&lt;=" &amp; $A102, Table2[HomeTeam], M$1)</f>
        <v>8</v>
      </c>
      <c r="N102" s="145">
        <f>SUMIFS(Table2[NewPointsAway],Table2[GameDate], "&lt;=" &amp; $A102, Table2[AwayTeam], N$1)+SUMIFS(Table2[NewPointsHome],Table2[GameDate], "&lt;=" &amp; $A102, Table2[HomeTeam], N$1)</f>
        <v>6</v>
      </c>
      <c r="O102" s="145">
        <f>SUMIFS(Table2[NewPointsAway],Table2[GameDate], "&lt;=" &amp; $A102, Table2[AwayTeam], O$1)+SUMIFS(Table2[NewPointsHome],Table2[GameDate], "&lt;=" &amp; $A102, Table2[HomeTeam], O$1)</f>
        <v>7</v>
      </c>
      <c r="P102" s="145">
        <f>SUMIFS(Table2[NewPointsAway],Table2[GameDate], "&lt;=" &amp; $A102, Table2[AwayTeam], P$1)+SUMIFS(Table2[NewPointsHome],Table2[GameDate], "&lt;=" &amp; $A102, Table2[HomeTeam], P$1)</f>
        <v>10</v>
      </c>
      <c r="Q102" s="145">
        <f>SUMIFS(Table2[NewPointsAway],Table2[GameDate], "&lt;=" &amp; $A102, Table2[AwayTeam], Q$1)+SUMIFS(Table2[NewPointsHome],Table2[GameDate], "&lt;=" &amp; $A102, Table2[HomeTeam], Q$1)</f>
        <v>10</v>
      </c>
      <c r="R102" s="145">
        <f>SUMIFS(Table2[NewPointsAway],Table2[GameDate], "&lt;=" &amp; $A102, Table2[AwayTeam], R$1)+SUMIFS(Table2[NewPointsHome],Table2[GameDate], "&lt;=" &amp; $A102, Table2[HomeTeam], R$1)</f>
        <v>6</v>
      </c>
      <c r="S102" s="145">
        <f>SUMIFS(Table2[NewPointsAway],Table2[GameDate], "&lt;=" &amp; $A102, Table2[AwayTeam], S$1)+SUMIFS(Table2[NewPointsHome],Table2[GameDate], "&lt;=" &amp; $A102, Table2[HomeTeam], S$1)</f>
        <v>6</v>
      </c>
      <c r="T102" s="145">
        <f>SUMIFS(Table2[NewPointsAway],Table2[GameDate], "&lt;=" &amp; $A102, Table2[AwayTeam], T$1)+SUMIFS(Table2[NewPointsHome],Table2[GameDate], "&lt;=" &amp; $A102, Table2[HomeTeam], T$1)</f>
        <v>7</v>
      </c>
      <c r="U102" s="145">
        <f>SUMIFS(Table2[NewPointsAway],Table2[GameDate], "&lt;=" &amp; $A102, Table2[AwayTeam], U$1)+SUMIFS(Table2[NewPointsHome],Table2[GameDate], "&lt;=" &amp; $A102, Table2[HomeTeam], U$1)</f>
        <v>5</v>
      </c>
      <c r="V102" s="145">
        <f>SUMIFS(Table2[NewPointsAway],Table2[GameDate], "&lt;=" &amp; $A102, Table2[AwayTeam], V$1)+SUMIFS(Table2[NewPointsHome],Table2[GameDate], "&lt;=" &amp; $A102, Table2[HomeTeam], V$1)</f>
        <v>7</v>
      </c>
      <c r="W102" s="145">
        <f>SUMIFS(Table2[NewPointsAway],Table2[GameDate], "&lt;=" &amp; $A102, Table2[AwayTeam], W$1)+SUMIFS(Table2[NewPointsHome],Table2[GameDate], "&lt;=" &amp; $A102, Table2[HomeTeam], W$1)</f>
        <v>10</v>
      </c>
      <c r="X102" s="145">
        <f>SUMIFS(Table2[NewPointsAway],Table2[GameDate], "&lt;=" &amp; $A102, Table2[AwayTeam], X$1)+SUMIFS(Table2[NewPointsHome],Table2[GameDate], "&lt;=" &amp; $A102, Table2[HomeTeam], X$1)</f>
        <v>8</v>
      </c>
      <c r="Y102" s="145">
        <f>SUMIFS(Table2[NewPointsAway],Table2[GameDate], "&lt;=" &amp; $A102, Table2[AwayTeam], Y$1)+SUMIFS(Table2[NewPointsHome],Table2[GameDate], "&lt;=" &amp; $A102, Table2[HomeTeam], Y$1)</f>
        <v>2</v>
      </c>
      <c r="Z102" s="145">
        <f>SUMIFS(Table2[NewPointsAway],Table2[GameDate], "&lt;=" &amp; $A102, Table2[AwayTeam], Z$1)+SUMIFS(Table2[NewPointsHome],Table2[GameDate], "&lt;=" &amp; $A102, Table2[HomeTeam], Z$1)</f>
        <v>7</v>
      </c>
      <c r="AA102" s="145">
        <f>SUMIFS(Table2[NewPointsAway],Table2[GameDate], "&lt;=" &amp; $A102, Table2[AwayTeam], AA$1)+SUMIFS(Table2[NewPointsHome],Table2[GameDate], "&lt;=" &amp; $A102, Table2[HomeTeam], AA$1)</f>
        <v>4</v>
      </c>
      <c r="AB102" s="145">
        <f>SUMIFS(Table2[NewPointsAway],Table2[GameDate], "&lt;=" &amp; $A102, Table2[AwayTeam], AB$1)+SUMIFS(Table2[NewPointsHome],Table2[GameDate], "&lt;=" &amp; $A102, Table2[HomeTeam], AB$1)</f>
        <v>7</v>
      </c>
      <c r="AC102" s="145">
        <f>SUMIFS(Table2[NewPointsAway],Table2[GameDate], "&lt;=" &amp; $A102, Table2[AwayTeam], AC$1)+SUMIFS(Table2[NewPointsHome],Table2[GameDate], "&lt;=" &amp; $A102, Table2[HomeTeam], AC$1)</f>
        <v>10</v>
      </c>
      <c r="AD102" s="145">
        <f>SUMIFS(Table2[NewPointsAway],Table2[GameDate], "&lt;=" &amp; $A102, Table2[AwayTeam], AD$1)+SUMIFS(Table2[NewPointsHome],Table2[GameDate], "&lt;=" &amp; $A102, Table2[HomeTeam], AD$1)</f>
        <v>8</v>
      </c>
      <c r="AE102" s="145">
        <f>SUMIFS(Table2[NewPointsAway],Table2[GameDate], "&lt;=" &amp; $A102, Table2[AwayTeam], AE$1)+SUMIFS(Table2[NewPointsHome],Table2[GameDate], "&lt;=" &amp; $A102, Table2[HomeTeam], AE$1)</f>
        <v>12</v>
      </c>
      <c r="AF102" s="145">
        <f>SUMIFS(Table2[NewPointsAway],Table2[GameDate], "&lt;=" &amp; $A102, Table2[AwayTeam], AF$1)+SUMIFS(Table2[NewPointsHome],Table2[GameDate], "&lt;=" &amp; $A102, Table2[HomeTeam], AF$1)</f>
        <v>10</v>
      </c>
      <c r="AG102" s="145">
        <f>SUMIFS(Table2[NewPointsAway],Table2[GameDate], "&lt;=" &amp; $A102, Table2[AwayTeam], AG$1)+SUMIFS(Table2[NewPointsHome],Table2[GameDate], "&lt;=" &amp; $A102, Table2[HomeTeam], AG$1)</f>
        <v>10</v>
      </c>
    </row>
    <row r="103" spans="1:33" x14ac:dyDescent="0.25">
      <c r="A103" s="3">
        <v>46034</v>
      </c>
      <c r="B103" s="145">
        <f>SUMIFS(Table2[NewPointsAway],Table2[GameDate], "&lt;=" &amp; $A103, Table2[AwayTeam], B$1)+SUMIFS(Table2[NewPointsHome],Table2[GameDate], "&lt;=" &amp; $A103, Table2[HomeTeam], B$1)</f>
        <v>7</v>
      </c>
      <c r="C103" s="145">
        <f>SUMIFS(Table2[NewPointsAway],Table2[GameDate], "&lt;=" &amp; $A103, Table2[AwayTeam], C$1)+SUMIFS(Table2[NewPointsHome],Table2[GameDate], "&lt;=" &amp; $A103, Table2[HomeTeam], C$1)</f>
        <v>6</v>
      </c>
      <c r="D103" s="145">
        <f>SUMIFS(Table2[NewPointsAway],Table2[GameDate], "&lt;=" &amp; $A103, Table2[AwayTeam], D$1)+SUMIFS(Table2[NewPointsHome],Table2[GameDate], "&lt;=" &amp; $A103, Table2[HomeTeam], D$1)</f>
        <v>4</v>
      </c>
      <c r="E103" s="145">
        <f>SUMIFS(Table2[NewPointsAway],Table2[GameDate], "&lt;=" &amp; $A103, Table2[AwayTeam], E$1)+SUMIFS(Table2[NewPointsHome],Table2[GameDate], "&lt;=" &amp; $A103, Table2[HomeTeam], E$1)</f>
        <v>10</v>
      </c>
      <c r="F103" s="145">
        <f>SUMIFS(Table2[NewPointsAway],Table2[GameDate], "&lt;=" &amp; $A103, Table2[AwayTeam], F$1)+SUMIFS(Table2[NewPointsHome],Table2[GameDate], "&lt;=" &amp; $A103, Table2[HomeTeam], F$1)</f>
        <v>6</v>
      </c>
      <c r="G103" s="145">
        <f>SUMIFS(Table2[NewPointsAway],Table2[GameDate], "&lt;=" &amp; $A103, Table2[AwayTeam], G$1)+SUMIFS(Table2[NewPointsHome],Table2[GameDate], "&lt;=" &amp; $A103, Table2[HomeTeam], G$1)</f>
        <v>2</v>
      </c>
      <c r="H103" s="145">
        <f>SUMIFS(Table2[NewPointsAway],Table2[GameDate], "&lt;=" &amp; $A103, Table2[AwayTeam], H$1)+SUMIFS(Table2[NewPointsHome],Table2[GameDate], "&lt;=" &amp; $A103, Table2[HomeTeam], H$1)</f>
        <v>8</v>
      </c>
      <c r="I103" s="145">
        <f>SUMIFS(Table2[NewPointsAway],Table2[GameDate], "&lt;=" &amp; $A103, Table2[AwayTeam], I$1)+SUMIFS(Table2[NewPointsHome],Table2[GameDate], "&lt;=" &amp; $A103, Table2[HomeTeam], I$1)</f>
        <v>12</v>
      </c>
      <c r="J103" s="145">
        <f>SUMIFS(Table2[NewPointsAway],Table2[GameDate], "&lt;=" &amp; $A103, Table2[AwayTeam], J$1)+SUMIFS(Table2[NewPointsHome],Table2[GameDate], "&lt;=" &amp; $A103, Table2[HomeTeam], J$1)</f>
        <v>6</v>
      </c>
      <c r="K103" s="145">
        <f>SUMIFS(Table2[NewPointsAway],Table2[GameDate], "&lt;=" &amp; $A103, Table2[AwayTeam], K$1)+SUMIFS(Table2[NewPointsHome],Table2[GameDate], "&lt;=" &amp; $A103, Table2[HomeTeam], K$1)</f>
        <v>10</v>
      </c>
      <c r="L103" s="145">
        <f>SUMIFS(Table2[NewPointsAway],Table2[GameDate], "&lt;=" &amp; $A103, Table2[AwayTeam], L$1)+SUMIFS(Table2[NewPointsHome],Table2[GameDate], "&lt;=" &amp; $A103, Table2[HomeTeam], L$1)</f>
        <v>7</v>
      </c>
      <c r="M103" s="145">
        <f>SUMIFS(Table2[NewPointsAway],Table2[GameDate], "&lt;=" &amp; $A103, Table2[AwayTeam], M$1)+SUMIFS(Table2[NewPointsHome],Table2[GameDate], "&lt;=" &amp; $A103, Table2[HomeTeam], M$1)</f>
        <v>8</v>
      </c>
      <c r="N103" s="145">
        <f>SUMIFS(Table2[NewPointsAway],Table2[GameDate], "&lt;=" &amp; $A103, Table2[AwayTeam], N$1)+SUMIFS(Table2[NewPointsHome],Table2[GameDate], "&lt;=" &amp; $A103, Table2[HomeTeam], N$1)</f>
        <v>6</v>
      </c>
      <c r="O103" s="145">
        <f>SUMIFS(Table2[NewPointsAway],Table2[GameDate], "&lt;=" &amp; $A103, Table2[AwayTeam], O$1)+SUMIFS(Table2[NewPointsHome],Table2[GameDate], "&lt;=" &amp; $A103, Table2[HomeTeam], O$1)</f>
        <v>7</v>
      </c>
      <c r="P103" s="145">
        <f>SUMIFS(Table2[NewPointsAway],Table2[GameDate], "&lt;=" &amp; $A103, Table2[AwayTeam], P$1)+SUMIFS(Table2[NewPointsHome],Table2[GameDate], "&lt;=" &amp; $A103, Table2[HomeTeam], P$1)</f>
        <v>10</v>
      </c>
      <c r="Q103" s="145">
        <f>SUMIFS(Table2[NewPointsAway],Table2[GameDate], "&lt;=" &amp; $A103, Table2[AwayTeam], Q$1)+SUMIFS(Table2[NewPointsHome],Table2[GameDate], "&lt;=" &amp; $A103, Table2[HomeTeam], Q$1)</f>
        <v>10</v>
      </c>
      <c r="R103" s="145">
        <f>SUMIFS(Table2[NewPointsAway],Table2[GameDate], "&lt;=" &amp; $A103, Table2[AwayTeam], R$1)+SUMIFS(Table2[NewPointsHome],Table2[GameDate], "&lt;=" &amp; $A103, Table2[HomeTeam], R$1)</f>
        <v>6</v>
      </c>
      <c r="S103" s="145">
        <f>SUMIFS(Table2[NewPointsAway],Table2[GameDate], "&lt;=" &amp; $A103, Table2[AwayTeam], S$1)+SUMIFS(Table2[NewPointsHome],Table2[GameDate], "&lt;=" &amp; $A103, Table2[HomeTeam], S$1)</f>
        <v>6</v>
      </c>
      <c r="T103" s="145">
        <f>SUMIFS(Table2[NewPointsAway],Table2[GameDate], "&lt;=" &amp; $A103, Table2[AwayTeam], T$1)+SUMIFS(Table2[NewPointsHome],Table2[GameDate], "&lt;=" &amp; $A103, Table2[HomeTeam], T$1)</f>
        <v>7</v>
      </c>
      <c r="U103" s="145">
        <f>SUMIFS(Table2[NewPointsAway],Table2[GameDate], "&lt;=" &amp; $A103, Table2[AwayTeam], U$1)+SUMIFS(Table2[NewPointsHome],Table2[GameDate], "&lt;=" &amp; $A103, Table2[HomeTeam], U$1)</f>
        <v>5</v>
      </c>
      <c r="V103" s="145">
        <f>SUMIFS(Table2[NewPointsAway],Table2[GameDate], "&lt;=" &amp; $A103, Table2[AwayTeam], V$1)+SUMIFS(Table2[NewPointsHome],Table2[GameDate], "&lt;=" &amp; $A103, Table2[HomeTeam], V$1)</f>
        <v>7</v>
      </c>
      <c r="W103" s="145">
        <f>SUMIFS(Table2[NewPointsAway],Table2[GameDate], "&lt;=" &amp; $A103, Table2[AwayTeam], W$1)+SUMIFS(Table2[NewPointsHome],Table2[GameDate], "&lt;=" &amp; $A103, Table2[HomeTeam], W$1)</f>
        <v>10</v>
      </c>
      <c r="X103" s="145">
        <f>SUMIFS(Table2[NewPointsAway],Table2[GameDate], "&lt;=" &amp; $A103, Table2[AwayTeam], X$1)+SUMIFS(Table2[NewPointsHome],Table2[GameDate], "&lt;=" &amp; $A103, Table2[HomeTeam], X$1)</f>
        <v>8</v>
      </c>
      <c r="Y103" s="145">
        <f>SUMIFS(Table2[NewPointsAway],Table2[GameDate], "&lt;=" &amp; $A103, Table2[AwayTeam], Y$1)+SUMIFS(Table2[NewPointsHome],Table2[GameDate], "&lt;=" &amp; $A103, Table2[HomeTeam], Y$1)</f>
        <v>2</v>
      </c>
      <c r="Z103" s="145">
        <f>SUMIFS(Table2[NewPointsAway],Table2[GameDate], "&lt;=" &amp; $A103, Table2[AwayTeam], Z$1)+SUMIFS(Table2[NewPointsHome],Table2[GameDate], "&lt;=" &amp; $A103, Table2[HomeTeam], Z$1)</f>
        <v>7</v>
      </c>
      <c r="AA103" s="145">
        <f>SUMIFS(Table2[NewPointsAway],Table2[GameDate], "&lt;=" &amp; $A103, Table2[AwayTeam], AA$1)+SUMIFS(Table2[NewPointsHome],Table2[GameDate], "&lt;=" &amp; $A103, Table2[HomeTeam], AA$1)</f>
        <v>4</v>
      </c>
      <c r="AB103" s="145">
        <f>SUMIFS(Table2[NewPointsAway],Table2[GameDate], "&lt;=" &amp; $A103, Table2[AwayTeam], AB$1)+SUMIFS(Table2[NewPointsHome],Table2[GameDate], "&lt;=" &amp; $A103, Table2[HomeTeam], AB$1)</f>
        <v>7</v>
      </c>
      <c r="AC103" s="145">
        <f>SUMIFS(Table2[NewPointsAway],Table2[GameDate], "&lt;=" &amp; $A103, Table2[AwayTeam], AC$1)+SUMIFS(Table2[NewPointsHome],Table2[GameDate], "&lt;=" &amp; $A103, Table2[HomeTeam], AC$1)</f>
        <v>10</v>
      </c>
      <c r="AD103" s="145">
        <f>SUMIFS(Table2[NewPointsAway],Table2[GameDate], "&lt;=" &amp; $A103, Table2[AwayTeam], AD$1)+SUMIFS(Table2[NewPointsHome],Table2[GameDate], "&lt;=" &amp; $A103, Table2[HomeTeam], AD$1)</f>
        <v>8</v>
      </c>
      <c r="AE103" s="145">
        <f>SUMIFS(Table2[NewPointsAway],Table2[GameDate], "&lt;=" &amp; $A103, Table2[AwayTeam], AE$1)+SUMIFS(Table2[NewPointsHome],Table2[GameDate], "&lt;=" &amp; $A103, Table2[HomeTeam], AE$1)</f>
        <v>12</v>
      </c>
      <c r="AF103" s="145">
        <f>SUMIFS(Table2[NewPointsAway],Table2[GameDate], "&lt;=" &amp; $A103, Table2[AwayTeam], AF$1)+SUMIFS(Table2[NewPointsHome],Table2[GameDate], "&lt;=" &amp; $A103, Table2[HomeTeam], AF$1)</f>
        <v>10</v>
      </c>
      <c r="AG103" s="145">
        <f>SUMIFS(Table2[NewPointsAway],Table2[GameDate], "&lt;=" &amp; $A103, Table2[AwayTeam], AG$1)+SUMIFS(Table2[NewPointsHome],Table2[GameDate], "&lt;=" &amp; $A103, Table2[HomeTeam], AG$1)</f>
        <v>10</v>
      </c>
    </row>
    <row r="104" spans="1:33" x14ac:dyDescent="0.25">
      <c r="A104" s="3">
        <v>46035</v>
      </c>
      <c r="B104" s="145">
        <f>SUMIFS(Table2[NewPointsAway],Table2[GameDate], "&lt;=" &amp; $A104, Table2[AwayTeam], B$1)+SUMIFS(Table2[NewPointsHome],Table2[GameDate], "&lt;=" &amp; $A104, Table2[HomeTeam], B$1)</f>
        <v>7</v>
      </c>
      <c r="C104" s="145">
        <f>SUMIFS(Table2[NewPointsAway],Table2[GameDate], "&lt;=" &amp; $A104, Table2[AwayTeam], C$1)+SUMIFS(Table2[NewPointsHome],Table2[GameDate], "&lt;=" &amp; $A104, Table2[HomeTeam], C$1)</f>
        <v>6</v>
      </c>
      <c r="D104" s="145">
        <f>SUMIFS(Table2[NewPointsAway],Table2[GameDate], "&lt;=" &amp; $A104, Table2[AwayTeam], D$1)+SUMIFS(Table2[NewPointsHome],Table2[GameDate], "&lt;=" &amp; $A104, Table2[HomeTeam], D$1)</f>
        <v>4</v>
      </c>
      <c r="E104" s="145">
        <f>SUMIFS(Table2[NewPointsAway],Table2[GameDate], "&lt;=" &amp; $A104, Table2[AwayTeam], E$1)+SUMIFS(Table2[NewPointsHome],Table2[GameDate], "&lt;=" &amp; $A104, Table2[HomeTeam], E$1)</f>
        <v>10</v>
      </c>
      <c r="F104" s="145">
        <f>SUMIFS(Table2[NewPointsAway],Table2[GameDate], "&lt;=" &amp; $A104, Table2[AwayTeam], F$1)+SUMIFS(Table2[NewPointsHome],Table2[GameDate], "&lt;=" &amp; $A104, Table2[HomeTeam], F$1)</f>
        <v>6</v>
      </c>
      <c r="G104" s="145">
        <f>SUMIFS(Table2[NewPointsAway],Table2[GameDate], "&lt;=" &amp; $A104, Table2[AwayTeam], G$1)+SUMIFS(Table2[NewPointsHome],Table2[GameDate], "&lt;=" &amp; $A104, Table2[HomeTeam], G$1)</f>
        <v>2</v>
      </c>
      <c r="H104" s="145">
        <f>SUMIFS(Table2[NewPointsAway],Table2[GameDate], "&lt;=" &amp; $A104, Table2[AwayTeam], H$1)+SUMIFS(Table2[NewPointsHome],Table2[GameDate], "&lt;=" &amp; $A104, Table2[HomeTeam], H$1)</f>
        <v>8</v>
      </c>
      <c r="I104" s="145">
        <f>SUMIFS(Table2[NewPointsAway],Table2[GameDate], "&lt;=" &amp; $A104, Table2[AwayTeam], I$1)+SUMIFS(Table2[NewPointsHome],Table2[GameDate], "&lt;=" &amp; $A104, Table2[HomeTeam], I$1)</f>
        <v>12</v>
      </c>
      <c r="J104" s="145">
        <f>SUMIFS(Table2[NewPointsAway],Table2[GameDate], "&lt;=" &amp; $A104, Table2[AwayTeam], J$1)+SUMIFS(Table2[NewPointsHome],Table2[GameDate], "&lt;=" &amp; $A104, Table2[HomeTeam], J$1)</f>
        <v>6</v>
      </c>
      <c r="K104" s="145">
        <f>SUMIFS(Table2[NewPointsAway],Table2[GameDate], "&lt;=" &amp; $A104, Table2[AwayTeam], K$1)+SUMIFS(Table2[NewPointsHome],Table2[GameDate], "&lt;=" &amp; $A104, Table2[HomeTeam], K$1)</f>
        <v>10</v>
      </c>
      <c r="L104" s="145">
        <f>SUMIFS(Table2[NewPointsAway],Table2[GameDate], "&lt;=" &amp; $A104, Table2[AwayTeam], L$1)+SUMIFS(Table2[NewPointsHome],Table2[GameDate], "&lt;=" &amp; $A104, Table2[HomeTeam], L$1)</f>
        <v>7</v>
      </c>
      <c r="M104" s="145">
        <f>SUMIFS(Table2[NewPointsAway],Table2[GameDate], "&lt;=" &amp; $A104, Table2[AwayTeam], M$1)+SUMIFS(Table2[NewPointsHome],Table2[GameDate], "&lt;=" &amp; $A104, Table2[HomeTeam], M$1)</f>
        <v>8</v>
      </c>
      <c r="N104" s="145">
        <f>SUMIFS(Table2[NewPointsAway],Table2[GameDate], "&lt;=" &amp; $A104, Table2[AwayTeam], N$1)+SUMIFS(Table2[NewPointsHome],Table2[GameDate], "&lt;=" &amp; $A104, Table2[HomeTeam], N$1)</f>
        <v>6</v>
      </c>
      <c r="O104" s="145">
        <f>SUMIFS(Table2[NewPointsAway],Table2[GameDate], "&lt;=" &amp; $A104, Table2[AwayTeam], O$1)+SUMIFS(Table2[NewPointsHome],Table2[GameDate], "&lt;=" &amp; $A104, Table2[HomeTeam], O$1)</f>
        <v>7</v>
      </c>
      <c r="P104" s="145">
        <f>SUMIFS(Table2[NewPointsAway],Table2[GameDate], "&lt;=" &amp; $A104, Table2[AwayTeam], P$1)+SUMIFS(Table2[NewPointsHome],Table2[GameDate], "&lt;=" &amp; $A104, Table2[HomeTeam], P$1)</f>
        <v>10</v>
      </c>
      <c r="Q104" s="145">
        <f>SUMIFS(Table2[NewPointsAway],Table2[GameDate], "&lt;=" &amp; $A104, Table2[AwayTeam], Q$1)+SUMIFS(Table2[NewPointsHome],Table2[GameDate], "&lt;=" &amp; $A104, Table2[HomeTeam], Q$1)</f>
        <v>10</v>
      </c>
      <c r="R104" s="145">
        <f>SUMIFS(Table2[NewPointsAway],Table2[GameDate], "&lt;=" &amp; $A104, Table2[AwayTeam], R$1)+SUMIFS(Table2[NewPointsHome],Table2[GameDate], "&lt;=" &amp; $A104, Table2[HomeTeam], R$1)</f>
        <v>6</v>
      </c>
      <c r="S104" s="145">
        <f>SUMIFS(Table2[NewPointsAway],Table2[GameDate], "&lt;=" &amp; $A104, Table2[AwayTeam], S$1)+SUMIFS(Table2[NewPointsHome],Table2[GameDate], "&lt;=" &amp; $A104, Table2[HomeTeam], S$1)</f>
        <v>6</v>
      </c>
      <c r="T104" s="145">
        <f>SUMIFS(Table2[NewPointsAway],Table2[GameDate], "&lt;=" &amp; $A104, Table2[AwayTeam], T$1)+SUMIFS(Table2[NewPointsHome],Table2[GameDate], "&lt;=" &amp; $A104, Table2[HomeTeam], T$1)</f>
        <v>7</v>
      </c>
      <c r="U104" s="145">
        <f>SUMIFS(Table2[NewPointsAway],Table2[GameDate], "&lt;=" &amp; $A104, Table2[AwayTeam], U$1)+SUMIFS(Table2[NewPointsHome],Table2[GameDate], "&lt;=" &amp; $A104, Table2[HomeTeam], U$1)</f>
        <v>5</v>
      </c>
      <c r="V104" s="145">
        <f>SUMIFS(Table2[NewPointsAway],Table2[GameDate], "&lt;=" &amp; $A104, Table2[AwayTeam], V$1)+SUMIFS(Table2[NewPointsHome],Table2[GameDate], "&lt;=" &amp; $A104, Table2[HomeTeam], V$1)</f>
        <v>7</v>
      </c>
      <c r="W104" s="145">
        <f>SUMIFS(Table2[NewPointsAway],Table2[GameDate], "&lt;=" &amp; $A104, Table2[AwayTeam], W$1)+SUMIFS(Table2[NewPointsHome],Table2[GameDate], "&lt;=" &amp; $A104, Table2[HomeTeam], W$1)</f>
        <v>10</v>
      </c>
      <c r="X104" s="145">
        <f>SUMIFS(Table2[NewPointsAway],Table2[GameDate], "&lt;=" &amp; $A104, Table2[AwayTeam], X$1)+SUMIFS(Table2[NewPointsHome],Table2[GameDate], "&lt;=" &amp; $A104, Table2[HomeTeam], X$1)</f>
        <v>8</v>
      </c>
      <c r="Y104" s="145">
        <f>SUMIFS(Table2[NewPointsAway],Table2[GameDate], "&lt;=" &amp; $A104, Table2[AwayTeam], Y$1)+SUMIFS(Table2[NewPointsHome],Table2[GameDate], "&lt;=" &amp; $A104, Table2[HomeTeam], Y$1)</f>
        <v>2</v>
      </c>
      <c r="Z104" s="145">
        <f>SUMIFS(Table2[NewPointsAway],Table2[GameDate], "&lt;=" &amp; $A104, Table2[AwayTeam], Z$1)+SUMIFS(Table2[NewPointsHome],Table2[GameDate], "&lt;=" &amp; $A104, Table2[HomeTeam], Z$1)</f>
        <v>7</v>
      </c>
      <c r="AA104" s="145">
        <f>SUMIFS(Table2[NewPointsAway],Table2[GameDate], "&lt;=" &amp; $A104, Table2[AwayTeam], AA$1)+SUMIFS(Table2[NewPointsHome],Table2[GameDate], "&lt;=" &amp; $A104, Table2[HomeTeam], AA$1)</f>
        <v>4</v>
      </c>
      <c r="AB104" s="145">
        <f>SUMIFS(Table2[NewPointsAway],Table2[GameDate], "&lt;=" &amp; $A104, Table2[AwayTeam], AB$1)+SUMIFS(Table2[NewPointsHome],Table2[GameDate], "&lt;=" &amp; $A104, Table2[HomeTeam], AB$1)</f>
        <v>7</v>
      </c>
      <c r="AC104" s="145">
        <f>SUMIFS(Table2[NewPointsAway],Table2[GameDate], "&lt;=" &amp; $A104, Table2[AwayTeam], AC$1)+SUMIFS(Table2[NewPointsHome],Table2[GameDate], "&lt;=" &amp; $A104, Table2[HomeTeam], AC$1)</f>
        <v>10</v>
      </c>
      <c r="AD104" s="145">
        <f>SUMIFS(Table2[NewPointsAway],Table2[GameDate], "&lt;=" &amp; $A104, Table2[AwayTeam], AD$1)+SUMIFS(Table2[NewPointsHome],Table2[GameDate], "&lt;=" &amp; $A104, Table2[HomeTeam], AD$1)</f>
        <v>8</v>
      </c>
      <c r="AE104" s="145">
        <f>SUMIFS(Table2[NewPointsAway],Table2[GameDate], "&lt;=" &amp; $A104, Table2[AwayTeam], AE$1)+SUMIFS(Table2[NewPointsHome],Table2[GameDate], "&lt;=" &amp; $A104, Table2[HomeTeam], AE$1)</f>
        <v>12</v>
      </c>
      <c r="AF104" s="145">
        <f>SUMIFS(Table2[NewPointsAway],Table2[GameDate], "&lt;=" &amp; $A104, Table2[AwayTeam], AF$1)+SUMIFS(Table2[NewPointsHome],Table2[GameDate], "&lt;=" &amp; $A104, Table2[HomeTeam], AF$1)</f>
        <v>10</v>
      </c>
      <c r="AG104" s="145">
        <f>SUMIFS(Table2[NewPointsAway],Table2[GameDate], "&lt;=" &amp; $A104, Table2[AwayTeam], AG$1)+SUMIFS(Table2[NewPointsHome],Table2[GameDate], "&lt;=" &amp; $A104, Table2[HomeTeam], AG$1)</f>
        <v>10</v>
      </c>
    </row>
    <row r="105" spans="1:33" x14ac:dyDescent="0.25">
      <c r="A105" s="3">
        <v>46036</v>
      </c>
      <c r="B105" s="145">
        <f>SUMIFS(Table2[NewPointsAway],Table2[GameDate], "&lt;=" &amp; $A105, Table2[AwayTeam], B$1)+SUMIFS(Table2[NewPointsHome],Table2[GameDate], "&lt;=" &amp; $A105, Table2[HomeTeam], B$1)</f>
        <v>7</v>
      </c>
      <c r="C105" s="145">
        <f>SUMIFS(Table2[NewPointsAway],Table2[GameDate], "&lt;=" &amp; $A105, Table2[AwayTeam], C$1)+SUMIFS(Table2[NewPointsHome],Table2[GameDate], "&lt;=" &amp; $A105, Table2[HomeTeam], C$1)</f>
        <v>6</v>
      </c>
      <c r="D105" s="145">
        <f>SUMIFS(Table2[NewPointsAway],Table2[GameDate], "&lt;=" &amp; $A105, Table2[AwayTeam], D$1)+SUMIFS(Table2[NewPointsHome],Table2[GameDate], "&lt;=" &amp; $A105, Table2[HomeTeam], D$1)</f>
        <v>4</v>
      </c>
      <c r="E105" s="145">
        <f>SUMIFS(Table2[NewPointsAway],Table2[GameDate], "&lt;=" &amp; $A105, Table2[AwayTeam], E$1)+SUMIFS(Table2[NewPointsHome],Table2[GameDate], "&lt;=" &amp; $A105, Table2[HomeTeam], E$1)</f>
        <v>10</v>
      </c>
      <c r="F105" s="145">
        <f>SUMIFS(Table2[NewPointsAway],Table2[GameDate], "&lt;=" &amp; $A105, Table2[AwayTeam], F$1)+SUMIFS(Table2[NewPointsHome],Table2[GameDate], "&lt;=" &amp; $A105, Table2[HomeTeam], F$1)</f>
        <v>6</v>
      </c>
      <c r="G105" s="145">
        <f>SUMIFS(Table2[NewPointsAway],Table2[GameDate], "&lt;=" &amp; $A105, Table2[AwayTeam], G$1)+SUMIFS(Table2[NewPointsHome],Table2[GameDate], "&lt;=" &amp; $A105, Table2[HomeTeam], G$1)</f>
        <v>2</v>
      </c>
      <c r="H105" s="145">
        <f>SUMIFS(Table2[NewPointsAway],Table2[GameDate], "&lt;=" &amp; $A105, Table2[AwayTeam], H$1)+SUMIFS(Table2[NewPointsHome],Table2[GameDate], "&lt;=" &amp; $A105, Table2[HomeTeam], H$1)</f>
        <v>8</v>
      </c>
      <c r="I105" s="145">
        <f>SUMIFS(Table2[NewPointsAway],Table2[GameDate], "&lt;=" &amp; $A105, Table2[AwayTeam], I$1)+SUMIFS(Table2[NewPointsHome],Table2[GameDate], "&lt;=" &amp; $A105, Table2[HomeTeam], I$1)</f>
        <v>12</v>
      </c>
      <c r="J105" s="145">
        <f>SUMIFS(Table2[NewPointsAway],Table2[GameDate], "&lt;=" &amp; $A105, Table2[AwayTeam], J$1)+SUMIFS(Table2[NewPointsHome],Table2[GameDate], "&lt;=" &amp; $A105, Table2[HomeTeam], J$1)</f>
        <v>6</v>
      </c>
      <c r="K105" s="145">
        <f>SUMIFS(Table2[NewPointsAway],Table2[GameDate], "&lt;=" &amp; $A105, Table2[AwayTeam], K$1)+SUMIFS(Table2[NewPointsHome],Table2[GameDate], "&lt;=" &amp; $A105, Table2[HomeTeam], K$1)</f>
        <v>10</v>
      </c>
      <c r="L105" s="145">
        <f>SUMIFS(Table2[NewPointsAway],Table2[GameDate], "&lt;=" &amp; $A105, Table2[AwayTeam], L$1)+SUMIFS(Table2[NewPointsHome],Table2[GameDate], "&lt;=" &amp; $A105, Table2[HomeTeam], L$1)</f>
        <v>7</v>
      </c>
      <c r="M105" s="145">
        <f>SUMIFS(Table2[NewPointsAway],Table2[GameDate], "&lt;=" &amp; $A105, Table2[AwayTeam], M$1)+SUMIFS(Table2[NewPointsHome],Table2[GameDate], "&lt;=" &amp; $A105, Table2[HomeTeam], M$1)</f>
        <v>8</v>
      </c>
      <c r="N105" s="145">
        <f>SUMIFS(Table2[NewPointsAway],Table2[GameDate], "&lt;=" &amp; $A105, Table2[AwayTeam], N$1)+SUMIFS(Table2[NewPointsHome],Table2[GameDate], "&lt;=" &amp; $A105, Table2[HomeTeam], N$1)</f>
        <v>6</v>
      </c>
      <c r="O105" s="145">
        <f>SUMIFS(Table2[NewPointsAway],Table2[GameDate], "&lt;=" &amp; $A105, Table2[AwayTeam], O$1)+SUMIFS(Table2[NewPointsHome],Table2[GameDate], "&lt;=" &amp; $A105, Table2[HomeTeam], O$1)</f>
        <v>7</v>
      </c>
      <c r="P105" s="145">
        <f>SUMIFS(Table2[NewPointsAway],Table2[GameDate], "&lt;=" &amp; $A105, Table2[AwayTeam], P$1)+SUMIFS(Table2[NewPointsHome],Table2[GameDate], "&lt;=" &amp; $A105, Table2[HomeTeam], P$1)</f>
        <v>10</v>
      </c>
      <c r="Q105" s="145">
        <f>SUMIFS(Table2[NewPointsAway],Table2[GameDate], "&lt;=" &amp; $A105, Table2[AwayTeam], Q$1)+SUMIFS(Table2[NewPointsHome],Table2[GameDate], "&lt;=" &amp; $A105, Table2[HomeTeam], Q$1)</f>
        <v>10</v>
      </c>
      <c r="R105" s="145">
        <f>SUMIFS(Table2[NewPointsAway],Table2[GameDate], "&lt;=" &amp; $A105, Table2[AwayTeam], R$1)+SUMIFS(Table2[NewPointsHome],Table2[GameDate], "&lt;=" &amp; $A105, Table2[HomeTeam], R$1)</f>
        <v>6</v>
      </c>
      <c r="S105" s="145">
        <f>SUMIFS(Table2[NewPointsAway],Table2[GameDate], "&lt;=" &amp; $A105, Table2[AwayTeam], S$1)+SUMIFS(Table2[NewPointsHome],Table2[GameDate], "&lt;=" &amp; $A105, Table2[HomeTeam], S$1)</f>
        <v>6</v>
      </c>
      <c r="T105" s="145">
        <f>SUMIFS(Table2[NewPointsAway],Table2[GameDate], "&lt;=" &amp; $A105, Table2[AwayTeam], T$1)+SUMIFS(Table2[NewPointsHome],Table2[GameDate], "&lt;=" &amp; $A105, Table2[HomeTeam], T$1)</f>
        <v>7</v>
      </c>
      <c r="U105" s="145">
        <f>SUMIFS(Table2[NewPointsAway],Table2[GameDate], "&lt;=" &amp; $A105, Table2[AwayTeam], U$1)+SUMIFS(Table2[NewPointsHome],Table2[GameDate], "&lt;=" &amp; $A105, Table2[HomeTeam], U$1)</f>
        <v>5</v>
      </c>
      <c r="V105" s="145">
        <f>SUMIFS(Table2[NewPointsAway],Table2[GameDate], "&lt;=" &amp; $A105, Table2[AwayTeam], V$1)+SUMIFS(Table2[NewPointsHome],Table2[GameDate], "&lt;=" &amp; $A105, Table2[HomeTeam], V$1)</f>
        <v>7</v>
      </c>
      <c r="W105" s="145">
        <f>SUMIFS(Table2[NewPointsAway],Table2[GameDate], "&lt;=" &amp; $A105, Table2[AwayTeam], W$1)+SUMIFS(Table2[NewPointsHome],Table2[GameDate], "&lt;=" &amp; $A105, Table2[HomeTeam], W$1)</f>
        <v>10</v>
      </c>
      <c r="X105" s="145">
        <f>SUMIFS(Table2[NewPointsAway],Table2[GameDate], "&lt;=" &amp; $A105, Table2[AwayTeam], X$1)+SUMIFS(Table2[NewPointsHome],Table2[GameDate], "&lt;=" &amp; $A105, Table2[HomeTeam], X$1)</f>
        <v>8</v>
      </c>
      <c r="Y105" s="145">
        <f>SUMIFS(Table2[NewPointsAway],Table2[GameDate], "&lt;=" &amp; $A105, Table2[AwayTeam], Y$1)+SUMIFS(Table2[NewPointsHome],Table2[GameDate], "&lt;=" &amp; $A105, Table2[HomeTeam], Y$1)</f>
        <v>2</v>
      </c>
      <c r="Z105" s="145">
        <f>SUMIFS(Table2[NewPointsAway],Table2[GameDate], "&lt;=" &amp; $A105, Table2[AwayTeam], Z$1)+SUMIFS(Table2[NewPointsHome],Table2[GameDate], "&lt;=" &amp; $A105, Table2[HomeTeam], Z$1)</f>
        <v>7</v>
      </c>
      <c r="AA105" s="145">
        <f>SUMIFS(Table2[NewPointsAway],Table2[GameDate], "&lt;=" &amp; $A105, Table2[AwayTeam], AA$1)+SUMIFS(Table2[NewPointsHome],Table2[GameDate], "&lt;=" &amp; $A105, Table2[HomeTeam], AA$1)</f>
        <v>4</v>
      </c>
      <c r="AB105" s="145">
        <f>SUMIFS(Table2[NewPointsAway],Table2[GameDate], "&lt;=" &amp; $A105, Table2[AwayTeam], AB$1)+SUMIFS(Table2[NewPointsHome],Table2[GameDate], "&lt;=" &amp; $A105, Table2[HomeTeam], AB$1)</f>
        <v>7</v>
      </c>
      <c r="AC105" s="145">
        <f>SUMIFS(Table2[NewPointsAway],Table2[GameDate], "&lt;=" &amp; $A105, Table2[AwayTeam], AC$1)+SUMIFS(Table2[NewPointsHome],Table2[GameDate], "&lt;=" &amp; $A105, Table2[HomeTeam], AC$1)</f>
        <v>10</v>
      </c>
      <c r="AD105" s="145">
        <f>SUMIFS(Table2[NewPointsAway],Table2[GameDate], "&lt;=" &amp; $A105, Table2[AwayTeam], AD$1)+SUMIFS(Table2[NewPointsHome],Table2[GameDate], "&lt;=" &amp; $A105, Table2[HomeTeam], AD$1)</f>
        <v>8</v>
      </c>
      <c r="AE105" s="145">
        <f>SUMIFS(Table2[NewPointsAway],Table2[GameDate], "&lt;=" &amp; $A105, Table2[AwayTeam], AE$1)+SUMIFS(Table2[NewPointsHome],Table2[GameDate], "&lt;=" &amp; $A105, Table2[HomeTeam], AE$1)</f>
        <v>12</v>
      </c>
      <c r="AF105" s="145">
        <f>SUMIFS(Table2[NewPointsAway],Table2[GameDate], "&lt;=" &amp; $A105, Table2[AwayTeam], AF$1)+SUMIFS(Table2[NewPointsHome],Table2[GameDate], "&lt;=" &amp; $A105, Table2[HomeTeam], AF$1)</f>
        <v>10</v>
      </c>
      <c r="AG105" s="145">
        <f>SUMIFS(Table2[NewPointsAway],Table2[GameDate], "&lt;=" &amp; $A105, Table2[AwayTeam], AG$1)+SUMIFS(Table2[NewPointsHome],Table2[GameDate], "&lt;=" &amp; $A105, Table2[HomeTeam], AG$1)</f>
        <v>10</v>
      </c>
    </row>
    <row r="106" spans="1:33" x14ac:dyDescent="0.25">
      <c r="A106" s="3">
        <v>46037</v>
      </c>
      <c r="B106" s="145">
        <f>SUMIFS(Table2[NewPointsAway],Table2[GameDate], "&lt;=" &amp; $A106, Table2[AwayTeam], B$1)+SUMIFS(Table2[NewPointsHome],Table2[GameDate], "&lt;=" &amp; $A106, Table2[HomeTeam], B$1)</f>
        <v>7</v>
      </c>
      <c r="C106" s="145">
        <f>SUMIFS(Table2[NewPointsAway],Table2[GameDate], "&lt;=" &amp; $A106, Table2[AwayTeam], C$1)+SUMIFS(Table2[NewPointsHome],Table2[GameDate], "&lt;=" &amp; $A106, Table2[HomeTeam], C$1)</f>
        <v>6</v>
      </c>
      <c r="D106" s="145">
        <f>SUMIFS(Table2[NewPointsAway],Table2[GameDate], "&lt;=" &amp; $A106, Table2[AwayTeam], D$1)+SUMIFS(Table2[NewPointsHome],Table2[GameDate], "&lt;=" &amp; $A106, Table2[HomeTeam], D$1)</f>
        <v>4</v>
      </c>
      <c r="E106" s="145">
        <f>SUMIFS(Table2[NewPointsAway],Table2[GameDate], "&lt;=" &amp; $A106, Table2[AwayTeam], E$1)+SUMIFS(Table2[NewPointsHome],Table2[GameDate], "&lt;=" &amp; $A106, Table2[HomeTeam], E$1)</f>
        <v>10</v>
      </c>
      <c r="F106" s="145">
        <f>SUMIFS(Table2[NewPointsAway],Table2[GameDate], "&lt;=" &amp; $A106, Table2[AwayTeam], F$1)+SUMIFS(Table2[NewPointsHome],Table2[GameDate], "&lt;=" &amp; $A106, Table2[HomeTeam], F$1)</f>
        <v>6</v>
      </c>
      <c r="G106" s="145">
        <f>SUMIFS(Table2[NewPointsAway],Table2[GameDate], "&lt;=" &amp; $A106, Table2[AwayTeam], G$1)+SUMIFS(Table2[NewPointsHome],Table2[GameDate], "&lt;=" &amp; $A106, Table2[HomeTeam], G$1)</f>
        <v>2</v>
      </c>
      <c r="H106" s="145">
        <f>SUMIFS(Table2[NewPointsAway],Table2[GameDate], "&lt;=" &amp; $A106, Table2[AwayTeam], H$1)+SUMIFS(Table2[NewPointsHome],Table2[GameDate], "&lt;=" &amp; $A106, Table2[HomeTeam], H$1)</f>
        <v>8</v>
      </c>
      <c r="I106" s="145">
        <f>SUMIFS(Table2[NewPointsAway],Table2[GameDate], "&lt;=" &amp; $A106, Table2[AwayTeam], I$1)+SUMIFS(Table2[NewPointsHome],Table2[GameDate], "&lt;=" &amp; $A106, Table2[HomeTeam], I$1)</f>
        <v>12</v>
      </c>
      <c r="J106" s="145">
        <f>SUMIFS(Table2[NewPointsAway],Table2[GameDate], "&lt;=" &amp; $A106, Table2[AwayTeam], J$1)+SUMIFS(Table2[NewPointsHome],Table2[GameDate], "&lt;=" &amp; $A106, Table2[HomeTeam], J$1)</f>
        <v>6</v>
      </c>
      <c r="K106" s="145">
        <f>SUMIFS(Table2[NewPointsAway],Table2[GameDate], "&lt;=" &amp; $A106, Table2[AwayTeam], K$1)+SUMIFS(Table2[NewPointsHome],Table2[GameDate], "&lt;=" &amp; $A106, Table2[HomeTeam], K$1)</f>
        <v>10</v>
      </c>
      <c r="L106" s="145">
        <f>SUMIFS(Table2[NewPointsAway],Table2[GameDate], "&lt;=" &amp; $A106, Table2[AwayTeam], L$1)+SUMIFS(Table2[NewPointsHome],Table2[GameDate], "&lt;=" &amp; $A106, Table2[HomeTeam], L$1)</f>
        <v>7</v>
      </c>
      <c r="M106" s="145">
        <f>SUMIFS(Table2[NewPointsAway],Table2[GameDate], "&lt;=" &amp; $A106, Table2[AwayTeam], M$1)+SUMIFS(Table2[NewPointsHome],Table2[GameDate], "&lt;=" &amp; $A106, Table2[HomeTeam], M$1)</f>
        <v>8</v>
      </c>
      <c r="N106" s="145">
        <f>SUMIFS(Table2[NewPointsAway],Table2[GameDate], "&lt;=" &amp; $A106, Table2[AwayTeam], N$1)+SUMIFS(Table2[NewPointsHome],Table2[GameDate], "&lt;=" &amp; $A106, Table2[HomeTeam], N$1)</f>
        <v>6</v>
      </c>
      <c r="O106" s="145">
        <f>SUMIFS(Table2[NewPointsAway],Table2[GameDate], "&lt;=" &amp; $A106, Table2[AwayTeam], O$1)+SUMIFS(Table2[NewPointsHome],Table2[GameDate], "&lt;=" &amp; $A106, Table2[HomeTeam], O$1)</f>
        <v>7</v>
      </c>
      <c r="P106" s="145">
        <f>SUMIFS(Table2[NewPointsAway],Table2[GameDate], "&lt;=" &amp; $A106, Table2[AwayTeam], P$1)+SUMIFS(Table2[NewPointsHome],Table2[GameDate], "&lt;=" &amp; $A106, Table2[HomeTeam], P$1)</f>
        <v>10</v>
      </c>
      <c r="Q106" s="145">
        <f>SUMIFS(Table2[NewPointsAway],Table2[GameDate], "&lt;=" &amp; $A106, Table2[AwayTeam], Q$1)+SUMIFS(Table2[NewPointsHome],Table2[GameDate], "&lt;=" &amp; $A106, Table2[HomeTeam], Q$1)</f>
        <v>10</v>
      </c>
      <c r="R106" s="145">
        <f>SUMIFS(Table2[NewPointsAway],Table2[GameDate], "&lt;=" &amp; $A106, Table2[AwayTeam], R$1)+SUMIFS(Table2[NewPointsHome],Table2[GameDate], "&lt;=" &amp; $A106, Table2[HomeTeam], R$1)</f>
        <v>6</v>
      </c>
      <c r="S106" s="145">
        <f>SUMIFS(Table2[NewPointsAway],Table2[GameDate], "&lt;=" &amp; $A106, Table2[AwayTeam], S$1)+SUMIFS(Table2[NewPointsHome],Table2[GameDate], "&lt;=" &amp; $A106, Table2[HomeTeam], S$1)</f>
        <v>6</v>
      </c>
      <c r="T106" s="145">
        <f>SUMIFS(Table2[NewPointsAway],Table2[GameDate], "&lt;=" &amp; $A106, Table2[AwayTeam], T$1)+SUMIFS(Table2[NewPointsHome],Table2[GameDate], "&lt;=" &amp; $A106, Table2[HomeTeam], T$1)</f>
        <v>7</v>
      </c>
      <c r="U106" s="145">
        <f>SUMIFS(Table2[NewPointsAway],Table2[GameDate], "&lt;=" &amp; $A106, Table2[AwayTeam], U$1)+SUMIFS(Table2[NewPointsHome],Table2[GameDate], "&lt;=" &amp; $A106, Table2[HomeTeam], U$1)</f>
        <v>5</v>
      </c>
      <c r="V106" s="145">
        <f>SUMIFS(Table2[NewPointsAway],Table2[GameDate], "&lt;=" &amp; $A106, Table2[AwayTeam], V$1)+SUMIFS(Table2[NewPointsHome],Table2[GameDate], "&lt;=" &amp; $A106, Table2[HomeTeam], V$1)</f>
        <v>7</v>
      </c>
      <c r="W106" s="145">
        <f>SUMIFS(Table2[NewPointsAway],Table2[GameDate], "&lt;=" &amp; $A106, Table2[AwayTeam], W$1)+SUMIFS(Table2[NewPointsHome],Table2[GameDate], "&lt;=" &amp; $A106, Table2[HomeTeam], W$1)</f>
        <v>10</v>
      </c>
      <c r="X106" s="145">
        <f>SUMIFS(Table2[NewPointsAway],Table2[GameDate], "&lt;=" &amp; $A106, Table2[AwayTeam], X$1)+SUMIFS(Table2[NewPointsHome],Table2[GameDate], "&lt;=" &amp; $A106, Table2[HomeTeam], X$1)</f>
        <v>8</v>
      </c>
      <c r="Y106" s="145">
        <f>SUMIFS(Table2[NewPointsAway],Table2[GameDate], "&lt;=" &amp; $A106, Table2[AwayTeam], Y$1)+SUMIFS(Table2[NewPointsHome],Table2[GameDate], "&lt;=" &amp; $A106, Table2[HomeTeam], Y$1)</f>
        <v>2</v>
      </c>
      <c r="Z106" s="145">
        <f>SUMIFS(Table2[NewPointsAway],Table2[GameDate], "&lt;=" &amp; $A106, Table2[AwayTeam], Z$1)+SUMIFS(Table2[NewPointsHome],Table2[GameDate], "&lt;=" &amp; $A106, Table2[HomeTeam], Z$1)</f>
        <v>7</v>
      </c>
      <c r="AA106" s="145">
        <f>SUMIFS(Table2[NewPointsAway],Table2[GameDate], "&lt;=" &amp; $A106, Table2[AwayTeam], AA$1)+SUMIFS(Table2[NewPointsHome],Table2[GameDate], "&lt;=" &amp; $A106, Table2[HomeTeam], AA$1)</f>
        <v>4</v>
      </c>
      <c r="AB106" s="145">
        <f>SUMIFS(Table2[NewPointsAway],Table2[GameDate], "&lt;=" &amp; $A106, Table2[AwayTeam], AB$1)+SUMIFS(Table2[NewPointsHome],Table2[GameDate], "&lt;=" &amp; $A106, Table2[HomeTeam], AB$1)</f>
        <v>7</v>
      </c>
      <c r="AC106" s="145">
        <f>SUMIFS(Table2[NewPointsAway],Table2[GameDate], "&lt;=" &amp; $A106, Table2[AwayTeam], AC$1)+SUMIFS(Table2[NewPointsHome],Table2[GameDate], "&lt;=" &amp; $A106, Table2[HomeTeam], AC$1)</f>
        <v>10</v>
      </c>
      <c r="AD106" s="145">
        <f>SUMIFS(Table2[NewPointsAway],Table2[GameDate], "&lt;=" &amp; $A106, Table2[AwayTeam], AD$1)+SUMIFS(Table2[NewPointsHome],Table2[GameDate], "&lt;=" &amp; $A106, Table2[HomeTeam], AD$1)</f>
        <v>8</v>
      </c>
      <c r="AE106" s="145">
        <f>SUMIFS(Table2[NewPointsAway],Table2[GameDate], "&lt;=" &amp; $A106, Table2[AwayTeam], AE$1)+SUMIFS(Table2[NewPointsHome],Table2[GameDate], "&lt;=" &amp; $A106, Table2[HomeTeam], AE$1)</f>
        <v>12</v>
      </c>
      <c r="AF106" s="145">
        <f>SUMIFS(Table2[NewPointsAway],Table2[GameDate], "&lt;=" &amp; $A106, Table2[AwayTeam], AF$1)+SUMIFS(Table2[NewPointsHome],Table2[GameDate], "&lt;=" &amp; $A106, Table2[HomeTeam], AF$1)</f>
        <v>10</v>
      </c>
      <c r="AG106" s="145">
        <f>SUMIFS(Table2[NewPointsAway],Table2[GameDate], "&lt;=" &amp; $A106, Table2[AwayTeam], AG$1)+SUMIFS(Table2[NewPointsHome],Table2[GameDate], "&lt;=" &amp; $A106, Table2[HomeTeam], AG$1)</f>
        <v>10</v>
      </c>
    </row>
    <row r="107" spans="1:33" x14ac:dyDescent="0.25">
      <c r="A107" s="3">
        <v>46038</v>
      </c>
      <c r="B107" s="145">
        <f>SUMIFS(Table2[NewPointsAway],Table2[GameDate], "&lt;=" &amp; $A107, Table2[AwayTeam], B$1)+SUMIFS(Table2[NewPointsHome],Table2[GameDate], "&lt;=" &amp; $A107, Table2[HomeTeam], B$1)</f>
        <v>7</v>
      </c>
      <c r="C107" s="145">
        <f>SUMIFS(Table2[NewPointsAway],Table2[GameDate], "&lt;=" &amp; $A107, Table2[AwayTeam], C$1)+SUMIFS(Table2[NewPointsHome],Table2[GameDate], "&lt;=" &amp; $A107, Table2[HomeTeam], C$1)</f>
        <v>6</v>
      </c>
      <c r="D107" s="145">
        <f>SUMIFS(Table2[NewPointsAway],Table2[GameDate], "&lt;=" &amp; $A107, Table2[AwayTeam], D$1)+SUMIFS(Table2[NewPointsHome],Table2[GameDate], "&lt;=" &amp; $A107, Table2[HomeTeam], D$1)</f>
        <v>4</v>
      </c>
      <c r="E107" s="145">
        <f>SUMIFS(Table2[NewPointsAway],Table2[GameDate], "&lt;=" &amp; $A107, Table2[AwayTeam], E$1)+SUMIFS(Table2[NewPointsHome],Table2[GameDate], "&lt;=" &amp; $A107, Table2[HomeTeam], E$1)</f>
        <v>10</v>
      </c>
      <c r="F107" s="145">
        <f>SUMIFS(Table2[NewPointsAway],Table2[GameDate], "&lt;=" &amp; $A107, Table2[AwayTeam], F$1)+SUMIFS(Table2[NewPointsHome],Table2[GameDate], "&lt;=" &amp; $A107, Table2[HomeTeam], F$1)</f>
        <v>6</v>
      </c>
      <c r="G107" s="145">
        <f>SUMIFS(Table2[NewPointsAway],Table2[GameDate], "&lt;=" &amp; $A107, Table2[AwayTeam], G$1)+SUMIFS(Table2[NewPointsHome],Table2[GameDate], "&lt;=" &amp; $A107, Table2[HomeTeam], G$1)</f>
        <v>2</v>
      </c>
      <c r="H107" s="145">
        <f>SUMIFS(Table2[NewPointsAway],Table2[GameDate], "&lt;=" &amp; $A107, Table2[AwayTeam], H$1)+SUMIFS(Table2[NewPointsHome],Table2[GameDate], "&lt;=" &amp; $A107, Table2[HomeTeam], H$1)</f>
        <v>8</v>
      </c>
      <c r="I107" s="145">
        <f>SUMIFS(Table2[NewPointsAway],Table2[GameDate], "&lt;=" &amp; $A107, Table2[AwayTeam], I$1)+SUMIFS(Table2[NewPointsHome],Table2[GameDate], "&lt;=" &amp; $A107, Table2[HomeTeam], I$1)</f>
        <v>12</v>
      </c>
      <c r="J107" s="145">
        <f>SUMIFS(Table2[NewPointsAway],Table2[GameDate], "&lt;=" &amp; $A107, Table2[AwayTeam], J$1)+SUMIFS(Table2[NewPointsHome],Table2[GameDate], "&lt;=" &amp; $A107, Table2[HomeTeam], J$1)</f>
        <v>6</v>
      </c>
      <c r="K107" s="145">
        <f>SUMIFS(Table2[NewPointsAway],Table2[GameDate], "&lt;=" &amp; $A107, Table2[AwayTeam], K$1)+SUMIFS(Table2[NewPointsHome],Table2[GameDate], "&lt;=" &amp; $A107, Table2[HomeTeam], K$1)</f>
        <v>10</v>
      </c>
      <c r="L107" s="145">
        <f>SUMIFS(Table2[NewPointsAway],Table2[GameDate], "&lt;=" &amp; $A107, Table2[AwayTeam], L$1)+SUMIFS(Table2[NewPointsHome],Table2[GameDate], "&lt;=" &amp; $A107, Table2[HomeTeam], L$1)</f>
        <v>7</v>
      </c>
      <c r="M107" s="145">
        <f>SUMIFS(Table2[NewPointsAway],Table2[GameDate], "&lt;=" &amp; $A107, Table2[AwayTeam], M$1)+SUMIFS(Table2[NewPointsHome],Table2[GameDate], "&lt;=" &amp; $A107, Table2[HomeTeam], M$1)</f>
        <v>8</v>
      </c>
      <c r="N107" s="145">
        <f>SUMIFS(Table2[NewPointsAway],Table2[GameDate], "&lt;=" &amp; $A107, Table2[AwayTeam], N$1)+SUMIFS(Table2[NewPointsHome],Table2[GameDate], "&lt;=" &amp; $A107, Table2[HomeTeam], N$1)</f>
        <v>6</v>
      </c>
      <c r="O107" s="145">
        <f>SUMIFS(Table2[NewPointsAway],Table2[GameDate], "&lt;=" &amp; $A107, Table2[AwayTeam], O$1)+SUMIFS(Table2[NewPointsHome],Table2[GameDate], "&lt;=" &amp; $A107, Table2[HomeTeam], O$1)</f>
        <v>7</v>
      </c>
      <c r="P107" s="145">
        <f>SUMIFS(Table2[NewPointsAway],Table2[GameDate], "&lt;=" &amp; $A107, Table2[AwayTeam], P$1)+SUMIFS(Table2[NewPointsHome],Table2[GameDate], "&lt;=" &amp; $A107, Table2[HomeTeam], P$1)</f>
        <v>10</v>
      </c>
      <c r="Q107" s="145">
        <f>SUMIFS(Table2[NewPointsAway],Table2[GameDate], "&lt;=" &amp; $A107, Table2[AwayTeam], Q$1)+SUMIFS(Table2[NewPointsHome],Table2[GameDate], "&lt;=" &amp; $A107, Table2[HomeTeam], Q$1)</f>
        <v>10</v>
      </c>
      <c r="R107" s="145">
        <f>SUMIFS(Table2[NewPointsAway],Table2[GameDate], "&lt;=" &amp; $A107, Table2[AwayTeam], R$1)+SUMIFS(Table2[NewPointsHome],Table2[GameDate], "&lt;=" &amp; $A107, Table2[HomeTeam], R$1)</f>
        <v>6</v>
      </c>
      <c r="S107" s="145">
        <f>SUMIFS(Table2[NewPointsAway],Table2[GameDate], "&lt;=" &amp; $A107, Table2[AwayTeam], S$1)+SUMIFS(Table2[NewPointsHome],Table2[GameDate], "&lt;=" &amp; $A107, Table2[HomeTeam], S$1)</f>
        <v>6</v>
      </c>
      <c r="T107" s="145">
        <f>SUMIFS(Table2[NewPointsAway],Table2[GameDate], "&lt;=" &amp; $A107, Table2[AwayTeam], T$1)+SUMIFS(Table2[NewPointsHome],Table2[GameDate], "&lt;=" &amp; $A107, Table2[HomeTeam], T$1)</f>
        <v>7</v>
      </c>
      <c r="U107" s="145">
        <f>SUMIFS(Table2[NewPointsAway],Table2[GameDate], "&lt;=" &amp; $A107, Table2[AwayTeam], U$1)+SUMIFS(Table2[NewPointsHome],Table2[GameDate], "&lt;=" &amp; $A107, Table2[HomeTeam], U$1)</f>
        <v>5</v>
      </c>
      <c r="V107" s="145">
        <f>SUMIFS(Table2[NewPointsAway],Table2[GameDate], "&lt;=" &amp; $A107, Table2[AwayTeam], V$1)+SUMIFS(Table2[NewPointsHome],Table2[GameDate], "&lt;=" &amp; $A107, Table2[HomeTeam], V$1)</f>
        <v>7</v>
      </c>
      <c r="W107" s="145">
        <f>SUMIFS(Table2[NewPointsAway],Table2[GameDate], "&lt;=" &amp; $A107, Table2[AwayTeam], W$1)+SUMIFS(Table2[NewPointsHome],Table2[GameDate], "&lt;=" &amp; $A107, Table2[HomeTeam], W$1)</f>
        <v>10</v>
      </c>
      <c r="X107" s="145">
        <f>SUMIFS(Table2[NewPointsAway],Table2[GameDate], "&lt;=" &amp; $A107, Table2[AwayTeam], X$1)+SUMIFS(Table2[NewPointsHome],Table2[GameDate], "&lt;=" &amp; $A107, Table2[HomeTeam], X$1)</f>
        <v>8</v>
      </c>
      <c r="Y107" s="145">
        <f>SUMIFS(Table2[NewPointsAway],Table2[GameDate], "&lt;=" &amp; $A107, Table2[AwayTeam], Y$1)+SUMIFS(Table2[NewPointsHome],Table2[GameDate], "&lt;=" &amp; $A107, Table2[HomeTeam], Y$1)</f>
        <v>2</v>
      </c>
      <c r="Z107" s="145">
        <f>SUMIFS(Table2[NewPointsAway],Table2[GameDate], "&lt;=" &amp; $A107, Table2[AwayTeam], Z$1)+SUMIFS(Table2[NewPointsHome],Table2[GameDate], "&lt;=" &amp; $A107, Table2[HomeTeam], Z$1)</f>
        <v>7</v>
      </c>
      <c r="AA107" s="145">
        <f>SUMIFS(Table2[NewPointsAway],Table2[GameDate], "&lt;=" &amp; $A107, Table2[AwayTeam], AA$1)+SUMIFS(Table2[NewPointsHome],Table2[GameDate], "&lt;=" &amp; $A107, Table2[HomeTeam], AA$1)</f>
        <v>4</v>
      </c>
      <c r="AB107" s="145">
        <f>SUMIFS(Table2[NewPointsAway],Table2[GameDate], "&lt;=" &amp; $A107, Table2[AwayTeam], AB$1)+SUMIFS(Table2[NewPointsHome],Table2[GameDate], "&lt;=" &amp; $A107, Table2[HomeTeam], AB$1)</f>
        <v>7</v>
      </c>
      <c r="AC107" s="145">
        <f>SUMIFS(Table2[NewPointsAway],Table2[GameDate], "&lt;=" &amp; $A107, Table2[AwayTeam], AC$1)+SUMIFS(Table2[NewPointsHome],Table2[GameDate], "&lt;=" &amp; $A107, Table2[HomeTeam], AC$1)</f>
        <v>10</v>
      </c>
      <c r="AD107" s="145">
        <f>SUMIFS(Table2[NewPointsAway],Table2[GameDate], "&lt;=" &amp; $A107, Table2[AwayTeam], AD$1)+SUMIFS(Table2[NewPointsHome],Table2[GameDate], "&lt;=" &amp; $A107, Table2[HomeTeam], AD$1)</f>
        <v>8</v>
      </c>
      <c r="AE107" s="145">
        <f>SUMIFS(Table2[NewPointsAway],Table2[GameDate], "&lt;=" &amp; $A107, Table2[AwayTeam], AE$1)+SUMIFS(Table2[NewPointsHome],Table2[GameDate], "&lt;=" &amp; $A107, Table2[HomeTeam], AE$1)</f>
        <v>12</v>
      </c>
      <c r="AF107" s="145">
        <f>SUMIFS(Table2[NewPointsAway],Table2[GameDate], "&lt;=" &amp; $A107, Table2[AwayTeam], AF$1)+SUMIFS(Table2[NewPointsHome],Table2[GameDate], "&lt;=" &amp; $A107, Table2[HomeTeam], AF$1)</f>
        <v>10</v>
      </c>
      <c r="AG107" s="145">
        <f>SUMIFS(Table2[NewPointsAway],Table2[GameDate], "&lt;=" &amp; $A107, Table2[AwayTeam], AG$1)+SUMIFS(Table2[NewPointsHome],Table2[GameDate], "&lt;=" &amp; $A107, Table2[HomeTeam], AG$1)</f>
        <v>10</v>
      </c>
    </row>
    <row r="108" spans="1:33" x14ac:dyDescent="0.25">
      <c r="A108" s="3">
        <v>46039</v>
      </c>
      <c r="B108" s="145">
        <f>SUMIFS(Table2[NewPointsAway],Table2[GameDate], "&lt;=" &amp; $A108, Table2[AwayTeam], B$1)+SUMIFS(Table2[NewPointsHome],Table2[GameDate], "&lt;=" &amp; $A108, Table2[HomeTeam], B$1)</f>
        <v>7</v>
      </c>
      <c r="C108" s="145">
        <f>SUMIFS(Table2[NewPointsAway],Table2[GameDate], "&lt;=" &amp; $A108, Table2[AwayTeam], C$1)+SUMIFS(Table2[NewPointsHome],Table2[GameDate], "&lt;=" &amp; $A108, Table2[HomeTeam], C$1)</f>
        <v>6</v>
      </c>
      <c r="D108" s="145">
        <f>SUMIFS(Table2[NewPointsAway],Table2[GameDate], "&lt;=" &amp; $A108, Table2[AwayTeam], D$1)+SUMIFS(Table2[NewPointsHome],Table2[GameDate], "&lt;=" &amp; $A108, Table2[HomeTeam], D$1)</f>
        <v>4</v>
      </c>
      <c r="E108" s="145">
        <f>SUMIFS(Table2[NewPointsAway],Table2[GameDate], "&lt;=" &amp; $A108, Table2[AwayTeam], E$1)+SUMIFS(Table2[NewPointsHome],Table2[GameDate], "&lt;=" &amp; $A108, Table2[HomeTeam], E$1)</f>
        <v>10</v>
      </c>
      <c r="F108" s="145">
        <f>SUMIFS(Table2[NewPointsAway],Table2[GameDate], "&lt;=" &amp; $A108, Table2[AwayTeam], F$1)+SUMIFS(Table2[NewPointsHome],Table2[GameDate], "&lt;=" &amp; $A108, Table2[HomeTeam], F$1)</f>
        <v>6</v>
      </c>
      <c r="G108" s="145">
        <f>SUMIFS(Table2[NewPointsAway],Table2[GameDate], "&lt;=" &amp; $A108, Table2[AwayTeam], G$1)+SUMIFS(Table2[NewPointsHome],Table2[GameDate], "&lt;=" &amp; $A108, Table2[HomeTeam], G$1)</f>
        <v>2</v>
      </c>
      <c r="H108" s="145">
        <f>SUMIFS(Table2[NewPointsAway],Table2[GameDate], "&lt;=" &amp; $A108, Table2[AwayTeam], H$1)+SUMIFS(Table2[NewPointsHome],Table2[GameDate], "&lt;=" &amp; $A108, Table2[HomeTeam], H$1)</f>
        <v>8</v>
      </c>
      <c r="I108" s="145">
        <f>SUMIFS(Table2[NewPointsAway],Table2[GameDate], "&lt;=" &amp; $A108, Table2[AwayTeam], I$1)+SUMIFS(Table2[NewPointsHome],Table2[GameDate], "&lt;=" &amp; $A108, Table2[HomeTeam], I$1)</f>
        <v>12</v>
      </c>
      <c r="J108" s="145">
        <f>SUMIFS(Table2[NewPointsAway],Table2[GameDate], "&lt;=" &amp; $A108, Table2[AwayTeam], J$1)+SUMIFS(Table2[NewPointsHome],Table2[GameDate], "&lt;=" &amp; $A108, Table2[HomeTeam], J$1)</f>
        <v>6</v>
      </c>
      <c r="K108" s="145">
        <f>SUMIFS(Table2[NewPointsAway],Table2[GameDate], "&lt;=" &amp; $A108, Table2[AwayTeam], K$1)+SUMIFS(Table2[NewPointsHome],Table2[GameDate], "&lt;=" &amp; $A108, Table2[HomeTeam], K$1)</f>
        <v>10</v>
      </c>
      <c r="L108" s="145">
        <f>SUMIFS(Table2[NewPointsAway],Table2[GameDate], "&lt;=" &amp; $A108, Table2[AwayTeam], L$1)+SUMIFS(Table2[NewPointsHome],Table2[GameDate], "&lt;=" &amp; $A108, Table2[HomeTeam], L$1)</f>
        <v>7</v>
      </c>
      <c r="M108" s="145">
        <f>SUMIFS(Table2[NewPointsAway],Table2[GameDate], "&lt;=" &amp; $A108, Table2[AwayTeam], M$1)+SUMIFS(Table2[NewPointsHome],Table2[GameDate], "&lt;=" &amp; $A108, Table2[HomeTeam], M$1)</f>
        <v>8</v>
      </c>
      <c r="N108" s="145">
        <f>SUMIFS(Table2[NewPointsAway],Table2[GameDate], "&lt;=" &amp; $A108, Table2[AwayTeam], N$1)+SUMIFS(Table2[NewPointsHome],Table2[GameDate], "&lt;=" &amp; $A108, Table2[HomeTeam], N$1)</f>
        <v>6</v>
      </c>
      <c r="O108" s="145">
        <f>SUMIFS(Table2[NewPointsAway],Table2[GameDate], "&lt;=" &amp; $A108, Table2[AwayTeam], O$1)+SUMIFS(Table2[NewPointsHome],Table2[GameDate], "&lt;=" &amp; $A108, Table2[HomeTeam], O$1)</f>
        <v>7</v>
      </c>
      <c r="P108" s="145">
        <f>SUMIFS(Table2[NewPointsAway],Table2[GameDate], "&lt;=" &amp; $A108, Table2[AwayTeam], P$1)+SUMIFS(Table2[NewPointsHome],Table2[GameDate], "&lt;=" &amp; $A108, Table2[HomeTeam], P$1)</f>
        <v>10</v>
      </c>
      <c r="Q108" s="145">
        <f>SUMIFS(Table2[NewPointsAway],Table2[GameDate], "&lt;=" &amp; $A108, Table2[AwayTeam], Q$1)+SUMIFS(Table2[NewPointsHome],Table2[GameDate], "&lt;=" &amp; $A108, Table2[HomeTeam], Q$1)</f>
        <v>10</v>
      </c>
      <c r="R108" s="145">
        <f>SUMIFS(Table2[NewPointsAway],Table2[GameDate], "&lt;=" &amp; $A108, Table2[AwayTeam], R$1)+SUMIFS(Table2[NewPointsHome],Table2[GameDate], "&lt;=" &amp; $A108, Table2[HomeTeam], R$1)</f>
        <v>6</v>
      </c>
      <c r="S108" s="145">
        <f>SUMIFS(Table2[NewPointsAway],Table2[GameDate], "&lt;=" &amp; $A108, Table2[AwayTeam], S$1)+SUMIFS(Table2[NewPointsHome],Table2[GameDate], "&lt;=" &amp; $A108, Table2[HomeTeam], S$1)</f>
        <v>6</v>
      </c>
      <c r="T108" s="145">
        <f>SUMIFS(Table2[NewPointsAway],Table2[GameDate], "&lt;=" &amp; $A108, Table2[AwayTeam], T$1)+SUMIFS(Table2[NewPointsHome],Table2[GameDate], "&lt;=" &amp; $A108, Table2[HomeTeam], T$1)</f>
        <v>7</v>
      </c>
      <c r="U108" s="145">
        <f>SUMIFS(Table2[NewPointsAway],Table2[GameDate], "&lt;=" &amp; $A108, Table2[AwayTeam], U$1)+SUMIFS(Table2[NewPointsHome],Table2[GameDate], "&lt;=" &amp; $A108, Table2[HomeTeam], U$1)</f>
        <v>5</v>
      </c>
      <c r="V108" s="145">
        <f>SUMIFS(Table2[NewPointsAway],Table2[GameDate], "&lt;=" &amp; $A108, Table2[AwayTeam], V$1)+SUMIFS(Table2[NewPointsHome],Table2[GameDate], "&lt;=" &amp; $A108, Table2[HomeTeam], V$1)</f>
        <v>7</v>
      </c>
      <c r="W108" s="145">
        <f>SUMIFS(Table2[NewPointsAway],Table2[GameDate], "&lt;=" &amp; $A108, Table2[AwayTeam], W$1)+SUMIFS(Table2[NewPointsHome],Table2[GameDate], "&lt;=" &amp; $A108, Table2[HomeTeam], W$1)</f>
        <v>10</v>
      </c>
      <c r="X108" s="145">
        <f>SUMIFS(Table2[NewPointsAway],Table2[GameDate], "&lt;=" &amp; $A108, Table2[AwayTeam], X$1)+SUMIFS(Table2[NewPointsHome],Table2[GameDate], "&lt;=" &amp; $A108, Table2[HomeTeam], X$1)</f>
        <v>8</v>
      </c>
      <c r="Y108" s="145">
        <f>SUMIFS(Table2[NewPointsAway],Table2[GameDate], "&lt;=" &amp; $A108, Table2[AwayTeam], Y$1)+SUMIFS(Table2[NewPointsHome],Table2[GameDate], "&lt;=" &amp; $A108, Table2[HomeTeam], Y$1)</f>
        <v>2</v>
      </c>
      <c r="Z108" s="145">
        <f>SUMIFS(Table2[NewPointsAway],Table2[GameDate], "&lt;=" &amp; $A108, Table2[AwayTeam], Z$1)+SUMIFS(Table2[NewPointsHome],Table2[GameDate], "&lt;=" &amp; $A108, Table2[HomeTeam], Z$1)</f>
        <v>7</v>
      </c>
      <c r="AA108" s="145">
        <f>SUMIFS(Table2[NewPointsAway],Table2[GameDate], "&lt;=" &amp; $A108, Table2[AwayTeam], AA$1)+SUMIFS(Table2[NewPointsHome],Table2[GameDate], "&lt;=" &amp; $A108, Table2[HomeTeam], AA$1)</f>
        <v>4</v>
      </c>
      <c r="AB108" s="145">
        <f>SUMIFS(Table2[NewPointsAway],Table2[GameDate], "&lt;=" &amp; $A108, Table2[AwayTeam], AB$1)+SUMIFS(Table2[NewPointsHome],Table2[GameDate], "&lt;=" &amp; $A108, Table2[HomeTeam], AB$1)</f>
        <v>7</v>
      </c>
      <c r="AC108" s="145">
        <f>SUMIFS(Table2[NewPointsAway],Table2[GameDate], "&lt;=" &amp; $A108, Table2[AwayTeam], AC$1)+SUMIFS(Table2[NewPointsHome],Table2[GameDate], "&lt;=" &amp; $A108, Table2[HomeTeam], AC$1)</f>
        <v>10</v>
      </c>
      <c r="AD108" s="145">
        <f>SUMIFS(Table2[NewPointsAway],Table2[GameDate], "&lt;=" &amp; $A108, Table2[AwayTeam], AD$1)+SUMIFS(Table2[NewPointsHome],Table2[GameDate], "&lt;=" &amp; $A108, Table2[HomeTeam], AD$1)</f>
        <v>8</v>
      </c>
      <c r="AE108" s="145">
        <f>SUMIFS(Table2[NewPointsAway],Table2[GameDate], "&lt;=" &amp; $A108, Table2[AwayTeam], AE$1)+SUMIFS(Table2[NewPointsHome],Table2[GameDate], "&lt;=" &amp; $A108, Table2[HomeTeam], AE$1)</f>
        <v>12</v>
      </c>
      <c r="AF108" s="145">
        <f>SUMIFS(Table2[NewPointsAway],Table2[GameDate], "&lt;=" &amp; $A108, Table2[AwayTeam], AF$1)+SUMIFS(Table2[NewPointsHome],Table2[GameDate], "&lt;=" &amp; $A108, Table2[HomeTeam], AF$1)</f>
        <v>10</v>
      </c>
      <c r="AG108" s="145">
        <f>SUMIFS(Table2[NewPointsAway],Table2[GameDate], "&lt;=" &amp; $A108, Table2[AwayTeam], AG$1)+SUMIFS(Table2[NewPointsHome],Table2[GameDate], "&lt;=" &amp; $A108, Table2[HomeTeam], AG$1)</f>
        <v>10</v>
      </c>
    </row>
    <row r="109" spans="1:33" x14ac:dyDescent="0.25">
      <c r="A109" s="3">
        <v>46040</v>
      </c>
      <c r="B109" s="145">
        <f>SUMIFS(Table2[NewPointsAway],Table2[GameDate], "&lt;=" &amp; $A109, Table2[AwayTeam], B$1)+SUMIFS(Table2[NewPointsHome],Table2[GameDate], "&lt;=" &amp; $A109, Table2[HomeTeam], B$1)</f>
        <v>7</v>
      </c>
      <c r="C109" s="145">
        <f>SUMIFS(Table2[NewPointsAway],Table2[GameDate], "&lt;=" &amp; $A109, Table2[AwayTeam], C$1)+SUMIFS(Table2[NewPointsHome],Table2[GameDate], "&lt;=" &amp; $A109, Table2[HomeTeam], C$1)</f>
        <v>6</v>
      </c>
      <c r="D109" s="145">
        <f>SUMIFS(Table2[NewPointsAway],Table2[GameDate], "&lt;=" &amp; $A109, Table2[AwayTeam], D$1)+SUMIFS(Table2[NewPointsHome],Table2[GameDate], "&lt;=" &amp; $A109, Table2[HomeTeam], D$1)</f>
        <v>4</v>
      </c>
      <c r="E109" s="145">
        <f>SUMIFS(Table2[NewPointsAway],Table2[GameDate], "&lt;=" &amp; $A109, Table2[AwayTeam], E$1)+SUMIFS(Table2[NewPointsHome],Table2[GameDate], "&lt;=" &amp; $A109, Table2[HomeTeam], E$1)</f>
        <v>10</v>
      </c>
      <c r="F109" s="145">
        <f>SUMIFS(Table2[NewPointsAway],Table2[GameDate], "&lt;=" &amp; $A109, Table2[AwayTeam], F$1)+SUMIFS(Table2[NewPointsHome],Table2[GameDate], "&lt;=" &amp; $A109, Table2[HomeTeam], F$1)</f>
        <v>6</v>
      </c>
      <c r="G109" s="145">
        <f>SUMIFS(Table2[NewPointsAway],Table2[GameDate], "&lt;=" &amp; $A109, Table2[AwayTeam], G$1)+SUMIFS(Table2[NewPointsHome],Table2[GameDate], "&lt;=" &amp; $A109, Table2[HomeTeam], G$1)</f>
        <v>2</v>
      </c>
      <c r="H109" s="145">
        <f>SUMIFS(Table2[NewPointsAway],Table2[GameDate], "&lt;=" &amp; $A109, Table2[AwayTeam], H$1)+SUMIFS(Table2[NewPointsHome],Table2[GameDate], "&lt;=" &amp; $A109, Table2[HomeTeam], H$1)</f>
        <v>8</v>
      </c>
      <c r="I109" s="145">
        <f>SUMIFS(Table2[NewPointsAway],Table2[GameDate], "&lt;=" &amp; $A109, Table2[AwayTeam], I$1)+SUMIFS(Table2[NewPointsHome],Table2[GameDate], "&lt;=" &amp; $A109, Table2[HomeTeam], I$1)</f>
        <v>12</v>
      </c>
      <c r="J109" s="145">
        <f>SUMIFS(Table2[NewPointsAway],Table2[GameDate], "&lt;=" &amp; $A109, Table2[AwayTeam], J$1)+SUMIFS(Table2[NewPointsHome],Table2[GameDate], "&lt;=" &amp; $A109, Table2[HomeTeam], J$1)</f>
        <v>6</v>
      </c>
      <c r="K109" s="145">
        <f>SUMIFS(Table2[NewPointsAway],Table2[GameDate], "&lt;=" &amp; $A109, Table2[AwayTeam], K$1)+SUMIFS(Table2[NewPointsHome],Table2[GameDate], "&lt;=" &amp; $A109, Table2[HomeTeam], K$1)</f>
        <v>10</v>
      </c>
      <c r="L109" s="145">
        <f>SUMIFS(Table2[NewPointsAway],Table2[GameDate], "&lt;=" &amp; $A109, Table2[AwayTeam], L$1)+SUMIFS(Table2[NewPointsHome],Table2[GameDate], "&lt;=" &amp; $A109, Table2[HomeTeam], L$1)</f>
        <v>7</v>
      </c>
      <c r="M109" s="145">
        <f>SUMIFS(Table2[NewPointsAway],Table2[GameDate], "&lt;=" &amp; $A109, Table2[AwayTeam], M$1)+SUMIFS(Table2[NewPointsHome],Table2[GameDate], "&lt;=" &amp; $A109, Table2[HomeTeam], M$1)</f>
        <v>8</v>
      </c>
      <c r="N109" s="145">
        <f>SUMIFS(Table2[NewPointsAway],Table2[GameDate], "&lt;=" &amp; $A109, Table2[AwayTeam], N$1)+SUMIFS(Table2[NewPointsHome],Table2[GameDate], "&lt;=" &amp; $A109, Table2[HomeTeam], N$1)</f>
        <v>6</v>
      </c>
      <c r="O109" s="145">
        <f>SUMIFS(Table2[NewPointsAway],Table2[GameDate], "&lt;=" &amp; $A109, Table2[AwayTeam], O$1)+SUMIFS(Table2[NewPointsHome],Table2[GameDate], "&lt;=" &amp; $A109, Table2[HomeTeam], O$1)</f>
        <v>7</v>
      </c>
      <c r="P109" s="145">
        <f>SUMIFS(Table2[NewPointsAway],Table2[GameDate], "&lt;=" &amp; $A109, Table2[AwayTeam], P$1)+SUMIFS(Table2[NewPointsHome],Table2[GameDate], "&lt;=" &amp; $A109, Table2[HomeTeam], P$1)</f>
        <v>10</v>
      </c>
      <c r="Q109" s="145">
        <f>SUMIFS(Table2[NewPointsAway],Table2[GameDate], "&lt;=" &amp; $A109, Table2[AwayTeam], Q$1)+SUMIFS(Table2[NewPointsHome],Table2[GameDate], "&lt;=" &amp; $A109, Table2[HomeTeam], Q$1)</f>
        <v>10</v>
      </c>
      <c r="R109" s="145">
        <f>SUMIFS(Table2[NewPointsAway],Table2[GameDate], "&lt;=" &amp; $A109, Table2[AwayTeam], R$1)+SUMIFS(Table2[NewPointsHome],Table2[GameDate], "&lt;=" &amp; $A109, Table2[HomeTeam], R$1)</f>
        <v>6</v>
      </c>
      <c r="S109" s="145">
        <f>SUMIFS(Table2[NewPointsAway],Table2[GameDate], "&lt;=" &amp; $A109, Table2[AwayTeam], S$1)+SUMIFS(Table2[NewPointsHome],Table2[GameDate], "&lt;=" &amp; $A109, Table2[HomeTeam], S$1)</f>
        <v>6</v>
      </c>
      <c r="T109" s="145">
        <f>SUMIFS(Table2[NewPointsAway],Table2[GameDate], "&lt;=" &amp; $A109, Table2[AwayTeam], T$1)+SUMIFS(Table2[NewPointsHome],Table2[GameDate], "&lt;=" &amp; $A109, Table2[HomeTeam], T$1)</f>
        <v>7</v>
      </c>
      <c r="U109" s="145">
        <f>SUMIFS(Table2[NewPointsAway],Table2[GameDate], "&lt;=" &amp; $A109, Table2[AwayTeam], U$1)+SUMIFS(Table2[NewPointsHome],Table2[GameDate], "&lt;=" &amp; $A109, Table2[HomeTeam], U$1)</f>
        <v>5</v>
      </c>
      <c r="V109" s="145">
        <f>SUMIFS(Table2[NewPointsAway],Table2[GameDate], "&lt;=" &amp; $A109, Table2[AwayTeam], V$1)+SUMIFS(Table2[NewPointsHome],Table2[GameDate], "&lt;=" &amp; $A109, Table2[HomeTeam], V$1)</f>
        <v>7</v>
      </c>
      <c r="W109" s="145">
        <f>SUMIFS(Table2[NewPointsAway],Table2[GameDate], "&lt;=" &amp; $A109, Table2[AwayTeam], W$1)+SUMIFS(Table2[NewPointsHome],Table2[GameDate], "&lt;=" &amp; $A109, Table2[HomeTeam], W$1)</f>
        <v>10</v>
      </c>
      <c r="X109" s="145">
        <f>SUMIFS(Table2[NewPointsAway],Table2[GameDate], "&lt;=" &amp; $A109, Table2[AwayTeam], X$1)+SUMIFS(Table2[NewPointsHome],Table2[GameDate], "&lt;=" &amp; $A109, Table2[HomeTeam], X$1)</f>
        <v>8</v>
      </c>
      <c r="Y109" s="145">
        <f>SUMIFS(Table2[NewPointsAway],Table2[GameDate], "&lt;=" &amp; $A109, Table2[AwayTeam], Y$1)+SUMIFS(Table2[NewPointsHome],Table2[GameDate], "&lt;=" &amp; $A109, Table2[HomeTeam], Y$1)</f>
        <v>2</v>
      </c>
      <c r="Z109" s="145">
        <f>SUMIFS(Table2[NewPointsAway],Table2[GameDate], "&lt;=" &amp; $A109, Table2[AwayTeam], Z$1)+SUMIFS(Table2[NewPointsHome],Table2[GameDate], "&lt;=" &amp; $A109, Table2[HomeTeam], Z$1)</f>
        <v>7</v>
      </c>
      <c r="AA109" s="145">
        <f>SUMIFS(Table2[NewPointsAway],Table2[GameDate], "&lt;=" &amp; $A109, Table2[AwayTeam], AA$1)+SUMIFS(Table2[NewPointsHome],Table2[GameDate], "&lt;=" &amp; $A109, Table2[HomeTeam], AA$1)</f>
        <v>4</v>
      </c>
      <c r="AB109" s="145">
        <f>SUMIFS(Table2[NewPointsAway],Table2[GameDate], "&lt;=" &amp; $A109, Table2[AwayTeam], AB$1)+SUMIFS(Table2[NewPointsHome],Table2[GameDate], "&lt;=" &amp; $A109, Table2[HomeTeam], AB$1)</f>
        <v>7</v>
      </c>
      <c r="AC109" s="145">
        <f>SUMIFS(Table2[NewPointsAway],Table2[GameDate], "&lt;=" &amp; $A109, Table2[AwayTeam], AC$1)+SUMIFS(Table2[NewPointsHome],Table2[GameDate], "&lt;=" &amp; $A109, Table2[HomeTeam], AC$1)</f>
        <v>10</v>
      </c>
      <c r="AD109" s="145">
        <f>SUMIFS(Table2[NewPointsAway],Table2[GameDate], "&lt;=" &amp; $A109, Table2[AwayTeam], AD$1)+SUMIFS(Table2[NewPointsHome],Table2[GameDate], "&lt;=" &amp; $A109, Table2[HomeTeam], AD$1)</f>
        <v>8</v>
      </c>
      <c r="AE109" s="145">
        <f>SUMIFS(Table2[NewPointsAway],Table2[GameDate], "&lt;=" &amp; $A109, Table2[AwayTeam], AE$1)+SUMIFS(Table2[NewPointsHome],Table2[GameDate], "&lt;=" &amp; $A109, Table2[HomeTeam], AE$1)</f>
        <v>12</v>
      </c>
      <c r="AF109" s="145">
        <f>SUMIFS(Table2[NewPointsAway],Table2[GameDate], "&lt;=" &amp; $A109, Table2[AwayTeam], AF$1)+SUMIFS(Table2[NewPointsHome],Table2[GameDate], "&lt;=" &amp; $A109, Table2[HomeTeam], AF$1)</f>
        <v>10</v>
      </c>
      <c r="AG109" s="145">
        <f>SUMIFS(Table2[NewPointsAway],Table2[GameDate], "&lt;=" &amp; $A109, Table2[AwayTeam], AG$1)+SUMIFS(Table2[NewPointsHome],Table2[GameDate], "&lt;=" &amp; $A109, Table2[HomeTeam], AG$1)</f>
        <v>10</v>
      </c>
    </row>
    <row r="110" spans="1:33" x14ac:dyDescent="0.25">
      <c r="A110" s="3">
        <v>46041</v>
      </c>
      <c r="B110" s="145">
        <f>SUMIFS(Table2[NewPointsAway],Table2[GameDate], "&lt;=" &amp; $A110, Table2[AwayTeam], B$1)+SUMIFS(Table2[NewPointsHome],Table2[GameDate], "&lt;=" &amp; $A110, Table2[HomeTeam], B$1)</f>
        <v>7</v>
      </c>
      <c r="C110" s="145">
        <f>SUMIFS(Table2[NewPointsAway],Table2[GameDate], "&lt;=" &amp; $A110, Table2[AwayTeam], C$1)+SUMIFS(Table2[NewPointsHome],Table2[GameDate], "&lt;=" &amp; $A110, Table2[HomeTeam], C$1)</f>
        <v>6</v>
      </c>
      <c r="D110" s="145">
        <f>SUMIFS(Table2[NewPointsAway],Table2[GameDate], "&lt;=" &amp; $A110, Table2[AwayTeam], D$1)+SUMIFS(Table2[NewPointsHome],Table2[GameDate], "&lt;=" &amp; $A110, Table2[HomeTeam], D$1)</f>
        <v>4</v>
      </c>
      <c r="E110" s="145">
        <f>SUMIFS(Table2[NewPointsAway],Table2[GameDate], "&lt;=" &amp; $A110, Table2[AwayTeam], E$1)+SUMIFS(Table2[NewPointsHome],Table2[GameDate], "&lt;=" &amp; $A110, Table2[HomeTeam], E$1)</f>
        <v>10</v>
      </c>
      <c r="F110" s="145">
        <f>SUMIFS(Table2[NewPointsAway],Table2[GameDate], "&lt;=" &amp; $A110, Table2[AwayTeam], F$1)+SUMIFS(Table2[NewPointsHome],Table2[GameDate], "&lt;=" &amp; $A110, Table2[HomeTeam], F$1)</f>
        <v>6</v>
      </c>
      <c r="G110" s="145">
        <f>SUMIFS(Table2[NewPointsAway],Table2[GameDate], "&lt;=" &amp; $A110, Table2[AwayTeam], G$1)+SUMIFS(Table2[NewPointsHome],Table2[GameDate], "&lt;=" &amp; $A110, Table2[HomeTeam], G$1)</f>
        <v>2</v>
      </c>
      <c r="H110" s="145">
        <f>SUMIFS(Table2[NewPointsAway],Table2[GameDate], "&lt;=" &amp; $A110, Table2[AwayTeam], H$1)+SUMIFS(Table2[NewPointsHome],Table2[GameDate], "&lt;=" &amp; $A110, Table2[HomeTeam], H$1)</f>
        <v>8</v>
      </c>
      <c r="I110" s="145">
        <f>SUMIFS(Table2[NewPointsAway],Table2[GameDate], "&lt;=" &amp; $A110, Table2[AwayTeam], I$1)+SUMIFS(Table2[NewPointsHome],Table2[GameDate], "&lt;=" &amp; $A110, Table2[HomeTeam], I$1)</f>
        <v>12</v>
      </c>
      <c r="J110" s="145">
        <f>SUMIFS(Table2[NewPointsAway],Table2[GameDate], "&lt;=" &amp; $A110, Table2[AwayTeam], J$1)+SUMIFS(Table2[NewPointsHome],Table2[GameDate], "&lt;=" &amp; $A110, Table2[HomeTeam], J$1)</f>
        <v>6</v>
      </c>
      <c r="K110" s="145">
        <f>SUMIFS(Table2[NewPointsAway],Table2[GameDate], "&lt;=" &amp; $A110, Table2[AwayTeam], K$1)+SUMIFS(Table2[NewPointsHome],Table2[GameDate], "&lt;=" &amp; $A110, Table2[HomeTeam], K$1)</f>
        <v>10</v>
      </c>
      <c r="L110" s="145">
        <f>SUMIFS(Table2[NewPointsAway],Table2[GameDate], "&lt;=" &amp; $A110, Table2[AwayTeam], L$1)+SUMIFS(Table2[NewPointsHome],Table2[GameDate], "&lt;=" &amp; $A110, Table2[HomeTeam], L$1)</f>
        <v>7</v>
      </c>
      <c r="M110" s="145">
        <f>SUMIFS(Table2[NewPointsAway],Table2[GameDate], "&lt;=" &amp; $A110, Table2[AwayTeam], M$1)+SUMIFS(Table2[NewPointsHome],Table2[GameDate], "&lt;=" &amp; $A110, Table2[HomeTeam], M$1)</f>
        <v>8</v>
      </c>
      <c r="N110" s="145">
        <f>SUMIFS(Table2[NewPointsAway],Table2[GameDate], "&lt;=" &amp; $A110, Table2[AwayTeam], N$1)+SUMIFS(Table2[NewPointsHome],Table2[GameDate], "&lt;=" &amp; $A110, Table2[HomeTeam], N$1)</f>
        <v>6</v>
      </c>
      <c r="O110" s="145">
        <f>SUMIFS(Table2[NewPointsAway],Table2[GameDate], "&lt;=" &amp; $A110, Table2[AwayTeam], O$1)+SUMIFS(Table2[NewPointsHome],Table2[GameDate], "&lt;=" &amp; $A110, Table2[HomeTeam], O$1)</f>
        <v>7</v>
      </c>
      <c r="P110" s="145">
        <f>SUMIFS(Table2[NewPointsAway],Table2[GameDate], "&lt;=" &amp; $A110, Table2[AwayTeam], P$1)+SUMIFS(Table2[NewPointsHome],Table2[GameDate], "&lt;=" &amp; $A110, Table2[HomeTeam], P$1)</f>
        <v>10</v>
      </c>
      <c r="Q110" s="145">
        <f>SUMIFS(Table2[NewPointsAway],Table2[GameDate], "&lt;=" &amp; $A110, Table2[AwayTeam], Q$1)+SUMIFS(Table2[NewPointsHome],Table2[GameDate], "&lt;=" &amp; $A110, Table2[HomeTeam], Q$1)</f>
        <v>10</v>
      </c>
      <c r="R110" s="145">
        <f>SUMIFS(Table2[NewPointsAway],Table2[GameDate], "&lt;=" &amp; $A110, Table2[AwayTeam], R$1)+SUMIFS(Table2[NewPointsHome],Table2[GameDate], "&lt;=" &amp; $A110, Table2[HomeTeam], R$1)</f>
        <v>6</v>
      </c>
      <c r="S110" s="145">
        <f>SUMIFS(Table2[NewPointsAway],Table2[GameDate], "&lt;=" &amp; $A110, Table2[AwayTeam], S$1)+SUMIFS(Table2[NewPointsHome],Table2[GameDate], "&lt;=" &amp; $A110, Table2[HomeTeam], S$1)</f>
        <v>6</v>
      </c>
      <c r="T110" s="145">
        <f>SUMIFS(Table2[NewPointsAway],Table2[GameDate], "&lt;=" &amp; $A110, Table2[AwayTeam], T$1)+SUMIFS(Table2[NewPointsHome],Table2[GameDate], "&lt;=" &amp; $A110, Table2[HomeTeam], T$1)</f>
        <v>7</v>
      </c>
      <c r="U110" s="145">
        <f>SUMIFS(Table2[NewPointsAway],Table2[GameDate], "&lt;=" &amp; $A110, Table2[AwayTeam], U$1)+SUMIFS(Table2[NewPointsHome],Table2[GameDate], "&lt;=" &amp; $A110, Table2[HomeTeam], U$1)</f>
        <v>5</v>
      </c>
      <c r="V110" s="145">
        <f>SUMIFS(Table2[NewPointsAway],Table2[GameDate], "&lt;=" &amp; $A110, Table2[AwayTeam], V$1)+SUMIFS(Table2[NewPointsHome],Table2[GameDate], "&lt;=" &amp; $A110, Table2[HomeTeam], V$1)</f>
        <v>7</v>
      </c>
      <c r="W110" s="145">
        <f>SUMIFS(Table2[NewPointsAway],Table2[GameDate], "&lt;=" &amp; $A110, Table2[AwayTeam], W$1)+SUMIFS(Table2[NewPointsHome],Table2[GameDate], "&lt;=" &amp; $A110, Table2[HomeTeam], W$1)</f>
        <v>10</v>
      </c>
      <c r="X110" s="145">
        <f>SUMIFS(Table2[NewPointsAway],Table2[GameDate], "&lt;=" &amp; $A110, Table2[AwayTeam], X$1)+SUMIFS(Table2[NewPointsHome],Table2[GameDate], "&lt;=" &amp; $A110, Table2[HomeTeam], X$1)</f>
        <v>8</v>
      </c>
      <c r="Y110" s="145">
        <f>SUMIFS(Table2[NewPointsAway],Table2[GameDate], "&lt;=" &amp; $A110, Table2[AwayTeam], Y$1)+SUMIFS(Table2[NewPointsHome],Table2[GameDate], "&lt;=" &amp; $A110, Table2[HomeTeam], Y$1)</f>
        <v>2</v>
      </c>
      <c r="Z110" s="145">
        <f>SUMIFS(Table2[NewPointsAway],Table2[GameDate], "&lt;=" &amp; $A110, Table2[AwayTeam], Z$1)+SUMIFS(Table2[NewPointsHome],Table2[GameDate], "&lt;=" &amp; $A110, Table2[HomeTeam], Z$1)</f>
        <v>7</v>
      </c>
      <c r="AA110" s="145">
        <f>SUMIFS(Table2[NewPointsAway],Table2[GameDate], "&lt;=" &amp; $A110, Table2[AwayTeam], AA$1)+SUMIFS(Table2[NewPointsHome],Table2[GameDate], "&lt;=" &amp; $A110, Table2[HomeTeam], AA$1)</f>
        <v>4</v>
      </c>
      <c r="AB110" s="145">
        <f>SUMIFS(Table2[NewPointsAway],Table2[GameDate], "&lt;=" &amp; $A110, Table2[AwayTeam], AB$1)+SUMIFS(Table2[NewPointsHome],Table2[GameDate], "&lt;=" &amp; $A110, Table2[HomeTeam], AB$1)</f>
        <v>7</v>
      </c>
      <c r="AC110" s="145">
        <f>SUMIFS(Table2[NewPointsAway],Table2[GameDate], "&lt;=" &amp; $A110, Table2[AwayTeam], AC$1)+SUMIFS(Table2[NewPointsHome],Table2[GameDate], "&lt;=" &amp; $A110, Table2[HomeTeam], AC$1)</f>
        <v>10</v>
      </c>
      <c r="AD110" s="145">
        <f>SUMIFS(Table2[NewPointsAway],Table2[GameDate], "&lt;=" &amp; $A110, Table2[AwayTeam], AD$1)+SUMIFS(Table2[NewPointsHome],Table2[GameDate], "&lt;=" &amp; $A110, Table2[HomeTeam], AD$1)</f>
        <v>8</v>
      </c>
      <c r="AE110" s="145">
        <f>SUMIFS(Table2[NewPointsAway],Table2[GameDate], "&lt;=" &amp; $A110, Table2[AwayTeam], AE$1)+SUMIFS(Table2[NewPointsHome],Table2[GameDate], "&lt;=" &amp; $A110, Table2[HomeTeam], AE$1)</f>
        <v>12</v>
      </c>
      <c r="AF110" s="145">
        <f>SUMIFS(Table2[NewPointsAway],Table2[GameDate], "&lt;=" &amp; $A110, Table2[AwayTeam], AF$1)+SUMIFS(Table2[NewPointsHome],Table2[GameDate], "&lt;=" &amp; $A110, Table2[HomeTeam], AF$1)</f>
        <v>10</v>
      </c>
      <c r="AG110" s="145">
        <f>SUMIFS(Table2[NewPointsAway],Table2[GameDate], "&lt;=" &amp; $A110, Table2[AwayTeam], AG$1)+SUMIFS(Table2[NewPointsHome],Table2[GameDate], "&lt;=" &amp; $A110, Table2[HomeTeam], AG$1)</f>
        <v>10</v>
      </c>
    </row>
    <row r="111" spans="1:33" x14ac:dyDescent="0.25">
      <c r="A111" s="3">
        <v>46042</v>
      </c>
      <c r="B111" s="145">
        <f>SUMIFS(Table2[NewPointsAway],Table2[GameDate], "&lt;=" &amp; $A111, Table2[AwayTeam], B$1)+SUMIFS(Table2[NewPointsHome],Table2[GameDate], "&lt;=" &amp; $A111, Table2[HomeTeam], B$1)</f>
        <v>7</v>
      </c>
      <c r="C111" s="145">
        <f>SUMIFS(Table2[NewPointsAway],Table2[GameDate], "&lt;=" &amp; $A111, Table2[AwayTeam], C$1)+SUMIFS(Table2[NewPointsHome],Table2[GameDate], "&lt;=" &amp; $A111, Table2[HomeTeam], C$1)</f>
        <v>6</v>
      </c>
      <c r="D111" s="145">
        <f>SUMIFS(Table2[NewPointsAway],Table2[GameDate], "&lt;=" &amp; $A111, Table2[AwayTeam], D$1)+SUMIFS(Table2[NewPointsHome],Table2[GameDate], "&lt;=" &amp; $A111, Table2[HomeTeam], D$1)</f>
        <v>4</v>
      </c>
      <c r="E111" s="145">
        <f>SUMIFS(Table2[NewPointsAway],Table2[GameDate], "&lt;=" &amp; $A111, Table2[AwayTeam], E$1)+SUMIFS(Table2[NewPointsHome],Table2[GameDate], "&lt;=" &amp; $A111, Table2[HomeTeam], E$1)</f>
        <v>10</v>
      </c>
      <c r="F111" s="145">
        <f>SUMIFS(Table2[NewPointsAway],Table2[GameDate], "&lt;=" &amp; $A111, Table2[AwayTeam], F$1)+SUMIFS(Table2[NewPointsHome],Table2[GameDate], "&lt;=" &amp; $A111, Table2[HomeTeam], F$1)</f>
        <v>6</v>
      </c>
      <c r="G111" s="145">
        <f>SUMIFS(Table2[NewPointsAway],Table2[GameDate], "&lt;=" &amp; $A111, Table2[AwayTeam], G$1)+SUMIFS(Table2[NewPointsHome],Table2[GameDate], "&lt;=" &amp; $A111, Table2[HomeTeam], G$1)</f>
        <v>2</v>
      </c>
      <c r="H111" s="145">
        <f>SUMIFS(Table2[NewPointsAway],Table2[GameDate], "&lt;=" &amp; $A111, Table2[AwayTeam], H$1)+SUMIFS(Table2[NewPointsHome],Table2[GameDate], "&lt;=" &amp; $A111, Table2[HomeTeam], H$1)</f>
        <v>8</v>
      </c>
      <c r="I111" s="145">
        <f>SUMIFS(Table2[NewPointsAway],Table2[GameDate], "&lt;=" &amp; $A111, Table2[AwayTeam], I$1)+SUMIFS(Table2[NewPointsHome],Table2[GameDate], "&lt;=" &amp; $A111, Table2[HomeTeam], I$1)</f>
        <v>12</v>
      </c>
      <c r="J111" s="145">
        <f>SUMIFS(Table2[NewPointsAway],Table2[GameDate], "&lt;=" &amp; $A111, Table2[AwayTeam], J$1)+SUMIFS(Table2[NewPointsHome],Table2[GameDate], "&lt;=" &amp; $A111, Table2[HomeTeam], J$1)</f>
        <v>6</v>
      </c>
      <c r="K111" s="145">
        <f>SUMIFS(Table2[NewPointsAway],Table2[GameDate], "&lt;=" &amp; $A111, Table2[AwayTeam], K$1)+SUMIFS(Table2[NewPointsHome],Table2[GameDate], "&lt;=" &amp; $A111, Table2[HomeTeam], K$1)</f>
        <v>10</v>
      </c>
      <c r="L111" s="145">
        <f>SUMIFS(Table2[NewPointsAway],Table2[GameDate], "&lt;=" &amp; $A111, Table2[AwayTeam], L$1)+SUMIFS(Table2[NewPointsHome],Table2[GameDate], "&lt;=" &amp; $A111, Table2[HomeTeam], L$1)</f>
        <v>7</v>
      </c>
      <c r="M111" s="145">
        <f>SUMIFS(Table2[NewPointsAway],Table2[GameDate], "&lt;=" &amp; $A111, Table2[AwayTeam], M$1)+SUMIFS(Table2[NewPointsHome],Table2[GameDate], "&lt;=" &amp; $A111, Table2[HomeTeam], M$1)</f>
        <v>8</v>
      </c>
      <c r="N111" s="145">
        <f>SUMIFS(Table2[NewPointsAway],Table2[GameDate], "&lt;=" &amp; $A111, Table2[AwayTeam], N$1)+SUMIFS(Table2[NewPointsHome],Table2[GameDate], "&lt;=" &amp; $A111, Table2[HomeTeam], N$1)</f>
        <v>6</v>
      </c>
      <c r="O111" s="145">
        <f>SUMIFS(Table2[NewPointsAway],Table2[GameDate], "&lt;=" &amp; $A111, Table2[AwayTeam], O$1)+SUMIFS(Table2[NewPointsHome],Table2[GameDate], "&lt;=" &amp; $A111, Table2[HomeTeam], O$1)</f>
        <v>7</v>
      </c>
      <c r="P111" s="145">
        <f>SUMIFS(Table2[NewPointsAway],Table2[GameDate], "&lt;=" &amp; $A111, Table2[AwayTeam], P$1)+SUMIFS(Table2[NewPointsHome],Table2[GameDate], "&lt;=" &amp; $A111, Table2[HomeTeam], P$1)</f>
        <v>10</v>
      </c>
      <c r="Q111" s="145">
        <f>SUMIFS(Table2[NewPointsAway],Table2[GameDate], "&lt;=" &amp; $A111, Table2[AwayTeam], Q$1)+SUMIFS(Table2[NewPointsHome],Table2[GameDate], "&lt;=" &amp; $A111, Table2[HomeTeam], Q$1)</f>
        <v>10</v>
      </c>
      <c r="R111" s="145">
        <f>SUMIFS(Table2[NewPointsAway],Table2[GameDate], "&lt;=" &amp; $A111, Table2[AwayTeam], R$1)+SUMIFS(Table2[NewPointsHome],Table2[GameDate], "&lt;=" &amp; $A111, Table2[HomeTeam], R$1)</f>
        <v>6</v>
      </c>
      <c r="S111" s="145">
        <f>SUMIFS(Table2[NewPointsAway],Table2[GameDate], "&lt;=" &amp; $A111, Table2[AwayTeam], S$1)+SUMIFS(Table2[NewPointsHome],Table2[GameDate], "&lt;=" &amp; $A111, Table2[HomeTeam], S$1)</f>
        <v>6</v>
      </c>
      <c r="T111" s="145">
        <f>SUMIFS(Table2[NewPointsAway],Table2[GameDate], "&lt;=" &amp; $A111, Table2[AwayTeam], T$1)+SUMIFS(Table2[NewPointsHome],Table2[GameDate], "&lt;=" &amp; $A111, Table2[HomeTeam], T$1)</f>
        <v>7</v>
      </c>
      <c r="U111" s="145">
        <f>SUMIFS(Table2[NewPointsAway],Table2[GameDate], "&lt;=" &amp; $A111, Table2[AwayTeam], U$1)+SUMIFS(Table2[NewPointsHome],Table2[GameDate], "&lt;=" &amp; $A111, Table2[HomeTeam], U$1)</f>
        <v>5</v>
      </c>
      <c r="V111" s="145">
        <f>SUMIFS(Table2[NewPointsAway],Table2[GameDate], "&lt;=" &amp; $A111, Table2[AwayTeam], V$1)+SUMIFS(Table2[NewPointsHome],Table2[GameDate], "&lt;=" &amp; $A111, Table2[HomeTeam], V$1)</f>
        <v>7</v>
      </c>
      <c r="W111" s="145">
        <f>SUMIFS(Table2[NewPointsAway],Table2[GameDate], "&lt;=" &amp; $A111, Table2[AwayTeam], W$1)+SUMIFS(Table2[NewPointsHome],Table2[GameDate], "&lt;=" &amp; $A111, Table2[HomeTeam], W$1)</f>
        <v>10</v>
      </c>
      <c r="X111" s="145">
        <f>SUMIFS(Table2[NewPointsAway],Table2[GameDate], "&lt;=" &amp; $A111, Table2[AwayTeam], X$1)+SUMIFS(Table2[NewPointsHome],Table2[GameDate], "&lt;=" &amp; $A111, Table2[HomeTeam], X$1)</f>
        <v>8</v>
      </c>
      <c r="Y111" s="145">
        <f>SUMIFS(Table2[NewPointsAway],Table2[GameDate], "&lt;=" &amp; $A111, Table2[AwayTeam], Y$1)+SUMIFS(Table2[NewPointsHome],Table2[GameDate], "&lt;=" &amp; $A111, Table2[HomeTeam], Y$1)</f>
        <v>2</v>
      </c>
      <c r="Z111" s="145">
        <f>SUMIFS(Table2[NewPointsAway],Table2[GameDate], "&lt;=" &amp; $A111, Table2[AwayTeam], Z$1)+SUMIFS(Table2[NewPointsHome],Table2[GameDate], "&lt;=" &amp; $A111, Table2[HomeTeam], Z$1)</f>
        <v>7</v>
      </c>
      <c r="AA111" s="145">
        <f>SUMIFS(Table2[NewPointsAway],Table2[GameDate], "&lt;=" &amp; $A111, Table2[AwayTeam], AA$1)+SUMIFS(Table2[NewPointsHome],Table2[GameDate], "&lt;=" &amp; $A111, Table2[HomeTeam], AA$1)</f>
        <v>4</v>
      </c>
      <c r="AB111" s="145">
        <f>SUMIFS(Table2[NewPointsAway],Table2[GameDate], "&lt;=" &amp; $A111, Table2[AwayTeam], AB$1)+SUMIFS(Table2[NewPointsHome],Table2[GameDate], "&lt;=" &amp; $A111, Table2[HomeTeam], AB$1)</f>
        <v>7</v>
      </c>
      <c r="AC111" s="145">
        <f>SUMIFS(Table2[NewPointsAway],Table2[GameDate], "&lt;=" &amp; $A111, Table2[AwayTeam], AC$1)+SUMIFS(Table2[NewPointsHome],Table2[GameDate], "&lt;=" &amp; $A111, Table2[HomeTeam], AC$1)</f>
        <v>10</v>
      </c>
      <c r="AD111" s="145">
        <f>SUMIFS(Table2[NewPointsAway],Table2[GameDate], "&lt;=" &amp; $A111, Table2[AwayTeam], AD$1)+SUMIFS(Table2[NewPointsHome],Table2[GameDate], "&lt;=" &amp; $A111, Table2[HomeTeam], AD$1)</f>
        <v>8</v>
      </c>
      <c r="AE111" s="145">
        <f>SUMIFS(Table2[NewPointsAway],Table2[GameDate], "&lt;=" &amp; $A111, Table2[AwayTeam], AE$1)+SUMIFS(Table2[NewPointsHome],Table2[GameDate], "&lt;=" &amp; $A111, Table2[HomeTeam], AE$1)</f>
        <v>12</v>
      </c>
      <c r="AF111" s="145">
        <f>SUMIFS(Table2[NewPointsAway],Table2[GameDate], "&lt;=" &amp; $A111, Table2[AwayTeam], AF$1)+SUMIFS(Table2[NewPointsHome],Table2[GameDate], "&lt;=" &amp; $A111, Table2[HomeTeam], AF$1)</f>
        <v>10</v>
      </c>
      <c r="AG111" s="145">
        <f>SUMIFS(Table2[NewPointsAway],Table2[GameDate], "&lt;=" &amp; $A111, Table2[AwayTeam], AG$1)+SUMIFS(Table2[NewPointsHome],Table2[GameDate], "&lt;=" &amp; $A111, Table2[HomeTeam], AG$1)</f>
        <v>10</v>
      </c>
    </row>
    <row r="112" spans="1:33" x14ac:dyDescent="0.25">
      <c r="A112" s="3">
        <v>46043</v>
      </c>
      <c r="B112" s="145">
        <f>SUMIFS(Table2[NewPointsAway],Table2[GameDate], "&lt;=" &amp; $A112, Table2[AwayTeam], B$1)+SUMIFS(Table2[NewPointsHome],Table2[GameDate], "&lt;=" &amp; $A112, Table2[HomeTeam], B$1)</f>
        <v>7</v>
      </c>
      <c r="C112" s="145">
        <f>SUMIFS(Table2[NewPointsAway],Table2[GameDate], "&lt;=" &amp; $A112, Table2[AwayTeam], C$1)+SUMIFS(Table2[NewPointsHome],Table2[GameDate], "&lt;=" &amp; $A112, Table2[HomeTeam], C$1)</f>
        <v>6</v>
      </c>
      <c r="D112" s="145">
        <f>SUMIFS(Table2[NewPointsAway],Table2[GameDate], "&lt;=" &amp; $A112, Table2[AwayTeam], D$1)+SUMIFS(Table2[NewPointsHome],Table2[GameDate], "&lt;=" &amp; $A112, Table2[HomeTeam], D$1)</f>
        <v>4</v>
      </c>
      <c r="E112" s="145">
        <f>SUMIFS(Table2[NewPointsAway],Table2[GameDate], "&lt;=" &amp; $A112, Table2[AwayTeam], E$1)+SUMIFS(Table2[NewPointsHome],Table2[GameDate], "&lt;=" &amp; $A112, Table2[HomeTeam], E$1)</f>
        <v>10</v>
      </c>
      <c r="F112" s="145">
        <f>SUMIFS(Table2[NewPointsAway],Table2[GameDate], "&lt;=" &amp; $A112, Table2[AwayTeam], F$1)+SUMIFS(Table2[NewPointsHome],Table2[GameDate], "&lt;=" &amp; $A112, Table2[HomeTeam], F$1)</f>
        <v>6</v>
      </c>
      <c r="G112" s="145">
        <f>SUMIFS(Table2[NewPointsAway],Table2[GameDate], "&lt;=" &amp; $A112, Table2[AwayTeam], G$1)+SUMIFS(Table2[NewPointsHome],Table2[GameDate], "&lt;=" &amp; $A112, Table2[HomeTeam], G$1)</f>
        <v>2</v>
      </c>
      <c r="H112" s="145">
        <f>SUMIFS(Table2[NewPointsAway],Table2[GameDate], "&lt;=" &amp; $A112, Table2[AwayTeam], H$1)+SUMIFS(Table2[NewPointsHome],Table2[GameDate], "&lt;=" &amp; $A112, Table2[HomeTeam], H$1)</f>
        <v>8</v>
      </c>
      <c r="I112" s="145">
        <f>SUMIFS(Table2[NewPointsAway],Table2[GameDate], "&lt;=" &amp; $A112, Table2[AwayTeam], I$1)+SUMIFS(Table2[NewPointsHome],Table2[GameDate], "&lt;=" &amp; $A112, Table2[HomeTeam], I$1)</f>
        <v>12</v>
      </c>
      <c r="J112" s="145">
        <f>SUMIFS(Table2[NewPointsAway],Table2[GameDate], "&lt;=" &amp; $A112, Table2[AwayTeam], J$1)+SUMIFS(Table2[NewPointsHome],Table2[GameDate], "&lt;=" &amp; $A112, Table2[HomeTeam], J$1)</f>
        <v>6</v>
      </c>
      <c r="K112" s="145">
        <f>SUMIFS(Table2[NewPointsAway],Table2[GameDate], "&lt;=" &amp; $A112, Table2[AwayTeam], K$1)+SUMIFS(Table2[NewPointsHome],Table2[GameDate], "&lt;=" &amp; $A112, Table2[HomeTeam], K$1)</f>
        <v>10</v>
      </c>
      <c r="L112" s="145">
        <f>SUMIFS(Table2[NewPointsAway],Table2[GameDate], "&lt;=" &amp; $A112, Table2[AwayTeam], L$1)+SUMIFS(Table2[NewPointsHome],Table2[GameDate], "&lt;=" &amp; $A112, Table2[HomeTeam], L$1)</f>
        <v>7</v>
      </c>
      <c r="M112" s="145">
        <f>SUMIFS(Table2[NewPointsAway],Table2[GameDate], "&lt;=" &amp; $A112, Table2[AwayTeam], M$1)+SUMIFS(Table2[NewPointsHome],Table2[GameDate], "&lt;=" &amp; $A112, Table2[HomeTeam], M$1)</f>
        <v>8</v>
      </c>
      <c r="N112" s="145">
        <f>SUMIFS(Table2[NewPointsAway],Table2[GameDate], "&lt;=" &amp; $A112, Table2[AwayTeam], N$1)+SUMIFS(Table2[NewPointsHome],Table2[GameDate], "&lt;=" &amp; $A112, Table2[HomeTeam], N$1)</f>
        <v>6</v>
      </c>
      <c r="O112" s="145">
        <f>SUMIFS(Table2[NewPointsAway],Table2[GameDate], "&lt;=" &amp; $A112, Table2[AwayTeam], O$1)+SUMIFS(Table2[NewPointsHome],Table2[GameDate], "&lt;=" &amp; $A112, Table2[HomeTeam], O$1)</f>
        <v>7</v>
      </c>
      <c r="P112" s="145">
        <f>SUMIFS(Table2[NewPointsAway],Table2[GameDate], "&lt;=" &amp; $A112, Table2[AwayTeam], P$1)+SUMIFS(Table2[NewPointsHome],Table2[GameDate], "&lt;=" &amp; $A112, Table2[HomeTeam], P$1)</f>
        <v>10</v>
      </c>
      <c r="Q112" s="145">
        <f>SUMIFS(Table2[NewPointsAway],Table2[GameDate], "&lt;=" &amp; $A112, Table2[AwayTeam], Q$1)+SUMIFS(Table2[NewPointsHome],Table2[GameDate], "&lt;=" &amp; $A112, Table2[HomeTeam], Q$1)</f>
        <v>10</v>
      </c>
      <c r="R112" s="145">
        <f>SUMIFS(Table2[NewPointsAway],Table2[GameDate], "&lt;=" &amp; $A112, Table2[AwayTeam], R$1)+SUMIFS(Table2[NewPointsHome],Table2[GameDate], "&lt;=" &amp; $A112, Table2[HomeTeam], R$1)</f>
        <v>6</v>
      </c>
      <c r="S112" s="145">
        <f>SUMIFS(Table2[NewPointsAway],Table2[GameDate], "&lt;=" &amp; $A112, Table2[AwayTeam], S$1)+SUMIFS(Table2[NewPointsHome],Table2[GameDate], "&lt;=" &amp; $A112, Table2[HomeTeam], S$1)</f>
        <v>6</v>
      </c>
      <c r="T112" s="145">
        <f>SUMIFS(Table2[NewPointsAway],Table2[GameDate], "&lt;=" &amp; $A112, Table2[AwayTeam], T$1)+SUMIFS(Table2[NewPointsHome],Table2[GameDate], "&lt;=" &amp; $A112, Table2[HomeTeam], T$1)</f>
        <v>7</v>
      </c>
      <c r="U112" s="145">
        <f>SUMIFS(Table2[NewPointsAway],Table2[GameDate], "&lt;=" &amp; $A112, Table2[AwayTeam], U$1)+SUMIFS(Table2[NewPointsHome],Table2[GameDate], "&lt;=" &amp; $A112, Table2[HomeTeam], U$1)</f>
        <v>5</v>
      </c>
      <c r="V112" s="145">
        <f>SUMIFS(Table2[NewPointsAway],Table2[GameDate], "&lt;=" &amp; $A112, Table2[AwayTeam], V$1)+SUMIFS(Table2[NewPointsHome],Table2[GameDate], "&lt;=" &amp; $A112, Table2[HomeTeam], V$1)</f>
        <v>7</v>
      </c>
      <c r="W112" s="145">
        <f>SUMIFS(Table2[NewPointsAway],Table2[GameDate], "&lt;=" &amp; $A112, Table2[AwayTeam], W$1)+SUMIFS(Table2[NewPointsHome],Table2[GameDate], "&lt;=" &amp; $A112, Table2[HomeTeam], W$1)</f>
        <v>10</v>
      </c>
      <c r="X112" s="145">
        <f>SUMIFS(Table2[NewPointsAway],Table2[GameDate], "&lt;=" &amp; $A112, Table2[AwayTeam], X$1)+SUMIFS(Table2[NewPointsHome],Table2[GameDate], "&lt;=" &amp; $A112, Table2[HomeTeam], X$1)</f>
        <v>8</v>
      </c>
      <c r="Y112" s="145">
        <f>SUMIFS(Table2[NewPointsAway],Table2[GameDate], "&lt;=" &amp; $A112, Table2[AwayTeam], Y$1)+SUMIFS(Table2[NewPointsHome],Table2[GameDate], "&lt;=" &amp; $A112, Table2[HomeTeam], Y$1)</f>
        <v>2</v>
      </c>
      <c r="Z112" s="145">
        <f>SUMIFS(Table2[NewPointsAway],Table2[GameDate], "&lt;=" &amp; $A112, Table2[AwayTeam], Z$1)+SUMIFS(Table2[NewPointsHome],Table2[GameDate], "&lt;=" &amp; $A112, Table2[HomeTeam], Z$1)</f>
        <v>7</v>
      </c>
      <c r="AA112" s="145">
        <f>SUMIFS(Table2[NewPointsAway],Table2[GameDate], "&lt;=" &amp; $A112, Table2[AwayTeam], AA$1)+SUMIFS(Table2[NewPointsHome],Table2[GameDate], "&lt;=" &amp; $A112, Table2[HomeTeam], AA$1)</f>
        <v>4</v>
      </c>
      <c r="AB112" s="145">
        <f>SUMIFS(Table2[NewPointsAway],Table2[GameDate], "&lt;=" &amp; $A112, Table2[AwayTeam], AB$1)+SUMIFS(Table2[NewPointsHome],Table2[GameDate], "&lt;=" &amp; $A112, Table2[HomeTeam], AB$1)</f>
        <v>7</v>
      </c>
      <c r="AC112" s="145">
        <f>SUMIFS(Table2[NewPointsAway],Table2[GameDate], "&lt;=" &amp; $A112, Table2[AwayTeam], AC$1)+SUMIFS(Table2[NewPointsHome],Table2[GameDate], "&lt;=" &amp; $A112, Table2[HomeTeam], AC$1)</f>
        <v>10</v>
      </c>
      <c r="AD112" s="145">
        <f>SUMIFS(Table2[NewPointsAway],Table2[GameDate], "&lt;=" &amp; $A112, Table2[AwayTeam], AD$1)+SUMIFS(Table2[NewPointsHome],Table2[GameDate], "&lt;=" &amp; $A112, Table2[HomeTeam], AD$1)</f>
        <v>8</v>
      </c>
      <c r="AE112" s="145">
        <f>SUMIFS(Table2[NewPointsAway],Table2[GameDate], "&lt;=" &amp; $A112, Table2[AwayTeam], AE$1)+SUMIFS(Table2[NewPointsHome],Table2[GameDate], "&lt;=" &amp; $A112, Table2[HomeTeam], AE$1)</f>
        <v>12</v>
      </c>
      <c r="AF112" s="145">
        <f>SUMIFS(Table2[NewPointsAway],Table2[GameDate], "&lt;=" &amp; $A112, Table2[AwayTeam], AF$1)+SUMIFS(Table2[NewPointsHome],Table2[GameDate], "&lt;=" &amp; $A112, Table2[HomeTeam], AF$1)</f>
        <v>10</v>
      </c>
      <c r="AG112" s="145">
        <f>SUMIFS(Table2[NewPointsAway],Table2[GameDate], "&lt;=" &amp; $A112, Table2[AwayTeam], AG$1)+SUMIFS(Table2[NewPointsHome],Table2[GameDate], "&lt;=" &amp; $A112, Table2[HomeTeam], AG$1)</f>
        <v>10</v>
      </c>
    </row>
    <row r="113" spans="1:33" x14ac:dyDescent="0.25">
      <c r="A113" s="3">
        <v>46044</v>
      </c>
      <c r="B113" s="145">
        <f>SUMIFS(Table2[NewPointsAway],Table2[GameDate], "&lt;=" &amp; $A113, Table2[AwayTeam], B$1)+SUMIFS(Table2[NewPointsHome],Table2[GameDate], "&lt;=" &amp; $A113, Table2[HomeTeam], B$1)</f>
        <v>7</v>
      </c>
      <c r="C113" s="145">
        <f>SUMIFS(Table2[NewPointsAway],Table2[GameDate], "&lt;=" &amp; $A113, Table2[AwayTeam], C$1)+SUMIFS(Table2[NewPointsHome],Table2[GameDate], "&lt;=" &amp; $A113, Table2[HomeTeam], C$1)</f>
        <v>6</v>
      </c>
      <c r="D113" s="145">
        <f>SUMIFS(Table2[NewPointsAway],Table2[GameDate], "&lt;=" &amp; $A113, Table2[AwayTeam], D$1)+SUMIFS(Table2[NewPointsHome],Table2[GameDate], "&lt;=" &amp; $A113, Table2[HomeTeam], D$1)</f>
        <v>4</v>
      </c>
      <c r="E113" s="145">
        <f>SUMIFS(Table2[NewPointsAway],Table2[GameDate], "&lt;=" &amp; $A113, Table2[AwayTeam], E$1)+SUMIFS(Table2[NewPointsHome],Table2[GameDate], "&lt;=" &amp; $A113, Table2[HomeTeam], E$1)</f>
        <v>10</v>
      </c>
      <c r="F113" s="145">
        <f>SUMIFS(Table2[NewPointsAway],Table2[GameDate], "&lt;=" &amp; $A113, Table2[AwayTeam], F$1)+SUMIFS(Table2[NewPointsHome],Table2[GameDate], "&lt;=" &amp; $A113, Table2[HomeTeam], F$1)</f>
        <v>6</v>
      </c>
      <c r="G113" s="145">
        <f>SUMIFS(Table2[NewPointsAway],Table2[GameDate], "&lt;=" &amp; $A113, Table2[AwayTeam], G$1)+SUMIFS(Table2[NewPointsHome],Table2[GameDate], "&lt;=" &amp; $A113, Table2[HomeTeam], G$1)</f>
        <v>2</v>
      </c>
      <c r="H113" s="145">
        <f>SUMIFS(Table2[NewPointsAway],Table2[GameDate], "&lt;=" &amp; $A113, Table2[AwayTeam], H$1)+SUMIFS(Table2[NewPointsHome],Table2[GameDate], "&lt;=" &amp; $A113, Table2[HomeTeam], H$1)</f>
        <v>8</v>
      </c>
      <c r="I113" s="145">
        <f>SUMIFS(Table2[NewPointsAway],Table2[GameDate], "&lt;=" &amp; $A113, Table2[AwayTeam], I$1)+SUMIFS(Table2[NewPointsHome],Table2[GameDate], "&lt;=" &amp; $A113, Table2[HomeTeam], I$1)</f>
        <v>12</v>
      </c>
      <c r="J113" s="145">
        <f>SUMIFS(Table2[NewPointsAway],Table2[GameDate], "&lt;=" &amp; $A113, Table2[AwayTeam], J$1)+SUMIFS(Table2[NewPointsHome],Table2[GameDate], "&lt;=" &amp; $A113, Table2[HomeTeam], J$1)</f>
        <v>6</v>
      </c>
      <c r="K113" s="145">
        <f>SUMIFS(Table2[NewPointsAway],Table2[GameDate], "&lt;=" &amp; $A113, Table2[AwayTeam], K$1)+SUMIFS(Table2[NewPointsHome],Table2[GameDate], "&lt;=" &amp; $A113, Table2[HomeTeam], K$1)</f>
        <v>10</v>
      </c>
      <c r="L113" s="145">
        <f>SUMIFS(Table2[NewPointsAway],Table2[GameDate], "&lt;=" &amp; $A113, Table2[AwayTeam], L$1)+SUMIFS(Table2[NewPointsHome],Table2[GameDate], "&lt;=" &amp; $A113, Table2[HomeTeam], L$1)</f>
        <v>7</v>
      </c>
      <c r="M113" s="145">
        <f>SUMIFS(Table2[NewPointsAway],Table2[GameDate], "&lt;=" &amp; $A113, Table2[AwayTeam], M$1)+SUMIFS(Table2[NewPointsHome],Table2[GameDate], "&lt;=" &amp; $A113, Table2[HomeTeam], M$1)</f>
        <v>8</v>
      </c>
      <c r="N113" s="145">
        <f>SUMIFS(Table2[NewPointsAway],Table2[GameDate], "&lt;=" &amp; $A113, Table2[AwayTeam], N$1)+SUMIFS(Table2[NewPointsHome],Table2[GameDate], "&lt;=" &amp; $A113, Table2[HomeTeam], N$1)</f>
        <v>6</v>
      </c>
      <c r="O113" s="145">
        <f>SUMIFS(Table2[NewPointsAway],Table2[GameDate], "&lt;=" &amp; $A113, Table2[AwayTeam], O$1)+SUMIFS(Table2[NewPointsHome],Table2[GameDate], "&lt;=" &amp; $A113, Table2[HomeTeam], O$1)</f>
        <v>7</v>
      </c>
      <c r="P113" s="145">
        <f>SUMIFS(Table2[NewPointsAway],Table2[GameDate], "&lt;=" &amp; $A113, Table2[AwayTeam], P$1)+SUMIFS(Table2[NewPointsHome],Table2[GameDate], "&lt;=" &amp; $A113, Table2[HomeTeam], P$1)</f>
        <v>10</v>
      </c>
      <c r="Q113" s="145">
        <f>SUMIFS(Table2[NewPointsAway],Table2[GameDate], "&lt;=" &amp; $A113, Table2[AwayTeam], Q$1)+SUMIFS(Table2[NewPointsHome],Table2[GameDate], "&lt;=" &amp; $A113, Table2[HomeTeam], Q$1)</f>
        <v>10</v>
      </c>
      <c r="R113" s="145">
        <f>SUMIFS(Table2[NewPointsAway],Table2[GameDate], "&lt;=" &amp; $A113, Table2[AwayTeam], R$1)+SUMIFS(Table2[NewPointsHome],Table2[GameDate], "&lt;=" &amp; $A113, Table2[HomeTeam], R$1)</f>
        <v>6</v>
      </c>
      <c r="S113" s="145">
        <f>SUMIFS(Table2[NewPointsAway],Table2[GameDate], "&lt;=" &amp; $A113, Table2[AwayTeam], S$1)+SUMIFS(Table2[NewPointsHome],Table2[GameDate], "&lt;=" &amp; $A113, Table2[HomeTeam], S$1)</f>
        <v>6</v>
      </c>
      <c r="T113" s="145">
        <f>SUMIFS(Table2[NewPointsAway],Table2[GameDate], "&lt;=" &amp; $A113, Table2[AwayTeam], T$1)+SUMIFS(Table2[NewPointsHome],Table2[GameDate], "&lt;=" &amp; $A113, Table2[HomeTeam], T$1)</f>
        <v>7</v>
      </c>
      <c r="U113" s="145">
        <f>SUMIFS(Table2[NewPointsAway],Table2[GameDate], "&lt;=" &amp; $A113, Table2[AwayTeam], U$1)+SUMIFS(Table2[NewPointsHome],Table2[GameDate], "&lt;=" &amp; $A113, Table2[HomeTeam], U$1)</f>
        <v>5</v>
      </c>
      <c r="V113" s="145">
        <f>SUMIFS(Table2[NewPointsAway],Table2[GameDate], "&lt;=" &amp; $A113, Table2[AwayTeam], V$1)+SUMIFS(Table2[NewPointsHome],Table2[GameDate], "&lt;=" &amp; $A113, Table2[HomeTeam], V$1)</f>
        <v>7</v>
      </c>
      <c r="W113" s="145">
        <f>SUMIFS(Table2[NewPointsAway],Table2[GameDate], "&lt;=" &amp; $A113, Table2[AwayTeam], W$1)+SUMIFS(Table2[NewPointsHome],Table2[GameDate], "&lt;=" &amp; $A113, Table2[HomeTeam], W$1)</f>
        <v>10</v>
      </c>
      <c r="X113" s="145">
        <f>SUMIFS(Table2[NewPointsAway],Table2[GameDate], "&lt;=" &amp; $A113, Table2[AwayTeam], X$1)+SUMIFS(Table2[NewPointsHome],Table2[GameDate], "&lt;=" &amp; $A113, Table2[HomeTeam], X$1)</f>
        <v>8</v>
      </c>
      <c r="Y113" s="145">
        <f>SUMIFS(Table2[NewPointsAway],Table2[GameDate], "&lt;=" &amp; $A113, Table2[AwayTeam], Y$1)+SUMIFS(Table2[NewPointsHome],Table2[GameDate], "&lt;=" &amp; $A113, Table2[HomeTeam], Y$1)</f>
        <v>2</v>
      </c>
      <c r="Z113" s="145">
        <f>SUMIFS(Table2[NewPointsAway],Table2[GameDate], "&lt;=" &amp; $A113, Table2[AwayTeam], Z$1)+SUMIFS(Table2[NewPointsHome],Table2[GameDate], "&lt;=" &amp; $A113, Table2[HomeTeam], Z$1)</f>
        <v>7</v>
      </c>
      <c r="AA113" s="145">
        <f>SUMIFS(Table2[NewPointsAway],Table2[GameDate], "&lt;=" &amp; $A113, Table2[AwayTeam], AA$1)+SUMIFS(Table2[NewPointsHome],Table2[GameDate], "&lt;=" &amp; $A113, Table2[HomeTeam], AA$1)</f>
        <v>4</v>
      </c>
      <c r="AB113" s="145">
        <f>SUMIFS(Table2[NewPointsAway],Table2[GameDate], "&lt;=" &amp; $A113, Table2[AwayTeam], AB$1)+SUMIFS(Table2[NewPointsHome],Table2[GameDate], "&lt;=" &amp; $A113, Table2[HomeTeam], AB$1)</f>
        <v>7</v>
      </c>
      <c r="AC113" s="145">
        <f>SUMIFS(Table2[NewPointsAway],Table2[GameDate], "&lt;=" &amp; $A113, Table2[AwayTeam], AC$1)+SUMIFS(Table2[NewPointsHome],Table2[GameDate], "&lt;=" &amp; $A113, Table2[HomeTeam], AC$1)</f>
        <v>10</v>
      </c>
      <c r="AD113" s="145">
        <f>SUMIFS(Table2[NewPointsAway],Table2[GameDate], "&lt;=" &amp; $A113, Table2[AwayTeam], AD$1)+SUMIFS(Table2[NewPointsHome],Table2[GameDate], "&lt;=" &amp; $A113, Table2[HomeTeam], AD$1)</f>
        <v>8</v>
      </c>
      <c r="AE113" s="145">
        <f>SUMIFS(Table2[NewPointsAway],Table2[GameDate], "&lt;=" &amp; $A113, Table2[AwayTeam], AE$1)+SUMIFS(Table2[NewPointsHome],Table2[GameDate], "&lt;=" &amp; $A113, Table2[HomeTeam], AE$1)</f>
        <v>12</v>
      </c>
      <c r="AF113" s="145">
        <f>SUMIFS(Table2[NewPointsAway],Table2[GameDate], "&lt;=" &amp; $A113, Table2[AwayTeam], AF$1)+SUMIFS(Table2[NewPointsHome],Table2[GameDate], "&lt;=" &amp; $A113, Table2[HomeTeam], AF$1)</f>
        <v>10</v>
      </c>
      <c r="AG113" s="145">
        <f>SUMIFS(Table2[NewPointsAway],Table2[GameDate], "&lt;=" &amp; $A113, Table2[AwayTeam], AG$1)+SUMIFS(Table2[NewPointsHome],Table2[GameDate], "&lt;=" &amp; $A113, Table2[HomeTeam], AG$1)</f>
        <v>10</v>
      </c>
    </row>
    <row r="114" spans="1:33" x14ac:dyDescent="0.25">
      <c r="A114" s="3">
        <v>46045</v>
      </c>
      <c r="B114" s="145">
        <f>SUMIFS(Table2[NewPointsAway],Table2[GameDate], "&lt;=" &amp; $A114, Table2[AwayTeam], B$1)+SUMIFS(Table2[NewPointsHome],Table2[GameDate], "&lt;=" &amp; $A114, Table2[HomeTeam], B$1)</f>
        <v>7</v>
      </c>
      <c r="C114" s="145">
        <f>SUMIFS(Table2[NewPointsAway],Table2[GameDate], "&lt;=" &amp; $A114, Table2[AwayTeam], C$1)+SUMIFS(Table2[NewPointsHome],Table2[GameDate], "&lt;=" &amp; $A114, Table2[HomeTeam], C$1)</f>
        <v>6</v>
      </c>
      <c r="D114" s="145">
        <f>SUMIFS(Table2[NewPointsAway],Table2[GameDate], "&lt;=" &amp; $A114, Table2[AwayTeam], D$1)+SUMIFS(Table2[NewPointsHome],Table2[GameDate], "&lt;=" &amp; $A114, Table2[HomeTeam], D$1)</f>
        <v>4</v>
      </c>
      <c r="E114" s="145">
        <f>SUMIFS(Table2[NewPointsAway],Table2[GameDate], "&lt;=" &amp; $A114, Table2[AwayTeam], E$1)+SUMIFS(Table2[NewPointsHome],Table2[GameDate], "&lt;=" &amp; $A114, Table2[HomeTeam], E$1)</f>
        <v>10</v>
      </c>
      <c r="F114" s="145">
        <f>SUMIFS(Table2[NewPointsAway],Table2[GameDate], "&lt;=" &amp; $A114, Table2[AwayTeam], F$1)+SUMIFS(Table2[NewPointsHome],Table2[GameDate], "&lt;=" &amp; $A114, Table2[HomeTeam], F$1)</f>
        <v>6</v>
      </c>
      <c r="G114" s="145">
        <f>SUMIFS(Table2[NewPointsAway],Table2[GameDate], "&lt;=" &amp; $A114, Table2[AwayTeam], G$1)+SUMIFS(Table2[NewPointsHome],Table2[GameDate], "&lt;=" &amp; $A114, Table2[HomeTeam], G$1)</f>
        <v>2</v>
      </c>
      <c r="H114" s="145">
        <f>SUMIFS(Table2[NewPointsAway],Table2[GameDate], "&lt;=" &amp; $A114, Table2[AwayTeam], H$1)+SUMIFS(Table2[NewPointsHome],Table2[GameDate], "&lt;=" &amp; $A114, Table2[HomeTeam], H$1)</f>
        <v>8</v>
      </c>
      <c r="I114" s="145">
        <f>SUMIFS(Table2[NewPointsAway],Table2[GameDate], "&lt;=" &amp; $A114, Table2[AwayTeam], I$1)+SUMIFS(Table2[NewPointsHome],Table2[GameDate], "&lt;=" &amp; $A114, Table2[HomeTeam], I$1)</f>
        <v>12</v>
      </c>
      <c r="J114" s="145">
        <f>SUMIFS(Table2[NewPointsAway],Table2[GameDate], "&lt;=" &amp; $A114, Table2[AwayTeam], J$1)+SUMIFS(Table2[NewPointsHome],Table2[GameDate], "&lt;=" &amp; $A114, Table2[HomeTeam], J$1)</f>
        <v>6</v>
      </c>
      <c r="K114" s="145">
        <f>SUMIFS(Table2[NewPointsAway],Table2[GameDate], "&lt;=" &amp; $A114, Table2[AwayTeam], K$1)+SUMIFS(Table2[NewPointsHome],Table2[GameDate], "&lt;=" &amp; $A114, Table2[HomeTeam], K$1)</f>
        <v>10</v>
      </c>
      <c r="L114" s="145">
        <f>SUMIFS(Table2[NewPointsAway],Table2[GameDate], "&lt;=" &amp; $A114, Table2[AwayTeam], L$1)+SUMIFS(Table2[NewPointsHome],Table2[GameDate], "&lt;=" &amp; $A114, Table2[HomeTeam], L$1)</f>
        <v>7</v>
      </c>
      <c r="M114" s="145">
        <f>SUMIFS(Table2[NewPointsAway],Table2[GameDate], "&lt;=" &amp; $A114, Table2[AwayTeam], M$1)+SUMIFS(Table2[NewPointsHome],Table2[GameDate], "&lt;=" &amp; $A114, Table2[HomeTeam], M$1)</f>
        <v>8</v>
      </c>
      <c r="N114" s="145">
        <f>SUMIFS(Table2[NewPointsAway],Table2[GameDate], "&lt;=" &amp; $A114, Table2[AwayTeam], N$1)+SUMIFS(Table2[NewPointsHome],Table2[GameDate], "&lt;=" &amp; $A114, Table2[HomeTeam], N$1)</f>
        <v>6</v>
      </c>
      <c r="O114" s="145">
        <f>SUMIFS(Table2[NewPointsAway],Table2[GameDate], "&lt;=" &amp; $A114, Table2[AwayTeam], O$1)+SUMIFS(Table2[NewPointsHome],Table2[GameDate], "&lt;=" &amp; $A114, Table2[HomeTeam], O$1)</f>
        <v>7</v>
      </c>
      <c r="P114" s="145">
        <f>SUMIFS(Table2[NewPointsAway],Table2[GameDate], "&lt;=" &amp; $A114, Table2[AwayTeam], P$1)+SUMIFS(Table2[NewPointsHome],Table2[GameDate], "&lt;=" &amp; $A114, Table2[HomeTeam], P$1)</f>
        <v>10</v>
      </c>
      <c r="Q114" s="145">
        <f>SUMIFS(Table2[NewPointsAway],Table2[GameDate], "&lt;=" &amp; $A114, Table2[AwayTeam], Q$1)+SUMIFS(Table2[NewPointsHome],Table2[GameDate], "&lt;=" &amp; $A114, Table2[HomeTeam], Q$1)</f>
        <v>10</v>
      </c>
      <c r="R114" s="145">
        <f>SUMIFS(Table2[NewPointsAway],Table2[GameDate], "&lt;=" &amp; $A114, Table2[AwayTeam], R$1)+SUMIFS(Table2[NewPointsHome],Table2[GameDate], "&lt;=" &amp; $A114, Table2[HomeTeam], R$1)</f>
        <v>6</v>
      </c>
      <c r="S114" s="145">
        <f>SUMIFS(Table2[NewPointsAway],Table2[GameDate], "&lt;=" &amp; $A114, Table2[AwayTeam], S$1)+SUMIFS(Table2[NewPointsHome],Table2[GameDate], "&lt;=" &amp; $A114, Table2[HomeTeam], S$1)</f>
        <v>6</v>
      </c>
      <c r="T114" s="145">
        <f>SUMIFS(Table2[NewPointsAway],Table2[GameDate], "&lt;=" &amp; $A114, Table2[AwayTeam], T$1)+SUMIFS(Table2[NewPointsHome],Table2[GameDate], "&lt;=" &amp; $A114, Table2[HomeTeam], T$1)</f>
        <v>7</v>
      </c>
      <c r="U114" s="145">
        <f>SUMIFS(Table2[NewPointsAway],Table2[GameDate], "&lt;=" &amp; $A114, Table2[AwayTeam], U$1)+SUMIFS(Table2[NewPointsHome],Table2[GameDate], "&lt;=" &amp; $A114, Table2[HomeTeam], U$1)</f>
        <v>5</v>
      </c>
      <c r="V114" s="145">
        <f>SUMIFS(Table2[NewPointsAway],Table2[GameDate], "&lt;=" &amp; $A114, Table2[AwayTeam], V$1)+SUMIFS(Table2[NewPointsHome],Table2[GameDate], "&lt;=" &amp; $A114, Table2[HomeTeam], V$1)</f>
        <v>7</v>
      </c>
      <c r="W114" s="145">
        <f>SUMIFS(Table2[NewPointsAway],Table2[GameDate], "&lt;=" &amp; $A114, Table2[AwayTeam], W$1)+SUMIFS(Table2[NewPointsHome],Table2[GameDate], "&lt;=" &amp; $A114, Table2[HomeTeam], W$1)</f>
        <v>10</v>
      </c>
      <c r="X114" s="145">
        <f>SUMIFS(Table2[NewPointsAway],Table2[GameDate], "&lt;=" &amp; $A114, Table2[AwayTeam], X$1)+SUMIFS(Table2[NewPointsHome],Table2[GameDate], "&lt;=" &amp; $A114, Table2[HomeTeam], X$1)</f>
        <v>8</v>
      </c>
      <c r="Y114" s="145">
        <f>SUMIFS(Table2[NewPointsAway],Table2[GameDate], "&lt;=" &amp; $A114, Table2[AwayTeam], Y$1)+SUMIFS(Table2[NewPointsHome],Table2[GameDate], "&lt;=" &amp; $A114, Table2[HomeTeam], Y$1)</f>
        <v>2</v>
      </c>
      <c r="Z114" s="145">
        <f>SUMIFS(Table2[NewPointsAway],Table2[GameDate], "&lt;=" &amp; $A114, Table2[AwayTeam], Z$1)+SUMIFS(Table2[NewPointsHome],Table2[GameDate], "&lt;=" &amp; $A114, Table2[HomeTeam], Z$1)</f>
        <v>7</v>
      </c>
      <c r="AA114" s="145">
        <f>SUMIFS(Table2[NewPointsAway],Table2[GameDate], "&lt;=" &amp; $A114, Table2[AwayTeam], AA$1)+SUMIFS(Table2[NewPointsHome],Table2[GameDate], "&lt;=" &amp; $A114, Table2[HomeTeam], AA$1)</f>
        <v>4</v>
      </c>
      <c r="AB114" s="145">
        <f>SUMIFS(Table2[NewPointsAway],Table2[GameDate], "&lt;=" &amp; $A114, Table2[AwayTeam], AB$1)+SUMIFS(Table2[NewPointsHome],Table2[GameDate], "&lt;=" &amp; $A114, Table2[HomeTeam], AB$1)</f>
        <v>7</v>
      </c>
      <c r="AC114" s="145">
        <f>SUMIFS(Table2[NewPointsAway],Table2[GameDate], "&lt;=" &amp; $A114, Table2[AwayTeam], AC$1)+SUMIFS(Table2[NewPointsHome],Table2[GameDate], "&lt;=" &amp; $A114, Table2[HomeTeam], AC$1)</f>
        <v>10</v>
      </c>
      <c r="AD114" s="145">
        <f>SUMIFS(Table2[NewPointsAway],Table2[GameDate], "&lt;=" &amp; $A114, Table2[AwayTeam], AD$1)+SUMIFS(Table2[NewPointsHome],Table2[GameDate], "&lt;=" &amp; $A114, Table2[HomeTeam], AD$1)</f>
        <v>8</v>
      </c>
      <c r="AE114" s="145">
        <f>SUMIFS(Table2[NewPointsAway],Table2[GameDate], "&lt;=" &amp; $A114, Table2[AwayTeam], AE$1)+SUMIFS(Table2[NewPointsHome],Table2[GameDate], "&lt;=" &amp; $A114, Table2[HomeTeam], AE$1)</f>
        <v>12</v>
      </c>
      <c r="AF114" s="145">
        <f>SUMIFS(Table2[NewPointsAway],Table2[GameDate], "&lt;=" &amp; $A114, Table2[AwayTeam], AF$1)+SUMIFS(Table2[NewPointsHome],Table2[GameDate], "&lt;=" &amp; $A114, Table2[HomeTeam], AF$1)</f>
        <v>10</v>
      </c>
      <c r="AG114" s="145">
        <f>SUMIFS(Table2[NewPointsAway],Table2[GameDate], "&lt;=" &amp; $A114, Table2[AwayTeam], AG$1)+SUMIFS(Table2[NewPointsHome],Table2[GameDate], "&lt;=" &amp; $A114, Table2[HomeTeam], AG$1)</f>
        <v>10</v>
      </c>
    </row>
    <row r="115" spans="1:33" x14ac:dyDescent="0.25">
      <c r="A115" s="3">
        <v>46046</v>
      </c>
      <c r="B115" s="145">
        <f>SUMIFS(Table2[NewPointsAway],Table2[GameDate], "&lt;=" &amp; $A115, Table2[AwayTeam], B$1)+SUMIFS(Table2[NewPointsHome],Table2[GameDate], "&lt;=" &amp; $A115, Table2[HomeTeam], B$1)</f>
        <v>7</v>
      </c>
      <c r="C115" s="145">
        <f>SUMIFS(Table2[NewPointsAway],Table2[GameDate], "&lt;=" &amp; $A115, Table2[AwayTeam], C$1)+SUMIFS(Table2[NewPointsHome],Table2[GameDate], "&lt;=" &amp; $A115, Table2[HomeTeam], C$1)</f>
        <v>6</v>
      </c>
      <c r="D115" s="145">
        <f>SUMIFS(Table2[NewPointsAway],Table2[GameDate], "&lt;=" &amp; $A115, Table2[AwayTeam], D$1)+SUMIFS(Table2[NewPointsHome],Table2[GameDate], "&lt;=" &amp; $A115, Table2[HomeTeam], D$1)</f>
        <v>4</v>
      </c>
      <c r="E115" s="145">
        <f>SUMIFS(Table2[NewPointsAway],Table2[GameDate], "&lt;=" &amp; $A115, Table2[AwayTeam], E$1)+SUMIFS(Table2[NewPointsHome],Table2[GameDate], "&lt;=" &amp; $A115, Table2[HomeTeam], E$1)</f>
        <v>10</v>
      </c>
      <c r="F115" s="145">
        <f>SUMIFS(Table2[NewPointsAway],Table2[GameDate], "&lt;=" &amp; $A115, Table2[AwayTeam], F$1)+SUMIFS(Table2[NewPointsHome],Table2[GameDate], "&lt;=" &amp; $A115, Table2[HomeTeam], F$1)</f>
        <v>6</v>
      </c>
      <c r="G115" s="145">
        <f>SUMIFS(Table2[NewPointsAway],Table2[GameDate], "&lt;=" &amp; $A115, Table2[AwayTeam], G$1)+SUMIFS(Table2[NewPointsHome],Table2[GameDate], "&lt;=" &amp; $A115, Table2[HomeTeam], G$1)</f>
        <v>2</v>
      </c>
      <c r="H115" s="145">
        <f>SUMIFS(Table2[NewPointsAway],Table2[GameDate], "&lt;=" &amp; $A115, Table2[AwayTeam], H$1)+SUMIFS(Table2[NewPointsHome],Table2[GameDate], "&lt;=" &amp; $A115, Table2[HomeTeam], H$1)</f>
        <v>8</v>
      </c>
      <c r="I115" s="145">
        <f>SUMIFS(Table2[NewPointsAway],Table2[GameDate], "&lt;=" &amp; $A115, Table2[AwayTeam], I$1)+SUMIFS(Table2[NewPointsHome],Table2[GameDate], "&lt;=" &amp; $A115, Table2[HomeTeam], I$1)</f>
        <v>12</v>
      </c>
      <c r="J115" s="145">
        <f>SUMIFS(Table2[NewPointsAway],Table2[GameDate], "&lt;=" &amp; $A115, Table2[AwayTeam], J$1)+SUMIFS(Table2[NewPointsHome],Table2[GameDate], "&lt;=" &amp; $A115, Table2[HomeTeam], J$1)</f>
        <v>6</v>
      </c>
      <c r="K115" s="145">
        <f>SUMIFS(Table2[NewPointsAway],Table2[GameDate], "&lt;=" &amp; $A115, Table2[AwayTeam], K$1)+SUMIFS(Table2[NewPointsHome],Table2[GameDate], "&lt;=" &amp; $A115, Table2[HomeTeam], K$1)</f>
        <v>10</v>
      </c>
      <c r="L115" s="145">
        <f>SUMIFS(Table2[NewPointsAway],Table2[GameDate], "&lt;=" &amp; $A115, Table2[AwayTeam], L$1)+SUMIFS(Table2[NewPointsHome],Table2[GameDate], "&lt;=" &amp; $A115, Table2[HomeTeam], L$1)</f>
        <v>7</v>
      </c>
      <c r="M115" s="145">
        <f>SUMIFS(Table2[NewPointsAway],Table2[GameDate], "&lt;=" &amp; $A115, Table2[AwayTeam], M$1)+SUMIFS(Table2[NewPointsHome],Table2[GameDate], "&lt;=" &amp; $A115, Table2[HomeTeam], M$1)</f>
        <v>8</v>
      </c>
      <c r="N115" s="145">
        <f>SUMIFS(Table2[NewPointsAway],Table2[GameDate], "&lt;=" &amp; $A115, Table2[AwayTeam], N$1)+SUMIFS(Table2[NewPointsHome],Table2[GameDate], "&lt;=" &amp; $A115, Table2[HomeTeam], N$1)</f>
        <v>6</v>
      </c>
      <c r="O115" s="145">
        <f>SUMIFS(Table2[NewPointsAway],Table2[GameDate], "&lt;=" &amp; $A115, Table2[AwayTeam], O$1)+SUMIFS(Table2[NewPointsHome],Table2[GameDate], "&lt;=" &amp; $A115, Table2[HomeTeam], O$1)</f>
        <v>7</v>
      </c>
      <c r="P115" s="145">
        <f>SUMIFS(Table2[NewPointsAway],Table2[GameDate], "&lt;=" &amp; $A115, Table2[AwayTeam], P$1)+SUMIFS(Table2[NewPointsHome],Table2[GameDate], "&lt;=" &amp; $A115, Table2[HomeTeam], P$1)</f>
        <v>10</v>
      </c>
      <c r="Q115" s="145">
        <f>SUMIFS(Table2[NewPointsAway],Table2[GameDate], "&lt;=" &amp; $A115, Table2[AwayTeam], Q$1)+SUMIFS(Table2[NewPointsHome],Table2[GameDate], "&lt;=" &amp; $A115, Table2[HomeTeam], Q$1)</f>
        <v>10</v>
      </c>
      <c r="R115" s="145">
        <f>SUMIFS(Table2[NewPointsAway],Table2[GameDate], "&lt;=" &amp; $A115, Table2[AwayTeam], R$1)+SUMIFS(Table2[NewPointsHome],Table2[GameDate], "&lt;=" &amp; $A115, Table2[HomeTeam], R$1)</f>
        <v>6</v>
      </c>
      <c r="S115" s="145">
        <f>SUMIFS(Table2[NewPointsAway],Table2[GameDate], "&lt;=" &amp; $A115, Table2[AwayTeam], S$1)+SUMIFS(Table2[NewPointsHome],Table2[GameDate], "&lt;=" &amp; $A115, Table2[HomeTeam], S$1)</f>
        <v>6</v>
      </c>
      <c r="T115" s="145">
        <f>SUMIFS(Table2[NewPointsAway],Table2[GameDate], "&lt;=" &amp; $A115, Table2[AwayTeam], T$1)+SUMIFS(Table2[NewPointsHome],Table2[GameDate], "&lt;=" &amp; $A115, Table2[HomeTeam], T$1)</f>
        <v>7</v>
      </c>
      <c r="U115" s="145">
        <f>SUMIFS(Table2[NewPointsAway],Table2[GameDate], "&lt;=" &amp; $A115, Table2[AwayTeam], U$1)+SUMIFS(Table2[NewPointsHome],Table2[GameDate], "&lt;=" &amp; $A115, Table2[HomeTeam], U$1)</f>
        <v>5</v>
      </c>
      <c r="V115" s="145">
        <f>SUMIFS(Table2[NewPointsAway],Table2[GameDate], "&lt;=" &amp; $A115, Table2[AwayTeam], V$1)+SUMIFS(Table2[NewPointsHome],Table2[GameDate], "&lt;=" &amp; $A115, Table2[HomeTeam], V$1)</f>
        <v>7</v>
      </c>
      <c r="W115" s="145">
        <f>SUMIFS(Table2[NewPointsAway],Table2[GameDate], "&lt;=" &amp; $A115, Table2[AwayTeam], W$1)+SUMIFS(Table2[NewPointsHome],Table2[GameDate], "&lt;=" &amp; $A115, Table2[HomeTeam], W$1)</f>
        <v>10</v>
      </c>
      <c r="X115" s="145">
        <f>SUMIFS(Table2[NewPointsAway],Table2[GameDate], "&lt;=" &amp; $A115, Table2[AwayTeam], X$1)+SUMIFS(Table2[NewPointsHome],Table2[GameDate], "&lt;=" &amp; $A115, Table2[HomeTeam], X$1)</f>
        <v>8</v>
      </c>
      <c r="Y115" s="145">
        <f>SUMIFS(Table2[NewPointsAway],Table2[GameDate], "&lt;=" &amp; $A115, Table2[AwayTeam], Y$1)+SUMIFS(Table2[NewPointsHome],Table2[GameDate], "&lt;=" &amp; $A115, Table2[HomeTeam], Y$1)</f>
        <v>2</v>
      </c>
      <c r="Z115" s="145">
        <f>SUMIFS(Table2[NewPointsAway],Table2[GameDate], "&lt;=" &amp; $A115, Table2[AwayTeam], Z$1)+SUMIFS(Table2[NewPointsHome],Table2[GameDate], "&lt;=" &amp; $A115, Table2[HomeTeam], Z$1)</f>
        <v>7</v>
      </c>
      <c r="AA115" s="145">
        <f>SUMIFS(Table2[NewPointsAway],Table2[GameDate], "&lt;=" &amp; $A115, Table2[AwayTeam], AA$1)+SUMIFS(Table2[NewPointsHome],Table2[GameDate], "&lt;=" &amp; $A115, Table2[HomeTeam], AA$1)</f>
        <v>4</v>
      </c>
      <c r="AB115" s="145">
        <f>SUMIFS(Table2[NewPointsAway],Table2[GameDate], "&lt;=" &amp; $A115, Table2[AwayTeam], AB$1)+SUMIFS(Table2[NewPointsHome],Table2[GameDate], "&lt;=" &amp; $A115, Table2[HomeTeam], AB$1)</f>
        <v>7</v>
      </c>
      <c r="AC115" s="145">
        <f>SUMIFS(Table2[NewPointsAway],Table2[GameDate], "&lt;=" &amp; $A115, Table2[AwayTeam], AC$1)+SUMIFS(Table2[NewPointsHome],Table2[GameDate], "&lt;=" &amp; $A115, Table2[HomeTeam], AC$1)</f>
        <v>10</v>
      </c>
      <c r="AD115" s="145">
        <f>SUMIFS(Table2[NewPointsAway],Table2[GameDate], "&lt;=" &amp; $A115, Table2[AwayTeam], AD$1)+SUMIFS(Table2[NewPointsHome],Table2[GameDate], "&lt;=" &amp; $A115, Table2[HomeTeam], AD$1)</f>
        <v>8</v>
      </c>
      <c r="AE115" s="145">
        <f>SUMIFS(Table2[NewPointsAway],Table2[GameDate], "&lt;=" &amp; $A115, Table2[AwayTeam], AE$1)+SUMIFS(Table2[NewPointsHome],Table2[GameDate], "&lt;=" &amp; $A115, Table2[HomeTeam], AE$1)</f>
        <v>12</v>
      </c>
      <c r="AF115" s="145">
        <f>SUMIFS(Table2[NewPointsAway],Table2[GameDate], "&lt;=" &amp; $A115, Table2[AwayTeam], AF$1)+SUMIFS(Table2[NewPointsHome],Table2[GameDate], "&lt;=" &amp; $A115, Table2[HomeTeam], AF$1)</f>
        <v>10</v>
      </c>
      <c r="AG115" s="145">
        <f>SUMIFS(Table2[NewPointsAway],Table2[GameDate], "&lt;=" &amp; $A115, Table2[AwayTeam], AG$1)+SUMIFS(Table2[NewPointsHome],Table2[GameDate], "&lt;=" &amp; $A115, Table2[HomeTeam], AG$1)</f>
        <v>10</v>
      </c>
    </row>
    <row r="116" spans="1:33" x14ac:dyDescent="0.25">
      <c r="A116" s="3">
        <v>46047</v>
      </c>
      <c r="B116" s="145">
        <f>SUMIFS(Table2[NewPointsAway],Table2[GameDate], "&lt;=" &amp; $A116, Table2[AwayTeam], B$1)+SUMIFS(Table2[NewPointsHome],Table2[GameDate], "&lt;=" &amp; $A116, Table2[HomeTeam], B$1)</f>
        <v>7</v>
      </c>
      <c r="C116" s="145">
        <f>SUMIFS(Table2[NewPointsAway],Table2[GameDate], "&lt;=" &amp; $A116, Table2[AwayTeam], C$1)+SUMIFS(Table2[NewPointsHome],Table2[GameDate], "&lt;=" &amp; $A116, Table2[HomeTeam], C$1)</f>
        <v>6</v>
      </c>
      <c r="D116" s="145">
        <f>SUMIFS(Table2[NewPointsAway],Table2[GameDate], "&lt;=" &amp; $A116, Table2[AwayTeam], D$1)+SUMIFS(Table2[NewPointsHome],Table2[GameDate], "&lt;=" &amp; $A116, Table2[HomeTeam], D$1)</f>
        <v>4</v>
      </c>
      <c r="E116" s="145">
        <f>SUMIFS(Table2[NewPointsAway],Table2[GameDate], "&lt;=" &amp; $A116, Table2[AwayTeam], E$1)+SUMIFS(Table2[NewPointsHome],Table2[GameDate], "&lt;=" &amp; $A116, Table2[HomeTeam], E$1)</f>
        <v>10</v>
      </c>
      <c r="F116" s="145">
        <f>SUMIFS(Table2[NewPointsAway],Table2[GameDate], "&lt;=" &amp; $A116, Table2[AwayTeam], F$1)+SUMIFS(Table2[NewPointsHome],Table2[GameDate], "&lt;=" &amp; $A116, Table2[HomeTeam], F$1)</f>
        <v>6</v>
      </c>
      <c r="G116" s="145">
        <f>SUMIFS(Table2[NewPointsAway],Table2[GameDate], "&lt;=" &amp; $A116, Table2[AwayTeam], G$1)+SUMIFS(Table2[NewPointsHome],Table2[GameDate], "&lt;=" &amp; $A116, Table2[HomeTeam], G$1)</f>
        <v>2</v>
      </c>
      <c r="H116" s="145">
        <f>SUMIFS(Table2[NewPointsAway],Table2[GameDate], "&lt;=" &amp; $A116, Table2[AwayTeam], H$1)+SUMIFS(Table2[NewPointsHome],Table2[GameDate], "&lt;=" &amp; $A116, Table2[HomeTeam], H$1)</f>
        <v>8</v>
      </c>
      <c r="I116" s="145">
        <f>SUMIFS(Table2[NewPointsAway],Table2[GameDate], "&lt;=" &amp; $A116, Table2[AwayTeam], I$1)+SUMIFS(Table2[NewPointsHome],Table2[GameDate], "&lt;=" &amp; $A116, Table2[HomeTeam], I$1)</f>
        <v>12</v>
      </c>
      <c r="J116" s="145">
        <f>SUMIFS(Table2[NewPointsAway],Table2[GameDate], "&lt;=" &amp; $A116, Table2[AwayTeam], J$1)+SUMIFS(Table2[NewPointsHome],Table2[GameDate], "&lt;=" &amp; $A116, Table2[HomeTeam], J$1)</f>
        <v>6</v>
      </c>
      <c r="K116" s="145">
        <f>SUMIFS(Table2[NewPointsAway],Table2[GameDate], "&lt;=" &amp; $A116, Table2[AwayTeam], K$1)+SUMIFS(Table2[NewPointsHome],Table2[GameDate], "&lt;=" &amp; $A116, Table2[HomeTeam], K$1)</f>
        <v>10</v>
      </c>
      <c r="L116" s="145">
        <f>SUMIFS(Table2[NewPointsAway],Table2[GameDate], "&lt;=" &amp; $A116, Table2[AwayTeam], L$1)+SUMIFS(Table2[NewPointsHome],Table2[GameDate], "&lt;=" &amp; $A116, Table2[HomeTeam], L$1)</f>
        <v>7</v>
      </c>
      <c r="M116" s="145">
        <f>SUMIFS(Table2[NewPointsAway],Table2[GameDate], "&lt;=" &amp; $A116, Table2[AwayTeam], M$1)+SUMIFS(Table2[NewPointsHome],Table2[GameDate], "&lt;=" &amp; $A116, Table2[HomeTeam], M$1)</f>
        <v>8</v>
      </c>
      <c r="N116" s="145">
        <f>SUMIFS(Table2[NewPointsAway],Table2[GameDate], "&lt;=" &amp; $A116, Table2[AwayTeam], N$1)+SUMIFS(Table2[NewPointsHome],Table2[GameDate], "&lt;=" &amp; $A116, Table2[HomeTeam], N$1)</f>
        <v>6</v>
      </c>
      <c r="O116" s="145">
        <f>SUMIFS(Table2[NewPointsAway],Table2[GameDate], "&lt;=" &amp; $A116, Table2[AwayTeam], O$1)+SUMIFS(Table2[NewPointsHome],Table2[GameDate], "&lt;=" &amp; $A116, Table2[HomeTeam], O$1)</f>
        <v>7</v>
      </c>
      <c r="P116" s="145">
        <f>SUMIFS(Table2[NewPointsAway],Table2[GameDate], "&lt;=" &amp; $A116, Table2[AwayTeam], P$1)+SUMIFS(Table2[NewPointsHome],Table2[GameDate], "&lt;=" &amp; $A116, Table2[HomeTeam], P$1)</f>
        <v>10</v>
      </c>
      <c r="Q116" s="145">
        <f>SUMIFS(Table2[NewPointsAway],Table2[GameDate], "&lt;=" &amp; $A116, Table2[AwayTeam], Q$1)+SUMIFS(Table2[NewPointsHome],Table2[GameDate], "&lt;=" &amp; $A116, Table2[HomeTeam], Q$1)</f>
        <v>10</v>
      </c>
      <c r="R116" s="145">
        <f>SUMIFS(Table2[NewPointsAway],Table2[GameDate], "&lt;=" &amp; $A116, Table2[AwayTeam], R$1)+SUMIFS(Table2[NewPointsHome],Table2[GameDate], "&lt;=" &amp; $A116, Table2[HomeTeam], R$1)</f>
        <v>6</v>
      </c>
      <c r="S116" s="145">
        <f>SUMIFS(Table2[NewPointsAway],Table2[GameDate], "&lt;=" &amp; $A116, Table2[AwayTeam], S$1)+SUMIFS(Table2[NewPointsHome],Table2[GameDate], "&lt;=" &amp; $A116, Table2[HomeTeam], S$1)</f>
        <v>6</v>
      </c>
      <c r="T116" s="145">
        <f>SUMIFS(Table2[NewPointsAway],Table2[GameDate], "&lt;=" &amp; $A116, Table2[AwayTeam], T$1)+SUMIFS(Table2[NewPointsHome],Table2[GameDate], "&lt;=" &amp; $A116, Table2[HomeTeam], T$1)</f>
        <v>7</v>
      </c>
      <c r="U116" s="145">
        <f>SUMIFS(Table2[NewPointsAway],Table2[GameDate], "&lt;=" &amp; $A116, Table2[AwayTeam], U$1)+SUMIFS(Table2[NewPointsHome],Table2[GameDate], "&lt;=" &amp; $A116, Table2[HomeTeam], U$1)</f>
        <v>5</v>
      </c>
      <c r="V116" s="145">
        <f>SUMIFS(Table2[NewPointsAway],Table2[GameDate], "&lt;=" &amp; $A116, Table2[AwayTeam], V$1)+SUMIFS(Table2[NewPointsHome],Table2[GameDate], "&lt;=" &amp; $A116, Table2[HomeTeam], V$1)</f>
        <v>7</v>
      </c>
      <c r="W116" s="145">
        <f>SUMIFS(Table2[NewPointsAway],Table2[GameDate], "&lt;=" &amp; $A116, Table2[AwayTeam], W$1)+SUMIFS(Table2[NewPointsHome],Table2[GameDate], "&lt;=" &amp; $A116, Table2[HomeTeam], W$1)</f>
        <v>10</v>
      </c>
      <c r="X116" s="145">
        <f>SUMIFS(Table2[NewPointsAway],Table2[GameDate], "&lt;=" &amp; $A116, Table2[AwayTeam], X$1)+SUMIFS(Table2[NewPointsHome],Table2[GameDate], "&lt;=" &amp; $A116, Table2[HomeTeam], X$1)</f>
        <v>8</v>
      </c>
      <c r="Y116" s="145">
        <f>SUMIFS(Table2[NewPointsAway],Table2[GameDate], "&lt;=" &amp; $A116, Table2[AwayTeam], Y$1)+SUMIFS(Table2[NewPointsHome],Table2[GameDate], "&lt;=" &amp; $A116, Table2[HomeTeam], Y$1)</f>
        <v>2</v>
      </c>
      <c r="Z116" s="145">
        <f>SUMIFS(Table2[NewPointsAway],Table2[GameDate], "&lt;=" &amp; $A116, Table2[AwayTeam], Z$1)+SUMIFS(Table2[NewPointsHome],Table2[GameDate], "&lt;=" &amp; $A116, Table2[HomeTeam], Z$1)</f>
        <v>7</v>
      </c>
      <c r="AA116" s="145">
        <f>SUMIFS(Table2[NewPointsAway],Table2[GameDate], "&lt;=" &amp; $A116, Table2[AwayTeam], AA$1)+SUMIFS(Table2[NewPointsHome],Table2[GameDate], "&lt;=" &amp; $A116, Table2[HomeTeam], AA$1)</f>
        <v>4</v>
      </c>
      <c r="AB116" s="145">
        <f>SUMIFS(Table2[NewPointsAway],Table2[GameDate], "&lt;=" &amp; $A116, Table2[AwayTeam], AB$1)+SUMIFS(Table2[NewPointsHome],Table2[GameDate], "&lt;=" &amp; $A116, Table2[HomeTeam], AB$1)</f>
        <v>7</v>
      </c>
      <c r="AC116" s="145">
        <f>SUMIFS(Table2[NewPointsAway],Table2[GameDate], "&lt;=" &amp; $A116, Table2[AwayTeam], AC$1)+SUMIFS(Table2[NewPointsHome],Table2[GameDate], "&lt;=" &amp; $A116, Table2[HomeTeam], AC$1)</f>
        <v>10</v>
      </c>
      <c r="AD116" s="145">
        <f>SUMIFS(Table2[NewPointsAway],Table2[GameDate], "&lt;=" &amp; $A116, Table2[AwayTeam], AD$1)+SUMIFS(Table2[NewPointsHome],Table2[GameDate], "&lt;=" &amp; $A116, Table2[HomeTeam], AD$1)</f>
        <v>8</v>
      </c>
      <c r="AE116" s="145">
        <f>SUMIFS(Table2[NewPointsAway],Table2[GameDate], "&lt;=" &amp; $A116, Table2[AwayTeam], AE$1)+SUMIFS(Table2[NewPointsHome],Table2[GameDate], "&lt;=" &amp; $A116, Table2[HomeTeam], AE$1)</f>
        <v>12</v>
      </c>
      <c r="AF116" s="145">
        <f>SUMIFS(Table2[NewPointsAway],Table2[GameDate], "&lt;=" &amp; $A116, Table2[AwayTeam], AF$1)+SUMIFS(Table2[NewPointsHome],Table2[GameDate], "&lt;=" &amp; $A116, Table2[HomeTeam], AF$1)</f>
        <v>10</v>
      </c>
      <c r="AG116" s="145">
        <f>SUMIFS(Table2[NewPointsAway],Table2[GameDate], "&lt;=" &amp; $A116, Table2[AwayTeam], AG$1)+SUMIFS(Table2[NewPointsHome],Table2[GameDate], "&lt;=" &amp; $A116, Table2[HomeTeam], AG$1)</f>
        <v>10</v>
      </c>
    </row>
    <row r="117" spans="1:33" x14ac:dyDescent="0.25">
      <c r="A117" s="3">
        <v>46048</v>
      </c>
      <c r="B117" s="145">
        <f>SUMIFS(Table2[NewPointsAway],Table2[GameDate], "&lt;=" &amp; $A117, Table2[AwayTeam], B$1)+SUMIFS(Table2[NewPointsHome],Table2[GameDate], "&lt;=" &amp; $A117, Table2[HomeTeam], B$1)</f>
        <v>7</v>
      </c>
      <c r="C117" s="145">
        <f>SUMIFS(Table2[NewPointsAway],Table2[GameDate], "&lt;=" &amp; $A117, Table2[AwayTeam], C$1)+SUMIFS(Table2[NewPointsHome],Table2[GameDate], "&lt;=" &amp; $A117, Table2[HomeTeam], C$1)</f>
        <v>6</v>
      </c>
      <c r="D117" s="145">
        <f>SUMIFS(Table2[NewPointsAway],Table2[GameDate], "&lt;=" &amp; $A117, Table2[AwayTeam], D$1)+SUMIFS(Table2[NewPointsHome],Table2[GameDate], "&lt;=" &amp; $A117, Table2[HomeTeam], D$1)</f>
        <v>4</v>
      </c>
      <c r="E117" s="145">
        <f>SUMIFS(Table2[NewPointsAway],Table2[GameDate], "&lt;=" &amp; $A117, Table2[AwayTeam], E$1)+SUMIFS(Table2[NewPointsHome],Table2[GameDate], "&lt;=" &amp; $A117, Table2[HomeTeam], E$1)</f>
        <v>10</v>
      </c>
      <c r="F117" s="145">
        <f>SUMIFS(Table2[NewPointsAway],Table2[GameDate], "&lt;=" &amp; $A117, Table2[AwayTeam], F$1)+SUMIFS(Table2[NewPointsHome],Table2[GameDate], "&lt;=" &amp; $A117, Table2[HomeTeam], F$1)</f>
        <v>6</v>
      </c>
      <c r="G117" s="145">
        <f>SUMIFS(Table2[NewPointsAway],Table2[GameDate], "&lt;=" &amp; $A117, Table2[AwayTeam], G$1)+SUMIFS(Table2[NewPointsHome],Table2[GameDate], "&lt;=" &amp; $A117, Table2[HomeTeam], G$1)</f>
        <v>2</v>
      </c>
      <c r="H117" s="145">
        <f>SUMIFS(Table2[NewPointsAway],Table2[GameDate], "&lt;=" &amp; $A117, Table2[AwayTeam], H$1)+SUMIFS(Table2[NewPointsHome],Table2[GameDate], "&lt;=" &amp; $A117, Table2[HomeTeam], H$1)</f>
        <v>8</v>
      </c>
      <c r="I117" s="145">
        <f>SUMIFS(Table2[NewPointsAway],Table2[GameDate], "&lt;=" &amp; $A117, Table2[AwayTeam], I$1)+SUMIFS(Table2[NewPointsHome],Table2[GameDate], "&lt;=" &amp; $A117, Table2[HomeTeam], I$1)</f>
        <v>12</v>
      </c>
      <c r="J117" s="145">
        <f>SUMIFS(Table2[NewPointsAway],Table2[GameDate], "&lt;=" &amp; $A117, Table2[AwayTeam], J$1)+SUMIFS(Table2[NewPointsHome],Table2[GameDate], "&lt;=" &amp; $A117, Table2[HomeTeam], J$1)</f>
        <v>6</v>
      </c>
      <c r="K117" s="145">
        <f>SUMIFS(Table2[NewPointsAway],Table2[GameDate], "&lt;=" &amp; $A117, Table2[AwayTeam], K$1)+SUMIFS(Table2[NewPointsHome],Table2[GameDate], "&lt;=" &amp; $A117, Table2[HomeTeam], K$1)</f>
        <v>10</v>
      </c>
      <c r="L117" s="145">
        <f>SUMIFS(Table2[NewPointsAway],Table2[GameDate], "&lt;=" &amp; $A117, Table2[AwayTeam], L$1)+SUMIFS(Table2[NewPointsHome],Table2[GameDate], "&lt;=" &amp; $A117, Table2[HomeTeam], L$1)</f>
        <v>7</v>
      </c>
      <c r="M117" s="145">
        <f>SUMIFS(Table2[NewPointsAway],Table2[GameDate], "&lt;=" &amp; $A117, Table2[AwayTeam], M$1)+SUMIFS(Table2[NewPointsHome],Table2[GameDate], "&lt;=" &amp; $A117, Table2[HomeTeam], M$1)</f>
        <v>8</v>
      </c>
      <c r="N117" s="145">
        <f>SUMIFS(Table2[NewPointsAway],Table2[GameDate], "&lt;=" &amp; $A117, Table2[AwayTeam], N$1)+SUMIFS(Table2[NewPointsHome],Table2[GameDate], "&lt;=" &amp; $A117, Table2[HomeTeam], N$1)</f>
        <v>6</v>
      </c>
      <c r="O117" s="145">
        <f>SUMIFS(Table2[NewPointsAway],Table2[GameDate], "&lt;=" &amp; $A117, Table2[AwayTeam], O$1)+SUMIFS(Table2[NewPointsHome],Table2[GameDate], "&lt;=" &amp; $A117, Table2[HomeTeam], O$1)</f>
        <v>7</v>
      </c>
      <c r="P117" s="145">
        <f>SUMIFS(Table2[NewPointsAway],Table2[GameDate], "&lt;=" &amp; $A117, Table2[AwayTeam], P$1)+SUMIFS(Table2[NewPointsHome],Table2[GameDate], "&lt;=" &amp; $A117, Table2[HomeTeam], P$1)</f>
        <v>10</v>
      </c>
      <c r="Q117" s="145">
        <f>SUMIFS(Table2[NewPointsAway],Table2[GameDate], "&lt;=" &amp; $A117, Table2[AwayTeam], Q$1)+SUMIFS(Table2[NewPointsHome],Table2[GameDate], "&lt;=" &amp; $A117, Table2[HomeTeam], Q$1)</f>
        <v>10</v>
      </c>
      <c r="R117" s="145">
        <f>SUMIFS(Table2[NewPointsAway],Table2[GameDate], "&lt;=" &amp; $A117, Table2[AwayTeam], R$1)+SUMIFS(Table2[NewPointsHome],Table2[GameDate], "&lt;=" &amp; $A117, Table2[HomeTeam], R$1)</f>
        <v>6</v>
      </c>
      <c r="S117" s="145">
        <f>SUMIFS(Table2[NewPointsAway],Table2[GameDate], "&lt;=" &amp; $A117, Table2[AwayTeam], S$1)+SUMIFS(Table2[NewPointsHome],Table2[GameDate], "&lt;=" &amp; $A117, Table2[HomeTeam], S$1)</f>
        <v>6</v>
      </c>
      <c r="T117" s="145">
        <f>SUMIFS(Table2[NewPointsAway],Table2[GameDate], "&lt;=" &amp; $A117, Table2[AwayTeam], T$1)+SUMIFS(Table2[NewPointsHome],Table2[GameDate], "&lt;=" &amp; $A117, Table2[HomeTeam], T$1)</f>
        <v>7</v>
      </c>
      <c r="U117" s="145">
        <f>SUMIFS(Table2[NewPointsAway],Table2[GameDate], "&lt;=" &amp; $A117, Table2[AwayTeam], U$1)+SUMIFS(Table2[NewPointsHome],Table2[GameDate], "&lt;=" &amp; $A117, Table2[HomeTeam], U$1)</f>
        <v>5</v>
      </c>
      <c r="V117" s="145">
        <f>SUMIFS(Table2[NewPointsAway],Table2[GameDate], "&lt;=" &amp; $A117, Table2[AwayTeam], V$1)+SUMIFS(Table2[NewPointsHome],Table2[GameDate], "&lt;=" &amp; $A117, Table2[HomeTeam], V$1)</f>
        <v>7</v>
      </c>
      <c r="W117" s="145">
        <f>SUMIFS(Table2[NewPointsAway],Table2[GameDate], "&lt;=" &amp; $A117, Table2[AwayTeam], W$1)+SUMIFS(Table2[NewPointsHome],Table2[GameDate], "&lt;=" &amp; $A117, Table2[HomeTeam], W$1)</f>
        <v>10</v>
      </c>
      <c r="X117" s="145">
        <f>SUMIFS(Table2[NewPointsAway],Table2[GameDate], "&lt;=" &amp; $A117, Table2[AwayTeam], X$1)+SUMIFS(Table2[NewPointsHome],Table2[GameDate], "&lt;=" &amp; $A117, Table2[HomeTeam], X$1)</f>
        <v>8</v>
      </c>
      <c r="Y117" s="145">
        <f>SUMIFS(Table2[NewPointsAway],Table2[GameDate], "&lt;=" &amp; $A117, Table2[AwayTeam], Y$1)+SUMIFS(Table2[NewPointsHome],Table2[GameDate], "&lt;=" &amp; $A117, Table2[HomeTeam], Y$1)</f>
        <v>2</v>
      </c>
      <c r="Z117" s="145">
        <f>SUMIFS(Table2[NewPointsAway],Table2[GameDate], "&lt;=" &amp; $A117, Table2[AwayTeam], Z$1)+SUMIFS(Table2[NewPointsHome],Table2[GameDate], "&lt;=" &amp; $A117, Table2[HomeTeam], Z$1)</f>
        <v>7</v>
      </c>
      <c r="AA117" s="145">
        <f>SUMIFS(Table2[NewPointsAway],Table2[GameDate], "&lt;=" &amp; $A117, Table2[AwayTeam], AA$1)+SUMIFS(Table2[NewPointsHome],Table2[GameDate], "&lt;=" &amp; $A117, Table2[HomeTeam], AA$1)</f>
        <v>4</v>
      </c>
      <c r="AB117" s="145">
        <f>SUMIFS(Table2[NewPointsAway],Table2[GameDate], "&lt;=" &amp; $A117, Table2[AwayTeam], AB$1)+SUMIFS(Table2[NewPointsHome],Table2[GameDate], "&lt;=" &amp; $A117, Table2[HomeTeam], AB$1)</f>
        <v>7</v>
      </c>
      <c r="AC117" s="145">
        <f>SUMIFS(Table2[NewPointsAway],Table2[GameDate], "&lt;=" &amp; $A117, Table2[AwayTeam], AC$1)+SUMIFS(Table2[NewPointsHome],Table2[GameDate], "&lt;=" &amp; $A117, Table2[HomeTeam], AC$1)</f>
        <v>10</v>
      </c>
      <c r="AD117" s="145">
        <f>SUMIFS(Table2[NewPointsAway],Table2[GameDate], "&lt;=" &amp; $A117, Table2[AwayTeam], AD$1)+SUMIFS(Table2[NewPointsHome],Table2[GameDate], "&lt;=" &amp; $A117, Table2[HomeTeam], AD$1)</f>
        <v>8</v>
      </c>
      <c r="AE117" s="145">
        <f>SUMIFS(Table2[NewPointsAway],Table2[GameDate], "&lt;=" &amp; $A117, Table2[AwayTeam], AE$1)+SUMIFS(Table2[NewPointsHome],Table2[GameDate], "&lt;=" &amp; $A117, Table2[HomeTeam], AE$1)</f>
        <v>12</v>
      </c>
      <c r="AF117" s="145">
        <f>SUMIFS(Table2[NewPointsAway],Table2[GameDate], "&lt;=" &amp; $A117, Table2[AwayTeam], AF$1)+SUMIFS(Table2[NewPointsHome],Table2[GameDate], "&lt;=" &amp; $A117, Table2[HomeTeam], AF$1)</f>
        <v>10</v>
      </c>
      <c r="AG117" s="145">
        <f>SUMIFS(Table2[NewPointsAway],Table2[GameDate], "&lt;=" &amp; $A117, Table2[AwayTeam], AG$1)+SUMIFS(Table2[NewPointsHome],Table2[GameDate], "&lt;=" &amp; $A117, Table2[HomeTeam], AG$1)</f>
        <v>10</v>
      </c>
    </row>
    <row r="118" spans="1:33" x14ac:dyDescent="0.25">
      <c r="A118" s="3">
        <v>46049</v>
      </c>
      <c r="B118" s="145">
        <f>SUMIFS(Table2[NewPointsAway],Table2[GameDate], "&lt;=" &amp; $A118, Table2[AwayTeam], B$1)+SUMIFS(Table2[NewPointsHome],Table2[GameDate], "&lt;=" &amp; $A118, Table2[HomeTeam], B$1)</f>
        <v>7</v>
      </c>
      <c r="C118" s="145">
        <f>SUMIFS(Table2[NewPointsAway],Table2[GameDate], "&lt;=" &amp; $A118, Table2[AwayTeam], C$1)+SUMIFS(Table2[NewPointsHome],Table2[GameDate], "&lt;=" &amp; $A118, Table2[HomeTeam], C$1)</f>
        <v>6</v>
      </c>
      <c r="D118" s="145">
        <f>SUMIFS(Table2[NewPointsAway],Table2[GameDate], "&lt;=" &amp; $A118, Table2[AwayTeam], D$1)+SUMIFS(Table2[NewPointsHome],Table2[GameDate], "&lt;=" &amp; $A118, Table2[HomeTeam], D$1)</f>
        <v>4</v>
      </c>
      <c r="E118" s="145">
        <f>SUMIFS(Table2[NewPointsAway],Table2[GameDate], "&lt;=" &amp; $A118, Table2[AwayTeam], E$1)+SUMIFS(Table2[NewPointsHome],Table2[GameDate], "&lt;=" &amp; $A118, Table2[HomeTeam], E$1)</f>
        <v>10</v>
      </c>
      <c r="F118" s="145">
        <f>SUMIFS(Table2[NewPointsAway],Table2[GameDate], "&lt;=" &amp; $A118, Table2[AwayTeam], F$1)+SUMIFS(Table2[NewPointsHome],Table2[GameDate], "&lt;=" &amp; $A118, Table2[HomeTeam], F$1)</f>
        <v>6</v>
      </c>
      <c r="G118" s="145">
        <f>SUMIFS(Table2[NewPointsAway],Table2[GameDate], "&lt;=" &amp; $A118, Table2[AwayTeam], G$1)+SUMIFS(Table2[NewPointsHome],Table2[GameDate], "&lt;=" &amp; $A118, Table2[HomeTeam], G$1)</f>
        <v>2</v>
      </c>
      <c r="H118" s="145">
        <f>SUMIFS(Table2[NewPointsAway],Table2[GameDate], "&lt;=" &amp; $A118, Table2[AwayTeam], H$1)+SUMIFS(Table2[NewPointsHome],Table2[GameDate], "&lt;=" &amp; $A118, Table2[HomeTeam], H$1)</f>
        <v>8</v>
      </c>
      <c r="I118" s="145">
        <f>SUMIFS(Table2[NewPointsAway],Table2[GameDate], "&lt;=" &amp; $A118, Table2[AwayTeam], I$1)+SUMIFS(Table2[NewPointsHome],Table2[GameDate], "&lt;=" &amp; $A118, Table2[HomeTeam], I$1)</f>
        <v>12</v>
      </c>
      <c r="J118" s="145">
        <f>SUMIFS(Table2[NewPointsAway],Table2[GameDate], "&lt;=" &amp; $A118, Table2[AwayTeam], J$1)+SUMIFS(Table2[NewPointsHome],Table2[GameDate], "&lt;=" &amp; $A118, Table2[HomeTeam], J$1)</f>
        <v>6</v>
      </c>
      <c r="K118" s="145">
        <f>SUMIFS(Table2[NewPointsAway],Table2[GameDate], "&lt;=" &amp; $A118, Table2[AwayTeam], K$1)+SUMIFS(Table2[NewPointsHome],Table2[GameDate], "&lt;=" &amp; $A118, Table2[HomeTeam], K$1)</f>
        <v>10</v>
      </c>
      <c r="L118" s="145">
        <f>SUMIFS(Table2[NewPointsAway],Table2[GameDate], "&lt;=" &amp; $A118, Table2[AwayTeam], L$1)+SUMIFS(Table2[NewPointsHome],Table2[GameDate], "&lt;=" &amp; $A118, Table2[HomeTeam], L$1)</f>
        <v>7</v>
      </c>
      <c r="M118" s="145">
        <f>SUMIFS(Table2[NewPointsAway],Table2[GameDate], "&lt;=" &amp; $A118, Table2[AwayTeam], M$1)+SUMIFS(Table2[NewPointsHome],Table2[GameDate], "&lt;=" &amp; $A118, Table2[HomeTeam], M$1)</f>
        <v>8</v>
      </c>
      <c r="N118" s="145">
        <f>SUMIFS(Table2[NewPointsAway],Table2[GameDate], "&lt;=" &amp; $A118, Table2[AwayTeam], N$1)+SUMIFS(Table2[NewPointsHome],Table2[GameDate], "&lt;=" &amp; $A118, Table2[HomeTeam], N$1)</f>
        <v>6</v>
      </c>
      <c r="O118" s="145">
        <f>SUMIFS(Table2[NewPointsAway],Table2[GameDate], "&lt;=" &amp; $A118, Table2[AwayTeam], O$1)+SUMIFS(Table2[NewPointsHome],Table2[GameDate], "&lt;=" &amp; $A118, Table2[HomeTeam], O$1)</f>
        <v>7</v>
      </c>
      <c r="P118" s="145">
        <f>SUMIFS(Table2[NewPointsAway],Table2[GameDate], "&lt;=" &amp; $A118, Table2[AwayTeam], P$1)+SUMIFS(Table2[NewPointsHome],Table2[GameDate], "&lt;=" &amp; $A118, Table2[HomeTeam], P$1)</f>
        <v>10</v>
      </c>
      <c r="Q118" s="145">
        <f>SUMIFS(Table2[NewPointsAway],Table2[GameDate], "&lt;=" &amp; $A118, Table2[AwayTeam], Q$1)+SUMIFS(Table2[NewPointsHome],Table2[GameDate], "&lt;=" &amp; $A118, Table2[HomeTeam], Q$1)</f>
        <v>10</v>
      </c>
      <c r="R118" s="145">
        <f>SUMIFS(Table2[NewPointsAway],Table2[GameDate], "&lt;=" &amp; $A118, Table2[AwayTeam], R$1)+SUMIFS(Table2[NewPointsHome],Table2[GameDate], "&lt;=" &amp; $A118, Table2[HomeTeam], R$1)</f>
        <v>6</v>
      </c>
      <c r="S118" s="145">
        <f>SUMIFS(Table2[NewPointsAway],Table2[GameDate], "&lt;=" &amp; $A118, Table2[AwayTeam], S$1)+SUMIFS(Table2[NewPointsHome],Table2[GameDate], "&lt;=" &amp; $A118, Table2[HomeTeam], S$1)</f>
        <v>6</v>
      </c>
      <c r="T118" s="145">
        <f>SUMIFS(Table2[NewPointsAway],Table2[GameDate], "&lt;=" &amp; $A118, Table2[AwayTeam], T$1)+SUMIFS(Table2[NewPointsHome],Table2[GameDate], "&lt;=" &amp; $A118, Table2[HomeTeam], T$1)</f>
        <v>7</v>
      </c>
      <c r="U118" s="145">
        <f>SUMIFS(Table2[NewPointsAway],Table2[GameDate], "&lt;=" &amp; $A118, Table2[AwayTeam], U$1)+SUMIFS(Table2[NewPointsHome],Table2[GameDate], "&lt;=" &amp; $A118, Table2[HomeTeam], U$1)</f>
        <v>5</v>
      </c>
      <c r="V118" s="145">
        <f>SUMIFS(Table2[NewPointsAway],Table2[GameDate], "&lt;=" &amp; $A118, Table2[AwayTeam], V$1)+SUMIFS(Table2[NewPointsHome],Table2[GameDate], "&lt;=" &amp; $A118, Table2[HomeTeam], V$1)</f>
        <v>7</v>
      </c>
      <c r="W118" s="145">
        <f>SUMIFS(Table2[NewPointsAway],Table2[GameDate], "&lt;=" &amp; $A118, Table2[AwayTeam], W$1)+SUMIFS(Table2[NewPointsHome],Table2[GameDate], "&lt;=" &amp; $A118, Table2[HomeTeam], W$1)</f>
        <v>10</v>
      </c>
      <c r="X118" s="145">
        <f>SUMIFS(Table2[NewPointsAway],Table2[GameDate], "&lt;=" &amp; $A118, Table2[AwayTeam], X$1)+SUMIFS(Table2[NewPointsHome],Table2[GameDate], "&lt;=" &amp; $A118, Table2[HomeTeam], X$1)</f>
        <v>8</v>
      </c>
      <c r="Y118" s="145">
        <f>SUMIFS(Table2[NewPointsAway],Table2[GameDate], "&lt;=" &amp; $A118, Table2[AwayTeam], Y$1)+SUMIFS(Table2[NewPointsHome],Table2[GameDate], "&lt;=" &amp; $A118, Table2[HomeTeam], Y$1)</f>
        <v>2</v>
      </c>
      <c r="Z118" s="145">
        <f>SUMIFS(Table2[NewPointsAway],Table2[GameDate], "&lt;=" &amp; $A118, Table2[AwayTeam], Z$1)+SUMIFS(Table2[NewPointsHome],Table2[GameDate], "&lt;=" &amp; $A118, Table2[HomeTeam], Z$1)</f>
        <v>7</v>
      </c>
      <c r="AA118" s="145">
        <f>SUMIFS(Table2[NewPointsAway],Table2[GameDate], "&lt;=" &amp; $A118, Table2[AwayTeam], AA$1)+SUMIFS(Table2[NewPointsHome],Table2[GameDate], "&lt;=" &amp; $A118, Table2[HomeTeam], AA$1)</f>
        <v>4</v>
      </c>
      <c r="AB118" s="145">
        <f>SUMIFS(Table2[NewPointsAway],Table2[GameDate], "&lt;=" &amp; $A118, Table2[AwayTeam], AB$1)+SUMIFS(Table2[NewPointsHome],Table2[GameDate], "&lt;=" &amp; $A118, Table2[HomeTeam], AB$1)</f>
        <v>7</v>
      </c>
      <c r="AC118" s="145">
        <f>SUMIFS(Table2[NewPointsAway],Table2[GameDate], "&lt;=" &amp; $A118, Table2[AwayTeam], AC$1)+SUMIFS(Table2[NewPointsHome],Table2[GameDate], "&lt;=" &amp; $A118, Table2[HomeTeam], AC$1)</f>
        <v>10</v>
      </c>
      <c r="AD118" s="145">
        <f>SUMIFS(Table2[NewPointsAway],Table2[GameDate], "&lt;=" &amp; $A118, Table2[AwayTeam], AD$1)+SUMIFS(Table2[NewPointsHome],Table2[GameDate], "&lt;=" &amp; $A118, Table2[HomeTeam], AD$1)</f>
        <v>8</v>
      </c>
      <c r="AE118" s="145">
        <f>SUMIFS(Table2[NewPointsAway],Table2[GameDate], "&lt;=" &amp; $A118, Table2[AwayTeam], AE$1)+SUMIFS(Table2[NewPointsHome],Table2[GameDate], "&lt;=" &amp; $A118, Table2[HomeTeam], AE$1)</f>
        <v>12</v>
      </c>
      <c r="AF118" s="145">
        <f>SUMIFS(Table2[NewPointsAway],Table2[GameDate], "&lt;=" &amp; $A118, Table2[AwayTeam], AF$1)+SUMIFS(Table2[NewPointsHome],Table2[GameDate], "&lt;=" &amp; $A118, Table2[HomeTeam], AF$1)</f>
        <v>10</v>
      </c>
      <c r="AG118" s="145">
        <f>SUMIFS(Table2[NewPointsAway],Table2[GameDate], "&lt;=" &amp; $A118, Table2[AwayTeam], AG$1)+SUMIFS(Table2[NewPointsHome],Table2[GameDate], "&lt;=" &amp; $A118, Table2[HomeTeam], AG$1)</f>
        <v>10</v>
      </c>
    </row>
    <row r="119" spans="1:33" x14ac:dyDescent="0.25">
      <c r="A119" s="3">
        <v>46050</v>
      </c>
      <c r="B119" s="145">
        <f>SUMIFS(Table2[NewPointsAway],Table2[GameDate], "&lt;=" &amp; $A119, Table2[AwayTeam], B$1)+SUMIFS(Table2[NewPointsHome],Table2[GameDate], "&lt;=" &amp; $A119, Table2[HomeTeam], B$1)</f>
        <v>7</v>
      </c>
      <c r="C119" s="145">
        <f>SUMIFS(Table2[NewPointsAway],Table2[GameDate], "&lt;=" &amp; $A119, Table2[AwayTeam], C$1)+SUMIFS(Table2[NewPointsHome],Table2[GameDate], "&lt;=" &amp; $A119, Table2[HomeTeam], C$1)</f>
        <v>6</v>
      </c>
      <c r="D119" s="145">
        <f>SUMIFS(Table2[NewPointsAway],Table2[GameDate], "&lt;=" &amp; $A119, Table2[AwayTeam], D$1)+SUMIFS(Table2[NewPointsHome],Table2[GameDate], "&lt;=" &amp; $A119, Table2[HomeTeam], D$1)</f>
        <v>4</v>
      </c>
      <c r="E119" s="145">
        <f>SUMIFS(Table2[NewPointsAway],Table2[GameDate], "&lt;=" &amp; $A119, Table2[AwayTeam], E$1)+SUMIFS(Table2[NewPointsHome],Table2[GameDate], "&lt;=" &amp; $A119, Table2[HomeTeam], E$1)</f>
        <v>10</v>
      </c>
      <c r="F119" s="145">
        <f>SUMIFS(Table2[NewPointsAway],Table2[GameDate], "&lt;=" &amp; $A119, Table2[AwayTeam], F$1)+SUMIFS(Table2[NewPointsHome],Table2[GameDate], "&lt;=" &amp; $A119, Table2[HomeTeam], F$1)</f>
        <v>6</v>
      </c>
      <c r="G119" s="145">
        <f>SUMIFS(Table2[NewPointsAway],Table2[GameDate], "&lt;=" &amp; $A119, Table2[AwayTeam], G$1)+SUMIFS(Table2[NewPointsHome],Table2[GameDate], "&lt;=" &amp; $A119, Table2[HomeTeam], G$1)</f>
        <v>2</v>
      </c>
      <c r="H119" s="145">
        <f>SUMIFS(Table2[NewPointsAway],Table2[GameDate], "&lt;=" &amp; $A119, Table2[AwayTeam], H$1)+SUMIFS(Table2[NewPointsHome],Table2[GameDate], "&lt;=" &amp; $A119, Table2[HomeTeam], H$1)</f>
        <v>8</v>
      </c>
      <c r="I119" s="145">
        <f>SUMIFS(Table2[NewPointsAway],Table2[GameDate], "&lt;=" &amp; $A119, Table2[AwayTeam], I$1)+SUMIFS(Table2[NewPointsHome],Table2[GameDate], "&lt;=" &amp; $A119, Table2[HomeTeam], I$1)</f>
        <v>12</v>
      </c>
      <c r="J119" s="145">
        <f>SUMIFS(Table2[NewPointsAway],Table2[GameDate], "&lt;=" &amp; $A119, Table2[AwayTeam], J$1)+SUMIFS(Table2[NewPointsHome],Table2[GameDate], "&lt;=" &amp; $A119, Table2[HomeTeam], J$1)</f>
        <v>6</v>
      </c>
      <c r="K119" s="145">
        <f>SUMIFS(Table2[NewPointsAway],Table2[GameDate], "&lt;=" &amp; $A119, Table2[AwayTeam], K$1)+SUMIFS(Table2[NewPointsHome],Table2[GameDate], "&lt;=" &amp; $A119, Table2[HomeTeam], K$1)</f>
        <v>10</v>
      </c>
      <c r="L119" s="145">
        <f>SUMIFS(Table2[NewPointsAway],Table2[GameDate], "&lt;=" &amp; $A119, Table2[AwayTeam], L$1)+SUMIFS(Table2[NewPointsHome],Table2[GameDate], "&lt;=" &amp; $A119, Table2[HomeTeam], L$1)</f>
        <v>7</v>
      </c>
      <c r="M119" s="145">
        <f>SUMIFS(Table2[NewPointsAway],Table2[GameDate], "&lt;=" &amp; $A119, Table2[AwayTeam], M$1)+SUMIFS(Table2[NewPointsHome],Table2[GameDate], "&lt;=" &amp; $A119, Table2[HomeTeam], M$1)</f>
        <v>8</v>
      </c>
      <c r="N119" s="145">
        <f>SUMIFS(Table2[NewPointsAway],Table2[GameDate], "&lt;=" &amp; $A119, Table2[AwayTeam], N$1)+SUMIFS(Table2[NewPointsHome],Table2[GameDate], "&lt;=" &amp; $A119, Table2[HomeTeam], N$1)</f>
        <v>6</v>
      </c>
      <c r="O119" s="145">
        <f>SUMIFS(Table2[NewPointsAway],Table2[GameDate], "&lt;=" &amp; $A119, Table2[AwayTeam], O$1)+SUMIFS(Table2[NewPointsHome],Table2[GameDate], "&lt;=" &amp; $A119, Table2[HomeTeam], O$1)</f>
        <v>7</v>
      </c>
      <c r="P119" s="145">
        <f>SUMIFS(Table2[NewPointsAway],Table2[GameDate], "&lt;=" &amp; $A119, Table2[AwayTeam], P$1)+SUMIFS(Table2[NewPointsHome],Table2[GameDate], "&lt;=" &amp; $A119, Table2[HomeTeam], P$1)</f>
        <v>10</v>
      </c>
      <c r="Q119" s="145">
        <f>SUMIFS(Table2[NewPointsAway],Table2[GameDate], "&lt;=" &amp; $A119, Table2[AwayTeam], Q$1)+SUMIFS(Table2[NewPointsHome],Table2[GameDate], "&lt;=" &amp; $A119, Table2[HomeTeam], Q$1)</f>
        <v>10</v>
      </c>
      <c r="R119" s="145">
        <f>SUMIFS(Table2[NewPointsAway],Table2[GameDate], "&lt;=" &amp; $A119, Table2[AwayTeam], R$1)+SUMIFS(Table2[NewPointsHome],Table2[GameDate], "&lt;=" &amp; $A119, Table2[HomeTeam], R$1)</f>
        <v>6</v>
      </c>
      <c r="S119" s="145">
        <f>SUMIFS(Table2[NewPointsAway],Table2[GameDate], "&lt;=" &amp; $A119, Table2[AwayTeam], S$1)+SUMIFS(Table2[NewPointsHome],Table2[GameDate], "&lt;=" &amp; $A119, Table2[HomeTeam], S$1)</f>
        <v>6</v>
      </c>
      <c r="T119" s="145">
        <f>SUMIFS(Table2[NewPointsAway],Table2[GameDate], "&lt;=" &amp; $A119, Table2[AwayTeam], T$1)+SUMIFS(Table2[NewPointsHome],Table2[GameDate], "&lt;=" &amp; $A119, Table2[HomeTeam], T$1)</f>
        <v>7</v>
      </c>
      <c r="U119" s="145">
        <f>SUMIFS(Table2[NewPointsAway],Table2[GameDate], "&lt;=" &amp; $A119, Table2[AwayTeam], U$1)+SUMIFS(Table2[NewPointsHome],Table2[GameDate], "&lt;=" &amp; $A119, Table2[HomeTeam], U$1)</f>
        <v>5</v>
      </c>
      <c r="V119" s="145">
        <f>SUMIFS(Table2[NewPointsAway],Table2[GameDate], "&lt;=" &amp; $A119, Table2[AwayTeam], V$1)+SUMIFS(Table2[NewPointsHome],Table2[GameDate], "&lt;=" &amp; $A119, Table2[HomeTeam], V$1)</f>
        <v>7</v>
      </c>
      <c r="W119" s="145">
        <f>SUMIFS(Table2[NewPointsAway],Table2[GameDate], "&lt;=" &amp; $A119, Table2[AwayTeam], W$1)+SUMIFS(Table2[NewPointsHome],Table2[GameDate], "&lt;=" &amp; $A119, Table2[HomeTeam], W$1)</f>
        <v>10</v>
      </c>
      <c r="X119" s="145">
        <f>SUMIFS(Table2[NewPointsAway],Table2[GameDate], "&lt;=" &amp; $A119, Table2[AwayTeam], X$1)+SUMIFS(Table2[NewPointsHome],Table2[GameDate], "&lt;=" &amp; $A119, Table2[HomeTeam], X$1)</f>
        <v>8</v>
      </c>
      <c r="Y119" s="145">
        <f>SUMIFS(Table2[NewPointsAway],Table2[GameDate], "&lt;=" &amp; $A119, Table2[AwayTeam], Y$1)+SUMIFS(Table2[NewPointsHome],Table2[GameDate], "&lt;=" &amp; $A119, Table2[HomeTeam], Y$1)</f>
        <v>2</v>
      </c>
      <c r="Z119" s="145">
        <f>SUMIFS(Table2[NewPointsAway],Table2[GameDate], "&lt;=" &amp; $A119, Table2[AwayTeam], Z$1)+SUMIFS(Table2[NewPointsHome],Table2[GameDate], "&lt;=" &amp; $A119, Table2[HomeTeam], Z$1)</f>
        <v>7</v>
      </c>
      <c r="AA119" s="145">
        <f>SUMIFS(Table2[NewPointsAway],Table2[GameDate], "&lt;=" &amp; $A119, Table2[AwayTeam], AA$1)+SUMIFS(Table2[NewPointsHome],Table2[GameDate], "&lt;=" &amp; $A119, Table2[HomeTeam], AA$1)</f>
        <v>4</v>
      </c>
      <c r="AB119" s="145">
        <f>SUMIFS(Table2[NewPointsAway],Table2[GameDate], "&lt;=" &amp; $A119, Table2[AwayTeam], AB$1)+SUMIFS(Table2[NewPointsHome],Table2[GameDate], "&lt;=" &amp; $A119, Table2[HomeTeam], AB$1)</f>
        <v>7</v>
      </c>
      <c r="AC119" s="145">
        <f>SUMIFS(Table2[NewPointsAway],Table2[GameDate], "&lt;=" &amp; $A119, Table2[AwayTeam], AC$1)+SUMIFS(Table2[NewPointsHome],Table2[GameDate], "&lt;=" &amp; $A119, Table2[HomeTeam], AC$1)</f>
        <v>10</v>
      </c>
      <c r="AD119" s="145">
        <f>SUMIFS(Table2[NewPointsAway],Table2[GameDate], "&lt;=" &amp; $A119, Table2[AwayTeam], AD$1)+SUMIFS(Table2[NewPointsHome],Table2[GameDate], "&lt;=" &amp; $A119, Table2[HomeTeam], AD$1)</f>
        <v>8</v>
      </c>
      <c r="AE119" s="145">
        <f>SUMIFS(Table2[NewPointsAway],Table2[GameDate], "&lt;=" &amp; $A119, Table2[AwayTeam], AE$1)+SUMIFS(Table2[NewPointsHome],Table2[GameDate], "&lt;=" &amp; $A119, Table2[HomeTeam], AE$1)</f>
        <v>12</v>
      </c>
      <c r="AF119" s="145">
        <f>SUMIFS(Table2[NewPointsAway],Table2[GameDate], "&lt;=" &amp; $A119, Table2[AwayTeam], AF$1)+SUMIFS(Table2[NewPointsHome],Table2[GameDate], "&lt;=" &amp; $A119, Table2[HomeTeam], AF$1)</f>
        <v>10</v>
      </c>
      <c r="AG119" s="145">
        <f>SUMIFS(Table2[NewPointsAway],Table2[GameDate], "&lt;=" &amp; $A119, Table2[AwayTeam], AG$1)+SUMIFS(Table2[NewPointsHome],Table2[GameDate], "&lt;=" &amp; $A119, Table2[HomeTeam], AG$1)</f>
        <v>10</v>
      </c>
    </row>
    <row r="120" spans="1:33" x14ac:dyDescent="0.25">
      <c r="A120" s="3">
        <v>46051</v>
      </c>
      <c r="B120" s="145">
        <f>SUMIFS(Table2[NewPointsAway],Table2[GameDate], "&lt;=" &amp; $A120, Table2[AwayTeam], B$1)+SUMIFS(Table2[NewPointsHome],Table2[GameDate], "&lt;=" &amp; $A120, Table2[HomeTeam], B$1)</f>
        <v>7</v>
      </c>
      <c r="C120" s="145">
        <f>SUMIFS(Table2[NewPointsAway],Table2[GameDate], "&lt;=" &amp; $A120, Table2[AwayTeam], C$1)+SUMIFS(Table2[NewPointsHome],Table2[GameDate], "&lt;=" &amp; $A120, Table2[HomeTeam], C$1)</f>
        <v>6</v>
      </c>
      <c r="D120" s="145">
        <f>SUMIFS(Table2[NewPointsAway],Table2[GameDate], "&lt;=" &amp; $A120, Table2[AwayTeam], D$1)+SUMIFS(Table2[NewPointsHome],Table2[GameDate], "&lt;=" &amp; $A120, Table2[HomeTeam], D$1)</f>
        <v>4</v>
      </c>
      <c r="E120" s="145">
        <f>SUMIFS(Table2[NewPointsAway],Table2[GameDate], "&lt;=" &amp; $A120, Table2[AwayTeam], E$1)+SUMIFS(Table2[NewPointsHome],Table2[GameDate], "&lt;=" &amp; $A120, Table2[HomeTeam], E$1)</f>
        <v>10</v>
      </c>
      <c r="F120" s="145">
        <f>SUMIFS(Table2[NewPointsAway],Table2[GameDate], "&lt;=" &amp; $A120, Table2[AwayTeam], F$1)+SUMIFS(Table2[NewPointsHome],Table2[GameDate], "&lt;=" &amp; $A120, Table2[HomeTeam], F$1)</f>
        <v>6</v>
      </c>
      <c r="G120" s="145">
        <f>SUMIFS(Table2[NewPointsAway],Table2[GameDate], "&lt;=" &amp; $A120, Table2[AwayTeam], G$1)+SUMIFS(Table2[NewPointsHome],Table2[GameDate], "&lt;=" &amp; $A120, Table2[HomeTeam], G$1)</f>
        <v>2</v>
      </c>
      <c r="H120" s="145">
        <f>SUMIFS(Table2[NewPointsAway],Table2[GameDate], "&lt;=" &amp; $A120, Table2[AwayTeam], H$1)+SUMIFS(Table2[NewPointsHome],Table2[GameDate], "&lt;=" &amp; $A120, Table2[HomeTeam], H$1)</f>
        <v>8</v>
      </c>
      <c r="I120" s="145">
        <f>SUMIFS(Table2[NewPointsAway],Table2[GameDate], "&lt;=" &amp; $A120, Table2[AwayTeam], I$1)+SUMIFS(Table2[NewPointsHome],Table2[GameDate], "&lt;=" &amp; $A120, Table2[HomeTeam], I$1)</f>
        <v>12</v>
      </c>
      <c r="J120" s="145">
        <f>SUMIFS(Table2[NewPointsAway],Table2[GameDate], "&lt;=" &amp; $A120, Table2[AwayTeam], J$1)+SUMIFS(Table2[NewPointsHome],Table2[GameDate], "&lt;=" &amp; $A120, Table2[HomeTeam], J$1)</f>
        <v>6</v>
      </c>
      <c r="K120" s="145">
        <f>SUMIFS(Table2[NewPointsAway],Table2[GameDate], "&lt;=" &amp; $A120, Table2[AwayTeam], K$1)+SUMIFS(Table2[NewPointsHome],Table2[GameDate], "&lt;=" &amp; $A120, Table2[HomeTeam], K$1)</f>
        <v>10</v>
      </c>
      <c r="L120" s="145">
        <f>SUMIFS(Table2[NewPointsAway],Table2[GameDate], "&lt;=" &amp; $A120, Table2[AwayTeam], L$1)+SUMIFS(Table2[NewPointsHome],Table2[GameDate], "&lt;=" &amp; $A120, Table2[HomeTeam], L$1)</f>
        <v>7</v>
      </c>
      <c r="M120" s="145">
        <f>SUMIFS(Table2[NewPointsAway],Table2[GameDate], "&lt;=" &amp; $A120, Table2[AwayTeam], M$1)+SUMIFS(Table2[NewPointsHome],Table2[GameDate], "&lt;=" &amp; $A120, Table2[HomeTeam], M$1)</f>
        <v>8</v>
      </c>
      <c r="N120" s="145">
        <f>SUMIFS(Table2[NewPointsAway],Table2[GameDate], "&lt;=" &amp; $A120, Table2[AwayTeam], N$1)+SUMIFS(Table2[NewPointsHome],Table2[GameDate], "&lt;=" &amp; $A120, Table2[HomeTeam], N$1)</f>
        <v>6</v>
      </c>
      <c r="O120" s="145">
        <f>SUMIFS(Table2[NewPointsAway],Table2[GameDate], "&lt;=" &amp; $A120, Table2[AwayTeam], O$1)+SUMIFS(Table2[NewPointsHome],Table2[GameDate], "&lt;=" &amp; $A120, Table2[HomeTeam], O$1)</f>
        <v>7</v>
      </c>
      <c r="P120" s="145">
        <f>SUMIFS(Table2[NewPointsAway],Table2[GameDate], "&lt;=" &amp; $A120, Table2[AwayTeam], P$1)+SUMIFS(Table2[NewPointsHome],Table2[GameDate], "&lt;=" &amp; $A120, Table2[HomeTeam], P$1)</f>
        <v>10</v>
      </c>
      <c r="Q120" s="145">
        <f>SUMIFS(Table2[NewPointsAway],Table2[GameDate], "&lt;=" &amp; $A120, Table2[AwayTeam], Q$1)+SUMIFS(Table2[NewPointsHome],Table2[GameDate], "&lt;=" &amp; $A120, Table2[HomeTeam], Q$1)</f>
        <v>10</v>
      </c>
      <c r="R120" s="145">
        <f>SUMIFS(Table2[NewPointsAway],Table2[GameDate], "&lt;=" &amp; $A120, Table2[AwayTeam], R$1)+SUMIFS(Table2[NewPointsHome],Table2[GameDate], "&lt;=" &amp; $A120, Table2[HomeTeam], R$1)</f>
        <v>6</v>
      </c>
      <c r="S120" s="145">
        <f>SUMIFS(Table2[NewPointsAway],Table2[GameDate], "&lt;=" &amp; $A120, Table2[AwayTeam], S$1)+SUMIFS(Table2[NewPointsHome],Table2[GameDate], "&lt;=" &amp; $A120, Table2[HomeTeam], S$1)</f>
        <v>6</v>
      </c>
      <c r="T120" s="145">
        <f>SUMIFS(Table2[NewPointsAway],Table2[GameDate], "&lt;=" &amp; $A120, Table2[AwayTeam], T$1)+SUMIFS(Table2[NewPointsHome],Table2[GameDate], "&lt;=" &amp; $A120, Table2[HomeTeam], T$1)</f>
        <v>7</v>
      </c>
      <c r="U120" s="145">
        <f>SUMIFS(Table2[NewPointsAway],Table2[GameDate], "&lt;=" &amp; $A120, Table2[AwayTeam], U$1)+SUMIFS(Table2[NewPointsHome],Table2[GameDate], "&lt;=" &amp; $A120, Table2[HomeTeam], U$1)</f>
        <v>5</v>
      </c>
      <c r="V120" s="145">
        <f>SUMIFS(Table2[NewPointsAway],Table2[GameDate], "&lt;=" &amp; $A120, Table2[AwayTeam], V$1)+SUMIFS(Table2[NewPointsHome],Table2[GameDate], "&lt;=" &amp; $A120, Table2[HomeTeam], V$1)</f>
        <v>7</v>
      </c>
      <c r="W120" s="145">
        <f>SUMIFS(Table2[NewPointsAway],Table2[GameDate], "&lt;=" &amp; $A120, Table2[AwayTeam], W$1)+SUMIFS(Table2[NewPointsHome],Table2[GameDate], "&lt;=" &amp; $A120, Table2[HomeTeam], W$1)</f>
        <v>10</v>
      </c>
      <c r="X120" s="145">
        <f>SUMIFS(Table2[NewPointsAway],Table2[GameDate], "&lt;=" &amp; $A120, Table2[AwayTeam], X$1)+SUMIFS(Table2[NewPointsHome],Table2[GameDate], "&lt;=" &amp; $A120, Table2[HomeTeam], X$1)</f>
        <v>8</v>
      </c>
      <c r="Y120" s="145">
        <f>SUMIFS(Table2[NewPointsAway],Table2[GameDate], "&lt;=" &amp; $A120, Table2[AwayTeam], Y$1)+SUMIFS(Table2[NewPointsHome],Table2[GameDate], "&lt;=" &amp; $A120, Table2[HomeTeam], Y$1)</f>
        <v>2</v>
      </c>
      <c r="Z120" s="145">
        <f>SUMIFS(Table2[NewPointsAway],Table2[GameDate], "&lt;=" &amp; $A120, Table2[AwayTeam], Z$1)+SUMIFS(Table2[NewPointsHome],Table2[GameDate], "&lt;=" &amp; $A120, Table2[HomeTeam], Z$1)</f>
        <v>7</v>
      </c>
      <c r="AA120" s="145">
        <f>SUMIFS(Table2[NewPointsAway],Table2[GameDate], "&lt;=" &amp; $A120, Table2[AwayTeam], AA$1)+SUMIFS(Table2[NewPointsHome],Table2[GameDate], "&lt;=" &amp; $A120, Table2[HomeTeam], AA$1)</f>
        <v>4</v>
      </c>
      <c r="AB120" s="145">
        <f>SUMIFS(Table2[NewPointsAway],Table2[GameDate], "&lt;=" &amp; $A120, Table2[AwayTeam], AB$1)+SUMIFS(Table2[NewPointsHome],Table2[GameDate], "&lt;=" &amp; $A120, Table2[HomeTeam], AB$1)</f>
        <v>7</v>
      </c>
      <c r="AC120" s="145">
        <f>SUMIFS(Table2[NewPointsAway],Table2[GameDate], "&lt;=" &amp; $A120, Table2[AwayTeam], AC$1)+SUMIFS(Table2[NewPointsHome],Table2[GameDate], "&lt;=" &amp; $A120, Table2[HomeTeam], AC$1)</f>
        <v>10</v>
      </c>
      <c r="AD120" s="145">
        <f>SUMIFS(Table2[NewPointsAway],Table2[GameDate], "&lt;=" &amp; $A120, Table2[AwayTeam], AD$1)+SUMIFS(Table2[NewPointsHome],Table2[GameDate], "&lt;=" &amp; $A120, Table2[HomeTeam], AD$1)</f>
        <v>8</v>
      </c>
      <c r="AE120" s="145">
        <f>SUMIFS(Table2[NewPointsAway],Table2[GameDate], "&lt;=" &amp; $A120, Table2[AwayTeam], AE$1)+SUMIFS(Table2[NewPointsHome],Table2[GameDate], "&lt;=" &amp; $A120, Table2[HomeTeam], AE$1)</f>
        <v>12</v>
      </c>
      <c r="AF120" s="145">
        <f>SUMIFS(Table2[NewPointsAway],Table2[GameDate], "&lt;=" &amp; $A120, Table2[AwayTeam], AF$1)+SUMIFS(Table2[NewPointsHome],Table2[GameDate], "&lt;=" &amp; $A120, Table2[HomeTeam], AF$1)</f>
        <v>10</v>
      </c>
      <c r="AG120" s="145">
        <f>SUMIFS(Table2[NewPointsAway],Table2[GameDate], "&lt;=" &amp; $A120, Table2[AwayTeam], AG$1)+SUMIFS(Table2[NewPointsHome],Table2[GameDate], "&lt;=" &amp; $A120, Table2[HomeTeam], AG$1)</f>
        <v>10</v>
      </c>
    </row>
    <row r="121" spans="1:33" x14ac:dyDescent="0.25">
      <c r="A121" s="3">
        <v>46052</v>
      </c>
      <c r="B121" s="145">
        <f>SUMIFS(Table2[NewPointsAway],Table2[GameDate], "&lt;=" &amp; $A121, Table2[AwayTeam], B$1)+SUMIFS(Table2[NewPointsHome],Table2[GameDate], "&lt;=" &amp; $A121, Table2[HomeTeam], B$1)</f>
        <v>7</v>
      </c>
      <c r="C121" s="145">
        <f>SUMIFS(Table2[NewPointsAway],Table2[GameDate], "&lt;=" &amp; $A121, Table2[AwayTeam], C$1)+SUMIFS(Table2[NewPointsHome],Table2[GameDate], "&lt;=" &amp; $A121, Table2[HomeTeam], C$1)</f>
        <v>6</v>
      </c>
      <c r="D121" s="145">
        <f>SUMIFS(Table2[NewPointsAway],Table2[GameDate], "&lt;=" &amp; $A121, Table2[AwayTeam], D$1)+SUMIFS(Table2[NewPointsHome],Table2[GameDate], "&lt;=" &amp; $A121, Table2[HomeTeam], D$1)</f>
        <v>4</v>
      </c>
      <c r="E121" s="145">
        <f>SUMIFS(Table2[NewPointsAway],Table2[GameDate], "&lt;=" &amp; $A121, Table2[AwayTeam], E$1)+SUMIFS(Table2[NewPointsHome],Table2[GameDate], "&lt;=" &amp; $A121, Table2[HomeTeam], E$1)</f>
        <v>10</v>
      </c>
      <c r="F121" s="145">
        <f>SUMIFS(Table2[NewPointsAway],Table2[GameDate], "&lt;=" &amp; $A121, Table2[AwayTeam], F$1)+SUMIFS(Table2[NewPointsHome],Table2[GameDate], "&lt;=" &amp; $A121, Table2[HomeTeam], F$1)</f>
        <v>6</v>
      </c>
      <c r="G121" s="145">
        <f>SUMIFS(Table2[NewPointsAway],Table2[GameDate], "&lt;=" &amp; $A121, Table2[AwayTeam], G$1)+SUMIFS(Table2[NewPointsHome],Table2[GameDate], "&lt;=" &amp; $A121, Table2[HomeTeam], G$1)</f>
        <v>2</v>
      </c>
      <c r="H121" s="145">
        <f>SUMIFS(Table2[NewPointsAway],Table2[GameDate], "&lt;=" &amp; $A121, Table2[AwayTeam], H$1)+SUMIFS(Table2[NewPointsHome],Table2[GameDate], "&lt;=" &amp; $A121, Table2[HomeTeam], H$1)</f>
        <v>8</v>
      </c>
      <c r="I121" s="145">
        <f>SUMIFS(Table2[NewPointsAway],Table2[GameDate], "&lt;=" &amp; $A121, Table2[AwayTeam], I$1)+SUMIFS(Table2[NewPointsHome],Table2[GameDate], "&lt;=" &amp; $A121, Table2[HomeTeam], I$1)</f>
        <v>12</v>
      </c>
      <c r="J121" s="145">
        <f>SUMIFS(Table2[NewPointsAway],Table2[GameDate], "&lt;=" &amp; $A121, Table2[AwayTeam], J$1)+SUMIFS(Table2[NewPointsHome],Table2[GameDate], "&lt;=" &amp; $A121, Table2[HomeTeam], J$1)</f>
        <v>6</v>
      </c>
      <c r="K121" s="145">
        <f>SUMIFS(Table2[NewPointsAway],Table2[GameDate], "&lt;=" &amp; $A121, Table2[AwayTeam], K$1)+SUMIFS(Table2[NewPointsHome],Table2[GameDate], "&lt;=" &amp; $A121, Table2[HomeTeam], K$1)</f>
        <v>10</v>
      </c>
      <c r="L121" s="145">
        <f>SUMIFS(Table2[NewPointsAway],Table2[GameDate], "&lt;=" &amp; $A121, Table2[AwayTeam], L$1)+SUMIFS(Table2[NewPointsHome],Table2[GameDate], "&lt;=" &amp; $A121, Table2[HomeTeam], L$1)</f>
        <v>7</v>
      </c>
      <c r="M121" s="145">
        <f>SUMIFS(Table2[NewPointsAway],Table2[GameDate], "&lt;=" &amp; $A121, Table2[AwayTeam], M$1)+SUMIFS(Table2[NewPointsHome],Table2[GameDate], "&lt;=" &amp; $A121, Table2[HomeTeam], M$1)</f>
        <v>8</v>
      </c>
      <c r="N121" s="145">
        <f>SUMIFS(Table2[NewPointsAway],Table2[GameDate], "&lt;=" &amp; $A121, Table2[AwayTeam], N$1)+SUMIFS(Table2[NewPointsHome],Table2[GameDate], "&lt;=" &amp; $A121, Table2[HomeTeam], N$1)</f>
        <v>6</v>
      </c>
      <c r="O121" s="145">
        <f>SUMIFS(Table2[NewPointsAway],Table2[GameDate], "&lt;=" &amp; $A121, Table2[AwayTeam], O$1)+SUMIFS(Table2[NewPointsHome],Table2[GameDate], "&lt;=" &amp; $A121, Table2[HomeTeam], O$1)</f>
        <v>7</v>
      </c>
      <c r="P121" s="145">
        <f>SUMIFS(Table2[NewPointsAway],Table2[GameDate], "&lt;=" &amp; $A121, Table2[AwayTeam], P$1)+SUMIFS(Table2[NewPointsHome],Table2[GameDate], "&lt;=" &amp; $A121, Table2[HomeTeam], P$1)</f>
        <v>10</v>
      </c>
      <c r="Q121" s="145">
        <f>SUMIFS(Table2[NewPointsAway],Table2[GameDate], "&lt;=" &amp; $A121, Table2[AwayTeam], Q$1)+SUMIFS(Table2[NewPointsHome],Table2[GameDate], "&lt;=" &amp; $A121, Table2[HomeTeam], Q$1)</f>
        <v>10</v>
      </c>
      <c r="R121" s="145">
        <f>SUMIFS(Table2[NewPointsAway],Table2[GameDate], "&lt;=" &amp; $A121, Table2[AwayTeam], R$1)+SUMIFS(Table2[NewPointsHome],Table2[GameDate], "&lt;=" &amp; $A121, Table2[HomeTeam], R$1)</f>
        <v>6</v>
      </c>
      <c r="S121" s="145">
        <f>SUMIFS(Table2[NewPointsAway],Table2[GameDate], "&lt;=" &amp; $A121, Table2[AwayTeam], S$1)+SUMIFS(Table2[NewPointsHome],Table2[GameDate], "&lt;=" &amp; $A121, Table2[HomeTeam], S$1)</f>
        <v>6</v>
      </c>
      <c r="T121" s="145">
        <f>SUMIFS(Table2[NewPointsAway],Table2[GameDate], "&lt;=" &amp; $A121, Table2[AwayTeam], T$1)+SUMIFS(Table2[NewPointsHome],Table2[GameDate], "&lt;=" &amp; $A121, Table2[HomeTeam], T$1)</f>
        <v>7</v>
      </c>
      <c r="U121" s="145">
        <f>SUMIFS(Table2[NewPointsAway],Table2[GameDate], "&lt;=" &amp; $A121, Table2[AwayTeam], U$1)+SUMIFS(Table2[NewPointsHome],Table2[GameDate], "&lt;=" &amp; $A121, Table2[HomeTeam], U$1)</f>
        <v>5</v>
      </c>
      <c r="V121" s="145">
        <f>SUMIFS(Table2[NewPointsAway],Table2[GameDate], "&lt;=" &amp; $A121, Table2[AwayTeam], V$1)+SUMIFS(Table2[NewPointsHome],Table2[GameDate], "&lt;=" &amp; $A121, Table2[HomeTeam], V$1)</f>
        <v>7</v>
      </c>
      <c r="W121" s="145">
        <f>SUMIFS(Table2[NewPointsAway],Table2[GameDate], "&lt;=" &amp; $A121, Table2[AwayTeam], W$1)+SUMIFS(Table2[NewPointsHome],Table2[GameDate], "&lt;=" &amp; $A121, Table2[HomeTeam], W$1)</f>
        <v>10</v>
      </c>
      <c r="X121" s="145">
        <f>SUMIFS(Table2[NewPointsAway],Table2[GameDate], "&lt;=" &amp; $A121, Table2[AwayTeam], X$1)+SUMIFS(Table2[NewPointsHome],Table2[GameDate], "&lt;=" &amp; $A121, Table2[HomeTeam], X$1)</f>
        <v>8</v>
      </c>
      <c r="Y121" s="145">
        <f>SUMIFS(Table2[NewPointsAway],Table2[GameDate], "&lt;=" &amp; $A121, Table2[AwayTeam], Y$1)+SUMIFS(Table2[NewPointsHome],Table2[GameDate], "&lt;=" &amp; $A121, Table2[HomeTeam], Y$1)</f>
        <v>2</v>
      </c>
      <c r="Z121" s="145">
        <f>SUMIFS(Table2[NewPointsAway],Table2[GameDate], "&lt;=" &amp; $A121, Table2[AwayTeam], Z$1)+SUMIFS(Table2[NewPointsHome],Table2[GameDate], "&lt;=" &amp; $A121, Table2[HomeTeam], Z$1)</f>
        <v>7</v>
      </c>
      <c r="AA121" s="145">
        <f>SUMIFS(Table2[NewPointsAway],Table2[GameDate], "&lt;=" &amp; $A121, Table2[AwayTeam], AA$1)+SUMIFS(Table2[NewPointsHome],Table2[GameDate], "&lt;=" &amp; $A121, Table2[HomeTeam], AA$1)</f>
        <v>4</v>
      </c>
      <c r="AB121" s="145">
        <f>SUMIFS(Table2[NewPointsAway],Table2[GameDate], "&lt;=" &amp; $A121, Table2[AwayTeam], AB$1)+SUMIFS(Table2[NewPointsHome],Table2[GameDate], "&lt;=" &amp; $A121, Table2[HomeTeam], AB$1)</f>
        <v>7</v>
      </c>
      <c r="AC121" s="145">
        <f>SUMIFS(Table2[NewPointsAway],Table2[GameDate], "&lt;=" &amp; $A121, Table2[AwayTeam], AC$1)+SUMIFS(Table2[NewPointsHome],Table2[GameDate], "&lt;=" &amp; $A121, Table2[HomeTeam], AC$1)</f>
        <v>10</v>
      </c>
      <c r="AD121" s="145">
        <f>SUMIFS(Table2[NewPointsAway],Table2[GameDate], "&lt;=" &amp; $A121, Table2[AwayTeam], AD$1)+SUMIFS(Table2[NewPointsHome],Table2[GameDate], "&lt;=" &amp; $A121, Table2[HomeTeam], AD$1)</f>
        <v>8</v>
      </c>
      <c r="AE121" s="145">
        <f>SUMIFS(Table2[NewPointsAway],Table2[GameDate], "&lt;=" &amp; $A121, Table2[AwayTeam], AE$1)+SUMIFS(Table2[NewPointsHome],Table2[GameDate], "&lt;=" &amp; $A121, Table2[HomeTeam], AE$1)</f>
        <v>12</v>
      </c>
      <c r="AF121" s="145">
        <f>SUMIFS(Table2[NewPointsAway],Table2[GameDate], "&lt;=" &amp; $A121, Table2[AwayTeam], AF$1)+SUMIFS(Table2[NewPointsHome],Table2[GameDate], "&lt;=" &amp; $A121, Table2[HomeTeam], AF$1)</f>
        <v>10</v>
      </c>
      <c r="AG121" s="145">
        <f>SUMIFS(Table2[NewPointsAway],Table2[GameDate], "&lt;=" &amp; $A121, Table2[AwayTeam], AG$1)+SUMIFS(Table2[NewPointsHome],Table2[GameDate], "&lt;=" &amp; $A121, Table2[HomeTeam], AG$1)</f>
        <v>10</v>
      </c>
    </row>
    <row r="122" spans="1:33" x14ac:dyDescent="0.25">
      <c r="A122" s="3">
        <v>46053</v>
      </c>
      <c r="B122" s="145">
        <f>SUMIFS(Table2[NewPointsAway],Table2[GameDate], "&lt;=" &amp; $A122, Table2[AwayTeam], B$1)+SUMIFS(Table2[NewPointsHome],Table2[GameDate], "&lt;=" &amp; $A122, Table2[HomeTeam], B$1)</f>
        <v>7</v>
      </c>
      <c r="C122" s="145">
        <f>SUMIFS(Table2[NewPointsAway],Table2[GameDate], "&lt;=" &amp; $A122, Table2[AwayTeam], C$1)+SUMIFS(Table2[NewPointsHome],Table2[GameDate], "&lt;=" &amp; $A122, Table2[HomeTeam], C$1)</f>
        <v>6</v>
      </c>
      <c r="D122" s="145">
        <f>SUMIFS(Table2[NewPointsAway],Table2[GameDate], "&lt;=" &amp; $A122, Table2[AwayTeam], D$1)+SUMIFS(Table2[NewPointsHome],Table2[GameDate], "&lt;=" &amp; $A122, Table2[HomeTeam], D$1)</f>
        <v>4</v>
      </c>
      <c r="E122" s="145">
        <f>SUMIFS(Table2[NewPointsAway],Table2[GameDate], "&lt;=" &amp; $A122, Table2[AwayTeam], E$1)+SUMIFS(Table2[NewPointsHome],Table2[GameDate], "&lt;=" &amp; $A122, Table2[HomeTeam], E$1)</f>
        <v>10</v>
      </c>
      <c r="F122" s="145">
        <f>SUMIFS(Table2[NewPointsAway],Table2[GameDate], "&lt;=" &amp; $A122, Table2[AwayTeam], F$1)+SUMIFS(Table2[NewPointsHome],Table2[GameDate], "&lt;=" &amp; $A122, Table2[HomeTeam], F$1)</f>
        <v>6</v>
      </c>
      <c r="G122" s="145">
        <f>SUMIFS(Table2[NewPointsAway],Table2[GameDate], "&lt;=" &amp; $A122, Table2[AwayTeam], G$1)+SUMIFS(Table2[NewPointsHome],Table2[GameDate], "&lt;=" &amp; $A122, Table2[HomeTeam], G$1)</f>
        <v>2</v>
      </c>
      <c r="H122" s="145">
        <f>SUMIFS(Table2[NewPointsAway],Table2[GameDate], "&lt;=" &amp; $A122, Table2[AwayTeam], H$1)+SUMIFS(Table2[NewPointsHome],Table2[GameDate], "&lt;=" &amp; $A122, Table2[HomeTeam], H$1)</f>
        <v>8</v>
      </c>
      <c r="I122" s="145">
        <f>SUMIFS(Table2[NewPointsAway],Table2[GameDate], "&lt;=" &amp; $A122, Table2[AwayTeam], I$1)+SUMIFS(Table2[NewPointsHome],Table2[GameDate], "&lt;=" &amp; $A122, Table2[HomeTeam], I$1)</f>
        <v>12</v>
      </c>
      <c r="J122" s="145">
        <f>SUMIFS(Table2[NewPointsAway],Table2[GameDate], "&lt;=" &amp; $A122, Table2[AwayTeam], J$1)+SUMIFS(Table2[NewPointsHome],Table2[GameDate], "&lt;=" &amp; $A122, Table2[HomeTeam], J$1)</f>
        <v>6</v>
      </c>
      <c r="K122" s="145">
        <f>SUMIFS(Table2[NewPointsAway],Table2[GameDate], "&lt;=" &amp; $A122, Table2[AwayTeam], K$1)+SUMIFS(Table2[NewPointsHome],Table2[GameDate], "&lt;=" &amp; $A122, Table2[HomeTeam], K$1)</f>
        <v>10</v>
      </c>
      <c r="L122" s="145">
        <f>SUMIFS(Table2[NewPointsAway],Table2[GameDate], "&lt;=" &amp; $A122, Table2[AwayTeam], L$1)+SUMIFS(Table2[NewPointsHome],Table2[GameDate], "&lt;=" &amp; $A122, Table2[HomeTeam], L$1)</f>
        <v>7</v>
      </c>
      <c r="M122" s="145">
        <f>SUMIFS(Table2[NewPointsAway],Table2[GameDate], "&lt;=" &amp; $A122, Table2[AwayTeam], M$1)+SUMIFS(Table2[NewPointsHome],Table2[GameDate], "&lt;=" &amp; $A122, Table2[HomeTeam], M$1)</f>
        <v>8</v>
      </c>
      <c r="N122" s="145">
        <f>SUMIFS(Table2[NewPointsAway],Table2[GameDate], "&lt;=" &amp; $A122, Table2[AwayTeam], N$1)+SUMIFS(Table2[NewPointsHome],Table2[GameDate], "&lt;=" &amp; $A122, Table2[HomeTeam], N$1)</f>
        <v>6</v>
      </c>
      <c r="O122" s="145">
        <f>SUMIFS(Table2[NewPointsAway],Table2[GameDate], "&lt;=" &amp; $A122, Table2[AwayTeam], O$1)+SUMIFS(Table2[NewPointsHome],Table2[GameDate], "&lt;=" &amp; $A122, Table2[HomeTeam], O$1)</f>
        <v>7</v>
      </c>
      <c r="P122" s="145">
        <f>SUMIFS(Table2[NewPointsAway],Table2[GameDate], "&lt;=" &amp; $A122, Table2[AwayTeam], P$1)+SUMIFS(Table2[NewPointsHome],Table2[GameDate], "&lt;=" &amp; $A122, Table2[HomeTeam], P$1)</f>
        <v>10</v>
      </c>
      <c r="Q122" s="145">
        <f>SUMIFS(Table2[NewPointsAway],Table2[GameDate], "&lt;=" &amp; $A122, Table2[AwayTeam], Q$1)+SUMIFS(Table2[NewPointsHome],Table2[GameDate], "&lt;=" &amp; $A122, Table2[HomeTeam], Q$1)</f>
        <v>10</v>
      </c>
      <c r="R122" s="145">
        <f>SUMIFS(Table2[NewPointsAway],Table2[GameDate], "&lt;=" &amp; $A122, Table2[AwayTeam], R$1)+SUMIFS(Table2[NewPointsHome],Table2[GameDate], "&lt;=" &amp; $A122, Table2[HomeTeam], R$1)</f>
        <v>6</v>
      </c>
      <c r="S122" s="145">
        <f>SUMIFS(Table2[NewPointsAway],Table2[GameDate], "&lt;=" &amp; $A122, Table2[AwayTeam], S$1)+SUMIFS(Table2[NewPointsHome],Table2[GameDate], "&lt;=" &amp; $A122, Table2[HomeTeam], S$1)</f>
        <v>6</v>
      </c>
      <c r="T122" s="145">
        <f>SUMIFS(Table2[NewPointsAway],Table2[GameDate], "&lt;=" &amp; $A122, Table2[AwayTeam], T$1)+SUMIFS(Table2[NewPointsHome],Table2[GameDate], "&lt;=" &amp; $A122, Table2[HomeTeam], T$1)</f>
        <v>7</v>
      </c>
      <c r="U122" s="145">
        <f>SUMIFS(Table2[NewPointsAway],Table2[GameDate], "&lt;=" &amp; $A122, Table2[AwayTeam], U$1)+SUMIFS(Table2[NewPointsHome],Table2[GameDate], "&lt;=" &amp; $A122, Table2[HomeTeam], U$1)</f>
        <v>5</v>
      </c>
      <c r="V122" s="145">
        <f>SUMIFS(Table2[NewPointsAway],Table2[GameDate], "&lt;=" &amp; $A122, Table2[AwayTeam], V$1)+SUMIFS(Table2[NewPointsHome],Table2[GameDate], "&lt;=" &amp; $A122, Table2[HomeTeam], V$1)</f>
        <v>7</v>
      </c>
      <c r="W122" s="145">
        <f>SUMIFS(Table2[NewPointsAway],Table2[GameDate], "&lt;=" &amp; $A122, Table2[AwayTeam], W$1)+SUMIFS(Table2[NewPointsHome],Table2[GameDate], "&lt;=" &amp; $A122, Table2[HomeTeam], W$1)</f>
        <v>10</v>
      </c>
      <c r="X122" s="145">
        <f>SUMIFS(Table2[NewPointsAway],Table2[GameDate], "&lt;=" &amp; $A122, Table2[AwayTeam], X$1)+SUMIFS(Table2[NewPointsHome],Table2[GameDate], "&lt;=" &amp; $A122, Table2[HomeTeam], X$1)</f>
        <v>8</v>
      </c>
      <c r="Y122" s="145">
        <f>SUMIFS(Table2[NewPointsAway],Table2[GameDate], "&lt;=" &amp; $A122, Table2[AwayTeam], Y$1)+SUMIFS(Table2[NewPointsHome],Table2[GameDate], "&lt;=" &amp; $A122, Table2[HomeTeam], Y$1)</f>
        <v>2</v>
      </c>
      <c r="Z122" s="145">
        <f>SUMIFS(Table2[NewPointsAway],Table2[GameDate], "&lt;=" &amp; $A122, Table2[AwayTeam], Z$1)+SUMIFS(Table2[NewPointsHome],Table2[GameDate], "&lt;=" &amp; $A122, Table2[HomeTeam], Z$1)</f>
        <v>7</v>
      </c>
      <c r="AA122" s="145">
        <f>SUMIFS(Table2[NewPointsAway],Table2[GameDate], "&lt;=" &amp; $A122, Table2[AwayTeam], AA$1)+SUMIFS(Table2[NewPointsHome],Table2[GameDate], "&lt;=" &amp; $A122, Table2[HomeTeam], AA$1)</f>
        <v>4</v>
      </c>
      <c r="AB122" s="145">
        <f>SUMIFS(Table2[NewPointsAway],Table2[GameDate], "&lt;=" &amp; $A122, Table2[AwayTeam], AB$1)+SUMIFS(Table2[NewPointsHome],Table2[GameDate], "&lt;=" &amp; $A122, Table2[HomeTeam], AB$1)</f>
        <v>7</v>
      </c>
      <c r="AC122" s="145">
        <f>SUMIFS(Table2[NewPointsAway],Table2[GameDate], "&lt;=" &amp; $A122, Table2[AwayTeam], AC$1)+SUMIFS(Table2[NewPointsHome],Table2[GameDate], "&lt;=" &amp; $A122, Table2[HomeTeam], AC$1)</f>
        <v>10</v>
      </c>
      <c r="AD122" s="145">
        <f>SUMIFS(Table2[NewPointsAway],Table2[GameDate], "&lt;=" &amp; $A122, Table2[AwayTeam], AD$1)+SUMIFS(Table2[NewPointsHome],Table2[GameDate], "&lt;=" &amp; $A122, Table2[HomeTeam], AD$1)</f>
        <v>8</v>
      </c>
      <c r="AE122" s="145">
        <f>SUMIFS(Table2[NewPointsAway],Table2[GameDate], "&lt;=" &amp; $A122, Table2[AwayTeam], AE$1)+SUMIFS(Table2[NewPointsHome],Table2[GameDate], "&lt;=" &amp; $A122, Table2[HomeTeam], AE$1)</f>
        <v>12</v>
      </c>
      <c r="AF122" s="145">
        <f>SUMIFS(Table2[NewPointsAway],Table2[GameDate], "&lt;=" &amp; $A122, Table2[AwayTeam], AF$1)+SUMIFS(Table2[NewPointsHome],Table2[GameDate], "&lt;=" &amp; $A122, Table2[HomeTeam], AF$1)</f>
        <v>10</v>
      </c>
      <c r="AG122" s="145">
        <f>SUMIFS(Table2[NewPointsAway],Table2[GameDate], "&lt;=" &amp; $A122, Table2[AwayTeam], AG$1)+SUMIFS(Table2[NewPointsHome],Table2[GameDate], "&lt;=" &amp; $A122, Table2[HomeTeam], AG$1)</f>
        <v>10</v>
      </c>
    </row>
    <row r="123" spans="1:33" x14ac:dyDescent="0.25">
      <c r="A123" s="3">
        <v>46054</v>
      </c>
      <c r="B123" s="145">
        <f>SUMIFS(Table2[NewPointsAway],Table2[GameDate], "&lt;=" &amp; $A123, Table2[AwayTeam], B$1)+SUMIFS(Table2[NewPointsHome],Table2[GameDate], "&lt;=" &amp; $A123, Table2[HomeTeam], B$1)</f>
        <v>7</v>
      </c>
      <c r="C123" s="145">
        <f>SUMIFS(Table2[NewPointsAway],Table2[GameDate], "&lt;=" &amp; $A123, Table2[AwayTeam], C$1)+SUMIFS(Table2[NewPointsHome],Table2[GameDate], "&lt;=" &amp; $A123, Table2[HomeTeam], C$1)</f>
        <v>6</v>
      </c>
      <c r="D123" s="145">
        <f>SUMIFS(Table2[NewPointsAway],Table2[GameDate], "&lt;=" &amp; $A123, Table2[AwayTeam], D$1)+SUMIFS(Table2[NewPointsHome],Table2[GameDate], "&lt;=" &amp; $A123, Table2[HomeTeam], D$1)</f>
        <v>4</v>
      </c>
      <c r="E123" s="145">
        <f>SUMIFS(Table2[NewPointsAway],Table2[GameDate], "&lt;=" &amp; $A123, Table2[AwayTeam], E$1)+SUMIFS(Table2[NewPointsHome],Table2[GameDate], "&lt;=" &amp; $A123, Table2[HomeTeam], E$1)</f>
        <v>10</v>
      </c>
      <c r="F123" s="145">
        <f>SUMIFS(Table2[NewPointsAway],Table2[GameDate], "&lt;=" &amp; $A123, Table2[AwayTeam], F$1)+SUMIFS(Table2[NewPointsHome],Table2[GameDate], "&lt;=" &amp; $A123, Table2[HomeTeam], F$1)</f>
        <v>6</v>
      </c>
      <c r="G123" s="145">
        <f>SUMIFS(Table2[NewPointsAway],Table2[GameDate], "&lt;=" &amp; $A123, Table2[AwayTeam], G$1)+SUMIFS(Table2[NewPointsHome],Table2[GameDate], "&lt;=" &amp; $A123, Table2[HomeTeam], G$1)</f>
        <v>2</v>
      </c>
      <c r="H123" s="145">
        <f>SUMIFS(Table2[NewPointsAway],Table2[GameDate], "&lt;=" &amp; $A123, Table2[AwayTeam], H$1)+SUMIFS(Table2[NewPointsHome],Table2[GameDate], "&lt;=" &amp; $A123, Table2[HomeTeam], H$1)</f>
        <v>8</v>
      </c>
      <c r="I123" s="145">
        <f>SUMIFS(Table2[NewPointsAway],Table2[GameDate], "&lt;=" &amp; $A123, Table2[AwayTeam], I$1)+SUMIFS(Table2[NewPointsHome],Table2[GameDate], "&lt;=" &amp; $A123, Table2[HomeTeam], I$1)</f>
        <v>12</v>
      </c>
      <c r="J123" s="145">
        <f>SUMIFS(Table2[NewPointsAway],Table2[GameDate], "&lt;=" &amp; $A123, Table2[AwayTeam], J$1)+SUMIFS(Table2[NewPointsHome],Table2[GameDate], "&lt;=" &amp; $A123, Table2[HomeTeam], J$1)</f>
        <v>6</v>
      </c>
      <c r="K123" s="145">
        <f>SUMIFS(Table2[NewPointsAway],Table2[GameDate], "&lt;=" &amp; $A123, Table2[AwayTeam], K$1)+SUMIFS(Table2[NewPointsHome],Table2[GameDate], "&lt;=" &amp; $A123, Table2[HomeTeam], K$1)</f>
        <v>10</v>
      </c>
      <c r="L123" s="145">
        <f>SUMIFS(Table2[NewPointsAway],Table2[GameDate], "&lt;=" &amp; $A123, Table2[AwayTeam], L$1)+SUMIFS(Table2[NewPointsHome],Table2[GameDate], "&lt;=" &amp; $A123, Table2[HomeTeam], L$1)</f>
        <v>7</v>
      </c>
      <c r="M123" s="145">
        <f>SUMIFS(Table2[NewPointsAway],Table2[GameDate], "&lt;=" &amp; $A123, Table2[AwayTeam], M$1)+SUMIFS(Table2[NewPointsHome],Table2[GameDate], "&lt;=" &amp; $A123, Table2[HomeTeam], M$1)</f>
        <v>8</v>
      </c>
      <c r="N123" s="145">
        <f>SUMIFS(Table2[NewPointsAway],Table2[GameDate], "&lt;=" &amp; $A123, Table2[AwayTeam], N$1)+SUMIFS(Table2[NewPointsHome],Table2[GameDate], "&lt;=" &amp; $A123, Table2[HomeTeam], N$1)</f>
        <v>6</v>
      </c>
      <c r="O123" s="145">
        <f>SUMIFS(Table2[NewPointsAway],Table2[GameDate], "&lt;=" &amp; $A123, Table2[AwayTeam], O$1)+SUMIFS(Table2[NewPointsHome],Table2[GameDate], "&lt;=" &amp; $A123, Table2[HomeTeam], O$1)</f>
        <v>7</v>
      </c>
      <c r="P123" s="145">
        <f>SUMIFS(Table2[NewPointsAway],Table2[GameDate], "&lt;=" &amp; $A123, Table2[AwayTeam], P$1)+SUMIFS(Table2[NewPointsHome],Table2[GameDate], "&lt;=" &amp; $A123, Table2[HomeTeam], P$1)</f>
        <v>10</v>
      </c>
      <c r="Q123" s="145">
        <f>SUMIFS(Table2[NewPointsAway],Table2[GameDate], "&lt;=" &amp; $A123, Table2[AwayTeam], Q$1)+SUMIFS(Table2[NewPointsHome],Table2[GameDate], "&lt;=" &amp; $A123, Table2[HomeTeam], Q$1)</f>
        <v>10</v>
      </c>
      <c r="R123" s="145">
        <f>SUMIFS(Table2[NewPointsAway],Table2[GameDate], "&lt;=" &amp; $A123, Table2[AwayTeam], R$1)+SUMIFS(Table2[NewPointsHome],Table2[GameDate], "&lt;=" &amp; $A123, Table2[HomeTeam], R$1)</f>
        <v>6</v>
      </c>
      <c r="S123" s="145">
        <f>SUMIFS(Table2[NewPointsAway],Table2[GameDate], "&lt;=" &amp; $A123, Table2[AwayTeam], S$1)+SUMIFS(Table2[NewPointsHome],Table2[GameDate], "&lt;=" &amp; $A123, Table2[HomeTeam], S$1)</f>
        <v>6</v>
      </c>
      <c r="T123" s="145">
        <f>SUMIFS(Table2[NewPointsAway],Table2[GameDate], "&lt;=" &amp; $A123, Table2[AwayTeam], T$1)+SUMIFS(Table2[NewPointsHome],Table2[GameDate], "&lt;=" &amp; $A123, Table2[HomeTeam], T$1)</f>
        <v>7</v>
      </c>
      <c r="U123" s="145">
        <f>SUMIFS(Table2[NewPointsAway],Table2[GameDate], "&lt;=" &amp; $A123, Table2[AwayTeam], U$1)+SUMIFS(Table2[NewPointsHome],Table2[GameDate], "&lt;=" &amp; $A123, Table2[HomeTeam], U$1)</f>
        <v>5</v>
      </c>
      <c r="V123" s="145">
        <f>SUMIFS(Table2[NewPointsAway],Table2[GameDate], "&lt;=" &amp; $A123, Table2[AwayTeam], V$1)+SUMIFS(Table2[NewPointsHome],Table2[GameDate], "&lt;=" &amp; $A123, Table2[HomeTeam], V$1)</f>
        <v>7</v>
      </c>
      <c r="W123" s="145">
        <f>SUMIFS(Table2[NewPointsAway],Table2[GameDate], "&lt;=" &amp; $A123, Table2[AwayTeam], W$1)+SUMIFS(Table2[NewPointsHome],Table2[GameDate], "&lt;=" &amp; $A123, Table2[HomeTeam], W$1)</f>
        <v>10</v>
      </c>
      <c r="X123" s="145">
        <f>SUMIFS(Table2[NewPointsAway],Table2[GameDate], "&lt;=" &amp; $A123, Table2[AwayTeam], X$1)+SUMIFS(Table2[NewPointsHome],Table2[GameDate], "&lt;=" &amp; $A123, Table2[HomeTeam], X$1)</f>
        <v>8</v>
      </c>
      <c r="Y123" s="145">
        <f>SUMIFS(Table2[NewPointsAway],Table2[GameDate], "&lt;=" &amp; $A123, Table2[AwayTeam], Y$1)+SUMIFS(Table2[NewPointsHome],Table2[GameDate], "&lt;=" &amp; $A123, Table2[HomeTeam], Y$1)</f>
        <v>2</v>
      </c>
      <c r="Z123" s="145">
        <f>SUMIFS(Table2[NewPointsAway],Table2[GameDate], "&lt;=" &amp; $A123, Table2[AwayTeam], Z$1)+SUMIFS(Table2[NewPointsHome],Table2[GameDate], "&lt;=" &amp; $A123, Table2[HomeTeam], Z$1)</f>
        <v>7</v>
      </c>
      <c r="AA123" s="145">
        <f>SUMIFS(Table2[NewPointsAway],Table2[GameDate], "&lt;=" &amp; $A123, Table2[AwayTeam], AA$1)+SUMIFS(Table2[NewPointsHome],Table2[GameDate], "&lt;=" &amp; $A123, Table2[HomeTeam], AA$1)</f>
        <v>4</v>
      </c>
      <c r="AB123" s="145">
        <f>SUMIFS(Table2[NewPointsAway],Table2[GameDate], "&lt;=" &amp; $A123, Table2[AwayTeam], AB$1)+SUMIFS(Table2[NewPointsHome],Table2[GameDate], "&lt;=" &amp; $A123, Table2[HomeTeam], AB$1)</f>
        <v>7</v>
      </c>
      <c r="AC123" s="145">
        <f>SUMIFS(Table2[NewPointsAway],Table2[GameDate], "&lt;=" &amp; $A123, Table2[AwayTeam], AC$1)+SUMIFS(Table2[NewPointsHome],Table2[GameDate], "&lt;=" &amp; $A123, Table2[HomeTeam], AC$1)</f>
        <v>10</v>
      </c>
      <c r="AD123" s="145">
        <f>SUMIFS(Table2[NewPointsAway],Table2[GameDate], "&lt;=" &amp; $A123, Table2[AwayTeam], AD$1)+SUMIFS(Table2[NewPointsHome],Table2[GameDate], "&lt;=" &amp; $A123, Table2[HomeTeam], AD$1)</f>
        <v>8</v>
      </c>
      <c r="AE123" s="145">
        <f>SUMIFS(Table2[NewPointsAway],Table2[GameDate], "&lt;=" &amp; $A123, Table2[AwayTeam], AE$1)+SUMIFS(Table2[NewPointsHome],Table2[GameDate], "&lt;=" &amp; $A123, Table2[HomeTeam], AE$1)</f>
        <v>12</v>
      </c>
      <c r="AF123" s="145">
        <f>SUMIFS(Table2[NewPointsAway],Table2[GameDate], "&lt;=" &amp; $A123, Table2[AwayTeam], AF$1)+SUMIFS(Table2[NewPointsHome],Table2[GameDate], "&lt;=" &amp; $A123, Table2[HomeTeam], AF$1)</f>
        <v>10</v>
      </c>
      <c r="AG123" s="145">
        <f>SUMIFS(Table2[NewPointsAway],Table2[GameDate], "&lt;=" &amp; $A123, Table2[AwayTeam], AG$1)+SUMIFS(Table2[NewPointsHome],Table2[GameDate], "&lt;=" &amp; $A123, Table2[HomeTeam], AG$1)</f>
        <v>10</v>
      </c>
    </row>
    <row r="124" spans="1:33" x14ac:dyDescent="0.25">
      <c r="A124" s="3">
        <v>46055</v>
      </c>
      <c r="B124" s="145">
        <f>SUMIFS(Table2[NewPointsAway],Table2[GameDate], "&lt;=" &amp; $A124, Table2[AwayTeam], B$1)+SUMIFS(Table2[NewPointsHome],Table2[GameDate], "&lt;=" &amp; $A124, Table2[HomeTeam], B$1)</f>
        <v>7</v>
      </c>
      <c r="C124" s="145">
        <f>SUMIFS(Table2[NewPointsAway],Table2[GameDate], "&lt;=" &amp; $A124, Table2[AwayTeam], C$1)+SUMIFS(Table2[NewPointsHome],Table2[GameDate], "&lt;=" &amp; $A124, Table2[HomeTeam], C$1)</f>
        <v>6</v>
      </c>
      <c r="D124" s="145">
        <f>SUMIFS(Table2[NewPointsAway],Table2[GameDate], "&lt;=" &amp; $A124, Table2[AwayTeam], D$1)+SUMIFS(Table2[NewPointsHome],Table2[GameDate], "&lt;=" &amp; $A124, Table2[HomeTeam], D$1)</f>
        <v>4</v>
      </c>
      <c r="E124" s="145">
        <f>SUMIFS(Table2[NewPointsAway],Table2[GameDate], "&lt;=" &amp; $A124, Table2[AwayTeam], E$1)+SUMIFS(Table2[NewPointsHome],Table2[GameDate], "&lt;=" &amp; $A124, Table2[HomeTeam], E$1)</f>
        <v>10</v>
      </c>
      <c r="F124" s="145">
        <f>SUMIFS(Table2[NewPointsAway],Table2[GameDate], "&lt;=" &amp; $A124, Table2[AwayTeam], F$1)+SUMIFS(Table2[NewPointsHome],Table2[GameDate], "&lt;=" &amp; $A124, Table2[HomeTeam], F$1)</f>
        <v>6</v>
      </c>
      <c r="G124" s="145">
        <f>SUMIFS(Table2[NewPointsAway],Table2[GameDate], "&lt;=" &amp; $A124, Table2[AwayTeam], G$1)+SUMIFS(Table2[NewPointsHome],Table2[GameDate], "&lt;=" &amp; $A124, Table2[HomeTeam], G$1)</f>
        <v>2</v>
      </c>
      <c r="H124" s="145">
        <f>SUMIFS(Table2[NewPointsAway],Table2[GameDate], "&lt;=" &amp; $A124, Table2[AwayTeam], H$1)+SUMIFS(Table2[NewPointsHome],Table2[GameDate], "&lt;=" &amp; $A124, Table2[HomeTeam], H$1)</f>
        <v>8</v>
      </c>
      <c r="I124" s="145">
        <f>SUMIFS(Table2[NewPointsAway],Table2[GameDate], "&lt;=" &amp; $A124, Table2[AwayTeam], I$1)+SUMIFS(Table2[NewPointsHome],Table2[GameDate], "&lt;=" &amp; $A124, Table2[HomeTeam], I$1)</f>
        <v>12</v>
      </c>
      <c r="J124" s="145">
        <f>SUMIFS(Table2[NewPointsAway],Table2[GameDate], "&lt;=" &amp; $A124, Table2[AwayTeam], J$1)+SUMIFS(Table2[NewPointsHome],Table2[GameDate], "&lt;=" &amp; $A124, Table2[HomeTeam], J$1)</f>
        <v>6</v>
      </c>
      <c r="K124" s="145">
        <f>SUMIFS(Table2[NewPointsAway],Table2[GameDate], "&lt;=" &amp; $A124, Table2[AwayTeam], K$1)+SUMIFS(Table2[NewPointsHome],Table2[GameDate], "&lt;=" &amp; $A124, Table2[HomeTeam], K$1)</f>
        <v>10</v>
      </c>
      <c r="L124" s="145">
        <f>SUMIFS(Table2[NewPointsAway],Table2[GameDate], "&lt;=" &amp; $A124, Table2[AwayTeam], L$1)+SUMIFS(Table2[NewPointsHome],Table2[GameDate], "&lt;=" &amp; $A124, Table2[HomeTeam], L$1)</f>
        <v>7</v>
      </c>
      <c r="M124" s="145">
        <f>SUMIFS(Table2[NewPointsAway],Table2[GameDate], "&lt;=" &amp; $A124, Table2[AwayTeam], M$1)+SUMIFS(Table2[NewPointsHome],Table2[GameDate], "&lt;=" &amp; $A124, Table2[HomeTeam], M$1)</f>
        <v>8</v>
      </c>
      <c r="N124" s="145">
        <f>SUMIFS(Table2[NewPointsAway],Table2[GameDate], "&lt;=" &amp; $A124, Table2[AwayTeam], N$1)+SUMIFS(Table2[NewPointsHome],Table2[GameDate], "&lt;=" &amp; $A124, Table2[HomeTeam], N$1)</f>
        <v>6</v>
      </c>
      <c r="O124" s="145">
        <f>SUMIFS(Table2[NewPointsAway],Table2[GameDate], "&lt;=" &amp; $A124, Table2[AwayTeam], O$1)+SUMIFS(Table2[NewPointsHome],Table2[GameDate], "&lt;=" &amp; $A124, Table2[HomeTeam], O$1)</f>
        <v>7</v>
      </c>
      <c r="P124" s="145">
        <f>SUMIFS(Table2[NewPointsAway],Table2[GameDate], "&lt;=" &amp; $A124, Table2[AwayTeam], P$1)+SUMIFS(Table2[NewPointsHome],Table2[GameDate], "&lt;=" &amp; $A124, Table2[HomeTeam], P$1)</f>
        <v>10</v>
      </c>
      <c r="Q124" s="145">
        <f>SUMIFS(Table2[NewPointsAway],Table2[GameDate], "&lt;=" &amp; $A124, Table2[AwayTeam], Q$1)+SUMIFS(Table2[NewPointsHome],Table2[GameDate], "&lt;=" &amp; $A124, Table2[HomeTeam], Q$1)</f>
        <v>10</v>
      </c>
      <c r="R124" s="145">
        <f>SUMIFS(Table2[NewPointsAway],Table2[GameDate], "&lt;=" &amp; $A124, Table2[AwayTeam], R$1)+SUMIFS(Table2[NewPointsHome],Table2[GameDate], "&lt;=" &amp; $A124, Table2[HomeTeam], R$1)</f>
        <v>6</v>
      </c>
      <c r="S124" s="145">
        <f>SUMIFS(Table2[NewPointsAway],Table2[GameDate], "&lt;=" &amp; $A124, Table2[AwayTeam], S$1)+SUMIFS(Table2[NewPointsHome],Table2[GameDate], "&lt;=" &amp; $A124, Table2[HomeTeam], S$1)</f>
        <v>6</v>
      </c>
      <c r="T124" s="145">
        <f>SUMIFS(Table2[NewPointsAway],Table2[GameDate], "&lt;=" &amp; $A124, Table2[AwayTeam], T$1)+SUMIFS(Table2[NewPointsHome],Table2[GameDate], "&lt;=" &amp; $A124, Table2[HomeTeam], T$1)</f>
        <v>7</v>
      </c>
      <c r="U124" s="145">
        <f>SUMIFS(Table2[NewPointsAway],Table2[GameDate], "&lt;=" &amp; $A124, Table2[AwayTeam], U$1)+SUMIFS(Table2[NewPointsHome],Table2[GameDate], "&lt;=" &amp; $A124, Table2[HomeTeam], U$1)</f>
        <v>5</v>
      </c>
      <c r="V124" s="145">
        <f>SUMIFS(Table2[NewPointsAway],Table2[GameDate], "&lt;=" &amp; $A124, Table2[AwayTeam], V$1)+SUMIFS(Table2[NewPointsHome],Table2[GameDate], "&lt;=" &amp; $A124, Table2[HomeTeam], V$1)</f>
        <v>7</v>
      </c>
      <c r="W124" s="145">
        <f>SUMIFS(Table2[NewPointsAway],Table2[GameDate], "&lt;=" &amp; $A124, Table2[AwayTeam], W$1)+SUMIFS(Table2[NewPointsHome],Table2[GameDate], "&lt;=" &amp; $A124, Table2[HomeTeam], W$1)</f>
        <v>10</v>
      </c>
      <c r="X124" s="145">
        <f>SUMIFS(Table2[NewPointsAway],Table2[GameDate], "&lt;=" &amp; $A124, Table2[AwayTeam], X$1)+SUMIFS(Table2[NewPointsHome],Table2[GameDate], "&lt;=" &amp; $A124, Table2[HomeTeam], X$1)</f>
        <v>8</v>
      </c>
      <c r="Y124" s="145">
        <f>SUMIFS(Table2[NewPointsAway],Table2[GameDate], "&lt;=" &amp; $A124, Table2[AwayTeam], Y$1)+SUMIFS(Table2[NewPointsHome],Table2[GameDate], "&lt;=" &amp; $A124, Table2[HomeTeam], Y$1)</f>
        <v>2</v>
      </c>
      <c r="Z124" s="145">
        <f>SUMIFS(Table2[NewPointsAway],Table2[GameDate], "&lt;=" &amp; $A124, Table2[AwayTeam], Z$1)+SUMIFS(Table2[NewPointsHome],Table2[GameDate], "&lt;=" &amp; $A124, Table2[HomeTeam], Z$1)</f>
        <v>7</v>
      </c>
      <c r="AA124" s="145">
        <f>SUMIFS(Table2[NewPointsAway],Table2[GameDate], "&lt;=" &amp; $A124, Table2[AwayTeam], AA$1)+SUMIFS(Table2[NewPointsHome],Table2[GameDate], "&lt;=" &amp; $A124, Table2[HomeTeam], AA$1)</f>
        <v>4</v>
      </c>
      <c r="AB124" s="145">
        <f>SUMIFS(Table2[NewPointsAway],Table2[GameDate], "&lt;=" &amp; $A124, Table2[AwayTeam], AB$1)+SUMIFS(Table2[NewPointsHome],Table2[GameDate], "&lt;=" &amp; $A124, Table2[HomeTeam], AB$1)</f>
        <v>7</v>
      </c>
      <c r="AC124" s="145">
        <f>SUMIFS(Table2[NewPointsAway],Table2[GameDate], "&lt;=" &amp; $A124, Table2[AwayTeam], AC$1)+SUMIFS(Table2[NewPointsHome],Table2[GameDate], "&lt;=" &amp; $A124, Table2[HomeTeam], AC$1)</f>
        <v>10</v>
      </c>
      <c r="AD124" s="145">
        <f>SUMIFS(Table2[NewPointsAway],Table2[GameDate], "&lt;=" &amp; $A124, Table2[AwayTeam], AD$1)+SUMIFS(Table2[NewPointsHome],Table2[GameDate], "&lt;=" &amp; $A124, Table2[HomeTeam], AD$1)</f>
        <v>8</v>
      </c>
      <c r="AE124" s="145">
        <f>SUMIFS(Table2[NewPointsAway],Table2[GameDate], "&lt;=" &amp; $A124, Table2[AwayTeam], AE$1)+SUMIFS(Table2[NewPointsHome],Table2[GameDate], "&lt;=" &amp; $A124, Table2[HomeTeam], AE$1)</f>
        <v>12</v>
      </c>
      <c r="AF124" s="145">
        <f>SUMIFS(Table2[NewPointsAway],Table2[GameDate], "&lt;=" &amp; $A124, Table2[AwayTeam], AF$1)+SUMIFS(Table2[NewPointsHome],Table2[GameDate], "&lt;=" &amp; $A124, Table2[HomeTeam], AF$1)</f>
        <v>10</v>
      </c>
      <c r="AG124" s="145">
        <f>SUMIFS(Table2[NewPointsAway],Table2[GameDate], "&lt;=" &amp; $A124, Table2[AwayTeam], AG$1)+SUMIFS(Table2[NewPointsHome],Table2[GameDate], "&lt;=" &amp; $A124, Table2[HomeTeam], AG$1)</f>
        <v>10</v>
      </c>
    </row>
    <row r="125" spans="1:33" x14ac:dyDescent="0.25">
      <c r="A125" s="3">
        <v>46056</v>
      </c>
      <c r="B125" s="145">
        <f>SUMIFS(Table2[NewPointsAway],Table2[GameDate], "&lt;=" &amp; $A125, Table2[AwayTeam], B$1)+SUMIFS(Table2[NewPointsHome],Table2[GameDate], "&lt;=" &amp; $A125, Table2[HomeTeam], B$1)</f>
        <v>7</v>
      </c>
      <c r="C125" s="145">
        <f>SUMIFS(Table2[NewPointsAway],Table2[GameDate], "&lt;=" &amp; $A125, Table2[AwayTeam], C$1)+SUMIFS(Table2[NewPointsHome],Table2[GameDate], "&lt;=" &amp; $A125, Table2[HomeTeam], C$1)</f>
        <v>6</v>
      </c>
      <c r="D125" s="145">
        <f>SUMIFS(Table2[NewPointsAway],Table2[GameDate], "&lt;=" &amp; $A125, Table2[AwayTeam], D$1)+SUMIFS(Table2[NewPointsHome],Table2[GameDate], "&lt;=" &amp; $A125, Table2[HomeTeam], D$1)</f>
        <v>4</v>
      </c>
      <c r="E125" s="145">
        <f>SUMIFS(Table2[NewPointsAway],Table2[GameDate], "&lt;=" &amp; $A125, Table2[AwayTeam], E$1)+SUMIFS(Table2[NewPointsHome],Table2[GameDate], "&lt;=" &amp; $A125, Table2[HomeTeam], E$1)</f>
        <v>10</v>
      </c>
      <c r="F125" s="145">
        <f>SUMIFS(Table2[NewPointsAway],Table2[GameDate], "&lt;=" &amp; $A125, Table2[AwayTeam], F$1)+SUMIFS(Table2[NewPointsHome],Table2[GameDate], "&lt;=" &amp; $A125, Table2[HomeTeam], F$1)</f>
        <v>6</v>
      </c>
      <c r="G125" s="145">
        <f>SUMIFS(Table2[NewPointsAway],Table2[GameDate], "&lt;=" &amp; $A125, Table2[AwayTeam], G$1)+SUMIFS(Table2[NewPointsHome],Table2[GameDate], "&lt;=" &amp; $A125, Table2[HomeTeam], G$1)</f>
        <v>2</v>
      </c>
      <c r="H125" s="145">
        <f>SUMIFS(Table2[NewPointsAway],Table2[GameDate], "&lt;=" &amp; $A125, Table2[AwayTeam], H$1)+SUMIFS(Table2[NewPointsHome],Table2[GameDate], "&lt;=" &amp; $A125, Table2[HomeTeam], H$1)</f>
        <v>8</v>
      </c>
      <c r="I125" s="145">
        <f>SUMIFS(Table2[NewPointsAway],Table2[GameDate], "&lt;=" &amp; $A125, Table2[AwayTeam], I$1)+SUMIFS(Table2[NewPointsHome],Table2[GameDate], "&lt;=" &amp; $A125, Table2[HomeTeam], I$1)</f>
        <v>12</v>
      </c>
      <c r="J125" s="145">
        <f>SUMIFS(Table2[NewPointsAway],Table2[GameDate], "&lt;=" &amp; $A125, Table2[AwayTeam], J$1)+SUMIFS(Table2[NewPointsHome],Table2[GameDate], "&lt;=" &amp; $A125, Table2[HomeTeam], J$1)</f>
        <v>6</v>
      </c>
      <c r="K125" s="145">
        <f>SUMIFS(Table2[NewPointsAway],Table2[GameDate], "&lt;=" &amp; $A125, Table2[AwayTeam], K$1)+SUMIFS(Table2[NewPointsHome],Table2[GameDate], "&lt;=" &amp; $A125, Table2[HomeTeam], K$1)</f>
        <v>10</v>
      </c>
      <c r="L125" s="145">
        <f>SUMIFS(Table2[NewPointsAway],Table2[GameDate], "&lt;=" &amp; $A125, Table2[AwayTeam], L$1)+SUMIFS(Table2[NewPointsHome],Table2[GameDate], "&lt;=" &amp; $A125, Table2[HomeTeam], L$1)</f>
        <v>7</v>
      </c>
      <c r="M125" s="145">
        <f>SUMIFS(Table2[NewPointsAway],Table2[GameDate], "&lt;=" &amp; $A125, Table2[AwayTeam], M$1)+SUMIFS(Table2[NewPointsHome],Table2[GameDate], "&lt;=" &amp; $A125, Table2[HomeTeam], M$1)</f>
        <v>8</v>
      </c>
      <c r="N125" s="145">
        <f>SUMIFS(Table2[NewPointsAway],Table2[GameDate], "&lt;=" &amp; $A125, Table2[AwayTeam], N$1)+SUMIFS(Table2[NewPointsHome],Table2[GameDate], "&lt;=" &amp; $A125, Table2[HomeTeam], N$1)</f>
        <v>6</v>
      </c>
      <c r="O125" s="145">
        <f>SUMIFS(Table2[NewPointsAway],Table2[GameDate], "&lt;=" &amp; $A125, Table2[AwayTeam], O$1)+SUMIFS(Table2[NewPointsHome],Table2[GameDate], "&lt;=" &amp; $A125, Table2[HomeTeam], O$1)</f>
        <v>7</v>
      </c>
      <c r="P125" s="145">
        <f>SUMIFS(Table2[NewPointsAway],Table2[GameDate], "&lt;=" &amp; $A125, Table2[AwayTeam], P$1)+SUMIFS(Table2[NewPointsHome],Table2[GameDate], "&lt;=" &amp; $A125, Table2[HomeTeam], P$1)</f>
        <v>10</v>
      </c>
      <c r="Q125" s="145">
        <f>SUMIFS(Table2[NewPointsAway],Table2[GameDate], "&lt;=" &amp; $A125, Table2[AwayTeam], Q$1)+SUMIFS(Table2[NewPointsHome],Table2[GameDate], "&lt;=" &amp; $A125, Table2[HomeTeam], Q$1)</f>
        <v>10</v>
      </c>
      <c r="R125" s="145">
        <f>SUMIFS(Table2[NewPointsAway],Table2[GameDate], "&lt;=" &amp; $A125, Table2[AwayTeam], R$1)+SUMIFS(Table2[NewPointsHome],Table2[GameDate], "&lt;=" &amp; $A125, Table2[HomeTeam], R$1)</f>
        <v>6</v>
      </c>
      <c r="S125" s="145">
        <f>SUMIFS(Table2[NewPointsAway],Table2[GameDate], "&lt;=" &amp; $A125, Table2[AwayTeam], S$1)+SUMIFS(Table2[NewPointsHome],Table2[GameDate], "&lt;=" &amp; $A125, Table2[HomeTeam], S$1)</f>
        <v>6</v>
      </c>
      <c r="T125" s="145">
        <f>SUMIFS(Table2[NewPointsAway],Table2[GameDate], "&lt;=" &amp; $A125, Table2[AwayTeam], T$1)+SUMIFS(Table2[NewPointsHome],Table2[GameDate], "&lt;=" &amp; $A125, Table2[HomeTeam], T$1)</f>
        <v>7</v>
      </c>
      <c r="U125" s="145">
        <f>SUMIFS(Table2[NewPointsAway],Table2[GameDate], "&lt;=" &amp; $A125, Table2[AwayTeam], U$1)+SUMIFS(Table2[NewPointsHome],Table2[GameDate], "&lt;=" &amp; $A125, Table2[HomeTeam], U$1)</f>
        <v>5</v>
      </c>
      <c r="V125" s="145">
        <f>SUMIFS(Table2[NewPointsAway],Table2[GameDate], "&lt;=" &amp; $A125, Table2[AwayTeam], V$1)+SUMIFS(Table2[NewPointsHome],Table2[GameDate], "&lt;=" &amp; $A125, Table2[HomeTeam], V$1)</f>
        <v>7</v>
      </c>
      <c r="W125" s="145">
        <f>SUMIFS(Table2[NewPointsAway],Table2[GameDate], "&lt;=" &amp; $A125, Table2[AwayTeam], W$1)+SUMIFS(Table2[NewPointsHome],Table2[GameDate], "&lt;=" &amp; $A125, Table2[HomeTeam], W$1)</f>
        <v>10</v>
      </c>
      <c r="X125" s="145">
        <f>SUMIFS(Table2[NewPointsAway],Table2[GameDate], "&lt;=" &amp; $A125, Table2[AwayTeam], X$1)+SUMIFS(Table2[NewPointsHome],Table2[GameDate], "&lt;=" &amp; $A125, Table2[HomeTeam], X$1)</f>
        <v>8</v>
      </c>
      <c r="Y125" s="145">
        <f>SUMIFS(Table2[NewPointsAway],Table2[GameDate], "&lt;=" &amp; $A125, Table2[AwayTeam], Y$1)+SUMIFS(Table2[NewPointsHome],Table2[GameDate], "&lt;=" &amp; $A125, Table2[HomeTeam], Y$1)</f>
        <v>2</v>
      </c>
      <c r="Z125" s="145">
        <f>SUMIFS(Table2[NewPointsAway],Table2[GameDate], "&lt;=" &amp; $A125, Table2[AwayTeam], Z$1)+SUMIFS(Table2[NewPointsHome],Table2[GameDate], "&lt;=" &amp; $A125, Table2[HomeTeam], Z$1)</f>
        <v>7</v>
      </c>
      <c r="AA125" s="145">
        <f>SUMIFS(Table2[NewPointsAway],Table2[GameDate], "&lt;=" &amp; $A125, Table2[AwayTeam], AA$1)+SUMIFS(Table2[NewPointsHome],Table2[GameDate], "&lt;=" &amp; $A125, Table2[HomeTeam], AA$1)</f>
        <v>4</v>
      </c>
      <c r="AB125" s="145">
        <f>SUMIFS(Table2[NewPointsAway],Table2[GameDate], "&lt;=" &amp; $A125, Table2[AwayTeam], AB$1)+SUMIFS(Table2[NewPointsHome],Table2[GameDate], "&lt;=" &amp; $A125, Table2[HomeTeam], AB$1)</f>
        <v>7</v>
      </c>
      <c r="AC125" s="145">
        <f>SUMIFS(Table2[NewPointsAway],Table2[GameDate], "&lt;=" &amp; $A125, Table2[AwayTeam], AC$1)+SUMIFS(Table2[NewPointsHome],Table2[GameDate], "&lt;=" &amp; $A125, Table2[HomeTeam], AC$1)</f>
        <v>10</v>
      </c>
      <c r="AD125" s="145">
        <f>SUMIFS(Table2[NewPointsAway],Table2[GameDate], "&lt;=" &amp; $A125, Table2[AwayTeam], AD$1)+SUMIFS(Table2[NewPointsHome],Table2[GameDate], "&lt;=" &amp; $A125, Table2[HomeTeam], AD$1)</f>
        <v>8</v>
      </c>
      <c r="AE125" s="145">
        <f>SUMIFS(Table2[NewPointsAway],Table2[GameDate], "&lt;=" &amp; $A125, Table2[AwayTeam], AE$1)+SUMIFS(Table2[NewPointsHome],Table2[GameDate], "&lt;=" &amp; $A125, Table2[HomeTeam], AE$1)</f>
        <v>12</v>
      </c>
      <c r="AF125" s="145">
        <f>SUMIFS(Table2[NewPointsAway],Table2[GameDate], "&lt;=" &amp; $A125, Table2[AwayTeam], AF$1)+SUMIFS(Table2[NewPointsHome],Table2[GameDate], "&lt;=" &amp; $A125, Table2[HomeTeam], AF$1)</f>
        <v>10</v>
      </c>
      <c r="AG125" s="145">
        <f>SUMIFS(Table2[NewPointsAway],Table2[GameDate], "&lt;=" &amp; $A125, Table2[AwayTeam], AG$1)+SUMIFS(Table2[NewPointsHome],Table2[GameDate], "&lt;=" &amp; $A125, Table2[HomeTeam], AG$1)</f>
        <v>10</v>
      </c>
    </row>
    <row r="126" spans="1:33" x14ac:dyDescent="0.25">
      <c r="A126" s="3">
        <v>46057</v>
      </c>
      <c r="B126" s="145">
        <f>SUMIFS(Table2[NewPointsAway],Table2[GameDate], "&lt;=" &amp; $A126, Table2[AwayTeam], B$1)+SUMIFS(Table2[NewPointsHome],Table2[GameDate], "&lt;=" &amp; $A126, Table2[HomeTeam], B$1)</f>
        <v>7</v>
      </c>
      <c r="C126" s="145">
        <f>SUMIFS(Table2[NewPointsAway],Table2[GameDate], "&lt;=" &amp; $A126, Table2[AwayTeam], C$1)+SUMIFS(Table2[NewPointsHome],Table2[GameDate], "&lt;=" &amp; $A126, Table2[HomeTeam], C$1)</f>
        <v>6</v>
      </c>
      <c r="D126" s="145">
        <f>SUMIFS(Table2[NewPointsAway],Table2[GameDate], "&lt;=" &amp; $A126, Table2[AwayTeam], D$1)+SUMIFS(Table2[NewPointsHome],Table2[GameDate], "&lt;=" &amp; $A126, Table2[HomeTeam], D$1)</f>
        <v>4</v>
      </c>
      <c r="E126" s="145">
        <f>SUMIFS(Table2[NewPointsAway],Table2[GameDate], "&lt;=" &amp; $A126, Table2[AwayTeam], E$1)+SUMIFS(Table2[NewPointsHome],Table2[GameDate], "&lt;=" &amp; $A126, Table2[HomeTeam], E$1)</f>
        <v>10</v>
      </c>
      <c r="F126" s="145">
        <f>SUMIFS(Table2[NewPointsAway],Table2[GameDate], "&lt;=" &amp; $A126, Table2[AwayTeam], F$1)+SUMIFS(Table2[NewPointsHome],Table2[GameDate], "&lt;=" &amp; $A126, Table2[HomeTeam], F$1)</f>
        <v>6</v>
      </c>
      <c r="G126" s="145">
        <f>SUMIFS(Table2[NewPointsAway],Table2[GameDate], "&lt;=" &amp; $A126, Table2[AwayTeam], G$1)+SUMIFS(Table2[NewPointsHome],Table2[GameDate], "&lt;=" &amp; $A126, Table2[HomeTeam], G$1)</f>
        <v>2</v>
      </c>
      <c r="H126" s="145">
        <f>SUMIFS(Table2[NewPointsAway],Table2[GameDate], "&lt;=" &amp; $A126, Table2[AwayTeam], H$1)+SUMIFS(Table2[NewPointsHome],Table2[GameDate], "&lt;=" &amp; $A126, Table2[HomeTeam], H$1)</f>
        <v>8</v>
      </c>
      <c r="I126" s="145">
        <f>SUMIFS(Table2[NewPointsAway],Table2[GameDate], "&lt;=" &amp; $A126, Table2[AwayTeam], I$1)+SUMIFS(Table2[NewPointsHome],Table2[GameDate], "&lt;=" &amp; $A126, Table2[HomeTeam], I$1)</f>
        <v>12</v>
      </c>
      <c r="J126" s="145">
        <f>SUMIFS(Table2[NewPointsAway],Table2[GameDate], "&lt;=" &amp; $A126, Table2[AwayTeam], J$1)+SUMIFS(Table2[NewPointsHome],Table2[GameDate], "&lt;=" &amp; $A126, Table2[HomeTeam], J$1)</f>
        <v>6</v>
      </c>
      <c r="K126" s="145">
        <f>SUMIFS(Table2[NewPointsAway],Table2[GameDate], "&lt;=" &amp; $A126, Table2[AwayTeam], K$1)+SUMIFS(Table2[NewPointsHome],Table2[GameDate], "&lt;=" &amp; $A126, Table2[HomeTeam], K$1)</f>
        <v>10</v>
      </c>
      <c r="L126" s="145">
        <f>SUMIFS(Table2[NewPointsAway],Table2[GameDate], "&lt;=" &amp; $A126, Table2[AwayTeam], L$1)+SUMIFS(Table2[NewPointsHome],Table2[GameDate], "&lt;=" &amp; $A126, Table2[HomeTeam], L$1)</f>
        <v>7</v>
      </c>
      <c r="M126" s="145">
        <f>SUMIFS(Table2[NewPointsAway],Table2[GameDate], "&lt;=" &amp; $A126, Table2[AwayTeam], M$1)+SUMIFS(Table2[NewPointsHome],Table2[GameDate], "&lt;=" &amp; $A126, Table2[HomeTeam], M$1)</f>
        <v>8</v>
      </c>
      <c r="N126" s="145">
        <f>SUMIFS(Table2[NewPointsAway],Table2[GameDate], "&lt;=" &amp; $A126, Table2[AwayTeam], N$1)+SUMIFS(Table2[NewPointsHome],Table2[GameDate], "&lt;=" &amp; $A126, Table2[HomeTeam], N$1)</f>
        <v>6</v>
      </c>
      <c r="O126" s="145">
        <f>SUMIFS(Table2[NewPointsAway],Table2[GameDate], "&lt;=" &amp; $A126, Table2[AwayTeam], O$1)+SUMIFS(Table2[NewPointsHome],Table2[GameDate], "&lt;=" &amp; $A126, Table2[HomeTeam], O$1)</f>
        <v>7</v>
      </c>
      <c r="P126" s="145">
        <f>SUMIFS(Table2[NewPointsAway],Table2[GameDate], "&lt;=" &amp; $A126, Table2[AwayTeam], P$1)+SUMIFS(Table2[NewPointsHome],Table2[GameDate], "&lt;=" &amp; $A126, Table2[HomeTeam], P$1)</f>
        <v>10</v>
      </c>
      <c r="Q126" s="145">
        <f>SUMIFS(Table2[NewPointsAway],Table2[GameDate], "&lt;=" &amp; $A126, Table2[AwayTeam], Q$1)+SUMIFS(Table2[NewPointsHome],Table2[GameDate], "&lt;=" &amp; $A126, Table2[HomeTeam], Q$1)</f>
        <v>10</v>
      </c>
      <c r="R126" s="145">
        <f>SUMIFS(Table2[NewPointsAway],Table2[GameDate], "&lt;=" &amp; $A126, Table2[AwayTeam], R$1)+SUMIFS(Table2[NewPointsHome],Table2[GameDate], "&lt;=" &amp; $A126, Table2[HomeTeam], R$1)</f>
        <v>6</v>
      </c>
      <c r="S126" s="145">
        <f>SUMIFS(Table2[NewPointsAway],Table2[GameDate], "&lt;=" &amp; $A126, Table2[AwayTeam], S$1)+SUMIFS(Table2[NewPointsHome],Table2[GameDate], "&lt;=" &amp; $A126, Table2[HomeTeam], S$1)</f>
        <v>6</v>
      </c>
      <c r="T126" s="145">
        <f>SUMIFS(Table2[NewPointsAway],Table2[GameDate], "&lt;=" &amp; $A126, Table2[AwayTeam], T$1)+SUMIFS(Table2[NewPointsHome],Table2[GameDate], "&lt;=" &amp; $A126, Table2[HomeTeam], T$1)</f>
        <v>7</v>
      </c>
      <c r="U126" s="145">
        <f>SUMIFS(Table2[NewPointsAway],Table2[GameDate], "&lt;=" &amp; $A126, Table2[AwayTeam], U$1)+SUMIFS(Table2[NewPointsHome],Table2[GameDate], "&lt;=" &amp; $A126, Table2[HomeTeam], U$1)</f>
        <v>5</v>
      </c>
      <c r="V126" s="145">
        <f>SUMIFS(Table2[NewPointsAway],Table2[GameDate], "&lt;=" &amp; $A126, Table2[AwayTeam], V$1)+SUMIFS(Table2[NewPointsHome],Table2[GameDate], "&lt;=" &amp; $A126, Table2[HomeTeam], V$1)</f>
        <v>7</v>
      </c>
      <c r="W126" s="145">
        <f>SUMIFS(Table2[NewPointsAway],Table2[GameDate], "&lt;=" &amp; $A126, Table2[AwayTeam], W$1)+SUMIFS(Table2[NewPointsHome],Table2[GameDate], "&lt;=" &amp; $A126, Table2[HomeTeam], W$1)</f>
        <v>10</v>
      </c>
      <c r="X126" s="145">
        <f>SUMIFS(Table2[NewPointsAway],Table2[GameDate], "&lt;=" &amp; $A126, Table2[AwayTeam], X$1)+SUMIFS(Table2[NewPointsHome],Table2[GameDate], "&lt;=" &amp; $A126, Table2[HomeTeam], X$1)</f>
        <v>8</v>
      </c>
      <c r="Y126" s="145">
        <f>SUMIFS(Table2[NewPointsAway],Table2[GameDate], "&lt;=" &amp; $A126, Table2[AwayTeam], Y$1)+SUMIFS(Table2[NewPointsHome],Table2[GameDate], "&lt;=" &amp; $A126, Table2[HomeTeam], Y$1)</f>
        <v>2</v>
      </c>
      <c r="Z126" s="145">
        <f>SUMIFS(Table2[NewPointsAway],Table2[GameDate], "&lt;=" &amp; $A126, Table2[AwayTeam], Z$1)+SUMIFS(Table2[NewPointsHome],Table2[GameDate], "&lt;=" &amp; $A126, Table2[HomeTeam], Z$1)</f>
        <v>7</v>
      </c>
      <c r="AA126" s="145">
        <f>SUMIFS(Table2[NewPointsAway],Table2[GameDate], "&lt;=" &amp; $A126, Table2[AwayTeam], AA$1)+SUMIFS(Table2[NewPointsHome],Table2[GameDate], "&lt;=" &amp; $A126, Table2[HomeTeam], AA$1)</f>
        <v>4</v>
      </c>
      <c r="AB126" s="145">
        <f>SUMIFS(Table2[NewPointsAway],Table2[GameDate], "&lt;=" &amp; $A126, Table2[AwayTeam], AB$1)+SUMIFS(Table2[NewPointsHome],Table2[GameDate], "&lt;=" &amp; $A126, Table2[HomeTeam], AB$1)</f>
        <v>7</v>
      </c>
      <c r="AC126" s="145">
        <f>SUMIFS(Table2[NewPointsAway],Table2[GameDate], "&lt;=" &amp; $A126, Table2[AwayTeam], AC$1)+SUMIFS(Table2[NewPointsHome],Table2[GameDate], "&lt;=" &amp; $A126, Table2[HomeTeam], AC$1)</f>
        <v>10</v>
      </c>
      <c r="AD126" s="145">
        <f>SUMIFS(Table2[NewPointsAway],Table2[GameDate], "&lt;=" &amp; $A126, Table2[AwayTeam], AD$1)+SUMIFS(Table2[NewPointsHome],Table2[GameDate], "&lt;=" &amp; $A126, Table2[HomeTeam], AD$1)</f>
        <v>8</v>
      </c>
      <c r="AE126" s="145">
        <f>SUMIFS(Table2[NewPointsAway],Table2[GameDate], "&lt;=" &amp; $A126, Table2[AwayTeam], AE$1)+SUMIFS(Table2[NewPointsHome],Table2[GameDate], "&lt;=" &amp; $A126, Table2[HomeTeam], AE$1)</f>
        <v>12</v>
      </c>
      <c r="AF126" s="145">
        <f>SUMIFS(Table2[NewPointsAway],Table2[GameDate], "&lt;=" &amp; $A126, Table2[AwayTeam], AF$1)+SUMIFS(Table2[NewPointsHome],Table2[GameDate], "&lt;=" &amp; $A126, Table2[HomeTeam], AF$1)</f>
        <v>10</v>
      </c>
      <c r="AG126" s="145">
        <f>SUMIFS(Table2[NewPointsAway],Table2[GameDate], "&lt;=" &amp; $A126, Table2[AwayTeam], AG$1)+SUMIFS(Table2[NewPointsHome],Table2[GameDate], "&lt;=" &amp; $A126, Table2[HomeTeam], AG$1)</f>
        <v>10</v>
      </c>
    </row>
    <row r="127" spans="1:33" x14ac:dyDescent="0.25">
      <c r="A127" s="3">
        <v>46058</v>
      </c>
      <c r="B127" s="145">
        <f>SUMIFS(Table2[NewPointsAway],Table2[GameDate], "&lt;=" &amp; $A127, Table2[AwayTeam], B$1)+SUMIFS(Table2[NewPointsHome],Table2[GameDate], "&lt;=" &amp; $A127, Table2[HomeTeam], B$1)</f>
        <v>7</v>
      </c>
      <c r="C127" s="145">
        <f>SUMIFS(Table2[NewPointsAway],Table2[GameDate], "&lt;=" &amp; $A127, Table2[AwayTeam], C$1)+SUMIFS(Table2[NewPointsHome],Table2[GameDate], "&lt;=" &amp; $A127, Table2[HomeTeam], C$1)</f>
        <v>6</v>
      </c>
      <c r="D127" s="145">
        <f>SUMIFS(Table2[NewPointsAway],Table2[GameDate], "&lt;=" &amp; $A127, Table2[AwayTeam], D$1)+SUMIFS(Table2[NewPointsHome],Table2[GameDate], "&lt;=" &amp; $A127, Table2[HomeTeam], D$1)</f>
        <v>4</v>
      </c>
      <c r="E127" s="145">
        <f>SUMIFS(Table2[NewPointsAway],Table2[GameDate], "&lt;=" &amp; $A127, Table2[AwayTeam], E$1)+SUMIFS(Table2[NewPointsHome],Table2[GameDate], "&lt;=" &amp; $A127, Table2[HomeTeam], E$1)</f>
        <v>10</v>
      </c>
      <c r="F127" s="145">
        <f>SUMIFS(Table2[NewPointsAway],Table2[GameDate], "&lt;=" &amp; $A127, Table2[AwayTeam], F$1)+SUMIFS(Table2[NewPointsHome],Table2[GameDate], "&lt;=" &amp; $A127, Table2[HomeTeam], F$1)</f>
        <v>6</v>
      </c>
      <c r="G127" s="145">
        <f>SUMIFS(Table2[NewPointsAway],Table2[GameDate], "&lt;=" &amp; $A127, Table2[AwayTeam], G$1)+SUMIFS(Table2[NewPointsHome],Table2[GameDate], "&lt;=" &amp; $A127, Table2[HomeTeam], G$1)</f>
        <v>2</v>
      </c>
      <c r="H127" s="145">
        <f>SUMIFS(Table2[NewPointsAway],Table2[GameDate], "&lt;=" &amp; $A127, Table2[AwayTeam], H$1)+SUMIFS(Table2[NewPointsHome],Table2[GameDate], "&lt;=" &amp; $A127, Table2[HomeTeam], H$1)</f>
        <v>8</v>
      </c>
      <c r="I127" s="145">
        <f>SUMIFS(Table2[NewPointsAway],Table2[GameDate], "&lt;=" &amp; $A127, Table2[AwayTeam], I$1)+SUMIFS(Table2[NewPointsHome],Table2[GameDate], "&lt;=" &amp; $A127, Table2[HomeTeam], I$1)</f>
        <v>12</v>
      </c>
      <c r="J127" s="145">
        <f>SUMIFS(Table2[NewPointsAway],Table2[GameDate], "&lt;=" &amp; $A127, Table2[AwayTeam], J$1)+SUMIFS(Table2[NewPointsHome],Table2[GameDate], "&lt;=" &amp; $A127, Table2[HomeTeam], J$1)</f>
        <v>6</v>
      </c>
      <c r="K127" s="145">
        <f>SUMIFS(Table2[NewPointsAway],Table2[GameDate], "&lt;=" &amp; $A127, Table2[AwayTeam], K$1)+SUMIFS(Table2[NewPointsHome],Table2[GameDate], "&lt;=" &amp; $A127, Table2[HomeTeam], K$1)</f>
        <v>10</v>
      </c>
      <c r="L127" s="145">
        <f>SUMIFS(Table2[NewPointsAway],Table2[GameDate], "&lt;=" &amp; $A127, Table2[AwayTeam], L$1)+SUMIFS(Table2[NewPointsHome],Table2[GameDate], "&lt;=" &amp; $A127, Table2[HomeTeam], L$1)</f>
        <v>7</v>
      </c>
      <c r="M127" s="145">
        <f>SUMIFS(Table2[NewPointsAway],Table2[GameDate], "&lt;=" &amp; $A127, Table2[AwayTeam], M$1)+SUMIFS(Table2[NewPointsHome],Table2[GameDate], "&lt;=" &amp; $A127, Table2[HomeTeam], M$1)</f>
        <v>8</v>
      </c>
      <c r="N127" s="145">
        <f>SUMIFS(Table2[NewPointsAway],Table2[GameDate], "&lt;=" &amp; $A127, Table2[AwayTeam], N$1)+SUMIFS(Table2[NewPointsHome],Table2[GameDate], "&lt;=" &amp; $A127, Table2[HomeTeam], N$1)</f>
        <v>6</v>
      </c>
      <c r="O127" s="145">
        <f>SUMIFS(Table2[NewPointsAway],Table2[GameDate], "&lt;=" &amp; $A127, Table2[AwayTeam], O$1)+SUMIFS(Table2[NewPointsHome],Table2[GameDate], "&lt;=" &amp; $A127, Table2[HomeTeam], O$1)</f>
        <v>7</v>
      </c>
      <c r="P127" s="145">
        <f>SUMIFS(Table2[NewPointsAway],Table2[GameDate], "&lt;=" &amp; $A127, Table2[AwayTeam], P$1)+SUMIFS(Table2[NewPointsHome],Table2[GameDate], "&lt;=" &amp; $A127, Table2[HomeTeam], P$1)</f>
        <v>10</v>
      </c>
      <c r="Q127" s="145">
        <f>SUMIFS(Table2[NewPointsAway],Table2[GameDate], "&lt;=" &amp; $A127, Table2[AwayTeam], Q$1)+SUMIFS(Table2[NewPointsHome],Table2[GameDate], "&lt;=" &amp; $A127, Table2[HomeTeam], Q$1)</f>
        <v>10</v>
      </c>
      <c r="R127" s="145">
        <f>SUMIFS(Table2[NewPointsAway],Table2[GameDate], "&lt;=" &amp; $A127, Table2[AwayTeam], R$1)+SUMIFS(Table2[NewPointsHome],Table2[GameDate], "&lt;=" &amp; $A127, Table2[HomeTeam], R$1)</f>
        <v>6</v>
      </c>
      <c r="S127" s="145">
        <f>SUMIFS(Table2[NewPointsAway],Table2[GameDate], "&lt;=" &amp; $A127, Table2[AwayTeam], S$1)+SUMIFS(Table2[NewPointsHome],Table2[GameDate], "&lt;=" &amp; $A127, Table2[HomeTeam], S$1)</f>
        <v>6</v>
      </c>
      <c r="T127" s="145">
        <f>SUMIFS(Table2[NewPointsAway],Table2[GameDate], "&lt;=" &amp; $A127, Table2[AwayTeam], T$1)+SUMIFS(Table2[NewPointsHome],Table2[GameDate], "&lt;=" &amp; $A127, Table2[HomeTeam], T$1)</f>
        <v>7</v>
      </c>
      <c r="U127" s="145">
        <f>SUMIFS(Table2[NewPointsAway],Table2[GameDate], "&lt;=" &amp; $A127, Table2[AwayTeam], U$1)+SUMIFS(Table2[NewPointsHome],Table2[GameDate], "&lt;=" &amp; $A127, Table2[HomeTeam], U$1)</f>
        <v>5</v>
      </c>
      <c r="V127" s="145">
        <f>SUMIFS(Table2[NewPointsAway],Table2[GameDate], "&lt;=" &amp; $A127, Table2[AwayTeam], V$1)+SUMIFS(Table2[NewPointsHome],Table2[GameDate], "&lt;=" &amp; $A127, Table2[HomeTeam], V$1)</f>
        <v>7</v>
      </c>
      <c r="W127" s="145">
        <f>SUMIFS(Table2[NewPointsAway],Table2[GameDate], "&lt;=" &amp; $A127, Table2[AwayTeam], W$1)+SUMIFS(Table2[NewPointsHome],Table2[GameDate], "&lt;=" &amp; $A127, Table2[HomeTeam], W$1)</f>
        <v>10</v>
      </c>
      <c r="X127" s="145">
        <f>SUMIFS(Table2[NewPointsAway],Table2[GameDate], "&lt;=" &amp; $A127, Table2[AwayTeam], X$1)+SUMIFS(Table2[NewPointsHome],Table2[GameDate], "&lt;=" &amp; $A127, Table2[HomeTeam], X$1)</f>
        <v>8</v>
      </c>
      <c r="Y127" s="145">
        <f>SUMIFS(Table2[NewPointsAway],Table2[GameDate], "&lt;=" &amp; $A127, Table2[AwayTeam], Y$1)+SUMIFS(Table2[NewPointsHome],Table2[GameDate], "&lt;=" &amp; $A127, Table2[HomeTeam], Y$1)</f>
        <v>2</v>
      </c>
      <c r="Z127" s="145">
        <f>SUMIFS(Table2[NewPointsAway],Table2[GameDate], "&lt;=" &amp; $A127, Table2[AwayTeam], Z$1)+SUMIFS(Table2[NewPointsHome],Table2[GameDate], "&lt;=" &amp; $A127, Table2[HomeTeam], Z$1)</f>
        <v>7</v>
      </c>
      <c r="AA127" s="145">
        <f>SUMIFS(Table2[NewPointsAway],Table2[GameDate], "&lt;=" &amp; $A127, Table2[AwayTeam], AA$1)+SUMIFS(Table2[NewPointsHome],Table2[GameDate], "&lt;=" &amp; $A127, Table2[HomeTeam], AA$1)</f>
        <v>4</v>
      </c>
      <c r="AB127" s="145">
        <f>SUMIFS(Table2[NewPointsAway],Table2[GameDate], "&lt;=" &amp; $A127, Table2[AwayTeam], AB$1)+SUMIFS(Table2[NewPointsHome],Table2[GameDate], "&lt;=" &amp; $A127, Table2[HomeTeam], AB$1)</f>
        <v>7</v>
      </c>
      <c r="AC127" s="145">
        <f>SUMIFS(Table2[NewPointsAway],Table2[GameDate], "&lt;=" &amp; $A127, Table2[AwayTeam], AC$1)+SUMIFS(Table2[NewPointsHome],Table2[GameDate], "&lt;=" &amp; $A127, Table2[HomeTeam], AC$1)</f>
        <v>10</v>
      </c>
      <c r="AD127" s="145">
        <f>SUMIFS(Table2[NewPointsAway],Table2[GameDate], "&lt;=" &amp; $A127, Table2[AwayTeam], AD$1)+SUMIFS(Table2[NewPointsHome],Table2[GameDate], "&lt;=" &amp; $A127, Table2[HomeTeam], AD$1)</f>
        <v>8</v>
      </c>
      <c r="AE127" s="145">
        <f>SUMIFS(Table2[NewPointsAway],Table2[GameDate], "&lt;=" &amp; $A127, Table2[AwayTeam], AE$1)+SUMIFS(Table2[NewPointsHome],Table2[GameDate], "&lt;=" &amp; $A127, Table2[HomeTeam], AE$1)</f>
        <v>12</v>
      </c>
      <c r="AF127" s="145">
        <f>SUMIFS(Table2[NewPointsAway],Table2[GameDate], "&lt;=" &amp; $A127, Table2[AwayTeam], AF$1)+SUMIFS(Table2[NewPointsHome],Table2[GameDate], "&lt;=" &amp; $A127, Table2[HomeTeam], AF$1)</f>
        <v>10</v>
      </c>
      <c r="AG127" s="145">
        <f>SUMIFS(Table2[NewPointsAway],Table2[GameDate], "&lt;=" &amp; $A127, Table2[AwayTeam], AG$1)+SUMIFS(Table2[NewPointsHome],Table2[GameDate], "&lt;=" &amp; $A127, Table2[HomeTeam], AG$1)</f>
        <v>10</v>
      </c>
    </row>
    <row r="128" spans="1:33" x14ac:dyDescent="0.25">
      <c r="A128" s="3">
        <v>46059</v>
      </c>
      <c r="B128" s="145">
        <f>SUMIFS(Table2[NewPointsAway],Table2[GameDate], "&lt;=" &amp; $A128, Table2[AwayTeam], B$1)+SUMIFS(Table2[NewPointsHome],Table2[GameDate], "&lt;=" &amp; $A128, Table2[HomeTeam], B$1)</f>
        <v>7</v>
      </c>
      <c r="C128" s="145">
        <f>SUMIFS(Table2[NewPointsAway],Table2[GameDate], "&lt;=" &amp; $A128, Table2[AwayTeam], C$1)+SUMIFS(Table2[NewPointsHome],Table2[GameDate], "&lt;=" &amp; $A128, Table2[HomeTeam], C$1)</f>
        <v>6</v>
      </c>
      <c r="D128" s="145">
        <f>SUMIFS(Table2[NewPointsAway],Table2[GameDate], "&lt;=" &amp; $A128, Table2[AwayTeam], D$1)+SUMIFS(Table2[NewPointsHome],Table2[GameDate], "&lt;=" &amp; $A128, Table2[HomeTeam], D$1)</f>
        <v>4</v>
      </c>
      <c r="E128" s="145">
        <f>SUMIFS(Table2[NewPointsAway],Table2[GameDate], "&lt;=" &amp; $A128, Table2[AwayTeam], E$1)+SUMIFS(Table2[NewPointsHome],Table2[GameDate], "&lt;=" &amp; $A128, Table2[HomeTeam], E$1)</f>
        <v>10</v>
      </c>
      <c r="F128" s="145">
        <f>SUMIFS(Table2[NewPointsAway],Table2[GameDate], "&lt;=" &amp; $A128, Table2[AwayTeam], F$1)+SUMIFS(Table2[NewPointsHome],Table2[GameDate], "&lt;=" &amp; $A128, Table2[HomeTeam], F$1)</f>
        <v>6</v>
      </c>
      <c r="G128" s="145">
        <f>SUMIFS(Table2[NewPointsAway],Table2[GameDate], "&lt;=" &amp; $A128, Table2[AwayTeam], G$1)+SUMIFS(Table2[NewPointsHome],Table2[GameDate], "&lt;=" &amp; $A128, Table2[HomeTeam], G$1)</f>
        <v>2</v>
      </c>
      <c r="H128" s="145">
        <f>SUMIFS(Table2[NewPointsAway],Table2[GameDate], "&lt;=" &amp; $A128, Table2[AwayTeam], H$1)+SUMIFS(Table2[NewPointsHome],Table2[GameDate], "&lt;=" &amp; $A128, Table2[HomeTeam], H$1)</f>
        <v>8</v>
      </c>
      <c r="I128" s="145">
        <f>SUMIFS(Table2[NewPointsAway],Table2[GameDate], "&lt;=" &amp; $A128, Table2[AwayTeam], I$1)+SUMIFS(Table2[NewPointsHome],Table2[GameDate], "&lt;=" &amp; $A128, Table2[HomeTeam], I$1)</f>
        <v>12</v>
      </c>
      <c r="J128" s="145">
        <f>SUMIFS(Table2[NewPointsAway],Table2[GameDate], "&lt;=" &amp; $A128, Table2[AwayTeam], J$1)+SUMIFS(Table2[NewPointsHome],Table2[GameDate], "&lt;=" &amp; $A128, Table2[HomeTeam], J$1)</f>
        <v>6</v>
      </c>
      <c r="K128" s="145">
        <f>SUMIFS(Table2[NewPointsAway],Table2[GameDate], "&lt;=" &amp; $A128, Table2[AwayTeam], K$1)+SUMIFS(Table2[NewPointsHome],Table2[GameDate], "&lt;=" &amp; $A128, Table2[HomeTeam], K$1)</f>
        <v>10</v>
      </c>
      <c r="L128" s="145">
        <f>SUMIFS(Table2[NewPointsAway],Table2[GameDate], "&lt;=" &amp; $A128, Table2[AwayTeam], L$1)+SUMIFS(Table2[NewPointsHome],Table2[GameDate], "&lt;=" &amp; $A128, Table2[HomeTeam], L$1)</f>
        <v>7</v>
      </c>
      <c r="M128" s="145">
        <f>SUMIFS(Table2[NewPointsAway],Table2[GameDate], "&lt;=" &amp; $A128, Table2[AwayTeam], M$1)+SUMIFS(Table2[NewPointsHome],Table2[GameDate], "&lt;=" &amp; $A128, Table2[HomeTeam], M$1)</f>
        <v>8</v>
      </c>
      <c r="N128" s="145">
        <f>SUMIFS(Table2[NewPointsAway],Table2[GameDate], "&lt;=" &amp; $A128, Table2[AwayTeam], N$1)+SUMIFS(Table2[NewPointsHome],Table2[GameDate], "&lt;=" &amp; $A128, Table2[HomeTeam], N$1)</f>
        <v>6</v>
      </c>
      <c r="O128" s="145">
        <f>SUMIFS(Table2[NewPointsAway],Table2[GameDate], "&lt;=" &amp; $A128, Table2[AwayTeam], O$1)+SUMIFS(Table2[NewPointsHome],Table2[GameDate], "&lt;=" &amp; $A128, Table2[HomeTeam], O$1)</f>
        <v>7</v>
      </c>
      <c r="P128" s="145">
        <f>SUMIFS(Table2[NewPointsAway],Table2[GameDate], "&lt;=" &amp; $A128, Table2[AwayTeam], P$1)+SUMIFS(Table2[NewPointsHome],Table2[GameDate], "&lt;=" &amp; $A128, Table2[HomeTeam], P$1)</f>
        <v>10</v>
      </c>
      <c r="Q128" s="145">
        <f>SUMIFS(Table2[NewPointsAway],Table2[GameDate], "&lt;=" &amp; $A128, Table2[AwayTeam], Q$1)+SUMIFS(Table2[NewPointsHome],Table2[GameDate], "&lt;=" &amp; $A128, Table2[HomeTeam], Q$1)</f>
        <v>10</v>
      </c>
      <c r="R128" s="145">
        <f>SUMIFS(Table2[NewPointsAway],Table2[GameDate], "&lt;=" &amp; $A128, Table2[AwayTeam], R$1)+SUMIFS(Table2[NewPointsHome],Table2[GameDate], "&lt;=" &amp; $A128, Table2[HomeTeam], R$1)</f>
        <v>6</v>
      </c>
      <c r="S128" s="145">
        <f>SUMIFS(Table2[NewPointsAway],Table2[GameDate], "&lt;=" &amp; $A128, Table2[AwayTeam], S$1)+SUMIFS(Table2[NewPointsHome],Table2[GameDate], "&lt;=" &amp; $A128, Table2[HomeTeam], S$1)</f>
        <v>6</v>
      </c>
      <c r="T128" s="145">
        <f>SUMIFS(Table2[NewPointsAway],Table2[GameDate], "&lt;=" &amp; $A128, Table2[AwayTeam], T$1)+SUMIFS(Table2[NewPointsHome],Table2[GameDate], "&lt;=" &amp; $A128, Table2[HomeTeam], T$1)</f>
        <v>7</v>
      </c>
      <c r="U128" s="145">
        <f>SUMIFS(Table2[NewPointsAway],Table2[GameDate], "&lt;=" &amp; $A128, Table2[AwayTeam], U$1)+SUMIFS(Table2[NewPointsHome],Table2[GameDate], "&lt;=" &amp; $A128, Table2[HomeTeam], U$1)</f>
        <v>5</v>
      </c>
      <c r="V128" s="145">
        <f>SUMIFS(Table2[NewPointsAway],Table2[GameDate], "&lt;=" &amp; $A128, Table2[AwayTeam], V$1)+SUMIFS(Table2[NewPointsHome],Table2[GameDate], "&lt;=" &amp; $A128, Table2[HomeTeam], V$1)</f>
        <v>7</v>
      </c>
      <c r="W128" s="145">
        <f>SUMIFS(Table2[NewPointsAway],Table2[GameDate], "&lt;=" &amp; $A128, Table2[AwayTeam], W$1)+SUMIFS(Table2[NewPointsHome],Table2[GameDate], "&lt;=" &amp; $A128, Table2[HomeTeam], W$1)</f>
        <v>10</v>
      </c>
      <c r="X128" s="145">
        <f>SUMIFS(Table2[NewPointsAway],Table2[GameDate], "&lt;=" &amp; $A128, Table2[AwayTeam], X$1)+SUMIFS(Table2[NewPointsHome],Table2[GameDate], "&lt;=" &amp; $A128, Table2[HomeTeam], X$1)</f>
        <v>8</v>
      </c>
      <c r="Y128" s="145">
        <f>SUMIFS(Table2[NewPointsAway],Table2[GameDate], "&lt;=" &amp; $A128, Table2[AwayTeam], Y$1)+SUMIFS(Table2[NewPointsHome],Table2[GameDate], "&lt;=" &amp; $A128, Table2[HomeTeam], Y$1)</f>
        <v>2</v>
      </c>
      <c r="Z128" s="145">
        <f>SUMIFS(Table2[NewPointsAway],Table2[GameDate], "&lt;=" &amp; $A128, Table2[AwayTeam], Z$1)+SUMIFS(Table2[NewPointsHome],Table2[GameDate], "&lt;=" &amp; $A128, Table2[HomeTeam], Z$1)</f>
        <v>7</v>
      </c>
      <c r="AA128" s="145">
        <f>SUMIFS(Table2[NewPointsAway],Table2[GameDate], "&lt;=" &amp; $A128, Table2[AwayTeam], AA$1)+SUMIFS(Table2[NewPointsHome],Table2[GameDate], "&lt;=" &amp; $A128, Table2[HomeTeam], AA$1)</f>
        <v>4</v>
      </c>
      <c r="AB128" s="145">
        <f>SUMIFS(Table2[NewPointsAway],Table2[GameDate], "&lt;=" &amp; $A128, Table2[AwayTeam], AB$1)+SUMIFS(Table2[NewPointsHome],Table2[GameDate], "&lt;=" &amp; $A128, Table2[HomeTeam], AB$1)</f>
        <v>7</v>
      </c>
      <c r="AC128" s="145">
        <f>SUMIFS(Table2[NewPointsAway],Table2[GameDate], "&lt;=" &amp; $A128, Table2[AwayTeam], AC$1)+SUMIFS(Table2[NewPointsHome],Table2[GameDate], "&lt;=" &amp; $A128, Table2[HomeTeam], AC$1)</f>
        <v>10</v>
      </c>
      <c r="AD128" s="145">
        <f>SUMIFS(Table2[NewPointsAway],Table2[GameDate], "&lt;=" &amp; $A128, Table2[AwayTeam], AD$1)+SUMIFS(Table2[NewPointsHome],Table2[GameDate], "&lt;=" &amp; $A128, Table2[HomeTeam], AD$1)</f>
        <v>8</v>
      </c>
      <c r="AE128" s="145">
        <f>SUMIFS(Table2[NewPointsAway],Table2[GameDate], "&lt;=" &amp; $A128, Table2[AwayTeam], AE$1)+SUMIFS(Table2[NewPointsHome],Table2[GameDate], "&lt;=" &amp; $A128, Table2[HomeTeam], AE$1)</f>
        <v>12</v>
      </c>
      <c r="AF128" s="145">
        <f>SUMIFS(Table2[NewPointsAway],Table2[GameDate], "&lt;=" &amp; $A128, Table2[AwayTeam], AF$1)+SUMIFS(Table2[NewPointsHome],Table2[GameDate], "&lt;=" &amp; $A128, Table2[HomeTeam], AF$1)</f>
        <v>10</v>
      </c>
      <c r="AG128" s="145">
        <f>SUMIFS(Table2[NewPointsAway],Table2[GameDate], "&lt;=" &amp; $A128, Table2[AwayTeam], AG$1)+SUMIFS(Table2[NewPointsHome],Table2[GameDate], "&lt;=" &amp; $A128, Table2[HomeTeam], AG$1)</f>
        <v>10</v>
      </c>
    </row>
    <row r="129" spans="1:33" x14ac:dyDescent="0.25">
      <c r="A129" s="3">
        <v>46060</v>
      </c>
      <c r="B129" s="145">
        <f>SUMIFS(Table2[NewPointsAway],Table2[GameDate], "&lt;=" &amp; $A129, Table2[AwayTeam], B$1)+SUMIFS(Table2[NewPointsHome],Table2[GameDate], "&lt;=" &amp; $A129, Table2[HomeTeam], B$1)</f>
        <v>7</v>
      </c>
      <c r="C129" s="145">
        <f>SUMIFS(Table2[NewPointsAway],Table2[GameDate], "&lt;=" &amp; $A129, Table2[AwayTeam], C$1)+SUMIFS(Table2[NewPointsHome],Table2[GameDate], "&lt;=" &amp; $A129, Table2[HomeTeam], C$1)</f>
        <v>6</v>
      </c>
      <c r="D129" s="145">
        <f>SUMIFS(Table2[NewPointsAway],Table2[GameDate], "&lt;=" &amp; $A129, Table2[AwayTeam], D$1)+SUMIFS(Table2[NewPointsHome],Table2[GameDate], "&lt;=" &amp; $A129, Table2[HomeTeam], D$1)</f>
        <v>4</v>
      </c>
      <c r="E129" s="145">
        <f>SUMIFS(Table2[NewPointsAway],Table2[GameDate], "&lt;=" &amp; $A129, Table2[AwayTeam], E$1)+SUMIFS(Table2[NewPointsHome],Table2[GameDate], "&lt;=" &amp; $A129, Table2[HomeTeam], E$1)</f>
        <v>10</v>
      </c>
      <c r="F129" s="145">
        <f>SUMIFS(Table2[NewPointsAway],Table2[GameDate], "&lt;=" &amp; $A129, Table2[AwayTeam], F$1)+SUMIFS(Table2[NewPointsHome],Table2[GameDate], "&lt;=" &amp; $A129, Table2[HomeTeam], F$1)</f>
        <v>6</v>
      </c>
      <c r="G129" s="145">
        <f>SUMIFS(Table2[NewPointsAway],Table2[GameDate], "&lt;=" &amp; $A129, Table2[AwayTeam], G$1)+SUMIFS(Table2[NewPointsHome],Table2[GameDate], "&lt;=" &amp; $A129, Table2[HomeTeam], G$1)</f>
        <v>2</v>
      </c>
      <c r="H129" s="145">
        <f>SUMIFS(Table2[NewPointsAway],Table2[GameDate], "&lt;=" &amp; $A129, Table2[AwayTeam], H$1)+SUMIFS(Table2[NewPointsHome],Table2[GameDate], "&lt;=" &amp; $A129, Table2[HomeTeam], H$1)</f>
        <v>8</v>
      </c>
      <c r="I129" s="145">
        <f>SUMIFS(Table2[NewPointsAway],Table2[GameDate], "&lt;=" &amp; $A129, Table2[AwayTeam], I$1)+SUMIFS(Table2[NewPointsHome],Table2[GameDate], "&lt;=" &amp; $A129, Table2[HomeTeam], I$1)</f>
        <v>12</v>
      </c>
      <c r="J129" s="145">
        <f>SUMIFS(Table2[NewPointsAway],Table2[GameDate], "&lt;=" &amp; $A129, Table2[AwayTeam], J$1)+SUMIFS(Table2[NewPointsHome],Table2[GameDate], "&lt;=" &amp; $A129, Table2[HomeTeam], J$1)</f>
        <v>6</v>
      </c>
      <c r="K129" s="145">
        <f>SUMIFS(Table2[NewPointsAway],Table2[GameDate], "&lt;=" &amp; $A129, Table2[AwayTeam], K$1)+SUMIFS(Table2[NewPointsHome],Table2[GameDate], "&lt;=" &amp; $A129, Table2[HomeTeam], K$1)</f>
        <v>10</v>
      </c>
      <c r="L129" s="145">
        <f>SUMIFS(Table2[NewPointsAway],Table2[GameDate], "&lt;=" &amp; $A129, Table2[AwayTeam], L$1)+SUMIFS(Table2[NewPointsHome],Table2[GameDate], "&lt;=" &amp; $A129, Table2[HomeTeam], L$1)</f>
        <v>7</v>
      </c>
      <c r="M129" s="145">
        <f>SUMIFS(Table2[NewPointsAway],Table2[GameDate], "&lt;=" &amp; $A129, Table2[AwayTeam], M$1)+SUMIFS(Table2[NewPointsHome],Table2[GameDate], "&lt;=" &amp; $A129, Table2[HomeTeam], M$1)</f>
        <v>8</v>
      </c>
      <c r="N129" s="145">
        <f>SUMIFS(Table2[NewPointsAway],Table2[GameDate], "&lt;=" &amp; $A129, Table2[AwayTeam], N$1)+SUMIFS(Table2[NewPointsHome],Table2[GameDate], "&lt;=" &amp; $A129, Table2[HomeTeam], N$1)</f>
        <v>6</v>
      </c>
      <c r="O129" s="145">
        <f>SUMIFS(Table2[NewPointsAway],Table2[GameDate], "&lt;=" &amp; $A129, Table2[AwayTeam], O$1)+SUMIFS(Table2[NewPointsHome],Table2[GameDate], "&lt;=" &amp; $A129, Table2[HomeTeam], O$1)</f>
        <v>7</v>
      </c>
      <c r="P129" s="145">
        <f>SUMIFS(Table2[NewPointsAway],Table2[GameDate], "&lt;=" &amp; $A129, Table2[AwayTeam], P$1)+SUMIFS(Table2[NewPointsHome],Table2[GameDate], "&lt;=" &amp; $A129, Table2[HomeTeam], P$1)</f>
        <v>10</v>
      </c>
      <c r="Q129" s="145">
        <f>SUMIFS(Table2[NewPointsAway],Table2[GameDate], "&lt;=" &amp; $A129, Table2[AwayTeam], Q$1)+SUMIFS(Table2[NewPointsHome],Table2[GameDate], "&lt;=" &amp; $A129, Table2[HomeTeam], Q$1)</f>
        <v>10</v>
      </c>
      <c r="R129" s="145">
        <f>SUMIFS(Table2[NewPointsAway],Table2[GameDate], "&lt;=" &amp; $A129, Table2[AwayTeam], R$1)+SUMIFS(Table2[NewPointsHome],Table2[GameDate], "&lt;=" &amp; $A129, Table2[HomeTeam], R$1)</f>
        <v>6</v>
      </c>
      <c r="S129" s="145">
        <f>SUMIFS(Table2[NewPointsAway],Table2[GameDate], "&lt;=" &amp; $A129, Table2[AwayTeam], S$1)+SUMIFS(Table2[NewPointsHome],Table2[GameDate], "&lt;=" &amp; $A129, Table2[HomeTeam], S$1)</f>
        <v>6</v>
      </c>
      <c r="T129" s="145">
        <f>SUMIFS(Table2[NewPointsAway],Table2[GameDate], "&lt;=" &amp; $A129, Table2[AwayTeam], T$1)+SUMIFS(Table2[NewPointsHome],Table2[GameDate], "&lt;=" &amp; $A129, Table2[HomeTeam], T$1)</f>
        <v>7</v>
      </c>
      <c r="U129" s="145">
        <f>SUMIFS(Table2[NewPointsAway],Table2[GameDate], "&lt;=" &amp; $A129, Table2[AwayTeam], U$1)+SUMIFS(Table2[NewPointsHome],Table2[GameDate], "&lt;=" &amp; $A129, Table2[HomeTeam], U$1)</f>
        <v>5</v>
      </c>
      <c r="V129" s="145">
        <f>SUMIFS(Table2[NewPointsAway],Table2[GameDate], "&lt;=" &amp; $A129, Table2[AwayTeam], V$1)+SUMIFS(Table2[NewPointsHome],Table2[GameDate], "&lt;=" &amp; $A129, Table2[HomeTeam], V$1)</f>
        <v>7</v>
      </c>
      <c r="W129" s="145">
        <f>SUMIFS(Table2[NewPointsAway],Table2[GameDate], "&lt;=" &amp; $A129, Table2[AwayTeam], W$1)+SUMIFS(Table2[NewPointsHome],Table2[GameDate], "&lt;=" &amp; $A129, Table2[HomeTeam], W$1)</f>
        <v>10</v>
      </c>
      <c r="X129" s="145">
        <f>SUMIFS(Table2[NewPointsAway],Table2[GameDate], "&lt;=" &amp; $A129, Table2[AwayTeam], X$1)+SUMIFS(Table2[NewPointsHome],Table2[GameDate], "&lt;=" &amp; $A129, Table2[HomeTeam], X$1)</f>
        <v>8</v>
      </c>
      <c r="Y129" s="145">
        <f>SUMIFS(Table2[NewPointsAway],Table2[GameDate], "&lt;=" &amp; $A129, Table2[AwayTeam], Y$1)+SUMIFS(Table2[NewPointsHome],Table2[GameDate], "&lt;=" &amp; $A129, Table2[HomeTeam], Y$1)</f>
        <v>2</v>
      </c>
      <c r="Z129" s="145">
        <f>SUMIFS(Table2[NewPointsAway],Table2[GameDate], "&lt;=" &amp; $A129, Table2[AwayTeam], Z$1)+SUMIFS(Table2[NewPointsHome],Table2[GameDate], "&lt;=" &amp; $A129, Table2[HomeTeam], Z$1)</f>
        <v>7</v>
      </c>
      <c r="AA129" s="145">
        <f>SUMIFS(Table2[NewPointsAway],Table2[GameDate], "&lt;=" &amp; $A129, Table2[AwayTeam], AA$1)+SUMIFS(Table2[NewPointsHome],Table2[GameDate], "&lt;=" &amp; $A129, Table2[HomeTeam], AA$1)</f>
        <v>4</v>
      </c>
      <c r="AB129" s="145">
        <f>SUMIFS(Table2[NewPointsAway],Table2[GameDate], "&lt;=" &amp; $A129, Table2[AwayTeam], AB$1)+SUMIFS(Table2[NewPointsHome],Table2[GameDate], "&lt;=" &amp; $A129, Table2[HomeTeam], AB$1)</f>
        <v>7</v>
      </c>
      <c r="AC129" s="145">
        <f>SUMIFS(Table2[NewPointsAway],Table2[GameDate], "&lt;=" &amp; $A129, Table2[AwayTeam], AC$1)+SUMIFS(Table2[NewPointsHome],Table2[GameDate], "&lt;=" &amp; $A129, Table2[HomeTeam], AC$1)</f>
        <v>10</v>
      </c>
      <c r="AD129" s="145">
        <f>SUMIFS(Table2[NewPointsAway],Table2[GameDate], "&lt;=" &amp; $A129, Table2[AwayTeam], AD$1)+SUMIFS(Table2[NewPointsHome],Table2[GameDate], "&lt;=" &amp; $A129, Table2[HomeTeam], AD$1)</f>
        <v>8</v>
      </c>
      <c r="AE129" s="145">
        <f>SUMIFS(Table2[NewPointsAway],Table2[GameDate], "&lt;=" &amp; $A129, Table2[AwayTeam], AE$1)+SUMIFS(Table2[NewPointsHome],Table2[GameDate], "&lt;=" &amp; $A129, Table2[HomeTeam], AE$1)</f>
        <v>12</v>
      </c>
      <c r="AF129" s="145">
        <f>SUMIFS(Table2[NewPointsAway],Table2[GameDate], "&lt;=" &amp; $A129, Table2[AwayTeam], AF$1)+SUMIFS(Table2[NewPointsHome],Table2[GameDate], "&lt;=" &amp; $A129, Table2[HomeTeam], AF$1)</f>
        <v>10</v>
      </c>
      <c r="AG129" s="145">
        <f>SUMIFS(Table2[NewPointsAway],Table2[GameDate], "&lt;=" &amp; $A129, Table2[AwayTeam], AG$1)+SUMIFS(Table2[NewPointsHome],Table2[GameDate], "&lt;=" &amp; $A129, Table2[HomeTeam], AG$1)</f>
        <v>10</v>
      </c>
    </row>
    <row r="130" spans="1:33" x14ac:dyDescent="0.25">
      <c r="A130" s="3">
        <v>46061</v>
      </c>
      <c r="B130" s="145">
        <f>SUMIFS(Table2[NewPointsAway],Table2[GameDate], "&lt;=" &amp; $A130, Table2[AwayTeam], B$1)+SUMIFS(Table2[NewPointsHome],Table2[GameDate], "&lt;=" &amp; $A130, Table2[HomeTeam], B$1)</f>
        <v>7</v>
      </c>
      <c r="C130" s="145">
        <f>SUMIFS(Table2[NewPointsAway],Table2[GameDate], "&lt;=" &amp; $A130, Table2[AwayTeam], C$1)+SUMIFS(Table2[NewPointsHome],Table2[GameDate], "&lt;=" &amp; $A130, Table2[HomeTeam], C$1)</f>
        <v>6</v>
      </c>
      <c r="D130" s="145">
        <f>SUMIFS(Table2[NewPointsAway],Table2[GameDate], "&lt;=" &amp; $A130, Table2[AwayTeam], D$1)+SUMIFS(Table2[NewPointsHome],Table2[GameDate], "&lt;=" &amp; $A130, Table2[HomeTeam], D$1)</f>
        <v>4</v>
      </c>
      <c r="E130" s="145">
        <f>SUMIFS(Table2[NewPointsAway],Table2[GameDate], "&lt;=" &amp; $A130, Table2[AwayTeam], E$1)+SUMIFS(Table2[NewPointsHome],Table2[GameDate], "&lt;=" &amp; $A130, Table2[HomeTeam], E$1)</f>
        <v>10</v>
      </c>
      <c r="F130" s="145">
        <f>SUMIFS(Table2[NewPointsAway],Table2[GameDate], "&lt;=" &amp; $A130, Table2[AwayTeam], F$1)+SUMIFS(Table2[NewPointsHome],Table2[GameDate], "&lt;=" &amp; $A130, Table2[HomeTeam], F$1)</f>
        <v>6</v>
      </c>
      <c r="G130" s="145">
        <f>SUMIFS(Table2[NewPointsAway],Table2[GameDate], "&lt;=" &amp; $A130, Table2[AwayTeam], G$1)+SUMIFS(Table2[NewPointsHome],Table2[GameDate], "&lt;=" &amp; $A130, Table2[HomeTeam], G$1)</f>
        <v>2</v>
      </c>
      <c r="H130" s="145">
        <f>SUMIFS(Table2[NewPointsAway],Table2[GameDate], "&lt;=" &amp; $A130, Table2[AwayTeam], H$1)+SUMIFS(Table2[NewPointsHome],Table2[GameDate], "&lt;=" &amp; $A130, Table2[HomeTeam], H$1)</f>
        <v>8</v>
      </c>
      <c r="I130" s="145">
        <f>SUMIFS(Table2[NewPointsAway],Table2[GameDate], "&lt;=" &amp; $A130, Table2[AwayTeam], I$1)+SUMIFS(Table2[NewPointsHome],Table2[GameDate], "&lt;=" &amp; $A130, Table2[HomeTeam], I$1)</f>
        <v>12</v>
      </c>
      <c r="J130" s="145">
        <f>SUMIFS(Table2[NewPointsAway],Table2[GameDate], "&lt;=" &amp; $A130, Table2[AwayTeam], J$1)+SUMIFS(Table2[NewPointsHome],Table2[GameDate], "&lt;=" &amp; $A130, Table2[HomeTeam], J$1)</f>
        <v>6</v>
      </c>
      <c r="K130" s="145">
        <f>SUMIFS(Table2[NewPointsAway],Table2[GameDate], "&lt;=" &amp; $A130, Table2[AwayTeam], K$1)+SUMIFS(Table2[NewPointsHome],Table2[GameDate], "&lt;=" &amp; $A130, Table2[HomeTeam], K$1)</f>
        <v>10</v>
      </c>
      <c r="L130" s="145">
        <f>SUMIFS(Table2[NewPointsAway],Table2[GameDate], "&lt;=" &amp; $A130, Table2[AwayTeam], L$1)+SUMIFS(Table2[NewPointsHome],Table2[GameDate], "&lt;=" &amp; $A130, Table2[HomeTeam], L$1)</f>
        <v>7</v>
      </c>
      <c r="M130" s="145">
        <f>SUMIFS(Table2[NewPointsAway],Table2[GameDate], "&lt;=" &amp; $A130, Table2[AwayTeam], M$1)+SUMIFS(Table2[NewPointsHome],Table2[GameDate], "&lt;=" &amp; $A130, Table2[HomeTeam], M$1)</f>
        <v>8</v>
      </c>
      <c r="N130" s="145">
        <f>SUMIFS(Table2[NewPointsAway],Table2[GameDate], "&lt;=" &amp; $A130, Table2[AwayTeam], N$1)+SUMIFS(Table2[NewPointsHome],Table2[GameDate], "&lt;=" &amp; $A130, Table2[HomeTeam], N$1)</f>
        <v>6</v>
      </c>
      <c r="O130" s="145">
        <f>SUMIFS(Table2[NewPointsAway],Table2[GameDate], "&lt;=" &amp; $A130, Table2[AwayTeam], O$1)+SUMIFS(Table2[NewPointsHome],Table2[GameDate], "&lt;=" &amp; $A130, Table2[HomeTeam], O$1)</f>
        <v>7</v>
      </c>
      <c r="P130" s="145">
        <f>SUMIFS(Table2[NewPointsAway],Table2[GameDate], "&lt;=" &amp; $A130, Table2[AwayTeam], P$1)+SUMIFS(Table2[NewPointsHome],Table2[GameDate], "&lt;=" &amp; $A130, Table2[HomeTeam], P$1)</f>
        <v>10</v>
      </c>
      <c r="Q130" s="145">
        <f>SUMIFS(Table2[NewPointsAway],Table2[GameDate], "&lt;=" &amp; $A130, Table2[AwayTeam], Q$1)+SUMIFS(Table2[NewPointsHome],Table2[GameDate], "&lt;=" &amp; $A130, Table2[HomeTeam], Q$1)</f>
        <v>10</v>
      </c>
      <c r="R130" s="145">
        <f>SUMIFS(Table2[NewPointsAway],Table2[GameDate], "&lt;=" &amp; $A130, Table2[AwayTeam], R$1)+SUMIFS(Table2[NewPointsHome],Table2[GameDate], "&lt;=" &amp; $A130, Table2[HomeTeam], R$1)</f>
        <v>6</v>
      </c>
      <c r="S130" s="145">
        <f>SUMIFS(Table2[NewPointsAway],Table2[GameDate], "&lt;=" &amp; $A130, Table2[AwayTeam], S$1)+SUMIFS(Table2[NewPointsHome],Table2[GameDate], "&lt;=" &amp; $A130, Table2[HomeTeam], S$1)</f>
        <v>6</v>
      </c>
      <c r="T130" s="145">
        <f>SUMIFS(Table2[NewPointsAway],Table2[GameDate], "&lt;=" &amp; $A130, Table2[AwayTeam], T$1)+SUMIFS(Table2[NewPointsHome],Table2[GameDate], "&lt;=" &amp; $A130, Table2[HomeTeam], T$1)</f>
        <v>7</v>
      </c>
      <c r="U130" s="145">
        <f>SUMIFS(Table2[NewPointsAway],Table2[GameDate], "&lt;=" &amp; $A130, Table2[AwayTeam], U$1)+SUMIFS(Table2[NewPointsHome],Table2[GameDate], "&lt;=" &amp; $A130, Table2[HomeTeam], U$1)</f>
        <v>5</v>
      </c>
      <c r="V130" s="145">
        <f>SUMIFS(Table2[NewPointsAway],Table2[GameDate], "&lt;=" &amp; $A130, Table2[AwayTeam], V$1)+SUMIFS(Table2[NewPointsHome],Table2[GameDate], "&lt;=" &amp; $A130, Table2[HomeTeam], V$1)</f>
        <v>7</v>
      </c>
      <c r="W130" s="145">
        <f>SUMIFS(Table2[NewPointsAway],Table2[GameDate], "&lt;=" &amp; $A130, Table2[AwayTeam], W$1)+SUMIFS(Table2[NewPointsHome],Table2[GameDate], "&lt;=" &amp; $A130, Table2[HomeTeam], W$1)</f>
        <v>10</v>
      </c>
      <c r="X130" s="145">
        <f>SUMIFS(Table2[NewPointsAway],Table2[GameDate], "&lt;=" &amp; $A130, Table2[AwayTeam], X$1)+SUMIFS(Table2[NewPointsHome],Table2[GameDate], "&lt;=" &amp; $A130, Table2[HomeTeam], X$1)</f>
        <v>8</v>
      </c>
      <c r="Y130" s="145">
        <f>SUMIFS(Table2[NewPointsAway],Table2[GameDate], "&lt;=" &amp; $A130, Table2[AwayTeam], Y$1)+SUMIFS(Table2[NewPointsHome],Table2[GameDate], "&lt;=" &amp; $A130, Table2[HomeTeam], Y$1)</f>
        <v>2</v>
      </c>
      <c r="Z130" s="145">
        <f>SUMIFS(Table2[NewPointsAway],Table2[GameDate], "&lt;=" &amp; $A130, Table2[AwayTeam], Z$1)+SUMIFS(Table2[NewPointsHome],Table2[GameDate], "&lt;=" &amp; $A130, Table2[HomeTeam], Z$1)</f>
        <v>7</v>
      </c>
      <c r="AA130" s="145">
        <f>SUMIFS(Table2[NewPointsAway],Table2[GameDate], "&lt;=" &amp; $A130, Table2[AwayTeam], AA$1)+SUMIFS(Table2[NewPointsHome],Table2[GameDate], "&lt;=" &amp; $A130, Table2[HomeTeam], AA$1)</f>
        <v>4</v>
      </c>
      <c r="AB130" s="145">
        <f>SUMIFS(Table2[NewPointsAway],Table2[GameDate], "&lt;=" &amp; $A130, Table2[AwayTeam], AB$1)+SUMIFS(Table2[NewPointsHome],Table2[GameDate], "&lt;=" &amp; $A130, Table2[HomeTeam], AB$1)</f>
        <v>7</v>
      </c>
      <c r="AC130" s="145">
        <f>SUMIFS(Table2[NewPointsAway],Table2[GameDate], "&lt;=" &amp; $A130, Table2[AwayTeam], AC$1)+SUMIFS(Table2[NewPointsHome],Table2[GameDate], "&lt;=" &amp; $A130, Table2[HomeTeam], AC$1)</f>
        <v>10</v>
      </c>
      <c r="AD130" s="145">
        <f>SUMIFS(Table2[NewPointsAway],Table2[GameDate], "&lt;=" &amp; $A130, Table2[AwayTeam], AD$1)+SUMIFS(Table2[NewPointsHome],Table2[GameDate], "&lt;=" &amp; $A130, Table2[HomeTeam], AD$1)</f>
        <v>8</v>
      </c>
      <c r="AE130" s="145">
        <f>SUMIFS(Table2[NewPointsAway],Table2[GameDate], "&lt;=" &amp; $A130, Table2[AwayTeam], AE$1)+SUMIFS(Table2[NewPointsHome],Table2[GameDate], "&lt;=" &amp; $A130, Table2[HomeTeam], AE$1)</f>
        <v>12</v>
      </c>
      <c r="AF130" s="145">
        <f>SUMIFS(Table2[NewPointsAway],Table2[GameDate], "&lt;=" &amp; $A130, Table2[AwayTeam], AF$1)+SUMIFS(Table2[NewPointsHome],Table2[GameDate], "&lt;=" &amp; $A130, Table2[HomeTeam], AF$1)</f>
        <v>10</v>
      </c>
      <c r="AG130" s="145">
        <f>SUMIFS(Table2[NewPointsAway],Table2[GameDate], "&lt;=" &amp; $A130, Table2[AwayTeam], AG$1)+SUMIFS(Table2[NewPointsHome],Table2[GameDate], "&lt;=" &amp; $A130, Table2[HomeTeam], AG$1)</f>
        <v>10</v>
      </c>
    </row>
    <row r="131" spans="1:33" x14ac:dyDescent="0.25">
      <c r="A131" s="3">
        <v>46062</v>
      </c>
      <c r="B131" s="145">
        <f>SUMIFS(Table2[NewPointsAway],Table2[GameDate], "&lt;=" &amp; $A131, Table2[AwayTeam], B$1)+SUMIFS(Table2[NewPointsHome],Table2[GameDate], "&lt;=" &amp; $A131, Table2[HomeTeam], B$1)</f>
        <v>7</v>
      </c>
      <c r="C131" s="145">
        <f>SUMIFS(Table2[NewPointsAway],Table2[GameDate], "&lt;=" &amp; $A131, Table2[AwayTeam], C$1)+SUMIFS(Table2[NewPointsHome],Table2[GameDate], "&lt;=" &amp; $A131, Table2[HomeTeam], C$1)</f>
        <v>6</v>
      </c>
      <c r="D131" s="145">
        <f>SUMIFS(Table2[NewPointsAway],Table2[GameDate], "&lt;=" &amp; $A131, Table2[AwayTeam], D$1)+SUMIFS(Table2[NewPointsHome],Table2[GameDate], "&lt;=" &amp; $A131, Table2[HomeTeam], D$1)</f>
        <v>4</v>
      </c>
      <c r="E131" s="145">
        <f>SUMIFS(Table2[NewPointsAway],Table2[GameDate], "&lt;=" &amp; $A131, Table2[AwayTeam], E$1)+SUMIFS(Table2[NewPointsHome],Table2[GameDate], "&lt;=" &amp; $A131, Table2[HomeTeam], E$1)</f>
        <v>10</v>
      </c>
      <c r="F131" s="145">
        <f>SUMIFS(Table2[NewPointsAway],Table2[GameDate], "&lt;=" &amp; $A131, Table2[AwayTeam], F$1)+SUMIFS(Table2[NewPointsHome],Table2[GameDate], "&lt;=" &amp; $A131, Table2[HomeTeam], F$1)</f>
        <v>6</v>
      </c>
      <c r="G131" s="145">
        <f>SUMIFS(Table2[NewPointsAway],Table2[GameDate], "&lt;=" &amp; $A131, Table2[AwayTeam], G$1)+SUMIFS(Table2[NewPointsHome],Table2[GameDate], "&lt;=" &amp; $A131, Table2[HomeTeam], G$1)</f>
        <v>2</v>
      </c>
      <c r="H131" s="145">
        <f>SUMIFS(Table2[NewPointsAway],Table2[GameDate], "&lt;=" &amp; $A131, Table2[AwayTeam], H$1)+SUMIFS(Table2[NewPointsHome],Table2[GameDate], "&lt;=" &amp; $A131, Table2[HomeTeam], H$1)</f>
        <v>8</v>
      </c>
      <c r="I131" s="145">
        <f>SUMIFS(Table2[NewPointsAway],Table2[GameDate], "&lt;=" &amp; $A131, Table2[AwayTeam], I$1)+SUMIFS(Table2[NewPointsHome],Table2[GameDate], "&lt;=" &amp; $A131, Table2[HomeTeam], I$1)</f>
        <v>12</v>
      </c>
      <c r="J131" s="145">
        <f>SUMIFS(Table2[NewPointsAway],Table2[GameDate], "&lt;=" &amp; $A131, Table2[AwayTeam], J$1)+SUMIFS(Table2[NewPointsHome],Table2[GameDate], "&lt;=" &amp; $A131, Table2[HomeTeam], J$1)</f>
        <v>6</v>
      </c>
      <c r="K131" s="145">
        <f>SUMIFS(Table2[NewPointsAway],Table2[GameDate], "&lt;=" &amp; $A131, Table2[AwayTeam], K$1)+SUMIFS(Table2[NewPointsHome],Table2[GameDate], "&lt;=" &amp; $A131, Table2[HomeTeam], K$1)</f>
        <v>10</v>
      </c>
      <c r="L131" s="145">
        <f>SUMIFS(Table2[NewPointsAway],Table2[GameDate], "&lt;=" &amp; $A131, Table2[AwayTeam], L$1)+SUMIFS(Table2[NewPointsHome],Table2[GameDate], "&lt;=" &amp; $A131, Table2[HomeTeam], L$1)</f>
        <v>7</v>
      </c>
      <c r="M131" s="145">
        <f>SUMIFS(Table2[NewPointsAway],Table2[GameDate], "&lt;=" &amp; $A131, Table2[AwayTeam], M$1)+SUMIFS(Table2[NewPointsHome],Table2[GameDate], "&lt;=" &amp; $A131, Table2[HomeTeam], M$1)</f>
        <v>8</v>
      </c>
      <c r="N131" s="145">
        <f>SUMIFS(Table2[NewPointsAway],Table2[GameDate], "&lt;=" &amp; $A131, Table2[AwayTeam], N$1)+SUMIFS(Table2[NewPointsHome],Table2[GameDate], "&lt;=" &amp; $A131, Table2[HomeTeam], N$1)</f>
        <v>6</v>
      </c>
      <c r="O131" s="145">
        <f>SUMIFS(Table2[NewPointsAway],Table2[GameDate], "&lt;=" &amp; $A131, Table2[AwayTeam], O$1)+SUMIFS(Table2[NewPointsHome],Table2[GameDate], "&lt;=" &amp; $A131, Table2[HomeTeam], O$1)</f>
        <v>7</v>
      </c>
      <c r="P131" s="145">
        <f>SUMIFS(Table2[NewPointsAway],Table2[GameDate], "&lt;=" &amp; $A131, Table2[AwayTeam], P$1)+SUMIFS(Table2[NewPointsHome],Table2[GameDate], "&lt;=" &amp; $A131, Table2[HomeTeam], P$1)</f>
        <v>10</v>
      </c>
      <c r="Q131" s="145">
        <f>SUMIFS(Table2[NewPointsAway],Table2[GameDate], "&lt;=" &amp; $A131, Table2[AwayTeam], Q$1)+SUMIFS(Table2[NewPointsHome],Table2[GameDate], "&lt;=" &amp; $A131, Table2[HomeTeam], Q$1)</f>
        <v>10</v>
      </c>
      <c r="R131" s="145">
        <f>SUMIFS(Table2[NewPointsAway],Table2[GameDate], "&lt;=" &amp; $A131, Table2[AwayTeam], R$1)+SUMIFS(Table2[NewPointsHome],Table2[GameDate], "&lt;=" &amp; $A131, Table2[HomeTeam], R$1)</f>
        <v>6</v>
      </c>
      <c r="S131" s="145">
        <f>SUMIFS(Table2[NewPointsAway],Table2[GameDate], "&lt;=" &amp; $A131, Table2[AwayTeam], S$1)+SUMIFS(Table2[NewPointsHome],Table2[GameDate], "&lt;=" &amp; $A131, Table2[HomeTeam], S$1)</f>
        <v>6</v>
      </c>
      <c r="T131" s="145">
        <f>SUMIFS(Table2[NewPointsAway],Table2[GameDate], "&lt;=" &amp; $A131, Table2[AwayTeam], T$1)+SUMIFS(Table2[NewPointsHome],Table2[GameDate], "&lt;=" &amp; $A131, Table2[HomeTeam], T$1)</f>
        <v>7</v>
      </c>
      <c r="U131" s="145">
        <f>SUMIFS(Table2[NewPointsAway],Table2[GameDate], "&lt;=" &amp; $A131, Table2[AwayTeam], U$1)+SUMIFS(Table2[NewPointsHome],Table2[GameDate], "&lt;=" &amp; $A131, Table2[HomeTeam], U$1)</f>
        <v>5</v>
      </c>
      <c r="V131" s="145">
        <f>SUMIFS(Table2[NewPointsAway],Table2[GameDate], "&lt;=" &amp; $A131, Table2[AwayTeam], V$1)+SUMIFS(Table2[NewPointsHome],Table2[GameDate], "&lt;=" &amp; $A131, Table2[HomeTeam], V$1)</f>
        <v>7</v>
      </c>
      <c r="W131" s="145">
        <f>SUMIFS(Table2[NewPointsAway],Table2[GameDate], "&lt;=" &amp; $A131, Table2[AwayTeam], W$1)+SUMIFS(Table2[NewPointsHome],Table2[GameDate], "&lt;=" &amp; $A131, Table2[HomeTeam], W$1)</f>
        <v>10</v>
      </c>
      <c r="X131" s="145">
        <f>SUMIFS(Table2[NewPointsAway],Table2[GameDate], "&lt;=" &amp; $A131, Table2[AwayTeam], X$1)+SUMIFS(Table2[NewPointsHome],Table2[GameDate], "&lt;=" &amp; $A131, Table2[HomeTeam], X$1)</f>
        <v>8</v>
      </c>
      <c r="Y131" s="145">
        <f>SUMIFS(Table2[NewPointsAway],Table2[GameDate], "&lt;=" &amp; $A131, Table2[AwayTeam], Y$1)+SUMIFS(Table2[NewPointsHome],Table2[GameDate], "&lt;=" &amp; $A131, Table2[HomeTeam], Y$1)</f>
        <v>2</v>
      </c>
      <c r="Z131" s="145">
        <f>SUMIFS(Table2[NewPointsAway],Table2[GameDate], "&lt;=" &amp; $A131, Table2[AwayTeam], Z$1)+SUMIFS(Table2[NewPointsHome],Table2[GameDate], "&lt;=" &amp; $A131, Table2[HomeTeam], Z$1)</f>
        <v>7</v>
      </c>
      <c r="AA131" s="145">
        <f>SUMIFS(Table2[NewPointsAway],Table2[GameDate], "&lt;=" &amp; $A131, Table2[AwayTeam], AA$1)+SUMIFS(Table2[NewPointsHome],Table2[GameDate], "&lt;=" &amp; $A131, Table2[HomeTeam], AA$1)</f>
        <v>4</v>
      </c>
      <c r="AB131" s="145">
        <f>SUMIFS(Table2[NewPointsAway],Table2[GameDate], "&lt;=" &amp; $A131, Table2[AwayTeam], AB$1)+SUMIFS(Table2[NewPointsHome],Table2[GameDate], "&lt;=" &amp; $A131, Table2[HomeTeam], AB$1)</f>
        <v>7</v>
      </c>
      <c r="AC131" s="145">
        <f>SUMIFS(Table2[NewPointsAway],Table2[GameDate], "&lt;=" &amp; $A131, Table2[AwayTeam], AC$1)+SUMIFS(Table2[NewPointsHome],Table2[GameDate], "&lt;=" &amp; $A131, Table2[HomeTeam], AC$1)</f>
        <v>10</v>
      </c>
      <c r="AD131" s="145">
        <f>SUMIFS(Table2[NewPointsAway],Table2[GameDate], "&lt;=" &amp; $A131, Table2[AwayTeam], AD$1)+SUMIFS(Table2[NewPointsHome],Table2[GameDate], "&lt;=" &amp; $A131, Table2[HomeTeam], AD$1)</f>
        <v>8</v>
      </c>
      <c r="AE131" s="145">
        <f>SUMIFS(Table2[NewPointsAway],Table2[GameDate], "&lt;=" &amp; $A131, Table2[AwayTeam], AE$1)+SUMIFS(Table2[NewPointsHome],Table2[GameDate], "&lt;=" &amp; $A131, Table2[HomeTeam], AE$1)</f>
        <v>12</v>
      </c>
      <c r="AF131" s="145">
        <f>SUMIFS(Table2[NewPointsAway],Table2[GameDate], "&lt;=" &amp; $A131, Table2[AwayTeam], AF$1)+SUMIFS(Table2[NewPointsHome],Table2[GameDate], "&lt;=" &amp; $A131, Table2[HomeTeam], AF$1)</f>
        <v>10</v>
      </c>
      <c r="AG131" s="145">
        <f>SUMIFS(Table2[NewPointsAway],Table2[GameDate], "&lt;=" &amp; $A131, Table2[AwayTeam], AG$1)+SUMIFS(Table2[NewPointsHome],Table2[GameDate], "&lt;=" &amp; $A131, Table2[HomeTeam], AG$1)</f>
        <v>10</v>
      </c>
    </row>
    <row r="132" spans="1:33" x14ac:dyDescent="0.25">
      <c r="A132" s="3">
        <v>46063</v>
      </c>
      <c r="B132" s="145">
        <f>SUMIFS(Table2[NewPointsAway],Table2[GameDate], "&lt;=" &amp; $A132, Table2[AwayTeam], B$1)+SUMIFS(Table2[NewPointsHome],Table2[GameDate], "&lt;=" &amp; $A132, Table2[HomeTeam], B$1)</f>
        <v>7</v>
      </c>
      <c r="C132" s="145">
        <f>SUMIFS(Table2[NewPointsAway],Table2[GameDate], "&lt;=" &amp; $A132, Table2[AwayTeam], C$1)+SUMIFS(Table2[NewPointsHome],Table2[GameDate], "&lt;=" &amp; $A132, Table2[HomeTeam], C$1)</f>
        <v>6</v>
      </c>
      <c r="D132" s="145">
        <f>SUMIFS(Table2[NewPointsAway],Table2[GameDate], "&lt;=" &amp; $A132, Table2[AwayTeam], D$1)+SUMIFS(Table2[NewPointsHome],Table2[GameDate], "&lt;=" &amp; $A132, Table2[HomeTeam], D$1)</f>
        <v>4</v>
      </c>
      <c r="E132" s="145">
        <f>SUMIFS(Table2[NewPointsAway],Table2[GameDate], "&lt;=" &amp; $A132, Table2[AwayTeam], E$1)+SUMIFS(Table2[NewPointsHome],Table2[GameDate], "&lt;=" &amp; $A132, Table2[HomeTeam], E$1)</f>
        <v>10</v>
      </c>
      <c r="F132" s="145">
        <f>SUMIFS(Table2[NewPointsAway],Table2[GameDate], "&lt;=" &amp; $A132, Table2[AwayTeam], F$1)+SUMIFS(Table2[NewPointsHome],Table2[GameDate], "&lt;=" &amp; $A132, Table2[HomeTeam], F$1)</f>
        <v>6</v>
      </c>
      <c r="G132" s="145">
        <f>SUMIFS(Table2[NewPointsAway],Table2[GameDate], "&lt;=" &amp; $A132, Table2[AwayTeam], G$1)+SUMIFS(Table2[NewPointsHome],Table2[GameDate], "&lt;=" &amp; $A132, Table2[HomeTeam], G$1)</f>
        <v>2</v>
      </c>
      <c r="H132" s="145">
        <f>SUMIFS(Table2[NewPointsAway],Table2[GameDate], "&lt;=" &amp; $A132, Table2[AwayTeam], H$1)+SUMIFS(Table2[NewPointsHome],Table2[GameDate], "&lt;=" &amp; $A132, Table2[HomeTeam], H$1)</f>
        <v>8</v>
      </c>
      <c r="I132" s="145">
        <f>SUMIFS(Table2[NewPointsAway],Table2[GameDate], "&lt;=" &amp; $A132, Table2[AwayTeam], I$1)+SUMIFS(Table2[NewPointsHome],Table2[GameDate], "&lt;=" &amp; $A132, Table2[HomeTeam], I$1)</f>
        <v>12</v>
      </c>
      <c r="J132" s="145">
        <f>SUMIFS(Table2[NewPointsAway],Table2[GameDate], "&lt;=" &amp; $A132, Table2[AwayTeam], J$1)+SUMIFS(Table2[NewPointsHome],Table2[GameDate], "&lt;=" &amp; $A132, Table2[HomeTeam], J$1)</f>
        <v>6</v>
      </c>
      <c r="K132" s="145">
        <f>SUMIFS(Table2[NewPointsAway],Table2[GameDate], "&lt;=" &amp; $A132, Table2[AwayTeam], K$1)+SUMIFS(Table2[NewPointsHome],Table2[GameDate], "&lt;=" &amp; $A132, Table2[HomeTeam], K$1)</f>
        <v>10</v>
      </c>
      <c r="L132" s="145">
        <f>SUMIFS(Table2[NewPointsAway],Table2[GameDate], "&lt;=" &amp; $A132, Table2[AwayTeam], L$1)+SUMIFS(Table2[NewPointsHome],Table2[GameDate], "&lt;=" &amp; $A132, Table2[HomeTeam], L$1)</f>
        <v>7</v>
      </c>
      <c r="M132" s="145">
        <f>SUMIFS(Table2[NewPointsAway],Table2[GameDate], "&lt;=" &amp; $A132, Table2[AwayTeam], M$1)+SUMIFS(Table2[NewPointsHome],Table2[GameDate], "&lt;=" &amp; $A132, Table2[HomeTeam], M$1)</f>
        <v>8</v>
      </c>
      <c r="N132" s="145">
        <f>SUMIFS(Table2[NewPointsAway],Table2[GameDate], "&lt;=" &amp; $A132, Table2[AwayTeam], N$1)+SUMIFS(Table2[NewPointsHome],Table2[GameDate], "&lt;=" &amp; $A132, Table2[HomeTeam], N$1)</f>
        <v>6</v>
      </c>
      <c r="O132" s="145">
        <f>SUMIFS(Table2[NewPointsAway],Table2[GameDate], "&lt;=" &amp; $A132, Table2[AwayTeam], O$1)+SUMIFS(Table2[NewPointsHome],Table2[GameDate], "&lt;=" &amp; $A132, Table2[HomeTeam], O$1)</f>
        <v>7</v>
      </c>
      <c r="P132" s="145">
        <f>SUMIFS(Table2[NewPointsAway],Table2[GameDate], "&lt;=" &amp; $A132, Table2[AwayTeam], P$1)+SUMIFS(Table2[NewPointsHome],Table2[GameDate], "&lt;=" &amp; $A132, Table2[HomeTeam], P$1)</f>
        <v>10</v>
      </c>
      <c r="Q132" s="145">
        <f>SUMIFS(Table2[NewPointsAway],Table2[GameDate], "&lt;=" &amp; $A132, Table2[AwayTeam], Q$1)+SUMIFS(Table2[NewPointsHome],Table2[GameDate], "&lt;=" &amp; $A132, Table2[HomeTeam], Q$1)</f>
        <v>10</v>
      </c>
      <c r="R132" s="145">
        <f>SUMIFS(Table2[NewPointsAway],Table2[GameDate], "&lt;=" &amp; $A132, Table2[AwayTeam], R$1)+SUMIFS(Table2[NewPointsHome],Table2[GameDate], "&lt;=" &amp; $A132, Table2[HomeTeam], R$1)</f>
        <v>6</v>
      </c>
      <c r="S132" s="145">
        <f>SUMIFS(Table2[NewPointsAway],Table2[GameDate], "&lt;=" &amp; $A132, Table2[AwayTeam], S$1)+SUMIFS(Table2[NewPointsHome],Table2[GameDate], "&lt;=" &amp; $A132, Table2[HomeTeam], S$1)</f>
        <v>6</v>
      </c>
      <c r="T132" s="145">
        <f>SUMIFS(Table2[NewPointsAway],Table2[GameDate], "&lt;=" &amp; $A132, Table2[AwayTeam], T$1)+SUMIFS(Table2[NewPointsHome],Table2[GameDate], "&lt;=" &amp; $A132, Table2[HomeTeam], T$1)</f>
        <v>7</v>
      </c>
      <c r="U132" s="145">
        <f>SUMIFS(Table2[NewPointsAway],Table2[GameDate], "&lt;=" &amp; $A132, Table2[AwayTeam], U$1)+SUMIFS(Table2[NewPointsHome],Table2[GameDate], "&lt;=" &amp; $A132, Table2[HomeTeam], U$1)</f>
        <v>5</v>
      </c>
      <c r="V132" s="145">
        <f>SUMIFS(Table2[NewPointsAway],Table2[GameDate], "&lt;=" &amp; $A132, Table2[AwayTeam], V$1)+SUMIFS(Table2[NewPointsHome],Table2[GameDate], "&lt;=" &amp; $A132, Table2[HomeTeam], V$1)</f>
        <v>7</v>
      </c>
      <c r="W132" s="145">
        <f>SUMIFS(Table2[NewPointsAway],Table2[GameDate], "&lt;=" &amp; $A132, Table2[AwayTeam], W$1)+SUMIFS(Table2[NewPointsHome],Table2[GameDate], "&lt;=" &amp; $A132, Table2[HomeTeam], W$1)</f>
        <v>10</v>
      </c>
      <c r="X132" s="145">
        <f>SUMIFS(Table2[NewPointsAway],Table2[GameDate], "&lt;=" &amp; $A132, Table2[AwayTeam], X$1)+SUMIFS(Table2[NewPointsHome],Table2[GameDate], "&lt;=" &amp; $A132, Table2[HomeTeam], X$1)</f>
        <v>8</v>
      </c>
      <c r="Y132" s="145">
        <f>SUMIFS(Table2[NewPointsAway],Table2[GameDate], "&lt;=" &amp; $A132, Table2[AwayTeam], Y$1)+SUMIFS(Table2[NewPointsHome],Table2[GameDate], "&lt;=" &amp; $A132, Table2[HomeTeam], Y$1)</f>
        <v>2</v>
      </c>
      <c r="Z132" s="145">
        <f>SUMIFS(Table2[NewPointsAway],Table2[GameDate], "&lt;=" &amp; $A132, Table2[AwayTeam], Z$1)+SUMIFS(Table2[NewPointsHome],Table2[GameDate], "&lt;=" &amp; $A132, Table2[HomeTeam], Z$1)</f>
        <v>7</v>
      </c>
      <c r="AA132" s="145">
        <f>SUMIFS(Table2[NewPointsAway],Table2[GameDate], "&lt;=" &amp; $A132, Table2[AwayTeam], AA$1)+SUMIFS(Table2[NewPointsHome],Table2[GameDate], "&lt;=" &amp; $A132, Table2[HomeTeam], AA$1)</f>
        <v>4</v>
      </c>
      <c r="AB132" s="145">
        <f>SUMIFS(Table2[NewPointsAway],Table2[GameDate], "&lt;=" &amp; $A132, Table2[AwayTeam], AB$1)+SUMIFS(Table2[NewPointsHome],Table2[GameDate], "&lt;=" &amp; $A132, Table2[HomeTeam], AB$1)</f>
        <v>7</v>
      </c>
      <c r="AC132" s="145">
        <f>SUMIFS(Table2[NewPointsAway],Table2[GameDate], "&lt;=" &amp; $A132, Table2[AwayTeam], AC$1)+SUMIFS(Table2[NewPointsHome],Table2[GameDate], "&lt;=" &amp; $A132, Table2[HomeTeam], AC$1)</f>
        <v>10</v>
      </c>
      <c r="AD132" s="145">
        <f>SUMIFS(Table2[NewPointsAway],Table2[GameDate], "&lt;=" &amp; $A132, Table2[AwayTeam], AD$1)+SUMIFS(Table2[NewPointsHome],Table2[GameDate], "&lt;=" &amp; $A132, Table2[HomeTeam], AD$1)</f>
        <v>8</v>
      </c>
      <c r="AE132" s="145">
        <f>SUMIFS(Table2[NewPointsAway],Table2[GameDate], "&lt;=" &amp; $A132, Table2[AwayTeam], AE$1)+SUMIFS(Table2[NewPointsHome],Table2[GameDate], "&lt;=" &amp; $A132, Table2[HomeTeam], AE$1)</f>
        <v>12</v>
      </c>
      <c r="AF132" s="145">
        <f>SUMIFS(Table2[NewPointsAway],Table2[GameDate], "&lt;=" &amp; $A132, Table2[AwayTeam], AF$1)+SUMIFS(Table2[NewPointsHome],Table2[GameDate], "&lt;=" &amp; $A132, Table2[HomeTeam], AF$1)</f>
        <v>10</v>
      </c>
      <c r="AG132" s="145">
        <f>SUMIFS(Table2[NewPointsAway],Table2[GameDate], "&lt;=" &amp; $A132, Table2[AwayTeam], AG$1)+SUMIFS(Table2[NewPointsHome],Table2[GameDate], "&lt;=" &amp; $A132, Table2[HomeTeam], AG$1)</f>
        <v>10</v>
      </c>
    </row>
    <row r="133" spans="1:33" x14ac:dyDescent="0.25">
      <c r="A133" s="3">
        <v>46064</v>
      </c>
      <c r="B133" s="145">
        <f>SUMIFS(Table2[NewPointsAway],Table2[GameDate], "&lt;=" &amp; $A133, Table2[AwayTeam], B$1)+SUMIFS(Table2[NewPointsHome],Table2[GameDate], "&lt;=" &amp; $A133, Table2[HomeTeam], B$1)</f>
        <v>7</v>
      </c>
      <c r="C133" s="145">
        <f>SUMIFS(Table2[NewPointsAway],Table2[GameDate], "&lt;=" &amp; $A133, Table2[AwayTeam], C$1)+SUMIFS(Table2[NewPointsHome],Table2[GameDate], "&lt;=" &amp; $A133, Table2[HomeTeam], C$1)</f>
        <v>6</v>
      </c>
      <c r="D133" s="145">
        <f>SUMIFS(Table2[NewPointsAway],Table2[GameDate], "&lt;=" &amp; $A133, Table2[AwayTeam], D$1)+SUMIFS(Table2[NewPointsHome],Table2[GameDate], "&lt;=" &amp; $A133, Table2[HomeTeam], D$1)</f>
        <v>4</v>
      </c>
      <c r="E133" s="145">
        <f>SUMIFS(Table2[NewPointsAway],Table2[GameDate], "&lt;=" &amp; $A133, Table2[AwayTeam], E$1)+SUMIFS(Table2[NewPointsHome],Table2[GameDate], "&lt;=" &amp; $A133, Table2[HomeTeam], E$1)</f>
        <v>10</v>
      </c>
      <c r="F133" s="145">
        <f>SUMIFS(Table2[NewPointsAway],Table2[GameDate], "&lt;=" &amp; $A133, Table2[AwayTeam], F$1)+SUMIFS(Table2[NewPointsHome],Table2[GameDate], "&lt;=" &amp; $A133, Table2[HomeTeam], F$1)</f>
        <v>6</v>
      </c>
      <c r="G133" s="145">
        <f>SUMIFS(Table2[NewPointsAway],Table2[GameDate], "&lt;=" &amp; $A133, Table2[AwayTeam], G$1)+SUMIFS(Table2[NewPointsHome],Table2[GameDate], "&lt;=" &amp; $A133, Table2[HomeTeam], G$1)</f>
        <v>2</v>
      </c>
      <c r="H133" s="145">
        <f>SUMIFS(Table2[NewPointsAway],Table2[GameDate], "&lt;=" &amp; $A133, Table2[AwayTeam], H$1)+SUMIFS(Table2[NewPointsHome],Table2[GameDate], "&lt;=" &amp; $A133, Table2[HomeTeam], H$1)</f>
        <v>8</v>
      </c>
      <c r="I133" s="145">
        <f>SUMIFS(Table2[NewPointsAway],Table2[GameDate], "&lt;=" &amp; $A133, Table2[AwayTeam], I$1)+SUMIFS(Table2[NewPointsHome],Table2[GameDate], "&lt;=" &amp; $A133, Table2[HomeTeam], I$1)</f>
        <v>12</v>
      </c>
      <c r="J133" s="145">
        <f>SUMIFS(Table2[NewPointsAway],Table2[GameDate], "&lt;=" &amp; $A133, Table2[AwayTeam], J$1)+SUMIFS(Table2[NewPointsHome],Table2[GameDate], "&lt;=" &amp; $A133, Table2[HomeTeam], J$1)</f>
        <v>6</v>
      </c>
      <c r="K133" s="145">
        <f>SUMIFS(Table2[NewPointsAway],Table2[GameDate], "&lt;=" &amp; $A133, Table2[AwayTeam], K$1)+SUMIFS(Table2[NewPointsHome],Table2[GameDate], "&lt;=" &amp; $A133, Table2[HomeTeam], K$1)</f>
        <v>10</v>
      </c>
      <c r="L133" s="145">
        <f>SUMIFS(Table2[NewPointsAway],Table2[GameDate], "&lt;=" &amp; $A133, Table2[AwayTeam], L$1)+SUMIFS(Table2[NewPointsHome],Table2[GameDate], "&lt;=" &amp; $A133, Table2[HomeTeam], L$1)</f>
        <v>7</v>
      </c>
      <c r="M133" s="145">
        <f>SUMIFS(Table2[NewPointsAway],Table2[GameDate], "&lt;=" &amp; $A133, Table2[AwayTeam], M$1)+SUMIFS(Table2[NewPointsHome],Table2[GameDate], "&lt;=" &amp; $A133, Table2[HomeTeam], M$1)</f>
        <v>8</v>
      </c>
      <c r="N133" s="145">
        <f>SUMIFS(Table2[NewPointsAway],Table2[GameDate], "&lt;=" &amp; $A133, Table2[AwayTeam], N$1)+SUMIFS(Table2[NewPointsHome],Table2[GameDate], "&lt;=" &amp; $A133, Table2[HomeTeam], N$1)</f>
        <v>6</v>
      </c>
      <c r="O133" s="145">
        <f>SUMIFS(Table2[NewPointsAway],Table2[GameDate], "&lt;=" &amp; $A133, Table2[AwayTeam], O$1)+SUMIFS(Table2[NewPointsHome],Table2[GameDate], "&lt;=" &amp; $A133, Table2[HomeTeam], O$1)</f>
        <v>7</v>
      </c>
      <c r="P133" s="145">
        <f>SUMIFS(Table2[NewPointsAway],Table2[GameDate], "&lt;=" &amp; $A133, Table2[AwayTeam], P$1)+SUMIFS(Table2[NewPointsHome],Table2[GameDate], "&lt;=" &amp; $A133, Table2[HomeTeam], P$1)</f>
        <v>10</v>
      </c>
      <c r="Q133" s="145">
        <f>SUMIFS(Table2[NewPointsAway],Table2[GameDate], "&lt;=" &amp; $A133, Table2[AwayTeam], Q$1)+SUMIFS(Table2[NewPointsHome],Table2[GameDate], "&lt;=" &amp; $A133, Table2[HomeTeam], Q$1)</f>
        <v>10</v>
      </c>
      <c r="R133" s="145">
        <f>SUMIFS(Table2[NewPointsAway],Table2[GameDate], "&lt;=" &amp; $A133, Table2[AwayTeam], R$1)+SUMIFS(Table2[NewPointsHome],Table2[GameDate], "&lt;=" &amp; $A133, Table2[HomeTeam], R$1)</f>
        <v>6</v>
      </c>
      <c r="S133" s="145">
        <f>SUMIFS(Table2[NewPointsAway],Table2[GameDate], "&lt;=" &amp; $A133, Table2[AwayTeam], S$1)+SUMIFS(Table2[NewPointsHome],Table2[GameDate], "&lt;=" &amp; $A133, Table2[HomeTeam], S$1)</f>
        <v>6</v>
      </c>
      <c r="T133" s="145">
        <f>SUMIFS(Table2[NewPointsAway],Table2[GameDate], "&lt;=" &amp; $A133, Table2[AwayTeam], T$1)+SUMIFS(Table2[NewPointsHome],Table2[GameDate], "&lt;=" &amp; $A133, Table2[HomeTeam], T$1)</f>
        <v>7</v>
      </c>
      <c r="U133" s="145">
        <f>SUMIFS(Table2[NewPointsAway],Table2[GameDate], "&lt;=" &amp; $A133, Table2[AwayTeam], U$1)+SUMIFS(Table2[NewPointsHome],Table2[GameDate], "&lt;=" &amp; $A133, Table2[HomeTeam], U$1)</f>
        <v>5</v>
      </c>
      <c r="V133" s="145">
        <f>SUMIFS(Table2[NewPointsAway],Table2[GameDate], "&lt;=" &amp; $A133, Table2[AwayTeam], V$1)+SUMIFS(Table2[NewPointsHome],Table2[GameDate], "&lt;=" &amp; $A133, Table2[HomeTeam], V$1)</f>
        <v>7</v>
      </c>
      <c r="W133" s="145">
        <f>SUMIFS(Table2[NewPointsAway],Table2[GameDate], "&lt;=" &amp; $A133, Table2[AwayTeam], W$1)+SUMIFS(Table2[NewPointsHome],Table2[GameDate], "&lt;=" &amp; $A133, Table2[HomeTeam], W$1)</f>
        <v>10</v>
      </c>
      <c r="X133" s="145">
        <f>SUMIFS(Table2[NewPointsAway],Table2[GameDate], "&lt;=" &amp; $A133, Table2[AwayTeam], X$1)+SUMIFS(Table2[NewPointsHome],Table2[GameDate], "&lt;=" &amp; $A133, Table2[HomeTeam], X$1)</f>
        <v>8</v>
      </c>
      <c r="Y133" s="145">
        <f>SUMIFS(Table2[NewPointsAway],Table2[GameDate], "&lt;=" &amp; $A133, Table2[AwayTeam], Y$1)+SUMIFS(Table2[NewPointsHome],Table2[GameDate], "&lt;=" &amp; $A133, Table2[HomeTeam], Y$1)</f>
        <v>2</v>
      </c>
      <c r="Z133" s="145">
        <f>SUMIFS(Table2[NewPointsAway],Table2[GameDate], "&lt;=" &amp; $A133, Table2[AwayTeam], Z$1)+SUMIFS(Table2[NewPointsHome],Table2[GameDate], "&lt;=" &amp; $A133, Table2[HomeTeam], Z$1)</f>
        <v>7</v>
      </c>
      <c r="AA133" s="145">
        <f>SUMIFS(Table2[NewPointsAway],Table2[GameDate], "&lt;=" &amp; $A133, Table2[AwayTeam], AA$1)+SUMIFS(Table2[NewPointsHome],Table2[GameDate], "&lt;=" &amp; $A133, Table2[HomeTeam], AA$1)</f>
        <v>4</v>
      </c>
      <c r="AB133" s="145">
        <f>SUMIFS(Table2[NewPointsAway],Table2[GameDate], "&lt;=" &amp; $A133, Table2[AwayTeam], AB$1)+SUMIFS(Table2[NewPointsHome],Table2[GameDate], "&lt;=" &amp; $A133, Table2[HomeTeam], AB$1)</f>
        <v>7</v>
      </c>
      <c r="AC133" s="145">
        <f>SUMIFS(Table2[NewPointsAway],Table2[GameDate], "&lt;=" &amp; $A133, Table2[AwayTeam], AC$1)+SUMIFS(Table2[NewPointsHome],Table2[GameDate], "&lt;=" &amp; $A133, Table2[HomeTeam], AC$1)</f>
        <v>10</v>
      </c>
      <c r="AD133" s="145">
        <f>SUMIFS(Table2[NewPointsAway],Table2[GameDate], "&lt;=" &amp; $A133, Table2[AwayTeam], AD$1)+SUMIFS(Table2[NewPointsHome],Table2[GameDate], "&lt;=" &amp; $A133, Table2[HomeTeam], AD$1)</f>
        <v>8</v>
      </c>
      <c r="AE133" s="145">
        <f>SUMIFS(Table2[NewPointsAway],Table2[GameDate], "&lt;=" &amp; $A133, Table2[AwayTeam], AE$1)+SUMIFS(Table2[NewPointsHome],Table2[GameDate], "&lt;=" &amp; $A133, Table2[HomeTeam], AE$1)</f>
        <v>12</v>
      </c>
      <c r="AF133" s="145">
        <f>SUMIFS(Table2[NewPointsAway],Table2[GameDate], "&lt;=" &amp; $A133, Table2[AwayTeam], AF$1)+SUMIFS(Table2[NewPointsHome],Table2[GameDate], "&lt;=" &amp; $A133, Table2[HomeTeam], AF$1)</f>
        <v>10</v>
      </c>
      <c r="AG133" s="145">
        <f>SUMIFS(Table2[NewPointsAway],Table2[GameDate], "&lt;=" &amp; $A133, Table2[AwayTeam], AG$1)+SUMIFS(Table2[NewPointsHome],Table2[GameDate], "&lt;=" &amp; $A133, Table2[HomeTeam], AG$1)</f>
        <v>10</v>
      </c>
    </row>
    <row r="134" spans="1:33" x14ac:dyDescent="0.25">
      <c r="A134" s="3">
        <v>46065</v>
      </c>
      <c r="B134" s="145">
        <f>SUMIFS(Table2[NewPointsAway],Table2[GameDate], "&lt;=" &amp; $A134, Table2[AwayTeam], B$1)+SUMIFS(Table2[NewPointsHome],Table2[GameDate], "&lt;=" &amp; $A134, Table2[HomeTeam], B$1)</f>
        <v>7</v>
      </c>
      <c r="C134" s="145">
        <f>SUMIFS(Table2[NewPointsAway],Table2[GameDate], "&lt;=" &amp; $A134, Table2[AwayTeam], C$1)+SUMIFS(Table2[NewPointsHome],Table2[GameDate], "&lt;=" &amp; $A134, Table2[HomeTeam], C$1)</f>
        <v>6</v>
      </c>
      <c r="D134" s="145">
        <f>SUMIFS(Table2[NewPointsAway],Table2[GameDate], "&lt;=" &amp; $A134, Table2[AwayTeam], D$1)+SUMIFS(Table2[NewPointsHome],Table2[GameDate], "&lt;=" &amp; $A134, Table2[HomeTeam], D$1)</f>
        <v>4</v>
      </c>
      <c r="E134" s="145">
        <f>SUMIFS(Table2[NewPointsAway],Table2[GameDate], "&lt;=" &amp; $A134, Table2[AwayTeam], E$1)+SUMIFS(Table2[NewPointsHome],Table2[GameDate], "&lt;=" &amp; $A134, Table2[HomeTeam], E$1)</f>
        <v>10</v>
      </c>
      <c r="F134" s="145">
        <f>SUMIFS(Table2[NewPointsAway],Table2[GameDate], "&lt;=" &amp; $A134, Table2[AwayTeam], F$1)+SUMIFS(Table2[NewPointsHome],Table2[GameDate], "&lt;=" &amp; $A134, Table2[HomeTeam], F$1)</f>
        <v>6</v>
      </c>
      <c r="G134" s="145">
        <f>SUMIFS(Table2[NewPointsAway],Table2[GameDate], "&lt;=" &amp; $A134, Table2[AwayTeam], G$1)+SUMIFS(Table2[NewPointsHome],Table2[GameDate], "&lt;=" &amp; $A134, Table2[HomeTeam], G$1)</f>
        <v>2</v>
      </c>
      <c r="H134" s="145">
        <f>SUMIFS(Table2[NewPointsAway],Table2[GameDate], "&lt;=" &amp; $A134, Table2[AwayTeam], H$1)+SUMIFS(Table2[NewPointsHome],Table2[GameDate], "&lt;=" &amp; $A134, Table2[HomeTeam], H$1)</f>
        <v>8</v>
      </c>
      <c r="I134" s="145">
        <f>SUMIFS(Table2[NewPointsAway],Table2[GameDate], "&lt;=" &amp; $A134, Table2[AwayTeam], I$1)+SUMIFS(Table2[NewPointsHome],Table2[GameDate], "&lt;=" &amp; $A134, Table2[HomeTeam], I$1)</f>
        <v>12</v>
      </c>
      <c r="J134" s="145">
        <f>SUMIFS(Table2[NewPointsAway],Table2[GameDate], "&lt;=" &amp; $A134, Table2[AwayTeam], J$1)+SUMIFS(Table2[NewPointsHome],Table2[GameDate], "&lt;=" &amp; $A134, Table2[HomeTeam], J$1)</f>
        <v>6</v>
      </c>
      <c r="K134" s="145">
        <f>SUMIFS(Table2[NewPointsAway],Table2[GameDate], "&lt;=" &amp; $A134, Table2[AwayTeam], K$1)+SUMIFS(Table2[NewPointsHome],Table2[GameDate], "&lt;=" &amp; $A134, Table2[HomeTeam], K$1)</f>
        <v>10</v>
      </c>
      <c r="L134" s="145">
        <f>SUMIFS(Table2[NewPointsAway],Table2[GameDate], "&lt;=" &amp; $A134, Table2[AwayTeam], L$1)+SUMIFS(Table2[NewPointsHome],Table2[GameDate], "&lt;=" &amp; $A134, Table2[HomeTeam], L$1)</f>
        <v>7</v>
      </c>
      <c r="M134" s="145">
        <f>SUMIFS(Table2[NewPointsAway],Table2[GameDate], "&lt;=" &amp; $A134, Table2[AwayTeam], M$1)+SUMIFS(Table2[NewPointsHome],Table2[GameDate], "&lt;=" &amp; $A134, Table2[HomeTeam], M$1)</f>
        <v>8</v>
      </c>
      <c r="N134" s="145">
        <f>SUMIFS(Table2[NewPointsAway],Table2[GameDate], "&lt;=" &amp; $A134, Table2[AwayTeam], N$1)+SUMIFS(Table2[NewPointsHome],Table2[GameDate], "&lt;=" &amp; $A134, Table2[HomeTeam], N$1)</f>
        <v>6</v>
      </c>
      <c r="O134" s="145">
        <f>SUMIFS(Table2[NewPointsAway],Table2[GameDate], "&lt;=" &amp; $A134, Table2[AwayTeam], O$1)+SUMIFS(Table2[NewPointsHome],Table2[GameDate], "&lt;=" &amp; $A134, Table2[HomeTeam], O$1)</f>
        <v>7</v>
      </c>
      <c r="P134" s="145">
        <f>SUMIFS(Table2[NewPointsAway],Table2[GameDate], "&lt;=" &amp; $A134, Table2[AwayTeam], P$1)+SUMIFS(Table2[NewPointsHome],Table2[GameDate], "&lt;=" &amp; $A134, Table2[HomeTeam], P$1)</f>
        <v>10</v>
      </c>
      <c r="Q134" s="145">
        <f>SUMIFS(Table2[NewPointsAway],Table2[GameDate], "&lt;=" &amp; $A134, Table2[AwayTeam], Q$1)+SUMIFS(Table2[NewPointsHome],Table2[GameDate], "&lt;=" &amp; $A134, Table2[HomeTeam], Q$1)</f>
        <v>10</v>
      </c>
      <c r="R134" s="145">
        <f>SUMIFS(Table2[NewPointsAway],Table2[GameDate], "&lt;=" &amp; $A134, Table2[AwayTeam], R$1)+SUMIFS(Table2[NewPointsHome],Table2[GameDate], "&lt;=" &amp; $A134, Table2[HomeTeam], R$1)</f>
        <v>6</v>
      </c>
      <c r="S134" s="145">
        <f>SUMIFS(Table2[NewPointsAway],Table2[GameDate], "&lt;=" &amp; $A134, Table2[AwayTeam], S$1)+SUMIFS(Table2[NewPointsHome],Table2[GameDate], "&lt;=" &amp; $A134, Table2[HomeTeam], S$1)</f>
        <v>6</v>
      </c>
      <c r="T134" s="145">
        <f>SUMIFS(Table2[NewPointsAway],Table2[GameDate], "&lt;=" &amp; $A134, Table2[AwayTeam], T$1)+SUMIFS(Table2[NewPointsHome],Table2[GameDate], "&lt;=" &amp; $A134, Table2[HomeTeam], T$1)</f>
        <v>7</v>
      </c>
      <c r="U134" s="145">
        <f>SUMIFS(Table2[NewPointsAway],Table2[GameDate], "&lt;=" &amp; $A134, Table2[AwayTeam], U$1)+SUMIFS(Table2[NewPointsHome],Table2[GameDate], "&lt;=" &amp; $A134, Table2[HomeTeam], U$1)</f>
        <v>5</v>
      </c>
      <c r="V134" s="145">
        <f>SUMIFS(Table2[NewPointsAway],Table2[GameDate], "&lt;=" &amp; $A134, Table2[AwayTeam], V$1)+SUMIFS(Table2[NewPointsHome],Table2[GameDate], "&lt;=" &amp; $A134, Table2[HomeTeam], V$1)</f>
        <v>7</v>
      </c>
      <c r="W134" s="145">
        <f>SUMIFS(Table2[NewPointsAway],Table2[GameDate], "&lt;=" &amp; $A134, Table2[AwayTeam], W$1)+SUMIFS(Table2[NewPointsHome],Table2[GameDate], "&lt;=" &amp; $A134, Table2[HomeTeam], W$1)</f>
        <v>10</v>
      </c>
      <c r="X134" s="145">
        <f>SUMIFS(Table2[NewPointsAway],Table2[GameDate], "&lt;=" &amp; $A134, Table2[AwayTeam], X$1)+SUMIFS(Table2[NewPointsHome],Table2[GameDate], "&lt;=" &amp; $A134, Table2[HomeTeam], X$1)</f>
        <v>8</v>
      </c>
      <c r="Y134" s="145">
        <f>SUMIFS(Table2[NewPointsAway],Table2[GameDate], "&lt;=" &amp; $A134, Table2[AwayTeam], Y$1)+SUMIFS(Table2[NewPointsHome],Table2[GameDate], "&lt;=" &amp; $A134, Table2[HomeTeam], Y$1)</f>
        <v>2</v>
      </c>
      <c r="Z134" s="145">
        <f>SUMIFS(Table2[NewPointsAway],Table2[GameDate], "&lt;=" &amp; $A134, Table2[AwayTeam], Z$1)+SUMIFS(Table2[NewPointsHome],Table2[GameDate], "&lt;=" &amp; $A134, Table2[HomeTeam], Z$1)</f>
        <v>7</v>
      </c>
      <c r="AA134" s="145">
        <f>SUMIFS(Table2[NewPointsAway],Table2[GameDate], "&lt;=" &amp; $A134, Table2[AwayTeam], AA$1)+SUMIFS(Table2[NewPointsHome],Table2[GameDate], "&lt;=" &amp; $A134, Table2[HomeTeam], AA$1)</f>
        <v>4</v>
      </c>
      <c r="AB134" s="145">
        <f>SUMIFS(Table2[NewPointsAway],Table2[GameDate], "&lt;=" &amp; $A134, Table2[AwayTeam], AB$1)+SUMIFS(Table2[NewPointsHome],Table2[GameDate], "&lt;=" &amp; $A134, Table2[HomeTeam], AB$1)</f>
        <v>7</v>
      </c>
      <c r="AC134" s="145">
        <f>SUMIFS(Table2[NewPointsAway],Table2[GameDate], "&lt;=" &amp; $A134, Table2[AwayTeam], AC$1)+SUMIFS(Table2[NewPointsHome],Table2[GameDate], "&lt;=" &amp; $A134, Table2[HomeTeam], AC$1)</f>
        <v>10</v>
      </c>
      <c r="AD134" s="145">
        <f>SUMIFS(Table2[NewPointsAway],Table2[GameDate], "&lt;=" &amp; $A134, Table2[AwayTeam], AD$1)+SUMIFS(Table2[NewPointsHome],Table2[GameDate], "&lt;=" &amp; $A134, Table2[HomeTeam], AD$1)</f>
        <v>8</v>
      </c>
      <c r="AE134" s="145">
        <f>SUMIFS(Table2[NewPointsAway],Table2[GameDate], "&lt;=" &amp; $A134, Table2[AwayTeam], AE$1)+SUMIFS(Table2[NewPointsHome],Table2[GameDate], "&lt;=" &amp; $A134, Table2[HomeTeam], AE$1)</f>
        <v>12</v>
      </c>
      <c r="AF134" s="145">
        <f>SUMIFS(Table2[NewPointsAway],Table2[GameDate], "&lt;=" &amp; $A134, Table2[AwayTeam], AF$1)+SUMIFS(Table2[NewPointsHome],Table2[GameDate], "&lt;=" &amp; $A134, Table2[HomeTeam], AF$1)</f>
        <v>10</v>
      </c>
      <c r="AG134" s="145">
        <f>SUMIFS(Table2[NewPointsAway],Table2[GameDate], "&lt;=" &amp; $A134, Table2[AwayTeam], AG$1)+SUMIFS(Table2[NewPointsHome],Table2[GameDate], "&lt;=" &amp; $A134, Table2[HomeTeam], AG$1)</f>
        <v>10</v>
      </c>
    </row>
    <row r="135" spans="1:33" x14ac:dyDescent="0.25">
      <c r="A135" s="3">
        <v>46066</v>
      </c>
      <c r="B135" s="145">
        <f>SUMIFS(Table2[NewPointsAway],Table2[GameDate], "&lt;=" &amp; $A135, Table2[AwayTeam], B$1)+SUMIFS(Table2[NewPointsHome],Table2[GameDate], "&lt;=" &amp; $A135, Table2[HomeTeam], B$1)</f>
        <v>7</v>
      </c>
      <c r="C135" s="145">
        <f>SUMIFS(Table2[NewPointsAway],Table2[GameDate], "&lt;=" &amp; $A135, Table2[AwayTeam], C$1)+SUMIFS(Table2[NewPointsHome],Table2[GameDate], "&lt;=" &amp; $A135, Table2[HomeTeam], C$1)</f>
        <v>6</v>
      </c>
      <c r="D135" s="145">
        <f>SUMIFS(Table2[NewPointsAway],Table2[GameDate], "&lt;=" &amp; $A135, Table2[AwayTeam], D$1)+SUMIFS(Table2[NewPointsHome],Table2[GameDate], "&lt;=" &amp; $A135, Table2[HomeTeam], D$1)</f>
        <v>4</v>
      </c>
      <c r="E135" s="145">
        <f>SUMIFS(Table2[NewPointsAway],Table2[GameDate], "&lt;=" &amp; $A135, Table2[AwayTeam], E$1)+SUMIFS(Table2[NewPointsHome],Table2[GameDate], "&lt;=" &amp; $A135, Table2[HomeTeam], E$1)</f>
        <v>10</v>
      </c>
      <c r="F135" s="145">
        <f>SUMIFS(Table2[NewPointsAway],Table2[GameDate], "&lt;=" &amp; $A135, Table2[AwayTeam], F$1)+SUMIFS(Table2[NewPointsHome],Table2[GameDate], "&lt;=" &amp; $A135, Table2[HomeTeam], F$1)</f>
        <v>6</v>
      </c>
      <c r="G135" s="145">
        <f>SUMIFS(Table2[NewPointsAway],Table2[GameDate], "&lt;=" &amp; $A135, Table2[AwayTeam], G$1)+SUMIFS(Table2[NewPointsHome],Table2[GameDate], "&lt;=" &amp; $A135, Table2[HomeTeam], G$1)</f>
        <v>2</v>
      </c>
      <c r="H135" s="145">
        <f>SUMIFS(Table2[NewPointsAway],Table2[GameDate], "&lt;=" &amp; $A135, Table2[AwayTeam], H$1)+SUMIFS(Table2[NewPointsHome],Table2[GameDate], "&lt;=" &amp; $A135, Table2[HomeTeam], H$1)</f>
        <v>8</v>
      </c>
      <c r="I135" s="145">
        <f>SUMIFS(Table2[NewPointsAway],Table2[GameDate], "&lt;=" &amp; $A135, Table2[AwayTeam], I$1)+SUMIFS(Table2[NewPointsHome],Table2[GameDate], "&lt;=" &amp; $A135, Table2[HomeTeam], I$1)</f>
        <v>12</v>
      </c>
      <c r="J135" s="145">
        <f>SUMIFS(Table2[NewPointsAway],Table2[GameDate], "&lt;=" &amp; $A135, Table2[AwayTeam], J$1)+SUMIFS(Table2[NewPointsHome],Table2[GameDate], "&lt;=" &amp; $A135, Table2[HomeTeam], J$1)</f>
        <v>6</v>
      </c>
      <c r="K135" s="145">
        <f>SUMIFS(Table2[NewPointsAway],Table2[GameDate], "&lt;=" &amp; $A135, Table2[AwayTeam], K$1)+SUMIFS(Table2[NewPointsHome],Table2[GameDate], "&lt;=" &amp; $A135, Table2[HomeTeam], K$1)</f>
        <v>10</v>
      </c>
      <c r="L135" s="145">
        <f>SUMIFS(Table2[NewPointsAway],Table2[GameDate], "&lt;=" &amp; $A135, Table2[AwayTeam], L$1)+SUMIFS(Table2[NewPointsHome],Table2[GameDate], "&lt;=" &amp; $A135, Table2[HomeTeam], L$1)</f>
        <v>7</v>
      </c>
      <c r="M135" s="145">
        <f>SUMIFS(Table2[NewPointsAway],Table2[GameDate], "&lt;=" &amp; $A135, Table2[AwayTeam], M$1)+SUMIFS(Table2[NewPointsHome],Table2[GameDate], "&lt;=" &amp; $A135, Table2[HomeTeam], M$1)</f>
        <v>8</v>
      </c>
      <c r="N135" s="145">
        <f>SUMIFS(Table2[NewPointsAway],Table2[GameDate], "&lt;=" &amp; $A135, Table2[AwayTeam], N$1)+SUMIFS(Table2[NewPointsHome],Table2[GameDate], "&lt;=" &amp; $A135, Table2[HomeTeam], N$1)</f>
        <v>6</v>
      </c>
      <c r="O135" s="145">
        <f>SUMIFS(Table2[NewPointsAway],Table2[GameDate], "&lt;=" &amp; $A135, Table2[AwayTeam], O$1)+SUMIFS(Table2[NewPointsHome],Table2[GameDate], "&lt;=" &amp; $A135, Table2[HomeTeam], O$1)</f>
        <v>7</v>
      </c>
      <c r="P135" s="145">
        <f>SUMIFS(Table2[NewPointsAway],Table2[GameDate], "&lt;=" &amp; $A135, Table2[AwayTeam], P$1)+SUMIFS(Table2[NewPointsHome],Table2[GameDate], "&lt;=" &amp; $A135, Table2[HomeTeam], P$1)</f>
        <v>10</v>
      </c>
      <c r="Q135" s="145">
        <f>SUMIFS(Table2[NewPointsAway],Table2[GameDate], "&lt;=" &amp; $A135, Table2[AwayTeam], Q$1)+SUMIFS(Table2[NewPointsHome],Table2[GameDate], "&lt;=" &amp; $A135, Table2[HomeTeam], Q$1)</f>
        <v>10</v>
      </c>
      <c r="R135" s="145">
        <f>SUMIFS(Table2[NewPointsAway],Table2[GameDate], "&lt;=" &amp; $A135, Table2[AwayTeam], R$1)+SUMIFS(Table2[NewPointsHome],Table2[GameDate], "&lt;=" &amp; $A135, Table2[HomeTeam], R$1)</f>
        <v>6</v>
      </c>
      <c r="S135" s="145">
        <f>SUMIFS(Table2[NewPointsAway],Table2[GameDate], "&lt;=" &amp; $A135, Table2[AwayTeam], S$1)+SUMIFS(Table2[NewPointsHome],Table2[GameDate], "&lt;=" &amp; $A135, Table2[HomeTeam], S$1)</f>
        <v>6</v>
      </c>
      <c r="T135" s="145">
        <f>SUMIFS(Table2[NewPointsAway],Table2[GameDate], "&lt;=" &amp; $A135, Table2[AwayTeam], T$1)+SUMIFS(Table2[NewPointsHome],Table2[GameDate], "&lt;=" &amp; $A135, Table2[HomeTeam], T$1)</f>
        <v>7</v>
      </c>
      <c r="U135" s="145">
        <f>SUMIFS(Table2[NewPointsAway],Table2[GameDate], "&lt;=" &amp; $A135, Table2[AwayTeam], U$1)+SUMIFS(Table2[NewPointsHome],Table2[GameDate], "&lt;=" &amp; $A135, Table2[HomeTeam], U$1)</f>
        <v>5</v>
      </c>
      <c r="V135" s="145">
        <f>SUMIFS(Table2[NewPointsAway],Table2[GameDate], "&lt;=" &amp; $A135, Table2[AwayTeam], V$1)+SUMIFS(Table2[NewPointsHome],Table2[GameDate], "&lt;=" &amp; $A135, Table2[HomeTeam], V$1)</f>
        <v>7</v>
      </c>
      <c r="W135" s="145">
        <f>SUMIFS(Table2[NewPointsAway],Table2[GameDate], "&lt;=" &amp; $A135, Table2[AwayTeam], W$1)+SUMIFS(Table2[NewPointsHome],Table2[GameDate], "&lt;=" &amp; $A135, Table2[HomeTeam], W$1)</f>
        <v>10</v>
      </c>
      <c r="X135" s="145">
        <f>SUMIFS(Table2[NewPointsAway],Table2[GameDate], "&lt;=" &amp; $A135, Table2[AwayTeam], X$1)+SUMIFS(Table2[NewPointsHome],Table2[GameDate], "&lt;=" &amp; $A135, Table2[HomeTeam], X$1)</f>
        <v>8</v>
      </c>
      <c r="Y135" s="145">
        <f>SUMIFS(Table2[NewPointsAway],Table2[GameDate], "&lt;=" &amp; $A135, Table2[AwayTeam], Y$1)+SUMIFS(Table2[NewPointsHome],Table2[GameDate], "&lt;=" &amp; $A135, Table2[HomeTeam], Y$1)</f>
        <v>2</v>
      </c>
      <c r="Z135" s="145">
        <f>SUMIFS(Table2[NewPointsAway],Table2[GameDate], "&lt;=" &amp; $A135, Table2[AwayTeam], Z$1)+SUMIFS(Table2[NewPointsHome],Table2[GameDate], "&lt;=" &amp; $A135, Table2[HomeTeam], Z$1)</f>
        <v>7</v>
      </c>
      <c r="AA135" s="145">
        <f>SUMIFS(Table2[NewPointsAway],Table2[GameDate], "&lt;=" &amp; $A135, Table2[AwayTeam], AA$1)+SUMIFS(Table2[NewPointsHome],Table2[GameDate], "&lt;=" &amp; $A135, Table2[HomeTeam], AA$1)</f>
        <v>4</v>
      </c>
      <c r="AB135" s="145">
        <f>SUMIFS(Table2[NewPointsAway],Table2[GameDate], "&lt;=" &amp; $A135, Table2[AwayTeam], AB$1)+SUMIFS(Table2[NewPointsHome],Table2[GameDate], "&lt;=" &amp; $A135, Table2[HomeTeam], AB$1)</f>
        <v>7</v>
      </c>
      <c r="AC135" s="145">
        <f>SUMIFS(Table2[NewPointsAway],Table2[GameDate], "&lt;=" &amp; $A135, Table2[AwayTeam], AC$1)+SUMIFS(Table2[NewPointsHome],Table2[GameDate], "&lt;=" &amp; $A135, Table2[HomeTeam], AC$1)</f>
        <v>10</v>
      </c>
      <c r="AD135" s="145">
        <f>SUMIFS(Table2[NewPointsAway],Table2[GameDate], "&lt;=" &amp; $A135, Table2[AwayTeam], AD$1)+SUMIFS(Table2[NewPointsHome],Table2[GameDate], "&lt;=" &amp; $A135, Table2[HomeTeam], AD$1)</f>
        <v>8</v>
      </c>
      <c r="AE135" s="145">
        <f>SUMIFS(Table2[NewPointsAway],Table2[GameDate], "&lt;=" &amp; $A135, Table2[AwayTeam], AE$1)+SUMIFS(Table2[NewPointsHome],Table2[GameDate], "&lt;=" &amp; $A135, Table2[HomeTeam], AE$1)</f>
        <v>12</v>
      </c>
      <c r="AF135" s="145">
        <f>SUMIFS(Table2[NewPointsAway],Table2[GameDate], "&lt;=" &amp; $A135, Table2[AwayTeam], AF$1)+SUMIFS(Table2[NewPointsHome],Table2[GameDate], "&lt;=" &amp; $A135, Table2[HomeTeam], AF$1)</f>
        <v>10</v>
      </c>
      <c r="AG135" s="145">
        <f>SUMIFS(Table2[NewPointsAway],Table2[GameDate], "&lt;=" &amp; $A135, Table2[AwayTeam], AG$1)+SUMIFS(Table2[NewPointsHome],Table2[GameDate], "&lt;=" &amp; $A135, Table2[HomeTeam], AG$1)</f>
        <v>10</v>
      </c>
    </row>
    <row r="136" spans="1:33" x14ac:dyDescent="0.25">
      <c r="A136" s="3">
        <v>46067</v>
      </c>
      <c r="B136" s="145">
        <f>SUMIFS(Table2[NewPointsAway],Table2[GameDate], "&lt;=" &amp; $A136, Table2[AwayTeam], B$1)+SUMIFS(Table2[NewPointsHome],Table2[GameDate], "&lt;=" &amp; $A136, Table2[HomeTeam], B$1)</f>
        <v>7</v>
      </c>
      <c r="C136" s="145">
        <f>SUMIFS(Table2[NewPointsAway],Table2[GameDate], "&lt;=" &amp; $A136, Table2[AwayTeam], C$1)+SUMIFS(Table2[NewPointsHome],Table2[GameDate], "&lt;=" &amp; $A136, Table2[HomeTeam], C$1)</f>
        <v>6</v>
      </c>
      <c r="D136" s="145">
        <f>SUMIFS(Table2[NewPointsAway],Table2[GameDate], "&lt;=" &amp; $A136, Table2[AwayTeam], D$1)+SUMIFS(Table2[NewPointsHome],Table2[GameDate], "&lt;=" &amp; $A136, Table2[HomeTeam], D$1)</f>
        <v>4</v>
      </c>
      <c r="E136" s="145">
        <f>SUMIFS(Table2[NewPointsAway],Table2[GameDate], "&lt;=" &amp; $A136, Table2[AwayTeam], E$1)+SUMIFS(Table2[NewPointsHome],Table2[GameDate], "&lt;=" &amp; $A136, Table2[HomeTeam], E$1)</f>
        <v>10</v>
      </c>
      <c r="F136" s="145">
        <f>SUMIFS(Table2[NewPointsAway],Table2[GameDate], "&lt;=" &amp; $A136, Table2[AwayTeam], F$1)+SUMIFS(Table2[NewPointsHome],Table2[GameDate], "&lt;=" &amp; $A136, Table2[HomeTeam], F$1)</f>
        <v>6</v>
      </c>
      <c r="G136" s="145">
        <f>SUMIFS(Table2[NewPointsAway],Table2[GameDate], "&lt;=" &amp; $A136, Table2[AwayTeam], G$1)+SUMIFS(Table2[NewPointsHome],Table2[GameDate], "&lt;=" &amp; $A136, Table2[HomeTeam], G$1)</f>
        <v>2</v>
      </c>
      <c r="H136" s="145">
        <f>SUMIFS(Table2[NewPointsAway],Table2[GameDate], "&lt;=" &amp; $A136, Table2[AwayTeam], H$1)+SUMIFS(Table2[NewPointsHome],Table2[GameDate], "&lt;=" &amp; $A136, Table2[HomeTeam], H$1)</f>
        <v>8</v>
      </c>
      <c r="I136" s="145">
        <f>SUMIFS(Table2[NewPointsAway],Table2[GameDate], "&lt;=" &amp; $A136, Table2[AwayTeam], I$1)+SUMIFS(Table2[NewPointsHome],Table2[GameDate], "&lt;=" &amp; $A136, Table2[HomeTeam], I$1)</f>
        <v>12</v>
      </c>
      <c r="J136" s="145">
        <f>SUMIFS(Table2[NewPointsAway],Table2[GameDate], "&lt;=" &amp; $A136, Table2[AwayTeam], J$1)+SUMIFS(Table2[NewPointsHome],Table2[GameDate], "&lt;=" &amp; $A136, Table2[HomeTeam], J$1)</f>
        <v>6</v>
      </c>
      <c r="K136" s="145">
        <f>SUMIFS(Table2[NewPointsAway],Table2[GameDate], "&lt;=" &amp; $A136, Table2[AwayTeam], K$1)+SUMIFS(Table2[NewPointsHome],Table2[GameDate], "&lt;=" &amp; $A136, Table2[HomeTeam], K$1)</f>
        <v>10</v>
      </c>
      <c r="L136" s="145">
        <f>SUMIFS(Table2[NewPointsAway],Table2[GameDate], "&lt;=" &amp; $A136, Table2[AwayTeam], L$1)+SUMIFS(Table2[NewPointsHome],Table2[GameDate], "&lt;=" &amp; $A136, Table2[HomeTeam], L$1)</f>
        <v>7</v>
      </c>
      <c r="M136" s="145">
        <f>SUMIFS(Table2[NewPointsAway],Table2[GameDate], "&lt;=" &amp; $A136, Table2[AwayTeam], M$1)+SUMIFS(Table2[NewPointsHome],Table2[GameDate], "&lt;=" &amp; $A136, Table2[HomeTeam], M$1)</f>
        <v>8</v>
      </c>
      <c r="N136" s="145">
        <f>SUMIFS(Table2[NewPointsAway],Table2[GameDate], "&lt;=" &amp; $A136, Table2[AwayTeam], N$1)+SUMIFS(Table2[NewPointsHome],Table2[GameDate], "&lt;=" &amp; $A136, Table2[HomeTeam], N$1)</f>
        <v>6</v>
      </c>
      <c r="O136" s="145">
        <f>SUMIFS(Table2[NewPointsAway],Table2[GameDate], "&lt;=" &amp; $A136, Table2[AwayTeam], O$1)+SUMIFS(Table2[NewPointsHome],Table2[GameDate], "&lt;=" &amp; $A136, Table2[HomeTeam], O$1)</f>
        <v>7</v>
      </c>
      <c r="P136" s="145">
        <f>SUMIFS(Table2[NewPointsAway],Table2[GameDate], "&lt;=" &amp; $A136, Table2[AwayTeam], P$1)+SUMIFS(Table2[NewPointsHome],Table2[GameDate], "&lt;=" &amp; $A136, Table2[HomeTeam], P$1)</f>
        <v>10</v>
      </c>
      <c r="Q136" s="145">
        <f>SUMIFS(Table2[NewPointsAway],Table2[GameDate], "&lt;=" &amp; $A136, Table2[AwayTeam], Q$1)+SUMIFS(Table2[NewPointsHome],Table2[GameDate], "&lt;=" &amp; $A136, Table2[HomeTeam], Q$1)</f>
        <v>10</v>
      </c>
      <c r="R136" s="145">
        <f>SUMIFS(Table2[NewPointsAway],Table2[GameDate], "&lt;=" &amp; $A136, Table2[AwayTeam], R$1)+SUMIFS(Table2[NewPointsHome],Table2[GameDate], "&lt;=" &amp; $A136, Table2[HomeTeam], R$1)</f>
        <v>6</v>
      </c>
      <c r="S136" s="145">
        <f>SUMIFS(Table2[NewPointsAway],Table2[GameDate], "&lt;=" &amp; $A136, Table2[AwayTeam], S$1)+SUMIFS(Table2[NewPointsHome],Table2[GameDate], "&lt;=" &amp; $A136, Table2[HomeTeam], S$1)</f>
        <v>6</v>
      </c>
      <c r="T136" s="145">
        <f>SUMIFS(Table2[NewPointsAway],Table2[GameDate], "&lt;=" &amp; $A136, Table2[AwayTeam], T$1)+SUMIFS(Table2[NewPointsHome],Table2[GameDate], "&lt;=" &amp; $A136, Table2[HomeTeam], T$1)</f>
        <v>7</v>
      </c>
      <c r="U136" s="145">
        <f>SUMIFS(Table2[NewPointsAway],Table2[GameDate], "&lt;=" &amp; $A136, Table2[AwayTeam], U$1)+SUMIFS(Table2[NewPointsHome],Table2[GameDate], "&lt;=" &amp; $A136, Table2[HomeTeam], U$1)</f>
        <v>5</v>
      </c>
      <c r="V136" s="145">
        <f>SUMIFS(Table2[NewPointsAway],Table2[GameDate], "&lt;=" &amp; $A136, Table2[AwayTeam], V$1)+SUMIFS(Table2[NewPointsHome],Table2[GameDate], "&lt;=" &amp; $A136, Table2[HomeTeam], V$1)</f>
        <v>7</v>
      </c>
      <c r="W136" s="145">
        <f>SUMIFS(Table2[NewPointsAway],Table2[GameDate], "&lt;=" &amp; $A136, Table2[AwayTeam], W$1)+SUMIFS(Table2[NewPointsHome],Table2[GameDate], "&lt;=" &amp; $A136, Table2[HomeTeam], W$1)</f>
        <v>10</v>
      </c>
      <c r="X136" s="145">
        <f>SUMIFS(Table2[NewPointsAway],Table2[GameDate], "&lt;=" &amp; $A136, Table2[AwayTeam], X$1)+SUMIFS(Table2[NewPointsHome],Table2[GameDate], "&lt;=" &amp; $A136, Table2[HomeTeam], X$1)</f>
        <v>8</v>
      </c>
      <c r="Y136" s="145">
        <f>SUMIFS(Table2[NewPointsAway],Table2[GameDate], "&lt;=" &amp; $A136, Table2[AwayTeam], Y$1)+SUMIFS(Table2[NewPointsHome],Table2[GameDate], "&lt;=" &amp; $A136, Table2[HomeTeam], Y$1)</f>
        <v>2</v>
      </c>
      <c r="Z136" s="145">
        <f>SUMIFS(Table2[NewPointsAway],Table2[GameDate], "&lt;=" &amp; $A136, Table2[AwayTeam], Z$1)+SUMIFS(Table2[NewPointsHome],Table2[GameDate], "&lt;=" &amp; $A136, Table2[HomeTeam], Z$1)</f>
        <v>7</v>
      </c>
      <c r="AA136" s="145">
        <f>SUMIFS(Table2[NewPointsAway],Table2[GameDate], "&lt;=" &amp; $A136, Table2[AwayTeam], AA$1)+SUMIFS(Table2[NewPointsHome],Table2[GameDate], "&lt;=" &amp; $A136, Table2[HomeTeam], AA$1)</f>
        <v>4</v>
      </c>
      <c r="AB136" s="145">
        <f>SUMIFS(Table2[NewPointsAway],Table2[GameDate], "&lt;=" &amp; $A136, Table2[AwayTeam], AB$1)+SUMIFS(Table2[NewPointsHome],Table2[GameDate], "&lt;=" &amp; $A136, Table2[HomeTeam], AB$1)</f>
        <v>7</v>
      </c>
      <c r="AC136" s="145">
        <f>SUMIFS(Table2[NewPointsAway],Table2[GameDate], "&lt;=" &amp; $A136, Table2[AwayTeam], AC$1)+SUMIFS(Table2[NewPointsHome],Table2[GameDate], "&lt;=" &amp; $A136, Table2[HomeTeam], AC$1)</f>
        <v>10</v>
      </c>
      <c r="AD136" s="145">
        <f>SUMIFS(Table2[NewPointsAway],Table2[GameDate], "&lt;=" &amp; $A136, Table2[AwayTeam], AD$1)+SUMIFS(Table2[NewPointsHome],Table2[GameDate], "&lt;=" &amp; $A136, Table2[HomeTeam], AD$1)</f>
        <v>8</v>
      </c>
      <c r="AE136" s="145">
        <f>SUMIFS(Table2[NewPointsAway],Table2[GameDate], "&lt;=" &amp; $A136, Table2[AwayTeam], AE$1)+SUMIFS(Table2[NewPointsHome],Table2[GameDate], "&lt;=" &amp; $A136, Table2[HomeTeam], AE$1)</f>
        <v>12</v>
      </c>
      <c r="AF136" s="145">
        <f>SUMIFS(Table2[NewPointsAway],Table2[GameDate], "&lt;=" &amp; $A136, Table2[AwayTeam], AF$1)+SUMIFS(Table2[NewPointsHome],Table2[GameDate], "&lt;=" &amp; $A136, Table2[HomeTeam], AF$1)</f>
        <v>10</v>
      </c>
      <c r="AG136" s="145">
        <f>SUMIFS(Table2[NewPointsAway],Table2[GameDate], "&lt;=" &amp; $A136, Table2[AwayTeam], AG$1)+SUMIFS(Table2[NewPointsHome],Table2[GameDate], "&lt;=" &amp; $A136, Table2[HomeTeam], AG$1)</f>
        <v>10</v>
      </c>
    </row>
    <row r="137" spans="1:33" x14ac:dyDescent="0.25">
      <c r="A137" s="3">
        <v>46068</v>
      </c>
      <c r="B137" s="145">
        <f>SUMIFS(Table2[NewPointsAway],Table2[GameDate], "&lt;=" &amp; $A137, Table2[AwayTeam], B$1)+SUMIFS(Table2[NewPointsHome],Table2[GameDate], "&lt;=" &amp; $A137, Table2[HomeTeam], B$1)</f>
        <v>7</v>
      </c>
      <c r="C137" s="145">
        <f>SUMIFS(Table2[NewPointsAway],Table2[GameDate], "&lt;=" &amp; $A137, Table2[AwayTeam], C$1)+SUMIFS(Table2[NewPointsHome],Table2[GameDate], "&lt;=" &amp; $A137, Table2[HomeTeam], C$1)</f>
        <v>6</v>
      </c>
      <c r="D137" s="145">
        <f>SUMIFS(Table2[NewPointsAway],Table2[GameDate], "&lt;=" &amp; $A137, Table2[AwayTeam], D$1)+SUMIFS(Table2[NewPointsHome],Table2[GameDate], "&lt;=" &amp; $A137, Table2[HomeTeam], D$1)</f>
        <v>4</v>
      </c>
      <c r="E137" s="145">
        <f>SUMIFS(Table2[NewPointsAway],Table2[GameDate], "&lt;=" &amp; $A137, Table2[AwayTeam], E$1)+SUMIFS(Table2[NewPointsHome],Table2[GameDate], "&lt;=" &amp; $A137, Table2[HomeTeam], E$1)</f>
        <v>10</v>
      </c>
      <c r="F137" s="145">
        <f>SUMIFS(Table2[NewPointsAway],Table2[GameDate], "&lt;=" &amp; $A137, Table2[AwayTeam], F$1)+SUMIFS(Table2[NewPointsHome],Table2[GameDate], "&lt;=" &amp; $A137, Table2[HomeTeam], F$1)</f>
        <v>6</v>
      </c>
      <c r="G137" s="145">
        <f>SUMIFS(Table2[NewPointsAway],Table2[GameDate], "&lt;=" &amp; $A137, Table2[AwayTeam], G$1)+SUMIFS(Table2[NewPointsHome],Table2[GameDate], "&lt;=" &amp; $A137, Table2[HomeTeam], G$1)</f>
        <v>2</v>
      </c>
      <c r="H137" s="145">
        <f>SUMIFS(Table2[NewPointsAway],Table2[GameDate], "&lt;=" &amp; $A137, Table2[AwayTeam], H$1)+SUMIFS(Table2[NewPointsHome],Table2[GameDate], "&lt;=" &amp; $A137, Table2[HomeTeam], H$1)</f>
        <v>8</v>
      </c>
      <c r="I137" s="145">
        <f>SUMIFS(Table2[NewPointsAway],Table2[GameDate], "&lt;=" &amp; $A137, Table2[AwayTeam], I$1)+SUMIFS(Table2[NewPointsHome],Table2[GameDate], "&lt;=" &amp; $A137, Table2[HomeTeam], I$1)</f>
        <v>12</v>
      </c>
      <c r="J137" s="145">
        <f>SUMIFS(Table2[NewPointsAway],Table2[GameDate], "&lt;=" &amp; $A137, Table2[AwayTeam], J$1)+SUMIFS(Table2[NewPointsHome],Table2[GameDate], "&lt;=" &amp; $A137, Table2[HomeTeam], J$1)</f>
        <v>6</v>
      </c>
      <c r="K137" s="145">
        <f>SUMIFS(Table2[NewPointsAway],Table2[GameDate], "&lt;=" &amp; $A137, Table2[AwayTeam], K$1)+SUMIFS(Table2[NewPointsHome],Table2[GameDate], "&lt;=" &amp; $A137, Table2[HomeTeam], K$1)</f>
        <v>10</v>
      </c>
      <c r="L137" s="145">
        <f>SUMIFS(Table2[NewPointsAway],Table2[GameDate], "&lt;=" &amp; $A137, Table2[AwayTeam], L$1)+SUMIFS(Table2[NewPointsHome],Table2[GameDate], "&lt;=" &amp; $A137, Table2[HomeTeam], L$1)</f>
        <v>7</v>
      </c>
      <c r="M137" s="145">
        <f>SUMIFS(Table2[NewPointsAway],Table2[GameDate], "&lt;=" &amp; $A137, Table2[AwayTeam], M$1)+SUMIFS(Table2[NewPointsHome],Table2[GameDate], "&lt;=" &amp; $A137, Table2[HomeTeam], M$1)</f>
        <v>8</v>
      </c>
      <c r="N137" s="145">
        <f>SUMIFS(Table2[NewPointsAway],Table2[GameDate], "&lt;=" &amp; $A137, Table2[AwayTeam], N$1)+SUMIFS(Table2[NewPointsHome],Table2[GameDate], "&lt;=" &amp; $A137, Table2[HomeTeam], N$1)</f>
        <v>6</v>
      </c>
      <c r="O137" s="145">
        <f>SUMIFS(Table2[NewPointsAway],Table2[GameDate], "&lt;=" &amp; $A137, Table2[AwayTeam], O$1)+SUMIFS(Table2[NewPointsHome],Table2[GameDate], "&lt;=" &amp; $A137, Table2[HomeTeam], O$1)</f>
        <v>7</v>
      </c>
      <c r="P137" s="145">
        <f>SUMIFS(Table2[NewPointsAway],Table2[GameDate], "&lt;=" &amp; $A137, Table2[AwayTeam], P$1)+SUMIFS(Table2[NewPointsHome],Table2[GameDate], "&lt;=" &amp; $A137, Table2[HomeTeam], P$1)</f>
        <v>10</v>
      </c>
      <c r="Q137" s="145">
        <f>SUMIFS(Table2[NewPointsAway],Table2[GameDate], "&lt;=" &amp; $A137, Table2[AwayTeam], Q$1)+SUMIFS(Table2[NewPointsHome],Table2[GameDate], "&lt;=" &amp; $A137, Table2[HomeTeam], Q$1)</f>
        <v>10</v>
      </c>
      <c r="R137" s="145">
        <f>SUMIFS(Table2[NewPointsAway],Table2[GameDate], "&lt;=" &amp; $A137, Table2[AwayTeam], R$1)+SUMIFS(Table2[NewPointsHome],Table2[GameDate], "&lt;=" &amp; $A137, Table2[HomeTeam], R$1)</f>
        <v>6</v>
      </c>
      <c r="S137" s="145">
        <f>SUMIFS(Table2[NewPointsAway],Table2[GameDate], "&lt;=" &amp; $A137, Table2[AwayTeam], S$1)+SUMIFS(Table2[NewPointsHome],Table2[GameDate], "&lt;=" &amp; $A137, Table2[HomeTeam], S$1)</f>
        <v>6</v>
      </c>
      <c r="T137" s="145">
        <f>SUMIFS(Table2[NewPointsAway],Table2[GameDate], "&lt;=" &amp; $A137, Table2[AwayTeam], T$1)+SUMIFS(Table2[NewPointsHome],Table2[GameDate], "&lt;=" &amp; $A137, Table2[HomeTeam], T$1)</f>
        <v>7</v>
      </c>
      <c r="U137" s="145">
        <f>SUMIFS(Table2[NewPointsAway],Table2[GameDate], "&lt;=" &amp; $A137, Table2[AwayTeam], U$1)+SUMIFS(Table2[NewPointsHome],Table2[GameDate], "&lt;=" &amp; $A137, Table2[HomeTeam], U$1)</f>
        <v>5</v>
      </c>
      <c r="V137" s="145">
        <f>SUMIFS(Table2[NewPointsAway],Table2[GameDate], "&lt;=" &amp; $A137, Table2[AwayTeam], V$1)+SUMIFS(Table2[NewPointsHome],Table2[GameDate], "&lt;=" &amp; $A137, Table2[HomeTeam], V$1)</f>
        <v>7</v>
      </c>
      <c r="W137" s="145">
        <f>SUMIFS(Table2[NewPointsAway],Table2[GameDate], "&lt;=" &amp; $A137, Table2[AwayTeam], W$1)+SUMIFS(Table2[NewPointsHome],Table2[GameDate], "&lt;=" &amp; $A137, Table2[HomeTeam], W$1)</f>
        <v>10</v>
      </c>
      <c r="X137" s="145">
        <f>SUMIFS(Table2[NewPointsAway],Table2[GameDate], "&lt;=" &amp; $A137, Table2[AwayTeam], X$1)+SUMIFS(Table2[NewPointsHome],Table2[GameDate], "&lt;=" &amp; $A137, Table2[HomeTeam], X$1)</f>
        <v>8</v>
      </c>
      <c r="Y137" s="145">
        <f>SUMIFS(Table2[NewPointsAway],Table2[GameDate], "&lt;=" &amp; $A137, Table2[AwayTeam], Y$1)+SUMIFS(Table2[NewPointsHome],Table2[GameDate], "&lt;=" &amp; $A137, Table2[HomeTeam], Y$1)</f>
        <v>2</v>
      </c>
      <c r="Z137" s="145">
        <f>SUMIFS(Table2[NewPointsAway],Table2[GameDate], "&lt;=" &amp; $A137, Table2[AwayTeam], Z$1)+SUMIFS(Table2[NewPointsHome],Table2[GameDate], "&lt;=" &amp; $A137, Table2[HomeTeam], Z$1)</f>
        <v>7</v>
      </c>
      <c r="AA137" s="145">
        <f>SUMIFS(Table2[NewPointsAway],Table2[GameDate], "&lt;=" &amp; $A137, Table2[AwayTeam], AA$1)+SUMIFS(Table2[NewPointsHome],Table2[GameDate], "&lt;=" &amp; $A137, Table2[HomeTeam], AA$1)</f>
        <v>4</v>
      </c>
      <c r="AB137" s="145">
        <f>SUMIFS(Table2[NewPointsAway],Table2[GameDate], "&lt;=" &amp; $A137, Table2[AwayTeam], AB$1)+SUMIFS(Table2[NewPointsHome],Table2[GameDate], "&lt;=" &amp; $A137, Table2[HomeTeam], AB$1)</f>
        <v>7</v>
      </c>
      <c r="AC137" s="145">
        <f>SUMIFS(Table2[NewPointsAway],Table2[GameDate], "&lt;=" &amp; $A137, Table2[AwayTeam], AC$1)+SUMIFS(Table2[NewPointsHome],Table2[GameDate], "&lt;=" &amp; $A137, Table2[HomeTeam], AC$1)</f>
        <v>10</v>
      </c>
      <c r="AD137" s="145">
        <f>SUMIFS(Table2[NewPointsAway],Table2[GameDate], "&lt;=" &amp; $A137, Table2[AwayTeam], AD$1)+SUMIFS(Table2[NewPointsHome],Table2[GameDate], "&lt;=" &amp; $A137, Table2[HomeTeam], AD$1)</f>
        <v>8</v>
      </c>
      <c r="AE137" s="145">
        <f>SUMIFS(Table2[NewPointsAway],Table2[GameDate], "&lt;=" &amp; $A137, Table2[AwayTeam], AE$1)+SUMIFS(Table2[NewPointsHome],Table2[GameDate], "&lt;=" &amp; $A137, Table2[HomeTeam], AE$1)</f>
        <v>12</v>
      </c>
      <c r="AF137" s="145">
        <f>SUMIFS(Table2[NewPointsAway],Table2[GameDate], "&lt;=" &amp; $A137, Table2[AwayTeam], AF$1)+SUMIFS(Table2[NewPointsHome],Table2[GameDate], "&lt;=" &amp; $A137, Table2[HomeTeam], AF$1)</f>
        <v>10</v>
      </c>
      <c r="AG137" s="145">
        <f>SUMIFS(Table2[NewPointsAway],Table2[GameDate], "&lt;=" &amp; $A137, Table2[AwayTeam], AG$1)+SUMIFS(Table2[NewPointsHome],Table2[GameDate], "&lt;=" &amp; $A137, Table2[HomeTeam], AG$1)</f>
        <v>10</v>
      </c>
    </row>
    <row r="138" spans="1:33" x14ac:dyDescent="0.25">
      <c r="A138" s="3">
        <v>46069</v>
      </c>
      <c r="B138" s="145">
        <f>SUMIFS(Table2[NewPointsAway],Table2[GameDate], "&lt;=" &amp; $A138, Table2[AwayTeam], B$1)+SUMIFS(Table2[NewPointsHome],Table2[GameDate], "&lt;=" &amp; $A138, Table2[HomeTeam], B$1)</f>
        <v>7</v>
      </c>
      <c r="C138" s="145">
        <f>SUMIFS(Table2[NewPointsAway],Table2[GameDate], "&lt;=" &amp; $A138, Table2[AwayTeam], C$1)+SUMIFS(Table2[NewPointsHome],Table2[GameDate], "&lt;=" &amp; $A138, Table2[HomeTeam], C$1)</f>
        <v>6</v>
      </c>
      <c r="D138" s="145">
        <f>SUMIFS(Table2[NewPointsAway],Table2[GameDate], "&lt;=" &amp; $A138, Table2[AwayTeam], D$1)+SUMIFS(Table2[NewPointsHome],Table2[GameDate], "&lt;=" &amp; $A138, Table2[HomeTeam], D$1)</f>
        <v>4</v>
      </c>
      <c r="E138" s="145">
        <f>SUMIFS(Table2[NewPointsAway],Table2[GameDate], "&lt;=" &amp; $A138, Table2[AwayTeam], E$1)+SUMIFS(Table2[NewPointsHome],Table2[GameDate], "&lt;=" &amp; $A138, Table2[HomeTeam], E$1)</f>
        <v>10</v>
      </c>
      <c r="F138" s="145">
        <f>SUMIFS(Table2[NewPointsAway],Table2[GameDate], "&lt;=" &amp; $A138, Table2[AwayTeam], F$1)+SUMIFS(Table2[NewPointsHome],Table2[GameDate], "&lt;=" &amp; $A138, Table2[HomeTeam], F$1)</f>
        <v>6</v>
      </c>
      <c r="G138" s="145">
        <f>SUMIFS(Table2[NewPointsAway],Table2[GameDate], "&lt;=" &amp; $A138, Table2[AwayTeam], G$1)+SUMIFS(Table2[NewPointsHome],Table2[GameDate], "&lt;=" &amp; $A138, Table2[HomeTeam], G$1)</f>
        <v>2</v>
      </c>
      <c r="H138" s="145">
        <f>SUMIFS(Table2[NewPointsAway],Table2[GameDate], "&lt;=" &amp; $A138, Table2[AwayTeam], H$1)+SUMIFS(Table2[NewPointsHome],Table2[GameDate], "&lt;=" &amp; $A138, Table2[HomeTeam], H$1)</f>
        <v>8</v>
      </c>
      <c r="I138" s="145">
        <f>SUMIFS(Table2[NewPointsAway],Table2[GameDate], "&lt;=" &amp; $A138, Table2[AwayTeam], I$1)+SUMIFS(Table2[NewPointsHome],Table2[GameDate], "&lt;=" &amp; $A138, Table2[HomeTeam], I$1)</f>
        <v>12</v>
      </c>
      <c r="J138" s="145">
        <f>SUMIFS(Table2[NewPointsAway],Table2[GameDate], "&lt;=" &amp; $A138, Table2[AwayTeam], J$1)+SUMIFS(Table2[NewPointsHome],Table2[GameDate], "&lt;=" &amp; $A138, Table2[HomeTeam], J$1)</f>
        <v>6</v>
      </c>
      <c r="K138" s="145">
        <f>SUMIFS(Table2[NewPointsAway],Table2[GameDate], "&lt;=" &amp; $A138, Table2[AwayTeam], K$1)+SUMIFS(Table2[NewPointsHome],Table2[GameDate], "&lt;=" &amp; $A138, Table2[HomeTeam], K$1)</f>
        <v>10</v>
      </c>
      <c r="L138" s="145">
        <f>SUMIFS(Table2[NewPointsAway],Table2[GameDate], "&lt;=" &amp; $A138, Table2[AwayTeam], L$1)+SUMIFS(Table2[NewPointsHome],Table2[GameDate], "&lt;=" &amp; $A138, Table2[HomeTeam], L$1)</f>
        <v>7</v>
      </c>
      <c r="M138" s="145">
        <f>SUMIFS(Table2[NewPointsAway],Table2[GameDate], "&lt;=" &amp; $A138, Table2[AwayTeam], M$1)+SUMIFS(Table2[NewPointsHome],Table2[GameDate], "&lt;=" &amp; $A138, Table2[HomeTeam], M$1)</f>
        <v>8</v>
      </c>
      <c r="N138" s="145">
        <f>SUMIFS(Table2[NewPointsAway],Table2[GameDate], "&lt;=" &amp; $A138, Table2[AwayTeam], N$1)+SUMIFS(Table2[NewPointsHome],Table2[GameDate], "&lt;=" &amp; $A138, Table2[HomeTeam], N$1)</f>
        <v>6</v>
      </c>
      <c r="O138" s="145">
        <f>SUMIFS(Table2[NewPointsAway],Table2[GameDate], "&lt;=" &amp; $A138, Table2[AwayTeam], O$1)+SUMIFS(Table2[NewPointsHome],Table2[GameDate], "&lt;=" &amp; $A138, Table2[HomeTeam], O$1)</f>
        <v>7</v>
      </c>
      <c r="P138" s="145">
        <f>SUMIFS(Table2[NewPointsAway],Table2[GameDate], "&lt;=" &amp; $A138, Table2[AwayTeam], P$1)+SUMIFS(Table2[NewPointsHome],Table2[GameDate], "&lt;=" &amp; $A138, Table2[HomeTeam], P$1)</f>
        <v>10</v>
      </c>
      <c r="Q138" s="145">
        <f>SUMIFS(Table2[NewPointsAway],Table2[GameDate], "&lt;=" &amp; $A138, Table2[AwayTeam], Q$1)+SUMIFS(Table2[NewPointsHome],Table2[GameDate], "&lt;=" &amp; $A138, Table2[HomeTeam], Q$1)</f>
        <v>10</v>
      </c>
      <c r="R138" s="145">
        <f>SUMIFS(Table2[NewPointsAway],Table2[GameDate], "&lt;=" &amp; $A138, Table2[AwayTeam], R$1)+SUMIFS(Table2[NewPointsHome],Table2[GameDate], "&lt;=" &amp; $A138, Table2[HomeTeam], R$1)</f>
        <v>6</v>
      </c>
      <c r="S138" s="145">
        <f>SUMIFS(Table2[NewPointsAway],Table2[GameDate], "&lt;=" &amp; $A138, Table2[AwayTeam], S$1)+SUMIFS(Table2[NewPointsHome],Table2[GameDate], "&lt;=" &amp; $A138, Table2[HomeTeam], S$1)</f>
        <v>6</v>
      </c>
      <c r="T138" s="145">
        <f>SUMIFS(Table2[NewPointsAway],Table2[GameDate], "&lt;=" &amp; $A138, Table2[AwayTeam], T$1)+SUMIFS(Table2[NewPointsHome],Table2[GameDate], "&lt;=" &amp; $A138, Table2[HomeTeam], T$1)</f>
        <v>7</v>
      </c>
      <c r="U138" s="145">
        <f>SUMIFS(Table2[NewPointsAway],Table2[GameDate], "&lt;=" &amp; $A138, Table2[AwayTeam], U$1)+SUMIFS(Table2[NewPointsHome],Table2[GameDate], "&lt;=" &amp; $A138, Table2[HomeTeam], U$1)</f>
        <v>5</v>
      </c>
      <c r="V138" s="145">
        <f>SUMIFS(Table2[NewPointsAway],Table2[GameDate], "&lt;=" &amp; $A138, Table2[AwayTeam], V$1)+SUMIFS(Table2[NewPointsHome],Table2[GameDate], "&lt;=" &amp; $A138, Table2[HomeTeam], V$1)</f>
        <v>7</v>
      </c>
      <c r="W138" s="145">
        <f>SUMIFS(Table2[NewPointsAway],Table2[GameDate], "&lt;=" &amp; $A138, Table2[AwayTeam], W$1)+SUMIFS(Table2[NewPointsHome],Table2[GameDate], "&lt;=" &amp; $A138, Table2[HomeTeam], W$1)</f>
        <v>10</v>
      </c>
      <c r="X138" s="145">
        <f>SUMIFS(Table2[NewPointsAway],Table2[GameDate], "&lt;=" &amp; $A138, Table2[AwayTeam], X$1)+SUMIFS(Table2[NewPointsHome],Table2[GameDate], "&lt;=" &amp; $A138, Table2[HomeTeam], X$1)</f>
        <v>8</v>
      </c>
      <c r="Y138" s="145">
        <f>SUMIFS(Table2[NewPointsAway],Table2[GameDate], "&lt;=" &amp; $A138, Table2[AwayTeam], Y$1)+SUMIFS(Table2[NewPointsHome],Table2[GameDate], "&lt;=" &amp; $A138, Table2[HomeTeam], Y$1)</f>
        <v>2</v>
      </c>
      <c r="Z138" s="145">
        <f>SUMIFS(Table2[NewPointsAway],Table2[GameDate], "&lt;=" &amp; $A138, Table2[AwayTeam], Z$1)+SUMIFS(Table2[NewPointsHome],Table2[GameDate], "&lt;=" &amp; $A138, Table2[HomeTeam], Z$1)</f>
        <v>7</v>
      </c>
      <c r="AA138" s="145">
        <f>SUMIFS(Table2[NewPointsAway],Table2[GameDate], "&lt;=" &amp; $A138, Table2[AwayTeam], AA$1)+SUMIFS(Table2[NewPointsHome],Table2[GameDate], "&lt;=" &amp; $A138, Table2[HomeTeam], AA$1)</f>
        <v>4</v>
      </c>
      <c r="AB138" s="145">
        <f>SUMIFS(Table2[NewPointsAway],Table2[GameDate], "&lt;=" &amp; $A138, Table2[AwayTeam], AB$1)+SUMIFS(Table2[NewPointsHome],Table2[GameDate], "&lt;=" &amp; $A138, Table2[HomeTeam], AB$1)</f>
        <v>7</v>
      </c>
      <c r="AC138" s="145">
        <f>SUMIFS(Table2[NewPointsAway],Table2[GameDate], "&lt;=" &amp; $A138, Table2[AwayTeam], AC$1)+SUMIFS(Table2[NewPointsHome],Table2[GameDate], "&lt;=" &amp; $A138, Table2[HomeTeam], AC$1)</f>
        <v>10</v>
      </c>
      <c r="AD138" s="145">
        <f>SUMIFS(Table2[NewPointsAway],Table2[GameDate], "&lt;=" &amp; $A138, Table2[AwayTeam], AD$1)+SUMIFS(Table2[NewPointsHome],Table2[GameDate], "&lt;=" &amp; $A138, Table2[HomeTeam], AD$1)</f>
        <v>8</v>
      </c>
      <c r="AE138" s="145">
        <f>SUMIFS(Table2[NewPointsAway],Table2[GameDate], "&lt;=" &amp; $A138, Table2[AwayTeam], AE$1)+SUMIFS(Table2[NewPointsHome],Table2[GameDate], "&lt;=" &amp; $A138, Table2[HomeTeam], AE$1)</f>
        <v>12</v>
      </c>
      <c r="AF138" s="145">
        <f>SUMIFS(Table2[NewPointsAway],Table2[GameDate], "&lt;=" &amp; $A138, Table2[AwayTeam], AF$1)+SUMIFS(Table2[NewPointsHome],Table2[GameDate], "&lt;=" &amp; $A138, Table2[HomeTeam], AF$1)</f>
        <v>10</v>
      </c>
      <c r="AG138" s="145">
        <f>SUMIFS(Table2[NewPointsAway],Table2[GameDate], "&lt;=" &amp; $A138, Table2[AwayTeam], AG$1)+SUMIFS(Table2[NewPointsHome],Table2[GameDate], "&lt;=" &amp; $A138, Table2[HomeTeam], AG$1)</f>
        <v>10</v>
      </c>
    </row>
    <row r="139" spans="1:33" x14ac:dyDescent="0.25">
      <c r="A139" s="3">
        <v>46070</v>
      </c>
      <c r="B139" s="145">
        <f>SUMIFS(Table2[NewPointsAway],Table2[GameDate], "&lt;=" &amp; $A139, Table2[AwayTeam], B$1)+SUMIFS(Table2[NewPointsHome],Table2[GameDate], "&lt;=" &amp; $A139, Table2[HomeTeam], B$1)</f>
        <v>7</v>
      </c>
      <c r="C139" s="145">
        <f>SUMIFS(Table2[NewPointsAway],Table2[GameDate], "&lt;=" &amp; $A139, Table2[AwayTeam], C$1)+SUMIFS(Table2[NewPointsHome],Table2[GameDate], "&lt;=" &amp; $A139, Table2[HomeTeam], C$1)</f>
        <v>6</v>
      </c>
      <c r="D139" s="145">
        <f>SUMIFS(Table2[NewPointsAway],Table2[GameDate], "&lt;=" &amp; $A139, Table2[AwayTeam], D$1)+SUMIFS(Table2[NewPointsHome],Table2[GameDate], "&lt;=" &amp; $A139, Table2[HomeTeam], D$1)</f>
        <v>4</v>
      </c>
      <c r="E139" s="145">
        <f>SUMIFS(Table2[NewPointsAway],Table2[GameDate], "&lt;=" &amp; $A139, Table2[AwayTeam], E$1)+SUMIFS(Table2[NewPointsHome],Table2[GameDate], "&lt;=" &amp; $A139, Table2[HomeTeam], E$1)</f>
        <v>10</v>
      </c>
      <c r="F139" s="145">
        <f>SUMIFS(Table2[NewPointsAway],Table2[GameDate], "&lt;=" &amp; $A139, Table2[AwayTeam], F$1)+SUMIFS(Table2[NewPointsHome],Table2[GameDate], "&lt;=" &amp; $A139, Table2[HomeTeam], F$1)</f>
        <v>6</v>
      </c>
      <c r="G139" s="145">
        <f>SUMIFS(Table2[NewPointsAway],Table2[GameDate], "&lt;=" &amp; $A139, Table2[AwayTeam], G$1)+SUMIFS(Table2[NewPointsHome],Table2[GameDate], "&lt;=" &amp; $A139, Table2[HomeTeam], G$1)</f>
        <v>2</v>
      </c>
      <c r="H139" s="145">
        <f>SUMIFS(Table2[NewPointsAway],Table2[GameDate], "&lt;=" &amp; $A139, Table2[AwayTeam], H$1)+SUMIFS(Table2[NewPointsHome],Table2[GameDate], "&lt;=" &amp; $A139, Table2[HomeTeam], H$1)</f>
        <v>8</v>
      </c>
      <c r="I139" s="145">
        <f>SUMIFS(Table2[NewPointsAway],Table2[GameDate], "&lt;=" &amp; $A139, Table2[AwayTeam], I$1)+SUMIFS(Table2[NewPointsHome],Table2[GameDate], "&lt;=" &amp; $A139, Table2[HomeTeam], I$1)</f>
        <v>12</v>
      </c>
      <c r="J139" s="145">
        <f>SUMIFS(Table2[NewPointsAway],Table2[GameDate], "&lt;=" &amp; $A139, Table2[AwayTeam], J$1)+SUMIFS(Table2[NewPointsHome],Table2[GameDate], "&lt;=" &amp; $A139, Table2[HomeTeam], J$1)</f>
        <v>6</v>
      </c>
      <c r="K139" s="145">
        <f>SUMIFS(Table2[NewPointsAway],Table2[GameDate], "&lt;=" &amp; $A139, Table2[AwayTeam], K$1)+SUMIFS(Table2[NewPointsHome],Table2[GameDate], "&lt;=" &amp; $A139, Table2[HomeTeam], K$1)</f>
        <v>10</v>
      </c>
      <c r="L139" s="145">
        <f>SUMIFS(Table2[NewPointsAway],Table2[GameDate], "&lt;=" &amp; $A139, Table2[AwayTeam], L$1)+SUMIFS(Table2[NewPointsHome],Table2[GameDate], "&lt;=" &amp; $A139, Table2[HomeTeam], L$1)</f>
        <v>7</v>
      </c>
      <c r="M139" s="145">
        <f>SUMIFS(Table2[NewPointsAway],Table2[GameDate], "&lt;=" &amp; $A139, Table2[AwayTeam], M$1)+SUMIFS(Table2[NewPointsHome],Table2[GameDate], "&lt;=" &amp; $A139, Table2[HomeTeam], M$1)</f>
        <v>8</v>
      </c>
      <c r="N139" s="145">
        <f>SUMIFS(Table2[NewPointsAway],Table2[GameDate], "&lt;=" &amp; $A139, Table2[AwayTeam], N$1)+SUMIFS(Table2[NewPointsHome],Table2[GameDate], "&lt;=" &amp; $A139, Table2[HomeTeam], N$1)</f>
        <v>6</v>
      </c>
      <c r="O139" s="145">
        <f>SUMIFS(Table2[NewPointsAway],Table2[GameDate], "&lt;=" &amp; $A139, Table2[AwayTeam], O$1)+SUMIFS(Table2[NewPointsHome],Table2[GameDate], "&lt;=" &amp; $A139, Table2[HomeTeam], O$1)</f>
        <v>7</v>
      </c>
      <c r="P139" s="145">
        <f>SUMIFS(Table2[NewPointsAway],Table2[GameDate], "&lt;=" &amp; $A139, Table2[AwayTeam], P$1)+SUMIFS(Table2[NewPointsHome],Table2[GameDate], "&lt;=" &amp; $A139, Table2[HomeTeam], P$1)</f>
        <v>10</v>
      </c>
      <c r="Q139" s="145">
        <f>SUMIFS(Table2[NewPointsAway],Table2[GameDate], "&lt;=" &amp; $A139, Table2[AwayTeam], Q$1)+SUMIFS(Table2[NewPointsHome],Table2[GameDate], "&lt;=" &amp; $A139, Table2[HomeTeam], Q$1)</f>
        <v>10</v>
      </c>
      <c r="R139" s="145">
        <f>SUMIFS(Table2[NewPointsAway],Table2[GameDate], "&lt;=" &amp; $A139, Table2[AwayTeam], R$1)+SUMIFS(Table2[NewPointsHome],Table2[GameDate], "&lt;=" &amp; $A139, Table2[HomeTeam], R$1)</f>
        <v>6</v>
      </c>
      <c r="S139" s="145">
        <f>SUMIFS(Table2[NewPointsAway],Table2[GameDate], "&lt;=" &amp; $A139, Table2[AwayTeam], S$1)+SUMIFS(Table2[NewPointsHome],Table2[GameDate], "&lt;=" &amp; $A139, Table2[HomeTeam], S$1)</f>
        <v>6</v>
      </c>
      <c r="T139" s="145">
        <f>SUMIFS(Table2[NewPointsAway],Table2[GameDate], "&lt;=" &amp; $A139, Table2[AwayTeam], T$1)+SUMIFS(Table2[NewPointsHome],Table2[GameDate], "&lt;=" &amp; $A139, Table2[HomeTeam], T$1)</f>
        <v>7</v>
      </c>
      <c r="U139" s="145">
        <f>SUMIFS(Table2[NewPointsAway],Table2[GameDate], "&lt;=" &amp; $A139, Table2[AwayTeam], U$1)+SUMIFS(Table2[NewPointsHome],Table2[GameDate], "&lt;=" &amp; $A139, Table2[HomeTeam], U$1)</f>
        <v>5</v>
      </c>
      <c r="V139" s="145">
        <f>SUMIFS(Table2[NewPointsAway],Table2[GameDate], "&lt;=" &amp; $A139, Table2[AwayTeam], V$1)+SUMIFS(Table2[NewPointsHome],Table2[GameDate], "&lt;=" &amp; $A139, Table2[HomeTeam], V$1)</f>
        <v>7</v>
      </c>
      <c r="W139" s="145">
        <f>SUMIFS(Table2[NewPointsAway],Table2[GameDate], "&lt;=" &amp; $A139, Table2[AwayTeam], W$1)+SUMIFS(Table2[NewPointsHome],Table2[GameDate], "&lt;=" &amp; $A139, Table2[HomeTeam], W$1)</f>
        <v>10</v>
      </c>
      <c r="X139" s="145">
        <f>SUMIFS(Table2[NewPointsAway],Table2[GameDate], "&lt;=" &amp; $A139, Table2[AwayTeam], X$1)+SUMIFS(Table2[NewPointsHome],Table2[GameDate], "&lt;=" &amp; $A139, Table2[HomeTeam], X$1)</f>
        <v>8</v>
      </c>
      <c r="Y139" s="145">
        <f>SUMIFS(Table2[NewPointsAway],Table2[GameDate], "&lt;=" &amp; $A139, Table2[AwayTeam], Y$1)+SUMIFS(Table2[NewPointsHome],Table2[GameDate], "&lt;=" &amp; $A139, Table2[HomeTeam], Y$1)</f>
        <v>2</v>
      </c>
      <c r="Z139" s="145">
        <f>SUMIFS(Table2[NewPointsAway],Table2[GameDate], "&lt;=" &amp; $A139, Table2[AwayTeam], Z$1)+SUMIFS(Table2[NewPointsHome],Table2[GameDate], "&lt;=" &amp; $A139, Table2[HomeTeam], Z$1)</f>
        <v>7</v>
      </c>
      <c r="AA139" s="145">
        <f>SUMIFS(Table2[NewPointsAway],Table2[GameDate], "&lt;=" &amp; $A139, Table2[AwayTeam], AA$1)+SUMIFS(Table2[NewPointsHome],Table2[GameDate], "&lt;=" &amp; $A139, Table2[HomeTeam], AA$1)</f>
        <v>4</v>
      </c>
      <c r="AB139" s="145">
        <f>SUMIFS(Table2[NewPointsAway],Table2[GameDate], "&lt;=" &amp; $A139, Table2[AwayTeam], AB$1)+SUMIFS(Table2[NewPointsHome],Table2[GameDate], "&lt;=" &amp; $A139, Table2[HomeTeam], AB$1)</f>
        <v>7</v>
      </c>
      <c r="AC139" s="145">
        <f>SUMIFS(Table2[NewPointsAway],Table2[GameDate], "&lt;=" &amp; $A139, Table2[AwayTeam], AC$1)+SUMIFS(Table2[NewPointsHome],Table2[GameDate], "&lt;=" &amp; $A139, Table2[HomeTeam], AC$1)</f>
        <v>10</v>
      </c>
      <c r="AD139" s="145">
        <f>SUMIFS(Table2[NewPointsAway],Table2[GameDate], "&lt;=" &amp; $A139, Table2[AwayTeam], AD$1)+SUMIFS(Table2[NewPointsHome],Table2[GameDate], "&lt;=" &amp; $A139, Table2[HomeTeam], AD$1)</f>
        <v>8</v>
      </c>
      <c r="AE139" s="145">
        <f>SUMIFS(Table2[NewPointsAway],Table2[GameDate], "&lt;=" &amp; $A139, Table2[AwayTeam], AE$1)+SUMIFS(Table2[NewPointsHome],Table2[GameDate], "&lt;=" &amp; $A139, Table2[HomeTeam], AE$1)</f>
        <v>12</v>
      </c>
      <c r="AF139" s="145">
        <f>SUMIFS(Table2[NewPointsAway],Table2[GameDate], "&lt;=" &amp; $A139, Table2[AwayTeam], AF$1)+SUMIFS(Table2[NewPointsHome],Table2[GameDate], "&lt;=" &amp; $A139, Table2[HomeTeam], AF$1)</f>
        <v>10</v>
      </c>
      <c r="AG139" s="145">
        <f>SUMIFS(Table2[NewPointsAway],Table2[GameDate], "&lt;=" &amp; $A139, Table2[AwayTeam], AG$1)+SUMIFS(Table2[NewPointsHome],Table2[GameDate], "&lt;=" &amp; $A139, Table2[HomeTeam], AG$1)</f>
        <v>10</v>
      </c>
    </row>
    <row r="140" spans="1:33" x14ac:dyDescent="0.25">
      <c r="A140" s="3">
        <v>46071</v>
      </c>
      <c r="B140" s="145">
        <f>SUMIFS(Table2[NewPointsAway],Table2[GameDate], "&lt;=" &amp; $A140, Table2[AwayTeam], B$1)+SUMIFS(Table2[NewPointsHome],Table2[GameDate], "&lt;=" &amp; $A140, Table2[HomeTeam], B$1)</f>
        <v>7</v>
      </c>
      <c r="C140" s="145">
        <f>SUMIFS(Table2[NewPointsAway],Table2[GameDate], "&lt;=" &amp; $A140, Table2[AwayTeam], C$1)+SUMIFS(Table2[NewPointsHome],Table2[GameDate], "&lt;=" &amp; $A140, Table2[HomeTeam], C$1)</f>
        <v>6</v>
      </c>
      <c r="D140" s="145">
        <f>SUMIFS(Table2[NewPointsAway],Table2[GameDate], "&lt;=" &amp; $A140, Table2[AwayTeam], D$1)+SUMIFS(Table2[NewPointsHome],Table2[GameDate], "&lt;=" &amp; $A140, Table2[HomeTeam], D$1)</f>
        <v>4</v>
      </c>
      <c r="E140" s="145">
        <f>SUMIFS(Table2[NewPointsAway],Table2[GameDate], "&lt;=" &amp; $A140, Table2[AwayTeam], E$1)+SUMIFS(Table2[NewPointsHome],Table2[GameDate], "&lt;=" &amp; $A140, Table2[HomeTeam], E$1)</f>
        <v>10</v>
      </c>
      <c r="F140" s="145">
        <f>SUMIFS(Table2[NewPointsAway],Table2[GameDate], "&lt;=" &amp; $A140, Table2[AwayTeam], F$1)+SUMIFS(Table2[NewPointsHome],Table2[GameDate], "&lt;=" &amp; $A140, Table2[HomeTeam], F$1)</f>
        <v>6</v>
      </c>
      <c r="G140" s="145">
        <f>SUMIFS(Table2[NewPointsAway],Table2[GameDate], "&lt;=" &amp; $A140, Table2[AwayTeam], G$1)+SUMIFS(Table2[NewPointsHome],Table2[GameDate], "&lt;=" &amp; $A140, Table2[HomeTeam], G$1)</f>
        <v>2</v>
      </c>
      <c r="H140" s="145">
        <f>SUMIFS(Table2[NewPointsAway],Table2[GameDate], "&lt;=" &amp; $A140, Table2[AwayTeam], H$1)+SUMIFS(Table2[NewPointsHome],Table2[GameDate], "&lt;=" &amp; $A140, Table2[HomeTeam], H$1)</f>
        <v>8</v>
      </c>
      <c r="I140" s="145">
        <f>SUMIFS(Table2[NewPointsAway],Table2[GameDate], "&lt;=" &amp; $A140, Table2[AwayTeam], I$1)+SUMIFS(Table2[NewPointsHome],Table2[GameDate], "&lt;=" &amp; $A140, Table2[HomeTeam], I$1)</f>
        <v>12</v>
      </c>
      <c r="J140" s="145">
        <f>SUMIFS(Table2[NewPointsAway],Table2[GameDate], "&lt;=" &amp; $A140, Table2[AwayTeam], J$1)+SUMIFS(Table2[NewPointsHome],Table2[GameDate], "&lt;=" &amp; $A140, Table2[HomeTeam], J$1)</f>
        <v>6</v>
      </c>
      <c r="K140" s="145">
        <f>SUMIFS(Table2[NewPointsAway],Table2[GameDate], "&lt;=" &amp; $A140, Table2[AwayTeam], K$1)+SUMIFS(Table2[NewPointsHome],Table2[GameDate], "&lt;=" &amp; $A140, Table2[HomeTeam], K$1)</f>
        <v>10</v>
      </c>
      <c r="L140" s="145">
        <f>SUMIFS(Table2[NewPointsAway],Table2[GameDate], "&lt;=" &amp; $A140, Table2[AwayTeam], L$1)+SUMIFS(Table2[NewPointsHome],Table2[GameDate], "&lt;=" &amp; $A140, Table2[HomeTeam], L$1)</f>
        <v>7</v>
      </c>
      <c r="M140" s="145">
        <f>SUMIFS(Table2[NewPointsAway],Table2[GameDate], "&lt;=" &amp; $A140, Table2[AwayTeam], M$1)+SUMIFS(Table2[NewPointsHome],Table2[GameDate], "&lt;=" &amp; $A140, Table2[HomeTeam], M$1)</f>
        <v>8</v>
      </c>
      <c r="N140" s="145">
        <f>SUMIFS(Table2[NewPointsAway],Table2[GameDate], "&lt;=" &amp; $A140, Table2[AwayTeam], N$1)+SUMIFS(Table2[NewPointsHome],Table2[GameDate], "&lt;=" &amp; $A140, Table2[HomeTeam], N$1)</f>
        <v>6</v>
      </c>
      <c r="O140" s="145">
        <f>SUMIFS(Table2[NewPointsAway],Table2[GameDate], "&lt;=" &amp; $A140, Table2[AwayTeam], O$1)+SUMIFS(Table2[NewPointsHome],Table2[GameDate], "&lt;=" &amp; $A140, Table2[HomeTeam], O$1)</f>
        <v>7</v>
      </c>
      <c r="P140" s="145">
        <f>SUMIFS(Table2[NewPointsAway],Table2[GameDate], "&lt;=" &amp; $A140, Table2[AwayTeam], P$1)+SUMIFS(Table2[NewPointsHome],Table2[GameDate], "&lt;=" &amp; $A140, Table2[HomeTeam], P$1)</f>
        <v>10</v>
      </c>
      <c r="Q140" s="145">
        <f>SUMIFS(Table2[NewPointsAway],Table2[GameDate], "&lt;=" &amp; $A140, Table2[AwayTeam], Q$1)+SUMIFS(Table2[NewPointsHome],Table2[GameDate], "&lt;=" &amp; $A140, Table2[HomeTeam], Q$1)</f>
        <v>10</v>
      </c>
      <c r="R140" s="145">
        <f>SUMIFS(Table2[NewPointsAway],Table2[GameDate], "&lt;=" &amp; $A140, Table2[AwayTeam], R$1)+SUMIFS(Table2[NewPointsHome],Table2[GameDate], "&lt;=" &amp; $A140, Table2[HomeTeam], R$1)</f>
        <v>6</v>
      </c>
      <c r="S140" s="145">
        <f>SUMIFS(Table2[NewPointsAway],Table2[GameDate], "&lt;=" &amp; $A140, Table2[AwayTeam], S$1)+SUMIFS(Table2[NewPointsHome],Table2[GameDate], "&lt;=" &amp; $A140, Table2[HomeTeam], S$1)</f>
        <v>6</v>
      </c>
      <c r="T140" s="145">
        <f>SUMIFS(Table2[NewPointsAway],Table2[GameDate], "&lt;=" &amp; $A140, Table2[AwayTeam], T$1)+SUMIFS(Table2[NewPointsHome],Table2[GameDate], "&lt;=" &amp; $A140, Table2[HomeTeam], T$1)</f>
        <v>7</v>
      </c>
      <c r="U140" s="145">
        <f>SUMIFS(Table2[NewPointsAway],Table2[GameDate], "&lt;=" &amp; $A140, Table2[AwayTeam], U$1)+SUMIFS(Table2[NewPointsHome],Table2[GameDate], "&lt;=" &amp; $A140, Table2[HomeTeam], U$1)</f>
        <v>5</v>
      </c>
      <c r="V140" s="145">
        <f>SUMIFS(Table2[NewPointsAway],Table2[GameDate], "&lt;=" &amp; $A140, Table2[AwayTeam], V$1)+SUMIFS(Table2[NewPointsHome],Table2[GameDate], "&lt;=" &amp; $A140, Table2[HomeTeam], V$1)</f>
        <v>7</v>
      </c>
      <c r="W140" s="145">
        <f>SUMIFS(Table2[NewPointsAway],Table2[GameDate], "&lt;=" &amp; $A140, Table2[AwayTeam], W$1)+SUMIFS(Table2[NewPointsHome],Table2[GameDate], "&lt;=" &amp; $A140, Table2[HomeTeam], W$1)</f>
        <v>10</v>
      </c>
      <c r="X140" s="145">
        <f>SUMIFS(Table2[NewPointsAway],Table2[GameDate], "&lt;=" &amp; $A140, Table2[AwayTeam], X$1)+SUMIFS(Table2[NewPointsHome],Table2[GameDate], "&lt;=" &amp; $A140, Table2[HomeTeam], X$1)</f>
        <v>8</v>
      </c>
      <c r="Y140" s="145">
        <f>SUMIFS(Table2[NewPointsAway],Table2[GameDate], "&lt;=" &amp; $A140, Table2[AwayTeam], Y$1)+SUMIFS(Table2[NewPointsHome],Table2[GameDate], "&lt;=" &amp; $A140, Table2[HomeTeam], Y$1)</f>
        <v>2</v>
      </c>
      <c r="Z140" s="145">
        <f>SUMIFS(Table2[NewPointsAway],Table2[GameDate], "&lt;=" &amp; $A140, Table2[AwayTeam], Z$1)+SUMIFS(Table2[NewPointsHome],Table2[GameDate], "&lt;=" &amp; $A140, Table2[HomeTeam], Z$1)</f>
        <v>7</v>
      </c>
      <c r="AA140" s="145">
        <f>SUMIFS(Table2[NewPointsAway],Table2[GameDate], "&lt;=" &amp; $A140, Table2[AwayTeam], AA$1)+SUMIFS(Table2[NewPointsHome],Table2[GameDate], "&lt;=" &amp; $A140, Table2[HomeTeam], AA$1)</f>
        <v>4</v>
      </c>
      <c r="AB140" s="145">
        <f>SUMIFS(Table2[NewPointsAway],Table2[GameDate], "&lt;=" &amp; $A140, Table2[AwayTeam], AB$1)+SUMIFS(Table2[NewPointsHome],Table2[GameDate], "&lt;=" &amp; $A140, Table2[HomeTeam], AB$1)</f>
        <v>7</v>
      </c>
      <c r="AC140" s="145">
        <f>SUMIFS(Table2[NewPointsAway],Table2[GameDate], "&lt;=" &amp; $A140, Table2[AwayTeam], AC$1)+SUMIFS(Table2[NewPointsHome],Table2[GameDate], "&lt;=" &amp; $A140, Table2[HomeTeam], AC$1)</f>
        <v>10</v>
      </c>
      <c r="AD140" s="145">
        <f>SUMIFS(Table2[NewPointsAway],Table2[GameDate], "&lt;=" &amp; $A140, Table2[AwayTeam], AD$1)+SUMIFS(Table2[NewPointsHome],Table2[GameDate], "&lt;=" &amp; $A140, Table2[HomeTeam], AD$1)</f>
        <v>8</v>
      </c>
      <c r="AE140" s="145">
        <f>SUMIFS(Table2[NewPointsAway],Table2[GameDate], "&lt;=" &amp; $A140, Table2[AwayTeam], AE$1)+SUMIFS(Table2[NewPointsHome],Table2[GameDate], "&lt;=" &amp; $A140, Table2[HomeTeam], AE$1)</f>
        <v>12</v>
      </c>
      <c r="AF140" s="145">
        <f>SUMIFS(Table2[NewPointsAway],Table2[GameDate], "&lt;=" &amp; $A140, Table2[AwayTeam], AF$1)+SUMIFS(Table2[NewPointsHome],Table2[GameDate], "&lt;=" &amp; $A140, Table2[HomeTeam], AF$1)</f>
        <v>10</v>
      </c>
      <c r="AG140" s="145">
        <f>SUMIFS(Table2[NewPointsAway],Table2[GameDate], "&lt;=" &amp; $A140, Table2[AwayTeam], AG$1)+SUMIFS(Table2[NewPointsHome],Table2[GameDate], "&lt;=" &amp; $A140, Table2[HomeTeam], AG$1)</f>
        <v>10</v>
      </c>
    </row>
    <row r="141" spans="1:33" x14ac:dyDescent="0.25">
      <c r="A141" s="3">
        <v>46072</v>
      </c>
      <c r="B141" s="145">
        <f>SUMIFS(Table2[NewPointsAway],Table2[GameDate], "&lt;=" &amp; $A141, Table2[AwayTeam], B$1)+SUMIFS(Table2[NewPointsHome],Table2[GameDate], "&lt;=" &amp; $A141, Table2[HomeTeam], B$1)</f>
        <v>7</v>
      </c>
      <c r="C141" s="145">
        <f>SUMIFS(Table2[NewPointsAway],Table2[GameDate], "&lt;=" &amp; $A141, Table2[AwayTeam], C$1)+SUMIFS(Table2[NewPointsHome],Table2[GameDate], "&lt;=" &amp; $A141, Table2[HomeTeam], C$1)</f>
        <v>6</v>
      </c>
      <c r="D141" s="145">
        <f>SUMIFS(Table2[NewPointsAway],Table2[GameDate], "&lt;=" &amp; $A141, Table2[AwayTeam], D$1)+SUMIFS(Table2[NewPointsHome],Table2[GameDate], "&lt;=" &amp; $A141, Table2[HomeTeam], D$1)</f>
        <v>4</v>
      </c>
      <c r="E141" s="145">
        <f>SUMIFS(Table2[NewPointsAway],Table2[GameDate], "&lt;=" &amp; $A141, Table2[AwayTeam], E$1)+SUMIFS(Table2[NewPointsHome],Table2[GameDate], "&lt;=" &amp; $A141, Table2[HomeTeam], E$1)</f>
        <v>10</v>
      </c>
      <c r="F141" s="145">
        <f>SUMIFS(Table2[NewPointsAway],Table2[GameDate], "&lt;=" &amp; $A141, Table2[AwayTeam], F$1)+SUMIFS(Table2[NewPointsHome],Table2[GameDate], "&lt;=" &amp; $A141, Table2[HomeTeam], F$1)</f>
        <v>6</v>
      </c>
      <c r="G141" s="145">
        <f>SUMIFS(Table2[NewPointsAway],Table2[GameDate], "&lt;=" &amp; $A141, Table2[AwayTeam], G$1)+SUMIFS(Table2[NewPointsHome],Table2[GameDate], "&lt;=" &amp; $A141, Table2[HomeTeam], G$1)</f>
        <v>2</v>
      </c>
      <c r="H141" s="145">
        <f>SUMIFS(Table2[NewPointsAway],Table2[GameDate], "&lt;=" &amp; $A141, Table2[AwayTeam], H$1)+SUMIFS(Table2[NewPointsHome],Table2[GameDate], "&lt;=" &amp; $A141, Table2[HomeTeam], H$1)</f>
        <v>8</v>
      </c>
      <c r="I141" s="145">
        <f>SUMIFS(Table2[NewPointsAway],Table2[GameDate], "&lt;=" &amp; $A141, Table2[AwayTeam], I$1)+SUMIFS(Table2[NewPointsHome],Table2[GameDate], "&lt;=" &amp; $A141, Table2[HomeTeam], I$1)</f>
        <v>12</v>
      </c>
      <c r="J141" s="145">
        <f>SUMIFS(Table2[NewPointsAway],Table2[GameDate], "&lt;=" &amp; $A141, Table2[AwayTeam], J$1)+SUMIFS(Table2[NewPointsHome],Table2[GameDate], "&lt;=" &amp; $A141, Table2[HomeTeam], J$1)</f>
        <v>6</v>
      </c>
      <c r="K141" s="145">
        <f>SUMIFS(Table2[NewPointsAway],Table2[GameDate], "&lt;=" &amp; $A141, Table2[AwayTeam], K$1)+SUMIFS(Table2[NewPointsHome],Table2[GameDate], "&lt;=" &amp; $A141, Table2[HomeTeam], K$1)</f>
        <v>10</v>
      </c>
      <c r="L141" s="145">
        <f>SUMIFS(Table2[NewPointsAway],Table2[GameDate], "&lt;=" &amp; $A141, Table2[AwayTeam], L$1)+SUMIFS(Table2[NewPointsHome],Table2[GameDate], "&lt;=" &amp; $A141, Table2[HomeTeam], L$1)</f>
        <v>7</v>
      </c>
      <c r="M141" s="145">
        <f>SUMIFS(Table2[NewPointsAway],Table2[GameDate], "&lt;=" &amp; $A141, Table2[AwayTeam], M$1)+SUMIFS(Table2[NewPointsHome],Table2[GameDate], "&lt;=" &amp; $A141, Table2[HomeTeam], M$1)</f>
        <v>8</v>
      </c>
      <c r="N141" s="145">
        <f>SUMIFS(Table2[NewPointsAway],Table2[GameDate], "&lt;=" &amp; $A141, Table2[AwayTeam], N$1)+SUMIFS(Table2[NewPointsHome],Table2[GameDate], "&lt;=" &amp; $A141, Table2[HomeTeam], N$1)</f>
        <v>6</v>
      </c>
      <c r="O141" s="145">
        <f>SUMIFS(Table2[NewPointsAway],Table2[GameDate], "&lt;=" &amp; $A141, Table2[AwayTeam], O$1)+SUMIFS(Table2[NewPointsHome],Table2[GameDate], "&lt;=" &amp; $A141, Table2[HomeTeam], O$1)</f>
        <v>7</v>
      </c>
      <c r="P141" s="145">
        <f>SUMIFS(Table2[NewPointsAway],Table2[GameDate], "&lt;=" &amp; $A141, Table2[AwayTeam], P$1)+SUMIFS(Table2[NewPointsHome],Table2[GameDate], "&lt;=" &amp; $A141, Table2[HomeTeam], P$1)</f>
        <v>10</v>
      </c>
      <c r="Q141" s="145">
        <f>SUMIFS(Table2[NewPointsAway],Table2[GameDate], "&lt;=" &amp; $A141, Table2[AwayTeam], Q$1)+SUMIFS(Table2[NewPointsHome],Table2[GameDate], "&lt;=" &amp; $A141, Table2[HomeTeam], Q$1)</f>
        <v>10</v>
      </c>
      <c r="R141" s="145">
        <f>SUMIFS(Table2[NewPointsAway],Table2[GameDate], "&lt;=" &amp; $A141, Table2[AwayTeam], R$1)+SUMIFS(Table2[NewPointsHome],Table2[GameDate], "&lt;=" &amp; $A141, Table2[HomeTeam], R$1)</f>
        <v>6</v>
      </c>
      <c r="S141" s="145">
        <f>SUMIFS(Table2[NewPointsAway],Table2[GameDate], "&lt;=" &amp; $A141, Table2[AwayTeam], S$1)+SUMIFS(Table2[NewPointsHome],Table2[GameDate], "&lt;=" &amp; $A141, Table2[HomeTeam], S$1)</f>
        <v>6</v>
      </c>
      <c r="T141" s="145">
        <f>SUMIFS(Table2[NewPointsAway],Table2[GameDate], "&lt;=" &amp; $A141, Table2[AwayTeam], T$1)+SUMIFS(Table2[NewPointsHome],Table2[GameDate], "&lt;=" &amp; $A141, Table2[HomeTeam], T$1)</f>
        <v>7</v>
      </c>
      <c r="U141" s="145">
        <f>SUMIFS(Table2[NewPointsAway],Table2[GameDate], "&lt;=" &amp; $A141, Table2[AwayTeam], U$1)+SUMIFS(Table2[NewPointsHome],Table2[GameDate], "&lt;=" &amp; $A141, Table2[HomeTeam], U$1)</f>
        <v>5</v>
      </c>
      <c r="V141" s="145">
        <f>SUMIFS(Table2[NewPointsAway],Table2[GameDate], "&lt;=" &amp; $A141, Table2[AwayTeam], V$1)+SUMIFS(Table2[NewPointsHome],Table2[GameDate], "&lt;=" &amp; $A141, Table2[HomeTeam], V$1)</f>
        <v>7</v>
      </c>
      <c r="W141" s="145">
        <f>SUMIFS(Table2[NewPointsAway],Table2[GameDate], "&lt;=" &amp; $A141, Table2[AwayTeam], W$1)+SUMIFS(Table2[NewPointsHome],Table2[GameDate], "&lt;=" &amp; $A141, Table2[HomeTeam], W$1)</f>
        <v>10</v>
      </c>
      <c r="X141" s="145">
        <f>SUMIFS(Table2[NewPointsAway],Table2[GameDate], "&lt;=" &amp; $A141, Table2[AwayTeam], X$1)+SUMIFS(Table2[NewPointsHome],Table2[GameDate], "&lt;=" &amp; $A141, Table2[HomeTeam], X$1)</f>
        <v>8</v>
      </c>
      <c r="Y141" s="145">
        <f>SUMIFS(Table2[NewPointsAway],Table2[GameDate], "&lt;=" &amp; $A141, Table2[AwayTeam], Y$1)+SUMIFS(Table2[NewPointsHome],Table2[GameDate], "&lt;=" &amp; $A141, Table2[HomeTeam], Y$1)</f>
        <v>2</v>
      </c>
      <c r="Z141" s="145">
        <f>SUMIFS(Table2[NewPointsAway],Table2[GameDate], "&lt;=" &amp; $A141, Table2[AwayTeam], Z$1)+SUMIFS(Table2[NewPointsHome],Table2[GameDate], "&lt;=" &amp; $A141, Table2[HomeTeam], Z$1)</f>
        <v>7</v>
      </c>
      <c r="AA141" s="145">
        <f>SUMIFS(Table2[NewPointsAway],Table2[GameDate], "&lt;=" &amp; $A141, Table2[AwayTeam], AA$1)+SUMIFS(Table2[NewPointsHome],Table2[GameDate], "&lt;=" &amp; $A141, Table2[HomeTeam], AA$1)</f>
        <v>4</v>
      </c>
      <c r="AB141" s="145">
        <f>SUMIFS(Table2[NewPointsAway],Table2[GameDate], "&lt;=" &amp; $A141, Table2[AwayTeam], AB$1)+SUMIFS(Table2[NewPointsHome],Table2[GameDate], "&lt;=" &amp; $A141, Table2[HomeTeam], AB$1)</f>
        <v>7</v>
      </c>
      <c r="AC141" s="145">
        <f>SUMIFS(Table2[NewPointsAway],Table2[GameDate], "&lt;=" &amp; $A141, Table2[AwayTeam], AC$1)+SUMIFS(Table2[NewPointsHome],Table2[GameDate], "&lt;=" &amp; $A141, Table2[HomeTeam], AC$1)</f>
        <v>10</v>
      </c>
      <c r="AD141" s="145">
        <f>SUMIFS(Table2[NewPointsAway],Table2[GameDate], "&lt;=" &amp; $A141, Table2[AwayTeam], AD$1)+SUMIFS(Table2[NewPointsHome],Table2[GameDate], "&lt;=" &amp; $A141, Table2[HomeTeam], AD$1)</f>
        <v>8</v>
      </c>
      <c r="AE141" s="145">
        <f>SUMIFS(Table2[NewPointsAway],Table2[GameDate], "&lt;=" &amp; $A141, Table2[AwayTeam], AE$1)+SUMIFS(Table2[NewPointsHome],Table2[GameDate], "&lt;=" &amp; $A141, Table2[HomeTeam], AE$1)</f>
        <v>12</v>
      </c>
      <c r="AF141" s="145">
        <f>SUMIFS(Table2[NewPointsAway],Table2[GameDate], "&lt;=" &amp; $A141, Table2[AwayTeam], AF$1)+SUMIFS(Table2[NewPointsHome],Table2[GameDate], "&lt;=" &amp; $A141, Table2[HomeTeam], AF$1)</f>
        <v>10</v>
      </c>
      <c r="AG141" s="145">
        <f>SUMIFS(Table2[NewPointsAway],Table2[GameDate], "&lt;=" &amp; $A141, Table2[AwayTeam], AG$1)+SUMIFS(Table2[NewPointsHome],Table2[GameDate], "&lt;=" &amp; $A141, Table2[HomeTeam], AG$1)</f>
        <v>10</v>
      </c>
    </row>
    <row r="142" spans="1:33" x14ac:dyDescent="0.25">
      <c r="A142" s="3">
        <v>46073</v>
      </c>
      <c r="B142" s="145">
        <f>SUMIFS(Table2[NewPointsAway],Table2[GameDate], "&lt;=" &amp; $A142, Table2[AwayTeam], B$1)+SUMIFS(Table2[NewPointsHome],Table2[GameDate], "&lt;=" &amp; $A142, Table2[HomeTeam], B$1)</f>
        <v>7</v>
      </c>
      <c r="C142" s="145">
        <f>SUMIFS(Table2[NewPointsAway],Table2[GameDate], "&lt;=" &amp; $A142, Table2[AwayTeam], C$1)+SUMIFS(Table2[NewPointsHome],Table2[GameDate], "&lt;=" &amp; $A142, Table2[HomeTeam], C$1)</f>
        <v>6</v>
      </c>
      <c r="D142" s="145">
        <f>SUMIFS(Table2[NewPointsAway],Table2[GameDate], "&lt;=" &amp; $A142, Table2[AwayTeam], D$1)+SUMIFS(Table2[NewPointsHome],Table2[GameDate], "&lt;=" &amp; $A142, Table2[HomeTeam], D$1)</f>
        <v>4</v>
      </c>
      <c r="E142" s="145">
        <f>SUMIFS(Table2[NewPointsAway],Table2[GameDate], "&lt;=" &amp; $A142, Table2[AwayTeam], E$1)+SUMIFS(Table2[NewPointsHome],Table2[GameDate], "&lt;=" &amp; $A142, Table2[HomeTeam], E$1)</f>
        <v>10</v>
      </c>
      <c r="F142" s="145">
        <f>SUMIFS(Table2[NewPointsAway],Table2[GameDate], "&lt;=" &amp; $A142, Table2[AwayTeam], F$1)+SUMIFS(Table2[NewPointsHome],Table2[GameDate], "&lt;=" &amp; $A142, Table2[HomeTeam], F$1)</f>
        <v>6</v>
      </c>
      <c r="G142" s="145">
        <f>SUMIFS(Table2[NewPointsAway],Table2[GameDate], "&lt;=" &amp; $A142, Table2[AwayTeam], G$1)+SUMIFS(Table2[NewPointsHome],Table2[GameDate], "&lt;=" &amp; $A142, Table2[HomeTeam], G$1)</f>
        <v>2</v>
      </c>
      <c r="H142" s="145">
        <f>SUMIFS(Table2[NewPointsAway],Table2[GameDate], "&lt;=" &amp; $A142, Table2[AwayTeam], H$1)+SUMIFS(Table2[NewPointsHome],Table2[GameDate], "&lt;=" &amp; $A142, Table2[HomeTeam], H$1)</f>
        <v>8</v>
      </c>
      <c r="I142" s="145">
        <f>SUMIFS(Table2[NewPointsAway],Table2[GameDate], "&lt;=" &amp; $A142, Table2[AwayTeam], I$1)+SUMIFS(Table2[NewPointsHome],Table2[GameDate], "&lt;=" &amp; $A142, Table2[HomeTeam], I$1)</f>
        <v>12</v>
      </c>
      <c r="J142" s="145">
        <f>SUMIFS(Table2[NewPointsAway],Table2[GameDate], "&lt;=" &amp; $A142, Table2[AwayTeam], J$1)+SUMIFS(Table2[NewPointsHome],Table2[GameDate], "&lt;=" &amp; $A142, Table2[HomeTeam], J$1)</f>
        <v>6</v>
      </c>
      <c r="K142" s="145">
        <f>SUMIFS(Table2[NewPointsAway],Table2[GameDate], "&lt;=" &amp; $A142, Table2[AwayTeam], K$1)+SUMIFS(Table2[NewPointsHome],Table2[GameDate], "&lt;=" &amp; $A142, Table2[HomeTeam], K$1)</f>
        <v>10</v>
      </c>
      <c r="L142" s="145">
        <f>SUMIFS(Table2[NewPointsAway],Table2[GameDate], "&lt;=" &amp; $A142, Table2[AwayTeam], L$1)+SUMIFS(Table2[NewPointsHome],Table2[GameDate], "&lt;=" &amp; $A142, Table2[HomeTeam], L$1)</f>
        <v>7</v>
      </c>
      <c r="M142" s="145">
        <f>SUMIFS(Table2[NewPointsAway],Table2[GameDate], "&lt;=" &amp; $A142, Table2[AwayTeam], M$1)+SUMIFS(Table2[NewPointsHome],Table2[GameDate], "&lt;=" &amp; $A142, Table2[HomeTeam], M$1)</f>
        <v>8</v>
      </c>
      <c r="N142" s="145">
        <f>SUMIFS(Table2[NewPointsAway],Table2[GameDate], "&lt;=" &amp; $A142, Table2[AwayTeam], N$1)+SUMIFS(Table2[NewPointsHome],Table2[GameDate], "&lt;=" &amp; $A142, Table2[HomeTeam], N$1)</f>
        <v>6</v>
      </c>
      <c r="O142" s="145">
        <f>SUMIFS(Table2[NewPointsAway],Table2[GameDate], "&lt;=" &amp; $A142, Table2[AwayTeam], O$1)+SUMIFS(Table2[NewPointsHome],Table2[GameDate], "&lt;=" &amp; $A142, Table2[HomeTeam], O$1)</f>
        <v>7</v>
      </c>
      <c r="P142" s="145">
        <f>SUMIFS(Table2[NewPointsAway],Table2[GameDate], "&lt;=" &amp; $A142, Table2[AwayTeam], P$1)+SUMIFS(Table2[NewPointsHome],Table2[GameDate], "&lt;=" &amp; $A142, Table2[HomeTeam], P$1)</f>
        <v>10</v>
      </c>
      <c r="Q142" s="145">
        <f>SUMIFS(Table2[NewPointsAway],Table2[GameDate], "&lt;=" &amp; $A142, Table2[AwayTeam], Q$1)+SUMIFS(Table2[NewPointsHome],Table2[GameDate], "&lt;=" &amp; $A142, Table2[HomeTeam], Q$1)</f>
        <v>10</v>
      </c>
      <c r="R142" s="145">
        <f>SUMIFS(Table2[NewPointsAway],Table2[GameDate], "&lt;=" &amp; $A142, Table2[AwayTeam], R$1)+SUMIFS(Table2[NewPointsHome],Table2[GameDate], "&lt;=" &amp; $A142, Table2[HomeTeam], R$1)</f>
        <v>6</v>
      </c>
      <c r="S142" s="145">
        <f>SUMIFS(Table2[NewPointsAway],Table2[GameDate], "&lt;=" &amp; $A142, Table2[AwayTeam], S$1)+SUMIFS(Table2[NewPointsHome],Table2[GameDate], "&lt;=" &amp; $A142, Table2[HomeTeam], S$1)</f>
        <v>6</v>
      </c>
      <c r="T142" s="145">
        <f>SUMIFS(Table2[NewPointsAway],Table2[GameDate], "&lt;=" &amp; $A142, Table2[AwayTeam], T$1)+SUMIFS(Table2[NewPointsHome],Table2[GameDate], "&lt;=" &amp; $A142, Table2[HomeTeam], T$1)</f>
        <v>7</v>
      </c>
      <c r="U142" s="145">
        <f>SUMIFS(Table2[NewPointsAway],Table2[GameDate], "&lt;=" &amp; $A142, Table2[AwayTeam], U$1)+SUMIFS(Table2[NewPointsHome],Table2[GameDate], "&lt;=" &amp; $A142, Table2[HomeTeam], U$1)</f>
        <v>5</v>
      </c>
      <c r="V142" s="145">
        <f>SUMIFS(Table2[NewPointsAway],Table2[GameDate], "&lt;=" &amp; $A142, Table2[AwayTeam], V$1)+SUMIFS(Table2[NewPointsHome],Table2[GameDate], "&lt;=" &amp; $A142, Table2[HomeTeam], V$1)</f>
        <v>7</v>
      </c>
      <c r="W142" s="145">
        <f>SUMIFS(Table2[NewPointsAway],Table2[GameDate], "&lt;=" &amp; $A142, Table2[AwayTeam], W$1)+SUMIFS(Table2[NewPointsHome],Table2[GameDate], "&lt;=" &amp; $A142, Table2[HomeTeam], W$1)</f>
        <v>10</v>
      </c>
      <c r="X142" s="145">
        <f>SUMIFS(Table2[NewPointsAway],Table2[GameDate], "&lt;=" &amp; $A142, Table2[AwayTeam], X$1)+SUMIFS(Table2[NewPointsHome],Table2[GameDate], "&lt;=" &amp; $A142, Table2[HomeTeam], X$1)</f>
        <v>8</v>
      </c>
      <c r="Y142" s="145">
        <f>SUMIFS(Table2[NewPointsAway],Table2[GameDate], "&lt;=" &amp; $A142, Table2[AwayTeam], Y$1)+SUMIFS(Table2[NewPointsHome],Table2[GameDate], "&lt;=" &amp; $A142, Table2[HomeTeam], Y$1)</f>
        <v>2</v>
      </c>
      <c r="Z142" s="145">
        <f>SUMIFS(Table2[NewPointsAway],Table2[GameDate], "&lt;=" &amp; $A142, Table2[AwayTeam], Z$1)+SUMIFS(Table2[NewPointsHome],Table2[GameDate], "&lt;=" &amp; $A142, Table2[HomeTeam], Z$1)</f>
        <v>7</v>
      </c>
      <c r="AA142" s="145">
        <f>SUMIFS(Table2[NewPointsAway],Table2[GameDate], "&lt;=" &amp; $A142, Table2[AwayTeam], AA$1)+SUMIFS(Table2[NewPointsHome],Table2[GameDate], "&lt;=" &amp; $A142, Table2[HomeTeam], AA$1)</f>
        <v>4</v>
      </c>
      <c r="AB142" s="145">
        <f>SUMIFS(Table2[NewPointsAway],Table2[GameDate], "&lt;=" &amp; $A142, Table2[AwayTeam], AB$1)+SUMIFS(Table2[NewPointsHome],Table2[GameDate], "&lt;=" &amp; $A142, Table2[HomeTeam], AB$1)</f>
        <v>7</v>
      </c>
      <c r="AC142" s="145">
        <f>SUMIFS(Table2[NewPointsAway],Table2[GameDate], "&lt;=" &amp; $A142, Table2[AwayTeam], AC$1)+SUMIFS(Table2[NewPointsHome],Table2[GameDate], "&lt;=" &amp; $A142, Table2[HomeTeam], AC$1)</f>
        <v>10</v>
      </c>
      <c r="AD142" s="145">
        <f>SUMIFS(Table2[NewPointsAway],Table2[GameDate], "&lt;=" &amp; $A142, Table2[AwayTeam], AD$1)+SUMIFS(Table2[NewPointsHome],Table2[GameDate], "&lt;=" &amp; $A142, Table2[HomeTeam], AD$1)</f>
        <v>8</v>
      </c>
      <c r="AE142" s="145">
        <f>SUMIFS(Table2[NewPointsAway],Table2[GameDate], "&lt;=" &amp; $A142, Table2[AwayTeam], AE$1)+SUMIFS(Table2[NewPointsHome],Table2[GameDate], "&lt;=" &amp; $A142, Table2[HomeTeam], AE$1)</f>
        <v>12</v>
      </c>
      <c r="AF142" s="145">
        <f>SUMIFS(Table2[NewPointsAway],Table2[GameDate], "&lt;=" &amp; $A142, Table2[AwayTeam], AF$1)+SUMIFS(Table2[NewPointsHome],Table2[GameDate], "&lt;=" &amp; $A142, Table2[HomeTeam], AF$1)</f>
        <v>10</v>
      </c>
      <c r="AG142" s="145">
        <f>SUMIFS(Table2[NewPointsAway],Table2[GameDate], "&lt;=" &amp; $A142, Table2[AwayTeam], AG$1)+SUMIFS(Table2[NewPointsHome],Table2[GameDate], "&lt;=" &amp; $A142, Table2[HomeTeam], AG$1)</f>
        <v>10</v>
      </c>
    </row>
    <row r="143" spans="1:33" x14ac:dyDescent="0.25">
      <c r="A143" s="3">
        <v>46074</v>
      </c>
      <c r="B143" s="145">
        <f>SUMIFS(Table2[NewPointsAway],Table2[GameDate], "&lt;=" &amp; $A143, Table2[AwayTeam], B$1)+SUMIFS(Table2[NewPointsHome],Table2[GameDate], "&lt;=" &amp; $A143, Table2[HomeTeam], B$1)</f>
        <v>7</v>
      </c>
      <c r="C143" s="145">
        <f>SUMIFS(Table2[NewPointsAway],Table2[GameDate], "&lt;=" &amp; $A143, Table2[AwayTeam], C$1)+SUMIFS(Table2[NewPointsHome],Table2[GameDate], "&lt;=" &amp; $A143, Table2[HomeTeam], C$1)</f>
        <v>6</v>
      </c>
      <c r="D143" s="145">
        <f>SUMIFS(Table2[NewPointsAway],Table2[GameDate], "&lt;=" &amp; $A143, Table2[AwayTeam], D$1)+SUMIFS(Table2[NewPointsHome],Table2[GameDate], "&lt;=" &amp; $A143, Table2[HomeTeam], D$1)</f>
        <v>4</v>
      </c>
      <c r="E143" s="145">
        <f>SUMIFS(Table2[NewPointsAway],Table2[GameDate], "&lt;=" &amp; $A143, Table2[AwayTeam], E$1)+SUMIFS(Table2[NewPointsHome],Table2[GameDate], "&lt;=" &amp; $A143, Table2[HomeTeam], E$1)</f>
        <v>10</v>
      </c>
      <c r="F143" s="145">
        <f>SUMIFS(Table2[NewPointsAway],Table2[GameDate], "&lt;=" &amp; $A143, Table2[AwayTeam], F$1)+SUMIFS(Table2[NewPointsHome],Table2[GameDate], "&lt;=" &amp; $A143, Table2[HomeTeam], F$1)</f>
        <v>6</v>
      </c>
      <c r="G143" s="145">
        <f>SUMIFS(Table2[NewPointsAway],Table2[GameDate], "&lt;=" &amp; $A143, Table2[AwayTeam], G$1)+SUMIFS(Table2[NewPointsHome],Table2[GameDate], "&lt;=" &amp; $A143, Table2[HomeTeam], G$1)</f>
        <v>2</v>
      </c>
      <c r="H143" s="145">
        <f>SUMIFS(Table2[NewPointsAway],Table2[GameDate], "&lt;=" &amp; $A143, Table2[AwayTeam], H$1)+SUMIFS(Table2[NewPointsHome],Table2[GameDate], "&lt;=" &amp; $A143, Table2[HomeTeam], H$1)</f>
        <v>8</v>
      </c>
      <c r="I143" s="145">
        <f>SUMIFS(Table2[NewPointsAway],Table2[GameDate], "&lt;=" &amp; $A143, Table2[AwayTeam], I$1)+SUMIFS(Table2[NewPointsHome],Table2[GameDate], "&lt;=" &amp; $A143, Table2[HomeTeam], I$1)</f>
        <v>12</v>
      </c>
      <c r="J143" s="145">
        <f>SUMIFS(Table2[NewPointsAway],Table2[GameDate], "&lt;=" &amp; $A143, Table2[AwayTeam], J$1)+SUMIFS(Table2[NewPointsHome],Table2[GameDate], "&lt;=" &amp; $A143, Table2[HomeTeam], J$1)</f>
        <v>6</v>
      </c>
      <c r="K143" s="145">
        <f>SUMIFS(Table2[NewPointsAway],Table2[GameDate], "&lt;=" &amp; $A143, Table2[AwayTeam], K$1)+SUMIFS(Table2[NewPointsHome],Table2[GameDate], "&lt;=" &amp; $A143, Table2[HomeTeam], K$1)</f>
        <v>10</v>
      </c>
      <c r="L143" s="145">
        <f>SUMIFS(Table2[NewPointsAway],Table2[GameDate], "&lt;=" &amp; $A143, Table2[AwayTeam], L$1)+SUMIFS(Table2[NewPointsHome],Table2[GameDate], "&lt;=" &amp; $A143, Table2[HomeTeam], L$1)</f>
        <v>7</v>
      </c>
      <c r="M143" s="145">
        <f>SUMIFS(Table2[NewPointsAway],Table2[GameDate], "&lt;=" &amp; $A143, Table2[AwayTeam], M$1)+SUMIFS(Table2[NewPointsHome],Table2[GameDate], "&lt;=" &amp; $A143, Table2[HomeTeam], M$1)</f>
        <v>8</v>
      </c>
      <c r="N143" s="145">
        <f>SUMIFS(Table2[NewPointsAway],Table2[GameDate], "&lt;=" &amp; $A143, Table2[AwayTeam], N$1)+SUMIFS(Table2[NewPointsHome],Table2[GameDate], "&lt;=" &amp; $A143, Table2[HomeTeam], N$1)</f>
        <v>6</v>
      </c>
      <c r="O143" s="145">
        <f>SUMIFS(Table2[NewPointsAway],Table2[GameDate], "&lt;=" &amp; $A143, Table2[AwayTeam], O$1)+SUMIFS(Table2[NewPointsHome],Table2[GameDate], "&lt;=" &amp; $A143, Table2[HomeTeam], O$1)</f>
        <v>7</v>
      </c>
      <c r="P143" s="145">
        <f>SUMIFS(Table2[NewPointsAway],Table2[GameDate], "&lt;=" &amp; $A143, Table2[AwayTeam], P$1)+SUMIFS(Table2[NewPointsHome],Table2[GameDate], "&lt;=" &amp; $A143, Table2[HomeTeam], P$1)</f>
        <v>10</v>
      </c>
      <c r="Q143" s="145">
        <f>SUMIFS(Table2[NewPointsAway],Table2[GameDate], "&lt;=" &amp; $A143, Table2[AwayTeam], Q$1)+SUMIFS(Table2[NewPointsHome],Table2[GameDate], "&lt;=" &amp; $A143, Table2[HomeTeam], Q$1)</f>
        <v>10</v>
      </c>
      <c r="R143" s="145">
        <f>SUMIFS(Table2[NewPointsAway],Table2[GameDate], "&lt;=" &amp; $A143, Table2[AwayTeam], R$1)+SUMIFS(Table2[NewPointsHome],Table2[GameDate], "&lt;=" &amp; $A143, Table2[HomeTeam], R$1)</f>
        <v>6</v>
      </c>
      <c r="S143" s="145">
        <f>SUMIFS(Table2[NewPointsAway],Table2[GameDate], "&lt;=" &amp; $A143, Table2[AwayTeam], S$1)+SUMIFS(Table2[NewPointsHome],Table2[GameDate], "&lt;=" &amp; $A143, Table2[HomeTeam], S$1)</f>
        <v>6</v>
      </c>
      <c r="T143" s="145">
        <f>SUMIFS(Table2[NewPointsAway],Table2[GameDate], "&lt;=" &amp; $A143, Table2[AwayTeam], T$1)+SUMIFS(Table2[NewPointsHome],Table2[GameDate], "&lt;=" &amp; $A143, Table2[HomeTeam], T$1)</f>
        <v>7</v>
      </c>
      <c r="U143" s="145">
        <f>SUMIFS(Table2[NewPointsAway],Table2[GameDate], "&lt;=" &amp; $A143, Table2[AwayTeam], U$1)+SUMIFS(Table2[NewPointsHome],Table2[GameDate], "&lt;=" &amp; $A143, Table2[HomeTeam], U$1)</f>
        <v>5</v>
      </c>
      <c r="V143" s="145">
        <f>SUMIFS(Table2[NewPointsAway],Table2[GameDate], "&lt;=" &amp; $A143, Table2[AwayTeam], V$1)+SUMIFS(Table2[NewPointsHome],Table2[GameDate], "&lt;=" &amp; $A143, Table2[HomeTeam], V$1)</f>
        <v>7</v>
      </c>
      <c r="W143" s="145">
        <f>SUMIFS(Table2[NewPointsAway],Table2[GameDate], "&lt;=" &amp; $A143, Table2[AwayTeam], W$1)+SUMIFS(Table2[NewPointsHome],Table2[GameDate], "&lt;=" &amp; $A143, Table2[HomeTeam], W$1)</f>
        <v>10</v>
      </c>
      <c r="X143" s="145">
        <f>SUMIFS(Table2[NewPointsAway],Table2[GameDate], "&lt;=" &amp; $A143, Table2[AwayTeam], X$1)+SUMIFS(Table2[NewPointsHome],Table2[GameDate], "&lt;=" &amp; $A143, Table2[HomeTeam], X$1)</f>
        <v>8</v>
      </c>
      <c r="Y143" s="145">
        <f>SUMIFS(Table2[NewPointsAway],Table2[GameDate], "&lt;=" &amp; $A143, Table2[AwayTeam], Y$1)+SUMIFS(Table2[NewPointsHome],Table2[GameDate], "&lt;=" &amp; $A143, Table2[HomeTeam], Y$1)</f>
        <v>2</v>
      </c>
      <c r="Z143" s="145">
        <f>SUMIFS(Table2[NewPointsAway],Table2[GameDate], "&lt;=" &amp; $A143, Table2[AwayTeam], Z$1)+SUMIFS(Table2[NewPointsHome],Table2[GameDate], "&lt;=" &amp; $A143, Table2[HomeTeam], Z$1)</f>
        <v>7</v>
      </c>
      <c r="AA143" s="145">
        <f>SUMIFS(Table2[NewPointsAway],Table2[GameDate], "&lt;=" &amp; $A143, Table2[AwayTeam], AA$1)+SUMIFS(Table2[NewPointsHome],Table2[GameDate], "&lt;=" &amp; $A143, Table2[HomeTeam], AA$1)</f>
        <v>4</v>
      </c>
      <c r="AB143" s="145">
        <f>SUMIFS(Table2[NewPointsAway],Table2[GameDate], "&lt;=" &amp; $A143, Table2[AwayTeam], AB$1)+SUMIFS(Table2[NewPointsHome],Table2[GameDate], "&lt;=" &amp; $A143, Table2[HomeTeam], AB$1)</f>
        <v>7</v>
      </c>
      <c r="AC143" s="145">
        <f>SUMIFS(Table2[NewPointsAway],Table2[GameDate], "&lt;=" &amp; $A143, Table2[AwayTeam], AC$1)+SUMIFS(Table2[NewPointsHome],Table2[GameDate], "&lt;=" &amp; $A143, Table2[HomeTeam], AC$1)</f>
        <v>10</v>
      </c>
      <c r="AD143" s="145">
        <f>SUMIFS(Table2[NewPointsAway],Table2[GameDate], "&lt;=" &amp; $A143, Table2[AwayTeam], AD$1)+SUMIFS(Table2[NewPointsHome],Table2[GameDate], "&lt;=" &amp; $A143, Table2[HomeTeam], AD$1)</f>
        <v>8</v>
      </c>
      <c r="AE143" s="145">
        <f>SUMIFS(Table2[NewPointsAway],Table2[GameDate], "&lt;=" &amp; $A143, Table2[AwayTeam], AE$1)+SUMIFS(Table2[NewPointsHome],Table2[GameDate], "&lt;=" &amp; $A143, Table2[HomeTeam], AE$1)</f>
        <v>12</v>
      </c>
      <c r="AF143" s="145">
        <f>SUMIFS(Table2[NewPointsAway],Table2[GameDate], "&lt;=" &amp; $A143, Table2[AwayTeam], AF$1)+SUMIFS(Table2[NewPointsHome],Table2[GameDate], "&lt;=" &amp; $A143, Table2[HomeTeam], AF$1)</f>
        <v>10</v>
      </c>
      <c r="AG143" s="145">
        <f>SUMIFS(Table2[NewPointsAway],Table2[GameDate], "&lt;=" &amp; $A143, Table2[AwayTeam], AG$1)+SUMIFS(Table2[NewPointsHome],Table2[GameDate], "&lt;=" &amp; $A143, Table2[HomeTeam], AG$1)</f>
        <v>10</v>
      </c>
    </row>
    <row r="144" spans="1:33" x14ac:dyDescent="0.25">
      <c r="A144" s="3">
        <v>46075</v>
      </c>
      <c r="B144" s="145">
        <f>SUMIFS(Table2[NewPointsAway],Table2[GameDate], "&lt;=" &amp; $A144, Table2[AwayTeam], B$1)+SUMIFS(Table2[NewPointsHome],Table2[GameDate], "&lt;=" &amp; $A144, Table2[HomeTeam], B$1)</f>
        <v>7</v>
      </c>
      <c r="C144" s="145">
        <f>SUMIFS(Table2[NewPointsAway],Table2[GameDate], "&lt;=" &amp; $A144, Table2[AwayTeam], C$1)+SUMIFS(Table2[NewPointsHome],Table2[GameDate], "&lt;=" &amp; $A144, Table2[HomeTeam], C$1)</f>
        <v>6</v>
      </c>
      <c r="D144" s="145">
        <f>SUMIFS(Table2[NewPointsAway],Table2[GameDate], "&lt;=" &amp; $A144, Table2[AwayTeam], D$1)+SUMIFS(Table2[NewPointsHome],Table2[GameDate], "&lt;=" &amp; $A144, Table2[HomeTeam], D$1)</f>
        <v>4</v>
      </c>
      <c r="E144" s="145">
        <f>SUMIFS(Table2[NewPointsAway],Table2[GameDate], "&lt;=" &amp; $A144, Table2[AwayTeam], E$1)+SUMIFS(Table2[NewPointsHome],Table2[GameDate], "&lt;=" &amp; $A144, Table2[HomeTeam], E$1)</f>
        <v>10</v>
      </c>
      <c r="F144" s="145">
        <f>SUMIFS(Table2[NewPointsAway],Table2[GameDate], "&lt;=" &amp; $A144, Table2[AwayTeam], F$1)+SUMIFS(Table2[NewPointsHome],Table2[GameDate], "&lt;=" &amp; $A144, Table2[HomeTeam], F$1)</f>
        <v>6</v>
      </c>
      <c r="G144" s="145">
        <f>SUMIFS(Table2[NewPointsAway],Table2[GameDate], "&lt;=" &amp; $A144, Table2[AwayTeam], G$1)+SUMIFS(Table2[NewPointsHome],Table2[GameDate], "&lt;=" &amp; $A144, Table2[HomeTeam], G$1)</f>
        <v>2</v>
      </c>
      <c r="H144" s="145">
        <f>SUMIFS(Table2[NewPointsAway],Table2[GameDate], "&lt;=" &amp; $A144, Table2[AwayTeam], H$1)+SUMIFS(Table2[NewPointsHome],Table2[GameDate], "&lt;=" &amp; $A144, Table2[HomeTeam], H$1)</f>
        <v>8</v>
      </c>
      <c r="I144" s="145">
        <f>SUMIFS(Table2[NewPointsAway],Table2[GameDate], "&lt;=" &amp; $A144, Table2[AwayTeam], I$1)+SUMIFS(Table2[NewPointsHome],Table2[GameDate], "&lt;=" &amp; $A144, Table2[HomeTeam], I$1)</f>
        <v>12</v>
      </c>
      <c r="J144" s="145">
        <f>SUMIFS(Table2[NewPointsAway],Table2[GameDate], "&lt;=" &amp; $A144, Table2[AwayTeam], J$1)+SUMIFS(Table2[NewPointsHome],Table2[GameDate], "&lt;=" &amp; $A144, Table2[HomeTeam], J$1)</f>
        <v>6</v>
      </c>
      <c r="K144" s="145">
        <f>SUMIFS(Table2[NewPointsAway],Table2[GameDate], "&lt;=" &amp; $A144, Table2[AwayTeam], K$1)+SUMIFS(Table2[NewPointsHome],Table2[GameDate], "&lt;=" &amp; $A144, Table2[HomeTeam], K$1)</f>
        <v>10</v>
      </c>
      <c r="L144" s="145">
        <f>SUMIFS(Table2[NewPointsAway],Table2[GameDate], "&lt;=" &amp; $A144, Table2[AwayTeam], L$1)+SUMIFS(Table2[NewPointsHome],Table2[GameDate], "&lt;=" &amp; $A144, Table2[HomeTeam], L$1)</f>
        <v>7</v>
      </c>
      <c r="M144" s="145">
        <f>SUMIFS(Table2[NewPointsAway],Table2[GameDate], "&lt;=" &amp; $A144, Table2[AwayTeam], M$1)+SUMIFS(Table2[NewPointsHome],Table2[GameDate], "&lt;=" &amp; $A144, Table2[HomeTeam], M$1)</f>
        <v>8</v>
      </c>
      <c r="N144" s="145">
        <f>SUMIFS(Table2[NewPointsAway],Table2[GameDate], "&lt;=" &amp; $A144, Table2[AwayTeam], N$1)+SUMIFS(Table2[NewPointsHome],Table2[GameDate], "&lt;=" &amp; $A144, Table2[HomeTeam], N$1)</f>
        <v>6</v>
      </c>
      <c r="O144" s="145">
        <f>SUMIFS(Table2[NewPointsAway],Table2[GameDate], "&lt;=" &amp; $A144, Table2[AwayTeam], O$1)+SUMIFS(Table2[NewPointsHome],Table2[GameDate], "&lt;=" &amp; $A144, Table2[HomeTeam], O$1)</f>
        <v>7</v>
      </c>
      <c r="P144" s="145">
        <f>SUMIFS(Table2[NewPointsAway],Table2[GameDate], "&lt;=" &amp; $A144, Table2[AwayTeam], P$1)+SUMIFS(Table2[NewPointsHome],Table2[GameDate], "&lt;=" &amp; $A144, Table2[HomeTeam], P$1)</f>
        <v>10</v>
      </c>
      <c r="Q144" s="145">
        <f>SUMIFS(Table2[NewPointsAway],Table2[GameDate], "&lt;=" &amp; $A144, Table2[AwayTeam], Q$1)+SUMIFS(Table2[NewPointsHome],Table2[GameDate], "&lt;=" &amp; $A144, Table2[HomeTeam], Q$1)</f>
        <v>10</v>
      </c>
      <c r="R144" s="145">
        <f>SUMIFS(Table2[NewPointsAway],Table2[GameDate], "&lt;=" &amp; $A144, Table2[AwayTeam], R$1)+SUMIFS(Table2[NewPointsHome],Table2[GameDate], "&lt;=" &amp; $A144, Table2[HomeTeam], R$1)</f>
        <v>6</v>
      </c>
      <c r="S144" s="145">
        <f>SUMIFS(Table2[NewPointsAway],Table2[GameDate], "&lt;=" &amp; $A144, Table2[AwayTeam], S$1)+SUMIFS(Table2[NewPointsHome],Table2[GameDate], "&lt;=" &amp; $A144, Table2[HomeTeam], S$1)</f>
        <v>6</v>
      </c>
      <c r="T144" s="145">
        <f>SUMIFS(Table2[NewPointsAway],Table2[GameDate], "&lt;=" &amp; $A144, Table2[AwayTeam], T$1)+SUMIFS(Table2[NewPointsHome],Table2[GameDate], "&lt;=" &amp; $A144, Table2[HomeTeam], T$1)</f>
        <v>7</v>
      </c>
      <c r="U144" s="145">
        <f>SUMIFS(Table2[NewPointsAway],Table2[GameDate], "&lt;=" &amp; $A144, Table2[AwayTeam], U$1)+SUMIFS(Table2[NewPointsHome],Table2[GameDate], "&lt;=" &amp; $A144, Table2[HomeTeam], U$1)</f>
        <v>5</v>
      </c>
      <c r="V144" s="145">
        <f>SUMIFS(Table2[NewPointsAway],Table2[GameDate], "&lt;=" &amp; $A144, Table2[AwayTeam], V$1)+SUMIFS(Table2[NewPointsHome],Table2[GameDate], "&lt;=" &amp; $A144, Table2[HomeTeam], V$1)</f>
        <v>7</v>
      </c>
      <c r="W144" s="145">
        <f>SUMIFS(Table2[NewPointsAway],Table2[GameDate], "&lt;=" &amp; $A144, Table2[AwayTeam], W$1)+SUMIFS(Table2[NewPointsHome],Table2[GameDate], "&lt;=" &amp; $A144, Table2[HomeTeam], W$1)</f>
        <v>10</v>
      </c>
      <c r="X144" s="145">
        <f>SUMIFS(Table2[NewPointsAway],Table2[GameDate], "&lt;=" &amp; $A144, Table2[AwayTeam], X$1)+SUMIFS(Table2[NewPointsHome],Table2[GameDate], "&lt;=" &amp; $A144, Table2[HomeTeam], X$1)</f>
        <v>8</v>
      </c>
      <c r="Y144" s="145">
        <f>SUMIFS(Table2[NewPointsAway],Table2[GameDate], "&lt;=" &amp; $A144, Table2[AwayTeam], Y$1)+SUMIFS(Table2[NewPointsHome],Table2[GameDate], "&lt;=" &amp; $A144, Table2[HomeTeam], Y$1)</f>
        <v>2</v>
      </c>
      <c r="Z144" s="145">
        <f>SUMIFS(Table2[NewPointsAway],Table2[GameDate], "&lt;=" &amp; $A144, Table2[AwayTeam], Z$1)+SUMIFS(Table2[NewPointsHome],Table2[GameDate], "&lt;=" &amp; $A144, Table2[HomeTeam], Z$1)</f>
        <v>7</v>
      </c>
      <c r="AA144" s="145">
        <f>SUMIFS(Table2[NewPointsAway],Table2[GameDate], "&lt;=" &amp; $A144, Table2[AwayTeam], AA$1)+SUMIFS(Table2[NewPointsHome],Table2[GameDate], "&lt;=" &amp; $A144, Table2[HomeTeam], AA$1)</f>
        <v>4</v>
      </c>
      <c r="AB144" s="145">
        <f>SUMIFS(Table2[NewPointsAway],Table2[GameDate], "&lt;=" &amp; $A144, Table2[AwayTeam], AB$1)+SUMIFS(Table2[NewPointsHome],Table2[GameDate], "&lt;=" &amp; $A144, Table2[HomeTeam], AB$1)</f>
        <v>7</v>
      </c>
      <c r="AC144" s="145">
        <f>SUMIFS(Table2[NewPointsAway],Table2[GameDate], "&lt;=" &amp; $A144, Table2[AwayTeam], AC$1)+SUMIFS(Table2[NewPointsHome],Table2[GameDate], "&lt;=" &amp; $A144, Table2[HomeTeam], AC$1)</f>
        <v>10</v>
      </c>
      <c r="AD144" s="145">
        <f>SUMIFS(Table2[NewPointsAway],Table2[GameDate], "&lt;=" &amp; $A144, Table2[AwayTeam], AD$1)+SUMIFS(Table2[NewPointsHome],Table2[GameDate], "&lt;=" &amp; $A144, Table2[HomeTeam], AD$1)</f>
        <v>8</v>
      </c>
      <c r="AE144" s="145">
        <f>SUMIFS(Table2[NewPointsAway],Table2[GameDate], "&lt;=" &amp; $A144, Table2[AwayTeam], AE$1)+SUMIFS(Table2[NewPointsHome],Table2[GameDate], "&lt;=" &amp; $A144, Table2[HomeTeam], AE$1)</f>
        <v>12</v>
      </c>
      <c r="AF144" s="145">
        <f>SUMIFS(Table2[NewPointsAway],Table2[GameDate], "&lt;=" &amp; $A144, Table2[AwayTeam], AF$1)+SUMIFS(Table2[NewPointsHome],Table2[GameDate], "&lt;=" &amp; $A144, Table2[HomeTeam], AF$1)</f>
        <v>10</v>
      </c>
      <c r="AG144" s="145">
        <f>SUMIFS(Table2[NewPointsAway],Table2[GameDate], "&lt;=" &amp; $A144, Table2[AwayTeam], AG$1)+SUMIFS(Table2[NewPointsHome],Table2[GameDate], "&lt;=" &amp; $A144, Table2[HomeTeam], AG$1)</f>
        <v>10</v>
      </c>
    </row>
    <row r="145" spans="1:33" x14ac:dyDescent="0.25">
      <c r="A145" s="3">
        <v>46076</v>
      </c>
      <c r="B145" s="145">
        <f>SUMIFS(Table2[NewPointsAway],Table2[GameDate], "&lt;=" &amp; $A145, Table2[AwayTeam], B$1)+SUMIFS(Table2[NewPointsHome],Table2[GameDate], "&lt;=" &amp; $A145, Table2[HomeTeam], B$1)</f>
        <v>7</v>
      </c>
      <c r="C145" s="145">
        <f>SUMIFS(Table2[NewPointsAway],Table2[GameDate], "&lt;=" &amp; $A145, Table2[AwayTeam], C$1)+SUMIFS(Table2[NewPointsHome],Table2[GameDate], "&lt;=" &amp; $A145, Table2[HomeTeam], C$1)</f>
        <v>6</v>
      </c>
      <c r="D145" s="145">
        <f>SUMIFS(Table2[NewPointsAway],Table2[GameDate], "&lt;=" &amp; $A145, Table2[AwayTeam], D$1)+SUMIFS(Table2[NewPointsHome],Table2[GameDate], "&lt;=" &amp; $A145, Table2[HomeTeam], D$1)</f>
        <v>4</v>
      </c>
      <c r="E145" s="145">
        <f>SUMIFS(Table2[NewPointsAway],Table2[GameDate], "&lt;=" &amp; $A145, Table2[AwayTeam], E$1)+SUMIFS(Table2[NewPointsHome],Table2[GameDate], "&lt;=" &amp; $A145, Table2[HomeTeam], E$1)</f>
        <v>10</v>
      </c>
      <c r="F145" s="145">
        <f>SUMIFS(Table2[NewPointsAway],Table2[GameDate], "&lt;=" &amp; $A145, Table2[AwayTeam], F$1)+SUMIFS(Table2[NewPointsHome],Table2[GameDate], "&lt;=" &amp; $A145, Table2[HomeTeam], F$1)</f>
        <v>6</v>
      </c>
      <c r="G145" s="145">
        <f>SUMIFS(Table2[NewPointsAway],Table2[GameDate], "&lt;=" &amp; $A145, Table2[AwayTeam], G$1)+SUMIFS(Table2[NewPointsHome],Table2[GameDate], "&lt;=" &amp; $A145, Table2[HomeTeam], G$1)</f>
        <v>2</v>
      </c>
      <c r="H145" s="145">
        <f>SUMIFS(Table2[NewPointsAway],Table2[GameDate], "&lt;=" &amp; $A145, Table2[AwayTeam], H$1)+SUMIFS(Table2[NewPointsHome],Table2[GameDate], "&lt;=" &amp; $A145, Table2[HomeTeam], H$1)</f>
        <v>8</v>
      </c>
      <c r="I145" s="145">
        <f>SUMIFS(Table2[NewPointsAway],Table2[GameDate], "&lt;=" &amp; $A145, Table2[AwayTeam], I$1)+SUMIFS(Table2[NewPointsHome],Table2[GameDate], "&lt;=" &amp; $A145, Table2[HomeTeam], I$1)</f>
        <v>12</v>
      </c>
      <c r="J145" s="145">
        <f>SUMIFS(Table2[NewPointsAway],Table2[GameDate], "&lt;=" &amp; $A145, Table2[AwayTeam], J$1)+SUMIFS(Table2[NewPointsHome],Table2[GameDate], "&lt;=" &amp; $A145, Table2[HomeTeam], J$1)</f>
        <v>6</v>
      </c>
      <c r="K145" s="145">
        <f>SUMIFS(Table2[NewPointsAway],Table2[GameDate], "&lt;=" &amp; $A145, Table2[AwayTeam], K$1)+SUMIFS(Table2[NewPointsHome],Table2[GameDate], "&lt;=" &amp; $A145, Table2[HomeTeam], K$1)</f>
        <v>10</v>
      </c>
      <c r="L145" s="145">
        <f>SUMIFS(Table2[NewPointsAway],Table2[GameDate], "&lt;=" &amp; $A145, Table2[AwayTeam], L$1)+SUMIFS(Table2[NewPointsHome],Table2[GameDate], "&lt;=" &amp; $A145, Table2[HomeTeam], L$1)</f>
        <v>7</v>
      </c>
      <c r="M145" s="145">
        <f>SUMIFS(Table2[NewPointsAway],Table2[GameDate], "&lt;=" &amp; $A145, Table2[AwayTeam], M$1)+SUMIFS(Table2[NewPointsHome],Table2[GameDate], "&lt;=" &amp; $A145, Table2[HomeTeam], M$1)</f>
        <v>8</v>
      </c>
      <c r="N145" s="145">
        <f>SUMIFS(Table2[NewPointsAway],Table2[GameDate], "&lt;=" &amp; $A145, Table2[AwayTeam], N$1)+SUMIFS(Table2[NewPointsHome],Table2[GameDate], "&lt;=" &amp; $A145, Table2[HomeTeam], N$1)</f>
        <v>6</v>
      </c>
      <c r="O145" s="145">
        <f>SUMIFS(Table2[NewPointsAway],Table2[GameDate], "&lt;=" &amp; $A145, Table2[AwayTeam], O$1)+SUMIFS(Table2[NewPointsHome],Table2[GameDate], "&lt;=" &amp; $A145, Table2[HomeTeam], O$1)</f>
        <v>7</v>
      </c>
      <c r="P145" s="145">
        <f>SUMIFS(Table2[NewPointsAway],Table2[GameDate], "&lt;=" &amp; $A145, Table2[AwayTeam], P$1)+SUMIFS(Table2[NewPointsHome],Table2[GameDate], "&lt;=" &amp; $A145, Table2[HomeTeam], P$1)</f>
        <v>10</v>
      </c>
      <c r="Q145" s="145">
        <f>SUMIFS(Table2[NewPointsAway],Table2[GameDate], "&lt;=" &amp; $A145, Table2[AwayTeam], Q$1)+SUMIFS(Table2[NewPointsHome],Table2[GameDate], "&lt;=" &amp; $A145, Table2[HomeTeam], Q$1)</f>
        <v>10</v>
      </c>
      <c r="R145" s="145">
        <f>SUMIFS(Table2[NewPointsAway],Table2[GameDate], "&lt;=" &amp; $A145, Table2[AwayTeam], R$1)+SUMIFS(Table2[NewPointsHome],Table2[GameDate], "&lt;=" &amp; $A145, Table2[HomeTeam], R$1)</f>
        <v>6</v>
      </c>
      <c r="S145" s="145">
        <f>SUMIFS(Table2[NewPointsAway],Table2[GameDate], "&lt;=" &amp; $A145, Table2[AwayTeam], S$1)+SUMIFS(Table2[NewPointsHome],Table2[GameDate], "&lt;=" &amp; $A145, Table2[HomeTeam], S$1)</f>
        <v>6</v>
      </c>
      <c r="T145" s="145">
        <f>SUMIFS(Table2[NewPointsAway],Table2[GameDate], "&lt;=" &amp; $A145, Table2[AwayTeam], T$1)+SUMIFS(Table2[NewPointsHome],Table2[GameDate], "&lt;=" &amp; $A145, Table2[HomeTeam], T$1)</f>
        <v>7</v>
      </c>
      <c r="U145" s="145">
        <f>SUMIFS(Table2[NewPointsAway],Table2[GameDate], "&lt;=" &amp; $A145, Table2[AwayTeam], U$1)+SUMIFS(Table2[NewPointsHome],Table2[GameDate], "&lt;=" &amp; $A145, Table2[HomeTeam], U$1)</f>
        <v>5</v>
      </c>
      <c r="V145" s="145">
        <f>SUMIFS(Table2[NewPointsAway],Table2[GameDate], "&lt;=" &amp; $A145, Table2[AwayTeam], V$1)+SUMIFS(Table2[NewPointsHome],Table2[GameDate], "&lt;=" &amp; $A145, Table2[HomeTeam], V$1)</f>
        <v>7</v>
      </c>
      <c r="W145" s="145">
        <f>SUMIFS(Table2[NewPointsAway],Table2[GameDate], "&lt;=" &amp; $A145, Table2[AwayTeam], W$1)+SUMIFS(Table2[NewPointsHome],Table2[GameDate], "&lt;=" &amp; $A145, Table2[HomeTeam], W$1)</f>
        <v>10</v>
      </c>
      <c r="X145" s="145">
        <f>SUMIFS(Table2[NewPointsAway],Table2[GameDate], "&lt;=" &amp; $A145, Table2[AwayTeam], X$1)+SUMIFS(Table2[NewPointsHome],Table2[GameDate], "&lt;=" &amp; $A145, Table2[HomeTeam], X$1)</f>
        <v>8</v>
      </c>
      <c r="Y145" s="145">
        <f>SUMIFS(Table2[NewPointsAway],Table2[GameDate], "&lt;=" &amp; $A145, Table2[AwayTeam], Y$1)+SUMIFS(Table2[NewPointsHome],Table2[GameDate], "&lt;=" &amp; $A145, Table2[HomeTeam], Y$1)</f>
        <v>2</v>
      </c>
      <c r="Z145" s="145">
        <f>SUMIFS(Table2[NewPointsAway],Table2[GameDate], "&lt;=" &amp; $A145, Table2[AwayTeam], Z$1)+SUMIFS(Table2[NewPointsHome],Table2[GameDate], "&lt;=" &amp; $A145, Table2[HomeTeam], Z$1)</f>
        <v>7</v>
      </c>
      <c r="AA145" s="145">
        <f>SUMIFS(Table2[NewPointsAway],Table2[GameDate], "&lt;=" &amp; $A145, Table2[AwayTeam], AA$1)+SUMIFS(Table2[NewPointsHome],Table2[GameDate], "&lt;=" &amp; $A145, Table2[HomeTeam], AA$1)</f>
        <v>4</v>
      </c>
      <c r="AB145" s="145">
        <f>SUMIFS(Table2[NewPointsAway],Table2[GameDate], "&lt;=" &amp; $A145, Table2[AwayTeam], AB$1)+SUMIFS(Table2[NewPointsHome],Table2[GameDate], "&lt;=" &amp; $A145, Table2[HomeTeam], AB$1)</f>
        <v>7</v>
      </c>
      <c r="AC145" s="145">
        <f>SUMIFS(Table2[NewPointsAway],Table2[GameDate], "&lt;=" &amp; $A145, Table2[AwayTeam], AC$1)+SUMIFS(Table2[NewPointsHome],Table2[GameDate], "&lt;=" &amp; $A145, Table2[HomeTeam], AC$1)</f>
        <v>10</v>
      </c>
      <c r="AD145" s="145">
        <f>SUMIFS(Table2[NewPointsAway],Table2[GameDate], "&lt;=" &amp; $A145, Table2[AwayTeam], AD$1)+SUMIFS(Table2[NewPointsHome],Table2[GameDate], "&lt;=" &amp; $A145, Table2[HomeTeam], AD$1)</f>
        <v>8</v>
      </c>
      <c r="AE145" s="145">
        <f>SUMIFS(Table2[NewPointsAway],Table2[GameDate], "&lt;=" &amp; $A145, Table2[AwayTeam], AE$1)+SUMIFS(Table2[NewPointsHome],Table2[GameDate], "&lt;=" &amp; $A145, Table2[HomeTeam], AE$1)</f>
        <v>12</v>
      </c>
      <c r="AF145" s="145">
        <f>SUMIFS(Table2[NewPointsAway],Table2[GameDate], "&lt;=" &amp; $A145, Table2[AwayTeam], AF$1)+SUMIFS(Table2[NewPointsHome],Table2[GameDate], "&lt;=" &amp; $A145, Table2[HomeTeam], AF$1)</f>
        <v>10</v>
      </c>
      <c r="AG145" s="145">
        <f>SUMIFS(Table2[NewPointsAway],Table2[GameDate], "&lt;=" &amp; $A145, Table2[AwayTeam], AG$1)+SUMIFS(Table2[NewPointsHome],Table2[GameDate], "&lt;=" &amp; $A145, Table2[HomeTeam], AG$1)</f>
        <v>10</v>
      </c>
    </row>
    <row r="146" spans="1:33" x14ac:dyDescent="0.25">
      <c r="A146" s="3">
        <v>46077</v>
      </c>
      <c r="B146" s="145">
        <f>SUMIFS(Table2[NewPointsAway],Table2[GameDate], "&lt;=" &amp; $A146, Table2[AwayTeam], B$1)+SUMIFS(Table2[NewPointsHome],Table2[GameDate], "&lt;=" &amp; $A146, Table2[HomeTeam], B$1)</f>
        <v>7</v>
      </c>
      <c r="C146" s="145">
        <f>SUMIFS(Table2[NewPointsAway],Table2[GameDate], "&lt;=" &amp; $A146, Table2[AwayTeam], C$1)+SUMIFS(Table2[NewPointsHome],Table2[GameDate], "&lt;=" &amp; $A146, Table2[HomeTeam], C$1)</f>
        <v>6</v>
      </c>
      <c r="D146" s="145">
        <f>SUMIFS(Table2[NewPointsAway],Table2[GameDate], "&lt;=" &amp; $A146, Table2[AwayTeam], D$1)+SUMIFS(Table2[NewPointsHome],Table2[GameDate], "&lt;=" &amp; $A146, Table2[HomeTeam], D$1)</f>
        <v>4</v>
      </c>
      <c r="E146" s="145">
        <f>SUMIFS(Table2[NewPointsAway],Table2[GameDate], "&lt;=" &amp; $A146, Table2[AwayTeam], E$1)+SUMIFS(Table2[NewPointsHome],Table2[GameDate], "&lt;=" &amp; $A146, Table2[HomeTeam], E$1)</f>
        <v>10</v>
      </c>
      <c r="F146" s="145">
        <f>SUMIFS(Table2[NewPointsAway],Table2[GameDate], "&lt;=" &amp; $A146, Table2[AwayTeam], F$1)+SUMIFS(Table2[NewPointsHome],Table2[GameDate], "&lt;=" &amp; $A146, Table2[HomeTeam], F$1)</f>
        <v>6</v>
      </c>
      <c r="G146" s="145">
        <f>SUMIFS(Table2[NewPointsAway],Table2[GameDate], "&lt;=" &amp; $A146, Table2[AwayTeam], G$1)+SUMIFS(Table2[NewPointsHome],Table2[GameDate], "&lt;=" &amp; $A146, Table2[HomeTeam], G$1)</f>
        <v>2</v>
      </c>
      <c r="H146" s="145">
        <f>SUMIFS(Table2[NewPointsAway],Table2[GameDate], "&lt;=" &amp; $A146, Table2[AwayTeam], H$1)+SUMIFS(Table2[NewPointsHome],Table2[GameDate], "&lt;=" &amp; $A146, Table2[HomeTeam], H$1)</f>
        <v>8</v>
      </c>
      <c r="I146" s="145">
        <f>SUMIFS(Table2[NewPointsAway],Table2[GameDate], "&lt;=" &amp; $A146, Table2[AwayTeam], I$1)+SUMIFS(Table2[NewPointsHome],Table2[GameDate], "&lt;=" &amp; $A146, Table2[HomeTeam], I$1)</f>
        <v>12</v>
      </c>
      <c r="J146" s="145">
        <f>SUMIFS(Table2[NewPointsAway],Table2[GameDate], "&lt;=" &amp; $A146, Table2[AwayTeam], J$1)+SUMIFS(Table2[NewPointsHome],Table2[GameDate], "&lt;=" &amp; $A146, Table2[HomeTeam], J$1)</f>
        <v>6</v>
      </c>
      <c r="K146" s="145">
        <f>SUMIFS(Table2[NewPointsAway],Table2[GameDate], "&lt;=" &amp; $A146, Table2[AwayTeam], K$1)+SUMIFS(Table2[NewPointsHome],Table2[GameDate], "&lt;=" &amp; $A146, Table2[HomeTeam], K$1)</f>
        <v>10</v>
      </c>
      <c r="L146" s="145">
        <f>SUMIFS(Table2[NewPointsAway],Table2[GameDate], "&lt;=" &amp; $A146, Table2[AwayTeam], L$1)+SUMIFS(Table2[NewPointsHome],Table2[GameDate], "&lt;=" &amp; $A146, Table2[HomeTeam], L$1)</f>
        <v>7</v>
      </c>
      <c r="M146" s="145">
        <f>SUMIFS(Table2[NewPointsAway],Table2[GameDate], "&lt;=" &amp; $A146, Table2[AwayTeam], M$1)+SUMIFS(Table2[NewPointsHome],Table2[GameDate], "&lt;=" &amp; $A146, Table2[HomeTeam], M$1)</f>
        <v>8</v>
      </c>
      <c r="N146" s="145">
        <f>SUMIFS(Table2[NewPointsAway],Table2[GameDate], "&lt;=" &amp; $A146, Table2[AwayTeam], N$1)+SUMIFS(Table2[NewPointsHome],Table2[GameDate], "&lt;=" &amp; $A146, Table2[HomeTeam], N$1)</f>
        <v>6</v>
      </c>
      <c r="O146" s="145">
        <f>SUMIFS(Table2[NewPointsAway],Table2[GameDate], "&lt;=" &amp; $A146, Table2[AwayTeam], O$1)+SUMIFS(Table2[NewPointsHome],Table2[GameDate], "&lt;=" &amp; $A146, Table2[HomeTeam], O$1)</f>
        <v>7</v>
      </c>
      <c r="P146" s="145">
        <f>SUMIFS(Table2[NewPointsAway],Table2[GameDate], "&lt;=" &amp; $A146, Table2[AwayTeam], P$1)+SUMIFS(Table2[NewPointsHome],Table2[GameDate], "&lt;=" &amp; $A146, Table2[HomeTeam], P$1)</f>
        <v>10</v>
      </c>
      <c r="Q146" s="145">
        <f>SUMIFS(Table2[NewPointsAway],Table2[GameDate], "&lt;=" &amp; $A146, Table2[AwayTeam], Q$1)+SUMIFS(Table2[NewPointsHome],Table2[GameDate], "&lt;=" &amp; $A146, Table2[HomeTeam], Q$1)</f>
        <v>10</v>
      </c>
      <c r="R146" s="145">
        <f>SUMIFS(Table2[NewPointsAway],Table2[GameDate], "&lt;=" &amp; $A146, Table2[AwayTeam], R$1)+SUMIFS(Table2[NewPointsHome],Table2[GameDate], "&lt;=" &amp; $A146, Table2[HomeTeam], R$1)</f>
        <v>6</v>
      </c>
      <c r="S146" s="145">
        <f>SUMIFS(Table2[NewPointsAway],Table2[GameDate], "&lt;=" &amp; $A146, Table2[AwayTeam], S$1)+SUMIFS(Table2[NewPointsHome],Table2[GameDate], "&lt;=" &amp; $A146, Table2[HomeTeam], S$1)</f>
        <v>6</v>
      </c>
      <c r="T146" s="145">
        <f>SUMIFS(Table2[NewPointsAway],Table2[GameDate], "&lt;=" &amp; $A146, Table2[AwayTeam], T$1)+SUMIFS(Table2[NewPointsHome],Table2[GameDate], "&lt;=" &amp; $A146, Table2[HomeTeam], T$1)</f>
        <v>7</v>
      </c>
      <c r="U146" s="145">
        <f>SUMIFS(Table2[NewPointsAway],Table2[GameDate], "&lt;=" &amp; $A146, Table2[AwayTeam], U$1)+SUMIFS(Table2[NewPointsHome],Table2[GameDate], "&lt;=" &amp; $A146, Table2[HomeTeam], U$1)</f>
        <v>5</v>
      </c>
      <c r="V146" s="145">
        <f>SUMIFS(Table2[NewPointsAway],Table2[GameDate], "&lt;=" &amp; $A146, Table2[AwayTeam], V$1)+SUMIFS(Table2[NewPointsHome],Table2[GameDate], "&lt;=" &amp; $A146, Table2[HomeTeam], V$1)</f>
        <v>7</v>
      </c>
      <c r="W146" s="145">
        <f>SUMIFS(Table2[NewPointsAway],Table2[GameDate], "&lt;=" &amp; $A146, Table2[AwayTeam], W$1)+SUMIFS(Table2[NewPointsHome],Table2[GameDate], "&lt;=" &amp; $A146, Table2[HomeTeam], W$1)</f>
        <v>10</v>
      </c>
      <c r="X146" s="145">
        <f>SUMIFS(Table2[NewPointsAway],Table2[GameDate], "&lt;=" &amp; $A146, Table2[AwayTeam], X$1)+SUMIFS(Table2[NewPointsHome],Table2[GameDate], "&lt;=" &amp; $A146, Table2[HomeTeam], X$1)</f>
        <v>8</v>
      </c>
      <c r="Y146" s="145">
        <f>SUMIFS(Table2[NewPointsAway],Table2[GameDate], "&lt;=" &amp; $A146, Table2[AwayTeam], Y$1)+SUMIFS(Table2[NewPointsHome],Table2[GameDate], "&lt;=" &amp; $A146, Table2[HomeTeam], Y$1)</f>
        <v>2</v>
      </c>
      <c r="Z146" s="145">
        <f>SUMIFS(Table2[NewPointsAway],Table2[GameDate], "&lt;=" &amp; $A146, Table2[AwayTeam], Z$1)+SUMIFS(Table2[NewPointsHome],Table2[GameDate], "&lt;=" &amp; $A146, Table2[HomeTeam], Z$1)</f>
        <v>7</v>
      </c>
      <c r="AA146" s="145">
        <f>SUMIFS(Table2[NewPointsAway],Table2[GameDate], "&lt;=" &amp; $A146, Table2[AwayTeam], AA$1)+SUMIFS(Table2[NewPointsHome],Table2[GameDate], "&lt;=" &amp; $A146, Table2[HomeTeam], AA$1)</f>
        <v>4</v>
      </c>
      <c r="AB146" s="145">
        <f>SUMIFS(Table2[NewPointsAway],Table2[GameDate], "&lt;=" &amp; $A146, Table2[AwayTeam], AB$1)+SUMIFS(Table2[NewPointsHome],Table2[GameDate], "&lt;=" &amp; $A146, Table2[HomeTeam], AB$1)</f>
        <v>7</v>
      </c>
      <c r="AC146" s="145">
        <f>SUMIFS(Table2[NewPointsAway],Table2[GameDate], "&lt;=" &amp; $A146, Table2[AwayTeam], AC$1)+SUMIFS(Table2[NewPointsHome],Table2[GameDate], "&lt;=" &amp; $A146, Table2[HomeTeam], AC$1)</f>
        <v>10</v>
      </c>
      <c r="AD146" s="145">
        <f>SUMIFS(Table2[NewPointsAway],Table2[GameDate], "&lt;=" &amp; $A146, Table2[AwayTeam], AD$1)+SUMIFS(Table2[NewPointsHome],Table2[GameDate], "&lt;=" &amp; $A146, Table2[HomeTeam], AD$1)</f>
        <v>8</v>
      </c>
      <c r="AE146" s="145">
        <f>SUMIFS(Table2[NewPointsAway],Table2[GameDate], "&lt;=" &amp; $A146, Table2[AwayTeam], AE$1)+SUMIFS(Table2[NewPointsHome],Table2[GameDate], "&lt;=" &amp; $A146, Table2[HomeTeam], AE$1)</f>
        <v>12</v>
      </c>
      <c r="AF146" s="145">
        <f>SUMIFS(Table2[NewPointsAway],Table2[GameDate], "&lt;=" &amp; $A146, Table2[AwayTeam], AF$1)+SUMIFS(Table2[NewPointsHome],Table2[GameDate], "&lt;=" &amp; $A146, Table2[HomeTeam], AF$1)</f>
        <v>10</v>
      </c>
      <c r="AG146" s="145">
        <f>SUMIFS(Table2[NewPointsAway],Table2[GameDate], "&lt;=" &amp; $A146, Table2[AwayTeam], AG$1)+SUMIFS(Table2[NewPointsHome],Table2[GameDate], "&lt;=" &amp; $A146, Table2[HomeTeam], AG$1)</f>
        <v>10</v>
      </c>
    </row>
    <row r="147" spans="1:33" x14ac:dyDescent="0.25">
      <c r="A147" s="3">
        <v>46078</v>
      </c>
      <c r="B147" s="145">
        <f>SUMIFS(Table2[NewPointsAway],Table2[GameDate], "&lt;=" &amp; $A147, Table2[AwayTeam], B$1)+SUMIFS(Table2[NewPointsHome],Table2[GameDate], "&lt;=" &amp; $A147, Table2[HomeTeam], B$1)</f>
        <v>7</v>
      </c>
      <c r="C147" s="145">
        <f>SUMIFS(Table2[NewPointsAway],Table2[GameDate], "&lt;=" &amp; $A147, Table2[AwayTeam], C$1)+SUMIFS(Table2[NewPointsHome],Table2[GameDate], "&lt;=" &amp; $A147, Table2[HomeTeam], C$1)</f>
        <v>6</v>
      </c>
      <c r="D147" s="145">
        <f>SUMIFS(Table2[NewPointsAway],Table2[GameDate], "&lt;=" &amp; $A147, Table2[AwayTeam], D$1)+SUMIFS(Table2[NewPointsHome],Table2[GameDate], "&lt;=" &amp; $A147, Table2[HomeTeam], D$1)</f>
        <v>4</v>
      </c>
      <c r="E147" s="145">
        <f>SUMIFS(Table2[NewPointsAway],Table2[GameDate], "&lt;=" &amp; $A147, Table2[AwayTeam], E$1)+SUMIFS(Table2[NewPointsHome],Table2[GameDate], "&lt;=" &amp; $A147, Table2[HomeTeam], E$1)</f>
        <v>10</v>
      </c>
      <c r="F147" s="145">
        <f>SUMIFS(Table2[NewPointsAway],Table2[GameDate], "&lt;=" &amp; $A147, Table2[AwayTeam], F$1)+SUMIFS(Table2[NewPointsHome],Table2[GameDate], "&lt;=" &amp; $A147, Table2[HomeTeam], F$1)</f>
        <v>6</v>
      </c>
      <c r="G147" s="145">
        <f>SUMIFS(Table2[NewPointsAway],Table2[GameDate], "&lt;=" &amp; $A147, Table2[AwayTeam], G$1)+SUMIFS(Table2[NewPointsHome],Table2[GameDate], "&lt;=" &amp; $A147, Table2[HomeTeam], G$1)</f>
        <v>2</v>
      </c>
      <c r="H147" s="145">
        <f>SUMIFS(Table2[NewPointsAway],Table2[GameDate], "&lt;=" &amp; $A147, Table2[AwayTeam], H$1)+SUMIFS(Table2[NewPointsHome],Table2[GameDate], "&lt;=" &amp; $A147, Table2[HomeTeam], H$1)</f>
        <v>8</v>
      </c>
      <c r="I147" s="145">
        <f>SUMIFS(Table2[NewPointsAway],Table2[GameDate], "&lt;=" &amp; $A147, Table2[AwayTeam], I$1)+SUMIFS(Table2[NewPointsHome],Table2[GameDate], "&lt;=" &amp; $A147, Table2[HomeTeam], I$1)</f>
        <v>12</v>
      </c>
      <c r="J147" s="145">
        <f>SUMIFS(Table2[NewPointsAway],Table2[GameDate], "&lt;=" &amp; $A147, Table2[AwayTeam], J$1)+SUMIFS(Table2[NewPointsHome],Table2[GameDate], "&lt;=" &amp; $A147, Table2[HomeTeam], J$1)</f>
        <v>6</v>
      </c>
      <c r="K147" s="145">
        <f>SUMIFS(Table2[NewPointsAway],Table2[GameDate], "&lt;=" &amp; $A147, Table2[AwayTeam], K$1)+SUMIFS(Table2[NewPointsHome],Table2[GameDate], "&lt;=" &amp; $A147, Table2[HomeTeam], K$1)</f>
        <v>10</v>
      </c>
      <c r="L147" s="145">
        <f>SUMIFS(Table2[NewPointsAway],Table2[GameDate], "&lt;=" &amp; $A147, Table2[AwayTeam], L$1)+SUMIFS(Table2[NewPointsHome],Table2[GameDate], "&lt;=" &amp; $A147, Table2[HomeTeam], L$1)</f>
        <v>7</v>
      </c>
      <c r="M147" s="145">
        <f>SUMIFS(Table2[NewPointsAway],Table2[GameDate], "&lt;=" &amp; $A147, Table2[AwayTeam], M$1)+SUMIFS(Table2[NewPointsHome],Table2[GameDate], "&lt;=" &amp; $A147, Table2[HomeTeam], M$1)</f>
        <v>8</v>
      </c>
      <c r="N147" s="145">
        <f>SUMIFS(Table2[NewPointsAway],Table2[GameDate], "&lt;=" &amp; $A147, Table2[AwayTeam], N$1)+SUMIFS(Table2[NewPointsHome],Table2[GameDate], "&lt;=" &amp; $A147, Table2[HomeTeam], N$1)</f>
        <v>6</v>
      </c>
      <c r="O147" s="145">
        <f>SUMIFS(Table2[NewPointsAway],Table2[GameDate], "&lt;=" &amp; $A147, Table2[AwayTeam], O$1)+SUMIFS(Table2[NewPointsHome],Table2[GameDate], "&lt;=" &amp; $A147, Table2[HomeTeam], O$1)</f>
        <v>7</v>
      </c>
      <c r="P147" s="145">
        <f>SUMIFS(Table2[NewPointsAway],Table2[GameDate], "&lt;=" &amp; $A147, Table2[AwayTeam], P$1)+SUMIFS(Table2[NewPointsHome],Table2[GameDate], "&lt;=" &amp; $A147, Table2[HomeTeam], P$1)</f>
        <v>10</v>
      </c>
      <c r="Q147" s="145">
        <f>SUMIFS(Table2[NewPointsAway],Table2[GameDate], "&lt;=" &amp; $A147, Table2[AwayTeam], Q$1)+SUMIFS(Table2[NewPointsHome],Table2[GameDate], "&lt;=" &amp; $A147, Table2[HomeTeam], Q$1)</f>
        <v>10</v>
      </c>
      <c r="R147" s="145">
        <f>SUMIFS(Table2[NewPointsAway],Table2[GameDate], "&lt;=" &amp; $A147, Table2[AwayTeam], R$1)+SUMIFS(Table2[NewPointsHome],Table2[GameDate], "&lt;=" &amp; $A147, Table2[HomeTeam], R$1)</f>
        <v>6</v>
      </c>
      <c r="S147" s="145">
        <f>SUMIFS(Table2[NewPointsAway],Table2[GameDate], "&lt;=" &amp; $A147, Table2[AwayTeam], S$1)+SUMIFS(Table2[NewPointsHome],Table2[GameDate], "&lt;=" &amp; $A147, Table2[HomeTeam], S$1)</f>
        <v>6</v>
      </c>
      <c r="T147" s="145">
        <f>SUMIFS(Table2[NewPointsAway],Table2[GameDate], "&lt;=" &amp; $A147, Table2[AwayTeam], T$1)+SUMIFS(Table2[NewPointsHome],Table2[GameDate], "&lt;=" &amp; $A147, Table2[HomeTeam], T$1)</f>
        <v>7</v>
      </c>
      <c r="U147" s="145">
        <f>SUMIFS(Table2[NewPointsAway],Table2[GameDate], "&lt;=" &amp; $A147, Table2[AwayTeam], U$1)+SUMIFS(Table2[NewPointsHome],Table2[GameDate], "&lt;=" &amp; $A147, Table2[HomeTeam], U$1)</f>
        <v>5</v>
      </c>
      <c r="V147" s="145">
        <f>SUMIFS(Table2[NewPointsAway],Table2[GameDate], "&lt;=" &amp; $A147, Table2[AwayTeam], V$1)+SUMIFS(Table2[NewPointsHome],Table2[GameDate], "&lt;=" &amp; $A147, Table2[HomeTeam], V$1)</f>
        <v>7</v>
      </c>
      <c r="W147" s="145">
        <f>SUMIFS(Table2[NewPointsAway],Table2[GameDate], "&lt;=" &amp; $A147, Table2[AwayTeam], W$1)+SUMIFS(Table2[NewPointsHome],Table2[GameDate], "&lt;=" &amp; $A147, Table2[HomeTeam], W$1)</f>
        <v>10</v>
      </c>
      <c r="X147" s="145">
        <f>SUMIFS(Table2[NewPointsAway],Table2[GameDate], "&lt;=" &amp; $A147, Table2[AwayTeam], X$1)+SUMIFS(Table2[NewPointsHome],Table2[GameDate], "&lt;=" &amp; $A147, Table2[HomeTeam], X$1)</f>
        <v>8</v>
      </c>
      <c r="Y147" s="145">
        <f>SUMIFS(Table2[NewPointsAway],Table2[GameDate], "&lt;=" &amp; $A147, Table2[AwayTeam], Y$1)+SUMIFS(Table2[NewPointsHome],Table2[GameDate], "&lt;=" &amp; $A147, Table2[HomeTeam], Y$1)</f>
        <v>2</v>
      </c>
      <c r="Z147" s="145">
        <f>SUMIFS(Table2[NewPointsAway],Table2[GameDate], "&lt;=" &amp; $A147, Table2[AwayTeam], Z$1)+SUMIFS(Table2[NewPointsHome],Table2[GameDate], "&lt;=" &amp; $A147, Table2[HomeTeam], Z$1)</f>
        <v>7</v>
      </c>
      <c r="AA147" s="145">
        <f>SUMIFS(Table2[NewPointsAway],Table2[GameDate], "&lt;=" &amp; $A147, Table2[AwayTeam], AA$1)+SUMIFS(Table2[NewPointsHome],Table2[GameDate], "&lt;=" &amp; $A147, Table2[HomeTeam], AA$1)</f>
        <v>4</v>
      </c>
      <c r="AB147" s="145">
        <f>SUMIFS(Table2[NewPointsAway],Table2[GameDate], "&lt;=" &amp; $A147, Table2[AwayTeam], AB$1)+SUMIFS(Table2[NewPointsHome],Table2[GameDate], "&lt;=" &amp; $A147, Table2[HomeTeam], AB$1)</f>
        <v>7</v>
      </c>
      <c r="AC147" s="145">
        <f>SUMIFS(Table2[NewPointsAway],Table2[GameDate], "&lt;=" &amp; $A147, Table2[AwayTeam], AC$1)+SUMIFS(Table2[NewPointsHome],Table2[GameDate], "&lt;=" &amp; $A147, Table2[HomeTeam], AC$1)</f>
        <v>10</v>
      </c>
      <c r="AD147" s="145">
        <f>SUMIFS(Table2[NewPointsAway],Table2[GameDate], "&lt;=" &amp; $A147, Table2[AwayTeam], AD$1)+SUMIFS(Table2[NewPointsHome],Table2[GameDate], "&lt;=" &amp; $A147, Table2[HomeTeam], AD$1)</f>
        <v>8</v>
      </c>
      <c r="AE147" s="145">
        <f>SUMIFS(Table2[NewPointsAway],Table2[GameDate], "&lt;=" &amp; $A147, Table2[AwayTeam], AE$1)+SUMIFS(Table2[NewPointsHome],Table2[GameDate], "&lt;=" &amp; $A147, Table2[HomeTeam], AE$1)</f>
        <v>12</v>
      </c>
      <c r="AF147" s="145">
        <f>SUMIFS(Table2[NewPointsAway],Table2[GameDate], "&lt;=" &amp; $A147, Table2[AwayTeam], AF$1)+SUMIFS(Table2[NewPointsHome],Table2[GameDate], "&lt;=" &amp; $A147, Table2[HomeTeam], AF$1)</f>
        <v>10</v>
      </c>
      <c r="AG147" s="145">
        <f>SUMIFS(Table2[NewPointsAway],Table2[GameDate], "&lt;=" &amp; $A147, Table2[AwayTeam], AG$1)+SUMIFS(Table2[NewPointsHome],Table2[GameDate], "&lt;=" &amp; $A147, Table2[HomeTeam], AG$1)</f>
        <v>10</v>
      </c>
    </row>
    <row r="148" spans="1:33" x14ac:dyDescent="0.25">
      <c r="A148" s="3">
        <v>46079</v>
      </c>
      <c r="B148" s="145">
        <f>SUMIFS(Table2[NewPointsAway],Table2[GameDate], "&lt;=" &amp; $A148, Table2[AwayTeam], B$1)+SUMIFS(Table2[NewPointsHome],Table2[GameDate], "&lt;=" &amp; $A148, Table2[HomeTeam], B$1)</f>
        <v>7</v>
      </c>
      <c r="C148" s="145">
        <f>SUMIFS(Table2[NewPointsAway],Table2[GameDate], "&lt;=" &amp; $A148, Table2[AwayTeam], C$1)+SUMIFS(Table2[NewPointsHome],Table2[GameDate], "&lt;=" &amp; $A148, Table2[HomeTeam], C$1)</f>
        <v>6</v>
      </c>
      <c r="D148" s="145">
        <f>SUMIFS(Table2[NewPointsAway],Table2[GameDate], "&lt;=" &amp; $A148, Table2[AwayTeam], D$1)+SUMIFS(Table2[NewPointsHome],Table2[GameDate], "&lt;=" &amp; $A148, Table2[HomeTeam], D$1)</f>
        <v>4</v>
      </c>
      <c r="E148" s="145">
        <f>SUMIFS(Table2[NewPointsAway],Table2[GameDate], "&lt;=" &amp; $A148, Table2[AwayTeam], E$1)+SUMIFS(Table2[NewPointsHome],Table2[GameDate], "&lt;=" &amp; $A148, Table2[HomeTeam], E$1)</f>
        <v>10</v>
      </c>
      <c r="F148" s="145">
        <f>SUMIFS(Table2[NewPointsAway],Table2[GameDate], "&lt;=" &amp; $A148, Table2[AwayTeam], F$1)+SUMIFS(Table2[NewPointsHome],Table2[GameDate], "&lt;=" &amp; $A148, Table2[HomeTeam], F$1)</f>
        <v>6</v>
      </c>
      <c r="G148" s="145">
        <f>SUMIFS(Table2[NewPointsAway],Table2[GameDate], "&lt;=" &amp; $A148, Table2[AwayTeam], G$1)+SUMIFS(Table2[NewPointsHome],Table2[GameDate], "&lt;=" &amp; $A148, Table2[HomeTeam], G$1)</f>
        <v>2</v>
      </c>
      <c r="H148" s="145">
        <f>SUMIFS(Table2[NewPointsAway],Table2[GameDate], "&lt;=" &amp; $A148, Table2[AwayTeam], H$1)+SUMIFS(Table2[NewPointsHome],Table2[GameDate], "&lt;=" &amp; $A148, Table2[HomeTeam], H$1)</f>
        <v>8</v>
      </c>
      <c r="I148" s="145">
        <f>SUMIFS(Table2[NewPointsAway],Table2[GameDate], "&lt;=" &amp; $A148, Table2[AwayTeam], I$1)+SUMIFS(Table2[NewPointsHome],Table2[GameDate], "&lt;=" &amp; $A148, Table2[HomeTeam], I$1)</f>
        <v>12</v>
      </c>
      <c r="J148" s="145">
        <f>SUMIFS(Table2[NewPointsAway],Table2[GameDate], "&lt;=" &amp; $A148, Table2[AwayTeam], J$1)+SUMIFS(Table2[NewPointsHome],Table2[GameDate], "&lt;=" &amp; $A148, Table2[HomeTeam], J$1)</f>
        <v>6</v>
      </c>
      <c r="K148" s="145">
        <f>SUMIFS(Table2[NewPointsAway],Table2[GameDate], "&lt;=" &amp; $A148, Table2[AwayTeam], K$1)+SUMIFS(Table2[NewPointsHome],Table2[GameDate], "&lt;=" &amp; $A148, Table2[HomeTeam], K$1)</f>
        <v>10</v>
      </c>
      <c r="L148" s="145">
        <f>SUMIFS(Table2[NewPointsAway],Table2[GameDate], "&lt;=" &amp; $A148, Table2[AwayTeam], L$1)+SUMIFS(Table2[NewPointsHome],Table2[GameDate], "&lt;=" &amp; $A148, Table2[HomeTeam], L$1)</f>
        <v>7</v>
      </c>
      <c r="M148" s="145">
        <f>SUMIFS(Table2[NewPointsAway],Table2[GameDate], "&lt;=" &amp; $A148, Table2[AwayTeam], M$1)+SUMIFS(Table2[NewPointsHome],Table2[GameDate], "&lt;=" &amp; $A148, Table2[HomeTeam], M$1)</f>
        <v>8</v>
      </c>
      <c r="N148" s="145">
        <f>SUMIFS(Table2[NewPointsAway],Table2[GameDate], "&lt;=" &amp; $A148, Table2[AwayTeam], N$1)+SUMIFS(Table2[NewPointsHome],Table2[GameDate], "&lt;=" &amp; $A148, Table2[HomeTeam], N$1)</f>
        <v>6</v>
      </c>
      <c r="O148" s="145">
        <f>SUMIFS(Table2[NewPointsAway],Table2[GameDate], "&lt;=" &amp; $A148, Table2[AwayTeam], O$1)+SUMIFS(Table2[NewPointsHome],Table2[GameDate], "&lt;=" &amp; $A148, Table2[HomeTeam], O$1)</f>
        <v>7</v>
      </c>
      <c r="P148" s="145">
        <f>SUMIFS(Table2[NewPointsAway],Table2[GameDate], "&lt;=" &amp; $A148, Table2[AwayTeam], P$1)+SUMIFS(Table2[NewPointsHome],Table2[GameDate], "&lt;=" &amp; $A148, Table2[HomeTeam], P$1)</f>
        <v>10</v>
      </c>
      <c r="Q148" s="145">
        <f>SUMIFS(Table2[NewPointsAway],Table2[GameDate], "&lt;=" &amp; $A148, Table2[AwayTeam], Q$1)+SUMIFS(Table2[NewPointsHome],Table2[GameDate], "&lt;=" &amp; $A148, Table2[HomeTeam], Q$1)</f>
        <v>10</v>
      </c>
      <c r="R148" s="145">
        <f>SUMIFS(Table2[NewPointsAway],Table2[GameDate], "&lt;=" &amp; $A148, Table2[AwayTeam], R$1)+SUMIFS(Table2[NewPointsHome],Table2[GameDate], "&lt;=" &amp; $A148, Table2[HomeTeam], R$1)</f>
        <v>6</v>
      </c>
      <c r="S148" s="145">
        <f>SUMIFS(Table2[NewPointsAway],Table2[GameDate], "&lt;=" &amp; $A148, Table2[AwayTeam], S$1)+SUMIFS(Table2[NewPointsHome],Table2[GameDate], "&lt;=" &amp; $A148, Table2[HomeTeam], S$1)</f>
        <v>6</v>
      </c>
      <c r="T148" s="145">
        <f>SUMIFS(Table2[NewPointsAway],Table2[GameDate], "&lt;=" &amp; $A148, Table2[AwayTeam], T$1)+SUMIFS(Table2[NewPointsHome],Table2[GameDate], "&lt;=" &amp; $A148, Table2[HomeTeam], T$1)</f>
        <v>7</v>
      </c>
      <c r="U148" s="145">
        <f>SUMIFS(Table2[NewPointsAway],Table2[GameDate], "&lt;=" &amp; $A148, Table2[AwayTeam], U$1)+SUMIFS(Table2[NewPointsHome],Table2[GameDate], "&lt;=" &amp; $A148, Table2[HomeTeam], U$1)</f>
        <v>5</v>
      </c>
      <c r="V148" s="145">
        <f>SUMIFS(Table2[NewPointsAway],Table2[GameDate], "&lt;=" &amp; $A148, Table2[AwayTeam], V$1)+SUMIFS(Table2[NewPointsHome],Table2[GameDate], "&lt;=" &amp; $A148, Table2[HomeTeam], V$1)</f>
        <v>7</v>
      </c>
      <c r="W148" s="145">
        <f>SUMIFS(Table2[NewPointsAway],Table2[GameDate], "&lt;=" &amp; $A148, Table2[AwayTeam], W$1)+SUMIFS(Table2[NewPointsHome],Table2[GameDate], "&lt;=" &amp; $A148, Table2[HomeTeam], W$1)</f>
        <v>10</v>
      </c>
      <c r="X148" s="145">
        <f>SUMIFS(Table2[NewPointsAway],Table2[GameDate], "&lt;=" &amp; $A148, Table2[AwayTeam], X$1)+SUMIFS(Table2[NewPointsHome],Table2[GameDate], "&lt;=" &amp; $A148, Table2[HomeTeam], X$1)</f>
        <v>8</v>
      </c>
      <c r="Y148" s="145">
        <f>SUMIFS(Table2[NewPointsAway],Table2[GameDate], "&lt;=" &amp; $A148, Table2[AwayTeam], Y$1)+SUMIFS(Table2[NewPointsHome],Table2[GameDate], "&lt;=" &amp; $A148, Table2[HomeTeam], Y$1)</f>
        <v>2</v>
      </c>
      <c r="Z148" s="145">
        <f>SUMIFS(Table2[NewPointsAway],Table2[GameDate], "&lt;=" &amp; $A148, Table2[AwayTeam], Z$1)+SUMIFS(Table2[NewPointsHome],Table2[GameDate], "&lt;=" &amp; $A148, Table2[HomeTeam], Z$1)</f>
        <v>7</v>
      </c>
      <c r="AA148" s="145">
        <f>SUMIFS(Table2[NewPointsAway],Table2[GameDate], "&lt;=" &amp; $A148, Table2[AwayTeam], AA$1)+SUMIFS(Table2[NewPointsHome],Table2[GameDate], "&lt;=" &amp; $A148, Table2[HomeTeam], AA$1)</f>
        <v>4</v>
      </c>
      <c r="AB148" s="145">
        <f>SUMIFS(Table2[NewPointsAway],Table2[GameDate], "&lt;=" &amp; $A148, Table2[AwayTeam], AB$1)+SUMIFS(Table2[NewPointsHome],Table2[GameDate], "&lt;=" &amp; $A148, Table2[HomeTeam], AB$1)</f>
        <v>7</v>
      </c>
      <c r="AC148" s="145">
        <f>SUMIFS(Table2[NewPointsAway],Table2[GameDate], "&lt;=" &amp; $A148, Table2[AwayTeam], AC$1)+SUMIFS(Table2[NewPointsHome],Table2[GameDate], "&lt;=" &amp; $A148, Table2[HomeTeam], AC$1)</f>
        <v>10</v>
      </c>
      <c r="AD148" s="145">
        <f>SUMIFS(Table2[NewPointsAway],Table2[GameDate], "&lt;=" &amp; $A148, Table2[AwayTeam], AD$1)+SUMIFS(Table2[NewPointsHome],Table2[GameDate], "&lt;=" &amp; $A148, Table2[HomeTeam], AD$1)</f>
        <v>8</v>
      </c>
      <c r="AE148" s="145">
        <f>SUMIFS(Table2[NewPointsAway],Table2[GameDate], "&lt;=" &amp; $A148, Table2[AwayTeam], AE$1)+SUMIFS(Table2[NewPointsHome],Table2[GameDate], "&lt;=" &amp; $A148, Table2[HomeTeam], AE$1)</f>
        <v>12</v>
      </c>
      <c r="AF148" s="145">
        <f>SUMIFS(Table2[NewPointsAway],Table2[GameDate], "&lt;=" &amp; $A148, Table2[AwayTeam], AF$1)+SUMIFS(Table2[NewPointsHome],Table2[GameDate], "&lt;=" &amp; $A148, Table2[HomeTeam], AF$1)</f>
        <v>10</v>
      </c>
      <c r="AG148" s="145">
        <f>SUMIFS(Table2[NewPointsAway],Table2[GameDate], "&lt;=" &amp; $A148, Table2[AwayTeam], AG$1)+SUMIFS(Table2[NewPointsHome],Table2[GameDate], "&lt;=" &amp; $A148, Table2[HomeTeam], AG$1)</f>
        <v>10</v>
      </c>
    </row>
    <row r="149" spans="1:33" x14ac:dyDescent="0.25">
      <c r="A149" s="3">
        <v>46080</v>
      </c>
      <c r="B149" s="145">
        <f>SUMIFS(Table2[NewPointsAway],Table2[GameDate], "&lt;=" &amp; $A149, Table2[AwayTeam], B$1)+SUMIFS(Table2[NewPointsHome],Table2[GameDate], "&lt;=" &amp; $A149, Table2[HomeTeam], B$1)</f>
        <v>7</v>
      </c>
      <c r="C149" s="145">
        <f>SUMIFS(Table2[NewPointsAway],Table2[GameDate], "&lt;=" &amp; $A149, Table2[AwayTeam], C$1)+SUMIFS(Table2[NewPointsHome],Table2[GameDate], "&lt;=" &amp; $A149, Table2[HomeTeam], C$1)</f>
        <v>6</v>
      </c>
      <c r="D149" s="145">
        <f>SUMIFS(Table2[NewPointsAway],Table2[GameDate], "&lt;=" &amp; $A149, Table2[AwayTeam], D$1)+SUMIFS(Table2[NewPointsHome],Table2[GameDate], "&lt;=" &amp; $A149, Table2[HomeTeam], D$1)</f>
        <v>4</v>
      </c>
      <c r="E149" s="145">
        <f>SUMIFS(Table2[NewPointsAway],Table2[GameDate], "&lt;=" &amp; $A149, Table2[AwayTeam], E$1)+SUMIFS(Table2[NewPointsHome],Table2[GameDate], "&lt;=" &amp; $A149, Table2[HomeTeam], E$1)</f>
        <v>10</v>
      </c>
      <c r="F149" s="145">
        <f>SUMIFS(Table2[NewPointsAway],Table2[GameDate], "&lt;=" &amp; $A149, Table2[AwayTeam], F$1)+SUMIFS(Table2[NewPointsHome],Table2[GameDate], "&lt;=" &amp; $A149, Table2[HomeTeam], F$1)</f>
        <v>6</v>
      </c>
      <c r="G149" s="145">
        <f>SUMIFS(Table2[NewPointsAway],Table2[GameDate], "&lt;=" &amp; $A149, Table2[AwayTeam], G$1)+SUMIFS(Table2[NewPointsHome],Table2[GameDate], "&lt;=" &amp; $A149, Table2[HomeTeam], G$1)</f>
        <v>2</v>
      </c>
      <c r="H149" s="145">
        <f>SUMIFS(Table2[NewPointsAway],Table2[GameDate], "&lt;=" &amp; $A149, Table2[AwayTeam], H$1)+SUMIFS(Table2[NewPointsHome],Table2[GameDate], "&lt;=" &amp; $A149, Table2[HomeTeam], H$1)</f>
        <v>8</v>
      </c>
      <c r="I149" s="145">
        <f>SUMIFS(Table2[NewPointsAway],Table2[GameDate], "&lt;=" &amp; $A149, Table2[AwayTeam], I$1)+SUMIFS(Table2[NewPointsHome],Table2[GameDate], "&lt;=" &amp; $A149, Table2[HomeTeam], I$1)</f>
        <v>12</v>
      </c>
      <c r="J149" s="145">
        <f>SUMIFS(Table2[NewPointsAway],Table2[GameDate], "&lt;=" &amp; $A149, Table2[AwayTeam], J$1)+SUMIFS(Table2[NewPointsHome],Table2[GameDate], "&lt;=" &amp; $A149, Table2[HomeTeam], J$1)</f>
        <v>6</v>
      </c>
      <c r="K149" s="145">
        <f>SUMIFS(Table2[NewPointsAway],Table2[GameDate], "&lt;=" &amp; $A149, Table2[AwayTeam], K$1)+SUMIFS(Table2[NewPointsHome],Table2[GameDate], "&lt;=" &amp; $A149, Table2[HomeTeam], K$1)</f>
        <v>10</v>
      </c>
      <c r="L149" s="145">
        <f>SUMIFS(Table2[NewPointsAway],Table2[GameDate], "&lt;=" &amp; $A149, Table2[AwayTeam], L$1)+SUMIFS(Table2[NewPointsHome],Table2[GameDate], "&lt;=" &amp; $A149, Table2[HomeTeam], L$1)</f>
        <v>7</v>
      </c>
      <c r="M149" s="145">
        <f>SUMIFS(Table2[NewPointsAway],Table2[GameDate], "&lt;=" &amp; $A149, Table2[AwayTeam], M$1)+SUMIFS(Table2[NewPointsHome],Table2[GameDate], "&lt;=" &amp; $A149, Table2[HomeTeam], M$1)</f>
        <v>8</v>
      </c>
      <c r="N149" s="145">
        <f>SUMIFS(Table2[NewPointsAway],Table2[GameDate], "&lt;=" &amp; $A149, Table2[AwayTeam], N$1)+SUMIFS(Table2[NewPointsHome],Table2[GameDate], "&lt;=" &amp; $A149, Table2[HomeTeam], N$1)</f>
        <v>6</v>
      </c>
      <c r="O149" s="145">
        <f>SUMIFS(Table2[NewPointsAway],Table2[GameDate], "&lt;=" &amp; $A149, Table2[AwayTeam], O$1)+SUMIFS(Table2[NewPointsHome],Table2[GameDate], "&lt;=" &amp; $A149, Table2[HomeTeam], O$1)</f>
        <v>7</v>
      </c>
      <c r="P149" s="145">
        <f>SUMIFS(Table2[NewPointsAway],Table2[GameDate], "&lt;=" &amp; $A149, Table2[AwayTeam], P$1)+SUMIFS(Table2[NewPointsHome],Table2[GameDate], "&lt;=" &amp; $A149, Table2[HomeTeam], P$1)</f>
        <v>10</v>
      </c>
      <c r="Q149" s="145">
        <f>SUMIFS(Table2[NewPointsAway],Table2[GameDate], "&lt;=" &amp; $A149, Table2[AwayTeam], Q$1)+SUMIFS(Table2[NewPointsHome],Table2[GameDate], "&lt;=" &amp; $A149, Table2[HomeTeam], Q$1)</f>
        <v>10</v>
      </c>
      <c r="R149" s="145">
        <f>SUMIFS(Table2[NewPointsAway],Table2[GameDate], "&lt;=" &amp; $A149, Table2[AwayTeam], R$1)+SUMIFS(Table2[NewPointsHome],Table2[GameDate], "&lt;=" &amp; $A149, Table2[HomeTeam], R$1)</f>
        <v>6</v>
      </c>
      <c r="S149" s="145">
        <f>SUMIFS(Table2[NewPointsAway],Table2[GameDate], "&lt;=" &amp; $A149, Table2[AwayTeam], S$1)+SUMIFS(Table2[NewPointsHome],Table2[GameDate], "&lt;=" &amp; $A149, Table2[HomeTeam], S$1)</f>
        <v>6</v>
      </c>
      <c r="T149" s="145">
        <f>SUMIFS(Table2[NewPointsAway],Table2[GameDate], "&lt;=" &amp; $A149, Table2[AwayTeam], T$1)+SUMIFS(Table2[NewPointsHome],Table2[GameDate], "&lt;=" &amp; $A149, Table2[HomeTeam], T$1)</f>
        <v>7</v>
      </c>
      <c r="U149" s="145">
        <f>SUMIFS(Table2[NewPointsAway],Table2[GameDate], "&lt;=" &amp; $A149, Table2[AwayTeam], U$1)+SUMIFS(Table2[NewPointsHome],Table2[GameDate], "&lt;=" &amp; $A149, Table2[HomeTeam], U$1)</f>
        <v>5</v>
      </c>
      <c r="V149" s="145">
        <f>SUMIFS(Table2[NewPointsAway],Table2[GameDate], "&lt;=" &amp; $A149, Table2[AwayTeam], V$1)+SUMIFS(Table2[NewPointsHome],Table2[GameDate], "&lt;=" &amp; $A149, Table2[HomeTeam], V$1)</f>
        <v>7</v>
      </c>
      <c r="W149" s="145">
        <f>SUMIFS(Table2[NewPointsAway],Table2[GameDate], "&lt;=" &amp; $A149, Table2[AwayTeam], W$1)+SUMIFS(Table2[NewPointsHome],Table2[GameDate], "&lt;=" &amp; $A149, Table2[HomeTeam], W$1)</f>
        <v>10</v>
      </c>
      <c r="X149" s="145">
        <f>SUMIFS(Table2[NewPointsAway],Table2[GameDate], "&lt;=" &amp; $A149, Table2[AwayTeam], X$1)+SUMIFS(Table2[NewPointsHome],Table2[GameDate], "&lt;=" &amp; $A149, Table2[HomeTeam], X$1)</f>
        <v>8</v>
      </c>
      <c r="Y149" s="145">
        <f>SUMIFS(Table2[NewPointsAway],Table2[GameDate], "&lt;=" &amp; $A149, Table2[AwayTeam], Y$1)+SUMIFS(Table2[NewPointsHome],Table2[GameDate], "&lt;=" &amp; $A149, Table2[HomeTeam], Y$1)</f>
        <v>2</v>
      </c>
      <c r="Z149" s="145">
        <f>SUMIFS(Table2[NewPointsAway],Table2[GameDate], "&lt;=" &amp; $A149, Table2[AwayTeam], Z$1)+SUMIFS(Table2[NewPointsHome],Table2[GameDate], "&lt;=" &amp; $A149, Table2[HomeTeam], Z$1)</f>
        <v>7</v>
      </c>
      <c r="AA149" s="145">
        <f>SUMIFS(Table2[NewPointsAway],Table2[GameDate], "&lt;=" &amp; $A149, Table2[AwayTeam], AA$1)+SUMIFS(Table2[NewPointsHome],Table2[GameDate], "&lt;=" &amp; $A149, Table2[HomeTeam], AA$1)</f>
        <v>4</v>
      </c>
      <c r="AB149" s="145">
        <f>SUMIFS(Table2[NewPointsAway],Table2[GameDate], "&lt;=" &amp; $A149, Table2[AwayTeam], AB$1)+SUMIFS(Table2[NewPointsHome],Table2[GameDate], "&lt;=" &amp; $A149, Table2[HomeTeam], AB$1)</f>
        <v>7</v>
      </c>
      <c r="AC149" s="145">
        <f>SUMIFS(Table2[NewPointsAway],Table2[GameDate], "&lt;=" &amp; $A149, Table2[AwayTeam], AC$1)+SUMIFS(Table2[NewPointsHome],Table2[GameDate], "&lt;=" &amp; $A149, Table2[HomeTeam], AC$1)</f>
        <v>10</v>
      </c>
      <c r="AD149" s="145">
        <f>SUMIFS(Table2[NewPointsAway],Table2[GameDate], "&lt;=" &amp; $A149, Table2[AwayTeam], AD$1)+SUMIFS(Table2[NewPointsHome],Table2[GameDate], "&lt;=" &amp; $A149, Table2[HomeTeam], AD$1)</f>
        <v>8</v>
      </c>
      <c r="AE149" s="145">
        <f>SUMIFS(Table2[NewPointsAway],Table2[GameDate], "&lt;=" &amp; $A149, Table2[AwayTeam], AE$1)+SUMIFS(Table2[NewPointsHome],Table2[GameDate], "&lt;=" &amp; $A149, Table2[HomeTeam], AE$1)</f>
        <v>12</v>
      </c>
      <c r="AF149" s="145">
        <f>SUMIFS(Table2[NewPointsAway],Table2[GameDate], "&lt;=" &amp; $A149, Table2[AwayTeam], AF$1)+SUMIFS(Table2[NewPointsHome],Table2[GameDate], "&lt;=" &amp; $A149, Table2[HomeTeam], AF$1)</f>
        <v>10</v>
      </c>
      <c r="AG149" s="145">
        <f>SUMIFS(Table2[NewPointsAway],Table2[GameDate], "&lt;=" &amp; $A149, Table2[AwayTeam], AG$1)+SUMIFS(Table2[NewPointsHome],Table2[GameDate], "&lt;=" &amp; $A149, Table2[HomeTeam], AG$1)</f>
        <v>10</v>
      </c>
    </row>
    <row r="150" spans="1:33" x14ac:dyDescent="0.25">
      <c r="A150" s="3">
        <v>46081</v>
      </c>
      <c r="B150" s="145">
        <f>SUMIFS(Table2[NewPointsAway],Table2[GameDate], "&lt;=" &amp; $A150, Table2[AwayTeam], B$1)+SUMIFS(Table2[NewPointsHome],Table2[GameDate], "&lt;=" &amp; $A150, Table2[HomeTeam], B$1)</f>
        <v>7</v>
      </c>
      <c r="C150" s="145">
        <f>SUMIFS(Table2[NewPointsAway],Table2[GameDate], "&lt;=" &amp; $A150, Table2[AwayTeam], C$1)+SUMIFS(Table2[NewPointsHome],Table2[GameDate], "&lt;=" &amp; $A150, Table2[HomeTeam], C$1)</f>
        <v>6</v>
      </c>
      <c r="D150" s="145">
        <f>SUMIFS(Table2[NewPointsAway],Table2[GameDate], "&lt;=" &amp; $A150, Table2[AwayTeam], D$1)+SUMIFS(Table2[NewPointsHome],Table2[GameDate], "&lt;=" &amp; $A150, Table2[HomeTeam], D$1)</f>
        <v>4</v>
      </c>
      <c r="E150" s="145">
        <f>SUMIFS(Table2[NewPointsAway],Table2[GameDate], "&lt;=" &amp; $A150, Table2[AwayTeam], E$1)+SUMIFS(Table2[NewPointsHome],Table2[GameDate], "&lt;=" &amp; $A150, Table2[HomeTeam], E$1)</f>
        <v>10</v>
      </c>
      <c r="F150" s="145">
        <f>SUMIFS(Table2[NewPointsAway],Table2[GameDate], "&lt;=" &amp; $A150, Table2[AwayTeam], F$1)+SUMIFS(Table2[NewPointsHome],Table2[GameDate], "&lt;=" &amp; $A150, Table2[HomeTeam], F$1)</f>
        <v>6</v>
      </c>
      <c r="G150" s="145">
        <f>SUMIFS(Table2[NewPointsAway],Table2[GameDate], "&lt;=" &amp; $A150, Table2[AwayTeam], G$1)+SUMIFS(Table2[NewPointsHome],Table2[GameDate], "&lt;=" &amp; $A150, Table2[HomeTeam], G$1)</f>
        <v>2</v>
      </c>
      <c r="H150" s="145">
        <f>SUMIFS(Table2[NewPointsAway],Table2[GameDate], "&lt;=" &amp; $A150, Table2[AwayTeam], H$1)+SUMIFS(Table2[NewPointsHome],Table2[GameDate], "&lt;=" &amp; $A150, Table2[HomeTeam], H$1)</f>
        <v>8</v>
      </c>
      <c r="I150" s="145">
        <f>SUMIFS(Table2[NewPointsAway],Table2[GameDate], "&lt;=" &amp; $A150, Table2[AwayTeam], I$1)+SUMIFS(Table2[NewPointsHome],Table2[GameDate], "&lt;=" &amp; $A150, Table2[HomeTeam], I$1)</f>
        <v>12</v>
      </c>
      <c r="J150" s="145">
        <f>SUMIFS(Table2[NewPointsAway],Table2[GameDate], "&lt;=" &amp; $A150, Table2[AwayTeam], J$1)+SUMIFS(Table2[NewPointsHome],Table2[GameDate], "&lt;=" &amp; $A150, Table2[HomeTeam], J$1)</f>
        <v>6</v>
      </c>
      <c r="K150" s="145">
        <f>SUMIFS(Table2[NewPointsAway],Table2[GameDate], "&lt;=" &amp; $A150, Table2[AwayTeam], K$1)+SUMIFS(Table2[NewPointsHome],Table2[GameDate], "&lt;=" &amp; $A150, Table2[HomeTeam], K$1)</f>
        <v>10</v>
      </c>
      <c r="L150" s="145">
        <f>SUMIFS(Table2[NewPointsAway],Table2[GameDate], "&lt;=" &amp; $A150, Table2[AwayTeam], L$1)+SUMIFS(Table2[NewPointsHome],Table2[GameDate], "&lt;=" &amp; $A150, Table2[HomeTeam], L$1)</f>
        <v>7</v>
      </c>
      <c r="M150" s="145">
        <f>SUMIFS(Table2[NewPointsAway],Table2[GameDate], "&lt;=" &amp; $A150, Table2[AwayTeam], M$1)+SUMIFS(Table2[NewPointsHome],Table2[GameDate], "&lt;=" &amp; $A150, Table2[HomeTeam], M$1)</f>
        <v>8</v>
      </c>
      <c r="N150" s="145">
        <f>SUMIFS(Table2[NewPointsAway],Table2[GameDate], "&lt;=" &amp; $A150, Table2[AwayTeam], N$1)+SUMIFS(Table2[NewPointsHome],Table2[GameDate], "&lt;=" &amp; $A150, Table2[HomeTeam], N$1)</f>
        <v>6</v>
      </c>
      <c r="O150" s="145">
        <f>SUMIFS(Table2[NewPointsAway],Table2[GameDate], "&lt;=" &amp; $A150, Table2[AwayTeam], O$1)+SUMIFS(Table2[NewPointsHome],Table2[GameDate], "&lt;=" &amp; $A150, Table2[HomeTeam], O$1)</f>
        <v>7</v>
      </c>
      <c r="P150" s="145">
        <f>SUMIFS(Table2[NewPointsAway],Table2[GameDate], "&lt;=" &amp; $A150, Table2[AwayTeam], P$1)+SUMIFS(Table2[NewPointsHome],Table2[GameDate], "&lt;=" &amp; $A150, Table2[HomeTeam], P$1)</f>
        <v>10</v>
      </c>
      <c r="Q150" s="145">
        <f>SUMIFS(Table2[NewPointsAway],Table2[GameDate], "&lt;=" &amp; $A150, Table2[AwayTeam], Q$1)+SUMIFS(Table2[NewPointsHome],Table2[GameDate], "&lt;=" &amp; $A150, Table2[HomeTeam], Q$1)</f>
        <v>10</v>
      </c>
      <c r="R150" s="145">
        <f>SUMIFS(Table2[NewPointsAway],Table2[GameDate], "&lt;=" &amp; $A150, Table2[AwayTeam], R$1)+SUMIFS(Table2[NewPointsHome],Table2[GameDate], "&lt;=" &amp; $A150, Table2[HomeTeam], R$1)</f>
        <v>6</v>
      </c>
      <c r="S150" s="145">
        <f>SUMIFS(Table2[NewPointsAway],Table2[GameDate], "&lt;=" &amp; $A150, Table2[AwayTeam], S$1)+SUMIFS(Table2[NewPointsHome],Table2[GameDate], "&lt;=" &amp; $A150, Table2[HomeTeam], S$1)</f>
        <v>6</v>
      </c>
      <c r="T150" s="145">
        <f>SUMIFS(Table2[NewPointsAway],Table2[GameDate], "&lt;=" &amp; $A150, Table2[AwayTeam], T$1)+SUMIFS(Table2[NewPointsHome],Table2[GameDate], "&lt;=" &amp; $A150, Table2[HomeTeam], T$1)</f>
        <v>7</v>
      </c>
      <c r="U150" s="145">
        <f>SUMIFS(Table2[NewPointsAway],Table2[GameDate], "&lt;=" &amp; $A150, Table2[AwayTeam], U$1)+SUMIFS(Table2[NewPointsHome],Table2[GameDate], "&lt;=" &amp; $A150, Table2[HomeTeam], U$1)</f>
        <v>5</v>
      </c>
      <c r="V150" s="145">
        <f>SUMIFS(Table2[NewPointsAway],Table2[GameDate], "&lt;=" &amp; $A150, Table2[AwayTeam], V$1)+SUMIFS(Table2[NewPointsHome],Table2[GameDate], "&lt;=" &amp; $A150, Table2[HomeTeam], V$1)</f>
        <v>7</v>
      </c>
      <c r="W150" s="145">
        <f>SUMIFS(Table2[NewPointsAway],Table2[GameDate], "&lt;=" &amp; $A150, Table2[AwayTeam], W$1)+SUMIFS(Table2[NewPointsHome],Table2[GameDate], "&lt;=" &amp; $A150, Table2[HomeTeam], W$1)</f>
        <v>10</v>
      </c>
      <c r="X150" s="145">
        <f>SUMIFS(Table2[NewPointsAway],Table2[GameDate], "&lt;=" &amp; $A150, Table2[AwayTeam], X$1)+SUMIFS(Table2[NewPointsHome],Table2[GameDate], "&lt;=" &amp; $A150, Table2[HomeTeam], X$1)</f>
        <v>8</v>
      </c>
      <c r="Y150" s="145">
        <f>SUMIFS(Table2[NewPointsAway],Table2[GameDate], "&lt;=" &amp; $A150, Table2[AwayTeam], Y$1)+SUMIFS(Table2[NewPointsHome],Table2[GameDate], "&lt;=" &amp; $A150, Table2[HomeTeam], Y$1)</f>
        <v>2</v>
      </c>
      <c r="Z150" s="145">
        <f>SUMIFS(Table2[NewPointsAway],Table2[GameDate], "&lt;=" &amp; $A150, Table2[AwayTeam], Z$1)+SUMIFS(Table2[NewPointsHome],Table2[GameDate], "&lt;=" &amp; $A150, Table2[HomeTeam], Z$1)</f>
        <v>7</v>
      </c>
      <c r="AA150" s="145">
        <f>SUMIFS(Table2[NewPointsAway],Table2[GameDate], "&lt;=" &amp; $A150, Table2[AwayTeam], AA$1)+SUMIFS(Table2[NewPointsHome],Table2[GameDate], "&lt;=" &amp; $A150, Table2[HomeTeam], AA$1)</f>
        <v>4</v>
      </c>
      <c r="AB150" s="145">
        <f>SUMIFS(Table2[NewPointsAway],Table2[GameDate], "&lt;=" &amp; $A150, Table2[AwayTeam], AB$1)+SUMIFS(Table2[NewPointsHome],Table2[GameDate], "&lt;=" &amp; $A150, Table2[HomeTeam], AB$1)</f>
        <v>7</v>
      </c>
      <c r="AC150" s="145">
        <f>SUMIFS(Table2[NewPointsAway],Table2[GameDate], "&lt;=" &amp; $A150, Table2[AwayTeam], AC$1)+SUMIFS(Table2[NewPointsHome],Table2[GameDate], "&lt;=" &amp; $A150, Table2[HomeTeam], AC$1)</f>
        <v>10</v>
      </c>
      <c r="AD150" s="145">
        <f>SUMIFS(Table2[NewPointsAway],Table2[GameDate], "&lt;=" &amp; $A150, Table2[AwayTeam], AD$1)+SUMIFS(Table2[NewPointsHome],Table2[GameDate], "&lt;=" &amp; $A150, Table2[HomeTeam], AD$1)</f>
        <v>8</v>
      </c>
      <c r="AE150" s="145">
        <f>SUMIFS(Table2[NewPointsAway],Table2[GameDate], "&lt;=" &amp; $A150, Table2[AwayTeam], AE$1)+SUMIFS(Table2[NewPointsHome],Table2[GameDate], "&lt;=" &amp; $A150, Table2[HomeTeam], AE$1)</f>
        <v>12</v>
      </c>
      <c r="AF150" s="145">
        <f>SUMIFS(Table2[NewPointsAway],Table2[GameDate], "&lt;=" &amp; $A150, Table2[AwayTeam], AF$1)+SUMIFS(Table2[NewPointsHome],Table2[GameDate], "&lt;=" &amp; $A150, Table2[HomeTeam], AF$1)</f>
        <v>10</v>
      </c>
      <c r="AG150" s="145">
        <f>SUMIFS(Table2[NewPointsAway],Table2[GameDate], "&lt;=" &amp; $A150, Table2[AwayTeam], AG$1)+SUMIFS(Table2[NewPointsHome],Table2[GameDate], "&lt;=" &amp; $A150, Table2[HomeTeam], AG$1)</f>
        <v>10</v>
      </c>
    </row>
    <row r="151" spans="1:33" x14ac:dyDescent="0.25">
      <c r="A151" s="3">
        <v>46082</v>
      </c>
      <c r="B151" s="145">
        <f>SUMIFS(Table2[NewPointsAway],Table2[GameDate], "&lt;=" &amp; $A151, Table2[AwayTeam], B$1)+SUMIFS(Table2[NewPointsHome],Table2[GameDate], "&lt;=" &amp; $A151, Table2[HomeTeam], B$1)</f>
        <v>7</v>
      </c>
      <c r="C151" s="145">
        <f>SUMIFS(Table2[NewPointsAway],Table2[GameDate], "&lt;=" &amp; $A151, Table2[AwayTeam], C$1)+SUMIFS(Table2[NewPointsHome],Table2[GameDate], "&lt;=" &amp; $A151, Table2[HomeTeam], C$1)</f>
        <v>6</v>
      </c>
      <c r="D151" s="145">
        <f>SUMIFS(Table2[NewPointsAway],Table2[GameDate], "&lt;=" &amp; $A151, Table2[AwayTeam], D$1)+SUMIFS(Table2[NewPointsHome],Table2[GameDate], "&lt;=" &amp; $A151, Table2[HomeTeam], D$1)</f>
        <v>4</v>
      </c>
      <c r="E151" s="145">
        <f>SUMIFS(Table2[NewPointsAway],Table2[GameDate], "&lt;=" &amp; $A151, Table2[AwayTeam], E$1)+SUMIFS(Table2[NewPointsHome],Table2[GameDate], "&lt;=" &amp; $A151, Table2[HomeTeam], E$1)</f>
        <v>10</v>
      </c>
      <c r="F151" s="145">
        <f>SUMIFS(Table2[NewPointsAway],Table2[GameDate], "&lt;=" &amp; $A151, Table2[AwayTeam], F$1)+SUMIFS(Table2[NewPointsHome],Table2[GameDate], "&lt;=" &amp; $A151, Table2[HomeTeam], F$1)</f>
        <v>6</v>
      </c>
      <c r="G151" s="145">
        <f>SUMIFS(Table2[NewPointsAway],Table2[GameDate], "&lt;=" &amp; $A151, Table2[AwayTeam], G$1)+SUMIFS(Table2[NewPointsHome],Table2[GameDate], "&lt;=" &amp; $A151, Table2[HomeTeam], G$1)</f>
        <v>2</v>
      </c>
      <c r="H151" s="145">
        <f>SUMIFS(Table2[NewPointsAway],Table2[GameDate], "&lt;=" &amp; $A151, Table2[AwayTeam], H$1)+SUMIFS(Table2[NewPointsHome],Table2[GameDate], "&lt;=" &amp; $A151, Table2[HomeTeam], H$1)</f>
        <v>8</v>
      </c>
      <c r="I151" s="145">
        <f>SUMIFS(Table2[NewPointsAway],Table2[GameDate], "&lt;=" &amp; $A151, Table2[AwayTeam], I$1)+SUMIFS(Table2[NewPointsHome],Table2[GameDate], "&lt;=" &amp; $A151, Table2[HomeTeam], I$1)</f>
        <v>12</v>
      </c>
      <c r="J151" s="145">
        <f>SUMIFS(Table2[NewPointsAway],Table2[GameDate], "&lt;=" &amp; $A151, Table2[AwayTeam], J$1)+SUMIFS(Table2[NewPointsHome],Table2[GameDate], "&lt;=" &amp; $A151, Table2[HomeTeam], J$1)</f>
        <v>6</v>
      </c>
      <c r="K151" s="145">
        <f>SUMIFS(Table2[NewPointsAway],Table2[GameDate], "&lt;=" &amp; $A151, Table2[AwayTeam], K$1)+SUMIFS(Table2[NewPointsHome],Table2[GameDate], "&lt;=" &amp; $A151, Table2[HomeTeam], K$1)</f>
        <v>10</v>
      </c>
      <c r="L151" s="145">
        <f>SUMIFS(Table2[NewPointsAway],Table2[GameDate], "&lt;=" &amp; $A151, Table2[AwayTeam], L$1)+SUMIFS(Table2[NewPointsHome],Table2[GameDate], "&lt;=" &amp; $A151, Table2[HomeTeam], L$1)</f>
        <v>7</v>
      </c>
      <c r="M151" s="145">
        <f>SUMIFS(Table2[NewPointsAway],Table2[GameDate], "&lt;=" &amp; $A151, Table2[AwayTeam], M$1)+SUMIFS(Table2[NewPointsHome],Table2[GameDate], "&lt;=" &amp; $A151, Table2[HomeTeam], M$1)</f>
        <v>8</v>
      </c>
      <c r="N151" s="145">
        <f>SUMIFS(Table2[NewPointsAway],Table2[GameDate], "&lt;=" &amp; $A151, Table2[AwayTeam], N$1)+SUMIFS(Table2[NewPointsHome],Table2[GameDate], "&lt;=" &amp; $A151, Table2[HomeTeam], N$1)</f>
        <v>6</v>
      </c>
      <c r="O151" s="145">
        <f>SUMIFS(Table2[NewPointsAway],Table2[GameDate], "&lt;=" &amp; $A151, Table2[AwayTeam], O$1)+SUMIFS(Table2[NewPointsHome],Table2[GameDate], "&lt;=" &amp; $A151, Table2[HomeTeam], O$1)</f>
        <v>7</v>
      </c>
      <c r="P151" s="145">
        <f>SUMIFS(Table2[NewPointsAway],Table2[GameDate], "&lt;=" &amp; $A151, Table2[AwayTeam], P$1)+SUMIFS(Table2[NewPointsHome],Table2[GameDate], "&lt;=" &amp; $A151, Table2[HomeTeam], P$1)</f>
        <v>10</v>
      </c>
      <c r="Q151" s="145">
        <f>SUMIFS(Table2[NewPointsAway],Table2[GameDate], "&lt;=" &amp; $A151, Table2[AwayTeam], Q$1)+SUMIFS(Table2[NewPointsHome],Table2[GameDate], "&lt;=" &amp; $A151, Table2[HomeTeam], Q$1)</f>
        <v>10</v>
      </c>
      <c r="R151" s="145">
        <f>SUMIFS(Table2[NewPointsAway],Table2[GameDate], "&lt;=" &amp; $A151, Table2[AwayTeam], R$1)+SUMIFS(Table2[NewPointsHome],Table2[GameDate], "&lt;=" &amp; $A151, Table2[HomeTeam], R$1)</f>
        <v>6</v>
      </c>
      <c r="S151" s="145">
        <f>SUMIFS(Table2[NewPointsAway],Table2[GameDate], "&lt;=" &amp; $A151, Table2[AwayTeam], S$1)+SUMIFS(Table2[NewPointsHome],Table2[GameDate], "&lt;=" &amp; $A151, Table2[HomeTeam], S$1)</f>
        <v>6</v>
      </c>
      <c r="T151" s="145">
        <f>SUMIFS(Table2[NewPointsAway],Table2[GameDate], "&lt;=" &amp; $A151, Table2[AwayTeam], T$1)+SUMIFS(Table2[NewPointsHome],Table2[GameDate], "&lt;=" &amp; $A151, Table2[HomeTeam], T$1)</f>
        <v>7</v>
      </c>
      <c r="U151" s="145">
        <f>SUMIFS(Table2[NewPointsAway],Table2[GameDate], "&lt;=" &amp; $A151, Table2[AwayTeam], U$1)+SUMIFS(Table2[NewPointsHome],Table2[GameDate], "&lt;=" &amp; $A151, Table2[HomeTeam], U$1)</f>
        <v>5</v>
      </c>
      <c r="V151" s="145">
        <f>SUMIFS(Table2[NewPointsAway],Table2[GameDate], "&lt;=" &amp; $A151, Table2[AwayTeam], V$1)+SUMIFS(Table2[NewPointsHome],Table2[GameDate], "&lt;=" &amp; $A151, Table2[HomeTeam], V$1)</f>
        <v>7</v>
      </c>
      <c r="W151" s="145">
        <f>SUMIFS(Table2[NewPointsAway],Table2[GameDate], "&lt;=" &amp; $A151, Table2[AwayTeam], W$1)+SUMIFS(Table2[NewPointsHome],Table2[GameDate], "&lt;=" &amp; $A151, Table2[HomeTeam], W$1)</f>
        <v>10</v>
      </c>
      <c r="X151" s="145">
        <f>SUMIFS(Table2[NewPointsAway],Table2[GameDate], "&lt;=" &amp; $A151, Table2[AwayTeam], X$1)+SUMIFS(Table2[NewPointsHome],Table2[GameDate], "&lt;=" &amp; $A151, Table2[HomeTeam], X$1)</f>
        <v>8</v>
      </c>
      <c r="Y151" s="145">
        <f>SUMIFS(Table2[NewPointsAway],Table2[GameDate], "&lt;=" &amp; $A151, Table2[AwayTeam], Y$1)+SUMIFS(Table2[NewPointsHome],Table2[GameDate], "&lt;=" &amp; $A151, Table2[HomeTeam], Y$1)</f>
        <v>2</v>
      </c>
      <c r="Z151" s="145">
        <f>SUMIFS(Table2[NewPointsAway],Table2[GameDate], "&lt;=" &amp; $A151, Table2[AwayTeam], Z$1)+SUMIFS(Table2[NewPointsHome],Table2[GameDate], "&lt;=" &amp; $A151, Table2[HomeTeam], Z$1)</f>
        <v>7</v>
      </c>
      <c r="AA151" s="145">
        <f>SUMIFS(Table2[NewPointsAway],Table2[GameDate], "&lt;=" &amp; $A151, Table2[AwayTeam], AA$1)+SUMIFS(Table2[NewPointsHome],Table2[GameDate], "&lt;=" &amp; $A151, Table2[HomeTeam], AA$1)</f>
        <v>4</v>
      </c>
      <c r="AB151" s="145">
        <f>SUMIFS(Table2[NewPointsAway],Table2[GameDate], "&lt;=" &amp; $A151, Table2[AwayTeam], AB$1)+SUMIFS(Table2[NewPointsHome],Table2[GameDate], "&lt;=" &amp; $A151, Table2[HomeTeam], AB$1)</f>
        <v>7</v>
      </c>
      <c r="AC151" s="145">
        <f>SUMIFS(Table2[NewPointsAway],Table2[GameDate], "&lt;=" &amp; $A151, Table2[AwayTeam], AC$1)+SUMIFS(Table2[NewPointsHome],Table2[GameDate], "&lt;=" &amp; $A151, Table2[HomeTeam], AC$1)</f>
        <v>10</v>
      </c>
      <c r="AD151" s="145">
        <f>SUMIFS(Table2[NewPointsAway],Table2[GameDate], "&lt;=" &amp; $A151, Table2[AwayTeam], AD$1)+SUMIFS(Table2[NewPointsHome],Table2[GameDate], "&lt;=" &amp; $A151, Table2[HomeTeam], AD$1)</f>
        <v>8</v>
      </c>
      <c r="AE151" s="145">
        <f>SUMIFS(Table2[NewPointsAway],Table2[GameDate], "&lt;=" &amp; $A151, Table2[AwayTeam], AE$1)+SUMIFS(Table2[NewPointsHome],Table2[GameDate], "&lt;=" &amp; $A151, Table2[HomeTeam], AE$1)</f>
        <v>12</v>
      </c>
      <c r="AF151" s="145">
        <f>SUMIFS(Table2[NewPointsAway],Table2[GameDate], "&lt;=" &amp; $A151, Table2[AwayTeam], AF$1)+SUMIFS(Table2[NewPointsHome],Table2[GameDate], "&lt;=" &amp; $A151, Table2[HomeTeam], AF$1)</f>
        <v>10</v>
      </c>
      <c r="AG151" s="145">
        <f>SUMIFS(Table2[NewPointsAway],Table2[GameDate], "&lt;=" &amp; $A151, Table2[AwayTeam], AG$1)+SUMIFS(Table2[NewPointsHome],Table2[GameDate], "&lt;=" &amp; $A151, Table2[HomeTeam], AG$1)</f>
        <v>10</v>
      </c>
    </row>
    <row r="152" spans="1:33" x14ac:dyDescent="0.25">
      <c r="A152" s="3">
        <v>46083</v>
      </c>
      <c r="B152" s="145">
        <f>SUMIFS(Table2[NewPointsAway],Table2[GameDate], "&lt;=" &amp; $A152, Table2[AwayTeam], B$1)+SUMIFS(Table2[NewPointsHome],Table2[GameDate], "&lt;=" &amp; $A152, Table2[HomeTeam], B$1)</f>
        <v>7</v>
      </c>
      <c r="C152" s="145">
        <f>SUMIFS(Table2[NewPointsAway],Table2[GameDate], "&lt;=" &amp; $A152, Table2[AwayTeam], C$1)+SUMIFS(Table2[NewPointsHome],Table2[GameDate], "&lt;=" &amp; $A152, Table2[HomeTeam], C$1)</f>
        <v>6</v>
      </c>
      <c r="D152" s="145">
        <f>SUMIFS(Table2[NewPointsAway],Table2[GameDate], "&lt;=" &amp; $A152, Table2[AwayTeam], D$1)+SUMIFS(Table2[NewPointsHome],Table2[GameDate], "&lt;=" &amp; $A152, Table2[HomeTeam], D$1)</f>
        <v>4</v>
      </c>
      <c r="E152" s="145">
        <f>SUMIFS(Table2[NewPointsAway],Table2[GameDate], "&lt;=" &amp; $A152, Table2[AwayTeam], E$1)+SUMIFS(Table2[NewPointsHome],Table2[GameDate], "&lt;=" &amp; $A152, Table2[HomeTeam], E$1)</f>
        <v>10</v>
      </c>
      <c r="F152" s="145">
        <f>SUMIFS(Table2[NewPointsAway],Table2[GameDate], "&lt;=" &amp; $A152, Table2[AwayTeam], F$1)+SUMIFS(Table2[NewPointsHome],Table2[GameDate], "&lt;=" &amp; $A152, Table2[HomeTeam], F$1)</f>
        <v>6</v>
      </c>
      <c r="G152" s="145">
        <f>SUMIFS(Table2[NewPointsAway],Table2[GameDate], "&lt;=" &amp; $A152, Table2[AwayTeam], G$1)+SUMIFS(Table2[NewPointsHome],Table2[GameDate], "&lt;=" &amp; $A152, Table2[HomeTeam], G$1)</f>
        <v>2</v>
      </c>
      <c r="H152" s="145">
        <f>SUMIFS(Table2[NewPointsAway],Table2[GameDate], "&lt;=" &amp; $A152, Table2[AwayTeam], H$1)+SUMIFS(Table2[NewPointsHome],Table2[GameDate], "&lt;=" &amp; $A152, Table2[HomeTeam], H$1)</f>
        <v>8</v>
      </c>
      <c r="I152" s="145">
        <f>SUMIFS(Table2[NewPointsAway],Table2[GameDate], "&lt;=" &amp; $A152, Table2[AwayTeam], I$1)+SUMIFS(Table2[NewPointsHome],Table2[GameDate], "&lt;=" &amp; $A152, Table2[HomeTeam], I$1)</f>
        <v>12</v>
      </c>
      <c r="J152" s="145">
        <f>SUMIFS(Table2[NewPointsAway],Table2[GameDate], "&lt;=" &amp; $A152, Table2[AwayTeam], J$1)+SUMIFS(Table2[NewPointsHome],Table2[GameDate], "&lt;=" &amp; $A152, Table2[HomeTeam], J$1)</f>
        <v>6</v>
      </c>
      <c r="K152" s="145">
        <f>SUMIFS(Table2[NewPointsAway],Table2[GameDate], "&lt;=" &amp; $A152, Table2[AwayTeam], K$1)+SUMIFS(Table2[NewPointsHome],Table2[GameDate], "&lt;=" &amp; $A152, Table2[HomeTeam], K$1)</f>
        <v>10</v>
      </c>
      <c r="L152" s="145">
        <f>SUMIFS(Table2[NewPointsAway],Table2[GameDate], "&lt;=" &amp; $A152, Table2[AwayTeam], L$1)+SUMIFS(Table2[NewPointsHome],Table2[GameDate], "&lt;=" &amp; $A152, Table2[HomeTeam], L$1)</f>
        <v>7</v>
      </c>
      <c r="M152" s="145">
        <f>SUMIFS(Table2[NewPointsAway],Table2[GameDate], "&lt;=" &amp; $A152, Table2[AwayTeam], M$1)+SUMIFS(Table2[NewPointsHome],Table2[GameDate], "&lt;=" &amp; $A152, Table2[HomeTeam], M$1)</f>
        <v>8</v>
      </c>
      <c r="N152" s="145">
        <f>SUMIFS(Table2[NewPointsAway],Table2[GameDate], "&lt;=" &amp; $A152, Table2[AwayTeam], N$1)+SUMIFS(Table2[NewPointsHome],Table2[GameDate], "&lt;=" &amp; $A152, Table2[HomeTeam], N$1)</f>
        <v>6</v>
      </c>
      <c r="O152" s="145">
        <f>SUMIFS(Table2[NewPointsAway],Table2[GameDate], "&lt;=" &amp; $A152, Table2[AwayTeam], O$1)+SUMIFS(Table2[NewPointsHome],Table2[GameDate], "&lt;=" &amp; $A152, Table2[HomeTeam], O$1)</f>
        <v>7</v>
      </c>
      <c r="P152" s="145">
        <f>SUMIFS(Table2[NewPointsAway],Table2[GameDate], "&lt;=" &amp; $A152, Table2[AwayTeam], P$1)+SUMIFS(Table2[NewPointsHome],Table2[GameDate], "&lt;=" &amp; $A152, Table2[HomeTeam], P$1)</f>
        <v>10</v>
      </c>
      <c r="Q152" s="145">
        <f>SUMIFS(Table2[NewPointsAway],Table2[GameDate], "&lt;=" &amp; $A152, Table2[AwayTeam], Q$1)+SUMIFS(Table2[NewPointsHome],Table2[GameDate], "&lt;=" &amp; $A152, Table2[HomeTeam], Q$1)</f>
        <v>10</v>
      </c>
      <c r="R152" s="145">
        <f>SUMIFS(Table2[NewPointsAway],Table2[GameDate], "&lt;=" &amp; $A152, Table2[AwayTeam], R$1)+SUMIFS(Table2[NewPointsHome],Table2[GameDate], "&lt;=" &amp; $A152, Table2[HomeTeam], R$1)</f>
        <v>6</v>
      </c>
      <c r="S152" s="145">
        <f>SUMIFS(Table2[NewPointsAway],Table2[GameDate], "&lt;=" &amp; $A152, Table2[AwayTeam], S$1)+SUMIFS(Table2[NewPointsHome],Table2[GameDate], "&lt;=" &amp; $A152, Table2[HomeTeam], S$1)</f>
        <v>6</v>
      </c>
      <c r="T152" s="145">
        <f>SUMIFS(Table2[NewPointsAway],Table2[GameDate], "&lt;=" &amp; $A152, Table2[AwayTeam], T$1)+SUMIFS(Table2[NewPointsHome],Table2[GameDate], "&lt;=" &amp; $A152, Table2[HomeTeam], T$1)</f>
        <v>7</v>
      </c>
      <c r="U152" s="145">
        <f>SUMIFS(Table2[NewPointsAway],Table2[GameDate], "&lt;=" &amp; $A152, Table2[AwayTeam], U$1)+SUMIFS(Table2[NewPointsHome],Table2[GameDate], "&lt;=" &amp; $A152, Table2[HomeTeam], U$1)</f>
        <v>5</v>
      </c>
      <c r="V152" s="145">
        <f>SUMIFS(Table2[NewPointsAway],Table2[GameDate], "&lt;=" &amp; $A152, Table2[AwayTeam], V$1)+SUMIFS(Table2[NewPointsHome],Table2[GameDate], "&lt;=" &amp; $A152, Table2[HomeTeam], V$1)</f>
        <v>7</v>
      </c>
      <c r="W152" s="145">
        <f>SUMIFS(Table2[NewPointsAway],Table2[GameDate], "&lt;=" &amp; $A152, Table2[AwayTeam], W$1)+SUMIFS(Table2[NewPointsHome],Table2[GameDate], "&lt;=" &amp; $A152, Table2[HomeTeam], W$1)</f>
        <v>10</v>
      </c>
      <c r="X152" s="145">
        <f>SUMIFS(Table2[NewPointsAway],Table2[GameDate], "&lt;=" &amp; $A152, Table2[AwayTeam], X$1)+SUMIFS(Table2[NewPointsHome],Table2[GameDate], "&lt;=" &amp; $A152, Table2[HomeTeam], X$1)</f>
        <v>8</v>
      </c>
      <c r="Y152" s="145">
        <f>SUMIFS(Table2[NewPointsAway],Table2[GameDate], "&lt;=" &amp; $A152, Table2[AwayTeam], Y$1)+SUMIFS(Table2[NewPointsHome],Table2[GameDate], "&lt;=" &amp; $A152, Table2[HomeTeam], Y$1)</f>
        <v>2</v>
      </c>
      <c r="Z152" s="145">
        <f>SUMIFS(Table2[NewPointsAway],Table2[GameDate], "&lt;=" &amp; $A152, Table2[AwayTeam], Z$1)+SUMIFS(Table2[NewPointsHome],Table2[GameDate], "&lt;=" &amp; $A152, Table2[HomeTeam], Z$1)</f>
        <v>7</v>
      </c>
      <c r="AA152" s="145">
        <f>SUMIFS(Table2[NewPointsAway],Table2[GameDate], "&lt;=" &amp; $A152, Table2[AwayTeam], AA$1)+SUMIFS(Table2[NewPointsHome],Table2[GameDate], "&lt;=" &amp; $A152, Table2[HomeTeam], AA$1)</f>
        <v>4</v>
      </c>
      <c r="AB152" s="145">
        <f>SUMIFS(Table2[NewPointsAway],Table2[GameDate], "&lt;=" &amp; $A152, Table2[AwayTeam], AB$1)+SUMIFS(Table2[NewPointsHome],Table2[GameDate], "&lt;=" &amp; $A152, Table2[HomeTeam], AB$1)</f>
        <v>7</v>
      </c>
      <c r="AC152" s="145">
        <f>SUMIFS(Table2[NewPointsAway],Table2[GameDate], "&lt;=" &amp; $A152, Table2[AwayTeam], AC$1)+SUMIFS(Table2[NewPointsHome],Table2[GameDate], "&lt;=" &amp; $A152, Table2[HomeTeam], AC$1)</f>
        <v>10</v>
      </c>
      <c r="AD152" s="145">
        <f>SUMIFS(Table2[NewPointsAway],Table2[GameDate], "&lt;=" &amp; $A152, Table2[AwayTeam], AD$1)+SUMIFS(Table2[NewPointsHome],Table2[GameDate], "&lt;=" &amp; $A152, Table2[HomeTeam], AD$1)</f>
        <v>8</v>
      </c>
      <c r="AE152" s="145">
        <f>SUMIFS(Table2[NewPointsAway],Table2[GameDate], "&lt;=" &amp; $A152, Table2[AwayTeam], AE$1)+SUMIFS(Table2[NewPointsHome],Table2[GameDate], "&lt;=" &amp; $A152, Table2[HomeTeam], AE$1)</f>
        <v>12</v>
      </c>
      <c r="AF152" s="145">
        <f>SUMIFS(Table2[NewPointsAway],Table2[GameDate], "&lt;=" &amp; $A152, Table2[AwayTeam], AF$1)+SUMIFS(Table2[NewPointsHome],Table2[GameDate], "&lt;=" &amp; $A152, Table2[HomeTeam], AF$1)</f>
        <v>10</v>
      </c>
      <c r="AG152" s="145">
        <f>SUMIFS(Table2[NewPointsAway],Table2[GameDate], "&lt;=" &amp; $A152, Table2[AwayTeam], AG$1)+SUMIFS(Table2[NewPointsHome],Table2[GameDate], "&lt;=" &amp; $A152, Table2[HomeTeam], AG$1)</f>
        <v>10</v>
      </c>
    </row>
    <row r="153" spans="1:33" x14ac:dyDescent="0.25">
      <c r="A153" s="3">
        <v>46084</v>
      </c>
      <c r="B153" s="145">
        <f>SUMIFS(Table2[NewPointsAway],Table2[GameDate], "&lt;=" &amp; $A153, Table2[AwayTeam], B$1)+SUMIFS(Table2[NewPointsHome],Table2[GameDate], "&lt;=" &amp; $A153, Table2[HomeTeam], B$1)</f>
        <v>7</v>
      </c>
      <c r="C153" s="145">
        <f>SUMIFS(Table2[NewPointsAway],Table2[GameDate], "&lt;=" &amp; $A153, Table2[AwayTeam], C$1)+SUMIFS(Table2[NewPointsHome],Table2[GameDate], "&lt;=" &amp; $A153, Table2[HomeTeam], C$1)</f>
        <v>6</v>
      </c>
      <c r="D153" s="145">
        <f>SUMIFS(Table2[NewPointsAway],Table2[GameDate], "&lt;=" &amp; $A153, Table2[AwayTeam], D$1)+SUMIFS(Table2[NewPointsHome],Table2[GameDate], "&lt;=" &amp; $A153, Table2[HomeTeam], D$1)</f>
        <v>4</v>
      </c>
      <c r="E153" s="145">
        <f>SUMIFS(Table2[NewPointsAway],Table2[GameDate], "&lt;=" &amp; $A153, Table2[AwayTeam], E$1)+SUMIFS(Table2[NewPointsHome],Table2[GameDate], "&lt;=" &amp; $A153, Table2[HomeTeam], E$1)</f>
        <v>10</v>
      </c>
      <c r="F153" s="145">
        <f>SUMIFS(Table2[NewPointsAway],Table2[GameDate], "&lt;=" &amp; $A153, Table2[AwayTeam], F$1)+SUMIFS(Table2[NewPointsHome],Table2[GameDate], "&lt;=" &amp; $A153, Table2[HomeTeam], F$1)</f>
        <v>6</v>
      </c>
      <c r="G153" s="145">
        <f>SUMIFS(Table2[NewPointsAway],Table2[GameDate], "&lt;=" &amp; $A153, Table2[AwayTeam], G$1)+SUMIFS(Table2[NewPointsHome],Table2[GameDate], "&lt;=" &amp; $A153, Table2[HomeTeam], G$1)</f>
        <v>2</v>
      </c>
      <c r="H153" s="145">
        <f>SUMIFS(Table2[NewPointsAway],Table2[GameDate], "&lt;=" &amp; $A153, Table2[AwayTeam], H$1)+SUMIFS(Table2[NewPointsHome],Table2[GameDate], "&lt;=" &amp; $A153, Table2[HomeTeam], H$1)</f>
        <v>8</v>
      </c>
      <c r="I153" s="145">
        <f>SUMIFS(Table2[NewPointsAway],Table2[GameDate], "&lt;=" &amp; $A153, Table2[AwayTeam], I$1)+SUMIFS(Table2[NewPointsHome],Table2[GameDate], "&lt;=" &amp; $A153, Table2[HomeTeam], I$1)</f>
        <v>12</v>
      </c>
      <c r="J153" s="145">
        <f>SUMIFS(Table2[NewPointsAway],Table2[GameDate], "&lt;=" &amp; $A153, Table2[AwayTeam], J$1)+SUMIFS(Table2[NewPointsHome],Table2[GameDate], "&lt;=" &amp; $A153, Table2[HomeTeam], J$1)</f>
        <v>6</v>
      </c>
      <c r="K153" s="145">
        <f>SUMIFS(Table2[NewPointsAway],Table2[GameDate], "&lt;=" &amp; $A153, Table2[AwayTeam], K$1)+SUMIFS(Table2[NewPointsHome],Table2[GameDate], "&lt;=" &amp; $A153, Table2[HomeTeam], K$1)</f>
        <v>10</v>
      </c>
      <c r="L153" s="145">
        <f>SUMIFS(Table2[NewPointsAway],Table2[GameDate], "&lt;=" &amp; $A153, Table2[AwayTeam], L$1)+SUMIFS(Table2[NewPointsHome],Table2[GameDate], "&lt;=" &amp; $A153, Table2[HomeTeam], L$1)</f>
        <v>7</v>
      </c>
      <c r="M153" s="145">
        <f>SUMIFS(Table2[NewPointsAway],Table2[GameDate], "&lt;=" &amp; $A153, Table2[AwayTeam], M$1)+SUMIFS(Table2[NewPointsHome],Table2[GameDate], "&lt;=" &amp; $A153, Table2[HomeTeam], M$1)</f>
        <v>8</v>
      </c>
      <c r="N153" s="145">
        <f>SUMIFS(Table2[NewPointsAway],Table2[GameDate], "&lt;=" &amp; $A153, Table2[AwayTeam], N$1)+SUMIFS(Table2[NewPointsHome],Table2[GameDate], "&lt;=" &amp; $A153, Table2[HomeTeam], N$1)</f>
        <v>6</v>
      </c>
      <c r="O153" s="145">
        <f>SUMIFS(Table2[NewPointsAway],Table2[GameDate], "&lt;=" &amp; $A153, Table2[AwayTeam], O$1)+SUMIFS(Table2[NewPointsHome],Table2[GameDate], "&lt;=" &amp; $A153, Table2[HomeTeam], O$1)</f>
        <v>7</v>
      </c>
      <c r="P153" s="145">
        <f>SUMIFS(Table2[NewPointsAway],Table2[GameDate], "&lt;=" &amp; $A153, Table2[AwayTeam], P$1)+SUMIFS(Table2[NewPointsHome],Table2[GameDate], "&lt;=" &amp; $A153, Table2[HomeTeam], P$1)</f>
        <v>10</v>
      </c>
      <c r="Q153" s="145">
        <f>SUMIFS(Table2[NewPointsAway],Table2[GameDate], "&lt;=" &amp; $A153, Table2[AwayTeam], Q$1)+SUMIFS(Table2[NewPointsHome],Table2[GameDate], "&lt;=" &amp; $A153, Table2[HomeTeam], Q$1)</f>
        <v>10</v>
      </c>
      <c r="R153" s="145">
        <f>SUMIFS(Table2[NewPointsAway],Table2[GameDate], "&lt;=" &amp; $A153, Table2[AwayTeam], R$1)+SUMIFS(Table2[NewPointsHome],Table2[GameDate], "&lt;=" &amp; $A153, Table2[HomeTeam], R$1)</f>
        <v>6</v>
      </c>
      <c r="S153" s="145">
        <f>SUMIFS(Table2[NewPointsAway],Table2[GameDate], "&lt;=" &amp; $A153, Table2[AwayTeam], S$1)+SUMIFS(Table2[NewPointsHome],Table2[GameDate], "&lt;=" &amp; $A153, Table2[HomeTeam], S$1)</f>
        <v>6</v>
      </c>
      <c r="T153" s="145">
        <f>SUMIFS(Table2[NewPointsAway],Table2[GameDate], "&lt;=" &amp; $A153, Table2[AwayTeam], T$1)+SUMIFS(Table2[NewPointsHome],Table2[GameDate], "&lt;=" &amp; $A153, Table2[HomeTeam], T$1)</f>
        <v>7</v>
      </c>
      <c r="U153" s="145">
        <f>SUMIFS(Table2[NewPointsAway],Table2[GameDate], "&lt;=" &amp; $A153, Table2[AwayTeam], U$1)+SUMIFS(Table2[NewPointsHome],Table2[GameDate], "&lt;=" &amp; $A153, Table2[HomeTeam], U$1)</f>
        <v>5</v>
      </c>
      <c r="V153" s="145">
        <f>SUMIFS(Table2[NewPointsAway],Table2[GameDate], "&lt;=" &amp; $A153, Table2[AwayTeam], V$1)+SUMIFS(Table2[NewPointsHome],Table2[GameDate], "&lt;=" &amp; $A153, Table2[HomeTeam], V$1)</f>
        <v>7</v>
      </c>
      <c r="W153" s="145">
        <f>SUMIFS(Table2[NewPointsAway],Table2[GameDate], "&lt;=" &amp; $A153, Table2[AwayTeam], W$1)+SUMIFS(Table2[NewPointsHome],Table2[GameDate], "&lt;=" &amp; $A153, Table2[HomeTeam], W$1)</f>
        <v>10</v>
      </c>
      <c r="X153" s="145">
        <f>SUMIFS(Table2[NewPointsAway],Table2[GameDate], "&lt;=" &amp; $A153, Table2[AwayTeam], X$1)+SUMIFS(Table2[NewPointsHome],Table2[GameDate], "&lt;=" &amp; $A153, Table2[HomeTeam], X$1)</f>
        <v>8</v>
      </c>
      <c r="Y153" s="145">
        <f>SUMIFS(Table2[NewPointsAway],Table2[GameDate], "&lt;=" &amp; $A153, Table2[AwayTeam], Y$1)+SUMIFS(Table2[NewPointsHome],Table2[GameDate], "&lt;=" &amp; $A153, Table2[HomeTeam], Y$1)</f>
        <v>2</v>
      </c>
      <c r="Z153" s="145">
        <f>SUMIFS(Table2[NewPointsAway],Table2[GameDate], "&lt;=" &amp; $A153, Table2[AwayTeam], Z$1)+SUMIFS(Table2[NewPointsHome],Table2[GameDate], "&lt;=" &amp; $A153, Table2[HomeTeam], Z$1)</f>
        <v>7</v>
      </c>
      <c r="AA153" s="145">
        <f>SUMIFS(Table2[NewPointsAway],Table2[GameDate], "&lt;=" &amp; $A153, Table2[AwayTeam], AA$1)+SUMIFS(Table2[NewPointsHome],Table2[GameDate], "&lt;=" &amp; $A153, Table2[HomeTeam], AA$1)</f>
        <v>4</v>
      </c>
      <c r="AB153" s="145">
        <f>SUMIFS(Table2[NewPointsAway],Table2[GameDate], "&lt;=" &amp; $A153, Table2[AwayTeam], AB$1)+SUMIFS(Table2[NewPointsHome],Table2[GameDate], "&lt;=" &amp; $A153, Table2[HomeTeam], AB$1)</f>
        <v>7</v>
      </c>
      <c r="AC153" s="145">
        <f>SUMIFS(Table2[NewPointsAway],Table2[GameDate], "&lt;=" &amp; $A153, Table2[AwayTeam], AC$1)+SUMIFS(Table2[NewPointsHome],Table2[GameDate], "&lt;=" &amp; $A153, Table2[HomeTeam], AC$1)</f>
        <v>10</v>
      </c>
      <c r="AD153" s="145">
        <f>SUMIFS(Table2[NewPointsAway],Table2[GameDate], "&lt;=" &amp; $A153, Table2[AwayTeam], AD$1)+SUMIFS(Table2[NewPointsHome],Table2[GameDate], "&lt;=" &amp; $A153, Table2[HomeTeam], AD$1)</f>
        <v>8</v>
      </c>
      <c r="AE153" s="145">
        <f>SUMIFS(Table2[NewPointsAway],Table2[GameDate], "&lt;=" &amp; $A153, Table2[AwayTeam], AE$1)+SUMIFS(Table2[NewPointsHome],Table2[GameDate], "&lt;=" &amp; $A153, Table2[HomeTeam], AE$1)</f>
        <v>12</v>
      </c>
      <c r="AF153" s="145">
        <f>SUMIFS(Table2[NewPointsAway],Table2[GameDate], "&lt;=" &amp; $A153, Table2[AwayTeam], AF$1)+SUMIFS(Table2[NewPointsHome],Table2[GameDate], "&lt;=" &amp; $A153, Table2[HomeTeam], AF$1)</f>
        <v>10</v>
      </c>
      <c r="AG153" s="145">
        <f>SUMIFS(Table2[NewPointsAway],Table2[GameDate], "&lt;=" &amp; $A153, Table2[AwayTeam], AG$1)+SUMIFS(Table2[NewPointsHome],Table2[GameDate], "&lt;=" &amp; $A153, Table2[HomeTeam], AG$1)</f>
        <v>10</v>
      </c>
    </row>
    <row r="154" spans="1:33" x14ac:dyDescent="0.25">
      <c r="A154" s="3">
        <v>46085</v>
      </c>
      <c r="B154" s="145">
        <f>SUMIFS(Table2[NewPointsAway],Table2[GameDate], "&lt;=" &amp; $A154, Table2[AwayTeam], B$1)+SUMIFS(Table2[NewPointsHome],Table2[GameDate], "&lt;=" &amp; $A154, Table2[HomeTeam], B$1)</f>
        <v>7</v>
      </c>
      <c r="C154" s="145">
        <f>SUMIFS(Table2[NewPointsAway],Table2[GameDate], "&lt;=" &amp; $A154, Table2[AwayTeam], C$1)+SUMIFS(Table2[NewPointsHome],Table2[GameDate], "&lt;=" &amp; $A154, Table2[HomeTeam], C$1)</f>
        <v>6</v>
      </c>
      <c r="D154" s="145">
        <f>SUMIFS(Table2[NewPointsAway],Table2[GameDate], "&lt;=" &amp; $A154, Table2[AwayTeam], D$1)+SUMIFS(Table2[NewPointsHome],Table2[GameDate], "&lt;=" &amp; $A154, Table2[HomeTeam], D$1)</f>
        <v>4</v>
      </c>
      <c r="E154" s="145">
        <f>SUMIFS(Table2[NewPointsAway],Table2[GameDate], "&lt;=" &amp; $A154, Table2[AwayTeam], E$1)+SUMIFS(Table2[NewPointsHome],Table2[GameDate], "&lt;=" &amp; $A154, Table2[HomeTeam], E$1)</f>
        <v>10</v>
      </c>
      <c r="F154" s="145">
        <f>SUMIFS(Table2[NewPointsAway],Table2[GameDate], "&lt;=" &amp; $A154, Table2[AwayTeam], F$1)+SUMIFS(Table2[NewPointsHome],Table2[GameDate], "&lt;=" &amp; $A154, Table2[HomeTeam], F$1)</f>
        <v>6</v>
      </c>
      <c r="G154" s="145">
        <f>SUMIFS(Table2[NewPointsAway],Table2[GameDate], "&lt;=" &amp; $A154, Table2[AwayTeam], G$1)+SUMIFS(Table2[NewPointsHome],Table2[GameDate], "&lt;=" &amp; $A154, Table2[HomeTeam], G$1)</f>
        <v>2</v>
      </c>
      <c r="H154" s="145">
        <f>SUMIFS(Table2[NewPointsAway],Table2[GameDate], "&lt;=" &amp; $A154, Table2[AwayTeam], H$1)+SUMIFS(Table2[NewPointsHome],Table2[GameDate], "&lt;=" &amp; $A154, Table2[HomeTeam], H$1)</f>
        <v>8</v>
      </c>
      <c r="I154" s="145">
        <f>SUMIFS(Table2[NewPointsAway],Table2[GameDate], "&lt;=" &amp; $A154, Table2[AwayTeam], I$1)+SUMIFS(Table2[NewPointsHome],Table2[GameDate], "&lt;=" &amp; $A154, Table2[HomeTeam], I$1)</f>
        <v>12</v>
      </c>
      <c r="J154" s="145">
        <f>SUMIFS(Table2[NewPointsAway],Table2[GameDate], "&lt;=" &amp; $A154, Table2[AwayTeam], J$1)+SUMIFS(Table2[NewPointsHome],Table2[GameDate], "&lt;=" &amp; $A154, Table2[HomeTeam], J$1)</f>
        <v>6</v>
      </c>
      <c r="K154" s="145">
        <f>SUMIFS(Table2[NewPointsAway],Table2[GameDate], "&lt;=" &amp; $A154, Table2[AwayTeam], K$1)+SUMIFS(Table2[NewPointsHome],Table2[GameDate], "&lt;=" &amp; $A154, Table2[HomeTeam], K$1)</f>
        <v>10</v>
      </c>
      <c r="L154" s="145">
        <f>SUMIFS(Table2[NewPointsAway],Table2[GameDate], "&lt;=" &amp; $A154, Table2[AwayTeam], L$1)+SUMIFS(Table2[NewPointsHome],Table2[GameDate], "&lt;=" &amp; $A154, Table2[HomeTeam], L$1)</f>
        <v>7</v>
      </c>
      <c r="M154" s="145">
        <f>SUMIFS(Table2[NewPointsAway],Table2[GameDate], "&lt;=" &amp; $A154, Table2[AwayTeam], M$1)+SUMIFS(Table2[NewPointsHome],Table2[GameDate], "&lt;=" &amp; $A154, Table2[HomeTeam], M$1)</f>
        <v>8</v>
      </c>
      <c r="N154" s="145">
        <f>SUMIFS(Table2[NewPointsAway],Table2[GameDate], "&lt;=" &amp; $A154, Table2[AwayTeam], N$1)+SUMIFS(Table2[NewPointsHome],Table2[GameDate], "&lt;=" &amp; $A154, Table2[HomeTeam], N$1)</f>
        <v>6</v>
      </c>
      <c r="O154" s="145">
        <f>SUMIFS(Table2[NewPointsAway],Table2[GameDate], "&lt;=" &amp; $A154, Table2[AwayTeam], O$1)+SUMIFS(Table2[NewPointsHome],Table2[GameDate], "&lt;=" &amp; $A154, Table2[HomeTeam], O$1)</f>
        <v>7</v>
      </c>
      <c r="P154" s="145">
        <f>SUMIFS(Table2[NewPointsAway],Table2[GameDate], "&lt;=" &amp; $A154, Table2[AwayTeam], P$1)+SUMIFS(Table2[NewPointsHome],Table2[GameDate], "&lt;=" &amp; $A154, Table2[HomeTeam], P$1)</f>
        <v>10</v>
      </c>
      <c r="Q154" s="145">
        <f>SUMIFS(Table2[NewPointsAway],Table2[GameDate], "&lt;=" &amp; $A154, Table2[AwayTeam], Q$1)+SUMIFS(Table2[NewPointsHome],Table2[GameDate], "&lt;=" &amp; $A154, Table2[HomeTeam], Q$1)</f>
        <v>10</v>
      </c>
      <c r="R154" s="145">
        <f>SUMIFS(Table2[NewPointsAway],Table2[GameDate], "&lt;=" &amp; $A154, Table2[AwayTeam], R$1)+SUMIFS(Table2[NewPointsHome],Table2[GameDate], "&lt;=" &amp; $A154, Table2[HomeTeam], R$1)</f>
        <v>6</v>
      </c>
      <c r="S154" s="145">
        <f>SUMIFS(Table2[NewPointsAway],Table2[GameDate], "&lt;=" &amp; $A154, Table2[AwayTeam], S$1)+SUMIFS(Table2[NewPointsHome],Table2[GameDate], "&lt;=" &amp; $A154, Table2[HomeTeam], S$1)</f>
        <v>6</v>
      </c>
      <c r="T154" s="145">
        <f>SUMIFS(Table2[NewPointsAway],Table2[GameDate], "&lt;=" &amp; $A154, Table2[AwayTeam], T$1)+SUMIFS(Table2[NewPointsHome],Table2[GameDate], "&lt;=" &amp; $A154, Table2[HomeTeam], T$1)</f>
        <v>7</v>
      </c>
      <c r="U154" s="145">
        <f>SUMIFS(Table2[NewPointsAway],Table2[GameDate], "&lt;=" &amp; $A154, Table2[AwayTeam], U$1)+SUMIFS(Table2[NewPointsHome],Table2[GameDate], "&lt;=" &amp; $A154, Table2[HomeTeam], U$1)</f>
        <v>5</v>
      </c>
      <c r="V154" s="145">
        <f>SUMIFS(Table2[NewPointsAway],Table2[GameDate], "&lt;=" &amp; $A154, Table2[AwayTeam], V$1)+SUMIFS(Table2[NewPointsHome],Table2[GameDate], "&lt;=" &amp; $A154, Table2[HomeTeam], V$1)</f>
        <v>7</v>
      </c>
      <c r="W154" s="145">
        <f>SUMIFS(Table2[NewPointsAway],Table2[GameDate], "&lt;=" &amp; $A154, Table2[AwayTeam], W$1)+SUMIFS(Table2[NewPointsHome],Table2[GameDate], "&lt;=" &amp; $A154, Table2[HomeTeam], W$1)</f>
        <v>10</v>
      </c>
      <c r="X154" s="145">
        <f>SUMIFS(Table2[NewPointsAway],Table2[GameDate], "&lt;=" &amp; $A154, Table2[AwayTeam], X$1)+SUMIFS(Table2[NewPointsHome],Table2[GameDate], "&lt;=" &amp; $A154, Table2[HomeTeam], X$1)</f>
        <v>8</v>
      </c>
      <c r="Y154" s="145">
        <f>SUMIFS(Table2[NewPointsAway],Table2[GameDate], "&lt;=" &amp; $A154, Table2[AwayTeam], Y$1)+SUMIFS(Table2[NewPointsHome],Table2[GameDate], "&lt;=" &amp; $A154, Table2[HomeTeam], Y$1)</f>
        <v>2</v>
      </c>
      <c r="Z154" s="145">
        <f>SUMIFS(Table2[NewPointsAway],Table2[GameDate], "&lt;=" &amp; $A154, Table2[AwayTeam], Z$1)+SUMIFS(Table2[NewPointsHome],Table2[GameDate], "&lt;=" &amp; $A154, Table2[HomeTeam], Z$1)</f>
        <v>7</v>
      </c>
      <c r="AA154" s="145">
        <f>SUMIFS(Table2[NewPointsAway],Table2[GameDate], "&lt;=" &amp; $A154, Table2[AwayTeam], AA$1)+SUMIFS(Table2[NewPointsHome],Table2[GameDate], "&lt;=" &amp; $A154, Table2[HomeTeam], AA$1)</f>
        <v>4</v>
      </c>
      <c r="AB154" s="145">
        <f>SUMIFS(Table2[NewPointsAway],Table2[GameDate], "&lt;=" &amp; $A154, Table2[AwayTeam], AB$1)+SUMIFS(Table2[NewPointsHome],Table2[GameDate], "&lt;=" &amp; $A154, Table2[HomeTeam], AB$1)</f>
        <v>7</v>
      </c>
      <c r="AC154" s="145">
        <f>SUMIFS(Table2[NewPointsAway],Table2[GameDate], "&lt;=" &amp; $A154, Table2[AwayTeam], AC$1)+SUMIFS(Table2[NewPointsHome],Table2[GameDate], "&lt;=" &amp; $A154, Table2[HomeTeam], AC$1)</f>
        <v>10</v>
      </c>
      <c r="AD154" s="145">
        <f>SUMIFS(Table2[NewPointsAway],Table2[GameDate], "&lt;=" &amp; $A154, Table2[AwayTeam], AD$1)+SUMIFS(Table2[NewPointsHome],Table2[GameDate], "&lt;=" &amp; $A154, Table2[HomeTeam], AD$1)</f>
        <v>8</v>
      </c>
      <c r="AE154" s="145">
        <f>SUMIFS(Table2[NewPointsAway],Table2[GameDate], "&lt;=" &amp; $A154, Table2[AwayTeam], AE$1)+SUMIFS(Table2[NewPointsHome],Table2[GameDate], "&lt;=" &amp; $A154, Table2[HomeTeam], AE$1)</f>
        <v>12</v>
      </c>
      <c r="AF154" s="145">
        <f>SUMIFS(Table2[NewPointsAway],Table2[GameDate], "&lt;=" &amp; $A154, Table2[AwayTeam], AF$1)+SUMIFS(Table2[NewPointsHome],Table2[GameDate], "&lt;=" &amp; $A154, Table2[HomeTeam], AF$1)</f>
        <v>10</v>
      </c>
      <c r="AG154" s="145">
        <f>SUMIFS(Table2[NewPointsAway],Table2[GameDate], "&lt;=" &amp; $A154, Table2[AwayTeam], AG$1)+SUMIFS(Table2[NewPointsHome],Table2[GameDate], "&lt;=" &amp; $A154, Table2[HomeTeam], AG$1)</f>
        <v>10</v>
      </c>
    </row>
    <row r="155" spans="1:33" x14ac:dyDescent="0.25">
      <c r="A155" s="3">
        <v>46086</v>
      </c>
      <c r="B155" s="145">
        <f>SUMIFS(Table2[NewPointsAway],Table2[GameDate], "&lt;=" &amp; $A155, Table2[AwayTeam], B$1)+SUMIFS(Table2[NewPointsHome],Table2[GameDate], "&lt;=" &amp; $A155, Table2[HomeTeam], B$1)</f>
        <v>7</v>
      </c>
      <c r="C155" s="145">
        <f>SUMIFS(Table2[NewPointsAway],Table2[GameDate], "&lt;=" &amp; $A155, Table2[AwayTeam], C$1)+SUMIFS(Table2[NewPointsHome],Table2[GameDate], "&lt;=" &amp; $A155, Table2[HomeTeam], C$1)</f>
        <v>6</v>
      </c>
      <c r="D155" s="145">
        <f>SUMIFS(Table2[NewPointsAway],Table2[GameDate], "&lt;=" &amp; $A155, Table2[AwayTeam], D$1)+SUMIFS(Table2[NewPointsHome],Table2[GameDate], "&lt;=" &amp; $A155, Table2[HomeTeam], D$1)</f>
        <v>4</v>
      </c>
      <c r="E155" s="145">
        <f>SUMIFS(Table2[NewPointsAway],Table2[GameDate], "&lt;=" &amp; $A155, Table2[AwayTeam], E$1)+SUMIFS(Table2[NewPointsHome],Table2[GameDate], "&lt;=" &amp; $A155, Table2[HomeTeam], E$1)</f>
        <v>10</v>
      </c>
      <c r="F155" s="145">
        <f>SUMIFS(Table2[NewPointsAway],Table2[GameDate], "&lt;=" &amp; $A155, Table2[AwayTeam], F$1)+SUMIFS(Table2[NewPointsHome],Table2[GameDate], "&lt;=" &amp; $A155, Table2[HomeTeam], F$1)</f>
        <v>6</v>
      </c>
      <c r="G155" s="145">
        <f>SUMIFS(Table2[NewPointsAway],Table2[GameDate], "&lt;=" &amp; $A155, Table2[AwayTeam], G$1)+SUMIFS(Table2[NewPointsHome],Table2[GameDate], "&lt;=" &amp; $A155, Table2[HomeTeam], G$1)</f>
        <v>2</v>
      </c>
      <c r="H155" s="145">
        <f>SUMIFS(Table2[NewPointsAway],Table2[GameDate], "&lt;=" &amp; $A155, Table2[AwayTeam], H$1)+SUMIFS(Table2[NewPointsHome],Table2[GameDate], "&lt;=" &amp; $A155, Table2[HomeTeam], H$1)</f>
        <v>8</v>
      </c>
      <c r="I155" s="145">
        <f>SUMIFS(Table2[NewPointsAway],Table2[GameDate], "&lt;=" &amp; $A155, Table2[AwayTeam], I$1)+SUMIFS(Table2[NewPointsHome],Table2[GameDate], "&lt;=" &amp; $A155, Table2[HomeTeam], I$1)</f>
        <v>12</v>
      </c>
      <c r="J155" s="145">
        <f>SUMIFS(Table2[NewPointsAway],Table2[GameDate], "&lt;=" &amp; $A155, Table2[AwayTeam], J$1)+SUMIFS(Table2[NewPointsHome],Table2[GameDate], "&lt;=" &amp; $A155, Table2[HomeTeam], J$1)</f>
        <v>6</v>
      </c>
      <c r="K155" s="145">
        <f>SUMIFS(Table2[NewPointsAway],Table2[GameDate], "&lt;=" &amp; $A155, Table2[AwayTeam], K$1)+SUMIFS(Table2[NewPointsHome],Table2[GameDate], "&lt;=" &amp; $A155, Table2[HomeTeam], K$1)</f>
        <v>10</v>
      </c>
      <c r="L155" s="145">
        <f>SUMIFS(Table2[NewPointsAway],Table2[GameDate], "&lt;=" &amp; $A155, Table2[AwayTeam], L$1)+SUMIFS(Table2[NewPointsHome],Table2[GameDate], "&lt;=" &amp; $A155, Table2[HomeTeam], L$1)</f>
        <v>7</v>
      </c>
      <c r="M155" s="145">
        <f>SUMIFS(Table2[NewPointsAway],Table2[GameDate], "&lt;=" &amp; $A155, Table2[AwayTeam], M$1)+SUMIFS(Table2[NewPointsHome],Table2[GameDate], "&lt;=" &amp; $A155, Table2[HomeTeam], M$1)</f>
        <v>8</v>
      </c>
      <c r="N155" s="145">
        <f>SUMIFS(Table2[NewPointsAway],Table2[GameDate], "&lt;=" &amp; $A155, Table2[AwayTeam], N$1)+SUMIFS(Table2[NewPointsHome],Table2[GameDate], "&lt;=" &amp; $A155, Table2[HomeTeam], N$1)</f>
        <v>6</v>
      </c>
      <c r="O155" s="145">
        <f>SUMIFS(Table2[NewPointsAway],Table2[GameDate], "&lt;=" &amp; $A155, Table2[AwayTeam], O$1)+SUMIFS(Table2[NewPointsHome],Table2[GameDate], "&lt;=" &amp; $A155, Table2[HomeTeam], O$1)</f>
        <v>7</v>
      </c>
      <c r="P155" s="145">
        <f>SUMIFS(Table2[NewPointsAway],Table2[GameDate], "&lt;=" &amp; $A155, Table2[AwayTeam], P$1)+SUMIFS(Table2[NewPointsHome],Table2[GameDate], "&lt;=" &amp; $A155, Table2[HomeTeam], P$1)</f>
        <v>10</v>
      </c>
      <c r="Q155" s="145">
        <f>SUMIFS(Table2[NewPointsAway],Table2[GameDate], "&lt;=" &amp; $A155, Table2[AwayTeam], Q$1)+SUMIFS(Table2[NewPointsHome],Table2[GameDate], "&lt;=" &amp; $A155, Table2[HomeTeam], Q$1)</f>
        <v>10</v>
      </c>
      <c r="R155" s="145">
        <f>SUMIFS(Table2[NewPointsAway],Table2[GameDate], "&lt;=" &amp; $A155, Table2[AwayTeam], R$1)+SUMIFS(Table2[NewPointsHome],Table2[GameDate], "&lt;=" &amp; $A155, Table2[HomeTeam], R$1)</f>
        <v>6</v>
      </c>
      <c r="S155" s="145">
        <f>SUMIFS(Table2[NewPointsAway],Table2[GameDate], "&lt;=" &amp; $A155, Table2[AwayTeam], S$1)+SUMIFS(Table2[NewPointsHome],Table2[GameDate], "&lt;=" &amp; $A155, Table2[HomeTeam], S$1)</f>
        <v>6</v>
      </c>
      <c r="T155" s="145">
        <f>SUMIFS(Table2[NewPointsAway],Table2[GameDate], "&lt;=" &amp; $A155, Table2[AwayTeam], T$1)+SUMIFS(Table2[NewPointsHome],Table2[GameDate], "&lt;=" &amp; $A155, Table2[HomeTeam], T$1)</f>
        <v>7</v>
      </c>
      <c r="U155" s="145">
        <f>SUMIFS(Table2[NewPointsAway],Table2[GameDate], "&lt;=" &amp; $A155, Table2[AwayTeam], U$1)+SUMIFS(Table2[NewPointsHome],Table2[GameDate], "&lt;=" &amp; $A155, Table2[HomeTeam], U$1)</f>
        <v>5</v>
      </c>
      <c r="V155" s="145">
        <f>SUMIFS(Table2[NewPointsAway],Table2[GameDate], "&lt;=" &amp; $A155, Table2[AwayTeam], V$1)+SUMIFS(Table2[NewPointsHome],Table2[GameDate], "&lt;=" &amp; $A155, Table2[HomeTeam], V$1)</f>
        <v>7</v>
      </c>
      <c r="W155" s="145">
        <f>SUMIFS(Table2[NewPointsAway],Table2[GameDate], "&lt;=" &amp; $A155, Table2[AwayTeam], W$1)+SUMIFS(Table2[NewPointsHome],Table2[GameDate], "&lt;=" &amp; $A155, Table2[HomeTeam], W$1)</f>
        <v>10</v>
      </c>
      <c r="X155" s="145">
        <f>SUMIFS(Table2[NewPointsAway],Table2[GameDate], "&lt;=" &amp; $A155, Table2[AwayTeam], X$1)+SUMIFS(Table2[NewPointsHome],Table2[GameDate], "&lt;=" &amp; $A155, Table2[HomeTeam], X$1)</f>
        <v>8</v>
      </c>
      <c r="Y155" s="145">
        <f>SUMIFS(Table2[NewPointsAway],Table2[GameDate], "&lt;=" &amp; $A155, Table2[AwayTeam], Y$1)+SUMIFS(Table2[NewPointsHome],Table2[GameDate], "&lt;=" &amp; $A155, Table2[HomeTeam], Y$1)</f>
        <v>2</v>
      </c>
      <c r="Z155" s="145">
        <f>SUMIFS(Table2[NewPointsAway],Table2[GameDate], "&lt;=" &amp; $A155, Table2[AwayTeam], Z$1)+SUMIFS(Table2[NewPointsHome],Table2[GameDate], "&lt;=" &amp; $A155, Table2[HomeTeam], Z$1)</f>
        <v>7</v>
      </c>
      <c r="AA155" s="145">
        <f>SUMIFS(Table2[NewPointsAway],Table2[GameDate], "&lt;=" &amp; $A155, Table2[AwayTeam], AA$1)+SUMIFS(Table2[NewPointsHome],Table2[GameDate], "&lt;=" &amp; $A155, Table2[HomeTeam], AA$1)</f>
        <v>4</v>
      </c>
      <c r="AB155" s="145">
        <f>SUMIFS(Table2[NewPointsAway],Table2[GameDate], "&lt;=" &amp; $A155, Table2[AwayTeam], AB$1)+SUMIFS(Table2[NewPointsHome],Table2[GameDate], "&lt;=" &amp; $A155, Table2[HomeTeam], AB$1)</f>
        <v>7</v>
      </c>
      <c r="AC155" s="145">
        <f>SUMIFS(Table2[NewPointsAway],Table2[GameDate], "&lt;=" &amp; $A155, Table2[AwayTeam], AC$1)+SUMIFS(Table2[NewPointsHome],Table2[GameDate], "&lt;=" &amp; $A155, Table2[HomeTeam], AC$1)</f>
        <v>10</v>
      </c>
      <c r="AD155" s="145">
        <f>SUMIFS(Table2[NewPointsAway],Table2[GameDate], "&lt;=" &amp; $A155, Table2[AwayTeam], AD$1)+SUMIFS(Table2[NewPointsHome],Table2[GameDate], "&lt;=" &amp; $A155, Table2[HomeTeam], AD$1)</f>
        <v>8</v>
      </c>
      <c r="AE155" s="145">
        <f>SUMIFS(Table2[NewPointsAway],Table2[GameDate], "&lt;=" &amp; $A155, Table2[AwayTeam], AE$1)+SUMIFS(Table2[NewPointsHome],Table2[GameDate], "&lt;=" &amp; $A155, Table2[HomeTeam], AE$1)</f>
        <v>12</v>
      </c>
      <c r="AF155" s="145">
        <f>SUMIFS(Table2[NewPointsAway],Table2[GameDate], "&lt;=" &amp; $A155, Table2[AwayTeam], AF$1)+SUMIFS(Table2[NewPointsHome],Table2[GameDate], "&lt;=" &amp; $A155, Table2[HomeTeam], AF$1)</f>
        <v>10</v>
      </c>
      <c r="AG155" s="145">
        <f>SUMIFS(Table2[NewPointsAway],Table2[GameDate], "&lt;=" &amp; $A155, Table2[AwayTeam], AG$1)+SUMIFS(Table2[NewPointsHome],Table2[GameDate], "&lt;=" &amp; $A155, Table2[HomeTeam], AG$1)</f>
        <v>10</v>
      </c>
    </row>
    <row r="156" spans="1:33" x14ac:dyDescent="0.25">
      <c r="A156" s="3">
        <v>46087</v>
      </c>
      <c r="B156" s="145">
        <f>SUMIFS(Table2[NewPointsAway],Table2[GameDate], "&lt;=" &amp; $A156, Table2[AwayTeam], B$1)+SUMIFS(Table2[NewPointsHome],Table2[GameDate], "&lt;=" &amp; $A156, Table2[HomeTeam], B$1)</f>
        <v>7</v>
      </c>
      <c r="C156" s="145">
        <f>SUMIFS(Table2[NewPointsAway],Table2[GameDate], "&lt;=" &amp; $A156, Table2[AwayTeam], C$1)+SUMIFS(Table2[NewPointsHome],Table2[GameDate], "&lt;=" &amp; $A156, Table2[HomeTeam], C$1)</f>
        <v>6</v>
      </c>
      <c r="D156" s="145">
        <f>SUMIFS(Table2[NewPointsAway],Table2[GameDate], "&lt;=" &amp; $A156, Table2[AwayTeam], D$1)+SUMIFS(Table2[NewPointsHome],Table2[GameDate], "&lt;=" &amp; $A156, Table2[HomeTeam], D$1)</f>
        <v>4</v>
      </c>
      <c r="E156" s="145">
        <f>SUMIFS(Table2[NewPointsAway],Table2[GameDate], "&lt;=" &amp; $A156, Table2[AwayTeam], E$1)+SUMIFS(Table2[NewPointsHome],Table2[GameDate], "&lt;=" &amp; $A156, Table2[HomeTeam], E$1)</f>
        <v>10</v>
      </c>
      <c r="F156" s="145">
        <f>SUMIFS(Table2[NewPointsAway],Table2[GameDate], "&lt;=" &amp; $A156, Table2[AwayTeam], F$1)+SUMIFS(Table2[NewPointsHome],Table2[GameDate], "&lt;=" &amp; $A156, Table2[HomeTeam], F$1)</f>
        <v>6</v>
      </c>
      <c r="G156" s="145">
        <f>SUMIFS(Table2[NewPointsAway],Table2[GameDate], "&lt;=" &amp; $A156, Table2[AwayTeam], G$1)+SUMIFS(Table2[NewPointsHome],Table2[GameDate], "&lt;=" &amp; $A156, Table2[HomeTeam], G$1)</f>
        <v>2</v>
      </c>
      <c r="H156" s="145">
        <f>SUMIFS(Table2[NewPointsAway],Table2[GameDate], "&lt;=" &amp; $A156, Table2[AwayTeam], H$1)+SUMIFS(Table2[NewPointsHome],Table2[GameDate], "&lt;=" &amp; $A156, Table2[HomeTeam], H$1)</f>
        <v>8</v>
      </c>
      <c r="I156" s="145">
        <f>SUMIFS(Table2[NewPointsAway],Table2[GameDate], "&lt;=" &amp; $A156, Table2[AwayTeam], I$1)+SUMIFS(Table2[NewPointsHome],Table2[GameDate], "&lt;=" &amp; $A156, Table2[HomeTeam], I$1)</f>
        <v>12</v>
      </c>
      <c r="J156" s="145">
        <f>SUMIFS(Table2[NewPointsAway],Table2[GameDate], "&lt;=" &amp; $A156, Table2[AwayTeam], J$1)+SUMIFS(Table2[NewPointsHome],Table2[GameDate], "&lt;=" &amp; $A156, Table2[HomeTeam], J$1)</f>
        <v>6</v>
      </c>
      <c r="K156" s="145">
        <f>SUMIFS(Table2[NewPointsAway],Table2[GameDate], "&lt;=" &amp; $A156, Table2[AwayTeam], K$1)+SUMIFS(Table2[NewPointsHome],Table2[GameDate], "&lt;=" &amp; $A156, Table2[HomeTeam], K$1)</f>
        <v>10</v>
      </c>
      <c r="L156" s="145">
        <f>SUMIFS(Table2[NewPointsAway],Table2[GameDate], "&lt;=" &amp; $A156, Table2[AwayTeam], L$1)+SUMIFS(Table2[NewPointsHome],Table2[GameDate], "&lt;=" &amp; $A156, Table2[HomeTeam], L$1)</f>
        <v>7</v>
      </c>
      <c r="M156" s="145">
        <f>SUMIFS(Table2[NewPointsAway],Table2[GameDate], "&lt;=" &amp; $A156, Table2[AwayTeam], M$1)+SUMIFS(Table2[NewPointsHome],Table2[GameDate], "&lt;=" &amp; $A156, Table2[HomeTeam], M$1)</f>
        <v>8</v>
      </c>
      <c r="N156" s="145">
        <f>SUMIFS(Table2[NewPointsAway],Table2[GameDate], "&lt;=" &amp; $A156, Table2[AwayTeam], N$1)+SUMIFS(Table2[NewPointsHome],Table2[GameDate], "&lt;=" &amp; $A156, Table2[HomeTeam], N$1)</f>
        <v>6</v>
      </c>
      <c r="O156" s="145">
        <f>SUMIFS(Table2[NewPointsAway],Table2[GameDate], "&lt;=" &amp; $A156, Table2[AwayTeam], O$1)+SUMIFS(Table2[NewPointsHome],Table2[GameDate], "&lt;=" &amp; $A156, Table2[HomeTeam], O$1)</f>
        <v>7</v>
      </c>
      <c r="P156" s="145">
        <f>SUMIFS(Table2[NewPointsAway],Table2[GameDate], "&lt;=" &amp; $A156, Table2[AwayTeam], P$1)+SUMIFS(Table2[NewPointsHome],Table2[GameDate], "&lt;=" &amp; $A156, Table2[HomeTeam], P$1)</f>
        <v>10</v>
      </c>
      <c r="Q156" s="145">
        <f>SUMIFS(Table2[NewPointsAway],Table2[GameDate], "&lt;=" &amp; $A156, Table2[AwayTeam], Q$1)+SUMIFS(Table2[NewPointsHome],Table2[GameDate], "&lt;=" &amp; $A156, Table2[HomeTeam], Q$1)</f>
        <v>10</v>
      </c>
      <c r="R156" s="145">
        <f>SUMIFS(Table2[NewPointsAway],Table2[GameDate], "&lt;=" &amp; $A156, Table2[AwayTeam], R$1)+SUMIFS(Table2[NewPointsHome],Table2[GameDate], "&lt;=" &amp; $A156, Table2[HomeTeam], R$1)</f>
        <v>6</v>
      </c>
      <c r="S156" s="145">
        <f>SUMIFS(Table2[NewPointsAway],Table2[GameDate], "&lt;=" &amp; $A156, Table2[AwayTeam], S$1)+SUMIFS(Table2[NewPointsHome],Table2[GameDate], "&lt;=" &amp; $A156, Table2[HomeTeam], S$1)</f>
        <v>6</v>
      </c>
      <c r="T156" s="145">
        <f>SUMIFS(Table2[NewPointsAway],Table2[GameDate], "&lt;=" &amp; $A156, Table2[AwayTeam], T$1)+SUMIFS(Table2[NewPointsHome],Table2[GameDate], "&lt;=" &amp; $A156, Table2[HomeTeam], T$1)</f>
        <v>7</v>
      </c>
      <c r="U156" s="145">
        <f>SUMIFS(Table2[NewPointsAway],Table2[GameDate], "&lt;=" &amp; $A156, Table2[AwayTeam], U$1)+SUMIFS(Table2[NewPointsHome],Table2[GameDate], "&lt;=" &amp; $A156, Table2[HomeTeam], U$1)</f>
        <v>5</v>
      </c>
      <c r="V156" s="145">
        <f>SUMIFS(Table2[NewPointsAway],Table2[GameDate], "&lt;=" &amp; $A156, Table2[AwayTeam], V$1)+SUMIFS(Table2[NewPointsHome],Table2[GameDate], "&lt;=" &amp; $A156, Table2[HomeTeam], V$1)</f>
        <v>7</v>
      </c>
      <c r="W156" s="145">
        <f>SUMIFS(Table2[NewPointsAway],Table2[GameDate], "&lt;=" &amp; $A156, Table2[AwayTeam], W$1)+SUMIFS(Table2[NewPointsHome],Table2[GameDate], "&lt;=" &amp; $A156, Table2[HomeTeam], W$1)</f>
        <v>10</v>
      </c>
      <c r="X156" s="145">
        <f>SUMIFS(Table2[NewPointsAway],Table2[GameDate], "&lt;=" &amp; $A156, Table2[AwayTeam], X$1)+SUMIFS(Table2[NewPointsHome],Table2[GameDate], "&lt;=" &amp; $A156, Table2[HomeTeam], X$1)</f>
        <v>8</v>
      </c>
      <c r="Y156" s="145">
        <f>SUMIFS(Table2[NewPointsAway],Table2[GameDate], "&lt;=" &amp; $A156, Table2[AwayTeam], Y$1)+SUMIFS(Table2[NewPointsHome],Table2[GameDate], "&lt;=" &amp; $A156, Table2[HomeTeam], Y$1)</f>
        <v>2</v>
      </c>
      <c r="Z156" s="145">
        <f>SUMIFS(Table2[NewPointsAway],Table2[GameDate], "&lt;=" &amp; $A156, Table2[AwayTeam], Z$1)+SUMIFS(Table2[NewPointsHome],Table2[GameDate], "&lt;=" &amp; $A156, Table2[HomeTeam], Z$1)</f>
        <v>7</v>
      </c>
      <c r="AA156" s="145">
        <f>SUMIFS(Table2[NewPointsAway],Table2[GameDate], "&lt;=" &amp; $A156, Table2[AwayTeam], AA$1)+SUMIFS(Table2[NewPointsHome],Table2[GameDate], "&lt;=" &amp; $A156, Table2[HomeTeam], AA$1)</f>
        <v>4</v>
      </c>
      <c r="AB156" s="145">
        <f>SUMIFS(Table2[NewPointsAway],Table2[GameDate], "&lt;=" &amp; $A156, Table2[AwayTeam], AB$1)+SUMIFS(Table2[NewPointsHome],Table2[GameDate], "&lt;=" &amp; $A156, Table2[HomeTeam], AB$1)</f>
        <v>7</v>
      </c>
      <c r="AC156" s="145">
        <f>SUMIFS(Table2[NewPointsAway],Table2[GameDate], "&lt;=" &amp; $A156, Table2[AwayTeam], AC$1)+SUMIFS(Table2[NewPointsHome],Table2[GameDate], "&lt;=" &amp; $A156, Table2[HomeTeam], AC$1)</f>
        <v>10</v>
      </c>
      <c r="AD156" s="145">
        <f>SUMIFS(Table2[NewPointsAway],Table2[GameDate], "&lt;=" &amp; $A156, Table2[AwayTeam], AD$1)+SUMIFS(Table2[NewPointsHome],Table2[GameDate], "&lt;=" &amp; $A156, Table2[HomeTeam], AD$1)</f>
        <v>8</v>
      </c>
      <c r="AE156" s="145">
        <f>SUMIFS(Table2[NewPointsAway],Table2[GameDate], "&lt;=" &amp; $A156, Table2[AwayTeam], AE$1)+SUMIFS(Table2[NewPointsHome],Table2[GameDate], "&lt;=" &amp; $A156, Table2[HomeTeam], AE$1)</f>
        <v>12</v>
      </c>
      <c r="AF156" s="145">
        <f>SUMIFS(Table2[NewPointsAway],Table2[GameDate], "&lt;=" &amp; $A156, Table2[AwayTeam], AF$1)+SUMIFS(Table2[NewPointsHome],Table2[GameDate], "&lt;=" &amp; $A156, Table2[HomeTeam], AF$1)</f>
        <v>10</v>
      </c>
      <c r="AG156" s="145">
        <f>SUMIFS(Table2[NewPointsAway],Table2[GameDate], "&lt;=" &amp; $A156, Table2[AwayTeam], AG$1)+SUMIFS(Table2[NewPointsHome],Table2[GameDate], "&lt;=" &amp; $A156, Table2[HomeTeam], AG$1)</f>
        <v>10</v>
      </c>
    </row>
    <row r="157" spans="1:33" x14ac:dyDescent="0.25">
      <c r="A157" s="3">
        <v>46088</v>
      </c>
      <c r="B157" s="145">
        <f>SUMIFS(Table2[NewPointsAway],Table2[GameDate], "&lt;=" &amp; $A157, Table2[AwayTeam], B$1)+SUMIFS(Table2[NewPointsHome],Table2[GameDate], "&lt;=" &amp; $A157, Table2[HomeTeam], B$1)</f>
        <v>7</v>
      </c>
      <c r="C157" s="145">
        <f>SUMIFS(Table2[NewPointsAway],Table2[GameDate], "&lt;=" &amp; $A157, Table2[AwayTeam], C$1)+SUMIFS(Table2[NewPointsHome],Table2[GameDate], "&lt;=" &amp; $A157, Table2[HomeTeam], C$1)</f>
        <v>6</v>
      </c>
      <c r="D157" s="145">
        <f>SUMIFS(Table2[NewPointsAway],Table2[GameDate], "&lt;=" &amp; $A157, Table2[AwayTeam], D$1)+SUMIFS(Table2[NewPointsHome],Table2[GameDate], "&lt;=" &amp; $A157, Table2[HomeTeam], D$1)</f>
        <v>4</v>
      </c>
      <c r="E157" s="145">
        <f>SUMIFS(Table2[NewPointsAway],Table2[GameDate], "&lt;=" &amp; $A157, Table2[AwayTeam], E$1)+SUMIFS(Table2[NewPointsHome],Table2[GameDate], "&lt;=" &amp; $A157, Table2[HomeTeam], E$1)</f>
        <v>10</v>
      </c>
      <c r="F157" s="145">
        <f>SUMIFS(Table2[NewPointsAway],Table2[GameDate], "&lt;=" &amp; $A157, Table2[AwayTeam], F$1)+SUMIFS(Table2[NewPointsHome],Table2[GameDate], "&lt;=" &amp; $A157, Table2[HomeTeam], F$1)</f>
        <v>6</v>
      </c>
      <c r="G157" s="145">
        <f>SUMIFS(Table2[NewPointsAway],Table2[GameDate], "&lt;=" &amp; $A157, Table2[AwayTeam], G$1)+SUMIFS(Table2[NewPointsHome],Table2[GameDate], "&lt;=" &amp; $A157, Table2[HomeTeam], G$1)</f>
        <v>2</v>
      </c>
      <c r="H157" s="145">
        <f>SUMIFS(Table2[NewPointsAway],Table2[GameDate], "&lt;=" &amp; $A157, Table2[AwayTeam], H$1)+SUMIFS(Table2[NewPointsHome],Table2[GameDate], "&lt;=" &amp; $A157, Table2[HomeTeam], H$1)</f>
        <v>8</v>
      </c>
      <c r="I157" s="145">
        <f>SUMIFS(Table2[NewPointsAway],Table2[GameDate], "&lt;=" &amp; $A157, Table2[AwayTeam], I$1)+SUMIFS(Table2[NewPointsHome],Table2[GameDate], "&lt;=" &amp; $A157, Table2[HomeTeam], I$1)</f>
        <v>12</v>
      </c>
      <c r="J157" s="145">
        <f>SUMIFS(Table2[NewPointsAway],Table2[GameDate], "&lt;=" &amp; $A157, Table2[AwayTeam], J$1)+SUMIFS(Table2[NewPointsHome],Table2[GameDate], "&lt;=" &amp; $A157, Table2[HomeTeam], J$1)</f>
        <v>6</v>
      </c>
      <c r="K157" s="145">
        <f>SUMIFS(Table2[NewPointsAway],Table2[GameDate], "&lt;=" &amp; $A157, Table2[AwayTeam], K$1)+SUMIFS(Table2[NewPointsHome],Table2[GameDate], "&lt;=" &amp; $A157, Table2[HomeTeam], K$1)</f>
        <v>10</v>
      </c>
      <c r="L157" s="145">
        <f>SUMIFS(Table2[NewPointsAway],Table2[GameDate], "&lt;=" &amp; $A157, Table2[AwayTeam], L$1)+SUMIFS(Table2[NewPointsHome],Table2[GameDate], "&lt;=" &amp; $A157, Table2[HomeTeam], L$1)</f>
        <v>7</v>
      </c>
      <c r="M157" s="145">
        <f>SUMIFS(Table2[NewPointsAway],Table2[GameDate], "&lt;=" &amp; $A157, Table2[AwayTeam], M$1)+SUMIFS(Table2[NewPointsHome],Table2[GameDate], "&lt;=" &amp; $A157, Table2[HomeTeam], M$1)</f>
        <v>8</v>
      </c>
      <c r="N157" s="145">
        <f>SUMIFS(Table2[NewPointsAway],Table2[GameDate], "&lt;=" &amp; $A157, Table2[AwayTeam], N$1)+SUMIFS(Table2[NewPointsHome],Table2[GameDate], "&lt;=" &amp; $A157, Table2[HomeTeam], N$1)</f>
        <v>6</v>
      </c>
      <c r="O157" s="145">
        <f>SUMIFS(Table2[NewPointsAway],Table2[GameDate], "&lt;=" &amp; $A157, Table2[AwayTeam], O$1)+SUMIFS(Table2[NewPointsHome],Table2[GameDate], "&lt;=" &amp; $A157, Table2[HomeTeam], O$1)</f>
        <v>7</v>
      </c>
      <c r="P157" s="145">
        <f>SUMIFS(Table2[NewPointsAway],Table2[GameDate], "&lt;=" &amp; $A157, Table2[AwayTeam], P$1)+SUMIFS(Table2[NewPointsHome],Table2[GameDate], "&lt;=" &amp; $A157, Table2[HomeTeam], P$1)</f>
        <v>10</v>
      </c>
      <c r="Q157" s="145">
        <f>SUMIFS(Table2[NewPointsAway],Table2[GameDate], "&lt;=" &amp; $A157, Table2[AwayTeam], Q$1)+SUMIFS(Table2[NewPointsHome],Table2[GameDate], "&lt;=" &amp; $A157, Table2[HomeTeam], Q$1)</f>
        <v>10</v>
      </c>
      <c r="R157" s="145">
        <f>SUMIFS(Table2[NewPointsAway],Table2[GameDate], "&lt;=" &amp; $A157, Table2[AwayTeam], R$1)+SUMIFS(Table2[NewPointsHome],Table2[GameDate], "&lt;=" &amp; $A157, Table2[HomeTeam], R$1)</f>
        <v>6</v>
      </c>
      <c r="S157" s="145">
        <f>SUMIFS(Table2[NewPointsAway],Table2[GameDate], "&lt;=" &amp; $A157, Table2[AwayTeam], S$1)+SUMIFS(Table2[NewPointsHome],Table2[GameDate], "&lt;=" &amp; $A157, Table2[HomeTeam], S$1)</f>
        <v>6</v>
      </c>
      <c r="T157" s="145">
        <f>SUMIFS(Table2[NewPointsAway],Table2[GameDate], "&lt;=" &amp; $A157, Table2[AwayTeam], T$1)+SUMIFS(Table2[NewPointsHome],Table2[GameDate], "&lt;=" &amp; $A157, Table2[HomeTeam], T$1)</f>
        <v>7</v>
      </c>
      <c r="U157" s="145">
        <f>SUMIFS(Table2[NewPointsAway],Table2[GameDate], "&lt;=" &amp; $A157, Table2[AwayTeam], U$1)+SUMIFS(Table2[NewPointsHome],Table2[GameDate], "&lt;=" &amp; $A157, Table2[HomeTeam], U$1)</f>
        <v>5</v>
      </c>
      <c r="V157" s="145">
        <f>SUMIFS(Table2[NewPointsAway],Table2[GameDate], "&lt;=" &amp; $A157, Table2[AwayTeam], V$1)+SUMIFS(Table2[NewPointsHome],Table2[GameDate], "&lt;=" &amp; $A157, Table2[HomeTeam], V$1)</f>
        <v>7</v>
      </c>
      <c r="W157" s="145">
        <f>SUMIFS(Table2[NewPointsAway],Table2[GameDate], "&lt;=" &amp; $A157, Table2[AwayTeam], W$1)+SUMIFS(Table2[NewPointsHome],Table2[GameDate], "&lt;=" &amp; $A157, Table2[HomeTeam], W$1)</f>
        <v>10</v>
      </c>
      <c r="X157" s="145">
        <f>SUMIFS(Table2[NewPointsAway],Table2[GameDate], "&lt;=" &amp; $A157, Table2[AwayTeam], X$1)+SUMIFS(Table2[NewPointsHome],Table2[GameDate], "&lt;=" &amp; $A157, Table2[HomeTeam], X$1)</f>
        <v>8</v>
      </c>
      <c r="Y157" s="145">
        <f>SUMIFS(Table2[NewPointsAway],Table2[GameDate], "&lt;=" &amp; $A157, Table2[AwayTeam], Y$1)+SUMIFS(Table2[NewPointsHome],Table2[GameDate], "&lt;=" &amp; $A157, Table2[HomeTeam], Y$1)</f>
        <v>2</v>
      </c>
      <c r="Z157" s="145">
        <f>SUMIFS(Table2[NewPointsAway],Table2[GameDate], "&lt;=" &amp; $A157, Table2[AwayTeam], Z$1)+SUMIFS(Table2[NewPointsHome],Table2[GameDate], "&lt;=" &amp; $A157, Table2[HomeTeam], Z$1)</f>
        <v>7</v>
      </c>
      <c r="AA157" s="145">
        <f>SUMIFS(Table2[NewPointsAway],Table2[GameDate], "&lt;=" &amp; $A157, Table2[AwayTeam], AA$1)+SUMIFS(Table2[NewPointsHome],Table2[GameDate], "&lt;=" &amp; $A157, Table2[HomeTeam], AA$1)</f>
        <v>4</v>
      </c>
      <c r="AB157" s="145">
        <f>SUMIFS(Table2[NewPointsAway],Table2[GameDate], "&lt;=" &amp; $A157, Table2[AwayTeam], AB$1)+SUMIFS(Table2[NewPointsHome],Table2[GameDate], "&lt;=" &amp; $A157, Table2[HomeTeam], AB$1)</f>
        <v>7</v>
      </c>
      <c r="AC157" s="145">
        <f>SUMIFS(Table2[NewPointsAway],Table2[GameDate], "&lt;=" &amp; $A157, Table2[AwayTeam], AC$1)+SUMIFS(Table2[NewPointsHome],Table2[GameDate], "&lt;=" &amp; $A157, Table2[HomeTeam], AC$1)</f>
        <v>10</v>
      </c>
      <c r="AD157" s="145">
        <f>SUMIFS(Table2[NewPointsAway],Table2[GameDate], "&lt;=" &amp; $A157, Table2[AwayTeam], AD$1)+SUMIFS(Table2[NewPointsHome],Table2[GameDate], "&lt;=" &amp; $A157, Table2[HomeTeam], AD$1)</f>
        <v>8</v>
      </c>
      <c r="AE157" s="145">
        <f>SUMIFS(Table2[NewPointsAway],Table2[GameDate], "&lt;=" &amp; $A157, Table2[AwayTeam], AE$1)+SUMIFS(Table2[NewPointsHome],Table2[GameDate], "&lt;=" &amp; $A157, Table2[HomeTeam], AE$1)</f>
        <v>12</v>
      </c>
      <c r="AF157" s="145">
        <f>SUMIFS(Table2[NewPointsAway],Table2[GameDate], "&lt;=" &amp; $A157, Table2[AwayTeam], AF$1)+SUMIFS(Table2[NewPointsHome],Table2[GameDate], "&lt;=" &amp; $A157, Table2[HomeTeam], AF$1)</f>
        <v>10</v>
      </c>
      <c r="AG157" s="145">
        <f>SUMIFS(Table2[NewPointsAway],Table2[GameDate], "&lt;=" &amp; $A157, Table2[AwayTeam], AG$1)+SUMIFS(Table2[NewPointsHome],Table2[GameDate], "&lt;=" &amp; $A157, Table2[HomeTeam], AG$1)</f>
        <v>10</v>
      </c>
    </row>
    <row r="158" spans="1:33" x14ac:dyDescent="0.25">
      <c r="A158" s="3">
        <v>46089</v>
      </c>
      <c r="B158" s="145">
        <f>SUMIFS(Table2[NewPointsAway],Table2[GameDate], "&lt;=" &amp; $A158, Table2[AwayTeam], B$1)+SUMIFS(Table2[NewPointsHome],Table2[GameDate], "&lt;=" &amp; $A158, Table2[HomeTeam], B$1)</f>
        <v>7</v>
      </c>
      <c r="C158" s="145">
        <f>SUMIFS(Table2[NewPointsAway],Table2[GameDate], "&lt;=" &amp; $A158, Table2[AwayTeam], C$1)+SUMIFS(Table2[NewPointsHome],Table2[GameDate], "&lt;=" &amp; $A158, Table2[HomeTeam], C$1)</f>
        <v>6</v>
      </c>
      <c r="D158" s="145">
        <f>SUMIFS(Table2[NewPointsAway],Table2[GameDate], "&lt;=" &amp; $A158, Table2[AwayTeam], D$1)+SUMIFS(Table2[NewPointsHome],Table2[GameDate], "&lt;=" &amp; $A158, Table2[HomeTeam], D$1)</f>
        <v>4</v>
      </c>
      <c r="E158" s="145">
        <f>SUMIFS(Table2[NewPointsAway],Table2[GameDate], "&lt;=" &amp; $A158, Table2[AwayTeam], E$1)+SUMIFS(Table2[NewPointsHome],Table2[GameDate], "&lt;=" &amp; $A158, Table2[HomeTeam], E$1)</f>
        <v>10</v>
      </c>
      <c r="F158" s="145">
        <f>SUMIFS(Table2[NewPointsAway],Table2[GameDate], "&lt;=" &amp; $A158, Table2[AwayTeam], F$1)+SUMIFS(Table2[NewPointsHome],Table2[GameDate], "&lt;=" &amp; $A158, Table2[HomeTeam], F$1)</f>
        <v>6</v>
      </c>
      <c r="G158" s="145">
        <f>SUMIFS(Table2[NewPointsAway],Table2[GameDate], "&lt;=" &amp; $A158, Table2[AwayTeam], G$1)+SUMIFS(Table2[NewPointsHome],Table2[GameDate], "&lt;=" &amp; $A158, Table2[HomeTeam], G$1)</f>
        <v>2</v>
      </c>
      <c r="H158" s="145">
        <f>SUMIFS(Table2[NewPointsAway],Table2[GameDate], "&lt;=" &amp; $A158, Table2[AwayTeam], H$1)+SUMIFS(Table2[NewPointsHome],Table2[GameDate], "&lt;=" &amp; $A158, Table2[HomeTeam], H$1)</f>
        <v>8</v>
      </c>
      <c r="I158" s="145">
        <f>SUMIFS(Table2[NewPointsAway],Table2[GameDate], "&lt;=" &amp; $A158, Table2[AwayTeam], I$1)+SUMIFS(Table2[NewPointsHome],Table2[GameDate], "&lt;=" &amp; $A158, Table2[HomeTeam], I$1)</f>
        <v>12</v>
      </c>
      <c r="J158" s="145">
        <f>SUMIFS(Table2[NewPointsAway],Table2[GameDate], "&lt;=" &amp; $A158, Table2[AwayTeam], J$1)+SUMIFS(Table2[NewPointsHome],Table2[GameDate], "&lt;=" &amp; $A158, Table2[HomeTeam], J$1)</f>
        <v>6</v>
      </c>
      <c r="K158" s="145">
        <f>SUMIFS(Table2[NewPointsAway],Table2[GameDate], "&lt;=" &amp; $A158, Table2[AwayTeam], K$1)+SUMIFS(Table2[NewPointsHome],Table2[GameDate], "&lt;=" &amp; $A158, Table2[HomeTeam], K$1)</f>
        <v>10</v>
      </c>
      <c r="L158" s="145">
        <f>SUMIFS(Table2[NewPointsAway],Table2[GameDate], "&lt;=" &amp; $A158, Table2[AwayTeam], L$1)+SUMIFS(Table2[NewPointsHome],Table2[GameDate], "&lt;=" &amp; $A158, Table2[HomeTeam], L$1)</f>
        <v>7</v>
      </c>
      <c r="M158" s="145">
        <f>SUMIFS(Table2[NewPointsAway],Table2[GameDate], "&lt;=" &amp; $A158, Table2[AwayTeam], M$1)+SUMIFS(Table2[NewPointsHome],Table2[GameDate], "&lt;=" &amp; $A158, Table2[HomeTeam], M$1)</f>
        <v>8</v>
      </c>
      <c r="N158" s="145">
        <f>SUMIFS(Table2[NewPointsAway],Table2[GameDate], "&lt;=" &amp; $A158, Table2[AwayTeam], N$1)+SUMIFS(Table2[NewPointsHome],Table2[GameDate], "&lt;=" &amp; $A158, Table2[HomeTeam], N$1)</f>
        <v>6</v>
      </c>
      <c r="O158" s="145">
        <f>SUMIFS(Table2[NewPointsAway],Table2[GameDate], "&lt;=" &amp; $A158, Table2[AwayTeam], O$1)+SUMIFS(Table2[NewPointsHome],Table2[GameDate], "&lt;=" &amp; $A158, Table2[HomeTeam], O$1)</f>
        <v>7</v>
      </c>
      <c r="P158" s="145">
        <f>SUMIFS(Table2[NewPointsAway],Table2[GameDate], "&lt;=" &amp; $A158, Table2[AwayTeam], P$1)+SUMIFS(Table2[NewPointsHome],Table2[GameDate], "&lt;=" &amp; $A158, Table2[HomeTeam], P$1)</f>
        <v>10</v>
      </c>
      <c r="Q158" s="145">
        <f>SUMIFS(Table2[NewPointsAway],Table2[GameDate], "&lt;=" &amp; $A158, Table2[AwayTeam], Q$1)+SUMIFS(Table2[NewPointsHome],Table2[GameDate], "&lt;=" &amp; $A158, Table2[HomeTeam], Q$1)</f>
        <v>10</v>
      </c>
      <c r="R158" s="145">
        <f>SUMIFS(Table2[NewPointsAway],Table2[GameDate], "&lt;=" &amp; $A158, Table2[AwayTeam], R$1)+SUMIFS(Table2[NewPointsHome],Table2[GameDate], "&lt;=" &amp; $A158, Table2[HomeTeam], R$1)</f>
        <v>6</v>
      </c>
      <c r="S158" s="145">
        <f>SUMIFS(Table2[NewPointsAway],Table2[GameDate], "&lt;=" &amp; $A158, Table2[AwayTeam], S$1)+SUMIFS(Table2[NewPointsHome],Table2[GameDate], "&lt;=" &amp; $A158, Table2[HomeTeam], S$1)</f>
        <v>6</v>
      </c>
      <c r="T158" s="145">
        <f>SUMIFS(Table2[NewPointsAway],Table2[GameDate], "&lt;=" &amp; $A158, Table2[AwayTeam], T$1)+SUMIFS(Table2[NewPointsHome],Table2[GameDate], "&lt;=" &amp; $A158, Table2[HomeTeam], T$1)</f>
        <v>7</v>
      </c>
      <c r="U158" s="145">
        <f>SUMIFS(Table2[NewPointsAway],Table2[GameDate], "&lt;=" &amp; $A158, Table2[AwayTeam], U$1)+SUMIFS(Table2[NewPointsHome],Table2[GameDate], "&lt;=" &amp; $A158, Table2[HomeTeam], U$1)</f>
        <v>5</v>
      </c>
      <c r="V158" s="145">
        <f>SUMIFS(Table2[NewPointsAway],Table2[GameDate], "&lt;=" &amp; $A158, Table2[AwayTeam], V$1)+SUMIFS(Table2[NewPointsHome],Table2[GameDate], "&lt;=" &amp; $A158, Table2[HomeTeam], V$1)</f>
        <v>7</v>
      </c>
      <c r="W158" s="145">
        <f>SUMIFS(Table2[NewPointsAway],Table2[GameDate], "&lt;=" &amp; $A158, Table2[AwayTeam], W$1)+SUMIFS(Table2[NewPointsHome],Table2[GameDate], "&lt;=" &amp; $A158, Table2[HomeTeam], W$1)</f>
        <v>10</v>
      </c>
      <c r="X158" s="145">
        <f>SUMIFS(Table2[NewPointsAway],Table2[GameDate], "&lt;=" &amp; $A158, Table2[AwayTeam], X$1)+SUMIFS(Table2[NewPointsHome],Table2[GameDate], "&lt;=" &amp; $A158, Table2[HomeTeam], X$1)</f>
        <v>8</v>
      </c>
      <c r="Y158" s="145">
        <f>SUMIFS(Table2[NewPointsAway],Table2[GameDate], "&lt;=" &amp; $A158, Table2[AwayTeam], Y$1)+SUMIFS(Table2[NewPointsHome],Table2[GameDate], "&lt;=" &amp; $A158, Table2[HomeTeam], Y$1)</f>
        <v>2</v>
      </c>
      <c r="Z158" s="145">
        <f>SUMIFS(Table2[NewPointsAway],Table2[GameDate], "&lt;=" &amp; $A158, Table2[AwayTeam], Z$1)+SUMIFS(Table2[NewPointsHome],Table2[GameDate], "&lt;=" &amp; $A158, Table2[HomeTeam], Z$1)</f>
        <v>7</v>
      </c>
      <c r="AA158" s="145">
        <f>SUMIFS(Table2[NewPointsAway],Table2[GameDate], "&lt;=" &amp; $A158, Table2[AwayTeam], AA$1)+SUMIFS(Table2[NewPointsHome],Table2[GameDate], "&lt;=" &amp; $A158, Table2[HomeTeam], AA$1)</f>
        <v>4</v>
      </c>
      <c r="AB158" s="145">
        <f>SUMIFS(Table2[NewPointsAway],Table2[GameDate], "&lt;=" &amp; $A158, Table2[AwayTeam], AB$1)+SUMIFS(Table2[NewPointsHome],Table2[GameDate], "&lt;=" &amp; $A158, Table2[HomeTeam], AB$1)</f>
        <v>7</v>
      </c>
      <c r="AC158" s="145">
        <f>SUMIFS(Table2[NewPointsAway],Table2[GameDate], "&lt;=" &amp; $A158, Table2[AwayTeam], AC$1)+SUMIFS(Table2[NewPointsHome],Table2[GameDate], "&lt;=" &amp; $A158, Table2[HomeTeam], AC$1)</f>
        <v>10</v>
      </c>
      <c r="AD158" s="145">
        <f>SUMIFS(Table2[NewPointsAway],Table2[GameDate], "&lt;=" &amp; $A158, Table2[AwayTeam], AD$1)+SUMIFS(Table2[NewPointsHome],Table2[GameDate], "&lt;=" &amp; $A158, Table2[HomeTeam], AD$1)</f>
        <v>8</v>
      </c>
      <c r="AE158" s="145">
        <f>SUMIFS(Table2[NewPointsAway],Table2[GameDate], "&lt;=" &amp; $A158, Table2[AwayTeam], AE$1)+SUMIFS(Table2[NewPointsHome],Table2[GameDate], "&lt;=" &amp; $A158, Table2[HomeTeam], AE$1)</f>
        <v>12</v>
      </c>
      <c r="AF158" s="145">
        <f>SUMIFS(Table2[NewPointsAway],Table2[GameDate], "&lt;=" &amp; $A158, Table2[AwayTeam], AF$1)+SUMIFS(Table2[NewPointsHome],Table2[GameDate], "&lt;=" &amp; $A158, Table2[HomeTeam], AF$1)</f>
        <v>10</v>
      </c>
      <c r="AG158" s="145">
        <f>SUMIFS(Table2[NewPointsAway],Table2[GameDate], "&lt;=" &amp; $A158, Table2[AwayTeam], AG$1)+SUMIFS(Table2[NewPointsHome],Table2[GameDate], "&lt;=" &amp; $A158, Table2[HomeTeam], AG$1)</f>
        <v>10</v>
      </c>
    </row>
    <row r="159" spans="1:33" x14ac:dyDescent="0.25">
      <c r="A159" s="3">
        <v>46090</v>
      </c>
      <c r="B159" s="145">
        <f>SUMIFS(Table2[NewPointsAway],Table2[GameDate], "&lt;=" &amp; $A159, Table2[AwayTeam], B$1)+SUMIFS(Table2[NewPointsHome],Table2[GameDate], "&lt;=" &amp; $A159, Table2[HomeTeam], B$1)</f>
        <v>7</v>
      </c>
      <c r="C159" s="145">
        <f>SUMIFS(Table2[NewPointsAway],Table2[GameDate], "&lt;=" &amp; $A159, Table2[AwayTeam], C$1)+SUMIFS(Table2[NewPointsHome],Table2[GameDate], "&lt;=" &amp; $A159, Table2[HomeTeam], C$1)</f>
        <v>6</v>
      </c>
      <c r="D159" s="145">
        <f>SUMIFS(Table2[NewPointsAway],Table2[GameDate], "&lt;=" &amp; $A159, Table2[AwayTeam], D$1)+SUMIFS(Table2[NewPointsHome],Table2[GameDate], "&lt;=" &amp; $A159, Table2[HomeTeam], D$1)</f>
        <v>4</v>
      </c>
      <c r="E159" s="145">
        <f>SUMIFS(Table2[NewPointsAway],Table2[GameDate], "&lt;=" &amp; $A159, Table2[AwayTeam], E$1)+SUMIFS(Table2[NewPointsHome],Table2[GameDate], "&lt;=" &amp; $A159, Table2[HomeTeam], E$1)</f>
        <v>10</v>
      </c>
      <c r="F159" s="145">
        <f>SUMIFS(Table2[NewPointsAway],Table2[GameDate], "&lt;=" &amp; $A159, Table2[AwayTeam], F$1)+SUMIFS(Table2[NewPointsHome],Table2[GameDate], "&lt;=" &amp; $A159, Table2[HomeTeam], F$1)</f>
        <v>6</v>
      </c>
      <c r="G159" s="145">
        <f>SUMIFS(Table2[NewPointsAway],Table2[GameDate], "&lt;=" &amp; $A159, Table2[AwayTeam], G$1)+SUMIFS(Table2[NewPointsHome],Table2[GameDate], "&lt;=" &amp; $A159, Table2[HomeTeam], G$1)</f>
        <v>2</v>
      </c>
      <c r="H159" s="145">
        <f>SUMIFS(Table2[NewPointsAway],Table2[GameDate], "&lt;=" &amp; $A159, Table2[AwayTeam], H$1)+SUMIFS(Table2[NewPointsHome],Table2[GameDate], "&lt;=" &amp; $A159, Table2[HomeTeam], H$1)</f>
        <v>8</v>
      </c>
      <c r="I159" s="145">
        <f>SUMIFS(Table2[NewPointsAway],Table2[GameDate], "&lt;=" &amp; $A159, Table2[AwayTeam], I$1)+SUMIFS(Table2[NewPointsHome],Table2[GameDate], "&lt;=" &amp; $A159, Table2[HomeTeam], I$1)</f>
        <v>12</v>
      </c>
      <c r="J159" s="145">
        <f>SUMIFS(Table2[NewPointsAway],Table2[GameDate], "&lt;=" &amp; $A159, Table2[AwayTeam], J$1)+SUMIFS(Table2[NewPointsHome],Table2[GameDate], "&lt;=" &amp; $A159, Table2[HomeTeam], J$1)</f>
        <v>6</v>
      </c>
      <c r="K159" s="145">
        <f>SUMIFS(Table2[NewPointsAway],Table2[GameDate], "&lt;=" &amp; $A159, Table2[AwayTeam], K$1)+SUMIFS(Table2[NewPointsHome],Table2[GameDate], "&lt;=" &amp; $A159, Table2[HomeTeam], K$1)</f>
        <v>10</v>
      </c>
      <c r="L159" s="145">
        <f>SUMIFS(Table2[NewPointsAway],Table2[GameDate], "&lt;=" &amp; $A159, Table2[AwayTeam], L$1)+SUMIFS(Table2[NewPointsHome],Table2[GameDate], "&lt;=" &amp; $A159, Table2[HomeTeam], L$1)</f>
        <v>7</v>
      </c>
      <c r="M159" s="145">
        <f>SUMIFS(Table2[NewPointsAway],Table2[GameDate], "&lt;=" &amp; $A159, Table2[AwayTeam], M$1)+SUMIFS(Table2[NewPointsHome],Table2[GameDate], "&lt;=" &amp; $A159, Table2[HomeTeam], M$1)</f>
        <v>8</v>
      </c>
      <c r="N159" s="145">
        <f>SUMIFS(Table2[NewPointsAway],Table2[GameDate], "&lt;=" &amp; $A159, Table2[AwayTeam], N$1)+SUMIFS(Table2[NewPointsHome],Table2[GameDate], "&lt;=" &amp; $A159, Table2[HomeTeam], N$1)</f>
        <v>6</v>
      </c>
      <c r="O159" s="145">
        <f>SUMIFS(Table2[NewPointsAway],Table2[GameDate], "&lt;=" &amp; $A159, Table2[AwayTeam], O$1)+SUMIFS(Table2[NewPointsHome],Table2[GameDate], "&lt;=" &amp; $A159, Table2[HomeTeam], O$1)</f>
        <v>7</v>
      </c>
      <c r="P159" s="145">
        <f>SUMIFS(Table2[NewPointsAway],Table2[GameDate], "&lt;=" &amp; $A159, Table2[AwayTeam], P$1)+SUMIFS(Table2[NewPointsHome],Table2[GameDate], "&lt;=" &amp; $A159, Table2[HomeTeam], P$1)</f>
        <v>10</v>
      </c>
      <c r="Q159" s="145">
        <f>SUMIFS(Table2[NewPointsAway],Table2[GameDate], "&lt;=" &amp; $A159, Table2[AwayTeam], Q$1)+SUMIFS(Table2[NewPointsHome],Table2[GameDate], "&lt;=" &amp; $A159, Table2[HomeTeam], Q$1)</f>
        <v>10</v>
      </c>
      <c r="R159" s="145">
        <f>SUMIFS(Table2[NewPointsAway],Table2[GameDate], "&lt;=" &amp; $A159, Table2[AwayTeam], R$1)+SUMIFS(Table2[NewPointsHome],Table2[GameDate], "&lt;=" &amp; $A159, Table2[HomeTeam], R$1)</f>
        <v>6</v>
      </c>
      <c r="S159" s="145">
        <f>SUMIFS(Table2[NewPointsAway],Table2[GameDate], "&lt;=" &amp; $A159, Table2[AwayTeam], S$1)+SUMIFS(Table2[NewPointsHome],Table2[GameDate], "&lt;=" &amp; $A159, Table2[HomeTeam], S$1)</f>
        <v>6</v>
      </c>
      <c r="T159" s="145">
        <f>SUMIFS(Table2[NewPointsAway],Table2[GameDate], "&lt;=" &amp; $A159, Table2[AwayTeam], T$1)+SUMIFS(Table2[NewPointsHome],Table2[GameDate], "&lt;=" &amp; $A159, Table2[HomeTeam], T$1)</f>
        <v>7</v>
      </c>
      <c r="U159" s="145">
        <f>SUMIFS(Table2[NewPointsAway],Table2[GameDate], "&lt;=" &amp; $A159, Table2[AwayTeam], U$1)+SUMIFS(Table2[NewPointsHome],Table2[GameDate], "&lt;=" &amp; $A159, Table2[HomeTeam], U$1)</f>
        <v>5</v>
      </c>
      <c r="V159" s="145">
        <f>SUMIFS(Table2[NewPointsAway],Table2[GameDate], "&lt;=" &amp; $A159, Table2[AwayTeam], V$1)+SUMIFS(Table2[NewPointsHome],Table2[GameDate], "&lt;=" &amp; $A159, Table2[HomeTeam], V$1)</f>
        <v>7</v>
      </c>
      <c r="W159" s="145">
        <f>SUMIFS(Table2[NewPointsAway],Table2[GameDate], "&lt;=" &amp; $A159, Table2[AwayTeam], W$1)+SUMIFS(Table2[NewPointsHome],Table2[GameDate], "&lt;=" &amp; $A159, Table2[HomeTeam], W$1)</f>
        <v>10</v>
      </c>
      <c r="X159" s="145">
        <f>SUMIFS(Table2[NewPointsAway],Table2[GameDate], "&lt;=" &amp; $A159, Table2[AwayTeam], X$1)+SUMIFS(Table2[NewPointsHome],Table2[GameDate], "&lt;=" &amp; $A159, Table2[HomeTeam], X$1)</f>
        <v>8</v>
      </c>
      <c r="Y159" s="145">
        <f>SUMIFS(Table2[NewPointsAway],Table2[GameDate], "&lt;=" &amp; $A159, Table2[AwayTeam], Y$1)+SUMIFS(Table2[NewPointsHome],Table2[GameDate], "&lt;=" &amp; $A159, Table2[HomeTeam], Y$1)</f>
        <v>2</v>
      </c>
      <c r="Z159" s="145">
        <f>SUMIFS(Table2[NewPointsAway],Table2[GameDate], "&lt;=" &amp; $A159, Table2[AwayTeam], Z$1)+SUMIFS(Table2[NewPointsHome],Table2[GameDate], "&lt;=" &amp; $A159, Table2[HomeTeam], Z$1)</f>
        <v>7</v>
      </c>
      <c r="AA159" s="145">
        <f>SUMIFS(Table2[NewPointsAway],Table2[GameDate], "&lt;=" &amp; $A159, Table2[AwayTeam], AA$1)+SUMIFS(Table2[NewPointsHome],Table2[GameDate], "&lt;=" &amp; $A159, Table2[HomeTeam], AA$1)</f>
        <v>4</v>
      </c>
      <c r="AB159" s="145">
        <f>SUMIFS(Table2[NewPointsAway],Table2[GameDate], "&lt;=" &amp; $A159, Table2[AwayTeam], AB$1)+SUMIFS(Table2[NewPointsHome],Table2[GameDate], "&lt;=" &amp; $A159, Table2[HomeTeam], AB$1)</f>
        <v>7</v>
      </c>
      <c r="AC159" s="145">
        <f>SUMIFS(Table2[NewPointsAway],Table2[GameDate], "&lt;=" &amp; $A159, Table2[AwayTeam], AC$1)+SUMIFS(Table2[NewPointsHome],Table2[GameDate], "&lt;=" &amp; $A159, Table2[HomeTeam], AC$1)</f>
        <v>10</v>
      </c>
      <c r="AD159" s="145">
        <f>SUMIFS(Table2[NewPointsAway],Table2[GameDate], "&lt;=" &amp; $A159, Table2[AwayTeam], AD$1)+SUMIFS(Table2[NewPointsHome],Table2[GameDate], "&lt;=" &amp; $A159, Table2[HomeTeam], AD$1)</f>
        <v>8</v>
      </c>
      <c r="AE159" s="145">
        <f>SUMIFS(Table2[NewPointsAway],Table2[GameDate], "&lt;=" &amp; $A159, Table2[AwayTeam], AE$1)+SUMIFS(Table2[NewPointsHome],Table2[GameDate], "&lt;=" &amp; $A159, Table2[HomeTeam], AE$1)</f>
        <v>12</v>
      </c>
      <c r="AF159" s="145">
        <f>SUMIFS(Table2[NewPointsAway],Table2[GameDate], "&lt;=" &amp; $A159, Table2[AwayTeam], AF$1)+SUMIFS(Table2[NewPointsHome],Table2[GameDate], "&lt;=" &amp; $A159, Table2[HomeTeam], AF$1)</f>
        <v>10</v>
      </c>
      <c r="AG159" s="145">
        <f>SUMIFS(Table2[NewPointsAway],Table2[GameDate], "&lt;=" &amp; $A159, Table2[AwayTeam], AG$1)+SUMIFS(Table2[NewPointsHome],Table2[GameDate], "&lt;=" &amp; $A159, Table2[HomeTeam], AG$1)</f>
        <v>10</v>
      </c>
    </row>
    <row r="160" spans="1:33" x14ac:dyDescent="0.25">
      <c r="A160" s="3">
        <v>46091</v>
      </c>
      <c r="B160" s="145">
        <f>SUMIFS(Table2[NewPointsAway],Table2[GameDate], "&lt;=" &amp; $A160, Table2[AwayTeam], B$1)+SUMIFS(Table2[NewPointsHome],Table2[GameDate], "&lt;=" &amp; $A160, Table2[HomeTeam], B$1)</f>
        <v>7</v>
      </c>
      <c r="C160" s="145">
        <f>SUMIFS(Table2[NewPointsAway],Table2[GameDate], "&lt;=" &amp; $A160, Table2[AwayTeam], C$1)+SUMIFS(Table2[NewPointsHome],Table2[GameDate], "&lt;=" &amp; $A160, Table2[HomeTeam], C$1)</f>
        <v>6</v>
      </c>
      <c r="D160" s="145">
        <f>SUMIFS(Table2[NewPointsAway],Table2[GameDate], "&lt;=" &amp; $A160, Table2[AwayTeam], D$1)+SUMIFS(Table2[NewPointsHome],Table2[GameDate], "&lt;=" &amp; $A160, Table2[HomeTeam], D$1)</f>
        <v>4</v>
      </c>
      <c r="E160" s="145">
        <f>SUMIFS(Table2[NewPointsAway],Table2[GameDate], "&lt;=" &amp; $A160, Table2[AwayTeam], E$1)+SUMIFS(Table2[NewPointsHome],Table2[GameDate], "&lt;=" &amp; $A160, Table2[HomeTeam], E$1)</f>
        <v>10</v>
      </c>
      <c r="F160" s="145">
        <f>SUMIFS(Table2[NewPointsAway],Table2[GameDate], "&lt;=" &amp; $A160, Table2[AwayTeam], F$1)+SUMIFS(Table2[NewPointsHome],Table2[GameDate], "&lt;=" &amp; $A160, Table2[HomeTeam], F$1)</f>
        <v>6</v>
      </c>
      <c r="G160" s="145">
        <f>SUMIFS(Table2[NewPointsAway],Table2[GameDate], "&lt;=" &amp; $A160, Table2[AwayTeam], G$1)+SUMIFS(Table2[NewPointsHome],Table2[GameDate], "&lt;=" &amp; $A160, Table2[HomeTeam], G$1)</f>
        <v>2</v>
      </c>
      <c r="H160" s="145">
        <f>SUMIFS(Table2[NewPointsAway],Table2[GameDate], "&lt;=" &amp; $A160, Table2[AwayTeam], H$1)+SUMIFS(Table2[NewPointsHome],Table2[GameDate], "&lt;=" &amp; $A160, Table2[HomeTeam], H$1)</f>
        <v>8</v>
      </c>
      <c r="I160" s="145">
        <f>SUMIFS(Table2[NewPointsAway],Table2[GameDate], "&lt;=" &amp; $A160, Table2[AwayTeam], I$1)+SUMIFS(Table2[NewPointsHome],Table2[GameDate], "&lt;=" &amp; $A160, Table2[HomeTeam], I$1)</f>
        <v>12</v>
      </c>
      <c r="J160" s="145">
        <f>SUMIFS(Table2[NewPointsAway],Table2[GameDate], "&lt;=" &amp; $A160, Table2[AwayTeam], J$1)+SUMIFS(Table2[NewPointsHome],Table2[GameDate], "&lt;=" &amp; $A160, Table2[HomeTeam], J$1)</f>
        <v>6</v>
      </c>
      <c r="K160" s="145">
        <f>SUMIFS(Table2[NewPointsAway],Table2[GameDate], "&lt;=" &amp; $A160, Table2[AwayTeam], K$1)+SUMIFS(Table2[NewPointsHome],Table2[GameDate], "&lt;=" &amp; $A160, Table2[HomeTeam], K$1)</f>
        <v>10</v>
      </c>
      <c r="L160" s="145">
        <f>SUMIFS(Table2[NewPointsAway],Table2[GameDate], "&lt;=" &amp; $A160, Table2[AwayTeam], L$1)+SUMIFS(Table2[NewPointsHome],Table2[GameDate], "&lt;=" &amp; $A160, Table2[HomeTeam], L$1)</f>
        <v>7</v>
      </c>
      <c r="M160" s="145">
        <f>SUMIFS(Table2[NewPointsAway],Table2[GameDate], "&lt;=" &amp; $A160, Table2[AwayTeam], M$1)+SUMIFS(Table2[NewPointsHome],Table2[GameDate], "&lt;=" &amp; $A160, Table2[HomeTeam], M$1)</f>
        <v>8</v>
      </c>
      <c r="N160" s="145">
        <f>SUMIFS(Table2[NewPointsAway],Table2[GameDate], "&lt;=" &amp; $A160, Table2[AwayTeam], N$1)+SUMIFS(Table2[NewPointsHome],Table2[GameDate], "&lt;=" &amp; $A160, Table2[HomeTeam], N$1)</f>
        <v>6</v>
      </c>
      <c r="O160" s="145">
        <f>SUMIFS(Table2[NewPointsAway],Table2[GameDate], "&lt;=" &amp; $A160, Table2[AwayTeam], O$1)+SUMIFS(Table2[NewPointsHome],Table2[GameDate], "&lt;=" &amp; $A160, Table2[HomeTeam], O$1)</f>
        <v>7</v>
      </c>
      <c r="P160" s="145">
        <f>SUMIFS(Table2[NewPointsAway],Table2[GameDate], "&lt;=" &amp; $A160, Table2[AwayTeam], P$1)+SUMIFS(Table2[NewPointsHome],Table2[GameDate], "&lt;=" &amp; $A160, Table2[HomeTeam], P$1)</f>
        <v>10</v>
      </c>
      <c r="Q160" s="145">
        <f>SUMIFS(Table2[NewPointsAway],Table2[GameDate], "&lt;=" &amp; $A160, Table2[AwayTeam], Q$1)+SUMIFS(Table2[NewPointsHome],Table2[GameDate], "&lt;=" &amp; $A160, Table2[HomeTeam], Q$1)</f>
        <v>10</v>
      </c>
      <c r="R160" s="145">
        <f>SUMIFS(Table2[NewPointsAway],Table2[GameDate], "&lt;=" &amp; $A160, Table2[AwayTeam], R$1)+SUMIFS(Table2[NewPointsHome],Table2[GameDate], "&lt;=" &amp; $A160, Table2[HomeTeam], R$1)</f>
        <v>6</v>
      </c>
      <c r="S160" s="145">
        <f>SUMIFS(Table2[NewPointsAway],Table2[GameDate], "&lt;=" &amp; $A160, Table2[AwayTeam], S$1)+SUMIFS(Table2[NewPointsHome],Table2[GameDate], "&lt;=" &amp; $A160, Table2[HomeTeam], S$1)</f>
        <v>6</v>
      </c>
      <c r="T160" s="145">
        <f>SUMIFS(Table2[NewPointsAway],Table2[GameDate], "&lt;=" &amp; $A160, Table2[AwayTeam], T$1)+SUMIFS(Table2[NewPointsHome],Table2[GameDate], "&lt;=" &amp; $A160, Table2[HomeTeam], T$1)</f>
        <v>7</v>
      </c>
      <c r="U160" s="145">
        <f>SUMIFS(Table2[NewPointsAway],Table2[GameDate], "&lt;=" &amp; $A160, Table2[AwayTeam], U$1)+SUMIFS(Table2[NewPointsHome],Table2[GameDate], "&lt;=" &amp; $A160, Table2[HomeTeam], U$1)</f>
        <v>5</v>
      </c>
      <c r="V160" s="145">
        <f>SUMIFS(Table2[NewPointsAway],Table2[GameDate], "&lt;=" &amp; $A160, Table2[AwayTeam], V$1)+SUMIFS(Table2[NewPointsHome],Table2[GameDate], "&lt;=" &amp; $A160, Table2[HomeTeam], V$1)</f>
        <v>7</v>
      </c>
      <c r="W160" s="145">
        <f>SUMIFS(Table2[NewPointsAway],Table2[GameDate], "&lt;=" &amp; $A160, Table2[AwayTeam], W$1)+SUMIFS(Table2[NewPointsHome],Table2[GameDate], "&lt;=" &amp; $A160, Table2[HomeTeam], W$1)</f>
        <v>10</v>
      </c>
      <c r="X160" s="145">
        <f>SUMIFS(Table2[NewPointsAway],Table2[GameDate], "&lt;=" &amp; $A160, Table2[AwayTeam], X$1)+SUMIFS(Table2[NewPointsHome],Table2[GameDate], "&lt;=" &amp; $A160, Table2[HomeTeam], X$1)</f>
        <v>8</v>
      </c>
      <c r="Y160" s="145">
        <f>SUMIFS(Table2[NewPointsAway],Table2[GameDate], "&lt;=" &amp; $A160, Table2[AwayTeam], Y$1)+SUMIFS(Table2[NewPointsHome],Table2[GameDate], "&lt;=" &amp; $A160, Table2[HomeTeam], Y$1)</f>
        <v>2</v>
      </c>
      <c r="Z160" s="145">
        <f>SUMIFS(Table2[NewPointsAway],Table2[GameDate], "&lt;=" &amp; $A160, Table2[AwayTeam], Z$1)+SUMIFS(Table2[NewPointsHome],Table2[GameDate], "&lt;=" &amp; $A160, Table2[HomeTeam], Z$1)</f>
        <v>7</v>
      </c>
      <c r="AA160" s="145">
        <f>SUMIFS(Table2[NewPointsAway],Table2[GameDate], "&lt;=" &amp; $A160, Table2[AwayTeam], AA$1)+SUMIFS(Table2[NewPointsHome],Table2[GameDate], "&lt;=" &amp; $A160, Table2[HomeTeam], AA$1)</f>
        <v>4</v>
      </c>
      <c r="AB160" s="145">
        <f>SUMIFS(Table2[NewPointsAway],Table2[GameDate], "&lt;=" &amp; $A160, Table2[AwayTeam], AB$1)+SUMIFS(Table2[NewPointsHome],Table2[GameDate], "&lt;=" &amp; $A160, Table2[HomeTeam], AB$1)</f>
        <v>7</v>
      </c>
      <c r="AC160" s="145">
        <f>SUMIFS(Table2[NewPointsAway],Table2[GameDate], "&lt;=" &amp; $A160, Table2[AwayTeam], AC$1)+SUMIFS(Table2[NewPointsHome],Table2[GameDate], "&lt;=" &amp; $A160, Table2[HomeTeam], AC$1)</f>
        <v>10</v>
      </c>
      <c r="AD160" s="145">
        <f>SUMIFS(Table2[NewPointsAway],Table2[GameDate], "&lt;=" &amp; $A160, Table2[AwayTeam], AD$1)+SUMIFS(Table2[NewPointsHome],Table2[GameDate], "&lt;=" &amp; $A160, Table2[HomeTeam], AD$1)</f>
        <v>8</v>
      </c>
      <c r="AE160" s="145">
        <f>SUMIFS(Table2[NewPointsAway],Table2[GameDate], "&lt;=" &amp; $A160, Table2[AwayTeam], AE$1)+SUMIFS(Table2[NewPointsHome],Table2[GameDate], "&lt;=" &amp; $A160, Table2[HomeTeam], AE$1)</f>
        <v>12</v>
      </c>
      <c r="AF160" s="145">
        <f>SUMIFS(Table2[NewPointsAway],Table2[GameDate], "&lt;=" &amp; $A160, Table2[AwayTeam], AF$1)+SUMIFS(Table2[NewPointsHome],Table2[GameDate], "&lt;=" &amp; $A160, Table2[HomeTeam], AF$1)</f>
        <v>10</v>
      </c>
      <c r="AG160" s="145">
        <f>SUMIFS(Table2[NewPointsAway],Table2[GameDate], "&lt;=" &amp; $A160, Table2[AwayTeam], AG$1)+SUMIFS(Table2[NewPointsHome],Table2[GameDate], "&lt;=" &amp; $A160, Table2[HomeTeam], AG$1)</f>
        <v>10</v>
      </c>
    </row>
    <row r="161" spans="1:33" x14ac:dyDescent="0.25">
      <c r="A161" s="3">
        <v>46092</v>
      </c>
      <c r="B161" s="145">
        <f>SUMIFS(Table2[NewPointsAway],Table2[GameDate], "&lt;=" &amp; $A161, Table2[AwayTeam], B$1)+SUMIFS(Table2[NewPointsHome],Table2[GameDate], "&lt;=" &amp; $A161, Table2[HomeTeam], B$1)</f>
        <v>7</v>
      </c>
      <c r="C161" s="145">
        <f>SUMIFS(Table2[NewPointsAway],Table2[GameDate], "&lt;=" &amp; $A161, Table2[AwayTeam], C$1)+SUMIFS(Table2[NewPointsHome],Table2[GameDate], "&lt;=" &amp; $A161, Table2[HomeTeam], C$1)</f>
        <v>6</v>
      </c>
      <c r="D161" s="145">
        <f>SUMIFS(Table2[NewPointsAway],Table2[GameDate], "&lt;=" &amp; $A161, Table2[AwayTeam], D$1)+SUMIFS(Table2[NewPointsHome],Table2[GameDate], "&lt;=" &amp; $A161, Table2[HomeTeam], D$1)</f>
        <v>4</v>
      </c>
      <c r="E161" s="145">
        <f>SUMIFS(Table2[NewPointsAway],Table2[GameDate], "&lt;=" &amp; $A161, Table2[AwayTeam], E$1)+SUMIFS(Table2[NewPointsHome],Table2[GameDate], "&lt;=" &amp; $A161, Table2[HomeTeam], E$1)</f>
        <v>10</v>
      </c>
      <c r="F161" s="145">
        <f>SUMIFS(Table2[NewPointsAway],Table2[GameDate], "&lt;=" &amp; $A161, Table2[AwayTeam], F$1)+SUMIFS(Table2[NewPointsHome],Table2[GameDate], "&lt;=" &amp; $A161, Table2[HomeTeam], F$1)</f>
        <v>6</v>
      </c>
      <c r="G161" s="145">
        <f>SUMIFS(Table2[NewPointsAway],Table2[GameDate], "&lt;=" &amp; $A161, Table2[AwayTeam], G$1)+SUMIFS(Table2[NewPointsHome],Table2[GameDate], "&lt;=" &amp; $A161, Table2[HomeTeam], G$1)</f>
        <v>2</v>
      </c>
      <c r="H161" s="145">
        <f>SUMIFS(Table2[NewPointsAway],Table2[GameDate], "&lt;=" &amp; $A161, Table2[AwayTeam], H$1)+SUMIFS(Table2[NewPointsHome],Table2[GameDate], "&lt;=" &amp; $A161, Table2[HomeTeam], H$1)</f>
        <v>8</v>
      </c>
      <c r="I161" s="145">
        <f>SUMIFS(Table2[NewPointsAway],Table2[GameDate], "&lt;=" &amp; $A161, Table2[AwayTeam], I$1)+SUMIFS(Table2[NewPointsHome],Table2[GameDate], "&lt;=" &amp; $A161, Table2[HomeTeam], I$1)</f>
        <v>12</v>
      </c>
      <c r="J161" s="145">
        <f>SUMIFS(Table2[NewPointsAway],Table2[GameDate], "&lt;=" &amp; $A161, Table2[AwayTeam], J$1)+SUMIFS(Table2[NewPointsHome],Table2[GameDate], "&lt;=" &amp; $A161, Table2[HomeTeam], J$1)</f>
        <v>6</v>
      </c>
      <c r="K161" s="145">
        <f>SUMIFS(Table2[NewPointsAway],Table2[GameDate], "&lt;=" &amp; $A161, Table2[AwayTeam], K$1)+SUMIFS(Table2[NewPointsHome],Table2[GameDate], "&lt;=" &amp; $A161, Table2[HomeTeam], K$1)</f>
        <v>10</v>
      </c>
      <c r="L161" s="145">
        <f>SUMIFS(Table2[NewPointsAway],Table2[GameDate], "&lt;=" &amp; $A161, Table2[AwayTeam], L$1)+SUMIFS(Table2[NewPointsHome],Table2[GameDate], "&lt;=" &amp; $A161, Table2[HomeTeam], L$1)</f>
        <v>7</v>
      </c>
      <c r="M161" s="145">
        <f>SUMIFS(Table2[NewPointsAway],Table2[GameDate], "&lt;=" &amp; $A161, Table2[AwayTeam], M$1)+SUMIFS(Table2[NewPointsHome],Table2[GameDate], "&lt;=" &amp; $A161, Table2[HomeTeam], M$1)</f>
        <v>8</v>
      </c>
      <c r="N161" s="145">
        <f>SUMIFS(Table2[NewPointsAway],Table2[GameDate], "&lt;=" &amp; $A161, Table2[AwayTeam], N$1)+SUMIFS(Table2[NewPointsHome],Table2[GameDate], "&lt;=" &amp; $A161, Table2[HomeTeam], N$1)</f>
        <v>6</v>
      </c>
      <c r="O161" s="145">
        <f>SUMIFS(Table2[NewPointsAway],Table2[GameDate], "&lt;=" &amp; $A161, Table2[AwayTeam], O$1)+SUMIFS(Table2[NewPointsHome],Table2[GameDate], "&lt;=" &amp; $A161, Table2[HomeTeam], O$1)</f>
        <v>7</v>
      </c>
      <c r="P161" s="145">
        <f>SUMIFS(Table2[NewPointsAway],Table2[GameDate], "&lt;=" &amp; $A161, Table2[AwayTeam], P$1)+SUMIFS(Table2[NewPointsHome],Table2[GameDate], "&lt;=" &amp; $A161, Table2[HomeTeam], P$1)</f>
        <v>10</v>
      </c>
      <c r="Q161" s="145">
        <f>SUMIFS(Table2[NewPointsAway],Table2[GameDate], "&lt;=" &amp; $A161, Table2[AwayTeam], Q$1)+SUMIFS(Table2[NewPointsHome],Table2[GameDate], "&lt;=" &amp; $A161, Table2[HomeTeam], Q$1)</f>
        <v>10</v>
      </c>
      <c r="R161" s="145">
        <f>SUMIFS(Table2[NewPointsAway],Table2[GameDate], "&lt;=" &amp; $A161, Table2[AwayTeam], R$1)+SUMIFS(Table2[NewPointsHome],Table2[GameDate], "&lt;=" &amp; $A161, Table2[HomeTeam], R$1)</f>
        <v>6</v>
      </c>
      <c r="S161" s="145">
        <f>SUMIFS(Table2[NewPointsAway],Table2[GameDate], "&lt;=" &amp; $A161, Table2[AwayTeam], S$1)+SUMIFS(Table2[NewPointsHome],Table2[GameDate], "&lt;=" &amp; $A161, Table2[HomeTeam], S$1)</f>
        <v>6</v>
      </c>
      <c r="T161" s="145">
        <f>SUMIFS(Table2[NewPointsAway],Table2[GameDate], "&lt;=" &amp; $A161, Table2[AwayTeam], T$1)+SUMIFS(Table2[NewPointsHome],Table2[GameDate], "&lt;=" &amp; $A161, Table2[HomeTeam], T$1)</f>
        <v>7</v>
      </c>
      <c r="U161" s="145">
        <f>SUMIFS(Table2[NewPointsAway],Table2[GameDate], "&lt;=" &amp; $A161, Table2[AwayTeam], U$1)+SUMIFS(Table2[NewPointsHome],Table2[GameDate], "&lt;=" &amp; $A161, Table2[HomeTeam], U$1)</f>
        <v>5</v>
      </c>
      <c r="V161" s="145">
        <f>SUMIFS(Table2[NewPointsAway],Table2[GameDate], "&lt;=" &amp; $A161, Table2[AwayTeam], V$1)+SUMIFS(Table2[NewPointsHome],Table2[GameDate], "&lt;=" &amp; $A161, Table2[HomeTeam], V$1)</f>
        <v>7</v>
      </c>
      <c r="W161" s="145">
        <f>SUMIFS(Table2[NewPointsAway],Table2[GameDate], "&lt;=" &amp; $A161, Table2[AwayTeam], W$1)+SUMIFS(Table2[NewPointsHome],Table2[GameDate], "&lt;=" &amp; $A161, Table2[HomeTeam], W$1)</f>
        <v>10</v>
      </c>
      <c r="X161" s="145">
        <f>SUMIFS(Table2[NewPointsAway],Table2[GameDate], "&lt;=" &amp; $A161, Table2[AwayTeam], X$1)+SUMIFS(Table2[NewPointsHome],Table2[GameDate], "&lt;=" &amp; $A161, Table2[HomeTeam], X$1)</f>
        <v>8</v>
      </c>
      <c r="Y161" s="145">
        <f>SUMIFS(Table2[NewPointsAway],Table2[GameDate], "&lt;=" &amp; $A161, Table2[AwayTeam], Y$1)+SUMIFS(Table2[NewPointsHome],Table2[GameDate], "&lt;=" &amp; $A161, Table2[HomeTeam], Y$1)</f>
        <v>2</v>
      </c>
      <c r="Z161" s="145">
        <f>SUMIFS(Table2[NewPointsAway],Table2[GameDate], "&lt;=" &amp; $A161, Table2[AwayTeam], Z$1)+SUMIFS(Table2[NewPointsHome],Table2[GameDate], "&lt;=" &amp; $A161, Table2[HomeTeam], Z$1)</f>
        <v>7</v>
      </c>
      <c r="AA161" s="145">
        <f>SUMIFS(Table2[NewPointsAway],Table2[GameDate], "&lt;=" &amp; $A161, Table2[AwayTeam], AA$1)+SUMIFS(Table2[NewPointsHome],Table2[GameDate], "&lt;=" &amp; $A161, Table2[HomeTeam], AA$1)</f>
        <v>4</v>
      </c>
      <c r="AB161" s="145">
        <f>SUMIFS(Table2[NewPointsAway],Table2[GameDate], "&lt;=" &amp; $A161, Table2[AwayTeam], AB$1)+SUMIFS(Table2[NewPointsHome],Table2[GameDate], "&lt;=" &amp; $A161, Table2[HomeTeam], AB$1)</f>
        <v>7</v>
      </c>
      <c r="AC161" s="145">
        <f>SUMIFS(Table2[NewPointsAway],Table2[GameDate], "&lt;=" &amp; $A161, Table2[AwayTeam], AC$1)+SUMIFS(Table2[NewPointsHome],Table2[GameDate], "&lt;=" &amp; $A161, Table2[HomeTeam], AC$1)</f>
        <v>10</v>
      </c>
      <c r="AD161" s="145">
        <f>SUMIFS(Table2[NewPointsAway],Table2[GameDate], "&lt;=" &amp; $A161, Table2[AwayTeam], AD$1)+SUMIFS(Table2[NewPointsHome],Table2[GameDate], "&lt;=" &amp; $A161, Table2[HomeTeam], AD$1)</f>
        <v>8</v>
      </c>
      <c r="AE161" s="145">
        <f>SUMIFS(Table2[NewPointsAway],Table2[GameDate], "&lt;=" &amp; $A161, Table2[AwayTeam], AE$1)+SUMIFS(Table2[NewPointsHome],Table2[GameDate], "&lt;=" &amp; $A161, Table2[HomeTeam], AE$1)</f>
        <v>12</v>
      </c>
      <c r="AF161" s="145">
        <f>SUMIFS(Table2[NewPointsAway],Table2[GameDate], "&lt;=" &amp; $A161, Table2[AwayTeam], AF$1)+SUMIFS(Table2[NewPointsHome],Table2[GameDate], "&lt;=" &amp; $A161, Table2[HomeTeam], AF$1)</f>
        <v>10</v>
      </c>
      <c r="AG161" s="145">
        <f>SUMIFS(Table2[NewPointsAway],Table2[GameDate], "&lt;=" &amp; $A161, Table2[AwayTeam], AG$1)+SUMIFS(Table2[NewPointsHome],Table2[GameDate], "&lt;=" &amp; $A161, Table2[HomeTeam], AG$1)</f>
        <v>10</v>
      </c>
    </row>
    <row r="162" spans="1:33" x14ac:dyDescent="0.25">
      <c r="A162" s="3">
        <v>46093</v>
      </c>
      <c r="B162" s="145">
        <f>SUMIFS(Table2[NewPointsAway],Table2[GameDate], "&lt;=" &amp; $A162, Table2[AwayTeam], B$1)+SUMIFS(Table2[NewPointsHome],Table2[GameDate], "&lt;=" &amp; $A162, Table2[HomeTeam], B$1)</f>
        <v>7</v>
      </c>
      <c r="C162" s="145">
        <f>SUMIFS(Table2[NewPointsAway],Table2[GameDate], "&lt;=" &amp; $A162, Table2[AwayTeam], C$1)+SUMIFS(Table2[NewPointsHome],Table2[GameDate], "&lt;=" &amp; $A162, Table2[HomeTeam], C$1)</f>
        <v>6</v>
      </c>
      <c r="D162" s="145">
        <f>SUMIFS(Table2[NewPointsAway],Table2[GameDate], "&lt;=" &amp; $A162, Table2[AwayTeam], D$1)+SUMIFS(Table2[NewPointsHome],Table2[GameDate], "&lt;=" &amp; $A162, Table2[HomeTeam], D$1)</f>
        <v>4</v>
      </c>
      <c r="E162" s="145">
        <f>SUMIFS(Table2[NewPointsAway],Table2[GameDate], "&lt;=" &amp; $A162, Table2[AwayTeam], E$1)+SUMIFS(Table2[NewPointsHome],Table2[GameDate], "&lt;=" &amp; $A162, Table2[HomeTeam], E$1)</f>
        <v>10</v>
      </c>
      <c r="F162" s="145">
        <f>SUMIFS(Table2[NewPointsAway],Table2[GameDate], "&lt;=" &amp; $A162, Table2[AwayTeam], F$1)+SUMIFS(Table2[NewPointsHome],Table2[GameDate], "&lt;=" &amp; $A162, Table2[HomeTeam], F$1)</f>
        <v>6</v>
      </c>
      <c r="G162" s="145">
        <f>SUMIFS(Table2[NewPointsAway],Table2[GameDate], "&lt;=" &amp; $A162, Table2[AwayTeam], G$1)+SUMIFS(Table2[NewPointsHome],Table2[GameDate], "&lt;=" &amp; $A162, Table2[HomeTeam], G$1)</f>
        <v>2</v>
      </c>
      <c r="H162" s="145">
        <f>SUMIFS(Table2[NewPointsAway],Table2[GameDate], "&lt;=" &amp; $A162, Table2[AwayTeam], H$1)+SUMIFS(Table2[NewPointsHome],Table2[GameDate], "&lt;=" &amp; $A162, Table2[HomeTeam], H$1)</f>
        <v>8</v>
      </c>
      <c r="I162" s="145">
        <f>SUMIFS(Table2[NewPointsAway],Table2[GameDate], "&lt;=" &amp; $A162, Table2[AwayTeam], I$1)+SUMIFS(Table2[NewPointsHome],Table2[GameDate], "&lt;=" &amp; $A162, Table2[HomeTeam], I$1)</f>
        <v>12</v>
      </c>
      <c r="J162" s="145">
        <f>SUMIFS(Table2[NewPointsAway],Table2[GameDate], "&lt;=" &amp; $A162, Table2[AwayTeam], J$1)+SUMIFS(Table2[NewPointsHome],Table2[GameDate], "&lt;=" &amp; $A162, Table2[HomeTeam], J$1)</f>
        <v>6</v>
      </c>
      <c r="K162" s="145">
        <f>SUMIFS(Table2[NewPointsAway],Table2[GameDate], "&lt;=" &amp; $A162, Table2[AwayTeam], K$1)+SUMIFS(Table2[NewPointsHome],Table2[GameDate], "&lt;=" &amp; $A162, Table2[HomeTeam], K$1)</f>
        <v>10</v>
      </c>
      <c r="L162" s="145">
        <f>SUMIFS(Table2[NewPointsAway],Table2[GameDate], "&lt;=" &amp; $A162, Table2[AwayTeam], L$1)+SUMIFS(Table2[NewPointsHome],Table2[GameDate], "&lt;=" &amp; $A162, Table2[HomeTeam], L$1)</f>
        <v>7</v>
      </c>
      <c r="M162" s="145">
        <f>SUMIFS(Table2[NewPointsAway],Table2[GameDate], "&lt;=" &amp; $A162, Table2[AwayTeam], M$1)+SUMIFS(Table2[NewPointsHome],Table2[GameDate], "&lt;=" &amp; $A162, Table2[HomeTeam], M$1)</f>
        <v>8</v>
      </c>
      <c r="N162" s="145">
        <f>SUMIFS(Table2[NewPointsAway],Table2[GameDate], "&lt;=" &amp; $A162, Table2[AwayTeam], N$1)+SUMIFS(Table2[NewPointsHome],Table2[GameDate], "&lt;=" &amp; $A162, Table2[HomeTeam], N$1)</f>
        <v>6</v>
      </c>
      <c r="O162" s="145">
        <f>SUMIFS(Table2[NewPointsAway],Table2[GameDate], "&lt;=" &amp; $A162, Table2[AwayTeam], O$1)+SUMIFS(Table2[NewPointsHome],Table2[GameDate], "&lt;=" &amp; $A162, Table2[HomeTeam], O$1)</f>
        <v>7</v>
      </c>
      <c r="P162" s="145">
        <f>SUMIFS(Table2[NewPointsAway],Table2[GameDate], "&lt;=" &amp; $A162, Table2[AwayTeam], P$1)+SUMIFS(Table2[NewPointsHome],Table2[GameDate], "&lt;=" &amp; $A162, Table2[HomeTeam], P$1)</f>
        <v>10</v>
      </c>
      <c r="Q162" s="145">
        <f>SUMIFS(Table2[NewPointsAway],Table2[GameDate], "&lt;=" &amp; $A162, Table2[AwayTeam], Q$1)+SUMIFS(Table2[NewPointsHome],Table2[GameDate], "&lt;=" &amp; $A162, Table2[HomeTeam], Q$1)</f>
        <v>10</v>
      </c>
      <c r="R162" s="145">
        <f>SUMIFS(Table2[NewPointsAway],Table2[GameDate], "&lt;=" &amp; $A162, Table2[AwayTeam], R$1)+SUMIFS(Table2[NewPointsHome],Table2[GameDate], "&lt;=" &amp; $A162, Table2[HomeTeam], R$1)</f>
        <v>6</v>
      </c>
      <c r="S162" s="145">
        <f>SUMIFS(Table2[NewPointsAway],Table2[GameDate], "&lt;=" &amp; $A162, Table2[AwayTeam], S$1)+SUMIFS(Table2[NewPointsHome],Table2[GameDate], "&lt;=" &amp; $A162, Table2[HomeTeam], S$1)</f>
        <v>6</v>
      </c>
      <c r="T162" s="145">
        <f>SUMIFS(Table2[NewPointsAway],Table2[GameDate], "&lt;=" &amp; $A162, Table2[AwayTeam], T$1)+SUMIFS(Table2[NewPointsHome],Table2[GameDate], "&lt;=" &amp; $A162, Table2[HomeTeam], T$1)</f>
        <v>7</v>
      </c>
      <c r="U162" s="145">
        <f>SUMIFS(Table2[NewPointsAway],Table2[GameDate], "&lt;=" &amp; $A162, Table2[AwayTeam], U$1)+SUMIFS(Table2[NewPointsHome],Table2[GameDate], "&lt;=" &amp; $A162, Table2[HomeTeam], U$1)</f>
        <v>5</v>
      </c>
      <c r="V162" s="145">
        <f>SUMIFS(Table2[NewPointsAway],Table2[GameDate], "&lt;=" &amp; $A162, Table2[AwayTeam], V$1)+SUMIFS(Table2[NewPointsHome],Table2[GameDate], "&lt;=" &amp; $A162, Table2[HomeTeam], V$1)</f>
        <v>7</v>
      </c>
      <c r="W162" s="145">
        <f>SUMIFS(Table2[NewPointsAway],Table2[GameDate], "&lt;=" &amp; $A162, Table2[AwayTeam], W$1)+SUMIFS(Table2[NewPointsHome],Table2[GameDate], "&lt;=" &amp; $A162, Table2[HomeTeam], W$1)</f>
        <v>10</v>
      </c>
      <c r="X162" s="145">
        <f>SUMIFS(Table2[NewPointsAway],Table2[GameDate], "&lt;=" &amp; $A162, Table2[AwayTeam], X$1)+SUMIFS(Table2[NewPointsHome],Table2[GameDate], "&lt;=" &amp; $A162, Table2[HomeTeam], X$1)</f>
        <v>8</v>
      </c>
      <c r="Y162" s="145">
        <f>SUMIFS(Table2[NewPointsAway],Table2[GameDate], "&lt;=" &amp; $A162, Table2[AwayTeam], Y$1)+SUMIFS(Table2[NewPointsHome],Table2[GameDate], "&lt;=" &amp; $A162, Table2[HomeTeam], Y$1)</f>
        <v>2</v>
      </c>
      <c r="Z162" s="145">
        <f>SUMIFS(Table2[NewPointsAway],Table2[GameDate], "&lt;=" &amp; $A162, Table2[AwayTeam], Z$1)+SUMIFS(Table2[NewPointsHome],Table2[GameDate], "&lt;=" &amp; $A162, Table2[HomeTeam], Z$1)</f>
        <v>7</v>
      </c>
      <c r="AA162" s="145">
        <f>SUMIFS(Table2[NewPointsAway],Table2[GameDate], "&lt;=" &amp; $A162, Table2[AwayTeam], AA$1)+SUMIFS(Table2[NewPointsHome],Table2[GameDate], "&lt;=" &amp; $A162, Table2[HomeTeam], AA$1)</f>
        <v>4</v>
      </c>
      <c r="AB162" s="145">
        <f>SUMIFS(Table2[NewPointsAway],Table2[GameDate], "&lt;=" &amp; $A162, Table2[AwayTeam], AB$1)+SUMIFS(Table2[NewPointsHome],Table2[GameDate], "&lt;=" &amp; $A162, Table2[HomeTeam], AB$1)</f>
        <v>7</v>
      </c>
      <c r="AC162" s="145">
        <f>SUMIFS(Table2[NewPointsAway],Table2[GameDate], "&lt;=" &amp; $A162, Table2[AwayTeam], AC$1)+SUMIFS(Table2[NewPointsHome],Table2[GameDate], "&lt;=" &amp; $A162, Table2[HomeTeam], AC$1)</f>
        <v>10</v>
      </c>
      <c r="AD162" s="145">
        <f>SUMIFS(Table2[NewPointsAway],Table2[GameDate], "&lt;=" &amp; $A162, Table2[AwayTeam], AD$1)+SUMIFS(Table2[NewPointsHome],Table2[GameDate], "&lt;=" &amp; $A162, Table2[HomeTeam], AD$1)</f>
        <v>8</v>
      </c>
      <c r="AE162" s="145">
        <f>SUMIFS(Table2[NewPointsAway],Table2[GameDate], "&lt;=" &amp; $A162, Table2[AwayTeam], AE$1)+SUMIFS(Table2[NewPointsHome],Table2[GameDate], "&lt;=" &amp; $A162, Table2[HomeTeam], AE$1)</f>
        <v>12</v>
      </c>
      <c r="AF162" s="145">
        <f>SUMIFS(Table2[NewPointsAway],Table2[GameDate], "&lt;=" &amp; $A162, Table2[AwayTeam], AF$1)+SUMIFS(Table2[NewPointsHome],Table2[GameDate], "&lt;=" &amp; $A162, Table2[HomeTeam], AF$1)</f>
        <v>10</v>
      </c>
      <c r="AG162" s="145">
        <f>SUMIFS(Table2[NewPointsAway],Table2[GameDate], "&lt;=" &amp; $A162, Table2[AwayTeam], AG$1)+SUMIFS(Table2[NewPointsHome],Table2[GameDate], "&lt;=" &amp; $A162, Table2[HomeTeam], AG$1)</f>
        <v>10</v>
      </c>
    </row>
    <row r="163" spans="1:33" x14ac:dyDescent="0.25">
      <c r="A163" s="3">
        <v>46094</v>
      </c>
      <c r="B163" s="145">
        <f>SUMIFS(Table2[NewPointsAway],Table2[GameDate], "&lt;=" &amp; $A163, Table2[AwayTeam], B$1)+SUMIFS(Table2[NewPointsHome],Table2[GameDate], "&lt;=" &amp; $A163, Table2[HomeTeam], B$1)</f>
        <v>7</v>
      </c>
      <c r="C163" s="145">
        <f>SUMIFS(Table2[NewPointsAway],Table2[GameDate], "&lt;=" &amp; $A163, Table2[AwayTeam], C$1)+SUMIFS(Table2[NewPointsHome],Table2[GameDate], "&lt;=" &amp; $A163, Table2[HomeTeam], C$1)</f>
        <v>6</v>
      </c>
      <c r="D163" s="145">
        <f>SUMIFS(Table2[NewPointsAway],Table2[GameDate], "&lt;=" &amp; $A163, Table2[AwayTeam], D$1)+SUMIFS(Table2[NewPointsHome],Table2[GameDate], "&lt;=" &amp; $A163, Table2[HomeTeam], D$1)</f>
        <v>4</v>
      </c>
      <c r="E163" s="145">
        <f>SUMIFS(Table2[NewPointsAway],Table2[GameDate], "&lt;=" &amp; $A163, Table2[AwayTeam], E$1)+SUMIFS(Table2[NewPointsHome],Table2[GameDate], "&lt;=" &amp; $A163, Table2[HomeTeam], E$1)</f>
        <v>10</v>
      </c>
      <c r="F163" s="145">
        <f>SUMIFS(Table2[NewPointsAway],Table2[GameDate], "&lt;=" &amp; $A163, Table2[AwayTeam], F$1)+SUMIFS(Table2[NewPointsHome],Table2[GameDate], "&lt;=" &amp; $A163, Table2[HomeTeam], F$1)</f>
        <v>6</v>
      </c>
      <c r="G163" s="145">
        <f>SUMIFS(Table2[NewPointsAway],Table2[GameDate], "&lt;=" &amp; $A163, Table2[AwayTeam], G$1)+SUMIFS(Table2[NewPointsHome],Table2[GameDate], "&lt;=" &amp; $A163, Table2[HomeTeam], G$1)</f>
        <v>2</v>
      </c>
      <c r="H163" s="145">
        <f>SUMIFS(Table2[NewPointsAway],Table2[GameDate], "&lt;=" &amp; $A163, Table2[AwayTeam], H$1)+SUMIFS(Table2[NewPointsHome],Table2[GameDate], "&lt;=" &amp; $A163, Table2[HomeTeam], H$1)</f>
        <v>8</v>
      </c>
      <c r="I163" s="145">
        <f>SUMIFS(Table2[NewPointsAway],Table2[GameDate], "&lt;=" &amp; $A163, Table2[AwayTeam], I$1)+SUMIFS(Table2[NewPointsHome],Table2[GameDate], "&lt;=" &amp; $A163, Table2[HomeTeam], I$1)</f>
        <v>12</v>
      </c>
      <c r="J163" s="145">
        <f>SUMIFS(Table2[NewPointsAway],Table2[GameDate], "&lt;=" &amp; $A163, Table2[AwayTeam], J$1)+SUMIFS(Table2[NewPointsHome],Table2[GameDate], "&lt;=" &amp; $A163, Table2[HomeTeam], J$1)</f>
        <v>6</v>
      </c>
      <c r="K163" s="145">
        <f>SUMIFS(Table2[NewPointsAway],Table2[GameDate], "&lt;=" &amp; $A163, Table2[AwayTeam], K$1)+SUMIFS(Table2[NewPointsHome],Table2[GameDate], "&lt;=" &amp; $A163, Table2[HomeTeam], K$1)</f>
        <v>10</v>
      </c>
      <c r="L163" s="145">
        <f>SUMIFS(Table2[NewPointsAway],Table2[GameDate], "&lt;=" &amp; $A163, Table2[AwayTeam], L$1)+SUMIFS(Table2[NewPointsHome],Table2[GameDate], "&lt;=" &amp; $A163, Table2[HomeTeam], L$1)</f>
        <v>7</v>
      </c>
      <c r="M163" s="145">
        <f>SUMIFS(Table2[NewPointsAway],Table2[GameDate], "&lt;=" &amp; $A163, Table2[AwayTeam], M$1)+SUMIFS(Table2[NewPointsHome],Table2[GameDate], "&lt;=" &amp; $A163, Table2[HomeTeam], M$1)</f>
        <v>8</v>
      </c>
      <c r="N163" s="145">
        <f>SUMIFS(Table2[NewPointsAway],Table2[GameDate], "&lt;=" &amp; $A163, Table2[AwayTeam], N$1)+SUMIFS(Table2[NewPointsHome],Table2[GameDate], "&lt;=" &amp; $A163, Table2[HomeTeam], N$1)</f>
        <v>6</v>
      </c>
      <c r="O163" s="145">
        <f>SUMIFS(Table2[NewPointsAway],Table2[GameDate], "&lt;=" &amp; $A163, Table2[AwayTeam], O$1)+SUMIFS(Table2[NewPointsHome],Table2[GameDate], "&lt;=" &amp; $A163, Table2[HomeTeam], O$1)</f>
        <v>7</v>
      </c>
      <c r="P163" s="145">
        <f>SUMIFS(Table2[NewPointsAway],Table2[GameDate], "&lt;=" &amp; $A163, Table2[AwayTeam], P$1)+SUMIFS(Table2[NewPointsHome],Table2[GameDate], "&lt;=" &amp; $A163, Table2[HomeTeam], P$1)</f>
        <v>10</v>
      </c>
      <c r="Q163" s="145">
        <f>SUMIFS(Table2[NewPointsAway],Table2[GameDate], "&lt;=" &amp; $A163, Table2[AwayTeam], Q$1)+SUMIFS(Table2[NewPointsHome],Table2[GameDate], "&lt;=" &amp; $A163, Table2[HomeTeam], Q$1)</f>
        <v>10</v>
      </c>
      <c r="R163" s="145">
        <f>SUMIFS(Table2[NewPointsAway],Table2[GameDate], "&lt;=" &amp; $A163, Table2[AwayTeam], R$1)+SUMIFS(Table2[NewPointsHome],Table2[GameDate], "&lt;=" &amp; $A163, Table2[HomeTeam], R$1)</f>
        <v>6</v>
      </c>
      <c r="S163" s="145">
        <f>SUMIFS(Table2[NewPointsAway],Table2[GameDate], "&lt;=" &amp; $A163, Table2[AwayTeam], S$1)+SUMIFS(Table2[NewPointsHome],Table2[GameDate], "&lt;=" &amp; $A163, Table2[HomeTeam], S$1)</f>
        <v>6</v>
      </c>
      <c r="T163" s="145">
        <f>SUMIFS(Table2[NewPointsAway],Table2[GameDate], "&lt;=" &amp; $A163, Table2[AwayTeam], T$1)+SUMIFS(Table2[NewPointsHome],Table2[GameDate], "&lt;=" &amp; $A163, Table2[HomeTeam], T$1)</f>
        <v>7</v>
      </c>
      <c r="U163" s="145">
        <f>SUMIFS(Table2[NewPointsAway],Table2[GameDate], "&lt;=" &amp; $A163, Table2[AwayTeam], U$1)+SUMIFS(Table2[NewPointsHome],Table2[GameDate], "&lt;=" &amp; $A163, Table2[HomeTeam], U$1)</f>
        <v>5</v>
      </c>
      <c r="V163" s="145">
        <f>SUMIFS(Table2[NewPointsAway],Table2[GameDate], "&lt;=" &amp; $A163, Table2[AwayTeam], V$1)+SUMIFS(Table2[NewPointsHome],Table2[GameDate], "&lt;=" &amp; $A163, Table2[HomeTeam], V$1)</f>
        <v>7</v>
      </c>
      <c r="W163" s="145">
        <f>SUMIFS(Table2[NewPointsAway],Table2[GameDate], "&lt;=" &amp; $A163, Table2[AwayTeam], W$1)+SUMIFS(Table2[NewPointsHome],Table2[GameDate], "&lt;=" &amp; $A163, Table2[HomeTeam], W$1)</f>
        <v>10</v>
      </c>
      <c r="X163" s="145">
        <f>SUMIFS(Table2[NewPointsAway],Table2[GameDate], "&lt;=" &amp; $A163, Table2[AwayTeam], X$1)+SUMIFS(Table2[NewPointsHome],Table2[GameDate], "&lt;=" &amp; $A163, Table2[HomeTeam], X$1)</f>
        <v>8</v>
      </c>
      <c r="Y163" s="145">
        <f>SUMIFS(Table2[NewPointsAway],Table2[GameDate], "&lt;=" &amp; $A163, Table2[AwayTeam], Y$1)+SUMIFS(Table2[NewPointsHome],Table2[GameDate], "&lt;=" &amp; $A163, Table2[HomeTeam], Y$1)</f>
        <v>2</v>
      </c>
      <c r="Z163" s="145">
        <f>SUMIFS(Table2[NewPointsAway],Table2[GameDate], "&lt;=" &amp; $A163, Table2[AwayTeam], Z$1)+SUMIFS(Table2[NewPointsHome],Table2[GameDate], "&lt;=" &amp; $A163, Table2[HomeTeam], Z$1)</f>
        <v>7</v>
      </c>
      <c r="AA163" s="145">
        <f>SUMIFS(Table2[NewPointsAway],Table2[GameDate], "&lt;=" &amp; $A163, Table2[AwayTeam], AA$1)+SUMIFS(Table2[NewPointsHome],Table2[GameDate], "&lt;=" &amp; $A163, Table2[HomeTeam], AA$1)</f>
        <v>4</v>
      </c>
      <c r="AB163" s="145">
        <f>SUMIFS(Table2[NewPointsAway],Table2[GameDate], "&lt;=" &amp; $A163, Table2[AwayTeam], AB$1)+SUMIFS(Table2[NewPointsHome],Table2[GameDate], "&lt;=" &amp; $A163, Table2[HomeTeam], AB$1)</f>
        <v>7</v>
      </c>
      <c r="AC163" s="145">
        <f>SUMIFS(Table2[NewPointsAway],Table2[GameDate], "&lt;=" &amp; $A163, Table2[AwayTeam], AC$1)+SUMIFS(Table2[NewPointsHome],Table2[GameDate], "&lt;=" &amp; $A163, Table2[HomeTeam], AC$1)</f>
        <v>10</v>
      </c>
      <c r="AD163" s="145">
        <f>SUMIFS(Table2[NewPointsAway],Table2[GameDate], "&lt;=" &amp; $A163, Table2[AwayTeam], AD$1)+SUMIFS(Table2[NewPointsHome],Table2[GameDate], "&lt;=" &amp; $A163, Table2[HomeTeam], AD$1)</f>
        <v>8</v>
      </c>
      <c r="AE163" s="145">
        <f>SUMIFS(Table2[NewPointsAway],Table2[GameDate], "&lt;=" &amp; $A163, Table2[AwayTeam], AE$1)+SUMIFS(Table2[NewPointsHome],Table2[GameDate], "&lt;=" &amp; $A163, Table2[HomeTeam], AE$1)</f>
        <v>12</v>
      </c>
      <c r="AF163" s="145">
        <f>SUMIFS(Table2[NewPointsAway],Table2[GameDate], "&lt;=" &amp; $A163, Table2[AwayTeam], AF$1)+SUMIFS(Table2[NewPointsHome],Table2[GameDate], "&lt;=" &amp; $A163, Table2[HomeTeam], AF$1)</f>
        <v>10</v>
      </c>
      <c r="AG163" s="145">
        <f>SUMIFS(Table2[NewPointsAway],Table2[GameDate], "&lt;=" &amp; $A163, Table2[AwayTeam], AG$1)+SUMIFS(Table2[NewPointsHome],Table2[GameDate], "&lt;=" &amp; $A163, Table2[HomeTeam], AG$1)</f>
        <v>10</v>
      </c>
    </row>
    <row r="164" spans="1:33" x14ac:dyDescent="0.25">
      <c r="A164" s="3">
        <v>46095</v>
      </c>
      <c r="B164" s="145">
        <f>SUMIFS(Table2[NewPointsAway],Table2[GameDate], "&lt;=" &amp; $A164, Table2[AwayTeam], B$1)+SUMIFS(Table2[NewPointsHome],Table2[GameDate], "&lt;=" &amp; $A164, Table2[HomeTeam], B$1)</f>
        <v>7</v>
      </c>
      <c r="C164" s="145">
        <f>SUMIFS(Table2[NewPointsAway],Table2[GameDate], "&lt;=" &amp; $A164, Table2[AwayTeam], C$1)+SUMIFS(Table2[NewPointsHome],Table2[GameDate], "&lt;=" &amp; $A164, Table2[HomeTeam], C$1)</f>
        <v>6</v>
      </c>
      <c r="D164" s="145">
        <f>SUMIFS(Table2[NewPointsAway],Table2[GameDate], "&lt;=" &amp; $A164, Table2[AwayTeam], D$1)+SUMIFS(Table2[NewPointsHome],Table2[GameDate], "&lt;=" &amp; $A164, Table2[HomeTeam], D$1)</f>
        <v>4</v>
      </c>
      <c r="E164" s="145">
        <f>SUMIFS(Table2[NewPointsAway],Table2[GameDate], "&lt;=" &amp; $A164, Table2[AwayTeam], E$1)+SUMIFS(Table2[NewPointsHome],Table2[GameDate], "&lt;=" &amp; $A164, Table2[HomeTeam], E$1)</f>
        <v>10</v>
      </c>
      <c r="F164" s="145">
        <f>SUMIFS(Table2[NewPointsAway],Table2[GameDate], "&lt;=" &amp; $A164, Table2[AwayTeam], F$1)+SUMIFS(Table2[NewPointsHome],Table2[GameDate], "&lt;=" &amp; $A164, Table2[HomeTeam], F$1)</f>
        <v>6</v>
      </c>
      <c r="G164" s="145">
        <f>SUMIFS(Table2[NewPointsAway],Table2[GameDate], "&lt;=" &amp; $A164, Table2[AwayTeam], G$1)+SUMIFS(Table2[NewPointsHome],Table2[GameDate], "&lt;=" &amp; $A164, Table2[HomeTeam], G$1)</f>
        <v>2</v>
      </c>
      <c r="H164" s="145">
        <f>SUMIFS(Table2[NewPointsAway],Table2[GameDate], "&lt;=" &amp; $A164, Table2[AwayTeam], H$1)+SUMIFS(Table2[NewPointsHome],Table2[GameDate], "&lt;=" &amp; $A164, Table2[HomeTeam], H$1)</f>
        <v>8</v>
      </c>
      <c r="I164" s="145">
        <f>SUMIFS(Table2[NewPointsAway],Table2[GameDate], "&lt;=" &amp; $A164, Table2[AwayTeam], I$1)+SUMIFS(Table2[NewPointsHome],Table2[GameDate], "&lt;=" &amp; $A164, Table2[HomeTeam], I$1)</f>
        <v>12</v>
      </c>
      <c r="J164" s="145">
        <f>SUMIFS(Table2[NewPointsAway],Table2[GameDate], "&lt;=" &amp; $A164, Table2[AwayTeam], J$1)+SUMIFS(Table2[NewPointsHome],Table2[GameDate], "&lt;=" &amp; $A164, Table2[HomeTeam], J$1)</f>
        <v>6</v>
      </c>
      <c r="K164" s="145">
        <f>SUMIFS(Table2[NewPointsAway],Table2[GameDate], "&lt;=" &amp; $A164, Table2[AwayTeam], K$1)+SUMIFS(Table2[NewPointsHome],Table2[GameDate], "&lt;=" &amp; $A164, Table2[HomeTeam], K$1)</f>
        <v>10</v>
      </c>
      <c r="L164" s="145">
        <f>SUMIFS(Table2[NewPointsAway],Table2[GameDate], "&lt;=" &amp; $A164, Table2[AwayTeam], L$1)+SUMIFS(Table2[NewPointsHome],Table2[GameDate], "&lt;=" &amp; $A164, Table2[HomeTeam], L$1)</f>
        <v>7</v>
      </c>
      <c r="M164" s="145">
        <f>SUMIFS(Table2[NewPointsAway],Table2[GameDate], "&lt;=" &amp; $A164, Table2[AwayTeam], M$1)+SUMIFS(Table2[NewPointsHome],Table2[GameDate], "&lt;=" &amp; $A164, Table2[HomeTeam], M$1)</f>
        <v>8</v>
      </c>
      <c r="N164" s="145">
        <f>SUMIFS(Table2[NewPointsAway],Table2[GameDate], "&lt;=" &amp; $A164, Table2[AwayTeam], N$1)+SUMIFS(Table2[NewPointsHome],Table2[GameDate], "&lt;=" &amp; $A164, Table2[HomeTeam], N$1)</f>
        <v>6</v>
      </c>
      <c r="O164" s="145">
        <f>SUMIFS(Table2[NewPointsAway],Table2[GameDate], "&lt;=" &amp; $A164, Table2[AwayTeam], O$1)+SUMIFS(Table2[NewPointsHome],Table2[GameDate], "&lt;=" &amp; $A164, Table2[HomeTeam], O$1)</f>
        <v>7</v>
      </c>
      <c r="P164" s="145">
        <f>SUMIFS(Table2[NewPointsAway],Table2[GameDate], "&lt;=" &amp; $A164, Table2[AwayTeam], P$1)+SUMIFS(Table2[NewPointsHome],Table2[GameDate], "&lt;=" &amp; $A164, Table2[HomeTeam], P$1)</f>
        <v>10</v>
      </c>
      <c r="Q164" s="145">
        <f>SUMIFS(Table2[NewPointsAway],Table2[GameDate], "&lt;=" &amp; $A164, Table2[AwayTeam], Q$1)+SUMIFS(Table2[NewPointsHome],Table2[GameDate], "&lt;=" &amp; $A164, Table2[HomeTeam], Q$1)</f>
        <v>10</v>
      </c>
      <c r="R164" s="145">
        <f>SUMIFS(Table2[NewPointsAway],Table2[GameDate], "&lt;=" &amp; $A164, Table2[AwayTeam], R$1)+SUMIFS(Table2[NewPointsHome],Table2[GameDate], "&lt;=" &amp; $A164, Table2[HomeTeam], R$1)</f>
        <v>6</v>
      </c>
      <c r="S164" s="145">
        <f>SUMIFS(Table2[NewPointsAway],Table2[GameDate], "&lt;=" &amp; $A164, Table2[AwayTeam], S$1)+SUMIFS(Table2[NewPointsHome],Table2[GameDate], "&lt;=" &amp; $A164, Table2[HomeTeam], S$1)</f>
        <v>6</v>
      </c>
      <c r="T164" s="145">
        <f>SUMIFS(Table2[NewPointsAway],Table2[GameDate], "&lt;=" &amp; $A164, Table2[AwayTeam], T$1)+SUMIFS(Table2[NewPointsHome],Table2[GameDate], "&lt;=" &amp; $A164, Table2[HomeTeam], T$1)</f>
        <v>7</v>
      </c>
      <c r="U164" s="145">
        <f>SUMIFS(Table2[NewPointsAway],Table2[GameDate], "&lt;=" &amp; $A164, Table2[AwayTeam], U$1)+SUMIFS(Table2[NewPointsHome],Table2[GameDate], "&lt;=" &amp; $A164, Table2[HomeTeam], U$1)</f>
        <v>5</v>
      </c>
      <c r="V164" s="145">
        <f>SUMIFS(Table2[NewPointsAway],Table2[GameDate], "&lt;=" &amp; $A164, Table2[AwayTeam], V$1)+SUMIFS(Table2[NewPointsHome],Table2[GameDate], "&lt;=" &amp; $A164, Table2[HomeTeam], V$1)</f>
        <v>7</v>
      </c>
      <c r="W164" s="145">
        <f>SUMIFS(Table2[NewPointsAway],Table2[GameDate], "&lt;=" &amp; $A164, Table2[AwayTeam], W$1)+SUMIFS(Table2[NewPointsHome],Table2[GameDate], "&lt;=" &amp; $A164, Table2[HomeTeam], W$1)</f>
        <v>10</v>
      </c>
      <c r="X164" s="145">
        <f>SUMIFS(Table2[NewPointsAway],Table2[GameDate], "&lt;=" &amp; $A164, Table2[AwayTeam], X$1)+SUMIFS(Table2[NewPointsHome],Table2[GameDate], "&lt;=" &amp; $A164, Table2[HomeTeam], X$1)</f>
        <v>8</v>
      </c>
      <c r="Y164" s="145">
        <f>SUMIFS(Table2[NewPointsAway],Table2[GameDate], "&lt;=" &amp; $A164, Table2[AwayTeam], Y$1)+SUMIFS(Table2[NewPointsHome],Table2[GameDate], "&lt;=" &amp; $A164, Table2[HomeTeam], Y$1)</f>
        <v>2</v>
      </c>
      <c r="Z164" s="145">
        <f>SUMIFS(Table2[NewPointsAway],Table2[GameDate], "&lt;=" &amp; $A164, Table2[AwayTeam], Z$1)+SUMIFS(Table2[NewPointsHome],Table2[GameDate], "&lt;=" &amp; $A164, Table2[HomeTeam], Z$1)</f>
        <v>7</v>
      </c>
      <c r="AA164" s="145">
        <f>SUMIFS(Table2[NewPointsAway],Table2[GameDate], "&lt;=" &amp; $A164, Table2[AwayTeam], AA$1)+SUMIFS(Table2[NewPointsHome],Table2[GameDate], "&lt;=" &amp; $A164, Table2[HomeTeam], AA$1)</f>
        <v>4</v>
      </c>
      <c r="AB164" s="145">
        <f>SUMIFS(Table2[NewPointsAway],Table2[GameDate], "&lt;=" &amp; $A164, Table2[AwayTeam], AB$1)+SUMIFS(Table2[NewPointsHome],Table2[GameDate], "&lt;=" &amp; $A164, Table2[HomeTeam], AB$1)</f>
        <v>7</v>
      </c>
      <c r="AC164" s="145">
        <f>SUMIFS(Table2[NewPointsAway],Table2[GameDate], "&lt;=" &amp; $A164, Table2[AwayTeam], AC$1)+SUMIFS(Table2[NewPointsHome],Table2[GameDate], "&lt;=" &amp; $A164, Table2[HomeTeam], AC$1)</f>
        <v>10</v>
      </c>
      <c r="AD164" s="145">
        <f>SUMIFS(Table2[NewPointsAway],Table2[GameDate], "&lt;=" &amp; $A164, Table2[AwayTeam], AD$1)+SUMIFS(Table2[NewPointsHome],Table2[GameDate], "&lt;=" &amp; $A164, Table2[HomeTeam], AD$1)</f>
        <v>8</v>
      </c>
      <c r="AE164" s="145">
        <f>SUMIFS(Table2[NewPointsAway],Table2[GameDate], "&lt;=" &amp; $A164, Table2[AwayTeam], AE$1)+SUMIFS(Table2[NewPointsHome],Table2[GameDate], "&lt;=" &amp; $A164, Table2[HomeTeam], AE$1)</f>
        <v>12</v>
      </c>
      <c r="AF164" s="145">
        <f>SUMIFS(Table2[NewPointsAway],Table2[GameDate], "&lt;=" &amp; $A164, Table2[AwayTeam], AF$1)+SUMIFS(Table2[NewPointsHome],Table2[GameDate], "&lt;=" &amp; $A164, Table2[HomeTeam], AF$1)</f>
        <v>10</v>
      </c>
      <c r="AG164" s="145">
        <f>SUMIFS(Table2[NewPointsAway],Table2[GameDate], "&lt;=" &amp; $A164, Table2[AwayTeam], AG$1)+SUMIFS(Table2[NewPointsHome],Table2[GameDate], "&lt;=" &amp; $A164, Table2[HomeTeam], AG$1)</f>
        <v>10</v>
      </c>
    </row>
    <row r="165" spans="1:33" x14ac:dyDescent="0.25">
      <c r="A165" s="3">
        <v>46096</v>
      </c>
      <c r="B165" s="145">
        <f>SUMIFS(Table2[NewPointsAway],Table2[GameDate], "&lt;=" &amp; $A165, Table2[AwayTeam], B$1)+SUMIFS(Table2[NewPointsHome],Table2[GameDate], "&lt;=" &amp; $A165, Table2[HomeTeam], B$1)</f>
        <v>7</v>
      </c>
      <c r="C165" s="145">
        <f>SUMIFS(Table2[NewPointsAway],Table2[GameDate], "&lt;=" &amp; $A165, Table2[AwayTeam], C$1)+SUMIFS(Table2[NewPointsHome],Table2[GameDate], "&lt;=" &amp; $A165, Table2[HomeTeam], C$1)</f>
        <v>6</v>
      </c>
      <c r="D165" s="145">
        <f>SUMIFS(Table2[NewPointsAway],Table2[GameDate], "&lt;=" &amp; $A165, Table2[AwayTeam], D$1)+SUMIFS(Table2[NewPointsHome],Table2[GameDate], "&lt;=" &amp; $A165, Table2[HomeTeam], D$1)</f>
        <v>4</v>
      </c>
      <c r="E165" s="145">
        <f>SUMIFS(Table2[NewPointsAway],Table2[GameDate], "&lt;=" &amp; $A165, Table2[AwayTeam], E$1)+SUMIFS(Table2[NewPointsHome],Table2[GameDate], "&lt;=" &amp; $A165, Table2[HomeTeam], E$1)</f>
        <v>10</v>
      </c>
      <c r="F165" s="145">
        <f>SUMIFS(Table2[NewPointsAway],Table2[GameDate], "&lt;=" &amp; $A165, Table2[AwayTeam], F$1)+SUMIFS(Table2[NewPointsHome],Table2[GameDate], "&lt;=" &amp; $A165, Table2[HomeTeam], F$1)</f>
        <v>6</v>
      </c>
      <c r="G165" s="145">
        <f>SUMIFS(Table2[NewPointsAway],Table2[GameDate], "&lt;=" &amp; $A165, Table2[AwayTeam], G$1)+SUMIFS(Table2[NewPointsHome],Table2[GameDate], "&lt;=" &amp; $A165, Table2[HomeTeam], G$1)</f>
        <v>2</v>
      </c>
      <c r="H165" s="145">
        <f>SUMIFS(Table2[NewPointsAway],Table2[GameDate], "&lt;=" &amp; $A165, Table2[AwayTeam], H$1)+SUMIFS(Table2[NewPointsHome],Table2[GameDate], "&lt;=" &amp; $A165, Table2[HomeTeam], H$1)</f>
        <v>8</v>
      </c>
      <c r="I165" s="145">
        <f>SUMIFS(Table2[NewPointsAway],Table2[GameDate], "&lt;=" &amp; $A165, Table2[AwayTeam], I$1)+SUMIFS(Table2[NewPointsHome],Table2[GameDate], "&lt;=" &amp; $A165, Table2[HomeTeam], I$1)</f>
        <v>12</v>
      </c>
      <c r="J165" s="145">
        <f>SUMIFS(Table2[NewPointsAway],Table2[GameDate], "&lt;=" &amp; $A165, Table2[AwayTeam], J$1)+SUMIFS(Table2[NewPointsHome],Table2[GameDate], "&lt;=" &amp; $A165, Table2[HomeTeam], J$1)</f>
        <v>6</v>
      </c>
      <c r="K165" s="145">
        <f>SUMIFS(Table2[NewPointsAway],Table2[GameDate], "&lt;=" &amp; $A165, Table2[AwayTeam], K$1)+SUMIFS(Table2[NewPointsHome],Table2[GameDate], "&lt;=" &amp; $A165, Table2[HomeTeam], K$1)</f>
        <v>10</v>
      </c>
      <c r="L165" s="145">
        <f>SUMIFS(Table2[NewPointsAway],Table2[GameDate], "&lt;=" &amp; $A165, Table2[AwayTeam], L$1)+SUMIFS(Table2[NewPointsHome],Table2[GameDate], "&lt;=" &amp; $A165, Table2[HomeTeam], L$1)</f>
        <v>7</v>
      </c>
      <c r="M165" s="145">
        <f>SUMIFS(Table2[NewPointsAway],Table2[GameDate], "&lt;=" &amp; $A165, Table2[AwayTeam], M$1)+SUMIFS(Table2[NewPointsHome],Table2[GameDate], "&lt;=" &amp; $A165, Table2[HomeTeam], M$1)</f>
        <v>8</v>
      </c>
      <c r="N165" s="145">
        <f>SUMIFS(Table2[NewPointsAway],Table2[GameDate], "&lt;=" &amp; $A165, Table2[AwayTeam], N$1)+SUMIFS(Table2[NewPointsHome],Table2[GameDate], "&lt;=" &amp; $A165, Table2[HomeTeam], N$1)</f>
        <v>6</v>
      </c>
      <c r="O165" s="145">
        <f>SUMIFS(Table2[NewPointsAway],Table2[GameDate], "&lt;=" &amp; $A165, Table2[AwayTeam], O$1)+SUMIFS(Table2[NewPointsHome],Table2[GameDate], "&lt;=" &amp; $A165, Table2[HomeTeam], O$1)</f>
        <v>7</v>
      </c>
      <c r="P165" s="145">
        <f>SUMIFS(Table2[NewPointsAway],Table2[GameDate], "&lt;=" &amp; $A165, Table2[AwayTeam], P$1)+SUMIFS(Table2[NewPointsHome],Table2[GameDate], "&lt;=" &amp; $A165, Table2[HomeTeam], P$1)</f>
        <v>10</v>
      </c>
      <c r="Q165" s="145">
        <f>SUMIFS(Table2[NewPointsAway],Table2[GameDate], "&lt;=" &amp; $A165, Table2[AwayTeam], Q$1)+SUMIFS(Table2[NewPointsHome],Table2[GameDate], "&lt;=" &amp; $A165, Table2[HomeTeam], Q$1)</f>
        <v>10</v>
      </c>
      <c r="R165" s="145">
        <f>SUMIFS(Table2[NewPointsAway],Table2[GameDate], "&lt;=" &amp; $A165, Table2[AwayTeam], R$1)+SUMIFS(Table2[NewPointsHome],Table2[GameDate], "&lt;=" &amp; $A165, Table2[HomeTeam], R$1)</f>
        <v>6</v>
      </c>
      <c r="S165" s="145">
        <f>SUMIFS(Table2[NewPointsAway],Table2[GameDate], "&lt;=" &amp; $A165, Table2[AwayTeam], S$1)+SUMIFS(Table2[NewPointsHome],Table2[GameDate], "&lt;=" &amp; $A165, Table2[HomeTeam], S$1)</f>
        <v>6</v>
      </c>
      <c r="T165" s="145">
        <f>SUMIFS(Table2[NewPointsAway],Table2[GameDate], "&lt;=" &amp; $A165, Table2[AwayTeam], T$1)+SUMIFS(Table2[NewPointsHome],Table2[GameDate], "&lt;=" &amp; $A165, Table2[HomeTeam], T$1)</f>
        <v>7</v>
      </c>
      <c r="U165" s="145">
        <f>SUMIFS(Table2[NewPointsAway],Table2[GameDate], "&lt;=" &amp; $A165, Table2[AwayTeam], U$1)+SUMIFS(Table2[NewPointsHome],Table2[GameDate], "&lt;=" &amp; $A165, Table2[HomeTeam], U$1)</f>
        <v>5</v>
      </c>
      <c r="V165" s="145">
        <f>SUMIFS(Table2[NewPointsAway],Table2[GameDate], "&lt;=" &amp; $A165, Table2[AwayTeam], V$1)+SUMIFS(Table2[NewPointsHome],Table2[GameDate], "&lt;=" &amp; $A165, Table2[HomeTeam], V$1)</f>
        <v>7</v>
      </c>
      <c r="W165" s="145">
        <f>SUMIFS(Table2[NewPointsAway],Table2[GameDate], "&lt;=" &amp; $A165, Table2[AwayTeam], W$1)+SUMIFS(Table2[NewPointsHome],Table2[GameDate], "&lt;=" &amp; $A165, Table2[HomeTeam], W$1)</f>
        <v>10</v>
      </c>
      <c r="X165" s="145">
        <f>SUMIFS(Table2[NewPointsAway],Table2[GameDate], "&lt;=" &amp; $A165, Table2[AwayTeam], X$1)+SUMIFS(Table2[NewPointsHome],Table2[GameDate], "&lt;=" &amp; $A165, Table2[HomeTeam], X$1)</f>
        <v>8</v>
      </c>
      <c r="Y165" s="145">
        <f>SUMIFS(Table2[NewPointsAway],Table2[GameDate], "&lt;=" &amp; $A165, Table2[AwayTeam], Y$1)+SUMIFS(Table2[NewPointsHome],Table2[GameDate], "&lt;=" &amp; $A165, Table2[HomeTeam], Y$1)</f>
        <v>2</v>
      </c>
      <c r="Z165" s="145">
        <f>SUMIFS(Table2[NewPointsAway],Table2[GameDate], "&lt;=" &amp; $A165, Table2[AwayTeam], Z$1)+SUMIFS(Table2[NewPointsHome],Table2[GameDate], "&lt;=" &amp; $A165, Table2[HomeTeam], Z$1)</f>
        <v>7</v>
      </c>
      <c r="AA165" s="145">
        <f>SUMIFS(Table2[NewPointsAway],Table2[GameDate], "&lt;=" &amp; $A165, Table2[AwayTeam], AA$1)+SUMIFS(Table2[NewPointsHome],Table2[GameDate], "&lt;=" &amp; $A165, Table2[HomeTeam], AA$1)</f>
        <v>4</v>
      </c>
      <c r="AB165" s="145">
        <f>SUMIFS(Table2[NewPointsAway],Table2[GameDate], "&lt;=" &amp; $A165, Table2[AwayTeam], AB$1)+SUMIFS(Table2[NewPointsHome],Table2[GameDate], "&lt;=" &amp; $A165, Table2[HomeTeam], AB$1)</f>
        <v>7</v>
      </c>
      <c r="AC165" s="145">
        <f>SUMIFS(Table2[NewPointsAway],Table2[GameDate], "&lt;=" &amp; $A165, Table2[AwayTeam], AC$1)+SUMIFS(Table2[NewPointsHome],Table2[GameDate], "&lt;=" &amp; $A165, Table2[HomeTeam], AC$1)</f>
        <v>10</v>
      </c>
      <c r="AD165" s="145">
        <f>SUMIFS(Table2[NewPointsAway],Table2[GameDate], "&lt;=" &amp; $A165, Table2[AwayTeam], AD$1)+SUMIFS(Table2[NewPointsHome],Table2[GameDate], "&lt;=" &amp; $A165, Table2[HomeTeam], AD$1)</f>
        <v>8</v>
      </c>
      <c r="AE165" s="145">
        <f>SUMIFS(Table2[NewPointsAway],Table2[GameDate], "&lt;=" &amp; $A165, Table2[AwayTeam], AE$1)+SUMIFS(Table2[NewPointsHome],Table2[GameDate], "&lt;=" &amp; $A165, Table2[HomeTeam], AE$1)</f>
        <v>12</v>
      </c>
      <c r="AF165" s="145">
        <f>SUMIFS(Table2[NewPointsAway],Table2[GameDate], "&lt;=" &amp; $A165, Table2[AwayTeam], AF$1)+SUMIFS(Table2[NewPointsHome],Table2[GameDate], "&lt;=" &amp; $A165, Table2[HomeTeam], AF$1)</f>
        <v>10</v>
      </c>
      <c r="AG165" s="145">
        <f>SUMIFS(Table2[NewPointsAway],Table2[GameDate], "&lt;=" &amp; $A165, Table2[AwayTeam], AG$1)+SUMIFS(Table2[NewPointsHome],Table2[GameDate], "&lt;=" &amp; $A165, Table2[HomeTeam], AG$1)</f>
        <v>10</v>
      </c>
    </row>
    <row r="166" spans="1:33" x14ac:dyDescent="0.25">
      <c r="A166" s="3">
        <v>46097</v>
      </c>
      <c r="B166" s="145">
        <f>SUMIFS(Table2[NewPointsAway],Table2[GameDate], "&lt;=" &amp; $A166, Table2[AwayTeam], B$1)+SUMIFS(Table2[NewPointsHome],Table2[GameDate], "&lt;=" &amp; $A166, Table2[HomeTeam], B$1)</f>
        <v>7</v>
      </c>
      <c r="C166" s="145">
        <f>SUMIFS(Table2[NewPointsAway],Table2[GameDate], "&lt;=" &amp; $A166, Table2[AwayTeam], C$1)+SUMIFS(Table2[NewPointsHome],Table2[GameDate], "&lt;=" &amp; $A166, Table2[HomeTeam], C$1)</f>
        <v>6</v>
      </c>
      <c r="D166" s="145">
        <f>SUMIFS(Table2[NewPointsAway],Table2[GameDate], "&lt;=" &amp; $A166, Table2[AwayTeam], D$1)+SUMIFS(Table2[NewPointsHome],Table2[GameDate], "&lt;=" &amp; $A166, Table2[HomeTeam], D$1)</f>
        <v>4</v>
      </c>
      <c r="E166" s="145">
        <f>SUMIFS(Table2[NewPointsAway],Table2[GameDate], "&lt;=" &amp; $A166, Table2[AwayTeam], E$1)+SUMIFS(Table2[NewPointsHome],Table2[GameDate], "&lt;=" &amp; $A166, Table2[HomeTeam], E$1)</f>
        <v>10</v>
      </c>
      <c r="F166" s="145">
        <f>SUMIFS(Table2[NewPointsAway],Table2[GameDate], "&lt;=" &amp; $A166, Table2[AwayTeam], F$1)+SUMIFS(Table2[NewPointsHome],Table2[GameDate], "&lt;=" &amp; $A166, Table2[HomeTeam], F$1)</f>
        <v>6</v>
      </c>
      <c r="G166" s="145">
        <f>SUMIFS(Table2[NewPointsAway],Table2[GameDate], "&lt;=" &amp; $A166, Table2[AwayTeam], G$1)+SUMIFS(Table2[NewPointsHome],Table2[GameDate], "&lt;=" &amp; $A166, Table2[HomeTeam], G$1)</f>
        <v>2</v>
      </c>
      <c r="H166" s="145">
        <f>SUMIFS(Table2[NewPointsAway],Table2[GameDate], "&lt;=" &amp; $A166, Table2[AwayTeam], H$1)+SUMIFS(Table2[NewPointsHome],Table2[GameDate], "&lt;=" &amp; $A166, Table2[HomeTeam], H$1)</f>
        <v>8</v>
      </c>
      <c r="I166" s="145">
        <f>SUMIFS(Table2[NewPointsAway],Table2[GameDate], "&lt;=" &amp; $A166, Table2[AwayTeam], I$1)+SUMIFS(Table2[NewPointsHome],Table2[GameDate], "&lt;=" &amp; $A166, Table2[HomeTeam], I$1)</f>
        <v>12</v>
      </c>
      <c r="J166" s="145">
        <f>SUMIFS(Table2[NewPointsAway],Table2[GameDate], "&lt;=" &amp; $A166, Table2[AwayTeam], J$1)+SUMIFS(Table2[NewPointsHome],Table2[GameDate], "&lt;=" &amp; $A166, Table2[HomeTeam], J$1)</f>
        <v>6</v>
      </c>
      <c r="K166" s="145">
        <f>SUMIFS(Table2[NewPointsAway],Table2[GameDate], "&lt;=" &amp; $A166, Table2[AwayTeam], K$1)+SUMIFS(Table2[NewPointsHome],Table2[GameDate], "&lt;=" &amp; $A166, Table2[HomeTeam], K$1)</f>
        <v>10</v>
      </c>
      <c r="L166" s="145">
        <f>SUMIFS(Table2[NewPointsAway],Table2[GameDate], "&lt;=" &amp; $A166, Table2[AwayTeam], L$1)+SUMIFS(Table2[NewPointsHome],Table2[GameDate], "&lt;=" &amp; $A166, Table2[HomeTeam], L$1)</f>
        <v>7</v>
      </c>
      <c r="M166" s="145">
        <f>SUMIFS(Table2[NewPointsAway],Table2[GameDate], "&lt;=" &amp; $A166, Table2[AwayTeam], M$1)+SUMIFS(Table2[NewPointsHome],Table2[GameDate], "&lt;=" &amp; $A166, Table2[HomeTeam], M$1)</f>
        <v>8</v>
      </c>
      <c r="N166" s="145">
        <f>SUMIFS(Table2[NewPointsAway],Table2[GameDate], "&lt;=" &amp; $A166, Table2[AwayTeam], N$1)+SUMIFS(Table2[NewPointsHome],Table2[GameDate], "&lt;=" &amp; $A166, Table2[HomeTeam], N$1)</f>
        <v>6</v>
      </c>
      <c r="O166" s="145">
        <f>SUMIFS(Table2[NewPointsAway],Table2[GameDate], "&lt;=" &amp; $A166, Table2[AwayTeam], O$1)+SUMIFS(Table2[NewPointsHome],Table2[GameDate], "&lt;=" &amp; $A166, Table2[HomeTeam], O$1)</f>
        <v>7</v>
      </c>
      <c r="P166" s="145">
        <f>SUMIFS(Table2[NewPointsAway],Table2[GameDate], "&lt;=" &amp; $A166, Table2[AwayTeam], P$1)+SUMIFS(Table2[NewPointsHome],Table2[GameDate], "&lt;=" &amp; $A166, Table2[HomeTeam], P$1)</f>
        <v>10</v>
      </c>
      <c r="Q166" s="145">
        <f>SUMIFS(Table2[NewPointsAway],Table2[GameDate], "&lt;=" &amp; $A166, Table2[AwayTeam], Q$1)+SUMIFS(Table2[NewPointsHome],Table2[GameDate], "&lt;=" &amp; $A166, Table2[HomeTeam], Q$1)</f>
        <v>10</v>
      </c>
      <c r="R166" s="145">
        <f>SUMIFS(Table2[NewPointsAway],Table2[GameDate], "&lt;=" &amp; $A166, Table2[AwayTeam], R$1)+SUMIFS(Table2[NewPointsHome],Table2[GameDate], "&lt;=" &amp; $A166, Table2[HomeTeam], R$1)</f>
        <v>6</v>
      </c>
      <c r="S166" s="145">
        <f>SUMIFS(Table2[NewPointsAway],Table2[GameDate], "&lt;=" &amp; $A166, Table2[AwayTeam], S$1)+SUMIFS(Table2[NewPointsHome],Table2[GameDate], "&lt;=" &amp; $A166, Table2[HomeTeam], S$1)</f>
        <v>6</v>
      </c>
      <c r="T166" s="145">
        <f>SUMIFS(Table2[NewPointsAway],Table2[GameDate], "&lt;=" &amp; $A166, Table2[AwayTeam], T$1)+SUMIFS(Table2[NewPointsHome],Table2[GameDate], "&lt;=" &amp; $A166, Table2[HomeTeam], T$1)</f>
        <v>7</v>
      </c>
      <c r="U166" s="145">
        <f>SUMIFS(Table2[NewPointsAway],Table2[GameDate], "&lt;=" &amp; $A166, Table2[AwayTeam], U$1)+SUMIFS(Table2[NewPointsHome],Table2[GameDate], "&lt;=" &amp; $A166, Table2[HomeTeam], U$1)</f>
        <v>5</v>
      </c>
      <c r="V166" s="145">
        <f>SUMIFS(Table2[NewPointsAway],Table2[GameDate], "&lt;=" &amp; $A166, Table2[AwayTeam], V$1)+SUMIFS(Table2[NewPointsHome],Table2[GameDate], "&lt;=" &amp; $A166, Table2[HomeTeam], V$1)</f>
        <v>7</v>
      </c>
      <c r="W166" s="145">
        <f>SUMIFS(Table2[NewPointsAway],Table2[GameDate], "&lt;=" &amp; $A166, Table2[AwayTeam], W$1)+SUMIFS(Table2[NewPointsHome],Table2[GameDate], "&lt;=" &amp; $A166, Table2[HomeTeam], W$1)</f>
        <v>10</v>
      </c>
      <c r="X166" s="145">
        <f>SUMIFS(Table2[NewPointsAway],Table2[GameDate], "&lt;=" &amp; $A166, Table2[AwayTeam], X$1)+SUMIFS(Table2[NewPointsHome],Table2[GameDate], "&lt;=" &amp; $A166, Table2[HomeTeam], X$1)</f>
        <v>8</v>
      </c>
      <c r="Y166" s="145">
        <f>SUMIFS(Table2[NewPointsAway],Table2[GameDate], "&lt;=" &amp; $A166, Table2[AwayTeam], Y$1)+SUMIFS(Table2[NewPointsHome],Table2[GameDate], "&lt;=" &amp; $A166, Table2[HomeTeam], Y$1)</f>
        <v>2</v>
      </c>
      <c r="Z166" s="145">
        <f>SUMIFS(Table2[NewPointsAway],Table2[GameDate], "&lt;=" &amp; $A166, Table2[AwayTeam], Z$1)+SUMIFS(Table2[NewPointsHome],Table2[GameDate], "&lt;=" &amp; $A166, Table2[HomeTeam], Z$1)</f>
        <v>7</v>
      </c>
      <c r="AA166" s="145">
        <f>SUMIFS(Table2[NewPointsAway],Table2[GameDate], "&lt;=" &amp; $A166, Table2[AwayTeam], AA$1)+SUMIFS(Table2[NewPointsHome],Table2[GameDate], "&lt;=" &amp; $A166, Table2[HomeTeam], AA$1)</f>
        <v>4</v>
      </c>
      <c r="AB166" s="145">
        <f>SUMIFS(Table2[NewPointsAway],Table2[GameDate], "&lt;=" &amp; $A166, Table2[AwayTeam], AB$1)+SUMIFS(Table2[NewPointsHome],Table2[GameDate], "&lt;=" &amp; $A166, Table2[HomeTeam], AB$1)</f>
        <v>7</v>
      </c>
      <c r="AC166" s="145">
        <f>SUMIFS(Table2[NewPointsAway],Table2[GameDate], "&lt;=" &amp; $A166, Table2[AwayTeam], AC$1)+SUMIFS(Table2[NewPointsHome],Table2[GameDate], "&lt;=" &amp; $A166, Table2[HomeTeam], AC$1)</f>
        <v>10</v>
      </c>
      <c r="AD166" s="145">
        <f>SUMIFS(Table2[NewPointsAway],Table2[GameDate], "&lt;=" &amp; $A166, Table2[AwayTeam], AD$1)+SUMIFS(Table2[NewPointsHome],Table2[GameDate], "&lt;=" &amp; $A166, Table2[HomeTeam], AD$1)</f>
        <v>8</v>
      </c>
      <c r="AE166" s="145">
        <f>SUMIFS(Table2[NewPointsAway],Table2[GameDate], "&lt;=" &amp; $A166, Table2[AwayTeam], AE$1)+SUMIFS(Table2[NewPointsHome],Table2[GameDate], "&lt;=" &amp; $A166, Table2[HomeTeam], AE$1)</f>
        <v>12</v>
      </c>
      <c r="AF166" s="145">
        <f>SUMIFS(Table2[NewPointsAway],Table2[GameDate], "&lt;=" &amp; $A166, Table2[AwayTeam], AF$1)+SUMIFS(Table2[NewPointsHome],Table2[GameDate], "&lt;=" &amp; $A166, Table2[HomeTeam], AF$1)</f>
        <v>10</v>
      </c>
      <c r="AG166" s="145">
        <f>SUMIFS(Table2[NewPointsAway],Table2[GameDate], "&lt;=" &amp; $A166, Table2[AwayTeam], AG$1)+SUMIFS(Table2[NewPointsHome],Table2[GameDate], "&lt;=" &amp; $A166, Table2[HomeTeam], AG$1)</f>
        <v>10</v>
      </c>
    </row>
    <row r="167" spans="1:33" x14ac:dyDescent="0.25">
      <c r="A167" s="3">
        <v>46098</v>
      </c>
      <c r="B167" s="145">
        <f>SUMIFS(Table2[NewPointsAway],Table2[GameDate], "&lt;=" &amp; $A167, Table2[AwayTeam], B$1)+SUMIFS(Table2[NewPointsHome],Table2[GameDate], "&lt;=" &amp; $A167, Table2[HomeTeam], B$1)</f>
        <v>7</v>
      </c>
      <c r="C167" s="145">
        <f>SUMIFS(Table2[NewPointsAway],Table2[GameDate], "&lt;=" &amp; $A167, Table2[AwayTeam], C$1)+SUMIFS(Table2[NewPointsHome],Table2[GameDate], "&lt;=" &amp; $A167, Table2[HomeTeam], C$1)</f>
        <v>6</v>
      </c>
      <c r="D167" s="145">
        <f>SUMIFS(Table2[NewPointsAway],Table2[GameDate], "&lt;=" &amp; $A167, Table2[AwayTeam], D$1)+SUMIFS(Table2[NewPointsHome],Table2[GameDate], "&lt;=" &amp; $A167, Table2[HomeTeam], D$1)</f>
        <v>4</v>
      </c>
      <c r="E167" s="145">
        <f>SUMIFS(Table2[NewPointsAway],Table2[GameDate], "&lt;=" &amp; $A167, Table2[AwayTeam], E$1)+SUMIFS(Table2[NewPointsHome],Table2[GameDate], "&lt;=" &amp; $A167, Table2[HomeTeam], E$1)</f>
        <v>10</v>
      </c>
      <c r="F167" s="145">
        <f>SUMIFS(Table2[NewPointsAway],Table2[GameDate], "&lt;=" &amp; $A167, Table2[AwayTeam], F$1)+SUMIFS(Table2[NewPointsHome],Table2[GameDate], "&lt;=" &amp; $A167, Table2[HomeTeam], F$1)</f>
        <v>6</v>
      </c>
      <c r="G167" s="145">
        <f>SUMIFS(Table2[NewPointsAway],Table2[GameDate], "&lt;=" &amp; $A167, Table2[AwayTeam], G$1)+SUMIFS(Table2[NewPointsHome],Table2[GameDate], "&lt;=" &amp; $A167, Table2[HomeTeam], G$1)</f>
        <v>2</v>
      </c>
      <c r="H167" s="145">
        <f>SUMIFS(Table2[NewPointsAway],Table2[GameDate], "&lt;=" &amp; $A167, Table2[AwayTeam], H$1)+SUMIFS(Table2[NewPointsHome],Table2[GameDate], "&lt;=" &amp; $A167, Table2[HomeTeam], H$1)</f>
        <v>8</v>
      </c>
      <c r="I167" s="145">
        <f>SUMIFS(Table2[NewPointsAway],Table2[GameDate], "&lt;=" &amp; $A167, Table2[AwayTeam], I$1)+SUMIFS(Table2[NewPointsHome],Table2[GameDate], "&lt;=" &amp; $A167, Table2[HomeTeam], I$1)</f>
        <v>12</v>
      </c>
      <c r="J167" s="145">
        <f>SUMIFS(Table2[NewPointsAway],Table2[GameDate], "&lt;=" &amp; $A167, Table2[AwayTeam], J$1)+SUMIFS(Table2[NewPointsHome],Table2[GameDate], "&lt;=" &amp; $A167, Table2[HomeTeam], J$1)</f>
        <v>6</v>
      </c>
      <c r="K167" s="145">
        <f>SUMIFS(Table2[NewPointsAway],Table2[GameDate], "&lt;=" &amp; $A167, Table2[AwayTeam], K$1)+SUMIFS(Table2[NewPointsHome],Table2[GameDate], "&lt;=" &amp; $A167, Table2[HomeTeam], K$1)</f>
        <v>10</v>
      </c>
      <c r="L167" s="145">
        <f>SUMIFS(Table2[NewPointsAway],Table2[GameDate], "&lt;=" &amp; $A167, Table2[AwayTeam], L$1)+SUMIFS(Table2[NewPointsHome],Table2[GameDate], "&lt;=" &amp; $A167, Table2[HomeTeam], L$1)</f>
        <v>7</v>
      </c>
      <c r="M167" s="145">
        <f>SUMIFS(Table2[NewPointsAway],Table2[GameDate], "&lt;=" &amp; $A167, Table2[AwayTeam], M$1)+SUMIFS(Table2[NewPointsHome],Table2[GameDate], "&lt;=" &amp; $A167, Table2[HomeTeam], M$1)</f>
        <v>8</v>
      </c>
      <c r="N167" s="145">
        <f>SUMIFS(Table2[NewPointsAway],Table2[GameDate], "&lt;=" &amp; $A167, Table2[AwayTeam], N$1)+SUMIFS(Table2[NewPointsHome],Table2[GameDate], "&lt;=" &amp; $A167, Table2[HomeTeam], N$1)</f>
        <v>6</v>
      </c>
      <c r="O167" s="145">
        <f>SUMIFS(Table2[NewPointsAway],Table2[GameDate], "&lt;=" &amp; $A167, Table2[AwayTeam], O$1)+SUMIFS(Table2[NewPointsHome],Table2[GameDate], "&lt;=" &amp; $A167, Table2[HomeTeam], O$1)</f>
        <v>7</v>
      </c>
      <c r="P167" s="145">
        <f>SUMIFS(Table2[NewPointsAway],Table2[GameDate], "&lt;=" &amp; $A167, Table2[AwayTeam], P$1)+SUMIFS(Table2[NewPointsHome],Table2[GameDate], "&lt;=" &amp; $A167, Table2[HomeTeam], P$1)</f>
        <v>10</v>
      </c>
      <c r="Q167" s="145">
        <f>SUMIFS(Table2[NewPointsAway],Table2[GameDate], "&lt;=" &amp; $A167, Table2[AwayTeam], Q$1)+SUMIFS(Table2[NewPointsHome],Table2[GameDate], "&lt;=" &amp; $A167, Table2[HomeTeam], Q$1)</f>
        <v>10</v>
      </c>
      <c r="R167" s="145">
        <f>SUMIFS(Table2[NewPointsAway],Table2[GameDate], "&lt;=" &amp; $A167, Table2[AwayTeam], R$1)+SUMIFS(Table2[NewPointsHome],Table2[GameDate], "&lt;=" &amp; $A167, Table2[HomeTeam], R$1)</f>
        <v>6</v>
      </c>
      <c r="S167" s="145">
        <f>SUMIFS(Table2[NewPointsAway],Table2[GameDate], "&lt;=" &amp; $A167, Table2[AwayTeam], S$1)+SUMIFS(Table2[NewPointsHome],Table2[GameDate], "&lt;=" &amp; $A167, Table2[HomeTeam], S$1)</f>
        <v>6</v>
      </c>
      <c r="T167" s="145">
        <f>SUMIFS(Table2[NewPointsAway],Table2[GameDate], "&lt;=" &amp; $A167, Table2[AwayTeam], T$1)+SUMIFS(Table2[NewPointsHome],Table2[GameDate], "&lt;=" &amp; $A167, Table2[HomeTeam], T$1)</f>
        <v>7</v>
      </c>
      <c r="U167" s="145">
        <f>SUMIFS(Table2[NewPointsAway],Table2[GameDate], "&lt;=" &amp; $A167, Table2[AwayTeam], U$1)+SUMIFS(Table2[NewPointsHome],Table2[GameDate], "&lt;=" &amp; $A167, Table2[HomeTeam], U$1)</f>
        <v>5</v>
      </c>
      <c r="V167" s="145">
        <f>SUMIFS(Table2[NewPointsAway],Table2[GameDate], "&lt;=" &amp; $A167, Table2[AwayTeam], V$1)+SUMIFS(Table2[NewPointsHome],Table2[GameDate], "&lt;=" &amp; $A167, Table2[HomeTeam], V$1)</f>
        <v>7</v>
      </c>
      <c r="W167" s="145">
        <f>SUMIFS(Table2[NewPointsAway],Table2[GameDate], "&lt;=" &amp; $A167, Table2[AwayTeam], W$1)+SUMIFS(Table2[NewPointsHome],Table2[GameDate], "&lt;=" &amp; $A167, Table2[HomeTeam], W$1)</f>
        <v>10</v>
      </c>
      <c r="X167" s="145">
        <f>SUMIFS(Table2[NewPointsAway],Table2[GameDate], "&lt;=" &amp; $A167, Table2[AwayTeam], X$1)+SUMIFS(Table2[NewPointsHome],Table2[GameDate], "&lt;=" &amp; $A167, Table2[HomeTeam], X$1)</f>
        <v>8</v>
      </c>
      <c r="Y167" s="145">
        <f>SUMIFS(Table2[NewPointsAway],Table2[GameDate], "&lt;=" &amp; $A167, Table2[AwayTeam], Y$1)+SUMIFS(Table2[NewPointsHome],Table2[GameDate], "&lt;=" &amp; $A167, Table2[HomeTeam], Y$1)</f>
        <v>2</v>
      </c>
      <c r="Z167" s="145">
        <f>SUMIFS(Table2[NewPointsAway],Table2[GameDate], "&lt;=" &amp; $A167, Table2[AwayTeam], Z$1)+SUMIFS(Table2[NewPointsHome],Table2[GameDate], "&lt;=" &amp; $A167, Table2[HomeTeam], Z$1)</f>
        <v>7</v>
      </c>
      <c r="AA167" s="145">
        <f>SUMIFS(Table2[NewPointsAway],Table2[GameDate], "&lt;=" &amp; $A167, Table2[AwayTeam], AA$1)+SUMIFS(Table2[NewPointsHome],Table2[GameDate], "&lt;=" &amp; $A167, Table2[HomeTeam], AA$1)</f>
        <v>4</v>
      </c>
      <c r="AB167" s="145">
        <f>SUMIFS(Table2[NewPointsAway],Table2[GameDate], "&lt;=" &amp; $A167, Table2[AwayTeam], AB$1)+SUMIFS(Table2[NewPointsHome],Table2[GameDate], "&lt;=" &amp; $A167, Table2[HomeTeam], AB$1)</f>
        <v>7</v>
      </c>
      <c r="AC167" s="145">
        <f>SUMIFS(Table2[NewPointsAway],Table2[GameDate], "&lt;=" &amp; $A167, Table2[AwayTeam], AC$1)+SUMIFS(Table2[NewPointsHome],Table2[GameDate], "&lt;=" &amp; $A167, Table2[HomeTeam], AC$1)</f>
        <v>10</v>
      </c>
      <c r="AD167" s="145">
        <f>SUMIFS(Table2[NewPointsAway],Table2[GameDate], "&lt;=" &amp; $A167, Table2[AwayTeam], AD$1)+SUMIFS(Table2[NewPointsHome],Table2[GameDate], "&lt;=" &amp; $A167, Table2[HomeTeam], AD$1)</f>
        <v>8</v>
      </c>
      <c r="AE167" s="145">
        <f>SUMIFS(Table2[NewPointsAway],Table2[GameDate], "&lt;=" &amp; $A167, Table2[AwayTeam], AE$1)+SUMIFS(Table2[NewPointsHome],Table2[GameDate], "&lt;=" &amp; $A167, Table2[HomeTeam], AE$1)</f>
        <v>12</v>
      </c>
      <c r="AF167" s="145">
        <f>SUMIFS(Table2[NewPointsAway],Table2[GameDate], "&lt;=" &amp; $A167, Table2[AwayTeam], AF$1)+SUMIFS(Table2[NewPointsHome],Table2[GameDate], "&lt;=" &amp; $A167, Table2[HomeTeam], AF$1)</f>
        <v>10</v>
      </c>
      <c r="AG167" s="145">
        <f>SUMIFS(Table2[NewPointsAway],Table2[GameDate], "&lt;=" &amp; $A167, Table2[AwayTeam], AG$1)+SUMIFS(Table2[NewPointsHome],Table2[GameDate], "&lt;=" &amp; $A167, Table2[HomeTeam], AG$1)</f>
        <v>10</v>
      </c>
    </row>
    <row r="168" spans="1:33" x14ac:dyDescent="0.25">
      <c r="A168" s="3">
        <v>46099</v>
      </c>
      <c r="B168" s="145">
        <f>SUMIFS(Table2[NewPointsAway],Table2[GameDate], "&lt;=" &amp; $A168, Table2[AwayTeam], B$1)+SUMIFS(Table2[NewPointsHome],Table2[GameDate], "&lt;=" &amp; $A168, Table2[HomeTeam], B$1)</f>
        <v>7</v>
      </c>
      <c r="C168" s="145">
        <f>SUMIFS(Table2[NewPointsAway],Table2[GameDate], "&lt;=" &amp; $A168, Table2[AwayTeam], C$1)+SUMIFS(Table2[NewPointsHome],Table2[GameDate], "&lt;=" &amp; $A168, Table2[HomeTeam], C$1)</f>
        <v>6</v>
      </c>
      <c r="D168" s="145">
        <f>SUMIFS(Table2[NewPointsAway],Table2[GameDate], "&lt;=" &amp; $A168, Table2[AwayTeam], D$1)+SUMIFS(Table2[NewPointsHome],Table2[GameDate], "&lt;=" &amp; $A168, Table2[HomeTeam], D$1)</f>
        <v>4</v>
      </c>
      <c r="E168" s="145">
        <f>SUMIFS(Table2[NewPointsAway],Table2[GameDate], "&lt;=" &amp; $A168, Table2[AwayTeam], E$1)+SUMIFS(Table2[NewPointsHome],Table2[GameDate], "&lt;=" &amp; $A168, Table2[HomeTeam], E$1)</f>
        <v>10</v>
      </c>
      <c r="F168" s="145">
        <f>SUMIFS(Table2[NewPointsAway],Table2[GameDate], "&lt;=" &amp; $A168, Table2[AwayTeam], F$1)+SUMIFS(Table2[NewPointsHome],Table2[GameDate], "&lt;=" &amp; $A168, Table2[HomeTeam], F$1)</f>
        <v>6</v>
      </c>
      <c r="G168" s="145">
        <f>SUMIFS(Table2[NewPointsAway],Table2[GameDate], "&lt;=" &amp; $A168, Table2[AwayTeam], G$1)+SUMIFS(Table2[NewPointsHome],Table2[GameDate], "&lt;=" &amp; $A168, Table2[HomeTeam], G$1)</f>
        <v>2</v>
      </c>
      <c r="H168" s="145">
        <f>SUMIFS(Table2[NewPointsAway],Table2[GameDate], "&lt;=" &amp; $A168, Table2[AwayTeam], H$1)+SUMIFS(Table2[NewPointsHome],Table2[GameDate], "&lt;=" &amp; $A168, Table2[HomeTeam], H$1)</f>
        <v>8</v>
      </c>
      <c r="I168" s="145">
        <f>SUMIFS(Table2[NewPointsAway],Table2[GameDate], "&lt;=" &amp; $A168, Table2[AwayTeam], I$1)+SUMIFS(Table2[NewPointsHome],Table2[GameDate], "&lt;=" &amp; $A168, Table2[HomeTeam], I$1)</f>
        <v>12</v>
      </c>
      <c r="J168" s="145">
        <f>SUMIFS(Table2[NewPointsAway],Table2[GameDate], "&lt;=" &amp; $A168, Table2[AwayTeam], J$1)+SUMIFS(Table2[NewPointsHome],Table2[GameDate], "&lt;=" &amp; $A168, Table2[HomeTeam], J$1)</f>
        <v>6</v>
      </c>
      <c r="K168" s="145">
        <f>SUMIFS(Table2[NewPointsAway],Table2[GameDate], "&lt;=" &amp; $A168, Table2[AwayTeam], K$1)+SUMIFS(Table2[NewPointsHome],Table2[GameDate], "&lt;=" &amp; $A168, Table2[HomeTeam], K$1)</f>
        <v>10</v>
      </c>
      <c r="L168" s="145">
        <f>SUMIFS(Table2[NewPointsAway],Table2[GameDate], "&lt;=" &amp; $A168, Table2[AwayTeam], L$1)+SUMIFS(Table2[NewPointsHome],Table2[GameDate], "&lt;=" &amp; $A168, Table2[HomeTeam], L$1)</f>
        <v>7</v>
      </c>
      <c r="M168" s="145">
        <f>SUMIFS(Table2[NewPointsAway],Table2[GameDate], "&lt;=" &amp; $A168, Table2[AwayTeam], M$1)+SUMIFS(Table2[NewPointsHome],Table2[GameDate], "&lt;=" &amp; $A168, Table2[HomeTeam], M$1)</f>
        <v>8</v>
      </c>
      <c r="N168" s="145">
        <f>SUMIFS(Table2[NewPointsAway],Table2[GameDate], "&lt;=" &amp; $A168, Table2[AwayTeam], N$1)+SUMIFS(Table2[NewPointsHome],Table2[GameDate], "&lt;=" &amp; $A168, Table2[HomeTeam], N$1)</f>
        <v>6</v>
      </c>
      <c r="O168" s="145">
        <f>SUMIFS(Table2[NewPointsAway],Table2[GameDate], "&lt;=" &amp; $A168, Table2[AwayTeam], O$1)+SUMIFS(Table2[NewPointsHome],Table2[GameDate], "&lt;=" &amp; $A168, Table2[HomeTeam], O$1)</f>
        <v>7</v>
      </c>
      <c r="P168" s="145">
        <f>SUMIFS(Table2[NewPointsAway],Table2[GameDate], "&lt;=" &amp; $A168, Table2[AwayTeam], P$1)+SUMIFS(Table2[NewPointsHome],Table2[GameDate], "&lt;=" &amp; $A168, Table2[HomeTeam], P$1)</f>
        <v>10</v>
      </c>
      <c r="Q168" s="145">
        <f>SUMIFS(Table2[NewPointsAway],Table2[GameDate], "&lt;=" &amp; $A168, Table2[AwayTeam], Q$1)+SUMIFS(Table2[NewPointsHome],Table2[GameDate], "&lt;=" &amp; $A168, Table2[HomeTeam], Q$1)</f>
        <v>10</v>
      </c>
      <c r="R168" s="145">
        <f>SUMIFS(Table2[NewPointsAway],Table2[GameDate], "&lt;=" &amp; $A168, Table2[AwayTeam], R$1)+SUMIFS(Table2[NewPointsHome],Table2[GameDate], "&lt;=" &amp; $A168, Table2[HomeTeam], R$1)</f>
        <v>6</v>
      </c>
      <c r="S168" s="145">
        <f>SUMIFS(Table2[NewPointsAway],Table2[GameDate], "&lt;=" &amp; $A168, Table2[AwayTeam], S$1)+SUMIFS(Table2[NewPointsHome],Table2[GameDate], "&lt;=" &amp; $A168, Table2[HomeTeam], S$1)</f>
        <v>6</v>
      </c>
      <c r="T168" s="145">
        <f>SUMIFS(Table2[NewPointsAway],Table2[GameDate], "&lt;=" &amp; $A168, Table2[AwayTeam], T$1)+SUMIFS(Table2[NewPointsHome],Table2[GameDate], "&lt;=" &amp; $A168, Table2[HomeTeam], T$1)</f>
        <v>7</v>
      </c>
      <c r="U168" s="145">
        <f>SUMIFS(Table2[NewPointsAway],Table2[GameDate], "&lt;=" &amp; $A168, Table2[AwayTeam], U$1)+SUMIFS(Table2[NewPointsHome],Table2[GameDate], "&lt;=" &amp; $A168, Table2[HomeTeam], U$1)</f>
        <v>5</v>
      </c>
      <c r="V168" s="145">
        <f>SUMIFS(Table2[NewPointsAway],Table2[GameDate], "&lt;=" &amp; $A168, Table2[AwayTeam], V$1)+SUMIFS(Table2[NewPointsHome],Table2[GameDate], "&lt;=" &amp; $A168, Table2[HomeTeam], V$1)</f>
        <v>7</v>
      </c>
      <c r="W168" s="145">
        <f>SUMIFS(Table2[NewPointsAway],Table2[GameDate], "&lt;=" &amp; $A168, Table2[AwayTeam], W$1)+SUMIFS(Table2[NewPointsHome],Table2[GameDate], "&lt;=" &amp; $A168, Table2[HomeTeam], W$1)</f>
        <v>10</v>
      </c>
      <c r="X168" s="145">
        <f>SUMIFS(Table2[NewPointsAway],Table2[GameDate], "&lt;=" &amp; $A168, Table2[AwayTeam], X$1)+SUMIFS(Table2[NewPointsHome],Table2[GameDate], "&lt;=" &amp; $A168, Table2[HomeTeam], X$1)</f>
        <v>8</v>
      </c>
      <c r="Y168" s="145">
        <f>SUMIFS(Table2[NewPointsAway],Table2[GameDate], "&lt;=" &amp; $A168, Table2[AwayTeam], Y$1)+SUMIFS(Table2[NewPointsHome],Table2[GameDate], "&lt;=" &amp; $A168, Table2[HomeTeam], Y$1)</f>
        <v>2</v>
      </c>
      <c r="Z168" s="145">
        <f>SUMIFS(Table2[NewPointsAway],Table2[GameDate], "&lt;=" &amp; $A168, Table2[AwayTeam], Z$1)+SUMIFS(Table2[NewPointsHome],Table2[GameDate], "&lt;=" &amp; $A168, Table2[HomeTeam], Z$1)</f>
        <v>7</v>
      </c>
      <c r="AA168" s="145">
        <f>SUMIFS(Table2[NewPointsAway],Table2[GameDate], "&lt;=" &amp; $A168, Table2[AwayTeam], AA$1)+SUMIFS(Table2[NewPointsHome],Table2[GameDate], "&lt;=" &amp; $A168, Table2[HomeTeam], AA$1)</f>
        <v>4</v>
      </c>
      <c r="AB168" s="145">
        <f>SUMIFS(Table2[NewPointsAway],Table2[GameDate], "&lt;=" &amp; $A168, Table2[AwayTeam], AB$1)+SUMIFS(Table2[NewPointsHome],Table2[GameDate], "&lt;=" &amp; $A168, Table2[HomeTeam], AB$1)</f>
        <v>7</v>
      </c>
      <c r="AC168" s="145">
        <f>SUMIFS(Table2[NewPointsAway],Table2[GameDate], "&lt;=" &amp; $A168, Table2[AwayTeam], AC$1)+SUMIFS(Table2[NewPointsHome],Table2[GameDate], "&lt;=" &amp; $A168, Table2[HomeTeam], AC$1)</f>
        <v>10</v>
      </c>
      <c r="AD168" s="145">
        <f>SUMIFS(Table2[NewPointsAway],Table2[GameDate], "&lt;=" &amp; $A168, Table2[AwayTeam], AD$1)+SUMIFS(Table2[NewPointsHome],Table2[GameDate], "&lt;=" &amp; $A168, Table2[HomeTeam], AD$1)</f>
        <v>8</v>
      </c>
      <c r="AE168" s="145">
        <f>SUMIFS(Table2[NewPointsAway],Table2[GameDate], "&lt;=" &amp; $A168, Table2[AwayTeam], AE$1)+SUMIFS(Table2[NewPointsHome],Table2[GameDate], "&lt;=" &amp; $A168, Table2[HomeTeam], AE$1)</f>
        <v>12</v>
      </c>
      <c r="AF168" s="145">
        <f>SUMIFS(Table2[NewPointsAway],Table2[GameDate], "&lt;=" &amp; $A168, Table2[AwayTeam], AF$1)+SUMIFS(Table2[NewPointsHome],Table2[GameDate], "&lt;=" &amp; $A168, Table2[HomeTeam], AF$1)</f>
        <v>10</v>
      </c>
      <c r="AG168" s="145">
        <f>SUMIFS(Table2[NewPointsAway],Table2[GameDate], "&lt;=" &amp; $A168, Table2[AwayTeam], AG$1)+SUMIFS(Table2[NewPointsHome],Table2[GameDate], "&lt;=" &amp; $A168, Table2[HomeTeam], AG$1)</f>
        <v>10</v>
      </c>
    </row>
    <row r="169" spans="1:33" x14ac:dyDescent="0.25">
      <c r="A169" s="3">
        <v>46100</v>
      </c>
      <c r="B169" s="145">
        <f>SUMIFS(Table2[NewPointsAway],Table2[GameDate], "&lt;=" &amp; $A169, Table2[AwayTeam], B$1)+SUMIFS(Table2[NewPointsHome],Table2[GameDate], "&lt;=" &amp; $A169, Table2[HomeTeam], B$1)</f>
        <v>7</v>
      </c>
      <c r="C169" s="145">
        <f>SUMIFS(Table2[NewPointsAway],Table2[GameDate], "&lt;=" &amp; $A169, Table2[AwayTeam], C$1)+SUMIFS(Table2[NewPointsHome],Table2[GameDate], "&lt;=" &amp; $A169, Table2[HomeTeam], C$1)</f>
        <v>6</v>
      </c>
      <c r="D169" s="145">
        <f>SUMIFS(Table2[NewPointsAway],Table2[GameDate], "&lt;=" &amp; $A169, Table2[AwayTeam], D$1)+SUMIFS(Table2[NewPointsHome],Table2[GameDate], "&lt;=" &amp; $A169, Table2[HomeTeam], D$1)</f>
        <v>4</v>
      </c>
      <c r="E169" s="145">
        <f>SUMIFS(Table2[NewPointsAway],Table2[GameDate], "&lt;=" &amp; $A169, Table2[AwayTeam], E$1)+SUMIFS(Table2[NewPointsHome],Table2[GameDate], "&lt;=" &amp; $A169, Table2[HomeTeam], E$1)</f>
        <v>10</v>
      </c>
      <c r="F169" s="145">
        <f>SUMIFS(Table2[NewPointsAway],Table2[GameDate], "&lt;=" &amp; $A169, Table2[AwayTeam], F$1)+SUMIFS(Table2[NewPointsHome],Table2[GameDate], "&lt;=" &amp; $A169, Table2[HomeTeam], F$1)</f>
        <v>6</v>
      </c>
      <c r="G169" s="145">
        <f>SUMIFS(Table2[NewPointsAway],Table2[GameDate], "&lt;=" &amp; $A169, Table2[AwayTeam], G$1)+SUMIFS(Table2[NewPointsHome],Table2[GameDate], "&lt;=" &amp; $A169, Table2[HomeTeam], G$1)</f>
        <v>2</v>
      </c>
      <c r="H169" s="145">
        <f>SUMIFS(Table2[NewPointsAway],Table2[GameDate], "&lt;=" &amp; $A169, Table2[AwayTeam], H$1)+SUMIFS(Table2[NewPointsHome],Table2[GameDate], "&lt;=" &amp; $A169, Table2[HomeTeam], H$1)</f>
        <v>8</v>
      </c>
      <c r="I169" s="145">
        <f>SUMIFS(Table2[NewPointsAway],Table2[GameDate], "&lt;=" &amp; $A169, Table2[AwayTeam], I$1)+SUMIFS(Table2[NewPointsHome],Table2[GameDate], "&lt;=" &amp; $A169, Table2[HomeTeam], I$1)</f>
        <v>12</v>
      </c>
      <c r="J169" s="145">
        <f>SUMIFS(Table2[NewPointsAway],Table2[GameDate], "&lt;=" &amp; $A169, Table2[AwayTeam], J$1)+SUMIFS(Table2[NewPointsHome],Table2[GameDate], "&lt;=" &amp; $A169, Table2[HomeTeam], J$1)</f>
        <v>6</v>
      </c>
      <c r="K169" s="145">
        <f>SUMIFS(Table2[NewPointsAway],Table2[GameDate], "&lt;=" &amp; $A169, Table2[AwayTeam], K$1)+SUMIFS(Table2[NewPointsHome],Table2[GameDate], "&lt;=" &amp; $A169, Table2[HomeTeam], K$1)</f>
        <v>10</v>
      </c>
      <c r="L169" s="145">
        <f>SUMIFS(Table2[NewPointsAway],Table2[GameDate], "&lt;=" &amp; $A169, Table2[AwayTeam], L$1)+SUMIFS(Table2[NewPointsHome],Table2[GameDate], "&lt;=" &amp; $A169, Table2[HomeTeam], L$1)</f>
        <v>7</v>
      </c>
      <c r="M169" s="145">
        <f>SUMIFS(Table2[NewPointsAway],Table2[GameDate], "&lt;=" &amp; $A169, Table2[AwayTeam], M$1)+SUMIFS(Table2[NewPointsHome],Table2[GameDate], "&lt;=" &amp; $A169, Table2[HomeTeam], M$1)</f>
        <v>8</v>
      </c>
      <c r="N169" s="145">
        <f>SUMIFS(Table2[NewPointsAway],Table2[GameDate], "&lt;=" &amp; $A169, Table2[AwayTeam], N$1)+SUMIFS(Table2[NewPointsHome],Table2[GameDate], "&lt;=" &amp; $A169, Table2[HomeTeam], N$1)</f>
        <v>6</v>
      </c>
      <c r="O169" s="145">
        <f>SUMIFS(Table2[NewPointsAway],Table2[GameDate], "&lt;=" &amp; $A169, Table2[AwayTeam], O$1)+SUMIFS(Table2[NewPointsHome],Table2[GameDate], "&lt;=" &amp; $A169, Table2[HomeTeam], O$1)</f>
        <v>7</v>
      </c>
      <c r="P169" s="145">
        <f>SUMIFS(Table2[NewPointsAway],Table2[GameDate], "&lt;=" &amp; $A169, Table2[AwayTeam], P$1)+SUMIFS(Table2[NewPointsHome],Table2[GameDate], "&lt;=" &amp; $A169, Table2[HomeTeam], P$1)</f>
        <v>10</v>
      </c>
      <c r="Q169" s="145">
        <f>SUMIFS(Table2[NewPointsAway],Table2[GameDate], "&lt;=" &amp; $A169, Table2[AwayTeam], Q$1)+SUMIFS(Table2[NewPointsHome],Table2[GameDate], "&lt;=" &amp; $A169, Table2[HomeTeam], Q$1)</f>
        <v>10</v>
      </c>
      <c r="R169" s="145">
        <f>SUMIFS(Table2[NewPointsAway],Table2[GameDate], "&lt;=" &amp; $A169, Table2[AwayTeam], R$1)+SUMIFS(Table2[NewPointsHome],Table2[GameDate], "&lt;=" &amp; $A169, Table2[HomeTeam], R$1)</f>
        <v>6</v>
      </c>
      <c r="S169" s="145">
        <f>SUMIFS(Table2[NewPointsAway],Table2[GameDate], "&lt;=" &amp; $A169, Table2[AwayTeam], S$1)+SUMIFS(Table2[NewPointsHome],Table2[GameDate], "&lt;=" &amp; $A169, Table2[HomeTeam], S$1)</f>
        <v>6</v>
      </c>
      <c r="T169" s="145">
        <f>SUMIFS(Table2[NewPointsAway],Table2[GameDate], "&lt;=" &amp; $A169, Table2[AwayTeam], T$1)+SUMIFS(Table2[NewPointsHome],Table2[GameDate], "&lt;=" &amp; $A169, Table2[HomeTeam], T$1)</f>
        <v>7</v>
      </c>
      <c r="U169" s="145">
        <f>SUMIFS(Table2[NewPointsAway],Table2[GameDate], "&lt;=" &amp; $A169, Table2[AwayTeam], U$1)+SUMIFS(Table2[NewPointsHome],Table2[GameDate], "&lt;=" &amp; $A169, Table2[HomeTeam], U$1)</f>
        <v>5</v>
      </c>
      <c r="V169" s="145">
        <f>SUMIFS(Table2[NewPointsAway],Table2[GameDate], "&lt;=" &amp; $A169, Table2[AwayTeam], V$1)+SUMIFS(Table2[NewPointsHome],Table2[GameDate], "&lt;=" &amp; $A169, Table2[HomeTeam], V$1)</f>
        <v>7</v>
      </c>
      <c r="W169" s="145">
        <f>SUMIFS(Table2[NewPointsAway],Table2[GameDate], "&lt;=" &amp; $A169, Table2[AwayTeam], W$1)+SUMIFS(Table2[NewPointsHome],Table2[GameDate], "&lt;=" &amp; $A169, Table2[HomeTeam], W$1)</f>
        <v>10</v>
      </c>
      <c r="X169" s="145">
        <f>SUMIFS(Table2[NewPointsAway],Table2[GameDate], "&lt;=" &amp; $A169, Table2[AwayTeam], X$1)+SUMIFS(Table2[NewPointsHome],Table2[GameDate], "&lt;=" &amp; $A169, Table2[HomeTeam], X$1)</f>
        <v>8</v>
      </c>
      <c r="Y169" s="145">
        <f>SUMIFS(Table2[NewPointsAway],Table2[GameDate], "&lt;=" &amp; $A169, Table2[AwayTeam], Y$1)+SUMIFS(Table2[NewPointsHome],Table2[GameDate], "&lt;=" &amp; $A169, Table2[HomeTeam], Y$1)</f>
        <v>2</v>
      </c>
      <c r="Z169" s="145">
        <f>SUMIFS(Table2[NewPointsAway],Table2[GameDate], "&lt;=" &amp; $A169, Table2[AwayTeam], Z$1)+SUMIFS(Table2[NewPointsHome],Table2[GameDate], "&lt;=" &amp; $A169, Table2[HomeTeam], Z$1)</f>
        <v>7</v>
      </c>
      <c r="AA169" s="145">
        <f>SUMIFS(Table2[NewPointsAway],Table2[GameDate], "&lt;=" &amp; $A169, Table2[AwayTeam], AA$1)+SUMIFS(Table2[NewPointsHome],Table2[GameDate], "&lt;=" &amp; $A169, Table2[HomeTeam], AA$1)</f>
        <v>4</v>
      </c>
      <c r="AB169" s="145">
        <f>SUMIFS(Table2[NewPointsAway],Table2[GameDate], "&lt;=" &amp; $A169, Table2[AwayTeam], AB$1)+SUMIFS(Table2[NewPointsHome],Table2[GameDate], "&lt;=" &amp; $A169, Table2[HomeTeam], AB$1)</f>
        <v>7</v>
      </c>
      <c r="AC169" s="145">
        <f>SUMIFS(Table2[NewPointsAway],Table2[GameDate], "&lt;=" &amp; $A169, Table2[AwayTeam], AC$1)+SUMIFS(Table2[NewPointsHome],Table2[GameDate], "&lt;=" &amp; $A169, Table2[HomeTeam], AC$1)</f>
        <v>10</v>
      </c>
      <c r="AD169" s="145">
        <f>SUMIFS(Table2[NewPointsAway],Table2[GameDate], "&lt;=" &amp; $A169, Table2[AwayTeam], AD$1)+SUMIFS(Table2[NewPointsHome],Table2[GameDate], "&lt;=" &amp; $A169, Table2[HomeTeam], AD$1)</f>
        <v>8</v>
      </c>
      <c r="AE169" s="145">
        <f>SUMIFS(Table2[NewPointsAway],Table2[GameDate], "&lt;=" &amp; $A169, Table2[AwayTeam], AE$1)+SUMIFS(Table2[NewPointsHome],Table2[GameDate], "&lt;=" &amp; $A169, Table2[HomeTeam], AE$1)</f>
        <v>12</v>
      </c>
      <c r="AF169" s="145">
        <f>SUMIFS(Table2[NewPointsAway],Table2[GameDate], "&lt;=" &amp; $A169, Table2[AwayTeam], AF$1)+SUMIFS(Table2[NewPointsHome],Table2[GameDate], "&lt;=" &amp; $A169, Table2[HomeTeam], AF$1)</f>
        <v>10</v>
      </c>
      <c r="AG169" s="145">
        <f>SUMIFS(Table2[NewPointsAway],Table2[GameDate], "&lt;=" &amp; $A169, Table2[AwayTeam], AG$1)+SUMIFS(Table2[NewPointsHome],Table2[GameDate], "&lt;=" &amp; $A169, Table2[HomeTeam], AG$1)</f>
        <v>10</v>
      </c>
    </row>
    <row r="170" spans="1:33" x14ac:dyDescent="0.25">
      <c r="A170" s="3">
        <v>46101</v>
      </c>
      <c r="B170" s="145">
        <f>SUMIFS(Table2[NewPointsAway],Table2[GameDate], "&lt;=" &amp; $A170, Table2[AwayTeam], B$1)+SUMIFS(Table2[NewPointsHome],Table2[GameDate], "&lt;=" &amp; $A170, Table2[HomeTeam], B$1)</f>
        <v>7</v>
      </c>
      <c r="C170" s="145">
        <f>SUMIFS(Table2[NewPointsAway],Table2[GameDate], "&lt;=" &amp; $A170, Table2[AwayTeam], C$1)+SUMIFS(Table2[NewPointsHome],Table2[GameDate], "&lt;=" &amp; $A170, Table2[HomeTeam], C$1)</f>
        <v>6</v>
      </c>
      <c r="D170" s="145">
        <f>SUMIFS(Table2[NewPointsAway],Table2[GameDate], "&lt;=" &amp; $A170, Table2[AwayTeam], D$1)+SUMIFS(Table2[NewPointsHome],Table2[GameDate], "&lt;=" &amp; $A170, Table2[HomeTeam], D$1)</f>
        <v>4</v>
      </c>
      <c r="E170" s="145">
        <f>SUMIFS(Table2[NewPointsAway],Table2[GameDate], "&lt;=" &amp; $A170, Table2[AwayTeam], E$1)+SUMIFS(Table2[NewPointsHome],Table2[GameDate], "&lt;=" &amp; $A170, Table2[HomeTeam], E$1)</f>
        <v>10</v>
      </c>
      <c r="F170" s="145">
        <f>SUMIFS(Table2[NewPointsAway],Table2[GameDate], "&lt;=" &amp; $A170, Table2[AwayTeam], F$1)+SUMIFS(Table2[NewPointsHome],Table2[GameDate], "&lt;=" &amp; $A170, Table2[HomeTeam], F$1)</f>
        <v>6</v>
      </c>
      <c r="G170" s="145">
        <f>SUMIFS(Table2[NewPointsAway],Table2[GameDate], "&lt;=" &amp; $A170, Table2[AwayTeam], G$1)+SUMIFS(Table2[NewPointsHome],Table2[GameDate], "&lt;=" &amp; $A170, Table2[HomeTeam], G$1)</f>
        <v>2</v>
      </c>
      <c r="H170" s="145">
        <f>SUMIFS(Table2[NewPointsAway],Table2[GameDate], "&lt;=" &amp; $A170, Table2[AwayTeam], H$1)+SUMIFS(Table2[NewPointsHome],Table2[GameDate], "&lt;=" &amp; $A170, Table2[HomeTeam], H$1)</f>
        <v>8</v>
      </c>
      <c r="I170" s="145">
        <f>SUMIFS(Table2[NewPointsAway],Table2[GameDate], "&lt;=" &amp; $A170, Table2[AwayTeam], I$1)+SUMIFS(Table2[NewPointsHome],Table2[GameDate], "&lt;=" &amp; $A170, Table2[HomeTeam], I$1)</f>
        <v>12</v>
      </c>
      <c r="J170" s="145">
        <f>SUMIFS(Table2[NewPointsAway],Table2[GameDate], "&lt;=" &amp; $A170, Table2[AwayTeam], J$1)+SUMIFS(Table2[NewPointsHome],Table2[GameDate], "&lt;=" &amp; $A170, Table2[HomeTeam], J$1)</f>
        <v>6</v>
      </c>
      <c r="K170" s="145">
        <f>SUMIFS(Table2[NewPointsAway],Table2[GameDate], "&lt;=" &amp; $A170, Table2[AwayTeam], K$1)+SUMIFS(Table2[NewPointsHome],Table2[GameDate], "&lt;=" &amp; $A170, Table2[HomeTeam], K$1)</f>
        <v>10</v>
      </c>
      <c r="L170" s="145">
        <f>SUMIFS(Table2[NewPointsAway],Table2[GameDate], "&lt;=" &amp; $A170, Table2[AwayTeam], L$1)+SUMIFS(Table2[NewPointsHome],Table2[GameDate], "&lt;=" &amp; $A170, Table2[HomeTeam], L$1)</f>
        <v>7</v>
      </c>
      <c r="M170" s="145">
        <f>SUMIFS(Table2[NewPointsAway],Table2[GameDate], "&lt;=" &amp; $A170, Table2[AwayTeam], M$1)+SUMIFS(Table2[NewPointsHome],Table2[GameDate], "&lt;=" &amp; $A170, Table2[HomeTeam], M$1)</f>
        <v>8</v>
      </c>
      <c r="N170" s="145">
        <f>SUMIFS(Table2[NewPointsAway],Table2[GameDate], "&lt;=" &amp; $A170, Table2[AwayTeam], N$1)+SUMIFS(Table2[NewPointsHome],Table2[GameDate], "&lt;=" &amp; $A170, Table2[HomeTeam], N$1)</f>
        <v>6</v>
      </c>
      <c r="O170" s="145">
        <f>SUMIFS(Table2[NewPointsAway],Table2[GameDate], "&lt;=" &amp; $A170, Table2[AwayTeam], O$1)+SUMIFS(Table2[NewPointsHome],Table2[GameDate], "&lt;=" &amp; $A170, Table2[HomeTeam], O$1)</f>
        <v>7</v>
      </c>
      <c r="P170" s="145">
        <f>SUMIFS(Table2[NewPointsAway],Table2[GameDate], "&lt;=" &amp; $A170, Table2[AwayTeam], P$1)+SUMIFS(Table2[NewPointsHome],Table2[GameDate], "&lt;=" &amp; $A170, Table2[HomeTeam], P$1)</f>
        <v>10</v>
      </c>
      <c r="Q170" s="145">
        <f>SUMIFS(Table2[NewPointsAway],Table2[GameDate], "&lt;=" &amp; $A170, Table2[AwayTeam], Q$1)+SUMIFS(Table2[NewPointsHome],Table2[GameDate], "&lt;=" &amp; $A170, Table2[HomeTeam], Q$1)</f>
        <v>10</v>
      </c>
      <c r="R170" s="145">
        <f>SUMIFS(Table2[NewPointsAway],Table2[GameDate], "&lt;=" &amp; $A170, Table2[AwayTeam], R$1)+SUMIFS(Table2[NewPointsHome],Table2[GameDate], "&lt;=" &amp; $A170, Table2[HomeTeam], R$1)</f>
        <v>6</v>
      </c>
      <c r="S170" s="145">
        <f>SUMIFS(Table2[NewPointsAway],Table2[GameDate], "&lt;=" &amp; $A170, Table2[AwayTeam], S$1)+SUMIFS(Table2[NewPointsHome],Table2[GameDate], "&lt;=" &amp; $A170, Table2[HomeTeam], S$1)</f>
        <v>6</v>
      </c>
      <c r="T170" s="145">
        <f>SUMIFS(Table2[NewPointsAway],Table2[GameDate], "&lt;=" &amp; $A170, Table2[AwayTeam], T$1)+SUMIFS(Table2[NewPointsHome],Table2[GameDate], "&lt;=" &amp; $A170, Table2[HomeTeam], T$1)</f>
        <v>7</v>
      </c>
      <c r="U170" s="145">
        <f>SUMIFS(Table2[NewPointsAway],Table2[GameDate], "&lt;=" &amp; $A170, Table2[AwayTeam], U$1)+SUMIFS(Table2[NewPointsHome],Table2[GameDate], "&lt;=" &amp; $A170, Table2[HomeTeam], U$1)</f>
        <v>5</v>
      </c>
      <c r="V170" s="145">
        <f>SUMIFS(Table2[NewPointsAway],Table2[GameDate], "&lt;=" &amp; $A170, Table2[AwayTeam], V$1)+SUMIFS(Table2[NewPointsHome],Table2[GameDate], "&lt;=" &amp; $A170, Table2[HomeTeam], V$1)</f>
        <v>7</v>
      </c>
      <c r="W170" s="145">
        <f>SUMIFS(Table2[NewPointsAway],Table2[GameDate], "&lt;=" &amp; $A170, Table2[AwayTeam], W$1)+SUMIFS(Table2[NewPointsHome],Table2[GameDate], "&lt;=" &amp; $A170, Table2[HomeTeam], W$1)</f>
        <v>10</v>
      </c>
      <c r="X170" s="145">
        <f>SUMIFS(Table2[NewPointsAway],Table2[GameDate], "&lt;=" &amp; $A170, Table2[AwayTeam], X$1)+SUMIFS(Table2[NewPointsHome],Table2[GameDate], "&lt;=" &amp; $A170, Table2[HomeTeam], X$1)</f>
        <v>8</v>
      </c>
      <c r="Y170" s="145">
        <f>SUMIFS(Table2[NewPointsAway],Table2[GameDate], "&lt;=" &amp; $A170, Table2[AwayTeam], Y$1)+SUMIFS(Table2[NewPointsHome],Table2[GameDate], "&lt;=" &amp; $A170, Table2[HomeTeam], Y$1)</f>
        <v>2</v>
      </c>
      <c r="Z170" s="145">
        <f>SUMIFS(Table2[NewPointsAway],Table2[GameDate], "&lt;=" &amp; $A170, Table2[AwayTeam], Z$1)+SUMIFS(Table2[NewPointsHome],Table2[GameDate], "&lt;=" &amp; $A170, Table2[HomeTeam], Z$1)</f>
        <v>7</v>
      </c>
      <c r="AA170" s="145">
        <f>SUMIFS(Table2[NewPointsAway],Table2[GameDate], "&lt;=" &amp; $A170, Table2[AwayTeam], AA$1)+SUMIFS(Table2[NewPointsHome],Table2[GameDate], "&lt;=" &amp; $A170, Table2[HomeTeam], AA$1)</f>
        <v>4</v>
      </c>
      <c r="AB170" s="145">
        <f>SUMIFS(Table2[NewPointsAway],Table2[GameDate], "&lt;=" &amp; $A170, Table2[AwayTeam], AB$1)+SUMIFS(Table2[NewPointsHome],Table2[GameDate], "&lt;=" &amp; $A170, Table2[HomeTeam], AB$1)</f>
        <v>7</v>
      </c>
      <c r="AC170" s="145">
        <f>SUMIFS(Table2[NewPointsAway],Table2[GameDate], "&lt;=" &amp; $A170, Table2[AwayTeam], AC$1)+SUMIFS(Table2[NewPointsHome],Table2[GameDate], "&lt;=" &amp; $A170, Table2[HomeTeam], AC$1)</f>
        <v>10</v>
      </c>
      <c r="AD170" s="145">
        <f>SUMIFS(Table2[NewPointsAway],Table2[GameDate], "&lt;=" &amp; $A170, Table2[AwayTeam], AD$1)+SUMIFS(Table2[NewPointsHome],Table2[GameDate], "&lt;=" &amp; $A170, Table2[HomeTeam], AD$1)</f>
        <v>8</v>
      </c>
      <c r="AE170" s="145">
        <f>SUMIFS(Table2[NewPointsAway],Table2[GameDate], "&lt;=" &amp; $A170, Table2[AwayTeam], AE$1)+SUMIFS(Table2[NewPointsHome],Table2[GameDate], "&lt;=" &amp; $A170, Table2[HomeTeam], AE$1)</f>
        <v>12</v>
      </c>
      <c r="AF170" s="145">
        <f>SUMIFS(Table2[NewPointsAway],Table2[GameDate], "&lt;=" &amp; $A170, Table2[AwayTeam], AF$1)+SUMIFS(Table2[NewPointsHome],Table2[GameDate], "&lt;=" &amp; $A170, Table2[HomeTeam], AF$1)</f>
        <v>10</v>
      </c>
      <c r="AG170" s="145">
        <f>SUMIFS(Table2[NewPointsAway],Table2[GameDate], "&lt;=" &amp; $A170, Table2[AwayTeam], AG$1)+SUMIFS(Table2[NewPointsHome],Table2[GameDate], "&lt;=" &amp; $A170, Table2[HomeTeam], AG$1)</f>
        <v>10</v>
      </c>
    </row>
    <row r="171" spans="1:33" x14ac:dyDescent="0.25">
      <c r="A171" s="3">
        <v>46102</v>
      </c>
      <c r="B171" s="145">
        <f>SUMIFS(Table2[NewPointsAway],Table2[GameDate], "&lt;=" &amp; $A171, Table2[AwayTeam], B$1)+SUMIFS(Table2[NewPointsHome],Table2[GameDate], "&lt;=" &amp; $A171, Table2[HomeTeam], B$1)</f>
        <v>7</v>
      </c>
      <c r="C171" s="145">
        <f>SUMIFS(Table2[NewPointsAway],Table2[GameDate], "&lt;=" &amp; $A171, Table2[AwayTeam], C$1)+SUMIFS(Table2[NewPointsHome],Table2[GameDate], "&lt;=" &amp; $A171, Table2[HomeTeam], C$1)</f>
        <v>6</v>
      </c>
      <c r="D171" s="145">
        <f>SUMIFS(Table2[NewPointsAway],Table2[GameDate], "&lt;=" &amp; $A171, Table2[AwayTeam], D$1)+SUMIFS(Table2[NewPointsHome],Table2[GameDate], "&lt;=" &amp; $A171, Table2[HomeTeam], D$1)</f>
        <v>4</v>
      </c>
      <c r="E171" s="145">
        <f>SUMIFS(Table2[NewPointsAway],Table2[GameDate], "&lt;=" &amp; $A171, Table2[AwayTeam], E$1)+SUMIFS(Table2[NewPointsHome],Table2[GameDate], "&lt;=" &amp; $A171, Table2[HomeTeam], E$1)</f>
        <v>10</v>
      </c>
      <c r="F171" s="145">
        <f>SUMIFS(Table2[NewPointsAway],Table2[GameDate], "&lt;=" &amp; $A171, Table2[AwayTeam], F$1)+SUMIFS(Table2[NewPointsHome],Table2[GameDate], "&lt;=" &amp; $A171, Table2[HomeTeam], F$1)</f>
        <v>6</v>
      </c>
      <c r="G171" s="145">
        <f>SUMIFS(Table2[NewPointsAway],Table2[GameDate], "&lt;=" &amp; $A171, Table2[AwayTeam], G$1)+SUMIFS(Table2[NewPointsHome],Table2[GameDate], "&lt;=" &amp; $A171, Table2[HomeTeam], G$1)</f>
        <v>2</v>
      </c>
      <c r="H171" s="145">
        <f>SUMIFS(Table2[NewPointsAway],Table2[GameDate], "&lt;=" &amp; $A171, Table2[AwayTeam], H$1)+SUMIFS(Table2[NewPointsHome],Table2[GameDate], "&lt;=" &amp; $A171, Table2[HomeTeam], H$1)</f>
        <v>8</v>
      </c>
      <c r="I171" s="145">
        <f>SUMIFS(Table2[NewPointsAway],Table2[GameDate], "&lt;=" &amp; $A171, Table2[AwayTeam], I$1)+SUMIFS(Table2[NewPointsHome],Table2[GameDate], "&lt;=" &amp; $A171, Table2[HomeTeam], I$1)</f>
        <v>12</v>
      </c>
      <c r="J171" s="145">
        <f>SUMIFS(Table2[NewPointsAway],Table2[GameDate], "&lt;=" &amp; $A171, Table2[AwayTeam], J$1)+SUMIFS(Table2[NewPointsHome],Table2[GameDate], "&lt;=" &amp; $A171, Table2[HomeTeam], J$1)</f>
        <v>6</v>
      </c>
      <c r="K171" s="145">
        <f>SUMIFS(Table2[NewPointsAway],Table2[GameDate], "&lt;=" &amp; $A171, Table2[AwayTeam], K$1)+SUMIFS(Table2[NewPointsHome],Table2[GameDate], "&lt;=" &amp; $A171, Table2[HomeTeam], K$1)</f>
        <v>10</v>
      </c>
      <c r="L171" s="145">
        <f>SUMIFS(Table2[NewPointsAway],Table2[GameDate], "&lt;=" &amp; $A171, Table2[AwayTeam], L$1)+SUMIFS(Table2[NewPointsHome],Table2[GameDate], "&lt;=" &amp; $A171, Table2[HomeTeam], L$1)</f>
        <v>7</v>
      </c>
      <c r="M171" s="145">
        <f>SUMIFS(Table2[NewPointsAway],Table2[GameDate], "&lt;=" &amp; $A171, Table2[AwayTeam], M$1)+SUMIFS(Table2[NewPointsHome],Table2[GameDate], "&lt;=" &amp; $A171, Table2[HomeTeam], M$1)</f>
        <v>8</v>
      </c>
      <c r="N171" s="145">
        <f>SUMIFS(Table2[NewPointsAway],Table2[GameDate], "&lt;=" &amp; $A171, Table2[AwayTeam], N$1)+SUMIFS(Table2[NewPointsHome],Table2[GameDate], "&lt;=" &amp; $A171, Table2[HomeTeam], N$1)</f>
        <v>6</v>
      </c>
      <c r="O171" s="145">
        <f>SUMIFS(Table2[NewPointsAway],Table2[GameDate], "&lt;=" &amp; $A171, Table2[AwayTeam], O$1)+SUMIFS(Table2[NewPointsHome],Table2[GameDate], "&lt;=" &amp; $A171, Table2[HomeTeam], O$1)</f>
        <v>7</v>
      </c>
      <c r="P171" s="145">
        <f>SUMIFS(Table2[NewPointsAway],Table2[GameDate], "&lt;=" &amp; $A171, Table2[AwayTeam], P$1)+SUMIFS(Table2[NewPointsHome],Table2[GameDate], "&lt;=" &amp; $A171, Table2[HomeTeam], P$1)</f>
        <v>10</v>
      </c>
      <c r="Q171" s="145">
        <f>SUMIFS(Table2[NewPointsAway],Table2[GameDate], "&lt;=" &amp; $A171, Table2[AwayTeam], Q$1)+SUMIFS(Table2[NewPointsHome],Table2[GameDate], "&lt;=" &amp; $A171, Table2[HomeTeam], Q$1)</f>
        <v>10</v>
      </c>
      <c r="R171" s="145">
        <f>SUMIFS(Table2[NewPointsAway],Table2[GameDate], "&lt;=" &amp; $A171, Table2[AwayTeam], R$1)+SUMIFS(Table2[NewPointsHome],Table2[GameDate], "&lt;=" &amp; $A171, Table2[HomeTeam], R$1)</f>
        <v>6</v>
      </c>
      <c r="S171" s="145">
        <f>SUMIFS(Table2[NewPointsAway],Table2[GameDate], "&lt;=" &amp; $A171, Table2[AwayTeam], S$1)+SUMIFS(Table2[NewPointsHome],Table2[GameDate], "&lt;=" &amp; $A171, Table2[HomeTeam], S$1)</f>
        <v>6</v>
      </c>
      <c r="T171" s="145">
        <f>SUMIFS(Table2[NewPointsAway],Table2[GameDate], "&lt;=" &amp; $A171, Table2[AwayTeam], T$1)+SUMIFS(Table2[NewPointsHome],Table2[GameDate], "&lt;=" &amp; $A171, Table2[HomeTeam], T$1)</f>
        <v>7</v>
      </c>
      <c r="U171" s="145">
        <f>SUMIFS(Table2[NewPointsAway],Table2[GameDate], "&lt;=" &amp; $A171, Table2[AwayTeam], U$1)+SUMIFS(Table2[NewPointsHome],Table2[GameDate], "&lt;=" &amp; $A171, Table2[HomeTeam], U$1)</f>
        <v>5</v>
      </c>
      <c r="V171" s="145">
        <f>SUMIFS(Table2[NewPointsAway],Table2[GameDate], "&lt;=" &amp; $A171, Table2[AwayTeam], V$1)+SUMIFS(Table2[NewPointsHome],Table2[GameDate], "&lt;=" &amp; $A171, Table2[HomeTeam], V$1)</f>
        <v>7</v>
      </c>
      <c r="W171" s="145">
        <f>SUMIFS(Table2[NewPointsAway],Table2[GameDate], "&lt;=" &amp; $A171, Table2[AwayTeam], W$1)+SUMIFS(Table2[NewPointsHome],Table2[GameDate], "&lt;=" &amp; $A171, Table2[HomeTeam], W$1)</f>
        <v>10</v>
      </c>
      <c r="X171" s="145">
        <f>SUMIFS(Table2[NewPointsAway],Table2[GameDate], "&lt;=" &amp; $A171, Table2[AwayTeam], X$1)+SUMIFS(Table2[NewPointsHome],Table2[GameDate], "&lt;=" &amp; $A171, Table2[HomeTeam], X$1)</f>
        <v>8</v>
      </c>
      <c r="Y171" s="145">
        <f>SUMIFS(Table2[NewPointsAway],Table2[GameDate], "&lt;=" &amp; $A171, Table2[AwayTeam], Y$1)+SUMIFS(Table2[NewPointsHome],Table2[GameDate], "&lt;=" &amp; $A171, Table2[HomeTeam], Y$1)</f>
        <v>2</v>
      </c>
      <c r="Z171" s="145">
        <f>SUMIFS(Table2[NewPointsAway],Table2[GameDate], "&lt;=" &amp; $A171, Table2[AwayTeam], Z$1)+SUMIFS(Table2[NewPointsHome],Table2[GameDate], "&lt;=" &amp; $A171, Table2[HomeTeam], Z$1)</f>
        <v>7</v>
      </c>
      <c r="AA171" s="145">
        <f>SUMIFS(Table2[NewPointsAway],Table2[GameDate], "&lt;=" &amp; $A171, Table2[AwayTeam], AA$1)+SUMIFS(Table2[NewPointsHome],Table2[GameDate], "&lt;=" &amp; $A171, Table2[HomeTeam], AA$1)</f>
        <v>4</v>
      </c>
      <c r="AB171" s="145">
        <f>SUMIFS(Table2[NewPointsAway],Table2[GameDate], "&lt;=" &amp; $A171, Table2[AwayTeam], AB$1)+SUMIFS(Table2[NewPointsHome],Table2[GameDate], "&lt;=" &amp; $A171, Table2[HomeTeam], AB$1)</f>
        <v>7</v>
      </c>
      <c r="AC171" s="145">
        <f>SUMIFS(Table2[NewPointsAway],Table2[GameDate], "&lt;=" &amp; $A171, Table2[AwayTeam], AC$1)+SUMIFS(Table2[NewPointsHome],Table2[GameDate], "&lt;=" &amp; $A171, Table2[HomeTeam], AC$1)</f>
        <v>10</v>
      </c>
      <c r="AD171" s="145">
        <f>SUMIFS(Table2[NewPointsAway],Table2[GameDate], "&lt;=" &amp; $A171, Table2[AwayTeam], AD$1)+SUMIFS(Table2[NewPointsHome],Table2[GameDate], "&lt;=" &amp; $A171, Table2[HomeTeam], AD$1)</f>
        <v>8</v>
      </c>
      <c r="AE171" s="145">
        <f>SUMIFS(Table2[NewPointsAway],Table2[GameDate], "&lt;=" &amp; $A171, Table2[AwayTeam], AE$1)+SUMIFS(Table2[NewPointsHome],Table2[GameDate], "&lt;=" &amp; $A171, Table2[HomeTeam], AE$1)</f>
        <v>12</v>
      </c>
      <c r="AF171" s="145">
        <f>SUMIFS(Table2[NewPointsAway],Table2[GameDate], "&lt;=" &amp; $A171, Table2[AwayTeam], AF$1)+SUMIFS(Table2[NewPointsHome],Table2[GameDate], "&lt;=" &amp; $A171, Table2[HomeTeam], AF$1)</f>
        <v>10</v>
      </c>
      <c r="AG171" s="145">
        <f>SUMIFS(Table2[NewPointsAway],Table2[GameDate], "&lt;=" &amp; $A171, Table2[AwayTeam], AG$1)+SUMIFS(Table2[NewPointsHome],Table2[GameDate], "&lt;=" &amp; $A171, Table2[HomeTeam], AG$1)</f>
        <v>10</v>
      </c>
    </row>
    <row r="172" spans="1:33" x14ac:dyDescent="0.25">
      <c r="A172" s="3">
        <v>46103</v>
      </c>
      <c r="B172" s="145">
        <f>SUMIFS(Table2[NewPointsAway],Table2[GameDate], "&lt;=" &amp; $A172, Table2[AwayTeam], B$1)+SUMIFS(Table2[NewPointsHome],Table2[GameDate], "&lt;=" &amp; $A172, Table2[HomeTeam], B$1)</f>
        <v>7</v>
      </c>
      <c r="C172" s="145">
        <f>SUMIFS(Table2[NewPointsAway],Table2[GameDate], "&lt;=" &amp; $A172, Table2[AwayTeam], C$1)+SUMIFS(Table2[NewPointsHome],Table2[GameDate], "&lt;=" &amp; $A172, Table2[HomeTeam], C$1)</f>
        <v>6</v>
      </c>
      <c r="D172" s="145">
        <f>SUMIFS(Table2[NewPointsAway],Table2[GameDate], "&lt;=" &amp; $A172, Table2[AwayTeam], D$1)+SUMIFS(Table2[NewPointsHome],Table2[GameDate], "&lt;=" &amp; $A172, Table2[HomeTeam], D$1)</f>
        <v>4</v>
      </c>
      <c r="E172" s="145">
        <f>SUMIFS(Table2[NewPointsAway],Table2[GameDate], "&lt;=" &amp; $A172, Table2[AwayTeam], E$1)+SUMIFS(Table2[NewPointsHome],Table2[GameDate], "&lt;=" &amp; $A172, Table2[HomeTeam], E$1)</f>
        <v>10</v>
      </c>
      <c r="F172" s="145">
        <f>SUMIFS(Table2[NewPointsAway],Table2[GameDate], "&lt;=" &amp; $A172, Table2[AwayTeam], F$1)+SUMIFS(Table2[NewPointsHome],Table2[GameDate], "&lt;=" &amp; $A172, Table2[HomeTeam], F$1)</f>
        <v>6</v>
      </c>
      <c r="G172" s="145">
        <f>SUMIFS(Table2[NewPointsAway],Table2[GameDate], "&lt;=" &amp; $A172, Table2[AwayTeam], G$1)+SUMIFS(Table2[NewPointsHome],Table2[GameDate], "&lt;=" &amp; $A172, Table2[HomeTeam], G$1)</f>
        <v>2</v>
      </c>
      <c r="H172" s="145">
        <f>SUMIFS(Table2[NewPointsAway],Table2[GameDate], "&lt;=" &amp; $A172, Table2[AwayTeam], H$1)+SUMIFS(Table2[NewPointsHome],Table2[GameDate], "&lt;=" &amp; $A172, Table2[HomeTeam], H$1)</f>
        <v>8</v>
      </c>
      <c r="I172" s="145">
        <f>SUMIFS(Table2[NewPointsAway],Table2[GameDate], "&lt;=" &amp; $A172, Table2[AwayTeam], I$1)+SUMIFS(Table2[NewPointsHome],Table2[GameDate], "&lt;=" &amp; $A172, Table2[HomeTeam], I$1)</f>
        <v>12</v>
      </c>
      <c r="J172" s="145">
        <f>SUMIFS(Table2[NewPointsAway],Table2[GameDate], "&lt;=" &amp; $A172, Table2[AwayTeam], J$1)+SUMIFS(Table2[NewPointsHome],Table2[GameDate], "&lt;=" &amp; $A172, Table2[HomeTeam], J$1)</f>
        <v>6</v>
      </c>
      <c r="K172" s="145">
        <f>SUMIFS(Table2[NewPointsAway],Table2[GameDate], "&lt;=" &amp; $A172, Table2[AwayTeam], K$1)+SUMIFS(Table2[NewPointsHome],Table2[GameDate], "&lt;=" &amp; $A172, Table2[HomeTeam], K$1)</f>
        <v>10</v>
      </c>
      <c r="L172" s="145">
        <f>SUMIFS(Table2[NewPointsAway],Table2[GameDate], "&lt;=" &amp; $A172, Table2[AwayTeam], L$1)+SUMIFS(Table2[NewPointsHome],Table2[GameDate], "&lt;=" &amp; $A172, Table2[HomeTeam], L$1)</f>
        <v>7</v>
      </c>
      <c r="M172" s="145">
        <f>SUMIFS(Table2[NewPointsAway],Table2[GameDate], "&lt;=" &amp; $A172, Table2[AwayTeam], M$1)+SUMIFS(Table2[NewPointsHome],Table2[GameDate], "&lt;=" &amp; $A172, Table2[HomeTeam], M$1)</f>
        <v>8</v>
      </c>
      <c r="N172" s="145">
        <f>SUMIFS(Table2[NewPointsAway],Table2[GameDate], "&lt;=" &amp; $A172, Table2[AwayTeam], N$1)+SUMIFS(Table2[NewPointsHome],Table2[GameDate], "&lt;=" &amp; $A172, Table2[HomeTeam], N$1)</f>
        <v>6</v>
      </c>
      <c r="O172" s="145">
        <f>SUMIFS(Table2[NewPointsAway],Table2[GameDate], "&lt;=" &amp; $A172, Table2[AwayTeam], O$1)+SUMIFS(Table2[NewPointsHome],Table2[GameDate], "&lt;=" &amp; $A172, Table2[HomeTeam], O$1)</f>
        <v>7</v>
      </c>
      <c r="P172" s="145">
        <f>SUMIFS(Table2[NewPointsAway],Table2[GameDate], "&lt;=" &amp; $A172, Table2[AwayTeam], P$1)+SUMIFS(Table2[NewPointsHome],Table2[GameDate], "&lt;=" &amp; $A172, Table2[HomeTeam], P$1)</f>
        <v>10</v>
      </c>
      <c r="Q172" s="145">
        <f>SUMIFS(Table2[NewPointsAway],Table2[GameDate], "&lt;=" &amp; $A172, Table2[AwayTeam], Q$1)+SUMIFS(Table2[NewPointsHome],Table2[GameDate], "&lt;=" &amp; $A172, Table2[HomeTeam], Q$1)</f>
        <v>10</v>
      </c>
      <c r="R172" s="145">
        <f>SUMIFS(Table2[NewPointsAway],Table2[GameDate], "&lt;=" &amp; $A172, Table2[AwayTeam], R$1)+SUMIFS(Table2[NewPointsHome],Table2[GameDate], "&lt;=" &amp; $A172, Table2[HomeTeam], R$1)</f>
        <v>6</v>
      </c>
      <c r="S172" s="145">
        <f>SUMIFS(Table2[NewPointsAway],Table2[GameDate], "&lt;=" &amp; $A172, Table2[AwayTeam], S$1)+SUMIFS(Table2[NewPointsHome],Table2[GameDate], "&lt;=" &amp; $A172, Table2[HomeTeam], S$1)</f>
        <v>6</v>
      </c>
      <c r="T172" s="145">
        <f>SUMIFS(Table2[NewPointsAway],Table2[GameDate], "&lt;=" &amp; $A172, Table2[AwayTeam], T$1)+SUMIFS(Table2[NewPointsHome],Table2[GameDate], "&lt;=" &amp; $A172, Table2[HomeTeam], T$1)</f>
        <v>7</v>
      </c>
      <c r="U172" s="145">
        <f>SUMIFS(Table2[NewPointsAway],Table2[GameDate], "&lt;=" &amp; $A172, Table2[AwayTeam], U$1)+SUMIFS(Table2[NewPointsHome],Table2[GameDate], "&lt;=" &amp; $A172, Table2[HomeTeam], U$1)</f>
        <v>5</v>
      </c>
      <c r="V172" s="145">
        <f>SUMIFS(Table2[NewPointsAway],Table2[GameDate], "&lt;=" &amp; $A172, Table2[AwayTeam], V$1)+SUMIFS(Table2[NewPointsHome],Table2[GameDate], "&lt;=" &amp; $A172, Table2[HomeTeam], V$1)</f>
        <v>7</v>
      </c>
      <c r="W172" s="145">
        <f>SUMIFS(Table2[NewPointsAway],Table2[GameDate], "&lt;=" &amp; $A172, Table2[AwayTeam], W$1)+SUMIFS(Table2[NewPointsHome],Table2[GameDate], "&lt;=" &amp; $A172, Table2[HomeTeam], W$1)</f>
        <v>10</v>
      </c>
      <c r="X172" s="145">
        <f>SUMIFS(Table2[NewPointsAway],Table2[GameDate], "&lt;=" &amp; $A172, Table2[AwayTeam], X$1)+SUMIFS(Table2[NewPointsHome],Table2[GameDate], "&lt;=" &amp; $A172, Table2[HomeTeam], X$1)</f>
        <v>8</v>
      </c>
      <c r="Y172" s="145">
        <f>SUMIFS(Table2[NewPointsAway],Table2[GameDate], "&lt;=" &amp; $A172, Table2[AwayTeam], Y$1)+SUMIFS(Table2[NewPointsHome],Table2[GameDate], "&lt;=" &amp; $A172, Table2[HomeTeam], Y$1)</f>
        <v>2</v>
      </c>
      <c r="Z172" s="145">
        <f>SUMIFS(Table2[NewPointsAway],Table2[GameDate], "&lt;=" &amp; $A172, Table2[AwayTeam], Z$1)+SUMIFS(Table2[NewPointsHome],Table2[GameDate], "&lt;=" &amp; $A172, Table2[HomeTeam], Z$1)</f>
        <v>7</v>
      </c>
      <c r="AA172" s="145">
        <f>SUMIFS(Table2[NewPointsAway],Table2[GameDate], "&lt;=" &amp; $A172, Table2[AwayTeam], AA$1)+SUMIFS(Table2[NewPointsHome],Table2[GameDate], "&lt;=" &amp; $A172, Table2[HomeTeam], AA$1)</f>
        <v>4</v>
      </c>
      <c r="AB172" s="145">
        <f>SUMIFS(Table2[NewPointsAway],Table2[GameDate], "&lt;=" &amp; $A172, Table2[AwayTeam], AB$1)+SUMIFS(Table2[NewPointsHome],Table2[GameDate], "&lt;=" &amp; $A172, Table2[HomeTeam], AB$1)</f>
        <v>7</v>
      </c>
      <c r="AC172" s="145">
        <f>SUMIFS(Table2[NewPointsAway],Table2[GameDate], "&lt;=" &amp; $A172, Table2[AwayTeam], AC$1)+SUMIFS(Table2[NewPointsHome],Table2[GameDate], "&lt;=" &amp; $A172, Table2[HomeTeam], AC$1)</f>
        <v>10</v>
      </c>
      <c r="AD172" s="145">
        <f>SUMIFS(Table2[NewPointsAway],Table2[GameDate], "&lt;=" &amp; $A172, Table2[AwayTeam], AD$1)+SUMIFS(Table2[NewPointsHome],Table2[GameDate], "&lt;=" &amp; $A172, Table2[HomeTeam], AD$1)</f>
        <v>8</v>
      </c>
      <c r="AE172" s="145">
        <f>SUMIFS(Table2[NewPointsAway],Table2[GameDate], "&lt;=" &amp; $A172, Table2[AwayTeam], AE$1)+SUMIFS(Table2[NewPointsHome],Table2[GameDate], "&lt;=" &amp; $A172, Table2[HomeTeam], AE$1)</f>
        <v>12</v>
      </c>
      <c r="AF172" s="145">
        <f>SUMIFS(Table2[NewPointsAway],Table2[GameDate], "&lt;=" &amp; $A172, Table2[AwayTeam], AF$1)+SUMIFS(Table2[NewPointsHome],Table2[GameDate], "&lt;=" &amp; $A172, Table2[HomeTeam], AF$1)</f>
        <v>10</v>
      </c>
      <c r="AG172" s="145">
        <f>SUMIFS(Table2[NewPointsAway],Table2[GameDate], "&lt;=" &amp; $A172, Table2[AwayTeam], AG$1)+SUMIFS(Table2[NewPointsHome],Table2[GameDate], "&lt;=" &amp; $A172, Table2[HomeTeam], AG$1)</f>
        <v>10</v>
      </c>
    </row>
    <row r="173" spans="1:33" x14ac:dyDescent="0.25">
      <c r="A173" s="3">
        <v>46104</v>
      </c>
      <c r="B173" s="145">
        <f>SUMIFS(Table2[NewPointsAway],Table2[GameDate], "&lt;=" &amp; $A173, Table2[AwayTeam], B$1)+SUMIFS(Table2[NewPointsHome],Table2[GameDate], "&lt;=" &amp; $A173, Table2[HomeTeam], B$1)</f>
        <v>7</v>
      </c>
      <c r="C173" s="145">
        <f>SUMIFS(Table2[NewPointsAway],Table2[GameDate], "&lt;=" &amp; $A173, Table2[AwayTeam], C$1)+SUMIFS(Table2[NewPointsHome],Table2[GameDate], "&lt;=" &amp; $A173, Table2[HomeTeam], C$1)</f>
        <v>6</v>
      </c>
      <c r="D173" s="145">
        <f>SUMIFS(Table2[NewPointsAway],Table2[GameDate], "&lt;=" &amp; $A173, Table2[AwayTeam], D$1)+SUMIFS(Table2[NewPointsHome],Table2[GameDate], "&lt;=" &amp; $A173, Table2[HomeTeam], D$1)</f>
        <v>4</v>
      </c>
      <c r="E173" s="145">
        <f>SUMIFS(Table2[NewPointsAway],Table2[GameDate], "&lt;=" &amp; $A173, Table2[AwayTeam], E$1)+SUMIFS(Table2[NewPointsHome],Table2[GameDate], "&lt;=" &amp; $A173, Table2[HomeTeam], E$1)</f>
        <v>10</v>
      </c>
      <c r="F173" s="145">
        <f>SUMIFS(Table2[NewPointsAway],Table2[GameDate], "&lt;=" &amp; $A173, Table2[AwayTeam], F$1)+SUMIFS(Table2[NewPointsHome],Table2[GameDate], "&lt;=" &amp; $A173, Table2[HomeTeam], F$1)</f>
        <v>6</v>
      </c>
      <c r="G173" s="145">
        <f>SUMIFS(Table2[NewPointsAway],Table2[GameDate], "&lt;=" &amp; $A173, Table2[AwayTeam], G$1)+SUMIFS(Table2[NewPointsHome],Table2[GameDate], "&lt;=" &amp; $A173, Table2[HomeTeam], G$1)</f>
        <v>2</v>
      </c>
      <c r="H173" s="145">
        <f>SUMIFS(Table2[NewPointsAway],Table2[GameDate], "&lt;=" &amp; $A173, Table2[AwayTeam], H$1)+SUMIFS(Table2[NewPointsHome],Table2[GameDate], "&lt;=" &amp; $A173, Table2[HomeTeam], H$1)</f>
        <v>8</v>
      </c>
      <c r="I173" s="145">
        <f>SUMIFS(Table2[NewPointsAway],Table2[GameDate], "&lt;=" &amp; $A173, Table2[AwayTeam], I$1)+SUMIFS(Table2[NewPointsHome],Table2[GameDate], "&lt;=" &amp; $A173, Table2[HomeTeam], I$1)</f>
        <v>12</v>
      </c>
      <c r="J173" s="145">
        <f>SUMIFS(Table2[NewPointsAway],Table2[GameDate], "&lt;=" &amp; $A173, Table2[AwayTeam], J$1)+SUMIFS(Table2[NewPointsHome],Table2[GameDate], "&lt;=" &amp; $A173, Table2[HomeTeam], J$1)</f>
        <v>6</v>
      </c>
      <c r="K173" s="145">
        <f>SUMIFS(Table2[NewPointsAway],Table2[GameDate], "&lt;=" &amp; $A173, Table2[AwayTeam], K$1)+SUMIFS(Table2[NewPointsHome],Table2[GameDate], "&lt;=" &amp; $A173, Table2[HomeTeam], K$1)</f>
        <v>10</v>
      </c>
      <c r="L173" s="145">
        <f>SUMIFS(Table2[NewPointsAway],Table2[GameDate], "&lt;=" &amp; $A173, Table2[AwayTeam], L$1)+SUMIFS(Table2[NewPointsHome],Table2[GameDate], "&lt;=" &amp; $A173, Table2[HomeTeam], L$1)</f>
        <v>7</v>
      </c>
      <c r="M173" s="145">
        <f>SUMIFS(Table2[NewPointsAway],Table2[GameDate], "&lt;=" &amp; $A173, Table2[AwayTeam], M$1)+SUMIFS(Table2[NewPointsHome],Table2[GameDate], "&lt;=" &amp; $A173, Table2[HomeTeam], M$1)</f>
        <v>8</v>
      </c>
      <c r="N173" s="145">
        <f>SUMIFS(Table2[NewPointsAway],Table2[GameDate], "&lt;=" &amp; $A173, Table2[AwayTeam], N$1)+SUMIFS(Table2[NewPointsHome],Table2[GameDate], "&lt;=" &amp; $A173, Table2[HomeTeam], N$1)</f>
        <v>6</v>
      </c>
      <c r="O173" s="145">
        <f>SUMIFS(Table2[NewPointsAway],Table2[GameDate], "&lt;=" &amp; $A173, Table2[AwayTeam], O$1)+SUMIFS(Table2[NewPointsHome],Table2[GameDate], "&lt;=" &amp; $A173, Table2[HomeTeam], O$1)</f>
        <v>7</v>
      </c>
      <c r="P173" s="145">
        <f>SUMIFS(Table2[NewPointsAway],Table2[GameDate], "&lt;=" &amp; $A173, Table2[AwayTeam], P$1)+SUMIFS(Table2[NewPointsHome],Table2[GameDate], "&lt;=" &amp; $A173, Table2[HomeTeam], P$1)</f>
        <v>10</v>
      </c>
      <c r="Q173" s="145">
        <f>SUMIFS(Table2[NewPointsAway],Table2[GameDate], "&lt;=" &amp; $A173, Table2[AwayTeam], Q$1)+SUMIFS(Table2[NewPointsHome],Table2[GameDate], "&lt;=" &amp; $A173, Table2[HomeTeam], Q$1)</f>
        <v>10</v>
      </c>
      <c r="R173" s="145">
        <f>SUMIFS(Table2[NewPointsAway],Table2[GameDate], "&lt;=" &amp; $A173, Table2[AwayTeam], R$1)+SUMIFS(Table2[NewPointsHome],Table2[GameDate], "&lt;=" &amp; $A173, Table2[HomeTeam], R$1)</f>
        <v>6</v>
      </c>
      <c r="S173" s="145">
        <f>SUMIFS(Table2[NewPointsAway],Table2[GameDate], "&lt;=" &amp; $A173, Table2[AwayTeam], S$1)+SUMIFS(Table2[NewPointsHome],Table2[GameDate], "&lt;=" &amp; $A173, Table2[HomeTeam], S$1)</f>
        <v>6</v>
      </c>
      <c r="T173" s="145">
        <f>SUMIFS(Table2[NewPointsAway],Table2[GameDate], "&lt;=" &amp; $A173, Table2[AwayTeam], T$1)+SUMIFS(Table2[NewPointsHome],Table2[GameDate], "&lt;=" &amp; $A173, Table2[HomeTeam], T$1)</f>
        <v>7</v>
      </c>
      <c r="U173" s="145">
        <f>SUMIFS(Table2[NewPointsAway],Table2[GameDate], "&lt;=" &amp; $A173, Table2[AwayTeam], U$1)+SUMIFS(Table2[NewPointsHome],Table2[GameDate], "&lt;=" &amp; $A173, Table2[HomeTeam], U$1)</f>
        <v>5</v>
      </c>
      <c r="V173" s="145">
        <f>SUMIFS(Table2[NewPointsAway],Table2[GameDate], "&lt;=" &amp; $A173, Table2[AwayTeam], V$1)+SUMIFS(Table2[NewPointsHome],Table2[GameDate], "&lt;=" &amp; $A173, Table2[HomeTeam], V$1)</f>
        <v>7</v>
      </c>
      <c r="W173" s="145">
        <f>SUMIFS(Table2[NewPointsAway],Table2[GameDate], "&lt;=" &amp; $A173, Table2[AwayTeam], W$1)+SUMIFS(Table2[NewPointsHome],Table2[GameDate], "&lt;=" &amp; $A173, Table2[HomeTeam], W$1)</f>
        <v>10</v>
      </c>
      <c r="X173" s="145">
        <f>SUMIFS(Table2[NewPointsAway],Table2[GameDate], "&lt;=" &amp; $A173, Table2[AwayTeam], X$1)+SUMIFS(Table2[NewPointsHome],Table2[GameDate], "&lt;=" &amp; $A173, Table2[HomeTeam], X$1)</f>
        <v>8</v>
      </c>
      <c r="Y173" s="145">
        <f>SUMIFS(Table2[NewPointsAway],Table2[GameDate], "&lt;=" &amp; $A173, Table2[AwayTeam], Y$1)+SUMIFS(Table2[NewPointsHome],Table2[GameDate], "&lt;=" &amp; $A173, Table2[HomeTeam], Y$1)</f>
        <v>2</v>
      </c>
      <c r="Z173" s="145">
        <f>SUMIFS(Table2[NewPointsAway],Table2[GameDate], "&lt;=" &amp; $A173, Table2[AwayTeam], Z$1)+SUMIFS(Table2[NewPointsHome],Table2[GameDate], "&lt;=" &amp; $A173, Table2[HomeTeam], Z$1)</f>
        <v>7</v>
      </c>
      <c r="AA173" s="145">
        <f>SUMIFS(Table2[NewPointsAway],Table2[GameDate], "&lt;=" &amp; $A173, Table2[AwayTeam], AA$1)+SUMIFS(Table2[NewPointsHome],Table2[GameDate], "&lt;=" &amp; $A173, Table2[HomeTeam], AA$1)</f>
        <v>4</v>
      </c>
      <c r="AB173" s="145">
        <f>SUMIFS(Table2[NewPointsAway],Table2[GameDate], "&lt;=" &amp; $A173, Table2[AwayTeam], AB$1)+SUMIFS(Table2[NewPointsHome],Table2[GameDate], "&lt;=" &amp; $A173, Table2[HomeTeam], AB$1)</f>
        <v>7</v>
      </c>
      <c r="AC173" s="145">
        <f>SUMIFS(Table2[NewPointsAway],Table2[GameDate], "&lt;=" &amp; $A173, Table2[AwayTeam], AC$1)+SUMIFS(Table2[NewPointsHome],Table2[GameDate], "&lt;=" &amp; $A173, Table2[HomeTeam], AC$1)</f>
        <v>10</v>
      </c>
      <c r="AD173" s="145">
        <f>SUMIFS(Table2[NewPointsAway],Table2[GameDate], "&lt;=" &amp; $A173, Table2[AwayTeam], AD$1)+SUMIFS(Table2[NewPointsHome],Table2[GameDate], "&lt;=" &amp; $A173, Table2[HomeTeam], AD$1)</f>
        <v>8</v>
      </c>
      <c r="AE173" s="145">
        <f>SUMIFS(Table2[NewPointsAway],Table2[GameDate], "&lt;=" &amp; $A173, Table2[AwayTeam], AE$1)+SUMIFS(Table2[NewPointsHome],Table2[GameDate], "&lt;=" &amp; $A173, Table2[HomeTeam], AE$1)</f>
        <v>12</v>
      </c>
      <c r="AF173" s="145">
        <f>SUMIFS(Table2[NewPointsAway],Table2[GameDate], "&lt;=" &amp; $A173, Table2[AwayTeam], AF$1)+SUMIFS(Table2[NewPointsHome],Table2[GameDate], "&lt;=" &amp; $A173, Table2[HomeTeam], AF$1)</f>
        <v>10</v>
      </c>
      <c r="AG173" s="145">
        <f>SUMIFS(Table2[NewPointsAway],Table2[GameDate], "&lt;=" &amp; $A173, Table2[AwayTeam], AG$1)+SUMIFS(Table2[NewPointsHome],Table2[GameDate], "&lt;=" &amp; $A173, Table2[HomeTeam], AG$1)</f>
        <v>10</v>
      </c>
    </row>
    <row r="174" spans="1:33" x14ac:dyDescent="0.25">
      <c r="A174" s="3">
        <v>46105</v>
      </c>
      <c r="B174" s="145">
        <f>SUMIFS(Table2[NewPointsAway],Table2[GameDate], "&lt;=" &amp; $A174, Table2[AwayTeam], B$1)+SUMIFS(Table2[NewPointsHome],Table2[GameDate], "&lt;=" &amp; $A174, Table2[HomeTeam], B$1)</f>
        <v>7</v>
      </c>
      <c r="C174" s="145">
        <f>SUMIFS(Table2[NewPointsAway],Table2[GameDate], "&lt;=" &amp; $A174, Table2[AwayTeam], C$1)+SUMIFS(Table2[NewPointsHome],Table2[GameDate], "&lt;=" &amp; $A174, Table2[HomeTeam], C$1)</f>
        <v>6</v>
      </c>
      <c r="D174" s="145">
        <f>SUMIFS(Table2[NewPointsAway],Table2[GameDate], "&lt;=" &amp; $A174, Table2[AwayTeam], D$1)+SUMIFS(Table2[NewPointsHome],Table2[GameDate], "&lt;=" &amp; $A174, Table2[HomeTeam], D$1)</f>
        <v>4</v>
      </c>
      <c r="E174" s="145">
        <f>SUMIFS(Table2[NewPointsAway],Table2[GameDate], "&lt;=" &amp; $A174, Table2[AwayTeam], E$1)+SUMIFS(Table2[NewPointsHome],Table2[GameDate], "&lt;=" &amp; $A174, Table2[HomeTeam], E$1)</f>
        <v>10</v>
      </c>
      <c r="F174" s="145">
        <f>SUMIFS(Table2[NewPointsAway],Table2[GameDate], "&lt;=" &amp; $A174, Table2[AwayTeam], F$1)+SUMIFS(Table2[NewPointsHome],Table2[GameDate], "&lt;=" &amp; $A174, Table2[HomeTeam], F$1)</f>
        <v>6</v>
      </c>
      <c r="G174" s="145">
        <f>SUMIFS(Table2[NewPointsAway],Table2[GameDate], "&lt;=" &amp; $A174, Table2[AwayTeam], G$1)+SUMIFS(Table2[NewPointsHome],Table2[GameDate], "&lt;=" &amp; $A174, Table2[HomeTeam], G$1)</f>
        <v>2</v>
      </c>
      <c r="H174" s="145">
        <f>SUMIFS(Table2[NewPointsAway],Table2[GameDate], "&lt;=" &amp; $A174, Table2[AwayTeam], H$1)+SUMIFS(Table2[NewPointsHome],Table2[GameDate], "&lt;=" &amp; $A174, Table2[HomeTeam], H$1)</f>
        <v>8</v>
      </c>
      <c r="I174" s="145">
        <f>SUMIFS(Table2[NewPointsAway],Table2[GameDate], "&lt;=" &amp; $A174, Table2[AwayTeam], I$1)+SUMIFS(Table2[NewPointsHome],Table2[GameDate], "&lt;=" &amp; $A174, Table2[HomeTeam], I$1)</f>
        <v>12</v>
      </c>
      <c r="J174" s="145">
        <f>SUMIFS(Table2[NewPointsAway],Table2[GameDate], "&lt;=" &amp; $A174, Table2[AwayTeam], J$1)+SUMIFS(Table2[NewPointsHome],Table2[GameDate], "&lt;=" &amp; $A174, Table2[HomeTeam], J$1)</f>
        <v>6</v>
      </c>
      <c r="K174" s="145">
        <f>SUMIFS(Table2[NewPointsAway],Table2[GameDate], "&lt;=" &amp; $A174, Table2[AwayTeam], K$1)+SUMIFS(Table2[NewPointsHome],Table2[GameDate], "&lt;=" &amp; $A174, Table2[HomeTeam], K$1)</f>
        <v>10</v>
      </c>
      <c r="L174" s="145">
        <f>SUMIFS(Table2[NewPointsAway],Table2[GameDate], "&lt;=" &amp; $A174, Table2[AwayTeam], L$1)+SUMIFS(Table2[NewPointsHome],Table2[GameDate], "&lt;=" &amp; $A174, Table2[HomeTeam], L$1)</f>
        <v>7</v>
      </c>
      <c r="M174" s="145">
        <f>SUMIFS(Table2[NewPointsAway],Table2[GameDate], "&lt;=" &amp; $A174, Table2[AwayTeam], M$1)+SUMIFS(Table2[NewPointsHome],Table2[GameDate], "&lt;=" &amp; $A174, Table2[HomeTeam], M$1)</f>
        <v>8</v>
      </c>
      <c r="N174" s="145">
        <f>SUMIFS(Table2[NewPointsAway],Table2[GameDate], "&lt;=" &amp; $A174, Table2[AwayTeam], N$1)+SUMIFS(Table2[NewPointsHome],Table2[GameDate], "&lt;=" &amp; $A174, Table2[HomeTeam], N$1)</f>
        <v>6</v>
      </c>
      <c r="O174" s="145">
        <f>SUMIFS(Table2[NewPointsAway],Table2[GameDate], "&lt;=" &amp; $A174, Table2[AwayTeam], O$1)+SUMIFS(Table2[NewPointsHome],Table2[GameDate], "&lt;=" &amp; $A174, Table2[HomeTeam], O$1)</f>
        <v>7</v>
      </c>
      <c r="P174" s="145">
        <f>SUMIFS(Table2[NewPointsAway],Table2[GameDate], "&lt;=" &amp; $A174, Table2[AwayTeam], P$1)+SUMIFS(Table2[NewPointsHome],Table2[GameDate], "&lt;=" &amp; $A174, Table2[HomeTeam], P$1)</f>
        <v>10</v>
      </c>
      <c r="Q174" s="145">
        <f>SUMIFS(Table2[NewPointsAway],Table2[GameDate], "&lt;=" &amp; $A174, Table2[AwayTeam], Q$1)+SUMIFS(Table2[NewPointsHome],Table2[GameDate], "&lt;=" &amp; $A174, Table2[HomeTeam], Q$1)</f>
        <v>10</v>
      </c>
      <c r="R174" s="145">
        <f>SUMIFS(Table2[NewPointsAway],Table2[GameDate], "&lt;=" &amp; $A174, Table2[AwayTeam], R$1)+SUMIFS(Table2[NewPointsHome],Table2[GameDate], "&lt;=" &amp; $A174, Table2[HomeTeam], R$1)</f>
        <v>6</v>
      </c>
      <c r="S174" s="145">
        <f>SUMIFS(Table2[NewPointsAway],Table2[GameDate], "&lt;=" &amp; $A174, Table2[AwayTeam], S$1)+SUMIFS(Table2[NewPointsHome],Table2[GameDate], "&lt;=" &amp; $A174, Table2[HomeTeam], S$1)</f>
        <v>6</v>
      </c>
      <c r="T174" s="145">
        <f>SUMIFS(Table2[NewPointsAway],Table2[GameDate], "&lt;=" &amp; $A174, Table2[AwayTeam], T$1)+SUMIFS(Table2[NewPointsHome],Table2[GameDate], "&lt;=" &amp; $A174, Table2[HomeTeam], T$1)</f>
        <v>7</v>
      </c>
      <c r="U174" s="145">
        <f>SUMIFS(Table2[NewPointsAway],Table2[GameDate], "&lt;=" &amp; $A174, Table2[AwayTeam], U$1)+SUMIFS(Table2[NewPointsHome],Table2[GameDate], "&lt;=" &amp; $A174, Table2[HomeTeam], U$1)</f>
        <v>5</v>
      </c>
      <c r="V174" s="145">
        <f>SUMIFS(Table2[NewPointsAway],Table2[GameDate], "&lt;=" &amp; $A174, Table2[AwayTeam], V$1)+SUMIFS(Table2[NewPointsHome],Table2[GameDate], "&lt;=" &amp; $A174, Table2[HomeTeam], V$1)</f>
        <v>7</v>
      </c>
      <c r="W174" s="145">
        <f>SUMIFS(Table2[NewPointsAway],Table2[GameDate], "&lt;=" &amp; $A174, Table2[AwayTeam], W$1)+SUMIFS(Table2[NewPointsHome],Table2[GameDate], "&lt;=" &amp; $A174, Table2[HomeTeam], W$1)</f>
        <v>10</v>
      </c>
      <c r="X174" s="145">
        <f>SUMIFS(Table2[NewPointsAway],Table2[GameDate], "&lt;=" &amp; $A174, Table2[AwayTeam], X$1)+SUMIFS(Table2[NewPointsHome],Table2[GameDate], "&lt;=" &amp; $A174, Table2[HomeTeam], X$1)</f>
        <v>8</v>
      </c>
      <c r="Y174" s="145">
        <f>SUMIFS(Table2[NewPointsAway],Table2[GameDate], "&lt;=" &amp; $A174, Table2[AwayTeam], Y$1)+SUMIFS(Table2[NewPointsHome],Table2[GameDate], "&lt;=" &amp; $A174, Table2[HomeTeam], Y$1)</f>
        <v>2</v>
      </c>
      <c r="Z174" s="145">
        <f>SUMIFS(Table2[NewPointsAway],Table2[GameDate], "&lt;=" &amp; $A174, Table2[AwayTeam], Z$1)+SUMIFS(Table2[NewPointsHome],Table2[GameDate], "&lt;=" &amp; $A174, Table2[HomeTeam], Z$1)</f>
        <v>7</v>
      </c>
      <c r="AA174" s="145">
        <f>SUMIFS(Table2[NewPointsAway],Table2[GameDate], "&lt;=" &amp; $A174, Table2[AwayTeam], AA$1)+SUMIFS(Table2[NewPointsHome],Table2[GameDate], "&lt;=" &amp; $A174, Table2[HomeTeam], AA$1)</f>
        <v>4</v>
      </c>
      <c r="AB174" s="145">
        <f>SUMIFS(Table2[NewPointsAway],Table2[GameDate], "&lt;=" &amp; $A174, Table2[AwayTeam], AB$1)+SUMIFS(Table2[NewPointsHome],Table2[GameDate], "&lt;=" &amp; $A174, Table2[HomeTeam], AB$1)</f>
        <v>7</v>
      </c>
      <c r="AC174" s="145">
        <f>SUMIFS(Table2[NewPointsAway],Table2[GameDate], "&lt;=" &amp; $A174, Table2[AwayTeam], AC$1)+SUMIFS(Table2[NewPointsHome],Table2[GameDate], "&lt;=" &amp; $A174, Table2[HomeTeam], AC$1)</f>
        <v>10</v>
      </c>
      <c r="AD174" s="145">
        <f>SUMIFS(Table2[NewPointsAway],Table2[GameDate], "&lt;=" &amp; $A174, Table2[AwayTeam], AD$1)+SUMIFS(Table2[NewPointsHome],Table2[GameDate], "&lt;=" &amp; $A174, Table2[HomeTeam], AD$1)</f>
        <v>8</v>
      </c>
      <c r="AE174" s="145">
        <f>SUMIFS(Table2[NewPointsAway],Table2[GameDate], "&lt;=" &amp; $A174, Table2[AwayTeam], AE$1)+SUMIFS(Table2[NewPointsHome],Table2[GameDate], "&lt;=" &amp; $A174, Table2[HomeTeam], AE$1)</f>
        <v>12</v>
      </c>
      <c r="AF174" s="145">
        <f>SUMIFS(Table2[NewPointsAway],Table2[GameDate], "&lt;=" &amp; $A174, Table2[AwayTeam], AF$1)+SUMIFS(Table2[NewPointsHome],Table2[GameDate], "&lt;=" &amp; $A174, Table2[HomeTeam], AF$1)</f>
        <v>10</v>
      </c>
      <c r="AG174" s="145">
        <f>SUMIFS(Table2[NewPointsAway],Table2[GameDate], "&lt;=" &amp; $A174, Table2[AwayTeam], AG$1)+SUMIFS(Table2[NewPointsHome],Table2[GameDate], "&lt;=" &amp; $A174, Table2[HomeTeam], AG$1)</f>
        <v>10</v>
      </c>
    </row>
    <row r="175" spans="1:33" x14ac:dyDescent="0.25">
      <c r="A175" s="3">
        <v>46106</v>
      </c>
      <c r="B175" s="145">
        <f>SUMIFS(Table2[NewPointsAway],Table2[GameDate], "&lt;=" &amp; $A175, Table2[AwayTeam], B$1)+SUMIFS(Table2[NewPointsHome],Table2[GameDate], "&lt;=" &amp; $A175, Table2[HomeTeam], B$1)</f>
        <v>7</v>
      </c>
      <c r="C175" s="145">
        <f>SUMIFS(Table2[NewPointsAway],Table2[GameDate], "&lt;=" &amp; $A175, Table2[AwayTeam], C$1)+SUMIFS(Table2[NewPointsHome],Table2[GameDate], "&lt;=" &amp; $A175, Table2[HomeTeam], C$1)</f>
        <v>6</v>
      </c>
      <c r="D175" s="145">
        <f>SUMIFS(Table2[NewPointsAway],Table2[GameDate], "&lt;=" &amp; $A175, Table2[AwayTeam], D$1)+SUMIFS(Table2[NewPointsHome],Table2[GameDate], "&lt;=" &amp; $A175, Table2[HomeTeam], D$1)</f>
        <v>4</v>
      </c>
      <c r="E175" s="145">
        <f>SUMIFS(Table2[NewPointsAway],Table2[GameDate], "&lt;=" &amp; $A175, Table2[AwayTeam], E$1)+SUMIFS(Table2[NewPointsHome],Table2[GameDate], "&lt;=" &amp; $A175, Table2[HomeTeam], E$1)</f>
        <v>10</v>
      </c>
      <c r="F175" s="145">
        <f>SUMIFS(Table2[NewPointsAway],Table2[GameDate], "&lt;=" &amp; $A175, Table2[AwayTeam], F$1)+SUMIFS(Table2[NewPointsHome],Table2[GameDate], "&lt;=" &amp; $A175, Table2[HomeTeam], F$1)</f>
        <v>6</v>
      </c>
      <c r="G175" s="145">
        <f>SUMIFS(Table2[NewPointsAway],Table2[GameDate], "&lt;=" &amp; $A175, Table2[AwayTeam], G$1)+SUMIFS(Table2[NewPointsHome],Table2[GameDate], "&lt;=" &amp; $A175, Table2[HomeTeam], G$1)</f>
        <v>2</v>
      </c>
      <c r="H175" s="145">
        <f>SUMIFS(Table2[NewPointsAway],Table2[GameDate], "&lt;=" &amp; $A175, Table2[AwayTeam], H$1)+SUMIFS(Table2[NewPointsHome],Table2[GameDate], "&lt;=" &amp; $A175, Table2[HomeTeam], H$1)</f>
        <v>8</v>
      </c>
      <c r="I175" s="145">
        <f>SUMIFS(Table2[NewPointsAway],Table2[GameDate], "&lt;=" &amp; $A175, Table2[AwayTeam], I$1)+SUMIFS(Table2[NewPointsHome],Table2[GameDate], "&lt;=" &amp; $A175, Table2[HomeTeam], I$1)</f>
        <v>12</v>
      </c>
      <c r="J175" s="145">
        <f>SUMIFS(Table2[NewPointsAway],Table2[GameDate], "&lt;=" &amp; $A175, Table2[AwayTeam], J$1)+SUMIFS(Table2[NewPointsHome],Table2[GameDate], "&lt;=" &amp; $A175, Table2[HomeTeam], J$1)</f>
        <v>6</v>
      </c>
      <c r="K175" s="145">
        <f>SUMIFS(Table2[NewPointsAway],Table2[GameDate], "&lt;=" &amp; $A175, Table2[AwayTeam], K$1)+SUMIFS(Table2[NewPointsHome],Table2[GameDate], "&lt;=" &amp; $A175, Table2[HomeTeam], K$1)</f>
        <v>10</v>
      </c>
      <c r="L175" s="145">
        <f>SUMIFS(Table2[NewPointsAway],Table2[GameDate], "&lt;=" &amp; $A175, Table2[AwayTeam], L$1)+SUMIFS(Table2[NewPointsHome],Table2[GameDate], "&lt;=" &amp; $A175, Table2[HomeTeam], L$1)</f>
        <v>7</v>
      </c>
      <c r="M175" s="145">
        <f>SUMIFS(Table2[NewPointsAway],Table2[GameDate], "&lt;=" &amp; $A175, Table2[AwayTeam], M$1)+SUMIFS(Table2[NewPointsHome],Table2[GameDate], "&lt;=" &amp; $A175, Table2[HomeTeam], M$1)</f>
        <v>8</v>
      </c>
      <c r="N175" s="145">
        <f>SUMIFS(Table2[NewPointsAway],Table2[GameDate], "&lt;=" &amp; $A175, Table2[AwayTeam], N$1)+SUMIFS(Table2[NewPointsHome],Table2[GameDate], "&lt;=" &amp; $A175, Table2[HomeTeam], N$1)</f>
        <v>6</v>
      </c>
      <c r="O175" s="145">
        <f>SUMIFS(Table2[NewPointsAway],Table2[GameDate], "&lt;=" &amp; $A175, Table2[AwayTeam], O$1)+SUMIFS(Table2[NewPointsHome],Table2[GameDate], "&lt;=" &amp; $A175, Table2[HomeTeam], O$1)</f>
        <v>7</v>
      </c>
      <c r="P175" s="145">
        <f>SUMIFS(Table2[NewPointsAway],Table2[GameDate], "&lt;=" &amp; $A175, Table2[AwayTeam], P$1)+SUMIFS(Table2[NewPointsHome],Table2[GameDate], "&lt;=" &amp; $A175, Table2[HomeTeam], P$1)</f>
        <v>10</v>
      </c>
      <c r="Q175" s="145">
        <f>SUMIFS(Table2[NewPointsAway],Table2[GameDate], "&lt;=" &amp; $A175, Table2[AwayTeam], Q$1)+SUMIFS(Table2[NewPointsHome],Table2[GameDate], "&lt;=" &amp; $A175, Table2[HomeTeam], Q$1)</f>
        <v>10</v>
      </c>
      <c r="R175" s="145">
        <f>SUMIFS(Table2[NewPointsAway],Table2[GameDate], "&lt;=" &amp; $A175, Table2[AwayTeam], R$1)+SUMIFS(Table2[NewPointsHome],Table2[GameDate], "&lt;=" &amp; $A175, Table2[HomeTeam], R$1)</f>
        <v>6</v>
      </c>
      <c r="S175" s="145">
        <f>SUMIFS(Table2[NewPointsAway],Table2[GameDate], "&lt;=" &amp; $A175, Table2[AwayTeam], S$1)+SUMIFS(Table2[NewPointsHome],Table2[GameDate], "&lt;=" &amp; $A175, Table2[HomeTeam], S$1)</f>
        <v>6</v>
      </c>
      <c r="T175" s="145">
        <f>SUMIFS(Table2[NewPointsAway],Table2[GameDate], "&lt;=" &amp; $A175, Table2[AwayTeam], T$1)+SUMIFS(Table2[NewPointsHome],Table2[GameDate], "&lt;=" &amp; $A175, Table2[HomeTeam], T$1)</f>
        <v>7</v>
      </c>
      <c r="U175" s="145">
        <f>SUMIFS(Table2[NewPointsAway],Table2[GameDate], "&lt;=" &amp; $A175, Table2[AwayTeam], U$1)+SUMIFS(Table2[NewPointsHome],Table2[GameDate], "&lt;=" &amp; $A175, Table2[HomeTeam], U$1)</f>
        <v>5</v>
      </c>
      <c r="V175" s="145">
        <f>SUMIFS(Table2[NewPointsAway],Table2[GameDate], "&lt;=" &amp; $A175, Table2[AwayTeam], V$1)+SUMIFS(Table2[NewPointsHome],Table2[GameDate], "&lt;=" &amp; $A175, Table2[HomeTeam], V$1)</f>
        <v>7</v>
      </c>
      <c r="W175" s="145">
        <f>SUMIFS(Table2[NewPointsAway],Table2[GameDate], "&lt;=" &amp; $A175, Table2[AwayTeam], W$1)+SUMIFS(Table2[NewPointsHome],Table2[GameDate], "&lt;=" &amp; $A175, Table2[HomeTeam], W$1)</f>
        <v>10</v>
      </c>
      <c r="X175" s="145">
        <f>SUMIFS(Table2[NewPointsAway],Table2[GameDate], "&lt;=" &amp; $A175, Table2[AwayTeam], X$1)+SUMIFS(Table2[NewPointsHome],Table2[GameDate], "&lt;=" &amp; $A175, Table2[HomeTeam], X$1)</f>
        <v>8</v>
      </c>
      <c r="Y175" s="145">
        <f>SUMIFS(Table2[NewPointsAway],Table2[GameDate], "&lt;=" &amp; $A175, Table2[AwayTeam], Y$1)+SUMIFS(Table2[NewPointsHome],Table2[GameDate], "&lt;=" &amp; $A175, Table2[HomeTeam], Y$1)</f>
        <v>2</v>
      </c>
      <c r="Z175" s="145">
        <f>SUMIFS(Table2[NewPointsAway],Table2[GameDate], "&lt;=" &amp; $A175, Table2[AwayTeam], Z$1)+SUMIFS(Table2[NewPointsHome],Table2[GameDate], "&lt;=" &amp; $A175, Table2[HomeTeam], Z$1)</f>
        <v>7</v>
      </c>
      <c r="AA175" s="145">
        <f>SUMIFS(Table2[NewPointsAway],Table2[GameDate], "&lt;=" &amp; $A175, Table2[AwayTeam], AA$1)+SUMIFS(Table2[NewPointsHome],Table2[GameDate], "&lt;=" &amp; $A175, Table2[HomeTeam], AA$1)</f>
        <v>4</v>
      </c>
      <c r="AB175" s="145">
        <f>SUMIFS(Table2[NewPointsAway],Table2[GameDate], "&lt;=" &amp; $A175, Table2[AwayTeam], AB$1)+SUMIFS(Table2[NewPointsHome],Table2[GameDate], "&lt;=" &amp; $A175, Table2[HomeTeam], AB$1)</f>
        <v>7</v>
      </c>
      <c r="AC175" s="145">
        <f>SUMIFS(Table2[NewPointsAway],Table2[GameDate], "&lt;=" &amp; $A175, Table2[AwayTeam], AC$1)+SUMIFS(Table2[NewPointsHome],Table2[GameDate], "&lt;=" &amp; $A175, Table2[HomeTeam], AC$1)</f>
        <v>10</v>
      </c>
      <c r="AD175" s="145">
        <f>SUMIFS(Table2[NewPointsAway],Table2[GameDate], "&lt;=" &amp; $A175, Table2[AwayTeam], AD$1)+SUMIFS(Table2[NewPointsHome],Table2[GameDate], "&lt;=" &amp; $A175, Table2[HomeTeam], AD$1)</f>
        <v>8</v>
      </c>
      <c r="AE175" s="145">
        <f>SUMIFS(Table2[NewPointsAway],Table2[GameDate], "&lt;=" &amp; $A175, Table2[AwayTeam], AE$1)+SUMIFS(Table2[NewPointsHome],Table2[GameDate], "&lt;=" &amp; $A175, Table2[HomeTeam], AE$1)</f>
        <v>12</v>
      </c>
      <c r="AF175" s="145">
        <f>SUMIFS(Table2[NewPointsAway],Table2[GameDate], "&lt;=" &amp; $A175, Table2[AwayTeam], AF$1)+SUMIFS(Table2[NewPointsHome],Table2[GameDate], "&lt;=" &amp; $A175, Table2[HomeTeam], AF$1)</f>
        <v>10</v>
      </c>
      <c r="AG175" s="145">
        <f>SUMIFS(Table2[NewPointsAway],Table2[GameDate], "&lt;=" &amp; $A175, Table2[AwayTeam], AG$1)+SUMIFS(Table2[NewPointsHome],Table2[GameDate], "&lt;=" &amp; $A175, Table2[HomeTeam], AG$1)</f>
        <v>10</v>
      </c>
    </row>
    <row r="176" spans="1:33" x14ac:dyDescent="0.25">
      <c r="A176" s="3">
        <v>46107</v>
      </c>
      <c r="B176" s="145">
        <f>SUMIFS(Table2[NewPointsAway],Table2[GameDate], "&lt;=" &amp; $A176, Table2[AwayTeam], B$1)+SUMIFS(Table2[NewPointsHome],Table2[GameDate], "&lt;=" &amp; $A176, Table2[HomeTeam], B$1)</f>
        <v>7</v>
      </c>
      <c r="C176" s="145">
        <f>SUMIFS(Table2[NewPointsAway],Table2[GameDate], "&lt;=" &amp; $A176, Table2[AwayTeam], C$1)+SUMIFS(Table2[NewPointsHome],Table2[GameDate], "&lt;=" &amp; $A176, Table2[HomeTeam], C$1)</f>
        <v>6</v>
      </c>
      <c r="D176" s="145">
        <f>SUMIFS(Table2[NewPointsAway],Table2[GameDate], "&lt;=" &amp; $A176, Table2[AwayTeam], D$1)+SUMIFS(Table2[NewPointsHome],Table2[GameDate], "&lt;=" &amp; $A176, Table2[HomeTeam], D$1)</f>
        <v>4</v>
      </c>
      <c r="E176" s="145">
        <f>SUMIFS(Table2[NewPointsAway],Table2[GameDate], "&lt;=" &amp; $A176, Table2[AwayTeam], E$1)+SUMIFS(Table2[NewPointsHome],Table2[GameDate], "&lt;=" &amp; $A176, Table2[HomeTeam], E$1)</f>
        <v>10</v>
      </c>
      <c r="F176" s="145">
        <f>SUMIFS(Table2[NewPointsAway],Table2[GameDate], "&lt;=" &amp; $A176, Table2[AwayTeam], F$1)+SUMIFS(Table2[NewPointsHome],Table2[GameDate], "&lt;=" &amp; $A176, Table2[HomeTeam], F$1)</f>
        <v>6</v>
      </c>
      <c r="G176" s="145">
        <f>SUMIFS(Table2[NewPointsAway],Table2[GameDate], "&lt;=" &amp; $A176, Table2[AwayTeam], G$1)+SUMIFS(Table2[NewPointsHome],Table2[GameDate], "&lt;=" &amp; $A176, Table2[HomeTeam], G$1)</f>
        <v>2</v>
      </c>
      <c r="H176" s="145">
        <f>SUMIFS(Table2[NewPointsAway],Table2[GameDate], "&lt;=" &amp; $A176, Table2[AwayTeam], H$1)+SUMIFS(Table2[NewPointsHome],Table2[GameDate], "&lt;=" &amp; $A176, Table2[HomeTeam], H$1)</f>
        <v>8</v>
      </c>
      <c r="I176" s="145">
        <f>SUMIFS(Table2[NewPointsAway],Table2[GameDate], "&lt;=" &amp; $A176, Table2[AwayTeam], I$1)+SUMIFS(Table2[NewPointsHome],Table2[GameDate], "&lt;=" &amp; $A176, Table2[HomeTeam], I$1)</f>
        <v>12</v>
      </c>
      <c r="J176" s="145">
        <f>SUMIFS(Table2[NewPointsAway],Table2[GameDate], "&lt;=" &amp; $A176, Table2[AwayTeam], J$1)+SUMIFS(Table2[NewPointsHome],Table2[GameDate], "&lt;=" &amp; $A176, Table2[HomeTeam], J$1)</f>
        <v>6</v>
      </c>
      <c r="K176" s="145">
        <f>SUMIFS(Table2[NewPointsAway],Table2[GameDate], "&lt;=" &amp; $A176, Table2[AwayTeam], K$1)+SUMIFS(Table2[NewPointsHome],Table2[GameDate], "&lt;=" &amp; $A176, Table2[HomeTeam], K$1)</f>
        <v>10</v>
      </c>
      <c r="L176" s="145">
        <f>SUMIFS(Table2[NewPointsAway],Table2[GameDate], "&lt;=" &amp; $A176, Table2[AwayTeam], L$1)+SUMIFS(Table2[NewPointsHome],Table2[GameDate], "&lt;=" &amp; $A176, Table2[HomeTeam], L$1)</f>
        <v>7</v>
      </c>
      <c r="M176" s="145">
        <f>SUMIFS(Table2[NewPointsAway],Table2[GameDate], "&lt;=" &amp; $A176, Table2[AwayTeam], M$1)+SUMIFS(Table2[NewPointsHome],Table2[GameDate], "&lt;=" &amp; $A176, Table2[HomeTeam], M$1)</f>
        <v>8</v>
      </c>
      <c r="N176" s="145">
        <f>SUMIFS(Table2[NewPointsAway],Table2[GameDate], "&lt;=" &amp; $A176, Table2[AwayTeam], N$1)+SUMIFS(Table2[NewPointsHome],Table2[GameDate], "&lt;=" &amp; $A176, Table2[HomeTeam], N$1)</f>
        <v>6</v>
      </c>
      <c r="O176" s="145">
        <f>SUMIFS(Table2[NewPointsAway],Table2[GameDate], "&lt;=" &amp; $A176, Table2[AwayTeam], O$1)+SUMIFS(Table2[NewPointsHome],Table2[GameDate], "&lt;=" &amp; $A176, Table2[HomeTeam], O$1)</f>
        <v>7</v>
      </c>
      <c r="P176" s="145">
        <f>SUMIFS(Table2[NewPointsAway],Table2[GameDate], "&lt;=" &amp; $A176, Table2[AwayTeam], P$1)+SUMIFS(Table2[NewPointsHome],Table2[GameDate], "&lt;=" &amp; $A176, Table2[HomeTeam], P$1)</f>
        <v>10</v>
      </c>
      <c r="Q176" s="145">
        <f>SUMIFS(Table2[NewPointsAway],Table2[GameDate], "&lt;=" &amp; $A176, Table2[AwayTeam], Q$1)+SUMIFS(Table2[NewPointsHome],Table2[GameDate], "&lt;=" &amp; $A176, Table2[HomeTeam], Q$1)</f>
        <v>10</v>
      </c>
      <c r="R176" s="145">
        <f>SUMIFS(Table2[NewPointsAway],Table2[GameDate], "&lt;=" &amp; $A176, Table2[AwayTeam], R$1)+SUMIFS(Table2[NewPointsHome],Table2[GameDate], "&lt;=" &amp; $A176, Table2[HomeTeam], R$1)</f>
        <v>6</v>
      </c>
      <c r="S176" s="145">
        <f>SUMIFS(Table2[NewPointsAway],Table2[GameDate], "&lt;=" &amp; $A176, Table2[AwayTeam], S$1)+SUMIFS(Table2[NewPointsHome],Table2[GameDate], "&lt;=" &amp; $A176, Table2[HomeTeam], S$1)</f>
        <v>6</v>
      </c>
      <c r="T176" s="145">
        <f>SUMIFS(Table2[NewPointsAway],Table2[GameDate], "&lt;=" &amp; $A176, Table2[AwayTeam], T$1)+SUMIFS(Table2[NewPointsHome],Table2[GameDate], "&lt;=" &amp; $A176, Table2[HomeTeam], T$1)</f>
        <v>7</v>
      </c>
      <c r="U176" s="145">
        <f>SUMIFS(Table2[NewPointsAway],Table2[GameDate], "&lt;=" &amp; $A176, Table2[AwayTeam], U$1)+SUMIFS(Table2[NewPointsHome],Table2[GameDate], "&lt;=" &amp; $A176, Table2[HomeTeam], U$1)</f>
        <v>5</v>
      </c>
      <c r="V176" s="145">
        <f>SUMIFS(Table2[NewPointsAway],Table2[GameDate], "&lt;=" &amp; $A176, Table2[AwayTeam], V$1)+SUMIFS(Table2[NewPointsHome],Table2[GameDate], "&lt;=" &amp; $A176, Table2[HomeTeam], V$1)</f>
        <v>7</v>
      </c>
      <c r="W176" s="145">
        <f>SUMIFS(Table2[NewPointsAway],Table2[GameDate], "&lt;=" &amp; $A176, Table2[AwayTeam], W$1)+SUMIFS(Table2[NewPointsHome],Table2[GameDate], "&lt;=" &amp; $A176, Table2[HomeTeam], W$1)</f>
        <v>10</v>
      </c>
      <c r="X176" s="145">
        <f>SUMIFS(Table2[NewPointsAway],Table2[GameDate], "&lt;=" &amp; $A176, Table2[AwayTeam], X$1)+SUMIFS(Table2[NewPointsHome],Table2[GameDate], "&lt;=" &amp; $A176, Table2[HomeTeam], X$1)</f>
        <v>8</v>
      </c>
      <c r="Y176" s="145">
        <f>SUMIFS(Table2[NewPointsAway],Table2[GameDate], "&lt;=" &amp; $A176, Table2[AwayTeam], Y$1)+SUMIFS(Table2[NewPointsHome],Table2[GameDate], "&lt;=" &amp; $A176, Table2[HomeTeam], Y$1)</f>
        <v>2</v>
      </c>
      <c r="Z176" s="145">
        <f>SUMIFS(Table2[NewPointsAway],Table2[GameDate], "&lt;=" &amp; $A176, Table2[AwayTeam], Z$1)+SUMIFS(Table2[NewPointsHome],Table2[GameDate], "&lt;=" &amp; $A176, Table2[HomeTeam], Z$1)</f>
        <v>7</v>
      </c>
      <c r="AA176" s="145">
        <f>SUMIFS(Table2[NewPointsAway],Table2[GameDate], "&lt;=" &amp; $A176, Table2[AwayTeam], AA$1)+SUMIFS(Table2[NewPointsHome],Table2[GameDate], "&lt;=" &amp; $A176, Table2[HomeTeam], AA$1)</f>
        <v>4</v>
      </c>
      <c r="AB176" s="145">
        <f>SUMIFS(Table2[NewPointsAway],Table2[GameDate], "&lt;=" &amp; $A176, Table2[AwayTeam], AB$1)+SUMIFS(Table2[NewPointsHome],Table2[GameDate], "&lt;=" &amp; $A176, Table2[HomeTeam], AB$1)</f>
        <v>7</v>
      </c>
      <c r="AC176" s="145">
        <f>SUMIFS(Table2[NewPointsAway],Table2[GameDate], "&lt;=" &amp; $A176, Table2[AwayTeam], AC$1)+SUMIFS(Table2[NewPointsHome],Table2[GameDate], "&lt;=" &amp; $A176, Table2[HomeTeam], AC$1)</f>
        <v>10</v>
      </c>
      <c r="AD176" s="145">
        <f>SUMIFS(Table2[NewPointsAway],Table2[GameDate], "&lt;=" &amp; $A176, Table2[AwayTeam], AD$1)+SUMIFS(Table2[NewPointsHome],Table2[GameDate], "&lt;=" &amp; $A176, Table2[HomeTeam], AD$1)</f>
        <v>8</v>
      </c>
      <c r="AE176" s="145">
        <f>SUMIFS(Table2[NewPointsAway],Table2[GameDate], "&lt;=" &amp; $A176, Table2[AwayTeam], AE$1)+SUMIFS(Table2[NewPointsHome],Table2[GameDate], "&lt;=" &amp; $A176, Table2[HomeTeam], AE$1)</f>
        <v>12</v>
      </c>
      <c r="AF176" s="145">
        <f>SUMIFS(Table2[NewPointsAway],Table2[GameDate], "&lt;=" &amp; $A176, Table2[AwayTeam], AF$1)+SUMIFS(Table2[NewPointsHome],Table2[GameDate], "&lt;=" &amp; $A176, Table2[HomeTeam], AF$1)</f>
        <v>10</v>
      </c>
      <c r="AG176" s="145">
        <f>SUMIFS(Table2[NewPointsAway],Table2[GameDate], "&lt;=" &amp; $A176, Table2[AwayTeam], AG$1)+SUMIFS(Table2[NewPointsHome],Table2[GameDate], "&lt;=" &amp; $A176, Table2[HomeTeam], AG$1)</f>
        <v>10</v>
      </c>
    </row>
    <row r="177" spans="1:33" x14ac:dyDescent="0.25">
      <c r="A177" s="3">
        <v>46108</v>
      </c>
      <c r="B177" s="145">
        <f>SUMIFS(Table2[NewPointsAway],Table2[GameDate], "&lt;=" &amp; $A177, Table2[AwayTeam], B$1)+SUMIFS(Table2[NewPointsHome],Table2[GameDate], "&lt;=" &amp; $A177, Table2[HomeTeam], B$1)</f>
        <v>7</v>
      </c>
      <c r="C177" s="145">
        <f>SUMIFS(Table2[NewPointsAway],Table2[GameDate], "&lt;=" &amp; $A177, Table2[AwayTeam], C$1)+SUMIFS(Table2[NewPointsHome],Table2[GameDate], "&lt;=" &amp; $A177, Table2[HomeTeam], C$1)</f>
        <v>6</v>
      </c>
      <c r="D177" s="145">
        <f>SUMIFS(Table2[NewPointsAway],Table2[GameDate], "&lt;=" &amp; $A177, Table2[AwayTeam], D$1)+SUMIFS(Table2[NewPointsHome],Table2[GameDate], "&lt;=" &amp; $A177, Table2[HomeTeam], D$1)</f>
        <v>4</v>
      </c>
      <c r="E177" s="145">
        <f>SUMIFS(Table2[NewPointsAway],Table2[GameDate], "&lt;=" &amp; $A177, Table2[AwayTeam], E$1)+SUMIFS(Table2[NewPointsHome],Table2[GameDate], "&lt;=" &amp; $A177, Table2[HomeTeam], E$1)</f>
        <v>10</v>
      </c>
      <c r="F177" s="145">
        <f>SUMIFS(Table2[NewPointsAway],Table2[GameDate], "&lt;=" &amp; $A177, Table2[AwayTeam], F$1)+SUMIFS(Table2[NewPointsHome],Table2[GameDate], "&lt;=" &amp; $A177, Table2[HomeTeam], F$1)</f>
        <v>6</v>
      </c>
      <c r="G177" s="145">
        <f>SUMIFS(Table2[NewPointsAway],Table2[GameDate], "&lt;=" &amp; $A177, Table2[AwayTeam], G$1)+SUMIFS(Table2[NewPointsHome],Table2[GameDate], "&lt;=" &amp; $A177, Table2[HomeTeam], G$1)</f>
        <v>2</v>
      </c>
      <c r="H177" s="145">
        <f>SUMIFS(Table2[NewPointsAway],Table2[GameDate], "&lt;=" &amp; $A177, Table2[AwayTeam], H$1)+SUMIFS(Table2[NewPointsHome],Table2[GameDate], "&lt;=" &amp; $A177, Table2[HomeTeam], H$1)</f>
        <v>8</v>
      </c>
      <c r="I177" s="145">
        <f>SUMIFS(Table2[NewPointsAway],Table2[GameDate], "&lt;=" &amp; $A177, Table2[AwayTeam], I$1)+SUMIFS(Table2[NewPointsHome],Table2[GameDate], "&lt;=" &amp; $A177, Table2[HomeTeam], I$1)</f>
        <v>12</v>
      </c>
      <c r="J177" s="145">
        <f>SUMIFS(Table2[NewPointsAway],Table2[GameDate], "&lt;=" &amp; $A177, Table2[AwayTeam], J$1)+SUMIFS(Table2[NewPointsHome],Table2[GameDate], "&lt;=" &amp; $A177, Table2[HomeTeam], J$1)</f>
        <v>6</v>
      </c>
      <c r="K177" s="145">
        <f>SUMIFS(Table2[NewPointsAway],Table2[GameDate], "&lt;=" &amp; $A177, Table2[AwayTeam], K$1)+SUMIFS(Table2[NewPointsHome],Table2[GameDate], "&lt;=" &amp; $A177, Table2[HomeTeam], K$1)</f>
        <v>10</v>
      </c>
      <c r="L177" s="145">
        <f>SUMIFS(Table2[NewPointsAway],Table2[GameDate], "&lt;=" &amp; $A177, Table2[AwayTeam], L$1)+SUMIFS(Table2[NewPointsHome],Table2[GameDate], "&lt;=" &amp; $A177, Table2[HomeTeam], L$1)</f>
        <v>7</v>
      </c>
      <c r="M177" s="145">
        <f>SUMIFS(Table2[NewPointsAway],Table2[GameDate], "&lt;=" &amp; $A177, Table2[AwayTeam], M$1)+SUMIFS(Table2[NewPointsHome],Table2[GameDate], "&lt;=" &amp; $A177, Table2[HomeTeam], M$1)</f>
        <v>8</v>
      </c>
      <c r="N177" s="145">
        <f>SUMIFS(Table2[NewPointsAway],Table2[GameDate], "&lt;=" &amp; $A177, Table2[AwayTeam], N$1)+SUMIFS(Table2[NewPointsHome],Table2[GameDate], "&lt;=" &amp; $A177, Table2[HomeTeam], N$1)</f>
        <v>6</v>
      </c>
      <c r="O177" s="145">
        <f>SUMIFS(Table2[NewPointsAway],Table2[GameDate], "&lt;=" &amp; $A177, Table2[AwayTeam], O$1)+SUMIFS(Table2[NewPointsHome],Table2[GameDate], "&lt;=" &amp; $A177, Table2[HomeTeam], O$1)</f>
        <v>7</v>
      </c>
      <c r="P177" s="145">
        <f>SUMIFS(Table2[NewPointsAway],Table2[GameDate], "&lt;=" &amp; $A177, Table2[AwayTeam], P$1)+SUMIFS(Table2[NewPointsHome],Table2[GameDate], "&lt;=" &amp; $A177, Table2[HomeTeam], P$1)</f>
        <v>10</v>
      </c>
      <c r="Q177" s="145">
        <f>SUMIFS(Table2[NewPointsAway],Table2[GameDate], "&lt;=" &amp; $A177, Table2[AwayTeam], Q$1)+SUMIFS(Table2[NewPointsHome],Table2[GameDate], "&lt;=" &amp; $A177, Table2[HomeTeam], Q$1)</f>
        <v>10</v>
      </c>
      <c r="R177" s="145">
        <f>SUMIFS(Table2[NewPointsAway],Table2[GameDate], "&lt;=" &amp; $A177, Table2[AwayTeam], R$1)+SUMIFS(Table2[NewPointsHome],Table2[GameDate], "&lt;=" &amp; $A177, Table2[HomeTeam], R$1)</f>
        <v>6</v>
      </c>
      <c r="S177" s="145">
        <f>SUMIFS(Table2[NewPointsAway],Table2[GameDate], "&lt;=" &amp; $A177, Table2[AwayTeam], S$1)+SUMIFS(Table2[NewPointsHome],Table2[GameDate], "&lt;=" &amp; $A177, Table2[HomeTeam], S$1)</f>
        <v>6</v>
      </c>
      <c r="T177" s="145">
        <f>SUMIFS(Table2[NewPointsAway],Table2[GameDate], "&lt;=" &amp; $A177, Table2[AwayTeam], T$1)+SUMIFS(Table2[NewPointsHome],Table2[GameDate], "&lt;=" &amp; $A177, Table2[HomeTeam], T$1)</f>
        <v>7</v>
      </c>
      <c r="U177" s="145">
        <f>SUMIFS(Table2[NewPointsAway],Table2[GameDate], "&lt;=" &amp; $A177, Table2[AwayTeam], U$1)+SUMIFS(Table2[NewPointsHome],Table2[GameDate], "&lt;=" &amp; $A177, Table2[HomeTeam], U$1)</f>
        <v>5</v>
      </c>
      <c r="V177" s="145">
        <f>SUMIFS(Table2[NewPointsAway],Table2[GameDate], "&lt;=" &amp; $A177, Table2[AwayTeam], V$1)+SUMIFS(Table2[NewPointsHome],Table2[GameDate], "&lt;=" &amp; $A177, Table2[HomeTeam], V$1)</f>
        <v>7</v>
      </c>
      <c r="W177" s="145">
        <f>SUMIFS(Table2[NewPointsAway],Table2[GameDate], "&lt;=" &amp; $A177, Table2[AwayTeam], W$1)+SUMIFS(Table2[NewPointsHome],Table2[GameDate], "&lt;=" &amp; $A177, Table2[HomeTeam], W$1)</f>
        <v>10</v>
      </c>
      <c r="X177" s="145">
        <f>SUMIFS(Table2[NewPointsAway],Table2[GameDate], "&lt;=" &amp; $A177, Table2[AwayTeam], X$1)+SUMIFS(Table2[NewPointsHome],Table2[GameDate], "&lt;=" &amp; $A177, Table2[HomeTeam], X$1)</f>
        <v>8</v>
      </c>
      <c r="Y177" s="145">
        <f>SUMIFS(Table2[NewPointsAway],Table2[GameDate], "&lt;=" &amp; $A177, Table2[AwayTeam], Y$1)+SUMIFS(Table2[NewPointsHome],Table2[GameDate], "&lt;=" &amp; $A177, Table2[HomeTeam], Y$1)</f>
        <v>2</v>
      </c>
      <c r="Z177" s="145">
        <f>SUMIFS(Table2[NewPointsAway],Table2[GameDate], "&lt;=" &amp; $A177, Table2[AwayTeam], Z$1)+SUMIFS(Table2[NewPointsHome],Table2[GameDate], "&lt;=" &amp; $A177, Table2[HomeTeam], Z$1)</f>
        <v>7</v>
      </c>
      <c r="AA177" s="145">
        <f>SUMIFS(Table2[NewPointsAway],Table2[GameDate], "&lt;=" &amp; $A177, Table2[AwayTeam], AA$1)+SUMIFS(Table2[NewPointsHome],Table2[GameDate], "&lt;=" &amp; $A177, Table2[HomeTeam], AA$1)</f>
        <v>4</v>
      </c>
      <c r="AB177" s="145">
        <f>SUMIFS(Table2[NewPointsAway],Table2[GameDate], "&lt;=" &amp; $A177, Table2[AwayTeam], AB$1)+SUMIFS(Table2[NewPointsHome],Table2[GameDate], "&lt;=" &amp; $A177, Table2[HomeTeam], AB$1)</f>
        <v>7</v>
      </c>
      <c r="AC177" s="145">
        <f>SUMIFS(Table2[NewPointsAway],Table2[GameDate], "&lt;=" &amp; $A177, Table2[AwayTeam], AC$1)+SUMIFS(Table2[NewPointsHome],Table2[GameDate], "&lt;=" &amp; $A177, Table2[HomeTeam], AC$1)</f>
        <v>10</v>
      </c>
      <c r="AD177" s="145">
        <f>SUMIFS(Table2[NewPointsAway],Table2[GameDate], "&lt;=" &amp; $A177, Table2[AwayTeam], AD$1)+SUMIFS(Table2[NewPointsHome],Table2[GameDate], "&lt;=" &amp; $A177, Table2[HomeTeam], AD$1)</f>
        <v>8</v>
      </c>
      <c r="AE177" s="145">
        <f>SUMIFS(Table2[NewPointsAway],Table2[GameDate], "&lt;=" &amp; $A177, Table2[AwayTeam], AE$1)+SUMIFS(Table2[NewPointsHome],Table2[GameDate], "&lt;=" &amp; $A177, Table2[HomeTeam], AE$1)</f>
        <v>12</v>
      </c>
      <c r="AF177" s="145">
        <f>SUMIFS(Table2[NewPointsAway],Table2[GameDate], "&lt;=" &amp; $A177, Table2[AwayTeam], AF$1)+SUMIFS(Table2[NewPointsHome],Table2[GameDate], "&lt;=" &amp; $A177, Table2[HomeTeam], AF$1)</f>
        <v>10</v>
      </c>
      <c r="AG177" s="145">
        <f>SUMIFS(Table2[NewPointsAway],Table2[GameDate], "&lt;=" &amp; $A177, Table2[AwayTeam], AG$1)+SUMIFS(Table2[NewPointsHome],Table2[GameDate], "&lt;=" &amp; $A177, Table2[HomeTeam], AG$1)</f>
        <v>10</v>
      </c>
    </row>
    <row r="178" spans="1:33" x14ac:dyDescent="0.25">
      <c r="A178" s="3">
        <v>46109</v>
      </c>
      <c r="B178" s="145">
        <f>SUMIFS(Table2[NewPointsAway],Table2[GameDate], "&lt;=" &amp; $A178, Table2[AwayTeam], B$1)+SUMIFS(Table2[NewPointsHome],Table2[GameDate], "&lt;=" &amp; $A178, Table2[HomeTeam], B$1)</f>
        <v>7</v>
      </c>
      <c r="C178" s="145">
        <f>SUMIFS(Table2[NewPointsAway],Table2[GameDate], "&lt;=" &amp; $A178, Table2[AwayTeam], C$1)+SUMIFS(Table2[NewPointsHome],Table2[GameDate], "&lt;=" &amp; $A178, Table2[HomeTeam], C$1)</f>
        <v>6</v>
      </c>
      <c r="D178" s="145">
        <f>SUMIFS(Table2[NewPointsAway],Table2[GameDate], "&lt;=" &amp; $A178, Table2[AwayTeam], D$1)+SUMIFS(Table2[NewPointsHome],Table2[GameDate], "&lt;=" &amp; $A178, Table2[HomeTeam], D$1)</f>
        <v>4</v>
      </c>
      <c r="E178" s="145">
        <f>SUMIFS(Table2[NewPointsAway],Table2[GameDate], "&lt;=" &amp; $A178, Table2[AwayTeam], E$1)+SUMIFS(Table2[NewPointsHome],Table2[GameDate], "&lt;=" &amp; $A178, Table2[HomeTeam], E$1)</f>
        <v>10</v>
      </c>
      <c r="F178" s="145">
        <f>SUMIFS(Table2[NewPointsAway],Table2[GameDate], "&lt;=" &amp; $A178, Table2[AwayTeam], F$1)+SUMIFS(Table2[NewPointsHome],Table2[GameDate], "&lt;=" &amp; $A178, Table2[HomeTeam], F$1)</f>
        <v>6</v>
      </c>
      <c r="G178" s="145">
        <f>SUMIFS(Table2[NewPointsAway],Table2[GameDate], "&lt;=" &amp; $A178, Table2[AwayTeam], G$1)+SUMIFS(Table2[NewPointsHome],Table2[GameDate], "&lt;=" &amp; $A178, Table2[HomeTeam], G$1)</f>
        <v>2</v>
      </c>
      <c r="H178" s="145">
        <f>SUMIFS(Table2[NewPointsAway],Table2[GameDate], "&lt;=" &amp; $A178, Table2[AwayTeam], H$1)+SUMIFS(Table2[NewPointsHome],Table2[GameDate], "&lt;=" &amp; $A178, Table2[HomeTeam], H$1)</f>
        <v>8</v>
      </c>
      <c r="I178" s="145">
        <f>SUMIFS(Table2[NewPointsAway],Table2[GameDate], "&lt;=" &amp; $A178, Table2[AwayTeam], I$1)+SUMIFS(Table2[NewPointsHome],Table2[GameDate], "&lt;=" &amp; $A178, Table2[HomeTeam], I$1)</f>
        <v>12</v>
      </c>
      <c r="J178" s="145">
        <f>SUMIFS(Table2[NewPointsAway],Table2[GameDate], "&lt;=" &amp; $A178, Table2[AwayTeam], J$1)+SUMIFS(Table2[NewPointsHome],Table2[GameDate], "&lt;=" &amp; $A178, Table2[HomeTeam], J$1)</f>
        <v>6</v>
      </c>
      <c r="K178" s="145">
        <f>SUMIFS(Table2[NewPointsAway],Table2[GameDate], "&lt;=" &amp; $A178, Table2[AwayTeam], K$1)+SUMIFS(Table2[NewPointsHome],Table2[GameDate], "&lt;=" &amp; $A178, Table2[HomeTeam], K$1)</f>
        <v>10</v>
      </c>
      <c r="L178" s="145">
        <f>SUMIFS(Table2[NewPointsAway],Table2[GameDate], "&lt;=" &amp; $A178, Table2[AwayTeam], L$1)+SUMIFS(Table2[NewPointsHome],Table2[GameDate], "&lt;=" &amp; $A178, Table2[HomeTeam], L$1)</f>
        <v>7</v>
      </c>
      <c r="M178" s="145">
        <f>SUMIFS(Table2[NewPointsAway],Table2[GameDate], "&lt;=" &amp; $A178, Table2[AwayTeam], M$1)+SUMIFS(Table2[NewPointsHome],Table2[GameDate], "&lt;=" &amp; $A178, Table2[HomeTeam], M$1)</f>
        <v>8</v>
      </c>
      <c r="N178" s="145">
        <f>SUMIFS(Table2[NewPointsAway],Table2[GameDate], "&lt;=" &amp; $A178, Table2[AwayTeam], N$1)+SUMIFS(Table2[NewPointsHome],Table2[GameDate], "&lt;=" &amp; $A178, Table2[HomeTeam], N$1)</f>
        <v>6</v>
      </c>
      <c r="O178" s="145">
        <f>SUMIFS(Table2[NewPointsAway],Table2[GameDate], "&lt;=" &amp; $A178, Table2[AwayTeam], O$1)+SUMIFS(Table2[NewPointsHome],Table2[GameDate], "&lt;=" &amp; $A178, Table2[HomeTeam], O$1)</f>
        <v>7</v>
      </c>
      <c r="P178" s="145">
        <f>SUMIFS(Table2[NewPointsAway],Table2[GameDate], "&lt;=" &amp; $A178, Table2[AwayTeam], P$1)+SUMIFS(Table2[NewPointsHome],Table2[GameDate], "&lt;=" &amp; $A178, Table2[HomeTeam], P$1)</f>
        <v>10</v>
      </c>
      <c r="Q178" s="145">
        <f>SUMIFS(Table2[NewPointsAway],Table2[GameDate], "&lt;=" &amp; $A178, Table2[AwayTeam], Q$1)+SUMIFS(Table2[NewPointsHome],Table2[GameDate], "&lt;=" &amp; $A178, Table2[HomeTeam], Q$1)</f>
        <v>10</v>
      </c>
      <c r="R178" s="145">
        <f>SUMIFS(Table2[NewPointsAway],Table2[GameDate], "&lt;=" &amp; $A178, Table2[AwayTeam], R$1)+SUMIFS(Table2[NewPointsHome],Table2[GameDate], "&lt;=" &amp; $A178, Table2[HomeTeam], R$1)</f>
        <v>6</v>
      </c>
      <c r="S178" s="145">
        <f>SUMIFS(Table2[NewPointsAway],Table2[GameDate], "&lt;=" &amp; $A178, Table2[AwayTeam], S$1)+SUMIFS(Table2[NewPointsHome],Table2[GameDate], "&lt;=" &amp; $A178, Table2[HomeTeam], S$1)</f>
        <v>6</v>
      </c>
      <c r="T178" s="145">
        <f>SUMIFS(Table2[NewPointsAway],Table2[GameDate], "&lt;=" &amp; $A178, Table2[AwayTeam], T$1)+SUMIFS(Table2[NewPointsHome],Table2[GameDate], "&lt;=" &amp; $A178, Table2[HomeTeam], T$1)</f>
        <v>7</v>
      </c>
      <c r="U178" s="145">
        <f>SUMIFS(Table2[NewPointsAway],Table2[GameDate], "&lt;=" &amp; $A178, Table2[AwayTeam], U$1)+SUMIFS(Table2[NewPointsHome],Table2[GameDate], "&lt;=" &amp; $A178, Table2[HomeTeam], U$1)</f>
        <v>5</v>
      </c>
      <c r="V178" s="145">
        <f>SUMIFS(Table2[NewPointsAway],Table2[GameDate], "&lt;=" &amp; $A178, Table2[AwayTeam], V$1)+SUMIFS(Table2[NewPointsHome],Table2[GameDate], "&lt;=" &amp; $A178, Table2[HomeTeam], V$1)</f>
        <v>7</v>
      </c>
      <c r="W178" s="145">
        <f>SUMIFS(Table2[NewPointsAway],Table2[GameDate], "&lt;=" &amp; $A178, Table2[AwayTeam], W$1)+SUMIFS(Table2[NewPointsHome],Table2[GameDate], "&lt;=" &amp; $A178, Table2[HomeTeam], W$1)</f>
        <v>10</v>
      </c>
      <c r="X178" s="145">
        <f>SUMIFS(Table2[NewPointsAway],Table2[GameDate], "&lt;=" &amp; $A178, Table2[AwayTeam], X$1)+SUMIFS(Table2[NewPointsHome],Table2[GameDate], "&lt;=" &amp; $A178, Table2[HomeTeam], X$1)</f>
        <v>8</v>
      </c>
      <c r="Y178" s="145">
        <f>SUMIFS(Table2[NewPointsAway],Table2[GameDate], "&lt;=" &amp; $A178, Table2[AwayTeam], Y$1)+SUMIFS(Table2[NewPointsHome],Table2[GameDate], "&lt;=" &amp; $A178, Table2[HomeTeam], Y$1)</f>
        <v>2</v>
      </c>
      <c r="Z178" s="145">
        <f>SUMIFS(Table2[NewPointsAway],Table2[GameDate], "&lt;=" &amp; $A178, Table2[AwayTeam], Z$1)+SUMIFS(Table2[NewPointsHome],Table2[GameDate], "&lt;=" &amp; $A178, Table2[HomeTeam], Z$1)</f>
        <v>7</v>
      </c>
      <c r="AA178" s="145">
        <f>SUMIFS(Table2[NewPointsAway],Table2[GameDate], "&lt;=" &amp; $A178, Table2[AwayTeam], AA$1)+SUMIFS(Table2[NewPointsHome],Table2[GameDate], "&lt;=" &amp; $A178, Table2[HomeTeam], AA$1)</f>
        <v>4</v>
      </c>
      <c r="AB178" s="145">
        <f>SUMIFS(Table2[NewPointsAway],Table2[GameDate], "&lt;=" &amp; $A178, Table2[AwayTeam], AB$1)+SUMIFS(Table2[NewPointsHome],Table2[GameDate], "&lt;=" &amp; $A178, Table2[HomeTeam], AB$1)</f>
        <v>7</v>
      </c>
      <c r="AC178" s="145">
        <f>SUMIFS(Table2[NewPointsAway],Table2[GameDate], "&lt;=" &amp; $A178, Table2[AwayTeam], AC$1)+SUMIFS(Table2[NewPointsHome],Table2[GameDate], "&lt;=" &amp; $A178, Table2[HomeTeam], AC$1)</f>
        <v>10</v>
      </c>
      <c r="AD178" s="145">
        <f>SUMIFS(Table2[NewPointsAway],Table2[GameDate], "&lt;=" &amp; $A178, Table2[AwayTeam], AD$1)+SUMIFS(Table2[NewPointsHome],Table2[GameDate], "&lt;=" &amp; $A178, Table2[HomeTeam], AD$1)</f>
        <v>8</v>
      </c>
      <c r="AE178" s="145">
        <f>SUMIFS(Table2[NewPointsAway],Table2[GameDate], "&lt;=" &amp; $A178, Table2[AwayTeam], AE$1)+SUMIFS(Table2[NewPointsHome],Table2[GameDate], "&lt;=" &amp; $A178, Table2[HomeTeam], AE$1)</f>
        <v>12</v>
      </c>
      <c r="AF178" s="145">
        <f>SUMIFS(Table2[NewPointsAway],Table2[GameDate], "&lt;=" &amp; $A178, Table2[AwayTeam], AF$1)+SUMIFS(Table2[NewPointsHome],Table2[GameDate], "&lt;=" &amp; $A178, Table2[HomeTeam], AF$1)</f>
        <v>10</v>
      </c>
      <c r="AG178" s="145">
        <f>SUMIFS(Table2[NewPointsAway],Table2[GameDate], "&lt;=" &amp; $A178, Table2[AwayTeam], AG$1)+SUMIFS(Table2[NewPointsHome],Table2[GameDate], "&lt;=" &amp; $A178, Table2[HomeTeam], AG$1)</f>
        <v>10</v>
      </c>
    </row>
    <row r="179" spans="1:33" x14ac:dyDescent="0.25">
      <c r="A179" s="3">
        <v>46110</v>
      </c>
      <c r="B179" s="145">
        <f>SUMIFS(Table2[NewPointsAway],Table2[GameDate], "&lt;=" &amp; $A179, Table2[AwayTeam], B$1)+SUMIFS(Table2[NewPointsHome],Table2[GameDate], "&lt;=" &amp; $A179, Table2[HomeTeam], B$1)</f>
        <v>7</v>
      </c>
      <c r="C179" s="145">
        <f>SUMIFS(Table2[NewPointsAway],Table2[GameDate], "&lt;=" &amp; $A179, Table2[AwayTeam], C$1)+SUMIFS(Table2[NewPointsHome],Table2[GameDate], "&lt;=" &amp; $A179, Table2[HomeTeam], C$1)</f>
        <v>6</v>
      </c>
      <c r="D179" s="145">
        <f>SUMIFS(Table2[NewPointsAway],Table2[GameDate], "&lt;=" &amp; $A179, Table2[AwayTeam], D$1)+SUMIFS(Table2[NewPointsHome],Table2[GameDate], "&lt;=" &amp; $A179, Table2[HomeTeam], D$1)</f>
        <v>4</v>
      </c>
      <c r="E179" s="145">
        <f>SUMIFS(Table2[NewPointsAway],Table2[GameDate], "&lt;=" &amp; $A179, Table2[AwayTeam], E$1)+SUMIFS(Table2[NewPointsHome],Table2[GameDate], "&lt;=" &amp; $A179, Table2[HomeTeam], E$1)</f>
        <v>10</v>
      </c>
      <c r="F179" s="145">
        <f>SUMIFS(Table2[NewPointsAway],Table2[GameDate], "&lt;=" &amp; $A179, Table2[AwayTeam], F$1)+SUMIFS(Table2[NewPointsHome],Table2[GameDate], "&lt;=" &amp; $A179, Table2[HomeTeam], F$1)</f>
        <v>6</v>
      </c>
      <c r="G179" s="145">
        <f>SUMIFS(Table2[NewPointsAway],Table2[GameDate], "&lt;=" &amp; $A179, Table2[AwayTeam], G$1)+SUMIFS(Table2[NewPointsHome],Table2[GameDate], "&lt;=" &amp; $A179, Table2[HomeTeam], G$1)</f>
        <v>2</v>
      </c>
      <c r="H179" s="145">
        <f>SUMIFS(Table2[NewPointsAway],Table2[GameDate], "&lt;=" &amp; $A179, Table2[AwayTeam], H$1)+SUMIFS(Table2[NewPointsHome],Table2[GameDate], "&lt;=" &amp; $A179, Table2[HomeTeam], H$1)</f>
        <v>8</v>
      </c>
      <c r="I179" s="145">
        <f>SUMIFS(Table2[NewPointsAway],Table2[GameDate], "&lt;=" &amp; $A179, Table2[AwayTeam], I$1)+SUMIFS(Table2[NewPointsHome],Table2[GameDate], "&lt;=" &amp; $A179, Table2[HomeTeam], I$1)</f>
        <v>12</v>
      </c>
      <c r="J179" s="145">
        <f>SUMIFS(Table2[NewPointsAway],Table2[GameDate], "&lt;=" &amp; $A179, Table2[AwayTeam], J$1)+SUMIFS(Table2[NewPointsHome],Table2[GameDate], "&lt;=" &amp; $A179, Table2[HomeTeam], J$1)</f>
        <v>6</v>
      </c>
      <c r="K179" s="145">
        <f>SUMIFS(Table2[NewPointsAway],Table2[GameDate], "&lt;=" &amp; $A179, Table2[AwayTeam], K$1)+SUMIFS(Table2[NewPointsHome],Table2[GameDate], "&lt;=" &amp; $A179, Table2[HomeTeam], K$1)</f>
        <v>10</v>
      </c>
      <c r="L179" s="145">
        <f>SUMIFS(Table2[NewPointsAway],Table2[GameDate], "&lt;=" &amp; $A179, Table2[AwayTeam], L$1)+SUMIFS(Table2[NewPointsHome],Table2[GameDate], "&lt;=" &amp; $A179, Table2[HomeTeam], L$1)</f>
        <v>7</v>
      </c>
      <c r="M179" s="145">
        <f>SUMIFS(Table2[NewPointsAway],Table2[GameDate], "&lt;=" &amp; $A179, Table2[AwayTeam], M$1)+SUMIFS(Table2[NewPointsHome],Table2[GameDate], "&lt;=" &amp; $A179, Table2[HomeTeam], M$1)</f>
        <v>8</v>
      </c>
      <c r="N179" s="145">
        <f>SUMIFS(Table2[NewPointsAway],Table2[GameDate], "&lt;=" &amp; $A179, Table2[AwayTeam], N$1)+SUMIFS(Table2[NewPointsHome],Table2[GameDate], "&lt;=" &amp; $A179, Table2[HomeTeam], N$1)</f>
        <v>6</v>
      </c>
      <c r="O179" s="145">
        <f>SUMIFS(Table2[NewPointsAway],Table2[GameDate], "&lt;=" &amp; $A179, Table2[AwayTeam], O$1)+SUMIFS(Table2[NewPointsHome],Table2[GameDate], "&lt;=" &amp; $A179, Table2[HomeTeam], O$1)</f>
        <v>7</v>
      </c>
      <c r="P179" s="145">
        <f>SUMIFS(Table2[NewPointsAway],Table2[GameDate], "&lt;=" &amp; $A179, Table2[AwayTeam], P$1)+SUMIFS(Table2[NewPointsHome],Table2[GameDate], "&lt;=" &amp; $A179, Table2[HomeTeam], P$1)</f>
        <v>10</v>
      </c>
      <c r="Q179" s="145">
        <f>SUMIFS(Table2[NewPointsAway],Table2[GameDate], "&lt;=" &amp; $A179, Table2[AwayTeam], Q$1)+SUMIFS(Table2[NewPointsHome],Table2[GameDate], "&lt;=" &amp; $A179, Table2[HomeTeam], Q$1)</f>
        <v>10</v>
      </c>
      <c r="R179" s="145">
        <f>SUMIFS(Table2[NewPointsAway],Table2[GameDate], "&lt;=" &amp; $A179, Table2[AwayTeam], R$1)+SUMIFS(Table2[NewPointsHome],Table2[GameDate], "&lt;=" &amp; $A179, Table2[HomeTeam], R$1)</f>
        <v>6</v>
      </c>
      <c r="S179" s="145">
        <f>SUMIFS(Table2[NewPointsAway],Table2[GameDate], "&lt;=" &amp; $A179, Table2[AwayTeam], S$1)+SUMIFS(Table2[NewPointsHome],Table2[GameDate], "&lt;=" &amp; $A179, Table2[HomeTeam], S$1)</f>
        <v>6</v>
      </c>
      <c r="T179" s="145">
        <f>SUMIFS(Table2[NewPointsAway],Table2[GameDate], "&lt;=" &amp; $A179, Table2[AwayTeam], T$1)+SUMIFS(Table2[NewPointsHome],Table2[GameDate], "&lt;=" &amp; $A179, Table2[HomeTeam], T$1)</f>
        <v>7</v>
      </c>
      <c r="U179" s="145">
        <f>SUMIFS(Table2[NewPointsAway],Table2[GameDate], "&lt;=" &amp; $A179, Table2[AwayTeam], U$1)+SUMIFS(Table2[NewPointsHome],Table2[GameDate], "&lt;=" &amp; $A179, Table2[HomeTeam], U$1)</f>
        <v>5</v>
      </c>
      <c r="V179" s="145">
        <f>SUMIFS(Table2[NewPointsAway],Table2[GameDate], "&lt;=" &amp; $A179, Table2[AwayTeam], V$1)+SUMIFS(Table2[NewPointsHome],Table2[GameDate], "&lt;=" &amp; $A179, Table2[HomeTeam], V$1)</f>
        <v>7</v>
      </c>
      <c r="W179" s="145">
        <f>SUMIFS(Table2[NewPointsAway],Table2[GameDate], "&lt;=" &amp; $A179, Table2[AwayTeam], W$1)+SUMIFS(Table2[NewPointsHome],Table2[GameDate], "&lt;=" &amp; $A179, Table2[HomeTeam], W$1)</f>
        <v>10</v>
      </c>
      <c r="X179" s="145">
        <f>SUMIFS(Table2[NewPointsAway],Table2[GameDate], "&lt;=" &amp; $A179, Table2[AwayTeam], X$1)+SUMIFS(Table2[NewPointsHome],Table2[GameDate], "&lt;=" &amp; $A179, Table2[HomeTeam], X$1)</f>
        <v>8</v>
      </c>
      <c r="Y179" s="145">
        <f>SUMIFS(Table2[NewPointsAway],Table2[GameDate], "&lt;=" &amp; $A179, Table2[AwayTeam], Y$1)+SUMIFS(Table2[NewPointsHome],Table2[GameDate], "&lt;=" &amp; $A179, Table2[HomeTeam], Y$1)</f>
        <v>2</v>
      </c>
      <c r="Z179" s="145">
        <f>SUMIFS(Table2[NewPointsAway],Table2[GameDate], "&lt;=" &amp; $A179, Table2[AwayTeam], Z$1)+SUMIFS(Table2[NewPointsHome],Table2[GameDate], "&lt;=" &amp; $A179, Table2[HomeTeam], Z$1)</f>
        <v>7</v>
      </c>
      <c r="AA179" s="145">
        <f>SUMIFS(Table2[NewPointsAway],Table2[GameDate], "&lt;=" &amp; $A179, Table2[AwayTeam], AA$1)+SUMIFS(Table2[NewPointsHome],Table2[GameDate], "&lt;=" &amp; $A179, Table2[HomeTeam], AA$1)</f>
        <v>4</v>
      </c>
      <c r="AB179" s="145">
        <f>SUMIFS(Table2[NewPointsAway],Table2[GameDate], "&lt;=" &amp; $A179, Table2[AwayTeam], AB$1)+SUMIFS(Table2[NewPointsHome],Table2[GameDate], "&lt;=" &amp; $A179, Table2[HomeTeam], AB$1)</f>
        <v>7</v>
      </c>
      <c r="AC179" s="145">
        <f>SUMIFS(Table2[NewPointsAway],Table2[GameDate], "&lt;=" &amp; $A179, Table2[AwayTeam], AC$1)+SUMIFS(Table2[NewPointsHome],Table2[GameDate], "&lt;=" &amp; $A179, Table2[HomeTeam], AC$1)</f>
        <v>10</v>
      </c>
      <c r="AD179" s="145">
        <f>SUMIFS(Table2[NewPointsAway],Table2[GameDate], "&lt;=" &amp; $A179, Table2[AwayTeam], AD$1)+SUMIFS(Table2[NewPointsHome],Table2[GameDate], "&lt;=" &amp; $A179, Table2[HomeTeam], AD$1)</f>
        <v>8</v>
      </c>
      <c r="AE179" s="145">
        <f>SUMIFS(Table2[NewPointsAway],Table2[GameDate], "&lt;=" &amp; $A179, Table2[AwayTeam], AE$1)+SUMIFS(Table2[NewPointsHome],Table2[GameDate], "&lt;=" &amp; $A179, Table2[HomeTeam], AE$1)</f>
        <v>12</v>
      </c>
      <c r="AF179" s="145">
        <f>SUMIFS(Table2[NewPointsAway],Table2[GameDate], "&lt;=" &amp; $A179, Table2[AwayTeam], AF$1)+SUMIFS(Table2[NewPointsHome],Table2[GameDate], "&lt;=" &amp; $A179, Table2[HomeTeam], AF$1)</f>
        <v>10</v>
      </c>
      <c r="AG179" s="145">
        <f>SUMIFS(Table2[NewPointsAway],Table2[GameDate], "&lt;=" &amp; $A179, Table2[AwayTeam], AG$1)+SUMIFS(Table2[NewPointsHome],Table2[GameDate], "&lt;=" &amp; $A179, Table2[HomeTeam], AG$1)</f>
        <v>10</v>
      </c>
    </row>
    <row r="180" spans="1:33" x14ac:dyDescent="0.25">
      <c r="A180" s="3">
        <v>46111</v>
      </c>
      <c r="B180" s="145">
        <f>SUMIFS(Table2[NewPointsAway],Table2[GameDate], "&lt;=" &amp; $A180, Table2[AwayTeam], B$1)+SUMIFS(Table2[NewPointsHome],Table2[GameDate], "&lt;=" &amp; $A180, Table2[HomeTeam], B$1)</f>
        <v>7</v>
      </c>
      <c r="C180" s="145">
        <f>SUMIFS(Table2[NewPointsAway],Table2[GameDate], "&lt;=" &amp; $A180, Table2[AwayTeam], C$1)+SUMIFS(Table2[NewPointsHome],Table2[GameDate], "&lt;=" &amp; $A180, Table2[HomeTeam], C$1)</f>
        <v>6</v>
      </c>
      <c r="D180" s="145">
        <f>SUMIFS(Table2[NewPointsAway],Table2[GameDate], "&lt;=" &amp; $A180, Table2[AwayTeam], D$1)+SUMIFS(Table2[NewPointsHome],Table2[GameDate], "&lt;=" &amp; $A180, Table2[HomeTeam], D$1)</f>
        <v>4</v>
      </c>
      <c r="E180" s="145">
        <f>SUMIFS(Table2[NewPointsAway],Table2[GameDate], "&lt;=" &amp; $A180, Table2[AwayTeam], E$1)+SUMIFS(Table2[NewPointsHome],Table2[GameDate], "&lt;=" &amp; $A180, Table2[HomeTeam], E$1)</f>
        <v>10</v>
      </c>
      <c r="F180" s="145">
        <f>SUMIFS(Table2[NewPointsAway],Table2[GameDate], "&lt;=" &amp; $A180, Table2[AwayTeam], F$1)+SUMIFS(Table2[NewPointsHome],Table2[GameDate], "&lt;=" &amp; $A180, Table2[HomeTeam], F$1)</f>
        <v>6</v>
      </c>
      <c r="G180" s="145">
        <f>SUMIFS(Table2[NewPointsAway],Table2[GameDate], "&lt;=" &amp; $A180, Table2[AwayTeam], G$1)+SUMIFS(Table2[NewPointsHome],Table2[GameDate], "&lt;=" &amp; $A180, Table2[HomeTeam], G$1)</f>
        <v>2</v>
      </c>
      <c r="H180" s="145">
        <f>SUMIFS(Table2[NewPointsAway],Table2[GameDate], "&lt;=" &amp; $A180, Table2[AwayTeam], H$1)+SUMIFS(Table2[NewPointsHome],Table2[GameDate], "&lt;=" &amp; $A180, Table2[HomeTeam], H$1)</f>
        <v>8</v>
      </c>
      <c r="I180" s="145">
        <f>SUMIFS(Table2[NewPointsAway],Table2[GameDate], "&lt;=" &amp; $A180, Table2[AwayTeam], I$1)+SUMIFS(Table2[NewPointsHome],Table2[GameDate], "&lt;=" &amp; $A180, Table2[HomeTeam], I$1)</f>
        <v>12</v>
      </c>
      <c r="J180" s="145">
        <f>SUMIFS(Table2[NewPointsAway],Table2[GameDate], "&lt;=" &amp; $A180, Table2[AwayTeam], J$1)+SUMIFS(Table2[NewPointsHome],Table2[GameDate], "&lt;=" &amp; $A180, Table2[HomeTeam], J$1)</f>
        <v>6</v>
      </c>
      <c r="K180" s="145">
        <f>SUMIFS(Table2[NewPointsAway],Table2[GameDate], "&lt;=" &amp; $A180, Table2[AwayTeam], K$1)+SUMIFS(Table2[NewPointsHome],Table2[GameDate], "&lt;=" &amp; $A180, Table2[HomeTeam], K$1)</f>
        <v>10</v>
      </c>
      <c r="L180" s="145">
        <f>SUMIFS(Table2[NewPointsAway],Table2[GameDate], "&lt;=" &amp; $A180, Table2[AwayTeam], L$1)+SUMIFS(Table2[NewPointsHome],Table2[GameDate], "&lt;=" &amp; $A180, Table2[HomeTeam], L$1)</f>
        <v>7</v>
      </c>
      <c r="M180" s="145">
        <f>SUMIFS(Table2[NewPointsAway],Table2[GameDate], "&lt;=" &amp; $A180, Table2[AwayTeam], M$1)+SUMIFS(Table2[NewPointsHome],Table2[GameDate], "&lt;=" &amp; $A180, Table2[HomeTeam], M$1)</f>
        <v>8</v>
      </c>
      <c r="N180" s="145">
        <f>SUMIFS(Table2[NewPointsAway],Table2[GameDate], "&lt;=" &amp; $A180, Table2[AwayTeam], N$1)+SUMIFS(Table2[NewPointsHome],Table2[GameDate], "&lt;=" &amp; $A180, Table2[HomeTeam], N$1)</f>
        <v>6</v>
      </c>
      <c r="O180" s="145">
        <f>SUMIFS(Table2[NewPointsAway],Table2[GameDate], "&lt;=" &amp; $A180, Table2[AwayTeam], O$1)+SUMIFS(Table2[NewPointsHome],Table2[GameDate], "&lt;=" &amp; $A180, Table2[HomeTeam], O$1)</f>
        <v>7</v>
      </c>
      <c r="P180" s="145">
        <f>SUMIFS(Table2[NewPointsAway],Table2[GameDate], "&lt;=" &amp; $A180, Table2[AwayTeam], P$1)+SUMIFS(Table2[NewPointsHome],Table2[GameDate], "&lt;=" &amp; $A180, Table2[HomeTeam], P$1)</f>
        <v>10</v>
      </c>
      <c r="Q180" s="145">
        <f>SUMIFS(Table2[NewPointsAway],Table2[GameDate], "&lt;=" &amp; $A180, Table2[AwayTeam], Q$1)+SUMIFS(Table2[NewPointsHome],Table2[GameDate], "&lt;=" &amp; $A180, Table2[HomeTeam], Q$1)</f>
        <v>10</v>
      </c>
      <c r="R180" s="145">
        <f>SUMIFS(Table2[NewPointsAway],Table2[GameDate], "&lt;=" &amp; $A180, Table2[AwayTeam], R$1)+SUMIFS(Table2[NewPointsHome],Table2[GameDate], "&lt;=" &amp; $A180, Table2[HomeTeam], R$1)</f>
        <v>6</v>
      </c>
      <c r="S180" s="145">
        <f>SUMIFS(Table2[NewPointsAway],Table2[GameDate], "&lt;=" &amp; $A180, Table2[AwayTeam], S$1)+SUMIFS(Table2[NewPointsHome],Table2[GameDate], "&lt;=" &amp; $A180, Table2[HomeTeam], S$1)</f>
        <v>6</v>
      </c>
      <c r="T180" s="145">
        <f>SUMIFS(Table2[NewPointsAway],Table2[GameDate], "&lt;=" &amp; $A180, Table2[AwayTeam], T$1)+SUMIFS(Table2[NewPointsHome],Table2[GameDate], "&lt;=" &amp; $A180, Table2[HomeTeam], T$1)</f>
        <v>7</v>
      </c>
      <c r="U180" s="145">
        <f>SUMIFS(Table2[NewPointsAway],Table2[GameDate], "&lt;=" &amp; $A180, Table2[AwayTeam], U$1)+SUMIFS(Table2[NewPointsHome],Table2[GameDate], "&lt;=" &amp; $A180, Table2[HomeTeam], U$1)</f>
        <v>5</v>
      </c>
      <c r="V180" s="145">
        <f>SUMIFS(Table2[NewPointsAway],Table2[GameDate], "&lt;=" &amp; $A180, Table2[AwayTeam], V$1)+SUMIFS(Table2[NewPointsHome],Table2[GameDate], "&lt;=" &amp; $A180, Table2[HomeTeam], V$1)</f>
        <v>7</v>
      </c>
      <c r="W180" s="145">
        <f>SUMIFS(Table2[NewPointsAway],Table2[GameDate], "&lt;=" &amp; $A180, Table2[AwayTeam], W$1)+SUMIFS(Table2[NewPointsHome],Table2[GameDate], "&lt;=" &amp; $A180, Table2[HomeTeam], W$1)</f>
        <v>10</v>
      </c>
      <c r="X180" s="145">
        <f>SUMIFS(Table2[NewPointsAway],Table2[GameDate], "&lt;=" &amp; $A180, Table2[AwayTeam], X$1)+SUMIFS(Table2[NewPointsHome],Table2[GameDate], "&lt;=" &amp; $A180, Table2[HomeTeam], X$1)</f>
        <v>8</v>
      </c>
      <c r="Y180" s="145">
        <f>SUMIFS(Table2[NewPointsAway],Table2[GameDate], "&lt;=" &amp; $A180, Table2[AwayTeam], Y$1)+SUMIFS(Table2[NewPointsHome],Table2[GameDate], "&lt;=" &amp; $A180, Table2[HomeTeam], Y$1)</f>
        <v>2</v>
      </c>
      <c r="Z180" s="145">
        <f>SUMIFS(Table2[NewPointsAway],Table2[GameDate], "&lt;=" &amp; $A180, Table2[AwayTeam], Z$1)+SUMIFS(Table2[NewPointsHome],Table2[GameDate], "&lt;=" &amp; $A180, Table2[HomeTeam], Z$1)</f>
        <v>7</v>
      </c>
      <c r="AA180" s="145">
        <f>SUMIFS(Table2[NewPointsAway],Table2[GameDate], "&lt;=" &amp; $A180, Table2[AwayTeam], AA$1)+SUMIFS(Table2[NewPointsHome],Table2[GameDate], "&lt;=" &amp; $A180, Table2[HomeTeam], AA$1)</f>
        <v>4</v>
      </c>
      <c r="AB180" s="145">
        <f>SUMIFS(Table2[NewPointsAway],Table2[GameDate], "&lt;=" &amp; $A180, Table2[AwayTeam], AB$1)+SUMIFS(Table2[NewPointsHome],Table2[GameDate], "&lt;=" &amp; $A180, Table2[HomeTeam], AB$1)</f>
        <v>7</v>
      </c>
      <c r="AC180" s="145">
        <f>SUMIFS(Table2[NewPointsAway],Table2[GameDate], "&lt;=" &amp; $A180, Table2[AwayTeam], AC$1)+SUMIFS(Table2[NewPointsHome],Table2[GameDate], "&lt;=" &amp; $A180, Table2[HomeTeam], AC$1)</f>
        <v>10</v>
      </c>
      <c r="AD180" s="145">
        <f>SUMIFS(Table2[NewPointsAway],Table2[GameDate], "&lt;=" &amp; $A180, Table2[AwayTeam], AD$1)+SUMIFS(Table2[NewPointsHome],Table2[GameDate], "&lt;=" &amp; $A180, Table2[HomeTeam], AD$1)</f>
        <v>8</v>
      </c>
      <c r="AE180" s="145">
        <f>SUMIFS(Table2[NewPointsAway],Table2[GameDate], "&lt;=" &amp; $A180, Table2[AwayTeam], AE$1)+SUMIFS(Table2[NewPointsHome],Table2[GameDate], "&lt;=" &amp; $A180, Table2[HomeTeam], AE$1)</f>
        <v>12</v>
      </c>
      <c r="AF180" s="145">
        <f>SUMIFS(Table2[NewPointsAway],Table2[GameDate], "&lt;=" &amp; $A180, Table2[AwayTeam], AF$1)+SUMIFS(Table2[NewPointsHome],Table2[GameDate], "&lt;=" &amp; $A180, Table2[HomeTeam], AF$1)</f>
        <v>10</v>
      </c>
      <c r="AG180" s="145">
        <f>SUMIFS(Table2[NewPointsAway],Table2[GameDate], "&lt;=" &amp; $A180, Table2[AwayTeam], AG$1)+SUMIFS(Table2[NewPointsHome],Table2[GameDate], "&lt;=" &amp; $A180, Table2[HomeTeam], AG$1)</f>
        <v>10</v>
      </c>
    </row>
    <row r="181" spans="1:33" x14ac:dyDescent="0.25">
      <c r="A181" s="3">
        <v>46112</v>
      </c>
      <c r="B181" s="145">
        <f>SUMIFS(Table2[NewPointsAway],Table2[GameDate], "&lt;=" &amp; $A181, Table2[AwayTeam], B$1)+SUMIFS(Table2[NewPointsHome],Table2[GameDate], "&lt;=" &amp; $A181, Table2[HomeTeam], B$1)</f>
        <v>7</v>
      </c>
      <c r="C181" s="145">
        <f>SUMIFS(Table2[NewPointsAway],Table2[GameDate], "&lt;=" &amp; $A181, Table2[AwayTeam], C$1)+SUMIFS(Table2[NewPointsHome],Table2[GameDate], "&lt;=" &amp; $A181, Table2[HomeTeam], C$1)</f>
        <v>6</v>
      </c>
      <c r="D181" s="145">
        <f>SUMIFS(Table2[NewPointsAway],Table2[GameDate], "&lt;=" &amp; $A181, Table2[AwayTeam], D$1)+SUMIFS(Table2[NewPointsHome],Table2[GameDate], "&lt;=" &amp; $A181, Table2[HomeTeam], D$1)</f>
        <v>4</v>
      </c>
      <c r="E181" s="145">
        <f>SUMIFS(Table2[NewPointsAway],Table2[GameDate], "&lt;=" &amp; $A181, Table2[AwayTeam], E$1)+SUMIFS(Table2[NewPointsHome],Table2[GameDate], "&lt;=" &amp; $A181, Table2[HomeTeam], E$1)</f>
        <v>10</v>
      </c>
      <c r="F181" s="145">
        <f>SUMIFS(Table2[NewPointsAway],Table2[GameDate], "&lt;=" &amp; $A181, Table2[AwayTeam], F$1)+SUMIFS(Table2[NewPointsHome],Table2[GameDate], "&lt;=" &amp; $A181, Table2[HomeTeam], F$1)</f>
        <v>6</v>
      </c>
      <c r="G181" s="145">
        <f>SUMIFS(Table2[NewPointsAway],Table2[GameDate], "&lt;=" &amp; $A181, Table2[AwayTeam], G$1)+SUMIFS(Table2[NewPointsHome],Table2[GameDate], "&lt;=" &amp; $A181, Table2[HomeTeam], G$1)</f>
        <v>2</v>
      </c>
      <c r="H181" s="145">
        <f>SUMIFS(Table2[NewPointsAway],Table2[GameDate], "&lt;=" &amp; $A181, Table2[AwayTeam], H$1)+SUMIFS(Table2[NewPointsHome],Table2[GameDate], "&lt;=" &amp; $A181, Table2[HomeTeam], H$1)</f>
        <v>8</v>
      </c>
      <c r="I181" s="145">
        <f>SUMIFS(Table2[NewPointsAway],Table2[GameDate], "&lt;=" &amp; $A181, Table2[AwayTeam], I$1)+SUMIFS(Table2[NewPointsHome],Table2[GameDate], "&lt;=" &amp; $A181, Table2[HomeTeam], I$1)</f>
        <v>12</v>
      </c>
      <c r="J181" s="145">
        <f>SUMIFS(Table2[NewPointsAway],Table2[GameDate], "&lt;=" &amp; $A181, Table2[AwayTeam], J$1)+SUMIFS(Table2[NewPointsHome],Table2[GameDate], "&lt;=" &amp; $A181, Table2[HomeTeam], J$1)</f>
        <v>6</v>
      </c>
      <c r="K181" s="145">
        <f>SUMIFS(Table2[NewPointsAway],Table2[GameDate], "&lt;=" &amp; $A181, Table2[AwayTeam], K$1)+SUMIFS(Table2[NewPointsHome],Table2[GameDate], "&lt;=" &amp; $A181, Table2[HomeTeam], K$1)</f>
        <v>10</v>
      </c>
      <c r="L181" s="145">
        <f>SUMIFS(Table2[NewPointsAway],Table2[GameDate], "&lt;=" &amp; $A181, Table2[AwayTeam], L$1)+SUMIFS(Table2[NewPointsHome],Table2[GameDate], "&lt;=" &amp; $A181, Table2[HomeTeam], L$1)</f>
        <v>7</v>
      </c>
      <c r="M181" s="145">
        <f>SUMIFS(Table2[NewPointsAway],Table2[GameDate], "&lt;=" &amp; $A181, Table2[AwayTeam], M$1)+SUMIFS(Table2[NewPointsHome],Table2[GameDate], "&lt;=" &amp; $A181, Table2[HomeTeam], M$1)</f>
        <v>8</v>
      </c>
      <c r="N181" s="145">
        <f>SUMIFS(Table2[NewPointsAway],Table2[GameDate], "&lt;=" &amp; $A181, Table2[AwayTeam], N$1)+SUMIFS(Table2[NewPointsHome],Table2[GameDate], "&lt;=" &amp; $A181, Table2[HomeTeam], N$1)</f>
        <v>6</v>
      </c>
      <c r="O181" s="145">
        <f>SUMIFS(Table2[NewPointsAway],Table2[GameDate], "&lt;=" &amp; $A181, Table2[AwayTeam], O$1)+SUMIFS(Table2[NewPointsHome],Table2[GameDate], "&lt;=" &amp; $A181, Table2[HomeTeam], O$1)</f>
        <v>7</v>
      </c>
      <c r="P181" s="145">
        <f>SUMIFS(Table2[NewPointsAway],Table2[GameDate], "&lt;=" &amp; $A181, Table2[AwayTeam], P$1)+SUMIFS(Table2[NewPointsHome],Table2[GameDate], "&lt;=" &amp; $A181, Table2[HomeTeam], P$1)</f>
        <v>10</v>
      </c>
      <c r="Q181" s="145">
        <f>SUMIFS(Table2[NewPointsAway],Table2[GameDate], "&lt;=" &amp; $A181, Table2[AwayTeam], Q$1)+SUMIFS(Table2[NewPointsHome],Table2[GameDate], "&lt;=" &amp; $A181, Table2[HomeTeam], Q$1)</f>
        <v>10</v>
      </c>
      <c r="R181" s="145">
        <f>SUMIFS(Table2[NewPointsAway],Table2[GameDate], "&lt;=" &amp; $A181, Table2[AwayTeam], R$1)+SUMIFS(Table2[NewPointsHome],Table2[GameDate], "&lt;=" &amp; $A181, Table2[HomeTeam], R$1)</f>
        <v>6</v>
      </c>
      <c r="S181" s="145">
        <f>SUMIFS(Table2[NewPointsAway],Table2[GameDate], "&lt;=" &amp; $A181, Table2[AwayTeam], S$1)+SUMIFS(Table2[NewPointsHome],Table2[GameDate], "&lt;=" &amp; $A181, Table2[HomeTeam], S$1)</f>
        <v>6</v>
      </c>
      <c r="T181" s="145">
        <f>SUMIFS(Table2[NewPointsAway],Table2[GameDate], "&lt;=" &amp; $A181, Table2[AwayTeam], T$1)+SUMIFS(Table2[NewPointsHome],Table2[GameDate], "&lt;=" &amp; $A181, Table2[HomeTeam], T$1)</f>
        <v>7</v>
      </c>
      <c r="U181" s="145">
        <f>SUMIFS(Table2[NewPointsAway],Table2[GameDate], "&lt;=" &amp; $A181, Table2[AwayTeam], U$1)+SUMIFS(Table2[NewPointsHome],Table2[GameDate], "&lt;=" &amp; $A181, Table2[HomeTeam], U$1)</f>
        <v>5</v>
      </c>
      <c r="V181" s="145">
        <f>SUMIFS(Table2[NewPointsAway],Table2[GameDate], "&lt;=" &amp; $A181, Table2[AwayTeam], V$1)+SUMIFS(Table2[NewPointsHome],Table2[GameDate], "&lt;=" &amp; $A181, Table2[HomeTeam], V$1)</f>
        <v>7</v>
      </c>
      <c r="W181" s="145">
        <f>SUMIFS(Table2[NewPointsAway],Table2[GameDate], "&lt;=" &amp; $A181, Table2[AwayTeam], W$1)+SUMIFS(Table2[NewPointsHome],Table2[GameDate], "&lt;=" &amp; $A181, Table2[HomeTeam], W$1)</f>
        <v>10</v>
      </c>
      <c r="X181" s="145">
        <f>SUMIFS(Table2[NewPointsAway],Table2[GameDate], "&lt;=" &amp; $A181, Table2[AwayTeam], X$1)+SUMIFS(Table2[NewPointsHome],Table2[GameDate], "&lt;=" &amp; $A181, Table2[HomeTeam], X$1)</f>
        <v>8</v>
      </c>
      <c r="Y181" s="145">
        <f>SUMIFS(Table2[NewPointsAway],Table2[GameDate], "&lt;=" &amp; $A181, Table2[AwayTeam], Y$1)+SUMIFS(Table2[NewPointsHome],Table2[GameDate], "&lt;=" &amp; $A181, Table2[HomeTeam], Y$1)</f>
        <v>2</v>
      </c>
      <c r="Z181" s="145">
        <f>SUMIFS(Table2[NewPointsAway],Table2[GameDate], "&lt;=" &amp; $A181, Table2[AwayTeam], Z$1)+SUMIFS(Table2[NewPointsHome],Table2[GameDate], "&lt;=" &amp; $A181, Table2[HomeTeam], Z$1)</f>
        <v>7</v>
      </c>
      <c r="AA181" s="145">
        <f>SUMIFS(Table2[NewPointsAway],Table2[GameDate], "&lt;=" &amp; $A181, Table2[AwayTeam], AA$1)+SUMIFS(Table2[NewPointsHome],Table2[GameDate], "&lt;=" &amp; $A181, Table2[HomeTeam], AA$1)</f>
        <v>4</v>
      </c>
      <c r="AB181" s="145">
        <f>SUMIFS(Table2[NewPointsAway],Table2[GameDate], "&lt;=" &amp; $A181, Table2[AwayTeam], AB$1)+SUMIFS(Table2[NewPointsHome],Table2[GameDate], "&lt;=" &amp; $A181, Table2[HomeTeam], AB$1)</f>
        <v>7</v>
      </c>
      <c r="AC181" s="145">
        <f>SUMIFS(Table2[NewPointsAway],Table2[GameDate], "&lt;=" &amp; $A181, Table2[AwayTeam], AC$1)+SUMIFS(Table2[NewPointsHome],Table2[GameDate], "&lt;=" &amp; $A181, Table2[HomeTeam], AC$1)</f>
        <v>10</v>
      </c>
      <c r="AD181" s="145">
        <f>SUMIFS(Table2[NewPointsAway],Table2[GameDate], "&lt;=" &amp; $A181, Table2[AwayTeam], AD$1)+SUMIFS(Table2[NewPointsHome],Table2[GameDate], "&lt;=" &amp; $A181, Table2[HomeTeam], AD$1)</f>
        <v>8</v>
      </c>
      <c r="AE181" s="145">
        <f>SUMIFS(Table2[NewPointsAway],Table2[GameDate], "&lt;=" &amp; $A181, Table2[AwayTeam], AE$1)+SUMIFS(Table2[NewPointsHome],Table2[GameDate], "&lt;=" &amp; $A181, Table2[HomeTeam], AE$1)</f>
        <v>12</v>
      </c>
      <c r="AF181" s="145">
        <f>SUMIFS(Table2[NewPointsAway],Table2[GameDate], "&lt;=" &amp; $A181, Table2[AwayTeam], AF$1)+SUMIFS(Table2[NewPointsHome],Table2[GameDate], "&lt;=" &amp; $A181, Table2[HomeTeam], AF$1)</f>
        <v>10</v>
      </c>
      <c r="AG181" s="145">
        <f>SUMIFS(Table2[NewPointsAway],Table2[GameDate], "&lt;=" &amp; $A181, Table2[AwayTeam], AG$1)+SUMIFS(Table2[NewPointsHome],Table2[GameDate], "&lt;=" &amp; $A181, Table2[HomeTeam], AG$1)</f>
        <v>10</v>
      </c>
    </row>
    <row r="182" spans="1:33" x14ac:dyDescent="0.25">
      <c r="A182" s="3">
        <v>46113</v>
      </c>
      <c r="B182" s="145">
        <f>SUMIFS(Table2[NewPointsAway],Table2[GameDate], "&lt;=" &amp; $A182, Table2[AwayTeam], B$1)+SUMIFS(Table2[NewPointsHome],Table2[GameDate], "&lt;=" &amp; $A182, Table2[HomeTeam], B$1)</f>
        <v>7</v>
      </c>
      <c r="C182" s="145">
        <f>SUMIFS(Table2[NewPointsAway],Table2[GameDate], "&lt;=" &amp; $A182, Table2[AwayTeam], C$1)+SUMIFS(Table2[NewPointsHome],Table2[GameDate], "&lt;=" &amp; $A182, Table2[HomeTeam], C$1)</f>
        <v>6</v>
      </c>
      <c r="D182" s="145">
        <f>SUMIFS(Table2[NewPointsAway],Table2[GameDate], "&lt;=" &amp; $A182, Table2[AwayTeam], D$1)+SUMIFS(Table2[NewPointsHome],Table2[GameDate], "&lt;=" &amp; $A182, Table2[HomeTeam], D$1)</f>
        <v>4</v>
      </c>
      <c r="E182" s="145">
        <f>SUMIFS(Table2[NewPointsAway],Table2[GameDate], "&lt;=" &amp; $A182, Table2[AwayTeam], E$1)+SUMIFS(Table2[NewPointsHome],Table2[GameDate], "&lt;=" &amp; $A182, Table2[HomeTeam], E$1)</f>
        <v>10</v>
      </c>
      <c r="F182" s="145">
        <f>SUMIFS(Table2[NewPointsAway],Table2[GameDate], "&lt;=" &amp; $A182, Table2[AwayTeam], F$1)+SUMIFS(Table2[NewPointsHome],Table2[GameDate], "&lt;=" &amp; $A182, Table2[HomeTeam], F$1)</f>
        <v>6</v>
      </c>
      <c r="G182" s="145">
        <f>SUMIFS(Table2[NewPointsAway],Table2[GameDate], "&lt;=" &amp; $A182, Table2[AwayTeam], G$1)+SUMIFS(Table2[NewPointsHome],Table2[GameDate], "&lt;=" &amp; $A182, Table2[HomeTeam], G$1)</f>
        <v>2</v>
      </c>
      <c r="H182" s="145">
        <f>SUMIFS(Table2[NewPointsAway],Table2[GameDate], "&lt;=" &amp; $A182, Table2[AwayTeam], H$1)+SUMIFS(Table2[NewPointsHome],Table2[GameDate], "&lt;=" &amp; $A182, Table2[HomeTeam], H$1)</f>
        <v>8</v>
      </c>
      <c r="I182" s="145">
        <f>SUMIFS(Table2[NewPointsAway],Table2[GameDate], "&lt;=" &amp; $A182, Table2[AwayTeam], I$1)+SUMIFS(Table2[NewPointsHome],Table2[GameDate], "&lt;=" &amp; $A182, Table2[HomeTeam], I$1)</f>
        <v>12</v>
      </c>
      <c r="J182" s="145">
        <f>SUMIFS(Table2[NewPointsAway],Table2[GameDate], "&lt;=" &amp; $A182, Table2[AwayTeam], J$1)+SUMIFS(Table2[NewPointsHome],Table2[GameDate], "&lt;=" &amp; $A182, Table2[HomeTeam], J$1)</f>
        <v>6</v>
      </c>
      <c r="K182" s="145">
        <f>SUMIFS(Table2[NewPointsAway],Table2[GameDate], "&lt;=" &amp; $A182, Table2[AwayTeam], K$1)+SUMIFS(Table2[NewPointsHome],Table2[GameDate], "&lt;=" &amp; $A182, Table2[HomeTeam], K$1)</f>
        <v>10</v>
      </c>
      <c r="L182" s="145">
        <f>SUMIFS(Table2[NewPointsAway],Table2[GameDate], "&lt;=" &amp; $A182, Table2[AwayTeam], L$1)+SUMIFS(Table2[NewPointsHome],Table2[GameDate], "&lt;=" &amp; $A182, Table2[HomeTeam], L$1)</f>
        <v>7</v>
      </c>
      <c r="M182" s="145">
        <f>SUMIFS(Table2[NewPointsAway],Table2[GameDate], "&lt;=" &amp; $A182, Table2[AwayTeam], M$1)+SUMIFS(Table2[NewPointsHome],Table2[GameDate], "&lt;=" &amp; $A182, Table2[HomeTeam], M$1)</f>
        <v>8</v>
      </c>
      <c r="N182" s="145">
        <f>SUMIFS(Table2[NewPointsAway],Table2[GameDate], "&lt;=" &amp; $A182, Table2[AwayTeam], N$1)+SUMIFS(Table2[NewPointsHome],Table2[GameDate], "&lt;=" &amp; $A182, Table2[HomeTeam], N$1)</f>
        <v>6</v>
      </c>
      <c r="O182" s="145">
        <f>SUMIFS(Table2[NewPointsAway],Table2[GameDate], "&lt;=" &amp; $A182, Table2[AwayTeam], O$1)+SUMIFS(Table2[NewPointsHome],Table2[GameDate], "&lt;=" &amp; $A182, Table2[HomeTeam], O$1)</f>
        <v>7</v>
      </c>
      <c r="P182" s="145">
        <f>SUMIFS(Table2[NewPointsAway],Table2[GameDate], "&lt;=" &amp; $A182, Table2[AwayTeam], P$1)+SUMIFS(Table2[NewPointsHome],Table2[GameDate], "&lt;=" &amp; $A182, Table2[HomeTeam], P$1)</f>
        <v>10</v>
      </c>
      <c r="Q182" s="145">
        <f>SUMIFS(Table2[NewPointsAway],Table2[GameDate], "&lt;=" &amp; $A182, Table2[AwayTeam], Q$1)+SUMIFS(Table2[NewPointsHome],Table2[GameDate], "&lt;=" &amp; $A182, Table2[HomeTeam], Q$1)</f>
        <v>10</v>
      </c>
      <c r="R182" s="145">
        <f>SUMIFS(Table2[NewPointsAway],Table2[GameDate], "&lt;=" &amp; $A182, Table2[AwayTeam], R$1)+SUMIFS(Table2[NewPointsHome],Table2[GameDate], "&lt;=" &amp; $A182, Table2[HomeTeam], R$1)</f>
        <v>6</v>
      </c>
      <c r="S182" s="145">
        <f>SUMIFS(Table2[NewPointsAway],Table2[GameDate], "&lt;=" &amp; $A182, Table2[AwayTeam], S$1)+SUMIFS(Table2[NewPointsHome],Table2[GameDate], "&lt;=" &amp; $A182, Table2[HomeTeam], S$1)</f>
        <v>6</v>
      </c>
      <c r="T182" s="145">
        <f>SUMIFS(Table2[NewPointsAway],Table2[GameDate], "&lt;=" &amp; $A182, Table2[AwayTeam], T$1)+SUMIFS(Table2[NewPointsHome],Table2[GameDate], "&lt;=" &amp; $A182, Table2[HomeTeam], T$1)</f>
        <v>7</v>
      </c>
      <c r="U182" s="145">
        <f>SUMIFS(Table2[NewPointsAway],Table2[GameDate], "&lt;=" &amp; $A182, Table2[AwayTeam], U$1)+SUMIFS(Table2[NewPointsHome],Table2[GameDate], "&lt;=" &amp; $A182, Table2[HomeTeam], U$1)</f>
        <v>5</v>
      </c>
      <c r="V182" s="145">
        <f>SUMIFS(Table2[NewPointsAway],Table2[GameDate], "&lt;=" &amp; $A182, Table2[AwayTeam], V$1)+SUMIFS(Table2[NewPointsHome],Table2[GameDate], "&lt;=" &amp; $A182, Table2[HomeTeam], V$1)</f>
        <v>7</v>
      </c>
      <c r="W182" s="145">
        <f>SUMIFS(Table2[NewPointsAway],Table2[GameDate], "&lt;=" &amp; $A182, Table2[AwayTeam], W$1)+SUMIFS(Table2[NewPointsHome],Table2[GameDate], "&lt;=" &amp; $A182, Table2[HomeTeam], W$1)</f>
        <v>10</v>
      </c>
      <c r="X182" s="145">
        <f>SUMIFS(Table2[NewPointsAway],Table2[GameDate], "&lt;=" &amp; $A182, Table2[AwayTeam], X$1)+SUMIFS(Table2[NewPointsHome],Table2[GameDate], "&lt;=" &amp; $A182, Table2[HomeTeam], X$1)</f>
        <v>8</v>
      </c>
      <c r="Y182" s="145">
        <f>SUMIFS(Table2[NewPointsAway],Table2[GameDate], "&lt;=" &amp; $A182, Table2[AwayTeam], Y$1)+SUMIFS(Table2[NewPointsHome],Table2[GameDate], "&lt;=" &amp; $A182, Table2[HomeTeam], Y$1)</f>
        <v>2</v>
      </c>
      <c r="Z182" s="145">
        <f>SUMIFS(Table2[NewPointsAway],Table2[GameDate], "&lt;=" &amp; $A182, Table2[AwayTeam], Z$1)+SUMIFS(Table2[NewPointsHome],Table2[GameDate], "&lt;=" &amp; $A182, Table2[HomeTeam], Z$1)</f>
        <v>7</v>
      </c>
      <c r="AA182" s="145">
        <f>SUMIFS(Table2[NewPointsAway],Table2[GameDate], "&lt;=" &amp; $A182, Table2[AwayTeam], AA$1)+SUMIFS(Table2[NewPointsHome],Table2[GameDate], "&lt;=" &amp; $A182, Table2[HomeTeam], AA$1)</f>
        <v>4</v>
      </c>
      <c r="AB182" s="145">
        <f>SUMIFS(Table2[NewPointsAway],Table2[GameDate], "&lt;=" &amp; $A182, Table2[AwayTeam], AB$1)+SUMIFS(Table2[NewPointsHome],Table2[GameDate], "&lt;=" &amp; $A182, Table2[HomeTeam], AB$1)</f>
        <v>7</v>
      </c>
      <c r="AC182" s="145">
        <f>SUMIFS(Table2[NewPointsAway],Table2[GameDate], "&lt;=" &amp; $A182, Table2[AwayTeam], AC$1)+SUMIFS(Table2[NewPointsHome],Table2[GameDate], "&lt;=" &amp; $A182, Table2[HomeTeam], AC$1)</f>
        <v>10</v>
      </c>
      <c r="AD182" s="145">
        <f>SUMIFS(Table2[NewPointsAway],Table2[GameDate], "&lt;=" &amp; $A182, Table2[AwayTeam], AD$1)+SUMIFS(Table2[NewPointsHome],Table2[GameDate], "&lt;=" &amp; $A182, Table2[HomeTeam], AD$1)</f>
        <v>8</v>
      </c>
      <c r="AE182" s="145">
        <f>SUMIFS(Table2[NewPointsAway],Table2[GameDate], "&lt;=" &amp; $A182, Table2[AwayTeam], AE$1)+SUMIFS(Table2[NewPointsHome],Table2[GameDate], "&lt;=" &amp; $A182, Table2[HomeTeam], AE$1)</f>
        <v>12</v>
      </c>
      <c r="AF182" s="145">
        <f>SUMIFS(Table2[NewPointsAway],Table2[GameDate], "&lt;=" &amp; $A182, Table2[AwayTeam], AF$1)+SUMIFS(Table2[NewPointsHome],Table2[GameDate], "&lt;=" &amp; $A182, Table2[HomeTeam], AF$1)</f>
        <v>10</v>
      </c>
      <c r="AG182" s="145">
        <f>SUMIFS(Table2[NewPointsAway],Table2[GameDate], "&lt;=" &amp; $A182, Table2[AwayTeam], AG$1)+SUMIFS(Table2[NewPointsHome],Table2[GameDate], "&lt;=" &amp; $A182, Table2[HomeTeam], AG$1)</f>
        <v>10</v>
      </c>
    </row>
    <row r="183" spans="1:33" x14ac:dyDescent="0.25">
      <c r="A183" s="3">
        <v>46114</v>
      </c>
      <c r="B183" s="145">
        <f>SUMIFS(Table2[NewPointsAway],Table2[GameDate], "&lt;=" &amp; $A183, Table2[AwayTeam], B$1)+SUMIFS(Table2[NewPointsHome],Table2[GameDate], "&lt;=" &amp; $A183, Table2[HomeTeam], B$1)</f>
        <v>7</v>
      </c>
      <c r="C183" s="145">
        <f>SUMIFS(Table2[NewPointsAway],Table2[GameDate], "&lt;=" &amp; $A183, Table2[AwayTeam], C$1)+SUMIFS(Table2[NewPointsHome],Table2[GameDate], "&lt;=" &amp; $A183, Table2[HomeTeam], C$1)</f>
        <v>6</v>
      </c>
      <c r="D183" s="145">
        <f>SUMIFS(Table2[NewPointsAway],Table2[GameDate], "&lt;=" &amp; $A183, Table2[AwayTeam], D$1)+SUMIFS(Table2[NewPointsHome],Table2[GameDate], "&lt;=" &amp; $A183, Table2[HomeTeam], D$1)</f>
        <v>4</v>
      </c>
      <c r="E183" s="145">
        <f>SUMIFS(Table2[NewPointsAway],Table2[GameDate], "&lt;=" &amp; $A183, Table2[AwayTeam], E$1)+SUMIFS(Table2[NewPointsHome],Table2[GameDate], "&lt;=" &amp; $A183, Table2[HomeTeam], E$1)</f>
        <v>10</v>
      </c>
      <c r="F183" s="145">
        <f>SUMIFS(Table2[NewPointsAway],Table2[GameDate], "&lt;=" &amp; $A183, Table2[AwayTeam], F$1)+SUMIFS(Table2[NewPointsHome],Table2[GameDate], "&lt;=" &amp; $A183, Table2[HomeTeam], F$1)</f>
        <v>6</v>
      </c>
      <c r="G183" s="145">
        <f>SUMIFS(Table2[NewPointsAway],Table2[GameDate], "&lt;=" &amp; $A183, Table2[AwayTeam], G$1)+SUMIFS(Table2[NewPointsHome],Table2[GameDate], "&lt;=" &amp; $A183, Table2[HomeTeam], G$1)</f>
        <v>2</v>
      </c>
      <c r="H183" s="145">
        <f>SUMIFS(Table2[NewPointsAway],Table2[GameDate], "&lt;=" &amp; $A183, Table2[AwayTeam], H$1)+SUMIFS(Table2[NewPointsHome],Table2[GameDate], "&lt;=" &amp; $A183, Table2[HomeTeam], H$1)</f>
        <v>8</v>
      </c>
      <c r="I183" s="145">
        <f>SUMIFS(Table2[NewPointsAway],Table2[GameDate], "&lt;=" &amp; $A183, Table2[AwayTeam], I$1)+SUMIFS(Table2[NewPointsHome],Table2[GameDate], "&lt;=" &amp; $A183, Table2[HomeTeam], I$1)</f>
        <v>12</v>
      </c>
      <c r="J183" s="145">
        <f>SUMIFS(Table2[NewPointsAway],Table2[GameDate], "&lt;=" &amp; $A183, Table2[AwayTeam], J$1)+SUMIFS(Table2[NewPointsHome],Table2[GameDate], "&lt;=" &amp; $A183, Table2[HomeTeam], J$1)</f>
        <v>6</v>
      </c>
      <c r="K183" s="145">
        <f>SUMIFS(Table2[NewPointsAway],Table2[GameDate], "&lt;=" &amp; $A183, Table2[AwayTeam], K$1)+SUMIFS(Table2[NewPointsHome],Table2[GameDate], "&lt;=" &amp; $A183, Table2[HomeTeam], K$1)</f>
        <v>10</v>
      </c>
      <c r="L183" s="145">
        <f>SUMIFS(Table2[NewPointsAway],Table2[GameDate], "&lt;=" &amp; $A183, Table2[AwayTeam], L$1)+SUMIFS(Table2[NewPointsHome],Table2[GameDate], "&lt;=" &amp; $A183, Table2[HomeTeam], L$1)</f>
        <v>7</v>
      </c>
      <c r="M183" s="145">
        <f>SUMIFS(Table2[NewPointsAway],Table2[GameDate], "&lt;=" &amp; $A183, Table2[AwayTeam], M$1)+SUMIFS(Table2[NewPointsHome],Table2[GameDate], "&lt;=" &amp; $A183, Table2[HomeTeam], M$1)</f>
        <v>8</v>
      </c>
      <c r="N183" s="145">
        <f>SUMIFS(Table2[NewPointsAway],Table2[GameDate], "&lt;=" &amp; $A183, Table2[AwayTeam], N$1)+SUMIFS(Table2[NewPointsHome],Table2[GameDate], "&lt;=" &amp; $A183, Table2[HomeTeam], N$1)</f>
        <v>6</v>
      </c>
      <c r="O183" s="145">
        <f>SUMIFS(Table2[NewPointsAway],Table2[GameDate], "&lt;=" &amp; $A183, Table2[AwayTeam], O$1)+SUMIFS(Table2[NewPointsHome],Table2[GameDate], "&lt;=" &amp; $A183, Table2[HomeTeam], O$1)</f>
        <v>7</v>
      </c>
      <c r="P183" s="145">
        <f>SUMIFS(Table2[NewPointsAway],Table2[GameDate], "&lt;=" &amp; $A183, Table2[AwayTeam], P$1)+SUMIFS(Table2[NewPointsHome],Table2[GameDate], "&lt;=" &amp; $A183, Table2[HomeTeam], P$1)</f>
        <v>10</v>
      </c>
      <c r="Q183" s="145">
        <f>SUMIFS(Table2[NewPointsAway],Table2[GameDate], "&lt;=" &amp; $A183, Table2[AwayTeam], Q$1)+SUMIFS(Table2[NewPointsHome],Table2[GameDate], "&lt;=" &amp; $A183, Table2[HomeTeam], Q$1)</f>
        <v>10</v>
      </c>
      <c r="R183" s="145">
        <f>SUMIFS(Table2[NewPointsAway],Table2[GameDate], "&lt;=" &amp; $A183, Table2[AwayTeam], R$1)+SUMIFS(Table2[NewPointsHome],Table2[GameDate], "&lt;=" &amp; $A183, Table2[HomeTeam], R$1)</f>
        <v>6</v>
      </c>
      <c r="S183" s="145">
        <f>SUMIFS(Table2[NewPointsAway],Table2[GameDate], "&lt;=" &amp; $A183, Table2[AwayTeam], S$1)+SUMIFS(Table2[NewPointsHome],Table2[GameDate], "&lt;=" &amp; $A183, Table2[HomeTeam], S$1)</f>
        <v>6</v>
      </c>
      <c r="T183" s="145">
        <f>SUMIFS(Table2[NewPointsAway],Table2[GameDate], "&lt;=" &amp; $A183, Table2[AwayTeam], T$1)+SUMIFS(Table2[NewPointsHome],Table2[GameDate], "&lt;=" &amp; $A183, Table2[HomeTeam], T$1)</f>
        <v>7</v>
      </c>
      <c r="U183" s="145">
        <f>SUMIFS(Table2[NewPointsAway],Table2[GameDate], "&lt;=" &amp; $A183, Table2[AwayTeam], U$1)+SUMIFS(Table2[NewPointsHome],Table2[GameDate], "&lt;=" &amp; $A183, Table2[HomeTeam], U$1)</f>
        <v>5</v>
      </c>
      <c r="V183" s="145">
        <f>SUMIFS(Table2[NewPointsAway],Table2[GameDate], "&lt;=" &amp; $A183, Table2[AwayTeam], V$1)+SUMIFS(Table2[NewPointsHome],Table2[GameDate], "&lt;=" &amp; $A183, Table2[HomeTeam], V$1)</f>
        <v>7</v>
      </c>
      <c r="W183" s="145">
        <f>SUMIFS(Table2[NewPointsAway],Table2[GameDate], "&lt;=" &amp; $A183, Table2[AwayTeam], W$1)+SUMIFS(Table2[NewPointsHome],Table2[GameDate], "&lt;=" &amp; $A183, Table2[HomeTeam], W$1)</f>
        <v>10</v>
      </c>
      <c r="X183" s="145">
        <f>SUMIFS(Table2[NewPointsAway],Table2[GameDate], "&lt;=" &amp; $A183, Table2[AwayTeam], X$1)+SUMIFS(Table2[NewPointsHome],Table2[GameDate], "&lt;=" &amp; $A183, Table2[HomeTeam], X$1)</f>
        <v>8</v>
      </c>
      <c r="Y183" s="145">
        <f>SUMIFS(Table2[NewPointsAway],Table2[GameDate], "&lt;=" &amp; $A183, Table2[AwayTeam], Y$1)+SUMIFS(Table2[NewPointsHome],Table2[GameDate], "&lt;=" &amp; $A183, Table2[HomeTeam], Y$1)</f>
        <v>2</v>
      </c>
      <c r="Z183" s="145">
        <f>SUMIFS(Table2[NewPointsAway],Table2[GameDate], "&lt;=" &amp; $A183, Table2[AwayTeam], Z$1)+SUMIFS(Table2[NewPointsHome],Table2[GameDate], "&lt;=" &amp; $A183, Table2[HomeTeam], Z$1)</f>
        <v>7</v>
      </c>
      <c r="AA183" s="145">
        <f>SUMIFS(Table2[NewPointsAway],Table2[GameDate], "&lt;=" &amp; $A183, Table2[AwayTeam], AA$1)+SUMIFS(Table2[NewPointsHome],Table2[GameDate], "&lt;=" &amp; $A183, Table2[HomeTeam], AA$1)</f>
        <v>4</v>
      </c>
      <c r="AB183" s="145">
        <f>SUMIFS(Table2[NewPointsAway],Table2[GameDate], "&lt;=" &amp; $A183, Table2[AwayTeam], AB$1)+SUMIFS(Table2[NewPointsHome],Table2[GameDate], "&lt;=" &amp; $A183, Table2[HomeTeam], AB$1)</f>
        <v>7</v>
      </c>
      <c r="AC183" s="145">
        <f>SUMIFS(Table2[NewPointsAway],Table2[GameDate], "&lt;=" &amp; $A183, Table2[AwayTeam], AC$1)+SUMIFS(Table2[NewPointsHome],Table2[GameDate], "&lt;=" &amp; $A183, Table2[HomeTeam], AC$1)</f>
        <v>10</v>
      </c>
      <c r="AD183" s="145">
        <f>SUMIFS(Table2[NewPointsAway],Table2[GameDate], "&lt;=" &amp; $A183, Table2[AwayTeam], AD$1)+SUMIFS(Table2[NewPointsHome],Table2[GameDate], "&lt;=" &amp; $A183, Table2[HomeTeam], AD$1)</f>
        <v>8</v>
      </c>
      <c r="AE183" s="145">
        <f>SUMIFS(Table2[NewPointsAway],Table2[GameDate], "&lt;=" &amp; $A183, Table2[AwayTeam], AE$1)+SUMIFS(Table2[NewPointsHome],Table2[GameDate], "&lt;=" &amp; $A183, Table2[HomeTeam], AE$1)</f>
        <v>12</v>
      </c>
      <c r="AF183" s="145">
        <f>SUMIFS(Table2[NewPointsAway],Table2[GameDate], "&lt;=" &amp; $A183, Table2[AwayTeam], AF$1)+SUMIFS(Table2[NewPointsHome],Table2[GameDate], "&lt;=" &amp; $A183, Table2[HomeTeam], AF$1)</f>
        <v>10</v>
      </c>
      <c r="AG183" s="145">
        <f>SUMIFS(Table2[NewPointsAway],Table2[GameDate], "&lt;=" &amp; $A183, Table2[AwayTeam], AG$1)+SUMIFS(Table2[NewPointsHome],Table2[GameDate], "&lt;=" &amp; $A183, Table2[HomeTeam], AG$1)</f>
        <v>10</v>
      </c>
    </row>
    <row r="184" spans="1:33" x14ac:dyDescent="0.25">
      <c r="A184" s="3">
        <v>46115</v>
      </c>
      <c r="B184" s="145">
        <f>SUMIFS(Table2[NewPointsAway],Table2[GameDate], "&lt;=" &amp; $A184, Table2[AwayTeam], B$1)+SUMIFS(Table2[NewPointsHome],Table2[GameDate], "&lt;=" &amp; $A184, Table2[HomeTeam], B$1)</f>
        <v>7</v>
      </c>
      <c r="C184" s="145">
        <f>SUMIFS(Table2[NewPointsAway],Table2[GameDate], "&lt;=" &amp; $A184, Table2[AwayTeam], C$1)+SUMIFS(Table2[NewPointsHome],Table2[GameDate], "&lt;=" &amp; $A184, Table2[HomeTeam], C$1)</f>
        <v>6</v>
      </c>
      <c r="D184" s="145">
        <f>SUMIFS(Table2[NewPointsAway],Table2[GameDate], "&lt;=" &amp; $A184, Table2[AwayTeam], D$1)+SUMIFS(Table2[NewPointsHome],Table2[GameDate], "&lt;=" &amp; $A184, Table2[HomeTeam], D$1)</f>
        <v>4</v>
      </c>
      <c r="E184" s="145">
        <f>SUMIFS(Table2[NewPointsAway],Table2[GameDate], "&lt;=" &amp; $A184, Table2[AwayTeam], E$1)+SUMIFS(Table2[NewPointsHome],Table2[GameDate], "&lt;=" &amp; $A184, Table2[HomeTeam], E$1)</f>
        <v>10</v>
      </c>
      <c r="F184" s="145">
        <f>SUMIFS(Table2[NewPointsAway],Table2[GameDate], "&lt;=" &amp; $A184, Table2[AwayTeam], F$1)+SUMIFS(Table2[NewPointsHome],Table2[GameDate], "&lt;=" &amp; $A184, Table2[HomeTeam], F$1)</f>
        <v>6</v>
      </c>
      <c r="G184" s="145">
        <f>SUMIFS(Table2[NewPointsAway],Table2[GameDate], "&lt;=" &amp; $A184, Table2[AwayTeam], G$1)+SUMIFS(Table2[NewPointsHome],Table2[GameDate], "&lt;=" &amp; $A184, Table2[HomeTeam], G$1)</f>
        <v>2</v>
      </c>
      <c r="H184" s="145">
        <f>SUMIFS(Table2[NewPointsAway],Table2[GameDate], "&lt;=" &amp; $A184, Table2[AwayTeam], H$1)+SUMIFS(Table2[NewPointsHome],Table2[GameDate], "&lt;=" &amp; $A184, Table2[HomeTeam], H$1)</f>
        <v>8</v>
      </c>
      <c r="I184" s="145">
        <f>SUMIFS(Table2[NewPointsAway],Table2[GameDate], "&lt;=" &amp; $A184, Table2[AwayTeam], I$1)+SUMIFS(Table2[NewPointsHome],Table2[GameDate], "&lt;=" &amp; $A184, Table2[HomeTeam], I$1)</f>
        <v>12</v>
      </c>
      <c r="J184" s="145">
        <f>SUMIFS(Table2[NewPointsAway],Table2[GameDate], "&lt;=" &amp; $A184, Table2[AwayTeam], J$1)+SUMIFS(Table2[NewPointsHome],Table2[GameDate], "&lt;=" &amp; $A184, Table2[HomeTeam], J$1)</f>
        <v>6</v>
      </c>
      <c r="K184" s="145">
        <f>SUMIFS(Table2[NewPointsAway],Table2[GameDate], "&lt;=" &amp; $A184, Table2[AwayTeam], K$1)+SUMIFS(Table2[NewPointsHome],Table2[GameDate], "&lt;=" &amp; $A184, Table2[HomeTeam], K$1)</f>
        <v>10</v>
      </c>
      <c r="L184" s="145">
        <f>SUMIFS(Table2[NewPointsAway],Table2[GameDate], "&lt;=" &amp; $A184, Table2[AwayTeam], L$1)+SUMIFS(Table2[NewPointsHome],Table2[GameDate], "&lt;=" &amp; $A184, Table2[HomeTeam], L$1)</f>
        <v>7</v>
      </c>
      <c r="M184" s="145">
        <f>SUMIFS(Table2[NewPointsAway],Table2[GameDate], "&lt;=" &amp; $A184, Table2[AwayTeam], M$1)+SUMIFS(Table2[NewPointsHome],Table2[GameDate], "&lt;=" &amp; $A184, Table2[HomeTeam], M$1)</f>
        <v>8</v>
      </c>
      <c r="N184" s="145">
        <f>SUMIFS(Table2[NewPointsAway],Table2[GameDate], "&lt;=" &amp; $A184, Table2[AwayTeam], N$1)+SUMIFS(Table2[NewPointsHome],Table2[GameDate], "&lt;=" &amp; $A184, Table2[HomeTeam], N$1)</f>
        <v>6</v>
      </c>
      <c r="O184" s="145">
        <f>SUMIFS(Table2[NewPointsAway],Table2[GameDate], "&lt;=" &amp; $A184, Table2[AwayTeam], O$1)+SUMIFS(Table2[NewPointsHome],Table2[GameDate], "&lt;=" &amp; $A184, Table2[HomeTeam], O$1)</f>
        <v>7</v>
      </c>
      <c r="P184" s="145">
        <f>SUMIFS(Table2[NewPointsAway],Table2[GameDate], "&lt;=" &amp; $A184, Table2[AwayTeam], P$1)+SUMIFS(Table2[NewPointsHome],Table2[GameDate], "&lt;=" &amp; $A184, Table2[HomeTeam], P$1)</f>
        <v>10</v>
      </c>
      <c r="Q184" s="145">
        <f>SUMIFS(Table2[NewPointsAway],Table2[GameDate], "&lt;=" &amp; $A184, Table2[AwayTeam], Q$1)+SUMIFS(Table2[NewPointsHome],Table2[GameDate], "&lt;=" &amp; $A184, Table2[HomeTeam], Q$1)</f>
        <v>10</v>
      </c>
      <c r="R184" s="145">
        <f>SUMIFS(Table2[NewPointsAway],Table2[GameDate], "&lt;=" &amp; $A184, Table2[AwayTeam], R$1)+SUMIFS(Table2[NewPointsHome],Table2[GameDate], "&lt;=" &amp; $A184, Table2[HomeTeam], R$1)</f>
        <v>6</v>
      </c>
      <c r="S184" s="145">
        <f>SUMIFS(Table2[NewPointsAway],Table2[GameDate], "&lt;=" &amp; $A184, Table2[AwayTeam], S$1)+SUMIFS(Table2[NewPointsHome],Table2[GameDate], "&lt;=" &amp; $A184, Table2[HomeTeam], S$1)</f>
        <v>6</v>
      </c>
      <c r="T184" s="145">
        <f>SUMIFS(Table2[NewPointsAway],Table2[GameDate], "&lt;=" &amp; $A184, Table2[AwayTeam], T$1)+SUMIFS(Table2[NewPointsHome],Table2[GameDate], "&lt;=" &amp; $A184, Table2[HomeTeam], T$1)</f>
        <v>7</v>
      </c>
      <c r="U184" s="145">
        <f>SUMIFS(Table2[NewPointsAway],Table2[GameDate], "&lt;=" &amp; $A184, Table2[AwayTeam], U$1)+SUMIFS(Table2[NewPointsHome],Table2[GameDate], "&lt;=" &amp; $A184, Table2[HomeTeam], U$1)</f>
        <v>5</v>
      </c>
      <c r="V184" s="145">
        <f>SUMIFS(Table2[NewPointsAway],Table2[GameDate], "&lt;=" &amp; $A184, Table2[AwayTeam], V$1)+SUMIFS(Table2[NewPointsHome],Table2[GameDate], "&lt;=" &amp; $A184, Table2[HomeTeam], V$1)</f>
        <v>7</v>
      </c>
      <c r="W184" s="145">
        <f>SUMIFS(Table2[NewPointsAway],Table2[GameDate], "&lt;=" &amp; $A184, Table2[AwayTeam], W$1)+SUMIFS(Table2[NewPointsHome],Table2[GameDate], "&lt;=" &amp; $A184, Table2[HomeTeam], W$1)</f>
        <v>10</v>
      </c>
      <c r="X184" s="145">
        <f>SUMIFS(Table2[NewPointsAway],Table2[GameDate], "&lt;=" &amp; $A184, Table2[AwayTeam], X$1)+SUMIFS(Table2[NewPointsHome],Table2[GameDate], "&lt;=" &amp; $A184, Table2[HomeTeam], X$1)</f>
        <v>8</v>
      </c>
      <c r="Y184" s="145">
        <f>SUMIFS(Table2[NewPointsAway],Table2[GameDate], "&lt;=" &amp; $A184, Table2[AwayTeam], Y$1)+SUMIFS(Table2[NewPointsHome],Table2[GameDate], "&lt;=" &amp; $A184, Table2[HomeTeam], Y$1)</f>
        <v>2</v>
      </c>
      <c r="Z184" s="145">
        <f>SUMIFS(Table2[NewPointsAway],Table2[GameDate], "&lt;=" &amp; $A184, Table2[AwayTeam], Z$1)+SUMIFS(Table2[NewPointsHome],Table2[GameDate], "&lt;=" &amp; $A184, Table2[HomeTeam], Z$1)</f>
        <v>7</v>
      </c>
      <c r="AA184" s="145">
        <f>SUMIFS(Table2[NewPointsAway],Table2[GameDate], "&lt;=" &amp; $A184, Table2[AwayTeam], AA$1)+SUMIFS(Table2[NewPointsHome],Table2[GameDate], "&lt;=" &amp; $A184, Table2[HomeTeam], AA$1)</f>
        <v>4</v>
      </c>
      <c r="AB184" s="145">
        <f>SUMIFS(Table2[NewPointsAway],Table2[GameDate], "&lt;=" &amp; $A184, Table2[AwayTeam], AB$1)+SUMIFS(Table2[NewPointsHome],Table2[GameDate], "&lt;=" &amp; $A184, Table2[HomeTeam], AB$1)</f>
        <v>7</v>
      </c>
      <c r="AC184" s="145">
        <f>SUMIFS(Table2[NewPointsAway],Table2[GameDate], "&lt;=" &amp; $A184, Table2[AwayTeam], AC$1)+SUMIFS(Table2[NewPointsHome],Table2[GameDate], "&lt;=" &amp; $A184, Table2[HomeTeam], AC$1)</f>
        <v>10</v>
      </c>
      <c r="AD184" s="145">
        <f>SUMIFS(Table2[NewPointsAway],Table2[GameDate], "&lt;=" &amp; $A184, Table2[AwayTeam], AD$1)+SUMIFS(Table2[NewPointsHome],Table2[GameDate], "&lt;=" &amp; $A184, Table2[HomeTeam], AD$1)</f>
        <v>8</v>
      </c>
      <c r="AE184" s="145">
        <f>SUMIFS(Table2[NewPointsAway],Table2[GameDate], "&lt;=" &amp; $A184, Table2[AwayTeam], AE$1)+SUMIFS(Table2[NewPointsHome],Table2[GameDate], "&lt;=" &amp; $A184, Table2[HomeTeam], AE$1)</f>
        <v>12</v>
      </c>
      <c r="AF184" s="145">
        <f>SUMIFS(Table2[NewPointsAway],Table2[GameDate], "&lt;=" &amp; $A184, Table2[AwayTeam], AF$1)+SUMIFS(Table2[NewPointsHome],Table2[GameDate], "&lt;=" &amp; $A184, Table2[HomeTeam], AF$1)</f>
        <v>10</v>
      </c>
      <c r="AG184" s="145">
        <f>SUMIFS(Table2[NewPointsAway],Table2[GameDate], "&lt;=" &amp; $A184, Table2[AwayTeam], AG$1)+SUMIFS(Table2[NewPointsHome],Table2[GameDate], "&lt;=" &amp; $A184, Table2[HomeTeam], AG$1)</f>
        <v>10</v>
      </c>
    </row>
    <row r="185" spans="1:33" x14ac:dyDescent="0.25">
      <c r="A185" s="3">
        <v>46116</v>
      </c>
      <c r="B185" s="145">
        <f>SUMIFS(Table2[NewPointsAway],Table2[GameDate], "&lt;=" &amp; $A185, Table2[AwayTeam], B$1)+SUMIFS(Table2[NewPointsHome],Table2[GameDate], "&lt;=" &amp; $A185, Table2[HomeTeam], B$1)</f>
        <v>7</v>
      </c>
      <c r="C185" s="145">
        <f>SUMIFS(Table2[NewPointsAway],Table2[GameDate], "&lt;=" &amp; $A185, Table2[AwayTeam], C$1)+SUMIFS(Table2[NewPointsHome],Table2[GameDate], "&lt;=" &amp; $A185, Table2[HomeTeam], C$1)</f>
        <v>6</v>
      </c>
      <c r="D185" s="145">
        <f>SUMIFS(Table2[NewPointsAway],Table2[GameDate], "&lt;=" &amp; $A185, Table2[AwayTeam], D$1)+SUMIFS(Table2[NewPointsHome],Table2[GameDate], "&lt;=" &amp; $A185, Table2[HomeTeam], D$1)</f>
        <v>4</v>
      </c>
      <c r="E185" s="145">
        <f>SUMIFS(Table2[NewPointsAway],Table2[GameDate], "&lt;=" &amp; $A185, Table2[AwayTeam], E$1)+SUMIFS(Table2[NewPointsHome],Table2[GameDate], "&lt;=" &amp; $A185, Table2[HomeTeam], E$1)</f>
        <v>10</v>
      </c>
      <c r="F185" s="145">
        <f>SUMIFS(Table2[NewPointsAway],Table2[GameDate], "&lt;=" &amp; $A185, Table2[AwayTeam], F$1)+SUMIFS(Table2[NewPointsHome],Table2[GameDate], "&lt;=" &amp; $A185, Table2[HomeTeam], F$1)</f>
        <v>6</v>
      </c>
      <c r="G185" s="145">
        <f>SUMIFS(Table2[NewPointsAway],Table2[GameDate], "&lt;=" &amp; $A185, Table2[AwayTeam], G$1)+SUMIFS(Table2[NewPointsHome],Table2[GameDate], "&lt;=" &amp; $A185, Table2[HomeTeam], G$1)</f>
        <v>2</v>
      </c>
      <c r="H185" s="145">
        <f>SUMIFS(Table2[NewPointsAway],Table2[GameDate], "&lt;=" &amp; $A185, Table2[AwayTeam], H$1)+SUMIFS(Table2[NewPointsHome],Table2[GameDate], "&lt;=" &amp; $A185, Table2[HomeTeam], H$1)</f>
        <v>8</v>
      </c>
      <c r="I185" s="145">
        <f>SUMIFS(Table2[NewPointsAway],Table2[GameDate], "&lt;=" &amp; $A185, Table2[AwayTeam], I$1)+SUMIFS(Table2[NewPointsHome],Table2[GameDate], "&lt;=" &amp; $A185, Table2[HomeTeam], I$1)</f>
        <v>12</v>
      </c>
      <c r="J185" s="145">
        <f>SUMIFS(Table2[NewPointsAway],Table2[GameDate], "&lt;=" &amp; $A185, Table2[AwayTeam], J$1)+SUMIFS(Table2[NewPointsHome],Table2[GameDate], "&lt;=" &amp; $A185, Table2[HomeTeam], J$1)</f>
        <v>6</v>
      </c>
      <c r="K185" s="145">
        <f>SUMIFS(Table2[NewPointsAway],Table2[GameDate], "&lt;=" &amp; $A185, Table2[AwayTeam], K$1)+SUMIFS(Table2[NewPointsHome],Table2[GameDate], "&lt;=" &amp; $A185, Table2[HomeTeam], K$1)</f>
        <v>10</v>
      </c>
      <c r="L185" s="145">
        <f>SUMIFS(Table2[NewPointsAway],Table2[GameDate], "&lt;=" &amp; $A185, Table2[AwayTeam], L$1)+SUMIFS(Table2[NewPointsHome],Table2[GameDate], "&lt;=" &amp; $A185, Table2[HomeTeam], L$1)</f>
        <v>7</v>
      </c>
      <c r="M185" s="145">
        <f>SUMIFS(Table2[NewPointsAway],Table2[GameDate], "&lt;=" &amp; $A185, Table2[AwayTeam], M$1)+SUMIFS(Table2[NewPointsHome],Table2[GameDate], "&lt;=" &amp; $A185, Table2[HomeTeam], M$1)</f>
        <v>8</v>
      </c>
      <c r="N185" s="145">
        <f>SUMIFS(Table2[NewPointsAway],Table2[GameDate], "&lt;=" &amp; $A185, Table2[AwayTeam], N$1)+SUMIFS(Table2[NewPointsHome],Table2[GameDate], "&lt;=" &amp; $A185, Table2[HomeTeam], N$1)</f>
        <v>6</v>
      </c>
      <c r="O185" s="145">
        <f>SUMIFS(Table2[NewPointsAway],Table2[GameDate], "&lt;=" &amp; $A185, Table2[AwayTeam], O$1)+SUMIFS(Table2[NewPointsHome],Table2[GameDate], "&lt;=" &amp; $A185, Table2[HomeTeam], O$1)</f>
        <v>7</v>
      </c>
      <c r="P185" s="145">
        <f>SUMIFS(Table2[NewPointsAway],Table2[GameDate], "&lt;=" &amp; $A185, Table2[AwayTeam], P$1)+SUMIFS(Table2[NewPointsHome],Table2[GameDate], "&lt;=" &amp; $A185, Table2[HomeTeam], P$1)</f>
        <v>10</v>
      </c>
      <c r="Q185" s="145">
        <f>SUMIFS(Table2[NewPointsAway],Table2[GameDate], "&lt;=" &amp; $A185, Table2[AwayTeam], Q$1)+SUMIFS(Table2[NewPointsHome],Table2[GameDate], "&lt;=" &amp; $A185, Table2[HomeTeam], Q$1)</f>
        <v>10</v>
      </c>
      <c r="R185" s="145">
        <f>SUMIFS(Table2[NewPointsAway],Table2[GameDate], "&lt;=" &amp; $A185, Table2[AwayTeam], R$1)+SUMIFS(Table2[NewPointsHome],Table2[GameDate], "&lt;=" &amp; $A185, Table2[HomeTeam], R$1)</f>
        <v>6</v>
      </c>
      <c r="S185" s="145">
        <f>SUMIFS(Table2[NewPointsAway],Table2[GameDate], "&lt;=" &amp; $A185, Table2[AwayTeam], S$1)+SUMIFS(Table2[NewPointsHome],Table2[GameDate], "&lt;=" &amp; $A185, Table2[HomeTeam], S$1)</f>
        <v>6</v>
      </c>
      <c r="T185" s="145">
        <f>SUMIFS(Table2[NewPointsAway],Table2[GameDate], "&lt;=" &amp; $A185, Table2[AwayTeam], T$1)+SUMIFS(Table2[NewPointsHome],Table2[GameDate], "&lt;=" &amp; $A185, Table2[HomeTeam], T$1)</f>
        <v>7</v>
      </c>
      <c r="U185" s="145">
        <f>SUMIFS(Table2[NewPointsAway],Table2[GameDate], "&lt;=" &amp; $A185, Table2[AwayTeam], U$1)+SUMIFS(Table2[NewPointsHome],Table2[GameDate], "&lt;=" &amp; $A185, Table2[HomeTeam], U$1)</f>
        <v>5</v>
      </c>
      <c r="V185" s="145">
        <f>SUMIFS(Table2[NewPointsAway],Table2[GameDate], "&lt;=" &amp; $A185, Table2[AwayTeam], V$1)+SUMIFS(Table2[NewPointsHome],Table2[GameDate], "&lt;=" &amp; $A185, Table2[HomeTeam], V$1)</f>
        <v>7</v>
      </c>
      <c r="W185" s="145">
        <f>SUMIFS(Table2[NewPointsAway],Table2[GameDate], "&lt;=" &amp; $A185, Table2[AwayTeam], W$1)+SUMIFS(Table2[NewPointsHome],Table2[GameDate], "&lt;=" &amp; $A185, Table2[HomeTeam], W$1)</f>
        <v>10</v>
      </c>
      <c r="X185" s="145">
        <f>SUMIFS(Table2[NewPointsAway],Table2[GameDate], "&lt;=" &amp; $A185, Table2[AwayTeam], X$1)+SUMIFS(Table2[NewPointsHome],Table2[GameDate], "&lt;=" &amp; $A185, Table2[HomeTeam], X$1)</f>
        <v>8</v>
      </c>
      <c r="Y185" s="145">
        <f>SUMIFS(Table2[NewPointsAway],Table2[GameDate], "&lt;=" &amp; $A185, Table2[AwayTeam], Y$1)+SUMIFS(Table2[NewPointsHome],Table2[GameDate], "&lt;=" &amp; $A185, Table2[HomeTeam], Y$1)</f>
        <v>2</v>
      </c>
      <c r="Z185" s="145">
        <f>SUMIFS(Table2[NewPointsAway],Table2[GameDate], "&lt;=" &amp; $A185, Table2[AwayTeam], Z$1)+SUMIFS(Table2[NewPointsHome],Table2[GameDate], "&lt;=" &amp; $A185, Table2[HomeTeam], Z$1)</f>
        <v>7</v>
      </c>
      <c r="AA185" s="145">
        <f>SUMIFS(Table2[NewPointsAway],Table2[GameDate], "&lt;=" &amp; $A185, Table2[AwayTeam], AA$1)+SUMIFS(Table2[NewPointsHome],Table2[GameDate], "&lt;=" &amp; $A185, Table2[HomeTeam], AA$1)</f>
        <v>4</v>
      </c>
      <c r="AB185" s="145">
        <f>SUMIFS(Table2[NewPointsAway],Table2[GameDate], "&lt;=" &amp; $A185, Table2[AwayTeam], AB$1)+SUMIFS(Table2[NewPointsHome],Table2[GameDate], "&lt;=" &amp; $A185, Table2[HomeTeam], AB$1)</f>
        <v>7</v>
      </c>
      <c r="AC185" s="145">
        <f>SUMIFS(Table2[NewPointsAway],Table2[GameDate], "&lt;=" &amp; $A185, Table2[AwayTeam], AC$1)+SUMIFS(Table2[NewPointsHome],Table2[GameDate], "&lt;=" &amp; $A185, Table2[HomeTeam], AC$1)</f>
        <v>10</v>
      </c>
      <c r="AD185" s="145">
        <f>SUMIFS(Table2[NewPointsAway],Table2[GameDate], "&lt;=" &amp; $A185, Table2[AwayTeam], AD$1)+SUMIFS(Table2[NewPointsHome],Table2[GameDate], "&lt;=" &amp; $A185, Table2[HomeTeam], AD$1)</f>
        <v>8</v>
      </c>
      <c r="AE185" s="145">
        <f>SUMIFS(Table2[NewPointsAway],Table2[GameDate], "&lt;=" &amp; $A185, Table2[AwayTeam], AE$1)+SUMIFS(Table2[NewPointsHome],Table2[GameDate], "&lt;=" &amp; $A185, Table2[HomeTeam], AE$1)</f>
        <v>12</v>
      </c>
      <c r="AF185" s="145">
        <f>SUMIFS(Table2[NewPointsAway],Table2[GameDate], "&lt;=" &amp; $A185, Table2[AwayTeam], AF$1)+SUMIFS(Table2[NewPointsHome],Table2[GameDate], "&lt;=" &amp; $A185, Table2[HomeTeam], AF$1)</f>
        <v>10</v>
      </c>
      <c r="AG185" s="145">
        <f>SUMIFS(Table2[NewPointsAway],Table2[GameDate], "&lt;=" &amp; $A185, Table2[AwayTeam], AG$1)+SUMIFS(Table2[NewPointsHome],Table2[GameDate], "&lt;=" &amp; $A185, Table2[HomeTeam], AG$1)</f>
        <v>10</v>
      </c>
    </row>
    <row r="186" spans="1:33" x14ac:dyDescent="0.25">
      <c r="A186" s="3">
        <v>46117</v>
      </c>
      <c r="B186" s="145">
        <f>SUMIFS(Table2[NewPointsAway],Table2[GameDate], "&lt;=" &amp; $A186, Table2[AwayTeam], B$1)+SUMIFS(Table2[NewPointsHome],Table2[GameDate], "&lt;=" &amp; $A186, Table2[HomeTeam], B$1)</f>
        <v>7</v>
      </c>
      <c r="C186" s="145">
        <f>SUMIFS(Table2[NewPointsAway],Table2[GameDate], "&lt;=" &amp; $A186, Table2[AwayTeam], C$1)+SUMIFS(Table2[NewPointsHome],Table2[GameDate], "&lt;=" &amp; $A186, Table2[HomeTeam], C$1)</f>
        <v>6</v>
      </c>
      <c r="D186" s="145">
        <f>SUMIFS(Table2[NewPointsAway],Table2[GameDate], "&lt;=" &amp; $A186, Table2[AwayTeam], D$1)+SUMIFS(Table2[NewPointsHome],Table2[GameDate], "&lt;=" &amp; $A186, Table2[HomeTeam], D$1)</f>
        <v>4</v>
      </c>
      <c r="E186" s="145">
        <f>SUMIFS(Table2[NewPointsAway],Table2[GameDate], "&lt;=" &amp; $A186, Table2[AwayTeam], E$1)+SUMIFS(Table2[NewPointsHome],Table2[GameDate], "&lt;=" &amp; $A186, Table2[HomeTeam], E$1)</f>
        <v>10</v>
      </c>
      <c r="F186" s="145">
        <f>SUMIFS(Table2[NewPointsAway],Table2[GameDate], "&lt;=" &amp; $A186, Table2[AwayTeam], F$1)+SUMIFS(Table2[NewPointsHome],Table2[GameDate], "&lt;=" &amp; $A186, Table2[HomeTeam], F$1)</f>
        <v>6</v>
      </c>
      <c r="G186" s="145">
        <f>SUMIFS(Table2[NewPointsAway],Table2[GameDate], "&lt;=" &amp; $A186, Table2[AwayTeam], G$1)+SUMIFS(Table2[NewPointsHome],Table2[GameDate], "&lt;=" &amp; $A186, Table2[HomeTeam], G$1)</f>
        <v>2</v>
      </c>
      <c r="H186" s="145">
        <f>SUMIFS(Table2[NewPointsAway],Table2[GameDate], "&lt;=" &amp; $A186, Table2[AwayTeam], H$1)+SUMIFS(Table2[NewPointsHome],Table2[GameDate], "&lt;=" &amp; $A186, Table2[HomeTeam], H$1)</f>
        <v>8</v>
      </c>
      <c r="I186" s="145">
        <f>SUMIFS(Table2[NewPointsAway],Table2[GameDate], "&lt;=" &amp; $A186, Table2[AwayTeam], I$1)+SUMIFS(Table2[NewPointsHome],Table2[GameDate], "&lt;=" &amp; $A186, Table2[HomeTeam], I$1)</f>
        <v>12</v>
      </c>
      <c r="J186" s="145">
        <f>SUMIFS(Table2[NewPointsAway],Table2[GameDate], "&lt;=" &amp; $A186, Table2[AwayTeam], J$1)+SUMIFS(Table2[NewPointsHome],Table2[GameDate], "&lt;=" &amp; $A186, Table2[HomeTeam], J$1)</f>
        <v>6</v>
      </c>
      <c r="K186" s="145">
        <f>SUMIFS(Table2[NewPointsAway],Table2[GameDate], "&lt;=" &amp; $A186, Table2[AwayTeam], K$1)+SUMIFS(Table2[NewPointsHome],Table2[GameDate], "&lt;=" &amp; $A186, Table2[HomeTeam], K$1)</f>
        <v>10</v>
      </c>
      <c r="L186" s="145">
        <f>SUMIFS(Table2[NewPointsAway],Table2[GameDate], "&lt;=" &amp; $A186, Table2[AwayTeam], L$1)+SUMIFS(Table2[NewPointsHome],Table2[GameDate], "&lt;=" &amp; $A186, Table2[HomeTeam], L$1)</f>
        <v>7</v>
      </c>
      <c r="M186" s="145">
        <f>SUMIFS(Table2[NewPointsAway],Table2[GameDate], "&lt;=" &amp; $A186, Table2[AwayTeam], M$1)+SUMIFS(Table2[NewPointsHome],Table2[GameDate], "&lt;=" &amp; $A186, Table2[HomeTeam], M$1)</f>
        <v>8</v>
      </c>
      <c r="N186" s="145">
        <f>SUMIFS(Table2[NewPointsAway],Table2[GameDate], "&lt;=" &amp; $A186, Table2[AwayTeam], N$1)+SUMIFS(Table2[NewPointsHome],Table2[GameDate], "&lt;=" &amp; $A186, Table2[HomeTeam], N$1)</f>
        <v>6</v>
      </c>
      <c r="O186" s="145">
        <f>SUMIFS(Table2[NewPointsAway],Table2[GameDate], "&lt;=" &amp; $A186, Table2[AwayTeam], O$1)+SUMIFS(Table2[NewPointsHome],Table2[GameDate], "&lt;=" &amp; $A186, Table2[HomeTeam], O$1)</f>
        <v>7</v>
      </c>
      <c r="P186" s="145">
        <f>SUMIFS(Table2[NewPointsAway],Table2[GameDate], "&lt;=" &amp; $A186, Table2[AwayTeam], P$1)+SUMIFS(Table2[NewPointsHome],Table2[GameDate], "&lt;=" &amp; $A186, Table2[HomeTeam], P$1)</f>
        <v>10</v>
      </c>
      <c r="Q186" s="145">
        <f>SUMIFS(Table2[NewPointsAway],Table2[GameDate], "&lt;=" &amp; $A186, Table2[AwayTeam], Q$1)+SUMIFS(Table2[NewPointsHome],Table2[GameDate], "&lt;=" &amp; $A186, Table2[HomeTeam], Q$1)</f>
        <v>10</v>
      </c>
      <c r="R186" s="145">
        <f>SUMIFS(Table2[NewPointsAway],Table2[GameDate], "&lt;=" &amp; $A186, Table2[AwayTeam], R$1)+SUMIFS(Table2[NewPointsHome],Table2[GameDate], "&lt;=" &amp; $A186, Table2[HomeTeam], R$1)</f>
        <v>6</v>
      </c>
      <c r="S186" s="145">
        <f>SUMIFS(Table2[NewPointsAway],Table2[GameDate], "&lt;=" &amp; $A186, Table2[AwayTeam], S$1)+SUMIFS(Table2[NewPointsHome],Table2[GameDate], "&lt;=" &amp; $A186, Table2[HomeTeam], S$1)</f>
        <v>6</v>
      </c>
      <c r="T186" s="145">
        <f>SUMIFS(Table2[NewPointsAway],Table2[GameDate], "&lt;=" &amp; $A186, Table2[AwayTeam], T$1)+SUMIFS(Table2[NewPointsHome],Table2[GameDate], "&lt;=" &amp; $A186, Table2[HomeTeam], T$1)</f>
        <v>7</v>
      </c>
      <c r="U186" s="145">
        <f>SUMIFS(Table2[NewPointsAway],Table2[GameDate], "&lt;=" &amp; $A186, Table2[AwayTeam], U$1)+SUMIFS(Table2[NewPointsHome],Table2[GameDate], "&lt;=" &amp; $A186, Table2[HomeTeam], U$1)</f>
        <v>5</v>
      </c>
      <c r="V186" s="145">
        <f>SUMIFS(Table2[NewPointsAway],Table2[GameDate], "&lt;=" &amp; $A186, Table2[AwayTeam], V$1)+SUMIFS(Table2[NewPointsHome],Table2[GameDate], "&lt;=" &amp; $A186, Table2[HomeTeam], V$1)</f>
        <v>7</v>
      </c>
      <c r="W186" s="145">
        <f>SUMIFS(Table2[NewPointsAway],Table2[GameDate], "&lt;=" &amp; $A186, Table2[AwayTeam], W$1)+SUMIFS(Table2[NewPointsHome],Table2[GameDate], "&lt;=" &amp; $A186, Table2[HomeTeam], W$1)</f>
        <v>10</v>
      </c>
      <c r="X186" s="145">
        <f>SUMIFS(Table2[NewPointsAway],Table2[GameDate], "&lt;=" &amp; $A186, Table2[AwayTeam], X$1)+SUMIFS(Table2[NewPointsHome],Table2[GameDate], "&lt;=" &amp; $A186, Table2[HomeTeam], X$1)</f>
        <v>8</v>
      </c>
      <c r="Y186" s="145">
        <f>SUMIFS(Table2[NewPointsAway],Table2[GameDate], "&lt;=" &amp; $A186, Table2[AwayTeam], Y$1)+SUMIFS(Table2[NewPointsHome],Table2[GameDate], "&lt;=" &amp; $A186, Table2[HomeTeam], Y$1)</f>
        <v>2</v>
      </c>
      <c r="Z186" s="145">
        <f>SUMIFS(Table2[NewPointsAway],Table2[GameDate], "&lt;=" &amp; $A186, Table2[AwayTeam], Z$1)+SUMIFS(Table2[NewPointsHome],Table2[GameDate], "&lt;=" &amp; $A186, Table2[HomeTeam], Z$1)</f>
        <v>7</v>
      </c>
      <c r="AA186" s="145">
        <f>SUMIFS(Table2[NewPointsAway],Table2[GameDate], "&lt;=" &amp; $A186, Table2[AwayTeam], AA$1)+SUMIFS(Table2[NewPointsHome],Table2[GameDate], "&lt;=" &amp; $A186, Table2[HomeTeam], AA$1)</f>
        <v>4</v>
      </c>
      <c r="AB186" s="145">
        <f>SUMIFS(Table2[NewPointsAway],Table2[GameDate], "&lt;=" &amp; $A186, Table2[AwayTeam], AB$1)+SUMIFS(Table2[NewPointsHome],Table2[GameDate], "&lt;=" &amp; $A186, Table2[HomeTeam], AB$1)</f>
        <v>7</v>
      </c>
      <c r="AC186" s="145">
        <f>SUMIFS(Table2[NewPointsAway],Table2[GameDate], "&lt;=" &amp; $A186, Table2[AwayTeam], AC$1)+SUMIFS(Table2[NewPointsHome],Table2[GameDate], "&lt;=" &amp; $A186, Table2[HomeTeam], AC$1)</f>
        <v>10</v>
      </c>
      <c r="AD186" s="145">
        <f>SUMIFS(Table2[NewPointsAway],Table2[GameDate], "&lt;=" &amp; $A186, Table2[AwayTeam], AD$1)+SUMIFS(Table2[NewPointsHome],Table2[GameDate], "&lt;=" &amp; $A186, Table2[HomeTeam], AD$1)</f>
        <v>8</v>
      </c>
      <c r="AE186" s="145">
        <f>SUMIFS(Table2[NewPointsAway],Table2[GameDate], "&lt;=" &amp; $A186, Table2[AwayTeam], AE$1)+SUMIFS(Table2[NewPointsHome],Table2[GameDate], "&lt;=" &amp; $A186, Table2[HomeTeam], AE$1)</f>
        <v>12</v>
      </c>
      <c r="AF186" s="145">
        <f>SUMIFS(Table2[NewPointsAway],Table2[GameDate], "&lt;=" &amp; $A186, Table2[AwayTeam], AF$1)+SUMIFS(Table2[NewPointsHome],Table2[GameDate], "&lt;=" &amp; $A186, Table2[HomeTeam], AF$1)</f>
        <v>10</v>
      </c>
      <c r="AG186" s="145">
        <f>SUMIFS(Table2[NewPointsAway],Table2[GameDate], "&lt;=" &amp; $A186, Table2[AwayTeam], AG$1)+SUMIFS(Table2[NewPointsHome],Table2[GameDate], "&lt;=" &amp; $A186, Table2[HomeTeam], AG$1)</f>
        <v>10</v>
      </c>
    </row>
    <row r="187" spans="1:33" x14ac:dyDescent="0.25">
      <c r="A187" s="3">
        <v>46118</v>
      </c>
      <c r="B187" s="145">
        <f>SUMIFS(Table2[NewPointsAway],Table2[GameDate], "&lt;=" &amp; $A187, Table2[AwayTeam], B$1)+SUMIFS(Table2[NewPointsHome],Table2[GameDate], "&lt;=" &amp; $A187, Table2[HomeTeam], B$1)</f>
        <v>7</v>
      </c>
      <c r="C187" s="145">
        <f>SUMIFS(Table2[NewPointsAway],Table2[GameDate], "&lt;=" &amp; $A187, Table2[AwayTeam], C$1)+SUMIFS(Table2[NewPointsHome],Table2[GameDate], "&lt;=" &amp; $A187, Table2[HomeTeam], C$1)</f>
        <v>6</v>
      </c>
      <c r="D187" s="145">
        <f>SUMIFS(Table2[NewPointsAway],Table2[GameDate], "&lt;=" &amp; $A187, Table2[AwayTeam], D$1)+SUMIFS(Table2[NewPointsHome],Table2[GameDate], "&lt;=" &amp; $A187, Table2[HomeTeam], D$1)</f>
        <v>4</v>
      </c>
      <c r="E187" s="145">
        <f>SUMIFS(Table2[NewPointsAway],Table2[GameDate], "&lt;=" &amp; $A187, Table2[AwayTeam], E$1)+SUMIFS(Table2[NewPointsHome],Table2[GameDate], "&lt;=" &amp; $A187, Table2[HomeTeam], E$1)</f>
        <v>10</v>
      </c>
      <c r="F187" s="145">
        <f>SUMIFS(Table2[NewPointsAway],Table2[GameDate], "&lt;=" &amp; $A187, Table2[AwayTeam], F$1)+SUMIFS(Table2[NewPointsHome],Table2[GameDate], "&lt;=" &amp; $A187, Table2[HomeTeam], F$1)</f>
        <v>6</v>
      </c>
      <c r="G187" s="145">
        <f>SUMIFS(Table2[NewPointsAway],Table2[GameDate], "&lt;=" &amp; $A187, Table2[AwayTeam], G$1)+SUMIFS(Table2[NewPointsHome],Table2[GameDate], "&lt;=" &amp; $A187, Table2[HomeTeam], G$1)</f>
        <v>2</v>
      </c>
      <c r="H187" s="145">
        <f>SUMIFS(Table2[NewPointsAway],Table2[GameDate], "&lt;=" &amp; $A187, Table2[AwayTeam], H$1)+SUMIFS(Table2[NewPointsHome],Table2[GameDate], "&lt;=" &amp; $A187, Table2[HomeTeam], H$1)</f>
        <v>8</v>
      </c>
      <c r="I187" s="145">
        <f>SUMIFS(Table2[NewPointsAway],Table2[GameDate], "&lt;=" &amp; $A187, Table2[AwayTeam], I$1)+SUMIFS(Table2[NewPointsHome],Table2[GameDate], "&lt;=" &amp; $A187, Table2[HomeTeam], I$1)</f>
        <v>12</v>
      </c>
      <c r="J187" s="145">
        <f>SUMIFS(Table2[NewPointsAway],Table2[GameDate], "&lt;=" &amp; $A187, Table2[AwayTeam], J$1)+SUMIFS(Table2[NewPointsHome],Table2[GameDate], "&lt;=" &amp; $A187, Table2[HomeTeam], J$1)</f>
        <v>6</v>
      </c>
      <c r="K187" s="145">
        <f>SUMIFS(Table2[NewPointsAway],Table2[GameDate], "&lt;=" &amp; $A187, Table2[AwayTeam], K$1)+SUMIFS(Table2[NewPointsHome],Table2[GameDate], "&lt;=" &amp; $A187, Table2[HomeTeam], K$1)</f>
        <v>10</v>
      </c>
      <c r="L187" s="145">
        <f>SUMIFS(Table2[NewPointsAway],Table2[GameDate], "&lt;=" &amp; $A187, Table2[AwayTeam], L$1)+SUMIFS(Table2[NewPointsHome],Table2[GameDate], "&lt;=" &amp; $A187, Table2[HomeTeam], L$1)</f>
        <v>7</v>
      </c>
      <c r="M187" s="145">
        <f>SUMIFS(Table2[NewPointsAway],Table2[GameDate], "&lt;=" &amp; $A187, Table2[AwayTeam], M$1)+SUMIFS(Table2[NewPointsHome],Table2[GameDate], "&lt;=" &amp; $A187, Table2[HomeTeam], M$1)</f>
        <v>8</v>
      </c>
      <c r="N187" s="145">
        <f>SUMIFS(Table2[NewPointsAway],Table2[GameDate], "&lt;=" &amp; $A187, Table2[AwayTeam], N$1)+SUMIFS(Table2[NewPointsHome],Table2[GameDate], "&lt;=" &amp; $A187, Table2[HomeTeam], N$1)</f>
        <v>6</v>
      </c>
      <c r="O187" s="145">
        <f>SUMIFS(Table2[NewPointsAway],Table2[GameDate], "&lt;=" &amp; $A187, Table2[AwayTeam], O$1)+SUMIFS(Table2[NewPointsHome],Table2[GameDate], "&lt;=" &amp; $A187, Table2[HomeTeam], O$1)</f>
        <v>7</v>
      </c>
      <c r="P187" s="145">
        <f>SUMIFS(Table2[NewPointsAway],Table2[GameDate], "&lt;=" &amp; $A187, Table2[AwayTeam], P$1)+SUMIFS(Table2[NewPointsHome],Table2[GameDate], "&lt;=" &amp; $A187, Table2[HomeTeam], P$1)</f>
        <v>10</v>
      </c>
      <c r="Q187" s="145">
        <f>SUMIFS(Table2[NewPointsAway],Table2[GameDate], "&lt;=" &amp; $A187, Table2[AwayTeam], Q$1)+SUMIFS(Table2[NewPointsHome],Table2[GameDate], "&lt;=" &amp; $A187, Table2[HomeTeam], Q$1)</f>
        <v>10</v>
      </c>
      <c r="R187" s="145">
        <f>SUMIFS(Table2[NewPointsAway],Table2[GameDate], "&lt;=" &amp; $A187, Table2[AwayTeam], R$1)+SUMIFS(Table2[NewPointsHome],Table2[GameDate], "&lt;=" &amp; $A187, Table2[HomeTeam], R$1)</f>
        <v>6</v>
      </c>
      <c r="S187" s="145">
        <f>SUMIFS(Table2[NewPointsAway],Table2[GameDate], "&lt;=" &amp; $A187, Table2[AwayTeam], S$1)+SUMIFS(Table2[NewPointsHome],Table2[GameDate], "&lt;=" &amp; $A187, Table2[HomeTeam], S$1)</f>
        <v>6</v>
      </c>
      <c r="T187" s="145">
        <f>SUMIFS(Table2[NewPointsAway],Table2[GameDate], "&lt;=" &amp; $A187, Table2[AwayTeam], T$1)+SUMIFS(Table2[NewPointsHome],Table2[GameDate], "&lt;=" &amp; $A187, Table2[HomeTeam], T$1)</f>
        <v>7</v>
      </c>
      <c r="U187" s="145">
        <f>SUMIFS(Table2[NewPointsAway],Table2[GameDate], "&lt;=" &amp; $A187, Table2[AwayTeam], U$1)+SUMIFS(Table2[NewPointsHome],Table2[GameDate], "&lt;=" &amp; $A187, Table2[HomeTeam], U$1)</f>
        <v>5</v>
      </c>
      <c r="V187" s="145">
        <f>SUMIFS(Table2[NewPointsAway],Table2[GameDate], "&lt;=" &amp; $A187, Table2[AwayTeam], V$1)+SUMIFS(Table2[NewPointsHome],Table2[GameDate], "&lt;=" &amp; $A187, Table2[HomeTeam], V$1)</f>
        <v>7</v>
      </c>
      <c r="W187" s="145">
        <f>SUMIFS(Table2[NewPointsAway],Table2[GameDate], "&lt;=" &amp; $A187, Table2[AwayTeam], W$1)+SUMIFS(Table2[NewPointsHome],Table2[GameDate], "&lt;=" &amp; $A187, Table2[HomeTeam], W$1)</f>
        <v>10</v>
      </c>
      <c r="X187" s="145">
        <f>SUMIFS(Table2[NewPointsAway],Table2[GameDate], "&lt;=" &amp; $A187, Table2[AwayTeam], X$1)+SUMIFS(Table2[NewPointsHome],Table2[GameDate], "&lt;=" &amp; $A187, Table2[HomeTeam], X$1)</f>
        <v>8</v>
      </c>
      <c r="Y187" s="145">
        <f>SUMIFS(Table2[NewPointsAway],Table2[GameDate], "&lt;=" &amp; $A187, Table2[AwayTeam], Y$1)+SUMIFS(Table2[NewPointsHome],Table2[GameDate], "&lt;=" &amp; $A187, Table2[HomeTeam], Y$1)</f>
        <v>2</v>
      </c>
      <c r="Z187" s="145">
        <f>SUMIFS(Table2[NewPointsAway],Table2[GameDate], "&lt;=" &amp; $A187, Table2[AwayTeam], Z$1)+SUMIFS(Table2[NewPointsHome],Table2[GameDate], "&lt;=" &amp; $A187, Table2[HomeTeam], Z$1)</f>
        <v>7</v>
      </c>
      <c r="AA187" s="145">
        <f>SUMIFS(Table2[NewPointsAway],Table2[GameDate], "&lt;=" &amp; $A187, Table2[AwayTeam], AA$1)+SUMIFS(Table2[NewPointsHome],Table2[GameDate], "&lt;=" &amp; $A187, Table2[HomeTeam], AA$1)</f>
        <v>4</v>
      </c>
      <c r="AB187" s="145">
        <f>SUMIFS(Table2[NewPointsAway],Table2[GameDate], "&lt;=" &amp; $A187, Table2[AwayTeam], AB$1)+SUMIFS(Table2[NewPointsHome],Table2[GameDate], "&lt;=" &amp; $A187, Table2[HomeTeam], AB$1)</f>
        <v>7</v>
      </c>
      <c r="AC187" s="145">
        <f>SUMIFS(Table2[NewPointsAway],Table2[GameDate], "&lt;=" &amp; $A187, Table2[AwayTeam], AC$1)+SUMIFS(Table2[NewPointsHome],Table2[GameDate], "&lt;=" &amp; $A187, Table2[HomeTeam], AC$1)</f>
        <v>10</v>
      </c>
      <c r="AD187" s="145">
        <f>SUMIFS(Table2[NewPointsAway],Table2[GameDate], "&lt;=" &amp; $A187, Table2[AwayTeam], AD$1)+SUMIFS(Table2[NewPointsHome],Table2[GameDate], "&lt;=" &amp; $A187, Table2[HomeTeam], AD$1)</f>
        <v>8</v>
      </c>
      <c r="AE187" s="145">
        <f>SUMIFS(Table2[NewPointsAway],Table2[GameDate], "&lt;=" &amp; $A187, Table2[AwayTeam], AE$1)+SUMIFS(Table2[NewPointsHome],Table2[GameDate], "&lt;=" &amp; $A187, Table2[HomeTeam], AE$1)</f>
        <v>12</v>
      </c>
      <c r="AF187" s="145">
        <f>SUMIFS(Table2[NewPointsAway],Table2[GameDate], "&lt;=" &amp; $A187, Table2[AwayTeam], AF$1)+SUMIFS(Table2[NewPointsHome],Table2[GameDate], "&lt;=" &amp; $A187, Table2[HomeTeam], AF$1)</f>
        <v>10</v>
      </c>
      <c r="AG187" s="145">
        <f>SUMIFS(Table2[NewPointsAway],Table2[GameDate], "&lt;=" &amp; $A187, Table2[AwayTeam], AG$1)+SUMIFS(Table2[NewPointsHome],Table2[GameDate], "&lt;=" &amp; $A187, Table2[HomeTeam], AG$1)</f>
        <v>10</v>
      </c>
    </row>
    <row r="188" spans="1:33" x14ac:dyDescent="0.25">
      <c r="A188" s="3">
        <v>46119</v>
      </c>
      <c r="B188" s="145">
        <f>SUMIFS(Table2[NewPointsAway],Table2[GameDate], "&lt;=" &amp; $A188, Table2[AwayTeam], B$1)+SUMIFS(Table2[NewPointsHome],Table2[GameDate], "&lt;=" &amp; $A188, Table2[HomeTeam], B$1)</f>
        <v>7</v>
      </c>
      <c r="C188" s="145">
        <f>SUMIFS(Table2[NewPointsAway],Table2[GameDate], "&lt;=" &amp; $A188, Table2[AwayTeam], C$1)+SUMIFS(Table2[NewPointsHome],Table2[GameDate], "&lt;=" &amp; $A188, Table2[HomeTeam], C$1)</f>
        <v>6</v>
      </c>
      <c r="D188" s="145">
        <f>SUMIFS(Table2[NewPointsAway],Table2[GameDate], "&lt;=" &amp; $A188, Table2[AwayTeam], D$1)+SUMIFS(Table2[NewPointsHome],Table2[GameDate], "&lt;=" &amp; $A188, Table2[HomeTeam], D$1)</f>
        <v>4</v>
      </c>
      <c r="E188" s="145">
        <f>SUMIFS(Table2[NewPointsAway],Table2[GameDate], "&lt;=" &amp; $A188, Table2[AwayTeam], E$1)+SUMIFS(Table2[NewPointsHome],Table2[GameDate], "&lt;=" &amp; $A188, Table2[HomeTeam], E$1)</f>
        <v>10</v>
      </c>
      <c r="F188" s="145">
        <f>SUMIFS(Table2[NewPointsAway],Table2[GameDate], "&lt;=" &amp; $A188, Table2[AwayTeam], F$1)+SUMIFS(Table2[NewPointsHome],Table2[GameDate], "&lt;=" &amp; $A188, Table2[HomeTeam], F$1)</f>
        <v>6</v>
      </c>
      <c r="G188" s="145">
        <f>SUMIFS(Table2[NewPointsAway],Table2[GameDate], "&lt;=" &amp; $A188, Table2[AwayTeam], G$1)+SUMIFS(Table2[NewPointsHome],Table2[GameDate], "&lt;=" &amp; $A188, Table2[HomeTeam], G$1)</f>
        <v>2</v>
      </c>
      <c r="H188" s="145">
        <f>SUMIFS(Table2[NewPointsAway],Table2[GameDate], "&lt;=" &amp; $A188, Table2[AwayTeam], H$1)+SUMIFS(Table2[NewPointsHome],Table2[GameDate], "&lt;=" &amp; $A188, Table2[HomeTeam], H$1)</f>
        <v>8</v>
      </c>
      <c r="I188" s="145">
        <f>SUMIFS(Table2[NewPointsAway],Table2[GameDate], "&lt;=" &amp; $A188, Table2[AwayTeam], I$1)+SUMIFS(Table2[NewPointsHome],Table2[GameDate], "&lt;=" &amp; $A188, Table2[HomeTeam], I$1)</f>
        <v>12</v>
      </c>
      <c r="J188" s="145">
        <f>SUMIFS(Table2[NewPointsAway],Table2[GameDate], "&lt;=" &amp; $A188, Table2[AwayTeam], J$1)+SUMIFS(Table2[NewPointsHome],Table2[GameDate], "&lt;=" &amp; $A188, Table2[HomeTeam], J$1)</f>
        <v>6</v>
      </c>
      <c r="K188" s="145">
        <f>SUMIFS(Table2[NewPointsAway],Table2[GameDate], "&lt;=" &amp; $A188, Table2[AwayTeam], K$1)+SUMIFS(Table2[NewPointsHome],Table2[GameDate], "&lt;=" &amp; $A188, Table2[HomeTeam], K$1)</f>
        <v>10</v>
      </c>
      <c r="L188" s="145">
        <f>SUMIFS(Table2[NewPointsAway],Table2[GameDate], "&lt;=" &amp; $A188, Table2[AwayTeam], L$1)+SUMIFS(Table2[NewPointsHome],Table2[GameDate], "&lt;=" &amp; $A188, Table2[HomeTeam], L$1)</f>
        <v>7</v>
      </c>
      <c r="M188" s="145">
        <f>SUMIFS(Table2[NewPointsAway],Table2[GameDate], "&lt;=" &amp; $A188, Table2[AwayTeam], M$1)+SUMIFS(Table2[NewPointsHome],Table2[GameDate], "&lt;=" &amp; $A188, Table2[HomeTeam], M$1)</f>
        <v>8</v>
      </c>
      <c r="N188" s="145">
        <f>SUMIFS(Table2[NewPointsAway],Table2[GameDate], "&lt;=" &amp; $A188, Table2[AwayTeam], N$1)+SUMIFS(Table2[NewPointsHome],Table2[GameDate], "&lt;=" &amp; $A188, Table2[HomeTeam], N$1)</f>
        <v>6</v>
      </c>
      <c r="O188" s="145">
        <f>SUMIFS(Table2[NewPointsAway],Table2[GameDate], "&lt;=" &amp; $A188, Table2[AwayTeam], O$1)+SUMIFS(Table2[NewPointsHome],Table2[GameDate], "&lt;=" &amp; $A188, Table2[HomeTeam], O$1)</f>
        <v>7</v>
      </c>
      <c r="P188" s="145">
        <f>SUMIFS(Table2[NewPointsAway],Table2[GameDate], "&lt;=" &amp; $A188, Table2[AwayTeam], P$1)+SUMIFS(Table2[NewPointsHome],Table2[GameDate], "&lt;=" &amp; $A188, Table2[HomeTeam], P$1)</f>
        <v>10</v>
      </c>
      <c r="Q188" s="145">
        <f>SUMIFS(Table2[NewPointsAway],Table2[GameDate], "&lt;=" &amp; $A188, Table2[AwayTeam], Q$1)+SUMIFS(Table2[NewPointsHome],Table2[GameDate], "&lt;=" &amp; $A188, Table2[HomeTeam], Q$1)</f>
        <v>10</v>
      </c>
      <c r="R188" s="145">
        <f>SUMIFS(Table2[NewPointsAway],Table2[GameDate], "&lt;=" &amp; $A188, Table2[AwayTeam], R$1)+SUMIFS(Table2[NewPointsHome],Table2[GameDate], "&lt;=" &amp; $A188, Table2[HomeTeam], R$1)</f>
        <v>6</v>
      </c>
      <c r="S188" s="145">
        <f>SUMIFS(Table2[NewPointsAway],Table2[GameDate], "&lt;=" &amp; $A188, Table2[AwayTeam], S$1)+SUMIFS(Table2[NewPointsHome],Table2[GameDate], "&lt;=" &amp; $A188, Table2[HomeTeam], S$1)</f>
        <v>6</v>
      </c>
      <c r="T188" s="145">
        <f>SUMIFS(Table2[NewPointsAway],Table2[GameDate], "&lt;=" &amp; $A188, Table2[AwayTeam], T$1)+SUMIFS(Table2[NewPointsHome],Table2[GameDate], "&lt;=" &amp; $A188, Table2[HomeTeam], T$1)</f>
        <v>7</v>
      </c>
      <c r="U188" s="145">
        <f>SUMIFS(Table2[NewPointsAway],Table2[GameDate], "&lt;=" &amp; $A188, Table2[AwayTeam], U$1)+SUMIFS(Table2[NewPointsHome],Table2[GameDate], "&lt;=" &amp; $A188, Table2[HomeTeam], U$1)</f>
        <v>5</v>
      </c>
      <c r="V188" s="145">
        <f>SUMIFS(Table2[NewPointsAway],Table2[GameDate], "&lt;=" &amp; $A188, Table2[AwayTeam], V$1)+SUMIFS(Table2[NewPointsHome],Table2[GameDate], "&lt;=" &amp; $A188, Table2[HomeTeam], V$1)</f>
        <v>7</v>
      </c>
      <c r="W188" s="145">
        <f>SUMIFS(Table2[NewPointsAway],Table2[GameDate], "&lt;=" &amp; $A188, Table2[AwayTeam], W$1)+SUMIFS(Table2[NewPointsHome],Table2[GameDate], "&lt;=" &amp; $A188, Table2[HomeTeam], W$1)</f>
        <v>10</v>
      </c>
      <c r="X188" s="145">
        <f>SUMIFS(Table2[NewPointsAway],Table2[GameDate], "&lt;=" &amp; $A188, Table2[AwayTeam], X$1)+SUMIFS(Table2[NewPointsHome],Table2[GameDate], "&lt;=" &amp; $A188, Table2[HomeTeam], X$1)</f>
        <v>8</v>
      </c>
      <c r="Y188" s="145">
        <f>SUMIFS(Table2[NewPointsAway],Table2[GameDate], "&lt;=" &amp; $A188, Table2[AwayTeam], Y$1)+SUMIFS(Table2[NewPointsHome],Table2[GameDate], "&lt;=" &amp; $A188, Table2[HomeTeam], Y$1)</f>
        <v>2</v>
      </c>
      <c r="Z188" s="145">
        <f>SUMIFS(Table2[NewPointsAway],Table2[GameDate], "&lt;=" &amp; $A188, Table2[AwayTeam], Z$1)+SUMIFS(Table2[NewPointsHome],Table2[GameDate], "&lt;=" &amp; $A188, Table2[HomeTeam], Z$1)</f>
        <v>7</v>
      </c>
      <c r="AA188" s="145">
        <f>SUMIFS(Table2[NewPointsAway],Table2[GameDate], "&lt;=" &amp; $A188, Table2[AwayTeam], AA$1)+SUMIFS(Table2[NewPointsHome],Table2[GameDate], "&lt;=" &amp; $A188, Table2[HomeTeam], AA$1)</f>
        <v>4</v>
      </c>
      <c r="AB188" s="145">
        <f>SUMIFS(Table2[NewPointsAway],Table2[GameDate], "&lt;=" &amp; $A188, Table2[AwayTeam], AB$1)+SUMIFS(Table2[NewPointsHome],Table2[GameDate], "&lt;=" &amp; $A188, Table2[HomeTeam], AB$1)</f>
        <v>7</v>
      </c>
      <c r="AC188" s="145">
        <f>SUMIFS(Table2[NewPointsAway],Table2[GameDate], "&lt;=" &amp; $A188, Table2[AwayTeam], AC$1)+SUMIFS(Table2[NewPointsHome],Table2[GameDate], "&lt;=" &amp; $A188, Table2[HomeTeam], AC$1)</f>
        <v>10</v>
      </c>
      <c r="AD188" s="145">
        <f>SUMIFS(Table2[NewPointsAway],Table2[GameDate], "&lt;=" &amp; $A188, Table2[AwayTeam], AD$1)+SUMIFS(Table2[NewPointsHome],Table2[GameDate], "&lt;=" &amp; $A188, Table2[HomeTeam], AD$1)</f>
        <v>8</v>
      </c>
      <c r="AE188" s="145">
        <f>SUMIFS(Table2[NewPointsAway],Table2[GameDate], "&lt;=" &amp; $A188, Table2[AwayTeam], AE$1)+SUMIFS(Table2[NewPointsHome],Table2[GameDate], "&lt;=" &amp; $A188, Table2[HomeTeam], AE$1)</f>
        <v>12</v>
      </c>
      <c r="AF188" s="145">
        <f>SUMIFS(Table2[NewPointsAway],Table2[GameDate], "&lt;=" &amp; $A188, Table2[AwayTeam], AF$1)+SUMIFS(Table2[NewPointsHome],Table2[GameDate], "&lt;=" &amp; $A188, Table2[HomeTeam], AF$1)</f>
        <v>10</v>
      </c>
      <c r="AG188" s="145">
        <f>SUMIFS(Table2[NewPointsAway],Table2[GameDate], "&lt;=" &amp; $A188, Table2[AwayTeam], AG$1)+SUMIFS(Table2[NewPointsHome],Table2[GameDate], "&lt;=" &amp; $A188, Table2[HomeTeam], AG$1)</f>
        <v>10</v>
      </c>
    </row>
    <row r="189" spans="1:33" x14ac:dyDescent="0.25">
      <c r="A189" s="3">
        <v>46120</v>
      </c>
      <c r="B189" s="145">
        <f>SUMIFS(Table2[NewPointsAway],Table2[GameDate], "&lt;=" &amp; $A189, Table2[AwayTeam], B$1)+SUMIFS(Table2[NewPointsHome],Table2[GameDate], "&lt;=" &amp; $A189, Table2[HomeTeam], B$1)</f>
        <v>7</v>
      </c>
      <c r="C189" s="145">
        <f>SUMIFS(Table2[NewPointsAway],Table2[GameDate], "&lt;=" &amp; $A189, Table2[AwayTeam], C$1)+SUMIFS(Table2[NewPointsHome],Table2[GameDate], "&lt;=" &amp; $A189, Table2[HomeTeam], C$1)</f>
        <v>6</v>
      </c>
      <c r="D189" s="145">
        <f>SUMIFS(Table2[NewPointsAway],Table2[GameDate], "&lt;=" &amp; $A189, Table2[AwayTeam], D$1)+SUMIFS(Table2[NewPointsHome],Table2[GameDate], "&lt;=" &amp; $A189, Table2[HomeTeam], D$1)</f>
        <v>4</v>
      </c>
      <c r="E189" s="145">
        <f>SUMIFS(Table2[NewPointsAway],Table2[GameDate], "&lt;=" &amp; $A189, Table2[AwayTeam], E$1)+SUMIFS(Table2[NewPointsHome],Table2[GameDate], "&lt;=" &amp; $A189, Table2[HomeTeam], E$1)</f>
        <v>10</v>
      </c>
      <c r="F189" s="145">
        <f>SUMIFS(Table2[NewPointsAway],Table2[GameDate], "&lt;=" &amp; $A189, Table2[AwayTeam], F$1)+SUMIFS(Table2[NewPointsHome],Table2[GameDate], "&lt;=" &amp; $A189, Table2[HomeTeam], F$1)</f>
        <v>6</v>
      </c>
      <c r="G189" s="145">
        <f>SUMIFS(Table2[NewPointsAway],Table2[GameDate], "&lt;=" &amp; $A189, Table2[AwayTeam], G$1)+SUMIFS(Table2[NewPointsHome],Table2[GameDate], "&lt;=" &amp; $A189, Table2[HomeTeam], G$1)</f>
        <v>2</v>
      </c>
      <c r="H189" s="145">
        <f>SUMIFS(Table2[NewPointsAway],Table2[GameDate], "&lt;=" &amp; $A189, Table2[AwayTeam], H$1)+SUMIFS(Table2[NewPointsHome],Table2[GameDate], "&lt;=" &amp; $A189, Table2[HomeTeam], H$1)</f>
        <v>8</v>
      </c>
      <c r="I189" s="145">
        <f>SUMIFS(Table2[NewPointsAway],Table2[GameDate], "&lt;=" &amp; $A189, Table2[AwayTeam], I$1)+SUMIFS(Table2[NewPointsHome],Table2[GameDate], "&lt;=" &amp; $A189, Table2[HomeTeam], I$1)</f>
        <v>12</v>
      </c>
      <c r="J189" s="145">
        <f>SUMIFS(Table2[NewPointsAway],Table2[GameDate], "&lt;=" &amp; $A189, Table2[AwayTeam], J$1)+SUMIFS(Table2[NewPointsHome],Table2[GameDate], "&lt;=" &amp; $A189, Table2[HomeTeam], J$1)</f>
        <v>6</v>
      </c>
      <c r="K189" s="145">
        <f>SUMIFS(Table2[NewPointsAway],Table2[GameDate], "&lt;=" &amp; $A189, Table2[AwayTeam], K$1)+SUMIFS(Table2[NewPointsHome],Table2[GameDate], "&lt;=" &amp; $A189, Table2[HomeTeam], K$1)</f>
        <v>10</v>
      </c>
      <c r="L189" s="145">
        <f>SUMIFS(Table2[NewPointsAway],Table2[GameDate], "&lt;=" &amp; $A189, Table2[AwayTeam], L$1)+SUMIFS(Table2[NewPointsHome],Table2[GameDate], "&lt;=" &amp; $A189, Table2[HomeTeam], L$1)</f>
        <v>7</v>
      </c>
      <c r="M189" s="145">
        <f>SUMIFS(Table2[NewPointsAway],Table2[GameDate], "&lt;=" &amp; $A189, Table2[AwayTeam], M$1)+SUMIFS(Table2[NewPointsHome],Table2[GameDate], "&lt;=" &amp; $A189, Table2[HomeTeam], M$1)</f>
        <v>8</v>
      </c>
      <c r="N189" s="145">
        <f>SUMIFS(Table2[NewPointsAway],Table2[GameDate], "&lt;=" &amp; $A189, Table2[AwayTeam], N$1)+SUMIFS(Table2[NewPointsHome],Table2[GameDate], "&lt;=" &amp; $A189, Table2[HomeTeam], N$1)</f>
        <v>6</v>
      </c>
      <c r="O189" s="145">
        <f>SUMIFS(Table2[NewPointsAway],Table2[GameDate], "&lt;=" &amp; $A189, Table2[AwayTeam], O$1)+SUMIFS(Table2[NewPointsHome],Table2[GameDate], "&lt;=" &amp; $A189, Table2[HomeTeam], O$1)</f>
        <v>7</v>
      </c>
      <c r="P189" s="145">
        <f>SUMIFS(Table2[NewPointsAway],Table2[GameDate], "&lt;=" &amp; $A189, Table2[AwayTeam], P$1)+SUMIFS(Table2[NewPointsHome],Table2[GameDate], "&lt;=" &amp; $A189, Table2[HomeTeam], P$1)</f>
        <v>10</v>
      </c>
      <c r="Q189" s="145">
        <f>SUMIFS(Table2[NewPointsAway],Table2[GameDate], "&lt;=" &amp; $A189, Table2[AwayTeam], Q$1)+SUMIFS(Table2[NewPointsHome],Table2[GameDate], "&lt;=" &amp; $A189, Table2[HomeTeam], Q$1)</f>
        <v>10</v>
      </c>
      <c r="R189" s="145">
        <f>SUMIFS(Table2[NewPointsAway],Table2[GameDate], "&lt;=" &amp; $A189, Table2[AwayTeam], R$1)+SUMIFS(Table2[NewPointsHome],Table2[GameDate], "&lt;=" &amp; $A189, Table2[HomeTeam], R$1)</f>
        <v>6</v>
      </c>
      <c r="S189" s="145">
        <f>SUMIFS(Table2[NewPointsAway],Table2[GameDate], "&lt;=" &amp; $A189, Table2[AwayTeam], S$1)+SUMIFS(Table2[NewPointsHome],Table2[GameDate], "&lt;=" &amp; $A189, Table2[HomeTeam], S$1)</f>
        <v>6</v>
      </c>
      <c r="T189" s="145">
        <f>SUMIFS(Table2[NewPointsAway],Table2[GameDate], "&lt;=" &amp; $A189, Table2[AwayTeam], T$1)+SUMIFS(Table2[NewPointsHome],Table2[GameDate], "&lt;=" &amp; $A189, Table2[HomeTeam], T$1)</f>
        <v>7</v>
      </c>
      <c r="U189" s="145">
        <f>SUMIFS(Table2[NewPointsAway],Table2[GameDate], "&lt;=" &amp; $A189, Table2[AwayTeam], U$1)+SUMIFS(Table2[NewPointsHome],Table2[GameDate], "&lt;=" &amp; $A189, Table2[HomeTeam], U$1)</f>
        <v>5</v>
      </c>
      <c r="V189" s="145">
        <f>SUMIFS(Table2[NewPointsAway],Table2[GameDate], "&lt;=" &amp; $A189, Table2[AwayTeam], V$1)+SUMIFS(Table2[NewPointsHome],Table2[GameDate], "&lt;=" &amp; $A189, Table2[HomeTeam], V$1)</f>
        <v>7</v>
      </c>
      <c r="W189" s="145">
        <f>SUMIFS(Table2[NewPointsAway],Table2[GameDate], "&lt;=" &amp; $A189, Table2[AwayTeam], W$1)+SUMIFS(Table2[NewPointsHome],Table2[GameDate], "&lt;=" &amp; $A189, Table2[HomeTeam], W$1)</f>
        <v>10</v>
      </c>
      <c r="X189" s="145">
        <f>SUMIFS(Table2[NewPointsAway],Table2[GameDate], "&lt;=" &amp; $A189, Table2[AwayTeam], X$1)+SUMIFS(Table2[NewPointsHome],Table2[GameDate], "&lt;=" &amp; $A189, Table2[HomeTeam], X$1)</f>
        <v>8</v>
      </c>
      <c r="Y189" s="145">
        <f>SUMIFS(Table2[NewPointsAway],Table2[GameDate], "&lt;=" &amp; $A189, Table2[AwayTeam], Y$1)+SUMIFS(Table2[NewPointsHome],Table2[GameDate], "&lt;=" &amp; $A189, Table2[HomeTeam], Y$1)</f>
        <v>2</v>
      </c>
      <c r="Z189" s="145">
        <f>SUMIFS(Table2[NewPointsAway],Table2[GameDate], "&lt;=" &amp; $A189, Table2[AwayTeam], Z$1)+SUMIFS(Table2[NewPointsHome],Table2[GameDate], "&lt;=" &amp; $A189, Table2[HomeTeam], Z$1)</f>
        <v>7</v>
      </c>
      <c r="AA189" s="145">
        <f>SUMIFS(Table2[NewPointsAway],Table2[GameDate], "&lt;=" &amp; $A189, Table2[AwayTeam], AA$1)+SUMIFS(Table2[NewPointsHome],Table2[GameDate], "&lt;=" &amp; $A189, Table2[HomeTeam], AA$1)</f>
        <v>4</v>
      </c>
      <c r="AB189" s="145">
        <f>SUMIFS(Table2[NewPointsAway],Table2[GameDate], "&lt;=" &amp; $A189, Table2[AwayTeam], AB$1)+SUMIFS(Table2[NewPointsHome],Table2[GameDate], "&lt;=" &amp; $A189, Table2[HomeTeam], AB$1)</f>
        <v>7</v>
      </c>
      <c r="AC189" s="145">
        <f>SUMIFS(Table2[NewPointsAway],Table2[GameDate], "&lt;=" &amp; $A189, Table2[AwayTeam], AC$1)+SUMIFS(Table2[NewPointsHome],Table2[GameDate], "&lt;=" &amp; $A189, Table2[HomeTeam], AC$1)</f>
        <v>10</v>
      </c>
      <c r="AD189" s="145">
        <f>SUMIFS(Table2[NewPointsAway],Table2[GameDate], "&lt;=" &amp; $A189, Table2[AwayTeam], AD$1)+SUMIFS(Table2[NewPointsHome],Table2[GameDate], "&lt;=" &amp; $A189, Table2[HomeTeam], AD$1)</f>
        <v>8</v>
      </c>
      <c r="AE189" s="145">
        <f>SUMIFS(Table2[NewPointsAway],Table2[GameDate], "&lt;=" &amp; $A189, Table2[AwayTeam], AE$1)+SUMIFS(Table2[NewPointsHome],Table2[GameDate], "&lt;=" &amp; $A189, Table2[HomeTeam], AE$1)</f>
        <v>12</v>
      </c>
      <c r="AF189" s="145">
        <f>SUMIFS(Table2[NewPointsAway],Table2[GameDate], "&lt;=" &amp; $A189, Table2[AwayTeam], AF$1)+SUMIFS(Table2[NewPointsHome],Table2[GameDate], "&lt;=" &amp; $A189, Table2[HomeTeam], AF$1)</f>
        <v>10</v>
      </c>
      <c r="AG189" s="145">
        <f>SUMIFS(Table2[NewPointsAway],Table2[GameDate], "&lt;=" &amp; $A189, Table2[AwayTeam], AG$1)+SUMIFS(Table2[NewPointsHome],Table2[GameDate], "&lt;=" &amp; $A189, Table2[HomeTeam], AG$1)</f>
        <v>10</v>
      </c>
    </row>
    <row r="190" spans="1:33" x14ac:dyDescent="0.25">
      <c r="A190" s="3">
        <v>46121</v>
      </c>
      <c r="B190" s="145">
        <f>SUMIFS(Table2[NewPointsAway],Table2[GameDate], "&lt;=" &amp; $A190, Table2[AwayTeam], B$1)+SUMIFS(Table2[NewPointsHome],Table2[GameDate], "&lt;=" &amp; $A190, Table2[HomeTeam], B$1)</f>
        <v>7</v>
      </c>
      <c r="C190" s="145">
        <f>SUMIFS(Table2[NewPointsAway],Table2[GameDate], "&lt;=" &amp; $A190, Table2[AwayTeam], C$1)+SUMIFS(Table2[NewPointsHome],Table2[GameDate], "&lt;=" &amp; $A190, Table2[HomeTeam], C$1)</f>
        <v>6</v>
      </c>
      <c r="D190" s="145">
        <f>SUMIFS(Table2[NewPointsAway],Table2[GameDate], "&lt;=" &amp; $A190, Table2[AwayTeam], D$1)+SUMIFS(Table2[NewPointsHome],Table2[GameDate], "&lt;=" &amp; $A190, Table2[HomeTeam], D$1)</f>
        <v>4</v>
      </c>
      <c r="E190" s="145">
        <f>SUMIFS(Table2[NewPointsAway],Table2[GameDate], "&lt;=" &amp; $A190, Table2[AwayTeam], E$1)+SUMIFS(Table2[NewPointsHome],Table2[GameDate], "&lt;=" &amp; $A190, Table2[HomeTeam], E$1)</f>
        <v>10</v>
      </c>
      <c r="F190" s="145">
        <f>SUMIFS(Table2[NewPointsAway],Table2[GameDate], "&lt;=" &amp; $A190, Table2[AwayTeam], F$1)+SUMIFS(Table2[NewPointsHome],Table2[GameDate], "&lt;=" &amp; $A190, Table2[HomeTeam], F$1)</f>
        <v>6</v>
      </c>
      <c r="G190" s="145">
        <f>SUMIFS(Table2[NewPointsAway],Table2[GameDate], "&lt;=" &amp; $A190, Table2[AwayTeam], G$1)+SUMIFS(Table2[NewPointsHome],Table2[GameDate], "&lt;=" &amp; $A190, Table2[HomeTeam], G$1)</f>
        <v>2</v>
      </c>
      <c r="H190" s="145">
        <f>SUMIFS(Table2[NewPointsAway],Table2[GameDate], "&lt;=" &amp; $A190, Table2[AwayTeam], H$1)+SUMIFS(Table2[NewPointsHome],Table2[GameDate], "&lt;=" &amp; $A190, Table2[HomeTeam], H$1)</f>
        <v>8</v>
      </c>
      <c r="I190" s="145">
        <f>SUMIFS(Table2[NewPointsAway],Table2[GameDate], "&lt;=" &amp; $A190, Table2[AwayTeam], I$1)+SUMIFS(Table2[NewPointsHome],Table2[GameDate], "&lt;=" &amp; $A190, Table2[HomeTeam], I$1)</f>
        <v>12</v>
      </c>
      <c r="J190" s="145">
        <f>SUMIFS(Table2[NewPointsAway],Table2[GameDate], "&lt;=" &amp; $A190, Table2[AwayTeam], J$1)+SUMIFS(Table2[NewPointsHome],Table2[GameDate], "&lt;=" &amp; $A190, Table2[HomeTeam], J$1)</f>
        <v>6</v>
      </c>
      <c r="K190" s="145">
        <f>SUMIFS(Table2[NewPointsAway],Table2[GameDate], "&lt;=" &amp; $A190, Table2[AwayTeam], K$1)+SUMIFS(Table2[NewPointsHome],Table2[GameDate], "&lt;=" &amp; $A190, Table2[HomeTeam], K$1)</f>
        <v>10</v>
      </c>
      <c r="L190" s="145">
        <f>SUMIFS(Table2[NewPointsAway],Table2[GameDate], "&lt;=" &amp; $A190, Table2[AwayTeam], L$1)+SUMIFS(Table2[NewPointsHome],Table2[GameDate], "&lt;=" &amp; $A190, Table2[HomeTeam], L$1)</f>
        <v>7</v>
      </c>
      <c r="M190" s="145">
        <f>SUMIFS(Table2[NewPointsAway],Table2[GameDate], "&lt;=" &amp; $A190, Table2[AwayTeam], M$1)+SUMIFS(Table2[NewPointsHome],Table2[GameDate], "&lt;=" &amp; $A190, Table2[HomeTeam], M$1)</f>
        <v>8</v>
      </c>
      <c r="N190" s="145">
        <f>SUMIFS(Table2[NewPointsAway],Table2[GameDate], "&lt;=" &amp; $A190, Table2[AwayTeam], N$1)+SUMIFS(Table2[NewPointsHome],Table2[GameDate], "&lt;=" &amp; $A190, Table2[HomeTeam], N$1)</f>
        <v>6</v>
      </c>
      <c r="O190" s="145">
        <f>SUMIFS(Table2[NewPointsAway],Table2[GameDate], "&lt;=" &amp; $A190, Table2[AwayTeam], O$1)+SUMIFS(Table2[NewPointsHome],Table2[GameDate], "&lt;=" &amp; $A190, Table2[HomeTeam], O$1)</f>
        <v>7</v>
      </c>
      <c r="P190" s="145">
        <f>SUMIFS(Table2[NewPointsAway],Table2[GameDate], "&lt;=" &amp; $A190, Table2[AwayTeam], P$1)+SUMIFS(Table2[NewPointsHome],Table2[GameDate], "&lt;=" &amp; $A190, Table2[HomeTeam], P$1)</f>
        <v>10</v>
      </c>
      <c r="Q190" s="145">
        <f>SUMIFS(Table2[NewPointsAway],Table2[GameDate], "&lt;=" &amp; $A190, Table2[AwayTeam], Q$1)+SUMIFS(Table2[NewPointsHome],Table2[GameDate], "&lt;=" &amp; $A190, Table2[HomeTeam], Q$1)</f>
        <v>10</v>
      </c>
      <c r="R190" s="145">
        <f>SUMIFS(Table2[NewPointsAway],Table2[GameDate], "&lt;=" &amp; $A190, Table2[AwayTeam], R$1)+SUMIFS(Table2[NewPointsHome],Table2[GameDate], "&lt;=" &amp; $A190, Table2[HomeTeam], R$1)</f>
        <v>6</v>
      </c>
      <c r="S190" s="145">
        <f>SUMIFS(Table2[NewPointsAway],Table2[GameDate], "&lt;=" &amp; $A190, Table2[AwayTeam], S$1)+SUMIFS(Table2[NewPointsHome],Table2[GameDate], "&lt;=" &amp; $A190, Table2[HomeTeam], S$1)</f>
        <v>6</v>
      </c>
      <c r="T190" s="145">
        <f>SUMIFS(Table2[NewPointsAway],Table2[GameDate], "&lt;=" &amp; $A190, Table2[AwayTeam], T$1)+SUMIFS(Table2[NewPointsHome],Table2[GameDate], "&lt;=" &amp; $A190, Table2[HomeTeam], T$1)</f>
        <v>7</v>
      </c>
      <c r="U190" s="145">
        <f>SUMIFS(Table2[NewPointsAway],Table2[GameDate], "&lt;=" &amp; $A190, Table2[AwayTeam], U$1)+SUMIFS(Table2[NewPointsHome],Table2[GameDate], "&lt;=" &amp; $A190, Table2[HomeTeam], U$1)</f>
        <v>5</v>
      </c>
      <c r="V190" s="145">
        <f>SUMIFS(Table2[NewPointsAway],Table2[GameDate], "&lt;=" &amp; $A190, Table2[AwayTeam], V$1)+SUMIFS(Table2[NewPointsHome],Table2[GameDate], "&lt;=" &amp; $A190, Table2[HomeTeam], V$1)</f>
        <v>7</v>
      </c>
      <c r="W190" s="145">
        <f>SUMIFS(Table2[NewPointsAway],Table2[GameDate], "&lt;=" &amp; $A190, Table2[AwayTeam], W$1)+SUMIFS(Table2[NewPointsHome],Table2[GameDate], "&lt;=" &amp; $A190, Table2[HomeTeam], W$1)</f>
        <v>10</v>
      </c>
      <c r="X190" s="145">
        <f>SUMIFS(Table2[NewPointsAway],Table2[GameDate], "&lt;=" &amp; $A190, Table2[AwayTeam], X$1)+SUMIFS(Table2[NewPointsHome],Table2[GameDate], "&lt;=" &amp; $A190, Table2[HomeTeam], X$1)</f>
        <v>8</v>
      </c>
      <c r="Y190" s="145">
        <f>SUMIFS(Table2[NewPointsAway],Table2[GameDate], "&lt;=" &amp; $A190, Table2[AwayTeam], Y$1)+SUMIFS(Table2[NewPointsHome],Table2[GameDate], "&lt;=" &amp; $A190, Table2[HomeTeam], Y$1)</f>
        <v>2</v>
      </c>
      <c r="Z190" s="145">
        <f>SUMIFS(Table2[NewPointsAway],Table2[GameDate], "&lt;=" &amp; $A190, Table2[AwayTeam], Z$1)+SUMIFS(Table2[NewPointsHome],Table2[GameDate], "&lt;=" &amp; $A190, Table2[HomeTeam], Z$1)</f>
        <v>7</v>
      </c>
      <c r="AA190" s="145">
        <f>SUMIFS(Table2[NewPointsAway],Table2[GameDate], "&lt;=" &amp; $A190, Table2[AwayTeam], AA$1)+SUMIFS(Table2[NewPointsHome],Table2[GameDate], "&lt;=" &amp; $A190, Table2[HomeTeam], AA$1)</f>
        <v>4</v>
      </c>
      <c r="AB190" s="145">
        <f>SUMIFS(Table2[NewPointsAway],Table2[GameDate], "&lt;=" &amp; $A190, Table2[AwayTeam], AB$1)+SUMIFS(Table2[NewPointsHome],Table2[GameDate], "&lt;=" &amp; $A190, Table2[HomeTeam], AB$1)</f>
        <v>7</v>
      </c>
      <c r="AC190" s="145">
        <f>SUMIFS(Table2[NewPointsAway],Table2[GameDate], "&lt;=" &amp; $A190, Table2[AwayTeam], AC$1)+SUMIFS(Table2[NewPointsHome],Table2[GameDate], "&lt;=" &amp; $A190, Table2[HomeTeam], AC$1)</f>
        <v>10</v>
      </c>
      <c r="AD190" s="145">
        <f>SUMIFS(Table2[NewPointsAway],Table2[GameDate], "&lt;=" &amp; $A190, Table2[AwayTeam], AD$1)+SUMIFS(Table2[NewPointsHome],Table2[GameDate], "&lt;=" &amp; $A190, Table2[HomeTeam], AD$1)</f>
        <v>8</v>
      </c>
      <c r="AE190" s="145">
        <f>SUMIFS(Table2[NewPointsAway],Table2[GameDate], "&lt;=" &amp; $A190, Table2[AwayTeam], AE$1)+SUMIFS(Table2[NewPointsHome],Table2[GameDate], "&lt;=" &amp; $A190, Table2[HomeTeam], AE$1)</f>
        <v>12</v>
      </c>
      <c r="AF190" s="145">
        <f>SUMIFS(Table2[NewPointsAway],Table2[GameDate], "&lt;=" &amp; $A190, Table2[AwayTeam], AF$1)+SUMIFS(Table2[NewPointsHome],Table2[GameDate], "&lt;=" &amp; $A190, Table2[HomeTeam], AF$1)</f>
        <v>10</v>
      </c>
      <c r="AG190" s="145">
        <f>SUMIFS(Table2[NewPointsAway],Table2[GameDate], "&lt;=" &amp; $A190, Table2[AwayTeam], AG$1)+SUMIFS(Table2[NewPointsHome],Table2[GameDate], "&lt;=" &amp; $A190, Table2[HomeTeam], AG$1)</f>
        <v>10</v>
      </c>
    </row>
    <row r="191" spans="1:33" x14ac:dyDescent="0.25">
      <c r="A191" s="3">
        <v>46122</v>
      </c>
      <c r="B191" s="145">
        <f>SUMIFS(Table2[NewPointsAway],Table2[GameDate], "&lt;=" &amp; $A191, Table2[AwayTeam], B$1)+SUMIFS(Table2[NewPointsHome],Table2[GameDate], "&lt;=" &amp; $A191, Table2[HomeTeam], B$1)</f>
        <v>7</v>
      </c>
      <c r="C191" s="145">
        <f>SUMIFS(Table2[NewPointsAway],Table2[GameDate], "&lt;=" &amp; $A191, Table2[AwayTeam], C$1)+SUMIFS(Table2[NewPointsHome],Table2[GameDate], "&lt;=" &amp; $A191, Table2[HomeTeam], C$1)</f>
        <v>6</v>
      </c>
      <c r="D191" s="145">
        <f>SUMIFS(Table2[NewPointsAway],Table2[GameDate], "&lt;=" &amp; $A191, Table2[AwayTeam], D$1)+SUMIFS(Table2[NewPointsHome],Table2[GameDate], "&lt;=" &amp; $A191, Table2[HomeTeam], D$1)</f>
        <v>4</v>
      </c>
      <c r="E191" s="145">
        <f>SUMIFS(Table2[NewPointsAway],Table2[GameDate], "&lt;=" &amp; $A191, Table2[AwayTeam], E$1)+SUMIFS(Table2[NewPointsHome],Table2[GameDate], "&lt;=" &amp; $A191, Table2[HomeTeam], E$1)</f>
        <v>10</v>
      </c>
      <c r="F191" s="145">
        <f>SUMIFS(Table2[NewPointsAway],Table2[GameDate], "&lt;=" &amp; $A191, Table2[AwayTeam], F$1)+SUMIFS(Table2[NewPointsHome],Table2[GameDate], "&lt;=" &amp; $A191, Table2[HomeTeam], F$1)</f>
        <v>6</v>
      </c>
      <c r="G191" s="145">
        <f>SUMIFS(Table2[NewPointsAway],Table2[GameDate], "&lt;=" &amp; $A191, Table2[AwayTeam], G$1)+SUMIFS(Table2[NewPointsHome],Table2[GameDate], "&lt;=" &amp; $A191, Table2[HomeTeam], G$1)</f>
        <v>2</v>
      </c>
      <c r="H191" s="145">
        <f>SUMIFS(Table2[NewPointsAway],Table2[GameDate], "&lt;=" &amp; $A191, Table2[AwayTeam], H$1)+SUMIFS(Table2[NewPointsHome],Table2[GameDate], "&lt;=" &amp; $A191, Table2[HomeTeam], H$1)</f>
        <v>8</v>
      </c>
      <c r="I191" s="145">
        <f>SUMIFS(Table2[NewPointsAway],Table2[GameDate], "&lt;=" &amp; $A191, Table2[AwayTeam], I$1)+SUMIFS(Table2[NewPointsHome],Table2[GameDate], "&lt;=" &amp; $A191, Table2[HomeTeam], I$1)</f>
        <v>12</v>
      </c>
      <c r="J191" s="145">
        <f>SUMIFS(Table2[NewPointsAway],Table2[GameDate], "&lt;=" &amp; $A191, Table2[AwayTeam], J$1)+SUMIFS(Table2[NewPointsHome],Table2[GameDate], "&lt;=" &amp; $A191, Table2[HomeTeam], J$1)</f>
        <v>6</v>
      </c>
      <c r="K191" s="145">
        <f>SUMIFS(Table2[NewPointsAway],Table2[GameDate], "&lt;=" &amp; $A191, Table2[AwayTeam], K$1)+SUMIFS(Table2[NewPointsHome],Table2[GameDate], "&lt;=" &amp; $A191, Table2[HomeTeam], K$1)</f>
        <v>10</v>
      </c>
      <c r="L191" s="145">
        <f>SUMIFS(Table2[NewPointsAway],Table2[GameDate], "&lt;=" &amp; $A191, Table2[AwayTeam], L$1)+SUMIFS(Table2[NewPointsHome],Table2[GameDate], "&lt;=" &amp; $A191, Table2[HomeTeam], L$1)</f>
        <v>7</v>
      </c>
      <c r="M191" s="145">
        <f>SUMIFS(Table2[NewPointsAway],Table2[GameDate], "&lt;=" &amp; $A191, Table2[AwayTeam], M$1)+SUMIFS(Table2[NewPointsHome],Table2[GameDate], "&lt;=" &amp; $A191, Table2[HomeTeam], M$1)</f>
        <v>8</v>
      </c>
      <c r="N191" s="145">
        <f>SUMIFS(Table2[NewPointsAway],Table2[GameDate], "&lt;=" &amp; $A191, Table2[AwayTeam], N$1)+SUMIFS(Table2[NewPointsHome],Table2[GameDate], "&lt;=" &amp; $A191, Table2[HomeTeam], N$1)</f>
        <v>6</v>
      </c>
      <c r="O191" s="145">
        <f>SUMIFS(Table2[NewPointsAway],Table2[GameDate], "&lt;=" &amp; $A191, Table2[AwayTeam], O$1)+SUMIFS(Table2[NewPointsHome],Table2[GameDate], "&lt;=" &amp; $A191, Table2[HomeTeam], O$1)</f>
        <v>7</v>
      </c>
      <c r="P191" s="145">
        <f>SUMIFS(Table2[NewPointsAway],Table2[GameDate], "&lt;=" &amp; $A191, Table2[AwayTeam], P$1)+SUMIFS(Table2[NewPointsHome],Table2[GameDate], "&lt;=" &amp; $A191, Table2[HomeTeam], P$1)</f>
        <v>10</v>
      </c>
      <c r="Q191" s="145">
        <f>SUMIFS(Table2[NewPointsAway],Table2[GameDate], "&lt;=" &amp; $A191, Table2[AwayTeam], Q$1)+SUMIFS(Table2[NewPointsHome],Table2[GameDate], "&lt;=" &amp; $A191, Table2[HomeTeam], Q$1)</f>
        <v>10</v>
      </c>
      <c r="R191" s="145">
        <f>SUMIFS(Table2[NewPointsAway],Table2[GameDate], "&lt;=" &amp; $A191, Table2[AwayTeam], R$1)+SUMIFS(Table2[NewPointsHome],Table2[GameDate], "&lt;=" &amp; $A191, Table2[HomeTeam], R$1)</f>
        <v>6</v>
      </c>
      <c r="S191" s="145">
        <f>SUMIFS(Table2[NewPointsAway],Table2[GameDate], "&lt;=" &amp; $A191, Table2[AwayTeam], S$1)+SUMIFS(Table2[NewPointsHome],Table2[GameDate], "&lt;=" &amp; $A191, Table2[HomeTeam], S$1)</f>
        <v>6</v>
      </c>
      <c r="T191" s="145">
        <f>SUMIFS(Table2[NewPointsAway],Table2[GameDate], "&lt;=" &amp; $A191, Table2[AwayTeam], T$1)+SUMIFS(Table2[NewPointsHome],Table2[GameDate], "&lt;=" &amp; $A191, Table2[HomeTeam], T$1)</f>
        <v>7</v>
      </c>
      <c r="U191" s="145">
        <f>SUMIFS(Table2[NewPointsAway],Table2[GameDate], "&lt;=" &amp; $A191, Table2[AwayTeam], U$1)+SUMIFS(Table2[NewPointsHome],Table2[GameDate], "&lt;=" &amp; $A191, Table2[HomeTeam], U$1)</f>
        <v>5</v>
      </c>
      <c r="V191" s="145">
        <f>SUMIFS(Table2[NewPointsAway],Table2[GameDate], "&lt;=" &amp; $A191, Table2[AwayTeam], V$1)+SUMIFS(Table2[NewPointsHome],Table2[GameDate], "&lt;=" &amp; $A191, Table2[HomeTeam], V$1)</f>
        <v>7</v>
      </c>
      <c r="W191" s="145">
        <f>SUMIFS(Table2[NewPointsAway],Table2[GameDate], "&lt;=" &amp; $A191, Table2[AwayTeam], W$1)+SUMIFS(Table2[NewPointsHome],Table2[GameDate], "&lt;=" &amp; $A191, Table2[HomeTeam], W$1)</f>
        <v>10</v>
      </c>
      <c r="X191" s="145">
        <f>SUMIFS(Table2[NewPointsAway],Table2[GameDate], "&lt;=" &amp; $A191, Table2[AwayTeam], X$1)+SUMIFS(Table2[NewPointsHome],Table2[GameDate], "&lt;=" &amp; $A191, Table2[HomeTeam], X$1)</f>
        <v>8</v>
      </c>
      <c r="Y191" s="145">
        <f>SUMIFS(Table2[NewPointsAway],Table2[GameDate], "&lt;=" &amp; $A191, Table2[AwayTeam], Y$1)+SUMIFS(Table2[NewPointsHome],Table2[GameDate], "&lt;=" &amp; $A191, Table2[HomeTeam], Y$1)</f>
        <v>2</v>
      </c>
      <c r="Z191" s="145">
        <f>SUMIFS(Table2[NewPointsAway],Table2[GameDate], "&lt;=" &amp; $A191, Table2[AwayTeam], Z$1)+SUMIFS(Table2[NewPointsHome],Table2[GameDate], "&lt;=" &amp; $A191, Table2[HomeTeam], Z$1)</f>
        <v>7</v>
      </c>
      <c r="AA191" s="145">
        <f>SUMIFS(Table2[NewPointsAway],Table2[GameDate], "&lt;=" &amp; $A191, Table2[AwayTeam], AA$1)+SUMIFS(Table2[NewPointsHome],Table2[GameDate], "&lt;=" &amp; $A191, Table2[HomeTeam], AA$1)</f>
        <v>4</v>
      </c>
      <c r="AB191" s="145">
        <f>SUMIFS(Table2[NewPointsAway],Table2[GameDate], "&lt;=" &amp; $A191, Table2[AwayTeam], AB$1)+SUMIFS(Table2[NewPointsHome],Table2[GameDate], "&lt;=" &amp; $A191, Table2[HomeTeam], AB$1)</f>
        <v>7</v>
      </c>
      <c r="AC191" s="145">
        <f>SUMIFS(Table2[NewPointsAway],Table2[GameDate], "&lt;=" &amp; $A191, Table2[AwayTeam], AC$1)+SUMIFS(Table2[NewPointsHome],Table2[GameDate], "&lt;=" &amp; $A191, Table2[HomeTeam], AC$1)</f>
        <v>10</v>
      </c>
      <c r="AD191" s="145">
        <f>SUMIFS(Table2[NewPointsAway],Table2[GameDate], "&lt;=" &amp; $A191, Table2[AwayTeam], AD$1)+SUMIFS(Table2[NewPointsHome],Table2[GameDate], "&lt;=" &amp; $A191, Table2[HomeTeam], AD$1)</f>
        <v>8</v>
      </c>
      <c r="AE191" s="145">
        <f>SUMIFS(Table2[NewPointsAway],Table2[GameDate], "&lt;=" &amp; $A191, Table2[AwayTeam], AE$1)+SUMIFS(Table2[NewPointsHome],Table2[GameDate], "&lt;=" &amp; $A191, Table2[HomeTeam], AE$1)</f>
        <v>12</v>
      </c>
      <c r="AF191" s="145">
        <f>SUMIFS(Table2[NewPointsAway],Table2[GameDate], "&lt;=" &amp; $A191, Table2[AwayTeam], AF$1)+SUMIFS(Table2[NewPointsHome],Table2[GameDate], "&lt;=" &amp; $A191, Table2[HomeTeam], AF$1)</f>
        <v>10</v>
      </c>
      <c r="AG191" s="145">
        <f>SUMIFS(Table2[NewPointsAway],Table2[GameDate], "&lt;=" &amp; $A191, Table2[AwayTeam], AG$1)+SUMIFS(Table2[NewPointsHome],Table2[GameDate], "&lt;=" &amp; $A191, Table2[HomeTeam], AG$1)</f>
        <v>10</v>
      </c>
    </row>
    <row r="192" spans="1:33" x14ac:dyDescent="0.25">
      <c r="A192" s="3">
        <v>46123</v>
      </c>
      <c r="B192" s="145">
        <f>SUMIFS(Table2[NewPointsAway],Table2[GameDate], "&lt;=" &amp; $A192, Table2[AwayTeam], B$1)+SUMIFS(Table2[NewPointsHome],Table2[GameDate], "&lt;=" &amp; $A192, Table2[HomeTeam], B$1)</f>
        <v>7</v>
      </c>
      <c r="C192" s="145">
        <f>SUMIFS(Table2[NewPointsAway],Table2[GameDate], "&lt;=" &amp; $A192, Table2[AwayTeam], C$1)+SUMIFS(Table2[NewPointsHome],Table2[GameDate], "&lt;=" &amp; $A192, Table2[HomeTeam], C$1)</f>
        <v>6</v>
      </c>
      <c r="D192" s="145">
        <f>SUMIFS(Table2[NewPointsAway],Table2[GameDate], "&lt;=" &amp; $A192, Table2[AwayTeam], D$1)+SUMIFS(Table2[NewPointsHome],Table2[GameDate], "&lt;=" &amp; $A192, Table2[HomeTeam], D$1)</f>
        <v>4</v>
      </c>
      <c r="E192" s="145">
        <f>SUMIFS(Table2[NewPointsAway],Table2[GameDate], "&lt;=" &amp; $A192, Table2[AwayTeam], E$1)+SUMIFS(Table2[NewPointsHome],Table2[GameDate], "&lt;=" &amp; $A192, Table2[HomeTeam], E$1)</f>
        <v>10</v>
      </c>
      <c r="F192" s="145">
        <f>SUMIFS(Table2[NewPointsAway],Table2[GameDate], "&lt;=" &amp; $A192, Table2[AwayTeam], F$1)+SUMIFS(Table2[NewPointsHome],Table2[GameDate], "&lt;=" &amp; $A192, Table2[HomeTeam], F$1)</f>
        <v>6</v>
      </c>
      <c r="G192" s="145">
        <f>SUMIFS(Table2[NewPointsAway],Table2[GameDate], "&lt;=" &amp; $A192, Table2[AwayTeam], G$1)+SUMIFS(Table2[NewPointsHome],Table2[GameDate], "&lt;=" &amp; $A192, Table2[HomeTeam], G$1)</f>
        <v>2</v>
      </c>
      <c r="H192" s="145">
        <f>SUMIFS(Table2[NewPointsAway],Table2[GameDate], "&lt;=" &amp; $A192, Table2[AwayTeam], H$1)+SUMIFS(Table2[NewPointsHome],Table2[GameDate], "&lt;=" &amp; $A192, Table2[HomeTeam], H$1)</f>
        <v>8</v>
      </c>
      <c r="I192" s="145">
        <f>SUMIFS(Table2[NewPointsAway],Table2[GameDate], "&lt;=" &amp; $A192, Table2[AwayTeam], I$1)+SUMIFS(Table2[NewPointsHome],Table2[GameDate], "&lt;=" &amp; $A192, Table2[HomeTeam], I$1)</f>
        <v>12</v>
      </c>
      <c r="J192" s="145">
        <f>SUMIFS(Table2[NewPointsAway],Table2[GameDate], "&lt;=" &amp; $A192, Table2[AwayTeam], J$1)+SUMIFS(Table2[NewPointsHome],Table2[GameDate], "&lt;=" &amp; $A192, Table2[HomeTeam], J$1)</f>
        <v>6</v>
      </c>
      <c r="K192" s="145">
        <f>SUMIFS(Table2[NewPointsAway],Table2[GameDate], "&lt;=" &amp; $A192, Table2[AwayTeam], K$1)+SUMIFS(Table2[NewPointsHome],Table2[GameDate], "&lt;=" &amp; $A192, Table2[HomeTeam], K$1)</f>
        <v>10</v>
      </c>
      <c r="L192" s="145">
        <f>SUMIFS(Table2[NewPointsAway],Table2[GameDate], "&lt;=" &amp; $A192, Table2[AwayTeam], L$1)+SUMIFS(Table2[NewPointsHome],Table2[GameDate], "&lt;=" &amp; $A192, Table2[HomeTeam], L$1)</f>
        <v>7</v>
      </c>
      <c r="M192" s="145">
        <f>SUMIFS(Table2[NewPointsAway],Table2[GameDate], "&lt;=" &amp; $A192, Table2[AwayTeam], M$1)+SUMIFS(Table2[NewPointsHome],Table2[GameDate], "&lt;=" &amp; $A192, Table2[HomeTeam], M$1)</f>
        <v>8</v>
      </c>
      <c r="N192" s="145">
        <f>SUMIFS(Table2[NewPointsAway],Table2[GameDate], "&lt;=" &amp; $A192, Table2[AwayTeam], N$1)+SUMIFS(Table2[NewPointsHome],Table2[GameDate], "&lt;=" &amp; $A192, Table2[HomeTeam], N$1)</f>
        <v>6</v>
      </c>
      <c r="O192" s="145">
        <f>SUMIFS(Table2[NewPointsAway],Table2[GameDate], "&lt;=" &amp; $A192, Table2[AwayTeam], O$1)+SUMIFS(Table2[NewPointsHome],Table2[GameDate], "&lt;=" &amp; $A192, Table2[HomeTeam], O$1)</f>
        <v>7</v>
      </c>
      <c r="P192" s="145">
        <f>SUMIFS(Table2[NewPointsAway],Table2[GameDate], "&lt;=" &amp; $A192, Table2[AwayTeam], P$1)+SUMIFS(Table2[NewPointsHome],Table2[GameDate], "&lt;=" &amp; $A192, Table2[HomeTeam], P$1)</f>
        <v>10</v>
      </c>
      <c r="Q192" s="145">
        <f>SUMIFS(Table2[NewPointsAway],Table2[GameDate], "&lt;=" &amp; $A192, Table2[AwayTeam], Q$1)+SUMIFS(Table2[NewPointsHome],Table2[GameDate], "&lt;=" &amp; $A192, Table2[HomeTeam], Q$1)</f>
        <v>10</v>
      </c>
      <c r="R192" s="145">
        <f>SUMIFS(Table2[NewPointsAway],Table2[GameDate], "&lt;=" &amp; $A192, Table2[AwayTeam], R$1)+SUMIFS(Table2[NewPointsHome],Table2[GameDate], "&lt;=" &amp; $A192, Table2[HomeTeam], R$1)</f>
        <v>6</v>
      </c>
      <c r="S192" s="145">
        <f>SUMIFS(Table2[NewPointsAway],Table2[GameDate], "&lt;=" &amp; $A192, Table2[AwayTeam], S$1)+SUMIFS(Table2[NewPointsHome],Table2[GameDate], "&lt;=" &amp; $A192, Table2[HomeTeam], S$1)</f>
        <v>6</v>
      </c>
      <c r="T192" s="145">
        <f>SUMIFS(Table2[NewPointsAway],Table2[GameDate], "&lt;=" &amp; $A192, Table2[AwayTeam], T$1)+SUMIFS(Table2[NewPointsHome],Table2[GameDate], "&lt;=" &amp; $A192, Table2[HomeTeam], T$1)</f>
        <v>7</v>
      </c>
      <c r="U192" s="145">
        <f>SUMIFS(Table2[NewPointsAway],Table2[GameDate], "&lt;=" &amp; $A192, Table2[AwayTeam], U$1)+SUMIFS(Table2[NewPointsHome],Table2[GameDate], "&lt;=" &amp; $A192, Table2[HomeTeam], U$1)</f>
        <v>5</v>
      </c>
      <c r="V192" s="145">
        <f>SUMIFS(Table2[NewPointsAway],Table2[GameDate], "&lt;=" &amp; $A192, Table2[AwayTeam], V$1)+SUMIFS(Table2[NewPointsHome],Table2[GameDate], "&lt;=" &amp; $A192, Table2[HomeTeam], V$1)</f>
        <v>7</v>
      </c>
      <c r="W192" s="145">
        <f>SUMIFS(Table2[NewPointsAway],Table2[GameDate], "&lt;=" &amp; $A192, Table2[AwayTeam], W$1)+SUMIFS(Table2[NewPointsHome],Table2[GameDate], "&lt;=" &amp; $A192, Table2[HomeTeam], W$1)</f>
        <v>10</v>
      </c>
      <c r="X192" s="145">
        <f>SUMIFS(Table2[NewPointsAway],Table2[GameDate], "&lt;=" &amp; $A192, Table2[AwayTeam], X$1)+SUMIFS(Table2[NewPointsHome],Table2[GameDate], "&lt;=" &amp; $A192, Table2[HomeTeam], X$1)</f>
        <v>8</v>
      </c>
      <c r="Y192" s="145">
        <f>SUMIFS(Table2[NewPointsAway],Table2[GameDate], "&lt;=" &amp; $A192, Table2[AwayTeam], Y$1)+SUMIFS(Table2[NewPointsHome],Table2[GameDate], "&lt;=" &amp; $A192, Table2[HomeTeam], Y$1)</f>
        <v>2</v>
      </c>
      <c r="Z192" s="145">
        <f>SUMIFS(Table2[NewPointsAway],Table2[GameDate], "&lt;=" &amp; $A192, Table2[AwayTeam], Z$1)+SUMIFS(Table2[NewPointsHome],Table2[GameDate], "&lt;=" &amp; $A192, Table2[HomeTeam], Z$1)</f>
        <v>7</v>
      </c>
      <c r="AA192" s="145">
        <f>SUMIFS(Table2[NewPointsAway],Table2[GameDate], "&lt;=" &amp; $A192, Table2[AwayTeam], AA$1)+SUMIFS(Table2[NewPointsHome],Table2[GameDate], "&lt;=" &amp; $A192, Table2[HomeTeam], AA$1)</f>
        <v>4</v>
      </c>
      <c r="AB192" s="145">
        <f>SUMIFS(Table2[NewPointsAway],Table2[GameDate], "&lt;=" &amp; $A192, Table2[AwayTeam], AB$1)+SUMIFS(Table2[NewPointsHome],Table2[GameDate], "&lt;=" &amp; $A192, Table2[HomeTeam], AB$1)</f>
        <v>7</v>
      </c>
      <c r="AC192" s="145">
        <f>SUMIFS(Table2[NewPointsAway],Table2[GameDate], "&lt;=" &amp; $A192, Table2[AwayTeam], AC$1)+SUMIFS(Table2[NewPointsHome],Table2[GameDate], "&lt;=" &amp; $A192, Table2[HomeTeam], AC$1)</f>
        <v>10</v>
      </c>
      <c r="AD192" s="145">
        <f>SUMIFS(Table2[NewPointsAway],Table2[GameDate], "&lt;=" &amp; $A192, Table2[AwayTeam], AD$1)+SUMIFS(Table2[NewPointsHome],Table2[GameDate], "&lt;=" &amp; $A192, Table2[HomeTeam], AD$1)</f>
        <v>8</v>
      </c>
      <c r="AE192" s="145">
        <f>SUMIFS(Table2[NewPointsAway],Table2[GameDate], "&lt;=" &amp; $A192, Table2[AwayTeam], AE$1)+SUMIFS(Table2[NewPointsHome],Table2[GameDate], "&lt;=" &amp; $A192, Table2[HomeTeam], AE$1)</f>
        <v>12</v>
      </c>
      <c r="AF192" s="145">
        <f>SUMIFS(Table2[NewPointsAway],Table2[GameDate], "&lt;=" &amp; $A192, Table2[AwayTeam], AF$1)+SUMIFS(Table2[NewPointsHome],Table2[GameDate], "&lt;=" &amp; $A192, Table2[HomeTeam], AF$1)</f>
        <v>10</v>
      </c>
      <c r="AG192" s="145">
        <f>SUMIFS(Table2[NewPointsAway],Table2[GameDate], "&lt;=" &amp; $A192, Table2[AwayTeam], AG$1)+SUMIFS(Table2[NewPointsHome],Table2[GameDate], "&lt;=" &amp; $A192, Table2[HomeTeam], AG$1)</f>
        <v>10</v>
      </c>
    </row>
    <row r="193" spans="1:33" x14ac:dyDescent="0.25">
      <c r="A193" s="3">
        <v>46124</v>
      </c>
      <c r="B193" s="145">
        <f>SUMIFS(Table2[NewPointsAway],Table2[GameDate], "&lt;=" &amp; $A193, Table2[AwayTeam], B$1)+SUMIFS(Table2[NewPointsHome],Table2[GameDate], "&lt;=" &amp; $A193, Table2[HomeTeam], B$1)</f>
        <v>7</v>
      </c>
      <c r="C193" s="145">
        <f>SUMIFS(Table2[NewPointsAway],Table2[GameDate], "&lt;=" &amp; $A193, Table2[AwayTeam], C$1)+SUMIFS(Table2[NewPointsHome],Table2[GameDate], "&lt;=" &amp; $A193, Table2[HomeTeam], C$1)</f>
        <v>6</v>
      </c>
      <c r="D193" s="145">
        <f>SUMIFS(Table2[NewPointsAway],Table2[GameDate], "&lt;=" &amp; $A193, Table2[AwayTeam], D$1)+SUMIFS(Table2[NewPointsHome],Table2[GameDate], "&lt;=" &amp; $A193, Table2[HomeTeam], D$1)</f>
        <v>4</v>
      </c>
      <c r="E193" s="145">
        <f>SUMIFS(Table2[NewPointsAway],Table2[GameDate], "&lt;=" &amp; $A193, Table2[AwayTeam], E$1)+SUMIFS(Table2[NewPointsHome],Table2[GameDate], "&lt;=" &amp; $A193, Table2[HomeTeam], E$1)</f>
        <v>10</v>
      </c>
      <c r="F193" s="145">
        <f>SUMIFS(Table2[NewPointsAway],Table2[GameDate], "&lt;=" &amp; $A193, Table2[AwayTeam], F$1)+SUMIFS(Table2[NewPointsHome],Table2[GameDate], "&lt;=" &amp; $A193, Table2[HomeTeam], F$1)</f>
        <v>6</v>
      </c>
      <c r="G193" s="145">
        <f>SUMIFS(Table2[NewPointsAway],Table2[GameDate], "&lt;=" &amp; $A193, Table2[AwayTeam], G$1)+SUMIFS(Table2[NewPointsHome],Table2[GameDate], "&lt;=" &amp; $A193, Table2[HomeTeam], G$1)</f>
        <v>2</v>
      </c>
      <c r="H193" s="145">
        <f>SUMIFS(Table2[NewPointsAway],Table2[GameDate], "&lt;=" &amp; $A193, Table2[AwayTeam], H$1)+SUMIFS(Table2[NewPointsHome],Table2[GameDate], "&lt;=" &amp; $A193, Table2[HomeTeam], H$1)</f>
        <v>8</v>
      </c>
      <c r="I193" s="145">
        <f>SUMIFS(Table2[NewPointsAway],Table2[GameDate], "&lt;=" &amp; $A193, Table2[AwayTeam], I$1)+SUMIFS(Table2[NewPointsHome],Table2[GameDate], "&lt;=" &amp; $A193, Table2[HomeTeam], I$1)</f>
        <v>12</v>
      </c>
      <c r="J193" s="145">
        <f>SUMIFS(Table2[NewPointsAway],Table2[GameDate], "&lt;=" &amp; $A193, Table2[AwayTeam], J$1)+SUMIFS(Table2[NewPointsHome],Table2[GameDate], "&lt;=" &amp; $A193, Table2[HomeTeam], J$1)</f>
        <v>6</v>
      </c>
      <c r="K193" s="145">
        <f>SUMIFS(Table2[NewPointsAway],Table2[GameDate], "&lt;=" &amp; $A193, Table2[AwayTeam], K$1)+SUMIFS(Table2[NewPointsHome],Table2[GameDate], "&lt;=" &amp; $A193, Table2[HomeTeam], K$1)</f>
        <v>10</v>
      </c>
      <c r="L193" s="145">
        <f>SUMIFS(Table2[NewPointsAway],Table2[GameDate], "&lt;=" &amp; $A193, Table2[AwayTeam], L$1)+SUMIFS(Table2[NewPointsHome],Table2[GameDate], "&lt;=" &amp; $A193, Table2[HomeTeam], L$1)</f>
        <v>7</v>
      </c>
      <c r="M193" s="145">
        <f>SUMIFS(Table2[NewPointsAway],Table2[GameDate], "&lt;=" &amp; $A193, Table2[AwayTeam], M$1)+SUMIFS(Table2[NewPointsHome],Table2[GameDate], "&lt;=" &amp; $A193, Table2[HomeTeam], M$1)</f>
        <v>8</v>
      </c>
      <c r="N193" s="145">
        <f>SUMIFS(Table2[NewPointsAway],Table2[GameDate], "&lt;=" &amp; $A193, Table2[AwayTeam], N$1)+SUMIFS(Table2[NewPointsHome],Table2[GameDate], "&lt;=" &amp; $A193, Table2[HomeTeam], N$1)</f>
        <v>6</v>
      </c>
      <c r="O193" s="145">
        <f>SUMIFS(Table2[NewPointsAway],Table2[GameDate], "&lt;=" &amp; $A193, Table2[AwayTeam], O$1)+SUMIFS(Table2[NewPointsHome],Table2[GameDate], "&lt;=" &amp; $A193, Table2[HomeTeam], O$1)</f>
        <v>7</v>
      </c>
      <c r="P193" s="145">
        <f>SUMIFS(Table2[NewPointsAway],Table2[GameDate], "&lt;=" &amp; $A193, Table2[AwayTeam], P$1)+SUMIFS(Table2[NewPointsHome],Table2[GameDate], "&lt;=" &amp; $A193, Table2[HomeTeam], P$1)</f>
        <v>10</v>
      </c>
      <c r="Q193" s="145">
        <f>SUMIFS(Table2[NewPointsAway],Table2[GameDate], "&lt;=" &amp; $A193, Table2[AwayTeam], Q$1)+SUMIFS(Table2[NewPointsHome],Table2[GameDate], "&lt;=" &amp; $A193, Table2[HomeTeam], Q$1)</f>
        <v>10</v>
      </c>
      <c r="R193" s="145">
        <f>SUMIFS(Table2[NewPointsAway],Table2[GameDate], "&lt;=" &amp; $A193, Table2[AwayTeam], R$1)+SUMIFS(Table2[NewPointsHome],Table2[GameDate], "&lt;=" &amp; $A193, Table2[HomeTeam], R$1)</f>
        <v>6</v>
      </c>
      <c r="S193" s="145">
        <f>SUMIFS(Table2[NewPointsAway],Table2[GameDate], "&lt;=" &amp; $A193, Table2[AwayTeam], S$1)+SUMIFS(Table2[NewPointsHome],Table2[GameDate], "&lt;=" &amp; $A193, Table2[HomeTeam], S$1)</f>
        <v>6</v>
      </c>
      <c r="T193" s="145">
        <f>SUMIFS(Table2[NewPointsAway],Table2[GameDate], "&lt;=" &amp; $A193, Table2[AwayTeam], T$1)+SUMIFS(Table2[NewPointsHome],Table2[GameDate], "&lt;=" &amp; $A193, Table2[HomeTeam], T$1)</f>
        <v>7</v>
      </c>
      <c r="U193" s="145">
        <f>SUMIFS(Table2[NewPointsAway],Table2[GameDate], "&lt;=" &amp; $A193, Table2[AwayTeam], U$1)+SUMIFS(Table2[NewPointsHome],Table2[GameDate], "&lt;=" &amp; $A193, Table2[HomeTeam], U$1)</f>
        <v>5</v>
      </c>
      <c r="V193" s="145">
        <f>SUMIFS(Table2[NewPointsAway],Table2[GameDate], "&lt;=" &amp; $A193, Table2[AwayTeam], V$1)+SUMIFS(Table2[NewPointsHome],Table2[GameDate], "&lt;=" &amp; $A193, Table2[HomeTeam], V$1)</f>
        <v>7</v>
      </c>
      <c r="W193" s="145">
        <f>SUMIFS(Table2[NewPointsAway],Table2[GameDate], "&lt;=" &amp; $A193, Table2[AwayTeam], W$1)+SUMIFS(Table2[NewPointsHome],Table2[GameDate], "&lt;=" &amp; $A193, Table2[HomeTeam], W$1)</f>
        <v>10</v>
      </c>
      <c r="X193" s="145">
        <f>SUMIFS(Table2[NewPointsAway],Table2[GameDate], "&lt;=" &amp; $A193, Table2[AwayTeam], X$1)+SUMIFS(Table2[NewPointsHome],Table2[GameDate], "&lt;=" &amp; $A193, Table2[HomeTeam], X$1)</f>
        <v>8</v>
      </c>
      <c r="Y193" s="145">
        <f>SUMIFS(Table2[NewPointsAway],Table2[GameDate], "&lt;=" &amp; $A193, Table2[AwayTeam], Y$1)+SUMIFS(Table2[NewPointsHome],Table2[GameDate], "&lt;=" &amp; $A193, Table2[HomeTeam], Y$1)</f>
        <v>2</v>
      </c>
      <c r="Z193" s="145">
        <f>SUMIFS(Table2[NewPointsAway],Table2[GameDate], "&lt;=" &amp; $A193, Table2[AwayTeam], Z$1)+SUMIFS(Table2[NewPointsHome],Table2[GameDate], "&lt;=" &amp; $A193, Table2[HomeTeam], Z$1)</f>
        <v>7</v>
      </c>
      <c r="AA193" s="145">
        <f>SUMIFS(Table2[NewPointsAway],Table2[GameDate], "&lt;=" &amp; $A193, Table2[AwayTeam], AA$1)+SUMIFS(Table2[NewPointsHome],Table2[GameDate], "&lt;=" &amp; $A193, Table2[HomeTeam], AA$1)</f>
        <v>4</v>
      </c>
      <c r="AB193" s="145">
        <f>SUMIFS(Table2[NewPointsAway],Table2[GameDate], "&lt;=" &amp; $A193, Table2[AwayTeam], AB$1)+SUMIFS(Table2[NewPointsHome],Table2[GameDate], "&lt;=" &amp; $A193, Table2[HomeTeam], AB$1)</f>
        <v>7</v>
      </c>
      <c r="AC193" s="145">
        <f>SUMIFS(Table2[NewPointsAway],Table2[GameDate], "&lt;=" &amp; $A193, Table2[AwayTeam], AC$1)+SUMIFS(Table2[NewPointsHome],Table2[GameDate], "&lt;=" &amp; $A193, Table2[HomeTeam], AC$1)</f>
        <v>10</v>
      </c>
      <c r="AD193" s="145">
        <f>SUMIFS(Table2[NewPointsAway],Table2[GameDate], "&lt;=" &amp; $A193, Table2[AwayTeam], AD$1)+SUMIFS(Table2[NewPointsHome],Table2[GameDate], "&lt;=" &amp; $A193, Table2[HomeTeam], AD$1)</f>
        <v>8</v>
      </c>
      <c r="AE193" s="145">
        <f>SUMIFS(Table2[NewPointsAway],Table2[GameDate], "&lt;=" &amp; $A193, Table2[AwayTeam], AE$1)+SUMIFS(Table2[NewPointsHome],Table2[GameDate], "&lt;=" &amp; $A193, Table2[HomeTeam], AE$1)</f>
        <v>12</v>
      </c>
      <c r="AF193" s="145">
        <f>SUMIFS(Table2[NewPointsAway],Table2[GameDate], "&lt;=" &amp; $A193, Table2[AwayTeam], AF$1)+SUMIFS(Table2[NewPointsHome],Table2[GameDate], "&lt;=" &amp; $A193, Table2[HomeTeam], AF$1)</f>
        <v>10</v>
      </c>
      <c r="AG193" s="145">
        <f>SUMIFS(Table2[NewPointsAway],Table2[GameDate], "&lt;=" &amp; $A193, Table2[AwayTeam], AG$1)+SUMIFS(Table2[NewPointsHome],Table2[GameDate], "&lt;=" &amp; $A193, Table2[HomeTeam], AG$1)</f>
        <v>10</v>
      </c>
    </row>
    <row r="194" spans="1:33" x14ac:dyDescent="0.25">
      <c r="A194" s="3">
        <v>46125</v>
      </c>
      <c r="B194" s="145">
        <f>SUMIFS(Table2[NewPointsAway],Table2[GameDate], "&lt;=" &amp; $A194, Table2[AwayTeam], B$1)+SUMIFS(Table2[NewPointsHome],Table2[GameDate], "&lt;=" &amp; $A194, Table2[HomeTeam], B$1)</f>
        <v>7</v>
      </c>
      <c r="C194" s="145">
        <f>SUMIFS(Table2[NewPointsAway],Table2[GameDate], "&lt;=" &amp; $A194, Table2[AwayTeam], C$1)+SUMIFS(Table2[NewPointsHome],Table2[GameDate], "&lt;=" &amp; $A194, Table2[HomeTeam], C$1)</f>
        <v>6</v>
      </c>
      <c r="D194" s="145">
        <f>SUMIFS(Table2[NewPointsAway],Table2[GameDate], "&lt;=" &amp; $A194, Table2[AwayTeam], D$1)+SUMIFS(Table2[NewPointsHome],Table2[GameDate], "&lt;=" &amp; $A194, Table2[HomeTeam], D$1)</f>
        <v>4</v>
      </c>
      <c r="E194" s="145">
        <f>SUMIFS(Table2[NewPointsAway],Table2[GameDate], "&lt;=" &amp; $A194, Table2[AwayTeam], E$1)+SUMIFS(Table2[NewPointsHome],Table2[GameDate], "&lt;=" &amp; $A194, Table2[HomeTeam], E$1)</f>
        <v>10</v>
      </c>
      <c r="F194" s="145">
        <f>SUMIFS(Table2[NewPointsAway],Table2[GameDate], "&lt;=" &amp; $A194, Table2[AwayTeam], F$1)+SUMIFS(Table2[NewPointsHome],Table2[GameDate], "&lt;=" &amp; $A194, Table2[HomeTeam], F$1)</f>
        <v>6</v>
      </c>
      <c r="G194" s="145">
        <f>SUMIFS(Table2[NewPointsAway],Table2[GameDate], "&lt;=" &amp; $A194, Table2[AwayTeam], G$1)+SUMIFS(Table2[NewPointsHome],Table2[GameDate], "&lt;=" &amp; $A194, Table2[HomeTeam], G$1)</f>
        <v>2</v>
      </c>
      <c r="H194" s="145">
        <f>SUMIFS(Table2[NewPointsAway],Table2[GameDate], "&lt;=" &amp; $A194, Table2[AwayTeam], H$1)+SUMIFS(Table2[NewPointsHome],Table2[GameDate], "&lt;=" &amp; $A194, Table2[HomeTeam], H$1)</f>
        <v>8</v>
      </c>
      <c r="I194" s="145">
        <f>SUMIFS(Table2[NewPointsAway],Table2[GameDate], "&lt;=" &amp; $A194, Table2[AwayTeam], I$1)+SUMIFS(Table2[NewPointsHome],Table2[GameDate], "&lt;=" &amp; $A194, Table2[HomeTeam], I$1)</f>
        <v>12</v>
      </c>
      <c r="J194" s="145">
        <f>SUMIFS(Table2[NewPointsAway],Table2[GameDate], "&lt;=" &amp; $A194, Table2[AwayTeam], J$1)+SUMIFS(Table2[NewPointsHome],Table2[GameDate], "&lt;=" &amp; $A194, Table2[HomeTeam], J$1)</f>
        <v>6</v>
      </c>
      <c r="K194" s="145">
        <f>SUMIFS(Table2[NewPointsAway],Table2[GameDate], "&lt;=" &amp; $A194, Table2[AwayTeam], K$1)+SUMIFS(Table2[NewPointsHome],Table2[GameDate], "&lt;=" &amp; $A194, Table2[HomeTeam], K$1)</f>
        <v>10</v>
      </c>
      <c r="L194" s="145">
        <f>SUMIFS(Table2[NewPointsAway],Table2[GameDate], "&lt;=" &amp; $A194, Table2[AwayTeam], L$1)+SUMIFS(Table2[NewPointsHome],Table2[GameDate], "&lt;=" &amp; $A194, Table2[HomeTeam], L$1)</f>
        <v>7</v>
      </c>
      <c r="M194" s="145">
        <f>SUMIFS(Table2[NewPointsAway],Table2[GameDate], "&lt;=" &amp; $A194, Table2[AwayTeam], M$1)+SUMIFS(Table2[NewPointsHome],Table2[GameDate], "&lt;=" &amp; $A194, Table2[HomeTeam], M$1)</f>
        <v>8</v>
      </c>
      <c r="N194" s="145">
        <f>SUMIFS(Table2[NewPointsAway],Table2[GameDate], "&lt;=" &amp; $A194, Table2[AwayTeam], N$1)+SUMIFS(Table2[NewPointsHome],Table2[GameDate], "&lt;=" &amp; $A194, Table2[HomeTeam], N$1)</f>
        <v>6</v>
      </c>
      <c r="O194" s="145">
        <f>SUMIFS(Table2[NewPointsAway],Table2[GameDate], "&lt;=" &amp; $A194, Table2[AwayTeam], O$1)+SUMIFS(Table2[NewPointsHome],Table2[GameDate], "&lt;=" &amp; $A194, Table2[HomeTeam], O$1)</f>
        <v>7</v>
      </c>
      <c r="P194" s="145">
        <f>SUMIFS(Table2[NewPointsAway],Table2[GameDate], "&lt;=" &amp; $A194, Table2[AwayTeam], P$1)+SUMIFS(Table2[NewPointsHome],Table2[GameDate], "&lt;=" &amp; $A194, Table2[HomeTeam], P$1)</f>
        <v>10</v>
      </c>
      <c r="Q194" s="145">
        <f>SUMIFS(Table2[NewPointsAway],Table2[GameDate], "&lt;=" &amp; $A194, Table2[AwayTeam], Q$1)+SUMIFS(Table2[NewPointsHome],Table2[GameDate], "&lt;=" &amp; $A194, Table2[HomeTeam], Q$1)</f>
        <v>10</v>
      </c>
      <c r="R194" s="145">
        <f>SUMIFS(Table2[NewPointsAway],Table2[GameDate], "&lt;=" &amp; $A194, Table2[AwayTeam], R$1)+SUMIFS(Table2[NewPointsHome],Table2[GameDate], "&lt;=" &amp; $A194, Table2[HomeTeam], R$1)</f>
        <v>6</v>
      </c>
      <c r="S194" s="145">
        <f>SUMIFS(Table2[NewPointsAway],Table2[GameDate], "&lt;=" &amp; $A194, Table2[AwayTeam], S$1)+SUMIFS(Table2[NewPointsHome],Table2[GameDate], "&lt;=" &amp; $A194, Table2[HomeTeam], S$1)</f>
        <v>6</v>
      </c>
      <c r="T194" s="145">
        <f>SUMIFS(Table2[NewPointsAway],Table2[GameDate], "&lt;=" &amp; $A194, Table2[AwayTeam], T$1)+SUMIFS(Table2[NewPointsHome],Table2[GameDate], "&lt;=" &amp; $A194, Table2[HomeTeam], T$1)</f>
        <v>7</v>
      </c>
      <c r="U194" s="145">
        <f>SUMIFS(Table2[NewPointsAway],Table2[GameDate], "&lt;=" &amp; $A194, Table2[AwayTeam], U$1)+SUMIFS(Table2[NewPointsHome],Table2[GameDate], "&lt;=" &amp; $A194, Table2[HomeTeam], U$1)</f>
        <v>5</v>
      </c>
      <c r="V194" s="145">
        <f>SUMIFS(Table2[NewPointsAway],Table2[GameDate], "&lt;=" &amp; $A194, Table2[AwayTeam], V$1)+SUMIFS(Table2[NewPointsHome],Table2[GameDate], "&lt;=" &amp; $A194, Table2[HomeTeam], V$1)</f>
        <v>7</v>
      </c>
      <c r="W194" s="145">
        <f>SUMIFS(Table2[NewPointsAway],Table2[GameDate], "&lt;=" &amp; $A194, Table2[AwayTeam], W$1)+SUMIFS(Table2[NewPointsHome],Table2[GameDate], "&lt;=" &amp; $A194, Table2[HomeTeam], W$1)</f>
        <v>10</v>
      </c>
      <c r="X194" s="145">
        <f>SUMIFS(Table2[NewPointsAway],Table2[GameDate], "&lt;=" &amp; $A194, Table2[AwayTeam], X$1)+SUMIFS(Table2[NewPointsHome],Table2[GameDate], "&lt;=" &amp; $A194, Table2[HomeTeam], X$1)</f>
        <v>8</v>
      </c>
      <c r="Y194" s="145">
        <f>SUMIFS(Table2[NewPointsAway],Table2[GameDate], "&lt;=" &amp; $A194, Table2[AwayTeam], Y$1)+SUMIFS(Table2[NewPointsHome],Table2[GameDate], "&lt;=" &amp; $A194, Table2[HomeTeam], Y$1)</f>
        <v>2</v>
      </c>
      <c r="Z194" s="145">
        <f>SUMIFS(Table2[NewPointsAway],Table2[GameDate], "&lt;=" &amp; $A194, Table2[AwayTeam], Z$1)+SUMIFS(Table2[NewPointsHome],Table2[GameDate], "&lt;=" &amp; $A194, Table2[HomeTeam], Z$1)</f>
        <v>7</v>
      </c>
      <c r="AA194" s="145">
        <f>SUMIFS(Table2[NewPointsAway],Table2[GameDate], "&lt;=" &amp; $A194, Table2[AwayTeam], AA$1)+SUMIFS(Table2[NewPointsHome],Table2[GameDate], "&lt;=" &amp; $A194, Table2[HomeTeam], AA$1)</f>
        <v>4</v>
      </c>
      <c r="AB194" s="145">
        <f>SUMIFS(Table2[NewPointsAway],Table2[GameDate], "&lt;=" &amp; $A194, Table2[AwayTeam], AB$1)+SUMIFS(Table2[NewPointsHome],Table2[GameDate], "&lt;=" &amp; $A194, Table2[HomeTeam], AB$1)</f>
        <v>7</v>
      </c>
      <c r="AC194" s="145">
        <f>SUMIFS(Table2[NewPointsAway],Table2[GameDate], "&lt;=" &amp; $A194, Table2[AwayTeam], AC$1)+SUMIFS(Table2[NewPointsHome],Table2[GameDate], "&lt;=" &amp; $A194, Table2[HomeTeam], AC$1)</f>
        <v>10</v>
      </c>
      <c r="AD194" s="145">
        <f>SUMIFS(Table2[NewPointsAway],Table2[GameDate], "&lt;=" &amp; $A194, Table2[AwayTeam], AD$1)+SUMIFS(Table2[NewPointsHome],Table2[GameDate], "&lt;=" &amp; $A194, Table2[HomeTeam], AD$1)</f>
        <v>8</v>
      </c>
      <c r="AE194" s="145">
        <f>SUMIFS(Table2[NewPointsAway],Table2[GameDate], "&lt;=" &amp; $A194, Table2[AwayTeam], AE$1)+SUMIFS(Table2[NewPointsHome],Table2[GameDate], "&lt;=" &amp; $A194, Table2[HomeTeam], AE$1)</f>
        <v>12</v>
      </c>
      <c r="AF194" s="145">
        <f>SUMIFS(Table2[NewPointsAway],Table2[GameDate], "&lt;=" &amp; $A194, Table2[AwayTeam], AF$1)+SUMIFS(Table2[NewPointsHome],Table2[GameDate], "&lt;=" &amp; $A194, Table2[HomeTeam], AF$1)</f>
        <v>10</v>
      </c>
      <c r="AG194" s="145">
        <f>SUMIFS(Table2[NewPointsAway],Table2[GameDate], "&lt;=" &amp; $A194, Table2[AwayTeam], AG$1)+SUMIFS(Table2[NewPointsHome],Table2[GameDate], "&lt;=" &amp; $A194, Table2[HomeTeam], AG$1)</f>
        <v>10</v>
      </c>
    </row>
    <row r="195" spans="1:33" x14ac:dyDescent="0.25">
      <c r="A195" s="3">
        <v>46126</v>
      </c>
      <c r="B195" s="145">
        <f>SUMIFS(Table2[NewPointsAway],Table2[GameDate], "&lt;=" &amp; $A195, Table2[AwayTeam], B$1)+SUMIFS(Table2[NewPointsHome],Table2[GameDate], "&lt;=" &amp; $A195, Table2[HomeTeam], B$1)</f>
        <v>7</v>
      </c>
      <c r="C195" s="145">
        <f>SUMIFS(Table2[NewPointsAway],Table2[GameDate], "&lt;=" &amp; $A195, Table2[AwayTeam], C$1)+SUMIFS(Table2[NewPointsHome],Table2[GameDate], "&lt;=" &amp; $A195, Table2[HomeTeam], C$1)</f>
        <v>6</v>
      </c>
      <c r="D195" s="145">
        <f>SUMIFS(Table2[NewPointsAway],Table2[GameDate], "&lt;=" &amp; $A195, Table2[AwayTeam], D$1)+SUMIFS(Table2[NewPointsHome],Table2[GameDate], "&lt;=" &amp; $A195, Table2[HomeTeam], D$1)</f>
        <v>4</v>
      </c>
      <c r="E195" s="145">
        <f>SUMIFS(Table2[NewPointsAway],Table2[GameDate], "&lt;=" &amp; $A195, Table2[AwayTeam], E$1)+SUMIFS(Table2[NewPointsHome],Table2[GameDate], "&lt;=" &amp; $A195, Table2[HomeTeam], E$1)</f>
        <v>10</v>
      </c>
      <c r="F195" s="145">
        <f>SUMIFS(Table2[NewPointsAway],Table2[GameDate], "&lt;=" &amp; $A195, Table2[AwayTeam], F$1)+SUMIFS(Table2[NewPointsHome],Table2[GameDate], "&lt;=" &amp; $A195, Table2[HomeTeam], F$1)</f>
        <v>6</v>
      </c>
      <c r="G195" s="145">
        <f>SUMIFS(Table2[NewPointsAway],Table2[GameDate], "&lt;=" &amp; $A195, Table2[AwayTeam], G$1)+SUMIFS(Table2[NewPointsHome],Table2[GameDate], "&lt;=" &amp; $A195, Table2[HomeTeam], G$1)</f>
        <v>2</v>
      </c>
      <c r="H195" s="145">
        <f>SUMIFS(Table2[NewPointsAway],Table2[GameDate], "&lt;=" &amp; $A195, Table2[AwayTeam], H$1)+SUMIFS(Table2[NewPointsHome],Table2[GameDate], "&lt;=" &amp; $A195, Table2[HomeTeam], H$1)</f>
        <v>8</v>
      </c>
      <c r="I195" s="145">
        <f>SUMIFS(Table2[NewPointsAway],Table2[GameDate], "&lt;=" &amp; $A195, Table2[AwayTeam], I$1)+SUMIFS(Table2[NewPointsHome],Table2[GameDate], "&lt;=" &amp; $A195, Table2[HomeTeam], I$1)</f>
        <v>12</v>
      </c>
      <c r="J195" s="145">
        <f>SUMIFS(Table2[NewPointsAway],Table2[GameDate], "&lt;=" &amp; $A195, Table2[AwayTeam], J$1)+SUMIFS(Table2[NewPointsHome],Table2[GameDate], "&lt;=" &amp; $A195, Table2[HomeTeam], J$1)</f>
        <v>6</v>
      </c>
      <c r="K195" s="145">
        <f>SUMIFS(Table2[NewPointsAway],Table2[GameDate], "&lt;=" &amp; $A195, Table2[AwayTeam], K$1)+SUMIFS(Table2[NewPointsHome],Table2[GameDate], "&lt;=" &amp; $A195, Table2[HomeTeam], K$1)</f>
        <v>10</v>
      </c>
      <c r="L195" s="145">
        <f>SUMIFS(Table2[NewPointsAway],Table2[GameDate], "&lt;=" &amp; $A195, Table2[AwayTeam], L$1)+SUMIFS(Table2[NewPointsHome],Table2[GameDate], "&lt;=" &amp; $A195, Table2[HomeTeam], L$1)</f>
        <v>7</v>
      </c>
      <c r="M195" s="145">
        <f>SUMIFS(Table2[NewPointsAway],Table2[GameDate], "&lt;=" &amp; $A195, Table2[AwayTeam], M$1)+SUMIFS(Table2[NewPointsHome],Table2[GameDate], "&lt;=" &amp; $A195, Table2[HomeTeam], M$1)</f>
        <v>8</v>
      </c>
      <c r="N195" s="145">
        <f>SUMIFS(Table2[NewPointsAway],Table2[GameDate], "&lt;=" &amp; $A195, Table2[AwayTeam], N$1)+SUMIFS(Table2[NewPointsHome],Table2[GameDate], "&lt;=" &amp; $A195, Table2[HomeTeam], N$1)</f>
        <v>6</v>
      </c>
      <c r="O195" s="145">
        <f>SUMIFS(Table2[NewPointsAway],Table2[GameDate], "&lt;=" &amp; $A195, Table2[AwayTeam], O$1)+SUMIFS(Table2[NewPointsHome],Table2[GameDate], "&lt;=" &amp; $A195, Table2[HomeTeam], O$1)</f>
        <v>7</v>
      </c>
      <c r="P195" s="145">
        <f>SUMIFS(Table2[NewPointsAway],Table2[GameDate], "&lt;=" &amp; $A195, Table2[AwayTeam], P$1)+SUMIFS(Table2[NewPointsHome],Table2[GameDate], "&lt;=" &amp; $A195, Table2[HomeTeam], P$1)</f>
        <v>10</v>
      </c>
      <c r="Q195" s="145">
        <f>SUMIFS(Table2[NewPointsAway],Table2[GameDate], "&lt;=" &amp; $A195, Table2[AwayTeam], Q$1)+SUMIFS(Table2[NewPointsHome],Table2[GameDate], "&lt;=" &amp; $A195, Table2[HomeTeam], Q$1)</f>
        <v>10</v>
      </c>
      <c r="R195" s="145">
        <f>SUMIFS(Table2[NewPointsAway],Table2[GameDate], "&lt;=" &amp; $A195, Table2[AwayTeam], R$1)+SUMIFS(Table2[NewPointsHome],Table2[GameDate], "&lt;=" &amp; $A195, Table2[HomeTeam], R$1)</f>
        <v>6</v>
      </c>
      <c r="S195" s="145">
        <f>SUMIFS(Table2[NewPointsAway],Table2[GameDate], "&lt;=" &amp; $A195, Table2[AwayTeam], S$1)+SUMIFS(Table2[NewPointsHome],Table2[GameDate], "&lt;=" &amp; $A195, Table2[HomeTeam], S$1)</f>
        <v>6</v>
      </c>
      <c r="T195" s="145">
        <f>SUMIFS(Table2[NewPointsAway],Table2[GameDate], "&lt;=" &amp; $A195, Table2[AwayTeam], T$1)+SUMIFS(Table2[NewPointsHome],Table2[GameDate], "&lt;=" &amp; $A195, Table2[HomeTeam], T$1)</f>
        <v>7</v>
      </c>
      <c r="U195" s="145">
        <f>SUMIFS(Table2[NewPointsAway],Table2[GameDate], "&lt;=" &amp; $A195, Table2[AwayTeam], U$1)+SUMIFS(Table2[NewPointsHome],Table2[GameDate], "&lt;=" &amp; $A195, Table2[HomeTeam], U$1)</f>
        <v>5</v>
      </c>
      <c r="V195" s="145">
        <f>SUMIFS(Table2[NewPointsAway],Table2[GameDate], "&lt;=" &amp; $A195, Table2[AwayTeam], V$1)+SUMIFS(Table2[NewPointsHome],Table2[GameDate], "&lt;=" &amp; $A195, Table2[HomeTeam], V$1)</f>
        <v>7</v>
      </c>
      <c r="W195" s="145">
        <f>SUMIFS(Table2[NewPointsAway],Table2[GameDate], "&lt;=" &amp; $A195, Table2[AwayTeam], W$1)+SUMIFS(Table2[NewPointsHome],Table2[GameDate], "&lt;=" &amp; $A195, Table2[HomeTeam], W$1)</f>
        <v>10</v>
      </c>
      <c r="X195" s="145">
        <f>SUMIFS(Table2[NewPointsAway],Table2[GameDate], "&lt;=" &amp; $A195, Table2[AwayTeam], X$1)+SUMIFS(Table2[NewPointsHome],Table2[GameDate], "&lt;=" &amp; $A195, Table2[HomeTeam], X$1)</f>
        <v>8</v>
      </c>
      <c r="Y195" s="145">
        <f>SUMIFS(Table2[NewPointsAway],Table2[GameDate], "&lt;=" &amp; $A195, Table2[AwayTeam], Y$1)+SUMIFS(Table2[NewPointsHome],Table2[GameDate], "&lt;=" &amp; $A195, Table2[HomeTeam], Y$1)</f>
        <v>2</v>
      </c>
      <c r="Z195" s="145">
        <f>SUMIFS(Table2[NewPointsAway],Table2[GameDate], "&lt;=" &amp; $A195, Table2[AwayTeam], Z$1)+SUMIFS(Table2[NewPointsHome],Table2[GameDate], "&lt;=" &amp; $A195, Table2[HomeTeam], Z$1)</f>
        <v>7</v>
      </c>
      <c r="AA195" s="145">
        <f>SUMIFS(Table2[NewPointsAway],Table2[GameDate], "&lt;=" &amp; $A195, Table2[AwayTeam], AA$1)+SUMIFS(Table2[NewPointsHome],Table2[GameDate], "&lt;=" &amp; $A195, Table2[HomeTeam], AA$1)</f>
        <v>4</v>
      </c>
      <c r="AB195" s="145">
        <f>SUMIFS(Table2[NewPointsAway],Table2[GameDate], "&lt;=" &amp; $A195, Table2[AwayTeam], AB$1)+SUMIFS(Table2[NewPointsHome],Table2[GameDate], "&lt;=" &amp; $A195, Table2[HomeTeam], AB$1)</f>
        <v>7</v>
      </c>
      <c r="AC195" s="145">
        <f>SUMIFS(Table2[NewPointsAway],Table2[GameDate], "&lt;=" &amp; $A195, Table2[AwayTeam], AC$1)+SUMIFS(Table2[NewPointsHome],Table2[GameDate], "&lt;=" &amp; $A195, Table2[HomeTeam], AC$1)</f>
        <v>10</v>
      </c>
      <c r="AD195" s="145">
        <f>SUMIFS(Table2[NewPointsAway],Table2[GameDate], "&lt;=" &amp; $A195, Table2[AwayTeam], AD$1)+SUMIFS(Table2[NewPointsHome],Table2[GameDate], "&lt;=" &amp; $A195, Table2[HomeTeam], AD$1)</f>
        <v>8</v>
      </c>
      <c r="AE195" s="145">
        <f>SUMIFS(Table2[NewPointsAway],Table2[GameDate], "&lt;=" &amp; $A195, Table2[AwayTeam], AE$1)+SUMIFS(Table2[NewPointsHome],Table2[GameDate], "&lt;=" &amp; $A195, Table2[HomeTeam], AE$1)</f>
        <v>12</v>
      </c>
      <c r="AF195" s="145">
        <f>SUMIFS(Table2[NewPointsAway],Table2[GameDate], "&lt;=" &amp; $A195, Table2[AwayTeam], AF$1)+SUMIFS(Table2[NewPointsHome],Table2[GameDate], "&lt;=" &amp; $A195, Table2[HomeTeam], AF$1)</f>
        <v>10</v>
      </c>
      <c r="AG195" s="145">
        <f>SUMIFS(Table2[NewPointsAway],Table2[GameDate], "&lt;=" &amp; $A195, Table2[AwayTeam], AG$1)+SUMIFS(Table2[NewPointsHome],Table2[GameDate], "&lt;=" &amp; $A195, Table2[HomeTeam], AG$1)</f>
        <v>10</v>
      </c>
    </row>
    <row r="196" spans="1:33" x14ac:dyDescent="0.25">
      <c r="A196" s="3">
        <v>46127</v>
      </c>
      <c r="B196" s="145">
        <f>SUMIFS(Table2[NewPointsAway],Table2[GameDate], "&lt;=" &amp; $A196, Table2[AwayTeam], B$1)+SUMIFS(Table2[NewPointsHome],Table2[GameDate], "&lt;=" &amp; $A196, Table2[HomeTeam], B$1)</f>
        <v>7</v>
      </c>
      <c r="C196" s="145">
        <f>SUMIFS(Table2[NewPointsAway],Table2[GameDate], "&lt;=" &amp; $A196, Table2[AwayTeam], C$1)+SUMIFS(Table2[NewPointsHome],Table2[GameDate], "&lt;=" &amp; $A196, Table2[HomeTeam], C$1)</f>
        <v>6</v>
      </c>
      <c r="D196" s="145">
        <f>SUMIFS(Table2[NewPointsAway],Table2[GameDate], "&lt;=" &amp; $A196, Table2[AwayTeam], D$1)+SUMIFS(Table2[NewPointsHome],Table2[GameDate], "&lt;=" &amp; $A196, Table2[HomeTeam], D$1)</f>
        <v>4</v>
      </c>
      <c r="E196" s="145">
        <f>SUMIFS(Table2[NewPointsAway],Table2[GameDate], "&lt;=" &amp; $A196, Table2[AwayTeam], E$1)+SUMIFS(Table2[NewPointsHome],Table2[GameDate], "&lt;=" &amp; $A196, Table2[HomeTeam], E$1)</f>
        <v>10</v>
      </c>
      <c r="F196" s="145">
        <f>SUMIFS(Table2[NewPointsAway],Table2[GameDate], "&lt;=" &amp; $A196, Table2[AwayTeam], F$1)+SUMIFS(Table2[NewPointsHome],Table2[GameDate], "&lt;=" &amp; $A196, Table2[HomeTeam], F$1)</f>
        <v>6</v>
      </c>
      <c r="G196" s="145">
        <f>SUMIFS(Table2[NewPointsAway],Table2[GameDate], "&lt;=" &amp; $A196, Table2[AwayTeam], G$1)+SUMIFS(Table2[NewPointsHome],Table2[GameDate], "&lt;=" &amp; $A196, Table2[HomeTeam], G$1)</f>
        <v>2</v>
      </c>
      <c r="H196" s="145">
        <f>SUMIFS(Table2[NewPointsAway],Table2[GameDate], "&lt;=" &amp; $A196, Table2[AwayTeam], H$1)+SUMIFS(Table2[NewPointsHome],Table2[GameDate], "&lt;=" &amp; $A196, Table2[HomeTeam], H$1)</f>
        <v>8</v>
      </c>
      <c r="I196" s="145">
        <f>SUMIFS(Table2[NewPointsAway],Table2[GameDate], "&lt;=" &amp; $A196, Table2[AwayTeam], I$1)+SUMIFS(Table2[NewPointsHome],Table2[GameDate], "&lt;=" &amp; $A196, Table2[HomeTeam], I$1)</f>
        <v>12</v>
      </c>
      <c r="J196" s="145">
        <f>SUMIFS(Table2[NewPointsAway],Table2[GameDate], "&lt;=" &amp; $A196, Table2[AwayTeam], J$1)+SUMIFS(Table2[NewPointsHome],Table2[GameDate], "&lt;=" &amp; $A196, Table2[HomeTeam], J$1)</f>
        <v>6</v>
      </c>
      <c r="K196" s="145">
        <f>SUMIFS(Table2[NewPointsAway],Table2[GameDate], "&lt;=" &amp; $A196, Table2[AwayTeam], K$1)+SUMIFS(Table2[NewPointsHome],Table2[GameDate], "&lt;=" &amp; $A196, Table2[HomeTeam], K$1)</f>
        <v>10</v>
      </c>
      <c r="L196" s="145">
        <f>SUMIFS(Table2[NewPointsAway],Table2[GameDate], "&lt;=" &amp; $A196, Table2[AwayTeam], L$1)+SUMIFS(Table2[NewPointsHome],Table2[GameDate], "&lt;=" &amp; $A196, Table2[HomeTeam], L$1)</f>
        <v>7</v>
      </c>
      <c r="M196" s="145">
        <f>SUMIFS(Table2[NewPointsAway],Table2[GameDate], "&lt;=" &amp; $A196, Table2[AwayTeam], M$1)+SUMIFS(Table2[NewPointsHome],Table2[GameDate], "&lt;=" &amp; $A196, Table2[HomeTeam], M$1)</f>
        <v>8</v>
      </c>
      <c r="N196" s="145">
        <f>SUMIFS(Table2[NewPointsAway],Table2[GameDate], "&lt;=" &amp; $A196, Table2[AwayTeam], N$1)+SUMIFS(Table2[NewPointsHome],Table2[GameDate], "&lt;=" &amp; $A196, Table2[HomeTeam], N$1)</f>
        <v>6</v>
      </c>
      <c r="O196" s="145">
        <f>SUMIFS(Table2[NewPointsAway],Table2[GameDate], "&lt;=" &amp; $A196, Table2[AwayTeam], O$1)+SUMIFS(Table2[NewPointsHome],Table2[GameDate], "&lt;=" &amp; $A196, Table2[HomeTeam], O$1)</f>
        <v>7</v>
      </c>
      <c r="P196" s="145">
        <f>SUMIFS(Table2[NewPointsAway],Table2[GameDate], "&lt;=" &amp; $A196, Table2[AwayTeam], P$1)+SUMIFS(Table2[NewPointsHome],Table2[GameDate], "&lt;=" &amp; $A196, Table2[HomeTeam], P$1)</f>
        <v>10</v>
      </c>
      <c r="Q196" s="145">
        <f>SUMIFS(Table2[NewPointsAway],Table2[GameDate], "&lt;=" &amp; $A196, Table2[AwayTeam], Q$1)+SUMIFS(Table2[NewPointsHome],Table2[GameDate], "&lt;=" &amp; $A196, Table2[HomeTeam], Q$1)</f>
        <v>10</v>
      </c>
      <c r="R196" s="145">
        <f>SUMIFS(Table2[NewPointsAway],Table2[GameDate], "&lt;=" &amp; $A196, Table2[AwayTeam], R$1)+SUMIFS(Table2[NewPointsHome],Table2[GameDate], "&lt;=" &amp; $A196, Table2[HomeTeam], R$1)</f>
        <v>6</v>
      </c>
      <c r="S196" s="145">
        <f>SUMIFS(Table2[NewPointsAway],Table2[GameDate], "&lt;=" &amp; $A196, Table2[AwayTeam], S$1)+SUMIFS(Table2[NewPointsHome],Table2[GameDate], "&lt;=" &amp; $A196, Table2[HomeTeam], S$1)</f>
        <v>6</v>
      </c>
      <c r="T196" s="145">
        <f>SUMIFS(Table2[NewPointsAway],Table2[GameDate], "&lt;=" &amp; $A196, Table2[AwayTeam], T$1)+SUMIFS(Table2[NewPointsHome],Table2[GameDate], "&lt;=" &amp; $A196, Table2[HomeTeam], T$1)</f>
        <v>7</v>
      </c>
      <c r="U196" s="145">
        <f>SUMIFS(Table2[NewPointsAway],Table2[GameDate], "&lt;=" &amp; $A196, Table2[AwayTeam], U$1)+SUMIFS(Table2[NewPointsHome],Table2[GameDate], "&lt;=" &amp; $A196, Table2[HomeTeam], U$1)</f>
        <v>5</v>
      </c>
      <c r="V196" s="145">
        <f>SUMIFS(Table2[NewPointsAway],Table2[GameDate], "&lt;=" &amp; $A196, Table2[AwayTeam], V$1)+SUMIFS(Table2[NewPointsHome],Table2[GameDate], "&lt;=" &amp; $A196, Table2[HomeTeam], V$1)</f>
        <v>7</v>
      </c>
      <c r="W196" s="145">
        <f>SUMIFS(Table2[NewPointsAway],Table2[GameDate], "&lt;=" &amp; $A196, Table2[AwayTeam], W$1)+SUMIFS(Table2[NewPointsHome],Table2[GameDate], "&lt;=" &amp; $A196, Table2[HomeTeam], W$1)</f>
        <v>10</v>
      </c>
      <c r="X196" s="145">
        <f>SUMIFS(Table2[NewPointsAway],Table2[GameDate], "&lt;=" &amp; $A196, Table2[AwayTeam], X$1)+SUMIFS(Table2[NewPointsHome],Table2[GameDate], "&lt;=" &amp; $A196, Table2[HomeTeam], X$1)</f>
        <v>8</v>
      </c>
      <c r="Y196" s="145">
        <f>SUMIFS(Table2[NewPointsAway],Table2[GameDate], "&lt;=" &amp; $A196, Table2[AwayTeam], Y$1)+SUMIFS(Table2[NewPointsHome],Table2[GameDate], "&lt;=" &amp; $A196, Table2[HomeTeam], Y$1)</f>
        <v>2</v>
      </c>
      <c r="Z196" s="145">
        <f>SUMIFS(Table2[NewPointsAway],Table2[GameDate], "&lt;=" &amp; $A196, Table2[AwayTeam], Z$1)+SUMIFS(Table2[NewPointsHome],Table2[GameDate], "&lt;=" &amp; $A196, Table2[HomeTeam], Z$1)</f>
        <v>7</v>
      </c>
      <c r="AA196" s="145">
        <f>SUMIFS(Table2[NewPointsAway],Table2[GameDate], "&lt;=" &amp; $A196, Table2[AwayTeam], AA$1)+SUMIFS(Table2[NewPointsHome],Table2[GameDate], "&lt;=" &amp; $A196, Table2[HomeTeam], AA$1)</f>
        <v>4</v>
      </c>
      <c r="AB196" s="145">
        <f>SUMIFS(Table2[NewPointsAway],Table2[GameDate], "&lt;=" &amp; $A196, Table2[AwayTeam], AB$1)+SUMIFS(Table2[NewPointsHome],Table2[GameDate], "&lt;=" &amp; $A196, Table2[HomeTeam], AB$1)</f>
        <v>7</v>
      </c>
      <c r="AC196" s="145">
        <f>SUMIFS(Table2[NewPointsAway],Table2[GameDate], "&lt;=" &amp; $A196, Table2[AwayTeam], AC$1)+SUMIFS(Table2[NewPointsHome],Table2[GameDate], "&lt;=" &amp; $A196, Table2[HomeTeam], AC$1)</f>
        <v>10</v>
      </c>
      <c r="AD196" s="145">
        <f>SUMIFS(Table2[NewPointsAway],Table2[GameDate], "&lt;=" &amp; $A196, Table2[AwayTeam], AD$1)+SUMIFS(Table2[NewPointsHome],Table2[GameDate], "&lt;=" &amp; $A196, Table2[HomeTeam], AD$1)</f>
        <v>8</v>
      </c>
      <c r="AE196" s="145">
        <f>SUMIFS(Table2[NewPointsAway],Table2[GameDate], "&lt;=" &amp; $A196, Table2[AwayTeam], AE$1)+SUMIFS(Table2[NewPointsHome],Table2[GameDate], "&lt;=" &amp; $A196, Table2[HomeTeam], AE$1)</f>
        <v>12</v>
      </c>
      <c r="AF196" s="145">
        <f>SUMIFS(Table2[NewPointsAway],Table2[GameDate], "&lt;=" &amp; $A196, Table2[AwayTeam], AF$1)+SUMIFS(Table2[NewPointsHome],Table2[GameDate], "&lt;=" &amp; $A196, Table2[HomeTeam], AF$1)</f>
        <v>10</v>
      </c>
      <c r="AG196" s="145">
        <f>SUMIFS(Table2[NewPointsAway],Table2[GameDate], "&lt;=" &amp; $A196, Table2[AwayTeam], AG$1)+SUMIFS(Table2[NewPointsHome],Table2[GameDate], "&lt;=" &amp; $A196, Table2[HomeTeam], AG$1)</f>
        <v>10</v>
      </c>
    </row>
    <row r="197" spans="1:33" x14ac:dyDescent="0.25">
      <c r="A197" s="3">
        <v>46128</v>
      </c>
      <c r="B197" s="145">
        <f>SUMIFS(Table2[NewPointsAway],Table2[GameDate], "&lt;=" &amp; $A197, Table2[AwayTeam], B$1)+SUMIFS(Table2[NewPointsHome],Table2[GameDate], "&lt;=" &amp; $A197, Table2[HomeTeam], B$1)</f>
        <v>7</v>
      </c>
      <c r="C197" s="145">
        <f>SUMIFS(Table2[NewPointsAway],Table2[GameDate], "&lt;=" &amp; $A197, Table2[AwayTeam], C$1)+SUMIFS(Table2[NewPointsHome],Table2[GameDate], "&lt;=" &amp; $A197, Table2[HomeTeam], C$1)</f>
        <v>6</v>
      </c>
      <c r="D197" s="145">
        <f>SUMIFS(Table2[NewPointsAway],Table2[GameDate], "&lt;=" &amp; $A197, Table2[AwayTeam], D$1)+SUMIFS(Table2[NewPointsHome],Table2[GameDate], "&lt;=" &amp; $A197, Table2[HomeTeam], D$1)</f>
        <v>4</v>
      </c>
      <c r="E197" s="145">
        <f>SUMIFS(Table2[NewPointsAway],Table2[GameDate], "&lt;=" &amp; $A197, Table2[AwayTeam], E$1)+SUMIFS(Table2[NewPointsHome],Table2[GameDate], "&lt;=" &amp; $A197, Table2[HomeTeam], E$1)</f>
        <v>10</v>
      </c>
      <c r="F197" s="145">
        <f>SUMIFS(Table2[NewPointsAway],Table2[GameDate], "&lt;=" &amp; $A197, Table2[AwayTeam], F$1)+SUMIFS(Table2[NewPointsHome],Table2[GameDate], "&lt;=" &amp; $A197, Table2[HomeTeam], F$1)</f>
        <v>6</v>
      </c>
      <c r="G197" s="145">
        <f>SUMIFS(Table2[NewPointsAway],Table2[GameDate], "&lt;=" &amp; $A197, Table2[AwayTeam], G$1)+SUMIFS(Table2[NewPointsHome],Table2[GameDate], "&lt;=" &amp; $A197, Table2[HomeTeam], G$1)</f>
        <v>2</v>
      </c>
      <c r="H197" s="145">
        <f>SUMIFS(Table2[NewPointsAway],Table2[GameDate], "&lt;=" &amp; $A197, Table2[AwayTeam], H$1)+SUMIFS(Table2[NewPointsHome],Table2[GameDate], "&lt;=" &amp; $A197, Table2[HomeTeam], H$1)</f>
        <v>8</v>
      </c>
      <c r="I197" s="145">
        <f>SUMIFS(Table2[NewPointsAway],Table2[GameDate], "&lt;=" &amp; $A197, Table2[AwayTeam], I$1)+SUMIFS(Table2[NewPointsHome],Table2[GameDate], "&lt;=" &amp; $A197, Table2[HomeTeam], I$1)</f>
        <v>12</v>
      </c>
      <c r="J197" s="145">
        <f>SUMIFS(Table2[NewPointsAway],Table2[GameDate], "&lt;=" &amp; $A197, Table2[AwayTeam], J$1)+SUMIFS(Table2[NewPointsHome],Table2[GameDate], "&lt;=" &amp; $A197, Table2[HomeTeam], J$1)</f>
        <v>6</v>
      </c>
      <c r="K197" s="145">
        <f>SUMIFS(Table2[NewPointsAway],Table2[GameDate], "&lt;=" &amp; $A197, Table2[AwayTeam], K$1)+SUMIFS(Table2[NewPointsHome],Table2[GameDate], "&lt;=" &amp; $A197, Table2[HomeTeam], K$1)</f>
        <v>10</v>
      </c>
      <c r="L197" s="145">
        <f>SUMIFS(Table2[NewPointsAway],Table2[GameDate], "&lt;=" &amp; $A197, Table2[AwayTeam], L$1)+SUMIFS(Table2[NewPointsHome],Table2[GameDate], "&lt;=" &amp; $A197, Table2[HomeTeam], L$1)</f>
        <v>7</v>
      </c>
      <c r="M197" s="145">
        <f>SUMIFS(Table2[NewPointsAway],Table2[GameDate], "&lt;=" &amp; $A197, Table2[AwayTeam], M$1)+SUMIFS(Table2[NewPointsHome],Table2[GameDate], "&lt;=" &amp; $A197, Table2[HomeTeam], M$1)</f>
        <v>8</v>
      </c>
      <c r="N197" s="145">
        <f>SUMIFS(Table2[NewPointsAway],Table2[GameDate], "&lt;=" &amp; $A197, Table2[AwayTeam], N$1)+SUMIFS(Table2[NewPointsHome],Table2[GameDate], "&lt;=" &amp; $A197, Table2[HomeTeam], N$1)</f>
        <v>6</v>
      </c>
      <c r="O197" s="145">
        <f>SUMIFS(Table2[NewPointsAway],Table2[GameDate], "&lt;=" &amp; $A197, Table2[AwayTeam], O$1)+SUMIFS(Table2[NewPointsHome],Table2[GameDate], "&lt;=" &amp; $A197, Table2[HomeTeam], O$1)</f>
        <v>7</v>
      </c>
      <c r="P197" s="145">
        <f>SUMIFS(Table2[NewPointsAway],Table2[GameDate], "&lt;=" &amp; $A197, Table2[AwayTeam], P$1)+SUMIFS(Table2[NewPointsHome],Table2[GameDate], "&lt;=" &amp; $A197, Table2[HomeTeam], P$1)</f>
        <v>10</v>
      </c>
      <c r="Q197" s="145">
        <f>SUMIFS(Table2[NewPointsAway],Table2[GameDate], "&lt;=" &amp; $A197, Table2[AwayTeam], Q$1)+SUMIFS(Table2[NewPointsHome],Table2[GameDate], "&lt;=" &amp; $A197, Table2[HomeTeam], Q$1)</f>
        <v>10</v>
      </c>
      <c r="R197" s="145">
        <f>SUMIFS(Table2[NewPointsAway],Table2[GameDate], "&lt;=" &amp; $A197, Table2[AwayTeam], R$1)+SUMIFS(Table2[NewPointsHome],Table2[GameDate], "&lt;=" &amp; $A197, Table2[HomeTeam], R$1)</f>
        <v>6</v>
      </c>
      <c r="S197" s="145">
        <f>SUMIFS(Table2[NewPointsAway],Table2[GameDate], "&lt;=" &amp; $A197, Table2[AwayTeam], S$1)+SUMIFS(Table2[NewPointsHome],Table2[GameDate], "&lt;=" &amp; $A197, Table2[HomeTeam], S$1)</f>
        <v>6</v>
      </c>
      <c r="T197" s="145">
        <f>SUMIFS(Table2[NewPointsAway],Table2[GameDate], "&lt;=" &amp; $A197, Table2[AwayTeam], T$1)+SUMIFS(Table2[NewPointsHome],Table2[GameDate], "&lt;=" &amp; $A197, Table2[HomeTeam], T$1)</f>
        <v>7</v>
      </c>
      <c r="U197" s="145">
        <f>SUMIFS(Table2[NewPointsAway],Table2[GameDate], "&lt;=" &amp; $A197, Table2[AwayTeam], U$1)+SUMIFS(Table2[NewPointsHome],Table2[GameDate], "&lt;=" &amp; $A197, Table2[HomeTeam], U$1)</f>
        <v>5</v>
      </c>
      <c r="V197" s="145">
        <f>SUMIFS(Table2[NewPointsAway],Table2[GameDate], "&lt;=" &amp; $A197, Table2[AwayTeam], V$1)+SUMIFS(Table2[NewPointsHome],Table2[GameDate], "&lt;=" &amp; $A197, Table2[HomeTeam], V$1)</f>
        <v>7</v>
      </c>
      <c r="W197" s="145">
        <f>SUMIFS(Table2[NewPointsAway],Table2[GameDate], "&lt;=" &amp; $A197, Table2[AwayTeam], W$1)+SUMIFS(Table2[NewPointsHome],Table2[GameDate], "&lt;=" &amp; $A197, Table2[HomeTeam], W$1)</f>
        <v>10</v>
      </c>
      <c r="X197" s="145">
        <f>SUMIFS(Table2[NewPointsAway],Table2[GameDate], "&lt;=" &amp; $A197, Table2[AwayTeam], X$1)+SUMIFS(Table2[NewPointsHome],Table2[GameDate], "&lt;=" &amp; $A197, Table2[HomeTeam], X$1)</f>
        <v>8</v>
      </c>
      <c r="Y197" s="145">
        <f>SUMIFS(Table2[NewPointsAway],Table2[GameDate], "&lt;=" &amp; $A197, Table2[AwayTeam], Y$1)+SUMIFS(Table2[NewPointsHome],Table2[GameDate], "&lt;=" &amp; $A197, Table2[HomeTeam], Y$1)</f>
        <v>2</v>
      </c>
      <c r="Z197" s="145">
        <f>SUMIFS(Table2[NewPointsAway],Table2[GameDate], "&lt;=" &amp; $A197, Table2[AwayTeam], Z$1)+SUMIFS(Table2[NewPointsHome],Table2[GameDate], "&lt;=" &amp; $A197, Table2[HomeTeam], Z$1)</f>
        <v>7</v>
      </c>
      <c r="AA197" s="145">
        <f>SUMIFS(Table2[NewPointsAway],Table2[GameDate], "&lt;=" &amp; $A197, Table2[AwayTeam], AA$1)+SUMIFS(Table2[NewPointsHome],Table2[GameDate], "&lt;=" &amp; $A197, Table2[HomeTeam], AA$1)</f>
        <v>4</v>
      </c>
      <c r="AB197" s="145">
        <f>SUMIFS(Table2[NewPointsAway],Table2[GameDate], "&lt;=" &amp; $A197, Table2[AwayTeam], AB$1)+SUMIFS(Table2[NewPointsHome],Table2[GameDate], "&lt;=" &amp; $A197, Table2[HomeTeam], AB$1)</f>
        <v>7</v>
      </c>
      <c r="AC197" s="145">
        <f>SUMIFS(Table2[NewPointsAway],Table2[GameDate], "&lt;=" &amp; $A197, Table2[AwayTeam], AC$1)+SUMIFS(Table2[NewPointsHome],Table2[GameDate], "&lt;=" &amp; $A197, Table2[HomeTeam], AC$1)</f>
        <v>10</v>
      </c>
      <c r="AD197" s="145">
        <f>SUMIFS(Table2[NewPointsAway],Table2[GameDate], "&lt;=" &amp; $A197, Table2[AwayTeam], AD$1)+SUMIFS(Table2[NewPointsHome],Table2[GameDate], "&lt;=" &amp; $A197, Table2[HomeTeam], AD$1)</f>
        <v>8</v>
      </c>
      <c r="AE197" s="145">
        <f>SUMIFS(Table2[NewPointsAway],Table2[GameDate], "&lt;=" &amp; $A197, Table2[AwayTeam], AE$1)+SUMIFS(Table2[NewPointsHome],Table2[GameDate], "&lt;=" &amp; $A197, Table2[HomeTeam], AE$1)</f>
        <v>12</v>
      </c>
      <c r="AF197" s="145">
        <f>SUMIFS(Table2[NewPointsAway],Table2[GameDate], "&lt;=" &amp; $A197, Table2[AwayTeam], AF$1)+SUMIFS(Table2[NewPointsHome],Table2[GameDate], "&lt;=" &amp; $A197, Table2[HomeTeam], AF$1)</f>
        <v>10</v>
      </c>
      <c r="AG197" s="145">
        <f>SUMIFS(Table2[NewPointsAway],Table2[GameDate], "&lt;=" &amp; $A197, Table2[AwayTeam], AG$1)+SUMIFS(Table2[NewPointsHome],Table2[GameDate], "&lt;=" &amp; $A197, Table2[HomeTeam], AG$1)</f>
        <v>10</v>
      </c>
    </row>
    <row r="198" spans="1:33" x14ac:dyDescent="0.25">
      <c r="A198" s="3">
        <v>46129</v>
      </c>
      <c r="B198" s="145">
        <f>SUMIFS(Table2[NewPointsAway],Table2[GameDate], "&lt;=" &amp; $A198, Table2[AwayTeam], B$1)+SUMIFS(Table2[NewPointsHome],Table2[GameDate], "&lt;=" &amp; $A198, Table2[HomeTeam], B$1)</f>
        <v>7</v>
      </c>
      <c r="C198" s="145">
        <f>SUMIFS(Table2[NewPointsAway],Table2[GameDate], "&lt;=" &amp; $A198, Table2[AwayTeam], C$1)+SUMIFS(Table2[NewPointsHome],Table2[GameDate], "&lt;=" &amp; $A198, Table2[HomeTeam], C$1)</f>
        <v>6</v>
      </c>
      <c r="D198" s="145">
        <f>SUMIFS(Table2[NewPointsAway],Table2[GameDate], "&lt;=" &amp; $A198, Table2[AwayTeam], D$1)+SUMIFS(Table2[NewPointsHome],Table2[GameDate], "&lt;=" &amp; $A198, Table2[HomeTeam], D$1)</f>
        <v>4</v>
      </c>
      <c r="E198" s="145">
        <f>SUMIFS(Table2[NewPointsAway],Table2[GameDate], "&lt;=" &amp; $A198, Table2[AwayTeam], E$1)+SUMIFS(Table2[NewPointsHome],Table2[GameDate], "&lt;=" &amp; $A198, Table2[HomeTeam], E$1)</f>
        <v>10</v>
      </c>
      <c r="F198" s="145">
        <f>SUMIFS(Table2[NewPointsAway],Table2[GameDate], "&lt;=" &amp; $A198, Table2[AwayTeam], F$1)+SUMIFS(Table2[NewPointsHome],Table2[GameDate], "&lt;=" &amp; $A198, Table2[HomeTeam], F$1)</f>
        <v>6</v>
      </c>
      <c r="G198" s="145">
        <f>SUMIFS(Table2[NewPointsAway],Table2[GameDate], "&lt;=" &amp; $A198, Table2[AwayTeam], G$1)+SUMIFS(Table2[NewPointsHome],Table2[GameDate], "&lt;=" &amp; $A198, Table2[HomeTeam], G$1)</f>
        <v>2</v>
      </c>
      <c r="H198" s="145">
        <f>SUMIFS(Table2[NewPointsAway],Table2[GameDate], "&lt;=" &amp; $A198, Table2[AwayTeam], H$1)+SUMIFS(Table2[NewPointsHome],Table2[GameDate], "&lt;=" &amp; $A198, Table2[HomeTeam], H$1)</f>
        <v>8</v>
      </c>
      <c r="I198" s="145">
        <f>SUMIFS(Table2[NewPointsAway],Table2[GameDate], "&lt;=" &amp; $A198, Table2[AwayTeam], I$1)+SUMIFS(Table2[NewPointsHome],Table2[GameDate], "&lt;=" &amp; $A198, Table2[HomeTeam], I$1)</f>
        <v>12</v>
      </c>
      <c r="J198" s="145">
        <f>SUMIFS(Table2[NewPointsAway],Table2[GameDate], "&lt;=" &amp; $A198, Table2[AwayTeam], J$1)+SUMIFS(Table2[NewPointsHome],Table2[GameDate], "&lt;=" &amp; $A198, Table2[HomeTeam], J$1)</f>
        <v>6</v>
      </c>
      <c r="K198" s="145">
        <f>SUMIFS(Table2[NewPointsAway],Table2[GameDate], "&lt;=" &amp; $A198, Table2[AwayTeam], K$1)+SUMIFS(Table2[NewPointsHome],Table2[GameDate], "&lt;=" &amp; $A198, Table2[HomeTeam], K$1)</f>
        <v>10</v>
      </c>
      <c r="L198" s="145">
        <f>SUMIFS(Table2[NewPointsAway],Table2[GameDate], "&lt;=" &amp; $A198, Table2[AwayTeam], L$1)+SUMIFS(Table2[NewPointsHome],Table2[GameDate], "&lt;=" &amp; $A198, Table2[HomeTeam], L$1)</f>
        <v>7</v>
      </c>
      <c r="M198" s="145">
        <f>SUMIFS(Table2[NewPointsAway],Table2[GameDate], "&lt;=" &amp; $A198, Table2[AwayTeam], M$1)+SUMIFS(Table2[NewPointsHome],Table2[GameDate], "&lt;=" &amp; $A198, Table2[HomeTeam], M$1)</f>
        <v>8</v>
      </c>
      <c r="N198" s="145">
        <f>SUMIFS(Table2[NewPointsAway],Table2[GameDate], "&lt;=" &amp; $A198, Table2[AwayTeam], N$1)+SUMIFS(Table2[NewPointsHome],Table2[GameDate], "&lt;=" &amp; $A198, Table2[HomeTeam], N$1)</f>
        <v>6</v>
      </c>
      <c r="O198" s="145">
        <f>SUMIFS(Table2[NewPointsAway],Table2[GameDate], "&lt;=" &amp; $A198, Table2[AwayTeam], O$1)+SUMIFS(Table2[NewPointsHome],Table2[GameDate], "&lt;=" &amp; $A198, Table2[HomeTeam], O$1)</f>
        <v>7</v>
      </c>
      <c r="P198" s="145">
        <f>SUMIFS(Table2[NewPointsAway],Table2[GameDate], "&lt;=" &amp; $A198, Table2[AwayTeam], P$1)+SUMIFS(Table2[NewPointsHome],Table2[GameDate], "&lt;=" &amp; $A198, Table2[HomeTeam], P$1)</f>
        <v>10</v>
      </c>
      <c r="Q198" s="145">
        <f>SUMIFS(Table2[NewPointsAway],Table2[GameDate], "&lt;=" &amp; $A198, Table2[AwayTeam], Q$1)+SUMIFS(Table2[NewPointsHome],Table2[GameDate], "&lt;=" &amp; $A198, Table2[HomeTeam], Q$1)</f>
        <v>10</v>
      </c>
      <c r="R198" s="145">
        <f>SUMIFS(Table2[NewPointsAway],Table2[GameDate], "&lt;=" &amp; $A198, Table2[AwayTeam], R$1)+SUMIFS(Table2[NewPointsHome],Table2[GameDate], "&lt;=" &amp; $A198, Table2[HomeTeam], R$1)</f>
        <v>6</v>
      </c>
      <c r="S198" s="145">
        <f>SUMIFS(Table2[NewPointsAway],Table2[GameDate], "&lt;=" &amp; $A198, Table2[AwayTeam], S$1)+SUMIFS(Table2[NewPointsHome],Table2[GameDate], "&lt;=" &amp; $A198, Table2[HomeTeam], S$1)</f>
        <v>6</v>
      </c>
      <c r="T198" s="145">
        <f>SUMIFS(Table2[NewPointsAway],Table2[GameDate], "&lt;=" &amp; $A198, Table2[AwayTeam], T$1)+SUMIFS(Table2[NewPointsHome],Table2[GameDate], "&lt;=" &amp; $A198, Table2[HomeTeam], T$1)</f>
        <v>7</v>
      </c>
      <c r="U198" s="145">
        <f>SUMIFS(Table2[NewPointsAway],Table2[GameDate], "&lt;=" &amp; $A198, Table2[AwayTeam], U$1)+SUMIFS(Table2[NewPointsHome],Table2[GameDate], "&lt;=" &amp; $A198, Table2[HomeTeam], U$1)</f>
        <v>5</v>
      </c>
      <c r="V198" s="145">
        <f>SUMIFS(Table2[NewPointsAway],Table2[GameDate], "&lt;=" &amp; $A198, Table2[AwayTeam], V$1)+SUMIFS(Table2[NewPointsHome],Table2[GameDate], "&lt;=" &amp; $A198, Table2[HomeTeam], V$1)</f>
        <v>7</v>
      </c>
      <c r="W198" s="145">
        <f>SUMIFS(Table2[NewPointsAway],Table2[GameDate], "&lt;=" &amp; $A198, Table2[AwayTeam], W$1)+SUMIFS(Table2[NewPointsHome],Table2[GameDate], "&lt;=" &amp; $A198, Table2[HomeTeam], W$1)</f>
        <v>10</v>
      </c>
      <c r="X198" s="145">
        <f>SUMIFS(Table2[NewPointsAway],Table2[GameDate], "&lt;=" &amp; $A198, Table2[AwayTeam], X$1)+SUMIFS(Table2[NewPointsHome],Table2[GameDate], "&lt;=" &amp; $A198, Table2[HomeTeam], X$1)</f>
        <v>8</v>
      </c>
      <c r="Y198" s="145">
        <f>SUMIFS(Table2[NewPointsAway],Table2[GameDate], "&lt;=" &amp; $A198, Table2[AwayTeam], Y$1)+SUMIFS(Table2[NewPointsHome],Table2[GameDate], "&lt;=" &amp; $A198, Table2[HomeTeam], Y$1)</f>
        <v>2</v>
      </c>
      <c r="Z198" s="145">
        <f>SUMIFS(Table2[NewPointsAway],Table2[GameDate], "&lt;=" &amp; $A198, Table2[AwayTeam], Z$1)+SUMIFS(Table2[NewPointsHome],Table2[GameDate], "&lt;=" &amp; $A198, Table2[HomeTeam], Z$1)</f>
        <v>7</v>
      </c>
      <c r="AA198" s="145">
        <f>SUMIFS(Table2[NewPointsAway],Table2[GameDate], "&lt;=" &amp; $A198, Table2[AwayTeam], AA$1)+SUMIFS(Table2[NewPointsHome],Table2[GameDate], "&lt;=" &amp; $A198, Table2[HomeTeam], AA$1)</f>
        <v>4</v>
      </c>
      <c r="AB198" s="145">
        <f>SUMIFS(Table2[NewPointsAway],Table2[GameDate], "&lt;=" &amp; $A198, Table2[AwayTeam], AB$1)+SUMIFS(Table2[NewPointsHome],Table2[GameDate], "&lt;=" &amp; $A198, Table2[HomeTeam], AB$1)</f>
        <v>7</v>
      </c>
      <c r="AC198" s="145">
        <f>SUMIFS(Table2[NewPointsAway],Table2[GameDate], "&lt;=" &amp; $A198, Table2[AwayTeam], AC$1)+SUMIFS(Table2[NewPointsHome],Table2[GameDate], "&lt;=" &amp; $A198, Table2[HomeTeam], AC$1)</f>
        <v>10</v>
      </c>
      <c r="AD198" s="145">
        <f>SUMIFS(Table2[NewPointsAway],Table2[GameDate], "&lt;=" &amp; $A198, Table2[AwayTeam], AD$1)+SUMIFS(Table2[NewPointsHome],Table2[GameDate], "&lt;=" &amp; $A198, Table2[HomeTeam], AD$1)</f>
        <v>8</v>
      </c>
      <c r="AE198" s="145">
        <f>SUMIFS(Table2[NewPointsAway],Table2[GameDate], "&lt;=" &amp; $A198, Table2[AwayTeam], AE$1)+SUMIFS(Table2[NewPointsHome],Table2[GameDate], "&lt;=" &amp; $A198, Table2[HomeTeam], AE$1)</f>
        <v>12</v>
      </c>
      <c r="AF198" s="145">
        <f>SUMIFS(Table2[NewPointsAway],Table2[GameDate], "&lt;=" &amp; $A198, Table2[AwayTeam], AF$1)+SUMIFS(Table2[NewPointsHome],Table2[GameDate], "&lt;=" &amp; $A198, Table2[HomeTeam], AF$1)</f>
        <v>10</v>
      </c>
      <c r="AG198" s="145">
        <f>SUMIFS(Table2[NewPointsAway],Table2[GameDate], "&lt;=" &amp; $A198, Table2[AwayTeam], AG$1)+SUMIFS(Table2[NewPointsHome],Table2[GameDate], "&lt;=" &amp; $A198, Table2[HomeTeam], AG$1)</f>
        <v>10</v>
      </c>
    </row>
    <row r="199" spans="1:33" x14ac:dyDescent="0.25">
      <c r="A199" s="3">
        <v>46130</v>
      </c>
      <c r="B199" s="145">
        <f>SUMIFS(Table2[NewPointsAway],Table2[GameDate], "&lt;=" &amp; $A199, Table2[AwayTeam], B$1)+SUMIFS(Table2[NewPointsHome],Table2[GameDate], "&lt;=" &amp; $A199, Table2[HomeTeam], B$1)</f>
        <v>7</v>
      </c>
      <c r="C199" s="145">
        <f>SUMIFS(Table2[NewPointsAway],Table2[GameDate], "&lt;=" &amp; $A199, Table2[AwayTeam], C$1)+SUMIFS(Table2[NewPointsHome],Table2[GameDate], "&lt;=" &amp; $A199, Table2[HomeTeam], C$1)</f>
        <v>6</v>
      </c>
      <c r="D199" s="145">
        <f>SUMIFS(Table2[NewPointsAway],Table2[GameDate], "&lt;=" &amp; $A199, Table2[AwayTeam], D$1)+SUMIFS(Table2[NewPointsHome],Table2[GameDate], "&lt;=" &amp; $A199, Table2[HomeTeam], D$1)</f>
        <v>4</v>
      </c>
      <c r="E199" s="145">
        <f>SUMIFS(Table2[NewPointsAway],Table2[GameDate], "&lt;=" &amp; $A199, Table2[AwayTeam], E$1)+SUMIFS(Table2[NewPointsHome],Table2[GameDate], "&lt;=" &amp; $A199, Table2[HomeTeam], E$1)</f>
        <v>10</v>
      </c>
      <c r="F199" s="145">
        <f>SUMIFS(Table2[NewPointsAway],Table2[GameDate], "&lt;=" &amp; $A199, Table2[AwayTeam], F$1)+SUMIFS(Table2[NewPointsHome],Table2[GameDate], "&lt;=" &amp; $A199, Table2[HomeTeam], F$1)</f>
        <v>6</v>
      </c>
      <c r="G199" s="145">
        <f>SUMIFS(Table2[NewPointsAway],Table2[GameDate], "&lt;=" &amp; $A199, Table2[AwayTeam], G$1)+SUMIFS(Table2[NewPointsHome],Table2[GameDate], "&lt;=" &amp; $A199, Table2[HomeTeam], G$1)</f>
        <v>2</v>
      </c>
      <c r="H199" s="145">
        <f>SUMIFS(Table2[NewPointsAway],Table2[GameDate], "&lt;=" &amp; $A199, Table2[AwayTeam], H$1)+SUMIFS(Table2[NewPointsHome],Table2[GameDate], "&lt;=" &amp; $A199, Table2[HomeTeam], H$1)</f>
        <v>8</v>
      </c>
      <c r="I199" s="145">
        <f>SUMIFS(Table2[NewPointsAway],Table2[GameDate], "&lt;=" &amp; $A199, Table2[AwayTeam], I$1)+SUMIFS(Table2[NewPointsHome],Table2[GameDate], "&lt;=" &amp; $A199, Table2[HomeTeam], I$1)</f>
        <v>12</v>
      </c>
      <c r="J199" s="145">
        <f>SUMIFS(Table2[NewPointsAway],Table2[GameDate], "&lt;=" &amp; $A199, Table2[AwayTeam], J$1)+SUMIFS(Table2[NewPointsHome],Table2[GameDate], "&lt;=" &amp; $A199, Table2[HomeTeam], J$1)</f>
        <v>6</v>
      </c>
      <c r="K199" s="145">
        <f>SUMIFS(Table2[NewPointsAway],Table2[GameDate], "&lt;=" &amp; $A199, Table2[AwayTeam], K$1)+SUMIFS(Table2[NewPointsHome],Table2[GameDate], "&lt;=" &amp; $A199, Table2[HomeTeam], K$1)</f>
        <v>10</v>
      </c>
      <c r="L199" s="145">
        <f>SUMIFS(Table2[NewPointsAway],Table2[GameDate], "&lt;=" &amp; $A199, Table2[AwayTeam], L$1)+SUMIFS(Table2[NewPointsHome],Table2[GameDate], "&lt;=" &amp; $A199, Table2[HomeTeam], L$1)</f>
        <v>7</v>
      </c>
      <c r="M199" s="145">
        <f>SUMIFS(Table2[NewPointsAway],Table2[GameDate], "&lt;=" &amp; $A199, Table2[AwayTeam], M$1)+SUMIFS(Table2[NewPointsHome],Table2[GameDate], "&lt;=" &amp; $A199, Table2[HomeTeam], M$1)</f>
        <v>8</v>
      </c>
      <c r="N199" s="145">
        <f>SUMIFS(Table2[NewPointsAway],Table2[GameDate], "&lt;=" &amp; $A199, Table2[AwayTeam], N$1)+SUMIFS(Table2[NewPointsHome],Table2[GameDate], "&lt;=" &amp; $A199, Table2[HomeTeam], N$1)</f>
        <v>6</v>
      </c>
      <c r="O199" s="145">
        <f>SUMIFS(Table2[NewPointsAway],Table2[GameDate], "&lt;=" &amp; $A199, Table2[AwayTeam], O$1)+SUMIFS(Table2[NewPointsHome],Table2[GameDate], "&lt;=" &amp; $A199, Table2[HomeTeam], O$1)</f>
        <v>7</v>
      </c>
      <c r="P199" s="145">
        <f>SUMIFS(Table2[NewPointsAway],Table2[GameDate], "&lt;=" &amp; $A199, Table2[AwayTeam], P$1)+SUMIFS(Table2[NewPointsHome],Table2[GameDate], "&lt;=" &amp; $A199, Table2[HomeTeam], P$1)</f>
        <v>10</v>
      </c>
      <c r="Q199" s="145">
        <f>SUMIFS(Table2[NewPointsAway],Table2[GameDate], "&lt;=" &amp; $A199, Table2[AwayTeam], Q$1)+SUMIFS(Table2[NewPointsHome],Table2[GameDate], "&lt;=" &amp; $A199, Table2[HomeTeam], Q$1)</f>
        <v>10</v>
      </c>
      <c r="R199" s="145">
        <f>SUMIFS(Table2[NewPointsAway],Table2[GameDate], "&lt;=" &amp; $A199, Table2[AwayTeam], R$1)+SUMIFS(Table2[NewPointsHome],Table2[GameDate], "&lt;=" &amp; $A199, Table2[HomeTeam], R$1)</f>
        <v>6</v>
      </c>
      <c r="S199" s="145">
        <f>SUMIFS(Table2[NewPointsAway],Table2[GameDate], "&lt;=" &amp; $A199, Table2[AwayTeam], S$1)+SUMIFS(Table2[NewPointsHome],Table2[GameDate], "&lt;=" &amp; $A199, Table2[HomeTeam], S$1)</f>
        <v>6</v>
      </c>
      <c r="T199" s="145">
        <f>SUMIFS(Table2[NewPointsAway],Table2[GameDate], "&lt;=" &amp; $A199, Table2[AwayTeam], T$1)+SUMIFS(Table2[NewPointsHome],Table2[GameDate], "&lt;=" &amp; $A199, Table2[HomeTeam], T$1)</f>
        <v>7</v>
      </c>
      <c r="U199" s="145">
        <f>SUMIFS(Table2[NewPointsAway],Table2[GameDate], "&lt;=" &amp; $A199, Table2[AwayTeam], U$1)+SUMIFS(Table2[NewPointsHome],Table2[GameDate], "&lt;=" &amp; $A199, Table2[HomeTeam], U$1)</f>
        <v>5</v>
      </c>
      <c r="V199" s="145">
        <f>SUMIFS(Table2[NewPointsAway],Table2[GameDate], "&lt;=" &amp; $A199, Table2[AwayTeam], V$1)+SUMIFS(Table2[NewPointsHome],Table2[GameDate], "&lt;=" &amp; $A199, Table2[HomeTeam], V$1)</f>
        <v>7</v>
      </c>
      <c r="W199" s="145">
        <f>SUMIFS(Table2[NewPointsAway],Table2[GameDate], "&lt;=" &amp; $A199, Table2[AwayTeam], W$1)+SUMIFS(Table2[NewPointsHome],Table2[GameDate], "&lt;=" &amp; $A199, Table2[HomeTeam], W$1)</f>
        <v>10</v>
      </c>
      <c r="X199" s="145">
        <f>SUMIFS(Table2[NewPointsAway],Table2[GameDate], "&lt;=" &amp; $A199, Table2[AwayTeam], X$1)+SUMIFS(Table2[NewPointsHome],Table2[GameDate], "&lt;=" &amp; $A199, Table2[HomeTeam], X$1)</f>
        <v>8</v>
      </c>
      <c r="Y199" s="145">
        <f>SUMIFS(Table2[NewPointsAway],Table2[GameDate], "&lt;=" &amp; $A199, Table2[AwayTeam], Y$1)+SUMIFS(Table2[NewPointsHome],Table2[GameDate], "&lt;=" &amp; $A199, Table2[HomeTeam], Y$1)</f>
        <v>2</v>
      </c>
      <c r="Z199" s="145">
        <f>SUMIFS(Table2[NewPointsAway],Table2[GameDate], "&lt;=" &amp; $A199, Table2[AwayTeam], Z$1)+SUMIFS(Table2[NewPointsHome],Table2[GameDate], "&lt;=" &amp; $A199, Table2[HomeTeam], Z$1)</f>
        <v>7</v>
      </c>
      <c r="AA199" s="145">
        <f>SUMIFS(Table2[NewPointsAway],Table2[GameDate], "&lt;=" &amp; $A199, Table2[AwayTeam], AA$1)+SUMIFS(Table2[NewPointsHome],Table2[GameDate], "&lt;=" &amp; $A199, Table2[HomeTeam], AA$1)</f>
        <v>4</v>
      </c>
      <c r="AB199" s="145">
        <f>SUMIFS(Table2[NewPointsAway],Table2[GameDate], "&lt;=" &amp; $A199, Table2[AwayTeam], AB$1)+SUMIFS(Table2[NewPointsHome],Table2[GameDate], "&lt;=" &amp; $A199, Table2[HomeTeam], AB$1)</f>
        <v>7</v>
      </c>
      <c r="AC199" s="145">
        <f>SUMIFS(Table2[NewPointsAway],Table2[GameDate], "&lt;=" &amp; $A199, Table2[AwayTeam], AC$1)+SUMIFS(Table2[NewPointsHome],Table2[GameDate], "&lt;=" &amp; $A199, Table2[HomeTeam], AC$1)</f>
        <v>10</v>
      </c>
      <c r="AD199" s="145">
        <f>SUMIFS(Table2[NewPointsAway],Table2[GameDate], "&lt;=" &amp; $A199, Table2[AwayTeam], AD$1)+SUMIFS(Table2[NewPointsHome],Table2[GameDate], "&lt;=" &amp; $A199, Table2[HomeTeam], AD$1)</f>
        <v>8</v>
      </c>
      <c r="AE199" s="145">
        <f>SUMIFS(Table2[NewPointsAway],Table2[GameDate], "&lt;=" &amp; $A199, Table2[AwayTeam], AE$1)+SUMIFS(Table2[NewPointsHome],Table2[GameDate], "&lt;=" &amp; $A199, Table2[HomeTeam], AE$1)</f>
        <v>12</v>
      </c>
      <c r="AF199" s="145">
        <f>SUMIFS(Table2[NewPointsAway],Table2[GameDate], "&lt;=" &amp; $A199, Table2[AwayTeam], AF$1)+SUMIFS(Table2[NewPointsHome],Table2[GameDate], "&lt;=" &amp; $A199, Table2[HomeTeam], AF$1)</f>
        <v>10</v>
      </c>
      <c r="AG199" s="145">
        <f>SUMIFS(Table2[NewPointsAway],Table2[GameDate], "&lt;=" &amp; $A199, Table2[AwayTeam], AG$1)+SUMIFS(Table2[NewPointsHome],Table2[GameDate], "&lt;=" &amp; $A199, Table2[HomeTeam], AG$1)</f>
        <v>10</v>
      </c>
    </row>
    <row r="200" spans="1:33" x14ac:dyDescent="0.25">
      <c r="A200" s="3">
        <v>46131</v>
      </c>
      <c r="B200" s="145">
        <f>SUMIFS(Table2[NewPointsAway],Table2[GameDate], "&lt;=" &amp; $A200, Table2[AwayTeam], B$1)+SUMIFS(Table2[NewPointsHome],Table2[GameDate], "&lt;=" &amp; $A200, Table2[HomeTeam], B$1)</f>
        <v>7</v>
      </c>
      <c r="C200" s="145">
        <f>SUMIFS(Table2[NewPointsAway],Table2[GameDate], "&lt;=" &amp; $A200, Table2[AwayTeam], C$1)+SUMIFS(Table2[NewPointsHome],Table2[GameDate], "&lt;=" &amp; $A200, Table2[HomeTeam], C$1)</f>
        <v>6</v>
      </c>
      <c r="D200" s="145">
        <f>SUMIFS(Table2[NewPointsAway],Table2[GameDate], "&lt;=" &amp; $A200, Table2[AwayTeam], D$1)+SUMIFS(Table2[NewPointsHome],Table2[GameDate], "&lt;=" &amp; $A200, Table2[HomeTeam], D$1)</f>
        <v>4</v>
      </c>
      <c r="E200" s="145">
        <f>SUMIFS(Table2[NewPointsAway],Table2[GameDate], "&lt;=" &amp; $A200, Table2[AwayTeam], E$1)+SUMIFS(Table2[NewPointsHome],Table2[GameDate], "&lt;=" &amp; $A200, Table2[HomeTeam], E$1)</f>
        <v>10</v>
      </c>
      <c r="F200" s="145">
        <f>SUMIFS(Table2[NewPointsAway],Table2[GameDate], "&lt;=" &amp; $A200, Table2[AwayTeam], F$1)+SUMIFS(Table2[NewPointsHome],Table2[GameDate], "&lt;=" &amp; $A200, Table2[HomeTeam], F$1)</f>
        <v>6</v>
      </c>
      <c r="G200" s="145">
        <f>SUMIFS(Table2[NewPointsAway],Table2[GameDate], "&lt;=" &amp; $A200, Table2[AwayTeam], G$1)+SUMIFS(Table2[NewPointsHome],Table2[GameDate], "&lt;=" &amp; $A200, Table2[HomeTeam], G$1)</f>
        <v>2</v>
      </c>
      <c r="H200" s="145">
        <f>SUMIFS(Table2[NewPointsAway],Table2[GameDate], "&lt;=" &amp; $A200, Table2[AwayTeam], H$1)+SUMIFS(Table2[NewPointsHome],Table2[GameDate], "&lt;=" &amp; $A200, Table2[HomeTeam], H$1)</f>
        <v>8</v>
      </c>
      <c r="I200" s="145">
        <f>SUMIFS(Table2[NewPointsAway],Table2[GameDate], "&lt;=" &amp; $A200, Table2[AwayTeam], I$1)+SUMIFS(Table2[NewPointsHome],Table2[GameDate], "&lt;=" &amp; $A200, Table2[HomeTeam], I$1)</f>
        <v>12</v>
      </c>
      <c r="J200" s="145">
        <f>SUMIFS(Table2[NewPointsAway],Table2[GameDate], "&lt;=" &amp; $A200, Table2[AwayTeam], J$1)+SUMIFS(Table2[NewPointsHome],Table2[GameDate], "&lt;=" &amp; $A200, Table2[HomeTeam], J$1)</f>
        <v>6</v>
      </c>
      <c r="K200" s="145">
        <f>SUMIFS(Table2[NewPointsAway],Table2[GameDate], "&lt;=" &amp; $A200, Table2[AwayTeam], K$1)+SUMIFS(Table2[NewPointsHome],Table2[GameDate], "&lt;=" &amp; $A200, Table2[HomeTeam], K$1)</f>
        <v>10</v>
      </c>
      <c r="L200" s="145">
        <f>SUMIFS(Table2[NewPointsAway],Table2[GameDate], "&lt;=" &amp; $A200, Table2[AwayTeam], L$1)+SUMIFS(Table2[NewPointsHome],Table2[GameDate], "&lt;=" &amp; $A200, Table2[HomeTeam], L$1)</f>
        <v>7</v>
      </c>
      <c r="M200" s="145">
        <f>SUMIFS(Table2[NewPointsAway],Table2[GameDate], "&lt;=" &amp; $A200, Table2[AwayTeam], M$1)+SUMIFS(Table2[NewPointsHome],Table2[GameDate], "&lt;=" &amp; $A200, Table2[HomeTeam], M$1)</f>
        <v>8</v>
      </c>
      <c r="N200" s="145">
        <f>SUMIFS(Table2[NewPointsAway],Table2[GameDate], "&lt;=" &amp; $A200, Table2[AwayTeam], N$1)+SUMIFS(Table2[NewPointsHome],Table2[GameDate], "&lt;=" &amp; $A200, Table2[HomeTeam], N$1)</f>
        <v>6</v>
      </c>
      <c r="O200" s="145">
        <f>SUMIFS(Table2[NewPointsAway],Table2[GameDate], "&lt;=" &amp; $A200, Table2[AwayTeam], O$1)+SUMIFS(Table2[NewPointsHome],Table2[GameDate], "&lt;=" &amp; $A200, Table2[HomeTeam], O$1)</f>
        <v>7</v>
      </c>
      <c r="P200" s="145">
        <f>SUMIFS(Table2[NewPointsAway],Table2[GameDate], "&lt;=" &amp; $A200, Table2[AwayTeam], P$1)+SUMIFS(Table2[NewPointsHome],Table2[GameDate], "&lt;=" &amp; $A200, Table2[HomeTeam], P$1)</f>
        <v>10</v>
      </c>
      <c r="Q200" s="145">
        <f>SUMIFS(Table2[NewPointsAway],Table2[GameDate], "&lt;=" &amp; $A200, Table2[AwayTeam], Q$1)+SUMIFS(Table2[NewPointsHome],Table2[GameDate], "&lt;=" &amp; $A200, Table2[HomeTeam], Q$1)</f>
        <v>10</v>
      </c>
      <c r="R200" s="145">
        <f>SUMIFS(Table2[NewPointsAway],Table2[GameDate], "&lt;=" &amp; $A200, Table2[AwayTeam], R$1)+SUMIFS(Table2[NewPointsHome],Table2[GameDate], "&lt;=" &amp; $A200, Table2[HomeTeam], R$1)</f>
        <v>6</v>
      </c>
      <c r="S200" s="145">
        <f>SUMIFS(Table2[NewPointsAway],Table2[GameDate], "&lt;=" &amp; $A200, Table2[AwayTeam], S$1)+SUMIFS(Table2[NewPointsHome],Table2[GameDate], "&lt;=" &amp; $A200, Table2[HomeTeam], S$1)</f>
        <v>6</v>
      </c>
      <c r="T200" s="145">
        <f>SUMIFS(Table2[NewPointsAway],Table2[GameDate], "&lt;=" &amp; $A200, Table2[AwayTeam], T$1)+SUMIFS(Table2[NewPointsHome],Table2[GameDate], "&lt;=" &amp; $A200, Table2[HomeTeam], T$1)</f>
        <v>7</v>
      </c>
      <c r="U200" s="145">
        <f>SUMIFS(Table2[NewPointsAway],Table2[GameDate], "&lt;=" &amp; $A200, Table2[AwayTeam], U$1)+SUMIFS(Table2[NewPointsHome],Table2[GameDate], "&lt;=" &amp; $A200, Table2[HomeTeam], U$1)</f>
        <v>5</v>
      </c>
      <c r="V200" s="145">
        <f>SUMIFS(Table2[NewPointsAway],Table2[GameDate], "&lt;=" &amp; $A200, Table2[AwayTeam], V$1)+SUMIFS(Table2[NewPointsHome],Table2[GameDate], "&lt;=" &amp; $A200, Table2[HomeTeam], V$1)</f>
        <v>7</v>
      </c>
      <c r="W200" s="145">
        <f>SUMIFS(Table2[NewPointsAway],Table2[GameDate], "&lt;=" &amp; $A200, Table2[AwayTeam], W$1)+SUMIFS(Table2[NewPointsHome],Table2[GameDate], "&lt;=" &amp; $A200, Table2[HomeTeam], W$1)</f>
        <v>10</v>
      </c>
      <c r="X200" s="145">
        <f>SUMIFS(Table2[NewPointsAway],Table2[GameDate], "&lt;=" &amp; $A200, Table2[AwayTeam], X$1)+SUMIFS(Table2[NewPointsHome],Table2[GameDate], "&lt;=" &amp; $A200, Table2[HomeTeam], X$1)</f>
        <v>8</v>
      </c>
      <c r="Y200" s="145">
        <f>SUMIFS(Table2[NewPointsAway],Table2[GameDate], "&lt;=" &amp; $A200, Table2[AwayTeam], Y$1)+SUMIFS(Table2[NewPointsHome],Table2[GameDate], "&lt;=" &amp; $A200, Table2[HomeTeam], Y$1)</f>
        <v>2</v>
      </c>
      <c r="Z200" s="145">
        <f>SUMIFS(Table2[NewPointsAway],Table2[GameDate], "&lt;=" &amp; $A200, Table2[AwayTeam], Z$1)+SUMIFS(Table2[NewPointsHome],Table2[GameDate], "&lt;=" &amp; $A200, Table2[HomeTeam], Z$1)</f>
        <v>7</v>
      </c>
      <c r="AA200" s="145">
        <f>SUMIFS(Table2[NewPointsAway],Table2[GameDate], "&lt;=" &amp; $A200, Table2[AwayTeam], AA$1)+SUMIFS(Table2[NewPointsHome],Table2[GameDate], "&lt;=" &amp; $A200, Table2[HomeTeam], AA$1)</f>
        <v>4</v>
      </c>
      <c r="AB200" s="145">
        <f>SUMIFS(Table2[NewPointsAway],Table2[GameDate], "&lt;=" &amp; $A200, Table2[AwayTeam], AB$1)+SUMIFS(Table2[NewPointsHome],Table2[GameDate], "&lt;=" &amp; $A200, Table2[HomeTeam], AB$1)</f>
        <v>7</v>
      </c>
      <c r="AC200" s="145">
        <f>SUMIFS(Table2[NewPointsAway],Table2[GameDate], "&lt;=" &amp; $A200, Table2[AwayTeam], AC$1)+SUMIFS(Table2[NewPointsHome],Table2[GameDate], "&lt;=" &amp; $A200, Table2[HomeTeam], AC$1)</f>
        <v>10</v>
      </c>
      <c r="AD200" s="145">
        <f>SUMIFS(Table2[NewPointsAway],Table2[GameDate], "&lt;=" &amp; $A200, Table2[AwayTeam], AD$1)+SUMIFS(Table2[NewPointsHome],Table2[GameDate], "&lt;=" &amp; $A200, Table2[HomeTeam], AD$1)</f>
        <v>8</v>
      </c>
      <c r="AE200" s="145">
        <f>SUMIFS(Table2[NewPointsAway],Table2[GameDate], "&lt;=" &amp; $A200, Table2[AwayTeam], AE$1)+SUMIFS(Table2[NewPointsHome],Table2[GameDate], "&lt;=" &amp; $A200, Table2[HomeTeam], AE$1)</f>
        <v>12</v>
      </c>
      <c r="AF200" s="145">
        <f>SUMIFS(Table2[NewPointsAway],Table2[GameDate], "&lt;=" &amp; $A200, Table2[AwayTeam], AF$1)+SUMIFS(Table2[NewPointsHome],Table2[GameDate], "&lt;=" &amp; $A200, Table2[HomeTeam], AF$1)</f>
        <v>10</v>
      </c>
      <c r="AG200" s="145">
        <f>SUMIFS(Table2[NewPointsAway],Table2[GameDate], "&lt;=" &amp; $A200, Table2[AwayTeam], AG$1)+SUMIFS(Table2[NewPointsHome],Table2[GameDate], "&lt;=" &amp; $A200, Table2[HomeTeam], AG$1)</f>
        <v>10</v>
      </c>
    </row>
    <row r="201" spans="1:33" x14ac:dyDescent="0.25">
      <c r="A201" s="3">
        <v>46132</v>
      </c>
      <c r="B201" s="145">
        <f>SUMIFS(Table2[NewPointsAway],Table2[GameDate], "&lt;=" &amp; $A201, Table2[AwayTeam], B$1)+SUMIFS(Table2[NewPointsHome],Table2[GameDate], "&lt;=" &amp; $A201, Table2[HomeTeam], B$1)</f>
        <v>7</v>
      </c>
      <c r="C201" s="145">
        <f>SUMIFS(Table2[NewPointsAway],Table2[GameDate], "&lt;=" &amp; $A201, Table2[AwayTeam], C$1)+SUMIFS(Table2[NewPointsHome],Table2[GameDate], "&lt;=" &amp; $A201, Table2[HomeTeam], C$1)</f>
        <v>6</v>
      </c>
      <c r="D201" s="145">
        <f>SUMIFS(Table2[NewPointsAway],Table2[GameDate], "&lt;=" &amp; $A201, Table2[AwayTeam], D$1)+SUMIFS(Table2[NewPointsHome],Table2[GameDate], "&lt;=" &amp; $A201, Table2[HomeTeam], D$1)</f>
        <v>4</v>
      </c>
      <c r="E201" s="145">
        <f>SUMIFS(Table2[NewPointsAway],Table2[GameDate], "&lt;=" &amp; $A201, Table2[AwayTeam], E$1)+SUMIFS(Table2[NewPointsHome],Table2[GameDate], "&lt;=" &amp; $A201, Table2[HomeTeam], E$1)</f>
        <v>10</v>
      </c>
      <c r="F201" s="145">
        <f>SUMIFS(Table2[NewPointsAway],Table2[GameDate], "&lt;=" &amp; $A201, Table2[AwayTeam], F$1)+SUMIFS(Table2[NewPointsHome],Table2[GameDate], "&lt;=" &amp; $A201, Table2[HomeTeam], F$1)</f>
        <v>6</v>
      </c>
      <c r="G201" s="145">
        <f>SUMIFS(Table2[NewPointsAway],Table2[GameDate], "&lt;=" &amp; $A201, Table2[AwayTeam], G$1)+SUMIFS(Table2[NewPointsHome],Table2[GameDate], "&lt;=" &amp; $A201, Table2[HomeTeam], G$1)</f>
        <v>2</v>
      </c>
      <c r="H201" s="145">
        <f>SUMIFS(Table2[NewPointsAway],Table2[GameDate], "&lt;=" &amp; $A201, Table2[AwayTeam], H$1)+SUMIFS(Table2[NewPointsHome],Table2[GameDate], "&lt;=" &amp; $A201, Table2[HomeTeam], H$1)</f>
        <v>8</v>
      </c>
      <c r="I201" s="145">
        <f>SUMIFS(Table2[NewPointsAway],Table2[GameDate], "&lt;=" &amp; $A201, Table2[AwayTeam], I$1)+SUMIFS(Table2[NewPointsHome],Table2[GameDate], "&lt;=" &amp; $A201, Table2[HomeTeam], I$1)</f>
        <v>12</v>
      </c>
      <c r="J201" s="145">
        <f>SUMIFS(Table2[NewPointsAway],Table2[GameDate], "&lt;=" &amp; $A201, Table2[AwayTeam], J$1)+SUMIFS(Table2[NewPointsHome],Table2[GameDate], "&lt;=" &amp; $A201, Table2[HomeTeam], J$1)</f>
        <v>6</v>
      </c>
      <c r="K201" s="145">
        <f>SUMIFS(Table2[NewPointsAway],Table2[GameDate], "&lt;=" &amp; $A201, Table2[AwayTeam], K$1)+SUMIFS(Table2[NewPointsHome],Table2[GameDate], "&lt;=" &amp; $A201, Table2[HomeTeam], K$1)</f>
        <v>10</v>
      </c>
      <c r="L201" s="145">
        <f>SUMIFS(Table2[NewPointsAway],Table2[GameDate], "&lt;=" &amp; $A201, Table2[AwayTeam], L$1)+SUMIFS(Table2[NewPointsHome],Table2[GameDate], "&lt;=" &amp; $A201, Table2[HomeTeam], L$1)</f>
        <v>7</v>
      </c>
      <c r="M201" s="145">
        <f>SUMIFS(Table2[NewPointsAway],Table2[GameDate], "&lt;=" &amp; $A201, Table2[AwayTeam], M$1)+SUMIFS(Table2[NewPointsHome],Table2[GameDate], "&lt;=" &amp; $A201, Table2[HomeTeam], M$1)</f>
        <v>8</v>
      </c>
      <c r="N201" s="145">
        <f>SUMIFS(Table2[NewPointsAway],Table2[GameDate], "&lt;=" &amp; $A201, Table2[AwayTeam], N$1)+SUMIFS(Table2[NewPointsHome],Table2[GameDate], "&lt;=" &amp; $A201, Table2[HomeTeam], N$1)</f>
        <v>6</v>
      </c>
      <c r="O201" s="145">
        <f>SUMIFS(Table2[NewPointsAway],Table2[GameDate], "&lt;=" &amp; $A201, Table2[AwayTeam], O$1)+SUMIFS(Table2[NewPointsHome],Table2[GameDate], "&lt;=" &amp; $A201, Table2[HomeTeam], O$1)</f>
        <v>7</v>
      </c>
      <c r="P201" s="145">
        <f>SUMIFS(Table2[NewPointsAway],Table2[GameDate], "&lt;=" &amp; $A201, Table2[AwayTeam], P$1)+SUMIFS(Table2[NewPointsHome],Table2[GameDate], "&lt;=" &amp; $A201, Table2[HomeTeam], P$1)</f>
        <v>10</v>
      </c>
      <c r="Q201" s="145">
        <f>SUMIFS(Table2[NewPointsAway],Table2[GameDate], "&lt;=" &amp; $A201, Table2[AwayTeam], Q$1)+SUMIFS(Table2[NewPointsHome],Table2[GameDate], "&lt;=" &amp; $A201, Table2[HomeTeam], Q$1)</f>
        <v>10</v>
      </c>
      <c r="R201" s="145">
        <f>SUMIFS(Table2[NewPointsAway],Table2[GameDate], "&lt;=" &amp; $A201, Table2[AwayTeam], R$1)+SUMIFS(Table2[NewPointsHome],Table2[GameDate], "&lt;=" &amp; $A201, Table2[HomeTeam], R$1)</f>
        <v>6</v>
      </c>
      <c r="S201" s="145">
        <f>SUMIFS(Table2[NewPointsAway],Table2[GameDate], "&lt;=" &amp; $A201, Table2[AwayTeam], S$1)+SUMIFS(Table2[NewPointsHome],Table2[GameDate], "&lt;=" &amp; $A201, Table2[HomeTeam], S$1)</f>
        <v>6</v>
      </c>
      <c r="T201" s="145">
        <f>SUMIFS(Table2[NewPointsAway],Table2[GameDate], "&lt;=" &amp; $A201, Table2[AwayTeam], T$1)+SUMIFS(Table2[NewPointsHome],Table2[GameDate], "&lt;=" &amp; $A201, Table2[HomeTeam], T$1)</f>
        <v>7</v>
      </c>
      <c r="U201" s="145">
        <f>SUMIFS(Table2[NewPointsAway],Table2[GameDate], "&lt;=" &amp; $A201, Table2[AwayTeam], U$1)+SUMIFS(Table2[NewPointsHome],Table2[GameDate], "&lt;=" &amp; $A201, Table2[HomeTeam], U$1)</f>
        <v>5</v>
      </c>
      <c r="V201" s="145">
        <f>SUMIFS(Table2[NewPointsAway],Table2[GameDate], "&lt;=" &amp; $A201, Table2[AwayTeam], V$1)+SUMIFS(Table2[NewPointsHome],Table2[GameDate], "&lt;=" &amp; $A201, Table2[HomeTeam], V$1)</f>
        <v>7</v>
      </c>
      <c r="W201" s="145">
        <f>SUMIFS(Table2[NewPointsAway],Table2[GameDate], "&lt;=" &amp; $A201, Table2[AwayTeam], W$1)+SUMIFS(Table2[NewPointsHome],Table2[GameDate], "&lt;=" &amp; $A201, Table2[HomeTeam], W$1)</f>
        <v>10</v>
      </c>
      <c r="X201" s="145">
        <f>SUMIFS(Table2[NewPointsAway],Table2[GameDate], "&lt;=" &amp; $A201, Table2[AwayTeam], X$1)+SUMIFS(Table2[NewPointsHome],Table2[GameDate], "&lt;=" &amp; $A201, Table2[HomeTeam], X$1)</f>
        <v>8</v>
      </c>
      <c r="Y201" s="145">
        <f>SUMIFS(Table2[NewPointsAway],Table2[GameDate], "&lt;=" &amp; $A201, Table2[AwayTeam], Y$1)+SUMIFS(Table2[NewPointsHome],Table2[GameDate], "&lt;=" &amp; $A201, Table2[HomeTeam], Y$1)</f>
        <v>2</v>
      </c>
      <c r="Z201" s="145">
        <f>SUMIFS(Table2[NewPointsAway],Table2[GameDate], "&lt;=" &amp; $A201, Table2[AwayTeam], Z$1)+SUMIFS(Table2[NewPointsHome],Table2[GameDate], "&lt;=" &amp; $A201, Table2[HomeTeam], Z$1)</f>
        <v>7</v>
      </c>
      <c r="AA201" s="145">
        <f>SUMIFS(Table2[NewPointsAway],Table2[GameDate], "&lt;=" &amp; $A201, Table2[AwayTeam], AA$1)+SUMIFS(Table2[NewPointsHome],Table2[GameDate], "&lt;=" &amp; $A201, Table2[HomeTeam], AA$1)</f>
        <v>4</v>
      </c>
      <c r="AB201" s="145">
        <f>SUMIFS(Table2[NewPointsAway],Table2[GameDate], "&lt;=" &amp; $A201, Table2[AwayTeam], AB$1)+SUMIFS(Table2[NewPointsHome],Table2[GameDate], "&lt;=" &amp; $A201, Table2[HomeTeam], AB$1)</f>
        <v>7</v>
      </c>
      <c r="AC201" s="145">
        <f>SUMIFS(Table2[NewPointsAway],Table2[GameDate], "&lt;=" &amp; $A201, Table2[AwayTeam], AC$1)+SUMIFS(Table2[NewPointsHome],Table2[GameDate], "&lt;=" &amp; $A201, Table2[HomeTeam], AC$1)</f>
        <v>10</v>
      </c>
      <c r="AD201" s="145">
        <f>SUMIFS(Table2[NewPointsAway],Table2[GameDate], "&lt;=" &amp; $A201, Table2[AwayTeam], AD$1)+SUMIFS(Table2[NewPointsHome],Table2[GameDate], "&lt;=" &amp; $A201, Table2[HomeTeam], AD$1)</f>
        <v>8</v>
      </c>
      <c r="AE201" s="145">
        <f>SUMIFS(Table2[NewPointsAway],Table2[GameDate], "&lt;=" &amp; $A201, Table2[AwayTeam], AE$1)+SUMIFS(Table2[NewPointsHome],Table2[GameDate], "&lt;=" &amp; $A201, Table2[HomeTeam], AE$1)</f>
        <v>12</v>
      </c>
      <c r="AF201" s="145">
        <f>SUMIFS(Table2[NewPointsAway],Table2[GameDate], "&lt;=" &amp; $A201, Table2[AwayTeam], AF$1)+SUMIFS(Table2[NewPointsHome],Table2[GameDate], "&lt;=" &amp; $A201, Table2[HomeTeam], AF$1)</f>
        <v>10</v>
      </c>
      <c r="AG201" s="145">
        <f>SUMIFS(Table2[NewPointsAway],Table2[GameDate], "&lt;=" &amp; $A201, Table2[AwayTeam], AG$1)+SUMIFS(Table2[NewPointsHome],Table2[GameDate], "&lt;=" &amp; $A201, Table2[HomeTeam], AG$1)</f>
        <v>10</v>
      </c>
    </row>
    <row r="202" spans="1:33" x14ac:dyDescent="0.25">
      <c r="A202" s="3">
        <v>45768</v>
      </c>
      <c r="B202" s="2">
        <f>SUMIFS(Table2[NewPointsAway],Table2[GameDate], "&lt;=" &amp; $A202, Table2[AwayTeam], B$1)+SUMIFS(Table2[NewPointsHome],Table2[GameDate], "&lt;=" &amp; $A202, Table2[HomeTeam], B$1)</f>
        <v>0</v>
      </c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spans="1:33" x14ac:dyDescent="0.25">
      <c r="A203" s="3">
        <v>45769</v>
      </c>
      <c r="B203" s="2">
        <f>SUMIFS(Table2[NewPointsAway],Table2[GameDate], "&lt;=" &amp; $A203, Table2[AwayTeam], B$1)+SUMIFS(Table2[NewPointsHome],Table2[GameDate], "&lt;=" &amp; $A203, Table2[HomeTeam], B$1)</f>
        <v>0</v>
      </c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spans="1:33" x14ac:dyDescent="0.25">
      <c r="A204" s="3">
        <v>45770</v>
      </c>
      <c r="B204" s="2">
        <f>SUMIFS(Table2[NewPointsAway],Table2[GameDate], "&lt;=" &amp; $A204, Table2[AwayTeam], B$1)+SUMIFS(Table2[NewPointsHome],Table2[GameDate], "&lt;=" &amp; $A204, Table2[HomeTeam], B$1)</f>
        <v>0</v>
      </c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spans="1:33" x14ac:dyDescent="0.25">
      <c r="A205" s="3">
        <v>45771</v>
      </c>
      <c r="B205" s="2">
        <f>SUMIFS(Table2[NewPointsAway],Table2[GameDate], "&lt;=" &amp; $A205, Table2[AwayTeam], B$1)+SUMIFS(Table2[NewPointsHome],Table2[GameDate], "&lt;=" &amp; $A205, Table2[HomeTeam], B$1)</f>
        <v>0</v>
      </c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spans="1:33" x14ac:dyDescent="0.25">
      <c r="A206" s="3">
        <v>45772</v>
      </c>
      <c r="B206" s="2">
        <f>SUMIFS(Table2[NewPointsAway],Table2[GameDate], "&lt;=" &amp; $A206, Table2[AwayTeam], B$1)+SUMIFS(Table2[NewPointsHome],Table2[GameDate], "&lt;=" &amp; $A206, Table2[HomeTeam], B$1)</f>
        <v>0</v>
      </c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spans="1:33" x14ac:dyDescent="0.25">
      <c r="A207" s="3">
        <v>45773</v>
      </c>
      <c r="B207" s="2">
        <f>SUMIFS(Table2[NewPointsAway],Table2[GameDate], "&lt;=" &amp; $A207, Table2[AwayTeam], B$1)+SUMIFS(Table2[NewPointsHome],Table2[GameDate], "&lt;=" &amp; $A207, Table2[HomeTeam], B$1)</f>
        <v>0</v>
      </c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spans="1:33" x14ac:dyDescent="0.25">
      <c r="A208" s="3">
        <v>45774</v>
      </c>
      <c r="B208" s="2">
        <f>SUMIFS(Table2[NewPointsAway],Table2[GameDate], "&lt;=" &amp; $A208, Table2[AwayTeam], B$1)+SUMIFS(Table2[NewPointsHome],Table2[GameDate], "&lt;=" &amp; $A208, Table2[HomeTeam], B$1)</f>
        <v>0</v>
      </c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spans="1:33" x14ac:dyDescent="0.25">
      <c r="A209" s="3">
        <v>45775</v>
      </c>
      <c r="B209" s="2">
        <f>SUMIFS(Table2[NewPointsAway],Table2[GameDate], "&lt;=" &amp; $A209, Table2[AwayTeam], B$1)+SUMIFS(Table2[NewPointsHome],Table2[GameDate], "&lt;=" &amp; $A209, Table2[HomeTeam], B$1)</f>
        <v>0</v>
      </c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spans="1:33" x14ac:dyDescent="0.25">
      <c r="A210" s="3">
        <v>45776</v>
      </c>
      <c r="B210" s="2">
        <f>SUMIFS(Table2[NewPointsAway],Table2[GameDate], "&lt;=" &amp; $A210, Table2[AwayTeam], B$1)+SUMIFS(Table2[NewPointsHome],Table2[GameDate], "&lt;=" &amp; $A210, Table2[HomeTeam], B$1)</f>
        <v>0</v>
      </c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spans="1:33" x14ac:dyDescent="0.25">
      <c r="A211" s="3">
        <v>45777</v>
      </c>
      <c r="B211" s="2">
        <f>SUMIFS(Table2[NewPointsAway],Table2[GameDate], "&lt;=" &amp; $A211, Table2[AwayTeam], B$1)+SUMIFS(Table2[NewPointsHome],Table2[GameDate], "&lt;=" &amp; $A211, Table2[HomeTeam], B$1)</f>
        <v>0</v>
      </c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spans="1:33" x14ac:dyDescent="0.25">
      <c r="A212" s="3">
        <v>45778</v>
      </c>
      <c r="B212" s="2">
        <f>SUMIFS(Table2[NewPointsAway],Table2[GameDate], "&lt;=" &amp; $A212, Table2[AwayTeam], B$1)+SUMIFS(Table2[NewPointsHome],Table2[GameDate], "&lt;=" &amp; $A212, Table2[HomeTeam], B$1)</f>
        <v>0</v>
      </c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spans="1:33" x14ac:dyDescent="0.25">
      <c r="A213" s="3">
        <v>45779</v>
      </c>
      <c r="B213" s="2">
        <f>SUMIFS(Table2[NewPointsAway],Table2[GameDate], "&lt;=" &amp; $A213, Table2[AwayTeam], B$1)+SUMIFS(Table2[NewPointsHome],Table2[GameDate], "&lt;=" &amp; $A213, Table2[HomeTeam], B$1)</f>
        <v>0</v>
      </c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spans="1:33" x14ac:dyDescent="0.25">
      <c r="A214" s="3">
        <v>45780</v>
      </c>
      <c r="B214" s="2">
        <f>SUMIFS(Table2[NewPointsAway],Table2[GameDate], "&lt;=" &amp; $A214, Table2[AwayTeam], B$1)+SUMIFS(Table2[NewPointsHome],Table2[GameDate], "&lt;=" &amp; $A214, Table2[HomeTeam], B$1)</f>
        <v>0</v>
      </c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spans="1:33" x14ac:dyDescent="0.25">
      <c r="A215" s="3">
        <v>45781</v>
      </c>
      <c r="B215" s="2">
        <f>SUMIFS(Table2[NewPointsAway],Table2[GameDate], "&lt;=" &amp; $A215, Table2[AwayTeam], B$1)+SUMIFS(Table2[NewPointsHome],Table2[GameDate], "&lt;=" &amp; $A215, Table2[HomeTeam], B$1)</f>
        <v>0</v>
      </c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spans="1:33" x14ac:dyDescent="0.25">
      <c r="A216" s="3">
        <v>45782</v>
      </c>
      <c r="B216" s="2">
        <f>SUMIFS(Table2[NewPointsAway],Table2[GameDate], "&lt;=" &amp; $A216, Table2[AwayTeam], B$1)+SUMIFS(Table2[NewPointsHome],Table2[GameDate], "&lt;=" &amp; $A216, Table2[HomeTeam], B$1)</f>
        <v>0</v>
      </c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spans="1:33" x14ac:dyDescent="0.25">
      <c r="A217" s="3">
        <v>45783</v>
      </c>
      <c r="B217" s="2">
        <f>SUMIFS(Table2[NewPointsAway],Table2[GameDate], "&lt;=" &amp; $A217, Table2[AwayTeam], B$1)+SUMIFS(Table2[NewPointsHome],Table2[GameDate], "&lt;=" &amp; $A217, Table2[HomeTeam], B$1)</f>
        <v>0</v>
      </c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spans="1:33" x14ac:dyDescent="0.25">
      <c r="A218" s="3">
        <v>45784</v>
      </c>
      <c r="B218" s="2">
        <f>SUMIFS(Table2[NewPointsAway],Table2[GameDate], "&lt;=" &amp; $A218, Table2[AwayTeam], B$1)+SUMIFS(Table2[NewPointsHome],Table2[GameDate], "&lt;=" &amp; $A218, Table2[HomeTeam], B$1)</f>
        <v>0</v>
      </c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spans="1:33" x14ac:dyDescent="0.25">
      <c r="A219" s="3">
        <v>45785</v>
      </c>
      <c r="B219" s="2">
        <f>SUMIFS(Table2[NewPointsAway],Table2[GameDate], "&lt;=" &amp; $A219, Table2[AwayTeam], B$1)+SUMIFS(Table2[NewPointsHome],Table2[GameDate], "&lt;=" &amp; $A219, Table2[HomeTeam], B$1)</f>
        <v>0</v>
      </c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spans="1:33" x14ac:dyDescent="0.25">
      <c r="A220" s="3">
        <v>45786</v>
      </c>
      <c r="B220" s="2">
        <f>SUMIFS(Table2[NewPointsAway],Table2[GameDate], "&lt;=" &amp; $A220, Table2[AwayTeam], B$1)+SUMIFS(Table2[NewPointsHome],Table2[GameDate], "&lt;=" &amp; $A220, Table2[HomeTeam], B$1)</f>
        <v>0</v>
      </c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spans="1:33" x14ac:dyDescent="0.25">
      <c r="A221" s="3">
        <v>45787</v>
      </c>
      <c r="B221" s="2">
        <f>SUMIFS(Table2[NewPointsAway],Table2[GameDate], "&lt;=" &amp; $A221, Table2[AwayTeam], B$1)+SUMIFS(Table2[NewPointsHome],Table2[GameDate], "&lt;=" &amp; $A221, Table2[HomeTeam], B$1)</f>
        <v>0</v>
      </c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spans="1:33" x14ac:dyDescent="0.25">
      <c r="A222" s="3">
        <v>45788</v>
      </c>
      <c r="B222" s="2">
        <f>SUMIFS(Table2[NewPointsAway],Table2[GameDate], "&lt;=" &amp; $A222, Table2[AwayTeam], B$1)+SUMIFS(Table2[NewPointsHome],Table2[GameDate], "&lt;=" &amp; $A222, Table2[HomeTeam], B$1)</f>
        <v>0</v>
      </c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spans="1:33" x14ac:dyDescent="0.25">
      <c r="A223" s="3">
        <v>45789</v>
      </c>
      <c r="B223" s="2">
        <f>SUMIFS(Table2[NewPointsAway],Table2[GameDate], "&lt;=" &amp; $A223, Table2[AwayTeam], B$1)+SUMIFS(Table2[NewPointsHome],Table2[GameDate], "&lt;=" &amp; $A223, Table2[HomeTeam], B$1)</f>
        <v>0</v>
      </c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spans="1:33" x14ac:dyDescent="0.25">
      <c r="A224" s="3">
        <v>45790</v>
      </c>
      <c r="B224" s="2">
        <f>SUMIFS(Table2[NewPointsAway],Table2[GameDate], "&lt;=" &amp; $A224, Table2[AwayTeam], B$1)+SUMIFS(Table2[NewPointsHome],Table2[GameDate], "&lt;=" &amp; $A224, Table2[HomeTeam], B$1)</f>
        <v>0</v>
      </c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spans="1:33" x14ac:dyDescent="0.25">
      <c r="A225" s="3">
        <v>45791</v>
      </c>
      <c r="B225" s="2">
        <f>SUMIFS(Table2[NewPointsAway],Table2[GameDate], "&lt;=" &amp; $A225, Table2[AwayTeam], B$1)+SUMIFS(Table2[NewPointsHome],Table2[GameDate], "&lt;=" &amp; $A225, Table2[HomeTeam], B$1)</f>
        <v>0</v>
      </c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spans="1:33" x14ac:dyDescent="0.25">
      <c r="A226" s="3">
        <v>45792</v>
      </c>
      <c r="B226" s="2">
        <f>SUMIFS(Table2[NewPointsAway],Table2[GameDate], "&lt;=" &amp; $A226, Table2[AwayTeam], B$1)+SUMIFS(Table2[NewPointsHome],Table2[GameDate], "&lt;=" &amp; $A226, Table2[HomeTeam], B$1)</f>
        <v>0</v>
      </c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spans="1:33" x14ac:dyDescent="0.25">
      <c r="A227" s="3">
        <v>45793</v>
      </c>
      <c r="B227" s="2">
        <f>SUMIFS(Table2[NewPointsAway],Table2[GameDate], "&lt;=" &amp; $A227, Table2[AwayTeam], B$1)+SUMIFS(Table2[NewPointsHome],Table2[GameDate], "&lt;=" &amp; $A227, Table2[HomeTeam], B$1)</f>
        <v>0</v>
      </c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spans="1:33" x14ac:dyDescent="0.25">
      <c r="A228" s="3">
        <v>45794</v>
      </c>
      <c r="B228" s="2">
        <f>SUMIFS(Table2[NewPointsAway],Table2[GameDate], "&lt;=" &amp; $A228, Table2[AwayTeam], B$1)+SUMIFS(Table2[NewPointsHome],Table2[GameDate], "&lt;=" &amp; $A228, Table2[HomeTeam], B$1)</f>
        <v>0</v>
      </c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spans="1:33" x14ac:dyDescent="0.25">
      <c r="A229" s="3">
        <v>45795</v>
      </c>
      <c r="B229" s="2">
        <f>SUMIFS(Table2[NewPointsAway],Table2[GameDate], "&lt;=" &amp; $A229, Table2[AwayTeam], B$1)+SUMIFS(Table2[NewPointsHome],Table2[GameDate], "&lt;=" &amp; $A229, Table2[HomeTeam], B$1)</f>
        <v>0</v>
      </c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spans="1:33" x14ac:dyDescent="0.25">
      <c r="A230" s="3">
        <v>45796</v>
      </c>
      <c r="B230" s="2">
        <f>SUMIFS(Table2[NewPointsAway],Table2[GameDate], "&lt;=" &amp; $A230, Table2[AwayTeam], B$1)+SUMIFS(Table2[NewPointsHome],Table2[GameDate], "&lt;=" &amp; $A230, Table2[HomeTeam], B$1)</f>
        <v>0</v>
      </c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spans="1:33" x14ac:dyDescent="0.25">
      <c r="A231" s="3">
        <v>45797</v>
      </c>
      <c r="B231" s="2">
        <f>SUMIFS(Table2[NewPointsAway],Table2[GameDate], "&lt;=" &amp; $A231, Table2[AwayTeam], B$1)+SUMIFS(Table2[NewPointsHome],Table2[GameDate], "&lt;=" &amp; $A231, Table2[HomeTeam], B$1)</f>
        <v>0</v>
      </c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spans="1:33" x14ac:dyDescent="0.25">
      <c r="A232" s="3">
        <v>45798</v>
      </c>
      <c r="B232" s="2">
        <f>SUMIFS(Table2[NewPointsAway],Table2[GameDate], "&lt;=" &amp; $A232, Table2[AwayTeam], B$1)+SUMIFS(Table2[NewPointsHome],Table2[GameDate], "&lt;=" &amp; $A232, Table2[HomeTeam], B$1)</f>
        <v>0</v>
      </c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spans="1:33" x14ac:dyDescent="0.25">
      <c r="A233" s="3">
        <v>45799</v>
      </c>
      <c r="B233" s="2">
        <f>SUMIFS(Table2[NewPointsAway],Table2[GameDate], "&lt;=" &amp; $A233, Table2[AwayTeam], B$1)+SUMIFS(Table2[NewPointsHome],Table2[GameDate], "&lt;=" &amp; $A233, Table2[HomeTeam], B$1)</f>
        <v>0</v>
      </c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spans="1:33" x14ac:dyDescent="0.25">
      <c r="A234" s="3">
        <v>45800</v>
      </c>
      <c r="B234" s="2">
        <f>SUMIFS(Table2[NewPointsAway],Table2[GameDate], "&lt;=" &amp; $A234, Table2[AwayTeam], B$1)+SUMIFS(Table2[NewPointsHome],Table2[GameDate], "&lt;=" &amp; $A234, Table2[HomeTeam], B$1)</f>
        <v>0</v>
      </c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spans="1:33" x14ac:dyDescent="0.25">
      <c r="A235" s="3">
        <v>45801</v>
      </c>
      <c r="B235" s="2">
        <f>SUMIFS(Table2[NewPointsAway],Table2[GameDate], "&lt;=" &amp; $A235, Table2[AwayTeam], B$1)+SUMIFS(Table2[NewPointsHome],Table2[GameDate], "&lt;=" &amp; $A235, Table2[HomeTeam], B$1)</f>
        <v>0</v>
      </c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spans="1:33" x14ac:dyDescent="0.25">
      <c r="A236" s="3">
        <v>45802</v>
      </c>
      <c r="B236" s="2">
        <f>SUMIFS(Table2[NewPointsAway],Table2[GameDate], "&lt;=" &amp; $A236, Table2[AwayTeam], B$1)+SUMIFS(Table2[NewPointsHome],Table2[GameDate], "&lt;=" &amp; $A236, Table2[HomeTeam], B$1)</f>
        <v>0</v>
      </c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spans="1:33" x14ac:dyDescent="0.25">
      <c r="A237" s="3">
        <v>45803</v>
      </c>
      <c r="B237" s="2">
        <f>SUMIFS(Table2[NewPointsAway],Table2[GameDate], "&lt;=" &amp; $A237, Table2[AwayTeam], B$1)+SUMIFS(Table2[NewPointsHome],Table2[GameDate], "&lt;=" &amp; $A237, Table2[HomeTeam], B$1)</f>
        <v>0</v>
      </c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spans="1:33" x14ac:dyDescent="0.25">
      <c r="A238" s="3">
        <v>45804</v>
      </c>
      <c r="B238" s="2">
        <f>SUMIFS(Table2[NewPointsAway],Table2[GameDate], "&lt;=" &amp; $A238, Table2[AwayTeam], B$1)+SUMIFS(Table2[NewPointsHome],Table2[GameDate], "&lt;=" &amp; $A238, Table2[HomeTeam], B$1)</f>
        <v>0</v>
      </c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spans="1:33" x14ac:dyDescent="0.25">
      <c r="A239" s="3">
        <v>45805</v>
      </c>
      <c r="B239" s="2">
        <f>SUMIFS(Table2[NewPointsAway],Table2[GameDate], "&lt;=" &amp; $A239, Table2[AwayTeam], B$1)+SUMIFS(Table2[NewPointsHome],Table2[GameDate], "&lt;=" &amp; $A239, Table2[HomeTeam], B$1)</f>
        <v>0</v>
      </c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spans="1:33" x14ac:dyDescent="0.25">
      <c r="A240" s="3">
        <v>45806</v>
      </c>
      <c r="B240" s="2">
        <f>SUMIFS(Table2[NewPointsAway],Table2[GameDate], "&lt;=" &amp; $A240, Table2[AwayTeam], B$1)+SUMIFS(Table2[NewPointsHome],Table2[GameDate], "&lt;=" &amp; $A240, Table2[HomeTeam], B$1)</f>
        <v>0</v>
      </c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spans="1:33" x14ac:dyDescent="0.25">
      <c r="A241" s="3">
        <v>45807</v>
      </c>
      <c r="B241" s="2">
        <f>SUMIFS(Table2[NewPointsAway],Table2[GameDate], "&lt;=" &amp; $A241, Table2[AwayTeam], B$1)+SUMIFS(Table2[NewPointsHome],Table2[GameDate], "&lt;=" &amp; $A241, Table2[HomeTeam], B$1)</f>
        <v>0</v>
      </c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spans="1:33" x14ac:dyDescent="0.25">
      <c r="A242" s="3">
        <v>45808</v>
      </c>
      <c r="B242" s="2">
        <f>SUMIFS(Table2[NewPointsAway],Table2[GameDate], "&lt;=" &amp; $A242, Table2[AwayTeam], B$1)+SUMIFS(Table2[NewPointsHome],Table2[GameDate], "&lt;=" &amp; $A242, Table2[HomeTeam], B$1)</f>
        <v>0</v>
      </c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spans="1:33" x14ac:dyDescent="0.25">
      <c r="A243" s="3">
        <v>45809</v>
      </c>
      <c r="B243" s="2">
        <f>SUMIFS(Table2[NewPointsAway],Table2[GameDate], "&lt;=" &amp; $A243, Table2[AwayTeam], B$1)+SUMIFS(Table2[NewPointsHome],Table2[GameDate], "&lt;=" &amp; $A243, Table2[HomeTeam], B$1)</f>
        <v>0</v>
      </c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spans="1:33" x14ac:dyDescent="0.25">
      <c r="A244" s="3">
        <v>45810</v>
      </c>
      <c r="B244" s="2">
        <f>SUMIFS(Table2[NewPointsAway],Table2[GameDate], "&lt;=" &amp; $A244, Table2[AwayTeam], B$1)+SUMIFS(Table2[NewPointsHome],Table2[GameDate], "&lt;=" &amp; $A244, Table2[HomeTeam], B$1)</f>
        <v>0</v>
      </c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spans="1:33" x14ac:dyDescent="0.25">
      <c r="A245" s="3">
        <v>45811</v>
      </c>
      <c r="B245" s="2">
        <f>SUMIFS(Table2[NewPointsAway],Table2[GameDate], "&lt;=" &amp; $A245, Table2[AwayTeam], B$1)+SUMIFS(Table2[NewPointsHome],Table2[GameDate], "&lt;=" &amp; $A245, Table2[HomeTeam], B$1)</f>
        <v>0</v>
      </c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spans="1:33" x14ac:dyDescent="0.25">
      <c r="A246" s="3">
        <v>45812</v>
      </c>
      <c r="B246" s="2">
        <f>SUMIFS(Table2[NewPointsAway],Table2[GameDate], "&lt;=" &amp; $A246, Table2[AwayTeam], B$1)+SUMIFS(Table2[NewPointsHome],Table2[GameDate], "&lt;=" &amp; $A246, Table2[HomeTeam], B$1)</f>
        <v>0</v>
      </c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spans="1:33" x14ac:dyDescent="0.25">
      <c r="A247" s="3">
        <v>45813</v>
      </c>
      <c r="B247" s="2">
        <f>SUMIFS(Table2[NewPointsAway],Table2[GameDate], "&lt;=" &amp; $A247, Table2[AwayTeam], B$1)+SUMIFS(Table2[NewPointsHome],Table2[GameDate], "&lt;=" &amp; $A247, Table2[HomeTeam], B$1)</f>
        <v>0</v>
      </c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spans="1:33" x14ac:dyDescent="0.25">
      <c r="A248" s="3">
        <v>45814</v>
      </c>
      <c r="B248" s="2">
        <f>SUMIFS(Table2[NewPointsAway],Table2[GameDate], "&lt;=" &amp; $A248, Table2[AwayTeam], B$1)+SUMIFS(Table2[NewPointsHome],Table2[GameDate], "&lt;=" &amp; $A248, Table2[HomeTeam], B$1)</f>
        <v>0</v>
      </c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spans="1:33" x14ac:dyDescent="0.25">
      <c r="A249" s="3">
        <v>45815</v>
      </c>
      <c r="B249" s="2">
        <f>SUMIFS(Table2[NewPointsAway],Table2[GameDate], "&lt;=" &amp; $A249, Table2[AwayTeam], B$1)+SUMIFS(Table2[NewPointsHome],Table2[GameDate], "&lt;=" &amp; $A249, Table2[HomeTeam], B$1)</f>
        <v>0</v>
      </c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spans="1:33" x14ac:dyDescent="0.25">
      <c r="A250" s="3">
        <v>45816</v>
      </c>
      <c r="B250" s="2">
        <f>SUMIFS(Table2[NewPointsAway],Table2[GameDate], "&lt;=" &amp; $A250, Table2[AwayTeam], B$1)+SUMIFS(Table2[NewPointsHome],Table2[GameDate], "&lt;=" &amp; $A250, Table2[HomeTeam], B$1)</f>
        <v>0</v>
      </c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spans="1:33" x14ac:dyDescent="0.25">
      <c r="A251" s="3">
        <v>45817</v>
      </c>
      <c r="B251" s="2">
        <f>SUMIFS(Table2[NewPointsAway],Table2[GameDate], "&lt;=" &amp; $A251, Table2[AwayTeam], B$1)+SUMIFS(Table2[NewPointsHome],Table2[GameDate], "&lt;=" &amp; $A251, Table2[HomeTeam], B$1)</f>
        <v>0</v>
      </c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spans="1:33" x14ac:dyDescent="0.25">
      <c r="A252" s="3">
        <v>45818</v>
      </c>
      <c r="B252" s="2">
        <f>SUMIFS(Table2[NewPointsAway],Table2[GameDate], "&lt;=" &amp; $A252, Table2[AwayTeam], B$1)+SUMIFS(Table2[NewPointsHome],Table2[GameDate], "&lt;=" &amp; $A252, Table2[HomeTeam], B$1)</f>
        <v>0</v>
      </c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spans="1:33" x14ac:dyDescent="0.25">
      <c r="A253" s="3">
        <v>45819</v>
      </c>
      <c r="B253" s="2">
        <f>SUMIFS(Table2[NewPointsAway],Table2[GameDate], "&lt;=" &amp; $A253, Table2[AwayTeam], B$1)+SUMIFS(Table2[NewPointsHome],Table2[GameDate], "&lt;=" &amp; $A253, Table2[HomeTeam], B$1)</f>
        <v>0</v>
      </c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spans="1:33" x14ac:dyDescent="0.25">
      <c r="A254" s="3">
        <v>45820</v>
      </c>
      <c r="B254" s="2">
        <f>SUMIFS(Table2[NewPointsAway],Table2[GameDate], "&lt;=" &amp; $A254, Table2[AwayTeam], B$1)+SUMIFS(Table2[NewPointsHome],Table2[GameDate], "&lt;=" &amp; $A254, Table2[HomeTeam], B$1)</f>
        <v>0</v>
      </c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spans="1:33" x14ac:dyDescent="0.25">
      <c r="A255" s="3">
        <v>45821</v>
      </c>
      <c r="B255" s="2">
        <f>SUMIFS(Table2[NewPointsAway],Table2[GameDate], "&lt;=" &amp; $A255, Table2[AwayTeam], B$1)+SUMIFS(Table2[NewPointsHome],Table2[GameDate], "&lt;=" &amp; $A255, Table2[HomeTeam], B$1)</f>
        <v>0</v>
      </c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spans="1:33" x14ac:dyDescent="0.25">
      <c r="A256" s="3">
        <v>45822</v>
      </c>
      <c r="B256" s="2">
        <f>SUMIFS(Table2[NewPointsAway],Table2[GameDate], "&lt;=" &amp; $A256, Table2[AwayTeam], B$1)+SUMIFS(Table2[NewPointsHome],Table2[GameDate], "&lt;=" &amp; $A256, Table2[HomeTeam], B$1)</f>
        <v>0</v>
      </c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spans="1:33" x14ac:dyDescent="0.25">
      <c r="A257" s="3">
        <v>45823</v>
      </c>
      <c r="B257" s="2">
        <f>SUMIFS(Table2[NewPointsAway],Table2[GameDate], "&lt;=" &amp; $A257, Table2[AwayTeam], B$1)+SUMIFS(Table2[NewPointsHome],Table2[GameDate], "&lt;=" &amp; $A257, Table2[HomeTeam], B$1)</f>
        <v>0</v>
      </c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spans="1:33" x14ac:dyDescent="0.25">
      <c r="A258" s="3">
        <v>45824</v>
      </c>
      <c r="B258" s="2">
        <f>SUMIFS(Table2[NewPointsAway],Table2[GameDate], "&lt;=" &amp; $A258, Table2[AwayTeam], B$1)+SUMIFS(Table2[NewPointsHome],Table2[GameDate], "&lt;=" &amp; $A258, Table2[HomeTeam], B$1)</f>
        <v>0</v>
      </c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spans="1:33" x14ac:dyDescent="0.25">
      <c r="A259" s="3">
        <v>45825</v>
      </c>
      <c r="B259" s="2">
        <f>SUMIFS(Table2[NewPointsAway],Table2[GameDate], "&lt;=" &amp; $A259, Table2[AwayTeam], B$1)+SUMIFS(Table2[NewPointsHome],Table2[GameDate], "&lt;=" &amp; $A259, Table2[HomeTeam], B$1)</f>
        <v>0</v>
      </c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spans="1:33" x14ac:dyDescent="0.25">
      <c r="A260" s="3">
        <v>45826</v>
      </c>
      <c r="B260" s="2">
        <f>SUMIFS(Table2[NewPointsAway],Table2[GameDate], "&lt;=" &amp; $A260, Table2[AwayTeam], B$1)+SUMIFS(Table2[NewPointsHome],Table2[GameDate], "&lt;=" &amp; $A260, Table2[HomeTeam], B$1)</f>
        <v>0</v>
      </c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spans="1:33" x14ac:dyDescent="0.25">
      <c r="A261" s="3">
        <v>45827</v>
      </c>
      <c r="B261" s="2">
        <f>SUMIFS(Table2[NewPointsAway],Table2[GameDate], "&lt;=" &amp; $A261, Table2[AwayTeam], B$1)+SUMIFS(Table2[NewPointsHome],Table2[GameDate], "&lt;=" &amp; $A261, Table2[HomeTeam], B$1)</f>
        <v>0</v>
      </c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spans="1:33" x14ac:dyDescent="0.25">
      <c r="A262" s="3">
        <v>45828</v>
      </c>
      <c r="B262" s="2">
        <f>SUMIFS(Table2[NewPointsAway],Table2[GameDate], "&lt;=" &amp; $A262, Table2[AwayTeam], B$1)+SUMIFS(Table2[NewPointsHome],Table2[GameDate], "&lt;=" &amp; $A262, Table2[HomeTeam], B$1)</f>
        <v>0</v>
      </c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spans="1:33" x14ac:dyDescent="0.25">
      <c r="A263" s="3">
        <v>45829</v>
      </c>
      <c r="B263" s="2">
        <f>SUMIFS(Table2[NewPointsAway],Table2[GameDate], "&lt;=" &amp; $A263, Table2[AwayTeam], B$1)+SUMIFS(Table2[NewPointsHome],Table2[GameDate], "&lt;=" &amp; $A263, Table2[HomeTeam], B$1)</f>
        <v>0</v>
      </c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spans="1:33" x14ac:dyDescent="0.25">
      <c r="A264" s="3">
        <v>45830</v>
      </c>
      <c r="B264" s="2">
        <f>SUMIFS(Table2[NewPointsAway],Table2[GameDate], "&lt;=" &amp; $A264, Table2[AwayTeam], B$1)+SUMIFS(Table2[NewPointsHome],Table2[GameDate], "&lt;=" &amp; $A264, Table2[HomeTeam], B$1)</f>
        <v>0</v>
      </c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spans="1:33" x14ac:dyDescent="0.25">
      <c r="A265" s="3">
        <v>45831</v>
      </c>
      <c r="B265" s="2">
        <f>SUMIFS(Table2[NewPointsAway],Table2[GameDate], "&lt;=" &amp; $A265, Table2[AwayTeam], B$1)+SUMIFS(Table2[NewPointsHome],Table2[GameDate], "&lt;=" &amp; $A265, Table2[HomeTeam], B$1)</f>
        <v>0</v>
      </c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spans="1:33" x14ac:dyDescent="0.25">
      <c r="A266" s="3">
        <v>45832</v>
      </c>
      <c r="B266" s="2">
        <f>SUMIFS(Table2[NewPointsAway],Table2[GameDate], "&lt;=" &amp; $A266, Table2[AwayTeam], B$1)+SUMIFS(Table2[NewPointsHome],Table2[GameDate], "&lt;=" &amp; $A266, Table2[HomeTeam], B$1)</f>
        <v>0</v>
      </c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spans="1:33" x14ac:dyDescent="0.25">
      <c r="A267" s="3">
        <v>45833</v>
      </c>
      <c r="B267" s="2">
        <f>SUMIFS(Table2[NewPointsAway],Table2[GameDate], "&lt;=" &amp; $A267, Table2[AwayTeam], B$1)+SUMIFS(Table2[NewPointsHome],Table2[GameDate], "&lt;=" &amp; $A267, Table2[HomeTeam], B$1)</f>
        <v>0</v>
      </c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spans="1:33" x14ac:dyDescent="0.25">
      <c r="A268" s="3">
        <v>45834</v>
      </c>
      <c r="B268" s="2">
        <f>SUMIFS(Table2[NewPointsAway],Table2[GameDate], "&lt;=" &amp; $A268, Table2[AwayTeam], B$1)+SUMIFS(Table2[NewPointsHome],Table2[GameDate], "&lt;=" &amp; $A268, Table2[HomeTeam], B$1)</f>
        <v>0</v>
      </c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spans="1:33" x14ac:dyDescent="0.25">
      <c r="A269" s="3">
        <v>45835</v>
      </c>
      <c r="B269" s="2">
        <f>SUMIFS(Table2[NewPointsAway],Table2[GameDate], "&lt;=" &amp; $A269, Table2[AwayTeam], B$1)+SUMIFS(Table2[NewPointsHome],Table2[GameDate], "&lt;=" &amp; $A269, Table2[HomeTeam], B$1)</f>
        <v>0</v>
      </c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spans="1:33" x14ac:dyDescent="0.25">
      <c r="A270" s="3">
        <v>45836</v>
      </c>
      <c r="B270" s="2">
        <f>SUMIFS(Table2[NewPointsAway],Table2[GameDate], "&lt;=" &amp; $A270, Table2[AwayTeam], B$1)+SUMIFS(Table2[NewPointsHome],Table2[GameDate], "&lt;=" &amp; $A270, Table2[HomeTeam], B$1)</f>
        <v>0</v>
      </c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spans="1:33" x14ac:dyDescent="0.25">
      <c r="A271" s="3">
        <v>45837</v>
      </c>
      <c r="B271" s="2">
        <f>SUMIFS(Table2[NewPointsAway],Table2[GameDate], "&lt;=" &amp; $A271, Table2[AwayTeam], B$1)+SUMIFS(Table2[NewPointsHome],Table2[GameDate], "&lt;=" &amp; $A271, Table2[HomeTeam], B$1)</f>
        <v>0</v>
      </c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spans="1:33" x14ac:dyDescent="0.25">
      <c r="A272" s="3">
        <v>45838</v>
      </c>
      <c r="B272" s="2">
        <f>SUMIFS(Table2[NewPointsAway],Table2[GameDate], "&lt;=" &amp; $A272, Table2[AwayTeam], B$1)+SUMIFS(Table2[NewPointsHome],Table2[GameDate], "&lt;=" &amp; $A272, Table2[HomeTeam], B$1)</f>
        <v>0</v>
      </c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spans="1:33" x14ac:dyDescent="0.25">
      <c r="A273" s="3">
        <v>45839</v>
      </c>
      <c r="B273" s="2">
        <f>SUMIFS(Table2[NewPointsAway],Table2[GameDate], "&lt;=" &amp; $A273, Table2[AwayTeam], B$1)+SUMIFS(Table2[NewPointsHome],Table2[GameDate], "&lt;=" &amp; $A273, Table2[HomeTeam], B$1)</f>
        <v>0</v>
      </c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</sheetData>
  <conditionalFormatting sqref="B2:AG20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0792A-E85D-4C15-B461-53511291DEF8}">
  <dimension ref="A1:JO70"/>
  <sheetViews>
    <sheetView workbookViewId="0">
      <pane xSplit="1" topLeftCell="B1" activePane="topRight" state="frozen"/>
      <selection pane="topRight" activeCell="A24" sqref="A24"/>
    </sheetView>
  </sheetViews>
  <sheetFormatPr defaultColWidth="2.7109375" defaultRowHeight="15" x14ac:dyDescent="0.25"/>
  <cols>
    <col min="1" max="1" width="5.140625" bestFit="1" customWidth="1"/>
    <col min="172" max="275" width="3.7109375" customWidth="1"/>
  </cols>
  <sheetData>
    <row r="1" spans="1:275" s="21" customFormat="1" ht="66.75" customHeight="1" x14ac:dyDescent="0.25">
      <c r="A1" s="21" t="s">
        <v>433</v>
      </c>
      <c r="B1" s="21" t="s">
        <v>434</v>
      </c>
      <c r="C1" s="21" t="s">
        <v>435</v>
      </c>
      <c r="D1" s="22" t="s">
        <v>721</v>
      </c>
      <c r="E1" s="22" t="s">
        <v>722</v>
      </c>
      <c r="F1" s="22" t="s">
        <v>724</v>
      </c>
      <c r="G1" s="22" t="s">
        <v>723</v>
      </c>
      <c r="H1" s="22" t="s">
        <v>547</v>
      </c>
      <c r="I1" s="22" t="s">
        <v>548</v>
      </c>
      <c r="J1" s="22" t="s">
        <v>549</v>
      </c>
      <c r="K1" s="22" t="s">
        <v>550</v>
      </c>
      <c r="L1" s="22" t="s">
        <v>551</v>
      </c>
      <c r="M1" s="22" t="s">
        <v>552</v>
      </c>
      <c r="N1" s="22" t="s">
        <v>553</v>
      </c>
      <c r="O1" s="22" t="s">
        <v>554</v>
      </c>
      <c r="P1" s="22" t="s">
        <v>555</v>
      </c>
      <c r="Q1" s="22" t="s">
        <v>556</v>
      </c>
      <c r="R1" s="22" t="s">
        <v>557</v>
      </c>
      <c r="S1" s="22" t="s">
        <v>558</v>
      </c>
      <c r="T1" s="22" t="s">
        <v>559</v>
      </c>
      <c r="U1" s="22" t="s">
        <v>560</v>
      </c>
      <c r="V1" s="22" t="s">
        <v>561</v>
      </c>
      <c r="W1" s="22" t="s">
        <v>562</v>
      </c>
      <c r="X1" s="22" t="s">
        <v>563</v>
      </c>
      <c r="Y1" s="22" t="s">
        <v>564</v>
      </c>
      <c r="Z1" s="22" t="s">
        <v>565</v>
      </c>
      <c r="AA1" s="22" t="s">
        <v>566</v>
      </c>
      <c r="AB1" s="22" t="s">
        <v>567</v>
      </c>
      <c r="AC1" s="22" t="s">
        <v>568</v>
      </c>
      <c r="AD1" s="22" t="s">
        <v>569</v>
      </c>
      <c r="AE1" s="22" t="s">
        <v>570</v>
      </c>
      <c r="AF1" s="22" t="s">
        <v>571</v>
      </c>
      <c r="AG1" s="22" t="s">
        <v>572</v>
      </c>
      <c r="AH1" s="22" t="s">
        <v>573</v>
      </c>
      <c r="AI1" s="22" t="s">
        <v>574</v>
      </c>
      <c r="AJ1" s="22" t="s">
        <v>575</v>
      </c>
      <c r="AK1" s="22" t="s">
        <v>576</v>
      </c>
      <c r="AL1" s="22" t="s">
        <v>577</v>
      </c>
      <c r="AM1" s="22" t="s">
        <v>578</v>
      </c>
      <c r="AN1" s="22" t="s">
        <v>579</v>
      </c>
      <c r="AO1" s="22" t="s">
        <v>580</v>
      </c>
      <c r="AP1" s="22" t="s">
        <v>581</v>
      </c>
      <c r="AQ1" s="22" t="s">
        <v>582</v>
      </c>
      <c r="AR1" s="22" t="s">
        <v>583</v>
      </c>
      <c r="AS1" s="22" t="s">
        <v>584</v>
      </c>
      <c r="AT1" s="22" t="s">
        <v>585</v>
      </c>
      <c r="AU1" s="22" t="s">
        <v>586</v>
      </c>
      <c r="AV1" s="22" t="s">
        <v>587</v>
      </c>
      <c r="AW1" s="22" t="s">
        <v>588</v>
      </c>
      <c r="AX1" s="22" t="s">
        <v>589</v>
      </c>
      <c r="AY1" s="22" t="s">
        <v>590</v>
      </c>
      <c r="AZ1" s="22" t="s">
        <v>591</v>
      </c>
      <c r="BA1" s="22" t="s">
        <v>592</v>
      </c>
      <c r="BB1" s="22" t="s">
        <v>593</v>
      </c>
      <c r="BC1" s="22" t="s">
        <v>594</v>
      </c>
      <c r="BD1" s="22" t="s">
        <v>595</v>
      </c>
      <c r="BE1" s="22" t="s">
        <v>596</v>
      </c>
      <c r="BF1" s="22" t="s">
        <v>597</v>
      </c>
      <c r="BG1" s="22" t="s">
        <v>598</v>
      </c>
      <c r="BH1" s="22" t="s">
        <v>599</v>
      </c>
      <c r="BI1" s="22" t="s">
        <v>600</v>
      </c>
      <c r="BJ1" s="22" t="s">
        <v>601</v>
      </c>
      <c r="BK1" s="22" t="s">
        <v>725</v>
      </c>
      <c r="BL1" s="22" t="s">
        <v>602</v>
      </c>
      <c r="BM1" s="22" t="s">
        <v>603</v>
      </c>
      <c r="BN1" s="22" t="s">
        <v>604</v>
      </c>
      <c r="BO1" s="22" t="s">
        <v>605</v>
      </c>
      <c r="BP1" s="22" t="s">
        <v>606</v>
      </c>
      <c r="BQ1" s="22" t="s">
        <v>607</v>
      </c>
      <c r="BR1" s="22" t="s">
        <v>608</v>
      </c>
      <c r="BS1" s="22" t="s">
        <v>609</v>
      </c>
      <c r="BT1" s="22" t="s">
        <v>610</v>
      </c>
      <c r="BU1" s="22" t="s">
        <v>611</v>
      </c>
      <c r="BV1" s="22" t="s">
        <v>612</v>
      </c>
      <c r="BW1" s="22" t="s">
        <v>613</v>
      </c>
      <c r="BX1" s="22" t="s">
        <v>614</v>
      </c>
      <c r="BY1" s="22" t="s">
        <v>615</v>
      </c>
      <c r="BZ1" s="22" t="s">
        <v>616</v>
      </c>
      <c r="CA1" s="22" t="s">
        <v>617</v>
      </c>
      <c r="CB1" s="22" t="s">
        <v>618</v>
      </c>
      <c r="CC1" s="22" t="s">
        <v>619</v>
      </c>
      <c r="CD1" s="22" t="s">
        <v>620</v>
      </c>
      <c r="CE1" s="22" t="s">
        <v>621</v>
      </c>
      <c r="CF1" s="22" t="s">
        <v>622</v>
      </c>
      <c r="CG1" s="22" t="s">
        <v>623</v>
      </c>
      <c r="CH1" s="22" t="s">
        <v>624</v>
      </c>
      <c r="CI1" s="22" t="s">
        <v>726</v>
      </c>
      <c r="CJ1" s="22" t="s">
        <v>727</v>
      </c>
      <c r="CK1" s="22" t="s">
        <v>625</v>
      </c>
      <c r="CL1" s="22" t="s">
        <v>626</v>
      </c>
      <c r="CM1" s="22" t="s">
        <v>627</v>
      </c>
      <c r="CN1" s="22" t="s">
        <v>628</v>
      </c>
      <c r="CO1" s="22" t="s">
        <v>629</v>
      </c>
      <c r="CP1" s="22" t="s">
        <v>630</v>
      </c>
      <c r="CQ1" s="22" t="s">
        <v>631</v>
      </c>
      <c r="CR1" s="22" t="s">
        <v>632</v>
      </c>
      <c r="CS1" s="22" t="s">
        <v>633</v>
      </c>
      <c r="CT1" s="22" t="s">
        <v>634</v>
      </c>
      <c r="CU1" s="22" t="s">
        <v>635</v>
      </c>
      <c r="CV1" s="22" t="s">
        <v>636</v>
      </c>
      <c r="CW1" s="22" t="s">
        <v>637</v>
      </c>
      <c r="CX1" s="22" t="s">
        <v>638</v>
      </c>
      <c r="CY1" s="22" t="s">
        <v>639</v>
      </c>
      <c r="CZ1" s="22" t="s">
        <v>640</v>
      </c>
      <c r="DA1" s="22" t="s">
        <v>641</v>
      </c>
      <c r="DB1" s="22" t="s">
        <v>642</v>
      </c>
      <c r="DC1" s="22" t="s">
        <v>643</v>
      </c>
      <c r="DD1" s="22" t="s">
        <v>644</v>
      </c>
      <c r="DE1" s="22" t="s">
        <v>645</v>
      </c>
      <c r="DF1" s="22" t="s">
        <v>646</v>
      </c>
      <c r="DG1" s="22" t="s">
        <v>647</v>
      </c>
      <c r="DH1" s="22" t="s">
        <v>648</v>
      </c>
      <c r="DI1" s="22" t="s">
        <v>649</v>
      </c>
      <c r="DJ1" s="22" t="s">
        <v>650</v>
      </c>
      <c r="DK1" s="22" t="s">
        <v>651</v>
      </c>
      <c r="DL1" s="22" t="s">
        <v>652</v>
      </c>
      <c r="DM1" s="22" t="s">
        <v>653</v>
      </c>
      <c r="DN1" s="22" t="s">
        <v>654</v>
      </c>
      <c r="DO1" s="22" t="s">
        <v>655</v>
      </c>
      <c r="DP1" s="22" t="s">
        <v>656</v>
      </c>
      <c r="DQ1" s="22" t="s">
        <v>657</v>
      </c>
      <c r="DR1" s="22" t="s">
        <v>658</v>
      </c>
      <c r="DS1" s="22" t="s">
        <v>659</v>
      </c>
      <c r="DT1" s="22" t="s">
        <v>660</v>
      </c>
      <c r="DU1" s="22" t="s">
        <v>661</v>
      </c>
      <c r="DV1" s="22" t="s">
        <v>662</v>
      </c>
      <c r="DW1" s="22" t="s">
        <v>663</v>
      </c>
      <c r="DX1" s="22" t="s">
        <v>664</v>
      </c>
      <c r="DY1" s="22" t="s">
        <v>665</v>
      </c>
      <c r="DZ1" s="22" t="s">
        <v>666</v>
      </c>
      <c r="EA1" s="22" t="s">
        <v>728</v>
      </c>
      <c r="EB1" s="22" t="s">
        <v>729</v>
      </c>
      <c r="EC1" s="22" t="s">
        <v>730</v>
      </c>
      <c r="ED1" s="22" t="s">
        <v>731</v>
      </c>
      <c r="EE1" s="22" t="s">
        <v>732</v>
      </c>
      <c r="EF1" s="22" t="s">
        <v>733</v>
      </c>
      <c r="EG1" s="22" t="s">
        <v>734</v>
      </c>
      <c r="EH1" s="22" t="s">
        <v>735</v>
      </c>
      <c r="EI1" s="22" t="s">
        <v>736</v>
      </c>
      <c r="EJ1" s="22" t="s">
        <v>737</v>
      </c>
      <c r="EK1" s="22" t="s">
        <v>738</v>
      </c>
      <c r="EL1" s="22" t="s">
        <v>739</v>
      </c>
      <c r="EM1" s="22" t="s">
        <v>740</v>
      </c>
      <c r="EN1" s="22" t="s">
        <v>741</v>
      </c>
      <c r="EO1" s="22" t="s">
        <v>742</v>
      </c>
      <c r="EP1" s="22" t="s">
        <v>743</v>
      </c>
      <c r="EQ1" s="22" t="s">
        <v>744</v>
      </c>
      <c r="ER1" s="22" t="s">
        <v>745</v>
      </c>
      <c r="ES1" s="22" t="s">
        <v>746</v>
      </c>
      <c r="ET1" s="22" t="s">
        <v>667</v>
      </c>
      <c r="EU1" s="22" t="s">
        <v>668</v>
      </c>
      <c r="EV1" s="22" t="s">
        <v>669</v>
      </c>
      <c r="EW1" s="22" t="s">
        <v>670</v>
      </c>
      <c r="EX1" s="22" t="s">
        <v>671</v>
      </c>
      <c r="EY1" s="22" t="s">
        <v>672</v>
      </c>
      <c r="EZ1" s="22" t="s">
        <v>673</v>
      </c>
      <c r="FA1" s="22" t="s">
        <v>674</v>
      </c>
      <c r="FB1" s="22" t="s">
        <v>675</v>
      </c>
      <c r="FC1" s="22" t="s">
        <v>676</v>
      </c>
      <c r="FD1" s="22" t="s">
        <v>677</v>
      </c>
      <c r="FE1" s="22" t="s">
        <v>678</v>
      </c>
      <c r="FF1" s="22" t="s">
        <v>679</v>
      </c>
      <c r="FG1" s="22" t="s">
        <v>680</v>
      </c>
      <c r="FH1" s="22" t="s">
        <v>681</v>
      </c>
      <c r="FI1" s="22" t="s">
        <v>682</v>
      </c>
      <c r="FJ1" s="22" t="s">
        <v>683</v>
      </c>
      <c r="FK1" s="22" t="s">
        <v>684</v>
      </c>
      <c r="FL1" s="22" t="s">
        <v>685</v>
      </c>
      <c r="FM1" s="22" t="s">
        <v>686</v>
      </c>
      <c r="FN1" s="22" t="s">
        <v>687</v>
      </c>
      <c r="FO1" s="22" t="s">
        <v>688</v>
      </c>
      <c r="FP1" s="22" t="s">
        <v>689</v>
      </c>
      <c r="FQ1" s="22" t="s">
        <v>690</v>
      </c>
      <c r="FR1" s="22" t="s">
        <v>691</v>
      </c>
      <c r="FS1" s="22" t="s">
        <v>692</v>
      </c>
      <c r="FT1" s="22" t="s">
        <v>693</v>
      </c>
      <c r="FU1" s="22" t="s">
        <v>694</v>
      </c>
      <c r="FV1" s="22" t="s">
        <v>695</v>
      </c>
      <c r="FW1" s="22" t="s">
        <v>696</v>
      </c>
      <c r="FX1" s="22" t="s">
        <v>697</v>
      </c>
      <c r="FY1" s="22" t="s">
        <v>698</v>
      </c>
      <c r="FZ1" s="22" t="s">
        <v>699</v>
      </c>
      <c r="GA1" s="22" t="s">
        <v>700</v>
      </c>
      <c r="GB1" s="22" t="s">
        <v>701</v>
      </c>
      <c r="GC1" s="22" t="s">
        <v>702</v>
      </c>
      <c r="GD1" s="22" t="s">
        <v>703</v>
      </c>
      <c r="GE1" s="22" t="s">
        <v>704</v>
      </c>
      <c r="GF1" s="22" t="s">
        <v>705</v>
      </c>
      <c r="GG1" s="22" t="s">
        <v>706</v>
      </c>
      <c r="GH1" s="22" t="s">
        <v>707</v>
      </c>
      <c r="GI1" s="22" t="s">
        <v>708</v>
      </c>
      <c r="GJ1" s="22" t="s">
        <v>709</v>
      </c>
      <c r="GK1" s="22" t="s">
        <v>710</v>
      </c>
      <c r="GL1" s="22" t="s">
        <v>711</v>
      </c>
      <c r="GM1" s="22" t="s">
        <v>712</v>
      </c>
      <c r="GN1" s="22" t="s">
        <v>713</v>
      </c>
      <c r="GO1" s="22" t="s">
        <v>714</v>
      </c>
      <c r="GP1" s="22" t="s">
        <v>715</v>
      </c>
      <c r="GQ1" s="22" t="s">
        <v>716</v>
      </c>
      <c r="GR1" s="22" t="s">
        <v>717</v>
      </c>
      <c r="GS1" s="22" t="s">
        <v>747</v>
      </c>
      <c r="GT1" s="22" t="s">
        <v>748</v>
      </c>
      <c r="GU1" s="22" t="s">
        <v>749</v>
      </c>
      <c r="GV1" s="22" t="s">
        <v>361</v>
      </c>
      <c r="GW1" s="22" t="s">
        <v>362</v>
      </c>
      <c r="GX1" s="22" t="s">
        <v>363</v>
      </c>
      <c r="GY1" s="22" t="s">
        <v>364</v>
      </c>
      <c r="GZ1" s="22" t="s">
        <v>365</v>
      </c>
      <c r="HA1" s="22" t="s">
        <v>366</v>
      </c>
      <c r="HB1" s="22" t="s">
        <v>367</v>
      </c>
      <c r="HC1" s="22" t="s">
        <v>368</v>
      </c>
      <c r="HD1" s="22" t="s">
        <v>369</v>
      </c>
      <c r="HE1" s="22" t="s">
        <v>370</v>
      </c>
      <c r="HF1" s="22" t="s">
        <v>371</v>
      </c>
      <c r="HG1" s="22" t="s">
        <v>372</v>
      </c>
      <c r="HH1" s="22" t="s">
        <v>373</v>
      </c>
      <c r="HI1" s="22" t="s">
        <v>374</v>
      </c>
      <c r="HJ1" s="22" t="s">
        <v>375</v>
      </c>
      <c r="HK1" s="22" t="s">
        <v>376</v>
      </c>
      <c r="HL1" s="22" t="s">
        <v>377</v>
      </c>
      <c r="HM1" s="22" t="s">
        <v>378</v>
      </c>
      <c r="HN1" s="22" t="s">
        <v>379</v>
      </c>
      <c r="HO1" s="22" t="s">
        <v>380</v>
      </c>
      <c r="HP1" s="22" t="s">
        <v>381</v>
      </c>
      <c r="HQ1" s="22" t="s">
        <v>382</v>
      </c>
      <c r="HR1" s="22" t="s">
        <v>383</v>
      </c>
      <c r="HS1" s="22" t="s">
        <v>384</v>
      </c>
      <c r="HT1" s="22" t="s">
        <v>385</v>
      </c>
      <c r="HU1" s="22" t="s">
        <v>386</v>
      </c>
      <c r="HV1" s="22" t="s">
        <v>387</v>
      </c>
      <c r="HW1" s="22" t="s">
        <v>388</v>
      </c>
      <c r="HX1" s="22" t="s">
        <v>389</v>
      </c>
      <c r="HY1" s="22" t="s">
        <v>390</v>
      </c>
      <c r="HZ1" s="22" t="s">
        <v>391</v>
      </c>
      <c r="IA1" s="22" t="s">
        <v>392</v>
      </c>
      <c r="IB1" s="22" t="s">
        <v>393</v>
      </c>
      <c r="IC1" s="22" t="s">
        <v>394</v>
      </c>
      <c r="ID1" s="22" t="s">
        <v>395</v>
      </c>
      <c r="IE1" s="22" t="s">
        <v>396</v>
      </c>
      <c r="IF1" s="22" t="s">
        <v>397</v>
      </c>
      <c r="IG1" s="22" t="s">
        <v>398</v>
      </c>
      <c r="IH1" s="22" t="s">
        <v>399</v>
      </c>
      <c r="II1" s="22" t="s">
        <v>400</v>
      </c>
      <c r="IJ1" s="22" t="s">
        <v>401</v>
      </c>
      <c r="IK1" s="22" t="s">
        <v>402</v>
      </c>
      <c r="IL1" s="22" t="s">
        <v>403</v>
      </c>
      <c r="IM1" s="22" t="s">
        <v>404</v>
      </c>
      <c r="IN1" s="22" t="s">
        <v>405</v>
      </c>
      <c r="IO1" s="22" t="s">
        <v>406</v>
      </c>
      <c r="IP1" s="22" t="s">
        <v>407</v>
      </c>
      <c r="IQ1" s="22" t="s">
        <v>408</v>
      </c>
      <c r="IR1" s="22" t="s">
        <v>409</v>
      </c>
      <c r="IS1" s="22" t="s">
        <v>410</v>
      </c>
      <c r="IT1" s="22" t="s">
        <v>411</v>
      </c>
      <c r="IU1" s="22" t="s">
        <v>412</v>
      </c>
      <c r="IV1" s="22" t="s">
        <v>413</v>
      </c>
      <c r="IW1" s="22" t="s">
        <v>414</v>
      </c>
      <c r="IX1" s="22" t="s">
        <v>415</v>
      </c>
      <c r="IY1" s="22" t="s">
        <v>416</v>
      </c>
      <c r="IZ1" s="22" t="s">
        <v>417</v>
      </c>
      <c r="JA1" s="22" t="s">
        <v>418</v>
      </c>
      <c r="JB1" s="22" t="s">
        <v>419</v>
      </c>
      <c r="JC1" s="22" t="s">
        <v>420</v>
      </c>
      <c r="JD1" s="22" t="s">
        <v>421</v>
      </c>
      <c r="JE1" s="22" t="s">
        <v>422</v>
      </c>
      <c r="JF1" s="22" t="s">
        <v>423</v>
      </c>
      <c r="JG1" s="22" t="s">
        <v>424</v>
      </c>
      <c r="JH1" s="22" t="s">
        <v>425</v>
      </c>
      <c r="JI1" s="22" t="s">
        <v>426</v>
      </c>
      <c r="JJ1" s="22" t="s">
        <v>427</v>
      </c>
      <c r="JK1" s="22" t="s">
        <v>428</v>
      </c>
      <c r="JL1" s="22" t="s">
        <v>429</v>
      </c>
      <c r="JM1" s="22" t="s">
        <v>430</v>
      </c>
      <c r="JN1" s="22" t="s">
        <v>431</v>
      </c>
      <c r="JO1" s="22" t="s">
        <v>432</v>
      </c>
    </row>
    <row r="2" spans="1:275" x14ac:dyDescent="0.25">
      <c r="A2" t="s">
        <v>30</v>
      </c>
      <c r="B2" t="s">
        <v>91</v>
      </c>
      <c r="C2" s="105" t="s">
        <v>74</v>
      </c>
      <c r="D2">
        <f>SUMIFS(DataRegularSeason20242025!$AA$3:$AA$1315,DataRegularSeason20242025!$B$3:$B$1315, "&lt;=" &amp; D$1, DataRegularSeason20242025!$D$3:$D$1315, $A2)+SUMIFS(DataRegularSeason20242025!$AB$3:$AB$1315,DataRegularSeason20242025!$B$3:$B$1315, "&lt;=" &amp; D$1, DataRegularSeason20242025!$E$3:$E$1315, $A2)</f>
        <v>0</v>
      </c>
      <c r="E2">
        <f>SUMIFS(DataRegularSeason20242025!$AA$3:$AA$1315,DataRegularSeason20242025!$B$3:$B$1315, "&lt;=" &amp; E$1, DataRegularSeason20242025!$D$3:$D$1315, $A2)+SUMIFS(DataRegularSeason20242025!$AB$3:$AB$1315,DataRegularSeason20242025!$B$3:$B$1315, "&lt;=" &amp; E$1, DataRegularSeason20242025!$E$3:$E$1315, $A2)</f>
        <v>0</v>
      </c>
      <c r="F2">
        <f>SUMIFS(DataRegularSeason20242025!$AA$3:$AA$1315,DataRegularSeason20242025!$B$3:$B$1315, "&lt;=" &amp; F$1, DataRegularSeason20242025!$D$3:$D$1315, $A2)+SUMIFS(DataRegularSeason20242025!$AB$3:$AB$1315,DataRegularSeason20242025!$B$3:$B$1315, "&lt;=" &amp; F$1, DataRegularSeason20242025!$E$3:$E$1315, $A2)</f>
        <v>0</v>
      </c>
      <c r="G2">
        <f>SUMIFS(DataRegularSeason20242025!$AA$3:$AA$1315,DataRegularSeason20242025!$B$3:$B$1315, "&lt;=" &amp; G$1, DataRegularSeason20242025!$D$3:$D$1315, $A2)+SUMIFS(DataRegularSeason20242025!$AB$3:$AB$1315,DataRegularSeason20242025!$B$3:$B$1315, "&lt;=" &amp; G$1, DataRegularSeason20242025!$E$3:$E$1315, $A2)</f>
        <v>0</v>
      </c>
      <c r="H2">
        <f>SUMIFS(DataRegularSeason20242025!$AA$3:$AA$1315,DataRegularSeason20242025!$B$3:$B$1315, "&lt;=" &amp; H$1, DataRegularSeason20242025!$D$3:$D$1315, $A2)+SUMIFS(DataRegularSeason20242025!$AB$3:$AB$1315,DataRegularSeason20242025!$B$3:$B$1315, "&lt;=" &amp; H$1, DataRegularSeason20242025!$E$3:$E$1315, $A2)</f>
        <v>0</v>
      </c>
      <c r="I2">
        <f>SUMIFS(DataRegularSeason20242025!$AA$3:$AA$1315,DataRegularSeason20242025!$B$3:$B$1315, "&lt;=" &amp; I$1, DataRegularSeason20242025!$D$3:$D$1315, $A2)+SUMIFS(DataRegularSeason20242025!$AB$3:$AB$1315,DataRegularSeason20242025!$B$3:$B$1315, "&lt;=" &amp; I$1, DataRegularSeason20242025!$E$3:$E$1315, $A2)</f>
        <v>0</v>
      </c>
      <c r="J2">
        <f>SUMIFS(DataRegularSeason20242025!$AA$3:$AA$1315,DataRegularSeason20242025!$B$3:$B$1315, "&lt;=" &amp; J$1, DataRegularSeason20242025!$D$3:$D$1315, $A2)+SUMIFS(DataRegularSeason20242025!$AB$3:$AB$1315,DataRegularSeason20242025!$B$3:$B$1315, "&lt;=" &amp; J$1, DataRegularSeason20242025!$E$3:$E$1315, $A2)</f>
        <v>0</v>
      </c>
      <c r="K2">
        <f>SUMIFS(DataRegularSeason20242025!$AA$3:$AA$1315,DataRegularSeason20242025!$B$3:$B$1315, "&lt;=" &amp; K$1, DataRegularSeason20242025!$D$3:$D$1315, $A2)+SUMIFS(DataRegularSeason20242025!$AB$3:$AB$1315,DataRegularSeason20242025!$B$3:$B$1315, "&lt;=" &amp; K$1, DataRegularSeason20242025!$E$3:$E$1315, $A2)</f>
        <v>0</v>
      </c>
      <c r="L2">
        <f>SUMIFS(DataRegularSeason20242025!$AA$3:$AA$1315,DataRegularSeason20242025!$B$3:$B$1315, "&lt;=" &amp; L$1, DataRegularSeason20242025!$D$3:$D$1315, $A2)+SUMIFS(DataRegularSeason20242025!$AB$3:$AB$1315,DataRegularSeason20242025!$B$3:$B$1315, "&lt;=" &amp; L$1, DataRegularSeason20242025!$E$3:$E$1315, $A2)</f>
        <v>2</v>
      </c>
      <c r="M2">
        <f>SUMIFS(DataRegularSeason20242025!$AA$3:$AA$1315,DataRegularSeason20242025!$B$3:$B$1315, "&lt;=" &amp; M$1, DataRegularSeason20242025!$D$3:$D$1315, $A2)+SUMIFS(DataRegularSeason20242025!$AB$3:$AB$1315,DataRegularSeason20242025!$B$3:$B$1315, "&lt;=" &amp; M$1, DataRegularSeason20242025!$E$3:$E$1315, $A2)</f>
        <v>2</v>
      </c>
      <c r="N2">
        <f>SUMIFS(DataRegularSeason20242025!$AA$3:$AA$1315,DataRegularSeason20242025!$B$3:$B$1315, "&lt;=" &amp; N$1, DataRegularSeason20242025!$D$3:$D$1315, $A2)+SUMIFS(DataRegularSeason20242025!$AB$3:$AB$1315,DataRegularSeason20242025!$B$3:$B$1315, "&lt;=" &amp; N$1, DataRegularSeason20242025!$E$3:$E$1315, $A2)</f>
        <v>4</v>
      </c>
      <c r="O2">
        <f>SUMIFS(DataRegularSeason20242025!$AA$3:$AA$1315,DataRegularSeason20242025!$B$3:$B$1315, "&lt;=" &amp; O$1, DataRegularSeason20242025!$D$3:$D$1315, $A2)+SUMIFS(DataRegularSeason20242025!$AB$3:$AB$1315,DataRegularSeason20242025!$B$3:$B$1315, "&lt;=" &amp; O$1, DataRegularSeason20242025!$E$3:$E$1315, $A2)</f>
        <v>4</v>
      </c>
      <c r="P2">
        <f>SUMIFS(DataRegularSeason20242025!$AA$3:$AA$1315,DataRegularSeason20242025!$B$3:$B$1315, "&lt;=" &amp; P$1, DataRegularSeason20242025!$D$3:$D$1315, $A2)+SUMIFS(DataRegularSeason20242025!$AB$3:$AB$1315,DataRegularSeason20242025!$B$3:$B$1315, "&lt;=" &amp; P$1, DataRegularSeason20242025!$E$3:$E$1315, $A2)</f>
        <v>6</v>
      </c>
      <c r="Q2">
        <f>SUMIFS(DataRegularSeason20242025!$AA$3:$AA$1315,DataRegularSeason20242025!$B$3:$B$1315, "&lt;=" &amp; Q$1, DataRegularSeason20242025!$D$3:$D$1315, $A2)+SUMIFS(DataRegularSeason20242025!$AB$3:$AB$1315,DataRegularSeason20242025!$B$3:$B$1315, "&lt;=" &amp; Q$1, DataRegularSeason20242025!$E$3:$E$1315, $A2)</f>
        <v>6</v>
      </c>
      <c r="R2">
        <f>SUMIFS(DataRegularSeason20242025!$AA$3:$AA$1315,DataRegularSeason20242025!$B$3:$B$1315, "&lt;=" &amp; R$1, DataRegularSeason20242025!$D$3:$D$1315, $A2)+SUMIFS(DataRegularSeason20242025!$AB$3:$AB$1315,DataRegularSeason20242025!$B$3:$B$1315, "&lt;=" &amp; R$1, DataRegularSeason20242025!$E$3:$E$1315, $A2)</f>
        <v>8</v>
      </c>
      <c r="S2">
        <f>SUMIFS(DataRegularSeason20242025!$AA$3:$AA$1315,DataRegularSeason20242025!$B$3:$B$1315, "&lt;=" &amp; S$1, DataRegularSeason20242025!$D$3:$D$1315, $A2)+SUMIFS(DataRegularSeason20242025!$AB$3:$AB$1315,DataRegularSeason20242025!$B$3:$B$1315, "&lt;=" &amp; S$1, DataRegularSeason20242025!$E$3:$E$1315, $A2)</f>
        <v>8</v>
      </c>
      <c r="T2">
        <f>SUMIFS(DataRegularSeason20242025!$AA$3:$AA$1315,DataRegularSeason20242025!$B$3:$B$1315, "&lt;=" &amp; T$1, DataRegularSeason20242025!$D$3:$D$1315, $A2)+SUMIFS(DataRegularSeason20242025!$AB$3:$AB$1315,DataRegularSeason20242025!$B$3:$B$1315, "&lt;=" &amp; T$1, DataRegularSeason20242025!$E$3:$E$1315, $A2)</f>
        <v>10</v>
      </c>
      <c r="U2">
        <f>SUMIFS(DataRegularSeason20242025!$AA$3:$AA$1315,DataRegularSeason20242025!$B$3:$B$1315, "&lt;=" &amp; U$1, DataRegularSeason20242025!$D$3:$D$1315, $A2)+SUMIFS(DataRegularSeason20242025!$AB$3:$AB$1315,DataRegularSeason20242025!$B$3:$B$1315, "&lt;=" &amp; U$1, DataRegularSeason20242025!$E$3:$E$1315, $A2)</f>
        <v>10</v>
      </c>
      <c r="V2">
        <f>SUMIFS(DataRegularSeason20242025!$AA$3:$AA$1315,DataRegularSeason20242025!$B$3:$B$1315, "&lt;=" &amp; V$1, DataRegularSeason20242025!$D$3:$D$1315, $A2)+SUMIFS(DataRegularSeason20242025!$AB$3:$AB$1315,DataRegularSeason20242025!$B$3:$B$1315, "&lt;=" &amp; V$1, DataRegularSeason20242025!$E$3:$E$1315, $A2)</f>
        <v>10</v>
      </c>
      <c r="W2">
        <f>SUMIFS(DataRegularSeason20242025!$AA$3:$AA$1315,DataRegularSeason20242025!$B$3:$B$1315, "&lt;=" &amp; W$1, DataRegularSeason20242025!$D$3:$D$1315, $A2)+SUMIFS(DataRegularSeason20242025!$AB$3:$AB$1315,DataRegularSeason20242025!$B$3:$B$1315, "&lt;=" &amp; W$1, DataRegularSeason20242025!$E$3:$E$1315, $A2)</f>
        <v>10</v>
      </c>
      <c r="X2">
        <f>SUMIFS(DataRegularSeason20242025!$AA$3:$AA$1315,DataRegularSeason20242025!$B$3:$B$1315, "&lt;=" &amp; X$1, DataRegularSeason20242025!$D$3:$D$1315, $A2)+SUMIFS(DataRegularSeason20242025!$AB$3:$AB$1315,DataRegularSeason20242025!$B$3:$B$1315, "&lt;=" &amp; X$1, DataRegularSeason20242025!$E$3:$E$1315, $A2)</f>
        <v>10</v>
      </c>
      <c r="Y2">
        <f>SUMIFS(DataRegularSeason20242025!$AA$3:$AA$1315,DataRegularSeason20242025!$B$3:$B$1315, "&lt;=" &amp; Y$1, DataRegularSeason20242025!$D$3:$D$1315, $A2)+SUMIFS(DataRegularSeason20242025!$AB$3:$AB$1315,DataRegularSeason20242025!$B$3:$B$1315, "&lt;=" &amp; Y$1, DataRegularSeason20242025!$E$3:$E$1315, $A2)</f>
        <v>10</v>
      </c>
      <c r="Z2">
        <f>SUMIFS(DataRegularSeason20242025!$AA$3:$AA$1315,DataRegularSeason20242025!$B$3:$B$1315, "&lt;=" &amp; Z$1, DataRegularSeason20242025!$D$3:$D$1315, $A2)+SUMIFS(DataRegularSeason20242025!$AB$3:$AB$1315,DataRegularSeason20242025!$B$3:$B$1315, "&lt;=" &amp; Z$1, DataRegularSeason20242025!$E$3:$E$1315, $A2)</f>
        <v>10</v>
      </c>
      <c r="AA2">
        <f>SUMIFS(DataRegularSeason20242025!$AA$3:$AA$1315,DataRegularSeason20242025!$B$3:$B$1315, "&lt;=" &amp; AA$1, DataRegularSeason20242025!$D$3:$D$1315, $A2)+SUMIFS(DataRegularSeason20242025!$AB$3:$AB$1315,DataRegularSeason20242025!$B$3:$B$1315, "&lt;=" &amp; AA$1, DataRegularSeason20242025!$E$3:$E$1315, $A2)</f>
        <v>10</v>
      </c>
      <c r="AB2">
        <f>SUMIFS(DataRegularSeason20242025!$AA$3:$AA$1315,DataRegularSeason20242025!$B$3:$B$1315, "&lt;=" &amp; AB$1, DataRegularSeason20242025!$D$3:$D$1315, $A2)+SUMIFS(DataRegularSeason20242025!$AB$3:$AB$1315,DataRegularSeason20242025!$B$3:$B$1315, "&lt;=" &amp; AB$1, DataRegularSeason20242025!$E$3:$E$1315, $A2)</f>
        <v>10</v>
      </c>
      <c r="AC2">
        <f>SUMIFS(DataRegularSeason20242025!$AA$3:$AA$1315,DataRegularSeason20242025!$B$3:$B$1315, "&lt;=" &amp; AC$1, DataRegularSeason20242025!$D$3:$D$1315, $A2)+SUMIFS(DataRegularSeason20242025!$AB$3:$AB$1315,DataRegularSeason20242025!$B$3:$B$1315, "&lt;=" &amp; AC$1, DataRegularSeason20242025!$E$3:$E$1315, $A2)</f>
        <v>10</v>
      </c>
      <c r="AD2">
        <f>SUMIFS(DataRegularSeason20242025!$AA$3:$AA$1315,DataRegularSeason20242025!$B$3:$B$1315, "&lt;=" &amp; AD$1, DataRegularSeason20242025!$D$3:$D$1315, $A2)+SUMIFS(DataRegularSeason20242025!$AB$3:$AB$1315,DataRegularSeason20242025!$B$3:$B$1315, "&lt;=" &amp; AD$1, DataRegularSeason20242025!$E$3:$E$1315, $A2)</f>
        <v>10</v>
      </c>
      <c r="AE2">
        <f>SUMIFS(DataRegularSeason20242025!$AA$3:$AA$1315,DataRegularSeason20242025!$B$3:$B$1315, "&lt;=" &amp; AE$1, DataRegularSeason20242025!$D$3:$D$1315, $A2)+SUMIFS(DataRegularSeason20242025!$AB$3:$AB$1315,DataRegularSeason20242025!$B$3:$B$1315, "&lt;=" &amp; AE$1, DataRegularSeason20242025!$E$3:$E$1315, $A2)</f>
        <v>10</v>
      </c>
      <c r="AF2">
        <f>SUMIFS(DataRegularSeason20242025!$AA$3:$AA$1315,DataRegularSeason20242025!$B$3:$B$1315, "&lt;=" &amp; AF$1, DataRegularSeason20242025!$D$3:$D$1315, $A2)+SUMIFS(DataRegularSeason20242025!$AB$3:$AB$1315,DataRegularSeason20242025!$B$3:$B$1315, "&lt;=" &amp; AF$1, DataRegularSeason20242025!$E$3:$E$1315, $A2)</f>
        <v>10</v>
      </c>
      <c r="AG2">
        <f>SUMIFS(DataRegularSeason20242025!$AA$3:$AA$1315,DataRegularSeason20242025!$B$3:$B$1315, "&lt;=" &amp; AG$1, DataRegularSeason20242025!$D$3:$D$1315, $A2)+SUMIFS(DataRegularSeason20242025!$AB$3:$AB$1315,DataRegularSeason20242025!$B$3:$B$1315, "&lt;=" &amp; AG$1, DataRegularSeason20242025!$E$3:$E$1315, $A2)</f>
        <v>10</v>
      </c>
      <c r="AH2">
        <f>SUMIFS(DataRegularSeason20242025!$AA$3:$AA$1315,DataRegularSeason20242025!$B$3:$B$1315, "&lt;=" &amp; AH$1, DataRegularSeason20242025!$D$3:$D$1315, $A2)+SUMIFS(DataRegularSeason20242025!$AB$3:$AB$1315,DataRegularSeason20242025!$B$3:$B$1315, "&lt;=" &amp; AH$1, DataRegularSeason20242025!$E$3:$E$1315, $A2)</f>
        <v>10</v>
      </c>
      <c r="AI2">
        <f>SUMIFS(DataRegularSeason20242025!$AA$3:$AA$1315,DataRegularSeason20242025!$B$3:$B$1315, "&lt;=" &amp; AI$1, DataRegularSeason20242025!$D$3:$D$1315, $A2)+SUMIFS(DataRegularSeason20242025!$AB$3:$AB$1315,DataRegularSeason20242025!$B$3:$B$1315, "&lt;=" &amp; AI$1, DataRegularSeason20242025!$E$3:$E$1315, $A2)</f>
        <v>10</v>
      </c>
      <c r="AJ2">
        <f>SUMIFS(DataRegularSeason20242025!$AA$3:$AA$1315,DataRegularSeason20242025!$B$3:$B$1315, "&lt;=" &amp; AJ$1, DataRegularSeason20242025!$D$3:$D$1315, $A2)+SUMIFS(DataRegularSeason20242025!$AB$3:$AB$1315,DataRegularSeason20242025!$B$3:$B$1315, "&lt;=" &amp; AJ$1, DataRegularSeason20242025!$E$3:$E$1315, $A2)</f>
        <v>10</v>
      </c>
      <c r="AK2">
        <f>SUMIFS(DataRegularSeason20242025!$AA$3:$AA$1315,DataRegularSeason20242025!$B$3:$B$1315, "&lt;=" &amp; AK$1, DataRegularSeason20242025!$D$3:$D$1315, $A2)+SUMIFS(DataRegularSeason20242025!$AB$3:$AB$1315,DataRegularSeason20242025!$B$3:$B$1315, "&lt;=" &amp; AK$1, DataRegularSeason20242025!$E$3:$E$1315, $A2)</f>
        <v>10</v>
      </c>
      <c r="AL2">
        <f>SUMIFS(DataRegularSeason20242025!$AA$3:$AA$1315,DataRegularSeason20242025!$B$3:$B$1315, "&lt;=" &amp; AL$1, DataRegularSeason20242025!$D$3:$D$1315, $A2)+SUMIFS(DataRegularSeason20242025!$AB$3:$AB$1315,DataRegularSeason20242025!$B$3:$B$1315, "&lt;=" &amp; AL$1, DataRegularSeason20242025!$E$3:$E$1315, $A2)</f>
        <v>10</v>
      </c>
      <c r="AM2">
        <f>SUMIFS(DataRegularSeason20242025!$AA$3:$AA$1315,DataRegularSeason20242025!$B$3:$B$1315, "&lt;=" &amp; AM$1, DataRegularSeason20242025!$D$3:$D$1315, $A2)+SUMIFS(DataRegularSeason20242025!$AB$3:$AB$1315,DataRegularSeason20242025!$B$3:$B$1315, "&lt;=" &amp; AM$1, DataRegularSeason20242025!$E$3:$E$1315, $A2)</f>
        <v>10</v>
      </c>
      <c r="AN2">
        <f>SUMIFS(DataRegularSeason20242025!$AA$3:$AA$1315,DataRegularSeason20242025!$B$3:$B$1315, "&lt;=" &amp; AN$1, DataRegularSeason20242025!$D$3:$D$1315, $A2)+SUMIFS(DataRegularSeason20242025!$AB$3:$AB$1315,DataRegularSeason20242025!$B$3:$B$1315, "&lt;=" &amp; AN$1, DataRegularSeason20242025!$E$3:$E$1315, $A2)</f>
        <v>10</v>
      </c>
      <c r="AO2">
        <f>SUMIFS(DataRegularSeason20242025!$AA$3:$AA$1315,DataRegularSeason20242025!$B$3:$B$1315, "&lt;=" &amp; AO$1, DataRegularSeason20242025!$D$3:$D$1315, $A2)+SUMIFS(DataRegularSeason20242025!$AB$3:$AB$1315,DataRegularSeason20242025!$B$3:$B$1315, "&lt;=" &amp; AO$1, DataRegularSeason20242025!$E$3:$E$1315, $A2)</f>
        <v>10</v>
      </c>
      <c r="AP2">
        <f>SUMIFS(DataRegularSeason20242025!$AA$3:$AA$1315,DataRegularSeason20242025!$B$3:$B$1315, "&lt;=" &amp; AP$1, DataRegularSeason20242025!$D$3:$D$1315, $A2)+SUMIFS(DataRegularSeason20242025!$AB$3:$AB$1315,DataRegularSeason20242025!$B$3:$B$1315, "&lt;=" &amp; AP$1, DataRegularSeason20242025!$E$3:$E$1315, $A2)</f>
        <v>10</v>
      </c>
      <c r="AQ2">
        <f>SUMIFS(DataRegularSeason20242025!$AA$3:$AA$1315,DataRegularSeason20242025!$B$3:$B$1315, "&lt;=" &amp; AQ$1, DataRegularSeason20242025!$D$3:$D$1315, $A2)+SUMIFS(DataRegularSeason20242025!$AB$3:$AB$1315,DataRegularSeason20242025!$B$3:$B$1315, "&lt;=" &amp; AQ$1, DataRegularSeason20242025!$E$3:$E$1315, $A2)</f>
        <v>10</v>
      </c>
      <c r="AR2">
        <f>SUMIFS(DataRegularSeason20242025!$AA$3:$AA$1315,DataRegularSeason20242025!$B$3:$B$1315, "&lt;=" &amp; AR$1, DataRegularSeason20242025!$D$3:$D$1315, $A2)+SUMIFS(DataRegularSeason20242025!$AB$3:$AB$1315,DataRegularSeason20242025!$B$3:$B$1315, "&lt;=" &amp; AR$1, DataRegularSeason20242025!$E$3:$E$1315, $A2)</f>
        <v>10</v>
      </c>
      <c r="AS2">
        <f>SUMIFS(DataRegularSeason20242025!$AA$3:$AA$1315,DataRegularSeason20242025!$B$3:$B$1315, "&lt;=" &amp; AS$1, DataRegularSeason20242025!$D$3:$D$1315, $A2)+SUMIFS(DataRegularSeason20242025!$AB$3:$AB$1315,DataRegularSeason20242025!$B$3:$B$1315, "&lt;=" &amp; AS$1, DataRegularSeason20242025!$E$3:$E$1315, $A2)</f>
        <v>10</v>
      </c>
      <c r="AT2">
        <f>SUMIFS(DataRegularSeason20242025!$AA$3:$AA$1315,DataRegularSeason20242025!$B$3:$B$1315, "&lt;=" &amp; AT$1, DataRegularSeason20242025!$D$3:$D$1315, $A2)+SUMIFS(DataRegularSeason20242025!$AB$3:$AB$1315,DataRegularSeason20242025!$B$3:$B$1315, "&lt;=" &amp; AT$1, DataRegularSeason20242025!$E$3:$E$1315, $A2)</f>
        <v>10</v>
      </c>
      <c r="AU2">
        <f>SUMIFS(DataRegularSeason20242025!$AA$3:$AA$1315,DataRegularSeason20242025!$B$3:$B$1315, "&lt;=" &amp; AU$1, DataRegularSeason20242025!$D$3:$D$1315, $A2)+SUMIFS(DataRegularSeason20242025!$AB$3:$AB$1315,DataRegularSeason20242025!$B$3:$B$1315, "&lt;=" &amp; AU$1, DataRegularSeason20242025!$E$3:$E$1315, $A2)</f>
        <v>10</v>
      </c>
      <c r="AV2">
        <f>SUMIFS(DataRegularSeason20242025!$AA$3:$AA$1315,DataRegularSeason20242025!$B$3:$B$1315, "&lt;=" &amp; AV$1, DataRegularSeason20242025!$D$3:$D$1315, $A2)+SUMIFS(DataRegularSeason20242025!$AB$3:$AB$1315,DataRegularSeason20242025!$B$3:$B$1315, "&lt;=" &amp; AV$1, DataRegularSeason20242025!$E$3:$E$1315, $A2)</f>
        <v>10</v>
      </c>
      <c r="AW2">
        <f>SUMIFS(DataRegularSeason20242025!$AA$3:$AA$1315,DataRegularSeason20242025!$B$3:$B$1315, "&lt;=" &amp; AW$1, DataRegularSeason20242025!$D$3:$D$1315, $A2)+SUMIFS(DataRegularSeason20242025!$AB$3:$AB$1315,DataRegularSeason20242025!$B$3:$B$1315, "&lt;=" &amp; AW$1, DataRegularSeason20242025!$E$3:$E$1315, $A2)</f>
        <v>10</v>
      </c>
      <c r="AX2">
        <f>SUMIFS(DataRegularSeason20242025!$AA$3:$AA$1315,DataRegularSeason20242025!$B$3:$B$1315, "&lt;=" &amp; AX$1, DataRegularSeason20242025!$D$3:$D$1315, $A2)+SUMIFS(DataRegularSeason20242025!$AB$3:$AB$1315,DataRegularSeason20242025!$B$3:$B$1315, "&lt;=" &amp; AX$1, DataRegularSeason20242025!$E$3:$E$1315, $A2)</f>
        <v>10</v>
      </c>
      <c r="AY2">
        <f>SUMIFS(DataRegularSeason20242025!$AA$3:$AA$1315,DataRegularSeason20242025!$B$3:$B$1315, "&lt;=" &amp; AY$1, DataRegularSeason20242025!$D$3:$D$1315, $A2)+SUMIFS(DataRegularSeason20242025!$AB$3:$AB$1315,DataRegularSeason20242025!$B$3:$B$1315, "&lt;=" &amp; AY$1, DataRegularSeason20242025!$E$3:$E$1315, $A2)</f>
        <v>10</v>
      </c>
      <c r="AZ2">
        <f>SUMIFS(DataRegularSeason20242025!$AA$3:$AA$1315,DataRegularSeason20242025!$B$3:$B$1315, "&lt;=" &amp; AZ$1, DataRegularSeason20242025!$D$3:$D$1315, $A2)+SUMIFS(DataRegularSeason20242025!$AB$3:$AB$1315,DataRegularSeason20242025!$B$3:$B$1315, "&lt;=" &amp; AZ$1, DataRegularSeason20242025!$E$3:$E$1315, $A2)</f>
        <v>10</v>
      </c>
      <c r="BA2">
        <f>SUMIFS(DataRegularSeason20242025!$AA$3:$AA$1315,DataRegularSeason20242025!$B$3:$B$1315, "&lt;=" &amp; BA$1, DataRegularSeason20242025!$D$3:$D$1315, $A2)+SUMIFS(DataRegularSeason20242025!$AB$3:$AB$1315,DataRegularSeason20242025!$B$3:$B$1315, "&lt;=" &amp; BA$1, DataRegularSeason20242025!$E$3:$E$1315, $A2)</f>
        <v>10</v>
      </c>
      <c r="BB2">
        <f>SUMIFS(DataRegularSeason20242025!$AA$3:$AA$1315,DataRegularSeason20242025!$B$3:$B$1315, "&lt;=" &amp; BB$1, DataRegularSeason20242025!$D$3:$D$1315, $A2)+SUMIFS(DataRegularSeason20242025!$AB$3:$AB$1315,DataRegularSeason20242025!$B$3:$B$1315, "&lt;=" &amp; BB$1, DataRegularSeason20242025!$E$3:$E$1315, $A2)</f>
        <v>10</v>
      </c>
      <c r="BC2">
        <f>SUMIFS(DataRegularSeason20242025!$AA$3:$AA$1315,DataRegularSeason20242025!$B$3:$B$1315, "&lt;=" &amp; BC$1, DataRegularSeason20242025!$D$3:$D$1315, $A2)+SUMIFS(DataRegularSeason20242025!$AB$3:$AB$1315,DataRegularSeason20242025!$B$3:$B$1315, "&lt;=" &amp; BC$1, DataRegularSeason20242025!$E$3:$E$1315, $A2)</f>
        <v>10</v>
      </c>
      <c r="BD2">
        <f>SUMIFS(DataRegularSeason20242025!$AA$3:$AA$1315,DataRegularSeason20242025!$B$3:$B$1315, "&lt;=" &amp; BD$1, DataRegularSeason20242025!$D$3:$D$1315, $A2)+SUMIFS(DataRegularSeason20242025!$AB$3:$AB$1315,DataRegularSeason20242025!$B$3:$B$1315, "&lt;=" &amp; BD$1, DataRegularSeason20242025!$E$3:$E$1315, $A2)</f>
        <v>10</v>
      </c>
      <c r="BE2">
        <f>SUMIFS(DataRegularSeason20242025!$AA$3:$AA$1315,DataRegularSeason20242025!$B$3:$B$1315, "&lt;=" &amp; BE$1, DataRegularSeason20242025!$D$3:$D$1315, $A2)+SUMIFS(DataRegularSeason20242025!$AB$3:$AB$1315,DataRegularSeason20242025!$B$3:$B$1315, "&lt;=" &amp; BE$1, DataRegularSeason20242025!$E$3:$E$1315, $A2)</f>
        <v>10</v>
      </c>
      <c r="BF2">
        <f>SUMIFS(DataRegularSeason20242025!$AA$3:$AA$1315,DataRegularSeason20242025!$B$3:$B$1315, "&lt;=" &amp; BF$1, DataRegularSeason20242025!$D$3:$D$1315, $A2)+SUMIFS(DataRegularSeason20242025!$AB$3:$AB$1315,DataRegularSeason20242025!$B$3:$B$1315, "&lt;=" &amp; BF$1, DataRegularSeason20242025!$E$3:$E$1315, $A2)</f>
        <v>10</v>
      </c>
      <c r="BG2">
        <f>SUMIFS(DataRegularSeason20242025!$AA$3:$AA$1315,DataRegularSeason20242025!$B$3:$B$1315, "&lt;=" &amp; BG$1, DataRegularSeason20242025!$D$3:$D$1315, $A2)+SUMIFS(DataRegularSeason20242025!$AB$3:$AB$1315,DataRegularSeason20242025!$B$3:$B$1315, "&lt;=" &amp; BG$1, DataRegularSeason20242025!$E$3:$E$1315, $A2)</f>
        <v>10</v>
      </c>
      <c r="BH2">
        <f>SUMIFS(DataRegularSeason20242025!$AA$3:$AA$1315,DataRegularSeason20242025!$B$3:$B$1315, "&lt;=" &amp; BH$1, DataRegularSeason20242025!$D$3:$D$1315, $A2)+SUMIFS(DataRegularSeason20242025!$AB$3:$AB$1315,DataRegularSeason20242025!$B$3:$B$1315, "&lt;=" &amp; BH$1, DataRegularSeason20242025!$E$3:$E$1315, $A2)</f>
        <v>10</v>
      </c>
      <c r="BI2">
        <f>SUMIFS(DataRegularSeason20242025!$AA$3:$AA$1315,DataRegularSeason20242025!$B$3:$B$1315, "&lt;=" &amp; BI$1, DataRegularSeason20242025!$D$3:$D$1315, $A2)+SUMIFS(DataRegularSeason20242025!$AB$3:$AB$1315,DataRegularSeason20242025!$B$3:$B$1315, "&lt;=" &amp; BI$1, DataRegularSeason20242025!$E$3:$E$1315, $A2)</f>
        <v>10</v>
      </c>
      <c r="BJ2">
        <f>SUMIFS(DataRegularSeason20242025!$AA$3:$AA$1315,DataRegularSeason20242025!$B$3:$B$1315, "&lt;=" &amp; BJ$1, DataRegularSeason20242025!$D$3:$D$1315, $A2)+SUMIFS(DataRegularSeason20242025!$AB$3:$AB$1315,DataRegularSeason20242025!$B$3:$B$1315, "&lt;=" &amp; BJ$1, DataRegularSeason20242025!$E$3:$E$1315, $A2)</f>
        <v>10</v>
      </c>
      <c r="BK2">
        <f>SUMIFS(DataRegularSeason20242025!$AA$3:$AA$1315,DataRegularSeason20242025!$B$3:$B$1315, "&lt;=" &amp; BK$1, DataRegularSeason20242025!$D$3:$D$1315, $A2)+SUMIFS(DataRegularSeason20242025!$AB$3:$AB$1315,DataRegularSeason20242025!$B$3:$B$1315, "&lt;=" &amp; BK$1, DataRegularSeason20242025!$E$3:$E$1315, $A2)</f>
        <v>10</v>
      </c>
      <c r="BL2">
        <f>SUMIFS(DataRegularSeason20242025!$AA$3:$AA$1315,DataRegularSeason20242025!$B$3:$B$1315, "&lt;=" &amp; BL$1, DataRegularSeason20242025!$D$3:$D$1315, $A2)+SUMIFS(DataRegularSeason20242025!$AB$3:$AB$1315,DataRegularSeason20242025!$B$3:$B$1315, "&lt;=" &amp; BL$1, DataRegularSeason20242025!$E$3:$E$1315, $A2)</f>
        <v>10</v>
      </c>
      <c r="BM2">
        <f>SUMIFS(DataRegularSeason20242025!$AA$3:$AA$1315,DataRegularSeason20242025!$B$3:$B$1315, "&lt;=" &amp; BM$1, DataRegularSeason20242025!$D$3:$D$1315, $A2)+SUMIFS(DataRegularSeason20242025!$AB$3:$AB$1315,DataRegularSeason20242025!$B$3:$B$1315, "&lt;=" &amp; BM$1, DataRegularSeason20242025!$E$3:$E$1315, $A2)</f>
        <v>10</v>
      </c>
      <c r="BN2">
        <f>SUMIFS(DataRegularSeason20242025!$AA$3:$AA$1315,DataRegularSeason20242025!$B$3:$B$1315, "&lt;=" &amp; BN$1, DataRegularSeason20242025!$D$3:$D$1315, $A2)+SUMIFS(DataRegularSeason20242025!$AB$3:$AB$1315,DataRegularSeason20242025!$B$3:$B$1315, "&lt;=" &amp; BN$1, DataRegularSeason20242025!$E$3:$E$1315, $A2)</f>
        <v>10</v>
      </c>
      <c r="BO2">
        <f>SUMIFS(DataRegularSeason20242025!$AA$3:$AA$1315,DataRegularSeason20242025!$B$3:$B$1315, "&lt;=" &amp; BO$1, DataRegularSeason20242025!$D$3:$D$1315, $A2)+SUMIFS(DataRegularSeason20242025!$AB$3:$AB$1315,DataRegularSeason20242025!$B$3:$B$1315, "&lt;=" &amp; BO$1, DataRegularSeason20242025!$E$3:$E$1315, $A2)</f>
        <v>10</v>
      </c>
      <c r="BP2">
        <f>SUMIFS(DataRegularSeason20242025!$AA$3:$AA$1315,DataRegularSeason20242025!$B$3:$B$1315, "&lt;=" &amp; BP$1, DataRegularSeason20242025!$D$3:$D$1315, $A2)+SUMIFS(DataRegularSeason20242025!$AB$3:$AB$1315,DataRegularSeason20242025!$B$3:$B$1315, "&lt;=" &amp; BP$1, DataRegularSeason20242025!$E$3:$E$1315, $A2)</f>
        <v>10</v>
      </c>
      <c r="BQ2">
        <f>SUMIFS(DataRegularSeason20242025!$AA$3:$AA$1315,DataRegularSeason20242025!$B$3:$B$1315, "&lt;=" &amp; BQ$1, DataRegularSeason20242025!$D$3:$D$1315, $A2)+SUMIFS(DataRegularSeason20242025!$AB$3:$AB$1315,DataRegularSeason20242025!$B$3:$B$1315, "&lt;=" &amp; BQ$1, DataRegularSeason20242025!$E$3:$E$1315, $A2)</f>
        <v>10</v>
      </c>
      <c r="BR2">
        <f>SUMIFS(DataRegularSeason20242025!$AA$3:$AA$1315,DataRegularSeason20242025!$B$3:$B$1315, "&lt;=" &amp; BR$1, DataRegularSeason20242025!$D$3:$D$1315, $A2)+SUMIFS(DataRegularSeason20242025!$AB$3:$AB$1315,DataRegularSeason20242025!$B$3:$B$1315, "&lt;=" &amp; BR$1, DataRegularSeason20242025!$E$3:$E$1315, $A2)</f>
        <v>10</v>
      </c>
      <c r="BS2">
        <f>SUMIFS(DataRegularSeason20242025!$AA$3:$AA$1315,DataRegularSeason20242025!$B$3:$B$1315, "&lt;=" &amp; BS$1, DataRegularSeason20242025!$D$3:$D$1315, $A2)+SUMIFS(DataRegularSeason20242025!$AB$3:$AB$1315,DataRegularSeason20242025!$B$3:$B$1315, "&lt;=" &amp; BS$1, DataRegularSeason20242025!$E$3:$E$1315, $A2)</f>
        <v>10</v>
      </c>
      <c r="BT2">
        <f>SUMIFS(DataRegularSeason20242025!$AA$3:$AA$1315,DataRegularSeason20242025!$B$3:$B$1315, "&lt;=" &amp; BT$1, DataRegularSeason20242025!$D$3:$D$1315, $A2)+SUMIFS(DataRegularSeason20242025!$AB$3:$AB$1315,DataRegularSeason20242025!$B$3:$B$1315, "&lt;=" &amp; BT$1, DataRegularSeason20242025!$E$3:$E$1315, $A2)</f>
        <v>10</v>
      </c>
      <c r="BU2">
        <f>SUMIFS(DataRegularSeason20242025!$AA$3:$AA$1315,DataRegularSeason20242025!$B$3:$B$1315, "&lt;=" &amp; BU$1, DataRegularSeason20242025!$D$3:$D$1315, $A2)+SUMIFS(DataRegularSeason20242025!$AB$3:$AB$1315,DataRegularSeason20242025!$B$3:$B$1315, "&lt;=" &amp; BU$1, DataRegularSeason20242025!$E$3:$E$1315, $A2)</f>
        <v>10</v>
      </c>
      <c r="BV2">
        <f>SUMIFS(DataRegularSeason20242025!$AA$3:$AA$1315,DataRegularSeason20242025!$B$3:$B$1315, "&lt;=" &amp; BV$1, DataRegularSeason20242025!$D$3:$D$1315, $A2)+SUMIFS(DataRegularSeason20242025!$AB$3:$AB$1315,DataRegularSeason20242025!$B$3:$B$1315, "&lt;=" &amp; BV$1, DataRegularSeason20242025!$E$3:$E$1315, $A2)</f>
        <v>10</v>
      </c>
      <c r="BW2">
        <f>SUMIFS(DataRegularSeason20242025!$AA$3:$AA$1315,DataRegularSeason20242025!$B$3:$B$1315, "&lt;=" &amp; BW$1, DataRegularSeason20242025!$D$3:$D$1315, $A2)+SUMIFS(DataRegularSeason20242025!$AB$3:$AB$1315,DataRegularSeason20242025!$B$3:$B$1315, "&lt;=" &amp; BW$1, DataRegularSeason20242025!$E$3:$E$1315, $A2)</f>
        <v>10</v>
      </c>
      <c r="BX2">
        <f>SUMIFS(DataRegularSeason20242025!$AA$3:$AA$1315,DataRegularSeason20242025!$B$3:$B$1315, "&lt;=" &amp; BX$1, DataRegularSeason20242025!$D$3:$D$1315, $A2)+SUMIFS(DataRegularSeason20242025!$AB$3:$AB$1315,DataRegularSeason20242025!$B$3:$B$1315, "&lt;=" &amp; BX$1, DataRegularSeason20242025!$E$3:$E$1315, $A2)</f>
        <v>10</v>
      </c>
      <c r="BY2">
        <f>SUMIFS(DataRegularSeason20242025!$AA$3:$AA$1315,DataRegularSeason20242025!$B$3:$B$1315, "&lt;=" &amp; BY$1, DataRegularSeason20242025!$D$3:$D$1315, $A2)+SUMIFS(DataRegularSeason20242025!$AB$3:$AB$1315,DataRegularSeason20242025!$B$3:$B$1315, "&lt;=" &amp; BY$1, DataRegularSeason20242025!$E$3:$E$1315, $A2)</f>
        <v>10</v>
      </c>
      <c r="BZ2">
        <f>SUMIFS(DataRegularSeason20242025!$AA$3:$AA$1315,DataRegularSeason20242025!$B$3:$B$1315, "&lt;=" &amp; BZ$1, DataRegularSeason20242025!$D$3:$D$1315, $A2)+SUMIFS(DataRegularSeason20242025!$AB$3:$AB$1315,DataRegularSeason20242025!$B$3:$B$1315, "&lt;=" &amp; BZ$1, DataRegularSeason20242025!$E$3:$E$1315, $A2)</f>
        <v>10</v>
      </c>
      <c r="CA2">
        <f>SUMIFS(DataRegularSeason20242025!$AA$3:$AA$1315,DataRegularSeason20242025!$B$3:$B$1315, "&lt;=" &amp; CA$1, DataRegularSeason20242025!$D$3:$D$1315, $A2)+SUMIFS(DataRegularSeason20242025!$AB$3:$AB$1315,DataRegularSeason20242025!$B$3:$B$1315, "&lt;=" &amp; CA$1, DataRegularSeason20242025!$E$3:$E$1315, $A2)</f>
        <v>10</v>
      </c>
      <c r="CB2">
        <f>SUMIFS(DataRegularSeason20242025!$AA$3:$AA$1315,DataRegularSeason20242025!$B$3:$B$1315, "&lt;=" &amp; CB$1, DataRegularSeason20242025!$D$3:$D$1315, $A2)+SUMIFS(DataRegularSeason20242025!$AB$3:$AB$1315,DataRegularSeason20242025!$B$3:$B$1315, "&lt;=" &amp; CB$1, DataRegularSeason20242025!$E$3:$E$1315, $A2)</f>
        <v>10</v>
      </c>
      <c r="CC2">
        <f>SUMIFS(DataRegularSeason20242025!$AA$3:$AA$1315,DataRegularSeason20242025!$B$3:$B$1315, "&lt;=" &amp; CC$1, DataRegularSeason20242025!$D$3:$D$1315, $A2)+SUMIFS(DataRegularSeason20242025!$AB$3:$AB$1315,DataRegularSeason20242025!$B$3:$B$1315, "&lt;=" &amp; CC$1, DataRegularSeason20242025!$E$3:$E$1315, $A2)</f>
        <v>10</v>
      </c>
      <c r="CD2">
        <f>SUMIFS(DataRegularSeason20242025!$AA$3:$AA$1315,DataRegularSeason20242025!$B$3:$B$1315, "&lt;=" &amp; CD$1, DataRegularSeason20242025!$D$3:$D$1315, $A2)+SUMIFS(DataRegularSeason20242025!$AB$3:$AB$1315,DataRegularSeason20242025!$B$3:$B$1315, "&lt;=" &amp; CD$1, DataRegularSeason20242025!$E$3:$E$1315, $A2)</f>
        <v>10</v>
      </c>
      <c r="CE2">
        <f>SUMIFS(DataRegularSeason20242025!$AA$3:$AA$1315,DataRegularSeason20242025!$B$3:$B$1315, "&lt;=" &amp; CE$1, DataRegularSeason20242025!$D$3:$D$1315, $A2)+SUMIFS(DataRegularSeason20242025!$AB$3:$AB$1315,DataRegularSeason20242025!$B$3:$B$1315, "&lt;=" &amp; CE$1, DataRegularSeason20242025!$E$3:$E$1315, $A2)</f>
        <v>10</v>
      </c>
      <c r="CF2">
        <f>SUMIFS(DataRegularSeason20242025!$AA$3:$AA$1315,DataRegularSeason20242025!$B$3:$B$1315, "&lt;=" &amp; CF$1, DataRegularSeason20242025!$D$3:$D$1315, $A2)+SUMIFS(DataRegularSeason20242025!$AB$3:$AB$1315,DataRegularSeason20242025!$B$3:$B$1315, "&lt;=" &amp; CF$1, DataRegularSeason20242025!$E$3:$E$1315, $A2)</f>
        <v>10</v>
      </c>
      <c r="CG2">
        <f>SUMIFS(DataRegularSeason20242025!$AA$3:$AA$1315,DataRegularSeason20242025!$B$3:$B$1315, "&lt;=" &amp; CG$1, DataRegularSeason20242025!$D$3:$D$1315, $A2)+SUMIFS(DataRegularSeason20242025!$AB$3:$AB$1315,DataRegularSeason20242025!$B$3:$B$1315, "&lt;=" &amp; CG$1, DataRegularSeason20242025!$E$3:$E$1315, $A2)</f>
        <v>10</v>
      </c>
      <c r="CH2">
        <f>SUMIFS(DataRegularSeason20242025!$AA$3:$AA$1315,DataRegularSeason20242025!$B$3:$B$1315, "&lt;=" &amp; CH$1, DataRegularSeason20242025!$D$3:$D$1315, $A2)+SUMIFS(DataRegularSeason20242025!$AB$3:$AB$1315,DataRegularSeason20242025!$B$3:$B$1315, "&lt;=" &amp; CH$1, DataRegularSeason20242025!$E$3:$E$1315, $A2)</f>
        <v>10</v>
      </c>
      <c r="CI2">
        <f>SUMIFS(DataRegularSeason20242025!$AA$3:$AA$1315,DataRegularSeason20242025!$B$3:$B$1315, "&lt;=" &amp; CI$1, DataRegularSeason20242025!$D$3:$D$1315, $A2)+SUMIFS(DataRegularSeason20242025!$AB$3:$AB$1315,DataRegularSeason20242025!$B$3:$B$1315, "&lt;=" &amp; CI$1, DataRegularSeason20242025!$E$3:$E$1315, $A2)</f>
        <v>10</v>
      </c>
      <c r="CJ2">
        <f>SUMIFS(DataRegularSeason20242025!$AA$3:$AA$1315,DataRegularSeason20242025!$B$3:$B$1315, "&lt;=" &amp; CJ$1, DataRegularSeason20242025!$D$3:$D$1315, $A2)+SUMIFS(DataRegularSeason20242025!$AB$3:$AB$1315,DataRegularSeason20242025!$B$3:$B$1315, "&lt;=" &amp; CJ$1, DataRegularSeason20242025!$E$3:$E$1315, $A2)</f>
        <v>10</v>
      </c>
      <c r="CK2">
        <f>SUMIFS(DataRegularSeason20242025!$AA$3:$AA$1315,DataRegularSeason20242025!$B$3:$B$1315, "&lt;=" &amp; CK$1, DataRegularSeason20242025!$D$3:$D$1315, $A2)+SUMIFS(DataRegularSeason20242025!$AB$3:$AB$1315,DataRegularSeason20242025!$B$3:$B$1315, "&lt;=" &amp; CK$1, DataRegularSeason20242025!$E$3:$E$1315, $A2)</f>
        <v>10</v>
      </c>
      <c r="CL2">
        <f>SUMIFS(DataRegularSeason20242025!$AA$3:$AA$1315,DataRegularSeason20242025!$B$3:$B$1315, "&lt;=" &amp; CL$1, DataRegularSeason20242025!$D$3:$D$1315, $A2)+SUMIFS(DataRegularSeason20242025!$AB$3:$AB$1315,DataRegularSeason20242025!$B$3:$B$1315, "&lt;=" &amp; CL$1, DataRegularSeason20242025!$E$3:$E$1315, $A2)</f>
        <v>10</v>
      </c>
      <c r="CM2">
        <f>SUMIFS(DataRegularSeason20242025!$AA$3:$AA$1315,DataRegularSeason20242025!$B$3:$B$1315, "&lt;=" &amp; CM$1, DataRegularSeason20242025!$D$3:$D$1315, $A2)+SUMIFS(DataRegularSeason20242025!$AB$3:$AB$1315,DataRegularSeason20242025!$B$3:$B$1315, "&lt;=" &amp; CM$1, DataRegularSeason20242025!$E$3:$E$1315, $A2)</f>
        <v>10</v>
      </c>
      <c r="CN2">
        <f>SUMIFS(DataRegularSeason20242025!$AA$3:$AA$1315,DataRegularSeason20242025!$B$3:$B$1315, "&lt;=" &amp; CN$1, DataRegularSeason20242025!$D$3:$D$1315, $A2)+SUMIFS(DataRegularSeason20242025!$AB$3:$AB$1315,DataRegularSeason20242025!$B$3:$B$1315, "&lt;=" &amp; CN$1, DataRegularSeason20242025!$E$3:$E$1315, $A2)</f>
        <v>10</v>
      </c>
      <c r="CO2">
        <f>SUMIFS(DataRegularSeason20242025!$AA$3:$AA$1315,DataRegularSeason20242025!$B$3:$B$1315, "&lt;=" &amp; CO$1, DataRegularSeason20242025!$D$3:$D$1315, $A2)+SUMIFS(DataRegularSeason20242025!$AB$3:$AB$1315,DataRegularSeason20242025!$B$3:$B$1315, "&lt;=" &amp; CO$1, DataRegularSeason20242025!$E$3:$E$1315, $A2)</f>
        <v>10</v>
      </c>
      <c r="CP2">
        <f>SUMIFS(DataRegularSeason20242025!$AA$3:$AA$1315,DataRegularSeason20242025!$B$3:$B$1315, "&lt;=" &amp; CP$1, DataRegularSeason20242025!$D$3:$D$1315, $A2)+SUMIFS(DataRegularSeason20242025!$AB$3:$AB$1315,DataRegularSeason20242025!$B$3:$B$1315, "&lt;=" &amp; CP$1, DataRegularSeason20242025!$E$3:$E$1315, $A2)</f>
        <v>10</v>
      </c>
      <c r="CQ2">
        <f>SUMIFS(DataRegularSeason20242025!$AA$3:$AA$1315,DataRegularSeason20242025!$B$3:$B$1315, "&lt;=" &amp; CQ$1, DataRegularSeason20242025!$D$3:$D$1315, $A2)+SUMIFS(DataRegularSeason20242025!$AB$3:$AB$1315,DataRegularSeason20242025!$B$3:$B$1315, "&lt;=" &amp; CQ$1, DataRegularSeason20242025!$E$3:$E$1315, $A2)</f>
        <v>10</v>
      </c>
      <c r="CR2">
        <f>SUMIFS(DataRegularSeason20242025!$AA$3:$AA$1315,DataRegularSeason20242025!$B$3:$B$1315, "&lt;=" &amp; CR$1, DataRegularSeason20242025!$D$3:$D$1315, $A2)+SUMIFS(DataRegularSeason20242025!$AB$3:$AB$1315,DataRegularSeason20242025!$B$3:$B$1315, "&lt;=" &amp; CR$1, DataRegularSeason20242025!$E$3:$E$1315, $A2)</f>
        <v>10</v>
      </c>
      <c r="CS2">
        <f>SUMIFS(DataRegularSeason20242025!$AA$3:$AA$1315,DataRegularSeason20242025!$B$3:$B$1315, "&lt;=" &amp; CS$1, DataRegularSeason20242025!$D$3:$D$1315, $A2)+SUMIFS(DataRegularSeason20242025!$AB$3:$AB$1315,DataRegularSeason20242025!$B$3:$B$1315, "&lt;=" &amp; CS$1, DataRegularSeason20242025!$E$3:$E$1315, $A2)</f>
        <v>10</v>
      </c>
      <c r="CT2">
        <f>SUMIFS(DataRegularSeason20242025!$AA$3:$AA$1315,DataRegularSeason20242025!$B$3:$B$1315, "&lt;=" &amp; CT$1, DataRegularSeason20242025!$D$3:$D$1315, $A2)+SUMIFS(DataRegularSeason20242025!$AB$3:$AB$1315,DataRegularSeason20242025!$B$3:$B$1315, "&lt;=" &amp; CT$1, DataRegularSeason20242025!$E$3:$E$1315, $A2)</f>
        <v>10</v>
      </c>
      <c r="CU2">
        <f>SUMIFS(DataRegularSeason20242025!$AA$3:$AA$1315,DataRegularSeason20242025!$B$3:$B$1315, "&lt;=" &amp; CU$1, DataRegularSeason20242025!$D$3:$D$1315, $A2)+SUMIFS(DataRegularSeason20242025!$AB$3:$AB$1315,DataRegularSeason20242025!$B$3:$B$1315, "&lt;=" &amp; CU$1, DataRegularSeason20242025!$E$3:$E$1315, $A2)</f>
        <v>10</v>
      </c>
      <c r="CV2">
        <f>SUMIFS(DataRegularSeason20242025!$AA$3:$AA$1315,DataRegularSeason20242025!$B$3:$B$1315, "&lt;=" &amp; CV$1, DataRegularSeason20242025!$D$3:$D$1315, $A2)+SUMIFS(DataRegularSeason20242025!$AB$3:$AB$1315,DataRegularSeason20242025!$B$3:$B$1315, "&lt;=" &amp; CV$1, DataRegularSeason20242025!$E$3:$E$1315, $A2)</f>
        <v>10</v>
      </c>
      <c r="CW2">
        <f>SUMIFS(DataRegularSeason20242025!$AA$3:$AA$1315,DataRegularSeason20242025!$B$3:$B$1315, "&lt;=" &amp; CW$1, DataRegularSeason20242025!$D$3:$D$1315, $A2)+SUMIFS(DataRegularSeason20242025!$AB$3:$AB$1315,DataRegularSeason20242025!$B$3:$B$1315, "&lt;=" &amp; CW$1, DataRegularSeason20242025!$E$3:$E$1315, $A2)</f>
        <v>10</v>
      </c>
      <c r="CX2">
        <f>SUMIFS(DataRegularSeason20242025!$AA$3:$AA$1315,DataRegularSeason20242025!$B$3:$B$1315, "&lt;=" &amp; CX$1, DataRegularSeason20242025!$D$3:$D$1315, $A2)+SUMIFS(DataRegularSeason20242025!$AB$3:$AB$1315,DataRegularSeason20242025!$B$3:$B$1315, "&lt;=" &amp; CX$1, DataRegularSeason20242025!$E$3:$E$1315, $A2)</f>
        <v>10</v>
      </c>
      <c r="CY2">
        <f>SUMIFS(DataRegularSeason20242025!$AA$3:$AA$1315,DataRegularSeason20242025!$B$3:$B$1315, "&lt;=" &amp; CY$1, DataRegularSeason20242025!$D$3:$D$1315, $A2)+SUMIFS(DataRegularSeason20242025!$AB$3:$AB$1315,DataRegularSeason20242025!$B$3:$B$1315, "&lt;=" &amp; CY$1, DataRegularSeason20242025!$E$3:$E$1315, $A2)</f>
        <v>10</v>
      </c>
      <c r="CZ2">
        <f>SUMIFS(DataRegularSeason20242025!$AA$3:$AA$1315,DataRegularSeason20242025!$B$3:$B$1315, "&lt;=" &amp; CZ$1, DataRegularSeason20242025!$D$3:$D$1315, $A2)+SUMIFS(DataRegularSeason20242025!$AB$3:$AB$1315,DataRegularSeason20242025!$B$3:$B$1315, "&lt;=" &amp; CZ$1, DataRegularSeason20242025!$E$3:$E$1315, $A2)</f>
        <v>10</v>
      </c>
      <c r="DA2">
        <f>SUMIFS(DataRegularSeason20242025!$AA$3:$AA$1315,DataRegularSeason20242025!$B$3:$B$1315, "&lt;=" &amp; DA$1, DataRegularSeason20242025!$D$3:$D$1315, $A2)+SUMIFS(DataRegularSeason20242025!$AB$3:$AB$1315,DataRegularSeason20242025!$B$3:$B$1315, "&lt;=" &amp; DA$1, DataRegularSeason20242025!$E$3:$E$1315, $A2)</f>
        <v>10</v>
      </c>
      <c r="DB2">
        <f>SUMIFS(DataRegularSeason20242025!$AA$3:$AA$1315,DataRegularSeason20242025!$B$3:$B$1315, "&lt;=" &amp; DB$1, DataRegularSeason20242025!$D$3:$D$1315, $A2)+SUMIFS(DataRegularSeason20242025!$AB$3:$AB$1315,DataRegularSeason20242025!$B$3:$B$1315, "&lt;=" &amp; DB$1, DataRegularSeason20242025!$E$3:$E$1315, $A2)</f>
        <v>10</v>
      </c>
      <c r="DC2">
        <f>SUMIFS(DataRegularSeason20242025!$AA$3:$AA$1315,DataRegularSeason20242025!$B$3:$B$1315, "&lt;=" &amp; DC$1, DataRegularSeason20242025!$D$3:$D$1315, $A2)+SUMIFS(DataRegularSeason20242025!$AB$3:$AB$1315,DataRegularSeason20242025!$B$3:$B$1315, "&lt;=" &amp; DC$1, DataRegularSeason20242025!$E$3:$E$1315, $A2)</f>
        <v>10</v>
      </c>
      <c r="DD2">
        <f>SUMIFS(DataRegularSeason20242025!$AA$3:$AA$1315,DataRegularSeason20242025!$B$3:$B$1315, "&lt;=" &amp; DD$1, DataRegularSeason20242025!$D$3:$D$1315, $A2)+SUMIFS(DataRegularSeason20242025!$AB$3:$AB$1315,DataRegularSeason20242025!$B$3:$B$1315, "&lt;=" &amp; DD$1, DataRegularSeason20242025!$E$3:$E$1315, $A2)</f>
        <v>10</v>
      </c>
      <c r="DE2">
        <f>SUMIFS(DataRegularSeason20242025!$AA$3:$AA$1315,DataRegularSeason20242025!$B$3:$B$1315, "&lt;=" &amp; DE$1, DataRegularSeason20242025!$D$3:$D$1315, $A2)+SUMIFS(DataRegularSeason20242025!$AB$3:$AB$1315,DataRegularSeason20242025!$B$3:$B$1315, "&lt;=" &amp; DE$1, DataRegularSeason20242025!$E$3:$E$1315, $A2)</f>
        <v>10</v>
      </c>
      <c r="DF2">
        <f>SUMIFS(DataRegularSeason20242025!$AA$3:$AA$1315,DataRegularSeason20242025!$B$3:$B$1315, "&lt;=" &amp; DF$1, DataRegularSeason20242025!$D$3:$D$1315, $A2)+SUMIFS(DataRegularSeason20242025!$AB$3:$AB$1315,DataRegularSeason20242025!$B$3:$B$1315, "&lt;=" &amp; DF$1, DataRegularSeason20242025!$E$3:$E$1315, $A2)</f>
        <v>10</v>
      </c>
      <c r="DG2">
        <f>SUMIFS(DataRegularSeason20242025!$AA$3:$AA$1315,DataRegularSeason20242025!$B$3:$B$1315, "&lt;=" &amp; DG$1, DataRegularSeason20242025!$D$3:$D$1315, $A2)+SUMIFS(DataRegularSeason20242025!$AB$3:$AB$1315,DataRegularSeason20242025!$B$3:$B$1315, "&lt;=" &amp; DG$1, DataRegularSeason20242025!$E$3:$E$1315, $A2)</f>
        <v>10</v>
      </c>
      <c r="DH2">
        <f>SUMIFS(DataRegularSeason20242025!$AA$3:$AA$1315,DataRegularSeason20242025!$B$3:$B$1315, "&lt;=" &amp; DH$1, DataRegularSeason20242025!$D$3:$D$1315, $A2)+SUMIFS(DataRegularSeason20242025!$AB$3:$AB$1315,DataRegularSeason20242025!$B$3:$B$1315, "&lt;=" &amp; DH$1, DataRegularSeason20242025!$E$3:$E$1315, $A2)</f>
        <v>10</v>
      </c>
      <c r="DI2">
        <f>SUMIFS(DataRegularSeason20242025!$AA$3:$AA$1315,DataRegularSeason20242025!$B$3:$B$1315, "&lt;=" &amp; DI$1, DataRegularSeason20242025!$D$3:$D$1315, $A2)+SUMIFS(DataRegularSeason20242025!$AB$3:$AB$1315,DataRegularSeason20242025!$B$3:$B$1315, "&lt;=" &amp; DI$1, DataRegularSeason20242025!$E$3:$E$1315, $A2)</f>
        <v>10</v>
      </c>
      <c r="DJ2">
        <f>SUMIFS(DataRegularSeason20242025!$AA$3:$AA$1315,DataRegularSeason20242025!$B$3:$B$1315, "&lt;=" &amp; DJ$1, DataRegularSeason20242025!$D$3:$D$1315, $A2)+SUMIFS(DataRegularSeason20242025!$AB$3:$AB$1315,DataRegularSeason20242025!$B$3:$B$1315, "&lt;=" &amp; DJ$1, DataRegularSeason20242025!$E$3:$E$1315, $A2)</f>
        <v>10</v>
      </c>
      <c r="DK2">
        <f>SUMIFS(DataRegularSeason20242025!$AA$3:$AA$1315,DataRegularSeason20242025!$B$3:$B$1315, "&lt;=" &amp; DK$1, DataRegularSeason20242025!$D$3:$D$1315, $A2)+SUMIFS(DataRegularSeason20242025!$AB$3:$AB$1315,DataRegularSeason20242025!$B$3:$B$1315, "&lt;=" &amp; DK$1, DataRegularSeason20242025!$E$3:$E$1315, $A2)</f>
        <v>10</v>
      </c>
      <c r="DL2">
        <f>SUMIFS(DataRegularSeason20242025!$AA$3:$AA$1315,DataRegularSeason20242025!$B$3:$B$1315, "&lt;=" &amp; DL$1, DataRegularSeason20242025!$D$3:$D$1315, $A2)+SUMIFS(DataRegularSeason20242025!$AB$3:$AB$1315,DataRegularSeason20242025!$B$3:$B$1315, "&lt;=" &amp; DL$1, DataRegularSeason20242025!$E$3:$E$1315, $A2)</f>
        <v>10</v>
      </c>
      <c r="DM2">
        <f>SUMIFS(DataRegularSeason20242025!$AA$3:$AA$1315,DataRegularSeason20242025!$B$3:$B$1315, "&lt;=" &amp; DM$1, DataRegularSeason20242025!$D$3:$D$1315, $A2)+SUMIFS(DataRegularSeason20242025!$AB$3:$AB$1315,DataRegularSeason20242025!$B$3:$B$1315, "&lt;=" &amp; DM$1, DataRegularSeason20242025!$E$3:$E$1315, $A2)</f>
        <v>10</v>
      </c>
      <c r="DN2">
        <f>SUMIFS(DataRegularSeason20242025!$AA$3:$AA$1315,DataRegularSeason20242025!$B$3:$B$1315, "&lt;=" &amp; DN$1, DataRegularSeason20242025!$D$3:$D$1315, $A2)+SUMIFS(DataRegularSeason20242025!$AB$3:$AB$1315,DataRegularSeason20242025!$B$3:$B$1315, "&lt;=" &amp; DN$1, DataRegularSeason20242025!$E$3:$E$1315, $A2)</f>
        <v>10</v>
      </c>
      <c r="DO2">
        <f>SUMIFS(DataRegularSeason20242025!$AA$3:$AA$1315,DataRegularSeason20242025!$B$3:$B$1315, "&lt;=" &amp; DO$1, DataRegularSeason20242025!$D$3:$D$1315, $A2)+SUMIFS(DataRegularSeason20242025!$AB$3:$AB$1315,DataRegularSeason20242025!$B$3:$B$1315, "&lt;=" &amp; DO$1, DataRegularSeason20242025!$E$3:$E$1315, $A2)</f>
        <v>10</v>
      </c>
      <c r="DP2">
        <f>SUMIFS(DataRegularSeason20242025!$AA$3:$AA$1315,DataRegularSeason20242025!$B$3:$B$1315, "&lt;=" &amp; DP$1, DataRegularSeason20242025!$D$3:$D$1315, $A2)+SUMIFS(DataRegularSeason20242025!$AB$3:$AB$1315,DataRegularSeason20242025!$B$3:$B$1315, "&lt;=" &amp; DP$1, DataRegularSeason20242025!$E$3:$E$1315, $A2)</f>
        <v>10</v>
      </c>
      <c r="DQ2">
        <f>SUMIFS(DataRegularSeason20242025!$AA$3:$AA$1315,DataRegularSeason20242025!$B$3:$B$1315, "&lt;=" &amp; DQ$1, DataRegularSeason20242025!$D$3:$D$1315, $A2)+SUMIFS(DataRegularSeason20242025!$AB$3:$AB$1315,DataRegularSeason20242025!$B$3:$B$1315, "&lt;=" &amp; DQ$1, DataRegularSeason20242025!$E$3:$E$1315, $A2)</f>
        <v>10</v>
      </c>
      <c r="DR2">
        <f>SUMIFS(DataRegularSeason20242025!$AA$3:$AA$1315,DataRegularSeason20242025!$B$3:$B$1315, "&lt;=" &amp; DR$1, DataRegularSeason20242025!$D$3:$D$1315, $A2)+SUMIFS(DataRegularSeason20242025!$AB$3:$AB$1315,DataRegularSeason20242025!$B$3:$B$1315, "&lt;=" &amp; DR$1, DataRegularSeason20242025!$E$3:$E$1315, $A2)</f>
        <v>10</v>
      </c>
      <c r="DS2">
        <f>SUMIFS(DataRegularSeason20242025!$AA$3:$AA$1315,DataRegularSeason20242025!$B$3:$B$1315, "&lt;=" &amp; DS$1, DataRegularSeason20242025!$D$3:$D$1315, $A2)+SUMIFS(DataRegularSeason20242025!$AB$3:$AB$1315,DataRegularSeason20242025!$B$3:$B$1315, "&lt;=" &amp; DS$1, DataRegularSeason20242025!$E$3:$E$1315, $A2)</f>
        <v>10</v>
      </c>
      <c r="DT2">
        <f>SUMIFS(DataRegularSeason20242025!$AA$3:$AA$1315,DataRegularSeason20242025!$B$3:$B$1315, "&lt;=" &amp; DT$1, DataRegularSeason20242025!$D$3:$D$1315, $A2)+SUMIFS(DataRegularSeason20242025!$AB$3:$AB$1315,DataRegularSeason20242025!$B$3:$B$1315, "&lt;=" &amp; DT$1, DataRegularSeason20242025!$E$3:$E$1315, $A2)</f>
        <v>10</v>
      </c>
      <c r="DU2">
        <f>SUMIFS(DataRegularSeason20242025!$AA$3:$AA$1315,DataRegularSeason20242025!$B$3:$B$1315, "&lt;=" &amp; DU$1, DataRegularSeason20242025!$D$3:$D$1315, $A2)+SUMIFS(DataRegularSeason20242025!$AB$3:$AB$1315,DataRegularSeason20242025!$B$3:$B$1315, "&lt;=" &amp; DU$1, DataRegularSeason20242025!$E$3:$E$1315, $A2)</f>
        <v>10</v>
      </c>
      <c r="DV2">
        <f>SUMIFS(DataRegularSeason20242025!$AA$3:$AA$1315,DataRegularSeason20242025!$B$3:$B$1315, "&lt;=" &amp; DV$1, DataRegularSeason20242025!$D$3:$D$1315, $A2)+SUMIFS(DataRegularSeason20242025!$AB$3:$AB$1315,DataRegularSeason20242025!$B$3:$B$1315, "&lt;=" &amp; DV$1, DataRegularSeason20242025!$E$3:$E$1315, $A2)</f>
        <v>10</v>
      </c>
      <c r="DW2">
        <f>SUMIFS(DataRegularSeason20242025!$AA$3:$AA$1315,DataRegularSeason20242025!$B$3:$B$1315, "&lt;=" &amp; DW$1, DataRegularSeason20242025!$D$3:$D$1315, $A2)+SUMIFS(DataRegularSeason20242025!$AB$3:$AB$1315,DataRegularSeason20242025!$B$3:$B$1315, "&lt;=" &amp; DW$1, DataRegularSeason20242025!$E$3:$E$1315, $A2)</f>
        <v>10</v>
      </c>
      <c r="DX2">
        <f>SUMIFS(DataRegularSeason20242025!$AA$3:$AA$1315,DataRegularSeason20242025!$B$3:$B$1315, "&lt;=" &amp; DX$1, DataRegularSeason20242025!$D$3:$D$1315, $A2)+SUMIFS(DataRegularSeason20242025!$AB$3:$AB$1315,DataRegularSeason20242025!$B$3:$B$1315, "&lt;=" &amp; DX$1, DataRegularSeason20242025!$E$3:$E$1315, $A2)</f>
        <v>10</v>
      </c>
      <c r="DY2">
        <f>SUMIFS(DataRegularSeason20242025!$AA$3:$AA$1315,DataRegularSeason20242025!$B$3:$B$1315, "&lt;=" &amp; DY$1, DataRegularSeason20242025!$D$3:$D$1315, $A2)+SUMIFS(DataRegularSeason20242025!$AB$3:$AB$1315,DataRegularSeason20242025!$B$3:$B$1315, "&lt;=" &amp; DY$1, DataRegularSeason20242025!$E$3:$E$1315, $A2)</f>
        <v>10</v>
      </c>
      <c r="DZ2">
        <f>SUMIFS(DataRegularSeason20242025!$AA$3:$AA$1315,DataRegularSeason20242025!$B$3:$B$1315, "&lt;=" &amp; DZ$1, DataRegularSeason20242025!$D$3:$D$1315, $A2)+SUMIFS(DataRegularSeason20242025!$AB$3:$AB$1315,DataRegularSeason20242025!$B$3:$B$1315, "&lt;=" &amp; DZ$1, DataRegularSeason20242025!$E$3:$E$1315, $A2)</f>
        <v>10</v>
      </c>
      <c r="EA2">
        <f>SUMIFS(DataRegularSeason20242025!$AA$3:$AA$1315,DataRegularSeason20242025!$B$3:$B$1315, "&lt;=" &amp; EA$1, DataRegularSeason20242025!$D$3:$D$1315, $A2)+SUMIFS(DataRegularSeason20242025!$AB$3:$AB$1315,DataRegularSeason20242025!$B$3:$B$1315, "&lt;=" &amp; EA$1, DataRegularSeason20242025!$E$3:$E$1315, $A2)</f>
        <v>10</v>
      </c>
      <c r="EB2">
        <f>SUMIFS(DataRegularSeason20242025!$AA$3:$AA$1315,DataRegularSeason20242025!$B$3:$B$1315, "&lt;=" &amp; EB$1, DataRegularSeason20242025!$D$3:$D$1315, $A2)+SUMIFS(DataRegularSeason20242025!$AB$3:$AB$1315,DataRegularSeason20242025!$B$3:$B$1315, "&lt;=" &amp; EB$1, DataRegularSeason20242025!$E$3:$E$1315, $A2)</f>
        <v>10</v>
      </c>
      <c r="EC2">
        <f>SUMIFS(DataRegularSeason20242025!$AA$3:$AA$1315,DataRegularSeason20242025!$B$3:$B$1315, "&lt;=" &amp; EC$1, DataRegularSeason20242025!$D$3:$D$1315, $A2)+SUMIFS(DataRegularSeason20242025!$AB$3:$AB$1315,DataRegularSeason20242025!$B$3:$B$1315, "&lt;=" &amp; EC$1, DataRegularSeason20242025!$E$3:$E$1315, $A2)</f>
        <v>10</v>
      </c>
      <c r="ED2">
        <f>SUMIFS(DataRegularSeason20242025!$AA$3:$AA$1315,DataRegularSeason20242025!$B$3:$B$1315, "&lt;=" &amp; ED$1, DataRegularSeason20242025!$D$3:$D$1315, $A2)+SUMIFS(DataRegularSeason20242025!$AB$3:$AB$1315,DataRegularSeason20242025!$B$3:$B$1315, "&lt;=" &amp; ED$1, DataRegularSeason20242025!$E$3:$E$1315, $A2)</f>
        <v>10</v>
      </c>
      <c r="EE2">
        <f>SUMIFS(DataRegularSeason20242025!$AA$3:$AA$1315,DataRegularSeason20242025!$B$3:$B$1315, "&lt;=" &amp; EE$1, DataRegularSeason20242025!$D$3:$D$1315, $A2)+SUMIFS(DataRegularSeason20242025!$AB$3:$AB$1315,DataRegularSeason20242025!$B$3:$B$1315, "&lt;=" &amp; EE$1, DataRegularSeason20242025!$E$3:$E$1315, $A2)</f>
        <v>10</v>
      </c>
      <c r="EF2">
        <f>SUMIFS(DataRegularSeason20242025!$AA$3:$AA$1315,DataRegularSeason20242025!$B$3:$B$1315, "&lt;=" &amp; EF$1, DataRegularSeason20242025!$D$3:$D$1315, $A2)+SUMIFS(DataRegularSeason20242025!$AB$3:$AB$1315,DataRegularSeason20242025!$B$3:$B$1315, "&lt;=" &amp; EF$1, DataRegularSeason20242025!$E$3:$E$1315, $A2)</f>
        <v>10</v>
      </c>
      <c r="EG2">
        <f>SUMIFS(DataRegularSeason20242025!$AA$3:$AA$1315,DataRegularSeason20242025!$B$3:$B$1315, "&lt;=" &amp; EG$1, DataRegularSeason20242025!$D$3:$D$1315, $A2)+SUMIFS(DataRegularSeason20242025!$AB$3:$AB$1315,DataRegularSeason20242025!$B$3:$B$1315, "&lt;=" &amp; EG$1, DataRegularSeason20242025!$E$3:$E$1315, $A2)</f>
        <v>10</v>
      </c>
      <c r="EH2">
        <f>SUMIFS(DataRegularSeason20242025!$AA$3:$AA$1315,DataRegularSeason20242025!$B$3:$B$1315, "&lt;=" &amp; EH$1, DataRegularSeason20242025!$D$3:$D$1315, $A2)+SUMIFS(DataRegularSeason20242025!$AB$3:$AB$1315,DataRegularSeason20242025!$B$3:$B$1315, "&lt;=" &amp; EH$1, DataRegularSeason20242025!$E$3:$E$1315, $A2)</f>
        <v>10</v>
      </c>
      <c r="EI2">
        <f>SUMIFS(DataRegularSeason20242025!$AA$3:$AA$1315,DataRegularSeason20242025!$B$3:$B$1315, "&lt;=" &amp; EI$1, DataRegularSeason20242025!$D$3:$D$1315, $A2)+SUMIFS(DataRegularSeason20242025!$AB$3:$AB$1315,DataRegularSeason20242025!$B$3:$B$1315, "&lt;=" &amp; EI$1, DataRegularSeason20242025!$E$3:$E$1315, $A2)</f>
        <v>10</v>
      </c>
      <c r="EJ2">
        <f>SUMIFS(DataRegularSeason20242025!$AA$3:$AA$1315,DataRegularSeason20242025!$B$3:$B$1315, "&lt;=" &amp; EJ$1, DataRegularSeason20242025!$D$3:$D$1315, $A2)+SUMIFS(DataRegularSeason20242025!$AB$3:$AB$1315,DataRegularSeason20242025!$B$3:$B$1315, "&lt;=" &amp; EJ$1, DataRegularSeason20242025!$E$3:$E$1315, $A2)</f>
        <v>10</v>
      </c>
      <c r="EK2">
        <f>SUMIFS(DataRegularSeason20242025!$AA$3:$AA$1315,DataRegularSeason20242025!$B$3:$B$1315, "&lt;=" &amp; EK$1, DataRegularSeason20242025!$D$3:$D$1315, $A2)+SUMIFS(DataRegularSeason20242025!$AB$3:$AB$1315,DataRegularSeason20242025!$B$3:$B$1315, "&lt;=" &amp; EK$1, DataRegularSeason20242025!$E$3:$E$1315, $A2)</f>
        <v>10</v>
      </c>
      <c r="EL2">
        <f>SUMIFS(DataRegularSeason20242025!$AA$3:$AA$1315,DataRegularSeason20242025!$B$3:$B$1315, "&lt;=" &amp; EL$1, DataRegularSeason20242025!$D$3:$D$1315, $A2)+SUMIFS(DataRegularSeason20242025!$AB$3:$AB$1315,DataRegularSeason20242025!$B$3:$B$1315, "&lt;=" &amp; EL$1, DataRegularSeason20242025!$E$3:$E$1315, $A2)</f>
        <v>10</v>
      </c>
      <c r="EM2">
        <f>SUMIFS(DataRegularSeason20242025!$AA$3:$AA$1315,DataRegularSeason20242025!$B$3:$B$1315, "&lt;=" &amp; EM$1, DataRegularSeason20242025!$D$3:$D$1315, $A2)+SUMIFS(DataRegularSeason20242025!$AB$3:$AB$1315,DataRegularSeason20242025!$B$3:$B$1315, "&lt;=" &amp; EM$1, DataRegularSeason20242025!$E$3:$E$1315, $A2)</f>
        <v>10</v>
      </c>
      <c r="EN2">
        <f>SUMIFS(DataRegularSeason20242025!$AA$3:$AA$1315,DataRegularSeason20242025!$B$3:$B$1315, "&lt;=" &amp; EN$1, DataRegularSeason20242025!$D$3:$D$1315, $A2)+SUMIFS(DataRegularSeason20242025!$AB$3:$AB$1315,DataRegularSeason20242025!$B$3:$B$1315, "&lt;=" &amp; EN$1, DataRegularSeason20242025!$E$3:$E$1315, $A2)</f>
        <v>10</v>
      </c>
      <c r="EO2">
        <f>SUMIFS(DataRegularSeason20242025!$AA$3:$AA$1315,DataRegularSeason20242025!$B$3:$B$1315, "&lt;=" &amp; EO$1, DataRegularSeason20242025!$D$3:$D$1315, $A2)+SUMIFS(DataRegularSeason20242025!$AB$3:$AB$1315,DataRegularSeason20242025!$B$3:$B$1315, "&lt;=" &amp; EO$1, DataRegularSeason20242025!$E$3:$E$1315, $A2)</f>
        <v>10</v>
      </c>
      <c r="EP2">
        <f>SUMIFS(DataRegularSeason20242025!$AA$3:$AA$1315,DataRegularSeason20242025!$B$3:$B$1315, "&lt;=" &amp; EP$1, DataRegularSeason20242025!$D$3:$D$1315, $A2)+SUMIFS(DataRegularSeason20242025!$AB$3:$AB$1315,DataRegularSeason20242025!$B$3:$B$1315, "&lt;=" &amp; EP$1, DataRegularSeason20242025!$E$3:$E$1315, $A2)</f>
        <v>10</v>
      </c>
      <c r="EQ2">
        <f>SUMIFS(DataRegularSeason20242025!$AA$3:$AA$1315,DataRegularSeason20242025!$B$3:$B$1315, "&lt;=" &amp; EQ$1, DataRegularSeason20242025!$D$3:$D$1315, $A2)+SUMIFS(DataRegularSeason20242025!$AB$3:$AB$1315,DataRegularSeason20242025!$B$3:$B$1315, "&lt;=" &amp; EQ$1, DataRegularSeason20242025!$E$3:$E$1315, $A2)</f>
        <v>10</v>
      </c>
      <c r="ER2">
        <f>SUMIFS(DataRegularSeason20242025!$AA$3:$AA$1315,DataRegularSeason20242025!$B$3:$B$1315, "&lt;=" &amp; ER$1, DataRegularSeason20242025!$D$3:$D$1315, $A2)+SUMIFS(DataRegularSeason20242025!$AB$3:$AB$1315,DataRegularSeason20242025!$B$3:$B$1315, "&lt;=" &amp; ER$1, DataRegularSeason20242025!$E$3:$E$1315, $A2)</f>
        <v>10</v>
      </c>
      <c r="ES2">
        <f>SUMIFS(DataRegularSeason20242025!$AA$3:$AA$1315,DataRegularSeason20242025!$B$3:$B$1315, "&lt;=" &amp; ES$1, DataRegularSeason20242025!$D$3:$D$1315, $A2)+SUMIFS(DataRegularSeason20242025!$AB$3:$AB$1315,DataRegularSeason20242025!$B$3:$B$1315, "&lt;=" &amp; ES$1, DataRegularSeason20242025!$E$3:$E$1315, $A2)</f>
        <v>10</v>
      </c>
      <c r="ET2">
        <f>SUMIFS(DataRegularSeason20242025!$AA$3:$AA$1315,DataRegularSeason20242025!$B$3:$B$1315, "&lt;=" &amp; ET$1, DataRegularSeason20242025!$D$3:$D$1315, $A2)+SUMIFS(DataRegularSeason20242025!$AB$3:$AB$1315,DataRegularSeason20242025!$B$3:$B$1315, "&lt;=" &amp; ET$1, DataRegularSeason20242025!$E$3:$E$1315, $A2)</f>
        <v>10</v>
      </c>
      <c r="EU2">
        <f>SUMIFS(DataRegularSeason20242025!$AA$3:$AA$1315,DataRegularSeason20242025!$B$3:$B$1315, "&lt;=" &amp; EU$1, DataRegularSeason20242025!$D$3:$D$1315, $A2)+SUMIFS(DataRegularSeason20242025!$AB$3:$AB$1315,DataRegularSeason20242025!$B$3:$B$1315, "&lt;=" &amp; EU$1, DataRegularSeason20242025!$E$3:$E$1315, $A2)</f>
        <v>10</v>
      </c>
      <c r="EV2">
        <f>SUMIFS(DataRegularSeason20242025!$AA$3:$AA$1315,DataRegularSeason20242025!$B$3:$B$1315, "&lt;=" &amp; EV$1, DataRegularSeason20242025!$D$3:$D$1315, $A2)+SUMIFS(DataRegularSeason20242025!$AB$3:$AB$1315,DataRegularSeason20242025!$B$3:$B$1315, "&lt;=" &amp; EV$1, DataRegularSeason20242025!$E$3:$E$1315, $A2)</f>
        <v>10</v>
      </c>
      <c r="EW2">
        <f>SUMIFS(DataRegularSeason20242025!$AA$3:$AA$1315,DataRegularSeason20242025!$B$3:$B$1315, "&lt;=" &amp; EW$1, DataRegularSeason20242025!$D$3:$D$1315, $A2)+SUMIFS(DataRegularSeason20242025!$AB$3:$AB$1315,DataRegularSeason20242025!$B$3:$B$1315, "&lt;=" &amp; EW$1, DataRegularSeason20242025!$E$3:$E$1315, $A2)</f>
        <v>10</v>
      </c>
      <c r="EX2">
        <f>SUMIFS(DataRegularSeason20242025!$AA$3:$AA$1315,DataRegularSeason20242025!$B$3:$B$1315, "&lt;=" &amp; EX$1, DataRegularSeason20242025!$D$3:$D$1315, $A2)+SUMIFS(DataRegularSeason20242025!$AB$3:$AB$1315,DataRegularSeason20242025!$B$3:$B$1315, "&lt;=" &amp; EX$1, DataRegularSeason20242025!$E$3:$E$1315, $A2)</f>
        <v>10</v>
      </c>
      <c r="EY2">
        <f>SUMIFS(DataRegularSeason20242025!$AA$3:$AA$1315,DataRegularSeason20242025!$B$3:$B$1315, "&lt;=" &amp; EY$1, DataRegularSeason20242025!$D$3:$D$1315, $A2)+SUMIFS(DataRegularSeason20242025!$AB$3:$AB$1315,DataRegularSeason20242025!$B$3:$B$1315, "&lt;=" &amp; EY$1, DataRegularSeason20242025!$E$3:$E$1315, $A2)</f>
        <v>10</v>
      </c>
      <c r="EZ2">
        <f>SUMIFS(DataRegularSeason20242025!$AA$3:$AA$1315,DataRegularSeason20242025!$B$3:$B$1315, "&lt;=" &amp; EZ$1, DataRegularSeason20242025!$D$3:$D$1315, $A2)+SUMIFS(DataRegularSeason20242025!$AB$3:$AB$1315,DataRegularSeason20242025!$B$3:$B$1315, "&lt;=" &amp; EZ$1, DataRegularSeason20242025!$E$3:$E$1315, $A2)</f>
        <v>10</v>
      </c>
      <c r="FA2">
        <f>SUMIFS(DataRegularSeason20242025!$AA$3:$AA$1315,DataRegularSeason20242025!$B$3:$B$1315, "&lt;=" &amp; FA$1, DataRegularSeason20242025!$D$3:$D$1315, $A2)+SUMIFS(DataRegularSeason20242025!$AB$3:$AB$1315,DataRegularSeason20242025!$B$3:$B$1315, "&lt;=" &amp; FA$1, DataRegularSeason20242025!$E$3:$E$1315, $A2)</f>
        <v>10</v>
      </c>
      <c r="FB2">
        <f>SUMIFS(DataRegularSeason20242025!$AA$3:$AA$1315,DataRegularSeason20242025!$B$3:$B$1315, "&lt;=" &amp; FB$1, DataRegularSeason20242025!$D$3:$D$1315, $A2)+SUMIFS(DataRegularSeason20242025!$AB$3:$AB$1315,DataRegularSeason20242025!$B$3:$B$1315, "&lt;=" &amp; FB$1, DataRegularSeason20242025!$E$3:$E$1315, $A2)</f>
        <v>10</v>
      </c>
      <c r="FC2">
        <f>SUMIFS(DataRegularSeason20242025!$AA$3:$AA$1315,DataRegularSeason20242025!$B$3:$B$1315, "&lt;=" &amp; FC$1, DataRegularSeason20242025!$D$3:$D$1315, $A2)+SUMIFS(DataRegularSeason20242025!$AB$3:$AB$1315,DataRegularSeason20242025!$B$3:$B$1315, "&lt;=" &amp; FC$1, DataRegularSeason20242025!$E$3:$E$1315, $A2)</f>
        <v>10</v>
      </c>
      <c r="FD2">
        <f>SUMIFS(DataRegularSeason20242025!$AA$3:$AA$1315,DataRegularSeason20242025!$B$3:$B$1315, "&lt;=" &amp; FD$1, DataRegularSeason20242025!$D$3:$D$1315, $A2)+SUMIFS(DataRegularSeason20242025!$AB$3:$AB$1315,DataRegularSeason20242025!$B$3:$B$1315, "&lt;=" &amp; FD$1, DataRegularSeason20242025!$E$3:$E$1315, $A2)</f>
        <v>10</v>
      </c>
      <c r="FE2">
        <f>SUMIFS(DataRegularSeason20242025!$AA$3:$AA$1315,DataRegularSeason20242025!$B$3:$B$1315, "&lt;=" &amp; FE$1, DataRegularSeason20242025!$D$3:$D$1315, $A2)+SUMIFS(DataRegularSeason20242025!$AB$3:$AB$1315,DataRegularSeason20242025!$B$3:$B$1315, "&lt;=" &amp; FE$1, DataRegularSeason20242025!$E$3:$E$1315, $A2)</f>
        <v>10</v>
      </c>
      <c r="FF2">
        <f>SUMIFS(DataRegularSeason20242025!$AA$3:$AA$1315,DataRegularSeason20242025!$B$3:$B$1315, "&lt;=" &amp; FF$1, DataRegularSeason20242025!$D$3:$D$1315, $A2)+SUMIFS(DataRegularSeason20242025!$AB$3:$AB$1315,DataRegularSeason20242025!$B$3:$B$1315, "&lt;=" &amp; FF$1, DataRegularSeason20242025!$E$3:$E$1315, $A2)</f>
        <v>10</v>
      </c>
      <c r="FG2">
        <f>SUMIFS(DataRegularSeason20242025!$AA$3:$AA$1315,DataRegularSeason20242025!$B$3:$B$1315, "&lt;=" &amp; FG$1, DataRegularSeason20242025!$D$3:$D$1315, $A2)+SUMIFS(DataRegularSeason20242025!$AB$3:$AB$1315,DataRegularSeason20242025!$B$3:$B$1315, "&lt;=" &amp; FG$1, DataRegularSeason20242025!$E$3:$E$1315, $A2)</f>
        <v>10</v>
      </c>
      <c r="FH2">
        <f>SUMIFS(DataRegularSeason20242025!$AA$3:$AA$1315,DataRegularSeason20242025!$B$3:$B$1315, "&lt;=" &amp; FH$1, DataRegularSeason20242025!$D$3:$D$1315, $A2)+SUMIFS(DataRegularSeason20242025!$AB$3:$AB$1315,DataRegularSeason20242025!$B$3:$B$1315, "&lt;=" &amp; FH$1, DataRegularSeason20242025!$E$3:$E$1315, $A2)</f>
        <v>10</v>
      </c>
      <c r="FI2">
        <f>SUMIFS(DataRegularSeason20242025!$AA$3:$AA$1315,DataRegularSeason20242025!$B$3:$B$1315, "&lt;=" &amp; FI$1, DataRegularSeason20242025!$D$3:$D$1315, $A2)+SUMIFS(DataRegularSeason20242025!$AB$3:$AB$1315,DataRegularSeason20242025!$B$3:$B$1315, "&lt;=" &amp; FI$1, DataRegularSeason20242025!$E$3:$E$1315, $A2)</f>
        <v>10</v>
      </c>
      <c r="FJ2">
        <f>SUMIFS(DataRegularSeason20242025!$AA$3:$AA$1315,DataRegularSeason20242025!$B$3:$B$1315, "&lt;=" &amp; FJ$1, DataRegularSeason20242025!$D$3:$D$1315, $A2)+SUMIFS(DataRegularSeason20242025!$AB$3:$AB$1315,DataRegularSeason20242025!$B$3:$B$1315, "&lt;=" &amp; FJ$1, DataRegularSeason20242025!$E$3:$E$1315, $A2)</f>
        <v>10</v>
      </c>
      <c r="FK2">
        <f>SUMIFS(DataRegularSeason20242025!$AA$3:$AA$1315,DataRegularSeason20242025!$B$3:$B$1315, "&lt;=" &amp; FK$1, DataRegularSeason20242025!$D$3:$D$1315, $A2)+SUMIFS(DataRegularSeason20242025!$AB$3:$AB$1315,DataRegularSeason20242025!$B$3:$B$1315, "&lt;=" &amp; FK$1, DataRegularSeason20242025!$E$3:$E$1315, $A2)</f>
        <v>10</v>
      </c>
      <c r="FL2">
        <f>SUMIFS(DataRegularSeason20242025!$AA$3:$AA$1315,DataRegularSeason20242025!$B$3:$B$1315, "&lt;=" &amp; FL$1, DataRegularSeason20242025!$D$3:$D$1315, $A2)+SUMIFS(DataRegularSeason20242025!$AB$3:$AB$1315,DataRegularSeason20242025!$B$3:$B$1315, "&lt;=" &amp; FL$1, DataRegularSeason20242025!$E$3:$E$1315, $A2)</f>
        <v>10</v>
      </c>
      <c r="FM2">
        <f>SUMIFS(DataRegularSeason20242025!$AA$3:$AA$1315,DataRegularSeason20242025!$B$3:$B$1315, "&lt;=" &amp; FM$1, DataRegularSeason20242025!$D$3:$D$1315, $A2)+SUMIFS(DataRegularSeason20242025!$AB$3:$AB$1315,DataRegularSeason20242025!$B$3:$B$1315, "&lt;=" &amp; FM$1, DataRegularSeason20242025!$E$3:$E$1315, $A2)</f>
        <v>10</v>
      </c>
      <c r="FN2">
        <f>SUMIFS(DataRegularSeason20242025!$AA$3:$AA$1315,DataRegularSeason20242025!$B$3:$B$1315, "&lt;=" &amp; FN$1, DataRegularSeason20242025!$D$3:$D$1315, $A2)+SUMIFS(DataRegularSeason20242025!$AB$3:$AB$1315,DataRegularSeason20242025!$B$3:$B$1315, "&lt;=" &amp; FN$1, DataRegularSeason20242025!$E$3:$E$1315, $A2)</f>
        <v>10</v>
      </c>
      <c r="FO2">
        <f>SUMIFS(DataRegularSeason20242025!$AA$3:$AA$1315,DataRegularSeason20242025!$B$3:$B$1315, "&lt;=" &amp; FO$1, DataRegularSeason20242025!$D$3:$D$1315, $A2)+SUMIFS(DataRegularSeason20242025!$AB$3:$AB$1315,DataRegularSeason20242025!$B$3:$B$1315, "&lt;=" &amp; FO$1, DataRegularSeason20242025!$E$3:$E$1315, $A2)</f>
        <v>10</v>
      </c>
      <c r="FP2">
        <f>SUMIFS(DataRegularSeason20242025!$AA$3:$AA$1315,DataRegularSeason20242025!$B$3:$B$1315, "&lt;=" &amp; FP$1, DataRegularSeason20242025!$D$3:$D$1315, $A2)+SUMIFS(DataRegularSeason20242025!$AB$3:$AB$1315,DataRegularSeason20242025!$B$3:$B$1315, "&lt;=" &amp; FP$1, DataRegularSeason20242025!$E$3:$E$1315, $A2)</f>
        <v>10</v>
      </c>
      <c r="FQ2">
        <f>SUMIFS(DataRegularSeason20242025!$AA$3:$AA$1315,DataRegularSeason20242025!$B$3:$B$1315, "&lt;=" &amp; FQ$1, DataRegularSeason20242025!$D$3:$D$1315, $A2)+SUMIFS(DataRegularSeason20242025!$AB$3:$AB$1315,DataRegularSeason20242025!$B$3:$B$1315, "&lt;=" &amp; FQ$1, DataRegularSeason20242025!$E$3:$E$1315, $A2)</f>
        <v>10</v>
      </c>
      <c r="FR2">
        <f>SUMIFS(DataRegularSeason20242025!$AA$3:$AA$1315,DataRegularSeason20242025!$B$3:$B$1315, "&lt;=" &amp; FR$1, DataRegularSeason20242025!$D$3:$D$1315, $A2)+SUMIFS(DataRegularSeason20242025!$AB$3:$AB$1315,DataRegularSeason20242025!$B$3:$B$1315, "&lt;=" &amp; FR$1, DataRegularSeason20242025!$E$3:$E$1315, $A2)</f>
        <v>10</v>
      </c>
      <c r="FS2">
        <f>SUMIFS(DataRegularSeason20242025!$AA$3:$AA$1315,DataRegularSeason20242025!$B$3:$B$1315, "&lt;=" &amp; FS$1, DataRegularSeason20242025!$D$3:$D$1315, $A2)+SUMIFS(DataRegularSeason20242025!$AB$3:$AB$1315,DataRegularSeason20242025!$B$3:$B$1315, "&lt;=" &amp; FS$1, DataRegularSeason20242025!$E$3:$E$1315, $A2)</f>
        <v>10</v>
      </c>
      <c r="FT2">
        <f>SUMIFS(DataRegularSeason20242025!$AA$3:$AA$1315,DataRegularSeason20242025!$B$3:$B$1315, "&lt;=" &amp; FT$1, DataRegularSeason20242025!$D$3:$D$1315, $A2)+SUMIFS(DataRegularSeason20242025!$AB$3:$AB$1315,DataRegularSeason20242025!$B$3:$B$1315, "&lt;=" &amp; FT$1, DataRegularSeason20242025!$E$3:$E$1315, $A2)</f>
        <v>10</v>
      </c>
      <c r="FU2">
        <f>SUMIFS(DataRegularSeason20242025!$AA$3:$AA$1315,DataRegularSeason20242025!$B$3:$B$1315, "&lt;=" &amp; FU$1, DataRegularSeason20242025!$D$3:$D$1315, $A2)+SUMIFS(DataRegularSeason20242025!$AB$3:$AB$1315,DataRegularSeason20242025!$B$3:$B$1315, "&lt;=" &amp; FU$1, DataRegularSeason20242025!$E$3:$E$1315, $A2)</f>
        <v>10</v>
      </c>
      <c r="FV2">
        <f>SUMIFS(DataRegularSeason20242025!$AA$3:$AA$1315,DataRegularSeason20242025!$B$3:$B$1315, "&lt;=" &amp; FV$1, DataRegularSeason20242025!$D$3:$D$1315, $A2)+SUMIFS(DataRegularSeason20242025!$AB$3:$AB$1315,DataRegularSeason20242025!$B$3:$B$1315, "&lt;=" &amp; FV$1, DataRegularSeason20242025!$E$3:$E$1315, $A2)</f>
        <v>10</v>
      </c>
      <c r="FW2">
        <f>SUMIFS(DataRegularSeason20242025!$AA$3:$AA$1315,DataRegularSeason20242025!$B$3:$B$1315, "&lt;=" &amp; FW$1, DataRegularSeason20242025!$D$3:$D$1315, $A2)+SUMIFS(DataRegularSeason20242025!$AB$3:$AB$1315,DataRegularSeason20242025!$B$3:$B$1315, "&lt;=" &amp; FW$1, DataRegularSeason20242025!$E$3:$E$1315, $A2)</f>
        <v>10</v>
      </c>
      <c r="FX2">
        <f>SUMIFS(DataRegularSeason20242025!$AA$3:$AA$1315,DataRegularSeason20242025!$B$3:$B$1315, "&lt;=" &amp; FX$1, DataRegularSeason20242025!$D$3:$D$1315, $A2)+SUMIFS(DataRegularSeason20242025!$AB$3:$AB$1315,DataRegularSeason20242025!$B$3:$B$1315, "&lt;=" &amp; FX$1, DataRegularSeason20242025!$E$3:$E$1315, $A2)</f>
        <v>10</v>
      </c>
      <c r="FY2">
        <f>SUMIFS(DataRegularSeason20242025!$AA$3:$AA$1315,DataRegularSeason20242025!$B$3:$B$1315, "&lt;=" &amp; FY$1, DataRegularSeason20242025!$D$3:$D$1315, $A2)+SUMIFS(DataRegularSeason20242025!$AB$3:$AB$1315,DataRegularSeason20242025!$B$3:$B$1315, "&lt;=" &amp; FY$1, DataRegularSeason20242025!$E$3:$E$1315, $A2)</f>
        <v>10</v>
      </c>
      <c r="FZ2">
        <f>SUMIFS(DataRegularSeason20242025!$AA$3:$AA$1315,DataRegularSeason20242025!$B$3:$B$1315, "&lt;=" &amp; FZ$1, DataRegularSeason20242025!$D$3:$D$1315, $A2)+SUMIFS(DataRegularSeason20242025!$AB$3:$AB$1315,DataRegularSeason20242025!$B$3:$B$1315, "&lt;=" &amp; FZ$1, DataRegularSeason20242025!$E$3:$E$1315, $A2)</f>
        <v>10</v>
      </c>
      <c r="GA2">
        <f>SUMIFS(DataRegularSeason20242025!$AA$3:$AA$1315,DataRegularSeason20242025!$B$3:$B$1315, "&lt;=" &amp; GA$1, DataRegularSeason20242025!$D$3:$D$1315, $A2)+SUMIFS(DataRegularSeason20242025!$AB$3:$AB$1315,DataRegularSeason20242025!$B$3:$B$1315, "&lt;=" &amp; GA$1, DataRegularSeason20242025!$E$3:$E$1315, $A2)</f>
        <v>10</v>
      </c>
      <c r="GB2">
        <f>SUMIFS(DataRegularSeason20242025!$AA$3:$AA$1315,DataRegularSeason20242025!$B$3:$B$1315, "&lt;=" &amp; GB$1, DataRegularSeason20242025!$D$3:$D$1315, $A2)+SUMIFS(DataRegularSeason20242025!$AB$3:$AB$1315,DataRegularSeason20242025!$B$3:$B$1315, "&lt;=" &amp; GB$1, DataRegularSeason20242025!$E$3:$E$1315, $A2)</f>
        <v>10</v>
      </c>
      <c r="GC2">
        <f>SUMIFS(DataRegularSeason20242025!$AA$3:$AA$1315,DataRegularSeason20242025!$B$3:$B$1315, "&lt;=" &amp; GC$1, DataRegularSeason20242025!$D$3:$D$1315, $A2)+SUMIFS(DataRegularSeason20242025!$AB$3:$AB$1315,DataRegularSeason20242025!$B$3:$B$1315, "&lt;=" &amp; GC$1, DataRegularSeason20242025!$E$3:$E$1315, $A2)</f>
        <v>10</v>
      </c>
      <c r="GD2">
        <f>SUMIFS(DataRegularSeason20242025!$AA$3:$AA$1315,DataRegularSeason20242025!$B$3:$B$1315, "&lt;=" &amp; GD$1, DataRegularSeason20242025!$D$3:$D$1315, $A2)+SUMIFS(DataRegularSeason20242025!$AB$3:$AB$1315,DataRegularSeason20242025!$B$3:$B$1315, "&lt;=" &amp; GD$1, DataRegularSeason20242025!$E$3:$E$1315, $A2)</f>
        <v>10</v>
      </c>
      <c r="GE2">
        <f>SUMIFS(DataRegularSeason20242025!$AA$3:$AA$1315,DataRegularSeason20242025!$B$3:$B$1315, "&lt;=" &amp; GE$1, DataRegularSeason20242025!$D$3:$D$1315, $A2)+SUMIFS(DataRegularSeason20242025!$AB$3:$AB$1315,DataRegularSeason20242025!$B$3:$B$1315, "&lt;=" &amp; GE$1, DataRegularSeason20242025!$E$3:$E$1315, $A2)</f>
        <v>10</v>
      </c>
      <c r="GF2">
        <f>SUMIFS(DataRegularSeason20242025!$AA$3:$AA$1315,DataRegularSeason20242025!$B$3:$B$1315, "&lt;=" &amp; GF$1, DataRegularSeason20242025!$D$3:$D$1315, $A2)+SUMIFS(DataRegularSeason20242025!$AB$3:$AB$1315,DataRegularSeason20242025!$B$3:$B$1315, "&lt;=" &amp; GF$1, DataRegularSeason20242025!$E$3:$E$1315, $A2)</f>
        <v>10</v>
      </c>
      <c r="GG2">
        <f>SUMIFS(DataRegularSeason20242025!$AA$3:$AA$1315,DataRegularSeason20242025!$B$3:$B$1315, "&lt;=" &amp; GG$1, DataRegularSeason20242025!$D$3:$D$1315, $A2)+SUMIFS(DataRegularSeason20242025!$AB$3:$AB$1315,DataRegularSeason20242025!$B$3:$B$1315, "&lt;=" &amp; GG$1, DataRegularSeason20242025!$E$3:$E$1315, $A2)</f>
        <v>10</v>
      </c>
      <c r="GH2">
        <f>SUMIFS(DataRegularSeason20242025!$AA$3:$AA$1315,DataRegularSeason20242025!$B$3:$B$1315, "&lt;=" &amp; GH$1, DataRegularSeason20242025!$D$3:$D$1315, $A2)+SUMIFS(DataRegularSeason20242025!$AB$3:$AB$1315,DataRegularSeason20242025!$B$3:$B$1315, "&lt;=" &amp; GH$1, DataRegularSeason20242025!$E$3:$E$1315, $A2)</f>
        <v>10</v>
      </c>
      <c r="GI2">
        <f>SUMIFS(DataRegularSeason20242025!$AA$3:$AA$1315,DataRegularSeason20242025!$B$3:$B$1315, "&lt;=" &amp; GI$1, DataRegularSeason20242025!$D$3:$D$1315, $A2)+SUMIFS(DataRegularSeason20242025!$AB$3:$AB$1315,DataRegularSeason20242025!$B$3:$B$1315, "&lt;=" &amp; GI$1, DataRegularSeason20242025!$E$3:$E$1315, $A2)</f>
        <v>10</v>
      </c>
      <c r="GJ2">
        <f>SUMIFS(DataRegularSeason20242025!$AA$3:$AA$1315,DataRegularSeason20242025!$B$3:$B$1315, "&lt;=" &amp; GJ$1, DataRegularSeason20242025!$D$3:$D$1315, $A2)+SUMIFS(DataRegularSeason20242025!$AB$3:$AB$1315,DataRegularSeason20242025!$B$3:$B$1315, "&lt;=" &amp; GJ$1, DataRegularSeason20242025!$E$3:$E$1315, $A2)</f>
        <v>10</v>
      </c>
      <c r="GK2">
        <f>SUMIFS(DataRegularSeason20242025!$AA$3:$AA$1315,DataRegularSeason20242025!$B$3:$B$1315, "&lt;=" &amp; GK$1, DataRegularSeason20242025!$D$3:$D$1315, $A2)+SUMIFS(DataRegularSeason20242025!$AB$3:$AB$1315,DataRegularSeason20242025!$B$3:$B$1315, "&lt;=" &amp; GK$1, DataRegularSeason20242025!$E$3:$E$1315, $A2)</f>
        <v>10</v>
      </c>
      <c r="GL2">
        <f>SUMIFS(DataRegularSeason20242025!$AA$3:$AA$1315,DataRegularSeason20242025!$B$3:$B$1315, "&lt;=" &amp; GL$1, DataRegularSeason20242025!$D$3:$D$1315, $A2)+SUMIFS(DataRegularSeason20242025!$AB$3:$AB$1315,DataRegularSeason20242025!$B$3:$B$1315, "&lt;=" &amp; GL$1, DataRegularSeason20242025!$E$3:$E$1315, $A2)</f>
        <v>10</v>
      </c>
      <c r="GM2">
        <f>SUMIFS(DataRegularSeason20242025!$AA$3:$AA$1315,DataRegularSeason20242025!$B$3:$B$1315, "&lt;=" &amp; GM$1, DataRegularSeason20242025!$D$3:$D$1315, $A2)+SUMIFS(DataRegularSeason20242025!$AB$3:$AB$1315,DataRegularSeason20242025!$B$3:$B$1315, "&lt;=" &amp; GM$1, DataRegularSeason20242025!$E$3:$E$1315, $A2)</f>
        <v>10</v>
      </c>
      <c r="GN2">
        <f>SUMIFS(DataRegularSeason20242025!$AA$3:$AA$1315,DataRegularSeason20242025!$B$3:$B$1315, "&lt;=" &amp; GN$1, DataRegularSeason20242025!$D$3:$D$1315, $A2)+SUMIFS(DataRegularSeason20242025!$AB$3:$AB$1315,DataRegularSeason20242025!$B$3:$B$1315, "&lt;=" &amp; GN$1, DataRegularSeason20242025!$E$3:$E$1315, $A2)</f>
        <v>10</v>
      </c>
      <c r="GO2">
        <f>SUMIFS(DataRegularSeason20242025!$AA$3:$AA$1315,DataRegularSeason20242025!$B$3:$B$1315, "&lt;=" &amp; GO$1, DataRegularSeason20242025!$D$3:$D$1315, $A2)+SUMIFS(DataRegularSeason20242025!$AB$3:$AB$1315,DataRegularSeason20242025!$B$3:$B$1315, "&lt;=" &amp; GO$1, DataRegularSeason20242025!$E$3:$E$1315, $A2)</f>
        <v>10</v>
      </c>
      <c r="GP2">
        <f>SUMIFS(DataRegularSeason20242025!$AA$3:$AA$1315,DataRegularSeason20242025!$B$3:$B$1315, "&lt;=" &amp; GP$1, DataRegularSeason20242025!$D$3:$D$1315, $A2)+SUMIFS(DataRegularSeason20242025!$AB$3:$AB$1315,DataRegularSeason20242025!$B$3:$B$1315, "&lt;=" &amp; GP$1, DataRegularSeason20242025!$E$3:$E$1315, $A2)</f>
        <v>10</v>
      </c>
      <c r="GQ2">
        <f>SUMIFS(DataRegularSeason20242025!$AA$3:$AA$1315,DataRegularSeason20242025!$B$3:$B$1315, "&lt;=" &amp; GQ$1, DataRegularSeason20242025!$D$3:$D$1315, $A2)+SUMIFS(DataRegularSeason20242025!$AB$3:$AB$1315,DataRegularSeason20242025!$B$3:$B$1315, "&lt;=" &amp; GQ$1, DataRegularSeason20242025!$E$3:$E$1315, $A2)</f>
        <v>10</v>
      </c>
      <c r="GR2">
        <f>SUMIFS(DataRegularSeason20242025!$AA$3:$AA$1315,DataRegularSeason20242025!$B$3:$B$1315, "&lt;=" &amp; GR$1, DataRegularSeason20242025!$D$3:$D$1315, $A2)+SUMIFS(DataRegularSeason20242025!$AB$3:$AB$1315,DataRegularSeason20242025!$B$3:$B$1315, "&lt;=" &amp; GR$1, DataRegularSeason20242025!$E$3:$E$1315, $A2)</f>
        <v>10</v>
      </c>
      <c r="GS2">
        <f>SUMIFS(DataRegularSeason20242025!$AA$3:$AA$1315,DataRegularSeason20242025!$B$3:$B$1315, "&lt;=" &amp; GS$1, DataRegularSeason20242025!$D$3:$D$1315, $A2)+SUMIFS(DataRegularSeason20242025!$AB$3:$AB$1315,DataRegularSeason20242025!$B$3:$B$1315, "&lt;=" &amp; GS$1, DataRegularSeason20242025!$E$3:$E$1315, $A2)</f>
        <v>10</v>
      </c>
      <c r="GT2">
        <f>SUMIFS(DataRegularSeason20242025!$AA$3:$AA$1315,DataRegularSeason20242025!$B$3:$B$1315, "&lt;=" &amp; GT$1, DataRegularSeason20242025!$D$3:$D$1315, $A2)+SUMIFS(DataRegularSeason20242025!$AB$3:$AB$1315,DataRegularSeason20242025!$B$3:$B$1315, "&lt;=" &amp; GT$1, DataRegularSeason20242025!$E$3:$E$1315, $A2)</f>
        <v>10</v>
      </c>
      <c r="GU2">
        <f>SUMIFS(DataRegularSeason20242025!$AA$3:$AA$1315,DataRegularSeason20242025!$B$3:$B$1315, "&lt;=" &amp; GU$1, DataRegularSeason20242025!$D$3:$D$1315, $A2)+SUMIFS(DataRegularSeason20242025!$AB$3:$AB$1315,DataRegularSeason20242025!$B$3:$B$1315, "&lt;=" &amp; GU$1, DataRegularSeason20242025!$E$3:$E$1315, $A2)</f>
        <v>10</v>
      </c>
    </row>
    <row r="3" spans="1:275" x14ac:dyDescent="0.25">
      <c r="A3" t="s">
        <v>18</v>
      </c>
      <c r="B3" t="s">
        <v>91</v>
      </c>
      <c r="C3" s="105" t="s">
        <v>74</v>
      </c>
      <c r="D3">
        <f>SUMIFS(DataRegularSeason20242025!$AA$3:$AA$1315,DataRegularSeason20242025!$B$3:$B$1315, "&lt;=" &amp; D$1, DataRegularSeason20242025!$D$3:$D$1315, $A3)+SUMIFS(DataRegularSeason20242025!$AB$3:$AB$1315,DataRegularSeason20242025!$B$3:$B$1315, "&lt;=" &amp; D$1, DataRegularSeason20242025!$E$3:$E$1315, $A3)</f>
        <v>0</v>
      </c>
      <c r="E3">
        <f>SUMIFS(DataRegularSeason20242025!$AA$3:$AA$1315,DataRegularSeason20242025!$B$3:$B$1315, "&lt;=" &amp; E$1, DataRegularSeason20242025!$D$3:$D$1315, $A3)+SUMIFS(DataRegularSeason20242025!$AB$3:$AB$1315,DataRegularSeason20242025!$B$3:$B$1315, "&lt;=" &amp; E$1, DataRegularSeason20242025!$E$3:$E$1315, $A3)</f>
        <v>0</v>
      </c>
      <c r="F3">
        <f>SUMIFS(DataRegularSeason20242025!$AA$3:$AA$1315,DataRegularSeason20242025!$B$3:$B$1315, "&lt;=" &amp; F$1, DataRegularSeason20242025!$D$3:$D$1315, $A3)+SUMIFS(DataRegularSeason20242025!$AB$3:$AB$1315,DataRegularSeason20242025!$B$3:$B$1315, "&lt;=" &amp; F$1, DataRegularSeason20242025!$E$3:$E$1315, $A3)</f>
        <v>0</v>
      </c>
      <c r="G3">
        <f>SUMIFS(DataRegularSeason20242025!$AA$3:$AA$1315,DataRegularSeason20242025!$B$3:$B$1315, "&lt;=" &amp; G$1, DataRegularSeason20242025!$D$3:$D$1315, $A3)+SUMIFS(DataRegularSeason20242025!$AB$3:$AB$1315,DataRegularSeason20242025!$B$3:$B$1315, "&lt;=" &amp; G$1, DataRegularSeason20242025!$E$3:$E$1315, $A3)</f>
        <v>0</v>
      </c>
      <c r="H3">
        <f>SUMIFS(DataRegularSeason20242025!$AA$3:$AA$1315,DataRegularSeason20242025!$B$3:$B$1315, "&lt;=" &amp; H$1, DataRegularSeason20242025!$D$3:$D$1315, $A3)+SUMIFS(DataRegularSeason20242025!$AB$3:$AB$1315,DataRegularSeason20242025!$B$3:$B$1315, "&lt;=" &amp; H$1, DataRegularSeason20242025!$E$3:$E$1315, $A3)</f>
        <v>0</v>
      </c>
      <c r="I3">
        <f>SUMIFS(DataRegularSeason20242025!$AA$3:$AA$1315,DataRegularSeason20242025!$B$3:$B$1315, "&lt;=" &amp; I$1, DataRegularSeason20242025!$D$3:$D$1315, $A3)+SUMIFS(DataRegularSeason20242025!$AB$3:$AB$1315,DataRegularSeason20242025!$B$3:$B$1315, "&lt;=" &amp; I$1, DataRegularSeason20242025!$E$3:$E$1315, $A3)</f>
        <v>0</v>
      </c>
      <c r="J3">
        <f>SUMIFS(DataRegularSeason20242025!$AA$3:$AA$1315,DataRegularSeason20242025!$B$3:$B$1315, "&lt;=" &amp; J$1, DataRegularSeason20242025!$D$3:$D$1315, $A3)+SUMIFS(DataRegularSeason20242025!$AB$3:$AB$1315,DataRegularSeason20242025!$B$3:$B$1315, "&lt;=" &amp; J$1, DataRegularSeason20242025!$E$3:$E$1315, $A3)</f>
        <v>2</v>
      </c>
      <c r="K3">
        <f>SUMIFS(DataRegularSeason20242025!$AA$3:$AA$1315,DataRegularSeason20242025!$B$3:$B$1315, "&lt;=" &amp; K$1, DataRegularSeason20242025!$D$3:$D$1315, $A3)+SUMIFS(DataRegularSeason20242025!$AB$3:$AB$1315,DataRegularSeason20242025!$B$3:$B$1315, "&lt;=" &amp; K$1, DataRegularSeason20242025!$E$3:$E$1315, $A3)</f>
        <v>2</v>
      </c>
      <c r="L3">
        <f>SUMIFS(DataRegularSeason20242025!$AA$3:$AA$1315,DataRegularSeason20242025!$B$3:$B$1315, "&lt;=" &amp; L$1, DataRegularSeason20242025!$D$3:$D$1315, $A3)+SUMIFS(DataRegularSeason20242025!$AB$3:$AB$1315,DataRegularSeason20242025!$B$3:$B$1315, "&lt;=" &amp; L$1, DataRegularSeason20242025!$E$3:$E$1315, $A3)</f>
        <v>4</v>
      </c>
      <c r="M3">
        <f>SUMIFS(DataRegularSeason20242025!$AA$3:$AA$1315,DataRegularSeason20242025!$B$3:$B$1315, "&lt;=" &amp; M$1, DataRegularSeason20242025!$D$3:$D$1315, $A3)+SUMIFS(DataRegularSeason20242025!$AB$3:$AB$1315,DataRegularSeason20242025!$B$3:$B$1315, "&lt;=" &amp; M$1, DataRegularSeason20242025!$E$3:$E$1315, $A3)</f>
        <v>4</v>
      </c>
      <c r="N3">
        <f>SUMIFS(DataRegularSeason20242025!$AA$3:$AA$1315,DataRegularSeason20242025!$B$3:$B$1315, "&lt;=" &amp; N$1, DataRegularSeason20242025!$D$3:$D$1315, $A3)+SUMIFS(DataRegularSeason20242025!$AB$3:$AB$1315,DataRegularSeason20242025!$B$3:$B$1315, "&lt;=" &amp; N$1, DataRegularSeason20242025!$E$3:$E$1315, $A3)</f>
        <v>4</v>
      </c>
      <c r="O3">
        <f>SUMIFS(DataRegularSeason20242025!$AA$3:$AA$1315,DataRegularSeason20242025!$B$3:$B$1315, "&lt;=" &amp; O$1, DataRegularSeason20242025!$D$3:$D$1315, $A3)+SUMIFS(DataRegularSeason20242025!$AB$3:$AB$1315,DataRegularSeason20242025!$B$3:$B$1315, "&lt;=" &amp; O$1, DataRegularSeason20242025!$E$3:$E$1315, $A3)</f>
        <v>6</v>
      </c>
      <c r="P3">
        <f>SUMIFS(DataRegularSeason20242025!$AA$3:$AA$1315,DataRegularSeason20242025!$B$3:$B$1315, "&lt;=" &amp; P$1, DataRegularSeason20242025!$D$3:$D$1315, $A3)+SUMIFS(DataRegularSeason20242025!$AB$3:$AB$1315,DataRegularSeason20242025!$B$3:$B$1315, "&lt;=" &amp; P$1, DataRegularSeason20242025!$E$3:$E$1315, $A3)</f>
        <v>6</v>
      </c>
      <c r="Q3">
        <f>SUMIFS(DataRegularSeason20242025!$AA$3:$AA$1315,DataRegularSeason20242025!$B$3:$B$1315, "&lt;=" &amp; Q$1, DataRegularSeason20242025!$D$3:$D$1315, $A3)+SUMIFS(DataRegularSeason20242025!$AB$3:$AB$1315,DataRegularSeason20242025!$B$3:$B$1315, "&lt;=" &amp; Q$1, DataRegularSeason20242025!$E$3:$E$1315, $A3)</f>
        <v>8</v>
      </c>
      <c r="R3">
        <f>SUMIFS(DataRegularSeason20242025!$AA$3:$AA$1315,DataRegularSeason20242025!$B$3:$B$1315, "&lt;=" &amp; R$1, DataRegularSeason20242025!$D$3:$D$1315, $A3)+SUMIFS(DataRegularSeason20242025!$AB$3:$AB$1315,DataRegularSeason20242025!$B$3:$B$1315, "&lt;=" &amp; R$1, DataRegularSeason20242025!$E$3:$E$1315, $A3)</f>
        <v>8</v>
      </c>
      <c r="S3">
        <f>SUMIFS(DataRegularSeason20242025!$AA$3:$AA$1315,DataRegularSeason20242025!$B$3:$B$1315, "&lt;=" &amp; S$1, DataRegularSeason20242025!$D$3:$D$1315, $A3)+SUMIFS(DataRegularSeason20242025!$AB$3:$AB$1315,DataRegularSeason20242025!$B$3:$B$1315, "&lt;=" &amp; S$1, DataRegularSeason20242025!$E$3:$E$1315, $A3)</f>
        <v>8</v>
      </c>
      <c r="T3">
        <f>SUMIFS(DataRegularSeason20242025!$AA$3:$AA$1315,DataRegularSeason20242025!$B$3:$B$1315, "&lt;=" &amp; T$1, DataRegularSeason20242025!$D$3:$D$1315, $A3)+SUMIFS(DataRegularSeason20242025!$AB$3:$AB$1315,DataRegularSeason20242025!$B$3:$B$1315, "&lt;=" &amp; T$1, DataRegularSeason20242025!$E$3:$E$1315, $A3)</f>
        <v>8</v>
      </c>
      <c r="U3">
        <f>SUMIFS(DataRegularSeason20242025!$AA$3:$AA$1315,DataRegularSeason20242025!$B$3:$B$1315, "&lt;=" &amp; U$1, DataRegularSeason20242025!$D$3:$D$1315, $A3)+SUMIFS(DataRegularSeason20242025!$AB$3:$AB$1315,DataRegularSeason20242025!$B$3:$B$1315, "&lt;=" &amp; U$1, DataRegularSeason20242025!$E$3:$E$1315, $A3)</f>
        <v>10</v>
      </c>
      <c r="V3">
        <f>SUMIFS(DataRegularSeason20242025!$AA$3:$AA$1315,DataRegularSeason20242025!$B$3:$B$1315, "&lt;=" &amp; V$1, DataRegularSeason20242025!$D$3:$D$1315, $A3)+SUMIFS(DataRegularSeason20242025!$AB$3:$AB$1315,DataRegularSeason20242025!$B$3:$B$1315, "&lt;=" &amp; V$1, DataRegularSeason20242025!$E$3:$E$1315, $A3)</f>
        <v>10</v>
      </c>
      <c r="W3">
        <f>SUMIFS(DataRegularSeason20242025!$AA$3:$AA$1315,DataRegularSeason20242025!$B$3:$B$1315, "&lt;=" &amp; W$1, DataRegularSeason20242025!$D$3:$D$1315, $A3)+SUMIFS(DataRegularSeason20242025!$AB$3:$AB$1315,DataRegularSeason20242025!$B$3:$B$1315, "&lt;=" &amp; W$1, DataRegularSeason20242025!$E$3:$E$1315, $A3)</f>
        <v>10</v>
      </c>
      <c r="X3">
        <f>SUMIFS(DataRegularSeason20242025!$AA$3:$AA$1315,DataRegularSeason20242025!$B$3:$B$1315, "&lt;=" &amp; X$1, DataRegularSeason20242025!$D$3:$D$1315, $A3)+SUMIFS(DataRegularSeason20242025!$AB$3:$AB$1315,DataRegularSeason20242025!$B$3:$B$1315, "&lt;=" &amp; X$1, DataRegularSeason20242025!$E$3:$E$1315, $A3)</f>
        <v>10</v>
      </c>
      <c r="Y3">
        <f>SUMIFS(DataRegularSeason20242025!$AA$3:$AA$1315,DataRegularSeason20242025!$B$3:$B$1315, "&lt;=" &amp; Y$1, DataRegularSeason20242025!$D$3:$D$1315, $A3)+SUMIFS(DataRegularSeason20242025!$AB$3:$AB$1315,DataRegularSeason20242025!$B$3:$B$1315, "&lt;=" &amp; Y$1, DataRegularSeason20242025!$E$3:$E$1315, $A3)</f>
        <v>10</v>
      </c>
      <c r="Z3">
        <f>SUMIFS(DataRegularSeason20242025!$AA$3:$AA$1315,DataRegularSeason20242025!$B$3:$B$1315, "&lt;=" &amp; Z$1, DataRegularSeason20242025!$D$3:$D$1315, $A3)+SUMIFS(DataRegularSeason20242025!$AB$3:$AB$1315,DataRegularSeason20242025!$B$3:$B$1315, "&lt;=" &amp; Z$1, DataRegularSeason20242025!$E$3:$E$1315, $A3)</f>
        <v>10</v>
      </c>
      <c r="AA3">
        <f>SUMIFS(DataRegularSeason20242025!$AA$3:$AA$1315,DataRegularSeason20242025!$B$3:$B$1315, "&lt;=" &amp; AA$1, DataRegularSeason20242025!$D$3:$D$1315, $A3)+SUMIFS(DataRegularSeason20242025!$AB$3:$AB$1315,DataRegularSeason20242025!$B$3:$B$1315, "&lt;=" &amp; AA$1, DataRegularSeason20242025!$E$3:$E$1315, $A3)</f>
        <v>10</v>
      </c>
      <c r="AB3">
        <f>SUMIFS(DataRegularSeason20242025!$AA$3:$AA$1315,DataRegularSeason20242025!$B$3:$B$1315, "&lt;=" &amp; AB$1, DataRegularSeason20242025!$D$3:$D$1315, $A3)+SUMIFS(DataRegularSeason20242025!$AB$3:$AB$1315,DataRegularSeason20242025!$B$3:$B$1315, "&lt;=" &amp; AB$1, DataRegularSeason20242025!$E$3:$E$1315, $A3)</f>
        <v>10</v>
      </c>
      <c r="AC3">
        <f>SUMIFS(DataRegularSeason20242025!$AA$3:$AA$1315,DataRegularSeason20242025!$B$3:$B$1315, "&lt;=" &amp; AC$1, DataRegularSeason20242025!$D$3:$D$1315, $A3)+SUMIFS(DataRegularSeason20242025!$AB$3:$AB$1315,DataRegularSeason20242025!$B$3:$B$1315, "&lt;=" &amp; AC$1, DataRegularSeason20242025!$E$3:$E$1315, $A3)</f>
        <v>10</v>
      </c>
      <c r="AD3">
        <f>SUMIFS(DataRegularSeason20242025!$AA$3:$AA$1315,DataRegularSeason20242025!$B$3:$B$1315, "&lt;=" &amp; AD$1, DataRegularSeason20242025!$D$3:$D$1315, $A3)+SUMIFS(DataRegularSeason20242025!$AB$3:$AB$1315,DataRegularSeason20242025!$B$3:$B$1315, "&lt;=" &amp; AD$1, DataRegularSeason20242025!$E$3:$E$1315, $A3)</f>
        <v>10</v>
      </c>
      <c r="AE3">
        <f>SUMIFS(DataRegularSeason20242025!$AA$3:$AA$1315,DataRegularSeason20242025!$B$3:$B$1315, "&lt;=" &amp; AE$1, DataRegularSeason20242025!$D$3:$D$1315, $A3)+SUMIFS(DataRegularSeason20242025!$AB$3:$AB$1315,DataRegularSeason20242025!$B$3:$B$1315, "&lt;=" &amp; AE$1, DataRegularSeason20242025!$E$3:$E$1315, $A3)</f>
        <v>10</v>
      </c>
      <c r="AF3">
        <f>SUMIFS(DataRegularSeason20242025!$AA$3:$AA$1315,DataRegularSeason20242025!$B$3:$B$1315, "&lt;=" &amp; AF$1, DataRegularSeason20242025!$D$3:$D$1315, $A3)+SUMIFS(DataRegularSeason20242025!$AB$3:$AB$1315,DataRegularSeason20242025!$B$3:$B$1315, "&lt;=" &amp; AF$1, DataRegularSeason20242025!$E$3:$E$1315, $A3)</f>
        <v>10</v>
      </c>
      <c r="AG3">
        <f>SUMIFS(DataRegularSeason20242025!$AA$3:$AA$1315,DataRegularSeason20242025!$B$3:$B$1315, "&lt;=" &amp; AG$1, DataRegularSeason20242025!$D$3:$D$1315, $A3)+SUMIFS(DataRegularSeason20242025!$AB$3:$AB$1315,DataRegularSeason20242025!$B$3:$B$1315, "&lt;=" &amp; AG$1, DataRegularSeason20242025!$E$3:$E$1315, $A3)</f>
        <v>10</v>
      </c>
      <c r="AH3">
        <f>SUMIFS(DataRegularSeason20242025!$AA$3:$AA$1315,DataRegularSeason20242025!$B$3:$B$1315, "&lt;=" &amp; AH$1, DataRegularSeason20242025!$D$3:$D$1315, $A3)+SUMIFS(DataRegularSeason20242025!$AB$3:$AB$1315,DataRegularSeason20242025!$B$3:$B$1315, "&lt;=" &amp; AH$1, DataRegularSeason20242025!$E$3:$E$1315, $A3)</f>
        <v>10</v>
      </c>
      <c r="AI3">
        <f>SUMIFS(DataRegularSeason20242025!$AA$3:$AA$1315,DataRegularSeason20242025!$B$3:$B$1315, "&lt;=" &amp; AI$1, DataRegularSeason20242025!$D$3:$D$1315, $A3)+SUMIFS(DataRegularSeason20242025!$AB$3:$AB$1315,DataRegularSeason20242025!$B$3:$B$1315, "&lt;=" &amp; AI$1, DataRegularSeason20242025!$E$3:$E$1315, $A3)</f>
        <v>10</v>
      </c>
      <c r="AJ3">
        <f>SUMIFS(DataRegularSeason20242025!$AA$3:$AA$1315,DataRegularSeason20242025!$B$3:$B$1315, "&lt;=" &amp; AJ$1, DataRegularSeason20242025!$D$3:$D$1315, $A3)+SUMIFS(DataRegularSeason20242025!$AB$3:$AB$1315,DataRegularSeason20242025!$B$3:$B$1315, "&lt;=" &amp; AJ$1, DataRegularSeason20242025!$E$3:$E$1315, $A3)</f>
        <v>10</v>
      </c>
      <c r="AK3">
        <f>SUMIFS(DataRegularSeason20242025!$AA$3:$AA$1315,DataRegularSeason20242025!$B$3:$B$1315, "&lt;=" &amp; AK$1, DataRegularSeason20242025!$D$3:$D$1315, $A3)+SUMIFS(DataRegularSeason20242025!$AB$3:$AB$1315,DataRegularSeason20242025!$B$3:$B$1315, "&lt;=" &amp; AK$1, DataRegularSeason20242025!$E$3:$E$1315, $A3)</f>
        <v>10</v>
      </c>
      <c r="AL3">
        <f>SUMIFS(DataRegularSeason20242025!$AA$3:$AA$1315,DataRegularSeason20242025!$B$3:$B$1315, "&lt;=" &amp; AL$1, DataRegularSeason20242025!$D$3:$D$1315, $A3)+SUMIFS(DataRegularSeason20242025!$AB$3:$AB$1315,DataRegularSeason20242025!$B$3:$B$1315, "&lt;=" &amp; AL$1, DataRegularSeason20242025!$E$3:$E$1315, $A3)</f>
        <v>10</v>
      </c>
      <c r="AM3">
        <f>SUMIFS(DataRegularSeason20242025!$AA$3:$AA$1315,DataRegularSeason20242025!$B$3:$B$1315, "&lt;=" &amp; AM$1, DataRegularSeason20242025!$D$3:$D$1315, $A3)+SUMIFS(DataRegularSeason20242025!$AB$3:$AB$1315,DataRegularSeason20242025!$B$3:$B$1315, "&lt;=" &amp; AM$1, DataRegularSeason20242025!$E$3:$E$1315, $A3)</f>
        <v>10</v>
      </c>
      <c r="AN3">
        <f>SUMIFS(DataRegularSeason20242025!$AA$3:$AA$1315,DataRegularSeason20242025!$B$3:$B$1315, "&lt;=" &amp; AN$1, DataRegularSeason20242025!$D$3:$D$1315, $A3)+SUMIFS(DataRegularSeason20242025!$AB$3:$AB$1315,DataRegularSeason20242025!$B$3:$B$1315, "&lt;=" &amp; AN$1, DataRegularSeason20242025!$E$3:$E$1315, $A3)</f>
        <v>10</v>
      </c>
      <c r="AO3">
        <f>SUMIFS(DataRegularSeason20242025!$AA$3:$AA$1315,DataRegularSeason20242025!$B$3:$B$1315, "&lt;=" &amp; AO$1, DataRegularSeason20242025!$D$3:$D$1315, $A3)+SUMIFS(DataRegularSeason20242025!$AB$3:$AB$1315,DataRegularSeason20242025!$B$3:$B$1315, "&lt;=" &amp; AO$1, DataRegularSeason20242025!$E$3:$E$1315, $A3)</f>
        <v>10</v>
      </c>
      <c r="AP3">
        <f>SUMIFS(DataRegularSeason20242025!$AA$3:$AA$1315,DataRegularSeason20242025!$B$3:$B$1315, "&lt;=" &amp; AP$1, DataRegularSeason20242025!$D$3:$D$1315, $A3)+SUMIFS(DataRegularSeason20242025!$AB$3:$AB$1315,DataRegularSeason20242025!$B$3:$B$1315, "&lt;=" &amp; AP$1, DataRegularSeason20242025!$E$3:$E$1315, $A3)</f>
        <v>10</v>
      </c>
      <c r="AQ3">
        <f>SUMIFS(DataRegularSeason20242025!$AA$3:$AA$1315,DataRegularSeason20242025!$B$3:$B$1315, "&lt;=" &amp; AQ$1, DataRegularSeason20242025!$D$3:$D$1315, $A3)+SUMIFS(DataRegularSeason20242025!$AB$3:$AB$1315,DataRegularSeason20242025!$B$3:$B$1315, "&lt;=" &amp; AQ$1, DataRegularSeason20242025!$E$3:$E$1315, $A3)</f>
        <v>10</v>
      </c>
      <c r="AR3">
        <f>SUMIFS(DataRegularSeason20242025!$AA$3:$AA$1315,DataRegularSeason20242025!$B$3:$B$1315, "&lt;=" &amp; AR$1, DataRegularSeason20242025!$D$3:$D$1315, $A3)+SUMIFS(DataRegularSeason20242025!$AB$3:$AB$1315,DataRegularSeason20242025!$B$3:$B$1315, "&lt;=" &amp; AR$1, DataRegularSeason20242025!$E$3:$E$1315, $A3)</f>
        <v>10</v>
      </c>
      <c r="AS3">
        <f>SUMIFS(DataRegularSeason20242025!$AA$3:$AA$1315,DataRegularSeason20242025!$B$3:$B$1315, "&lt;=" &amp; AS$1, DataRegularSeason20242025!$D$3:$D$1315, $A3)+SUMIFS(DataRegularSeason20242025!$AB$3:$AB$1315,DataRegularSeason20242025!$B$3:$B$1315, "&lt;=" &amp; AS$1, DataRegularSeason20242025!$E$3:$E$1315, $A3)</f>
        <v>10</v>
      </c>
      <c r="AT3">
        <f>SUMIFS(DataRegularSeason20242025!$AA$3:$AA$1315,DataRegularSeason20242025!$B$3:$B$1315, "&lt;=" &amp; AT$1, DataRegularSeason20242025!$D$3:$D$1315, $A3)+SUMIFS(DataRegularSeason20242025!$AB$3:$AB$1315,DataRegularSeason20242025!$B$3:$B$1315, "&lt;=" &amp; AT$1, DataRegularSeason20242025!$E$3:$E$1315, $A3)</f>
        <v>10</v>
      </c>
      <c r="AU3">
        <f>SUMIFS(DataRegularSeason20242025!$AA$3:$AA$1315,DataRegularSeason20242025!$B$3:$B$1315, "&lt;=" &amp; AU$1, DataRegularSeason20242025!$D$3:$D$1315, $A3)+SUMIFS(DataRegularSeason20242025!$AB$3:$AB$1315,DataRegularSeason20242025!$B$3:$B$1315, "&lt;=" &amp; AU$1, DataRegularSeason20242025!$E$3:$E$1315, $A3)</f>
        <v>10</v>
      </c>
      <c r="AV3">
        <f>SUMIFS(DataRegularSeason20242025!$AA$3:$AA$1315,DataRegularSeason20242025!$B$3:$B$1315, "&lt;=" &amp; AV$1, DataRegularSeason20242025!$D$3:$D$1315, $A3)+SUMIFS(DataRegularSeason20242025!$AB$3:$AB$1315,DataRegularSeason20242025!$B$3:$B$1315, "&lt;=" &amp; AV$1, DataRegularSeason20242025!$E$3:$E$1315, $A3)</f>
        <v>10</v>
      </c>
      <c r="AW3">
        <f>SUMIFS(DataRegularSeason20242025!$AA$3:$AA$1315,DataRegularSeason20242025!$B$3:$B$1315, "&lt;=" &amp; AW$1, DataRegularSeason20242025!$D$3:$D$1315, $A3)+SUMIFS(DataRegularSeason20242025!$AB$3:$AB$1315,DataRegularSeason20242025!$B$3:$B$1315, "&lt;=" &amp; AW$1, DataRegularSeason20242025!$E$3:$E$1315, $A3)</f>
        <v>10</v>
      </c>
      <c r="AX3">
        <f>SUMIFS(DataRegularSeason20242025!$AA$3:$AA$1315,DataRegularSeason20242025!$B$3:$B$1315, "&lt;=" &amp; AX$1, DataRegularSeason20242025!$D$3:$D$1315, $A3)+SUMIFS(DataRegularSeason20242025!$AB$3:$AB$1315,DataRegularSeason20242025!$B$3:$B$1315, "&lt;=" &amp; AX$1, DataRegularSeason20242025!$E$3:$E$1315, $A3)</f>
        <v>10</v>
      </c>
      <c r="AY3">
        <f>SUMIFS(DataRegularSeason20242025!$AA$3:$AA$1315,DataRegularSeason20242025!$B$3:$B$1315, "&lt;=" &amp; AY$1, DataRegularSeason20242025!$D$3:$D$1315, $A3)+SUMIFS(DataRegularSeason20242025!$AB$3:$AB$1315,DataRegularSeason20242025!$B$3:$B$1315, "&lt;=" &amp; AY$1, DataRegularSeason20242025!$E$3:$E$1315, $A3)</f>
        <v>10</v>
      </c>
      <c r="AZ3">
        <f>SUMIFS(DataRegularSeason20242025!$AA$3:$AA$1315,DataRegularSeason20242025!$B$3:$B$1315, "&lt;=" &amp; AZ$1, DataRegularSeason20242025!$D$3:$D$1315, $A3)+SUMIFS(DataRegularSeason20242025!$AB$3:$AB$1315,DataRegularSeason20242025!$B$3:$B$1315, "&lt;=" &amp; AZ$1, DataRegularSeason20242025!$E$3:$E$1315, $A3)</f>
        <v>10</v>
      </c>
      <c r="BA3">
        <f>SUMIFS(DataRegularSeason20242025!$AA$3:$AA$1315,DataRegularSeason20242025!$B$3:$B$1315, "&lt;=" &amp; BA$1, DataRegularSeason20242025!$D$3:$D$1315, $A3)+SUMIFS(DataRegularSeason20242025!$AB$3:$AB$1315,DataRegularSeason20242025!$B$3:$B$1315, "&lt;=" &amp; BA$1, DataRegularSeason20242025!$E$3:$E$1315, $A3)</f>
        <v>10</v>
      </c>
      <c r="BB3">
        <f>SUMIFS(DataRegularSeason20242025!$AA$3:$AA$1315,DataRegularSeason20242025!$B$3:$B$1315, "&lt;=" &amp; BB$1, DataRegularSeason20242025!$D$3:$D$1315, $A3)+SUMIFS(DataRegularSeason20242025!$AB$3:$AB$1315,DataRegularSeason20242025!$B$3:$B$1315, "&lt;=" &amp; BB$1, DataRegularSeason20242025!$E$3:$E$1315, $A3)</f>
        <v>10</v>
      </c>
      <c r="BC3">
        <f>SUMIFS(DataRegularSeason20242025!$AA$3:$AA$1315,DataRegularSeason20242025!$B$3:$B$1315, "&lt;=" &amp; BC$1, DataRegularSeason20242025!$D$3:$D$1315, $A3)+SUMIFS(DataRegularSeason20242025!$AB$3:$AB$1315,DataRegularSeason20242025!$B$3:$B$1315, "&lt;=" &amp; BC$1, DataRegularSeason20242025!$E$3:$E$1315, $A3)</f>
        <v>10</v>
      </c>
      <c r="BD3">
        <f>SUMIFS(DataRegularSeason20242025!$AA$3:$AA$1315,DataRegularSeason20242025!$B$3:$B$1315, "&lt;=" &amp; BD$1, DataRegularSeason20242025!$D$3:$D$1315, $A3)+SUMIFS(DataRegularSeason20242025!$AB$3:$AB$1315,DataRegularSeason20242025!$B$3:$B$1315, "&lt;=" &amp; BD$1, DataRegularSeason20242025!$E$3:$E$1315, $A3)</f>
        <v>10</v>
      </c>
      <c r="BE3">
        <f>SUMIFS(DataRegularSeason20242025!$AA$3:$AA$1315,DataRegularSeason20242025!$B$3:$B$1315, "&lt;=" &amp; BE$1, DataRegularSeason20242025!$D$3:$D$1315, $A3)+SUMIFS(DataRegularSeason20242025!$AB$3:$AB$1315,DataRegularSeason20242025!$B$3:$B$1315, "&lt;=" &amp; BE$1, DataRegularSeason20242025!$E$3:$E$1315, $A3)</f>
        <v>10</v>
      </c>
      <c r="BF3">
        <f>SUMIFS(DataRegularSeason20242025!$AA$3:$AA$1315,DataRegularSeason20242025!$B$3:$B$1315, "&lt;=" &amp; BF$1, DataRegularSeason20242025!$D$3:$D$1315, $A3)+SUMIFS(DataRegularSeason20242025!$AB$3:$AB$1315,DataRegularSeason20242025!$B$3:$B$1315, "&lt;=" &amp; BF$1, DataRegularSeason20242025!$E$3:$E$1315, $A3)</f>
        <v>10</v>
      </c>
      <c r="BG3">
        <f>SUMIFS(DataRegularSeason20242025!$AA$3:$AA$1315,DataRegularSeason20242025!$B$3:$B$1315, "&lt;=" &amp; BG$1, DataRegularSeason20242025!$D$3:$D$1315, $A3)+SUMIFS(DataRegularSeason20242025!$AB$3:$AB$1315,DataRegularSeason20242025!$B$3:$B$1315, "&lt;=" &amp; BG$1, DataRegularSeason20242025!$E$3:$E$1315, $A3)</f>
        <v>10</v>
      </c>
      <c r="BH3">
        <f>SUMIFS(DataRegularSeason20242025!$AA$3:$AA$1315,DataRegularSeason20242025!$B$3:$B$1315, "&lt;=" &amp; BH$1, DataRegularSeason20242025!$D$3:$D$1315, $A3)+SUMIFS(DataRegularSeason20242025!$AB$3:$AB$1315,DataRegularSeason20242025!$B$3:$B$1315, "&lt;=" &amp; BH$1, DataRegularSeason20242025!$E$3:$E$1315, $A3)</f>
        <v>10</v>
      </c>
      <c r="BI3">
        <f>SUMIFS(DataRegularSeason20242025!$AA$3:$AA$1315,DataRegularSeason20242025!$B$3:$B$1315, "&lt;=" &amp; BI$1, DataRegularSeason20242025!$D$3:$D$1315, $A3)+SUMIFS(DataRegularSeason20242025!$AB$3:$AB$1315,DataRegularSeason20242025!$B$3:$B$1315, "&lt;=" &amp; BI$1, DataRegularSeason20242025!$E$3:$E$1315, $A3)</f>
        <v>10</v>
      </c>
      <c r="BJ3">
        <f>SUMIFS(DataRegularSeason20242025!$AA$3:$AA$1315,DataRegularSeason20242025!$B$3:$B$1315, "&lt;=" &amp; BJ$1, DataRegularSeason20242025!$D$3:$D$1315, $A3)+SUMIFS(DataRegularSeason20242025!$AB$3:$AB$1315,DataRegularSeason20242025!$B$3:$B$1315, "&lt;=" &amp; BJ$1, DataRegularSeason20242025!$E$3:$E$1315, $A3)</f>
        <v>10</v>
      </c>
      <c r="BK3">
        <f>SUMIFS(DataRegularSeason20242025!$AA$3:$AA$1315,DataRegularSeason20242025!$B$3:$B$1315, "&lt;=" &amp; BK$1, DataRegularSeason20242025!$D$3:$D$1315, $A3)+SUMIFS(DataRegularSeason20242025!$AB$3:$AB$1315,DataRegularSeason20242025!$B$3:$B$1315, "&lt;=" &amp; BK$1, DataRegularSeason20242025!$E$3:$E$1315, $A3)</f>
        <v>10</v>
      </c>
      <c r="BL3">
        <f>SUMIFS(DataRegularSeason20242025!$AA$3:$AA$1315,DataRegularSeason20242025!$B$3:$B$1315, "&lt;=" &amp; BL$1, DataRegularSeason20242025!$D$3:$D$1315, $A3)+SUMIFS(DataRegularSeason20242025!$AB$3:$AB$1315,DataRegularSeason20242025!$B$3:$B$1315, "&lt;=" &amp; BL$1, DataRegularSeason20242025!$E$3:$E$1315, $A3)</f>
        <v>10</v>
      </c>
      <c r="BM3">
        <f>SUMIFS(DataRegularSeason20242025!$AA$3:$AA$1315,DataRegularSeason20242025!$B$3:$B$1315, "&lt;=" &amp; BM$1, DataRegularSeason20242025!$D$3:$D$1315, $A3)+SUMIFS(DataRegularSeason20242025!$AB$3:$AB$1315,DataRegularSeason20242025!$B$3:$B$1315, "&lt;=" &amp; BM$1, DataRegularSeason20242025!$E$3:$E$1315, $A3)</f>
        <v>10</v>
      </c>
      <c r="BN3">
        <f>SUMIFS(DataRegularSeason20242025!$AA$3:$AA$1315,DataRegularSeason20242025!$B$3:$B$1315, "&lt;=" &amp; BN$1, DataRegularSeason20242025!$D$3:$D$1315, $A3)+SUMIFS(DataRegularSeason20242025!$AB$3:$AB$1315,DataRegularSeason20242025!$B$3:$B$1315, "&lt;=" &amp; BN$1, DataRegularSeason20242025!$E$3:$E$1315, $A3)</f>
        <v>10</v>
      </c>
      <c r="BO3">
        <f>SUMIFS(DataRegularSeason20242025!$AA$3:$AA$1315,DataRegularSeason20242025!$B$3:$B$1315, "&lt;=" &amp; BO$1, DataRegularSeason20242025!$D$3:$D$1315, $A3)+SUMIFS(DataRegularSeason20242025!$AB$3:$AB$1315,DataRegularSeason20242025!$B$3:$B$1315, "&lt;=" &amp; BO$1, DataRegularSeason20242025!$E$3:$E$1315, $A3)</f>
        <v>10</v>
      </c>
      <c r="BP3">
        <f>SUMIFS(DataRegularSeason20242025!$AA$3:$AA$1315,DataRegularSeason20242025!$B$3:$B$1315, "&lt;=" &amp; BP$1, DataRegularSeason20242025!$D$3:$D$1315, $A3)+SUMIFS(DataRegularSeason20242025!$AB$3:$AB$1315,DataRegularSeason20242025!$B$3:$B$1315, "&lt;=" &amp; BP$1, DataRegularSeason20242025!$E$3:$E$1315, $A3)</f>
        <v>10</v>
      </c>
      <c r="BQ3">
        <f>SUMIFS(DataRegularSeason20242025!$AA$3:$AA$1315,DataRegularSeason20242025!$B$3:$B$1315, "&lt;=" &amp; BQ$1, DataRegularSeason20242025!$D$3:$D$1315, $A3)+SUMIFS(DataRegularSeason20242025!$AB$3:$AB$1315,DataRegularSeason20242025!$B$3:$B$1315, "&lt;=" &amp; BQ$1, DataRegularSeason20242025!$E$3:$E$1315, $A3)</f>
        <v>10</v>
      </c>
      <c r="BR3">
        <f>SUMIFS(DataRegularSeason20242025!$AA$3:$AA$1315,DataRegularSeason20242025!$B$3:$B$1315, "&lt;=" &amp; BR$1, DataRegularSeason20242025!$D$3:$D$1315, $A3)+SUMIFS(DataRegularSeason20242025!$AB$3:$AB$1315,DataRegularSeason20242025!$B$3:$B$1315, "&lt;=" &amp; BR$1, DataRegularSeason20242025!$E$3:$E$1315, $A3)</f>
        <v>10</v>
      </c>
      <c r="BS3">
        <f>SUMIFS(DataRegularSeason20242025!$AA$3:$AA$1315,DataRegularSeason20242025!$B$3:$B$1315, "&lt;=" &amp; BS$1, DataRegularSeason20242025!$D$3:$D$1315, $A3)+SUMIFS(DataRegularSeason20242025!$AB$3:$AB$1315,DataRegularSeason20242025!$B$3:$B$1315, "&lt;=" &amp; BS$1, DataRegularSeason20242025!$E$3:$E$1315, $A3)</f>
        <v>10</v>
      </c>
      <c r="BT3">
        <f>SUMIFS(DataRegularSeason20242025!$AA$3:$AA$1315,DataRegularSeason20242025!$B$3:$B$1315, "&lt;=" &amp; BT$1, DataRegularSeason20242025!$D$3:$D$1315, $A3)+SUMIFS(DataRegularSeason20242025!$AB$3:$AB$1315,DataRegularSeason20242025!$B$3:$B$1315, "&lt;=" &amp; BT$1, DataRegularSeason20242025!$E$3:$E$1315, $A3)</f>
        <v>10</v>
      </c>
      <c r="BU3">
        <f>SUMIFS(DataRegularSeason20242025!$AA$3:$AA$1315,DataRegularSeason20242025!$B$3:$B$1315, "&lt;=" &amp; BU$1, DataRegularSeason20242025!$D$3:$D$1315, $A3)+SUMIFS(DataRegularSeason20242025!$AB$3:$AB$1315,DataRegularSeason20242025!$B$3:$B$1315, "&lt;=" &amp; BU$1, DataRegularSeason20242025!$E$3:$E$1315, $A3)</f>
        <v>10</v>
      </c>
      <c r="BV3">
        <f>SUMIFS(DataRegularSeason20242025!$AA$3:$AA$1315,DataRegularSeason20242025!$B$3:$B$1315, "&lt;=" &amp; BV$1, DataRegularSeason20242025!$D$3:$D$1315, $A3)+SUMIFS(DataRegularSeason20242025!$AB$3:$AB$1315,DataRegularSeason20242025!$B$3:$B$1315, "&lt;=" &amp; BV$1, DataRegularSeason20242025!$E$3:$E$1315, $A3)</f>
        <v>10</v>
      </c>
      <c r="BW3">
        <f>SUMIFS(DataRegularSeason20242025!$AA$3:$AA$1315,DataRegularSeason20242025!$B$3:$B$1315, "&lt;=" &amp; BW$1, DataRegularSeason20242025!$D$3:$D$1315, $A3)+SUMIFS(DataRegularSeason20242025!$AB$3:$AB$1315,DataRegularSeason20242025!$B$3:$B$1315, "&lt;=" &amp; BW$1, DataRegularSeason20242025!$E$3:$E$1315, $A3)</f>
        <v>10</v>
      </c>
      <c r="BX3">
        <f>SUMIFS(DataRegularSeason20242025!$AA$3:$AA$1315,DataRegularSeason20242025!$B$3:$B$1315, "&lt;=" &amp; BX$1, DataRegularSeason20242025!$D$3:$D$1315, $A3)+SUMIFS(DataRegularSeason20242025!$AB$3:$AB$1315,DataRegularSeason20242025!$B$3:$B$1315, "&lt;=" &amp; BX$1, DataRegularSeason20242025!$E$3:$E$1315, $A3)</f>
        <v>10</v>
      </c>
      <c r="BY3">
        <f>SUMIFS(DataRegularSeason20242025!$AA$3:$AA$1315,DataRegularSeason20242025!$B$3:$B$1315, "&lt;=" &amp; BY$1, DataRegularSeason20242025!$D$3:$D$1315, $A3)+SUMIFS(DataRegularSeason20242025!$AB$3:$AB$1315,DataRegularSeason20242025!$B$3:$B$1315, "&lt;=" &amp; BY$1, DataRegularSeason20242025!$E$3:$E$1315, $A3)</f>
        <v>10</v>
      </c>
      <c r="BZ3">
        <f>SUMIFS(DataRegularSeason20242025!$AA$3:$AA$1315,DataRegularSeason20242025!$B$3:$B$1315, "&lt;=" &amp; BZ$1, DataRegularSeason20242025!$D$3:$D$1315, $A3)+SUMIFS(DataRegularSeason20242025!$AB$3:$AB$1315,DataRegularSeason20242025!$B$3:$B$1315, "&lt;=" &amp; BZ$1, DataRegularSeason20242025!$E$3:$E$1315, $A3)</f>
        <v>10</v>
      </c>
      <c r="CA3">
        <f>SUMIFS(DataRegularSeason20242025!$AA$3:$AA$1315,DataRegularSeason20242025!$B$3:$B$1315, "&lt;=" &amp; CA$1, DataRegularSeason20242025!$D$3:$D$1315, $A3)+SUMIFS(DataRegularSeason20242025!$AB$3:$AB$1315,DataRegularSeason20242025!$B$3:$B$1315, "&lt;=" &amp; CA$1, DataRegularSeason20242025!$E$3:$E$1315, $A3)</f>
        <v>10</v>
      </c>
      <c r="CB3">
        <f>SUMIFS(DataRegularSeason20242025!$AA$3:$AA$1315,DataRegularSeason20242025!$B$3:$B$1315, "&lt;=" &amp; CB$1, DataRegularSeason20242025!$D$3:$D$1315, $A3)+SUMIFS(DataRegularSeason20242025!$AB$3:$AB$1315,DataRegularSeason20242025!$B$3:$B$1315, "&lt;=" &amp; CB$1, DataRegularSeason20242025!$E$3:$E$1315, $A3)</f>
        <v>10</v>
      </c>
      <c r="CC3">
        <f>SUMIFS(DataRegularSeason20242025!$AA$3:$AA$1315,DataRegularSeason20242025!$B$3:$B$1315, "&lt;=" &amp; CC$1, DataRegularSeason20242025!$D$3:$D$1315, $A3)+SUMIFS(DataRegularSeason20242025!$AB$3:$AB$1315,DataRegularSeason20242025!$B$3:$B$1315, "&lt;=" &amp; CC$1, DataRegularSeason20242025!$E$3:$E$1315, $A3)</f>
        <v>10</v>
      </c>
      <c r="CD3">
        <f>SUMIFS(DataRegularSeason20242025!$AA$3:$AA$1315,DataRegularSeason20242025!$B$3:$B$1315, "&lt;=" &amp; CD$1, DataRegularSeason20242025!$D$3:$D$1315, $A3)+SUMIFS(DataRegularSeason20242025!$AB$3:$AB$1315,DataRegularSeason20242025!$B$3:$B$1315, "&lt;=" &amp; CD$1, DataRegularSeason20242025!$E$3:$E$1315, $A3)</f>
        <v>10</v>
      </c>
      <c r="CE3">
        <f>SUMIFS(DataRegularSeason20242025!$AA$3:$AA$1315,DataRegularSeason20242025!$B$3:$B$1315, "&lt;=" &amp; CE$1, DataRegularSeason20242025!$D$3:$D$1315, $A3)+SUMIFS(DataRegularSeason20242025!$AB$3:$AB$1315,DataRegularSeason20242025!$B$3:$B$1315, "&lt;=" &amp; CE$1, DataRegularSeason20242025!$E$3:$E$1315, $A3)</f>
        <v>10</v>
      </c>
      <c r="CF3">
        <f>SUMIFS(DataRegularSeason20242025!$AA$3:$AA$1315,DataRegularSeason20242025!$B$3:$B$1315, "&lt;=" &amp; CF$1, DataRegularSeason20242025!$D$3:$D$1315, $A3)+SUMIFS(DataRegularSeason20242025!$AB$3:$AB$1315,DataRegularSeason20242025!$B$3:$B$1315, "&lt;=" &amp; CF$1, DataRegularSeason20242025!$E$3:$E$1315, $A3)</f>
        <v>10</v>
      </c>
      <c r="CG3">
        <f>SUMIFS(DataRegularSeason20242025!$AA$3:$AA$1315,DataRegularSeason20242025!$B$3:$B$1315, "&lt;=" &amp; CG$1, DataRegularSeason20242025!$D$3:$D$1315, $A3)+SUMIFS(DataRegularSeason20242025!$AB$3:$AB$1315,DataRegularSeason20242025!$B$3:$B$1315, "&lt;=" &amp; CG$1, DataRegularSeason20242025!$E$3:$E$1315, $A3)</f>
        <v>10</v>
      </c>
      <c r="CH3">
        <f>SUMIFS(DataRegularSeason20242025!$AA$3:$AA$1315,DataRegularSeason20242025!$B$3:$B$1315, "&lt;=" &amp; CH$1, DataRegularSeason20242025!$D$3:$D$1315, $A3)+SUMIFS(DataRegularSeason20242025!$AB$3:$AB$1315,DataRegularSeason20242025!$B$3:$B$1315, "&lt;=" &amp; CH$1, DataRegularSeason20242025!$E$3:$E$1315, $A3)</f>
        <v>10</v>
      </c>
      <c r="CI3">
        <f>SUMIFS(DataRegularSeason20242025!$AA$3:$AA$1315,DataRegularSeason20242025!$B$3:$B$1315, "&lt;=" &amp; CI$1, DataRegularSeason20242025!$D$3:$D$1315, $A3)+SUMIFS(DataRegularSeason20242025!$AB$3:$AB$1315,DataRegularSeason20242025!$B$3:$B$1315, "&lt;=" &amp; CI$1, DataRegularSeason20242025!$E$3:$E$1315, $A3)</f>
        <v>10</v>
      </c>
      <c r="CJ3">
        <f>SUMIFS(DataRegularSeason20242025!$AA$3:$AA$1315,DataRegularSeason20242025!$B$3:$B$1315, "&lt;=" &amp; CJ$1, DataRegularSeason20242025!$D$3:$D$1315, $A3)+SUMIFS(DataRegularSeason20242025!$AB$3:$AB$1315,DataRegularSeason20242025!$B$3:$B$1315, "&lt;=" &amp; CJ$1, DataRegularSeason20242025!$E$3:$E$1315, $A3)</f>
        <v>10</v>
      </c>
      <c r="CK3">
        <f>SUMIFS(DataRegularSeason20242025!$AA$3:$AA$1315,DataRegularSeason20242025!$B$3:$B$1315, "&lt;=" &amp; CK$1, DataRegularSeason20242025!$D$3:$D$1315, $A3)+SUMIFS(DataRegularSeason20242025!$AB$3:$AB$1315,DataRegularSeason20242025!$B$3:$B$1315, "&lt;=" &amp; CK$1, DataRegularSeason20242025!$E$3:$E$1315, $A3)</f>
        <v>10</v>
      </c>
      <c r="CL3">
        <f>SUMIFS(DataRegularSeason20242025!$AA$3:$AA$1315,DataRegularSeason20242025!$B$3:$B$1315, "&lt;=" &amp; CL$1, DataRegularSeason20242025!$D$3:$D$1315, $A3)+SUMIFS(DataRegularSeason20242025!$AB$3:$AB$1315,DataRegularSeason20242025!$B$3:$B$1315, "&lt;=" &amp; CL$1, DataRegularSeason20242025!$E$3:$E$1315, $A3)</f>
        <v>10</v>
      </c>
      <c r="CM3">
        <f>SUMIFS(DataRegularSeason20242025!$AA$3:$AA$1315,DataRegularSeason20242025!$B$3:$B$1315, "&lt;=" &amp; CM$1, DataRegularSeason20242025!$D$3:$D$1315, $A3)+SUMIFS(DataRegularSeason20242025!$AB$3:$AB$1315,DataRegularSeason20242025!$B$3:$B$1315, "&lt;=" &amp; CM$1, DataRegularSeason20242025!$E$3:$E$1315, $A3)</f>
        <v>10</v>
      </c>
      <c r="CN3">
        <f>SUMIFS(DataRegularSeason20242025!$AA$3:$AA$1315,DataRegularSeason20242025!$B$3:$B$1315, "&lt;=" &amp; CN$1, DataRegularSeason20242025!$D$3:$D$1315, $A3)+SUMIFS(DataRegularSeason20242025!$AB$3:$AB$1315,DataRegularSeason20242025!$B$3:$B$1315, "&lt;=" &amp; CN$1, DataRegularSeason20242025!$E$3:$E$1315, $A3)</f>
        <v>10</v>
      </c>
      <c r="CO3">
        <f>SUMIFS(DataRegularSeason20242025!$AA$3:$AA$1315,DataRegularSeason20242025!$B$3:$B$1315, "&lt;=" &amp; CO$1, DataRegularSeason20242025!$D$3:$D$1315, $A3)+SUMIFS(DataRegularSeason20242025!$AB$3:$AB$1315,DataRegularSeason20242025!$B$3:$B$1315, "&lt;=" &amp; CO$1, DataRegularSeason20242025!$E$3:$E$1315, $A3)</f>
        <v>10</v>
      </c>
      <c r="CP3">
        <f>SUMIFS(DataRegularSeason20242025!$AA$3:$AA$1315,DataRegularSeason20242025!$B$3:$B$1315, "&lt;=" &amp; CP$1, DataRegularSeason20242025!$D$3:$D$1315, $A3)+SUMIFS(DataRegularSeason20242025!$AB$3:$AB$1315,DataRegularSeason20242025!$B$3:$B$1315, "&lt;=" &amp; CP$1, DataRegularSeason20242025!$E$3:$E$1315, $A3)</f>
        <v>10</v>
      </c>
      <c r="CQ3">
        <f>SUMIFS(DataRegularSeason20242025!$AA$3:$AA$1315,DataRegularSeason20242025!$B$3:$B$1315, "&lt;=" &amp; CQ$1, DataRegularSeason20242025!$D$3:$D$1315, $A3)+SUMIFS(DataRegularSeason20242025!$AB$3:$AB$1315,DataRegularSeason20242025!$B$3:$B$1315, "&lt;=" &amp; CQ$1, DataRegularSeason20242025!$E$3:$E$1315, $A3)</f>
        <v>10</v>
      </c>
      <c r="CR3">
        <f>SUMIFS(DataRegularSeason20242025!$AA$3:$AA$1315,DataRegularSeason20242025!$B$3:$B$1315, "&lt;=" &amp; CR$1, DataRegularSeason20242025!$D$3:$D$1315, $A3)+SUMIFS(DataRegularSeason20242025!$AB$3:$AB$1315,DataRegularSeason20242025!$B$3:$B$1315, "&lt;=" &amp; CR$1, DataRegularSeason20242025!$E$3:$E$1315, $A3)</f>
        <v>10</v>
      </c>
      <c r="CS3">
        <f>SUMIFS(DataRegularSeason20242025!$AA$3:$AA$1315,DataRegularSeason20242025!$B$3:$B$1315, "&lt;=" &amp; CS$1, DataRegularSeason20242025!$D$3:$D$1315, $A3)+SUMIFS(DataRegularSeason20242025!$AB$3:$AB$1315,DataRegularSeason20242025!$B$3:$B$1315, "&lt;=" &amp; CS$1, DataRegularSeason20242025!$E$3:$E$1315, $A3)</f>
        <v>10</v>
      </c>
      <c r="CT3">
        <f>SUMIFS(DataRegularSeason20242025!$AA$3:$AA$1315,DataRegularSeason20242025!$B$3:$B$1315, "&lt;=" &amp; CT$1, DataRegularSeason20242025!$D$3:$D$1315, $A3)+SUMIFS(DataRegularSeason20242025!$AB$3:$AB$1315,DataRegularSeason20242025!$B$3:$B$1315, "&lt;=" &amp; CT$1, DataRegularSeason20242025!$E$3:$E$1315, $A3)</f>
        <v>10</v>
      </c>
      <c r="CU3">
        <f>SUMIFS(DataRegularSeason20242025!$AA$3:$AA$1315,DataRegularSeason20242025!$B$3:$B$1315, "&lt;=" &amp; CU$1, DataRegularSeason20242025!$D$3:$D$1315, $A3)+SUMIFS(DataRegularSeason20242025!$AB$3:$AB$1315,DataRegularSeason20242025!$B$3:$B$1315, "&lt;=" &amp; CU$1, DataRegularSeason20242025!$E$3:$E$1315, $A3)</f>
        <v>10</v>
      </c>
      <c r="CV3">
        <f>SUMIFS(DataRegularSeason20242025!$AA$3:$AA$1315,DataRegularSeason20242025!$B$3:$B$1315, "&lt;=" &amp; CV$1, DataRegularSeason20242025!$D$3:$D$1315, $A3)+SUMIFS(DataRegularSeason20242025!$AB$3:$AB$1315,DataRegularSeason20242025!$B$3:$B$1315, "&lt;=" &amp; CV$1, DataRegularSeason20242025!$E$3:$E$1315, $A3)</f>
        <v>10</v>
      </c>
      <c r="CW3">
        <f>SUMIFS(DataRegularSeason20242025!$AA$3:$AA$1315,DataRegularSeason20242025!$B$3:$B$1315, "&lt;=" &amp; CW$1, DataRegularSeason20242025!$D$3:$D$1315, $A3)+SUMIFS(DataRegularSeason20242025!$AB$3:$AB$1315,DataRegularSeason20242025!$B$3:$B$1315, "&lt;=" &amp; CW$1, DataRegularSeason20242025!$E$3:$E$1315, $A3)</f>
        <v>10</v>
      </c>
      <c r="CX3">
        <f>SUMIFS(DataRegularSeason20242025!$AA$3:$AA$1315,DataRegularSeason20242025!$B$3:$B$1315, "&lt;=" &amp; CX$1, DataRegularSeason20242025!$D$3:$D$1315, $A3)+SUMIFS(DataRegularSeason20242025!$AB$3:$AB$1315,DataRegularSeason20242025!$B$3:$B$1315, "&lt;=" &amp; CX$1, DataRegularSeason20242025!$E$3:$E$1315, $A3)</f>
        <v>10</v>
      </c>
      <c r="CY3">
        <f>SUMIFS(DataRegularSeason20242025!$AA$3:$AA$1315,DataRegularSeason20242025!$B$3:$B$1315, "&lt;=" &amp; CY$1, DataRegularSeason20242025!$D$3:$D$1315, $A3)+SUMIFS(DataRegularSeason20242025!$AB$3:$AB$1315,DataRegularSeason20242025!$B$3:$B$1315, "&lt;=" &amp; CY$1, DataRegularSeason20242025!$E$3:$E$1315, $A3)</f>
        <v>10</v>
      </c>
      <c r="CZ3">
        <f>SUMIFS(DataRegularSeason20242025!$AA$3:$AA$1315,DataRegularSeason20242025!$B$3:$B$1315, "&lt;=" &amp; CZ$1, DataRegularSeason20242025!$D$3:$D$1315, $A3)+SUMIFS(DataRegularSeason20242025!$AB$3:$AB$1315,DataRegularSeason20242025!$B$3:$B$1315, "&lt;=" &amp; CZ$1, DataRegularSeason20242025!$E$3:$E$1315, $A3)</f>
        <v>10</v>
      </c>
      <c r="DA3">
        <f>SUMIFS(DataRegularSeason20242025!$AA$3:$AA$1315,DataRegularSeason20242025!$B$3:$B$1315, "&lt;=" &amp; DA$1, DataRegularSeason20242025!$D$3:$D$1315, $A3)+SUMIFS(DataRegularSeason20242025!$AB$3:$AB$1315,DataRegularSeason20242025!$B$3:$B$1315, "&lt;=" &amp; DA$1, DataRegularSeason20242025!$E$3:$E$1315, $A3)</f>
        <v>10</v>
      </c>
      <c r="DB3">
        <f>SUMIFS(DataRegularSeason20242025!$AA$3:$AA$1315,DataRegularSeason20242025!$B$3:$B$1315, "&lt;=" &amp; DB$1, DataRegularSeason20242025!$D$3:$D$1315, $A3)+SUMIFS(DataRegularSeason20242025!$AB$3:$AB$1315,DataRegularSeason20242025!$B$3:$B$1315, "&lt;=" &amp; DB$1, DataRegularSeason20242025!$E$3:$E$1315, $A3)</f>
        <v>10</v>
      </c>
      <c r="DC3">
        <f>SUMIFS(DataRegularSeason20242025!$AA$3:$AA$1315,DataRegularSeason20242025!$B$3:$B$1315, "&lt;=" &amp; DC$1, DataRegularSeason20242025!$D$3:$D$1315, $A3)+SUMIFS(DataRegularSeason20242025!$AB$3:$AB$1315,DataRegularSeason20242025!$B$3:$B$1315, "&lt;=" &amp; DC$1, DataRegularSeason20242025!$E$3:$E$1315, $A3)</f>
        <v>10</v>
      </c>
      <c r="DD3">
        <f>SUMIFS(DataRegularSeason20242025!$AA$3:$AA$1315,DataRegularSeason20242025!$B$3:$B$1315, "&lt;=" &amp; DD$1, DataRegularSeason20242025!$D$3:$D$1315, $A3)+SUMIFS(DataRegularSeason20242025!$AB$3:$AB$1315,DataRegularSeason20242025!$B$3:$B$1315, "&lt;=" &amp; DD$1, DataRegularSeason20242025!$E$3:$E$1315, $A3)</f>
        <v>10</v>
      </c>
      <c r="DE3">
        <f>SUMIFS(DataRegularSeason20242025!$AA$3:$AA$1315,DataRegularSeason20242025!$B$3:$B$1315, "&lt;=" &amp; DE$1, DataRegularSeason20242025!$D$3:$D$1315, $A3)+SUMIFS(DataRegularSeason20242025!$AB$3:$AB$1315,DataRegularSeason20242025!$B$3:$B$1315, "&lt;=" &amp; DE$1, DataRegularSeason20242025!$E$3:$E$1315, $A3)</f>
        <v>10</v>
      </c>
      <c r="DF3">
        <f>SUMIFS(DataRegularSeason20242025!$AA$3:$AA$1315,DataRegularSeason20242025!$B$3:$B$1315, "&lt;=" &amp; DF$1, DataRegularSeason20242025!$D$3:$D$1315, $A3)+SUMIFS(DataRegularSeason20242025!$AB$3:$AB$1315,DataRegularSeason20242025!$B$3:$B$1315, "&lt;=" &amp; DF$1, DataRegularSeason20242025!$E$3:$E$1315, $A3)</f>
        <v>10</v>
      </c>
      <c r="DG3">
        <f>SUMIFS(DataRegularSeason20242025!$AA$3:$AA$1315,DataRegularSeason20242025!$B$3:$B$1315, "&lt;=" &amp; DG$1, DataRegularSeason20242025!$D$3:$D$1315, $A3)+SUMIFS(DataRegularSeason20242025!$AB$3:$AB$1315,DataRegularSeason20242025!$B$3:$B$1315, "&lt;=" &amp; DG$1, DataRegularSeason20242025!$E$3:$E$1315, $A3)</f>
        <v>10</v>
      </c>
      <c r="DH3">
        <f>SUMIFS(DataRegularSeason20242025!$AA$3:$AA$1315,DataRegularSeason20242025!$B$3:$B$1315, "&lt;=" &amp; DH$1, DataRegularSeason20242025!$D$3:$D$1315, $A3)+SUMIFS(DataRegularSeason20242025!$AB$3:$AB$1315,DataRegularSeason20242025!$B$3:$B$1315, "&lt;=" &amp; DH$1, DataRegularSeason20242025!$E$3:$E$1315, $A3)</f>
        <v>10</v>
      </c>
      <c r="DI3">
        <f>SUMIFS(DataRegularSeason20242025!$AA$3:$AA$1315,DataRegularSeason20242025!$B$3:$B$1315, "&lt;=" &amp; DI$1, DataRegularSeason20242025!$D$3:$D$1315, $A3)+SUMIFS(DataRegularSeason20242025!$AB$3:$AB$1315,DataRegularSeason20242025!$B$3:$B$1315, "&lt;=" &amp; DI$1, DataRegularSeason20242025!$E$3:$E$1315, $A3)</f>
        <v>10</v>
      </c>
      <c r="DJ3">
        <f>SUMIFS(DataRegularSeason20242025!$AA$3:$AA$1315,DataRegularSeason20242025!$B$3:$B$1315, "&lt;=" &amp; DJ$1, DataRegularSeason20242025!$D$3:$D$1315, $A3)+SUMIFS(DataRegularSeason20242025!$AB$3:$AB$1315,DataRegularSeason20242025!$B$3:$B$1315, "&lt;=" &amp; DJ$1, DataRegularSeason20242025!$E$3:$E$1315, $A3)</f>
        <v>10</v>
      </c>
      <c r="DK3">
        <f>SUMIFS(DataRegularSeason20242025!$AA$3:$AA$1315,DataRegularSeason20242025!$B$3:$B$1315, "&lt;=" &amp; DK$1, DataRegularSeason20242025!$D$3:$D$1315, $A3)+SUMIFS(DataRegularSeason20242025!$AB$3:$AB$1315,DataRegularSeason20242025!$B$3:$B$1315, "&lt;=" &amp; DK$1, DataRegularSeason20242025!$E$3:$E$1315, $A3)</f>
        <v>10</v>
      </c>
      <c r="DL3">
        <f>SUMIFS(DataRegularSeason20242025!$AA$3:$AA$1315,DataRegularSeason20242025!$B$3:$B$1315, "&lt;=" &amp; DL$1, DataRegularSeason20242025!$D$3:$D$1315, $A3)+SUMIFS(DataRegularSeason20242025!$AB$3:$AB$1315,DataRegularSeason20242025!$B$3:$B$1315, "&lt;=" &amp; DL$1, DataRegularSeason20242025!$E$3:$E$1315, $A3)</f>
        <v>10</v>
      </c>
      <c r="DM3">
        <f>SUMIFS(DataRegularSeason20242025!$AA$3:$AA$1315,DataRegularSeason20242025!$B$3:$B$1315, "&lt;=" &amp; DM$1, DataRegularSeason20242025!$D$3:$D$1315, $A3)+SUMIFS(DataRegularSeason20242025!$AB$3:$AB$1315,DataRegularSeason20242025!$B$3:$B$1315, "&lt;=" &amp; DM$1, DataRegularSeason20242025!$E$3:$E$1315, $A3)</f>
        <v>10</v>
      </c>
      <c r="DN3">
        <f>SUMIFS(DataRegularSeason20242025!$AA$3:$AA$1315,DataRegularSeason20242025!$B$3:$B$1315, "&lt;=" &amp; DN$1, DataRegularSeason20242025!$D$3:$D$1315, $A3)+SUMIFS(DataRegularSeason20242025!$AB$3:$AB$1315,DataRegularSeason20242025!$B$3:$B$1315, "&lt;=" &amp; DN$1, DataRegularSeason20242025!$E$3:$E$1315, $A3)</f>
        <v>10</v>
      </c>
      <c r="DO3">
        <f>SUMIFS(DataRegularSeason20242025!$AA$3:$AA$1315,DataRegularSeason20242025!$B$3:$B$1315, "&lt;=" &amp; DO$1, DataRegularSeason20242025!$D$3:$D$1315, $A3)+SUMIFS(DataRegularSeason20242025!$AB$3:$AB$1315,DataRegularSeason20242025!$B$3:$B$1315, "&lt;=" &amp; DO$1, DataRegularSeason20242025!$E$3:$E$1315, $A3)</f>
        <v>10</v>
      </c>
      <c r="DP3">
        <f>SUMIFS(DataRegularSeason20242025!$AA$3:$AA$1315,DataRegularSeason20242025!$B$3:$B$1315, "&lt;=" &amp; DP$1, DataRegularSeason20242025!$D$3:$D$1315, $A3)+SUMIFS(DataRegularSeason20242025!$AB$3:$AB$1315,DataRegularSeason20242025!$B$3:$B$1315, "&lt;=" &amp; DP$1, DataRegularSeason20242025!$E$3:$E$1315, $A3)</f>
        <v>10</v>
      </c>
      <c r="DQ3">
        <f>SUMIFS(DataRegularSeason20242025!$AA$3:$AA$1315,DataRegularSeason20242025!$B$3:$B$1315, "&lt;=" &amp; DQ$1, DataRegularSeason20242025!$D$3:$D$1315, $A3)+SUMIFS(DataRegularSeason20242025!$AB$3:$AB$1315,DataRegularSeason20242025!$B$3:$B$1315, "&lt;=" &amp; DQ$1, DataRegularSeason20242025!$E$3:$E$1315, $A3)</f>
        <v>10</v>
      </c>
      <c r="DR3">
        <f>SUMIFS(DataRegularSeason20242025!$AA$3:$AA$1315,DataRegularSeason20242025!$B$3:$B$1315, "&lt;=" &amp; DR$1, DataRegularSeason20242025!$D$3:$D$1315, $A3)+SUMIFS(DataRegularSeason20242025!$AB$3:$AB$1315,DataRegularSeason20242025!$B$3:$B$1315, "&lt;=" &amp; DR$1, DataRegularSeason20242025!$E$3:$E$1315, $A3)</f>
        <v>10</v>
      </c>
      <c r="DS3">
        <f>SUMIFS(DataRegularSeason20242025!$AA$3:$AA$1315,DataRegularSeason20242025!$B$3:$B$1315, "&lt;=" &amp; DS$1, DataRegularSeason20242025!$D$3:$D$1315, $A3)+SUMIFS(DataRegularSeason20242025!$AB$3:$AB$1315,DataRegularSeason20242025!$B$3:$B$1315, "&lt;=" &amp; DS$1, DataRegularSeason20242025!$E$3:$E$1315, $A3)</f>
        <v>10</v>
      </c>
      <c r="DT3">
        <f>SUMIFS(DataRegularSeason20242025!$AA$3:$AA$1315,DataRegularSeason20242025!$B$3:$B$1315, "&lt;=" &amp; DT$1, DataRegularSeason20242025!$D$3:$D$1315, $A3)+SUMIFS(DataRegularSeason20242025!$AB$3:$AB$1315,DataRegularSeason20242025!$B$3:$B$1315, "&lt;=" &amp; DT$1, DataRegularSeason20242025!$E$3:$E$1315, $A3)</f>
        <v>10</v>
      </c>
      <c r="DU3">
        <f>SUMIFS(DataRegularSeason20242025!$AA$3:$AA$1315,DataRegularSeason20242025!$B$3:$B$1315, "&lt;=" &amp; DU$1, DataRegularSeason20242025!$D$3:$D$1315, $A3)+SUMIFS(DataRegularSeason20242025!$AB$3:$AB$1315,DataRegularSeason20242025!$B$3:$B$1315, "&lt;=" &amp; DU$1, DataRegularSeason20242025!$E$3:$E$1315, $A3)</f>
        <v>10</v>
      </c>
      <c r="DV3">
        <f>SUMIFS(DataRegularSeason20242025!$AA$3:$AA$1315,DataRegularSeason20242025!$B$3:$B$1315, "&lt;=" &amp; DV$1, DataRegularSeason20242025!$D$3:$D$1315, $A3)+SUMIFS(DataRegularSeason20242025!$AB$3:$AB$1315,DataRegularSeason20242025!$B$3:$B$1315, "&lt;=" &amp; DV$1, DataRegularSeason20242025!$E$3:$E$1315, $A3)</f>
        <v>10</v>
      </c>
      <c r="DW3">
        <f>SUMIFS(DataRegularSeason20242025!$AA$3:$AA$1315,DataRegularSeason20242025!$B$3:$B$1315, "&lt;=" &amp; DW$1, DataRegularSeason20242025!$D$3:$D$1315, $A3)+SUMIFS(DataRegularSeason20242025!$AB$3:$AB$1315,DataRegularSeason20242025!$B$3:$B$1315, "&lt;=" &amp; DW$1, DataRegularSeason20242025!$E$3:$E$1315, $A3)</f>
        <v>10</v>
      </c>
      <c r="DX3">
        <f>SUMIFS(DataRegularSeason20242025!$AA$3:$AA$1315,DataRegularSeason20242025!$B$3:$B$1315, "&lt;=" &amp; DX$1, DataRegularSeason20242025!$D$3:$D$1315, $A3)+SUMIFS(DataRegularSeason20242025!$AB$3:$AB$1315,DataRegularSeason20242025!$B$3:$B$1315, "&lt;=" &amp; DX$1, DataRegularSeason20242025!$E$3:$E$1315, $A3)</f>
        <v>10</v>
      </c>
      <c r="DY3">
        <f>SUMIFS(DataRegularSeason20242025!$AA$3:$AA$1315,DataRegularSeason20242025!$B$3:$B$1315, "&lt;=" &amp; DY$1, DataRegularSeason20242025!$D$3:$D$1315, $A3)+SUMIFS(DataRegularSeason20242025!$AB$3:$AB$1315,DataRegularSeason20242025!$B$3:$B$1315, "&lt;=" &amp; DY$1, DataRegularSeason20242025!$E$3:$E$1315, $A3)</f>
        <v>10</v>
      </c>
      <c r="DZ3">
        <f>SUMIFS(DataRegularSeason20242025!$AA$3:$AA$1315,DataRegularSeason20242025!$B$3:$B$1315, "&lt;=" &amp; DZ$1, DataRegularSeason20242025!$D$3:$D$1315, $A3)+SUMIFS(DataRegularSeason20242025!$AB$3:$AB$1315,DataRegularSeason20242025!$B$3:$B$1315, "&lt;=" &amp; DZ$1, DataRegularSeason20242025!$E$3:$E$1315, $A3)</f>
        <v>10</v>
      </c>
      <c r="EA3">
        <f>SUMIFS(DataRegularSeason20242025!$AA$3:$AA$1315,DataRegularSeason20242025!$B$3:$B$1315, "&lt;=" &amp; EA$1, DataRegularSeason20242025!$D$3:$D$1315, $A3)+SUMIFS(DataRegularSeason20242025!$AB$3:$AB$1315,DataRegularSeason20242025!$B$3:$B$1315, "&lt;=" &amp; EA$1, DataRegularSeason20242025!$E$3:$E$1315, $A3)</f>
        <v>10</v>
      </c>
      <c r="EB3">
        <f>SUMIFS(DataRegularSeason20242025!$AA$3:$AA$1315,DataRegularSeason20242025!$B$3:$B$1315, "&lt;=" &amp; EB$1, DataRegularSeason20242025!$D$3:$D$1315, $A3)+SUMIFS(DataRegularSeason20242025!$AB$3:$AB$1315,DataRegularSeason20242025!$B$3:$B$1315, "&lt;=" &amp; EB$1, DataRegularSeason20242025!$E$3:$E$1315, $A3)</f>
        <v>10</v>
      </c>
      <c r="EC3">
        <f>SUMIFS(DataRegularSeason20242025!$AA$3:$AA$1315,DataRegularSeason20242025!$B$3:$B$1315, "&lt;=" &amp; EC$1, DataRegularSeason20242025!$D$3:$D$1315, $A3)+SUMIFS(DataRegularSeason20242025!$AB$3:$AB$1315,DataRegularSeason20242025!$B$3:$B$1315, "&lt;=" &amp; EC$1, DataRegularSeason20242025!$E$3:$E$1315, $A3)</f>
        <v>10</v>
      </c>
      <c r="ED3">
        <f>SUMIFS(DataRegularSeason20242025!$AA$3:$AA$1315,DataRegularSeason20242025!$B$3:$B$1315, "&lt;=" &amp; ED$1, DataRegularSeason20242025!$D$3:$D$1315, $A3)+SUMIFS(DataRegularSeason20242025!$AB$3:$AB$1315,DataRegularSeason20242025!$B$3:$B$1315, "&lt;=" &amp; ED$1, DataRegularSeason20242025!$E$3:$E$1315, $A3)</f>
        <v>10</v>
      </c>
      <c r="EE3">
        <f>SUMIFS(DataRegularSeason20242025!$AA$3:$AA$1315,DataRegularSeason20242025!$B$3:$B$1315, "&lt;=" &amp; EE$1, DataRegularSeason20242025!$D$3:$D$1315, $A3)+SUMIFS(DataRegularSeason20242025!$AB$3:$AB$1315,DataRegularSeason20242025!$B$3:$B$1315, "&lt;=" &amp; EE$1, DataRegularSeason20242025!$E$3:$E$1315, $A3)</f>
        <v>10</v>
      </c>
      <c r="EF3">
        <f>SUMIFS(DataRegularSeason20242025!$AA$3:$AA$1315,DataRegularSeason20242025!$B$3:$B$1315, "&lt;=" &amp; EF$1, DataRegularSeason20242025!$D$3:$D$1315, $A3)+SUMIFS(DataRegularSeason20242025!$AB$3:$AB$1315,DataRegularSeason20242025!$B$3:$B$1315, "&lt;=" &amp; EF$1, DataRegularSeason20242025!$E$3:$E$1315, $A3)</f>
        <v>10</v>
      </c>
      <c r="EG3">
        <f>SUMIFS(DataRegularSeason20242025!$AA$3:$AA$1315,DataRegularSeason20242025!$B$3:$B$1315, "&lt;=" &amp; EG$1, DataRegularSeason20242025!$D$3:$D$1315, $A3)+SUMIFS(DataRegularSeason20242025!$AB$3:$AB$1315,DataRegularSeason20242025!$B$3:$B$1315, "&lt;=" &amp; EG$1, DataRegularSeason20242025!$E$3:$E$1315, $A3)</f>
        <v>10</v>
      </c>
      <c r="EH3">
        <f>SUMIFS(DataRegularSeason20242025!$AA$3:$AA$1315,DataRegularSeason20242025!$B$3:$B$1315, "&lt;=" &amp; EH$1, DataRegularSeason20242025!$D$3:$D$1315, $A3)+SUMIFS(DataRegularSeason20242025!$AB$3:$AB$1315,DataRegularSeason20242025!$B$3:$B$1315, "&lt;=" &amp; EH$1, DataRegularSeason20242025!$E$3:$E$1315, $A3)</f>
        <v>10</v>
      </c>
      <c r="EI3">
        <f>SUMIFS(DataRegularSeason20242025!$AA$3:$AA$1315,DataRegularSeason20242025!$B$3:$B$1315, "&lt;=" &amp; EI$1, DataRegularSeason20242025!$D$3:$D$1315, $A3)+SUMIFS(DataRegularSeason20242025!$AB$3:$AB$1315,DataRegularSeason20242025!$B$3:$B$1315, "&lt;=" &amp; EI$1, DataRegularSeason20242025!$E$3:$E$1315, $A3)</f>
        <v>10</v>
      </c>
      <c r="EJ3">
        <f>SUMIFS(DataRegularSeason20242025!$AA$3:$AA$1315,DataRegularSeason20242025!$B$3:$B$1315, "&lt;=" &amp; EJ$1, DataRegularSeason20242025!$D$3:$D$1315, $A3)+SUMIFS(DataRegularSeason20242025!$AB$3:$AB$1315,DataRegularSeason20242025!$B$3:$B$1315, "&lt;=" &amp; EJ$1, DataRegularSeason20242025!$E$3:$E$1315, $A3)</f>
        <v>10</v>
      </c>
      <c r="EK3">
        <f>SUMIFS(DataRegularSeason20242025!$AA$3:$AA$1315,DataRegularSeason20242025!$B$3:$B$1315, "&lt;=" &amp; EK$1, DataRegularSeason20242025!$D$3:$D$1315, $A3)+SUMIFS(DataRegularSeason20242025!$AB$3:$AB$1315,DataRegularSeason20242025!$B$3:$B$1315, "&lt;=" &amp; EK$1, DataRegularSeason20242025!$E$3:$E$1315, $A3)</f>
        <v>10</v>
      </c>
      <c r="EL3">
        <f>SUMIFS(DataRegularSeason20242025!$AA$3:$AA$1315,DataRegularSeason20242025!$B$3:$B$1315, "&lt;=" &amp; EL$1, DataRegularSeason20242025!$D$3:$D$1315, $A3)+SUMIFS(DataRegularSeason20242025!$AB$3:$AB$1315,DataRegularSeason20242025!$B$3:$B$1315, "&lt;=" &amp; EL$1, DataRegularSeason20242025!$E$3:$E$1315, $A3)</f>
        <v>10</v>
      </c>
      <c r="EM3">
        <f>SUMIFS(DataRegularSeason20242025!$AA$3:$AA$1315,DataRegularSeason20242025!$B$3:$B$1315, "&lt;=" &amp; EM$1, DataRegularSeason20242025!$D$3:$D$1315, $A3)+SUMIFS(DataRegularSeason20242025!$AB$3:$AB$1315,DataRegularSeason20242025!$B$3:$B$1315, "&lt;=" &amp; EM$1, DataRegularSeason20242025!$E$3:$E$1315, $A3)</f>
        <v>10</v>
      </c>
      <c r="EN3">
        <f>SUMIFS(DataRegularSeason20242025!$AA$3:$AA$1315,DataRegularSeason20242025!$B$3:$B$1315, "&lt;=" &amp; EN$1, DataRegularSeason20242025!$D$3:$D$1315, $A3)+SUMIFS(DataRegularSeason20242025!$AB$3:$AB$1315,DataRegularSeason20242025!$B$3:$B$1315, "&lt;=" &amp; EN$1, DataRegularSeason20242025!$E$3:$E$1315, $A3)</f>
        <v>10</v>
      </c>
      <c r="EO3">
        <f>SUMIFS(DataRegularSeason20242025!$AA$3:$AA$1315,DataRegularSeason20242025!$B$3:$B$1315, "&lt;=" &amp; EO$1, DataRegularSeason20242025!$D$3:$D$1315, $A3)+SUMIFS(DataRegularSeason20242025!$AB$3:$AB$1315,DataRegularSeason20242025!$B$3:$B$1315, "&lt;=" &amp; EO$1, DataRegularSeason20242025!$E$3:$E$1315, $A3)</f>
        <v>10</v>
      </c>
      <c r="EP3">
        <f>SUMIFS(DataRegularSeason20242025!$AA$3:$AA$1315,DataRegularSeason20242025!$B$3:$B$1315, "&lt;=" &amp; EP$1, DataRegularSeason20242025!$D$3:$D$1315, $A3)+SUMIFS(DataRegularSeason20242025!$AB$3:$AB$1315,DataRegularSeason20242025!$B$3:$B$1315, "&lt;=" &amp; EP$1, DataRegularSeason20242025!$E$3:$E$1315, $A3)</f>
        <v>10</v>
      </c>
      <c r="EQ3">
        <f>SUMIFS(DataRegularSeason20242025!$AA$3:$AA$1315,DataRegularSeason20242025!$B$3:$B$1315, "&lt;=" &amp; EQ$1, DataRegularSeason20242025!$D$3:$D$1315, $A3)+SUMIFS(DataRegularSeason20242025!$AB$3:$AB$1315,DataRegularSeason20242025!$B$3:$B$1315, "&lt;=" &amp; EQ$1, DataRegularSeason20242025!$E$3:$E$1315, $A3)</f>
        <v>10</v>
      </c>
      <c r="ER3">
        <f>SUMIFS(DataRegularSeason20242025!$AA$3:$AA$1315,DataRegularSeason20242025!$B$3:$B$1315, "&lt;=" &amp; ER$1, DataRegularSeason20242025!$D$3:$D$1315, $A3)+SUMIFS(DataRegularSeason20242025!$AB$3:$AB$1315,DataRegularSeason20242025!$B$3:$B$1315, "&lt;=" &amp; ER$1, DataRegularSeason20242025!$E$3:$E$1315, $A3)</f>
        <v>10</v>
      </c>
      <c r="ES3">
        <f>SUMIFS(DataRegularSeason20242025!$AA$3:$AA$1315,DataRegularSeason20242025!$B$3:$B$1315, "&lt;=" &amp; ES$1, DataRegularSeason20242025!$D$3:$D$1315, $A3)+SUMIFS(DataRegularSeason20242025!$AB$3:$AB$1315,DataRegularSeason20242025!$B$3:$B$1315, "&lt;=" &amp; ES$1, DataRegularSeason20242025!$E$3:$E$1315, $A3)</f>
        <v>10</v>
      </c>
      <c r="ET3">
        <f>SUMIFS(DataRegularSeason20242025!$AA$3:$AA$1315,DataRegularSeason20242025!$B$3:$B$1315, "&lt;=" &amp; ET$1, DataRegularSeason20242025!$D$3:$D$1315, $A3)+SUMIFS(DataRegularSeason20242025!$AB$3:$AB$1315,DataRegularSeason20242025!$B$3:$B$1315, "&lt;=" &amp; ET$1, DataRegularSeason20242025!$E$3:$E$1315, $A3)</f>
        <v>10</v>
      </c>
      <c r="EU3">
        <f>SUMIFS(DataRegularSeason20242025!$AA$3:$AA$1315,DataRegularSeason20242025!$B$3:$B$1315, "&lt;=" &amp; EU$1, DataRegularSeason20242025!$D$3:$D$1315, $A3)+SUMIFS(DataRegularSeason20242025!$AB$3:$AB$1315,DataRegularSeason20242025!$B$3:$B$1315, "&lt;=" &amp; EU$1, DataRegularSeason20242025!$E$3:$E$1315, $A3)</f>
        <v>10</v>
      </c>
      <c r="EV3">
        <f>SUMIFS(DataRegularSeason20242025!$AA$3:$AA$1315,DataRegularSeason20242025!$B$3:$B$1315, "&lt;=" &amp; EV$1, DataRegularSeason20242025!$D$3:$D$1315, $A3)+SUMIFS(DataRegularSeason20242025!$AB$3:$AB$1315,DataRegularSeason20242025!$B$3:$B$1315, "&lt;=" &amp; EV$1, DataRegularSeason20242025!$E$3:$E$1315, $A3)</f>
        <v>10</v>
      </c>
      <c r="EW3">
        <f>SUMIFS(DataRegularSeason20242025!$AA$3:$AA$1315,DataRegularSeason20242025!$B$3:$B$1315, "&lt;=" &amp; EW$1, DataRegularSeason20242025!$D$3:$D$1315, $A3)+SUMIFS(DataRegularSeason20242025!$AB$3:$AB$1315,DataRegularSeason20242025!$B$3:$B$1315, "&lt;=" &amp; EW$1, DataRegularSeason20242025!$E$3:$E$1315, $A3)</f>
        <v>10</v>
      </c>
      <c r="EX3">
        <f>SUMIFS(DataRegularSeason20242025!$AA$3:$AA$1315,DataRegularSeason20242025!$B$3:$B$1315, "&lt;=" &amp; EX$1, DataRegularSeason20242025!$D$3:$D$1315, $A3)+SUMIFS(DataRegularSeason20242025!$AB$3:$AB$1315,DataRegularSeason20242025!$B$3:$B$1315, "&lt;=" &amp; EX$1, DataRegularSeason20242025!$E$3:$E$1315, $A3)</f>
        <v>10</v>
      </c>
      <c r="EY3">
        <f>SUMIFS(DataRegularSeason20242025!$AA$3:$AA$1315,DataRegularSeason20242025!$B$3:$B$1315, "&lt;=" &amp; EY$1, DataRegularSeason20242025!$D$3:$D$1315, $A3)+SUMIFS(DataRegularSeason20242025!$AB$3:$AB$1315,DataRegularSeason20242025!$B$3:$B$1315, "&lt;=" &amp; EY$1, DataRegularSeason20242025!$E$3:$E$1315, $A3)</f>
        <v>10</v>
      </c>
      <c r="EZ3">
        <f>SUMIFS(DataRegularSeason20242025!$AA$3:$AA$1315,DataRegularSeason20242025!$B$3:$B$1315, "&lt;=" &amp; EZ$1, DataRegularSeason20242025!$D$3:$D$1315, $A3)+SUMIFS(DataRegularSeason20242025!$AB$3:$AB$1315,DataRegularSeason20242025!$B$3:$B$1315, "&lt;=" &amp; EZ$1, DataRegularSeason20242025!$E$3:$E$1315, $A3)</f>
        <v>10</v>
      </c>
      <c r="FA3">
        <f>SUMIFS(DataRegularSeason20242025!$AA$3:$AA$1315,DataRegularSeason20242025!$B$3:$B$1315, "&lt;=" &amp; FA$1, DataRegularSeason20242025!$D$3:$D$1315, $A3)+SUMIFS(DataRegularSeason20242025!$AB$3:$AB$1315,DataRegularSeason20242025!$B$3:$B$1315, "&lt;=" &amp; FA$1, DataRegularSeason20242025!$E$3:$E$1315, $A3)</f>
        <v>10</v>
      </c>
      <c r="FB3">
        <f>SUMIFS(DataRegularSeason20242025!$AA$3:$AA$1315,DataRegularSeason20242025!$B$3:$B$1315, "&lt;=" &amp; FB$1, DataRegularSeason20242025!$D$3:$D$1315, $A3)+SUMIFS(DataRegularSeason20242025!$AB$3:$AB$1315,DataRegularSeason20242025!$B$3:$B$1315, "&lt;=" &amp; FB$1, DataRegularSeason20242025!$E$3:$E$1315, $A3)</f>
        <v>10</v>
      </c>
      <c r="FC3">
        <f>SUMIFS(DataRegularSeason20242025!$AA$3:$AA$1315,DataRegularSeason20242025!$B$3:$B$1315, "&lt;=" &amp; FC$1, DataRegularSeason20242025!$D$3:$D$1315, $A3)+SUMIFS(DataRegularSeason20242025!$AB$3:$AB$1315,DataRegularSeason20242025!$B$3:$B$1315, "&lt;=" &amp; FC$1, DataRegularSeason20242025!$E$3:$E$1315, $A3)</f>
        <v>10</v>
      </c>
      <c r="FD3">
        <f>SUMIFS(DataRegularSeason20242025!$AA$3:$AA$1315,DataRegularSeason20242025!$B$3:$B$1315, "&lt;=" &amp; FD$1, DataRegularSeason20242025!$D$3:$D$1315, $A3)+SUMIFS(DataRegularSeason20242025!$AB$3:$AB$1315,DataRegularSeason20242025!$B$3:$B$1315, "&lt;=" &amp; FD$1, DataRegularSeason20242025!$E$3:$E$1315, $A3)</f>
        <v>10</v>
      </c>
      <c r="FE3">
        <f>SUMIFS(DataRegularSeason20242025!$AA$3:$AA$1315,DataRegularSeason20242025!$B$3:$B$1315, "&lt;=" &amp; FE$1, DataRegularSeason20242025!$D$3:$D$1315, $A3)+SUMIFS(DataRegularSeason20242025!$AB$3:$AB$1315,DataRegularSeason20242025!$B$3:$B$1315, "&lt;=" &amp; FE$1, DataRegularSeason20242025!$E$3:$E$1315, $A3)</f>
        <v>10</v>
      </c>
      <c r="FF3">
        <f>SUMIFS(DataRegularSeason20242025!$AA$3:$AA$1315,DataRegularSeason20242025!$B$3:$B$1315, "&lt;=" &amp; FF$1, DataRegularSeason20242025!$D$3:$D$1315, $A3)+SUMIFS(DataRegularSeason20242025!$AB$3:$AB$1315,DataRegularSeason20242025!$B$3:$B$1315, "&lt;=" &amp; FF$1, DataRegularSeason20242025!$E$3:$E$1315, $A3)</f>
        <v>10</v>
      </c>
      <c r="FG3">
        <f>SUMIFS(DataRegularSeason20242025!$AA$3:$AA$1315,DataRegularSeason20242025!$B$3:$B$1315, "&lt;=" &amp; FG$1, DataRegularSeason20242025!$D$3:$D$1315, $A3)+SUMIFS(DataRegularSeason20242025!$AB$3:$AB$1315,DataRegularSeason20242025!$B$3:$B$1315, "&lt;=" &amp; FG$1, DataRegularSeason20242025!$E$3:$E$1315, $A3)</f>
        <v>10</v>
      </c>
      <c r="FH3">
        <f>SUMIFS(DataRegularSeason20242025!$AA$3:$AA$1315,DataRegularSeason20242025!$B$3:$B$1315, "&lt;=" &amp; FH$1, DataRegularSeason20242025!$D$3:$D$1315, $A3)+SUMIFS(DataRegularSeason20242025!$AB$3:$AB$1315,DataRegularSeason20242025!$B$3:$B$1315, "&lt;=" &amp; FH$1, DataRegularSeason20242025!$E$3:$E$1315, $A3)</f>
        <v>10</v>
      </c>
      <c r="FI3">
        <f>SUMIFS(DataRegularSeason20242025!$AA$3:$AA$1315,DataRegularSeason20242025!$B$3:$B$1315, "&lt;=" &amp; FI$1, DataRegularSeason20242025!$D$3:$D$1315, $A3)+SUMIFS(DataRegularSeason20242025!$AB$3:$AB$1315,DataRegularSeason20242025!$B$3:$B$1315, "&lt;=" &amp; FI$1, DataRegularSeason20242025!$E$3:$E$1315, $A3)</f>
        <v>10</v>
      </c>
      <c r="FJ3">
        <f>SUMIFS(DataRegularSeason20242025!$AA$3:$AA$1315,DataRegularSeason20242025!$B$3:$B$1315, "&lt;=" &amp; FJ$1, DataRegularSeason20242025!$D$3:$D$1315, $A3)+SUMIFS(DataRegularSeason20242025!$AB$3:$AB$1315,DataRegularSeason20242025!$B$3:$B$1315, "&lt;=" &amp; FJ$1, DataRegularSeason20242025!$E$3:$E$1315, $A3)</f>
        <v>10</v>
      </c>
      <c r="FK3">
        <f>SUMIFS(DataRegularSeason20242025!$AA$3:$AA$1315,DataRegularSeason20242025!$B$3:$B$1315, "&lt;=" &amp; FK$1, DataRegularSeason20242025!$D$3:$D$1315, $A3)+SUMIFS(DataRegularSeason20242025!$AB$3:$AB$1315,DataRegularSeason20242025!$B$3:$B$1315, "&lt;=" &amp; FK$1, DataRegularSeason20242025!$E$3:$E$1315, $A3)</f>
        <v>10</v>
      </c>
      <c r="FL3">
        <f>SUMIFS(DataRegularSeason20242025!$AA$3:$AA$1315,DataRegularSeason20242025!$B$3:$B$1315, "&lt;=" &amp; FL$1, DataRegularSeason20242025!$D$3:$D$1315, $A3)+SUMIFS(DataRegularSeason20242025!$AB$3:$AB$1315,DataRegularSeason20242025!$B$3:$B$1315, "&lt;=" &amp; FL$1, DataRegularSeason20242025!$E$3:$E$1315, $A3)</f>
        <v>10</v>
      </c>
      <c r="FM3">
        <f>SUMIFS(DataRegularSeason20242025!$AA$3:$AA$1315,DataRegularSeason20242025!$B$3:$B$1315, "&lt;=" &amp; FM$1, DataRegularSeason20242025!$D$3:$D$1315, $A3)+SUMIFS(DataRegularSeason20242025!$AB$3:$AB$1315,DataRegularSeason20242025!$B$3:$B$1315, "&lt;=" &amp; FM$1, DataRegularSeason20242025!$E$3:$E$1315, $A3)</f>
        <v>10</v>
      </c>
      <c r="FN3">
        <f>SUMIFS(DataRegularSeason20242025!$AA$3:$AA$1315,DataRegularSeason20242025!$B$3:$B$1315, "&lt;=" &amp; FN$1, DataRegularSeason20242025!$D$3:$D$1315, $A3)+SUMIFS(DataRegularSeason20242025!$AB$3:$AB$1315,DataRegularSeason20242025!$B$3:$B$1315, "&lt;=" &amp; FN$1, DataRegularSeason20242025!$E$3:$E$1315, $A3)</f>
        <v>10</v>
      </c>
      <c r="FO3">
        <f>SUMIFS(DataRegularSeason20242025!$AA$3:$AA$1315,DataRegularSeason20242025!$B$3:$B$1315, "&lt;=" &amp; FO$1, DataRegularSeason20242025!$D$3:$D$1315, $A3)+SUMIFS(DataRegularSeason20242025!$AB$3:$AB$1315,DataRegularSeason20242025!$B$3:$B$1315, "&lt;=" &amp; FO$1, DataRegularSeason20242025!$E$3:$E$1315, $A3)</f>
        <v>10</v>
      </c>
      <c r="FP3">
        <f>SUMIFS(DataRegularSeason20242025!$AA$3:$AA$1315,DataRegularSeason20242025!$B$3:$B$1315, "&lt;=" &amp; FP$1, DataRegularSeason20242025!$D$3:$D$1315, $A3)+SUMIFS(DataRegularSeason20242025!$AB$3:$AB$1315,DataRegularSeason20242025!$B$3:$B$1315, "&lt;=" &amp; FP$1, DataRegularSeason20242025!$E$3:$E$1315, $A3)</f>
        <v>10</v>
      </c>
      <c r="FQ3">
        <f>SUMIFS(DataRegularSeason20242025!$AA$3:$AA$1315,DataRegularSeason20242025!$B$3:$B$1315, "&lt;=" &amp; FQ$1, DataRegularSeason20242025!$D$3:$D$1315, $A3)+SUMIFS(DataRegularSeason20242025!$AB$3:$AB$1315,DataRegularSeason20242025!$B$3:$B$1315, "&lt;=" &amp; FQ$1, DataRegularSeason20242025!$E$3:$E$1315, $A3)</f>
        <v>10</v>
      </c>
      <c r="FR3">
        <f>SUMIFS(DataRegularSeason20242025!$AA$3:$AA$1315,DataRegularSeason20242025!$B$3:$B$1315, "&lt;=" &amp; FR$1, DataRegularSeason20242025!$D$3:$D$1315, $A3)+SUMIFS(DataRegularSeason20242025!$AB$3:$AB$1315,DataRegularSeason20242025!$B$3:$B$1315, "&lt;=" &amp; FR$1, DataRegularSeason20242025!$E$3:$E$1315, $A3)</f>
        <v>10</v>
      </c>
      <c r="FS3">
        <f>SUMIFS(DataRegularSeason20242025!$AA$3:$AA$1315,DataRegularSeason20242025!$B$3:$B$1315, "&lt;=" &amp; FS$1, DataRegularSeason20242025!$D$3:$D$1315, $A3)+SUMIFS(DataRegularSeason20242025!$AB$3:$AB$1315,DataRegularSeason20242025!$B$3:$B$1315, "&lt;=" &amp; FS$1, DataRegularSeason20242025!$E$3:$E$1315, $A3)</f>
        <v>10</v>
      </c>
      <c r="FT3">
        <f>SUMIFS(DataRegularSeason20242025!$AA$3:$AA$1315,DataRegularSeason20242025!$B$3:$B$1315, "&lt;=" &amp; FT$1, DataRegularSeason20242025!$D$3:$D$1315, $A3)+SUMIFS(DataRegularSeason20242025!$AB$3:$AB$1315,DataRegularSeason20242025!$B$3:$B$1315, "&lt;=" &amp; FT$1, DataRegularSeason20242025!$E$3:$E$1315, $A3)</f>
        <v>10</v>
      </c>
      <c r="FU3">
        <f>SUMIFS(DataRegularSeason20242025!$AA$3:$AA$1315,DataRegularSeason20242025!$B$3:$B$1315, "&lt;=" &amp; FU$1, DataRegularSeason20242025!$D$3:$D$1315, $A3)+SUMIFS(DataRegularSeason20242025!$AB$3:$AB$1315,DataRegularSeason20242025!$B$3:$B$1315, "&lt;=" &amp; FU$1, DataRegularSeason20242025!$E$3:$E$1315, $A3)</f>
        <v>10</v>
      </c>
      <c r="FV3">
        <f>SUMIFS(DataRegularSeason20242025!$AA$3:$AA$1315,DataRegularSeason20242025!$B$3:$B$1315, "&lt;=" &amp; FV$1, DataRegularSeason20242025!$D$3:$D$1315, $A3)+SUMIFS(DataRegularSeason20242025!$AB$3:$AB$1315,DataRegularSeason20242025!$B$3:$B$1315, "&lt;=" &amp; FV$1, DataRegularSeason20242025!$E$3:$E$1315, $A3)</f>
        <v>10</v>
      </c>
      <c r="FW3">
        <f>SUMIFS(DataRegularSeason20242025!$AA$3:$AA$1315,DataRegularSeason20242025!$B$3:$B$1315, "&lt;=" &amp; FW$1, DataRegularSeason20242025!$D$3:$D$1315, $A3)+SUMIFS(DataRegularSeason20242025!$AB$3:$AB$1315,DataRegularSeason20242025!$B$3:$B$1315, "&lt;=" &amp; FW$1, DataRegularSeason20242025!$E$3:$E$1315, $A3)</f>
        <v>10</v>
      </c>
      <c r="FX3">
        <f>SUMIFS(DataRegularSeason20242025!$AA$3:$AA$1315,DataRegularSeason20242025!$B$3:$B$1315, "&lt;=" &amp; FX$1, DataRegularSeason20242025!$D$3:$D$1315, $A3)+SUMIFS(DataRegularSeason20242025!$AB$3:$AB$1315,DataRegularSeason20242025!$B$3:$B$1315, "&lt;=" &amp; FX$1, DataRegularSeason20242025!$E$3:$E$1315, $A3)</f>
        <v>10</v>
      </c>
      <c r="FY3">
        <f>SUMIFS(DataRegularSeason20242025!$AA$3:$AA$1315,DataRegularSeason20242025!$B$3:$B$1315, "&lt;=" &amp; FY$1, DataRegularSeason20242025!$D$3:$D$1315, $A3)+SUMIFS(DataRegularSeason20242025!$AB$3:$AB$1315,DataRegularSeason20242025!$B$3:$B$1315, "&lt;=" &amp; FY$1, DataRegularSeason20242025!$E$3:$E$1315, $A3)</f>
        <v>10</v>
      </c>
      <c r="FZ3">
        <f>SUMIFS(DataRegularSeason20242025!$AA$3:$AA$1315,DataRegularSeason20242025!$B$3:$B$1315, "&lt;=" &amp; FZ$1, DataRegularSeason20242025!$D$3:$D$1315, $A3)+SUMIFS(DataRegularSeason20242025!$AB$3:$AB$1315,DataRegularSeason20242025!$B$3:$B$1315, "&lt;=" &amp; FZ$1, DataRegularSeason20242025!$E$3:$E$1315, $A3)</f>
        <v>10</v>
      </c>
      <c r="GA3">
        <f>SUMIFS(DataRegularSeason20242025!$AA$3:$AA$1315,DataRegularSeason20242025!$B$3:$B$1315, "&lt;=" &amp; GA$1, DataRegularSeason20242025!$D$3:$D$1315, $A3)+SUMIFS(DataRegularSeason20242025!$AB$3:$AB$1315,DataRegularSeason20242025!$B$3:$B$1315, "&lt;=" &amp; GA$1, DataRegularSeason20242025!$E$3:$E$1315, $A3)</f>
        <v>10</v>
      </c>
      <c r="GB3">
        <f>SUMIFS(DataRegularSeason20242025!$AA$3:$AA$1315,DataRegularSeason20242025!$B$3:$B$1315, "&lt;=" &amp; GB$1, DataRegularSeason20242025!$D$3:$D$1315, $A3)+SUMIFS(DataRegularSeason20242025!$AB$3:$AB$1315,DataRegularSeason20242025!$B$3:$B$1315, "&lt;=" &amp; GB$1, DataRegularSeason20242025!$E$3:$E$1315, $A3)</f>
        <v>10</v>
      </c>
      <c r="GC3">
        <f>SUMIFS(DataRegularSeason20242025!$AA$3:$AA$1315,DataRegularSeason20242025!$B$3:$B$1315, "&lt;=" &amp; GC$1, DataRegularSeason20242025!$D$3:$D$1315, $A3)+SUMIFS(DataRegularSeason20242025!$AB$3:$AB$1315,DataRegularSeason20242025!$B$3:$B$1315, "&lt;=" &amp; GC$1, DataRegularSeason20242025!$E$3:$E$1315, $A3)</f>
        <v>10</v>
      </c>
      <c r="GD3">
        <f>SUMIFS(DataRegularSeason20242025!$AA$3:$AA$1315,DataRegularSeason20242025!$B$3:$B$1315, "&lt;=" &amp; GD$1, DataRegularSeason20242025!$D$3:$D$1315, $A3)+SUMIFS(DataRegularSeason20242025!$AB$3:$AB$1315,DataRegularSeason20242025!$B$3:$B$1315, "&lt;=" &amp; GD$1, DataRegularSeason20242025!$E$3:$E$1315, $A3)</f>
        <v>10</v>
      </c>
      <c r="GE3">
        <f>SUMIFS(DataRegularSeason20242025!$AA$3:$AA$1315,DataRegularSeason20242025!$B$3:$B$1315, "&lt;=" &amp; GE$1, DataRegularSeason20242025!$D$3:$D$1315, $A3)+SUMIFS(DataRegularSeason20242025!$AB$3:$AB$1315,DataRegularSeason20242025!$B$3:$B$1315, "&lt;=" &amp; GE$1, DataRegularSeason20242025!$E$3:$E$1315, $A3)</f>
        <v>10</v>
      </c>
      <c r="GF3">
        <f>SUMIFS(DataRegularSeason20242025!$AA$3:$AA$1315,DataRegularSeason20242025!$B$3:$B$1315, "&lt;=" &amp; GF$1, DataRegularSeason20242025!$D$3:$D$1315, $A3)+SUMIFS(DataRegularSeason20242025!$AB$3:$AB$1315,DataRegularSeason20242025!$B$3:$B$1315, "&lt;=" &amp; GF$1, DataRegularSeason20242025!$E$3:$E$1315, $A3)</f>
        <v>10</v>
      </c>
      <c r="GG3">
        <f>SUMIFS(DataRegularSeason20242025!$AA$3:$AA$1315,DataRegularSeason20242025!$B$3:$B$1315, "&lt;=" &amp; GG$1, DataRegularSeason20242025!$D$3:$D$1315, $A3)+SUMIFS(DataRegularSeason20242025!$AB$3:$AB$1315,DataRegularSeason20242025!$B$3:$B$1315, "&lt;=" &amp; GG$1, DataRegularSeason20242025!$E$3:$E$1315, $A3)</f>
        <v>10</v>
      </c>
      <c r="GH3">
        <f>SUMIFS(DataRegularSeason20242025!$AA$3:$AA$1315,DataRegularSeason20242025!$B$3:$B$1315, "&lt;=" &amp; GH$1, DataRegularSeason20242025!$D$3:$D$1315, $A3)+SUMIFS(DataRegularSeason20242025!$AB$3:$AB$1315,DataRegularSeason20242025!$B$3:$B$1315, "&lt;=" &amp; GH$1, DataRegularSeason20242025!$E$3:$E$1315, $A3)</f>
        <v>10</v>
      </c>
      <c r="GI3">
        <f>SUMIFS(DataRegularSeason20242025!$AA$3:$AA$1315,DataRegularSeason20242025!$B$3:$B$1315, "&lt;=" &amp; GI$1, DataRegularSeason20242025!$D$3:$D$1315, $A3)+SUMIFS(DataRegularSeason20242025!$AB$3:$AB$1315,DataRegularSeason20242025!$B$3:$B$1315, "&lt;=" &amp; GI$1, DataRegularSeason20242025!$E$3:$E$1315, $A3)</f>
        <v>10</v>
      </c>
      <c r="GJ3">
        <f>SUMIFS(DataRegularSeason20242025!$AA$3:$AA$1315,DataRegularSeason20242025!$B$3:$B$1315, "&lt;=" &amp; GJ$1, DataRegularSeason20242025!$D$3:$D$1315, $A3)+SUMIFS(DataRegularSeason20242025!$AB$3:$AB$1315,DataRegularSeason20242025!$B$3:$B$1315, "&lt;=" &amp; GJ$1, DataRegularSeason20242025!$E$3:$E$1315, $A3)</f>
        <v>10</v>
      </c>
      <c r="GK3">
        <f>SUMIFS(DataRegularSeason20242025!$AA$3:$AA$1315,DataRegularSeason20242025!$B$3:$B$1315, "&lt;=" &amp; GK$1, DataRegularSeason20242025!$D$3:$D$1315, $A3)+SUMIFS(DataRegularSeason20242025!$AB$3:$AB$1315,DataRegularSeason20242025!$B$3:$B$1315, "&lt;=" &amp; GK$1, DataRegularSeason20242025!$E$3:$E$1315, $A3)</f>
        <v>10</v>
      </c>
      <c r="GL3">
        <f>SUMIFS(DataRegularSeason20242025!$AA$3:$AA$1315,DataRegularSeason20242025!$B$3:$B$1315, "&lt;=" &amp; GL$1, DataRegularSeason20242025!$D$3:$D$1315, $A3)+SUMIFS(DataRegularSeason20242025!$AB$3:$AB$1315,DataRegularSeason20242025!$B$3:$B$1315, "&lt;=" &amp; GL$1, DataRegularSeason20242025!$E$3:$E$1315, $A3)</f>
        <v>10</v>
      </c>
      <c r="GM3">
        <f>SUMIFS(DataRegularSeason20242025!$AA$3:$AA$1315,DataRegularSeason20242025!$B$3:$B$1315, "&lt;=" &amp; GM$1, DataRegularSeason20242025!$D$3:$D$1315, $A3)+SUMIFS(DataRegularSeason20242025!$AB$3:$AB$1315,DataRegularSeason20242025!$B$3:$B$1315, "&lt;=" &amp; GM$1, DataRegularSeason20242025!$E$3:$E$1315, $A3)</f>
        <v>10</v>
      </c>
      <c r="GN3">
        <f>SUMIFS(DataRegularSeason20242025!$AA$3:$AA$1315,DataRegularSeason20242025!$B$3:$B$1315, "&lt;=" &amp; GN$1, DataRegularSeason20242025!$D$3:$D$1315, $A3)+SUMIFS(DataRegularSeason20242025!$AB$3:$AB$1315,DataRegularSeason20242025!$B$3:$B$1315, "&lt;=" &amp; GN$1, DataRegularSeason20242025!$E$3:$E$1315, $A3)</f>
        <v>10</v>
      </c>
      <c r="GO3">
        <f>SUMIFS(DataRegularSeason20242025!$AA$3:$AA$1315,DataRegularSeason20242025!$B$3:$B$1315, "&lt;=" &amp; GO$1, DataRegularSeason20242025!$D$3:$D$1315, $A3)+SUMIFS(DataRegularSeason20242025!$AB$3:$AB$1315,DataRegularSeason20242025!$B$3:$B$1315, "&lt;=" &amp; GO$1, DataRegularSeason20242025!$E$3:$E$1315, $A3)</f>
        <v>10</v>
      </c>
      <c r="GP3">
        <f>SUMIFS(DataRegularSeason20242025!$AA$3:$AA$1315,DataRegularSeason20242025!$B$3:$B$1315, "&lt;=" &amp; GP$1, DataRegularSeason20242025!$D$3:$D$1315, $A3)+SUMIFS(DataRegularSeason20242025!$AB$3:$AB$1315,DataRegularSeason20242025!$B$3:$B$1315, "&lt;=" &amp; GP$1, DataRegularSeason20242025!$E$3:$E$1315, $A3)</f>
        <v>10</v>
      </c>
      <c r="GQ3">
        <f>SUMIFS(DataRegularSeason20242025!$AA$3:$AA$1315,DataRegularSeason20242025!$B$3:$B$1315, "&lt;=" &amp; GQ$1, DataRegularSeason20242025!$D$3:$D$1315, $A3)+SUMIFS(DataRegularSeason20242025!$AB$3:$AB$1315,DataRegularSeason20242025!$B$3:$B$1315, "&lt;=" &amp; GQ$1, DataRegularSeason20242025!$E$3:$E$1315, $A3)</f>
        <v>10</v>
      </c>
      <c r="GR3">
        <f>SUMIFS(DataRegularSeason20242025!$AA$3:$AA$1315,DataRegularSeason20242025!$B$3:$B$1315, "&lt;=" &amp; GR$1, DataRegularSeason20242025!$D$3:$D$1315, $A3)+SUMIFS(DataRegularSeason20242025!$AB$3:$AB$1315,DataRegularSeason20242025!$B$3:$B$1315, "&lt;=" &amp; GR$1, DataRegularSeason20242025!$E$3:$E$1315, $A3)</f>
        <v>10</v>
      </c>
      <c r="GS3">
        <f>SUMIFS(DataRegularSeason20242025!$AA$3:$AA$1315,DataRegularSeason20242025!$B$3:$B$1315, "&lt;=" &amp; GS$1, DataRegularSeason20242025!$D$3:$D$1315, $A3)+SUMIFS(DataRegularSeason20242025!$AB$3:$AB$1315,DataRegularSeason20242025!$B$3:$B$1315, "&lt;=" &amp; GS$1, DataRegularSeason20242025!$E$3:$E$1315, $A3)</f>
        <v>10</v>
      </c>
      <c r="GT3">
        <f>SUMIFS(DataRegularSeason20242025!$AA$3:$AA$1315,DataRegularSeason20242025!$B$3:$B$1315, "&lt;=" &amp; GT$1, DataRegularSeason20242025!$D$3:$D$1315, $A3)+SUMIFS(DataRegularSeason20242025!$AB$3:$AB$1315,DataRegularSeason20242025!$B$3:$B$1315, "&lt;=" &amp; GT$1, DataRegularSeason20242025!$E$3:$E$1315, $A3)</f>
        <v>10</v>
      </c>
      <c r="GU3">
        <f>SUMIFS(DataRegularSeason20242025!$AA$3:$AA$1315,DataRegularSeason20242025!$B$3:$B$1315, "&lt;=" &amp; GU$1, DataRegularSeason20242025!$D$3:$D$1315, $A3)+SUMIFS(DataRegularSeason20242025!$AB$3:$AB$1315,DataRegularSeason20242025!$B$3:$B$1315, "&lt;=" &amp; GU$1, DataRegularSeason20242025!$E$3:$E$1315, $A3)</f>
        <v>10</v>
      </c>
    </row>
    <row r="4" spans="1:275" x14ac:dyDescent="0.25">
      <c r="A4" t="s">
        <v>13</v>
      </c>
      <c r="B4" t="s">
        <v>91</v>
      </c>
      <c r="C4" s="105" t="s">
        <v>74</v>
      </c>
      <c r="D4">
        <f>SUMIFS(DataRegularSeason20242025!$AA$3:$AA$1315,DataRegularSeason20242025!$B$3:$B$1315, "&lt;=" &amp; D$1, DataRegularSeason20242025!$D$3:$D$1315, $A4)+SUMIFS(DataRegularSeason20242025!$AB$3:$AB$1315,DataRegularSeason20242025!$B$3:$B$1315, "&lt;=" &amp; D$1, DataRegularSeason20242025!$E$3:$E$1315, $A4)</f>
        <v>0</v>
      </c>
      <c r="E4">
        <f>SUMIFS(DataRegularSeason20242025!$AA$3:$AA$1315,DataRegularSeason20242025!$B$3:$B$1315, "&lt;=" &amp; E$1, DataRegularSeason20242025!$D$3:$D$1315, $A4)+SUMIFS(DataRegularSeason20242025!$AB$3:$AB$1315,DataRegularSeason20242025!$B$3:$B$1315, "&lt;=" &amp; E$1, DataRegularSeason20242025!$E$3:$E$1315, $A4)</f>
        <v>0</v>
      </c>
      <c r="F4">
        <f>SUMIFS(DataRegularSeason20242025!$AA$3:$AA$1315,DataRegularSeason20242025!$B$3:$B$1315, "&lt;=" &amp; F$1, DataRegularSeason20242025!$D$3:$D$1315, $A4)+SUMIFS(DataRegularSeason20242025!$AB$3:$AB$1315,DataRegularSeason20242025!$B$3:$B$1315, "&lt;=" &amp; F$1, DataRegularSeason20242025!$E$3:$E$1315, $A4)</f>
        <v>0</v>
      </c>
      <c r="G4">
        <f>SUMIFS(DataRegularSeason20242025!$AA$3:$AA$1315,DataRegularSeason20242025!$B$3:$B$1315, "&lt;=" &amp; G$1, DataRegularSeason20242025!$D$3:$D$1315, $A4)+SUMIFS(DataRegularSeason20242025!$AB$3:$AB$1315,DataRegularSeason20242025!$B$3:$B$1315, "&lt;=" &amp; G$1, DataRegularSeason20242025!$E$3:$E$1315, $A4)</f>
        <v>0</v>
      </c>
      <c r="H4">
        <f>SUMIFS(DataRegularSeason20242025!$AA$3:$AA$1315,DataRegularSeason20242025!$B$3:$B$1315, "&lt;=" &amp; H$1, DataRegularSeason20242025!$D$3:$D$1315, $A4)+SUMIFS(DataRegularSeason20242025!$AB$3:$AB$1315,DataRegularSeason20242025!$B$3:$B$1315, "&lt;=" &amp; H$1, DataRegularSeason20242025!$E$3:$E$1315, $A4)</f>
        <v>2</v>
      </c>
      <c r="I4">
        <f>SUMIFS(DataRegularSeason20242025!$AA$3:$AA$1315,DataRegularSeason20242025!$B$3:$B$1315, "&lt;=" &amp; I$1, DataRegularSeason20242025!$D$3:$D$1315, $A4)+SUMIFS(DataRegularSeason20242025!$AB$3:$AB$1315,DataRegularSeason20242025!$B$3:$B$1315, "&lt;=" &amp; I$1, DataRegularSeason20242025!$E$3:$E$1315, $A4)</f>
        <v>2</v>
      </c>
      <c r="J4">
        <f>SUMIFS(DataRegularSeason20242025!$AA$3:$AA$1315,DataRegularSeason20242025!$B$3:$B$1315, "&lt;=" &amp; J$1, DataRegularSeason20242025!$D$3:$D$1315, $A4)+SUMIFS(DataRegularSeason20242025!$AB$3:$AB$1315,DataRegularSeason20242025!$B$3:$B$1315, "&lt;=" &amp; J$1, DataRegularSeason20242025!$E$3:$E$1315, $A4)</f>
        <v>4</v>
      </c>
      <c r="K4">
        <f>SUMIFS(DataRegularSeason20242025!$AA$3:$AA$1315,DataRegularSeason20242025!$B$3:$B$1315, "&lt;=" &amp; K$1, DataRegularSeason20242025!$D$3:$D$1315, $A4)+SUMIFS(DataRegularSeason20242025!$AB$3:$AB$1315,DataRegularSeason20242025!$B$3:$B$1315, "&lt;=" &amp; K$1, DataRegularSeason20242025!$E$3:$E$1315, $A4)</f>
        <v>4</v>
      </c>
      <c r="L4">
        <f>SUMIFS(DataRegularSeason20242025!$AA$3:$AA$1315,DataRegularSeason20242025!$B$3:$B$1315, "&lt;=" &amp; L$1, DataRegularSeason20242025!$D$3:$D$1315, $A4)+SUMIFS(DataRegularSeason20242025!$AB$3:$AB$1315,DataRegularSeason20242025!$B$3:$B$1315, "&lt;=" &amp; L$1, DataRegularSeason20242025!$E$3:$E$1315, $A4)</f>
        <v>6</v>
      </c>
      <c r="M4">
        <f>SUMIFS(DataRegularSeason20242025!$AA$3:$AA$1315,DataRegularSeason20242025!$B$3:$B$1315, "&lt;=" &amp; M$1, DataRegularSeason20242025!$D$3:$D$1315, $A4)+SUMIFS(DataRegularSeason20242025!$AB$3:$AB$1315,DataRegularSeason20242025!$B$3:$B$1315, "&lt;=" &amp; M$1, DataRegularSeason20242025!$E$3:$E$1315, $A4)</f>
        <v>6</v>
      </c>
      <c r="N4">
        <f>SUMIFS(DataRegularSeason20242025!$AA$3:$AA$1315,DataRegularSeason20242025!$B$3:$B$1315, "&lt;=" &amp; N$1, DataRegularSeason20242025!$D$3:$D$1315, $A4)+SUMIFS(DataRegularSeason20242025!$AB$3:$AB$1315,DataRegularSeason20242025!$B$3:$B$1315, "&lt;=" &amp; N$1, DataRegularSeason20242025!$E$3:$E$1315, $A4)</f>
        <v>6</v>
      </c>
      <c r="O4">
        <f>SUMIFS(DataRegularSeason20242025!$AA$3:$AA$1315,DataRegularSeason20242025!$B$3:$B$1315, "&lt;=" &amp; O$1, DataRegularSeason20242025!$D$3:$D$1315, $A4)+SUMIFS(DataRegularSeason20242025!$AB$3:$AB$1315,DataRegularSeason20242025!$B$3:$B$1315, "&lt;=" &amp; O$1, DataRegularSeason20242025!$E$3:$E$1315, $A4)</f>
        <v>6</v>
      </c>
      <c r="P4">
        <f>SUMIFS(DataRegularSeason20242025!$AA$3:$AA$1315,DataRegularSeason20242025!$B$3:$B$1315, "&lt;=" &amp; P$1, DataRegularSeason20242025!$D$3:$D$1315, $A4)+SUMIFS(DataRegularSeason20242025!$AB$3:$AB$1315,DataRegularSeason20242025!$B$3:$B$1315, "&lt;=" &amp; P$1, DataRegularSeason20242025!$E$3:$E$1315, $A4)</f>
        <v>6</v>
      </c>
      <c r="Q4">
        <f>SUMIFS(DataRegularSeason20242025!$AA$3:$AA$1315,DataRegularSeason20242025!$B$3:$B$1315, "&lt;=" &amp; Q$1, DataRegularSeason20242025!$D$3:$D$1315, $A4)+SUMIFS(DataRegularSeason20242025!$AB$3:$AB$1315,DataRegularSeason20242025!$B$3:$B$1315, "&lt;=" &amp; Q$1, DataRegularSeason20242025!$E$3:$E$1315, $A4)</f>
        <v>6</v>
      </c>
      <c r="R4">
        <f>SUMIFS(DataRegularSeason20242025!$AA$3:$AA$1315,DataRegularSeason20242025!$B$3:$B$1315, "&lt;=" &amp; R$1, DataRegularSeason20242025!$D$3:$D$1315, $A4)+SUMIFS(DataRegularSeason20242025!$AB$3:$AB$1315,DataRegularSeason20242025!$B$3:$B$1315, "&lt;=" &amp; R$1, DataRegularSeason20242025!$E$3:$E$1315, $A4)</f>
        <v>6</v>
      </c>
      <c r="S4">
        <f>SUMIFS(DataRegularSeason20242025!$AA$3:$AA$1315,DataRegularSeason20242025!$B$3:$B$1315, "&lt;=" &amp; S$1, DataRegularSeason20242025!$D$3:$D$1315, $A4)+SUMIFS(DataRegularSeason20242025!$AB$3:$AB$1315,DataRegularSeason20242025!$B$3:$B$1315, "&lt;=" &amp; S$1, DataRegularSeason20242025!$E$3:$E$1315, $A4)</f>
        <v>6</v>
      </c>
      <c r="T4">
        <f>SUMIFS(DataRegularSeason20242025!$AA$3:$AA$1315,DataRegularSeason20242025!$B$3:$B$1315, "&lt;=" &amp; T$1, DataRegularSeason20242025!$D$3:$D$1315, $A4)+SUMIFS(DataRegularSeason20242025!$AB$3:$AB$1315,DataRegularSeason20242025!$B$3:$B$1315, "&lt;=" &amp; T$1, DataRegularSeason20242025!$E$3:$E$1315, $A4)</f>
        <v>6</v>
      </c>
      <c r="U4">
        <f>SUMIFS(DataRegularSeason20242025!$AA$3:$AA$1315,DataRegularSeason20242025!$B$3:$B$1315, "&lt;=" &amp; U$1, DataRegularSeason20242025!$D$3:$D$1315, $A4)+SUMIFS(DataRegularSeason20242025!$AB$3:$AB$1315,DataRegularSeason20242025!$B$3:$B$1315, "&lt;=" &amp; U$1, DataRegularSeason20242025!$E$3:$E$1315, $A4)</f>
        <v>6</v>
      </c>
      <c r="V4">
        <f>SUMIFS(DataRegularSeason20242025!$AA$3:$AA$1315,DataRegularSeason20242025!$B$3:$B$1315, "&lt;=" &amp; V$1, DataRegularSeason20242025!$D$3:$D$1315, $A4)+SUMIFS(DataRegularSeason20242025!$AB$3:$AB$1315,DataRegularSeason20242025!$B$3:$B$1315, "&lt;=" &amp; V$1, DataRegularSeason20242025!$E$3:$E$1315, $A4)</f>
        <v>8</v>
      </c>
      <c r="W4">
        <f>SUMIFS(DataRegularSeason20242025!$AA$3:$AA$1315,DataRegularSeason20242025!$B$3:$B$1315, "&lt;=" &amp; W$1, DataRegularSeason20242025!$D$3:$D$1315, $A4)+SUMIFS(DataRegularSeason20242025!$AB$3:$AB$1315,DataRegularSeason20242025!$B$3:$B$1315, "&lt;=" &amp; W$1, DataRegularSeason20242025!$E$3:$E$1315, $A4)</f>
        <v>8</v>
      </c>
      <c r="X4">
        <f>SUMIFS(DataRegularSeason20242025!$AA$3:$AA$1315,DataRegularSeason20242025!$B$3:$B$1315, "&lt;=" &amp; X$1, DataRegularSeason20242025!$D$3:$D$1315, $A4)+SUMIFS(DataRegularSeason20242025!$AB$3:$AB$1315,DataRegularSeason20242025!$B$3:$B$1315, "&lt;=" &amp; X$1, DataRegularSeason20242025!$E$3:$E$1315, $A4)</f>
        <v>8</v>
      </c>
      <c r="Y4">
        <f>SUMIFS(DataRegularSeason20242025!$AA$3:$AA$1315,DataRegularSeason20242025!$B$3:$B$1315, "&lt;=" &amp; Y$1, DataRegularSeason20242025!$D$3:$D$1315, $A4)+SUMIFS(DataRegularSeason20242025!$AB$3:$AB$1315,DataRegularSeason20242025!$B$3:$B$1315, "&lt;=" &amp; Y$1, DataRegularSeason20242025!$E$3:$E$1315, $A4)</f>
        <v>8</v>
      </c>
      <c r="Z4">
        <f>SUMIFS(DataRegularSeason20242025!$AA$3:$AA$1315,DataRegularSeason20242025!$B$3:$B$1315, "&lt;=" &amp; Z$1, DataRegularSeason20242025!$D$3:$D$1315, $A4)+SUMIFS(DataRegularSeason20242025!$AB$3:$AB$1315,DataRegularSeason20242025!$B$3:$B$1315, "&lt;=" &amp; Z$1, DataRegularSeason20242025!$E$3:$E$1315, $A4)</f>
        <v>8</v>
      </c>
      <c r="AA4">
        <f>SUMIFS(DataRegularSeason20242025!$AA$3:$AA$1315,DataRegularSeason20242025!$B$3:$B$1315, "&lt;=" &amp; AA$1, DataRegularSeason20242025!$D$3:$D$1315, $A4)+SUMIFS(DataRegularSeason20242025!$AB$3:$AB$1315,DataRegularSeason20242025!$B$3:$B$1315, "&lt;=" &amp; AA$1, DataRegularSeason20242025!$E$3:$E$1315, $A4)</f>
        <v>8</v>
      </c>
      <c r="AB4">
        <f>SUMIFS(DataRegularSeason20242025!$AA$3:$AA$1315,DataRegularSeason20242025!$B$3:$B$1315, "&lt;=" &amp; AB$1, DataRegularSeason20242025!$D$3:$D$1315, $A4)+SUMIFS(DataRegularSeason20242025!$AB$3:$AB$1315,DataRegularSeason20242025!$B$3:$B$1315, "&lt;=" &amp; AB$1, DataRegularSeason20242025!$E$3:$E$1315, $A4)</f>
        <v>8</v>
      </c>
      <c r="AC4">
        <f>SUMIFS(DataRegularSeason20242025!$AA$3:$AA$1315,DataRegularSeason20242025!$B$3:$B$1315, "&lt;=" &amp; AC$1, DataRegularSeason20242025!$D$3:$D$1315, $A4)+SUMIFS(DataRegularSeason20242025!$AB$3:$AB$1315,DataRegularSeason20242025!$B$3:$B$1315, "&lt;=" &amp; AC$1, DataRegularSeason20242025!$E$3:$E$1315, $A4)</f>
        <v>8</v>
      </c>
      <c r="AD4">
        <f>SUMIFS(DataRegularSeason20242025!$AA$3:$AA$1315,DataRegularSeason20242025!$B$3:$B$1315, "&lt;=" &amp; AD$1, DataRegularSeason20242025!$D$3:$D$1315, $A4)+SUMIFS(DataRegularSeason20242025!$AB$3:$AB$1315,DataRegularSeason20242025!$B$3:$B$1315, "&lt;=" &amp; AD$1, DataRegularSeason20242025!$E$3:$E$1315, $A4)</f>
        <v>8</v>
      </c>
      <c r="AE4">
        <f>SUMIFS(DataRegularSeason20242025!$AA$3:$AA$1315,DataRegularSeason20242025!$B$3:$B$1315, "&lt;=" &amp; AE$1, DataRegularSeason20242025!$D$3:$D$1315, $A4)+SUMIFS(DataRegularSeason20242025!$AB$3:$AB$1315,DataRegularSeason20242025!$B$3:$B$1315, "&lt;=" &amp; AE$1, DataRegularSeason20242025!$E$3:$E$1315, $A4)</f>
        <v>8</v>
      </c>
      <c r="AF4">
        <f>SUMIFS(DataRegularSeason20242025!$AA$3:$AA$1315,DataRegularSeason20242025!$B$3:$B$1315, "&lt;=" &amp; AF$1, DataRegularSeason20242025!$D$3:$D$1315, $A4)+SUMIFS(DataRegularSeason20242025!$AB$3:$AB$1315,DataRegularSeason20242025!$B$3:$B$1315, "&lt;=" &amp; AF$1, DataRegularSeason20242025!$E$3:$E$1315, $A4)</f>
        <v>8</v>
      </c>
      <c r="AG4">
        <f>SUMIFS(DataRegularSeason20242025!$AA$3:$AA$1315,DataRegularSeason20242025!$B$3:$B$1315, "&lt;=" &amp; AG$1, DataRegularSeason20242025!$D$3:$D$1315, $A4)+SUMIFS(DataRegularSeason20242025!$AB$3:$AB$1315,DataRegularSeason20242025!$B$3:$B$1315, "&lt;=" &amp; AG$1, DataRegularSeason20242025!$E$3:$E$1315, $A4)</f>
        <v>8</v>
      </c>
      <c r="AH4">
        <f>SUMIFS(DataRegularSeason20242025!$AA$3:$AA$1315,DataRegularSeason20242025!$B$3:$B$1315, "&lt;=" &amp; AH$1, DataRegularSeason20242025!$D$3:$D$1315, $A4)+SUMIFS(DataRegularSeason20242025!$AB$3:$AB$1315,DataRegularSeason20242025!$B$3:$B$1315, "&lt;=" &amp; AH$1, DataRegularSeason20242025!$E$3:$E$1315, $A4)</f>
        <v>8</v>
      </c>
      <c r="AI4">
        <f>SUMIFS(DataRegularSeason20242025!$AA$3:$AA$1315,DataRegularSeason20242025!$B$3:$B$1315, "&lt;=" &amp; AI$1, DataRegularSeason20242025!$D$3:$D$1315, $A4)+SUMIFS(DataRegularSeason20242025!$AB$3:$AB$1315,DataRegularSeason20242025!$B$3:$B$1315, "&lt;=" &amp; AI$1, DataRegularSeason20242025!$E$3:$E$1315, $A4)</f>
        <v>8</v>
      </c>
      <c r="AJ4">
        <f>SUMIFS(DataRegularSeason20242025!$AA$3:$AA$1315,DataRegularSeason20242025!$B$3:$B$1315, "&lt;=" &amp; AJ$1, DataRegularSeason20242025!$D$3:$D$1315, $A4)+SUMIFS(DataRegularSeason20242025!$AB$3:$AB$1315,DataRegularSeason20242025!$B$3:$B$1315, "&lt;=" &amp; AJ$1, DataRegularSeason20242025!$E$3:$E$1315, $A4)</f>
        <v>8</v>
      </c>
      <c r="AK4">
        <f>SUMIFS(DataRegularSeason20242025!$AA$3:$AA$1315,DataRegularSeason20242025!$B$3:$B$1315, "&lt;=" &amp; AK$1, DataRegularSeason20242025!$D$3:$D$1315, $A4)+SUMIFS(DataRegularSeason20242025!$AB$3:$AB$1315,DataRegularSeason20242025!$B$3:$B$1315, "&lt;=" &amp; AK$1, DataRegularSeason20242025!$E$3:$E$1315, $A4)</f>
        <v>8</v>
      </c>
      <c r="AL4">
        <f>SUMIFS(DataRegularSeason20242025!$AA$3:$AA$1315,DataRegularSeason20242025!$B$3:$B$1315, "&lt;=" &amp; AL$1, DataRegularSeason20242025!$D$3:$D$1315, $A4)+SUMIFS(DataRegularSeason20242025!$AB$3:$AB$1315,DataRegularSeason20242025!$B$3:$B$1315, "&lt;=" &amp; AL$1, DataRegularSeason20242025!$E$3:$E$1315, $A4)</f>
        <v>8</v>
      </c>
      <c r="AM4">
        <f>SUMIFS(DataRegularSeason20242025!$AA$3:$AA$1315,DataRegularSeason20242025!$B$3:$B$1315, "&lt;=" &amp; AM$1, DataRegularSeason20242025!$D$3:$D$1315, $A4)+SUMIFS(DataRegularSeason20242025!$AB$3:$AB$1315,DataRegularSeason20242025!$B$3:$B$1315, "&lt;=" &amp; AM$1, DataRegularSeason20242025!$E$3:$E$1315, $A4)</f>
        <v>8</v>
      </c>
      <c r="AN4">
        <f>SUMIFS(DataRegularSeason20242025!$AA$3:$AA$1315,DataRegularSeason20242025!$B$3:$B$1315, "&lt;=" &amp; AN$1, DataRegularSeason20242025!$D$3:$D$1315, $A4)+SUMIFS(DataRegularSeason20242025!$AB$3:$AB$1315,DataRegularSeason20242025!$B$3:$B$1315, "&lt;=" &amp; AN$1, DataRegularSeason20242025!$E$3:$E$1315, $A4)</f>
        <v>8</v>
      </c>
      <c r="AO4">
        <f>SUMIFS(DataRegularSeason20242025!$AA$3:$AA$1315,DataRegularSeason20242025!$B$3:$B$1315, "&lt;=" &amp; AO$1, DataRegularSeason20242025!$D$3:$D$1315, $A4)+SUMIFS(DataRegularSeason20242025!$AB$3:$AB$1315,DataRegularSeason20242025!$B$3:$B$1315, "&lt;=" &amp; AO$1, DataRegularSeason20242025!$E$3:$E$1315, $A4)</f>
        <v>8</v>
      </c>
      <c r="AP4">
        <f>SUMIFS(DataRegularSeason20242025!$AA$3:$AA$1315,DataRegularSeason20242025!$B$3:$B$1315, "&lt;=" &amp; AP$1, DataRegularSeason20242025!$D$3:$D$1315, $A4)+SUMIFS(DataRegularSeason20242025!$AB$3:$AB$1315,DataRegularSeason20242025!$B$3:$B$1315, "&lt;=" &amp; AP$1, DataRegularSeason20242025!$E$3:$E$1315, $A4)</f>
        <v>8</v>
      </c>
      <c r="AQ4">
        <f>SUMIFS(DataRegularSeason20242025!$AA$3:$AA$1315,DataRegularSeason20242025!$B$3:$B$1315, "&lt;=" &amp; AQ$1, DataRegularSeason20242025!$D$3:$D$1315, $A4)+SUMIFS(DataRegularSeason20242025!$AB$3:$AB$1315,DataRegularSeason20242025!$B$3:$B$1315, "&lt;=" &amp; AQ$1, DataRegularSeason20242025!$E$3:$E$1315, $A4)</f>
        <v>8</v>
      </c>
      <c r="AR4">
        <f>SUMIFS(DataRegularSeason20242025!$AA$3:$AA$1315,DataRegularSeason20242025!$B$3:$B$1315, "&lt;=" &amp; AR$1, DataRegularSeason20242025!$D$3:$D$1315, $A4)+SUMIFS(DataRegularSeason20242025!$AB$3:$AB$1315,DataRegularSeason20242025!$B$3:$B$1315, "&lt;=" &amp; AR$1, DataRegularSeason20242025!$E$3:$E$1315, $A4)</f>
        <v>8</v>
      </c>
      <c r="AS4">
        <f>SUMIFS(DataRegularSeason20242025!$AA$3:$AA$1315,DataRegularSeason20242025!$B$3:$B$1315, "&lt;=" &amp; AS$1, DataRegularSeason20242025!$D$3:$D$1315, $A4)+SUMIFS(DataRegularSeason20242025!$AB$3:$AB$1315,DataRegularSeason20242025!$B$3:$B$1315, "&lt;=" &amp; AS$1, DataRegularSeason20242025!$E$3:$E$1315, $A4)</f>
        <v>8</v>
      </c>
      <c r="AT4">
        <f>SUMIFS(DataRegularSeason20242025!$AA$3:$AA$1315,DataRegularSeason20242025!$B$3:$B$1315, "&lt;=" &amp; AT$1, DataRegularSeason20242025!$D$3:$D$1315, $A4)+SUMIFS(DataRegularSeason20242025!$AB$3:$AB$1315,DataRegularSeason20242025!$B$3:$B$1315, "&lt;=" &amp; AT$1, DataRegularSeason20242025!$E$3:$E$1315, $A4)</f>
        <v>8</v>
      </c>
      <c r="AU4">
        <f>SUMIFS(DataRegularSeason20242025!$AA$3:$AA$1315,DataRegularSeason20242025!$B$3:$B$1315, "&lt;=" &amp; AU$1, DataRegularSeason20242025!$D$3:$D$1315, $A4)+SUMIFS(DataRegularSeason20242025!$AB$3:$AB$1315,DataRegularSeason20242025!$B$3:$B$1315, "&lt;=" &amp; AU$1, DataRegularSeason20242025!$E$3:$E$1315, $A4)</f>
        <v>8</v>
      </c>
      <c r="AV4">
        <f>SUMIFS(DataRegularSeason20242025!$AA$3:$AA$1315,DataRegularSeason20242025!$B$3:$B$1315, "&lt;=" &amp; AV$1, DataRegularSeason20242025!$D$3:$D$1315, $A4)+SUMIFS(DataRegularSeason20242025!$AB$3:$AB$1315,DataRegularSeason20242025!$B$3:$B$1315, "&lt;=" &amp; AV$1, DataRegularSeason20242025!$E$3:$E$1315, $A4)</f>
        <v>8</v>
      </c>
      <c r="AW4">
        <f>SUMIFS(DataRegularSeason20242025!$AA$3:$AA$1315,DataRegularSeason20242025!$B$3:$B$1315, "&lt;=" &amp; AW$1, DataRegularSeason20242025!$D$3:$D$1315, $A4)+SUMIFS(DataRegularSeason20242025!$AB$3:$AB$1315,DataRegularSeason20242025!$B$3:$B$1315, "&lt;=" &amp; AW$1, DataRegularSeason20242025!$E$3:$E$1315, $A4)</f>
        <v>8</v>
      </c>
      <c r="AX4">
        <f>SUMIFS(DataRegularSeason20242025!$AA$3:$AA$1315,DataRegularSeason20242025!$B$3:$B$1315, "&lt;=" &amp; AX$1, DataRegularSeason20242025!$D$3:$D$1315, $A4)+SUMIFS(DataRegularSeason20242025!$AB$3:$AB$1315,DataRegularSeason20242025!$B$3:$B$1315, "&lt;=" &amp; AX$1, DataRegularSeason20242025!$E$3:$E$1315, $A4)</f>
        <v>8</v>
      </c>
      <c r="AY4">
        <f>SUMIFS(DataRegularSeason20242025!$AA$3:$AA$1315,DataRegularSeason20242025!$B$3:$B$1315, "&lt;=" &amp; AY$1, DataRegularSeason20242025!$D$3:$D$1315, $A4)+SUMIFS(DataRegularSeason20242025!$AB$3:$AB$1315,DataRegularSeason20242025!$B$3:$B$1315, "&lt;=" &amp; AY$1, DataRegularSeason20242025!$E$3:$E$1315, $A4)</f>
        <v>8</v>
      </c>
      <c r="AZ4">
        <f>SUMIFS(DataRegularSeason20242025!$AA$3:$AA$1315,DataRegularSeason20242025!$B$3:$B$1315, "&lt;=" &amp; AZ$1, DataRegularSeason20242025!$D$3:$D$1315, $A4)+SUMIFS(DataRegularSeason20242025!$AB$3:$AB$1315,DataRegularSeason20242025!$B$3:$B$1315, "&lt;=" &amp; AZ$1, DataRegularSeason20242025!$E$3:$E$1315, $A4)</f>
        <v>8</v>
      </c>
      <c r="BA4">
        <f>SUMIFS(DataRegularSeason20242025!$AA$3:$AA$1315,DataRegularSeason20242025!$B$3:$B$1315, "&lt;=" &amp; BA$1, DataRegularSeason20242025!$D$3:$D$1315, $A4)+SUMIFS(DataRegularSeason20242025!$AB$3:$AB$1315,DataRegularSeason20242025!$B$3:$B$1315, "&lt;=" &amp; BA$1, DataRegularSeason20242025!$E$3:$E$1315, $A4)</f>
        <v>8</v>
      </c>
      <c r="BB4">
        <f>SUMIFS(DataRegularSeason20242025!$AA$3:$AA$1315,DataRegularSeason20242025!$B$3:$B$1315, "&lt;=" &amp; BB$1, DataRegularSeason20242025!$D$3:$D$1315, $A4)+SUMIFS(DataRegularSeason20242025!$AB$3:$AB$1315,DataRegularSeason20242025!$B$3:$B$1315, "&lt;=" &amp; BB$1, DataRegularSeason20242025!$E$3:$E$1315, $A4)</f>
        <v>8</v>
      </c>
      <c r="BC4">
        <f>SUMIFS(DataRegularSeason20242025!$AA$3:$AA$1315,DataRegularSeason20242025!$B$3:$B$1315, "&lt;=" &amp; BC$1, DataRegularSeason20242025!$D$3:$D$1315, $A4)+SUMIFS(DataRegularSeason20242025!$AB$3:$AB$1315,DataRegularSeason20242025!$B$3:$B$1315, "&lt;=" &amp; BC$1, DataRegularSeason20242025!$E$3:$E$1315, $A4)</f>
        <v>8</v>
      </c>
      <c r="BD4">
        <f>SUMIFS(DataRegularSeason20242025!$AA$3:$AA$1315,DataRegularSeason20242025!$B$3:$B$1315, "&lt;=" &amp; BD$1, DataRegularSeason20242025!$D$3:$D$1315, $A4)+SUMIFS(DataRegularSeason20242025!$AB$3:$AB$1315,DataRegularSeason20242025!$B$3:$B$1315, "&lt;=" &amp; BD$1, DataRegularSeason20242025!$E$3:$E$1315, $A4)</f>
        <v>8</v>
      </c>
      <c r="BE4">
        <f>SUMIFS(DataRegularSeason20242025!$AA$3:$AA$1315,DataRegularSeason20242025!$B$3:$B$1315, "&lt;=" &amp; BE$1, DataRegularSeason20242025!$D$3:$D$1315, $A4)+SUMIFS(DataRegularSeason20242025!$AB$3:$AB$1315,DataRegularSeason20242025!$B$3:$B$1315, "&lt;=" &amp; BE$1, DataRegularSeason20242025!$E$3:$E$1315, $A4)</f>
        <v>8</v>
      </c>
      <c r="BF4">
        <f>SUMIFS(DataRegularSeason20242025!$AA$3:$AA$1315,DataRegularSeason20242025!$B$3:$B$1315, "&lt;=" &amp; BF$1, DataRegularSeason20242025!$D$3:$D$1315, $A4)+SUMIFS(DataRegularSeason20242025!$AB$3:$AB$1315,DataRegularSeason20242025!$B$3:$B$1315, "&lt;=" &amp; BF$1, DataRegularSeason20242025!$E$3:$E$1315, $A4)</f>
        <v>8</v>
      </c>
      <c r="BG4">
        <f>SUMIFS(DataRegularSeason20242025!$AA$3:$AA$1315,DataRegularSeason20242025!$B$3:$B$1315, "&lt;=" &amp; BG$1, DataRegularSeason20242025!$D$3:$D$1315, $A4)+SUMIFS(DataRegularSeason20242025!$AB$3:$AB$1315,DataRegularSeason20242025!$B$3:$B$1315, "&lt;=" &amp; BG$1, DataRegularSeason20242025!$E$3:$E$1315, $A4)</f>
        <v>8</v>
      </c>
      <c r="BH4">
        <f>SUMIFS(DataRegularSeason20242025!$AA$3:$AA$1315,DataRegularSeason20242025!$B$3:$B$1315, "&lt;=" &amp; BH$1, DataRegularSeason20242025!$D$3:$D$1315, $A4)+SUMIFS(DataRegularSeason20242025!$AB$3:$AB$1315,DataRegularSeason20242025!$B$3:$B$1315, "&lt;=" &amp; BH$1, DataRegularSeason20242025!$E$3:$E$1315, $A4)</f>
        <v>8</v>
      </c>
      <c r="BI4">
        <f>SUMIFS(DataRegularSeason20242025!$AA$3:$AA$1315,DataRegularSeason20242025!$B$3:$B$1315, "&lt;=" &amp; BI$1, DataRegularSeason20242025!$D$3:$D$1315, $A4)+SUMIFS(DataRegularSeason20242025!$AB$3:$AB$1315,DataRegularSeason20242025!$B$3:$B$1315, "&lt;=" &amp; BI$1, DataRegularSeason20242025!$E$3:$E$1315, $A4)</f>
        <v>8</v>
      </c>
      <c r="BJ4">
        <f>SUMIFS(DataRegularSeason20242025!$AA$3:$AA$1315,DataRegularSeason20242025!$B$3:$B$1315, "&lt;=" &amp; BJ$1, DataRegularSeason20242025!$D$3:$D$1315, $A4)+SUMIFS(DataRegularSeason20242025!$AB$3:$AB$1315,DataRegularSeason20242025!$B$3:$B$1315, "&lt;=" &amp; BJ$1, DataRegularSeason20242025!$E$3:$E$1315, $A4)</f>
        <v>8</v>
      </c>
      <c r="BK4">
        <f>SUMIFS(DataRegularSeason20242025!$AA$3:$AA$1315,DataRegularSeason20242025!$B$3:$B$1315, "&lt;=" &amp; BK$1, DataRegularSeason20242025!$D$3:$D$1315, $A4)+SUMIFS(DataRegularSeason20242025!$AB$3:$AB$1315,DataRegularSeason20242025!$B$3:$B$1315, "&lt;=" &amp; BK$1, DataRegularSeason20242025!$E$3:$E$1315, $A4)</f>
        <v>8</v>
      </c>
      <c r="BL4">
        <f>SUMIFS(DataRegularSeason20242025!$AA$3:$AA$1315,DataRegularSeason20242025!$B$3:$B$1315, "&lt;=" &amp; BL$1, DataRegularSeason20242025!$D$3:$D$1315, $A4)+SUMIFS(DataRegularSeason20242025!$AB$3:$AB$1315,DataRegularSeason20242025!$B$3:$B$1315, "&lt;=" &amp; BL$1, DataRegularSeason20242025!$E$3:$E$1315, $A4)</f>
        <v>8</v>
      </c>
      <c r="BM4">
        <f>SUMIFS(DataRegularSeason20242025!$AA$3:$AA$1315,DataRegularSeason20242025!$B$3:$B$1315, "&lt;=" &amp; BM$1, DataRegularSeason20242025!$D$3:$D$1315, $A4)+SUMIFS(DataRegularSeason20242025!$AB$3:$AB$1315,DataRegularSeason20242025!$B$3:$B$1315, "&lt;=" &amp; BM$1, DataRegularSeason20242025!$E$3:$E$1315, $A4)</f>
        <v>8</v>
      </c>
      <c r="BN4">
        <f>SUMIFS(DataRegularSeason20242025!$AA$3:$AA$1315,DataRegularSeason20242025!$B$3:$B$1315, "&lt;=" &amp; BN$1, DataRegularSeason20242025!$D$3:$D$1315, $A4)+SUMIFS(DataRegularSeason20242025!$AB$3:$AB$1315,DataRegularSeason20242025!$B$3:$B$1315, "&lt;=" &amp; BN$1, DataRegularSeason20242025!$E$3:$E$1315, $A4)</f>
        <v>8</v>
      </c>
      <c r="BO4">
        <f>SUMIFS(DataRegularSeason20242025!$AA$3:$AA$1315,DataRegularSeason20242025!$B$3:$B$1315, "&lt;=" &amp; BO$1, DataRegularSeason20242025!$D$3:$D$1315, $A4)+SUMIFS(DataRegularSeason20242025!$AB$3:$AB$1315,DataRegularSeason20242025!$B$3:$B$1315, "&lt;=" &amp; BO$1, DataRegularSeason20242025!$E$3:$E$1315, $A4)</f>
        <v>8</v>
      </c>
      <c r="BP4">
        <f>SUMIFS(DataRegularSeason20242025!$AA$3:$AA$1315,DataRegularSeason20242025!$B$3:$B$1315, "&lt;=" &amp; BP$1, DataRegularSeason20242025!$D$3:$D$1315, $A4)+SUMIFS(DataRegularSeason20242025!$AB$3:$AB$1315,DataRegularSeason20242025!$B$3:$B$1315, "&lt;=" &amp; BP$1, DataRegularSeason20242025!$E$3:$E$1315, $A4)</f>
        <v>8</v>
      </c>
      <c r="BQ4">
        <f>SUMIFS(DataRegularSeason20242025!$AA$3:$AA$1315,DataRegularSeason20242025!$B$3:$B$1315, "&lt;=" &amp; BQ$1, DataRegularSeason20242025!$D$3:$D$1315, $A4)+SUMIFS(DataRegularSeason20242025!$AB$3:$AB$1315,DataRegularSeason20242025!$B$3:$B$1315, "&lt;=" &amp; BQ$1, DataRegularSeason20242025!$E$3:$E$1315, $A4)</f>
        <v>8</v>
      </c>
      <c r="BR4">
        <f>SUMIFS(DataRegularSeason20242025!$AA$3:$AA$1315,DataRegularSeason20242025!$B$3:$B$1315, "&lt;=" &amp; BR$1, DataRegularSeason20242025!$D$3:$D$1315, $A4)+SUMIFS(DataRegularSeason20242025!$AB$3:$AB$1315,DataRegularSeason20242025!$B$3:$B$1315, "&lt;=" &amp; BR$1, DataRegularSeason20242025!$E$3:$E$1315, $A4)</f>
        <v>8</v>
      </c>
      <c r="BS4">
        <f>SUMIFS(DataRegularSeason20242025!$AA$3:$AA$1315,DataRegularSeason20242025!$B$3:$B$1315, "&lt;=" &amp; BS$1, DataRegularSeason20242025!$D$3:$D$1315, $A4)+SUMIFS(DataRegularSeason20242025!$AB$3:$AB$1315,DataRegularSeason20242025!$B$3:$B$1315, "&lt;=" &amp; BS$1, DataRegularSeason20242025!$E$3:$E$1315, $A4)</f>
        <v>8</v>
      </c>
      <c r="BT4">
        <f>SUMIFS(DataRegularSeason20242025!$AA$3:$AA$1315,DataRegularSeason20242025!$B$3:$B$1315, "&lt;=" &amp; BT$1, DataRegularSeason20242025!$D$3:$D$1315, $A4)+SUMIFS(DataRegularSeason20242025!$AB$3:$AB$1315,DataRegularSeason20242025!$B$3:$B$1315, "&lt;=" &amp; BT$1, DataRegularSeason20242025!$E$3:$E$1315, $A4)</f>
        <v>8</v>
      </c>
      <c r="BU4">
        <f>SUMIFS(DataRegularSeason20242025!$AA$3:$AA$1315,DataRegularSeason20242025!$B$3:$B$1315, "&lt;=" &amp; BU$1, DataRegularSeason20242025!$D$3:$D$1315, $A4)+SUMIFS(DataRegularSeason20242025!$AB$3:$AB$1315,DataRegularSeason20242025!$B$3:$B$1315, "&lt;=" &amp; BU$1, DataRegularSeason20242025!$E$3:$E$1315, $A4)</f>
        <v>8</v>
      </c>
      <c r="BV4">
        <f>SUMIFS(DataRegularSeason20242025!$AA$3:$AA$1315,DataRegularSeason20242025!$B$3:$B$1315, "&lt;=" &amp; BV$1, DataRegularSeason20242025!$D$3:$D$1315, $A4)+SUMIFS(DataRegularSeason20242025!$AB$3:$AB$1315,DataRegularSeason20242025!$B$3:$B$1315, "&lt;=" &amp; BV$1, DataRegularSeason20242025!$E$3:$E$1315, $A4)</f>
        <v>8</v>
      </c>
      <c r="BW4">
        <f>SUMIFS(DataRegularSeason20242025!$AA$3:$AA$1315,DataRegularSeason20242025!$B$3:$B$1315, "&lt;=" &amp; BW$1, DataRegularSeason20242025!$D$3:$D$1315, $A4)+SUMIFS(DataRegularSeason20242025!$AB$3:$AB$1315,DataRegularSeason20242025!$B$3:$B$1315, "&lt;=" &amp; BW$1, DataRegularSeason20242025!$E$3:$E$1315, $A4)</f>
        <v>8</v>
      </c>
      <c r="BX4">
        <f>SUMIFS(DataRegularSeason20242025!$AA$3:$AA$1315,DataRegularSeason20242025!$B$3:$B$1315, "&lt;=" &amp; BX$1, DataRegularSeason20242025!$D$3:$D$1315, $A4)+SUMIFS(DataRegularSeason20242025!$AB$3:$AB$1315,DataRegularSeason20242025!$B$3:$B$1315, "&lt;=" &amp; BX$1, DataRegularSeason20242025!$E$3:$E$1315, $A4)</f>
        <v>8</v>
      </c>
      <c r="BY4">
        <f>SUMIFS(DataRegularSeason20242025!$AA$3:$AA$1315,DataRegularSeason20242025!$B$3:$B$1315, "&lt;=" &amp; BY$1, DataRegularSeason20242025!$D$3:$D$1315, $A4)+SUMIFS(DataRegularSeason20242025!$AB$3:$AB$1315,DataRegularSeason20242025!$B$3:$B$1315, "&lt;=" &amp; BY$1, DataRegularSeason20242025!$E$3:$E$1315, $A4)</f>
        <v>8</v>
      </c>
      <c r="BZ4">
        <f>SUMIFS(DataRegularSeason20242025!$AA$3:$AA$1315,DataRegularSeason20242025!$B$3:$B$1315, "&lt;=" &amp; BZ$1, DataRegularSeason20242025!$D$3:$D$1315, $A4)+SUMIFS(DataRegularSeason20242025!$AB$3:$AB$1315,DataRegularSeason20242025!$B$3:$B$1315, "&lt;=" &amp; BZ$1, DataRegularSeason20242025!$E$3:$E$1315, $A4)</f>
        <v>8</v>
      </c>
      <c r="CA4">
        <f>SUMIFS(DataRegularSeason20242025!$AA$3:$AA$1315,DataRegularSeason20242025!$B$3:$B$1315, "&lt;=" &amp; CA$1, DataRegularSeason20242025!$D$3:$D$1315, $A4)+SUMIFS(DataRegularSeason20242025!$AB$3:$AB$1315,DataRegularSeason20242025!$B$3:$B$1315, "&lt;=" &amp; CA$1, DataRegularSeason20242025!$E$3:$E$1315, $A4)</f>
        <v>8</v>
      </c>
      <c r="CB4">
        <f>SUMIFS(DataRegularSeason20242025!$AA$3:$AA$1315,DataRegularSeason20242025!$B$3:$B$1315, "&lt;=" &amp; CB$1, DataRegularSeason20242025!$D$3:$D$1315, $A4)+SUMIFS(DataRegularSeason20242025!$AB$3:$AB$1315,DataRegularSeason20242025!$B$3:$B$1315, "&lt;=" &amp; CB$1, DataRegularSeason20242025!$E$3:$E$1315, $A4)</f>
        <v>8</v>
      </c>
      <c r="CC4">
        <f>SUMIFS(DataRegularSeason20242025!$AA$3:$AA$1315,DataRegularSeason20242025!$B$3:$B$1315, "&lt;=" &amp; CC$1, DataRegularSeason20242025!$D$3:$D$1315, $A4)+SUMIFS(DataRegularSeason20242025!$AB$3:$AB$1315,DataRegularSeason20242025!$B$3:$B$1315, "&lt;=" &amp; CC$1, DataRegularSeason20242025!$E$3:$E$1315, $A4)</f>
        <v>8</v>
      </c>
      <c r="CD4">
        <f>SUMIFS(DataRegularSeason20242025!$AA$3:$AA$1315,DataRegularSeason20242025!$B$3:$B$1315, "&lt;=" &amp; CD$1, DataRegularSeason20242025!$D$3:$D$1315, $A4)+SUMIFS(DataRegularSeason20242025!$AB$3:$AB$1315,DataRegularSeason20242025!$B$3:$B$1315, "&lt;=" &amp; CD$1, DataRegularSeason20242025!$E$3:$E$1315, $A4)</f>
        <v>8</v>
      </c>
      <c r="CE4">
        <f>SUMIFS(DataRegularSeason20242025!$AA$3:$AA$1315,DataRegularSeason20242025!$B$3:$B$1315, "&lt;=" &amp; CE$1, DataRegularSeason20242025!$D$3:$D$1315, $A4)+SUMIFS(DataRegularSeason20242025!$AB$3:$AB$1315,DataRegularSeason20242025!$B$3:$B$1315, "&lt;=" &amp; CE$1, DataRegularSeason20242025!$E$3:$E$1315, $A4)</f>
        <v>8</v>
      </c>
      <c r="CF4">
        <f>SUMIFS(DataRegularSeason20242025!$AA$3:$AA$1315,DataRegularSeason20242025!$B$3:$B$1315, "&lt;=" &amp; CF$1, DataRegularSeason20242025!$D$3:$D$1315, $A4)+SUMIFS(DataRegularSeason20242025!$AB$3:$AB$1315,DataRegularSeason20242025!$B$3:$B$1315, "&lt;=" &amp; CF$1, DataRegularSeason20242025!$E$3:$E$1315, $A4)</f>
        <v>8</v>
      </c>
      <c r="CG4">
        <f>SUMIFS(DataRegularSeason20242025!$AA$3:$AA$1315,DataRegularSeason20242025!$B$3:$B$1315, "&lt;=" &amp; CG$1, DataRegularSeason20242025!$D$3:$D$1315, $A4)+SUMIFS(DataRegularSeason20242025!$AB$3:$AB$1315,DataRegularSeason20242025!$B$3:$B$1315, "&lt;=" &amp; CG$1, DataRegularSeason20242025!$E$3:$E$1315, $A4)</f>
        <v>8</v>
      </c>
      <c r="CH4">
        <f>SUMIFS(DataRegularSeason20242025!$AA$3:$AA$1315,DataRegularSeason20242025!$B$3:$B$1315, "&lt;=" &amp; CH$1, DataRegularSeason20242025!$D$3:$D$1315, $A4)+SUMIFS(DataRegularSeason20242025!$AB$3:$AB$1315,DataRegularSeason20242025!$B$3:$B$1315, "&lt;=" &amp; CH$1, DataRegularSeason20242025!$E$3:$E$1315, $A4)</f>
        <v>8</v>
      </c>
      <c r="CI4">
        <f>SUMIFS(DataRegularSeason20242025!$AA$3:$AA$1315,DataRegularSeason20242025!$B$3:$B$1315, "&lt;=" &amp; CI$1, DataRegularSeason20242025!$D$3:$D$1315, $A4)+SUMIFS(DataRegularSeason20242025!$AB$3:$AB$1315,DataRegularSeason20242025!$B$3:$B$1315, "&lt;=" &amp; CI$1, DataRegularSeason20242025!$E$3:$E$1315, $A4)</f>
        <v>8</v>
      </c>
      <c r="CJ4">
        <f>SUMIFS(DataRegularSeason20242025!$AA$3:$AA$1315,DataRegularSeason20242025!$B$3:$B$1315, "&lt;=" &amp; CJ$1, DataRegularSeason20242025!$D$3:$D$1315, $A4)+SUMIFS(DataRegularSeason20242025!$AB$3:$AB$1315,DataRegularSeason20242025!$B$3:$B$1315, "&lt;=" &amp; CJ$1, DataRegularSeason20242025!$E$3:$E$1315, $A4)</f>
        <v>8</v>
      </c>
      <c r="CK4">
        <f>SUMIFS(DataRegularSeason20242025!$AA$3:$AA$1315,DataRegularSeason20242025!$B$3:$B$1315, "&lt;=" &amp; CK$1, DataRegularSeason20242025!$D$3:$D$1315, $A4)+SUMIFS(DataRegularSeason20242025!$AB$3:$AB$1315,DataRegularSeason20242025!$B$3:$B$1315, "&lt;=" &amp; CK$1, DataRegularSeason20242025!$E$3:$E$1315, $A4)</f>
        <v>8</v>
      </c>
      <c r="CL4">
        <f>SUMIFS(DataRegularSeason20242025!$AA$3:$AA$1315,DataRegularSeason20242025!$B$3:$B$1315, "&lt;=" &amp; CL$1, DataRegularSeason20242025!$D$3:$D$1315, $A4)+SUMIFS(DataRegularSeason20242025!$AB$3:$AB$1315,DataRegularSeason20242025!$B$3:$B$1315, "&lt;=" &amp; CL$1, DataRegularSeason20242025!$E$3:$E$1315, $A4)</f>
        <v>8</v>
      </c>
      <c r="CM4">
        <f>SUMIFS(DataRegularSeason20242025!$AA$3:$AA$1315,DataRegularSeason20242025!$B$3:$B$1315, "&lt;=" &amp; CM$1, DataRegularSeason20242025!$D$3:$D$1315, $A4)+SUMIFS(DataRegularSeason20242025!$AB$3:$AB$1315,DataRegularSeason20242025!$B$3:$B$1315, "&lt;=" &amp; CM$1, DataRegularSeason20242025!$E$3:$E$1315, $A4)</f>
        <v>8</v>
      </c>
      <c r="CN4">
        <f>SUMIFS(DataRegularSeason20242025!$AA$3:$AA$1315,DataRegularSeason20242025!$B$3:$B$1315, "&lt;=" &amp; CN$1, DataRegularSeason20242025!$D$3:$D$1315, $A4)+SUMIFS(DataRegularSeason20242025!$AB$3:$AB$1315,DataRegularSeason20242025!$B$3:$B$1315, "&lt;=" &amp; CN$1, DataRegularSeason20242025!$E$3:$E$1315, $A4)</f>
        <v>8</v>
      </c>
      <c r="CO4">
        <f>SUMIFS(DataRegularSeason20242025!$AA$3:$AA$1315,DataRegularSeason20242025!$B$3:$B$1315, "&lt;=" &amp; CO$1, DataRegularSeason20242025!$D$3:$D$1315, $A4)+SUMIFS(DataRegularSeason20242025!$AB$3:$AB$1315,DataRegularSeason20242025!$B$3:$B$1315, "&lt;=" &amp; CO$1, DataRegularSeason20242025!$E$3:$E$1315, $A4)</f>
        <v>8</v>
      </c>
      <c r="CP4">
        <f>SUMIFS(DataRegularSeason20242025!$AA$3:$AA$1315,DataRegularSeason20242025!$B$3:$B$1315, "&lt;=" &amp; CP$1, DataRegularSeason20242025!$D$3:$D$1315, $A4)+SUMIFS(DataRegularSeason20242025!$AB$3:$AB$1315,DataRegularSeason20242025!$B$3:$B$1315, "&lt;=" &amp; CP$1, DataRegularSeason20242025!$E$3:$E$1315, $A4)</f>
        <v>8</v>
      </c>
      <c r="CQ4">
        <f>SUMIFS(DataRegularSeason20242025!$AA$3:$AA$1315,DataRegularSeason20242025!$B$3:$B$1315, "&lt;=" &amp; CQ$1, DataRegularSeason20242025!$D$3:$D$1315, $A4)+SUMIFS(DataRegularSeason20242025!$AB$3:$AB$1315,DataRegularSeason20242025!$B$3:$B$1315, "&lt;=" &amp; CQ$1, DataRegularSeason20242025!$E$3:$E$1315, $A4)</f>
        <v>8</v>
      </c>
      <c r="CR4">
        <f>SUMIFS(DataRegularSeason20242025!$AA$3:$AA$1315,DataRegularSeason20242025!$B$3:$B$1315, "&lt;=" &amp; CR$1, DataRegularSeason20242025!$D$3:$D$1315, $A4)+SUMIFS(DataRegularSeason20242025!$AB$3:$AB$1315,DataRegularSeason20242025!$B$3:$B$1315, "&lt;=" &amp; CR$1, DataRegularSeason20242025!$E$3:$E$1315, $A4)</f>
        <v>8</v>
      </c>
      <c r="CS4">
        <f>SUMIFS(DataRegularSeason20242025!$AA$3:$AA$1315,DataRegularSeason20242025!$B$3:$B$1315, "&lt;=" &amp; CS$1, DataRegularSeason20242025!$D$3:$D$1315, $A4)+SUMIFS(DataRegularSeason20242025!$AB$3:$AB$1315,DataRegularSeason20242025!$B$3:$B$1315, "&lt;=" &amp; CS$1, DataRegularSeason20242025!$E$3:$E$1315, $A4)</f>
        <v>8</v>
      </c>
      <c r="CT4">
        <f>SUMIFS(DataRegularSeason20242025!$AA$3:$AA$1315,DataRegularSeason20242025!$B$3:$B$1315, "&lt;=" &amp; CT$1, DataRegularSeason20242025!$D$3:$D$1315, $A4)+SUMIFS(DataRegularSeason20242025!$AB$3:$AB$1315,DataRegularSeason20242025!$B$3:$B$1315, "&lt;=" &amp; CT$1, DataRegularSeason20242025!$E$3:$E$1315, $A4)</f>
        <v>8</v>
      </c>
      <c r="CU4">
        <f>SUMIFS(DataRegularSeason20242025!$AA$3:$AA$1315,DataRegularSeason20242025!$B$3:$B$1315, "&lt;=" &amp; CU$1, DataRegularSeason20242025!$D$3:$D$1315, $A4)+SUMIFS(DataRegularSeason20242025!$AB$3:$AB$1315,DataRegularSeason20242025!$B$3:$B$1315, "&lt;=" &amp; CU$1, DataRegularSeason20242025!$E$3:$E$1315, $A4)</f>
        <v>8</v>
      </c>
      <c r="CV4">
        <f>SUMIFS(DataRegularSeason20242025!$AA$3:$AA$1315,DataRegularSeason20242025!$B$3:$B$1315, "&lt;=" &amp; CV$1, DataRegularSeason20242025!$D$3:$D$1315, $A4)+SUMIFS(DataRegularSeason20242025!$AB$3:$AB$1315,DataRegularSeason20242025!$B$3:$B$1315, "&lt;=" &amp; CV$1, DataRegularSeason20242025!$E$3:$E$1315, $A4)</f>
        <v>8</v>
      </c>
      <c r="CW4">
        <f>SUMIFS(DataRegularSeason20242025!$AA$3:$AA$1315,DataRegularSeason20242025!$B$3:$B$1315, "&lt;=" &amp; CW$1, DataRegularSeason20242025!$D$3:$D$1315, $A4)+SUMIFS(DataRegularSeason20242025!$AB$3:$AB$1315,DataRegularSeason20242025!$B$3:$B$1315, "&lt;=" &amp; CW$1, DataRegularSeason20242025!$E$3:$E$1315, $A4)</f>
        <v>8</v>
      </c>
      <c r="CX4">
        <f>SUMIFS(DataRegularSeason20242025!$AA$3:$AA$1315,DataRegularSeason20242025!$B$3:$B$1315, "&lt;=" &amp; CX$1, DataRegularSeason20242025!$D$3:$D$1315, $A4)+SUMIFS(DataRegularSeason20242025!$AB$3:$AB$1315,DataRegularSeason20242025!$B$3:$B$1315, "&lt;=" &amp; CX$1, DataRegularSeason20242025!$E$3:$E$1315, $A4)</f>
        <v>8</v>
      </c>
      <c r="CY4">
        <f>SUMIFS(DataRegularSeason20242025!$AA$3:$AA$1315,DataRegularSeason20242025!$B$3:$B$1315, "&lt;=" &amp; CY$1, DataRegularSeason20242025!$D$3:$D$1315, $A4)+SUMIFS(DataRegularSeason20242025!$AB$3:$AB$1315,DataRegularSeason20242025!$B$3:$B$1315, "&lt;=" &amp; CY$1, DataRegularSeason20242025!$E$3:$E$1315, $A4)</f>
        <v>8</v>
      </c>
      <c r="CZ4">
        <f>SUMIFS(DataRegularSeason20242025!$AA$3:$AA$1315,DataRegularSeason20242025!$B$3:$B$1315, "&lt;=" &amp; CZ$1, DataRegularSeason20242025!$D$3:$D$1315, $A4)+SUMIFS(DataRegularSeason20242025!$AB$3:$AB$1315,DataRegularSeason20242025!$B$3:$B$1315, "&lt;=" &amp; CZ$1, DataRegularSeason20242025!$E$3:$E$1315, $A4)</f>
        <v>8</v>
      </c>
      <c r="DA4">
        <f>SUMIFS(DataRegularSeason20242025!$AA$3:$AA$1315,DataRegularSeason20242025!$B$3:$B$1315, "&lt;=" &amp; DA$1, DataRegularSeason20242025!$D$3:$D$1315, $A4)+SUMIFS(DataRegularSeason20242025!$AB$3:$AB$1315,DataRegularSeason20242025!$B$3:$B$1315, "&lt;=" &amp; DA$1, DataRegularSeason20242025!$E$3:$E$1315, $A4)</f>
        <v>8</v>
      </c>
      <c r="DB4">
        <f>SUMIFS(DataRegularSeason20242025!$AA$3:$AA$1315,DataRegularSeason20242025!$B$3:$B$1315, "&lt;=" &amp; DB$1, DataRegularSeason20242025!$D$3:$D$1315, $A4)+SUMIFS(DataRegularSeason20242025!$AB$3:$AB$1315,DataRegularSeason20242025!$B$3:$B$1315, "&lt;=" &amp; DB$1, DataRegularSeason20242025!$E$3:$E$1315, $A4)</f>
        <v>8</v>
      </c>
      <c r="DC4">
        <f>SUMIFS(DataRegularSeason20242025!$AA$3:$AA$1315,DataRegularSeason20242025!$B$3:$B$1315, "&lt;=" &amp; DC$1, DataRegularSeason20242025!$D$3:$D$1315, $A4)+SUMIFS(DataRegularSeason20242025!$AB$3:$AB$1315,DataRegularSeason20242025!$B$3:$B$1315, "&lt;=" &amp; DC$1, DataRegularSeason20242025!$E$3:$E$1315, $A4)</f>
        <v>8</v>
      </c>
      <c r="DD4">
        <f>SUMIFS(DataRegularSeason20242025!$AA$3:$AA$1315,DataRegularSeason20242025!$B$3:$B$1315, "&lt;=" &amp; DD$1, DataRegularSeason20242025!$D$3:$D$1315, $A4)+SUMIFS(DataRegularSeason20242025!$AB$3:$AB$1315,DataRegularSeason20242025!$B$3:$B$1315, "&lt;=" &amp; DD$1, DataRegularSeason20242025!$E$3:$E$1315, $A4)</f>
        <v>8</v>
      </c>
      <c r="DE4">
        <f>SUMIFS(DataRegularSeason20242025!$AA$3:$AA$1315,DataRegularSeason20242025!$B$3:$B$1315, "&lt;=" &amp; DE$1, DataRegularSeason20242025!$D$3:$D$1315, $A4)+SUMIFS(DataRegularSeason20242025!$AB$3:$AB$1315,DataRegularSeason20242025!$B$3:$B$1315, "&lt;=" &amp; DE$1, DataRegularSeason20242025!$E$3:$E$1315, $A4)</f>
        <v>8</v>
      </c>
      <c r="DF4">
        <f>SUMIFS(DataRegularSeason20242025!$AA$3:$AA$1315,DataRegularSeason20242025!$B$3:$B$1315, "&lt;=" &amp; DF$1, DataRegularSeason20242025!$D$3:$D$1315, $A4)+SUMIFS(DataRegularSeason20242025!$AB$3:$AB$1315,DataRegularSeason20242025!$B$3:$B$1315, "&lt;=" &amp; DF$1, DataRegularSeason20242025!$E$3:$E$1315, $A4)</f>
        <v>8</v>
      </c>
      <c r="DG4">
        <f>SUMIFS(DataRegularSeason20242025!$AA$3:$AA$1315,DataRegularSeason20242025!$B$3:$B$1315, "&lt;=" &amp; DG$1, DataRegularSeason20242025!$D$3:$D$1315, $A4)+SUMIFS(DataRegularSeason20242025!$AB$3:$AB$1315,DataRegularSeason20242025!$B$3:$B$1315, "&lt;=" &amp; DG$1, DataRegularSeason20242025!$E$3:$E$1315, $A4)</f>
        <v>8</v>
      </c>
      <c r="DH4">
        <f>SUMIFS(DataRegularSeason20242025!$AA$3:$AA$1315,DataRegularSeason20242025!$B$3:$B$1315, "&lt;=" &amp; DH$1, DataRegularSeason20242025!$D$3:$D$1315, $A4)+SUMIFS(DataRegularSeason20242025!$AB$3:$AB$1315,DataRegularSeason20242025!$B$3:$B$1315, "&lt;=" &amp; DH$1, DataRegularSeason20242025!$E$3:$E$1315, $A4)</f>
        <v>8</v>
      </c>
      <c r="DI4">
        <f>SUMIFS(DataRegularSeason20242025!$AA$3:$AA$1315,DataRegularSeason20242025!$B$3:$B$1315, "&lt;=" &amp; DI$1, DataRegularSeason20242025!$D$3:$D$1315, $A4)+SUMIFS(DataRegularSeason20242025!$AB$3:$AB$1315,DataRegularSeason20242025!$B$3:$B$1315, "&lt;=" &amp; DI$1, DataRegularSeason20242025!$E$3:$E$1315, $A4)</f>
        <v>8</v>
      </c>
      <c r="DJ4">
        <f>SUMIFS(DataRegularSeason20242025!$AA$3:$AA$1315,DataRegularSeason20242025!$B$3:$B$1315, "&lt;=" &amp; DJ$1, DataRegularSeason20242025!$D$3:$D$1315, $A4)+SUMIFS(DataRegularSeason20242025!$AB$3:$AB$1315,DataRegularSeason20242025!$B$3:$B$1315, "&lt;=" &amp; DJ$1, DataRegularSeason20242025!$E$3:$E$1315, $A4)</f>
        <v>8</v>
      </c>
      <c r="DK4">
        <f>SUMIFS(DataRegularSeason20242025!$AA$3:$AA$1315,DataRegularSeason20242025!$B$3:$B$1315, "&lt;=" &amp; DK$1, DataRegularSeason20242025!$D$3:$D$1315, $A4)+SUMIFS(DataRegularSeason20242025!$AB$3:$AB$1315,DataRegularSeason20242025!$B$3:$B$1315, "&lt;=" &amp; DK$1, DataRegularSeason20242025!$E$3:$E$1315, $A4)</f>
        <v>8</v>
      </c>
      <c r="DL4">
        <f>SUMIFS(DataRegularSeason20242025!$AA$3:$AA$1315,DataRegularSeason20242025!$B$3:$B$1315, "&lt;=" &amp; DL$1, DataRegularSeason20242025!$D$3:$D$1315, $A4)+SUMIFS(DataRegularSeason20242025!$AB$3:$AB$1315,DataRegularSeason20242025!$B$3:$B$1315, "&lt;=" &amp; DL$1, DataRegularSeason20242025!$E$3:$E$1315, $A4)</f>
        <v>8</v>
      </c>
      <c r="DM4">
        <f>SUMIFS(DataRegularSeason20242025!$AA$3:$AA$1315,DataRegularSeason20242025!$B$3:$B$1315, "&lt;=" &amp; DM$1, DataRegularSeason20242025!$D$3:$D$1315, $A4)+SUMIFS(DataRegularSeason20242025!$AB$3:$AB$1315,DataRegularSeason20242025!$B$3:$B$1315, "&lt;=" &amp; DM$1, DataRegularSeason20242025!$E$3:$E$1315, $A4)</f>
        <v>8</v>
      </c>
      <c r="DN4">
        <f>SUMIFS(DataRegularSeason20242025!$AA$3:$AA$1315,DataRegularSeason20242025!$B$3:$B$1315, "&lt;=" &amp; DN$1, DataRegularSeason20242025!$D$3:$D$1315, $A4)+SUMIFS(DataRegularSeason20242025!$AB$3:$AB$1315,DataRegularSeason20242025!$B$3:$B$1315, "&lt;=" &amp; DN$1, DataRegularSeason20242025!$E$3:$E$1315, $A4)</f>
        <v>8</v>
      </c>
      <c r="DO4">
        <f>SUMIFS(DataRegularSeason20242025!$AA$3:$AA$1315,DataRegularSeason20242025!$B$3:$B$1315, "&lt;=" &amp; DO$1, DataRegularSeason20242025!$D$3:$D$1315, $A4)+SUMIFS(DataRegularSeason20242025!$AB$3:$AB$1315,DataRegularSeason20242025!$B$3:$B$1315, "&lt;=" &amp; DO$1, DataRegularSeason20242025!$E$3:$E$1315, $A4)</f>
        <v>8</v>
      </c>
      <c r="DP4">
        <f>SUMIFS(DataRegularSeason20242025!$AA$3:$AA$1315,DataRegularSeason20242025!$B$3:$B$1315, "&lt;=" &amp; DP$1, DataRegularSeason20242025!$D$3:$D$1315, $A4)+SUMIFS(DataRegularSeason20242025!$AB$3:$AB$1315,DataRegularSeason20242025!$B$3:$B$1315, "&lt;=" &amp; DP$1, DataRegularSeason20242025!$E$3:$E$1315, $A4)</f>
        <v>8</v>
      </c>
      <c r="DQ4">
        <f>SUMIFS(DataRegularSeason20242025!$AA$3:$AA$1315,DataRegularSeason20242025!$B$3:$B$1315, "&lt;=" &amp; DQ$1, DataRegularSeason20242025!$D$3:$D$1315, $A4)+SUMIFS(DataRegularSeason20242025!$AB$3:$AB$1315,DataRegularSeason20242025!$B$3:$B$1315, "&lt;=" &amp; DQ$1, DataRegularSeason20242025!$E$3:$E$1315, $A4)</f>
        <v>8</v>
      </c>
      <c r="DR4">
        <f>SUMIFS(DataRegularSeason20242025!$AA$3:$AA$1315,DataRegularSeason20242025!$B$3:$B$1315, "&lt;=" &amp; DR$1, DataRegularSeason20242025!$D$3:$D$1315, $A4)+SUMIFS(DataRegularSeason20242025!$AB$3:$AB$1315,DataRegularSeason20242025!$B$3:$B$1315, "&lt;=" &amp; DR$1, DataRegularSeason20242025!$E$3:$E$1315, $A4)</f>
        <v>8</v>
      </c>
      <c r="DS4">
        <f>SUMIFS(DataRegularSeason20242025!$AA$3:$AA$1315,DataRegularSeason20242025!$B$3:$B$1315, "&lt;=" &amp; DS$1, DataRegularSeason20242025!$D$3:$D$1315, $A4)+SUMIFS(DataRegularSeason20242025!$AB$3:$AB$1315,DataRegularSeason20242025!$B$3:$B$1315, "&lt;=" &amp; DS$1, DataRegularSeason20242025!$E$3:$E$1315, $A4)</f>
        <v>8</v>
      </c>
      <c r="DT4">
        <f>SUMIFS(DataRegularSeason20242025!$AA$3:$AA$1315,DataRegularSeason20242025!$B$3:$B$1315, "&lt;=" &amp; DT$1, DataRegularSeason20242025!$D$3:$D$1315, $A4)+SUMIFS(DataRegularSeason20242025!$AB$3:$AB$1315,DataRegularSeason20242025!$B$3:$B$1315, "&lt;=" &amp; DT$1, DataRegularSeason20242025!$E$3:$E$1315, $A4)</f>
        <v>8</v>
      </c>
      <c r="DU4">
        <f>SUMIFS(DataRegularSeason20242025!$AA$3:$AA$1315,DataRegularSeason20242025!$B$3:$B$1315, "&lt;=" &amp; DU$1, DataRegularSeason20242025!$D$3:$D$1315, $A4)+SUMIFS(DataRegularSeason20242025!$AB$3:$AB$1315,DataRegularSeason20242025!$B$3:$B$1315, "&lt;=" &amp; DU$1, DataRegularSeason20242025!$E$3:$E$1315, $A4)</f>
        <v>8</v>
      </c>
      <c r="DV4">
        <f>SUMIFS(DataRegularSeason20242025!$AA$3:$AA$1315,DataRegularSeason20242025!$B$3:$B$1315, "&lt;=" &amp; DV$1, DataRegularSeason20242025!$D$3:$D$1315, $A4)+SUMIFS(DataRegularSeason20242025!$AB$3:$AB$1315,DataRegularSeason20242025!$B$3:$B$1315, "&lt;=" &amp; DV$1, DataRegularSeason20242025!$E$3:$E$1315, $A4)</f>
        <v>8</v>
      </c>
      <c r="DW4">
        <f>SUMIFS(DataRegularSeason20242025!$AA$3:$AA$1315,DataRegularSeason20242025!$B$3:$B$1315, "&lt;=" &amp; DW$1, DataRegularSeason20242025!$D$3:$D$1315, $A4)+SUMIFS(DataRegularSeason20242025!$AB$3:$AB$1315,DataRegularSeason20242025!$B$3:$B$1315, "&lt;=" &amp; DW$1, DataRegularSeason20242025!$E$3:$E$1315, $A4)</f>
        <v>8</v>
      </c>
      <c r="DX4">
        <f>SUMIFS(DataRegularSeason20242025!$AA$3:$AA$1315,DataRegularSeason20242025!$B$3:$B$1315, "&lt;=" &amp; DX$1, DataRegularSeason20242025!$D$3:$D$1315, $A4)+SUMIFS(DataRegularSeason20242025!$AB$3:$AB$1315,DataRegularSeason20242025!$B$3:$B$1315, "&lt;=" &amp; DX$1, DataRegularSeason20242025!$E$3:$E$1315, $A4)</f>
        <v>8</v>
      </c>
      <c r="DY4">
        <f>SUMIFS(DataRegularSeason20242025!$AA$3:$AA$1315,DataRegularSeason20242025!$B$3:$B$1315, "&lt;=" &amp; DY$1, DataRegularSeason20242025!$D$3:$D$1315, $A4)+SUMIFS(DataRegularSeason20242025!$AB$3:$AB$1315,DataRegularSeason20242025!$B$3:$B$1315, "&lt;=" &amp; DY$1, DataRegularSeason20242025!$E$3:$E$1315, $A4)</f>
        <v>8</v>
      </c>
      <c r="DZ4">
        <f>SUMIFS(DataRegularSeason20242025!$AA$3:$AA$1315,DataRegularSeason20242025!$B$3:$B$1315, "&lt;=" &amp; DZ$1, DataRegularSeason20242025!$D$3:$D$1315, $A4)+SUMIFS(DataRegularSeason20242025!$AB$3:$AB$1315,DataRegularSeason20242025!$B$3:$B$1315, "&lt;=" &amp; DZ$1, DataRegularSeason20242025!$E$3:$E$1315, $A4)</f>
        <v>8</v>
      </c>
      <c r="EA4">
        <f>SUMIFS(DataRegularSeason20242025!$AA$3:$AA$1315,DataRegularSeason20242025!$B$3:$B$1315, "&lt;=" &amp; EA$1, DataRegularSeason20242025!$D$3:$D$1315, $A4)+SUMIFS(DataRegularSeason20242025!$AB$3:$AB$1315,DataRegularSeason20242025!$B$3:$B$1315, "&lt;=" &amp; EA$1, DataRegularSeason20242025!$E$3:$E$1315, $A4)</f>
        <v>8</v>
      </c>
      <c r="EB4">
        <f>SUMIFS(DataRegularSeason20242025!$AA$3:$AA$1315,DataRegularSeason20242025!$B$3:$B$1315, "&lt;=" &amp; EB$1, DataRegularSeason20242025!$D$3:$D$1315, $A4)+SUMIFS(DataRegularSeason20242025!$AB$3:$AB$1315,DataRegularSeason20242025!$B$3:$B$1315, "&lt;=" &amp; EB$1, DataRegularSeason20242025!$E$3:$E$1315, $A4)</f>
        <v>8</v>
      </c>
      <c r="EC4">
        <f>SUMIFS(DataRegularSeason20242025!$AA$3:$AA$1315,DataRegularSeason20242025!$B$3:$B$1315, "&lt;=" &amp; EC$1, DataRegularSeason20242025!$D$3:$D$1315, $A4)+SUMIFS(DataRegularSeason20242025!$AB$3:$AB$1315,DataRegularSeason20242025!$B$3:$B$1315, "&lt;=" &amp; EC$1, DataRegularSeason20242025!$E$3:$E$1315, $A4)</f>
        <v>8</v>
      </c>
      <c r="ED4">
        <f>SUMIFS(DataRegularSeason20242025!$AA$3:$AA$1315,DataRegularSeason20242025!$B$3:$B$1315, "&lt;=" &amp; ED$1, DataRegularSeason20242025!$D$3:$D$1315, $A4)+SUMIFS(DataRegularSeason20242025!$AB$3:$AB$1315,DataRegularSeason20242025!$B$3:$B$1315, "&lt;=" &amp; ED$1, DataRegularSeason20242025!$E$3:$E$1315, $A4)</f>
        <v>8</v>
      </c>
      <c r="EE4">
        <f>SUMIFS(DataRegularSeason20242025!$AA$3:$AA$1315,DataRegularSeason20242025!$B$3:$B$1315, "&lt;=" &amp; EE$1, DataRegularSeason20242025!$D$3:$D$1315, $A4)+SUMIFS(DataRegularSeason20242025!$AB$3:$AB$1315,DataRegularSeason20242025!$B$3:$B$1315, "&lt;=" &amp; EE$1, DataRegularSeason20242025!$E$3:$E$1315, $A4)</f>
        <v>8</v>
      </c>
      <c r="EF4">
        <f>SUMIFS(DataRegularSeason20242025!$AA$3:$AA$1315,DataRegularSeason20242025!$B$3:$B$1315, "&lt;=" &amp; EF$1, DataRegularSeason20242025!$D$3:$D$1315, $A4)+SUMIFS(DataRegularSeason20242025!$AB$3:$AB$1315,DataRegularSeason20242025!$B$3:$B$1315, "&lt;=" &amp; EF$1, DataRegularSeason20242025!$E$3:$E$1315, $A4)</f>
        <v>8</v>
      </c>
      <c r="EG4">
        <f>SUMIFS(DataRegularSeason20242025!$AA$3:$AA$1315,DataRegularSeason20242025!$B$3:$B$1315, "&lt;=" &amp; EG$1, DataRegularSeason20242025!$D$3:$D$1315, $A4)+SUMIFS(DataRegularSeason20242025!$AB$3:$AB$1315,DataRegularSeason20242025!$B$3:$B$1315, "&lt;=" &amp; EG$1, DataRegularSeason20242025!$E$3:$E$1315, $A4)</f>
        <v>8</v>
      </c>
      <c r="EH4">
        <f>SUMIFS(DataRegularSeason20242025!$AA$3:$AA$1315,DataRegularSeason20242025!$B$3:$B$1315, "&lt;=" &amp; EH$1, DataRegularSeason20242025!$D$3:$D$1315, $A4)+SUMIFS(DataRegularSeason20242025!$AB$3:$AB$1315,DataRegularSeason20242025!$B$3:$B$1315, "&lt;=" &amp; EH$1, DataRegularSeason20242025!$E$3:$E$1315, $A4)</f>
        <v>8</v>
      </c>
      <c r="EI4">
        <f>SUMIFS(DataRegularSeason20242025!$AA$3:$AA$1315,DataRegularSeason20242025!$B$3:$B$1315, "&lt;=" &amp; EI$1, DataRegularSeason20242025!$D$3:$D$1315, $A4)+SUMIFS(DataRegularSeason20242025!$AB$3:$AB$1315,DataRegularSeason20242025!$B$3:$B$1315, "&lt;=" &amp; EI$1, DataRegularSeason20242025!$E$3:$E$1315, $A4)</f>
        <v>8</v>
      </c>
      <c r="EJ4">
        <f>SUMIFS(DataRegularSeason20242025!$AA$3:$AA$1315,DataRegularSeason20242025!$B$3:$B$1315, "&lt;=" &amp; EJ$1, DataRegularSeason20242025!$D$3:$D$1315, $A4)+SUMIFS(DataRegularSeason20242025!$AB$3:$AB$1315,DataRegularSeason20242025!$B$3:$B$1315, "&lt;=" &amp; EJ$1, DataRegularSeason20242025!$E$3:$E$1315, $A4)</f>
        <v>8</v>
      </c>
      <c r="EK4">
        <f>SUMIFS(DataRegularSeason20242025!$AA$3:$AA$1315,DataRegularSeason20242025!$B$3:$B$1315, "&lt;=" &amp; EK$1, DataRegularSeason20242025!$D$3:$D$1315, $A4)+SUMIFS(DataRegularSeason20242025!$AB$3:$AB$1315,DataRegularSeason20242025!$B$3:$B$1315, "&lt;=" &amp; EK$1, DataRegularSeason20242025!$E$3:$E$1315, $A4)</f>
        <v>8</v>
      </c>
      <c r="EL4">
        <f>SUMIFS(DataRegularSeason20242025!$AA$3:$AA$1315,DataRegularSeason20242025!$B$3:$B$1315, "&lt;=" &amp; EL$1, DataRegularSeason20242025!$D$3:$D$1315, $A4)+SUMIFS(DataRegularSeason20242025!$AB$3:$AB$1315,DataRegularSeason20242025!$B$3:$B$1315, "&lt;=" &amp; EL$1, DataRegularSeason20242025!$E$3:$E$1315, $A4)</f>
        <v>8</v>
      </c>
      <c r="EM4">
        <f>SUMIFS(DataRegularSeason20242025!$AA$3:$AA$1315,DataRegularSeason20242025!$B$3:$B$1315, "&lt;=" &amp; EM$1, DataRegularSeason20242025!$D$3:$D$1315, $A4)+SUMIFS(DataRegularSeason20242025!$AB$3:$AB$1315,DataRegularSeason20242025!$B$3:$B$1315, "&lt;=" &amp; EM$1, DataRegularSeason20242025!$E$3:$E$1315, $A4)</f>
        <v>8</v>
      </c>
      <c r="EN4">
        <f>SUMIFS(DataRegularSeason20242025!$AA$3:$AA$1315,DataRegularSeason20242025!$B$3:$B$1315, "&lt;=" &amp; EN$1, DataRegularSeason20242025!$D$3:$D$1315, $A4)+SUMIFS(DataRegularSeason20242025!$AB$3:$AB$1315,DataRegularSeason20242025!$B$3:$B$1315, "&lt;=" &amp; EN$1, DataRegularSeason20242025!$E$3:$E$1315, $A4)</f>
        <v>8</v>
      </c>
      <c r="EO4">
        <f>SUMIFS(DataRegularSeason20242025!$AA$3:$AA$1315,DataRegularSeason20242025!$B$3:$B$1315, "&lt;=" &amp; EO$1, DataRegularSeason20242025!$D$3:$D$1315, $A4)+SUMIFS(DataRegularSeason20242025!$AB$3:$AB$1315,DataRegularSeason20242025!$B$3:$B$1315, "&lt;=" &amp; EO$1, DataRegularSeason20242025!$E$3:$E$1315, $A4)</f>
        <v>8</v>
      </c>
      <c r="EP4">
        <f>SUMIFS(DataRegularSeason20242025!$AA$3:$AA$1315,DataRegularSeason20242025!$B$3:$B$1315, "&lt;=" &amp; EP$1, DataRegularSeason20242025!$D$3:$D$1315, $A4)+SUMIFS(DataRegularSeason20242025!$AB$3:$AB$1315,DataRegularSeason20242025!$B$3:$B$1315, "&lt;=" &amp; EP$1, DataRegularSeason20242025!$E$3:$E$1315, $A4)</f>
        <v>8</v>
      </c>
      <c r="EQ4">
        <f>SUMIFS(DataRegularSeason20242025!$AA$3:$AA$1315,DataRegularSeason20242025!$B$3:$B$1315, "&lt;=" &amp; EQ$1, DataRegularSeason20242025!$D$3:$D$1315, $A4)+SUMIFS(DataRegularSeason20242025!$AB$3:$AB$1315,DataRegularSeason20242025!$B$3:$B$1315, "&lt;=" &amp; EQ$1, DataRegularSeason20242025!$E$3:$E$1315, $A4)</f>
        <v>8</v>
      </c>
      <c r="ER4">
        <f>SUMIFS(DataRegularSeason20242025!$AA$3:$AA$1315,DataRegularSeason20242025!$B$3:$B$1315, "&lt;=" &amp; ER$1, DataRegularSeason20242025!$D$3:$D$1315, $A4)+SUMIFS(DataRegularSeason20242025!$AB$3:$AB$1315,DataRegularSeason20242025!$B$3:$B$1315, "&lt;=" &amp; ER$1, DataRegularSeason20242025!$E$3:$E$1315, $A4)</f>
        <v>8</v>
      </c>
      <c r="ES4">
        <f>SUMIFS(DataRegularSeason20242025!$AA$3:$AA$1315,DataRegularSeason20242025!$B$3:$B$1315, "&lt;=" &amp; ES$1, DataRegularSeason20242025!$D$3:$D$1315, $A4)+SUMIFS(DataRegularSeason20242025!$AB$3:$AB$1315,DataRegularSeason20242025!$B$3:$B$1315, "&lt;=" &amp; ES$1, DataRegularSeason20242025!$E$3:$E$1315, $A4)</f>
        <v>8</v>
      </c>
      <c r="ET4">
        <f>SUMIFS(DataRegularSeason20242025!$AA$3:$AA$1315,DataRegularSeason20242025!$B$3:$B$1315, "&lt;=" &amp; ET$1, DataRegularSeason20242025!$D$3:$D$1315, $A4)+SUMIFS(DataRegularSeason20242025!$AB$3:$AB$1315,DataRegularSeason20242025!$B$3:$B$1315, "&lt;=" &amp; ET$1, DataRegularSeason20242025!$E$3:$E$1315, $A4)</f>
        <v>8</v>
      </c>
      <c r="EU4">
        <f>SUMIFS(DataRegularSeason20242025!$AA$3:$AA$1315,DataRegularSeason20242025!$B$3:$B$1315, "&lt;=" &amp; EU$1, DataRegularSeason20242025!$D$3:$D$1315, $A4)+SUMIFS(DataRegularSeason20242025!$AB$3:$AB$1315,DataRegularSeason20242025!$B$3:$B$1315, "&lt;=" &amp; EU$1, DataRegularSeason20242025!$E$3:$E$1315, $A4)</f>
        <v>8</v>
      </c>
      <c r="EV4">
        <f>SUMIFS(DataRegularSeason20242025!$AA$3:$AA$1315,DataRegularSeason20242025!$B$3:$B$1315, "&lt;=" &amp; EV$1, DataRegularSeason20242025!$D$3:$D$1315, $A4)+SUMIFS(DataRegularSeason20242025!$AB$3:$AB$1315,DataRegularSeason20242025!$B$3:$B$1315, "&lt;=" &amp; EV$1, DataRegularSeason20242025!$E$3:$E$1315, $A4)</f>
        <v>8</v>
      </c>
      <c r="EW4">
        <f>SUMIFS(DataRegularSeason20242025!$AA$3:$AA$1315,DataRegularSeason20242025!$B$3:$B$1315, "&lt;=" &amp; EW$1, DataRegularSeason20242025!$D$3:$D$1315, $A4)+SUMIFS(DataRegularSeason20242025!$AB$3:$AB$1315,DataRegularSeason20242025!$B$3:$B$1315, "&lt;=" &amp; EW$1, DataRegularSeason20242025!$E$3:$E$1315, $A4)</f>
        <v>8</v>
      </c>
      <c r="EX4">
        <f>SUMIFS(DataRegularSeason20242025!$AA$3:$AA$1315,DataRegularSeason20242025!$B$3:$B$1315, "&lt;=" &amp; EX$1, DataRegularSeason20242025!$D$3:$D$1315, $A4)+SUMIFS(DataRegularSeason20242025!$AB$3:$AB$1315,DataRegularSeason20242025!$B$3:$B$1315, "&lt;=" &amp; EX$1, DataRegularSeason20242025!$E$3:$E$1315, $A4)</f>
        <v>8</v>
      </c>
      <c r="EY4">
        <f>SUMIFS(DataRegularSeason20242025!$AA$3:$AA$1315,DataRegularSeason20242025!$B$3:$B$1315, "&lt;=" &amp; EY$1, DataRegularSeason20242025!$D$3:$D$1315, $A4)+SUMIFS(DataRegularSeason20242025!$AB$3:$AB$1315,DataRegularSeason20242025!$B$3:$B$1315, "&lt;=" &amp; EY$1, DataRegularSeason20242025!$E$3:$E$1315, $A4)</f>
        <v>8</v>
      </c>
      <c r="EZ4">
        <f>SUMIFS(DataRegularSeason20242025!$AA$3:$AA$1315,DataRegularSeason20242025!$B$3:$B$1315, "&lt;=" &amp; EZ$1, DataRegularSeason20242025!$D$3:$D$1315, $A4)+SUMIFS(DataRegularSeason20242025!$AB$3:$AB$1315,DataRegularSeason20242025!$B$3:$B$1315, "&lt;=" &amp; EZ$1, DataRegularSeason20242025!$E$3:$E$1315, $A4)</f>
        <v>8</v>
      </c>
      <c r="FA4">
        <f>SUMIFS(DataRegularSeason20242025!$AA$3:$AA$1315,DataRegularSeason20242025!$B$3:$B$1315, "&lt;=" &amp; FA$1, DataRegularSeason20242025!$D$3:$D$1315, $A4)+SUMIFS(DataRegularSeason20242025!$AB$3:$AB$1315,DataRegularSeason20242025!$B$3:$B$1315, "&lt;=" &amp; FA$1, DataRegularSeason20242025!$E$3:$E$1315, $A4)</f>
        <v>8</v>
      </c>
      <c r="FB4">
        <f>SUMIFS(DataRegularSeason20242025!$AA$3:$AA$1315,DataRegularSeason20242025!$B$3:$B$1315, "&lt;=" &amp; FB$1, DataRegularSeason20242025!$D$3:$D$1315, $A4)+SUMIFS(DataRegularSeason20242025!$AB$3:$AB$1315,DataRegularSeason20242025!$B$3:$B$1315, "&lt;=" &amp; FB$1, DataRegularSeason20242025!$E$3:$E$1315, $A4)</f>
        <v>8</v>
      </c>
      <c r="FC4">
        <f>SUMIFS(DataRegularSeason20242025!$AA$3:$AA$1315,DataRegularSeason20242025!$B$3:$B$1315, "&lt;=" &amp; FC$1, DataRegularSeason20242025!$D$3:$D$1315, $A4)+SUMIFS(DataRegularSeason20242025!$AB$3:$AB$1315,DataRegularSeason20242025!$B$3:$B$1315, "&lt;=" &amp; FC$1, DataRegularSeason20242025!$E$3:$E$1315, $A4)</f>
        <v>8</v>
      </c>
      <c r="FD4">
        <f>SUMIFS(DataRegularSeason20242025!$AA$3:$AA$1315,DataRegularSeason20242025!$B$3:$B$1315, "&lt;=" &amp; FD$1, DataRegularSeason20242025!$D$3:$D$1315, $A4)+SUMIFS(DataRegularSeason20242025!$AB$3:$AB$1315,DataRegularSeason20242025!$B$3:$B$1315, "&lt;=" &amp; FD$1, DataRegularSeason20242025!$E$3:$E$1315, $A4)</f>
        <v>8</v>
      </c>
      <c r="FE4">
        <f>SUMIFS(DataRegularSeason20242025!$AA$3:$AA$1315,DataRegularSeason20242025!$B$3:$B$1315, "&lt;=" &amp; FE$1, DataRegularSeason20242025!$D$3:$D$1315, $A4)+SUMIFS(DataRegularSeason20242025!$AB$3:$AB$1315,DataRegularSeason20242025!$B$3:$B$1315, "&lt;=" &amp; FE$1, DataRegularSeason20242025!$E$3:$E$1315, $A4)</f>
        <v>8</v>
      </c>
      <c r="FF4">
        <f>SUMIFS(DataRegularSeason20242025!$AA$3:$AA$1315,DataRegularSeason20242025!$B$3:$B$1315, "&lt;=" &amp; FF$1, DataRegularSeason20242025!$D$3:$D$1315, $A4)+SUMIFS(DataRegularSeason20242025!$AB$3:$AB$1315,DataRegularSeason20242025!$B$3:$B$1315, "&lt;=" &amp; FF$1, DataRegularSeason20242025!$E$3:$E$1315, $A4)</f>
        <v>8</v>
      </c>
      <c r="FG4">
        <f>SUMIFS(DataRegularSeason20242025!$AA$3:$AA$1315,DataRegularSeason20242025!$B$3:$B$1315, "&lt;=" &amp; FG$1, DataRegularSeason20242025!$D$3:$D$1315, $A4)+SUMIFS(DataRegularSeason20242025!$AB$3:$AB$1315,DataRegularSeason20242025!$B$3:$B$1315, "&lt;=" &amp; FG$1, DataRegularSeason20242025!$E$3:$E$1315, $A4)</f>
        <v>8</v>
      </c>
      <c r="FH4">
        <f>SUMIFS(DataRegularSeason20242025!$AA$3:$AA$1315,DataRegularSeason20242025!$B$3:$B$1315, "&lt;=" &amp; FH$1, DataRegularSeason20242025!$D$3:$D$1315, $A4)+SUMIFS(DataRegularSeason20242025!$AB$3:$AB$1315,DataRegularSeason20242025!$B$3:$B$1315, "&lt;=" &amp; FH$1, DataRegularSeason20242025!$E$3:$E$1315, $A4)</f>
        <v>8</v>
      </c>
      <c r="FI4">
        <f>SUMIFS(DataRegularSeason20242025!$AA$3:$AA$1315,DataRegularSeason20242025!$B$3:$B$1315, "&lt;=" &amp; FI$1, DataRegularSeason20242025!$D$3:$D$1315, $A4)+SUMIFS(DataRegularSeason20242025!$AB$3:$AB$1315,DataRegularSeason20242025!$B$3:$B$1315, "&lt;=" &amp; FI$1, DataRegularSeason20242025!$E$3:$E$1315, $A4)</f>
        <v>8</v>
      </c>
      <c r="FJ4">
        <f>SUMIFS(DataRegularSeason20242025!$AA$3:$AA$1315,DataRegularSeason20242025!$B$3:$B$1315, "&lt;=" &amp; FJ$1, DataRegularSeason20242025!$D$3:$D$1315, $A4)+SUMIFS(DataRegularSeason20242025!$AB$3:$AB$1315,DataRegularSeason20242025!$B$3:$B$1315, "&lt;=" &amp; FJ$1, DataRegularSeason20242025!$E$3:$E$1315, $A4)</f>
        <v>8</v>
      </c>
      <c r="FK4">
        <f>SUMIFS(DataRegularSeason20242025!$AA$3:$AA$1315,DataRegularSeason20242025!$B$3:$B$1315, "&lt;=" &amp; FK$1, DataRegularSeason20242025!$D$3:$D$1315, $A4)+SUMIFS(DataRegularSeason20242025!$AB$3:$AB$1315,DataRegularSeason20242025!$B$3:$B$1315, "&lt;=" &amp; FK$1, DataRegularSeason20242025!$E$3:$E$1315, $A4)</f>
        <v>8</v>
      </c>
      <c r="FL4">
        <f>SUMIFS(DataRegularSeason20242025!$AA$3:$AA$1315,DataRegularSeason20242025!$B$3:$B$1315, "&lt;=" &amp; FL$1, DataRegularSeason20242025!$D$3:$D$1315, $A4)+SUMIFS(DataRegularSeason20242025!$AB$3:$AB$1315,DataRegularSeason20242025!$B$3:$B$1315, "&lt;=" &amp; FL$1, DataRegularSeason20242025!$E$3:$E$1315, $A4)</f>
        <v>8</v>
      </c>
      <c r="FM4">
        <f>SUMIFS(DataRegularSeason20242025!$AA$3:$AA$1315,DataRegularSeason20242025!$B$3:$B$1315, "&lt;=" &amp; FM$1, DataRegularSeason20242025!$D$3:$D$1315, $A4)+SUMIFS(DataRegularSeason20242025!$AB$3:$AB$1315,DataRegularSeason20242025!$B$3:$B$1315, "&lt;=" &amp; FM$1, DataRegularSeason20242025!$E$3:$E$1315, $A4)</f>
        <v>8</v>
      </c>
      <c r="FN4">
        <f>SUMIFS(DataRegularSeason20242025!$AA$3:$AA$1315,DataRegularSeason20242025!$B$3:$B$1315, "&lt;=" &amp; FN$1, DataRegularSeason20242025!$D$3:$D$1315, $A4)+SUMIFS(DataRegularSeason20242025!$AB$3:$AB$1315,DataRegularSeason20242025!$B$3:$B$1315, "&lt;=" &amp; FN$1, DataRegularSeason20242025!$E$3:$E$1315, $A4)</f>
        <v>8</v>
      </c>
      <c r="FO4">
        <f>SUMIFS(DataRegularSeason20242025!$AA$3:$AA$1315,DataRegularSeason20242025!$B$3:$B$1315, "&lt;=" &amp; FO$1, DataRegularSeason20242025!$D$3:$D$1315, $A4)+SUMIFS(DataRegularSeason20242025!$AB$3:$AB$1315,DataRegularSeason20242025!$B$3:$B$1315, "&lt;=" &amp; FO$1, DataRegularSeason20242025!$E$3:$E$1315, $A4)</f>
        <v>8</v>
      </c>
      <c r="FP4">
        <f>SUMIFS(DataRegularSeason20242025!$AA$3:$AA$1315,DataRegularSeason20242025!$B$3:$B$1315, "&lt;=" &amp; FP$1, DataRegularSeason20242025!$D$3:$D$1315, $A4)+SUMIFS(DataRegularSeason20242025!$AB$3:$AB$1315,DataRegularSeason20242025!$B$3:$B$1315, "&lt;=" &amp; FP$1, DataRegularSeason20242025!$E$3:$E$1315, $A4)</f>
        <v>8</v>
      </c>
      <c r="FQ4">
        <f>SUMIFS(DataRegularSeason20242025!$AA$3:$AA$1315,DataRegularSeason20242025!$B$3:$B$1315, "&lt;=" &amp; FQ$1, DataRegularSeason20242025!$D$3:$D$1315, $A4)+SUMIFS(DataRegularSeason20242025!$AB$3:$AB$1315,DataRegularSeason20242025!$B$3:$B$1315, "&lt;=" &amp; FQ$1, DataRegularSeason20242025!$E$3:$E$1315, $A4)</f>
        <v>8</v>
      </c>
      <c r="FR4">
        <f>SUMIFS(DataRegularSeason20242025!$AA$3:$AA$1315,DataRegularSeason20242025!$B$3:$B$1315, "&lt;=" &amp; FR$1, DataRegularSeason20242025!$D$3:$D$1315, $A4)+SUMIFS(DataRegularSeason20242025!$AB$3:$AB$1315,DataRegularSeason20242025!$B$3:$B$1315, "&lt;=" &amp; FR$1, DataRegularSeason20242025!$E$3:$E$1315, $A4)</f>
        <v>8</v>
      </c>
      <c r="FS4">
        <f>SUMIFS(DataRegularSeason20242025!$AA$3:$AA$1315,DataRegularSeason20242025!$B$3:$B$1315, "&lt;=" &amp; FS$1, DataRegularSeason20242025!$D$3:$D$1315, $A4)+SUMIFS(DataRegularSeason20242025!$AB$3:$AB$1315,DataRegularSeason20242025!$B$3:$B$1315, "&lt;=" &amp; FS$1, DataRegularSeason20242025!$E$3:$E$1315, $A4)</f>
        <v>8</v>
      </c>
      <c r="FT4">
        <f>SUMIFS(DataRegularSeason20242025!$AA$3:$AA$1315,DataRegularSeason20242025!$B$3:$B$1315, "&lt;=" &amp; FT$1, DataRegularSeason20242025!$D$3:$D$1315, $A4)+SUMIFS(DataRegularSeason20242025!$AB$3:$AB$1315,DataRegularSeason20242025!$B$3:$B$1315, "&lt;=" &amp; FT$1, DataRegularSeason20242025!$E$3:$E$1315, $A4)</f>
        <v>8</v>
      </c>
      <c r="FU4">
        <f>SUMIFS(DataRegularSeason20242025!$AA$3:$AA$1315,DataRegularSeason20242025!$B$3:$B$1315, "&lt;=" &amp; FU$1, DataRegularSeason20242025!$D$3:$D$1315, $A4)+SUMIFS(DataRegularSeason20242025!$AB$3:$AB$1315,DataRegularSeason20242025!$B$3:$B$1315, "&lt;=" &amp; FU$1, DataRegularSeason20242025!$E$3:$E$1315, $A4)</f>
        <v>8</v>
      </c>
      <c r="FV4">
        <f>SUMIFS(DataRegularSeason20242025!$AA$3:$AA$1315,DataRegularSeason20242025!$B$3:$B$1315, "&lt;=" &amp; FV$1, DataRegularSeason20242025!$D$3:$D$1315, $A4)+SUMIFS(DataRegularSeason20242025!$AB$3:$AB$1315,DataRegularSeason20242025!$B$3:$B$1315, "&lt;=" &amp; FV$1, DataRegularSeason20242025!$E$3:$E$1315, $A4)</f>
        <v>8</v>
      </c>
      <c r="FW4">
        <f>SUMIFS(DataRegularSeason20242025!$AA$3:$AA$1315,DataRegularSeason20242025!$B$3:$B$1315, "&lt;=" &amp; FW$1, DataRegularSeason20242025!$D$3:$D$1315, $A4)+SUMIFS(DataRegularSeason20242025!$AB$3:$AB$1315,DataRegularSeason20242025!$B$3:$B$1315, "&lt;=" &amp; FW$1, DataRegularSeason20242025!$E$3:$E$1315, $A4)</f>
        <v>8</v>
      </c>
      <c r="FX4">
        <f>SUMIFS(DataRegularSeason20242025!$AA$3:$AA$1315,DataRegularSeason20242025!$B$3:$B$1315, "&lt;=" &amp; FX$1, DataRegularSeason20242025!$D$3:$D$1315, $A4)+SUMIFS(DataRegularSeason20242025!$AB$3:$AB$1315,DataRegularSeason20242025!$B$3:$B$1315, "&lt;=" &amp; FX$1, DataRegularSeason20242025!$E$3:$E$1315, $A4)</f>
        <v>8</v>
      </c>
      <c r="FY4">
        <f>SUMIFS(DataRegularSeason20242025!$AA$3:$AA$1315,DataRegularSeason20242025!$B$3:$B$1315, "&lt;=" &amp; FY$1, DataRegularSeason20242025!$D$3:$D$1315, $A4)+SUMIFS(DataRegularSeason20242025!$AB$3:$AB$1315,DataRegularSeason20242025!$B$3:$B$1315, "&lt;=" &amp; FY$1, DataRegularSeason20242025!$E$3:$E$1315, $A4)</f>
        <v>8</v>
      </c>
      <c r="FZ4">
        <f>SUMIFS(DataRegularSeason20242025!$AA$3:$AA$1315,DataRegularSeason20242025!$B$3:$B$1315, "&lt;=" &amp; FZ$1, DataRegularSeason20242025!$D$3:$D$1315, $A4)+SUMIFS(DataRegularSeason20242025!$AB$3:$AB$1315,DataRegularSeason20242025!$B$3:$B$1315, "&lt;=" &amp; FZ$1, DataRegularSeason20242025!$E$3:$E$1315, $A4)</f>
        <v>8</v>
      </c>
      <c r="GA4">
        <f>SUMIFS(DataRegularSeason20242025!$AA$3:$AA$1315,DataRegularSeason20242025!$B$3:$B$1315, "&lt;=" &amp; GA$1, DataRegularSeason20242025!$D$3:$D$1315, $A4)+SUMIFS(DataRegularSeason20242025!$AB$3:$AB$1315,DataRegularSeason20242025!$B$3:$B$1315, "&lt;=" &amp; GA$1, DataRegularSeason20242025!$E$3:$E$1315, $A4)</f>
        <v>8</v>
      </c>
      <c r="GB4">
        <f>SUMIFS(DataRegularSeason20242025!$AA$3:$AA$1315,DataRegularSeason20242025!$B$3:$B$1315, "&lt;=" &amp; GB$1, DataRegularSeason20242025!$D$3:$D$1315, $A4)+SUMIFS(DataRegularSeason20242025!$AB$3:$AB$1315,DataRegularSeason20242025!$B$3:$B$1315, "&lt;=" &amp; GB$1, DataRegularSeason20242025!$E$3:$E$1315, $A4)</f>
        <v>8</v>
      </c>
      <c r="GC4">
        <f>SUMIFS(DataRegularSeason20242025!$AA$3:$AA$1315,DataRegularSeason20242025!$B$3:$B$1315, "&lt;=" &amp; GC$1, DataRegularSeason20242025!$D$3:$D$1315, $A4)+SUMIFS(DataRegularSeason20242025!$AB$3:$AB$1315,DataRegularSeason20242025!$B$3:$B$1315, "&lt;=" &amp; GC$1, DataRegularSeason20242025!$E$3:$E$1315, $A4)</f>
        <v>8</v>
      </c>
      <c r="GD4">
        <f>SUMIFS(DataRegularSeason20242025!$AA$3:$AA$1315,DataRegularSeason20242025!$B$3:$B$1315, "&lt;=" &amp; GD$1, DataRegularSeason20242025!$D$3:$D$1315, $A4)+SUMIFS(DataRegularSeason20242025!$AB$3:$AB$1315,DataRegularSeason20242025!$B$3:$B$1315, "&lt;=" &amp; GD$1, DataRegularSeason20242025!$E$3:$E$1315, $A4)</f>
        <v>8</v>
      </c>
      <c r="GE4">
        <f>SUMIFS(DataRegularSeason20242025!$AA$3:$AA$1315,DataRegularSeason20242025!$B$3:$B$1315, "&lt;=" &amp; GE$1, DataRegularSeason20242025!$D$3:$D$1315, $A4)+SUMIFS(DataRegularSeason20242025!$AB$3:$AB$1315,DataRegularSeason20242025!$B$3:$B$1315, "&lt;=" &amp; GE$1, DataRegularSeason20242025!$E$3:$E$1315, $A4)</f>
        <v>8</v>
      </c>
      <c r="GF4">
        <f>SUMIFS(DataRegularSeason20242025!$AA$3:$AA$1315,DataRegularSeason20242025!$B$3:$B$1315, "&lt;=" &amp; GF$1, DataRegularSeason20242025!$D$3:$D$1315, $A4)+SUMIFS(DataRegularSeason20242025!$AB$3:$AB$1315,DataRegularSeason20242025!$B$3:$B$1315, "&lt;=" &amp; GF$1, DataRegularSeason20242025!$E$3:$E$1315, $A4)</f>
        <v>8</v>
      </c>
      <c r="GG4">
        <f>SUMIFS(DataRegularSeason20242025!$AA$3:$AA$1315,DataRegularSeason20242025!$B$3:$B$1315, "&lt;=" &amp; GG$1, DataRegularSeason20242025!$D$3:$D$1315, $A4)+SUMIFS(DataRegularSeason20242025!$AB$3:$AB$1315,DataRegularSeason20242025!$B$3:$B$1315, "&lt;=" &amp; GG$1, DataRegularSeason20242025!$E$3:$E$1315, $A4)</f>
        <v>8</v>
      </c>
      <c r="GH4">
        <f>SUMIFS(DataRegularSeason20242025!$AA$3:$AA$1315,DataRegularSeason20242025!$B$3:$B$1315, "&lt;=" &amp; GH$1, DataRegularSeason20242025!$D$3:$D$1315, $A4)+SUMIFS(DataRegularSeason20242025!$AB$3:$AB$1315,DataRegularSeason20242025!$B$3:$B$1315, "&lt;=" &amp; GH$1, DataRegularSeason20242025!$E$3:$E$1315, $A4)</f>
        <v>8</v>
      </c>
      <c r="GI4">
        <f>SUMIFS(DataRegularSeason20242025!$AA$3:$AA$1315,DataRegularSeason20242025!$B$3:$B$1315, "&lt;=" &amp; GI$1, DataRegularSeason20242025!$D$3:$D$1315, $A4)+SUMIFS(DataRegularSeason20242025!$AB$3:$AB$1315,DataRegularSeason20242025!$B$3:$B$1315, "&lt;=" &amp; GI$1, DataRegularSeason20242025!$E$3:$E$1315, $A4)</f>
        <v>8</v>
      </c>
      <c r="GJ4">
        <f>SUMIFS(DataRegularSeason20242025!$AA$3:$AA$1315,DataRegularSeason20242025!$B$3:$B$1315, "&lt;=" &amp; GJ$1, DataRegularSeason20242025!$D$3:$D$1315, $A4)+SUMIFS(DataRegularSeason20242025!$AB$3:$AB$1315,DataRegularSeason20242025!$B$3:$B$1315, "&lt;=" &amp; GJ$1, DataRegularSeason20242025!$E$3:$E$1315, $A4)</f>
        <v>8</v>
      </c>
      <c r="GK4">
        <f>SUMIFS(DataRegularSeason20242025!$AA$3:$AA$1315,DataRegularSeason20242025!$B$3:$B$1315, "&lt;=" &amp; GK$1, DataRegularSeason20242025!$D$3:$D$1315, $A4)+SUMIFS(DataRegularSeason20242025!$AB$3:$AB$1315,DataRegularSeason20242025!$B$3:$B$1315, "&lt;=" &amp; GK$1, DataRegularSeason20242025!$E$3:$E$1315, $A4)</f>
        <v>8</v>
      </c>
      <c r="GL4">
        <f>SUMIFS(DataRegularSeason20242025!$AA$3:$AA$1315,DataRegularSeason20242025!$B$3:$B$1315, "&lt;=" &amp; GL$1, DataRegularSeason20242025!$D$3:$D$1315, $A4)+SUMIFS(DataRegularSeason20242025!$AB$3:$AB$1315,DataRegularSeason20242025!$B$3:$B$1315, "&lt;=" &amp; GL$1, DataRegularSeason20242025!$E$3:$E$1315, $A4)</f>
        <v>8</v>
      </c>
      <c r="GM4">
        <f>SUMIFS(DataRegularSeason20242025!$AA$3:$AA$1315,DataRegularSeason20242025!$B$3:$B$1315, "&lt;=" &amp; GM$1, DataRegularSeason20242025!$D$3:$D$1315, $A4)+SUMIFS(DataRegularSeason20242025!$AB$3:$AB$1315,DataRegularSeason20242025!$B$3:$B$1315, "&lt;=" &amp; GM$1, DataRegularSeason20242025!$E$3:$E$1315, $A4)</f>
        <v>8</v>
      </c>
      <c r="GN4">
        <f>SUMIFS(DataRegularSeason20242025!$AA$3:$AA$1315,DataRegularSeason20242025!$B$3:$B$1315, "&lt;=" &amp; GN$1, DataRegularSeason20242025!$D$3:$D$1315, $A4)+SUMIFS(DataRegularSeason20242025!$AB$3:$AB$1315,DataRegularSeason20242025!$B$3:$B$1315, "&lt;=" &amp; GN$1, DataRegularSeason20242025!$E$3:$E$1315, $A4)</f>
        <v>8</v>
      </c>
      <c r="GO4">
        <f>SUMIFS(DataRegularSeason20242025!$AA$3:$AA$1315,DataRegularSeason20242025!$B$3:$B$1315, "&lt;=" &amp; GO$1, DataRegularSeason20242025!$D$3:$D$1315, $A4)+SUMIFS(DataRegularSeason20242025!$AB$3:$AB$1315,DataRegularSeason20242025!$B$3:$B$1315, "&lt;=" &amp; GO$1, DataRegularSeason20242025!$E$3:$E$1315, $A4)</f>
        <v>8</v>
      </c>
      <c r="GP4">
        <f>SUMIFS(DataRegularSeason20242025!$AA$3:$AA$1315,DataRegularSeason20242025!$B$3:$B$1315, "&lt;=" &amp; GP$1, DataRegularSeason20242025!$D$3:$D$1315, $A4)+SUMIFS(DataRegularSeason20242025!$AB$3:$AB$1315,DataRegularSeason20242025!$B$3:$B$1315, "&lt;=" &amp; GP$1, DataRegularSeason20242025!$E$3:$E$1315, $A4)</f>
        <v>8</v>
      </c>
      <c r="GQ4">
        <f>SUMIFS(DataRegularSeason20242025!$AA$3:$AA$1315,DataRegularSeason20242025!$B$3:$B$1315, "&lt;=" &amp; GQ$1, DataRegularSeason20242025!$D$3:$D$1315, $A4)+SUMIFS(DataRegularSeason20242025!$AB$3:$AB$1315,DataRegularSeason20242025!$B$3:$B$1315, "&lt;=" &amp; GQ$1, DataRegularSeason20242025!$E$3:$E$1315, $A4)</f>
        <v>8</v>
      </c>
      <c r="GR4">
        <f>SUMIFS(DataRegularSeason20242025!$AA$3:$AA$1315,DataRegularSeason20242025!$B$3:$B$1315, "&lt;=" &amp; GR$1, DataRegularSeason20242025!$D$3:$D$1315, $A4)+SUMIFS(DataRegularSeason20242025!$AB$3:$AB$1315,DataRegularSeason20242025!$B$3:$B$1315, "&lt;=" &amp; GR$1, DataRegularSeason20242025!$E$3:$E$1315, $A4)</f>
        <v>8</v>
      </c>
      <c r="GS4">
        <f>SUMIFS(DataRegularSeason20242025!$AA$3:$AA$1315,DataRegularSeason20242025!$B$3:$B$1315, "&lt;=" &amp; GS$1, DataRegularSeason20242025!$D$3:$D$1315, $A4)+SUMIFS(DataRegularSeason20242025!$AB$3:$AB$1315,DataRegularSeason20242025!$B$3:$B$1315, "&lt;=" &amp; GS$1, DataRegularSeason20242025!$E$3:$E$1315, $A4)</f>
        <v>8</v>
      </c>
      <c r="GT4">
        <f>SUMIFS(DataRegularSeason20242025!$AA$3:$AA$1315,DataRegularSeason20242025!$B$3:$B$1315, "&lt;=" &amp; GT$1, DataRegularSeason20242025!$D$3:$D$1315, $A4)+SUMIFS(DataRegularSeason20242025!$AB$3:$AB$1315,DataRegularSeason20242025!$B$3:$B$1315, "&lt;=" &amp; GT$1, DataRegularSeason20242025!$E$3:$E$1315, $A4)</f>
        <v>8</v>
      </c>
      <c r="GU4">
        <f>SUMIFS(DataRegularSeason20242025!$AA$3:$AA$1315,DataRegularSeason20242025!$B$3:$B$1315, "&lt;=" &amp; GU$1, DataRegularSeason20242025!$D$3:$D$1315, $A4)+SUMIFS(DataRegularSeason20242025!$AB$3:$AB$1315,DataRegularSeason20242025!$B$3:$B$1315, "&lt;=" &amp; GU$1, DataRegularSeason20242025!$E$3:$E$1315, $A4)</f>
        <v>8</v>
      </c>
    </row>
    <row r="5" spans="1:275" x14ac:dyDescent="0.25">
      <c r="A5" t="s">
        <v>17</v>
      </c>
      <c r="B5" t="s">
        <v>91</v>
      </c>
      <c r="C5" s="105" t="s">
        <v>74</v>
      </c>
      <c r="D5">
        <f>SUMIFS(DataRegularSeason20242025!$AA$3:$AA$1315,DataRegularSeason20242025!$B$3:$B$1315, "&lt;=" &amp; D$1, DataRegularSeason20242025!$D$3:$D$1315, $A5)+SUMIFS(DataRegularSeason20242025!$AB$3:$AB$1315,DataRegularSeason20242025!$B$3:$B$1315, "&lt;=" &amp; D$1, DataRegularSeason20242025!$E$3:$E$1315, $A5)</f>
        <v>0</v>
      </c>
      <c r="E5">
        <f>SUMIFS(DataRegularSeason20242025!$AA$3:$AA$1315,DataRegularSeason20242025!$B$3:$B$1315, "&lt;=" &amp; E$1, DataRegularSeason20242025!$D$3:$D$1315, $A5)+SUMIFS(DataRegularSeason20242025!$AB$3:$AB$1315,DataRegularSeason20242025!$B$3:$B$1315, "&lt;=" &amp; E$1, DataRegularSeason20242025!$E$3:$E$1315, $A5)</f>
        <v>0</v>
      </c>
      <c r="F5">
        <f>SUMIFS(DataRegularSeason20242025!$AA$3:$AA$1315,DataRegularSeason20242025!$B$3:$B$1315, "&lt;=" &amp; F$1, DataRegularSeason20242025!$D$3:$D$1315, $A5)+SUMIFS(DataRegularSeason20242025!$AB$3:$AB$1315,DataRegularSeason20242025!$B$3:$B$1315, "&lt;=" &amp; F$1, DataRegularSeason20242025!$E$3:$E$1315, $A5)</f>
        <v>0</v>
      </c>
      <c r="G5">
        <f>SUMIFS(DataRegularSeason20242025!$AA$3:$AA$1315,DataRegularSeason20242025!$B$3:$B$1315, "&lt;=" &amp; G$1, DataRegularSeason20242025!$D$3:$D$1315, $A5)+SUMIFS(DataRegularSeason20242025!$AB$3:$AB$1315,DataRegularSeason20242025!$B$3:$B$1315, "&lt;=" &amp; G$1, DataRegularSeason20242025!$E$3:$E$1315, $A5)</f>
        <v>0</v>
      </c>
      <c r="H5">
        <f>SUMIFS(DataRegularSeason20242025!$AA$3:$AA$1315,DataRegularSeason20242025!$B$3:$B$1315, "&lt;=" &amp; H$1, DataRegularSeason20242025!$D$3:$D$1315, $A5)+SUMIFS(DataRegularSeason20242025!$AB$3:$AB$1315,DataRegularSeason20242025!$B$3:$B$1315, "&lt;=" &amp; H$1, DataRegularSeason20242025!$E$3:$E$1315, $A5)</f>
        <v>0</v>
      </c>
      <c r="I5">
        <f>SUMIFS(DataRegularSeason20242025!$AA$3:$AA$1315,DataRegularSeason20242025!$B$3:$B$1315, "&lt;=" &amp; I$1, DataRegularSeason20242025!$D$3:$D$1315, $A5)+SUMIFS(DataRegularSeason20242025!$AB$3:$AB$1315,DataRegularSeason20242025!$B$3:$B$1315, "&lt;=" &amp; I$1, DataRegularSeason20242025!$E$3:$E$1315, $A5)</f>
        <v>2</v>
      </c>
      <c r="J5">
        <f>SUMIFS(DataRegularSeason20242025!$AA$3:$AA$1315,DataRegularSeason20242025!$B$3:$B$1315, "&lt;=" &amp; J$1, DataRegularSeason20242025!$D$3:$D$1315, $A5)+SUMIFS(DataRegularSeason20242025!$AB$3:$AB$1315,DataRegularSeason20242025!$B$3:$B$1315, "&lt;=" &amp; J$1, DataRegularSeason20242025!$E$3:$E$1315, $A5)</f>
        <v>2</v>
      </c>
      <c r="K5">
        <f>SUMIFS(DataRegularSeason20242025!$AA$3:$AA$1315,DataRegularSeason20242025!$B$3:$B$1315, "&lt;=" &amp; K$1, DataRegularSeason20242025!$D$3:$D$1315, $A5)+SUMIFS(DataRegularSeason20242025!$AB$3:$AB$1315,DataRegularSeason20242025!$B$3:$B$1315, "&lt;=" &amp; K$1, DataRegularSeason20242025!$E$3:$E$1315, $A5)</f>
        <v>2</v>
      </c>
      <c r="L5">
        <f>SUMIFS(DataRegularSeason20242025!$AA$3:$AA$1315,DataRegularSeason20242025!$B$3:$B$1315, "&lt;=" &amp; L$1, DataRegularSeason20242025!$D$3:$D$1315, $A5)+SUMIFS(DataRegularSeason20242025!$AB$3:$AB$1315,DataRegularSeason20242025!$B$3:$B$1315, "&lt;=" &amp; L$1, DataRegularSeason20242025!$E$3:$E$1315, $A5)</f>
        <v>2</v>
      </c>
      <c r="M5">
        <f>SUMIFS(DataRegularSeason20242025!$AA$3:$AA$1315,DataRegularSeason20242025!$B$3:$B$1315, "&lt;=" &amp; M$1, DataRegularSeason20242025!$D$3:$D$1315, $A5)+SUMIFS(DataRegularSeason20242025!$AB$3:$AB$1315,DataRegularSeason20242025!$B$3:$B$1315, "&lt;=" &amp; M$1, DataRegularSeason20242025!$E$3:$E$1315, $A5)</f>
        <v>2</v>
      </c>
      <c r="N5">
        <f>SUMIFS(DataRegularSeason20242025!$AA$3:$AA$1315,DataRegularSeason20242025!$B$3:$B$1315, "&lt;=" &amp; N$1, DataRegularSeason20242025!$D$3:$D$1315, $A5)+SUMIFS(DataRegularSeason20242025!$AB$3:$AB$1315,DataRegularSeason20242025!$B$3:$B$1315, "&lt;=" &amp; N$1, DataRegularSeason20242025!$E$3:$E$1315, $A5)</f>
        <v>2</v>
      </c>
      <c r="O5">
        <f>SUMIFS(DataRegularSeason20242025!$AA$3:$AA$1315,DataRegularSeason20242025!$B$3:$B$1315, "&lt;=" &amp; O$1, DataRegularSeason20242025!$D$3:$D$1315, $A5)+SUMIFS(DataRegularSeason20242025!$AB$3:$AB$1315,DataRegularSeason20242025!$B$3:$B$1315, "&lt;=" &amp; O$1, DataRegularSeason20242025!$E$3:$E$1315, $A5)</f>
        <v>4</v>
      </c>
      <c r="P5">
        <f>SUMIFS(DataRegularSeason20242025!$AA$3:$AA$1315,DataRegularSeason20242025!$B$3:$B$1315, "&lt;=" &amp; P$1, DataRegularSeason20242025!$D$3:$D$1315, $A5)+SUMIFS(DataRegularSeason20242025!$AB$3:$AB$1315,DataRegularSeason20242025!$B$3:$B$1315, "&lt;=" &amp; P$1, DataRegularSeason20242025!$E$3:$E$1315, $A5)</f>
        <v>4</v>
      </c>
      <c r="Q5">
        <f>SUMIFS(DataRegularSeason20242025!$AA$3:$AA$1315,DataRegularSeason20242025!$B$3:$B$1315, "&lt;=" &amp; Q$1, DataRegularSeason20242025!$D$3:$D$1315, $A5)+SUMIFS(DataRegularSeason20242025!$AB$3:$AB$1315,DataRegularSeason20242025!$B$3:$B$1315, "&lt;=" &amp; Q$1, DataRegularSeason20242025!$E$3:$E$1315, $A5)</f>
        <v>6</v>
      </c>
      <c r="R5">
        <f>SUMIFS(DataRegularSeason20242025!$AA$3:$AA$1315,DataRegularSeason20242025!$B$3:$B$1315, "&lt;=" &amp; R$1, DataRegularSeason20242025!$D$3:$D$1315, $A5)+SUMIFS(DataRegularSeason20242025!$AB$3:$AB$1315,DataRegularSeason20242025!$B$3:$B$1315, "&lt;=" &amp; R$1, DataRegularSeason20242025!$E$3:$E$1315, $A5)</f>
        <v>6</v>
      </c>
      <c r="S5">
        <f>SUMIFS(DataRegularSeason20242025!$AA$3:$AA$1315,DataRegularSeason20242025!$B$3:$B$1315, "&lt;=" &amp; S$1, DataRegularSeason20242025!$D$3:$D$1315, $A5)+SUMIFS(DataRegularSeason20242025!$AB$3:$AB$1315,DataRegularSeason20242025!$B$3:$B$1315, "&lt;=" &amp; S$1, DataRegularSeason20242025!$E$3:$E$1315, $A5)</f>
        <v>7</v>
      </c>
      <c r="T5">
        <f>SUMIFS(DataRegularSeason20242025!$AA$3:$AA$1315,DataRegularSeason20242025!$B$3:$B$1315, "&lt;=" &amp; T$1, DataRegularSeason20242025!$D$3:$D$1315, $A5)+SUMIFS(DataRegularSeason20242025!$AB$3:$AB$1315,DataRegularSeason20242025!$B$3:$B$1315, "&lt;=" &amp; T$1, DataRegularSeason20242025!$E$3:$E$1315, $A5)</f>
        <v>7</v>
      </c>
      <c r="U5">
        <f>SUMIFS(DataRegularSeason20242025!$AA$3:$AA$1315,DataRegularSeason20242025!$B$3:$B$1315, "&lt;=" &amp; U$1, DataRegularSeason20242025!$D$3:$D$1315, $A5)+SUMIFS(DataRegularSeason20242025!$AB$3:$AB$1315,DataRegularSeason20242025!$B$3:$B$1315, "&lt;=" &amp; U$1, DataRegularSeason20242025!$E$3:$E$1315, $A5)</f>
        <v>7</v>
      </c>
      <c r="V5">
        <f>SUMIFS(DataRegularSeason20242025!$AA$3:$AA$1315,DataRegularSeason20242025!$B$3:$B$1315, "&lt;=" &amp; V$1, DataRegularSeason20242025!$D$3:$D$1315, $A5)+SUMIFS(DataRegularSeason20242025!$AB$3:$AB$1315,DataRegularSeason20242025!$B$3:$B$1315, "&lt;=" &amp; V$1, DataRegularSeason20242025!$E$3:$E$1315, $A5)</f>
        <v>7</v>
      </c>
      <c r="W5">
        <f>SUMIFS(DataRegularSeason20242025!$AA$3:$AA$1315,DataRegularSeason20242025!$B$3:$B$1315, "&lt;=" &amp; W$1, DataRegularSeason20242025!$D$3:$D$1315, $A5)+SUMIFS(DataRegularSeason20242025!$AB$3:$AB$1315,DataRegularSeason20242025!$B$3:$B$1315, "&lt;=" &amp; W$1, DataRegularSeason20242025!$E$3:$E$1315, $A5)</f>
        <v>7</v>
      </c>
      <c r="X5">
        <f>SUMIFS(DataRegularSeason20242025!$AA$3:$AA$1315,DataRegularSeason20242025!$B$3:$B$1315, "&lt;=" &amp; X$1, DataRegularSeason20242025!$D$3:$D$1315, $A5)+SUMIFS(DataRegularSeason20242025!$AB$3:$AB$1315,DataRegularSeason20242025!$B$3:$B$1315, "&lt;=" &amp; X$1, DataRegularSeason20242025!$E$3:$E$1315, $A5)</f>
        <v>7</v>
      </c>
      <c r="Y5">
        <f>SUMIFS(DataRegularSeason20242025!$AA$3:$AA$1315,DataRegularSeason20242025!$B$3:$B$1315, "&lt;=" &amp; Y$1, DataRegularSeason20242025!$D$3:$D$1315, $A5)+SUMIFS(DataRegularSeason20242025!$AB$3:$AB$1315,DataRegularSeason20242025!$B$3:$B$1315, "&lt;=" &amp; Y$1, DataRegularSeason20242025!$E$3:$E$1315, $A5)</f>
        <v>7</v>
      </c>
      <c r="Z5">
        <f>SUMIFS(DataRegularSeason20242025!$AA$3:$AA$1315,DataRegularSeason20242025!$B$3:$B$1315, "&lt;=" &amp; Z$1, DataRegularSeason20242025!$D$3:$D$1315, $A5)+SUMIFS(DataRegularSeason20242025!$AB$3:$AB$1315,DataRegularSeason20242025!$B$3:$B$1315, "&lt;=" &amp; Z$1, DataRegularSeason20242025!$E$3:$E$1315, $A5)</f>
        <v>7</v>
      </c>
      <c r="AA5">
        <f>SUMIFS(DataRegularSeason20242025!$AA$3:$AA$1315,DataRegularSeason20242025!$B$3:$B$1315, "&lt;=" &amp; AA$1, DataRegularSeason20242025!$D$3:$D$1315, $A5)+SUMIFS(DataRegularSeason20242025!$AB$3:$AB$1315,DataRegularSeason20242025!$B$3:$B$1315, "&lt;=" &amp; AA$1, DataRegularSeason20242025!$E$3:$E$1315, $A5)</f>
        <v>7</v>
      </c>
      <c r="AB5">
        <f>SUMIFS(DataRegularSeason20242025!$AA$3:$AA$1315,DataRegularSeason20242025!$B$3:$B$1315, "&lt;=" &amp; AB$1, DataRegularSeason20242025!$D$3:$D$1315, $A5)+SUMIFS(DataRegularSeason20242025!$AB$3:$AB$1315,DataRegularSeason20242025!$B$3:$B$1315, "&lt;=" &amp; AB$1, DataRegularSeason20242025!$E$3:$E$1315, $A5)</f>
        <v>7</v>
      </c>
      <c r="AC5">
        <f>SUMIFS(DataRegularSeason20242025!$AA$3:$AA$1315,DataRegularSeason20242025!$B$3:$B$1315, "&lt;=" &amp; AC$1, DataRegularSeason20242025!$D$3:$D$1315, $A5)+SUMIFS(DataRegularSeason20242025!$AB$3:$AB$1315,DataRegularSeason20242025!$B$3:$B$1315, "&lt;=" &amp; AC$1, DataRegularSeason20242025!$E$3:$E$1315, $A5)</f>
        <v>7</v>
      </c>
      <c r="AD5">
        <f>SUMIFS(DataRegularSeason20242025!$AA$3:$AA$1315,DataRegularSeason20242025!$B$3:$B$1315, "&lt;=" &amp; AD$1, DataRegularSeason20242025!$D$3:$D$1315, $A5)+SUMIFS(DataRegularSeason20242025!$AB$3:$AB$1315,DataRegularSeason20242025!$B$3:$B$1315, "&lt;=" &amp; AD$1, DataRegularSeason20242025!$E$3:$E$1315, $A5)</f>
        <v>7</v>
      </c>
      <c r="AE5">
        <f>SUMIFS(DataRegularSeason20242025!$AA$3:$AA$1315,DataRegularSeason20242025!$B$3:$B$1315, "&lt;=" &amp; AE$1, DataRegularSeason20242025!$D$3:$D$1315, $A5)+SUMIFS(DataRegularSeason20242025!$AB$3:$AB$1315,DataRegularSeason20242025!$B$3:$B$1315, "&lt;=" &amp; AE$1, DataRegularSeason20242025!$E$3:$E$1315, $A5)</f>
        <v>7</v>
      </c>
      <c r="AF5">
        <f>SUMIFS(DataRegularSeason20242025!$AA$3:$AA$1315,DataRegularSeason20242025!$B$3:$B$1315, "&lt;=" &amp; AF$1, DataRegularSeason20242025!$D$3:$D$1315, $A5)+SUMIFS(DataRegularSeason20242025!$AB$3:$AB$1315,DataRegularSeason20242025!$B$3:$B$1315, "&lt;=" &amp; AF$1, DataRegularSeason20242025!$E$3:$E$1315, $A5)</f>
        <v>7</v>
      </c>
      <c r="AG5">
        <f>SUMIFS(DataRegularSeason20242025!$AA$3:$AA$1315,DataRegularSeason20242025!$B$3:$B$1315, "&lt;=" &amp; AG$1, DataRegularSeason20242025!$D$3:$D$1315, $A5)+SUMIFS(DataRegularSeason20242025!$AB$3:$AB$1315,DataRegularSeason20242025!$B$3:$B$1315, "&lt;=" &amp; AG$1, DataRegularSeason20242025!$E$3:$E$1315, $A5)</f>
        <v>7</v>
      </c>
      <c r="AH5">
        <f>SUMIFS(DataRegularSeason20242025!$AA$3:$AA$1315,DataRegularSeason20242025!$B$3:$B$1315, "&lt;=" &amp; AH$1, DataRegularSeason20242025!$D$3:$D$1315, $A5)+SUMIFS(DataRegularSeason20242025!$AB$3:$AB$1315,DataRegularSeason20242025!$B$3:$B$1315, "&lt;=" &amp; AH$1, DataRegularSeason20242025!$E$3:$E$1315, $A5)</f>
        <v>7</v>
      </c>
      <c r="AI5">
        <f>SUMIFS(DataRegularSeason20242025!$AA$3:$AA$1315,DataRegularSeason20242025!$B$3:$B$1315, "&lt;=" &amp; AI$1, DataRegularSeason20242025!$D$3:$D$1315, $A5)+SUMIFS(DataRegularSeason20242025!$AB$3:$AB$1315,DataRegularSeason20242025!$B$3:$B$1315, "&lt;=" &amp; AI$1, DataRegularSeason20242025!$E$3:$E$1315, $A5)</f>
        <v>7</v>
      </c>
      <c r="AJ5">
        <f>SUMIFS(DataRegularSeason20242025!$AA$3:$AA$1315,DataRegularSeason20242025!$B$3:$B$1315, "&lt;=" &amp; AJ$1, DataRegularSeason20242025!$D$3:$D$1315, $A5)+SUMIFS(DataRegularSeason20242025!$AB$3:$AB$1315,DataRegularSeason20242025!$B$3:$B$1315, "&lt;=" &amp; AJ$1, DataRegularSeason20242025!$E$3:$E$1315, $A5)</f>
        <v>7</v>
      </c>
      <c r="AK5">
        <f>SUMIFS(DataRegularSeason20242025!$AA$3:$AA$1315,DataRegularSeason20242025!$B$3:$B$1315, "&lt;=" &amp; AK$1, DataRegularSeason20242025!$D$3:$D$1315, $A5)+SUMIFS(DataRegularSeason20242025!$AB$3:$AB$1315,DataRegularSeason20242025!$B$3:$B$1315, "&lt;=" &amp; AK$1, DataRegularSeason20242025!$E$3:$E$1315, $A5)</f>
        <v>7</v>
      </c>
      <c r="AL5">
        <f>SUMIFS(DataRegularSeason20242025!$AA$3:$AA$1315,DataRegularSeason20242025!$B$3:$B$1315, "&lt;=" &amp; AL$1, DataRegularSeason20242025!$D$3:$D$1315, $A5)+SUMIFS(DataRegularSeason20242025!$AB$3:$AB$1315,DataRegularSeason20242025!$B$3:$B$1315, "&lt;=" &amp; AL$1, DataRegularSeason20242025!$E$3:$E$1315, $A5)</f>
        <v>7</v>
      </c>
      <c r="AM5">
        <f>SUMIFS(DataRegularSeason20242025!$AA$3:$AA$1315,DataRegularSeason20242025!$B$3:$B$1315, "&lt;=" &amp; AM$1, DataRegularSeason20242025!$D$3:$D$1315, $A5)+SUMIFS(DataRegularSeason20242025!$AB$3:$AB$1315,DataRegularSeason20242025!$B$3:$B$1315, "&lt;=" &amp; AM$1, DataRegularSeason20242025!$E$3:$E$1315, $A5)</f>
        <v>7</v>
      </c>
      <c r="AN5">
        <f>SUMIFS(DataRegularSeason20242025!$AA$3:$AA$1315,DataRegularSeason20242025!$B$3:$B$1315, "&lt;=" &amp; AN$1, DataRegularSeason20242025!$D$3:$D$1315, $A5)+SUMIFS(DataRegularSeason20242025!$AB$3:$AB$1315,DataRegularSeason20242025!$B$3:$B$1315, "&lt;=" &amp; AN$1, DataRegularSeason20242025!$E$3:$E$1315, $A5)</f>
        <v>7</v>
      </c>
      <c r="AO5">
        <f>SUMIFS(DataRegularSeason20242025!$AA$3:$AA$1315,DataRegularSeason20242025!$B$3:$B$1315, "&lt;=" &amp; AO$1, DataRegularSeason20242025!$D$3:$D$1315, $A5)+SUMIFS(DataRegularSeason20242025!$AB$3:$AB$1315,DataRegularSeason20242025!$B$3:$B$1315, "&lt;=" &amp; AO$1, DataRegularSeason20242025!$E$3:$E$1315, $A5)</f>
        <v>7</v>
      </c>
      <c r="AP5">
        <f>SUMIFS(DataRegularSeason20242025!$AA$3:$AA$1315,DataRegularSeason20242025!$B$3:$B$1315, "&lt;=" &amp; AP$1, DataRegularSeason20242025!$D$3:$D$1315, $A5)+SUMIFS(DataRegularSeason20242025!$AB$3:$AB$1315,DataRegularSeason20242025!$B$3:$B$1315, "&lt;=" &amp; AP$1, DataRegularSeason20242025!$E$3:$E$1315, $A5)</f>
        <v>7</v>
      </c>
      <c r="AQ5">
        <f>SUMIFS(DataRegularSeason20242025!$AA$3:$AA$1315,DataRegularSeason20242025!$B$3:$B$1315, "&lt;=" &amp; AQ$1, DataRegularSeason20242025!$D$3:$D$1315, $A5)+SUMIFS(DataRegularSeason20242025!$AB$3:$AB$1315,DataRegularSeason20242025!$B$3:$B$1315, "&lt;=" &amp; AQ$1, DataRegularSeason20242025!$E$3:$E$1315, $A5)</f>
        <v>7</v>
      </c>
      <c r="AR5">
        <f>SUMIFS(DataRegularSeason20242025!$AA$3:$AA$1315,DataRegularSeason20242025!$B$3:$B$1315, "&lt;=" &amp; AR$1, DataRegularSeason20242025!$D$3:$D$1315, $A5)+SUMIFS(DataRegularSeason20242025!$AB$3:$AB$1315,DataRegularSeason20242025!$B$3:$B$1315, "&lt;=" &amp; AR$1, DataRegularSeason20242025!$E$3:$E$1315, $A5)</f>
        <v>7</v>
      </c>
      <c r="AS5">
        <f>SUMIFS(DataRegularSeason20242025!$AA$3:$AA$1315,DataRegularSeason20242025!$B$3:$B$1315, "&lt;=" &amp; AS$1, DataRegularSeason20242025!$D$3:$D$1315, $A5)+SUMIFS(DataRegularSeason20242025!$AB$3:$AB$1315,DataRegularSeason20242025!$B$3:$B$1315, "&lt;=" &amp; AS$1, DataRegularSeason20242025!$E$3:$E$1315, $A5)</f>
        <v>7</v>
      </c>
      <c r="AT5">
        <f>SUMIFS(DataRegularSeason20242025!$AA$3:$AA$1315,DataRegularSeason20242025!$B$3:$B$1315, "&lt;=" &amp; AT$1, DataRegularSeason20242025!$D$3:$D$1315, $A5)+SUMIFS(DataRegularSeason20242025!$AB$3:$AB$1315,DataRegularSeason20242025!$B$3:$B$1315, "&lt;=" &amp; AT$1, DataRegularSeason20242025!$E$3:$E$1315, $A5)</f>
        <v>7</v>
      </c>
      <c r="AU5">
        <f>SUMIFS(DataRegularSeason20242025!$AA$3:$AA$1315,DataRegularSeason20242025!$B$3:$B$1315, "&lt;=" &amp; AU$1, DataRegularSeason20242025!$D$3:$D$1315, $A5)+SUMIFS(DataRegularSeason20242025!$AB$3:$AB$1315,DataRegularSeason20242025!$B$3:$B$1315, "&lt;=" &amp; AU$1, DataRegularSeason20242025!$E$3:$E$1315, $A5)</f>
        <v>7</v>
      </c>
      <c r="AV5">
        <f>SUMIFS(DataRegularSeason20242025!$AA$3:$AA$1315,DataRegularSeason20242025!$B$3:$B$1315, "&lt;=" &amp; AV$1, DataRegularSeason20242025!$D$3:$D$1315, $A5)+SUMIFS(DataRegularSeason20242025!$AB$3:$AB$1315,DataRegularSeason20242025!$B$3:$B$1315, "&lt;=" &amp; AV$1, DataRegularSeason20242025!$E$3:$E$1315, $A5)</f>
        <v>7</v>
      </c>
      <c r="AW5">
        <f>SUMIFS(DataRegularSeason20242025!$AA$3:$AA$1315,DataRegularSeason20242025!$B$3:$B$1315, "&lt;=" &amp; AW$1, DataRegularSeason20242025!$D$3:$D$1315, $A5)+SUMIFS(DataRegularSeason20242025!$AB$3:$AB$1315,DataRegularSeason20242025!$B$3:$B$1315, "&lt;=" &amp; AW$1, DataRegularSeason20242025!$E$3:$E$1315, $A5)</f>
        <v>7</v>
      </c>
      <c r="AX5">
        <f>SUMIFS(DataRegularSeason20242025!$AA$3:$AA$1315,DataRegularSeason20242025!$B$3:$B$1315, "&lt;=" &amp; AX$1, DataRegularSeason20242025!$D$3:$D$1315, $A5)+SUMIFS(DataRegularSeason20242025!$AB$3:$AB$1315,DataRegularSeason20242025!$B$3:$B$1315, "&lt;=" &amp; AX$1, DataRegularSeason20242025!$E$3:$E$1315, $A5)</f>
        <v>7</v>
      </c>
      <c r="AY5">
        <f>SUMIFS(DataRegularSeason20242025!$AA$3:$AA$1315,DataRegularSeason20242025!$B$3:$B$1315, "&lt;=" &amp; AY$1, DataRegularSeason20242025!$D$3:$D$1315, $A5)+SUMIFS(DataRegularSeason20242025!$AB$3:$AB$1315,DataRegularSeason20242025!$B$3:$B$1315, "&lt;=" &amp; AY$1, DataRegularSeason20242025!$E$3:$E$1315, $A5)</f>
        <v>7</v>
      </c>
      <c r="AZ5">
        <f>SUMIFS(DataRegularSeason20242025!$AA$3:$AA$1315,DataRegularSeason20242025!$B$3:$B$1315, "&lt;=" &amp; AZ$1, DataRegularSeason20242025!$D$3:$D$1315, $A5)+SUMIFS(DataRegularSeason20242025!$AB$3:$AB$1315,DataRegularSeason20242025!$B$3:$B$1315, "&lt;=" &amp; AZ$1, DataRegularSeason20242025!$E$3:$E$1315, $A5)</f>
        <v>7</v>
      </c>
      <c r="BA5">
        <f>SUMIFS(DataRegularSeason20242025!$AA$3:$AA$1315,DataRegularSeason20242025!$B$3:$B$1315, "&lt;=" &amp; BA$1, DataRegularSeason20242025!$D$3:$D$1315, $A5)+SUMIFS(DataRegularSeason20242025!$AB$3:$AB$1315,DataRegularSeason20242025!$B$3:$B$1315, "&lt;=" &amp; BA$1, DataRegularSeason20242025!$E$3:$E$1315, $A5)</f>
        <v>7</v>
      </c>
      <c r="BB5">
        <f>SUMIFS(DataRegularSeason20242025!$AA$3:$AA$1315,DataRegularSeason20242025!$B$3:$B$1315, "&lt;=" &amp; BB$1, DataRegularSeason20242025!$D$3:$D$1315, $A5)+SUMIFS(DataRegularSeason20242025!$AB$3:$AB$1315,DataRegularSeason20242025!$B$3:$B$1315, "&lt;=" &amp; BB$1, DataRegularSeason20242025!$E$3:$E$1315, $A5)</f>
        <v>7</v>
      </c>
      <c r="BC5">
        <f>SUMIFS(DataRegularSeason20242025!$AA$3:$AA$1315,DataRegularSeason20242025!$B$3:$B$1315, "&lt;=" &amp; BC$1, DataRegularSeason20242025!$D$3:$D$1315, $A5)+SUMIFS(DataRegularSeason20242025!$AB$3:$AB$1315,DataRegularSeason20242025!$B$3:$B$1315, "&lt;=" &amp; BC$1, DataRegularSeason20242025!$E$3:$E$1315, $A5)</f>
        <v>7</v>
      </c>
      <c r="BD5">
        <f>SUMIFS(DataRegularSeason20242025!$AA$3:$AA$1315,DataRegularSeason20242025!$B$3:$B$1315, "&lt;=" &amp; BD$1, DataRegularSeason20242025!$D$3:$D$1315, $A5)+SUMIFS(DataRegularSeason20242025!$AB$3:$AB$1315,DataRegularSeason20242025!$B$3:$B$1315, "&lt;=" &amp; BD$1, DataRegularSeason20242025!$E$3:$E$1315, $A5)</f>
        <v>7</v>
      </c>
      <c r="BE5">
        <f>SUMIFS(DataRegularSeason20242025!$AA$3:$AA$1315,DataRegularSeason20242025!$B$3:$B$1315, "&lt;=" &amp; BE$1, DataRegularSeason20242025!$D$3:$D$1315, $A5)+SUMIFS(DataRegularSeason20242025!$AB$3:$AB$1315,DataRegularSeason20242025!$B$3:$B$1315, "&lt;=" &amp; BE$1, DataRegularSeason20242025!$E$3:$E$1315, $A5)</f>
        <v>7</v>
      </c>
      <c r="BF5">
        <f>SUMIFS(DataRegularSeason20242025!$AA$3:$AA$1315,DataRegularSeason20242025!$B$3:$B$1315, "&lt;=" &amp; BF$1, DataRegularSeason20242025!$D$3:$D$1315, $A5)+SUMIFS(DataRegularSeason20242025!$AB$3:$AB$1315,DataRegularSeason20242025!$B$3:$B$1315, "&lt;=" &amp; BF$1, DataRegularSeason20242025!$E$3:$E$1315, $A5)</f>
        <v>7</v>
      </c>
      <c r="BG5">
        <f>SUMIFS(DataRegularSeason20242025!$AA$3:$AA$1315,DataRegularSeason20242025!$B$3:$B$1315, "&lt;=" &amp; BG$1, DataRegularSeason20242025!$D$3:$D$1315, $A5)+SUMIFS(DataRegularSeason20242025!$AB$3:$AB$1315,DataRegularSeason20242025!$B$3:$B$1315, "&lt;=" &amp; BG$1, DataRegularSeason20242025!$E$3:$E$1315, $A5)</f>
        <v>7</v>
      </c>
      <c r="BH5">
        <f>SUMIFS(DataRegularSeason20242025!$AA$3:$AA$1315,DataRegularSeason20242025!$B$3:$B$1315, "&lt;=" &amp; BH$1, DataRegularSeason20242025!$D$3:$D$1315, $A5)+SUMIFS(DataRegularSeason20242025!$AB$3:$AB$1315,DataRegularSeason20242025!$B$3:$B$1315, "&lt;=" &amp; BH$1, DataRegularSeason20242025!$E$3:$E$1315, $A5)</f>
        <v>7</v>
      </c>
      <c r="BI5">
        <f>SUMIFS(DataRegularSeason20242025!$AA$3:$AA$1315,DataRegularSeason20242025!$B$3:$B$1315, "&lt;=" &amp; BI$1, DataRegularSeason20242025!$D$3:$D$1315, $A5)+SUMIFS(DataRegularSeason20242025!$AB$3:$AB$1315,DataRegularSeason20242025!$B$3:$B$1315, "&lt;=" &amp; BI$1, DataRegularSeason20242025!$E$3:$E$1315, $A5)</f>
        <v>7</v>
      </c>
      <c r="BJ5">
        <f>SUMIFS(DataRegularSeason20242025!$AA$3:$AA$1315,DataRegularSeason20242025!$B$3:$B$1315, "&lt;=" &amp; BJ$1, DataRegularSeason20242025!$D$3:$D$1315, $A5)+SUMIFS(DataRegularSeason20242025!$AB$3:$AB$1315,DataRegularSeason20242025!$B$3:$B$1315, "&lt;=" &amp; BJ$1, DataRegularSeason20242025!$E$3:$E$1315, $A5)</f>
        <v>7</v>
      </c>
      <c r="BK5">
        <f>SUMIFS(DataRegularSeason20242025!$AA$3:$AA$1315,DataRegularSeason20242025!$B$3:$B$1315, "&lt;=" &amp; BK$1, DataRegularSeason20242025!$D$3:$D$1315, $A5)+SUMIFS(DataRegularSeason20242025!$AB$3:$AB$1315,DataRegularSeason20242025!$B$3:$B$1315, "&lt;=" &amp; BK$1, DataRegularSeason20242025!$E$3:$E$1315, $A5)</f>
        <v>7</v>
      </c>
      <c r="BL5">
        <f>SUMIFS(DataRegularSeason20242025!$AA$3:$AA$1315,DataRegularSeason20242025!$B$3:$B$1315, "&lt;=" &amp; BL$1, DataRegularSeason20242025!$D$3:$D$1315, $A5)+SUMIFS(DataRegularSeason20242025!$AB$3:$AB$1315,DataRegularSeason20242025!$B$3:$B$1315, "&lt;=" &amp; BL$1, DataRegularSeason20242025!$E$3:$E$1315, $A5)</f>
        <v>7</v>
      </c>
      <c r="BM5">
        <f>SUMIFS(DataRegularSeason20242025!$AA$3:$AA$1315,DataRegularSeason20242025!$B$3:$B$1315, "&lt;=" &amp; BM$1, DataRegularSeason20242025!$D$3:$D$1315, $A5)+SUMIFS(DataRegularSeason20242025!$AB$3:$AB$1315,DataRegularSeason20242025!$B$3:$B$1315, "&lt;=" &amp; BM$1, DataRegularSeason20242025!$E$3:$E$1315, $A5)</f>
        <v>7</v>
      </c>
      <c r="BN5">
        <f>SUMIFS(DataRegularSeason20242025!$AA$3:$AA$1315,DataRegularSeason20242025!$B$3:$B$1315, "&lt;=" &amp; BN$1, DataRegularSeason20242025!$D$3:$D$1315, $A5)+SUMIFS(DataRegularSeason20242025!$AB$3:$AB$1315,DataRegularSeason20242025!$B$3:$B$1315, "&lt;=" &amp; BN$1, DataRegularSeason20242025!$E$3:$E$1315, $A5)</f>
        <v>7</v>
      </c>
      <c r="BO5">
        <f>SUMIFS(DataRegularSeason20242025!$AA$3:$AA$1315,DataRegularSeason20242025!$B$3:$B$1315, "&lt;=" &amp; BO$1, DataRegularSeason20242025!$D$3:$D$1315, $A5)+SUMIFS(DataRegularSeason20242025!$AB$3:$AB$1315,DataRegularSeason20242025!$B$3:$B$1315, "&lt;=" &amp; BO$1, DataRegularSeason20242025!$E$3:$E$1315, $A5)</f>
        <v>7</v>
      </c>
      <c r="BP5">
        <f>SUMIFS(DataRegularSeason20242025!$AA$3:$AA$1315,DataRegularSeason20242025!$B$3:$B$1315, "&lt;=" &amp; BP$1, DataRegularSeason20242025!$D$3:$D$1315, $A5)+SUMIFS(DataRegularSeason20242025!$AB$3:$AB$1315,DataRegularSeason20242025!$B$3:$B$1315, "&lt;=" &amp; BP$1, DataRegularSeason20242025!$E$3:$E$1315, $A5)</f>
        <v>7</v>
      </c>
      <c r="BQ5">
        <f>SUMIFS(DataRegularSeason20242025!$AA$3:$AA$1315,DataRegularSeason20242025!$B$3:$B$1315, "&lt;=" &amp; BQ$1, DataRegularSeason20242025!$D$3:$D$1315, $A5)+SUMIFS(DataRegularSeason20242025!$AB$3:$AB$1315,DataRegularSeason20242025!$B$3:$B$1315, "&lt;=" &amp; BQ$1, DataRegularSeason20242025!$E$3:$E$1315, $A5)</f>
        <v>7</v>
      </c>
      <c r="BR5">
        <f>SUMIFS(DataRegularSeason20242025!$AA$3:$AA$1315,DataRegularSeason20242025!$B$3:$B$1315, "&lt;=" &amp; BR$1, DataRegularSeason20242025!$D$3:$D$1315, $A5)+SUMIFS(DataRegularSeason20242025!$AB$3:$AB$1315,DataRegularSeason20242025!$B$3:$B$1315, "&lt;=" &amp; BR$1, DataRegularSeason20242025!$E$3:$E$1315, $A5)</f>
        <v>7</v>
      </c>
      <c r="BS5">
        <f>SUMIFS(DataRegularSeason20242025!$AA$3:$AA$1315,DataRegularSeason20242025!$B$3:$B$1315, "&lt;=" &amp; BS$1, DataRegularSeason20242025!$D$3:$D$1315, $A5)+SUMIFS(DataRegularSeason20242025!$AB$3:$AB$1315,DataRegularSeason20242025!$B$3:$B$1315, "&lt;=" &amp; BS$1, DataRegularSeason20242025!$E$3:$E$1315, $A5)</f>
        <v>7</v>
      </c>
      <c r="BT5">
        <f>SUMIFS(DataRegularSeason20242025!$AA$3:$AA$1315,DataRegularSeason20242025!$B$3:$B$1315, "&lt;=" &amp; BT$1, DataRegularSeason20242025!$D$3:$D$1315, $A5)+SUMIFS(DataRegularSeason20242025!$AB$3:$AB$1315,DataRegularSeason20242025!$B$3:$B$1315, "&lt;=" &amp; BT$1, DataRegularSeason20242025!$E$3:$E$1315, $A5)</f>
        <v>7</v>
      </c>
      <c r="BU5">
        <f>SUMIFS(DataRegularSeason20242025!$AA$3:$AA$1315,DataRegularSeason20242025!$B$3:$B$1315, "&lt;=" &amp; BU$1, DataRegularSeason20242025!$D$3:$D$1315, $A5)+SUMIFS(DataRegularSeason20242025!$AB$3:$AB$1315,DataRegularSeason20242025!$B$3:$B$1315, "&lt;=" &amp; BU$1, DataRegularSeason20242025!$E$3:$E$1315, $A5)</f>
        <v>7</v>
      </c>
      <c r="BV5">
        <f>SUMIFS(DataRegularSeason20242025!$AA$3:$AA$1315,DataRegularSeason20242025!$B$3:$B$1315, "&lt;=" &amp; BV$1, DataRegularSeason20242025!$D$3:$D$1315, $A5)+SUMIFS(DataRegularSeason20242025!$AB$3:$AB$1315,DataRegularSeason20242025!$B$3:$B$1315, "&lt;=" &amp; BV$1, DataRegularSeason20242025!$E$3:$E$1315, $A5)</f>
        <v>7</v>
      </c>
      <c r="BW5">
        <f>SUMIFS(DataRegularSeason20242025!$AA$3:$AA$1315,DataRegularSeason20242025!$B$3:$B$1315, "&lt;=" &amp; BW$1, DataRegularSeason20242025!$D$3:$D$1315, $A5)+SUMIFS(DataRegularSeason20242025!$AB$3:$AB$1315,DataRegularSeason20242025!$B$3:$B$1315, "&lt;=" &amp; BW$1, DataRegularSeason20242025!$E$3:$E$1315, $A5)</f>
        <v>7</v>
      </c>
      <c r="BX5">
        <f>SUMIFS(DataRegularSeason20242025!$AA$3:$AA$1315,DataRegularSeason20242025!$B$3:$B$1315, "&lt;=" &amp; BX$1, DataRegularSeason20242025!$D$3:$D$1315, $A5)+SUMIFS(DataRegularSeason20242025!$AB$3:$AB$1315,DataRegularSeason20242025!$B$3:$B$1315, "&lt;=" &amp; BX$1, DataRegularSeason20242025!$E$3:$E$1315, $A5)</f>
        <v>7</v>
      </c>
      <c r="BY5">
        <f>SUMIFS(DataRegularSeason20242025!$AA$3:$AA$1315,DataRegularSeason20242025!$B$3:$B$1315, "&lt;=" &amp; BY$1, DataRegularSeason20242025!$D$3:$D$1315, $A5)+SUMIFS(DataRegularSeason20242025!$AB$3:$AB$1315,DataRegularSeason20242025!$B$3:$B$1315, "&lt;=" &amp; BY$1, DataRegularSeason20242025!$E$3:$E$1315, $A5)</f>
        <v>7</v>
      </c>
      <c r="BZ5">
        <f>SUMIFS(DataRegularSeason20242025!$AA$3:$AA$1315,DataRegularSeason20242025!$B$3:$B$1315, "&lt;=" &amp; BZ$1, DataRegularSeason20242025!$D$3:$D$1315, $A5)+SUMIFS(DataRegularSeason20242025!$AB$3:$AB$1315,DataRegularSeason20242025!$B$3:$B$1315, "&lt;=" &amp; BZ$1, DataRegularSeason20242025!$E$3:$E$1315, $A5)</f>
        <v>7</v>
      </c>
      <c r="CA5">
        <f>SUMIFS(DataRegularSeason20242025!$AA$3:$AA$1315,DataRegularSeason20242025!$B$3:$B$1315, "&lt;=" &amp; CA$1, DataRegularSeason20242025!$D$3:$D$1315, $A5)+SUMIFS(DataRegularSeason20242025!$AB$3:$AB$1315,DataRegularSeason20242025!$B$3:$B$1315, "&lt;=" &amp; CA$1, DataRegularSeason20242025!$E$3:$E$1315, $A5)</f>
        <v>7</v>
      </c>
      <c r="CB5">
        <f>SUMIFS(DataRegularSeason20242025!$AA$3:$AA$1315,DataRegularSeason20242025!$B$3:$B$1315, "&lt;=" &amp; CB$1, DataRegularSeason20242025!$D$3:$D$1315, $A5)+SUMIFS(DataRegularSeason20242025!$AB$3:$AB$1315,DataRegularSeason20242025!$B$3:$B$1315, "&lt;=" &amp; CB$1, DataRegularSeason20242025!$E$3:$E$1315, $A5)</f>
        <v>7</v>
      </c>
      <c r="CC5">
        <f>SUMIFS(DataRegularSeason20242025!$AA$3:$AA$1315,DataRegularSeason20242025!$B$3:$B$1315, "&lt;=" &amp; CC$1, DataRegularSeason20242025!$D$3:$D$1315, $A5)+SUMIFS(DataRegularSeason20242025!$AB$3:$AB$1315,DataRegularSeason20242025!$B$3:$B$1315, "&lt;=" &amp; CC$1, DataRegularSeason20242025!$E$3:$E$1315, $A5)</f>
        <v>7</v>
      </c>
      <c r="CD5">
        <f>SUMIFS(DataRegularSeason20242025!$AA$3:$AA$1315,DataRegularSeason20242025!$B$3:$B$1315, "&lt;=" &amp; CD$1, DataRegularSeason20242025!$D$3:$D$1315, $A5)+SUMIFS(DataRegularSeason20242025!$AB$3:$AB$1315,DataRegularSeason20242025!$B$3:$B$1315, "&lt;=" &amp; CD$1, DataRegularSeason20242025!$E$3:$E$1315, $A5)</f>
        <v>7</v>
      </c>
      <c r="CE5">
        <f>SUMIFS(DataRegularSeason20242025!$AA$3:$AA$1315,DataRegularSeason20242025!$B$3:$B$1315, "&lt;=" &amp; CE$1, DataRegularSeason20242025!$D$3:$D$1315, $A5)+SUMIFS(DataRegularSeason20242025!$AB$3:$AB$1315,DataRegularSeason20242025!$B$3:$B$1315, "&lt;=" &amp; CE$1, DataRegularSeason20242025!$E$3:$E$1315, $A5)</f>
        <v>7</v>
      </c>
      <c r="CF5">
        <f>SUMIFS(DataRegularSeason20242025!$AA$3:$AA$1315,DataRegularSeason20242025!$B$3:$B$1315, "&lt;=" &amp; CF$1, DataRegularSeason20242025!$D$3:$D$1315, $A5)+SUMIFS(DataRegularSeason20242025!$AB$3:$AB$1315,DataRegularSeason20242025!$B$3:$B$1315, "&lt;=" &amp; CF$1, DataRegularSeason20242025!$E$3:$E$1315, $A5)</f>
        <v>7</v>
      </c>
      <c r="CG5">
        <f>SUMIFS(DataRegularSeason20242025!$AA$3:$AA$1315,DataRegularSeason20242025!$B$3:$B$1315, "&lt;=" &amp; CG$1, DataRegularSeason20242025!$D$3:$D$1315, $A5)+SUMIFS(DataRegularSeason20242025!$AB$3:$AB$1315,DataRegularSeason20242025!$B$3:$B$1315, "&lt;=" &amp; CG$1, DataRegularSeason20242025!$E$3:$E$1315, $A5)</f>
        <v>7</v>
      </c>
      <c r="CH5">
        <f>SUMIFS(DataRegularSeason20242025!$AA$3:$AA$1315,DataRegularSeason20242025!$B$3:$B$1315, "&lt;=" &amp; CH$1, DataRegularSeason20242025!$D$3:$D$1315, $A5)+SUMIFS(DataRegularSeason20242025!$AB$3:$AB$1315,DataRegularSeason20242025!$B$3:$B$1315, "&lt;=" &amp; CH$1, DataRegularSeason20242025!$E$3:$E$1315, $A5)</f>
        <v>7</v>
      </c>
      <c r="CI5">
        <f>SUMIFS(DataRegularSeason20242025!$AA$3:$AA$1315,DataRegularSeason20242025!$B$3:$B$1315, "&lt;=" &amp; CI$1, DataRegularSeason20242025!$D$3:$D$1315, $A5)+SUMIFS(DataRegularSeason20242025!$AB$3:$AB$1315,DataRegularSeason20242025!$B$3:$B$1315, "&lt;=" &amp; CI$1, DataRegularSeason20242025!$E$3:$E$1315, $A5)</f>
        <v>7</v>
      </c>
      <c r="CJ5">
        <f>SUMIFS(DataRegularSeason20242025!$AA$3:$AA$1315,DataRegularSeason20242025!$B$3:$B$1315, "&lt;=" &amp; CJ$1, DataRegularSeason20242025!$D$3:$D$1315, $A5)+SUMIFS(DataRegularSeason20242025!$AB$3:$AB$1315,DataRegularSeason20242025!$B$3:$B$1315, "&lt;=" &amp; CJ$1, DataRegularSeason20242025!$E$3:$E$1315, $A5)</f>
        <v>7</v>
      </c>
      <c r="CK5">
        <f>SUMIFS(DataRegularSeason20242025!$AA$3:$AA$1315,DataRegularSeason20242025!$B$3:$B$1315, "&lt;=" &amp; CK$1, DataRegularSeason20242025!$D$3:$D$1315, $A5)+SUMIFS(DataRegularSeason20242025!$AB$3:$AB$1315,DataRegularSeason20242025!$B$3:$B$1315, "&lt;=" &amp; CK$1, DataRegularSeason20242025!$E$3:$E$1315, $A5)</f>
        <v>7</v>
      </c>
      <c r="CL5">
        <f>SUMIFS(DataRegularSeason20242025!$AA$3:$AA$1315,DataRegularSeason20242025!$B$3:$B$1315, "&lt;=" &amp; CL$1, DataRegularSeason20242025!$D$3:$D$1315, $A5)+SUMIFS(DataRegularSeason20242025!$AB$3:$AB$1315,DataRegularSeason20242025!$B$3:$B$1315, "&lt;=" &amp; CL$1, DataRegularSeason20242025!$E$3:$E$1315, $A5)</f>
        <v>7</v>
      </c>
      <c r="CM5">
        <f>SUMIFS(DataRegularSeason20242025!$AA$3:$AA$1315,DataRegularSeason20242025!$B$3:$B$1315, "&lt;=" &amp; CM$1, DataRegularSeason20242025!$D$3:$D$1315, $A5)+SUMIFS(DataRegularSeason20242025!$AB$3:$AB$1315,DataRegularSeason20242025!$B$3:$B$1315, "&lt;=" &amp; CM$1, DataRegularSeason20242025!$E$3:$E$1315, $A5)</f>
        <v>7</v>
      </c>
      <c r="CN5">
        <f>SUMIFS(DataRegularSeason20242025!$AA$3:$AA$1315,DataRegularSeason20242025!$B$3:$B$1315, "&lt;=" &amp; CN$1, DataRegularSeason20242025!$D$3:$D$1315, $A5)+SUMIFS(DataRegularSeason20242025!$AB$3:$AB$1315,DataRegularSeason20242025!$B$3:$B$1315, "&lt;=" &amp; CN$1, DataRegularSeason20242025!$E$3:$E$1315, $A5)</f>
        <v>7</v>
      </c>
      <c r="CO5">
        <f>SUMIFS(DataRegularSeason20242025!$AA$3:$AA$1315,DataRegularSeason20242025!$B$3:$B$1315, "&lt;=" &amp; CO$1, DataRegularSeason20242025!$D$3:$D$1315, $A5)+SUMIFS(DataRegularSeason20242025!$AB$3:$AB$1315,DataRegularSeason20242025!$B$3:$B$1315, "&lt;=" &amp; CO$1, DataRegularSeason20242025!$E$3:$E$1315, $A5)</f>
        <v>7</v>
      </c>
      <c r="CP5">
        <f>SUMIFS(DataRegularSeason20242025!$AA$3:$AA$1315,DataRegularSeason20242025!$B$3:$B$1315, "&lt;=" &amp; CP$1, DataRegularSeason20242025!$D$3:$D$1315, $A5)+SUMIFS(DataRegularSeason20242025!$AB$3:$AB$1315,DataRegularSeason20242025!$B$3:$B$1315, "&lt;=" &amp; CP$1, DataRegularSeason20242025!$E$3:$E$1315, $A5)</f>
        <v>7</v>
      </c>
      <c r="CQ5">
        <f>SUMIFS(DataRegularSeason20242025!$AA$3:$AA$1315,DataRegularSeason20242025!$B$3:$B$1315, "&lt;=" &amp; CQ$1, DataRegularSeason20242025!$D$3:$D$1315, $A5)+SUMIFS(DataRegularSeason20242025!$AB$3:$AB$1315,DataRegularSeason20242025!$B$3:$B$1315, "&lt;=" &amp; CQ$1, DataRegularSeason20242025!$E$3:$E$1315, $A5)</f>
        <v>7</v>
      </c>
      <c r="CR5">
        <f>SUMIFS(DataRegularSeason20242025!$AA$3:$AA$1315,DataRegularSeason20242025!$B$3:$B$1315, "&lt;=" &amp; CR$1, DataRegularSeason20242025!$D$3:$D$1315, $A5)+SUMIFS(DataRegularSeason20242025!$AB$3:$AB$1315,DataRegularSeason20242025!$B$3:$B$1315, "&lt;=" &amp; CR$1, DataRegularSeason20242025!$E$3:$E$1315, $A5)</f>
        <v>7</v>
      </c>
      <c r="CS5">
        <f>SUMIFS(DataRegularSeason20242025!$AA$3:$AA$1315,DataRegularSeason20242025!$B$3:$B$1315, "&lt;=" &amp; CS$1, DataRegularSeason20242025!$D$3:$D$1315, $A5)+SUMIFS(DataRegularSeason20242025!$AB$3:$AB$1315,DataRegularSeason20242025!$B$3:$B$1315, "&lt;=" &amp; CS$1, DataRegularSeason20242025!$E$3:$E$1315, $A5)</f>
        <v>7</v>
      </c>
      <c r="CT5">
        <f>SUMIFS(DataRegularSeason20242025!$AA$3:$AA$1315,DataRegularSeason20242025!$B$3:$B$1315, "&lt;=" &amp; CT$1, DataRegularSeason20242025!$D$3:$D$1315, $A5)+SUMIFS(DataRegularSeason20242025!$AB$3:$AB$1315,DataRegularSeason20242025!$B$3:$B$1315, "&lt;=" &amp; CT$1, DataRegularSeason20242025!$E$3:$E$1315, $A5)</f>
        <v>7</v>
      </c>
      <c r="CU5">
        <f>SUMIFS(DataRegularSeason20242025!$AA$3:$AA$1315,DataRegularSeason20242025!$B$3:$B$1315, "&lt;=" &amp; CU$1, DataRegularSeason20242025!$D$3:$D$1315, $A5)+SUMIFS(DataRegularSeason20242025!$AB$3:$AB$1315,DataRegularSeason20242025!$B$3:$B$1315, "&lt;=" &amp; CU$1, DataRegularSeason20242025!$E$3:$E$1315, $A5)</f>
        <v>7</v>
      </c>
      <c r="CV5">
        <f>SUMIFS(DataRegularSeason20242025!$AA$3:$AA$1315,DataRegularSeason20242025!$B$3:$B$1315, "&lt;=" &amp; CV$1, DataRegularSeason20242025!$D$3:$D$1315, $A5)+SUMIFS(DataRegularSeason20242025!$AB$3:$AB$1315,DataRegularSeason20242025!$B$3:$B$1315, "&lt;=" &amp; CV$1, DataRegularSeason20242025!$E$3:$E$1315, $A5)</f>
        <v>7</v>
      </c>
      <c r="CW5">
        <f>SUMIFS(DataRegularSeason20242025!$AA$3:$AA$1315,DataRegularSeason20242025!$B$3:$B$1315, "&lt;=" &amp; CW$1, DataRegularSeason20242025!$D$3:$D$1315, $A5)+SUMIFS(DataRegularSeason20242025!$AB$3:$AB$1315,DataRegularSeason20242025!$B$3:$B$1315, "&lt;=" &amp; CW$1, DataRegularSeason20242025!$E$3:$E$1315, $A5)</f>
        <v>7</v>
      </c>
      <c r="CX5">
        <f>SUMIFS(DataRegularSeason20242025!$AA$3:$AA$1315,DataRegularSeason20242025!$B$3:$B$1315, "&lt;=" &amp; CX$1, DataRegularSeason20242025!$D$3:$D$1315, $A5)+SUMIFS(DataRegularSeason20242025!$AB$3:$AB$1315,DataRegularSeason20242025!$B$3:$B$1315, "&lt;=" &amp; CX$1, DataRegularSeason20242025!$E$3:$E$1315, $A5)</f>
        <v>7</v>
      </c>
      <c r="CY5">
        <f>SUMIFS(DataRegularSeason20242025!$AA$3:$AA$1315,DataRegularSeason20242025!$B$3:$B$1315, "&lt;=" &amp; CY$1, DataRegularSeason20242025!$D$3:$D$1315, $A5)+SUMIFS(DataRegularSeason20242025!$AB$3:$AB$1315,DataRegularSeason20242025!$B$3:$B$1315, "&lt;=" &amp; CY$1, DataRegularSeason20242025!$E$3:$E$1315, $A5)</f>
        <v>7</v>
      </c>
      <c r="CZ5">
        <f>SUMIFS(DataRegularSeason20242025!$AA$3:$AA$1315,DataRegularSeason20242025!$B$3:$B$1315, "&lt;=" &amp; CZ$1, DataRegularSeason20242025!$D$3:$D$1315, $A5)+SUMIFS(DataRegularSeason20242025!$AB$3:$AB$1315,DataRegularSeason20242025!$B$3:$B$1315, "&lt;=" &amp; CZ$1, DataRegularSeason20242025!$E$3:$E$1315, $A5)</f>
        <v>7</v>
      </c>
      <c r="DA5">
        <f>SUMIFS(DataRegularSeason20242025!$AA$3:$AA$1315,DataRegularSeason20242025!$B$3:$B$1315, "&lt;=" &amp; DA$1, DataRegularSeason20242025!$D$3:$D$1315, $A5)+SUMIFS(DataRegularSeason20242025!$AB$3:$AB$1315,DataRegularSeason20242025!$B$3:$B$1315, "&lt;=" &amp; DA$1, DataRegularSeason20242025!$E$3:$E$1315, $A5)</f>
        <v>7</v>
      </c>
      <c r="DB5">
        <f>SUMIFS(DataRegularSeason20242025!$AA$3:$AA$1315,DataRegularSeason20242025!$B$3:$B$1315, "&lt;=" &amp; DB$1, DataRegularSeason20242025!$D$3:$D$1315, $A5)+SUMIFS(DataRegularSeason20242025!$AB$3:$AB$1315,DataRegularSeason20242025!$B$3:$B$1315, "&lt;=" &amp; DB$1, DataRegularSeason20242025!$E$3:$E$1315, $A5)</f>
        <v>7</v>
      </c>
      <c r="DC5">
        <f>SUMIFS(DataRegularSeason20242025!$AA$3:$AA$1315,DataRegularSeason20242025!$B$3:$B$1315, "&lt;=" &amp; DC$1, DataRegularSeason20242025!$D$3:$D$1315, $A5)+SUMIFS(DataRegularSeason20242025!$AB$3:$AB$1315,DataRegularSeason20242025!$B$3:$B$1315, "&lt;=" &amp; DC$1, DataRegularSeason20242025!$E$3:$E$1315, $A5)</f>
        <v>7</v>
      </c>
      <c r="DD5">
        <f>SUMIFS(DataRegularSeason20242025!$AA$3:$AA$1315,DataRegularSeason20242025!$B$3:$B$1315, "&lt;=" &amp; DD$1, DataRegularSeason20242025!$D$3:$D$1315, $A5)+SUMIFS(DataRegularSeason20242025!$AB$3:$AB$1315,DataRegularSeason20242025!$B$3:$B$1315, "&lt;=" &amp; DD$1, DataRegularSeason20242025!$E$3:$E$1315, $A5)</f>
        <v>7</v>
      </c>
      <c r="DE5">
        <f>SUMIFS(DataRegularSeason20242025!$AA$3:$AA$1315,DataRegularSeason20242025!$B$3:$B$1315, "&lt;=" &amp; DE$1, DataRegularSeason20242025!$D$3:$D$1315, $A5)+SUMIFS(DataRegularSeason20242025!$AB$3:$AB$1315,DataRegularSeason20242025!$B$3:$B$1315, "&lt;=" &amp; DE$1, DataRegularSeason20242025!$E$3:$E$1315, $A5)</f>
        <v>7</v>
      </c>
      <c r="DF5">
        <f>SUMIFS(DataRegularSeason20242025!$AA$3:$AA$1315,DataRegularSeason20242025!$B$3:$B$1315, "&lt;=" &amp; DF$1, DataRegularSeason20242025!$D$3:$D$1315, $A5)+SUMIFS(DataRegularSeason20242025!$AB$3:$AB$1315,DataRegularSeason20242025!$B$3:$B$1315, "&lt;=" &amp; DF$1, DataRegularSeason20242025!$E$3:$E$1315, $A5)</f>
        <v>7</v>
      </c>
      <c r="DG5">
        <f>SUMIFS(DataRegularSeason20242025!$AA$3:$AA$1315,DataRegularSeason20242025!$B$3:$B$1315, "&lt;=" &amp; DG$1, DataRegularSeason20242025!$D$3:$D$1315, $A5)+SUMIFS(DataRegularSeason20242025!$AB$3:$AB$1315,DataRegularSeason20242025!$B$3:$B$1315, "&lt;=" &amp; DG$1, DataRegularSeason20242025!$E$3:$E$1315, $A5)</f>
        <v>7</v>
      </c>
      <c r="DH5">
        <f>SUMIFS(DataRegularSeason20242025!$AA$3:$AA$1315,DataRegularSeason20242025!$B$3:$B$1315, "&lt;=" &amp; DH$1, DataRegularSeason20242025!$D$3:$D$1315, $A5)+SUMIFS(DataRegularSeason20242025!$AB$3:$AB$1315,DataRegularSeason20242025!$B$3:$B$1315, "&lt;=" &amp; DH$1, DataRegularSeason20242025!$E$3:$E$1315, $A5)</f>
        <v>7</v>
      </c>
      <c r="DI5">
        <f>SUMIFS(DataRegularSeason20242025!$AA$3:$AA$1315,DataRegularSeason20242025!$B$3:$B$1315, "&lt;=" &amp; DI$1, DataRegularSeason20242025!$D$3:$D$1315, $A5)+SUMIFS(DataRegularSeason20242025!$AB$3:$AB$1315,DataRegularSeason20242025!$B$3:$B$1315, "&lt;=" &amp; DI$1, DataRegularSeason20242025!$E$3:$E$1315, $A5)</f>
        <v>7</v>
      </c>
      <c r="DJ5">
        <f>SUMIFS(DataRegularSeason20242025!$AA$3:$AA$1315,DataRegularSeason20242025!$B$3:$B$1315, "&lt;=" &amp; DJ$1, DataRegularSeason20242025!$D$3:$D$1315, $A5)+SUMIFS(DataRegularSeason20242025!$AB$3:$AB$1315,DataRegularSeason20242025!$B$3:$B$1315, "&lt;=" &amp; DJ$1, DataRegularSeason20242025!$E$3:$E$1315, $A5)</f>
        <v>7</v>
      </c>
      <c r="DK5">
        <f>SUMIFS(DataRegularSeason20242025!$AA$3:$AA$1315,DataRegularSeason20242025!$B$3:$B$1315, "&lt;=" &amp; DK$1, DataRegularSeason20242025!$D$3:$D$1315, $A5)+SUMIFS(DataRegularSeason20242025!$AB$3:$AB$1315,DataRegularSeason20242025!$B$3:$B$1315, "&lt;=" &amp; DK$1, DataRegularSeason20242025!$E$3:$E$1315, $A5)</f>
        <v>7</v>
      </c>
      <c r="DL5">
        <f>SUMIFS(DataRegularSeason20242025!$AA$3:$AA$1315,DataRegularSeason20242025!$B$3:$B$1315, "&lt;=" &amp; DL$1, DataRegularSeason20242025!$D$3:$D$1315, $A5)+SUMIFS(DataRegularSeason20242025!$AB$3:$AB$1315,DataRegularSeason20242025!$B$3:$B$1315, "&lt;=" &amp; DL$1, DataRegularSeason20242025!$E$3:$E$1315, $A5)</f>
        <v>7</v>
      </c>
      <c r="DM5">
        <f>SUMIFS(DataRegularSeason20242025!$AA$3:$AA$1315,DataRegularSeason20242025!$B$3:$B$1315, "&lt;=" &amp; DM$1, DataRegularSeason20242025!$D$3:$D$1315, $A5)+SUMIFS(DataRegularSeason20242025!$AB$3:$AB$1315,DataRegularSeason20242025!$B$3:$B$1315, "&lt;=" &amp; DM$1, DataRegularSeason20242025!$E$3:$E$1315, $A5)</f>
        <v>7</v>
      </c>
      <c r="DN5">
        <f>SUMIFS(DataRegularSeason20242025!$AA$3:$AA$1315,DataRegularSeason20242025!$B$3:$B$1315, "&lt;=" &amp; DN$1, DataRegularSeason20242025!$D$3:$D$1315, $A5)+SUMIFS(DataRegularSeason20242025!$AB$3:$AB$1315,DataRegularSeason20242025!$B$3:$B$1315, "&lt;=" &amp; DN$1, DataRegularSeason20242025!$E$3:$E$1315, $A5)</f>
        <v>7</v>
      </c>
      <c r="DO5">
        <f>SUMIFS(DataRegularSeason20242025!$AA$3:$AA$1315,DataRegularSeason20242025!$B$3:$B$1315, "&lt;=" &amp; DO$1, DataRegularSeason20242025!$D$3:$D$1315, $A5)+SUMIFS(DataRegularSeason20242025!$AB$3:$AB$1315,DataRegularSeason20242025!$B$3:$B$1315, "&lt;=" &amp; DO$1, DataRegularSeason20242025!$E$3:$E$1315, $A5)</f>
        <v>7</v>
      </c>
      <c r="DP5">
        <f>SUMIFS(DataRegularSeason20242025!$AA$3:$AA$1315,DataRegularSeason20242025!$B$3:$B$1315, "&lt;=" &amp; DP$1, DataRegularSeason20242025!$D$3:$D$1315, $A5)+SUMIFS(DataRegularSeason20242025!$AB$3:$AB$1315,DataRegularSeason20242025!$B$3:$B$1315, "&lt;=" &amp; DP$1, DataRegularSeason20242025!$E$3:$E$1315, $A5)</f>
        <v>7</v>
      </c>
      <c r="DQ5">
        <f>SUMIFS(DataRegularSeason20242025!$AA$3:$AA$1315,DataRegularSeason20242025!$B$3:$B$1315, "&lt;=" &amp; DQ$1, DataRegularSeason20242025!$D$3:$D$1315, $A5)+SUMIFS(DataRegularSeason20242025!$AB$3:$AB$1315,DataRegularSeason20242025!$B$3:$B$1315, "&lt;=" &amp; DQ$1, DataRegularSeason20242025!$E$3:$E$1315, $A5)</f>
        <v>7</v>
      </c>
      <c r="DR5">
        <f>SUMIFS(DataRegularSeason20242025!$AA$3:$AA$1315,DataRegularSeason20242025!$B$3:$B$1315, "&lt;=" &amp; DR$1, DataRegularSeason20242025!$D$3:$D$1315, $A5)+SUMIFS(DataRegularSeason20242025!$AB$3:$AB$1315,DataRegularSeason20242025!$B$3:$B$1315, "&lt;=" &amp; DR$1, DataRegularSeason20242025!$E$3:$E$1315, $A5)</f>
        <v>7</v>
      </c>
      <c r="DS5">
        <f>SUMIFS(DataRegularSeason20242025!$AA$3:$AA$1315,DataRegularSeason20242025!$B$3:$B$1315, "&lt;=" &amp; DS$1, DataRegularSeason20242025!$D$3:$D$1315, $A5)+SUMIFS(DataRegularSeason20242025!$AB$3:$AB$1315,DataRegularSeason20242025!$B$3:$B$1315, "&lt;=" &amp; DS$1, DataRegularSeason20242025!$E$3:$E$1315, $A5)</f>
        <v>7</v>
      </c>
      <c r="DT5">
        <f>SUMIFS(DataRegularSeason20242025!$AA$3:$AA$1315,DataRegularSeason20242025!$B$3:$B$1315, "&lt;=" &amp; DT$1, DataRegularSeason20242025!$D$3:$D$1315, $A5)+SUMIFS(DataRegularSeason20242025!$AB$3:$AB$1315,DataRegularSeason20242025!$B$3:$B$1315, "&lt;=" &amp; DT$1, DataRegularSeason20242025!$E$3:$E$1315, $A5)</f>
        <v>7</v>
      </c>
      <c r="DU5">
        <f>SUMIFS(DataRegularSeason20242025!$AA$3:$AA$1315,DataRegularSeason20242025!$B$3:$B$1315, "&lt;=" &amp; DU$1, DataRegularSeason20242025!$D$3:$D$1315, $A5)+SUMIFS(DataRegularSeason20242025!$AB$3:$AB$1315,DataRegularSeason20242025!$B$3:$B$1315, "&lt;=" &amp; DU$1, DataRegularSeason20242025!$E$3:$E$1315, $A5)</f>
        <v>7</v>
      </c>
      <c r="DV5">
        <f>SUMIFS(DataRegularSeason20242025!$AA$3:$AA$1315,DataRegularSeason20242025!$B$3:$B$1315, "&lt;=" &amp; DV$1, DataRegularSeason20242025!$D$3:$D$1315, $A5)+SUMIFS(DataRegularSeason20242025!$AB$3:$AB$1315,DataRegularSeason20242025!$B$3:$B$1315, "&lt;=" &amp; DV$1, DataRegularSeason20242025!$E$3:$E$1315, $A5)</f>
        <v>7</v>
      </c>
      <c r="DW5">
        <f>SUMIFS(DataRegularSeason20242025!$AA$3:$AA$1315,DataRegularSeason20242025!$B$3:$B$1315, "&lt;=" &amp; DW$1, DataRegularSeason20242025!$D$3:$D$1315, $A5)+SUMIFS(DataRegularSeason20242025!$AB$3:$AB$1315,DataRegularSeason20242025!$B$3:$B$1315, "&lt;=" &amp; DW$1, DataRegularSeason20242025!$E$3:$E$1315, $A5)</f>
        <v>7</v>
      </c>
      <c r="DX5">
        <f>SUMIFS(DataRegularSeason20242025!$AA$3:$AA$1315,DataRegularSeason20242025!$B$3:$B$1315, "&lt;=" &amp; DX$1, DataRegularSeason20242025!$D$3:$D$1315, $A5)+SUMIFS(DataRegularSeason20242025!$AB$3:$AB$1315,DataRegularSeason20242025!$B$3:$B$1315, "&lt;=" &amp; DX$1, DataRegularSeason20242025!$E$3:$E$1315, $A5)</f>
        <v>7</v>
      </c>
      <c r="DY5">
        <f>SUMIFS(DataRegularSeason20242025!$AA$3:$AA$1315,DataRegularSeason20242025!$B$3:$B$1315, "&lt;=" &amp; DY$1, DataRegularSeason20242025!$D$3:$D$1315, $A5)+SUMIFS(DataRegularSeason20242025!$AB$3:$AB$1315,DataRegularSeason20242025!$B$3:$B$1315, "&lt;=" &amp; DY$1, DataRegularSeason20242025!$E$3:$E$1315, $A5)</f>
        <v>7</v>
      </c>
      <c r="DZ5">
        <f>SUMIFS(DataRegularSeason20242025!$AA$3:$AA$1315,DataRegularSeason20242025!$B$3:$B$1315, "&lt;=" &amp; DZ$1, DataRegularSeason20242025!$D$3:$D$1315, $A5)+SUMIFS(DataRegularSeason20242025!$AB$3:$AB$1315,DataRegularSeason20242025!$B$3:$B$1315, "&lt;=" &amp; DZ$1, DataRegularSeason20242025!$E$3:$E$1315, $A5)</f>
        <v>7</v>
      </c>
      <c r="EA5">
        <f>SUMIFS(DataRegularSeason20242025!$AA$3:$AA$1315,DataRegularSeason20242025!$B$3:$B$1315, "&lt;=" &amp; EA$1, DataRegularSeason20242025!$D$3:$D$1315, $A5)+SUMIFS(DataRegularSeason20242025!$AB$3:$AB$1315,DataRegularSeason20242025!$B$3:$B$1315, "&lt;=" &amp; EA$1, DataRegularSeason20242025!$E$3:$E$1315, $A5)</f>
        <v>7</v>
      </c>
      <c r="EB5">
        <f>SUMIFS(DataRegularSeason20242025!$AA$3:$AA$1315,DataRegularSeason20242025!$B$3:$B$1315, "&lt;=" &amp; EB$1, DataRegularSeason20242025!$D$3:$D$1315, $A5)+SUMIFS(DataRegularSeason20242025!$AB$3:$AB$1315,DataRegularSeason20242025!$B$3:$B$1315, "&lt;=" &amp; EB$1, DataRegularSeason20242025!$E$3:$E$1315, $A5)</f>
        <v>7</v>
      </c>
      <c r="EC5">
        <f>SUMIFS(DataRegularSeason20242025!$AA$3:$AA$1315,DataRegularSeason20242025!$B$3:$B$1315, "&lt;=" &amp; EC$1, DataRegularSeason20242025!$D$3:$D$1315, $A5)+SUMIFS(DataRegularSeason20242025!$AB$3:$AB$1315,DataRegularSeason20242025!$B$3:$B$1315, "&lt;=" &amp; EC$1, DataRegularSeason20242025!$E$3:$E$1315, $A5)</f>
        <v>7</v>
      </c>
      <c r="ED5">
        <f>SUMIFS(DataRegularSeason20242025!$AA$3:$AA$1315,DataRegularSeason20242025!$B$3:$B$1315, "&lt;=" &amp; ED$1, DataRegularSeason20242025!$D$3:$D$1315, $A5)+SUMIFS(DataRegularSeason20242025!$AB$3:$AB$1315,DataRegularSeason20242025!$B$3:$B$1315, "&lt;=" &amp; ED$1, DataRegularSeason20242025!$E$3:$E$1315, $A5)</f>
        <v>7</v>
      </c>
      <c r="EE5">
        <f>SUMIFS(DataRegularSeason20242025!$AA$3:$AA$1315,DataRegularSeason20242025!$B$3:$B$1315, "&lt;=" &amp; EE$1, DataRegularSeason20242025!$D$3:$D$1315, $A5)+SUMIFS(DataRegularSeason20242025!$AB$3:$AB$1315,DataRegularSeason20242025!$B$3:$B$1315, "&lt;=" &amp; EE$1, DataRegularSeason20242025!$E$3:$E$1315, $A5)</f>
        <v>7</v>
      </c>
      <c r="EF5">
        <f>SUMIFS(DataRegularSeason20242025!$AA$3:$AA$1315,DataRegularSeason20242025!$B$3:$B$1315, "&lt;=" &amp; EF$1, DataRegularSeason20242025!$D$3:$D$1315, $A5)+SUMIFS(DataRegularSeason20242025!$AB$3:$AB$1315,DataRegularSeason20242025!$B$3:$B$1315, "&lt;=" &amp; EF$1, DataRegularSeason20242025!$E$3:$E$1315, $A5)</f>
        <v>7</v>
      </c>
      <c r="EG5">
        <f>SUMIFS(DataRegularSeason20242025!$AA$3:$AA$1315,DataRegularSeason20242025!$B$3:$B$1315, "&lt;=" &amp; EG$1, DataRegularSeason20242025!$D$3:$D$1315, $A5)+SUMIFS(DataRegularSeason20242025!$AB$3:$AB$1315,DataRegularSeason20242025!$B$3:$B$1315, "&lt;=" &amp; EG$1, DataRegularSeason20242025!$E$3:$E$1315, $A5)</f>
        <v>7</v>
      </c>
      <c r="EH5">
        <f>SUMIFS(DataRegularSeason20242025!$AA$3:$AA$1315,DataRegularSeason20242025!$B$3:$B$1315, "&lt;=" &amp; EH$1, DataRegularSeason20242025!$D$3:$D$1315, $A5)+SUMIFS(DataRegularSeason20242025!$AB$3:$AB$1315,DataRegularSeason20242025!$B$3:$B$1315, "&lt;=" &amp; EH$1, DataRegularSeason20242025!$E$3:$E$1315, $A5)</f>
        <v>7</v>
      </c>
      <c r="EI5">
        <f>SUMIFS(DataRegularSeason20242025!$AA$3:$AA$1315,DataRegularSeason20242025!$B$3:$B$1315, "&lt;=" &amp; EI$1, DataRegularSeason20242025!$D$3:$D$1315, $A5)+SUMIFS(DataRegularSeason20242025!$AB$3:$AB$1315,DataRegularSeason20242025!$B$3:$B$1315, "&lt;=" &amp; EI$1, DataRegularSeason20242025!$E$3:$E$1315, $A5)</f>
        <v>7</v>
      </c>
      <c r="EJ5">
        <f>SUMIFS(DataRegularSeason20242025!$AA$3:$AA$1315,DataRegularSeason20242025!$B$3:$B$1315, "&lt;=" &amp; EJ$1, DataRegularSeason20242025!$D$3:$D$1315, $A5)+SUMIFS(DataRegularSeason20242025!$AB$3:$AB$1315,DataRegularSeason20242025!$B$3:$B$1315, "&lt;=" &amp; EJ$1, DataRegularSeason20242025!$E$3:$E$1315, $A5)</f>
        <v>7</v>
      </c>
      <c r="EK5">
        <f>SUMIFS(DataRegularSeason20242025!$AA$3:$AA$1315,DataRegularSeason20242025!$B$3:$B$1315, "&lt;=" &amp; EK$1, DataRegularSeason20242025!$D$3:$D$1315, $A5)+SUMIFS(DataRegularSeason20242025!$AB$3:$AB$1315,DataRegularSeason20242025!$B$3:$B$1315, "&lt;=" &amp; EK$1, DataRegularSeason20242025!$E$3:$E$1315, $A5)</f>
        <v>7</v>
      </c>
      <c r="EL5">
        <f>SUMIFS(DataRegularSeason20242025!$AA$3:$AA$1315,DataRegularSeason20242025!$B$3:$B$1315, "&lt;=" &amp; EL$1, DataRegularSeason20242025!$D$3:$D$1315, $A5)+SUMIFS(DataRegularSeason20242025!$AB$3:$AB$1315,DataRegularSeason20242025!$B$3:$B$1315, "&lt;=" &amp; EL$1, DataRegularSeason20242025!$E$3:$E$1315, $A5)</f>
        <v>7</v>
      </c>
      <c r="EM5">
        <f>SUMIFS(DataRegularSeason20242025!$AA$3:$AA$1315,DataRegularSeason20242025!$B$3:$B$1315, "&lt;=" &amp; EM$1, DataRegularSeason20242025!$D$3:$D$1315, $A5)+SUMIFS(DataRegularSeason20242025!$AB$3:$AB$1315,DataRegularSeason20242025!$B$3:$B$1315, "&lt;=" &amp; EM$1, DataRegularSeason20242025!$E$3:$E$1315, $A5)</f>
        <v>7</v>
      </c>
      <c r="EN5">
        <f>SUMIFS(DataRegularSeason20242025!$AA$3:$AA$1315,DataRegularSeason20242025!$B$3:$B$1315, "&lt;=" &amp; EN$1, DataRegularSeason20242025!$D$3:$D$1315, $A5)+SUMIFS(DataRegularSeason20242025!$AB$3:$AB$1315,DataRegularSeason20242025!$B$3:$B$1315, "&lt;=" &amp; EN$1, DataRegularSeason20242025!$E$3:$E$1315, $A5)</f>
        <v>7</v>
      </c>
      <c r="EO5">
        <f>SUMIFS(DataRegularSeason20242025!$AA$3:$AA$1315,DataRegularSeason20242025!$B$3:$B$1315, "&lt;=" &amp; EO$1, DataRegularSeason20242025!$D$3:$D$1315, $A5)+SUMIFS(DataRegularSeason20242025!$AB$3:$AB$1315,DataRegularSeason20242025!$B$3:$B$1315, "&lt;=" &amp; EO$1, DataRegularSeason20242025!$E$3:$E$1315, $A5)</f>
        <v>7</v>
      </c>
      <c r="EP5">
        <f>SUMIFS(DataRegularSeason20242025!$AA$3:$AA$1315,DataRegularSeason20242025!$B$3:$B$1315, "&lt;=" &amp; EP$1, DataRegularSeason20242025!$D$3:$D$1315, $A5)+SUMIFS(DataRegularSeason20242025!$AB$3:$AB$1315,DataRegularSeason20242025!$B$3:$B$1315, "&lt;=" &amp; EP$1, DataRegularSeason20242025!$E$3:$E$1315, $A5)</f>
        <v>7</v>
      </c>
      <c r="EQ5">
        <f>SUMIFS(DataRegularSeason20242025!$AA$3:$AA$1315,DataRegularSeason20242025!$B$3:$B$1315, "&lt;=" &amp; EQ$1, DataRegularSeason20242025!$D$3:$D$1315, $A5)+SUMIFS(DataRegularSeason20242025!$AB$3:$AB$1315,DataRegularSeason20242025!$B$3:$B$1315, "&lt;=" &amp; EQ$1, DataRegularSeason20242025!$E$3:$E$1315, $A5)</f>
        <v>7</v>
      </c>
      <c r="ER5">
        <f>SUMIFS(DataRegularSeason20242025!$AA$3:$AA$1315,DataRegularSeason20242025!$B$3:$B$1315, "&lt;=" &amp; ER$1, DataRegularSeason20242025!$D$3:$D$1315, $A5)+SUMIFS(DataRegularSeason20242025!$AB$3:$AB$1315,DataRegularSeason20242025!$B$3:$B$1315, "&lt;=" &amp; ER$1, DataRegularSeason20242025!$E$3:$E$1315, $A5)</f>
        <v>7</v>
      </c>
      <c r="ES5">
        <f>SUMIFS(DataRegularSeason20242025!$AA$3:$AA$1315,DataRegularSeason20242025!$B$3:$B$1315, "&lt;=" &amp; ES$1, DataRegularSeason20242025!$D$3:$D$1315, $A5)+SUMIFS(DataRegularSeason20242025!$AB$3:$AB$1315,DataRegularSeason20242025!$B$3:$B$1315, "&lt;=" &amp; ES$1, DataRegularSeason20242025!$E$3:$E$1315, $A5)</f>
        <v>7</v>
      </c>
      <c r="ET5">
        <f>SUMIFS(DataRegularSeason20242025!$AA$3:$AA$1315,DataRegularSeason20242025!$B$3:$B$1315, "&lt;=" &amp; ET$1, DataRegularSeason20242025!$D$3:$D$1315, $A5)+SUMIFS(DataRegularSeason20242025!$AB$3:$AB$1315,DataRegularSeason20242025!$B$3:$B$1315, "&lt;=" &amp; ET$1, DataRegularSeason20242025!$E$3:$E$1315, $A5)</f>
        <v>7</v>
      </c>
      <c r="EU5">
        <f>SUMIFS(DataRegularSeason20242025!$AA$3:$AA$1315,DataRegularSeason20242025!$B$3:$B$1315, "&lt;=" &amp; EU$1, DataRegularSeason20242025!$D$3:$D$1315, $A5)+SUMIFS(DataRegularSeason20242025!$AB$3:$AB$1315,DataRegularSeason20242025!$B$3:$B$1315, "&lt;=" &amp; EU$1, DataRegularSeason20242025!$E$3:$E$1315, $A5)</f>
        <v>7</v>
      </c>
      <c r="EV5">
        <f>SUMIFS(DataRegularSeason20242025!$AA$3:$AA$1315,DataRegularSeason20242025!$B$3:$B$1315, "&lt;=" &amp; EV$1, DataRegularSeason20242025!$D$3:$D$1315, $A5)+SUMIFS(DataRegularSeason20242025!$AB$3:$AB$1315,DataRegularSeason20242025!$B$3:$B$1315, "&lt;=" &amp; EV$1, DataRegularSeason20242025!$E$3:$E$1315, $A5)</f>
        <v>7</v>
      </c>
      <c r="EW5">
        <f>SUMIFS(DataRegularSeason20242025!$AA$3:$AA$1315,DataRegularSeason20242025!$B$3:$B$1315, "&lt;=" &amp; EW$1, DataRegularSeason20242025!$D$3:$D$1315, $A5)+SUMIFS(DataRegularSeason20242025!$AB$3:$AB$1315,DataRegularSeason20242025!$B$3:$B$1315, "&lt;=" &amp; EW$1, DataRegularSeason20242025!$E$3:$E$1315, $A5)</f>
        <v>7</v>
      </c>
      <c r="EX5">
        <f>SUMIFS(DataRegularSeason20242025!$AA$3:$AA$1315,DataRegularSeason20242025!$B$3:$B$1315, "&lt;=" &amp; EX$1, DataRegularSeason20242025!$D$3:$D$1315, $A5)+SUMIFS(DataRegularSeason20242025!$AB$3:$AB$1315,DataRegularSeason20242025!$B$3:$B$1315, "&lt;=" &amp; EX$1, DataRegularSeason20242025!$E$3:$E$1315, $A5)</f>
        <v>7</v>
      </c>
      <c r="EY5">
        <f>SUMIFS(DataRegularSeason20242025!$AA$3:$AA$1315,DataRegularSeason20242025!$B$3:$B$1315, "&lt;=" &amp; EY$1, DataRegularSeason20242025!$D$3:$D$1315, $A5)+SUMIFS(DataRegularSeason20242025!$AB$3:$AB$1315,DataRegularSeason20242025!$B$3:$B$1315, "&lt;=" &amp; EY$1, DataRegularSeason20242025!$E$3:$E$1315, $A5)</f>
        <v>7</v>
      </c>
      <c r="EZ5">
        <f>SUMIFS(DataRegularSeason20242025!$AA$3:$AA$1315,DataRegularSeason20242025!$B$3:$B$1315, "&lt;=" &amp; EZ$1, DataRegularSeason20242025!$D$3:$D$1315, $A5)+SUMIFS(DataRegularSeason20242025!$AB$3:$AB$1315,DataRegularSeason20242025!$B$3:$B$1315, "&lt;=" &amp; EZ$1, DataRegularSeason20242025!$E$3:$E$1315, $A5)</f>
        <v>7</v>
      </c>
      <c r="FA5">
        <f>SUMIFS(DataRegularSeason20242025!$AA$3:$AA$1315,DataRegularSeason20242025!$B$3:$B$1315, "&lt;=" &amp; FA$1, DataRegularSeason20242025!$D$3:$D$1315, $A5)+SUMIFS(DataRegularSeason20242025!$AB$3:$AB$1315,DataRegularSeason20242025!$B$3:$B$1315, "&lt;=" &amp; FA$1, DataRegularSeason20242025!$E$3:$E$1315, $A5)</f>
        <v>7</v>
      </c>
      <c r="FB5">
        <f>SUMIFS(DataRegularSeason20242025!$AA$3:$AA$1315,DataRegularSeason20242025!$B$3:$B$1315, "&lt;=" &amp; FB$1, DataRegularSeason20242025!$D$3:$D$1315, $A5)+SUMIFS(DataRegularSeason20242025!$AB$3:$AB$1315,DataRegularSeason20242025!$B$3:$B$1315, "&lt;=" &amp; FB$1, DataRegularSeason20242025!$E$3:$E$1315, $A5)</f>
        <v>7</v>
      </c>
      <c r="FC5">
        <f>SUMIFS(DataRegularSeason20242025!$AA$3:$AA$1315,DataRegularSeason20242025!$B$3:$B$1315, "&lt;=" &amp; FC$1, DataRegularSeason20242025!$D$3:$D$1315, $A5)+SUMIFS(DataRegularSeason20242025!$AB$3:$AB$1315,DataRegularSeason20242025!$B$3:$B$1315, "&lt;=" &amp; FC$1, DataRegularSeason20242025!$E$3:$E$1315, $A5)</f>
        <v>7</v>
      </c>
      <c r="FD5">
        <f>SUMIFS(DataRegularSeason20242025!$AA$3:$AA$1315,DataRegularSeason20242025!$B$3:$B$1315, "&lt;=" &amp; FD$1, DataRegularSeason20242025!$D$3:$D$1315, $A5)+SUMIFS(DataRegularSeason20242025!$AB$3:$AB$1315,DataRegularSeason20242025!$B$3:$B$1315, "&lt;=" &amp; FD$1, DataRegularSeason20242025!$E$3:$E$1315, $A5)</f>
        <v>7</v>
      </c>
      <c r="FE5">
        <f>SUMIFS(DataRegularSeason20242025!$AA$3:$AA$1315,DataRegularSeason20242025!$B$3:$B$1315, "&lt;=" &amp; FE$1, DataRegularSeason20242025!$D$3:$D$1315, $A5)+SUMIFS(DataRegularSeason20242025!$AB$3:$AB$1315,DataRegularSeason20242025!$B$3:$B$1315, "&lt;=" &amp; FE$1, DataRegularSeason20242025!$E$3:$E$1315, $A5)</f>
        <v>7</v>
      </c>
      <c r="FF5">
        <f>SUMIFS(DataRegularSeason20242025!$AA$3:$AA$1315,DataRegularSeason20242025!$B$3:$B$1315, "&lt;=" &amp; FF$1, DataRegularSeason20242025!$D$3:$D$1315, $A5)+SUMIFS(DataRegularSeason20242025!$AB$3:$AB$1315,DataRegularSeason20242025!$B$3:$B$1315, "&lt;=" &amp; FF$1, DataRegularSeason20242025!$E$3:$E$1315, $A5)</f>
        <v>7</v>
      </c>
      <c r="FG5">
        <f>SUMIFS(DataRegularSeason20242025!$AA$3:$AA$1315,DataRegularSeason20242025!$B$3:$B$1315, "&lt;=" &amp; FG$1, DataRegularSeason20242025!$D$3:$D$1315, $A5)+SUMIFS(DataRegularSeason20242025!$AB$3:$AB$1315,DataRegularSeason20242025!$B$3:$B$1315, "&lt;=" &amp; FG$1, DataRegularSeason20242025!$E$3:$E$1315, $A5)</f>
        <v>7</v>
      </c>
      <c r="FH5">
        <f>SUMIFS(DataRegularSeason20242025!$AA$3:$AA$1315,DataRegularSeason20242025!$B$3:$B$1315, "&lt;=" &amp; FH$1, DataRegularSeason20242025!$D$3:$D$1315, $A5)+SUMIFS(DataRegularSeason20242025!$AB$3:$AB$1315,DataRegularSeason20242025!$B$3:$B$1315, "&lt;=" &amp; FH$1, DataRegularSeason20242025!$E$3:$E$1315, $A5)</f>
        <v>7</v>
      </c>
      <c r="FI5">
        <f>SUMIFS(DataRegularSeason20242025!$AA$3:$AA$1315,DataRegularSeason20242025!$B$3:$B$1315, "&lt;=" &amp; FI$1, DataRegularSeason20242025!$D$3:$D$1315, $A5)+SUMIFS(DataRegularSeason20242025!$AB$3:$AB$1315,DataRegularSeason20242025!$B$3:$B$1315, "&lt;=" &amp; FI$1, DataRegularSeason20242025!$E$3:$E$1315, $A5)</f>
        <v>7</v>
      </c>
      <c r="FJ5">
        <f>SUMIFS(DataRegularSeason20242025!$AA$3:$AA$1315,DataRegularSeason20242025!$B$3:$B$1315, "&lt;=" &amp; FJ$1, DataRegularSeason20242025!$D$3:$D$1315, $A5)+SUMIFS(DataRegularSeason20242025!$AB$3:$AB$1315,DataRegularSeason20242025!$B$3:$B$1315, "&lt;=" &amp; FJ$1, DataRegularSeason20242025!$E$3:$E$1315, $A5)</f>
        <v>7</v>
      </c>
      <c r="FK5">
        <f>SUMIFS(DataRegularSeason20242025!$AA$3:$AA$1315,DataRegularSeason20242025!$B$3:$B$1315, "&lt;=" &amp; FK$1, DataRegularSeason20242025!$D$3:$D$1315, $A5)+SUMIFS(DataRegularSeason20242025!$AB$3:$AB$1315,DataRegularSeason20242025!$B$3:$B$1315, "&lt;=" &amp; FK$1, DataRegularSeason20242025!$E$3:$E$1315, $A5)</f>
        <v>7</v>
      </c>
      <c r="FL5">
        <f>SUMIFS(DataRegularSeason20242025!$AA$3:$AA$1315,DataRegularSeason20242025!$B$3:$B$1315, "&lt;=" &amp; FL$1, DataRegularSeason20242025!$D$3:$D$1315, $A5)+SUMIFS(DataRegularSeason20242025!$AB$3:$AB$1315,DataRegularSeason20242025!$B$3:$B$1315, "&lt;=" &amp; FL$1, DataRegularSeason20242025!$E$3:$E$1315, $A5)</f>
        <v>7</v>
      </c>
      <c r="FM5">
        <f>SUMIFS(DataRegularSeason20242025!$AA$3:$AA$1315,DataRegularSeason20242025!$B$3:$B$1315, "&lt;=" &amp; FM$1, DataRegularSeason20242025!$D$3:$D$1315, $A5)+SUMIFS(DataRegularSeason20242025!$AB$3:$AB$1315,DataRegularSeason20242025!$B$3:$B$1315, "&lt;=" &amp; FM$1, DataRegularSeason20242025!$E$3:$E$1315, $A5)</f>
        <v>7</v>
      </c>
      <c r="FN5">
        <f>SUMIFS(DataRegularSeason20242025!$AA$3:$AA$1315,DataRegularSeason20242025!$B$3:$B$1315, "&lt;=" &amp; FN$1, DataRegularSeason20242025!$D$3:$D$1315, $A5)+SUMIFS(DataRegularSeason20242025!$AB$3:$AB$1315,DataRegularSeason20242025!$B$3:$B$1315, "&lt;=" &amp; FN$1, DataRegularSeason20242025!$E$3:$E$1315, $A5)</f>
        <v>7</v>
      </c>
      <c r="FO5">
        <f>SUMIFS(DataRegularSeason20242025!$AA$3:$AA$1315,DataRegularSeason20242025!$B$3:$B$1315, "&lt;=" &amp; FO$1, DataRegularSeason20242025!$D$3:$D$1315, $A5)+SUMIFS(DataRegularSeason20242025!$AB$3:$AB$1315,DataRegularSeason20242025!$B$3:$B$1315, "&lt;=" &amp; FO$1, DataRegularSeason20242025!$E$3:$E$1315, $A5)</f>
        <v>7</v>
      </c>
      <c r="FP5">
        <f>SUMIFS(DataRegularSeason20242025!$AA$3:$AA$1315,DataRegularSeason20242025!$B$3:$B$1315, "&lt;=" &amp; FP$1, DataRegularSeason20242025!$D$3:$D$1315, $A5)+SUMIFS(DataRegularSeason20242025!$AB$3:$AB$1315,DataRegularSeason20242025!$B$3:$B$1315, "&lt;=" &amp; FP$1, DataRegularSeason20242025!$E$3:$E$1315, $A5)</f>
        <v>7</v>
      </c>
      <c r="FQ5">
        <f>SUMIFS(DataRegularSeason20242025!$AA$3:$AA$1315,DataRegularSeason20242025!$B$3:$B$1315, "&lt;=" &amp; FQ$1, DataRegularSeason20242025!$D$3:$D$1315, $A5)+SUMIFS(DataRegularSeason20242025!$AB$3:$AB$1315,DataRegularSeason20242025!$B$3:$B$1315, "&lt;=" &amp; FQ$1, DataRegularSeason20242025!$E$3:$E$1315, $A5)</f>
        <v>7</v>
      </c>
      <c r="FR5">
        <f>SUMIFS(DataRegularSeason20242025!$AA$3:$AA$1315,DataRegularSeason20242025!$B$3:$B$1315, "&lt;=" &amp; FR$1, DataRegularSeason20242025!$D$3:$D$1315, $A5)+SUMIFS(DataRegularSeason20242025!$AB$3:$AB$1315,DataRegularSeason20242025!$B$3:$B$1315, "&lt;=" &amp; FR$1, DataRegularSeason20242025!$E$3:$E$1315, $A5)</f>
        <v>7</v>
      </c>
      <c r="FS5">
        <f>SUMIFS(DataRegularSeason20242025!$AA$3:$AA$1315,DataRegularSeason20242025!$B$3:$B$1315, "&lt;=" &amp; FS$1, DataRegularSeason20242025!$D$3:$D$1315, $A5)+SUMIFS(DataRegularSeason20242025!$AB$3:$AB$1315,DataRegularSeason20242025!$B$3:$B$1315, "&lt;=" &amp; FS$1, DataRegularSeason20242025!$E$3:$E$1315, $A5)</f>
        <v>7</v>
      </c>
      <c r="FT5">
        <f>SUMIFS(DataRegularSeason20242025!$AA$3:$AA$1315,DataRegularSeason20242025!$B$3:$B$1315, "&lt;=" &amp; FT$1, DataRegularSeason20242025!$D$3:$D$1315, $A5)+SUMIFS(DataRegularSeason20242025!$AB$3:$AB$1315,DataRegularSeason20242025!$B$3:$B$1315, "&lt;=" &amp; FT$1, DataRegularSeason20242025!$E$3:$E$1315, $A5)</f>
        <v>7</v>
      </c>
      <c r="FU5">
        <f>SUMIFS(DataRegularSeason20242025!$AA$3:$AA$1315,DataRegularSeason20242025!$B$3:$B$1315, "&lt;=" &amp; FU$1, DataRegularSeason20242025!$D$3:$D$1315, $A5)+SUMIFS(DataRegularSeason20242025!$AB$3:$AB$1315,DataRegularSeason20242025!$B$3:$B$1315, "&lt;=" &amp; FU$1, DataRegularSeason20242025!$E$3:$E$1315, $A5)</f>
        <v>7</v>
      </c>
      <c r="FV5">
        <f>SUMIFS(DataRegularSeason20242025!$AA$3:$AA$1315,DataRegularSeason20242025!$B$3:$B$1315, "&lt;=" &amp; FV$1, DataRegularSeason20242025!$D$3:$D$1315, $A5)+SUMIFS(DataRegularSeason20242025!$AB$3:$AB$1315,DataRegularSeason20242025!$B$3:$B$1315, "&lt;=" &amp; FV$1, DataRegularSeason20242025!$E$3:$E$1315, $A5)</f>
        <v>7</v>
      </c>
      <c r="FW5">
        <f>SUMIFS(DataRegularSeason20242025!$AA$3:$AA$1315,DataRegularSeason20242025!$B$3:$B$1315, "&lt;=" &amp; FW$1, DataRegularSeason20242025!$D$3:$D$1315, $A5)+SUMIFS(DataRegularSeason20242025!$AB$3:$AB$1315,DataRegularSeason20242025!$B$3:$B$1315, "&lt;=" &amp; FW$1, DataRegularSeason20242025!$E$3:$E$1315, $A5)</f>
        <v>7</v>
      </c>
      <c r="FX5">
        <f>SUMIFS(DataRegularSeason20242025!$AA$3:$AA$1315,DataRegularSeason20242025!$B$3:$B$1315, "&lt;=" &amp; FX$1, DataRegularSeason20242025!$D$3:$D$1315, $A5)+SUMIFS(DataRegularSeason20242025!$AB$3:$AB$1315,DataRegularSeason20242025!$B$3:$B$1315, "&lt;=" &amp; FX$1, DataRegularSeason20242025!$E$3:$E$1315, $A5)</f>
        <v>7</v>
      </c>
      <c r="FY5">
        <f>SUMIFS(DataRegularSeason20242025!$AA$3:$AA$1315,DataRegularSeason20242025!$B$3:$B$1315, "&lt;=" &amp; FY$1, DataRegularSeason20242025!$D$3:$D$1315, $A5)+SUMIFS(DataRegularSeason20242025!$AB$3:$AB$1315,DataRegularSeason20242025!$B$3:$B$1315, "&lt;=" &amp; FY$1, DataRegularSeason20242025!$E$3:$E$1315, $A5)</f>
        <v>7</v>
      </c>
      <c r="FZ5">
        <f>SUMIFS(DataRegularSeason20242025!$AA$3:$AA$1315,DataRegularSeason20242025!$B$3:$B$1315, "&lt;=" &amp; FZ$1, DataRegularSeason20242025!$D$3:$D$1315, $A5)+SUMIFS(DataRegularSeason20242025!$AB$3:$AB$1315,DataRegularSeason20242025!$B$3:$B$1315, "&lt;=" &amp; FZ$1, DataRegularSeason20242025!$E$3:$E$1315, $A5)</f>
        <v>7</v>
      </c>
      <c r="GA5">
        <f>SUMIFS(DataRegularSeason20242025!$AA$3:$AA$1315,DataRegularSeason20242025!$B$3:$B$1315, "&lt;=" &amp; GA$1, DataRegularSeason20242025!$D$3:$D$1315, $A5)+SUMIFS(DataRegularSeason20242025!$AB$3:$AB$1315,DataRegularSeason20242025!$B$3:$B$1315, "&lt;=" &amp; GA$1, DataRegularSeason20242025!$E$3:$E$1315, $A5)</f>
        <v>7</v>
      </c>
      <c r="GB5">
        <f>SUMIFS(DataRegularSeason20242025!$AA$3:$AA$1315,DataRegularSeason20242025!$B$3:$B$1315, "&lt;=" &amp; GB$1, DataRegularSeason20242025!$D$3:$D$1315, $A5)+SUMIFS(DataRegularSeason20242025!$AB$3:$AB$1315,DataRegularSeason20242025!$B$3:$B$1315, "&lt;=" &amp; GB$1, DataRegularSeason20242025!$E$3:$E$1315, $A5)</f>
        <v>7</v>
      </c>
      <c r="GC5">
        <f>SUMIFS(DataRegularSeason20242025!$AA$3:$AA$1315,DataRegularSeason20242025!$B$3:$B$1315, "&lt;=" &amp; GC$1, DataRegularSeason20242025!$D$3:$D$1315, $A5)+SUMIFS(DataRegularSeason20242025!$AB$3:$AB$1315,DataRegularSeason20242025!$B$3:$B$1315, "&lt;=" &amp; GC$1, DataRegularSeason20242025!$E$3:$E$1315, $A5)</f>
        <v>7</v>
      </c>
      <c r="GD5">
        <f>SUMIFS(DataRegularSeason20242025!$AA$3:$AA$1315,DataRegularSeason20242025!$B$3:$B$1315, "&lt;=" &amp; GD$1, DataRegularSeason20242025!$D$3:$D$1315, $A5)+SUMIFS(DataRegularSeason20242025!$AB$3:$AB$1315,DataRegularSeason20242025!$B$3:$B$1315, "&lt;=" &amp; GD$1, DataRegularSeason20242025!$E$3:$E$1315, $A5)</f>
        <v>7</v>
      </c>
      <c r="GE5">
        <f>SUMIFS(DataRegularSeason20242025!$AA$3:$AA$1315,DataRegularSeason20242025!$B$3:$B$1315, "&lt;=" &amp; GE$1, DataRegularSeason20242025!$D$3:$D$1315, $A5)+SUMIFS(DataRegularSeason20242025!$AB$3:$AB$1315,DataRegularSeason20242025!$B$3:$B$1315, "&lt;=" &amp; GE$1, DataRegularSeason20242025!$E$3:$E$1315, $A5)</f>
        <v>7</v>
      </c>
      <c r="GF5">
        <f>SUMIFS(DataRegularSeason20242025!$AA$3:$AA$1315,DataRegularSeason20242025!$B$3:$B$1315, "&lt;=" &amp; GF$1, DataRegularSeason20242025!$D$3:$D$1315, $A5)+SUMIFS(DataRegularSeason20242025!$AB$3:$AB$1315,DataRegularSeason20242025!$B$3:$B$1315, "&lt;=" &amp; GF$1, DataRegularSeason20242025!$E$3:$E$1315, $A5)</f>
        <v>7</v>
      </c>
      <c r="GG5">
        <f>SUMIFS(DataRegularSeason20242025!$AA$3:$AA$1315,DataRegularSeason20242025!$B$3:$B$1315, "&lt;=" &amp; GG$1, DataRegularSeason20242025!$D$3:$D$1315, $A5)+SUMIFS(DataRegularSeason20242025!$AB$3:$AB$1315,DataRegularSeason20242025!$B$3:$B$1315, "&lt;=" &amp; GG$1, DataRegularSeason20242025!$E$3:$E$1315, $A5)</f>
        <v>7</v>
      </c>
      <c r="GH5">
        <f>SUMIFS(DataRegularSeason20242025!$AA$3:$AA$1315,DataRegularSeason20242025!$B$3:$B$1315, "&lt;=" &amp; GH$1, DataRegularSeason20242025!$D$3:$D$1315, $A5)+SUMIFS(DataRegularSeason20242025!$AB$3:$AB$1315,DataRegularSeason20242025!$B$3:$B$1315, "&lt;=" &amp; GH$1, DataRegularSeason20242025!$E$3:$E$1315, $A5)</f>
        <v>7</v>
      </c>
      <c r="GI5">
        <f>SUMIFS(DataRegularSeason20242025!$AA$3:$AA$1315,DataRegularSeason20242025!$B$3:$B$1315, "&lt;=" &amp; GI$1, DataRegularSeason20242025!$D$3:$D$1315, $A5)+SUMIFS(DataRegularSeason20242025!$AB$3:$AB$1315,DataRegularSeason20242025!$B$3:$B$1315, "&lt;=" &amp; GI$1, DataRegularSeason20242025!$E$3:$E$1315, $A5)</f>
        <v>7</v>
      </c>
      <c r="GJ5">
        <f>SUMIFS(DataRegularSeason20242025!$AA$3:$AA$1315,DataRegularSeason20242025!$B$3:$B$1315, "&lt;=" &amp; GJ$1, DataRegularSeason20242025!$D$3:$D$1315, $A5)+SUMIFS(DataRegularSeason20242025!$AB$3:$AB$1315,DataRegularSeason20242025!$B$3:$B$1315, "&lt;=" &amp; GJ$1, DataRegularSeason20242025!$E$3:$E$1315, $A5)</f>
        <v>7</v>
      </c>
      <c r="GK5">
        <f>SUMIFS(DataRegularSeason20242025!$AA$3:$AA$1315,DataRegularSeason20242025!$B$3:$B$1315, "&lt;=" &amp; GK$1, DataRegularSeason20242025!$D$3:$D$1315, $A5)+SUMIFS(DataRegularSeason20242025!$AB$3:$AB$1315,DataRegularSeason20242025!$B$3:$B$1315, "&lt;=" &amp; GK$1, DataRegularSeason20242025!$E$3:$E$1315, $A5)</f>
        <v>7</v>
      </c>
      <c r="GL5">
        <f>SUMIFS(DataRegularSeason20242025!$AA$3:$AA$1315,DataRegularSeason20242025!$B$3:$B$1315, "&lt;=" &amp; GL$1, DataRegularSeason20242025!$D$3:$D$1315, $A5)+SUMIFS(DataRegularSeason20242025!$AB$3:$AB$1315,DataRegularSeason20242025!$B$3:$B$1315, "&lt;=" &amp; GL$1, DataRegularSeason20242025!$E$3:$E$1315, $A5)</f>
        <v>7</v>
      </c>
      <c r="GM5">
        <f>SUMIFS(DataRegularSeason20242025!$AA$3:$AA$1315,DataRegularSeason20242025!$B$3:$B$1315, "&lt;=" &amp; GM$1, DataRegularSeason20242025!$D$3:$D$1315, $A5)+SUMIFS(DataRegularSeason20242025!$AB$3:$AB$1315,DataRegularSeason20242025!$B$3:$B$1315, "&lt;=" &amp; GM$1, DataRegularSeason20242025!$E$3:$E$1315, $A5)</f>
        <v>7</v>
      </c>
      <c r="GN5">
        <f>SUMIFS(DataRegularSeason20242025!$AA$3:$AA$1315,DataRegularSeason20242025!$B$3:$B$1315, "&lt;=" &amp; GN$1, DataRegularSeason20242025!$D$3:$D$1315, $A5)+SUMIFS(DataRegularSeason20242025!$AB$3:$AB$1315,DataRegularSeason20242025!$B$3:$B$1315, "&lt;=" &amp; GN$1, DataRegularSeason20242025!$E$3:$E$1315, $A5)</f>
        <v>7</v>
      </c>
      <c r="GO5">
        <f>SUMIFS(DataRegularSeason20242025!$AA$3:$AA$1315,DataRegularSeason20242025!$B$3:$B$1315, "&lt;=" &amp; GO$1, DataRegularSeason20242025!$D$3:$D$1315, $A5)+SUMIFS(DataRegularSeason20242025!$AB$3:$AB$1315,DataRegularSeason20242025!$B$3:$B$1315, "&lt;=" &amp; GO$1, DataRegularSeason20242025!$E$3:$E$1315, $A5)</f>
        <v>7</v>
      </c>
      <c r="GP5">
        <f>SUMIFS(DataRegularSeason20242025!$AA$3:$AA$1315,DataRegularSeason20242025!$B$3:$B$1315, "&lt;=" &amp; GP$1, DataRegularSeason20242025!$D$3:$D$1315, $A5)+SUMIFS(DataRegularSeason20242025!$AB$3:$AB$1315,DataRegularSeason20242025!$B$3:$B$1315, "&lt;=" &amp; GP$1, DataRegularSeason20242025!$E$3:$E$1315, $A5)</f>
        <v>7</v>
      </c>
      <c r="GQ5">
        <f>SUMIFS(DataRegularSeason20242025!$AA$3:$AA$1315,DataRegularSeason20242025!$B$3:$B$1315, "&lt;=" &amp; GQ$1, DataRegularSeason20242025!$D$3:$D$1315, $A5)+SUMIFS(DataRegularSeason20242025!$AB$3:$AB$1315,DataRegularSeason20242025!$B$3:$B$1315, "&lt;=" &amp; GQ$1, DataRegularSeason20242025!$E$3:$E$1315, $A5)</f>
        <v>7</v>
      </c>
      <c r="GR5">
        <f>SUMIFS(DataRegularSeason20242025!$AA$3:$AA$1315,DataRegularSeason20242025!$B$3:$B$1315, "&lt;=" &amp; GR$1, DataRegularSeason20242025!$D$3:$D$1315, $A5)+SUMIFS(DataRegularSeason20242025!$AB$3:$AB$1315,DataRegularSeason20242025!$B$3:$B$1315, "&lt;=" &amp; GR$1, DataRegularSeason20242025!$E$3:$E$1315, $A5)</f>
        <v>7</v>
      </c>
      <c r="GS5">
        <f>SUMIFS(DataRegularSeason20242025!$AA$3:$AA$1315,DataRegularSeason20242025!$B$3:$B$1315, "&lt;=" &amp; GS$1, DataRegularSeason20242025!$D$3:$D$1315, $A5)+SUMIFS(DataRegularSeason20242025!$AB$3:$AB$1315,DataRegularSeason20242025!$B$3:$B$1315, "&lt;=" &amp; GS$1, DataRegularSeason20242025!$E$3:$E$1315, $A5)</f>
        <v>7</v>
      </c>
      <c r="GT5">
        <f>SUMIFS(DataRegularSeason20242025!$AA$3:$AA$1315,DataRegularSeason20242025!$B$3:$B$1315, "&lt;=" &amp; GT$1, DataRegularSeason20242025!$D$3:$D$1315, $A5)+SUMIFS(DataRegularSeason20242025!$AB$3:$AB$1315,DataRegularSeason20242025!$B$3:$B$1315, "&lt;=" &amp; GT$1, DataRegularSeason20242025!$E$3:$E$1315, $A5)</f>
        <v>7</v>
      </c>
      <c r="GU5">
        <f>SUMIFS(DataRegularSeason20242025!$AA$3:$AA$1315,DataRegularSeason20242025!$B$3:$B$1315, "&lt;=" &amp; GU$1, DataRegularSeason20242025!$D$3:$D$1315, $A5)+SUMIFS(DataRegularSeason20242025!$AB$3:$AB$1315,DataRegularSeason20242025!$B$3:$B$1315, "&lt;=" &amp; GU$1, DataRegularSeason20242025!$E$3:$E$1315, $A5)</f>
        <v>7</v>
      </c>
    </row>
    <row r="6" spans="1:275" x14ac:dyDescent="0.25">
      <c r="A6" t="s">
        <v>15</v>
      </c>
      <c r="B6" t="s">
        <v>91</v>
      </c>
      <c r="C6" s="105" t="s">
        <v>74</v>
      </c>
      <c r="D6">
        <f>SUMIFS(DataRegularSeason20242025!$AA$3:$AA$1315,DataRegularSeason20242025!$B$3:$B$1315, "&lt;=" &amp; D$1, DataRegularSeason20242025!$D$3:$D$1315, $A6)+SUMIFS(DataRegularSeason20242025!$AB$3:$AB$1315,DataRegularSeason20242025!$B$3:$B$1315, "&lt;=" &amp; D$1, DataRegularSeason20242025!$E$3:$E$1315, $A6)</f>
        <v>0</v>
      </c>
      <c r="E6">
        <f>SUMIFS(DataRegularSeason20242025!$AA$3:$AA$1315,DataRegularSeason20242025!$B$3:$B$1315, "&lt;=" &amp; E$1, DataRegularSeason20242025!$D$3:$D$1315, $A6)+SUMIFS(DataRegularSeason20242025!$AB$3:$AB$1315,DataRegularSeason20242025!$B$3:$B$1315, "&lt;=" &amp; E$1, DataRegularSeason20242025!$E$3:$E$1315, $A6)</f>
        <v>0</v>
      </c>
      <c r="F6">
        <f>SUMIFS(DataRegularSeason20242025!$AA$3:$AA$1315,DataRegularSeason20242025!$B$3:$B$1315, "&lt;=" &amp; F$1, DataRegularSeason20242025!$D$3:$D$1315, $A6)+SUMIFS(DataRegularSeason20242025!$AB$3:$AB$1315,DataRegularSeason20242025!$B$3:$B$1315, "&lt;=" &amp; F$1, DataRegularSeason20242025!$E$3:$E$1315, $A6)</f>
        <v>0</v>
      </c>
      <c r="G6">
        <f>SUMIFS(DataRegularSeason20242025!$AA$3:$AA$1315,DataRegularSeason20242025!$B$3:$B$1315, "&lt;=" &amp; G$1, DataRegularSeason20242025!$D$3:$D$1315, $A6)+SUMIFS(DataRegularSeason20242025!$AB$3:$AB$1315,DataRegularSeason20242025!$B$3:$B$1315, "&lt;=" &amp; G$1, DataRegularSeason20242025!$E$3:$E$1315, $A6)</f>
        <v>0</v>
      </c>
      <c r="H6">
        <f>SUMIFS(DataRegularSeason20242025!$AA$3:$AA$1315,DataRegularSeason20242025!$B$3:$B$1315, "&lt;=" &amp; H$1, DataRegularSeason20242025!$D$3:$D$1315, $A6)+SUMIFS(DataRegularSeason20242025!$AB$3:$AB$1315,DataRegularSeason20242025!$B$3:$B$1315, "&lt;=" &amp; H$1, DataRegularSeason20242025!$E$3:$E$1315, $A6)</f>
        <v>0</v>
      </c>
      <c r="I6">
        <f>SUMIFS(DataRegularSeason20242025!$AA$3:$AA$1315,DataRegularSeason20242025!$B$3:$B$1315, "&lt;=" &amp; I$1, DataRegularSeason20242025!$D$3:$D$1315, $A6)+SUMIFS(DataRegularSeason20242025!$AB$3:$AB$1315,DataRegularSeason20242025!$B$3:$B$1315, "&lt;=" &amp; I$1, DataRegularSeason20242025!$E$3:$E$1315, $A6)</f>
        <v>2</v>
      </c>
      <c r="J6">
        <f>SUMIFS(DataRegularSeason20242025!$AA$3:$AA$1315,DataRegularSeason20242025!$B$3:$B$1315, "&lt;=" &amp; J$1, DataRegularSeason20242025!$D$3:$D$1315, $A6)+SUMIFS(DataRegularSeason20242025!$AB$3:$AB$1315,DataRegularSeason20242025!$B$3:$B$1315, "&lt;=" &amp; J$1, DataRegularSeason20242025!$E$3:$E$1315, $A6)</f>
        <v>4</v>
      </c>
      <c r="K6">
        <f>SUMIFS(DataRegularSeason20242025!$AA$3:$AA$1315,DataRegularSeason20242025!$B$3:$B$1315, "&lt;=" &amp; K$1, DataRegularSeason20242025!$D$3:$D$1315, $A6)+SUMIFS(DataRegularSeason20242025!$AB$3:$AB$1315,DataRegularSeason20242025!$B$3:$B$1315, "&lt;=" &amp; K$1, DataRegularSeason20242025!$E$3:$E$1315, $A6)</f>
        <v>4</v>
      </c>
      <c r="L6">
        <f>SUMIFS(DataRegularSeason20242025!$AA$3:$AA$1315,DataRegularSeason20242025!$B$3:$B$1315, "&lt;=" &amp; L$1, DataRegularSeason20242025!$D$3:$D$1315, $A6)+SUMIFS(DataRegularSeason20242025!$AB$3:$AB$1315,DataRegularSeason20242025!$B$3:$B$1315, "&lt;=" &amp; L$1, DataRegularSeason20242025!$E$3:$E$1315, $A6)</f>
        <v>6</v>
      </c>
      <c r="M6">
        <f>SUMIFS(DataRegularSeason20242025!$AA$3:$AA$1315,DataRegularSeason20242025!$B$3:$B$1315, "&lt;=" &amp; M$1, DataRegularSeason20242025!$D$3:$D$1315, $A6)+SUMIFS(DataRegularSeason20242025!$AB$3:$AB$1315,DataRegularSeason20242025!$B$3:$B$1315, "&lt;=" &amp; M$1, DataRegularSeason20242025!$E$3:$E$1315, $A6)</f>
        <v>6</v>
      </c>
      <c r="N6">
        <f>SUMIFS(DataRegularSeason20242025!$AA$3:$AA$1315,DataRegularSeason20242025!$B$3:$B$1315, "&lt;=" &amp; N$1, DataRegularSeason20242025!$D$3:$D$1315, $A6)+SUMIFS(DataRegularSeason20242025!$AB$3:$AB$1315,DataRegularSeason20242025!$B$3:$B$1315, "&lt;=" &amp; N$1, DataRegularSeason20242025!$E$3:$E$1315, $A6)</f>
        <v>6</v>
      </c>
      <c r="O6">
        <f>SUMIFS(DataRegularSeason20242025!$AA$3:$AA$1315,DataRegularSeason20242025!$B$3:$B$1315, "&lt;=" &amp; O$1, DataRegularSeason20242025!$D$3:$D$1315, $A6)+SUMIFS(DataRegularSeason20242025!$AB$3:$AB$1315,DataRegularSeason20242025!$B$3:$B$1315, "&lt;=" &amp; O$1, DataRegularSeason20242025!$E$3:$E$1315, $A6)</f>
        <v>6</v>
      </c>
      <c r="P6">
        <f>SUMIFS(DataRegularSeason20242025!$AA$3:$AA$1315,DataRegularSeason20242025!$B$3:$B$1315, "&lt;=" &amp; P$1, DataRegularSeason20242025!$D$3:$D$1315, $A6)+SUMIFS(DataRegularSeason20242025!$AB$3:$AB$1315,DataRegularSeason20242025!$B$3:$B$1315, "&lt;=" &amp; P$1, DataRegularSeason20242025!$E$3:$E$1315, $A6)</f>
        <v>6</v>
      </c>
      <c r="Q6">
        <f>SUMIFS(DataRegularSeason20242025!$AA$3:$AA$1315,DataRegularSeason20242025!$B$3:$B$1315, "&lt;=" &amp; Q$1, DataRegularSeason20242025!$D$3:$D$1315, $A6)+SUMIFS(DataRegularSeason20242025!$AB$3:$AB$1315,DataRegularSeason20242025!$B$3:$B$1315, "&lt;=" &amp; Q$1, DataRegularSeason20242025!$E$3:$E$1315, $A6)</f>
        <v>6</v>
      </c>
      <c r="R6">
        <f>SUMIFS(DataRegularSeason20242025!$AA$3:$AA$1315,DataRegularSeason20242025!$B$3:$B$1315, "&lt;=" &amp; R$1, DataRegularSeason20242025!$D$3:$D$1315, $A6)+SUMIFS(DataRegularSeason20242025!$AB$3:$AB$1315,DataRegularSeason20242025!$B$3:$B$1315, "&lt;=" &amp; R$1, DataRegularSeason20242025!$E$3:$E$1315, $A6)</f>
        <v>6</v>
      </c>
      <c r="S6">
        <f>SUMIFS(DataRegularSeason20242025!$AA$3:$AA$1315,DataRegularSeason20242025!$B$3:$B$1315, "&lt;=" &amp; S$1, DataRegularSeason20242025!$D$3:$D$1315, $A6)+SUMIFS(DataRegularSeason20242025!$AB$3:$AB$1315,DataRegularSeason20242025!$B$3:$B$1315, "&lt;=" &amp; S$1, DataRegularSeason20242025!$E$3:$E$1315, $A6)</f>
        <v>6</v>
      </c>
      <c r="T6">
        <f>SUMIFS(DataRegularSeason20242025!$AA$3:$AA$1315,DataRegularSeason20242025!$B$3:$B$1315, "&lt;=" &amp; T$1, DataRegularSeason20242025!$D$3:$D$1315, $A6)+SUMIFS(DataRegularSeason20242025!$AB$3:$AB$1315,DataRegularSeason20242025!$B$3:$B$1315, "&lt;=" &amp; T$1, DataRegularSeason20242025!$E$3:$E$1315, $A6)</f>
        <v>6</v>
      </c>
      <c r="U6">
        <f>SUMIFS(DataRegularSeason20242025!$AA$3:$AA$1315,DataRegularSeason20242025!$B$3:$B$1315, "&lt;=" &amp; U$1, DataRegularSeason20242025!$D$3:$D$1315, $A6)+SUMIFS(DataRegularSeason20242025!$AB$3:$AB$1315,DataRegularSeason20242025!$B$3:$B$1315, "&lt;=" &amp; U$1, DataRegularSeason20242025!$E$3:$E$1315, $A6)</f>
        <v>6</v>
      </c>
      <c r="V6">
        <f>SUMIFS(DataRegularSeason20242025!$AA$3:$AA$1315,DataRegularSeason20242025!$B$3:$B$1315, "&lt;=" &amp; V$1, DataRegularSeason20242025!$D$3:$D$1315, $A6)+SUMIFS(DataRegularSeason20242025!$AB$3:$AB$1315,DataRegularSeason20242025!$B$3:$B$1315, "&lt;=" &amp; V$1, DataRegularSeason20242025!$E$3:$E$1315, $A6)</f>
        <v>6</v>
      </c>
      <c r="W6">
        <f>SUMIFS(DataRegularSeason20242025!$AA$3:$AA$1315,DataRegularSeason20242025!$B$3:$B$1315, "&lt;=" &amp; W$1, DataRegularSeason20242025!$D$3:$D$1315, $A6)+SUMIFS(DataRegularSeason20242025!$AB$3:$AB$1315,DataRegularSeason20242025!$B$3:$B$1315, "&lt;=" &amp; W$1, DataRegularSeason20242025!$E$3:$E$1315, $A6)</f>
        <v>6</v>
      </c>
      <c r="X6">
        <f>SUMIFS(DataRegularSeason20242025!$AA$3:$AA$1315,DataRegularSeason20242025!$B$3:$B$1315, "&lt;=" &amp; X$1, DataRegularSeason20242025!$D$3:$D$1315, $A6)+SUMIFS(DataRegularSeason20242025!$AB$3:$AB$1315,DataRegularSeason20242025!$B$3:$B$1315, "&lt;=" &amp; X$1, DataRegularSeason20242025!$E$3:$E$1315, $A6)</f>
        <v>6</v>
      </c>
      <c r="Y6">
        <f>SUMIFS(DataRegularSeason20242025!$AA$3:$AA$1315,DataRegularSeason20242025!$B$3:$B$1315, "&lt;=" &amp; Y$1, DataRegularSeason20242025!$D$3:$D$1315, $A6)+SUMIFS(DataRegularSeason20242025!$AB$3:$AB$1315,DataRegularSeason20242025!$B$3:$B$1315, "&lt;=" &amp; Y$1, DataRegularSeason20242025!$E$3:$E$1315, $A6)</f>
        <v>6</v>
      </c>
      <c r="Z6">
        <f>SUMIFS(DataRegularSeason20242025!$AA$3:$AA$1315,DataRegularSeason20242025!$B$3:$B$1315, "&lt;=" &amp; Z$1, DataRegularSeason20242025!$D$3:$D$1315, $A6)+SUMIFS(DataRegularSeason20242025!$AB$3:$AB$1315,DataRegularSeason20242025!$B$3:$B$1315, "&lt;=" &amp; Z$1, DataRegularSeason20242025!$E$3:$E$1315, $A6)</f>
        <v>6</v>
      </c>
      <c r="AA6">
        <f>SUMIFS(DataRegularSeason20242025!$AA$3:$AA$1315,DataRegularSeason20242025!$B$3:$B$1315, "&lt;=" &amp; AA$1, DataRegularSeason20242025!$D$3:$D$1315, $A6)+SUMIFS(DataRegularSeason20242025!$AB$3:$AB$1315,DataRegularSeason20242025!$B$3:$B$1315, "&lt;=" &amp; AA$1, DataRegularSeason20242025!$E$3:$E$1315, $A6)</f>
        <v>6</v>
      </c>
      <c r="AB6">
        <f>SUMIFS(DataRegularSeason20242025!$AA$3:$AA$1315,DataRegularSeason20242025!$B$3:$B$1315, "&lt;=" &amp; AB$1, DataRegularSeason20242025!$D$3:$D$1315, $A6)+SUMIFS(DataRegularSeason20242025!$AB$3:$AB$1315,DataRegularSeason20242025!$B$3:$B$1315, "&lt;=" &amp; AB$1, DataRegularSeason20242025!$E$3:$E$1315, $A6)</f>
        <v>6</v>
      </c>
      <c r="AC6">
        <f>SUMIFS(DataRegularSeason20242025!$AA$3:$AA$1315,DataRegularSeason20242025!$B$3:$B$1315, "&lt;=" &amp; AC$1, DataRegularSeason20242025!$D$3:$D$1315, $A6)+SUMIFS(DataRegularSeason20242025!$AB$3:$AB$1315,DataRegularSeason20242025!$B$3:$B$1315, "&lt;=" &amp; AC$1, DataRegularSeason20242025!$E$3:$E$1315, $A6)</f>
        <v>6</v>
      </c>
      <c r="AD6">
        <f>SUMIFS(DataRegularSeason20242025!$AA$3:$AA$1315,DataRegularSeason20242025!$B$3:$B$1315, "&lt;=" &amp; AD$1, DataRegularSeason20242025!$D$3:$D$1315, $A6)+SUMIFS(DataRegularSeason20242025!$AB$3:$AB$1315,DataRegularSeason20242025!$B$3:$B$1315, "&lt;=" &amp; AD$1, DataRegularSeason20242025!$E$3:$E$1315, $A6)</f>
        <v>6</v>
      </c>
      <c r="AE6">
        <f>SUMIFS(DataRegularSeason20242025!$AA$3:$AA$1315,DataRegularSeason20242025!$B$3:$B$1315, "&lt;=" &amp; AE$1, DataRegularSeason20242025!$D$3:$D$1315, $A6)+SUMIFS(DataRegularSeason20242025!$AB$3:$AB$1315,DataRegularSeason20242025!$B$3:$B$1315, "&lt;=" &amp; AE$1, DataRegularSeason20242025!$E$3:$E$1315, $A6)</f>
        <v>6</v>
      </c>
      <c r="AF6">
        <f>SUMIFS(DataRegularSeason20242025!$AA$3:$AA$1315,DataRegularSeason20242025!$B$3:$B$1315, "&lt;=" &amp; AF$1, DataRegularSeason20242025!$D$3:$D$1315, $A6)+SUMIFS(DataRegularSeason20242025!$AB$3:$AB$1315,DataRegularSeason20242025!$B$3:$B$1315, "&lt;=" &amp; AF$1, DataRegularSeason20242025!$E$3:$E$1315, $A6)</f>
        <v>6</v>
      </c>
      <c r="AG6">
        <f>SUMIFS(DataRegularSeason20242025!$AA$3:$AA$1315,DataRegularSeason20242025!$B$3:$B$1315, "&lt;=" &amp; AG$1, DataRegularSeason20242025!$D$3:$D$1315, $A6)+SUMIFS(DataRegularSeason20242025!$AB$3:$AB$1315,DataRegularSeason20242025!$B$3:$B$1315, "&lt;=" &amp; AG$1, DataRegularSeason20242025!$E$3:$E$1315, $A6)</f>
        <v>6</v>
      </c>
      <c r="AH6">
        <f>SUMIFS(DataRegularSeason20242025!$AA$3:$AA$1315,DataRegularSeason20242025!$B$3:$B$1315, "&lt;=" &amp; AH$1, DataRegularSeason20242025!$D$3:$D$1315, $A6)+SUMIFS(DataRegularSeason20242025!$AB$3:$AB$1315,DataRegularSeason20242025!$B$3:$B$1315, "&lt;=" &amp; AH$1, DataRegularSeason20242025!$E$3:$E$1315, $A6)</f>
        <v>6</v>
      </c>
      <c r="AI6">
        <f>SUMIFS(DataRegularSeason20242025!$AA$3:$AA$1315,DataRegularSeason20242025!$B$3:$B$1315, "&lt;=" &amp; AI$1, DataRegularSeason20242025!$D$3:$D$1315, $A6)+SUMIFS(DataRegularSeason20242025!$AB$3:$AB$1315,DataRegularSeason20242025!$B$3:$B$1315, "&lt;=" &amp; AI$1, DataRegularSeason20242025!$E$3:$E$1315, $A6)</f>
        <v>6</v>
      </c>
      <c r="AJ6">
        <f>SUMIFS(DataRegularSeason20242025!$AA$3:$AA$1315,DataRegularSeason20242025!$B$3:$B$1315, "&lt;=" &amp; AJ$1, DataRegularSeason20242025!$D$3:$D$1315, $A6)+SUMIFS(DataRegularSeason20242025!$AB$3:$AB$1315,DataRegularSeason20242025!$B$3:$B$1315, "&lt;=" &amp; AJ$1, DataRegularSeason20242025!$E$3:$E$1315, $A6)</f>
        <v>6</v>
      </c>
      <c r="AK6">
        <f>SUMIFS(DataRegularSeason20242025!$AA$3:$AA$1315,DataRegularSeason20242025!$B$3:$B$1315, "&lt;=" &amp; AK$1, DataRegularSeason20242025!$D$3:$D$1315, $A6)+SUMIFS(DataRegularSeason20242025!$AB$3:$AB$1315,DataRegularSeason20242025!$B$3:$B$1315, "&lt;=" &amp; AK$1, DataRegularSeason20242025!$E$3:$E$1315, $A6)</f>
        <v>6</v>
      </c>
      <c r="AL6">
        <f>SUMIFS(DataRegularSeason20242025!$AA$3:$AA$1315,DataRegularSeason20242025!$B$3:$B$1315, "&lt;=" &amp; AL$1, DataRegularSeason20242025!$D$3:$D$1315, $A6)+SUMIFS(DataRegularSeason20242025!$AB$3:$AB$1315,DataRegularSeason20242025!$B$3:$B$1315, "&lt;=" &amp; AL$1, DataRegularSeason20242025!$E$3:$E$1315, $A6)</f>
        <v>6</v>
      </c>
      <c r="AM6">
        <f>SUMIFS(DataRegularSeason20242025!$AA$3:$AA$1315,DataRegularSeason20242025!$B$3:$B$1315, "&lt;=" &amp; AM$1, DataRegularSeason20242025!$D$3:$D$1315, $A6)+SUMIFS(DataRegularSeason20242025!$AB$3:$AB$1315,DataRegularSeason20242025!$B$3:$B$1315, "&lt;=" &amp; AM$1, DataRegularSeason20242025!$E$3:$E$1315, $A6)</f>
        <v>6</v>
      </c>
      <c r="AN6">
        <f>SUMIFS(DataRegularSeason20242025!$AA$3:$AA$1315,DataRegularSeason20242025!$B$3:$B$1315, "&lt;=" &amp; AN$1, DataRegularSeason20242025!$D$3:$D$1315, $A6)+SUMIFS(DataRegularSeason20242025!$AB$3:$AB$1315,DataRegularSeason20242025!$B$3:$B$1315, "&lt;=" &amp; AN$1, DataRegularSeason20242025!$E$3:$E$1315, $A6)</f>
        <v>6</v>
      </c>
      <c r="AO6">
        <f>SUMIFS(DataRegularSeason20242025!$AA$3:$AA$1315,DataRegularSeason20242025!$B$3:$B$1315, "&lt;=" &amp; AO$1, DataRegularSeason20242025!$D$3:$D$1315, $A6)+SUMIFS(DataRegularSeason20242025!$AB$3:$AB$1315,DataRegularSeason20242025!$B$3:$B$1315, "&lt;=" &amp; AO$1, DataRegularSeason20242025!$E$3:$E$1315, $A6)</f>
        <v>6</v>
      </c>
      <c r="AP6">
        <f>SUMIFS(DataRegularSeason20242025!$AA$3:$AA$1315,DataRegularSeason20242025!$B$3:$B$1315, "&lt;=" &amp; AP$1, DataRegularSeason20242025!$D$3:$D$1315, $A6)+SUMIFS(DataRegularSeason20242025!$AB$3:$AB$1315,DataRegularSeason20242025!$B$3:$B$1315, "&lt;=" &amp; AP$1, DataRegularSeason20242025!$E$3:$E$1315, $A6)</f>
        <v>6</v>
      </c>
      <c r="AQ6">
        <f>SUMIFS(DataRegularSeason20242025!$AA$3:$AA$1315,DataRegularSeason20242025!$B$3:$B$1315, "&lt;=" &amp; AQ$1, DataRegularSeason20242025!$D$3:$D$1315, $A6)+SUMIFS(DataRegularSeason20242025!$AB$3:$AB$1315,DataRegularSeason20242025!$B$3:$B$1315, "&lt;=" &amp; AQ$1, DataRegularSeason20242025!$E$3:$E$1315, $A6)</f>
        <v>6</v>
      </c>
      <c r="AR6">
        <f>SUMIFS(DataRegularSeason20242025!$AA$3:$AA$1315,DataRegularSeason20242025!$B$3:$B$1315, "&lt;=" &amp; AR$1, DataRegularSeason20242025!$D$3:$D$1315, $A6)+SUMIFS(DataRegularSeason20242025!$AB$3:$AB$1315,DataRegularSeason20242025!$B$3:$B$1315, "&lt;=" &amp; AR$1, DataRegularSeason20242025!$E$3:$E$1315, $A6)</f>
        <v>6</v>
      </c>
      <c r="AS6">
        <f>SUMIFS(DataRegularSeason20242025!$AA$3:$AA$1315,DataRegularSeason20242025!$B$3:$B$1315, "&lt;=" &amp; AS$1, DataRegularSeason20242025!$D$3:$D$1315, $A6)+SUMIFS(DataRegularSeason20242025!$AB$3:$AB$1315,DataRegularSeason20242025!$B$3:$B$1315, "&lt;=" &amp; AS$1, DataRegularSeason20242025!$E$3:$E$1315, $A6)</f>
        <v>6</v>
      </c>
      <c r="AT6">
        <f>SUMIFS(DataRegularSeason20242025!$AA$3:$AA$1315,DataRegularSeason20242025!$B$3:$B$1315, "&lt;=" &amp; AT$1, DataRegularSeason20242025!$D$3:$D$1315, $A6)+SUMIFS(DataRegularSeason20242025!$AB$3:$AB$1315,DataRegularSeason20242025!$B$3:$B$1315, "&lt;=" &amp; AT$1, DataRegularSeason20242025!$E$3:$E$1315, $A6)</f>
        <v>6</v>
      </c>
      <c r="AU6">
        <f>SUMIFS(DataRegularSeason20242025!$AA$3:$AA$1315,DataRegularSeason20242025!$B$3:$B$1315, "&lt;=" &amp; AU$1, DataRegularSeason20242025!$D$3:$D$1315, $A6)+SUMIFS(DataRegularSeason20242025!$AB$3:$AB$1315,DataRegularSeason20242025!$B$3:$B$1315, "&lt;=" &amp; AU$1, DataRegularSeason20242025!$E$3:$E$1315, $A6)</f>
        <v>6</v>
      </c>
      <c r="AV6">
        <f>SUMIFS(DataRegularSeason20242025!$AA$3:$AA$1315,DataRegularSeason20242025!$B$3:$B$1315, "&lt;=" &amp; AV$1, DataRegularSeason20242025!$D$3:$D$1315, $A6)+SUMIFS(DataRegularSeason20242025!$AB$3:$AB$1315,DataRegularSeason20242025!$B$3:$B$1315, "&lt;=" &amp; AV$1, DataRegularSeason20242025!$E$3:$E$1315, $A6)</f>
        <v>6</v>
      </c>
      <c r="AW6">
        <f>SUMIFS(DataRegularSeason20242025!$AA$3:$AA$1315,DataRegularSeason20242025!$B$3:$B$1315, "&lt;=" &amp; AW$1, DataRegularSeason20242025!$D$3:$D$1315, $A6)+SUMIFS(DataRegularSeason20242025!$AB$3:$AB$1315,DataRegularSeason20242025!$B$3:$B$1315, "&lt;=" &amp; AW$1, DataRegularSeason20242025!$E$3:$E$1315, $A6)</f>
        <v>6</v>
      </c>
      <c r="AX6">
        <f>SUMIFS(DataRegularSeason20242025!$AA$3:$AA$1315,DataRegularSeason20242025!$B$3:$B$1315, "&lt;=" &amp; AX$1, DataRegularSeason20242025!$D$3:$D$1315, $A6)+SUMIFS(DataRegularSeason20242025!$AB$3:$AB$1315,DataRegularSeason20242025!$B$3:$B$1315, "&lt;=" &amp; AX$1, DataRegularSeason20242025!$E$3:$E$1315, $A6)</f>
        <v>6</v>
      </c>
      <c r="AY6">
        <f>SUMIFS(DataRegularSeason20242025!$AA$3:$AA$1315,DataRegularSeason20242025!$B$3:$B$1315, "&lt;=" &amp; AY$1, DataRegularSeason20242025!$D$3:$D$1315, $A6)+SUMIFS(DataRegularSeason20242025!$AB$3:$AB$1315,DataRegularSeason20242025!$B$3:$B$1315, "&lt;=" &amp; AY$1, DataRegularSeason20242025!$E$3:$E$1315, $A6)</f>
        <v>6</v>
      </c>
      <c r="AZ6">
        <f>SUMIFS(DataRegularSeason20242025!$AA$3:$AA$1315,DataRegularSeason20242025!$B$3:$B$1315, "&lt;=" &amp; AZ$1, DataRegularSeason20242025!$D$3:$D$1315, $A6)+SUMIFS(DataRegularSeason20242025!$AB$3:$AB$1315,DataRegularSeason20242025!$B$3:$B$1315, "&lt;=" &amp; AZ$1, DataRegularSeason20242025!$E$3:$E$1315, $A6)</f>
        <v>6</v>
      </c>
      <c r="BA6">
        <f>SUMIFS(DataRegularSeason20242025!$AA$3:$AA$1315,DataRegularSeason20242025!$B$3:$B$1315, "&lt;=" &amp; BA$1, DataRegularSeason20242025!$D$3:$D$1315, $A6)+SUMIFS(DataRegularSeason20242025!$AB$3:$AB$1315,DataRegularSeason20242025!$B$3:$B$1315, "&lt;=" &amp; BA$1, DataRegularSeason20242025!$E$3:$E$1315, $A6)</f>
        <v>6</v>
      </c>
      <c r="BB6">
        <f>SUMIFS(DataRegularSeason20242025!$AA$3:$AA$1315,DataRegularSeason20242025!$B$3:$B$1315, "&lt;=" &amp; BB$1, DataRegularSeason20242025!$D$3:$D$1315, $A6)+SUMIFS(DataRegularSeason20242025!$AB$3:$AB$1315,DataRegularSeason20242025!$B$3:$B$1315, "&lt;=" &amp; BB$1, DataRegularSeason20242025!$E$3:$E$1315, $A6)</f>
        <v>6</v>
      </c>
      <c r="BC6">
        <f>SUMIFS(DataRegularSeason20242025!$AA$3:$AA$1315,DataRegularSeason20242025!$B$3:$B$1315, "&lt;=" &amp; BC$1, DataRegularSeason20242025!$D$3:$D$1315, $A6)+SUMIFS(DataRegularSeason20242025!$AB$3:$AB$1315,DataRegularSeason20242025!$B$3:$B$1315, "&lt;=" &amp; BC$1, DataRegularSeason20242025!$E$3:$E$1315, $A6)</f>
        <v>6</v>
      </c>
      <c r="BD6">
        <f>SUMIFS(DataRegularSeason20242025!$AA$3:$AA$1315,DataRegularSeason20242025!$B$3:$B$1315, "&lt;=" &amp; BD$1, DataRegularSeason20242025!$D$3:$D$1315, $A6)+SUMIFS(DataRegularSeason20242025!$AB$3:$AB$1315,DataRegularSeason20242025!$B$3:$B$1315, "&lt;=" &amp; BD$1, DataRegularSeason20242025!$E$3:$E$1315, $A6)</f>
        <v>6</v>
      </c>
      <c r="BE6">
        <f>SUMIFS(DataRegularSeason20242025!$AA$3:$AA$1315,DataRegularSeason20242025!$B$3:$B$1315, "&lt;=" &amp; BE$1, DataRegularSeason20242025!$D$3:$D$1315, $A6)+SUMIFS(DataRegularSeason20242025!$AB$3:$AB$1315,DataRegularSeason20242025!$B$3:$B$1315, "&lt;=" &amp; BE$1, DataRegularSeason20242025!$E$3:$E$1315, $A6)</f>
        <v>6</v>
      </c>
      <c r="BF6">
        <f>SUMIFS(DataRegularSeason20242025!$AA$3:$AA$1315,DataRegularSeason20242025!$B$3:$B$1315, "&lt;=" &amp; BF$1, DataRegularSeason20242025!$D$3:$D$1315, $A6)+SUMIFS(DataRegularSeason20242025!$AB$3:$AB$1315,DataRegularSeason20242025!$B$3:$B$1315, "&lt;=" &amp; BF$1, DataRegularSeason20242025!$E$3:$E$1315, $A6)</f>
        <v>6</v>
      </c>
      <c r="BG6">
        <f>SUMIFS(DataRegularSeason20242025!$AA$3:$AA$1315,DataRegularSeason20242025!$B$3:$B$1315, "&lt;=" &amp; BG$1, DataRegularSeason20242025!$D$3:$D$1315, $A6)+SUMIFS(DataRegularSeason20242025!$AB$3:$AB$1315,DataRegularSeason20242025!$B$3:$B$1315, "&lt;=" &amp; BG$1, DataRegularSeason20242025!$E$3:$E$1315, $A6)</f>
        <v>6</v>
      </c>
      <c r="BH6">
        <f>SUMIFS(DataRegularSeason20242025!$AA$3:$AA$1315,DataRegularSeason20242025!$B$3:$B$1315, "&lt;=" &amp; BH$1, DataRegularSeason20242025!$D$3:$D$1315, $A6)+SUMIFS(DataRegularSeason20242025!$AB$3:$AB$1315,DataRegularSeason20242025!$B$3:$B$1315, "&lt;=" &amp; BH$1, DataRegularSeason20242025!$E$3:$E$1315, $A6)</f>
        <v>6</v>
      </c>
      <c r="BI6">
        <f>SUMIFS(DataRegularSeason20242025!$AA$3:$AA$1315,DataRegularSeason20242025!$B$3:$B$1315, "&lt;=" &amp; BI$1, DataRegularSeason20242025!$D$3:$D$1315, $A6)+SUMIFS(DataRegularSeason20242025!$AB$3:$AB$1315,DataRegularSeason20242025!$B$3:$B$1315, "&lt;=" &amp; BI$1, DataRegularSeason20242025!$E$3:$E$1315, $A6)</f>
        <v>6</v>
      </c>
      <c r="BJ6">
        <f>SUMIFS(DataRegularSeason20242025!$AA$3:$AA$1315,DataRegularSeason20242025!$B$3:$B$1315, "&lt;=" &amp; BJ$1, DataRegularSeason20242025!$D$3:$D$1315, $A6)+SUMIFS(DataRegularSeason20242025!$AB$3:$AB$1315,DataRegularSeason20242025!$B$3:$B$1315, "&lt;=" &amp; BJ$1, DataRegularSeason20242025!$E$3:$E$1315, $A6)</f>
        <v>6</v>
      </c>
      <c r="BK6">
        <f>SUMIFS(DataRegularSeason20242025!$AA$3:$AA$1315,DataRegularSeason20242025!$B$3:$B$1315, "&lt;=" &amp; BK$1, DataRegularSeason20242025!$D$3:$D$1315, $A6)+SUMIFS(DataRegularSeason20242025!$AB$3:$AB$1315,DataRegularSeason20242025!$B$3:$B$1315, "&lt;=" &amp; BK$1, DataRegularSeason20242025!$E$3:$E$1315, $A6)</f>
        <v>6</v>
      </c>
      <c r="BL6">
        <f>SUMIFS(DataRegularSeason20242025!$AA$3:$AA$1315,DataRegularSeason20242025!$B$3:$B$1315, "&lt;=" &amp; BL$1, DataRegularSeason20242025!$D$3:$D$1315, $A6)+SUMIFS(DataRegularSeason20242025!$AB$3:$AB$1315,DataRegularSeason20242025!$B$3:$B$1315, "&lt;=" &amp; BL$1, DataRegularSeason20242025!$E$3:$E$1315, $A6)</f>
        <v>6</v>
      </c>
      <c r="BM6">
        <f>SUMIFS(DataRegularSeason20242025!$AA$3:$AA$1315,DataRegularSeason20242025!$B$3:$B$1315, "&lt;=" &amp; BM$1, DataRegularSeason20242025!$D$3:$D$1315, $A6)+SUMIFS(DataRegularSeason20242025!$AB$3:$AB$1315,DataRegularSeason20242025!$B$3:$B$1315, "&lt;=" &amp; BM$1, DataRegularSeason20242025!$E$3:$E$1315, $A6)</f>
        <v>6</v>
      </c>
      <c r="BN6">
        <f>SUMIFS(DataRegularSeason20242025!$AA$3:$AA$1315,DataRegularSeason20242025!$B$3:$B$1315, "&lt;=" &amp; BN$1, DataRegularSeason20242025!$D$3:$D$1315, $A6)+SUMIFS(DataRegularSeason20242025!$AB$3:$AB$1315,DataRegularSeason20242025!$B$3:$B$1315, "&lt;=" &amp; BN$1, DataRegularSeason20242025!$E$3:$E$1315, $A6)</f>
        <v>6</v>
      </c>
      <c r="BO6">
        <f>SUMIFS(DataRegularSeason20242025!$AA$3:$AA$1315,DataRegularSeason20242025!$B$3:$B$1315, "&lt;=" &amp; BO$1, DataRegularSeason20242025!$D$3:$D$1315, $A6)+SUMIFS(DataRegularSeason20242025!$AB$3:$AB$1315,DataRegularSeason20242025!$B$3:$B$1315, "&lt;=" &amp; BO$1, DataRegularSeason20242025!$E$3:$E$1315, $A6)</f>
        <v>6</v>
      </c>
      <c r="BP6">
        <f>SUMIFS(DataRegularSeason20242025!$AA$3:$AA$1315,DataRegularSeason20242025!$B$3:$B$1315, "&lt;=" &amp; BP$1, DataRegularSeason20242025!$D$3:$D$1315, $A6)+SUMIFS(DataRegularSeason20242025!$AB$3:$AB$1315,DataRegularSeason20242025!$B$3:$B$1315, "&lt;=" &amp; BP$1, DataRegularSeason20242025!$E$3:$E$1315, $A6)</f>
        <v>6</v>
      </c>
      <c r="BQ6">
        <f>SUMIFS(DataRegularSeason20242025!$AA$3:$AA$1315,DataRegularSeason20242025!$B$3:$B$1315, "&lt;=" &amp; BQ$1, DataRegularSeason20242025!$D$3:$D$1315, $A6)+SUMIFS(DataRegularSeason20242025!$AB$3:$AB$1315,DataRegularSeason20242025!$B$3:$B$1315, "&lt;=" &amp; BQ$1, DataRegularSeason20242025!$E$3:$E$1315, $A6)</f>
        <v>6</v>
      </c>
      <c r="BR6">
        <f>SUMIFS(DataRegularSeason20242025!$AA$3:$AA$1315,DataRegularSeason20242025!$B$3:$B$1315, "&lt;=" &amp; BR$1, DataRegularSeason20242025!$D$3:$D$1315, $A6)+SUMIFS(DataRegularSeason20242025!$AB$3:$AB$1315,DataRegularSeason20242025!$B$3:$B$1315, "&lt;=" &amp; BR$1, DataRegularSeason20242025!$E$3:$E$1315, $A6)</f>
        <v>6</v>
      </c>
      <c r="BS6">
        <f>SUMIFS(DataRegularSeason20242025!$AA$3:$AA$1315,DataRegularSeason20242025!$B$3:$B$1315, "&lt;=" &amp; BS$1, DataRegularSeason20242025!$D$3:$D$1315, $A6)+SUMIFS(DataRegularSeason20242025!$AB$3:$AB$1315,DataRegularSeason20242025!$B$3:$B$1315, "&lt;=" &amp; BS$1, DataRegularSeason20242025!$E$3:$E$1315, $A6)</f>
        <v>6</v>
      </c>
      <c r="BT6">
        <f>SUMIFS(DataRegularSeason20242025!$AA$3:$AA$1315,DataRegularSeason20242025!$B$3:$B$1315, "&lt;=" &amp; BT$1, DataRegularSeason20242025!$D$3:$D$1315, $A6)+SUMIFS(DataRegularSeason20242025!$AB$3:$AB$1315,DataRegularSeason20242025!$B$3:$B$1315, "&lt;=" &amp; BT$1, DataRegularSeason20242025!$E$3:$E$1315, $A6)</f>
        <v>6</v>
      </c>
      <c r="BU6">
        <f>SUMIFS(DataRegularSeason20242025!$AA$3:$AA$1315,DataRegularSeason20242025!$B$3:$B$1315, "&lt;=" &amp; BU$1, DataRegularSeason20242025!$D$3:$D$1315, $A6)+SUMIFS(DataRegularSeason20242025!$AB$3:$AB$1315,DataRegularSeason20242025!$B$3:$B$1315, "&lt;=" &amp; BU$1, DataRegularSeason20242025!$E$3:$E$1315, $A6)</f>
        <v>6</v>
      </c>
      <c r="BV6">
        <f>SUMIFS(DataRegularSeason20242025!$AA$3:$AA$1315,DataRegularSeason20242025!$B$3:$B$1315, "&lt;=" &amp; BV$1, DataRegularSeason20242025!$D$3:$D$1315, $A6)+SUMIFS(DataRegularSeason20242025!$AB$3:$AB$1315,DataRegularSeason20242025!$B$3:$B$1315, "&lt;=" &amp; BV$1, DataRegularSeason20242025!$E$3:$E$1315, $A6)</f>
        <v>6</v>
      </c>
      <c r="BW6">
        <f>SUMIFS(DataRegularSeason20242025!$AA$3:$AA$1315,DataRegularSeason20242025!$B$3:$B$1315, "&lt;=" &amp; BW$1, DataRegularSeason20242025!$D$3:$D$1315, $A6)+SUMIFS(DataRegularSeason20242025!$AB$3:$AB$1315,DataRegularSeason20242025!$B$3:$B$1315, "&lt;=" &amp; BW$1, DataRegularSeason20242025!$E$3:$E$1315, $A6)</f>
        <v>6</v>
      </c>
      <c r="BX6">
        <f>SUMIFS(DataRegularSeason20242025!$AA$3:$AA$1315,DataRegularSeason20242025!$B$3:$B$1315, "&lt;=" &amp; BX$1, DataRegularSeason20242025!$D$3:$D$1315, $A6)+SUMIFS(DataRegularSeason20242025!$AB$3:$AB$1315,DataRegularSeason20242025!$B$3:$B$1315, "&lt;=" &amp; BX$1, DataRegularSeason20242025!$E$3:$E$1315, $A6)</f>
        <v>6</v>
      </c>
      <c r="BY6">
        <f>SUMIFS(DataRegularSeason20242025!$AA$3:$AA$1315,DataRegularSeason20242025!$B$3:$B$1315, "&lt;=" &amp; BY$1, DataRegularSeason20242025!$D$3:$D$1315, $A6)+SUMIFS(DataRegularSeason20242025!$AB$3:$AB$1315,DataRegularSeason20242025!$B$3:$B$1315, "&lt;=" &amp; BY$1, DataRegularSeason20242025!$E$3:$E$1315, $A6)</f>
        <v>6</v>
      </c>
      <c r="BZ6">
        <f>SUMIFS(DataRegularSeason20242025!$AA$3:$AA$1315,DataRegularSeason20242025!$B$3:$B$1315, "&lt;=" &amp; BZ$1, DataRegularSeason20242025!$D$3:$D$1315, $A6)+SUMIFS(DataRegularSeason20242025!$AB$3:$AB$1315,DataRegularSeason20242025!$B$3:$B$1315, "&lt;=" &amp; BZ$1, DataRegularSeason20242025!$E$3:$E$1315, $A6)</f>
        <v>6</v>
      </c>
      <c r="CA6">
        <f>SUMIFS(DataRegularSeason20242025!$AA$3:$AA$1315,DataRegularSeason20242025!$B$3:$B$1315, "&lt;=" &amp; CA$1, DataRegularSeason20242025!$D$3:$D$1315, $A6)+SUMIFS(DataRegularSeason20242025!$AB$3:$AB$1315,DataRegularSeason20242025!$B$3:$B$1315, "&lt;=" &amp; CA$1, DataRegularSeason20242025!$E$3:$E$1315, $A6)</f>
        <v>6</v>
      </c>
      <c r="CB6">
        <f>SUMIFS(DataRegularSeason20242025!$AA$3:$AA$1315,DataRegularSeason20242025!$B$3:$B$1315, "&lt;=" &amp; CB$1, DataRegularSeason20242025!$D$3:$D$1315, $A6)+SUMIFS(DataRegularSeason20242025!$AB$3:$AB$1315,DataRegularSeason20242025!$B$3:$B$1315, "&lt;=" &amp; CB$1, DataRegularSeason20242025!$E$3:$E$1315, $A6)</f>
        <v>6</v>
      </c>
      <c r="CC6">
        <f>SUMIFS(DataRegularSeason20242025!$AA$3:$AA$1315,DataRegularSeason20242025!$B$3:$B$1315, "&lt;=" &amp; CC$1, DataRegularSeason20242025!$D$3:$D$1315, $A6)+SUMIFS(DataRegularSeason20242025!$AB$3:$AB$1315,DataRegularSeason20242025!$B$3:$B$1315, "&lt;=" &amp; CC$1, DataRegularSeason20242025!$E$3:$E$1315, $A6)</f>
        <v>6</v>
      </c>
      <c r="CD6">
        <f>SUMIFS(DataRegularSeason20242025!$AA$3:$AA$1315,DataRegularSeason20242025!$B$3:$B$1315, "&lt;=" &amp; CD$1, DataRegularSeason20242025!$D$3:$D$1315, $A6)+SUMIFS(DataRegularSeason20242025!$AB$3:$AB$1315,DataRegularSeason20242025!$B$3:$B$1315, "&lt;=" &amp; CD$1, DataRegularSeason20242025!$E$3:$E$1315, $A6)</f>
        <v>6</v>
      </c>
      <c r="CE6">
        <f>SUMIFS(DataRegularSeason20242025!$AA$3:$AA$1315,DataRegularSeason20242025!$B$3:$B$1315, "&lt;=" &amp; CE$1, DataRegularSeason20242025!$D$3:$D$1315, $A6)+SUMIFS(DataRegularSeason20242025!$AB$3:$AB$1315,DataRegularSeason20242025!$B$3:$B$1315, "&lt;=" &amp; CE$1, DataRegularSeason20242025!$E$3:$E$1315, $A6)</f>
        <v>6</v>
      </c>
      <c r="CF6">
        <f>SUMIFS(DataRegularSeason20242025!$AA$3:$AA$1315,DataRegularSeason20242025!$B$3:$B$1315, "&lt;=" &amp; CF$1, DataRegularSeason20242025!$D$3:$D$1315, $A6)+SUMIFS(DataRegularSeason20242025!$AB$3:$AB$1315,DataRegularSeason20242025!$B$3:$B$1315, "&lt;=" &amp; CF$1, DataRegularSeason20242025!$E$3:$E$1315, $A6)</f>
        <v>6</v>
      </c>
      <c r="CG6">
        <f>SUMIFS(DataRegularSeason20242025!$AA$3:$AA$1315,DataRegularSeason20242025!$B$3:$B$1315, "&lt;=" &amp; CG$1, DataRegularSeason20242025!$D$3:$D$1315, $A6)+SUMIFS(DataRegularSeason20242025!$AB$3:$AB$1315,DataRegularSeason20242025!$B$3:$B$1315, "&lt;=" &amp; CG$1, DataRegularSeason20242025!$E$3:$E$1315, $A6)</f>
        <v>6</v>
      </c>
      <c r="CH6">
        <f>SUMIFS(DataRegularSeason20242025!$AA$3:$AA$1315,DataRegularSeason20242025!$B$3:$B$1315, "&lt;=" &amp; CH$1, DataRegularSeason20242025!$D$3:$D$1315, $A6)+SUMIFS(DataRegularSeason20242025!$AB$3:$AB$1315,DataRegularSeason20242025!$B$3:$B$1315, "&lt;=" &amp; CH$1, DataRegularSeason20242025!$E$3:$E$1315, $A6)</f>
        <v>6</v>
      </c>
      <c r="CI6">
        <f>SUMIFS(DataRegularSeason20242025!$AA$3:$AA$1315,DataRegularSeason20242025!$B$3:$B$1315, "&lt;=" &amp; CI$1, DataRegularSeason20242025!$D$3:$D$1315, $A6)+SUMIFS(DataRegularSeason20242025!$AB$3:$AB$1315,DataRegularSeason20242025!$B$3:$B$1315, "&lt;=" &amp; CI$1, DataRegularSeason20242025!$E$3:$E$1315, $A6)</f>
        <v>6</v>
      </c>
      <c r="CJ6">
        <f>SUMIFS(DataRegularSeason20242025!$AA$3:$AA$1315,DataRegularSeason20242025!$B$3:$B$1315, "&lt;=" &amp; CJ$1, DataRegularSeason20242025!$D$3:$D$1315, $A6)+SUMIFS(DataRegularSeason20242025!$AB$3:$AB$1315,DataRegularSeason20242025!$B$3:$B$1315, "&lt;=" &amp; CJ$1, DataRegularSeason20242025!$E$3:$E$1315, $A6)</f>
        <v>6</v>
      </c>
      <c r="CK6">
        <f>SUMIFS(DataRegularSeason20242025!$AA$3:$AA$1315,DataRegularSeason20242025!$B$3:$B$1315, "&lt;=" &amp; CK$1, DataRegularSeason20242025!$D$3:$D$1315, $A6)+SUMIFS(DataRegularSeason20242025!$AB$3:$AB$1315,DataRegularSeason20242025!$B$3:$B$1315, "&lt;=" &amp; CK$1, DataRegularSeason20242025!$E$3:$E$1315, $A6)</f>
        <v>6</v>
      </c>
      <c r="CL6">
        <f>SUMIFS(DataRegularSeason20242025!$AA$3:$AA$1315,DataRegularSeason20242025!$B$3:$B$1315, "&lt;=" &amp; CL$1, DataRegularSeason20242025!$D$3:$D$1315, $A6)+SUMIFS(DataRegularSeason20242025!$AB$3:$AB$1315,DataRegularSeason20242025!$B$3:$B$1315, "&lt;=" &amp; CL$1, DataRegularSeason20242025!$E$3:$E$1315, $A6)</f>
        <v>6</v>
      </c>
      <c r="CM6">
        <f>SUMIFS(DataRegularSeason20242025!$AA$3:$AA$1315,DataRegularSeason20242025!$B$3:$B$1315, "&lt;=" &amp; CM$1, DataRegularSeason20242025!$D$3:$D$1315, $A6)+SUMIFS(DataRegularSeason20242025!$AB$3:$AB$1315,DataRegularSeason20242025!$B$3:$B$1315, "&lt;=" &amp; CM$1, DataRegularSeason20242025!$E$3:$E$1315, $A6)</f>
        <v>6</v>
      </c>
      <c r="CN6">
        <f>SUMIFS(DataRegularSeason20242025!$AA$3:$AA$1315,DataRegularSeason20242025!$B$3:$B$1315, "&lt;=" &amp; CN$1, DataRegularSeason20242025!$D$3:$D$1315, $A6)+SUMIFS(DataRegularSeason20242025!$AB$3:$AB$1315,DataRegularSeason20242025!$B$3:$B$1315, "&lt;=" &amp; CN$1, DataRegularSeason20242025!$E$3:$E$1315, $A6)</f>
        <v>6</v>
      </c>
      <c r="CO6">
        <f>SUMIFS(DataRegularSeason20242025!$AA$3:$AA$1315,DataRegularSeason20242025!$B$3:$B$1315, "&lt;=" &amp; CO$1, DataRegularSeason20242025!$D$3:$D$1315, $A6)+SUMIFS(DataRegularSeason20242025!$AB$3:$AB$1315,DataRegularSeason20242025!$B$3:$B$1315, "&lt;=" &amp; CO$1, DataRegularSeason20242025!$E$3:$E$1315, $A6)</f>
        <v>6</v>
      </c>
      <c r="CP6">
        <f>SUMIFS(DataRegularSeason20242025!$AA$3:$AA$1315,DataRegularSeason20242025!$B$3:$B$1315, "&lt;=" &amp; CP$1, DataRegularSeason20242025!$D$3:$D$1315, $A6)+SUMIFS(DataRegularSeason20242025!$AB$3:$AB$1315,DataRegularSeason20242025!$B$3:$B$1315, "&lt;=" &amp; CP$1, DataRegularSeason20242025!$E$3:$E$1315, $A6)</f>
        <v>6</v>
      </c>
      <c r="CQ6">
        <f>SUMIFS(DataRegularSeason20242025!$AA$3:$AA$1315,DataRegularSeason20242025!$B$3:$B$1315, "&lt;=" &amp; CQ$1, DataRegularSeason20242025!$D$3:$D$1315, $A6)+SUMIFS(DataRegularSeason20242025!$AB$3:$AB$1315,DataRegularSeason20242025!$B$3:$B$1315, "&lt;=" &amp; CQ$1, DataRegularSeason20242025!$E$3:$E$1315, $A6)</f>
        <v>6</v>
      </c>
      <c r="CR6">
        <f>SUMIFS(DataRegularSeason20242025!$AA$3:$AA$1315,DataRegularSeason20242025!$B$3:$B$1315, "&lt;=" &amp; CR$1, DataRegularSeason20242025!$D$3:$D$1315, $A6)+SUMIFS(DataRegularSeason20242025!$AB$3:$AB$1315,DataRegularSeason20242025!$B$3:$B$1315, "&lt;=" &amp; CR$1, DataRegularSeason20242025!$E$3:$E$1315, $A6)</f>
        <v>6</v>
      </c>
      <c r="CS6">
        <f>SUMIFS(DataRegularSeason20242025!$AA$3:$AA$1315,DataRegularSeason20242025!$B$3:$B$1315, "&lt;=" &amp; CS$1, DataRegularSeason20242025!$D$3:$D$1315, $A6)+SUMIFS(DataRegularSeason20242025!$AB$3:$AB$1315,DataRegularSeason20242025!$B$3:$B$1315, "&lt;=" &amp; CS$1, DataRegularSeason20242025!$E$3:$E$1315, $A6)</f>
        <v>6</v>
      </c>
      <c r="CT6">
        <f>SUMIFS(DataRegularSeason20242025!$AA$3:$AA$1315,DataRegularSeason20242025!$B$3:$B$1315, "&lt;=" &amp; CT$1, DataRegularSeason20242025!$D$3:$D$1315, $A6)+SUMIFS(DataRegularSeason20242025!$AB$3:$AB$1315,DataRegularSeason20242025!$B$3:$B$1315, "&lt;=" &amp; CT$1, DataRegularSeason20242025!$E$3:$E$1315, $A6)</f>
        <v>6</v>
      </c>
      <c r="CU6">
        <f>SUMIFS(DataRegularSeason20242025!$AA$3:$AA$1315,DataRegularSeason20242025!$B$3:$B$1315, "&lt;=" &amp; CU$1, DataRegularSeason20242025!$D$3:$D$1315, $A6)+SUMIFS(DataRegularSeason20242025!$AB$3:$AB$1315,DataRegularSeason20242025!$B$3:$B$1315, "&lt;=" &amp; CU$1, DataRegularSeason20242025!$E$3:$E$1315, $A6)</f>
        <v>6</v>
      </c>
      <c r="CV6">
        <f>SUMIFS(DataRegularSeason20242025!$AA$3:$AA$1315,DataRegularSeason20242025!$B$3:$B$1315, "&lt;=" &amp; CV$1, DataRegularSeason20242025!$D$3:$D$1315, $A6)+SUMIFS(DataRegularSeason20242025!$AB$3:$AB$1315,DataRegularSeason20242025!$B$3:$B$1315, "&lt;=" &amp; CV$1, DataRegularSeason20242025!$E$3:$E$1315, $A6)</f>
        <v>6</v>
      </c>
      <c r="CW6">
        <f>SUMIFS(DataRegularSeason20242025!$AA$3:$AA$1315,DataRegularSeason20242025!$B$3:$B$1315, "&lt;=" &amp; CW$1, DataRegularSeason20242025!$D$3:$D$1315, $A6)+SUMIFS(DataRegularSeason20242025!$AB$3:$AB$1315,DataRegularSeason20242025!$B$3:$B$1315, "&lt;=" &amp; CW$1, DataRegularSeason20242025!$E$3:$E$1315, $A6)</f>
        <v>6</v>
      </c>
      <c r="CX6">
        <f>SUMIFS(DataRegularSeason20242025!$AA$3:$AA$1315,DataRegularSeason20242025!$B$3:$B$1315, "&lt;=" &amp; CX$1, DataRegularSeason20242025!$D$3:$D$1315, $A6)+SUMIFS(DataRegularSeason20242025!$AB$3:$AB$1315,DataRegularSeason20242025!$B$3:$B$1315, "&lt;=" &amp; CX$1, DataRegularSeason20242025!$E$3:$E$1315, $A6)</f>
        <v>6</v>
      </c>
      <c r="CY6">
        <f>SUMIFS(DataRegularSeason20242025!$AA$3:$AA$1315,DataRegularSeason20242025!$B$3:$B$1315, "&lt;=" &amp; CY$1, DataRegularSeason20242025!$D$3:$D$1315, $A6)+SUMIFS(DataRegularSeason20242025!$AB$3:$AB$1315,DataRegularSeason20242025!$B$3:$B$1315, "&lt;=" &amp; CY$1, DataRegularSeason20242025!$E$3:$E$1315, $A6)</f>
        <v>6</v>
      </c>
      <c r="CZ6">
        <f>SUMIFS(DataRegularSeason20242025!$AA$3:$AA$1315,DataRegularSeason20242025!$B$3:$B$1315, "&lt;=" &amp; CZ$1, DataRegularSeason20242025!$D$3:$D$1315, $A6)+SUMIFS(DataRegularSeason20242025!$AB$3:$AB$1315,DataRegularSeason20242025!$B$3:$B$1315, "&lt;=" &amp; CZ$1, DataRegularSeason20242025!$E$3:$E$1315, $A6)</f>
        <v>6</v>
      </c>
      <c r="DA6">
        <f>SUMIFS(DataRegularSeason20242025!$AA$3:$AA$1315,DataRegularSeason20242025!$B$3:$B$1315, "&lt;=" &amp; DA$1, DataRegularSeason20242025!$D$3:$D$1315, $A6)+SUMIFS(DataRegularSeason20242025!$AB$3:$AB$1315,DataRegularSeason20242025!$B$3:$B$1315, "&lt;=" &amp; DA$1, DataRegularSeason20242025!$E$3:$E$1315, $A6)</f>
        <v>6</v>
      </c>
      <c r="DB6">
        <f>SUMIFS(DataRegularSeason20242025!$AA$3:$AA$1315,DataRegularSeason20242025!$B$3:$B$1315, "&lt;=" &amp; DB$1, DataRegularSeason20242025!$D$3:$D$1315, $A6)+SUMIFS(DataRegularSeason20242025!$AB$3:$AB$1315,DataRegularSeason20242025!$B$3:$B$1315, "&lt;=" &amp; DB$1, DataRegularSeason20242025!$E$3:$E$1315, $A6)</f>
        <v>6</v>
      </c>
      <c r="DC6">
        <f>SUMIFS(DataRegularSeason20242025!$AA$3:$AA$1315,DataRegularSeason20242025!$B$3:$B$1315, "&lt;=" &amp; DC$1, DataRegularSeason20242025!$D$3:$D$1315, $A6)+SUMIFS(DataRegularSeason20242025!$AB$3:$AB$1315,DataRegularSeason20242025!$B$3:$B$1315, "&lt;=" &amp; DC$1, DataRegularSeason20242025!$E$3:$E$1315, $A6)</f>
        <v>6</v>
      </c>
      <c r="DD6">
        <f>SUMIFS(DataRegularSeason20242025!$AA$3:$AA$1315,DataRegularSeason20242025!$B$3:$B$1315, "&lt;=" &amp; DD$1, DataRegularSeason20242025!$D$3:$D$1315, $A6)+SUMIFS(DataRegularSeason20242025!$AB$3:$AB$1315,DataRegularSeason20242025!$B$3:$B$1315, "&lt;=" &amp; DD$1, DataRegularSeason20242025!$E$3:$E$1315, $A6)</f>
        <v>6</v>
      </c>
      <c r="DE6">
        <f>SUMIFS(DataRegularSeason20242025!$AA$3:$AA$1315,DataRegularSeason20242025!$B$3:$B$1315, "&lt;=" &amp; DE$1, DataRegularSeason20242025!$D$3:$D$1315, $A6)+SUMIFS(DataRegularSeason20242025!$AB$3:$AB$1315,DataRegularSeason20242025!$B$3:$B$1315, "&lt;=" &amp; DE$1, DataRegularSeason20242025!$E$3:$E$1315, $A6)</f>
        <v>6</v>
      </c>
      <c r="DF6">
        <f>SUMIFS(DataRegularSeason20242025!$AA$3:$AA$1315,DataRegularSeason20242025!$B$3:$B$1315, "&lt;=" &amp; DF$1, DataRegularSeason20242025!$D$3:$D$1315, $A6)+SUMIFS(DataRegularSeason20242025!$AB$3:$AB$1315,DataRegularSeason20242025!$B$3:$B$1315, "&lt;=" &amp; DF$1, DataRegularSeason20242025!$E$3:$E$1315, $A6)</f>
        <v>6</v>
      </c>
      <c r="DG6">
        <f>SUMIFS(DataRegularSeason20242025!$AA$3:$AA$1315,DataRegularSeason20242025!$B$3:$B$1315, "&lt;=" &amp; DG$1, DataRegularSeason20242025!$D$3:$D$1315, $A6)+SUMIFS(DataRegularSeason20242025!$AB$3:$AB$1315,DataRegularSeason20242025!$B$3:$B$1315, "&lt;=" &amp; DG$1, DataRegularSeason20242025!$E$3:$E$1315, $A6)</f>
        <v>6</v>
      </c>
      <c r="DH6">
        <f>SUMIFS(DataRegularSeason20242025!$AA$3:$AA$1315,DataRegularSeason20242025!$B$3:$B$1315, "&lt;=" &amp; DH$1, DataRegularSeason20242025!$D$3:$D$1315, $A6)+SUMIFS(DataRegularSeason20242025!$AB$3:$AB$1315,DataRegularSeason20242025!$B$3:$B$1315, "&lt;=" &amp; DH$1, DataRegularSeason20242025!$E$3:$E$1315, $A6)</f>
        <v>6</v>
      </c>
      <c r="DI6">
        <f>SUMIFS(DataRegularSeason20242025!$AA$3:$AA$1315,DataRegularSeason20242025!$B$3:$B$1315, "&lt;=" &amp; DI$1, DataRegularSeason20242025!$D$3:$D$1315, $A6)+SUMIFS(DataRegularSeason20242025!$AB$3:$AB$1315,DataRegularSeason20242025!$B$3:$B$1315, "&lt;=" &amp; DI$1, DataRegularSeason20242025!$E$3:$E$1315, $A6)</f>
        <v>6</v>
      </c>
      <c r="DJ6">
        <f>SUMIFS(DataRegularSeason20242025!$AA$3:$AA$1315,DataRegularSeason20242025!$B$3:$B$1315, "&lt;=" &amp; DJ$1, DataRegularSeason20242025!$D$3:$D$1315, $A6)+SUMIFS(DataRegularSeason20242025!$AB$3:$AB$1315,DataRegularSeason20242025!$B$3:$B$1315, "&lt;=" &amp; DJ$1, DataRegularSeason20242025!$E$3:$E$1315, $A6)</f>
        <v>6</v>
      </c>
      <c r="DK6">
        <f>SUMIFS(DataRegularSeason20242025!$AA$3:$AA$1315,DataRegularSeason20242025!$B$3:$B$1315, "&lt;=" &amp; DK$1, DataRegularSeason20242025!$D$3:$D$1315, $A6)+SUMIFS(DataRegularSeason20242025!$AB$3:$AB$1315,DataRegularSeason20242025!$B$3:$B$1315, "&lt;=" &amp; DK$1, DataRegularSeason20242025!$E$3:$E$1315, $A6)</f>
        <v>6</v>
      </c>
      <c r="DL6">
        <f>SUMIFS(DataRegularSeason20242025!$AA$3:$AA$1315,DataRegularSeason20242025!$B$3:$B$1315, "&lt;=" &amp; DL$1, DataRegularSeason20242025!$D$3:$D$1315, $A6)+SUMIFS(DataRegularSeason20242025!$AB$3:$AB$1315,DataRegularSeason20242025!$B$3:$B$1315, "&lt;=" &amp; DL$1, DataRegularSeason20242025!$E$3:$E$1315, $A6)</f>
        <v>6</v>
      </c>
      <c r="DM6">
        <f>SUMIFS(DataRegularSeason20242025!$AA$3:$AA$1315,DataRegularSeason20242025!$B$3:$B$1315, "&lt;=" &amp; DM$1, DataRegularSeason20242025!$D$3:$D$1315, $A6)+SUMIFS(DataRegularSeason20242025!$AB$3:$AB$1315,DataRegularSeason20242025!$B$3:$B$1315, "&lt;=" &amp; DM$1, DataRegularSeason20242025!$E$3:$E$1315, $A6)</f>
        <v>6</v>
      </c>
      <c r="DN6">
        <f>SUMIFS(DataRegularSeason20242025!$AA$3:$AA$1315,DataRegularSeason20242025!$B$3:$B$1315, "&lt;=" &amp; DN$1, DataRegularSeason20242025!$D$3:$D$1315, $A6)+SUMIFS(DataRegularSeason20242025!$AB$3:$AB$1315,DataRegularSeason20242025!$B$3:$B$1315, "&lt;=" &amp; DN$1, DataRegularSeason20242025!$E$3:$E$1315, $A6)</f>
        <v>6</v>
      </c>
      <c r="DO6">
        <f>SUMIFS(DataRegularSeason20242025!$AA$3:$AA$1315,DataRegularSeason20242025!$B$3:$B$1315, "&lt;=" &amp; DO$1, DataRegularSeason20242025!$D$3:$D$1315, $A6)+SUMIFS(DataRegularSeason20242025!$AB$3:$AB$1315,DataRegularSeason20242025!$B$3:$B$1315, "&lt;=" &amp; DO$1, DataRegularSeason20242025!$E$3:$E$1315, $A6)</f>
        <v>6</v>
      </c>
      <c r="DP6">
        <f>SUMIFS(DataRegularSeason20242025!$AA$3:$AA$1315,DataRegularSeason20242025!$B$3:$B$1315, "&lt;=" &amp; DP$1, DataRegularSeason20242025!$D$3:$D$1315, $A6)+SUMIFS(DataRegularSeason20242025!$AB$3:$AB$1315,DataRegularSeason20242025!$B$3:$B$1315, "&lt;=" &amp; DP$1, DataRegularSeason20242025!$E$3:$E$1315, $A6)</f>
        <v>6</v>
      </c>
      <c r="DQ6">
        <f>SUMIFS(DataRegularSeason20242025!$AA$3:$AA$1315,DataRegularSeason20242025!$B$3:$B$1315, "&lt;=" &amp; DQ$1, DataRegularSeason20242025!$D$3:$D$1315, $A6)+SUMIFS(DataRegularSeason20242025!$AB$3:$AB$1315,DataRegularSeason20242025!$B$3:$B$1315, "&lt;=" &amp; DQ$1, DataRegularSeason20242025!$E$3:$E$1315, $A6)</f>
        <v>6</v>
      </c>
      <c r="DR6">
        <f>SUMIFS(DataRegularSeason20242025!$AA$3:$AA$1315,DataRegularSeason20242025!$B$3:$B$1315, "&lt;=" &amp; DR$1, DataRegularSeason20242025!$D$3:$D$1315, $A6)+SUMIFS(DataRegularSeason20242025!$AB$3:$AB$1315,DataRegularSeason20242025!$B$3:$B$1315, "&lt;=" &amp; DR$1, DataRegularSeason20242025!$E$3:$E$1315, $A6)</f>
        <v>6</v>
      </c>
      <c r="DS6">
        <f>SUMIFS(DataRegularSeason20242025!$AA$3:$AA$1315,DataRegularSeason20242025!$B$3:$B$1315, "&lt;=" &amp; DS$1, DataRegularSeason20242025!$D$3:$D$1315, $A6)+SUMIFS(DataRegularSeason20242025!$AB$3:$AB$1315,DataRegularSeason20242025!$B$3:$B$1315, "&lt;=" &amp; DS$1, DataRegularSeason20242025!$E$3:$E$1315, $A6)</f>
        <v>6</v>
      </c>
      <c r="DT6">
        <f>SUMIFS(DataRegularSeason20242025!$AA$3:$AA$1315,DataRegularSeason20242025!$B$3:$B$1315, "&lt;=" &amp; DT$1, DataRegularSeason20242025!$D$3:$D$1315, $A6)+SUMIFS(DataRegularSeason20242025!$AB$3:$AB$1315,DataRegularSeason20242025!$B$3:$B$1315, "&lt;=" &amp; DT$1, DataRegularSeason20242025!$E$3:$E$1315, $A6)</f>
        <v>6</v>
      </c>
      <c r="DU6">
        <f>SUMIFS(DataRegularSeason20242025!$AA$3:$AA$1315,DataRegularSeason20242025!$B$3:$B$1315, "&lt;=" &amp; DU$1, DataRegularSeason20242025!$D$3:$D$1315, $A6)+SUMIFS(DataRegularSeason20242025!$AB$3:$AB$1315,DataRegularSeason20242025!$B$3:$B$1315, "&lt;=" &amp; DU$1, DataRegularSeason20242025!$E$3:$E$1315, $A6)</f>
        <v>6</v>
      </c>
      <c r="DV6">
        <f>SUMIFS(DataRegularSeason20242025!$AA$3:$AA$1315,DataRegularSeason20242025!$B$3:$B$1315, "&lt;=" &amp; DV$1, DataRegularSeason20242025!$D$3:$D$1315, $A6)+SUMIFS(DataRegularSeason20242025!$AB$3:$AB$1315,DataRegularSeason20242025!$B$3:$B$1315, "&lt;=" &amp; DV$1, DataRegularSeason20242025!$E$3:$E$1315, $A6)</f>
        <v>6</v>
      </c>
      <c r="DW6">
        <f>SUMIFS(DataRegularSeason20242025!$AA$3:$AA$1315,DataRegularSeason20242025!$B$3:$B$1315, "&lt;=" &amp; DW$1, DataRegularSeason20242025!$D$3:$D$1315, $A6)+SUMIFS(DataRegularSeason20242025!$AB$3:$AB$1315,DataRegularSeason20242025!$B$3:$B$1315, "&lt;=" &amp; DW$1, DataRegularSeason20242025!$E$3:$E$1315, $A6)</f>
        <v>6</v>
      </c>
      <c r="DX6">
        <f>SUMIFS(DataRegularSeason20242025!$AA$3:$AA$1315,DataRegularSeason20242025!$B$3:$B$1315, "&lt;=" &amp; DX$1, DataRegularSeason20242025!$D$3:$D$1315, $A6)+SUMIFS(DataRegularSeason20242025!$AB$3:$AB$1315,DataRegularSeason20242025!$B$3:$B$1315, "&lt;=" &amp; DX$1, DataRegularSeason20242025!$E$3:$E$1315, $A6)</f>
        <v>6</v>
      </c>
      <c r="DY6">
        <f>SUMIFS(DataRegularSeason20242025!$AA$3:$AA$1315,DataRegularSeason20242025!$B$3:$B$1315, "&lt;=" &amp; DY$1, DataRegularSeason20242025!$D$3:$D$1315, $A6)+SUMIFS(DataRegularSeason20242025!$AB$3:$AB$1315,DataRegularSeason20242025!$B$3:$B$1315, "&lt;=" &amp; DY$1, DataRegularSeason20242025!$E$3:$E$1315, $A6)</f>
        <v>6</v>
      </c>
      <c r="DZ6">
        <f>SUMIFS(DataRegularSeason20242025!$AA$3:$AA$1315,DataRegularSeason20242025!$B$3:$B$1315, "&lt;=" &amp; DZ$1, DataRegularSeason20242025!$D$3:$D$1315, $A6)+SUMIFS(DataRegularSeason20242025!$AB$3:$AB$1315,DataRegularSeason20242025!$B$3:$B$1315, "&lt;=" &amp; DZ$1, DataRegularSeason20242025!$E$3:$E$1315, $A6)</f>
        <v>6</v>
      </c>
      <c r="EA6">
        <f>SUMIFS(DataRegularSeason20242025!$AA$3:$AA$1315,DataRegularSeason20242025!$B$3:$B$1315, "&lt;=" &amp; EA$1, DataRegularSeason20242025!$D$3:$D$1315, $A6)+SUMIFS(DataRegularSeason20242025!$AB$3:$AB$1315,DataRegularSeason20242025!$B$3:$B$1315, "&lt;=" &amp; EA$1, DataRegularSeason20242025!$E$3:$E$1315, $A6)</f>
        <v>6</v>
      </c>
      <c r="EB6">
        <f>SUMIFS(DataRegularSeason20242025!$AA$3:$AA$1315,DataRegularSeason20242025!$B$3:$B$1315, "&lt;=" &amp; EB$1, DataRegularSeason20242025!$D$3:$D$1315, $A6)+SUMIFS(DataRegularSeason20242025!$AB$3:$AB$1315,DataRegularSeason20242025!$B$3:$B$1315, "&lt;=" &amp; EB$1, DataRegularSeason20242025!$E$3:$E$1315, $A6)</f>
        <v>6</v>
      </c>
      <c r="EC6">
        <f>SUMIFS(DataRegularSeason20242025!$AA$3:$AA$1315,DataRegularSeason20242025!$B$3:$B$1315, "&lt;=" &amp; EC$1, DataRegularSeason20242025!$D$3:$D$1315, $A6)+SUMIFS(DataRegularSeason20242025!$AB$3:$AB$1315,DataRegularSeason20242025!$B$3:$B$1315, "&lt;=" &amp; EC$1, DataRegularSeason20242025!$E$3:$E$1315, $A6)</f>
        <v>6</v>
      </c>
      <c r="ED6">
        <f>SUMIFS(DataRegularSeason20242025!$AA$3:$AA$1315,DataRegularSeason20242025!$B$3:$B$1315, "&lt;=" &amp; ED$1, DataRegularSeason20242025!$D$3:$D$1315, $A6)+SUMIFS(DataRegularSeason20242025!$AB$3:$AB$1315,DataRegularSeason20242025!$B$3:$B$1315, "&lt;=" &amp; ED$1, DataRegularSeason20242025!$E$3:$E$1315, $A6)</f>
        <v>6</v>
      </c>
      <c r="EE6">
        <f>SUMIFS(DataRegularSeason20242025!$AA$3:$AA$1315,DataRegularSeason20242025!$B$3:$B$1315, "&lt;=" &amp; EE$1, DataRegularSeason20242025!$D$3:$D$1315, $A6)+SUMIFS(DataRegularSeason20242025!$AB$3:$AB$1315,DataRegularSeason20242025!$B$3:$B$1315, "&lt;=" &amp; EE$1, DataRegularSeason20242025!$E$3:$E$1315, $A6)</f>
        <v>6</v>
      </c>
      <c r="EF6">
        <f>SUMIFS(DataRegularSeason20242025!$AA$3:$AA$1315,DataRegularSeason20242025!$B$3:$B$1315, "&lt;=" &amp; EF$1, DataRegularSeason20242025!$D$3:$D$1315, $A6)+SUMIFS(DataRegularSeason20242025!$AB$3:$AB$1315,DataRegularSeason20242025!$B$3:$B$1315, "&lt;=" &amp; EF$1, DataRegularSeason20242025!$E$3:$E$1315, $A6)</f>
        <v>6</v>
      </c>
      <c r="EG6">
        <f>SUMIFS(DataRegularSeason20242025!$AA$3:$AA$1315,DataRegularSeason20242025!$B$3:$B$1315, "&lt;=" &amp; EG$1, DataRegularSeason20242025!$D$3:$D$1315, $A6)+SUMIFS(DataRegularSeason20242025!$AB$3:$AB$1315,DataRegularSeason20242025!$B$3:$B$1315, "&lt;=" &amp; EG$1, DataRegularSeason20242025!$E$3:$E$1315, $A6)</f>
        <v>6</v>
      </c>
      <c r="EH6">
        <f>SUMIFS(DataRegularSeason20242025!$AA$3:$AA$1315,DataRegularSeason20242025!$B$3:$B$1315, "&lt;=" &amp; EH$1, DataRegularSeason20242025!$D$3:$D$1315, $A6)+SUMIFS(DataRegularSeason20242025!$AB$3:$AB$1315,DataRegularSeason20242025!$B$3:$B$1315, "&lt;=" &amp; EH$1, DataRegularSeason20242025!$E$3:$E$1315, $A6)</f>
        <v>6</v>
      </c>
      <c r="EI6">
        <f>SUMIFS(DataRegularSeason20242025!$AA$3:$AA$1315,DataRegularSeason20242025!$B$3:$B$1315, "&lt;=" &amp; EI$1, DataRegularSeason20242025!$D$3:$D$1315, $A6)+SUMIFS(DataRegularSeason20242025!$AB$3:$AB$1315,DataRegularSeason20242025!$B$3:$B$1315, "&lt;=" &amp; EI$1, DataRegularSeason20242025!$E$3:$E$1315, $A6)</f>
        <v>6</v>
      </c>
      <c r="EJ6">
        <f>SUMIFS(DataRegularSeason20242025!$AA$3:$AA$1315,DataRegularSeason20242025!$B$3:$B$1315, "&lt;=" &amp; EJ$1, DataRegularSeason20242025!$D$3:$D$1315, $A6)+SUMIFS(DataRegularSeason20242025!$AB$3:$AB$1315,DataRegularSeason20242025!$B$3:$B$1315, "&lt;=" &amp; EJ$1, DataRegularSeason20242025!$E$3:$E$1315, $A6)</f>
        <v>6</v>
      </c>
      <c r="EK6">
        <f>SUMIFS(DataRegularSeason20242025!$AA$3:$AA$1315,DataRegularSeason20242025!$B$3:$B$1315, "&lt;=" &amp; EK$1, DataRegularSeason20242025!$D$3:$D$1315, $A6)+SUMIFS(DataRegularSeason20242025!$AB$3:$AB$1315,DataRegularSeason20242025!$B$3:$B$1315, "&lt;=" &amp; EK$1, DataRegularSeason20242025!$E$3:$E$1315, $A6)</f>
        <v>6</v>
      </c>
      <c r="EL6">
        <f>SUMIFS(DataRegularSeason20242025!$AA$3:$AA$1315,DataRegularSeason20242025!$B$3:$B$1315, "&lt;=" &amp; EL$1, DataRegularSeason20242025!$D$3:$D$1315, $A6)+SUMIFS(DataRegularSeason20242025!$AB$3:$AB$1315,DataRegularSeason20242025!$B$3:$B$1315, "&lt;=" &amp; EL$1, DataRegularSeason20242025!$E$3:$E$1315, $A6)</f>
        <v>6</v>
      </c>
      <c r="EM6">
        <f>SUMIFS(DataRegularSeason20242025!$AA$3:$AA$1315,DataRegularSeason20242025!$B$3:$B$1315, "&lt;=" &amp; EM$1, DataRegularSeason20242025!$D$3:$D$1315, $A6)+SUMIFS(DataRegularSeason20242025!$AB$3:$AB$1315,DataRegularSeason20242025!$B$3:$B$1315, "&lt;=" &amp; EM$1, DataRegularSeason20242025!$E$3:$E$1315, $A6)</f>
        <v>6</v>
      </c>
      <c r="EN6">
        <f>SUMIFS(DataRegularSeason20242025!$AA$3:$AA$1315,DataRegularSeason20242025!$B$3:$B$1315, "&lt;=" &amp; EN$1, DataRegularSeason20242025!$D$3:$D$1315, $A6)+SUMIFS(DataRegularSeason20242025!$AB$3:$AB$1315,DataRegularSeason20242025!$B$3:$B$1315, "&lt;=" &amp; EN$1, DataRegularSeason20242025!$E$3:$E$1315, $A6)</f>
        <v>6</v>
      </c>
      <c r="EO6">
        <f>SUMIFS(DataRegularSeason20242025!$AA$3:$AA$1315,DataRegularSeason20242025!$B$3:$B$1315, "&lt;=" &amp; EO$1, DataRegularSeason20242025!$D$3:$D$1315, $A6)+SUMIFS(DataRegularSeason20242025!$AB$3:$AB$1315,DataRegularSeason20242025!$B$3:$B$1315, "&lt;=" &amp; EO$1, DataRegularSeason20242025!$E$3:$E$1315, $A6)</f>
        <v>6</v>
      </c>
      <c r="EP6">
        <f>SUMIFS(DataRegularSeason20242025!$AA$3:$AA$1315,DataRegularSeason20242025!$B$3:$B$1315, "&lt;=" &amp; EP$1, DataRegularSeason20242025!$D$3:$D$1315, $A6)+SUMIFS(DataRegularSeason20242025!$AB$3:$AB$1315,DataRegularSeason20242025!$B$3:$B$1315, "&lt;=" &amp; EP$1, DataRegularSeason20242025!$E$3:$E$1315, $A6)</f>
        <v>6</v>
      </c>
      <c r="EQ6">
        <f>SUMIFS(DataRegularSeason20242025!$AA$3:$AA$1315,DataRegularSeason20242025!$B$3:$B$1315, "&lt;=" &amp; EQ$1, DataRegularSeason20242025!$D$3:$D$1315, $A6)+SUMIFS(DataRegularSeason20242025!$AB$3:$AB$1315,DataRegularSeason20242025!$B$3:$B$1315, "&lt;=" &amp; EQ$1, DataRegularSeason20242025!$E$3:$E$1315, $A6)</f>
        <v>6</v>
      </c>
      <c r="ER6">
        <f>SUMIFS(DataRegularSeason20242025!$AA$3:$AA$1315,DataRegularSeason20242025!$B$3:$B$1315, "&lt;=" &amp; ER$1, DataRegularSeason20242025!$D$3:$D$1315, $A6)+SUMIFS(DataRegularSeason20242025!$AB$3:$AB$1315,DataRegularSeason20242025!$B$3:$B$1315, "&lt;=" &amp; ER$1, DataRegularSeason20242025!$E$3:$E$1315, $A6)</f>
        <v>6</v>
      </c>
      <c r="ES6">
        <f>SUMIFS(DataRegularSeason20242025!$AA$3:$AA$1315,DataRegularSeason20242025!$B$3:$B$1315, "&lt;=" &amp; ES$1, DataRegularSeason20242025!$D$3:$D$1315, $A6)+SUMIFS(DataRegularSeason20242025!$AB$3:$AB$1315,DataRegularSeason20242025!$B$3:$B$1315, "&lt;=" &amp; ES$1, DataRegularSeason20242025!$E$3:$E$1315, $A6)</f>
        <v>6</v>
      </c>
      <c r="ET6">
        <f>SUMIFS(DataRegularSeason20242025!$AA$3:$AA$1315,DataRegularSeason20242025!$B$3:$B$1315, "&lt;=" &amp; ET$1, DataRegularSeason20242025!$D$3:$D$1315, $A6)+SUMIFS(DataRegularSeason20242025!$AB$3:$AB$1315,DataRegularSeason20242025!$B$3:$B$1315, "&lt;=" &amp; ET$1, DataRegularSeason20242025!$E$3:$E$1315, $A6)</f>
        <v>6</v>
      </c>
      <c r="EU6">
        <f>SUMIFS(DataRegularSeason20242025!$AA$3:$AA$1315,DataRegularSeason20242025!$B$3:$B$1315, "&lt;=" &amp; EU$1, DataRegularSeason20242025!$D$3:$D$1315, $A6)+SUMIFS(DataRegularSeason20242025!$AB$3:$AB$1315,DataRegularSeason20242025!$B$3:$B$1315, "&lt;=" &amp; EU$1, DataRegularSeason20242025!$E$3:$E$1315, $A6)</f>
        <v>6</v>
      </c>
      <c r="EV6">
        <f>SUMIFS(DataRegularSeason20242025!$AA$3:$AA$1315,DataRegularSeason20242025!$B$3:$B$1315, "&lt;=" &amp; EV$1, DataRegularSeason20242025!$D$3:$D$1315, $A6)+SUMIFS(DataRegularSeason20242025!$AB$3:$AB$1315,DataRegularSeason20242025!$B$3:$B$1315, "&lt;=" &amp; EV$1, DataRegularSeason20242025!$E$3:$E$1315, $A6)</f>
        <v>6</v>
      </c>
      <c r="EW6">
        <f>SUMIFS(DataRegularSeason20242025!$AA$3:$AA$1315,DataRegularSeason20242025!$B$3:$B$1315, "&lt;=" &amp; EW$1, DataRegularSeason20242025!$D$3:$D$1315, $A6)+SUMIFS(DataRegularSeason20242025!$AB$3:$AB$1315,DataRegularSeason20242025!$B$3:$B$1315, "&lt;=" &amp; EW$1, DataRegularSeason20242025!$E$3:$E$1315, $A6)</f>
        <v>6</v>
      </c>
      <c r="EX6">
        <f>SUMIFS(DataRegularSeason20242025!$AA$3:$AA$1315,DataRegularSeason20242025!$B$3:$B$1315, "&lt;=" &amp; EX$1, DataRegularSeason20242025!$D$3:$D$1315, $A6)+SUMIFS(DataRegularSeason20242025!$AB$3:$AB$1315,DataRegularSeason20242025!$B$3:$B$1315, "&lt;=" &amp; EX$1, DataRegularSeason20242025!$E$3:$E$1315, $A6)</f>
        <v>6</v>
      </c>
      <c r="EY6">
        <f>SUMIFS(DataRegularSeason20242025!$AA$3:$AA$1315,DataRegularSeason20242025!$B$3:$B$1315, "&lt;=" &amp; EY$1, DataRegularSeason20242025!$D$3:$D$1315, $A6)+SUMIFS(DataRegularSeason20242025!$AB$3:$AB$1315,DataRegularSeason20242025!$B$3:$B$1315, "&lt;=" &amp; EY$1, DataRegularSeason20242025!$E$3:$E$1315, $A6)</f>
        <v>6</v>
      </c>
      <c r="EZ6">
        <f>SUMIFS(DataRegularSeason20242025!$AA$3:$AA$1315,DataRegularSeason20242025!$B$3:$B$1315, "&lt;=" &amp; EZ$1, DataRegularSeason20242025!$D$3:$D$1315, $A6)+SUMIFS(DataRegularSeason20242025!$AB$3:$AB$1315,DataRegularSeason20242025!$B$3:$B$1315, "&lt;=" &amp; EZ$1, DataRegularSeason20242025!$E$3:$E$1315, $A6)</f>
        <v>6</v>
      </c>
      <c r="FA6">
        <f>SUMIFS(DataRegularSeason20242025!$AA$3:$AA$1315,DataRegularSeason20242025!$B$3:$B$1315, "&lt;=" &amp; FA$1, DataRegularSeason20242025!$D$3:$D$1315, $A6)+SUMIFS(DataRegularSeason20242025!$AB$3:$AB$1315,DataRegularSeason20242025!$B$3:$B$1315, "&lt;=" &amp; FA$1, DataRegularSeason20242025!$E$3:$E$1315, $A6)</f>
        <v>6</v>
      </c>
      <c r="FB6">
        <f>SUMIFS(DataRegularSeason20242025!$AA$3:$AA$1315,DataRegularSeason20242025!$B$3:$B$1315, "&lt;=" &amp; FB$1, DataRegularSeason20242025!$D$3:$D$1315, $A6)+SUMIFS(DataRegularSeason20242025!$AB$3:$AB$1315,DataRegularSeason20242025!$B$3:$B$1315, "&lt;=" &amp; FB$1, DataRegularSeason20242025!$E$3:$E$1315, $A6)</f>
        <v>6</v>
      </c>
      <c r="FC6">
        <f>SUMIFS(DataRegularSeason20242025!$AA$3:$AA$1315,DataRegularSeason20242025!$B$3:$B$1315, "&lt;=" &amp; FC$1, DataRegularSeason20242025!$D$3:$D$1315, $A6)+SUMIFS(DataRegularSeason20242025!$AB$3:$AB$1315,DataRegularSeason20242025!$B$3:$B$1315, "&lt;=" &amp; FC$1, DataRegularSeason20242025!$E$3:$E$1315, $A6)</f>
        <v>6</v>
      </c>
      <c r="FD6">
        <f>SUMIFS(DataRegularSeason20242025!$AA$3:$AA$1315,DataRegularSeason20242025!$B$3:$B$1315, "&lt;=" &amp; FD$1, DataRegularSeason20242025!$D$3:$D$1315, $A6)+SUMIFS(DataRegularSeason20242025!$AB$3:$AB$1315,DataRegularSeason20242025!$B$3:$B$1315, "&lt;=" &amp; FD$1, DataRegularSeason20242025!$E$3:$E$1315, $A6)</f>
        <v>6</v>
      </c>
      <c r="FE6">
        <f>SUMIFS(DataRegularSeason20242025!$AA$3:$AA$1315,DataRegularSeason20242025!$B$3:$B$1315, "&lt;=" &amp; FE$1, DataRegularSeason20242025!$D$3:$D$1315, $A6)+SUMIFS(DataRegularSeason20242025!$AB$3:$AB$1315,DataRegularSeason20242025!$B$3:$B$1315, "&lt;=" &amp; FE$1, DataRegularSeason20242025!$E$3:$E$1315, $A6)</f>
        <v>6</v>
      </c>
      <c r="FF6">
        <f>SUMIFS(DataRegularSeason20242025!$AA$3:$AA$1315,DataRegularSeason20242025!$B$3:$B$1315, "&lt;=" &amp; FF$1, DataRegularSeason20242025!$D$3:$D$1315, $A6)+SUMIFS(DataRegularSeason20242025!$AB$3:$AB$1315,DataRegularSeason20242025!$B$3:$B$1315, "&lt;=" &amp; FF$1, DataRegularSeason20242025!$E$3:$E$1315, $A6)</f>
        <v>6</v>
      </c>
      <c r="FG6">
        <f>SUMIFS(DataRegularSeason20242025!$AA$3:$AA$1315,DataRegularSeason20242025!$B$3:$B$1315, "&lt;=" &amp; FG$1, DataRegularSeason20242025!$D$3:$D$1315, $A6)+SUMIFS(DataRegularSeason20242025!$AB$3:$AB$1315,DataRegularSeason20242025!$B$3:$B$1315, "&lt;=" &amp; FG$1, DataRegularSeason20242025!$E$3:$E$1315, $A6)</f>
        <v>6</v>
      </c>
      <c r="FH6">
        <f>SUMIFS(DataRegularSeason20242025!$AA$3:$AA$1315,DataRegularSeason20242025!$B$3:$B$1315, "&lt;=" &amp; FH$1, DataRegularSeason20242025!$D$3:$D$1315, $A6)+SUMIFS(DataRegularSeason20242025!$AB$3:$AB$1315,DataRegularSeason20242025!$B$3:$B$1315, "&lt;=" &amp; FH$1, DataRegularSeason20242025!$E$3:$E$1315, $A6)</f>
        <v>6</v>
      </c>
      <c r="FI6">
        <f>SUMIFS(DataRegularSeason20242025!$AA$3:$AA$1315,DataRegularSeason20242025!$B$3:$B$1315, "&lt;=" &amp; FI$1, DataRegularSeason20242025!$D$3:$D$1315, $A6)+SUMIFS(DataRegularSeason20242025!$AB$3:$AB$1315,DataRegularSeason20242025!$B$3:$B$1315, "&lt;=" &amp; FI$1, DataRegularSeason20242025!$E$3:$E$1315, $A6)</f>
        <v>6</v>
      </c>
      <c r="FJ6">
        <f>SUMIFS(DataRegularSeason20242025!$AA$3:$AA$1315,DataRegularSeason20242025!$B$3:$B$1315, "&lt;=" &amp; FJ$1, DataRegularSeason20242025!$D$3:$D$1315, $A6)+SUMIFS(DataRegularSeason20242025!$AB$3:$AB$1315,DataRegularSeason20242025!$B$3:$B$1315, "&lt;=" &amp; FJ$1, DataRegularSeason20242025!$E$3:$E$1315, $A6)</f>
        <v>6</v>
      </c>
      <c r="FK6">
        <f>SUMIFS(DataRegularSeason20242025!$AA$3:$AA$1315,DataRegularSeason20242025!$B$3:$B$1315, "&lt;=" &amp; FK$1, DataRegularSeason20242025!$D$3:$D$1315, $A6)+SUMIFS(DataRegularSeason20242025!$AB$3:$AB$1315,DataRegularSeason20242025!$B$3:$B$1315, "&lt;=" &amp; FK$1, DataRegularSeason20242025!$E$3:$E$1315, $A6)</f>
        <v>6</v>
      </c>
      <c r="FL6">
        <f>SUMIFS(DataRegularSeason20242025!$AA$3:$AA$1315,DataRegularSeason20242025!$B$3:$B$1315, "&lt;=" &amp; FL$1, DataRegularSeason20242025!$D$3:$D$1315, $A6)+SUMIFS(DataRegularSeason20242025!$AB$3:$AB$1315,DataRegularSeason20242025!$B$3:$B$1315, "&lt;=" &amp; FL$1, DataRegularSeason20242025!$E$3:$E$1315, $A6)</f>
        <v>6</v>
      </c>
      <c r="FM6">
        <f>SUMIFS(DataRegularSeason20242025!$AA$3:$AA$1315,DataRegularSeason20242025!$B$3:$B$1315, "&lt;=" &amp; FM$1, DataRegularSeason20242025!$D$3:$D$1315, $A6)+SUMIFS(DataRegularSeason20242025!$AB$3:$AB$1315,DataRegularSeason20242025!$B$3:$B$1315, "&lt;=" &amp; FM$1, DataRegularSeason20242025!$E$3:$E$1315, $A6)</f>
        <v>6</v>
      </c>
      <c r="FN6">
        <f>SUMIFS(DataRegularSeason20242025!$AA$3:$AA$1315,DataRegularSeason20242025!$B$3:$B$1315, "&lt;=" &amp; FN$1, DataRegularSeason20242025!$D$3:$D$1315, $A6)+SUMIFS(DataRegularSeason20242025!$AB$3:$AB$1315,DataRegularSeason20242025!$B$3:$B$1315, "&lt;=" &amp; FN$1, DataRegularSeason20242025!$E$3:$E$1315, $A6)</f>
        <v>6</v>
      </c>
      <c r="FO6">
        <f>SUMIFS(DataRegularSeason20242025!$AA$3:$AA$1315,DataRegularSeason20242025!$B$3:$B$1315, "&lt;=" &amp; FO$1, DataRegularSeason20242025!$D$3:$D$1315, $A6)+SUMIFS(DataRegularSeason20242025!$AB$3:$AB$1315,DataRegularSeason20242025!$B$3:$B$1315, "&lt;=" &amp; FO$1, DataRegularSeason20242025!$E$3:$E$1315, $A6)</f>
        <v>6</v>
      </c>
      <c r="FP6">
        <f>SUMIFS(DataRegularSeason20242025!$AA$3:$AA$1315,DataRegularSeason20242025!$B$3:$B$1315, "&lt;=" &amp; FP$1, DataRegularSeason20242025!$D$3:$D$1315, $A6)+SUMIFS(DataRegularSeason20242025!$AB$3:$AB$1315,DataRegularSeason20242025!$B$3:$B$1315, "&lt;=" &amp; FP$1, DataRegularSeason20242025!$E$3:$E$1315, $A6)</f>
        <v>6</v>
      </c>
      <c r="FQ6">
        <f>SUMIFS(DataRegularSeason20242025!$AA$3:$AA$1315,DataRegularSeason20242025!$B$3:$B$1315, "&lt;=" &amp; FQ$1, DataRegularSeason20242025!$D$3:$D$1315, $A6)+SUMIFS(DataRegularSeason20242025!$AB$3:$AB$1315,DataRegularSeason20242025!$B$3:$B$1315, "&lt;=" &amp; FQ$1, DataRegularSeason20242025!$E$3:$E$1315, $A6)</f>
        <v>6</v>
      </c>
      <c r="FR6">
        <f>SUMIFS(DataRegularSeason20242025!$AA$3:$AA$1315,DataRegularSeason20242025!$B$3:$B$1315, "&lt;=" &amp; FR$1, DataRegularSeason20242025!$D$3:$D$1315, $A6)+SUMIFS(DataRegularSeason20242025!$AB$3:$AB$1315,DataRegularSeason20242025!$B$3:$B$1315, "&lt;=" &amp; FR$1, DataRegularSeason20242025!$E$3:$E$1315, $A6)</f>
        <v>6</v>
      </c>
      <c r="FS6">
        <f>SUMIFS(DataRegularSeason20242025!$AA$3:$AA$1315,DataRegularSeason20242025!$B$3:$B$1315, "&lt;=" &amp; FS$1, DataRegularSeason20242025!$D$3:$D$1315, $A6)+SUMIFS(DataRegularSeason20242025!$AB$3:$AB$1315,DataRegularSeason20242025!$B$3:$B$1315, "&lt;=" &amp; FS$1, DataRegularSeason20242025!$E$3:$E$1315, $A6)</f>
        <v>6</v>
      </c>
      <c r="FT6">
        <f>SUMIFS(DataRegularSeason20242025!$AA$3:$AA$1315,DataRegularSeason20242025!$B$3:$B$1315, "&lt;=" &amp; FT$1, DataRegularSeason20242025!$D$3:$D$1315, $A6)+SUMIFS(DataRegularSeason20242025!$AB$3:$AB$1315,DataRegularSeason20242025!$B$3:$B$1315, "&lt;=" &amp; FT$1, DataRegularSeason20242025!$E$3:$E$1315, $A6)</f>
        <v>6</v>
      </c>
      <c r="FU6">
        <f>SUMIFS(DataRegularSeason20242025!$AA$3:$AA$1315,DataRegularSeason20242025!$B$3:$B$1315, "&lt;=" &amp; FU$1, DataRegularSeason20242025!$D$3:$D$1315, $A6)+SUMIFS(DataRegularSeason20242025!$AB$3:$AB$1315,DataRegularSeason20242025!$B$3:$B$1315, "&lt;=" &amp; FU$1, DataRegularSeason20242025!$E$3:$E$1315, $A6)</f>
        <v>6</v>
      </c>
      <c r="FV6">
        <f>SUMIFS(DataRegularSeason20242025!$AA$3:$AA$1315,DataRegularSeason20242025!$B$3:$B$1315, "&lt;=" &amp; FV$1, DataRegularSeason20242025!$D$3:$D$1315, $A6)+SUMIFS(DataRegularSeason20242025!$AB$3:$AB$1315,DataRegularSeason20242025!$B$3:$B$1315, "&lt;=" &amp; FV$1, DataRegularSeason20242025!$E$3:$E$1315, $A6)</f>
        <v>6</v>
      </c>
      <c r="FW6">
        <f>SUMIFS(DataRegularSeason20242025!$AA$3:$AA$1315,DataRegularSeason20242025!$B$3:$B$1315, "&lt;=" &amp; FW$1, DataRegularSeason20242025!$D$3:$D$1315, $A6)+SUMIFS(DataRegularSeason20242025!$AB$3:$AB$1315,DataRegularSeason20242025!$B$3:$B$1315, "&lt;=" &amp; FW$1, DataRegularSeason20242025!$E$3:$E$1315, $A6)</f>
        <v>6</v>
      </c>
      <c r="FX6">
        <f>SUMIFS(DataRegularSeason20242025!$AA$3:$AA$1315,DataRegularSeason20242025!$B$3:$B$1315, "&lt;=" &amp; FX$1, DataRegularSeason20242025!$D$3:$D$1315, $A6)+SUMIFS(DataRegularSeason20242025!$AB$3:$AB$1315,DataRegularSeason20242025!$B$3:$B$1315, "&lt;=" &amp; FX$1, DataRegularSeason20242025!$E$3:$E$1315, $A6)</f>
        <v>6</v>
      </c>
      <c r="FY6">
        <f>SUMIFS(DataRegularSeason20242025!$AA$3:$AA$1315,DataRegularSeason20242025!$B$3:$B$1315, "&lt;=" &amp; FY$1, DataRegularSeason20242025!$D$3:$D$1315, $A6)+SUMIFS(DataRegularSeason20242025!$AB$3:$AB$1315,DataRegularSeason20242025!$B$3:$B$1315, "&lt;=" &amp; FY$1, DataRegularSeason20242025!$E$3:$E$1315, $A6)</f>
        <v>6</v>
      </c>
      <c r="FZ6">
        <f>SUMIFS(DataRegularSeason20242025!$AA$3:$AA$1315,DataRegularSeason20242025!$B$3:$B$1315, "&lt;=" &amp; FZ$1, DataRegularSeason20242025!$D$3:$D$1315, $A6)+SUMIFS(DataRegularSeason20242025!$AB$3:$AB$1315,DataRegularSeason20242025!$B$3:$B$1315, "&lt;=" &amp; FZ$1, DataRegularSeason20242025!$E$3:$E$1315, $A6)</f>
        <v>6</v>
      </c>
      <c r="GA6">
        <f>SUMIFS(DataRegularSeason20242025!$AA$3:$AA$1315,DataRegularSeason20242025!$B$3:$B$1315, "&lt;=" &amp; GA$1, DataRegularSeason20242025!$D$3:$D$1315, $A6)+SUMIFS(DataRegularSeason20242025!$AB$3:$AB$1315,DataRegularSeason20242025!$B$3:$B$1315, "&lt;=" &amp; GA$1, DataRegularSeason20242025!$E$3:$E$1315, $A6)</f>
        <v>6</v>
      </c>
      <c r="GB6">
        <f>SUMIFS(DataRegularSeason20242025!$AA$3:$AA$1315,DataRegularSeason20242025!$B$3:$B$1315, "&lt;=" &amp; GB$1, DataRegularSeason20242025!$D$3:$D$1315, $A6)+SUMIFS(DataRegularSeason20242025!$AB$3:$AB$1315,DataRegularSeason20242025!$B$3:$B$1315, "&lt;=" &amp; GB$1, DataRegularSeason20242025!$E$3:$E$1315, $A6)</f>
        <v>6</v>
      </c>
      <c r="GC6">
        <f>SUMIFS(DataRegularSeason20242025!$AA$3:$AA$1315,DataRegularSeason20242025!$B$3:$B$1315, "&lt;=" &amp; GC$1, DataRegularSeason20242025!$D$3:$D$1315, $A6)+SUMIFS(DataRegularSeason20242025!$AB$3:$AB$1315,DataRegularSeason20242025!$B$3:$B$1315, "&lt;=" &amp; GC$1, DataRegularSeason20242025!$E$3:$E$1315, $A6)</f>
        <v>6</v>
      </c>
      <c r="GD6">
        <f>SUMIFS(DataRegularSeason20242025!$AA$3:$AA$1315,DataRegularSeason20242025!$B$3:$B$1315, "&lt;=" &amp; GD$1, DataRegularSeason20242025!$D$3:$D$1315, $A6)+SUMIFS(DataRegularSeason20242025!$AB$3:$AB$1315,DataRegularSeason20242025!$B$3:$B$1315, "&lt;=" &amp; GD$1, DataRegularSeason20242025!$E$3:$E$1315, $A6)</f>
        <v>6</v>
      </c>
      <c r="GE6">
        <f>SUMIFS(DataRegularSeason20242025!$AA$3:$AA$1315,DataRegularSeason20242025!$B$3:$B$1315, "&lt;=" &amp; GE$1, DataRegularSeason20242025!$D$3:$D$1315, $A6)+SUMIFS(DataRegularSeason20242025!$AB$3:$AB$1315,DataRegularSeason20242025!$B$3:$B$1315, "&lt;=" &amp; GE$1, DataRegularSeason20242025!$E$3:$E$1315, $A6)</f>
        <v>6</v>
      </c>
      <c r="GF6">
        <f>SUMIFS(DataRegularSeason20242025!$AA$3:$AA$1315,DataRegularSeason20242025!$B$3:$B$1315, "&lt;=" &amp; GF$1, DataRegularSeason20242025!$D$3:$D$1315, $A6)+SUMIFS(DataRegularSeason20242025!$AB$3:$AB$1315,DataRegularSeason20242025!$B$3:$B$1315, "&lt;=" &amp; GF$1, DataRegularSeason20242025!$E$3:$E$1315, $A6)</f>
        <v>6</v>
      </c>
      <c r="GG6">
        <f>SUMIFS(DataRegularSeason20242025!$AA$3:$AA$1315,DataRegularSeason20242025!$B$3:$B$1315, "&lt;=" &amp; GG$1, DataRegularSeason20242025!$D$3:$D$1315, $A6)+SUMIFS(DataRegularSeason20242025!$AB$3:$AB$1315,DataRegularSeason20242025!$B$3:$B$1315, "&lt;=" &amp; GG$1, DataRegularSeason20242025!$E$3:$E$1315, $A6)</f>
        <v>6</v>
      </c>
      <c r="GH6">
        <f>SUMIFS(DataRegularSeason20242025!$AA$3:$AA$1315,DataRegularSeason20242025!$B$3:$B$1315, "&lt;=" &amp; GH$1, DataRegularSeason20242025!$D$3:$D$1315, $A6)+SUMIFS(DataRegularSeason20242025!$AB$3:$AB$1315,DataRegularSeason20242025!$B$3:$B$1315, "&lt;=" &amp; GH$1, DataRegularSeason20242025!$E$3:$E$1315, $A6)</f>
        <v>6</v>
      </c>
      <c r="GI6">
        <f>SUMIFS(DataRegularSeason20242025!$AA$3:$AA$1315,DataRegularSeason20242025!$B$3:$B$1315, "&lt;=" &amp; GI$1, DataRegularSeason20242025!$D$3:$D$1315, $A6)+SUMIFS(DataRegularSeason20242025!$AB$3:$AB$1315,DataRegularSeason20242025!$B$3:$B$1315, "&lt;=" &amp; GI$1, DataRegularSeason20242025!$E$3:$E$1315, $A6)</f>
        <v>6</v>
      </c>
      <c r="GJ6">
        <f>SUMIFS(DataRegularSeason20242025!$AA$3:$AA$1315,DataRegularSeason20242025!$B$3:$B$1315, "&lt;=" &amp; GJ$1, DataRegularSeason20242025!$D$3:$D$1315, $A6)+SUMIFS(DataRegularSeason20242025!$AB$3:$AB$1315,DataRegularSeason20242025!$B$3:$B$1315, "&lt;=" &amp; GJ$1, DataRegularSeason20242025!$E$3:$E$1315, $A6)</f>
        <v>6</v>
      </c>
      <c r="GK6">
        <f>SUMIFS(DataRegularSeason20242025!$AA$3:$AA$1315,DataRegularSeason20242025!$B$3:$B$1315, "&lt;=" &amp; GK$1, DataRegularSeason20242025!$D$3:$D$1315, $A6)+SUMIFS(DataRegularSeason20242025!$AB$3:$AB$1315,DataRegularSeason20242025!$B$3:$B$1315, "&lt;=" &amp; GK$1, DataRegularSeason20242025!$E$3:$E$1315, $A6)</f>
        <v>6</v>
      </c>
      <c r="GL6">
        <f>SUMIFS(DataRegularSeason20242025!$AA$3:$AA$1315,DataRegularSeason20242025!$B$3:$B$1315, "&lt;=" &amp; GL$1, DataRegularSeason20242025!$D$3:$D$1315, $A6)+SUMIFS(DataRegularSeason20242025!$AB$3:$AB$1315,DataRegularSeason20242025!$B$3:$B$1315, "&lt;=" &amp; GL$1, DataRegularSeason20242025!$E$3:$E$1315, $A6)</f>
        <v>6</v>
      </c>
      <c r="GM6">
        <f>SUMIFS(DataRegularSeason20242025!$AA$3:$AA$1315,DataRegularSeason20242025!$B$3:$B$1315, "&lt;=" &amp; GM$1, DataRegularSeason20242025!$D$3:$D$1315, $A6)+SUMIFS(DataRegularSeason20242025!$AB$3:$AB$1315,DataRegularSeason20242025!$B$3:$B$1315, "&lt;=" &amp; GM$1, DataRegularSeason20242025!$E$3:$E$1315, $A6)</f>
        <v>6</v>
      </c>
      <c r="GN6">
        <f>SUMIFS(DataRegularSeason20242025!$AA$3:$AA$1315,DataRegularSeason20242025!$B$3:$B$1315, "&lt;=" &amp; GN$1, DataRegularSeason20242025!$D$3:$D$1315, $A6)+SUMIFS(DataRegularSeason20242025!$AB$3:$AB$1315,DataRegularSeason20242025!$B$3:$B$1315, "&lt;=" &amp; GN$1, DataRegularSeason20242025!$E$3:$E$1315, $A6)</f>
        <v>6</v>
      </c>
      <c r="GO6">
        <f>SUMIFS(DataRegularSeason20242025!$AA$3:$AA$1315,DataRegularSeason20242025!$B$3:$B$1315, "&lt;=" &amp; GO$1, DataRegularSeason20242025!$D$3:$D$1315, $A6)+SUMIFS(DataRegularSeason20242025!$AB$3:$AB$1315,DataRegularSeason20242025!$B$3:$B$1315, "&lt;=" &amp; GO$1, DataRegularSeason20242025!$E$3:$E$1315, $A6)</f>
        <v>6</v>
      </c>
      <c r="GP6">
        <f>SUMIFS(DataRegularSeason20242025!$AA$3:$AA$1315,DataRegularSeason20242025!$B$3:$B$1315, "&lt;=" &amp; GP$1, DataRegularSeason20242025!$D$3:$D$1315, $A6)+SUMIFS(DataRegularSeason20242025!$AB$3:$AB$1315,DataRegularSeason20242025!$B$3:$B$1315, "&lt;=" &amp; GP$1, DataRegularSeason20242025!$E$3:$E$1315, $A6)</f>
        <v>6</v>
      </c>
      <c r="GQ6">
        <f>SUMIFS(DataRegularSeason20242025!$AA$3:$AA$1315,DataRegularSeason20242025!$B$3:$B$1315, "&lt;=" &amp; GQ$1, DataRegularSeason20242025!$D$3:$D$1315, $A6)+SUMIFS(DataRegularSeason20242025!$AB$3:$AB$1315,DataRegularSeason20242025!$B$3:$B$1315, "&lt;=" &amp; GQ$1, DataRegularSeason20242025!$E$3:$E$1315, $A6)</f>
        <v>6</v>
      </c>
      <c r="GR6">
        <f>SUMIFS(DataRegularSeason20242025!$AA$3:$AA$1315,DataRegularSeason20242025!$B$3:$B$1315, "&lt;=" &amp; GR$1, DataRegularSeason20242025!$D$3:$D$1315, $A6)+SUMIFS(DataRegularSeason20242025!$AB$3:$AB$1315,DataRegularSeason20242025!$B$3:$B$1315, "&lt;=" &amp; GR$1, DataRegularSeason20242025!$E$3:$E$1315, $A6)</f>
        <v>6</v>
      </c>
      <c r="GS6">
        <f>SUMIFS(DataRegularSeason20242025!$AA$3:$AA$1315,DataRegularSeason20242025!$B$3:$B$1315, "&lt;=" &amp; GS$1, DataRegularSeason20242025!$D$3:$D$1315, $A6)+SUMIFS(DataRegularSeason20242025!$AB$3:$AB$1315,DataRegularSeason20242025!$B$3:$B$1315, "&lt;=" &amp; GS$1, DataRegularSeason20242025!$E$3:$E$1315, $A6)</f>
        <v>6</v>
      </c>
      <c r="GT6">
        <f>SUMIFS(DataRegularSeason20242025!$AA$3:$AA$1315,DataRegularSeason20242025!$B$3:$B$1315, "&lt;=" &amp; GT$1, DataRegularSeason20242025!$D$3:$D$1315, $A6)+SUMIFS(DataRegularSeason20242025!$AB$3:$AB$1315,DataRegularSeason20242025!$B$3:$B$1315, "&lt;=" &amp; GT$1, DataRegularSeason20242025!$E$3:$E$1315, $A6)</f>
        <v>6</v>
      </c>
      <c r="GU6">
        <f>SUMIFS(DataRegularSeason20242025!$AA$3:$AA$1315,DataRegularSeason20242025!$B$3:$B$1315, "&lt;=" &amp; GU$1, DataRegularSeason20242025!$D$3:$D$1315, $A6)+SUMIFS(DataRegularSeason20242025!$AB$3:$AB$1315,DataRegularSeason20242025!$B$3:$B$1315, "&lt;=" &amp; GU$1, DataRegularSeason20242025!$E$3:$E$1315, $A6)</f>
        <v>6</v>
      </c>
    </row>
    <row r="7" spans="1:275" x14ac:dyDescent="0.25">
      <c r="A7" t="s">
        <v>29</v>
      </c>
      <c r="B7" t="s">
        <v>91</v>
      </c>
      <c r="C7" s="105" t="s">
        <v>74</v>
      </c>
      <c r="D7">
        <f>SUMIFS(DataRegularSeason20242025!$AA$3:$AA$1315,DataRegularSeason20242025!$B$3:$B$1315, "&lt;=" &amp; D$1, DataRegularSeason20242025!$D$3:$D$1315, $A7)+SUMIFS(DataRegularSeason20242025!$AB$3:$AB$1315,DataRegularSeason20242025!$B$3:$B$1315, "&lt;=" &amp; D$1, DataRegularSeason20242025!$E$3:$E$1315, $A7)</f>
        <v>0</v>
      </c>
      <c r="E7">
        <f>SUMIFS(DataRegularSeason20242025!$AA$3:$AA$1315,DataRegularSeason20242025!$B$3:$B$1315, "&lt;=" &amp; E$1, DataRegularSeason20242025!$D$3:$D$1315, $A7)+SUMIFS(DataRegularSeason20242025!$AB$3:$AB$1315,DataRegularSeason20242025!$B$3:$B$1315, "&lt;=" &amp; E$1, DataRegularSeason20242025!$E$3:$E$1315, $A7)</f>
        <v>0</v>
      </c>
      <c r="F7">
        <f>SUMIFS(DataRegularSeason20242025!$AA$3:$AA$1315,DataRegularSeason20242025!$B$3:$B$1315, "&lt;=" &amp; F$1, DataRegularSeason20242025!$D$3:$D$1315, $A7)+SUMIFS(DataRegularSeason20242025!$AB$3:$AB$1315,DataRegularSeason20242025!$B$3:$B$1315, "&lt;=" &amp; F$1, DataRegularSeason20242025!$E$3:$E$1315, $A7)</f>
        <v>0</v>
      </c>
      <c r="G7">
        <f>SUMIFS(DataRegularSeason20242025!$AA$3:$AA$1315,DataRegularSeason20242025!$B$3:$B$1315, "&lt;=" &amp; G$1, DataRegularSeason20242025!$D$3:$D$1315, $A7)+SUMIFS(DataRegularSeason20242025!$AB$3:$AB$1315,DataRegularSeason20242025!$B$3:$B$1315, "&lt;=" &amp; G$1, DataRegularSeason20242025!$E$3:$E$1315, $A7)</f>
        <v>0</v>
      </c>
      <c r="H7">
        <f>SUMIFS(DataRegularSeason20242025!$AA$3:$AA$1315,DataRegularSeason20242025!$B$3:$B$1315, "&lt;=" &amp; H$1, DataRegularSeason20242025!$D$3:$D$1315, $A7)+SUMIFS(DataRegularSeason20242025!$AB$3:$AB$1315,DataRegularSeason20242025!$B$3:$B$1315, "&lt;=" &amp; H$1, DataRegularSeason20242025!$E$3:$E$1315, $A7)</f>
        <v>0</v>
      </c>
      <c r="I7">
        <f>SUMIFS(DataRegularSeason20242025!$AA$3:$AA$1315,DataRegularSeason20242025!$B$3:$B$1315, "&lt;=" &amp; I$1, DataRegularSeason20242025!$D$3:$D$1315, $A7)+SUMIFS(DataRegularSeason20242025!$AB$3:$AB$1315,DataRegularSeason20242025!$B$3:$B$1315, "&lt;=" &amp; I$1, DataRegularSeason20242025!$E$3:$E$1315, $A7)</f>
        <v>0</v>
      </c>
      <c r="J7">
        <f>SUMIFS(DataRegularSeason20242025!$AA$3:$AA$1315,DataRegularSeason20242025!$B$3:$B$1315, "&lt;=" &amp; J$1, DataRegularSeason20242025!$D$3:$D$1315, $A7)+SUMIFS(DataRegularSeason20242025!$AB$3:$AB$1315,DataRegularSeason20242025!$B$3:$B$1315, "&lt;=" &amp; J$1, DataRegularSeason20242025!$E$3:$E$1315, $A7)</f>
        <v>2</v>
      </c>
      <c r="K7">
        <f>SUMIFS(DataRegularSeason20242025!$AA$3:$AA$1315,DataRegularSeason20242025!$B$3:$B$1315, "&lt;=" &amp; K$1, DataRegularSeason20242025!$D$3:$D$1315, $A7)+SUMIFS(DataRegularSeason20242025!$AB$3:$AB$1315,DataRegularSeason20242025!$B$3:$B$1315, "&lt;=" &amp; K$1, DataRegularSeason20242025!$E$3:$E$1315, $A7)</f>
        <v>2</v>
      </c>
      <c r="L7">
        <f>SUMIFS(DataRegularSeason20242025!$AA$3:$AA$1315,DataRegularSeason20242025!$B$3:$B$1315, "&lt;=" &amp; L$1, DataRegularSeason20242025!$D$3:$D$1315, $A7)+SUMIFS(DataRegularSeason20242025!$AB$3:$AB$1315,DataRegularSeason20242025!$B$3:$B$1315, "&lt;=" &amp; L$1, DataRegularSeason20242025!$E$3:$E$1315, $A7)</f>
        <v>2</v>
      </c>
      <c r="M7">
        <f>SUMIFS(DataRegularSeason20242025!$AA$3:$AA$1315,DataRegularSeason20242025!$B$3:$B$1315, "&lt;=" &amp; M$1, DataRegularSeason20242025!$D$3:$D$1315, $A7)+SUMIFS(DataRegularSeason20242025!$AB$3:$AB$1315,DataRegularSeason20242025!$B$3:$B$1315, "&lt;=" &amp; M$1, DataRegularSeason20242025!$E$3:$E$1315, $A7)</f>
        <v>2</v>
      </c>
      <c r="N7">
        <f>SUMIFS(DataRegularSeason20242025!$AA$3:$AA$1315,DataRegularSeason20242025!$B$3:$B$1315, "&lt;=" &amp; N$1, DataRegularSeason20242025!$D$3:$D$1315, $A7)+SUMIFS(DataRegularSeason20242025!$AB$3:$AB$1315,DataRegularSeason20242025!$B$3:$B$1315, "&lt;=" &amp; N$1, DataRegularSeason20242025!$E$3:$E$1315, $A7)</f>
        <v>2</v>
      </c>
      <c r="O7">
        <f>SUMIFS(DataRegularSeason20242025!$AA$3:$AA$1315,DataRegularSeason20242025!$B$3:$B$1315, "&lt;=" &amp; O$1, DataRegularSeason20242025!$D$3:$D$1315, $A7)+SUMIFS(DataRegularSeason20242025!$AB$3:$AB$1315,DataRegularSeason20242025!$B$3:$B$1315, "&lt;=" &amp; O$1, DataRegularSeason20242025!$E$3:$E$1315, $A7)</f>
        <v>2</v>
      </c>
      <c r="P7">
        <f>SUMIFS(DataRegularSeason20242025!$AA$3:$AA$1315,DataRegularSeason20242025!$B$3:$B$1315, "&lt;=" &amp; P$1, DataRegularSeason20242025!$D$3:$D$1315, $A7)+SUMIFS(DataRegularSeason20242025!$AB$3:$AB$1315,DataRegularSeason20242025!$B$3:$B$1315, "&lt;=" &amp; P$1, DataRegularSeason20242025!$E$3:$E$1315, $A7)</f>
        <v>2</v>
      </c>
      <c r="Q7">
        <f>SUMIFS(DataRegularSeason20242025!$AA$3:$AA$1315,DataRegularSeason20242025!$B$3:$B$1315, "&lt;=" &amp; Q$1, DataRegularSeason20242025!$D$3:$D$1315, $A7)+SUMIFS(DataRegularSeason20242025!$AB$3:$AB$1315,DataRegularSeason20242025!$B$3:$B$1315, "&lt;=" &amp; Q$1, DataRegularSeason20242025!$E$3:$E$1315, $A7)</f>
        <v>4</v>
      </c>
      <c r="R7">
        <f>SUMIFS(DataRegularSeason20242025!$AA$3:$AA$1315,DataRegularSeason20242025!$B$3:$B$1315, "&lt;=" &amp; R$1, DataRegularSeason20242025!$D$3:$D$1315, $A7)+SUMIFS(DataRegularSeason20242025!$AB$3:$AB$1315,DataRegularSeason20242025!$B$3:$B$1315, "&lt;=" &amp; R$1, DataRegularSeason20242025!$E$3:$E$1315, $A7)</f>
        <v>4</v>
      </c>
      <c r="S7">
        <f>SUMIFS(DataRegularSeason20242025!$AA$3:$AA$1315,DataRegularSeason20242025!$B$3:$B$1315, "&lt;=" &amp; S$1, DataRegularSeason20242025!$D$3:$D$1315, $A7)+SUMIFS(DataRegularSeason20242025!$AB$3:$AB$1315,DataRegularSeason20242025!$B$3:$B$1315, "&lt;=" &amp; S$1, DataRegularSeason20242025!$E$3:$E$1315, $A7)</f>
        <v>4</v>
      </c>
      <c r="T7">
        <f>SUMIFS(DataRegularSeason20242025!$AA$3:$AA$1315,DataRegularSeason20242025!$B$3:$B$1315, "&lt;=" &amp; T$1, DataRegularSeason20242025!$D$3:$D$1315, $A7)+SUMIFS(DataRegularSeason20242025!$AB$3:$AB$1315,DataRegularSeason20242025!$B$3:$B$1315, "&lt;=" &amp; T$1, DataRegularSeason20242025!$E$3:$E$1315, $A7)</f>
        <v>4</v>
      </c>
      <c r="U7">
        <f>SUMIFS(DataRegularSeason20242025!$AA$3:$AA$1315,DataRegularSeason20242025!$B$3:$B$1315, "&lt;=" &amp; U$1, DataRegularSeason20242025!$D$3:$D$1315, $A7)+SUMIFS(DataRegularSeason20242025!$AB$3:$AB$1315,DataRegularSeason20242025!$B$3:$B$1315, "&lt;=" &amp; U$1, DataRegularSeason20242025!$E$3:$E$1315, $A7)</f>
        <v>4</v>
      </c>
      <c r="V7">
        <f>SUMIFS(DataRegularSeason20242025!$AA$3:$AA$1315,DataRegularSeason20242025!$B$3:$B$1315, "&lt;=" &amp; V$1, DataRegularSeason20242025!$D$3:$D$1315, $A7)+SUMIFS(DataRegularSeason20242025!$AB$3:$AB$1315,DataRegularSeason20242025!$B$3:$B$1315, "&lt;=" &amp; V$1, DataRegularSeason20242025!$E$3:$E$1315, $A7)</f>
        <v>5</v>
      </c>
      <c r="W7">
        <f>SUMIFS(DataRegularSeason20242025!$AA$3:$AA$1315,DataRegularSeason20242025!$B$3:$B$1315, "&lt;=" &amp; W$1, DataRegularSeason20242025!$D$3:$D$1315, $A7)+SUMIFS(DataRegularSeason20242025!$AB$3:$AB$1315,DataRegularSeason20242025!$B$3:$B$1315, "&lt;=" &amp; W$1, DataRegularSeason20242025!$E$3:$E$1315, $A7)</f>
        <v>5</v>
      </c>
      <c r="X7">
        <f>SUMIFS(DataRegularSeason20242025!$AA$3:$AA$1315,DataRegularSeason20242025!$B$3:$B$1315, "&lt;=" &amp; X$1, DataRegularSeason20242025!$D$3:$D$1315, $A7)+SUMIFS(DataRegularSeason20242025!$AB$3:$AB$1315,DataRegularSeason20242025!$B$3:$B$1315, "&lt;=" &amp; X$1, DataRegularSeason20242025!$E$3:$E$1315, $A7)</f>
        <v>5</v>
      </c>
      <c r="Y7">
        <f>SUMIFS(DataRegularSeason20242025!$AA$3:$AA$1315,DataRegularSeason20242025!$B$3:$B$1315, "&lt;=" &amp; Y$1, DataRegularSeason20242025!$D$3:$D$1315, $A7)+SUMIFS(DataRegularSeason20242025!$AB$3:$AB$1315,DataRegularSeason20242025!$B$3:$B$1315, "&lt;=" &amp; Y$1, DataRegularSeason20242025!$E$3:$E$1315, $A7)</f>
        <v>5</v>
      </c>
      <c r="Z7">
        <f>SUMIFS(DataRegularSeason20242025!$AA$3:$AA$1315,DataRegularSeason20242025!$B$3:$B$1315, "&lt;=" &amp; Z$1, DataRegularSeason20242025!$D$3:$D$1315, $A7)+SUMIFS(DataRegularSeason20242025!$AB$3:$AB$1315,DataRegularSeason20242025!$B$3:$B$1315, "&lt;=" &amp; Z$1, DataRegularSeason20242025!$E$3:$E$1315, $A7)</f>
        <v>5</v>
      </c>
      <c r="AA7">
        <f>SUMIFS(DataRegularSeason20242025!$AA$3:$AA$1315,DataRegularSeason20242025!$B$3:$B$1315, "&lt;=" &amp; AA$1, DataRegularSeason20242025!$D$3:$D$1315, $A7)+SUMIFS(DataRegularSeason20242025!$AB$3:$AB$1315,DataRegularSeason20242025!$B$3:$B$1315, "&lt;=" &amp; AA$1, DataRegularSeason20242025!$E$3:$E$1315, $A7)</f>
        <v>5</v>
      </c>
      <c r="AB7">
        <f>SUMIFS(DataRegularSeason20242025!$AA$3:$AA$1315,DataRegularSeason20242025!$B$3:$B$1315, "&lt;=" &amp; AB$1, DataRegularSeason20242025!$D$3:$D$1315, $A7)+SUMIFS(DataRegularSeason20242025!$AB$3:$AB$1315,DataRegularSeason20242025!$B$3:$B$1315, "&lt;=" &amp; AB$1, DataRegularSeason20242025!$E$3:$E$1315, $A7)</f>
        <v>5</v>
      </c>
      <c r="AC7">
        <f>SUMIFS(DataRegularSeason20242025!$AA$3:$AA$1315,DataRegularSeason20242025!$B$3:$B$1315, "&lt;=" &amp; AC$1, DataRegularSeason20242025!$D$3:$D$1315, $A7)+SUMIFS(DataRegularSeason20242025!$AB$3:$AB$1315,DataRegularSeason20242025!$B$3:$B$1315, "&lt;=" &amp; AC$1, DataRegularSeason20242025!$E$3:$E$1315, $A7)</f>
        <v>5</v>
      </c>
      <c r="AD7">
        <f>SUMIFS(DataRegularSeason20242025!$AA$3:$AA$1315,DataRegularSeason20242025!$B$3:$B$1315, "&lt;=" &amp; AD$1, DataRegularSeason20242025!$D$3:$D$1315, $A7)+SUMIFS(DataRegularSeason20242025!$AB$3:$AB$1315,DataRegularSeason20242025!$B$3:$B$1315, "&lt;=" &amp; AD$1, DataRegularSeason20242025!$E$3:$E$1315, $A7)</f>
        <v>5</v>
      </c>
      <c r="AE7">
        <f>SUMIFS(DataRegularSeason20242025!$AA$3:$AA$1315,DataRegularSeason20242025!$B$3:$B$1315, "&lt;=" &amp; AE$1, DataRegularSeason20242025!$D$3:$D$1315, $A7)+SUMIFS(DataRegularSeason20242025!$AB$3:$AB$1315,DataRegularSeason20242025!$B$3:$B$1315, "&lt;=" &amp; AE$1, DataRegularSeason20242025!$E$3:$E$1315, $A7)</f>
        <v>5</v>
      </c>
      <c r="AF7">
        <f>SUMIFS(DataRegularSeason20242025!$AA$3:$AA$1315,DataRegularSeason20242025!$B$3:$B$1315, "&lt;=" &amp; AF$1, DataRegularSeason20242025!$D$3:$D$1315, $A7)+SUMIFS(DataRegularSeason20242025!$AB$3:$AB$1315,DataRegularSeason20242025!$B$3:$B$1315, "&lt;=" &amp; AF$1, DataRegularSeason20242025!$E$3:$E$1315, $A7)</f>
        <v>5</v>
      </c>
      <c r="AG7">
        <f>SUMIFS(DataRegularSeason20242025!$AA$3:$AA$1315,DataRegularSeason20242025!$B$3:$B$1315, "&lt;=" &amp; AG$1, DataRegularSeason20242025!$D$3:$D$1315, $A7)+SUMIFS(DataRegularSeason20242025!$AB$3:$AB$1315,DataRegularSeason20242025!$B$3:$B$1315, "&lt;=" &amp; AG$1, DataRegularSeason20242025!$E$3:$E$1315, $A7)</f>
        <v>5</v>
      </c>
      <c r="AH7">
        <f>SUMIFS(DataRegularSeason20242025!$AA$3:$AA$1315,DataRegularSeason20242025!$B$3:$B$1315, "&lt;=" &amp; AH$1, DataRegularSeason20242025!$D$3:$D$1315, $A7)+SUMIFS(DataRegularSeason20242025!$AB$3:$AB$1315,DataRegularSeason20242025!$B$3:$B$1315, "&lt;=" &amp; AH$1, DataRegularSeason20242025!$E$3:$E$1315, $A7)</f>
        <v>5</v>
      </c>
      <c r="AI7">
        <f>SUMIFS(DataRegularSeason20242025!$AA$3:$AA$1315,DataRegularSeason20242025!$B$3:$B$1315, "&lt;=" &amp; AI$1, DataRegularSeason20242025!$D$3:$D$1315, $A7)+SUMIFS(DataRegularSeason20242025!$AB$3:$AB$1315,DataRegularSeason20242025!$B$3:$B$1315, "&lt;=" &amp; AI$1, DataRegularSeason20242025!$E$3:$E$1315, $A7)</f>
        <v>5</v>
      </c>
      <c r="AJ7">
        <f>SUMIFS(DataRegularSeason20242025!$AA$3:$AA$1315,DataRegularSeason20242025!$B$3:$B$1315, "&lt;=" &amp; AJ$1, DataRegularSeason20242025!$D$3:$D$1315, $A7)+SUMIFS(DataRegularSeason20242025!$AB$3:$AB$1315,DataRegularSeason20242025!$B$3:$B$1315, "&lt;=" &amp; AJ$1, DataRegularSeason20242025!$E$3:$E$1315, $A7)</f>
        <v>5</v>
      </c>
      <c r="AK7">
        <f>SUMIFS(DataRegularSeason20242025!$AA$3:$AA$1315,DataRegularSeason20242025!$B$3:$B$1315, "&lt;=" &amp; AK$1, DataRegularSeason20242025!$D$3:$D$1315, $A7)+SUMIFS(DataRegularSeason20242025!$AB$3:$AB$1315,DataRegularSeason20242025!$B$3:$B$1315, "&lt;=" &amp; AK$1, DataRegularSeason20242025!$E$3:$E$1315, $A7)</f>
        <v>5</v>
      </c>
      <c r="AL7">
        <f>SUMIFS(DataRegularSeason20242025!$AA$3:$AA$1315,DataRegularSeason20242025!$B$3:$B$1315, "&lt;=" &amp; AL$1, DataRegularSeason20242025!$D$3:$D$1315, $A7)+SUMIFS(DataRegularSeason20242025!$AB$3:$AB$1315,DataRegularSeason20242025!$B$3:$B$1315, "&lt;=" &amp; AL$1, DataRegularSeason20242025!$E$3:$E$1315, $A7)</f>
        <v>5</v>
      </c>
      <c r="AM7">
        <f>SUMIFS(DataRegularSeason20242025!$AA$3:$AA$1315,DataRegularSeason20242025!$B$3:$B$1315, "&lt;=" &amp; AM$1, DataRegularSeason20242025!$D$3:$D$1315, $A7)+SUMIFS(DataRegularSeason20242025!$AB$3:$AB$1315,DataRegularSeason20242025!$B$3:$B$1315, "&lt;=" &amp; AM$1, DataRegularSeason20242025!$E$3:$E$1315, $A7)</f>
        <v>5</v>
      </c>
      <c r="AN7">
        <f>SUMIFS(DataRegularSeason20242025!$AA$3:$AA$1315,DataRegularSeason20242025!$B$3:$B$1315, "&lt;=" &amp; AN$1, DataRegularSeason20242025!$D$3:$D$1315, $A7)+SUMIFS(DataRegularSeason20242025!$AB$3:$AB$1315,DataRegularSeason20242025!$B$3:$B$1315, "&lt;=" &amp; AN$1, DataRegularSeason20242025!$E$3:$E$1315, $A7)</f>
        <v>5</v>
      </c>
      <c r="AO7">
        <f>SUMIFS(DataRegularSeason20242025!$AA$3:$AA$1315,DataRegularSeason20242025!$B$3:$B$1315, "&lt;=" &amp; AO$1, DataRegularSeason20242025!$D$3:$D$1315, $A7)+SUMIFS(DataRegularSeason20242025!$AB$3:$AB$1315,DataRegularSeason20242025!$B$3:$B$1315, "&lt;=" &amp; AO$1, DataRegularSeason20242025!$E$3:$E$1315, $A7)</f>
        <v>5</v>
      </c>
      <c r="AP7">
        <f>SUMIFS(DataRegularSeason20242025!$AA$3:$AA$1315,DataRegularSeason20242025!$B$3:$B$1315, "&lt;=" &amp; AP$1, DataRegularSeason20242025!$D$3:$D$1315, $A7)+SUMIFS(DataRegularSeason20242025!$AB$3:$AB$1315,DataRegularSeason20242025!$B$3:$B$1315, "&lt;=" &amp; AP$1, DataRegularSeason20242025!$E$3:$E$1315, $A7)</f>
        <v>5</v>
      </c>
      <c r="AQ7">
        <f>SUMIFS(DataRegularSeason20242025!$AA$3:$AA$1315,DataRegularSeason20242025!$B$3:$B$1315, "&lt;=" &amp; AQ$1, DataRegularSeason20242025!$D$3:$D$1315, $A7)+SUMIFS(DataRegularSeason20242025!$AB$3:$AB$1315,DataRegularSeason20242025!$B$3:$B$1315, "&lt;=" &amp; AQ$1, DataRegularSeason20242025!$E$3:$E$1315, $A7)</f>
        <v>5</v>
      </c>
      <c r="AR7">
        <f>SUMIFS(DataRegularSeason20242025!$AA$3:$AA$1315,DataRegularSeason20242025!$B$3:$B$1315, "&lt;=" &amp; AR$1, DataRegularSeason20242025!$D$3:$D$1315, $A7)+SUMIFS(DataRegularSeason20242025!$AB$3:$AB$1315,DataRegularSeason20242025!$B$3:$B$1315, "&lt;=" &amp; AR$1, DataRegularSeason20242025!$E$3:$E$1315, $A7)</f>
        <v>5</v>
      </c>
      <c r="AS7">
        <f>SUMIFS(DataRegularSeason20242025!$AA$3:$AA$1315,DataRegularSeason20242025!$B$3:$B$1315, "&lt;=" &amp; AS$1, DataRegularSeason20242025!$D$3:$D$1315, $A7)+SUMIFS(DataRegularSeason20242025!$AB$3:$AB$1315,DataRegularSeason20242025!$B$3:$B$1315, "&lt;=" &amp; AS$1, DataRegularSeason20242025!$E$3:$E$1315, $A7)</f>
        <v>5</v>
      </c>
      <c r="AT7">
        <f>SUMIFS(DataRegularSeason20242025!$AA$3:$AA$1315,DataRegularSeason20242025!$B$3:$B$1315, "&lt;=" &amp; AT$1, DataRegularSeason20242025!$D$3:$D$1315, $A7)+SUMIFS(DataRegularSeason20242025!$AB$3:$AB$1315,DataRegularSeason20242025!$B$3:$B$1315, "&lt;=" &amp; AT$1, DataRegularSeason20242025!$E$3:$E$1315, $A7)</f>
        <v>5</v>
      </c>
      <c r="AU7">
        <f>SUMIFS(DataRegularSeason20242025!$AA$3:$AA$1315,DataRegularSeason20242025!$B$3:$B$1315, "&lt;=" &amp; AU$1, DataRegularSeason20242025!$D$3:$D$1315, $A7)+SUMIFS(DataRegularSeason20242025!$AB$3:$AB$1315,DataRegularSeason20242025!$B$3:$B$1315, "&lt;=" &amp; AU$1, DataRegularSeason20242025!$E$3:$E$1315, $A7)</f>
        <v>5</v>
      </c>
      <c r="AV7">
        <f>SUMIFS(DataRegularSeason20242025!$AA$3:$AA$1315,DataRegularSeason20242025!$B$3:$B$1315, "&lt;=" &amp; AV$1, DataRegularSeason20242025!$D$3:$D$1315, $A7)+SUMIFS(DataRegularSeason20242025!$AB$3:$AB$1315,DataRegularSeason20242025!$B$3:$B$1315, "&lt;=" &amp; AV$1, DataRegularSeason20242025!$E$3:$E$1315, $A7)</f>
        <v>5</v>
      </c>
      <c r="AW7">
        <f>SUMIFS(DataRegularSeason20242025!$AA$3:$AA$1315,DataRegularSeason20242025!$B$3:$B$1315, "&lt;=" &amp; AW$1, DataRegularSeason20242025!$D$3:$D$1315, $A7)+SUMIFS(DataRegularSeason20242025!$AB$3:$AB$1315,DataRegularSeason20242025!$B$3:$B$1315, "&lt;=" &amp; AW$1, DataRegularSeason20242025!$E$3:$E$1315, $A7)</f>
        <v>5</v>
      </c>
      <c r="AX7">
        <f>SUMIFS(DataRegularSeason20242025!$AA$3:$AA$1315,DataRegularSeason20242025!$B$3:$B$1315, "&lt;=" &amp; AX$1, DataRegularSeason20242025!$D$3:$D$1315, $A7)+SUMIFS(DataRegularSeason20242025!$AB$3:$AB$1315,DataRegularSeason20242025!$B$3:$B$1315, "&lt;=" &amp; AX$1, DataRegularSeason20242025!$E$3:$E$1315, $A7)</f>
        <v>5</v>
      </c>
      <c r="AY7">
        <f>SUMIFS(DataRegularSeason20242025!$AA$3:$AA$1315,DataRegularSeason20242025!$B$3:$B$1315, "&lt;=" &amp; AY$1, DataRegularSeason20242025!$D$3:$D$1315, $A7)+SUMIFS(DataRegularSeason20242025!$AB$3:$AB$1315,DataRegularSeason20242025!$B$3:$B$1315, "&lt;=" &amp; AY$1, DataRegularSeason20242025!$E$3:$E$1315, $A7)</f>
        <v>5</v>
      </c>
      <c r="AZ7">
        <f>SUMIFS(DataRegularSeason20242025!$AA$3:$AA$1315,DataRegularSeason20242025!$B$3:$B$1315, "&lt;=" &amp; AZ$1, DataRegularSeason20242025!$D$3:$D$1315, $A7)+SUMIFS(DataRegularSeason20242025!$AB$3:$AB$1315,DataRegularSeason20242025!$B$3:$B$1315, "&lt;=" &amp; AZ$1, DataRegularSeason20242025!$E$3:$E$1315, $A7)</f>
        <v>5</v>
      </c>
      <c r="BA7">
        <f>SUMIFS(DataRegularSeason20242025!$AA$3:$AA$1315,DataRegularSeason20242025!$B$3:$B$1315, "&lt;=" &amp; BA$1, DataRegularSeason20242025!$D$3:$D$1315, $A7)+SUMIFS(DataRegularSeason20242025!$AB$3:$AB$1315,DataRegularSeason20242025!$B$3:$B$1315, "&lt;=" &amp; BA$1, DataRegularSeason20242025!$E$3:$E$1315, $A7)</f>
        <v>5</v>
      </c>
      <c r="BB7">
        <f>SUMIFS(DataRegularSeason20242025!$AA$3:$AA$1315,DataRegularSeason20242025!$B$3:$B$1315, "&lt;=" &amp; BB$1, DataRegularSeason20242025!$D$3:$D$1315, $A7)+SUMIFS(DataRegularSeason20242025!$AB$3:$AB$1315,DataRegularSeason20242025!$B$3:$B$1315, "&lt;=" &amp; BB$1, DataRegularSeason20242025!$E$3:$E$1315, $A7)</f>
        <v>5</v>
      </c>
      <c r="BC7">
        <f>SUMIFS(DataRegularSeason20242025!$AA$3:$AA$1315,DataRegularSeason20242025!$B$3:$B$1315, "&lt;=" &amp; BC$1, DataRegularSeason20242025!$D$3:$D$1315, $A7)+SUMIFS(DataRegularSeason20242025!$AB$3:$AB$1315,DataRegularSeason20242025!$B$3:$B$1315, "&lt;=" &amp; BC$1, DataRegularSeason20242025!$E$3:$E$1315, $A7)</f>
        <v>5</v>
      </c>
      <c r="BD7">
        <f>SUMIFS(DataRegularSeason20242025!$AA$3:$AA$1315,DataRegularSeason20242025!$B$3:$B$1315, "&lt;=" &amp; BD$1, DataRegularSeason20242025!$D$3:$D$1315, $A7)+SUMIFS(DataRegularSeason20242025!$AB$3:$AB$1315,DataRegularSeason20242025!$B$3:$B$1315, "&lt;=" &amp; BD$1, DataRegularSeason20242025!$E$3:$E$1315, $A7)</f>
        <v>5</v>
      </c>
      <c r="BE7">
        <f>SUMIFS(DataRegularSeason20242025!$AA$3:$AA$1315,DataRegularSeason20242025!$B$3:$B$1315, "&lt;=" &amp; BE$1, DataRegularSeason20242025!$D$3:$D$1315, $A7)+SUMIFS(DataRegularSeason20242025!$AB$3:$AB$1315,DataRegularSeason20242025!$B$3:$B$1315, "&lt;=" &amp; BE$1, DataRegularSeason20242025!$E$3:$E$1315, $A7)</f>
        <v>5</v>
      </c>
      <c r="BF7">
        <f>SUMIFS(DataRegularSeason20242025!$AA$3:$AA$1315,DataRegularSeason20242025!$B$3:$B$1315, "&lt;=" &amp; BF$1, DataRegularSeason20242025!$D$3:$D$1315, $A7)+SUMIFS(DataRegularSeason20242025!$AB$3:$AB$1315,DataRegularSeason20242025!$B$3:$B$1315, "&lt;=" &amp; BF$1, DataRegularSeason20242025!$E$3:$E$1315, $A7)</f>
        <v>5</v>
      </c>
      <c r="BG7">
        <f>SUMIFS(DataRegularSeason20242025!$AA$3:$AA$1315,DataRegularSeason20242025!$B$3:$B$1315, "&lt;=" &amp; BG$1, DataRegularSeason20242025!$D$3:$D$1315, $A7)+SUMIFS(DataRegularSeason20242025!$AB$3:$AB$1315,DataRegularSeason20242025!$B$3:$B$1315, "&lt;=" &amp; BG$1, DataRegularSeason20242025!$E$3:$E$1315, $A7)</f>
        <v>5</v>
      </c>
      <c r="BH7">
        <f>SUMIFS(DataRegularSeason20242025!$AA$3:$AA$1315,DataRegularSeason20242025!$B$3:$B$1315, "&lt;=" &amp; BH$1, DataRegularSeason20242025!$D$3:$D$1315, $A7)+SUMIFS(DataRegularSeason20242025!$AB$3:$AB$1315,DataRegularSeason20242025!$B$3:$B$1315, "&lt;=" &amp; BH$1, DataRegularSeason20242025!$E$3:$E$1315, $A7)</f>
        <v>5</v>
      </c>
      <c r="BI7">
        <f>SUMIFS(DataRegularSeason20242025!$AA$3:$AA$1315,DataRegularSeason20242025!$B$3:$B$1315, "&lt;=" &amp; BI$1, DataRegularSeason20242025!$D$3:$D$1315, $A7)+SUMIFS(DataRegularSeason20242025!$AB$3:$AB$1315,DataRegularSeason20242025!$B$3:$B$1315, "&lt;=" &amp; BI$1, DataRegularSeason20242025!$E$3:$E$1315, $A7)</f>
        <v>5</v>
      </c>
      <c r="BJ7">
        <f>SUMIFS(DataRegularSeason20242025!$AA$3:$AA$1315,DataRegularSeason20242025!$B$3:$B$1315, "&lt;=" &amp; BJ$1, DataRegularSeason20242025!$D$3:$D$1315, $A7)+SUMIFS(DataRegularSeason20242025!$AB$3:$AB$1315,DataRegularSeason20242025!$B$3:$B$1315, "&lt;=" &amp; BJ$1, DataRegularSeason20242025!$E$3:$E$1315, $A7)</f>
        <v>5</v>
      </c>
      <c r="BK7">
        <f>SUMIFS(DataRegularSeason20242025!$AA$3:$AA$1315,DataRegularSeason20242025!$B$3:$B$1315, "&lt;=" &amp; BK$1, DataRegularSeason20242025!$D$3:$D$1315, $A7)+SUMIFS(DataRegularSeason20242025!$AB$3:$AB$1315,DataRegularSeason20242025!$B$3:$B$1315, "&lt;=" &amp; BK$1, DataRegularSeason20242025!$E$3:$E$1315, $A7)</f>
        <v>5</v>
      </c>
      <c r="BL7">
        <f>SUMIFS(DataRegularSeason20242025!$AA$3:$AA$1315,DataRegularSeason20242025!$B$3:$B$1315, "&lt;=" &amp; BL$1, DataRegularSeason20242025!$D$3:$D$1315, $A7)+SUMIFS(DataRegularSeason20242025!$AB$3:$AB$1315,DataRegularSeason20242025!$B$3:$B$1315, "&lt;=" &amp; BL$1, DataRegularSeason20242025!$E$3:$E$1315, $A7)</f>
        <v>5</v>
      </c>
      <c r="BM7">
        <f>SUMIFS(DataRegularSeason20242025!$AA$3:$AA$1315,DataRegularSeason20242025!$B$3:$B$1315, "&lt;=" &amp; BM$1, DataRegularSeason20242025!$D$3:$D$1315, $A7)+SUMIFS(DataRegularSeason20242025!$AB$3:$AB$1315,DataRegularSeason20242025!$B$3:$B$1315, "&lt;=" &amp; BM$1, DataRegularSeason20242025!$E$3:$E$1315, $A7)</f>
        <v>5</v>
      </c>
      <c r="BN7">
        <f>SUMIFS(DataRegularSeason20242025!$AA$3:$AA$1315,DataRegularSeason20242025!$B$3:$B$1315, "&lt;=" &amp; BN$1, DataRegularSeason20242025!$D$3:$D$1315, $A7)+SUMIFS(DataRegularSeason20242025!$AB$3:$AB$1315,DataRegularSeason20242025!$B$3:$B$1315, "&lt;=" &amp; BN$1, DataRegularSeason20242025!$E$3:$E$1315, $A7)</f>
        <v>5</v>
      </c>
      <c r="BO7">
        <f>SUMIFS(DataRegularSeason20242025!$AA$3:$AA$1315,DataRegularSeason20242025!$B$3:$B$1315, "&lt;=" &amp; BO$1, DataRegularSeason20242025!$D$3:$D$1315, $A7)+SUMIFS(DataRegularSeason20242025!$AB$3:$AB$1315,DataRegularSeason20242025!$B$3:$B$1315, "&lt;=" &amp; BO$1, DataRegularSeason20242025!$E$3:$E$1315, $A7)</f>
        <v>5</v>
      </c>
      <c r="BP7">
        <f>SUMIFS(DataRegularSeason20242025!$AA$3:$AA$1315,DataRegularSeason20242025!$B$3:$B$1315, "&lt;=" &amp; BP$1, DataRegularSeason20242025!$D$3:$D$1315, $A7)+SUMIFS(DataRegularSeason20242025!$AB$3:$AB$1315,DataRegularSeason20242025!$B$3:$B$1315, "&lt;=" &amp; BP$1, DataRegularSeason20242025!$E$3:$E$1315, $A7)</f>
        <v>5</v>
      </c>
      <c r="BQ7">
        <f>SUMIFS(DataRegularSeason20242025!$AA$3:$AA$1315,DataRegularSeason20242025!$B$3:$B$1315, "&lt;=" &amp; BQ$1, DataRegularSeason20242025!$D$3:$D$1315, $A7)+SUMIFS(DataRegularSeason20242025!$AB$3:$AB$1315,DataRegularSeason20242025!$B$3:$B$1315, "&lt;=" &amp; BQ$1, DataRegularSeason20242025!$E$3:$E$1315, $A7)</f>
        <v>5</v>
      </c>
      <c r="BR7">
        <f>SUMIFS(DataRegularSeason20242025!$AA$3:$AA$1315,DataRegularSeason20242025!$B$3:$B$1315, "&lt;=" &amp; BR$1, DataRegularSeason20242025!$D$3:$D$1315, $A7)+SUMIFS(DataRegularSeason20242025!$AB$3:$AB$1315,DataRegularSeason20242025!$B$3:$B$1315, "&lt;=" &amp; BR$1, DataRegularSeason20242025!$E$3:$E$1315, $A7)</f>
        <v>5</v>
      </c>
      <c r="BS7">
        <f>SUMIFS(DataRegularSeason20242025!$AA$3:$AA$1315,DataRegularSeason20242025!$B$3:$B$1315, "&lt;=" &amp; BS$1, DataRegularSeason20242025!$D$3:$D$1315, $A7)+SUMIFS(DataRegularSeason20242025!$AB$3:$AB$1315,DataRegularSeason20242025!$B$3:$B$1315, "&lt;=" &amp; BS$1, DataRegularSeason20242025!$E$3:$E$1315, $A7)</f>
        <v>5</v>
      </c>
      <c r="BT7">
        <f>SUMIFS(DataRegularSeason20242025!$AA$3:$AA$1315,DataRegularSeason20242025!$B$3:$B$1315, "&lt;=" &amp; BT$1, DataRegularSeason20242025!$D$3:$D$1315, $A7)+SUMIFS(DataRegularSeason20242025!$AB$3:$AB$1315,DataRegularSeason20242025!$B$3:$B$1315, "&lt;=" &amp; BT$1, DataRegularSeason20242025!$E$3:$E$1315, $A7)</f>
        <v>5</v>
      </c>
      <c r="BU7">
        <f>SUMIFS(DataRegularSeason20242025!$AA$3:$AA$1315,DataRegularSeason20242025!$B$3:$B$1315, "&lt;=" &amp; BU$1, DataRegularSeason20242025!$D$3:$D$1315, $A7)+SUMIFS(DataRegularSeason20242025!$AB$3:$AB$1315,DataRegularSeason20242025!$B$3:$B$1315, "&lt;=" &amp; BU$1, DataRegularSeason20242025!$E$3:$E$1315, $A7)</f>
        <v>5</v>
      </c>
      <c r="BV7">
        <f>SUMIFS(DataRegularSeason20242025!$AA$3:$AA$1315,DataRegularSeason20242025!$B$3:$B$1315, "&lt;=" &amp; BV$1, DataRegularSeason20242025!$D$3:$D$1315, $A7)+SUMIFS(DataRegularSeason20242025!$AB$3:$AB$1315,DataRegularSeason20242025!$B$3:$B$1315, "&lt;=" &amp; BV$1, DataRegularSeason20242025!$E$3:$E$1315, $A7)</f>
        <v>5</v>
      </c>
      <c r="BW7">
        <f>SUMIFS(DataRegularSeason20242025!$AA$3:$AA$1315,DataRegularSeason20242025!$B$3:$B$1315, "&lt;=" &amp; BW$1, DataRegularSeason20242025!$D$3:$D$1315, $A7)+SUMIFS(DataRegularSeason20242025!$AB$3:$AB$1315,DataRegularSeason20242025!$B$3:$B$1315, "&lt;=" &amp; BW$1, DataRegularSeason20242025!$E$3:$E$1315, $A7)</f>
        <v>5</v>
      </c>
      <c r="BX7">
        <f>SUMIFS(DataRegularSeason20242025!$AA$3:$AA$1315,DataRegularSeason20242025!$B$3:$B$1315, "&lt;=" &amp; BX$1, DataRegularSeason20242025!$D$3:$D$1315, $A7)+SUMIFS(DataRegularSeason20242025!$AB$3:$AB$1315,DataRegularSeason20242025!$B$3:$B$1315, "&lt;=" &amp; BX$1, DataRegularSeason20242025!$E$3:$E$1315, $A7)</f>
        <v>5</v>
      </c>
      <c r="BY7">
        <f>SUMIFS(DataRegularSeason20242025!$AA$3:$AA$1315,DataRegularSeason20242025!$B$3:$B$1315, "&lt;=" &amp; BY$1, DataRegularSeason20242025!$D$3:$D$1315, $A7)+SUMIFS(DataRegularSeason20242025!$AB$3:$AB$1315,DataRegularSeason20242025!$B$3:$B$1315, "&lt;=" &amp; BY$1, DataRegularSeason20242025!$E$3:$E$1315, $A7)</f>
        <v>5</v>
      </c>
      <c r="BZ7">
        <f>SUMIFS(DataRegularSeason20242025!$AA$3:$AA$1315,DataRegularSeason20242025!$B$3:$B$1315, "&lt;=" &amp; BZ$1, DataRegularSeason20242025!$D$3:$D$1315, $A7)+SUMIFS(DataRegularSeason20242025!$AB$3:$AB$1315,DataRegularSeason20242025!$B$3:$B$1315, "&lt;=" &amp; BZ$1, DataRegularSeason20242025!$E$3:$E$1315, $A7)</f>
        <v>5</v>
      </c>
      <c r="CA7">
        <f>SUMIFS(DataRegularSeason20242025!$AA$3:$AA$1315,DataRegularSeason20242025!$B$3:$B$1315, "&lt;=" &amp; CA$1, DataRegularSeason20242025!$D$3:$D$1315, $A7)+SUMIFS(DataRegularSeason20242025!$AB$3:$AB$1315,DataRegularSeason20242025!$B$3:$B$1315, "&lt;=" &amp; CA$1, DataRegularSeason20242025!$E$3:$E$1315, $A7)</f>
        <v>5</v>
      </c>
      <c r="CB7">
        <f>SUMIFS(DataRegularSeason20242025!$AA$3:$AA$1315,DataRegularSeason20242025!$B$3:$B$1315, "&lt;=" &amp; CB$1, DataRegularSeason20242025!$D$3:$D$1315, $A7)+SUMIFS(DataRegularSeason20242025!$AB$3:$AB$1315,DataRegularSeason20242025!$B$3:$B$1315, "&lt;=" &amp; CB$1, DataRegularSeason20242025!$E$3:$E$1315, $A7)</f>
        <v>5</v>
      </c>
      <c r="CC7">
        <f>SUMIFS(DataRegularSeason20242025!$AA$3:$AA$1315,DataRegularSeason20242025!$B$3:$B$1315, "&lt;=" &amp; CC$1, DataRegularSeason20242025!$D$3:$D$1315, $A7)+SUMIFS(DataRegularSeason20242025!$AB$3:$AB$1315,DataRegularSeason20242025!$B$3:$B$1315, "&lt;=" &amp; CC$1, DataRegularSeason20242025!$E$3:$E$1315, $A7)</f>
        <v>5</v>
      </c>
      <c r="CD7">
        <f>SUMIFS(DataRegularSeason20242025!$AA$3:$AA$1315,DataRegularSeason20242025!$B$3:$B$1315, "&lt;=" &amp; CD$1, DataRegularSeason20242025!$D$3:$D$1315, $A7)+SUMIFS(DataRegularSeason20242025!$AB$3:$AB$1315,DataRegularSeason20242025!$B$3:$B$1315, "&lt;=" &amp; CD$1, DataRegularSeason20242025!$E$3:$E$1315, $A7)</f>
        <v>5</v>
      </c>
      <c r="CE7">
        <f>SUMIFS(DataRegularSeason20242025!$AA$3:$AA$1315,DataRegularSeason20242025!$B$3:$B$1315, "&lt;=" &amp; CE$1, DataRegularSeason20242025!$D$3:$D$1315, $A7)+SUMIFS(DataRegularSeason20242025!$AB$3:$AB$1315,DataRegularSeason20242025!$B$3:$B$1315, "&lt;=" &amp; CE$1, DataRegularSeason20242025!$E$3:$E$1315, $A7)</f>
        <v>5</v>
      </c>
      <c r="CF7">
        <f>SUMIFS(DataRegularSeason20242025!$AA$3:$AA$1315,DataRegularSeason20242025!$B$3:$B$1315, "&lt;=" &amp; CF$1, DataRegularSeason20242025!$D$3:$D$1315, $A7)+SUMIFS(DataRegularSeason20242025!$AB$3:$AB$1315,DataRegularSeason20242025!$B$3:$B$1315, "&lt;=" &amp; CF$1, DataRegularSeason20242025!$E$3:$E$1315, $A7)</f>
        <v>5</v>
      </c>
      <c r="CG7">
        <f>SUMIFS(DataRegularSeason20242025!$AA$3:$AA$1315,DataRegularSeason20242025!$B$3:$B$1315, "&lt;=" &amp; CG$1, DataRegularSeason20242025!$D$3:$D$1315, $A7)+SUMIFS(DataRegularSeason20242025!$AB$3:$AB$1315,DataRegularSeason20242025!$B$3:$B$1315, "&lt;=" &amp; CG$1, DataRegularSeason20242025!$E$3:$E$1315, $A7)</f>
        <v>5</v>
      </c>
      <c r="CH7">
        <f>SUMIFS(DataRegularSeason20242025!$AA$3:$AA$1315,DataRegularSeason20242025!$B$3:$B$1315, "&lt;=" &amp; CH$1, DataRegularSeason20242025!$D$3:$D$1315, $A7)+SUMIFS(DataRegularSeason20242025!$AB$3:$AB$1315,DataRegularSeason20242025!$B$3:$B$1315, "&lt;=" &amp; CH$1, DataRegularSeason20242025!$E$3:$E$1315, $A7)</f>
        <v>5</v>
      </c>
      <c r="CI7">
        <f>SUMIFS(DataRegularSeason20242025!$AA$3:$AA$1315,DataRegularSeason20242025!$B$3:$B$1315, "&lt;=" &amp; CI$1, DataRegularSeason20242025!$D$3:$D$1315, $A7)+SUMIFS(DataRegularSeason20242025!$AB$3:$AB$1315,DataRegularSeason20242025!$B$3:$B$1315, "&lt;=" &amp; CI$1, DataRegularSeason20242025!$E$3:$E$1315, $A7)</f>
        <v>5</v>
      </c>
      <c r="CJ7">
        <f>SUMIFS(DataRegularSeason20242025!$AA$3:$AA$1315,DataRegularSeason20242025!$B$3:$B$1315, "&lt;=" &amp; CJ$1, DataRegularSeason20242025!$D$3:$D$1315, $A7)+SUMIFS(DataRegularSeason20242025!$AB$3:$AB$1315,DataRegularSeason20242025!$B$3:$B$1315, "&lt;=" &amp; CJ$1, DataRegularSeason20242025!$E$3:$E$1315, $A7)</f>
        <v>5</v>
      </c>
      <c r="CK7">
        <f>SUMIFS(DataRegularSeason20242025!$AA$3:$AA$1315,DataRegularSeason20242025!$B$3:$B$1315, "&lt;=" &amp; CK$1, DataRegularSeason20242025!$D$3:$D$1315, $A7)+SUMIFS(DataRegularSeason20242025!$AB$3:$AB$1315,DataRegularSeason20242025!$B$3:$B$1315, "&lt;=" &amp; CK$1, DataRegularSeason20242025!$E$3:$E$1315, $A7)</f>
        <v>5</v>
      </c>
      <c r="CL7">
        <f>SUMIFS(DataRegularSeason20242025!$AA$3:$AA$1315,DataRegularSeason20242025!$B$3:$B$1315, "&lt;=" &amp; CL$1, DataRegularSeason20242025!$D$3:$D$1315, $A7)+SUMIFS(DataRegularSeason20242025!$AB$3:$AB$1315,DataRegularSeason20242025!$B$3:$B$1315, "&lt;=" &amp; CL$1, DataRegularSeason20242025!$E$3:$E$1315, $A7)</f>
        <v>5</v>
      </c>
      <c r="CM7">
        <f>SUMIFS(DataRegularSeason20242025!$AA$3:$AA$1315,DataRegularSeason20242025!$B$3:$B$1315, "&lt;=" &amp; CM$1, DataRegularSeason20242025!$D$3:$D$1315, $A7)+SUMIFS(DataRegularSeason20242025!$AB$3:$AB$1315,DataRegularSeason20242025!$B$3:$B$1315, "&lt;=" &amp; CM$1, DataRegularSeason20242025!$E$3:$E$1315, $A7)</f>
        <v>5</v>
      </c>
      <c r="CN7">
        <f>SUMIFS(DataRegularSeason20242025!$AA$3:$AA$1315,DataRegularSeason20242025!$B$3:$B$1315, "&lt;=" &amp; CN$1, DataRegularSeason20242025!$D$3:$D$1315, $A7)+SUMIFS(DataRegularSeason20242025!$AB$3:$AB$1315,DataRegularSeason20242025!$B$3:$B$1315, "&lt;=" &amp; CN$1, DataRegularSeason20242025!$E$3:$E$1315, $A7)</f>
        <v>5</v>
      </c>
      <c r="CO7">
        <f>SUMIFS(DataRegularSeason20242025!$AA$3:$AA$1315,DataRegularSeason20242025!$B$3:$B$1315, "&lt;=" &amp; CO$1, DataRegularSeason20242025!$D$3:$D$1315, $A7)+SUMIFS(DataRegularSeason20242025!$AB$3:$AB$1315,DataRegularSeason20242025!$B$3:$B$1315, "&lt;=" &amp; CO$1, DataRegularSeason20242025!$E$3:$E$1315, $A7)</f>
        <v>5</v>
      </c>
      <c r="CP7">
        <f>SUMIFS(DataRegularSeason20242025!$AA$3:$AA$1315,DataRegularSeason20242025!$B$3:$B$1315, "&lt;=" &amp; CP$1, DataRegularSeason20242025!$D$3:$D$1315, $A7)+SUMIFS(DataRegularSeason20242025!$AB$3:$AB$1315,DataRegularSeason20242025!$B$3:$B$1315, "&lt;=" &amp; CP$1, DataRegularSeason20242025!$E$3:$E$1315, $A7)</f>
        <v>5</v>
      </c>
      <c r="CQ7">
        <f>SUMIFS(DataRegularSeason20242025!$AA$3:$AA$1315,DataRegularSeason20242025!$B$3:$B$1315, "&lt;=" &amp; CQ$1, DataRegularSeason20242025!$D$3:$D$1315, $A7)+SUMIFS(DataRegularSeason20242025!$AB$3:$AB$1315,DataRegularSeason20242025!$B$3:$B$1315, "&lt;=" &amp; CQ$1, DataRegularSeason20242025!$E$3:$E$1315, $A7)</f>
        <v>5</v>
      </c>
      <c r="CR7">
        <f>SUMIFS(DataRegularSeason20242025!$AA$3:$AA$1315,DataRegularSeason20242025!$B$3:$B$1315, "&lt;=" &amp; CR$1, DataRegularSeason20242025!$D$3:$D$1315, $A7)+SUMIFS(DataRegularSeason20242025!$AB$3:$AB$1315,DataRegularSeason20242025!$B$3:$B$1315, "&lt;=" &amp; CR$1, DataRegularSeason20242025!$E$3:$E$1315, $A7)</f>
        <v>5</v>
      </c>
      <c r="CS7">
        <f>SUMIFS(DataRegularSeason20242025!$AA$3:$AA$1315,DataRegularSeason20242025!$B$3:$B$1315, "&lt;=" &amp; CS$1, DataRegularSeason20242025!$D$3:$D$1315, $A7)+SUMIFS(DataRegularSeason20242025!$AB$3:$AB$1315,DataRegularSeason20242025!$B$3:$B$1315, "&lt;=" &amp; CS$1, DataRegularSeason20242025!$E$3:$E$1315, $A7)</f>
        <v>5</v>
      </c>
      <c r="CT7">
        <f>SUMIFS(DataRegularSeason20242025!$AA$3:$AA$1315,DataRegularSeason20242025!$B$3:$B$1315, "&lt;=" &amp; CT$1, DataRegularSeason20242025!$D$3:$D$1315, $A7)+SUMIFS(DataRegularSeason20242025!$AB$3:$AB$1315,DataRegularSeason20242025!$B$3:$B$1315, "&lt;=" &amp; CT$1, DataRegularSeason20242025!$E$3:$E$1315, $A7)</f>
        <v>5</v>
      </c>
      <c r="CU7">
        <f>SUMIFS(DataRegularSeason20242025!$AA$3:$AA$1315,DataRegularSeason20242025!$B$3:$B$1315, "&lt;=" &amp; CU$1, DataRegularSeason20242025!$D$3:$D$1315, $A7)+SUMIFS(DataRegularSeason20242025!$AB$3:$AB$1315,DataRegularSeason20242025!$B$3:$B$1315, "&lt;=" &amp; CU$1, DataRegularSeason20242025!$E$3:$E$1315, $A7)</f>
        <v>5</v>
      </c>
      <c r="CV7">
        <f>SUMIFS(DataRegularSeason20242025!$AA$3:$AA$1315,DataRegularSeason20242025!$B$3:$B$1315, "&lt;=" &amp; CV$1, DataRegularSeason20242025!$D$3:$D$1315, $A7)+SUMIFS(DataRegularSeason20242025!$AB$3:$AB$1315,DataRegularSeason20242025!$B$3:$B$1315, "&lt;=" &amp; CV$1, DataRegularSeason20242025!$E$3:$E$1315, $A7)</f>
        <v>5</v>
      </c>
      <c r="CW7">
        <f>SUMIFS(DataRegularSeason20242025!$AA$3:$AA$1315,DataRegularSeason20242025!$B$3:$B$1315, "&lt;=" &amp; CW$1, DataRegularSeason20242025!$D$3:$D$1315, $A7)+SUMIFS(DataRegularSeason20242025!$AB$3:$AB$1315,DataRegularSeason20242025!$B$3:$B$1315, "&lt;=" &amp; CW$1, DataRegularSeason20242025!$E$3:$E$1315, $A7)</f>
        <v>5</v>
      </c>
      <c r="CX7">
        <f>SUMIFS(DataRegularSeason20242025!$AA$3:$AA$1315,DataRegularSeason20242025!$B$3:$B$1315, "&lt;=" &amp; CX$1, DataRegularSeason20242025!$D$3:$D$1315, $A7)+SUMIFS(DataRegularSeason20242025!$AB$3:$AB$1315,DataRegularSeason20242025!$B$3:$B$1315, "&lt;=" &amp; CX$1, DataRegularSeason20242025!$E$3:$E$1315, $A7)</f>
        <v>5</v>
      </c>
      <c r="CY7">
        <f>SUMIFS(DataRegularSeason20242025!$AA$3:$AA$1315,DataRegularSeason20242025!$B$3:$B$1315, "&lt;=" &amp; CY$1, DataRegularSeason20242025!$D$3:$D$1315, $A7)+SUMIFS(DataRegularSeason20242025!$AB$3:$AB$1315,DataRegularSeason20242025!$B$3:$B$1315, "&lt;=" &amp; CY$1, DataRegularSeason20242025!$E$3:$E$1315, $A7)</f>
        <v>5</v>
      </c>
      <c r="CZ7">
        <f>SUMIFS(DataRegularSeason20242025!$AA$3:$AA$1315,DataRegularSeason20242025!$B$3:$B$1315, "&lt;=" &amp; CZ$1, DataRegularSeason20242025!$D$3:$D$1315, $A7)+SUMIFS(DataRegularSeason20242025!$AB$3:$AB$1315,DataRegularSeason20242025!$B$3:$B$1315, "&lt;=" &amp; CZ$1, DataRegularSeason20242025!$E$3:$E$1315, $A7)</f>
        <v>5</v>
      </c>
      <c r="DA7">
        <f>SUMIFS(DataRegularSeason20242025!$AA$3:$AA$1315,DataRegularSeason20242025!$B$3:$B$1315, "&lt;=" &amp; DA$1, DataRegularSeason20242025!$D$3:$D$1315, $A7)+SUMIFS(DataRegularSeason20242025!$AB$3:$AB$1315,DataRegularSeason20242025!$B$3:$B$1315, "&lt;=" &amp; DA$1, DataRegularSeason20242025!$E$3:$E$1315, $A7)</f>
        <v>5</v>
      </c>
      <c r="DB7">
        <f>SUMIFS(DataRegularSeason20242025!$AA$3:$AA$1315,DataRegularSeason20242025!$B$3:$B$1315, "&lt;=" &amp; DB$1, DataRegularSeason20242025!$D$3:$D$1315, $A7)+SUMIFS(DataRegularSeason20242025!$AB$3:$AB$1315,DataRegularSeason20242025!$B$3:$B$1315, "&lt;=" &amp; DB$1, DataRegularSeason20242025!$E$3:$E$1315, $A7)</f>
        <v>5</v>
      </c>
      <c r="DC7">
        <f>SUMIFS(DataRegularSeason20242025!$AA$3:$AA$1315,DataRegularSeason20242025!$B$3:$B$1315, "&lt;=" &amp; DC$1, DataRegularSeason20242025!$D$3:$D$1315, $A7)+SUMIFS(DataRegularSeason20242025!$AB$3:$AB$1315,DataRegularSeason20242025!$B$3:$B$1315, "&lt;=" &amp; DC$1, DataRegularSeason20242025!$E$3:$E$1315, $A7)</f>
        <v>5</v>
      </c>
      <c r="DD7">
        <f>SUMIFS(DataRegularSeason20242025!$AA$3:$AA$1315,DataRegularSeason20242025!$B$3:$B$1315, "&lt;=" &amp; DD$1, DataRegularSeason20242025!$D$3:$D$1315, $A7)+SUMIFS(DataRegularSeason20242025!$AB$3:$AB$1315,DataRegularSeason20242025!$B$3:$B$1315, "&lt;=" &amp; DD$1, DataRegularSeason20242025!$E$3:$E$1315, $A7)</f>
        <v>5</v>
      </c>
      <c r="DE7">
        <f>SUMIFS(DataRegularSeason20242025!$AA$3:$AA$1315,DataRegularSeason20242025!$B$3:$B$1315, "&lt;=" &amp; DE$1, DataRegularSeason20242025!$D$3:$D$1315, $A7)+SUMIFS(DataRegularSeason20242025!$AB$3:$AB$1315,DataRegularSeason20242025!$B$3:$B$1315, "&lt;=" &amp; DE$1, DataRegularSeason20242025!$E$3:$E$1315, $A7)</f>
        <v>5</v>
      </c>
      <c r="DF7">
        <f>SUMIFS(DataRegularSeason20242025!$AA$3:$AA$1315,DataRegularSeason20242025!$B$3:$B$1315, "&lt;=" &amp; DF$1, DataRegularSeason20242025!$D$3:$D$1315, $A7)+SUMIFS(DataRegularSeason20242025!$AB$3:$AB$1315,DataRegularSeason20242025!$B$3:$B$1315, "&lt;=" &amp; DF$1, DataRegularSeason20242025!$E$3:$E$1315, $A7)</f>
        <v>5</v>
      </c>
      <c r="DG7">
        <f>SUMIFS(DataRegularSeason20242025!$AA$3:$AA$1315,DataRegularSeason20242025!$B$3:$B$1315, "&lt;=" &amp; DG$1, DataRegularSeason20242025!$D$3:$D$1315, $A7)+SUMIFS(DataRegularSeason20242025!$AB$3:$AB$1315,DataRegularSeason20242025!$B$3:$B$1315, "&lt;=" &amp; DG$1, DataRegularSeason20242025!$E$3:$E$1315, $A7)</f>
        <v>5</v>
      </c>
      <c r="DH7">
        <f>SUMIFS(DataRegularSeason20242025!$AA$3:$AA$1315,DataRegularSeason20242025!$B$3:$B$1315, "&lt;=" &amp; DH$1, DataRegularSeason20242025!$D$3:$D$1315, $A7)+SUMIFS(DataRegularSeason20242025!$AB$3:$AB$1315,DataRegularSeason20242025!$B$3:$B$1315, "&lt;=" &amp; DH$1, DataRegularSeason20242025!$E$3:$E$1315, $A7)</f>
        <v>5</v>
      </c>
      <c r="DI7">
        <f>SUMIFS(DataRegularSeason20242025!$AA$3:$AA$1315,DataRegularSeason20242025!$B$3:$B$1315, "&lt;=" &amp; DI$1, DataRegularSeason20242025!$D$3:$D$1315, $A7)+SUMIFS(DataRegularSeason20242025!$AB$3:$AB$1315,DataRegularSeason20242025!$B$3:$B$1315, "&lt;=" &amp; DI$1, DataRegularSeason20242025!$E$3:$E$1315, $A7)</f>
        <v>5</v>
      </c>
      <c r="DJ7">
        <f>SUMIFS(DataRegularSeason20242025!$AA$3:$AA$1315,DataRegularSeason20242025!$B$3:$B$1315, "&lt;=" &amp; DJ$1, DataRegularSeason20242025!$D$3:$D$1315, $A7)+SUMIFS(DataRegularSeason20242025!$AB$3:$AB$1315,DataRegularSeason20242025!$B$3:$B$1315, "&lt;=" &amp; DJ$1, DataRegularSeason20242025!$E$3:$E$1315, $A7)</f>
        <v>5</v>
      </c>
      <c r="DK7">
        <f>SUMIFS(DataRegularSeason20242025!$AA$3:$AA$1315,DataRegularSeason20242025!$B$3:$B$1315, "&lt;=" &amp; DK$1, DataRegularSeason20242025!$D$3:$D$1315, $A7)+SUMIFS(DataRegularSeason20242025!$AB$3:$AB$1315,DataRegularSeason20242025!$B$3:$B$1315, "&lt;=" &amp; DK$1, DataRegularSeason20242025!$E$3:$E$1315, $A7)</f>
        <v>5</v>
      </c>
      <c r="DL7">
        <f>SUMIFS(DataRegularSeason20242025!$AA$3:$AA$1315,DataRegularSeason20242025!$B$3:$B$1315, "&lt;=" &amp; DL$1, DataRegularSeason20242025!$D$3:$D$1315, $A7)+SUMIFS(DataRegularSeason20242025!$AB$3:$AB$1315,DataRegularSeason20242025!$B$3:$B$1315, "&lt;=" &amp; DL$1, DataRegularSeason20242025!$E$3:$E$1315, $A7)</f>
        <v>5</v>
      </c>
      <c r="DM7">
        <f>SUMIFS(DataRegularSeason20242025!$AA$3:$AA$1315,DataRegularSeason20242025!$B$3:$B$1315, "&lt;=" &amp; DM$1, DataRegularSeason20242025!$D$3:$D$1315, $A7)+SUMIFS(DataRegularSeason20242025!$AB$3:$AB$1315,DataRegularSeason20242025!$B$3:$B$1315, "&lt;=" &amp; DM$1, DataRegularSeason20242025!$E$3:$E$1315, $A7)</f>
        <v>5</v>
      </c>
      <c r="DN7">
        <f>SUMIFS(DataRegularSeason20242025!$AA$3:$AA$1315,DataRegularSeason20242025!$B$3:$B$1315, "&lt;=" &amp; DN$1, DataRegularSeason20242025!$D$3:$D$1315, $A7)+SUMIFS(DataRegularSeason20242025!$AB$3:$AB$1315,DataRegularSeason20242025!$B$3:$B$1315, "&lt;=" &amp; DN$1, DataRegularSeason20242025!$E$3:$E$1315, $A7)</f>
        <v>5</v>
      </c>
      <c r="DO7">
        <f>SUMIFS(DataRegularSeason20242025!$AA$3:$AA$1315,DataRegularSeason20242025!$B$3:$B$1315, "&lt;=" &amp; DO$1, DataRegularSeason20242025!$D$3:$D$1315, $A7)+SUMIFS(DataRegularSeason20242025!$AB$3:$AB$1315,DataRegularSeason20242025!$B$3:$B$1315, "&lt;=" &amp; DO$1, DataRegularSeason20242025!$E$3:$E$1315, $A7)</f>
        <v>5</v>
      </c>
      <c r="DP7">
        <f>SUMIFS(DataRegularSeason20242025!$AA$3:$AA$1315,DataRegularSeason20242025!$B$3:$B$1315, "&lt;=" &amp; DP$1, DataRegularSeason20242025!$D$3:$D$1315, $A7)+SUMIFS(DataRegularSeason20242025!$AB$3:$AB$1315,DataRegularSeason20242025!$B$3:$B$1315, "&lt;=" &amp; DP$1, DataRegularSeason20242025!$E$3:$E$1315, $A7)</f>
        <v>5</v>
      </c>
      <c r="DQ7">
        <f>SUMIFS(DataRegularSeason20242025!$AA$3:$AA$1315,DataRegularSeason20242025!$B$3:$B$1315, "&lt;=" &amp; DQ$1, DataRegularSeason20242025!$D$3:$D$1315, $A7)+SUMIFS(DataRegularSeason20242025!$AB$3:$AB$1315,DataRegularSeason20242025!$B$3:$B$1315, "&lt;=" &amp; DQ$1, DataRegularSeason20242025!$E$3:$E$1315, $A7)</f>
        <v>5</v>
      </c>
      <c r="DR7">
        <f>SUMIFS(DataRegularSeason20242025!$AA$3:$AA$1315,DataRegularSeason20242025!$B$3:$B$1315, "&lt;=" &amp; DR$1, DataRegularSeason20242025!$D$3:$D$1315, $A7)+SUMIFS(DataRegularSeason20242025!$AB$3:$AB$1315,DataRegularSeason20242025!$B$3:$B$1315, "&lt;=" &amp; DR$1, DataRegularSeason20242025!$E$3:$E$1315, $A7)</f>
        <v>5</v>
      </c>
      <c r="DS7">
        <f>SUMIFS(DataRegularSeason20242025!$AA$3:$AA$1315,DataRegularSeason20242025!$B$3:$B$1315, "&lt;=" &amp; DS$1, DataRegularSeason20242025!$D$3:$D$1315, $A7)+SUMIFS(DataRegularSeason20242025!$AB$3:$AB$1315,DataRegularSeason20242025!$B$3:$B$1315, "&lt;=" &amp; DS$1, DataRegularSeason20242025!$E$3:$E$1315, $A7)</f>
        <v>5</v>
      </c>
      <c r="DT7">
        <f>SUMIFS(DataRegularSeason20242025!$AA$3:$AA$1315,DataRegularSeason20242025!$B$3:$B$1315, "&lt;=" &amp; DT$1, DataRegularSeason20242025!$D$3:$D$1315, $A7)+SUMIFS(DataRegularSeason20242025!$AB$3:$AB$1315,DataRegularSeason20242025!$B$3:$B$1315, "&lt;=" &amp; DT$1, DataRegularSeason20242025!$E$3:$E$1315, $A7)</f>
        <v>5</v>
      </c>
      <c r="DU7">
        <f>SUMIFS(DataRegularSeason20242025!$AA$3:$AA$1315,DataRegularSeason20242025!$B$3:$B$1315, "&lt;=" &amp; DU$1, DataRegularSeason20242025!$D$3:$D$1315, $A7)+SUMIFS(DataRegularSeason20242025!$AB$3:$AB$1315,DataRegularSeason20242025!$B$3:$B$1315, "&lt;=" &amp; DU$1, DataRegularSeason20242025!$E$3:$E$1315, $A7)</f>
        <v>5</v>
      </c>
      <c r="DV7">
        <f>SUMIFS(DataRegularSeason20242025!$AA$3:$AA$1315,DataRegularSeason20242025!$B$3:$B$1315, "&lt;=" &amp; DV$1, DataRegularSeason20242025!$D$3:$D$1315, $A7)+SUMIFS(DataRegularSeason20242025!$AB$3:$AB$1315,DataRegularSeason20242025!$B$3:$B$1315, "&lt;=" &amp; DV$1, DataRegularSeason20242025!$E$3:$E$1315, $A7)</f>
        <v>5</v>
      </c>
      <c r="DW7">
        <f>SUMIFS(DataRegularSeason20242025!$AA$3:$AA$1315,DataRegularSeason20242025!$B$3:$B$1315, "&lt;=" &amp; DW$1, DataRegularSeason20242025!$D$3:$D$1315, $A7)+SUMIFS(DataRegularSeason20242025!$AB$3:$AB$1315,DataRegularSeason20242025!$B$3:$B$1315, "&lt;=" &amp; DW$1, DataRegularSeason20242025!$E$3:$E$1315, $A7)</f>
        <v>5</v>
      </c>
      <c r="DX7">
        <f>SUMIFS(DataRegularSeason20242025!$AA$3:$AA$1315,DataRegularSeason20242025!$B$3:$B$1315, "&lt;=" &amp; DX$1, DataRegularSeason20242025!$D$3:$D$1315, $A7)+SUMIFS(DataRegularSeason20242025!$AB$3:$AB$1315,DataRegularSeason20242025!$B$3:$B$1315, "&lt;=" &amp; DX$1, DataRegularSeason20242025!$E$3:$E$1315, $A7)</f>
        <v>5</v>
      </c>
      <c r="DY7">
        <f>SUMIFS(DataRegularSeason20242025!$AA$3:$AA$1315,DataRegularSeason20242025!$B$3:$B$1315, "&lt;=" &amp; DY$1, DataRegularSeason20242025!$D$3:$D$1315, $A7)+SUMIFS(DataRegularSeason20242025!$AB$3:$AB$1315,DataRegularSeason20242025!$B$3:$B$1315, "&lt;=" &amp; DY$1, DataRegularSeason20242025!$E$3:$E$1315, $A7)</f>
        <v>5</v>
      </c>
      <c r="DZ7">
        <f>SUMIFS(DataRegularSeason20242025!$AA$3:$AA$1315,DataRegularSeason20242025!$B$3:$B$1315, "&lt;=" &amp; DZ$1, DataRegularSeason20242025!$D$3:$D$1315, $A7)+SUMIFS(DataRegularSeason20242025!$AB$3:$AB$1315,DataRegularSeason20242025!$B$3:$B$1315, "&lt;=" &amp; DZ$1, DataRegularSeason20242025!$E$3:$E$1315, $A7)</f>
        <v>5</v>
      </c>
      <c r="EA7">
        <f>SUMIFS(DataRegularSeason20242025!$AA$3:$AA$1315,DataRegularSeason20242025!$B$3:$B$1315, "&lt;=" &amp; EA$1, DataRegularSeason20242025!$D$3:$D$1315, $A7)+SUMIFS(DataRegularSeason20242025!$AB$3:$AB$1315,DataRegularSeason20242025!$B$3:$B$1315, "&lt;=" &amp; EA$1, DataRegularSeason20242025!$E$3:$E$1315, $A7)</f>
        <v>5</v>
      </c>
      <c r="EB7">
        <f>SUMIFS(DataRegularSeason20242025!$AA$3:$AA$1315,DataRegularSeason20242025!$B$3:$B$1315, "&lt;=" &amp; EB$1, DataRegularSeason20242025!$D$3:$D$1315, $A7)+SUMIFS(DataRegularSeason20242025!$AB$3:$AB$1315,DataRegularSeason20242025!$B$3:$B$1315, "&lt;=" &amp; EB$1, DataRegularSeason20242025!$E$3:$E$1315, $A7)</f>
        <v>5</v>
      </c>
      <c r="EC7">
        <f>SUMIFS(DataRegularSeason20242025!$AA$3:$AA$1315,DataRegularSeason20242025!$B$3:$B$1315, "&lt;=" &amp; EC$1, DataRegularSeason20242025!$D$3:$D$1315, $A7)+SUMIFS(DataRegularSeason20242025!$AB$3:$AB$1315,DataRegularSeason20242025!$B$3:$B$1315, "&lt;=" &amp; EC$1, DataRegularSeason20242025!$E$3:$E$1315, $A7)</f>
        <v>5</v>
      </c>
      <c r="ED7">
        <f>SUMIFS(DataRegularSeason20242025!$AA$3:$AA$1315,DataRegularSeason20242025!$B$3:$B$1315, "&lt;=" &amp; ED$1, DataRegularSeason20242025!$D$3:$D$1315, $A7)+SUMIFS(DataRegularSeason20242025!$AB$3:$AB$1315,DataRegularSeason20242025!$B$3:$B$1315, "&lt;=" &amp; ED$1, DataRegularSeason20242025!$E$3:$E$1315, $A7)</f>
        <v>5</v>
      </c>
      <c r="EE7">
        <f>SUMIFS(DataRegularSeason20242025!$AA$3:$AA$1315,DataRegularSeason20242025!$B$3:$B$1315, "&lt;=" &amp; EE$1, DataRegularSeason20242025!$D$3:$D$1315, $A7)+SUMIFS(DataRegularSeason20242025!$AB$3:$AB$1315,DataRegularSeason20242025!$B$3:$B$1315, "&lt;=" &amp; EE$1, DataRegularSeason20242025!$E$3:$E$1315, $A7)</f>
        <v>5</v>
      </c>
      <c r="EF7">
        <f>SUMIFS(DataRegularSeason20242025!$AA$3:$AA$1315,DataRegularSeason20242025!$B$3:$B$1315, "&lt;=" &amp; EF$1, DataRegularSeason20242025!$D$3:$D$1315, $A7)+SUMIFS(DataRegularSeason20242025!$AB$3:$AB$1315,DataRegularSeason20242025!$B$3:$B$1315, "&lt;=" &amp; EF$1, DataRegularSeason20242025!$E$3:$E$1315, $A7)</f>
        <v>5</v>
      </c>
      <c r="EG7">
        <f>SUMIFS(DataRegularSeason20242025!$AA$3:$AA$1315,DataRegularSeason20242025!$B$3:$B$1315, "&lt;=" &amp; EG$1, DataRegularSeason20242025!$D$3:$D$1315, $A7)+SUMIFS(DataRegularSeason20242025!$AB$3:$AB$1315,DataRegularSeason20242025!$B$3:$B$1315, "&lt;=" &amp; EG$1, DataRegularSeason20242025!$E$3:$E$1315, $A7)</f>
        <v>5</v>
      </c>
      <c r="EH7">
        <f>SUMIFS(DataRegularSeason20242025!$AA$3:$AA$1315,DataRegularSeason20242025!$B$3:$B$1315, "&lt;=" &amp; EH$1, DataRegularSeason20242025!$D$3:$D$1315, $A7)+SUMIFS(DataRegularSeason20242025!$AB$3:$AB$1315,DataRegularSeason20242025!$B$3:$B$1315, "&lt;=" &amp; EH$1, DataRegularSeason20242025!$E$3:$E$1315, $A7)</f>
        <v>5</v>
      </c>
      <c r="EI7">
        <f>SUMIFS(DataRegularSeason20242025!$AA$3:$AA$1315,DataRegularSeason20242025!$B$3:$B$1315, "&lt;=" &amp; EI$1, DataRegularSeason20242025!$D$3:$D$1315, $A7)+SUMIFS(DataRegularSeason20242025!$AB$3:$AB$1315,DataRegularSeason20242025!$B$3:$B$1315, "&lt;=" &amp; EI$1, DataRegularSeason20242025!$E$3:$E$1315, $A7)</f>
        <v>5</v>
      </c>
      <c r="EJ7">
        <f>SUMIFS(DataRegularSeason20242025!$AA$3:$AA$1315,DataRegularSeason20242025!$B$3:$B$1315, "&lt;=" &amp; EJ$1, DataRegularSeason20242025!$D$3:$D$1315, $A7)+SUMIFS(DataRegularSeason20242025!$AB$3:$AB$1315,DataRegularSeason20242025!$B$3:$B$1315, "&lt;=" &amp; EJ$1, DataRegularSeason20242025!$E$3:$E$1315, $A7)</f>
        <v>5</v>
      </c>
      <c r="EK7">
        <f>SUMIFS(DataRegularSeason20242025!$AA$3:$AA$1315,DataRegularSeason20242025!$B$3:$B$1315, "&lt;=" &amp; EK$1, DataRegularSeason20242025!$D$3:$D$1315, $A7)+SUMIFS(DataRegularSeason20242025!$AB$3:$AB$1315,DataRegularSeason20242025!$B$3:$B$1315, "&lt;=" &amp; EK$1, DataRegularSeason20242025!$E$3:$E$1315, $A7)</f>
        <v>5</v>
      </c>
      <c r="EL7">
        <f>SUMIFS(DataRegularSeason20242025!$AA$3:$AA$1315,DataRegularSeason20242025!$B$3:$B$1315, "&lt;=" &amp; EL$1, DataRegularSeason20242025!$D$3:$D$1315, $A7)+SUMIFS(DataRegularSeason20242025!$AB$3:$AB$1315,DataRegularSeason20242025!$B$3:$B$1315, "&lt;=" &amp; EL$1, DataRegularSeason20242025!$E$3:$E$1315, $A7)</f>
        <v>5</v>
      </c>
      <c r="EM7">
        <f>SUMIFS(DataRegularSeason20242025!$AA$3:$AA$1315,DataRegularSeason20242025!$B$3:$B$1315, "&lt;=" &amp; EM$1, DataRegularSeason20242025!$D$3:$D$1315, $A7)+SUMIFS(DataRegularSeason20242025!$AB$3:$AB$1315,DataRegularSeason20242025!$B$3:$B$1315, "&lt;=" &amp; EM$1, DataRegularSeason20242025!$E$3:$E$1315, $A7)</f>
        <v>5</v>
      </c>
      <c r="EN7">
        <f>SUMIFS(DataRegularSeason20242025!$AA$3:$AA$1315,DataRegularSeason20242025!$B$3:$B$1315, "&lt;=" &amp; EN$1, DataRegularSeason20242025!$D$3:$D$1315, $A7)+SUMIFS(DataRegularSeason20242025!$AB$3:$AB$1315,DataRegularSeason20242025!$B$3:$B$1315, "&lt;=" &amp; EN$1, DataRegularSeason20242025!$E$3:$E$1315, $A7)</f>
        <v>5</v>
      </c>
      <c r="EO7">
        <f>SUMIFS(DataRegularSeason20242025!$AA$3:$AA$1315,DataRegularSeason20242025!$B$3:$B$1315, "&lt;=" &amp; EO$1, DataRegularSeason20242025!$D$3:$D$1315, $A7)+SUMIFS(DataRegularSeason20242025!$AB$3:$AB$1315,DataRegularSeason20242025!$B$3:$B$1315, "&lt;=" &amp; EO$1, DataRegularSeason20242025!$E$3:$E$1315, $A7)</f>
        <v>5</v>
      </c>
      <c r="EP7">
        <f>SUMIFS(DataRegularSeason20242025!$AA$3:$AA$1315,DataRegularSeason20242025!$B$3:$B$1315, "&lt;=" &amp; EP$1, DataRegularSeason20242025!$D$3:$D$1315, $A7)+SUMIFS(DataRegularSeason20242025!$AB$3:$AB$1315,DataRegularSeason20242025!$B$3:$B$1315, "&lt;=" &amp; EP$1, DataRegularSeason20242025!$E$3:$E$1315, $A7)</f>
        <v>5</v>
      </c>
      <c r="EQ7">
        <f>SUMIFS(DataRegularSeason20242025!$AA$3:$AA$1315,DataRegularSeason20242025!$B$3:$B$1315, "&lt;=" &amp; EQ$1, DataRegularSeason20242025!$D$3:$D$1315, $A7)+SUMIFS(DataRegularSeason20242025!$AB$3:$AB$1315,DataRegularSeason20242025!$B$3:$B$1315, "&lt;=" &amp; EQ$1, DataRegularSeason20242025!$E$3:$E$1315, $A7)</f>
        <v>5</v>
      </c>
      <c r="ER7">
        <f>SUMIFS(DataRegularSeason20242025!$AA$3:$AA$1315,DataRegularSeason20242025!$B$3:$B$1315, "&lt;=" &amp; ER$1, DataRegularSeason20242025!$D$3:$D$1315, $A7)+SUMIFS(DataRegularSeason20242025!$AB$3:$AB$1315,DataRegularSeason20242025!$B$3:$B$1315, "&lt;=" &amp; ER$1, DataRegularSeason20242025!$E$3:$E$1315, $A7)</f>
        <v>5</v>
      </c>
      <c r="ES7">
        <f>SUMIFS(DataRegularSeason20242025!$AA$3:$AA$1315,DataRegularSeason20242025!$B$3:$B$1315, "&lt;=" &amp; ES$1, DataRegularSeason20242025!$D$3:$D$1315, $A7)+SUMIFS(DataRegularSeason20242025!$AB$3:$AB$1315,DataRegularSeason20242025!$B$3:$B$1315, "&lt;=" &amp; ES$1, DataRegularSeason20242025!$E$3:$E$1315, $A7)</f>
        <v>5</v>
      </c>
      <c r="ET7">
        <f>SUMIFS(DataRegularSeason20242025!$AA$3:$AA$1315,DataRegularSeason20242025!$B$3:$B$1315, "&lt;=" &amp; ET$1, DataRegularSeason20242025!$D$3:$D$1315, $A7)+SUMIFS(DataRegularSeason20242025!$AB$3:$AB$1315,DataRegularSeason20242025!$B$3:$B$1315, "&lt;=" &amp; ET$1, DataRegularSeason20242025!$E$3:$E$1315, $A7)</f>
        <v>5</v>
      </c>
      <c r="EU7">
        <f>SUMIFS(DataRegularSeason20242025!$AA$3:$AA$1315,DataRegularSeason20242025!$B$3:$B$1315, "&lt;=" &amp; EU$1, DataRegularSeason20242025!$D$3:$D$1315, $A7)+SUMIFS(DataRegularSeason20242025!$AB$3:$AB$1315,DataRegularSeason20242025!$B$3:$B$1315, "&lt;=" &amp; EU$1, DataRegularSeason20242025!$E$3:$E$1315, $A7)</f>
        <v>5</v>
      </c>
      <c r="EV7">
        <f>SUMIFS(DataRegularSeason20242025!$AA$3:$AA$1315,DataRegularSeason20242025!$B$3:$B$1315, "&lt;=" &amp; EV$1, DataRegularSeason20242025!$D$3:$D$1315, $A7)+SUMIFS(DataRegularSeason20242025!$AB$3:$AB$1315,DataRegularSeason20242025!$B$3:$B$1315, "&lt;=" &amp; EV$1, DataRegularSeason20242025!$E$3:$E$1315, $A7)</f>
        <v>5</v>
      </c>
      <c r="EW7">
        <f>SUMIFS(DataRegularSeason20242025!$AA$3:$AA$1315,DataRegularSeason20242025!$B$3:$B$1315, "&lt;=" &amp; EW$1, DataRegularSeason20242025!$D$3:$D$1315, $A7)+SUMIFS(DataRegularSeason20242025!$AB$3:$AB$1315,DataRegularSeason20242025!$B$3:$B$1315, "&lt;=" &amp; EW$1, DataRegularSeason20242025!$E$3:$E$1315, $A7)</f>
        <v>5</v>
      </c>
      <c r="EX7">
        <f>SUMIFS(DataRegularSeason20242025!$AA$3:$AA$1315,DataRegularSeason20242025!$B$3:$B$1315, "&lt;=" &amp; EX$1, DataRegularSeason20242025!$D$3:$D$1315, $A7)+SUMIFS(DataRegularSeason20242025!$AB$3:$AB$1315,DataRegularSeason20242025!$B$3:$B$1315, "&lt;=" &amp; EX$1, DataRegularSeason20242025!$E$3:$E$1315, $A7)</f>
        <v>5</v>
      </c>
      <c r="EY7">
        <f>SUMIFS(DataRegularSeason20242025!$AA$3:$AA$1315,DataRegularSeason20242025!$B$3:$B$1315, "&lt;=" &amp; EY$1, DataRegularSeason20242025!$D$3:$D$1315, $A7)+SUMIFS(DataRegularSeason20242025!$AB$3:$AB$1315,DataRegularSeason20242025!$B$3:$B$1315, "&lt;=" &amp; EY$1, DataRegularSeason20242025!$E$3:$E$1315, $A7)</f>
        <v>5</v>
      </c>
      <c r="EZ7">
        <f>SUMIFS(DataRegularSeason20242025!$AA$3:$AA$1315,DataRegularSeason20242025!$B$3:$B$1315, "&lt;=" &amp; EZ$1, DataRegularSeason20242025!$D$3:$D$1315, $A7)+SUMIFS(DataRegularSeason20242025!$AB$3:$AB$1315,DataRegularSeason20242025!$B$3:$B$1315, "&lt;=" &amp; EZ$1, DataRegularSeason20242025!$E$3:$E$1315, $A7)</f>
        <v>5</v>
      </c>
      <c r="FA7">
        <f>SUMIFS(DataRegularSeason20242025!$AA$3:$AA$1315,DataRegularSeason20242025!$B$3:$B$1315, "&lt;=" &amp; FA$1, DataRegularSeason20242025!$D$3:$D$1315, $A7)+SUMIFS(DataRegularSeason20242025!$AB$3:$AB$1315,DataRegularSeason20242025!$B$3:$B$1315, "&lt;=" &amp; FA$1, DataRegularSeason20242025!$E$3:$E$1315, $A7)</f>
        <v>5</v>
      </c>
      <c r="FB7">
        <f>SUMIFS(DataRegularSeason20242025!$AA$3:$AA$1315,DataRegularSeason20242025!$B$3:$B$1315, "&lt;=" &amp; FB$1, DataRegularSeason20242025!$D$3:$D$1315, $A7)+SUMIFS(DataRegularSeason20242025!$AB$3:$AB$1315,DataRegularSeason20242025!$B$3:$B$1315, "&lt;=" &amp; FB$1, DataRegularSeason20242025!$E$3:$E$1315, $A7)</f>
        <v>5</v>
      </c>
      <c r="FC7">
        <f>SUMIFS(DataRegularSeason20242025!$AA$3:$AA$1315,DataRegularSeason20242025!$B$3:$B$1315, "&lt;=" &amp; FC$1, DataRegularSeason20242025!$D$3:$D$1315, $A7)+SUMIFS(DataRegularSeason20242025!$AB$3:$AB$1315,DataRegularSeason20242025!$B$3:$B$1315, "&lt;=" &amp; FC$1, DataRegularSeason20242025!$E$3:$E$1315, $A7)</f>
        <v>5</v>
      </c>
      <c r="FD7">
        <f>SUMIFS(DataRegularSeason20242025!$AA$3:$AA$1315,DataRegularSeason20242025!$B$3:$B$1315, "&lt;=" &amp; FD$1, DataRegularSeason20242025!$D$3:$D$1315, $A7)+SUMIFS(DataRegularSeason20242025!$AB$3:$AB$1315,DataRegularSeason20242025!$B$3:$B$1315, "&lt;=" &amp; FD$1, DataRegularSeason20242025!$E$3:$E$1315, $A7)</f>
        <v>5</v>
      </c>
      <c r="FE7">
        <f>SUMIFS(DataRegularSeason20242025!$AA$3:$AA$1315,DataRegularSeason20242025!$B$3:$B$1315, "&lt;=" &amp; FE$1, DataRegularSeason20242025!$D$3:$D$1315, $A7)+SUMIFS(DataRegularSeason20242025!$AB$3:$AB$1315,DataRegularSeason20242025!$B$3:$B$1315, "&lt;=" &amp; FE$1, DataRegularSeason20242025!$E$3:$E$1315, $A7)</f>
        <v>5</v>
      </c>
      <c r="FF7">
        <f>SUMIFS(DataRegularSeason20242025!$AA$3:$AA$1315,DataRegularSeason20242025!$B$3:$B$1315, "&lt;=" &amp; FF$1, DataRegularSeason20242025!$D$3:$D$1315, $A7)+SUMIFS(DataRegularSeason20242025!$AB$3:$AB$1315,DataRegularSeason20242025!$B$3:$B$1315, "&lt;=" &amp; FF$1, DataRegularSeason20242025!$E$3:$E$1315, $A7)</f>
        <v>5</v>
      </c>
      <c r="FG7">
        <f>SUMIFS(DataRegularSeason20242025!$AA$3:$AA$1315,DataRegularSeason20242025!$B$3:$B$1315, "&lt;=" &amp; FG$1, DataRegularSeason20242025!$D$3:$D$1315, $A7)+SUMIFS(DataRegularSeason20242025!$AB$3:$AB$1315,DataRegularSeason20242025!$B$3:$B$1315, "&lt;=" &amp; FG$1, DataRegularSeason20242025!$E$3:$E$1315, $A7)</f>
        <v>5</v>
      </c>
      <c r="FH7">
        <f>SUMIFS(DataRegularSeason20242025!$AA$3:$AA$1315,DataRegularSeason20242025!$B$3:$B$1315, "&lt;=" &amp; FH$1, DataRegularSeason20242025!$D$3:$D$1315, $A7)+SUMIFS(DataRegularSeason20242025!$AB$3:$AB$1315,DataRegularSeason20242025!$B$3:$B$1315, "&lt;=" &amp; FH$1, DataRegularSeason20242025!$E$3:$E$1315, $A7)</f>
        <v>5</v>
      </c>
      <c r="FI7">
        <f>SUMIFS(DataRegularSeason20242025!$AA$3:$AA$1315,DataRegularSeason20242025!$B$3:$B$1315, "&lt;=" &amp; FI$1, DataRegularSeason20242025!$D$3:$D$1315, $A7)+SUMIFS(DataRegularSeason20242025!$AB$3:$AB$1315,DataRegularSeason20242025!$B$3:$B$1315, "&lt;=" &amp; FI$1, DataRegularSeason20242025!$E$3:$E$1315, $A7)</f>
        <v>5</v>
      </c>
      <c r="FJ7">
        <f>SUMIFS(DataRegularSeason20242025!$AA$3:$AA$1315,DataRegularSeason20242025!$B$3:$B$1315, "&lt;=" &amp; FJ$1, DataRegularSeason20242025!$D$3:$D$1315, $A7)+SUMIFS(DataRegularSeason20242025!$AB$3:$AB$1315,DataRegularSeason20242025!$B$3:$B$1315, "&lt;=" &amp; FJ$1, DataRegularSeason20242025!$E$3:$E$1315, $A7)</f>
        <v>5</v>
      </c>
      <c r="FK7">
        <f>SUMIFS(DataRegularSeason20242025!$AA$3:$AA$1315,DataRegularSeason20242025!$B$3:$B$1315, "&lt;=" &amp; FK$1, DataRegularSeason20242025!$D$3:$D$1315, $A7)+SUMIFS(DataRegularSeason20242025!$AB$3:$AB$1315,DataRegularSeason20242025!$B$3:$B$1315, "&lt;=" &amp; FK$1, DataRegularSeason20242025!$E$3:$E$1315, $A7)</f>
        <v>5</v>
      </c>
      <c r="FL7">
        <f>SUMIFS(DataRegularSeason20242025!$AA$3:$AA$1315,DataRegularSeason20242025!$B$3:$B$1315, "&lt;=" &amp; FL$1, DataRegularSeason20242025!$D$3:$D$1315, $A7)+SUMIFS(DataRegularSeason20242025!$AB$3:$AB$1315,DataRegularSeason20242025!$B$3:$B$1315, "&lt;=" &amp; FL$1, DataRegularSeason20242025!$E$3:$E$1315, $A7)</f>
        <v>5</v>
      </c>
      <c r="FM7">
        <f>SUMIFS(DataRegularSeason20242025!$AA$3:$AA$1315,DataRegularSeason20242025!$B$3:$B$1315, "&lt;=" &amp; FM$1, DataRegularSeason20242025!$D$3:$D$1315, $A7)+SUMIFS(DataRegularSeason20242025!$AB$3:$AB$1315,DataRegularSeason20242025!$B$3:$B$1315, "&lt;=" &amp; FM$1, DataRegularSeason20242025!$E$3:$E$1315, $A7)</f>
        <v>5</v>
      </c>
      <c r="FN7">
        <f>SUMIFS(DataRegularSeason20242025!$AA$3:$AA$1315,DataRegularSeason20242025!$B$3:$B$1315, "&lt;=" &amp; FN$1, DataRegularSeason20242025!$D$3:$D$1315, $A7)+SUMIFS(DataRegularSeason20242025!$AB$3:$AB$1315,DataRegularSeason20242025!$B$3:$B$1315, "&lt;=" &amp; FN$1, DataRegularSeason20242025!$E$3:$E$1315, $A7)</f>
        <v>5</v>
      </c>
      <c r="FO7">
        <f>SUMIFS(DataRegularSeason20242025!$AA$3:$AA$1315,DataRegularSeason20242025!$B$3:$B$1315, "&lt;=" &amp; FO$1, DataRegularSeason20242025!$D$3:$D$1315, $A7)+SUMIFS(DataRegularSeason20242025!$AB$3:$AB$1315,DataRegularSeason20242025!$B$3:$B$1315, "&lt;=" &amp; FO$1, DataRegularSeason20242025!$E$3:$E$1315, $A7)</f>
        <v>5</v>
      </c>
      <c r="FP7">
        <f>SUMIFS(DataRegularSeason20242025!$AA$3:$AA$1315,DataRegularSeason20242025!$B$3:$B$1315, "&lt;=" &amp; FP$1, DataRegularSeason20242025!$D$3:$D$1315, $A7)+SUMIFS(DataRegularSeason20242025!$AB$3:$AB$1315,DataRegularSeason20242025!$B$3:$B$1315, "&lt;=" &amp; FP$1, DataRegularSeason20242025!$E$3:$E$1315, $A7)</f>
        <v>5</v>
      </c>
      <c r="FQ7">
        <f>SUMIFS(DataRegularSeason20242025!$AA$3:$AA$1315,DataRegularSeason20242025!$B$3:$B$1315, "&lt;=" &amp; FQ$1, DataRegularSeason20242025!$D$3:$D$1315, $A7)+SUMIFS(DataRegularSeason20242025!$AB$3:$AB$1315,DataRegularSeason20242025!$B$3:$B$1315, "&lt;=" &amp; FQ$1, DataRegularSeason20242025!$E$3:$E$1315, $A7)</f>
        <v>5</v>
      </c>
      <c r="FR7">
        <f>SUMIFS(DataRegularSeason20242025!$AA$3:$AA$1315,DataRegularSeason20242025!$B$3:$B$1315, "&lt;=" &amp; FR$1, DataRegularSeason20242025!$D$3:$D$1315, $A7)+SUMIFS(DataRegularSeason20242025!$AB$3:$AB$1315,DataRegularSeason20242025!$B$3:$B$1315, "&lt;=" &amp; FR$1, DataRegularSeason20242025!$E$3:$E$1315, $A7)</f>
        <v>5</v>
      </c>
      <c r="FS7">
        <f>SUMIFS(DataRegularSeason20242025!$AA$3:$AA$1315,DataRegularSeason20242025!$B$3:$B$1315, "&lt;=" &amp; FS$1, DataRegularSeason20242025!$D$3:$D$1315, $A7)+SUMIFS(DataRegularSeason20242025!$AB$3:$AB$1315,DataRegularSeason20242025!$B$3:$B$1315, "&lt;=" &amp; FS$1, DataRegularSeason20242025!$E$3:$E$1315, $A7)</f>
        <v>5</v>
      </c>
      <c r="FT7">
        <f>SUMIFS(DataRegularSeason20242025!$AA$3:$AA$1315,DataRegularSeason20242025!$B$3:$B$1315, "&lt;=" &amp; FT$1, DataRegularSeason20242025!$D$3:$D$1315, $A7)+SUMIFS(DataRegularSeason20242025!$AB$3:$AB$1315,DataRegularSeason20242025!$B$3:$B$1315, "&lt;=" &amp; FT$1, DataRegularSeason20242025!$E$3:$E$1315, $A7)</f>
        <v>5</v>
      </c>
      <c r="FU7">
        <f>SUMIFS(DataRegularSeason20242025!$AA$3:$AA$1315,DataRegularSeason20242025!$B$3:$B$1315, "&lt;=" &amp; FU$1, DataRegularSeason20242025!$D$3:$D$1315, $A7)+SUMIFS(DataRegularSeason20242025!$AB$3:$AB$1315,DataRegularSeason20242025!$B$3:$B$1315, "&lt;=" &amp; FU$1, DataRegularSeason20242025!$E$3:$E$1315, $A7)</f>
        <v>5</v>
      </c>
      <c r="FV7">
        <f>SUMIFS(DataRegularSeason20242025!$AA$3:$AA$1315,DataRegularSeason20242025!$B$3:$B$1315, "&lt;=" &amp; FV$1, DataRegularSeason20242025!$D$3:$D$1315, $A7)+SUMIFS(DataRegularSeason20242025!$AB$3:$AB$1315,DataRegularSeason20242025!$B$3:$B$1315, "&lt;=" &amp; FV$1, DataRegularSeason20242025!$E$3:$E$1315, $A7)</f>
        <v>5</v>
      </c>
      <c r="FW7">
        <f>SUMIFS(DataRegularSeason20242025!$AA$3:$AA$1315,DataRegularSeason20242025!$B$3:$B$1315, "&lt;=" &amp; FW$1, DataRegularSeason20242025!$D$3:$D$1315, $A7)+SUMIFS(DataRegularSeason20242025!$AB$3:$AB$1315,DataRegularSeason20242025!$B$3:$B$1315, "&lt;=" &amp; FW$1, DataRegularSeason20242025!$E$3:$E$1315, $A7)</f>
        <v>5</v>
      </c>
      <c r="FX7">
        <f>SUMIFS(DataRegularSeason20242025!$AA$3:$AA$1315,DataRegularSeason20242025!$B$3:$B$1315, "&lt;=" &amp; FX$1, DataRegularSeason20242025!$D$3:$D$1315, $A7)+SUMIFS(DataRegularSeason20242025!$AB$3:$AB$1315,DataRegularSeason20242025!$B$3:$B$1315, "&lt;=" &amp; FX$1, DataRegularSeason20242025!$E$3:$E$1315, $A7)</f>
        <v>5</v>
      </c>
      <c r="FY7">
        <f>SUMIFS(DataRegularSeason20242025!$AA$3:$AA$1315,DataRegularSeason20242025!$B$3:$B$1315, "&lt;=" &amp; FY$1, DataRegularSeason20242025!$D$3:$D$1315, $A7)+SUMIFS(DataRegularSeason20242025!$AB$3:$AB$1315,DataRegularSeason20242025!$B$3:$B$1315, "&lt;=" &amp; FY$1, DataRegularSeason20242025!$E$3:$E$1315, $A7)</f>
        <v>5</v>
      </c>
      <c r="FZ7">
        <f>SUMIFS(DataRegularSeason20242025!$AA$3:$AA$1315,DataRegularSeason20242025!$B$3:$B$1315, "&lt;=" &amp; FZ$1, DataRegularSeason20242025!$D$3:$D$1315, $A7)+SUMIFS(DataRegularSeason20242025!$AB$3:$AB$1315,DataRegularSeason20242025!$B$3:$B$1315, "&lt;=" &amp; FZ$1, DataRegularSeason20242025!$E$3:$E$1315, $A7)</f>
        <v>5</v>
      </c>
      <c r="GA7">
        <f>SUMIFS(DataRegularSeason20242025!$AA$3:$AA$1315,DataRegularSeason20242025!$B$3:$B$1315, "&lt;=" &amp; GA$1, DataRegularSeason20242025!$D$3:$D$1315, $A7)+SUMIFS(DataRegularSeason20242025!$AB$3:$AB$1315,DataRegularSeason20242025!$B$3:$B$1315, "&lt;=" &amp; GA$1, DataRegularSeason20242025!$E$3:$E$1315, $A7)</f>
        <v>5</v>
      </c>
      <c r="GB7">
        <f>SUMIFS(DataRegularSeason20242025!$AA$3:$AA$1315,DataRegularSeason20242025!$B$3:$B$1315, "&lt;=" &amp; GB$1, DataRegularSeason20242025!$D$3:$D$1315, $A7)+SUMIFS(DataRegularSeason20242025!$AB$3:$AB$1315,DataRegularSeason20242025!$B$3:$B$1315, "&lt;=" &amp; GB$1, DataRegularSeason20242025!$E$3:$E$1315, $A7)</f>
        <v>5</v>
      </c>
      <c r="GC7">
        <f>SUMIFS(DataRegularSeason20242025!$AA$3:$AA$1315,DataRegularSeason20242025!$B$3:$B$1315, "&lt;=" &amp; GC$1, DataRegularSeason20242025!$D$3:$D$1315, $A7)+SUMIFS(DataRegularSeason20242025!$AB$3:$AB$1315,DataRegularSeason20242025!$B$3:$B$1315, "&lt;=" &amp; GC$1, DataRegularSeason20242025!$E$3:$E$1315, $A7)</f>
        <v>5</v>
      </c>
      <c r="GD7">
        <f>SUMIFS(DataRegularSeason20242025!$AA$3:$AA$1315,DataRegularSeason20242025!$B$3:$B$1315, "&lt;=" &amp; GD$1, DataRegularSeason20242025!$D$3:$D$1315, $A7)+SUMIFS(DataRegularSeason20242025!$AB$3:$AB$1315,DataRegularSeason20242025!$B$3:$B$1315, "&lt;=" &amp; GD$1, DataRegularSeason20242025!$E$3:$E$1315, $A7)</f>
        <v>5</v>
      </c>
      <c r="GE7">
        <f>SUMIFS(DataRegularSeason20242025!$AA$3:$AA$1315,DataRegularSeason20242025!$B$3:$B$1315, "&lt;=" &amp; GE$1, DataRegularSeason20242025!$D$3:$D$1315, $A7)+SUMIFS(DataRegularSeason20242025!$AB$3:$AB$1315,DataRegularSeason20242025!$B$3:$B$1315, "&lt;=" &amp; GE$1, DataRegularSeason20242025!$E$3:$E$1315, $A7)</f>
        <v>5</v>
      </c>
      <c r="GF7">
        <f>SUMIFS(DataRegularSeason20242025!$AA$3:$AA$1315,DataRegularSeason20242025!$B$3:$B$1315, "&lt;=" &amp; GF$1, DataRegularSeason20242025!$D$3:$D$1315, $A7)+SUMIFS(DataRegularSeason20242025!$AB$3:$AB$1315,DataRegularSeason20242025!$B$3:$B$1315, "&lt;=" &amp; GF$1, DataRegularSeason20242025!$E$3:$E$1315, $A7)</f>
        <v>5</v>
      </c>
      <c r="GG7">
        <f>SUMIFS(DataRegularSeason20242025!$AA$3:$AA$1315,DataRegularSeason20242025!$B$3:$B$1315, "&lt;=" &amp; GG$1, DataRegularSeason20242025!$D$3:$D$1315, $A7)+SUMIFS(DataRegularSeason20242025!$AB$3:$AB$1315,DataRegularSeason20242025!$B$3:$B$1315, "&lt;=" &amp; GG$1, DataRegularSeason20242025!$E$3:$E$1315, $A7)</f>
        <v>5</v>
      </c>
      <c r="GH7">
        <f>SUMIFS(DataRegularSeason20242025!$AA$3:$AA$1315,DataRegularSeason20242025!$B$3:$B$1315, "&lt;=" &amp; GH$1, DataRegularSeason20242025!$D$3:$D$1315, $A7)+SUMIFS(DataRegularSeason20242025!$AB$3:$AB$1315,DataRegularSeason20242025!$B$3:$B$1315, "&lt;=" &amp; GH$1, DataRegularSeason20242025!$E$3:$E$1315, $A7)</f>
        <v>5</v>
      </c>
      <c r="GI7">
        <f>SUMIFS(DataRegularSeason20242025!$AA$3:$AA$1315,DataRegularSeason20242025!$B$3:$B$1315, "&lt;=" &amp; GI$1, DataRegularSeason20242025!$D$3:$D$1315, $A7)+SUMIFS(DataRegularSeason20242025!$AB$3:$AB$1315,DataRegularSeason20242025!$B$3:$B$1315, "&lt;=" &amp; GI$1, DataRegularSeason20242025!$E$3:$E$1315, $A7)</f>
        <v>5</v>
      </c>
      <c r="GJ7">
        <f>SUMIFS(DataRegularSeason20242025!$AA$3:$AA$1315,DataRegularSeason20242025!$B$3:$B$1315, "&lt;=" &amp; GJ$1, DataRegularSeason20242025!$D$3:$D$1315, $A7)+SUMIFS(DataRegularSeason20242025!$AB$3:$AB$1315,DataRegularSeason20242025!$B$3:$B$1315, "&lt;=" &amp; GJ$1, DataRegularSeason20242025!$E$3:$E$1315, $A7)</f>
        <v>5</v>
      </c>
      <c r="GK7">
        <f>SUMIFS(DataRegularSeason20242025!$AA$3:$AA$1315,DataRegularSeason20242025!$B$3:$B$1315, "&lt;=" &amp; GK$1, DataRegularSeason20242025!$D$3:$D$1315, $A7)+SUMIFS(DataRegularSeason20242025!$AB$3:$AB$1315,DataRegularSeason20242025!$B$3:$B$1315, "&lt;=" &amp; GK$1, DataRegularSeason20242025!$E$3:$E$1315, $A7)</f>
        <v>5</v>
      </c>
      <c r="GL7">
        <f>SUMIFS(DataRegularSeason20242025!$AA$3:$AA$1315,DataRegularSeason20242025!$B$3:$B$1315, "&lt;=" &amp; GL$1, DataRegularSeason20242025!$D$3:$D$1315, $A7)+SUMIFS(DataRegularSeason20242025!$AB$3:$AB$1315,DataRegularSeason20242025!$B$3:$B$1315, "&lt;=" &amp; GL$1, DataRegularSeason20242025!$E$3:$E$1315, $A7)</f>
        <v>5</v>
      </c>
      <c r="GM7">
        <f>SUMIFS(DataRegularSeason20242025!$AA$3:$AA$1315,DataRegularSeason20242025!$B$3:$B$1315, "&lt;=" &amp; GM$1, DataRegularSeason20242025!$D$3:$D$1315, $A7)+SUMIFS(DataRegularSeason20242025!$AB$3:$AB$1315,DataRegularSeason20242025!$B$3:$B$1315, "&lt;=" &amp; GM$1, DataRegularSeason20242025!$E$3:$E$1315, $A7)</f>
        <v>5</v>
      </c>
      <c r="GN7">
        <f>SUMIFS(DataRegularSeason20242025!$AA$3:$AA$1315,DataRegularSeason20242025!$B$3:$B$1315, "&lt;=" &amp; GN$1, DataRegularSeason20242025!$D$3:$D$1315, $A7)+SUMIFS(DataRegularSeason20242025!$AB$3:$AB$1315,DataRegularSeason20242025!$B$3:$B$1315, "&lt;=" &amp; GN$1, DataRegularSeason20242025!$E$3:$E$1315, $A7)</f>
        <v>5</v>
      </c>
      <c r="GO7">
        <f>SUMIFS(DataRegularSeason20242025!$AA$3:$AA$1315,DataRegularSeason20242025!$B$3:$B$1315, "&lt;=" &amp; GO$1, DataRegularSeason20242025!$D$3:$D$1315, $A7)+SUMIFS(DataRegularSeason20242025!$AB$3:$AB$1315,DataRegularSeason20242025!$B$3:$B$1315, "&lt;=" &amp; GO$1, DataRegularSeason20242025!$E$3:$E$1315, $A7)</f>
        <v>5</v>
      </c>
      <c r="GP7">
        <f>SUMIFS(DataRegularSeason20242025!$AA$3:$AA$1315,DataRegularSeason20242025!$B$3:$B$1315, "&lt;=" &amp; GP$1, DataRegularSeason20242025!$D$3:$D$1315, $A7)+SUMIFS(DataRegularSeason20242025!$AB$3:$AB$1315,DataRegularSeason20242025!$B$3:$B$1315, "&lt;=" &amp; GP$1, DataRegularSeason20242025!$E$3:$E$1315, $A7)</f>
        <v>5</v>
      </c>
      <c r="GQ7">
        <f>SUMIFS(DataRegularSeason20242025!$AA$3:$AA$1315,DataRegularSeason20242025!$B$3:$B$1315, "&lt;=" &amp; GQ$1, DataRegularSeason20242025!$D$3:$D$1315, $A7)+SUMIFS(DataRegularSeason20242025!$AB$3:$AB$1315,DataRegularSeason20242025!$B$3:$B$1315, "&lt;=" &amp; GQ$1, DataRegularSeason20242025!$E$3:$E$1315, $A7)</f>
        <v>5</v>
      </c>
      <c r="GR7">
        <f>SUMIFS(DataRegularSeason20242025!$AA$3:$AA$1315,DataRegularSeason20242025!$B$3:$B$1315, "&lt;=" &amp; GR$1, DataRegularSeason20242025!$D$3:$D$1315, $A7)+SUMIFS(DataRegularSeason20242025!$AB$3:$AB$1315,DataRegularSeason20242025!$B$3:$B$1315, "&lt;=" &amp; GR$1, DataRegularSeason20242025!$E$3:$E$1315, $A7)</f>
        <v>5</v>
      </c>
      <c r="GS7">
        <f>SUMIFS(DataRegularSeason20242025!$AA$3:$AA$1315,DataRegularSeason20242025!$B$3:$B$1315, "&lt;=" &amp; GS$1, DataRegularSeason20242025!$D$3:$D$1315, $A7)+SUMIFS(DataRegularSeason20242025!$AB$3:$AB$1315,DataRegularSeason20242025!$B$3:$B$1315, "&lt;=" &amp; GS$1, DataRegularSeason20242025!$E$3:$E$1315, $A7)</f>
        <v>5</v>
      </c>
      <c r="GT7">
        <f>SUMIFS(DataRegularSeason20242025!$AA$3:$AA$1315,DataRegularSeason20242025!$B$3:$B$1315, "&lt;=" &amp; GT$1, DataRegularSeason20242025!$D$3:$D$1315, $A7)+SUMIFS(DataRegularSeason20242025!$AB$3:$AB$1315,DataRegularSeason20242025!$B$3:$B$1315, "&lt;=" &amp; GT$1, DataRegularSeason20242025!$E$3:$E$1315, $A7)</f>
        <v>5</v>
      </c>
      <c r="GU7">
        <f>SUMIFS(DataRegularSeason20242025!$AA$3:$AA$1315,DataRegularSeason20242025!$B$3:$B$1315, "&lt;=" &amp; GU$1, DataRegularSeason20242025!$D$3:$D$1315, $A7)+SUMIFS(DataRegularSeason20242025!$AB$3:$AB$1315,DataRegularSeason20242025!$B$3:$B$1315, "&lt;=" &amp; GU$1, DataRegularSeason20242025!$E$3:$E$1315, $A7)</f>
        <v>5</v>
      </c>
    </row>
    <row r="8" spans="1:275" x14ac:dyDescent="0.25">
      <c r="A8" t="s">
        <v>40</v>
      </c>
      <c r="B8" t="s">
        <v>91</v>
      </c>
      <c r="C8" s="105" t="s">
        <v>74</v>
      </c>
      <c r="D8">
        <f>SUMIFS(DataRegularSeason20242025!$AA$3:$AA$1315,DataRegularSeason20242025!$B$3:$B$1315, "&lt;=" &amp; D$1, DataRegularSeason20242025!$D$3:$D$1315, $A8)+SUMIFS(DataRegularSeason20242025!$AB$3:$AB$1315,DataRegularSeason20242025!$B$3:$B$1315, "&lt;=" &amp; D$1, DataRegularSeason20242025!$E$3:$E$1315, $A8)</f>
        <v>0</v>
      </c>
      <c r="E8">
        <f>SUMIFS(DataRegularSeason20242025!$AA$3:$AA$1315,DataRegularSeason20242025!$B$3:$B$1315, "&lt;=" &amp; E$1, DataRegularSeason20242025!$D$3:$D$1315, $A8)+SUMIFS(DataRegularSeason20242025!$AB$3:$AB$1315,DataRegularSeason20242025!$B$3:$B$1315, "&lt;=" &amp; E$1, DataRegularSeason20242025!$E$3:$E$1315, $A8)</f>
        <v>0</v>
      </c>
      <c r="F8">
        <f>SUMIFS(DataRegularSeason20242025!$AA$3:$AA$1315,DataRegularSeason20242025!$B$3:$B$1315, "&lt;=" &amp; F$1, DataRegularSeason20242025!$D$3:$D$1315, $A8)+SUMIFS(DataRegularSeason20242025!$AB$3:$AB$1315,DataRegularSeason20242025!$B$3:$B$1315, "&lt;=" &amp; F$1, DataRegularSeason20242025!$E$3:$E$1315, $A8)</f>
        <v>0</v>
      </c>
      <c r="G8">
        <f>SUMIFS(DataRegularSeason20242025!$AA$3:$AA$1315,DataRegularSeason20242025!$B$3:$B$1315, "&lt;=" &amp; G$1, DataRegularSeason20242025!$D$3:$D$1315, $A8)+SUMIFS(DataRegularSeason20242025!$AB$3:$AB$1315,DataRegularSeason20242025!$B$3:$B$1315, "&lt;=" &amp; G$1, DataRegularSeason20242025!$E$3:$E$1315, $A8)</f>
        <v>0</v>
      </c>
      <c r="H8">
        <f>SUMIFS(DataRegularSeason20242025!$AA$3:$AA$1315,DataRegularSeason20242025!$B$3:$B$1315, "&lt;=" &amp; H$1, DataRegularSeason20242025!$D$3:$D$1315, $A8)+SUMIFS(DataRegularSeason20242025!$AB$3:$AB$1315,DataRegularSeason20242025!$B$3:$B$1315, "&lt;=" &amp; H$1, DataRegularSeason20242025!$E$3:$E$1315, $A8)</f>
        <v>0</v>
      </c>
      <c r="I8">
        <f>SUMIFS(DataRegularSeason20242025!$AA$3:$AA$1315,DataRegularSeason20242025!$B$3:$B$1315, "&lt;=" &amp; I$1, DataRegularSeason20242025!$D$3:$D$1315, $A8)+SUMIFS(DataRegularSeason20242025!$AB$3:$AB$1315,DataRegularSeason20242025!$B$3:$B$1315, "&lt;=" &amp; I$1, DataRegularSeason20242025!$E$3:$E$1315, $A8)</f>
        <v>0</v>
      </c>
      <c r="J8">
        <f>SUMIFS(DataRegularSeason20242025!$AA$3:$AA$1315,DataRegularSeason20242025!$B$3:$B$1315, "&lt;=" &amp; J$1, DataRegularSeason20242025!$D$3:$D$1315, $A8)+SUMIFS(DataRegularSeason20242025!$AB$3:$AB$1315,DataRegularSeason20242025!$B$3:$B$1315, "&lt;=" &amp; J$1, DataRegularSeason20242025!$E$3:$E$1315, $A8)</f>
        <v>0</v>
      </c>
      <c r="K8">
        <f>SUMIFS(DataRegularSeason20242025!$AA$3:$AA$1315,DataRegularSeason20242025!$B$3:$B$1315, "&lt;=" &amp; K$1, DataRegularSeason20242025!$D$3:$D$1315, $A8)+SUMIFS(DataRegularSeason20242025!$AB$3:$AB$1315,DataRegularSeason20242025!$B$3:$B$1315, "&lt;=" &amp; K$1, DataRegularSeason20242025!$E$3:$E$1315, $A8)</f>
        <v>0</v>
      </c>
      <c r="L8">
        <f>SUMIFS(DataRegularSeason20242025!$AA$3:$AA$1315,DataRegularSeason20242025!$B$3:$B$1315, "&lt;=" &amp; L$1, DataRegularSeason20242025!$D$3:$D$1315, $A8)+SUMIFS(DataRegularSeason20242025!$AB$3:$AB$1315,DataRegularSeason20242025!$B$3:$B$1315, "&lt;=" &amp; L$1, DataRegularSeason20242025!$E$3:$E$1315, $A8)</f>
        <v>0</v>
      </c>
      <c r="M8">
        <f>SUMIFS(DataRegularSeason20242025!$AA$3:$AA$1315,DataRegularSeason20242025!$B$3:$B$1315, "&lt;=" &amp; M$1, DataRegularSeason20242025!$D$3:$D$1315, $A8)+SUMIFS(DataRegularSeason20242025!$AB$3:$AB$1315,DataRegularSeason20242025!$B$3:$B$1315, "&lt;=" &amp; M$1, DataRegularSeason20242025!$E$3:$E$1315, $A8)</f>
        <v>0</v>
      </c>
      <c r="N8">
        <f>SUMIFS(DataRegularSeason20242025!$AA$3:$AA$1315,DataRegularSeason20242025!$B$3:$B$1315, "&lt;=" &amp; N$1, DataRegularSeason20242025!$D$3:$D$1315, $A8)+SUMIFS(DataRegularSeason20242025!$AB$3:$AB$1315,DataRegularSeason20242025!$B$3:$B$1315, "&lt;=" &amp; N$1, DataRegularSeason20242025!$E$3:$E$1315, $A8)</f>
        <v>2</v>
      </c>
      <c r="O8">
        <f>SUMIFS(DataRegularSeason20242025!$AA$3:$AA$1315,DataRegularSeason20242025!$B$3:$B$1315, "&lt;=" &amp; O$1, DataRegularSeason20242025!$D$3:$D$1315, $A8)+SUMIFS(DataRegularSeason20242025!$AB$3:$AB$1315,DataRegularSeason20242025!$B$3:$B$1315, "&lt;=" &amp; O$1, DataRegularSeason20242025!$E$3:$E$1315, $A8)</f>
        <v>3</v>
      </c>
      <c r="P8">
        <f>SUMIFS(DataRegularSeason20242025!$AA$3:$AA$1315,DataRegularSeason20242025!$B$3:$B$1315, "&lt;=" &amp; P$1, DataRegularSeason20242025!$D$3:$D$1315, $A8)+SUMIFS(DataRegularSeason20242025!$AB$3:$AB$1315,DataRegularSeason20242025!$B$3:$B$1315, "&lt;=" &amp; P$1, DataRegularSeason20242025!$E$3:$E$1315, $A8)</f>
        <v>3</v>
      </c>
      <c r="Q8">
        <f>SUMIFS(DataRegularSeason20242025!$AA$3:$AA$1315,DataRegularSeason20242025!$B$3:$B$1315, "&lt;=" &amp; Q$1, DataRegularSeason20242025!$D$3:$D$1315, $A8)+SUMIFS(DataRegularSeason20242025!$AB$3:$AB$1315,DataRegularSeason20242025!$B$3:$B$1315, "&lt;=" &amp; Q$1, DataRegularSeason20242025!$E$3:$E$1315, $A8)</f>
        <v>3</v>
      </c>
      <c r="R8">
        <f>SUMIFS(DataRegularSeason20242025!$AA$3:$AA$1315,DataRegularSeason20242025!$B$3:$B$1315, "&lt;=" &amp; R$1, DataRegularSeason20242025!$D$3:$D$1315, $A8)+SUMIFS(DataRegularSeason20242025!$AB$3:$AB$1315,DataRegularSeason20242025!$B$3:$B$1315, "&lt;=" &amp; R$1, DataRegularSeason20242025!$E$3:$E$1315, $A8)</f>
        <v>4</v>
      </c>
      <c r="S8">
        <f>SUMIFS(DataRegularSeason20242025!$AA$3:$AA$1315,DataRegularSeason20242025!$B$3:$B$1315, "&lt;=" &amp; S$1, DataRegularSeason20242025!$D$3:$D$1315, $A8)+SUMIFS(DataRegularSeason20242025!$AB$3:$AB$1315,DataRegularSeason20242025!$B$3:$B$1315, "&lt;=" &amp; S$1, DataRegularSeason20242025!$E$3:$E$1315, $A8)</f>
        <v>4</v>
      </c>
      <c r="T8">
        <f>SUMIFS(DataRegularSeason20242025!$AA$3:$AA$1315,DataRegularSeason20242025!$B$3:$B$1315, "&lt;=" &amp; T$1, DataRegularSeason20242025!$D$3:$D$1315, $A8)+SUMIFS(DataRegularSeason20242025!$AB$3:$AB$1315,DataRegularSeason20242025!$B$3:$B$1315, "&lt;=" &amp; T$1, DataRegularSeason20242025!$E$3:$E$1315, $A8)</f>
        <v>4</v>
      </c>
      <c r="U8">
        <f>SUMIFS(DataRegularSeason20242025!$AA$3:$AA$1315,DataRegularSeason20242025!$B$3:$B$1315, "&lt;=" &amp; U$1, DataRegularSeason20242025!$D$3:$D$1315, $A8)+SUMIFS(DataRegularSeason20242025!$AB$3:$AB$1315,DataRegularSeason20242025!$B$3:$B$1315, "&lt;=" &amp; U$1, DataRegularSeason20242025!$E$3:$E$1315, $A8)</f>
        <v>4</v>
      </c>
      <c r="V8">
        <f>SUMIFS(DataRegularSeason20242025!$AA$3:$AA$1315,DataRegularSeason20242025!$B$3:$B$1315, "&lt;=" &amp; V$1, DataRegularSeason20242025!$D$3:$D$1315, $A8)+SUMIFS(DataRegularSeason20242025!$AB$3:$AB$1315,DataRegularSeason20242025!$B$3:$B$1315, "&lt;=" &amp; V$1, DataRegularSeason20242025!$E$3:$E$1315, $A8)</f>
        <v>4</v>
      </c>
      <c r="W8">
        <f>SUMIFS(DataRegularSeason20242025!$AA$3:$AA$1315,DataRegularSeason20242025!$B$3:$B$1315, "&lt;=" &amp; W$1, DataRegularSeason20242025!$D$3:$D$1315, $A8)+SUMIFS(DataRegularSeason20242025!$AB$3:$AB$1315,DataRegularSeason20242025!$B$3:$B$1315, "&lt;=" &amp; W$1, DataRegularSeason20242025!$E$3:$E$1315, $A8)</f>
        <v>4</v>
      </c>
      <c r="X8">
        <f>SUMIFS(DataRegularSeason20242025!$AA$3:$AA$1315,DataRegularSeason20242025!$B$3:$B$1315, "&lt;=" &amp; X$1, DataRegularSeason20242025!$D$3:$D$1315, $A8)+SUMIFS(DataRegularSeason20242025!$AB$3:$AB$1315,DataRegularSeason20242025!$B$3:$B$1315, "&lt;=" &amp; X$1, DataRegularSeason20242025!$E$3:$E$1315, $A8)</f>
        <v>4</v>
      </c>
      <c r="Y8">
        <f>SUMIFS(DataRegularSeason20242025!$AA$3:$AA$1315,DataRegularSeason20242025!$B$3:$B$1315, "&lt;=" &amp; Y$1, DataRegularSeason20242025!$D$3:$D$1315, $A8)+SUMIFS(DataRegularSeason20242025!$AB$3:$AB$1315,DataRegularSeason20242025!$B$3:$B$1315, "&lt;=" &amp; Y$1, DataRegularSeason20242025!$E$3:$E$1315, $A8)</f>
        <v>4</v>
      </c>
      <c r="Z8">
        <f>SUMIFS(DataRegularSeason20242025!$AA$3:$AA$1315,DataRegularSeason20242025!$B$3:$B$1315, "&lt;=" &amp; Z$1, DataRegularSeason20242025!$D$3:$D$1315, $A8)+SUMIFS(DataRegularSeason20242025!$AB$3:$AB$1315,DataRegularSeason20242025!$B$3:$B$1315, "&lt;=" &amp; Z$1, DataRegularSeason20242025!$E$3:$E$1315, $A8)</f>
        <v>4</v>
      </c>
      <c r="AA8">
        <f>SUMIFS(DataRegularSeason20242025!$AA$3:$AA$1315,DataRegularSeason20242025!$B$3:$B$1315, "&lt;=" &amp; AA$1, DataRegularSeason20242025!$D$3:$D$1315, $A8)+SUMIFS(DataRegularSeason20242025!$AB$3:$AB$1315,DataRegularSeason20242025!$B$3:$B$1315, "&lt;=" &amp; AA$1, DataRegularSeason20242025!$E$3:$E$1315, $A8)</f>
        <v>4</v>
      </c>
      <c r="AB8">
        <f>SUMIFS(DataRegularSeason20242025!$AA$3:$AA$1315,DataRegularSeason20242025!$B$3:$B$1315, "&lt;=" &amp; AB$1, DataRegularSeason20242025!$D$3:$D$1315, $A8)+SUMIFS(DataRegularSeason20242025!$AB$3:$AB$1315,DataRegularSeason20242025!$B$3:$B$1315, "&lt;=" &amp; AB$1, DataRegularSeason20242025!$E$3:$E$1315, $A8)</f>
        <v>4</v>
      </c>
      <c r="AC8">
        <f>SUMIFS(DataRegularSeason20242025!$AA$3:$AA$1315,DataRegularSeason20242025!$B$3:$B$1315, "&lt;=" &amp; AC$1, DataRegularSeason20242025!$D$3:$D$1315, $A8)+SUMIFS(DataRegularSeason20242025!$AB$3:$AB$1315,DataRegularSeason20242025!$B$3:$B$1315, "&lt;=" &amp; AC$1, DataRegularSeason20242025!$E$3:$E$1315, $A8)</f>
        <v>4</v>
      </c>
      <c r="AD8">
        <f>SUMIFS(DataRegularSeason20242025!$AA$3:$AA$1315,DataRegularSeason20242025!$B$3:$B$1315, "&lt;=" &amp; AD$1, DataRegularSeason20242025!$D$3:$D$1315, $A8)+SUMIFS(DataRegularSeason20242025!$AB$3:$AB$1315,DataRegularSeason20242025!$B$3:$B$1315, "&lt;=" &amp; AD$1, DataRegularSeason20242025!$E$3:$E$1315, $A8)</f>
        <v>4</v>
      </c>
      <c r="AE8">
        <f>SUMIFS(DataRegularSeason20242025!$AA$3:$AA$1315,DataRegularSeason20242025!$B$3:$B$1315, "&lt;=" &amp; AE$1, DataRegularSeason20242025!$D$3:$D$1315, $A8)+SUMIFS(DataRegularSeason20242025!$AB$3:$AB$1315,DataRegularSeason20242025!$B$3:$B$1315, "&lt;=" &amp; AE$1, DataRegularSeason20242025!$E$3:$E$1315, $A8)</f>
        <v>4</v>
      </c>
      <c r="AF8">
        <f>SUMIFS(DataRegularSeason20242025!$AA$3:$AA$1315,DataRegularSeason20242025!$B$3:$B$1315, "&lt;=" &amp; AF$1, DataRegularSeason20242025!$D$3:$D$1315, $A8)+SUMIFS(DataRegularSeason20242025!$AB$3:$AB$1315,DataRegularSeason20242025!$B$3:$B$1315, "&lt;=" &amp; AF$1, DataRegularSeason20242025!$E$3:$E$1315, $A8)</f>
        <v>4</v>
      </c>
      <c r="AG8">
        <f>SUMIFS(DataRegularSeason20242025!$AA$3:$AA$1315,DataRegularSeason20242025!$B$3:$B$1315, "&lt;=" &amp; AG$1, DataRegularSeason20242025!$D$3:$D$1315, $A8)+SUMIFS(DataRegularSeason20242025!$AB$3:$AB$1315,DataRegularSeason20242025!$B$3:$B$1315, "&lt;=" &amp; AG$1, DataRegularSeason20242025!$E$3:$E$1315, $A8)</f>
        <v>4</v>
      </c>
      <c r="AH8">
        <f>SUMIFS(DataRegularSeason20242025!$AA$3:$AA$1315,DataRegularSeason20242025!$B$3:$B$1315, "&lt;=" &amp; AH$1, DataRegularSeason20242025!$D$3:$D$1315, $A8)+SUMIFS(DataRegularSeason20242025!$AB$3:$AB$1315,DataRegularSeason20242025!$B$3:$B$1315, "&lt;=" &amp; AH$1, DataRegularSeason20242025!$E$3:$E$1315, $A8)</f>
        <v>4</v>
      </c>
      <c r="AI8">
        <f>SUMIFS(DataRegularSeason20242025!$AA$3:$AA$1315,DataRegularSeason20242025!$B$3:$B$1315, "&lt;=" &amp; AI$1, DataRegularSeason20242025!$D$3:$D$1315, $A8)+SUMIFS(DataRegularSeason20242025!$AB$3:$AB$1315,DataRegularSeason20242025!$B$3:$B$1315, "&lt;=" &amp; AI$1, DataRegularSeason20242025!$E$3:$E$1315, $A8)</f>
        <v>4</v>
      </c>
      <c r="AJ8">
        <f>SUMIFS(DataRegularSeason20242025!$AA$3:$AA$1315,DataRegularSeason20242025!$B$3:$B$1315, "&lt;=" &amp; AJ$1, DataRegularSeason20242025!$D$3:$D$1315, $A8)+SUMIFS(DataRegularSeason20242025!$AB$3:$AB$1315,DataRegularSeason20242025!$B$3:$B$1315, "&lt;=" &amp; AJ$1, DataRegularSeason20242025!$E$3:$E$1315, $A8)</f>
        <v>4</v>
      </c>
      <c r="AK8">
        <f>SUMIFS(DataRegularSeason20242025!$AA$3:$AA$1315,DataRegularSeason20242025!$B$3:$B$1315, "&lt;=" &amp; AK$1, DataRegularSeason20242025!$D$3:$D$1315, $A8)+SUMIFS(DataRegularSeason20242025!$AB$3:$AB$1315,DataRegularSeason20242025!$B$3:$B$1315, "&lt;=" &amp; AK$1, DataRegularSeason20242025!$E$3:$E$1315, $A8)</f>
        <v>4</v>
      </c>
      <c r="AL8">
        <f>SUMIFS(DataRegularSeason20242025!$AA$3:$AA$1315,DataRegularSeason20242025!$B$3:$B$1315, "&lt;=" &amp; AL$1, DataRegularSeason20242025!$D$3:$D$1315, $A8)+SUMIFS(DataRegularSeason20242025!$AB$3:$AB$1315,DataRegularSeason20242025!$B$3:$B$1315, "&lt;=" &amp; AL$1, DataRegularSeason20242025!$E$3:$E$1315, $A8)</f>
        <v>4</v>
      </c>
      <c r="AM8">
        <f>SUMIFS(DataRegularSeason20242025!$AA$3:$AA$1315,DataRegularSeason20242025!$B$3:$B$1315, "&lt;=" &amp; AM$1, DataRegularSeason20242025!$D$3:$D$1315, $A8)+SUMIFS(DataRegularSeason20242025!$AB$3:$AB$1315,DataRegularSeason20242025!$B$3:$B$1315, "&lt;=" &amp; AM$1, DataRegularSeason20242025!$E$3:$E$1315, $A8)</f>
        <v>4</v>
      </c>
      <c r="AN8">
        <f>SUMIFS(DataRegularSeason20242025!$AA$3:$AA$1315,DataRegularSeason20242025!$B$3:$B$1315, "&lt;=" &amp; AN$1, DataRegularSeason20242025!$D$3:$D$1315, $A8)+SUMIFS(DataRegularSeason20242025!$AB$3:$AB$1315,DataRegularSeason20242025!$B$3:$B$1315, "&lt;=" &amp; AN$1, DataRegularSeason20242025!$E$3:$E$1315, $A8)</f>
        <v>4</v>
      </c>
      <c r="AO8">
        <f>SUMIFS(DataRegularSeason20242025!$AA$3:$AA$1315,DataRegularSeason20242025!$B$3:$B$1315, "&lt;=" &amp; AO$1, DataRegularSeason20242025!$D$3:$D$1315, $A8)+SUMIFS(DataRegularSeason20242025!$AB$3:$AB$1315,DataRegularSeason20242025!$B$3:$B$1315, "&lt;=" &amp; AO$1, DataRegularSeason20242025!$E$3:$E$1315, $A8)</f>
        <v>4</v>
      </c>
      <c r="AP8">
        <f>SUMIFS(DataRegularSeason20242025!$AA$3:$AA$1315,DataRegularSeason20242025!$B$3:$B$1315, "&lt;=" &amp; AP$1, DataRegularSeason20242025!$D$3:$D$1315, $A8)+SUMIFS(DataRegularSeason20242025!$AB$3:$AB$1315,DataRegularSeason20242025!$B$3:$B$1315, "&lt;=" &amp; AP$1, DataRegularSeason20242025!$E$3:$E$1315, $A8)</f>
        <v>4</v>
      </c>
      <c r="AQ8">
        <f>SUMIFS(DataRegularSeason20242025!$AA$3:$AA$1315,DataRegularSeason20242025!$B$3:$B$1315, "&lt;=" &amp; AQ$1, DataRegularSeason20242025!$D$3:$D$1315, $A8)+SUMIFS(DataRegularSeason20242025!$AB$3:$AB$1315,DataRegularSeason20242025!$B$3:$B$1315, "&lt;=" &amp; AQ$1, DataRegularSeason20242025!$E$3:$E$1315, $A8)</f>
        <v>4</v>
      </c>
      <c r="AR8">
        <f>SUMIFS(DataRegularSeason20242025!$AA$3:$AA$1315,DataRegularSeason20242025!$B$3:$B$1315, "&lt;=" &amp; AR$1, DataRegularSeason20242025!$D$3:$D$1315, $A8)+SUMIFS(DataRegularSeason20242025!$AB$3:$AB$1315,DataRegularSeason20242025!$B$3:$B$1315, "&lt;=" &amp; AR$1, DataRegularSeason20242025!$E$3:$E$1315, $A8)</f>
        <v>4</v>
      </c>
      <c r="AS8">
        <f>SUMIFS(DataRegularSeason20242025!$AA$3:$AA$1315,DataRegularSeason20242025!$B$3:$B$1315, "&lt;=" &amp; AS$1, DataRegularSeason20242025!$D$3:$D$1315, $A8)+SUMIFS(DataRegularSeason20242025!$AB$3:$AB$1315,DataRegularSeason20242025!$B$3:$B$1315, "&lt;=" &amp; AS$1, DataRegularSeason20242025!$E$3:$E$1315, $A8)</f>
        <v>4</v>
      </c>
      <c r="AT8">
        <f>SUMIFS(DataRegularSeason20242025!$AA$3:$AA$1315,DataRegularSeason20242025!$B$3:$B$1315, "&lt;=" &amp; AT$1, DataRegularSeason20242025!$D$3:$D$1315, $A8)+SUMIFS(DataRegularSeason20242025!$AB$3:$AB$1315,DataRegularSeason20242025!$B$3:$B$1315, "&lt;=" &amp; AT$1, DataRegularSeason20242025!$E$3:$E$1315, $A8)</f>
        <v>4</v>
      </c>
      <c r="AU8">
        <f>SUMIFS(DataRegularSeason20242025!$AA$3:$AA$1315,DataRegularSeason20242025!$B$3:$B$1315, "&lt;=" &amp; AU$1, DataRegularSeason20242025!$D$3:$D$1315, $A8)+SUMIFS(DataRegularSeason20242025!$AB$3:$AB$1315,DataRegularSeason20242025!$B$3:$B$1315, "&lt;=" &amp; AU$1, DataRegularSeason20242025!$E$3:$E$1315, $A8)</f>
        <v>4</v>
      </c>
      <c r="AV8">
        <f>SUMIFS(DataRegularSeason20242025!$AA$3:$AA$1315,DataRegularSeason20242025!$B$3:$B$1315, "&lt;=" &amp; AV$1, DataRegularSeason20242025!$D$3:$D$1315, $A8)+SUMIFS(DataRegularSeason20242025!$AB$3:$AB$1315,DataRegularSeason20242025!$B$3:$B$1315, "&lt;=" &amp; AV$1, DataRegularSeason20242025!$E$3:$E$1315, $A8)</f>
        <v>4</v>
      </c>
      <c r="AW8">
        <f>SUMIFS(DataRegularSeason20242025!$AA$3:$AA$1315,DataRegularSeason20242025!$B$3:$B$1315, "&lt;=" &amp; AW$1, DataRegularSeason20242025!$D$3:$D$1315, $A8)+SUMIFS(DataRegularSeason20242025!$AB$3:$AB$1315,DataRegularSeason20242025!$B$3:$B$1315, "&lt;=" &amp; AW$1, DataRegularSeason20242025!$E$3:$E$1315, $A8)</f>
        <v>4</v>
      </c>
      <c r="AX8">
        <f>SUMIFS(DataRegularSeason20242025!$AA$3:$AA$1315,DataRegularSeason20242025!$B$3:$B$1315, "&lt;=" &amp; AX$1, DataRegularSeason20242025!$D$3:$D$1315, $A8)+SUMIFS(DataRegularSeason20242025!$AB$3:$AB$1315,DataRegularSeason20242025!$B$3:$B$1315, "&lt;=" &amp; AX$1, DataRegularSeason20242025!$E$3:$E$1315, $A8)</f>
        <v>4</v>
      </c>
      <c r="AY8">
        <f>SUMIFS(DataRegularSeason20242025!$AA$3:$AA$1315,DataRegularSeason20242025!$B$3:$B$1315, "&lt;=" &amp; AY$1, DataRegularSeason20242025!$D$3:$D$1315, $A8)+SUMIFS(DataRegularSeason20242025!$AB$3:$AB$1315,DataRegularSeason20242025!$B$3:$B$1315, "&lt;=" &amp; AY$1, DataRegularSeason20242025!$E$3:$E$1315, $A8)</f>
        <v>4</v>
      </c>
      <c r="AZ8">
        <f>SUMIFS(DataRegularSeason20242025!$AA$3:$AA$1315,DataRegularSeason20242025!$B$3:$B$1315, "&lt;=" &amp; AZ$1, DataRegularSeason20242025!$D$3:$D$1315, $A8)+SUMIFS(DataRegularSeason20242025!$AB$3:$AB$1315,DataRegularSeason20242025!$B$3:$B$1315, "&lt;=" &amp; AZ$1, DataRegularSeason20242025!$E$3:$E$1315, $A8)</f>
        <v>4</v>
      </c>
      <c r="BA8">
        <f>SUMIFS(DataRegularSeason20242025!$AA$3:$AA$1315,DataRegularSeason20242025!$B$3:$B$1315, "&lt;=" &amp; BA$1, DataRegularSeason20242025!$D$3:$D$1315, $A8)+SUMIFS(DataRegularSeason20242025!$AB$3:$AB$1315,DataRegularSeason20242025!$B$3:$B$1315, "&lt;=" &amp; BA$1, DataRegularSeason20242025!$E$3:$E$1315, $A8)</f>
        <v>4</v>
      </c>
      <c r="BB8">
        <f>SUMIFS(DataRegularSeason20242025!$AA$3:$AA$1315,DataRegularSeason20242025!$B$3:$B$1315, "&lt;=" &amp; BB$1, DataRegularSeason20242025!$D$3:$D$1315, $A8)+SUMIFS(DataRegularSeason20242025!$AB$3:$AB$1315,DataRegularSeason20242025!$B$3:$B$1315, "&lt;=" &amp; BB$1, DataRegularSeason20242025!$E$3:$E$1315, $A8)</f>
        <v>4</v>
      </c>
      <c r="BC8">
        <f>SUMIFS(DataRegularSeason20242025!$AA$3:$AA$1315,DataRegularSeason20242025!$B$3:$B$1315, "&lt;=" &amp; BC$1, DataRegularSeason20242025!$D$3:$D$1315, $A8)+SUMIFS(DataRegularSeason20242025!$AB$3:$AB$1315,DataRegularSeason20242025!$B$3:$B$1315, "&lt;=" &amp; BC$1, DataRegularSeason20242025!$E$3:$E$1315, $A8)</f>
        <v>4</v>
      </c>
      <c r="BD8">
        <f>SUMIFS(DataRegularSeason20242025!$AA$3:$AA$1315,DataRegularSeason20242025!$B$3:$B$1315, "&lt;=" &amp; BD$1, DataRegularSeason20242025!$D$3:$D$1315, $A8)+SUMIFS(DataRegularSeason20242025!$AB$3:$AB$1315,DataRegularSeason20242025!$B$3:$B$1315, "&lt;=" &amp; BD$1, DataRegularSeason20242025!$E$3:$E$1315, $A8)</f>
        <v>4</v>
      </c>
      <c r="BE8">
        <f>SUMIFS(DataRegularSeason20242025!$AA$3:$AA$1315,DataRegularSeason20242025!$B$3:$B$1315, "&lt;=" &amp; BE$1, DataRegularSeason20242025!$D$3:$D$1315, $A8)+SUMIFS(DataRegularSeason20242025!$AB$3:$AB$1315,DataRegularSeason20242025!$B$3:$B$1315, "&lt;=" &amp; BE$1, DataRegularSeason20242025!$E$3:$E$1315, $A8)</f>
        <v>4</v>
      </c>
      <c r="BF8">
        <f>SUMIFS(DataRegularSeason20242025!$AA$3:$AA$1315,DataRegularSeason20242025!$B$3:$B$1315, "&lt;=" &amp; BF$1, DataRegularSeason20242025!$D$3:$D$1315, $A8)+SUMIFS(DataRegularSeason20242025!$AB$3:$AB$1315,DataRegularSeason20242025!$B$3:$B$1315, "&lt;=" &amp; BF$1, DataRegularSeason20242025!$E$3:$E$1315, $A8)</f>
        <v>4</v>
      </c>
      <c r="BG8">
        <f>SUMIFS(DataRegularSeason20242025!$AA$3:$AA$1315,DataRegularSeason20242025!$B$3:$B$1315, "&lt;=" &amp; BG$1, DataRegularSeason20242025!$D$3:$D$1315, $A8)+SUMIFS(DataRegularSeason20242025!$AB$3:$AB$1315,DataRegularSeason20242025!$B$3:$B$1315, "&lt;=" &amp; BG$1, DataRegularSeason20242025!$E$3:$E$1315, $A8)</f>
        <v>4</v>
      </c>
      <c r="BH8">
        <f>SUMIFS(DataRegularSeason20242025!$AA$3:$AA$1315,DataRegularSeason20242025!$B$3:$B$1315, "&lt;=" &amp; BH$1, DataRegularSeason20242025!$D$3:$D$1315, $A8)+SUMIFS(DataRegularSeason20242025!$AB$3:$AB$1315,DataRegularSeason20242025!$B$3:$B$1315, "&lt;=" &amp; BH$1, DataRegularSeason20242025!$E$3:$E$1315, $A8)</f>
        <v>4</v>
      </c>
      <c r="BI8">
        <f>SUMIFS(DataRegularSeason20242025!$AA$3:$AA$1315,DataRegularSeason20242025!$B$3:$B$1315, "&lt;=" &amp; BI$1, DataRegularSeason20242025!$D$3:$D$1315, $A8)+SUMIFS(DataRegularSeason20242025!$AB$3:$AB$1315,DataRegularSeason20242025!$B$3:$B$1315, "&lt;=" &amp; BI$1, DataRegularSeason20242025!$E$3:$E$1315, $A8)</f>
        <v>4</v>
      </c>
      <c r="BJ8">
        <f>SUMIFS(DataRegularSeason20242025!$AA$3:$AA$1315,DataRegularSeason20242025!$B$3:$B$1315, "&lt;=" &amp; BJ$1, DataRegularSeason20242025!$D$3:$D$1315, $A8)+SUMIFS(DataRegularSeason20242025!$AB$3:$AB$1315,DataRegularSeason20242025!$B$3:$B$1315, "&lt;=" &amp; BJ$1, DataRegularSeason20242025!$E$3:$E$1315, $A8)</f>
        <v>4</v>
      </c>
      <c r="BK8">
        <f>SUMIFS(DataRegularSeason20242025!$AA$3:$AA$1315,DataRegularSeason20242025!$B$3:$B$1315, "&lt;=" &amp; BK$1, DataRegularSeason20242025!$D$3:$D$1315, $A8)+SUMIFS(DataRegularSeason20242025!$AB$3:$AB$1315,DataRegularSeason20242025!$B$3:$B$1315, "&lt;=" &amp; BK$1, DataRegularSeason20242025!$E$3:$E$1315, $A8)</f>
        <v>4</v>
      </c>
      <c r="BL8">
        <f>SUMIFS(DataRegularSeason20242025!$AA$3:$AA$1315,DataRegularSeason20242025!$B$3:$B$1315, "&lt;=" &amp; BL$1, DataRegularSeason20242025!$D$3:$D$1315, $A8)+SUMIFS(DataRegularSeason20242025!$AB$3:$AB$1315,DataRegularSeason20242025!$B$3:$B$1315, "&lt;=" &amp; BL$1, DataRegularSeason20242025!$E$3:$E$1315, $A8)</f>
        <v>4</v>
      </c>
      <c r="BM8">
        <f>SUMIFS(DataRegularSeason20242025!$AA$3:$AA$1315,DataRegularSeason20242025!$B$3:$B$1315, "&lt;=" &amp; BM$1, DataRegularSeason20242025!$D$3:$D$1315, $A8)+SUMIFS(DataRegularSeason20242025!$AB$3:$AB$1315,DataRegularSeason20242025!$B$3:$B$1315, "&lt;=" &amp; BM$1, DataRegularSeason20242025!$E$3:$E$1315, $A8)</f>
        <v>4</v>
      </c>
      <c r="BN8">
        <f>SUMIFS(DataRegularSeason20242025!$AA$3:$AA$1315,DataRegularSeason20242025!$B$3:$B$1315, "&lt;=" &amp; BN$1, DataRegularSeason20242025!$D$3:$D$1315, $A8)+SUMIFS(DataRegularSeason20242025!$AB$3:$AB$1315,DataRegularSeason20242025!$B$3:$B$1315, "&lt;=" &amp; BN$1, DataRegularSeason20242025!$E$3:$E$1315, $A8)</f>
        <v>4</v>
      </c>
      <c r="BO8">
        <f>SUMIFS(DataRegularSeason20242025!$AA$3:$AA$1315,DataRegularSeason20242025!$B$3:$B$1315, "&lt;=" &amp; BO$1, DataRegularSeason20242025!$D$3:$D$1315, $A8)+SUMIFS(DataRegularSeason20242025!$AB$3:$AB$1315,DataRegularSeason20242025!$B$3:$B$1315, "&lt;=" &amp; BO$1, DataRegularSeason20242025!$E$3:$E$1315, $A8)</f>
        <v>4</v>
      </c>
      <c r="BP8">
        <f>SUMIFS(DataRegularSeason20242025!$AA$3:$AA$1315,DataRegularSeason20242025!$B$3:$B$1315, "&lt;=" &amp; BP$1, DataRegularSeason20242025!$D$3:$D$1315, $A8)+SUMIFS(DataRegularSeason20242025!$AB$3:$AB$1315,DataRegularSeason20242025!$B$3:$B$1315, "&lt;=" &amp; BP$1, DataRegularSeason20242025!$E$3:$E$1315, $A8)</f>
        <v>4</v>
      </c>
      <c r="BQ8">
        <f>SUMIFS(DataRegularSeason20242025!$AA$3:$AA$1315,DataRegularSeason20242025!$B$3:$B$1315, "&lt;=" &amp; BQ$1, DataRegularSeason20242025!$D$3:$D$1315, $A8)+SUMIFS(DataRegularSeason20242025!$AB$3:$AB$1315,DataRegularSeason20242025!$B$3:$B$1315, "&lt;=" &amp; BQ$1, DataRegularSeason20242025!$E$3:$E$1315, $A8)</f>
        <v>4</v>
      </c>
      <c r="BR8">
        <f>SUMIFS(DataRegularSeason20242025!$AA$3:$AA$1315,DataRegularSeason20242025!$B$3:$B$1315, "&lt;=" &amp; BR$1, DataRegularSeason20242025!$D$3:$D$1315, $A8)+SUMIFS(DataRegularSeason20242025!$AB$3:$AB$1315,DataRegularSeason20242025!$B$3:$B$1315, "&lt;=" &amp; BR$1, DataRegularSeason20242025!$E$3:$E$1315, $A8)</f>
        <v>4</v>
      </c>
      <c r="BS8">
        <f>SUMIFS(DataRegularSeason20242025!$AA$3:$AA$1315,DataRegularSeason20242025!$B$3:$B$1315, "&lt;=" &amp; BS$1, DataRegularSeason20242025!$D$3:$D$1315, $A8)+SUMIFS(DataRegularSeason20242025!$AB$3:$AB$1315,DataRegularSeason20242025!$B$3:$B$1315, "&lt;=" &amp; BS$1, DataRegularSeason20242025!$E$3:$E$1315, $A8)</f>
        <v>4</v>
      </c>
      <c r="BT8">
        <f>SUMIFS(DataRegularSeason20242025!$AA$3:$AA$1315,DataRegularSeason20242025!$B$3:$B$1315, "&lt;=" &amp; BT$1, DataRegularSeason20242025!$D$3:$D$1315, $A8)+SUMIFS(DataRegularSeason20242025!$AB$3:$AB$1315,DataRegularSeason20242025!$B$3:$B$1315, "&lt;=" &amp; BT$1, DataRegularSeason20242025!$E$3:$E$1315, $A8)</f>
        <v>4</v>
      </c>
      <c r="BU8">
        <f>SUMIFS(DataRegularSeason20242025!$AA$3:$AA$1315,DataRegularSeason20242025!$B$3:$B$1315, "&lt;=" &amp; BU$1, DataRegularSeason20242025!$D$3:$D$1315, $A8)+SUMIFS(DataRegularSeason20242025!$AB$3:$AB$1315,DataRegularSeason20242025!$B$3:$B$1315, "&lt;=" &amp; BU$1, DataRegularSeason20242025!$E$3:$E$1315, $A8)</f>
        <v>4</v>
      </c>
      <c r="BV8">
        <f>SUMIFS(DataRegularSeason20242025!$AA$3:$AA$1315,DataRegularSeason20242025!$B$3:$B$1315, "&lt;=" &amp; BV$1, DataRegularSeason20242025!$D$3:$D$1315, $A8)+SUMIFS(DataRegularSeason20242025!$AB$3:$AB$1315,DataRegularSeason20242025!$B$3:$B$1315, "&lt;=" &amp; BV$1, DataRegularSeason20242025!$E$3:$E$1315, $A8)</f>
        <v>4</v>
      </c>
      <c r="BW8">
        <f>SUMIFS(DataRegularSeason20242025!$AA$3:$AA$1315,DataRegularSeason20242025!$B$3:$B$1315, "&lt;=" &amp; BW$1, DataRegularSeason20242025!$D$3:$D$1315, $A8)+SUMIFS(DataRegularSeason20242025!$AB$3:$AB$1315,DataRegularSeason20242025!$B$3:$B$1315, "&lt;=" &amp; BW$1, DataRegularSeason20242025!$E$3:$E$1315, $A8)</f>
        <v>4</v>
      </c>
      <c r="BX8">
        <f>SUMIFS(DataRegularSeason20242025!$AA$3:$AA$1315,DataRegularSeason20242025!$B$3:$B$1315, "&lt;=" &amp; BX$1, DataRegularSeason20242025!$D$3:$D$1315, $A8)+SUMIFS(DataRegularSeason20242025!$AB$3:$AB$1315,DataRegularSeason20242025!$B$3:$B$1315, "&lt;=" &amp; BX$1, DataRegularSeason20242025!$E$3:$E$1315, $A8)</f>
        <v>4</v>
      </c>
      <c r="BY8">
        <f>SUMIFS(DataRegularSeason20242025!$AA$3:$AA$1315,DataRegularSeason20242025!$B$3:$B$1315, "&lt;=" &amp; BY$1, DataRegularSeason20242025!$D$3:$D$1315, $A8)+SUMIFS(DataRegularSeason20242025!$AB$3:$AB$1315,DataRegularSeason20242025!$B$3:$B$1315, "&lt;=" &amp; BY$1, DataRegularSeason20242025!$E$3:$E$1315, $A8)</f>
        <v>4</v>
      </c>
      <c r="BZ8">
        <f>SUMIFS(DataRegularSeason20242025!$AA$3:$AA$1315,DataRegularSeason20242025!$B$3:$B$1315, "&lt;=" &amp; BZ$1, DataRegularSeason20242025!$D$3:$D$1315, $A8)+SUMIFS(DataRegularSeason20242025!$AB$3:$AB$1315,DataRegularSeason20242025!$B$3:$B$1315, "&lt;=" &amp; BZ$1, DataRegularSeason20242025!$E$3:$E$1315, $A8)</f>
        <v>4</v>
      </c>
      <c r="CA8">
        <f>SUMIFS(DataRegularSeason20242025!$AA$3:$AA$1315,DataRegularSeason20242025!$B$3:$B$1315, "&lt;=" &amp; CA$1, DataRegularSeason20242025!$D$3:$D$1315, $A8)+SUMIFS(DataRegularSeason20242025!$AB$3:$AB$1315,DataRegularSeason20242025!$B$3:$B$1315, "&lt;=" &amp; CA$1, DataRegularSeason20242025!$E$3:$E$1315, $A8)</f>
        <v>4</v>
      </c>
      <c r="CB8">
        <f>SUMIFS(DataRegularSeason20242025!$AA$3:$AA$1315,DataRegularSeason20242025!$B$3:$B$1315, "&lt;=" &amp; CB$1, DataRegularSeason20242025!$D$3:$D$1315, $A8)+SUMIFS(DataRegularSeason20242025!$AB$3:$AB$1315,DataRegularSeason20242025!$B$3:$B$1315, "&lt;=" &amp; CB$1, DataRegularSeason20242025!$E$3:$E$1315, $A8)</f>
        <v>4</v>
      </c>
      <c r="CC8">
        <f>SUMIFS(DataRegularSeason20242025!$AA$3:$AA$1315,DataRegularSeason20242025!$B$3:$B$1315, "&lt;=" &amp; CC$1, DataRegularSeason20242025!$D$3:$D$1315, $A8)+SUMIFS(DataRegularSeason20242025!$AB$3:$AB$1315,DataRegularSeason20242025!$B$3:$B$1315, "&lt;=" &amp; CC$1, DataRegularSeason20242025!$E$3:$E$1315, $A8)</f>
        <v>4</v>
      </c>
      <c r="CD8">
        <f>SUMIFS(DataRegularSeason20242025!$AA$3:$AA$1315,DataRegularSeason20242025!$B$3:$B$1315, "&lt;=" &amp; CD$1, DataRegularSeason20242025!$D$3:$D$1315, $A8)+SUMIFS(DataRegularSeason20242025!$AB$3:$AB$1315,DataRegularSeason20242025!$B$3:$B$1315, "&lt;=" &amp; CD$1, DataRegularSeason20242025!$E$3:$E$1315, $A8)</f>
        <v>4</v>
      </c>
      <c r="CE8">
        <f>SUMIFS(DataRegularSeason20242025!$AA$3:$AA$1315,DataRegularSeason20242025!$B$3:$B$1315, "&lt;=" &amp; CE$1, DataRegularSeason20242025!$D$3:$D$1315, $A8)+SUMIFS(DataRegularSeason20242025!$AB$3:$AB$1315,DataRegularSeason20242025!$B$3:$B$1315, "&lt;=" &amp; CE$1, DataRegularSeason20242025!$E$3:$E$1315, $A8)</f>
        <v>4</v>
      </c>
      <c r="CF8">
        <f>SUMIFS(DataRegularSeason20242025!$AA$3:$AA$1315,DataRegularSeason20242025!$B$3:$B$1315, "&lt;=" &amp; CF$1, DataRegularSeason20242025!$D$3:$D$1315, $A8)+SUMIFS(DataRegularSeason20242025!$AB$3:$AB$1315,DataRegularSeason20242025!$B$3:$B$1315, "&lt;=" &amp; CF$1, DataRegularSeason20242025!$E$3:$E$1315, $A8)</f>
        <v>4</v>
      </c>
      <c r="CG8">
        <f>SUMIFS(DataRegularSeason20242025!$AA$3:$AA$1315,DataRegularSeason20242025!$B$3:$B$1315, "&lt;=" &amp; CG$1, DataRegularSeason20242025!$D$3:$D$1315, $A8)+SUMIFS(DataRegularSeason20242025!$AB$3:$AB$1315,DataRegularSeason20242025!$B$3:$B$1315, "&lt;=" &amp; CG$1, DataRegularSeason20242025!$E$3:$E$1315, $A8)</f>
        <v>4</v>
      </c>
      <c r="CH8">
        <f>SUMIFS(DataRegularSeason20242025!$AA$3:$AA$1315,DataRegularSeason20242025!$B$3:$B$1315, "&lt;=" &amp; CH$1, DataRegularSeason20242025!$D$3:$D$1315, $A8)+SUMIFS(DataRegularSeason20242025!$AB$3:$AB$1315,DataRegularSeason20242025!$B$3:$B$1315, "&lt;=" &amp; CH$1, DataRegularSeason20242025!$E$3:$E$1315, $A8)</f>
        <v>4</v>
      </c>
      <c r="CI8">
        <f>SUMIFS(DataRegularSeason20242025!$AA$3:$AA$1315,DataRegularSeason20242025!$B$3:$B$1315, "&lt;=" &amp; CI$1, DataRegularSeason20242025!$D$3:$D$1315, $A8)+SUMIFS(DataRegularSeason20242025!$AB$3:$AB$1315,DataRegularSeason20242025!$B$3:$B$1315, "&lt;=" &amp; CI$1, DataRegularSeason20242025!$E$3:$E$1315, $A8)</f>
        <v>4</v>
      </c>
      <c r="CJ8">
        <f>SUMIFS(DataRegularSeason20242025!$AA$3:$AA$1315,DataRegularSeason20242025!$B$3:$B$1315, "&lt;=" &amp; CJ$1, DataRegularSeason20242025!$D$3:$D$1315, $A8)+SUMIFS(DataRegularSeason20242025!$AB$3:$AB$1315,DataRegularSeason20242025!$B$3:$B$1315, "&lt;=" &amp; CJ$1, DataRegularSeason20242025!$E$3:$E$1315, $A8)</f>
        <v>4</v>
      </c>
      <c r="CK8">
        <f>SUMIFS(DataRegularSeason20242025!$AA$3:$AA$1315,DataRegularSeason20242025!$B$3:$B$1315, "&lt;=" &amp; CK$1, DataRegularSeason20242025!$D$3:$D$1315, $A8)+SUMIFS(DataRegularSeason20242025!$AB$3:$AB$1315,DataRegularSeason20242025!$B$3:$B$1315, "&lt;=" &amp; CK$1, DataRegularSeason20242025!$E$3:$E$1315, $A8)</f>
        <v>4</v>
      </c>
      <c r="CL8">
        <f>SUMIFS(DataRegularSeason20242025!$AA$3:$AA$1315,DataRegularSeason20242025!$B$3:$B$1315, "&lt;=" &amp; CL$1, DataRegularSeason20242025!$D$3:$D$1315, $A8)+SUMIFS(DataRegularSeason20242025!$AB$3:$AB$1315,DataRegularSeason20242025!$B$3:$B$1315, "&lt;=" &amp; CL$1, DataRegularSeason20242025!$E$3:$E$1315, $A8)</f>
        <v>4</v>
      </c>
      <c r="CM8">
        <f>SUMIFS(DataRegularSeason20242025!$AA$3:$AA$1315,DataRegularSeason20242025!$B$3:$B$1315, "&lt;=" &amp; CM$1, DataRegularSeason20242025!$D$3:$D$1315, $A8)+SUMIFS(DataRegularSeason20242025!$AB$3:$AB$1315,DataRegularSeason20242025!$B$3:$B$1315, "&lt;=" &amp; CM$1, DataRegularSeason20242025!$E$3:$E$1315, $A8)</f>
        <v>4</v>
      </c>
      <c r="CN8">
        <f>SUMIFS(DataRegularSeason20242025!$AA$3:$AA$1315,DataRegularSeason20242025!$B$3:$B$1315, "&lt;=" &amp; CN$1, DataRegularSeason20242025!$D$3:$D$1315, $A8)+SUMIFS(DataRegularSeason20242025!$AB$3:$AB$1315,DataRegularSeason20242025!$B$3:$B$1315, "&lt;=" &amp; CN$1, DataRegularSeason20242025!$E$3:$E$1315, $A8)</f>
        <v>4</v>
      </c>
      <c r="CO8">
        <f>SUMIFS(DataRegularSeason20242025!$AA$3:$AA$1315,DataRegularSeason20242025!$B$3:$B$1315, "&lt;=" &amp; CO$1, DataRegularSeason20242025!$D$3:$D$1315, $A8)+SUMIFS(DataRegularSeason20242025!$AB$3:$AB$1315,DataRegularSeason20242025!$B$3:$B$1315, "&lt;=" &amp; CO$1, DataRegularSeason20242025!$E$3:$E$1315, $A8)</f>
        <v>4</v>
      </c>
      <c r="CP8">
        <f>SUMIFS(DataRegularSeason20242025!$AA$3:$AA$1315,DataRegularSeason20242025!$B$3:$B$1315, "&lt;=" &amp; CP$1, DataRegularSeason20242025!$D$3:$D$1315, $A8)+SUMIFS(DataRegularSeason20242025!$AB$3:$AB$1315,DataRegularSeason20242025!$B$3:$B$1315, "&lt;=" &amp; CP$1, DataRegularSeason20242025!$E$3:$E$1315, $A8)</f>
        <v>4</v>
      </c>
      <c r="CQ8">
        <f>SUMIFS(DataRegularSeason20242025!$AA$3:$AA$1315,DataRegularSeason20242025!$B$3:$B$1315, "&lt;=" &amp; CQ$1, DataRegularSeason20242025!$D$3:$D$1315, $A8)+SUMIFS(DataRegularSeason20242025!$AB$3:$AB$1315,DataRegularSeason20242025!$B$3:$B$1315, "&lt;=" &amp; CQ$1, DataRegularSeason20242025!$E$3:$E$1315, $A8)</f>
        <v>4</v>
      </c>
      <c r="CR8">
        <f>SUMIFS(DataRegularSeason20242025!$AA$3:$AA$1315,DataRegularSeason20242025!$B$3:$B$1315, "&lt;=" &amp; CR$1, DataRegularSeason20242025!$D$3:$D$1315, $A8)+SUMIFS(DataRegularSeason20242025!$AB$3:$AB$1315,DataRegularSeason20242025!$B$3:$B$1315, "&lt;=" &amp; CR$1, DataRegularSeason20242025!$E$3:$E$1315, $A8)</f>
        <v>4</v>
      </c>
      <c r="CS8">
        <f>SUMIFS(DataRegularSeason20242025!$AA$3:$AA$1315,DataRegularSeason20242025!$B$3:$B$1315, "&lt;=" &amp; CS$1, DataRegularSeason20242025!$D$3:$D$1315, $A8)+SUMIFS(DataRegularSeason20242025!$AB$3:$AB$1315,DataRegularSeason20242025!$B$3:$B$1315, "&lt;=" &amp; CS$1, DataRegularSeason20242025!$E$3:$E$1315, $A8)</f>
        <v>4</v>
      </c>
      <c r="CT8">
        <f>SUMIFS(DataRegularSeason20242025!$AA$3:$AA$1315,DataRegularSeason20242025!$B$3:$B$1315, "&lt;=" &amp; CT$1, DataRegularSeason20242025!$D$3:$D$1315, $A8)+SUMIFS(DataRegularSeason20242025!$AB$3:$AB$1315,DataRegularSeason20242025!$B$3:$B$1315, "&lt;=" &amp; CT$1, DataRegularSeason20242025!$E$3:$E$1315, $A8)</f>
        <v>4</v>
      </c>
      <c r="CU8">
        <f>SUMIFS(DataRegularSeason20242025!$AA$3:$AA$1315,DataRegularSeason20242025!$B$3:$B$1315, "&lt;=" &amp; CU$1, DataRegularSeason20242025!$D$3:$D$1315, $A8)+SUMIFS(DataRegularSeason20242025!$AB$3:$AB$1315,DataRegularSeason20242025!$B$3:$B$1315, "&lt;=" &amp; CU$1, DataRegularSeason20242025!$E$3:$E$1315, $A8)</f>
        <v>4</v>
      </c>
      <c r="CV8">
        <f>SUMIFS(DataRegularSeason20242025!$AA$3:$AA$1315,DataRegularSeason20242025!$B$3:$B$1315, "&lt;=" &amp; CV$1, DataRegularSeason20242025!$D$3:$D$1315, $A8)+SUMIFS(DataRegularSeason20242025!$AB$3:$AB$1315,DataRegularSeason20242025!$B$3:$B$1315, "&lt;=" &amp; CV$1, DataRegularSeason20242025!$E$3:$E$1315, $A8)</f>
        <v>4</v>
      </c>
      <c r="CW8">
        <f>SUMIFS(DataRegularSeason20242025!$AA$3:$AA$1315,DataRegularSeason20242025!$B$3:$B$1315, "&lt;=" &amp; CW$1, DataRegularSeason20242025!$D$3:$D$1315, $A8)+SUMIFS(DataRegularSeason20242025!$AB$3:$AB$1315,DataRegularSeason20242025!$B$3:$B$1315, "&lt;=" &amp; CW$1, DataRegularSeason20242025!$E$3:$E$1315, $A8)</f>
        <v>4</v>
      </c>
      <c r="CX8">
        <f>SUMIFS(DataRegularSeason20242025!$AA$3:$AA$1315,DataRegularSeason20242025!$B$3:$B$1315, "&lt;=" &amp; CX$1, DataRegularSeason20242025!$D$3:$D$1315, $A8)+SUMIFS(DataRegularSeason20242025!$AB$3:$AB$1315,DataRegularSeason20242025!$B$3:$B$1315, "&lt;=" &amp; CX$1, DataRegularSeason20242025!$E$3:$E$1315, $A8)</f>
        <v>4</v>
      </c>
      <c r="CY8">
        <f>SUMIFS(DataRegularSeason20242025!$AA$3:$AA$1315,DataRegularSeason20242025!$B$3:$B$1315, "&lt;=" &amp; CY$1, DataRegularSeason20242025!$D$3:$D$1315, $A8)+SUMIFS(DataRegularSeason20242025!$AB$3:$AB$1315,DataRegularSeason20242025!$B$3:$B$1315, "&lt;=" &amp; CY$1, DataRegularSeason20242025!$E$3:$E$1315, $A8)</f>
        <v>4</v>
      </c>
      <c r="CZ8">
        <f>SUMIFS(DataRegularSeason20242025!$AA$3:$AA$1315,DataRegularSeason20242025!$B$3:$B$1315, "&lt;=" &amp; CZ$1, DataRegularSeason20242025!$D$3:$D$1315, $A8)+SUMIFS(DataRegularSeason20242025!$AB$3:$AB$1315,DataRegularSeason20242025!$B$3:$B$1315, "&lt;=" &amp; CZ$1, DataRegularSeason20242025!$E$3:$E$1315, $A8)</f>
        <v>4</v>
      </c>
      <c r="DA8">
        <f>SUMIFS(DataRegularSeason20242025!$AA$3:$AA$1315,DataRegularSeason20242025!$B$3:$B$1315, "&lt;=" &amp; DA$1, DataRegularSeason20242025!$D$3:$D$1315, $A8)+SUMIFS(DataRegularSeason20242025!$AB$3:$AB$1315,DataRegularSeason20242025!$B$3:$B$1315, "&lt;=" &amp; DA$1, DataRegularSeason20242025!$E$3:$E$1315, $A8)</f>
        <v>4</v>
      </c>
      <c r="DB8">
        <f>SUMIFS(DataRegularSeason20242025!$AA$3:$AA$1315,DataRegularSeason20242025!$B$3:$B$1315, "&lt;=" &amp; DB$1, DataRegularSeason20242025!$D$3:$D$1315, $A8)+SUMIFS(DataRegularSeason20242025!$AB$3:$AB$1315,DataRegularSeason20242025!$B$3:$B$1315, "&lt;=" &amp; DB$1, DataRegularSeason20242025!$E$3:$E$1315, $A8)</f>
        <v>4</v>
      </c>
      <c r="DC8">
        <f>SUMIFS(DataRegularSeason20242025!$AA$3:$AA$1315,DataRegularSeason20242025!$B$3:$B$1315, "&lt;=" &amp; DC$1, DataRegularSeason20242025!$D$3:$D$1315, $A8)+SUMIFS(DataRegularSeason20242025!$AB$3:$AB$1315,DataRegularSeason20242025!$B$3:$B$1315, "&lt;=" &amp; DC$1, DataRegularSeason20242025!$E$3:$E$1315, $A8)</f>
        <v>4</v>
      </c>
      <c r="DD8">
        <f>SUMIFS(DataRegularSeason20242025!$AA$3:$AA$1315,DataRegularSeason20242025!$B$3:$B$1315, "&lt;=" &amp; DD$1, DataRegularSeason20242025!$D$3:$D$1315, $A8)+SUMIFS(DataRegularSeason20242025!$AB$3:$AB$1315,DataRegularSeason20242025!$B$3:$B$1315, "&lt;=" &amp; DD$1, DataRegularSeason20242025!$E$3:$E$1315, $A8)</f>
        <v>4</v>
      </c>
      <c r="DE8">
        <f>SUMIFS(DataRegularSeason20242025!$AA$3:$AA$1315,DataRegularSeason20242025!$B$3:$B$1315, "&lt;=" &amp; DE$1, DataRegularSeason20242025!$D$3:$D$1315, $A8)+SUMIFS(DataRegularSeason20242025!$AB$3:$AB$1315,DataRegularSeason20242025!$B$3:$B$1315, "&lt;=" &amp; DE$1, DataRegularSeason20242025!$E$3:$E$1315, $A8)</f>
        <v>4</v>
      </c>
      <c r="DF8">
        <f>SUMIFS(DataRegularSeason20242025!$AA$3:$AA$1315,DataRegularSeason20242025!$B$3:$B$1315, "&lt;=" &amp; DF$1, DataRegularSeason20242025!$D$3:$D$1315, $A8)+SUMIFS(DataRegularSeason20242025!$AB$3:$AB$1315,DataRegularSeason20242025!$B$3:$B$1315, "&lt;=" &amp; DF$1, DataRegularSeason20242025!$E$3:$E$1315, $A8)</f>
        <v>4</v>
      </c>
      <c r="DG8">
        <f>SUMIFS(DataRegularSeason20242025!$AA$3:$AA$1315,DataRegularSeason20242025!$B$3:$B$1315, "&lt;=" &amp; DG$1, DataRegularSeason20242025!$D$3:$D$1315, $A8)+SUMIFS(DataRegularSeason20242025!$AB$3:$AB$1315,DataRegularSeason20242025!$B$3:$B$1315, "&lt;=" &amp; DG$1, DataRegularSeason20242025!$E$3:$E$1315, $A8)</f>
        <v>4</v>
      </c>
      <c r="DH8">
        <f>SUMIFS(DataRegularSeason20242025!$AA$3:$AA$1315,DataRegularSeason20242025!$B$3:$B$1315, "&lt;=" &amp; DH$1, DataRegularSeason20242025!$D$3:$D$1315, $A8)+SUMIFS(DataRegularSeason20242025!$AB$3:$AB$1315,DataRegularSeason20242025!$B$3:$B$1315, "&lt;=" &amp; DH$1, DataRegularSeason20242025!$E$3:$E$1315, $A8)</f>
        <v>4</v>
      </c>
      <c r="DI8">
        <f>SUMIFS(DataRegularSeason20242025!$AA$3:$AA$1315,DataRegularSeason20242025!$B$3:$B$1315, "&lt;=" &amp; DI$1, DataRegularSeason20242025!$D$3:$D$1315, $A8)+SUMIFS(DataRegularSeason20242025!$AB$3:$AB$1315,DataRegularSeason20242025!$B$3:$B$1315, "&lt;=" &amp; DI$1, DataRegularSeason20242025!$E$3:$E$1315, $A8)</f>
        <v>4</v>
      </c>
      <c r="DJ8">
        <f>SUMIFS(DataRegularSeason20242025!$AA$3:$AA$1315,DataRegularSeason20242025!$B$3:$B$1315, "&lt;=" &amp; DJ$1, DataRegularSeason20242025!$D$3:$D$1315, $A8)+SUMIFS(DataRegularSeason20242025!$AB$3:$AB$1315,DataRegularSeason20242025!$B$3:$B$1315, "&lt;=" &amp; DJ$1, DataRegularSeason20242025!$E$3:$E$1315, $A8)</f>
        <v>4</v>
      </c>
      <c r="DK8">
        <f>SUMIFS(DataRegularSeason20242025!$AA$3:$AA$1315,DataRegularSeason20242025!$B$3:$B$1315, "&lt;=" &amp; DK$1, DataRegularSeason20242025!$D$3:$D$1315, $A8)+SUMIFS(DataRegularSeason20242025!$AB$3:$AB$1315,DataRegularSeason20242025!$B$3:$B$1315, "&lt;=" &amp; DK$1, DataRegularSeason20242025!$E$3:$E$1315, $A8)</f>
        <v>4</v>
      </c>
      <c r="DL8">
        <f>SUMIFS(DataRegularSeason20242025!$AA$3:$AA$1315,DataRegularSeason20242025!$B$3:$B$1315, "&lt;=" &amp; DL$1, DataRegularSeason20242025!$D$3:$D$1315, $A8)+SUMIFS(DataRegularSeason20242025!$AB$3:$AB$1315,DataRegularSeason20242025!$B$3:$B$1315, "&lt;=" &amp; DL$1, DataRegularSeason20242025!$E$3:$E$1315, $A8)</f>
        <v>4</v>
      </c>
      <c r="DM8">
        <f>SUMIFS(DataRegularSeason20242025!$AA$3:$AA$1315,DataRegularSeason20242025!$B$3:$B$1315, "&lt;=" &amp; DM$1, DataRegularSeason20242025!$D$3:$D$1315, $A8)+SUMIFS(DataRegularSeason20242025!$AB$3:$AB$1315,DataRegularSeason20242025!$B$3:$B$1315, "&lt;=" &amp; DM$1, DataRegularSeason20242025!$E$3:$E$1315, $A8)</f>
        <v>4</v>
      </c>
      <c r="DN8">
        <f>SUMIFS(DataRegularSeason20242025!$AA$3:$AA$1315,DataRegularSeason20242025!$B$3:$B$1315, "&lt;=" &amp; DN$1, DataRegularSeason20242025!$D$3:$D$1315, $A8)+SUMIFS(DataRegularSeason20242025!$AB$3:$AB$1315,DataRegularSeason20242025!$B$3:$B$1315, "&lt;=" &amp; DN$1, DataRegularSeason20242025!$E$3:$E$1315, $A8)</f>
        <v>4</v>
      </c>
      <c r="DO8">
        <f>SUMIFS(DataRegularSeason20242025!$AA$3:$AA$1315,DataRegularSeason20242025!$B$3:$B$1315, "&lt;=" &amp; DO$1, DataRegularSeason20242025!$D$3:$D$1315, $A8)+SUMIFS(DataRegularSeason20242025!$AB$3:$AB$1315,DataRegularSeason20242025!$B$3:$B$1315, "&lt;=" &amp; DO$1, DataRegularSeason20242025!$E$3:$E$1315, $A8)</f>
        <v>4</v>
      </c>
      <c r="DP8">
        <f>SUMIFS(DataRegularSeason20242025!$AA$3:$AA$1315,DataRegularSeason20242025!$B$3:$B$1315, "&lt;=" &amp; DP$1, DataRegularSeason20242025!$D$3:$D$1315, $A8)+SUMIFS(DataRegularSeason20242025!$AB$3:$AB$1315,DataRegularSeason20242025!$B$3:$B$1315, "&lt;=" &amp; DP$1, DataRegularSeason20242025!$E$3:$E$1315, $A8)</f>
        <v>4</v>
      </c>
      <c r="DQ8">
        <f>SUMIFS(DataRegularSeason20242025!$AA$3:$AA$1315,DataRegularSeason20242025!$B$3:$B$1315, "&lt;=" &amp; DQ$1, DataRegularSeason20242025!$D$3:$D$1315, $A8)+SUMIFS(DataRegularSeason20242025!$AB$3:$AB$1315,DataRegularSeason20242025!$B$3:$B$1315, "&lt;=" &amp; DQ$1, DataRegularSeason20242025!$E$3:$E$1315, $A8)</f>
        <v>4</v>
      </c>
      <c r="DR8">
        <f>SUMIFS(DataRegularSeason20242025!$AA$3:$AA$1315,DataRegularSeason20242025!$B$3:$B$1315, "&lt;=" &amp; DR$1, DataRegularSeason20242025!$D$3:$D$1315, $A8)+SUMIFS(DataRegularSeason20242025!$AB$3:$AB$1315,DataRegularSeason20242025!$B$3:$B$1315, "&lt;=" &amp; DR$1, DataRegularSeason20242025!$E$3:$E$1315, $A8)</f>
        <v>4</v>
      </c>
      <c r="DS8">
        <f>SUMIFS(DataRegularSeason20242025!$AA$3:$AA$1315,DataRegularSeason20242025!$B$3:$B$1315, "&lt;=" &amp; DS$1, DataRegularSeason20242025!$D$3:$D$1315, $A8)+SUMIFS(DataRegularSeason20242025!$AB$3:$AB$1315,DataRegularSeason20242025!$B$3:$B$1315, "&lt;=" &amp; DS$1, DataRegularSeason20242025!$E$3:$E$1315, $A8)</f>
        <v>4</v>
      </c>
      <c r="DT8">
        <f>SUMIFS(DataRegularSeason20242025!$AA$3:$AA$1315,DataRegularSeason20242025!$B$3:$B$1315, "&lt;=" &amp; DT$1, DataRegularSeason20242025!$D$3:$D$1315, $A8)+SUMIFS(DataRegularSeason20242025!$AB$3:$AB$1315,DataRegularSeason20242025!$B$3:$B$1315, "&lt;=" &amp; DT$1, DataRegularSeason20242025!$E$3:$E$1315, $A8)</f>
        <v>4</v>
      </c>
      <c r="DU8">
        <f>SUMIFS(DataRegularSeason20242025!$AA$3:$AA$1315,DataRegularSeason20242025!$B$3:$B$1315, "&lt;=" &amp; DU$1, DataRegularSeason20242025!$D$3:$D$1315, $A8)+SUMIFS(DataRegularSeason20242025!$AB$3:$AB$1315,DataRegularSeason20242025!$B$3:$B$1315, "&lt;=" &amp; DU$1, DataRegularSeason20242025!$E$3:$E$1315, $A8)</f>
        <v>4</v>
      </c>
      <c r="DV8">
        <f>SUMIFS(DataRegularSeason20242025!$AA$3:$AA$1315,DataRegularSeason20242025!$B$3:$B$1315, "&lt;=" &amp; DV$1, DataRegularSeason20242025!$D$3:$D$1315, $A8)+SUMIFS(DataRegularSeason20242025!$AB$3:$AB$1315,DataRegularSeason20242025!$B$3:$B$1315, "&lt;=" &amp; DV$1, DataRegularSeason20242025!$E$3:$E$1315, $A8)</f>
        <v>4</v>
      </c>
      <c r="DW8">
        <f>SUMIFS(DataRegularSeason20242025!$AA$3:$AA$1315,DataRegularSeason20242025!$B$3:$B$1315, "&lt;=" &amp; DW$1, DataRegularSeason20242025!$D$3:$D$1315, $A8)+SUMIFS(DataRegularSeason20242025!$AB$3:$AB$1315,DataRegularSeason20242025!$B$3:$B$1315, "&lt;=" &amp; DW$1, DataRegularSeason20242025!$E$3:$E$1315, $A8)</f>
        <v>4</v>
      </c>
      <c r="DX8">
        <f>SUMIFS(DataRegularSeason20242025!$AA$3:$AA$1315,DataRegularSeason20242025!$B$3:$B$1315, "&lt;=" &amp; DX$1, DataRegularSeason20242025!$D$3:$D$1315, $A8)+SUMIFS(DataRegularSeason20242025!$AB$3:$AB$1315,DataRegularSeason20242025!$B$3:$B$1315, "&lt;=" &amp; DX$1, DataRegularSeason20242025!$E$3:$E$1315, $A8)</f>
        <v>4</v>
      </c>
      <c r="DY8">
        <f>SUMIFS(DataRegularSeason20242025!$AA$3:$AA$1315,DataRegularSeason20242025!$B$3:$B$1315, "&lt;=" &amp; DY$1, DataRegularSeason20242025!$D$3:$D$1315, $A8)+SUMIFS(DataRegularSeason20242025!$AB$3:$AB$1315,DataRegularSeason20242025!$B$3:$B$1315, "&lt;=" &amp; DY$1, DataRegularSeason20242025!$E$3:$E$1315, $A8)</f>
        <v>4</v>
      </c>
      <c r="DZ8">
        <f>SUMIFS(DataRegularSeason20242025!$AA$3:$AA$1315,DataRegularSeason20242025!$B$3:$B$1315, "&lt;=" &amp; DZ$1, DataRegularSeason20242025!$D$3:$D$1315, $A8)+SUMIFS(DataRegularSeason20242025!$AB$3:$AB$1315,DataRegularSeason20242025!$B$3:$B$1315, "&lt;=" &amp; DZ$1, DataRegularSeason20242025!$E$3:$E$1315, $A8)</f>
        <v>4</v>
      </c>
      <c r="EA8">
        <f>SUMIFS(DataRegularSeason20242025!$AA$3:$AA$1315,DataRegularSeason20242025!$B$3:$B$1315, "&lt;=" &amp; EA$1, DataRegularSeason20242025!$D$3:$D$1315, $A8)+SUMIFS(DataRegularSeason20242025!$AB$3:$AB$1315,DataRegularSeason20242025!$B$3:$B$1315, "&lt;=" &amp; EA$1, DataRegularSeason20242025!$E$3:$E$1315, $A8)</f>
        <v>4</v>
      </c>
      <c r="EB8">
        <f>SUMIFS(DataRegularSeason20242025!$AA$3:$AA$1315,DataRegularSeason20242025!$B$3:$B$1315, "&lt;=" &amp; EB$1, DataRegularSeason20242025!$D$3:$D$1315, $A8)+SUMIFS(DataRegularSeason20242025!$AB$3:$AB$1315,DataRegularSeason20242025!$B$3:$B$1315, "&lt;=" &amp; EB$1, DataRegularSeason20242025!$E$3:$E$1315, $A8)</f>
        <v>4</v>
      </c>
      <c r="EC8">
        <f>SUMIFS(DataRegularSeason20242025!$AA$3:$AA$1315,DataRegularSeason20242025!$B$3:$B$1315, "&lt;=" &amp; EC$1, DataRegularSeason20242025!$D$3:$D$1315, $A8)+SUMIFS(DataRegularSeason20242025!$AB$3:$AB$1315,DataRegularSeason20242025!$B$3:$B$1315, "&lt;=" &amp; EC$1, DataRegularSeason20242025!$E$3:$E$1315, $A8)</f>
        <v>4</v>
      </c>
      <c r="ED8">
        <f>SUMIFS(DataRegularSeason20242025!$AA$3:$AA$1315,DataRegularSeason20242025!$B$3:$B$1315, "&lt;=" &amp; ED$1, DataRegularSeason20242025!$D$3:$D$1315, $A8)+SUMIFS(DataRegularSeason20242025!$AB$3:$AB$1315,DataRegularSeason20242025!$B$3:$B$1315, "&lt;=" &amp; ED$1, DataRegularSeason20242025!$E$3:$E$1315, $A8)</f>
        <v>4</v>
      </c>
      <c r="EE8">
        <f>SUMIFS(DataRegularSeason20242025!$AA$3:$AA$1315,DataRegularSeason20242025!$B$3:$B$1315, "&lt;=" &amp; EE$1, DataRegularSeason20242025!$D$3:$D$1315, $A8)+SUMIFS(DataRegularSeason20242025!$AB$3:$AB$1315,DataRegularSeason20242025!$B$3:$B$1315, "&lt;=" &amp; EE$1, DataRegularSeason20242025!$E$3:$E$1315, $A8)</f>
        <v>4</v>
      </c>
      <c r="EF8">
        <f>SUMIFS(DataRegularSeason20242025!$AA$3:$AA$1315,DataRegularSeason20242025!$B$3:$B$1315, "&lt;=" &amp; EF$1, DataRegularSeason20242025!$D$3:$D$1315, $A8)+SUMIFS(DataRegularSeason20242025!$AB$3:$AB$1315,DataRegularSeason20242025!$B$3:$B$1315, "&lt;=" &amp; EF$1, DataRegularSeason20242025!$E$3:$E$1315, $A8)</f>
        <v>4</v>
      </c>
      <c r="EG8">
        <f>SUMIFS(DataRegularSeason20242025!$AA$3:$AA$1315,DataRegularSeason20242025!$B$3:$B$1315, "&lt;=" &amp; EG$1, DataRegularSeason20242025!$D$3:$D$1315, $A8)+SUMIFS(DataRegularSeason20242025!$AB$3:$AB$1315,DataRegularSeason20242025!$B$3:$B$1315, "&lt;=" &amp; EG$1, DataRegularSeason20242025!$E$3:$E$1315, $A8)</f>
        <v>4</v>
      </c>
      <c r="EH8">
        <f>SUMIFS(DataRegularSeason20242025!$AA$3:$AA$1315,DataRegularSeason20242025!$B$3:$B$1315, "&lt;=" &amp; EH$1, DataRegularSeason20242025!$D$3:$D$1315, $A8)+SUMIFS(DataRegularSeason20242025!$AB$3:$AB$1315,DataRegularSeason20242025!$B$3:$B$1315, "&lt;=" &amp; EH$1, DataRegularSeason20242025!$E$3:$E$1315, $A8)</f>
        <v>4</v>
      </c>
      <c r="EI8">
        <f>SUMIFS(DataRegularSeason20242025!$AA$3:$AA$1315,DataRegularSeason20242025!$B$3:$B$1315, "&lt;=" &amp; EI$1, DataRegularSeason20242025!$D$3:$D$1315, $A8)+SUMIFS(DataRegularSeason20242025!$AB$3:$AB$1315,DataRegularSeason20242025!$B$3:$B$1315, "&lt;=" &amp; EI$1, DataRegularSeason20242025!$E$3:$E$1315, $A8)</f>
        <v>4</v>
      </c>
      <c r="EJ8">
        <f>SUMIFS(DataRegularSeason20242025!$AA$3:$AA$1315,DataRegularSeason20242025!$B$3:$B$1315, "&lt;=" &amp; EJ$1, DataRegularSeason20242025!$D$3:$D$1315, $A8)+SUMIFS(DataRegularSeason20242025!$AB$3:$AB$1315,DataRegularSeason20242025!$B$3:$B$1315, "&lt;=" &amp; EJ$1, DataRegularSeason20242025!$E$3:$E$1315, $A8)</f>
        <v>4</v>
      </c>
      <c r="EK8">
        <f>SUMIFS(DataRegularSeason20242025!$AA$3:$AA$1315,DataRegularSeason20242025!$B$3:$B$1315, "&lt;=" &amp; EK$1, DataRegularSeason20242025!$D$3:$D$1315, $A8)+SUMIFS(DataRegularSeason20242025!$AB$3:$AB$1315,DataRegularSeason20242025!$B$3:$B$1315, "&lt;=" &amp; EK$1, DataRegularSeason20242025!$E$3:$E$1315, $A8)</f>
        <v>4</v>
      </c>
      <c r="EL8">
        <f>SUMIFS(DataRegularSeason20242025!$AA$3:$AA$1315,DataRegularSeason20242025!$B$3:$B$1315, "&lt;=" &amp; EL$1, DataRegularSeason20242025!$D$3:$D$1315, $A8)+SUMIFS(DataRegularSeason20242025!$AB$3:$AB$1315,DataRegularSeason20242025!$B$3:$B$1315, "&lt;=" &amp; EL$1, DataRegularSeason20242025!$E$3:$E$1315, $A8)</f>
        <v>4</v>
      </c>
      <c r="EM8">
        <f>SUMIFS(DataRegularSeason20242025!$AA$3:$AA$1315,DataRegularSeason20242025!$B$3:$B$1315, "&lt;=" &amp; EM$1, DataRegularSeason20242025!$D$3:$D$1315, $A8)+SUMIFS(DataRegularSeason20242025!$AB$3:$AB$1315,DataRegularSeason20242025!$B$3:$B$1315, "&lt;=" &amp; EM$1, DataRegularSeason20242025!$E$3:$E$1315, $A8)</f>
        <v>4</v>
      </c>
      <c r="EN8">
        <f>SUMIFS(DataRegularSeason20242025!$AA$3:$AA$1315,DataRegularSeason20242025!$B$3:$B$1315, "&lt;=" &amp; EN$1, DataRegularSeason20242025!$D$3:$D$1315, $A8)+SUMIFS(DataRegularSeason20242025!$AB$3:$AB$1315,DataRegularSeason20242025!$B$3:$B$1315, "&lt;=" &amp; EN$1, DataRegularSeason20242025!$E$3:$E$1315, $A8)</f>
        <v>4</v>
      </c>
      <c r="EO8">
        <f>SUMIFS(DataRegularSeason20242025!$AA$3:$AA$1315,DataRegularSeason20242025!$B$3:$B$1315, "&lt;=" &amp; EO$1, DataRegularSeason20242025!$D$3:$D$1315, $A8)+SUMIFS(DataRegularSeason20242025!$AB$3:$AB$1315,DataRegularSeason20242025!$B$3:$B$1315, "&lt;=" &amp; EO$1, DataRegularSeason20242025!$E$3:$E$1315, $A8)</f>
        <v>4</v>
      </c>
      <c r="EP8">
        <f>SUMIFS(DataRegularSeason20242025!$AA$3:$AA$1315,DataRegularSeason20242025!$B$3:$B$1315, "&lt;=" &amp; EP$1, DataRegularSeason20242025!$D$3:$D$1315, $A8)+SUMIFS(DataRegularSeason20242025!$AB$3:$AB$1315,DataRegularSeason20242025!$B$3:$B$1315, "&lt;=" &amp; EP$1, DataRegularSeason20242025!$E$3:$E$1315, $A8)</f>
        <v>4</v>
      </c>
      <c r="EQ8">
        <f>SUMIFS(DataRegularSeason20242025!$AA$3:$AA$1315,DataRegularSeason20242025!$B$3:$B$1315, "&lt;=" &amp; EQ$1, DataRegularSeason20242025!$D$3:$D$1315, $A8)+SUMIFS(DataRegularSeason20242025!$AB$3:$AB$1315,DataRegularSeason20242025!$B$3:$B$1315, "&lt;=" &amp; EQ$1, DataRegularSeason20242025!$E$3:$E$1315, $A8)</f>
        <v>4</v>
      </c>
      <c r="ER8">
        <f>SUMIFS(DataRegularSeason20242025!$AA$3:$AA$1315,DataRegularSeason20242025!$B$3:$B$1315, "&lt;=" &amp; ER$1, DataRegularSeason20242025!$D$3:$D$1315, $A8)+SUMIFS(DataRegularSeason20242025!$AB$3:$AB$1315,DataRegularSeason20242025!$B$3:$B$1315, "&lt;=" &amp; ER$1, DataRegularSeason20242025!$E$3:$E$1315, $A8)</f>
        <v>4</v>
      </c>
      <c r="ES8">
        <f>SUMIFS(DataRegularSeason20242025!$AA$3:$AA$1315,DataRegularSeason20242025!$B$3:$B$1315, "&lt;=" &amp; ES$1, DataRegularSeason20242025!$D$3:$D$1315, $A8)+SUMIFS(DataRegularSeason20242025!$AB$3:$AB$1315,DataRegularSeason20242025!$B$3:$B$1315, "&lt;=" &amp; ES$1, DataRegularSeason20242025!$E$3:$E$1315, $A8)</f>
        <v>4</v>
      </c>
      <c r="ET8">
        <f>SUMIFS(DataRegularSeason20242025!$AA$3:$AA$1315,DataRegularSeason20242025!$B$3:$B$1315, "&lt;=" &amp; ET$1, DataRegularSeason20242025!$D$3:$D$1315, $A8)+SUMIFS(DataRegularSeason20242025!$AB$3:$AB$1315,DataRegularSeason20242025!$B$3:$B$1315, "&lt;=" &amp; ET$1, DataRegularSeason20242025!$E$3:$E$1315, $A8)</f>
        <v>4</v>
      </c>
      <c r="EU8">
        <f>SUMIFS(DataRegularSeason20242025!$AA$3:$AA$1315,DataRegularSeason20242025!$B$3:$B$1315, "&lt;=" &amp; EU$1, DataRegularSeason20242025!$D$3:$D$1315, $A8)+SUMIFS(DataRegularSeason20242025!$AB$3:$AB$1315,DataRegularSeason20242025!$B$3:$B$1315, "&lt;=" &amp; EU$1, DataRegularSeason20242025!$E$3:$E$1315, $A8)</f>
        <v>4</v>
      </c>
      <c r="EV8">
        <f>SUMIFS(DataRegularSeason20242025!$AA$3:$AA$1315,DataRegularSeason20242025!$B$3:$B$1315, "&lt;=" &amp; EV$1, DataRegularSeason20242025!$D$3:$D$1315, $A8)+SUMIFS(DataRegularSeason20242025!$AB$3:$AB$1315,DataRegularSeason20242025!$B$3:$B$1315, "&lt;=" &amp; EV$1, DataRegularSeason20242025!$E$3:$E$1315, $A8)</f>
        <v>4</v>
      </c>
      <c r="EW8">
        <f>SUMIFS(DataRegularSeason20242025!$AA$3:$AA$1315,DataRegularSeason20242025!$B$3:$B$1315, "&lt;=" &amp; EW$1, DataRegularSeason20242025!$D$3:$D$1315, $A8)+SUMIFS(DataRegularSeason20242025!$AB$3:$AB$1315,DataRegularSeason20242025!$B$3:$B$1315, "&lt;=" &amp; EW$1, DataRegularSeason20242025!$E$3:$E$1315, $A8)</f>
        <v>4</v>
      </c>
      <c r="EX8">
        <f>SUMIFS(DataRegularSeason20242025!$AA$3:$AA$1315,DataRegularSeason20242025!$B$3:$B$1315, "&lt;=" &amp; EX$1, DataRegularSeason20242025!$D$3:$D$1315, $A8)+SUMIFS(DataRegularSeason20242025!$AB$3:$AB$1315,DataRegularSeason20242025!$B$3:$B$1315, "&lt;=" &amp; EX$1, DataRegularSeason20242025!$E$3:$E$1315, $A8)</f>
        <v>4</v>
      </c>
      <c r="EY8">
        <f>SUMIFS(DataRegularSeason20242025!$AA$3:$AA$1315,DataRegularSeason20242025!$B$3:$B$1315, "&lt;=" &amp; EY$1, DataRegularSeason20242025!$D$3:$D$1315, $A8)+SUMIFS(DataRegularSeason20242025!$AB$3:$AB$1315,DataRegularSeason20242025!$B$3:$B$1315, "&lt;=" &amp; EY$1, DataRegularSeason20242025!$E$3:$E$1315, $A8)</f>
        <v>4</v>
      </c>
      <c r="EZ8">
        <f>SUMIFS(DataRegularSeason20242025!$AA$3:$AA$1315,DataRegularSeason20242025!$B$3:$B$1315, "&lt;=" &amp; EZ$1, DataRegularSeason20242025!$D$3:$D$1315, $A8)+SUMIFS(DataRegularSeason20242025!$AB$3:$AB$1315,DataRegularSeason20242025!$B$3:$B$1315, "&lt;=" &amp; EZ$1, DataRegularSeason20242025!$E$3:$E$1315, $A8)</f>
        <v>4</v>
      </c>
      <c r="FA8">
        <f>SUMIFS(DataRegularSeason20242025!$AA$3:$AA$1315,DataRegularSeason20242025!$B$3:$B$1315, "&lt;=" &amp; FA$1, DataRegularSeason20242025!$D$3:$D$1315, $A8)+SUMIFS(DataRegularSeason20242025!$AB$3:$AB$1315,DataRegularSeason20242025!$B$3:$B$1315, "&lt;=" &amp; FA$1, DataRegularSeason20242025!$E$3:$E$1315, $A8)</f>
        <v>4</v>
      </c>
      <c r="FB8">
        <f>SUMIFS(DataRegularSeason20242025!$AA$3:$AA$1315,DataRegularSeason20242025!$B$3:$B$1315, "&lt;=" &amp; FB$1, DataRegularSeason20242025!$D$3:$D$1315, $A8)+SUMIFS(DataRegularSeason20242025!$AB$3:$AB$1315,DataRegularSeason20242025!$B$3:$B$1315, "&lt;=" &amp; FB$1, DataRegularSeason20242025!$E$3:$E$1315, $A8)</f>
        <v>4</v>
      </c>
      <c r="FC8">
        <f>SUMIFS(DataRegularSeason20242025!$AA$3:$AA$1315,DataRegularSeason20242025!$B$3:$B$1315, "&lt;=" &amp; FC$1, DataRegularSeason20242025!$D$3:$D$1315, $A8)+SUMIFS(DataRegularSeason20242025!$AB$3:$AB$1315,DataRegularSeason20242025!$B$3:$B$1315, "&lt;=" &amp; FC$1, DataRegularSeason20242025!$E$3:$E$1315, $A8)</f>
        <v>4</v>
      </c>
      <c r="FD8">
        <f>SUMIFS(DataRegularSeason20242025!$AA$3:$AA$1315,DataRegularSeason20242025!$B$3:$B$1315, "&lt;=" &amp; FD$1, DataRegularSeason20242025!$D$3:$D$1315, $A8)+SUMIFS(DataRegularSeason20242025!$AB$3:$AB$1315,DataRegularSeason20242025!$B$3:$B$1315, "&lt;=" &amp; FD$1, DataRegularSeason20242025!$E$3:$E$1315, $A8)</f>
        <v>4</v>
      </c>
      <c r="FE8">
        <f>SUMIFS(DataRegularSeason20242025!$AA$3:$AA$1315,DataRegularSeason20242025!$B$3:$B$1315, "&lt;=" &amp; FE$1, DataRegularSeason20242025!$D$3:$D$1315, $A8)+SUMIFS(DataRegularSeason20242025!$AB$3:$AB$1315,DataRegularSeason20242025!$B$3:$B$1315, "&lt;=" &amp; FE$1, DataRegularSeason20242025!$E$3:$E$1315, $A8)</f>
        <v>4</v>
      </c>
      <c r="FF8">
        <f>SUMIFS(DataRegularSeason20242025!$AA$3:$AA$1315,DataRegularSeason20242025!$B$3:$B$1315, "&lt;=" &amp; FF$1, DataRegularSeason20242025!$D$3:$D$1315, $A8)+SUMIFS(DataRegularSeason20242025!$AB$3:$AB$1315,DataRegularSeason20242025!$B$3:$B$1315, "&lt;=" &amp; FF$1, DataRegularSeason20242025!$E$3:$E$1315, $A8)</f>
        <v>4</v>
      </c>
      <c r="FG8">
        <f>SUMIFS(DataRegularSeason20242025!$AA$3:$AA$1315,DataRegularSeason20242025!$B$3:$B$1315, "&lt;=" &amp; FG$1, DataRegularSeason20242025!$D$3:$D$1315, $A8)+SUMIFS(DataRegularSeason20242025!$AB$3:$AB$1315,DataRegularSeason20242025!$B$3:$B$1315, "&lt;=" &amp; FG$1, DataRegularSeason20242025!$E$3:$E$1315, $A8)</f>
        <v>4</v>
      </c>
      <c r="FH8">
        <f>SUMIFS(DataRegularSeason20242025!$AA$3:$AA$1315,DataRegularSeason20242025!$B$3:$B$1315, "&lt;=" &amp; FH$1, DataRegularSeason20242025!$D$3:$D$1315, $A8)+SUMIFS(DataRegularSeason20242025!$AB$3:$AB$1315,DataRegularSeason20242025!$B$3:$B$1315, "&lt;=" &amp; FH$1, DataRegularSeason20242025!$E$3:$E$1315, $A8)</f>
        <v>4</v>
      </c>
      <c r="FI8">
        <f>SUMIFS(DataRegularSeason20242025!$AA$3:$AA$1315,DataRegularSeason20242025!$B$3:$B$1315, "&lt;=" &amp; FI$1, DataRegularSeason20242025!$D$3:$D$1315, $A8)+SUMIFS(DataRegularSeason20242025!$AB$3:$AB$1315,DataRegularSeason20242025!$B$3:$B$1315, "&lt;=" &amp; FI$1, DataRegularSeason20242025!$E$3:$E$1315, $A8)</f>
        <v>4</v>
      </c>
      <c r="FJ8">
        <f>SUMIFS(DataRegularSeason20242025!$AA$3:$AA$1315,DataRegularSeason20242025!$B$3:$B$1315, "&lt;=" &amp; FJ$1, DataRegularSeason20242025!$D$3:$D$1315, $A8)+SUMIFS(DataRegularSeason20242025!$AB$3:$AB$1315,DataRegularSeason20242025!$B$3:$B$1315, "&lt;=" &amp; FJ$1, DataRegularSeason20242025!$E$3:$E$1315, $A8)</f>
        <v>4</v>
      </c>
      <c r="FK8">
        <f>SUMIFS(DataRegularSeason20242025!$AA$3:$AA$1315,DataRegularSeason20242025!$B$3:$B$1315, "&lt;=" &amp; FK$1, DataRegularSeason20242025!$D$3:$D$1315, $A8)+SUMIFS(DataRegularSeason20242025!$AB$3:$AB$1315,DataRegularSeason20242025!$B$3:$B$1315, "&lt;=" &amp; FK$1, DataRegularSeason20242025!$E$3:$E$1315, $A8)</f>
        <v>4</v>
      </c>
      <c r="FL8">
        <f>SUMIFS(DataRegularSeason20242025!$AA$3:$AA$1315,DataRegularSeason20242025!$B$3:$B$1315, "&lt;=" &amp; FL$1, DataRegularSeason20242025!$D$3:$D$1315, $A8)+SUMIFS(DataRegularSeason20242025!$AB$3:$AB$1315,DataRegularSeason20242025!$B$3:$B$1315, "&lt;=" &amp; FL$1, DataRegularSeason20242025!$E$3:$E$1315, $A8)</f>
        <v>4</v>
      </c>
      <c r="FM8">
        <f>SUMIFS(DataRegularSeason20242025!$AA$3:$AA$1315,DataRegularSeason20242025!$B$3:$B$1315, "&lt;=" &amp; FM$1, DataRegularSeason20242025!$D$3:$D$1315, $A8)+SUMIFS(DataRegularSeason20242025!$AB$3:$AB$1315,DataRegularSeason20242025!$B$3:$B$1315, "&lt;=" &amp; FM$1, DataRegularSeason20242025!$E$3:$E$1315, $A8)</f>
        <v>4</v>
      </c>
      <c r="FN8">
        <f>SUMIFS(DataRegularSeason20242025!$AA$3:$AA$1315,DataRegularSeason20242025!$B$3:$B$1315, "&lt;=" &amp; FN$1, DataRegularSeason20242025!$D$3:$D$1315, $A8)+SUMIFS(DataRegularSeason20242025!$AB$3:$AB$1315,DataRegularSeason20242025!$B$3:$B$1315, "&lt;=" &amp; FN$1, DataRegularSeason20242025!$E$3:$E$1315, $A8)</f>
        <v>4</v>
      </c>
      <c r="FO8">
        <f>SUMIFS(DataRegularSeason20242025!$AA$3:$AA$1315,DataRegularSeason20242025!$B$3:$B$1315, "&lt;=" &amp; FO$1, DataRegularSeason20242025!$D$3:$D$1315, $A8)+SUMIFS(DataRegularSeason20242025!$AB$3:$AB$1315,DataRegularSeason20242025!$B$3:$B$1315, "&lt;=" &amp; FO$1, DataRegularSeason20242025!$E$3:$E$1315, $A8)</f>
        <v>4</v>
      </c>
      <c r="FP8">
        <f>SUMIFS(DataRegularSeason20242025!$AA$3:$AA$1315,DataRegularSeason20242025!$B$3:$B$1315, "&lt;=" &amp; FP$1, DataRegularSeason20242025!$D$3:$D$1315, $A8)+SUMIFS(DataRegularSeason20242025!$AB$3:$AB$1315,DataRegularSeason20242025!$B$3:$B$1315, "&lt;=" &amp; FP$1, DataRegularSeason20242025!$E$3:$E$1315, $A8)</f>
        <v>4</v>
      </c>
      <c r="FQ8">
        <f>SUMIFS(DataRegularSeason20242025!$AA$3:$AA$1315,DataRegularSeason20242025!$B$3:$B$1315, "&lt;=" &amp; FQ$1, DataRegularSeason20242025!$D$3:$D$1315, $A8)+SUMIFS(DataRegularSeason20242025!$AB$3:$AB$1315,DataRegularSeason20242025!$B$3:$B$1315, "&lt;=" &amp; FQ$1, DataRegularSeason20242025!$E$3:$E$1315, $A8)</f>
        <v>4</v>
      </c>
      <c r="FR8">
        <f>SUMIFS(DataRegularSeason20242025!$AA$3:$AA$1315,DataRegularSeason20242025!$B$3:$B$1315, "&lt;=" &amp; FR$1, DataRegularSeason20242025!$D$3:$D$1315, $A8)+SUMIFS(DataRegularSeason20242025!$AB$3:$AB$1315,DataRegularSeason20242025!$B$3:$B$1315, "&lt;=" &amp; FR$1, DataRegularSeason20242025!$E$3:$E$1315, $A8)</f>
        <v>4</v>
      </c>
      <c r="FS8">
        <f>SUMIFS(DataRegularSeason20242025!$AA$3:$AA$1315,DataRegularSeason20242025!$B$3:$B$1315, "&lt;=" &amp; FS$1, DataRegularSeason20242025!$D$3:$D$1315, $A8)+SUMIFS(DataRegularSeason20242025!$AB$3:$AB$1315,DataRegularSeason20242025!$B$3:$B$1315, "&lt;=" &amp; FS$1, DataRegularSeason20242025!$E$3:$E$1315, $A8)</f>
        <v>4</v>
      </c>
      <c r="FT8">
        <f>SUMIFS(DataRegularSeason20242025!$AA$3:$AA$1315,DataRegularSeason20242025!$B$3:$B$1315, "&lt;=" &amp; FT$1, DataRegularSeason20242025!$D$3:$D$1315, $A8)+SUMIFS(DataRegularSeason20242025!$AB$3:$AB$1315,DataRegularSeason20242025!$B$3:$B$1315, "&lt;=" &amp; FT$1, DataRegularSeason20242025!$E$3:$E$1315, $A8)</f>
        <v>4</v>
      </c>
      <c r="FU8">
        <f>SUMIFS(DataRegularSeason20242025!$AA$3:$AA$1315,DataRegularSeason20242025!$B$3:$B$1315, "&lt;=" &amp; FU$1, DataRegularSeason20242025!$D$3:$D$1315, $A8)+SUMIFS(DataRegularSeason20242025!$AB$3:$AB$1315,DataRegularSeason20242025!$B$3:$B$1315, "&lt;=" &amp; FU$1, DataRegularSeason20242025!$E$3:$E$1315, $A8)</f>
        <v>4</v>
      </c>
      <c r="FV8">
        <f>SUMIFS(DataRegularSeason20242025!$AA$3:$AA$1315,DataRegularSeason20242025!$B$3:$B$1315, "&lt;=" &amp; FV$1, DataRegularSeason20242025!$D$3:$D$1315, $A8)+SUMIFS(DataRegularSeason20242025!$AB$3:$AB$1315,DataRegularSeason20242025!$B$3:$B$1315, "&lt;=" &amp; FV$1, DataRegularSeason20242025!$E$3:$E$1315, $A8)</f>
        <v>4</v>
      </c>
      <c r="FW8">
        <f>SUMIFS(DataRegularSeason20242025!$AA$3:$AA$1315,DataRegularSeason20242025!$B$3:$B$1315, "&lt;=" &amp; FW$1, DataRegularSeason20242025!$D$3:$D$1315, $A8)+SUMIFS(DataRegularSeason20242025!$AB$3:$AB$1315,DataRegularSeason20242025!$B$3:$B$1315, "&lt;=" &amp; FW$1, DataRegularSeason20242025!$E$3:$E$1315, $A8)</f>
        <v>4</v>
      </c>
      <c r="FX8">
        <f>SUMIFS(DataRegularSeason20242025!$AA$3:$AA$1315,DataRegularSeason20242025!$B$3:$B$1315, "&lt;=" &amp; FX$1, DataRegularSeason20242025!$D$3:$D$1315, $A8)+SUMIFS(DataRegularSeason20242025!$AB$3:$AB$1315,DataRegularSeason20242025!$B$3:$B$1315, "&lt;=" &amp; FX$1, DataRegularSeason20242025!$E$3:$E$1315, $A8)</f>
        <v>4</v>
      </c>
      <c r="FY8">
        <f>SUMIFS(DataRegularSeason20242025!$AA$3:$AA$1315,DataRegularSeason20242025!$B$3:$B$1315, "&lt;=" &amp; FY$1, DataRegularSeason20242025!$D$3:$D$1315, $A8)+SUMIFS(DataRegularSeason20242025!$AB$3:$AB$1315,DataRegularSeason20242025!$B$3:$B$1315, "&lt;=" &amp; FY$1, DataRegularSeason20242025!$E$3:$E$1315, $A8)</f>
        <v>4</v>
      </c>
      <c r="FZ8">
        <f>SUMIFS(DataRegularSeason20242025!$AA$3:$AA$1315,DataRegularSeason20242025!$B$3:$B$1315, "&lt;=" &amp; FZ$1, DataRegularSeason20242025!$D$3:$D$1315, $A8)+SUMIFS(DataRegularSeason20242025!$AB$3:$AB$1315,DataRegularSeason20242025!$B$3:$B$1315, "&lt;=" &amp; FZ$1, DataRegularSeason20242025!$E$3:$E$1315, $A8)</f>
        <v>4</v>
      </c>
      <c r="GA8">
        <f>SUMIFS(DataRegularSeason20242025!$AA$3:$AA$1315,DataRegularSeason20242025!$B$3:$B$1315, "&lt;=" &amp; GA$1, DataRegularSeason20242025!$D$3:$D$1315, $A8)+SUMIFS(DataRegularSeason20242025!$AB$3:$AB$1315,DataRegularSeason20242025!$B$3:$B$1315, "&lt;=" &amp; GA$1, DataRegularSeason20242025!$E$3:$E$1315, $A8)</f>
        <v>4</v>
      </c>
      <c r="GB8">
        <f>SUMIFS(DataRegularSeason20242025!$AA$3:$AA$1315,DataRegularSeason20242025!$B$3:$B$1315, "&lt;=" &amp; GB$1, DataRegularSeason20242025!$D$3:$D$1315, $A8)+SUMIFS(DataRegularSeason20242025!$AB$3:$AB$1315,DataRegularSeason20242025!$B$3:$B$1315, "&lt;=" &amp; GB$1, DataRegularSeason20242025!$E$3:$E$1315, $A8)</f>
        <v>4</v>
      </c>
      <c r="GC8">
        <f>SUMIFS(DataRegularSeason20242025!$AA$3:$AA$1315,DataRegularSeason20242025!$B$3:$B$1315, "&lt;=" &amp; GC$1, DataRegularSeason20242025!$D$3:$D$1315, $A8)+SUMIFS(DataRegularSeason20242025!$AB$3:$AB$1315,DataRegularSeason20242025!$B$3:$B$1315, "&lt;=" &amp; GC$1, DataRegularSeason20242025!$E$3:$E$1315, $A8)</f>
        <v>4</v>
      </c>
      <c r="GD8">
        <f>SUMIFS(DataRegularSeason20242025!$AA$3:$AA$1315,DataRegularSeason20242025!$B$3:$B$1315, "&lt;=" &amp; GD$1, DataRegularSeason20242025!$D$3:$D$1315, $A8)+SUMIFS(DataRegularSeason20242025!$AB$3:$AB$1315,DataRegularSeason20242025!$B$3:$B$1315, "&lt;=" &amp; GD$1, DataRegularSeason20242025!$E$3:$E$1315, $A8)</f>
        <v>4</v>
      </c>
      <c r="GE8">
        <f>SUMIFS(DataRegularSeason20242025!$AA$3:$AA$1315,DataRegularSeason20242025!$B$3:$B$1315, "&lt;=" &amp; GE$1, DataRegularSeason20242025!$D$3:$D$1315, $A8)+SUMIFS(DataRegularSeason20242025!$AB$3:$AB$1315,DataRegularSeason20242025!$B$3:$B$1315, "&lt;=" &amp; GE$1, DataRegularSeason20242025!$E$3:$E$1315, $A8)</f>
        <v>4</v>
      </c>
      <c r="GF8">
        <f>SUMIFS(DataRegularSeason20242025!$AA$3:$AA$1315,DataRegularSeason20242025!$B$3:$B$1315, "&lt;=" &amp; GF$1, DataRegularSeason20242025!$D$3:$D$1315, $A8)+SUMIFS(DataRegularSeason20242025!$AB$3:$AB$1315,DataRegularSeason20242025!$B$3:$B$1315, "&lt;=" &amp; GF$1, DataRegularSeason20242025!$E$3:$E$1315, $A8)</f>
        <v>4</v>
      </c>
      <c r="GG8">
        <f>SUMIFS(DataRegularSeason20242025!$AA$3:$AA$1315,DataRegularSeason20242025!$B$3:$B$1315, "&lt;=" &amp; GG$1, DataRegularSeason20242025!$D$3:$D$1315, $A8)+SUMIFS(DataRegularSeason20242025!$AB$3:$AB$1315,DataRegularSeason20242025!$B$3:$B$1315, "&lt;=" &amp; GG$1, DataRegularSeason20242025!$E$3:$E$1315, $A8)</f>
        <v>4</v>
      </c>
      <c r="GH8">
        <f>SUMIFS(DataRegularSeason20242025!$AA$3:$AA$1315,DataRegularSeason20242025!$B$3:$B$1315, "&lt;=" &amp; GH$1, DataRegularSeason20242025!$D$3:$D$1315, $A8)+SUMIFS(DataRegularSeason20242025!$AB$3:$AB$1315,DataRegularSeason20242025!$B$3:$B$1315, "&lt;=" &amp; GH$1, DataRegularSeason20242025!$E$3:$E$1315, $A8)</f>
        <v>4</v>
      </c>
      <c r="GI8">
        <f>SUMIFS(DataRegularSeason20242025!$AA$3:$AA$1315,DataRegularSeason20242025!$B$3:$B$1315, "&lt;=" &amp; GI$1, DataRegularSeason20242025!$D$3:$D$1315, $A8)+SUMIFS(DataRegularSeason20242025!$AB$3:$AB$1315,DataRegularSeason20242025!$B$3:$B$1315, "&lt;=" &amp; GI$1, DataRegularSeason20242025!$E$3:$E$1315, $A8)</f>
        <v>4</v>
      </c>
      <c r="GJ8">
        <f>SUMIFS(DataRegularSeason20242025!$AA$3:$AA$1315,DataRegularSeason20242025!$B$3:$B$1315, "&lt;=" &amp; GJ$1, DataRegularSeason20242025!$D$3:$D$1315, $A8)+SUMIFS(DataRegularSeason20242025!$AB$3:$AB$1315,DataRegularSeason20242025!$B$3:$B$1315, "&lt;=" &amp; GJ$1, DataRegularSeason20242025!$E$3:$E$1315, $A8)</f>
        <v>4</v>
      </c>
      <c r="GK8">
        <f>SUMIFS(DataRegularSeason20242025!$AA$3:$AA$1315,DataRegularSeason20242025!$B$3:$B$1315, "&lt;=" &amp; GK$1, DataRegularSeason20242025!$D$3:$D$1315, $A8)+SUMIFS(DataRegularSeason20242025!$AB$3:$AB$1315,DataRegularSeason20242025!$B$3:$B$1315, "&lt;=" &amp; GK$1, DataRegularSeason20242025!$E$3:$E$1315, $A8)</f>
        <v>4</v>
      </c>
      <c r="GL8">
        <f>SUMIFS(DataRegularSeason20242025!$AA$3:$AA$1315,DataRegularSeason20242025!$B$3:$B$1315, "&lt;=" &amp; GL$1, DataRegularSeason20242025!$D$3:$D$1315, $A8)+SUMIFS(DataRegularSeason20242025!$AB$3:$AB$1315,DataRegularSeason20242025!$B$3:$B$1315, "&lt;=" &amp; GL$1, DataRegularSeason20242025!$E$3:$E$1315, $A8)</f>
        <v>4</v>
      </c>
      <c r="GM8">
        <f>SUMIFS(DataRegularSeason20242025!$AA$3:$AA$1315,DataRegularSeason20242025!$B$3:$B$1315, "&lt;=" &amp; GM$1, DataRegularSeason20242025!$D$3:$D$1315, $A8)+SUMIFS(DataRegularSeason20242025!$AB$3:$AB$1315,DataRegularSeason20242025!$B$3:$B$1315, "&lt;=" &amp; GM$1, DataRegularSeason20242025!$E$3:$E$1315, $A8)</f>
        <v>4</v>
      </c>
      <c r="GN8">
        <f>SUMIFS(DataRegularSeason20242025!$AA$3:$AA$1315,DataRegularSeason20242025!$B$3:$B$1315, "&lt;=" &amp; GN$1, DataRegularSeason20242025!$D$3:$D$1315, $A8)+SUMIFS(DataRegularSeason20242025!$AB$3:$AB$1315,DataRegularSeason20242025!$B$3:$B$1315, "&lt;=" &amp; GN$1, DataRegularSeason20242025!$E$3:$E$1315, $A8)</f>
        <v>4</v>
      </c>
      <c r="GO8">
        <f>SUMIFS(DataRegularSeason20242025!$AA$3:$AA$1315,DataRegularSeason20242025!$B$3:$B$1315, "&lt;=" &amp; GO$1, DataRegularSeason20242025!$D$3:$D$1315, $A8)+SUMIFS(DataRegularSeason20242025!$AB$3:$AB$1315,DataRegularSeason20242025!$B$3:$B$1315, "&lt;=" &amp; GO$1, DataRegularSeason20242025!$E$3:$E$1315, $A8)</f>
        <v>4</v>
      </c>
      <c r="GP8">
        <f>SUMIFS(DataRegularSeason20242025!$AA$3:$AA$1315,DataRegularSeason20242025!$B$3:$B$1315, "&lt;=" &amp; GP$1, DataRegularSeason20242025!$D$3:$D$1315, $A8)+SUMIFS(DataRegularSeason20242025!$AB$3:$AB$1315,DataRegularSeason20242025!$B$3:$B$1315, "&lt;=" &amp; GP$1, DataRegularSeason20242025!$E$3:$E$1315, $A8)</f>
        <v>4</v>
      </c>
      <c r="GQ8">
        <f>SUMIFS(DataRegularSeason20242025!$AA$3:$AA$1315,DataRegularSeason20242025!$B$3:$B$1315, "&lt;=" &amp; GQ$1, DataRegularSeason20242025!$D$3:$D$1315, $A8)+SUMIFS(DataRegularSeason20242025!$AB$3:$AB$1315,DataRegularSeason20242025!$B$3:$B$1315, "&lt;=" &amp; GQ$1, DataRegularSeason20242025!$E$3:$E$1315, $A8)</f>
        <v>4</v>
      </c>
      <c r="GR8">
        <f>SUMIFS(DataRegularSeason20242025!$AA$3:$AA$1315,DataRegularSeason20242025!$B$3:$B$1315, "&lt;=" &amp; GR$1, DataRegularSeason20242025!$D$3:$D$1315, $A8)+SUMIFS(DataRegularSeason20242025!$AB$3:$AB$1315,DataRegularSeason20242025!$B$3:$B$1315, "&lt;=" &amp; GR$1, DataRegularSeason20242025!$E$3:$E$1315, $A8)</f>
        <v>4</v>
      </c>
      <c r="GS8">
        <f>SUMIFS(DataRegularSeason20242025!$AA$3:$AA$1315,DataRegularSeason20242025!$B$3:$B$1315, "&lt;=" &amp; GS$1, DataRegularSeason20242025!$D$3:$D$1315, $A8)+SUMIFS(DataRegularSeason20242025!$AB$3:$AB$1315,DataRegularSeason20242025!$B$3:$B$1315, "&lt;=" &amp; GS$1, DataRegularSeason20242025!$E$3:$E$1315, $A8)</f>
        <v>4</v>
      </c>
      <c r="GT8">
        <f>SUMIFS(DataRegularSeason20242025!$AA$3:$AA$1315,DataRegularSeason20242025!$B$3:$B$1315, "&lt;=" &amp; GT$1, DataRegularSeason20242025!$D$3:$D$1315, $A8)+SUMIFS(DataRegularSeason20242025!$AB$3:$AB$1315,DataRegularSeason20242025!$B$3:$B$1315, "&lt;=" &amp; GT$1, DataRegularSeason20242025!$E$3:$E$1315, $A8)</f>
        <v>4</v>
      </c>
      <c r="GU8">
        <f>SUMIFS(DataRegularSeason20242025!$AA$3:$AA$1315,DataRegularSeason20242025!$B$3:$B$1315, "&lt;=" &amp; GU$1, DataRegularSeason20242025!$D$3:$D$1315, $A8)+SUMIFS(DataRegularSeason20242025!$AB$3:$AB$1315,DataRegularSeason20242025!$B$3:$B$1315, "&lt;=" &amp; GU$1, DataRegularSeason20242025!$E$3:$E$1315, $A8)</f>
        <v>4</v>
      </c>
    </row>
    <row r="9" spans="1:275" x14ac:dyDescent="0.25">
      <c r="A9" t="s">
        <v>28</v>
      </c>
      <c r="B9" t="s">
        <v>91</v>
      </c>
      <c r="C9" s="105" t="s">
        <v>74</v>
      </c>
      <c r="D9">
        <f>SUMIFS(DataRegularSeason20242025!$AA$3:$AA$1315,DataRegularSeason20242025!$B$3:$B$1315, "&lt;=" &amp; D$1, DataRegularSeason20242025!$D$3:$D$1315, $A9)+SUMIFS(DataRegularSeason20242025!$AB$3:$AB$1315,DataRegularSeason20242025!$B$3:$B$1315, "&lt;=" &amp; D$1, DataRegularSeason20242025!$E$3:$E$1315, $A9)</f>
        <v>0</v>
      </c>
      <c r="E9">
        <f>SUMIFS(DataRegularSeason20242025!$AA$3:$AA$1315,DataRegularSeason20242025!$B$3:$B$1315, "&lt;=" &amp; E$1, DataRegularSeason20242025!$D$3:$D$1315, $A9)+SUMIFS(DataRegularSeason20242025!$AB$3:$AB$1315,DataRegularSeason20242025!$B$3:$B$1315, "&lt;=" &amp; E$1, DataRegularSeason20242025!$E$3:$E$1315, $A9)</f>
        <v>0</v>
      </c>
      <c r="F9">
        <f>SUMIFS(DataRegularSeason20242025!$AA$3:$AA$1315,DataRegularSeason20242025!$B$3:$B$1315, "&lt;=" &amp; F$1, DataRegularSeason20242025!$D$3:$D$1315, $A9)+SUMIFS(DataRegularSeason20242025!$AB$3:$AB$1315,DataRegularSeason20242025!$B$3:$B$1315, "&lt;=" &amp; F$1, DataRegularSeason20242025!$E$3:$E$1315, $A9)</f>
        <v>0</v>
      </c>
      <c r="G9">
        <f>SUMIFS(DataRegularSeason20242025!$AA$3:$AA$1315,DataRegularSeason20242025!$B$3:$B$1315, "&lt;=" &amp; G$1, DataRegularSeason20242025!$D$3:$D$1315, $A9)+SUMIFS(DataRegularSeason20242025!$AB$3:$AB$1315,DataRegularSeason20242025!$B$3:$B$1315, "&lt;=" &amp; G$1, DataRegularSeason20242025!$E$3:$E$1315, $A9)</f>
        <v>0</v>
      </c>
      <c r="H9">
        <f>SUMIFS(DataRegularSeason20242025!$AA$3:$AA$1315,DataRegularSeason20242025!$B$3:$B$1315, "&lt;=" &amp; H$1, DataRegularSeason20242025!$D$3:$D$1315, $A9)+SUMIFS(DataRegularSeason20242025!$AB$3:$AB$1315,DataRegularSeason20242025!$B$3:$B$1315, "&lt;=" &amp; H$1, DataRegularSeason20242025!$E$3:$E$1315, $A9)</f>
        <v>0</v>
      </c>
      <c r="I9">
        <f>SUMIFS(DataRegularSeason20242025!$AA$3:$AA$1315,DataRegularSeason20242025!$B$3:$B$1315, "&lt;=" &amp; I$1, DataRegularSeason20242025!$D$3:$D$1315, $A9)+SUMIFS(DataRegularSeason20242025!$AB$3:$AB$1315,DataRegularSeason20242025!$B$3:$B$1315, "&lt;=" &amp; I$1, DataRegularSeason20242025!$E$3:$E$1315, $A9)</f>
        <v>0</v>
      </c>
      <c r="J9">
        <f>SUMIFS(DataRegularSeason20242025!$AA$3:$AA$1315,DataRegularSeason20242025!$B$3:$B$1315, "&lt;=" &amp; J$1, DataRegularSeason20242025!$D$3:$D$1315, $A9)+SUMIFS(DataRegularSeason20242025!$AB$3:$AB$1315,DataRegularSeason20242025!$B$3:$B$1315, "&lt;=" &amp; J$1, DataRegularSeason20242025!$E$3:$E$1315, $A9)</f>
        <v>0</v>
      </c>
      <c r="K9">
        <f>SUMIFS(DataRegularSeason20242025!$AA$3:$AA$1315,DataRegularSeason20242025!$B$3:$B$1315, "&lt;=" &amp; K$1, DataRegularSeason20242025!$D$3:$D$1315, $A9)+SUMIFS(DataRegularSeason20242025!$AB$3:$AB$1315,DataRegularSeason20242025!$B$3:$B$1315, "&lt;=" &amp; K$1, DataRegularSeason20242025!$E$3:$E$1315, $A9)</f>
        <v>0</v>
      </c>
      <c r="L9">
        <f>SUMIFS(DataRegularSeason20242025!$AA$3:$AA$1315,DataRegularSeason20242025!$B$3:$B$1315, "&lt;=" &amp; L$1, DataRegularSeason20242025!$D$3:$D$1315, $A9)+SUMIFS(DataRegularSeason20242025!$AB$3:$AB$1315,DataRegularSeason20242025!$B$3:$B$1315, "&lt;=" &amp; L$1, DataRegularSeason20242025!$E$3:$E$1315, $A9)</f>
        <v>0</v>
      </c>
      <c r="M9">
        <f>SUMIFS(DataRegularSeason20242025!$AA$3:$AA$1315,DataRegularSeason20242025!$B$3:$B$1315, "&lt;=" &amp; M$1, DataRegularSeason20242025!$D$3:$D$1315, $A9)+SUMIFS(DataRegularSeason20242025!$AB$3:$AB$1315,DataRegularSeason20242025!$B$3:$B$1315, "&lt;=" &amp; M$1, DataRegularSeason20242025!$E$3:$E$1315, $A9)</f>
        <v>0</v>
      </c>
      <c r="N9">
        <f>SUMIFS(DataRegularSeason20242025!$AA$3:$AA$1315,DataRegularSeason20242025!$B$3:$B$1315, "&lt;=" &amp; N$1, DataRegularSeason20242025!$D$3:$D$1315, $A9)+SUMIFS(DataRegularSeason20242025!$AB$3:$AB$1315,DataRegularSeason20242025!$B$3:$B$1315, "&lt;=" &amp; N$1, DataRegularSeason20242025!$E$3:$E$1315, $A9)</f>
        <v>0</v>
      </c>
      <c r="O9">
        <f>SUMIFS(DataRegularSeason20242025!$AA$3:$AA$1315,DataRegularSeason20242025!$B$3:$B$1315, "&lt;=" &amp; O$1, DataRegularSeason20242025!$D$3:$D$1315, $A9)+SUMIFS(DataRegularSeason20242025!$AB$3:$AB$1315,DataRegularSeason20242025!$B$3:$B$1315, "&lt;=" &amp; O$1, DataRegularSeason20242025!$E$3:$E$1315, $A9)</f>
        <v>0</v>
      </c>
      <c r="P9">
        <f>SUMIFS(DataRegularSeason20242025!$AA$3:$AA$1315,DataRegularSeason20242025!$B$3:$B$1315, "&lt;=" &amp; P$1, DataRegularSeason20242025!$D$3:$D$1315, $A9)+SUMIFS(DataRegularSeason20242025!$AB$3:$AB$1315,DataRegularSeason20242025!$B$3:$B$1315, "&lt;=" &amp; P$1, DataRegularSeason20242025!$E$3:$E$1315, $A9)</f>
        <v>2</v>
      </c>
      <c r="Q9">
        <f>SUMIFS(DataRegularSeason20242025!$AA$3:$AA$1315,DataRegularSeason20242025!$B$3:$B$1315, "&lt;=" &amp; Q$1, DataRegularSeason20242025!$D$3:$D$1315, $A9)+SUMIFS(DataRegularSeason20242025!$AB$3:$AB$1315,DataRegularSeason20242025!$B$3:$B$1315, "&lt;=" &amp; Q$1, DataRegularSeason20242025!$E$3:$E$1315, $A9)</f>
        <v>2</v>
      </c>
      <c r="R9">
        <f>SUMIFS(DataRegularSeason20242025!$AA$3:$AA$1315,DataRegularSeason20242025!$B$3:$B$1315, "&lt;=" &amp; R$1, DataRegularSeason20242025!$D$3:$D$1315, $A9)+SUMIFS(DataRegularSeason20242025!$AB$3:$AB$1315,DataRegularSeason20242025!$B$3:$B$1315, "&lt;=" &amp; R$1, DataRegularSeason20242025!$E$3:$E$1315, $A9)</f>
        <v>2</v>
      </c>
      <c r="S9">
        <f>SUMIFS(DataRegularSeason20242025!$AA$3:$AA$1315,DataRegularSeason20242025!$B$3:$B$1315, "&lt;=" &amp; S$1, DataRegularSeason20242025!$D$3:$D$1315, $A9)+SUMIFS(DataRegularSeason20242025!$AB$3:$AB$1315,DataRegularSeason20242025!$B$3:$B$1315, "&lt;=" &amp; S$1, DataRegularSeason20242025!$E$3:$E$1315, $A9)</f>
        <v>4</v>
      </c>
      <c r="T9">
        <f>SUMIFS(DataRegularSeason20242025!$AA$3:$AA$1315,DataRegularSeason20242025!$B$3:$B$1315, "&lt;=" &amp; T$1, DataRegularSeason20242025!$D$3:$D$1315, $A9)+SUMIFS(DataRegularSeason20242025!$AB$3:$AB$1315,DataRegularSeason20242025!$B$3:$B$1315, "&lt;=" &amp; T$1, DataRegularSeason20242025!$E$3:$E$1315, $A9)</f>
        <v>4</v>
      </c>
      <c r="U9">
        <f>SUMIFS(DataRegularSeason20242025!$AA$3:$AA$1315,DataRegularSeason20242025!$B$3:$B$1315, "&lt;=" &amp; U$1, DataRegularSeason20242025!$D$3:$D$1315, $A9)+SUMIFS(DataRegularSeason20242025!$AB$3:$AB$1315,DataRegularSeason20242025!$B$3:$B$1315, "&lt;=" &amp; U$1, DataRegularSeason20242025!$E$3:$E$1315, $A9)</f>
        <v>4</v>
      </c>
      <c r="V9">
        <f>SUMIFS(DataRegularSeason20242025!$AA$3:$AA$1315,DataRegularSeason20242025!$B$3:$B$1315, "&lt;=" &amp; V$1, DataRegularSeason20242025!$D$3:$D$1315, $A9)+SUMIFS(DataRegularSeason20242025!$AB$3:$AB$1315,DataRegularSeason20242025!$B$3:$B$1315, "&lt;=" &amp; V$1, DataRegularSeason20242025!$E$3:$E$1315, $A9)</f>
        <v>4</v>
      </c>
      <c r="W9">
        <f>SUMIFS(DataRegularSeason20242025!$AA$3:$AA$1315,DataRegularSeason20242025!$B$3:$B$1315, "&lt;=" &amp; W$1, DataRegularSeason20242025!$D$3:$D$1315, $A9)+SUMIFS(DataRegularSeason20242025!$AB$3:$AB$1315,DataRegularSeason20242025!$B$3:$B$1315, "&lt;=" &amp; W$1, DataRegularSeason20242025!$E$3:$E$1315, $A9)</f>
        <v>4</v>
      </c>
      <c r="X9">
        <f>SUMIFS(DataRegularSeason20242025!$AA$3:$AA$1315,DataRegularSeason20242025!$B$3:$B$1315, "&lt;=" &amp; X$1, DataRegularSeason20242025!$D$3:$D$1315, $A9)+SUMIFS(DataRegularSeason20242025!$AB$3:$AB$1315,DataRegularSeason20242025!$B$3:$B$1315, "&lt;=" &amp; X$1, DataRegularSeason20242025!$E$3:$E$1315, $A9)</f>
        <v>4</v>
      </c>
      <c r="Y9">
        <f>SUMIFS(DataRegularSeason20242025!$AA$3:$AA$1315,DataRegularSeason20242025!$B$3:$B$1315, "&lt;=" &amp; Y$1, DataRegularSeason20242025!$D$3:$D$1315, $A9)+SUMIFS(DataRegularSeason20242025!$AB$3:$AB$1315,DataRegularSeason20242025!$B$3:$B$1315, "&lt;=" &amp; Y$1, DataRegularSeason20242025!$E$3:$E$1315, $A9)</f>
        <v>4</v>
      </c>
      <c r="Z9">
        <f>SUMIFS(DataRegularSeason20242025!$AA$3:$AA$1315,DataRegularSeason20242025!$B$3:$B$1315, "&lt;=" &amp; Z$1, DataRegularSeason20242025!$D$3:$D$1315, $A9)+SUMIFS(DataRegularSeason20242025!$AB$3:$AB$1315,DataRegularSeason20242025!$B$3:$B$1315, "&lt;=" &amp; Z$1, DataRegularSeason20242025!$E$3:$E$1315, $A9)</f>
        <v>4</v>
      </c>
      <c r="AA9">
        <f>SUMIFS(DataRegularSeason20242025!$AA$3:$AA$1315,DataRegularSeason20242025!$B$3:$B$1315, "&lt;=" &amp; AA$1, DataRegularSeason20242025!$D$3:$D$1315, $A9)+SUMIFS(DataRegularSeason20242025!$AB$3:$AB$1315,DataRegularSeason20242025!$B$3:$B$1315, "&lt;=" &amp; AA$1, DataRegularSeason20242025!$E$3:$E$1315, $A9)</f>
        <v>4</v>
      </c>
      <c r="AB9">
        <f>SUMIFS(DataRegularSeason20242025!$AA$3:$AA$1315,DataRegularSeason20242025!$B$3:$B$1315, "&lt;=" &amp; AB$1, DataRegularSeason20242025!$D$3:$D$1315, $A9)+SUMIFS(DataRegularSeason20242025!$AB$3:$AB$1315,DataRegularSeason20242025!$B$3:$B$1315, "&lt;=" &amp; AB$1, DataRegularSeason20242025!$E$3:$E$1315, $A9)</f>
        <v>4</v>
      </c>
      <c r="AC9">
        <f>SUMIFS(DataRegularSeason20242025!$AA$3:$AA$1315,DataRegularSeason20242025!$B$3:$B$1315, "&lt;=" &amp; AC$1, DataRegularSeason20242025!$D$3:$D$1315, $A9)+SUMIFS(DataRegularSeason20242025!$AB$3:$AB$1315,DataRegularSeason20242025!$B$3:$B$1315, "&lt;=" &amp; AC$1, DataRegularSeason20242025!$E$3:$E$1315, $A9)</f>
        <v>4</v>
      </c>
      <c r="AD9">
        <f>SUMIFS(DataRegularSeason20242025!$AA$3:$AA$1315,DataRegularSeason20242025!$B$3:$B$1315, "&lt;=" &amp; AD$1, DataRegularSeason20242025!$D$3:$D$1315, $A9)+SUMIFS(DataRegularSeason20242025!$AB$3:$AB$1315,DataRegularSeason20242025!$B$3:$B$1315, "&lt;=" &amp; AD$1, DataRegularSeason20242025!$E$3:$E$1315, $A9)</f>
        <v>4</v>
      </c>
      <c r="AE9">
        <f>SUMIFS(DataRegularSeason20242025!$AA$3:$AA$1315,DataRegularSeason20242025!$B$3:$B$1315, "&lt;=" &amp; AE$1, DataRegularSeason20242025!$D$3:$D$1315, $A9)+SUMIFS(DataRegularSeason20242025!$AB$3:$AB$1315,DataRegularSeason20242025!$B$3:$B$1315, "&lt;=" &amp; AE$1, DataRegularSeason20242025!$E$3:$E$1315, $A9)</f>
        <v>4</v>
      </c>
      <c r="AF9">
        <f>SUMIFS(DataRegularSeason20242025!$AA$3:$AA$1315,DataRegularSeason20242025!$B$3:$B$1315, "&lt;=" &amp; AF$1, DataRegularSeason20242025!$D$3:$D$1315, $A9)+SUMIFS(DataRegularSeason20242025!$AB$3:$AB$1315,DataRegularSeason20242025!$B$3:$B$1315, "&lt;=" &amp; AF$1, DataRegularSeason20242025!$E$3:$E$1315, $A9)</f>
        <v>4</v>
      </c>
      <c r="AG9">
        <f>SUMIFS(DataRegularSeason20242025!$AA$3:$AA$1315,DataRegularSeason20242025!$B$3:$B$1315, "&lt;=" &amp; AG$1, DataRegularSeason20242025!$D$3:$D$1315, $A9)+SUMIFS(DataRegularSeason20242025!$AB$3:$AB$1315,DataRegularSeason20242025!$B$3:$B$1315, "&lt;=" &amp; AG$1, DataRegularSeason20242025!$E$3:$E$1315, $A9)</f>
        <v>4</v>
      </c>
      <c r="AH9">
        <f>SUMIFS(DataRegularSeason20242025!$AA$3:$AA$1315,DataRegularSeason20242025!$B$3:$B$1315, "&lt;=" &amp; AH$1, DataRegularSeason20242025!$D$3:$D$1315, $A9)+SUMIFS(DataRegularSeason20242025!$AB$3:$AB$1315,DataRegularSeason20242025!$B$3:$B$1315, "&lt;=" &amp; AH$1, DataRegularSeason20242025!$E$3:$E$1315, $A9)</f>
        <v>4</v>
      </c>
      <c r="AI9">
        <f>SUMIFS(DataRegularSeason20242025!$AA$3:$AA$1315,DataRegularSeason20242025!$B$3:$B$1315, "&lt;=" &amp; AI$1, DataRegularSeason20242025!$D$3:$D$1315, $A9)+SUMIFS(DataRegularSeason20242025!$AB$3:$AB$1315,DataRegularSeason20242025!$B$3:$B$1315, "&lt;=" &amp; AI$1, DataRegularSeason20242025!$E$3:$E$1315, $A9)</f>
        <v>4</v>
      </c>
      <c r="AJ9">
        <f>SUMIFS(DataRegularSeason20242025!$AA$3:$AA$1315,DataRegularSeason20242025!$B$3:$B$1315, "&lt;=" &amp; AJ$1, DataRegularSeason20242025!$D$3:$D$1315, $A9)+SUMIFS(DataRegularSeason20242025!$AB$3:$AB$1315,DataRegularSeason20242025!$B$3:$B$1315, "&lt;=" &amp; AJ$1, DataRegularSeason20242025!$E$3:$E$1315, $A9)</f>
        <v>4</v>
      </c>
      <c r="AK9">
        <f>SUMIFS(DataRegularSeason20242025!$AA$3:$AA$1315,DataRegularSeason20242025!$B$3:$B$1315, "&lt;=" &amp; AK$1, DataRegularSeason20242025!$D$3:$D$1315, $A9)+SUMIFS(DataRegularSeason20242025!$AB$3:$AB$1315,DataRegularSeason20242025!$B$3:$B$1315, "&lt;=" &amp; AK$1, DataRegularSeason20242025!$E$3:$E$1315, $A9)</f>
        <v>4</v>
      </c>
      <c r="AL9">
        <f>SUMIFS(DataRegularSeason20242025!$AA$3:$AA$1315,DataRegularSeason20242025!$B$3:$B$1315, "&lt;=" &amp; AL$1, DataRegularSeason20242025!$D$3:$D$1315, $A9)+SUMIFS(DataRegularSeason20242025!$AB$3:$AB$1315,DataRegularSeason20242025!$B$3:$B$1315, "&lt;=" &amp; AL$1, DataRegularSeason20242025!$E$3:$E$1315, $A9)</f>
        <v>4</v>
      </c>
      <c r="AM9">
        <f>SUMIFS(DataRegularSeason20242025!$AA$3:$AA$1315,DataRegularSeason20242025!$B$3:$B$1315, "&lt;=" &amp; AM$1, DataRegularSeason20242025!$D$3:$D$1315, $A9)+SUMIFS(DataRegularSeason20242025!$AB$3:$AB$1315,DataRegularSeason20242025!$B$3:$B$1315, "&lt;=" &amp; AM$1, DataRegularSeason20242025!$E$3:$E$1315, $A9)</f>
        <v>4</v>
      </c>
      <c r="AN9">
        <f>SUMIFS(DataRegularSeason20242025!$AA$3:$AA$1315,DataRegularSeason20242025!$B$3:$B$1315, "&lt;=" &amp; AN$1, DataRegularSeason20242025!$D$3:$D$1315, $A9)+SUMIFS(DataRegularSeason20242025!$AB$3:$AB$1315,DataRegularSeason20242025!$B$3:$B$1315, "&lt;=" &amp; AN$1, DataRegularSeason20242025!$E$3:$E$1315, $A9)</f>
        <v>4</v>
      </c>
      <c r="AO9">
        <f>SUMIFS(DataRegularSeason20242025!$AA$3:$AA$1315,DataRegularSeason20242025!$B$3:$B$1315, "&lt;=" &amp; AO$1, DataRegularSeason20242025!$D$3:$D$1315, $A9)+SUMIFS(DataRegularSeason20242025!$AB$3:$AB$1315,DataRegularSeason20242025!$B$3:$B$1315, "&lt;=" &amp; AO$1, DataRegularSeason20242025!$E$3:$E$1315, $A9)</f>
        <v>4</v>
      </c>
      <c r="AP9">
        <f>SUMIFS(DataRegularSeason20242025!$AA$3:$AA$1315,DataRegularSeason20242025!$B$3:$B$1315, "&lt;=" &amp; AP$1, DataRegularSeason20242025!$D$3:$D$1315, $A9)+SUMIFS(DataRegularSeason20242025!$AB$3:$AB$1315,DataRegularSeason20242025!$B$3:$B$1315, "&lt;=" &amp; AP$1, DataRegularSeason20242025!$E$3:$E$1315, $A9)</f>
        <v>4</v>
      </c>
      <c r="AQ9">
        <f>SUMIFS(DataRegularSeason20242025!$AA$3:$AA$1315,DataRegularSeason20242025!$B$3:$B$1315, "&lt;=" &amp; AQ$1, DataRegularSeason20242025!$D$3:$D$1315, $A9)+SUMIFS(DataRegularSeason20242025!$AB$3:$AB$1315,DataRegularSeason20242025!$B$3:$B$1315, "&lt;=" &amp; AQ$1, DataRegularSeason20242025!$E$3:$E$1315, $A9)</f>
        <v>4</v>
      </c>
      <c r="AR9">
        <f>SUMIFS(DataRegularSeason20242025!$AA$3:$AA$1315,DataRegularSeason20242025!$B$3:$B$1315, "&lt;=" &amp; AR$1, DataRegularSeason20242025!$D$3:$D$1315, $A9)+SUMIFS(DataRegularSeason20242025!$AB$3:$AB$1315,DataRegularSeason20242025!$B$3:$B$1315, "&lt;=" &amp; AR$1, DataRegularSeason20242025!$E$3:$E$1315, $A9)</f>
        <v>4</v>
      </c>
      <c r="AS9">
        <f>SUMIFS(DataRegularSeason20242025!$AA$3:$AA$1315,DataRegularSeason20242025!$B$3:$B$1315, "&lt;=" &amp; AS$1, DataRegularSeason20242025!$D$3:$D$1315, $A9)+SUMIFS(DataRegularSeason20242025!$AB$3:$AB$1315,DataRegularSeason20242025!$B$3:$B$1315, "&lt;=" &amp; AS$1, DataRegularSeason20242025!$E$3:$E$1315, $A9)</f>
        <v>4</v>
      </c>
      <c r="AT9">
        <f>SUMIFS(DataRegularSeason20242025!$AA$3:$AA$1315,DataRegularSeason20242025!$B$3:$B$1315, "&lt;=" &amp; AT$1, DataRegularSeason20242025!$D$3:$D$1315, $A9)+SUMIFS(DataRegularSeason20242025!$AB$3:$AB$1315,DataRegularSeason20242025!$B$3:$B$1315, "&lt;=" &amp; AT$1, DataRegularSeason20242025!$E$3:$E$1315, $A9)</f>
        <v>4</v>
      </c>
      <c r="AU9">
        <f>SUMIFS(DataRegularSeason20242025!$AA$3:$AA$1315,DataRegularSeason20242025!$B$3:$B$1315, "&lt;=" &amp; AU$1, DataRegularSeason20242025!$D$3:$D$1315, $A9)+SUMIFS(DataRegularSeason20242025!$AB$3:$AB$1315,DataRegularSeason20242025!$B$3:$B$1315, "&lt;=" &amp; AU$1, DataRegularSeason20242025!$E$3:$E$1315, $A9)</f>
        <v>4</v>
      </c>
      <c r="AV9">
        <f>SUMIFS(DataRegularSeason20242025!$AA$3:$AA$1315,DataRegularSeason20242025!$B$3:$B$1315, "&lt;=" &amp; AV$1, DataRegularSeason20242025!$D$3:$D$1315, $A9)+SUMIFS(DataRegularSeason20242025!$AB$3:$AB$1315,DataRegularSeason20242025!$B$3:$B$1315, "&lt;=" &amp; AV$1, DataRegularSeason20242025!$E$3:$E$1315, $A9)</f>
        <v>4</v>
      </c>
      <c r="AW9">
        <f>SUMIFS(DataRegularSeason20242025!$AA$3:$AA$1315,DataRegularSeason20242025!$B$3:$B$1315, "&lt;=" &amp; AW$1, DataRegularSeason20242025!$D$3:$D$1315, $A9)+SUMIFS(DataRegularSeason20242025!$AB$3:$AB$1315,DataRegularSeason20242025!$B$3:$B$1315, "&lt;=" &amp; AW$1, DataRegularSeason20242025!$E$3:$E$1315, $A9)</f>
        <v>4</v>
      </c>
      <c r="AX9">
        <f>SUMIFS(DataRegularSeason20242025!$AA$3:$AA$1315,DataRegularSeason20242025!$B$3:$B$1315, "&lt;=" &amp; AX$1, DataRegularSeason20242025!$D$3:$D$1315, $A9)+SUMIFS(DataRegularSeason20242025!$AB$3:$AB$1315,DataRegularSeason20242025!$B$3:$B$1315, "&lt;=" &amp; AX$1, DataRegularSeason20242025!$E$3:$E$1315, $A9)</f>
        <v>4</v>
      </c>
      <c r="AY9">
        <f>SUMIFS(DataRegularSeason20242025!$AA$3:$AA$1315,DataRegularSeason20242025!$B$3:$B$1315, "&lt;=" &amp; AY$1, DataRegularSeason20242025!$D$3:$D$1315, $A9)+SUMIFS(DataRegularSeason20242025!$AB$3:$AB$1315,DataRegularSeason20242025!$B$3:$B$1315, "&lt;=" &amp; AY$1, DataRegularSeason20242025!$E$3:$E$1315, $A9)</f>
        <v>4</v>
      </c>
      <c r="AZ9">
        <f>SUMIFS(DataRegularSeason20242025!$AA$3:$AA$1315,DataRegularSeason20242025!$B$3:$B$1315, "&lt;=" &amp; AZ$1, DataRegularSeason20242025!$D$3:$D$1315, $A9)+SUMIFS(DataRegularSeason20242025!$AB$3:$AB$1315,DataRegularSeason20242025!$B$3:$B$1315, "&lt;=" &amp; AZ$1, DataRegularSeason20242025!$E$3:$E$1315, $A9)</f>
        <v>4</v>
      </c>
      <c r="BA9">
        <f>SUMIFS(DataRegularSeason20242025!$AA$3:$AA$1315,DataRegularSeason20242025!$B$3:$B$1315, "&lt;=" &amp; BA$1, DataRegularSeason20242025!$D$3:$D$1315, $A9)+SUMIFS(DataRegularSeason20242025!$AB$3:$AB$1315,DataRegularSeason20242025!$B$3:$B$1315, "&lt;=" &amp; BA$1, DataRegularSeason20242025!$E$3:$E$1315, $A9)</f>
        <v>4</v>
      </c>
      <c r="BB9">
        <f>SUMIFS(DataRegularSeason20242025!$AA$3:$AA$1315,DataRegularSeason20242025!$B$3:$B$1315, "&lt;=" &amp; BB$1, DataRegularSeason20242025!$D$3:$D$1315, $A9)+SUMIFS(DataRegularSeason20242025!$AB$3:$AB$1315,DataRegularSeason20242025!$B$3:$B$1315, "&lt;=" &amp; BB$1, DataRegularSeason20242025!$E$3:$E$1315, $A9)</f>
        <v>4</v>
      </c>
      <c r="BC9">
        <f>SUMIFS(DataRegularSeason20242025!$AA$3:$AA$1315,DataRegularSeason20242025!$B$3:$B$1315, "&lt;=" &amp; BC$1, DataRegularSeason20242025!$D$3:$D$1315, $A9)+SUMIFS(DataRegularSeason20242025!$AB$3:$AB$1315,DataRegularSeason20242025!$B$3:$B$1315, "&lt;=" &amp; BC$1, DataRegularSeason20242025!$E$3:$E$1315, $A9)</f>
        <v>4</v>
      </c>
      <c r="BD9">
        <f>SUMIFS(DataRegularSeason20242025!$AA$3:$AA$1315,DataRegularSeason20242025!$B$3:$B$1315, "&lt;=" &amp; BD$1, DataRegularSeason20242025!$D$3:$D$1315, $A9)+SUMIFS(DataRegularSeason20242025!$AB$3:$AB$1315,DataRegularSeason20242025!$B$3:$B$1315, "&lt;=" &amp; BD$1, DataRegularSeason20242025!$E$3:$E$1315, $A9)</f>
        <v>4</v>
      </c>
      <c r="BE9">
        <f>SUMIFS(DataRegularSeason20242025!$AA$3:$AA$1315,DataRegularSeason20242025!$B$3:$B$1315, "&lt;=" &amp; BE$1, DataRegularSeason20242025!$D$3:$D$1315, $A9)+SUMIFS(DataRegularSeason20242025!$AB$3:$AB$1315,DataRegularSeason20242025!$B$3:$B$1315, "&lt;=" &amp; BE$1, DataRegularSeason20242025!$E$3:$E$1315, $A9)</f>
        <v>4</v>
      </c>
      <c r="BF9">
        <f>SUMIFS(DataRegularSeason20242025!$AA$3:$AA$1315,DataRegularSeason20242025!$B$3:$B$1315, "&lt;=" &amp; BF$1, DataRegularSeason20242025!$D$3:$D$1315, $A9)+SUMIFS(DataRegularSeason20242025!$AB$3:$AB$1315,DataRegularSeason20242025!$B$3:$B$1315, "&lt;=" &amp; BF$1, DataRegularSeason20242025!$E$3:$E$1315, $A9)</f>
        <v>4</v>
      </c>
      <c r="BG9">
        <f>SUMIFS(DataRegularSeason20242025!$AA$3:$AA$1315,DataRegularSeason20242025!$B$3:$B$1315, "&lt;=" &amp; BG$1, DataRegularSeason20242025!$D$3:$D$1315, $A9)+SUMIFS(DataRegularSeason20242025!$AB$3:$AB$1315,DataRegularSeason20242025!$B$3:$B$1315, "&lt;=" &amp; BG$1, DataRegularSeason20242025!$E$3:$E$1315, $A9)</f>
        <v>4</v>
      </c>
      <c r="BH9">
        <f>SUMIFS(DataRegularSeason20242025!$AA$3:$AA$1315,DataRegularSeason20242025!$B$3:$B$1315, "&lt;=" &amp; BH$1, DataRegularSeason20242025!$D$3:$D$1315, $A9)+SUMIFS(DataRegularSeason20242025!$AB$3:$AB$1315,DataRegularSeason20242025!$B$3:$B$1315, "&lt;=" &amp; BH$1, DataRegularSeason20242025!$E$3:$E$1315, $A9)</f>
        <v>4</v>
      </c>
      <c r="BI9">
        <f>SUMIFS(DataRegularSeason20242025!$AA$3:$AA$1315,DataRegularSeason20242025!$B$3:$B$1315, "&lt;=" &amp; BI$1, DataRegularSeason20242025!$D$3:$D$1315, $A9)+SUMIFS(DataRegularSeason20242025!$AB$3:$AB$1315,DataRegularSeason20242025!$B$3:$B$1315, "&lt;=" &amp; BI$1, DataRegularSeason20242025!$E$3:$E$1315, $A9)</f>
        <v>4</v>
      </c>
      <c r="BJ9">
        <f>SUMIFS(DataRegularSeason20242025!$AA$3:$AA$1315,DataRegularSeason20242025!$B$3:$B$1315, "&lt;=" &amp; BJ$1, DataRegularSeason20242025!$D$3:$D$1315, $A9)+SUMIFS(DataRegularSeason20242025!$AB$3:$AB$1315,DataRegularSeason20242025!$B$3:$B$1315, "&lt;=" &amp; BJ$1, DataRegularSeason20242025!$E$3:$E$1315, $A9)</f>
        <v>4</v>
      </c>
      <c r="BK9">
        <f>SUMIFS(DataRegularSeason20242025!$AA$3:$AA$1315,DataRegularSeason20242025!$B$3:$B$1315, "&lt;=" &amp; BK$1, DataRegularSeason20242025!$D$3:$D$1315, $A9)+SUMIFS(DataRegularSeason20242025!$AB$3:$AB$1315,DataRegularSeason20242025!$B$3:$B$1315, "&lt;=" &amp; BK$1, DataRegularSeason20242025!$E$3:$E$1315, $A9)</f>
        <v>4</v>
      </c>
      <c r="BL9">
        <f>SUMIFS(DataRegularSeason20242025!$AA$3:$AA$1315,DataRegularSeason20242025!$B$3:$B$1315, "&lt;=" &amp; BL$1, DataRegularSeason20242025!$D$3:$D$1315, $A9)+SUMIFS(DataRegularSeason20242025!$AB$3:$AB$1315,DataRegularSeason20242025!$B$3:$B$1315, "&lt;=" &amp; BL$1, DataRegularSeason20242025!$E$3:$E$1315, $A9)</f>
        <v>4</v>
      </c>
      <c r="BM9">
        <f>SUMIFS(DataRegularSeason20242025!$AA$3:$AA$1315,DataRegularSeason20242025!$B$3:$B$1315, "&lt;=" &amp; BM$1, DataRegularSeason20242025!$D$3:$D$1315, $A9)+SUMIFS(DataRegularSeason20242025!$AB$3:$AB$1315,DataRegularSeason20242025!$B$3:$B$1315, "&lt;=" &amp; BM$1, DataRegularSeason20242025!$E$3:$E$1315, $A9)</f>
        <v>4</v>
      </c>
      <c r="BN9">
        <f>SUMIFS(DataRegularSeason20242025!$AA$3:$AA$1315,DataRegularSeason20242025!$B$3:$B$1315, "&lt;=" &amp; BN$1, DataRegularSeason20242025!$D$3:$D$1315, $A9)+SUMIFS(DataRegularSeason20242025!$AB$3:$AB$1315,DataRegularSeason20242025!$B$3:$B$1315, "&lt;=" &amp; BN$1, DataRegularSeason20242025!$E$3:$E$1315, $A9)</f>
        <v>4</v>
      </c>
      <c r="BO9">
        <f>SUMIFS(DataRegularSeason20242025!$AA$3:$AA$1315,DataRegularSeason20242025!$B$3:$B$1315, "&lt;=" &amp; BO$1, DataRegularSeason20242025!$D$3:$D$1315, $A9)+SUMIFS(DataRegularSeason20242025!$AB$3:$AB$1315,DataRegularSeason20242025!$B$3:$B$1315, "&lt;=" &amp; BO$1, DataRegularSeason20242025!$E$3:$E$1315, $A9)</f>
        <v>4</v>
      </c>
      <c r="BP9">
        <f>SUMIFS(DataRegularSeason20242025!$AA$3:$AA$1315,DataRegularSeason20242025!$B$3:$B$1315, "&lt;=" &amp; BP$1, DataRegularSeason20242025!$D$3:$D$1315, $A9)+SUMIFS(DataRegularSeason20242025!$AB$3:$AB$1315,DataRegularSeason20242025!$B$3:$B$1315, "&lt;=" &amp; BP$1, DataRegularSeason20242025!$E$3:$E$1315, $A9)</f>
        <v>4</v>
      </c>
      <c r="BQ9">
        <f>SUMIFS(DataRegularSeason20242025!$AA$3:$AA$1315,DataRegularSeason20242025!$B$3:$B$1315, "&lt;=" &amp; BQ$1, DataRegularSeason20242025!$D$3:$D$1315, $A9)+SUMIFS(DataRegularSeason20242025!$AB$3:$AB$1315,DataRegularSeason20242025!$B$3:$B$1315, "&lt;=" &amp; BQ$1, DataRegularSeason20242025!$E$3:$E$1315, $A9)</f>
        <v>4</v>
      </c>
      <c r="BR9">
        <f>SUMIFS(DataRegularSeason20242025!$AA$3:$AA$1315,DataRegularSeason20242025!$B$3:$B$1315, "&lt;=" &amp; BR$1, DataRegularSeason20242025!$D$3:$D$1315, $A9)+SUMIFS(DataRegularSeason20242025!$AB$3:$AB$1315,DataRegularSeason20242025!$B$3:$B$1315, "&lt;=" &amp; BR$1, DataRegularSeason20242025!$E$3:$E$1315, $A9)</f>
        <v>4</v>
      </c>
      <c r="BS9">
        <f>SUMIFS(DataRegularSeason20242025!$AA$3:$AA$1315,DataRegularSeason20242025!$B$3:$B$1315, "&lt;=" &amp; BS$1, DataRegularSeason20242025!$D$3:$D$1315, $A9)+SUMIFS(DataRegularSeason20242025!$AB$3:$AB$1315,DataRegularSeason20242025!$B$3:$B$1315, "&lt;=" &amp; BS$1, DataRegularSeason20242025!$E$3:$E$1315, $A9)</f>
        <v>4</v>
      </c>
      <c r="BT9">
        <f>SUMIFS(DataRegularSeason20242025!$AA$3:$AA$1315,DataRegularSeason20242025!$B$3:$B$1315, "&lt;=" &amp; BT$1, DataRegularSeason20242025!$D$3:$D$1315, $A9)+SUMIFS(DataRegularSeason20242025!$AB$3:$AB$1315,DataRegularSeason20242025!$B$3:$B$1315, "&lt;=" &amp; BT$1, DataRegularSeason20242025!$E$3:$E$1315, $A9)</f>
        <v>4</v>
      </c>
      <c r="BU9">
        <f>SUMIFS(DataRegularSeason20242025!$AA$3:$AA$1315,DataRegularSeason20242025!$B$3:$B$1315, "&lt;=" &amp; BU$1, DataRegularSeason20242025!$D$3:$D$1315, $A9)+SUMIFS(DataRegularSeason20242025!$AB$3:$AB$1315,DataRegularSeason20242025!$B$3:$B$1315, "&lt;=" &amp; BU$1, DataRegularSeason20242025!$E$3:$E$1315, $A9)</f>
        <v>4</v>
      </c>
      <c r="BV9">
        <f>SUMIFS(DataRegularSeason20242025!$AA$3:$AA$1315,DataRegularSeason20242025!$B$3:$B$1315, "&lt;=" &amp; BV$1, DataRegularSeason20242025!$D$3:$D$1315, $A9)+SUMIFS(DataRegularSeason20242025!$AB$3:$AB$1315,DataRegularSeason20242025!$B$3:$B$1315, "&lt;=" &amp; BV$1, DataRegularSeason20242025!$E$3:$E$1315, $A9)</f>
        <v>4</v>
      </c>
      <c r="BW9">
        <f>SUMIFS(DataRegularSeason20242025!$AA$3:$AA$1315,DataRegularSeason20242025!$B$3:$B$1315, "&lt;=" &amp; BW$1, DataRegularSeason20242025!$D$3:$D$1315, $A9)+SUMIFS(DataRegularSeason20242025!$AB$3:$AB$1315,DataRegularSeason20242025!$B$3:$B$1315, "&lt;=" &amp; BW$1, DataRegularSeason20242025!$E$3:$E$1315, $A9)</f>
        <v>4</v>
      </c>
      <c r="BX9">
        <f>SUMIFS(DataRegularSeason20242025!$AA$3:$AA$1315,DataRegularSeason20242025!$B$3:$B$1315, "&lt;=" &amp; BX$1, DataRegularSeason20242025!$D$3:$D$1315, $A9)+SUMIFS(DataRegularSeason20242025!$AB$3:$AB$1315,DataRegularSeason20242025!$B$3:$B$1315, "&lt;=" &amp; BX$1, DataRegularSeason20242025!$E$3:$E$1315, $A9)</f>
        <v>4</v>
      </c>
      <c r="BY9">
        <f>SUMIFS(DataRegularSeason20242025!$AA$3:$AA$1315,DataRegularSeason20242025!$B$3:$B$1315, "&lt;=" &amp; BY$1, DataRegularSeason20242025!$D$3:$D$1315, $A9)+SUMIFS(DataRegularSeason20242025!$AB$3:$AB$1315,DataRegularSeason20242025!$B$3:$B$1315, "&lt;=" &amp; BY$1, DataRegularSeason20242025!$E$3:$E$1315, $A9)</f>
        <v>4</v>
      </c>
      <c r="BZ9">
        <f>SUMIFS(DataRegularSeason20242025!$AA$3:$AA$1315,DataRegularSeason20242025!$B$3:$B$1315, "&lt;=" &amp; BZ$1, DataRegularSeason20242025!$D$3:$D$1315, $A9)+SUMIFS(DataRegularSeason20242025!$AB$3:$AB$1315,DataRegularSeason20242025!$B$3:$B$1315, "&lt;=" &amp; BZ$1, DataRegularSeason20242025!$E$3:$E$1315, $A9)</f>
        <v>4</v>
      </c>
      <c r="CA9">
        <f>SUMIFS(DataRegularSeason20242025!$AA$3:$AA$1315,DataRegularSeason20242025!$B$3:$B$1315, "&lt;=" &amp; CA$1, DataRegularSeason20242025!$D$3:$D$1315, $A9)+SUMIFS(DataRegularSeason20242025!$AB$3:$AB$1315,DataRegularSeason20242025!$B$3:$B$1315, "&lt;=" &amp; CA$1, DataRegularSeason20242025!$E$3:$E$1315, $A9)</f>
        <v>4</v>
      </c>
      <c r="CB9">
        <f>SUMIFS(DataRegularSeason20242025!$AA$3:$AA$1315,DataRegularSeason20242025!$B$3:$B$1315, "&lt;=" &amp; CB$1, DataRegularSeason20242025!$D$3:$D$1315, $A9)+SUMIFS(DataRegularSeason20242025!$AB$3:$AB$1315,DataRegularSeason20242025!$B$3:$B$1315, "&lt;=" &amp; CB$1, DataRegularSeason20242025!$E$3:$E$1315, $A9)</f>
        <v>4</v>
      </c>
      <c r="CC9">
        <f>SUMIFS(DataRegularSeason20242025!$AA$3:$AA$1315,DataRegularSeason20242025!$B$3:$B$1315, "&lt;=" &amp; CC$1, DataRegularSeason20242025!$D$3:$D$1315, $A9)+SUMIFS(DataRegularSeason20242025!$AB$3:$AB$1315,DataRegularSeason20242025!$B$3:$B$1315, "&lt;=" &amp; CC$1, DataRegularSeason20242025!$E$3:$E$1315, $A9)</f>
        <v>4</v>
      </c>
      <c r="CD9">
        <f>SUMIFS(DataRegularSeason20242025!$AA$3:$AA$1315,DataRegularSeason20242025!$B$3:$B$1315, "&lt;=" &amp; CD$1, DataRegularSeason20242025!$D$3:$D$1315, $A9)+SUMIFS(DataRegularSeason20242025!$AB$3:$AB$1315,DataRegularSeason20242025!$B$3:$B$1315, "&lt;=" &amp; CD$1, DataRegularSeason20242025!$E$3:$E$1315, $A9)</f>
        <v>4</v>
      </c>
      <c r="CE9">
        <f>SUMIFS(DataRegularSeason20242025!$AA$3:$AA$1315,DataRegularSeason20242025!$B$3:$B$1315, "&lt;=" &amp; CE$1, DataRegularSeason20242025!$D$3:$D$1315, $A9)+SUMIFS(DataRegularSeason20242025!$AB$3:$AB$1315,DataRegularSeason20242025!$B$3:$B$1315, "&lt;=" &amp; CE$1, DataRegularSeason20242025!$E$3:$E$1315, $A9)</f>
        <v>4</v>
      </c>
      <c r="CF9">
        <f>SUMIFS(DataRegularSeason20242025!$AA$3:$AA$1315,DataRegularSeason20242025!$B$3:$B$1315, "&lt;=" &amp; CF$1, DataRegularSeason20242025!$D$3:$D$1315, $A9)+SUMIFS(DataRegularSeason20242025!$AB$3:$AB$1315,DataRegularSeason20242025!$B$3:$B$1315, "&lt;=" &amp; CF$1, DataRegularSeason20242025!$E$3:$E$1315, $A9)</f>
        <v>4</v>
      </c>
      <c r="CG9">
        <f>SUMIFS(DataRegularSeason20242025!$AA$3:$AA$1315,DataRegularSeason20242025!$B$3:$B$1315, "&lt;=" &amp; CG$1, DataRegularSeason20242025!$D$3:$D$1315, $A9)+SUMIFS(DataRegularSeason20242025!$AB$3:$AB$1315,DataRegularSeason20242025!$B$3:$B$1315, "&lt;=" &amp; CG$1, DataRegularSeason20242025!$E$3:$E$1315, $A9)</f>
        <v>4</v>
      </c>
      <c r="CH9">
        <f>SUMIFS(DataRegularSeason20242025!$AA$3:$AA$1315,DataRegularSeason20242025!$B$3:$B$1315, "&lt;=" &amp; CH$1, DataRegularSeason20242025!$D$3:$D$1315, $A9)+SUMIFS(DataRegularSeason20242025!$AB$3:$AB$1315,DataRegularSeason20242025!$B$3:$B$1315, "&lt;=" &amp; CH$1, DataRegularSeason20242025!$E$3:$E$1315, $A9)</f>
        <v>4</v>
      </c>
      <c r="CI9">
        <f>SUMIFS(DataRegularSeason20242025!$AA$3:$AA$1315,DataRegularSeason20242025!$B$3:$B$1315, "&lt;=" &amp; CI$1, DataRegularSeason20242025!$D$3:$D$1315, $A9)+SUMIFS(DataRegularSeason20242025!$AB$3:$AB$1315,DataRegularSeason20242025!$B$3:$B$1315, "&lt;=" &amp; CI$1, DataRegularSeason20242025!$E$3:$E$1315, $A9)</f>
        <v>4</v>
      </c>
      <c r="CJ9">
        <f>SUMIFS(DataRegularSeason20242025!$AA$3:$AA$1315,DataRegularSeason20242025!$B$3:$B$1315, "&lt;=" &amp; CJ$1, DataRegularSeason20242025!$D$3:$D$1315, $A9)+SUMIFS(DataRegularSeason20242025!$AB$3:$AB$1315,DataRegularSeason20242025!$B$3:$B$1315, "&lt;=" &amp; CJ$1, DataRegularSeason20242025!$E$3:$E$1315, $A9)</f>
        <v>4</v>
      </c>
      <c r="CK9">
        <f>SUMIFS(DataRegularSeason20242025!$AA$3:$AA$1315,DataRegularSeason20242025!$B$3:$B$1315, "&lt;=" &amp; CK$1, DataRegularSeason20242025!$D$3:$D$1315, $A9)+SUMIFS(DataRegularSeason20242025!$AB$3:$AB$1315,DataRegularSeason20242025!$B$3:$B$1315, "&lt;=" &amp; CK$1, DataRegularSeason20242025!$E$3:$E$1315, $A9)</f>
        <v>4</v>
      </c>
      <c r="CL9">
        <f>SUMIFS(DataRegularSeason20242025!$AA$3:$AA$1315,DataRegularSeason20242025!$B$3:$B$1315, "&lt;=" &amp; CL$1, DataRegularSeason20242025!$D$3:$D$1315, $A9)+SUMIFS(DataRegularSeason20242025!$AB$3:$AB$1315,DataRegularSeason20242025!$B$3:$B$1315, "&lt;=" &amp; CL$1, DataRegularSeason20242025!$E$3:$E$1315, $A9)</f>
        <v>4</v>
      </c>
      <c r="CM9">
        <f>SUMIFS(DataRegularSeason20242025!$AA$3:$AA$1315,DataRegularSeason20242025!$B$3:$B$1315, "&lt;=" &amp; CM$1, DataRegularSeason20242025!$D$3:$D$1315, $A9)+SUMIFS(DataRegularSeason20242025!$AB$3:$AB$1315,DataRegularSeason20242025!$B$3:$B$1315, "&lt;=" &amp; CM$1, DataRegularSeason20242025!$E$3:$E$1315, $A9)</f>
        <v>4</v>
      </c>
      <c r="CN9">
        <f>SUMIFS(DataRegularSeason20242025!$AA$3:$AA$1315,DataRegularSeason20242025!$B$3:$B$1315, "&lt;=" &amp; CN$1, DataRegularSeason20242025!$D$3:$D$1315, $A9)+SUMIFS(DataRegularSeason20242025!$AB$3:$AB$1315,DataRegularSeason20242025!$B$3:$B$1315, "&lt;=" &amp; CN$1, DataRegularSeason20242025!$E$3:$E$1315, $A9)</f>
        <v>4</v>
      </c>
      <c r="CO9">
        <f>SUMIFS(DataRegularSeason20242025!$AA$3:$AA$1315,DataRegularSeason20242025!$B$3:$B$1315, "&lt;=" &amp; CO$1, DataRegularSeason20242025!$D$3:$D$1315, $A9)+SUMIFS(DataRegularSeason20242025!$AB$3:$AB$1315,DataRegularSeason20242025!$B$3:$B$1315, "&lt;=" &amp; CO$1, DataRegularSeason20242025!$E$3:$E$1315, $A9)</f>
        <v>4</v>
      </c>
      <c r="CP9">
        <f>SUMIFS(DataRegularSeason20242025!$AA$3:$AA$1315,DataRegularSeason20242025!$B$3:$B$1315, "&lt;=" &amp; CP$1, DataRegularSeason20242025!$D$3:$D$1315, $A9)+SUMIFS(DataRegularSeason20242025!$AB$3:$AB$1315,DataRegularSeason20242025!$B$3:$B$1315, "&lt;=" &amp; CP$1, DataRegularSeason20242025!$E$3:$E$1315, $A9)</f>
        <v>4</v>
      </c>
      <c r="CQ9">
        <f>SUMIFS(DataRegularSeason20242025!$AA$3:$AA$1315,DataRegularSeason20242025!$B$3:$B$1315, "&lt;=" &amp; CQ$1, DataRegularSeason20242025!$D$3:$D$1315, $A9)+SUMIFS(DataRegularSeason20242025!$AB$3:$AB$1315,DataRegularSeason20242025!$B$3:$B$1315, "&lt;=" &amp; CQ$1, DataRegularSeason20242025!$E$3:$E$1315, $A9)</f>
        <v>4</v>
      </c>
      <c r="CR9">
        <f>SUMIFS(DataRegularSeason20242025!$AA$3:$AA$1315,DataRegularSeason20242025!$B$3:$B$1315, "&lt;=" &amp; CR$1, DataRegularSeason20242025!$D$3:$D$1315, $A9)+SUMIFS(DataRegularSeason20242025!$AB$3:$AB$1315,DataRegularSeason20242025!$B$3:$B$1315, "&lt;=" &amp; CR$1, DataRegularSeason20242025!$E$3:$E$1315, $A9)</f>
        <v>4</v>
      </c>
      <c r="CS9">
        <f>SUMIFS(DataRegularSeason20242025!$AA$3:$AA$1315,DataRegularSeason20242025!$B$3:$B$1315, "&lt;=" &amp; CS$1, DataRegularSeason20242025!$D$3:$D$1315, $A9)+SUMIFS(DataRegularSeason20242025!$AB$3:$AB$1315,DataRegularSeason20242025!$B$3:$B$1315, "&lt;=" &amp; CS$1, DataRegularSeason20242025!$E$3:$E$1315, $A9)</f>
        <v>4</v>
      </c>
      <c r="CT9">
        <f>SUMIFS(DataRegularSeason20242025!$AA$3:$AA$1315,DataRegularSeason20242025!$B$3:$B$1315, "&lt;=" &amp; CT$1, DataRegularSeason20242025!$D$3:$D$1315, $A9)+SUMIFS(DataRegularSeason20242025!$AB$3:$AB$1315,DataRegularSeason20242025!$B$3:$B$1315, "&lt;=" &amp; CT$1, DataRegularSeason20242025!$E$3:$E$1315, $A9)</f>
        <v>4</v>
      </c>
      <c r="CU9">
        <f>SUMIFS(DataRegularSeason20242025!$AA$3:$AA$1315,DataRegularSeason20242025!$B$3:$B$1315, "&lt;=" &amp; CU$1, DataRegularSeason20242025!$D$3:$D$1315, $A9)+SUMIFS(DataRegularSeason20242025!$AB$3:$AB$1315,DataRegularSeason20242025!$B$3:$B$1315, "&lt;=" &amp; CU$1, DataRegularSeason20242025!$E$3:$E$1315, $A9)</f>
        <v>4</v>
      </c>
      <c r="CV9">
        <f>SUMIFS(DataRegularSeason20242025!$AA$3:$AA$1315,DataRegularSeason20242025!$B$3:$B$1315, "&lt;=" &amp; CV$1, DataRegularSeason20242025!$D$3:$D$1315, $A9)+SUMIFS(DataRegularSeason20242025!$AB$3:$AB$1315,DataRegularSeason20242025!$B$3:$B$1315, "&lt;=" &amp; CV$1, DataRegularSeason20242025!$E$3:$E$1315, $A9)</f>
        <v>4</v>
      </c>
      <c r="CW9">
        <f>SUMIFS(DataRegularSeason20242025!$AA$3:$AA$1315,DataRegularSeason20242025!$B$3:$B$1315, "&lt;=" &amp; CW$1, DataRegularSeason20242025!$D$3:$D$1315, $A9)+SUMIFS(DataRegularSeason20242025!$AB$3:$AB$1315,DataRegularSeason20242025!$B$3:$B$1315, "&lt;=" &amp; CW$1, DataRegularSeason20242025!$E$3:$E$1315, $A9)</f>
        <v>4</v>
      </c>
      <c r="CX9">
        <f>SUMIFS(DataRegularSeason20242025!$AA$3:$AA$1315,DataRegularSeason20242025!$B$3:$B$1315, "&lt;=" &amp; CX$1, DataRegularSeason20242025!$D$3:$D$1315, $A9)+SUMIFS(DataRegularSeason20242025!$AB$3:$AB$1315,DataRegularSeason20242025!$B$3:$B$1315, "&lt;=" &amp; CX$1, DataRegularSeason20242025!$E$3:$E$1315, $A9)</f>
        <v>4</v>
      </c>
      <c r="CY9">
        <f>SUMIFS(DataRegularSeason20242025!$AA$3:$AA$1315,DataRegularSeason20242025!$B$3:$B$1315, "&lt;=" &amp; CY$1, DataRegularSeason20242025!$D$3:$D$1315, $A9)+SUMIFS(DataRegularSeason20242025!$AB$3:$AB$1315,DataRegularSeason20242025!$B$3:$B$1315, "&lt;=" &amp; CY$1, DataRegularSeason20242025!$E$3:$E$1315, $A9)</f>
        <v>4</v>
      </c>
      <c r="CZ9">
        <f>SUMIFS(DataRegularSeason20242025!$AA$3:$AA$1315,DataRegularSeason20242025!$B$3:$B$1315, "&lt;=" &amp; CZ$1, DataRegularSeason20242025!$D$3:$D$1315, $A9)+SUMIFS(DataRegularSeason20242025!$AB$3:$AB$1315,DataRegularSeason20242025!$B$3:$B$1315, "&lt;=" &amp; CZ$1, DataRegularSeason20242025!$E$3:$E$1315, $A9)</f>
        <v>4</v>
      </c>
      <c r="DA9">
        <f>SUMIFS(DataRegularSeason20242025!$AA$3:$AA$1315,DataRegularSeason20242025!$B$3:$B$1315, "&lt;=" &amp; DA$1, DataRegularSeason20242025!$D$3:$D$1315, $A9)+SUMIFS(DataRegularSeason20242025!$AB$3:$AB$1315,DataRegularSeason20242025!$B$3:$B$1315, "&lt;=" &amp; DA$1, DataRegularSeason20242025!$E$3:$E$1315, $A9)</f>
        <v>4</v>
      </c>
      <c r="DB9">
        <f>SUMIFS(DataRegularSeason20242025!$AA$3:$AA$1315,DataRegularSeason20242025!$B$3:$B$1315, "&lt;=" &amp; DB$1, DataRegularSeason20242025!$D$3:$D$1315, $A9)+SUMIFS(DataRegularSeason20242025!$AB$3:$AB$1315,DataRegularSeason20242025!$B$3:$B$1315, "&lt;=" &amp; DB$1, DataRegularSeason20242025!$E$3:$E$1315, $A9)</f>
        <v>4</v>
      </c>
      <c r="DC9">
        <f>SUMIFS(DataRegularSeason20242025!$AA$3:$AA$1315,DataRegularSeason20242025!$B$3:$B$1315, "&lt;=" &amp; DC$1, DataRegularSeason20242025!$D$3:$D$1315, $A9)+SUMIFS(DataRegularSeason20242025!$AB$3:$AB$1315,DataRegularSeason20242025!$B$3:$B$1315, "&lt;=" &amp; DC$1, DataRegularSeason20242025!$E$3:$E$1315, $A9)</f>
        <v>4</v>
      </c>
      <c r="DD9">
        <f>SUMIFS(DataRegularSeason20242025!$AA$3:$AA$1315,DataRegularSeason20242025!$B$3:$B$1315, "&lt;=" &amp; DD$1, DataRegularSeason20242025!$D$3:$D$1315, $A9)+SUMIFS(DataRegularSeason20242025!$AB$3:$AB$1315,DataRegularSeason20242025!$B$3:$B$1315, "&lt;=" &amp; DD$1, DataRegularSeason20242025!$E$3:$E$1315, $A9)</f>
        <v>4</v>
      </c>
      <c r="DE9">
        <f>SUMIFS(DataRegularSeason20242025!$AA$3:$AA$1315,DataRegularSeason20242025!$B$3:$B$1315, "&lt;=" &amp; DE$1, DataRegularSeason20242025!$D$3:$D$1315, $A9)+SUMIFS(DataRegularSeason20242025!$AB$3:$AB$1315,DataRegularSeason20242025!$B$3:$B$1315, "&lt;=" &amp; DE$1, DataRegularSeason20242025!$E$3:$E$1315, $A9)</f>
        <v>4</v>
      </c>
      <c r="DF9">
        <f>SUMIFS(DataRegularSeason20242025!$AA$3:$AA$1315,DataRegularSeason20242025!$B$3:$B$1315, "&lt;=" &amp; DF$1, DataRegularSeason20242025!$D$3:$D$1315, $A9)+SUMIFS(DataRegularSeason20242025!$AB$3:$AB$1315,DataRegularSeason20242025!$B$3:$B$1315, "&lt;=" &amp; DF$1, DataRegularSeason20242025!$E$3:$E$1315, $A9)</f>
        <v>4</v>
      </c>
      <c r="DG9">
        <f>SUMIFS(DataRegularSeason20242025!$AA$3:$AA$1315,DataRegularSeason20242025!$B$3:$B$1315, "&lt;=" &amp; DG$1, DataRegularSeason20242025!$D$3:$D$1315, $A9)+SUMIFS(DataRegularSeason20242025!$AB$3:$AB$1315,DataRegularSeason20242025!$B$3:$B$1315, "&lt;=" &amp; DG$1, DataRegularSeason20242025!$E$3:$E$1315, $A9)</f>
        <v>4</v>
      </c>
      <c r="DH9">
        <f>SUMIFS(DataRegularSeason20242025!$AA$3:$AA$1315,DataRegularSeason20242025!$B$3:$B$1315, "&lt;=" &amp; DH$1, DataRegularSeason20242025!$D$3:$D$1315, $A9)+SUMIFS(DataRegularSeason20242025!$AB$3:$AB$1315,DataRegularSeason20242025!$B$3:$B$1315, "&lt;=" &amp; DH$1, DataRegularSeason20242025!$E$3:$E$1315, $A9)</f>
        <v>4</v>
      </c>
      <c r="DI9">
        <f>SUMIFS(DataRegularSeason20242025!$AA$3:$AA$1315,DataRegularSeason20242025!$B$3:$B$1315, "&lt;=" &amp; DI$1, DataRegularSeason20242025!$D$3:$D$1315, $A9)+SUMIFS(DataRegularSeason20242025!$AB$3:$AB$1315,DataRegularSeason20242025!$B$3:$B$1315, "&lt;=" &amp; DI$1, DataRegularSeason20242025!$E$3:$E$1315, $A9)</f>
        <v>4</v>
      </c>
      <c r="DJ9">
        <f>SUMIFS(DataRegularSeason20242025!$AA$3:$AA$1315,DataRegularSeason20242025!$B$3:$B$1315, "&lt;=" &amp; DJ$1, DataRegularSeason20242025!$D$3:$D$1315, $A9)+SUMIFS(DataRegularSeason20242025!$AB$3:$AB$1315,DataRegularSeason20242025!$B$3:$B$1315, "&lt;=" &amp; DJ$1, DataRegularSeason20242025!$E$3:$E$1315, $A9)</f>
        <v>4</v>
      </c>
      <c r="DK9">
        <f>SUMIFS(DataRegularSeason20242025!$AA$3:$AA$1315,DataRegularSeason20242025!$B$3:$B$1315, "&lt;=" &amp; DK$1, DataRegularSeason20242025!$D$3:$D$1315, $A9)+SUMIFS(DataRegularSeason20242025!$AB$3:$AB$1315,DataRegularSeason20242025!$B$3:$B$1315, "&lt;=" &amp; DK$1, DataRegularSeason20242025!$E$3:$E$1315, $A9)</f>
        <v>4</v>
      </c>
      <c r="DL9">
        <f>SUMIFS(DataRegularSeason20242025!$AA$3:$AA$1315,DataRegularSeason20242025!$B$3:$B$1315, "&lt;=" &amp; DL$1, DataRegularSeason20242025!$D$3:$D$1315, $A9)+SUMIFS(DataRegularSeason20242025!$AB$3:$AB$1315,DataRegularSeason20242025!$B$3:$B$1315, "&lt;=" &amp; DL$1, DataRegularSeason20242025!$E$3:$E$1315, $A9)</f>
        <v>4</v>
      </c>
      <c r="DM9">
        <f>SUMIFS(DataRegularSeason20242025!$AA$3:$AA$1315,DataRegularSeason20242025!$B$3:$B$1315, "&lt;=" &amp; DM$1, DataRegularSeason20242025!$D$3:$D$1315, $A9)+SUMIFS(DataRegularSeason20242025!$AB$3:$AB$1315,DataRegularSeason20242025!$B$3:$B$1315, "&lt;=" &amp; DM$1, DataRegularSeason20242025!$E$3:$E$1315, $A9)</f>
        <v>4</v>
      </c>
      <c r="DN9">
        <f>SUMIFS(DataRegularSeason20242025!$AA$3:$AA$1315,DataRegularSeason20242025!$B$3:$B$1315, "&lt;=" &amp; DN$1, DataRegularSeason20242025!$D$3:$D$1315, $A9)+SUMIFS(DataRegularSeason20242025!$AB$3:$AB$1315,DataRegularSeason20242025!$B$3:$B$1315, "&lt;=" &amp; DN$1, DataRegularSeason20242025!$E$3:$E$1315, $A9)</f>
        <v>4</v>
      </c>
      <c r="DO9">
        <f>SUMIFS(DataRegularSeason20242025!$AA$3:$AA$1315,DataRegularSeason20242025!$B$3:$B$1315, "&lt;=" &amp; DO$1, DataRegularSeason20242025!$D$3:$D$1315, $A9)+SUMIFS(DataRegularSeason20242025!$AB$3:$AB$1315,DataRegularSeason20242025!$B$3:$B$1315, "&lt;=" &amp; DO$1, DataRegularSeason20242025!$E$3:$E$1315, $A9)</f>
        <v>4</v>
      </c>
      <c r="DP9">
        <f>SUMIFS(DataRegularSeason20242025!$AA$3:$AA$1315,DataRegularSeason20242025!$B$3:$B$1315, "&lt;=" &amp; DP$1, DataRegularSeason20242025!$D$3:$D$1315, $A9)+SUMIFS(DataRegularSeason20242025!$AB$3:$AB$1315,DataRegularSeason20242025!$B$3:$B$1315, "&lt;=" &amp; DP$1, DataRegularSeason20242025!$E$3:$E$1315, $A9)</f>
        <v>4</v>
      </c>
      <c r="DQ9">
        <f>SUMIFS(DataRegularSeason20242025!$AA$3:$AA$1315,DataRegularSeason20242025!$B$3:$B$1315, "&lt;=" &amp; DQ$1, DataRegularSeason20242025!$D$3:$D$1315, $A9)+SUMIFS(DataRegularSeason20242025!$AB$3:$AB$1315,DataRegularSeason20242025!$B$3:$B$1315, "&lt;=" &amp; DQ$1, DataRegularSeason20242025!$E$3:$E$1315, $A9)</f>
        <v>4</v>
      </c>
      <c r="DR9">
        <f>SUMIFS(DataRegularSeason20242025!$AA$3:$AA$1315,DataRegularSeason20242025!$B$3:$B$1315, "&lt;=" &amp; DR$1, DataRegularSeason20242025!$D$3:$D$1315, $A9)+SUMIFS(DataRegularSeason20242025!$AB$3:$AB$1315,DataRegularSeason20242025!$B$3:$B$1315, "&lt;=" &amp; DR$1, DataRegularSeason20242025!$E$3:$E$1315, $A9)</f>
        <v>4</v>
      </c>
      <c r="DS9">
        <f>SUMIFS(DataRegularSeason20242025!$AA$3:$AA$1315,DataRegularSeason20242025!$B$3:$B$1315, "&lt;=" &amp; DS$1, DataRegularSeason20242025!$D$3:$D$1315, $A9)+SUMIFS(DataRegularSeason20242025!$AB$3:$AB$1315,DataRegularSeason20242025!$B$3:$B$1315, "&lt;=" &amp; DS$1, DataRegularSeason20242025!$E$3:$E$1315, $A9)</f>
        <v>4</v>
      </c>
      <c r="DT9">
        <f>SUMIFS(DataRegularSeason20242025!$AA$3:$AA$1315,DataRegularSeason20242025!$B$3:$B$1315, "&lt;=" &amp; DT$1, DataRegularSeason20242025!$D$3:$D$1315, $A9)+SUMIFS(DataRegularSeason20242025!$AB$3:$AB$1315,DataRegularSeason20242025!$B$3:$B$1315, "&lt;=" &amp; DT$1, DataRegularSeason20242025!$E$3:$E$1315, $A9)</f>
        <v>4</v>
      </c>
      <c r="DU9">
        <f>SUMIFS(DataRegularSeason20242025!$AA$3:$AA$1315,DataRegularSeason20242025!$B$3:$B$1315, "&lt;=" &amp; DU$1, DataRegularSeason20242025!$D$3:$D$1315, $A9)+SUMIFS(DataRegularSeason20242025!$AB$3:$AB$1315,DataRegularSeason20242025!$B$3:$B$1315, "&lt;=" &amp; DU$1, DataRegularSeason20242025!$E$3:$E$1315, $A9)</f>
        <v>4</v>
      </c>
      <c r="DV9">
        <f>SUMIFS(DataRegularSeason20242025!$AA$3:$AA$1315,DataRegularSeason20242025!$B$3:$B$1315, "&lt;=" &amp; DV$1, DataRegularSeason20242025!$D$3:$D$1315, $A9)+SUMIFS(DataRegularSeason20242025!$AB$3:$AB$1315,DataRegularSeason20242025!$B$3:$B$1315, "&lt;=" &amp; DV$1, DataRegularSeason20242025!$E$3:$E$1315, $A9)</f>
        <v>4</v>
      </c>
      <c r="DW9">
        <f>SUMIFS(DataRegularSeason20242025!$AA$3:$AA$1315,DataRegularSeason20242025!$B$3:$B$1315, "&lt;=" &amp; DW$1, DataRegularSeason20242025!$D$3:$D$1315, $A9)+SUMIFS(DataRegularSeason20242025!$AB$3:$AB$1315,DataRegularSeason20242025!$B$3:$B$1315, "&lt;=" &amp; DW$1, DataRegularSeason20242025!$E$3:$E$1315, $A9)</f>
        <v>4</v>
      </c>
      <c r="DX9">
        <f>SUMIFS(DataRegularSeason20242025!$AA$3:$AA$1315,DataRegularSeason20242025!$B$3:$B$1315, "&lt;=" &amp; DX$1, DataRegularSeason20242025!$D$3:$D$1315, $A9)+SUMIFS(DataRegularSeason20242025!$AB$3:$AB$1315,DataRegularSeason20242025!$B$3:$B$1315, "&lt;=" &amp; DX$1, DataRegularSeason20242025!$E$3:$E$1315, $A9)</f>
        <v>4</v>
      </c>
      <c r="DY9">
        <f>SUMIFS(DataRegularSeason20242025!$AA$3:$AA$1315,DataRegularSeason20242025!$B$3:$B$1315, "&lt;=" &amp; DY$1, DataRegularSeason20242025!$D$3:$D$1315, $A9)+SUMIFS(DataRegularSeason20242025!$AB$3:$AB$1315,DataRegularSeason20242025!$B$3:$B$1315, "&lt;=" &amp; DY$1, DataRegularSeason20242025!$E$3:$E$1315, $A9)</f>
        <v>4</v>
      </c>
      <c r="DZ9">
        <f>SUMIFS(DataRegularSeason20242025!$AA$3:$AA$1315,DataRegularSeason20242025!$B$3:$B$1315, "&lt;=" &amp; DZ$1, DataRegularSeason20242025!$D$3:$D$1315, $A9)+SUMIFS(DataRegularSeason20242025!$AB$3:$AB$1315,DataRegularSeason20242025!$B$3:$B$1315, "&lt;=" &amp; DZ$1, DataRegularSeason20242025!$E$3:$E$1315, $A9)</f>
        <v>4</v>
      </c>
      <c r="EA9">
        <f>SUMIFS(DataRegularSeason20242025!$AA$3:$AA$1315,DataRegularSeason20242025!$B$3:$B$1315, "&lt;=" &amp; EA$1, DataRegularSeason20242025!$D$3:$D$1315, $A9)+SUMIFS(DataRegularSeason20242025!$AB$3:$AB$1315,DataRegularSeason20242025!$B$3:$B$1315, "&lt;=" &amp; EA$1, DataRegularSeason20242025!$E$3:$E$1315, $A9)</f>
        <v>4</v>
      </c>
      <c r="EB9">
        <f>SUMIFS(DataRegularSeason20242025!$AA$3:$AA$1315,DataRegularSeason20242025!$B$3:$B$1315, "&lt;=" &amp; EB$1, DataRegularSeason20242025!$D$3:$D$1315, $A9)+SUMIFS(DataRegularSeason20242025!$AB$3:$AB$1315,DataRegularSeason20242025!$B$3:$B$1315, "&lt;=" &amp; EB$1, DataRegularSeason20242025!$E$3:$E$1315, $A9)</f>
        <v>4</v>
      </c>
      <c r="EC9">
        <f>SUMIFS(DataRegularSeason20242025!$AA$3:$AA$1315,DataRegularSeason20242025!$B$3:$B$1315, "&lt;=" &amp; EC$1, DataRegularSeason20242025!$D$3:$D$1315, $A9)+SUMIFS(DataRegularSeason20242025!$AB$3:$AB$1315,DataRegularSeason20242025!$B$3:$B$1315, "&lt;=" &amp; EC$1, DataRegularSeason20242025!$E$3:$E$1315, $A9)</f>
        <v>4</v>
      </c>
      <c r="ED9">
        <f>SUMIFS(DataRegularSeason20242025!$AA$3:$AA$1315,DataRegularSeason20242025!$B$3:$B$1315, "&lt;=" &amp; ED$1, DataRegularSeason20242025!$D$3:$D$1315, $A9)+SUMIFS(DataRegularSeason20242025!$AB$3:$AB$1315,DataRegularSeason20242025!$B$3:$B$1315, "&lt;=" &amp; ED$1, DataRegularSeason20242025!$E$3:$E$1315, $A9)</f>
        <v>4</v>
      </c>
      <c r="EE9">
        <f>SUMIFS(DataRegularSeason20242025!$AA$3:$AA$1315,DataRegularSeason20242025!$B$3:$B$1315, "&lt;=" &amp; EE$1, DataRegularSeason20242025!$D$3:$D$1315, $A9)+SUMIFS(DataRegularSeason20242025!$AB$3:$AB$1315,DataRegularSeason20242025!$B$3:$B$1315, "&lt;=" &amp; EE$1, DataRegularSeason20242025!$E$3:$E$1315, $A9)</f>
        <v>4</v>
      </c>
      <c r="EF9">
        <f>SUMIFS(DataRegularSeason20242025!$AA$3:$AA$1315,DataRegularSeason20242025!$B$3:$B$1315, "&lt;=" &amp; EF$1, DataRegularSeason20242025!$D$3:$D$1315, $A9)+SUMIFS(DataRegularSeason20242025!$AB$3:$AB$1315,DataRegularSeason20242025!$B$3:$B$1315, "&lt;=" &amp; EF$1, DataRegularSeason20242025!$E$3:$E$1315, $A9)</f>
        <v>4</v>
      </c>
      <c r="EG9">
        <f>SUMIFS(DataRegularSeason20242025!$AA$3:$AA$1315,DataRegularSeason20242025!$B$3:$B$1315, "&lt;=" &amp; EG$1, DataRegularSeason20242025!$D$3:$D$1315, $A9)+SUMIFS(DataRegularSeason20242025!$AB$3:$AB$1315,DataRegularSeason20242025!$B$3:$B$1315, "&lt;=" &amp; EG$1, DataRegularSeason20242025!$E$3:$E$1315, $A9)</f>
        <v>4</v>
      </c>
      <c r="EH9">
        <f>SUMIFS(DataRegularSeason20242025!$AA$3:$AA$1315,DataRegularSeason20242025!$B$3:$B$1315, "&lt;=" &amp; EH$1, DataRegularSeason20242025!$D$3:$D$1315, $A9)+SUMIFS(DataRegularSeason20242025!$AB$3:$AB$1315,DataRegularSeason20242025!$B$3:$B$1315, "&lt;=" &amp; EH$1, DataRegularSeason20242025!$E$3:$E$1315, $A9)</f>
        <v>4</v>
      </c>
      <c r="EI9">
        <f>SUMIFS(DataRegularSeason20242025!$AA$3:$AA$1315,DataRegularSeason20242025!$B$3:$B$1315, "&lt;=" &amp; EI$1, DataRegularSeason20242025!$D$3:$D$1315, $A9)+SUMIFS(DataRegularSeason20242025!$AB$3:$AB$1315,DataRegularSeason20242025!$B$3:$B$1315, "&lt;=" &amp; EI$1, DataRegularSeason20242025!$E$3:$E$1315, $A9)</f>
        <v>4</v>
      </c>
      <c r="EJ9">
        <f>SUMIFS(DataRegularSeason20242025!$AA$3:$AA$1315,DataRegularSeason20242025!$B$3:$B$1315, "&lt;=" &amp; EJ$1, DataRegularSeason20242025!$D$3:$D$1315, $A9)+SUMIFS(DataRegularSeason20242025!$AB$3:$AB$1315,DataRegularSeason20242025!$B$3:$B$1315, "&lt;=" &amp; EJ$1, DataRegularSeason20242025!$E$3:$E$1315, $A9)</f>
        <v>4</v>
      </c>
      <c r="EK9">
        <f>SUMIFS(DataRegularSeason20242025!$AA$3:$AA$1315,DataRegularSeason20242025!$B$3:$B$1315, "&lt;=" &amp; EK$1, DataRegularSeason20242025!$D$3:$D$1315, $A9)+SUMIFS(DataRegularSeason20242025!$AB$3:$AB$1315,DataRegularSeason20242025!$B$3:$B$1315, "&lt;=" &amp; EK$1, DataRegularSeason20242025!$E$3:$E$1315, $A9)</f>
        <v>4</v>
      </c>
      <c r="EL9">
        <f>SUMIFS(DataRegularSeason20242025!$AA$3:$AA$1315,DataRegularSeason20242025!$B$3:$B$1315, "&lt;=" &amp; EL$1, DataRegularSeason20242025!$D$3:$D$1315, $A9)+SUMIFS(DataRegularSeason20242025!$AB$3:$AB$1315,DataRegularSeason20242025!$B$3:$B$1315, "&lt;=" &amp; EL$1, DataRegularSeason20242025!$E$3:$E$1315, $A9)</f>
        <v>4</v>
      </c>
      <c r="EM9">
        <f>SUMIFS(DataRegularSeason20242025!$AA$3:$AA$1315,DataRegularSeason20242025!$B$3:$B$1315, "&lt;=" &amp; EM$1, DataRegularSeason20242025!$D$3:$D$1315, $A9)+SUMIFS(DataRegularSeason20242025!$AB$3:$AB$1315,DataRegularSeason20242025!$B$3:$B$1315, "&lt;=" &amp; EM$1, DataRegularSeason20242025!$E$3:$E$1315, $A9)</f>
        <v>4</v>
      </c>
      <c r="EN9">
        <f>SUMIFS(DataRegularSeason20242025!$AA$3:$AA$1315,DataRegularSeason20242025!$B$3:$B$1315, "&lt;=" &amp; EN$1, DataRegularSeason20242025!$D$3:$D$1315, $A9)+SUMIFS(DataRegularSeason20242025!$AB$3:$AB$1315,DataRegularSeason20242025!$B$3:$B$1315, "&lt;=" &amp; EN$1, DataRegularSeason20242025!$E$3:$E$1315, $A9)</f>
        <v>4</v>
      </c>
      <c r="EO9">
        <f>SUMIFS(DataRegularSeason20242025!$AA$3:$AA$1315,DataRegularSeason20242025!$B$3:$B$1315, "&lt;=" &amp; EO$1, DataRegularSeason20242025!$D$3:$D$1315, $A9)+SUMIFS(DataRegularSeason20242025!$AB$3:$AB$1315,DataRegularSeason20242025!$B$3:$B$1315, "&lt;=" &amp; EO$1, DataRegularSeason20242025!$E$3:$E$1315, $A9)</f>
        <v>4</v>
      </c>
      <c r="EP9">
        <f>SUMIFS(DataRegularSeason20242025!$AA$3:$AA$1315,DataRegularSeason20242025!$B$3:$B$1315, "&lt;=" &amp; EP$1, DataRegularSeason20242025!$D$3:$D$1315, $A9)+SUMIFS(DataRegularSeason20242025!$AB$3:$AB$1315,DataRegularSeason20242025!$B$3:$B$1315, "&lt;=" &amp; EP$1, DataRegularSeason20242025!$E$3:$E$1315, $A9)</f>
        <v>4</v>
      </c>
      <c r="EQ9">
        <f>SUMIFS(DataRegularSeason20242025!$AA$3:$AA$1315,DataRegularSeason20242025!$B$3:$B$1315, "&lt;=" &amp; EQ$1, DataRegularSeason20242025!$D$3:$D$1315, $A9)+SUMIFS(DataRegularSeason20242025!$AB$3:$AB$1315,DataRegularSeason20242025!$B$3:$B$1315, "&lt;=" &amp; EQ$1, DataRegularSeason20242025!$E$3:$E$1315, $A9)</f>
        <v>4</v>
      </c>
      <c r="ER9">
        <f>SUMIFS(DataRegularSeason20242025!$AA$3:$AA$1315,DataRegularSeason20242025!$B$3:$B$1315, "&lt;=" &amp; ER$1, DataRegularSeason20242025!$D$3:$D$1315, $A9)+SUMIFS(DataRegularSeason20242025!$AB$3:$AB$1315,DataRegularSeason20242025!$B$3:$B$1315, "&lt;=" &amp; ER$1, DataRegularSeason20242025!$E$3:$E$1315, $A9)</f>
        <v>4</v>
      </c>
      <c r="ES9">
        <f>SUMIFS(DataRegularSeason20242025!$AA$3:$AA$1315,DataRegularSeason20242025!$B$3:$B$1315, "&lt;=" &amp; ES$1, DataRegularSeason20242025!$D$3:$D$1315, $A9)+SUMIFS(DataRegularSeason20242025!$AB$3:$AB$1315,DataRegularSeason20242025!$B$3:$B$1315, "&lt;=" &amp; ES$1, DataRegularSeason20242025!$E$3:$E$1315, $A9)</f>
        <v>4</v>
      </c>
      <c r="ET9">
        <f>SUMIFS(DataRegularSeason20242025!$AA$3:$AA$1315,DataRegularSeason20242025!$B$3:$B$1315, "&lt;=" &amp; ET$1, DataRegularSeason20242025!$D$3:$D$1315, $A9)+SUMIFS(DataRegularSeason20242025!$AB$3:$AB$1315,DataRegularSeason20242025!$B$3:$B$1315, "&lt;=" &amp; ET$1, DataRegularSeason20242025!$E$3:$E$1315, $A9)</f>
        <v>4</v>
      </c>
      <c r="EU9">
        <f>SUMIFS(DataRegularSeason20242025!$AA$3:$AA$1315,DataRegularSeason20242025!$B$3:$B$1315, "&lt;=" &amp; EU$1, DataRegularSeason20242025!$D$3:$D$1315, $A9)+SUMIFS(DataRegularSeason20242025!$AB$3:$AB$1315,DataRegularSeason20242025!$B$3:$B$1315, "&lt;=" &amp; EU$1, DataRegularSeason20242025!$E$3:$E$1315, $A9)</f>
        <v>4</v>
      </c>
      <c r="EV9">
        <f>SUMIFS(DataRegularSeason20242025!$AA$3:$AA$1315,DataRegularSeason20242025!$B$3:$B$1315, "&lt;=" &amp; EV$1, DataRegularSeason20242025!$D$3:$D$1315, $A9)+SUMIFS(DataRegularSeason20242025!$AB$3:$AB$1315,DataRegularSeason20242025!$B$3:$B$1315, "&lt;=" &amp; EV$1, DataRegularSeason20242025!$E$3:$E$1315, $A9)</f>
        <v>4</v>
      </c>
      <c r="EW9">
        <f>SUMIFS(DataRegularSeason20242025!$AA$3:$AA$1315,DataRegularSeason20242025!$B$3:$B$1315, "&lt;=" &amp; EW$1, DataRegularSeason20242025!$D$3:$D$1315, $A9)+SUMIFS(DataRegularSeason20242025!$AB$3:$AB$1315,DataRegularSeason20242025!$B$3:$B$1315, "&lt;=" &amp; EW$1, DataRegularSeason20242025!$E$3:$E$1315, $A9)</f>
        <v>4</v>
      </c>
      <c r="EX9">
        <f>SUMIFS(DataRegularSeason20242025!$AA$3:$AA$1315,DataRegularSeason20242025!$B$3:$B$1315, "&lt;=" &amp; EX$1, DataRegularSeason20242025!$D$3:$D$1315, $A9)+SUMIFS(DataRegularSeason20242025!$AB$3:$AB$1315,DataRegularSeason20242025!$B$3:$B$1315, "&lt;=" &amp; EX$1, DataRegularSeason20242025!$E$3:$E$1315, $A9)</f>
        <v>4</v>
      </c>
      <c r="EY9">
        <f>SUMIFS(DataRegularSeason20242025!$AA$3:$AA$1315,DataRegularSeason20242025!$B$3:$B$1315, "&lt;=" &amp; EY$1, DataRegularSeason20242025!$D$3:$D$1315, $A9)+SUMIFS(DataRegularSeason20242025!$AB$3:$AB$1315,DataRegularSeason20242025!$B$3:$B$1315, "&lt;=" &amp; EY$1, DataRegularSeason20242025!$E$3:$E$1315, $A9)</f>
        <v>4</v>
      </c>
      <c r="EZ9">
        <f>SUMIFS(DataRegularSeason20242025!$AA$3:$AA$1315,DataRegularSeason20242025!$B$3:$B$1315, "&lt;=" &amp; EZ$1, DataRegularSeason20242025!$D$3:$D$1315, $A9)+SUMIFS(DataRegularSeason20242025!$AB$3:$AB$1315,DataRegularSeason20242025!$B$3:$B$1315, "&lt;=" &amp; EZ$1, DataRegularSeason20242025!$E$3:$E$1315, $A9)</f>
        <v>4</v>
      </c>
      <c r="FA9">
        <f>SUMIFS(DataRegularSeason20242025!$AA$3:$AA$1315,DataRegularSeason20242025!$B$3:$B$1315, "&lt;=" &amp; FA$1, DataRegularSeason20242025!$D$3:$D$1315, $A9)+SUMIFS(DataRegularSeason20242025!$AB$3:$AB$1315,DataRegularSeason20242025!$B$3:$B$1315, "&lt;=" &amp; FA$1, DataRegularSeason20242025!$E$3:$E$1315, $A9)</f>
        <v>4</v>
      </c>
      <c r="FB9">
        <f>SUMIFS(DataRegularSeason20242025!$AA$3:$AA$1315,DataRegularSeason20242025!$B$3:$B$1315, "&lt;=" &amp; FB$1, DataRegularSeason20242025!$D$3:$D$1315, $A9)+SUMIFS(DataRegularSeason20242025!$AB$3:$AB$1315,DataRegularSeason20242025!$B$3:$B$1315, "&lt;=" &amp; FB$1, DataRegularSeason20242025!$E$3:$E$1315, $A9)</f>
        <v>4</v>
      </c>
      <c r="FC9">
        <f>SUMIFS(DataRegularSeason20242025!$AA$3:$AA$1315,DataRegularSeason20242025!$B$3:$B$1315, "&lt;=" &amp; FC$1, DataRegularSeason20242025!$D$3:$D$1315, $A9)+SUMIFS(DataRegularSeason20242025!$AB$3:$AB$1315,DataRegularSeason20242025!$B$3:$B$1315, "&lt;=" &amp; FC$1, DataRegularSeason20242025!$E$3:$E$1315, $A9)</f>
        <v>4</v>
      </c>
      <c r="FD9">
        <f>SUMIFS(DataRegularSeason20242025!$AA$3:$AA$1315,DataRegularSeason20242025!$B$3:$B$1315, "&lt;=" &amp; FD$1, DataRegularSeason20242025!$D$3:$D$1315, $A9)+SUMIFS(DataRegularSeason20242025!$AB$3:$AB$1315,DataRegularSeason20242025!$B$3:$B$1315, "&lt;=" &amp; FD$1, DataRegularSeason20242025!$E$3:$E$1315, $A9)</f>
        <v>4</v>
      </c>
      <c r="FE9">
        <f>SUMIFS(DataRegularSeason20242025!$AA$3:$AA$1315,DataRegularSeason20242025!$B$3:$B$1315, "&lt;=" &amp; FE$1, DataRegularSeason20242025!$D$3:$D$1315, $A9)+SUMIFS(DataRegularSeason20242025!$AB$3:$AB$1315,DataRegularSeason20242025!$B$3:$B$1315, "&lt;=" &amp; FE$1, DataRegularSeason20242025!$E$3:$E$1315, $A9)</f>
        <v>4</v>
      </c>
      <c r="FF9">
        <f>SUMIFS(DataRegularSeason20242025!$AA$3:$AA$1315,DataRegularSeason20242025!$B$3:$B$1315, "&lt;=" &amp; FF$1, DataRegularSeason20242025!$D$3:$D$1315, $A9)+SUMIFS(DataRegularSeason20242025!$AB$3:$AB$1315,DataRegularSeason20242025!$B$3:$B$1315, "&lt;=" &amp; FF$1, DataRegularSeason20242025!$E$3:$E$1315, $A9)</f>
        <v>4</v>
      </c>
      <c r="FG9">
        <f>SUMIFS(DataRegularSeason20242025!$AA$3:$AA$1315,DataRegularSeason20242025!$B$3:$B$1315, "&lt;=" &amp; FG$1, DataRegularSeason20242025!$D$3:$D$1315, $A9)+SUMIFS(DataRegularSeason20242025!$AB$3:$AB$1315,DataRegularSeason20242025!$B$3:$B$1315, "&lt;=" &amp; FG$1, DataRegularSeason20242025!$E$3:$E$1315, $A9)</f>
        <v>4</v>
      </c>
      <c r="FH9">
        <f>SUMIFS(DataRegularSeason20242025!$AA$3:$AA$1315,DataRegularSeason20242025!$B$3:$B$1315, "&lt;=" &amp; FH$1, DataRegularSeason20242025!$D$3:$D$1315, $A9)+SUMIFS(DataRegularSeason20242025!$AB$3:$AB$1315,DataRegularSeason20242025!$B$3:$B$1315, "&lt;=" &amp; FH$1, DataRegularSeason20242025!$E$3:$E$1315, $A9)</f>
        <v>4</v>
      </c>
      <c r="FI9">
        <f>SUMIFS(DataRegularSeason20242025!$AA$3:$AA$1315,DataRegularSeason20242025!$B$3:$B$1315, "&lt;=" &amp; FI$1, DataRegularSeason20242025!$D$3:$D$1315, $A9)+SUMIFS(DataRegularSeason20242025!$AB$3:$AB$1315,DataRegularSeason20242025!$B$3:$B$1315, "&lt;=" &amp; FI$1, DataRegularSeason20242025!$E$3:$E$1315, $A9)</f>
        <v>4</v>
      </c>
      <c r="FJ9">
        <f>SUMIFS(DataRegularSeason20242025!$AA$3:$AA$1315,DataRegularSeason20242025!$B$3:$B$1315, "&lt;=" &amp; FJ$1, DataRegularSeason20242025!$D$3:$D$1315, $A9)+SUMIFS(DataRegularSeason20242025!$AB$3:$AB$1315,DataRegularSeason20242025!$B$3:$B$1315, "&lt;=" &amp; FJ$1, DataRegularSeason20242025!$E$3:$E$1315, $A9)</f>
        <v>4</v>
      </c>
      <c r="FK9">
        <f>SUMIFS(DataRegularSeason20242025!$AA$3:$AA$1315,DataRegularSeason20242025!$B$3:$B$1315, "&lt;=" &amp; FK$1, DataRegularSeason20242025!$D$3:$D$1315, $A9)+SUMIFS(DataRegularSeason20242025!$AB$3:$AB$1315,DataRegularSeason20242025!$B$3:$B$1315, "&lt;=" &amp; FK$1, DataRegularSeason20242025!$E$3:$E$1315, $A9)</f>
        <v>4</v>
      </c>
      <c r="FL9">
        <f>SUMIFS(DataRegularSeason20242025!$AA$3:$AA$1315,DataRegularSeason20242025!$B$3:$B$1315, "&lt;=" &amp; FL$1, DataRegularSeason20242025!$D$3:$D$1315, $A9)+SUMIFS(DataRegularSeason20242025!$AB$3:$AB$1315,DataRegularSeason20242025!$B$3:$B$1315, "&lt;=" &amp; FL$1, DataRegularSeason20242025!$E$3:$E$1315, $A9)</f>
        <v>4</v>
      </c>
      <c r="FM9">
        <f>SUMIFS(DataRegularSeason20242025!$AA$3:$AA$1315,DataRegularSeason20242025!$B$3:$B$1315, "&lt;=" &amp; FM$1, DataRegularSeason20242025!$D$3:$D$1315, $A9)+SUMIFS(DataRegularSeason20242025!$AB$3:$AB$1315,DataRegularSeason20242025!$B$3:$B$1315, "&lt;=" &amp; FM$1, DataRegularSeason20242025!$E$3:$E$1315, $A9)</f>
        <v>4</v>
      </c>
      <c r="FN9">
        <f>SUMIFS(DataRegularSeason20242025!$AA$3:$AA$1315,DataRegularSeason20242025!$B$3:$B$1315, "&lt;=" &amp; FN$1, DataRegularSeason20242025!$D$3:$D$1315, $A9)+SUMIFS(DataRegularSeason20242025!$AB$3:$AB$1315,DataRegularSeason20242025!$B$3:$B$1315, "&lt;=" &amp; FN$1, DataRegularSeason20242025!$E$3:$E$1315, $A9)</f>
        <v>4</v>
      </c>
      <c r="FO9">
        <f>SUMIFS(DataRegularSeason20242025!$AA$3:$AA$1315,DataRegularSeason20242025!$B$3:$B$1315, "&lt;=" &amp; FO$1, DataRegularSeason20242025!$D$3:$D$1315, $A9)+SUMIFS(DataRegularSeason20242025!$AB$3:$AB$1315,DataRegularSeason20242025!$B$3:$B$1315, "&lt;=" &amp; FO$1, DataRegularSeason20242025!$E$3:$E$1315, $A9)</f>
        <v>4</v>
      </c>
      <c r="FP9">
        <f>SUMIFS(DataRegularSeason20242025!$AA$3:$AA$1315,DataRegularSeason20242025!$B$3:$B$1315, "&lt;=" &amp; FP$1, DataRegularSeason20242025!$D$3:$D$1315, $A9)+SUMIFS(DataRegularSeason20242025!$AB$3:$AB$1315,DataRegularSeason20242025!$B$3:$B$1315, "&lt;=" &amp; FP$1, DataRegularSeason20242025!$E$3:$E$1315, $A9)</f>
        <v>4</v>
      </c>
      <c r="FQ9">
        <f>SUMIFS(DataRegularSeason20242025!$AA$3:$AA$1315,DataRegularSeason20242025!$B$3:$B$1315, "&lt;=" &amp; FQ$1, DataRegularSeason20242025!$D$3:$D$1315, $A9)+SUMIFS(DataRegularSeason20242025!$AB$3:$AB$1315,DataRegularSeason20242025!$B$3:$B$1315, "&lt;=" &amp; FQ$1, DataRegularSeason20242025!$E$3:$E$1315, $A9)</f>
        <v>4</v>
      </c>
      <c r="FR9">
        <f>SUMIFS(DataRegularSeason20242025!$AA$3:$AA$1315,DataRegularSeason20242025!$B$3:$B$1315, "&lt;=" &amp; FR$1, DataRegularSeason20242025!$D$3:$D$1315, $A9)+SUMIFS(DataRegularSeason20242025!$AB$3:$AB$1315,DataRegularSeason20242025!$B$3:$B$1315, "&lt;=" &amp; FR$1, DataRegularSeason20242025!$E$3:$E$1315, $A9)</f>
        <v>4</v>
      </c>
      <c r="FS9">
        <f>SUMIFS(DataRegularSeason20242025!$AA$3:$AA$1315,DataRegularSeason20242025!$B$3:$B$1315, "&lt;=" &amp; FS$1, DataRegularSeason20242025!$D$3:$D$1315, $A9)+SUMIFS(DataRegularSeason20242025!$AB$3:$AB$1315,DataRegularSeason20242025!$B$3:$B$1315, "&lt;=" &amp; FS$1, DataRegularSeason20242025!$E$3:$E$1315, $A9)</f>
        <v>4</v>
      </c>
      <c r="FT9">
        <f>SUMIFS(DataRegularSeason20242025!$AA$3:$AA$1315,DataRegularSeason20242025!$B$3:$B$1315, "&lt;=" &amp; FT$1, DataRegularSeason20242025!$D$3:$D$1315, $A9)+SUMIFS(DataRegularSeason20242025!$AB$3:$AB$1315,DataRegularSeason20242025!$B$3:$B$1315, "&lt;=" &amp; FT$1, DataRegularSeason20242025!$E$3:$E$1315, $A9)</f>
        <v>4</v>
      </c>
      <c r="FU9">
        <f>SUMIFS(DataRegularSeason20242025!$AA$3:$AA$1315,DataRegularSeason20242025!$B$3:$B$1315, "&lt;=" &amp; FU$1, DataRegularSeason20242025!$D$3:$D$1315, $A9)+SUMIFS(DataRegularSeason20242025!$AB$3:$AB$1315,DataRegularSeason20242025!$B$3:$B$1315, "&lt;=" &amp; FU$1, DataRegularSeason20242025!$E$3:$E$1315, $A9)</f>
        <v>4</v>
      </c>
      <c r="FV9">
        <f>SUMIFS(DataRegularSeason20242025!$AA$3:$AA$1315,DataRegularSeason20242025!$B$3:$B$1315, "&lt;=" &amp; FV$1, DataRegularSeason20242025!$D$3:$D$1315, $A9)+SUMIFS(DataRegularSeason20242025!$AB$3:$AB$1315,DataRegularSeason20242025!$B$3:$B$1315, "&lt;=" &amp; FV$1, DataRegularSeason20242025!$E$3:$E$1315, $A9)</f>
        <v>4</v>
      </c>
      <c r="FW9">
        <f>SUMIFS(DataRegularSeason20242025!$AA$3:$AA$1315,DataRegularSeason20242025!$B$3:$B$1315, "&lt;=" &amp; FW$1, DataRegularSeason20242025!$D$3:$D$1315, $A9)+SUMIFS(DataRegularSeason20242025!$AB$3:$AB$1315,DataRegularSeason20242025!$B$3:$B$1315, "&lt;=" &amp; FW$1, DataRegularSeason20242025!$E$3:$E$1315, $A9)</f>
        <v>4</v>
      </c>
      <c r="FX9">
        <f>SUMIFS(DataRegularSeason20242025!$AA$3:$AA$1315,DataRegularSeason20242025!$B$3:$B$1315, "&lt;=" &amp; FX$1, DataRegularSeason20242025!$D$3:$D$1315, $A9)+SUMIFS(DataRegularSeason20242025!$AB$3:$AB$1315,DataRegularSeason20242025!$B$3:$B$1315, "&lt;=" &amp; FX$1, DataRegularSeason20242025!$E$3:$E$1315, $A9)</f>
        <v>4</v>
      </c>
      <c r="FY9">
        <f>SUMIFS(DataRegularSeason20242025!$AA$3:$AA$1315,DataRegularSeason20242025!$B$3:$B$1315, "&lt;=" &amp; FY$1, DataRegularSeason20242025!$D$3:$D$1315, $A9)+SUMIFS(DataRegularSeason20242025!$AB$3:$AB$1315,DataRegularSeason20242025!$B$3:$B$1315, "&lt;=" &amp; FY$1, DataRegularSeason20242025!$E$3:$E$1315, $A9)</f>
        <v>4</v>
      </c>
      <c r="FZ9">
        <f>SUMIFS(DataRegularSeason20242025!$AA$3:$AA$1315,DataRegularSeason20242025!$B$3:$B$1315, "&lt;=" &amp; FZ$1, DataRegularSeason20242025!$D$3:$D$1315, $A9)+SUMIFS(DataRegularSeason20242025!$AB$3:$AB$1315,DataRegularSeason20242025!$B$3:$B$1315, "&lt;=" &amp; FZ$1, DataRegularSeason20242025!$E$3:$E$1315, $A9)</f>
        <v>4</v>
      </c>
      <c r="GA9">
        <f>SUMIFS(DataRegularSeason20242025!$AA$3:$AA$1315,DataRegularSeason20242025!$B$3:$B$1315, "&lt;=" &amp; GA$1, DataRegularSeason20242025!$D$3:$D$1315, $A9)+SUMIFS(DataRegularSeason20242025!$AB$3:$AB$1315,DataRegularSeason20242025!$B$3:$B$1315, "&lt;=" &amp; GA$1, DataRegularSeason20242025!$E$3:$E$1315, $A9)</f>
        <v>4</v>
      </c>
      <c r="GB9">
        <f>SUMIFS(DataRegularSeason20242025!$AA$3:$AA$1315,DataRegularSeason20242025!$B$3:$B$1315, "&lt;=" &amp; GB$1, DataRegularSeason20242025!$D$3:$D$1315, $A9)+SUMIFS(DataRegularSeason20242025!$AB$3:$AB$1315,DataRegularSeason20242025!$B$3:$B$1315, "&lt;=" &amp; GB$1, DataRegularSeason20242025!$E$3:$E$1315, $A9)</f>
        <v>4</v>
      </c>
      <c r="GC9">
        <f>SUMIFS(DataRegularSeason20242025!$AA$3:$AA$1315,DataRegularSeason20242025!$B$3:$B$1315, "&lt;=" &amp; GC$1, DataRegularSeason20242025!$D$3:$D$1315, $A9)+SUMIFS(DataRegularSeason20242025!$AB$3:$AB$1315,DataRegularSeason20242025!$B$3:$B$1315, "&lt;=" &amp; GC$1, DataRegularSeason20242025!$E$3:$E$1315, $A9)</f>
        <v>4</v>
      </c>
      <c r="GD9">
        <f>SUMIFS(DataRegularSeason20242025!$AA$3:$AA$1315,DataRegularSeason20242025!$B$3:$B$1315, "&lt;=" &amp; GD$1, DataRegularSeason20242025!$D$3:$D$1315, $A9)+SUMIFS(DataRegularSeason20242025!$AB$3:$AB$1315,DataRegularSeason20242025!$B$3:$B$1315, "&lt;=" &amp; GD$1, DataRegularSeason20242025!$E$3:$E$1315, $A9)</f>
        <v>4</v>
      </c>
      <c r="GE9">
        <f>SUMIFS(DataRegularSeason20242025!$AA$3:$AA$1315,DataRegularSeason20242025!$B$3:$B$1315, "&lt;=" &amp; GE$1, DataRegularSeason20242025!$D$3:$D$1315, $A9)+SUMIFS(DataRegularSeason20242025!$AB$3:$AB$1315,DataRegularSeason20242025!$B$3:$B$1315, "&lt;=" &amp; GE$1, DataRegularSeason20242025!$E$3:$E$1315, $A9)</f>
        <v>4</v>
      </c>
      <c r="GF9">
        <f>SUMIFS(DataRegularSeason20242025!$AA$3:$AA$1315,DataRegularSeason20242025!$B$3:$B$1315, "&lt;=" &amp; GF$1, DataRegularSeason20242025!$D$3:$D$1315, $A9)+SUMIFS(DataRegularSeason20242025!$AB$3:$AB$1315,DataRegularSeason20242025!$B$3:$B$1315, "&lt;=" &amp; GF$1, DataRegularSeason20242025!$E$3:$E$1315, $A9)</f>
        <v>4</v>
      </c>
      <c r="GG9">
        <f>SUMIFS(DataRegularSeason20242025!$AA$3:$AA$1315,DataRegularSeason20242025!$B$3:$B$1315, "&lt;=" &amp; GG$1, DataRegularSeason20242025!$D$3:$D$1315, $A9)+SUMIFS(DataRegularSeason20242025!$AB$3:$AB$1315,DataRegularSeason20242025!$B$3:$B$1315, "&lt;=" &amp; GG$1, DataRegularSeason20242025!$E$3:$E$1315, $A9)</f>
        <v>4</v>
      </c>
      <c r="GH9">
        <f>SUMIFS(DataRegularSeason20242025!$AA$3:$AA$1315,DataRegularSeason20242025!$B$3:$B$1315, "&lt;=" &amp; GH$1, DataRegularSeason20242025!$D$3:$D$1315, $A9)+SUMIFS(DataRegularSeason20242025!$AB$3:$AB$1315,DataRegularSeason20242025!$B$3:$B$1315, "&lt;=" &amp; GH$1, DataRegularSeason20242025!$E$3:$E$1315, $A9)</f>
        <v>4</v>
      </c>
      <c r="GI9">
        <f>SUMIFS(DataRegularSeason20242025!$AA$3:$AA$1315,DataRegularSeason20242025!$B$3:$B$1315, "&lt;=" &amp; GI$1, DataRegularSeason20242025!$D$3:$D$1315, $A9)+SUMIFS(DataRegularSeason20242025!$AB$3:$AB$1315,DataRegularSeason20242025!$B$3:$B$1315, "&lt;=" &amp; GI$1, DataRegularSeason20242025!$E$3:$E$1315, $A9)</f>
        <v>4</v>
      </c>
      <c r="GJ9">
        <f>SUMIFS(DataRegularSeason20242025!$AA$3:$AA$1315,DataRegularSeason20242025!$B$3:$B$1315, "&lt;=" &amp; GJ$1, DataRegularSeason20242025!$D$3:$D$1315, $A9)+SUMIFS(DataRegularSeason20242025!$AB$3:$AB$1315,DataRegularSeason20242025!$B$3:$B$1315, "&lt;=" &amp; GJ$1, DataRegularSeason20242025!$E$3:$E$1315, $A9)</f>
        <v>4</v>
      </c>
      <c r="GK9">
        <f>SUMIFS(DataRegularSeason20242025!$AA$3:$AA$1315,DataRegularSeason20242025!$B$3:$B$1315, "&lt;=" &amp; GK$1, DataRegularSeason20242025!$D$3:$D$1315, $A9)+SUMIFS(DataRegularSeason20242025!$AB$3:$AB$1315,DataRegularSeason20242025!$B$3:$B$1315, "&lt;=" &amp; GK$1, DataRegularSeason20242025!$E$3:$E$1315, $A9)</f>
        <v>4</v>
      </c>
      <c r="GL9">
        <f>SUMIFS(DataRegularSeason20242025!$AA$3:$AA$1315,DataRegularSeason20242025!$B$3:$B$1315, "&lt;=" &amp; GL$1, DataRegularSeason20242025!$D$3:$D$1315, $A9)+SUMIFS(DataRegularSeason20242025!$AB$3:$AB$1315,DataRegularSeason20242025!$B$3:$B$1315, "&lt;=" &amp; GL$1, DataRegularSeason20242025!$E$3:$E$1315, $A9)</f>
        <v>4</v>
      </c>
      <c r="GM9">
        <f>SUMIFS(DataRegularSeason20242025!$AA$3:$AA$1315,DataRegularSeason20242025!$B$3:$B$1315, "&lt;=" &amp; GM$1, DataRegularSeason20242025!$D$3:$D$1315, $A9)+SUMIFS(DataRegularSeason20242025!$AB$3:$AB$1315,DataRegularSeason20242025!$B$3:$B$1315, "&lt;=" &amp; GM$1, DataRegularSeason20242025!$E$3:$E$1315, $A9)</f>
        <v>4</v>
      </c>
      <c r="GN9">
        <f>SUMIFS(DataRegularSeason20242025!$AA$3:$AA$1315,DataRegularSeason20242025!$B$3:$B$1315, "&lt;=" &amp; GN$1, DataRegularSeason20242025!$D$3:$D$1315, $A9)+SUMIFS(DataRegularSeason20242025!$AB$3:$AB$1315,DataRegularSeason20242025!$B$3:$B$1315, "&lt;=" &amp; GN$1, DataRegularSeason20242025!$E$3:$E$1315, $A9)</f>
        <v>4</v>
      </c>
      <c r="GO9">
        <f>SUMIFS(DataRegularSeason20242025!$AA$3:$AA$1315,DataRegularSeason20242025!$B$3:$B$1315, "&lt;=" &amp; GO$1, DataRegularSeason20242025!$D$3:$D$1315, $A9)+SUMIFS(DataRegularSeason20242025!$AB$3:$AB$1315,DataRegularSeason20242025!$B$3:$B$1315, "&lt;=" &amp; GO$1, DataRegularSeason20242025!$E$3:$E$1315, $A9)</f>
        <v>4</v>
      </c>
      <c r="GP9">
        <f>SUMIFS(DataRegularSeason20242025!$AA$3:$AA$1315,DataRegularSeason20242025!$B$3:$B$1315, "&lt;=" &amp; GP$1, DataRegularSeason20242025!$D$3:$D$1315, $A9)+SUMIFS(DataRegularSeason20242025!$AB$3:$AB$1315,DataRegularSeason20242025!$B$3:$B$1315, "&lt;=" &amp; GP$1, DataRegularSeason20242025!$E$3:$E$1315, $A9)</f>
        <v>4</v>
      </c>
      <c r="GQ9">
        <f>SUMIFS(DataRegularSeason20242025!$AA$3:$AA$1315,DataRegularSeason20242025!$B$3:$B$1315, "&lt;=" &amp; GQ$1, DataRegularSeason20242025!$D$3:$D$1315, $A9)+SUMIFS(DataRegularSeason20242025!$AB$3:$AB$1315,DataRegularSeason20242025!$B$3:$B$1315, "&lt;=" &amp; GQ$1, DataRegularSeason20242025!$E$3:$E$1315, $A9)</f>
        <v>4</v>
      </c>
      <c r="GR9">
        <f>SUMIFS(DataRegularSeason20242025!$AA$3:$AA$1315,DataRegularSeason20242025!$B$3:$B$1315, "&lt;=" &amp; GR$1, DataRegularSeason20242025!$D$3:$D$1315, $A9)+SUMIFS(DataRegularSeason20242025!$AB$3:$AB$1315,DataRegularSeason20242025!$B$3:$B$1315, "&lt;=" &amp; GR$1, DataRegularSeason20242025!$E$3:$E$1315, $A9)</f>
        <v>4</v>
      </c>
      <c r="GS9">
        <f>SUMIFS(DataRegularSeason20242025!$AA$3:$AA$1315,DataRegularSeason20242025!$B$3:$B$1315, "&lt;=" &amp; GS$1, DataRegularSeason20242025!$D$3:$D$1315, $A9)+SUMIFS(DataRegularSeason20242025!$AB$3:$AB$1315,DataRegularSeason20242025!$B$3:$B$1315, "&lt;=" &amp; GS$1, DataRegularSeason20242025!$E$3:$E$1315, $A9)</f>
        <v>4</v>
      </c>
      <c r="GT9">
        <f>SUMIFS(DataRegularSeason20242025!$AA$3:$AA$1315,DataRegularSeason20242025!$B$3:$B$1315, "&lt;=" &amp; GT$1, DataRegularSeason20242025!$D$3:$D$1315, $A9)+SUMIFS(DataRegularSeason20242025!$AB$3:$AB$1315,DataRegularSeason20242025!$B$3:$B$1315, "&lt;=" &amp; GT$1, DataRegularSeason20242025!$E$3:$E$1315, $A9)</f>
        <v>4</v>
      </c>
      <c r="GU9">
        <f>SUMIFS(DataRegularSeason20242025!$AA$3:$AA$1315,DataRegularSeason20242025!$B$3:$B$1315, "&lt;=" &amp; GU$1, DataRegularSeason20242025!$D$3:$D$1315, $A9)+SUMIFS(DataRegularSeason20242025!$AB$3:$AB$1315,DataRegularSeason20242025!$B$3:$B$1315, "&lt;=" &amp; GU$1, DataRegularSeason20242025!$E$3:$E$1315, $A9)</f>
        <v>4</v>
      </c>
    </row>
    <row r="10" spans="1:275" x14ac:dyDescent="0.25">
      <c r="A10" t="s">
        <v>41</v>
      </c>
      <c r="B10" t="s">
        <v>91</v>
      </c>
      <c r="C10" s="106" t="s">
        <v>92</v>
      </c>
      <c r="D10">
        <f>SUMIFS(DataRegularSeason20242025!$AA$3:$AA$1315,DataRegularSeason20242025!$B$3:$B$1315, "&lt;=" &amp; D$1, DataRegularSeason20242025!$D$3:$D$1315, $A10)+SUMIFS(DataRegularSeason20242025!$AB$3:$AB$1315,DataRegularSeason20242025!$B$3:$B$1315, "&lt;=" &amp; D$1, DataRegularSeason20242025!$E$3:$E$1315, $A10)</f>
        <v>0</v>
      </c>
      <c r="E10">
        <f>SUMIFS(DataRegularSeason20242025!$AA$3:$AA$1315,DataRegularSeason20242025!$B$3:$B$1315, "&lt;=" &amp; E$1, DataRegularSeason20242025!$D$3:$D$1315, $A10)+SUMIFS(DataRegularSeason20242025!$AB$3:$AB$1315,DataRegularSeason20242025!$B$3:$B$1315, "&lt;=" &amp; E$1, DataRegularSeason20242025!$E$3:$E$1315, $A10)</f>
        <v>0</v>
      </c>
      <c r="F10">
        <f>SUMIFS(DataRegularSeason20242025!$AA$3:$AA$1315,DataRegularSeason20242025!$B$3:$B$1315, "&lt;=" &amp; F$1, DataRegularSeason20242025!$D$3:$D$1315, $A10)+SUMIFS(DataRegularSeason20242025!$AB$3:$AB$1315,DataRegularSeason20242025!$B$3:$B$1315, "&lt;=" &amp; F$1, DataRegularSeason20242025!$E$3:$E$1315, $A10)</f>
        <v>0</v>
      </c>
      <c r="G10">
        <f>SUMIFS(DataRegularSeason20242025!$AA$3:$AA$1315,DataRegularSeason20242025!$B$3:$B$1315, "&lt;=" &amp; G$1, DataRegularSeason20242025!$D$3:$D$1315, $A10)+SUMIFS(DataRegularSeason20242025!$AB$3:$AB$1315,DataRegularSeason20242025!$B$3:$B$1315, "&lt;=" &amp; G$1, DataRegularSeason20242025!$E$3:$E$1315, $A10)</f>
        <v>0</v>
      </c>
      <c r="H10">
        <f>SUMIFS(DataRegularSeason20242025!$AA$3:$AA$1315,DataRegularSeason20242025!$B$3:$B$1315, "&lt;=" &amp; H$1, DataRegularSeason20242025!$D$3:$D$1315, $A10)+SUMIFS(DataRegularSeason20242025!$AB$3:$AB$1315,DataRegularSeason20242025!$B$3:$B$1315, "&lt;=" &amp; H$1, DataRegularSeason20242025!$E$3:$E$1315, $A10)</f>
        <v>0</v>
      </c>
      <c r="I10">
        <f>SUMIFS(DataRegularSeason20242025!$AA$3:$AA$1315,DataRegularSeason20242025!$B$3:$B$1315, "&lt;=" &amp; I$1, DataRegularSeason20242025!$D$3:$D$1315, $A10)+SUMIFS(DataRegularSeason20242025!$AB$3:$AB$1315,DataRegularSeason20242025!$B$3:$B$1315, "&lt;=" &amp; I$1, DataRegularSeason20242025!$E$3:$E$1315, $A10)</f>
        <v>0</v>
      </c>
      <c r="J10">
        <f>SUMIFS(DataRegularSeason20242025!$AA$3:$AA$1315,DataRegularSeason20242025!$B$3:$B$1315, "&lt;=" &amp; J$1, DataRegularSeason20242025!$D$3:$D$1315, $A10)+SUMIFS(DataRegularSeason20242025!$AB$3:$AB$1315,DataRegularSeason20242025!$B$3:$B$1315, "&lt;=" &amp; J$1, DataRegularSeason20242025!$E$3:$E$1315, $A10)</f>
        <v>2</v>
      </c>
      <c r="K10">
        <f>SUMIFS(DataRegularSeason20242025!$AA$3:$AA$1315,DataRegularSeason20242025!$B$3:$B$1315, "&lt;=" &amp; K$1, DataRegularSeason20242025!$D$3:$D$1315, $A10)+SUMIFS(DataRegularSeason20242025!$AB$3:$AB$1315,DataRegularSeason20242025!$B$3:$B$1315, "&lt;=" &amp; K$1, DataRegularSeason20242025!$E$3:$E$1315, $A10)</f>
        <v>2</v>
      </c>
      <c r="L10">
        <f>SUMIFS(DataRegularSeason20242025!$AA$3:$AA$1315,DataRegularSeason20242025!$B$3:$B$1315, "&lt;=" &amp; L$1, DataRegularSeason20242025!$D$3:$D$1315, $A10)+SUMIFS(DataRegularSeason20242025!$AB$3:$AB$1315,DataRegularSeason20242025!$B$3:$B$1315, "&lt;=" &amp; L$1, DataRegularSeason20242025!$E$3:$E$1315, $A10)</f>
        <v>4</v>
      </c>
      <c r="M10">
        <f>SUMIFS(DataRegularSeason20242025!$AA$3:$AA$1315,DataRegularSeason20242025!$B$3:$B$1315, "&lt;=" &amp; M$1, DataRegularSeason20242025!$D$3:$D$1315, $A10)+SUMIFS(DataRegularSeason20242025!$AB$3:$AB$1315,DataRegularSeason20242025!$B$3:$B$1315, "&lt;=" &amp; M$1, DataRegularSeason20242025!$E$3:$E$1315, $A10)</f>
        <v>4</v>
      </c>
      <c r="N10">
        <f>SUMIFS(DataRegularSeason20242025!$AA$3:$AA$1315,DataRegularSeason20242025!$B$3:$B$1315, "&lt;=" &amp; N$1, DataRegularSeason20242025!$D$3:$D$1315, $A10)+SUMIFS(DataRegularSeason20242025!$AB$3:$AB$1315,DataRegularSeason20242025!$B$3:$B$1315, "&lt;=" &amp; N$1, DataRegularSeason20242025!$E$3:$E$1315, $A10)</f>
        <v>4</v>
      </c>
      <c r="O10">
        <f>SUMIFS(DataRegularSeason20242025!$AA$3:$AA$1315,DataRegularSeason20242025!$B$3:$B$1315, "&lt;=" &amp; O$1, DataRegularSeason20242025!$D$3:$D$1315, $A10)+SUMIFS(DataRegularSeason20242025!$AB$3:$AB$1315,DataRegularSeason20242025!$B$3:$B$1315, "&lt;=" &amp; O$1, DataRegularSeason20242025!$E$3:$E$1315, $A10)</f>
        <v>6</v>
      </c>
      <c r="P10">
        <f>SUMIFS(DataRegularSeason20242025!$AA$3:$AA$1315,DataRegularSeason20242025!$B$3:$B$1315, "&lt;=" &amp; P$1, DataRegularSeason20242025!$D$3:$D$1315, $A10)+SUMIFS(DataRegularSeason20242025!$AB$3:$AB$1315,DataRegularSeason20242025!$B$3:$B$1315, "&lt;=" &amp; P$1, DataRegularSeason20242025!$E$3:$E$1315, $A10)</f>
        <v>6</v>
      </c>
      <c r="Q10">
        <f>SUMIFS(DataRegularSeason20242025!$AA$3:$AA$1315,DataRegularSeason20242025!$B$3:$B$1315, "&lt;=" &amp; Q$1, DataRegularSeason20242025!$D$3:$D$1315, $A10)+SUMIFS(DataRegularSeason20242025!$AB$3:$AB$1315,DataRegularSeason20242025!$B$3:$B$1315, "&lt;=" &amp; Q$1, DataRegularSeason20242025!$E$3:$E$1315, $A10)</f>
        <v>8</v>
      </c>
      <c r="R10">
        <f>SUMIFS(DataRegularSeason20242025!$AA$3:$AA$1315,DataRegularSeason20242025!$B$3:$B$1315, "&lt;=" &amp; R$1, DataRegularSeason20242025!$D$3:$D$1315, $A10)+SUMIFS(DataRegularSeason20242025!$AB$3:$AB$1315,DataRegularSeason20242025!$B$3:$B$1315, "&lt;=" &amp; R$1, DataRegularSeason20242025!$E$3:$E$1315, $A10)</f>
        <v>8</v>
      </c>
      <c r="S10">
        <f>SUMIFS(DataRegularSeason20242025!$AA$3:$AA$1315,DataRegularSeason20242025!$B$3:$B$1315, "&lt;=" &amp; S$1, DataRegularSeason20242025!$D$3:$D$1315, $A10)+SUMIFS(DataRegularSeason20242025!$AB$3:$AB$1315,DataRegularSeason20242025!$B$3:$B$1315, "&lt;=" &amp; S$1, DataRegularSeason20242025!$E$3:$E$1315, $A10)</f>
        <v>10</v>
      </c>
      <c r="T10">
        <f>SUMIFS(DataRegularSeason20242025!$AA$3:$AA$1315,DataRegularSeason20242025!$B$3:$B$1315, "&lt;=" &amp; T$1, DataRegularSeason20242025!$D$3:$D$1315, $A10)+SUMIFS(DataRegularSeason20242025!$AB$3:$AB$1315,DataRegularSeason20242025!$B$3:$B$1315, "&lt;=" &amp; T$1, DataRegularSeason20242025!$E$3:$E$1315, $A10)</f>
        <v>10</v>
      </c>
      <c r="U10">
        <f>SUMIFS(DataRegularSeason20242025!$AA$3:$AA$1315,DataRegularSeason20242025!$B$3:$B$1315, "&lt;=" &amp; U$1, DataRegularSeason20242025!$D$3:$D$1315, $A10)+SUMIFS(DataRegularSeason20242025!$AB$3:$AB$1315,DataRegularSeason20242025!$B$3:$B$1315, "&lt;=" &amp; U$1, DataRegularSeason20242025!$E$3:$E$1315, $A10)</f>
        <v>10</v>
      </c>
      <c r="V10">
        <f>SUMIFS(DataRegularSeason20242025!$AA$3:$AA$1315,DataRegularSeason20242025!$B$3:$B$1315, "&lt;=" &amp; V$1, DataRegularSeason20242025!$D$3:$D$1315, $A10)+SUMIFS(DataRegularSeason20242025!$AB$3:$AB$1315,DataRegularSeason20242025!$B$3:$B$1315, "&lt;=" &amp; V$1, DataRegularSeason20242025!$E$3:$E$1315, $A10)</f>
        <v>10</v>
      </c>
      <c r="W10">
        <f>SUMIFS(DataRegularSeason20242025!$AA$3:$AA$1315,DataRegularSeason20242025!$B$3:$B$1315, "&lt;=" &amp; W$1, DataRegularSeason20242025!$D$3:$D$1315, $A10)+SUMIFS(DataRegularSeason20242025!$AB$3:$AB$1315,DataRegularSeason20242025!$B$3:$B$1315, "&lt;=" &amp; W$1, DataRegularSeason20242025!$E$3:$E$1315, $A10)</f>
        <v>10</v>
      </c>
      <c r="X10">
        <f>SUMIFS(DataRegularSeason20242025!$AA$3:$AA$1315,DataRegularSeason20242025!$B$3:$B$1315, "&lt;=" &amp; X$1, DataRegularSeason20242025!$D$3:$D$1315, $A10)+SUMIFS(DataRegularSeason20242025!$AB$3:$AB$1315,DataRegularSeason20242025!$B$3:$B$1315, "&lt;=" &amp; X$1, DataRegularSeason20242025!$E$3:$E$1315, $A10)</f>
        <v>10</v>
      </c>
      <c r="Y10">
        <f>SUMIFS(DataRegularSeason20242025!$AA$3:$AA$1315,DataRegularSeason20242025!$B$3:$B$1315, "&lt;=" &amp; Y$1, DataRegularSeason20242025!$D$3:$D$1315, $A10)+SUMIFS(DataRegularSeason20242025!$AB$3:$AB$1315,DataRegularSeason20242025!$B$3:$B$1315, "&lt;=" &amp; Y$1, DataRegularSeason20242025!$E$3:$E$1315, $A10)</f>
        <v>10</v>
      </c>
      <c r="Z10">
        <f>SUMIFS(DataRegularSeason20242025!$AA$3:$AA$1315,DataRegularSeason20242025!$B$3:$B$1315, "&lt;=" &amp; Z$1, DataRegularSeason20242025!$D$3:$D$1315, $A10)+SUMIFS(DataRegularSeason20242025!$AB$3:$AB$1315,DataRegularSeason20242025!$B$3:$B$1315, "&lt;=" &amp; Z$1, DataRegularSeason20242025!$E$3:$E$1315, $A10)</f>
        <v>10</v>
      </c>
      <c r="AA10">
        <f>SUMIFS(DataRegularSeason20242025!$AA$3:$AA$1315,DataRegularSeason20242025!$B$3:$B$1315, "&lt;=" &amp; AA$1, DataRegularSeason20242025!$D$3:$D$1315, $A10)+SUMIFS(DataRegularSeason20242025!$AB$3:$AB$1315,DataRegularSeason20242025!$B$3:$B$1315, "&lt;=" &amp; AA$1, DataRegularSeason20242025!$E$3:$E$1315, $A10)</f>
        <v>10</v>
      </c>
      <c r="AB10">
        <f>SUMIFS(DataRegularSeason20242025!$AA$3:$AA$1315,DataRegularSeason20242025!$B$3:$B$1315, "&lt;=" &amp; AB$1, DataRegularSeason20242025!$D$3:$D$1315, $A10)+SUMIFS(DataRegularSeason20242025!$AB$3:$AB$1315,DataRegularSeason20242025!$B$3:$B$1315, "&lt;=" &amp; AB$1, DataRegularSeason20242025!$E$3:$E$1315, $A10)</f>
        <v>10</v>
      </c>
      <c r="AC10">
        <f>SUMIFS(DataRegularSeason20242025!$AA$3:$AA$1315,DataRegularSeason20242025!$B$3:$B$1315, "&lt;=" &amp; AC$1, DataRegularSeason20242025!$D$3:$D$1315, $A10)+SUMIFS(DataRegularSeason20242025!$AB$3:$AB$1315,DataRegularSeason20242025!$B$3:$B$1315, "&lt;=" &amp; AC$1, DataRegularSeason20242025!$E$3:$E$1315, $A10)</f>
        <v>10</v>
      </c>
      <c r="AD10">
        <f>SUMIFS(DataRegularSeason20242025!$AA$3:$AA$1315,DataRegularSeason20242025!$B$3:$B$1315, "&lt;=" &amp; AD$1, DataRegularSeason20242025!$D$3:$D$1315, $A10)+SUMIFS(DataRegularSeason20242025!$AB$3:$AB$1315,DataRegularSeason20242025!$B$3:$B$1315, "&lt;=" &amp; AD$1, DataRegularSeason20242025!$E$3:$E$1315, $A10)</f>
        <v>10</v>
      </c>
      <c r="AE10">
        <f>SUMIFS(DataRegularSeason20242025!$AA$3:$AA$1315,DataRegularSeason20242025!$B$3:$B$1315, "&lt;=" &amp; AE$1, DataRegularSeason20242025!$D$3:$D$1315, $A10)+SUMIFS(DataRegularSeason20242025!$AB$3:$AB$1315,DataRegularSeason20242025!$B$3:$B$1315, "&lt;=" &amp; AE$1, DataRegularSeason20242025!$E$3:$E$1315, $A10)</f>
        <v>10</v>
      </c>
      <c r="AF10">
        <f>SUMIFS(DataRegularSeason20242025!$AA$3:$AA$1315,DataRegularSeason20242025!$B$3:$B$1315, "&lt;=" &amp; AF$1, DataRegularSeason20242025!$D$3:$D$1315, $A10)+SUMIFS(DataRegularSeason20242025!$AB$3:$AB$1315,DataRegularSeason20242025!$B$3:$B$1315, "&lt;=" &amp; AF$1, DataRegularSeason20242025!$E$3:$E$1315, $A10)</f>
        <v>10</v>
      </c>
      <c r="AG10">
        <f>SUMIFS(DataRegularSeason20242025!$AA$3:$AA$1315,DataRegularSeason20242025!$B$3:$B$1315, "&lt;=" &amp; AG$1, DataRegularSeason20242025!$D$3:$D$1315, $A10)+SUMIFS(DataRegularSeason20242025!$AB$3:$AB$1315,DataRegularSeason20242025!$B$3:$B$1315, "&lt;=" &amp; AG$1, DataRegularSeason20242025!$E$3:$E$1315, $A10)</f>
        <v>10</v>
      </c>
      <c r="AH10">
        <f>SUMIFS(DataRegularSeason20242025!$AA$3:$AA$1315,DataRegularSeason20242025!$B$3:$B$1315, "&lt;=" &amp; AH$1, DataRegularSeason20242025!$D$3:$D$1315, $A10)+SUMIFS(DataRegularSeason20242025!$AB$3:$AB$1315,DataRegularSeason20242025!$B$3:$B$1315, "&lt;=" &amp; AH$1, DataRegularSeason20242025!$E$3:$E$1315, $A10)</f>
        <v>10</v>
      </c>
      <c r="AI10">
        <f>SUMIFS(DataRegularSeason20242025!$AA$3:$AA$1315,DataRegularSeason20242025!$B$3:$B$1315, "&lt;=" &amp; AI$1, DataRegularSeason20242025!$D$3:$D$1315, $A10)+SUMIFS(DataRegularSeason20242025!$AB$3:$AB$1315,DataRegularSeason20242025!$B$3:$B$1315, "&lt;=" &amp; AI$1, DataRegularSeason20242025!$E$3:$E$1315, $A10)</f>
        <v>10</v>
      </c>
      <c r="AJ10">
        <f>SUMIFS(DataRegularSeason20242025!$AA$3:$AA$1315,DataRegularSeason20242025!$B$3:$B$1315, "&lt;=" &amp; AJ$1, DataRegularSeason20242025!$D$3:$D$1315, $A10)+SUMIFS(DataRegularSeason20242025!$AB$3:$AB$1315,DataRegularSeason20242025!$B$3:$B$1315, "&lt;=" &amp; AJ$1, DataRegularSeason20242025!$E$3:$E$1315, $A10)</f>
        <v>10</v>
      </c>
      <c r="AK10">
        <f>SUMIFS(DataRegularSeason20242025!$AA$3:$AA$1315,DataRegularSeason20242025!$B$3:$B$1315, "&lt;=" &amp; AK$1, DataRegularSeason20242025!$D$3:$D$1315, $A10)+SUMIFS(DataRegularSeason20242025!$AB$3:$AB$1315,DataRegularSeason20242025!$B$3:$B$1315, "&lt;=" &amp; AK$1, DataRegularSeason20242025!$E$3:$E$1315, $A10)</f>
        <v>10</v>
      </c>
      <c r="AL10">
        <f>SUMIFS(DataRegularSeason20242025!$AA$3:$AA$1315,DataRegularSeason20242025!$B$3:$B$1315, "&lt;=" &amp; AL$1, DataRegularSeason20242025!$D$3:$D$1315, $A10)+SUMIFS(DataRegularSeason20242025!$AB$3:$AB$1315,DataRegularSeason20242025!$B$3:$B$1315, "&lt;=" &amp; AL$1, DataRegularSeason20242025!$E$3:$E$1315, $A10)</f>
        <v>10</v>
      </c>
      <c r="AM10">
        <f>SUMIFS(DataRegularSeason20242025!$AA$3:$AA$1315,DataRegularSeason20242025!$B$3:$B$1315, "&lt;=" &amp; AM$1, DataRegularSeason20242025!$D$3:$D$1315, $A10)+SUMIFS(DataRegularSeason20242025!$AB$3:$AB$1315,DataRegularSeason20242025!$B$3:$B$1315, "&lt;=" &amp; AM$1, DataRegularSeason20242025!$E$3:$E$1315, $A10)</f>
        <v>10</v>
      </c>
      <c r="AN10">
        <f>SUMIFS(DataRegularSeason20242025!$AA$3:$AA$1315,DataRegularSeason20242025!$B$3:$B$1315, "&lt;=" &amp; AN$1, DataRegularSeason20242025!$D$3:$D$1315, $A10)+SUMIFS(DataRegularSeason20242025!$AB$3:$AB$1315,DataRegularSeason20242025!$B$3:$B$1315, "&lt;=" &amp; AN$1, DataRegularSeason20242025!$E$3:$E$1315, $A10)</f>
        <v>10</v>
      </c>
      <c r="AO10">
        <f>SUMIFS(DataRegularSeason20242025!$AA$3:$AA$1315,DataRegularSeason20242025!$B$3:$B$1315, "&lt;=" &amp; AO$1, DataRegularSeason20242025!$D$3:$D$1315, $A10)+SUMIFS(DataRegularSeason20242025!$AB$3:$AB$1315,DataRegularSeason20242025!$B$3:$B$1315, "&lt;=" &amp; AO$1, DataRegularSeason20242025!$E$3:$E$1315, $A10)</f>
        <v>10</v>
      </c>
      <c r="AP10">
        <f>SUMIFS(DataRegularSeason20242025!$AA$3:$AA$1315,DataRegularSeason20242025!$B$3:$B$1315, "&lt;=" &amp; AP$1, DataRegularSeason20242025!$D$3:$D$1315, $A10)+SUMIFS(DataRegularSeason20242025!$AB$3:$AB$1315,DataRegularSeason20242025!$B$3:$B$1315, "&lt;=" &amp; AP$1, DataRegularSeason20242025!$E$3:$E$1315, $A10)</f>
        <v>10</v>
      </c>
      <c r="AQ10">
        <f>SUMIFS(DataRegularSeason20242025!$AA$3:$AA$1315,DataRegularSeason20242025!$B$3:$B$1315, "&lt;=" &amp; AQ$1, DataRegularSeason20242025!$D$3:$D$1315, $A10)+SUMIFS(DataRegularSeason20242025!$AB$3:$AB$1315,DataRegularSeason20242025!$B$3:$B$1315, "&lt;=" &amp; AQ$1, DataRegularSeason20242025!$E$3:$E$1315, $A10)</f>
        <v>10</v>
      </c>
      <c r="AR10">
        <f>SUMIFS(DataRegularSeason20242025!$AA$3:$AA$1315,DataRegularSeason20242025!$B$3:$B$1315, "&lt;=" &amp; AR$1, DataRegularSeason20242025!$D$3:$D$1315, $A10)+SUMIFS(DataRegularSeason20242025!$AB$3:$AB$1315,DataRegularSeason20242025!$B$3:$B$1315, "&lt;=" &amp; AR$1, DataRegularSeason20242025!$E$3:$E$1315, $A10)</f>
        <v>10</v>
      </c>
      <c r="AS10">
        <f>SUMIFS(DataRegularSeason20242025!$AA$3:$AA$1315,DataRegularSeason20242025!$B$3:$B$1315, "&lt;=" &amp; AS$1, DataRegularSeason20242025!$D$3:$D$1315, $A10)+SUMIFS(DataRegularSeason20242025!$AB$3:$AB$1315,DataRegularSeason20242025!$B$3:$B$1315, "&lt;=" &amp; AS$1, DataRegularSeason20242025!$E$3:$E$1315, $A10)</f>
        <v>10</v>
      </c>
      <c r="AT10">
        <f>SUMIFS(DataRegularSeason20242025!$AA$3:$AA$1315,DataRegularSeason20242025!$B$3:$B$1315, "&lt;=" &amp; AT$1, DataRegularSeason20242025!$D$3:$D$1315, $A10)+SUMIFS(DataRegularSeason20242025!$AB$3:$AB$1315,DataRegularSeason20242025!$B$3:$B$1315, "&lt;=" &amp; AT$1, DataRegularSeason20242025!$E$3:$E$1315, $A10)</f>
        <v>10</v>
      </c>
      <c r="AU10">
        <f>SUMIFS(DataRegularSeason20242025!$AA$3:$AA$1315,DataRegularSeason20242025!$B$3:$B$1315, "&lt;=" &amp; AU$1, DataRegularSeason20242025!$D$3:$D$1315, $A10)+SUMIFS(DataRegularSeason20242025!$AB$3:$AB$1315,DataRegularSeason20242025!$B$3:$B$1315, "&lt;=" &amp; AU$1, DataRegularSeason20242025!$E$3:$E$1315, $A10)</f>
        <v>10</v>
      </c>
      <c r="AV10">
        <f>SUMIFS(DataRegularSeason20242025!$AA$3:$AA$1315,DataRegularSeason20242025!$B$3:$B$1315, "&lt;=" &amp; AV$1, DataRegularSeason20242025!$D$3:$D$1315, $A10)+SUMIFS(DataRegularSeason20242025!$AB$3:$AB$1315,DataRegularSeason20242025!$B$3:$B$1315, "&lt;=" &amp; AV$1, DataRegularSeason20242025!$E$3:$E$1315, $A10)</f>
        <v>10</v>
      </c>
      <c r="AW10">
        <f>SUMIFS(DataRegularSeason20242025!$AA$3:$AA$1315,DataRegularSeason20242025!$B$3:$B$1315, "&lt;=" &amp; AW$1, DataRegularSeason20242025!$D$3:$D$1315, $A10)+SUMIFS(DataRegularSeason20242025!$AB$3:$AB$1315,DataRegularSeason20242025!$B$3:$B$1315, "&lt;=" &amp; AW$1, DataRegularSeason20242025!$E$3:$E$1315, $A10)</f>
        <v>10</v>
      </c>
      <c r="AX10">
        <f>SUMIFS(DataRegularSeason20242025!$AA$3:$AA$1315,DataRegularSeason20242025!$B$3:$B$1315, "&lt;=" &amp; AX$1, DataRegularSeason20242025!$D$3:$D$1315, $A10)+SUMIFS(DataRegularSeason20242025!$AB$3:$AB$1315,DataRegularSeason20242025!$B$3:$B$1315, "&lt;=" &amp; AX$1, DataRegularSeason20242025!$E$3:$E$1315, $A10)</f>
        <v>10</v>
      </c>
      <c r="AY10">
        <f>SUMIFS(DataRegularSeason20242025!$AA$3:$AA$1315,DataRegularSeason20242025!$B$3:$B$1315, "&lt;=" &amp; AY$1, DataRegularSeason20242025!$D$3:$D$1315, $A10)+SUMIFS(DataRegularSeason20242025!$AB$3:$AB$1315,DataRegularSeason20242025!$B$3:$B$1315, "&lt;=" &amp; AY$1, DataRegularSeason20242025!$E$3:$E$1315, $A10)</f>
        <v>10</v>
      </c>
      <c r="AZ10">
        <f>SUMIFS(DataRegularSeason20242025!$AA$3:$AA$1315,DataRegularSeason20242025!$B$3:$B$1315, "&lt;=" &amp; AZ$1, DataRegularSeason20242025!$D$3:$D$1315, $A10)+SUMIFS(DataRegularSeason20242025!$AB$3:$AB$1315,DataRegularSeason20242025!$B$3:$B$1315, "&lt;=" &amp; AZ$1, DataRegularSeason20242025!$E$3:$E$1315, $A10)</f>
        <v>10</v>
      </c>
      <c r="BA10">
        <f>SUMIFS(DataRegularSeason20242025!$AA$3:$AA$1315,DataRegularSeason20242025!$B$3:$B$1315, "&lt;=" &amp; BA$1, DataRegularSeason20242025!$D$3:$D$1315, $A10)+SUMIFS(DataRegularSeason20242025!$AB$3:$AB$1315,DataRegularSeason20242025!$B$3:$B$1315, "&lt;=" &amp; BA$1, DataRegularSeason20242025!$E$3:$E$1315, $A10)</f>
        <v>10</v>
      </c>
      <c r="BB10">
        <f>SUMIFS(DataRegularSeason20242025!$AA$3:$AA$1315,DataRegularSeason20242025!$B$3:$B$1315, "&lt;=" &amp; BB$1, DataRegularSeason20242025!$D$3:$D$1315, $A10)+SUMIFS(DataRegularSeason20242025!$AB$3:$AB$1315,DataRegularSeason20242025!$B$3:$B$1315, "&lt;=" &amp; BB$1, DataRegularSeason20242025!$E$3:$E$1315, $A10)</f>
        <v>10</v>
      </c>
      <c r="BC10">
        <f>SUMIFS(DataRegularSeason20242025!$AA$3:$AA$1315,DataRegularSeason20242025!$B$3:$B$1315, "&lt;=" &amp; BC$1, DataRegularSeason20242025!$D$3:$D$1315, $A10)+SUMIFS(DataRegularSeason20242025!$AB$3:$AB$1315,DataRegularSeason20242025!$B$3:$B$1315, "&lt;=" &amp; BC$1, DataRegularSeason20242025!$E$3:$E$1315, $A10)</f>
        <v>10</v>
      </c>
      <c r="BD10">
        <f>SUMIFS(DataRegularSeason20242025!$AA$3:$AA$1315,DataRegularSeason20242025!$B$3:$B$1315, "&lt;=" &amp; BD$1, DataRegularSeason20242025!$D$3:$D$1315, $A10)+SUMIFS(DataRegularSeason20242025!$AB$3:$AB$1315,DataRegularSeason20242025!$B$3:$B$1315, "&lt;=" &amp; BD$1, DataRegularSeason20242025!$E$3:$E$1315, $A10)</f>
        <v>10</v>
      </c>
      <c r="BE10">
        <f>SUMIFS(DataRegularSeason20242025!$AA$3:$AA$1315,DataRegularSeason20242025!$B$3:$B$1315, "&lt;=" &amp; BE$1, DataRegularSeason20242025!$D$3:$D$1315, $A10)+SUMIFS(DataRegularSeason20242025!$AB$3:$AB$1315,DataRegularSeason20242025!$B$3:$B$1315, "&lt;=" &amp; BE$1, DataRegularSeason20242025!$E$3:$E$1315, $A10)</f>
        <v>10</v>
      </c>
      <c r="BF10">
        <f>SUMIFS(DataRegularSeason20242025!$AA$3:$AA$1315,DataRegularSeason20242025!$B$3:$B$1315, "&lt;=" &amp; BF$1, DataRegularSeason20242025!$D$3:$D$1315, $A10)+SUMIFS(DataRegularSeason20242025!$AB$3:$AB$1315,DataRegularSeason20242025!$B$3:$B$1315, "&lt;=" &amp; BF$1, DataRegularSeason20242025!$E$3:$E$1315, $A10)</f>
        <v>10</v>
      </c>
      <c r="BG10">
        <f>SUMIFS(DataRegularSeason20242025!$AA$3:$AA$1315,DataRegularSeason20242025!$B$3:$B$1315, "&lt;=" &amp; BG$1, DataRegularSeason20242025!$D$3:$D$1315, $A10)+SUMIFS(DataRegularSeason20242025!$AB$3:$AB$1315,DataRegularSeason20242025!$B$3:$B$1315, "&lt;=" &amp; BG$1, DataRegularSeason20242025!$E$3:$E$1315, $A10)</f>
        <v>10</v>
      </c>
      <c r="BH10">
        <f>SUMIFS(DataRegularSeason20242025!$AA$3:$AA$1315,DataRegularSeason20242025!$B$3:$B$1315, "&lt;=" &amp; BH$1, DataRegularSeason20242025!$D$3:$D$1315, $A10)+SUMIFS(DataRegularSeason20242025!$AB$3:$AB$1315,DataRegularSeason20242025!$B$3:$B$1315, "&lt;=" &amp; BH$1, DataRegularSeason20242025!$E$3:$E$1315, $A10)</f>
        <v>10</v>
      </c>
      <c r="BI10">
        <f>SUMIFS(DataRegularSeason20242025!$AA$3:$AA$1315,DataRegularSeason20242025!$B$3:$B$1315, "&lt;=" &amp; BI$1, DataRegularSeason20242025!$D$3:$D$1315, $A10)+SUMIFS(DataRegularSeason20242025!$AB$3:$AB$1315,DataRegularSeason20242025!$B$3:$B$1315, "&lt;=" &amp; BI$1, DataRegularSeason20242025!$E$3:$E$1315, $A10)</f>
        <v>10</v>
      </c>
      <c r="BJ10">
        <f>SUMIFS(DataRegularSeason20242025!$AA$3:$AA$1315,DataRegularSeason20242025!$B$3:$B$1315, "&lt;=" &amp; BJ$1, DataRegularSeason20242025!$D$3:$D$1315, $A10)+SUMIFS(DataRegularSeason20242025!$AB$3:$AB$1315,DataRegularSeason20242025!$B$3:$B$1315, "&lt;=" &amp; BJ$1, DataRegularSeason20242025!$E$3:$E$1315, $A10)</f>
        <v>10</v>
      </c>
      <c r="BK10">
        <f>SUMIFS(DataRegularSeason20242025!$AA$3:$AA$1315,DataRegularSeason20242025!$B$3:$B$1315, "&lt;=" &amp; BK$1, DataRegularSeason20242025!$D$3:$D$1315, $A10)+SUMIFS(DataRegularSeason20242025!$AB$3:$AB$1315,DataRegularSeason20242025!$B$3:$B$1315, "&lt;=" &amp; BK$1, DataRegularSeason20242025!$E$3:$E$1315, $A10)</f>
        <v>10</v>
      </c>
      <c r="BL10">
        <f>SUMIFS(DataRegularSeason20242025!$AA$3:$AA$1315,DataRegularSeason20242025!$B$3:$B$1315, "&lt;=" &amp; BL$1, DataRegularSeason20242025!$D$3:$D$1315, $A10)+SUMIFS(DataRegularSeason20242025!$AB$3:$AB$1315,DataRegularSeason20242025!$B$3:$B$1315, "&lt;=" &amp; BL$1, DataRegularSeason20242025!$E$3:$E$1315, $A10)</f>
        <v>10</v>
      </c>
      <c r="BM10">
        <f>SUMIFS(DataRegularSeason20242025!$AA$3:$AA$1315,DataRegularSeason20242025!$B$3:$B$1315, "&lt;=" &amp; BM$1, DataRegularSeason20242025!$D$3:$D$1315, $A10)+SUMIFS(DataRegularSeason20242025!$AB$3:$AB$1315,DataRegularSeason20242025!$B$3:$B$1315, "&lt;=" &amp; BM$1, DataRegularSeason20242025!$E$3:$E$1315, $A10)</f>
        <v>10</v>
      </c>
      <c r="BN10">
        <f>SUMIFS(DataRegularSeason20242025!$AA$3:$AA$1315,DataRegularSeason20242025!$B$3:$B$1315, "&lt;=" &amp; BN$1, DataRegularSeason20242025!$D$3:$D$1315, $A10)+SUMIFS(DataRegularSeason20242025!$AB$3:$AB$1315,DataRegularSeason20242025!$B$3:$B$1315, "&lt;=" &amp; BN$1, DataRegularSeason20242025!$E$3:$E$1315, $A10)</f>
        <v>10</v>
      </c>
      <c r="BO10">
        <f>SUMIFS(DataRegularSeason20242025!$AA$3:$AA$1315,DataRegularSeason20242025!$B$3:$B$1315, "&lt;=" &amp; BO$1, DataRegularSeason20242025!$D$3:$D$1315, $A10)+SUMIFS(DataRegularSeason20242025!$AB$3:$AB$1315,DataRegularSeason20242025!$B$3:$B$1315, "&lt;=" &amp; BO$1, DataRegularSeason20242025!$E$3:$E$1315, $A10)</f>
        <v>10</v>
      </c>
      <c r="BP10">
        <f>SUMIFS(DataRegularSeason20242025!$AA$3:$AA$1315,DataRegularSeason20242025!$B$3:$B$1315, "&lt;=" &amp; BP$1, DataRegularSeason20242025!$D$3:$D$1315, $A10)+SUMIFS(DataRegularSeason20242025!$AB$3:$AB$1315,DataRegularSeason20242025!$B$3:$B$1315, "&lt;=" &amp; BP$1, DataRegularSeason20242025!$E$3:$E$1315, $A10)</f>
        <v>10</v>
      </c>
      <c r="BQ10">
        <f>SUMIFS(DataRegularSeason20242025!$AA$3:$AA$1315,DataRegularSeason20242025!$B$3:$B$1315, "&lt;=" &amp; BQ$1, DataRegularSeason20242025!$D$3:$D$1315, $A10)+SUMIFS(DataRegularSeason20242025!$AB$3:$AB$1315,DataRegularSeason20242025!$B$3:$B$1315, "&lt;=" &amp; BQ$1, DataRegularSeason20242025!$E$3:$E$1315, $A10)</f>
        <v>10</v>
      </c>
      <c r="BR10">
        <f>SUMIFS(DataRegularSeason20242025!$AA$3:$AA$1315,DataRegularSeason20242025!$B$3:$B$1315, "&lt;=" &amp; BR$1, DataRegularSeason20242025!$D$3:$D$1315, $A10)+SUMIFS(DataRegularSeason20242025!$AB$3:$AB$1315,DataRegularSeason20242025!$B$3:$B$1315, "&lt;=" &amp; BR$1, DataRegularSeason20242025!$E$3:$E$1315, $A10)</f>
        <v>10</v>
      </c>
      <c r="BS10">
        <f>SUMIFS(DataRegularSeason20242025!$AA$3:$AA$1315,DataRegularSeason20242025!$B$3:$B$1315, "&lt;=" &amp; BS$1, DataRegularSeason20242025!$D$3:$D$1315, $A10)+SUMIFS(DataRegularSeason20242025!$AB$3:$AB$1315,DataRegularSeason20242025!$B$3:$B$1315, "&lt;=" &amp; BS$1, DataRegularSeason20242025!$E$3:$E$1315, $A10)</f>
        <v>10</v>
      </c>
      <c r="BT10">
        <f>SUMIFS(DataRegularSeason20242025!$AA$3:$AA$1315,DataRegularSeason20242025!$B$3:$B$1315, "&lt;=" &amp; BT$1, DataRegularSeason20242025!$D$3:$D$1315, $A10)+SUMIFS(DataRegularSeason20242025!$AB$3:$AB$1315,DataRegularSeason20242025!$B$3:$B$1315, "&lt;=" &amp; BT$1, DataRegularSeason20242025!$E$3:$E$1315, $A10)</f>
        <v>10</v>
      </c>
      <c r="BU10">
        <f>SUMIFS(DataRegularSeason20242025!$AA$3:$AA$1315,DataRegularSeason20242025!$B$3:$B$1315, "&lt;=" &amp; BU$1, DataRegularSeason20242025!$D$3:$D$1315, $A10)+SUMIFS(DataRegularSeason20242025!$AB$3:$AB$1315,DataRegularSeason20242025!$B$3:$B$1315, "&lt;=" &amp; BU$1, DataRegularSeason20242025!$E$3:$E$1315, $A10)</f>
        <v>10</v>
      </c>
      <c r="BV10">
        <f>SUMIFS(DataRegularSeason20242025!$AA$3:$AA$1315,DataRegularSeason20242025!$B$3:$B$1315, "&lt;=" &amp; BV$1, DataRegularSeason20242025!$D$3:$D$1315, $A10)+SUMIFS(DataRegularSeason20242025!$AB$3:$AB$1315,DataRegularSeason20242025!$B$3:$B$1315, "&lt;=" &amp; BV$1, DataRegularSeason20242025!$E$3:$E$1315, $A10)</f>
        <v>10</v>
      </c>
      <c r="BW10">
        <f>SUMIFS(DataRegularSeason20242025!$AA$3:$AA$1315,DataRegularSeason20242025!$B$3:$B$1315, "&lt;=" &amp; BW$1, DataRegularSeason20242025!$D$3:$D$1315, $A10)+SUMIFS(DataRegularSeason20242025!$AB$3:$AB$1315,DataRegularSeason20242025!$B$3:$B$1315, "&lt;=" &amp; BW$1, DataRegularSeason20242025!$E$3:$E$1315, $A10)</f>
        <v>10</v>
      </c>
      <c r="BX10">
        <f>SUMIFS(DataRegularSeason20242025!$AA$3:$AA$1315,DataRegularSeason20242025!$B$3:$B$1315, "&lt;=" &amp; BX$1, DataRegularSeason20242025!$D$3:$D$1315, $A10)+SUMIFS(DataRegularSeason20242025!$AB$3:$AB$1315,DataRegularSeason20242025!$B$3:$B$1315, "&lt;=" &amp; BX$1, DataRegularSeason20242025!$E$3:$E$1315, $A10)</f>
        <v>10</v>
      </c>
      <c r="BY10">
        <f>SUMIFS(DataRegularSeason20242025!$AA$3:$AA$1315,DataRegularSeason20242025!$B$3:$B$1315, "&lt;=" &amp; BY$1, DataRegularSeason20242025!$D$3:$D$1315, $A10)+SUMIFS(DataRegularSeason20242025!$AB$3:$AB$1315,DataRegularSeason20242025!$B$3:$B$1315, "&lt;=" &amp; BY$1, DataRegularSeason20242025!$E$3:$E$1315, $A10)</f>
        <v>10</v>
      </c>
      <c r="BZ10">
        <f>SUMIFS(DataRegularSeason20242025!$AA$3:$AA$1315,DataRegularSeason20242025!$B$3:$B$1315, "&lt;=" &amp; BZ$1, DataRegularSeason20242025!$D$3:$D$1315, $A10)+SUMIFS(DataRegularSeason20242025!$AB$3:$AB$1315,DataRegularSeason20242025!$B$3:$B$1315, "&lt;=" &amp; BZ$1, DataRegularSeason20242025!$E$3:$E$1315, $A10)</f>
        <v>10</v>
      </c>
      <c r="CA10">
        <f>SUMIFS(DataRegularSeason20242025!$AA$3:$AA$1315,DataRegularSeason20242025!$B$3:$B$1315, "&lt;=" &amp; CA$1, DataRegularSeason20242025!$D$3:$D$1315, $A10)+SUMIFS(DataRegularSeason20242025!$AB$3:$AB$1315,DataRegularSeason20242025!$B$3:$B$1315, "&lt;=" &amp; CA$1, DataRegularSeason20242025!$E$3:$E$1315, $A10)</f>
        <v>10</v>
      </c>
      <c r="CB10">
        <f>SUMIFS(DataRegularSeason20242025!$AA$3:$AA$1315,DataRegularSeason20242025!$B$3:$B$1315, "&lt;=" &amp; CB$1, DataRegularSeason20242025!$D$3:$D$1315, $A10)+SUMIFS(DataRegularSeason20242025!$AB$3:$AB$1315,DataRegularSeason20242025!$B$3:$B$1315, "&lt;=" &amp; CB$1, DataRegularSeason20242025!$E$3:$E$1315, $A10)</f>
        <v>10</v>
      </c>
      <c r="CC10">
        <f>SUMIFS(DataRegularSeason20242025!$AA$3:$AA$1315,DataRegularSeason20242025!$B$3:$B$1315, "&lt;=" &amp; CC$1, DataRegularSeason20242025!$D$3:$D$1315, $A10)+SUMIFS(DataRegularSeason20242025!$AB$3:$AB$1315,DataRegularSeason20242025!$B$3:$B$1315, "&lt;=" &amp; CC$1, DataRegularSeason20242025!$E$3:$E$1315, $A10)</f>
        <v>10</v>
      </c>
      <c r="CD10">
        <f>SUMIFS(DataRegularSeason20242025!$AA$3:$AA$1315,DataRegularSeason20242025!$B$3:$B$1315, "&lt;=" &amp; CD$1, DataRegularSeason20242025!$D$3:$D$1315, $A10)+SUMIFS(DataRegularSeason20242025!$AB$3:$AB$1315,DataRegularSeason20242025!$B$3:$B$1315, "&lt;=" &amp; CD$1, DataRegularSeason20242025!$E$3:$E$1315, $A10)</f>
        <v>10</v>
      </c>
      <c r="CE10">
        <f>SUMIFS(DataRegularSeason20242025!$AA$3:$AA$1315,DataRegularSeason20242025!$B$3:$B$1315, "&lt;=" &amp; CE$1, DataRegularSeason20242025!$D$3:$D$1315, $A10)+SUMIFS(DataRegularSeason20242025!$AB$3:$AB$1315,DataRegularSeason20242025!$B$3:$B$1315, "&lt;=" &amp; CE$1, DataRegularSeason20242025!$E$3:$E$1315, $A10)</f>
        <v>10</v>
      </c>
      <c r="CF10">
        <f>SUMIFS(DataRegularSeason20242025!$AA$3:$AA$1315,DataRegularSeason20242025!$B$3:$B$1315, "&lt;=" &amp; CF$1, DataRegularSeason20242025!$D$3:$D$1315, $A10)+SUMIFS(DataRegularSeason20242025!$AB$3:$AB$1315,DataRegularSeason20242025!$B$3:$B$1315, "&lt;=" &amp; CF$1, DataRegularSeason20242025!$E$3:$E$1315, $A10)</f>
        <v>10</v>
      </c>
      <c r="CG10">
        <f>SUMIFS(DataRegularSeason20242025!$AA$3:$AA$1315,DataRegularSeason20242025!$B$3:$B$1315, "&lt;=" &amp; CG$1, DataRegularSeason20242025!$D$3:$D$1315, $A10)+SUMIFS(DataRegularSeason20242025!$AB$3:$AB$1315,DataRegularSeason20242025!$B$3:$B$1315, "&lt;=" &amp; CG$1, DataRegularSeason20242025!$E$3:$E$1315, $A10)</f>
        <v>10</v>
      </c>
      <c r="CH10">
        <f>SUMIFS(DataRegularSeason20242025!$AA$3:$AA$1315,DataRegularSeason20242025!$B$3:$B$1315, "&lt;=" &amp; CH$1, DataRegularSeason20242025!$D$3:$D$1315, $A10)+SUMIFS(DataRegularSeason20242025!$AB$3:$AB$1315,DataRegularSeason20242025!$B$3:$B$1315, "&lt;=" &amp; CH$1, DataRegularSeason20242025!$E$3:$E$1315, $A10)</f>
        <v>10</v>
      </c>
      <c r="CI10">
        <f>SUMIFS(DataRegularSeason20242025!$AA$3:$AA$1315,DataRegularSeason20242025!$B$3:$B$1315, "&lt;=" &amp; CI$1, DataRegularSeason20242025!$D$3:$D$1315, $A10)+SUMIFS(DataRegularSeason20242025!$AB$3:$AB$1315,DataRegularSeason20242025!$B$3:$B$1315, "&lt;=" &amp; CI$1, DataRegularSeason20242025!$E$3:$E$1315, $A10)</f>
        <v>10</v>
      </c>
      <c r="CJ10">
        <f>SUMIFS(DataRegularSeason20242025!$AA$3:$AA$1315,DataRegularSeason20242025!$B$3:$B$1315, "&lt;=" &amp; CJ$1, DataRegularSeason20242025!$D$3:$D$1315, $A10)+SUMIFS(DataRegularSeason20242025!$AB$3:$AB$1315,DataRegularSeason20242025!$B$3:$B$1315, "&lt;=" &amp; CJ$1, DataRegularSeason20242025!$E$3:$E$1315, $A10)</f>
        <v>10</v>
      </c>
      <c r="CK10">
        <f>SUMIFS(DataRegularSeason20242025!$AA$3:$AA$1315,DataRegularSeason20242025!$B$3:$B$1315, "&lt;=" &amp; CK$1, DataRegularSeason20242025!$D$3:$D$1315, $A10)+SUMIFS(DataRegularSeason20242025!$AB$3:$AB$1315,DataRegularSeason20242025!$B$3:$B$1315, "&lt;=" &amp; CK$1, DataRegularSeason20242025!$E$3:$E$1315, $A10)</f>
        <v>10</v>
      </c>
      <c r="CL10">
        <f>SUMIFS(DataRegularSeason20242025!$AA$3:$AA$1315,DataRegularSeason20242025!$B$3:$B$1315, "&lt;=" &amp; CL$1, DataRegularSeason20242025!$D$3:$D$1315, $A10)+SUMIFS(DataRegularSeason20242025!$AB$3:$AB$1315,DataRegularSeason20242025!$B$3:$B$1315, "&lt;=" &amp; CL$1, DataRegularSeason20242025!$E$3:$E$1315, $A10)</f>
        <v>10</v>
      </c>
      <c r="CM10">
        <f>SUMIFS(DataRegularSeason20242025!$AA$3:$AA$1315,DataRegularSeason20242025!$B$3:$B$1315, "&lt;=" &amp; CM$1, DataRegularSeason20242025!$D$3:$D$1315, $A10)+SUMIFS(DataRegularSeason20242025!$AB$3:$AB$1315,DataRegularSeason20242025!$B$3:$B$1315, "&lt;=" &amp; CM$1, DataRegularSeason20242025!$E$3:$E$1315, $A10)</f>
        <v>10</v>
      </c>
      <c r="CN10">
        <f>SUMIFS(DataRegularSeason20242025!$AA$3:$AA$1315,DataRegularSeason20242025!$B$3:$B$1315, "&lt;=" &amp; CN$1, DataRegularSeason20242025!$D$3:$D$1315, $A10)+SUMIFS(DataRegularSeason20242025!$AB$3:$AB$1315,DataRegularSeason20242025!$B$3:$B$1315, "&lt;=" &amp; CN$1, DataRegularSeason20242025!$E$3:$E$1315, $A10)</f>
        <v>10</v>
      </c>
      <c r="CO10">
        <f>SUMIFS(DataRegularSeason20242025!$AA$3:$AA$1315,DataRegularSeason20242025!$B$3:$B$1315, "&lt;=" &amp; CO$1, DataRegularSeason20242025!$D$3:$D$1315, $A10)+SUMIFS(DataRegularSeason20242025!$AB$3:$AB$1315,DataRegularSeason20242025!$B$3:$B$1315, "&lt;=" &amp; CO$1, DataRegularSeason20242025!$E$3:$E$1315, $A10)</f>
        <v>10</v>
      </c>
      <c r="CP10">
        <f>SUMIFS(DataRegularSeason20242025!$AA$3:$AA$1315,DataRegularSeason20242025!$B$3:$B$1315, "&lt;=" &amp; CP$1, DataRegularSeason20242025!$D$3:$D$1315, $A10)+SUMIFS(DataRegularSeason20242025!$AB$3:$AB$1315,DataRegularSeason20242025!$B$3:$B$1315, "&lt;=" &amp; CP$1, DataRegularSeason20242025!$E$3:$E$1315, $A10)</f>
        <v>10</v>
      </c>
      <c r="CQ10">
        <f>SUMIFS(DataRegularSeason20242025!$AA$3:$AA$1315,DataRegularSeason20242025!$B$3:$B$1315, "&lt;=" &amp; CQ$1, DataRegularSeason20242025!$D$3:$D$1315, $A10)+SUMIFS(DataRegularSeason20242025!$AB$3:$AB$1315,DataRegularSeason20242025!$B$3:$B$1315, "&lt;=" &amp; CQ$1, DataRegularSeason20242025!$E$3:$E$1315, $A10)</f>
        <v>10</v>
      </c>
      <c r="CR10">
        <f>SUMIFS(DataRegularSeason20242025!$AA$3:$AA$1315,DataRegularSeason20242025!$B$3:$B$1315, "&lt;=" &amp; CR$1, DataRegularSeason20242025!$D$3:$D$1315, $A10)+SUMIFS(DataRegularSeason20242025!$AB$3:$AB$1315,DataRegularSeason20242025!$B$3:$B$1315, "&lt;=" &amp; CR$1, DataRegularSeason20242025!$E$3:$E$1315, $A10)</f>
        <v>10</v>
      </c>
      <c r="CS10">
        <f>SUMIFS(DataRegularSeason20242025!$AA$3:$AA$1315,DataRegularSeason20242025!$B$3:$B$1315, "&lt;=" &amp; CS$1, DataRegularSeason20242025!$D$3:$D$1315, $A10)+SUMIFS(DataRegularSeason20242025!$AB$3:$AB$1315,DataRegularSeason20242025!$B$3:$B$1315, "&lt;=" &amp; CS$1, DataRegularSeason20242025!$E$3:$E$1315, $A10)</f>
        <v>10</v>
      </c>
      <c r="CT10">
        <f>SUMIFS(DataRegularSeason20242025!$AA$3:$AA$1315,DataRegularSeason20242025!$B$3:$B$1315, "&lt;=" &amp; CT$1, DataRegularSeason20242025!$D$3:$D$1315, $A10)+SUMIFS(DataRegularSeason20242025!$AB$3:$AB$1315,DataRegularSeason20242025!$B$3:$B$1315, "&lt;=" &amp; CT$1, DataRegularSeason20242025!$E$3:$E$1315, $A10)</f>
        <v>10</v>
      </c>
      <c r="CU10">
        <f>SUMIFS(DataRegularSeason20242025!$AA$3:$AA$1315,DataRegularSeason20242025!$B$3:$B$1315, "&lt;=" &amp; CU$1, DataRegularSeason20242025!$D$3:$D$1315, $A10)+SUMIFS(DataRegularSeason20242025!$AB$3:$AB$1315,DataRegularSeason20242025!$B$3:$B$1315, "&lt;=" &amp; CU$1, DataRegularSeason20242025!$E$3:$E$1315, $A10)</f>
        <v>10</v>
      </c>
      <c r="CV10">
        <f>SUMIFS(DataRegularSeason20242025!$AA$3:$AA$1315,DataRegularSeason20242025!$B$3:$B$1315, "&lt;=" &amp; CV$1, DataRegularSeason20242025!$D$3:$D$1315, $A10)+SUMIFS(DataRegularSeason20242025!$AB$3:$AB$1315,DataRegularSeason20242025!$B$3:$B$1315, "&lt;=" &amp; CV$1, DataRegularSeason20242025!$E$3:$E$1315, $A10)</f>
        <v>10</v>
      </c>
      <c r="CW10">
        <f>SUMIFS(DataRegularSeason20242025!$AA$3:$AA$1315,DataRegularSeason20242025!$B$3:$B$1315, "&lt;=" &amp; CW$1, DataRegularSeason20242025!$D$3:$D$1315, $A10)+SUMIFS(DataRegularSeason20242025!$AB$3:$AB$1315,DataRegularSeason20242025!$B$3:$B$1315, "&lt;=" &amp; CW$1, DataRegularSeason20242025!$E$3:$E$1315, $A10)</f>
        <v>10</v>
      </c>
      <c r="CX10">
        <f>SUMIFS(DataRegularSeason20242025!$AA$3:$AA$1315,DataRegularSeason20242025!$B$3:$B$1315, "&lt;=" &amp; CX$1, DataRegularSeason20242025!$D$3:$D$1315, $A10)+SUMIFS(DataRegularSeason20242025!$AB$3:$AB$1315,DataRegularSeason20242025!$B$3:$B$1315, "&lt;=" &amp; CX$1, DataRegularSeason20242025!$E$3:$E$1315, $A10)</f>
        <v>10</v>
      </c>
      <c r="CY10">
        <f>SUMIFS(DataRegularSeason20242025!$AA$3:$AA$1315,DataRegularSeason20242025!$B$3:$B$1315, "&lt;=" &amp; CY$1, DataRegularSeason20242025!$D$3:$D$1315, $A10)+SUMIFS(DataRegularSeason20242025!$AB$3:$AB$1315,DataRegularSeason20242025!$B$3:$B$1315, "&lt;=" &amp; CY$1, DataRegularSeason20242025!$E$3:$E$1315, $A10)</f>
        <v>10</v>
      </c>
      <c r="CZ10">
        <f>SUMIFS(DataRegularSeason20242025!$AA$3:$AA$1315,DataRegularSeason20242025!$B$3:$B$1315, "&lt;=" &amp; CZ$1, DataRegularSeason20242025!$D$3:$D$1315, $A10)+SUMIFS(DataRegularSeason20242025!$AB$3:$AB$1315,DataRegularSeason20242025!$B$3:$B$1315, "&lt;=" &amp; CZ$1, DataRegularSeason20242025!$E$3:$E$1315, $A10)</f>
        <v>10</v>
      </c>
      <c r="DA10">
        <f>SUMIFS(DataRegularSeason20242025!$AA$3:$AA$1315,DataRegularSeason20242025!$B$3:$B$1315, "&lt;=" &amp; DA$1, DataRegularSeason20242025!$D$3:$D$1315, $A10)+SUMIFS(DataRegularSeason20242025!$AB$3:$AB$1315,DataRegularSeason20242025!$B$3:$B$1315, "&lt;=" &amp; DA$1, DataRegularSeason20242025!$E$3:$E$1315, $A10)</f>
        <v>10</v>
      </c>
      <c r="DB10">
        <f>SUMIFS(DataRegularSeason20242025!$AA$3:$AA$1315,DataRegularSeason20242025!$B$3:$B$1315, "&lt;=" &amp; DB$1, DataRegularSeason20242025!$D$3:$D$1315, $A10)+SUMIFS(DataRegularSeason20242025!$AB$3:$AB$1315,DataRegularSeason20242025!$B$3:$B$1315, "&lt;=" &amp; DB$1, DataRegularSeason20242025!$E$3:$E$1315, $A10)</f>
        <v>10</v>
      </c>
      <c r="DC10">
        <f>SUMIFS(DataRegularSeason20242025!$AA$3:$AA$1315,DataRegularSeason20242025!$B$3:$B$1315, "&lt;=" &amp; DC$1, DataRegularSeason20242025!$D$3:$D$1315, $A10)+SUMIFS(DataRegularSeason20242025!$AB$3:$AB$1315,DataRegularSeason20242025!$B$3:$B$1315, "&lt;=" &amp; DC$1, DataRegularSeason20242025!$E$3:$E$1315, $A10)</f>
        <v>10</v>
      </c>
      <c r="DD10">
        <f>SUMIFS(DataRegularSeason20242025!$AA$3:$AA$1315,DataRegularSeason20242025!$B$3:$B$1315, "&lt;=" &amp; DD$1, DataRegularSeason20242025!$D$3:$D$1315, $A10)+SUMIFS(DataRegularSeason20242025!$AB$3:$AB$1315,DataRegularSeason20242025!$B$3:$B$1315, "&lt;=" &amp; DD$1, DataRegularSeason20242025!$E$3:$E$1315, $A10)</f>
        <v>10</v>
      </c>
      <c r="DE10">
        <f>SUMIFS(DataRegularSeason20242025!$AA$3:$AA$1315,DataRegularSeason20242025!$B$3:$B$1315, "&lt;=" &amp; DE$1, DataRegularSeason20242025!$D$3:$D$1315, $A10)+SUMIFS(DataRegularSeason20242025!$AB$3:$AB$1315,DataRegularSeason20242025!$B$3:$B$1315, "&lt;=" &amp; DE$1, DataRegularSeason20242025!$E$3:$E$1315, $A10)</f>
        <v>10</v>
      </c>
      <c r="DF10">
        <f>SUMIFS(DataRegularSeason20242025!$AA$3:$AA$1315,DataRegularSeason20242025!$B$3:$B$1315, "&lt;=" &amp; DF$1, DataRegularSeason20242025!$D$3:$D$1315, $A10)+SUMIFS(DataRegularSeason20242025!$AB$3:$AB$1315,DataRegularSeason20242025!$B$3:$B$1315, "&lt;=" &amp; DF$1, DataRegularSeason20242025!$E$3:$E$1315, $A10)</f>
        <v>10</v>
      </c>
      <c r="DG10">
        <f>SUMIFS(DataRegularSeason20242025!$AA$3:$AA$1315,DataRegularSeason20242025!$B$3:$B$1315, "&lt;=" &amp; DG$1, DataRegularSeason20242025!$D$3:$D$1315, $A10)+SUMIFS(DataRegularSeason20242025!$AB$3:$AB$1315,DataRegularSeason20242025!$B$3:$B$1315, "&lt;=" &amp; DG$1, DataRegularSeason20242025!$E$3:$E$1315, $A10)</f>
        <v>10</v>
      </c>
      <c r="DH10">
        <f>SUMIFS(DataRegularSeason20242025!$AA$3:$AA$1315,DataRegularSeason20242025!$B$3:$B$1315, "&lt;=" &amp; DH$1, DataRegularSeason20242025!$D$3:$D$1315, $A10)+SUMIFS(DataRegularSeason20242025!$AB$3:$AB$1315,DataRegularSeason20242025!$B$3:$B$1315, "&lt;=" &amp; DH$1, DataRegularSeason20242025!$E$3:$E$1315, $A10)</f>
        <v>10</v>
      </c>
      <c r="DI10">
        <f>SUMIFS(DataRegularSeason20242025!$AA$3:$AA$1315,DataRegularSeason20242025!$B$3:$B$1315, "&lt;=" &amp; DI$1, DataRegularSeason20242025!$D$3:$D$1315, $A10)+SUMIFS(DataRegularSeason20242025!$AB$3:$AB$1315,DataRegularSeason20242025!$B$3:$B$1315, "&lt;=" &amp; DI$1, DataRegularSeason20242025!$E$3:$E$1315, $A10)</f>
        <v>10</v>
      </c>
      <c r="DJ10">
        <f>SUMIFS(DataRegularSeason20242025!$AA$3:$AA$1315,DataRegularSeason20242025!$B$3:$B$1315, "&lt;=" &amp; DJ$1, DataRegularSeason20242025!$D$3:$D$1315, $A10)+SUMIFS(DataRegularSeason20242025!$AB$3:$AB$1315,DataRegularSeason20242025!$B$3:$B$1315, "&lt;=" &amp; DJ$1, DataRegularSeason20242025!$E$3:$E$1315, $A10)</f>
        <v>10</v>
      </c>
      <c r="DK10">
        <f>SUMIFS(DataRegularSeason20242025!$AA$3:$AA$1315,DataRegularSeason20242025!$B$3:$B$1315, "&lt;=" &amp; DK$1, DataRegularSeason20242025!$D$3:$D$1315, $A10)+SUMIFS(DataRegularSeason20242025!$AB$3:$AB$1315,DataRegularSeason20242025!$B$3:$B$1315, "&lt;=" &amp; DK$1, DataRegularSeason20242025!$E$3:$E$1315, $A10)</f>
        <v>10</v>
      </c>
      <c r="DL10">
        <f>SUMIFS(DataRegularSeason20242025!$AA$3:$AA$1315,DataRegularSeason20242025!$B$3:$B$1315, "&lt;=" &amp; DL$1, DataRegularSeason20242025!$D$3:$D$1315, $A10)+SUMIFS(DataRegularSeason20242025!$AB$3:$AB$1315,DataRegularSeason20242025!$B$3:$B$1315, "&lt;=" &amp; DL$1, DataRegularSeason20242025!$E$3:$E$1315, $A10)</f>
        <v>10</v>
      </c>
      <c r="DM10">
        <f>SUMIFS(DataRegularSeason20242025!$AA$3:$AA$1315,DataRegularSeason20242025!$B$3:$B$1315, "&lt;=" &amp; DM$1, DataRegularSeason20242025!$D$3:$D$1315, $A10)+SUMIFS(DataRegularSeason20242025!$AB$3:$AB$1315,DataRegularSeason20242025!$B$3:$B$1315, "&lt;=" &amp; DM$1, DataRegularSeason20242025!$E$3:$E$1315, $A10)</f>
        <v>10</v>
      </c>
      <c r="DN10">
        <f>SUMIFS(DataRegularSeason20242025!$AA$3:$AA$1315,DataRegularSeason20242025!$B$3:$B$1315, "&lt;=" &amp; DN$1, DataRegularSeason20242025!$D$3:$D$1315, $A10)+SUMIFS(DataRegularSeason20242025!$AB$3:$AB$1315,DataRegularSeason20242025!$B$3:$B$1315, "&lt;=" &amp; DN$1, DataRegularSeason20242025!$E$3:$E$1315, $A10)</f>
        <v>10</v>
      </c>
      <c r="DO10">
        <f>SUMIFS(DataRegularSeason20242025!$AA$3:$AA$1315,DataRegularSeason20242025!$B$3:$B$1315, "&lt;=" &amp; DO$1, DataRegularSeason20242025!$D$3:$D$1315, $A10)+SUMIFS(DataRegularSeason20242025!$AB$3:$AB$1315,DataRegularSeason20242025!$B$3:$B$1315, "&lt;=" &amp; DO$1, DataRegularSeason20242025!$E$3:$E$1315, $A10)</f>
        <v>10</v>
      </c>
      <c r="DP10">
        <f>SUMIFS(DataRegularSeason20242025!$AA$3:$AA$1315,DataRegularSeason20242025!$B$3:$B$1315, "&lt;=" &amp; DP$1, DataRegularSeason20242025!$D$3:$D$1315, $A10)+SUMIFS(DataRegularSeason20242025!$AB$3:$AB$1315,DataRegularSeason20242025!$B$3:$B$1315, "&lt;=" &amp; DP$1, DataRegularSeason20242025!$E$3:$E$1315, $A10)</f>
        <v>10</v>
      </c>
      <c r="DQ10">
        <f>SUMIFS(DataRegularSeason20242025!$AA$3:$AA$1315,DataRegularSeason20242025!$B$3:$B$1315, "&lt;=" &amp; DQ$1, DataRegularSeason20242025!$D$3:$D$1315, $A10)+SUMIFS(DataRegularSeason20242025!$AB$3:$AB$1315,DataRegularSeason20242025!$B$3:$B$1315, "&lt;=" &amp; DQ$1, DataRegularSeason20242025!$E$3:$E$1315, $A10)</f>
        <v>10</v>
      </c>
      <c r="DR10">
        <f>SUMIFS(DataRegularSeason20242025!$AA$3:$AA$1315,DataRegularSeason20242025!$B$3:$B$1315, "&lt;=" &amp; DR$1, DataRegularSeason20242025!$D$3:$D$1315, $A10)+SUMIFS(DataRegularSeason20242025!$AB$3:$AB$1315,DataRegularSeason20242025!$B$3:$B$1315, "&lt;=" &amp; DR$1, DataRegularSeason20242025!$E$3:$E$1315, $A10)</f>
        <v>10</v>
      </c>
      <c r="DS10">
        <f>SUMIFS(DataRegularSeason20242025!$AA$3:$AA$1315,DataRegularSeason20242025!$B$3:$B$1315, "&lt;=" &amp; DS$1, DataRegularSeason20242025!$D$3:$D$1315, $A10)+SUMIFS(DataRegularSeason20242025!$AB$3:$AB$1315,DataRegularSeason20242025!$B$3:$B$1315, "&lt;=" &amp; DS$1, DataRegularSeason20242025!$E$3:$E$1315, $A10)</f>
        <v>10</v>
      </c>
      <c r="DT10">
        <f>SUMIFS(DataRegularSeason20242025!$AA$3:$AA$1315,DataRegularSeason20242025!$B$3:$B$1315, "&lt;=" &amp; DT$1, DataRegularSeason20242025!$D$3:$D$1315, $A10)+SUMIFS(DataRegularSeason20242025!$AB$3:$AB$1315,DataRegularSeason20242025!$B$3:$B$1315, "&lt;=" &amp; DT$1, DataRegularSeason20242025!$E$3:$E$1315, $A10)</f>
        <v>10</v>
      </c>
      <c r="DU10">
        <f>SUMIFS(DataRegularSeason20242025!$AA$3:$AA$1315,DataRegularSeason20242025!$B$3:$B$1315, "&lt;=" &amp; DU$1, DataRegularSeason20242025!$D$3:$D$1315, $A10)+SUMIFS(DataRegularSeason20242025!$AB$3:$AB$1315,DataRegularSeason20242025!$B$3:$B$1315, "&lt;=" &amp; DU$1, DataRegularSeason20242025!$E$3:$E$1315, $A10)</f>
        <v>10</v>
      </c>
      <c r="DV10">
        <f>SUMIFS(DataRegularSeason20242025!$AA$3:$AA$1315,DataRegularSeason20242025!$B$3:$B$1315, "&lt;=" &amp; DV$1, DataRegularSeason20242025!$D$3:$D$1315, $A10)+SUMIFS(DataRegularSeason20242025!$AB$3:$AB$1315,DataRegularSeason20242025!$B$3:$B$1315, "&lt;=" &amp; DV$1, DataRegularSeason20242025!$E$3:$E$1315, $A10)</f>
        <v>10</v>
      </c>
      <c r="DW10">
        <f>SUMIFS(DataRegularSeason20242025!$AA$3:$AA$1315,DataRegularSeason20242025!$B$3:$B$1315, "&lt;=" &amp; DW$1, DataRegularSeason20242025!$D$3:$D$1315, $A10)+SUMIFS(DataRegularSeason20242025!$AB$3:$AB$1315,DataRegularSeason20242025!$B$3:$B$1315, "&lt;=" &amp; DW$1, DataRegularSeason20242025!$E$3:$E$1315, $A10)</f>
        <v>10</v>
      </c>
      <c r="DX10">
        <f>SUMIFS(DataRegularSeason20242025!$AA$3:$AA$1315,DataRegularSeason20242025!$B$3:$B$1315, "&lt;=" &amp; DX$1, DataRegularSeason20242025!$D$3:$D$1315, $A10)+SUMIFS(DataRegularSeason20242025!$AB$3:$AB$1315,DataRegularSeason20242025!$B$3:$B$1315, "&lt;=" &amp; DX$1, DataRegularSeason20242025!$E$3:$E$1315, $A10)</f>
        <v>10</v>
      </c>
      <c r="DY10">
        <f>SUMIFS(DataRegularSeason20242025!$AA$3:$AA$1315,DataRegularSeason20242025!$B$3:$B$1315, "&lt;=" &amp; DY$1, DataRegularSeason20242025!$D$3:$D$1315, $A10)+SUMIFS(DataRegularSeason20242025!$AB$3:$AB$1315,DataRegularSeason20242025!$B$3:$B$1315, "&lt;=" &amp; DY$1, DataRegularSeason20242025!$E$3:$E$1315, $A10)</f>
        <v>10</v>
      </c>
      <c r="DZ10">
        <f>SUMIFS(DataRegularSeason20242025!$AA$3:$AA$1315,DataRegularSeason20242025!$B$3:$B$1315, "&lt;=" &amp; DZ$1, DataRegularSeason20242025!$D$3:$D$1315, $A10)+SUMIFS(DataRegularSeason20242025!$AB$3:$AB$1315,DataRegularSeason20242025!$B$3:$B$1315, "&lt;=" &amp; DZ$1, DataRegularSeason20242025!$E$3:$E$1315, $A10)</f>
        <v>10</v>
      </c>
      <c r="EA10">
        <f>SUMIFS(DataRegularSeason20242025!$AA$3:$AA$1315,DataRegularSeason20242025!$B$3:$B$1315, "&lt;=" &amp; EA$1, DataRegularSeason20242025!$D$3:$D$1315, $A10)+SUMIFS(DataRegularSeason20242025!$AB$3:$AB$1315,DataRegularSeason20242025!$B$3:$B$1315, "&lt;=" &amp; EA$1, DataRegularSeason20242025!$E$3:$E$1315, $A10)</f>
        <v>10</v>
      </c>
      <c r="EB10">
        <f>SUMIFS(DataRegularSeason20242025!$AA$3:$AA$1315,DataRegularSeason20242025!$B$3:$B$1315, "&lt;=" &amp; EB$1, DataRegularSeason20242025!$D$3:$D$1315, $A10)+SUMIFS(DataRegularSeason20242025!$AB$3:$AB$1315,DataRegularSeason20242025!$B$3:$B$1315, "&lt;=" &amp; EB$1, DataRegularSeason20242025!$E$3:$E$1315, $A10)</f>
        <v>10</v>
      </c>
      <c r="EC10">
        <f>SUMIFS(DataRegularSeason20242025!$AA$3:$AA$1315,DataRegularSeason20242025!$B$3:$B$1315, "&lt;=" &amp; EC$1, DataRegularSeason20242025!$D$3:$D$1315, $A10)+SUMIFS(DataRegularSeason20242025!$AB$3:$AB$1315,DataRegularSeason20242025!$B$3:$B$1315, "&lt;=" &amp; EC$1, DataRegularSeason20242025!$E$3:$E$1315, $A10)</f>
        <v>10</v>
      </c>
      <c r="ED10">
        <f>SUMIFS(DataRegularSeason20242025!$AA$3:$AA$1315,DataRegularSeason20242025!$B$3:$B$1315, "&lt;=" &amp; ED$1, DataRegularSeason20242025!$D$3:$D$1315, $A10)+SUMIFS(DataRegularSeason20242025!$AB$3:$AB$1315,DataRegularSeason20242025!$B$3:$B$1315, "&lt;=" &amp; ED$1, DataRegularSeason20242025!$E$3:$E$1315, $A10)</f>
        <v>10</v>
      </c>
      <c r="EE10">
        <f>SUMIFS(DataRegularSeason20242025!$AA$3:$AA$1315,DataRegularSeason20242025!$B$3:$B$1315, "&lt;=" &amp; EE$1, DataRegularSeason20242025!$D$3:$D$1315, $A10)+SUMIFS(DataRegularSeason20242025!$AB$3:$AB$1315,DataRegularSeason20242025!$B$3:$B$1315, "&lt;=" &amp; EE$1, DataRegularSeason20242025!$E$3:$E$1315, $A10)</f>
        <v>10</v>
      </c>
      <c r="EF10">
        <f>SUMIFS(DataRegularSeason20242025!$AA$3:$AA$1315,DataRegularSeason20242025!$B$3:$B$1315, "&lt;=" &amp; EF$1, DataRegularSeason20242025!$D$3:$D$1315, $A10)+SUMIFS(DataRegularSeason20242025!$AB$3:$AB$1315,DataRegularSeason20242025!$B$3:$B$1315, "&lt;=" &amp; EF$1, DataRegularSeason20242025!$E$3:$E$1315, $A10)</f>
        <v>10</v>
      </c>
      <c r="EG10">
        <f>SUMIFS(DataRegularSeason20242025!$AA$3:$AA$1315,DataRegularSeason20242025!$B$3:$B$1315, "&lt;=" &amp; EG$1, DataRegularSeason20242025!$D$3:$D$1315, $A10)+SUMIFS(DataRegularSeason20242025!$AB$3:$AB$1315,DataRegularSeason20242025!$B$3:$B$1315, "&lt;=" &amp; EG$1, DataRegularSeason20242025!$E$3:$E$1315, $A10)</f>
        <v>10</v>
      </c>
      <c r="EH10">
        <f>SUMIFS(DataRegularSeason20242025!$AA$3:$AA$1315,DataRegularSeason20242025!$B$3:$B$1315, "&lt;=" &amp; EH$1, DataRegularSeason20242025!$D$3:$D$1315, $A10)+SUMIFS(DataRegularSeason20242025!$AB$3:$AB$1315,DataRegularSeason20242025!$B$3:$B$1315, "&lt;=" &amp; EH$1, DataRegularSeason20242025!$E$3:$E$1315, $A10)</f>
        <v>10</v>
      </c>
      <c r="EI10">
        <f>SUMIFS(DataRegularSeason20242025!$AA$3:$AA$1315,DataRegularSeason20242025!$B$3:$B$1315, "&lt;=" &amp; EI$1, DataRegularSeason20242025!$D$3:$D$1315, $A10)+SUMIFS(DataRegularSeason20242025!$AB$3:$AB$1315,DataRegularSeason20242025!$B$3:$B$1315, "&lt;=" &amp; EI$1, DataRegularSeason20242025!$E$3:$E$1315, $A10)</f>
        <v>10</v>
      </c>
      <c r="EJ10">
        <f>SUMIFS(DataRegularSeason20242025!$AA$3:$AA$1315,DataRegularSeason20242025!$B$3:$B$1315, "&lt;=" &amp; EJ$1, DataRegularSeason20242025!$D$3:$D$1315, $A10)+SUMIFS(DataRegularSeason20242025!$AB$3:$AB$1315,DataRegularSeason20242025!$B$3:$B$1315, "&lt;=" &amp; EJ$1, DataRegularSeason20242025!$E$3:$E$1315, $A10)</f>
        <v>10</v>
      </c>
      <c r="EK10">
        <f>SUMIFS(DataRegularSeason20242025!$AA$3:$AA$1315,DataRegularSeason20242025!$B$3:$B$1315, "&lt;=" &amp; EK$1, DataRegularSeason20242025!$D$3:$D$1315, $A10)+SUMIFS(DataRegularSeason20242025!$AB$3:$AB$1315,DataRegularSeason20242025!$B$3:$B$1315, "&lt;=" &amp; EK$1, DataRegularSeason20242025!$E$3:$E$1315, $A10)</f>
        <v>10</v>
      </c>
      <c r="EL10">
        <f>SUMIFS(DataRegularSeason20242025!$AA$3:$AA$1315,DataRegularSeason20242025!$B$3:$B$1315, "&lt;=" &amp; EL$1, DataRegularSeason20242025!$D$3:$D$1315, $A10)+SUMIFS(DataRegularSeason20242025!$AB$3:$AB$1315,DataRegularSeason20242025!$B$3:$B$1315, "&lt;=" &amp; EL$1, DataRegularSeason20242025!$E$3:$E$1315, $A10)</f>
        <v>10</v>
      </c>
      <c r="EM10">
        <f>SUMIFS(DataRegularSeason20242025!$AA$3:$AA$1315,DataRegularSeason20242025!$B$3:$B$1315, "&lt;=" &amp; EM$1, DataRegularSeason20242025!$D$3:$D$1315, $A10)+SUMIFS(DataRegularSeason20242025!$AB$3:$AB$1315,DataRegularSeason20242025!$B$3:$B$1315, "&lt;=" &amp; EM$1, DataRegularSeason20242025!$E$3:$E$1315, $A10)</f>
        <v>10</v>
      </c>
      <c r="EN10">
        <f>SUMIFS(DataRegularSeason20242025!$AA$3:$AA$1315,DataRegularSeason20242025!$B$3:$B$1315, "&lt;=" &amp; EN$1, DataRegularSeason20242025!$D$3:$D$1315, $A10)+SUMIFS(DataRegularSeason20242025!$AB$3:$AB$1315,DataRegularSeason20242025!$B$3:$B$1315, "&lt;=" &amp; EN$1, DataRegularSeason20242025!$E$3:$E$1315, $A10)</f>
        <v>10</v>
      </c>
      <c r="EO10">
        <f>SUMIFS(DataRegularSeason20242025!$AA$3:$AA$1315,DataRegularSeason20242025!$B$3:$B$1315, "&lt;=" &amp; EO$1, DataRegularSeason20242025!$D$3:$D$1315, $A10)+SUMIFS(DataRegularSeason20242025!$AB$3:$AB$1315,DataRegularSeason20242025!$B$3:$B$1315, "&lt;=" &amp; EO$1, DataRegularSeason20242025!$E$3:$E$1315, $A10)</f>
        <v>10</v>
      </c>
      <c r="EP10">
        <f>SUMIFS(DataRegularSeason20242025!$AA$3:$AA$1315,DataRegularSeason20242025!$B$3:$B$1315, "&lt;=" &amp; EP$1, DataRegularSeason20242025!$D$3:$D$1315, $A10)+SUMIFS(DataRegularSeason20242025!$AB$3:$AB$1315,DataRegularSeason20242025!$B$3:$B$1315, "&lt;=" &amp; EP$1, DataRegularSeason20242025!$E$3:$E$1315, $A10)</f>
        <v>10</v>
      </c>
      <c r="EQ10">
        <f>SUMIFS(DataRegularSeason20242025!$AA$3:$AA$1315,DataRegularSeason20242025!$B$3:$B$1315, "&lt;=" &amp; EQ$1, DataRegularSeason20242025!$D$3:$D$1315, $A10)+SUMIFS(DataRegularSeason20242025!$AB$3:$AB$1315,DataRegularSeason20242025!$B$3:$B$1315, "&lt;=" &amp; EQ$1, DataRegularSeason20242025!$E$3:$E$1315, $A10)</f>
        <v>10</v>
      </c>
      <c r="ER10">
        <f>SUMIFS(DataRegularSeason20242025!$AA$3:$AA$1315,DataRegularSeason20242025!$B$3:$B$1315, "&lt;=" &amp; ER$1, DataRegularSeason20242025!$D$3:$D$1315, $A10)+SUMIFS(DataRegularSeason20242025!$AB$3:$AB$1315,DataRegularSeason20242025!$B$3:$B$1315, "&lt;=" &amp; ER$1, DataRegularSeason20242025!$E$3:$E$1315, $A10)</f>
        <v>10</v>
      </c>
      <c r="ES10">
        <f>SUMIFS(DataRegularSeason20242025!$AA$3:$AA$1315,DataRegularSeason20242025!$B$3:$B$1315, "&lt;=" &amp; ES$1, DataRegularSeason20242025!$D$3:$D$1315, $A10)+SUMIFS(DataRegularSeason20242025!$AB$3:$AB$1315,DataRegularSeason20242025!$B$3:$B$1315, "&lt;=" &amp; ES$1, DataRegularSeason20242025!$E$3:$E$1315, $A10)</f>
        <v>10</v>
      </c>
      <c r="ET10">
        <f>SUMIFS(DataRegularSeason20242025!$AA$3:$AA$1315,DataRegularSeason20242025!$B$3:$B$1315, "&lt;=" &amp; ET$1, DataRegularSeason20242025!$D$3:$D$1315, $A10)+SUMIFS(DataRegularSeason20242025!$AB$3:$AB$1315,DataRegularSeason20242025!$B$3:$B$1315, "&lt;=" &amp; ET$1, DataRegularSeason20242025!$E$3:$E$1315, $A10)</f>
        <v>10</v>
      </c>
      <c r="EU10">
        <f>SUMIFS(DataRegularSeason20242025!$AA$3:$AA$1315,DataRegularSeason20242025!$B$3:$B$1315, "&lt;=" &amp; EU$1, DataRegularSeason20242025!$D$3:$D$1315, $A10)+SUMIFS(DataRegularSeason20242025!$AB$3:$AB$1315,DataRegularSeason20242025!$B$3:$B$1315, "&lt;=" &amp; EU$1, DataRegularSeason20242025!$E$3:$E$1315, $A10)</f>
        <v>10</v>
      </c>
      <c r="EV10">
        <f>SUMIFS(DataRegularSeason20242025!$AA$3:$AA$1315,DataRegularSeason20242025!$B$3:$B$1315, "&lt;=" &amp; EV$1, DataRegularSeason20242025!$D$3:$D$1315, $A10)+SUMIFS(DataRegularSeason20242025!$AB$3:$AB$1315,DataRegularSeason20242025!$B$3:$B$1315, "&lt;=" &amp; EV$1, DataRegularSeason20242025!$E$3:$E$1315, $A10)</f>
        <v>10</v>
      </c>
      <c r="EW10">
        <f>SUMIFS(DataRegularSeason20242025!$AA$3:$AA$1315,DataRegularSeason20242025!$B$3:$B$1315, "&lt;=" &amp; EW$1, DataRegularSeason20242025!$D$3:$D$1315, $A10)+SUMIFS(DataRegularSeason20242025!$AB$3:$AB$1315,DataRegularSeason20242025!$B$3:$B$1315, "&lt;=" &amp; EW$1, DataRegularSeason20242025!$E$3:$E$1315, $A10)</f>
        <v>10</v>
      </c>
      <c r="EX10">
        <f>SUMIFS(DataRegularSeason20242025!$AA$3:$AA$1315,DataRegularSeason20242025!$B$3:$B$1315, "&lt;=" &amp; EX$1, DataRegularSeason20242025!$D$3:$D$1315, $A10)+SUMIFS(DataRegularSeason20242025!$AB$3:$AB$1315,DataRegularSeason20242025!$B$3:$B$1315, "&lt;=" &amp; EX$1, DataRegularSeason20242025!$E$3:$E$1315, $A10)</f>
        <v>10</v>
      </c>
      <c r="EY10">
        <f>SUMIFS(DataRegularSeason20242025!$AA$3:$AA$1315,DataRegularSeason20242025!$B$3:$B$1315, "&lt;=" &amp; EY$1, DataRegularSeason20242025!$D$3:$D$1315, $A10)+SUMIFS(DataRegularSeason20242025!$AB$3:$AB$1315,DataRegularSeason20242025!$B$3:$B$1315, "&lt;=" &amp; EY$1, DataRegularSeason20242025!$E$3:$E$1315, $A10)</f>
        <v>10</v>
      </c>
      <c r="EZ10">
        <f>SUMIFS(DataRegularSeason20242025!$AA$3:$AA$1315,DataRegularSeason20242025!$B$3:$B$1315, "&lt;=" &amp; EZ$1, DataRegularSeason20242025!$D$3:$D$1315, $A10)+SUMIFS(DataRegularSeason20242025!$AB$3:$AB$1315,DataRegularSeason20242025!$B$3:$B$1315, "&lt;=" &amp; EZ$1, DataRegularSeason20242025!$E$3:$E$1315, $A10)</f>
        <v>10</v>
      </c>
      <c r="FA10">
        <f>SUMIFS(DataRegularSeason20242025!$AA$3:$AA$1315,DataRegularSeason20242025!$B$3:$B$1315, "&lt;=" &amp; FA$1, DataRegularSeason20242025!$D$3:$D$1315, $A10)+SUMIFS(DataRegularSeason20242025!$AB$3:$AB$1315,DataRegularSeason20242025!$B$3:$B$1315, "&lt;=" &amp; FA$1, DataRegularSeason20242025!$E$3:$E$1315, $A10)</f>
        <v>10</v>
      </c>
      <c r="FB10">
        <f>SUMIFS(DataRegularSeason20242025!$AA$3:$AA$1315,DataRegularSeason20242025!$B$3:$B$1315, "&lt;=" &amp; FB$1, DataRegularSeason20242025!$D$3:$D$1315, $A10)+SUMIFS(DataRegularSeason20242025!$AB$3:$AB$1315,DataRegularSeason20242025!$B$3:$B$1315, "&lt;=" &amp; FB$1, DataRegularSeason20242025!$E$3:$E$1315, $A10)</f>
        <v>10</v>
      </c>
      <c r="FC10">
        <f>SUMIFS(DataRegularSeason20242025!$AA$3:$AA$1315,DataRegularSeason20242025!$B$3:$B$1315, "&lt;=" &amp; FC$1, DataRegularSeason20242025!$D$3:$D$1315, $A10)+SUMIFS(DataRegularSeason20242025!$AB$3:$AB$1315,DataRegularSeason20242025!$B$3:$B$1315, "&lt;=" &amp; FC$1, DataRegularSeason20242025!$E$3:$E$1315, $A10)</f>
        <v>10</v>
      </c>
      <c r="FD10">
        <f>SUMIFS(DataRegularSeason20242025!$AA$3:$AA$1315,DataRegularSeason20242025!$B$3:$B$1315, "&lt;=" &amp; FD$1, DataRegularSeason20242025!$D$3:$D$1315, $A10)+SUMIFS(DataRegularSeason20242025!$AB$3:$AB$1315,DataRegularSeason20242025!$B$3:$B$1315, "&lt;=" &amp; FD$1, DataRegularSeason20242025!$E$3:$E$1315, $A10)</f>
        <v>10</v>
      </c>
      <c r="FE10">
        <f>SUMIFS(DataRegularSeason20242025!$AA$3:$AA$1315,DataRegularSeason20242025!$B$3:$B$1315, "&lt;=" &amp; FE$1, DataRegularSeason20242025!$D$3:$D$1315, $A10)+SUMIFS(DataRegularSeason20242025!$AB$3:$AB$1315,DataRegularSeason20242025!$B$3:$B$1315, "&lt;=" &amp; FE$1, DataRegularSeason20242025!$E$3:$E$1315, $A10)</f>
        <v>10</v>
      </c>
      <c r="FF10">
        <f>SUMIFS(DataRegularSeason20242025!$AA$3:$AA$1315,DataRegularSeason20242025!$B$3:$B$1315, "&lt;=" &amp; FF$1, DataRegularSeason20242025!$D$3:$D$1315, $A10)+SUMIFS(DataRegularSeason20242025!$AB$3:$AB$1315,DataRegularSeason20242025!$B$3:$B$1315, "&lt;=" &amp; FF$1, DataRegularSeason20242025!$E$3:$E$1315, $A10)</f>
        <v>10</v>
      </c>
      <c r="FG10">
        <f>SUMIFS(DataRegularSeason20242025!$AA$3:$AA$1315,DataRegularSeason20242025!$B$3:$B$1315, "&lt;=" &amp; FG$1, DataRegularSeason20242025!$D$3:$D$1315, $A10)+SUMIFS(DataRegularSeason20242025!$AB$3:$AB$1315,DataRegularSeason20242025!$B$3:$B$1315, "&lt;=" &amp; FG$1, DataRegularSeason20242025!$E$3:$E$1315, $A10)</f>
        <v>10</v>
      </c>
      <c r="FH10">
        <f>SUMIFS(DataRegularSeason20242025!$AA$3:$AA$1315,DataRegularSeason20242025!$B$3:$B$1315, "&lt;=" &amp; FH$1, DataRegularSeason20242025!$D$3:$D$1315, $A10)+SUMIFS(DataRegularSeason20242025!$AB$3:$AB$1315,DataRegularSeason20242025!$B$3:$B$1315, "&lt;=" &amp; FH$1, DataRegularSeason20242025!$E$3:$E$1315, $A10)</f>
        <v>10</v>
      </c>
      <c r="FI10">
        <f>SUMIFS(DataRegularSeason20242025!$AA$3:$AA$1315,DataRegularSeason20242025!$B$3:$B$1315, "&lt;=" &amp; FI$1, DataRegularSeason20242025!$D$3:$D$1315, $A10)+SUMIFS(DataRegularSeason20242025!$AB$3:$AB$1315,DataRegularSeason20242025!$B$3:$B$1315, "&lt;=" &amp; FI$1, DataRegularSeason20242025!$E$3:$E$1315, $A10)</f>
        <v>10</v>
      </c>
      <c r="FJ10">
        <f>SUMIFS(DataRegularSeason20242025!$AA$3:$AA$1315,DataRegularSeason20242025!$B$3:$B$1315, "&lt;=" &amp; FJ$1, DataRegularSeason20242025!$D$3:$D$1315, $A10)+SUMIFS(DataRegularSeason20242025!$AB$3:$AB$1315,DataRegularSeason20242025!$B$3:$B$1315, "&lt;=" &amp; FJ$1, DataRegularSeason20242025!$E$3:$E$1315, $A10)</f>
        <v>10</v>
      </c>
      <c r="FK10">
        <f>SUMIFS(DataRegularSeason20242025!$AA$3:$AA$1315,DataRegularSeason20242025!$B$3:$B$1315, "&lt;=" &amp; FK$1, DataRegularSeason20242025!$D$3:$D$1315, $A10)+SUMIFS(DataRegularSeason20242025!$AB$3:$AB$1315,DataRegularSeason20242025!$B$3:$B$1315, "&lt;=" &amp; FK$1, DataRegularSeason20242025!$E$3:$E$1315, $A10)</f>
        <v>10</v>
      </c>
      <c r="FL10">
        <f>SUMIFS(DataRegularSeason20242025!$AA$3:$AA$1315,DataRegularSeason20242025!$B$3:$B$1315, "&lt;=" &amp; FL$1, DataRegularSeason20242025!$D$3:$D$1315, $A10)+SUMIFS(DataRegularSeason20242025!$AB$3:$AB$1315,DataRegularSeason20242025!$B$3:$B$1315, "&lt;=" &amp; FL$1, DataRegularSeason20242025!$E$3:$E$1315, $A10)</f>
        <v>10</v>
      </c>
      <c r="FM10">
        <f>SUMIFS(DataRegularSeason20242025!$AA$3:$AA$1315,DataRegularSeason20242025!$B$3:$B$1315, "&lt;=" &amp; FM$1, DataRegularSeason20242025!$D$3:$D$1315, $A10)+SUMIFS(DataRegularSeason20242025!$AB$3:$AB$1315,DataRegularSeason20242025!$B$3:$B$1315, "&lt;=" &amp; FM$1, DataRegularSeason20242025!$E$3:$E$1315, $A10)</f>
        <v>10</v>
      </c>
      <c r="FN10">
        <f>SUMIFS(DataRegularSeason20242025!$AA$3:$AA$1315,DataRegularSeason20242025!$B$3:$B$1315, "&lt;=" &amp; FN$1, DataRegularSeason20242025!$D$3:$D$1315, $A10)+SUMIFS(DataRegularSeason20242025!$AB$3:$AB$1315,DataRegularSeason20242025!$B$3:$B$1315, "&lt;=" &amp; FN$1, DataRegularSeason20242025!$E$3:$E$1315, $A10)</f>
        <v>10</v>
      </c>
      <c r="FO10">
        <f>SUMIFS(DataRegularSeason20242025!$AA$3:$AA$1315,DataRegularSeason20242025!$B$3:$B$1315, "&lt;=" &amp; FO$1, DataRegularSeason20242025!$D$3:$D$1315, $A10)+SUMIFS(DataRegularSeason20242025!$AB$3:$AB$1315,DataRegularSeason20242025!$B$3:$B$1315, "&lt;=" &amp; FO$1, DataRegularSeason20242025!$E$3:$E$1315, $A10)</f>
        <v>10</v>
      </c>
      <c r="FP10">
        <f>SUMIFS(DataRegularSeason20242025!$AA$3:$AA$1315,DataRegularSeason20242025!$B$3:$B$1315, "&lt;=" &amp; FP$1, DataRegularSeason20242025!$D$3:$D$1315, $A10)+SUMIFS(DataRegularSeason20242025!$AB$3:$AB$1315,DataRegularSeason20242025!$B$3:$B$1315, "&lt;=" &amp; FP$1, DataRegularSeason20242025!$E$3:$E$1315, $A10)</f>
        <v>10</v>
      </c>
      <c r="FQ10">
        <f>SUMIFS(DataRegularSeason20242025!$AA$3:$AA$1315,DataRegularSeason20242025!$B$3:$B$1315, "&lt;=" &amp; FQ$1, DataRegularSeason20242025!$D$3:$D$1315, $A10)+SUMIFS(DataRegularSeason20242025!$AB$3:$AB$1315,DataRegularSeason20242025!$B$3:$B$1315, "&lt;=" &amp; FQ$1, DataRegularSeason20242025!$E$3:$E$1315, $A10)</f>
        <v>10</v>
      </c>
      <c r="FR10">
        <f>SUMIFS(DataRegularSeason20242025!$AA$3:$AA$1315,DataRegularSeason20242025!$B$3:$B$1315, "&lt;=" &amp; FR$1, DataRegularSeason20242025!$D$3:$D$1315, $A10)+SUMIFS(DataRegularSeason20242025!$AB$3:$AB$1315,DataRegularSeason20242025!$B$3:$B$1315, "&lt;=" &amp; FR$1, DataRegularSeason20242025!$E$3:$E$1315, $A10)</f>
        <v>10</v>
      </c>
      <c r="FS10">
        <f>SUMIFS(DataRegularSeason20242025!$AA$3:$AA$1315,DataRegularSeason20242025!$B$3:$B$1315, "&lt;=" &amp; FS$1, DataRegularSeason20242025!$D$3:$D$1315, $A10)+SUMIFS(DataRegularSeason20242025!$AB$3:$AB$1315,DataRegularSeason20242025!$B$3:$B$1315, "&lt;=" &amp; FS$1, DataRegularSeason20242025!$E$3:$E$1315, $A10)</f>
        <v>10</v>
      </c>
      <c r="FT10">
        <f>SUMIFS(DataRegularSeason20242025!$AA$3:$AA$1315,DataRegularSeason20242025!$B$3:$B$1315, "&lt;=" &amp; FT$1, DataRegularSeason20242025!$D$3:$D$1315, $A10)+SUMIFS(DataRegularSeason20242025!$AB$3:$AB$1315,DataRegularSeason20242025!$B$3:$B$1315, "&lt;=" &amp; FT$1, DataRegularSeason20242025!$E$3:$E$1315, $A10)</f>
        <v>10</v>
      </c>
      <c r="FU10">
        <f>SUMIFS(DataRegularSeason20242025!$AA$3:$AA$1315,DataRegularSeason20242025!$B$3:$B$1315, "&lt;=" &amp; FU$1, DataRegularSeason20242025!$D$3:$D$1315, $A10)+SUMIFS(DataRegularSeason20242025!$AB$3:$AB$1315,DataRegularSeason20242025!$B$3:$B$1315, "&lt;=" &amp; FU$1, DataRegularSeason20242025!$E$3:$E$1315, $A10)</f>
        <v>10</v>
      </c>
      <c r="FV10">
        <f>SUMIFS(DataRegularSeason20242025!$AA$3:$AA$1315,DataRegularSeason20242025!$B$3:$B$1315, "&lt;=" &amp; FV$1, DataRegularSeason20242025!$D$3:$D$1315, $A10)+SUMIFS(DataRegularSeason20242025!$AB$3:$AB$1315,DataRegularSeason20242025!$B$3:$B$1315, "&lt;=" &amp; FV$1, DataRegularSeason20242025!$E$3:$E$1315, $A10)</f>
        <v>10</v>
      </c>
      <c r="FW10">
        <f>SUMIFS(DataRegularSeason20242025!$AA$3:$AA$1315,DataRegularSeason20242025!$B$3:$B$1315, "&lt;=" &amp; FW$1, DataRegularSeason20242025!$D$3:$D$1315, $A10)+SUMIFS(DataRegularSeason20242025!$AB$3:$AB$1315,DataRegularSeason20242025!$B$3:$B$1315, "&lt;=" &amp; FW$1, DataRegularSeason20242025!$E$3:$E$1315, $A10)</f>
        <v>10</v>
      </c>
      <c r="FX10">
        <f>SUMIFS(DataRegularSeason20242025!$AA$3:$AA$1315,DataRegularSeason20242025!$B$3:$B$1315, "&lt;=" &amp; FX$1, DataRegularSeason20242025!$D$3:$D$1315, $A10)+SUMIFS(DataRegularSeason20242025!$AB$3:$AB$1315,DataRegularSeason20242025!$B$3:$B$1315, "&lt;=" &amp; FX$1, DataRegularSeason20242025!$E$3:$E$1315, $A10)</f>
        <v>10</v>
      </c>
      <c r="FY10">
        <f>SUMIFS(DataRegularSeason20242025!$AA$3:$AA$1315,DataRegularSeason20242025!$B$3:$B$1315, "&lt;=" &amp; FY$1, DataRegularSeason20242025!$D$3:$D$1315, $A10)+SUMIFS(DataRegularSeason20242025!$AB$3:$AB$1315,DataRegularSeason20242025!$B$3:$B$1315, "&lt;=" &amp; FY$1, DataRegularSeason20242025!$E$3:$E$1315, $A10)</f>
        <v>10</v>
      </c>
      <c r="FZ10">
        <f>SUMIFS(DataRegularSeason20242025!$AA$3:$AA$1315,DataRegularSeason20242025!$B$3:$B$1315, "&lt;=" &amp; FZ$1, DataRegularSeason20242025!$D$3:$D$1315, $A10)+SUMIFS(DataRegularSeason20242025!$AB$3:$AB$1315,DataRegularSeason20242025!$B$3:$B$1315, "&lt;=" &amp; FZ$1, DataRegularSeason20242025!$E$3:$E$1315, $A10)</f>
        <v>10</v>
      </c>
      <c r="GA10">
        <f>SUMIFS(DataRegularSeason20242025!$AA$3:$AA$1315,DataRegularSeason20242025!$B$3:$B$1315, "&lt;=" &amp; GA$1, DataRegularSeason20242025!$D$3:$D$1315, $A10)+SUMIFS(DataRegularSeason20242025!$AB$3:$AB$1315,DataRegularSeason20242025!$B$3:$B$1315, "&lt;=" &amp; GA$1, DataRegularSeason20242025!$E$3:$E$1315, $A10)</f>
        <v>10</v>
      </c>
      <c r="GB10">
        <f>SUMIFS(DataRegularSeason20242025!$AA$3:$AA$1315,DataRegularSeason20242025!$B$3:$B$1315, "&lt;=" &amp; GB$1, DataRegularSeason20242025!$D$3:$D$1315, $A10)+SUMIFS(DataRegularSeason20242025!$AB$3:$AB$1315,DataRegularSeason20242025!$B$3:$B$1315, "&lt;=" &amp; GB$1, DataRegularSeason20242025!$E$3:$E$1315, $A10)</f>
        <v>10</v>
      </c>
      <c r="GC10">
        <f>SUMIFS(DataRegularSeason20242025!$AA$3:$AA$1315,DataRegularSeason20242025!$B$3:$B$1315, "&lt;=" &amp; GC$1, DataRegularSeason20242025!$D$3:$D$1315, $A10)+SUMIFS(DataRegularSeason20242025!$AB$3:$AB$1315,DataRegularSeason20242025!$B$3:$B$1315, "&lt;=" &amp; GC$1, DataRegularSeason20242025!$E$3:$E$1315, $A10)</f>
        <v>10</v>
      </c>
      <c r="GD10">
        <f>SUMIFS(DataRegularSeason20242025!$AA$3:$AA$1315,DataRegularSeason20242025!$B$3:$B$1315, "&lt;=" &amp; GD$1, DataRegularSeason20242025!$D$3:$D$1315, $A10)+SUMIFS(DataRegularSeason20242025!$AB$3:$AB$1315,DataRegularSeason20242025!$B$3:$B$1315, "&lt;=" &amp; GD$1, DataRegularSeason20242025!$E$3:$E$1315, $A10)</f>
        <v>10</v>
      </c>
      <c r="GE10">
        <f>SUMIFS(DataRegularSeason20242025!$AA$3:$AA$1315,DataRegularSeason20242025!$B$3:$B$1315, "&lt;=" &amp; GE$1, DataRegularSeason20242025!$D$3:$D$1315, $A10)+SUMIFS(DataRegularSeason20242025!$AB$3:$AB$1315,DataRegularSeason20242025!$B$3:$B$1315, "&lt;=" &amp; GE$1, DataRegularSeason20242025!$E$3:$E$1315, $A10)</f>
        <v>10</v>
      </c>
      <c r="GF10">
        <f>SUMIFS(DataRegularSeason20242025!$AA$3:$AA$1315,DataRegularSeason20242025!$B$3:$B$1315, "&lt;=" &amp; GF$1, DataRegularSeason20242025!$D$3:$D$1315, $A10)+SUMIFS(DataRegularSeason20242025!$AB$3:$AB$1315,DataRegularSeason20242025!$B$3:$B$1315, "&lt;=" &amp; GF$1, DataRegularSeason20242025!$E$3:$E$1315, $A10)</f>
        <v>10</v>
      </c>
      <c r="GG10">
        <f>SUMIFS(DataRegularSeason20242025!$AA$3:$AA$1315,DataRegularSeason20242025!$B$3:$B$1315, "&lt;=" &amp; GG$1, DataRegularSeason20242025!$D$3:$D$1315, $A10)+SUMIFS(DataRegularSeason20242025!$AB$3:$AB$1315,DataRegularSeason20242025!$B$3:$B$1315, "&lt;=" &amp; GG$1, DataRegularSeason20242025!$E$3:$E$1315, $A10)</f>
        <v>10</v>
      </c>
      <c r="GH10">
        <f>SUMIFS(DataRegularSeason20242025!$AA$3:$AA$1315,DataRegularSeason20242025!$B$3:$B$1315, "&lt;=" &amp; GH$1, DataRegularSeason20242025!$D$3:$D$1315, $A10)+SUMIFS(DataRegularSeason20242025!$AB$3:$AB$1315,DataRegularSeason20242025!$B$3:$B$1315, "&lt;=" &amp; GH$1, DataRegularSeason20242025!$E$3:$E$1315, $A10)</f>
        <v>10</v>
      </c>
      <c r="GI10">
        <f>SUMIFS(DataRegularSeason20242025!$AA$3:$AA$1315,DataRegularSeason20242025!$B$3:$B$1315, "&lt;=" &amp; GI$1, DataRegularSeason20242025!$D$3:$D$1315, $A10)+SUMIFS(DataRegularSeason20242025!$AB$3:$AB$1315,DataRegularSeason20242025!$B$3:$B$1315, "&lt;=" &amp; GI$1, DataRegularSeason20242025!$E$3:$E$1315, $A10)</f>
        <v>10</v>
      </c>
      <c r="GJ10">
        <f>SUMIFS(DataRegularSeason20242025!$AA$3:$AA$1315,DataRegularSeason20242025!$B$3:$B$1315, "&lt;=" &amp; GJ$1, DataRegularSeason20242025!$D$3:$D$1315, $A10)+SUMIFS(DataRegularSeason20242025!$AB$3:$AB$1315,DataRegularSeason20242025!$B$3:$B$1315, "&lt;=" &amp; GJ$1, DataRegularSeason20242025!$E$3:$E$1315, $A10)</f>
        <v>10</v>
      </c>
      <c r="GK10">
        <f>SUMIFS(DataRegularSeason20242025!$AA$3:$AA$1315,DataRegularSeason20242025!$B$3:$B$1315, "&lt;=" &amp; GK$1, DataRegularSeason20242025!$D$3:$D$1315, $A10)+SUMIFS(DataRegularSeason20242025!$AB$3:$AB$1315,DataRegularSeason20242025!$B$3:$B$1315, "&lt;=" &amp; GK$1, DataRegularSeason20242025!$E$3:$E$1315, $A10)</f>
        <v>10</v>
      </c>
      <c r="GL10">
        <f>SUMIFS(DataRegularSeason20242025!$AA$3:$AA$1315,DataRegularSeason20242025!$B$3:$B$1315, "&lt;=" &amp; GL$1, DataRegularSeason20242025!$D$3:$D$1315, $A10)+SUMIFS(DataRegularSeason20242025!$AB$3:$AB$1315,DataRegularSeason20242025!$B$3:$B$1315, "&lt;=" &amp; GL$1, DataRegularSeason20242025!$E$3:$E$1315, $A10)</f>
        <v>10</v>
      </c>
      <c r="GM10">
        <f>SUMIFS(DataRegularSeason20242025!$AA$3:$AA$1315,DataRegularSeason20242025!$B$3:$B$1315, "&lt;=" &amp; GM$1, DataRegularSeason20242025!$D$3:$D$1315, $A10)+SUMIFS(DataRegularSeason20242025!$AB$3:$AB$1315,DataRegularSeason20242025!$B$3:$B$1315, "&lt;=" &amp; GM$1, DataRegularSeason20242025!$E$3:$E$1315, $A10)</f>
        <v>10</v>
      </c>
      <c r="GN10">
        <f>SUMIFS(DataRegularSeason20242025!$AA$3:$AA$1315,DataRegularSeason20242025!$B$3:$B$1315, "&lt;=" &amp; GN$1, DataRegularSeason20242025!$D$3:$D$1315, $A10)+SUMIFS(DataRegularSeason20242025!$AB$3:$AB$1315,DataRegularSeason20242025!$B$3:$B$1315, "&lt;=" &amp; GN$1, DataRegularSeason20242025!$E$3:$E$1315, $A10)</f>
        <v>10</v>
      </c>
      <c r="GO10">
        <f>SUMIFS(DataRegularSeason20242025!$AA$3:$AA$1315,DataRegularSeason20242025!$B$3:$B$1315, "&lt;=" &amp; GO$1, DataRegularSeason20242025!$D$3:$D$1315, $A10)+SUMIFS(DataRegularSeason20242025!$AB$3:$AB$1315,DataRegularSeason20242025!$B$3:$B$1315, "&lt;=" &amp; GO$1, DataRegularSeason20242025!$E$3:$E$1315, $A10)</f>
        <v>10</v>
      </c>
      <c r="GP10">
        <f>SUMIFS(DataRegularSeason20242025!$AA$3:$AA$1315,DataRegularSeason20242025!$B$3:$B$1315, "&lt;=" &amp; GP$1, DataRegularSeason20242025!$D$3:$D$1315, $A10)+SUMIFS(DataRegularSeason20242025!$AB$3:$AB$1315,DataRegularSeason20242025!$B$3:$B$1315, "&lt;=" &amp; GP$1, DataRegularSeason20242025!$E$3:$E$1315, $A10)</f>
        <v>10</v>
      </c>
      <c r="GQ10">
        <f>SUMIFS(DataRegularSeason20242025!$AA$3:$AA$1315,DataRegularSeason20242025!$B$3:$B$1315, "&lt;=" &amp; GQ$1, DataRegularSeason20242025!$D$3:$D$1315, $A10)+SUMIFS(DataRegularSeason20242025!$AB$3:$AB$1315,DataRegularSeason20242025!$B$3:$B$1315, "&lt;=" &amp; GQ$1, DataRegularSeason20242025!$E$3:$E$1315, $A10)</f>
        <v>10</v>
      </c>
      <c r="GR10">
        <f>SUMIFS(DataRegularSeason20242025!$AA$3:$AA$1315,DataRegularSeason20242025!$B$3:$B$1315, "&lt;=" &amp; GR$1, DataRegularSeason20242025!$D$3:$D$1315, $A10)+SUMIFS(DataRegularSeason20242025!$AB$3:$AB$1315,DataRegularSeason20242025!$B$3:$B$1315, "&lt;=" &amp; GR$1, DataRegularSeason20242025!$E$3:$E$1315, $A10)</f>
        <v>10</v>
      </c>
      <c r="GS10">
        <f>SUMIFS(DataRegularSeason20242025!$AA$3:$AA$1315,DataRegularSeason20242025!$B$3:$B$1315, "&lt;=" &amp; GS$1, DataRegularSeason20242025!$D$3:$D$1315, $A10)+SUMIFS(DataRegularSeason20242025!$AB$3:$AB$1315,DataRegularSeason20242025!$B$3:$B$1315, "&lt;=" &amp; GS$1, DataRegularSeason20242025!$E$3:$E$1315, $A10)</f>
        <v>10</v>
      </c>
      <c r="GT10">
        <f>SUMIFS(DataRegularSeason20242025!$AA$3:$AA$1315,DataRegularSeason20242025!$B$3:$B$1315, "&lt;=" &amp; GT$1, DataRegularSeason20242025!$D$3:$D$1315, $A10)+SUMIFS(DataRegularSeason20242025!$AB$3:$AB$1315,DataRegularSeason20242025!$B$3:$B$1315, "&lt;=" &amp; GT$1, DataRegularSeason20242025!$E$3:$E$1315, $A10)</f>
        <v>10</v>
      </c>
      <c r="GU10">
        <f>SUMIFS(DataRegularSeason20242025!$AA$3:$AA$1315,DataRegularSeason20242025!$B$3:$B$1315, "&lt;=" &amp; GU$1, DataRegularSeason20242025!$D$3:$D$1315, $A10)+SUMIFS(DataRegularSeason20242025!$AB$3:$AB$1315,DataRegularSeason20242025!$B$3:$B$1315, "&lt;=" &amp; GU$1, DataRegularSeason20242025!$E$3:$E$1315, $A10)</f>
        <v>10</v>
      </c>
    </row>
    <row r="11" spans="1:275" x14ac:dyDescent="0.25">
      <c r="A11" t="s">
        <v>43</v>
      </c>
      <c r="B11" t="s">
        <v>91</v>
      </c>
      <c r="C11" s="106" t="s">
        <v>92</v>
      </c>
      <c r="D11">
        <f>SUMIFS(DataRegularSeason20242025!$AA$3:$AA$1315,DataRegularSeason20242025!$B$3:$B$1315, "&lt;=" &amp; D$1, DataRegularSeason20242025!$D$3:$D$1315, $A11)+SUMIFS(DataRegularSeason20242025!$AB$3:$AB$1315,DataRegularSeason20242025!$B$3:$B$1315, "&lt;=" &amp; D$1, DataRegularSeason20242025!$E$3:$E$1315, $A11)</f>
        <v>0</v>
      </c>
      <c r="E11">
        <f>SUMIFS(DataRegularSeason20242025!$AA$3:$AA$1315,DataRegularSeason20242025!$B$3:$B$1315, "&lt;=" &amp; E$1, DataRegularSeason20242025!$D$3:$D$1315, $A11)+SUMIFS(DataRegularSeason20242025!$AB$3:$AB$1315,DataRegularSeason20242025!$B$3:$B$1315, "&lt;=" &amp; E$1, DataRegularSeason20242025!$E$3:$E$1315, $A11)</f>
        <v>0</v>
      </c>
      <c r="F11">
        <f>SUMIFS(DataRegularSeason20242025!$AA$3:$AA$1315,DataRegularSeason20242025!$B$3:$B$1315, "&lt;=" &amp; F$1, DataRegularSeason20242025!$D$3:$D$1315, $A11)+SUMIFS(DataRegularSeason20242025!$AB$3:$AB$1315,DataRegularSeason20242025!$B$3:$B$1315, "&lt;=" &amp; F$1, DataRegularSeason20242025!$E$3:$E$1315, $A11)</f>
        <v>0</v>
      </c>
      <c r="G11">
        <f>SUMIFS(DataRegularSeason20242025!$AA$3:$AA$1315,DataRegularSeason20242025!$B$3:$B$1315, "&lt;=" &amp; G$1, DataRegularSeason20242025!$D$3:$D$1315, $A11)+SUMIFS(DataRegularSeason20242025!$AB$3:$AB$1315,DataRegularSeason20242025!$B$3:$B$1315, "&lt;=" &amp; G$1, DataRegularSeason20242025!$E$3:$E$1315, $A11)</f>
        <v>0</v>
      </c>
      <c r="H11">
        <f>SUMIFS(DataRegularSeason20242025!$AA$3:$AA$1315,DataRegularSeason20242025!$B$3:$B$1315, "&lt;=" &amp; H$1, DataRegularSeason20242025!$D$3:$D$1315, $A11)+SUMIFS(DataRegularSeason20242025!$AB$3:$AB$1315,DataRegularSeason20242025!$B$3:$B$1315, "&lt;=" &amp; H$1, DataRegularSeason20242025!$E$3:$E$1315, $A11)</f>
        <v>0</v>
      </c>
      <c r="I11">
        <f>SUMIFS(DataRegularSeason20242025!$AA$3:$AA$1315,DataRegularSeason20242025!$B$3:$B$1315, "&lt;=" &amp; I$1, DataRegularSeason20242025!$D$3:$D$1315, $A11)+SUMIFS(DataRegularSeason20242025!$AB$3:$AB$1315,DataRegularSeason20242025!$B$3:$B$1315, "&lt;=" &amp; I$1, DataRegularSeason20242025!$E$3:$E$1315, $A11)</f>
        <v>0</v>
      </c>
      <c r="J11">
        <f>SUMIFS(DataRegularSeason20242025!$AA$3:$AA$1315,DataRegularSeason20242025!$B$3:$B$1315, "&lt;=" &amp; J$1, DataRegularSeason20242025!$D$3:$D$1315, $A11)+SUMIFS(DataRegularSeason20242025!$AB$3:$AB$1315,DataRegularSeason20242025!$B$3:$B$1315, "&lt;=" &amp; J$1, DataRegularSeason20242025!$E$3:$E$1315, $A11)</f>
        <v>0</v>
      </c>
      <c r="K11">
        <f>SUMIFS(DataRegularSeason20242025!$AA$3:$AA$1315,DataRegularSeason20242025!$B$3:$B$1315, "&lt;=" &amp; K$1, DataRegularSeason20242025!$D$3:$D$1315, $A11)+SUMIFS(DataRegularSeason20242025!$AB$3:$AB$1315,DataRegularSeason20242025!$B$3:$B$1315, "&lt;=" &amp; K$1, DataRegularSeason20242025!$E$3:$E$1315, $A11)</f>
        <v>0</v>
      </c>
      <c r="L11">
        <f>SUMIFS(DataRegularSeason20242025!$AA$3:$AA$1315,DataRegularSeason20242025!$B$3:$B$1315, "&lt;=" &amp; L$1, DataRegularSeason20242025!$D$3:$D$1315, $A11)+SUMIFS(DataRegularSeason20242025!$AB$3:$AB$1315,DataRegularSeason20242025!$B$3:$B$1315, "&lt;=" &amp; L$1, DataRegularSeason20242025!$E$3:$E$1315, $A11)</f>
        <v>2</v>
      </c>
      <c r="M11">
        <f>SUMIFS(DataRegularSeason20242025!$AA$3:$AA$1315,DataRegularSeason20242025!$B$3:$B$1315, "&lt;=" &amp; M$1, DataRegularSeason20242025!$D$3:$D$1315, $A11)+SUMIFS(DataRegularSeason20242025!$AB$3:$AB$1315,DataRegularSeason20242025!$B$3:$B$1315, "&lt;=" &amp; M$1, DataRegularSeason20242025!$E$3:$E$1315, $A11)</f>
        <v>4</v>
      </c>
      <c r="N11">
        <f>SUMIFS(DataRegularSeason20242025!$AA$3:$AA$1315,DataRegularSeason20242025!$B$3:$B$1315, "&lt;=" &amp; N$1, DataRegularSeason20242025!$D$3:$D$1315, $A11)+SUMIFS(DataRegularSeason20242025!$AB$3:$AB$1315,DataRegularSeason20242025!$B$3:$B$1315, "&lt;=" &amp; N$1, DataRegularSeason20242025!$E$3:$E$1315, $A11)</f>
        <v>4</v>
      </c>
      <c r="O11">
        <f>SUMIFS(DataRegularSeason20242025!$AA$3:$AA$1315,DataRegularSeason20242025!$B$3:$B$1315, "&lt;=" &amp; O$1, DataRegularSeason20242025!$D$3:$D$1315, $A11)+SUMIFS(DataRegularSeason20242025!$AB$3:$AB$1315,DataRegularSeason20242025!$B$3:$B$1315, "&lt;=" &amp; O$1, DataRegularSeason20242025!$E$3:$E$1315, $A11)</f>
        <v>6</v>
      </c>
      <c r="P11">
        <f>SUMIFS(DataRegularSeason20242025!$AA$3:$AA$1315,DataRegularSeason20242025!$B$3:$B$1315, "&lt;=" &amp; P$1, DataRegularSeason20242025!$D$3:$D$1315, $A11)+SUMIFS(DataRegularSeason20242025!$AB$3:$AB$1315,DataRegularSeason20242025!$B$3:$B$1315, "&lt;=" &amp; P$1, DataRegularSeason20242025!$E$3:$E$1315, $A11)</f>
        <v>6</v>
      </c>
      <c r="Q11">
        <f>SUMIFS(DataRegularSeason20242025!$AA$3:$AA$1315,DataRegularSeason20242025!$B$3:$B$1315, "&lt;=" &amp; Q$1, DataRegularSeason20242025!$D$3:$D$1315, $A11)+SUMIFS(DataRegularSeason20242025!$AB$3:$AB$1315,DataRegularSeason20242025!$B$3:$B$1315, "&lt;=" &amp; Q$1, DataRegularSeason20242025!$E$3:$E$1315, $A11)</f>
        <v>6</v>
      </c>
      <c r="R11">
        <f>SUMIFS(DataRegularSeason20242025!$AA$3:$AA$1315,DataRegularSeason20242025!$B$3:$B$1315, "&lt;=" &amp; R$1, DataRegularSeason20242025!$D$3:$D$1315, $A11)+SUMIFS(DataRegularSeason20242025!$AB$3:$AB$1315,DataRegularSeason20242025!$B$3:$B$1315, "&lt;=" &amp; R$1, DataRegularSeason20242025!$E$3:$E$1315, $A11)</f>
        <v>8</v>
      </c>
      <c r="S11">
        <f>SUMIFS(DataRegularSeason20242025!$AA$3:$AA$1315,DataRegularSeason20242025!$B$3:$B$1315, "&lt;=" &amp; S$1, DataRegularSeason20242025!$D$3:$D$1315, $A11)+SUMIFS(DataRegularSeason20242025!$AB$3:$AB$1315,DataRegularSeason20242025!$B$3:$B$1315, "&lt;=" &amp; S$1, DataRegularSeason20242025!$E$3:$E$1315, $A11)</f>
        <v>8</v>
      </c>
      <c r="T11">
        <f>SUMIFS(DataRegularSeason20242025!$AA$3:$AA$1315,DataRegularSeason20242025!$B$3:$B$1315, "&lt;=" &amp; T$1, DataRegularSeason20242025!$D$3:$D$1315, $A11)+SUMIFS(DataRegularSeason20242025!$AB$3:$AB$1315,DataRegularSeason20242025!$B$3:$B$1315, "&lt;=" &amp; T$1, DataRegularSeason20242025!$E$3:$E$1315, $A11)</f>
        <v>8</v>
      </c>
      <c r="U11">
        <f>SUMIFS(DataRegularSeason20242025!$AA$3:$AA$1315,DataRegularSeason20242025!$B$3:$B$1315, "&lt;=" &amp; U$1, DataRegularSeason20242025!$D$3:$D$1315, $A11)+SUMIFS(DataRegularSeason20242025!$AB$3:$AB$1315,DataRegularSeason20242025!$B$3:$B$1315, "&lt;=" &amp; U$1, DataRegularSeason20242025!$E$3:$E$1315, $A11)</f>
        <v>8</v>
      </c>
      <c r="V11">
        <f>SUMIFS(DataRegularSeason20242025!$AA$3:$AA$1315,DataRegularSeason20242025!$B$3:$B$1315, "&lt;=" &amp; V$1, DataRegularSeason20242025!$D$3:$D$1315, $A11)+SUMIFS(DataRegularSeason20242025!$AB$3:$AB$1315,DataRegularSeason20242025!$B$3:$B$1315, "&lt;=" &amp; V$1, DataRegularSeason20242025!$E$3:$E$1315, $A11)</f>
        <v>10</v>
      </c>
      <c r="W11">
        <f>SUMIFS(DataRegularSeason20242025!$AA$3:$AA$1315,DataRegularSeason20242025!$B$3:$B$1315, "&lt;=" &amp; W$1, DataRegularSeason20242025!$D$3:$D$1315, $A11)+SUMIFS(DataRegularSeason20242025!$AB$3:$AB$1315,DataRegularSeason20242025!$B$3:$B$1315, "&lt;=" &amp; W$1, DataRegularSeason20242025!$E$3:$E$1315, $A11)</f>
        <v>10</v>
      </c>
      <c r="X11">
        <f>SUMIFS(DataRegularSeason20242025!$AA$3:$AA$1315,DataRegularSeason20242025!$B$3:$B$1315, "&lt;=" &amp; X$1, DataRegularSeason20242025!$D$3:$D$1315, $A11)+SUMIFS(DataRegularSeason20242025!$AB$3:$AB$1315,DataRegularSeason20242025!$B$3:$B$1315, "&lt;=" &amp; X$1, DataRegularSeason20242025!$E$3:$E$1315, $A11)</f>
        <v>10</v>
      </c>
      <c r="Y11">
        <f>SUMIFS(DataRegularSeason20242025!$AA$3:$AA$1315,DataRegularSeason20242025!$B$3:$B$1315, "&lt;=" &amp; Y$1, DataRegularSeason20242025!$D$3:$D$1315, $A11)+SUMIFS(DataRegularSeason20242025!$AB$3:$AB$1315,DataRegularSeason20242025!$B$3:$B$1315, "&lt;=" &amp; Y$1, DataRegularSeason20242025!$E$3:$E$1315, $A11)</f>
        <v>10</v>
      </c>
      <c r="Z11">
        <f>SUMIFS(DataRegularSeason20242025!$AA$3:$AA$1315,DataRegularSeason20242025!$B$3:$B$1315, "&lt;=" &amp; Z$1, DataRegularSeason20242025!$D$3:$D$1315, $A11)+SUMIFS(DataRegularSeason20242025!$AB$3:$AB$1315,DataRegularSeason20242025!$B$3:$B$1315, "&lt;=" &amp; Z$1, DataRegularSeason20242025!$E$3:$E$1315, $A11)</f>
        <v>10</v>
      </c>
      <c r="AA11">
        <f>SUMIFS(DataRegularSeason20242025!$AA$3:$AA$1315,DataRegularSeason20242025!$B$3:$B$1315, "&lt;=" &amp; AA$1, DataRegularSeason20242025!$D$3:$D$1315, $A11)+SUMIFS(DataRegularSeason20242025!$AB$3:$AB$1315,DataRegularSeason20242025!$B$3:$B$1315, "&lt;=" &amp; AA$1, DataRegularSeason20242025!$E$3:$E$1315, $A11)</f>
        <v>10</v>
      </c>
      <c r="AB11">
        <f>SUMIFS(DataRegularSeason20242025!$AA$3:$AA$1315,DataRegularSeason20242025!$B$3:$B$1315, "&lt;=" &amp; AB$1, DataRegularSeason20242025!$D$3:$D$1315, $A11)+SUMIFS(DataRegularSeason20242025!$AB$3:$AB$1315,DataRegularSeason20242025!$B$3:$B$1315, "&lt;=" &amp; AB$1, DataRegularSeason20242025!$E$3:$E$1315, $A11)</f>
        <v>10</v>
      </c>
      <c r="AC11">
        <f>SUMIFS(DataRegularSeason20242025!$AA$3:$AA$1315,DataRegularSeason20242025!$B$3:$B$1315, "&lt;=" &amp; AC$1, DataRegularSeason20242025!$D$3:$D$1315, $A11)+SUMIFS(DataRegularSeason20242025!$AB$3:$AB$1315,DataRegularSeason20242025!$B$3:$B$1315, "&lt;=" &amp; AC$1, DataRegularSeason20242025!$E$3:$E$1315, $A11)</f>
        <v>10</v>
      </c>
      <c r="AD11">
        <f>SUMIFS(DataRegularSeason20242025!$AA$3:$AA$1315,DataRegularSeason20242025!$B$3:$B$1315, "&lt;=" &amp; AD$1, DataRegularSeason20242025!$D$3:$D$1315, $A11)+SUMIFS(DataRegularSeason20242025!$AB$3:$AB$1315,DataRegularSeason20242025!$B$3:$B$1315, "&lt;=" &amp; AD$1, DataRegularSeason20242025!$E$3:$E$1315, $A11)</f>
        <v>10</v>
      </c>
      <c r="AE11">
        <f>SUMIFS(DataRegularSeason20242025!$AA$3:$AA$1315,DataRegularSeason20242025!$B$3:$B$1315, "&lt;=" &amp; AE$1, DataRegularSeason20242025!$D$3:$D$1315, $A11)+SUMIFS(DataRegularSeason20242025!$AB$3:$AB$1315,DataRegularSeason20242025!$B$3:$B$1315, "&lt;=" &amp; AE$1, DataRegularSeason20242025!$E$3:$E$1315, $A11)</f>
        <v>10</v>
      </c>
      <c r="AF11">
        <f>SUMIFS(DataRegularSeason20242025!$AA$3:$AA$1315,DataRegularSeason20242025!$B$3:$B$1315, "&lt;=" &amp; AF$1, DataRegularSeason20242025!$D$3:$D$1315, $A11)+SUMIFS(DataRegularSeason20242025!$AB$3:$AB$1315,DataRegularSeason20242025!$B$3:$B$1315, "&lt;=" &amp; AF$1, DataRegularSeason20242025!$E$3:$E$1315, $A11)</f>
        <v>10</v>
      </c>
      <c r="AG11">
        <f>SUMIFS(DataRegularSeason20242025!$AA$3:$AA$1315,DataRegularSeason20242025!$B$3:$B$1315, "&lt;=" &amp; AG$1, DataRegularSeason20242025!$D$3:$D$1315, $A11)+SUMIFS(DataRegularSeason20242025!$AB$3:$AB$1315,DataRegularSeason20242025!$B$3:$B$1315, "&lt;=" &amp; AG$1, DataRegularSeason20242025!$E$3:$E$1315, $A11)</f>
        <v>10</v>
      </c>
      <c r="AH11">
        <f>SUMIFS(DataRegularSeason20242025!$AA$3:$AA$1315,DataRegularSeason20242025!$B$3:$B$1315, "&lt;=" &amp; AH$1, DataRegularSeason20242025!$D$3:$D$1315, $A11)+SUMIFS(DataRegularSeason20242025!$AB$3:$AB$1315,DataRegularSeason20242025!$B$3:$B$1315, "&lt;=" &amp; AH$1, DataRegularSeason20242025!$E$3:$E$1315, $A11)</f>
        <v>10</v>
      </c>
      <c r="AI11">
        <f>SUMIFS(DataRegularSeason20242025!$AA$3:$AA$1315,DataRegularSeason20242025!$B$3:$B$1315, "&lt;=" &amp; AI$1, DataRegularSeason20242025!$D$3:$D$1315, $A11)+SUMIFS(DataRegularSeason20242025!$AB$3:$AB$1315,DataRegularSeason20242025!$B$3:$B$1315, "&lt;=" &amp; AI$1, DataRegularSeason20242025!$E$3:$E$1315, $A11)</f>
        <v>10</v>
      </c>
      <c r="AJ11">
        <f>SUMIFS(DataRegularSeason20242025!$AA$3:$AA$1315,DataRegularSeason20242025!$B$3:$B$1315, "&lt;=" &amp; AJ$1, DataRegularSeason20242025!$D$3:$D$1315, $A11)+SUMIFS(DataRegularSeason20242025!$AB$3:$AB$1315,DataRegularSeason20242025!$B$3:$B$1315, "&lt;=" &amp; AJ$1, DataRegularSeason20242025!$E$3:$E$1315, $A11)</f>
        <v>10</v>
      </c>
      <c r="AK11">
        <f>SUMIFS(DataRegularSeason20242025!$AA$3:$AA$1315,DataRegularSeason20242025!$B$3:$B$1315, "&lt;=" &amp; AK$1, DataRegularSeason20242025!$D$3:$D$1315, $A11)+SUMIFS(DataRegularSeason20242025!$AB$3:$AB$1315,DataRegularSeason20242025!$B$3:$B$1315, "&lt;=" &amp; AK$1, DataRegularSeason20242025!$E$3:$E$1315, $A11)</f>
        <v>10</v>
      </c>
      <c r="AL11">
        <f>SUMIFS(DataRegularSeason20242025!$AA$3:$AA$1315,DataRegularSeason20242025!$B$3:$B$1315, "&lt;=" &amp; AL$1, DataRegularSeason20242025!$D$3:$D$1315, $A11)+SUMIFS(DataRegularSeason20242025!$AB$3:$AB$1315,DataRegularSeason20242025!$B$3:$B$1315, "&lt;=" &amp; AL$1, DataRegularSeason20242025!$E$3:$E$1315, $A11)</f>
        <v>10</v>
      </c>
      <c r="AM11">
        <f>SUMIFS(DataRegularSeason20242025!$AA$3:$AA$1315,DataRegularSeason20242025!$B$3:$B$1315, "&lt;=" &amp; AM$1, DataRegularSeason20242025!$D$3:$D$1315, $A11)+SUMIFS(DataRegularSeason20242025!$AB$3:$AB$1315,DataRegularSeason20242025!$B$3:$B$1315, "&lt;=" &amp; AM$1, DataRegularSeason20242025!$E$3:$E$1315, $A11)</f>
        <v>10</v>
      </c>
      <c r="AN11">
        <f>SUMIFS(DataRegularSeason20242025!$AA$3:$AA$1315,DataRegularSeason20242025!$B$3:$B$1315, "&lt;=" &amp; AN$1, DataRegularSeason20242025!$D$3:$D$1315, $A11)+SUMIFS(DataRegularSeason20242025!$AB$3:$AB$1315,DataRegularSeason20242025!$B$3:$B$1315, "&lt;=" &amp; AN$1, DataRegularSeason20242025!$E$3:$E$1315, $A11)</f>
        <v>10</v>
      </c>
      <c r="AO11">
        <f>SUMIFS(DataRegularSeason20242025!$AA$3:$AA$1315,DataRegularSeason20242025!$B$3:$B$1315, "&lt;=" &amp; AO$1, DataRegularSeason20242025!$D$3:$D$1315, $A11)+SUMIFS(DataRegularSeason20242025!$AB$3:$AB$1315,DataRegularSeason20242025!$B$3:$B$1315, "&lt;=" &amp; AO$1, DataRegularSeason20242025!$E$3:$E$1315, $A11)</f>
        <v>10</v>
      </c>
      <c r="AP11">
        <f>SUMIFS(DataRegularSeason20242025!$AA$3:$AA$1315,DataRegularSeason20242025!$B$3:$B$1315, "&lt;=" &amp; AP$1, DataRegularSeason20242025!$D$3:$D$1315, $A11)+SUMIFS(DataRegularSeason20242025!$AB$3:$AB$1315,DataRegularSeason20242025!$B$3:$B$1315, "&lt;=" &amp; AP$1, DataRegularSeason20242025!$E$3:$E$1315, $A11)</f>
        <v>10</v>
      </c>
      <c r="AQ11">
        <f>SUMIFS(DataRegularSeason20242025!$AA$3:$AA$1315,DataRegularSeason20242025!$B$3:$B$1315, "&lt;=" &amp; AQ$1, DataRegularSeason20242025!$D$3:$D$1315, $A11)+SUMIFS(DataRegularSeason20242025!$AB$3:$AB$1315,DataRegularSeason20242025!$B$3:$B$1315, "&lt;=" &amp; AQ$1, DataRegularSeason20242025!$E$3:$E$1315, $A11)</f>
        <v>10</v>
      </c>
      <c r="AR11">
        <f>SUMIFS(DataRegularSeason20242025!$AA$3:$AA$1315,DataRegularSeason20242025!$B$3:$B$1315, "&lt;=" &amp; AR$1, DataRegularSeason20242025!$D$3:$D$1315, $A11)+SUMIFS(DataRegularSeason20242025!$AB$3:$AB$1315,DataRegularSeason20242025!$B$3:$B$1315, "&lt;=" &amp; AR$1, DataRegularSeason20242025!$E$3:$E$1315, $A11)</f>
        <v>10</v>
      </c>
      <c r="AS11">
        <f>SUMIFS(DataRegularSeason20242025!$AA$3:$AA$1315,DataRegularSeason20242025!$B$3:$B$1315, "&lt;=" &amp; AS$1, DataRegularSeason20242025!$D$3:$D$1315, $A11)+SUMIFS(DataRegularSeason20242025!$AB$3:$AB$1315,DataRegularSeason20242025!$B$3:$B$1315, "&lt;=" &amp; AS$1, DataRegularSeason20242025!$E$3:$E$1315, $A11)</f>
        <v>10</v>
      </c>
      <c r="AT11">
        <f>SUMIFS(DataRegularSeason20242025!$AA$3:$AA$1315,DataRegularSeason20242025!$B$3:$B$1315, "&lt;=" &amp; AT$1, DataRegularSeason20242025!$D$3:$D$1315, $A11)+SUMIFS(DataRegularSeason20242025!$AB$3:$AB$1315,DataRegularSeason20242025!$B$3:$B$1315, "&lt;=" &amp; AT$1, DataRegularSeason20242025!$E$3:$E$1315, $A11)</f>
        <v>10</v>
      </c>
      <c r="AU11">
        <f>SUMIFS(DataRegularSeason20242025!$AA$3:$AA$1315,DataRegularSeason20242025!$B$3:$B$1315, "&lt;=" &amp; AU$1, DataRegularSeason20242025!$D$3:$D$1315, $A11)+SUMIFS(DataRegularSeason20242025!$AB$3:$AB$1315,DataRegularSeason20242025!$B$3:$B$1315, "&lt;=" &amp; AU$1, DataRegularSeason20242025!$E$3:$E$1315, $A11)</f>
        <v>10</v>
      </c>
      <c r="AV11">
        <f>SUMIFS(DataRegularSeason20242025!$AA$3:$AA$1315,DataRegularSeason20242025!$B$3:$B$1315, "&lt;=" &amp; AV$1, DataRegularSeason20242025!$D$3:$D$1315, $A11)+SUMIFS(DataRegularSeason20242025!$AB$3:$AB$1315,DataRegularSeason20242025!$B$3:$B$1315, "&lt;=" &amp; AV$1, DataRegularSeason20242025!$E$3:$E$1315, $A11)</f>
        <v>10</v>
      </c>
      <c r="AW11">
        <f>SUMIFS(DataRegularSeason20242025!$AA$3:$AA$1315,DataRegularSeason20242025!$B$3:$B$1315, "&lt;=" &amp; AW$1, DataRegularSeason20242025!$D$3:$D$1315, $A11)+SUMIFS(DataRegularSeason20242025!$AB$3:$AB$1315,DataRegularSeason20242025!$B$3:$B$1315, "&lt;=" &amp; AW$1, DataRegularSeason20242025!$E$3:$E$1315, $A11)</f>
        <v>10</v>
      </c>
      <c r="AX11">
        <f>SUMIFS(DataRegularSeason20242025!$AA$3:$AA$1315,DataRegularSeason20242025!$B$3:$B$1315, "&lt;=" &amp; AX$1, DataRegularSeason20242025!$D$3:$D$1315, $A11)+SUMIFS(DataRegularSeason20242025!$AB$3:$AB$1315,DataRegularSeason20242025!$B$3:$B$1315, "&lt;=" &amp; AX$1, DataRegularSeason20242025!$E$3:$E$1315, $A11)</f>
        <v>10</v>
      </c>
      <c r="AY11">
        <f>SUMIFS(DataRegularSeason20242025!$AA$3:$AA$1315,DataRegularSeason20242025!$B$3:$B$1315, "&lt;=" &amp; AY$1, DataRegularSeason20242025!$D$3:$D$1315, $A11)+SUMIFS(DataRegularSeason20242025!$AB$3:$AB$1315,DataRegularSeason20242025!$B$3:$B$1315, "&lt;=" &amp; AY$1, DataRegularSeason20242025!$E$3:$E$1315, $A11)</f>
        <v>10</v>
      </c>
      <c r="AZ11">
        <f>SUMIFS(DataRegularSeason20242025!$AA$3:$AA$1315,DataRegularSeason20242025!$B$3:$B$1315, "&lt;=" &amp; AZ$1, DataRegularSeason20242025!$D$3:$D$1315, $A11)+SUMIFS(DataRegularSeason20242025!$AB$3:$AB$1315,DataRegularSeason20242025!$B$3:$B$1315, "&lt;=" &amp; AZ$1, DataRegularSeason20242025!$E$3:$E$1315, $A11)</f>
        <v>10</v>
      </c>
      <c r="BA11">
        <f>SUMIFS(DataRegularSeason20242025!$AA$3:$AA$1315,DataRegularSeason20242025!$B$3:$B$1315, "&lt;=" &amp; BA$1, DataRegularSeason20242025!$D$3:$D$1315, $A11)+SUMIFS(DataRegularSeason20242025!$AB$3:$AB$1315,DataRegularSeason20242025!$B$3:$B$1315, "&lt;=" &amp; BA$1, DataRegularSeason20242025!$E$3:$E$1315, $A11)</f>
        <v>10</v>
      </c>
      <c r="BB11">
        <f>SUMIFS(DataRegularSeason20242025!$AA$3:$AA$1315,DataRegularSeason20242025!$B$3:$B$1315, "&lt;=" &amp; BB$1, DataRegularSeason20242025!$D$3:$D$1315, $A11)+SUMIFS(DataRegularSeason20242025!$AB$3:$AB$1315,DataRegularSeason20242025!$B$3:$B$1315, "&lt;=" &amp; BB$1, DataRegularSeason20242025!$E$3:$E$1315, $A11)</f>
        <v>10</v>
      </c>
      <c r="BC11">
        <f>SUMIFS(DataRegularSeason20242025!$AA$3:$AA$1315,DataRegularSeason20242025!$B$3:$B$1315, "&lt;=" &amp; BC$1, DataRegularSeason20242025!$D$3:$D$1315, $A11)+SUMIFS(DataRegularSeason20242025!$AB$3:$AB$1315,DataRegularSeason20242025!$B$3:$B$1315, "&lt;=" &amp; BC$1, DataRegularSeason20242025!$E$3:$E$1315, $A11)</f>
        <v>10</v>
      </c>
      <c r="BD11">
        <f>SUMIFS(DataRegularSeason20242025!$AA$3:$AA$1315,DataRegularSeason20242025!$B$3:$B$1315, "&lt;=" &amp; BD$1, DataRegularSeason20242025!$D$3:$D$1315, $A11)+SUMIFS(DataRegularSeason20242025!$AB$3:$AB$1315,DataRegularSeason20242025!$B$3:$B$1315, "&lt;=" &amp; BD$1, DataRegularSeason20242025!$E$3:$E$1315, $A11)</f>
        <v>10</v>
      </c>
      <c r="BE11">
        <f>SUMIFS(DataRegularSeason20242025!$AA$3:$AA$1315,DataRegularSeason20242025!$B$3:$B$1315, "&lt;=" &amp; BE$1, DataRegularSeason20242025!$D$3:$D$1315, $A11)+SUMIFS(DataRegularSeason20242025!$AB$3:$AB$1315,DataRegularSeason20242025!$B$3:$B$1315, "&lt;=" &amp; BE$1, DataRegularSeason20242025!$E$3:$E$1315, $A11)</f>
        <v>10</v>
      </c>
      <c r="BF11">
        <f>SUMIFS(DataRegularSeason20242025!$AA$3:$AA$1315,DataRegularSeason20242025!$B$3:$B$1315, "&lt;=" &amp; BF$1, DataRegularSeason20242025!$D$3:$D$1315, $A11)+SUMIFS(DataRegularSeason20242025!$AB$3:$AB$1315,DataRegularSeason20242025!$B$3:$B$1315, "&lt;=" &amp; BF$1, DataRegularSeason20242025!$E$3:$E$1315, $A11)</f>
        <v>10</v>
      </c>
      <c r="BG11">
        <f>SUMIFS(DataRegularSeason20242025!$AA$3:$AA$1315,DataRegularSeason20242025!$B$3:$B$1315, "&lt;=" &amp; BG$1, DataRegularSeason20242025!$D$3:$D$1315, $A11)+SUMIFS(DataRegularSeason20242025!$AB$3:$AB$1315,DataRegularSeason20242025!$B$3:$B$1315, "&lt;=" &amp; BG$1, DataRegularSeason20242025!$E$3:$E$1315, $A11)</f>
        <v>10</v>
      </c>
      <c r="BH11">
        <f>SUMIFS(DataRegularSeason20242025!$AA$3:$AA$1315,DataRegularSeason20242025!$B$3:$B$1315, "&lt;=" &amp; BH$1, DataRegularSeason20242025!$D$3:$D$1315, $A11)+SUMIFS(DataRegularSeason20242025!$AB$3:$AB$1315,DataRegularSeason20242025!$B$3:$B$1315, "&lt;=" &amp; BH$1, DataRegularSeason20242025!$E$3:$E$1315, $A11)</f>
        <v>10</v>
      </c>
      <c r="BI11">
        <f>SUMIFS(DataRegularSeason20242025!$AA$3:$AA$1315,DataRegularSeason20242025!$B$3:$B$1315, "&lt;=" &amp; BI$1, DataRegularSeason20242025!$D$3:$D$1315, $A11)+SUMIFS(DataRegularSeason20242025!$AB$3:$AB$1315,DataRegularSeason20242025!$B$3:$B$1315, "&lt;=" &amp; BI$1, DataRegularSeason20242025!$E$3:$E$1315, $A11)</f>
        <v>10</v>
      </c>
      <c r="BJ11">
        <f>SUMIFS(DataRegularSeason20242025!$AA$3:$AA$1315,DataRegularSeason20242025!$B$3:$B$1315, "&lt;=" &amp; BJ$1, DataRegularSeason20242025!$D$3:$D$1315, $A11)+SUMIFS(DataRegularSeason20242025!$AB$3:$AB$1315,DataRegularSeason20242025!$B$3:$B$1315, "&lt;=" &amp; BJ$1, DataRegularSeason20242025!$E$3:$E$1315, $A11)</f>
        <v>10</v>
      </c>
      <c r="BK11">
        <f>SUMIFS(DataRegularSeason20242025!$AA$3:$AA$1315,DataRegularSeason20242025!$B$3:$B$1315, "&lt;=" &amp; BK$1, DataRegularSeason20242025!$D$3:$D$1315, $A11)+SUMIFS(DataRegularSeason20242025!$AB$3:$AB$1315,DataRegularSeason20242025!$B$3:$B$1315, "&lt;=" &amp; BK$1, DataRegularSeason20242025!$E$3:$E$1315, $A11)</f>
        <v>10</v>
      </c>
      <c r="BL11">
        <f>SUMIFS(DataRegularSeason20242025!$AA$3:$AA$1315,DataRegularSeason20242025!$B$3:$B$1315, "&lt;=" &amp; BL$1, DataRegularSeason20242025!$D$3:$D$1315, $A11)+SUMIFS(DataRegularSeason20242025!$AB$3:$AB$1315,DataRegularSeason20242025!$B$3:$B$1315, "&lt;=" &amp; BL$1, DataRegularSeason20242025!$E$3:$E$1315, $A11)</f>
        <v>10</v>
      </c>
      <c r="BM11">
        <f>SUMIFS(DataRegularSeason20242025!$AA$3:$AA$1315,DataRegularSeason20242025!$B$3:$B$1315, "&lt;=" &amp; BM$1, DataRegularSeason20242025!$D$3:$D$1315, $A11)+SUMIFS(DataRegularSeason20242025!$AB$3:$AB$1315,DataRegularSeason20242025!$B$3:$B$1315, "&lt;=" &amp; BM$1, DataRegularSeason20242025!$E$3:$E$1315, $A11)</f>
        <v>10</v>
      </c>
      <c r="BN11">
        <f>SUMIFS(DataRegularSeason20242025!$AA$3:$AA$1315,DataRegularSeason20242025!$B$3:$B$1315, "&lt;=" &amp; BN$1, DataRegularSeason20242025!$D$3:$D$1315, $A11)+SUMIFS(DataRegularSeason20242025!$AB$3:$AB$1315,DataRegularSeason20242025!$B$3:$B$1315, "&lt;=" &amp; BN$1, DataRegularSeason20242025!$E$3:$E$1315, $A11)</f>
        <v>10</v>
      </c>
      <c r="BO11">
        <f>SUMIFS(DataRegularSeason20242025!$AA$3:$AA$1315,DataRegularSeason20242025!$B$3:$B$1315, "&lt;=" &amp; BO$1, DataRegularSeason20242025!$D$3:$D$1315, $A11)+SUMIFS(DataRegularSeason20242025!$AB$3:$AB$1315,DataRegularSeason20242025!$B$3:$B$1315, "&lt;=" &amp; BO$1, DataRegularSeason20242025!$E$3:$E$1315, $A11)</f>
        <v>10</v>
      </c>
      <c r="BP11">
        <f>SUMIFS(DataRegularSeason20242025!$AA$3:$AA$1315,DataRegularSeason20242025!$B$3:$B$1315, "&lt;=" &amp; BP$1, DataRegularSeason20242025!$D$3:$D$1315, $A11)+SUMIFS(DataRegularSeason20242025!$AB$3:$AB$1315,DataRegularSeason20242025!$B$3:$B$1315, "&lt;=" &amp; BP$1, DataRegularSeason20242025!$E$3:$E$1315, $A11)</f>
        <v>10</v>
      </c>
      <c r="BQ11">
        <f>SUMIFS(DataRegularSeason20242025!$AA$3:$AA$1315,DataRegularSeason20242025!$B$3:$B$1315, "&lt;=" &amp; BQ$1, DataRegularSeason20242025!$D$3:$D$1315, $A11)+SUMIFS(DataRegularSeason20242025!$AB$3:$AB$1315,DataRegularSeason20242025!$B$3:$B$1315, "&lt;=" &amp; BQ$1, DataRegularSeason20242025!$E$3:$E$1315, $A11)</f>
        <v>10</v>
      </c>
      <c r="BR11">
        <f>SUMIFS(DataRegularSeason20242025!$AA$3:$AA$1315,DataRegularSeason20242025!$B$3:$B$1315, "&lt;=" &amp; BR$1, DataRegularSeason20242025!$D$3:$D$1315, $A11)+SUMIFS(DataRegularSeason20242025!$AB$3:$AB$1315,DataRegularSeason20242025!$B$3:$B$1315, "&lt;=" &amp; BR$1, DataRegularSeason20242025!$E$3:$E$1315, $A11)</f>
        <v>10</v>
      </c>
      <c r="BS11">
        <f>SUMIFS(DataRegularSeason20242025!$AA$3:$AA$1315,DataRegularSeason20242025!$B$3:$B$1315, "&lt;=" &amp; BS$1, DataRegularSeason20242025!$D$3:$D$1315, $A11)+SUMIFS(DataRegularSeason20242025!$AB$3:$AB$1315,DataRegularSeason20242025!$B$3:$B$1315, "&lt;=" &amp; BS$1, DataRegularSeason20242025!$E$3:$E$1315, $A11)</f>
        <v>10</v>
      </c>
      <c r="BT11">
        <f>SUMIFS(DataRegularSeason20242025!$AA$3:$AA$1315,DataRegularSeason20242025!$B$3:$B$1315, "&lt;=" &amp; BT$1, DataRegularSeason20242025!$D$3:$D$1315, $A11)+SUMIFS(DataRegularSeason20242025!$AB$3:$AB$1315,DataRegularSeason20242025!$B$3:$B$1315, "&lt;=" &amp; BT$1, DataRegularSeason20242025!$E$3:$E$1315, $A11)</f>
        <v>10</v>
      </c>
      <c r="BU11">
        <f>SUMIFS(DataRegularSeason20242025!$AA$3:$AA$1315,DataRegularSeason20242025!$B$3:$B$1315, "&lt;=" &amp; BU$1, DataRegularSeason20242025!$D$3:$D$1315, $A11)+SUMIFS(DataRegularSeason20242025!$AB$3:$AB$1315,DataRegularSeason20242025!$B$3:$B$1315, "&lt;=" &amp; BU$1, DataRegularSeason20242025!$E$3:$E$1315, $A11)</f>
        <v>10</v>
      </c>
      <c r="BV11">
        <f>SUMIFS(DataRegularSeason20242025!$AA$3:$AA$1315,DataRegularSeason20242025!$B$3:$B$1315, "&lt;=" &amp; BV$1, DataRegularSeason20242025!$D$3:$D$1315, $A11)+SUMIFS(DataRegularSeason20242025!$AB$3:$AB$1315,DataRegularSeason20242025!$B$3:$B$1315, "&lt;=" &amp; BV$1, DataRegularSeason20242025!$E$3:$E$1315, $A11)</f>
        <v>10</v>
      </c>
      <c r="BW11">
        <f>SUMIFS(DataRegularSeason20242025!$AA$3:$AA$1315,DataRegularSeason20242025!$B$3:$B$1315, "&lt;=" &amp; BW$1, DataRegularSeason20242025!$D$3:$D$1315, $A11)+SUMIFS(DataRegularSeason20242025!$AB$3:$AB$1315,DataRegularSeason20242025!$B$3:$B$1315, "&lt;=" &amp; BW$1, DataRegularSeason20242025!$E$3:$E$1315, $A11)</f>
        <v>10</v>
      </c>
      <c r="BX11">
        <f>SUMIFS(DataRegularSeason20242025!$AA$3:$AA$1315,DataRegularSeason20242025!$B$3:$B$1315, "&lt;=" &amp; BX$1, DataRegularSeason20242025!$D$3:$D$1315, $A11)+SUMIFS(DataRegularSeason20242025!$AB$3:$AB$1315,DataRegularSeason20242025!$B$3:$B$1315, "&lt;=" &amp; BX$1, DataRegularSeason20242025!$E$3:$E$1315, $A11)</f>
        <v>10</v>
      </c>
      <c r="BY11">
        <f>SUMIFS(DataRegularSeason20242025!$AA$3:$AA$1315,DataRegularSeason20242025!$B$3:$B$1315, "&lt;=" &amp; BY$1, DataRegularSeason20242025!$D$3:$D$1315, $A11)+SUMIFS(DataRegularSeason20242025!$AB$3:$AB$1315,DataRegularSeason20242025!$B$3:$B$1315, "&lt;=" &amp; BY$1, DataRegularSeason20242025!$E$3:$E$1315, $A11)</f>
        <v>10</v>
      </c>
      <c r="BZ11">
        <f>SUMIFS(DataRegularSeason20242025!$AA$3:$AA$1315,DataRegularSeason20242025!$B$3:$B$1315, "&lt;=" &amp; BZ$1, DataRegularSeason20242025!$D$3:$D$1315, $A11)+SUMIFS(DataRegularSeason20242025!$AB$3:$AB$1315,DataRegularSeason20242025!$B$3:$B$1315, "&lt;=" &amp; BZ$1, DataRegularSeason20242025!$E$3:$E$1315, $A11)</f>
        <v>10</v>
      </c>
      <c r="CA11">
        <f>SUMIFS(DataRegularSeason20242025!$AA$3:$AA$1315,DataRegularSeason20242025!$B$3:$B$1315, "&lt;=" &amp; CA$1, DataRegularSeason20242025!$D$3:$D$1315, $A11)+SUMIFS(DataRegularSeason20242025!$AB$3:$AB$1315,DataRegularSeason20242025!$B$3:$B$1315, "&lt;=" &amp; CA$1, DataRegularSeason20242025!$E$3:$E$1315, $A11)</f>
        <v>10</v>
      </c>
      <c r="CB11">
        <f>SUMIFS(DataRegularSeason20242025!$AA$3:$AA$1315,DataRegularSeason20242025!$B$3:$B$1315, "&lt;=" &amp; CB$1, DataRegularSeason20242025!$D$3:$D$1315, $A11)+SUMIFS(DataRegularSeason20242025!$AB$3:$AB$1315,DataRegularSeason20242025!$B$3:$B$1315, "&lt;=" &amp; CB$1, DataRegularSeason20242025!$E$3:$E$1315, $A11)</f>
        <v>10</v>
      </c>
      <c r="CC11">
        <f>SUMIFS(DataRegularSeason20242025!$AA$3:$AA$1315,DataRegularSeason20242025!$B$3:$B$1315, "&lt;=" &amp; CC$1, DataRegularSeason20242025!$D$3:$D$1315, $A11)+SUMIFS(DataRegularSeason20242025!$AB$3:$AB$1315,DataRegularSeason20242025!$B$3:$B$1315, "&lt;=" &amp; CC$1, DataRegularSeason20242025!$E$3:$E$1315, $A11)</f>
        <v>10</v>
      </c>
      <c r="CD11">
        <f>SUMIFS(DataRegularSeason20242025!$AA$3:$AA$1315,DataRegularSeason20242025!$B$3:$B$1315, "&lt;=" &amp; CD$1, DataRegularSeason20242025!$D$3:$D$1315, $A11)+SUMIFS(DataRegularSeason20242025!$AB$3:$AB$1315,DataRegularSeason20242025!$B$3:$B$1315, "&lt;=" &amp; CD$1, DataRegularSeason20242025!$E$3:$E$1315, $A11)</f>
        <v>10</v>
      </c>
      <c r="CE11">
        <f>SUMIFS(DataRegularSeason20242025!$AA$3:$AA$1315,DataRegularSeason20242025!$B$3:$B$1315, "&lt;=" &amp; CE$1, DataRegularSeason20242025!$D$3:$D$1315, $A11)+SUMIFS(DataRegularSeason20242025!$AB$3:$AB$1315,DataRegularSeason20242025!$B$3:$B$1315, "&lt;=" &amp; CE$1, DataRegularSeason20242025!$E$3:$E$1315, $A11)</f>
        <v>10</v>
      </c>
      <c r="CF11">
        <f>SUMIFS(DataRegularSeason20242025!$AA$3:$AA$1315,DataRegularSeason20242025!$B$3:$B$1315, "&lt;=" &amp; CF$1, DataRegularSeason20242025!$D$3:$D$1315, $A11)+SUMIFS(DataRegularSeason20242025!$AB$3:$AB$1315,DataRegularSeason20242025!$B$3:$B$1315, "&lt;=" &amp; CF$1, DataRegularSeason20242025!$E$3:$E$1315, $A11)</f>
        <v>10</v>
      </c>
      <c r="CG11">
        <f>SUMIFS(DataRegularSeason20242025!$AA$3:$AA$1315,DataRegularSeason20242025!$B$3:$B$1315, "&lt;=" &amp; CG$1, DataRegularSeason20242025!$D$3:$D$1315, $A11)+SUMIFS(DataRegularSeason20242025!$AB$3:$AB$1315,DataRegularSeason20242025!$B$3:$B$1315, "&lt;=" &amp; CG$1, DataRegularSeason20242025!$E$3:$E$1315, $A11)</f>
        <v>10</v>
      </c>
      <c r="CH11">
        <f>SUMIFS(DataRegularSeason20242025!$AA$3:$AA$1315,DataRegularSeason20242025!$B$3:$B$1315, "&lt;=" &amp; CH$1, DataRegularSeason20242025!$D$3:$D$1315, $A11)+SUMIFS(DataRegularSeason20242025!$AB$3:$AB$1315,DataRegularSeason20242025!$B$3:$B$1315, "&lt;=" &amp; CH$1, DataRegularSeason20242025!$E$3:$E$1315, $A11)</f>
        <v>10</v>
      </c>
      <c r="CI11">
        <f>SUMIFS(DataRegularSeason20242025!$AA$3:$AA$1315,DataRegularSeason20242025!$B$3:$B$1315, "&lt;=" &amp; CI$1, DataRegularSeason20242025!$D$3:$D$1315, $A11)+SUMIFS(DataRegularSeason20242025!$AB$3:$AB$1315,DataRegularSeason20242025!$B$3:$B$1315, "&lt;=" &amp; CI$1, DataRegularSeason20242025!$E$3:$E$1315, $A11)</f>
        <v>10</v>
      </c>
      <c r="CJ11">
        <f>SUMIFS(DataRegularSeason20242025!$AA$3:$AA$1315,DataRegularSeason20242025!$B$3:$B$1315, "&lt;=" &amp; CJ$1, DataRegularSeason20242025!$D$3:$D$1315, $A11)+SUMIFS(DataRegularSeason20242025!$AB$3:$AB$1315,DataRegularSeason20242025!$B$3:$B$1315, "&lt;=" &amp; CJ$1, DataRegularSeason20242025!$E$3:$E$1315, $A11)</f>
        <v>10</v>
      </c>
      <c r="CK11">
        <f>SUMIFS(DataRegularSeason20242025!$AA$3:$AA$1315,DataRegularSeason20242025!$B$3:$B$1315, "&lt;=" &amp; CK$1, DataRegularSeason20242025!$D$3:$D$1315, $A11)+SUMIFS(DataRegularSeason20242025!$AB$3:$AB$1315,DataRegularSeason20242025!$B$3:$B$1315, "&lt;=" &amp; CK$1, DataRegularSeason20242025!$E$3:$E$1315, $A11)</f>
        <v>10</v>
      </c>
      <c r="CL11">
        <f>SUMIFS(DataRegularSeason20242025!$AA$3:$AA$1315,DataRegularSeason20242025!$B$3:$B$1315, "&lt;=" &amp; CL$1, DataRegularSeason20242025!$D$3:$D$1315, $A11)+SUMIFS(DataRegularSeason20242025!$AB$3:$AB$1315,DataRegularSeason20242025!$B$3:$B$1315, "&lt;=" &amp; CL$1, DataRegularSeason20242025!$E$3:$E$1315, $A11)</f>
        <v>10</v>
      </c>
      <c r="CM11">
        <f>SUMIFS(DataRegularSeason20242025!$AA$3:$AA$1315,DataRegularSeason20242025!$B$3:$B$1315, "&lt;=" &amp; CM$1, DataRegularSeason20242025!$D$3:$D$1315, $A11)+SUMIFS(DataRegularSeason20242025!$AB$3:$AB$1315,DataRegularSeason20242025!$B$3:$B$1315, "&lt;=" &amp; CM$1, DataRegularSeason20242025!$E$3:$E$1315, $A11)</f>
        <v>10</v>
      </c>
      <c r="CN11">
        <f>SUMIFS(DataRegularSeason20242025!$AA$3:$AA$1315,DataRegularSeason20242025!$B$3:$B$1315, "&lt;=" &amp; CN$1, DataRegularSeason20242025!$D$3:$D$1315, $A11)+SUMIFS(DataRegularSeason20242025!$AB$3:$AB$1315,DataRegularSeason20242025!$B$3:$B$1315, "&lt;=" &amp; CN$1, DataRegularSeason20242025!$E$3:$E$1315, $A11)</f>
        <v>10</v>
      </c>
      <c r="CO11">
        <f>SUMIFS(DataRegularSeason20242025!$AA$3:$AA$1315,DataRegularSeason20242025!$B$3:$B$1315, "&lt;=" &amp; CO$1, DataRegularSeason20242025!$D$3:$D$1315, $A11)+SUMIFS(DataRegularSeason20242025!$AB$3:$AB$1315,DataRegularSeason20242025!$B$3:$B$1315, "&lt;=" &amp; CO$1, DataRegularSeason20242025!$E$3:$E$1315, $A11)</f>
        <v>10</v>
      </c>
      <c r="CP11">
        <f>SUMIFS(DataRegularSeason20242025!$AA$3:$AA$1315,DataRegularSeason20242025!$B$3:$B$1315, "&lt;=" &amp; CP$1, DataRegularSeason20242025!$D$3:$D$1315, $A11)+SUMIFS(DataRegularSeason20242025!$AB$3:$AB$1315,DataRegularSeason20242025!$B$3:$B$1315, "&lt;=" &amp; CP$1, DataRegularSeason20242025!$E$3:$E$1315, $A11)</f>
        <v>10</v>
      </c>
      <c r="CQ11">
        <f>SUMIFS(DataRegularSeason20242025!$AA$3:$AA$1315,DataRegularSeason20242025!$B$3:$B$1315, "&lt;=" &amp; CQ$1, DataRegularSeason20242025!$D$3:$D$1315, $A11)+SUMIFS(DataRegularSeason20242025!$AB$3:$AB$1315,DataRegularSeason20242025!$B$3:$B$1315, "&lt;=" &amp; CQ$1, DataRegularSeason20242025!$E$3:$E$1315, $A11)</f>
        <v>10</v>
      </c>
      <c r="CR11">
        <f>SUMIFS(DataRegularSeason20242025!$AA$3:$AA$1315,DataRegularSeason20242025!$B$3:$B$1315, "&lt;=" &amp; CR$1, DataRegularSeason20242025!$D$3:$D$1315, $A11)+SUMIFS(DataRegularSeason20242025!$AB$3:$AB$1315,DataRegularSeason20242025!$B$3:$B$1315, "&lt;=" &amp; CR$1, DataRegularSeason20242025!$E$3:$E$1315, $A11)</f>
        <v>10</v>
      </c>
      <c r="CS11">
        <f>SUMIFS(DataRegularSeason20242025!$AA$3:$AA$1315,DataRegularSeason20242025!$B$3:$B$1315, "&lt;=" &amp; CS$1, DataRegularSeason20242025!$D$3:$D$1315, $A11)+SUMIFS(DataRegularSeason20242025!$AB$3:$AB$1315,DataRegularSeason20242025!$B$3:$B$1315, "&lt;=" &amp; CS$1, DataRegularSeason20242025!$E$3:$E$1315, $A11)</f>
        <v>10</v>
      </c>
      <c r="CT11">
        <f>SUMIFS(DataRegularSeason20242025!$AA$3:$AA$1315,DataRegularSeason20242025!$B$3:$B$1315, "&lt;=" &amp; CT$1, DataRegularSeason20242025!$D$3:$D$1315, $A11)+SUMIFS(DataRegularSeason20242025!$AB$3:$AB$1315,DataRegularSeason20242025!$B$3:$B$1315, "&lt;=" &amp; CT$1, DataRegularSeason20242025!$E$3:$E$1315, $A11)</f>
        <v>10</v>
      </c>
      <c r="CU11">
        <f>SUMIFS(DataRegularSeason20242025!$AA$3:$AA$1315,DataRegularSeason20242025!$B$3:$B$1315, "&lt;=" &amp; CU$1, DataRegularSeason20242025!$D$3:$D$1315, $A11)+SUMIFS(DataRegularSeason20242025!$AB$3:$AB$1315,DataRegularSeason20242025!$B$3:$B$1315, "&lt;=" &amp; CU$1, DataRegularSeason20242025!$E$3:$E$1315, $A11)</f>
        <v>10</v>
      </c>
      <c r="CV11">
        <f>SUMIFS(DataRegularSeason20242025!$AA$3:$AA$1315,DataRegularSeason20242025!$B$3:$B$1315, "&lt;=" &amp; CV$1, DataRegularSeason20242025!$D$3:$D$1315, $A11)+SUMIFS(DataRegularSeason20242025!$AB$3:$AB$1315,DataRegularSeason20242025!$B$3:$B$1315, "&lt;=" &amp; CV$1, DataRegularSeason20242025!$E$3:$E$1315, $A11)</f>
        <v>10</v>
      </c>
      <c r="CW11">
        <f>SUMIFS(DataRegularSeason20242025!$AA$3:$AA$1315,DataRegularSeason20242025!$B$3:$B$1315, "&lt;=" &amp; CW$1, DataRegularSeason20242025!$D$3:$D$1315, $A11)+SUMIFS(DataRegularSeason20242025!$AB$3:$AB$1315,DataRegularSeason20242025!$B$3:$B$1315, "&lt;=" &amp; CW$1, DataRegularSeason20242025!$E$3:$E$1315, $A11)</f>
        <v>10</v>
      </c>
      <c r="CX11">
        <f>SUMIFS(DataRegularSeason20242025!$AA$3:$AA$1315,DataRegularSeason20242025!$B$3:$B$1315, "&lt;=" &amp; CX$1, DataRegularSeason20242025!$D$3:$D$1315, $A11)+SUMIFS(DataRegularSeason20242025!$AB$3:$AB$1315,DataRegularSeason20242025!$B$3:$B$1315, "&lt;=" &amp; CX$1, DataRegularSeason20242025!$E$3:$E$1315, $A11)</f>
        <v>10</v>
      </c>
      <c r="CY11">
        <f>SUMIFS(DataRegularSeason20242025!$AA$3:$AA$1315,DataRegularSeason20242025!$B$3:$B$1315, "&lt;=" &amp; CY$1, DataRegularSeason20242025!$D$3:$D$1315, $A11)+SUMIFS(DataRegularSeason20242025!$AB$3:$AB$1315,DataRegularSeason20242025!$B$3:$B$1315, "&lt;=" &amp; CY$1, DataRegularSeason20242025!$E$3:$E$1315, $A11)</f>
        <v>10</v>
      </c>
      <c r="CZ11">
        <f>SUMIFS(DataRegularSeason20242025!$AA$3:$AA$1315,DataRegularSeason20242025!$B$3:$B$1315, "&lt;=" &amp; CZ$1, DataRegularSeason20242025!$D$3:$D$1315, $A11)+SUMIFS(DataRegularSeason20242025!$AB$3:$AB$1315,DataRegularSeason20242025!$B$3:$B$1315, "&lt;=" &amp; CZ$1, DataRegularSeason20242025!$E$3:$E$1315, $A11)</f>
        <v>10</v>
      </c>
      <c r="DA11">
        <f>SUMIFS(DataRegularSeason20242025!$AA$3:$AA$1315,DataRegularSeason20242025!$B$3:$B$1315, "&lt;=" &amp; DA$1, DataRegularSeason20242025!$D$3:$D$1315, $A11)+SUMIFS(DataRegularSeason20242025!$AB$3:$AB$1315,DataRegularSeason20242025!$B$3:$B$1315, "&lt;=" &amp; DA$1, DataRegularSeason20242025!$E$3:$E$1315, $A11)</f>
        <v>10</v>
      </c>
      <c r="DB11">
        <f>SUMIFS(DataRegularSeason20242025!$AA$3:$AA$1315,DataRegularSeason20242025!$B$3:$B$1315, "&lt;=" &amp; DB$1, DataRegularSeason20242025!$D$3:$D$1315, $A11)+SUMIFS(DataRegularSeason20242025!$AB$3:$AB$1315,DataRegularSeason20242025!$B$3:$B$1315, "&lt;=" &amp; DB$1, DataRegularSeason20242025!$E$3:$E$1315, $A11)</f>
        <v>10</v>
      </c>
      <c r="DC11">
        <f>SUMIFS(DataRegularSeason20242025!$AA$3:$AA$1315,DataRegularSeason20242025!$B$3:$B$1315, "&lt;=" &amp; DC$1, DataRegularSeason20242025!$D$3:$D$1315, $A11)+SUMIFS(DataRegularSeason20242025!$AB$3:$AB$1315,DataRegularSeason20242025!$B$3:$B$1315, "&lt;=" &amp; DC$1, DataRegularSeason20242025!$E$3:$E$1315, $A11)</f>
        <v>10</v>
      </c>
      <c r="DD11">
        <f>SUMIFS(DataRegularSeason20242025!$AA$3:$AA$1315,DataRegularSeason20242025!$B$3:$B$1315, "&lt;=" &amp; DD$1, DataRegularSeason20242025!$D$3:$D$1315, $A11)+SUMIFS(DataRegularSeason20242025!$AB$3:$AB$1315,DataRegularSeason20242025!$B$3:$B$1315, "&lt;=" &amp; DD$1, DataRegularSeason20242025!$E$3:$E$1315, $A11)</f>
        <v>10</v>
      </c>
      <c r="DE11">
        <f>SUMIFS(DataRegularSeason20242025!$AA$3:$AA$1315,DataRegularSeason20242025!$B$3:$B$1315, "&lt;=" &amp; DE$1, DataRegularSeason20242025!$D$3:$D$1315, $A11)+SUMIFS(DataRegularSeason20242025!$AB$3:$AB$1315,DataRegularSeason20242025!$B$3:$B$1315, "&lt;=" &amp; DE$1, DataRegularSeason20242025!$E$3:$E$1315, $A11)</f>
        <v>10</v>
      </c>
      <c r="DF11">
        <f>SUMIFS(DataRegularSeason20242025!$AA$3:$AA$1315,DataRegularSeason20242025!$B$3:$B$1315, "&lt;=" &amp; DF$1, DataRegularSeason20242025!$D$3:$D$1315, $A11)+SUMIFS(DataRegularSeason20242025!$AB$3:$AB$1315,DataRegularSeason20242025!$B$3:$B$1315, "&lt;=" &amp; DF$1, DataRegularSeason20242025!$E$3:$E$1315, $A11)</f>
        <v>10</v>
      </c>
      <c r="DG11">
        <f>SUMIFS(DataRegularSeason20242025!$AA$3:$AA$1315,DataRegularSeason20242025!$B$3:$B$1315, "&lt;=" &amp; DG$1, DataRegularSeason20242025!$D$3:$D$1315, $A11)+SUMIFS(DataRegularSeason20242025!$AB$3:$AB$1315,DataRegularSeason20242025!$B$3:$B$1315, "&lt;=" &amp; DG$1, DataRegularSeason20242025!$E$3:$E$1315, $A11)</f>
        <v>10</v>
      </c>
      <c r="DH11">
        <f>SUMIFS(DataRegularSeason20242025!$AA$3:$AA$1315,DataRegularSeason20242025!$B$3:$B$1315, "&lt;=" &amp; DH$1, DataRegularSeason20242025!$D$3:$D$1315, $A11)+SUMIFS(DataRegularSeason20242025!$AB$3:$AB$1315,DataRegularSeason20242025!$B$3:$B$1315, "&lt;=" &amp; DH$1, DataRegularSeason20242025!$E$3:$E$1315, $A11)</f>
        <v>10</v>
      </c>
      <c r="DI11">
        <f>SUMIFS(DataRegularSeason20242025!$AA$3:$AA$1315,DataRegularSeason20242025!$B$3:$B$1315, "&lt;=" &amp; DI$1, DataRegularSeason20242025!$D$3:$D$1315, $A11)+SUMIFS(DataRegularSeason20242025!$AB$3:$AB$1315,DataRegularSeason20242025!$B$3:$B$1315, "&lt;=" &amp; DI$1, DataRegularSeason20242025!$E$3:$E$1315, $A11)</f>
        <v>10</v>
      </c>
      <c r="DJ11">
        <f>SUMIFS(DataRegularSeason20242025!$AA$3:$AA$1315,DataRegularSeason20242025!$B$3:$B$1315, "&lt;=" &amp; DJ$1, DataRegularSeason20242025!$D$3:$D$1315, $A11)+SUMIFS(DataRegularSeason20242025!$AB$3:$AB$1315,DataRegularSeason20242025!$B$3:$B$1315, "&lt;=" &amp; DJ$1, DataRegularSeason20242025!$E$3:$E$1315, $A11)</f>
        <v>10</v>
      </c>
      <c r="DK11">
        <f>SUMIFS(DataRegularSeason20242025!$AA$3:$AA$1315,DataRegularSeason20242025!$B$3:$B$1315, "&lt;=" &amp; DK$1, DataRegularSeason20242025!$D$3:$D$1315, $A11)+SUMIFS(DataRegularSeason20242025!$AB$3:$AB$1315,DataRegularSeason20242025!$B$3:$B$1315, "&lt;=" &amp; DK$1, DataRegularSeason20242025!$E$3:$E$1315, $A11)</f>
        <v>10</v>
      </c>
      <c r="DL11">
        <f>SUMIFS(DataRegularSeason20242025!$AA$3:$AA$1315,DataRegularSeason20242025!$B$3:$B$1315, "&lt;=" &amp; DL$1, DataRegularSeason20242025!$D$3:$D$1315, $A11)+SUMIFS(DataRegularSeason20242025!$AB$3:$AB$1315,DataRegularSeason20242025!$B$3:$B$1315, "&lt;=" &amp; DL$1, DataRegularSeason20242025!$E$3:$E$1315, $A11)</f>
        <v>10</v>
      </c>
      <c r="DM11">
        <f>SUMIFS(DataRegularSeason20242025!$AA$3:$AA$1315,DataRegularSeason20242025!$B$3:$B$1315, "&lt;=" &amp; DM$1, DataRegularSeason20242025!$D$3:$D$1315, $A11)+SUMIFS(DataRegularSeason20242025!$AB$3:$AB$1315,DataRegularSeason20242025!$B$3:$B$1315, "&lt;=" &amp; DM$1, DataRegularSeason20242025!$E$3:$E$1315, $A11)</f>
        <v>10</v>
      </c>
      <c r="DN11">
        <f>SUMIFS(DataRegularSeason20242025!$AA$3:$AA$1315,DataRegularSeason20242025!$B$3:$B$1315, "&lt;=" &amp; DN$1, DataRegularSeason20242025!$D$3:$D$1315, $A11)+SUMIFS(DataRegularSeason20242025!$AB$3:$AB$1315,DataRegularSeason20242025!$B$3:$B$1315, "&lt;=" &amp; DN$1, DataRegularSeason20242025!$E$3:$E$1315, $A11)</f>
        <v>10</v>
      </c>
      <c r="DO11">
        <f>SUMIFS(DataRegularSeason20242025!$AA$3:$AA$1315,DataRegularSeason20242025!$B$3:$B$1315, "&lt;=" &amp; DO$1, DataRegularSeason20242025!$D$3:$D$1315, $A11)+SUMIFS(DataRegularSeason20242025!$AB$3:$AB$1315,DataRegularSeason20242025!$B$3:$B$1315, "&lt;=" &amp; DO$1, DataRegularSeason20242025!$E$3:$E$1315, $A11)</f>
        <v>10</v>
      </c>
      <c r="DP11">
        <f>SUMIFS(DataRegularSeason20242025!$AA$3:$AA$1315,DataRegularSeason20242025!$B$3:$B$1315, "&lt;=" &amp; DP$1, DataRegularSeason20242025!$D$3:$D$1315, $A11)+SUMIFS(DataRegularSeason20242025!$AB$3:$AB$1315,DataRegularSeason20242025!$B$3:$B$1315, "&lt;=" &amp; DP$1, DataRegularSeason20242025!$E$3:$E$1315, $A11)</f>
        <v>10</v>
      </c>
      <c r="DQ11">
        <f>SUMIFS(DataRegularSeason20242025!$AA$3:$AA$1315,DataRegularSeason20242025!$B$3:$B$1315, "&lt;=" &amp; DQ$1, DataRegularSeason20242025!$D$3:$D$1315, $A11)+SUMIFS(DataRegularSeason20242025!$AB$3:$AB$1315,DataRegularSeason20242025!$B$3:$B$1315, "&lt;=" &amp; DQ$1, DataRegularSeason20242025!$E$3:$E$1315, $A11)</f>
        <v>10</v>
      </c>
      <c r="DR11">
        <f>SUMIFS(DataRegularSeason20242025!$AA$3:$AA$1315,DataRegularSeason20242025!$B$3:$B$1315, "&lt;=" &amp; DR$1, DataRegularSeason20242025!$D$3:$D$1315, $A11)+SUMIFS(DataRegularSeason20242025!$AB$3:$AB$1315,DataRegularSeason20242025!$B$3:$B$1315, "&lt;=" &amp; DR$1, DataRegularSeason20242025!$E$3:$E$1315, $A11)</f>
        <v>10</v>
      </c>
      <c r="DS11">
        <f>SUMIFS(DataRegularSeason20242025!$AA$3:$AA$1315,DataRegularSeason20242025!$B$3:$B$1315, "&lt;=" &amp; DS$1, DataRegularSeason20242025!$D$3:$D$1315, $A11)+SUMIFS(DataRegularSeason20242025!$AB$3:$AB$1315,DataRegularSeason20242025!$B$3:$B$1315, "&lt;=" &amp; DS$1, DataRegularSeason20242025!$E$3:$E$1315, $A11)</f>
        <v>10</v>
      </c>
      <c r="DT11">
        <f>SUMIFS(DataRegularSeason20242025!$AA$3:$AA$1315,DataRegularSeason20242025!$B$3:$B$1315, "&lt;=" &amp; DT$1, DataRegularSeason20242025!$D$3:$D$1315, $A11)+SUMIFS(DataRegularSeason20242025!$AB$3:$AB$1315,DataRegularSeason20242025!$B$3:$B$1315, "&lt;=" &amp; DT$1, DataRegularSeason20242025!$E$3:$E$1315, $A11)</f>
        <v>10</v>
      </c>
      <c r="DU11">
        <f>SUMIFS(DataRegularSeason20242025!$AA$3:$AA$1315,DataRegularSeason20242025!$B$3:$B$1315, "&lt;=" &amp; DU$1, DataRegularSeason20242025!$D$3:$D$1315, $A11)+SUMIFS(DataRegularSeason20242025!$AB$3:$AB$1315,DataRegularSeason20242025!$B$3:$B$1315, "&lt;=" &amp; DU$1, DataRegularSeason20242025!$E$3:$E$1315, $A11)</f>
        <v>10</v>
      </c>
      <c r="DV11">
        <f>SUMIFS(DataRegularSeason20242025!$AA$3:$AA$1315,DataRegularSeason20242025!$B$3:$B$1315, "&lt;=" &amp; DV$1, DataRegularSeason20242025!$D$3:$D$1315, $A11)+SUMIFS(DataRegularSeason20242025!$AB$3:$AB$1315,DataRegularSeason20242025!$B$3:$B$1315, "&lt;=" &amp; DV$1, DataRegularSeason20242025!$E$3:$E$1315, $A11)</f>
        <v>10</v>
      </c>
      <c r="DW11">
        <f>SUMIFS(DataRegularSeason20242025!$AA$3:$AA$1315,DataRegularSeason20242025!$B$3:$B$1315, "&lt;=" &amp; DW$1, DataRegularSeason20242025!$D$3:$D$1315, $A11)+SUMIFS(DataRegularSeason20242025!$AB$3:$AB$1315,DataRegularSeason20242025!$B$3:$B$1315, "&lt;=" &amp; DW$1, DataRegularSeason20242025!$E$3:$E$1315, $A11)</f>
        <v>10</v>
      </c>
      <c r="DX11">
        <f>SUMIFS(DataRegularSeason20242025!$AA$3:$AA$1315,DataRegularSeason20242025!$B$3:$B$1315, "&lt;=" &amp; DX$1, DataRegularSeason20242025!$D$3:$D$1315, $A11)+SUMIFS(DataRegularSeason20242025!$AB$3:$AB$1315,DataRegularSeason20242025!$B$3:$B$1315, "&lt;=" &amp; DX$1, DataRegularSeason20242025!$E$3:$E$1315, $A11)</f>
        <v>10</v>
      </c>
      <c r="DY11">
        <f>SUMIFS(DataRegularSeason20242025!$AA$3:$AA$1315,DataRegularSeason20242025!$B$3:$B$1315, "&lt;=" &amp; DY$1, DataRegularSeason20242025!$D$3:$D$1315, $A11)+SUMIFS(DataRegularSeason20242025!$AB$3:$AB$1315,DataRegularSeason20242025!$B$3:$B$1315, "&lt;=" &amp; DY$1, DataRegularSeason20242025!$E$3:$E$1315, $A11)</f>
        <v>10</v>
      </c>
      <c r="DZ11">
        <f>SUMIFS(DataRegularSeason20242025!$AA$3:$AA$1315,DataRegularSeason20242025!$B$3:$B$1315, "&lt;=" &amp; DZ$1, DataRegularSeason20242025!$D$3:$D$1315, $A11)+SUMIFS(DataRegularSeason20242025!$AB$3:$AB$1315,DataRegularSeason20242025!$B$3:$B$1315, "&lt;=" &amp; DZ$1, DataRegularSeason20242025!$E$3:$E$1315, $A11)</f>
        <v>10</v>
      </c>
      <c r="EA11">
        <f>SUMIFS(DataRegularSeason20242025!$AA$3:$AA$1315,DataRegularSeason20242025!$B$3:$B$1315, "&lt;=" &amp; EA$1, DataRegularSeason20242025!$D$3:$D$1315, $A11)+SUMIFS(DataRegularSeason20242025!$AB$3:$AB$1315,DataRegularSeason20242025!$B$3:$B$1315, "&lt;=" &amp; EA$1, DataRegularSeason20242025!$E$3:$E$1315, $A11)</f>
        <v>10</v>
      </c>
      <c r="EB11">
        <f>SUMIFS(DataRegularSeason20242025!$AA$3:$AA$1315,DataRegularSeason20242025!$B$3:$B$1315, "&lt;=" &amp; EB$1, DataRegularSeason20242025!$D$3:$D$1315, $A11)+SUMIFS(DataRegularSeason20242025!$AB$3:$AB$1315,DataRegularSeason20242025!$B$3:$B$1315, "&lt;=" &amp; EB$1, DataRegularSeason20242025!$E$3:$E$1315, $A11)</f>
        <v>10</v>
      </c>
      <c r="EC11">
        <f>SUMIFS(DataRegularSeason20242025!$AA$3:$AA$1315,DataRegularSeason20242025!$B$3:$B$1315, "&lt;=" &amp; EC$1, DataRegularSeason20242025!$D$3:$D$1315, $A11)+SUMIFS(DataRegularSeason20242025!$AB$3:$AB$1315,DataRegularSeason20242025!$B$3:$B$1315, "&lt;=" &amp; EC$1, DataRegularSeason20242025!$E$3:$E$1315, $A11)</f>
        <v>10</v>
      </c>
      <c r="ED11">
        <f>SUMIFS(DataRegularSeason20242025!$AA$3:$AA$1315,DataRegularSeason20242025!$B$3:$B$1315, "&lt;=" &amp; ED$1, DataRegularSeason20242025!$D$3:$D$1315, $A11)+SUMIFS(DataRegularSeason20242025!$AB$3:$AB$1315,DataRegularSeason20242025!$B$3:$B$1315, "&lt;=" &amp; ED$1, DataRegularSeason20242025!$E$3:$E$1315, $A11)</f>
        <v>10</v>
      </c>
      <c r="EE11">
        <f>SUMIFS(DataRegularSeason20242025!$AA$3:$AA$1315,DataRegularSeason20242025!$B$3:$B$1315, "&lt;=" &amp; EE$1, DataRegularSeason20242025!$D$3:$D$1315, $A11)+SUMIFS(DataRegularSeason20242025!$AB$3:$AB$1315,DataRegularSeason20242025!$B$3:$B$1315, "&lt;=" &amp; EE$1, DataRegularSeason20242025!$E$3:$E$1315, $A11)</f>
        <v>10</v>
      </c>
      <c r="EF11">
        <f>SUMIFS(DataRegularSeason20242025!$AA$3:$AA$1315,DataRegularSeason20242025!$B$3:$B$1315, "&lt;=" &amp; EF$1, DataRegularSeason20242025!$D$3:$D$1315, $A11)+SUMIFS(DataRegularSeason20242025!$AB$3:$AB$1315,DataRegularSeason20242025!$B$3:$B$1315, "&lt;=" &amp; EF$1, DataRegularSeason20242025!$E$3:$E$1315, $A11)</f>
        <v>10</v>
      </c>
      <c r="EG11">
        <f>SUMIFS(DataRegularSeason20242025!$AA$3:$AA$1315,DataRegularSeason20242025!$B$3:$B$1315, "&lt;=" &amp; EG$1, DataRegularSeason20242025!$D$3:$D$1315, $A11)+SUMIFS(DataRegularSeason20242025!$AB$3:$AB$1315,DataRegularSeason20242025!$B$3:$B$1315, "&lt;=" &amp; EG$1, DataRegularSeason20242025!$E$3:$E$1315, $A11)</f>
        <v>10</v>
      </c>
      <c r="EH11">
        <f>SUMIFS(DataRegularSeason20242025!$AA$3:$AA$1315,DataRegularSeason20242025!$B$3:$B$1315, "&lt;=" &amp; EH$1, DataRegularSeason20242025!$D$3:$D$1315, $A11)+SUMIFS(DataRegularSeason20242025!$AB$3:$AB$1315,DataRegularSeason20242025!$B$3:$B$1315, "&lt;=" &amp; EH$1, DataRegularSeason20242025!$E$3:$E$1315, $A11)</f>
        <v>10</v>
      </c>
      <c r="EI11">
        <f>SUMIFS(DataRegularSeason20242025!$AA$3:$AA$1315,DataRegularSeason20242025!$B$3:$B$1315, "&lt;=" &amp; EI$1, DataRegularSeason20242025!$D$3:$D$1315, $A11)+SUMIFS(DataRegularSeason20242025!$AB$3:$AB$1315,DataRegularSeason20242025!$B$3:$B$1315, "&lt;=" &amp; EI$1, DataRegularSeason20242025!$E$3:$E$1315, $A11)</f>
        <v>10</v>
      </c>
      <c r="EJ11">
        <f>SUMIFS(DataRegularSeason20242025!$AA$3:$AA$1315,DataRegularSeason20242025!$B$3:$B$1315, "&lt;=" &amp; EJ$1, DataRegularSeason20242025!$D$3:$D$1315, $A11)+SUMIFS(DataRegularSeason20242025!$AB$3:$AB$1315,DataRegularSeason20242025!$B$3:$B$1315, "&lt;=" &amp; EJ$1, DataRegularSeason20242025!$E$3:$E$1315, $A11)</f>
        <v>10</v>
      </c>
      <c r="EK11">
        <f>SUMIFS(DataRegularSeason20242025!$AA$3:$AA$1315,DataRegularSeason20242025!$B$3:$B$1315, "&lt;=" &amp; EK$1, DataRegularSeason20242025!$D$3:$D$1315, $A11)+SUMIFS(DataRegularSeason20242025!$AB$3:$AB$1315,DataRegularSeason20242025!$B$3:$B$1315, "&lt;=" &amp; EK$1, DataRegularSeason20242025!$E$3:$E$1315, $A11)</f>
        <v>10</v>
      </c>
      <c r="EL11">
        <f>SUMIFS(DataRegularSeason20242025!$AA$3:$AA$1315,DataRegularSeason20242025!$B$3:$B$1315, "&lt;=" &amp; EL$1, DataRegularSeason20242025!$D$3:$D$1315, $A11)+SUMIFS(DataRegularSeason20242025!$AB$3:$AB$1315,DataRegularSeason20242025!$B$3:$B$1315, "&lt;=" &amp; EL$1, DataRegularSeason20242025!$E$3:$E$1315, $A11)</f>
        <v>10</v>
      </c>
      <c r="EM11">
        <f>SUMIFS(DataRegularSeason20242025!$AA$3:$AA$1315,DataRegularSeason20242025!$B$3:$B$1315, "&lt;=" &amp; EM$1, DataRegularSeason20242025!$D$3:$D$1315, $A11)+SUMIFS(DataRegularSeason20242025!$AB$3:$AB$1315,DataRegularSeason20242025!$B$3:$B$1315, "&lt;=" &amp; EM$1, DataRegularSeason20242025!$E$3:$E$1315, $A11)</f>
        <v>10</v>
      </c>
      <c r="EN11">
        <f>SUMIFS(DataRegularSeason20242025!$AA$3:$AA$1315,DataRegularSeason20242025!$B$3:$B$1315, "&lt;=" &amp; EN$1, DataRegularSeason20242025!$D$3:$D$1315, $A11)+SUMIFS(DataRegularSeason20242025!$AB$3:$AB$1315,DataRegularSeason20242025!$B$3:$B$1315, "&lt;=" &amp; EN$1, DataRegularSeason20242025!$E$3:$E$1315, $A11)</f>
        <v>10</v>
      </c>
      <c r="EO11">
        <f>SUMIFS(DataRegularSeason20242025!$AA$3:$AA$1315,DataRegularSeason20242025!$B$3:$B$1315, "&lt;=" &amp; EO$1, DataRegularSeason20242025!$D$3:$D$1315, $A11)+SUMIFS(DataRegularSeason20242025!$AB$3:$AB$1315,DataRegularSeason20242025!$B$3:$B$1315, "&lt;=" &amp; EO$1, DataRegularSeason20242025!$E$3:$E$1315, $A11)</f>
        <v>10</v>
      </c>
      <c r="EP11">
        <f>SUMIFS(DataRegularSeason20242025!$AA$3:$AA$1315,DataRegularSeason20242025!$B$3:$B$1315, "&lt;=" &amp; EP$1, DataRegularSeason20242025!$D$3:$D$1315, $A11)+SUMIFS(DataRegularSeason20242025!$AB$3:$AB$1315,DataRegularSeason20242025!$B$3:$B$1315, "&lt;=" &amp; EP$1, DataRegularSeason20242025!$E$3:$E$1315, $A11)</f>
        <v>10</v>
      </c>
      <c r="EQ11">
        <f>SUMIFS(DataRegularSeason20242025!$AA$3:$AA$1315,DataRegularSeason20242025!$B$3:$B$1315, "&lt;=" &amp; EQ$1, DataRegularSeason20242025!$D$3:$D$1315, $A11)+SUMIFS(DataRegularSeason20242025!$AB$3:$AB$1315,DataRegularSeason20242025!$B$3:$B$1315, "&lt;=" &amp; EQ$1, DataRegularSeason20242025!$E$3:$E$1315, $A11)</f>
        <v>10</v>
      </c>
      <c r="ER11">
        <f>SUMIFS(DataRegularSeason20242025!$AA$3:$AA$1315,DataRegularSeason20242025!$B$3:$B$1315, "&lt;=" &amp; ER$1, DataRegularSeason20242025!$D$3:$D$1315, $A11)+SUMIFS(DataRegularSeason20242025!$AB$3:$AB$1315,DataRegularSeason20242025!$B$3:$B$1315, "&lt;=" &amp; ER$1, DataRegularSeason20242025!$E$3:$E$1315, $A11)</f>
        <v>10</v>
      </c>
      <c r="ES11">
        <f>SUMIFS(DataRegularSeason20242025!$AA$3:$AA$1315,DataRegularSeason20242025!$B$3:$B$1315, "&lt;=" &amp; ES$1, DataRegularSeason20242025!$D$3:$D$1315, $A11)+SUMIFS(DataRegularSeason20242025!$AB$3:$AB$1315,DataRegularSeason20242025!$B$3:$B$1315, "&lt;=" &amp; ES$1, DataRegularSeason20242025!$E$3:$E$1315, $A11)</f>
        <v>10</v>
      </c>
      <c r="ET11">
        <f>SUMIFS(DataRegularSeason20242025!$AA$3:$AA$1315,DataRegularSeason20242025!$B$3:$B$1315, "&lt;=" &amp; ET$1, DataRegularSeason20242025!$D$3:$D$1315, $A11)+SUMIFS(DataRegularSeason20242025!$AB$3:$AB$1315,DataRegularSeason20242025!$B$3:$B$1315, "&lt;=" &amp; ET$1, DataRegularSeason20242025!$E$3:$E$1315, $A11)</f>
        <v>10</v>
      </c>
      <c r="EU11">
        <f>SUMIFS(DataRegularSeason20242025!$AA$3:$AA$1315,DataRegularSeason20242025!$B$3:$B$1315, "&lt;=" &amp; EU$1, DataRegularSeason20242025!$D$3:$D$1315, $A11)+SUMIFS(DataRegularSeason20242025!$AB$3:$AB$1315,DataRegularSeason20242025!$B$3:$B$1315, "&lt;=" &amp; EU$1, DataRegularSeason20242025!$E$3:$E$1315, $A11)</f>
        <v>10</v>
      </c>
      <c r="EV11">
        <f>SUMIFS(DataRegularSeason20242025!$AA$3:$AA$1315,DataRegularSeason20242025!$B$3:$B$1315, "&lt;=" &amp; EV$1, DataRegularSeason20242025!$D$3:$D$1315, $A11)+SUMIFS(DataRegularSeason20242025!$AB$3:$AB$1315,DataRegularSeason20242025!$B$3:$B$1315, "&lt;=" &amp; EV$1, DataRegularSeason20242025!$E$3:$E$1315, $A11)</f>
        <v>10</v>
      </c>
      <c r="EW11">
        <f>SUMIFS(DataRegularSeason20242025!$AA$3:$AA$1315,DataRegularSeason20242025!$B$3:$B$1315, "&lt;=" &amp; EW$1, DataRegularSeason20242025!$D$3:$D$1315, $A11)+SUMIFS(DataRegularSeason20242025!$AB$3:$AB$1315,DataRegularSeason20242025!$B$3:$B$1315, "&lt;=" &amp; EW$1, DataRegularSeason20242025!$E$3:$E$1315, $A11)</f>
        <v>10</v>
      </c>
      <c r="EX11">
        <f>SUMIFS(DataRegularSeason20242025!$AA$3:$AA$1315,DataRegularSeason20242025!$B$3:$B$1315, "&lt;=" &amp; EX$1, DataRegularSeason20242025!$D$3:$D$1315, $A11)+SUMIFS(DataRegularSeason20242025!$AB$3:$AB$1315,DataRegularSeason20242025!$B$3:$B$1315, "&lt;=" &amp; EX$1, DataRegularSeason20242025!$E$3:$E$1315, $A11)</f>
        <v>10</v>
      </c>
      <c r="EY11">
        <f>SUMIFS(DataRegularSeason20242025!$AA$3:$AA$1315,DataRegularSeason20242025!$B$3:$B$1315, "&lt;=" &amp; EY$1, DataRegularSeason20242025!$D$3:$D$1315, $A11)+SUMIFS(DataRegularSeason20242025!$AB$3:$AB$1315,DataRegularSeason20242025!$B$3:$B$1315, "&lt;=" &amp; EY$1, DataRegularSeason20242025!$E$3:$E$1315, $A11)</f>
        <v>10</v>
      </c>
      <c r="EZ11">
        <f>SUMIFS(DataRegularSeason20242025!$AA$3:$AA$1315,DataRegularSeason20242025!$B$3:$B$1315, "&lt;=" &amp; EZ$1, DataRegularSeason20242025!$D$3:$D$1315, $A11)+SUMIFS(DataRegularSeason20242025!$AB$3:$AB$1315,DataRegularSeason20242025!$B$3:$B$1315, "&lt;=" &amp; EZ$1, DataRegularSeason20242025!$E$3:$E$1315, $A11)</f>
        <v>10</v>
      </c>
      <c r="FA11">
        <f>SUMIFS(DataRegularSeason20242025!$AA$3:$AA$1315,DataRegularSeason20242025!$B$3:$B$1315, "&lt;=" &amp; FA$1, DataRegularSeason20242025!$D$3:$D$1315, $A11)+SUMIFS(DataRegularSeason20242025!$AB$3:$AB$1315,DataRegularSeason20242025!$B$3:$B$1315, "&lt;=" &amp; FA$1, DataRegularSeason20242025!$E$3:$E$1315, $A11)</f>
        <v>10</v>
      </c>
      <c r="FB11">
        <f>SUMIFS(DataRegularSeason20242025!$AA$3:$AA$1315,DataRegularSeason20242025!$B$3:$B$1315, "&lt;=" &amp; FB$1, DataRegularSeason20242025!$D$3:$D$1315, $A11)+SUMIFS(DataRegularSeason20242025!$AB$3:$AB$1315,DataRegularSeason20242025!$B$3:$B$1315, "&lt;=" &amp; FB$1, DataRegularSeason20242025!$E$3:$E$1315, $A11)</f>
        <v>10</v>
      </c>
      <c r="FC11">
        <f>SUMIFS(DataRegularSeason20242025!$AA$3:$AA$1315,DataRegularSeason20242025!$B$3:$B$1315, "&lt;=" &amp; FC$1, DataRegularSeason20242025!$D$3:$D$1315, $A11)+SUMIFS(DataRegularSeason20242025!$AB$3:$AB$1315,DataRegularSeason20242025!$B$3:$B$1315, "&lt;=" &amp; FC$1, DataRegularSeason20242025!$E$3:$E$1315, $A11)</f>
        <v>10</v>
      </c>
      <c r="FD11">
        <f>SUMIFS(DataRegularSeason20242025!$AA$3:$AA$1315,DataRegularSeason20242025!$B$3:$B$1315, "&lt;=" &amp; FD$1, DataRegularSeason20242025!$D$3:$D$1315, $A11)+SUMIFS(DataRegularSeason20242025!$AB$3:$AB$1315,DataRegularSeason20242025!$B$3:$B$1315, "&lt;=" &amp; FD$1, DataRegularSeason20242025!$E$3:$E$1315, $A11)</f>
        <v>10</v>
      </c>
      <c r="FE11">
        <f>SUMIFS(DataRegularSeason20242025!$AA$3:$AA$1315,DataRegularSeason20242025!$B$3:$B$1315, "&lt;=" &amp; FE$1, DataRegularSeason20242025!$D$3:$D$1315, $A11)+SUMIFS(DataRegularSeason20242025!$AB$3:$AB$1315,DataRegularSeason20242025!$B$3:$B$1315, "&lt;=" &amp; FE$1, DataRegularSeason20242025!$E$3:$E$1315, $A11)</f>
        <v>10</v>
      </c>
      <c r="FF11">
        <f>SUMIFS(DataRegularSeason20242025!$AA$3:$AA$1315,DataRegularSeason20242025!$B$3:$B$1315, "&lt;=" &amp; FF$1, DataRegularSeason20242025!$D$3:$D$1315, $A11)+SUMIFS(DataRegularSeason20242025!$AB$3:$AB$1315,DataRegularSeason20242025!$B$3:$B$1315, "&lt;=" &amp; FF$1, DataRegularSeason20242025!$E$3:$E$1315, $A11)</f>
        <v>10</v>
      </c>
      <c r="FG11">
        <f>SUMIFS(DataRegularSeason20242025!$AA$3:$AA$1315,DataRegularSeason20242025!$B$3:$B$1315, "&lt;=" &amp; FG$1, DataRegularSeason20242025!$D$3:$D$1315, $A11)+SUMIFS(DataRegularSeason20242025!$AB$3:$AB$1315,DataRegularSeason20242025!$B$3:$B$1315, "&lt;=" &amp; FG$1, DataRegularSeason20242025!$E$3:$E$1315, $A11)</f>
        <v>10</v>
      </c>
      <c r="FH11">
        <f>SUMIFS(DataRegularSeason20242025!$AA$3:$AA$1315,DataRegularSeason20242025!$B$3:$B$1315, "&lt;=" &amp; FH$1, DataRegularSeason20242025!$D$3:$D$1315, $A11)+SUMIFS(DataRegularSeason20242025!$AB$3:$AB$1315,DataRegularSeason20242025!$B$3:$B$1315, "&lt;=" &amp; FH$1, DataRegularSeason20242025!$E$3:$E$1315, $A11)</f>
        <v>10</v>
      </c>
      <c r="FI11">
        <f>SUMIFS(DataRegularSeason20242025!$AA$3:$AA$1315,DataRegularSeason20242025!$B$3:$B$1315, "&lt;=" &amp; FI$1, DataRegularSeason20242025!$D$3:$D$1315, $A11)+SUMIFS(DataRegularSeason20242025!$AB$3:$AB$1315,DataRegularSeason20242025!$B$3:$B$1315, "&lt;=" &amp; FI$1, DataRegularSeason20242025!$E$3:$E$1315, $A11)</f>
        <v>10</v>
      </c>
      <c r="FJ11">
        <f>SUMIFS(DataRegularSeason20242025!$AA$3:$AA$1315,DataRegularSeason20242025!$B$3:$B$1315, "&lt;=" &amp; FJ$1, DataRegularSeason20242025!$D$3:$D$1315, $A11)+SUMIFS(DataRegularSeason20242025!$AB$3:$AB$1315,DataRegularSeason20242025!$B$3:$B$1315, "&lt;=" &amp; FJ$1, DataRegularSeason20242025!$E$3:$E$1315, $A11)</f>
        <v>10</v>
      </c>
      <c r="FK11">
        <f>SUMIFS(DataRegularSeason20242025!$AA$3:$AA$1315,DataRegularSeason20242025!$B$3:$B$1315, "&lt;=" &amp; FK$1, DataRegularSeason20242025!$D$3:$D$1315, $A11)+SUMIFS(DataRegularSeason20242025!$AB$3:$AB$1315,DataRegularSeason20242025!$B$3:$B$1315, "&lt;=" &amp; FK$1, DataRegularSeason20242025!$E$3:$E$1315, $A11)</f>
        <v>10</v>
      </c>
      <c r="FL11">
        <f>SUMIFS(DataRegularSeason20242025!$AA$3:$AA$1315,DataRegularSeason20242025!$B$3:$B$1315, "&lt;=" &amp; FL$1, DataRegularSeason20242025!$D$3:$D$1315, $A11)+SUMIFS(DataRegularSeason20242025!$AB$3:$AB$1315,DataRegularSeason20242025!$B$3:$B$1315, "&lt;=" &amp; FL$1, DataRegularSeason20242025!$E$3:$E$1315, $A11)</f>
        <v>10</v>
      </c>
      <c r="FM11">
        <f>SUMIFS(DataRegularSeason20242025!$AA$3:$AA$1315,DataRegularSeason20242025!$B$3:$B$1315, "&lt;=" &amp; FM$1, DataRegularSeason20242025!$D$3:$D$1315, $A11)+SUMIFS(DataRegularSeason20242025!$AB$3:$AB$1315,DataRegularSeason20242025!$B$3:$B$1315, "&lt;=" &amp; FM$1, DataRegularSeason20242025!$E$3:$E$1315, $A11)</f>
        <v>10</v>
      </c>
      <c r="FN11">
        <f>SUMIFS(DataRegularSeason20242025!$AA$3:$AA$1315,DataRegularSeason20242025!$B$3:$B$1315, "&lt;=" &amp; FN$1, DataRegularSeason20242025!$D$3:$D$1315, $A11)+SUMIFS(DataRegularSeason20242025!$AB$3:$AB$1315,DataRegularSeason20242025!$B$3:$B$1315, "&lt;=" &amp; FN$1, DataRegularSeason20242025!$E$3:$E$1315, $A11)</f>
        <v>10</v>
      </c>
      <c r="FO11">
        <f>SUMIFS(DataRegularSeason20242025!$AA$3:$AA$1315,DataRegularSeason20242025!$B$3:$B$1315, "&lt;=" &amp; FO$1, DataRegularSeason20242025!$D$3:$D$1315, $A11)+SUMIFS(DataRegularSeason20242025!$AB$3:$AB$1315,DataRegularSeason20242025!$B$3:$B$1315, "&lt;=" &amp; FO$1, DataRegularSeason20242025!$E$3:$E$1315, $A11)</f>
        <v>10</v>
      </c>
      <c r="FP11">
        <f>SUMIFS(DataRegularSeason20242025!$AA$3:$AA$1315,DataRegularSeason20242025!$B$3:$B$1315, "&lt;=" &amp; FP$1, DataRegularSeason20242025!$D$3:$D$1315, $A11)+SUMIFS(DataRegularSeason20242025!$AB$3:$AB$1315,DataRegularSeason20242025!$B$3:$B$1315, "&lt;=" &amp; FP$1, DataRegularSeason20242025!$E$3:$E$1315, $A11)</f>
        <v>10</v>
      </c>
      <c r="FQ11">
        <f>SUMIFS(DataRegularSeason20242025!$AA$3:$AA$1315,DataRegularSeason20242025!$B$3:$B$1315, "&lt;=" &amp; FQ$1, DataRegularSeason20242025!$D$3:$D$1315, $A11)+SUMIFS(DataRegularSeason20242025!$AB$3:$AB$1315,DataRegularSeason20242025!$B$3:$B$1315, "&lt;=" &amp; FQ$1, DataRegularSeason20242025!$E$3:$E$1315, $A11)</f>
        <v>10</v>
      </c>
      <c r="FR11">
        <f>SUMIFS(DataRegularSeason20242025!$AA$3:$AA$1315,DataRegularSeason20242025!$B$3:$B$1315, "&lt;=" &amp; FR$1, DataRegularSeason20242025!$D$3:$D$1315, $A11)+SUMIFS(DataRegularSeason20242025!$AB$3:$AB$1315,DataRegularSeason20242025!$B$3:$B$1315, "&lt;=" &amp; FR$1, DataRegularSeason20242025!$E$3:$E$1315, $A11)</f>
        <v>10</v>
      </c>
      <c r="FS11">
        <f>SUMIFS(DataRegularSeason20242025!$AA$3:$AA$1315,DataRegularSeason20242025!$B$3:$B$1315, "&lt;=" &amp; FS$1, DataRegularSeason20242025!$D$3:$D$1315, $A11)+SUMIFS(DataRegularSeason20242025!$AB$3:$AB$1315,DataRegularSeason20242025!$B$3:$B$1315, "&lt;=" &amp; FS$1, DataRegularSeason20242025!$E$3:$E$1315, $A11)</f>
        <v>10</v>
      </c>
      <c r="FT11">
        <f>SUMIFS(DataRegularSeason20242025!$AA$3:$AA$1315,DataRegularSeason20242025!$B$3:$B$1315, "&lt;=" &amp; FT$1, DataRegularSeason20242025!$D$3:$D$1315, $A11)+SUMIFS(DataRegularSeason20242025!$AB$3:$AB$1315,DataRegularSeason20242025!$B$3:$B$1315, "&lt;=" &amp; FT$1, DataRegularSeason20242025!$E$3:$E$1315, $A11)</f>
        <v>10</v>
      </c>
      <c r="FU11">
        <f>SUMIFS(DataRegularSeason20242025!$AA$3:$AA$1315,DataRegularSeason20242025!$B$3:$B$1315, "&lt;=" &amp; FU$1, DataRegularSeason20242025!$D$3:$D$1315, $A11)+SUMIFS(DataRegularSeason20242025!$AB$3:$AB$1315,DataRegularSeason20242025!$B$3:$B$1315, "&lt;=" &amp; FU$1, DataRegularSeason20242025!$E$3:$E$1315, $A11)</f>
        <v>10</v>
      </c>
      <c r="FV11">
        <f>SUMIFS(DataRegularSeason20242025!$AA$3:$AA$1315,DataRegularSeason20242025!$B$3:$B$1315, "&lt;=" &amp; FV$1, DataRegularSeason20242025!$D$3:$D$1315, $A11)+SUMIFS(DataRegularSeason20242025!$AB$3:$AB$1315,DataRegularSeason20242025!$B$3:$B$1315, "&lt;=" &amp; FV$1, DataRegularSeason20242025!$E$3:$E$1315, $A11)</f>
        <v>10</v>
      </c>
      <c r="FW11">
        <f>SUMIFS(DataRegularSeason20242025!$AA$3:$AA$1315,DataRegularSeason20242025!$B$3:$B$1315, "&lt;=" &amp; FW$1, DataRegularSeason20242025!$D$3:$D$1315, $A11)+SUMIFS(DataRegularSeason20242025!$AB$3:$AB$1315,DataRegularSeason20242025!$B$3:$B$1315, "&lt;=" &amp; FW$1, DataRegularSeason20242025!$E$3:$E$1315, $A11)</f>
        <v>10</v>
      </c>
      <c r="FX11">
        <f>SUMIFS(DataRegularSeason20242025!$AA$3:$AA$1315,DataRegularSeason20242025!$B$3:$B$1315, "&lt;=" &amp; FX$1, DataRegularSeason20242025!$D$3:$D$1315, $A11)+SUMIFS(DataRegularSeason20242025!$AB$3:$AB$1315,DataRegularSeason20242025!$B$3:$B$1315, "&lt;=" &amp; FX$1, DataRegularSeason20242025!$E$3:$E$1315, $A11)</f>
        <v>10</v>
      </c>
      <c r="FY11">
        <f>SUMIFS(DataRegularSeason20242025!$AA$3:$AA$1315,DataRegularSeason20242025!$B$3:$B$1315, "&lt;=" &amp; FY$1, DataRegularSeason20242025!$D$3:$D$1315, $A11)+SUMIFS(DataRegularSeason20242025!$AB$3:$AB$1315,DataRegularSeason20242025!$B$3:$B$1315, "&lt;=" &amp; FY$1, DataRegularSeason20242025!$E$3:$E$1315, $A11)</f>
        <v>10</v>
      </c>
      <c r="FZ11">
        <f>SUMIFS(DataRegularSeason20242025!$AA$3:$AA$1315,DataRegularSeason20242025!$B$3:$B$1315, "&lt;=" &amp; FZ$1, DataRegularSeason20242025!$D$3:$D$1315, $A11)+SUMIFS(DataRegularSeason20242025!$AB$3:$AB$1315,DataRegularSeason20242025!$B$3:$B$1315, "&lt;=" &amp; FZ$1, DataRegularSeason20242025!$E$3:$E$1315, $A11)</f>
        <v>10</v>
      </c>
      <c r="GA11">
        <f>SUMIFS(DataRegularSeason20242025!$AA$3:$AA$1315,DataRegularSeason20242025!$B$3:$B$1315, "&lt;=" &amp; GA$1, DataRegularSeason20242025!$D$3:$D$1315, $A11)+SUMIFS(DataRegularSeason20242025!$AB$3:$AB$1315,DataRegularSeason20242025!$B$3:$B$1315, "&lt;=" &amp; GA$1, DataRegularSeason20242025!$E$3:$E$1315, $A11)</f>
        <v>10</v>
      </c>
      <c r="GB11">
        <f>SUMIFS(DataRegularSeason20242025!$AA$3:$AA$1315,DataRegularSeason20242025!$B$3:$B$1315, "&lt;=" &amp; GB$1, DataRegularSeason20242025!$D$3:$D$1315, $A11)+SUMIFS(DataRegularSeason20242025!$AB$3:$AB$1315,DataRegularSeason20242025!$B$3:$B$1315, "&lt;=" &amp; GB$1, DataRegularSeason20242025!$E$3:$E$1315, $A11)</f>
        <v>10</v>
      </c>
      <c r="GC11">
        <f>SUMIFS(DataRegularSeason20242025!$AA$3:$AA$1315,DataRegularSeason20242025!$B$3:$B$1315, "&lt;=" &amp; GC$1, DataRegularSeason20242025!$D$3:$D$1315, $A11)+SUMIFS(DataRegularSeason20242025!$AB$3:$AB$1315,DataRegularSeason20242025!$B$3:$B$1315, "&lt;=" &amp; GC$1, DataRegularSeason20242025!$E$3:$E$1315, $A11)</f>
        <v>10</v>
      </c>
      <c r="GD11">
        <f>SUMIFS(DataRegularSeason20242025!$AA$3:$AA$1315,DataRegularSeason20242025!$B$3:$B$1315, "&lt;=" &amp; GD$1, DataRegularSeason20242025!$D$3:$D$1315, $A11)+SUMIFS(DataRegularSeason20242025!$AB$3:$AB$1315,DataRegularSeason20242025!$B$3:$B$1315, "&lt;=" &amp; GD$1, DataRegularSeason20242025!$E$3:$E$1315, $A11)</f>
        <v>10</v>
      </c>
      <c r="GE11">
        <f>SUMIFS(DataRegularSeason20242025!$AA$3:$AA$1315,DataRegularSeason20242025!$B$3:$B$1315, "&lt;=" &amp; GE$1, DataRegularSeason20242025!$D$3:$D$1315, $A11)+SUMIFS(DataRegularSeason20242025!$AB$3:$AB$1315,DataRegularSeason20242025!$B$3:$B$1315, "&lt;=" &amp; GE$1, DataRegularSeason20242025!$E$3:$E$1315, $A11)</f>
        <v>10</v>
      </c>
      <c r="GF11">
        <f>SUMIFS(DataRegularSeason20242025!$AA$3:$AA$1315,DataRegularSeason20242025!$B$3:$B$1315, "&lt;=" &amp; GF$1, DataRegularSeason20242025!$D$3:$D$1315, $A11)+SUMIFS(DataRegularSeason20242025!$AB$3:$AB$1315,DataRegularSeason20242025!$B$3:$B$1315, "&lt;=" &amp; GF$1, DataRegularSeason20242025!$E$3:$E$1315, $A11)</f>
        <v>10</v>
      </c>
      <c r="GG11">
        <f>SUMIFS(DataRegularSeason20242025!$AA$3:$AA$1315,DataRegularSeason20242025!$B$3:$B$1315, "&lt;=" &amp; GG$1, DataRegularSeason20242025!$D$3:$D$1315, $A11)+SUMIFS(DataRegularSeason20242025!$AB$3:$AB$1315,DataRegularSeason20242025!$B$3:$B$1315, "&lt;=" &amp; GG$1, DataRegularSeason20242025!$E$3:$E$1315, $A11)</f>
        <v>10</v>
      </c>
      <c r="GH11">
        <f>SUMIFS(DataRegularSeason20242025!$AA$3:$AA$1315,DataRegularSeason20242025!$B$3:$B$1315, "&lt;=" &amp; GH$1, DataRegularSeason20242025!$D$3:$D$1315, $A11)+SUMIFS(DataRegularSeason20242025!$AB$3:$AB$1315,DataRegularSeason20242025!$B$3:$B$1315, "&lt;=" &amp; GH$1, DataRegularSeason20242025!$E$3:$E$1315, $A11)</f>
        <v>10</v>
      </c>
      <c r="GI11">
        <f>SUMIFS(DataRegularSeason20242025!$AA$3:$AA$1315,DataRegularSeason20242025!$B$3:$B$1315, "&lt;=" &amp; GI$1, DataRegularSeason20242025!$D$3:$D$1315, $A11)+SUMIFS(DataRegularSeason20242025!$AB$3:$AB$1315,DataRegularSeason20242025!$B$3:$B$1315, "&lt;=" &amp; GI$1, DataRegularSeason20242025!$E$3:$E$1315, $A11)</f>
        <v>10</v>
      </c>
      <c r="GJ11">
        <f>SUMIFS(DataRegularSeason20242025!$AA$3:$AA$1315,DataRegularSeason20242025!$B$3:$B$1315, "&lt;=" &amp; GJ$1, DataRegularSeason20242025!$D$3:$D$1315, $A11)+SUMIFS(DataRegularSeason20242025!$AB$3:$AB$1315,DataRegularSeason20242025!$B$3:$B$1315, "&lt;=" &amp; GJ$1, DataRegularSeason20242025!$E$3:$E$1315, $A11)</f>
        <v>10</v>
      </c>
      <c r="GK11">
        <f>SUMIFS(DataRegularSeason20242025!$AA$3:$AA$1315,DataRegularSeason20242025!$B$3:$B$1315, "&lt;=" &amp; GK$1, DataRegularSeason20242025!$D$3:$D$1315, $A11)+SUMIFS(DataRegularSeason20242025!$AB$3:$AB$1315,DataRegularSeason20242025!$B$3:$B$1315, "&lt;=" &amp; GK$1, DataRegularSeason20242025!$E$3:$E$1315, $A11)</f>
        <v>10</v>
      </c>
      <c r="GL11">
        <f>SUMIFS(DataRegularSeason20242025!$AA$3:$AA$1315,DataRegularSeason20242025!$B$3:$B$1315, "&lt;=" &amp; GL$1, DataRegularSeason20242025!$D$3:$D$1315, $A11)+SUMIFS(DataRegularSeason20242025!$AB$3:$AB$1315,DataRegularSeason20242025!$B$3:$B$1315, "&lt;=" &amp; GL$1, DataRegularSeason20242025!$E$3:$E$1315, $A11)</f>
        <v>10</v>
      </c>
      <c r="GM11">
        <f>SUMIFS(DataRegularSeason20242025!$AA$3:$AA$1315,DataRegularSeason20242025!$B$3:$B$1315, "&lt;=" &amp; GM$1, DataRegularSeason20242025!$D$3:$D$1315, $A11)+SUMIFS(DataRegularSeason20242025!$AB$3:$AB$1315,DataRegularSeason20242025!$B$3:$B$1315, "&lt;=" &amp; GM$1, DataRegularSeason20242025!$E$3:$E$1315, $A11)</f>
        <v>10</v>
      </c>
      <c r="GN11">
        <f>SUMIFS(DataRegularSeason20242025!$AA$3:$AA$1315,DataRegularSeason20242025!$B$3:$B$1315, "&lt;=" &amp; GN$1, DataRegularSeason20242025!$D$3:$D$1315, $A11)+SUMIFS(DataRegularSeason20242025!$AB$3:$AB$1315,DataRegularSeason20242025!$B$3:$B$1315, "&lt;=" &amp; GN$1, DataRegularSeason20242025!$E$3:$E$1315, $A11)</f>
        <v>10</v>
      </c>
      <c r="GO11">
        <f>SUMIFS(DataRegularSeason20242025!$AA$3:$AA$1315,DataRegularSeason20242025!$B$3:$B$1315, "&lt;=" &amp; GO$1, DataRegularSeason20242025!$D$3:$D$1315, $A11)+SUMIFS(DataRegularSeason20242025!$AB$3:$AB$1315,DataRegularSeason20242025!$B$3:$B$1315, "&lt;=" &amp; GO$1, DataRegularSeason20242025!$E$3:$E$1315, $A11)</f>
        <v>10</v>
      </c>
      <c r="GP11">
        <f>SUMIFS(DataRegularSeason20242025!$AA$3:$AA$1315,DataRegularSeason20242025!$B$3:$B$1315, "&lt;=" &amp; GP$1, DataRegularSeason20242025!$D$3:$D$1315, $A11)+SUMIFS(DataRegularSeason20242025!$AB$3:$AB$1315,DataRegularSeason20242025!$B$3:$B$1315, "&lt;=" &amp; GP$1, DataRegularSeason20242025!$E$3:$E$1315, $A11)</f>
        <v>10</v>
      </c>
      <c r="GQ11">
        <f>SUMIFS(DataRegularSeason20242025!$AA$3:$AA$1315,DataRegularSeason20242025!$B$3:$B$1315, "&lt;=" &amp; GQ$1, DataRegularSeason20242025!$D$3:$D$1315, $A11)+SUMIFS(DataRegularSeason20242025!$AB$3:$AB$1315,DataRegularSeason20242025!$B$3:$B$1315, "&lt;=" &amp; GQ$1, DataRegularSeason20242025!$E$3:$E$1315, $A11)</f>
        <v>10</v>
      </c>
      <c r="GR11">
        <f>SUMIFS(DataRegularSeason20242025!$AA$3:$AA$1315,DataRegularSeason20242025!$B$3:$B$1315, "&lt;=" &amp; GR$1, DataRegularSeason20242025!$D$3:$D$1315, $A11)+SUMIFS(DataRegularSeason20242025!$AB$3:$AB$1315,DataRegularSeason20242025!$B$3:$B$1315, "&lt;=" &amp; GR$1, DataRegularSeason20242025!$E$3:$E$1315, $A11)</f>
        <v>10</v>
      </c>
      <c r="GS11">
        <f>SUMIFS(DataRegularSeason20242025!$AA$3:$AA$1315,DataRegularSeason20242025!$B$3:$B$1315, "&lt;=" &amp; GS$1, DataRegularSeason20242025!$D$3:$D$1315, $A11)+SUMIFS(DataRegularSeason20242025!$AB$3:$AB$1315,DataRegularSeason20242025!$B$3:$B$1315, "&lt;=" &amp; GS$1, DataRegularSeason20242025!$E$3:$E$1315, $A11)</f>
        <v>10</v>
      </c>
      <c r="GT11">
        <f>SUMIFS(DataRegularSeason20242025!$AA$3:$AA$1315,DataRegularSeason20242025!$B$3:$B$1315, "&lt;=" &amp; GT$1, DataRegularSeason20242025!$D$3:$D$1315, $A11)+SUMIFS(DataRegularSeason20242025!$AB$3:$AB$1315,DataRegularSeason20242025!$B$3:$B$1315, "&lt;=" &amp; GT$1, DataRegularSeason20242025!$E$3:$E$1315, $A11)</f>
        <v>10</v>
      </c>
      <c r="GU11">
        <f>SUMIFS(DataRegularSeason20242025!$AA$3:$AA$1315,DataRegularSeason20242025!$B$3:$B$1315, "&lt;=" &amp; GU$1, DataRegularSeason20242025!$D$3:$D$1315, $A11)+SUMIFS(DataRegularSeason20242025!$AB$3:$AB$1315,DataRegularSeason20242025!$B$3:$B$1315, "&lt;=" &amp; GU$1, DataRegularSeason20242025!$E$3:$E$1315, $A11)</f>
        <v>10</v>
      </c>
    </row>
    <row r="12" spans="1:275" x14ac:dyDescent="0.25">
      <c r="A12" t="s">
        <v>31</v>
      </c>
      <c r="B12" t="s">
        <v>91</v>
      </c>
      <c r="C12" s="106" t="s">
        <v>92</v>
      </c>
      <c r="D12">
        <f>SUMIFS(DataRegularSeason20242025!$AA$3:$AA$1315,DataRegularSeason20242025!$B$3:$B$1315, "&lt;=" &amp; D$1, DataRegularSeason20242025!$D$3:$D$1315, $A12)+SUMIFS(DataRegularSeason20242025!$AB$3:$AB$1315,DataRegularSeason20242025!$B$3:$B$1315, "&lt;=" &amp; D$1, DataRegularSeason20242025!$E$3:$E$1315, $A12)</f>
        <v>0</v>
      </c>
      <c r="E12">
        <f>SUMIFS(DataRegularSeason20242025!$AA$3:$AA$1315,DataRegularSeason20242025!$B$3:$B$1315, "&lt;=" &amp; E$1, DataRegularSeason20242025!$D$3:$D$1315, $A12)+SUMIFS(DataRegularSeason20242025!$AB$3:$AB$1315,DataRegularSeason20242025!$B$3:$B$1315, "&lt;=" &amp; E$1, DataRegularSeason20242025!$E$3:$E$1315, $A12)</f>
        <v>0</v>
      </c>
      <c r="F12">
        <f>SUMIFS(DataRegularSeason20242025!$AA$3:$AA$1315,DataRegularSeason20242025!$B$3:$B$1315, "&lt;=" &amp; F$1, DataRegularSeason20242025!$D$3:$D$1315, $A12)+SUMIFS(DataRegularSeason20242025!$AB$3:$AB$1315,DataRegularSeason20242025!$B$3:$B$1315, "&lt;=" &amp; F$1, DataRegularSeason20242025!$E$3:$E$1315, $A12)</f>
        <v>0</v>
      </c>
      <c r="G12">
        <f>SUMIFS(DataRegularSeason20242025!$AA$3:$AA$1315,DataRegularSeason20242025!$B$3:$B$1315, "&lt;=" &amp; G$1, DataRegularSeason20242025!$D$3:$D$1315, $A12)+SUMIFS(DataRegularSeason20242025!$AB$3:$AB$1315,DataRegularSeason20242025!$B$3:$B$1315, "&lt;=" &amp; G$1, DataRegularSeason20242025!$E$3:$E$1315, $A12)</f>
        <v>0</v>
      </c>
      <c r="H12">
        <f>SUMIFS(DataRegularSeason20242025!$AA$3:$AA$1315,DataRegularSeason20242025!$B$3:$B$1315, "&lt;=" &amp; H$1, DataRegularSeason20242025!$D$3:$D$1315, $A12)+SUMIFS(DataRegularSeason20242025!$AB$3:$AB$1315,DataRegularSeason20242025!$B$3:$B$1315, "&lt;=" &amp; H$1, DataRegularSeason20242025!$E$3:$E$1315, $A12)</f>
        <v>0</v>
      </c>
      <c r="I12">
        <f>SUMIFS(DataRegularSeason20242025!$AA$3:$AA$1315,DataRegularSeason20242025!$B$3:$B$1315, "&lt;=" &amp; I$1, DataRegularSeason20242025!$D$3:$D$1315, $A12)+SUMIFS(DataRegularSeason20242025!$AB$3:$AB$1315,DataRegularSeason20242025!$B$3:$B$1315, "&lt;=" &amp; I$1, DataRegularSeason20242025!$E$3:$E$1315, $A12)</f>
        <v>0</v>
      </c>
      <c r="J12">
        <f>SUMIFS(DataRegularSeason20242025!$AA$3:$AA$1315,DataRegularSeason20242025!$B$3:$B$1315, "&lt;=" &amp; J$1, DataRegularSeason20242025!$D$3:$D$1315, $A12)+SUMIFS(DataRegularSeason20242025!$AB$3:$AB$1315,DataRegularSeason20242025!$B$3:$B$1315, "&lt;=" &amp; J$1, DataRegularSeason20242025!$E$3:$E$1315, $A12)</f>
        <v>0</v>
      </c>
      <c r="K12">
        <f>SUMIFS(DataRegularSeason20242025!$AA$3:$AA$1315,DataRegularSeason20242025!$B$3:$B$1315, "&lt;=" &amp; K$1, DataRegularSeason20242025!$D$3:$D$1315, $A12)+SUMIFS(DataRegularSeason20242025!$AB$3:$AB$1315,DataRegularSeason20242025!$B$3:$B$1315, "&lt;=" &amp; K$1, DataRegularSeason20242025!$E$3:$E$1315, $A12)</f>
        <v>0</v>
      </c>
      <c r="L12">
        <f>SUMIFS(DataRegularSeason20242025!$AA$3:$AA$1315,DataRegularSeason20242025!$B$3:$B$1315, "&lt;=" &amp; L$1, DataRegularSeason20242025!$D$3:$D$1315, $A12)+SUMIFS(DataRegularSeason20242025!$AB$3:$AB$1315,DataRegularSeason20242025!$B$3:$B$1315, "&lt;=" &amp; L$1, DataRegularSeason20242025!$E$3:$E$1315, $A12)</f>
        <v>2</v>
      </c>
      <c r="M12">
        <f>SUMIFS(DataRegularSeason20242025!$AA$3:$AA$1315,DataRegularSeason20242025!$B$3:$B$1315, "&lt;=" &amp; M$1, DataRegularSeason20242025!$D$3:$D$1315, $A12)+SUMIFS(DataRegularSeason20242025!$AB$3:$AB$1315,DataRegularSeason20242025!$B$3:$B$1315, "&lt;=" &amp; M$1, DataRegularSeason20242025!$E$3:$E$1315, $A12)</f>
        <v>2</v>
      </c>
      <c r="N12">
        <f>SUMIFS(DataRegularSeason20242025!$AA$3:$AA$1315,DataRegularSeason20242025!$B$3:$B$1315, "&lt;=" &amp; N$1, DataRegularSeason20242025!$D$3:$D$1315, $A12)+SUMIFS(DataRegularSeason20242025!$AB$3:$AB$1315,DataRegularSeason20242025!$B$3:$B$1315, "&lt;=" &amp; N$1, DataRegularSeason20242025!$E$3:$E$1315, $A12)</f>
        <v>4</v>
      </c>
      <c r="O12">
        <f>SUMIFS(DataRegularSeason20242025!$AA$3:$AA$1315,DataRegularSeason20242025!$B$3:$B$1315, "&lt;=" &amp; O$1, DataRegularSeason20242025!$D$3:$D$1315, $A12)+SUMIFS(DataRegularSeason20242025!$AB$3:$AB$1315,DataRegularSeason20242025!$B$3:$B$1315, "&lt;=" &amp; O$1, DataRegularSeason20242025!$E$3:$E$1315, $A12)</f>
        <v>4</v>
      </c>
      <c r="P12">
        <f>SUMIFS(DataRegularSeason20242025!$AA$3:$AA$1315,DataRegularSeason20242025!$B$3:$B$1315, "&lt;=" &amp; P$1, DataRegularSeason20242025!$D$3:$D$1315, $A12)+SUMIFS(DataRegularSeason20242025!$AB$3:$AB$1315,DataRegularSeason20242025!$B$3:$B$1315, "&lt;=" &amp; P$1, DataRegularSeason20242025!$E$3:$E$1315, $A12)</f>
        <v>4</v>
      </c>
      <c r="Q12">
        <f>SUMIFS(DataRegularSeason20242025!$AA$3:$AA$1315,DataRegularSeason20242025!$B$3:$B$1315, "&lt;=" &amp; Q$1, DataRegularSeason20242025!$D$3:$D$1315, $A12)+SUMIFS(DataRegularSeason20242025!$AB$3:$AB$1315,DataRegularSeason20242025!$B$3:$B$1315, "&lt;=" &amp; Q$1, DataRegularSeason20242025!$E$3:$E$1315, $A12)</f>
        <v>6</v>
      </c>
      <c r="R12">
        <f>SUMIFS(DataRegularSeason20242025!$AA$3:$AA$1315,DataRegularSeason20242025!$B$3:$B$1315, "&lt;=" &amp; R$1, DataRegularSeason20242025!$D$3:$D$1315, $A12)+SUMIFS(DataRegularSeason20242025!$AB$3:$AB$1315,DataRegularSeason20242025!$B$3:$B$1315, "&lt;=" &amp; R$1, DataRegularSeason20242025!$E$3:$E$1315, $A12)</f>
        <v>6</v>
      </c>
      <c r="S12">
        <f>SUMIFS(DataRegularSeason20242025!$AA$3:$AA$1315,DataRegularSeason20242025!$B$3:$B$1315, "&lt;=" &amp; S$1, DataRegularSeason20242025!$D$3:$D$1315, $A12)+SUMIFS(DataRegularSeason20242025!$AB$3:$AB$1315,DataRegularSeason20242025!$B$3:$B$1315, "&lt;=" &amp; S$1, DataRegularSeason20242025!$E$3:$E$1315, $A12)</f>
        <v>8</v>
      </c>
      <c r="T12">
        <f>SUMIFS(DataRegularSeason20242025!$AA$3:$AA$1315,DataRegularSeason20242025!$B$3:$B$1315, "&lt;=" &amp; T$1, DataRegularSeason20242025!$D$3:$D$1315, $A12)+SUMIFS(DataRegularSeason20242025!$AB$3:$AB$1315,DataRegularSeason20242025!$B$3:$B$1315, "&lt;=" &amp; T$1, DataRegularSeason20242025!$E$3:$E$1315, $A12)</f>
        <v>8</v>
      </c>
      <c r="U12">
        <f>SUMIFS(DataRegularSeason20242025!$AA$3:$AA$1315,DataRegularSeason20242025!$B$3:$B$1315, "&lt;=" &amp; U$1, DataRegularSeason20242025!$D$3:$D$1315, $A12)+SUMIFS(DataRegularSeason20242025!$AB$3:$AB$1315,DataRegularSeason20242025!$B$3:$B$1315, "&lt;=" &amp; U$1, DataRegularSeason20242025!$E$3:$E$1315, $A12)</f>
        <v>8</v>
      </c>
      <c r="V12">
        <f>SUMIFS(DataRegularSeason20242025!$AA$3:$AA$1315,DataRegularSeason20242025!$B$3:$B$1315, "&lt;=" &amp; V$1, DataRegularSeason20242025!$D$3:$D$1315, $A12)+SUMIFS(DataRegularSeason20242025!$AB$3:$AB$1315,DataRegularSeason20242025!$B$3:$B$1315, "&lt;=" &amp; V$1, DataRegularSeason20242025!$E$3:$E$1315, $A12)</f>
        <v>10</v>
      </c>
      <c r="W12">
        <f>SUMIFS(DataRegularSeason20242025!$AA$3:$AA$1315,DataRegularSeason20242025!$B$3:$B$1315, "&lt;=" &amp; W$1, DataRegularSeason20242025!$D$3:$D$1315, $A12)+SUMIFS(DataRegularSeason20242025!$AB$3:$AB$1315,DataRegularSeason20242025!$B$3:$B$1315, "&lt;=" &amp; W$1, DataRegularSeason20242025!$E$3:$E$1315, $A12)</f>
        <v>10</v>
      </c>
      <c r="X12">
        <f>SUMIFS(DataRegularSeason20242025!$AA$3:$AA$1315,DataRegularSeason20242025!$B$3:$B$1315, "&lt;=" &amp; X$1, DataRegularSeason20242025!$D$3:$D$1315, $A12)+SUMIFS(DataRegularSeason20242025!$AB$3:$AB$1315,DataRegularSeason20242025!$B$3:$B$1315, "&lt;=" &amp; X$1, DataRegularSeason20242025!$E$3:$E$1315, $A12)</f>
        <v>10</v>
      </c>
      <c r="Y12">
        <f>SUMIFS(DataRegularSeason20242025!$AA$3:$AA$1315,DataRegularSeason20242025!$B$3:$B$1315, "&lt;=" &amp; Y$1, DataRegularSeason20242025!$D$3:$D$1315, $A12)+SUMIFS(DataRegularSeason20242025!$AB$3:$AB$1315,DataRegularSeason20242025!$B$3:$B$1315, "&lt;=" &amp; Y$1, DataRegularSeason20242025!$E$3:$E$1315, $A12)</f>
        <v>10</v>
      </c>
      <c r="Z12">
        <f>SUMIFS(DataRegularSeason20242025!$AA$3:$AA$1315,DataRegularSeason20242025!$B$3:$B$1315, "&lt;=" &amp; Z$1, DataRegularSeason20242025!$D$3:$D$1315, $A12)+SUMIFS(DataRegularSeason20242025!$AB$3:$AB$1315,DataRegularSeason20242025!$B$3:$B$1315, "&lt;=" &amp; Z$1, DataRegularSeason20242025!$E$3:$E$1315, $A12)</f>
        <v>10</v>
      </c>
      <c r="AA12">
        <f>SUMIFS(DataRegularSeason20242025!$AA$3:$AA$1315,DataRegularSeason20242025!$B$3:$B$1315, "&lt;=" &amp; AA$1, DataRegularSeason20242025!$D$3:$D$1315, $A12)+SUMIFS(DataRegularSeason20242025!$AB$3:$AB$1315,DataRegularSeason20242025!$B$3:$B$1315, "&lt;=" &amp; AA$1, DataRegularSeason20242025!$E$3:$E$1315, $A12)</f>
        <v>10</v>
      </c>
      <c r="AB12">
        <f>SUMIFS(DataRegularSeason20242025!$AA$3:$AA$1315,DataRegularSeason20242025!$B$3:$B$1315, "&lt;=" &amp; AB$1, DataRegularSeason20242025!$D$3:$D$1315, $A12)+SUMIFS(DataRegularSeason20242025!$AB$3:$AB$1315,DataRegularSeason20242025!$B$3:$B$1315, "&lt;=" &amp; AB$1, DataRegularSeason20242025!$E$3:$E$1315, $A12)</f>
        <v>10</v>
      </c>
      <c r="AC12">
        <f>SUMIFS(DataRegularSeason20242025!$AA$3:$AA$1315,DataRegularSeason20242025!$B$3:$B$1315, "&lt;=" &amp; AC$1, DataRegularSeason20242025!$D$3:$D$1315, $A12)+SUMIFS(DataRegularSeason20242025!$AB$3:$AB$1315,DataRegularSeason20242025!$B$3:$B$1315, "&lt;=" &amp; AC$1, DataRegularSeason20242025!$E$3:$E$1315, $A12)</f>
        <v>10</v>
      </c>
      <c r="AD12">
        <f>SUMIFS(DataRegularSeason20242025!$AA$3:$AA$1315,DataRegularSeason20242025!$B$3:$B$1315, "&lt;=" &amp; AD$1, DataRegularSeason20242025!$D$3:$D$1315, $A12)+SUMIFS(DataRegularSeason20242025!$AB$3:$AB$1315,DataRegularSeason20242025!$B$3:$B$1315, "&lt;=" &amp; AD$1, DataRegularSeason20242025!$E$3:$E$1315, $A12)</f>
        <v>10</v>
      </c>
      <c r="AE12">
        <f>SUMIFS(DataRegularSeason20242025!$AA$3:$AA$1315,DataRegularSeason20242025!$B$3:$B$1315, "&lt;=" &amp; AE$1, DataRegularSeason20242025!$D$3:$D$1315, $A12)+SUMIFS(DataRegularSeason20242025!$AB$3:$AB$1315,DataRegularSeason20242025!$B$3:$B$1315, "&lt;=" &amp; AE$1, DataRegularSeason20242025!$E$3:$E$1315, $A12)</f>
        <v>10</v>
      </c>
      <c r="AF12">
        <f>SUMIFS(DataRegularSeason20242025!$AA$3:$AA$1315,DataRegularSeason20242025!$B$3:$B$1315, "&lt;=" &amp; AF$1, DataRegularSeason20242025!$D$3:$D$1315, $A12)+SUMIFS(DataRegularSeason20242025!$AB$3:$AB$1315,DataRegularSeason20242025!$B$3:$B$1315, "&lt;=" &amp; AF$1, DataRegularSeason20242025!$E$3:$E$1315, $A12)</f>
        <v>10</v>
      </c>
      <c r="AG12">
        <f>SUMIFS(DataRegularSeason20242025!$AA$3:$AA$1315,DataRegularSeason20242025!$B$3:$B$1315, "&lt;=" &amp; AG$1, DataRegularSeason20242025!$D$3:$D$1315, $A12)+SUMIFS(DataRegularSeason20242025!$AB$3:$AB$1315,DataRegularSeason20242025!$B$3:$B$1315, "&lt;=" &amp; AG$1, DataRegularSeason20242025!$E$3:$E$1315, $A12)</f>
        <v>10</v>
      </c>
      <c r="AH12">
        <f>SUMIFS(DataRegularSeason20242025!$AA$3:$AA$1315,DataRegularSeason20242025!$B$3:$B$1315, "&lt;=" &amp; AH$1, DataRegularSeason20242025!$D$3:$D$1315, $A12)+SUMIFS(DataRegularSeason20242025!$AB$3:$AB$1315,DataRegularSeason20242025!$B$3:$B$1315, "&lt;=" &amp; AH$1, DataRegularSeason20242025!$E$3:$E$1315, $A12)</f>
        <v>10</v>
      </c>
      <c r="AI12">
        <f>SUMIFS(DataRegularSeason20242025!$AA$3:$AA$1315,DataRegularSeason20242025!$B$3:$B$1315, "&lt;=" &amp; AI$1, DataRegularSeason20242025!$D$3:$D$1315, $A12)+SUMIFS(DataRegularSeason20242025!$AB$3:$AB$1315,DataRegularSeason20242025!$B$3:$B$1315, "&lt;=" &amp; AI$1, DataRegularSeason20242025!$E$3:$E$1315, $A12)</f>
        <v>10</v>
      </c>
      <c r="AJ12">
        <f>SUMIFS(DataRegularSeason20242025!$AA$3:$AA$1315,DataRegularSeason20242025!$B$3:$B$1315, "&lt;=" &amp; AJ$1, DataRegularSeason20242025!$D$3:$D$1315, $A12)+SUMIFS(DataRegularSeason20242025!$AB$3:$AB$1315,DataRegularSeason20242025!$B$3:$B$1315, "&lt;=" &amp; AJ$1, DataRegularSeason20242025!$E$3:$E$1315, $A12)</f>
        <v>10</v>
      </c>
      <c r="AK12">
        <f>SUMIFS(DataRegularSeason20242025!$AA$3:$AA$1315,DataRegularSeason20242025!$B$3:$B$1315, "&lt;=" &amp; AK$1, DataRegularSeason20242025!$D$3:$D$1315, $A12)+SUMIFS(DataRegularSeason20242025!$AB$3:$AB$1315,DataRegularSeason20242025!$B$3:$B$1315, "&lt;=" &amp; AK$1, DataRegularSeason20242025!$E$3:$E$1315, $A12)</f>
        <v>10</v>
      </c>
      <c r="AL12">
        <f>SUMIFS(DataRegularSeason20242025!$AA$3:$AA$1315,DataRegularSeason20242025!$B$3:$B$1315, "&lt;=" &amp; AL$1, DataRegularSeason20242025!$D$3:$D$1315, $A12)+SUMIFS(DataRegularSeason20242025!$AB$3:$AB$1315,DataRegularSeason20242025!$B$3:$B$1315, "&lt;=" &amp; AL$1, DataRegularSeason20242025!$E$3:$E$1315, $A12)</f>
        <v>10</v>
      </c>
      <c r="AM12">
        <f>SUMIFS(DataRegularSeason20242025!$AA$3:$AA$1315,DataRegularSeason20242025!$B$3:$B$1315, "&lt;=" &amp; AM$1, DataRegularSeason20242025!$D$3:$D$1315, $A12)+SUMIFS(DataRegularSeason20242025!$AB$3:$AB$1315,DataRegularSeason20242025!$B$3:$B$1315, "&lt;=" &amp; AM$1, DataRegularSeason20242025!$E$3:$E$1315, $A12)</f>
        <v>10</v>
      </c>
      <c r="AN12">
        <f>SUMIFS(DataRegularSeason20242025!$AA$3:$AA$1315,DataRegularSeason20242025!$B$3:$B$1315, "&lt;=" &amp; AN$1, DataRegularSeason20242025!$D$3:$D$1315, $A12)+SUMIFS(DataRegularSeason20242025!$AB$3:$AB$1315,DataRegularSeason20242025!$B$3:$B$1315, "&lt;=" &amp; AN$1, DataRegularSeason20242025!$E$3:$E$1315, $A12)</f>
        <v>10</v>
      </c>
      <c r="AO12">
        <f>SUMIFS(DataRegularSeason20242025!$AA$3:$AA$1315,DataRegularSeason20242025!$B$3:$B$1315, "&lt;=" &amp; AO$1, DataRegularSeason20242025!$D$3:$D$1315, $A12)+SUMIFS(DataRegularSeason20242025!$AB$3:$AB$1315,DataRegularSeason20242025!$B$3:$B$1315, "&lt;=" &amp; AO$1, DataRegularSeason20242025!$E$3:$E$1315, $A12)</f>
        <v>10</v>
      </c>
      <c r="AP12">
        <f>SUMIFS(DataRegularSeason20242025!$AA$3:$AA$1315,DataRegularSeason20242025!$B$3:$B$1315, "&lt;=" &amp; AP$1, DataRegularSeason20242025!$D$3:$D$1315, $A12)+SUMIFS(DataRegularSeason20242025!$AB$3:$AB$1315,DataRegularSeason20242025!$B$3:$B$1315, "&lt;=" &amp; AP$1, DataRegularSeason20242025!$E$3:$E$1315, $A12)</f>
        <v>10</v>
      </c>
      <c r="AQ12">
        <f>SUMIFS(DataRegularSeason20242025!$AA$3:$AA$1315,DataRegularSeason20242025!$B$3:$B$1315, "&lt;=" &amp; AQ$1, DataRegularSeason20242025!$D$3:$D$1315, $A12)+SUMIFS(DataRegularSeason20242025!$AB$3:$AB$1315,DataRegularSeason20242025!$B$3:$B$1315, "&lt;=" &amp; AQ$1, DataRegularSeason20242025!$E$3:$E$1315, $A12)</f>
        <v>10</v>
      </c>
      <c r="AR12">
        <f>SUMIFS(DataRegularSeason20242025!$AA$3:$AA$1315,DataRegularSeason20242025!$B$3:$B$1315, "&lt;=" &amp; AR$1, DataRegularSeason20242025!$D$3:$D$1315, $A12)+SUMIFS(DataRegularSeason20242025!$AB$3:$AB$1315,DataRegularSeason20242025!$B$3:$B$1315, "&lt;=" &amp; AR$1, DataRegularSeason20242025!$E$3:$E$1315, $A12)</f>
        <v>10</v>
      </c>
      <c r="AS12">
        <f>SUMIFS(DataRegularSeason20242025!$AA$3:$AA$1315,DataRegularSeason20242025!$B$3:$B$1315, "&lt;=" &amp; AS$1, DataRegularSeason20242025!$D$3:$D$1315, $A12)+SUMIFS(DataRegularSeason20242025!$AB$3:$AB$1315,DataRegularSeason20242025!$B$3:$B$1315, "&lt;=" &amp; AS$1, DataRegularSeason20242025!$E$3:$E$1315, $A12)</f>
        <v>10</v>
      </c>
      <c r="AT12">
        <f>SUMIFS(DataRegularSeason20242025!$AA$3:$AA$1315,DataRegularSeason20242025!$B$3:$B$1315, "&lt;=" &amp; AT$1, DataRegularSeason20242025!$D$3:$D$1315, $A12)+SUMIFS(DataRegularSeason20242025!$AB$3:$AB$1315,DataRegularSeason20242025!$B$3:$B$1315, "&lt;=" &amp; AT$1, DataRegularSeason20242025!$E$3:$E$1315, $A12)</f>
        <v>10</v>
      </c>
      <c r="AU12">
        <f>SUMIFS(DataRegularSeason20242025!$AA$3:$AA$1315,DataRegularSeason20242025!$B$3:$B$1315, "&lt;=" &amp; AU$1, DataRegularSeason20242025!$D$3:$D$1315, $A12)+SUMIFS(DataRegularSeason20242025!$AB$3:$AB$1315,DataRegularSeason20242025!$B$3:$B$1315, "&lt;=" &amp; AU$1, DataRegularSeason20242025!$E$3:$E$1315, $A12)</f>
        <v>10</v>
      </c>
      <c r="AV12">
        <f>SUMIFS(DataRegularSeason20242025!$AA$3:$AA$1315,DataRegularSeason20242025!$B$3:$B$1315, "&lt;=" &amp; AV$1, DataRegularSeason20242025!$D$3:$D$1315, $A12)+SUMIFS(DataRegularSeason20242025!$AB$3:$AB$1315,DataRegularSeason20242025!$B$3:$B$1315, "&lt;=" &amp; AV$1, DataRegularSeason20242025!$E$3:$E$1315, $A12)</f>
        <v>10</v>
      </c>
      <c r="AW12">
        <f>SUMIFS(DataRegularSeason20242025!$AA$3:$AA$1315,DataRegularSeason20242025!$B$3:$B$1315, "&lt;=" &amp; AW$1, DataRegularSeason20242025!$D$3:$D$1315, $A12)+SUMIFS(DataRegularSeason20242025!$AB$3:$AB$1315,DataRegularSeason20242025!$B$3:$B$1315, "&lt;=" &amp; AW$1, DataRegularSeason20242025!$E$3:$E$1315, $A12)</f>
        <v>10</v>
      </c>
      <c r="AX12">
        <f>SUMIFS(DataRegularSeason20242025!$AA$3:$AA$1315,DataRegularSeason20242025!$B$3:$B$1315, "&lt;=" &amp; AX$1, DataRegularSeason20242025!$D$3:$D$1315, $A12)+SUMIFS(DataRegularSeason20242025!$AB$3:$AB$1315,DataRegularSeason20242025!$B$3:$B$1315, "&lt;=" &amp; AX$1, DataRegularSeason20242025!$E$3:$E$1315, $A12)</f>
        <v>10</v>
      </c>
      <c r="AY12">
        <f>SUMIFS(DataRegularSeason20242025!$AA$3:$AA$1315,DataRegularSeason20242025!$B$3:$B$1315, "&lt;=" &amp; AY$1, DataRegularSeason20242025!$D$3:$D$1315, $A12)+SUMIFS(DataRegularSeason20242025!$AB$3:$AB$1315,DataRegularSeason20242025!$B$3:$B$1315, "&lt;=" &amp; AY$1, DataRegularSeason20242025!$E$3:$E$1315, $A12)</f>
        <v>10</v>
      </c>
      <c r="AZ12">
        <f>SUMIFS(DataRegularSeason20242025!$AA$3:$AA$1315,DataRegularSeason20242025!$B$3:$B$1315, "&lt;=" &amp; AZ$1, DataRegularSeason20242025!$D$3:$D$1315, $A12)+SUMIFS(DataRegularSeason20242025!$AB$3:$AB$1315,DataRegularSeason20242025!$B$3:$B$1315, "&lt;=" &amp; AZ$1, DataRegularSeason20242025!$E$3:$E$1315, $A12)</f>
        <v>10</v>
      </c>
      <c r="BA12">
        <f>SUMIFS(DataRegularSeason20242025!$AA$3:$AA$1315,DataRegularSeason20242025!$B$3:$B$1315, "&lt;=" &amp; BA$1, DataRegularSeason20242025!$D$3:$D$1315, $A12)+SUMIFS(DataRegularSeason20242025!$AB$3:$AB$1315,DataRegularSeason20242025!$B$3:$B$1315, "&lt;=" &amp; BA$1, DataRegularSeason20242025!$E$3:$E$1315, $A12)</f>
        <v>10</v>
      </c>
      <c r="BB12">
        <f>SUMIFS(DataRegularSeason20242025!$AA$3:$AA$1315,DataRegularSeason20242025!$B$3:$B$1315, "&lt;=" &amp; BB$1, DataRegularSeason20242025!$D$3:$D$1315, $A12)+SUMIFS(DataRegularSeason20242025!$AB$3:$AB$1315,DataRegularSeason20242025!$B$3:$B$1315, "&lt;=" &amp; BB$1, DataRegularSeason20242025!$E$3:$E$1315, $A12)</f>
        <v>10</v>
      </c>
      <c r="BC12">
        <f>SUMIFS(DataRegularSeason20242025!$AA$3:$AA$1315,DataRegularSeason20242025!$B$3:$B$1315, "&lt;=" &amp; BC$1, DataRegularSeason20242025!$D$3:$D$1315, $A12)+SUMIFS(DataRegularSeason20242025!$AB$3:$AB$1315,DataRegularSeason20242025!$B$3:$B$1315, "&lt;=" &amp; BC$1, DataRegularSeason20242025!$E$3:$E$1315, $A12)</f>
        <v>10</v>
      </c>
      <c r="BD12">
        <f>SUMIFS(DataRegularSeason20242025!$AA$3:$AA$1315,DataRegularSeason20242025!$B$3:$B$1315, "&lt;=" &amp; BD$1, DataRegularSeason20242025!$D$3:$D$1315, $A12)+SUMIFS(DataRegularSeason20242025!$AB$3:$AB$1315,DataRegularSeason20242025!$B$3:$B$1315, "&lt;=" &amp; BD$1, DataRegularSeason20242025!$E$3:$E$1315, $A12)</f>
        <v>10</v>
      </c>
      <c r="BE12">
        <f>SUMIFS(DataRegularSeason20242025!$AA$3:$AA$1315,DataRegularSeason20242025!$B$3:$B$1315, "&lt;=" &amp; BE$1, DataRegularSeason20242025!$D$3:$D$1315, $A12)+SUMIFS(DataRegularSeason20242025!$AB$3:$AB$1315,DataRegularSeason20242025!$B$3:$B$1315, "&lt;=" &amp; BE$1, DataRegularSeason20242025!$E$3:$E$1315, $A12)</f>
        <v>10</v>
      </c>
      <c r="BF12">
        <f>SUMIFS(DataRegularSeason20242025!$AA$3:$AA$1315,DataRegularSeason20242025!$B$3:$B$1315, "&lt;=" &amp; BF$1, DataRegularSeason20242025!$D$3:$D$1315, $A12)+SUMIFS(DataRegularSeason20242025!$AB$3:$AB$1315,DataRegularSeason20242025!$B$3:$B$1315, "&lt;=" &amp; BF$1, DataRegularSeason20242025!$E$3:$E$1315, $A12)</f>
        <v>10</v>
      </c>
      <c r="BG12">
        <f>SUMIFS(DataRegularSeason20242025!$AA$3:$AA$1315,DataRegularSeason20242025!$B$3:$B$1315, "&lt;=" &amp; BG$1, DataRegularSeason20242025!$D$3:$D$1315, $A12)+SUMIFS(DataRegularSeason20242025!$AB$3:$AB$1315,DataRegularSeason20242025!$B$3:$B$1315, "&lt;=" &amp; BG$1, DataRegularSeason20242025!$E$3:$E$1315, $A12)</f>
        <v>10</v>
      </c>
      <c r="BH12">
        <f>SUMIFS(DataRegularSeason20242025!$AA$3:$AA$1315,DataRegularSeason20242025!$B$3:$B$1315, "&lt;=" &amp; BH$1, DataRegularSeason20242025!$D$3:$D$1315, $A12)+SUMIFS(DataRegularSeason20242025!$AB$3:$AB$1315,DataRegularSeason20242025!$B$3:$B$1315, "&lt;=" &amp; BH$1, DataRegularSeason20242025!$E$3:$E$1315, $A12)</f>
        <v>10</v>
      </c>
      <c r="BI12">
        <f>SUMIFS(DataRegularSeason20242025!$AA$3:$AA$1315,DataRegularSeason20242025!$B$3:$B$1315, "&lt;=" &amp; BI$1, DataRegularSeason20242025!$D$3:$D$1315, $A12)+SUMIFS(DataRegularSeason20242025!$AB$3:$AB$1315,DataRegularSeason20242025!$B$3:$B$1315, "&lt;=" &amp; BI$1, DataRegularSeason20242025!$E$3:$E$1315, $A12)</f>
        <v>10</v>
      </c>
      <c r="BJ12">
        <f>SUMIFS(DataRegularSeason20242025!$AA$3:$AA$1315,DataRegularSeason20242025!$B$3:$B$1315, "&lt;=" &amp; BJ$1, DataRegularSeason20242025!$D$3:$D$1315, $A12)+SUMIFS(DataRegularSeason20242025!$AB$3:$AB$1315,DataRegularSeason20242025!$B$3:$B$1315, "&lt;=" &amp; BJ$1, DataRegularSeason20242025!$E$3:$E$1315, $A12)</f>
        <v>10</v>
      </c>
      <c r="BK12">
        <f>SUMIFS(DataRegularSeason20242025!$AA$3:$AA$1315,DataRegularSeason20242025!$B$3:$B$1315, "&lt;=" &amp; BK$1, DataRegularSeason20242025!$D$3:$D$1315, $A12)+SUMIFS(DataRegularSeason20242025!$AB$3:$AB$1315,DataRegularSeason20242025!$B$3:$B$1315, "&lt;=" &amp; BK$1, DataRegularSeason20242025!$E$3:$E$1315, $A12)</f>
        <v>10</v>
      </c>
      <c r="BL12">
        <f>SUMIFS(DataRegularSeason20242025!$AA$3:$AA$1315,DataRegularSeason20242025!$B$3:$B$1315, "&lt;=" &amp; BL$1, DataRegularSeason20242025!$D$3:$D$1315, $A12)+SUMIFS(DataRegularSeason20242025!$AB$3:$AB$1315,DataRegularSeason20242025!$B$3:$B$1315, "&lt;=" &amp; BL$1, DataRegularSeason20242025!$E$3:$E$1315, $A12)</f>
        <v>10</v>
      </c>
      <c r="BM12">
        <f>SUMIFS(DataRegularSeason20242025!$AA$3:$AA$1315,DataRegularSeason20242025!$B$3:$B$1315, "&lt;=" &amp; BM$1, DataRegularSeason20242025!$D$3:$D$1315, $A12)+SUMIFS(DataRegularSeason20242025!$AB$3:$AB$1315,DataRegularSeason20242025!$B$3:$B$1315, "&lt;=" &amp; BM$1, DataRegularSeason20242025!$E$3:$E$1315, $A12)</f>
        <v>10</v>
      </c>
      <c r="BN12">
        <f>SUMIFS(DataRegularSeason20242025!$AA$3:$AA$1315,DataRegularSeason20242025!$B$3:$B$1315, "&lt;=" &amp; BN$1, DataRegularSeason20242025!$D$3:$D$1315, $A12)+SUMIFS(DataRegularSeason20242025!$AB$3:$AB$1315,DataRegularSeason20242025!$B$3:$B$1315, "&lt;=" &amp; BN$1, DataRegularSeason20242025!$E$3:$E$1315, $A12)</f>
        <v>10</v>
      </c>
      <c r="BO12">
        <f>SUMIFS(DataRegularSeason20242025!$AA$3:$AA$1315,DataRegularSeason20242025!$B$3:$B$1315, "&lt;=" &amp; BO$1, DataRegularSeason20242025!$D$3:$D$1315, $A12)+SUMIFS(DataRegularSeason20242025!$AB$3:$AB$1315,DataRegularSeason20242025!$B$3:$B$1315, "&lt;=" &amp; BO$1, DataRegularSeason20242025!$E$3:$E$1315, $A12)</f>
        <v>10</v>
      </c>
      <c r="BP12">
        <f>SUMIFS(DataRegularSeason20242025!$AA$3:$AA$1315,DataRegularSeason20242025!$B$3:$B$1315, "&lt;=" &amp; BP$1, DataRegularSeason20242025!$D$3:$D$1315, $A12)+SUMIFS(DataRegularSeason20242025!$AB$3:$AB$1315,DataRegularSeason20242025!$B$3:$B$1315, "&lt;=" &amp; BP$1, DataRegularSeason20242025!$E$3:$E$1315, $A12)</f>
        <v>10</v>
      </c>
      <c r="BQ12">
        <f>SUMIFS(DataRegularSeason20242025!$AA$3:$AA$1315,DataRegularSeason20242025!$B$3:$B$1315, "&lt;=" &amp; BQ$1, DataRegularSeason20242025!$D$3:$D$1315, $A12)+SUMIFS(DataRegularSeason20242025!$AB$3:$AB$1315,DataRegularSeason20242025!$B$3:$B$1315, "&lt;=" &amp; BQ$1, DataRegularSeason20242025!$E$3:$E$1315, $A12)</f>
        <v>10</v>
      </c>
      <c r="BR12">
        <f>SUMIFS(DataRegularSeason20242025!$AA$3:$AA$1315,DataRegularSeason20242025!$B$3:$B$1315, "&lt;=" &amp; BR$1, DataRegularSeason20242025!$D$3:$D$1315, $A12)+SUMIFS(DataRegularSeason20242025!$AB$3:$AB$1315,DataRegularSeason20242025!$B$3:$B$1315, "&lt;=" &amp; BR$1, DataRegularSeason20242025!$E$3:$E$1315, $A12)</f>
        <v>10</v>
      </c>
      <c r="BS12">
        <f>SUMIFS(DataRegularSeason20242025!$AA$3:$AA$1315,DataRegularSeason20242025!$B$3:$B$1315, "&lt;=" &amp; BS$1, DataRegularSeason20242025!$D$3:$D$1315, $A12)+SUMIFS(DataRegularSeason20242025!$AB$3:$AB$1315,DataRegularSeason20242025!$B$3:$B$1315, "&lt;=" &amp; BS$1, DataRegularSeason20242025!$E$3:$E$1315, $A12)</f>
        <v>10</v>
      </c>
      <c r="BT12">
        <f>SUMIFS(DataRegularSeason20242025!$AA$3:$AA$1315,DataRegularSeason20242025!$B$3:$B$1315, "&lt;=" &amp; BT$1, DataRegularSeason20242025!$D$3:$D$1315, $A12)+SUMIFS(DataRegularSeason20242025!$AB$3:$AB$1315,DataRegularSeason20242025!$B$3:$B$1315, "&lt;=" &amp; BT$1, DataRegularSeason20242025!$E$3:$E$1315, $A12)</f>
        <v>10</v>
      </c>
      <c r="BU12">
        <f>SUMIFS(DataRegularSeason20242025!$AA$3:$AA$1315,DataRegularSeason20242025!$B$3:$B$1315, "&lt;=" &amp; BU$1, DataRegularSeason20242025!$D$3:$D$1315, $A12)+SUMIFS(DataRegularSeason20242025!$AB$3:$AB$1315,DataRegularSeason20242025!$B$3:$B$1315, "&lt;=" &amp; BU$1, DataRegularSeason20242025!$E$3:$E$1315, $A12)</f>
        <v>10</v>
      </c>
      <c r="BV12">
        <f>SUMIFS(DataRegularSeason20242025!$AA$3:$AA$1315,DataRegularSeason20242025!$B$3:$B$1315, "&lt;=" &amp; BV$1, DataRegularSeason20242025!$D$3:$D$1315, $A12)+SUMIFS(DataRegularSeason20242025!$AB$3:$AB$1315,DataRegularSeason20242025!$B$3:$B$1315, "&lt;=" &amp; BV$1, DataRegularSeason20242025!$E$3:$E$1315, $A12)</f>
        <v>10</v>
      </c>
      <c r="BW12">
        <f>SUMIFS(DataRegularSeason20242025!$AA$3:$AA$1315,DataRegularSeason20242025!$B$3:$B$1315, "&lt;=" &amp; BW$1, DataRegularSeason20242025!$D$3:$D$1315, $A12)+SUMIFS(DataRegularSeason20242025!$AB$3:$AB$1315,DataRegularSeason20242025!$B$3:$B$1315, "&lt;=" &amp; BW$1, DataRegularSeason20242025!$E$3:$E$1315, $A12)</f>
        <v>10</v>
      </c>
      <c r="BX12">
        <f>SUMIFS(DataRegularSeason20242025!$AA$3:$AA$1315,DataRegularSeason20242025!$B$3:$B$1315, "&lt;=" &amp; BX$1, DataRegularSeason20242025!$D$3:$D$1315, $A12)+SUMIFS(DataRegularSeason20242025!$AB$3:$AB$1315,DataRegularSeason20242025!$B$3:$B$1315, "&lt;=" &amp; BX$1, DataRegularSeason20242025!$E$3:$E$1315, $A12)</f>
        <v>10</v>
      </c>
      <c r="BY12">
        <f>SUMIFS(DataRegularSeason20242025!$AA$3:$AA$1315,DataRegularSeason20242025!$B$3:$B$1315, "&lt;=" &amp; BY$1, DataRegularSeason20242025!$D$3:$D$1315, $A12)+SUMIFS(DataRegularSeason20242025!$AB$3:$AB$1315,DataRegularSeason20242025!$B$3:$B$1315, "&lt;=" &amp; BY$1, DataRegularSeason20242025!$E$3:$E$1315, $A12)</f>
        <v>10</v>
      </c>
      <c r="BZ12">
        <f>SUMIFS(DataRegularSeason20242025!$AA$3:$AA$1315,DataRegularSeason20242025!$B$3:$B$1315, "&lt;=" &amp; BZ$1, DataRegularSeason20242025!$D$3:$D$1315, $A12)+SUMIFS(DataRegularSeason20242025!$AB$3:$AB$1315,DataRegularSeason20242025!$B$3:$B$1315, "&lt;=" &amp; BZ$1, DataRegularSeason20242025!$E$3:$E$1315, $A12)</f>
        <v>10</v>
      </c>
      <c r="CA12">
        <f>SUMIFS(DataRegularSeason20242025!$AA$3:$AA$1315,DataRegularSeason20242025!$B$3:$B$1315, "&lt;=" &amp; CA$1, DataRegularSeason20242025!$D$3:$D$1315, $A12)+SUMIFS(DataRegularSeason20242025!$AB$3:$AB$1315,DataRegularSeason20242025!$B$3:$B$1315, "&lt;=" &amp; CA$1, DataRegularSeason20242025!$E$3:$E$1315, $A12)</f>
        <v>10</v>
      </c>
      <c r="CB12">
        <f>SUMIFS(DataRegularSeason20242025!$AA$3:$AA$1315,DataRegularSeason20242025!$B$3:$B$1315, "&lt;=" &amp; CB$1, DataRegularSeason20242025!$D$3:$D$1315, $A12)+SUMIFS(DataRegularSeason20242025!$AB$3:$AB$1315,DataRegularSeason20242025!$B$3:$B$1315, "&lt;=" &amp; CB$1, DataRegularSeason20242025!$E$3:$E$1315, $A12)</f>
        <v>10</v>
      </c>
      <c r="CC12">
        <f>SUMIFS(DataRegularSeason20242025!$AA$3:$AA$1315,DataRegularSeason20242025!$B$3:$B$1315, "&lt;=" &amp; CC$1, DataRegularSeason20242025!$D$3:$D$1315, $A12)+SUMIFS(DataRegularSeason20242025!$AB$3:$AB$1315,DataRegularSeason20242025!$B$3:$B$1315, "&lt;=" &amp; CC$1, DataRegularSeason20242025!$E$3:$E$1315, $A12)</f>
        <v>10</v>
      </c>
      <c r="CD12">
        <f>SUMIFS(DataRegularSeason20242025!$AA$3:$AA$1315,DataRegularSeason20242025!$B$3:$B$1315, "&lt;=" &amp; CD$1, DataRegularSeason20242025!$D$3:$D$1315, $A12)+SUMIFS(DataRegularSeason20242025!$AB$3:$AB$1315,DataRegularSeason20242025!$B$3:$B$1315, "&lt;=" &amp; CD$1, DataRegularSeason20242025!$E$3:$E$1315, $A12)</f>
        <v>10</v>
      </c>
      <c r="CE12">
        <f>SUMIFS(DataRegularSeason20242025!$AA$3:$AA$1315,DataRegularSeason20242025!$B$3:$B$1315, "&lt;=" &amp; CE$1, DataRegularSeason20242025!$D$3:$D$1315, $A12)+SUMIFS(DataRegularSeason20242025!$AB$3:$AB$1315,DataRegularSeason20242025!$B$3:$B$1315, "&lt;=" &amp; CE$1, DataRegularSeason20242025!$E$3:$E$1315, $A12)</f>
        <v>10</v>
      </c>
      <c r="CF12">
        <f>SUMIFS(DataRegularSeason20242025!$AA$3:$AA$1315,DataRegularSeason20242025!$B$3:$B$1315, "&lt;=" &amp; CF$1, DataRegularSeason20242025!$D$3:$D$1315, $A12)+SUMIFS(DataRegularSeason20242025!$AB$3:$AB$1315,DataRegularSeason20242025!$B$3:$B$1315, "&lt;=" &amp; CF$1, DataRegularSeason20242025!$E$3:$E$1315, $A12)</f>
        <v>10</v>
      </c>
      <c r="CG12">
        <f>SUMIFS(DataRegularSeason20242025!$AA$3:$AA$1315,DataRegularSeason20242025!$B$3:$B$1315, "&lt;=" &amp; CG$1, DataRegularSeason20242025!$D$3:$D$1315, $A12)+SUMIFS(DataRegularSeason20242025!$AB$3:$AB$1315,DataRegularSeason20242025!$B$3:$B$1315, "&lt;=" &amp; CG$1, DataRegularSeason20242025!$E$3:$E$1315, $A12)</f>
        <v>10</v>
      </c>
      <c r="CH12">
        <f>SUMIFS(DataRegularSeason20242025!$AA$3:$AA$1315,DataRegularSeason20242025!$B$3:$B$1315, "&lt;=" &amp; CH$1, DataRegularSeason20242025!$D$3:$D$1315, $A12)+SUMIFS(DataRegularSeason20242025!$AB$3:$AB$1315,DataRegularSeason20242025!$B$3:$B$1315, "&lt;=" &amp; CH$1, DataRegularSeason20242025!$E$3:$E$1315, $A12)</f>
        <v>10</v>
      </c>
      <c r="CI12">
        <f>SUMIFS(DataRegularSeason20242025!$AA$3:$AA$1315,DataRegularSeason20242025!$B$3:$B$1315, "&lt;=" &amp; CI$1, DataRegularSeason20242025!$D$3:$D$1315, $A12)+SUMIFS(DataRegularSeason20242025!$AB$3:$AB$1315,DataRegularSeason20242025!$B$3:$B$1315, "&lt;=" &amp; CI$1, DataRegularSeason20242025!$E$3:$E$1315, $A12)</f>
        <v>10</v>
      </c>
      <c r="CJ12">
        <f>SUMIFS(DataRegularSeason20242025!$AA$3:$AA$1315,DataRegularSeason20242025!$B$3:$B$1315, "&lt;=" &amp; CJ$1, DataRegularSeason20242025!$D$3:$D$1315, $A12)+SUMIFS(DataRegularSeason20242025!$AB$3:$AB$1315,DataRegularSeason20242025!$B$3:$B$1315, "&lt;=" &amp; CJ$1, DataRegularSeason20242025!$E$3:$E$1315, $A12)</f>
        <v>10</v>
      </c>
      <c r="CK12">
        <f>SUMIFS(DataRegularSeason20242025!$AA$3:$AA$1315,DataRegularSeason20242025!$B$3:$B$1315, "&lt;=" &amp; CK$1, DataRegularSeason20242025!$D$3:$D$1315, $A12)+SUMIFS(DataRegularSeason20242025!$AB$3:$AB$1315,DataRegularSeason20242025!$B$3:$B$1315, "&lt;=" &amp; CK$1, DataRegularSeason20242025!$E$3:$E$1315, $A12)</f>
        <v>10</v>
      </c>
      <c r="CL12">
        <f>SUMIFS(DataRegularSeason20242025!$AA$3:$AA$1315,DataRegularSeason20242025!$B$3:$B$1315, "&lt;=" &amp; CL$1, DataRegularSeason20242025!$D$3:$D$1315, $A12)+SUMIFS(DataRegularSeason20242025!$AB$3:$AB$1315,DataRegularSeason20242025!$B$3:$B$1315, "&lt;=" &amp; CL$1, DataRegularSeason20242025!$E$3:$E$1315, $A12)</f>
        <v>10</v>
      </c>
      <c r="CM12">
        <f>SUMIFS(DataRegularSeason20242025!$AA$3:$AA$1315,DataRegularSeason20242025!$B$3:$B$1315, "&lt;=" &amp; CM$1, DataRegularSeason20242025!$D$3:$D$1315, $A12)+SUMIFS(DataRegularSeason20242025!$AB$3:$AB$1315,DataRegularSeason20242025!$B$3:$B$1315, "&lt;=" &amp; CM$1, DataRegularSeason20242025!$E$3:$E$1315, $A12)</f>
        <v>10</v>
      </c>
      <c r="CN12">
        <f>SUMIFS(DataRegularSeason20242025!$AA$3:$AA$1315,DataRegularSeason20242025!$B$3:$B$1315, "&lt;=" &amp; CN$1, DataRegularSeason20242025!$D$3:$D$1315, $A12)+SUMIFS(DataRegularSeason20242025!$AB$3:$AB$1315,DataRegularSeason20242025!$B$3:$B$1315, "&lt;=" &amp; CN$1, DataRegularSeason20242025!$E$3:$E$1315, $A12)</f>
        <v>10</v>
      </c>
      <c r="CO12">
        <f>SUMIFS(DataRegularSeason20242025!$AA$3:$AA$1315,DataRegularSeason20242025!$B$3:$B$1315, "&lt;=" &amp; CO$1, DataRegularSeason20242025!$D$3:$D$1315, $A12)+SUMIFS(DataRegularSeason20242025!$AB$3:$AB$1315,DataRegularSeason20242025!$B$3:$B$1315, "&lt;=" &amp; CO$1, DataRegularSeason20242025!$E$3:$E$1315, $A12)</f>
        <v>10</v>
      </c>
      <c r="CP12">
        <f>SUMIFS(DataRegularSeason20242025!$AA$3:$AA$1315,DataRegularSeason20242025!$B$3:$B$1315, "&lt;=" &amp; CP$1, DataRegularSeason20242025!$D$3:$D$1315, $A12)+SUMIFS(DataRegularSeason20242025!$AB$3:$AB$1315,DataRegularSeason20242025!$B$3:$B$1315, "&lt;=" &amp; CP$1, DataRegularSeason20242025!$E$3:$E$1315, $A12)</f>
        <v>10</v>
      </c>
      <c r="CQ12">
        <f>SUMIFS(DataRegularSeason20242025!$AA$3:$AA$1315,DataRegularSeason20242025!$B$3:$B$1315, "&lt;=" &amp; CQ$1, DataRegularSeason20242025!$D$3:$D$1315, $A12)+SUMIFS(DataRegularSeason20242025!$AB$3:$AB$1315,DataRegularSeason20242025!$B$3:$B$1315, "&lt;=" &amp; CQ$1, DataRegularSeason20242025!$E$3:$E$1315, $A12)</f>
        <v>10</v>
      </c>
      <c r="CR12">
        <f>SUMIFS(DataRegularSeason20242025!$AA$3:$AA$1315,DataRegularSeason20242025!$B$3:$B$1315, "&lt;=" &amp; CR$1, DataRegularSeason20242025!$D$3:$D$1315, $A12)+SUMIFS(DataRegularSeason20242025!$AB$3:$AB$1315,DataRegularSeason20242025!$B$3:$B$1315, "&lt;=" &amp; CR$1, DataRegularSeason20242025!$E$3:$E$1315, $A12)</f>
        <v>10</v>
      </c>
      <c r="CS12">
        <f>SUMIFS(DataRegularSeason20242025!$AA$3:$AA$1315,DataRegularSeason20242025!$B$3:$B$1315, "&lt;=" &amp; CS$1, DataRegularSeason20242025!$D$3:$D$1315, $A12)+SUMIFS(DataRegularSeason20242025!$AB$3:$AB$1315,DataRegularSeason20242025!$B$3:$B$1315, "&lt;=" &amp; CS$1, DataRegularSeason20242025!$E$3:$E$1315, $A12)</f>
        <v>10</v>
      </c>
      <c r="CT12">
        <f>SUMIFS(DataRegularSeason20242025!$AA$3:$AA$1315,DataRegularSeason20242025!$B$3:$B$1315, "&lt;=" &amp; CT$1, DataRegularSeason20242025!$D$3:$D$1315, $A12)+SUMIFS(DataRegularSeason20242025!$AB$3:$AB$1315,DataRegularSeason20242025!$B$3:$B$1315, "&lt;=" &amp; CT$1, DataRegularSeason20242025!$E$3:$E$1315, $A12)</f>
        <v>10</v>
      </c>
      <c r="CU12">
        <f>SUMIFS(DataRegularSeason20242025!$AA$3:$AA$1315,DataRegularSeason20242025!$B$3:$B$1315, "&lt;=" &amp; CU$1, DataRegularSeason20242025!$D$3:$D$1315, $A12)+SUMIFS(DataRegularSeason20242025!$AB$3:$AB$1315,DataRegularSeason20242025!$B$3:$B$1315, "&lt;=" &amp; CU$1, DataRegularSeason20242025!$E$3:$E$1315, $A12)</f>
        <v>10</v>
      </c>
      <c r="CV12">
        <f>SUMIFS(DataRegularSeason20242025!$AA$3:$AA$1315,DataRegularSeason20242025!$B$3:$B$1315, "&lt;=" &amp; CV$1, DataRegularSeason20242025!$D$3:$D$1315, $A12)+SUMIFS(DataRegularSeason20242025!$AB$3:$AB$1315,DataRegularSeason20242025!$B$3:$B$1315, "&lt;=" &amp; CV$1, DataRegularSeason20242025!$E$3:$E$1315, $A12)</f>
        <v>10</v>
      </c>
      <c r="CW12">
        <f>SUMIFS(DataRegularSeason20242025!$AA$3:$AA$1315,DataRegularSeason20242025!$B$3:$B$1315, "&lt;=" &amp; CW$1, DataRegularSeason20242025!$D$3:$D$1315, $A12)+SUMIFS(DataRegularSeason20242025!$AB$3:$AB$1315,DataRegularSeason20242025!$B$3:$B$1315, "&lt;=" &amp; CW$1, DataRegularSeason20242025!$E$3:$E$1315, $A12)</f>
        <v>10</v>
      </c>
      <c r="CX12">
        <f>SUMIFS(DataRegularSeason20242025!$AA$3:$AA$1315,DataRegularSeason20242025!$B$3:$B$1315, "&lt;=" &amp; CX$1, DataRegularSeason20242025!$D$3:$D$1315, $A12)+SUMIFS(DataRegularSeason20242025!$AB$3:$AB$1315,DataRegularSeason20242025!$B$3:$B$1315, "&lt;=" &amp; CX$1, DataRegularSeason20242025!$E$3:$E$1315, $A12)</f>
        <v>10</v>
      </c>
      <c r="CY12">
        <f>SUMIFS(DataRegularSeason20242025!$AA$3:$AA$1315,DataRegularSeason20242025!$B$3:$B$1315, "&lt;=" &amp; CY$1, DataRegularSeason20242025!$D$3:$D$1315, $A12)+SUMIFS(DataRegularSeason20242025!$AB$3:$AB$1315,DataRegularSeason20242025!$B$3:$B$1315, "&lt;=" &amp; CY$1, DataRegularSeason20242025!$E$3:$E$1315, $A12)</f>
        <v>10</v>
      </c>
      <c r="CZ12">
        <f>SUMIFS(DataRegularSeason20242025!$AA$3:$AA$1315,DataRegularSeason20242025!$B$3:$B$1315, "&lt;=" &amp; CZ$1, DataRegularSeason20242025!$D$3:$D$1315, $A12)+SUMIFS(DataRegularSeason20242025!$AB$3:$AB$1315,DataRegularSeason20242025!$B$3:$B$1315, "&lt;=" &amp; CZ$1, DataRegularSeason20242025!$E$3:$E$1315, $A12)</f>
        <v>10</v>
      </c>
      <c r="DA12">
        <f>SUMIFS(DataRegularSeason20242025!$AA$3:$AA$1315,DataRegularSeason20242025!$B$3:$B$1315, "&lt;=" &amp; DA$1, DataRegularSeason20242025!$D$3:$D$1315, $A12)+SUMIFS(DataRegularSeason20242025!$AB$3:$AB$1315,DataRegularSeason20242025!$B$3:$B$1315, "&lt;=" &amp; DA$1, DataRegularSeason20242025!$E$3:$E$1315, $A12)</f>
        <v>10</v>
      </c>
      <c r="DB12">
        <f>SUMIFS(DataRegularSeason20242025!$AA$3:$AA$1315,DataRegularSeason20242025!$B$3:$B$1315, "&lt;=" &amp; DB$1, DataRegularSeason20242025!$D$3:$D$1315, $A12)+SUMIFS(DataRegularSeason20242025!$AB$3:$AB$1315,DataRegularSeason20242025!$B$3:$B$1315, "&lt;=" &amp; DB$1, DataRegularSeason20242025!$E$3:$E$1315, $A12)</f>
        <v>10</v>
      </c>
      <c r="DC12">
        <f>SUMIFS(DataRegularSeason20242025!$AA$3:$AA$1315,DataRegularSeason20242025!$B$3:$B$1315, "&lt;=" &amp; DC$1, DataRegularSeason20242025!$D$3:$D$1315, $A12)+SUMIFS(DataRegularSeason20242025!$AB$3:$AB$1315,DataRegularSeason20242025!$B$3:$B$1315, "&lt;=" &amp; DC$1, DataRegularSeason20242025!$E$3:$E$1315, $A12)</f>
        <v>10</v>
      </c>
      <c r="DD12">
        <f>SUMIFS(DataRegularSeason20242025!$AA$3:$AA$1315,DataRegularSeason20242025!$B$3:$B$1315, "&lt;=" &amp; DD$1, DataRegularSeason20242025!$D$3:$D$1315, $A12)+SUMIFS(DataRegularSeason20242025!$AB$3:$AB$1315,DataRegularSeason20242025!$B$3:$B$1315, "&lt;=" &amp; DD$1, DataRegularSeason20242025!$E$3:$E$1315, $A12)</f>
        <v>10</v>
      </c>
      <c r="DE12">
        <f>SUMIFS(DataRegularSeason20242025!$AA$3:$AA$1315,DataRegularSeason20242025!$B$3:$B$1315, "&lt;=" &amp; DE$1, DataRegularSeason20242025!$D$3:$D$1315, $A12)+SUMIFS(DataRegularSeason20242025!$AB$3:$AB$1315,DataRegularSeason20242025!$B$3:$B$1315, "&lt;=" &amp; DE$1, DataRegularSeason20242025!$E$3:$E$1315, $A12)</f>
        <v>10</v>
      </c>
      <c r="DF12">
        <f>SUMIFS(DataRegularSeason20242025!$AA$3:$AA$1315,DataRegularSeason20242025!$B$3:$B$1315, "&lt;=" &amp; DF$1, DataRegularSeason20242025!$D$3:$D$1315, $A12)+SUMIFS(DataRegularSeason20242025!$AB$3:$AB$1315,DataRegularSeason20242025!$B$3:$B$1315, "&lt;=" &amp; DF$1, DataRegularSeason20242025!$E$3:$E$1315, $A12)</f>
        <v>10</v>
      </c>
      <c r="DG12">
        <f>SUMIFS(DataRegularSeason20242025!$AA$3:$AA$1315,DataRegularSeason20242025!$B$3:$B$1315, "&lt;=" &amp; DG$1, DataRegularSeason20242025!$D$3:$D$1315, $A12)+SUMIFS(DataRegularSeason20242025!$AB$3:$AB$1315,DataRegularSeason20242025!$B$3:$B$1315, "&lt;=" &amp; DG$1, DataRegularSeason20242025!$E$3:$E$1315, $A12)</f>
        <v>10</v>
      </c>
      <c r="DH12">
        <f>SUMIFS(DataRegularSeason20242025!$AA$3:$AA$1315,DataRegularSeason20242025!$B$3:$B$1315, "&lt;=" &amp; DH$1, DataRegularSeason20242025!$D$3:$D$1315, $A12)+SUMIFS(DataRegularSeason20242025!$AB$3:$AB$1315,DataRegularSeason20242025!$B$3:$B$1315, "&lt;=" &amp; DH$1, DataRegularSeason20242025!$E$3:$E$1315, $A12)</f>
        <v>10</v>
      </c>
      <c r="DI12">
        <f>SUMIFS(DataRegularSeason20242025!$AA$3:$AA$1315,DataRegularSeason20242025!$B$3:$B$1315, "&lt;=" &amp; DI$1, DataRegularSeason20242025!$D$3:$D$1315, $A12)+SUMIFS(DataRegularSeason20242025!$AB$3:$AB$1315,DataRegularSeason20242025!$B$3:$B$1315, "&lt;=" &amp; DI$1, DataRegularSeason20242025!$E$3:$E$1315, $A12)</f>
        <v>10</v>
      </c>
      <c r="DJ12">
        <f>SUMIFS(DataRegularSeason20242025!$AA$3:$AA$1315,DataRegularSeason20242025!$B$3:$B$1315, "&lt;=" &amp; DJ$1, DataRegularSeason20242025!$D$3:$D$1315, $A12)+SUMIFS(DataRegularSeason20242025!$AB$3:$AB$1315,DataRegularSeason20242025!$B$3:$B$1315, "&lt;=" &amp; DJ$1, DataRegularSeason20242025!$E$3:$E$1315, $A12)</f>
        <v>10</v>
      </c>
      <c r="DK12">
        <f>SUMIFS(DataRegularSeason20242025!$AA$3:$AA$1315,DataRegularSeason20242025!$B$3:$B$1315, "&lt;=" &amp; DK$1, DataRegularSeason20242025!$D$3:$D$1315, $A12)+SUMIFS(DataRegularSeason20242025!$AB$3:$AB$1315,DataRegularSeason20242025!$B$3:$B$1315, "&lt;=" &amp; DK$1, DataRegularSeason20242025!$E$3:$E$1315, $A12)</f>
        <v>10</v>
      </c>
      <c r="DL12">
        <f>SUMIFS(DataRegularSeason20242025!$AA$3:$AA$1315,DataRegularSeason20242025!$B$3:$B$1315, "&lt;=" &amp; DL$1, DataRegularSeason20242025!$D$3:$D$1315, $A12)+SUMIFS(DataRegularSeason20242025!$AB$3:$AB$1315,DataRegularSeason20242025!$B$3:$B$1315, "&lt;=" &amp; DL$1, DataRegularSeason20242025!$E$3:$E$1315, $A12)</f>
        <v>10</v>
      </c>
      <c r="DM12">
        <f>SUMIFS(DataRegularSeason20242025!$AA$3:$AA$1315,DataRegularSeason20242025!$B$3:$B$1315, "&lt;=" &amp; DM$1, DataRegularSeason20242025!$D$3:$D$1315, $A12)+SUMIFS(DataRegularSeason20242025!$AB$3:$AB$1315,DataRegularSeason20242025!$B$3:$B$1315, "&lt;=" &amp; DM$1, DataRegularSeason20242025!$E$3:$E$1315, $A12)</f>
        <v>10</v>
      </c>
      <c r="DN12">
        <f>SUMIFS(DataRegularSeason20242025!$AA$3:$AA$1315,DataRegularSeason20242025!$B$3:$B$1315, "&lt;=" &amp; DN$1, DataRegularSeason20242025!$D$3:$D$1315, $A12)+SUMIFS(DataRegularSeason20242025!$AB$3:$AB$1315,DataRegularSeason20242025!$B$3:$B$1315, "&lt;=" &amp; DN$1, DataRegularSeason20242025!$E$3:$E$1315, $A12)</f>
        <v>10</v>
      </c>
      <c r="DO12">
        <f>SUMIFS(DataRegularSeason20242025!$AA$3:$AA$1315,DataRegularSeason20242025!$B$3:$B$1315, "&lt;=" &amp; DO$1, DataRegularSeason20242025!$D$3:$D$1315, $A12)+SUMIFS(DataRegularSeason20242025!$AB$3:$AB$1315,DataRegularSeason20242025!$B$3:$B$1315, "&lt;=" &amp; DO$1, DataRegularSeason20242025!$E$3:$E$1315, $A12)</f>
        <v>10</v>
      </c>
      <c r="DP12">
        <f>SUMIFS(DataRegularSeason20242025!$AA$3:$AA$1315,DataRegularSeason20242025!$B$3:$B$1315, "&lt;=" &amp; DP$1, DataRegularSeason20242025!$D$3:$D$1315, $A12)+SUMIFS(DataRegularSeason20242025!$AB$3:$AB$1315,DataRegularSeason20242025!$B$3:$B$1315, "&lt;=" &amp; DP$1, DataRegularSeason20242025!$E$3:$E$1315, $A12)</f>
        <v>10</v>
      </c>
      <c r="DQ12">
        <f>SUMIFS(DataRegularSeason20242025!$AA$3:$AA$1315,DataRegularSeason20242025!$B$3:$B$1315, "&lt;=" &amp; DQ$1, DataRegularSeason20242025!$D$3:$D$1315, $A12)+SUMIFS(DataRegularSeason20242025!$AB$3:$AB$1315,DataRegularSeason20242025!$B$3:$B$1315, "&lt;=" &amp; DQ$1, DataRegularSeason20242025!$E$3:$E$1315, $A12)</f>
        <v>10</v>
      </c>
      <c r="DR12">
        <f>SUMIFS(DataRegularSeason20242025!$AA$3:$AA$1315,DataRegularSeason20242025!$B$3:$B$1315, "&lt;=" &amp; DR$1, DataRegularSeason20242025!$D$3:$D$1315, $A12)+SUMIFS(DataRegularSeason20242025!$AB$3:$AB$1315,DataRegularSeason20242025!$B$3:$B$1315, "&lt;=" &amp; DR$1, DataRegularSeason20242025!$E$3:$E$1315, $A12)</f>
        <v>10</v>
      </c>
      <c r="DS12">
        <f>SUMIFS(DataRegularSeason20242025!$AA$3:$AA$1315,DataRegularSeason20242025!$B$3:$B$1315, "&lt;=" &amp; DS$1, DataRegularSeason20242025!$D$3:$D$1315, $A12)+SUMIFS(DataRegularSeason20242025!$AB$3:$AB$1315,DataRegularSeason20242025!$B$3:$B$1315, "&lt;=" &amp; DS$1, DataRegularSeason20242025!$E$3:$E$1315, $A12)</f>
        <v>10</v>
      </c>
      <c r="DT12">
        <f>SUMIFS(DataRegularSeason20242025!$AA$3:$AA$1315,DataRegularSeason20242025!$B$3:$B$1315, "&lt;=" &amp; DT$1, DataRegularSeason20242025!$D$3:$D$1315, $A12)+SUMIFS(DataRegularSeason20242025!$AB$3:$AB$1315,DataRegularSeason20242025!$B$3:$B$1315, "&lt;=" &amp; DT$1, DataRegularSeason20242025!$E$3:$E$1315, $A12)</f>
        <v>10</v>
      </c>
      <c r="DU12">
        <f>SUMIFS(DataRegularSeason20242025!$AA$3:$AA$1315,DataRegularSeason20242025!$B$3:$B$1315, "&lt;=" &amp; DU$1, DataRegularSeason20242025!$D$3:$D$1315, $A12)+SUMIFS(DataRegularSeason20242025!$AB$3:$AB$1315,DataRegularSeason20242025!$B$3:$B$1315, "&lt;=" &amp; DU$1, DataRegularSeason20242025!$E$3:$E$1315, $A12)</f>
        <v>10</v>
      </c>
      <c r="DV12">
        <f>SUMIFS(DataRegularSeason20242025!$AA$3:$AA$1315,DataRegularSeason20242025!$B$3:$B$1315, "&lt;=" &amp; DV$1, DataRegularSeason20242025!$D$3:$D$1315, $A12)+SUMIFS(DataRegularSeason20242025!$AB$3:$AB$1315,DataRegularSeason20242025!$B$3:$B$1315, "&lt;=" &amp; DV$1, DataRegularSeason20242025!$E$3:$E$1315, $A12)</f>
        <v>10</v>
      </c>
      <c r="DW12">
        <f>SUMIFS(DataRegularSeason20242025!$AA$3:$AA$1315,DataRegularSeason20242025!$B$3:$B$1315, "&lt;=" &amp; DW$1, DataRegularSeason20242025!$D$3:$D$1315, $A12)+SUMIFS(DataRegularSeason20242025!$AB$3:$AB$1315,DataRegularSeason20242025!$B$3:$B$1315, "&lt;=" &amp; DW$1, DataRegularSeason20242025!$E$3:$E$1315, $A12)</f>
        <v>10</v>
      </c>
      <c r="DX12">
        <f>SUMIFS(DataRegularSeason20242025!$AA$3:$AA$1315,DataRegularSeason20242025!$B$3:$B$1315, "&lt;=" &amp; DX$1, DataRegularSeason20242025!$D$3:$D$1315, $A12)+SUMIFS(DataRegularSeason20242025!$AB$3:$AB$1315,DataRegularSeason20242025!$B$3:$B$1315, "&lt;=" &amp; DX$1, DataRegularSeason20242025!$E$3:$E$1315, $A12)</f>
        <v>10</v>
      </c>
      <c r="DY12">
        <f>SUMIFS(DataRegularSeason20242025!$AA$3:$AA$1315,DataRegularSeason20242025!$B$3:$B$1315, "&lt;=" &amp; DY$1, DataRegularSeason20242025!$D$3:$D$1315, $A12)+SUMIFS(DataRegularSeason20242025!$AB$3:$AB$1315,DataRegularSeason20242025!$B$3:$B$1315, "&lt;=" &amp; DY$1, DataRegularSeason20242025!$E$3:$E$1315, $A12)</f>
        <v>10</v>
      </c>
      <c r="DZ12">
        <f>SUMIFS(DataRegularSeason20242025!$AA$3:$AA$1315,DataRegularSeason20242025!$B$3:$B$1315, "&lt;=" &amp; DZ$1, DataRegularSeason20242025!$D$3:$D$1315, $A12)+SUMIFS(DataRegularSeason20242025!$AB$3:$AB$1315,DataRegularSeason20242025!$B$3:$B$1315, "&lt;=" &amp; DZ$1, DataRegularSeason20242025!$E$3:$E$1315, $A12)</f>
        <v>10</v>
      </c>
      <c r="EA12">
        <f>SUMIFS(DataRegularSeason20242025!$AA$3:$AA$1315,DataRegularSeason20242025!$B$3:$B$1315, "&lt;=" &amp; EA$1, DataRegularSeason20242025!$D$3:$D$1315, $A12)+SUMIFS(DataRegularSeason20242025!$AB$3:$AB$1315,DataRegularSeason20242025!$B$3:$B$1315, "&lt;=" &amp; EA$1, DataRegularSeason20242025!$E$3:$E$1315, $A12)</f>
        <v>10</v>
      </c>
      <c r="EB12">
        <f>SUMIFS(DataRegularSeason20242025!$AA$3:$AA$1315,DataRegularSeason20242025!$B$3:$B$1315, "&lt;=" &amp; EB$1, DataRegularSeason20242025!$D$3:$D$1315, $A12)+SUMIFS(DataRegularSeason20242025!$AB$3:$AB$1315,DataRegularSeason20242025!$B$3:$B$1315, "&lt;=" &amp; EB$1, DataRegularSeason20242025!$E$3:$E$1315, $A12)</f>
        <v>10</v>
      </c>
      <c r="EC12">
        <f>SUMIFS(DataRegularSeason20242025!$AA$3:$AA$1315,DataRegularSeason20242025!$B$3:$B$1315, "&lt;=" &amp; EC$1, DataRegularSeason20242025!$D$3:$D$1315, $A12)+SUMIFS(DataRegularSeason20242025!$AB$3:$AB$1315,DataRegularSeason20242025!$B$3:$B$1315, "&lt;=" &amp; EC$1, DataRegularSeason20242025!$E$3:$E$1315, $A12)</f>
        <v>10</v>
      </c>
      <c r="ED12">
        <f>SUMIFS(DataRegularSeason20242025!$AA$3:$AA$1315,DataRegularSeason20242025!$B$3:$B$1315, "&lt;=" &amp; ED$1, DataRegularSeason20242025!$D$3:$D$1315, $A12)+SUMIFS(DataRegularSeason20242025!$AB$3:$AB$1315,DataRegularSeason20242025!$B$3:$B$1315, "&lt;=" &amp; ED$1, DataRegularSeason20242025!$E$3:$E$1315, $A12)</f>
        <v>10</v>
      </c>
      <c r="EE12">
        <f>SUMIFS(DataRegularSeason20242025!$AA$3:$AA$1315,DataRegularSeason20242025!$B$3:$B$1315, "&lt;=" &amp; EE$1, DataRegularSeason20242025!$D$3:$D$1315, $A12)+SUMIFS(DataRegularSeason20242025!$AB$3:$AB$1315,DataRegularSeason20242025!$B$3:$B$1315, "&lt;=" &amp; EE$1, DataRegularSeason20242025!$E$3:$E$1315, $A12)</f>
        <v>10</v>
      </c>
      <c r="EF12">
        <f>SUMIFS(DataRegularSeason20242025!$AA$3:$AA$1315,DataRegularSeason20242025!$B$3:$B$1315, "&lt;=" &amp; EF$1, DataRegularSeason20242025!$D$3:$D$1315, $A12)+SUMIFS(DataRegularSeason20242025!$AB$3:$AB$1315,DataRegularSeason20242025!$B$3:$B$1315, "&lt;=" &amp; EF$1, DataRegularSeason20242025!$E$3:$E$1315, $A12)</f>
        <v>10</v>
      </c>
      <c r="EG12">
        <f>SUMIFS(DataRegularSeason20242025!$AA$3:$AA$1315,DataRegularSeason20242025!$B$3:$B$1315, "&lt;=" &amp; EG$1, DataRegularSeason20242025!$D$3:$D$1315, $A12)+SUMIFS(DataRegularSeason20242025!$AB$3:$AB$1315,DataRegularSeason20242025!$B$3:$B$1315, "&lt;=" &amp; EG$1, DataRegularSeason20242025!$E$3:$E$1315, $A12)</f>
        <v>10</v>
      </c>
      <c r="EH12">
        <f>SUMIFS(DataRegularSeason20242025!$AA$3:$AA$1315,DataRegularSeason20242025!$B$3:$B$1315, "&lt;=" &amp; EH$1, DataRegularSeason20242025!$D$3:$D$1315, $A12)+SUMIFS(DataRegularSeason20242025!$AB$3:$AB$1315,DataRegularSeason20242025!$B$3:$B$1315, "&lt;=" &amp; EH$1, DataRegularSeason20242025!$E$3:$E$1315, $A12)</f>
        <v>10</v>
      </c>
      <c r="EI12">
        <f>SUMIFS(DataRegularSeason20242025!$AA$3:$AA$1315,DataRegularSeason20242025!$B$3:$B$1315, "&lt;=" &amp; EI$1, DataRegularSeason20242025!$D$3:$D$1315, $A12)+SUMIFS(DataRegularSeason20242025!$AB$3:$AB$1315,DataRegularSeason20242025!$B$3:$B$1315, "&lt;=" &amp; EI$1, DataRegularSeason20242025!$E$3:$E$1315, $A12)</f>
        <v>10</v>
      </c>
      <c r="EJ12">
        <f>SUMIFS(DataRegularSeason20242025!$AA$3:$AA$1315,DataRegularSeason20242025!$B$3:$B$1315, "&lt;=" &amp; EJ$1, DataRegularSeason20242025!$D$3:$D$1315, $A12)+SUMIFS(DataRegularSeason20242025!$AB$3:$AB$1315,DataRegularSeason20242025!$B$3:$B$1315, "&lt;=" &amp; EJ$1, DataRegularSeason20242025!$E$3:$E$1315, $A12)</f>
        <v>10</v>
      </c>
      <c r="EK12">
        <f>SUMIFS(DataRegularSeason20242025!$AA$3:$AA$1315,DataRegularSeason20242025!$B$3:$B$1315, "&lt;=" &amp; EK$1, DataRegularSeason20242025!$D$3:$D$1315, $A12)+SUMIFS(DataRegularSeason20242025!$AB$3:$AB$1315,DataRegularSeason20242025!$B$3:$B$1315, "&lt;=" &amp; EK$1, DataRegularSeason20242025!$E$3:$E$1315, $A12)</f>
        <v>10</v>
      </c>
      <c r="EL12">
        <f>SUMIFS(DataRegularSeason20242025!$AA$3:$AA$1315,DataRegularSeason20242025!$B$3:$B$1315, "&lt;=" &amp; EL$1, DataRegularSeason20242025!$D$3:$D$1315, $A12)+SUMIFS(DataRegularSeason20242025!$AB$3:$AB$1315,DataRegularSeason20242025!$B$3:$B$1315, "&lt;=" &amp; EL$1, DataRegularSeason20242025!$E$3:$E$1315, $A12)</f>
        <v>10</v>
      </c>
      <c r="EM12">
        <f>SUMIFS(DataRegularSeason20242025!$AA$3:$AA$1315,DataRegularSeason20242025!$B$3:$B$1315, "&lt;=" &amp; EM$1, DataRegularSeason20242025!$D$3:$D$1315, $A12)+SUMIFS(DataRegularSeason20242025!$AB$3:$AB$1315,DataRegularSeason20242025!$B$3:$B$1315, "&lt;=" &amp; EM$1, DataRegularSeason20242025!$E$3:$E$1315, $A12)</f>
        <v>10</v>
      </c>
      <c r="EN12">
        <f>SUMIFS(DataRegularSeason20242025!$AA$3:$AA$1315,DataRegularSeason20242025!$B$3:$B$1315, "&lt;=" &amp; EN$1, DataRegularSeason20242025!$D$3:$D$1315, $A12)+SUMIFS(DataRegularSeason20242025!$AB$3:$AB$1315,DataRegularSeason20242025!$B$3:$B$1315, "&lt;=" &amp; EN$1, DataRegularSeason20242025!$E$3:$E$1315, $A12)</f>
        <v>10</v>
      </c>
      <c r="EO12">
        <f>SUMIFS(DataRegularSeason20242025!$AA$3:$AA$1315,DataRegularSeason20242025!$B$3:$B$1315, "&lt;=" &amp; EO$1, DataRegularSeason20242025!$D$3:$D$1315, $A12)+SUMIFS(DataRegularSeason20242025!$AB$3:$AB$1315,DataRegularSeason20242025!$B$3:$B$1315, "&lt;=" &amp; EO$1, DataRegularSeason20242025!$E$3:$E$1315, $A12)</f>
        <v>10</v>
      </c>
      <c r="EP12">
        <f>SUMIFS(DataRegularSeason20242025!$AA$3:$AA$1315,DataRegularSeason20242025!$B$3:$B$1315, "&lt;=" &amp; EP$1, DataRegularSeason20242025!$D$3:$D$1315, $A12)+SUMIFS(DataRegularSeason20242025!$AB$3:$AB$1315,DataRegularSeason20242025!$B$3:$B$1315, "&lt;=" &amp; EP$1, DataRegularSeason20242025!$E$3:$E$1315, $A12)</f>
        <v>10</v>
      </c>
      <c r="EQ12">
        <f>SUMIFS(DataRegularSeason20242025!$AA$3:$AA$1315,DataRegularSeason20242025!$B$3:$B$1315, "&lt;=" &amp; EQ$1, DataRegularSeason20242025!$D$3:$D$1315, $A12)+SUMIFS(DataRegularSeason20242025!$AB$3:$AB$1315,DataRegularSeason20242025!$B$3:$B$1315, "&lt;=" &amp; EQ$1, DataRegularSeason20242025!$E$3:$E$1315, $A12)</f>
        <v>10</v>
      </c>
      <c r="ER12">
        <f>SUMIFS(DataRegularSeason20242025!$AA$3:$AA$1315,DataRegularSeason20242025!$B$3:$B$1315, "&lt;=" &amp; ER$1, DataRegularSeason20242025!$D$3:$D$1315, $A12)+SUMIFS(DataRegularSeason20242025!$AB$3:$AB$1315,DataRegularSeason20242025!$B$3:$B$1315, "&lt;=" &amp; ER$1, DataRegularSeason20242025!$E$3:$E$1315, $A12)</f>
        <v>10</v>
      </c>
      <c r="ES12">
        <f>SUMIFS(DataRegularSeason20242025!$AA$3:$AA$1315,DataRegularSeason20242025!$B$3:$B$1315, "&lt;=" &amp; ES$1, DataRegularSeason20242025!$D$3:$D$1315, $A12)+SUMIFS(DataRegularSeason20242025!$AB$3:$AB$1315,DataRegularSeason20242025!$B$3:$B$1315, "&lt;=" &amp; ES$1, DataRegularSeason20242025!$E$3:$E$1315, $A12)</f>
        <v>10</v>
      </c>
      <c r="ET12">
        <f>SUMIFS(DataRegularSeason20242025!$AA$3:$AA$1315,DataRegularSeason20242025!$B$3:$B$1315, "&lt;=" &amp; ET$1, DataRegularSeason20242025!$D$3:$D$1315, $A12)+SUMIFS(DataRegularSeason20242025!$AB$3:$AB$1315,DataRegularSeason20242025!$B$3:$B$1315, "&lt;=" &amp; ET$1, DataRegularSeason20242025!$E$3:$E$1315, $A12)</f>
        <v>10</v>
      </c>
      <c r="EU12">
        <f>SUMIFS(DataRegularSeason20242025!$AA$3:$AA$1315,DataRegularSeason20242025!$B$3:$B$1315, "&lt;=" &amp; EU$1, DataRegularSeason20242025!$D$3:$D$1315, $A12)+SUMIFS(DataRegularSeason20242025!$AB$3:$AB$1315,DataRegularSeason20242025!$B$3:$B$1315, "&lt;=" &amp; EU$1, DataRegularSeason20242025!$E$3:$E$1315, $A12)</f>
        <v>10</v>
      </c>
      <c r="EV12">
        <f>SUMIFS(DataRegularSeason20242025!$AA$3:$AA$1315,DataRegularSeason20242025!$B$3:$B$1315, "&lt;=" &amp; EV$1, DataRegularSeason20242025!$D$3:$D$1315, $A12)+SUMIFS(DataRegularSeason20242025!$AB$3:$AB$1315,DataRegularSeason20242025!$B$3:$B$1315, "&lt;=" &amp; EV$1, DataRegularSeason20242025!$E$3:$E$1315, $A12)</f>
        <v>10</v>
      </c>
      <c r="EW12">
        <f>SUMIFS(DataRegularSeason20242025!$AA$3:$AA$1315,DataRegularSeason20242025!$B$3:$B$1315, "&lt;=" &amp; EW$1, DataRegularSeason20242025!$D$3:$D$1315, $A12)+SUMIFS(DataRegularSeason20242025!$AB$3:$AB$1315,DataRegularSeason20242025!$B$3:$B$1315, "&lt;=" &amp; EW$1, DataRegularSeason20242025!$E$3:$E$1315, $A12)</f>
        <v>10</v>
      </c>
      <c r="EX12">
        <f>SUMIFS(DataRegularSeason20242025!$AA$3:$AA$1315,DataRegularSeason20242025!$B$3:$B$1315, "&lt;=" &amp; EX$1, DataRegularSeason20242025!$D$3:$D$1315, $A12)+SUMIFS(DataRegularSeason20242025!$AB$3:$AB$1315,DataRegularSeason20242025!$B$3:$B$1315, "&lt;=" &amp; EX$1, DataRegularSeason20242025!$E$3:$E$1315, $A12)</f>
        <v>10</v>
      </c>
      <c r="EY12">
        <f>SUMIFS(DataRegularSeason20242025!$AA$3:$AA$1315,DataRegularSeason20242025!$B$3:$B$1315, "&lt;=" &amp; EY$1, DataRegularSeason20242025!$D$3:$D$1315, $A12)+SUMIFS(DataRegularSeason20242025!$AB$3:$AB$1315,DataRegularSeason20242025!$B$3:$B$1315, "&lt;=" &amp; EY$1, DataRegularSeason20242025!$E$3:$E$1315, $A12)</f>
        <v>10</v>
      </c>
      <c r="EZ12">
        <f>SUMIFS(DataRegularSeason20242025!$AA$3:$AA$1315,DataRegularSeason20242025!$B$3:$B$1315, "&lt;=" &amp; EZ$1, DataRegularSeason20242025!$D$3:$D$1315, $A12)+SUMIFS(DataRegularSeason20242025!$AB$3:$AB$1315,DataRegularSeason20242025!$B$3:$B$1315, "&lt;=" &amp; EZ$1, DataRegularSeason20242025!$E$3:$E$1315, $A12)</f>
        <v>10</v>
      </c>
      <c r="FA12">
        <f>SUMIFS(DataRegularSeason20242025!$AA$3:$AA$1315,DataRegularSeason20242025!$B$3:$B$1315, "&lt;=" &amp; FA$1, DataRegularSeason20242025!$D$3:$D$1315, $A12)+SUMIFS(DataRegularSeason20242025!$AB$3:$AB$1315,DataRegularSeason20242025!$B$3:$B$1315, "&lt;=" &amp; FA$1, DataRegularSeason20242025!$E$3:$E$1315, $A12)</f>
        <v>10</v>
      </c>
      <c r="FB12">
        <f>SUMIFS(DataRegularSeason20242025!$AA$3:$AA$1315,DataRegularSeason20242025!$B$3:$B$1315, "&lt;=" &amp; FB$1, DataRegularSeason20242025!$D$3:$D$1315, $A12)+SUMIFS(DataRegularSeason20242025!$AB$3:$AB$1315,DataRegularSeason20242025!$B$3:$B$1315, "&lt;=" &amp; FB$1, DataRegularSeason20242025!$E$3:$E$1315, $A12)</f>
        <v>10</v>
      </c>
      <c r="FC12">
        <f>SUMIFS(DataRegularSeason20242025!$AA$3:$AA$1315,DataRegularSeason20242025!$B$3:$B$1315, "&lt;=" &amp; FC$1, DataRegularSeason20242025!$D$3:$D$1315, $A12)+SUMIFS(DataRegularSeason20242025!$AB$3:$AB$1315,DataRegularSeason20242025!$B$3:$B$1315, "&lt;=" &amp; FC$1, DataRegularSeason20242025!$E$3:$E$1315, $A12)</f>
        <v>10</v>
      </c>
      <c r="FD12">
        <f>SUMIFS(DataRegularSeason20242025!$AA$3:$AA$1315,DataRegularSeason20242025!$B$3:$B$1315, "&lt;=" &amp; FD$1, DataRegularSeason20242025!$D$3:$D$1315, $A12)+SUMIFS(DataRegularSeason20242025!$AB$3:$AB$1315,DataRegularSeason20242025!$B$3:$B$1315, "&lt;=" &amp; FD$1, DataRegularSeason20242025!$E$3:$E$1315, $A12)</f>
        <v>10</v>
      </c>
      <c r="FE12">
        <f>SUMIFS(DataRegularSeason20242025!$AA$3:$AA$1315,DataRegularSeason20242025!$B$3:$B$1315, "&lt;=" &amp; FE$1, DataRegularSeason20242025!$D$3:$D$1315, $A12)+SUMIFS(DataRegularSeason20242025!$AB$3:$AB$1315,DataRegularSeason20242025!$B$3:$B$1315, "&lt;=" &amp; FE$1, DataRegularSeason20242025!$E$3:$E$1315, $A12)</f>
        <v>10</v>
      </c>
      <c r="FF12">
        <f>SUMIFS(DataRegularSeason20242025!$AA$3:$AA$1315,DataRegularSeason20242025!$B$3:$B$1315, "&lt;=" &amp; FF$1, DataRegularSeason20242025!$D$3:$D$1315, $A12)+SUMIFS(DataRegularSeason20242025!$AB$3:$AB$1315,DataRegularSeason20242025!$B$3:$B$1315, "&lt;=" &amp; FF$1, DataRegularSeason20242025!$E$3:$E$1315, $A12)</f>
        <v>10</v>
      </c>
      <c r="FG12">
        <f>SUMIFS(DataRegularSeason20242025!$AA$3:$AA$1315,DataRegularSeason20242025!$B$3:$B$1315, "&lt;=" &amp; FG$1, DataRegularSeason20242025!$D$3:$D$1315, $A12)+SUMIFS(DataRegularSeason20242025!$AB$3:$AB$1315,DataRegularSeason20242025!$B$3:$B$1315, "&lt;=" &amp; FG$1, DataRegularSeason20242025!$E$3:$E$1315, $A12)</f>
        <v>10</v>
      </c>
      <c r="FH12">
        <f>SUMIFS(DataRegularSeason20242025!$AA$3:$AA$1315,DataRegularSeason20242025!$B$3:$B$1315, "&lt;=" &amp; FH$1, DataRegularSeason20242025!$D$3:$D$1315, $A12)+SUMIFS(DataRegularSeason20242025!$AB$3:$AB$1315,DataRegularSeason20242025!$B$3:$B$1315, "&lt;=" &amp; FH$1, DataRegularSeason20242025!$E$3:$E$1315, $A12)</f>
        <v>10</v>
      </c>
      <c r="FI12">
        <f>SUMIFS(DataRegularSeason20242025!$AA$3:$AA$1315,DataRegularSeason20242025!$B$3:$B$1315, "&lt;=" &amp; FI$1, DataRegularSeason20242025!$D$3:$D$1315, $A12)+SUMIFS(DataRegularSeason20242025!$AB$3:$AB$1315,DataRegularSeason20242025!$B$3:$B$1315, "&lt;=" &amp; FI$1, DataRegularSeason20242025!$E$3:$E$1315, $A12)</f>
        <v>10</v>
      </c>
      <c r="FJ12">
        <f>SUMIFS(DataRegularSeason20242025!$AA$3:$AA$1315,DataRegularSeason20242025!$B$3:$B$1315, "&lt;=" &amp; FJ$1, DataRegularSeason20242025!$D$3:$D$1315, $A12)+SUMIFS(DataRegularSeason20242025!$AB$3:$AB$1315,DataRegularSeason20242025!$B$3:$B$1315, "&lt;=" &amp; FJ$1, DataRegularSeason20242025!$E$3:$E$1315, $A12)</f>
        <v>10</v>
      </c>
      <c r="FK12">
        <f>SUMIFS(DataRegularSeason20242025!$AA$3:$AA$1315,DataRegularSeason20242025!$B$3:$B$1315, "&lt;=" &amp; FK$1, DataRegularSeason20242025!$D$3:$D$1315, $A12)+SUMIFS(DataRegularSeason20242025!$AB$3:$AB$1315,DataRegularSeason20242025!$B$3:$B$1315, "&lt;=" &amp; FK$1, DataRegularSeason20242025!$E$3:$E$1315, $A12)</f>
        <v>10</v>
      </c>
      <c r="FL12">
        <f>SUMIFS(DataRegularSeason20242025!$AA$3:$AA$1315,DataRegularSeason20242025!$B$3:$B$1315, "&lt;=" &amp; FL$1, DataRegularSeason20242025!$D$3:$D$1315, $A12)+SUMIFS(DataRegularSeason20242025!$AB$3:$AB$1315,DataRegularSeason20242025!$B$3:$B$1315, "&lt;=" &amp; FL$1, DataRegularSeason20242025!$E$3:$E$1315, $A12)</f>
        <v>10</v>
      </c>
      <c r="FM12">
        <f>SUMIFS(DataRegularSeason20242025!$AA$3:$AA$1315,DataRegularSeason20242025!$B$3:$B$1315, "&lt;=" &amp; FM$1, DataRegularSeason20242025!$D$3:$D$1315, $A12)+SUMIFS(DataRegularSeason20242025!$AB$3:$AB$1315,DataRegularSeason20242025!$B$3:$B$1315, "&lt;=" &amp; FM$1, DataRegularSeason20242025!$E$3:$E$1315, $A12)</f>
        <v>10</v>
      </c>
      <c r="FN12">
        <f>SUMIFS(DataRegularSeason20242025!$AA$3:$AA$1315,DataRegularSeason20242025!$B$3:$B$1315, "&lt;=" &amp; FN$1, DataRegularSeason20242025!$D$3:$D$1315, $A12)+SUMIFS(DataRegularSeason20242025!$AB$3:$AB$1315,DataRegularSeason20242025!$B$3:$B$1315, "&lt;=" &amp; FN$1, DataRegularSeason20242025!$E$3:$E$1315, $A12)</f>
        <v>10</v>
      </c>
      <c r="FO12">
        <f>SUMIFS(DataRegularSeason20242025!$AA$3:$AA$1315,DataRegularSeason20242025!$B$3:$B$1315, "&lt;=" &amp; FO$1, DataRegularSeason20242025!$D$3:$D$1315, $A12)+SUMIFS(DataRegularSeason20242025!$AB$3:$AB$1315,DataRegularSeason20242025!$B$3:$B$1315, "&lt;=" &amp; FO$1, DataRegularSeason20242025!$E$3:$E$1315, $A12)</f>
        <v>10</v>
      </c>
      <c r="FP12">
        <f>SUMIFS(DataRegularSeason20242025!$AA$3:$AA$1315,DataRegularSeason20242025!$B$3:$B$1315, "&lt;=" &amp; FP$1, DataRegularSeason20242025!$D$3:$D$1315, $A12)+SUMIFS(DataRegularSeason20242025!$AB$3:$AB$1315,DataRegularSeason20242025!$B$3:$B$1315, "&lt;=" &amp; FP$1, DataRegularSeason20242025!$E$3:$E$1315, $A12)</f>
        <v>10</v>
      </c>
      <c r="FQ12">
        <f>SUMIFS(DataRegularSeason20242025!$AA$3:$AA$1315,DataRegularSeason20242025!$B$3:$B$1315, "&lt;=" &amp; FQ$1, DataRegularSeason20242025!$D$3:$D$1315, $A12)+SUMIFS(DataRegularSeason20242025!$AB$3:$AB$1315,DataRegularSeason20242025!$B$3:$B$1315, "&lt;=" &amp; FQ$1, DataRegularSeason20242025!$E$3:$E$1315, $A12)</f>
        <v>10</v>
      </c>
      <c r="FR12">
        <f>SUMIFS(DataRegularSeason20242025!$AA$3:$AA$1315,DataRegularSeason20242025!$B$3:$B$1315, "&lt;=" &amp; FR$1, DataRegularSeason20242025!$D$3:$D$1315, $A12)+SUMIFS(DataRegularSeason20242025!$AB$3:$AB$1315,DataRegularSeason20242025!$B$3:$B$1315, "&lt;=" &amp; FR$1, DataRegularSeason20242025!$E$3:$E$1315, $A12)</f>
        <v>10</v>
      </c>
      <c r="FS12">
        <f>SUMIFS(DataRegularSeason20242025!$AA$3:$AA$1315,DataRegularSeason20242025!$B$3:$B$1315, "&lt;=" &amp; FS$1, DataRegularSeason20242025!$D$3:$D$1315, $A12)+SUMIFS(DataRegularSeason20242025!$AB$3:$AB$1315,DataRegularSeason20242025!$B$3:$B$1315, "&lt;=" &amp; FS$1, DataRegularSeason20242025!$E$3:$E$1315, $A12)</f>
        <v>10</v>
      </c>
      <c r="FT12">
        <f>SUMIFS(DataRegularSeason20242025!$AA$3:$AA$1315,DataRegularSeason20242025!$B$3:$B$1315, "&lt;=" &amp; FT$1, DataRegularSeason20242025!$D$3:$D$1315, $A12)+SUMIFS(DataRegularSeason20242025!$AB$3:$AB$1315,DataRegularSeason20242025!$B$3:$B$1315, "&lt;=" &amp; FT$1, DataRegularSeason20242025!$E$3:$E$1315, $A12)</f>
        <v>10</v>
      </c>
      <c r="FU12">
        <f>SUMIFS(DataRegularSeason20242025!$AA$3:$AA$1315,DataRegularSeason20242025!$B$3:$B$1315, "&lt;=" &amp; FU$1, DataRegularSeason20242025!$D$3:$D$1315, $A12)+SUMIFS(DataRegularSeason20242025!$AB$3:$AB$1315,DataRegularSeason20242025!$B$3:$B$1315, "&lt;=" &amp; FU$1, DataRegularSeason20242025!$E$3:$E$1315, $A12)</f>
        <v>10</v>
      </c>
      <c r="FV12">
        <f>SUMIFS(DataRegularSeason20242025!$AA$3:$AA$1315,DataRegularSeason20242025!$B$3:$B$1315, "&lt;=" &amp; FV$1, DataRegularSeason20242025!$D$3:$D$1315, $A12)+SUMIFS(DataRegularSeason20242025!$AB$3:$AB$1315,DataRegularSeason20242025!$B$3:$B$1315, "&lt;=" &amp; FV$1, DataRegularSeason20242025!$E$3:$E$1315, $A12)</f>
        <v>10</v>
      </c>
      <c r="FW12">
        <f>SUMIFS(DataRegularSeason20242025!$AA$3:$AA$1315,DataRegularSeason20242025!$B$3:$B$1315, "&lt;=" &amp; FW$1, DataRegularSeason20242025!$D$3:$D$1315, $A12)+SUMIFS(DataRegularSeason20242025!$AB$3:$AB$1315,DataRegularSeason20242025!$B$3:$B$1315, "&lt;=" &amp; FW$1, DataRegularSeason20242025!$E$3:$E$1315, $A12)</f>
        <v>10</v>
      </c>
      <c r="FX12">
        <f>SUMIFS(DataRegularSeason20242025!$AA$3:$AA$1315,DataRegularSeason20242025!$B$3:$B$1315, "&lt;=" &amp; FX$1, DataRegularSeason20242025!$D$3:$D$1315, $A12)+SUMIFS(DataRegularSeason20242025!$AB$3:$AB$1315,DataRegularSeason20242025!$B$3:$B$1315, "&lt;=" &amp; FX$1, DataRegularSeason20242025!$E$3:$E$1315, $A12)</f>
        <v>10</v>
      </c>
      <c r="FY12">
        <f>SUMIFS(DataRegularSeason20242025!$AA$3:$AA$1315,DataRegularSeason20242025!$B$3:$B$1315, "&lt;=" &amp; FY$1, DataRegularSeason20242025!$D$3:$D$1315, $A12)+SUMIFS(DataRegularSeason20242025!$AB$3:$AB$1315,DataRegularSeason20242025!$B$3:$B$1315, "&lt;=" &amp; FY$1, DataRegularSeason20242025!$E$3:$E$1315, $A12)</f>
        <v>10</v>
      </c>
      <c r="FZ12">
        <f>SUMIFS(DataRegularSeason20242025!$AA$3:$AA$1315,DataRegularSeason20242025!$B$3:$B$1315, "&lt;=" &amp; FZ$1, DataRegularSeason20242025!$D$3:$D$1315, $A12)+SUMIFS(DataRegularSeason20242025!$AB$3:$AB$1315,DataRegularSeason20242025!$B$3:$B$1315, "&lt;=" &amp; FZ$1, DataRegularSeason20242025!$E$3:$E$1315, $A12)</f>
        <v>10</v>
      </c>
      <c r="GA12">
        <f>SUMIFS(DataRegularSeason20242025!$AA$3:$AA$1315,DataRegularSeason20242025!$B$3:$B$1315, "&lt;=" &amp; GA$1, DataRegularSeason20242025!$D$3:$D$1315, $A12)+SUMIFS(DataRegularSeason20242025!$AB$3:$AB$1315,DataRegularSeason20242025!$B$3:$B$1315, "&lt;=" &amp; GA$1, DataRegularSeason20242025!$E$3:$E$1315, $A12)</f>
        <v>10</v>
      </c>
      <c r="GB12">
        <f>SUMIFS(DataRegularSeason20242025!$AA$3:$AA$1315,DataRegularSeason20242025!$B$3:$B$1315, "&lt;=" &amp; GB$1, DataRegularSeason20242025!$D$3:$D$1315, $A12)+SUMIFS(DataRegularSeason20242025!$AB$3:$AB$1315,DataRegularSeason20242025!$B$3:$B$1315, "&lt;=" &amp; GB$1, DataRegularSeason20242025!$E$3:$E$1315, $A12)</f>
        <v>10</v>
      </c>
      <c r="GC12">
        <f>SUMIFS(DataRegularSeason20242025!$AA$3:$AA$1315,DataRegularSeason20242025!$B$3:$B$1315, "&lt;=" &amp; GC$1, DataRegularSeason20242025!$D$3:$D$1315, $A12)+SUMIFS(DataRegularSeason20242025!$AB$3:$AB$1315,DataRegularSeason20242025!$B$3:$B$1315, "&lt;=" &amp; GC$1, DataRegularSeason20242025!$E$3:$E$1315, $A12)</f>
        <v>10</v>
      </c>
      <c r="GD12">
        <f>SUMIFS(DataRegularSeason20242025!$AA$3:$AA$1315,DataRegularSeason20242025!$B$3:$B$1315, "&lt;=" &amp; GD$1, DataRegularSeason20242025!$D$3:$D$1315, $A12)+SUMIFS(DataRegularSeason20242025!$AB$3:$AB$1315,DataRegularSeason20242025!$B$3:$B$1315, "&lt;=" &amp; GD$1, DataRegularSeason20242025!$E$3:$E$1315, $A12)</f>
        <v>10</v>
      </c>
      <c r="GE12">
        <f>SUMIFS(DataRegularSeason20242025!$AA$3:$AA$1315,DataRegularSeason20242025!$B$3:$B$1315, "&lt;=" &amp; GE$1, DataRegularSeason20242025!$D$3:$D$1315, $A12)+SUMIFS(DataRegularSeason20242025!$AB$3:$AB$1315,DataRegularSeason20242025!$B$3:$B$1315, "&lt;=" &amp; GE$1, DataRegularSeason20242025!$E$3:$E$1315, $A12)</f>
        <v>10</v>
      </c>
      <c r="GF12">
        <f>SUMIFS(DataRegularSeason20242025!$AA$3:$AA$1315,DataRegularSeason20242025!$B$3:$B$1315, "&lt;=" &amp; GF$1, DataRegularSeason20242025!$D$3:$D$1315, $A12)+SUMIFS(DataRegularSeason20242025!$AB$3:$AB$1315,DataRegularSeason20242025!$B$3:$B$1315, "&lt;=" &amp; GF$1, DataRegularSeason20242025!$E$3:$E$1315, $A12)</f>
        <v>10</v>
      </c>
      <c r="GG12">
        <f>SUMIFS(DataRegularSeason20242025!$AA$3:$AA$1315,DataRegularSeason20242025!$B$3:$B$1315, "&lt;=" &amp; GG$1, DataRegularSeason20242025!$D$3:$D$1315, $A12)+SUMIFS(DataRegularSeason20242025!$AB$3:$AB$1315,DataRegularSeason20242025!$B$3:$B$1315, "&lt;=" &amp; GG$1, DataRegularSeason20242025!$E$3:$E$1315, $A12)</f>
        <v>10</v>
      </c>
      <c r="GH12">
        <f>SUMIFS(DataRegularSeason20242025!$AA$3:$AA$1315,DataRegularSeason20242025!$B$3:$B$1315, "&lt;=" &amp; GH$1, DataRegularSeason20242025!$D$3:$D$1315, $A12)+SUMIFS(DataRegularSeason20242025!$AB$3:$AB$1315,DataRegularSeason20242025!$B$3:$B$1315, "&lt;=" &amp; GH$1, DataRegularSeason20242025!$E$3:$E$1315, $A12)</f>
        <v>10</v>
      </c>
      <c r="GI12">
        <f>SUMIFS(DataRegularSeason20242025!$AA$3:$AA$1315,DataRegularSeason20242025!$B$3:$B$1315, "&lt;=" &amp; GI$1, DataRegularSeason20242025!$D$3:$D$1315, $A12)+SUMIFS(DataRegularSeason20242025!$AB$3:$AB$1315,DataRegularSeason20242025!$B$3:$B$1315, "&lt;=" &amp; GI$1, DataRegularSeason20242025!$E$3:$E$1315, $A12)</f>
        <v>10</v>
      </c>
      <c r="GJ12">
        <f>SUMIFS(DataRegularSeason20242025!$AA$3:$AA$1315,DataRegularSeason20242025!$B$3:$B$1315, "&lt;=" &amp; GJ$1, DataRegularSeason20242025!$D$3:$D$1315, $A12)+SUMIFS(DataRegularSeason20242025!$AB$3:$AB$1315,DataRegularSeason20242025!$B$3:$B$1315, "&lt;=" &amp; GJ$1, DataRegularSeason20242025!$E$3:$E$1315, $A12)</f>
        <v>10</v>
      </c>
      <c r="GK12">
        <f>SUMIFS(DataRegularSeason20242025!$AA$3:$AA$1315,DataRegularSeason20242025!$B$3:$B$1315, "&lt;=" &amp; GK$1, DataRegularSeason20242025!$D$3:$D$1315, $A12)+SUMIFS(DataRegularSeason20242025!$AB$3:$AB$1315,DataRegularSeason20242025!$B$3:$B$1315, "&lt;=" &amp; GK$1, DataRegularSeason20242025!$E$3:$E$1315, $A12)</f>
        <v>10</v>
      </c>
      <c r="GL12">
        <f>SUMIFS(DataRegularSeason20242025!$AA$3:$AA$1315,DataRegularSeason20242025!$B$3:$B$1315, "&lt;=" &amp; GL$1, DataRegularSeason20242025!$D$3:$D$1315, $A12)+SUMIFS(DataRegularSeason20242025!$AB$3:$AB$1315,DataRegularSeason20242025!$B$3:$B$1315, "&lt;=" &amp; GL$1, DataRegularSeason20242025!$E$3:$E$1315, $A12)</f>
        <v>10</v>
      </c>
      <c r="GM12">
        <f>SUMIFS(DataRegularSeason20242025!$AA$3:$AA$1315,DataRegularSeason20242025!$B$3:$B$1315, "&lt;=" &amp; GM$1, DataRegularSeason20242025!$D$3:$D$1315, $A12)+SUMIFS(DataRegularSeason20242025!$AB$3:$AB$1315,DataRegularSeason20242025!$B$3:$B$1315, "&lt;=" &amp; GM$1, DataRegularSeason20242025!$E$3:$E$1315, $A12)</f>
        <v>10</v>
      </c>
      <c r="GN12">
        <f>SUMIFS(DataRegularSeason20242025!$AA$3:$AA$1315,DataRegularSeason20242025!$B$3:$B$1315, "&lt;=" &amp; GN$1, DataRegularSeason20242025!$D$3:$D$1315, $A12)+SUMIFS(DataRegularSeason20242025!$AB$3:$AB$1315,DataRegularSeason20242025!$B$3:$B$1315, "&lt;=" &amp; GN$1, DataRegularSeason20242025!$E$3:$E$1315, $A12)</f>
        <v>10</v>
      </c>
      <c r="GO12">
        <f>SUMIFS(DataRegularSeason20242025!$AA$3:$AA$1315,DataRegularSeason20242025!$B$3:$B$1315, "&lt;=" &amp; GO$1, DataRegularSeason20242025!$D$3:$D$1315, $A12)+SUMIFS(DataRegularSeason20242025!$AB$3:$AB$1315,DataRegularSeason20242025!$B$3:$B$1315, "&lt;=" &amp; GO$1, DataRegularSeason20242025!$E$3:$E$1315, $A12)</f>
        <v>10</v>
      </c>
      <c r="GP12">
        <f>SUMIFS(DataRegularSeason20242025!$AA$3:$AA$1315,DataRegularSeason20242025!$B$3:$B$1315, "&lt;=" &amp; GP$1, DataRegularSeason20242025!$D$3:$D$1315, $A12)+SUMIFS(DataRegularSeason20242025!$AB$3:$AB$1315,DataRegularSeason20242025!$B$3:$B$1315, "&lt;=" &amp; GP$1, DataRegularSeason20242025!$E$3:$E$1315, $A12)</f>
        <v>10</v>
      </c>
      <c r="GQ12">
        <f>SUMIFS(DataRegularSeason20242025!$AA$3:$AA$1315,DataRegularSeason20242025!$B$3:$B$1315, "&lt;=" &amp; GQ$1, DataRegularSeason20242025!$D$3:$D$1315, $A12)+SUMIFS(DataRegularSeason20242025!$AB$3:$AB$1315,DataRegularSeason20242025!$B$3:$B$1315, "&lt;=" &amp; GQ$1, DataRegularSeason20242025!$E$3:$E$1315, $A12)</f>
        <v>10</v>
      </c>
      <c r="GR12">
        <f>SUMIFS(DataRegularSeason20242025!$AA$3:$AA$1315,DataRegularSeason20242025!$B$3:$B$1315, "&lt;=" &amp; GR$1, DataRegularSeason20242025!$D$3:$D$1315, $A12)+SUMIFS(DataRegularSeason20242025!$AB$3:$AB$1315,DataRegularSeason20242025!$B$3:$B$1315, "&lt;=" &amp; GR$1, DataRegularSeason20242025!$E$3:$E$1315, $A12)</f>
        <v>10</v>
      </c>
      <c r="GS12">
        <f>SUMIFS(DataRegularSeason20242025!$AA$3:$AA$1315,DataRegularSeason20242025!$B$3:$B$1315, "&lt;=" &amp; GS$1, DataRegularSeason20242025!$D$3:$D$1315, $A12)+SUMIFS(DataRegularSeason20242025!$AB$3:$AB$1315,DataRegularSeason20242025!$B$3:$B$1315, "&lt;=" &amp; GS$1, DataRegularSeason20242025!$E$3:$E$1315, $A12)</f>
        <v>10</v>
      </c>
      <c r="GT12">
        <f>SUMIFS(DataRegularSeason20242025!$AA$3:$AA$1315,DataRegularSeason20242025!$B$3:$B$1315, "&lt;=" &amp; GT$1, DataRegularSeason20242025!$D$3:$D$1315, $A12)+SUMIFS(DataRegularSeason20242025!$AB$3:$AB$1315,DataRegularSeason20242025!$B$3:$B$1315, "&lt;=" &amp; GT$1, DataRegularSeason20242025!$E$3:$E$1315, $A12)</f>
        <v>10</v>
      </c>
      <c r="GU12">
        <f>SUMIFS(DataRegularSeason20242025!$AA$3:$AA$1315,DataRegularSeason20242025!$B$3:$B$1315, "&lt;=" &amp; GU$1, DataRegularSeason20242025!$D$3:$D$1315, $A12)+SUMIFS(DataRegularSeason20242025!$AB$3:$AB$1315,DataRegularSeason20242025!$B$3:$B$1315, "&lt;=" &amp; GU$1, DataRegularSeason20242025!$E$3:$E$1315, $A12)</f>
        <v>10</v>
      </c>
    </row>
    <row r="13" spans="1:275" x14ac:dyDescent="0.25">
      <c r="A13" t="s">
        <v>20</v>
      </c>
      <c r="B13" t="s">
        <v>91</v>
      </c>
      <c r="C13" s="106" t="s">
        <v>92</v>
      </c>
      <c r="D13">
        <f>SUMIFS(DataRegularSeason20242025!$AA$3:$AA$1315,DataRegularSeason20242025!$B$3:$B$1315, "&lt;=" &amp; D$1, DataRegularSeason20242025!$D$3:$D$1315, $A13)+SUMIFS(DataRegularSeason20242025!$AB$3:$AB$1315,DataRegularSeason20242025!$B$3:$B$1315, "&lt;=" &amp; D$1, DataRegularSeason20242025!$E$3:$E$1315, $A13)</f>
        <v>0</v>
      </c>
      <c r="E13">
        <f>SUMIFS(DataRegularSeason20242025!$AA$3:$AA$1315,DataRegularSeason20242025!$B$3:$B$1315, "&lt;=" &amp; E$1, DataRegularSeason20242025!$D$3:$D$1315, $A13)+SUMIFS(DataRegularSeason20242025!$AB$3:$AB$1315,DataRegularSeason20242025!$B$3:$B$1315, "&lt;=" &amp; E$1, DataRegularSeason20242025!$E$3:$E$1315, $A13)</f>
        <v>0</v>
      </c>
      <c r="F13">
        <f>SUMIFS(DataRegularSeason20242025!$AA$3:$AA$1315,DataRegularSeason20242025!$B$3:$B$1315, "&lt;=" &amp; F$1, DataRegularSeason20242025!$D$3:$D$1315, $A13)+SUMIFS(DataRegularSeason20242025!$AB$3:$AB$1315,DataRegularSeason20242025!$B$3:$B$1315, "&lt;=" &amp; F$1, DataRegularSeason20242025!$E$3:$E$1315, $A13)</f>
        <v>0</v>
      </c>
      <c r="G13">
        <f>SUMIFS(DataRegularSeason20242025!$AA$3:$AA$1315,DataRegularSeason20242025!$B$3:$B$1315, "&lt;=" &amp; G$1, DataRegularSeason20242025!$D$3:$D$1315, $A13)+SUMIFS(DataRegularSeason20242025!$AB$3:$AB$1315,DataRegularSeason20242025!$B$3:$B$1315, "&lt;=" &amp; G$1, DataRegularSeason20242025!$E$3:$E$1315, $A13)</f>
        <v>0</v>
      </c>
      <c r="H13">
        <f>SUMIFS(DataRegularSeason20242025!$AA$3:$AA$1315,DataRegularSeason20242025!$B$3:$B$1315, "&lt;=" &amp; H$1, DataRegularSeason20242025!$D$3:$D$1315, $A13)+SUMIFS(DataRegularSeason20242025!$AB$3:$AB$1315,DataRegularSeason20242025!$B$3:$B$1315, "&lt;=" &amp; H$1, DataRegularSeason20242025!$E$3:$E$1315, $A13)</f>
        <v>2</v>
      </c>
      <c r="I13">
        <f>SUMIFS(DataRegularSeason20242025!$AA$3:$AA$1315,DataRegularSeason20242025!$B$3:$B$1315, "&lt;=" &amp; I$1, DataRegularSeason20242025!$D$3:$D$1315, $A13)+SUMIFS(DataRegularSeason20242025!$AB$3:$AB$1315,DataRegularSeason20242025!$B$3:$B$1315, "&lt;=" &amp; I$1, DataRegularSeason20242025!$E$3:$E$1315, $A13)</f>
        <v>2</v>
      </c>
      <c r="J13">
        <f>SUMIFS(DataRegularSeason20242025!$AA$3:$AA$1315,DataRegularSeason20242025!$B$3:$B$1315, "&lt;=" &amp; J$1, DataRegularSeason20242025!$D$3:$D$1315, $A13)+SUMIFS(DataRegularSeason20242025!$AB$3:$AB$1315,DataRegularSeason20242025!$B$3:$B$1315, "&lt;=" &amp; J$1, DataRegularSeason20242025!$E$3:$E$1315, $A13)</f>
        <v>4</v>
      </c>
      <c r="K13">
        <f>SUMIFS(DataRegularSeason20242025!$AA$3:$AA$1315,DataRegularSeason20242025!$B$3:$B$1315, "&lt;=" &amp; K$1, DataRegularSeason20242025!$D$3:$D$1315, $A13)+SUMIFS(DataRegularSeason20242025!$AB$3:$AB$1315,DataRegularSeason20242025!$B$3:$B$1315, "&lt;=" &amp; K$1, DataRegularSeason20242025!$E$3:$E$1315, $A13)</f>
        <v>4</v>
      </c>
      <c r="L13">
        <f>SUMIFS(DataRegularSeason20242025!$AA$3:$AA$1315,DataRegularSeason20242025!$B$3:$B$1315, "&lt;=" &amp; L$1, DataRegularSeason20242025!$D$3:$D$1315, $A13)+SUMIFS(DataRegularSeason20242025!$AB$3:$AB$1315,DataRegularSeason20242025!$B$3:$B$1315, "&lt;=" &amp; L$1, DataRegularSeason20242025!$E$3:$E$1315, $A13)</f>
        <v>4</v>
      </c>
      <c r="M13">
        <f>SUMIFS(DataRegularSeason20242025!$AA$3:$AA$1315,DataRegularSeason20242025!$B$3:$B$1315, "&lt;=" &amp; M$1, DataRegularSeason20242025!$D$3:$D$1315, $A13)+SUMIFS(DataRegularSeason20242025!$AB$3:$AB$1315,DataRegularSeason20242025!$B$3:$B$1315, "&lt;=" &amp; M$1, DataRegularSeason20242025!$E$3:$E$1315, $A13)</f>
        <v>4</v>
      </c>
      <c r="N13">
        <f>SUMIFS(DataRegularSeason20242025!$AA$3:$AA$1315,DataRegularSeason20242025!$B$3:$B$1315, "&lt;=" &amp; N$1, DataRegularSeason20242025!$D$3:$D$1315, $A13)+SUMIFS(DataRegularSeason20242025!$AB$3:$AB$1315,DataRegularSeason20242025!$B$3:$B$1315, "&lt;=" &amp; N$1, DataRegularSeason20242025!$E$3:$E$1315, $A13)</f>
        <v>4</v>
      </c>
      <c r="O13">
        <f>SUMIFS(DataRegularSeason20242025!$AA$3:$AA$1315,DataRegularSeason20242025!$B$3:$B$1315, "&lt;=" &amp; O$1, DataRegularSeason20242025!$D$3:$D$1315, $A13)+SUMIFS(DataRegularSeason20242025!$AB$3:$AB$1315,DataRegularSeason20242025!$B$3:$B$1315, "&lt;=" &amp; O$1, DataRegularSeason20242025!$E$3:$E$1315, $A13)</f>
        <v>4</v>
      </c>
      <c r="P13">
        <f>SUMIFS(DataRegularSeason20242025!$AA$3:$AA$1315,DataRegularSeason20242025!$B$3:$B$1315, "&lt;=" &amp; P$1, DataRegularSeason20242025!$D$3:$D$1315, $A13)+SUMIFS(DataRegularSeason20242025!$AB$3:$AB$1315,DataRegularSeason20242025!$B$3:$B$1315, "&lt;=" &amp; P$1, DataRegularSeason20242025!$E$3:$E$1315, $A13)</f>
        <v>4</v>
      </c>
      <c r="Q13">
        <f>SUMIFS(DataRegularSeason20242025!$AA$3:$AA$1315,DataRegularSeason20242025!$B$3:$B$1315, "&lt;=" &amp; Q$1, DataRegularSeason20242025!$D$3:$D$1315, $A13)+SUMIFS(DataRegularSeason20242025!$AB$3:$AB$1315,DataRegularSeason20242025!$B$3:$B$1315, "&lt;=" &amp; Q$1, DataRegularSeason20242025!$E$3:$E$1315, $A13)</f>
        <v>6</v>
      </c>
      <c r="R13">
        <f>SUMIFS(DataRegularSeason20242025!$AA$3:$AA$1315,DataRegularSeason20242025!$B$3:$B$1315, "&lt;=" &amp; R$1, DataRegularSeason20242025!$D$3:$D$1315, $A13)+SUMIFS(DataRegularSeason20242025!$AB$3:$AB$1315,DataRegularSeason20242025!$B$3:$B$1315, "&lt;=" &amp; R$1, DataRegularSeason20242025!$E$3:$E$1315, $A13)</f>
        <v>6</v>
      </c>
      <c r="S13">
        <f>SUMIFS(DataRegularSeason20242025!$AA$3:$AA$1315,DataRegularSeason20242025!$B$3:$B$1315, "&lt;=" &amp; S$1, DataRegularSeason20242025!$D$3:$D$1315, $A13)+SUMIFS(DataRegularSeason20242025!$AB$3:$AB$1315,DataRegularSeason20242025!$B$3:$B$1315, "&lt;=" &amp; S$1, DataRegularSeason20242025!$E$3:$E$1315, $A13)</f>
        <v>8</v>
      </c>
      <c r="T13">
        <f>SUMIFS(DataRegularSeason20242025!$AA$3:$AA$1315,DataRegularSeason20242025!$B$3:$B$1315, "&lt;=" &amp; T$1, DataRegularSeason20242025!$D$3:$D$1315, $A13)+SUMIFS(DataRegularSeason20242025!$AB$3:$AB$1315,DataRegularSeason20242025!$B$3:$B$1315, "&lt;=" &amp; T$1, DataRegularSeason20242025!$E$3:$E$1315, $A13)</f>
        <v>8</v>
      </c>
      <c r="U13">
        <f>SUMIFS(DataRegularSeason20242025!$AA$3:$AA$1315,DataRegularSeason20242025!$B$3:$B$1315, "&lt;=" &amp; U$1, DataRegularSeason20242025!$D$3:$D$1315, $A13)+SUMIFS(DataRegularSeason20242025!$AB$3:$AB$1315,DataRegularSeason20242025!$B$3:$B$1315, "&lt;=" &amp; U$1, DataRegularSeason20242025!$E$3:$E$1315, $A13)</f>
        <v>8</v>
      </c>
      <c r="V13">
        <f>SUMIFS(DataRegularSeason20242025!$AA$3:$AA$1315,DataRegularSeason20242025!$B$3:$B$1315, "&lt;=" &amp; V$1, DataRegularSeason20242025!$D$3:$D$1315, $A13)+SUMIFS(DataRegularSeason20242025!$AB$3:$AB$1315,DataRegularSeason20242025!$B$3:$B$1315, "&lt;=" &amp; V$1, DataRegularSeason20242025!$E$3:$E$1315, $A13)</f>
        <v>10</v>
      </c>
      <c r="W13">
        <f>SUMIFS(DataRegularSeason20242025!$AA$3:$AA$1315,DataRegularSeason20242025!$B$3:$B$1315, "&lt;=" &amp; W$1, DataRegularSeason20242025!$D$3:$D$1315, $A13)+SUMIFS(DataRegularSeason20242025!$AB$3:$AB$1315,DataRegularSeason20242025!$B$3:$B$1315, "&lt;=" &amp; W$1, DataRegularSeason20242025!$E$3:$E$1315, $A13)</f>
        <v>10</v>
      </c>
      <c r="X13">
        <f>SUMIFS(DataRegularSeason20242025!$AA$3:$AA$1315,DataRegularSeason20242025!$B$3:$B$1315, "&lt;=" &amp; X$1, DataRegularSeason20242025!$D$3:$D$1315, $A13)+SUMIFS(DataRegularSeason20242025!$AB$3:$AB$1315,DataRegularSeason20242025!$B$3:$B$1315, "&lt;=" &amp; X$1, DataRegularSeason20242025!$E$3:$E$1315, $A13)</f>
        <v>10</v>
      </c>
      <c r="Y13">
        <f>SUMIFS(DataRegularSeason20242025!$AA$3:$AA$1315,DataRegularSeason20242025!$B$3:$B$1315, "&lt;=" &amp; Y$1, DataRegularSeason20242025!$D$3:$D$1315, $A13)+SUMIFS(DataRegularSeason20242025!$AB$3:$AB$1315,DataRegularSeason20242025!$B$3:$B$1315, "&lt;=" &amp; Y$1, DataRegularSeason20242025!$E$3:$E$1315, $A13)</f>
        <v>10</v>
      </c>
      <c r="Z13">
        <f>SUMIFS(DataRegularSeason20242025!$AA$3:$AA$1315,DataRegularSeason20242025!$B$3:$B$1315, "&lt;=" &amp; Z$1, DataRegularSeason20242025!$D$3:$D$1315, $A13)+SUMIFS(DataRegularSeason20242025!$AB$3:$AB$1315,DataRegularSeason20242025!$B$3:$B$1315, "&lt;=" &amp; Z$1, DataRegularSeason20242025!$E$3:$E$1315, $A13)</f>
        <v>10</v>
      </c>
      <c r="AA13">
        <f>SUMIFS(DataRegularSeason20242025!$AA$3:$AA$1315,DataRegularSeason20242025!$B$3:$B$1315, "&lt;=" &amp; AA$1, DataRegularSeason20242025!$D$3:$D$1315, $A13)+SUMIFS(DataRegularSeason20242025!$AB$3:$AB$1315,DataRegularSeason20242025!$B$3:$B$1315, "&lt;=" &amp; AA$1, DataRegularSeason20242025!$E$3:$E$1315, $A13)</f>
        <v>10</v>
      </c>
      <c r="AB13">
        <f>SUMIFS(DataRegularSeason20242025!$AA$3:$AA$1315,DataRegularSeason20242025!$B$3:$B$1315, "&lt;=" &amp; AB$1, DataRegularSeason20242025!$D$3:$D$1315, $A13)+SUMIFS(DataRegularSeason20242025!$AB$3:$AB$1315,DataRegularSeason20242025!$B$3:$B$1315, "&lt;=" &amp; AB$1, DataRegularSeason20242025!$E$3:$E$1315, $A13)</f>
        <v>10</v>
      </c>
      <c r="AC13">
        <f>SUMIFS(DataRegularSeason20242025!$AA$3:$AA$1315,DataRegularSeason20242025!$B$3:$B$1315, "&lt;=" &amp; AC$1, DataRegularSeason20242025!$D$3:$D$1315, $A13)+SUMIFS(DataRegularSeason20242025!$AB$3:$AB$1315,DataRegularSeason20242025!$B$3:$B$1315, "&lt;=" &amp; AC$1, DataRegularSeason20242025!$E$3:$E$1315, $A13)</f>
        <v>10</v>
      </c>
      <c r="AD13">
        <f>SUMIFS(DataRegularSeason20242025!$AA$3:$AA$1315,DataRegularSeason20242025!$B$3:$B$1315, "&lt;=" &amp; AD$1, DataRegularSeason20242025!$D$3:$D$1315, $A13)+SUMIFS(DataRegularSeason20242025!$AB$3:$AB$1315,DataRegularSeason20242025!$B$3:$B$1315, "&lt;=" &amp; AD$1, DataRegularSeason20242025!$E$3:$E$1315, $A13)</f>
        <v>10</v>
      </c>
      <c r="AE13">
        <f>SUMIFS(DataRegularSeason20242025!$AA$3:$AA$1315,DataRegularSeason20242025!$B$3:$B$1315, "&lt;=" &amp; AE$1, DataRegularSeason20242025!$D$3:$D$1315, $A13)+SUMIFS(DataRegularSeason20242025!$AB$3:$AB$1315,DataRegularSeason20242025!$B$3:$B$1315, "&lt;=" &amp; AE$1, DataRegularSeason20242025!$E$3:$E$1315, $A13)</f>
        <v>10</v>
      </c>
      <c r="AF13">
        <f>SUMIFS(DataRegularSeason20242025!$AA$3:$AA$1315,DataRegularSeason20242025!$B$3:$B$1315, "&lt;=" &amp; AF$1, DataRegularSeason20242025!$D$3:$D$1315, $A13)+SUMIFS(DataRegularSeason20242025!$AB$3:$AB$1315,DataRegularSeason20242025!$B$3:$B$1315, "&lt;=" &amp; AF$1, DataRegularSeason20242025!$E$3:$E$1315, $A13)</f>
        <v>10</v>
      </c>
      <c r="AG13">
        <f>SUMIFS(DataRegularSeason20242025!$AA$3:$AA$1315,DataRegularSeason20242025!$B$3:$B$1315, "&lt;=" &amp; AG$1, DataRegularSeason20242025!$D$3:$D$1315, $A13)+SUMIFS(DataRegularSeason20242025!$AB$3:$AB$1315,DataRegularSeason20242025!$B$3:$B$1315, "&lt;=" &amp; AG$1, DataRegularSeason20242025!$E$3:$E$1315, $A13)</f>
        <v>10</v>
      </c>
      <c r="AH13">
        <f>SUMIFS(DataRegularSeason20242025!$AA$3:$AA$1315,DataRegularSeason20242025!$B$3:$B$1315, "&lt;=" &amp; AH$1, DataRegularSeason20242025!$D$3:$D$1315, $A13)+SUMIFS(DataRegularSeason20242025!$AB$3:$AB$1315,DataRegularSeason20242025!$B$3:$B$1315, "&lt;=" &amp; AH$1, DataRegularSeason20242025!$E$3:$E$1315, $A13)</f>
        <v>10</v>
      </c>
      <c r="AI13">
        <f>SUMIFS(DataRegularSeason20242025!$AA$3:$AA$1315,DataRegularSeason20242025!$B$3:$B$1315, "&lt;=" &amp; AI$1, DataRegularSeason20242025!$D$3:$D$1315, $A13)+SUMIFS(DataRegularSeason20242025!$AB$3:$AB$1315,DataRegularSeason20242025!$B$3:$B$1315, "&lt;=" &amp; AI$1, DataRegularSeason20242025!$E$3:$E$1315, $A13)</f>
        <v>10</v>
      </c>
      <c r="AJ13">
        <f>SUMIFS(DataRegularSeason20242025!$AA$3:$AA$1315,DataRegularSeason20242025!$B$3:$B$1315, "&lt;=" &amp; AJ$1, DataRegularSeason20242025!$D$3:$D$1315, $A13)+SUMIFS(DataRegularSeason20242025!$AB$3:$AB$1315,DataRegularSeason20242025!$B$3:$B$1315, "&lt;=" &amp; AJ$1, DataRegularSeason20242025!$E$3:$E$1315, $A13)</f>
        <v>10</v>
      </c>
      <c r="AK13">
        <f>SUMIFS(DataRegularSeason20242025!$AA$3:$AA$1315,DataRegularSeason20242025!$B$3:$B$1315, "&lt;=" &amp; AK$1, DataRegularSeason20242025!$D$3:$D$1315, $A13)+SUMIFS(DataRegularSeason20242025!$AB$3:$AB$1315,DataRegularSeason20242025!$B$3:$B$1315, "&lt;=" &amp; AK$1, DataRegularSeason20242025!$E$3:$E$1315, $A13)</f>
        <v>10</v>
      </c>
      <c r="AL13">
        <f>SUMIFS(DataRegularSeason20242025!$AA$3:$AA$1315,DataRegularSeason20242025!$B$3:$B$1315, "&lt;=" &amp; AL$1, DataRegularSeason20242025!$D$3:$D$1315, $A13)+SUMIFS(DataRegularSeason20242025!$AB$3:$AB$1315,DataRegularSeason20242025!$B$3:$B$1315, "&lt;=" &amp; AL$1, DataRegularSeason20242025!$E$3:$E$1315, $A13)</f>
        <v>10</v>
      </c>
      <c r="AM13">
        <f>SUMIFS(DataRegularSeason20242025!$AA$3:$AA$1315,DataRegularSeason20242025!$B$3:$B$1315, "&lt;=" &amp; AM$1, DataRegularSeason20242025!$D$3:$D$1315, $A13)+SUMIFS(DataRegularSeason20242025!$AB$3:$AB$1315,DataRegularSeason20242025!$B$3:$B$1315, "&lt;=" &amp; AM$1, DataRegularSeason20242025!$E$3:$E$1315, $A13)</f>
        <v>10</v>
      </c>
      <c r="AN13">
        <f>SUMIFS(DataRegularSeason20242025!$AA$3:$AA$1315,DataRegularSeason20242025!$B$3:$B$1315, "&lt;=" &amp; AN$1, DataRegularSeason20242025!$D$3:$D$1315, $A13)+SUMIFS(DataRegularSeason20242025!$AB$3:$AB$1315,DataRegularSeason20242025!$B$3:$B$1315, "&lt;=" &amp; AN$1, DataRegularSeason20242025!$E$3:$E$1315, $A13)</f>
        <v>10</v>
      </c>
      <c r="AO13">
        <f>SUMIFS(DataRegularSeason20242025!$AA$3:$AA$1315,DataRegularSeason20242025!$B$3:$B$1315, "&lt;=" &amp; AO$1, DataRegularSeason20242025!$D$3:$D$1315, $A13)+SUMIFS(DataRegularSeason20242025!$AB$3:$AB$1315,DataRegularSeason20242025!$B$3:$B$1315, "&lt;=" &amp; AO$1, DataRegularSeason20242025!$E$3:$E$1315, $A13)</f>
        <v>10</v>
      </c>
      <c r="AP13">
        <f>SUMIFS(DataRegularSeason20242025!$AA$3:$AA$1315,DataRegularSeason20242025!$B$3:$B$1315, "&lt;=" &amp; AP$1, DataRegularSeason20242025!$D$3:$D$1315, $A13)+SUMIFS(DataRegularSeason20242025!$AB$3:$AB$1315,DataRegularSeason20242025!$B$3:$B$1315, "&lt;=" &amp; AP$1, DataRegularSeason20242025!$E$3:$E$1315, $A13)</f>
        <v>10</v>
      </c>
      <c r="AQ13">
        <f>SUMIFS(DataRegularSeason20242025!$AA$3:$AA$1315,DataRegularSeason20242025!$B$3:$B$1315, "&lt;=" &amp; AQ$1, DataRegularSeason20242025!$D$3:$D$1315, $A13)+SUMIFS(DataRegularSeason20242025!$AB$3:$AB$1315,DataRegularSeason20242025!$B$3:$B$1315, "&lt;=" &amp; AQ$1, DataRegularSeason20242025!$E$3:$E$1315, $A13)</f>
        <v>10</v>
      </c>
      <c r="AR13">
        <f>SUMIFS(DataRegularSeason20242025!$AA$3:$AA$1315,DataRegularSeason20242025!$B$3:$B$1315, "&lt;=" &amp; AR$1, DataRegularSeason20242025!$D$3:$D$1315, $A13)+SUMIFS(DataRegularSeason20242025!$AB$3:$AB$1315,DataRegularSeason20242025!$B$3:$B$1315, "&lt;=" &amp; AR$1, DataRegularSeason20242025!$E$3:$E$1315, $A13)</f>
        <v>10</v>
      </c>
      <c r="AS13">
        <f>SUMIFS(DataRegularSeason20242025!$AA$3:$AA$1315,DataRegularSeason20242025!$B$3:$B$1315, "&lt;=" &amp; AS$1, DataRegularSeason20242025!$D$3:$D$1315, $A13)+SUMIFS(DataRegularSeason20242025!$AB$3:$AB$1315,DataRegularSeason20242025!$B$3:$B$1315, "&lt;=" &amp; AS$1, DataRegularSeason20242025!$E$3:$E$1315, $A13)</f>
        <v>10</v>
      </c>
      <c r="AT13">
        <f>SUMIFS(DataRegularSeason20242025!$AA$3:$AA$1315,DataRegularSeason20242025!$B$3:$B$1315, "&lt;=" &amp; AT$1, DataRegularSeason20242025!$D$3:$D$1315, $A13)+SUMIFS(DataRegularSeason20242025!$AB$3:$AB$1315,DataRegularSeason20242025!$B$3:$B$1315, "&lt;=" &amp; AT$1, DataRegularSeason20242025!$E$3:$E$1315, $A13)</f>
        <v>10</v>
      </c>
      <c r="AU13">
        <f>SUMIFS(DataRegularSeason20242025!$AA$3:$AA$1315,DataRegularSeason20242025!$B$3:$B$1315, "&lt;=" &amp; AU$1, DataRegularSeason20242025!$D$3:$D$1315, $A13)+SUMIFS(DataRegularSeason20242025!$AB$3:$AB$1315,DataRegularSeason20242025!$B$3:$B$1315, "&lt;=" &amp; AU$1, DataRegularSeason20242025!$E$3:$E$1315, $A13)</f>
        <v>10</v>
      </c>
      <c r="AV13">
        <f>SUMIFS(DataRegularSeason20242025!$AA$3:$AA$1315,DataRegularSeason20242025!$B$3:$B$1315, "&lt;=" &amp; AV$1, DataRegularSeason20242025!$D$3:$D$1315, $A13)+SUMIFS(DataRegularSeason20242025!$AB$3:$AB$1315,DataRegularSeason20242025!$B$3:$B$1315, "&lt;=" &amp; AV$1, DataRegularSeason20242025!$E$3:$E$1315, $A13)</f>
        <v>10</v>
      </c>
      <c r="AW13">
        <f>SUMIFS(DataRegularSeason20242025!$AA$3:$AA$1315,DataRegularSeason20242025!$B$3:$B$1315, "&lt;=" &amp; AW$1, DataRegularSeason20242025!$D$3:$D$1315, $A13)+SUMIFS(DataRegularSeason20242025!$AB$3:$AB$1315,DataRegularSeason20242025!$B$3:$B$1315, "&lt;=" &amp; AW$1, DataRegularSeason20242025!$E$3:$E$1315, $A13)</f>
        <v>10</v>
      </c>
      <c r="AX13">
        <f>SUMIFS(DataRegularSeason20242025!$AA$3:$AA$1315,DataRegularSeason20242025!$B$3:$B$1315, "&lt;=" &amp; AX$1, DataRegularSeason20242025!$D$3:$D$1315, $A13)+SUMIFS(DataRegularSeason20242025!$AB$3:$AB$1315,DataRegularSeason20242025!$B$3:$B$1315, "&lt;=" &amp; AX$1, DataRegularSeason20242025!$E$3:$E$1315, $A13)</f>
        <v>10</v>
      </c>
      <c r="AY13">
        <f>SUMIFS(DataRegularSeason20242025!$AA$3:$AA$1315,DataRegularSeason20242025!$B$3:$B$1315, "&lt;=" &amp; AY$1, DataRegularSeason20242025!$D$3:$D$1315, $A13)+SUMIFS(DataRegularSeason20242025!$AB$3:$AB$1315,DataRegularSeason20242025!$B$3:$B$1315, "&lt;=" &amp; AY$1, DataRegularSeason20242025!$E$3:$E$1315, $A13)</f>
        <v>10</v>
      </c>
      <c r="AZ13">
        <f>SUMIFS(DataRegularSeason20242025!$AA$3:$AA$1315,DataRegularSeason20242025!$B$3:$B$1315, "&lt;=" &amp; AZ$1, DataRegularSeason20242025!$D$3:$D$1315, $A13)+SUMIFS(DataRegularSeason20242025!$AB$3:$AB$1315,DataRegularSeason20242025!$B$3:$B$1315, "&lt;=" &amp; AZ$1, DataRegularSeason20242025!$E$3:$E$1315, $A13)</f>
        <v>10</v>
      </c>
      <c r="BA13">
        <f>SUMIFS(DataRegularSeason20242025!$AA$3:$AA$1315,DataRegularSeason20242025!$B$3:$B$1315, "&lt;=" &amp; BA$1, DataRegularSeason20242025!$D$3:$D$1315, $A13)+SUMIFS(DataRegularSeason20242025!$AB$3:$AB$1315,DataRegularSeason20242025!$B$3:$B$1315, "&lt;=" &amp; BA$1, DataRegularSeason20242025!$E$3:$E$1315, $A13)</f>
        <v>10</v>
      </c>
      <c r="BB13">
        <f>SUMIFS(DataRegularSeason20242025!$AA$3:$AA$1315,DataRegularSeason20242025!$B$3:$B$1315, "&lt;=" &amp; BB$1, DataRegularSeason20242025!$D$3:$D$1315, $A13)+SUMIFS(DataRegularSeason20242025!$AB$3:$AB$1315,DataRegularSeason20242025!$B$3:$B$1315, "&lt;=" &amp; BB$1, DataRegularSeason20242025!$E$3:$E$1315, $A13)</f>
        <v>10</v>
      </c>
      <c r="BC13">
        <f>SUMIFS(DataRegularSeason20242025!$AA$3:$AA$1315,DataRegularSeason20242025!$B$3:$B$1315, "&lt;=" &amp; BC$1, DataRegularSeason20242025!$D$3:$D$1315, $A13)+SUMIFS(DataRegularSeason20242025!$AB$3:$AB$1315,DataRegularSeason20242025!$B$3:$B$1315, "&lt;=" &amp; BC$1, DataRegularSeason20242025!$E$3:$E$1315, $A13)</f>
        <v>10</v>
      </c>
      <c r="BD13">
        <f>SUMIFS(DataRegularSeason20242025!$AA$3:$AA$1315,DataRegularSeason20242025!$B$3:$B$1315, "&lt;=" &amp; BD$1, DataRegularSeason20242025!$D$3:$D$1315, $A13)+SUMIFS(DataRegularSeason20242025!$AB$3:$AB$1315,DataRegularSeason20242025!$B$3:$B$1315, "&lt;=" &amp; BD$1, DataRegularSeason20242025!$E$3:$E$1315, $A13)</f>
        <v>10</v>
      </c>
      <c r="BE13">
        <f>SUMIFS(DataRegularSeason20242025!$AA$3:$AA$1315,DataRegularSeason20242025!$B$3:$B$1315, "&lt;=" &amp; BE$1, DataRegularSeason20242025!$D$3:$D$1315, $A13)+SUMIFS(DataRegularSeason20242025!$AB$3:$AB$1315,DataRegularSeason20242025!$B$3:$B$1315, "&lt;=" &amp; BE$1, DataRegularSeason20242025!$E$3:$E$1315, $A13)</f>
        <v>10</v>
      </c>
      <c r="BF13">
        <f>SUMIFS(DataRegularSeason20242025!$AA$3:$AA$1315,DataRegularSeason20242025!$B$3:$B$1315, "&lt;=" &amp; BF$1, DataRegularSeason20242025!$D$3:$D$1315, $A13)+SUMIFS(DataRegularSeason20242025!$AB$3:$AB$1315,DataRegularSeason20242025!$B$3:$B$1315, "&lt;=" &amp; BF$1, DataRegularSeason20242025!$E$3:$E$1315, $A13)</f>
        <v>10</v>
      </c>
      <c r="BG13">
        <f>SUMIFS(DataRegularSeason20242025!$AA$3:$AA$1315,DataRegularSeason20242025!$B$3:$B$1315, "&lt;=" &amp; BG$1, DataRegularSeason20242025!$D$3:$D$1315, $A13)+SUMIFS(DataRegularSeason20242025!$AB$3:$AB$1315,DataRegularSeason20242025!$B$3:$B$1315, "&lt;=" &amp; BG$1, DataRegularSeason20242025!$E$3:$E$1315, $A13)</f>
        <v>10</v>
      </c>
      <c r="BH13">
        <f>SUMIFS(DataRegularSeason20242025!$AA$3:$AA$1315,DataRegularSeason20242025!$B$3:$B$1315, "&lt;=" &amp; BH$1, DataRegularSeason20242025!$D$3:$D$1315, $A13)+SUMIFS(DataRegularSeason20242025!$AB$3:$AB$1315,DataRegularSeason20242025!$B$3:$B$1315, "&lt;=" &amp; BH$1, DataRegularSeason20242025!$E$3:$E$1315, $A13)</f>
        <v>10</v>
      </c>
      <c r="BI13">
        <f>SUMIFS(DataRegularSeason20242025!$AA$3:$AA$1315,DataRegularSeason20242025!$B$3:$B$1315, "&lt;=" &amp; BI$1, DataRegularSeason20242025!$D$3:$D$1315, $A13)+SUMIFS(DataRegularSeason20242025!$AB$3:$AB$1315,DataRegularSeason20242025!$B$3:$B$1315, "&lt;=" &amp; BI$1, DataRegularSeason20242025!$E$3:$E$1315, $A13)</f>
        <v>10</v>
      </c>
      <c r="BJ13">
        <f>SUMIFS(DataRegularSeason20242025!$AA$3:$AA$1315,DataRegularSeason20242025!$B$3:$B$1315, "&lt;=" &amp; BJ$1, DataRegularSeason20242025!$D$3:$D$1315, $A13)+SUMIFS(DataRegularSeason20242025!$AB$3:$AB$1315,DataRegularSeason20242025!$B$3:$B$1315, "&lt;=" &amp; BJ$1, DataRegularSeason20242025!$E$3:$E$1315, $A13)</f>
        <v>10</v>
      </c>
      <c r="BK13">
        <f>SUMIFS(DataRegularSeason20242025!$AA$3:$AA$1315,DataRegularSeason20242025!$B$3:$B$1315, "&lt;=" &amp; BK$1, DataRegularSeason20242025!$D$3:$D$1315, $A13)+SUMIFS(DataRegularSeason20242025!$AB$3:$AB$1315,DataRegularSeason20242025!$B$3:$B$1315, "&lt;=" &amp; BK$1, DataRegularSeason20242025!$E$3:$E$1315, $A13)</f>
        <v>10</v>
      </c>
      <c r="BL13">
        <f>SUMIFS(DataRegularSeason20242025!$AA$3:$AA$1315,DataRegularSeason20242025!$B$3:$B$1315, "&lt;=" &amp; BL$1, DataRegularSeason20242025!$D$3:$D$1315, $A13)+SUMIFS(DataRegularSeason20242025!$AB$3:$AB$1315,DataRegularSeason20242025!$B$3:$B$1315, "&lt;=" &amp; BL$1, DataRegularSeason20242025!$E$3:$E$1315, $A13)</f>
        <v>10</v>
      </c>
      <c r="BM13">
        <f>SUMIFS(DataRegularSeason20242025!$AA$3:$AA$1315,DataRegularSeason20242025!$B$3:$B$1315, "&lt;=" &amp; BM$1, DataRegularSeason20242025!$D$3:$D$1315, $A13)+SUMIFS(DataRegularSeason20242025!$AB$3:$AB$1315,DataRegularSeason20242025!$B$3:$B$1315, "&lt;=" &amp; BM$1, DataRegularSeason20242025!$E$3:$E$1315, $A13)</f>
        <v>10</v>
      </c>
      <c r="BN13">
        <f>SUMIFS(DataRegularSeason20242025!$AA$3:$AA$1315,DataRegularSeason20242025!$B$3:$B$1315, "&lt;=" &amp; BN$1, DataRegularSeason20242025!$D$3:$D$1315, $A13)+SUMIFS(DataRegularSeason20242025!$AB$3:$AB$1315,DataRegularSeason20242025!$B$3:$B$1315, "&lt;=" &amp; BN$1, DataRegularSeason20242025!$E$3:$E$1315, $A13)</f>
        <v>10</v>
      </c>
      <c r="BO13">
        <f>SUMIFS(DataRegularSeason20242025!$AA$3:$AA$1315,DataRegularSeason20242025!$B$3:$B$1315, "&lt;=" &amp; BO$1, DataRegularSeason20242025!$D$3:$D$1315, $A13)+SUMIFS(DataRegularSeason20242025!$AB$3:$AB$1315,DataRegularSeason20242025!$B$3:$B$1315, "&lt;=" &amp; BO$1, DataRegularSeason20242025!$E$3:$E$1315, $A13)</f>
        <v>10</v>
      </c>
      <c r="BP13">
        <f>SUMIFS(DataRegularSeason20242025!$AA$3:$AA$1315,DataRegularSeason20242025!$B$3:$B$1315, "&lt;=" &amp; BP$1, DataRegularSeason20242025!$D$3:$D$1315, $A13)+SUMIFS(DataRegularSeason20242025!$AB$3:$AB$1315,DataRegularSeason20242025!$B$3:$B$1315, "&lt;=" &amp; BP$1, DataRegularSeason20242025!$E$3:$E$1315, $A13)</f>
        <v>10</v>
      </c>
      <c r="BQ13">
        <f>SUMIFS(DataRegularSeason20242025!$AA$3:$AA$1315,DataRegularSeason20242025!$B$3:$B$1315, "&lt;=" &amp; BQ$1, DataRegularSeason20242025!$D$3:$D$1315, $A13)+SUMIFS(DataRegularSeason20242025!$AB$3:$AB$1315,DataRegularSeason20242025!$B$3:$B$1315, "&lt;=" &amp; BQ$1, DataRegularSeason20242025!$E$3:$E$1315, $A13)</f>
        <v>10</v>
      </c>
      <c r="BR13">
        <f>SUMIFS(DataRegularSeason20242025!$AA$3:$AA$1315,DataRegularSeason20242025!$B$3:$B$1315, "&lt;=" &amp; BR$1, DataRegularSeason20242025!$D$3:$D$1315, $A13)+SUMIFS(DataRegularSeason20242025!$AB$3:$AB$1315,DataRegularSeason20242025!$B$3:$B$1315, "&lt;=" &amp; BR$1, DataRegularSeason20242025!$E$3:$E$1315, $A13)</f>
        <v>10</v>
      </c>
      <c r="BS13">
        <f>SUMIFS(DataRegularSeason20242025!$AA$3:$AA$1315,DataRegularSeason20242025!$B$3:$B$1315, "&lt;=" &amp; BS$1, DataRegularSeason20242025!$D$3:$D$1315, $A13)+SUMIFS(DataRegularSeason20242025!$AB$3:$AB$1315,DataRegularSeason20242025!$B$3:$B$1315, "&lt;=" &amp; BS$1, DataRegularSeason20242025!$E$3:$E$1315, $A13)</f>
        <v>10</v>
      </c>
      <c r="BT13">
        <f>SUMIFS(DataRegularSeason20242025!$AA$3:$AA$1315,DataRegularSeason20242025!$B$3:$B$1315, "&lt;=" &amp; BT$1, DataRegularSeason20242025!$D$3:$D$1315, $A13)+SUMIFS(DataRegularSeason20242025!$AB$3:$AB$1315,DataRegularSeason20242025!$B$3:$B$1315, "&lt;=" &amp; BT$1, DataRegularSeason20242025!$E$3:$E$1315, $A13)</f>
        <v>10</v>
      </c>
      <c r="BU13">
        <f>SUMIFS(DataRegularSeason20242025!$AA$3:$AA$1315,DataRegularSeason20242025!$B$3:$B$1315, "&lt;=" &amp; BU$1, DataRegularSeason20242025!$D$3:$D$1315, $A13)+SUMIFS(DataRegularSeason20242025!$AB$3:$AB$1315,DataRegularSeason20242025!$B$3:$B$1315, "&lt;=" &amp; BU$1, DataRegularSeason20242025!$E$3:$E$1315, $A13)</f>
        <v>10</v>
      </c>
      <c r="BV13">
        <f>SUMIFS(DataRegularSeason20242025!$AA$3:$AA$1315,DataRegularSeason20242025!$B$3:$B$1315, "&lt;=" &amp; BV$1, DataRegularSeason20242025!$D$3:$D$1315, $A13)+SUMIFS(DataRegularSeason20242025!$AB$3:$AB$1315,DataRegularSeason20242025!$B$3:$B$1315, "&lt;=" &amp; BV$1, DataRegularSeason20242025!$E$3:$E$1315, $A13)</f>
        <v>10</v>
      </c>
      <c r="BW13">
        <f>SUMIFS(DataRegularSeason20242025!$AA$3:$AA$1315,DataRegularSeason20242025!$B$3:$B$1315, "&lt;=" &amp; BW$1, DataRegularSeason20242025!$D$3:$D$1315, $A13)+SUMIFS(DataRegularSeason20242025!$AB$3:$AB$1315,DataRegularSeason20242025!$B$3:$B$1315, "&lt;=" &amp; BW$1, DataRegularSeason20242025!$E$3:$E$1315, $A13)</f>
        <v>10</v>
      </c>
      <c r="BX13">
        <f>SUMIFS(DataRegularSeason20242025!$AA$3:$AA$1315,DataRegularSeason20242025!$B$3:$B$1315, "&lt;=" &amp; BX$1, DataRegularSeason20242025!$D$3:$D$1315, $A13)+SUMIFS(DataRegularSeason20242025!$AB$3:$AB$1315,DataRegularSeason20242025!$B$3:$B$1315, "&lt;=" &amp; BX$1, DataRegularSeason20242025!$E$3:$E$1315, $A13)</f>
        <v>10</v>
      </c>
      <c r="BY13">
        <f>SUMIFS(DataRegularSeason20242025!$AA$3:$AA$1315,DataRegularSeason20242025!$B$3:$B$1315, "&lt;=" &amp; BY$1, DataRegularSeason20242025!$D$3:$D$1315, $A13)+SUMIFS(DataRegularSeason20242025!$AB$3:$AB$1315,DataRegularSeason20242025!$B$3:$B$1315, "&lt;=" &amp; BY$1, DataRegularSeason20242025!$E$3:$E$1315, $A13)</f>
        <v>10</v>
      </c>
      <c r="BZ13">
        <f>SUMIFS(DataRegularSeason20242025!$AA$3:$AA$1315,DataRegularSeason20242025!$B$3:$B$1315, "&lt;=" &amp; BZ$1, DataRegularSeason20242025!$D$3:$D$1315, $A13)+SUMIFS(DataRegularSeason20242025!$AB$3:$AB$1315,DataRegularSeason20242025!$B$3:$B$1315, "&lt;=" &amp; BZ$1, DataRegularSeason20242025!$E$3:$E$1315, $A13)</f>
        <v>10</v>
      </c>
      <c r="CA13">
        <f>SUMIFS(DataRegularSeason20242025!$AA$3:$AA$1315,DataRegularSeason20242025!$B$3:$B$1315, "&lt;=" &amp; CA$1, DataRegularSeason20242025!$D$3:$D$1315, $A13)+SUMIFS(DataRegularSeason20242025!$AB$3:$AB$1315,DataRegularSeason20242025!$B$3:$B$1315, "&lt;=" &amp; CA$1, DataRegularSeason20242025!$E$3:$E$1315, $A13)</f>
        <v>10</v>
      </c>
      <c r="CB13">
        <f>SUMIFS(DataRegularSeason20242025!$AA$3:$AA$1315,DataRegularSeason20242025!$B$3:$B$1315, "&lt;=" &amp; CB$1, DataRegularSeason20242025!$D$3:$D$1315, $A13)+SUMIFS(DataRegularSeason20242025!$AB$3:$AB$1315,DataRegularSeason20242025!$B$3:$B$1315, "&lt;=" &amp; CB$1, DataRegularSeason20242025!$E$3:$E$1315, $A13)</f>
        <v>10</v>
      </c>
      <c r="CC13">
        <f>SUMIFS(DataRegularSeason20242025!$AA$3:$AA$1315,DataRegularSeason20242025!$B$3:$B$1315, "&lt;=" &amp; CC$1, DataRegularSeason20242025!$D$3:$D$1315, $A13)+SUMIFS(DataRegularSeason20242025!$AB$3:$AB$1315,DataRegularSeason20242025!$B$3:$B$1315, "&lt;=" &amp; CC$1, DataRegularSeason20242025!$E$3:$E$1315, $A13)</f>
        <v>10</v>
      </c>
      <c r="CD13">
        <f>SUMIFS(DataRegularSeason20242025!$AA$3:$AA$1315,DataRegularSeason20242025!$B$3:$B$1315, "&lt;=" &amp; CD$1, DataRegularSeason20242025!$D$3:$D$1315, $A13)+SUMIFS(DataRegularSeason20242025!$AB$3:$AB$1315,DataRegularSeason20242025!$B$3:$B$1315, "&lt;=" &amp; CD$1, DataRegularSeason20242025!$E$3:$E$1315, $A13)</f>
        <v>10</v>
      </c>
      <c r="CE13">
        <f>SUMIFS(DataRegularSeason20242025!$AA$3:$AA$1315,DataRegularSeason20242025!$B$3:$B$1315, "&lt;=" &amp; CE$1, DataRegularSeason20242025!$D$3:$D$1315, $A13)+SUMIFS(DataRegularSeason20242025!$AB$3:$AB$1315,DataRegularSeason20242025!$B$3:$B$1315, "&lt;=" &amp; CE$1, DataRegularSeason20242025!$E$3:$E$1315, $A13)</f>
        <v>10</v>
      </c>
      <c r="CF13">
        <f>SUMIFS(DataRegularSeason20242025!$AA$3:$AA$1315,DataRegularSeason20242025!$B$3:$B$1315, "&lt;=" &amp; CF$1, DataRegularSeason20242025!$D$3:$D$1315, $A13)+SUMIFS(DataRegularSeason20242025!$AB$3:$AB$1315,DataRegularSeason20242025!$B$3:$B$1315, "&lt;=" &amp; CF$1, DataRegularSeason20242025!$E$3:$E$1315, $A13)</f>
        <v>10</v>
      </c>
      <c r="CG13">
        <f>SUMIFS(DataRegularSeason20242025!$AA$3:$AA$1315,DataRegularSeason20242025!$B$3:$B$1315, "&lt;=" &amp; CG$1, DataRegularSeason20242025!$D$3:$D$1315, $A13)+SUMIFS(DataRegularSeason20242025!$AB$3:$AB$1315,DataRegularSeason20242025!$B$3:$B$1315, "&lt;=" &amp; CG$1, DataRegularSeason20242025!$E$3:$E$1315, $A13)</f>
        <v>10</v>
      </c>
      <c r="CH13">
        <f>SUMIFS(DataRegularSeason20242025!$AA$3:$AA$1315,DataRegularSeason20242025!$B$3:$B$1315, "&lt;=" &amp; CH$1, DataRegularSeason20242025!$D$3:$D$1315, $A13)+SUMIFS(DataRegularSeason20242025!$AB$3:$AB$1315,DataRegularSeason20242025!$B$3:$B$1315, "&lt;=" &amp; CH$1, DataRegularSeason20242025!$E$3:$E$1315, $A13)</f>
        <v>10</v>
      </c>
      <c r="CI13">
        <f>SUMIFS(DataRegularSeason20242025!$AA$3:$AA$1315,DataRegularSeason20242025!$B$3:$B$1315, "&lt;=" &amp; CI$1, DataRegularSeason20242025!$D$3:$D$1315, $A13)+SUMIFS(DataRegularSeason20242025!$AB$3:$AB$1315,DataRegularSeason20242025!$B$3:$B$1315, "&lt;=" &amp; CI$1, DataRegularSeason20242025!$E$3:$E$1315, $A13)</f>
        <v>10</v>
      </c>
      <c r="CJ13">
        <f>SUMIFS(DataRegularSeason20242025!$AA$3:$AA$1315,DataRegularSeason20242025!$B$3:$B$1315, "&lt;=" &amp; CJ$1, DataRegularSeason20242025!$D$3:$D$1315, $A13)+SUMIFS(DataRegularSeason20242025!$AB$3:$AB$1315,DataRegularSeason20242025!$B$3:$B$1315, "&lt;=" &amp; CJ$1, DataRegularSeason20242025!$E$3:$E$1315, $A13)</f>
        <v>10</v>
      </c>
      <c r="CK13">
        <f>SUMIFS(DataRegularSeason20242025!$AA$3:$AA$1315,DataRegularSeason20242025!$B$3:$B$1315, "&lt;=" &amp; CK$1, DataRegularSeason20242025!$D$3:$D$1315, $A13)+SUMIFS(DataRegularSeason20242025!$AB$3:$AB$1315,DataRegularSeason20242025!$B$3:$B$1315, "&lt;=" &amp; CK$1, DataRegularSeason20242025!$E$3:$E$1315, $A13)</f>
        <v>10</v>
      </c>
      <c r="CL13">
        <f>SUMIFS(DataRegularSeason20242025!$AA$3:$AA$1315,DataRegularSeason20242025!$B$3:$B$1315, "&lt;=" &amp; CL$1, DataRegularSeason20242025!$D$3:$D$1315, $A13)+SUMIFS(DataRegularSeason20242025!$AB$3:$AB$1315,DataRegularSeason20242025!$B$3:$B$1315, "&lt;=" &amp; CL$1, DataRegularSeason20242025!$E$3:$E$1315, $A13)</f>
        <v>10</v>
      </c>
      <c r="CM13">
        <f>SUMIFS(DataRegularSeason20242025!$AA$3:$AA$1315,DataRegularSeason20242025!$B$3:$B$1315, "&lt;=" &amp; CM$1, DataRegularSeason20242025!$D$3:$D$1315, $A13)+SUMIFS(DataRegularSeason20242025!$AB$3:$AB$1315,DataRegularSeason20242025!$B$3:$B$1315, "&lt;=" &amp; CM$1, DataRegularSeason20242025!$E$3:$E$1315, $A13)</f>
        <v>10</v>
      </c>
      <c r="CN13">
        <f>SUMIFS(DataRegularSeason20242025!$AA$3:$AA$1315,DataRegularSeason20242025!$B$3:$B$1315, "&lt;=" &amp; CN$1, DataRegularSeason20242025!$D$3:$D$1315, $A13)+SUMIFS(DataRegularSeason20242025!$AB$3:$AB$1315,DataRegularSeason20242025!$B$3:$B$1315, "&lt;=" &amp; CN$1, DataRegularSeason20242025!$E$3:$E$1315, $A13)</f>
        <v>10</v>
      </c>
      <c r="CO13">
        <f>SUMIFS(DataRegularSeason20242025!$AA$3:$AA$1315,DataRegularSeason20242025!$B$3:$B$1315, "&lt;=" &amp; CO$1, DataRegularSeason20242025!$D$3:$D$1315, $A13)+SUMIFS(DataRegularSeason20242025!$AB$3:$AB$1315,DataRegularSeason20242025!$B$3:$B$1315, "&lt;=" &amp; CO$1, DataRegularSeason20242025!$E$3:$E$1315, $A13)</f>
        <v>10</v>
      </c>
      <c r="CP13">
        <f>SUMIFS(DataRegularSeason20242025!$AA$3:$AA$1315,DataRegularSeason20242025!$B$3:$B$1315, "&lt;=" &amp; CP$1, DataRegularSeason20242025!$D$3:$D$1315, $A13)+SUMIFS(DataRegularSeason20242025!$AB$3:$AB$1315,DataRegularSeason20242025!$B$3:$B$1315, "&lt;=" &amp; CP$1, DataRegularSeason20242025!$E$3:$E$1315, $A13)</f>
        <v>10</v>
      </c>
      <c r="CQ13">
        <f>SUMIFS(DataRegularSeason20242025!$AA$3:$AA$1315,DataRegularSeason20242025!$B$3:$B$1315, "&lt;=" &amp; CQ$1, DataRegularSeason20242025!$D$3:$D$1315, $A13)+SUMIFS(DataRegularSeason20242025!$AB$3:$AB$1315,DataRegularSeason20242025!$B$3:$B$1315, "&lt;=" &amp; CQ$1, DataRegularSeason20242025!$E$3:$E$1315, $A13)</f>
        <v>10</v>
      </c>
      <c r="CR13">
        <f>SUMIFS(DataRegularSeason20242025!$AA$3:$AA$1315,DataRegularSeason20242025!$B$3:$B$1315, "&lt;=" &amp; CR$1, DataRegularSeason20242025!$D$3:$D$1315, $A13)+SUMIFS(DataRegularSeason20242025!$AB$3:$AB$1315,DataRegularSeason20242025!$B$3:$B$1315, "&lt;=" &amp; CR$1, DataRegularSeason20242025!$E$3:$E$1315, $A13)</f>
        <v>10</v>
      </c>
      <c r="CS13">
        <f>SUMIFS(DataRegularSeason20242025!$AA$3:$AA$1315,DataRegularSeason20242025!$B$3:$B$1315, "&lt;=" &amp; CS$1, DataRegularSeason20242025!$D$3:$D$1315, $A13)+SUMIFS(DataRegularSeason20242025!$AB$3:$AB$1315,DataRegularSeason20242025!$B$3:$B$1315, "&lt;=" &amp; CS$1, DataRegularSeason20242025!$E$3:$E$1315, $A13)</f>
        <v>10</v>
      </c>
      <c r="CT13">
        <f>SUMIFS(DataRegularSeason20242025!$AA$3:$AA$1315,DataRegularSeason20242025!$B$3:$B$1315, "&lt;=" &amp; CT$1, DataRegularSeason20242025!$D$3:$D$1315, $A13)+SUMIFS(DataRegularSeason20242025!$AB$3:$AB$1315,DataRegularSeason20242025!$B$3:$B$1315, "&lt;=" &amp; CT$1, DataRegularSeason20242025!$E$3:$E$1315, $A13)</f>
        <v>10</v>
      </c>
      <c r="CU13">
        <f>SUMIFS(DataRegularSeason20242025!$AA$3:$AA$1315,DataRegularSeason20242025!$B$3:$B$1315, "&lt;=" &amp; CU$1, DataRegularSeason20242025!$D$3:$D$1315, $A13)+SUMIFS(DataRegularSeason20242025!$AB$3:$AB$1315,DataRegularSeason20242025!$B$3:$B$1315, "&lt;=" &amp; CU$1, DataRegularSeason20242025!$E$3:$E$1315, $A13)</f>
        <v>10</v>
      </c>
      <c r="CV13">
        <f>SUMIFS(DataRegularSeason20242025!$AA$3:$AA$1315,DataRegularSeason20242025!$B$3:$B$1315, "&lt;=" &amp; CV$1, DataRegularSeason20242025!$D$3:$D$1315, $A13)+SUMIFS(DataRegularSeason20242025!$AB$3:$AB$1315,DataRegularSeason20242025!$B$3:$B$1315, "&lt;=" &amp; CV$1, DataRegularSeason20242025!$E$3:$E$1315, $A13)</f>
        <v>10</v>
      </c>
      <c r="CW13">
        <f>SUMIFS(DataRegularSeason20242025!$AA$3:$AA$1315,DataRegularSeason20242025!$B$3:$B$1315, "&lt;=" &amp; CW$1, DataRegularSeason20242025!$D$3:$D$1315, $A13)+SUMIFS(DataRegularSeason20242025!$AB$3:$AB$1315,DataRegularSeason20242025!$B$3:$B$1315, "&lt;=" &amp; CW$1, DataRegularSeason20242025!$E$3:$E$1315, $A13)</f>
        <v>10</v>
      </c>
      <c r="CX13">
        <f>SUMIFS(DataRegularSeason20242025!$AA$3:$AA$1315,DataRegularSeason20242025!$B$3:$B$1315, "&lt;=" &amp; CX$1, DataRegularSeason20242025!$D$3:$D$1315, $A13)+SUMIFS(DataRegularSeason20242025!$AB$3:$AB$1315,DataRegularSeason20242025!$B$3:$B$1315, "&lt;=" &amp; CX$1, DataRegularSeason20242025!$E$3:$E$1315, $A13)</f>
        <v>10</v>
      </c>
      <c r="CY13">
        <f>SUMIFS(DataRegularSeason20242025!$AA$3:$AA$1315,DataRegularSeason20242025!$B$3:$B$1315, "&lt;=" &amp; CY$1, DataRegularSeason20242025!$D$3:$D$1315, $A13)+SUMIFS(DataRegularSeason20242025!$AB$3:$AB$1315,DataRegularSeason20242025!$B$3:$B$1315, "&lt;=" &amp; CY$1, DataRegularSeason20242025!$E$3:$E$1315, $A13)</f>
        <v>10</v>
      </c>
      <c r="CZ13">
        <f>SUMIFS(DataRegularSeason20242025!$AA$3:$AA$1315,DataRegularSeason20242025!$B$3:$B$1315, "&lt;=" &amp; CZ$1, DataRegularSeason20242025!$D$3:$D$1315, $A13)+SUMIFS(DataRegularSeason20242025!$AB$3:$AB$1315,DataRegularSeason20242025!$B$3:$B$1315, "&lt;=" &amp; CZ$1, DataRegularSeason20242025!$E$3:$E$1315, $A13)</f>
        <v>10</v>
      </c>
      <c r="DA13">
        <f>SUMIFS(DataRegularSeason20242025!$AA$3:$AA$1315,DataRegularSeason20242025!$B$3:$B$1315, "&lt;=" &amp; DA$1, DataRegularSeason20242025!$D$3:$D$1315, $A13)+SUMIFS(DataRegularSeason20242025!$AB$3:$AB$1315,DataRegularSeason20242025!$B$3:$B$1315, "&lt;=" &amp; DA$1, DataRegularSeason20242025!$E$3:$E$1315, $A13)</f>
        <v>10</v>
      </c>
      <c r="DB13">
        <f>SUMIFS(DataRegularSeason20242025!$AA$3:$AA$1315,DataRegularSeason20242025!$B$3:$B$1315, "&lt;=" &amp; DB$1, DataRegularSeason20242025!$D$3:$D$1315, $A13)+SUMIFS(DataRegularSeason20242025!$AB$3:$AB$1315,DataRegularSeason20242025!$B$3:$B$1315, "&lt;=" &amp; DB$1, DataRegularSeason20242025!$E$3:$E$1315, $A13)</f>
        <v>10</v>
      </c>
      <c r="DC13">
        <f>SUMIFS(DataRegularSeason20242025!$AA$3:$AA$1315,DataRegularSeason20242025!$B$3:$B$1315, "&lt;=" &amp; DC$1, DataRegularSeason20242025!$D$3:$D$1315, $A13)+SUMIFS(DataRegularSeason20242025!$AB$3:$AB$1315,DataRegularSeason20242025!$B$3:$B$1315, "&lt;=" &amp; DC$1, DataRegularSeason20242025!$E$3:$E$1315, $A13)</f>
        <v>10</v>
      </c>
      <c r="DD13">
        <f>SUMIFS(DataRegularSeason20242025!$AA$3:$AA$1315,DataRegularSeason20242025!$B$3:$B$1315, "&lt;=" &amp; DD$1, DataRegularSeason20242025!$D$3:$D$1315, $A13)+SUMIFS(DataRegularSeason20242025!$AB$3:$AB$1315,DataRegularSeason20242025!$B$3:$B$1315, "&lt;=" &amp; DD$1, DataRegularSeason20242025!$E$3:$E$1315, $A13)</f>
        <v>10</v>
      </c>
      <c r="DE13">
        <f>SUMIFS(DataRegularSeason20242025!$AA$3:$AA$1315,DataRegularSeason20242025!$B$3:$B$1315, "&lt;=" &amp; DE$1, DataRegularSeason20242025!$D$3:$D$1315, $A13)+SUMIFS(DataRegularSeason20242025!$AB$3:$AB$1315,DataRegularSeason20242025!$B$3:$B$1315, "&lt;=" &amp; DE$1, DataRegularSeason20242025!$E$3:$E$1315, $A13)</f>
        <v>10</v>
      </c>
      <c r="DF13">
        <f>SUMIFS(DataRegularSeason20242025!$AA$3:$AA$1315,DataRegularSeason20242025!$B$3:$B$1315, "&lt;=" &amp; DF$1, DataRegularSeason20242025!$D$3:$D$1315, $A13)+SUMIFS(DataRegularSeason20242025!$AB$3:$AB$1315,DataRegularSeason20242025!$B$3:$B$1315, "&lt;=" &amp; DF$1, DataRegularSeason20242025!$E$3:$E$1315, $A13)</f>
        <v>10</v>
      </c>
      <c r="DG13">
        <f>SUMIFS(DataRegularSeason20242025!$AA$3:$AA$1315,DataRegularSeason20242025!$B$3:$B$1315, "&lt;=" &amp; DG$1, DataRegularSeason20242025!$D$3:$D$1315, $A13)+SUMIFS(DataRegularSeason20242025!$AB$3:$AB$1315,DataRegularSeason20242025!$B$3:$B$1315, "&lt;=" &amp; DG$1, DataRegularSeason20242025!$E$3:$E$1315, $A13)</f>
        <v>10</v>
      </c>
      <c r="DH13">
        <f>SUMIFS(DataRegularSeason20242025!$AA$3:$AA$1315,DataRegularSeason20242025!$B$3:$B$1315, "&lt;=" &amp; DH$1, DataRegularSeason20242025!$D$3:$D$1315, $A13)+SUMIFS(DataRegularSeason20242025!$AB$3:$AB$1315,DataRegularSeason20242025!$B$3:$B$1315, "&lt;=" &amp; DH$1, DataRegularSeason20242025!$E$3:$E$1315, $A13)</f>
        <v>10</v>
      </c>
      <c r="DI13">
        <f>SUMIFS(DataRegularSeason20242025!$AA$3:$AA$1315,DataRegularSeason20242025!$B$3:$B$1315, "&lt;=" &amp; DI$1, DataRegularSeason20242025!$D$3:$D$1315, $A13)+SUMIFS(DataRegularSeason20242025!$AB$3:$AB$1315,DataRegularSeason20242025!$B$3:$B$1315, "&lt;=" &amp; DI$1, DataRegularSeason20242025!$E$3:$E$1315, $A13)</f>
        <v>10</v>
      </c>
      <c r="DJ13">
        <f>SUMIFS(DataRegularSeason20242025!$AA$3:$AA$1315,DataRegularSeason20242025!$B$3:$B$1315, "&lt;=" &amp; DJ$1, DataRegularSeason20242025!$D$3:$D$1315, $A13)+SUMIFS(DataRegularSeason20242025!$AB$3:$AB$1315,DataRegularSeason20242025!$B$3:$B$1315, "&lt;=" &amp; DJ$1, DataRegularSeason20242025!$E$3:$E$1315, $A13)</f>
        <v>10</v>
      </c>
      <c r="DK13">
        <f>SUMIFS(DataRegularSeason20242025!$AA$3:$AA$1315,DataRegularSeason20242025!$B$3:$B$1315, "&lt;=" &amp; DK$1, DataRegularSeason20242025!$D$3:$D$1315, $A13)+SUMIFS(DataRegularSeason20242025!$AB$3:$AB$1315,DataRegularSeason20242025!$B$3:$B$1315, "&lt;=" &amp; DK$1, DataRegularSeason20242025!$E$3:$E$1315, $A13)</f>
        <v>10</v>
      </c>
      <c r="DL13">
        <f>SUMIFS(DataRegularSeason20242025!$AA$3:$AA$1315,DataRegularSeason20242025!$B$3:$B$1315, "&lt;=" &amp; DL$1, DataRegularSeason20242025!$D$3:$D$1315, $A13)+SUMIFS(DataRegularSeason20242025!$AB$3:$AB$1315,DataRegularSeason20242025!$B$3:$B$1315, "&lt;=" &amp; DL$1, DataRegularSeason20242025!$E$3:$E$1315, $A13)</f>
        <v>10</v>
      </c>
      <c r="DM13">
        <f>SUMIFS(DataRegularSeason20242025!$AA$3:$AA$1315,DataRegularSeason20242025!$B$3:$B$1315, "&lt;=" &amp; DM$1, DataRegularSeason20242025!$D$3:$D$1315, $A13)+SUMIFS(DataRegularSeason20242025!$AB$3:$AB$1315,DataRegularSeason20242025!$B$3:$B$1315, "&lt;=" &amp; DM$1, DataRegularSeason20242025!$E$3:$E$1315, $A13)</f>
        <v>10</v>
      </c>
      <c r="DN13">
        <f>SUMIFS(DataRegularSeason20242025!$AA$3:$AA$1315,DataRegularSeason20242025!$B$3:$B$1315, "&lt;=" &amp; DN$1, DataRegularSeason20242025!$D$3:$D$1315, $A13)+SUMIFS(DataRegularSeason20242025!$AB$3:$AB$1315,DataRegularSeason20242025!$B$3:$B$1315, "&lt;=" &amp; DN$1, DataRegularSeason20242025!$E$3:$E$1315, $A13)</f>
        <v>10</v>
      </c>
      <c r="DO13">
        <f>SUMIFS(DataRegularSeason20242025!$AA$3:$AA$1315,DataRegularSeason20242025!$B$3:$B$1315, "&lt;=" &amp; DO$1, DataRegularSeason20242025!$D$3:$D$1315, $A13)+SUMIFS(DataRegularSeason20242025!$AB$3:$AB$1315,DataRegularSeason20242025!$B$3:$B$1315, "&lt;=" &amp; DO$1, DataRegularSeason20242025!$E$3:$E$1315, $A13)</f>
        <v>10</v>
      </c>
      <c r="DP13">
        <f>SUMIFS(DataRegularSeason20242025!$AA$3:$AA$1315,DataRegularSeason20242025!$B$3:$B$1315, "&lt;=" &amp; DP$1, DataRegularSeason20242025!$D$3:$D$1315, $A13)+SUMIFS(DataRegularSeason20242025!$AB$3:$AB$1315,DataRegularSeason20242025!$B$3:$B$1315, "&lt;=" &amp; DP$1, DataRegularSeason20242025!$E$3:$E$1315, $A13)</f>
        <v>10</v>
      </c>
      <c r="DQ13">
        <f>SUMIFS(DataRegularSeason20242025!$AA$3:$AA$1315,DataRegularSeason20242025!$B$3:$B$1315, "&lt;=" &amp; DQ$1, DataRegularSeason20242025!$D$3:$D$1315, $A13)+SUMIFS(DataRegularSeason20242025!$AB$3:$AB$1315,DataRegularSeason20242025!$B$3:$B$1315, "&lt;=" &amp; DQ$1, DataRegularSeason20242025!$E$3:$E$1315, $A13)</f>
        <v>10</v>
      </c>
      <c r="DR13">
        <f>SUMIFS(DataRegularSeason20242025!$AA$3:$AA$1315,DataRegularSeason20242025!$B$3:$B$1315, "&lt;=" &amp; DR$1, DataRegularSeason20242025!$D$3:$D$1315, $A13)+SUMIFS(DataRegularSeason20242025!$AB$3:$AB$1315,DataRegularSeason20242025!$B$3:$B$1315, "&lt;=" &amp; DR$1, DataRegularSeason20242025!$E$3:$E$1315, $A13)</f>
        <v>10</v>
      </c>
      <c r="DS13">
        <f>SUMIFS(DataRegularSeason20242025!$AA$3:$AA$1315,DataRegularSeason20242025!$B$3:$B$1315, "&lt;=" &amp; DS$1, DataRegularSeason20242025!$D$3:$D$1315, $A13)+SUMIFS(DataRegularSeason20242025!$AB$3:$AB$1315,DataRegularSeason20242025!$B$3:$B$1315, "&lt;=" &amp; DS$1, DataRegularSeason20242025!$E$3:$E$1315, $A13)</f>
        <v>10</v>
      </c>
      <c r="DT13">
        <f>SUMIFS(DataRegularSeason20242025!$AA$3:$AA$1315,DataRegularSeason20242025!$B$3:$B$1315, "&lt;=" &amp; DT$1, DataRegularSeason20242025!$D$3:$D$1315, $A13)+SUMIFS(DataRegularSeason20242025!$AB$3:$AB$1315,DataRegularSeason20242025!$B$3:$B$1315, "&lt;=" &amp; DT$1, DataRegularSeason20242025!$E$3:$E$1315, $A13)</f>
        <v>10</v>
      </c>
      <c r="DU13">
        <f>SUMIFS(DataRegularSeason20242025!$AA$3:$AA$1315,DataRegularSeason20242025!$B$3:$B$1315, "&lt;=" &amp; DU$1, DataRegularSeason20242025!$D$3:$D$1315, $A13)+SUMIFS(DataRegularSeason20242025!$AB$3:$AB$1315,DataRegularSeason20242025!$B$3:$B$1315, "&lt;=" &amp; DU$1, DataRegularSeason20242025!$E$3:$E$1315, $A13)</f>
        <v>10</v>
      </c>
      <c r="DV13">
        <f>SUMIFS(DataRegularSeason20242025!$AA$3:$AA$1315,DataRegularSeason20242025!$B$3:$B$1315, "&lt;=" &amp; DV$1, DataRegularSeason20242025!$D$3:$D$1315, $A13)+SUMIFS(DataRegularSeason20242025!$AB$3:$AB$1315,DataRegularSeason20242025!$B$3:$B$1315, "&lt;=" &amp; DV$1, DataRegularSeason20242025!$E$3:$E$1315, $A13)</f>
        <v>10</v>
      </c>
      <c r="DW13">
        <f>SUMIFS(DataRegularSeason20242025!$AA$3:$AA$1315,DataRegularSeason20242025!$B$3:$B$1315, "&lt;=" &amp; DW$1, DataRegularSeason20242025!$D$3:$D$1315, $A13)+SUMIFS(DataRegularSeason20242025!$AB$3:$AB$1315,DataRegularSeason20242025!$B$3:$B$1315, "&lt;=" &amp; DW$1, DataRegularSeason20242025!$E$3:$E$1315, $A13)</f>
        <v>10</v>
      </c>
      <c r="DX13">
        <f>SUMIFS(DataRegularSeason20242025!$AA$3:$AA$1315,DataRegularSeason20242025!$B$3:$B$1315, "&lt;=" &amp; DX$1, DataRegularSeason20242025!$D$3:$D$1315, $A13)+SUMIFS(DataRegularSeason20242025!$AB$3:$AB$1315,DataRegularSeason20242025!$B$3:$B$1315, "&lt;=" &amp; DX$1, DataRegularSeason20242025!$E$3:$E$1315, $A13)</f>
        <v>10</v>
      </c>
      <c r="DY13">
        <f>SUMIFS(DataRegularSeason20242025!$AA$3:$AA$1315,DataRegularSeason20242025!$B$3:$B$1315, "&lt;=" &amp; DY$1, DataRegularSeason20242025!$D$3:$D$1315, $A13)+SUMIFS(DataRegularSeason20242025!$AB$3:$AB$1315,DataRegularSeason20242025!$B$3:$B$1315, "&lt;=" &amp; DY$1, DataRegularSeason20242025!$E$3:$E$1315, $A13)</f>
        <v>10</v>
      </c>
      <c r="DZ13">
        <f>SUMIFS(DataRegularSeason20242025!$AA$3:$AA$1315,DataRegularSeason20242025!$B$3:$B$1315, "&lt;=" &amp; DZ$1, DataRegularSeason20242025!$D$3:$D$1315, $A13)+SUMIFS(DataRegularSeason20242025!$AB$3:$AB$1315,DataRegularSeason20242025!$B$3:$B$1315, "&lt;=" &amp; DZ$1, DataRegularSeason20242025!$E$3:$E$1315, $A13)</f>
        <v>10</v>
      </c>
      <c r="EA13">
        <f>SUMIFS(DataRegularSeason20242025!$AA$3:$AA$1315,DataRegularSeason20242025!$B$3:$B$1315, "&lt;=" &amp; EA$1, DataRegularSeason20242025!$D$3:$D$1315, $A13)+SUMIFS(DataRegularSeason20242025!$AB$3:$AB$1315,DataRegularSeason20242025!$B$3:$B$1315, "&lt;=" &amp; EA$1, DataRegularSeason20242025!$E$3:$E$1315, $A13)</f>
        <v>10</v>
      </c>
      <c r="EB13">
        <f>SUMIFS(DataRegularSeason20242025!$AA$3:$AA$1315,DataRegularSeason20242025!$B$3:$B$1315, "&lt;=" &amp; EB$1, DataRegularSeason20242025!$D$3:$D$1315, $A13)+SUMIFS(DataRegularSeason20242025!$AB$3:$AB$1315,DataRegularSeason20242025!$B$3:$B$1315, "&lt;=" &amp; EB$1, DataRegularSeason20242025!$E$3:$E$1315, $A13)</f>
        <v>10</v>
      </c>
      <c r="EC13">
        <f>SUMIFS(DataRegularSeason20242025!$AA$3:$AA$1315,DataRegularSeason20242025!$B$3:$B$1315, "&lt;=" &amp; EC$1, DataRegularSeason20242025!$D$3:$D$1315, $A13)+SUMIFS(DataRegularSeason20242025!$AB$3:$AB$1315,DataRegularSeason20242025!$B$3:$B$1315, "&lt;=" &amp; EC$1, DataRegularSeason20242025!$E$3:$E$1315, $A13)</f>
        <v>10</v>
      </c>
      <c r="ED13">
        <f>SUMIFS(DataRegularSeason20242025!$AA$3:$AA$1315,DataRegularSeason20242025!$B$3:$B$1315, "&lt;=" &amp; ED$1, DataRegularSeason20242025!$D$3:$D$1315, $A13)+SUMIFS(DataRegularSeason20242025!$AB$3:$AB$1315,DataRegularSeason20242025!$B$3:$B$1315, "&lt;=" &amp; ED$1, DataRegularSeason20242025!$E$3:$E$1315, $A13)</f>
        <v>10</v>
      </c>
      <c r="EE13">
        <f>SUMIFS(DataRegularSeason20242025!$AA$3:$AA$1315,DataRegularSeason20242025!$B$3:$B$1315, "&lt;=" &amp; EE$1, DataRegularSeason20242025!$D$3:$D$1315, $A13)+SUMIFS(DataRegularSeason20242025!$AB$3:$AB$1315,DataRegularSeason20242025!$B$3:$B$1315, "&lt;=" &amp; EE$1, DataRegularSeason20242025!$E$3:$E$1315, $A13)</f>
        <v>10</v>
      </c>
      <c r="EF13">
        <f>SUMIFS(DataRegularSeason20242025!$AA$3:$AA$1315,DataRegularSeason20242025!$B$3:$B$1315, "&lt;=" &amp; EF$1, DataRegularSeason20242025!$D$3:$D$1315, $A13)+SUMIFS(DataRegularSeason20242025!$AB$3:$AB$1315,DataRegularSeason20242025!$B$3:$B$1315, "&lt;=" &amp; EF$1, DataRegularSeason20242025!$E$3:$E$1315, $A13)</f>
        <v>10</v>
      </c>
      <c r="EG13">
        <f>SUMIFS(DataRegularSeason20242025!$AA$3:$AA$1315,DataRegularSeason20242025!$B$3:$B$1315, "&lt;=" &amp; EG$1, DataRegularSeason20242025!$D$3:$D$1315, $A13)+SUMIFS(DataRegularSeason20242025!$AB$3:$AB$1315,DataRegularSeason20242025!$B$3:$B$1315, "&lt;=" &amp; EG$1, DataRegularSeason20242025!$E$3:$E$1315, $A13)</f>
        <v>10</v>
      </c>
      <c r="EH13">
        <f>SUMIFS(DataRegularSeason20242025!$AA$3:$AA$1315,DataRegularSeason20242025!$B$3:$B$1315, "&lt;=" &amp; EH$1, DataRegularSeason20242025!$D$3:$D$1315, $A13)+SUMIFS(DataRegularSeason20242025!$AB$3:$AB$1315,DataRegularSeason20242025!$B$3:$B$1315, "&lt;=" &amp; EH$1, DataRegularSeason20242025!$E$3:$E$1315, $A13)</f>
        <v>10</v>
      </c>
      <c r="EI13">
        <f>SUMIFS(DataRegularSeason20242025!$AA$3:$AA$1315,DataRegularSeason20242025!$B$3:$B$1315, "&lt;=" &amp; EI$1, DataRegularSeason20242025!$D$3:$D$1315, $A13)+SUMIFS(DataRegularSeason20242025!$AB$3:$AB$1315,DataRegularSeason20242025!$B$3:$B$1315, "&lt;=" &amp; EI$1, DataRegularSeason20242025!$E$3:$E$1315, $A13)</f>
        <v>10</v>
      </c>
      <c r="EJ13">
        <f>SUMIFS(DataRegularSeason20242025!$AA$3:$AA$1315,DataRegularSeason20242025!$B$3:$B$1315, "&lt;=" &amp; EJ$1, DataRegularSeason20242025!$D$3:$D$1315, $A13)+SUMIFS(DataRegularSeason20242025!$AB$3:$AB$1315,DataRegularSeason20242025!$B$3:$B$1315, "&lt;=" &amp; EJ$1, DataRegularSeason20242025!$E$3:$E$1315, $A13)</f>
        <v>10</v>
      </c>
      <c r="EK13">
        <f>SUMIFS(DataRegularSeason20242025!$AA$3:$AA$1315,DataRegularSeason20242025!$B$3:$B$1315, "&lt;=" &amp; EK$1, DataRegularSeason20242025!$D$3:$D$1315, $A13)+SUMIFS(DataRegularSeason20242025!$AB$3:$AB$1315,DataRegularSeason20242025!$B$3:$B$1315, "&lt;=" &amp; EK$1, DataRegularSeason20242025!$E$3:$E$1315, $A13)</f>
        <v>10</v>
      </c>
      <c r="EL13">
        <f>SUMIFS(DataRegularSeason20242025!$AA$3:$AA$1315,DataRegularSeason20242025!$B$3:$B$1315, "&lt;=" &amp; EL$1, DataRegularSeason20242025!$D$3:$D$1315, $A13)+SUMIFS(DataRegularSeason20242025!$AB$3:$AB$1315,DataRegularSeason20242025!$B$3:$B$1315, "&lt;=" &amp; EL$1, DataRegularSeason20242025!$E$3:$E$1315, $A13)</f>
        <v>10</v>
      </c>
      <c r="EM13">
        <f>SUMIFS(DataRegularSeason20242025!$AA$3:$AA$1315,DataRegularSeason20242025!$B$3:$B$1315, "&lt;=" &amp; EM$1, DataRegularSeason20242025!$D$3:$D$1315, $A13)+SUMIFS(DataRegularSeason20242025!$AB$3:$AB$1315,DataRegularSeason20242025!$B$3:$B$1315, "&lt;=" &amp; EM$1, DataRegularSeason20242025!$E$3:$E$1315, $A13)</f>
        <v>10</v>
      </c>
      <c r="EN13">
        <f>SUMIFS(DataRegularSeason20242025!$AA$3:$AA$1315,DataRegularSeason20242025!$B$3:$B$1315, "&lt;=" &amp; EN$1, DataRegularSeason20242025!$D$3:$D$1315, $A13)+SUMIFS(DataRegularSeason20242025!$AB$3:$AB$1315,DataRegularSeason20242025!$B$3:$B$1315, "&lt;=" &amp; EN$1, DataRegularSeason20242025!$E$3:$E$1315, $A13)</f>
        <v>10</v>
      </c>
      <c r="EO13">
        <f>SUMIFS(DataRegularSeason20242025!$AA$3:$AA$1315,DataRegularSeason20242025!$B$3:$B$1315, "&lt;=" &amp; EO$1, DataRegularSeason20242025!$D$3:$D$1315, $A13)+SUMIFS(DataRegularSeason20242025!$AB$3:$AB$1315,DataRegularSeason20242025!$B$3:$B$1315, "&lt;=" &amp; EO$1, DataRegularSeason20242025!$E$3:$E$1315, $A13)</f>
        <v>10</v>
      </c>
      <c r="EP13">
        <f>SUMIFS(DataRegularSeason20242025!$AA$3:$AA$1315,DataRegularSeason20242025!$B$3:$B$1315, "&lt;=" &amp; EP$1, DataRegularSeason20242025!$D$3:$D$1315, $A13)+SUMIFS(DataRegularSeason20242025!$AB$3:$AB$1315,DataRegularSeason20242025!$B$3:$B$1315, "&lt;=" &amp; EP$1, DataRegularSeason20242025!$E$3:$E$1315, $A13)</f>
        <v>10</v>
      </c>
      <c r="EQ13">
        <f>SUMIFS(DataRegularSeason20242025!$AA$3:$AA$1315,DataRegularSeason20242025!$B$3:$B$1315, "&lt;=" &amp; EQ$1, DataRegularSeason20242025!$D$3:$D$1315, $A13)+SUMIFS(DataRegularSeason20242025!$AB$3:$AB$1315,DataRegularSeason20242025!$B$3:$B$1315, "&lt;=" &amp; EQ$1, DataRegularSeason20242025!$E$3:$E$1315, $A13)</f>
        <v>10</v>
      </c>
      <c r="ER13">
        <f>SUMIFS(DataRegularSeason20242025!$AA$3:$AA$1315,DataRegularSeason20242025!$B$3:$B$1315, "&lt;=" &amp; ER$1, DataRegularSeason20242025!$D$3:$D$1315, $A13)+SUMIFS(DataRegularSeason20242025!$AB$3:$AB$1315,DataRegularSeason20242025!$B$3:$B$1315, "&lt;=" &amp; ER$1, DataRegularSeason20242025!$E$3:$E$1315, $A13)</f>
        <v>10</v>
      </c>
      <c r="ES13">
        <f>SUMIFS(DataRegularSeason20242025!$AA$3:$AA$1315,DataRegularSeason20242025!$B$3:$B$1315, "&lt;=" &amp; ES$1, DataRegularSeason20242025!$D$3:$D$1315, $A13)+SUMIFS(DataRegularSeason20242025!$AB$3:$AB$1315,DataRegularSeason20242025!$B$3:$B$1315, "&lt;=" &amp; ES$1, DataRegularSeason20242025!$E$3:$E$1315, $A13)</f>
        <v>10</v>
      </c>
      <c r="ET13">
        <f>SUMIFS(DataRegularSeason20242025!$AA$3:$AA$1315,DataRegularSeason20242025!$B$3:$B$1315, "&lt;=" &amp; ET$1, DataRegularSeason20242025!$D$3:$D$1315, $A13)+SUMIFS(DataRegularSeason20242025!$AB$3:$AB$1315,DataRegularSeason20242025!$B$3:$B$1315, "&lt;=" &amp; ET$1, DataRegularSeason20242025!$E$3:$E$1315, $A13)</f>
        <v>10</v>
      </c>
      <c r="EU13">
        <f>SUMIFS(DataRegularSeason20242025!$AA$3:$AA$1315,DataRegularSeason20242025!$B$3:$B$1315, "&lt;=" &amp; EU$1, DataRegularSeason20242025!$D$3:$D$1315, $A13)+SUMIFS(DataRegularSeason20242025!$AB$3:$AB$1315,DataRegularSeason20242025!$B$3:$B$1315, "&lt;=" &amp; EU$1, DataRegularSeason20242025!$E$3:$E$1315, $A13)</f>
        <v>10</v>
      </c>
      <c r="EV13">
        <f>SUMIFS(DataRegularSeason20242025!$AA$3:$AA$1315,DataRegularSeason20242025!$B$3:$B$1315, "&lt;=" &amp; EV$1, DataRegularSeason20242025!$D$3:$D$1315, $A13)+SUMIFS(DataRegularSeason20242025!$AB$3:$AB$1315,DataRegularSeason20242025!$B$3:$B$1315, "&lt;=" &amp; EV$1, DataRegularSeason20242025!$E$3:$E$1315, $A13)</f>
        <v>10</v>
      </c>
      <c r="EW13">
        <f>SUMIFS(DataRegularSeason20242025!$AA$3:$AA$1315,DataRegularSeason20242025!$B$3:$B$1315, "&lt;=" &amp; EW$1, DataRegularSeason20242025!$D$3:$D$1315, $A13)+SUMIFS(DataRegularSeason20242025!$AB$3:$AB$1315,DataRegularSeason20242025!$B$3:$B$1315, "&lt;=" &amp; EW$1, DataRegularSeason20242025!$E$3:$E$1315, $A13)</f>
        <v>10</v>
      </c>
      <c r="EX13">
        <f>SUMIFS(DataRegularSeason20242025!$AA$3:$AA$1315,DataRegularSeason20242025!$B$3:$B$1315, "&lt;=" &amp; EX$1, DataRegularSeason20242025!$D$3:$D$1315, $A13)+SUMIFS(DataRegularSeason20242025!$AB$3:$AB$1315,DataRegularSeason20242025!$B$3:$B$1315, "&lt;=" &amp; EX$1, DataRegularSeason20242025!$E$3:$E$1315, $A13)</f>
        <v>10</v>
      </c>
      <c r="EY13">
        <f>SUMIFS(DataRegularSeason20242025!$AA$3:$AA$1315,DataRegularSeason20242025!$B$3:$B$1315, "&lt;=" &amp; EY$1, DataRegularSeason20242025!$D$3:$D$1315, $A13)+SUMIFS(DataRegularSeason20242025!$AB$3:$AB$1315,DataRegularSeason20242025!$B$3:$B$1315, "&lt;=" &amp; EY$1, DataRegularSeason20242025!$E$3:$E$1315, $A13)</f>
        <v>10</v>
      </c>
      <c r="EZ13">
        <f>SUMIFS(DataRegularSeason20242025!$AA$3:$AA$1315,DataRegularSeason20242025!$B$3:$B$1315, "&lt;=" &amp; EZ$1, DataRegularSeason20242025!$D$3:$D$1315, $A13)+SUMIFS(DataRegularSeason20242025!$AB$3:$AB$1315,DataRegularSeason20242025!$B$3:$B$1315, "&lt;=" &amp; EZ$1, DataRegularSeason20242025!$E$3:$E$1315, $A13)</f>
        <v>10</v>
      </c>
      <c r="FA13">
        <f>SUMIFS(DataRegularSeason20242025!$AA$3:$AA$1315,DataRegularSeason20242025!$B$3:$B$1315, "&lt;=" &amp; FA$1, DataRegularSeason20242025!$D$3:$D$1315, $A13)+SUMIFS(DataRegularSeason20242025!$AB$3:$AB$1315,DataRegularSeason20242025!$B$3:$B$1315, "&lt;=" &amp; FA$1, DataRegularSeason20242025!$E$3:$E$1315, $A13)</f>
        <v>10</v>
      </c>
      <c r="FB13">
        <f>SUMIFS(DataRegularSeason20242025!$AA$3:$AA$1315,DataRegularSeason20242025!$B$3:$B$1315, "&lt;=" &amp; FB$1, DataRegularSeason20242025!$D$3:$D$1315, $A13)+SUMIFS(DataRegularSeason20242025!$AB$3:$AB$1315,DataRegularSeason20242025!$B$3:$B$1315, "&lt;=" &amp; FB$1, DataRegularSeason20242025!$E$3:$E$1315, $A13)</f>
        <v>10</v>
      </c>
      <c r="FC13">
        <f>SUMIFS(DataRegularSeason20242025!$AA$3:$AA$1315,DataRegularSeason20242025!$B$3:$B$1315, "&lt;=" &amp; FC$1, DataRegularSeason20242025!$D$3:$D$1315, $A13)+SUMIFS(DataRegularSeason20242025!$AB$3:$AB$1315,DataRegularSeason20242025!$B$3:$B$1315, "&lt;=" &amp; FC$1, DataRegularSeason20242025!$E$3:$E$1315, $A13)</f>
        <v>10</v>
      </c>
      <c r="FD13">
        <f>SUMIFS(DataRegularSeason20242025!$AA$3:$AA$1315,DataRegularSeason20242025!$B$3:$B$1315, "&lt;=" &amp; FD$1, DataRegularSeason20242025!$D$3:$D$1315, $A13)+SUMIFS(DataRegularSeason20242025!$AB$3:$AB$1315,DataRegularSeason20242025!$B$3:$B$1315, "&lt;=" &amp; FD$1, DataRegularSeason20242025!$E$3:$E$1315, $A13)</f>
        <v>10</v>
      </c>
      <c r="FE13">
        <f>SUMIFS(DataRegularSeason20242025!$AA$3:$AA$1315,DataRegularSeason20242025!$B$3:$B$1315, "&lt;=" &amp; FE$1, DataRegularSeason20242025!$D$3:$D$1315, $A13)+SUMIFS(DataRegularSeason20242025!$AB$3:$AB$1315,DataRegularSeason20242025!$B$3:$B$1315, "&lt;=" &amp; FE$1, DataRegularSeason20242025!$E$3:$E$1315, $A13)</f>
        <v>10</v>
      </c>
      <c r="FF13">
        <f>SUMIFS(DataRegularSeason20242025!$AA$3:$AA$1315,DataRegularSeason20242025!$B$3:$B$1315, "&lt;=" &amp; FF$1, DataRegularSeason20242025!$D$3:$D$1315, $A13)+SUMIFS(DataRegularSeason20242025!$AB$3:$AB$1315,DataRegularSeason20242025!$B$3:$B$1315, "&lt;=" &amp; FF$1, DataRegularSeason20242025!$E$3:$E$1315, $A13)</f>
        <v>10</v>
      </c>
      <c r="FG13">
        <f>SUMIFS(DataRegularSeason20242025!$AA$3:$AA$1315,DataRegularSeason20242025!$B$3:$B$1315, "&lt;=" &amp; FG$1, DataRegularSeason20242025!$D$3:$D$1315, $A13)+SUMIFS(DataRegularSeason20242025!$AB$3:$AB$1315,DataRegularSeason20242025!$B$3:$B$1315, "&lt;=" &amp; FG$1, DataRegularSeason20242025!$E$3:$E$1315, $A13)</f>
        <v>10</v>
      </c>
      <c r="FH13">
        <f>SUMIFS(DataRegularSeason20242025!$AA$3:$AA$1315,DataRegularSeason20242025!$B$3:$B$1315, "&lt;=" &amp; FH$1, DataRegularSeason20242025!$D$3:$D$1315, $A13)+SUMIFS(DataRegularSeason20242025!$AB$3:$AB$1315,DataRegularSeason20242025!$B$3:$B$1315, "&lt;=" &amp; FH$1, DataRegularSeason20242025!$E$3:$E$1315, $A13)</f>
        <v>10</v>
      </c>
      <c r="FI13">
        <f>SUMIFS(DataRegularSeason20242025!$AA$3:$AA$1315,DataRegularSeason20242025!$B$3:$B$1315, "&lt;=" &amp; FI$1, DataRegularSeason20242025!$D$3:$D$1315, $A13)+SUMIFS(DataRegularSeason20242025!$AB$3:$AB$1315,DataRegularSeason20242025!$B$3:$B$1315, "&lt;=" &amp; FI$1, DataRegularSeason20242025!$E$3:$E$1315, $A13)</f>
        <v>10</v>
      </c>
      <c r="FJ13">
        <f>SUMIFS(DataRegularSeason20242025!$AA$3:$AA$1315,DataRegularSeason20242025!$B$3:$B$1315, "&lt;=" &amp; FJ$1, DataRegularSeason20242025!$D$3:$D$1315, $A13)+SUMIFS(DataRegularSeason20242025!$AB$3:$AB$1315,DataRegularSeason20242025!$B$3:$B$1315, "&lt;=" &amp; FJ$1, DataRegularSeason20242025!$E$3:$E$1315, $A13)</f>
        <v>10</v>
      </c>
      <c r="FK13">
        <f>SUMIFS(DataRegularSeason20242025!$AA$3:$AA$1315,DataRegularSeason20242025!$B$3:$B$1315, "&lt;=" &amp; FK$1, DataRegularSeason20242025!$D$3:$D$1315, $A13)+SUMIFS(DataRegularSeason20242025!$AB$3:$AB$1315,DataRegularSeason20242025!$B$3:$B$1315, "&lt;=" &amp; FK$1, DataRegularSeason20242025!$E$3:$E$1315, $A13)</f>
        <v>10</v>
      </c>
      <c r="FL13">
        <f>SUMIFS(DataRegularSeason20242025!$AA$3:$AA$1315,DataRegularSeason20242025!$B$3:$B$1315, "&lt;=" &amp; FL$1, DataRegularSeason20242025!$D$3:$D$1315, $A13)+SUMIFS(DataRegularSeason20242025!$AB$3:$AB$1315,DataRegularSeason20242025!$B$3:$B$1315, "&lt;=" &amp; FL$1, DataRegularSeason20242025!$E$3:$E$1315, $A13)</f>
        <v>10</v>
      </c>
      <c r="FM13">
        <f>SUMIFS(DataRegularSeason20242025!$AA$3:$AA$1315,DataRegularSeason20242025!$B$3:$B$1315, "&lt;=" &amp; FM$1, DataRegularSeason20242025!$D$3:$D$1315, $A13)+SUMIFS(DataRegularSeason20242025!$AB$3:$AB$1315,DataRegularSeason20242025!$B$3:$B$1315, "&lt;=" &amp; FM$1, DataRegularSeason20242025!$E$3:$E$1315, $A13)</f>
        <v>10</v>
      </c>
      <c r="FN13">
        <f>SUMIFS(DataRegularSeason20242025!$AA$3:$AA$1315,DataRegularSeason20242025!$B$3:$B$1315, "&lt;=" &amp; FN$1, DataRegularSeason20242025!$D$3:$D$1315, $A13)+SUMIFS(DataRegularSeason20242025!$AB$3:$AB$1315,DataRegularSeason20242025!$B$3:$B$1315, "&lt;=" &amp; FN$1, DataRegularSeason20242025!$E$3:$E$1315, $A13)</f>
        <v>10</v>
      </c>
      <c r="FO13">
        <f>SUMIFS(DataRegularSeason20242025!$AA$3:$AA$1315,DataRegularSeason20242025!$B$3:$B$1315, "&lt;=" &amp; FO$1, DataRegularSeason20242025!$D$3:$D$1315, $A13)+SUMIFS(DataRegularSeason20242025!$AB$3:$AB$1315,DataRegularSeason20242025!$B$3:$B$1315, "&lt;=" &amp; FO$1, DataRegularSeason20242025!$E$3:$E$1315, $A13)</f>
        <v>10</v>
      </c>
      <c r="FP13">
        <f>SUMIFS(DataRegularSeason20242025!$AA$3:$AA$1315,DataRegularSeason20242025!$B$3:$B$1315, "&lt;=" &amp; FP$1, DataRegularSeason20242025!$D$3:$D$1315, $A13)+SUMIFS(DataRegularSeason20242025!$AB$3:$AB$1315,DataRegularSeason20242025!$B$3:$B$1315, "&lt;=" &amp; FP$1, DataRegularSeason20242025!$E$3:$E$1315, $A13)</f>
        <v>10</v>
      </c>
      <c r="FQ13">
        <f>SUMIFS(DataRegularSeason20242025!$AA$3:$AA$1315,DataRegularSeason20242025!$B$3:$B$1315, "&lt;=" &amp; FQ$1, DataRegularSeason20242025!$D$3:$D$1315, $A13)+SUMIFS(DataRegularSeason20242025!$AB$3:$AB$1315,DataRegularSeason20242025!$B$3:$B$1315, "&lt;=" &amp; FQ$1, DataRegularSeason20242025!$E$3:$E$1315, $A13)</f>
        <v>10</v>
      </c>
      <c r="FR13">
        <f>SUMIFS(DataRegularSeason20242025!$AA$3:$AA$1315,DataRegularSeason20242025!$B$3:$B$1315, "&lt;=" &amp; FR$1, DataRegularSeason20242025!$D$3:$D$1315, $A13)+SUMIFS(DataRegularSeason20242025!$AB$3:$AB$1315,DataRegularSeason20242025!$B$3:$B$1315, "&lt;=" &amp; FR$1, DataRegularSeason20242025!$E$3:$E$1315, $A13)</f>
        <v>10</v>
      </c>
      <c r="FS13">
        <f>SUMIFS(DataRegularSeason20242025!$AA$3:$AA$1315,DataRegularSeason20242025!$B$3:$B$1315, "&lt;=" &amp; FS$1, DataRegularSeason20242025!$D$3:$D$1315, $A13)+SUMIFS(DataRegularSeason20242025!$AB$3:$AB$1315,DataRegularSeason20242025!$B$3:$B$1315, "&lt;=" &amp; FS$1, DataRegularSeason20242025!$E$3:$E$1315, $A13)</f>
        <v>10</v>
      </c>
      <c r="FT13">
        <f>SUMIFS(DataRegularSeason20242025!$AA$3:$AA$1315,DataRegularSeason20242025!$B$3:$B$1315, "&lt;=" &amp; FT$1, DataRegularSeason20242025!$D$3:$D$1315, $A13)+SUMIFS(DataRegularSeason20242025!$AB$3:$AB$1315,DataRegularSeason20242025!$B$3:$B$1315, "&lt;=" &amp; FT$1, DataRegularSeason20242025!$E$3:$E$1315, $A13)</f>
        <v>10</v>
      </c>
      <c r="FU13">
        <f>SUMIFS(DataRegularSeason20242025!$AA$3:$AA$1315,DataRegularSeason20242025!$B$3:$B$1315, "&lt;=" &amp; FU$1, DataRegularSeason20242025!$D$3:$D$1315, $A13)+SUMIFS(DataRegularSeason20242025!$AB$3:$AB$1315,DataRegularSeason20242025!$B$3:$B$1315, "&lt;=" &amp; FU$1, DataRegularSeason20242025!$E$3:$E$1315, $A13)</f>
        <v>10</v>
      </c>
      <c r="FV13">
        <f>SUMIFS(DataRegularSeason20242025!$AA$3:$AA$1315,DataRegularSeason20242025!$B$3:$B$1315, "&lt;=" &amp; FV$1, DataRegularSeason20242025!$D$3:$D$1315, $A13)+SUMIFS(DataRegularSeason20242025!$AB$3:$AB$1315,DataRegularSeason20242025!$B$3:$B$1315, "&lt;=" &amp; FV$1, DataRegularSeason20242025!$E$3:$E$1315, $A13)</f>
        <v>10</v>
      </c>
      <c r="FW13">
        <f>SUMIFS(DataRegularSeason20242025!$AA$3:$AA$1315,DataRegularSeason20242025!$B$3:$B$1315, "&lt;=" &amp; FW$1, DataRegularSeason20242025!$D$3:$D$1315, $A13)+SUMIFS(DataRegularSeason20242025!$AB$3:$AB$1315,DataRegularSeason20242025!$B$3:$B$1315, "&lt;=" &amp; FW$1, DataRegularSeason20242025!$E$3:$E$1315, $A13)</f>
        <v>10</v>
      </c>
      <c r="FX13">
        <f>SUMIFS(DataRegularSeason20242025!$AA$3:$AA$1315,DataRegularSeason20242025!$B$3:$B$1315, "&lt;=" &amp; FX$1, DataRegularSeason20242025!$D$3:$D$1315, $A13)+SUMIFS(DataRegularSeason20242025!$AB$3:$AB$1315,DataRegularSeason20242025!$B$3:$B$1315, "&lt;=" &amp; FX$1, DataRegularSeason20242025!$E$3:$E$1315, $A13)</f>
        <v>10</v>
      </c>
      <c r="FY13">
        <f>SUMIFS(DataRegularSeason20242025!$AA$3:$AA$1315,DataRegularSeason20242025!$B$3:$B$1315, "&lt;=" &amp; FY$1, DataRegularSeason20242025!$D$3:$D$1315, $A13)+SUMIFS(DataRegularSeason20242025!$AB$3:$AB$1315,DataRegularSeason20242025!$B$3:$B$1315, "&lt;=" &amp; FY$1, DataRegularSeason20242025!$E$3:$E$1315, $A13)</f>
        <v>10</v>
      </c>
      <c r="FZ13">
        <f>SUMIFS(DataRegularSeason20242025!$AA$3:$AA$1315,DataRegularSeason20242025!$B$3:$B$1315, "&lt;=" &amp; FZ$1, DataRegularSeason20242025!$D$3:$D$1315, $A13)+SUMIFS(DataRegularSeason20242025!$AB$3:$AB$1315,DataRegularSeason20242025!$B$3:$B$1315, "&lt;=" &amp; FZ$1, DataRegularSeason20242025!$E$3:$E$1315, $A13)</f>
        <v>10</v>
      </c>
      <c r="GA13">
        <f>SUMIFS(DataRegularSeason20242025!$AA$3:$AA$1315,DataRegularSeason20242025!$B$3:$B$1315, "&lt;=" &amp; GA$1, DataRegularSeason20242025!$D$3:$D$1315, $A13)+SUMIFS(DataRegularSeason20242025!$AB$3:$AB$1315,DataRegularSeason20242025!$B$3:$B$1315, "&lt;=" &amp; GA$1, DataRegularSeason20242025!$E$3:$E$1315, $A13)</f>
        <v>10</v>
      </c>
      <c r="GB13">
        <f>SUMIFS(DataRegularSeason20242025!$AA$3:$AA$1315,DataRegularSeason20242025!$B$3:$B$1315, "&lt;=" &amp; GB$1, DataRegularSeason20242025!$D$3:$D$1315, $A13)+SUMIFS(DataRegularSeason20242025!$AB$3:$AB$1315,DataRegularSeason20242025!$B$3:$B$1315, "&lt;=" &amp; GB$1, DataRegularSeason20242025!$E$3:$E$1315, $A13)</f>
        <v>10</v>
      </c>
      <c r="GC13">
        <f>SUMIFS(DataRegularSeason20242025!$AA$3:$AA$1315,DataRegularSeason20242025!$B$3:$B$1315, "&lt;=" &amp; GC$1, DataRegularSeason20242025!$D$3:$D$1315, $A13)+SUMIFS(DataRegularSeason20242025!$AB$3:$AB$1315,DataRegularSeason20242025!$B$3:$B$1315, "&lt;=" &amp; GC$1, DataRegularSeason20242025!$E$3:$E$1315, $A13)</f>
        <v>10</v>
      </c>
      <c r="GD13">
        <f>SUMIFS(DataRegularSeason20242025!$AA$3:$AA$1315,DataRegularSeason20242025!$B$3:$B$1315, "&lt;=" &amp; GD$1, DataRegularSeason20242025!$D$3:$D$1315, $A13)+SUMIFS(DataRegularSeason20242025!$AB$3:$AB$1315,DataRegularSeason20242025!$B$3:$B$1315, "&lt;=" &amp; GD$1, DataRegularSeason20242025!$E$3:$E$1315, $A13)</f>
        <v>10</v>
      </c>
      <c r="GE13">
        <f>SUMIFS(DataRegularSeason20242025!$AA$3:$AA$1315,DataRegularSeason20242025!$B$3:$B$1315, "&lt;=" &amp; GE$1, DataRegularSeason20242025!$D$3:$D$1315, $A13)+SUMIFS(DataRegularSeason20242025!$AB$3:$AB$1315,DataRegularSeason20242025!$B$3:$B$1315, "&lt;=" &amp; GE$1, DataRegularSeason20242025!$E$3:$E$1315, $A13)</f>
        <v>10</v>
      </c>
      <c r="GF13">
        <f>SUMIFS(DataRegularSeason20242025!$AA$3:$AA$1315,DataRegularSeason20242025!$B$3:$B$1315, "&lt;=" &amp; GF$1, DataRegularSeason20242025!$D$3:$D$1315, $A13)+SUMIFS(DataRegularSeason20242025!$AB$3:$AB$1315,DataRegularSeason20242025!$B$3:$B$1315, "&lt;=" &amp; GF$1, DataRegularSeason20242025!$E$3:$E$1315, $A13)</f>
        <v>10</v>
      </c>
      <c r="GG13">
        <f>SUMIFS(DataRegularSeason20242025!$AA$3:$AA$1315,DataRegularSeason20242025!$B$3:$B$1315, "&lt;=" &amp; GG$1, DataRegularSeason20242025!$D$3:$D$1315, $A13)+SUMIFS(DataRegularSeason20242025!$AB$3:$AB$1315,DataRegularSeason20242025!$B$3:$B$1315, "&lt;=" &amp; GG$1, DataRegularSeason20242025!$E$3:$E$1315, $A13)</f>
        <v>10</v>
      </c>
      <c r="GH13">
        <f>SUMIFS(DataRegularSeason20242025!$AA$3:$AA$1315,DataRegularSeason20242025!$B$3:$B$1315, "&lt;=" &amp; GH$1, DataRegularSeason20242025!$D$3:$D$1315, $A13)+SUMIFS(DataRegularSeason20242025!$AB$3:$AB$1315,DataRegularSeason20242025!$B$3:$B$1315, "&lt;=" &amp; GH$1, DataRegularSeason20242025!$E$3:$E$1315, $A13)</f>
        <v>10</v>
      </c>
      <c r="GI13">
        <f>SUMIFS(DataRegularSeason20242025!$AA$3:$AA$1315,DataRegularSeason20242025!$B$3:$B$1315, "&lt;=" &amp; GI$1, DataRegularSeason20242025!$D$3:$D$1315, $A13)+SUMIFS(DataRegularSeason20242025!$AB$3:$AB$1315,DataRegularSeason20242025!$B$3:$B$1315, "&lt;=" &amp; GI$1, DataRegularSeason20242025!$E$3:$E$1315, $A13)</f>
        <v>10</v>
      </c>
      <c r="GJ13">
        <f>SUMIFS(DataRegularSeason20242025!$AA$3:$AA$1315,DataRegularSeason20242025!$B$3:$B$1315, "&lt;=" &amp; GJ$1, DataRegularSeason20242025!$D$3:$D$1315, $A13)+SUMIFS(DataRegularSeason20242025!$AB$3:$AB$1315,DataRegularSeason20242025!$B$3:$B$1315, "&lt;=" &amp; GJ$1, DataRegularSeason20242025!$E$3:$E$1315, $A13)</f>
        <v>10</v>
      </c>
      <c r="GK13">
        <f>SUMIFS(DataRegularSeason20242025!$AA$3:$AA$1315,DataRegularSeason20242025!$B$3:$B$1315, "&lt;=" &amp; GK$1, DataRegularSeason20242025!$D$3:$D$1315, $A13)+SUMIFS(DataRegularSeason20242025!$AB$3:$AB$1315,DataRegularSeason20242025!$B$3:$B$1315, "&lt;=" &amp; GK$1, DataRegularSeason20242025!$E$3:$E$1315, $A13)</f>
        <v>10</v>
      </c>
      <c r="GL13">
        <f>SUMIFS(DataRegularSeason20242025!$AA$3:$AA$1315,DataRegularSeason20242025!$B$3:$B$1315, "&lt;=" &amp; GL$1, DataRegularSeason20242025!$D$3:$D$1315, $A13)+SUMIFS(DataRegularSeason20242025!$AB$3:$AB$1315,DataRegularSeason20242025!$B$3:$B$1315, "&lt;=" &amp; GL$1, DataRegularSeason20242025!$E$3:$E$1315, $A13)</f>
        <v>10</v>
      </c>
      <c r="GM13">
        <f>SUMIFS(DataRegularSeason20242025!$AA$3:$AA$1315,DataRegularSeason20242025!$B$3:$B$1315, "&lt;=" &amp; GM$1, DataRegularSeason20242025!$D$3:$D$1315, $A13)+SUMIFS(DataRegularSeason20242025!$AB$3:$AB$1315,DataRegularSeason20242025!$B$3:$B$1315, "&lt;=" &amp; GM$1, DataRegularSeason20242025!$E$3:$E$1315, $A13)</f>
        <v>10</v>
      </c>
      <c r="GN13">
        <f>SUMIFS(DataRegularSeason20242025!$AA$3:$AA$1315,DataRegularSeason20242025!$B$3:$B$1315, "&lt;=" &amp; GN$1, DataRegularSeason20242025!$D$3:$D$1315, $A13)+SUMIFS(DataRegularSeason20242025!$AB$3:$AB$1315,DataRegularSeason20242025!$B$3:$B$1315, "&lt;=" &amp; GN$1, DataRegularSeason20242025!$E$3:$E$1315, $A13)</f>
        <v>10</v>
      </c>
      <c r="GO13">
        <f>SUMIFS(DataRegularSeason20242025!$AA$3:$AA$1315,DataRegularSeason20242025!$B$3:$B$1315, "&lt;=" &amp; GO$1, DataRegularSeason20242025!$D$3:$D$1315, $A13)+SUMIFS(DataRegularSeason20242025!$AB$3:$AB$1315,DataRegularSeason20242025!$B$3:$B$1315, "&lt;=" &amp; GO$1, DataRegularSeason20242025!$E$3:$E$1315, $A13)</f>
        <v>10</v>
      </c>
      <c r="GP13">
        <f>SUMIFS(DataRegularSeason20242025!$AA$3:$AA$1315,DataRegularSeason20242025!$B$3:$B$1315, "&lt;=" &amp; GP$1, DataRegularSeason20242025!$D$3:$D$1315, $A13)+SUMIFS(DataRegularSeason20242025!$AB$3:$AB$1315,DataRegularSeason20242025!$B$3:$B$1315, "&lt;=" &amp; GP$1, DataRegularSeason20242025!$E$3:$E$1315, $A13)</f>
        <v>10</v>
      </c>
      <c r="GQ13">
        <f>SUMIFS(DataRegularSeason20242025!$AA$3:$AA$1315,DataRegularSeason20242025!$B$3:$B$1315, "&lt;=" &amp; GQ$1, DataRegularSeason20242025!$D$3:$D$1315, $A13)+SUMIFS(DataRegularSeason20242025!$AB$3:$AB$1315,DataRegularSeason20242025!$B$3:$B$1315, "&lt;=" &amp; GQ$1, DataRegularSeason20242025!$E$3:$E$1315, $A13)</f>
        <v>10</v>
      </c>
      <c r="GR13">
        <f>SUMIFS(DataRegularSeason20242025!$AA$3:$AA$1315,DataRegularSeason20242025!$B$3:$B$1315, "&lt;=" &amp; GR$1, DataRegularSeason20242025!$D$3:$D$1315, $A13)+SUMIFS(DataRegularSeason20242025!$AB$3:$AB$1315,DataRegularSeason20242025!$B$3:$B$1315, "&lt;=" &amp; GR$1, DataRegularSeason20242025!$E$3:$E$1315, $A13)</f>
        <v>10</v>
      </c>
      <c r="GS13">
        <f>SUMIFS(DataRegularSeason20242025!$AA$3:$AA$1315,DataRegularSeason20242025!$B$3:$B$1315, "&lt;=" &amp; GS$1, DataRegularSeason20242025!$D$3:$D$1315, $A13)+SUMIFS(DataRegularSeason20242025!$AB$3:$AB$1315,DataRegularSeason20242025!$B$3:$B$1315, "&lt;=" &amp; GS$1, DataRegularSeason20242025!$E$3:$E$1315, $A13)</f>
        <v>10</v>
      </c>
      <c r="GT13">
        <f>SUMIFS(DataRegularSeason20242025!$AA$3:$AA$1315,DataRegularSeason20242025!$B$3:$B$1315, "&lt;=" &amp; GT$1, DataRegularSeason20242025!$D$3:$D$1315, $A13)+SUMIFS(DataRegularSeason20242025!$AB$3:$AB$1315,DataRegularSeason20242025!$B$3:$B$1315, "&lt;=" &amp; GT$1, DataRegularSeason20242025!$E$3:$E$1315, $A13)</f>
        <v>10</v>
      </c>
      <c r="GU13">
        <f>SUMIFS(DataRegularSeason20242025!$AA$3:$AA$1315,DataRegularSeason20242025!$B$3:$B$1315, "&lt;=" &amp; GU$1, DataRegularSeason20242025!$D$3:$D$1315, $A13)+SUMIFS(DataRegularSeason20242025!$AB$3:$AB$1315,DataRegularSeason20242025!$B$3:$B$1315, "&lt;=" &amp; GU$1, DataRegularSeason20242025!$E$3:$E$1315, $A13)</f>
        <v>10</v>
      </c>
    </row>
    <row r="14" spans="1:275" x14ac:dyDescent="0.25">
      <c r="A14" t="s">
        <v>19</v>
      </c>
      <c r="B14" t="s">
        <v>91</v>
      </c>
      <c r="C14" s="106" t="s">
        <v>92</v>
      </c>
      <c r="D14">
        <f>SUMIFS(DataRegularSeason20242025!$AA$3:$AA$1315,DataRegularSeason20242025!$B$3:$B$1315, "&lt;=" &amp; D$1, DataRegularSeason20242025!$D$3:$D$1315, $A14)+SUMIFS(DataRegularSeason20242025!$AB$3:$AB$1315,DataRegularSeason20242025!$B$3:$B$1315, "&lt;=" &amp; D$1, DataRegularSeason20242025!$E$3:$E$1315, $A14)</f>
        <v>0</v>
      </c>
      <c r="E14">
        <f>SUMIFS(DataRegularSeason20242025!$AA$3:$AA$1315,DataRegularSeason20242025!$B$3:$B$1315, "&lt;=" &amp; E$1, DataRegularSeason20242025!$D$3:$D$1315, $A14)+SUMIFS(DataRegularSeason20242025!$AB$3:$AB$1315,DataRegularSeason20242025!$B$3:$B$1315, "&lt;=" &amp; E$1, DataRegularSeason20242025!$E$3:$E$1315, $A14)</f>
        <v>0</v>
      </c>
      <c r="F14">
        <f>SUMIFS(DataRegularSeason20242025!$AA$3:$AA$1315,DataRegularSeason20242025!$B$3:$B$1315, "&lt;=" &amp; F$1, DataRegularSeason20242025!$D$3:$D$1315, $A14)+SUMIFS(DataRegularSeason20242025!$AB$3:$AB$1315,DataRegularSeason20242025!$B$3:$B$1315, "&lt;=" &amp; F$1, DataRegularSeason20242025!$E$3:$E$1315, $A14)</f>
        <v>0</v>
      </c>
      <c r="G14">
        <f>SUMIFS(DataRegularSeason20242025!$AA$3:$AA$1315,DataRegularSeason20242025!$B$3:$B$1315, "&lt;=" &amp; G$1, DataRegularSeason20242025!$D$3:$D$1315, $A14)+SUMIFS(DataRegularSeason20242025!$AB$3:$AB$1315,DataRegularSeason20242025!$B$3:$B$1315, "&lt;=" &amp; G$1, DataRegularSeason20242025!$E$3:$E$1315, $A14)</f>
        <v>0</v>
      </c>
      <c r="H14">
        <f>SUMIFS(DataRegularSeason20242025!$AA$3:$AA$1315,DataRegularSeason20242025!$B$3:$B$1315, "&lt;=" &amp; H$1, DataRegularSeason20242025!$D$3:$D$1315, $A14)+SUMIFS(DataRegularSeason20242025!$AB$3:$AB$1315,DataRegularSeason20242025!$B$3:$B$1315, "&lt;=" &amp; H$1, DataRegularSeason20242025!$E$3:$E$1315, $A14)</f>
        <v>0</v>
      </c>
      <c r="I14">
        <f>SUMIFS(DataRegularSeason20242025!$AA$3:$AA$1315,DataRegularSeason20242025!$B$3:$B$1315, "&lt;=" &amp; I$1, DataRegularSeason20242025!$D$3:$D$1315, $A14)+SUMIFS(DataRegularSeason20242025!$AB$3:$AB$1315,DataRegularSeason20242025!$B$3:$B$1315, "&lt;=" &amp; I$1, DataRegularSeason20242025!$E$3:$E$1315, $A14)</f>
        <v>0</v>
      </c>
      <c r="J14">
        <f>SUMIFS(DataRegularSeason20242025!$AA$3:$AA$1315,DataRegularSeason20242025!$B$3:$B$1315, "&lt;=" &amp; J$1, DataRegularSeason20242025!$D$3:$D$1315, $A14)+SUMIFS(DataRegularSeason20242025!$AB$3:$AB$1315,DataRegularSeason20242025!$B$3:$B$1315, "&lt;=" &amp; J$1, DataRegularSeason20242025!$E$3:$E$1315, $A14)</f>
        <v>2</v>
      </c>
      <c r="K14">
        <f>SUMIFS(DataRegularSeason20242025!$AA$3:$AA$1315,DataRegularSeason20242025!$B$3:$B$1315, "&lt;=" &amp; K$1, DataRegularSeason20242025!$D$3:$D$1315, $A14)+SUMIFS(DataRegularSeason20242025!$AB$3:$AB$1315,DataRegularSeason20242025!$B$3:$B$1315, "&lt;=" &amp; K$1, DataRegularSeason20242025!$E$3:$E$1315, $A14)</f>
        <v>2</v>
      </c>
      <c r="L14">
        <f>SUMIFS(DataRegularSeason20242025!$AA$3:$AA$1315,DataRegularSeason20242025!$B$3:$B$1315, "&lt;=" &amp; L$1, DataRegularSeason20242025!$D$3:$D$1315, $A14)+SUMIFS(DataRegularSeason20242025!$AB$3:$AB$1315,DataRegularSeason20242025!$B$3:$B$1315, "&lt;=" &amp; L$1, DataRegularSeason20242025!$E$3:$E$1315, $A14)</f>
        <v>4</v>
      </c>
      <c r="M14">
        <f>SUMIFS(DataRegularSeason20242025!$AA$3:$AA$1315,DataRegularSeason20242025!$B$3:$B$1315, "&lt;=" &amp; M$1, DataRegularSeason20242025!$D$3:$D$1315, $A14)+SUMIFS(DataRegularSeason20242025!$AB$3:$AB$1315,DataRegularSeason20242025!$B$3:$B$1315, "&lt;=" &amp; M$1, DataRegularSeason20242025!$E$3:$E$1315, $A14)</f>
        <v>4</v>
      </c>
      <c r="N14">
        <f>SUMIFS(DataRegularSeason20242025!$AA$3:$AA$1315,DataRegularSeason20242025!$B$3:$B$1315, "&lt;=" &amp; N$1, DataRegularSeason20242025!$D$3:$D$1315, $A14)+SUMIFS(DataRegularSeason20242025!$AB$3:$AB$1315,DataRegularSeason20242025!$B$3:$B$1315, "&lt;=" &amp; N$1, DataRegularSeason20242025!$E$3:$E$1315, $A14)</f>
        <v>4</v>
      </c>
      <c r="O14">
        <f>SUMIFS(DataRegularSeason20242025!$AA$3:$AA$1315,DataRegularSeason20242025!$B$3:$B$1315, "&lt;=" &amp; O$1, DataRegularSeason20242025!$D$3:$D$1315, $A14)+SUMIFS(DataRegularSeason20242025!$AB$3:$AB$1315,DataRegularSeason20242025!$B$3:$B$1315, "&lt;=" &amp; O$1, DataRegularSeason20242025!$E$3:$E$1315, $A14)</f>
        <v>4</v>
      </c>
      <c r="P14">
        <f>SUMIFS(DataRegularSeason20242025!$AA$3:$AA$1315,DataRegularSeason20242025!$B$3:$B$1315, "&lt;=" &amp; P$1, DataRegularSeason20242025!$D$3:$D$1315, $A14)+SUMIFS(DataRegularSeason20242025!$AB$3:$AB$1315,DataRegularSeason20242025!$B$3:$B$1315, "&lt;=" &amp; P$1, DataRegularSeason20242025!$E$3:$E$1315, $A14)</f>
        <v>4</v>
      </c>
      <c r="Q14">
        <f>SUMIFS(DataRegularSeason20242025!$AA$3:$AA$1315,DataRegularSeason20242025!$B$3:$B$1315, "&lt;=" &amp; Q$1, DataRegularSeason20242025!$D$3:$D$1315, $A14)+SUMIFS(DataRegularSeason20242025!$AB$3:$AB$1315,DataRegularSeason20242025!$B$3:$B$1315, "&lt;=" &amp; Q$1, DataRegularSeason20242025!$E$3:$E$1315, $A14)</f>
        <v>5</v>
      </c>
      <c r="R14">
        <f>SUMIFS(DataRegularSeason20242025!$AA$3:$AA$1315,DataRegularSeason20242025!$B$3:$B$1315, "&lt;=" &amp; R$1, DataRegularSeason20242025!$D$3:$D$1315, $A14)+SUMIFS(DataRegularSeason20242025!$AB$3:$AB$1315,DataRegularSeason20242025!$B$3:$B$1315, "&lt;=" &amp; R$1, DataRegularSeason20242025!$E$3:$E$1315, $A14)</f>
        <v>5</v>
      </c>
      <c r="S14">
        <f>SUMIFS(DataRegularSeason20242025!$AA$3:$AA$1315,DataRegularSeason20242025!$B$3:$B$1315, "&lt;=" &amp; S$1, DataRegularSeason20242025!$D$3:$D$1315, $A14)+SUMIFS(DataRegularSeason20242025!$AB$3:$AB$1315,DataRegularSeason20242025!$B$3:$B$1315, "&lt;=" &amp; S$1, DataRegularSeason20242025!$E$3:$E$1315, $A14)</f>
        <v>7</v>
      </c>
      <c r="T14">
        <f>SUMIFS(DataRegularSeason20242025!$AA$3:$AA$1315,DataRegularSeason20242025!$B$3:$B$1315, "&lt;=" &amp; T$1, DataRegularSeason20242025!$D$3:$D$1315, $A14)+SUMIFS(DataRegularSeason20242025!$AB$3:$AB$1315,DataRegularSeason20242025!$B$3:$B$1315, "&lt;=" &amp; T$1, DataRegularSeason20242025!$E$3:$E$1315, $A14)</f>
        <v>7</v>
      </c>
      <c r="U14">
        <f>SUMIFS(DataRegularSeason20242025!$AA$3:$AA$1315,DataRegularSeason20242025!$B$3:$B$1315, "&lt;=" &amp; U$1, DataRegularSeason20242025!$D$3:$D$1315, $A14)+SUMIFS(DataRegularSeason20242025!$AB$3:$AB$1315,DataRegularSeason20242025!$B$3:$B$1315, "&lt;=" &amp; U$1, DataRegularSeason20242025!$E$3:$E$1315, $A14)</f>
        <v>7</v>
      </c>
      <c r="V14">
        <f>SUMIFS(DataRegularSeason20242025!$AA$3:$AA$1315,DataRegularSeason20242025!$B$3:$B$1315, "&lt;=" &amp; V$1, DataRegularSeason20242025!$D$3:$D$1315, $A14)+SUMIFS(DataRegularSeason20242025!$AB$3:$AB$1315,DataRegularSeason20242025!$B$3:$B$1315, "&lt;=" &amp; V$1, DataRegularSeason20242025!$E$3:$E$1315, $A14)</f>
        <v>7</v>
      </c>
      <c r="W14">
        <f>SUMIFS(DataRegularSeason20242025!$AA$3:$AA$1315,DataRegularSeason20242025!$B$3:$B$1315, "&lt;=" &amp; W$1, DataRegularSeason20242025!$D$3:$D$1315, $A14)+SUMIFS(DataRegularSeason20242025!$AB$3:$AB$1315,DataRegularSeason20242025!$B$3:$B$1315, "&lt;=" &amp; W$1, DataRegularSeason20242025!$E$3:$E$1315, $A14)</f>
        <v>7</v>
      </c>
      <c r="X14">
        <f>SUMIFS(DataRegularSeason20242025!$AA$3:$AA$1315,DataRegularSeason20242025!$B$3:$B$1315, "&lt;=" &amp; X$1, DataRegularSeason20242025!$D$3:$D$1315, $A14)+SUMIFS(DataRegularSeason20242025!$AB$3:$AB$1315,DataRegularSeason20242025!$B$3:$B$1315, "&lt;=" &amp; X$1, DataRegularSeason20242025!$E$3:$E$1315, $A14)</f>
        <v>7</v>
      </c>
      <c r="Y14">
        <f>SUMIFS(DataRegularSeason20242025!$AA$3:$AA$1315,DataRegularSeason20242025!$B$3:$B$1315, "&lt;=" &amp; Y$1, DataRegularSeason20242025!$D$3:$D$1315, $A14)+SUMIFS(DataRegularSeason20242025!$AB$3:$AB$1315,DataRegularSeason20242025!$B$3:$B$1315, "&lt;=" &amp; Y$1, DataRegularSeason20242025!$E$3:$E$1315, $A14)</f>
        <v>7</v>
      </c>
      <c r="Z14">
        <f>SUMIFS(DataRegularSeason20242025!$AA$3:$AA$1315,DataRegularSeason20242025!$B$3:$B$1315, "&lt;=" &amp; Z$1, DataRegularSeason20242025!$D$3:$D$1315, $A14)+SUMIFS(DataRegularSeason20242025!$AB$3:$AB$1315,DataRegularSeason20242025!$B$3:$B$1315, "&lt;=" &amp; Z$1, DataRegularSeason20242025!$E$3:$E$1315, $A14)</f>
        <v>7</v>
      </c>
      <c r="AA14">
        <f>SUMIFS(DataRegularSeason20242025!$AA$3:$AA$1315,DataRegularSeason20242025!$B$3:$B$1315, "&lt;=" &amp; AA$1, DataRegularSeason20242025!$D$3:$D$1315, $A14)+SUMIFS(DataRegularSeason20242025!$AB$3:$AB$1315,DataRegularSeason20242025!$B$3:$B$1315, "&lt;=" &amp; AA$1, DataRegularSeason20242025!$E$3:$E$1315, $A14)</f>
        <v>7</v>
      </c>
      <c r="AB14">
        <f>SUMIFS(DataRegularSeason20242025!$AA$3:$AA$1315,DataRegularSeason20242025!$B$3:$B$1315, "&lt;=" &amp; AB$1, DataRegularSeason20242025!$D$3:$D$1315, $A14)+SUMIFS(DataRegularSeason20242025!$AB$3:$AB$1315,DataRegularSeason20242025!$B$3:$B$1315, "&lt;=" &amp; AB$1, DataRegularSeason20242025!$E$3:$E$1315, $A14)</f>
        <v>7</v>
      </c>
      <c r="AC14">
        <f>SUMIFS(DataRegularSeason20242025!$AA$3:$AA$1315,DataRegularSeason20242025!$B$3:$B$1315, "&lt;=" &amp; AC$1, DataRegularSeason20242025!$D$3:$D$1315, $A14)+SUMIFS(DataRegularSeason20242025!$AB$3:$AB$1315,DataRegularSeason20242025!$B$3:$B$1315, "&lt;=" &amp; AC$1, DataRegularSeason20242025!$E$3:$E$1315, $A14)</f>
        <v>7</v>
      </c>
      <c r="AD14">
        <f>SUMIFS(DataRegularSeason20242025!$AA$3:$AA$1315,DataRegularSeason20242025!$B$3:$B$1315, "&lt;=" &amp; AD$1, DataRegularSeason20242025!$D$3:$D$1315, $A14)+SUMIFS(DataRegularSeason20242025!$AB$3:$AB$1315,DataRegularSeason20242025!$B$3:$B$1315, "&lt;=" &amp; AD$1, DataRegularSeason20242025!$E$3:$E$1315, $A14)</f>
        <v>7</v>
      </c>
      <c r="AE14">
        <f>SUMIFS(DataRegularSeason20242025!$AA$3:$AA$1315,DataRegularSeason20242025!$B$3:$B$1315, "&lt;=" &amp; AE$1, DataRegularSeason20242025!$D$3:$D$1315, $A14)+SUMIFS(DataRegularSeason20242025!$AB$3:$AB$1315,DataRegularSeason20242025!$B$3:$B$1315, "&lt;=" &amp; AE$1, DataRegularSeason20242025!$E$3:$E$1315, $A14)</f>
        <v>7</v>
      </c>
      <c r="AF14">
        <f>SUMIFS(DataRegularSeason20242025!$AA$3:$AA$1315,DataRegularSeason20242025!$B$3:$B$1315, "&lt;=" &amp; AF$1, DataRegularSeason20242025!$D$3:$D$1315, $A14)+SUMIFS(DataRegularSeason20242025!$AB$3:$AB$1315,DataRegularSeason20242025!$B$3:$B$1315, "&lt;=" &amp; AF$1, DataRegularSeason20242025!$E$3:$E$1315, $A14)</f>
        <v>7</v>
      </c>
      <c r="AG14">
        <f>SUMIFS(DataRegularSeason20242025!$AA$3:$AA$1315,DataRegularSeason20242025!$B$3:$B$1315, "&lt;=" &amp; AG$1, DataRegularSeason20242025!$D$3:$D$1315, $A14)+SUMIFS(DataRegularSeason20242025!$AB$3:$AB$1315,DataRegularSeason20242025!$B$3:$B$1315, "&lt;=" &amp; AG$1, DataRegularSeason20242025!$E$3:$E$1315, $A14)</f>
        <v>7</v>
      </c>
      <c r="AH14">
        <f>SUMIFS(DataRegularSeason20242025!$AA$3:$AA$1315,DataRegularSeason20242025!$B$3:$B$1315, "&lt;=" &amp; AH$1, DataRegularSeason20242025!$D$3:$D$1315, $A14)+SUMIFS(DataRegularSeason20242025!$AB$3:$AB$1315,DataRegularSeason20242025!$B$3:$B$1315, "&lt;=" &amp; AH$1, DataRegularSeason20242025!$E$3:$E$1315, $A14)</f>
        <v>7</v>
      </c>
      <c r="AI14">
        <f>SUMIFS(DataRegularSeason20242025!$AA$3:$AA$1315,DataRegularSeason20242025!$B$3:$B$1315, "&lt;=" &amp; AI$1, DataRegularSeason20242025!$D$3:$D$1315, $A14)+SUMIFS(DataRegularSeason20242025!$AB$3:$AB$1315,DataRegularSeason20242025!$B$3:$B$1315, "&lt;=" &amp; AI$1, DataRegularSeason20242025!$E$3:$E$1315, $A14)</f>
        <v>7</v>
      </c>
      <c r="AJ14">
        <f>SUMIFS(DataRegularSeason20242025!$AA$3:$AA$1315,DataRegularSeason20242025!$B$3:$B$1315, "&lt;=" &amp; AJ$1, DataRegularSeason20242025!$D$3:$D$1315, $A14)+SUMIFS(DataRegularSeason20242025!$AB$3:$AB$1315,DataRegularSeason20242025!$B$3:$B$1315, "&lt;=" &amp; AJ$1, DataRegularSeason20242025!$E$3:$E$1315, $A14)</f>
        <v>7</v>
      </c>
      <c r="AK14">
        <f>SUMIFS(DataRegularSeason20242025!$AA$3:$AA$1315,DataRegularSeason20242025!$B$3:$B$1315, "&lt;=" &amp; AK$1, DataRegularSeason20242025!$D$3:$D$1315, $A14)+SUMIFS(DataRegularSeason20242025!$AB$3:$AB$1315,DataRegularSeason20242025!$B$3:$B$1315, "&lt;=" &amp; AK$1, DataRegularSeason20242025!$E$3:$E$1315, $A14)</f>
        <v>7</v>
      </c>
      <c r="AL14">
        <f>SUMIFS(DataRegularSeason20242025!$AA$3:$AA$1315,DataRegularSeason20242025!$B$3:$B$1315, "&lt;=" &amp; AL$1, DataRegularSeason20242025!$D$3:$D$1315, $A14)+SUMIFS(DataRegularSeason20242025!$AB$3:$AB$1315,DataRegularSeason20242025!$B$3:$B$1315, "&lt;=" &amp; AL$1, DataRegularSeason20242025!$E$3:$E$1315, $A14)</f>
        <v>7</v>
      </c>
      <c r="AM14">
        <f>SUMIFS(DataRegularSeason20242025!$AA$3:$AA$1315,DataRegularSeason20242025!$B$3:$B$1315, "&lt;=" &amp; AM$1, DataRegularSeason20242025!$D$3:$D$1315, $A14)+SUMIFS(DataRegularSeason20242025!$AB$3:$AB$1315,DataRegularSeason20242025!$B$3:$B$1315, "&lt;=" &amp; AM$1, DataRegularSeason20242025!$E$3:$E$1315, $A14)</f>
        <v>7</v>
      </c>
      <c r="AN14">
        <f>SUMIFS(DataRegularSeason20242025!$AA$3:$AA$1315,DataRegularSeason20242025!$B$3:$B$1315, "&lt;=" &amp; AN$1, DataRegularSeason20242025!$D$3:$D$1315, $A14)+SUMIFS(DataRegularSeason20242025!$AB$3:$AB$1315,DataRegularSeason20242025!$B$3:$B$1315, "&lt;=" &amp; AN$1, DataRegularSeason20242025!$E$3:$E$1315, $A14)</f>
        <v>7</v>
      </c>
      <c r="AO14">
        <f>SUMIFS(DataRegularSeason20242025!$AA$3:$AA$1315,DataRegularSeason20242025!$B$3:$B$1315, "&lt;=" &amp; AO$1, DataRegularSeason20242025!$D$3:$D$1315, $A14)+SUMIFS(DataRegularSeason20242025!$AB$3:$AB$1315,DataRegularSeason20242025!$B$3:$B$1315, "&lt;=" &amp; AO$1, DataRegularSeason20242025!$E$3:$E$1315, $A14)</f>
        <v>7</v>
      </c>
      <c r="AP14">
        <f>SUMIFS(DataRegularSeason20242025!$AA$3:$AA$1315,DataRegularSeason20242025!$B$3:$B$1315, "&lt;=" &amp; AP$1, DataRegularSeason20242025!$D$3:$D$1315, $A14)+SUMIFS(DataRegularSeason20242025!$AB$3:$AB$1315,DataRegularSeason20242025!$B$3:$B$1315, "&lt;=" &amp; AP$1, DataRegularSeason20242025!$E$3:$E$1315, $A14)</f>
        <v>7</v>
      </c>
      <c r="AQ14">
        <f>SUMIFS(DataRegularSeason20242025!$AA$3:$AA$1315,DataRegularSeason20242025!$B$3:$B$1315, "&lt;=" &amp; AQ$1, DataRegularSeason20242025!$D$3:$D$1315, $A14)+SUMIFS(DataRegularSeason20242025!$AB$3:$AB$1315,DataRegularSeason20242025!$B$3:$B$1315, "&lt;=" &amp; AQ$1, DataRegularSeason20242025!$E$3:$E$1315, $A14)</f>
        <v>7</v>
      </c>
      <c r="AR14">
        <f>SUMIFS(DataRegularSeason20242025!$AA$3:$AA$1315,DataRegularSeason20242025!$B$3:$B$1315, "&lt;=" &amp; AR$1, DataRegularSeason20242025!$D$3:$D$1315, $A14)+SUMIFS(DataRegularSeason20242025!$AB$3:$AB$1315,DataRegularSeason20242025!$B$3:$B$1315, "&lt;=" &amp; AR$1, DataRegularSeason20242025!$E$3:$E$1315, $A14)</f>
        <v>7</v>
      </c>
      <c r="AS14">
        <f>SUMIFS(DataRegularSeason20242025!$AA$3:$AA$1315,DataRegularSeason20242025!$B$3:$B$1315, "&lt;=" &amp; AS$1, DataRegularSeason20242025!$D$3:$D$1315, $A14)+SUMIFS(DataRegularSeason20242025!$AB$3:$AB$1315,DataRegularSeason20242025!$B$3:$B$1315, "&lt;=" &amp; AS$1, DataRegularSeason20242025!$E$3:$E$1315, $A14)</f>
        <v>7</v>
      </c>
      <c r="AT14">
        <f>SUMIFS(DataRegularSeason20242025!$AA$3:$AA$1315,DataRegularSeason20242025!$B$3:$B$1315, "&lt;=" &amp; AT$1, DataRegularSeason20242025!$D$3:$D$1315, $A14)+SUMIFS(DataRegularSeason20242025!$AB$3:$AB$1315,DataRegularSeason20242025!$B$3:$B$1315, "&lt;=" &amp; AT$1, DataRegularSeason20242025!$E$3:$E$1315, $A14)</f>
        <v>7</v>
      </c>
      <c r="AU14">
        <f>SUMIFS(DataRegularSeason20242025!$AA$3:$AA$1315,DataRegularSeason20242025!$B$3:$B$1315, "&lt;=" &amp; AU$1, DataRegularSeason20242025!$D$3:$D$1315, $A14)+SUMIFS(DataRegularSeason20242025!$AB$3:$AB$1315,DataRegularSeason20242025!$B$3:$B$1315, "&lt;=" &amp; AU$1, DataRegularSeason20242025!$E$3:$E$1315, $A14)</f>
        <v>7</v>
      </c>
      <c r="AV14">
        <f>SUMIFS(DataRegularSeason20242025!$AA$3:$AA$1315,DataRegularSeason20242025!$B$3:$B$1315, "&lt;=" &amp; AV$1, DataRegularSeason20242025!$D$3:$D$1315, $A14)+SUMIFS(DataRegularSeason20242025!$AB$3:$AB$1315,DataRegularSeason20242025!$B$3:$B$1315, "&lt;=" &amp; AV$1, DataRegularSeason20242025!$E$3:$E$1315, $A14)</f>
        <v>7</v>
      </c>
      <c r="AW14">
        <f>SUMIFS(DataRegularSeason20242025!$AA$3:$AA$1315,DataRegularSeason20242025!$B$3:$B$1315, "&lt;=" &amp; AW$1, DataRegularSeason20242025!$D$3:$D$1315, $A14)+SUMIFS(DataRegularSeason20242025!$AB$3:$AB$1315,DataRegularSeason20242025!$B$3:$B$1315, "&lt;=" &amp; AW$1, DataRegularSeason20242025!$E$3:$E$1315, $A14)</f>
        <v>7</v>
      </c>
      <c r="AX14">
        <f>SUMIFS(DataRegularSeason20242025!$AA$3:$AA$1315,DataRegularSeason20242025!$B$3:$B$1315, "&lt;=" &amp; AX$1, DataRegularSeason20242025!$D$3:$D$1315, $A14)+SUMIFS(DataRegularSeason20242025!$AB$3:$AB$1315,DataRegularSeason20242025!$B$3:$B$1315, "&lt;=" &amp; AX$1, DataRegularSeason20242025!$E$3:$E$1315, $A14)</f>
        <v>7</v>
      </c>
      <c r="AY14">
        <f>SUMIFS(DataRegularSeason20242025!$AA$3:$AA$1315,DataRegularSeason20242025!$B$3:$B$1315, "&lt;=" &amp; AY$1, DataRegularSeason20242025!$D$3:$D$1315, $A14)+SUMIFS(DataRegularSeason20242025!$AB$3:$AB$1315,DataRegularSeason20242025!$B$3:$B$1315, "&lt;=" &amp; AY$1, DataRegularSeason20242025!$E$3:$E$1315, $A14)</f>
        <v>7</v>
      </c>
      <c r="AZ14">
        <f>SUMIFS(DataRegularSeason20242025!$AA$3:$AA$1315,DataRegularSeason20242025!$B$3:$B$1315, "&lt;=" &amp; AZ$1, DataRegularSeason20242025!$D$3:$D$1315, $A14)+SUMIFS(DataRegularSeason20242025!$AB$3:$AB$1315,DataRegularSeason20242025!$B$3:$B$1315, "&lt;=" &amp; AZ$1, DataRegularSeason20242025!$E$3:$E$1315, $A14)</f>
        <v>7</v>
      </c>
      <c r="BA14">
        <f>SUMIFS(DataRegularSeason20242025!$AA$3:$AA$1315,DataRegularSeason20242025!$B$3:$B$1315, "&lt;=" &amp; BA$1, DataRegularSeason20242025!$D$3:$D$1315, $A14)+SUMIFS(DataRegularSeason20242025!$AB$3:$AB$1315,DataRegularSeason20242025!$B$3:$B$1315, "&lt;=" &amp; BA$1, DataRegularSeason20242025!$E$3:$E$1315, $A14)</f>
        <v>7</v>
      </c>
      <c r="BB14">
        <f>SUMIFS(DataRegularSeason20242025!$AA$3:$AA$1315,DataRegularSeason20242025!$B$3:$B$1315, "&lt;=" &amp; BB$1, DataRegularSeason20242025!$D$3:$D$1315, $A14)+SUMIFS(DataRegularSeason20242025!$AB$3:$AB$1315,DataRegularSeason20242025!$B$3:$B$1315, "&lt;=" &amp; BB$1, DataRegularSeason20242025!$E$3:$E$1315, $A14)</f>
        <v>7</v>
      </c>
      <c r="BC14">
        <f>SUMIFS(DataRegularSeason20242025!$AA$3:$AA$1315,DataRegularSeason20242025!$B$3:$B$1315, "&lt;=" &amp; BC$1, DataRegularSeason20242025!$D$3:$D$1315, $A14)+SUMIFS(DataRegularSeason20242025!$AB$3:$AB$1315,DataRegularSeason20242025!$B$3:$B$1315, "&lt;=" &amp; BC$1, DataRegularSeason20242025!$E$3:$E$1315, $A14)</f>
        <v>7</v>
      </c>
      <c r="BD14">
        <f>SUMIFS(DataRegularSeason20242025!$AA$3:$AA$1315,DataRegularSeason20242025!$B$3:$B$1315, "&lt;=" &amp; BD$1, DataRegularSeason20242025!$D$3:$D$1315, $A14)+SUMIFS(DataRegularSeason20242025!$AB$3:$AB$1315,DataRegularSeason20242025!$B$3:$B$1315, "&lt;=" &amp; BD$1, DataRegularSeason20242025!$E$3:$E$1315, $A14)</f>
        <v>7</v>
      </c>
      <c r="BE14">
        <f>SUMIFS(DataRegularSeason20242025!$AA$3:$AA$1315,DataRegularSeason20242025!$B$3:$B$1315, "&lt;=" &amp; BE$1, DataRegularSeason20242025!$D$3:$D$1315, $A14)+SUMIFS(DataRegularSeason20242025!$AB$3:$AB$1315,DataRegularSeason20242025!$B$3:$B$1315, "&lt;=" &amp; BE$1, DataRegularSeason20242025!$E$3:$E$1315, $A14)</f>
        <v>7</v>
      </c>
      <c r="BF14">
        <f>SUMIFS(DataRegularSeason20242025!$AA$3:$AA$1315,DataRegularSeason20242025!$B$3:$B$1315, "&lt;=" &amp; BF$1, DataRegularSeason20242025!$D$3:$D$1315, $A14)+SUMIFS(DataRegularSeason20242025!$AB$3:$AB$1315,DataRegularSeason20242025!$B$3:$B$1315, "&lt;=" &amp; BF$1, DataRegularSeason20242025!$E$3:$E$1315, $A14)</f>
        <v>7</v>
      </c>
      <c r="BG14">
        <f>SUMIFS(DataRegularSeason20242025!$AA$3:$AA$1315,DataRegularSeason20242025!$B$3:$B$1315, "&lt;=" &amp; BG$1, DataRegularSeason20242025!$D$3:$D$1315, $A14)+SUMIFS(DataRegularSeason20242025!$AB$3:$AB$1315,DataRegularSeason20242025!$B$3:$B$1315, "&lt;=" &amp; BG$1, DataRegularSeason20242025!$E$3:$E$1315, $A14)</f>
        <v>7</v>
      </c>
      <c r="BH14">
        <f>SUMIFS(DataRegularSeason20242025!$AA$3:$AA$1315,DataRegularSeason20242025!$B$3:$B$1315, "&lt;=" &amp; BH$1, DataRegularSeason20242025!$D$3:$D$1315, $A14)+SUMIFS(DataRegularSeason20242025!$AB$3:$AB$1315,DataRegularSeason20242025!$B$3:$B$1315, "&lt;=" &amp; BH$1, DataRegularSeason20242025!$E$3:$E$1315, $A14)</f>
        <v>7</v>
      </c>
      <c r="BI14">
        <f>SUMIFS(DataRegularSeason20242025!$AA$3:$AA$1315,DataRegularSeason20242025!$B$3:$B$1315, "&lt;=" &amp; BI$1, DataRegularSeason20242025!$D$3:$D$1315, $A14)+SUMIFS(DataRegularSeason20242025!$AB$3:$AB$1315,DataRegularSeason20242025!$B$3:$B$1315, "&lt;=" &amp; BI$1, DataRegularSeason20242025!$E$3:$E$1315, $A14)</f>
        <v>7</v>
      </c>
      <c r="BJ14">
        <f>SUMIFS(DataRegularSeason20242025!$AA$3:$AA$1315,DataRegularSeason20242025!$B$3:$B$1315, "&lt;=" &amp; BJ$1, DataRegularSeason20242025!$D$3:$D$1315, $A14)+SUMIFS(DataRegularSeason20242025!$AB$3:$AB$1315,DataRegularSeason20242025!$B$3:$B$1315, "&lt;=" &amp; BJ$1, DataRegularSeason20242025!$E$3:$E$1315, $A14)</f>
        <v>7</v>
      </c>
      <c r="BK14">
        <f>SUMIFS(DataRegularSeason20242025!$AA$3:$AA$1315,DataRegularSeason20242025!$B$3:$B$1315, "&lt;=" &amp; BK$1, DataRegularSeason20242025!$D$3:$D$1315, $A14)+SUMIFS(DataRegularSeason20242025!$AB$3:$AB$1315,DataRegularSeason20242025!$B$3:$B$1315, "&lt;=" &amp; BK$1, DataRegularSeason20242025!$E$3:$E$1315, $A14)</f>
        <v>7</v>
      </c>
      <c r="BL14">
        <f>SUMIFS(DataRegularSeason20242025!$AA$3:$AA$1315,DataRegularSeason20242025!$B$3:$B$1315, "&lt;=" &amp; BL$1, DataRegularSeason20242025!$D$3:$D$1315, $A14)+SUMIFS(DataRegularSeason20242025!$AB$3:$AB$1315,DataRegularSeason20242025!$B$3:$B$1315, "&lt;=" &amp; BL$1, DataRegularSeason20242025!$E$3:$E$1315, $A14)</f>
        <v>7</v>
      </c>
      <c r="BM14">
        <f>SUMIFS(DataRegularSeason20242025!$AA$3:$AA$1315,DataRegularSeason20242025!$B$3:$B$1315, "&lt;=" &amp; BM$1, DataRegularSeason20242025!$D$3:$D$1315, $A14)+SUMIFS(DataRegularSeason20242025!$AB$3:$AB$1315,DataRegularSeason20242025!$B$3:$B$1315, "&lt;=" &amp; BM$1, DataRegularSeason20242025!$E$3:$E$1315, $A14)</f>
        <v>7</v>
      </c>
      <c r="BN14">
        <f>SUMIFS(DataRegularSeason20242025!$AA$3:$AA$1315,DataRegularSeason20242025!$B$3:$B$1315, "&lt;=" &amp; BN$1, DataRegularSeason20242025!$D$3:$D$1315, $A14)+SUMIFS(DataRegularSeason20242025!$AB$3:$AB$1315,DataRegularSeason20242025!$B$3:$B$1315, "&lt;=" &amp; BN$1, DataRegularSeason20242025!$E$3:$E$1315, $A14)</f>
        <v>7</v>
      </c>
      <c r="BO14">
        <f>SUMIFS(DataRegularSeason20242025!$AA$3:$AA$1315,DataRegularSeason20242025!$B$3:$B$1315, "&lt;=" &amp; BO$1, DataRegularSeason20242025!$D$3:$D$1315, $A14)+SUMIFS(DataRegularSeason20242025!$AB$3:$AB$1315,DataRegularSeason20242025!$B$3:$B$1315, "&lt;=" &amp; BO$1, DataRegularSeason20242025!$E$3:$E$1315, $A14)</f>
        <v>7</v>
      </c>
      <c r="BP14">
        <f>SUMIFS(DataRegularSeason20242025!$AA$3:$AA$1315,DataRegularSeason20242025!$B$3:$B$1315, "&lt;=" &amp; BP$1, DataRegularSeason20242025!$D$3:$D$1315, $A14)+SUMIFS(DataRegularSeason20242025!$AB$3:$AB$1315,DataRegularSeason20242025!$B$3:$B$1315, "&lt;=" &amp; BP$1, DataRegularSeason20242025!$E$3:$E$1315, $A14)</f>
        <v>7</v>
      </c>
      <c r="BQ14">
        <f>SUMIFS(DataRegularSeason20242025!$AA$3:$AA$1315,DataRegularSeason20242025!$B$3:$B$1315, "&lt;=" &amp; BQ$1, DataRegularSeason20242025!$D$3:$D$1315, $A14)+SUMIFS(DataRegularSeason20242025!$AB$3:$AB$1315,DataRegularSeason20242025!$B$3:$B$1315, "&lt;=" &amp; BQ$1, DataRegularSeason20242025!$E$3:$E$1315, $A14)</f>
        <v>7</v>
      </c>
      <c r="BR14">
        <f>SUMIFS(DataRegularSeason20242025!$AA$3:$AA$1315,DataRegularSeason20242025!$B$3:$B$1315, "&lt;=" &amp; BR$1, DataRegularSeason20242025!$D$3:$D$1315, $A14)+SUMIFS(DataRegularSeason20242025!$AB$3:$AB$1315,DataRegularSeason20242025!$B$3:$B$1315, "&lt;=" &amp; BR$1, DataRegularSeason20242025!$E$3:$E$1315, $A14)</f>
        <v>7</v>
      </c>
      <c r="BS14">
        <f>SUMIFS(DataRegularSeason20242025!$AA$3:$AA$1315,DataRegularSeason20242025!$B$3:$B$1315, "&lt;=" &amp; BS$1, DataRegularSeason20242025!$D$3:$D$1315, $A14)+SUMIFS(DataRegularSeason20242025!$AB$3:$AB$1315,DataRegularSeason20242025!$B$3:$B$1315, "&lt;=" &amp; BS$1, DataRegularSeason20242025!$E$3:$E$1315, $A14)</f>
        <v>7</v>
      </c>
      <c r="BT14">
        <f>SUMIFS(DataRegularSeason20242025!$AA$3:$AA$1315,DataRegularSeason20242025!$B$3:$B$1315, "&lt;=" &amp; BT$1, DataRegularSeason20242025!$D$3:$D$1315, $A14)+SUMIFS(DataRegularSeason20242025!$AB$3:$AB$1315,DataRegularSeason20242025!$B$3:$B$1315, "&lt;=" &amp; BT$1, DataRegularSeason20242025!$E$3:$E$1315, $A14)</f>
        <v>7</v>
      </c>
      <c r="BU14">
        <f>SUMIFS(DataRegularSeason20242025!$AA$3:$AA$1315,DataRegularSeason20242025!$B$3:$B$1315, "&lt;=" &amp; BU$1, DataRegularSeason20242025!$D$3:$D$1315, $A14)+SUMIFS(DataRegularSeason20242025!$AB$3:$AB$1315,DataRegularSeason20242025!$B$3:$B$1315, "&lt;=" &amp; BU$1, DataRegularSeason20242025!$E$3:$E$1315, $A14)</f>
        <v>7</v>
      </c>
      <c r="BV14">
        <f>SUMIFS(DataRegularSeason20242025!$AA$3:$AA$1315,DataRegularSeason20242025!$B$3:$B$1315, "&lt;=" &amp; BV$1, DataRegularSeason20242025!$D$3:$D$1315, $A14)+SUMIFS(DataRegularSeason20242025!$AB$3:$AB$1315,DataRegularSeason20242025!$B$3:$B$1315, "&lt;=" &amp; BV$1, DataRegularSeason20242025!$E$3:$E$1315, $A14)</f>
        <v>7</v>
      </c>
      <c r="BW14">
        <f>SUMIFS(DataRegularSeason20242025!$AA$3:$AA$1315,DataRegularSeason20242025!$B$3:$B$1315, "&lt;=" &amp; BW$1, DataRegularSeason20242025!$D$3:$D$1315, $A14)+SUMIFS(DataRegularSeason20242025!$AB$3:$AB$1315,DataRegularSeason20242025!$B$3:$B$1315, "&lt;=" &amp; BW$1, DataRegularSeason20242025!$E$3:$E$1315, $A14)</f>
        <v>7</v>
      </c>
      <c r="BX14">
        <f>SUMIFS(DataRegularSeason20242025!$AA$3:$AA$1315,DataRegularSeason20242025!$B$3:$B$1315, "&lt;=" &amp; BX$1, DataRegularSeason20242025!$D$3:$D$1315, $A14)+SUMIFS(DataRegularSeason20242025!$AB$3:$AB$1315,DataRegularSeason20242025!$B$3:$B$1315, "&lt;=" &amp; BX$1, DataRegularSeason20242025!$E$3:$E$1315, $A14)</f>
        <v>7</v>
      </c>
      <c r="BY14">
        <f>SUMIFS(DataRegularSeason20242025!$AA$3:$AA$1315,DataRegularSeason20242025!$B$3:$B$1315, "&lt;=" &amp; BY$1, DataRegularSeason20242025!$D$3:$D$1315, $A14)+SUMIFS(DataRegularSeason20242025!$AB$3:$AB$1315,DataRegularSeason20242025!$B$3:$B$1315, "&lt;=" &amp; BY$1, DataRegularSeason20242025!$E$3:$E$1315, $A14)</f>
        <v>7</v>
      </c>
      <c r="BZ14">
        <f>SUMIFS(DataRegularSeason20242025!$AA$3:$AA$1315,DataRegularSeason20242025!$B$3:$B$1315, "&lt;=" &amp; BZ$1, DataRegularSeason20242025!$D$3:$D$1315, $A14)+SUMIFS(DataRegularSeason20242025!$AB$3:$AB$1315,DataRegularSeason20242025!$B$3:$B$1315, "&lt;=" &amp; BZ$1, DataRegularSeason20242025!$E$3:$E$1315, $A14)</f>
        <v>7</v>
      </c>
      <c r="CA14">
        <f>SUMIFS(DataRegularSeason20242025!$AA$3:$AA$1315,DataRegularSeason20242025!$B$3:$B$1315, "&lt;=" &amp; CA$1, DataRegularSeason20242025!$D$3:$D$1315, $A14)+SUMIFS(DataRegularSeason20242025!$AB$3:$AB$1315,DataRegularSeason20242025!$B$3:$B$1315, "&lt;=" &amp; CA$1, DataRegularSeason20242025!$E$3:$E$1315, $A14)</f>
        <v>7</v>
      </c>
      <c r="CB14">
        <f>SUMIFS(DataRegularSeason20242025!$AA$3:$AA$1315,DataRegularSeason20242025!$B$3:$B$1315, "&lt;=" &amp; CB$1, DataRegularSeason20242025!$D$3:$D$1315, $A14)+SUMIFS(DataRegularSeason20242025!$AB$3:$AB$1315,DataRegularSeason20242025!$B$3:$B$1315, "&lt;=" &amp; CB$1, DataRegularSeason20242025!$E$3:$E$1315, $A14)</f>
        <v>7</v>
      </c>
      <c r="CC14">
        <f>SUMIFS(DataRegularSeason20242025!$AA$3:$AA$1315,DataRegularSeason20242025!$B$3:$B$1315, "&lt;=" &amp; CC$1, DataRegularSeason20242025!$D$3:$D$1315, $A14)+SUMIFS(DataRegularSeason20242025!$AB$3:$AB$1315,DataRegularSeason20242025!$B$3:$B$1315, "&lt;=" &amp; CC$1, DataRegularSeason20242025!$E$3:$E$1315, $A14)</f>
        <v>7</v>
      </c>
      <c r="CD14">
        <f>SUMIFS(DataRegularSeason20242025!$AA$3:$AA$1315,DataRegularSeason20242025!$B$3:$B$1315, "&lt;=" &amp; CD$1, DataRegularSeason20242025!$D$3:$D$1315, $A14)+SUMIFS(DataRegularSeason20242025!$AB$3:$AB$1315,DataRegularSeason20242025!$B$3:$B$1315, "&lt;=" &amp; CD$1, DataRegularSeason20242025!$E$3:$E$1315, $A14)</f>
        <v>7</v>
      </c>
      <c r="CE14">
        <f>SUMIFS(DataRegularSeason20242025!$AA$3:$AA$1315,DataRegularSeason20242025!$B$3:$B$1315, "&lt;=" &amp; CE$1, DataRegularSeason20242025!$D$3:$D$1315, $A14)+SUMIFS(DataRegularSeason20242025!$AB$3:$AB$1315,DataRegularSeason20242025!$B$3:$B$1315, "&lt;=" &amp; CE$1, DataRegularSeason20242025!$E$3:$E$1315, $A14)</f>
        <v>7</v>
      </c>
      <c r="CF14">
        <f>SUMIFS(DataRegularSeason20242025!$AA$3:$AA$1315,DataRegularSeason20242025!$B$3:$B$1315, "&lt;=" &amp; CF$1, DataRegularSeason20242025!$D$3:$D$1315, $A14)+SUMIFS(DataRegularSeason20242025!$AB$3:$AB$1315,DataRegularSeason20242025!$B$3:$B$1315, "&lt;=" &amp; CF$1, DataRegularSeason20242025!$E$3:$E$1315, $A14)</f>
        <v>7</v>
      </c>
      <c r="CG14">
        <f>SUMIFS(DataRegularSeason20242025!$AA$3:$AA$1315,DataRegularSeason20242025!$B$3:$B$1315, "&lt;=" &amp; CG$1, DataRegularSeason20242025!$D$3:$D$1315, $A14)+SUMIFS(DataRegularSeason20242025!$AB$3:$AB$1315,DataRegularSeason20242025!$B$3:$B$1315, "&lt;=" &amp; CG$1, DataRegularSeason20242025!$E$3:$E$1315, $A14)</f>
        <v>7</v>
      </c>
      <c r="CH14">
        <f>SUMIFS(DataRegularSeason20242025!$AA$3:$AA$1315,DataRegularSeason20242025!$B$3:$B$1315, "&lt;=" &amp; CH$1, DataRegularSeason20242025!$D$3:$D$1315, $A14)+SUMIFS(DataRegularSeason20242025!$AB$3:$AB$1315,DataRegularSeason20242025!$B$3:$B$1315, "&lt;=" &amp; CH$1, DataRegularSeason20242025!$E$3:$E$1315, $A14)</f>
        <v>7</v>
      </c>
      <c r="CI14">
        <f>SUMIFS(DataRegularSeason20242025!$AA$3:$AA$1315,DataRegularSeason20242025!$B$3:$B$1315, "&lt;=" &amp; CI$1, DataRegularSeason20242025!$D$3:$D$1315, $A14)+SUMIFS(DataRegularSeason20242025!$AB$3:$AB$1315,DataRegularSeason20242025!$B$3:$B$1315, "&lt;=" &amp; CI$1, DataRegularSeason20242025!$E$3:$E$1315, $A14)</f>
        <v>7</v>
      </c>
      <c r="CJ14">
        <f>SUMIFS(DataRegularSeason20242025!$AA$3:$AA$1315,DataRegularSeason20242025!$B$3:$B$1315, "&lt;=" &amp; CJ$1, DataRegularSeason20242025!$D$3:$D$1315, $A14)+SUMIFS(DataRegularSeason20242025!$AB$3:$AB$1315,DataRegularSeason20242025!$B$3:$B$1315, "&lt;=" &amp; CJ$1, DataRegularSeason20242025!$E$3:$E$1315, $A14)</f>
        <v>7</v>
      </c>
      <c r="CK14">
        <f>SUMIFS(DataRegularSeason20242025!$AA$3:$AA$1315,DataRegularSeason20242025!$B$3:$B$1315, "&lt;=" &amp; CK$1, DataRegularSeason20242025!$D$3:$D$1315, $A14)+SUMIFS(DataRegularSeason20242025!$AB$3:$AB$1315,DataRegularSeason20242025!$B$3:$B$1315, "&lt;=" &amp; CK$1, DataRegularSeason20242025!$E$3:$E$1315, $A14)</f>
        <v>7</v>
      </c>
      <c r="CL14">
        <f>SUMIFS(DataRegularSeason20242025!$AA$3:$AA$1315,DataRegularSeason20242025!$B$3:$B$1315, "&lt;=" &amp; CL$1, DataRegularSeason20242025!$D$3:$D$1315, $A14)+SUMIFS(DataRegularSeason20242025!$AB$3:$AB$1315,DataRegularSeason20242025!$B$3:$B$1315, "&lt;=" &amp; CL$1, DataRegularSeason20242025!$E$3:$E$1315, $A14)</f>
        <v>7</v>
      </c>
      <c r="CM14">
        <f>SUMIFS(DataRegularSeason20242025!$AA$3:$AA$1315,DataRegularSeason20242025!$B$3:$B$1315, "&lt;=" &amp; CM$1, DataRegularSeason20242025!$D$3:$D$1315, $A14)+SUMIFS(DataRegularSeason20242025!$AB$3:$AB$1315,DataRegularSeason20242025!$B$3:$B$1315, "&lt;=" &amp; CM$1, DataRegularSeason20242025!$E$3:$E$1315, $A14)</f>
        <v>7</v>
      </c>
      <c r="CN14">
        <f>SUMIFS(DataRegularSeason20242025!$AA$3:$AA$1315,DataRegularSeason20242025!$B$3:$B$1315, "&lt;=" &amp; CN$1, DataRegularSeason20242025!$D$3:$D$1315, $A14)+SUMIFS(DataRegularSeason20242025!$AB$3:$AB$1315,DataRegularSeason20242025!$B$3:$B$1315, "&lt;=" &amp; CN$1, DataRegularSeason20242025!$E$3:$E$1315, $A14)</f>
        <v>7</v>
      </c>
      <c r="CO14">
        <f>SUMIFS(DataRegularSeason20242025!$AA$3:$AA$1315,DataRegularSeason20242025!$B$3:$B$1315, "&lt;=" &amp; CO$1, DataRegularSeason20242025!$D$3:$D$1315, $A14)+SUMIFS(DataRegularSeason20242025!$AB$3:$AB$1315,DataRegularSeason20242025!$B$3:$B$1315, "&lt;=" &amp; CO$1, DataRegularSeason20242025!$E$3:$E$1315, $A14)</f>
        <v>7</v>
      </c>
      <c r="CP14">
        <f>SUMIFS(DataRegularSeason20242025!$AA$3:$AA$1315,DataRegularSeason20242025!$B$3:$B$1315, "&lt;=" &amp; CP$1, DataRegularSeason20242025!$D$3:$D$1315, $A14)+SUMIFS(DataRegularSeason20242025!$AB$3:$AB$1315,DataRegularSeason20242025!$B$3:$B$1315, "&lt;=" &amp; CP$1, DataRegularSeason20242025!$E$3:$E$1315, $A14)</f>
        <v>7</v>
      </c>
      <c r="CQ14">
        <f>SUMIFS(DataRegularSeason20242025!$AA$3:$AA$1315,DataRegularSeason20242025!$B$3:$B$1315, "&lt;=" &amp; CQ$1, DataRegularSeason20242025!$D$3:$D$1315, $A14)+SUMIFS(DataRegularSeason20242025!$AB$3:$AB$1315,DataRegularSeason20242025!$B$3:$B$1315, "&lt;=" &amp; CQ$1, DataRegularSeason20242025!$E$3:$E$1315, $A14)</f>
        <v>7</v>
      </c>
      <c r="CR14">
        <f>SUMIFS(DataRegularSeason20242025!$AA$3:$AA$1315,DataRegularSeason20242025!$B$3:$B$1315, "&lt;=" &amp; CR$1, DataRegularSeason20242025!$D$3:$D$1315, $A14)+SUMIFS(DataRegularSeason20242025!$AB$3:$AB$1315,DataRegularSeason20242025!$B$3:$B$1315, "&lt;=" &amp; CR$1, DataRegularSeason20242025!$E$3:$E$1315, $A14)</f>
        <v>7</v>
      </c>
      <c r="CS14">
        <f>SUMIFS(DataRegularSeason20242025!$AA$3:$AA$1315,DataRegularSeason20242025!$B$3:$B$1315, "&lt;=" &amp; CS$1, DataRegularSeason20242025!$D$3:$D$1315, $A14)+SUMIFS(DataRegularSeason20242025!$AB$3:$AB$1315,DataRegularSeason20242025!$B$3:$B$1315, "&lt;=" &amp; CS$1, DataRegularSeason20242025!$E$3:$E$1315, $A14)</f>
        <v>7</v>
      </c>
      <c r="CT14">
        <f>SUMIFS(DataRegularSeason20242025!$AA$3:$AA$1315,DataRegularSeason20242025!$B$3:$B$1315, "&lt;=" &amp; CT$1, DataRegularSeason20242025!$D$3:$D$1315, $A14)+SUMIFS(DataRegularSeason20242025!$AB$3:$AB$1315,DataRegularSeason20242025!$B$3:$B$1315, "&lt;=" &amp; CT$1, DataRegularSeason20242025!$E$3:$E$1315, $A14)</f>
        <v>7</v>
      </c>
      <c r="CU14">
        <f>SUMIFS(DataRegularSeason20242025!$AA$3:$AA$1315,DataRegularSeason20242025!$B$3:$B$1315, "&lt;=" &amp; CU$1, DataRegularSeason20242025!$D$3:$D$1315, $A14)+SUMIFS(DataRegularSeason20242025!$AB$3:$AB$1315,DataRegularSeason20242025!$B$3:$B$1315, "&lt;=" &amp; CU$1, DataRegularSeason20242025!$E$3:$E$1315, $A14)</f>
        <v>7</v>
      </c>
      <c r="CV14">
        <f>SUMIFS(DataRegularSeason20242025!$AA$3:$AA$1315,DataRegularSeason20242025!$B$3:$B$1315, "&lt;=" &amp; CV$1, DataRegularSeason20242025!$D$3:$D$1315, $A14)+SUMIFS(DataRegularSeason20242025!$AB$3:$AB$1315,DataRegularSeason20242025!$B$3:$B$1315, "&lt;=" &amp; CV$1, DataRegularSeason20242025!$E$3:$E$1315, $A14)</f>
        <v>7</v>
      </c>
      <c r="CW14">
        <f>SUMIFS(DataRegularSeason20242025!$AA$3:$AA$1315,DataRegularSeason20242025!$B$3:$B$1315, "&lt;=" &amp; CW$1, DataRegularSeason20242025!$D$3:$D$1315, $A14)+SUMIFS(DataRegularSeason20242025!$AB$3:$AB$1315,DataRegularSeason20242025!$B$3:$B$1315, "&lt;=" &amp; CW$1, DataRegularSeason20242025!$E$3:$E$1315, $A14)</f>
        <v>7</v>
      </c>
      <c r="CX14">
        <f>SUMIFS(DataRegularSeason20242025!$AA$3:$AA$1315,DataRegularSeason20242025!$B$3:$B$1315, "&lt;=" &amp; CX$1, DataRegularSeason20242025!$D$3:$D$1315, $A14)+SUMIFS(DataRegularSeason20242025!$AB$3:$AB$1315,DataRegularSeason20242025!$B$3:$B$1315, "&lt;=" &amp; CX$1, DataRegularSeason20242025!$E$3:$E$1315, $A14)</f>
        <v>7</v>
      </c>
      <c r="CY14">
        <f>SUMIFS(DataRegularSeason20242025!$AA$3:$AA$1315,DataRegularSeason20242025!$B$3:$B$1315, "&lt;=" &amp; CY$1, DataRegularSeason20242025!$D$3:$D$1315, $A14)+SUMIFS(DataRegularSeason20242025!$AB$3:$AB$1315,DataRegularSeason20242025!$B$3:$B$1315, "&lt;=" &amp; CY$1, DataRegularSeason20242025!$E$3:$E$1315, $A14)</f>
        <v>7</v>
      </c>
      <c r="CZ14">
        <f>SUMIFS(DataRegularSeason20242025!$AA$3:$AA$1315,DataRegularSeason20242025!$B$3:$B$1315, "&lt;=" &amp; CZ$1, DataRegularSeason20242025!$D$3:$D$1315, $A14)+SUMIFS(DataRegularSeason20242025!$AB$3:$AB$1315,DataRegularSeason20242025!$B$3:$B$1315, "&lt;=" &amp; CZ$1, DataRegularSeason20242025!$E$3:$E$1315, $A14)</f>
        <v>7</v>
      </c>
      <c r="DA14">
        <f>SUMIFS(DataRegularSeason20242025!$AA$3:$AA$1315,DataRegularSeason20242025!$B$3:$B$1315, "&lt;=" &amp; DA$1, DataRegularSeason20242025!$D$3:$D$1315, $A14)+SUMIFS(DataRegularSeason20242025!$AB$3:$AB$1315,DataRegularSeason20242025!$B$3:$B$1315, "&lt;=" &amp; DA$1, DataRegularSeason20242025!$E$3:$E$1315, $A14)</f>
        <v>7</v>
      </c>
      <c r="DB14">
        <f>SUMIFS(DataRegularSeason20242025!$AA$3:$AA$1315,DataRegularSeason20242025!$B$3:$B$1315, "&lt;=" &amp; DB$1, DataRegularSeason20242025!$D$3:$D$1315, $A14)+SUMIFS(DataRegularSeason20242025!$AB$3:$AB$1315,DataRegularSeason20242025!$B$3:$B$1315, "&lt;=" &amp; DB$1, DataRegularSeason20242025!$E$3:$E$1315, $A14)</f>
        <v>7</v>
      </c>
      <c r="DC14">
        <f>SUMIFS(DataRegularSeason20242025!$AA$3:$AA$1315,DataRegularSeason20242025!$B$3:$B$1315, "&lt;=" &amp; DC$1, DataRegularSeason20242025!$D$3:$D$1315, $A14)+SUMIFS(DataRegularSeason20242025!$AB$3:$AB$1315,DataRegularSeason20242025!$B$3:$B$1315, "&lt;=" &amp; DC$1, DataRegularSeason20242025!$E$3:$E$1315, $A14)</f>
        <v>7</v>
      </c>
      <c r="DD14">
        <f>SUMIFS(DataRegularSeason20242025!$AA$3:$AA$1315,DataRegularSeason20242025!$B$3:$B$1315, "&lt;=" &amp; DD$1, DataRegularSeason20242025!$D$3:$D$1315, $A14)+SUMIFS(DataRegularSeason20242025!$AB$3:$AB$1315,DataRegularSeason20242025!$B$3:$B$1315, "&lt;=" &amp; DD$1, DataRegularSeason20242025!$E$3:$E$1315, $A14)</f>
        <v>7</v>
      </c>
      <c r="DE14">
        <f>SUMIFS(DataRegularSeason20242025!$AA$3:$AA$1315,DataRegularSeason20242025!$B$3:$B$1315, "&lt;=" &amp; DE$1, DataRegularSeason20242025!$D$3:$D$1315, $A14)+SUMIFS(DataRegularSeason20242025!$AB$3:$AB$1315,DataRegularSeason20242025!$B$3:$B$1315, "&lt;=" &amp; DE$1, DataRegularSeason20242025!$E$3:$E$1315, $A14)</f>
        <v>7</v>
      </c>
      <c r="DF14">
        <f>SUMIFS(DataRegularSeason20242025!$AA$3:$AA$1315,DataRegularSeason20242025!$B$3:$B$1315, "&lt;=" &amp; DF$1, DataRegularSeason20242025!$D$3:$D$1315, $A14)+SUMIFS(DataRegularSeason20242025!$AB$3:$AB$1315,DataRegularSeason20242025!$B$3:$B$1315, "&lt;=" &amp; DF$1, DataRegularSeason20242025!$E$3:$E$1315, $A14)</f>
        <v>7</v>
      </c>
      <c r="DG14">
        <f>SUMIFS(DataRegularSeason20242025!$AA$3:$AA$1315,DataRegularSeason20242025!$B$3:$B$1315, "&lt;=" &amp; DG$1, DataRegularSeason20242025!$D$3:$D$1315, $A14)+SUMIFS(DataRegularSeason20242025!$AB$3:$AB$1315,DataRegularSeason20242025!$B$3:$B$1315, "&lt;=" &amp; DG$1, DataRegularSeason20242025!$E$3:$E$1315, $A14)</f>
        <v>7</v>
      </c>
      <c r="DH14">
        <f>SUMIFS(DataRegularSeason20242025!$AA$3:$AA$1315,DataRegularSeason20242025!$B$3:$B$1315, "&lt;=" &amp; DH$1, DataRegularSeason20242025!$D$3:$D$1315, $A14)+SUMIFS(DataRegularSeason20242025!$AB$3:$AB$1315,DataRegularSeason20242025!$B$3:$B$1315, "&lt;=" &amp; DH$1, DataRegularSeason20242025!$E$3:$E$1315, $A14)</f>
        <v>7</v>
      </c>
      <c r="DI14">
        <f>SUMIFS(DataRegularSeason20242025!$AA$3:$AA$1315,DataRegularSeason20242025!$B$3:$B$1315, "&lt;=" &amp; DI$1, DataRegularSeason20242025!$D$3:$D$1315, $A14)+SUMIFS(DataRegularSeason20242025!$AB$3:$AB$1315,DataRegularSeason20242025!$B$3:$B$1315, "&lt;=" &amp; DI$1, DataRegularSeason20242025!$E$3:$E$1315, $A14)</f>
        <v>7</v>
      </c>
      <c r="DJ14">
        <f>SUMIFS(DataRegularSeason20242025!$AA$3:$AA$1315,DataRegularSeason20242025!$B$3:$B$1315, "&lt;=" &amp; DJ$1, DataRegularSeason20242025!$D$3:$D$1315, $A14)+SUMIFS(DataRegularSeason20242025!$AB$3:$AB$1315,DataRegularSeason20242025!$B$3:$B$1315, "&lt;=" &amp; DJ$1, DataRegularSeason20242025!$E$3:$E$1315, $A14)</f>
        <v>7</v>
      </c>
      <c r="DK14">
        <f>SUMIFS(DataRegularSeason20242025!$AA$3:$AA$1315,DataRegularSeason20242025!$B$3:$B$1315, "&lt;=" &amp; DK$1, DataRegularSeason20242025!$D$3:$D$1315, $A14)+SUMIFS(DataRegularSeason20242025!$AB$3:$AB$1315,DataRegularSeason20242025!$B$3:$B$1315, "&lt;=" &amp; DK$1, DataRegularSeason20242025!$E$3:$E$1315, $A14)</f>
        <v>7</v>
      </c>
      <c r="DL14">
        <f>SUMIFS(DataRegularSeason20242025!$AA$3:$AA$1315,DataRegularSeason20242025!$B$3:$B$1315, "&lt;=" &amp; DL$1, DataRegularSeason20242025!$D$3:$D$1315, $A14)+SUMIFS(DataRegularSeason20242025!$AB$3:$AB$1315,DataRegularSeason20242025!$B$3:$B$1315, "&lt;=" &amp; DL$1, DataRegularSeason20242025!$E$3:$E$1315, $A14)</f>
        <v>7</v>
      </c>
      <c r="DM14">
        <f>SUMIFS(DataRegularSeason20242025!$AA$3:$AA$1315,DataRegularSeason20242025!$B$3:$B$1315, "&lt;=" &amp; DM$1, DataRegularSeason20242025!$D$3:$D$1315, $A14)+SUMIFS(DataRegularSeason20242025!$AB$3:$AB$1315,DataRegularSeason20242025!$B$3:$B$1315, "&lt;=" &amp; DM$1, DataRegularSeason20242025!$E$3:$E$1315, $A14)</f>
        <v>7</v>
      </c>
      <c r="DN14">
        <f>SUMIFS(DataRegularSeason20242025!$AA$3:$AA$1315,DataRegularSeason20242025!$B$3:$B$1315, "&lt;=" &amp; DN$1, DataRegularSeason20242025!$D$3:$D$1315, $A14)+SUMIFS(DataRegularSeason20242025!$AB$3:$AB$1315,DataRegularSeason20242025!$B$3:$B$1315, "&lt;=" &amp; DN$1, DataRegularSeason20242025!$E$3:$E$1315, $A14)</f>
        <v>7</v>
      </c>
      <c r="DO14">
        <f>SUMIFS(DataRegularSeason20242025!$AA$3:$AA$1315,DataRegularSeason20242025!$B$3:$B$1315, "&lt;=" &amp; DO$1, DataRegularSeason20242025!$D$3:$D$1315, $A14)+SUMIFS(DataRegularSeason20242025!$AB$3:$AB$1315,DataRegularSeason20242025!$B$3:$B$1315, "&lt;=" &amp; DO$1, DataRegularSeason20242025!$E$3:$E$1315, $A14)</f>
        <v>7</v>
      </c>
      <c r="DP14">
        <f>SUMIFS(DataRegularSeason20242025!$AA$3:$AA$1315,DataRegularSeason20242025!$B$3:$B$1315, "&lt;=" &amp; DP$1, DataRegularSeason20242025!$D$3:$D$1315, $A14)+SUMIFS(DataRegularSeason20242025!$AB$3:$AB$1315,DataRegularSeason20242025!$B$3:$B$1315, "&lt;=" &amp; DP$1, DataRegularSeason20242025!$E$3:$E$1315, $A14)</f>
        <v>7</v>
      </c>
      <c r="DQ14">
        <f>SUMIFS(DataRegularSeason20242025!$AA$3:$AA$1315,DataRegularSeason20242025!$B$3:$B$1315, "&lt;=" &amp; DQ$1, DataRegularSeason20242025!$D$3:$D$1315, $A14)+SUMIFS(DataRegularSeason20242025!$AB$3:$AB$1315,DataRegularSeason20242025!$B$3:$B$1315, "&lt;=" &amp; DQ$1, DataRegularSeason20242025!$E$3:$E$1315, $A14)</f>
        <v>7</v>
      </c>
      <c r="DR14">
        <f>SUMIFS(DataRegularSeason20242025!$AA$3:$AA$1315,DataRegularSeason20242025!$B$3:$B$1315, "&lt;=" &amp; DR$1, DataRegularSeason20242025!$D$3:$D$1315, $A14)+SUMIFS(DataRegularSeason20242025!$AB$3:$AB$1315,DataRegularSeason20242025!$B$3:$B$1315, "&lt;=" &amp; DR$1, DataRegularSeason20242025!$E$3:$E$1315, $A14)</f>
        <v>7</v>
      </c>
      <c r="DS14">
        <f>SUMIFS(DataRegularSeason20242025!$AA$3:$AA$1315,DataRegularSeason20242025!$B$3:$B$1315, "&lt;=" &amp; DS$1, DataRegularSeason20242025!$D$3:$D$1315, $A14)+SUMIFS(DataRegularSeason20242025!$AB$3:$AB$1315,DataRegularSeason20242025!$B$3:$B$1315, "&lt;=" &amp; DS$1, DataRegularSeason20242025!$E$3:$E$1315, $A14)</f>
        <v>7</v>
      </c>
      <c r="DT14">
        <f>SUMIFS(DataRegularSeason20242025!$AA$3:$AA$1315,DataRegularSeason20242025!$B$3:$B$1315, "&lt;=" &amp; DT$1, DataRegularSeason20242025!$D$3:$D$1315, $A14)+SUMIFS(DataRegularSeason20242025!$AB$3:$AB$1315,DataRegularSeason20242025!$B$3:$B$1315, "&lt;=" &amp; DT$1, DataRegularSeason20242025!$E$3:$E$1315, $A14)</f>
        <v>7</v>
      </c>
      <c r="DU14">
        <f>SUMIFS(DataRegularSeason20242025!$AA$3:$AA$1315,DataRegularSeason20242025!$B$3:$B$1315, "&lt;=" &amp; DU$1, DataRegularSeason20242025!$D$3:$D$1315, $A14)+SUMIFS(DataRegularSeason20242025!$AB$3:$AB$1315,DataRegularSeason20242025!$B$3:$B$1315, "&lt;=" &amp; DU$1, DataRegularSeason20242025!$E$3:$E$1315, $A14)</f>
        <v>7</v>
      </c>
      <c r="DV14">
        <f>SUMIFS(DataRegularSeason20242025!$AA$3:$AA$1315,DataRegularSeason20242025!$B$3:$B$1315, "&lt;=" &amp; DV$1, DataRegularSeason20242025!$D$3:$D$1315, $A14)+SUMIFS(DataRegularSeason20242025!$AB$3:$AB$1315,DataRegularSeason20242025!$B$3:$B$1315, "&lt;=" &amp; DV$1, DataRegularSeason20242025!$E$3:$E$1315, $A14)</f>
        <v>7</v>
      </c>
      <c r="DW14">
        <f>SUMIFS(DataRegularSeason20242025!$AA$3:$AA$1315,DataRegularSeason20242025!$B$3:$B$1315, "&lt;=" &amp; DW$1, DataRegularSeason20242025!$D$3:$D$1315, $A14)+SUMIFS(DataRegularSeason20242025!$AB$3:$AB$1315,DataRegularSeason20242025!$B$3:$B$1315, "&lt;=" &amp; DW$1, DataRegularSeason20242025!$E$3:$E$1315, $A14)</f>
        <v>7</v>
      </c>
      <c r="DX14">
        <f>SUMIFS(DataRegularSeason20242025!$AA$3:$AA$1315,DataRegularSeason20242025!$B$3:$B$1315, "&lt;=" &amp; DX$1, DataRegularSeason20242025!$D$3:$D$1315, $A14)+SUMIFS(DataRegularSeason20242025!$AB$3:$AB$1315,DataRegularSeason20242025!$B$3:$B$1315, "&lt;=" &amp; DX$1, DataRegularSeason20242025!$E$3:$E$1315, $A14)</f>
        <v>7</v>
      </c>
      <c r="DY14">
        <f>SUMIFS(DataRegularSeason20242025!$AA$3:$AA$1315,DataRegularSeason20242025!$B$3:$B$1315, "&lt;=" &amp; DY$1, DataRegularSeason20242025!$D$3:$D$1315, $A14)+SUMIFS(DataRegularSeason20242025!$AB$3:$AB$1315,DataRegularSeason20242025!$B$3:$B$1315, "&lt;=" &amp; DY$1, DataRegularSeason20242025!$E$3:$E$1315, $A14)</f>
        <v>7</v>
      </c>
      <c r="DZ14">
        <f>SUMIFS(DataRegularSeason20242025!$AA$3:$AA$1315,DataRegularSeason20242025!$B$3:$B$1315, "&lt;=" &amp; DZ$1, DataRegularSeason20242025!$D$3:$D$1315, $A14)+SUMIFS(DataRegularSeason20242025!$AB$3:$AB$1315,DataRegularSeason20242025!$B$3:$B$1315, "&lt;=" &amp; DZ$1, DataRegularSeason20242025!$E$3:$E$1315, $A14)</f>
        <v>7</v>
      </c>
      <c r="EA14">
        <f>SUMIFS(DataRegularSeason20242025!$AA$3:$AA$1315,DataRegularSeason20242025!$B$3:$B$1315, "&lt;=" &amp; EA$1, DataRegularSeason20242025!$D$3:$D$1315, $A14)+SUMIFS(DataRegularSeason20242025!$AB$3:$AB$1315,DataRegularSeason20242025!$B$3:$B$1315, "&lt;=" &amp; EA$1, DataRegularSeason20242025!$E$3:$E$1315, $A14)</f>
        <v>7</v>
      </c>
      <c r="EB14">
        <f>SUMIFS(DataRegularSeason20242025!$AA$3:$AA$1315,DataRegularSeason20242025!$B$3:$B$1315, "&lt;=" &amp; EB$1, DataRegularSeason20242025!$D$3:$D$1315, $A14)+SUMIFS(DataRegularSeason20242025!$AB$3:$AB$1315,DataRegularSeason20242025!$B$3:$B$1315, "&lt;=" &amp; EB$1, DataRegularSeason20242025!$E$3:$E$1315, $A14)</f>
        <v>7</v>
      </c>
      <c r="EC14">
        <f>SUMIFS(DataRegularSeason20242025!$AA$3:$AA$1315,DataRegularSeason20242025!$B$3:$B$1315, "&lt;=" &amp; EC$1, DataRegularSeason20242025!$D$3:$D$1315, $A14)+SUMIFS(DataRegularSeason20242025!$AB$3:$AB$1315,DataRegularSeason20242025!$B$3:$B$1315, "&lt;=" &amp; EC$1, DataRegularSeason20242025!$E$3:$E$1315, $A14)</f>
        <v>7</v>
      </c>
      <c r="ED14">
        <f>SUMIFS(DataRegularSeason20242025!$AA$3:$AA$1315,DataRegularSeason20242025!$B$3:$B$1315, "&lt;=" &amp; ED$1, DataRegularSeason20242025!$D$3:$D$1315, $A14)+SUMIFS(DataRegularSeason20242025!$AB$3:$AB$1315,DataRegularSeason20242025!$B$3:$B$1315, "&lt;=" &amp; ED$1, DataRegularSeason20242025!$E$3:$E$1315, $A14)</f>
        <v>7</v>
      </c>
      <c r="EE14">
        <f>SUMIFS(DataRegularSeason20242025!$AA$3:$AA$1315,DataRegularSeason20242025!$B$3:$B$1315, "&lt;=" &amp; EE$1, DataRegularSeason20242025!$D$3:$D$1315, $A14)+SUMIFS(DataRegularSeason20242025!$AB$3:$AB$1315,DataRegularSeason20242025!$B$3:$B$1315, "&lt;=" &amp; EE$1, DataRegularSeason20242025!$E$3:$E$1315, $A14)</f>
        <v>7</v>
      </c>
      <c r="EF14">
        <f>SUMIFS(DataRegularSeason20242025!$AA$3:$AA$1315,DataRegularSeason20242025!$B$3:$B$1315, "&lt;=" &amp; EF$1, DataRegularSeason20242025!$D$3:$D$1315, $A14)+SUMIFS(DataRegularSeason20242025!$AB$3:$AB$1315,DataRegularSeason20242025!$B$3:$B$1315, "&lt;=" &amp; EF$1, DataRegularSeason20242025!$E$3:$E$1315, $A14)</f>
        <v>7</v>
      </c>
      <c r="EG14">
        <f>SUMIFS(DataRegularSeason20242025!$AA$3:$AA$1315,DataRegularSeason20242025!$B$3:$B$1315, "&lt;=" &amp; EG$1, DataRegularSeason20242025!$D$3:$D$1315, $A14)+SUMIFS(DataRegularSeason20242025!$AB$3:$AB$1315,DataRegularSeason20242025!$B$3:$B$1315, "&lt;=" &amp; EG$1, DataRegularSeason20242025!$E$3:$E$1315, $A14)</f>
        <v>7</v>
      </c>
      <c r="EH14">
        <f>SUMIFS(DataRegularSeason20242025!$AA$3:$AA$1315,DataRegularSeason20242025!$B$3:$B$1315, "&lt;=" &amp; EH$1, DataRegularSeason20242025!$D$3:$D$1315, $A14)+SUMIFS(DataRegularSeason20242025!$AB$3:$AB$1315,DataRegularSeason20242025!$B$3:$B$1315, "&lt;=" &amp; EH$1, DataRegularSeason20242025!$E$3:$E$1315, $A14)</f>
        <v>7</v>
      </c>
      <c r="EI14">
        <f>SUMIFS(DataRegularSeason20242025!$AA$3:$AA$1315,DataRegularSeason20242025!$B$3:$B$1315, "&lt;=" &amp; EI$1, DataRegularSeason20242025!$D$3:$D$1315, $A14)+SUMIFS(DataRegularSeason20242025!$AB$3:$AB$1315,DataRegularSeason20242025!$B$3:$B$1315, "&lt;=" &amp; EI$1, DataRegularSeason20242025!$E$3:$E$1315, $A14)</f>
        <v>7</v>
      </c>
      <c r="EJ14">
        <f>SUMIFS(DataRegularSeason20242025!$AA$3:$AA$1315,DataRegularSeason20242025!$B$3:$B$1315, "&lt;=" &amp; EJ$1, DataRegularSeason20242025!$D$3:$D$1315, $A14)+SUMIFS(DataRegularSeason20242025!$AB$3:$AB$1315,DataRegularSeason20242025!$B$3:$B$1315, "&lt;=" &amp; EJ$1, DataRegularSeason20242025!$E$3:$E$1315, $A14)</f>
        <v>7</v>
      </c>
      <c r="EK14">
        <f>SUMIFS(DataRegularSeason20242025!$AA$3:$AA$1315,DataRegularSeason20242025!$B$3:$B$1315, "&lt;=" &amp; EK$1, DataRegularSeason20242025!$D$3:$D$1315, $A14)+SUMIFS(DataRegularSeason20242025!$AB$3:$AB$1315,DataRegularSeason20242025!$B$3:$B$1315, "&lt;=" &amp; EK$1, DataRegularSeason20242025!$E$3:$E$1315, $A14)</f>
        <v>7</v>
      </c>
      <c r="EL14">
        <f>SUMIFS(DataRegularSeason20242025!$AA$3:$AA$1315,DataRegularSeason20242025!$B$3:$B$1315, "&lt;=" &amp; EL$1, DataRegularSeason20242025!$D$3:$D$1315, $A14)+SUMIFS(DataRegularSeason20242025!$AB$3:$AB$1315,DataRegularSeason20242025!$B$3:$B$1315, "&lt;=" &amp; EL$1, DataRegularSeason20242025!$E$3:$E$1315, $A14)</f>
        <v>7</v>
      </c>
      <c r="EM14">
        <f>SUMIFS(DataRegularSeason20242025!$AA$3:$AA$1315,DataRegularSeason20242025!$B$3:$B$1315, "&lt;=" &amp; EM$1, DataRegularSeason20242025!$D$3:$D$1315, $A14)+SUMIFS(DataRegularSeason20242025!$AB$3:$AB$1315,DataRegularSeason20242025!$B$3:$B$1315, "&lt;=" &amp; EM$1, DataRegularSeason20242025!$E$3:$E$1315, $A14)</f>
        <v>7</v>
      </c>
      <c r="EN14">
        <f>SUMIFS(DataRegularSeason20242025!$AA$3:$AA$1315,DataRegularSeason20242025!$B$3:$B$1315, "&lt;=" &amp; EN$1, DataRegularSeason20242025!$D$3:$D$1315, $A14)+SUMIFS(DataRegularSeason20242025!$AB$3:$AB$1315,DataRegularSeason20242025!$B$3:$B$1315, "&lt;=" &amp; EN$1, DataRegularSeason20242025!$E$3:$E$1315, $A14)</f>
        <v>7</v>
      </c>
      <c r="EO14">
        <f>SUMIFS(DataRegularSeason20242025!$AA$3:$AA$1315,DataRegularSeason20242025!$B$3:$B$1315, "&lt;=" &amp; EO$1, DataRegularSeason20242025!$D$3:$D$1315, $A14)+SUMIFS(DataRegularSeason20242025!$AB$3:$AB$1315,DataRegularSeason20242025!$B$3:$B$1315, "&lt;=" &amp; EO$1, DataRegularSeason20242025!$E$3:$E$1315, $A14)</f>
        <v>7</v>
      </c>
      <c r="EP14">
        <f>SUMIFS(DataRegularSeason20242025!$AA$3:$AA$1315,DataRegularSeason20242025!$B$3:$B$1315, "&lt;=" &amp; EP$1, DataRegularSeason20242025!$D$3:$D$1315, $A14)+SUMIFS(DataRegularSeason20242025!$AB$3:$AB$1315,DataRegularSeason20242025!$B$3:$B$1315, "&lt;=" &amp; EP$1, DataRegularSeason20242025!$E$3:$E$1315, $A14)</f>
        <v>7</v>
      </c>
      <c r="EQ14">
        <f>SUMIFS(DataRegularSeason20242025!$AA$3:$AA$1315,DataRegularSeason20242025!$B$3:$B$1315, "&lt;=" &amp; EQ$1, DataRegularSeason20242025!$D$3:$D$1315, $A14)+SUMIFS(DataRegularSeason20242025!$AB$3:$AB$1315,DataRegularSeason20242025!$B$3:$B$1315, "&lt;=" &amp; EQ$1, DataRegularSeason20242025!$E$3:$E$1315, $A14)</f>
        <v>7</v>
      </c>
      <c r="ER14">
        <f>SUMIFS(DataRegularSeason20242025!$AA$3:$AA$1315,DataRegularSeason20242025!$B$3:$B$1315, "&lt;=" &amp; ER$1, DataRegularSeason20242025!$D$3:$D$1315, $A14)+SUMIFS(DataRegularSeason20242025!$AB$3:$AB$1315,DataRegularSeason20242025!$B$3:$B$1315, "&lt;=" &amp; ER$1, DataRegularSeason20242025!$E$3:$E$1315, $A14)</f>
        <v>7</v>
      </c>
      <c r="ES14">
        <f>SUMIFS(DataRegularSeason20242025!$AA$3:$AA$1315,DataRegularSeason20242025!$B$3:$B$1315, "&lt;=" &amp; ES$1, DataRegularSeason20242025!$D$3:$D$1315, $A14)+SUMIFS(DataRegularSeason20242025!$AB$3:$AB$1315,DataRegularSeason20242025!$B$3:$B$1315, "&lt;=" &amp; ES$1, DataRegularSeason20242025!$E$3:$E$1315, $A14)</f>
        <v>7</v>
      </c>
      <c r="ET14">
        <f>SUMIFS(DataRegularSeason20242025!$AA$3:$AA$1315,DataRegularSeason20242025!$B$3:$B$1315, "&lt;=" &amp; ET$1, DataRegularSeason20242025!$D$3:$D$1315, $A14)+SUMIFS(DataRegularSeason20242025!$AB$3:$AB$1315,DataRegularSeason20242025!$B$3:$B$1315, "&lt;=" &amp; ET$1, DataRegularSeason20242025!$E$3:$E$1315, $A14)</f>
        <v>7</v>
      </c>
      <c r="EU14">
        <f>SUMIFS(DataRegularSeason20242025!$AA$3:$AA$1315,DataRegularSeason20242025!$B$3:$B$1315, "&lt;=" &amp; EU$1, DataRegularSeason20242025!$D$3:$D$1315, $A14)+SUMIFS(DataRegularSeason20242025!$AB$3:$AB$1315,DataRegularSeason20242025!$B$3:$B$1315, "&lt;=" &amp; EU$1, DataRegularSeason20242025!$E$3:$E$1315, $A14)</f>
        <v>7</v>
      </c>
      <c r="EV14">
        <f>SUMIFS(DataRegularSeason20242025!$AA$3:$AA$1315,DataRegularSeason20242025!$B$3:$B$1315, "&lt;=" &amp; EV$1, DataRegularSeason20242025!$D$3:$D$1315, $A14)+SUMIFS(DataRegularSeason20242025!$AB$3:$AB$1315,DataRegularSeason20242025!$B$3:$B$1315, "&lt;=" &amp; EV$1, DataRegularSeason20242025!$E$3:$E$1315, $A14)</f>
        <v>7</v>
      </c>
      <c r="EW14">
        <f>SUMIFS(DataRegularSeason20242025!$AA$3:$AA$1315,DataRegularSeason20242025!$B$3:$B$1315, "&lt;=" &amp; EW$1, DataRegularSeason20242025!$D$3:$D$1315, $A14)+SUMIFS(DataRegularSeason20242025!$AB$3:$AB$1315,DataRegularSeason20242025!$B$3:$B$1315, "&lt;=" &amp; EW$1, DataRegularSeason20242025!$E$3:$E$1315, $A14)</f>
        <v>7</v>
      </c>
      <c r="EX14">
        <f>SUMIFS(DataRegularSeason20242025!$AA$3:$AA$1315,DataRegularSeason20242025!$B$3:$B$1315, "&lt;=" &amp; EX$1, DataRegularSeason20242025!$D$3:$D$1315, $A14)+SUMIFS(DataRegularSeason20242025!$AB$3:$AB$1315,DataRegularSeason20242025!$B$3:$B$1315, "&lt;=" &amp; EX$1, DataRegularSeason20242025!$E$3:$E$1315, $A14)</f>
        <v>7</v>
      </c>
      <c r="EY14">
        <f>SUMIFS(DataRegularSeason20242025!$AA$3:$AA$1315,DataRegularSeason20242025!$B$3:$B$1315, "&lt;=" &amp; EY$1, DataRegularSeason20242025!$D$3:$D$1315, $A14)+SUMIFS(DataRegularSeason20242025!$AB$3:$AB$1315,DataRegularSeason20242025!$B$3:$B$1315, "&lt;=" &amp; EY$1, DataRegularSeason20242025!$E$3:$E$1315, $A14)</f>
        <v>7</v>
      </c>
      <c r="EZ14">
        <f>SUMIFS(DataRegularSeason20242025!$AA$3:$AA$1315,DataRegularSeason20242025!$B$3:$B$1315, "&lt;=" &amp; EZ$1, DataRegularSeason20242025!$D$3:$D$1315, $A14)+SUMIFS(DataRegularSeason20242025!$AB$3:$AB$1315,DataRegularSeason20242025!$B$3:$B$1315, "&lt;=" &amp; EZ$1, DataRegularSeason20242025!$E$3:$E$1315, $A14)</f>
        <v>7</v>
      </c>
      <c r="FA14">
        <f>SUMIFS(DataRegularSeason20242025!$AA$3:$AA$1315,DataRegularSeason20242025!$B$3:$B$1315, "&lt;=" &amp; FA$1, DataRegularSeason20242025!$D$3:$D$1315, $A14)+SUMIFS(DataRegularSeason20242025!$AB$3:$AB$1315,DataRegularSeason20242025!$B$3:$B$1315, "&lt;=" &amp; FA$1, DataRegularSeason20242025!$E$3:$E$1315, $A14)</f>
        <v>7</v>
      </c>
      <c r="FB14">
        <f>SUMIFS(DataRegularSeason20242025!$AA$3:$AA$1315,DataRegularSeason20242025!$B$3:$B$1315, "&lt;=" &amp; FB$1, DataRegularSeason20242025!$D$3:$D$1315, $A14)+SUMIFS(DataRegularSeason20242025!$AB$3:$AB$1315,DataRegularSeason20242025!$B$3:$B$1315, "&lt;=" &amp; FB$1, DataRegularSeason20242025!$E$3:$E$1315, $A14)</f>
        <v>7</v>
      </c>
      <c r="FC14">
        <f>SUMIFS(DataRegularSeason20242025!$AA$3:$AA$1315,DataRegularSeason20242025!$B$3:$B$1315, "&lt;=" &amp; FC$1, DataRegularSeason20242025!$D$3:$D$1315, $A14)+SUMIFS(DataRegularSeason20242025!$AB$3:$AB$1315,DataRegularSeason20242025!$B$3:$B$1315, "&lt;=" &amp; FC$1, DataRegularSeason20242025!$E$3:$E$1315, $A14)</f>
        <v>7</v>
      </c>
      <c r="FD14">
        <f>SUMIFS(DataRegularSeason20242025!$AA$3:$AA$1315,DataRegularSeason20242025!$B$3:$B$1315, "&lt;=" &amp; FD$1, DataRegularSeason20242025!$D$3:$D$1315, $A14)+SUMIFS(DataRegularSeason20242025!$AB$3:$AB$1315,DataRegularSeason20242025!$B$3:$B$1315, "&lt;=" &amp; FD$1, DataRegularSeason20242025!$E$3:$E$1315, $A14)</f>
        <v>7</v>
      </c>
      <c r="FE14">
        <f>SUMIFS(DataRegularSeason20242025!$AA$3:$AA$1315,DataRegularSeason20242025!$B$3:$B$1315, "&lt;=" &amp; FE$1, DataRegularSeason20242025!$D$3:$D$1315, $A14)+SUMIFS(DataRegularSeason20242025!$AB$3:$AB$1315,DataRegularSeason20242025!$B$3:$B$1315, "&lt;=" &amp; FE$1, DataRegularSeason20242025!$E$3:$E$1315, $A14)</f>
        <v>7</v>
      </c>
      <c r="FF14">
        <f>SUMIFS(DataRegularSeason20242025!$AA$3:$AA$1315,DataRegularSeason20242025!$B$3:$B$1315, "&lt;=" &amp; FF$1, DataRegularSeason20242025!$D$3:$D$1315, $A14)+SUMIFS(DataRegularSeason20242025!$AB$3:$AB$1315,DataRegularSeason20242025!$B$3:$B$1315, "&lt;=" &amp; FF$1, DataRegularSeason20242025!$E$3:$E$1315, $A14)</f>
        <v>7</v>
      </c>
      <c r="FG14">
        <f>SUMIFS(DataRegularSeason20242025!$AA$3:$AA$1315,DataRegularSeason20242025!$B$3:$B$1315, "&lt;=" &amp; FG$1, DataRegularSeason20242025!$D$3:$D$1315, $A14)+SUMIFS(DataRegularSeason20242025!$AB$3:$AB$1315,DataRegularSeason20242025!$B$3:$B$1315, "&lt;=" &amp; FG$1, DataRegularSeason20242025!$E$3:$E$1315, $A14)</f>
        <v>7</v>
      </c>
      <c r="FH14">
        <f>SUMIFS(DataRegularSeason20242025!$AA$3:$AA$1315,DataRegularSeason20242025!$B$3:$B$1315, "&lt;=" &amp; FH$1, DataRegularSeason20242025!$D$3:$D$1315, $A14)+SUMIFS(DataRegularSeason20242025!$AB$3:$AB$1315,DataRegularSeason20242025!$B$3:$B$1315, "&lt;=" &amp; FH$1, DataRegularSeason20242025!$E$3:$E$1315, $A14)</f>
        <v>7</v>
      </c>
      <c r="FI14">
        <f>SUMIFS(DataRegularSeason20242025!$AA$3:$AA$1315,DataRegularSeason20242025!$B$3:$B$1315, "&lt;=" &amp; FI$1, DataRegularSeason20242025!$D$3:$D$1315, $A14)+SUMIFS(DataRegularSeason20242025!$AB$3:$AB$1315,DataRegularSeason20242025!$B$3:$B$1315, "&lt;=" &amp; FI$1, DataRegularSeason20242025!$E$3:$E$1315, $A14)</f>
        <v>7</v>
      </c>
      <c r="FJ14">
        <f>SUMIFS(DataRegularSeason20242025!$AA$3:$AA$1315,DataRegularSeason20242025!$B$3:$B$1315, "&lt;=" &amp; FJ$1, DataRegularSeason20242025!$D$3:$D$1315, $A14)+SUMIFS(DataRegularSeason20242025!$AB$3:$AB$1315,DataRegularSeason20242025!$B$3:$B$1315, "&lt;=" &amp; FJ$1, DataRegularSeason20242025!$E$3:$E$1315, $A14)</f>
        <v>7</v>
      </c>
      <c r="FK14">
        <f>SUMIFS(DataRegularSeason20242025!$AA$3:$AA$1315,DataRegularSeason20242025!$B$3:$B$1315, "&lt;=" &amp; FK$1, DataRegularSeason20242025!$D$3:$D$1315, $A14)+SUMIFS(DataRegularSeason20242025!$AB$3:$AB$1315,DataRegularSeason20242025!$B$3:$B$1315, "&lt;=" &amp; FK$1, DataRegularSeason20242025!$E$3:$E$1315, $A14)</f>
        <v>7</v>
      </c>
      <c r="FL14">
        <f>SUMIFS(DataRegularSeason20242025!$AA$3:$AA$1315,DataRegularSeason20242025!$B$3:$B$1315, "&lt;=" &amp; FL$1, DataRegularSeason20242025!$D$3:$D$1315, $A14)+SUMIFS(DataRegularSeason20242025!$AB$3:$AB$1315,DataRegularSeason20242025!$B$3:$B$1315, "&lt;=" &amp; FL$1, DataRegularSeason20242025!$E$3:$E$1315, $A14)</f>
        <v>7</v>
      </c>
      <c r="FM14">
        <f>SUMIFS(DataRegularSeason20242025!$AA$3:$AA$1315,DataRegularSeason20242025!$B$3:$B$1315, "&lt;=" &amp; FM$1, DataRegularSeason20242025!$D$3:$D$1315, $A14)+SUMIFS(DataRegularSeason20242025!$AB$3:$AB$1315,DataRegularSeason20242025!$B$3:$B$1315, "&lt;=" &amp; FM$1, DataRegularSeason20242025!$E$3:$E$1315, $A14)</f>
        <v>7</v>
      </c>
      <c r="FN14">
        <f>SUMIFS(DataRegularSeason20242025!$AA$3:$AA$1315,DataRegularSeason20242025!$B$3:$B$1315, "&lt;=" &amp; FN$1, DataRegularSeason20242025!$D$3:$D$1315, $A14)+SUMIFS(DataRegularSeason20242025!$AB$3:$AB$1315,DataRegularSeason20242025!$B$3:$B$1315, "&lt;=" &amp; FN$1, DataRegularSeason20242025!$E$3:$E$1315, $A14)</f>
        <v>7</v>
      </c>
      <c r="FO14">
        <f>SUMIFS(DataRegularSeason20242025!$AA$3:$AA$1315,DataRegularSeason20242025!$B$3:$B$1315, "&lt;=" &amp; FO$1, DataRegularSeason20242025!$D$3:$D$1315, $A14)+SUMIFS(DataRegularSeason20242025!$AB$3:$AB$1315,DataRegularSeason20242025!$B$3:$B$1315, "&lt;=" &amp; FO$1, DataRegularSeason20242025!$E$3:$E$1315, $A14)</f>
        <v>7</v>
      </c>
      <c r="FP14">
        <f>SUMIFS(DataRegularSeason20242025!$AA$3:$AA$1315,DataRegularSeason20242025!$B$3:$B$1315, "&lt;=" &amp; FP$1, DataRegularSeason20242025!$D$3:$D$1315, $A14)+SUMIFS(DataRegularSeason20242025!$AB$3:$AB$1315,DataRegularSeason20242025!$B$3:$B$1315, "&lt;=" &amp; FP$1, DataRegularSeason20242025!$E$3:$E$1315, $A14)</f>
        <v>7</v>
      </c>
      <c r="FQ14">
        <f>SUMIFS(DataRegularSeason20242025!$AA$3:$AA$1315,DataRegularSeason20242025!$B$3:$B$1315, "&lt;=" &amp; FQ$1, DataRegularSeason20242025!$D$3:$D$1315, $A14)+SUMIFS(DataRegularSeason20242025!$AB$3:$AB$1315,DataRegularSeason20242025!$B$3:$B$1315, "&lt;=" &amp; FQ$1, DataRegularSeason20242025!$E$3:$E$1315, $A14)</f>
        <v>7</v>
      </c>
      <c r="FR14">
        <f>SUMIFS(DataRegularSeason20242025!$AA$3:$AA$1315,DataRegularSeason20242025!$B$3:$B$1315, "&lt;=" &amp; FR$1, DataRegularSeason20242025!$D$3:$D$1315, $A14)+SUMIFS(DataRegularSeason20242025!$AB$3:$AB$1315,DataRegularSeason20242025!$B$3:$B$1315, "&lt;=" &amp; FR$1, DataRegularSeason20242025!$E$3:$E$1315, $A14)</f>
        <v>7</v>
      </c>
      <c r="FS14">
        <f>SUMIFS(DataRegularSeason20242025!$AA$3:$AA$1315,DataRegularSeason20242025!$B$3:$B$1315, "&lt;=" &amp; FS$1, DataRegularSeason20242025!$D$3:$D$1315, $A14)+SUMIFS(DataRegularSeason20242025!$AB$3:$AB$1315,DataRegularSeason20242025!$B$3:$B$1315, "&lt;=" &amp; FS$1, DataRegularSeason20242025!$E$3:$E$1315, $A14)</f>
        <v>7</v>
      </c>
      <c r="FT14">
        <f>SUMIFS(DataRegularSeason20242025!$AA$3:$AA$1315,DataRegularSeason20242025!$B$3:$B$1315, "&lt;=" &amp; FT$1, DataRegularSeason20242025!$D$3:$D$1315, $A14)+SUMIFS(DataRegularSeason20242025!$AB$3:$AB$1315,DataRegularSeason20242025!$B$3:$B$1315, "&lt;=" &amp; FT$1, DataRegularSeason20242025!$E$3:$E$1315, $A14)</f>
        <v>7</v>
      </c>
      <c r="FU14">
        <f>SUMIFS(DataRegularSeason20242025!$AA$3:$AA$1315,DataRegularSeason20242025!$B$3:$B$1315, "&lt;=" &amp; FU$1, DataRegularSeason20242025!$D$3:$D$1315, $A14)+SUMIFS(DataRegularSeason20242025!$AB$3:$AB$1315,DataRegularSeason20242025!$B$3:$B$1315, "&lt;=" &amp; FU$1, DataRegularSeason20242025!$E$3:$E$1315, $A14)</f>
        <v>7</v>
      </c>
      <c r="FV14">
        <f>SUMIFS(DataRegularSeason20242025!$AA$3:$AA$1315,DataRegularSeason20242025!$B$3:$B$1315, "&lt;=" &amp; FV$1, DataRegularSeason20242025!$D$3:$D$1315, $A14)+SUMIFS(DataRegularSeason20242025!$AB$3:$AB$1315,DataRegularSeason20242025!$B$3:$B$1315, "&lt;=" &amp; FV$1, DataRegularSeason20242025!$E$3:$E$1315, $A14)</f>
        <v>7</v>
      </c>
      <c r="FW14">
        <f>SUMIFS(DataRegularSeason20242025!$AA$3:$AA$1315,DataRegularSeason20242025!$B$3:$B$1315, "&lt;=" &amp; FW$1, DataRegularSeason20242025!$D$3:$D$1315, $A14)+SUMIFS(DataRegularSeason20242025!$AB$3:$AB$1315,DataRegularSeason20242025!$B$3:$B$1315, "&lt;=" &amp; FW$1, DataRegularSeason20242025!$E$3:$E$1315, $A14)</f>
        <v>7</v>
      </c>
      <c r="FX14">
        <f>SUMIFS(DataRegularSeason20242025!$AA$3:$AA$1315,DataRegularSeason20242025!$B$3:$B$1315, "&lt;=" &amp; FX$1, DataRegularSeason20242025!$D$3:$D$1315, $A14)+SUMIFS(DataRegularSeason20242025!$AB$3:$AB$1315,DataRegularSeason20242025!$B$3:$B$1315, "&lt;=" &amp; FX$1, DataRegularSeason20242025!$E$3:$E$1315, $A14)</f>
        <v>7</v>
      </c>
      <c r="FY14">
        <f>SUMIFS(DataRegularSeason20242025!$AA$3:$AA$1315,DataRegularSeason20242025!$B$3:$B$1315, "&lt;=" &amp; FY$1, DataRegularSeason20242025!$D$3:$D$1315, $A14)+SUMIFS(DataRegularSeason20242025!$AB$3:$AB$1315,DataRegularSeason20242025!$B$3:$B$1315, "&lt;=" &amp; FY$1, DataRegularSeason20242025!$E$3:$E$1315, $A14)</f>
        <v>7</v>
      </c>
      <c r="FZ14">
        <f>SUMIFS(DataRegularSeason20242025!$AA$3:$AA$1315,DataRegularSeason20242025!$B$3:$B$1315, "&lt;=" &amp; FZ$1, DataRegularSeason20242025!$D$3:$D$1315, $A14)+SUMIFS(DataRegularSeason20242025!$AB$3:$AB$1315,DataRegularSeason20242025!$B$3:$B$1315, "&lt;=" &amp; FZ$1, DataRegularSeason20242025!$E$3:$E$1315, $A14)</f>
        <v>7</v>
      </c>
      <c r="GA14">
        <f>SUMIFS(DataRegularSeason20242025!$AA$3:$AA$1315,DataRegularSeason20242025!$B$3:$B$1315, "&lt;=" &amp; GA$1, DataRegularSeason20242025!$D$3:$D$1315, $A14)+SUMIFS(DataRegularSeason20242025!$AB$3:$AB$1315,DataRegularSeason20242025!$B$3:$B$1315, "&lt;=" &amp; GA$1, DataRegularSeason20242025!$E$3:$E$1315, $A14)</f>
        <v>7</v>
      </c>
      <c r="GB14">
        <f>SUMIFS(DataRegularSeason20242025!$AA$3:$AA$1315,DataRegularSeason20242025!$B$3:$B$1315, "&lt;=" &amp; GB$1, DataRegularSeason20242025!$D$3:$D$1315, $A14)+SUMIFS(DataRegularSeason20242025!$AB$3:$AB$1315,DataRegularSeason20242025!$B$3:$B$1315, "&lt;=" &amp; GB$1, DataRegularSeason20242025!$E$3:$E$1315, $A14)</f>
        <v>7</v>
      </c>
      <c r="GC14">
        <f>SUMIFS(DataRegularSeason20242025!$AA$3:$AA$1315,DataRegularSeason20242025!$B$3:$B$1315, "&lt;=" &amp; GC$1, DataRegularSeason20242025!$D$3:$D$1315, $A14)+SUMIFS(DataRegularSeason20242025!$AB$3:$AB$1315,DataRegularSeason20242025!$B$3:$B$1315, "&lt;=" &amp; GC$1, DataRegularSeason20242025!$E$3:$E$1315, $A14)</f>
        <v>7</v>
      </c>
      <c r="GD14">
        <f>SUMIFS(DataRegularSeason20242025!$AA$3:$AA$1315,DataRegularSeason20242025!$B$3:$B$1315, "&lt;=" &amp; GD$1, DataRegularSeason20242025!$D$3:$D$1315, $A14)+SUMIFS(DataRegularSeason20242025!$AB$3:$AB$1315,DataRegularSeason20242025!$B$3:$B$1315, "&lt;=" &amp; GD$1, DataRegularSeason20242025!$E$3:$E$1315, $A14)</f>
        <v>7</v>
      </c>
      <c r="GE14">
        <f>SUMIFS(DataRegularSeason20242025!$AA$3:$AA$1315,DataRegularSeason20242025!$B$3:$B$1315, "&lt;=" &amp; GE$1, DataRegularSeason20242025!$D$3:$D$1315, $A14)+SUMIFS(DataRegularSeason20242025!$AB$3:$AB$1315,DataRegularSeason20242025!$B$3:$B$1315, "&lt;=" &amp; GE$1, DataRegularSeason20242025!$E$3:$E$1315, $A14)</f>
        <v>7</v>
      </c>
      <c r="GF14">
        <f>SUMIFS(DataRegularSeason20242025!$AA$3:$AA$1315,DataRegularSeason20242025!$B$3:$B$1315, "&lt;=" &amp; GF$1, DataRegularSeason20242025!$D$3:$D$1315, $A14)+SUMIFS(DataRegularSeason20242025!$AB$3:$AB$1315,DataRegularSeason20242025!$B$3:$B$1315, "&lt;=" &amp; GF$1, DataRegularSeason20242025!$E$3:$E$1315, $A14)</f>
        <v>7</v>
      </c>
      <c r="GG14">
        <f>SUMIFS(DataRegularSeason20242025!$AA$3:$AA$1315,DataRegularSeason20242025!$B$3:$B$1315, "&lt;=" &amp; GG$1, DataRegularSeason20242025!$D$3:$D$1315, $A14)+SUMIFS(DataRegularSeason20242025!$AB$3:$AB$1315,DataRegularSeason20242025!$B$3:$B$1315, "&lt;=" &amp; GG$1, DataRegularSeason20242025!$E$3:$E$1315, $A14)</f>
        <v>7</v>
      </c>
      <c r="GH14">
        <f>SUMIFS(DataRegularSeason20242025!$AA$3:$AA$1315,DataRegularSeason20242025!$B$3:$B$1315, "&lt;=" &amp; GH$1, DataRegularSeason20242025!$D$3:$D$1315, $A14)+SUMIFS(DataRegularSeason20242025!$AB$3:$AB$1315,DataRegularSeason20242025!$B$3:$B$1315, "&lt;=" &amp; GH$1, DataRegularSeason20242025!$E$3:$E$1315, $A14)</f>
        <v>7</v>
      </c>
      <c r="GI14">
        <f>SUMIFS(DataRegularSeason20242025!$AA$3:$AA$1315,DataRegularSeason20242025!$B$3:$B$1315, "&lt;=" &amp; GI$1, DataRegularSeason20242025!$D$3:$D$1315, $A14)+SUMIFS(DataRegularSeason20242025!$AB$3:$AB$1315,DataRegularSeason20242025!$B$3:$B$1315, "&lt;=" &amp; GI$1, DataRegularSeason20242025!$E$3:$E$1315, $A14)</f>
        <v>7</v>
      </c>
      <c r="GJ14">
        <f>SUMIFS(DataRegularSeason20242025!$AA$3:$AA$1315,DataRegularSeason20242025!$B$3:$B$1315, "&lt;=" &amp; GJ$1, DataRegularSeason20242025!$D$3:$D$1315, $A14)+SUMIFS(DataRegularSeason20242025!$AB$3:$AB$1315,DataRegularSeason20242025!$B$3:$B$1315, "&lt;=" &amp; GJ$1, DataRegularSeason20242025!$E$3:$E$1315, $A14)</f>
        <v>7</v>
      </c>
      <c r="GK14">
        <f>SUMIFS(DataRegularSeason20242025!$AA$3:$AA$1315,DataRegularSeason20242025!$B$3:$B$1315, "&lt;=" &amp; GK$1, DataRegularSeason20242025!$D$3:$D$1315, $A14)+SUMIFS(DataRegularSeason20242025!$AB$3:$AB$1315,DataRegularSeason20242025!$B$3:$B$1315, "&lt;=" &amp; GK$1, DataRegularSeason20242025!$E$3:$E$1315, $A14)</f>
        <v>7</v>
      </c>
      <c r="GL14">
        <f>SUMIFS(DataRegularSeason20242025!$AA$3:$AA$1315,DataRegularSeason20242025!$B$3:$B$1315, "&lt;=" &amp; GL$1, DataRegularSeason20242025!$D$3:$D$1315, $A14)+SUMIFS(DataRegularSeason20242025!$AB$3:$AB$1315,DataRegularSeason20242025!$B$3:$B$1315, "&lt;=" &amp; GL$1, DataRegularSeason20242025!$E$3:$E$1315, $A14)</f>
        <v>7</v>
      </c>
      <c r="GM14">
        <f>SUMIFS(DataRegularSeason20242025!$AA$3:$AA$1315,DataRegularSeason20242025!$B$3:$B$1315, "&lt;=" &amp; GM$1, DataRegularSeason20242025!$D$3:$D$1315, $A14)+SUMIFS(DataRegularSeason20242025!$AB$3:$AB$1315,DataRegularSeason20242025!$B$3:$B$1315, "&lt;=" &amp; GM$1, DataRegularSeason20242025!$E$3:$E$1315, $A14)</f>
        <v>7</v>
      </c>
      <c r="GN14">
        <f>SUMIFS(DataRegularSeason20242025!$AA$3:$AA$1315,DataRegularSeason20242025!$B$3:$B$1315, "&lt;=" &amp; GN$1, DataRegularSeason20242025!$D$3:$D$1315, $A14)+SUMIFS(DataRegularSeason20242025!$AB$3:$AB$1315,DataRegularSeason20242025!$B$3:$B$1315, "&lt;=" &amp; GN$1, DataRegularSeason20242025!$E$3:$E$1315, $A14)</f>
        <v>7</v>
      </c>
      <c r="GO14">
        <f>SUMIFS(DataRegularSeason20242025!$AA$3:$AA$1315,DataRegularSeason20242025!$B$3:$B$1315, "&lt;=" &amp; GO$1, DataRegularSeason20242025!$D$3:$D$1315, $A14)+SUMIFS(DataRegularSeason20242025!$AB$3:$AB$1315,DataRegularSeason20242025!$B$3:$B$1315, "&lt;=" &amp; GO$1, DataRegularSeason20242025!$E$3:$E$1315, $A14)</f>
        <v>7</v>
      </c>
      <c r="GP14">
        <f>SUMIFS(DataRegularSeason20242025!$AA$3:$AA$1315,DataRegularSeason20242025!$B$3:$B$1315, "&lt;=" &amp; GP$1, DataRegularSeason20242025!$D$3:$D$1315, $A14)+SUMIFS(DataRegularSeason20242025!$AB$3:$AB$1315,DataRegularSeason20242025!$B$3:$B$1315, "&lt;=" &amp; GP$1, DataRegularSeason20242025!$E$3:$E$1315, $A14)</f>
        <v>7</v>
      </c>
      <c r="GQ14">
        <f>SUMIFS(DataRegularSeason20242025!$AA$3:$AA$1315,DataRegularSeason20242025!$B$3:$B$1315, "&lt;=" &amp; GQ$1, DataRegularSeason20242025!$D$3:$D$1315, $A14)+SUMIFS(DataRegularSeason20242025!$AB$3:$AB$1315,DataRegularSeason20242025!$B$3:$B$1315, "&lt;=" &amp; GQ$1, DataRegularSeason20242025!$E$3:$E$1315, $A14)</f>
        <v>7</v>
      </c>
      <c r="GR14">
        <f>SUMIFS(DataRegularSeason20242025!$AA$3:$AA$1315,DataRegularSeason20242025!$B$3:$B$1315, "&lt;=" &amp; GR$1, DataRegularSeason20242025!$D$3:$D$1315, $A14)+SUMIFS(DataRegularSeason20242025!$AB$3:$AB$1315,DataRegularSeason20242025!$B$3:$B$1315, "&lt;=" &amp; GR$1, DataRegularSeason20242025!$E$3:$E$1315, $A14)</f>
        <v>7</v>
      </c>
      <c r="GS14">
        <f>SUMIFS(DataRegularSeason20242025!$AA$3:$AA$1315,DataRegularSeason20242025!$B$3:$B$1315, "&lt;=" &amp; GS$1, DataRegularSeason20242025!$D$3:$D$1315, $A14)+SUMIFS(DataRegularSeason20242025!$AB$3:$AB$1315,DataRegularSeason20242025!$B$3:$B$1315, "&lt;=" &amp; GS$1, DataRegularSeason20242025!$E$3:$E$1315, $A14)</f>
        <v>7</v>
      </c>
      <c r="GT14">
        <f>SUMIFS(DataRegularSeason20242025!$AA$3:$AA$1315,DataRegularSeason20242025!$B$3:$B$1315, "&lt;=" &amp; GT$1, DataRegularSeason20242025!$D$3:$D$1315, $A14)+SUMIFS(DataRegularSeason20242025!$AB$3:$AB$1315,DataRegularSeason20242025!$B$3:$B$1315, "&lt;=" &amp; GT$1, DataRegularSeason20242025!$E$3:$E$1315, $A14)</f>
        <v>7</v>
      </c>
      <c r="GU14">
        <f>SUMIFS(DataRegularSeason20242025!$AA$3:$AA$1315,DataRegularSeason20242025!$B$3:$B$1315, "&lt;=" &amp; GU$1, DataRegularSeason20242025!$D$3:$D$1315, $A14)+SUMIFS(DataRegularSeason20242025!$AB$3:$AB$1315,DataRegularSeason20242025!$B$3:$B$1315, "&lt;=" &amp; GU$1, DataRegularSeason20242025!$E$3:$E$1315, $A14)</f>
        <v>7</v>
      </c>
    </row>
    <row r="15" spans="1:275" x14ac:dyDescent="0.25">
      <c r="A15" t="s">
        <v>42</v>
      </c>
      <c r="B15" t="s">
        <v>91</v>
      </c>
      <c r="C15" s="106" t="s">
        <v>92</v>
      </c>
      <c r="D15">
        <f>SUMIFS(DataRegularSeason20242025!$AA$3:$AA$1315,DataRegularSeason20242025!$B$3:$B$1315, "&lt;=" &amp; D$1, DataRegularSeason20242025!$D$3:$D$1315, $A15)+SUMIFS(DataRegularSeason20242025!$AB$3:$AB$1315,DataRegularSeason20242025!$B$3:$B$1315, "&lt;=" &amp; D$1, DataRegularSeason20242025!$E$3:$E$1315, $A15)</f>
        <v>0</v>
      </c>
      <c r="E15">
        <f>SUMIFS(DataRegularSeason20242025!$AA$3:$AA$1315,DataRegularSeason20242025!$B$3:$B$1315, "&lt;=" &amp; E$1, DataRegularSeason20242025!$D$3:$D$1315, $A15)+SUMIFS(DataRegularSeason20242025!$AB$3:$AB$1315,DataRegularSeason20242025!$B$3:$B$1315, "&lt;=" &amp; E$1, DataRegularSeason20242025!$E$3:$E$1315, $A15)</f>
        <v>0</v>
      </c>
      <c r="F15">
        <f>SUMIFS(DataRegularSeason20242025!$AA$3:$AA$1315,DataRegularSeason20242025!$B$3:$B$1315, "&lt;=" &amp; F$1, DataRegularSeason20242025!$D$3:$D$1315, $A15)+SUMIFS(DataRegularSeason20242025!$AB$3:$AB$1315,DataRegularSeason20242025!$B$3:$B$1315, "&lt;=" &amp; F$1, DataRegularSeason20242025!$E$3:$E$1315, $A15)</f>
        <v>0</v>
      </c>
      <c r="G15">
        <f>SUMIFS(DataRegularSeason20242025!$AA$3:$AA$1315,DataRegularSeason20242025!$B$3:$B$1315, "&lt;=" &amp; G$1, DataRegularSeason20242025!$D$3:$D$1315, $A15)+SUMIFS(DataRegularSeason20242025!$AB$3:$AB$1315,DataRegularSeason20242025!$B$3:$B$1315, "&lt;=" &amp; G$1, DataRegularSeason20242025!$E$3:$E$1315, $A15)</f>
        <v>0</v>
      </c>
      <c r="H15">
        <f>SUMIFS(DataRegularSeason20242025!$AA$3:$AA$1315,DataRegularSeason20242025!$B$3:$B$1315, "&lt;=" &amp; H$1, DataRegularSeason20242025!$D$3:$D$1315, $A15)+SUMIFS(DataRegularSeason20242025!$AB$3:$AB$1315,DataRegularSeason20242025!$B$3:$B$1315, "&lt;=" &amp; H$1, DataRegularSeason20242025!$E$3:$E$1315, $A15)</f>
        <v>0</v>
      </c>
      <c r="I15">
        <f>SUMIFS(DataRegularSeason20242025!$AA$3:$AA$1315,DataRegularSeason20242025!$B$3:$B$1315, "&lt;=" &amp; I$1, DataRegularSeason20242025!$D$3:$D$1315, $A15)+SUMIFS(DataRegularSeason20242025!$AB$3:$AB$1315,DataRegularSeason20242025!$B$3:$B$1315, "&lt;=" &amp; I$1, DataRegularSeason20242025!$E$3:$E$1315, $A15)</f>
        <v>0</v>
      </c>
      <c r="J15">
        <f>SUMIFS(DataRegularSeason20242025!$AA$3:$AA$1315,DataRegularSeason20242025!$B$3:$B$1315, "&lt;=" &amp; J$1, DataRegularSeason20242025!$D$3:$D$1315, $A15)+SUMIFS(DataRegularSeason20242025!$AB$3:$AB$1315,DataRegularSeason20242025!$B$3:$B$1315, "&lt;=" &amp; J$1, DataRegularSeason20242025!$E$3:$E$1315, $A15)</f>
        <v>0</v>
      </c>
      <c r="K15">
        <f>SUMIFS(DataRegularSeason20242025!$AA$3:$AA$1315,DataRegularSeason20242025!$B$3:$B$1315, "&lt;=" &amp; K$1, DataRegularSeason20242025!$D$3:$D$1315, $A15)+SUMIFS(DataRegularSeason20242025!$AB$3:$AB$1315,DataRegularSeason20242025!$B$3:$B$1315, "&lt;=" &amp; K$1, DataRegularSeason20242025!$E$3:$E$1315, $A15)</f>
        <v>0</v>
      </c>
      <c r="L15">
        <f>SUMIFS(DataRegularSeason20242025!$AA$3:$AA$1315,DataRegularSeason20242025!$B$3:$B$1315, "&lt;=" &amp; L$1, DataRegularSeason20242025!$D$3:$D$1315, $A15)+SUMIFS(DataRegularSeason20242025!$AB$3:$AB$1315,DataRegularSeason20242025!$B$3:$B$1315, "&lt;=" &amp; L$1, DataRegularSeason20242025!$E$3:$E$1315, $A15)</f>
        <v>1</v>
      </c>
      <c r="M15">
        <f>SUMIFS(DataRegularSeason20242025!$AA$3:$AA$1315,DataRegularSeason20242025!$B$3:$B$1315, "&lt;=" &amp; M$1, DataRegularSeason20242025!$D$3:$D$1315, $A15)+SUMIFS(DataRegularSeason20242025!$AB$3:$AB$1315,DataRegularSeason20242025!$B$3:$B$1315, "&lt;=" &amp; M$1, DataRegularSeason20242025!$E$3:$E$1315, $A15)</f>
        <v>1</v>
      </c>
      <c r="N15">
        <f>SUMIFS(DataRegularSeason20242025!$AA$3:$AA$1315,DataRegularSeason20242025!$B$3:$B$1315, "&lt;=" &amp; N$1, DataRegularSeason20242025!$D$3:$D$1315, $A15)+SUMIFS(DataRegularSeason20242025!$AB$3:$AB$1315,DataRegularSeason20242025!$B$3:$B$1315, "&lt;=" &amp; N$1, DataRegularSeason20242025!$E$3:$E$1315, $A15)</f>
        <v>3</v>
      </c>
      <c r="O15">
        <f>SUMIFS(DataRegularSeason20242025!$AA$3:$AA$1315,DataRegularSeason20242025!$B$3:$B$1315, "&lt;=" &amp; O$1, DataRegularSeason20242025!$D$3:$D$1315, $A15)+SUMIFS(DataRegularSeason20242025!$AB$3:$AB$1315,DataRegularSeason20242025!$B$3:$B$1315, "&lt;=" &amp; O$1, DataRegularSeason20242025!$E$3:$E$1315, $A15)</f>
        <v>3</v>
      </c>
      <c r="P15">
        <f>SUMIFS(DataRegularSeason20242025!$AA$3:$AA$1315,DataRegularSeason20242025!$B$3:$B$1315, "&lt;=" &amp; P$1, DataRegularSeason20242025!$D$3:$D$1315, $A15)+SUMIFS(DataRegularSeason20242025!$AB$3:$AB$1315,DataRegularSeason20242025!$B$3:$B$1315, "&lt;=" &amp; P$1, DataRegularSeason20242025!$E$3:$E$1315, $A15)</f>
        <v>3</v>
      </c>
      <c r="Q15">
        <f>SUMIFS(DataRegularSeason20242025!$AA$3:$AA$1315,DataRegularSeason20242025!$B$3:$B$1315, "&lt;=" &amp; Q$1, DataRegularSeason20242025!$D$3:$D$1315, $A15)+SUMIFS(DataRegularSeason20242025!$AB$3:$AB$1315,DataRegularSeason20242025!$B$3:$B$1315, "&lt;=" &amp; Q$1, DataRegularSeason20242025!$E$3:$E$1315, $A15)</f>
        <v>3</v>
      </c>
      <c r="R15">
        <f>SUMIFS(DataRegularSeason20242025!$AA$3:$AA$1315,DataRegularSeason20242025!$B$3:$B$1315, "&lt;=" &amp; R$1, DataRegularSeason20242025!$D$3:$D$1315, $A15)+SUMIFS(DataRegularSeason20242025!$AB$3:$AB$1315,DataRegularSeason20242025!$B$3:$B$1315, "&lt;=" &amp; R$1, DataRegularSeason20242025!$E$3:$E$1315, $A15)</f>
        <v>3</v>
      </c>
      <c r="S15">
        <f>SUMIFS(DataRegularSeason20242025!$AA$3:$AA$1315,DataRegularSeason20242025!$B$3:$B$1315, "&lt;=" &amp; S$1, DataRegularSeason20242025!$D$3:$D$1315, $A15)+SUMIFS(DataRegularSeason20242025!$AB$3:$AB$1315,DataRegularSeason20242025!$B$3:$B$1315, "&lt;=" &amp; S$1, DataRegularSeason20242025!$E$3:$E$1315, $A15)</f>
        <v>5</v>
      </c>
      <c r="T15">
        <f>SUMIFS(DataRegularSeason20242025!$AA$3:$AA$1315,DataRegularSeason20242025!$B$3:$B$1315, "&lt;=" &amp; T$1, DataRegularSeason20242025!$D$3:$D$1315, $A15)+SUMIFS(DataRegularSeason20242025!$AB$3:$AB$1315,DataRegularSeason20242025!$B$3:$B$1315, "&lt;=" &amp; T$1, DataRegularSeason20242025!$E$3:$E$1315, $A15)</f>
        <v>5</v>
      </c>
      <c r="U15">
        <f>SUMIFS(DataRegularSeason20242025!$AA$3:$AA$1315,DataRegularSeason20242025!$B$3:$B$1315, "&lt;=" &amp; U$1, DataRegularSeason20242025!$D$3:$D$1315, $A15)+SUMIFS(DataRegularSeason20242025!$AB$3:$AB$1315,DataRegularSeason20242025!$B$3:$B$1315, "&lt;=" &amp; U$1, DataRegularSeason20242025!$E$3:$E$1315, $A15)</f>
        <v>7</v>
      </c>
      <c r="V15">
        <f>SUMIFS(DataRegularSeason20242025!$AA$3:$AA$1315,DataRegularSeason20242025!$B$3:$B$1315, "&lt;=" &amp; V$1, DataRegularSeason20242025!$D$3:$D$1315, $A15)+SUMIFS(DataRegularSeason20242025!$AB$3:$AB$1315,DataRegularSeason20242025!$B$3:$B$1315, "&lt;=" &amp; V$1, DataRegularSeason20242025!$E$3:$E$1315, $A15)</f>
        <v>7</v>
      </c>
      <c r="W15">
        <f>SUMIFS(DataRegularSeason20242025!$AA$3:$AA$1315,DataRegularSeason20242025!$B$3:$B$1315, "&lt;=" &amp; W$1, DataRegularSeason20242025!$D$3:$D$1315, $A15)+SUMIFS(DataRegularSeason20242025!$AB$3:$AB$1315,DataRegularSeason20242025!$B$3:$B$1315, "&lt;=" &amp; W$1, DataRegularSeason20242025!$E$3:$E$1315, $A15)</f>
        <v>7</v>
      </c>
      <c r="X15">
        <f>SUMIFS(DataRegularSeason20242025!$AA$3:$AA$1315,DataRegularSeason20242025!$B$3:$B$1315, "&lt;=" &amp; X$1, DataRegularSeason20242025!$D$3:$D$1315, $A15)+SUMIFS(DataRegularSeason20242025!$AB$3:$AB$1315,DataRegularSeason20242025!$B$3:$B$1315, "&lt;=" &amp; X$1, DataRegularSeason20242025!$E$3:$E$1315, $A15)</f>
        <v>7</v>
      </c>
      <c r="Y15">
        <f>SUMIFS(DataRegularSeason20242025!$AA$3:$AA$1315,DataRegularSeason20242025!$B$3:$B$1315, "&lt;=" &amp; Y$1, DataRegularSeason20242025!$D$3:$D$1315, $A15)+SUMIFS(DataRegularSeason20242025!$AB$3:$AB$1315,DataRegularSeason20242025!$B$3:$B$1315, "&lt;=" &amp; Y$1, DataRegularSeason20242025!$E$3:$E$1315, $A15)</f>
        <v>7</v>
      </c>
      <c r="Z15">
        <f>SUMIFS(DataRegularSeason20242025!$AA$3:$AA$1315,DataRegularSeason20242025!$B$3:$B$1315, "&lt;=" &amp; Z$1, DataRegularSeason20242025!$D$3:$D$1315, $A15)+SUMIFS(DataRegularSeason20242025!$AB$3:$AB$1315,DataRegularSeason20242025!$B$3:$B$1315, "&lt;=" &amp; Z$1, DataRegularSeason20242025!$E$3:$E$1315, $A15)</f>
        <v>7</v>
      </c>
      <c r="AA15">
        <f>SUMIFS(DataRegularSeason20242025!$AA$3:$AA$1315,DataRegularSeason20242025!$B$3:$B$1315, "&lt;=" &amp; AA$1, DataRegularSeason20242025!$D$3:$D$1315, $A15)+SUMIFS(DataRegularSeason20242025!$AB$3:$AB$1315,DataRegularSeason20242025!$B$3:$B$1315, "&lt;=" &amp; AA$1, DataRegularSeason20242025!$E$3:$E$1315, $A15)</f>
        <v>7</v>
      </c>
      <c r="AB15">
        <f>SUMIFS(DataRegularSeason20242025!$AA$3:$AA$1315,DataRegularSeason20242025!$B$3:$B$1315, "&lt;=" &amp; AB$1, DataRegularSeason20242025!$D$3:$D$1315, $A15)+SUMIFS(DataRegularSeason20242025!$AB$3:$AB$1315,DataRegularSeason20242025!$B$3:$B$1315, "&lt;=" &amp; AB$1, DataRegularSeason20242025!$E$3:$E$1315, $A15)</f>
        <v>7</v>
      </c>
      <c r="AC15">
        <f>SUMIFS(DataRegularSeason20242025!$AA$3:$AA$1315,DataRegularSeason20242025!$B$3:$B$1315, "&lt;=" &amp; AC$1, DataRegularSeason20242025!$D$3:$D$1315, $A15)+SUMIFS(DataRegularSeason20242025!$AB$3:$AB$1315,DataRegularSeason20242025!$B$3:$B$1315, "&lt;=" &amp; AC$1, DataRegularSeason20242025!$E$3:$E$1315, $A15)</f>
        <v>7</v>
      </c>
      <c r="AD15">
        <f>SUMIFS(DataRegularSeason20242025!$AA$3:$AA$1315,DataRegularSeason20242025!$B$3:$B$1315, "&lt;=" &amp; AD$1, DataRegularSeason20242025!$D$3:$D$1315, $A15)+SUMIFS(DataRegularSeason20242025!$AB$3:$AB$1315,DataRegularSeason20242025!$B$3:$B$1315, "&lt;=" &amp; AD$1, DataRegularSeason20242025!$E$3:$E$1315, $A15)</f>
        <v>7</v>
      </c>
      <c r="AE15">
        <f>SUMIFS(DataRegularSeason20242025!$AA$3:$AA$1315,DataRegularSeason20242025!$B$3:$B$1315, "&lt;=" &amp; AE$1, DataRegularSeason20242025!$D$3:$D$1315, $A15)+SUMIFS(DataRegularSeason20242025!$AB$3:$AB$1315,DataRegularSeason20242025!$B$3:$B$1315, "&lt;=" &amp; AE$1, DataRegularSeason20242025!$E$3:$E$1315, $A15)</f>
        <v>7</v>
      </c>
      <c r="AF15">
        <f>SUMIFS(DataRegularSeason20242025!$AA$3:$AA$1315,DataRegularSeason20242025!$B$3:$B$1315, "&lt;=" &amp; AF$1, DataRegularSeason20242025!$D$3:$D$1315, $A15)+SUMIFS(DataRegularSeason20242025!$AB$3:$AB$1315,DataRegularSeason20242025!$B$3:$B$1315, "&lt;=" &amp; AF$1, DataRegularSeason20242025!$E$3:$E$1315, $A15)</f>
        <v>7</v>
      </c>
      <c r="AG15">
        <f>SUMIFS(DataRegularSeason20242025!$AA$3:$AA$1315,DataRegularSeason20242025!$B$3:$B$1315, "&lt;=" &amp; AG$1, DataRegularSeason20242025!$D$3:$D$1315, $A15)+SUMIFS(DataRegularSeason20242025!$AB$3:$AB$1315,DataRegularSeason20242025!$B$3:$B$1315, "&lt;=" &amp; AG$1, DataRegularSeason20242025!$E$3:$E$1315, $A15)</f>
        <v>7</v>
      </c>
      <c r="AH15">
        <f>SUMIFS(DataRegularSeason20242025!$AA$3:$AA$1315,DataRegularSeason20242025!$B$3:$B$1315, "&lt;=" &amp; AH$1, DataRegularSeason20242025!$D$3:$D$1315, $A15)+SUMIFS(DataRegularSeason20242025!$AB$3:$AB$1315,DataRegularSeason20242025!$B$3:$B$1315, "&lt;=" &amp; AH$1, DataRegularSeason20242025!$E$3:$E$1315, $A15)</f>
        <v>7</v>
      </c>
      <c r="AI15">
        <f>SUMIFS(DataRegularSeason20242025!$AA$3:$AA$1315,DataRegularSeason20242025!$B$3:$B$1315, "&lt;=" &amp; AI$1, DataRegularSeason20242025!$D$3:$D$1315, $A15)+SUMIFS(DataRegularSeason20242025!$AB$3:$AB$1315,DataRegularSeason20242025!$B$3:$B$1315, "&lt;=" &amp; AI$1, DataRegularSeason20242025!$E$3:$E$1315, $A15)</f>
        <v>7</v>
      </c>
      <c r="AJ15">
        <f>SUMIFS(DataRegularSeason20242025!$AA$3:$AA$1315,DataRegularSeason20242025!$B$3:$B$1315, "&lt;=" &amp; AJ$1, DataRegularSeason20242025!$D$3:$D$1315, $A15)+SUMIFS(DataRegularSeason20242025!$AB$3:$AB$1315,DataRegularSeason20242025!$B$3:$B$1315, "&lt;=" &amp; AJ$1, DataRegularSeason20242025!$E$3:$E$1315, $A15)</f>
        <v>7</v>
      </c>
      <c r="AK15">
        <f>SUMIFS(DataRegularSeason20242025!$AA$3:$AA$1315,DataRegularSeason20242025!$B$3:$B$1315, "&lt;=" &amp; AK$1, DataRegularSeason20242025!$D$3:$D$1315, $A15)+SUMIFS(DataRegularSeason20242025!$AB$3:$AB$1315,DataRegularSeason20242025!$B$3:$B$1315, "&lt;=" &amp; AK$1, DataRegularSeason20242025!$E$3:$E$1315, $A15)</f>
        <v>7</v>
      </c>
      <c r="AL15">
        <f>SUMIFS(DataRegularSeason20242025!$AA$3:$AA$1315,DataRegularSeason20242025!$B$3:$B$1315, "&lt;=" &amp; AL$1, DataRegularSeason20242025!$D$3:$D$1315, $A15)+SUMIFS(DataRegularSeason20242025!$AB$3:$AB$1315,DataRegularSeason20242025!$B$3:$B$1315, "&lt;=" &amp; AL$1, DataRegularSeason20242025!$E$3:$E$1315, $A15)</f>
        <v>7</v>
      </c>
      <c r="AM15">
        <f>SUMIFS(DataRegularSeason20242025!$AA$3:$AA$1315,DataRegularSeason20242025!$B$3:$B$1315, "&lt;=" &amp; AM$1, DataRegularSeason20242025!$D$3:$D$1315, $A15)+SUMIFS(DataRegularSeason20242025!$AB$3:$AB$1315,DataRegularSeason20242025!$B$3:$B$1315, "&lt;=" &amp; AM$1, DataRegularSeason20242025!$E$3:$E$1315, $A15)</f>
        <v>7</v>
      </c>
      <c r="AN15">
        <f>SUMIFS(DataRegularSeason20242025!$AA$3:$AA$1315,DataRegularSeason20242025!$B$3:$B$1315, "&lt;=" &amp; AN$1, DataRegularSeason20242025!$D$3:$D$1315, $A15)+SUMIFS(DataRegularSeason20242025!$AB$3:$AB$1315,DataRegularSeason20242025!$B$3:$B$1315, "&lt;=" &amp; AN$1, DataRegularSeason20242025!$E$3:$E$1315, $A15)</f>
        <v>7</v>
      </c>
      <c r="AO15">
        <f>SUMIFS(DataRegularSeason20242025!$AA$3:$AA$1315,DataRegularSeason20242025!$B$3:$B$1315, "&lt;=" &amp; AO$1, DataRegularSeason20242025!$D$3:$D$1315, $A15)+SUMIFS(DataRegularSeason20242025!$AB$3:$AB$1315,DataRegularSeason20242025!$B$3:$B$1315, "&lt;=" &amp; AO$1, DataRegularSeason20242025!$E$3:$E$1315, $A15)</f>
        <v>7</v>
      </c>
      <c r="AP15">
        <f>SUMIFS(DataRegularSeason20242025!$AA$3:$AA$1315,DataRegularSeason20242025!$B$3:$B$1315, "&lt;=" &amp; AP$1, DataRegularSeason20242025!$D$3:$D$1315, $A15)+SUMIFS(DataRegularSeason20242025!$AB$3:$AB$1315,DataRegularSeason20242025!$B$3:$B$1315, "&lt;=" &amp; AP$1, DataRegularSeason20242025!$E$3:$E$1315, $A15)</f>
        <v>7</v>
      </c>
      <c r="AQ15">
        <f>SUMIFS(DataRegularSeason20242025!$AA$3:$AA$1315,DataRegularSeason20242025!$B$3:$B$1315, "&lt;=" &amp; AQ$1, DataRegularSeason20242025!$D$3:$D$1315, $A15)+SUMIFS(DataRegularSeason20242025!$AB$3:$AB$1315,DataRegularSeason20242025!$B$3:$B$1315, "&lt;=" &amp; AQ$1, DataRegularSeason20242025!$E$3:$E$1315, $A15)</f>
        <v>7</v>
      </c>
      <c r="AR15">
        <f>SUMIFS(DataRegularSeason20242025!$AA$3:$AA$1315,DataRegularSeason20242025!$B$3:$B$1315, "&lt;=" &amp; AR$1, DataRegularSeason20242025!$D$3:$D$1315, $A15)+SUMIFS(DataRegularSeason20242025!$AB$3:$AB$1315,DataRegularSeason20242025!$B$3:$B$1315, "&lt;=" &amp; AR$1, DataRegularSeason20242025!$E$3:$E$1315, $A15)</f>
        <v>7</v>
      </c>
      <c r="AS15">
        <f>SUMIFS(DataRegularSeason20242025!$AA$3:$AA$1315,DataRegularSeason20242025!$B$3:$B$1315, "&lt;=" &amp; AS$1, DataRegularSeason20242025!$D$3:$D$1315, $A15)+SUMIFS(DataRegularSeason20242025!$AB$3:$AB$1315,DataRegularSeason20242025!$B$3:$B$1315, "&lt;=" &amp; AS$1, DataRegularSeason20242025!$E$3:$E$1315, $A15)</f>
        <v>7</v>
      </c>
      <c r="AT15">
        <f>SUMIFS(DataRegularSeason20242025!$AA$3:$AA$1315,DataRegularSeason20242025!$B$3:$B$1315, "&lt;=" &amp; AT$1, DataRegularSeason20242025!$D$3:$D$1315, $A15)+SUMIFS(DataRegularSeason20242025!$AB$3:$AB$1315,DataRegularSeason20242025!$B$3:$B$1315, "&lt;=" &amp; AT$1, DataRegularSeason20242025!$E$3:$E$1315, $A15)</f>
        <v>7</v>
      </c>
      <c r="AU15">
        <f>SUMIFS(DataRegularSeason20242025!$AA$3:$AA$1315,DataRegularSeason20242025!$B$3:$B$1315, "&lt;=" &amp; AU$1, DataRegularSeason20242025!$D$3:$D$1315, $A15)+SUMIFS(DataRegularSeason20242025!$AB$3:$AB$1315,DataRegularSeason20242025!$B$3:$B$1315, "&lt;=" &amp; AU$1, DataRegularSeason20242025!$E$3:$E$1315, $A15)</f>
        <v>7</v>
      </c>
      <c r="AV15">
        <f>SUMIFS(DataRegularSeason20242025!$AA$3:$AA$1315,DataRegularSeason20242025!$B$3:$B$1315, "&lt;=" &amp; AV$1, DataRegularSeason20242025!$D$3:$D$1315, $A15)+SUMIFS(DataRegularSeason20242025!$AB$3:$AB$1315,DataRegularSeason20242025!$B$3:$B$1315, "&lt;=" &amp; AV$1, DataRegularSeason20242025!$E$3:$E$1315, $A15)</f>
        <v>7</v>
      </c>
      <c r="AW15">
        <f>SUMIFS(DataRegularSeason20242025!$AA$3:$AA$1315,DataRegularSeason20242025!$B$3:$B$1315, "&lt;=" &amp; AW$1, DataRegularSeason20242025!$D$3:$D$1315, $A15)+SUMIFS(DataRegularSeason20242025!$AB$3:$AB$1315,DataRegularSeason20242025!$B$3:$B$1315, "&lt;=" &amp; AW$1, DataRegularSeason20242025!$E$3:$E$1315, $A15)</f>
        <v>7</v>
      </c>
      <c r="AX15">
        <f>SUMIFS(DataRegularSeason20242025!$AA$3:$AA$1315,DataRegularSeason20242025!$B$3:$B$1315, "&lt;=" &amp; AX$1, DataRegularSeason20242025!$D$3:$D$1315, $A15)+SUMIFS(DataRegularSeason20242025!$AB$3:$AB$1315,DataRegularSeason20242025!$B$3:$B$1315, "&lt;=" &amp; AX$1, DataRegularSeason20242025!$E$3:$E$1315, $A15)</f>
        <v>7</v>
      </c>
      <c r="AY15">
        <f>SUMIFS(DataRegularSeason20242025!$AA$3:$AA$1315,DataRegularSeason20242025!$B$3:$B$1315, "&lt;=" &amp; AY$1, DataRegularSeason20242025!$D$3:$D$1315, $A15)+SUMIFS(DataRegularSeason20242025!$AB$3:$AB$1315,DataRegularSeason20242025!$B$3:$B$1315, "&lt;=" &amp; AY$1, DataRegularSeason20242025!$E$3:$E$1315, $A15)</f>
        <v>7</v>
      </c>
      <c r="AZ15">
        <f>SUMIFS(DataRegularSeason20242025!$AA$3:$AA$1315,DataRegularSeason20242025!$B$3:$B$1315, "&lt;=" &amp; AZ$1, DataRegularSeason20242025!$D$3:$D$1315, $A15)+SUMIFS(DataRegularSeason20242025!$AB$3:$AB$1315,DataRegularSeason20242025!$B$3:$B$1315, "&lt;=" &amp; AZ$1, DataRegularSeason20242025!$E$3:$E$1315, $A15)</f>
        <v>7</v>
      </c>
      <c r="BA15">
        <f>SUMIFS(DataRegularSeason20242025!$AA$3:$AA$1315,DataRegularSeason20242025!$B$3:$B$1315, "&lt;=" &amp; BA$1, DataRegularSeason20242025!$D$3:$D$1315, $A15)+SUMIFS(DataRegularSeason20242025!$AB$3:$AB$1315,DataRegularSeason20242025!$B$3:$B$1315, "&lt;=" &amp; BA$1, DataRegularSeason20242025!$E$3:$E$1315, $A15)</f>
        <v>7</v>
      </c>
      <c r="BB15">
        <f>SUMIFS(DataRegularSeason20242025!$AA$3:$AA$1315,DataRegularSeason20242025!$B$3:$B$1315, "&lt;=" &amp; BB$1, DataRegularSeason20242025!$D$3:$D$1315, $A15)+SUMIFS(DataRegularSeason20242025!$AB$3:$AB$1315,DataRegularSeason20242025!$B$3:$B$1315, "&lt;=" &amp; BB$1, DataRegularSeason20242025!$E$3:$E$1315, $A15)</f>
        <v>7</v>
      </c>
      <c r="BC15">
        <f>SUMIFS(DataRegularSeason20242025!$AA$3:$AA$1315,DataRegularSeason20242025!$B$3:$B$1315, "&lt;=" &amp; BC$1, DataRegularSeason20242025!$D$3:$D$1315, $A15)+SUMIFS(DataRegularSeason20242025!$AB$3:$AB$1315,DataRegularSeason20242025!$B$3:$B$1315, "&lt;=" &amp; BC$1, DataRegularSeason20242025!$E$3:$E$1315, $A15)</f>
        <v>7</v>
      </c>
      <c r="BD15">
        <f>SUMIFS(DataRegularSeason20242025!$AA$3:$AA$1315,DataRegularSeason20242025!$B$3:$B$1315, "&lt;=" &amp; BD$1, DataRegularSeason20242025!$D$3:$D$1315, $A15)+SUMIFS(DataRegularSeason20242025!$AB$3:$AB$1315,DataRegularSeason20242025!$B$3:$B$1315, "&lt;=" &amp; BD$1, DataRegularSeason20242025!$E$3:$E$1315, $A15)</f>
        <v>7</v>
      </c>
      <c r="BE15">
        <f>SUMIFS(DataRegularSeason20242025!$AA$3:$AA$1315,DataRegularSeason20242025!$B$3:$B$1315, "&lt;=" &amp; BE$1, DataRegularSeason20242025!$D$3:$D$1315, $A15)+SUMIFS(DataRegularSeason20242025!$AB$3:$AB$1315,DataRegularSeason20242025!$B$3:$B$1315, "&lt;=" &amp; BE$1, DataRegularSeason20242025!$E$3:$E$1315, $A15)</f>
        <v>7</v>
      </c>
      <c r="BF15">
        <f>SUMIFS(DataRegularSeason20242025!$AA$3:$AA$1315,DataRegularSeason20242025!$B$3:$B$1315, "&lt;=" &amp; BF$1, DataRegularSeason20242025!$D$3:$D$1315, $A15)+SUMIFS(DataRegularSeason20242025!$AB$3:$AB$1315,DataRegularSeason20242025!$B$3:$B$1315, "&lt;=" &amp; BF$1, DataRegularSeason20242025!$E$3:$E$1315, $A15)</f>
        <v>7</v>
      </c>
      <c r="BG15">
        <f>SUMIFS(DataRegularSeason20242025!$AA$3:$AA$1315,DataRegularSeason20242025!$B$3:$B$1315, "&lt;=" &amp; BG$1, DataRegularSeason20242025!$D$3:$D$1315, $A15)+SUMIFS(DataRegularSeason20242025!$AB$3:$AB$1315,DataRegularSeason20242025!$B$3:$B$1315, "&lt;=" &amp; BG$1, DataRegularSeason20242025!$E$3:$E$1315, $A15)</f>
        <v>7</v>
      </c>
      <c r="BH15">
        <f>SUMIFS(DataRegularSeason20242025!$AA$3:$AA$1315,DataRegularSeason20242025!$B$3:$B$1315, "&lt;=" &amp; BH$1, DataRegularSeason20242025!$D$3:$D$1315, $A15)+SUMIFS(DataRegularSeason20242025!$AB$3:$AB$1315,DataRegularSeason20242025!$B$3:$B$1315, "&lt;=" &amp; BH$1, DataRegularSeason20242025!$E$3:$E$1315, $A15)</f>
        <v>7</v>
      </c>
      <c r="BI15">
        <f>SUMIFS(DataRegularSeason20242025!$AA$3:$AA$1315,DataRegularSeason20242025!$B$3:$B$1315, "&lt;=" &amp; BI$1, DataRegularSeason20242025!$D$3:$D$1315, $A15)+SUMIFS(DataRegularSeason20242025!$AB$3:$AB$1315,DataRegularSeason20242025!$B$3:$B$1315, "&lt;=" &amp; BI$1, DataRegularSeason20242025!$E$3:$E$1315, $A15)</f>
        <v>7</v>
      </c>
      <c r="BJ15">
        <f>SUMIFS(DataRegularSeason20242025!$AA$3:$AA$1315,DataRegularSeason20242025!$B$3:$B$1315, "&lt;=" &amp; BJ$1, DataRegularSeason20242025!$D$3:$D$1315, $A15)+SUMIFS(DataRegularSeason20242025!$AB$3:$AB$1315,DataRegularSeason20242025!$B$3:$B$1315, "&lt;=" &amp; BJ$1, DataRegularSeason20242025!$E$3:$E$1315, $A15)</f>
        <v>7</v>
      </c>
      <c r="BK15">
        <f>SUMIFS(DataRegularSeason20242025!$AA$3:$AA$1315,DataRegularSeason20242025!$B$3:$B$1315, "&lt;=" &amp; BK$1, DataRegularSeason20242025!$D$3:$D$1315, $A15)+SUMIFS(DataRegularSeason20242025!$AB$3:$AB$1315,DataRegularSeason20242025!$B$3:$B$1315, "&lt;=" &amp; BK$1, DataRegularSeason20242025!$E$3:$E$1315, $A15)</f>
        <v>7</v>
      </c>
      <c r="BL15">
        <f>SUMIFS(DataRegularSeason20242025!$AA$3:$AA$1315,DataRegularSeason20242025!$B$3:$B$1315, "&lt;=" &amp; BL$1, DataRegularSeason20242025!$D$3:$D$1315, $A15)+SUMIFS(DataRegularSeason20242025!$AB$3:$AB$1315,DataRegularSeason20242025!$B$3:$B$1315, "&lt;=" &amp; BL$1, DataRegularSeason20242025!$E$3:$E$1315, $A15)</f>
        <v>7</v>
      </c>
      <c r="BM15">
        <f>SUMIFS(DataRegularSeason20242025!$AA$3:$AA$1315,DataRegularSeason20242025!$B$3:$B$1315, "&lt;=" &amp; BM$1, DataRegularSeason20242025!$D$3:$D$1315, $A15)+SUMIFS(DataRegularSeason20242025!$AB$3:$AB$1315,DataRegularSeason20242025!$B$3:$B$1315, "&lt;=" &amp; BM$1, DataRegularSeason20242025!$E$3:$E$1315, $A15)</f>
        <v>7</v>
      </c>
      <c r="BN15">
        <f>SUMIFS(DataRegularSeason20242025!$AA$3:$AA$1315,DataRegularSeason20242025!$B$3:$B$1315, "&lt;=" &amp; BN$1, DataRegularSeason20242025!$D$3:$D$1315, $A15)+SUMIFS(DataRegularSeason20242025!$AB$3:$AB$1315,DataRegularSeason20242025!$B$3:$B$1315, "&lt;=" &amp; BN$1, DataRegularSeason20242025!$E$3:$E$1315, $A15)</f>
        <v>7</v>
      </c>
      <c r="BO15">
        <f>SUMIFS(DataRegularSeason20242025!$AA$3:$AA$1315,DataRegularSeason20242025!$B$3:$B$1315, "&lt;=" &amp; BO$1, DataRegularSeason20242025!$D$3:$D$1315, $A15)+SUMIFS(DataRegularSeason20242025!$AB$3:$AB$1315,DataRegularSeason20242025!$B$3:$B$1315, "&lt;=" &amp; BO$1, DataRegularSeason20242025!$E$3:$E$1315, $A15)</f>
        <v>7</v>
      </c>
      <c r="BP15">
        <f>SUMIFS(DataRegularSeason20242025!$AA$3:$AA$1315,DataRegularSeason20242025!$B$3:$B$1315, "&lt;=" &amp; BP$1, DataRegularSeason20242025!$D$3:$D$1315, $A15)+SUMIFS(DataRegularSeason20242025!$AB$3:$AB$1315,DataRegularSeason20242025!$B$3:$B$1315, "&lt;=" &amp; BP$1, DataRegularSeason20242025!$E$3:$E$1315, $A15)</f>
        <v>7</v>
      </c>
      <c r="BQ15">
        <f>SUMIFS(DataRegularSeason20242025!$AA$3:$AA$1315,DataRegularSeason20242025!$B$3:$B$1315, "&lt;=" &amp; BQ$1, DataRegularSeason20242025!$D$3:$D$1315, $A15)+SUMIFS(DataRegularSeason20242025!$AB$3:$AB$1315,DataRegularSeason20242025!$B$3:$B$1315, "&lt;=" &amp; BQ$1, DataRegularSeason20242025!$E$3:$E$1315, $A15)</f>
        <v>7</v>
      </c>
      <c r="BR15">
        <f>SUMIFS(DataRegularSeason20242025!$AA$3:$AA$1315,DataRegularSeason20242025!$B$3:$B$1315, "&lt;=" &amp; BR$1, DataRegularSeason20242025!$D$3:$D$1315, $A15)+SUMIFS(DataRegularSeason20242025!$AB$3:$AB$1315,DataRegularSeason20242025!$B$3:$B$1315, "&lt;=" &amp; BR$1, DataRegularSeason20242025!$E$3:$E$1315, $A15)</f>
        <v>7</v>
      </c>
      <c r="BS15">
        <f>SUMIFS(DataRegularSeason20242025!$AA$3:$AA$1315,DataRegularSeason20242025!$B$3:$B$1315, "&lt;=" &amp; BS$1, DataRegularSeason20242025!$D$3:$D$1315, $A15)+SUMIFS(DataRegularSeason20242025!$AB$3:$AB$1315,DataRegularSeason20242025!$B$3:$B$1315, "&lt;=" &amp; BS$1, DataRegularSeason20242025!$E$3:$E$1315, $A15)</f>
        <v>7</v>
      </c>
      <c r="BT15">
        <f>SUMIFS(DataRegularSeason20242025!$AA$3:$AA$1315,DataRegularSeason20242025!$B$3:$B$1315, "&lt;=" &amp; BT$1, DataRegularSeason20242025!$D$3:$D$1315, $A15)+SUMIFS(DataRegularSeason20242025!$AB$3:$AB$1315,DataRegularSeason20242025!$B$3:$B$1315, "&lt;=" &amp; BT$1, DataRegularSeason20242025!$E$3:$E$1315, $A15)</f>
        <v>7</v>
      </c>
      <c r="BU15">
        <f>SUMIFS(DataRegularSeason20242025!$AA$3:$AA$1315,DataRegularSeason20242025!$B$3:$B$1315, "&lt;=" &amp; BU$1, DataRegularSeason20242025!$D$3:$D$1315, $A15)+SUMIFS(DataRegularSeason20242025!$AB$3:$AB$1315,DataRegularSeason20242025!$B$3:$B$1315, "&lt;=" &amp; BU$1, DataRegularSeason20242025!$E$3:$E$1315, $A15)</f>
        <v>7</v>
      </c>
      <c r="BV15">
        <f>SUMIFS(DataRegularSeason20242025!$AA$3:$AA$1315,DataRegularSeason20242025!$B$3:$B$1315, "&lt;=" &amp; BV$1, DataRegularSeason20242025!$D$3:$D$1315, $A15)+SUMIFS(DataRegularSeason20242025!$AB$3:$AB$1315,DataRegularSeason20242025!$B$3:$B$1315, "&lt;=" &amp; BV$1, DataRegularSeason20242025!$E$3:$E$1315, $A15)</f>
        <v>7</v>
      </c>
      <c r="BW15">
        <f>SUMIFS(DataRegularSeason20242025!$AA$3:$AA$1315,DataRegularSeason20242025!$B$3:$B$1315, "&lt;=" &amp; BW$1, DataRegularSeason20242025!$D$3:$D$1315, $A15)+SUMIFS(DataRegularSeason20242025!$AB$3:$AB$1315,DataRegularSeason20242025!$B$3:$B$1315, "&lt;=" &amp; BW$1, DataRegularSeason20242025!$E$3:$E$1315, $A15)</f>
        <v>7</v>
      </c>
      <c r="BX15">
        <f>SUMIFS(DataRegularSeason20242025!$AA$3:$AA$1315,DataRegularSeason20242025!$B$3:$B$1315, "&lt;=" &amp; BX$1, DataRegularSeason20242025!$D$3:$D$1315, $A15)+SUMIFS(DataRegularSeason20242025!$AB$3:$AB$1315,DataRegularSeason20242025!$B$3:$B$1315, "&lt;=" &amp; BX$1, DataRegularSeason20242025!$E$3:$E$1315, $A15)</f>
        <v>7</v>
      </c>
      <c r="BY15">
        <f>SUMIFS(DataRegularSeason20242025!$AA$3:$AA$1315,DataRegularSeason20242025!$B$3:$B$1315, "&lt;=" &amp; BY$1, DataRegularSeason20242025!$D$3:$D$1315, $A15)+SUMIFS(DataRegularSeason20242025!$AB$3:$AB$1315,DataRegularSeason20242025!$B$3:$B$1315, "&lt;=" &amp; BY$1, DataRegularSeason20242025!$E$3:$E$1315, $A15)</f>
        <v>7</v>
      </c>
      <c r="BZ15">
        <f>SUMIFS(DataRegularSeason20242025!$AA$3:$AA$1315,DataRegularSeason20242025!$B$3:$B$1315, "&lt;=" &amp; BZ$1, DataRegularSeason20242025!$D$3:$D$1315, $A15)+SUMIFS(DataRegularSeason20242025!$AB$3:$AB$1315,DataRegularSeason20242025!$B$3:$B$1315, "&lt;=" &amp; BZ$1, DataRegularSeason20242025!$E$3:$E$1315, $A15)</f>
        <v>7</v>
      </c>
      <c r="CA15">
        <f>SUMIFS(DataRegularSeason20242025!$AA$3:$AA$1315,DataRegularSeason20242025!$B$3:$B$1315, "&lt;=" &amp; CA$1, DataRegularSeason20242025!$D$3:$D$1315, $A15)+SUMIFS(DataRegularSeason20242025!$AB$3:$AB$1315,DataRegularSeason20242025!$B$3:$B$1315, "&lt;=" &amp; CA$1, DataRegularSeason20242025!$E$3:$E$1315, $A15)</f>
        <v>7</v>
      </c>
      <c r="CB15">
        <f>SUMIFS(DataRegularSeason20242025!$AA$3:$AA$1315,DataRegularSeason20242025!$B$3:$B$1315, "&lt;=" &amp; CB$1, DataRegularSeason20242025!$D$3:$D$1315, $A15)+SUMIFS(DataRegularSeason20242025!$AB$3:$AB$1315,DataRegularSeason20242025!$B$3:$B$1315, "&lt;=" &amp; CB$1, DataRegularSeason20242025!$E$3:$E$1315, $A15)</f>
        <v>7</v>
      </c>
      <c r="CC15">
        <f>SUMIFS(DataRegularSeason20242025!$AA$3:$AA$1315,DataRegularSeason20242025!$B$3:$B$1315, "&lt;=" &amp; CC$1, DataRegularSeason20242025!$D$3:$D$1315, $A15)+SUMIFS(DataRegularSeason20242025!$AB$3:$AB$1315,DataRegularSeason20242025!$B$3:$B$1315, "&lt;=" &amp; CC$1, DataRegularSeason20242025!$E$3:$E$1315, $A15)</f>
        <v>7</v>
      </c>
      <c r="CD15">
        <f>SUMIFS(DataRegularSeason20242025!$AA$3:$AA$1315,DataRegularSeason20242025!$B$3:$B$1315, "&lt;=" &amp; CD$1, DataRegularSeason20242025!$D$3:$D$1315, $A15)+SUMIFS(DataRegularSeason20242025!$AB$3:$AB$1315,DataRegularSeason20242025!$B$3:$B$1315, "&lt;=" &amp; CD$1, DataRegularSeason20242025!$E$3:$E$1315, $A15)</f>
        <v>7</v>
      </c>
      <c r="CE15">
        <f>SUMIFS(DataRegularSeason20242025!$AA$3:$AA$1315,DataRegularSeason20242025!$B$3:$B$1315, "&lt;=" &amp; CE$1, DataRegularSeason20242025!$D$3:$D$1315, $A15)+SUMIFS(DataRegularSeason20242025!$AB$3:$AB$1315,DataRegularSeason20242025!$B$3:$B$1315, "&lt;=" &amp; CE$1, DataRegularSeason20242025!$E$3:$E$1315, $A15)</f>
        <v>7</v>
      </c>
      <c r="CF15">
        <f>SUMIFS(DataRegularSeason20242025!$AA$3:$AA$1315,DataRegularSeason20242025!$B$3:$B$1315, "&lt;=" &amp; CF$1, DataRegularSeason20242025!$D$3:$D$1315, $A15)+SUMIFS(DataRegularSeason20242025!$AB$3:$AB$1315,DataRegularSeason20242025!$B$3:$B$1315, "&lt;=" &amp; CF$1, DataRegularSeason20242025!$E$3:$E$1315, $A15)</f>
        <v>7</v>
      </c>
      <c r="CG15">
        <f>SUMIFS(DataRegularSeason20242025!$AA$3:$AA$1315,DataRegularSeason20242025!$B$3:$B$1315, "&lt;=" &amp; CG$1, DataRegularSeason20242025!$D$3:$D$1315, $A15)+SUMIFS(DataRegularSeason20242025!$AB$3:$AB$1315,DataRegularSeason20242025!$B$3:$B$1315, "&lt;=" &amp; CG$1, DataRegularSeason20242025!$E$3:$E$1315, $A15)</f>
        <v>7</v>
      </c>
      <c r="CH15">
        <f>SUMIFS(DataRegularSeason20242025!$AA$3:$AA$1315,DataRegularSeason20242025!$B$3:$B$1315, "&lt;=" &amp; CH$1, DataRegularSeason20242025!$D$3:$D$1315, $A15)+SUMIFS(DataRegularSeason20242025!$AB$3:$AB$1315,DataRegularSeason20242025!$B$3:$B$1315, "&lt;=" &amp; CH$1, DataRegularSeason20242025!$E$3:$E$1315, $A15)</f>
        <v>7</v>
      </c>
      <c r="CI15">
        <f>SUMIFS(DataRegularSeason20242025!$AA$3:$AA$1315,DataRegularSeason20242025!$B$3:$B$1315, "&lt;=" &amp; CI$1, DataRegularSeason20242025!$D$3:$D$1315, $A15)+SUMIFS(DataRegularSeason20242025!$AB$3:$AB$1315,DataRegularSeason20242025!$B$3:$B$1315, "&lt;=" &amp; CI$1, DataRegularSeason20242025!$E$3:$E$1315, $A15)</f>
        <v>7</v>
      </c>
      <c r="CJ15">
        <f>SUMIFS(DataRegularSeason20242025!$AA$3:$AA$1315,DataRegularSeason20242025!$B$3:$B$1315, "&lt;=" &amp; CJ$1, DataRegularSeason20242025!$D$3:$D$1315, $A15)+SUMIFS(DataRegularSeason20242025!$AB$3:$AB$1315,DataRegularSeason20242025!$B$3:$B$1315, "&lt;=" &amp; CJ$1, DataRegularSeason20242025!$E$3:$E$1315, $A15)</f>
        <v>7</v>
      </c>
      <c r="CK15">
        <f>SUMIFS(DataRegularSeason20242025!$AA$3:$AA$1315,DataRegularSeason20242025!$B$3:$B$1315, "&lt;=" &amp; CK$1, DataRegularSeason20242025!$D$3:$D$1315, $A15)+SUMIFS(DataRegularSeason20242025!$AB$3:$AB$1315,DataRegularSeason20242025!$B$3:$B$1315, "&lt;=" &amp; CK$1, DataRegularSeason20242025!$E$3:$E$1315, $A15)</f>
        <v>7</v>
      </c>
      <c r="CL15">
        <f>SUMIFS(DataRegularSeason20242025!$AA$3:$AA$1315,DataRegularSeason20242025!$B$3:$B$1315, "&lt;=" &amp; CL$1, DataRegularSeason20242025!$D$3:$D$1315, $A15)+SUMIFS(DataRegularSeason20242025!$AB$3:$AB$1315,DataRegularSeason20242025!$B$3:$B$1315, "&lt;=" &amp; CL$1, DataRegularSeason20242025!$E$3:$E$1315, $A15)</f>
        <v>7</v>
      </c>
      <c r="CM15">
        <f>SUMIFS(DataRegularSeason20242025!$AA$3:$AA$1315,DataRegularSeason20242025!$B$3:$B$1315, "&lt;=" &amp; CM$1, DataRegularSeason20242025!$D$3:$D$1315, $A15)+SUMIFS(DataRegularSeason20242025!$AB$3:$AB$1315,DataRegularSeason20242025!$B$3:$B$1315, "&lt;=" &amp; CM$1, DataRegularSeason20242025!$E$3:$E$1315, $A15)</f>
        <v>7</v>
      </c>
      <c r="CN15">
        <f>SUMIFS(DataRegularSeason20242025!$AA$3:$AA$1315,DataRegularSeason20242025!$B$3:$B$1315, "&lt;=" &amp; CN$1, DataRegularSeason20242025!$D$3:$D$1315, $A15)+SUMIFS(DataRegularSeason20242025!$AB$3:$AB$1315,DataRegularSeason20242025!$B$3:$B$1315, "&lt;=" &amp; CN$1, DataRegularSeason20242025!$E$3:$E$1315, $A15)</f>
        <v>7</v>
      </c>
      <c r="CO15">
        <f>SUMIFS(DataRegularSeason20242025!$AA$3:$AA$1315,DataRegularSeason20242025!$B$3:$B$1315, "&lt;=" &amp; CO$1, DataRegularSeason20242025!$D$3:$D$1315, $A15)+SUMIFS(DataRegularSeason20242025!$AB$3:$AB$1315,DataRegularSeason20242025!$B$3:$B$1315, "&lt;=" &amp; CO$1, DataRegularSeason20242025!$E$3:$E$1315, $A15)</f>
        <v>7</v>
      </c>
      <c r="CP15">
        <f>SUMIFS(DataRegularSeason20242025!$AA$3:$AA$1315,DataRegularSeason20242025!$B$3:$B$1315, "&lt;=" &amp; CP$1, DataRegularSeason20242025!$D$3:$D$1315, $A15)+SUMIFS(DataRegularSeason20242025!$AB$3:$AB$1315,DataRegularSeason20242025!$B$3:$B$1315, "&lt;=" &amp; CP$1, DataRegularSeason20242025!$E$3:$E$1315, $A15)</f>
        <v>7</v>
      </c>
      <c r="CQ15">
        <f>SUMIFS(DataRegularSeason20242025!$AA$3:$AA$1315,DataRegularSeason20242025!$B$3:$B$1315, "&lt;=" &amp; CQ$1, DataRegularSeason20242025!$D$3:$D$1315, $A15)+SUMIFS(DataRegularSeason20242025!$AB$3:$AB$1315,DataRegularSeason20242025!$B$3:$B$1315, "&lt;=" &amp; CQ$1, DataRegularSeason20242025!$E$3:$E$1315, $A15)</f>
        <v>7</v>
      </c>
      <c r="CR15">
        <f>SUMIFS(DataRegularSeason20242025!$AA$3:$AA$1315,DataRegularSeason20242025!$B$3:$B$1315, "&lt;=" &amp; CR$1, DataRegularSeason20242025!$D$3:$D$1315, $A15)+SUMIFS(DataRegularSeason20242025!$AB$3:$AB$1315,DataRegularSeason20242025!$B$3:$B$1315, "&lt;=" &amp; CR$1, DataRegularSeason20242025!$E$3:$E$1315, $A15)</f>
        <v>7</v>
      </c>
      <c r="CS15">
        <f>SUMIFS(DataRegularSeason20242025!$AA$3:$AA$1315,DataRegularSeason20242025!$B$3:$B$1315, "&lt;=" &amp; CS$1, DataRegularSeason20242025!$D$3:$D$1315, $A15)+SUMIFS(DataRegularSeason20242025!$AB$3:$AB$1315,DataRegularSeason20242025!$B$3:$B$1315, "&lt;=" &amp; CS$1, DataRegularSeason20242025!$E$3:$E$1315, $A15)</f>
        <v>7</v>
      </c>
      <c r="CT15">
        <f>SUMIFS(DataRegularSeason20242025!$AA$3:$AA$1315,DataRegularSeason20242025!$B$3:$B$1315, "&lt;=" &amp; CT$1, DataRegularSeason20242025!$D$3:$D$1315, $A15)+SUMIFS(DataRegularSeason20242025!$AB$3:$AB$1315,DataRegularSeason20242025!$B$3:$B$1315, "&lt;=" &amp; CT$1, DataRegularSeason20242025!$E$3:$E$1315, $A15)</f>
        <v>7</v>
      </c>
      <c r="CU15">
        <f>SUMIFS(DataRegularSeason20242025!$AA$3:$AA$1315,DataRegularSeason20242025!$B$3:$B$1315, "&lt;=" &amp; CU$1, DataRegularSeason20242025!$D$3:$D$1315, $A15)+SUMIFS(DataRegularSeason20242025!$AB$3:$AB$1315,DataRegularSeason20242025!$B$3:$B$1315, "&lt;=" &amp; CU$1, DataRegularSeason20242025!$E$3:$E$1315, $A15)</f>
        <v>7</v>
      </c>
      <c r="CV15">
        <f>SUMIFS(DataRegularSeason20242025!$AA$3:$AA$1315,DataRegularSeason20242025!$B$3:$B$1315, "&lt;=" &amp; CV$1, DataRegularSeason20242025!$D$3:$D$1315, $A15)+SUMIFS(DataRegularSeason20242025!$AB$3:$AB$1315,DataRegularSeason20242025!$B$3:$B$1315, "&lt;=" &amp; CV$1, DataRegularSeason20242025!$E$3:$E$1315, $A15)</f>
        <v>7</v>
      </c>
      <c r="CW15">
        <f>SUMIFS(DataRegularSeason20242025!$AA$3:$AA$1315,DataRegularSeason20242025!$B$3:$B$1315, "&lt;=" &amp; CW$1, DataRegularSeason20242025!$D$3:$D$1315, $A15)+SUMIFS(DataRegularSeason20242025!$AB$3:$AB$1315,DataRegularSeason20242025!$B$3:$B$1315, "&lt;=" &amp; CW$1, DataRegularSeason20242025!$E$3:$E$1315, $A15)</f>
        <v>7</v>
      </c>
      <c r="CX15">
        <f>SUMIFS(DataRegularSeason20242025!$AA$3:$AA$1315,DataRegularSeason20242025!$B$3:$B$1315, "&lt;=" &amp; CX$1, DataRegularSeason20242025!$D$3:$D$1315, $A15)+SUMIFS(DataRegularSeason20242025!$AB$3:$AB$1315,DataRegularSeason20242025!$B$3:$B$1315, "&lt;=" &amp; CX$1, DataRegularSeason20242025!$E$3:$E$1315, $A15)</f>
        <v>7</v>
      </c>
      <c r="CY15">
        <f>SUMIFS(DataRegularSeason20242025!$AA$3:$AA$1315,DataRegularSeason20242025!$B$3:$B$1315, "&lt;=" &amp; CY$1, DataRegularSeason20242025!$D$3:$D$1315, $A15)+SUMIFS(DataRegularSeason20242025!$AB$3:$AB$1315,DataRegularSeason20242025!$B$3:$B$1315, "&lt;=" &amp; CY$1, DataRegularSeason20242025!$E$3:$E$1315, $A15)</f>
        <v>7</v>
      </c>
      <c r="CZ15">
        <f>SUMIFS(DataRegularSeason20242025!$AA$3:$AA$1315,DataRegularSeason20242025!$B$3:$B$1315, "&lt;=" &amp; CZ$1, DataRegularSeason20242025!$D$3:$D$1315, $A15)+SUMIFS(DataRegularSeason20242025!$AB$3:$AB$1315,DataRegularSeason20242025!$B$3:$B$1315, "&lt;=" &amp; CZ$1, DataRegularSeason20242025!$E$3:$E$1315, $A15)</f>
        <v>7</v>
      </c>
      <c r="DA15">
        <f>SUMIFS(DataRegularSeason20242025!$AA$3:$AA$1315,DataRegularSeason20242025!$B$3:$B$1315, "&lt;=" &amp; DA$1, DataRegularSeason20242025!$D$3:$D$1315, $A15)+SUMIFS(DataRegularSeason20242025!$AB$3:$AB$1315,DataRegularSeason20242025!$B$3:$B$1315, "&lt;=" &amp; DA$1, DataRegularSeason20242025!$E$3:$E$1315, $A15)</f>
        <v>7</v>
      </c>
      <c r="DB15">
        <f>SUMIFS(DataRegularSeason20242025!$AA$3:$AA$1315,DataRegularSeason20242025!$B$3:$B$1315, "&lt;=" &amp; DB$1, DataRegularSeason20242025!$D$3:$D$1315, $A15)+SUMIFS(DataRegularSeason20242025!$AB$3:$AB$1315,DataRegularSeason20242025!$B$3:$B$1315, "&lt;=" &amp; DB$1, DataRegularSeason20242025!$E$3:$E$1315, $A15)</f>
        <v>7</v>
      </c>
      <c r="DC15">
        <f>SUMIFS(DataRegularSeason20242025!$AA$3:$AA$1315,DataRegularSeason20242025!$B$3:$B$1315, "&lt;=" &amp; DC$1, DataRegularSeason20242025!$D$3:$D$1315, $A15)+SUMIFS(DataRegularSeason20242025!$AB$3:$AB$1315,DataRegularSeason20242025!$B$3:$B$1315, "&lt;=" &amp; DC$1, DataRegularSeason20242025!$E$3:$E$1315, $A15)</f>
        <v>7</v>
      </c>
      <c r="DD15">
        <f>SUMIFS(DataRegularSeason20242025!$AA$3:$AA$1315,DataRegularSeason20242025!$B$3:$B$1315, "&lt;=" &amp; DD$1, DataRegularSeason20242025!$D$3:$D$1315, $A15)+SUMIFS(DataRegularSeason20242025!$AB$3:$AB$1315,DataRegularSeason20242025!$B$3:$B$1315, "&lt;=" &amp; DD$1, DataRegularSeason20242025!$E$3:$E$1315, $A15)</f>
        <v>7</v>
      </c>
      <c r="DE15">
        <f>SUMIFS(DataRegularSeason20242025!$AA$3:$AA$1315,DataRegularSeason20242025!$B$3:$B$1315, "&lt;=" &amp; DE$1, DataRegularSeason20242025!$D$3:$D$1315, $A15)+SUMIFS(DataRegularSeason20242025!$AB$3:$AB$1315,DataRegularSeason20242025!$B$3:$B$1315, "&lt;=" &amp; DE$1, DataRegularSeason20242025!$E$3:$E$1315, $A15)</f>
        <v>7</v>
      </c>
      <c r="DF15">
        <f>SUMIFS(DataRegularSeason20242025!$AA$3:$AA$1315,DataRegularSeason20242025!$B$3:$B$1315, "&lt;=" &amp; DF$1, DataRegularSeason20242025!$D$3:$D$1315, $A15)+SUMIFS(DataRegularSeason20242025!$AB$3:$AB$1315,DataRegularSeason20242025!$B$3:$B$1315, "&lt;=" &amp; DF$1, DataRegularSeason20242025!$E$3:$E$1315, $A15)</f>
        <v>7</v>
      </c>
      <c r="DG15">
        <f>SUMIFS(DataRegularSeason20242025!$AA$3:$AA$1315,DataRegularSeason20242025!$B$3:$B$1315, "&lt;=" &amp; DG$1, DataRegularSeason20242025!$D$3:$D$1315, $A15)+SUMIFS(DataRegularSeason20242025!$AB$3:$AB$1315,DataRegularSeason20242025!$B$3:$B$1315, "&lt;=" &amp; DG$1, DataRegularSeason20242025!$E$3:$E$1315, $A15)</f>
        <v>7</v>
      </c>
      <c r="DH15">
        <f>SUMIFS(DataRegularSeason20242025!$AA$3:$AA$1315,DataRegularSeason20242025!$B$3:$B$1315, "&lt;=" &amp; DH$1, DataRegularSeason20242025!$D$3:$D$1315, $A15)+SUMIFS(DataRegularSeason20242025!$AB$3:$AB$1315,DataRegularSeason20242025!$B$3:$B$1315, "&lt;=" &amp; DH$1, DataRegularSeason20242025!$E$3:$E$1315, $A15)</f>
        <v>7</v>
      </c>
      <c r="DI15">
        <f>SUMIFS(DataRegularSeason20242025!$AA$3:$AA$1315,DataRegularSeason20242025!$B$3:$B$1315, "&lt;=" &amp; DI$1, DataRegularSeason20242025!$D$3:$D$1315, $A15)+SUMIFS(DataRegularSeason20242025!$AB$3:$AB$1315,DataRegularSeason20242025!$B$3:$B$1315, "&lt;=" &amp; DI$1, DataRegularSeason20242025!$E$3:$E$1315, $A15)</f>
        <v>7</v>
      </c>
      <c r="DJ15">
        <f>SUMIFS(DataRegularSeason20242025!$AA$3:$AA$1315,DataRegularSeason20242025!$B$3:$B$1315, "&lt;=" &amp; DJ$1, DataRegularSeason20242025!$D$3:$D$1315, $A15)+SUMIFS(DataRegularSeason20242025!$AB$3:$AB$1315,DataRegularSeason20242025!$B$3:$B$1315, "&lt;=" &amp; DJ$1, DataRegularSeason20242025!$E$3:$E$1315, $A15)</f>
        <v>7</v>
      </c>
      <c r="DK15">
        <f>SUMIFS(DataRegularSeason20242025!$AA$3:$AA$1315,DataRegularSeason20242025!$B$3:$B$1315, "&lt;=" &amp; DK$1, DataRegularSeason20242025!$D$3:$D$1315, $A15)+SUMIFS(DataRegularSeason20242025!$AB$3:$AB$1315,DataRegularSeason20242025!$B$3:$B$1315, "&lt;=" &amp; DK$1, DataRegularSeason20242025!$E$3:$E$1315, $A15)</f>
        <v>7</v>
      </c>
      <c r="DL15">
        <f>SUMIFS(DataRegularSeason20242025!$AA$3:$AA$1315,DataRegularSeason20242025!$B$3:$B$1315, "&lt;=" &amp; DL$1, DataRegularSeason20242025!$D$3:$D$1315, $A15)+SUMIFS(DataRegularSeason20242025!$AB$3:$AB$1315,DataRegularSeason20242025!$B$3:$B$1315, "&lt;=" &amp; DL$1, DataRegularSeason20242025!$E$3:$E$1315, $A15)</f>
        <v>7</v>
      </c>
      <c r="DM15">
        <f>SUMIFS(DataRegularSeason20242025!$AA$3:$AA$1315,DataRegularSeason20242025!$B$3:$B$1315, "&lt;=" &amp; DM$1, DataRegularSeason20242025!$D$3:$D$1315, $A15)+SUMIFS(DataRegularSeason20242025!$AB$3:$AB$1315,DataRegularSeason20242025!$B$3:$B$1315, "&lt;=" &amp; DM$1, DataRegularSeason20242025!$E$3:$E$1315, $A15)</f>
        <v>7</v>
      </c>
      <c r="DN15">
        <f>SUMIFS(DataRegularSeason20242025!$AA$3:$AA$1315,DataRegularSeason20242025!$B$3:$B$1315, "&lt;=" &amp; DN$1, DataRegularSeason20242025!$D$3:$D$1315, $A15)+SUMIFS(DataRegularSeason20242025!$AB$3:$AB$1315,DataRegularSeason20242025!$B$3:$B$1315, "&lt;=" &amp; DN$1, DataRegularSeason20242025!$E$3:$E$1315, $A15)</f>
        <v>7</v>
      </c>
      <c r="DO15">
        <f>SUMIFS(DataRegularSeason20242025!$AA$3:$AA$1315,DataRegularSeason20242025!$B$3:$B$1315, "&lt;=" &amp; DO$1, DataRegularSeason20242025!$D$3:$D$1315, $A15)+SUMIFS(DataRegularSeason20242025!$AB$3:$AB$1315,DataRegularSeason20242025!$B$3:$B$1315, "&lt;=" &amp; DO$1, DataRegularSeason20242025!$E$3:$E$1315, $A15)</f>
        <v>7</v>
      </c>
      <c r="DP15">
        <f>SUMIFS(DataRegularSeason20242025!$AA$3:$AA$1315,DataRegularSeason20242025!$B$3:$B$1315, "&lt;=" &amp; DP$1, DataRegularSeason20242025!$D$3:$D$1315, $A15)+SUMIFS(DataRegularSeason20242025!$AB$3:$AB$1315,DataRegularSeason20242025!$B$3:$B$1315, "&lt;=" &amp; DP$1, DataRegularSeason20242025!$E$3:$E$1315, $A15)</f>
        <v>7</v>
      </c>
      <c r="DQ15">
        <f>SUMIFS(DataRegularSeason20242025!$AA$3:$AA$1315,DataRegularSeason20242025!$B$3:$B$1315, "&lt;=" &amp; DQ$1, DataRegularSeason20242025!$D$3:$D$1315, $A15)+SUMIFS(DataRegularSeason20242025!$AB$3:$AB$1315,DataRegularSeason20242025!$B$3:$B$1315, "&lt;=" &amp; DQ$1, DataRegularSeason20242025!$E$3:$E$1315, $A15)</f>
        <v>7</v>
      </c>
      <c r="DR15">
        <f>SUMIFS(DataRegularSeason20242025!$AA$3:$AA$1315,DataRegularSeason20242025!$B$3:$B$1315, "&lt;=" &amp; DR$1, DataRegularSeason20242025!$D$3:$D$1315, $A15)+SUMIFS(DataRegularSeason20242025!$AB$3:$AB$1315,DataRegularSeason20242025!$B$3:$B$1315, "&lt;=" &amp; DR$1, DataRegularSeason20242025!$E$3:$E$1315, $A15)</f>
        <v>7</v>
      </c>
      <c r="DS15">
        <f>SUMIFS(DataRegularSeason20242025!$AA$3:$AA$1315,DataRegularSeason20242025!$B$3:$B$1315, "&lt;=" &amp; DS$1, DataRegularSeason20242025!$D$3:$D$1315, $A15)+SUMIFS(DataRegularSeason20242025!$AB$3:$AB$1315,DataRegularSeason20242025!$B$3:$B$1315, "&lt;=" &amp; DS$1, DataRegularSeason20242025!$E$3:$E$1315, $A15)</f>
        <v>7</v>
      </c>
      <c r="DT15">
        <f>SUMIFS(DataRegularSeason20242025!$AA$3:$AA$1315,DataRegularSeason20242025!$B$3:$B$1315, "&lt;=" &amp; DT$1, DataRegularSeason20242025!$D$3:$D$1315, $A15)+SUMIFS(DataRegularSeason20242025!$AB$3:$AB$1315,DataRegularSeason20242025!$B$3:$B$1315, "&lt;=" &amp; DT$1, DataRegularSeason20242025!$E$3:$E$1315, $A15)</f>
        <v>7</v>
      </c>
      <c r="DU15">
        <f>SUMIFS(DataRegularSeason20242025!$AA$3:$AA$1315,DataRegularSeason20242025!$B$3:$B$1315, "&lt;=" &amp; DU$1, DataRegularSeason20242025!$D$3:$D$1315, $A15)+SUMIFS(DataRegularSeason20242025!$AB$3:$AB$1315,DataRegularSeason20242025!$B$3:$B$1315, "&lt;=" &amp; DU$1, DataRegularSeason20242025!$E$3:$E$1315, $A15)</f>
        <v>7</v>
      </c>
      <c r="DV15">
        <f>SUMIFS(DataRegularSeason20242025!$AA$3:$AA$1315,DataRegularSeason20242025!$B$3:$B$1315, "&lt;=" &amp; DV$1, DataRegularSeason20242025!$D$3:$D$1315, $A15)+SUMIFS(DataRegularSeason20242025!$AB$3:$AB$1315,DataRegularSeason20242025!$B$3:$B$1315, "&lt;=" &amp; DV$1, DataRegularSeason20242025!$E$3:$E$1315, $A15)</f>
        <v>7</v>
      </c>
      <c r="DW15">
        <f>SUMIFS(DataRegularSeason20242025!$AA$3:$AA$1315,DataRegularSeason20242025!$B$3:$B$1315, "&lt;=" &amp; DW$1, DataRegularSeason20242025!$D$3:$D$1315, $A15)+SUMIFS(DataRegularSeason20242025!$AB$3:$AB$1315,DataRegularSeason20242025!$B$3:$B$1315, "&lt;=" &amp; DW$1, DataRegularSeason20242025!$E$3:$E$1315, $A15)</f>
        <v>7</v>
      </c>
      <c r="DX15">
        <f>SUMIFS(DataRegularSeason20242025!$AA$3:$AA$1315,DataRegularSeason20242025!$B$3:$B$1315, "&lt;=" &amp; DX$1, DataRegularSeason20242025!$D$3:$D$1315, $A15)+SUMIFS(DataRegularSeason20242025!$AB$3:$AB$1315,DataRegularSeason20242025!$B$3:$B$1315, "&lt;=" &amp; DX$1, DataRegularSeason20242025!$E$3:$E$1315, $A15)</f>
        <v>7</v>
      </c>
      <c r="DY15">
        <f>SUMIFS(DataRegularSeason20242025!$AA$3:$AA$1315,DataRegularSeason20242025!$B$3:$B$1315, "&lt;=" &amp; DY$1, DataRegularSeason20242025!$D$3:$D$1315, $A15)+SUMIFS(DataRegularSeason20242025!$AB$3:$AB$1315,DataRegularSeason20242025!$B$3:$B$1315, "&lt;=" &amp; DY$1, DataRegularSeason20242025!$E$3:$E$1315, $A15)</f>
        <v>7</v>
      </c>
      <c r="DZ15">
        <f>SUMIFS(DataRegularSeason20242025!$AA$3:$AA$1315,DataRegularSeason20242025!$B$3:$B$1315, "&lt;=" &amp; DZ$1, DataRegularSeason20242025!$D$3:$D$1315, $A15)+SUMIFS(DataRegularSeason20242025!$AB$3:$AB$1315,DataRegularSeason20242025!$B$3:$B$1315, "&lt;=" &amp; DZ$1, DataRegularSeason20242025!$E$3:$E$1315, $A15)</f>
        <v>7</v>
      </c>
      <c r="EA15">
        <f>SUMIFS(DataRegularSeason20242025!$AA$3:$AA$1315,DataRegularSeason20242025!$B$3:$B$1315, "&lt;=" &amp; EA$1, DataRegularSeason20242025!$D$3:$D$1315, $A15)+SUMIFS(DataRegularSeason20242025!$AB$3:$AB$1315,DataRegularSeason20242025!$B$3:$B$1315, "&lt;=" &amp; EA$1, DataRegularSeason20242025!$E$3:$E$1315, $A15)</f>
        <v>7</v>
      </c>
      <c r="EB15">
        <f>SUMIFS(DataRegularSeason20242025!$AA$3:$AA$1315,DataRegularSeason20242025!$B$3:$B$1315, "&lt;=" &amp; EB$1, DataRegularSeason20242025!$D$3:$D$1315, $A15)+SUMIFS(DataRegularSeason20242025!$AB$3:$AB$1315,DataRegularSeason20242025!$B$3:$B$1315, "&lt;=" &amp; EB$1, DataRegularSeason20242025!$E$3:$E$1315, $A15)</f>
        <v>7</v>
      </c>
      <c r="EC15">
        <f>SUMIFS(DataRegularSeason20242025!$AA$3:$AA$1315,DataRegularSeason20242025!$B$3:$B$1315, "&lt;=" &amp; EC$1, DataRegularSeason20242025!$D$3:$D$1315, $A15)+SUMIFS(DataRegularSeason20242025!$AB$3:$AB$1315,DataRegularSeason20242025!$B$3:$B$1315, "&lt;=" &amp; EC$1, DataRegularSeason20242025!$E$3:$E$1315, $A15)</f>
        <v>7</v>
      </c>
      <c r="ED15">
        <f>SUMIFS(DataRegularSeason20242025!$AA$3:$AA$1315,DataRegularSeason20242025!$B$3:$B$1315, "&lt;=" &amp; ED$1, DataRegularSeason20242025!$D$3:$D$1315, $A15)+SUMIFS(DataRegularSeason20242025!$AB$3:$AB$1315,DataRegularSeason20242025!$B$3:$B$1315, "&lt;=" &amp; ED$1, DataRegularSeason20242025!$E$3:$E$1315, $A15)</f>
        <v>7</v>
      </c>
      <c r="EE15">
        <f>SUMIFS(DataRegularSeason20242025!$AA$3:$AA$1315,DataRegularSeason20242025!$B$3:$B$1315, "&lt;=" &amp; EE$1, DataRegularSeason20242025!$D$3:$D$1315, $A15)+SUMIFS(DataRegularSeason20242025!$AB$3:$AB$1315,DataRegularSeason20242025!$B$3:$B$1315, "&lt;=" &amp; EE$1, DataRegularSeason20242025!$E$3:$E$1315, $A15)</f>
        <v>7</v>
      </c>
      <c r="EF15">
        <f>SUMIFS(DataRegularSeason20242025!$AA$3:$AA$1315,DataRegularSeason20242025!$B$3:$B$1315, "&lt;=" &amp; EF$1, DataRegularSeason20242025!$D$3:$D$1315, $A15)+SUMIFS(DataRegularSeason20242025!$AB$3:$AB$1315,DataRegularSeason20242025!$B$3:$B$1315, "&lt;=" &amp; EF$1, DataRegularSeason20242025!$E$3:$E$1315, $A15)</f>
        <v>7</v>
      </c>
      <c r="EG15">
        <f>SUMIFS(DataRegularSeason20242025!$AA$3:$AA$1315,DataRegularSeason20242025!$B$3:$B$1315, "&lt;=" &amp; EG$1, DataRegularSeason20242025!$D$3:$D$1315, $A15)+SUMIFS(DataRegularSeason20242025!$AB$3:$AB$1315,DataRegularSeason20242025!$B$3:$B$1315, "&lt;=" &amp; EG$1, DataRegularSeason20242025!$E$3:$E$1315, $A15)</f>
        <v>7</v>
      </c>
      <c r="EH15">
        <f>SUMIFS(DataRegularSeason20242025!$AA$3:$AA$1315,DataRegularSeason20242025!$B$3:$B$1315, "&lt;=" &amp; EH$1, DataRegularSeason20242025!$D$3:$D$1315, $A15)+SUMIFS(DataRegularSeason20242025!$AB$3:$AB$1315,DataRegularSeason20242025!$B$3:$B$1315, "&lt;=" &amp; EH$1, DataRegularSeason20242025!$E$3:$E$1315, $A15)</f>
        <v>7</v>
      </c>
      <c r="EI15">
        <f>SUMIFS(DataRegularSeason20242025!$AA$3:$AA$1315,DataRegularSeason20242025!$B$3:$B$1315, "&lt;=" &amp; EI$1, DataRegularSeason20242025!$D$3:$D$1315, $A15)+SUMIFS(DataRegularSeason20242025!$AB$3:$AB$1315,DataRegularSeason20242025!$B$3:$B$1315, "&lt;=" &amp; EI$1, DataRegularSeason20242025!$E$3:$E$1315, $A15)</f>
        <v>7</v>
      </c>
      <c r="EJ15">
        <f>SUMIFS(DataRegularSeason20242025!$AA$3:$AA$1315,DataRegularSeason20242025!$B$3:$B$1315, "&lt;=" &amp; EJ$1, DataRegularSeason20242025!$D$3:$D$1315, $A15)+SUMIFS(DataRegularSeason20242025!$AB$3:$AB$1315,DataRegularSeason20242025!$B$3:$B$1315, "&lt;=" &amp; EJ$1, DataRegularSeason20242025!$E$3:$E$1315, $A15)</f>
        <v>7</v>
      </c>
      <c r="EK15">
        <f>SUMIFS(DataRegularSeason20242025!$AA$3:$AA$1315,DataRegularSeason20242025!$B$3:$B$1315, "&lt;=" &amp; EK$1, DataRegularSeason20242025!$D$3:$D$1315, $A15)+SUMIFS(DataRegularSeason20242025!$AB$3:$AB$1315,DataRegularSeason20242025!$B$3:$B$1315, "&lt;=" &amp; EK$1, DataRegularSeason20242025!$E$3:$E$1315, $A15)</f>
        <v>7</v>
      </c>
      <c r="EL15">
        <f>SUMIFS(DataRegularSeason20242025!$AA$3:$AA$1315,DataRegularSeason20242025!$B$3:$B$1315, "&lt;=" &amp; EL$1, DataRegularSeason20242025!$D$3:$D$1315, $A15)+SUMIFS(DataRegularSeason20242025!$AB$3:$AB$1315,DataRegularSeason20242025!$B$3:$B$1315, "&lt;=" &amp; EL$1, DataRegularSeason20242025!$E$3:$E$1315, $A15)</f>
        <v>7</v>
      </c>
      <c r="EM15">
        <f>SUMIFS(DataRegularSeason20242025!$AA$3:$AA$1315,DataRegularSeason20242025!$B$3:$B$1315, "&lt;=" &amp; EM$1, DataRegularSeason20242025!$D$3:$D$1315, $A15)+SUMIFS(DataRegularSeason20242025!$AB$3:$AB$1315,DataRegularSeason20242025!$B$3:$B$1315, "&lt;=" &amp; EM$1, DataRegularSeason20242025!$E$3:$E$1315, $A15)</f>
        <v>7</v>
      </c>
      <c r="EN15">
        <f>SUMIFS(DataRegularSeason20242025!$AA$3:$AA$1315,DataRegularSeason20242025!$B$3:$B$1315, "&lt;=" &amp; EN$1, DataRegularSeason20242025!$D$3:$D$1315, $A15)+SUMIFS(DataRegularSeason20242025!$AB$3:$AB$1315,DataRegularSeason20242025!$B$3:$B$1315, "&lt;=" &amp; EN$1, DataRegularSeason20242025!$E$3:$E$1315, $A15)</f>
        <v>7</v>
      </c>
      <c r="EO15">
        <f>SUMIFS(DataRegularSeason20242025!$AA$3:$AA$1315,DataRegularSeason20242025!$B$3:$B$1315, "&lt;=" &amp; EO$1, DataRegularSeason20242025!$D$3:$D$1315, $A15)+SUMIFS(DataRegularSeason20242025!$AB$3:$AB$1315,DataRegularSeason20242025!$B$3:$B$1315, "&lt;=" &amp; EO$1, DataRegularSeason20242025!$E$3:$E$1315, $A15)</f>
        <v>7</v>
      </c>
      <c r="EP15">
        <f>SUMIFS(DataRegularSeason20242025!$AA$3:$AA$1315,DataRegularSeason20242025!$B$3:$B$1315, "&lt;=" &amp; EP$1, DataRegularSeason20242025!$D$3:$D$1315, $A15)+SUMIFS(DataRegularSeason20242025!$AB$3:$AB$1315,DataRegularSeason20242025!$B$3:$B$1315, "&lt;=" &amp; EP$1, DataRegularSeason20242025!$E$3:$E$1315, $A15)</f>
        <v>7</v>
      </c>
      <c r="EQ15">
        <f>SUMIFS(DataRegularSeason20242025!$AA$3:$AA$1315,DataRegularSeason20242025!$B$3:$B$1315, "&lt;=" &amp; EQ$1, DataRegularSeason20242025!$D$3:$D$1315, $A15)+SUMIFS(DataRegularSeason20242025!$AB$3:$AB$1315,DataRegularSeason20242025!$B$3:$B$1315, "&lt;=" &amp; EQ$1, DataRegularSeason20242025!$E$3:$E$1315, $A15)</f>
        <v>7</v>
      </c>
      <c r="ER15">
        <f>SUMIFS(DataRegularSeason20242025!$AA$3:$AA$1315,DataRegularSeason20242025!$B$3:$B$1315, "&lt;=" &amp; ER$1, DataRegularSeason20242025!$D$3:$D$1315, $A15)+SUMIFS(DataRegularSeason20242025!$AB$3:$AB$1315,DataRegularSeason20242025!$B$3:$B$1315, "&lt;=" &amp; ER$1, DataRegularSeason20242025!$E$3:$E$1315, $A15)</f>
        <v>7</v>
      </c>
      <c r="ES15">
        <f>SUMIFS(DataRegularSeason20242025!$AA$3:$AA$1315,DataRegularSeason20242025!$B$3:$B$1315, "&lt;=" &amp; ES$1, DataRegularSeason20242025!$D$3:$D$1315, $A15)+SUMIFS(DataRegularSeason20242025!$AB$3:$AB$1315,DataRegularSeason20242025!$B$3:$B$1315, "&lt;=" &amp; ES$1, DataRegularSeason20242025!$E$3:$E$1315, $A15)</f>
        <v>7</v>
      </c>
      <c r="ET15">
        <f>SUMIFS(DataRegularSeason20242025!$AA$3:$AA$1315,DataRegularSeason20242025!$B$3:$B$1315, "&lt;=" &amp; ET$1, DataRegularSeason20242025!$D$3:$D$1315, $A15)+SUMIFS(DataRegularSeason20242025!$AB$3:$AB$1315,DataRegularSeason20242025!$B$3:$B$1315, "&lt;=" &amp; ET$1, DataRegularSeason20242025!$E$3:$E$1315, $A15)</f>
        <v>7</v>
      </c>
      <c r="EU15">
        <f>SUMIFS(DataRegularSeason20242025!$AA$3:$AA$1315,DataRegularSeason20242025!$B$3:$B$1315, "&lt;=" &amp; EU$1, DataRegularSeason20242025!$D$3:$D$1315, $A15)+SUMIFS(DataRegularSeason20242025!$AB$3:$AB$1315,DataRegularSeason20242025!$B$3:$B$1315, "&lt;=" &amp; EU$1, DataRegularSeason20242025!$E$3:$E$1315, $A15)</f>
        <v>7</v>
      </c>
      <c r="EV15">
        <f>SUMIFS(DataRegularSeason20242025!$AA$3:$AA$1315,DataRegularSeason20242025!$B$3:$B$1315, "&lt;=" &amp; EV$1, DataRegularSeason20242025!$D$3:$D$1315, $A15)+SUMIFS(DataRegularSeason20242025!$AB$3:$AB$1315,DataRegularSeason20242025!$B$3:$B$1315, "&lt;=" &amp; EV$1, DataRegularSeason20242025!$E$3:$E$1315, $A15)</f>
        <v>7</v>
      </c>
      <c r="EW15">
        <f>SUMIFS(DataRegularSeason20242025!$AA$3:$AA$1315,DataRegularSeason20242025!$B$3:$B$1315, "&lt;=" &amp; EW$1, DataRegularSeason20242025!$D$3:$D$1315, $A15)+SUMIFS(DataRegularSeason20242025!$AB$3:$AB$1315,DataRegularSeason20242025!$B$3:$B$1315, "&lt;=" &amp; EW$1, DataRegularSeason20242025!$E$3:$E$1315, $A15)</f>
        <v>7</v>
      </c>
      <c r="EX15">
        <f>SUMIFS(DataRegularSeason20242025!$AA$3:$AA$1315,DataRegularSeason20242025!$B$3:$B$1315, "&lt;=" &amp; EX$1, DataRegularSeason20242025!$D$3:$D$1315, $A15)+SUMIFS(DataRegularSeason20242025!$AB$3:$AB$1315,DataRegularSeason20242025!$B$3:$B$1315, "&lt;=" &amp; EX$1, DataRegularSeason20242025!$E$3:$E$1315, $A15)</f>
        <v>7</v>
      </c>
      <c r="EY15">
        <f>SUMIFS(DataRegularSeason20242025!$AA$3:$AA$1315,DataRegularSeason20242025!$B$3:$B$1315, "&lt;=" &amp; EY$1, DataRegularSeason20242025!$D$3:$D$1315, $A15)+SUMIFS(DataRegularSeason20242025!$AB$3:$AB$1315,DataRegularSeason20242025!$B$3:$B$1315, "&lt;=" &amp; EY$1, DataRegularSeason20242025!$E$3:$E$1315, $A15)</f>
        <v>7</v>
      </c>
      <c r="EZ15">
        <f>SUMIFS(DataRegularSeason20242025!$AA$3:$AA$1315,DataRegularSeason20242025!$B$3:$B$1315, "&lt;=" &amp; EZ$1, DataRegularSeason20242025!$D$3:$D$1315, $A15)+SUMIFS(DataRegularSeason20242025!$AB$3:$AB$1315,DataRegularSeason20242025!$B$3:$B$1315, "&lt;=" &amp; EZ$1, DataRegularSeason20242025!$E$3:$E$1315, $A15)</f>
        <v>7</v>
      </c>
      <c r="FA15">
        <f>SUMIFS(DataRegularSeason20242025!$AA$3:$AA$1315,DataRegularSeason20242025!$B$3:$B$1315, "&lt;=" &amp; FA$1, DataRegularSeason20242025!$D$3:$D$1315, $A15)+SUMIFS(DataRegularSeason20242025!$AB$3:$AB$1315,DataRegularSeason20242025!$B$3:$B$1315, "&lt;=" &amp; FA$1, DataRegularSeason20242025!$E$3:$E$1315, $A15)</f>
        <v>7</v>
      </c>
      <c r="FB15">
        <f>SUMIFS(DataRegularSeason20242025!$AA$3:$AA$1315,DataRegularSeason20242025!$B$3:$B$1315, "&lt;=" &amp; FB$1, DataRegularSeason20242025!$D$3:$D$1315, $A15)+SUMIFS(DataRegularSeason20242025!$AB$3:$AB$1315,DataRegularSeason20242025!$B$3:$B$1315, "&lt;=" &amp; FB$1, DataRegularSeason20242025!$E$3:$E$1315, $A15)</f>
        <v>7</v>
      </c>
      <c r="FC15">
        <f>SUMIFS(DataRegularSeason20242025!$AA$3:$AA$1315,DataRegularSeason20242025!$B$3:$B$1315, "&lt;=" &amp; FC$1, DataRegularSeason20242025!$D$3:$D$1315, $A15)+SUMIFS(DataRegularSeason20242025!$AB$3:$AB$1315,DataRegularSeason20242025!$B$3:$B$1315, "&lt;=" &amp; FC$1, DataRegularSeason20242025!$E$3:$E$1315, $A15)</f>
        <v>7</v>
      </c>
      <c r="FD15">
        <f>SUMIFS(DataRegularSeason20242025!$AA$3:$AA$1315,DataRegularSeason20242025!$B$3:$B$1315, "&lt;=" &amp; FD$1, DataRegularSeason20242025!$D$3:$D$1315, $A15)+SUMIFS(DataRegularSeason20242025!$AB$3:$AB$1315,DataRegularSeason20242025!$B$3:$B$1315, "&lt;=" &amp; FD$1, DataRegularSeason20242025!$E$3:$E$1315, $A15)</f>
        <v>7</v>
      </c>
      <c r="FE15">
        <f>SUMIFS(DataRegularSeason20242025!$AA$3:$AA$1315,DataRegularSeason20242025!$B$3:$B$1315, "&lt;=" &amp; FE$1, DataRegularSeason20242025!$D$3:$D$1315, $A15)+SUMIFS(DataRegularSeason20242025!$AB$3:$AB$1315,DataRegularSeason20242025!$B$3:$B$1315, "&lt;=" &amp; FE$1, DataRegularSeason20242025!$E$3:$E$1315, $A15)</f>
        <v>7</v>
      </c>
      <c r="FF15">
        <f>SUMIFS(DataRegularSeason20242025!$AA$3:$AA$1315,DataRegularSeason20242025!$B$3:$B$1315, "&lt;=" &amp; FF$1, DataRegularSeason20242025!$D$3:$D$1315, $A15)+SUMIFS(DataRegularSeason20242025!$AB$3:$AB$1315,DataRegularSeason20242025!$B$3:$B$1315, "&lt;=" &amp; FF$1, DataRegularSeason20242025!$E$3:$E$1315, $A15)</f>
        <v>7</v>
      </c>
      <c r="FG15">
        <f>SUMIFS(DataRegularSeason20242025!$AA$3:$AA$1315,DataRegularSeason20242025!$B$3:$B$1315, "&lt;=" &amp; FG$1, DataRegularSeason20242025!$D$3:$D$1315, $A15)+SUMIFS(DataRegularSeason20242025!$AB$3:$AB$1315,DataRegularSeason20242025!$B$3:$B$1315, "&lt;=" &amp; FG$1, DataRegularSeason20242025!$E$3:$E$1315, $A15)</f>
        <v>7</v>
      </c>
      <c r="FH15">
        <f>SUMIFS(DataRegularSeason20242025!$AA$3:$AA$1315,DataRegularSeason20242025!$B$3:$B$1315, "&lt;=" &amp; FH$1, DataRegularSeason20242025!$D$3:$D$1315, $A15)+SUMIFS(DataRegularSeason20242025!$AB$3:$AB$1315,DataRegularSeason20242025!$B$3:$B$1315, "&lt;=" &amp; FH$1, DataRegularSeason20242025!$E$3:$E$1315, $A15)</f>
        <v>7</v>
      </c>
      <c r="FI15">
        <f>SUMIFS(DataRegularSeason20242025!$AA$3:$AA$1315,DataRegularSeason20242025!$B$3:$B$1315, "&lt;=" &amp; FI$1, DataRegularSeason20242025!$D$3:$D$1315, $A15)+SUMIFS(DataRegularSeason20242025!$AB$3:$AB$1315,DataRegularSeason20242025!$B$3:$B$1315, "&lt;=" &amp; FI$1, DataRegularSeason20242025!$E$3:$E$1315, $A15)</f>
        <v>7</v>
      </c>
      <c r="FJ15">
        <f>SUMIFS(DataRegularSeason20242025!$AA$3:$AA$1315,DataRegularSeason20242025!$B$3:$B$1315, "&lt;=" &amp; FJ$1, DataRegularSeason20242025!$D$3:$D$1315, $A15)+SUMIFS(DataRegularSeason20242025!$AB$3:$AB$1315,DataRegularSeason20242025!$B$3:$B$1315, "&lt;=" &amp; FJ$1, DataRegularSeason20242025!$E$3:$E$1315, $A15)</f>
        <v>7</v>
      </c>
      <c r="FK15">
        <f>SUMIFS(DataRegularSeason20242025!$AA$3:$AA$1315,DataRegularSeason20242025!$B$3:$B$1315, "&lt;=" &amp; FK$1, DataRegularSeason20242025!$D$3:$D$1315, $A15)+SUMIFS(DataRegularSeason20242025!$AB$3:$AB$1315,DataRegularSeason20242025!$B$3:$B$1315, "&lt;=" &amp; FK$1, DataRegularSeason20242025!$E$3:$E$1315, $A15)</f>
        <v>7</v>
      </c>
      <c r="FL15">
        <f>SUMIFS(DataRegularSeason20242025!$AA$3:$AA$1315,DataRegularSeason20242025!$B$3:$B$1315, "&lt;=" &amp; FL$1, DataRegularSeason20242025!$D$3:$D$1315, $A15)+SUMIFS(DataRegularSeason20242025!$AB$3:$AB$1315,DataRegularSeason20242025!$B$3:$B$1315, "&lt;=" &amp; FL$1, DataRegularSeason20242025!$E$3:$E$1315, $A15)</f>
        <v>7</v>
      </c>
      <c r="FM15">
        <f>SUMIFS(DataRegularSeason20242025!$AA$3:$AA$1315,DataRegularSeason20242025!$B$3:$B$1315, "&lt;=" &amp; FM$1, DataRegularSeason20242025!$D$3:$D$1315, $A15)+SUMIFS(DataRegularSeason20242025!$AB$3:$AB$1315,DataRegularSeason20242025!$B$3:$B$1315, "&lt;=" &amp; FM$1, DataRegularSeason20242025!$E$3:$E$1315, $A15)</f>
        <v>7</v>
      </c>
      <c r="FN15">
        <f>SUMIFS(DataRegularSeason20242025!$AA$3:$AA$1315,DataRegularSeason20242025!$B$3:$B$1315, "&lt;=" &amp; FN$1, DataRegularSeason20242025!$D$3:$D$1315, $A15)+SUMIFS(DataRegularSeason20242025!$AB$3:$AB$1315,DataRegularSeason20242025!$B$3:$B$1315, "&lt;=" &amp; FN$1, DataRegularSeason20242025!$E$3:$E$1315, $A15)</f>
        <v>7</v>
      </c>
      <c r="FO15">
        <f>SUMIFS(DataRegularSeason20242025!$AA$3:$AA$1315,DataRegularSeason20242025!$B$3:$B$1315, "&lt;=" &amp; FO$1, DataRegularSeason20242025!$D$3:$D$1315, $A15)+SUMIFS(DataRegularSeason20242025!$AB$3:$AB$1315,DataRegularSeason20242025!$B$3:$B$1315, "&lt;=" &amp; FO$1, DataRegularSeason20242025!$E$3:$E$1315, $A15)</f>
        <v>7</v>
      </c>
      <c r="FP15">
        <f>SUMIFS(DataRegularSeason20242025!$AA$3:$AA$1315,DataRegularSeason20242025!$B$3:$B$1315, "&lt;=" &amp; FP$1, DataRegularSeason20242025!$D$3:$D$1315, $A15)+SUMIFS(DataRegularSeason20242025!$AB$3:$AB$1315,DataRegularSeason20242025!$B$3:$B$1315, "&lt;=" &amp; FP$1, DataRegularSeason20242025!$E$3:$E$1315, $A15)</f>
        <v>7</v>
      </c>
      <c r="FQ15">
        <f>SUMIFS(DataRegularSeason20242025!$AA$3:$AA$1315,DataRegularSeason20242025!$B$3:$B$1315, "&lt;=" &amp; FQ$1, DataRegularSeason20242025!$D$3:$D$1315, $A15)+SUMIFS(DataRegularSeason20242025!$AB$3:$AB$1315,DataRegularSeason20242025!$B$3:$B$1315, "&lt;=" &amp; FQ$1, DataRegularSeason20242025!$E$3:$E$1315, $A15)</f>
        <v>7</v>
      </c>
      <c r="FR15">
        <f>SUMIFS(DataRegularSeason20242025!$AA$3:$AA$1315,DataRegularSeason20242025!$B$3:$B$1315, "&lt;=" &amp; FR$1, DataRegularSeason20242025!$D$3:$D$1315, $A15)+SUMIFS(DataRegularSeason20242025!$AB$3:$AB$1315,DataRegularSeason20242025!$B$3:$B$1315, "&lt;=" &amp; FR$1, DataRegularSeason20242025!$E$3:$E$1315, $A15)</f>
        <v>7</v>
      </c>
      <c r="FS15">
        <f>SUMIFS(DataRegularSeason20242025!$AA$3:$AA$1315,DataRegularSeason20242025!$B$3:$B$1315, "&lt;=" &amp; FS$1, DataRegularSeason20242025!$D$3:$D$1315, $A15)+SUMIFS(DataRegularSeason20242025!$AB$3:$AB$1315,DataRegularSeason20242025!$B$3:$B$1315, "&lt;=" &amp; FS$1, DataRegularSeason20242025!$E$3:$E$1315, $A15)</f>
        <v>7</v>
      </c>
      <c r="FT15">
        <f>SUMIFS(DataRegularSeason20242025!$AA$3:$AA$1315,DataRegularSeason20242025!$B$3:$B$1315, "&lt;=" &amp; FT$1, DataRegularSeason20242025!$D$3:$D$1315, $A15)+SUMIFS(DataRegularSeason20242025!$AB$3:$AB$1315,DataRegularSeason20242025!$B$3:$B$1315, "&lt;=" &amp; FT$1, DataRegularSeason20242025!$E$3:$E$1315, $A15)</f>
        <v>7</v>
      </c>
      <c r="FU15">
        <f>SUMIFS(DataRegularSeason20242025!$AA$3:$AA$1315,DataRegularSeason20242025!$B$3:$B$1315, "&lt;=" &amp; FU$1, DataRegularSeason20242025!$D$3:$D$1315, $A15)+SUMIFS(DataRegularSeason20242025!$AB$3:$AB$1315,DataRegularSeason20242025!$B$3:$B$1315, "&lt;=" &amp; FU$1, DataRegularSeason20242025!$E$3:$E$1315, $A15)</f>
        <v>7</v>
      </c>
      <c r="FV15">
        <f>SUMIFS(DataRegularSeason20242025!$AA$3:$AA$1315,DataRegularSeason20242025!$B$3:$B$1315, "&lt;=" &amp; FV$1, DataRegularSeason20242025!$D$3:$D$1315, $A15)+SUMIFS(DataRegularSeason20242025!$AB$3:$AB$1315,DataRegularSeason20242025!$B$3:$B$1315, "&lt;=" &amp; FV$1, DataRegularSeason20242025!$E$3:$E$1315, $A15)</f>
        <v>7</v>
      </c>
      <c r="FW15">
        <f>SUMIFS(DataRegularSeason20242025!$AA$3:$AA$1315,DataRegularSeason20242025!$B$3:$B$1315, "&lt;=" &amp; FW$1, DataRegularSeason20242025!$D$3:$D$1315, $A15)+SUMIFS(DataRegularSeason20242025!$AB$3:$AB$1315,DataRegularSeason20242025!$B$3:$B$1315, "&lt;=" &amp; FW$1, DataRegularSeason20242025!$E$3:$E$1315, $A15)</f>
        <v>7</v>
      </c>
      <c r="FX15">
        <f>SUMIFS(DataRegularSeason20242025!$AA$3:$AA$1315,DataRegularSeason20242025!$B$3:$B$1315, "&lt;=" &amp; FX$1, DataRegularSeason20242025!$D$3:$D$1315, $A15)+SUMIFS(DataRegularSeason20242025!$AB$3:$AB$1315,DataRegularSeason20242025!$B$3:$B$1315, "&lt;=" &amp; FX$1, DataRegularSeason20242025!$E$3:$E$1315, $A15)</f>
        <v>7</v>
      </c>
      <c r="FY15">
        <f>SUMIFS(DataRegularSeason20242025!$AA$3:$AA$1315,DataRegularSeason20242025!$B$3:$B$1315, "&lt;=" &amp; FY$1, DataRegularSeason20242025!$D$3:$D$1315, $A15)+SUMIFS(DataRegularSeason20242025!$AB$3:$AB$1315,DataRegularSeason20242025!$B$3:$B$1315, "&lt;=" &amp; FY$1, DataRegularSeason20242025!$E$3:$E$1315, $A15)</f>
        <v>7</v>
      </c>
      <c r="FZ15">
        <f>SUMIFS(DataRegularSeason20242025!$AA$3:$AA$1315,DataRegularSeason20242025!$B$3:$B$1315, "&lt;=" &amp; FZ$1, DataRegularSeason20242025!$D$3:$D$1315, $A15)+SUMIFS(DataRegularSeason20242025!$AB$3:$AB$1315,DataRegularSeason20242025!$B$3:$B$1315, "&lt;=" &amp; FZ$1, DataRegularSeason20242025!$E$3:$E$1315, $A15)</f>
        <v>7</v>
      </c>
      <c r="GA15">
        <f>SUMIFS(DataRegularSeason20242025!$AA$3:$AA$1315,DataRegularSeason20242025!$B$3:$B$1315, "&lt;=" &amp; GA$1, DataRegularSeason20242025!$D$3:$D$1315, $A15)+SUMIFS(DataRegularSeason20242025!$AB$3:$AB$1315,DataRegularSeason20242025!$B$3:$B$1315, "&lt;=" &amp; GA$1, DataRegularSeason20242025!$E$3:$E$1315, $A15)</f>
        <v>7</v>
      </c>
      <c r="GB15">
        <f>SUMIFS(DataRegularSeason20242025!$AA$3:$AA$1315,DataRegularSeason20242025!$B$3:$B$1315, "&lt;=" &amp; GB$1, DataRegularSeason20242025!$D$3:$D$1315, $A15)+SUMIFS(DataRegularSeason20242025!$AB$3:$AB$1315,DataRegularSeason20242025!$B$3:$B$1315, "&lt;=" &amp; GB$1, DataRegularSeason20242025!$E$3:$E$1315, $A15)</f>
        <v>7</v>
      </c>
      <c r="GC15">
        <f>SUMIFS(DataRegularSeason20242025!$AA$3:$AA$1315,DataRegularSeason20242025!$B$3:$B$1315, "&lt;=" &amp; GC$1, DataRegularSeason20242025!$D$3:$D$1315, $A15)+SUMIFS(DataRegularSeason20242025!$AB$3:$AB$1315,DataRegularSeason20242025!$B$3:$B$1315, "&lt;=" &amp; GC$1, DataRegularSeason20242025!$E$3:$E$1315, $A15)</f>
        <v>7</v>
      </c>
      <c r="GD15">
        <f>SUMIFS(DataRegularSeason20242025!$AA$3:$AA$1315,DataRegularSeason20242025!$B$3:$B$1315, "&lt;=" &amp; GD$1, DataRegularSeason20242025!$D$3:$D$1315, $A15)+SUMIFS(DataRegularSeason20242025!$AB$3:$AB$1315,DataRegularSeason20242025!$B$3:$B$1315, "&lt;=" &amp; GD$1, DataRegularSeason20242025!$E$3:$E$1315, $A15)</f>
        <v>7</v>
      </c>
      <c r="GE15">
        <f>SUMIFS(DataRegularSeason20242025!$AA$3:$AA$1315,DataRegularSeason20242025!$B$3:$B$1315, "&lt;=" &amp; GE$1, DataRegularSeason20242025!$D$3:$D$1315, $A15)+SUMIFS(DataRegularSeason20242025!$AB$3:$AB$1315,DataRegularSeason20242025!$B$3:$B$1315, "&lt;=" &amp; GE$1, DataRegularSeason20242025!$E$3:$E$1315, $A15)</f>
        <v>7</v>
      </c>
      <c r="GF15">
        <f>SUMIFS(DataRegularSeason20242025!$AA$3:$AA$1315,DataRegularSeason20242025!$B$3:$B$1315, "&lt;=" &amp; GF$1, DataRegularSeason20242025!$D$3:$D$1315, $A15)+SUMIFS(DataRegularSeason20242025!$AB$3:$AB$1315,DataRegularSeason20242025!$B$3:$B$1315, "&lt;=" &amp; GF$1, DataRegularSeason20242025!$E$3:$E$1315, $A15)</f>
        <v>7</v>
      </c>
      <c r="GG15">
        <f>SUMIFS(DataRegularSeason20242025!$AA$3:$AA$1315,DataRegularSeason20242025!$B$3:$B$1315, "&lt;=" &amp; GG$1, DataRegularSeason20242025!$D$3:$D$1315, $A15)+SUMIFS(DataRegularSeason20242025!$AB$3:$AB$1315,DataRegularSeason20242025!$B$3:$B$1315, "&lt;=" &amp; GG$1, DataRegularSeason20242025!$E$3:$E$1315, $A15)</f>
        <v>7</v>
      </c>
      <c r="GH15">
        <f>SUMIFS(DataRegularSeason20242025!$AA$3:$AA$1315,DataRegularSeason20242025!$B$3:$B$1315, "&lt;=" &amp; GH$1, DataRegularSeason20242025!$D$3:$D$1315, $A15)+SUMIFS(DataRegularSeason20242025!$AB$3:$AB$1315,DataRegularSeason20242025!$B$3:$B$1315, "&lt;=" &amp; GH$1, DataRegularSeason20242025!$E$3:$E$1315, $A15)</f>
        <v>7</v>
      </c>
      <c r="GI15">
        <f>SUMIFS(DataRegularSeason20242025!$AA$3:$AA$1315,DataRegularSeason20242025!$B$3:$B$1315, "&lt;=" &amp; GI$1, DataRegularSeason20242025!$D$3:$D$1315, $A15)+SUMIFS(DataRegularSeason20242025!$AB$3:$AB$1315,DataRegularSeason20242025!$B$3:$B$1315, "&lt;=" &amp; GI$1, DataRegularSeason20242025!$E$3:$E$1315, $A15)</f>
        <v>7</v>
      </c>
      <c r="GJ15">
        <f>SUMIFS(DataRegularSeason20242025!$AA$3:$AA$1315,DataRegularSeason20242025!$B$3:$B$1315, "&lt;=" &amp; GJ$1, DataRegularSeason20242025!$D$3:$D$1315, $A15)+SUMIFS(DataRegularSeason20242025!$AB$3:$AB$1315,DataRegularSeason20242025!$B$3:$B$1315, "&lt;=" &amp; GJ$1, DataRegularSeason20242025!$E$3:$E$1315, $A15)</f>
        <v>7</v>
      </c>
      <c r="GK15">
        <f>SUMIFS(DataRegularSeason20242025!$AA$3:$AA$1315,DataRegularSeason20242025!$B$3:$B$1315, "&lt;=" &amp; GK$1, DataRegularSeason20242025!$D$3:$D$1315, $A15)+SUMIFS(DataRegularSeason20242025!$AB$3:$AB$1315,DataRegularSeason20242025!$B$3:$B$1315, "&lt;=" &amp; GK$1, DataRegularSeason20242025!$E$3:$E$1315, $A15)</f>
        <v>7</v>
      </c>
      <c r="GL15">
        <f>SUMIFS(DataRegularSeason20242025!$AA$3:$AA$1315,DataRegularSeason20242025!$B$3:$B$1315, "&lt;=" &amp; GL$1, DataRegularSeason20242025!$D$3:$D$1315, $A15)+SUMIFS(DataRegularSeason20242025!$AB$3:$AB$1315,DataRegularSeason20242025!$B$3:$B$1315, "&lt;=" &amp; GL$1, DataRegularSeason20242025!$E$3:$E$1315, $A15)</f>
        <v>7</v>
      </c>
      <c r="GM15">
        <f>SUMIFS(DataRegularSeason20242025!$AA$3:$AA$1315,DataRegularSeason20242025!$B$3:$B$1315, "&lt;=" &amp; GM$1, DataRegularSeason20242025!$D$3:$D$1315, $A15)+SUMIFS(DataRegularSeason20242025!$AB$3:$AB$1315,DataRegularSeason20242025!$B$3:$B$1315, "&lt;=" &amp; GM$1, DataRegularSeason20242025!$E$3:$E$1315, $A15)</f>
        <v>7</v>
      </c>
      <c r="GN15">
        <f>SUMIFS(DataRegularSeason20242025!$AA$3:$AA$1315,DataRegularSeason20242025!$B$3:$B$1315, "&lt;=" &amp; GN$1, DataRegularSeason20242025!$D$3:$D$1315, $A15)+SUMIFS(DataRegularSeason20242025!$AB$3:$AB$1315,DataRegularSeason20242025!$B$3:$B$1315, "&lt;=" &amp; GN$1, DataRegularSeason20242025!$E$3:$E$1315, $A15)</f>
        <v>7</v>
      </c>
      <c r="GO15">
        <f>SUMIFS(DataRegularSeason20242025!$AA$3:$AA$1315,DataRegularSeason20242025!$B$3:$B$1315, "&lt;=" &amp; GO$1, DataRegularSeason20242025!$D$3:$D$1315, $A15)+SUMIFS(DataRegularSeason20242025!$AB$3:$AB$1315,DataRegularSeason20242025!$B$3:$B$1315, "&lt;=" &amp; GO$1, DataRegularSeason20242025!$E$3:$E$1315, $A15)</f>
        <v>7</v>
      </c>
      <c r="GP15">
        <f>SUMIFS(DataRegularSeason20242025!$AA$3:$AA$1315,DataRegularSeason20242025!$B$3:$B$1315, "&lt;=" &amp; GP$1, DataRegularSeason20242025!$D$3:$D$1315, $A15)+SUMIFS(DataRegularSeason20242025!$AB$3:$AB$1315,DataRegularSeason20242025!$B$3:$B$1315, "&lt;=" &amp; GP$1, DataRegularSeason20242025!$E$3:$E$1315, $A15)</f>
        <v>7</v>
      </c>
      <c r="GQ15">
        <f>SUMIFS(DataRegularSeason20242025!$AA$3:$AA$1315,DataRegularSeason20242025!$B$3:$B$1315, "&lt;=" &amp; GQ$1, DataRegularSeason20242025!$D$3:$D$1315, $A15)+SUMIFS(DataRegularSeason20242025!$AB$3:$AB$1315,DataRegularSeason20242025!$B$3:$B$1315, "&lt;=" &amp; GQ$1, DataRegularSeason20242025!$E$3:$E$1315, $A15)</f>
        <v>7</v>
      </c>
      <c r="GR15">
        <f>SUMIFS(DataRegularSeason20242025!$AA$3:$AA$1315,DataRegularSeason20242025!$B$3:$B$1315, "&lt;=" &amp; GR$1, DataRegularSeason20242025!$D$3:$D$1315, $A15)+SUMIFS(DataRegularSeason20242025!$AB$3:$AB$1315,DataRegularSeason20242025!$B$3:$B$1315, "&lt;=" &amp; GR$1, DataRegularSeason20242025!$E$3:$E$1315, $A15)</f>
        <v>7</v>
      </c>
      <c r="GS15">
        <f>SUMIFS(DataRegularSeason20242025!$AA$3:$AA$1315,DataRegularSeason20242025!$B$3:$B$1315, "&lt;=" &amp; GS$1, DataRegularSeason20242025!$D$3:$D$1315, $A15)+SUMIFS(DataRegularSeason20242025!$AB$3:$AB$1315,DataRegularSeason20242025!$B$3:$B$1315, "&lt;=" &amp; GS$1, DataRegularSeason20242025!$E$3:$E$1315, $A15)</f>
        <v>7</v>
      </c>
      <c r="GT15">
        <f>SUMIFS(DataRegularSeason20242025!$AA$3:$AA$1315,DataRegularSeason20242025!$B$3:$B$1315, "&lt;=" &amp; GT$1, DataRegularSeason20242025!$D$3:$D$1315, $A15)+SUMIFS(DataRegularSeason20242025!$AB$3:$AB$1315,DataRegularSeason20242025!$B$3:$B$1315, "&lt;=" &amp; GT$1, DataRegularSeason20242025!$E$3:$E$1315, $A15)</f>
        <v>7</v>
      </c>
      <c r="GU15">
        <f>SUMIFS(DataRegularSeason20242025!$AA$3:$AA$1315,DataRegularSeason20242025!$B$3:$B$1315, "&lt;=" &amp; GU$1, DataRegularSeason20242025!$D$3:$D$1315, $A15)+SUMIFS(DataRegularSeason20242025!$AB$3:$AB$1315,DataRegularSeason20242025!$B$3:$B$1315, "&lt;=" &amp; GU$1, DataRegularSeason20242025!$E$3:$E$1315, $A15)</f>
        <v>7</v>
      </c>
    </row>
    <row r="16" spans="1:275" x14ac:dyDescent="0.25">
      <c r="A16" t="s">
        <v>32</v>
      </c>
      <c r="B16" t="s">
        <v>91</v>
      </c>
      <c r="C16" s="106" t="s">
        <v>92</v>
      </c>
      <c r="D16">
        <f>SUMIFS(DataRegularSeason20242025!$AA$3:$AA$1315,DataRegularSeason20242025!$B$3:$B$1315, "&lt;=" &amp; D$1, DataRegularSeason20242025!$D$3:$D$1315, $A16)+SUMIFS(DataRegularSeason20242025!$AB$3:$AB$1315,DataRegularSeason20242025!$B$3:$B$1315, "&lt;=" &amp; D$1, DataRegularSeason20242025!$E$3:$E$1315, $A16)</f>
        <v>0</v>
      </c>
      <c r="E16">
        <f>SUMIFS(DataRegularSeason20242025!$AA$3:$AA$1315,DataRegularSeason20242025!$B$3:$B$1315, "&lt;=" &amp; E$1, DataRegularSeason20242025!$D$3:$D$1315, $A16)+SUMIFS(DataRegularSeason20242025!$AB$3:$AB$1315,DataRegularSeason20242025!$B$3:$B$1315, "&lt;=" &amp; E$1, DataRegularSeason20242025!$E$3:$E$1315, $A16)</f>
        <v>0</v>
      </c>
      <c r="F16">
        <f>SUMIFS(DataRegularSeason20242025!$AA$3:$AA$1315,DataRegularSeason20242025!$B$3:$B$1315, "&lt;=" &amp; F$1, DataRegularSeason20242025!$D$3:$D$1315, $A16)+SUMIFS(DataRegularSeason20242025!$AB$3:$AB$1315,DataRegularSeason20242025!$B$3:$B$1315, "&lt;=" &amp; F$1, DataRegularSeason20242025!$E$3:$E$1315, $A16)</f>
        <v>0</v>
      </c>
      <c r="G16">
        <f>SUMIFS(DataRegularSeason20242025!$AA$3:$AA$1315,DataRegularSeason20242025!$B$3:$B$1315, "&lt;=" &amp; G$1, DataRegularSeason20242025!$D$3:$D$1315, $A16)+SUMIFS(DataRegularSeason20242025!$AB$3:$AB$1315,DataRegularSeason20242025!$B$3:$B$1315, "&lt;=" &amp; G$1, DataRegularSeason20242025!$E$3:$E$1315, $A16)</f>
        <v>0</v>
      </c>
      <c r="H16">
        <f>SUMIFS(DataRegularSeason20242025!$AA$3:$AA$1315,DataRegularSeason20242025!$B$3:$B$1315, "&lt;=" &amp; H$1, DataRegularSeason20242025!$D$3:$D$1315, $A16)+SUMIFS(DataRegularSeason20242025!$AB$3:$AB$1315,DataRegularSeason20242025!$B$3:$B$1315, "&lt;=" &amp; H$1, DataRegularSeason20242025!$E$3:$E$1315, $A16)</f>
        <v>0</v>
      </c>
      <c r="I16">
        <f>SUMIFS(DataRegularSeason20242025!$AA$3:$AA$1315,DataRegularSeason20242025!$B$3:$B$1315, "&lt;=" &amp; I$1, DataRegularSeason20242025!$D$3:$D$1315, $A16)+SUMIFS(DataRegularSeason20242025!$AB$3:$AB$1315,DataRegularSeason20242025!$B$3:$B$1315, "&lt;=" &amp; I$1, DataRegularSeason20242025!$E$3:$E$1315, $A16)</f>
        <v>0</v>
      </c>
      <c r="J16">
        <f>SUMIFS(DataRegularSeason20242025!$AA$3:$AA$1315,DataRegularSeason20242025!$B$3:$B$1315, "&lt;=" &amp; J$1, DataRegularSeason20242025!$D$3:$D$1315, $A16)+SUMIFS(DataRegularSeason20242025!$AB$3:$AB$1315,DataRegularSeason20242025!$B$3:$B$1315, "&lt;=" &amp; J$1, DataRegularSeason20242025!$E$3:$E$1315, $A16)</f>
        <v>0</v>
      </c>
      <c r="K16">
        <f>SUMIFS(DataRegularSeason20242025!$AA$3:$AA$1315,DataRegularSeason20242025!$B$3:$B$1315, "&lt;=" &amp; K$1, DataRegularSeason20242025!$D$3:$D$1315, $A16)+SUMIFS(DataRegularSeason20242025!$AB$3:$AB$1315,DataRegularSeason20242025!$B$3:$B$1315, "&lt;=" &amp; K$1, DataRegularSeason20242025!$E$3:$E$1315, $A16)</f>
        <v>0</v>
      </c>
      <c r="L16">
        <f>SUMIFS(DataRegularSeason20242025!$AA$3:$AA$1315,DataRegularSeason20242025!$B$3:$B$1315, "&lt;=" &amp; L$1, DataRegularSeason20242025!$D$3:$D$1315, $A16)+SUMIFS(DataRegularSeason20242025!$AB$3:$AB$1315,DataRegularSeason20242025!$B$3:$B$1315, "&lt;=" &amp; L$1, DataRegularSeason20242025!$E$3:$E$1315, $A16)</f>
        <v>0</v>
      </c>
      <c r="M16">
        <f>SUMIFS(DataRegularSeason20242025!$AA$3:$AA$1315,DataRegularSeason20242025!$B$3:$B$1315, "&lt;=" &amp; M$1, DataRegularSeason20242025!$D$3:$D$1315, $A16)+SUMIFS(DataRegularSeason20242025!$AB$3:$AB$1315,DataRegularSeason20242025!$B$3:$B$1315, "&lt;=" &amp; M$1, DataRegularSeason20242025!$E$3:$E$1315, $A16)</f>
        <v>0</v>
      </c>
      <c r="N16">
        <f>SUMIFS(DataRegularSeason20242025!$AA$3:$AA$1315,DataRegularSeason20242025!$B$3:$B$1315, "&lt;=" &amp; N$1, DataRegularSeason20242025!$D$3:$D$1315, $A16)+SUMIFS(DataRegularSeason20242025!$AB$3:$AB$1315,DataRegularSeason20242025!$B$3:$B$1315, "&lt;=" &amp; N$1, DataRegularSeason20242025!$E$3:$E$1315, $A16)</f>
        <v>0</v>
      </c>
      <c r="O16">
        <f>SUMIFS(DataRegularSeason20242025!$AA$3:$AA$1315,DataRegularSeason20242025!$B$3:$B$1315, "&lt;=" &amp; O$1, DataRegularSeason20242025!$D$3:$D$1315, $A16)+SUMIFS(DataRegularSeason20242025!$AB$3:$AB$1315,DataRegularSeason20242025!$B$3:$B$1315, "&lt;=" &amp; O$1, DataRegularSeason20242025!$E$3:$E$1315, $A16)</f>
        <v>0</v>
      </c>
      <c r="P16">
        <f>SUMIFS(DataRegularSeason20242025!$AA$3:$AA$1315,DataRegularSeason20242025!$B$3:$B$1315, "&lt;=" &amp; P$1, DataRegularSeason20242025!$D$3:$D$1315, $A16)+SUMIFS(DataRegularSeason20242025!$AB$3:$AB$1315,DataRegularSeason20242025!$B$3:$B$1315, "&lt;=" &amp; P$1, DataRegularSeason20242025!$E$3:$E$1315, $A16)</f>
        <v>0</v>
      </c>
      <c r="Q16">
        <f>SUMIFS(DataRegularSeason20242025!$AA$3:$AA$1315,DataRegularSeason20242025!$B$3:$B$1315, "&lt;=" &amp; Q$1, DataRegularSeason20242025!$D$3:$D$1315, $A16)+SUMIFS(DataRegularSeason20242025!$AB$3:$AB$1315,DataRegularSeason20242025!$B$3:$B$1315, "&lt;=" &amp; Q$1, DataRegularSeason20242025!$E$3:$E$1315, $A16)</f>
        <v>2</v>
      </c>
      <c r="R16">
        <f>SUMIFS(DataRegularSeason20242025!$AA$3:$AA$1315,DataRegularSeason20242025!$B$3:$B$1315, "&lt;=" &amp; R$1, DataRegularSeason20242025!$D$3:$D$1315, $A16)+SUMIFS(DataRegularSeason20242025!$AB$3:$AB$1315,DataRegularSeason20242025!$B$3:$B$1315, "&lt;=" &amp; R$1, DataRegularSeason20242025!$E$3:$E$1315, $A16)</f>
        <v>2</v>
      </c>
      <c r="S16">
        <f>SUMIFS(DataRegularSeason20242025!$AA$3:$AA$1315,DataRegularSeason20242025!$B$3:$B$1315, "&lt;=" &amp; S$1, DataRegularSeason20242025!$D$3:$D$1315, $A16)+SUMIFS(DataRegularSeason20242025!$AB$3:$AB$1315,DataRegularSeason20242025!$B$3:$B$1315, "&lt;=" &amp; S$1, DataRegularSeason20242025!$E$3:$E$1315, $A16)</f>
        <v>4</v>
      </c>
      <c r="T16">
        <f>SUMIFS(DataRegularSeason20242025!$AA$3:$AA$1315,DataRegularSeason20242025!$B$3:$B$1315, "&lt;=" &amp; T$1, DataRegularSeason20242025!$D$3:$D$1315, $A16)+SUMIFS(DataRegularSeason20242025!$AB$3:$AB$1315,DataRegularSeason20242025!$B$3:$B$1315, "&lt;=" &amp; T$1, DataRegularSeason20242025!$E$3:$E$1315, $A16)</f>
        <v>4</v>
      </c>
      <c r="U16">
        <f>SUMIFS(DataRegularSeason20242025!$AA$3:$AA$1315,DataRegularSeason20242025!$B$3:$B$1315, "&lt;=" &amp; U$1, DataRegularSeason20242025!$D$3:$D$1315, $A16)+SUMIFS(DataRegularSeason20242025!$AB$3:$AB$1315,DataRegularSeason20242025!$B$3:$B$1315, "&lt;=" &amp; U$1, DataRegularSeason20242025!$E$3:$E$1315, $A16)</f>
        <v>4</v>
      </c>
      <c r="V16">
        <f>SUMIFS(DataRegularSeason20242025!$AA$3:$AA$1315,DataRegularSeason20242025!$B$3:$B$1315, "&lt;=" &amp; V$1, DataRegularSeason20242025!$D$3:$D$1315, $A16)+SUMIFS(DataRegularSeason20242025!$AB$3:$AB$1315,DataRegularSeason20242025!$B$3:$B$1315, "&lt;=" &amp; V$1, DataRegularSeason20242025!$E$3:$E$1315, $A16)</f>
        <v>6</v>
      </c>
      <c r="W16">
        <f>SUMIFS(DataRegularSeason20242025!$AA$3:$AA$1315,DataRegularSeason20242025!$B$3:$B$1315, "&lt;=" &amp; W$1, DataRegularSeason20242025!$D$3:$D$1315, $A16)+SUMIFS(DataRegularSeason20242025!$AB$3:$AB$1315,DataRegularSeason20242025!$B$3:$B$1315, "&lt;=" &amp; W$1, DataRegularSeason20242025!$E$3:$E$1315, $A16)</f>
        <v>6</v>
      </c>
      <c r="X16">
        <f>SUMIFS(DataRegularSeason20242025!$AA$3:$AA$1315,DataRegularSeason20242025!$B$3:$B$1315, "&lt;=" &amp; X$1, DataRegularSeason20242025!$D$3:$D$1315, $A16)+SUMIFS(DataRegularSeason20242025!$AB$3:$AB$1315,DataRegularSeason20242025!$B$3:$B$1315, "&lt;=" &amp; X$1, DataRegularSeason20242025!$E$3:$E$1315, $A16)</f>
        <v>6</v>
      </c>
      <c r="Y16">
        <f>SUMIFS(DataRegularSeason20242025!$AA$3:$AA$1315,DataRegularSeason20242025!$B$3:$B$1315, "&lt;=" &amp; Y$1, DataRegularSeason20242025!$D$3:$D$1315, $A16)+SUMIFS(DataRegularSeason20242025!$AB$3:$AB$1315,DataRegularSeason20242025!$B$3:$B$1315, "&lt;=" &amp; Y$1, DataRegularSeason20242025!$E$3:$E$1315, $A16)</f>
        <v>6</v>
      </c>
      <c r="Z16">
        <f>SUMIFS(DataRegularSeason20242025!$AA$3:$AA$1315,DataRegularSeason20242025!$B$3:$B$1315, "&lt;=" &amp; Z$1, DataRegularSeason20242025!$D$3:$D$1315, $A16)+SUMIFS(DataRegularSeason20242025!$AB$3:$AB$1315,DataRegularSeason20242025!$B$3:$B$1315, "&lt;=" &amp; Z$1, DataRegularSeason20242025!$E$3:$E$1315, $A16)</f>
        <v>6</v>
      </c>
      <c r="AA16">
        <f>SUMIFS(DataRegularSeason20242025!$AA$3:$AA$1315,DataRegularSeason20242025!$B$3:$B$1315, "&lt;=" &amp; AA$1, DataRegularSeason20242025!$D$3:$D$1315, $A16)+SUMIFS(DataRegularSeason20242025!$AB$3:$AB$1315,DataRegularSeason20242025!$B$3:$B$1315, "&lt;=" &amp; AA$1, DataRegularSeason20242025!$E$3:$E$1315, $A16)</f>
        <v>6</v>
      </c>
      <c r="AB16">
        <f>SUMIFS(DataRegularSeason20242025!$AA$3:$AA$1315,DataRegularSeason20242025!$B$3:$B$1315, "&lt;=" &amp; AB$1, DataRegularSeason20242025!$D$3:$D$1315, $A16)+SUMIFS(DataRegularSeason20242025!$AB$3:$AB$1315,DataRegularSeason20242025!$B$3:$B$1315, "&lt;=" &amp; AB$1, DataRegularSeason20242025!$E$3:$E$1315, $A16)</f>
        <v>6</v>
      </c>
      <c r="AC16">
        <f>SUMIFS(DataRegularSeason20242025!$AA$3:$AA$1315,DataRegularSeason20242025!$B$3:$B$1315, "&lt;=" &amp; AC$1, DataRegularSeason20242025!$D$3:$D$1315, $A16)+SUMIFS(DataRegularSeason20242025!$AB$3:$AB$1315,DataRegularSeason20242025!$B$3:$B$1315, "&lt;=" &amp; AC$1, DataRegularSeason20242025!$E$3:$E$1315, $A16)</f>
        <v>6</v>
      </c>
      <c r="AD16">
        <f>SUMIFS(DataRegularSeason20242025!$AA$3:$AA$1315,DataRegularSeason20242025!$B$3:$B$1315, "&lt;=" &amp; AD$1, DataRegularSeason20242025!$D$3:$D$1315, $A16)+SUMIFS(DataRegularSeason20242025!$AB$3:$AB$1315,DataRegularSeason20242025!$B$3:$B$1315, "&lt;=" &amp; AD$1, DataRegularSeason20242025!$E$3:$E$1315, $A16)</f>
        <v>6</v>
      </c>
      <c r="AE16">
        <f>SUMIFS(DataRegularSeason20242025!$AA$3:$AA$1315,DataRegularSeason20242025!$B$3:$B$1315, "&lt;=" &amp; AE$1, DataRegularSeason20242025!$D$3:$D$1315, $A16)+SUMIFS(DataRegularSeason20242025!$AB$3:$AB$1315,DataRegularSeason20242025!$B$3:$B$1315, "&lt;=" &amp; AE$1, DataRegularSeason20242025!$E$3:$E$1315, $A16)</f>
        <v>6</v>
      </c>
      <c r="AF16">
        <f>SUMIFS(DataRegularSeason20242025!$AA$3:$AA$1315,DataRegularSeason20242025!$B$3:$B$1315, "&lt;=" &amp; AF$1, DataRegularSeason20242025!$D$3:$D$1315, $A16)+SUMIFS(DataRegularSeason20242025!$AB$3:$AB$1315,DataRegularSeason20242025!$B$3:$B$1315, "&lt;=" &amp; AF$1, DataRegularSeason20242025!$E$3:$E$1315, $A16)</f>
        <v>6</v>
      </c>
      <c r="AG16">
        <f>SUMIFS(DataRegularSeason20242025!$AA$3:$AA$1315,DataRegularSeason20242025!$B$3:$B$1315, "&lt;=" &amp; AG$1, DataRegularSeason20242025!$D$3:$D$1315, $A16)+SUMIFS(DataRegularSeason20242025!$AB$3:$AB$1315,DataRegularSeason20242025!$B$3:$B$1315, "&lt;=" &amp; AG$1, DataRegularSeason20242025!$E$3:$E$1315, $A16)</f>
        <v>6</v>
      </c>
      <c r="AH16">
        <f>SUMIFS(DataRegularSeason20242025!$AA$3:$AA$1315,DataRegularSeason20242025!$B$3:$B$1315, "&lt;=" &amp; AH$1, DataRegularSeason20242025!$D$3:$D$1315, $A16)+SUMIFS(DataRegularSeason20242025!$AB$3:$AB$1315,DataRegularSeason20242025!$B$3:$B$1315, "&lt;=" &amp; AH$1, DataRegularSeason20242025!$E$3:$E$1315, $A16)</f>
        <v>6</v>
      </c>
      <c r="AI16">
        <f>SUMIFS(DataRegularSeason20242025!$AA$3:$AA$1315,DataRegularSeason20242025!$B$3:$B$1315, "&lt;=" &amp; AI$1, DataRegularSeason20242025!$D$3:$D$1315, $A16)+SUMIFS(DataRegularSeason20242025!$AB$3:$AB$1315,DataRegularSeason20242025!$B$3:$B$1315, "&lt;=" &amp; AI$1, DataRegularSeason20242025!$E$3:$E$1315, $A16)</f>
        <v>6</v>
      </c>
      <c r="AJ16">
        <f>SUMIFS(DataRegularSeason20242025!$AA$3:$AA$1315,DataRegularSeason20242025!$B$3:$B$1315, "&lt;=" &amp; AJ$1, DataRegularSeason20242025!$D$3:$D$1315, $A16)+SUMIFS(DataRegularSeason20242025!$AB$3:$AB$1315,DataRegularSeason20242025!$B$3:$B$1315, "&lt;=" &amp; AJ$1, DataRegularSeason20242025!$E$3:$E$1315, $A16)</f>
        <v>6</v>
      </c>
      <c r="AK16">
        <f>SUMIFS(DataRegularSeason20242025!$AA$3:$AA$1315,DataRegularSeason20242025!$B$3:$B$1315, "&lt;=" &amp; AK$1, DataRegularSeason20242025!$D$3:$D$1315, $A16)+SUMIFS(DataRegularSeason20242025!$AB$3:$AB$1315,DataRegularSeason20242025!$B$3:$B$1315, "&lt;=" &amp; AK$1, DataRegularSeason20242025!$E$3:$E$1315, $A16)</f>
        <v>6</v>
      </c>
      <c r="AL16">
        <f>SUMIFS(DataRegularSeason20242025!$AA$3:$AA$1315,DataRegularSeason20242025!$B$3:$B$1315, "&lt;=" &amp; AL$1, DataRegularSeason20242025!$D$3:$D$1315, $A16)+SUMIFS(DataRegularSeason20242025!$AB$3:$AB$1315,DataRegularSeason20242025!$B$3:$B$1315, "&lt;=" &amp; AL$1, DataRegularSeason20242025!$E$3:$E$1315, $A16)</f>
        <v>6</v>
      </c>
      <c r="AM16">
        <f>SUMIFS(DataRegularSeason20242025!$AA$3:$AA$1315,DataRegularSeason20242025!$B$3:$B$1315, "&lt;=" &amp; AM$1, DataRegularSeason20242025!$D$3:$D$1315, $A16)+SUMIFS(DataRegularSeason20242025!$AB$3:$AB$1315,DataRegularSeason20242025!$B$3:$B$1315, "&lt;=" &amp; AM$1, DataRegularSeason20242025!$E$3:$E$1315, $A16)</f>
        <v>6</v>
      </c>
      <c r="AN16">
        <f>SUMIFS(DataRegularSeason20242025!$AA$3:$AA$1315,DataRegularSeason20242025!$B$3:$B$1315, "&lt;=" &amp; AN$1, DataRegularSeason20242025!$D$3:$D$1315, $A16)+SUMIFS(DataRegularSeason20242025!$AB$3:$AB$1315,DataRegularSeason20242025!$B$3:$B$1315, "&lt;=" &amp; AN$1, DataRegularSeason20242025!$E$3:$E$1315, $A16)</f>
        <v>6</v>
      </c>
      <c r="AO16">
        <f>SUMIFS(DataRegularSeason20242025!$AA$3:$AA$1315,DataRegularSeason20242025!$B$3:$B$1315, "&lt;=" &amp; AO$1, DataRegularSeason20242025!$D$3:$D$1315, $A16)+SUMIFS(DataRegularSeason20242025!$AB$3:$AB$1315,DataRegularSeason20242025!$B$3:$B$1315, "&lt;=" &amp; AO$1, DataRegularSeason20242025!$E$3:$E$1315, $A16)</f>
        <v>6</v>
      </c>
      <c r="AP16">
        <f>SUMIFS(DataRegularSeason20242025!$AA$3:$AA$1315,DataRegularSeason20242025!$B$3:$B$1315, "&lt;=" &amp; AP$1, DataRegularSeason20242025!$D$3:$D$1315, $A16)+SUMIFS(DataRegularSeason20242025!$AB$3:$AB$1315,DataRegularSeason20242025!$B$3:$B$1315, "&lt;=" &amp; AP$1, DataRegularSeason20242025!$E$3:$E$1315, $A16)</f>
        <v>6</v>
      </c>
      <c r="AQ16">
        <f>SUMIFS(DataRegularSeason20242025!$AA$3:$AA$1315,DataRegularSeason20242025!$B$3:$B$1315, "&lt;=" &amp; AQ$1, DataRegularSeason20242025!$D$3:$D$1315, $A16)+SUMIFS(DataRegularSeason20242025!$AB$3:$AB$1315,DataRegularSeason20242025!$B$3:$B$1315, "&lt;=" &amp; AQ$1, DataRegularSeason20242025!$E$3:$E$1315, $A16)</f>
        <v>6</v>
      </c>
      <c r="AR16">
        <f>SUMIFS(DataRegularSeason20242025!$AA$3:$AA$1315,DataRegularSeason20242025!$B$3:$B$1315, "&lt;=" &amp; AR$1, DataRegularSeason20242025!$D$3:$D$1315, $A16)+SUMIFS(DataRegularSeason20242025!$AB$3:$AB$1315,DataRegularSeason20242025!$B$3:$B$1315, "&lt;=" &amp; AR$1, DataRegularSeason20242025!$E$3:$E$1315, $A16)</f>
        <v>6</v>
      </c>
      <c r="AS16">
        <f>SUMIFS(DataRegularSeason20242025!$AA$3:$AA$1315,DataRegularSeason20242025!$B$3:$B$1315, "&lt;=" &amp; AS$1, DataRegularSeason20242025!$D$3:$D$1315, $A16)+SUMIFS(DataRegularSeason20242025!$AB$3:$AB$1315,DataRegularSeason20242025!$B$3:$B$1315, "&lt;=" &amp; AS$1, DataRegularSeason20242025!$E$3:$E$1315, $A16)</f>
        <v>6</v>
      </c>
      <c r="AT16">
        <f>SUMIFS(DataRegularSeason20242025!$AA$3:$AA$1315,DataRegularSeason20242025!$B$3:$B$1315, "&lt;=" &amp; AT$1, DataRegularSeason20242025!$D$3:$D$1315, $A16)+SUMIFS(DataRegularSeason20242025!$AB$3:$AB$1315,DataRegularSeason20242025!$B$3:$B$1315, "&lt;=" &amp; AT$1, DataRegularSeason20242025!$E$3:$E$1315, $A16)</f>
        <v>6</v>
      </c>
      <c r="AU16">
        <f>SUMIFS(DataRegularSeason20242025!$AA$3:$AA$1315,DataRegularSeason20242025!$B$3:$B$1315, "&lt;=" &amp; AU$1, DataRegularSeason20242025!$D$3:$D$1315, $A16)+SUMIFS(DataRegularSeason20242025!$AB$3:$AB$1315,DataRegularSeason20242025!$B$3:$B$1315, "&lt;=" &amp; AU$1, DataRegularSeason20242025!$E$3:$E$1315, $A16)</f>
        <v>6</v>
      </c>
      <c r="AV16">
        <f>SUMIFS(DataRegularSeason20242025!$AA$3:$AA$1315,DataRegularSeason20242025!$B$3:$B$1315, "&lt;=" &amp; AV$1, DataRegularSeason20242025!$D$3:$D$1315, $A16)+SUMIFS(DataRegularSeason20242025!$AB$3:$AB$1315,DataRegularSeason20242025!$B$3:$B$1315, "&lt;=" &amp; AV$1, DataRegularSeason20242025!$E$3:$E$1315, $A16)</f>
        <v>6</v>
      </c>
      <c r="AW16">
        <f>SUMIFS(DataRegularSeason20242025!$AA$3:$AA$1315,DataRegularSeason20242025!$B$3:$B$1315, "&lt;=" &amp; AW$1, DataRegularSeason20242025!$D$3:$D$1315, $A16)+SUMIFS(DataRegularSeason20242025!$AB$3:$AB$1315,DataRegularSeason20242025!$B$3:$B$1315, "&lt;=" &amp; AW$1, DataRegularSeason20242025!$E$3:$E$1315, $A16)</f>
        <v>6</v>
      </c>
      <c r="AX16">
        <f>SUMIFS(DataRegularSeason20242025!$AA$3:$AA$1315,DataRegularSeason20242025!$B$3:$B$1315, "&lt;=" &amp; AX$1, DataRegularSeason20242025!$D$3:$D$1315, $A16)+SUMIFS(DataRegularSeason20242025!$AB$3:$AB$1315,DataRegularSeason20242025!$B$3:$B$1315, "&lt;=" &amp; AX$1, DataRegularSeason20242025!$E$3:$E$1315, $A16)</f>
        <v>6</v>
      </c>
      <c r="AY16">
        <f>SUMIFS(DataRegularSeason20242025!$AA$3:$AA$1315,DataRegularSeason20242025!$B$3:$B$1315, "&lt;=" &amp; AY$1, DataRegularSeason20242025!$D$3:$D$1315, $A16)+SUMIFS(DataRegularSeason20242025!$AB$3:$AB$1315,DataRegularSeason20242025!$B$3:$B$1315, "&lt;=" &amp; AY$1, DataRegularSeason20242025!$E$3:$E$1315, $A16)</f>
        <v>6</v>
      </c>
      <c r="AZ16">
        <f>SUMIFS(DataRegularSeason20242025!$AA$3:$AA$1315,DataRegularSeason20242025!$B$3:$B$1315, "&lt;=" &amp; AZ$1, DataRegularSeason20242025!$D$3:$D$1315, $A16)+SUMIFS(DataRegularSeason20242025!$AB$3:$AB$1315,DataRegularSeason20242025!$B$3:$B$1315, "&lt;=" &amp; AZ$1, DataRegularSeason20242025!$E$3:$E$1315, $A16)</f>
        <v>6</v>
      </c>
      <c r="BA16">
        <f>SUMIFS(DataRegularSeason20242025!$AA$3:$AA$1315,DataRegularSeason20242025!$B$3:$B$1315, "&lt;=" &amp; BA$1, DataRegularSeason20242025!$D$3:$D$1315, $A16)+SUMIFS(DataRegularSeason20242025!$AB$3:$AB$1315,DataRegularSeason20242025!$B$3:$B$1315, "&lt;=" &amp; BA$1, DataRegularSeason20242025!$E$3:$E$1315, $A16)</f>
        <v>6</v>
      </c>
      <c r="BB16">
        <f>SUMIFS(DataRegularSeason20242025!$AA$3:$AA$1315,DataRegularSeason20242025!$B$3:$B$1315, "&lt;=" &amp; BB$1, DataRegularSeason20242025!$D$3:$D$1315, $A16)+SUMIFS(DataRegularSeason20242025!$AB$3:$AB$1315,DataRegularSeason20242025!$B$3:$B$1315, "&lt;=" &amp; BB$1, DataRegularSeason20242025!$E$3:$E$1315, $A16)</f>
        <v>6</v>
      </c>
      <c r="BC16">
        <f>SUMIFS(DataRegularSeason20242025!$AA$3:$AA$1315,DataRegularSeason20242025!$B$3:$B$1315, "&lt;=" &amp; BC$1, DataRegularSeason20242025!$D$3:$D$1315, $A16)+SUMIFS(DataRegularSeason20242025!$AB$3:$AB$1315,DataRegularSeason20242025!$B$3:$B$1315, "&lt;=" &amp; BC$1, DataRegularSeason20242025!$E$3:$E$1315, $A16)</f>
        <v>6</v>
      </c>
      <c r="BD16">
        <f>SUMIFS(DataRegularSeason20242025!$AA$3:$AA$1315,DataRegularSeason20242025!$B$3:$B$1315, "&lt;=" &amp; BD$1, DataRegularSeason20242025!$D$3:$D$1315, $A16)+SUMIFS(DataRegularSeason20242025!$AB$3:$AB$1315,DataRegularSeason20242025!$B$3:$B$1315, "&lt;=" &amp; BD$1, DataRegularSeason20242025!$E$3:$E$1315, $A16)</f>
        <v>6</v>
      </c>
      <c r="BE16">
        <f>SUMIFS(DataRegularSeason20242025!$AA$3:$AA$1315,DataRegularSeason20242025!$B$3:$B$1315, "&lt;=" &amp; BE$1, DataRegularSeason20242025!$D$3:$D$1315, $A16)+SUMIFS(DataRegularSeason20242025!$AB$3:$AB$1315,DataRegularSeason20242025!$B$3:$B$1315, "&lt;=" &amp; BE$1, DataRegularSeason20242025!$E$3:$E$1315, $A16)</f>
        <v>6</v>
      </c>
      <c r="BF16">
        <f>SUMIFS(DataRegularSeason20242025!$AA$3:$AA$1315,DataRegularSeason20242025!$B$3:$B$1315, "&lt;=" &amp; BF$1, DataRegularSeason20242025!$D$3:$D$1315, $A16)+SUMIFS(DataRegularSeason20242025!$AB$3:$AB$1315,DataRegularSeason20242025!$B$3:$B$1315, "&lt;=" &amp; BF$1, DataRegularSeason20242025!$E$3:$E$1315, $A16)</f>
        <v>6</v>
      </c>
      <c r="BG16">
        <f>SUMIFS(DataRegularSeason20242025!$AA$3:$AA$1315,DataRegularSeason20242025!$B$3:$B$1315, "&lt;=" &amp; BG$1, DataRegularSeason20242025!$D$3:$D$1315, $A16)+SUMIFS(DataRegularSeason20242025!$AB$3:$AB$1315,DataRegularSeason20242025!$B$3:$B$1315, "&lt;=" &amp; BG$1, DataRegularSeason20242025!$E$3:$E$1315, $A16)</f>
        <v>6</v>
      </c>
      <c r="BH16">
        <f>SUMIFS(DataRegularSeason20242025!$AA$3:$AA$1315,DataRegularSeason20242025!$B$3:$B$1315, "&lt;=" &amp; BH$1, DataRegularSeason20242025!$D$3:$D$1315, $A16)+SUMIFS(DataRegularSeason20242025!$AB$3:$AB$1315,DataRegularSeason20242025!$B$3:$B$1315, "&lt;=" &amp; BH$1, DataRegularSeason20242025!$E$3:$E$1315, $A16)</f>
        <v>6</v>
      </c>
      <c r="BI16">
        <f>SUMIFS(DataRegularSeason20242025!$AA$3:$AA$1315,DataRegularSeason20242025!$B$3:$B$1315, "&lt;=" &amp; BI$1, DataRegularSeason20242025!$D$3:$D$1315, $A16)+SUMIFS(DataRegularSeason20242025!$AB$3:$AB$1315,DataRegularSeason20242025!$B$3:$B$1315, "&lt;=" &amp; BI$1, DataRegularSeason20242025!$E$3:$E$1315, $A16)</f>
        <v>6</v>
      </c>
      <c r="BJ16">
        <f>SUMIFS(DataRegularSeason20242025!$AA$3:$AA$1315,DataRegularSeason20242025!$B$3:$B$1315, "&lt;=" &amp; BJ$1, DataRegularSeason20242025!$D$3:$D$1315, $A16)+SUMIFS(DataRegularSeason20242025!$AB$3:$AB$1315,DataRegularSeason20242025!$B$3:$B$1315, "&lt;=" &amp; BJ$1, DataRegularSeason20242025!$E$3:$E$1315, $A16)</f>
        <v>6</v>
      </c>
      <c r="BK16">
        <f>SUMIFS(DataRegularSeason20242025!$AA$3:$AA$1315,DataRegularSeason20242025!$B$3:$B$1315, "&lt;=" &amp; BK$1, DataRegularSeason20242025!$D$3:$D$1315, $A16)+SUMIFS(DataRegularSeason20242025!$AB$3:$AB$1315,DataRegularSeason20242025!$B$3:$B$1315, "&lt;=" &amp; BK$1, DataRegularSeason20242025!$E$3:$E$1315, $A16)</f>
        <v>6</v>
      </c>
      <c r="BL16">
        <f>SUMIFS(DataRegularSeason20242025!$AA$3:$AA$1315,DataRegularSeason20242025!$B$3:$B$1315, "&lt;=" &amp; BL$1, DataRegularSeason20242025!$D$3:$D$1315, $A16)+SUMIFS(DataRegularSeason20242025!$AB$3:$AB$1315,DataRegularSeason20242025!$B$3:$B$1315, "&lt;=" &amp; BL$1, DataRegularSeason20242025!$E$3:$E$1315, $A16)</f>
        <v>6</v>
      </c>
      <c r="BM16">
        <f>SUMIFS(DataRegularSeason20242025!$AA$3:$AA$1315,DataRegularSeason20242025!$B$3:$B$1315, "&lt;=" &amp; BM$1, DataRegularSeason20242025!$D$3:$D$1315, $A16)+SUMIFS(DataRegularSeason20242025!$AB$3:$AB$1315,DataRegularSeason20242025!$B$3:$B$1315, "&lt;=" &amp; BM$1, DataRegularSeason20242025!$E$3:$E$1315, $A16)</f>
        <v>6</v>
      </c>
      <c r="BN16">
        <f>SUMIFS(DataRegularSeason20242025!$AA$3:$AA$1315,DataRegularSeason20242025!$B$3:$B$1315, "&lt;=" &amp; BN$1, DataRegularSeason20242025!$D$3:$D$1315, $A16)+SUMIFS(DataRegularSeason20242025!$AB$3:$AB$1315,DataRegularSeason20242025!$B$3:$B$1315, "&lt;=" &amp; BN$1, DataRegularSeason20242025!$E$3:$E$1315, $A16)</f>
        <v>6</v>
      </c>
      <c r="BO16">
        <f>SUMIFS(DataRegularSeason20242025!$AA$3:$AA$1315,DataRegularSeason20242025!$B$3:$B$1315, "&lt;=" &amp; BO$1, DataRegularSeason20242025!$D$3:$D$1315, $A16)+SUMIFS(DataRegularSeason20242025!$AB$3:$AB$1315,DataRegularSeason20242025!$B$3:$B$1315, "&lt;=" &amp; BO$1, DataRegularSeason20242025!$E$3:$E$1315, $A16)</f>
        <v>6</v>
      </c>
      <c r="BP16">
        <f>SUMIFS(DataRegularSeason20242025!$AA$3:$AA$1315,DataRegularSeason20242025!$B$3:$B$1315, "&lt;=" &amp; BP$1, DataRegularSeason20242025!$D$3:$D$1315, $A16)+SUMIFS(DataRegularSeason20242025!$AB$3:$AB$1315,DataRegularSeason20242025!$B$3:$B$1315, "&lt;=" &amp; BP$1, DataRegularSeason20242025!$E$3:$E$1315, $A16)</f>
        <v>6</v>
      </c>
      <c r="BQ16">
        <f>SUMIFS(DataRegularSeason20242025!$AA$3:$AA$1315,DataRegularSeason20242025!$B$3:$B$1315, "&lt;=" &amp; BQ$1, DataRegularSeason20242025!$D$3:$D$1315, $A16)+SUMIFS(DataRegularSeason20242025!$AB$3:$AB$1315,DataRegularSeason20242025!$B$3:$B$1315, "&lt;=" &amp; BQ$1, DataRegularSeason20242025!$E$3:$E$1315, $A16)</f>
        <v>6</v>
      </c>
      <c r="BR16">
        <f>SUMIFS(DataRegularSeason20242025!$AA$3:$AA$1315,DataRegularSeason20242025!$B$3:$B$1315, "&lt;=" &amp; BR$1, DataRegularSeason20242025!$D$3:$D$1315, $A16)+SUMIFS(DataRegularSeason20242025!$AB$3:$AB$1315,DataRegularSeason20242025!$B$3:$B$1315, "&lt;=" &amp; BR$1, DataRegularSeason20242025!$E$3:$E$1315, $A16)</f>
        <v>6</v>
      </c>
      <c r="BS16">
        <f>SUMIFS(DataRegularSeason20242025!$AA$3:$AA$1315,DataRegularSeason20242025!$B$3:$B$1315, "&lt;=" &amp; BS$1, DataRegularSeason20242025!$D$3:$D$1315, $A16)+SUMIFS(DataRegularSeason20242025!$AB$3:$AB$1315,DataRegularSeason20242025!$B$3:$B$1315, "&lt;=" &amp; BS$1, DataRegularSeason20242025!$E$3:$E$1315, $A16)</f>
        <v>6</v>
      </c>
      <c r="BT16">
        <f>SUMIFS(DataRegularSeason20242025!$AA$3:$AA$1315,DataRegularSeason20242025!$B$3:$B$1315, "&lt;=" &amp; BT$1, DataRegularSeason20242025!$D$3:$D$1315, $A16)+SUMIFS(DataRegularSeason20242025!$AB$3:$AB$1315,DataRegularSeason20242025!$B$3:$B$1315, "&lt;=" &amp; BT$1, DataRegularSeason20242025!$E$3:$E$1315, $A16)</f>
        <v>6</v>
      </c>
      <c r="BU16">
        <f>SUMIFS(DataRegularSeason20242025!$AA$3:$AA$1315,DataRegularSeason20242025!$B$3:$B$1315, "&lt;=" &amp; BU$1, DataRegularSeason20242025!$D$3:$D$1315, $A16)+SUMIFS(DataRegularSeason20242025!$AB$3:$AB$1315,DataRegularSeason20242025!$B$3:$B$1315, "&lt;=" &amp; BU$1, DataRegularSeason20242025!$E$3:$E$1315, $A16)</f>
        <v>6</v>
      </c>
      <c r="BV16">
        <f>SUMIFS(DataRegularSeason20242025!$AA$3:$AA$1315,DataRegularSeason20242025!$B$3:$B$1315, "&lt;=" &amp; BV$1, DataRegularSeason20242025!$D$3:$D$1315, $A16)+SUMIFS(DataRegularSeason20242025!$AB$3:$AB$1315,DataRegularSeason20242025!$B$3:$B$1315, "&lt;=" &amp; BV$1, DataRegularSeason20242025!$E$3:$E$1315, $A16)</f>
        <v>6</v>
      </c>
      <c r="BW16">
        <f>SUMIFS(DataRegularSeason20242025!$AA$3:$AA$1315,DataRegularSeason20242025!$B$3:$B$1315, "&lt;=" &amp; BW$1, DataRegularSeason20242025!$D$3:$D$1315, $A16)+SUMIFS(DataRegularSeason20242025!$AB$3:$AB$1315,DataRegularSeason20242025!$B$3:$B$1315, "&lt;=" &amp; BW$1, DataRegularSeason20242025!$E$3:$E$1315, $A16)</f>
        <v>6</v>
      </c>
      <c r="BX16">
        <f>SUMIFS(DataRegularSeason20242025!$AA$3:$AA$1315,DataRegularSeason20242025!$B$3:$B$1315, "&lt;=" &amp; BX$1, DataRegularSeason20242025!$D$3:$D$1315, $A16)+SUMIFS(DataRegularSeason20242025!$AB$3:$AB$1315,DataRegularSeason20242025!$B$3:$B$1315, "&lt;=" &amp; BX$1, DataRegularSeason20242025!$E$3:$E$1315, $A16)</f>
        <v>6</v>
      </c>
      <c r="BY16">
        <f>SUMIFS(DataRegularSeason20242025!$AA$3:$AA$1315,DataRegularSeason20242025!$B$3:$B$1315, "&lt;=" &amp; BY$1, DataRegularSeason20242025!$D$3:$D$1315, $A16)+SUMIFS(DataRegularSeason20242025!$AB$3:$AB$1315,DataRegularSeason20242025!$B$3:$B$1315, "&lt;=" &amp; BY$1, DataRegularSeason20242025!$E$3:$E$1315, $A16)</f>
        <v>6</v>
      </c>
      <c r="BZ16">
        <f>SUMIFS(DataRegularSeason20242025!$AA$3:$AA$1315,DataRegularSeason20242025!$B$3:$B$1315, "&lt;=" &amp; BZ$1, DataRegularSeason20242025!$D$3:$D$1315, $A16)+SUMIFS(DataRegularSeason20242025!$AB$3:$AB$1315,DataRegularSeason20242025!$B$3:$B$1315, "&lt;=" &amp; BZ$1, DataRegularSeason20242025!$E$3:$E$1315, $A16)</f>
        <v>6</v>
      </c>
      <c r="CA16">
        <f>SUMIFS(DataRegularSeason20242025!$AA$3:$AA$1315,DataRegularSeason20242025!$B$3:$B$1315, "&lt;=" &amp; CA$1, DataRegularSeason20242025!$D$3:$D$1315, $A16)+SUMIFS(DataRegularSeason20242025!$AB$3:$AB$1315,DataRegularSeason20242025!$B$3:$B$1315, "&lt;=" &amp; CA$1, DataRegularSeason20242025!$E$3:$E$1315, $A16)</f>
        <v>6</v>
      </c>
      <c r="CB16">
        <f>SUMIFS(DataRegularSeason20242025!$AA$3:$AA$1315,DataRegularSeason20242025!$B$3:$B$1315, "&lt;=" &amp; CB$1, DataRegularSeason20242025!$D$3:$D$1315, $A16)+SUMIFS(DataRegularSeason20242025!$AB$3:$AB$1315,DataRegularSeason20242025!$B$3:$B$1315, "&lt;=" &amp; CB$1, DataRegularSeason20242025!$E$3:$E$1315, $A16)</f>
        <v>6</v>
      </c>
      <c r="CC16">
        <f>SUMIFS(DataRegularSeason20242025!$AA$3:$AA$1315,DataRegularSeason20242025!$B$3:$B$1315, "&lt;=" &amp; CC$1, DataRegularSeason20242025!$D$3:$D$1315, $A16)+SUMIFS(DataRegularSeason20242025!$AB$3:$AB$1315,DataRegularSeason20242025!$B$3:$B$1315, "&lt;=" &amp; CC$1, DataRegularSeason20242025!$E$3:$E$1315, $A16)</f>
        <v>6</v>
      </c>
      <c r="CD16">
        <f>SUMIFS(DataRegularSeason20242025!$AA$3:$AA$1315,DataRegularSeason20242025!$B$3:$B$1315, "&lt;=" &amp; CD$1, DataRegularSeason20242025!$D$3:$D$1315, $A16)+SUMIFS(DataRegularSeason20242025!$AB$3:$AB$1315,DataRegularSeason20242025!$B$3:$B$1315, "&lt;=" &amp; CD$1, DataRegularSeason20242025!$E$3:$E$1315, $A16)</f>
        <v>6</v>
      </c>
      <c r="CE16">
        <f>SUMIFS(DataRegularSeason20242025!$AA$3:$AA$1315,DataRegularSeason20242025!$B$3:$B$1315, "&lt;=" &amp; CE$1, DataRegularSeason20242025!$D$3:$D$1315, $A16)+SUMIFS(DataRegularSeason20242025!$AB$3:$AB$1315,DataRegularSeason20242025!$B$3:$B$1315, "&lt;=" &amp; CE$1, DataRegularSeason20242025!$E$3:$E$1315, $A16)</f>
        <v>6</v>
      </c>
      <c r="CF16">
        <f>SUMIFS(DataRegularSeason20242025!$AA$3:$AA$1315,DataRegularSeason20242025!$B$3:$B$1315, "&lt;=" &amp; CF$1, DataRegularSeason20242025!$D$3:$D$1315, $A16)+SUMIFS(DataRegularSeason20242025!$AB$3:$AB$1315,DataRegularSeason20242025!$B$3:$B$1315, "&lt;=" &amp; CF$1, DataRegularSeason20242025!$E$3:$E$1315, $A16)</f>
        <v>6</v>
      </c>
      <c r="CG16">
        <f>SUMIFS(DataRegularSeason20242025!$AA$3:$AA$1315,DataRegularSeason20242025!$B$3:$B$1315, "&lt;=" &amp; CG$1, DataRegularSeason20242025!$D$3:$D$1315, $A16)+SUMIFS(DataRegularSeason20242025!$AB$3:$AB$1315,DataRegularSeason20242025!$B$3:$B$1315, "&lt;=" &amp; CG$1, DataRegularSeason20242025!$E$3:$E$1315, $A16)</f>
        <v>6</v>
      </c>
      <c r="CH16">
        <f>SUMIFS(DataRegularSeason20242025!$AA$3:$AA$1315,DataRegularSeason20242025!$B$3:$B$1315, "&lt;=" &amp; CH$1, DataRegularSeason20242025!$D$3:$D$1315, $A16)+SUMIFS(DataRegularSeason20242025!$AB$3:$AB$1315,DataRegularSeason20242025!$B$3:$B$1315, "&lt;=" &amp; CH$1, DataRegularSeason20242025!$E$3:$E$1315, $A16)</f>
        <v>6</v>
      </c>
      <c r="CI16">
        <f>SUMIFS(DataRegularSeason20242025!$AA$3:$AA$1315,DataRegularSeason20242025!$B$3:$B$1315, "&lt;=" &amp; CI$1, DataRegularSeason20242025!$D$3:$D$1315, $A16)+SUMIFS(DataRegularSeason20242025!$AB$3:$AB$1315,DataRegularSeason20242025!$B$3:$B$1315, "&lt;=" &amp; CI$1, DataRegularSeason20242025!$E$3:$E$1315, $A16)</f>
        <v>6</v>
      </c>
      <c r="CJ16">
        <f>SUMIFS(DataRegularSeason20242025!$AA$3:$AA$1315,DataRegularSeason20242025!$B$3:$B$1315, "&lt;=" &amp; CJ$1, DataRegularSeason20242025!$D$3:$D$1315, $A16)+SUMIFS(DataRegularSeason20242025!$AB$3:$AB$1315,DataRegularSeason20242025!$B$3:$B$1315, "&lt;=" &amp; CJ$1, DataRegularSeason20242025!$E$3:$E$1315, $A16)</f>
        <v>6</v>
      </c>
      <c r="CK16">
        <f>SUMIFS(DataRegularSeason20242025!$AA$3:$AA$1315,DataRegularSeason20242025!$B$3:$B$1315, "&lt;=" &amp; CK$1, DataRegularSeason20242025!$D$3:$D$1315, $A16)+SUMIFS(DataRegularSeason20242025!$AB$3:$AB$1315,DataRegularSeason20242025!$B$3:$B$1315, "&lt;=" &amp; CK$1, DataRegularSeason20242025!$E$3:$E$1315, $A16)</f>
        <v>6</v>
      </c>
      <c r="CL16">
        <f>SUMIFS(DataRegularSeason20242025!$AA$3:$AA$1315,DataRegularSeason20242025!$B$3:$B$1315, "&lt;=" &amp; CL$1, DataRegularSeason20242025!$D$3:$D$1315, $A16)+SUMIFS(DataRegularSeason20242025!$AB$3:$AB$1315,DataRegularSeason20242025!$B$3:$B$1315, "&lt;=" &amp; CL$1, DataRegularSeason20242025!$E$3:$E$1315, $A16)</f>
        <v>6</v>
      </c>
      <c r="CM16">
        <f>SUMIFS(DataRegularSeason20242025!$AA$3:$AA$1315,DataRegularSeason20242025!$B$3:$B$1315, "&lt;=" &amp; CM$1, DataRegularSeason20242025!$D$3:$D$1315, $A16)+SUMIFS(DataRegularSeason20242025!$AB$3:$AB$1315,DataRegularSeason20242025!$B$3:$B$1315, "&lt;=" &amp; CM$1, DataRegularSeason20242025!$E$3:$E$1315, $A16)</f>
        <v>6</v>
      </c>
      <c r="CN16">
        <f>SUMIFS(DataRegularSeason20242025!$AA$3:$AA$1315,DataRegularSeason20242025!$B$3:$B$1315, "&lt;=" &amp; CN$1, DataRegularSeason20242025!$D$3:$D$1315, $A16)+SUMIFS(DataRegularSeason20242025!$AB$3:$AB$1315,DataRegularSeason20242025!$B$3:$B$1315, "&lt;=" &amp; CN$1, DataRegularSeason20242025!$E$3:$E$1315, $A16)</f>
        <v>6</v>
      </c>
      <c r="CO16">
        <f>SUMIFS(DataRegularSeason20242025!$AA$3:$AA$1315,DataRegularSeason20242025!$B$3:$B$1315, "&lt;=" &amp; CO$1, DataRegularSeason20242025!$D$3:$D$1315, $A16)+SUMIFS(DataRegularSeason20242025!$AB$3:$AB$1315,DataRegularSeason20242025!$B$3:$B$1315, "&lt;=" &amp; CO$1, DataRegularSeason20242025!$E$3:$E$1315, $A16)</f>
        <v>6</v>
      </c>
      <c r="CP16">
        <f>SUMIFS(DataRegularSeason20242025!$AA$3:$AA$1315,DataRegularSeason20242025!$B$3:$B$1315, "&lt;=" &amp; CP$1, DataRegularSeason20242025!$D$3:$D$1315, $A16)+SUMIFS(DataRegularSeason20242025!$AB$3:$AB$1315,DataRegularSeason20242025!$B$3:$B$1315, "&lt;=" &amp; CP$1, DataRegularSeason20242025!$E$3:$E$1315, $A16)</f>
        <v>6</v>
      </c>
      <c r="CQ16">
        <f>SUMIFS(DataRegularSeason20242025!$AA$3:$AA$1315,DataRegularSeason20242025!$B$3:$B$1315, "&lt;=" &amp; CQ$1, DataRegularSeason20242025!$D$3:$D$1315, $A16)+SUMIFS(DataRegularSeason20242025!$AB$3:$AB$1315,DataRegularSeason20242025!$B$3:$B$1315, "&lt;=" &amp; CQ$1, DataRegularSeason20242025!$E$3:$E$1315, $A16)</f>
        <v>6</v>
      </c>
      <c r="CR16">
        <f>SUMIFS(DataRegularSeason20242025!$AA$3:$AA$1315,DataRegularSeason20242025!$B$3:$B$1315, "&lt;=" &amp; CR$1, DataRegularSeason20242025!$D$3:$D$1315, $A16)+SUMIFS(DataRegularSeason20242025!$AB$3:$AB$1315,DataRegularSeason20242025!$B$3:$B$1315, "&lt;=" &amp; CR$1, DataRegularSeason20242025!$E$3:$E$1315, $A16)</f>
        <v>6</v>
      </c>
      <c r="CS16">
        <f>SUMIFS(DataRegularSeason20242025!$AA$3:$AA$1315,DataRegularSeason20242025!$B$3:$B$1315, "&lt;=" &amp; CS$1, DataRegularSeason20242025!$D$3:$D$1315, $A16)+SUMIFS(DataRegularSeason20242025!$AB$3:$AB$1315,DataRegularSeason20242025!$B$3:$B$1315, "&lt;=" &amp; CS$1, DataRegularSeason20242025!$E$3:$E$1315, $A16)</f>
        <v>6</v>
      </c>
      <c r="CT16">
        <f>SUMIFS(DataRegularSeason20242025!$AA$3:$AA$1315,DataRegularSeason20242025!$B$3:$B$1315, "&lt;=" &amp; CT$1, DataRegularSeason20242025!$D$3:$D$1315, $A16)+SUMIFS(DataRegularSeason20242025!$AB$3:$AB$1315,DataRegularSeason20242025!$B$3:$B$1315, "&lt;=" &amp; CT$1, DataRegularSeason20242025!$E$3:$E$1315, $A16)</f>
        <v>6</v>
      </c>
      <c r="CU16">
        <f>SUMIFS(DataRegularSeason20242025!$AA$3:$AA$1315,DataRegularSeason20242025!$B$3:$B$1315, "&lt;=" &amp; CU$1, DataRegularSeason20242025!$D$3:$D$1315, $A16)+SUMIFS(DataRegularSeason20242025!$AB$3:$AB$1315,DataRegularSeason20242025!$B$3:$B$1315, "&lt;=" &amp; CU$1, DataRegularSeason20242025!$E$3:$E$1315, $A16)</f>
        <v>6</v>
      </c>
      <c r="CV16">
        <f>SUMIFS(DataRegularSeason20242025!$AA$3:$AA$1315,DataRegularSeason20242025!$B$3:$B$1315, "&lt;=" &amp; CV$1, DataRegularSeason20242025!$D$3:$D$1315, $A16)+SUMIFS(DataRegularSeason20242025!$AB$3:$AB$1315,DataRegularSeason20242025!$B$3:$B$1315, "&lt;=" &amp; CV$1, DataRegularSeason20242025!$E$3:$E$1315, $A16)</f>
        <v>6</v>
      </c>
      <c r="CW16">
        <f>SUMIFS(DataRegularSeason20242025!$AA$3:$AA$1315,DataRegularSeason20242025!$B$3:$B$1315, "&lt;=" &amp; CW$1, DataRegularSeason20242025!$D$3:$D$1315, $A16)+SUMIFS(DataRegularSeason20242025!$AB$3:$AB$1315,DataRegularSeason20242025!$B$3:$B$1315, "&lt;=" &amp; CW$1, DataRegularSeason20242025!$E$3:$E$1315, $A16)</f>
        <v>6</v>
      </c>
      <c r="CX16">
        <f>SUMIFS(DataRegularSeason20242025!$AA$3:$AA$1315,DataRegularSeason20242025!$B$3:$B$1315, "&lt;=" &amp; CX$1, DataRegularSeason20242025!$D$3:$D$1315, $A16)+SUMIFS(DataRegularSeason20242025!$AB$3:$AB$1315,DataRegularSeason20242025!$B$3:$B$1315, "&lt;=" &amp; CX$1, DataRegularSeason20242025!$E$3:$E$1315, $A16)</f>
        <v>6</v>
      </c>
      <c r="CY16">
        <f>SUMIFS(DataRegularSeason20242025!$AA$3:$AA$1315,DataRegularSeason20242025!$B$3:$B$1315, "&lt;=" &amp; CY$1, DataRegularSeason20242025!$D$3:$D$1315, $A16)+SUMIFS(DataRegularSeason20242025!$AB$3:$AB$1315,DataRegularSeason20242025!$B$3:$B$1315, "&lt;=" &amp; CY$1, DataRegularSeason20242025!$E$3:$E$1315, $A16)</f>
        <v>6</v>
      </c>
      <c r="CZ16">
        <f>SUMIFS(DataRegularSeason20242025!$AA$3:$AA$1315,DataRegularSeason20242025!$B$3:$B$1315, "&lt;=" &amp; CZ$1, DataRegularSeason20242025!$D$3:$D$1315, $A16)+SUMIFS(DataRegularSeason20242025!$AB$3:$AB$1315,DataRegularSeason20242025!$B$3:$B$1315, "&lt;=" &amp; CZ$1, DataRegularSeason20242025!$E$3:$E$1315, $A16)</f>
        <v>6</v>
      </c>
      <c r="DA16">
        <f>SUMIFS(DataRegularSeason20242025!$AA$3:$AA$1315,DataRegularSeason20242025!$B$3:$B$1315, "&lt;=" &amp; DA$1, DataRegularSeason20242025!$D$3:$D$1315, $A16)+SUMIFS(DataRegularSeason20242025!$AB$3:$AB$1315,DataRegularSeason20242025!$B$3:$B$1315, "&lt;=" &amp; DA$1, DataRegularSeason20242025!$E$3:$E$1315, $A16)</f>
        <v>6</v>
      </c>
      <c r="DB16">
        <f>SUMIFS(DataRegularSeason20242025!$AA$3:$AA$1315,DataRegularSeason20242025!$B$3:$B$1315, "&lt;=" &amp; DB$1, DataRegularSeason20242025!$D$3:$D$1315, $A16)+SUMIFS(DataRegularSeason20242025!$AB$3:$AB$1315,DataRegularSeason20242025!$B$3:$B$1315, "&lt;=" &amp; DB$1, DataRegularSeason20242025!$E$3:$E$1315, $A16)</f>
        <v>6</v>
      </c>
      <c r="DC16">
        <f>SUMIFS(DataRegularSeason20242025!$AA$3:$AA$1315,DataRegularSeason20242025!$B$3:$B$1315, "&lt;=" &amp; DC$1, DataRegularSeason20242025!$D$3:$D$1315, $A16)+SUMIFS(DataRegularSeason20242025!$AB$3:$AB$1315,DataRegularSeason20242025!$B$3:$B$1315, "&lt;=" &amp; DC$1, DataRegularSeason20242025!$E$3:$E$1315, $A16)</f>
        <v>6</v>
      </c>
      <c r="DD16">
        <f>SUMIFS(DataRegularSeason20242025!$AA$3:$AA$1315,DataRegularSeason20242025!$B$3:$B$1315, "&lt;=" &amp; DD$1, DataRegularSeason20242025!$D$3:$D$1315, $A16)+SUMIFS(DataRegularSeason20242025!$AB$3:$AB$1315,DataRegularSeason20242025!$B$3:$B$1315, "&lt;=" &amp; DD$1, DataRegularSeason20242025!$E$3:$E$1315, $A16)</f>
        <v>6</v>
      </c>
      <c r="DE16">
        <f>SUMIFS(DataRegularSeason20242025!$AA$3:$AA$1315,DataRegularSeason20242025!$B$3:$B$1315, "&lt;=" &amp; DE$1, DataRegularSeason20242025!$D$3:$D$1315, $A16)+SUMIFS(DataRegularSeason20242025!$AB$3:$AB$1315,DataRegularSeason20242025!$B$3:$B$1315, "&lt;=" &amp; DE$1, DataRegularSeason20242025!$E$3:$E$1315, $A16)</f>
        <v>6</v>
      </c>
      <c r="DF16">
        <f>SUMIFS(DataRegularSeason20242025!$AA$3:$AA$1315,DataRegularSeason20242025!$B$3:$B$1315, "&lt;=" &amp; DF$1, DataRegularSeason20242025!$D$3:$D$1315, $A16)+SUMIFS(DataRegularSeason20242025!$AB$3:$AB$1315,DataRegularSeason20242025!$B$3:$B$1315, "&lt;=" &amp; DF$1, DataRegularSeason20242025!$E$3:$E$1315, $A16)</f>
        <v>6</v>
      </c>
      <c r="DG16">
        <f>SUMIFS(DataRegularSeason20242025!$AA$3:$AA$1315,DataRegularSeason20242025!$B$3:$B$1315, "&lt;=" &amp; DG$1, DataRegularSeason20242025!$D$3:$D$1315, $A16)+SUMIFS(DataRegularSeason20242025!$AB$3:$AB$1315,DataRegularSeason20242025!$B$3:$B$1315, "&lt;=" &amp; DG$1, DataRegularSeason20242025!$E$3:$E$1315, $A16)</f>
        <v>6</v>
      </c>
      <c r="DH16">
        <f>SUMIFS(DataRegularSeason20242025!$AA$3:$AA$1315,DataRegularSeason20242025!$B$3:$B$1315, "&lt;=" &amp; DH$1, DataRegularSeason20242025!$D$3:$D$1315, $A16)+SUMIFS(DataRegularSeason20242025!$AB$3:$AB$1315,DataRegularSeason20242025!$B$3:$B$1315, "&lt;=" &amp; DH$1, DataRegularSeason20242025!$E$3:$E$1315, $A16)</f>
        <v>6</v>
      </c>
      <c r="DI16">
        <f>SUMIFS(DataRegularSeason20242025!$AA$3:$AA$1315,DataRegularSeason20242025!$B$3:$B$1315, "&lt;=" &amp; DI$1, DataRegularSeason20242025!$D$3:$D$1315, $A16)+SUMIFS(DataRegularSeason20242025!$AB$3:$AB$1315,DataRegularSeason20242025!$B$3:$B$1315, "&lt;=" &amp; DI$1, DataRegularSeason20242025!$E$3:$E$1315, $A16)</f>
        <v>6</v>
      </c>
      <c r="DJ16">
        <f>SUMIFS(DataRegularSeason20242025!$AA$3:$AA$1315,DataRegularSeason20242025!$B$3:$B$1315, "&lt;=" &amp; DJ$1, DataRegularSeason20242025!$D$3:$D$1315, $A16)+SUMIFS(DataRegularSeason20242025!$AB$3:$AB$1315,DataRegularSeason20242025!$B$3:$B$1315, "&lt;=" &amp; DJ$1, DataRegularSeason20242025!$E$3:$E$1315, $A16)</f>
        <v>6</v>
      </c>
      <c r="DK16">
        <f>SUMIFS(DataRegularSeason20242025!$AA$3:$AA$1315,DataRegularSeason20242025!$B$3:$B$1315, "&lt;=" &amp; DK$1, DataRegularSeason20242025!$D$3:$D$1315, $A16)+SUMIFS(DataRegularSeason20242025!$AB$3:$AB$1315,DataRegularSeason20242025!$B$3:$B$1315, "&lt;=" &amp; DK$1, DataRegularSeason20242025!$E$3:$E$1315, $A16)</f>
        <v>6</v>
      </c>
      <c r="DL16">
        <f>SUMIFS(DataRegularSeason20242025!$AA$3:$AA$1315,DataRegularSeason20242025!$B$3:$B$1315, "&lt;=" &amp; DL$1, DataRegularSeason20242025!$D$3:$D$1315, $A16)+SUMIFS(DataRegularSeason20242025!$AB$3:$AB$1315,DataRegularSeason20242025!$B$3:$B$1315, "&lt;=" &amp; DL$1, DataRegularSeason20242025!$E$3:$E$1315, $A16)</f>
        <v>6</v>
      </c>
      <c r="DM16">
        <f>SUMIFS(DataRegularSeason20242025!$AA$3:$AA$1315,DataRegularSeason20242025!$B$3:$B$1315, "&lt;=" &amp; DM$1, DataRegularSeason20242025!$D$3:$D$1315, $A16)+SUMIFS(DataRegularSeason20242025!$AB$3:$AB$1315,DataRegularSeason20242025!$B$3:$B$1315, "&lt;=" &amp; DM$1, DataRegularSeason20242025!$E$3:$E$1315, $A16)</f>
        <v>6</v>
      </c>
      <c r="DN16">
        <f>SUMIFS(DataRegularSeason20242025!$AA$3:$AA$1315,DataRegularSeason20242025!$B$3:$B$1315, "&lt;=" &amp; DN$1, DataRegularSeason20242025!$D$3:$D$1315, $A16)+SUMIFS(DataRegularSeason20242025!$AB$3:$AB$1315,DataRegularSeason20242025!$B$3:$B$1315, "&lt;=" &amp; DN$1, DataRegularSeason20242025!$E$3:$E$1315, $A16)</f>
        <v>6</v>
      </c>
      <c r="DO16">
        <f>SUMIFS(DataRegularSeason20242025!$AA$3:$AA$1315,DataRegularSeason20242025!$B$3:$B$1315, "&lt;=" &amp; DO$1, DataRegularSeason20242025!$D$3:$D$1315, $A16)+SUMIFS(DataRegularSeason20242025!$AB$3:$AB$1315,DataRegularSeason20242025!$B$3:$B$1315, "&lt;=" &amp; DO$1, DataRegularSeason20242025!$E$3:$E$1315, $A16)</f>
        <v>6</v>
      </c>
      <c r="DP16">
        <f>SUMIFS(DataRegularSeason20242025!$AA$3:$AA$1315,DataRegularSeason20242025!$B$3:$B$1315, "&lt;=" &amp; DP$1, DataRegularSeason20242025!$D$3:$D$1315, $A16)+SUMIFS(DataRegularSeason20242025!$AB$3:$AB$1315,DataRegularSeason20242025!$B$3:$B$1315, "&lt;=" &amp; DP$1, DataRegularSeason20242025!$E$3:$E$1315, $A16)</f>
        <v>6</v>
      </c>
      <c r="DQ16">
        <f>SUMIFS(DataRegularSeason20242025!$AA$3:$AA$1315,DataRegularSeason20242025!$B$3:$B$1315, "&lt;=" &amp; DQ$1, DataRegularSeason20242025!$D$3:$D$1315, $A16)+SUMIFS(DataRegularSeason20242025!$AB$3:$AB$1315,DataRegularSeason20242025!$B$3:$B$1315, "&lt;=" &amp; DQ$1, DataRegularSeason20242025!$E$3:$E$1315, $A16)</f>
        <v>6</v>
      </c>
      <c r="DR16">
        <f>SUMIFS(DataRegularSeason20242025!$AA$3:$AA$1315,DataRegularSeason20242025!$B$3:$B$1315, "&lt;=" &amp; DR$1, DataRegularSeason20242025!$D$3:$D$1315, $A16)+SUMIFS(DataRegularSeason20242025!$AB$3:$AB$1315,DataRegularSeason20242025!$B$3:$B$1315, "&lt;=" &amp; DR$1, DataRegularSeason20242025!$E$3:$E$1315, $A16)</f>
        <v>6</v>
      </c>
      <c r="DS16">
        <f>SUMIFS(DataRegularSeason20242025!$AA$3:$AA$1315,DataRegularSeason20242025!$B$3:$B$1315, "&lt;=" &amp; DS$1, DataRegularSeason20242025!$D$3:$D$1315, $A16)+SUMIFS(DataRegularSeason20242025!$AB$3:$AB$1315,DataRegularSeason20242025!$B$3:$B$1315, "&lt;=" &amp; DS$1, DataRegularSeason20242025!$E$3:$E$1315, $A16)</f>
        <v>6</v>
      </c>
      <c r="DT16">
        <f>SUMIFS(DataRegularSeason20242025!$AA$3:$AA$1315,DataRegularSeason20242025!$B$3:$B$1315, "&lt;=" &amp; DT$1, DataRegularSeason20242025!$D$3:$D$1315, $A16)+SUMIFS(DataRegularSeason20242025!$AB$3:$AB$1315,DataRegularSeason20242025!$B$3:$B$1315, "&lt;=" &amp; DT$1, DataRegularSeason20242025!$E$3:$E$1315, $A16)</f>
        <v>6</v>
      </c>
      <c r="DU16">
        <f>SUMIFS(DataRegularSeason20242025!$AA$3:$AA$1315,DataRegularSeason20242025!$B$3:$B$1315, "&lt;=" &amp; DU$1, DataRegularSeason20242025!$D$3:$D$1315, $A16)+SUMIFS(DataRegularSeason20242025!$AB$3:$AB$1315,DataRegularSeason20242025!$B$3:$B$1315, "&lt;=" &amp; DU$1, DataRegularSeason20242025!$E$3:$E$1315, $A16)</f>
        <v>6</v>
      </c>
      <c r="DV16">
        <f>SUMIFS(DataRegularSeason20242025!$AA$3:$AA$1315,DataRegularSeason20242025!$B$3:$B$1315, "&lt;=" &amp; DV$1, DataRegularSeason20242025!$D$3:$D$1315, $A16)+SUMIFS(DataRegularSeason20242025!$AB$3:$AB$1315,DataRegularSeason20242025!$B$3:$B$1315, "&lt;=" &amp; DV$1, DataRegularSeason20242025!$E$3:$E$1315, $A16)</f>
        <v>6</v>
      </c>
      <c r="DW16">
        <f>SUMIFS(DataRegularSeason20242025!$AA$3:$AA$1315,DataRegularSeason20242025!$B$3:$B$1315, "&lt;=" &amp; DW$1, DataRegularSeason20242025!$D$3:$D$1315, $A16)+SUMIFS(DataRegularSeason20242025!$AB$3:$AB$1315,DataRegularSeason20242025!$B$3:$B$1315, "&lt;=" &amp; DW$1, DataRegularSeason20242025!$E$3:$E$1315, $A16)</f>
        <v>6</v>
      </c>
      <c r="DX16">
        <f>SUMIFS(DataRegularSeason20242025!$AA$3:$AA$1315,DataRegularSeason20242025!$B$3:$B$1315, "&lt;=" &amp; DX$1, DataRegularSeason20242025!$D$3:$D$1315, $A16)+SUMIFS(DataRegularSeason20242025!$AB$3:$AB$1315,DataRegularSeason20242025!$B$3:$B$1315, "&lt;=" &amp; DX$1, DataRegularSeason20242025!$E$3:$E$1315, $A16)</f>
        <v>6</v>
      </c>
      <c r="DY16">
        <f>SUMIFS(DataRegularSeason20242025!$AA$3:$AA$1315,DataRegularSeason20242025!$B$3:$B$1315, "&lt;=" &amp; DY$1, DataRegularSeason20242025!$D$3:$D$1315, $A16)+SUMIFS(DataRegularSeason20242025!$AB$3:$AB$1315,DataRegularSeason20242025!$B$3:$B$1315, "&lt;=" &amp; DY$1, DataRegularSeason20242025!$E$3:$E$1315, $A16)</f>
        <v>6</v>
      </c>
      <c r="DZ16">
        <f>SUMIFS(DataRegularSeason20242025!$AA$3:$AA$1315,DataRegularSeason20242025!$B$3:$B$1315, "&lt;=" &amp; DZ$1, DataRegularSeason20242025!$D$3:$D$1315, $A16)+SUMIFS(DataRegularSeason20242025!$AB$3:$AB$1315,DataRegularSeason20242025!$B$3:$B$1315, "&lt;=" &amp; DZ$1, DataRegularSeason20242025!$E$3:$E$1315, $A16)</f>
        <v>6</v>
      </c>
      <c r="EA16">
        <f>SUMIFS(DataRegularSeason20242025!$AA$3:$AA$1315,DataRegularSeason20242025!$B$3:$B$1315, "&lt;=" &amp; EA$1, DataRegularSeason20242025!$D$3:$D$1315, $A16)+SUMIFS(DataRegularSeason20242025!$AB$3:$AB$1315,DataRegularSeason20242025!$B$3:$B$1315, "&lt;=" &amp; EA$1, DataRegularSeason20242025!$E$3:$E$1315, $A16)</f>
        <v>6</v>
      </c>
      <c r="EB16">
        <f>SUMIFS(DataRegularSeason20242025!$AA$3:$AA$1315,DataRegularSeason20242025!$B$3:$B$1315, "&lt;=" &amp; EB$1, DataRegularSeason20242025!$D$3:$D$1315, $A16)+SUMIFS(DataRegularSeason20242025!$AB$3:$AB$1315,DataRegularSeason20242025!$B$3:$B$1315, "&lt;=" &amp; EB$1, DataRegularSeason20242025!$E$3:$E$1315, $A16)</f>
        <v>6</v>
      </c>
      <c r="EC16">
        <f>SUMIFS(DataRegularSeason20242025!$AA$3:$AA$1315,DataRegularSeason20242025!$B$3:$B$1315, "&lt;=" &amp; EC$1, DataRegularSeason20242025!$D$3:$D$1315, $A16)+SUMIFS(DataRegularSeason20242025!$AB$3:$AB$1315,DataRegularSeason20242025!$B$3:$B$1315, "&lt;=" &amp; EC$1, DataRegularSeason20242025!$E$3:$E$1315, $A16)</f>
        <v>6</v>
      </c>
      <c r="ED16">
        <f>SUMIFS(DataRegularSeason20242025!$AA$3:$AA$1315,DataRegularSeason20242025!$B$3:$B$1315, "&lt;=" &amp; ED$1, DataRegularSeason20242025!$D$3:$D$1315, $A16)+SUMIFS(DataRegularSeason20242025!$AB$3:$AB$1315,DataRegularSeason20242025!$B$3:$B$1315, "&lt;=" &amp; ED$1, DataRegularSeason20242025!$E$3:$E$1315, $A16)</f>
        <v>6</v>
      </c>
      <c r="EE16">
        <f>SUMIFS(DataRegularSeason20242025!$AA$3:$AA$1315,DataRegularSeason20242025!$B$3:$B$1315, "&lt;=" &amp; EE$1, DataRegularSeason20242025!$D$3:$D$1315, $A16)+SUMIFS(DataRegularSeason20242025!$AB$3:$AB$1315,DataRegularSeason20242025!$B$3:$B$1315, "&lt;=" &amp; EE$1, DataRegularSeason20242025!$E$3:$E$1315, $A16)</f>
        <v>6</v>
      </c>
      <c r="EF16">
        <f>SUMIFS(DataRegularSeason20242025!$AA$3:$AA$1315,DataRegularSeason20242025!$B$3:$B$1315, "&lt;=" &amp; EF$1, DataRegularSeason20242025!$D$3:$D$1315, $A16)+SUMIFS(DataRegularSeason20242025!$AB$3:$AB$1315,DataRegularSeason20242025!$B$3:$B$1315, "&lt;=" &amp; EF$1, DataRegularSeason20242025!$E$3:$E$1315, $A16)</f>
        <v>6</v>
      </c>
      <c r="EG16">
        <f>SUMIFS(DataRegularSeason20242025!$AA$3:$AA$1315,DataRegularSeason20242025!$B$3:$B$1315, "&lt;=" &amp; EG$1, DataRegularSeason20242025!$D$3:$D$1315, $A16)+SUMIFS(DataRegularSeason20242025!$AB$3:$AB$1315,DataRegularSeason20242025!$B$3:$B$1315, "&lt;=" &amp; EG$1, DataRegularSeason20242025!$E$3:$E$1315, $A16)</f>
        <v>6</v>
      </c>
      <c r="EH16">
        <f>SUMIFS(DataRegularSeason20242025!$AA$3:$AA$1315,DataRegularSeason20242025!$B$3:$B$1315, "&lt;=" &amp; EH$1, DataRegularSeason20242025!$D$3:$D$1315, $A16)+SUMIFS(DataRegularSeason20242025!$AB$3:$AB$1315,DataRegularSeason20242025!$B$3:$B$1315, "&lt;=" &amp; EH$1, DataRegularSeason20242025!$E$3:$E$1315, $A16)</f>
        <v>6</v>
      </c>
      <c r="EI16">
        <f>SUMIFS(DataRegularSeason20242025!$AA$3:$AA$1315,DataRegularSeason20242025!$B$3:$B$1315, "&lt;=" &amp; EI$1, DataRegularSeason20242025!$D$3:$D$1315, $A16)+SUMIFS(DataRegularSeason20242025!$AB$3:$AB$1315,DataRegularSeason20242025!$B$3:$B$1315, "&lt;=" &amp; EI$1, DataRegularSeason20242025!$E$3:$E$1315, $A16)</f>
        <v>6</v>
      </c>
      <c r="EJ16">
        <f>SUMIFS(DataRegularSeason20242025!$AA$3:$AA$1315,DataRegularSeason20242025!$B$3:$B$1315, "&lt;=" &amp; EJ$1, DataRegularSeason20242025!$D$3:$D$1315, $A16)+SUMIFS(DataRegularSeason20242025!$AB$3:$AB$1315,DataRegularSeason20242025!$B$3:$B$1315, "&lt;=" &amp; EJ$1, DataRegularSeason20242025!$E$3:$E$1315, $A16)</f>
        <v>6</v>
      </c>
      <c r="EK16">
        <f>SUMIFS(DataRegularSeason20242025!$AA$3:$AA$1315,DataRegularSeason20242025!$B$3:$B$1315, "&lt;=" &amp; EK$1, DataRegularSeason20242025!$D$3:$D$1315, $A16)+SUMIFS(DataRegularSeason20242025!$AB$3:$AB$1315,DataRegularSeason20242025!$B$3:$B$1315, "&lt;=" &amp; EK$1, DataRegularSeason20242025!$E$3:$E$1315, $A16)</f>
        <v>6</v>
      </c>
      <c r="EL16">
        <f>SUMIFS(DataRegularSeason20242025!$AA$3:$AA$1315,DataRegularSeason20242025!$B$3:$B$1315, "&lt;=" &amp; EL$1, DataRegularSeason20242025!$D$3:$D$1315, $A16)+SUMIFS(DataRegularSeason20242025!$AB$3:$AB$1315,DataRegularSeason20242025!$B$3:$B$1315, "&lt;=" &amp; EL$1, DataRegularSeason20242025!$E$3:$E$1315, $A16)</f>
        <v>6</v>
      </c>
      <c r="EM16">
        <f>SUMIFS(DataRegularSeason20242025!$AA$3:$AA$1315,DataRegularSeason20242025!$B$3:$B$1315, "&lt;=" &amp; EM$1, DataRegularSeason20242025!$D$3:$D$1315, $A16)+SUMIFS(DataRegularSeason20242025!$AB$3:$AB$1315,DataRegularSeason20242025!$B$3:$B$1315, "&lt;=" &amp; EM$1, DataRegularSeason20242025!$E$3:$E$1315, $A16)</f>
        <v>6</v>
      </c>
      <c r="EN16">
        <f>SUMIFS(DataRegularSeason20242025!$AA$3:$AA$1315,DataRegularSeason20242025!$B$3:$B$1315, "&lt;=" &amp; EN$1, DataRegularSeason20242025!$D$3:$D$1315, $A16)+SUMIFS(DataRegularSeason20242025!$AB$3:$AB$1315,DataRegularSeason20242025!$B$3:$B$1315, "&lt;=" &amp; EN$1, DataRegularSeason20242025!$E$3:$E$1315, $A16)</f>
        <v>6</v>
      </c>
      <c r="EO16">
        <f>SUMIFS(DataRegularSeason20242025!$AA$3:$AA$1315,DataRegularSeason20242025!$B$3:$B$1315, "&lt;=" &amp; EO$1, DataRegularSeason20242025!$D$3:$D$1315, $A16)+SUMIFS(DataRegularSeason20242025!$AB$3:$AB$1315,DataRegularSeason20242025!$B$3:$B$1315, "&lt;=" &amp; EO$1, DataRegularSeason20242025!$E$3:$E$1315, $A16)</f>
        <v>6</v>
      </c>
      <c r="EP16">
        <f>SUMIFS(DataRegularSeason20242025!$AA$3:$AA$1315,DataRegularSeason20242025!$B$3:$B$1315, "&lt;=" &amp; EP$1, DataRegularSeason20242025!$D$3:$D$1315, $A16)+SUMIFS(DataRegularSeason20242025!$AB$3:$AB$1315,DataRegularSeason20242025!$B$3:$B$1315, "&lt;=" &amp; EP$1, DataRegularSeason20242025!$E$3:$E$1315, $A16)</f>
        <v>6</v>
      </c>
      <c r="EQ16">
        <f>SUMIFS(DataRegularSeason20242025!$AA$3:$AA$1315,DataRegularSeason20242025!$B$3:$B$1315, "&lt;=" &amp; EQ$1, DataRegularSeason20242025!$D$3:$D$1315, $A16)+SUMIFS(DataRegularSeason20242025!$AB$3:$AB$1315,DataRegularSeason20242025!$B$3:$B$1315, "&lt;=" &amp; EQ$1, DataRegularSeason20242025!$E$3:$E$1315, $A16)</f>
        <v>6</v>
      </c>
      <c r="ER16">
        <f>SUMIFS(DataRegularSeason20242025!$AA$3:$AA$1315,DataRegularSeason20242025!$B$3:$B$1315, "&lt;=" &amp; ER$1, DataRegularSeason20242025!$D$3:$D$1315, $A16)+SUMIFS(DataRegularSeason20242025!$AB$3:$AB$1315,DataRegularSeason20242025!$B$3:$B$1315, "&lt;=" &amp; ER$1, DataRegularSeason20242025!$E$3:$E$1315, $A16)</f>
        <v>6</v>
      </c>
      <c r="ES16">
        <f>SUMIFS(DataRegularSeason20242025!$AA$3:$AA$1315,DataRegularSeason20242025!$B$3:$B$1315, "&lt;=" &amp; ES$1, DataRegularSeason20242025!$D$3:$D$1315, $A16)+SUMIFS(DataRegularSeason20242025!$AB$3:$AB$1315,DataRegularSeason20242025!$B$3:$B$1315, "&lt;=" &amp; ES$1, DataRegularSeason20242025!$E$3:$E$1315, $A16)</f>
        <v>6</v>
      </c>
      <c r="ET16">
        <f>SUMIFS(DataRegularSeason20242025!$AA$3:$AA$1315,DataRegularSeason20242025!$B$3:$B$1315, "&lt;=" &amp; ET$1, DataRegularSeason20242025!$D$3:$D$1315, $A16)+SUMIFS(DataRegularSeason20242025!$AB$3:$AB$1315,DataRegularSeason20242025!$B$3:$B$1315, "&lt;=" &amp; ET$1, DataRegularSeason20242025!$E$3:$E$1315, $A16)</f>
        <v>6</v>
      </c>
      <c r="EU16">
        <f>SUMIFS(DataRegularSeason20242025!$AA$3:$AA$1315,DataRegularSeason20242025!$B$3:$B$1315, "&lt;=" &amp; EU$1, DataRegularSeason20242025!$D$3:$D$1315, $A16)+SUMIFS(DataRegularSeason20242025!$AB$3:$AB$1315,DataRegularSeason20242025!$B$3:$B$1315, "&lt;=" &amp; EU$1, DataRegularSeason20242025!$E$3:$E$1315, $A16)</f>
        <v>6</v>
      </c>
      <c r="EV16">
        <f>SUMIFS(DataRegularSeason20242025!$AA$3:$AA$1315,DataRegularSeason20242025!$B$3:$B$1315, "&lt;=" &amp; EV$1, DataRegularSeason20242025!$D$3:$D$1315, $A16)+SUMIFS(DataRegularSeason20242025!$AB$3:$AB$1315,DataRegularSeason20242025!$B$3:$B$1315, "&lt;=" &amp; EV$1, DataRegularSeason20242025!$E$3:$E$1315, $A16)</f>
        <v>6</v>
      </c>
      <c r="EW16">
        <f>SUMIFS(DataRegularSeason20242025!$AA$3:$AA$1315,DataRegularSeason20242025!$B$3:$B$1315, "&lt;=" &amp; EW$1, DataRegularSeason20242025!$D$3:$D$1315, $A16)+SUMIFS(DataRegularSeason20242025!$AB$3:$AB$1315,DataRegularSeason20242025!$B$3:$B$1315, "&lt;=" &amp; EW$1, DataRegularSeason20242025!$E$3:$E$1315, $A16)</f>
        <v>6</v>
      </c>
      <c r="EX16">
        <f>SUMIFS(DataRegularSeason20242025!$AA$3:$AA$1315,DataRegularSeason20242025!$B$3:$B$1315, "&lt;=" &amp; EX$1, DataRegularSeason20242025!$D$3:$D$1315, $A16)+SUMIFS(DataRegularSeason20242025!$AB$3:$AB$1315,DataRegularSeason20242025!$B$3:$B$1315, "&lt;=" &amp; EX$1, DataRegularSeason20242025!$E$3:$E$1315, $A16)</f>
        <v>6</v>
      </c>
      <c r="EY16">
        <f>SUMIFS(DataRegularSeason20242025!$AA$3:$AA$1315,DataRegularSeason20242025!$B$3:$B$1315, "&lt;=" &amp; EY$1, DataRegularSeason20242025!$D$3:$D$1315, $A16)+SUMIFS(DataRegularSeason20242025!$AB$3:$AB$1315,DataRegularSeason20242025!$B$3:$B$1315, "&lt;=" &amp; EY$1, DataRegularSeason20242025!$E$3:$E$1315, $A16)</f>
        <v>6</v>
      </c>
      <c r="EZ16">
        <f>SUMIFS(DataRegularSeason20242025!$AA$3:$AA$1315,DataRegularSeason20242025!$B$3:$B$1315, "&lt;=" &amp; EZ$1, DataRegularSeason20242025!$D$3:$D$1315, $A16)+SUMIFS(DataRegularSeason20242025!$AB$3:$AB$1315,DataRegularSeason20242025!$B$3:$B$1315, "&lt;=" &amp; EZ$1, DataRegularSeason20242025!$E$3:$E$1315, $A16)</f>
        <v>6</v>
      </c>
      <c r="FA16">
        <f>SUMIFS(DataRegularSeason20242025!$AA$3:$AA$1315,DataRegularSeason20242025!$B$3:$B$1315, "&lt;=" &amp; FA$1, DataRegularSeason20242025!$D$3:$D$1315, $A16)+SUMIFS(DataRegularSeason20242025!$AB$3:$AB$1315,DataRegularSeason20242025!$B$3:$B$1315, "&lt;=" &amp; FA$1, DataRegularSeason20242025!$E$3:$E$1315, $A16)</f>
        <v>6</v>
      </c>
      <c r="FB16">
        <f>SUMIFS(DataRegularSeason20242025!$AA$3:$AA$1315,DataRegularSeason20242025!$B$3:$B$1315, "&lt;=" &amp; FB$1, DataRegularSeason20242025!$D$3:$D$1315, $A16)+SUMIFS(DataRegularSeason20242025!$AB$3:$AB$1315,DataRegularSeason20242025!$B$3:$B$1315, "&lt;=" &amp; FB$1, DataRegularSeason20242025!$E$3:$E$1315, $A16)</f>
        <v>6</v>
      </c>
      <c r="FC16">
        <f>SUMIFS(DataRegularSeason20242025!$AA$3:$AA$1315,DataRegularSeason20242025!$B$3:$B$1315, "&lt;=" &amp; FC$1, DataRegularSeason20242025!$D$3:$D$1315, $A16)+SUMIFS(DataRegularSeason20242025!$AB$3:$AB$1315,DataRegularSeason20242025!$B$3:$B$1315, "&lt;=" &amp; FC$1, DataRegularSeason20242025!$E$3:$E$1315, $A16)</f>
        <v>6</v>
      </c>
      <c r="FD16">
        <f>SUMIFS(DataRegularSeason20242025!$AA$3:$AA$1315,DataRegularSeason20242025!$B$3:$B$1315, "&lt;=" &amp; FD$1, DataRegularSeason20242025!$D$3:$D$1315, $A16)+SUMIFS(DataRegularSeason20242025!$AB$3:$AB$1315,DataRegularSeason20242025!$B$3:$B$1315, "&lt;=" &amp; FD$1, DataRegularSeason20242025!$E$3:$E$1315, $A16)</f>
        <v>6</v>
      </c>
      <c r="FE16">
        <f>SUMIFS(DataRegularSeason20242025!$AA$3:$AA$1315,DataRegularSeason20242025!$B$3:$B$1315, "&lt;=" &amp; FE$1, DataRegularSeason20242025!$D$3:$D$1315, $A16)+SUMIFS(DataRegularSeason20242025!$AB$3:$AB$1315,DataRegularSeason20242025!$B$3:$B$1315, "&lt;=" &amp; FE$1, DataRegularSeason20242025!$E$3:$E$1315, $A16)</f>
        <v>6</v>
      </c>
      <c r="FF16">
        <f>SUMIFS(DataRegularSeason20242025!$AA$3:$AA$1315,DataRegularSeason20242025!$B$3:$B$1315, "&lt;=" &amp; FF$1, DataRegularSeason20242025!$D$3:$D$1315, $A16)+SUMIFS(DataRegularSeason20242025!$AB$3:$AB$1315,DataRegularSeason20242025!$B$3:$B$1315, "&lt;=" &amp; FF$1, DataRegularSeason20242025!$E$3:$E$1315, $A16)</f>
        <v>6</v>
      </c>
      <c r="FG16">
        <f>SUMIFS(DataRegularSeason20242025!$AA$3:$AA$1315,DataRegularSeason20242025!$B$3:$B$1315, "&lt;=" &amp; FG$1, DataRegularSeason20242025!$D$3:$D$1315, $A16)+SUMIFS(DataRegularSeason20242025!$AB$3:$AB$1315,DataRegularSeason20242025!$B$3:$B$1315, "&lt;=" &amp; FG$1, DataRegularSeason20242025!$E$3:$E$1315, $A16)</f>
        <v>6</v>
      </c>
      <c r="FH16">
        <f>SUMIFS(DataRegularSeason20242025!$AA$3:$AA$1315,DataRegularSeason20242025!$B$3:$B$1315, "&lt;=" &amp; FH$1, DataRegularSeason20242025!$D$3:$D$1315, $A16)+SUMIFS(DataRegularSeason20242025!$AB$3:$AB$1315,DataRegularSeason20242025!$B$3:$B$1315, "&lt;=" &amp; FH$1, DataRegularSeason20242025!$E$3:$E$1315, $A16)</f>
        <v>6</v>
      </c>
      <c r="FI16">
        <f>SUMIFS(DataRegularSeason20242025!$AA$3:$AA$1315,DataRegularSeason20242025!$B$3:$B$1315, "&lt;=" &amp; FI$1, DataRegularSeason20242025!$D$3:$D$1315, $A16)+SUMIFS(DataRegularSeason20242025!$AB$3:$AB$1315,DataRegularSeason20242025!$B$3:$B$1315, "&lt;=" &amp; FI$1, DataRegularSeason20242025!$E$3:$E$1315, $A16)</f>
        <v>6</v>
      </c>
      <c r="FJ16">
        <f>SUMIFS(DataRegularSeason20242025!$AA$3:$AA$1315,DataRegularSeason20242025!$B$3:$B$1315, "&lt;=" &amp; FJ$1, DataRegularSeason20242025!$D$3:$D$1315, $A16)+SUMIFS(DataRegularSeason20242025!$AB$3:$AB$1315,DataRegularSeason20242025!$B$3:$B$1315, "&lt;=" &amp; FJ$1, DataRegularSeason20242025!$E$3:$E$1315, $A16)</f>
        <v>6</v>
      </c>
      <c r="FK16">
        <f>SUMIFS(DataRegularSeason20242025!$AA$3:$AA$1315,DataRegularSeason20242025!$B$3:$B$1315, "&lt;=" &amp; FK$1, DataRegularSeason20242025!$D$3:$D$1315, $A16)+SUMIFS(DataRegularSeason20242025!$AB$3:$AB$1315,DataRegularSeason20242025!$B$3:$B$1315, "&lt;=" &amp; FK$1, DataRegularSeason20242025!$E$3:$E$1315, $A16)</f>
        <v>6</v>
      </c>
      <c r="FL16">
        <f>SUMIFS(DataRegularSeason20242025!$AA$3:$AA$1315,DataRegularSeason20242025!$B$3:$B$1315, "&lt;=" &amp; FL$1, DataRegularSeason20242025!$D$3:$D$1315, $A16)+SUMIFS(DataRegularSeason20242025!$AB$3:$AB$1315,DataRegularSeason20242025!$B$3:$B$1315, "&lt;=" &amp; FL$1, DataRegularSeason20242025!$E$3:$E$1315, $A16)</f>
        <v>6</v>
      </c>
      <c r="FM16">
        <f>SUMIFS(DataRegularSeason20242025!$AA$3:$AA$1315,DataRegularSeason20242025!$B$3:$B$1315, "&lt;=" &amp; FM$1, DataRegularSeason20242025!$D$3:$D$1315, $A16)+SUMIFS(DataRegularSeason20242025!$AB$3:$AB$1315,DataRegularSeason20242025!$B$3:$B$1315, "&lt;=" &amp; FM$1, DataRegularSeason20242025!$E$3:$E$1315, $A16)</f>
        <v>6</v>
      </c>
      <c r="FN16">
        <f>SUMIFS(DataRegularSeason20242025!$AA$3:$AA$1315,DataRegularSeason20242025!$B$3:$B$1315, "&lt;=" &amp; FN$1, DataRegularSeason20242025!$D$3:$D$1315, $A16)+SUMIFS(DataRegularSeason20242025!$AB$3:$AB$1315,DataRegularSeason20242025!$B$3:$B$1315, "&lt;=" &amp; FN$1, DataRegularSeason20242025!$E$3:$E$1315, $A16)</f>
        <v>6</v>
      </c>
      <c r="FO16">
        <f>SUMIFS(DataRegularSeason20242025!$AA$3:$AA$1315,DataRegularSeason20242025!$B$3:$B$1315, "&lt;=" &amp; FO$1, DataRegularSeason20242025!$D$3:$D$1315, $A16)+SUMIFS(DataRegularSeason20242025!$AB$3:$AB$1315,DataRegularSeason20242025!$B$3:$B$1315, "&lt;=" &amp; FO$1, DataRegularSeason20242025!$E$3:$E$1315, $A16)</f>
        <v>6</v>
      </c>
      <c r="FP16">
        <f>SUMIFS(DataRegularSeason20242025!$AA$3:$AA$1315,DataRegularSeason20242025!$B$3:$B$1315, "&lt;=" &amp; FP$1, DataRegularSeason20242025!$D$3:$D$1315, $A16)+SUMIFS(DataRegularSeason20242025!$AB$3:$AB$1315,DataRegularSeason20242025!$B$3:$B$1315, "&lt;=" &amp; FP$1, DataRegularSeason20242025!$E$3:$E$1315, $A16)</f>
        <v>6</v>
      </c>
      <c r="FQ16">
        <f>SUMIFS(DataRegularSeason20242025!$AA$3:$AA$1315,DataRegularSeason20242025!$B$3:$B$1315, "&lt;=" &amp; FQ$1, DataRegularSeason20242025!$D$3:$D$1315, $A16)+SUMIFS(DataRegularSeason20242025!$AB$3:$AB$1315,DataRegularSeason20242025!$B$3:$B$1315, "&lt;=" &amp; FQ$1, DataRegularSeason20242025!$E$3:$E$1315, $A16)</f>
        <v>6</v>
      </c>
      <c r="FR16">
        <f>SUMIFS(DataRegularSeason20242025!$AA$3:$AA$1315,DataRegularSeason20242025!$B$3:$B$1315, "&lt;=" &amp; FR$1, DataRegularSeason20242025!$D$3:$D$1315, $A16)+SUMIFS(DataRegularSeason20242025!$AB$3:$AB$1315,DataRegularSeason20242025!$B$3:$B$1315, "&lt;=" &amp; FR$1, DataRegularSeason20242025!$E$3:$E$1315, $A16)</f>
        <v>6</v>
      </c>
      <c r="FS16">
        <f>SUMIFS(DataRegularSeason20242025!$AA$3:$AA$1315,DataRegularSeason20242025!$B$3:$B$1315, "&lt;=" &amp; FS$1, DataRegularSeason20242025!$D$3:$D$1315, $A16)+SUMIFS(DataRegularSeason20242025!$AB$3:$AB$1315,DataRegularSeason20242025!$B$3:$B$1315, "&lt;=" &amp; FS$1, DataRegularSeason20242025!$E$3:$E$1315, $A16)</f>
        <v>6</v>
      </c>
      <c r="FT16">
        <f>SUMIFS(DataRegularSeason20242025!$AA$3:$AA$1315,DataRegularSeason20242025!$B$3:$B$1315, "&lt;=" &amp; FT$1, DataRegularSeason20242025!$D$3:$D$1315, $A16)+SUMIFS(DataRegularSeason20242025!$AB$3:$AB$1315,DataRegularSeason20242025!$B$3:$B$1315, "&lt;=" &amp; FT$1, DataRegularSeason20242025!$E$3:$E$1315, $A16)</f>
        <v>6</v>
      </c>
      <c r="FU16">
        <f>SUMIFS(DataRegularSeason20242025!$AA$3:$AA$1315,DataRegularSeason20242025!$B$3:$B$1315, "&lt;=" &amp; FU$1, DataRegularSeason20242025!$D$3:$D$1315, $A16)+SUMIFS(DataRegularSeason20242025!$AB$3:$AB$1315,DataRegularSeason20242025!$B$3:$B$1315, "&lt;=" &amp; FU$1, DataRegularSeason20242025!$E$3:$E$1315, $A16)</f>
        <v>6</v>
      </c>
      <c r="FV16">
        <f>SUMIFS(DataRegularSeason20242025!$AA$3:$AA$1315,DataRegularSeason20242025!$B$3:$B$1315, "&lt;=" &amp; FV$1, DataRegularSeason20242025!$D$3:$D$1315, $A16)+SUMIFS(DataRegularSeason20242025!$AB$3:$AB$1315,DataRegularSeason20242025!$B$3:$B$1315, "&lt;=" &amp; FV$1, DataRegularSeason20242025!$E$3:$E$1315, $A16)</f>
        <v>6</v>
      </c>
      <c r="FW16">
        <f>SUMIFS(DataRegularSeason20242025!$AA$3:$AA$1315,DataRegularSeason20242025!$B$3:$B$1315, "&lt;=" &amp; FW$1, DataRegularSeason20242025!$D$3:$D$1315, $A16)+SUMIFS(DataRegularSeason20242025!$AB$3:$AB$1315,DataRegularSeason20242025!$B$3:$B$1315, "&lt;=" &amp; FW$1, DataRegularSeason20242025!$E$3:$E$1315, $A16)</f>
        <v>6</v>
      </c>
      <c r="FX16">
        <f>SUMIFS(DataRegularSeason20242025!$AA$3:$AA$1315,DataRegularSeason20242025!$B$3:$B$1315, "&lt;=" &amp; FX$1, DataRegularSeason20242025!$D$3:$D$1315, $A16)+SUMIFS(DataRegularSeason20242025!$AB$3:$AB$1315,DataRegularSeason20242025!$B$3:$B$1315, "&lt;=" &amp; FX$1, DataRegularSeason20242025!$E$3:$E$1315, $A16)</f>
        <v>6</v>
      </c>
      <c r="FY16">
        <f>SUMIFS(DataRegularSeason20242025!$AA$3:$AA$1315,DataRegularSeason20242025!$B$3:$B$1315, "&lt;=" &amp; FY$1, DataRegularSeason20242025!$D$3:$D$1315, $A16)+SUMIFS(DataRegularSeason20242025!$AB$3:$AB$1315,DataRegularSeason20242025!$B$3:$B$1315, "&lt;=" &amp; FY$1, DataRegularSeason20242025!$E$3:$E$1315, $A16)</f>
        <v>6</v>
      </c>
      <c r="FZ16">
        <f>SUMIFS(DataRegularSeason20242025!$AA$3:$AA$1315,DataRegularSeason20242025!$B$3:$B$1315, "&lt;=" &amp; FZ$1, DataRegularSeason20242025!$D$3:$D$1315, $A16)+SUMIFS(DataRegularSeason20242025!$AB$3:$AB$1315,DataRegularSeason20242025!$B$3:$B$1315, "&lt;=" &amp; FZ$1, DataRegularSeason20242025!$E$3:$E$1315, $A16)</f>
        <v>6</v>
      </c>
      <c r="GA16">
        <f>SUMIFS(DataRegularSeason20242025!$AA$3:$AA$1315,DataRegularSeason20242025!$B$3:$B$1315, "&lt;=" &amp; GA$1, DataRegularSeason20242025!$D$3:$D$1315, $A16)+SUMIFS(DataRegularSeason20242025!$AB$3:$AB$1315,DataRegularSeason20242025!$B$3:$B$1315, "&lt;=" &amp; GA$1, DataRegularSeason20242025!$E$3:$E$1315, $A16)</f>
        <v>6</v>
      </c>
      <c r="GB16">
        <f>SUMIFS(DataRegularSeason20242025!$AA$3:$AA$1315,DataRegularSeason20242025!$B$3:$B$1315, "&lt;=" &amp; GB$1, DataRegularSeason20242025!$D$3:$D$1315, $A16)+SUMIFS(DataRegularSeason20242025!$AB$3:$AB$1315,DataRegularSeason20242025!$B$3:$B$1315, "&lt;=" &amp; GB$1, DataRegularSeason20242025!$E$3:$E$1315, $A16)</f>
        <v>6</v>
      </c>
      <c r="GC16">
        <f>SUMIFS(DataRegularSeason20242025!$AA$3:$AA$1315,DataRegularSeason20242025!$B$3:$B$1315, "&lt;=" &amp; GC$1, DataRegularSeason20242025!$D$3:$D$1315, $A16)+SUMIFS(DataRegularSeason20242025!$AB$3:$AB$1315,DataRegularSeason20242025!$B$3:$B$1315, "&lt;=" &amp; GC$1, DataRegularSeason20242025!$E$3:$E$1315, $A16)</f>
        <v>6</v>
      </c>
      <c r="GD16">
        <f>SUMIFS(DataRegularSeason20242025!$AA$3:$AA$1315,DataRegularSeason20242025!$B$3:$B$1315, "&lt;=" &amp; GD$1, DataRegularSeason20242025!$D$3:$D$1315, $A16)+SUMIFS(DataRegularSeason20242025!$AB$3:$AB$1315,DataRegularSeason20242025!$B$3:$B$1315, "&lt;=" &amp; GD$1, DataRegularSeason20242025!$E$3:$E$1315, $A16)</f>
        <v>6</v>
      </c>
      <c r="GE16">
        <f>SUMIFS(DataRegularSeason20242025!$AA$3:$AA$1315,DataRegularSeason20242025!$B$3:$B$1315, "&lt;=" &amp; GE$1, DataRegularSeason20242025!$D$3:$D$1315, $A16)+SUMIFS(DataRegularSeason20242025!$AB$3:$AB$1315,DataRegularSeason20242025!$B$3:$B$1315, "&lt;=" &amp; GE$1, DataRegularSeason20242025!$E$3:$E$1315, $A16)</f>
        <v>6</v>
      </c>
      <c r="GF16">
        <f>SUMIFS(DataRegularSeason20242025!$AA$3:$AA$1315,DataRegularSeason20242025!$B$3:$B$1315, "&lt;=" &amp; GF$1, DataRegularSeason20242025!$D$3:$D$1315, $A16)+SUMIFS(DataRegularSeason20242025!$AB$3:$AB$1315,DataRegularSeason20242025!$B$3:$B$1315, "&lt;=" &amp; GF$1, DataRegularSeason20242025!$E$3:$E$1315, $A16)</f>
        <v>6</v>
      </c>
      <c r="GG16">
        <f>SUMIFS(DataRegularSeason20242025!$AA$3:$AA$1315,DataRegularSeason20242025!$B$3:$B$1315, "&lt;=" &amp; GG$1, DataRegularSeason20242025!$D$3:$D$1315, $A16)+SUMIFS(DataRegularSeason20242025!$AB$3:$AB$1315,DataRegularSeason20242025!$B$3:$B$1315, "&lt;=" &amp; GG$1, DataRegularSeason20242025!$E$3:$E$1315, $A16)</f>
        <v>6</v>
      </c>
      <c r="GH16">
        <f>SUMIFS(DataRegularSeason20242025!$AA$3:$AA$1315,DataRegularSeason20242025!$B$3:$B$1315, "&lt;=" &amp; GH$1, DataRegularSeason20242025!$D$3:$D$1315, $A16)+SUMIFS(DataRegularSeason20242025!$AB$3:$AB$1315,DataRegularSeason20242025!$B$3:$B$1315, "&lt;=" &amp; GH$1, DataRegularSeason20242025!$E$3:$E$1315, $A16)</f>
        <v>6</v>
      </c>
      <c r="GI16">
        <f>SUMIFS(DataRegularSeason20242025!$AA$3:$AA$1315,DataRegularSeason20242025!$B$3:$B$1315, "&lt;=" &amp; GI$1, DataRegularSeason20242025!$D$3:$D$1315, $A16)+SUMIFS(DataRegularSeason20242025!$AB$3:$AB$1315,DataRegularSeason20242025!$B$3:$B$1315, "&lt;=" &amp; GI$1, DataRegularSeason20242025!$E$3:$E$1315, $A16)</f>
        <v>6</v>
      </c>
      <c r="GJ16">
        <f>SUMIFS(DataRegularSeason20242025!$AA$3:$AA$1315,DataRegularSeason20242025!$B$3:$B$1315, "&lt;=" &amp; GJ$1, DataRegularSeason20242025!$D$3:$D$1315, $A16)+SUMIFS(DataRegularSeason20242025!$AB$3:$AB$1315,DataRegularSeason20242025!$B$3:$B$1315, "&lt;=" &amp; GJ$1, DataRegularSeason20242025!$E$3:$E$1315, $A16)</f>
        <v>6</v>
      </c>
      <c r="GK16">
        <f>SUMIFS(DataRegularSeason20242025!$AA$3:$AA$1315,DataRegularSeason20242025!$B$3:$B$1315, "&lt;=" &amp; GK$1, DataRegularSeason20242025!$D$3:$D$1315, $A16)+SUMIFS(DataRegularSeason20242025!$AB$3:$AB$1315,DataRegularSeason20242025!$B$3:$B$1315, "&lt;=" &amp; GK$1, DataRegularSeason20242025!$E$3:$E$1315, $A16)</f>
        <v>6</v>
      </c>
      <c r="GL16">
        <f>SUMIFS(DataRegularSeason20242025!$AA$3:$AA$1315,DataRegularSeason20242025!$B$3:$B$1315, "&lt;=" &amp; GL$1, DataRegularSeason20242025!$D$3:$D$1315, $A16)+SUMIFS(DataRegularSeason20242025!$AB$3:$AB$1315,DataRegularSeason20242025!$B$3:$B$1315, "&lt;=" &amp; GL$1, DataRegularSeason20242025!$E$3:$E$1315, $A16)</f>
        <v>6</v>
      </c>
      <c r="GM16">
        <f>SUMIFS(DataRegularSeason20242025!$AA$3:$AA$1315,DataRegularSeason20242025!$B$3:$B$1315, "&lt;=" &amp; GM$1, DataRegularSeason20242025!$D$3:$D$1315, $A16)+SUMIFS(DataRegularSeason20242025!$AB$3:$AB$1315,DataRegularSeason20242025!$B$3:$B$1315, "&lt;=" &amp; GM$1, DataRegularSeason20242025!$E$3:$E$1315, $A16)</f>
        <v>6</v>
      </c>
      <c r="GN16">
        <f>SUMIFS(DataRegularSeason20242025!$AA$3:$AA$1315,DataRegularSeason20242025!$B$3:$B$1315, "&lt;=" &amp; GN$1, DataRegularSeason20242025!$D$3:$D$1315, $A16)+SUMIFS(DataRegularSeason20242025!$AB$3:$AB$1315,DataRegularSeason20242025!$B$3:$B$1315, "&lt;=" &amp; GN$1, DataRegularSeason20242025!$E$3:$E$1315, $A16)</f>
        <v>6</v>
      </c>
      <c r="GO16">
        <f>SUMIFS(DataRegularSeason20242025!$AA$3:$AA$1315,DataRegularSeason20242025!$B$3:$B$1315, "&lt;=" &amp; GO$1, DataRegularSeason20242025!$D$3:$D$1315, $A16)+SUMIFS(DataRegularSeason20242025!$AB$3:$AB$1315,DataRegularSeason20242025!$B$3:$B$1315, "&lt;=" &amp; GO$1, DataRegularSeason20242025!$E$3:$E$1315, $A16)</f>
        <v>6</v>
      </c>
      <c r="GP16">
        <f>SUMIFS(DataRegularSeason20242025!$AA$3:$AA$1315,DataRegularSeason20242025!$B$3:$B$1315, "&lt;=" &amp; GP$1, DataRegularSeason20242025!$D$3:$D$1315, $A16)+SUMIFS(DataRegularSeason20242025!$AB$3:$AB$1315,DataRegularSeason20242025!$B$3:$B$1315, "&lt;=" &amp; GP$1, DataRegularSeason20242025!$E$3:$E$1315, $A16)</f>
        <v>6</v>
      </c>
      <c r="GQ16">
        <f>SUMIFS(DataRegularSeason20242025!$AA$3:$AA$1315,DataRegularSeason20242025!$B$3:$B$1315, "&lt;=" &amp; GQ$1, DataRegularSeason20242025!$D$3:$D$1315, $A16)+SUMIFS(DataRegularSeason20242025!$AB$3:$AB$1315,DataRegularSeason20242025!$B$3:$B$1315, "&lt;=" &amp; GQ$1, DataRegularSeason20242025!$E$3:$E$1315, $A16)</f>
        <v>6</v>
      </c>
      <c r="GR16">
        <f>SUMIFS(DataRegularSeason20242025!$AA$3:$AA$1315,DataRegularSeason20242025!$B$3:$B$1315, "&lt;=" &amp; GR$1, DataRegularSeason20242025!$D$3:$D$1315, $A16)+SUMIFS(DataRegularSeason20242025!$AB$3:$AB$1315,DataRegularSeason20242025!$B$3:$B$1315, "&lt;=" &amp; GR$1, DataRegularSeason20242025!$E$3:$E$1315, $A16)</f>
        <v>6</v>
      </c>
      <c r="GS16">
        <f>SUMIFS(DataRegularSeason20242025!$AA$3:$AA$1315,DataRegularSeason20242025!$B$3:$B$1315, "&lt;=" &amp; GS$1, DataRegularSeason20242025!$D$3:$D$1315, $A16)+SUMIFS(DataRegularSeason20242025!$AB$3:$AB$1315,DataRegularSeason20242025!$B$3:$B$1315, "&lt;=" &amp; GS$1, DataRegularSeason20242025!$E$3:$E$1315, $A16)</f>
        <v>6</v>
      </c>
      <c r="GT16">
        <f>SUMIFS(DataRegularSeason20242025!$AA$3:$AA$1315,DataRegularSeason20242025!$B$3:$B$1315, "&lt;=" &amp; GT$1, DataRegularSeason20242025!$D$3:$D$1315, $A16)+SUMIFS(DataRegularSeason20242025!$AB$3:$AB$1315,DataRegularSeason20242025!$B$3:$B$1315, "&lt;=" &amp; GT$1, DataRegularSeason20242025!$E$3:$E$1315, $A16)</f>
        <v>6</v>
      </c>
      <c r="GU16">
        <f>SUMIFS(DataRegularSeason20242025!$AA$3:$AA$1315,DataRegularSeason20242025!$B$3:$B$1315, "&lt;=" &amp; GU$1, DataRegularSeason20242025!$D$3:$D$1315, $A16)+SUMIFS(DataRegularSeason20242025!$AB$3:$AB$1315,DataRegularSeason20242025!$B$3:$B$1315, "&lt;=" &amp; GU$1, DataRegularSeason20242025!$E$3:$E$1315, $A16)</f>
        <v>6</v>
      </c>
    </row>
    <row r="17" spans="1:203" x14ac:dyDescent="0.25">
      <c r="A17" t="s">
        <v>35</v>
      </c>
      <c r="B17" t="s">
        <v>91</v>
      </c>
      <c r="C17" s="106" t="s">
        <v>92</v>
      </c>
      <c r="D17">
        <f>SUMIFS(DataRegularSeason20242025!$AA$3:$AA$1315,DataRegularSeason20242025!$B$3:$B$1315, "&lt;=" &amp; D$1, DataRegularSeason20242025!$D$3:$D$1315, $A17)+SUMIFS(DataRegularSeason20242025!$AB$3:$AB$1315,DataRegularSeason20242025!$B$3:$B$1315, "&lt;=" &amp; D$1, DataRegularSeason20242025!$E$3:$E$1315, $A17)</f>
        <v>0</v>
      </c>
      <c r="E17">
        <f>SUMIFS(DataRegularSeason20242025!$AA$3:$AA$1315,DataRegularSeason20242025!$B$3:$B$1315, "&lt;=" &amp; E$1, DataRegularSeason20242025!$D$3:$D$1315, $A17)+SUMIFS(DataRegularSeason20242025!$AB$3:$AB$1315,DataRegularSeason20242025!$B$3:$B$1315, "&lt;=" &amp; E$1, DataRegularSeason20242025!$E$3:$E$1315, $A17)</f>
        <v>0</v>
      </c>
      <c r="F17">
        <f>SUMIFS(DataRegularSeason20242025!$AA$3:$AA$1315,DataRegularSeason20242025!$B$3:$B$1315, "&lt;=" &amp; F$1, DataRegularSeason20242025!$D$3:$D$1315, $A17)+SUMIFS(DataRegularSeason20242025!$AB$3:$AB$1315,DataRegularSeason20242025!$B$3:$B$1315, "&lt;=" &amp; F$1, DataRegularSeason20242025!$E$3:$E$1315, $A17)</f>
        <v>0</v>
      </c>
      <c r="G17">
        <f>SUMIFS(DataRegularSeason20242025!$AA$3:$AA$1315,DataRegularSeason20242025!$B$3:$B$1315, "&lt;=" &amp; G$1, DataRegularSeason20242025!$D$3:$D$1315, $A17)+SUMIFS(DataRegularSeason20242025!$AB$3:$AB$1315,DataRegularSeason20242025!$B$3:$B$1315, "&lt;=" &amp; G$1, DataRegularSeason20242025!$E$3:$E$1315, $A17)</f>
        <v>0</v>
      </c>
      <c r="H17">
        <f>SUMIFS(DataRegularSeason20242025!$AA$3:$AA$1315,DataRegularSeason20242025!$B$3:$B$1315, "&lt;=" &amp; H$1, DataRegularSeason20242025!$D$3:$D$1315, $A17)+SUMIFS(DataRegularSeason20242025!$AB$3:$AB$1315,DataRegularSeason20242025!$B$3:$B$1315, "&lt;=" &amp; H$1, DataRegularSeason20242025!$E$3:$E$1315, $A17)</f>
        <v>0</v>
      </c>
      <c r="I17">
        <f>SUMIFS(DataRegularSeason20242025!$AA$3:$AA$1315,DataRegularSeason20242025!$B$3:$B$1315, "&lt;=" &amp; I$1, DataRegularSeason20242025!$D$3:$D$1315, $A17)+SUMIFS(DataRegularSeason20242025!$AB$3:$AB$1315,DataRegularSeason20242025!$B$3:$B$1315, "&lt;=" &amp; I$1, DataRegularSeason20242025!$E$3:$E$1315, $A17)</f>
        <v>0</v>
      </c>
      <c r="J17">
        <f>SUMIFS(DataRegularSeason20242025!$AA$3:$AA$1315,DataRegularSeason20242025!$B$3:$B$1315, "&lt;=" &amp; J$1, DataRegularSeason20242025!$D$3:$D$1315, $A17)+SUMIFS(DataRegularSeason20242025!$AB$3:$AB$1315,DataRegularSeason20242025!$B$3:$B$1315, "&lt;=" &amp; J$1, DataRegularSeason20242025!$E$3:$E$1315, $A17)</f>
        <v>0</v>
      </c>
      <c r="K17">
        <f>SUMIFS(DataRegularSeason20242025!$AA$3:$AA$1315,DataRegularSeason20242025!$B$3:$B$1315, "&lt;=" &amp; K$1, DataRegularSeason20242025!$D$3:$D$1315, $A17)+SUMIFS(DataRegularSeason20242025!$AB$3:$AB$1315,DataRegularSeason20242025!$B$3:$B$1315, "&lt;=" &amp; K$1, DataRegularSeason20242025!$E$3:$E$1315, $A17)</f>
        <v>0</v>
      </c>
      <c r="L17">
        <f>SUMIFS(DataRegularSeason20242025!$AA$3:$AA$1315,DataRegularSeason20242025!$B$3:$B$1315, "&lt;=" &amp; L$1, DataRegularSeason20242025!$D$3:$D$1315, $A17)+SUMIFS(DataRegularSeason20242025!$AB$3:$AB$1315,DataRegularSeason20242025!$B$3:$B$1315, "&lt;=" &amp; L$1, DataRegularSeason20242025!$E$3:$E$1315, $A17)</f>
        <v>2</v>
      </c>
      <c r="M17">
        <f>SUMIFS(DataRegularSeason20242025!$AA$3:$AA$1315,DataRegularSeason20242025!$B$3:$B$1315, "&lt;=" &amp; M$1, DataRegularSeason20242025!$D$3:$D$1315, $A17)+SUMIFS(DataRegularSeason20242025!$AB$3:$AB$1315,DataRegularSeason20242025!$B$3:$B$1315, "&lt;=" &amp; M$1, DataRegularSeason20242025!$E$3:$E$1315, $A17)</f>
        <v>2</v>
      </c>
      <c r="N17">
        <f>SUMIFS(DataRegularSeason20242025!$AA$3:$AA$1315,DataRegularSeason20242025!$B$3:$B$1315, "&lt;=" &amp; N$1, DataRegularSeason20242025!$D$3:$D$1315, $A17)+SUMIFS(DataRegularSeason20242025!$AB$3:$AB$1315,DataRegularSeason20242025!$B$3:$B$1315, "&lt;=" &amp; N$1, DataRegularSeason20242025!$E$3:$E$1315, $A17)</f>
        <v>2</v>
      </c>
      <c r="O17">
        <f>SUMIFS(DataRegularSeason20242025!$AA$3:$AA$1315,DataRegularSeason20242025!$B$3:$B$1315, "&lt;=" &amp; O$1, DataRegularSeason20242025!$D$3:$D$1315, $A17)+SUMIFS(DataRegularSeason20242025!$AB$3:$AB$1315,DataRegularSeason20242025!$B$3:$B$1315, "&lt;=" &amp; O$1, DataRegularSeason20242025!$E$3:$E$1315, $A17)</f>
        <v>2</v>
      </c>
      <c r="P17">
        <f>SUMIFS(DataRegularSeason20242025!$AA$3:$AA$1315,DataRegularSeason20242025!$B$3:$B$1315, "&lt;=" &amp; P$1, DataRegularSeason20242025!$D$3:$D$1315, $A17)+SUMIFS(DataRegularSeason20242025!$AB$3:$AB$1315,DataRegularSeason20242025!$B$3:$B$1315, "&lt;=" &amp; P$1, DataRegularSeason20242025!$E$3:$E$1315, $A17)</f>
        <v>2</v>
      </c>
      <c r="Q17">
        <f>SUMIFS(DataRegularSeason20242025!$AA$3:$AA$1315,DataRegularSeason20242025!$B$3:$B$1315, "&lt;=" &amp; Q$1, DataRegularSeason20242025!$D$3:$D$1315, $A17)+SUMIFS(DataRegularSeason20242025!$AB$3:$AB$1315,DataRegularSeason20242025!$B$3:$B$1315, "&lt;=" &amp; Q$1, DataRegularSeason20242025!$E$3:$E$1315, $A17)</f>
        <v>2</v>
      </c>
      <c r="R17">
        <f>SUMIFS(DataRegularSeason20242025!$AA$3:$AA$1315,DataRegularSeason20242025!$B$3:$B$1315, "&lt;=" &amp; R$1, DataRegularSeason20242025!$D$3:$D$1315, $A17)+SUMIFS(DataRegularSeason20242025!$AB$3:$AB$1315,DataRegularSeason20242025!$B$3:$B$1315, "&lt;=" &amp; R$1, DataRegularSeason20242025!$E$3:$E$1315, $A17)</f>
        <v>2</v>
      </c>
      <c r="S17">
        <f>SUMIFS(DataRegularSeason20242025!$AA$3:$AA$1315,DataRegularSeason20242025!$B$3:$B$1315, "&lt;=" &amp; S$1, DataRegularSeason20242025!$D$3:$D$1315, $A17)+SUMIFS(DataRegularSeason20242025!$AB$3:$AB$1315,DataRegularSeason20242025!$B$3:$B$1315, "&lt;=" &amp; S$1, DataRegularSeason20242025!$E$3:$E$1315, $A17)</f>
        <v>4</v>
      </c>
      <c r="T17">
        <f>SUMIFS(DataRegularSeason20242025!$AA$3:$AA$1315,DataRegularSeason20242025!$B$3:$B$1315, "&lt;=" &amp; T$1, DataRegularSeason20242025!$D$3:$D$1315, $A17)+SUMIFS(DataRegularSeason20242025!$AB$3:$AB$1315,DataRegularSeason20242025!$B$3:$B$1315, "&lt;=" &amp; T$1, DataRegularSeason20242025!$E$3:$E$1315, $A17)</f>
        <v>4</v>
      </c>
      <c r="U17">
        <f>SUMIFS(DataRegularSeason20242025!$AA$3:$AA$1315,DataRegularSeason20242025!$B$3:$B$1315, "&lt;=" &amp; U$1, DataRegularSeason20242025!$D$3:$D$1315, $A17)+SUMIFS(DataRegularSeason20242025!$AB$3:$AB$1315,DataRegularSeason20242025!$B$3:$B$1315, "&lt;=" &amp; U$1, DataRegularSeason20242025!$E$3:$E$1315, $A17)</f>
        <v>4</v>
      </c>
      <c r="V17">
        <f>SUMIFS(DataRegularSeason20242025!$AA$3:$AA$1315,DataRegularSeason20242025!$B$3:$B$1315, "&lt;=" &amp; V$1, DataRegularSeason20242025!$D$3:$D$1315, $A17)+SUMIFS(DataRegularSeason20242025!$AB$3:$AB$1315,DataRegularSeason20242025!$B$3:$B$1315, "&lt;=" &amp; V$1, DataRegularSeason20242025!$E$3:$E$1315, $A17)</f>
        <v>6</v>
      </c>
      <c r="W17">
        <f>SUMIFS(DataRegularSeason20242025!$AA$3:$AA$1315,DataRegularSeason20242025!$B$3:$B$1315, "&lt;=" &amp; W$1, DataRegularSeason20242025!$D$3:$D$1315, $A17)+SUMIFS(DataRegularSeason20242025!$AB$3:$AB$1315,DataRegularSeason20242025!$B$3:$B$1315, "&lt;=" &amp; W$1, DataRegularSeason20242025!$E$3:$E$1315, $A17)</f>
        <v>6</v>
      </c>
      <c r="X17">
        <f>SUMIFS(DataRegularSeason20242025!$AA$3:$AA$1315,DataRegularSeason20242025!$B$3:$B$1315, "&lt;=" &amp; X$1, DataRegularSeason20242025!$D$3:$D$1315, $A17)+SUMIFS(DataRegularSeason20242025!$AB$3:$AB$1315,DataRegularSeason20242025!$B$3:$B$1315, "&lt;=" &amp; X$1, DataRegularSeason20242025!$E$3:$E$1315, $A17)</f>
        <v>6</v>
      </c>
      <c r="Y17">
        <f>SUMIFS(DataRegularSeason20242025!$AA$3:$AA$1315,DataRegularSeason20242025!$B$3:$B$1315, "&lt;=" &amp; Y$1, DataRegularSeason20242025!$D$3:$D$1315, $A17)+SUMIFS(DataRegularSeason20242025!$AB$3:$AB$1315,DataRegularSeason20242025!$B$3:$B$1315, "&lt;=" &amp; Y$1, DataRegularSeason20242025!$E$3:$E$1315, $A17)</f>
        <v>6</v>
      </c>
      <c r="Z17">
        <f>SUMIFS(DataRegularSeason20242025!$AA$3:$AA$1315,DataRegularSeason20242025!$B$3:$B$1315, "&lt;=" &amp; Z$1, DataRegularSeason20242025!$D$3:$D$1315, $A17)+SUMIFS(DataRegularSeason20242025!$AB$3:$AB$1315,DataRegularSeason20242025!$B$3:$B$1315, "&lt;=" &amp; Z$1, DataRegularSeason20242025!$E$3:$E$1315, $A17)</f>
        <v>6</v>
      </c>
      <c r="AA17">
        <f>SUMIFS(DataRegularSeason20242025!$AA$3:$AA$1315,DataRegularSeason20242025!$B$3:$B$1315, "&lt;=" &amp; AA$1, DataRegularSeason20242025!$D$3:$D$1315, $A17)+SUMIFS(DataRegularSeason20242025!$AB$3:$AB$1315,DataRegularSeason20242025!$B$3:$B$1315, "&lt;=" &amp; AA$1, DataRegularSeason20242025!$E$3:$E$1315, $A17)</f>
        <v>6</v>
      </c>
      <c r="AB17">
        <f>SUMIFS(DataRegularSeason20242025!$AA$3:$AA$1315,DataRegularSeason20242025!$B$3:$B$1315, "&lt;=" &amp; AB$1, DataRegularSeason20242025!$D$3:$D$1315, $A17)+SUMIFS(DataRegularSeason20242025!$AB$3:$AB$1315,DataRegularSeason20242025!$B$3:$B$1315, "&lt;=" &amp; AB$1, DataRegularSeason20242025!$E$3:$E$1315, $A17)</f>
        <v>6</v>
      </c>
      <c r="AC17">
        <f>SUMIFS(DataRegularSeason20242025!$AA$3:$AA$1315,DataRegularSeason20242025!$B$3:$B$1315, "&lt;=" &amp; AC$1, DataRegularSeason20242025!$D$3:$D$1315, $A17)+SUMIFS(DataRegularSeason20242025!$AB$3:$AB$1315,DataRegularSeason20242025!$B$3:$B$1315, "&lt;=" &amp; AC$1, DataRegularSeason20242025!$E$3:$E$1315, $A17)</f>
        <v>6</v>
      </c>
      <c r="AD17">
        <f>SUMIFS(DataRegularSeason20242025!$AA$3:$AA$1315,DataRegularSeason20242025!$B$3:$B$1315, "&lt;=" &amp; AD$1, DataRegularSeason20242025!$D$3:$D$1315, $A17)+SUMIFS(DataRegularSeason20242025!$AB$3:$AB$1315,DataRegularSeason20242025!$B$3:$B$1315, "&lt;=" &amp; AD$1, DataRegularSeason20242025!$E$3:$E$1315, $A17)</f>
        <v>6</v>
      </c>
      <c r="AE17">
        <f>SUMIFS(DataRegularSeason20242025!$AA$3:$AA$1315,DataRegularSeason20242025!$B$3:$B$1315, "&lt;=" &amp; AE$1, DataRegularSeason20242025!$D$3:$D$1315, $A17)+SUMIFS(DataRegularSeason20242025!$AB$3:$AB$1315,DataRegularSeason20242025!$B$3:$B$1315, "&lt;=" &amp; AE$1, DataRegularSeason20242025!$E$3:$E$1315, $A17)</f>
        <v>6</v>
      </c>
      <c r="AF17">
        <f>SUMIFS(DataRegularSeason20242025!$AA$3:$AA$1315,DataRegularSeason20242025!$B$3:$B$1315, "&lt;=" &amp; AF$1, DataRegularSeason20242025!$D$3:$D$1315, $A17)+SUMIFS(DataRegularSeason20242025!$AB$3:$AB$1315,DataRegularSeason20242025!$B$3:$B$1315, "&lt;=" &amp; AF$1, DataRegularSeason20242025!$E$3:$E$1315, $A17)</f>
        <v>6</v>
      </c>
      <c r="AG17">
        <f>SUMIFS(DataRegularSeason20242025!$AA$3:$AA$1315,DataRegularSeason20242025!$B$3:$B$1315, "&lt;=" &amp; AG$1, DataRegularSeason20242025!$D$3:$D$1315, $A17)+SUMIFS(DataRegularSeason20242025!$AB$3:$AB$1315,DataRegularSeason20242025!$B$3:$B$1315, "&lt;=" &amp; AG$1, DataRegularSeason20242025!$E$3:$E$1315, $A17)</f>
        <v>6</v>
      </c>
      <c r="AH17">
        <f>SUMIFS(DataRegularSeason20242025!$AA$3:$AA$1315,DataRegularSeason20242025!$B$3:$B$1315, "&lt;=" &amp; AH$1, DataRegularSeason20242025!$D$3:$D$1315, $A17)+SUMIFS(DataRegularSeason20242025!$AB$3:$AB$1315,DataRegularSeason20242025!$B$3:$B$1315, "&lt;=" &amp; AH$1, DataRegularSeason20242025!$E$3:$E$1315, $A17)</f>
        <v>6</v>
      </c>
      <c r="AI17">
        <f>SUMIFS(DataRegularSeason20242025!$AA$3:$AA$1315,DataRegularSeason20242025!$B$3:$B$1315, "&lt;=" &amp; AI$1, DataRegularSeason20242025!$D$3:$D$1315, $A17)+SUMIFS(DataRegularSeason20242025!$AB$3:$AB$1315,DataRegularSeason20242025!$B$3:$B$1315, "&lt;=" &amp; AI$1, DataRegularSeason20242025!$E$3:$E$1315, $A17)</f>
        <v>6</v>
      </c>
      <c r="AJ17">
        <f>SUMIFS(DataRegularSeason20242025!$AA$3:$AA$1315,DataRegularSeason20242025!$B$3:$B$1315, "&lt;=" &amp; AJ$1, DataRegularSeason20242025!$D$3:$D$1315, $A17)+SUMIFS(DataRegularSeason20242025!$AB$3:$AB$1315,DataRegularSeason20242025!$B$3:$B$1315, "&lt;=" &amp; AJ$1, DataRegularSeason20242025!$E$3:$E$1315, $A17)</f>
        <v>6</v>
      </c>
      <c r="AK17">
        <f>SUMIFS(DataRegularSeason20242025!$AA$3:$AA$1315,DataRegularSeason20242025!$B$3:$B$1315, "&lt;=" &amp; AK$1, DataRegularSeason20242025!$D$3:$D$1315, $A17)+SUMIFS(DataRegularSeason20242025!$AB$3:$AB$1315,DataRegularSeason20242025!$B$3:$B$1315, "&lt;=" &amp; AK$1, DataRegularSeason20242025!$E$3:$E$1315, $A17)</f>
        <v>6</v>
      </c>
      <c r="AL17">
        <f>SUMIFS(DataRegularSeason20242025!$AA$3:$AA$1315,DataRegularSeason20242025!$B$3:$B$1315, "&lt;=" &amp; AL$1, DataRegularSeason20242025!$D$3:$D$1315, $A17)+SUMIFS(DataRegularSeason20242025!$AB$3:$AB$1315,DataRegularSeason20242025!$B$3:$B$1315, "&lt;=" &amp; AL$1, DataRegularSeason20242025!$E$3:$E$1315, $A17)</f>
        <v>6</v>
      </c>
      <c r="AM17">
        <f>SUMIFS(DataRegularSeason20242025!$AA$3:$AA$1315,DataRegularSeason20242025!$B$3:$B$1315, "&lt;=" &amp; AM$1, DataRegularSeason20242025!$D$3:$D$1315, $A17)+SUMIFS(DataRegularSeason20242025!$AB$3:$AB$1315,DataRegularSeason20242025!$B$3:$B$1315, "&lt;=" &amp; AM$1, DataRegularSeason20242025!$E$3:$E$1315, $A17)</f>
        <v>6</v>
      </c>
      <c r="AN17">
        <f>SUMIFS(DataRegularSeason20242025!$AA$3:$AA$1315,DataRegularSeason20242025!$B$3:$B$1315, "&lt;=" &amp; AN$1, DataRegularSeason20242025!$D$3:$D$1315, $A17)+SUMIFS(DataRegularSeason20242025!$AB$3:$AB$1315,DataRegularSeason20242025!$B$3:$B$1315, "&lt;=" &amp; AN$1, DataRegularSeason20242025!$E$3:$E$1315, $A17)</f>
        <v>6</v>
      </c>
      <c r="AO17">
        <f>SUMIFS(DataRegularSeason20242025!$AA$3:$AA$1315,DataRegularSeason20242025!$B$3:$B$1315, "&lt;=" &amp; AO$1, DataRegularSeason20242025!$D$3:$D$1315, $A17)+SUMIFS(DataRegularSeason20242025!$AB$3:$AB$1315,DataRegularSeason20242025!$B$3:$B$1315, "&lt;=" &amp; AO$1, DataRegularSeason20242025!$E$3:$E$1315, $A17)</f>
        <v>6</v>
      </c>
      <c r="AP17">
        <f>SUMIFS(DataRegularSeason20242025!$AA$3:$AA$1315,DataRegularSeason20242025!$B$3:$B$1315, "&lt;=" &amp; AP$1, DataRegularSeason20242025!$D$3:$D$1315, $A17)+SUMIFS(DataRegularSeason20242025!$AB$3:$AB$1315,DataRegularSeason20242025!$B$3:$B$1315, "&lt;=" &amp; AP$1, DataRegularSeason20242025!$E$3:$E$1315, $A17)</f>
        <v>6</v>
      </c>
      <c r="AQ17">
        <f>SUMIFS(DataRegularSeason20242025!$AA$3:$AA$1315,DataRegularSeason20242025!$B$3:$B$1315, "&lt;=" &amp; AQ$1, DataRegularSeason20242025!$D$3:$D$1315, $A17)+SUMIFS(DataRegularSeason20242025!$AB$3:$AB$1315,DataRegularSeason20242025!$B$3:$B$1315, "&lt;=" &amp; AQ$1, DataRegularSeason20242025!$E$3:$E$1315, $A17)</f>
        <v>6</v>
      </c>
      <c r="AR17">
        <f>SUMIFS(DataRegularSeason20242025!$AA$3:$AA$1315,DataRegularSeason20242025!$B$3:$B$1315, "&lt;=" &amp; AR$1, DataRegularSeason20242025!$D$3:$D$1315, $A17)+SUMIFS(DataRegularSeason20242025!$AB$3:$AB$1315,DataRegularSeason20242025!$B$3:$B$1315, "&lt;=" &amp; AR$1, DataRegularSeason20242025!$E$3:$E$1315, $A17)</f>
        <v>6</v>
      </c>
      <c r="AS17">
        <f>SUMIFS(DataRegularSeason20242025!$AA$3:$AA$1315,DataRegularSeason20242025!$B$3:$B$1315, "&lt;=" &amp; AS$1, DataRegularSeason20242025!$D$3:$D$1315, $A17)+SUMIFS(DataRegularSeason20242025!$AB$3:$AB$1315,DataRegularSeason20242025!$B$3:$B$1315, "&lt;=" &amp; AS$1, DataRegularSeason20242025!$E$3:$E$1315, $A17)</f>
        <v>6</v>
      </c>
      <c r="AT17">
        <f>SUMIFS(DataRegularSeason20242025!$AA$3:$AA$1315,DataRegularSeason20242025!$B$3:$B$1315, "&lt;=" &amp; AT$1, DataRegularSeason20242025!$D$3:$D$1315, $A17)+SUMIFS(DataRegularSeason20242025!$AB$3:$AB$1315,DataRegularSeason20242025!$B$3:$B$1315, "&lt;=" &amp; AT$1, DataRegularSeason20242025!$E$3:$E$1315, $A17)</f>
        <v>6</v>
      </c>
      <c r="AU17">
        <f>SUMIFS(DataRegularSeason20242025!$AA$3:$AA$1315,DataRegularSeason20242025!$B$3:$B$1315, "&lt;=" &amp; AU$1, DataRegularSeason20242025!$D$3:$D$1315, $A17)+SUMIFS(DataRegularSeason20242025!$AB$3:$AB$1315,DataRegularSeason20242025!$B$3:$B$1315, "&lt;=" &amp; AU$1, DataRegularSeason20242025!$E$3:$E$1315, $A17)</f>
        <v>6</v>
      </c>
      <c r="AV17">
        <f>SUMIFS(DataRegularSeason20242025!$AA$3:$AA$1315,DataRegularSeason20242025!$B$3:$B$1315, "&lt;=" &amp; AV$1, DataRegularSeason20242025!$D$3:$D$1315, $A17)+SUMIFS(DataRegularSeason20242025!$AB$3:$AB$1315,DataRegularSeason20242025!$B$3:$B$1315, "&lt;=" &amp; AV$1, DataRegularSeason20242025!$E$3:$E$1315, $A17)</f>
        <v>6</v>
      </c>
      <c r="AW17">
        <f>SUMIFS(DataRegularSeason20242025!$AA$3:$AA$1315,DataRegularSeason20242025!$B$3:$B$1315, "&lt;=" &amp; AW$1, DataRegularSeason20242025!$D$3:$D$1315, $A17)+SUMIFS(DataRegularSeason20242025!$AB$3:$AB$1315,DataRegularSeason20242025!$B$3:$B$1315, "&lt;=" &amp; AW$1, DataRegularSeason20242025!$E$3:$E$1315, $A17)</f>
        <v>6</v>
      </c>
      <c r="AX17">
        <f>SUMIFS(DataRegularSeason20242025!$AA$3:$AA$1315,DataRegularSeason20242025!$B$3:$B$1315, "&lt;=" &amp; AX$1, DataRegularSeason20242025!$D$3:$D$1315, $A17)+SUMIFS(DataRegularSeason20242025!$AB$3:$AB$1315,DataRegularSeason20242025!$B$3:$B$1315, "&lt;=" &amp; AX$1, DataRegularSeason20242025!$E$3:$E$1315, $A17)</f>
        <v>6</v>
      </c>
      <c r="AY17">
        <f>SUMIFS(DataRegularSeason20242025!$AA$3:$AA$1315,DataRegularSeason20242025!$B$3:$B$1315, "&lt;=" &amp; AY$1, DataRegularSeason20242025!$D$3:$D$1315, $A17)+SUMIFS(DataRegularSeason20242025!$AB$3:$AB$1315,DataRegularSeason20242025!$B$3:$B$1315, "&lt;=" &amp; AY$1, DataRegularSeason20242025!$E$3:$E$1315, $A17)</f>
        <v>6</v>
      </c>
      <c r="AZ17">
        <f>SUMIFS(DataRegularSeason20242025!$AA$3:$AA$1315,DataRegularSeason20242025!$B$3:$B$1315, "&lt;=" &amp; AZ$1, DataRegularSeason20242025!$D$3:$D$1315, $A17)+SUMIFS(DataRegularSeason20242025!$AB$3:$AB$1315,DataRegularSeason20242025!$B$3:$B$1315, "&lt;=" &amp; AZ$1, DataRegularSeason20242025!$E$3:$E$1315, $A17)</f>
        <v>6</v>
      </c>
      <c r="BA17">
        <f>SUMIFS(DataRegularSeason20242025!$AA$3:$AA$1315,DataRegularSeason20242025!$B$3:$B$1315, "&lt;=" &amp; BA$1, DataRegularSeason20242025!$D$3:$D$1315, $A17)+SUMIFS(DataRegularSeason20242025!$AB$3:$AB$1315,DataRegularSeason20242025!$B$3:$B$1315, "&lt;=" &amp; BA$1, DataRegularSeason20242025!$E$3:$E$1315, $A17)</f>
        <v>6</v>
      </c>
      <c r="BB17">
        <f>SUMIFS(DataRegularSeason20242025!$AA$3:$AA$1315,DataRegularSeason20242025!$B$3:$B$1315, "&lt;=" &amp; BB$1, DataRegularSeason20242025!$D$3:$D$1315, $A17)+SUMIFS(DataRegularSeason20242025!$AB$3:$AB$1315,DataRegularSeason20242025!$B$3:$B$1315, "&lt;=" &amp; BB$1, DataRegularSeason20242025!$E$3:$E$1315, $A17)</f>
        <v>6</v>
      </c>
      <c r="BC17">
        <f>SUMIFS(DataRegularSeason20242025!$AA$3:$AA$1315,DataRegularSeason20242025!$B$3:$B$1315, "&lt;=" &amp; BC$1, DataRegularSeason20242025!$D$3:$D$1315, $A17)+SUMIFS(DataRegularSeason20242025!$AB$3:$AB$1315,DataRegularSeason20242025!$B$3:$B$1315, "&lt;=" &amp; BC$1, DataRegularSeason20242025!$E$3:$E$1315, $A17)</f>
        <v>6</v>
      </c>
      <c r="BD17">
        <f>SUMIFS(DataRegularSeason20242025!$AA$3:$AA$1315,DataRegularSeason20242025!$B$3:$B$1315, "&lt;=" &amp; BD$1, DataRegularSeason20242025!$D$3:$D$1315, $A17)+SUMIFS(DataRegularSeason20242025!$AB$3:$AB$1315,DataRegularSeason20242025!$B$3:$B$1315, "&lt;=" &amp; BD$1, DataRegularSeason20242025!$E$3:$E$1315, $A17)</f>
        <v>6</v>
      </c>
      <c r="BE17">
        <f>SUMIFS(DataRegularSeason20242025!$AA$3:$AA$1315,DataRegularSeason20242025!$B$3:$B$1315, "&lt;=" &amp; BE$1, DataRegularSeason20242025!$D$3:$D$1315, $A17)+SUMIFS(DataRegularSeason20242025!$AB$3:$AB$1315,DataRegularSeason20242025!$B$3:$B$1315, "&lt;=" &amp; BE$1, DataRegularSeason20242025!$E$3:$E$1315, $A17)</f>
        <v>6</v>
      </c>
      <c r="BF17">
        <f>SUMIFS(DataRegularSeason20242025!$AA$3:$AA$1315,DataRegularSeason20242025!$B$3:$B$1315, "&lt;=" &amp; BF$1, DataRegularSeason20242025!$D$3:$D$1315, $A17)+SUMIFS(DataRegularSeason20242025!$AB$3:$AB$1315,DataRegularSeason20242025!$B$3:$B$1315, "&lt;=" &amp; BF$1, DataRegularSeason20242025!$E$3:$E$1315, $A17)</f>
        <v>6</v>
      </c>
      <c r="BG17">
        <f>SUMIFS(DataRegularSeason20242025!$AA$3:$AA$1315,DataRegularSeason20242025!$B$3:$B$1315, "&lt;=" &amp; BG$1, DataRegularSeason20242025!$D$3:$D$1315, $A17)+SUMIFS(DataRegularSeason20242025!$AB$3:$AB$1315,DataRegularSeason20242025!$B$3:$B$1315, "&lt;=" &amp; BG$1, DataRegularSeason20242025!$E$3:$E$1315, $A17)</f>
        <v>6</v>
      </c>
      <c r="BH17">
        <f>SUMIFS(DataRegularSeason20242025!$AA$3:$AA$1315,DataRegularSeason20242025!$B$3:$B$1315, "&lt;=" &amp; BH$1, DataRegularSeason20242025!$D$3:$D$1315, $A17)+SUMIFS(DataRegularSeason20242025!$AB$3:$AB$1315,DataRegularSeason20242025!$B$3:$B$1315, "&lt;=" &amp; BH$1, DataRegularSeason20242025!$E$3:$E$1315, $A17)</f>
        <v>6</v>
      </c>
      <c r="BI17">
        <f>SUMIFS(DataRegularSeason20242025!$AA$3:$AA$1315,DataRegularSeason20242025!$B$3:$B$1315, "&lt;=" &amp; BI$1, DataRegularSeason20242025!$D$3:$D$1315, $A17)+SUMIFS(DataRegularSeason20242025!$AB$3:$AB$1315,DataRegularSeason20242025!$B$3:$B$1315, "&lt;=" &amp; BI$1, DataRegularSeason20242025!$E$3:$E$1315, $A17)</f>
        <v>6</v>
      </c>
      <c r="BJ17">
        <f>SUMIFS(DataRegularSeason20242025!$AA$3:$AA$1315,DataRegularSeason20242025!$B$3:$B$1315, "&lt;=" &amp; BJ$1, DataRegularSeason20242025!$D$3:$D$1315, $A17)+SUMIFS(DataRegularSeason20242025!$AB$3:$AB$1315,DataRegularSeason20242025!$B$3:$B$1315, "&lt;=" &amp; BJ$1, DataRegularSeason20242025!$E$3:$E$1315, $A17)</f>
        <v>6</v>
      </c>
      <c r="BK17">
        <f>SUMIFS(DataRegularSeason20242025!$AA$3:$AA$1315,DataRegularSeason20242025!$B$3:$B$1315, "&lt;=" &amp; BK$1, DataRegularSeason20242025!$D$3:$D$1315, $A17)+SUMIFS(DataRegularSeason20242025!$AB$3:$AB$1315,DataRegularSeason20242025!$B$3:$B$1315, "&lt;=" &amp; BK$1, DataRegularSeason20242025!$E$3:$E$1315, $A17)</f>
        <v>6</v>
      </c>
      <c r="BL17">
        <f>SUMIFS(DataRegularSeason20242025!$AA$3:$AA$1315,DataRegularSeason20242025!$B$3:$B$1315, "&lt;=" &amp; BL$1, DataRegularSeason20242025!$D$3:$D$1315, $A17)+SUMIFS(DataRegularSeason20242025!$AB$3:$AB$1315,DataRegularSeason20242025!$B$3:$B$1315, "&lt;=" &amp; BL$1, DataRegularSeason20242025!$E$3:$E$1315, $A17)</f>
        <v>6</v>
      </c>
      <c r="BM17">
        <f>SUMIFS(DataRegularSeason20242025!$AA$3:$AA$1315,DataRegularSeason20242025!$B$3:$B$1315, "&lt;=" &amp; BM$1, DataRegularSeason20242025!$D$3:$D$1315, $A17)+SUMIFS(DataRegularSeason20242025!$AB$3:$AB$1315,DataRegularSeason20242025!$B$3:$B$1315, "&lt;=" &amp; BM$1, DataRegularSeason20242025!$E$3:$E$1315, $A17)</f>
        <v>6</v>
      </c>
      <c r="BN17">
        <f>SUMIFS(DataRegularSeason20242025!$AA$3:$AA$1315,DataRegularSeason20242025!$B$3:$B$1315, "&lt;=" &amp; BN$1, DataRegularSeason20242025!$D$3:$D$1315, $A17)+SUMIFS(DataRegularSeason20242025!$AB$3:$AB$1315,DataRegularSeason20242025!$B$3:$B$1315, "&lt;=" &amp; BN$1, DataRegularSeason20242025!$E$3:$E$1315, $A17)</f>
        <v>6</v>
      </c>
      <c r="BO17">
        <f>SUMIFS(DataRegularSeason20242025!$AA$3:$AA$1315,DataRegularSeason20242025!$B$3:$B$1315, "&lt;=" &amp; BO$1, DataRegularSeason20242025!$D$3:$D$1315, $A17)+SUMIFS(DataRegularSeason20242025!$AB$3:$AB$1315,DataRegularSeason20242025!$B$3:$B$1315, "&lt;=" &amp; BO$1, DataRegularSeason20242025!$E$3:$E$1315, $A17)</f>
        <v>6</v>
      </c>
      <c r="BP17">
        <f>SUMIFS(DataRegularSeason20242025!$AA$3:$AA$1315,DataRegularSeason20242025!$B$3:$B$1315, "&lt;=" &amp; BP$1, DataRegularSeason20242025!$D$3:$D$1315, $A17)+SUMIFS(DataRegularSeason20242025!$AB$3:$AB$1315,DataRegularSeason20242025!$B$3:$B$1315, "&lt;=" &amp; BP$1, DataRegularSeason20242025!$E$3:$E$1315, $A17)</f>
        <v>6</v>
      </c>
      <c r="BQ17">
        <f>SUMIFS(DataRegularSeason20242025!$AA$3:$AA$1315,DataRegularSeason20242025!$B$3:$B$1315, "&lt;=" &amp; BQ$1, DataRegularSeason20242025!$D$3:$D$1315, $A17)+SUMIFS(DataRegularSeason20242025!$AB$3:$AB$1315,DataRegularSeason20242025!$B$3:$B$1315, "&lt;=" &amp; BQ$1, DataRegularSeason20242025!$E$3:$E$1315, $A17)</f>
        <v>6</v>
      </c>
      <c r="BR17">
        <f>SUMIFS(DataRegularSeason20242025!$AA$3:$AA$1315,DataRegularSeason20242025!$B$3:$B$1315, "&lt;=" &amp; BR$1, DataRegularSeason20242025!$D$3:$D$1315, $A17)+SUMIFS(DataRegularSeason20242025!$AB$3:$AB$1315,DataRegularSeason20242025!$B$3:$B$1315, "&lt;=" &amp; BR$1, DataRegularSeason20242025!$E$3:$E$1315, $A17)</f>
        <v>6</v>
      </c>
      <c r="BS17">
        <f>SUMIFS(DataRegularSeason20242025!$AA$3:$AA$1315,DataRegularSeason20242025!$B$3:$B$1315, "&lt;=" &amp; BS$1, DataRegularSeason20242025!$D$3:$D$1315, $A17)+SUMIFS(DataRegularSeason20242025!$AB$3:$AB$1315,DataRegularSeason20242025!$B$3:$B$1315, "&lt;=" &amp; BS$1, DataRegularSeason20242025!$E$3:$E$1315, $A17)</f>
        <v>6</v>
      </c>
      <c r="BT17">
        <f>SUMIFS(DataRegularSeason20242025!$AA$3:$AA$1315,DataRegularSeason20242025!$B$3:$B$1315, "&lt;=" &amp; BT$1, DataRegularSeason20242025!$D$3:$D$1315, $A17)+SUMIFS(DataRegularSeason20242025!$AB$3:$AB$1315,DataRegularSeason20242025!$B$3:$B$1315, "&lt;=" &amp; BT$1, DataRegularSeason20242025!$E$3:$E$1315, $A17)</f>
        <v>6</v>
      </c>
      <c r="BU17">
        <f>SUMIFS(DataRegularSeason20242025!$AA$3:$AA$1315,DataRegularSeason20242025!$B$3:$B$1315, "&lt;=" &amp; BU$1, DataRegularSeason20242025!$D$3:$D$1315, $A17)+SUMIFS(DataRegularSeason20242025!$AB$3:$AB$1315,DataRegularSeason20242025!$B$3:$B$1315, "&lt;=" &amp; BU$1, DataRegularSeason20242025!$E$3:$E$1315, $A17)</f>
        <v>6</v>
      </c>
      <c r="BV17">
        <f>SUMIFS(DataRegularSeason20242025!$AA$3:$AA$1315,DataRegularSeason20242025!$B$3:$B$1315, "&lt;=" &amp; BV$1, DataRegularSeason20242025!$D$3:$D$1315, $A17)+SUMIFS(DataRegularSeason20242025!$AB$3:$AB$1315,DataRegularSeason20242025!$B$3:$B$1315, "&lt;=" &amp; BV$1, DataRegularSeason20242025!$E$3:$E$1315, $A17)</f>
        <v>6</v>
      </c>
      <c r="BW17">
        <f>SUMIFS(DataRegularSeason20242025!$AA$3:$AA$1315,DataRegularSeason20242025!$B$3:$B$1315, "&lt;=" &amp; BW$1, DataRegularSeason20242025!$D$3:$D$1315, $A17)+SUMIFS(DataRegularSeason20242025!$AB$3:$AB$1315,DataRegularSeason20242025!$B$3:$B$1315, "&lt;=" &amp; BW$1, DataRegularSeason20242025!$E$3:$E$1315, $A17)</f>
        <v>6</v>
      </c>
      <c r="BX17">
        <f>SUMIFS(DataRegularSeason20242025!$AA$3:$AA$1315,DataRegularSeason20242025!$B$3:$B$1315, "&lt;=" &amp; BX$1, DataRegularSeason20242025!$D$3:$D$1315, $A17)+SUMIFS(DataRegularSeason20242025!$AB$3:$AB$1315,DataRegularSeason20242025!$B$3:$B$1315, "&lt;=" &amp; BX$1, DataRegularSeason20242025!$E$3:$E$1315, $A17)</f>
        <v>6</v>
      </c>
      <c r="BY17">
        <f>SUMIFS(DataRegularSeason20242025!$AA$3:$AA$1315,DataRegularSeason20242025!$B$3:$B$1315, "&lt;=" &amp; BY$1, DataRegularSeason20242025!$D$3:$D$1315, $A17)+SUMIFS(DataRegularSeason20242025!$AB$3:$AB$1315,DataRegularSeason20242025!$B$3:$B$1315, "&lt;=" &amp; BY$1, DataRegularSeason20242025!$E$3:$E$1315, $A17)</f>
        <v>6</v>
      </c>
      <c r="BZ17">
        <f>SUMIFS(DataRegularSeason20242025!$AA$3:$AA$1315,DataRegularSeason20242025!$B$3:$B$1315, "&lt;=" &amp; BZ$1, DataRegularSeason20242025!$D$3:$D$1315, $A17)+SUMIFS(DataRegularSeason20242025!$AB$3:$AB$1315,DataRegularSeason20242025!$B$3:$B$1315, "&lt;=" &amp; BZ$1, DataRegularSeason20242025!$E$3:$E$1315, $A17)</f>
        <v>6</v>
      </c>
      <c r="CA17">
        <f>SUMIFS(DataRegularSeason20242025!$AA$3:$AA$1315,DataRegularSeason20242025!$B$3:$B$1315, "&lt;=" &amp; CA$1, DataRegularSeason20242025!$D$3:$D$1315, $A17)+SUMIFS(DataRegularSeason20242025!$AB$3:$AB$1315,DataRegularSeason20242025!$B$3:$B$1315, "&lt;=" &amp; CA$1, DataRegularSeason20242025!$E$3:$E$1315, $A17)</f>
        <v>6</v>
      </c>
      <c r="CB17">
        <f>SUMIFS(DataRegularSeason20242025!$AA$3:$AA$1315,DataRegularSeason20242025!$B$3:$B$1315, "&lt;=" &amp; CB$1, DataRegularSeason20242025!$D$3:$D$1315, $A17)+SUMIFS(DataRegularSeason20242025!$AB$3:$AB$1315,DataRegularSeason20242025!$B$3:$B$1315, "&lt;=" &amp; CB$1, DataRegularSeason20242025!$E$3:$E$1315, $A17)</f>
        <v>6</v>
      </c>
      <c r="CC17">
        <f>SUMIFS(DataRegularSeason20242025!$AA$3:$AA$1315,DataRegularSeason20242025!$B$3:$B$1315, "&lt;=" &amp; CC$1, DataRegularSeason20242025!$D$3:$D$1315, $A17)+SUMIFS(DataRegularSeason20242025!$AB$3:$AB$1315,DataRegularSeason20242025!$B$3:$B$1315, "&lt;=" &amp; CC$1, DataRegularSeason20242025!$E$3:$E$1315, $A17)</f>
        <v>6</v>
      </c>
      <c r="CD17">
        <f>SUMIFS(DataRegularSeason20242025!$AA$3:$AA$1315,DataRegularSeason20242025!$B$3:$B$1315, "&lt;=" &amp; CD$1, DataRegularSeason20242025!$D$3:$D$1315, $A17)+SUMIFS(DataRegularSeason20242025!$AB$3:$AB$1315,DataRegularSeason20242025!$B$3:$B$1315, "&lt;=" &amp; CD$1, DataRegularSeason20242025!$E$3:$E$1315, $A17)</f>
        <v>6</v>
      </c>
      <c r="CE17">
        <f>SUMIFS(DataRegularSeason20242025!$AA$3:$AA$1315,DataRegularSeason20242025!$B$3:$B$1315, "&lt;=" &amp; CE$1, DataRegularSeason20242025!$D$3:$D$1315, $A17)+SUMIFS(DataRegularSeason20242025!$AB$3:$AB$1315,DataRegularSeason20242025!$B$3:$B$1315, "&lt;=" &amp; CE$1, DataRegularSeason20242025!$E$3:$E$1315, $A17)</f>
        <v>6</v>
      </c>
      <c r="CF17">
        <f>SUMIFS(DataRegularSeason20242025!$AA$3:$AA$1315,DataRegularSeason20242025!$B$3:$B$1315, "&lt;=" &amp; CF$1, DataRegularSeason20242025!$D$3:$D$1315, $A17)+SUMIFS(DataRegularSeason20242025!$AB$3:$AB$1315,DataRegularSeason20242025!$B$3:$B$1315, "&lt;=" &amp; CF$1, DataRegularSeason20242025!$E$3:$E$1315, $A17)</f>
        <v>6</v>
      </c>
      <c r="CG17">
        <f>SUMIFS(DataRegularSeason20242025!$AA$3:$AA$1315,DataRegularSeason20242025!$B$3:$B$1315, "&lt;=" &amp; CG$1, DataRegularSeason20242025!$D$3:$D$1315, $A17)+SUMIFS(DataRegularSeason20242025!$AB$3:$AB$1315,DataRegularSeason20242025!$B$3:$B$1315, "&lt;=" &amp; CG$1, DataRegularSeason20242025!$E$3:$E$1315, $A17)</f>
        <v>6</v>
      </c>
      <c r="CH17">
        <f>SUMIFS(DataRegularSeason20242025!$AA$3:$AA$1315,DataRegularSeason20242025!$B$3:$B$1315, "&lt;=" &amp; CH$1, DataRegularSeason20242025!$D$3:$D$1315, $A17)+SUMIFS(DataRegularSeason20242025!$AB$3:$AB$1315,DataRegularSeason20242025!$B$3:$B$1315, "&lt;=" &amp; CH$1, DataRegularSeason20242025!$E$3:$E$1315, $A17)</f>
        <v>6</v>
      </c>
      <c r="CI17">
        <f>SUMIFS(DataRegularSeason20242025!$AA$3:$AA$1315,DataRegularSeason20242025!$B$3:$B$1315, "&lt;=" &amp; CI$1, DataRegularSeason20242025!$D$3:$D$1315, $A17)+SUMIFS(DataRegularSeason20242025!$AB$3:$AB$1315,DataRegularSeason20242025!$B$3:$B$1315, "&lt;=" &amp; CI$1, DataRegularSeason20242025!$E$3:$E$1315, $A17)</f>
        <v>6</v>
      </c>
      <c r="CJ17">
        <f>SUMIFS(DataRegularSeason20242025!$AA$3:$AA$1315,DataRegularSeason20242025!$B$3:$B$1315, "&lt;=" &amp; CJ$1, DataRegularSeason20242025!$D$3:$D$1315, $A17)+SUMIFS(DataRegularSeason20242025!$AB$3:$AB$1315,DataRegularSeason20242025!$B$3:$B$1315, "&lt;=" &amp; CJ$1, DataRegularSeason20242025!$E$3:$E$1315, $A17)</f>
        <v>6</v>
      </c>
      <c r="CK17">
        <f>SUMIFS(DataRegularSeason20242025!$AA$3:$AA$1315,DataRegularSeason20242025!$B$3:$B$1315, "&lt;=" &amp; CK$1, DataRegularSeason20242025!$D$3:$D$1315, $A17)+SUMIFS(DataRegularSeason20242025!$AB$3:$AB$1315,DataRegularSeason20242025!$B$3:$B$1315, "&lt;=" &amp; CK$1, DataRegularSeason20242025!$E$3:$E$1315, $A17)</f>
        <v>6</v>
      </c>
      <c r="CL17">
        <f>SUMIFS(DataRegularSeason20242025!$AA$3:$AA$1315,DataRegularSeason20242025!$B$3:$B$1315, "&lt;=" &amp; CL$1, DataRegularSeason20242025!$D$3:$D$1315, $A17)+SUMIFS(DataRegularSeason20242025!$AB$3:$AB$1315,DataRegularSeason20242025!$B$3:$B$1315, "&lt;=" &amp; CL$1, DataRegularSeason20242025!$E$3:$E$1315, $A17)</f>
        <v>6</v>
      </c>
      <c r="CM17">
        <f>SUMIFS(DataRegularSeason20242025!$AA$3:$AA$1315,DataRegularSeason20242025!$B$3:$B$1315, "&lt;=" &amp; CM$1, DataRegularSeason20242025!$D$3:$D$1315, $A17)+SUMIFS(DataRegularSeason20242025!$AB$3:$AB$1315,DataRegularSeason20242025!$B$3:$B$1315, "&lt;=" &amp; CM$1, DataRegularSeason20242025!$E$3:$E$1315, $A17)</f>
        <v>6</v>
      </c>
      <c r="CN17">
        <f>SUMIFS(DataRegularSeason20242025!$AA$3:$AA$1315,DataRegularSeason20242025!$B$3:$B$1315, "&lt;=" &amp; CN$1, DataRegularSeason20242025!$D$3:$D$1315, $A17)+SUMIFS(DataRegularSeason20242025!$AB$3:$AB$1315,DataRegularSeason20242025!$B$3:$B$1315, "&lt;=" &amp; CN$1, DataRegularSeason20242025!$E$3:$E$1315, $A17)</f>
        <v>6</v>
      </c>
      <c r="CO17">
        <f>SUMIFS(DataRegularSeason20242025!$AA$3:$AA$1315,DataRegularSeason20242025!$B$3:$B$1315, "&lt;=" &amp; CO$1, DataRegularSeason20242025!$D$3:$D$1315, $A17)+SUMIFS(DataRegularSeason20242025!$AB$3:$AB$1315,DataRegularSeason20242025!$B$3:$B$1315, "&lt;=" &amp; CO$1, DataRegularSeason20242025!$E$3:$E$1315, $A17)</f>
        <v>6</v>
      </c>
      <c r="CP17">
        <f>SUMIFS(DataRegularSeason20242025!$AA$3:$AA$1315,DataRegularSeason20242025!$B$3:$B$1315, "&lt;=" &amp; CP$1, DataRegularSeason20242025!$D$3:$D$1315, $A17)+SUMIFS(DataRegularSeason20242025!$AB$3:$AB$1315,DataRegularSeason20242025!$B$3:$B$1315, "&lt;=" &amp; CP$1, DataRegularSeason20242025!$E$3:$E$1315, $A17)</f>
        <v>6</v>
      </c>
      <c r="CQ17">
        <f>SUMIFS(DataRegularSeason20242025!$AA$3:$AA$1315,DataRegularSeason20242025!$B$3:$B$1315, "&lt;=" &amp; CQ$1, DataRegularSeason20242025!$D$3:$D$1315, $A17)+SUMIFS(DataRegularSeason20242025!$AB$3:$AB$1315,DataRegularSeason20242025!$B$3:$B$1315, "&lt;=" &amp; CQ$1, DataRegularSeason20242025!$E$3:$E$1315, $A17)</f>
        <v>6</v>
      </c>
      <c r="CR17">
        <f>SUMIFS(DataRegularSeason20242025!$AA$3:$AA$1315,DataRegularSeason20242025!$B$3:$B$1315, "&lt;=" &amp; CR$1, DataRegularSeason20242025!$D$3:$D$1315, $A17)+SUMIFS(DataRegularSeason20242025!$AB$3:$AB$1315,DataRegularSeason20242025!$B$3:$B$1315, "&lt;=" &amp; CR$1, DataRegularSeason20242025!$E$3:$E$1315, $A17)</f>
        <v>6</v>
      </c>
      <c r="CS17">
        <f>SUMIFS(DataRegularSeason20242025!$AA$3:$AA$1315,DataRegularSeason20242025!$B$3:$B$1315, "&lt;=" &amp; CS$1, DataRegularSeason20242025!$D$3:$D$1315, $A17)+SUMIFS(DataRegularSeason20242025!$AB$3:$AB$1315,DataRegularSeason20242025!$B$3:$B$1315, "&lt;=" &amp; CS$1, DataRegularSeason20242025!$E$3:$E$1315, $A17)</f>
        <v>6</v>
      </c>
      <c r="CT17">
        <f>SUMIFS(DataRegularSeason20242025!$AA$3:$AA$1315,DataRegularSeason20242025!$B$3:$B$1315, "&lt;=" &amp; CT$1, DataRegularSeason20242025!$D$3:$D$1315, $A17)+SUMIFS(DataRegularSeason20242025!$AB$3:$AB$1315,DataRegularSeason20242025!$B$3:$B$1315, "&lt;=" &amp; CT$1, DataRegularSeason20242025!$E$3:$E$1315, $A17)</f>
        <v>6</v>
      </c>
      <c r="CU17">
        <f>SUMIFS(DataRegularSeason20242025!$AA$3:$AA$1315,DataRegularSeason20242025!$B$3:$B$1315, "&lt;=" &amp; CU$1, DataRegularSeason20242025!$D$3:$D$1315, $A17)+SUMIFS(DataRegularSeason20242025!$AB$3:$AB$1315,DataRegularSeason20242025!$B$3:$B$1315, "&lt;=" &amp; CU$1, DataRegularSeason20242025!$E$3:$E$1315, $A17)</f>
        <v>6</v>
      </c>
      <c r="CV17">
        <f>SUMIFS(DataRegularSeason20242025!$AA$3:$AA$1315,DataRegularSeason20242025!$B$3:$B$1315, "&lt;=" &amp; CV$1, DataRegularSeason20242025!$D$3:$D$1315, $A17)+SUMIFS(DataRegularSeason20242025!$AB$3:$AB$1315,DataRegularSeason20242025!$B$3:$B$1315, "&lt;=" &amp; CV$1, DataRegularSeason20242025!$E$3:$E$1315, $A17)</f>
        <v>6</v>
      </c>
      <c r="CW17">
        <f>SUMIFS(DataRegularSeason20242025!$AA$3:$AA$1315,DataRegularSeason20242025!$B$3:$B$1315, "&lt;=" &amp; CW$1, DataRegularSeason20242025!$D$3:$D$1315, $A17)+SUMIFS(DataRegularSeason20242025!$AB$3:$AB$1315,DataRegularSeason20242025!$B$3:$B$1315, "&lt;=" &amp; CW$1, DataRegularSeason20242025!$E$3:$E$1315, $A17)</f>
        <v>6</v>
      </c>
      <c r="CX17">
        <f>SUMIFS(DataRegularSeason20242025!$AA$3:$AA$1315,DataRegularSeason20242025!$B$3:$B$1315, "&lt;=" &amp; CX$1, DataRegularSeason20242025!$D$3:$D$1315, $A17)+SUMIFS(DataRegularSeason20242025!$AB$3:$AB$1315,DataRegularSeason20242025!$B$3:$B$1315, "&lt;=" &amp; CX$1, DataRegularSeason20242025!$E$3:$E$1315, $A17)</f>
        <v>6</v>
      </c>
      <c r="CY17">
        <f>SUMIFS(DataRegularSeason20242025!$AA$3:$AA$1315,DataRegularSeason20242025!$B$3:$B$1315, "&lt;=" &amp; CY$1, DataRegularSeason20242025!$D$3:$D$1315, $A17)+SUMIFS(DataRegularSeason20242025!$AB$3:$AB$1315,DataRegularSeason20242025!$B$3:$B$1315, "&lt;=" &amp; CY$1, DataRegularSeason20242025!$E$3:$E$1315, $A17)</f>
        <v>6</v>
      </c>
      <c r="CZ17">
        <f>SUMIFS(DataRegularSeason20242025!$AA$3:$AA$1315,DataRegularSeason20242025!$B$3:$B$1315, "&lt;=" &amp; CZ$1, DataRegularSeason20242025!$D$3:$D$1315, $A17)+SUMIFS(DataRegularSeason20242025!$AB$3:$AB$1315,DataRegularSeason20242025!$B$3:$B$1315, "&lt;=" &amp; CZ$1, DataRegularSeason20242025!$E$3:$E$1315, $A17)</f>
        <v>6</v>
      </c>
      <c r="DA17">
        <f>SUMIFS(DataRegularSeason20242025!$AA$3:$AA$1315,DataRegularSeason20242025!$B$3:$B$1315, "&lt;=" &amp; DA$1, DataRegularSeason20242025!$D$3:$D$1315, $A17)+SUMIFS(DataRegularSeason20242025!$AB$3:$AB$1315,DataRegularSeason20242025!$B$3:$B$1315, "&lt;=" &amp; DA$1, DataRegularSeason20242025!$E$3:$E$1315, $A17)</f>
        <v>6</v>
      </c>
      <c r="DB17">
        <f>SUMIFS(DataRegularSeason20242025!$AA$3:$AA$1315,DataRegularSeason20242025!$B$3:$B$1315, "&lt;=" &amp; DB$1, DataRegularSeason20242025!$D$3:$D$1315, $A17)+SUMIFS(DataRegularSeason20242025!$AB$3:$AB$1315,DataRegularSeason20242025!$B$3:$B$1315, "&lt;=" &amp; DB$1, DataRegularSeason20242025!$E$3:$E$1315, $A17)</f>
        <v>6</v>
      </c>
      <c r="DC17">
        <f>SUMIFS(DataRegularSeason20242025!$AA$3:$AA$1315,DataRegularSeason20242025!$B$3:$B$1315, "&lt;=" &amp; DC$1, DataRegularSeason20242025!$D$3:$D$1315, $A17)+SUMIFS(DataRegularSeason20242025!$AB$3:$AB$1315,DataRegularSeason20242025!$B$3:$B$1315, "&lt;=" &amp; DC$1, DataRegularSeason20242025!$E$3:$E$1315, $A17)</f>
        <v>6</v>
      </c>
      <c r="DD17">
        <f>SUMIFS(DataRegularSeason20242025!$AA$3:$AA$1315,DataRegularSeason20242025!$B$3:$B$1315, "&lt;=" &amp; DD$1, DataRegularSeason20242025!$D$3:$D$1315, $A17)+SUMIFS(DataRegularSeason20242025!$AB$3:$AB$1315,DataRegularSeason20242025!$B$3:$B$1315, "&lt;=" &amp; DD$1, DataRegularSeason20242025!$E$3:$E$1315, $A17)</f>
        <v>6</v>
      </c>
      <c r="DE17">
        <f>SUMIFS(DataRegularSeason20242025!$AA$3:$AA$1315,DataRegularSeason20242025!$B$3:$B$1315, "&lt;=" &amp; DE$1, DataRegularSeason20242025!$D$3:$D$1315, $A17)+SUMIFS(DataRegularSeason20242025!$AB$3:$AB$1315,DataRegularSeason20242025!$B$3:$B$1315, "&lt;=" &amp; DE$1, DataRegularSeason20242025!$E$3:$E$1315, $A17)</f>
        <v>6</v>
      </c>
      <c r="DF17">
        <f>SUMIFS(DataRegularSeason20242025!$AA$3:$AA$1315,DataRegularSeason20242025!$B$3:$B$1315, "&lt;=" &amp; DF$1, DataRegularSeason20242025!$D$3:$D$1315, $A17)+SUMIFS(DataRegularSeason20242025!$AB$3:$AB$1315,DataRegularSeason20242025!$B$3:$B$1315, "&lt;=" &amp; DF$1, DataRegularSeason20242025!$E$3:$E$1315, $A17)</f>
        <v>6</v>
      </c>
      <c r="DG17">
        <f>SUMIFS(DataRegularSeason20242025!$AA$3:$AA$1315,DataRegularSeason20242025!$B$3:$B$1315, "&lt;=" &amp; DG$1, DataRegularSeason20242025!$D$3:$D$1315, $A17)+SUMIFS(DataRegularSeason20242025!$AB$3:$AB$1315,DataRegularSeason20242025!$B$3:$B$1315, "&lt;=" &amp; DG$1, DataRegularSeason20242025!$E$3:$E$1315, $A17)</f>
        <v>6</v>
      </c>
      <c r="DH17">
        <f>SUMIFS(DataRegularSeason20242025!$AA$3:$AA$1315,DataRegularSeason20242025!$B$3:$B$1315, "&lt;=" &amp; DH$1, DataRegularSeason20242025!$D$3:$D$1315, $A17)+SUMIFS(DataRegularSeason20242025!$AB$3:$AB$1315,DataRegularSeason20242025!$B$3:$B$1315, "&lt;=" &amp; DH$1, DataRegularSeason20242025!$E$3:$E$1315, $A17)</f>
        <v>6</v>
      </c>
      <c r="DI17">
        <f>SUMIFS(DataRegularSeason20242025!$AA$3:$AA$1315,DataRegularSeason20242025!$B$3:$B$1315, "&lt;=" &amp; DI$1, DataRegularSeason20242025!$D$3:$D$1315, $A17)+SUMIFS(DataRegularSeason20242025!$AB$3:$AB$1315,DataRegularSeason20242025!$B$3:$B$1315, "&lt;=" &amp; DI$1, DataRegularSeason20242025!$E$3:$E$1315, $A17)</f>
        <v>6</v>
      </c>
      <c r="DJ17">
        <f>SUMIFS(DataRegularSeason20242025!$AA$3:$AA$1315,DataRegularSeason20242025!$B$3:$B$1315, "&lt;=" &amp; DJ$1, DataRegularSeason20242025!$D$3:$D$1315, $A17)+SUMIFS(DataRegularSeason20242025!$AB$3:$AB$1315,DataRegularSeason20242025!$B$3:$B$1315, "&lt;=" &amp; DJ$1, DataRegularSeason20242025!$E$3:$E$1315, $A17)</f>
        <v>6</v>
      </c>
      <c r="DK17">
        <f>SUMIFS(DataRegularSeason20242025!$AA$3:$AA$1315,DataRegularSeason20242025!$B$3:$B$1315, "&lt;=" &amp; DK$1, DataRegularSeason20242025!$D$3:$D$1315, $A17)+SUMIFS(DataRegularSeason20242025!$AB$3:$AB$1315,DataRegularSeason20242025!$B$3:$B$1315, "&lt;=" &amp; DK$1, DataRegularSeason20242025!$E$3:$E$1315, $A17)</f>
        <v>6</v>
      </c>
      <c r="DL17">
        <f>SUMIFS(DataRegularSeason20242025!$AA$3:$AA$1315,DataRegularSeason20242025!$B$3:$B$1315, "&lt;=" &amp; DL$1, DataRegularSeason20242025!$D$3:$D$1315, $A17)+SUMIFS(DataRegularSeason20242025!$AB$3:$AB$1315,DataRegularSeason20242025!$B$3:$B$1315, "&lt;=" &amp; DL$1, DataRegularSeason20242025!$E$3:$E$1315, $A17)</f>
        <v>6</v>
      </c>
      <c r="DM17">
        <f>SUMIFS(DataRegularSeason20242025!$AA$3:$AA$1315,DataRegularSeason20242025!$B$3:$B$1315, "&lt;=" &amp; DM$1, DataRegularSeason20242025!$D$3:$D$1315, $A17)+SUMIFS(DataRegularSeason20242025!$AB$3:$AB$1315,DataRegularSeason20242025!$B$3:$B$1315, "&lt;=" &amp; DM$1, DataRegularSeason20242025!$E$3:$E$1315, $A17)</f>
        <v>6</v>
      </c>
      <c r="DN17">
        <f>SUMIFS(DataRegularSeason20242025!$AA$3:$AA$1315,DataRegularSeason20242025!$B$3:$B$1315, "&lt;=" &amp; DN$1, DataRegularSeason20242025!$D$3:$D$1315, $A17)+SUMIFS(DataRegularSeason20242025!$AB$3:$AB$1315,DataRegularSeason20242025!$B$3:$B$1315, "&lt;=" &amp; DN$1, DataRegularSeason20242025!$E$3:$E$1315, $A17)</f>
        <v>6</v>
      </c>
      <c r="DO17">
        <f>SUMIFS(DataRegularSeason20242025!$AA$3:$AA$1315,DataRegularSeason20242025!$B$3:$B$1315, "&lt;=" &amp; DO$1, DataRegularSeason20242025!$D$3:$D$1315, $A17)+SUMIFS(DataRegularSeason20242025!$AB$3:$AB$1315,DataRegularSeason20242025!$B$3:$B$1315, "&lt;=" &amp; DO$1, DataRegularSeason20242025!$E$3:$E$1315, $A17)</f>
        <v>6</v>
      </c>
      <c r="DP17">
        <f>SUMIFS(DataRegularSeason20242025!$AA$3:$AA$1315,DataRegularSeason20242025!$B$3:$B$1315, "&lt;=" &amp; DP$1, DataRegularSeason20242025!$D$3:$D$1315, $A17)+SUMIFS(DataRegularSeason20242025!$AB$3:$AB$1315,DataRegularSeason20242025!$B$3:$B$1315, "&lt;=" &amp; DP$1, DataRegularSeason20242025!$E$3:$E$1315, $A17)</f>
        <v>6</v>
      </c>
      <c r="DQ17">
        <f>SUMIFS(DataRegularSeason20242025!$AA$3:$AA$1315,DataRegularSeason20242025!$B$3:$B$1315, "&lt;=" &amp; DQ$1, DataRegularSeason20242025!$D$3:$D$1315, $A17)+SUMIFS(DataRegularSeason20242025!$AB$3:$AB$1315,DataRegularSeason20242025!$B$3:$B$1315, "&lt;=" &amp; DQ$1, DataRegularSeason20242025!$E$3:$E$1315, $A17)</f>
        <v>6</v>
      </c>
      <c r="DR17">
        <f>SUMIFS(DataRegularSeason20242025!$AA$3:$AA$1315,DataRegularSeason20242025!$B$3:$B$1315, "&lt;=" &amp; DR$1, DataRegularSeason20242025!$D$3:$D$1315, $A17)+SUMIFS(DataRegularSeason20242025!$AB$3:$AB$1315,DataRegularSeason20242025!$B$3:$B$1315, "&lt;=" &amp; DR$1, DataRegularSeason20242025!$E$3:$E$1315, $A17)</f>
        <v>6</v>
      </c>
      <c r="DS17">
        <f>SUMIFS(DataRegularSeason20242025!$AA$3:$AA$1315,DataRegularSeason20242025!$B$3:$B$1315, "&lt;=" &amp; DS$1, DataRegularSeason20242025!$D$3:$D$1315, $A17)+SUMIFS(DataRegularSeason20242025!$AB$3:$AB$1315,DataRegularSeason20242025!$B$3:$B$1315, "&lt;=" &amp; DS$1, DataRegularSeason20242025!$E$3:$E$1315, $A17)</f>
        <v>6</v>
      </c>
      <c r="DT17">
        <f>SUMIFS(DataRegularSeason20242025!$AA$3:$AA$1315,DataRegularSeason20242025!$B$3:$B$1315, "&lt;=" &amp; DT$1, DataRegularSeason20242025!$D$3:$D$1315, $A17)+SUMIFS(DataRegularSeason20242025!$AB$3:$AB$1315,DataRegularSeason20242025!$B$3:$B$1315, "&lt;=" &amp; DT$1, DataRegularSeason20242025!$E$3:$E$1315, $A17)</f>
        <v>6</v>
      </c>
      <c r="DU17">
        <f>SUMIFS(DataRegularSeason20242025!$AA$3:$AA$1315,DataRegularSeason20242025!$B$3:$B$1315, "&lt;=" &amp; DU$1, DataRegularSeason20242025!$D$3:$D$1315, $A17)+SUMIFS(DataRegularSeason20242025!$AB$3:$AB$1315,DataRegularSeason20242025!$B$3:$B$1315, "&lt;=" &amp; DU$1, DataRegularSeason20242025!$E$3:$E$1315, $A17)</f>
        <v>6</v>
      </c>
      <c r="DV17">
        <f>SUMIFS(DataRegularSeason20242025!$AA$3:$AA$1315,DataRegularSeason20242025!$B$3:$B$1315, "&lt;=" &amp; DV$1, DataRegularSeason20242025!$D$3:$D$1315, $A17)+SUMIFS(DataRegularSeason20242025!$AB$3:$AB$1315,DataRegularSeason20242025!$B$3:$B$1315, "&lt;=" &amp; DV$1, DataRegularSeason20242025!$E$3:$E$1315, $A17)</f>
        <v>6</v>
      </c>
      <c r="DW17">
        <f>SUMIFS(DataRegularSeason20242025!$AA$3:$AA$1315,DataRegularSeason20242025!$B$3:$B$1315, "&lt;=" &amp; DW$1, DataRegularSeason20242025!$D$3:$D$1315, $A17)+SUMIFS(DataRegularSeason20242025!$AB$3:$AB$1315,DataRegularSeason20242025!$B$3:$B$1315, "&lt;=" &amp; DW$1, DataRegularSeason20242025!$E$3:$E$1315, $A17)</f>
        <v>6</v>
      </c>
      <c r="DX17">
        <f>SUMIFS(DataRegularSeason20242025!$AA$3:$AA$1315,DataRegularSeason20242025!$B$3:$B$1315, "&lt;=" &amp; DX$1, DataRegularSeason20242025!$D$3:$D$1315, $A17)+SUMIFS(DataRegularSeason20242025!$AB$3:$AB$1315,DataRegularSeason20242025!$B$3:$B$1315, "&lt;=" &amp; DX$1, DataRegularSeason20242025!$E$3:$E$1315, $A17)</f>
        <v>6</v>
      </c>
      <c r="DY17">
        <f>SUMIFS(DataRegularSeason20242025!$AA$3:$AA$1315,DataRegularSeason20242025!$B$3:$B$1315, "&lt;=" &amp; DY$1, DataRegularSeason20242025!$D$3:$D$1315, $A17)+SUMIFS(DataRegularSeason20242025!$AB$3:$AB$1315,DataRegularSeason20242025!$B$3:$B$1315, "&lt;=" &amp; DY$1, DataRegularSeason20242025!$E$3:$E$1315, $A17)</f>
        <v>6</v>
      </c>
      <c r="DZ17">
        <f>SUMIFS(DataRegularSeason20242025!$AA$3:$AA$1315,DataRegularSeason20242025!$B$3:$B$1315, "&lt;=" &amp; DZ$1, DataRegularSeason20242025!$D$3:$D$1315, $A17)+SUMIFS(DataRegularSeason20242025!$AB$3:$AB$1315,DataRegularSeason20242025!$B$3:$B$1315, "&lt;=" &amp; DZ$1, DataRegularSeason20242025!$E$3:$E$1315, $A17)</f>
        <v>6</v>
      </c>
      <c r="EA17">
        <f>SUMIFS(DataRegularSeason20242025!$AA$3:$AA$1315,DataRegularSeason20242025!$B$3:$B$1315, "&lt;=" &amp; EA$1, DataRegularSeason20242025!$D$3:$D$1315, $A17)+SUMIFS(DataRegularSeason20242025!$AB$3:$AB$1315,DataRegularSeason20242025!$B$3:$B$1315, "&lt;=" &amp; EA$1, DataRegularSeason20242025!$E$3:$E$1315, $A17)</f>
        <v>6</v>
      </c>
      <c r="EB17">
        <f>SUMIFS(DataRegularSeason20242025!$AA$3:$AA$1315,DataRegularSeason20242025!$B$3:$B$1315, "&lt;=" &amp; EB$1, DataRegularSeason20242025!$D$3:$D$1315, $A17)+SUMIFS(DataRegularSeason20242025!$AB$3:$AB$1315,DataRegularSeason20242025!$B$3:$B$1315, "&lt;=" &amp; EB$1, DataRegularSeason20242025!$E$3:$E$1315, $A17)</f>
        <v>6</v>
      </c>
      <c r="EC17">
        <f>SUMIFS(DataRegularSeason20242025!$AA$3:$AA$1315,DataRegularSeason20242025!$B$3:$B$1315, "&lt;=" &amp; EC$1, DataRegularSeason20242025!$D$3:$D$1315, $A17)+SUMIFS(DataRegularSeason20242025!$AB$3:$AB$1315,DataRegularSeason20242025!$B$3:$B$1315, "&lt;=" &amp; EC$1, DataRegularSeason20242025!$E$3:$E$1315, $A17)</f>
        <v>6</v>
      </c>
      <c r="ED17">
        <f>SUMIFS(DataRegularSeason20242025!$AA$3:$AA$1315,DataRegularSeason20242025!$B$3:$B$1315, "&lt;=" &amp; ED$1, DataRegularSeason20242025!$D$3:$D$1315, $A17)+SUMIFS(DataRegularSeason20242025!$AB$3:$AB$1315,DataRegularSeason20242025!$B$3:$B$1315, "&lt;=" &amp; ED$1, DataRegularSeason20242025!$E$3:$E$1315, $A17)</f>
        <v>6</v>
      </c>
      <c r="EE17">
        <f>SUMIFS(DataRegularSeason20242025!$AA$3:$AA$1315,DataRegularSeason20242025!$B$3:$B$1315, "&lt;=" &amp; EE$1, DataRegularSeason20242025!$D$3:$D$1315, $A17)+SUMIFS(DataRegularSeason20242025!$AB$3:$AB$1315,DataRegularSeason20242025!$B$3:$B$1315, "&lt;=" &amp; EE$1, DataRegularSeason20242025!$E$3:$E$1315, $A17)</f>
        <v>6</v>
      </c>
      <c r="EF17">
        <f>SUMIFS(DataRegularSeason20242025!$AA$3:$AA$1315,DataRegularSeason20242025!$B$3:$B$1315, "&lt;=" &amp; EF$1, DataRegularSeason20242025!$D$3:$D$1315, $A17)+SUMIFS(DataRegularSeason20242025!$AB$3:$AB$1315,DataRegularSeason20242025!$B$3:$B$1315, "&lt;=" &amp; EF$1, DataRegularSeason20242025!$E$3:$E$1315, $A17)</f>
        <v>6</v>
      </c>
      <c r="EG17">
        <f>SUMIFS(DataRegularSeason20242025!$AA$3:$AA$1315,DataRegularSeason20242025!$B$3:$B$1315, "&lt;=" &amp; EG$1, DataRegularSeason20242025!$D$3:$D$1315, $A17)+SUMIFS(DataRegularSeason20242025!$AB$3:$AB$1315,DataRegularSeason20242025!$B$3:$B$1315, "&lt;=" &amp; EG$1, DataRegularSeason20242025!$E$3:$E$1315, $A17)</f>
        <v>6</v>
      </c>
      <c r="EH17">
        <f>SUMIFS(DataRegularSeason20242025!$AA$3:$AA$1315,DataRegularSeason20242025!$B$3:$B$1315, "&lt;=" &amp; EH$1, DataRegularSeason20242025!$D$3:$D$1315, $A17)+SUMIFS(DataRegularSeason20242025!$AB$3:$AB$1315,DataRegularSeason20242025!$B$3:$B$1315, "&lt;=" &amp; EH$1, DataRegularSeason20242025!$E$3:$E$1315, $A17)</f>
        <v>6</v>
      </c>
      <c r="EI17">
        <f>SUMIFS(DataRegularSeason20242025!$AA$3:$AA$1315,DataRegularSeason20242025!$B$3:$B$1315, "&lt;=" &amp; EI$1, DataRegularSeason20242025!$D$3:$D$1315, $A17)+SUMIFS(DataRegularSeason20242025!$AB$3:$AB$1315,DataRegularSeason20242025!$B$3:$B$1315, "&lt;=" &amp; EI$1, DataRegularSeason20242025!$E$3:$E$1315, $A17)</f>
        <v>6</v>
      </c>
      <c r="EJ17">
        <f>SUMIFS(DataRegularSeason20242025!$AA$3:$AA$1315,DataRegularSeason20242025!$B$3:$B$1315, "&lt;=" &amp; EJ$1, DataRegularSeason20242025!$D$3:$D$1315, $A17)+SUMIFS(DataRegularSeason20242025!$AB$3:$AB$1315,DataRegularSeason20242025!$B$3:$B$1315, "&lt;=" &amp; EJ$1, DataRegularSeason20242025!$E$3:$E$1315, $A17)</f>
        <v>6</v>
      </c>
      <c r="EK17">
        <f>SUMIFS(DataRegularSeason20242025!$AA$3:$AA$1315,DataRegularSeason20242025!$B$3:$B$1315, "&lt;=" &amp; EK$1, DataRegularSeason20242025!$D$3:$D$1315, $A17)+SUMIFS(DataRegularSeason20242025!$AB$3:$AB$1315,DataRegularSeason20242025!$B$3:$B$1315, "&lt;=" &amp; EK$1, DataRegularSeason20242025!$E$3:$E$1315, $A17)</f>
        <v>6</v>
      </c>
      <c r="EL17">
        <f>SUMIFS(DataRegularSeason20242025!$AA$3:$AA$1315,DataRegularSeason20242025!$B$3:$B$1315, "&lt;=" &amp; EL$1, DataRegularSeason20242025!$D$3:$D$1315, $A17)+SUMIFS(DataRegularSeason20242025!$AB$3:$AB$1315,DataRegularSeason20242025!$B$3:$B$1315, "&lt;=" &amp; EL$1, DataRegularSeason20242025!$E$3:$E$1315, $A17)</f>
        <v>6</v>
      </c>
      <c r="EM17">
        <f>SUMIFS(DataRegularSeason20242025!$AA$3:$AA$1315,DataRegularSeason20242025!$B$3:$B$1315, "&lt;=" &amp; EM$1, DataRegularSeason20242025!$D$3:$D$1315, $A17)+SUMIFS(DataRegularSeason20242025!$AB$3:$AB$1315,DataRegularSeason20242025!$B$3:$B$1315, "&lt;=" &amp; EM$1, DataRegularSeason20242025!$E$3:$E$1315, $A17)</f>
        <v>6</v>
      </c>
      <c r="EN17">
        <f>SUMIFS(DataRegularSeason20242025!$AA$3:$AA$1315,DataRegularSeason20242025!$B$3:$B$1315, "&lt;=" &amp; EN$1, DataRegularSeason20242025!$D$3:$D$1315, $A17)+SUMIFS(DataRegularSeason20242025!$AB$3:$AB$1315,DataRegularSeason20242025!$B$3:$B$1315, "&lt;=" &amp; EN$1, DataRegularSeason20242025!$E$3:$E$1315, $A17)</f>
        <v>6</v>
      </c>
      <c r="EO17">
        <f>SUMIFS(DataRegularSeason20242025!$AA$3:$AA$1315,DataRegularSeason20242025!$B$3:$B$1315, "&lt;=" &amp; EO$1, DataRegularSeason20242025!$D$3:$D$1315, $A17)+SUMIFS(DataRegularSeason20242025!$AB$3:$AB$1315,DataRegularSeason20242025!$B$3:$B$1315, "&lt;=" &amp; EO$1, DataRegularSeason20242025!$E$3:$E$1315, $A17)</f>
        <v>6</v>
      </c>
      <c r="EP17">
        <f>SUMIFS(DataRegularSeason20242025!$AA$3:$AA$1315,DataRegularSeason20242025!$B$3:$B$1315, "&lt;=" &amp; EP$1, DataRegularSeason20242025!$D$3:$D$1315, $A17)+SUMIFS(DataRegularSeason20242025!$AB$3:$AB$1315,DataRegularSeason20242025!$B$3:$B$1315, "&lt;=" &amp; EP$1, DataRegularSeason20242025!$E$3:$E$1315, $A17)</f>
        <v>6</v>
      </c>
      <c r="EQ17">
        <f>SUMIFS(DataRegularSeason20242025!$AA$3:$AA$1315,DataRegularSeason20242025!$B$3:$B$1315, "&lt;=" &amp; EQ$1, DataRegularSeason20242025!$D$3:$D$1315, $A17)+SUMIFS(DataRegularSeason20242025!$AB$3:$AB$1315,DataRegularSeason20242025!$B$3:$B$1315, "&lt;=" &amp; EQ$1, DataRegularSeason20242025!$E$3:$E$1315, $A17)</f>
        <v>6</v>
      </c>
      <c r="ER17">
        <f>SUMIFS(DataRegularSeason20242025!$AA$3:$AA$1315,DataRegularSeason20242025!$B$3:$B$1315, "&lt;=" &amp; ER$1, DataRegularSeason20242025!$D$3:$D$1315, $A17)+SUMIFS(DataRegularSeason20242025!$AB$3:$AB$1315,DataRegularSeason20242025!$B$3:$B$1315, "&lt;=" &amp; ER$1, DataRegularSeason20242025!$E$3:$E$1315, $A17)</f>
        <v>6</v>
      </c>
      <c r="ES17">
        <f>SUMIFS(DataRegularSeason20242025!$AA$3:$AA$1315,DataRegularSeason20242025!$B$3:$B$1315, "&lt;=" &amp; ES$1, DataRegularSeason20242025!$D$3:$D$1315, $A17)+SUMIFS(DataRegularSeason20242025!$AB$3:$AB$1315,DataRegularSeason20242025!$B$3:$B$1315, "&lt;=" &amp; ES$1, DataRegularSeason20242025!$E$3:$E$1315, $A17)</f>
        <v>6</v>
      </c>
      <c r="ET17">
        <f>SUMIFS(DataRegularSeason20242025!$AA$3:$AA$1315,DataRegularSeason20242025!$B$3:$B$1315, "&lt;=" &amp; ET$1, DataRegularSeason20242025!$D$3:$D$1315, $A17)+SUMIFS(DataRegularSeason20242025!$AB$3:$AB$1315,DataRegularSeason20242025!$B$3:$B$1315, "&lt;=" &amp; ET$1, DataRegularSeason20242025!$E$3:$E$1315, $A17)</f>
        <v>6</v>
      </c>
      <c r="EU17">
        <f>SUMIFS(DataRegularSeason20242025!$AA$3:$AA$1315,DataRegularSeason20242025!$B$3:$B$1315, "&lt;=" &amp; EU$1, DataRegularSeason20242025!$D$3:$D$1315, $A17)+SUMIFS(DataRegularSeason20242025!$AB$3:$AB$1315,DataRegularSeason20242025!$B$3:$B$1315, "&lt;=" &amp; EU$1, DataRegularSeason20242025!$E$3:$E$1315, $A17)</f>
        <v>6</v>
      </c>
      <c r="EV17">
        <f>SUMIFS(DataRegularSeason20242025!$AA$3:$AA$1315,DataRegularSeason20242025!$B$3:$B$1315, "&lt;=" &amp; EV$1, DataRegularSeason20242025!$D$3:$D$1315, $A17)+SUMIFS(DataRegularSeason20242025!$AB$3:$AB$1315,DataRegularSeason20242025!$B$3:$B$1315, "&lt;=" &amp; EV$1, DataRegularSeason20242025!$E$3:$E$1315, $A17)</f>
        <v>6</v>
      </c>
      <c r="EW17">
        <f>SUMIFS(DataRegularSeason20242025!$AA$3:$AA$1315,DataRegularSeason20242025!$B$3:$B$1315, "&lt;=" &amp; EW$1, DataRegularSeason20242025!$D$3:$D$1315, $A17)+SUMIFS(DataRegularSeason20242025!$AB$3:$AB$1315,DataRegularSeason20242025!$B$3:$B$1315, "&lt;=" &amp; EW$1, DataRegularSeason20242025!$E$3:$E$1315, $A17)</f>
        <v>6</v>
      </c>
      <c r="EX17">
        <f>SUMIFS(DataRegularSeason20242025!$AA$3:$AA$1315,DataRegularSeason20242025!$B$3:$B$1315, "&lt;=" &amp; EX$1, DataRegularSeason20242025!$D$3:$D$1315, $A17)+SUMIFS(DataRegularSeason20242025!$AB$3:$AB$1315,DataRegularSeason20242025!$B$3:$B$1315, "&lt;=" &amp; EX$1, DataRegularSeason20242025!$E$3:$E$1315, $A17)</f>
        <v>6</v>
      </c>
      <c r="EY17">
        <f>SUMIFS(DataRegularSeason20242025!$AA$3:$AA$1315,DataRegularSeason20242025!$B$3:$B$1315, "&lt;=" &amp; EY$1, DataRegularSeason20242025!$D$3:$D$1315, $A17)+SUMIFS(DataRegularSeason20242025!$AB$3:$AB$1315,DataRegularSeason20242025!$B$3:$B$1315, "&lt;=" &amp; EY$1, DataRegularSeason20242025!$E$3:$E$1315, $A17)</f>
        <v>6</v>
      </c>
      <c r="EZ17">
        <f>SUMIFS(DataRegularSeason20242025!$AA$3:$AA$1315,DataRegularSeason20242025!$B$3:$B$1315, "&lt;=" &amp; EZ$1, DataRegularSeason20242025!$D$3:$D$1315, $A17)+SUMIFS(DataRegularSeason20242025!$AB$3:$AB$1315,DataRegularSeason20242025!$B$3:$B$1315, "&lt;=" &amp; EZ$1, DataRegularSeason20242025!$E$3:$E$1315, $A17)</f>
        <v>6</v>
      </c>
      <c r="FA17">
        <f>SUMIFS(DataRegularSeason20242025!$AA$3:$AA$1315,DataRegularSeason20242025!$B$3:$B$1315, "&lt;=" &amp; FA$1, DataRegularSeason20242025!$D$3:$D$1315, $A17)+SUMIFS(DataRegularSeason20242025!$AB$3:$AB$1315,DataRegularSeason20242025!$B$3:$B$1315, "&lt;=" &amp; FA$1, DataRegularSeason20242025!$E$3:$E$1315, $A17)</f>
        <v>6</v>
      </c>
      <c r="FB17">
        <f>SUMIFS(DataRegularSeason20242025!$AA$3:$AA$1315,DataRegularSeason20242025!$B$3:$B$1315, "&lt;=" &amp; FB$1, DataRegularSeason20242025!$D$3:$D$1315, $A17)+SUMIFS(DataRegularSeason20242025!$AB$3:$AB$1315,DataRegularSeason20242025!$B$3:$B$1315, "&lt;=" &amp; FB$1, DataRegularSeason20242025!$E$3:$E$1315, $A17)</f>
        <v>6</v>
      </c>
      <c r="FC17">
        <f>SUMIFS(DataRegularSeason20242025!$AA$3:$AA$1315,DataRegularSeason20242025!$B$3:$B$1315, "&lt;=" &amp; FC$1, DataRegularSeason20242025!$D$3:$D$1315, $A17)+SUMIFS(DataRegularSeason20242025!$AB$3:$AB$1315,DataRegularSeason20242025!$B$3:$B$1315, "&lt;=" &amp; FC$1, DataRegularSeason20242025!$E$3:$E$1315, $A17)</f>
        <v>6</v>
      </c>
      <c r="FD17">
        <f>SUMIFS(DataRegularSeason20242025!$AA$3:$AA$1315,DataRegularSeason20242025!$B$3:$B$1315, "&lt;=" &amp; FD$1, DataRegularSeason20242025!$D$3:$D$1315, $A17)+SUMIFS(DataRegularSeason20242025!$AB$3:$AB$1315,DataRegularSeason20242025!$B$3:$B$1315, "&lt;=" &amp; FD$1, DataRegularSeason20242025!$E$3:$E$1315, $A17)</f>
        <v>6</v>
      </c>
      <c r="FE17">
        <f>SUMIFS(DataRegularSeason20242025!$AA$3:$AA$1315,DataRegularSeason20242025!$B$3:$B$1315, "&lt;=" &amp; FE$1, DataRegularSeason20242025!$D$3:$D$1315, $A17)+SUMIFS(DataRegularSeason20242025!$AB$3:$AB$1315,DataRegularSeason20242025!$B$3:$B$1315, "&lt;=" &amp; FE$1, DataRegularSeason20242025!$E$3:$E$1315, $A17)</f>
        <v>6</v>
      </c>
      <c r="FF17">
        <f>SUMIFS(DataRegularSeason20242025!$AA$3:$AA$1315,DataRegularSeason20242025!$B$3:$B$1315, "&lt;=" &amp; FF$1, DataRegularSeason20242025!$D$3:$D$1315, $A17)+SUMIFS(DataRegularSeason20242025!$AB$3:$AB$1315,DataRegularSeason20242025!$B$3:$B$1315, "&lt;=" &amp; FF$1, DataRegularSeason20242025!$E$3:$E$1315, $A17)</f>
        <v>6</v>
      </c>
      <c r="FG17">
        <f>SUMIFS(DataRegularSeason20242025!$AA$3:$AA$1315,DataRegularSeason20242025!$B$3:$B$1315, "&lt;=" &amp; FG$1, DataRegularSeason20242025!$D$3:$D$1315, $A17)+SUMIFS(DataRegularSeason20242025!$AB$3:$AB$1315,DataRegularSeason20242025!$B$3:$B$1315, "&lt;=" &amp; FG$1, DataRegularSeason20242025!$E$3:$E$1315, $A17)</f>
        <v>6</v>
      </c>
      <c r="FH17">
        <f>SUMIFS(DataRegularSeason20242025!$AA$3:$AA$1315,DataRegularSeason20242025!$B$3:$B$1315, "&lt;=" &amp; FH$1, DataRegularSeason20242025!$D$3:$D$1315, $A17)+SUMIFS(DataRegularSeason20242025!$AB$3:$AB$1315,DataRegularSeason20242025!$B$3:$B$1315, "&lt;=" &amp; FH$1, DataRegularSeason20242025!$E$3:$E$1315, $A17)</f>
        <v>6</v>
      </c>
      <c r="FI17">
        <f>SUMIFS(DataRegularSeason20242025!$AA$3:$AA$1315,DataRegularSeason20242025!$B$3:$B$1315, "&lt;=" &amp; FI$1, DataRegularSeason20242025!$D$3:$D$1315, $A17)+SUMIFS(DataRegularSeason20242025!$AB$3:$AB$1315,DataRegularSeason20242025!$B$3:$B$1315, "&lt;=" &amp; FI$1, DataRegularSeason20242025!$E$3:$E$1315, $A17)</f>
        <v>6</v>
      </c>
      <c r="FJ17">
        <f>SUMIFS(DataRegularSeason20242025!$AA$3:$AA$1315,DataRegularSeason20242025!$B$3:$B$1315, "&lt;=" &amp; FJ$1, DataRegularSeason20242025!$D$3:$D$1315, $A17)+SUMIFS(DataRegularSeason20242025!$AB$3:$AB$1315,DataRegularSeason20242025!$B$3:$B$1315, "&lt;=" &amp; FJ$1, DataRegularSeason20242025!$E$3:$E$1315, $A17)</f>
        <v>6</v>
      </c>
      <c r="FK17">
        <f>SUMIFS(DataRegularSeason20242025!$AA$3:$AA$1315,DataRegularSeason20242025!$B$3:$B$1315, "&lt;=" &amp; FK$1, DataRegularSeason20242025!$D$3:$D$1315, $A17)+SUMIFS(DataRegularSeason20242025!$AB$3:$AB$1315,DataRegularSeason20242025!$B$3:$B$1315, "&lt;=" &amp; FK$1, DataRegularSeason20242025!$E$3:$E$1315, $A17)</f>
        <v>6</v>
      </c>
      <c r="FL17">
        <f>SUMIFS(DataRegularSeason20242025!$AA$3:$AA$1315,DataRegularSeason20242025!$B$3:$B$1315, "&lt;=" &amp; FL$1, DataRegularSeason20242025!$D$3:$D$1315, $A17)+SUMIFS(DataRegularSeason20242025!$AB$3:$AB$1315,DataRegularSeason20242025!$B$3:$B$1315, "&lt;=" &amp; FL$1, DataRegularSeason20242025!$E$3:$E$1315, $A17)</f>
        <v>6</v>
      </c>
      <c r="FM17">
        <f>SUMIFS(DataRegularSeason20242025!$AA$3:$AA$1315,DataRegularSeason20242025!$B$3:$B$1315, "&lt;=" &amp; FM$1, DataRegularSeason20242025!$D$3:$D$1315, $A17)+SUMIFS(DataRegularSeason20242025!$AB$3:$AB$1315,DataRegularSeason20242025!$B$3:$B$1315, "&lt;=" &amp; FM$1, DataRegularSeason20242025!$E$3:$E$1315, $A17)</f>
        <v>6</v>
      </c>
      <c r="FN17">
        <f>SUMIFS(DataRegularSeason20242025!$AA$3:$AA$1315,DataRegularSeason20242025!$B$3:$B$1315, "&lt;=" &amp; FN$1, DataRegularSeason20242025!$D$3:$D$1315, $A17)+SUMIFS(DataRegularSeason20242025!$AB$3:$AB$1315,DataRegularSeason20242025!$B$3:$B$1315, "&lt;=" &amp; FN$1, DataRegularSeason20242025!$E$3:$E$1315, $A17)</f>
        <v>6</v>
      </c>
      <c r="FO17">
        <f>SUMIFS(DataRegularSeason20242025!$AA$3:$AA$1315,DataRegularSeason20242025!$B$3:$B$1315, "&lt;=" &amp; FO$1, DataRegularSeason20242025!$D$3:$D$1315, $A17)+SUMIFS(DataRegularSeason20242025!$AB$3:$AB$1315,DataRegularSeason20242025!$B$3:$B$1315, "&lt;=" &amp; FO$1, DataRegularSeason20242025!$E$3:$E$1315, $A17)</f>
        <v>6</v>
      </c>
      <c r="FP17">
        <f>SUMIFS(DataRegularSeason20242025!$AA$3:$AA$1315,DataRegularSeason20242025!$B$3:$B$1315, "&lt;=" &amp; FP$1, DataRegularSeason20242025!$D$3:$D$1315, $A17)+SUMIFS(DataRegularSeason20242025!$AB$3:$AB$1315,DataRegularSeason20242025!$B$3:$B$1315, "&lt;=" &amp; FP$1, DataRegularSeason20242025!$E$3:$E$1315, $A17)</f>
        <v>6</v>
      </c>
      <c r="FQ17">
        <f>SUMIFS(DataRegularSeason20242025!$AA$3:$AA$1315,DataRegularSeason20242025!$B$3:$B$1315, "&lt;=" &amp; FQ$1, DataRegularSeason20242025!$D$3:$D$1315, $A17)+SUMIFS(DataRegularSeason20242025!$AB$3:$AB$1315,DataRegularSeason20242025!$B$3:$B$1315, "&lt;=" &amp; FQ$1, DataRegularSeason20242025!$E$3:$E$1315, $A17)</f>
        <v>6</v>
      </c>
      <c r="FR17">
        <f>SUMIFS(DataRegularSeason20242025!$AA$3:$AA$1315,DataRegularSeason20242025!$B$3:$B$1315, "&lt;=" &amp; FR$1, DataRegularSeason20242025!$D$3:$D$1315, $A17)+SUMIFS(DataRegularSeason20242025!$AB$3:$AB$1315,DataRegularSeason20242025!$B$3:$B$1315, "&lt;=" &amp; FR$1, DataRegularSeason20242025!$E$3:$E$1315, $A17)</f>
        <v>6</v>
      </c>
      <c r="FS17">
        <f>SUMIFS(DataRegularSeason20242025!$AA$3:$AA$1315,DataRegularSeason20242025!$B$3:$B$1315, "&lt;=" &amp; FS$1, DataRegularSeason20242025!$D$3:$D$1315, $A17)+SUMIFS(DataRegularSeason20242025!$AB$3:$AB$1315,DataRegularSeason20242025!$B$3:$B$1315, "&lt;=" &amp; FS$1, DataRegularSeason20242025!$E$3:$E$1315, $A17)</f>
        <v>6</v>
      </c>
      <c r="FT17">
        <f>SUMIFS(DataRegularSeason20242025!$AA$3:$AA$1315,DataRegularSeason20242025!$B$3:$B$1315, "&lt;=" &amp; FT$1, DataRegularSeason20242025!$D$3:$D$1315, $A17)+SUMIFS(DataRegularSeason20242025!$AB$3:$AB$1315,DataRegularSeason20242025!$B$3:$B$1315, "&lt;=" &amp; FT$1, DataRegularSeason20242025!$E$3:$E$1315, $A17)</f>
        <v>6</v>
      </c>
      <c r="FU17">
        <f>SUMIFS(DataRegularSeason20242025!$AA$3:$AA$1315,DataRegularSeason20242025!$B$3:$B$1315, "&lt;=" &amp; FU$1, DataRegularSeason20242025!$D$3:$D$1315, $A17)+SUMIFS(DataRegularSeason20242025!$AB$3:$AB$1315,DataRegularSeason20242025!$B$3:$B$1315, "&lt;=" &amp; FU$1, DataRegularSeason20242025!$E$3:$E$1315, $A17)</f>
        <v>6</v>
      </c>
      <c r="FV17">
        <f>SUMIFS(DataRegularSeason20242025!$AA$3:$AA$1315,DataRegularSeason20242025!$B$3:$B$1315, "&lt;=" &amp; FV$1, DataRegularSeason20242025!$D$3:$D$1315, $A17)+SUMIFS(DataRegularSeason20242025!$AB$3:$AB$1315,DataRegularSeason20242025!$B$3:$B$1315, "&lt;=" &amp; FV$1, DataRegularSeason20242025!$E$3:$E$1315, $A17)</f>
        <v>6</v>
      </c>
      <c r="FW17">
        <f>SUMIFS(DataRegularSeason20242025!$AA$3:$AA$1315,DataRegularSeason20242025!$B$3:$B$1315, "&lt;=" &amp; FW$1, DataRegularSeason20242025!$D$3:$D$1315, $A17)+SUMIFS(DataRegularSeason20242025!$AB$3:$AB$1315,DataRegularSeason20242025!$B$3:$B$1315, "&lt;=" &amp; FW$1, DataRegularSeason20242025!$E$3:$E$1315, $A17)</f>
        <v>6</v>
      </c>
      <c r="FX17">
        <f>SUMIFS(DataRegularSeason20242025!$AA$3:$AA$1315,DataRegularSeason20242025!$B$3:$B$1315, "&lt;=" &amp; FX$1, DataRegularSeason20242025!$D$3:$D$1315, $A17)+SUMIFS(DataRegularSeason20242025!$AB$3:$AB$1315,DataRegularSeason20242025!$B$3:$B$1315, "&lt;=" &amp; FX$1, DataRegularSeason20242025!$E$3:$E$1315, $A17)</f>
        <v>6</v>
      </c>
      <c r="FY17">
        <f>SUMIFS(DataRegularSeason20242025!$AA$3:$AA$1315,DataRegularSeason20242025!$B$3:$B$1315, "&lt;=" &amp; FY$1, DataRegularSeason20242025!$D$3:$D$1315, $A17)+SUMIFS(DataRegularSeason20242025!$AB$3:$AB$1315,DataRegularSeason20242025!$B$3:$B$1315, "&lt;=" &amp; FY$1, DataRegularSeason20242025!$E$3:$E$1315, $A17)</f>
        <v>6</v>
      </c>
      <c r="FZ17">
        <f>SUMIFS(DataRegularSeason20242025!$AA$3:$AA$1315,DataRegularSeason20242025!$B$3:$B$1315, "&lt;=" &amp; FZ$1, DataRegularSeason20242025!$D$3:$D$1315, $A17)+SUMIFS(DataRegularSeason20242025!$AB$3:$AB$1315,DataRegularSeason20242025!$B$3:$B$1315, "&lt;=" &amp; FZ$1, DataRegularSeason20242025!$E$3:$E$1315, $A17)</f>
        <v>6</v>
      </c>
      <c r="GA17">
        <f>SUMIFS(DataRegularSeason20242025!$AA$3:$AA$1315,DataRegularSeason20242025!$B$3:$B$1315, "&lt;=" &amp; GA$1, DataRegularSeason20242025!$D$3:$D$1315, $A17)+SUMIFS(DataRegularSeason20242025!$AB$3:$AB$1315,DataRegularSeason20242025!$B$3:$B$1315, "&lt;=" &amp; GA$1, DataRegularSeason20242025!$E$3:$E$1315, $A17)</f>
        <v>6</v>
      </c>
      <c r="GB17">
        <f>SUMIFS(DataRegularSeason20242025!$AA$3:$AA$1315,DataRegularSeason20242025!$B$3:$B$1315, "&lt;=" &amp; GB$1, DataRegularSeason20242025!$D$3:$D$1315, $A17)+SUMIFS(DataRegularSeason20242025!$AB$3:$AB$1315,DataRegularSeason20242025!$B$3:$B$1315, "&lt;=" &amp; GB$1, DataRegularSeason20242025!$E$3:$E$1315, $A17)</f>
        <v>6</v>
      </c>
      <c r="GC17">
        <f>SUMIFS(DataRegularSeason20242025!$AA$3:$AA$1315,DataRegularSeason20242025!$B$3:$B$1315, "&lt;=" &amp; GC$1, DataRegularSeason20242025!$D$3:$D$1315, $A17)+SUMIFS(DataRegularSeason20242025!$AB$3:$AB$1315,DataRegularSeason20242025!$B$3:$B$1315, "&lt;=" &amp; GC$1, DataRegularSeason20242025!$E$3:$E$1315, $A17)</f>
        <v>6</v>
      </c>
      <c r="GD17">
        <f>SUMIFS(DataRegularSeason20242025!$AA$3:$AA$1315,DataRegularSeason20242025!$B$3:$B$1315, "&lt;=" &amp; GD$1, DataRegularSeason20242025!$D$3:$D$1315, $A17)+SUMIFS(DataRegularSeason20242025!$AB$3:$AB$1315,DataRegularSeason20242025!$B$3:$B$1315, "&lt;=" &amp; GD$1, DataRegularSeason20242025!$E$3:$E$1315, $A17)</f>
        <v>6</v>
      </c>
      <c r="GE17">
        <f>SUMIFS(DataRegularSeason20242025!$AA$3:$AA$1315,DataRegularSeason20242025!$B$3:$B$1315, "&lt;=" &amp; GE$1, DataRegularSeason20242025!$D$3:$D$1315, $A17)+SUMIFS(DataRegularSeason20242025!$AB$3:$AB$1315,DataRegularSeason20242025!$B$3:$B$1315, "&lt;=" &amp; GE$1, DataRegularSeason20242025!$E$3:$E$1315, $A17)</f>
        <v>6</v>
      </c>
      <c r="GF17">
        <f>SUMIFS(DataRegularSeason20242025!$AA$3:$AA$1315,DataRegularSeason20242025!$B$3:$B$1315, "&lt;=" &amp; GF$1, DataRegularSeason20242025!$D$3:$D$1315, $A17)+SUMIFS(DataRegularSeason20242025!$AB$3:$AB$1315,DataRegularSeason20242025!$B$3:$B$1315, "&lt;=" &amp; GF$1, DataRegularSeason20242025!$E$3:$E$1315, $A17)</f>
        <v>6</v>
      </c>
      <c r="GG17">
        <f>SUMIFS(DataRegularSeason20242025!$AA$3:$AA$1315,DataRegularSeason20242025!$B$3:$B$1315, "&lt;=" &amp; GG$1, DataRegularSeason20242025!$D$3:$D$1315, $A17)+SUMIFS(DataRegularSeason20242025!$AB$3:$AB$1315,DataRegularSeason20242025!$B$3:$B$1315, "&lt;=" &amp; GG$1, DataRegularSeason20242025!$E$3:$E$1315, $A17)</f>
        <v>6</v>
      </c>
      <c r="GH17">
        <f>SUMIFS(DataRegularSeason20242025!$AA$3:$AA$1315,DataRegularSeason20242025!$B$3:$B$1315, "&lt;=" &amp; GH$1, DataRegularSeason20242025!$D$3:$D$1315, $A17)+SUMIFS(DataRegularSeason20242025!$AB$3:$AB$1315,DataRegularSeason20242025!$B$3:$B$1315, "&lt;=" &amp; GH$1, DataRegularSeason20242025!$E$3:$E$1315, $A17)</f>
        <v>6</v>
      </c>
      <c r="GI17">
        <f>SUMIFS(DataRegularSeason20242025!$AA$3:$AA$1315,DataRegularSeason20242025!$B$3:$B$1315, "&lt;=" &amp; GI$1, DataRegularSeason20242025!$D$3:$D$1315, $A17)+SUMIFS(DataRegularSeason20242025!$AB$3:$AB$1315,DataRegularSeason20242025!$B$3:$B$1315, "&lt;=" &amp; GI$1, DataRegularSeason20242025!$E$3:$E$1315, $A17)</f>
        <v>6</v>
      </c>
      <c r="GJ17">
        <f>SUMIFS(DataRegularSeason20242025!$AA$3:$AA$1315,DataRegularSeason20242025!$B$3:$B$1315, "&lt;=" &amp; GJ$1, DataRegularSeason20242025!$D$3:$D$1315, $A17)+SUMIFS(DataRegularSeason20242025!$AB$3:$AB$1315,DataRegularSeason20242025!$B$3:$B$1315, "&lt;=" &amp; GJ$1, DataRegularSeason20242025!$E$3:$E$1315, $A17)</f>
        <v>6</v>
      </c>
      <c r="GK17">
        <f>SUMIFS(DataRegularSeason20242025!$AA$3:$AA$1315,DataRegularSeason20242025!$B$3:$B$1315, "&lt;=" &amp; GK$1, DataRegularSeason20242025!$D$3:$D$1315, $A17)+SUMIFS(DataRegularSeason20242025!$AB$3:$AB$1315,DataRegularSeason20242025!$B$3:$B$1315, "&lt;=" &amp; GK$1, DataRegularSeason20242025!$E$3:$E$1315, $A17)</f>
        <v>6</v>
      </c>
      <c r="GL17">
        <f>SUMIFS(DataRegularSeason20242025!$AA$3:$AA$1315,DataRegularSeason20242025!$B$3:$B$1315, "&lt;=" &amp; GL$1, DataRegularSeason20242025!$D$3:$D$1315, $A17)+SUMIFS(DataRegularSeason20242025!$AB$3:$AB$1315,DataRegularSeason20242025!$B$3:$B$1315, "&lt;=" &amp; GL$1, DataRegularSeason20242025!$E$3:$E$1315, $A17)</f>
        <v>6</v>
      </c>
      <c r="GM17">
        <f>SUMIFS(DataRegularSeason20242025!$AA$3:$AA$1315,DataRegularSeason20242025!$B$3:$B$1315, "&lt;=" &amp; GM$1, DataRegularSeason20242025!$D$3:$D$1315, $A17)+SUMIFS(DataRegularSeason20242025!$AB$3:$AB$1315,DataRegularSeason20242025!$B$3:$B$1315, "&lt;=" &amp; GM$1, DataRegularSeason20242025!$E$3:$E$1315, $A17)</f>
        <v>6</v>
      </c>
      <c r="GN17">
        <f>SUMIFS(DataRegularSeason20242025!$AA$3:$AA$1315,DataRegularSeason20242025!$B$3:$B$1315, "&lt;=" &amp; GN$1, DataRegularSeason20242025!$D$3:$D$1315, $A17)+SUMIFS(DataRegularSeason20242025!$AB$3:$AB$1315,DataRegularSeason20242025!$B$3:$B$1315, "&lt;=" &amp; GN$1, DataRegularSeason20242025!$E$3:$E$1315, $A17)</f>
        <v>6</v>
      </c>
      <c r="GO17">
        <f>SUMIFS(DataRegularSeason20242025!$AA$3:$AA$1315,DataRegularSeason20242025!$B$3:$B$1315, "&lt;=" &amp; GO$1, DataRegularSeason20242025!$D$3:$D$1315, $A17)+SUMIFS(DataRegularSeason20242025!$AB$3:$AB$1315,DataRegularSeason20242025!$B$3:$B$1315, "&lt;=" &amp; GO$1, DataRegularSeason20242025!$E$3:$E$1315, $A17)</f>
        <v>6</v>
      </c>
      <c r="GP17">
        <f>SUMIFS(DataRegularSeason20242025!$AA$3:$AA$1315,DataRegularSeason20242025!$B$3:$B$1315, "&lt;=" &amp; GP$1, DataRegularSeason20242025!$D$3:$D$1315, $A17)+SUMIFS(DataRegularSeason20242025!$AB$3:$AB$1315,DataRegularSeason20242025!$B$3:$B$1315, "&lt;=" &amp; GP$1, DataRegularSeason20242025!$E$3:$E$1315, $A17)</f>
        <v>6</v>
      </c>
      <c r="GQ17">
        <f>SUMIFS(DataRegularSeason20242025!$AA$3:$AA$1315,DataRegularSeason20242025!$B$3:$B$1315, "&lt;=" &amp; GQ$1, DataRegularSeason20242025!$D$3:$D$1315, $A17)+SUMIFS(DataRegularSeason20242025!$AB$3:$AB$1315,DataRegularSeason20242025!$B$3:$B$1315, "&lt;=" &amp; GQ$1, DataRegularSeason20242025!$E$3:$E$1315, $A17)</f>
        <v>6</v>
      </c>
      <c r="GR17">
        <f>SUMIFS(DataRegularSeason20242025!$AA$3:$AA$1315,DataRegularSeason20242025!$B$3:$B$1315, "&lt;=" &amp; GR$1, DataRegularSeason20242025!$D$3:$D$1315, $A17)+SUMIFS(DataRegularSeason20242025!$AB$3:$AB$1315,DataRegularSeason20242025!$B$3:$B$1315, "&lt;=" &amp; GR$1, DataRegularSeason20242025!$E$3:$E$1315, $A17)</f>
        <v>6</v>
      </c>
      <c r="GS17">
        <f>SUMIFS(DataRegularSeason20242025!$AA$3:$AA$1315,DataRegularSeason20242025!$B$3:$B$1315, "&lt;=" &amp; GS$1, DataRegularSeason20242025!$D$3:$D$1315, $A17)+SUMIFS(DataRegularSeason20242025!$AB$3:$AB$1315,DataRegularSeason20242025!$B$3:$B$1315, "&lt;=" &amp; GS$1, DataRegularSeason20242025!$E$3:$E$1315, $A17)</f>
        <v>6</v>
      </c>
      <c r="GT17">
        <f>SUMIFS(DataRegularSeason20242025!$AA$3:$AA$1315,DataRegularSeason20242025!$B$3:$B$1315, "&lt;=" &amp; GT$1, DataRegularSeason20242025!$D$3:$D$1315, $A17)+SUMIFS(DataRegularSeason20242025!$AB$3:$AB$1315,DataRegularSeason20242025!$B$3:$B$1315, "&lt;=" &amp; GT$1, DataRegularSeason20242025!$E$3:$E$1315, $A17)</f>
        <v>6</v>
      </c>
      <c r="GU17">
        <f>SUMIFS(DataRegularSeason20242025!$AA$3:$AA$1315,DataRegularSeason20242025!$B$3:$B$1315, "&lt;=" &amp; GU$1, DataRegularSeason20242025!$D$3:$D$1315, $A17)+SUMIFS(DataRegularSeason20242025!$AB$3:$AB$1315,DataRegularSeason20242025!$B$3:$B$1315, "&lt;=" &amp; GU$1, DataRegularSeason20242025!$E$3:$E$1315, $A17)</f>
        <v>6</v>
      </c>
    </row>
    <row r="18" spans="1:203" x14ac:dyDescent="0.25">
      <c r="A18" t="s">
        <v>25</v>
      </c>
      <c r="B18" t="s">
        <v>90</v>
      </c>
      <c r="C18" s="107" t="s">
        <v>88</v>
      </c>
      <c r="D18">
        <f>SUMIFS(DataRegularSeason20242025!$AA$3:$AA$1315,DataRegularSeason20242025!$B$3:$B$1315, "&lt;=" &amp; D$1, DataRegularSeason20242025!$D$3:$D$1315, $A18)+SUMIFS(DataRegularSeason20242025!$AB$3:$AB$1315,DataRegularSeason20242025!$B$3:$B$1315, "&lt;=" &amp; D$1, DataRegularSeason20242025!$E$3:$E$1315, $A18)</f>
        <v>0</v>
      </c>
      <c r="E18">
        <f>SUMIFS(DataRegularSeason20242025!$AA$3:$AA$1315,DataRegularSeason20242025!$B$3:$B$1315, "&lt;=" &amp; E$1, DataRegularSeason20242025!$D$3:$D$1315, $A18)+SUMIFS(DataRegularSeason20242025!$AB$3:$AB$1315,DataRegularSeason20242025!$B$3:$B$1315, "&lt;=" &amp; E$1, DataRegularSeason20242025!$E$3:$E$1315, $A18)</f>
        <v>0</v>
      </c>
      <c r="F18">
        <f>SUMIFS(DataRegularSeason20242025!$AA$3:$AA$1315,DataRegularSeason20242025!$B$3:$B$1315, "&lt;=" &amp; F$1, DataRegularSeason20242025!$D$3:$D$1315, $A18)+SUMIFS(DataRegularSeason20242025!$AB$3:$AB$1315,DataRegularSeason20242025!$B$3:$B$1315, "&lt;=" &amp; F$1, DataRegularSeason20242025!$E$3:$E$1315, $A18)</f>
        <v>0</v>
      </c>
      <c r="G18">
        <f>SUMIFS(DataRegularSeason20242025!$AA$3:$AA$1315,DataRegularSeason20242025!$B$3:$B$1315, "&lt;=" &amp; G$1, DataRegularSeason20242025!$D$3:$D$1315, $A18)+SUMIFS(DataRegularSeason20242025!$AB$3:$AB$1315,DataRegularSeason20242025!$B$3:$B$1315, "&lt;=" &amp; G$1, DataRegularSeason20242025!$E$3:$E$1315, $A18)</f>
        <v>0</v>
      </c>
      <c r="H18">
        <f>SUMIFS(DataRegularSeason20242025!$AA$3:$AA$1315,DataRegularSeason20242025!$B$3:$B$1315, "&lt;=" &amp; H$1, DataRegularSeason20242025!$D$3:$D$1315, $A18)+SUMIFS(DataRegularSeason20242025!$AB$3:$AB$1315,DataRegularSeason20242025!$B$3:$B$1315, "&lt;=" &amp; H$1, DataRegularSeason20242025!$E$3:$E$1315, $A18)</f>
        <v>2</v>
      </c>
      <c r="I18">
        <f>SUMIFS(DataRegularSeason20242025!$AA$3:$AA$1315,DataRegularSeason20242025!$B$3:$B$1315, "&lt;=" &amp; I$1, DataRegularSeason20242025!$D$3:$D$1315, $A18)+SUMIFS(DataRegularSeason20242025!$AB$3:$AB$1315,DataRegularSeason20242025!$B$3:$B$1315, "&lt;=" &amp; I$1, DataRegularSeason20242025!$E$3:$E$1315, $A18)</f>
        <v>2</v>
      </c>
      <c r="J18">
        <f>SUMIFS(DataRegularSeason20242025!$AA$3:$AA$1315,DataRegularSeason20242025!$B$3:$B$1315, "&lt;=" &amp; J$1, DataRegularSeason20242025!$D$3:$D$1315, $A18)+SUMIFS(DataRegularSeason20242025!$AB$3:$AB$1315,DataRegularSeason20242025!$B$3:$B$1315, "&lt;=" &amp; J$1, DataRegularSeason20242025!$E$3:$E$1315, $A18)</f>
        <v>4</v>
      </c>
      <c r="K18">
        <f>SUMIFS(DataRegularSeason20242025!$AA$3:$AA$1315,DataRegularSeason20242025!$B$3:$B$1315, "&lt;=" &amp; K$1, DataRegularSeason20242025!$D$3:$D$1315, $A18)+SUMIFS(DataRegularSeason20242025!$AB$3:$AB$1315,DataRegularSeason20242025!$B$3:$B$1315, "&lt;=" &amp; K$1, DataRegularSeason20242025!$E$3:$E$1315, $A18)</f>
        <v>4</v>
      </c>
      <c r="L18">
        <f>SUMIFS(DataRegularSeason20242025!$AA$3:$AA$1315,DataRegularSeason20242025!$B$3:$B$1315, "&lt;=" &amp; L$1, DataRegularSeason20242025!$D$3:$D$1315, $A18)+SUMIFS(DataRegularSeason20242025!$AB$3:$AB$1315,DataRegularSeason20242025!$B$3:$B$1315, "&lt;=" &amp; L$1, DataRegularSeason20242025!$E$3:$E$1315, $A18)</f>
        <v>5</v>
      </c>
      <c r="M18">
        <f>SUMIFS(DataRegularSeason20242025!$AA$3:$AA$1315,DataRegularSeason20242025!$B$3:$B$1315, "&lt;=" &amp; M$1, DataRegularSeason20242025!$D$3:$D$1315, $A18)+SUMIFS(DataRegularSeason20242025!$AB$3:$AB$1315,DataRegularSeason20242025!$B$3:$B$1315, "&lt;=" &amp; M$1, DataRegularSeason20242025!$E$3:$E$1315, $A18)</f>
        <v>5</v>
      </c>
      <c r="N18">
        <f>SUMIFS(DataRegularSeason20242025!$AA$3:$AA$1315,DataRegularSeason20242025!$B$3:$B$1315, "&lt;=" &amp; N$1, DataRegularSeason20242025!$D$3:$D$1315, $A18)+SUMIFS(DataRegularSeason20242025!$AB$3:$AB$1315,DataRegularSeason20242025!$B$3:$B$1315, "&lt;=" &amp; N$1, DataRegularSeason20242025!$E$3:$E$1315, $A18)</f>
        <v>7</v>
      </c>
      <c r="O18">
        <f>SUMIFS(DataRegularSeason20242025!$AA$3:$AA$1315,DataRegularSeason20242025!$B$3:$B$1315, "&lt;=" &amp; O$1, DataRegularSeason20242025!$D$3:$D$1315, $A18)+SUMIFS(DataRegularSeason20242025!$AB$3:$AB$1315,DataRegularSeason20242025!$B$3:$B$1315, "&lt;=" &amp; O$1, DataRegularSeason20242025!$E$3:$E$1315, $A18)</f>
        <v>7</v>
      </c>
      <c r="P18">
        <f>SUMIFS(DataRegularSeason20242025!$AA$3:$AA$1315,DataRegularSeason20242025!$B$3:$B$1315, "&lt;=" &amp; P$1, DataRegularSeason20242025!$D$3:$D$1315, $A18)+SUMIFS(DataRegularSeason20242025!$AB$3:$AB$1315,DataRegularSeason20242025!$B$3:$B$1315, "&lt;=" &amp; P$1, DataRegularSeason20242025!$E$3:$E$1315, $A18)</f>
        <v>7</v>
      </c>
      <c r="Q18">
        <f>SUMIFS(DataRegularSeason20242025!$AA$3:$AA$1315,DataRegularSeason20242025!$B$3:$B$1315, "&lt;=" &amp; Q$1, DataRegularSeason20242025!$D$3:$D$1315, $A18)+SUMIFS(DataRegularSeason20242025!$AB$3:$AB$1315,DataRegularSeason20242025!$B$3:$B$1315, "&lt;=" &amp; Q$1, DataRegularSeason20242025!$E$3:$E$1315, $A18)</f>
        <v>9</v>
      </c>
      <c r="R18">
        <f>SUMIFS(DataRegularSeason20242025!$AA$3:$AA$1315,DataRegularSeason20242025!$B$3:$B$1315, "&lt;=" &amp; R$1, DataRegularSeason20242025!$D$3:$D$1315, $A18)+SUMIFS(DataRegularSeason20242025!$AB$3:$AB$1315,DataRegularSeason20242025!$B$3:$B$1315, "&lt;=" &amp; R$1, DataRegularSeason20242025!$E$3:$E$1315, $A18)</f>
        <v>9</v>
      </c>
      <c r="S18">
        <f>SUMIFS(DataRegularSeason20242025!$AA$3:$AA$1315,DataRegularSeason20242025!$B$3:$B$1315, "&lt;=" &amp; S$1, DataRegularSeason20242025!$D$3:$D$1315, $A18)+SUMIFS(DataRegularSeason20242025!$AB$3:$AB$1315,DataRegularSeason20242025!$B$3:$B$1315, "&lt;=" &amp; S$1, DataRegularSeason20242025!$E$3:$E$1315, $A18)</f>
        <v>11</v>
      </c>
      <c r="T18">
        <f>SUMIFS(DataRegularSeason20242025!$AA$3:$AA$1315,DataRegularSeason20242025!$B$3:$B$1315, "&lt;=" &amp; T$1, DataRegularSeason20242025!$D$3:$D$1315, $A18)+SUMIFS(DataRegularSeason20242025!$AB$3:$AB$1315,DataRegularSeason20242025!$B$3:$B$1315, "&lt;=" &amp; T$1, DataRegularSeason20242025!$E$3:$E$1315, $A18)</f>
        <v>11</v>
      </c>
      <c r="U18">
        <f>SUMIFS(DataRegularSeason20242025!$AA$3:$AA$1315,DataRegularSeason20242025!$B$3:$B$1315, "&lt;=" &amp; U$1, DataRegularSeason20242025!$D$3:$D$1315, $A18)+SUMIFS(DataRegularSeason20242025!$AB$3:$AB$1315,DataRegularSeason20242025!$B$3:$B$1315, "&lt;=" &amp; U$1, DataRegularSeason20242025!$E$3:$E$1315, $A18)</f>
        <v>11</v>
      </c>
      <c r="V18">
        <f>SUMIFS(DataRegularSeason20242025!$AA$3:$AA$1315,DataRegularSeason20242025!$B$3:$B$1315, "&lt;=" &amp; V$1, DataRegularSeason20242025!$D$3:$D$1315, $A18)+SUMIFS(DataRegularSeason20242025!$AB$3:$AB$1315,DataRegularSeason20242025!$B$3:$B$1315, "&lt;=" &amp; V$1, DataRegularSeason20242025!$E$3:$E$1315, $A18)</f>
        <v>12</v>
      </c>
      <c r="W18">
        <f>SUMIFS(DataRegularSeason20242025!$AA$3:$AA$1315,DataRegularSeason20242025!$B$3:$B$1315, "&lt;=" &amp; W$1, DataRegularSeason20242025!$D$3:$D$1315, $A18)+SUMIFS(DataRegularSeason20242025!$AB$3:$AB$1315,DataRegularSeason20242025!$B$3:$B$1315, "&lt;=" &amp; W$1, DataRegularSeason20242025!$E$3:$E$1315, $A18)</f>
        <v>12</v>
      </c>
      <c r="X18">
        <f>SUMIFS(DataRegularSeason20242025!$AA$3:$AA$1315,DataRegularSeason20242025!$B$3:$B$1315, "&lt;=" &amp; X$1, DataRegularSeason20242025!$D$3:$D$1315, $A18)+SUMIFS(DataRegularSeason20242025!$AB$3:$AB$1315,DataRegularSeason20242025!$B$3:$B$1315, "&lt;=" &amp; X$1, DataRegularSeason20242025!$E$3:$E$1315, $A18)</f>
        <v>12</v>
      </c>
      <c r="Y18">
        <f>SUMIFS(DataRegularSeason20242025!$AA$3:$AA$1315,DataRegularSeason20242025!$B$3:$B$1315, "&lt;=" &amp; Y$1, DataRegularSeason20242025!$D$3:$D$1315, $A18)+SUMIFS(DataRegularSeason20242025!$AB$3:$AB$1315,DataRegularSeason20242025!$B$3:$B$1315, "&lt;=" &amp; Y$1, DataRegularSeason20242025!$E$3:$E$1315, $A18)</f>
        <v>12</v>
      </c>
      <c r="Z18">
        <f>SUMIFS(DataRegularSeason20242025!$AA$3:$AA$1315,DataRegularSeason20242025!$B$3:$B$1315, "&lt;=" &amp; Z$1, DataRegularSeason20242025!$D$3:$D$1315, $A18)+SUMIFS(DataRegularSeason20242025!$AB$3:$AB$1315,DataRegularSeason20242025!$B$3:$B$1315, "&lt;=" &amp; Z$1, DataRegularSeason20242025!$E$3:$E$1315, $A18)</f>
        <v>12</v>
      </c>
      <c r="AA18">
        <f>SUMIFS(DataRegularSeason20242025!$AA$3:$AA$1315,DataRegularSeason20242025!$B$3:$B$1315, "&lt;=" &amp; AA$1, DataRegularSeason20242025!$D$3:$D$1315, $A18)+SUMIFS(DataRegularSeason20242025!$AB$3:$AB$1315,DataRegularSeason20242025!$B$3:$B$1315, "&lt;=" &amp; AA$1, DataRegularSeason20242025!$E$3:$E$1315, $A18)</f>
        <v>12</v>
      </c>
      <c r="AB18">
        <f>SUMIFS(DataRegularSeason20242025!$AA$3:$AA$1315,DataRegularSeason20242025!$B$3:$B$1315, "&lt;=" &amp; AB$1, DataRegularSeason20242025!$D$3:$D$1315, $A18)+SUMIFS(DataRegularSeason20242025!$AB$3:$AB$1315,DataRegularSeason20242025!$B$3:$B$1315, "&lt;=" &amp; AB$1, DataRegularSeason20242025!$E$3:$E$1315, $A18)</f>
        <v>12</v>
      </c>
      <c r="AC18">
        <f>SUMIFS(DataRegularSeason20242025!$AA$3:$AA$1315,DataRegularSeason20242025!$B$3:$B$1315, "&lt;=" &amp; AC$1, DataRegularSeason20242025!$D$3:$D$1315, $A18)+SUMIFS(DataRegularSeason20242025!$AB$3:$AB$1315,DataRegularSeason20242025!$B$3:$B$1315, "&lt;=" &amp; AC$1, DataRegularSeason20242025!$E$3:$E$1315, $A18)</f>
        <v>12</v>
      </c>
      <c r="AD18">
        <f>SUMIFS(DataRegularSeason20242025!$AA$3:$AA$1315,DataRegularSeason20242025!$B$3:$B$1315, "&lt;=" &amp; AD$1, DataRegularSeason20242025!$D$3:$D$1315, $A18)+SUMIFS(DataRegularSeason20242025!$AB$3:$AB$1315,DataRegularSeason20242025!$B$3:$B$1315, "&lt;=" &amp; AD$1, DataRegularSeason20242025!$E$3:$E$1315, $A18)</f>
        <v>12</v>
      </c>
      <c r="AE18">
        <f>SUMIFS(DataRegularSeason20242025!$AA$3:$AA$1315,DataRegularSeason20242025!$B$3:$B$1315, "&lt;=" &amp; AE$1, DataRegularSeason20242025!$D$3:$D$1315, $A18)+SUMIFS(DataRegularSeason20242025!$AB$3:$AB$1315,DataRegularSeason20242025!$B$3:$B$1315, "&lt;=" &amp; AE$1, DataRegularSeason20242025!$E$3:$E$1315, $A18)</f>
        <v>12</v>
      </c>
      <c r="AF18">
        <f>SUMIFS(DataRegularSeason20242025!$AA$3:$AA$1315,DataRegularSeason20242025!$B$3:$B$1315, "&lt;=" &amp; AF$1, DataRegularSeason20242025!$D$3:$D$1315, $A18)+SUMIFS(DataRegularSeason20242025!$AB$3:$AB$1315,DataRegularSeason20242025!$B$3:$B$1315, "&lt;=" &amp; AF$1, DataRegularSeason20242025!$E$3:$E$1315, $A18)</f>
        <v>12</v>
      </c>
      <c r="AG18">
        <f>SUMIFS(DataRegularSeason20242025!$AA$3:$AA$1315,DataRegularSeason20242025!$B$3:$B$1315, "&lt;=" &amp; AG$1, DataRegularSeason20242025!$D$3:$D$1315, $A18)+SUMIFS(DataRegularSeason20242025!$AB$3:$AB$1315,DataRegularSeason20242025!$B$3:$B$1315, "&lt;=" &amp; AG$1, DataRegularSeason20242025!$E$3:$E$1315, $A18)</f>
        <v>12</v>
      </c>
      <c r="AH18">
        <f>SUMIFS(DataRegularSeason20242025!$AA$3:$AA$1315,DataRegularSeason20242025!$B$3:$B$1315, "&lt;=" &amp; AH$1, DataRegularSeason20242025!$D$3:$D$1315, $A18)+SUMIFS(DataRegularSeason20242025!$AB$3:$AB$1315,DataRegularSeason20242025!$B$3:$B$1315, "&lt;=" &amp; AH$1, DataRegularSeason20242025!$E$3:$E$1315, $A18)</f>
        <v>12</v>
      </c>
      <c r="AI18">
        <f>SUMIFS(DataRegularSeason20242025!$AA$3:$AA$1315,DataRegularSeason20242025!$B$3:$B$1315, "&lt;=" &amp; AI$1, DataRegularSeason20242025!$D$3:$D$1315, $A18)+SUMIFS(DataRegularSeason20242025!$AB$3:$AB$1315,DataRegularSeason20242025!$B$3:$B$1315, "&lt;=" &amp; AI$1, DataRegularSeason20242025!$E$3:$E$1315, $A18)</f>
        <v>12</v>
      </c>
      <c r="AJ18">
        <f>SUMIFS(DataRegularSeason20242025!$AA$3:$AA$1315,DataRegularSeason20242025!$B$3:$B$1315, "&lt;=" &amp; AJ$1, DataRegularSeason20242025!$D$3:$D$1315, $A18)+SUMIFS(DataRegularSeason20242025!$AB$3:$AB$1315,DataRegularSeason20242025!$B$3:$B$1315, "&lt;=" &amp; AJ$1, DataRegularSeason20242025!$E$3:$E$1315, $A18)</f>
        <v>12</v>
      </c>
      <c r="AK18">
        <f>SUMIFS(DataRegularSeason20242025!$AA$3:$AA$1315,DataRegularSeason20242025!$B$3:$B$1315, "&lt;=" &amp; AK$1, DataRegularSeason20242025!$D$3:$D$1315, $A18)+SUMIFS(DataRegularSeason20242025!$AB$3:$AB$1315,DataRegularSeason20242025!$B$3:$B$1315, "&lt;=" &amp; AK$1, DataRegularSeason20242025!$E$3:$E$1315, $A18)</f>
        <v>12</v>
      </c>
      <c r="AL18">
        <f>SUMIFS(DataRegularSeason20242025!$AA$3:$AA$1315,DataRegularSeason20242025!$B$3:$B$1315, "&lt;=" &amp; AL$1, DataRegularSeason20242025!$D$3:$D$1315, $A18)+SUMIFS(DataRegularSeason20242025!$AB$3:$AB$1315,DataRegularSeason20242025!$B$3:$B$1315, "&lt;=" &amp; AL$1, DataRegularSeason20242025!$E$3:$E$1315, $A18)</f>
        <v>12</v>
      </c>
      <c r="AM18">
        <f>SUMIFS(DataRegularSeason20242025!$AA$3:$AA$1315,DataRegularSeason20242025!$B$3:$B$1315, "&lt;=" &amp; AM$1, DataRegularSeason20242025!$D$3:$D$1315, $A18)+SUMIFS(DataRegularSeason20242025!$AB$3:$AB$1315,DataRegularSeason20242025!$B$3:$B$1315, "&lt;=" &amp; AM$1, DataRegularSeason20242025!$E$3:$E$1315, $A18)</f>
        <v>12</v>
      </c>
      <c r="AN18">
        <f>SUMIFS(DataRegularSeason20242025!$AA$3:$AA$1315,DataRegularSeason20242025!$B$3:$B$1315, "&lt;=" &amp; AN$1, DataRegularSeason20242025!$D$3:$D$1315, $A18)+SUMIFS(DataRegularSeason20242025!$AB$3:$AB$1315,DataRegularSeason20242025!$B$3:$B$1315, "&lt;=" &amp; AN$1, DataRegularSeason20242025!$E$3:$E$1315, $A18)</f>
        <v>12</v>
      </c>
      <c r="AO18">
        <f>SUMIFS(DataRegularSeason20242025!$AA$3:$AA$1315,DataRegularSeason20242025!$B$3:$B$1315, "&lt;=" &amp; AO$1, DataRegularSeason20242025!$D$3:$D$1315, $A18)+SUMIFS(DataRegularSeason20242025!$AB$3:$AB$1315,DataRegularSeason20242025!$B$3:$B$1315, "&lt;=" &amp; AO$1, DataRegularSeason20242025!$E$3:$E$1315, $A18)</f>
        <v>12</v>
      </c>
      <c r="AP18">
        <f>SUMIFS(DataRegularSeason20242025!$AA$3:$AA$1315,DataRegularSeason20242025!$B$3:$B$1315, "&lt;=" &amp; AP$1, DataRegularSeason20242025!$D$3:$D$1315, $A18)+SUMIFS(DataRegularSeason20242025!$AB$3:$AB$1315,DataRegularSeason20242025!$B$3:$B$1315, "&lt;=" &amp; AP$1, DataRegularSeason20242025!$E$3:$E$1315, $A18)</f>
        <v>12</v>
      </c>
      <c r="AQ18">
        <f>SUMIFS(DataRegularSeason20242025!$AA$3:$AA$1315,DataRegularSeason20242025!$B$3:$B$1315, "&lt;=" &amp; AQ$1, DataRegularSeason20242025!$D$3:$D$1315, $A18)+SUMIFS(DataRegularSeason20242025!$AB$3:$AB$1315,DataRegularSeason20242025!$B$3:$B$1315, "&lt;=" &amp; AQ$1, DataRegularSeason20242025!$E$3:$E$1315, $A18)</f>
        <v>12</v>
      </c>
      <c r="AR18">
        <f>SUMIFS(DataRegularSeason20242025!$AA$3:$AA$1315,DataRegularSeason20242025!$B$3:$B$1315, "&lt;=" &amp; AR$1, DataRegularSeason20242025!$D$3:$D$1315, $A18)+SUMIFS(DataRegularSeason20242025!$AB$3:$AB$1315,DataRegularSeason20242025!$B$3:$B$1315, "&lt;=" &amp; AR$1, DataRegularSeason20242025!$E$3:$E$1315, $A18)</f>
        <v>12</v>
      </c>
      <c r="AS18">
        <f>SUMIFS(DataRegularSeason20242025!$AA$3:$AA$1315,DataRegularSeason20242025!$B$3:$B$1315, "&lt;=" &amp; AS$1, DataRegularSeason20242025!$D$3:$D$1315, $A18)+SUMIFS(DataRegularSeason20242025!$AB$3:$AB$1315,DataRegularSeason20242025!$B$3:$B$1315, "&lt;=" &amp; AS$1, DataRegularSeason20242025!$E$3:$E$1315, $A18)</f>
        <v>12</v>
      </c>
      <c r="AT18">
        <f>SUMIFS(DataRegularSeason20242025!$AA$3:$AA$1315,DataRegularSeason20242025!$B$3:$B$1315, "&lt;=" &amp; AT$1, DataRegularSeason20242025!$D$3:$D$1315, $A18)+SUMIFS(DataRegularSeason20242025!$AB$3:$AB$1315,DataRegularSeason20242025!$B$3:$B$1315, "&lt;=" &amp; AT$1, DataRegularSeason20242025!$E$3:$E$1315, $A18)</f>
        <v>12</v>
      </c>
      <c r="AU18">
        <f>SUMIFS(DataRegularSeason20242025!$AA$3:$AA$1315,DataRegularSeason20242025!$B$3:$B$1315, "&lt;=" &amp; AU$1, DataRegularSeason20242025!$D$3:$D$1315, $A18)+SUMIFS(DataRegularSeason20242025!$AB$3:$AB$1315,DataRegularSeason20242025!$B$3:$B$1315, "&lt;=" &amp; AU$1, DataRegularSeason20242025!$E$3:$E$1315, $A18)</f>
        <v>12</v>
      </c>
      <c r="AV18">
        <f>SUMIFS(DataRegularSeason20242025!$AA$3:$AA$1315,DataRegularSeason20242025!$B$3:$B$1315, "&lt;=" &amp; AV$1, DataRegularSeason20242025!$D$3:$D$1315, $A18)+SUMIFS(DataRegularSeason20242025!$AB$3:$AB$1315,DataRegularSeason20242025!$B$3:$B$1315, "&lt;=" &amp; AV$1, DataRegularSeason20242025!$E$3:$E$1315, $A18)</f>
        <v>12</v>
      </c>
      <c r="AW18">
        <f>SUMIFS(DataRegularSeason20242025!$AA$3:$AA$1315,DataRegularSeason20242025!$B$3:$B$1315, "&lt;=" &amp; AW$1, DataRegularSeason20242025!$D$3:$D$1315, $A18)+SUMIFS(DataRegularSeason20242025!$AB$3:$AB$1315,DataRegularSeason20242025!$B$3:$B$1315, "&lt;=" &amp; AW$1, DataRegularSeason20242025!$E$3:$E$1315, $A18)</f>
        <v>12</v>
      </c>
      <c r="AX18">
        <f>SUMIFS(DataRegularSeason20242025!$AA$3:$AA$1315,DataRegularSeason20242025!$B$3:$B$1315, "&lt;=" &amp; AX$1, DataRegularSeason20242025!$D$3:$D$1315, $A18)+SUMIFS(DataRegularSeason20242025!$AB$3:$AB$1315,DataRegularSeason20242025!$B$3:$B$1315, "&lt;=" &amp; AX$1, DataRegularSeason20242025!$E$3:$E$1315, $A18)</f>
        <v>12</v>
      </c>
      <c r="AY18">
        <f>SUMIFS(DataRegularSeason20242025!$AA$3:$AA$1315,DataRegularSeason20242025!$B$3:$B$1315, "&lt;=" &amp; AY$1, DataRegularSeason20242025!$D$3:$D$1315, $A18)+SUMIFS(DataRegularSeason20242025!$AB$3:$AB$1315,DataRegularSeason20242025!$B$3:$B$1315, "&lt;=" &amp; AY$1, DataRegularSeason20242025!$E$3:$E$1315, $A18)</f>
        <v>12</v>
      </c>
      <c r="AZ18">
        <f>SUMIFS(DataRegularSeason20242025!$AA$3:$AA$1315,DataRegularSeason20242025!$B$3:$B$1315, "&lt;=" &amp; AZ$1, DataRegularSeason20242025!$D$3:$D$1315, $A18)+SUMIFS(DataRegularSeason20242025!$AB$3:$AB$1315,DataRegularSeason20242025!$B$3:$B$1315, "&lt;=" &amp; AZ$1, DataRegularSeason20242025!$E$3:$E$1315, $A18)</f>
        <v>12</v>
      </c>
      <c r="BA18">
        <f>SUMIFS(DataRegularSeason20242025!$AA$3:$AA$1315,DataRegularSeason20242025!$B$3:$B$1315, "&lt;=" &amp; BA$1, DataRegularSeason20242025!$D$3:$D$1315, $A18)+SUMIFS(DataRegularSeason20242025!$AB$3:$AB$1315,DataRegularSeason20242025!$B$3:$B$1315, "&lt;=" &amp; BA$1, DataRegularSeason20242025!$E$3:$E$1315, $A18)</f>
        <v>12</v>
      </c>
      <c r="BB18">
        <f>SUMIFS(DataRegularSeason20242025!$AA$3:$AA$1315,DataRegularSeason20242025!$B$3:$B$1315, "&lt;=" &amp; BB$1, DataRegularSeason20242025!$D$3:$D$1315, $A18)+SUMIFS(DataRegularSeason20242025!$AB$3:$AB$1315,DataRegularSeason20242025!$B$3:$B$1315, "&lt;=" &amp; BB$1, DataRegularSeason20242025!$E$3:$E$1315, $A18)</f>
        <v>12</v>
      </c>
      <c r="BC18">
        <f>SUMIFS(DataRegularSeason20242025!$AA$3:$AA$1315,DataRegularSeason20242025!$B$3:$B$1315, "&lt;=" &amp; BC$1, DataRegularSeason20242025!$D$3:$D$1315, $A18)+SUMIFS(DataRegularSeason20242025!$AB$3:$AB$1315,DataRegularSeason20242025!$B$3:$B$1315, "&lt;=" &amp; BC$1, DataRegularSeason20242025!$E$3:$E$1315, $A18)</f>
        <v>12</v>
      </c>
      <c r="BD18">
        <f>SUMIFS(DataRegularSeason20242025!$AA$3:$AA$1315,DataRegularSeason20242025!$B$3:$B$1315, "&lt;=" &amp; BD$1, DataRegularSeason20242025!$D$3:$D$1315, $A18)+SUMIFS(DataRegularSeason20242025!$AB$3:$AB$1315,DataRegularSeason20242025!$B$3:$B$1315, "&lt;=" &amp; BD$1, DataRegularSeason20242025!$E$3:$E$1315, $A18)</f>
        <v>12</v>
      </c>
      <c r="BE18">
        <f>SUMIFS(DataRegularSeason20242025!$AA$3:$AA$1315,DataRegularSeason20242025!$B$3:$B$1315, "&lt;=" &amp; BE$1, DataRegularSeason20242025!$D$3:$D$1315, $A18)+SUMIFS(DataRegularSeason20242025!$AB$3:$AB$1315,DataRegularSeason20242025!$B$3:$B$1315, "&lt;=" &amp; BE$1, DataRegularSeason20242025!$E$3:$E$1315, $A18)</f>
        <v>12</v>
      </c>
      <c r="BF18">
        <f>SUMIFS(DataRegularSeason20242025!$AA$3:$AA$1315,DataRegularSeason20242025!$B$3:$B$1315, "&lt;=" &amp; BF$1, DataRegularSeason20242025!$D$3:$D$1315, $A18)+SUMIFS(DataRegularSeason20242025!$AB$3:$AB$1315,DataRegularSeason20242025!$B$3:$B$1315, "&lt;=" &amp; BF$1, DataRegularSeason20242025!$E$3:$E$1315, $A18)</f>
        <v>12</v>
      </c>
      <c r="BG18">
        <f>SUMIFS(DataRegularSeason20242025!$AA$3:$AA$1315,DataRegularSeason20242025!$B$3:$B$1315, "&lt;=" &amp; BG$1, DataRegularSeason20242025!$D$3:$D$1315, $A18)+SUMIFS(DataRegularSeason20242025!$AB$3:$AB$1315,DataRegularSeason20242025!$B$3:$B$1315, "&lt;=" &amp; BG$1, DataRegularSeason20242025!$E$3:$E$1315, $A18)</f>
        <v>12</v>
      </c>
      <c r="BH18">
        <f>SUMIFS(DataRegularSeason20242025!$AA$3:$AA$1315,DataRegularSeason20242025!$B$3:$B$1315, "&lt;=" &amp; BH$1, DataRegularSeason20242025!$D$3:$D$1315, $A18)+SUMIFS(DataRegularSeason20242025!$AB$3:$AB$1315,DataRegularSeason20242025!$B$3:$B$1315, "&lt;=" &amp; BH$1, DataRegularSeason20242025!$E$3:$E$1315, $A18)</f>
        <v>12</v>
      </c>
      <c r="BI18">
        <f>SUMIFS(DataRegularSeason20242025!$AA$3:$AA$1315,DataRegularSeason20242025!$B$3:$B$1315, "&lt;=" &amp; BI$1, DataRegularSeason20242025!$D$3:$D$1315, $A18)+SUMIFS(DataRegularSeason20242025!$AB$3:$AB$1315,DataRegularSeason20242025!$B$3:$B$1315, "&lt;=" &amp; BI$1, DataRegularSeason20242025!$E$3:$E$1315, $A18)</f>
        <v>12</v>
      </c>
      <c r="BJ18">
        <f>SUMIFS(DataRegularSeason20242025!$AA$3:$AA$1315,DataRegularSeason20242025!$B$3:$B$1315, "&lt;=" &amp; BJ$1, DataRegularSeason20242025!$D$3:$D$1315, $A18)+SUMIFS(DataRegularSeason20242025!$AB$3:$AB$1315,DataRegularSeason20242025!$B$3:$B$1315, "&lt;=" &amp; BJ$1, DataRegularSeason20242025!$E$3:$E$1315, $A18)</f>
        <v>12</v>
      </c>
      <c r="BK18">
        <f>SUMIFS(DataRegularSeason20242025!$AA$3:$AA$1315,DataRegularSeason20242025!$B$3:$B$1315, "&lt;=" &amp; BK$1, DataRegularSeason20242025!$D$3:$D$1315, $A18)+SUMIFS(DataRegularSeason20242025!$AB$3:$AB$1315,DataRegularSeason20242025!$B$3:$B$1315, "&lt;=" &amp; BK$1, DataRegularSeason20242025!$E$3:$E$1315, $A18)</f>
        <v>12</v>
      </c>
      <c r="BL18">
        <f>SUMIFS(DataRegularSeason20242025!$AA$3:$AA$1315,DataRegularSeason20242025!$B$3:$B$1315, "&lt;=" &amp; BL$1, DataRegularSeason20242025!$D$3:$D$1315, $A18)+SUMIFS(DataRegularSeason20242025!$AB$3:$AB$1315,DataRegularSeason20242025!$B$3:$B$1315, "&lt;=" &amp; BL$1, DataRegularSeason20242025!$E$3:$E$1315, $A18)</f>
        <v>12</v>
      </c>
      <c r="BM18">
        <f>SUMIFS(DataRegularSeason20242025!$AA$3:$AA$1315,DataRegularSeason20242025!$B$3:$B$1315, "&lt;=" &amp; BM$1, DataRegularSeason20242025!$D$3:$D$1315, $A18)+SUMIFS(DataRegularSeason20242025!$AB$3:$AB$1315,DataRegularSeason20242025!$B$3:$B$1315, "&lt;=" &amp; BM$1, DataRegularSeason20242025!$E$3:$E$1315, $A18)</f>
        <v>12</v>
      </c>
      <c r="BN18">
        <f>SUMIFS(DataRegularSeason20242025!$AA$3:$AA$1315,DataRegularSeason20242025!$B$3:$B$1315, "&lt;=" &amp; BN$1, DataRegularSeason20242025!$D$3:$D$1315, $A18)+SUMIFS(DataRegularSeason20242025!$AB$3:$AB$1315,DataRegularSeason20242025!$B$3:$B$1315, "&lt;=" &amp; BN$1, DataRegularSeason20242025!$E$3:$E$1315, $A18)</f>
        <v>12</v>
      </c>
      <c r="BO18">
        <f>SUMIFS(DataRegularSeason20242025!$AA$3:$AA$1315,DataRegularSeason20242025!$B$3:$B$1315, "&lt;=" &amp; BO$1, DataRegularSeason20242025!$D$3:$D$1315, $A18)+SUMIFS(DataRegularSeason20242025!$AB$3:$AB$1315,DataRegularSeason20242025!$B$3:$B$1315, "&lt;=" &amp; BO$1, DataRegularSeason20242025!$E$3:$E$1315, $A18)</f>
        <v>12</v>
      </c>
      <c r="BP18">
        <f>SUMIFS(DataRegularSeason20242025!$AA$3:$AA$1315,DataRegularSeason20242025!$B$3:$B$1315, "&lt;=" &amp; BP$1, DataRegularSeason20242025!$D$3:$D$1315, $A18)+SUMIFS(DataRegularSeason20242025!$AB$3:$AB$1315,DataRegularSeason20242025!$B$3:$B$1315, "&lt;=" &amp; BP$1, DataRegularSeason20242025!$E$3:$E$1315, $A18)</f>
        <v>12</v>
      </c>
      <c r="BQ18">
        <f>SUMIFS(DataRegularSeason20242025!$AA$3:$AA$1315,DataRegularSeason20242025!$B$3:$B$1315, "&lt;=" &amp; BQ$1, DataRegularSeason20242025!$D$3:$D$1315, $A18)+SUMIFS(DataRegularSeason20242025!$AB$3:$AB$1315,DataRegularSeason20242025!$B$3:$B$1315, "&lt;=" &amp; BQ$1, DataRegularSeason20242025!$E$3:$E$1315, $A18)</f>
        <v>12</v>
      </c>
      <c r="BR18">
        <f>SUMIFS(DataRegularSeason20242025!$AA$3:$AA$1315,DataRegularSeason20242025!$B$3:$B$1315, "&lt;=" &amp; BR$1, DataRegularSeason20242025!$D$3:$D$1315, $A18)+SUMIFS(DataRegularSeason20242025!$AB$3:$AB$1315,DataRegularSeason20242025!$B$3:$B$1315, "&lt;=" &amp; BR$1, DataRegularSeason20242025!$E$3:$E$1315, $A18)</f>
        <v>12</v>
      </c>
      <c r="BS18">
        <f>SUMIFS(DataRegularSeason20242025!$AA$3:$AA$1315,DataRegularSeason20242025!$B$3:$B$1315, "&lt;=" &amp; BS$1, DataRegularSeason20242025!$D$3:$D$1315, $A18)+SUMIFS(DataRegularSeason20242025!$AB$3:$AB$1315,DataRegularSeason20242025!$B$3:$B$1315, "&lt;=" &amp; BS$1, DataRegularSeason20242025!$E$3:$E$1315, $A18)</f>
        <v>12</v>
      </c>
      <c r="BT18">
        <f>SUMIFS(DataRegularSeason20242025!$AA$3:$AA$1315,DataRegularSeason20242025!$B$3:$B$1315, "&lt;=" &amp; BT$1, DataRegularSeason20242025!$D$3:$D$1315, $A18)+SUMIFS(DataRegularSeason20242025!$AB$3:$AB$1315,DataRegularSeason20242025!$B$3:$B$1315, "&lt;=" &amp; BT$1, DataRegularSeason20242025!$E$3:$E$1315, $A18)</f>
        <v>12</v>
      </c>
      <c r="BU18">
        <f>SUMIFS(DataRegularSeason20242025!$AA$3:$AA$1315,DataRegularSeason20242025!$B$3:$B$1315, "&lt;=" &amp; BU$1, DataRegularSeason20242025!$D$3:$D$1315, $A18)+SUMIFS(DataRegularSeason20242025!$AB$3:$AB$1315,DataRegularSeason20242025!$B$3:$B$1315, "&lt;=" &amp; BU$1, DataRegularSeason20242025!$E$3:$E$1315, $A18)</f>
        <v>12</v>
      </c>
      <c r="BV18">
        <f>SUMIFS(DataRegularSeason20242025!$AA$3:$AA$1315,DataRegularSeason20242025!$B$3:$B$1315, "&lt;=" &amp; BV$1, DataRegularSeason20242025!$D$3:$D$1315, $A18)+SUMIFS(DataRegularSeason20242025!$AB$3:$AB$1315,DataRegularSeason20242025!$B$3:$B$1315, "&lt;=" &amp; BV$1, DataRegularSeason20242025!$E$3:$E$1315, $A18)</f>
        <v>12</v>
      </c>
      <c r="BW18">
        <f>SUMIFS(DataRegularSeason20242025!$AA$3:$AA$1315,DataRegularSeason20242025!$B$3:$B$1315, "&lt;=" &amp; BW$1, DataRegularSeason20242025!$D$3:$D$1315, $A18)+SUMIFS(DataRegularSeason20242025!$AB$3:$AB$1315,DataRegularSeason20242025!$B$3:$B$1315, "&lt;=" &amp; BW$1, DataRegularSeason20242025!$E$3:$E$1315, $A18)</f>
        <v>12</v>
      </c>
      <c r="BX18">
        <f>SUMIFS(DataRegularSeason20242025!$AA$3:$AA$1315,DataRegularSeason20242025!$B$3:$B$1315, "&lt;=" &amp; BX$1, DataRegularSeason20242025!$D$3:$D$1315, $A18)+SUMIFS(DataRegularSeason20242025!$AB$3:$AB$1315,DataRegularSeason20242025!$B$3:$B$1315, "&lt;=" &amp; BX$1, DataRegularSeason20242025!$E$3:$E$1315, $A18)</f>
        <v>12</v>
      </c>
      <c r="BY18">
        <f>SUMIFS(DataRegularSeason20242025!$AA$3:$AA$1315,DataRegularSeason20242025!$B$3:$B$1315, "&lt;=" &amp; BY$1, DataRegularSeason20242025!$D$3:$D$1315, $A18)+SUMIFS(DataRegularSeason20242025!$AB$3:$AB$1315,DataRegularSeason20242025!$B$3:$B$1315, "&lt;=" &amp; BY$1, DataRegularSeason20242025!$E$3:$E$1315, $A18)</f>
        <v>12</v>
      </c>
      <c r="BZ18">
        <f>SUMIFS(DataRegularSeason20242025!$AA$3:$AA$1315,DataRegularSeason20242025!$B$3:$B$1315, "&lt;=" &amp; BZ$1, DataRegularSeason20242025!$D$3:$D$1315, $A18)+SUMIFS(DataRegularSeason20242025!$AB$3:$AB$1315,DataRegularSeason20242025!$B$3:$B$1315, "&lt;=" &amp; BZ$1, DataRegularSeason20242025!$E$3:$E$1315, $A18)</f>
        <v>12</v>
      </c>
      <c r="CA18">
        <f>SUMIFS(DataRegularSeason20242025!$AA$3:$AA$1315,DataRegularSeason20242025!$B$3:$B$1315, "&lt;=" &amp; CA$1, DataRegularSeason20242025!$D$3:$D$1315, $A18)+SUMIFS(DataRegularSeason20242025!$AB$3:$AB$1315,DataRegularSeason20242025!$B$3:$B$1315, "&lt;=" &amp; CA$1, DataRegularSeason20242025!$E$3:$E$1315, $A18)</f>
        <v>12</v>
      </c>
      <c r="CB18">
        <f>SUMIFS(DataRegularSeason20242025!$AA$3:$AA$1315,DataRegularSeason20242025!$B$3:$B$1315, "&lt;=" &amp; CB$1, DataRegularSeason20242025!$D$3:$D$1315, $A18)+SUMIFS(DataRegularSeason20242025!$AB$3:$AB$1315,DataRegularSeason20242025!$B$3:$B$1315, "&lt;=" &amp; CB$1, DataRegularSeason20242025!$E$3:$E$1315, $A18)</f>
        <v>12</v>
      </c>
      <c r="CC18">
        <f>SUMIFS(DataRegularSeason20242025!$AA$3:$AA$1315,DataRegularSeason20242025!$B$3:$B$1315, "&lt;=" &amp; CC$1, DataRegularSeason20242025!$D$3:$D$1315, $A18)+SUMIFS(DataRegularSeason20242025!$AB$3:$AB$1315,DataRegularSeason20242025!$B$3:$B$1315, "&lt;=" &amp; CC$1, DataRegularSeason20242025!$E$3:$E$1315, $A18)</f>
        <v>12</v>
      </c>
      <c r="CD18">
        <f>SUMIFS(DataRegularSeason20242025!$AA$3:$AA$1315,DataRegularSeason20242025!$B$3:$B$1315, "&lt;=" &amp; CD$1, DataRegularSeason20242025!$D$3:$D$1315, $A18)+SUMIFS(DataRegularSeason20242025!$AB$3:$AB$1315,DataRegularSeason20242025!$B$3:$B$1315, "&lt;=" &amp; CD$1, DataRegularSeason20242025!$E$3:$E$1315, $A18)</f>
        <v>12</v>
      </c>
      <c r="CE18">
        <f>SUMIFS(DataRegularSeason20242025!$AA$3:$AA$1315,DataRegularSeason20242025!$B$3:$B$1315, "&lt;=" &amp; CE$1, DataRegularSeason20242025!$D$3:$D$1315, $A18)+SUMIFS(DataRegularSeason20242025!$AB$3:$AB$1315,DataRegularSeason20242025!$B$3:$B$1315, "&lt;=" &amp; CE$1, DataRegularSeason20242025!$E$3:$E$1315, $A18)</f>
        <v>12</v>
      </c>
      <c r="CF18">
        <f>SUMIFS(DataRegularSeason20242025!$AA$3:$AA$1315,DataRegularSeason20242025!$B$3:$B$1315, "&lt;=" &amp; CF$1, DataRegularSeason20242025!$D$3:$D$1315, $A18)+SUMIFS(DataRegularSeason20242025!$AB$3:$AB$1315,DataRegularSeason20242025!$B$3:$B$1315, "&lt;=" &amp; CF$1, DataRegularSeason20242025!$E$3:$E$1315, $A18)</f>
        <v>12</v>
      </c>
      <c r="CG18">
        <f>SUMIFS(DataRegularSeason20242025!$AA$3:$AA$1315,DataRegularSeason20242025!$B$3:$B$1315, "&lt;=" &amp; CG$1, DataRegularSeason20242025!$D$3:$D$1315, $A18)+SUMIFS(DataRegularSeason20242025!$AB$3:$AB$1315,DataRegularSeason20242025!$B$3:$B$1315, "&lt;=" &amp; CG$1, DataRegularSeason20242025!$E$3:$E$1315, $A18)</f>
        <v>12</v>
      </c>
      <c r="CH18">
        <f>SUMIFS(DataRegularSeason20242025!$AA$3:$AA$1315,DataRegularSeason20242025!$B$3:$B$1315, "&lt;=" &amp; CH$1, DataRegularSeason20242025!$D$3:$D$1315, $A18)+SUMIFS(DataRegularSeason20242025!$AB$3:$AB$1315,DataRegularSeason20242025!$B$3:$B$1315, "&lt;=" &amp; CH$1, DataRegularSeason20242025!$E$3:$E$1315, $A18)</f>
        <v>12</v>
      </c>
      <c r="CI18">
        <f>SUMIFS(DataRegularSeason20242025!$AA$3:$AA$1315,DataRegularSeason20242025!$B$3:$B$1315, "&lt;=" &amp; CI$1, DataRegularSeason20242025!$D$3:$D$1315, $A18)+SUMIFS(DataRegularSeason20242025!$AB$3:$AB$1315,DataRegularSeason20242025!$B$3:$B$1315, "&lt;=" &amp; CI$1, DataRegularSeason20242025!$E$3:$E$1315, $A18)</f>
        <v>12</v>
      </c>
      <c r="CJ18">
        <f>SUMIFS(DataRegularSeason20242025!$AA$3:$AA$1315,DataRegularSeason20242025!$B$3:$B$1315, "&lt;=" &amp; CJ$1, DataRegularSeason20242025!$D$3:$D$1315, $A18)+SUMIFS(DataRegularSeason20242025!$AB$3:$AB$1315,DataRegularSeason20242025!$B$3:$B$1315, "&lt;=" &amp; CJ$1, DataRegularSeason20242025!$E$3:$E$1315, $A18)</f>
        <v>12</v>
      </c>
      <c r="CK18">
        <f>SUMIFS(DataRegularSeason20242025!$AA$3:$AA$1315,DataRegularSeason20242025!$B$3:$B$1315, "&lt;=" &amp; CK$1, DataRegularSeason20242025!$D$3:$D$1315, $A18)+SUMIFS(DataRegularSeason20242025!$AB$3:$AB$1315,DataRegularSeason20242025!$B$3:$B$1315, "&lt;=" &amp; CK$1, DataRegularSeason20242025!$E$3:$E$1315, $A18)</f>
        <v>12</v>
      </c>
      <c r="CL18">
        <f>SUMIFS(DataRegularSeason20242025!$AA$3:$AA$1315,DataRegularSeason20242025!$B$3:$B$1315, "&lt;=" &amp; CL$1, DataRegularSeason20242025!$D$3:$D$1315, $A18)+SUMIFS(DataRegularSeason20242025!$AB$3:$AB$1315,DataRegularSeason20242025!$B$3:$B$1315, "&lt;=" &amp; CL$1, DataRegularSeason20242025!$E$3:$E$1315, $A18)</f>
        <v>12</v>
      </c>
      <c r="CM18">
        <f>SUMIFS(DataRegularSeason20242025!$AA$3:$AA$1315,DataRegularSeason20242025!$B$3:$B$1315, "&lt;=" &amp; CM$1, DataRegularSeason20242025!$D$3:$D$1315, $A18)+SUMIFS(DataRegularSeason20242025!$AB$3:$AB$1315,DataRegularSeason20242025!$B$3:$B$1315, "&lt;=" &amp; CM$1, DataRegularSeason20242025!$E$3:$E$1315, $A18)</f>
        <v>12</v>
      </c>
      <c r="CN18">
        <f>SUMIFS(DataRegularSeason20242025!$AA$3:$AA$1315,DataRegularSeason20242025!$B$3:$B$1315, "&lt;=" &amp; CN$1, DataRegularSeason20242025!$D$3:$D$1315, $A18)+SUMIFS(DataRegularSeason20242025!$AB$3:$AB$1315,DataRegularSeason20242025!$B$3:$B$1315, "&lt;=" &amp; CN$1, DataRegularSeason20242025!$E$3:$E$1315, $A18)</f>
        <v>12</v>
      </c>
      <c r="CO18">
        <f>SUMIFS(DataRegularSeason20242025!$AA$3:$AA$1315,DataRegularSeason20242025!$B$3:$B$1315, "&lt;=" &amp; CO$1, DataRegularSeason20242025!$D$3:$D$1315, $A18)+SUMIFS(DataRegularSeason20242025!$AB$3:$AB$1315,DataRegularSeason20242025!$B$3:$B$1315, "&lt;=" &amp; CO$1, DataRegularSeason20242025!$E$3:$E$1315, $A18)</f>
        <v>12</v>
      </c>
      <c r="CP18">
        <f>SUMIFS(DataRegularSeason20242025!$AA$3:$AA$1315,DataRegularSeason20242025!$B$3:$B$1315, "&lt;=" &amp; CP$1, DataRegularSeason20242025!$D$3:$D$1315, $A18)+SUMIFS(DataRegularSeason20242025!$AB$3:$AB$1315,DataRegularSeason20242025!$B$3:$B$1315, "&lt;=" &amp; CP$1, DataRegularSeason20242025!$E$3:$E$1315, $A18)</f>
        <v>12</v>
      </c>
      <c r="CQ18">
        <f>SUMIFS(DataRegularSeason20242025!$AA$3:$AA$1315,DataRegularSeason20242025!$B$3:$B$1315, "&lt;=" &amp; CQ$1, DataRegularSeason20242025!$D$3:$D$1315, $A18)+SUMIFS(DataRegularSeason20242025!$AB$3:$AB$1315,DataRegularSeason20242025!$B$3:$B$1315, "&lt;=" &amp; CQ$1, DataRegularSeason20242025!$E$3:$E$1315, $A18)</f>
        <v>12</v>
      </c>
      <c r="CR18">
        <f>SUMIFS(DataRegularSeason20242025!$AA$3:$AA$1315,DataRegularSeason20242025!$B$3:$B$1315, "&lt;=" &amp; CR$1, DataRegularSeason20242025!$D$3:$D$1315, $A18)+SUMIFS(DataRegularSeason20242025!$AB$3:$AB$1315,DataRegularSeason20242025!$B$3:$B$1315, "&lt;=" &amp; CR$1, DataRegularSeason20242025!$E$3:$E$1315, $A18)</f>
        <v>12</v>
      </c>
      <c r="CS18">
        <f>SUMIFS(DataRegularSeason20242025!$AA$3:$AA$1315,DataRegularSeason20242025!$B$3:$B$1315, "&lt;=" &amp; CS$1, DataRegularSeason20242025!$D$3:$D$1315, $A18)+SUMIFS(DataRegularSeason20242025!$AB$3:$AB$1315,DataRegularSeason20242025!$B$3:$B$1315, "&lt;=" &amp; CS$1, DataRegularSeason20242025!$E$3:$E$1315, $A18)</f>
        <v>12</v>
      </c>
      <c r="CT18">
        <f>SUMIFS(DataRegularSeason20242025!$AA$3:$AA$1315,DataRegularSeason20242025!$B$3:$B$1315, "&lt;=" &amp; CT$1, DataRegularSeason20242025!$D$3:$D$1315, $A18)+SUMIFS(DataRegularSeason20242025!$AB$3:$AB$1315,DataRegularSeason20242025!$B$3:$B$1315, "&lt;=" &amp; CT$1, DataRegularSeason20242025!$E$3:$E$1315, $A18)</f>
        <v>12</v>
      </c>
      <c r="CU18">
        <f>SUMIFS(DataRegularSeason20242025!$AA$3:$AA$1315,DataRegularSeason20242025!$B$3:$B$1315, "&lt;=" &amp; CU$1, DataRegularSeason20242025!$D$3:$D$1315, $A18)+SUMIFS(DataRegularSeason20242025!$AB$3:$AB$1315,DataRegularSeason20242025!$B$3:$B$1315, "&lt;=" &amp; CU$1, DataRegularSeason20242025!$E$3:$E$1315, $A18)</f>
        <v>12</v>
      </c>
      <c r="CV18">
        <f>SUMIFS(DataRegularSeason20242025!$AA$3:$AA$1315,DataRegularSeason20242025!$B$3:$B$1315, "&lt;=" &amp; CV$1, DataRegularSeason20242025!$D$3:$D$1315, $A18)+SUMIFS(DataRegularSeason20242025!$AB$3:$AB$1315,DataRegularSeason20242025!$B$3:$B$1315, "&lt;=" &amp; CV$1, DataRegularSeason20242025!$E$3:$E$1315, $A18)</f>
        <v>12</v>
      </c>
      <c r="CW18">
        <f>SUMIFS(DataRegularSeason20242025!$AA$3:$AA$1315,DataRegularSeason20242025!$B$3:$B$1315, "&lt;=" &amp; CW$1, DataRegularSeason20242025!$D$3:$D$1315, $A18)+SUMIFS(DataRegularSeason20242025!$AB$3:$AB$1315,DataRegularSeason20242025!$B$3:$B$1315, "&lt;=" &amp; CW$1, DataRegularSeason20242025!$E$3:$E$1315, $A18)</f>
        <v>12</v>
      </c>
      <c r="CX18">
        <f>SUMIFS(DataRegularSeason20242025!$AA$3:$AA$1315,DataRegularSeason20242025!$B$3:$B$1315, "&lt;=" &amp; CX$1, DataRegularSeason20242025!$D$3:$D$1315, $A18)+SUMIFS(DataRegularSeason20242025!$AB$3:$AB$1315,DataRegularSeason20242025!$B$3:$B$1315, "&lt;=" &amp; CX$1, DataRegularSeason20242025!$E$3:$E$1315, $A18)</f>
        <v>12</v>
      </c>
      <c r="CY18">
        <f>SUMIFS(DataRegularSeason20242025!$AA$3:$AA$1315,DataRegularSeason20242025!$B$3:$B$1315, "&lt;=" &amp; CY$1, DataRegularSeason20242025!$D$3:$D$1315, $A18)+SUMIFS(DataRegularSeason20242025!$AB$3:$AB$1315,DataRegularSeason20242025!$B$3:$B$1315, "&lt;=" &amp; CY$1, DataRegularSeason20242025!$E$3:$E$1315, $A18)</f>
        <v>12</v>
      </c>
      <c r="CZ18">
        <f>SUMIFS(DataRegularSeason20242025!$AA$3:$AA$1315,DataRegularSeason20242025!$B$3:$B$1315, "&lt;=" &amp; CZ$1, DataRegularSeason20242025!$D$3:$D$1315, $A18)+SUMIFS(DataRegularSeason20242025!$AB$3:$AB$1315,DataRegularSeason20242025!$B$3:$B$1315, "&lt;=" &amp; CZ$1, DataRegularSeason20242025!$E$3:$E$1315, $A18)</f>
        <v>12</v>
      </c>
      <c r="DA18">
        <f>SUMIFS(DataRegularSeason20242025!$AA$3:$AA$1315,DataRegularSeason20242025!$B$3:$B$1315, "&lt;=" &amp; DA$1, DataRegularSeason20242025!$D$3:$D$1315, $A18)+SUMIFS(DataRegularSeason20242025!$AB$3:$AB$1315,DataRegularSeason20242025!$B$3:$B$1315, "&lt;=" &amp; DA$1, DataRegularSeason20242025!$E$3:$E$1315, $A18)</f>
        <v>12</v>
      </c>
      <c r="DB18">
        <f>SUMIFS(DataRegularSeason20242025!$AA$3:$AA$1315,DataRegularSeason20242025!$B$3:$B$1315, "&lt;=" &amp; DB$1, DataRegularSeason20242025!$D$3:$D$1315, $A18)+SUMIFS(DataRegularSeason20242025!$AB$3:$AB$1315,DataRegularSeason20242025!$B$3:$B$1315, "&lt;=" &amp; DB$1, DataRegularSeason20242025!$E$3:$E$1315, $A18)</f>
        <v>12</v>
      </c>
      <c r="DC18">
        <f>SUMIFS(DataRegularSeason20242025!$AA$3:$AA$1315,DataRegularSeason20242025!$B$3:$B$1315, "&lt;=" &amp; DC$1, DataRegularSeason20242025!$D$3:$D$1315, $A18)+SUMIFS(DataRegularSeason20242025!$AB$3:$AB$1315,DataRegularSeason20242025!$B$3:$B$1315, "&lt;=" &amp; DC$1, DataRegularSeason20242025!$E$3:$E$1315, $A18)</f>
        <v>12</v>
      </c>
      <c r="DD18">
        <f>SUMIFS(DataRegularSeason20242025!$AA$3:$AA$1315,DataRegularSeason20242025!$B$3:$B$1315, "&lt;=" &amp; DD$1, DataRegularSeason20242025!$D$3:$D$1315, $A18)+SUMIFS(DataRegularSeason20242025!$AB$3:$AB$1315,DataRegularSeason20242025!$B$3:$B$1315, "&lt;=" &amp; DD$1, DataRegularSeason20242025!$E$3:$E$1315, $A18)</f>
        <v>12</v>
      </c>
      <c r="DE18">
        <f>SUMIFS(DataRegularSeason20242025!$AA$3:$AA$1315,DataRegularSeason20242025!$B$3:$B$1315, "&lt;=" &amp; DE$1, DataRegularSeason20242025!$D$3:$D$1315, $A18)+SUMIFS(DataRegularSeason20242025!$AB$3:$AB$1315,DataRegularSeason20242025!$B$3:$B$1315, "&lt;=" &amp; DE$1, DataRegularSeason20242025!$E$3:$E$1315, $A18)</f>
        <v>12</v>
      </c>
      <c r="DF18">
        <f>SUMIFS(DataRegularSeason20242025!$AA$3:$AA$1315,DataRegularSeason20242025!$B$3:$B$1315, "&lt;=" &amp; DF$1, DataRegularSeason20242025!$D$3:$D$1315, $A18)+SUMIFS(DataRegularSeason20242025!$AB$3:$AB$1315,DataRegularSeason20242025!$B$3:$B$1315, "&lt;=" &amp; DF$1, DataRegularSeason20242025!$E$3:$E$1315, $A18)</f>
        <v>12</v>
      </c>
      <c r="DG18">
        <f>SUMIFS(DataRegularSeason20242025!$AA$3:$AA$1315,DataRegularSeason20242025!$B$3:$B$1315, "&lt;=" &amp; DG$1, DataRegularSeason20242025!$D$3:$D$1315, $A18)+SUMIFS(DataRegularSeason20242025!$AB$3:$AB$1315,DataRegularSeason20242025!$B$3:$B$1315, "&lt;=" &amp; DG$1, DataRegularSeason20242025!$E$3:$E$1315, $A18)</f>
        <v>12</v>
      </c>
      <c r="DH18">
        <f>SUMIFS(DataRegularSeason20242025!$AA$3:$AA$1315,DataRegularSeason20242025!$B$3:$B$1315, "&lt;=" &amp; DH$1, DataRegularSeason20242025!$D$3:$D$1315, $A18)+SUMIFS(DataRegularSeason20242025!$AB$3:$AB$1315,DataRegularSeason20242025!$B$3:$B$1315, "&lt;=" &amp; DH$1, DataRegularSeason20242025!$E$3:$E$1315, $A18)</f>
        <v>12</v>
      </c>
      <c r="DI18">
        <f>SUMIFS(DataRegularSeason20242025!$AA$3:$AA$1315,DataRegularSeason20242025!$B$3:$B$1315, "&lt;=" &amp; DI$1, DataRegularSeason20242025!$D$3:$D$1315, $A18)+SUMIFS(DataRegularSeason20242025!$AB$3:$AB$1315,DataRegularSeason20242025!$B$3:$B$1315, "&lt;=" &amp; DI$1, DataRegularSeason20242025!$E$3:$E$1315, $A18)</f>
        <v>12</v>
      </c>
      <c r="DJ18">
        <f>SUMIFS(DataRegularSeason20242025!$AA$3:$AA$1315,DataRegularSeason20242025!$B$3:$B$1315, "&lt;=" &amp; DJ$1, DataRegularSeason20242025!$D$3:$D$1315, $A18)+SUMIFS(DataRegularSeason20242025!$AB$3:$AB$1315,DataRegularSeason20242025!$B$3:$B$1315, "&lt;=" &amp; DJ$1, DataRegularSeason20242025!$E$3:$E$1315, $A18)</f>
        <v>12</v>
      </c>
      <c r="DK18">
        <f>SUMIFS(DataRegularSeason20242025!$AA$3:$AA$1315,DataRegularSeason20242025!$B$3:$B$1315, "&lt;=" &amp; DK$1, DataRegularSeason20242025!$D$3:$D$1315, $A18)+SUMIFS(DataRegularSeason20242025!$AB$3:$AB$1315,DataRegularSeason20242025!$B$3:$B$1315, "&lt;=" &amp; DK$1, DataRegularSeason20242025!$E$3:$E$1315, $A18)</f>
        <v>12</v>
      </c>
      <c r="DL18">
        <f>SUMIFS(DataRegularSeason20242025!$AA$3:$AA$1315,DataRegularSeason20242025!$B$3:$B$1315, "&lt;=" &amp; DL$1, DataRegularSeason20242025!$D$3:$D$1315, $A18)+SUMIFS(DataRegularSeason20242025!$AB$3:$AB$1315,DataRegularSeason20242025!$B$3:$B$1315, "&lt;=" &amp; DL$1, DataRegularSeason20242025!$E$3:$E$1315, $A18)</f>
        <v>12</v>
      </c>
      <c r="DM18">
        <f>SUMIFS(DataRegularSeason20242025!$AA$3:$AA$1315,DataRegularSeason20242025!$B$3:$B$1315, "&lt;=" &amp; DM$1, DataRegularSeason20242025!$D$3:$D$1315, $A18)+SUMIFS(DataRegularSeason20242025!$AB$3:$AB$1315,DataRegularSeason20242025!$B$3:$B$1315, "&lt;=" &amp; DM$1, DataRegularSeason20242025!$E$3:$E$1315, $A18)</f>
        <v>12</v>
      </c>
      <c r="DN18">
        <f>SUMIFS(DataRegularSeason20242025!$AA$3:$AA$1315,DataRegularSeason20242025!$B$3:$B$1315, "&lt;=" &amp; DN$1, DataRegularSeason20242025!$D$3:$D$1315, $A18)+SUMIFS(DataRegularSeason20242025!$AB$3:$AB$1315,DataRegularSeason20242025!$B$3:$B$1315, "&lt;=" &amp; DN$1, DataRegularSeason20242025!$E$3:$E$1315, $A18)</f>
        <v>12</v>
      </c>
      <c r="DO18">
        <f>SUMIFS(DataRegularSeason20242025!$AA$3:$AA$1315,DataRegularSeason20242025!$B$3:$B$1315, "&lt;=" &amp; DO$1, DataRegularSeason20242025!$D$3:$D$1315, $A18)+SUMIFS(DataRegularSeason20242025!$AB$3:$AB$1315,DataRegularSeason20242025!$B$3:$B$1315, "&lt;=" &amp; DO$1, DataRegularSeason20242025!$E$3:$E$1315, $A18)</f>
        <v>12</v>
      </c>
      <c r="DP18">
        <f>SUMIFS(DataRegularSeason20242025!$AA$3:$AA$1315,DataRegularSeason20242025!$B$3:$B$1315, "&lt;=" &amp; DP$1, DataRegularSeason20242025!$D$3:$D$1315, $A18)+SUMIFS(DataRegularSeason20242025!$AB$3:$AB$1315,DataRegularSeason20242025!$B$3:$B$1315, "&lt;=" &amp; DP$1, DataRegularSeason20242025!$E$3:$E$1315, $A18)</f>
        <v>12</v>
      </c>
      <c r="DQ18">
        <f>SUMIFS(DataRegularSeason20242025!$AA$3:$AA$1315,DataRegularSeason20242025!$B$3:$B$1315, "&lt;=" &amp; DQ$1, DataRegularSeason20242025!$D$3:$D$1315, $A18)+SUMIFS(DataRegularSeason20242025!$AB$3:$AB$1315,DataRegularSeason20242025!$B$3:$B$1315, "&lt;=" &amp; DQ$1, DataRegularSeason20242025!$E$3:$E$1315, $A18)</f>
        <v>12</v>
      </c>
      <c r="DR18">
        <f>SUMIFS(DataRegularSeason20242025!$AA$3:$AA$1315,DataRegularSeason20242025!$B$3:$B$1315, "&lt;=" &amp; DR$1, DataRegularSeason20242025!$D$3:$D$1315, $A18)+SUMIFS(DataRegularSeason20242025!$AB$3:$AB$1315,DataRegularSeason20242025!$B$3:$B$1315, "&lt;=" &amp; DR$1, DataRegularSeason20242025!$E$3:$E$1315, $A18)</f>
        <v>12</v>
      </c>
      <c r="DS18">
        <f>SUMIFS(DataRegularSeason20242025!$AA$3:$AA$1315,DataRegularSeason20242025!$B$3:$B$1315, "&lt;=" &amp; DS$1, DataRegularSeason20242025!$D$3:$D$1315, $A18)+SUMIFS(DataRegularSeason20242025!$AB$3:$AB$1315,DataRegularSeason20242025!$B$3:$B$1315, "&lt;=" &amp; DS$1, DataRegularSeason20242025!$E$3:$E$1315, $A18)</f>
        <v>12</v>
      </c>
      <c r="DT18">
        <f>SUMIFS(DataRegularSeason20242025!$AA$3:$AA$1315,DataRegularSeason20242025!$B$3:$B$1315, "&lt;=" &amp; DT$1, DataRegularSeason20242025!$D$3:$D$1315, $A18)+SUMIFS(DataRegularSeason20242025!$AB$3:$AB$1315,DataRegularSeason20242025!$B$3:$B$1315, "&lt;=" &amp; DT$1, DataRegularSeason20242025!$E$3:$E$1315, $A18)</f>
        <v>12</v>
      </c>
      <c r="DU18">
        <f>SUMIFS(DataRegularSeason20242025!$AA$3:$AA$1315,DataRegularSeason20242025!$B$3:$B$1315, "&lt;=" &amp; DU$1, DataRegularSeason20242025!$D$3:$D$1315, $A18)+SUMIFS(DataRegularSeason20242025!$AB$3:$AB$1315,DataRegularSeason20242025!$B$3:$B$1315, "&lt;=" &amp; DU$1, DataRegularSeason20242025!$E$3:$E$1315, $A18)</f>
        <v>12</v>
      </c>
      <c r="DV18">
        <f>SUMIFS(DataRegularSeason20242025!$AA$3:$AA$1315,DataRegularSeason20242025!$B$3:$B$1315, "&lt;=" &amp; DV$1, DataRegularSeason20242025!$D$3:$D$1315, $A18)+SUMIFS(DataRegularSeason20242025!$AB$3:$AB$1315,DataRegularSeason20242025!$B$3:$B$1315, "&lt;=" &amp; DV$1, DataRegularSeason20242025!$E$3:$E$1315, $A18)</f>
        <v>12</v>
      </c>
      <c r="DW18">
        <f>SUMIFS(DataRegularSeason20242025!$AA$3:$AA$1315,DataRegularSeason20242025!$B$3:$B$1315, "&lt;=" &amp; DW$1, DataRegularSeason20242025!$D$3:$D$1315, $A18)+SUMIFS(DataRegularSeason20242025!$AB$3:$AB$1315,DataRegularSeason20242025!$B$3:$B$1315, "&lt;=" &amp; DW$1, DataRegularSeason20242025!$E$3:$E$1315, $A18)</f>
        <v>12</v>
      </c>
      <c r="DX18">
        <f>SUMIFS(DataRegularSeason20242025!$AA$3:$AA$1315,DataRegularSeason20242025!$B$3:$B$1315, "&lt;=" &amp; DX$1, DataRegularSeason20242025!$D$3:$D$1315, $A18)+SUMIFS(DataRegularSeason20242025!$AB$3:$AB$1315,DataRegularSeason20242025!$B$3:$B$1315, "&lt;=" &amp; DX$1, DataRegularSeason20242025!$E$3:$E$1315, $A18)</f>
        <v>12</v>
      </c>
      <c r="DY18">
        <f>SUMIFS(DataRegularSeason20242025!$AA$3:$AA$1315,DataRegularSeason20242025!$B$3:$B$1315, "&lt;=" &amp; DY$1, DataRegularSeason20242025!$D$3:$D$1315, $A18)+SUMIFS(DataRegularSeason20242025!$AB$3:$AB$1315,DataRegularSeason20242025!$B$3:$B$1315, "&lt;=" &amp; DY$1, DataRegularSeason20242025!$E$3:$E$1315, $A18)</f>
        <v>12</v>
      </c>
      <c r="DZ18">
        <f>SUMIFS(DataRegularSeason20242025!$AA$3:$AA$1315,DataRegularSeason20242025!$B$3:$B$1315, "&lt;=" &amp; DZ$1, DataRegularSeason20242025!$D$3:$D$1315, $A18)+SUMIFS(DataRegularSeason20242025!$AB$3:$AB$1315,DataRegularSeason20242025!$B$3:$B$1315, "&lt;=" &amp; DZ$1, DataRegularSeason20242025!$E$3:$E$1315, $A18)</f>
        <v>12</v>
      </c>
      <c r="EA18">
        <f>SUMIFS(DataRegularSeason20242025!$AA$3:$AA$1315,DataRegularSeason20242025!$B$3:$B$1315, "&lt;=" &amp; EA$1, DataRegularSeason20242025!$D$3:$D$1315, $A18)+SUMIFS(DataRegularSeason20242025!$AB$3:$AB$1315,DataRegularSeason20242025!$B$3:$B$1315, "&lt;=" &amp; EA$1, DataRegularSeason20242025!$E$3:$E$1315, $A18)</f>
        <v>12</v>
      </c>
      <c r="EB18">
        <f>SUMIFS(DataRegularSeason20242025!$AA$3:$AA$1315,DataRegularSeason20242025!$B$3:$B$1315, "&lt;=" &amp; EB$1, DataRegularSeason20242025!$D$3:$D$1315, $A18)+SUMIFS(DataRegularSeason20242025!$AB$3:$AB$1315,DataRegularSeason20242025!$B$3:$B$1315, "&lt;=" &amp; EB$1, DataRegularSeason20242025!$E$3:$E$1315, $A18)</f>
        <v>12</v>
      </c>
      <c r="EC18">
        <f>SUMIFS(DataRegularSeason20242025!$AA$3:$AA$1315,DataRegularSeason20242025!$B$3:$B$1315, "&lt;=" &amp; EC$1, DataRegularSeason20242025!$D$3:$D$1315, $A18)+SUMIFS(DataRegularSeason20242025!$AB$3:$AB$1315,DataRegularSeason20242025!$B$3:$B$1315, "&lt;=" &amp; EC$1, DataRegularSeason20242025!$E$3:$E$1315, $A18)</f>
        <v>12</v>
      </c>
      <c r="ED18">
        <f>SUMIFS(DataRegularSeason20242025!$AA$3:$AA$1315,DataRegularSeason20242025!$B$3:$B$1315, "&lt;=" &amp; ED$1, DataRegularSeason20242025!$D$3:$D$1315, $A18)+SUMIFS(DataRegularSeason20242025!$AB$3:$AB$1315,DataRegularSeason20242025!$B$3:$B$1315, "&lt;=" &amp; ED$1, DataRegularSeason20242025!$E$3:$E$1315, $A18)</f>
        <v>12</v>
      </c>
      <c r="EE18">
        <f>SUMIFS(DataRegularSeason20242025!$AA$3:$AA$1315,DataRegularSeason20242025!$B$3:$B$1315, "&lt;=" &amp; EE$1, DataRegularSeason20242025!$D$3:$D$1315, $A18)+SUMIFS(DataRegularSeason20242025!$AB$3:$AB$1315,DataRegularSeason20242025!$B$3:$B$1315, "&lt;=" &amp; EE$1, DataRegularSeason20242025!$E$3:$E$1315, $A18)</f>
        <v>12</v>
      </c>
      <c r="EF18">
        <f>SUMIFS(DataRegularSeason20242025!$AA$3:$AA$1315,DataRegularSeason20242025!$B$3:$B$1315, "&lt;=" &amp; EF$1, DataRegularSeason20242025!$D$3:$D$1315, $A18)+SUMIFS(DataRegularSeason20242025!$AB$3:$AB$1315,DataRegularSeason20242025!$B$3:$B$1315, "&lt;=" &amp; EF$1, DataRegularSeason20242025!$E$3:$E$1315, $A18)</f>
        <v>12</v>
      </c>
      <c r="EG18">
        <f>SUMIFS(DataRegularSeason20242025!$AA$3:$AA$1315,DataRegularSeason20242025!$B$3:$B$1315, "&lt;=" &amp; EG$1, DataRegularSeason20242025!$D$3:$D$1315, $A18)+SUMIFS(DataRegularSeason20242025!$AB$3:$AB$1315,DataRegularSeason20242025!$B$3:$B$1315, "&lt;=" &amp; EG$1, DataRegularSeason20242025!$E$3:$E$1315, $A18)</f>
        <v>12</v>
      </c>
      <c r="EH18">
        <f>SUMIFS(DataRegularSeason20242025!$AA$3:$AA$1315,DataRegularSeason20242025!$B$3:$B$1315, "&lt;=" &amp; EH$1, DataRegularSeason20242025!$D$3:$D$1315, $A18)+SUMIFS(DataRegularSeason20242025!$AB$3:$AB$1315,DataRegularSeason20242025!$B$3:$B$1315, "&lt;=" &amp; EH$1, DataRegularSeason20242025!$E$3:$E$1315, $A18)</f>
        <v>12</v>
      </c>
      <c r="EI18">
        <f>SUMIFS(DataRegularSeason20242025!$AA$3:$AA$1315,DataRegularSeason20242025!$B$3:$B$1315, "&lt;=" &amp; EI$1, DataRegularSeason20242025!$D$3:$D$1315, $A18)+SUMIFS(DataRegularSeason20242025!$AB$3:$AB$1315,DataRegularSeason20242025!$B$3:$B$1315, "&lt;=" &amp; EI$1, DataRegularSeason20242025!$E$3:$E$1315, $A18)</f>
        <v>12</v>
      </c>
      <c r="EJ18">
        <f>SUMIFS(DataRegularSeason20242025!$AA$3:$AA$1315,DataRegularSeason20242025!$B$3:$B$1315, "&lt;=" &amp; EJ$1, DataRegularSeason20242025!$D$3:$D$1315, $A18)+SUMIFS(DataRegularSeason20242025!$AB$3:$AB$1315,DataRegularSeason20242025!$B$3:$B$1315, "&lt;=" &amp; EJ$1, DataRegularSeason20242025!$E$3:$E$1315, $A18)</f>
        <v>12</v>
      </c>
      <c r="EK18">
        <f>SUMIFS(DataRegularSeason20242025!$AA$3:$AA$1315,DataRegularSeason20242025!$B$3:$B$1315, "&lt;=" &amp; EK$1, DataRegularSeason20242025!$D$3:$D$1315, $A18)+SUMIFS(DataRegularSeason20242025!$AB$3:$AB$1315,DataRegularSeason20242025!$B$3:$B$1315, "&lt;=" &amp; EK$1, DataRegularSeason20242025!$E$3:$E$1315, $A18)</f>
        <v>12</v>
      </c>
      <c r="EL18">
        <f>SUMIFS(DataRegularSeason20242025!$AA$3:$AA$1315,DataRegularSeason20242025!$B$3:$B$1315, "&lt;=" &amp; EL$1, DataRegularSeason20242025!$D$3:$D$1315, $A18)+SUMIFS(DataRegularSeason20242025!$AB$3:$AB$1315,DataRegularSeason20242025!$B$3:$B$1315, "&lt;=" &amp; EL$1, DataRegularSeason20242025!$E$3:$E$1315, $A18)</f>
        <v>12</v>
      </c>
      <c r="EM18">
        <f>SUMIFS(DataRegularSeason20242025!$AA$3:$AA$1315,DataRegularSeason20242025!$B$3:$B$1315, "&lt;=" &amp; EM$1, DataRegularSeason20242025!$D$3:$D$1315, $A18)+SUMIFS(DataRegularSeason20242025!$AB$3:$AB$1315,DataRegularSeason20242025!$B$3:$B$1315, "&lt;=" &amp; EM$1, DataRegularSeason20242025!$E$3:$E$1315, $A18)</f>
        <v>12</v>
      </c>
      <c r="EN18">
        <f>SUMIFS(DataRegularSeason20242025!$AA$3:$AA$1315,DataRegularSeason20242025!$B$3:$B$1315, "&lt;=" &amp; EN$1, DataRegularSeason20242025!$D$3:$D$1315, $A18)+SUMIFS(DataRegularSeason20242025!$AB$3:$AB$1315,DataRegularSeason20242025!$B$3:$B$1315, "&lt;=" &amp; EN$1, DataRegularSeason20242025!$E$3:$E$1315, $A18)</f>
        <v>12</v>
      </c>
      <c r="EO18">
        <f>SUMIFS(DataRegularSeason20242025!$AA$3:$AA$1315,DataRegularSeason20242025!$B$3:$B$1315, "&lt;=" &amp; EO$1, DataRegularSeason20242025!$D$3:$D$1315, $A18)+SUMIFS(DataRegularSeason20242025!$AB$3:$AB$1315,DataRegularSeason20242025!$B$3:$B$1315, "&lt;=" &amp; EO$1, DataRegularSeason20242025!$E$3:$E$1315, $A18)</f>
        <v>12</v>
      </c>
      <c r="EP18">
        <f>SUMIFS(DataRegularSeason20242025!$AA$3:$AA$1315,DataRegularSeason20242025!$B$3:$B$1315, "&lt;=" &amp; EP$1, DataRegularSeason20242025!$D$3:$D$1315, $A18)+SUMIFS(DataRegularSeason20242025!$AB$3:$AB$1315,DataRegularSeason20242025!$B$3:$B$1315, "&lt;=" &amp; EP$1, DataRegularSeason20242025!$E$3:$E$1315, $A18)</f>
        <v>12</v>
      </c>
      <c r="EQ18">
        <f>SUMIFS(DataRegularSeason20242025!$AA$3:$AA$1315,DataRegularSeason20242025!$B$3:$B$1315, "&lt;=" &amp; EQ$1, DataRegularSeason20242025!$D$3:$D$1315, $A18)+SUMIFS(DataRegularSeason20242025!$AB$3:$AB$1315,DataRegularSeason20242025!$B$3:$B$1315, "&lt;=" &amp; EQ$1, DataRegularSeason20242025!$E$3:$E$1315, $A18)</f>
        <v>12</v>
      </c>
      <c r="ER18">
        <f>SUMIFS(DataRegularSeason20242025!$AA$3:$AA$1315,DataRegularSeason20242025!$B$3:$B$1315, "&lt;=" &amp; ER$1, DataRegularSeason20242025!$D$3:$D$1315, $A18)+SUMIFS(DataRegularSeason20242025!$AB$3:$AB$1315,DataRegularSeason20242025!$B$3:$B$1315, "&lt;=" &amp; ER$1, DataRegularSeason20242025!$E$3:$E$1315, $A18)</f>
        <v>12</v>
      </c>
      <c r="ES18">
        <f>SUMIFS(DataRegularSeason20242025!$AA$3:$AA$1315,DataRegularSeason20242025!$B$3:$B$1315, "&lt;=" &amp; ES$1, DataRegularSeason20242025!$D$3:$D$1315, $A18)+SUMIFS(DataRegularSeason20242025!$AB$3:$AB$1315,DataRegularSeason20242025!$B$3:$B$1315, "&lt;=" &amp; ES$1, DataRegularSeason20242025!$E$3:$E$1315, $A18)</f>
        <v>12</v>
      </c>
      <c r="ET18">
        <f>SUMIFS(DataRegularSeason20242025!$AA$3:$AA$1315,DataRegularSeason20242025!$B$3:$B$1315, "&lt;=" &amp; ET$1, DataRegularSeason20242025!$D$3:$D$1315, $A18)+SUMIFS(DataRegularSeason20242025!$AB$3:$AB$1315,DataRegularSeason20242025!$B$3:$B$1315, "&lt;=" &amp; ET$1, DataRegularSeason20242025!$E$3:$E$1315, $A18)</f>
        <v>12</v>
      </c>
      <c r="EU18">
        <f>SUMIFS(DataRegularSeason20242025!$AA$3:$AA$1315,DataRegularSeason20242025!$B$3:$B$1315, "&lt;=" &amp; EU$1, DataRegularSeason20242025!$D$3:$D$1315, $A18)+SUMIFS(DataRegularSeason20242025!$AB$3:$AB$1315,DataRegularSeason20242025!$B$3:$B$1315, "&lt;=" &amp; EU$1, DataRegularSeason20242025!$E$3:$E$1315, $A18)</f>
        <v>12</v>
      </c>
      <c r="EV18">
        <f>SUMIFS(DataRegularSeason20242025!$AA$3:$AA$1315,DataRegularSeason20242025!$B$3:$B$1315, "&lt;=" &amp; EV$1, DataRegularSeason20242025!$D$3:$D$1315, $A18)+SUMIFS(DataRegularSeason20242025!$AB$3:$AB$1315,DataRegularSeason20242025!$B$3:$B$1315, "&lt;=" &amp; EV$1, DataRegularSeason20242025!$E$3:$E$1315, $A18)</f>
        <v>12</v>
      </c>
      <c r="EW18">
        <f>SUMIFS(DataRegularSeason20242025!$AA$3:$AA$1315,DataRegularSeason20242025!$B$3:$B$1315, "&lt;=" &amp; EW$1, DataRegularSeason20242025!$D$3:$D$1315, $A18)+SUMIFS(DataRegularSeason20242025!$AB$3:$AB$1315,DataRegularSeason20242025!$B$3:$B$1315, "&lt;=" &amp; EW$1, DataRegularSeason20242025!$E$3:$E$1315, $A18)</f>
        <v>12</v>
      </c>
      <c r="EX18">
        <f>SUMIFS(DataRegularSeason20242025!$AA$3:$AA$1315,DataRegularSeason20242025!$B$3:$B$1315, "&lt;=" &amp; EX$1, DataRegularSeason20242025!$D$3:$D$1315, $A18)+SUMIFS(DataRegularSeason20242025!$AB$3:$AB$1315,DataRegularSeason20242025!$B$3:$B$1315, "&lt;=" &amp; EX$1, DataRegularSeason20242025!$E$3:$E$1315, $A18)</f>
        <v>12</v>
      </c>
      <c r="EY18">
        <f>SUMIFS(DataRegularSeason20242025!$AA$3:$AA$1315,DataRegularSeason20242025!$B$3:$B$1315, "&lt;=" &amp; EY$1, DataRegularSeason20242025!$D$3:$D$1315, $A18)+SUMIFS(DataRegularSeason20242025!$AB$3:$AB$1315,DataRegularSeason20242025!$B$3:$B$1315, "&lt;=" &amp; EY$1, DataRegularSeason20242025!$E$3:$E$1315, $A18)</f>
        <v>12</v>
      </c>
      <c r="EZ18">
        <f>SUMIFS(DataRegularSeason20242025!$AA$3:$AA$1315,DataRegularSeason20242025!$B$3:$B$1315, "&lt;=" &amp; EZ$1, DataRegularSeason20242025!$D$3:$D$1315, $A18)+SUMIFS(DataRegularSeason20242025!$AB$3:$AB$1315,DataRegularSeason20242025!$B$3:$B$1315, "&lt;=" &amp; EZ$1, DataRegularSeason20242025!$E$3:$E$1315, $A18)</f>
        <v>12</v>
      </c>
      <c r="FA18">
        <f>SUMIFS(DataRegularSeason20242025!$AA$3:$AA$1315,DataRegularSeason20242025!$B$3:$B$1315, "&lt;=" &amp; FA$1, DataRegularSeason20242025!$D$3:$D$1315, $A18)+SUMIFS(DataRegularSeason20242025!$AB$3:$AB$1315,DataRegularSeason20242025!$B$3:$B$1315, "&lt;=" &amp; FA$1, DataRegularSeason20242025!$E$3:$E$1315, $A18)</f>
        <v>12</v>
      </c>
      <c r="FB18">
        <f>SUMIFS(DataRegularSeason20242025!$AA$3:$AA$1315,DataRegularSeason20242025!$B$3:$B$1315, "&lt;=" &amp; FB$1, DataRegularSeason20242025!$D$3:$D$1315, $A18)+SUMIFS(DataRegularSeason20242025!$AB$3:$AB$1315,DataRegularSeason20242025!$B$3:$B$1315, "&lt;=" &amp; FB$1, DataRegularSeason20242025!$E$3:$E$1315, $A18)</f>
        <v>12</v>
      </c>
      <c r="FC18">
        <f>SUMIFS(DataRegularSeason20242025!$AA$3:$AA$1315,DataRegularSeason20242025!$B$3:$B$1315, "&lt;=" &amp; FC$1, DataRegularSeason20242025!$D$3:$D$1315, $A18)+SUMIFS(DataRegularSeason20242025!$AB$3:$AB$1315,DataRegularSeason20242025!$B$3:$B$1315, "&lt;=" &amp; FC$1, DataRegularSeason20242025!$E$3:$E$1315, $A18)</f>
        <v>12</v>
      </c>
      <c r="FD18">
        <f>SUMIFS(DataRegularSeason20242025!$AA$3:$AA$1315,DataRegularSeason20242025!$B$3:$B$1315, "&lt;=" &amp; FD$1, DataRegularSeason20242025!$D$3:$D$1315, $A18)+SUMIFS(DataRegularSeason20242025!$AB$3:$AB$1315,DataRegularSeason20242025!$B$3:$B$1315, "&lt;=" &amp; FD$1, DataRegularSeason20242025!$E$3:$E$1315, $A18)</f>
        <v>12</v>
      </c>
      <c r="FE18">
        <f>SUMIFS(DataRegularSeason20242025!$AA$3:$AA$1315,DataRegularSeason20242025!$B$3:$B$1315, "&lt;=" &amp; FE$1, DataRegularSeason20242025!$D$3:$D$1315, $A18)+SUMIFS(DataRegularSeason20242025!$AB$3:$AB$1315,DataRegularSeason20242025!$B$3:$B$1315, "&lt;=" &amp; FE$1, DataRegularSeason20242025!$E$3:$E$1315, $A18)</f>
        <v>12</v>
      </c>
      <c r="FF18">
        <f>SUMIFS(DataRegularSeason20242025!$AA$3:$AA$1315,DataRegularSeason20242025!$B$3:$B$1315, "&lt;=" &amp; FF$1, DataRegularSeason20242025!$D$3:$D$1315, $A18)+SUMIFS(DataRegularSeason20242025!$AB$3:$AB$1315,DataRegularSeason20242025!$B$3:$B$1315, "&lt;=" &amp; FF$1, DataRegularSeason20242025!$E$3:$E$1315, $A18)</f>
        <v>12</v>
      </c>
      <c r="FG18">
        <f>SUMIFS(DataRegularSeason20242025!$AA$3:$AA$1315,DataRegularSeason20242025!$B$3:$B$1315, "&lt;=" &amp; FG$1, DataRegularSeason20242025!$D$3:$D$1315, $A18)+SUMIFS(DataRegularSeason20242025!$AB$3:$AB$1315,DataRegularSeason20242025!$B$3:$B$1315, "&lt;=" &amp; FG$1, DataRegularSeason20242025!$E$3:$E$1315, $A18)</f>
        <v>12</v>
      </c>
      <c r="FH18">
        <f>SUMIFS(DataRegularSeason20242025!$AA$3:$AA$1315,DataRegularSeason20242025!$B$3:$B$1315, "&lt;=" &amp; FH$1, DataRegularSeason20242025!$D$3:$D$1315, $A18)+SUMIFS(DataRegularSeason20242025!$AB$3:$AB$1315,DataRegularSeason20242025!$B$3:$B$1315, "&lt;=" &amp; FH$1, DataRegularSeason20242025!$E$3:$E$1315, $A18)</f>
        <v>12</v>
      </c>
      <c r="FI18">
        <f>SUMIFS(DataRegularSeason20242025!$AA$3:$AA$1315,DataRegularSeason20242025!$B$3:$B$1315, "&lt;=" &amp; FI$1, DataRegularSeason20242025!$D$3:$D$1315, $A18)+SUMIFS(DataRegularSeason20242025!$AB$3:$AB$1315,DataRegularSeason20242025!$B$3:$B$1315, "&lt;=" &amp; FI$1, DataRegularSeason20242025!$E$3:$E$1315, $A18)</f>
        <v>12</v>
      </c>
      <c r="FJ18">
        <f>SUMIFS(DataRegularSeason20242025!$AA$3:$AA$1315,DataRegularSeason20242025!$B$3:$B$1315, "&lt;=" &amp; FJ$1, DataRegularSeason20242025!$D$3:$D$1315, $A18)+SUMIFS(DataRegularSeason20242025!$AB$3:$AB$1315,DataRegularSeason20242025!$B$3:$B$1315, "&lt;=" &amp; FJ$1, DataRegularSeason20242025!$E$3:$E$1315, $A18)</f>
        <v>12</v>
      </c>
      <c r="FK18">
        <f>SUMIFS(DataRegularSeason20242025!$AA$3:$AA$1315,DataRegularSeason20242025!$B$3:$B$1315, "&lt;=" &amp; FK$1, DataRegularSeason20242025!$D$3:$D$1315, $A18)+SUMIFS(DataRegularSeason20242025!$AB$3:$AB$1315,DataRegularSeason20242025!$B$3:$B$1315, "&lt;=" &amp; FK$1, DataRegularSeason20242025!$E$3:$E$1315, $A18)</f>
        <v>12</v>
      </c>
      <c r="FL18">
        <f>SUMIFS(DataRegularSeason20242025!$AA$3:$AA$1315,DataRegularSeason20242025!$B$3:$B$1315, "&lt;=" &amp; FL$1, DataRegularSeason20242025!$D$3:$D$1315, $A18)+SUMIFS(DataRegularSeason20242025!$AB$3:$AB$1315,DataRegularSeason20242025!$B$3:$B$1315, "&lt;=" &amp; FL$1, DataRegularSeason20242025!$E$3:$E$1315, $A18)</f>
        <v>12</v>
      </c>
      <c r="FM18">
        <f>SUMIFS(DataRegularSeason20242025!$AA$3:$AA$1315,DataRegularSeason20242025!$B$3:$B$1315, "&lt;=" &amp; FM$1, DataRegularSeason20242025!$D$3:$D$1315, $A18)+SUMIFS(DataRegularSeason20242025!$AB$3:$AB$1315,DataRegularSeason20242025!$B$3:$B$1315, "&lt;=" &amp; FM$1, DataRegularSeason20242025!$E$3:$E$1315, $A18)</f>
        <v>12</v>
      </c>
      <c r="FN18">
        <f>SUMIFS(DataRegularSeason20242025!$AA$3:$AA$1315,DataRegularSeason20242025!$B$3:$B$1315, "&lt;=" &amp; FN$1, DataRegularSeason20242025!$D$3:$D$1315, $A18)+SUMIFS(DataRegularSeason20242025!$AB$3:$AB$1315,DataRegularSeason20242025!$B$3:$B$1315, "&lt;=" &amp; FN$1, DataRegularSeason20242025!$E$3:$E$1315, $A18)</f>
        <v>12</v>
      </c>
      <c r="FO18">
        <f>SUMIFS(DataRegularSeason20242025!$AA$3:$AA$1315,DataRegularSeason20242025!$B$3:$B$1315, "&lt;=" &amp; FO$1, DataRegularSeason20242025!$D$3:$D$1315, $A18)+SUMIFS(DataRegularSeason20242025!$AB$3:$AB$1315,DataRegularSeason20242025!$B$3:$B$1315, "&lt;=" &amp; FO$1, DataRegularSeason20242025!$E$3:$E$1315, $A18)</f>
        <v>12</v>
      </c>
      <c r="FP18">
        <f>SUMIFS(DataRegularSeason20242025!$AA$3:$AA$1315,DataRegularSeason20242025!$B$3:$B$1315, "&lt;=" &amp; FP$1, DataRegularSeason20242025!$D$3:$D$1315, $A18)+SUMIFS(DataRegularSeason20242025!$AB$3:$AB$1315,DataRegularSeason20242025!$B$3:$B$1315, "&lt;=" &amp; FP$1, DataRegularSeason20242025!$E$3:$E$1315, $A18)</f>
        <v>12</v>
      </c>
      <c r="FQ18">
        <f>SUMIFS(DataRegularSeason20242025!$AA$3:$AA$1315,DataRegularSeason20242025!$B$3:$B$1315, "&lt;=" &amp; FQ$1, DataRegularSeason20242025!$D$3:$D$1315, $A18)+SUMIFS(DataRegularSeason20242025!$AB$3:$AB$1315,DataRegularSeason20242025!$B$3:$B$1315, "&lt;=" &amp; FQ$1, DataRegularSeason20242025!$E$3:$E$1315, $A18)</f>
        <v>12</v>
      </c>
      <c r="FR18">
        <f>SUMIFS(DataRegularSeason20242025!$AA$3:$AA$1315,DataRegularSeason20242025!$B$3:$B$1315, "&lt;=" &amp; FR$1, DataRegularSeason20242025!$D$3:$D$1315, $A18)+SUMIFS(DataRegularSeason20242025!$AB$3:$AB$1315,DataRegularSeason20242025!$B$3:$B$1315, "&lt;=" &amp; FR$1, DataRegularSeason20242025!$E$3:$E$1315, $A18)</f>
        <v>12</v>
      </c>
      <c r="FS18">
        <f>SUMIFS(DataRegularSeason20242025!$AA$3:$AA$1315,DataRegularSeason20242025!$B$3:$B$1315, "&lt;=" &amp; FS$1, DataRegularSeason20242025!$D$3:$D$1315, $A18)+SUMIFS(DataRegularSeason20242025!$AB$3:$AB$1315,DataRegularSeason20242025!$B$3:$B$1315, "&lt;=" &amp; FS$1, DataRegularSeason20242025!$E$3:$E$1315, $A18)</f>
        <v>12</v>
      </c>
      <c r="FT18">
        <f>SUMIFS(DataRegularSeason20242025!$AA$3:$AA$1315,DataRegularSeason20242025!$B$3:$B$1315, "&lt;=" &amp; FT$1, DataRegularSeason20242025!$D$3:$D$1315, $A18)+SUMIFS(DataRegularSeason20242025!$AB$3:$AB$1315,DataRegularSeason20242025!$B$3:$B$1315, "&lt;=" &amp; FT$1, DataRegularSeason20242025!$E$3:$E$1315, $A18)</f>
        <v>12</v>
      </c>
      <c r="FU18">
        <f>SUMIFS(DataRegularSeason20242025!$AA$3:$AA$1315,DataRegularSeason20242025!$B$3:$B$1315, "&lt;=" &amp; FU$1, DataRegularSeason20242025!$D$3:$D$1315, $A18)+SUMIFS(DataRegularSeason20242025!$AB$3:$AB$1315,DataRegularSeason20242025!$B$3:$B$1315, "&lt;=" &amp; FU$1, DataRegularSeason20242025!$E$3:$E$1315, $A18)</f>
        <v>12</v>
      </c>
      <c r="FV18">
        <f>SUMIFS(DataRegularSeason20242025!$AA$3:$AA$1315,DataRegularSeason20242025!$B$3:$B$1315, "&lt;=" &amp; FV$1, DataRegularSeason20242025!$D$3:$D$1315, $A18)+SUMIFS(DataRegularSeason20242025!$AB$3:$AB$1315,DataRegularSeason20242025!$B$3:$B$1315, "&lt;=" &amp; FV$1, DataRegularSeason20242025!$E$3:$E$1315, $A18)</f>
        <v>12</v>
      </c>
      <c r="FW18">
        <f>SUMIFS(DataRegularSeason20242025!$AA$3:$AA$1315,DataRegularSeason20242025!$B$3:$B$1315, "&lt;=" &amp; FW$1, DataRegularSeason20242025!$D$3:$D$1315, $A18)+SUMIFS(DataRegularSeason20242025!$AB$3:$AB$1315,DataRegularSeason20242025!$B$3:$B$1315, "&lt;=" &amp; FW$1, DataRegularSeason20242025!$E$3:$E$1315, $A18)</f>
        <v>12</v>
      </c>
      <c r="FX18">
        <f>SUMIFS(DataRegularSeason20242025!$AA$3:$AA$1315,DataRegularSeason20242025!$B$3:$B$1315, "&lt;=" &amp; FX$1, DataRegularSeason20242025!$D$3:$D$1315, $A18)+SUMIFS(DataRegularSeason20242025!$AB$3:$AB$1315,DataRegularSeason20242025!$B$3:$B$1315, "&lt;=" &amp; FX$1, DataRegularSeason20242025!$E$3:$E$1315, $A18)</f>
        <v>12</v>
      </c>
      <c r="FY18">
        <f>SUMIFS(DataRegularSeason20242025!$AA$3:$AA$1315,DataRegularSeason20242025!$B$3:$B$1315, "&lt;=" &amp; FY$1, DataRegularSeason20242025!$D$3:$D$1315, $A18)+SUMIFS(DataRegularSeason20242025!$AB$3:$AB$1315,DataRegularSeason20242025!$B$3:$B$1315, "&lt;=" &amp; FY$1, DataRegularSeason20242025!$E$3:$E$1315, $A18)</f>
        <v>12</v>
      </c>
      <c r="FZ18">
        <f>SUMIFS(DataRegularSeason20242025!$AA$3:$AA$1315,DataRegularSeason20242025!$B$3:$B$1315, "&lt;=" &amp; FZ$1, DataRegularSeason20242025!$D$3:$D$1315, $A18)+SUMIFS(DataRegularSeason20242025!$AB$3:$AB$1315,DataRegularSeason20242025!$B$3:$B$1315, "&lt;=" &amp; FZ$1, DataRegularSeason20242025!$E$3:$E$1315, $A18)</f>
        <v>12</v>
      </c>
      <c r="GA18">
        <f>SUMIFS(DataRegularSeason20242025!$AA$3:$AA$1315,DataRegularSeason20242025!$B$3:$B$1315, "&lt;=" &amp; GA$1, DataRegularSeason20242025!$D$3:$D$1315, $A18)+SUMIFS(DataRegularSeason20242025!$AB$3:$AB$1315,DataRegularSeason20242025!$B$3:$B$1315, "&lt;=" &amp; GA$1, DataRegularSeason20242025!$E$3:$E$1315, $A18)</f>
        <v>12</v>
      </c>
      <c r="GB18">
        <f>SUMIFS(DataRegularSeason20242025!$AA$3:$AA$1315,DataRegularSeason20242025!$B$3:$B$1315, "&lt;=" &amp; GB$1, DataRegularSeason20242025!$D$3:$D$1315, $A18)+SUMIFS(DataRegularSeason20242025!$AB$3:$AB$1315,DataRegularSeason20242025!$B$3:$B$1315, "&lt;=" &amp; GB$1, DataRegularSeason20242025!$E$3:$E$1315, $A18)</f>
        <v>12</v>
      </c>
      <c r="GC18">
        <f>SUMIFS(DataRegularSeason20242025!$AA$3:$AA$1315,DataRegularSeason20242025!$B$3:$B$1315, "&lt;=" &amp; GC$1, DataRegularSeason20242025!$D$3:$D$1315, $A18)+SUMIFS(DataRegularSeason20242025!$AB$3:$AB$1315,DataRegularSeason20242025!$B$3:$B$1315, "&lt;=" &amp; GC$1, DataRegularSeason20242025!$E$3:$E$1315, $A18)</f>
        <v>12</v>
      </c>
      <c r="GD18">
        <f>SUMIFS(DataRegularSeason20242025!$AA$3:$AA$1315,DataRegularSeason20242025!$B$3:$B$1315, "&lt;=" &amp; GD$1, DataRegularSeason20242025!$D$3:$D$1315, $A18)+SUMIFS(DataRegularSeason20242025!$AB$3:$AB$1315,DataRegularSeason20242025!$B$3:$B$1315, "&lt;=" &amp; GD$1, DataRegularSeason20242025!$E$3:$E$1315, $A18)</f>
        <v>12</v>
      </c>
      <c r="GE18">
        <f>SUMIFS(DataRegularSeason20242025!$AA$3:$AA$1315,DataRegularSeason20242025!$B$3:$B$1315, "&lt;=" &amp; GE$1, DataRegularSeason20242025!$D$3:$D$1315, $A18)+SUMIFS(DataRegularSeason20242025!$AB$3:$AB$1315,DataRegularSeason20242025!$B$3:$B$1315, "&lt;=" &amp; GE$1, DataRegularSeason20242025!$E$3:$E$1315, $A18)</f>
        <v>12</v>
      </c>
      <c r="GF18">
        <f>SUMIFS(DataRegularSeason20242025!$AA$3:$AA$1315,DataRegularSeason20242025!$B$3:$B$1315, "&lt;=" &amp; GF$1, DataRegularSeason20242025!$D$3:$D$1315, $A18)+SUMIFS(DataRegularSeason20242025!$AB$3:$AB$1315,DataRegularSeason20242025!$B$3:$B$1315, "&lt;=" &amp; GF$1, DataRegularSeason20242025!$E$3:$E$1315, $A18)</f>
        <v>12</v>
      </c>
      <c r="GG18">
        <f>SUMIFS(DataRegularSeason20242025!$AA$3:$AA$1315,DataRegularSeason20242025!$B$3:$B$1315, "&lt;=" &amp; GG$1, DataRegularSeason20242025!$D$3:$D$1315, $A18)+SUMIFS(DataRegularSeason20242025!$AB$3:$AB$1315,DataRegularSeason20242025!$B$3:$B$1315, "&lt;=" &amp; GG$1, DataRegularSeason20242025!$E$3:$E$1315, $A18)</f>
        <v>12</v>
      </c>
      <c r="GH18">
        <f>SUMIFS(DataRegularSeason20242025!$AA$3:$AA$1315,DataRegularSeason20242025!$B$3:$B$1315, "&lt;=" &amp; GH$1, DataRegularSeason20242025!$D$3:$D$1315, $A18)+SUMIFS(DataRegularSeason20242025!$AB$3:$AB$1315,DataRegularSeason20242025!$B$3:$B$1315, "&lt;=" &amp; GH$1, DataRegularSeason20242025!$E$3:$E$1315, $A18)</f>
        <v>12</v>
      </c>
      <c r="GI18">
        <f>SUMIFS(DataRegularSeason20242025!$AA$3:$AA$1315,DataRegularSeason20242025!$B$3:$B$1315, "&lt;=" &amp; GI$1, DataRegularSeason20242025!$D$3:$D$1315, $A18)+SUMIFS(DataRegularSeason20242025!$AB$3:$AB$1315,DataRegularSeason20242025!$B$3:$B$1315, "&lt;=" &amp; GI$1, DataRegularSeason20242025!$E$3:$E$1315, $A18)</f>
        <v>12</v>
      </c>
      <c r="GJ18">
        <f>SUMIFS(DataRegularSeason20242025!$AA$3:$AA$1315,DataRegularSeason20242025!$B$3:$B$1315, "&lt;=" &amp; GJ$1, DataRegularSeason20242025!$D$3:$D$1315, $A18)+SUMIFS(DataRegularSeason20242025!$AB$3:$AB$1315,DataRegularSeason20242025!$B$3:$B$1315, "&lt;=" &amp; GJ$1, DataRegularSeason20242025!$E$3:$E$1315, $A18)</f>
        <v>12</v>
      </c>
      <c r="GK18">
        <f>SUMIFS(DataRegularSeason20242025!$AA$3:$AA$1315,DataRegularSeason20242025!$B$3:$B$1315, "&lt;=" &amp; GK$1, DataRegularSeason20242025!$D$3:$D$1315, $A18)+SUMIFS(DataRegularSeason20242025!$AB$3:$AB$1315,DataRegularSeason20242025!$B$3:$B$1315, "&lt;=" &amp; GK$1, DataRegularSeason20242025!$E$3:$E$1315, $A18)</f>
        <v>12</v>
      </c>
      <c r="GL18">
        <f>SUMIFS(DataRegularSeason20242025!$AA$3:$AA$1315,DataRegularSeason20242025!$B$3:$B$1315, "&lt;=" &amp; GL$1, DataRegularSeason20242025!$D$3:$D$1315, $A18)+SUMIFS(DataRegularSeason20242025!$AB$3:$AB$1315,DataRegularSeason20242025!$B$3:$B$1315, "&lt;=" &amp; GL$1, DataRegularSeason20242025!$E$3:$E$1315, $A18)</f>
        <v>12</v>
      </c>
      <c r="GM18">
        <f>SUMIFS(DataRegularSeason20242025!$AA$3:$AA$1315,DataRegularSeason20242025!$B$3:$B$1315, "&lt;=" &amp; GM$1, DataRegularSeason20242025!$D$3:$D$1315, $A18)+SUMIFS(DataRegularSeason20242025!$AB$3:$AB$1315,DataRegularSeason20242025!$B$3:$B$1315, "&lt;=" &amp; GM$1, DataRegularSeason20242025!$E$3:$E$1315, $A18)</f>
        <v>12</v>
      </c>
      <c r="GN18">
        <f>SUMIFS(DataRegularSeason20242025!$AA$3:$AA$1315,DataRegularSeason20242025!$B$3:$B$1315, "&lt;=" &amp; GN$1, DataRegularSeason20242025!$D$3:$D$1315, $A18)+SUMIFS(DataRegularSeason20242025!$AB$3:$AB$1315,DataRegularSeason20242025!$B$3:$B$1315, "&lt;=" &amp; GN$1, DataRegularSeason20242025!$E$3:$E$1315, $A18)</f>
        <v>12</v>
      </c>
      <c r="GO18">
        <f>SUMIFS(DataRegularSeason20242025!$AA$3:$AA$1315,DataRegularSeason20242025!$B$3:$B$1315, "&lt;=" &amp; GO$1, DataRegularSeason20242025!$D$3:$D$1315, $A18)+SUMIFS(DataRegularSeason20242025!$AB$3:$AB$1315,DataRegularSeason20242025!$B$3:$B$1315, "&lt;=" &amp; GO$1, DataRegularSeason20242025!$E$3:$E$1315, $A18)</f>
        <v>12</v>
      </c>
      <c r="GP18">
        <f>SUMIFS(DataRegularSeason20242025!$AA$3:$AA$1315,DataRegularSeason20242025!$B$3:$B$1315, "&lt;=" &amp; GP$1, DataRegularSeason20242025!$D$3:$D$1315, $A18)+SUMIFS(DataRegularSeason20242025!$AB$3:$AB$1315,DataRegularSeason20242025!$B$3:$B$1315, "&lt;=" &amp; GP$1, DataRegularSeason20242025!$E$3:$E$1315, $A18)</f>
        <v>12</v>
      </c>
      <c r="GQ18">
        <f>SUMIFS(DataRegularSeason20242025!$AA$3:$AA$1315,DataRegularSeason20242025!$B$3:$B$1315, "&lt;=" &amp; GQ$1, DataRegularSeason20242025!$D$3:$D$1315, $A18)+SUMIFS(DataRegularSeason20242025!$AB$3:$AB$1315,DataRegularSeason20242025!$B$3:$B$1315, "&lt;=" &amp; GQ$1, DataRegularSeason20242025!$E$3:$E$1315, $A18)</f>
        <v>12</v>
      </c>
      <c r="GR18">
        <f>SUMIFS(DataRegularSeason20242025!$AA$3:$AA$1315,DataRegularSeason20242025!$B$3:$B$1315, "&lt;=" &amp; GR$1, DataRegularSeason20242025!$D$3:$D$1315, $A18)+SUMIFS(DataRegularSeason20242025!$AB$3:$AB$1315,DataRegularSeason20242025!$B$3:$B$1315, "&lt;=" &amp; GR$1, DataRegularSeason20242025!$E$3:$E$1315, $A18)</f>
        <v>12</v>
      </c>
      <c r="GS18">
        <f>SUMIFS(DataRegularSeason20242025!$AA$3:$AA$1315,DataRegularSeason20242025!$B$3:$B$1315, "&lt;=" &amp; GS$1, DataRegularSeason20242025!$D$3:$D$1315, $A18)+SUMIFS(DataRegularSeason20242025!$AB$3:$AB$1315,DataRegularSeason20242025!$B$3:$B$1315, "&lt;=" &amp; GS$1, DataRegularSeason20242025!$E$3:$E$1315, $A18)</f>
        <v>12</v>
      </c>
      <c r="GT18">
        <f>SUMIFS(DataRegularSeason20242025!$AA$3:$AA$1315,DataRegularSeason20242025!$B$3:$B$1315, "&lt;=" &amp; GT$1, DataRegularSeason20242025!$D$3:$D$1315, $A18)+SUMIFS(DataRegularSeason20242025!$AB$3:$AB$1315,DataRegularSeason20242025!$B$3:$B$1315, "&lt;=" &amp; GT$1, DataRegularSeason20242025!$E$3:$E$1315, $A18)</f>
        <v>12</v>
      </c>
      <c r="GU18">
        <f>SUMIFS(DataRegularSeason20242025!$AA$3:$AA$1315,DataRegularSeason20242025!$B$3:$B$1315, "&lt;=" &amp; GU$1, DataRegularSeason20242025!$D$3:$D$1315, $A18)+SUMIFS(DataRegularSeason20242025!$AB$3:$AB$1315,DataRegularSeason20242025!$B$3:$B$1315, "&lt;=" &amp; GU$1, DataRegularSeason20242025!$E$3:$E$1315, $A18)</f>
        <v>12</v>
      </c>
    </row>
    <row r="19" spans="1:203" x14ac:dyDescent="0.25">
      <c r="A19" t="s">
        <v>21</v>
      </c>
      <c r="B19" t="s">
        <v>90</v>
      </c>
      <c r="C19" s="107" t="s">
        <v>88</v>
      </c>
      <c r="D19">
        <f>SUMIFS(DataRegularSeason20242025!$AA$3:$AA$1315,DataRegularSeason20242025!$B$3:$B$1315, "&lt;=" &amp; D$1, DataRegularSeason20242025!$D$3:$D$1315, $A19)+SUMIFS(DataRegularSeason20242025!$AB$3:$AB$1315,DataRegularSeason20242025!$B$3:$B$1315, "&lt;=" &amp; D$1, DataRegularSeason20242025!$E$3:$E$1315, $A19)</f>
        <v>0</v>
      </c>
      <c r="E19">
        <f>SUMIFS(DataRegularSeason20242025!$AA$3:$AA$1315,DataRegularSeason20242025!$B$3:$B$1315, "&lt;=" &amp; E$1, DataRegularSeason20242025!$D$3:$D$1315, $A19)+SUMIFS(DataRegularSeason20242025!$AB$3:$AB$1315,DataRegularSeason20242025!$B$3:$B$1315, "&lt;=" &amp; E$1, DataRegularSeason20242025!$E$3:$E$1315, $A19)</f>
        <v>0</v>
      </c>
      <c r="F19">
        <f>SUMIFS(DataRegularSeason20242025!$AA$3:$AA$1315,DataRegularSeason20242025!$B$3:$B$1315, "&lt;=" &amp; F$1, DataRegularSeason20242025!$D$3:$D$1315, $A19)+SUMIFS(DataRegularSeason20242025!$AB$3:$AB$1315,DataRegularSeason20242025!$B$3:$B$1315, "&lt;=" &amp; F$1, DataRegularSeason20242025!$E$3:$E$1315, $A19)</f>
        <v>0</v>
      </c>
      <c r="G19">
        <f>SUMIFS(DataRegularSeason20242025!$AA$3:$AA$1315,DataRegularSeason20242025!$B$3:$B$1315, "&lt;=" &amp; G$1, DataRegularSeason20242025!$D$3:$D$1315, $A19)+SUMIFS(DataRegularSeason20242025!$AB$3:$AB$1315,DataRegularSeason20242025!$B$3:$B$1315, "&lt;=" &amp; G$1, DataRegularSeason20242025!$E$3:$E$1315, $A19)</f>
        <v>0</v>
      </c>
      <c r="H19">
        <f>SUMIFS(DataRegularSeason20242025!$AA$3:$AA$1315,DataRegularSeason20242025!$B$3:$B$1315, "&lt;=" &amp; H$1, DataRegularSeason20242025!$D$3:$D$1315, $A19)+SUMIFS(DataRegularSeason20242025!$AB$3:$AB$1315,DataRegularSeason20242025!$B$3:$B$1315, "&lt;=" &amp; H$1, DataRegularSeason20242025!$E$3:$E$1315, $A19)</f>
        <v>0</v>
      </c>
      <c r="I19">
        <f>SUMIFS(DataRegularSeason20242025!$AA$3:$AA$1315,DataRegularSeason20242025!$B$3:$B$1315, "&lt;=" &amp; I$1, DataRegularSeason20242025!$D$3:$D$1315, $A19)+SUMIFS(DataRegularSeason20242025!$AB$3:$AB$1315,DataRegularSeason20242025!$B$3:$B$1315, "&lt;=" &amp; I$1, DataRegularSeason20242025!$E$3:$E$1315, $A19)</f>
        <v>0</v>
      </c>
      <c r="J19">
        <f>SUMIFS(DataRegularSeason20242025!$AA$3:$AA$1315,DataRegularSeason20242025!$B$3:$B$1315, "&lt;=" &amp; J$1, DataRegularSeason20242025!$D$3:$D$1315, $A19)+SUMIFS(DataRegularSeason20242025!$AB$3:$AB$1315,DataRegularSeason20242025!$B$3:$B$1315, "&lt;=" &amp; J$1, DataRegularSeason20242025!$E$3:$E$1315, $A19)</f>
        <v>0</v>
      </c>
      <c r="K19">
        <f>SUMIFS(DataRegularSeason20242025!$AA$3:$AA$1315,DataRegularSeason20242025!$B$3:$B$1315, "&lt;=" &amp; K$1, DataRegularSeason20242025!$D$3:$D$1315, $A19)+SUMIFS(DataRegularSeason20242025!$AB$3:$AB$1315,DataRegularSeason20242025!$B$3:$B$1315, "&lt;=" &amp; K$1, DataRegularSeason20242025!$E$3:$E$1315, $A19)</f>
        <v>0</v>
      </c>
      <c r="L19">
        <f>SUMIFS(DataRegularSeason20242025!$AA$3:$AA$1315,DataRegularSeason20242025!$B$3:$B$1315, "&lt;=" &amp; L$1, DataRegularSeason20242025!$D$3:$D$1315, $A19)+SUMIFS(DataRegularSeason20242025!$AB$3:$AB$1315,DataRegularSeason20242025!$B$3:$B$1315, "&lt;=" &amp; L$1, DataRegularSeason20242025!$E$3:$E$1315, $A19)</f>
        <v>2</v>
      </c>
      <c r="M19">
        <f>SUMIFS(DataRegularSeason20242025!$AA$3:$AA$1315,DataRegularSeason20242025!$B$3:$B$1315, "&lt;=" &amp; M$1, DataRegularSeason20242025!$D$3:$D$1315, $A19)+SUMIFS(DataRegularSeason20242025!$AB$3:$AB$1315,DataRegularSeason20242025!$B$3:$B$1315, "&lt;=" &amp; M$1, DataRegularSeason20242025!$E$3:$E$1315, $A19)</f>
        <v>2</v>
      </c>
      <c r="N19">
        <f>SUMIFS(DataRegularSeason20242025!$AA$3:$AA$1315,DataRegularSeason20242025!$B$3:$B$1315, "&lt;=" &amp; N$1, DataRegularSeason20242025!$D$3:$D$1315, $A19)+SUMIFS(DataRegularSeason20242025!$AB$3:$AB$1315,DataRegularSeason20242025!$B$3:$B$1315, "&lt;=" &amp; N$1, DataRegularSeason20242025!$E$3:$E$1315, $A19)</f>
        <v>4</v>
      </c>
      <c r="O19">
        <f>SUMIFS(DataRegularSeason20242025!$AA$3:$AA$1315,DataRegularSeason20242025!$B$3:$B$1315, "&lt;=" &amp; O$1, DataRegularSeason20242025!$D$3:$D$1315, $A19)+SUMIFS(DataRegularSeason20242025!$AB$3:$AB$1315,DataRegularSeason20242025!$B$3:$B$1315, "&lt;=" &amp; O$1, DataRegularSeason20242025!$E$3:$E$1315, $A19)</f>
        <v>4</v>
      </c>
      <c r="P19">
        <f>SUMIFS(DataRegularSeason20242025!$AA$3:$AA$1315,DataRegularSeason20242025!$B$3:$B$1315, "&lt;=" &amp; P$1, DataRegularSeason20242025!$D$3:$D$1315, $A19)+SUMIFS(DataRegularSeason20242025!$AB$3:$AB$1315,DataRegularSeason20242025!$B$3:$B$1315, "&lt;=" &amp; P$1, DataRegularSeason20242025!$E$3:$E$1315, $A19)</f>
        <v>4</v>
      </c>
      <c r="Q19">
        <f>SUMIFS(DataRegularSeason20242025!$AA$3:$AA$1315,DataRegularSeason20242025!$B$3:$B$1315, "&lt;=" &amp; Q$1, DataRegularSeason20242025!$D$3:$D$1315, $A19)+SUMIFS(DataRegularSeason20242025!$AB$3:$AB$1315,DataRegularSeason20242025!$B$3:$B$1315, "&lt;=" &amp; Q$1, DataRegularSeason20242025!$E$3:$E$1315, $A19)</f>
        <v>6</v>
      </c>
      <c r="R19">
        <f>SUMIFS(DataRegularSeason20242025!$AA$3:$AA$1315,DataRegularSeason20242025!$B$3:$B$1315, "&lt;=" &amp; R$1, DataRegularSeason20242025!$D$3:$D$1315, $A19)+SUMIFS(DataRegularSeason20242025!$AB$3:$AB$1315,DataRegularSeason20242025!$B$3:$B$1315, "&lt;=" &amp; R$1, DataRegularSeason20242025!$E$3:$E$1315, $A19)</f>
        <v>6</v>
      </c>
      <c r="S19">
        <f>SUMIFS(DataRegularSeason20242025!$AA$3:$AA$1315,DataRegularSeason20242025!$B$3:$B$1315, "&lt;=" &amp; S$1, DataRegularSeason20242025!$D$3:$D$1315, $A19)+SUMIFS(DataRegularSeason20242025!$AB$3:$AB$1315,DataRegularSeason20242025!$B$3:$B$1315, "&lt;=" &amp; S$1, DataRegularSeason20242025!$E$3:$E$1315, $A19)</f>
        <v>8</v>
      </c>
      <c r="T19">
        <f>SUMIFS(DataRegularSeason20242025!$AA$3:$AA$1315,DataRegularSeason20242025!$B$3:$B$1315, "&lt;=" &amp; T$1, DataRegularSeason20242025!$D$3:$D$1315, $A19)+SUMIFS(DataRegularSeason20242025!$AB$3:$AB$1315,DataRegularSeason20242025!$B$3:$B$1315, "&lt;=" &amp; T$1, DataRegularSeason20242025!$E$3:$E$1315, $A19)</f>
        <v>8</v>
      </c>
      <c r="U19">
        <f>SUMIFS(DataRegularSeason20242025!$AA$3:$AA$1315,DataRegularSeason20242025!$B$3:$B$1315, "&lt;=" &amp; U$1, DataRegularSeason20242025!$D$3:$D$1315, $A19)+SUMIFS(DataRegularSeason20242025!$AB$3:$AB$1315,DataRegularSeason20242025!$B$3:$B$1315, "&lt;=" &amp; U$1, DataRegularSeason20242025!$E$3:$E$1315, $A19)</f>
        <v>10</v>
      </c>
      <c r="V19">
        <f>SUMIFS(DataRegularSeason20242025!$AA$3:$AA$1315,DataRegularSeason20242025!$B$3:$B$1315, "&lt;=" &amp; V$1, DataRegularSeason20242025!$D$3:$D$1315, $A19)+SUMIFS(DataRegularSeason20242025!$AB$3:$AB$1315,DataRegularSeason20242025!$B$3:$B$1315, "&lt;=" &amp; V$1, DataRegularSeason20242025!$E$3:$E$1315, $A19)</f>
        <v>10</v>
      </c>
      <c r="W19">
        <f>SUMIFS(DataRegularSeason20242025!$AA$3:$AA$1315,DataRegularSeason20242025!$B$3:$B$1315, "&lt;=" &amp; W$1, DataRegularSeason20242025!$D$3:$D$1315, $A19)+SUMIFS(DataRegularSeason20242025!$AB$3:$AB$1315,DataRegularSeason20242025!$B$3:$B$1315, "&lt;=" &amp; W$1, DataRegularSeason20242025!$E$3:$E$1315, $A19)</f>
        <v>10</v>
      </c>
      <c r="X19">
        <f>SUMIFS(DataRegularSeason20242025!$AA$3:$AA$1315,DataRegularSeason20242025!$B$3:$B$1315, "&lt;=" &amp; X$1, DataRegularSeason20242025!$D$3:$D$1315, $A19)+SUMIFS(DataRegularSeason20242025!$AB$3:$AB$1315,DataRegularSeason20242025!$B$3:$B$1315, "&lt;=" &amp; X$1, DataRegularSeason20242025!$E$3:$E$1315, $A19)</f>
        <v>10</v>
      </c>
      <c r="Y19">
        <f>SUMIFS(DataRegularSeason20242025!$AA$3:$AA$1315,DataRegularSeason20242025!$B$3:$B$1315, "&lt;=" &amp; Y$1, DataRegularSeason20242025!$D$3:$D$1315, $A19)+SUMIFS(DataRegularSeason20242025!$AB$3:$AB$1315,DataRegularSeason20242025!$B$3:$B$1315, "&lt;=" &amp; Y$1, DataRegularSeason20242025!$E$3:$E$1315, $A19)</f>
        <v>10</v>
      </c>
      <c r="Z19">
        <f>SUMIFS(DataRegularSeason20242025!$AA$3:$AA$1315,DataRegularSeason20242025!$B$3:$B$1315, "&lt;=" &amp; Z$1, DataRegularSeason20242025!$D$3:$D$1315, $A19)+SUMIFS(DataRegularSeason20242025!$AB$3:$AB$1315,DataRegularSeason20242025!$B$3:$B$1315, "&lt;=" &amp; Z$1, DataRegularSeason20242025!$E$3:$E$1315, $A19)</f>
        <v>10</v>
      </c>
      <c r="AA19">
        <f>SUMIFS(DataRegularSeason20242025!$AA$3:$AA$1315,DataRegularSeason20242025!$B$3:$B$1315, "&lt;=" &amp; AA$1, DataRegularSeason20242025!$D$3:$D$1315, $A19)+SUMIFS(DataRegularSeason20242025!$AB$3:$AB$1315,DataRegularSeason20242025!$B$3:$B$1315, "&lt;=" &amp; AA$1, DataRegularSeason20242025!$E$3:$E$1315, $A19)</f>
        <v>10</v>
      </c>
      <c r="AB19">
        <f>SUMIFS(DataRegularSeason20242025!$AA$3:$AA$1315,DataRegularSeason20242025!$B$3:$B$1315, "&lt;=" &amp; AB$1, DataRegularSeason20242025!$D$3:$D$1315, $A19)+SUMIFS(DataRegularSeason20242025!$AB$3:$AB$1315,DataRegularSeason20242025!$B$3:$B$1315, "&lt;=" &amp; AB$1, DataRegularSeason20242025!$E$3:$E$1315, $A19)</f>
        <v>10</v>
      </c>
      <c r="AC19">
        <f>SUMIFS(DataRegularSeason20242025!$AA$3:$AA$1315,DataRegularSeason20242025!$B$3:$B$1315, "&lt;=" &amp; AC$1, DataRegularSeason20242025!$D$3:$D$1315, $A19)+SUMIFS(DataRegularSeason20242025!$AB$3:$AB$1315,DataRegularSeason20242025!$B$3:$B$1315, "&lt;=" &amp; AC$1, DataRegularSeason20242025!$E$3:$E$1315, $A19)</f>
        <v>10</v>
      </c>
      <c r="AD19">
        <f>SUMIFS(DataRegularSeason20242025!$AA$3:$AA$1315,DataRegularSeason20242025!$B$3:$B$1315, "&lt;=" &amp; AD$1, DataRegularSeason20242025!$D$3:$D$1315, $A19)+SUMIFS(DataRegularSeason20242025!$AB$3:$AB$1315,DataRegularSeason20242025!$B$3:$B$1315, "&lt;=" &amp; AD$1, DataRegularSeason20242025!$E$3:$E$1315, $A19)</f>
        <v>10</v>
      </c>
      <c r="AE19">
        <f>SUMIFS(DataRegularSeason20242025!$AA$3:$AA$1315,DataRegularSeason20242025!$B$3:$B$1315, "&lt;=" &amp; AE$1, DataRegularSeason20242025!$D$3:$D$1315, $A19)+SUMIFS(DataRegularSeason20242025!$AB$3:$AB$1315,DataRegularSeason20242025!$B$3:$B$1315, "&lt;=" &amp; AE$1, DataRegularSeason20242025!$E$3:$E$1315, $A19)</f>
        <v>10</v>
      </c>
      <c r="AF19">
        <f>SUMIFS(DataRegularSeason20242025!$AA$3:$AA$1315,DataRegularSeason20242025!$B$3:$B$1315, "&lt;=" &amp; AF$1, DataRegularSeason20242025!$D$3:$D$1315, $A19)+SUMIFS(DataRegularSeason20242025!$AB$3:$AB$1315,DataRegularSeason20242025!$B$3:$B$1315, "&lt;=" &amp; AF$1, DataRegularSeason20242025!$E$3:$E$1315, $A19)</f>
        <v>10</v>
      </c>
      <c r="AG19">
        <f>SUMIFS(DataRegularSeason20242025!$AA$3:$AA$1315,DataRegularSeason20242025!$B$3:$B$1315, "&lt;=" &amp; AG$1, DataRegularSeason20242025!$D$3:$D$1315, $A19)+SUMIFS(DataRegularSeason20242025!$AB$3:$AB$1315,DataRegularSeason20242025!$B$3:$B$1315, "&lt;=" &amp; AG$1, DataRegularSeason20242025!$E$3:$E$1315, $A19)</f>
        <v>10</v>
      </c>
      <c r="AH19">
        <f>SUMIFS(DataRegularSeason20242025!$AA$3:$AA$1315,DataRegularSeason20242025!$B$3:$B$1315, "&lt;=" &amp; AH$1, DataRegularSeason20242025!$D$3:$D$1315, $A19)+SUMIFS(DataRegularSeason20242025!$AB$3:$AB$1315,DataRegularSeason20242025!$B$3:$B$1315, "&lt;=" &amp; AH$1, DataRegularSeason20242025!$E$3:$E$1315, $A19)</f>
        <v>10</v>
      </c>
      <c r="AI19">
        <f>SUMIFS(DataRegularSeason20242025!$AA$3:$AA$1315,DataRegularSeason20242025!$B$3:$B$1315, "&lt;=" &amp; AI$1, DataRegularSeason20242025!$D$3:$D$1315, $A19)+SUMIFS(DataRegularSeason20242025!$AB$3:$AB$1315,DataRegularSeason20242025!$B$3:$B$1315, "&lt;=" &amp; AI$1, DataRegularSeason20242025!$E$3:$E$1315, $A19)</f>
        <v>10</v>
      </c>
      <c r="AJ19">
        <f>SUMIFS(DataRegularSeason20242025!$AA$3:$AA$1315,DataRegularSeason20242025!$B$3:$B$1315, "&lt;=" &amp; AJ$1, DataRegularSeason20242025!$D$3:$D$1315, $A19)+SUMIFS(DataRegularSeason20242025!$AB$3:$AB$1315,DataRegularSeason20242025!$B$3:$B$1315, "&lt;=" &amp; AJ$1, DataRegularSeason20242025!$E$3:$E$1315, $A19)</f>
        <v>10</v>
      </c>
      <c r="AK19">
        <f>SUMIFS(DataRegularSeason20242025!$AA$3:$AA$1315,DataRegularSeason20242025!$B$3:$B$1315, "&lt;=" &amp; AK$1, DataRegularSeason20242025!$D$3:$D$1315, $A19)+SUMIFS(DataRegularSeason20242025!$AB$3:$AB$1315,DataRegularSeason20242025!$B$3:$B$1315, "&lt;=" &amp; AK$1, DataRegularSeason20242025!$E$3:$E$1315, $A19)</f>
        <v>10</v>
      </c>
      <c r="AL19">
        <f>SUMIFS(DataRegularSeason20242025!$AA$3:$AA$1315,DataRegularSeason20242025!$B$3:$B$1315, "&lt;=" &amp; AL$1, DataRegularSeason20242025!$D$3:$D$1315, $A19)+SUMIFS(DataRegularSeason20242025!$AB$3:$AB$1315,DataRegularSeason20242025!$B$3:$B$1315, "&lt;=" &amp; AL$1, DataRegularSeason20242025!$E$3:$E$1315, $A19)</f>
        <v>10</v>
      </c>
      <c r="AM19">
        <f>SUMIFS(DataRegularSeason20242025!$AA$3:$AA$1315,DataRegularSeason20242025!$B$3:$B$1315, "&lt;=" &amp; AM$1, DataRegularSeason20242025!$D$3:$D$1315, $A19)+SUMIFS(DataRegularSeason20242025!$AB$3:$AB$1315,DataRegularSeason20242025!$B$3:$B$1315, "&lt;=" &amp; AM$1, DataRegularSeason20242025!$E$3:$E$1315, $A19)</f>
        <v>10</v>
      </c>
      <c r="AN19">
        <f>SUMIFS(DataRegularSeason20242025!$AA$3:$AA$1315,DataRegularSeason20242025!$B$3:$B$1315, "&lt;=" &amp; AN$1, DataRegularSeason20242025!$D$3:$D$1315, $A19)+SUMIFS(DataRegularSeason20242025!$AB$3:$AB$1315,DataRegularSeason20242025!$B$3:$B$1315, "&lt;=" &amp; AN$1, DataRegularSeason20242025!$E$3:$E$1315, $A19)</f>
        <v>10</v>
      </c>
      <c r="AO19">
        <f>SUMIFS(DataRegularSeason20242025!$AA$3:$AA$1315,DataRegularSeason20242025!$B$3:$B$1315, "&lt;=" &amp; AO$1, DataRegularSeason20242025!$D$3:$D$1315, $A19)+SUMIFS(DataRegularSeason20242025!$AB$3:$AB$1315,DataRegularSeason20242025!$B$3:$B$1315, "&lt;=" &amp; AO$1, DataRegularSeason20242025!$E$3:$E$1315, $A19)</f>
        <v>10</v>
      </c>
      <c r="AP19">
        <f>SUMIFS(DataRegularSeason20242025!$AA$3:$AA$1315,DataRegularSeason20242025!$B$3:$B$1315, "&lt;=" &amp; AP$1, DataRegularSeason20242025!$D$3:$D$1315, $A19)+SUMIFS(DataRegularSeason20242025!$AB$3:$AB$1315,DataRegularSeason20242025!$B$3:$B$1315, "&lt;=" &amp; AP$1, DataRegularSeason20242025!$E$3:$E$1315, $A19)</f>
        <v>10</v>
      </c>
      <c r="AQ19">
        <f>SUMIFS(DataRegularSeason20242025!$AA$3:$AA$1315,DataRegularSeason20242025!$B$3:$B$1315, "&lt;=" &amp; AQ$1, DataRegularSeason20242025!$D$3:$D$1315, $A19)+SUMIFS(DataRegularSeason20242025!$AB$3:$AB$1315,DataRegularSeason20242025!$B$3:$B$1315, "&lt;=" &amp; AQ$1, DataRegularSeason20242025!$E$3:$E$1315, $A19)</f>
        <v>10</v>
      </c>
      <c r="AR19">
        <f>SUMIFS(DataRegularSeason20242025!$AA$3:$AA$1315,DataRegularSeason20242025!$B$3:$B$1315, "&lt;=" &amp; AR$1, DataRegularSeason20242025!$D$3:$D$1315, $A19)+SUMIFS(DataRegularSeason20242025!$AB$3:$AB$1315,DataRegularSeason20242025!$B$3:$B$1315, "&lt;=" &amp; AR$1, DataRegularSeason20242025!$E$3:$E$1315, $A19)</f>
        <v>10</v>
      </c>
      <c r="AS19">
        <f>SUMIFS(DataRegularSeason20242025!$AA$3:$AA$1315,DataRegularSeason20242025!$B$3:$B$1315, "&lt;=" &amp; AS$1, DataRegularSeason20242025!$D$3:$D$1315, $A19)+SUMIFS(DataRegularSeason20242025!$AB$3:$AB$1315,DataRegularSeason20242025!$B$3:$B$1315, "&lt;=" &amp; AS$1, DataRegularSeason20242025!$E$3:$E$1315, $A19)</f>
        <v>10</v>
      </c>
      <c r="AT19">
        <f>SUMIFS(DataRegularSeason20242025!$AA$3:$AA$1315,DataRegularSeason20242025!$B$3:$B$1315, "&lt;=" &amp; AT$1, DataRegularSeason20242025!$D$3:$D$1315, $A19)+SUMIFS(DataRegularSeason20242025!$AB$3:$AB$1315,DataRegularSeason20242025!$B$3:$B$1315, "&lt;=" &amp; AT$1, DataRegularSeason20242025!$E$3:$E$1315, $A19)</f>
        <v>10</v>
      </c>
      <c r="AU19">
        <f>SUMIFS(DataRegularSeason20242025!$AA$3:$AA$1315,DataRegularSeason20242025!$B$3:$B$1315, "&lt;=" &amp; AU$1, DataRegularSeason20242025!$D$3:$D$1315, $A19)+SUMIFS(DataRegularSeason20242025!$AB$3:$AB$1315,DataRegularSeason20242025!$B$3:$B$1315, "&lt;=" &amp; AU$1, DataRegularSeason20242025!$E$3:$E$1315, $A19)</f>
        <v>10</v>
      </c>
      <c r="AV19">
        <f>SUMIFS(DataRegularSeason20242025!$AA$3:$AA$1315,DataRegularSeason20242025!$B$3:$B$1315, "&lt;=" &amp; AV$1, DataRegularSeason20242025!$D$3:$D$1315, $A19)+SUMIFS(DataRegularSeason20242025!$AB$3:$AB$1315,DataRegularSeason20242025!$B$3:$B$1315, "&lt;=" &amp; AV$1, DataRegularSeason20242025!$E$3:$E$1315, $A19)</f>
        <v>10</v>
      </c>
      <c r="AW19">
        <f>SUMIFS(DataRegularSeason20242025!$AA$3:$AA$1315,DataRegularSeason20242025!$B$3:$B$1315, "&lt;=" &amp; AW$1, DataRegularSeason20242025!$D$3:$D$1315, $A19)+SUMIFS(DataRegularSeason20242025!$AB$3:$AB$1315,DataRegularSeason20242025!$B$3:$B$1315, "&lt;=" &amp; AW$1, DataRegularSeason20242025!$E$3:$E$1315, $A19)</f>
        <v>10</v>
      </c>
      <c r="AX19">
        <f>SUMIFS(DataRegularSeason20242025!$AA$3:$AA$1315,DataRegularSeason20242025!$B$3:$B$1315, "&lt;=" &amp; AX$1, DataRegularSeason20242025!$D$3:$D$1315, $A19)+SUMIFS(DataRegularSeason20242025!$AB$3:$AB$1315,DataRegularSeason20242025!$B$3:$B$1315, "&lt;=" &amp; AX$1, DataRegularSeason20242025!$E$3:$E$1315, $A19)</f>
        <v>10</v>
      </c>
      <c r="AY19">
        <f>SUMIFS(DataRegularSeason20242025!$AA$3:$AA$1315,DataRegularSeason20242025!$B$3:$B$1315, "&lt;=" &amp; AY$1, DataRegularSeason20242025!$D$3:$D$1315, $A19)+SUMIFS(DataRegularSeason20242025!$AB$3:$AB$1315,DataRegularSeason20242025!$B$3:$B$1315, "&lt;=" &amp; AY$1, DataRegularSeason20242025!$E$3:$E$1315, $A19)</f>
        <v>10</v>
      </c>
      <c r="AZ19">
        <f>SUMIFS(DataRegularSeason20242025!$AA$3:$AA$1315,DataRegularSeason20242025!$B$3:$B$1315, "&lt;=" &amp; AZ$1, DataRegularSeason20242025!$D$3:$D$1315, $A19)+SUMIFS(DataRegularSeason20242025!$AB$3:$AB$1315,DataRegularSeason20242025!$B$3:$B$1315, "&lt;=" &amp; AZ$1, DataRegularSeason20242025!$E$3:$E$1315, $A19)</f>
        <v>10</v>
      </c>
      <c r="BA19">
        <f>SUMIFS(DataRegularSeason20242025!$AA$3:$AA$1315,DataRegularSeason20242025!$B$3:$B$1315, "&lt;=" &amp; BA$1, DataRegularSeason20242025!$D$3:$D$1315, $A19)+SUMIFS(DataRegularSeason20242025!$AB$3:$AB$1315,DataRegularSeason20242025!$B$3:$B$1315, "&lt;=" &amp; BA$1, DataRegularSeason20242025!$E$3:$E$1315, $A19)</f>
        <v>10</v>
      </c>
      <c r="BB19">
        <f>SUMIFS(DataRegularSeason20242025!$AA$3:$AA$1315,DataRegularSeason20242025!$B$3:$B$1315, "&lt;=" &amp; BB$1, DataRegularSeason20242025!$D$3:$D$1315, $A19)+SUMIFS(DataRegularSeason20242025!$AB$3:$AB$1315,DataRegularSeason20242025!$B$3:$B$1315, "&lt;=" &amp; BB$1, DataRegularSeason20242025!$E$3:$E$1315, $A19)</f>
        <v>10</v>
      </c>
      <c r="BC19">
        <f>SUMIFS(DataRegularSeason20242025!$AA$3:$AA$1315,DataRegularSeason20242025!$B$3:$B$1315, "&lt;=" &amp; BC$1, DataRegularSeason20242025!$D$3:$D$1315, $A19)+SUMIFS(DataRegularSeason20242025!$AB$3:$AB$1315,DataRegularSeason20242025!$B$3:$B$1315, "&lt;=" &amp; BC$1, DataRegularSeason20242025!$E$3:$E$1315, $A19)</f>
        <v>10</v>
      </c>
      <c r="BD19">
        <f>SUMIFS(DataRegularSeason20242025!$AA$3:$AA$1315,DataRegularSeason20242025!$B$3:$B$1315, "&lt;=" &amp; BD$1, DataRegularSeason20242025!$D$3:$D$1315, $A19)+SUMIFS(DataRegularSeason20242025!$AB$3:$AB$1315,DataRegularSeason20242025!$B$3:$B$1315, "&lt;=" &amp; BD$1, DataRegularSeason20242025!$E$3:$E$1315, $A19)</f>
        <v>10</v>
      </c>
      <c r="BE19">
        <f>SUMIFS(DataRegularSeason20242025!$AA$3:$AA$1315,DataRegularSeason20242025!$B$3:$B$1315, "&lt;=" &amp; BE$1, DataRegularSeason20242025!$D$3:$D$1315, $A19)+SUMIFS(DataRegularSeason20242025!$AB$3:$AB$1315,DataRegularSeason20242025!$B$3:$B$1315, "&lt;=" &amp; BE$1, DataRegularSeason20242025!$E$3:$E$1315, $A19)</f>
        <v>10</v>
      </c>
      <c r="BF19">
        <f>SUMIFS(DataRegularSeason20242025!$AA$3:$AA$1315,DataRegularSeason20242025!$B$3:$B$1315, "&lt;=" &amp; BF$1, DataRegularSeason20242025!$D$3:$D$1315, $A19)+SUMIFS(DataRegularSeason20242025!$AB$3:$AB$1315,DataRegularSeason20242025!$B$3:$B$1315, "&lt;=" &amp; BF$1, DataRegularSeason20242025!$E$3:$E$1315, $A19)</f>
        <v>10</v>
      </c>
      <c r="BG19">
        <f>SUMIFS(DataRegularSeason20242025!$AA$3:$AA$1315,DataRegularSeason20242025!$B$3:$B$1315, "&lt;=" &amp; BG$1, DataRegularSeason20242025!$D$3:$D$1315, $A19)+SUMIFS(DataRegularSeason20242025!$AB$3:$AB$1315,DataRegularSeason20242025!$B$3:$B$1315, "&lt;=" &amp; BG$1, DataRegularSeason20242025!$E$3:$E$1315, $A19)</f>
        <v>10</v>
      </c>
      <c r="BH19">
        <f>SUMIFS(DataRegularSeason20242025!$AA$3:$AA$1315,DataRegularSeason20242025!$B$3:$B$1315, "&lt;=" &amp; BH$1, DataRegularSeason20242025!$D$3:$D$1315, $A19)+SUMIFS(DataRegularSeason20242025!$AB$3:$AB$1315,DataRegularSeason20242025!$B$3:$B$1315, "&lt;=" &amp; BH$1, DataRegularSeason20242025!$E$3:$E$1315, $A19)</f>
        <v>10</v>
      </c>
      <c r="BI19">
        <f>SUMIFS(DataRegularSeason20242025!$AA$3:$AA$1315,DataRegularSeason20242025!$B$3:$B$1315, "&lt;=" &amp; BI$1, DataRegularSeason20242025!$D$3:$D$1315, $A19)+SUMIFS(DataRegularSeason20242025!$AB$3:$AB$1315,DataRegularSeason20242025!$B$3:$B$1315, "&lt;=" &amp; BI$1, DataRegularSeason20242025!$E$3:$E$1315, $A19)</f>
        <v>10</v>
      </c>
      <c r="BJ19">
        <f>SUMIFS(DataRegularSeason20242025!$AA$3:$AA$1315,DataRegularSeason20242025!$B$3:$B$1315, "&lt;=" &amp; BJ$1, DataRegularSeason20242025!$D$3:$D$1315, $A19)+SUMIFS(DataRegularSeason20242025!$AB$3:$AB$1315,DataRegularSeason20242025!$B$3:$B$1315, "&lt;=" &amp; BJ$1, DataRegularSeason20242025!$E$3:$E$1315, $A19)</f>
        <v>10</v>
      </c>
      <c r="BK19">
        <f>SUMIFS(DataRegularSeason20242025!$AA$3:$AA$1315,DataRegularSeason20242025!$B$3:$B$1315, "&lt;=" &amp; BK$1, DataRegularSeason20242025!$D$3:$D$1315, $A19)+SUMIFS(DataRegularSeason20242025!$AB$3:$AB$1315,DataRegularSeason20242025!$B$3:$B$1315, "&lt;=" &amp; BK$1, DataRegularSeason20242025!$E$3:$E$1315, $A19)</f>
        <v>10</v>
      </c>
      <c r="BL19">
        <f>SUMIFS(DataRegularSeason20242025!$AA$3:$AA$1315,DataRegularSeason20242025!$B$3:$B$1315, "&lt;=" &amp; BL$1, DataRegularSeason20242025!$D$3:$D$1315, $A19)+SUMIFS(DataRegularSeason20242025!$AB$3:$AB$1315,DataRegularSeason20242025!$B$3:$B$1315, "&lt;=" &amp; BL$1, DataRegularSeason20242025!$E$3:$E$1315, $A19)</f>
        <v>10</v>
      </c>
      <c r="BM19">
        <f>SUMIFS(DataRegularSeason20242025!$AA$3:$AA$1315,DataRegularSeason20242025!$B$3:$B$1315, "&lt;=" &amp; BM$1, DataRegularSeason20242025!$D$3:$D$1315, $A19)+SUMIFS(DataRegularSeason20242025!$AB$3:$AB$1315,DataRegularSeason20242025!$B$3:$B$1315, "&lt;=" &amp; BM$1, DataRegularSeason20242025!$E$3:$E$1315, $A19)</f>
        <v>10</v>
      </c>
      <c r="BN19">
        <f>SUMIFS(DataRegularSeason20242025!$AA$3:$AA$1315,DataRegularSeason20242025!$B$3:$B$1315, "&lt;=" &amp; BN$1, DataRegularSeason20242025!$D$3:$D$1315, $A19)+SUMIFS(DataRegularSeason20242025!$AB$3:$AB$1315,DataRegularSeason20242025!$B$3:$B$1315, "&lt;=" &amp; BN$1, DataRegularSeason20242025!$E$3:$E$1315, $A19)</f>
        <v>10</v>
      </c>
      <c r="BO19">
        <f>SUMIFS(DataRegularSeason20242025!$AA$3:$AA$1315,DataRegularSeason20242025!$B$3:$B$1315, "&lt;=" &amp; BO$1, DataRegularSeason20242025!$D$3:$D$1315, $A19)+SUMIFS(DataRegularSeason20242025!$AB$3:$AB$1315,DataRegularSeason20242025!$B$3:$B$1315, "&lt;=" &amp; BO$1, DataRegularSeason20242025!$E$3:$E$1315, $A19)</f>
        <v>10</v>
      </c>
      <c r="BP19">
        <f>SUMIFS(DataRegularSeason20242025!$AA$3:$AA$1315,DataRegularSeason20242025!$B$3:$B$1315, "&lt;=" &amp; BP$1, DataRegularSeason20242025!$D$3:$D$1315, $A19)+SUMIFS(DataRegularSeason20242025!$AB$3:$AB$1315,DataRegularSeason20242025!$B$3:$B$1315, "&lt;=" &amp; BP$1, DataRegularSeason20242025!$E$3:$E$1315, $A19)</f>
        <v>10</v>
      </c>
      <c r="BQ19">
        <f>SUMIFS(DataRegularSeason20242025!$AA$3:$AA$1315,DataRegularSeason20242025!$B$3:$B$1315, "&lt;=" &amp; BQ$1, DataRegularSeason20242025!$D$3:$D$1315, $A19)+SUMIFS(DataRegularSeason20242025!$AB$3:$AB$1315,DataRegularSeason20242025!$B$3:$B$1315, "&lt;=" &amp; BQ$1, DataRegularSeason20242025!$E$3:$E$1315, $A19)</f>
        <v>10</v>
      </c>
      <c r="BR19">
        <f>SUMIFS(DataRegularSeason20242025!$AA$3:$AA$1315,DataRegularSeason20242025!$B$3:$B$1315, "&lt;=" &amp; BR$1, DataRegularSeason20242025!$D$3:$D$1315, $A19)+SUMIFS(DataRegularSeason20242025!$AB$3:$AB$1315,DataRegularSeason20242025!$B$3:$B$1315, "&lt;=" &amp; BR$1, DataRegularSeason20242025!$E$3:$E$1315, $A19)</f>
        <v>10</v>
      </c>
      <c r="BS19">
        <f>SUMIFS(DataRegularSeason20242025!$AA$3:$AA$1315,DataRegularSeason20242025!$B$3:$B$1315, "&lt;=" &amp; BS$1, DataRegularSeason20242025!$D$3:$D$1315, $A19)+SUMIFS(DataRegularSeason20242025!$AB$3:$AB$1315,DataRegularSeason20242025!$B$3:$B$1315, "&lt;=" &amp; BS$1, DataRegularSeason20242025!$E$3:$E$1315, $A19)</f>
        <v>10</v>
      </c>
      <c r="BT19">
        <f>SUMIFS(DataRegularSeason20242025!$AA$3:$AA$1315,DataRegularSeason20242025!$B$3:$B$1315, "&lt;=" &amp; BT$1, DataRegularSeason20242025!$D$3:$D$1315, $A19)+SUMIFS(DataRegularSeason20242025!$AB$3:$AB$1315,DataRegularSeason20242025!$B$3:$B$1315, "&lt;=" &amp; BT$1, DataRegularSeason20242025!$E$3:$E$1315, $A19)</f>
        <v>10</v>
      </c>
      <c r="BU19">
        <f>SUMIFS(DataRegularSeason20242025!$AA$3:$AA$1315,DataRegularSeason20242025!$B$3:$B$1315, "&lt;=" &amp; BU$1, DataRegularSeason20242025!$D$3:$D$1315, $A19)+SUMIFS(DataRegularSeason20242025!$AB$3:$AB$1315,DataRegularSeason20242025!$B$3:$B$1315, "&lt;=" &amp; BU$1, DataRegularSeason20242025!$E$3:$E$1315, $A19)</f>
        <v>10</v>
      </c>
      <c r="BV19">
        <f>SUMIFS(DataRegularSeason20242025!$AA$3:$AA$1315,DataRegularSeason20242025!$B$3:$B$1315, "&lt;=" &amp; BV$1, DataRegularSeason20242025!$D$3:$D$1315, $A19)+SUMIFS(DataRegularSeason20242025!$AB$3:$AB$1315,DataRegularSeason20242025!$B$3:$B$1315, "&lt;=" &amp; BV$1, DataRegularSeason20242025!$E$3:$E$1315, $A19)</f>
        <v>10</v>
      </c>
      <c r="BW19">
        <f>SUMIFS(DataRegularSeason20242025!$AA$3:$AA$1315,DataRegularSeason20242025!$B$3:$B$1315, "&lt;=" &amp; BW$1, DataRegularSeason20242025!$D$3:$D$1315, $A19)+SUMIFS(DataRegularSeason20242025!$AB$3:$AB$1315,DataRegularSeason20242025!$B$3:$B$1315, "&lt;=" &amp; BW$1, DataRegularSeason20242025!$E$3:$E$1315, $A19)</f>
        <v>10</v>
      </c>
      <c r="BX19">
        <f>SUMIFS(DataRegularSeason20242025!$AA$3:$AA$1315,DataRegularSeason20242025!$B$3:$B$1315, "&lt;=" &amp; BX$1, DataRegularSeason20242025!$D$3:$D$1315, $A19)+SUMIFS(DataRegularSeason20242025!$AB$3:$AB$1315,DataRegularSeason20242025!$B$3:$B$1315, "&lt;=" &amp; BX$1, DataRegularSeason20242025!$E$3:$E$1315, $A19)</f>
        <v>10</v>
      </c>
      <c r="BY19">
        <f>SUMIFS(DataRegularSeason20242025!$AA$3:$AA$1315,DataRegularSeason20242025!$B$3:$B$1315, "&lt;=" &amp; BY$1, DataRegularSeason20242025!$D$3:$D$1315, $A19)+SUMIFS(DataRegularSeason20242025!$AB$3:$AB$1315,DataRegularSeason20242025!$B$3:$B$1315, "&lt;=" &amp; BY$1, DataRegularSeason20242025!$E$3:$E$1315, $A19)</f>
        <v>10</v>
      </c>
      <c r="BZ19">
        <f>SUMIFS(DataRegularSeason20242025!$AA$3:$AA$1315,DataRegularSeason20242025!$B$3:$B$1315, "&lt;=" &amp; BZ$1, DataRegularSeason20242025!$D$3:$D$1315, $A19)+SUMIFS(DataRegularSeason20242025!$AB$3:$AB$1315,DataRegularSeason20242025!$B$3:$B$1315, "&lt;=" &amp; BZ$1, DataRegularSeason20242025!$E$3:$E$1315, $A19)</f>
        <v>10</v>
      </c>
      <c r="CA19">
        <f>SUMIFS(DataRegularSeason20242025!$AA$3:$AA$1315,DataRegularSeason20242025!$B$3:$B$1315, "&lt;=" &amp; CA$1, DataRegularSeason20242025!$D$3:$D$1315, $A19)+SUMIFS(DataRegularSeason20242025!$AB$3:$AB$1315,DataRegularSeason20242025!$B$3:$B$1315, "&lt;=" &amp; CA$1, DataRegularSeason20242025!$E$3:$E$1315, $A19)</f>
        <v>10</v>
      </c>
      <c r="CB19">
        <f>SUMIFS(DataRegularSeason20242025!$AA$3:$AA$1315,DataRegularSeason20242025!$B$3:$B$1315, "&lt;=" &amp; CB$1, DataRegularSeason20242025!$D$3:$D$1315, $A19)+SUMIFS(DataRegularSeason20242025!$AB$3:$AB$1315,DataRegularSeason20242025!$B$3:$B$1315, "&lt;=" &amp; CB$1, DataRegularSeason20242025!$E$3:$E$1315, $A19)</f>
        <v>10</v>
      </c>
      <c r="CC19">
        <f>SUMIFS(DataRegularSeason20242025!$AA$3:$AA$1315,DataRegularSeason20242025!$B$3:$B$1315, "&lt;=" &amp; CC$1, DataRegularSeason20242025!$D$3:$D$1315, $A19)+SUMIFS(DataRegularSeason20242025!$AB$3:$AB$1315,DataRegularSeason20242025!$B$3:$B$1315, "&lt;=" &amp; CC$1, DataRegularSeason20242025!$E$3:$E$1315, $A19)</f>
        <v>10</v>
      </c>
      <c r="CD19">
        <f>SUMIFS(DataRegularSeason20242025!$AA$3:$AA$1315,DataRegularSeason20242025!$B$3:$B$1315, "&lt;=" &amp; CD$1, DataRegularSeason20242025!$D$3:$D$1315, $A19)+SUMIFS(DataRegularSeason20242025!$AB$3:$AB$1315,DataRegularSeason20242025!$B$3:$B$1315, "&lt;=" &amp; CD$1, DataRegularSeason20242025!$E$3:$E$1315, $A19)</f>
        <v>10</v>
      </c>
      <c r="CE19">
        <f>SUMIFS(DataRegularSeason20242025!$AA$3:$AA$1315,DataRegularSeason20242025!$B$3:$B$1315, "&lt;=" &amp; CE$1, DataRegularSeason20242025!$D$3:$D$1315, $A19)+SUMIFS(DataRegularSeason20242025!$AB$3:$AB$1315,DataRegularSeason20242025!$B$3:$B$1315, "&lt;=" &amp; CE$1, DataRegularSeason20242025!$E$3:$E$1315, $A19)</f>
        <v>10</v>
      </c>
      <c r="CF19">
        <f>SUMIFS(DataRegularSeason20242025!$AA$3:$AA$1315,DataRegularSeason20242025!$B$3:$B$1315, "&lt;=" &amp; CF$1, DataRegularSeason20242025!$D$3:$D$1315, $A19)+SUMIFS(DataRegularSeason20242025!$AB$3:$AB$1315,DataRegularSeason20242025!$B$3:$B$1315, "&lt;=" &amp; CF$1, DataRegularSeason20242025!$E$3:$E$1315, $A19)</f>
        <v>10</v>
      </c>
      <c r="CG19">
        <f>SUMIFS(DataRegularSeason20242025!$AA$3:$AA$1315,DataRegularSeason20242025!$B$3:$B$1315, "&lt;=" &amp; CG$1, DataRegularSeason20242025!$D$3:$D$1315, $A19)+SUMIFS(DataRegularSeason20242025!$AB$3:$AB$1315,DataRegularSeason20242025!$B$3:$B$1315, "&lt;=" &amp; CG$1, DataRegularSeason20242025!$E$3:$E$1315, $A19)</f>
        <v>10</v>
      </c>
      <c r="CH19">
        <f>SUMIFS(DataRegularSeason20242025!$AA$3:$AA$1315,DataRegularSeason20242025!$B$3:$B$1315, "&lt;=" &amp; CH$1, DataRegularSeason20242025!$D$3:$D$1315, $A19)+SUMIFS(DataRegularSeason20242025!$AB$3:$AB$1315,DataRegularSeason20242025!$B$3:$B$1315, "&lt;=" &amp; CH$1, DataRegularSeason20242025!$E$3:$E$1315, $A19)</f>
        <v>10</v>
      </c>
      <c r="CI19">
        <f>SUMIFS(DataRegularSeason20242025!$AA$3:$AA$1315,DataRegularSeason20242025!$B$3:$B$1315, "&lt;=" &amp; CI$1, DataRegularSeason20242025!$D$3:$D$1315, $A19)+SUMIFS(DataRegularSeason20242025!$AB$3:$AB$1315,DataRegularSeason20242025!$B$3:$B$1315, "&lt;=" &amp; CI$1, DataRegularSeason20242025!$E$3:$E$1315, $A19)</f>
        <v>10</v>
      </c>
      <c r="CJ19">
        <f>SUMIFS(DataRegularSeason20242025!$AA$3:$AA$1315,DataRegularSeason20242025!$B$3:$B$1315, "&lt;=" &amp; CJ$1, DataRegularSeason20242025!$D$3:$D$1315, $A19)+SUMIFS(DataRegularSeason20242025!$AB$3:$AB$1315,DataRegularSeason20242025!$B$3:$B$1315, "&lt;=" &amp; CJ$1, DataRegularSeason20242025!$E$3:$E$1315, $A19)</f>
        <v>10</v>
      </c>
      <c r="CK19">
        <f>SUMIFS(DataRegularSeason20242025!$AA$3:$AA$1315,DataRegularSeason20242025!$B$3:$B$1315, "&lt;=" &amp; CK$1, DataRegularSeason20242025!$D$3:$D$1315, $A19)+SUMIFS(DataRegularSeason20242025!$AB$3:$AB$1315,DataRegularSeason20242025!$B$3:$B$1315, "&lt;=" &amp; CK$1, DataRegularSeason20242025!$E$3:$E$1315, $A19)</f>
        <v>10</v>
      </c>
      <c r="CL19">
        <f>SUMIFS(DataRegularSeason20242025!$AA$3:$AA$1315,DataRegularSeason20242025!$B$3:$B$1315, "&lt;=" &amp; CL$1, DataRegularSeason20242025!$D$3:$D$1315, $A19)+SUMIFS(DataRegularSeason20242025!$AB$3:$AB$1315,DataRegularSeason20242025!$B$3:$B$1315, "&lt;=" &amp; CL$1, DataRegularSeason20242025!$E$3:$E$1315, $A19)</f>
        <v>10</v>
      </c>
      <c r="CM19">
        <f>SUMIFS(DataRegularSeason20242025!$AA$3:$AA$1315,DataRegularSeason20242025!$B$3:$B$1315, "&lt;=" &amp; CM$1, DataRegularSeason20242025!$D$3:$D$1315, $A19)+SUMIFS(DataRegularSeason20242025!$AB$3:$AB$1315,DataRegularSeason20242025!$B$3:$B$1315, "&lt;=" &amp; CM$1, DataRegularSeason20242025!$E$3:$E$1315, $A19)</f>
        <v>10</v>
      </c>
      <c r="CN19">
        <f>SUMIFS(DataRegularSeason20242025!$AA$3:$AA$1315,DataRegularSeason20242025!$B$3:$B$1315, "&lt;=" &amp; CN$1, DataRegularSeason20242025!$D$3:$D$1315, $A19)+SUMIFS(DataRegularSeason20242025!$AB$3:$AB$1315,DataRegularSeason20242025!$B$3:$B$1315, "&lt;=" &amp; CN$1, DataRegularSeason20242025!$E$3:$E$1315, $A19)</f>
        <v>10</v>
      </c>
      <c r="CO19">
        <f>SUMIFS(DataRegularSeason20242025!$AA$3:$AA$1315,DataRegularSeason20242025!$B$3:$B$1315, "&lt;=" &amp; CO$1, DataRegularSeason20242025!$D$3:$D$1315, $A19)+SUMIFS(DataRegularSeason20242025!$AB$3:$AB$1315,DataRegularSeason20242025!$B$3:$B$1315, "&lt;=" &amp; CO$1, DataRegularSeason20242025!$E$3:$E$1315, $A19)</f>
        <v>10</v>
      </c>
      <c r="CP19">
        <f>SUMIFS(DataRegularSeason20242025!$AA$3:$AA$1315,DataRegularSeason20242025!$B$3:$B$1315, "&lt;=" &amp; CP$1, DataRegularSeason20242025!$D$3:$D$1315, $A19)+SUMIFS(DataRegularSeason20242025!$AB$3:$AB$1315,DataRegularSeason20242025!$B$3:$B$1315, "&lt;=" &amp; CP$1, DataRegularSeason20242025!$E$3:$E$1315, $A19)</f>
        <v>10</v>
      </c>
      <c r="CQ19">
        <f>SUMIFS(DataRegularSeason20242025!$AA$3:$AA$1315,DataRegularSeason20242025!$B$3:$B$1315, "&lt;=" &amp; CQ$1, DataRegularSeason20242025!$D$3:$D$1315, $A19)+SUMIFS(DataRegularSeason20242025!$AB$3:$AB$1315,DataRegularSeason20242025!$B$3:$B$1315, "&lt;=" &amp; CQ$1, DataRegularSeason20242025!$E$3:$E$1315, $A19)</f>
        <v>10</v>
      </c>
      <c r="CR19">
        <f>SUMIFS(DataRegularSeason20242025!$AA$3:$AA$1315,DataRegularSeason20242025!$B$3:$B$1315, "&lt;=" &amp; CR$1, DataRegularSeason20242025!$D$3:$D$1315, $A19)+SUMIFS(DataRegularSeason20242025!$AB$3:$AB$1315,DataRegularSeason20242025!$B$3:$B$1315, "&lt;=" &amp; CR$1, DataRegularSeason20242025!$E$3:$E$1315, $A19)</f>
        <v>10</v>
      </c>
      <c r="CS19">
        <f>SUMIFS(DataRegularSeason20242025!$AA$3:$AA$1315,DataRegularSeason20242025!$B$3:$B$1315, "&lt;=" &amp; CS$1, DataRegularSeason20242025!$D$3:$D$1315, $A19)+SUMIFS(DataRegularSeason20242025!$AB$3:$AB$1315,DataRegularSeason20242025!$B$3:$B$1315, "&lt;=" &amp; CS$1, DataRegularSeason20242025!$E$3:$E$1315, $A19)</f>
        <v>10</v>
      </c>
      <c r="CT19">
        <f>SUMIFS(DataRegularSeason20242025!$AA$3:$AA$1315,DataRegularSeason20242025!$B$3:$B$1315, "&lt;=" &amp; CT$1, DataRegularSeason20242025!$D$3:$D$1315, $A19)+SUMIFS(DataRegularSeason20242025!$AB$3:$AB$1315,DataRegularSeason20242025!$B$3:$B$1315, "&lt;=" &amp; CT$1, DataRegularSeason20242025!$E$3:$E$1315, $A19)</f>
        <v>10</v>
      </c>
      <c r="CU19">
        <f>SUMIFS(DataRegularSeason20242025!$AA$3:$AA$1315,DataRegularSeason20242025!$B$3:$B$1315, "&lt;=" &amp; CU$1, DataRegularSeason20242025!$D$3:$D$1315, $A19)+SUMIFS(DataRegularSeason20242025!$AB$3:$AB$1315,DataRegularSeason20242025!$B$3:$B$1315, "&lt;=" &amp; CU$1, DataRegularSeason20242025!$E$3:$E$1315, $A19)</f>
        <v>10</v>
      </c>
      <c r="CV19">
        <f>SUMIFS(DataRegularSeason20242025!$AA$3:$AA$1315,DataRegularSeason20242025!$B$3:$B$1315, "&lt;=" &amp; CV$1, DataRegularSeason20242025!$D$3:$D$1315, $A19)+SUMIFS(DataRegularSeason20242025!$AB$3:$AB$1315,DataRegularSeason20242025!$B$3:$B$1315, "&lt;=" &amp; CV$1, DataRegularSeason20242025!$E$3:$E$1315, $A19)</f>
        <v>10</v>
      </c>
      <c r="CW19">
        <f>SUMIFS(DataRegularSeason20242025!$AA$3:$AA$1315,DataRegularSeason20242025!$B$3:$B$1315, "&lt;=" &amp; CW$1, DataRegularSeason20242025!$D$3:$D$1315, $A19)+SUMIFS(DataRegularSeason20242025!$AB$3:$AB$1315,DataRegularSeason20242025!$B$3:$B$1315, "&lt;=" &amp; CW$1, DataRegularSeason20242025!$E$3:$E$1315, $A19)</f>
        <v>10</v>
      </c>
      <c r="CX19">
        <f>SUMIFS(DataRegularSeason20242025!$AA$3:$AA$1315,DataRegularSeason20242025!$B$3:$B$1315, "&lt;=" &amp; CX$1, DataRegularSeason20242025!$D$3:$D$1315, $A19)+SUMIFS(DataRegularSeason20242025!$AB$3:$AB$1315,DataRegularSeason20242025!$B$3:$B$1315, "&lt;=" &amp; CX$1, DataRegularSeason20242025!$E$3:$E$1315, $A19)</f>
        <v>10</v>
      </c>
      <c r="CY19">
        <f>SUMIFS(DataRegularSeason20242025!$AA$3:$AA$1315,DataRegularSeason20242025!$B$3:$B$1315, "&lt;=" &amp; CY$1, DataRegularSeason20242025!$D$3:$D$1315, $A19)+SUMIFS(DataRegularSeason20242025!$AB$3:$AB$1315,DataRegularSeason20242025!$B$3:$B$1315, "&lt;=" &amp; CY$1, DataRegularSeason20242025!$E$3:$E$1315, $A19)</f>
        <v>10</v>
      </c>
      <c r="CZ19">
        <f>SUMIFS(DataRegularSeason20242025!$AA$3:$AA$1315,DataRegularSeason20242025!$B$3:$B$1315, "&lt;=" &amp; CZ$1, DataRegularSeason20242025!$D$3:$D$1315, $A19)+SUMIFS(DataRegularSeason20242025!$AB$3:$AB$1315,DataRegularSeason20242025!$B$3:$B$1315, "&lt;=" &amp; CZ$1, DataRegularSeason20242025!$E$3:$E$1315, $A19)</f>
        <v>10</v>
      </c>
      <c r="DA19">
        <f>SUMIFS(DataRegularSeason20242025!$AA$3:$AA$1315,DataRegularSeason20242025!$B$3:$B$1315, "&lt;=" &amp; DA$1, DataRegularSeason20242025!$D$3:$D$1315, $A19)+SUMIFS(DataRegularSeason20242025!$AB$3:$AB$1315,DataRegularSeason20242025!$B$3:$B$1315, "&lt;=" &amp; DA$1, DataRegularSeason20242025!$E$3:$E$1315, $A19)</f>
        <v>10</v>
      </c>
      <c r="DB19">
        <f>SUMIFS(DataRegularSeason20242025!$AA$3:$AA$1315,DataRegularSeason20242025!$B$3:$B$1315, "&lt;=" &amp; DB$1, DataRegularSeason20242025!$D$3:$D$1315, $A19)+SUMIFS(DataRegularSeason20242025!$AB$3:$AB$1315,DataRegularSeason20242025!$B$3:$B$1315, "&lt;=" &amp; DB$1, DataRegularSeason20242025!$E$3:$E$1315, $A19)</f>
        <v>10</v>
      </c>
      <c r="DC19">
        <f>SUMIFS(DataRegularSeason20242025!$AA$3:$AA$1315,DataRegularSeason20242025!$B$3:$B$1315, "&lt;=" &amp; DC$1, DataRegularSeason20242025!$D$3:$D$1315, $A19)+SUMIFS(DataRegularSeason20242025!$AB$3:$AB$1315,DataRegularSeason20242025!$B$3:$B$1315, "&lt;=" &amp; DC$1, DataRegularSeason20242025!$E$3:$E$1315, $A19)</f>
        <v>10</v>
      </c>
      <c r="DD19">
        <f>SUMIFS(DataRegularSeason20242025!$AA$3:$AA$1315,DataRegularSeason20242025!$B$3:$B$1315, "&lt;=" &amp; DD$1, DataRegularSeason20242025!$D$3:$D$1315, $A19)+SUMIFS(DataRegularSeason20242025!$AB$3:$AB$1315,DataRegularSeason20242025!$B$3:$B$1315, "&lt;=" &amp; DD$1, DataRegularSeason20242025!$E$3:$E$1315, $A19)</f>
        <v>10</v>
      </c>
      <c r="DE19">
        <f>SUMIFS(DataRegularSeason20242025!$AA$3:$AA$1315,DataRegularSeason20242025!$B$3:$B$1315, "&lt;=" &amp; DE$1, DataRegularSeason20242025!$D$3:$D$1315, $A19)+SUMIFS(DataRegularSeason20242025!$AB$3:$AB$1315,DataRegularSeason20242025!$B$3:$B$1315, "&lt;=" &amp; DE$1, DataRegularSeason20242025!$E$3:$E$1315, $A19)</f>
        <v>10</v>
      </c>
      <c r="DF19">
        <f>SUMIFS(DataRegularSeason20242025!$AA$3:$AA$1315,DataRegularSeason20242025!$B$3:$B$1315, "&lt;=" &amp; DF$1, DataRegularSeason20242025!$D$3:$D$1315, $A19)+SUMIFS(DataRegularSeason20242025!$AB$3:$AB$1315,DataRegularSeason20242025!$B$3:$B$1315, "&lt;=" &amp; DF$1, DataRegularSeason20242025!$E$3:$E$1315, $A19)</f>
        <v>10</v>
      </c>
      <c r="DG19">
        <f>SUMIFS(DataRegularSeason20242025!$AA$3:$AA$1315,DataRegularSeason20242025!$B$3:$B$1315, "&lt;=" &amp; DG$1, DataRegularSeason20242025!$D$3:$D$1315, $A19)+SUMIFS(DataRegularSeason20242025!$AB$3:$AB$1315,DataRegularSeason20242025!$B$3:$B$1315, "&lt;=" &amp; DG$1, DataRegularSeason20242025!$E$3:$E$1315, $A19)</f>
        <v>10</v>
      </c>
      <c r="DH19">
        <f>SUMIFS(DataRegularSeason20242025!$AA$3:$AA$1315,DataRegularSeason20242025!$B$3:$B$1315, "&lt;=" &amp; DH$1, DataRegularSeason20242025!$D$3:$D$1315, $A19)+SUMIFS(DataRegularSeason20242025!$AB$3:$AB$1315,DataRegularSeason20242025!$B$3:$B$1315, "&lt;=" &amp; DH$1, DataRegularSeason20242025!$E$3:$E$1315, $A19)</f>
        <v>10</v>
      </c>
      <c r="DI19">
        <f>SUMIFS(DataRegularSeason20242025!$AA$3:$AA$1315,DataRegularSeason20242025!$B$3:$B$1315, "&lt;=" &amp; DI$1, DataRegularSeason20242025!$D$3:$D$1315, $A19)+SUMIFS(DataRegularSeason20242025!$AB$3:$AB$1315,DataRegularSeason20242025!$B$3:$B$1315, "&lt;=" &amp; DI$1, DataRegularSeason20242025!$E$3:$E$1315, $A19)</f>
        <v>10</v>
      </c>
      <c r="DJ19">
        <f>SUMIFS(DataRegularSeason20242025!$AA$3:$AA$1315,DataRegularSeason20242025!$B$3:$B$1315, "&lt;=" &amp; DJ$1, DataRegularSeason20242025!$D$3:$D$1315, $A19)+SUMIFS(DataRegularSeason20242025!$AB$3:$AB$1315,DataRegularSeason20242025!$B$3:$B$1315, "&lt;=" &amp; DJ$1, DataRegularSeason20242025!$E$3:$E$1315, $A19)</f>
        <v>10</v>
      </c>
      <c r="DK19">
        <f>SUMIFS(DataRegularSeason20242025!$AA$3:$AA$1315,DataRegularSeason20242025!$B$3:$B$1315, "&lt;=" &amp; DK$1, DataRegularSeason20242025!$D$3:$D$1315, $A19)+SUMIFS(DataRegularSeason20242025!$AB$3:$AB$1315,DataRegularSeason20242025!$B$3:$B$1315, "&lt;=" &amp; DK$1, DataRegularSeason20242025!$E$3:$E$1315, $A19)</f>
        <v>10</v>
      </c>
      <c r="DL19">
        <f>SUMIFS(DataRegularSeason20242025!$AA$3:$AA$1315,DataRegularSeason20242025!$B$3:$B$1315, "&lt;=" &amp; DL$1, DataRegularSeason20242025!$D$3:$D$1315, $A19)+SUMIFS(DataRegularSeason20242025!$AB$3:$AB$1315,DataRegularSeason20242025!$B$3:$B$1315, "&lt;=" &amp; DL$1, DataRegularSeason20242025!$E$3:$E$1315, $A19)</f>
        <v>10</v>
      </c>
      <c r="DM19">
        <f>SUMIFS(DataRegularSeason20242025!$AA$3:$AA$1315,DataRegularSeason20242025!$B$3:$B$1315, "&lt;=" &amp; DM$1, DataRegularSeason20242025!$D$3:$D$1315, $A19)+SUMIFS(DataRegularSeason20242025!$AB$3:$AB$1315,DataRegularSeason20242025!$B$3:$B$1315, "&lt;=" &amp; DM$1, DataRegularSeason20242025!$E$3:$E$1315, $A19)</f>
        <v>10</v>
      </c>
      <c r="DN19">
        <f>SUMIFS(DataRegularSeason20242025!$AA$3:$AA$1315,DataRegularSeason20242025!$B$3:$B$1315, "&lt;=" &amp; DN$1, DataRegularSeason20242025!$D$3:$D$1315, $A19)+SUMIFS(DataRegularSeason20242025!$AB$3:$AB$1315,DataRegularSeason20242025!$B$3:$B$1315, "&lt;=" &amp; DN$1, DataRegularSeason20242025!$E$3:$E$1315, $A19)</f>
        <v>10</v>
      </c>
      <c r="DO19">
        <f>SUMIFS(DataRegularSeason20242025!$AA$3:$AA$1315,DataRegularSeason20242025!$B$3:$B$1315, "&lt;=" &amp; DO$1, DataRegularSeason20242025!$D$3:$D$1315, $A19)+SUMIFS(DataRegularSeason20242025!$AB$3:$AB$1315,DataRegularSeason20242025!$B$3:$B$1315, "&lt;=" &amp; DO$1, DataRegularSeason20242025!$E$3:$E$1315, $A19)</f>
        <v>10</v>
      </c>
      <c r="DP19">
        <f>SUMIFS(DataRegularSeason20242025!$AA$3:$AA$1315,DataRegularSeason20242025!$B$3:$B$1315, "&lt;=" &amp; DP$1, DataRegularSeason20242025!$D$3:$D$1315, $A19)+SUMIFS(DataRegularSeason20242025!$AB$3:$AB$1315,DataRegularSeason20242025!$B$3:$B$1315, "&lt;=" &amp; DP$1, DataRegularSeason20242025!$E$3:$E$1315, $A19)</f>
        <v>10</v>
      </c>
      <c r="DQ19">
        <f>SUMIFS(DataRegularSeason20242025!$AA$3:$AA$1315,DataRegularSeason20242025!$B$3:$B$1315, "&lt;=" &amp; DQ$1, DataRegularSeason20242025!$D$3:$D$1315, $A19)+SUMIFS(DataRegularSeason20242025!$AB$3:$AB$1315,DataRegularSeason20242025!$B$3:$B$1315, "&lt;=" &amp; DQ$1, DataRegularSeason20242025!$E$3:$E$1315, $A19)</f>
        <v>10</v>
      </c>
      <c r="DR19">
        <f>SUMIFS(DataRegularSeason20242025!$AA$3:$AA$1315,DataRegularSeason20242025!$B$3:$B$1315, "&lt;=" &amp; DR$1, DataRegularSeason20242025!$D$3:$D$1315, $A19)+SUMIFS(DataRegularSeason20242025!$AB$3:$AB$1315,DataRegularSeason20242025!$B$3:$B$1315, "&lt;=" &amp; DR$1, DataRegularSeason20242025!$E$3:$E$1315, $A19)</f>
        <v>10</v>
      </c>
      <c r="DS19">
        <f>SUMIFS(DataRegularSeason20242025!$AA$3:$AA$1315,DataRegularSeason20242025!$B$3:$B$1315, "&lt;=" &amp; DS$1, DataRegularSeason20242025!$D$3:$D$1315, $A19)+SUMIFS(DataRegularSeason20242025!$AB$3:$AB$1315,DataRegularSeason20242025!$B$3:$B$1315, "&lt;=" &amp; DS$1, DataRegularSeason20242025!$E$3:$E$1315, $A19)</f>
        <v>10</v>
      </c>
      <c r="DT19">
        <f>SUMIFS(DataRegularSeason20242025!$AA$3:$AA$1315,DataRegularSeason20242025!$B$3:$B$1315, "&lt;=" &amp; DT$1, DataRegularSeason20242025!$D$3:$D$1315, $A19)+SUMIFS(DataRegularSeason20242025!$AB$3:$AB$1315,DataRegularSeason20242025!$B$3:$B$1315, "&lt;=" &amp; DT$1, DataRegularSeason20242025!$E$3:$E$1315, $A19)</f>
        <v>10</v>
      </c>
      <c r="DU19">
        <f>SUMIFS(DataRegularSeason20242025!$AA$3:$AA$1315,DataRegularSeason20242025!$B$3:$B$1315, "&lt;=" &amp; DU$1, DataRegularSeason20242025!$D$3:$D$1315, $A19)+SUMIFS(DataRegularSeason20242025!$AB$3:$AB$1315,DataRegularSeason20242025!$B$3:$B$1315, "&lt;=" &amp; DU$1, DataRegularSeason20242025!$E$3:$E$1315, $A19)</f>
        <v>10</v>
      </c>
      <c r="DV19">
        <f>SUMIFS(DataRegularSeason20242025!$AA$3:$AA$1315,DataRegularSeason20242025!$B$3:$B$1315, "&lt;=" &amp; DV$1, DataRegularSeason20242025!$D$3:$D$1315, $A19)+SUMIFS(DataRegularSeason20242025!$AB$3:$AB$1315,DataRegularSeason20242025!$B$3:$B$1315, "&lt;=" &amp; DV$1, DataRegularSeason20242025!$E$3:$E$1315, $A19)</f>
        <v>10</v>
      </c>
      <c r="DW19">
        <f>SUMIFS(DataRegularSeason20242025!$AA$3:$AA$1315,DataRegularSeason20242025!$B$3:$B$1315, "&lt;=" &amp; DW$1, DataRegularSeason20242025!$D$3:$D$1315, $A19)+SUMIFS(DataRegularSeason20242025!$AB$3:$AB$1315,DataRegularSeason20242025!$B$3:$B$1315, "&lt;=" &amp; DW$1, DataRegularSeason20242025!$E$3:$E$1315, $A19)</f>
        <v>10</v>
      </c>
      <c r="DX19">
        <f>SUMIFS(DataRegularSeason20242025!$AA$3:$AA$1315,DataRegularSeason20242025!$B$3:$B$1315, "&lt;=" &amp; DX$1, DataRegularSeason20242025!$D$3:$D$1315, $A19)+SUMIFS(DataRegularSeason20242025!$AB$3:$AB$1315,DataRegularSeason20242025!$B$3:$B$1315, "&lt;=" &amp; DX$1, DataRegularSeason20242025!$E$3:$E$1315, $A19)</f>
        <v>10</v>
      </c>
      <c r="DY19">
        <f>SUMIFS(DataRegularSeason20242025!$AA$3:$AA$1315,DataRegularSeason20242025!$B$3:$B$1315, "&lt;=" &amp; DY$1, DataRegularSeason20242025!$D$3:$D$1315, $A19)+SUMIFS(DataRegularSeason20242025!$AB$3:$AB$1315,DataRegularSeason20242025!$B$3:$B$1315, "&lt;=" &amp; DY$1, DataRegularSeason20242025!$E$3:$E$1315, $A19)</f>
        <v>10</v>
      </c>
      <c r="DZ19">
        <f>SUMIFS(DataRegularSeason20242025!$AA$3:$AA$1315,DataRegularSeason20242025!$B$3:$B$1315, "&lt;=" &amp; DZ$1, DataRegularSeason20242025!$D$3:$D$1315, $A19)+SUMIFS(DataRegularSeason20242025!$AB$3:$AB$1315,DataRegularSeason20242025!$B$3:$B$1315, "&lt;=" &amp; DZ$1, DataRegularSeason20242025!$E$3:$E$1315, $A19)</f>
        <v>10</v>
      </c>
      <c r="EA19">
        <f>SUMIFS(DataRegularSeason20242025!$AA$3:$AA$1315,DataRegularSeason20242025!$B$3:$B$1315, "&lt;=" &amp; EA$1, DataRegularSeason20242025!$D$3:$D$1315, $A19)+SUMIFS(DataRegularSeason20242025!$AB$3:$AB$1315,DataRegularSeason20242025!$B$3:$B$1315, "&lt;=" &amp; EA$1, DataRegularSeason20242025!$E$3:$E$1315, $A19)</f>
        <v>10</v>
      </c>
      <c r="EB19">
        <f>SUMIFS(DataRegularSeason20242025!$AA$3:$AA$1315,DataRegularSeason20242025!$B$3:$B$1315, "&lt;=" &amp; EB$1, DataRegularSeason20242025!$D$3:$D$1315, $A19)+SUMIFS(DataRegularSeason20242025!$AB$3:$AB$1315,DataRegularSeason20242025!$B$3:$B$1315, "&lt;=" &amp; EB$1, DataRegularSeason20242025!$E$3:$E$1315, $A19)</f>
        <v>10</v>
      </c>
      <c r="EC19">
        <f>SUMIFS(DataRegularSeason20242025!$AA$3:$AA$1315,DataRegularSeason20242025!$B$3:$B$1315, "&lt;=" &amp; EC$1, DataRegularSeason20242025!$D$3:$D$1315, $A19)+SUMIFS(DataRegularSeason20242025!$AB$3:$AB$1315,DataRegularSeason20242025!$B$3:$B$1315, "&lt;=" &amp; EC$1, DataRegularSeason20242025!$E$3:$E$1315, $A19)</f>
        <v>10</v>
      </c>
      <c r="ED19">
        <f>SUMIFS(DataRegularSeason20242025!$AA$3:$AA$1315,DataRegularSeason20242025!$B$3:$B$1315, "&lt;=" &amp; ED$1, DataRegularSeason20242025!$D$3:$D$1315, $A19)+SUMIFS(DataRegularSeason20242025!$AB$3:$AB$1315,DataRegularSeason20242025!$B$3:$B$1315, "&lt;=" &amp; ED$1, DataRegularSeason20242025!$E$3:$E$1315, $A19)</f>
        <v>10</v>
      </c>
      <c r="EE19">
        <f>SUMIFS(DataRegularSeason20242025!$AA$3:$AA$1315,DataRegularSeason20242025!$B$3:$B$1315, "&lt;=" &amp; EE$1, DataRegularSeason20242025!$D$3:$D$1315, $A19)+SUMIFS(DataRegularSeason20242025!$AB$3:$AB$1315,DataRegularSeason20242025!$B$3:$B$1315, "&lt;=" &amp; EE$1, DataRegularSeason20242025!$E$3:$E$1315, $A19)</f>
        <v>10</v>
      </c>
      <c r="EF19">
        <f>SUMIFS(DataRegularSeason20242025!$AA$3:$AA$1315,DataRegularSeason20242025!$B$3:$B$1315, "&lt;=" &amp; EF$1, DataRegularSeason20242025!$D$3:$D$1315, $A19)+SUMIFS(DataRegularSeason20242025!$AB$3:$AB$1315,DataRegularSeason20242025!$B$3:$B$1315, "&lt;=" &amp; EF$1, DataRegularSeason20242025!$E$3:$E$1315, $A19)</f>
        <v>10</v>
      </c>
      <c r="EG19">
        <f>SUMIFS(DataRegularSeason20242025!$AA$3:$AA$1315,DataRegularSeason20242025!$B$3:$B$1315, "&lt;=" &amp; EG$1, DataRegularSeason20242025!$D$3:$D$1315, $A19)+SUMIFS(DataRegularSeason20242025!$AB$3:$AB$1315,DataRegularSeason20242025!$B$3:$B$1315, "&lt;=" &amp; EG$1, DataRegularSeason20242025!$E$3:$E$1315, $A19)</f>
        <v>10</v>
      </c>
      <c r="EH19">
        <f>SUMIFS(DataRegularSeason20242025!$AA$3:$AA$1315,DataRegularSeason20242025!$B$3:$B$1315, "&lt;=" &amp; EH$1, DataRegularSeason20242025!$D$3:$D$1315, $A19)+SUMIFS(DataRegularSeason20242025!$AB$3:$AB$1315,DataRegularSeason20242025!$B$3:$B$1315, "&lt;=" &amp; EH$1, DataRegularSeason20242025!$E$3:$E$1315, $A19)</f>
        <v>10</v>
      </c>
      <c r="EI19">
        <f>SUMIFS(DataRegularSeason20242025!$AA$3:$AA$1315,DataRegularSeason20242025!$B$3:$B$1315, "&lt;=" &amp; EI$1, DataRegularSeason20242025!$D$3:$D$1315, $A19)+SUMIFS(DataRegularSeason20242025!$AB$3:$AB$1315,DataRegularSeason20242025!$B$3:$B$1315, "&lt;=" &amp; EI$1, DataRegularSeason20242025!$E$3:$E$1315, $A19)</f>
        <v>10</v>
      </c>
      <c r="EJ19">
        <f>SUMIFS(DataRegularSeason20242025!$AA$3:$AA$1315,DataRegularSeason20242025!$B$3:$B$1315, "&lt;=" &amp; EJ$1, DataRegularSeason20242025!$D$3:$D$1315, $A19)+SUMIFS(DataRegularSeason20242025!$AB$3:$AB$1315,DataRegularSeason20242025!$B$3:$B$1315, "&lt;=" &amp; EJ$1, DataRegularSeason20242025!$E$3:$E$1315, $A19)</f>
        <v>10</v>
      </c>
      <c r="EK19">
        <f>SUMIFS(DataRegularSeason20242025!$AA$3:$AA$1315,DataRegularSeason20242025!$B$3:$B$1315, "&lt;=" &amp; EK$1, DataRegularSeason20242025!$D$3:$D$1315, $A19)+SUMIFS(DataRegularSeason20242025!$AB$3:$AB$1315,DataRegularSeason20242025!$B$3:$B$1315, "&lt;=" &amp; EK$1, DataRegularSeason20242025!$E$3:$E$1315, $A19)</f>
        <v>10</v>
      </c>
      <c r="EL19">
        <f>SUMIFS(DataRegularSeason20242025!$AA$3:$AA$1315,DataRegularSeason20242025!$B$3:$B$1315, "&lt;=" &amp; EL$1, DataRegularSeason20242025!$D$3:$D$1315, $A19)+SUMIFS(DataRegularSeason20242025!$AB$3:$AB$1315,DataRegularSeason20242025!$B$3:$B$1315, "&lt;=" &amp; EL$1, DataRegularSeason20242025!$E$3:$E$1315, $A19)</f>
        <v>10</v>
      </c>
      <c r="EM19">
        <f>SUMIFS(DataRegularSeason20242025!$AA$3:$AA$1315,DataRegularSeason20242025!$B$3:$B$1315, "&lt;=" &amp; EM$1, DataRegularSeason20242025!$D$3:$D$1315, $A19)+SUMIFS(DataRegularSeason20242025!$AB$3:$AB$1315,DataRegularSeason20242025!$B$3:$B$1315, "&lt;=" &amp; EM$1, DataRegularSeason20242025!$E$3:$E$1315, $A19)</f>
        <v>10</v>
      </c>
      <c r="EN19">
        <f>SUMIFS(DataRegularSeason20242025!$AA$3:$AA$1315,DataRegularSeason20242025!$B$3:$B$1315, "&lt;=" &amp; EN$1, DataRegularSeason20242025!$D$3:$D$1315, $A19)+SUMIFS(DataRegularSeason20242025!$AB$3:$AB$1315,DataRegularSeason20242025!$B$3:$B$1315, "&lt;=" &amp; EN$1, DataRegularSeason20242025!$E$3:$E$1315, $A19)</f>
        <v>10</v>
      </c>
      <c r="EO19">
        <f>SUMIFS(DataRegularSeason20242025!$AA$3:$AA$1315,DataRegularSeason20242025!$B$3:$B$1315, "&lt;=" &amp; EO$1, DataRegularSeason20242025!$D$3:$D$1315, $A19)+SUMIFS(DataRegularSeason20242025!$AB$3:$AB$1315,DataRegularSeason20242025!$B$3:$B$1315, "&lt;=" &amp; EO$1, DataRegularSeason20242025!$E$3:$E$1315, $A19)</f>
        <v>10</v>
      </c>
      <c r="EP19">
        <f>SUMIFS(DataRegularSeason20242025!$AA$3:$AA$1315,DataRegularSeason20242025!$B$3:$B$1315, "&lt;=" &amp; EP$1, DataRegularSeason20242025!$D$3:$D$1315, $A19)+SUMIFS(DataRegularSeason20242025!$AB$3:$AB$1315,DataRegularSeason20242025!$B$3:$B$1315, "&lt;=" &amp; EP$1, DataRegularSeason20242025!$E$3:$E$1315, $A19)</f>
        <v>10</v>
      </c>
      <c r="EQ19">
        <f>SUMIFS(DataRegularSeason20242025!$AA$3:$AA$1315,DataRegularSeason20242025!$B$3:$B$1315, "&lt;=" &amp; EQ$1, DataRegularSeason20242025!$D$3:$D$1315, $A19)+SUMIFS(DataRegularSeason20242025!$AB$3:$AB$1315,DataRegularSeason20242025!$B$3:$B$1315, "&lt;=" &amp; EQ$1, DataRegularSeason20242025!$E$3:$E$1315, $A19)</f>
        <v>10</v>
      </c>
      <c r="ER19">
        <f>SUMIFS(DataRegularSeason20242025!$AA$3:$AA$1315,DataRegularSeason20242025!$B$3:$B$1315, "&lt;=" &amp; ER$1, DataRegularSeason20242025!$D$3:$D$1315, $A19)+SUMIFS(DataRegularSeason20242025!$AB$3:$AB$1315,DataRegularSeason20242025!$B$3:$B$1315, "&lt;=" &amp; ER$1, DataRegularSeason20242025!$E$3:$E$1315, $A19)</f>
        <v>10</v>
      </c>
      <c r="ES19">
        <f>SUMIFS(DataRegularSeason20242025!$AA$3:$AA$1315,DataRegularSeason20242025!$B$3:$B$1315, "&lt;=" &amp; ES$1, DataRegularSeason20242025!$D$3:$D$1315, $A19)+SUMIFS(DataRegularSeason20242025!$AB$3:$AB$1315,DataRegularSeason20242025!$B$3:$B$1315, "&lt;=" &amp; ES$1, DataRegularSeason20242025!$E$3:$E$1315, $A19)</f>
        <v>10</v>
      </c>
      <c r="ET19">
        <f>SUMIFS(DataRegularSeason20242025!$AA$3:$AA$1315,DataRegularSeason20242025!$B$3:$B$1315, "&lt;=" &amp; ET$1, DataRegularSeason20242025!$D$3:$D$1315, $A19)+SUMIFS(DataRegularSeason20242025!$AB$3:$AB$1315,DataRegularSeason20242025!$B$3:$B$1315, "&lt;=" &amp; ET$1, DataRegularSeason20242025!$E$3:$E$1315, $A19)</f>
        <v>10</v>
      </c>
      <c r="EU19">
        <f>SUMIFS(DataRegularSeason20242025!$AA$3:$AA$1315,DataRegularSeason20242025!$B$3:$B$1315, "&lt;=" &amp; EU$1, DataRegularSeason20242025!$D$3:$D$1315, $A19)+SUMIFS(DataRegularSeason20242025!$AB$3:$AB$1315,DataRegularSeason20242025!$B$3:$B$1315, "&lt;=" &amp; EU$1, DataRegularSeason20242025!$E$3:$E$1315, $A19)</f>
        <v>10</v>
      </c>
      <c r="EV19">
        <f>SUMIFS(DataRegularSeason20242025!$AA$3:$AA$1315,DataRegularSeason20242025!$B$3:$B$1315, "&lt;=" &amp; EV$1, DataRegularSeason20242025!$D$3:$D$1315, $A19)+SUMIFS(DataRegularSeason20242025!$AB$3:$AB$1315,DataRegularSeason20242025!$B$3:$B$1315, "&lt;=" &amp; EV$1, DataRegularSeason20242025!$E$3:$E$1315, $A19)</f>
        <v>10</v>
      </c>
      <c r="EW19">
        <f>SUMIFS(DataRegularSeason20242025!$AA$3:$AA$1315,DataRegularSeason20242025!$B$3:$B$1315, "&lt;=" &amp; EW$1, DataRegularSeason20242025!$D$3:$D$1315, $A19)+SUMIFS(DataRegularSeason20242025!$AB$3:$AB$1315,DataRegularSeason20242025!$B$3:$B$1315, "&lt;=" &amp; EW$1, DataRegularSeason20242025!$E$3:$E$1315, $A19)</f>
        <v>10</v>
      </c>
      <c r="EX19">
        <f>SUMIFS(DataRegularSeason20242025!$AA$3:$AA$1315,DataRegularSeason20242025!$B$3:$B$1315, "&lt;=" &amp; EX$1, DataRegularSeason20242025!$D$3:$D$1315, $A19)+SUMIFS(DataRegularSeason20242025!$AB$3:$AB$1315,DataRegularSeason20242025!$B$3:$B$1315, "&lt;=" &amp; EX$1, DataRegularSeason20242025!$E$3:$E$1315, $A19)</f>
        <v>10</v>
      </c>
      <c r="EY19">
        <f>SUMIFS(DataRegularSeason20242025!$AA$3:$AA$1315,DataRegularSeason20242025!$B$3:$B$1315, "&lt;=" &amp; EY$1, DataRegularSeason20242025!$D$3:$D$1315, $A19)+SUMIFS(DataRegularSeason20242025!$AB$3:$AB$1315,DataRegularSeason20242025!$B$3:$B$1315, "&lt;=" &amp; EY$1, DataRegularSeason20242025!$E$3:$E$1315, $A19)</f>
        <v>10</v>
      </c>
      <c r="EZ19">
        <f>SUMIFS(DataRegularSeason20242025!$AA$3:$AA$1315,DataRegularSeason20242025!$B$3:$B$1315, "&lt;=" &amp; EZ$1, DataRegularSeason20242025!$D$3:$D$1315, $A19)+SUMIFS(DataRegularSeason20242025!$AB$3:$AB$1315,DataRegularSeason20242025!$B$3:$B$1315, "&lt;=" &amp; EZ$1, DataRegularSeason20242025!$E$3:$E$1315, $A19)</f>
        <v>10</v>
      </c>
      <c r="FA19">
        <f>SUMIFS(DataRegularSeason20242025!$AA$3:$AA$1315,DataRegularSeason20242025!$B$3:$B$1315, "&lt;=" &amp; FA$1, DataRegularSeason20242025!$D$3:$D$1315, $A19)+SUMIFS(DataRegularSeason20242025!$AB$3:$AB$1315,DataRegularSeason20242025!$B$3:$B$1315, "&lt;=" &amp; FA$1, DataRegularSeason20242025!$E$3:$E$1315, $A19)</f>
        <v>10</v>
      </c>
      <c r="FB19">
        <f>SUMIFS(DataRegularSeason20242025!$AA$3:$AA$1315,DataRegularSeason20242025!$B$3:$B$1315, "&lt;=" &amp; FB$1, DataRegularSeason20242025!$D$3:$D$1315, $A19)+SUMIFS(DataRegularSeason20242025!$AB$3:$AB$1315,DataRegularSeason20242025!$B$3:$B$1315, "&lt;=" &amp; FB$1, DataRegularSeason20242025!$E$3:$E$1315, $A19)</f>
        <v>10</v>
      </c>
      <c r="FC19">
        <f>SUMIFS(DataRegularSeason20242025!$AA$3:$AA$1315,DataRegularSeason20242025!$B$3:$B$1315, "&lt;=" &amp; FC$1, DataRegularSeason20242025!$D$3:$D$1315, $A19)+SUMIFS(DataRegularSeason20242025!$AB$3:$AB$1315,DataRegularSeason20242025!$B$3:$B$1315, "&lt;=" &amp; FC$1, DataRegularSeason20242025!$E$3:$E$1315, $A19)</f>
        <v>10</v>
      </c>
      <c r="FD19">
        <f>SUMIFS(DataRegularSeason20242025!$AA$3:$AA$1315,DataRegularSeason20242025!$B$3:$B$1315, "&lt;=" &amp; FD$1, DataRegularSeason20242025!$D$3:$D$1315, $A19)+SUMIFS(DataRegularSeason20242025!$AB$3:$AB$1315,DataRegularSeason20242025!$B$3:$B$1315, "&lt;=" &amp; FD$1, DataRegularSeason20242025!$E$3:$E$1315, $A19)</f>
        <v>10</v>
      </c>
      <c r="FE19">
        <f>SUMIFS(DataRegularSeason20242025!$AA$3:$AA$1315,DataRegularSeason20242025!$B$3:$B$1315, "&lt;=" &amp; FE$1, DataRegularSeason20242025!$D$3:$D$1315, $A19)+SUMIFS(DataRegularSeason20242025!$AB$3:$AB$1315,DataRegularSeason20242025!$B$3:$B$1315, "&lt;=" &amp; FE$1, DataRegularSeason20242025!$E$3:$E$1315, $A19)</f>
        <v>10</v>
      </c>
      <c r="FF19">
        <f>SUMIFS(DataRegularSeason20242025!$AA$3:$AA$1315,DataRegularSeason20242025!$B$3:$B$1315, "&lt;=" &amp; FF$1, DataRegularSeason20242025!$D$3:$D$1315, $A19)+SUMIFS(DataRegularSeason20242025!$AB$3:$AB$1315,DataRegularSeason20242025!$B$3:$B$1315, "&lt;=" &amp; FF$1, DataRegularSeason20242025!$E$3:$E$1315, $A19)</f>
        <v>10</v>
      </c>
      <c r="FG19">
        <f>SUMIFS(DataRegularSeason20242025!$AA$3:$AA$1315,DataRegularSeason20242025!$B$3:$B$1315, "&lt;=" &amp; FG$1, DataRegularSeason20242025!$D$3:$D$1315, $A19)+SUMIFS(DataRegularSeason20242025!$AB$3:$AB$1315,DataRegularSeason20242025!$B$3:$B$1315, "&lt;=" &amp; FG$1, DataRegularSeason20242025!$E$3:$E$1315, $A19)</f>
        <v>10</v>
      </c>
      <c r="FH19">
        <f>SUMIFS(DataRegularSeason20242025!$AA$3:$AA$1315,DataRegularSeason20242025!$B$3:$B$1315, "&lt;=" &amp; FH$1, DataRegularSeason20242025!$D$3:$D$1315, $A19)+SUMIFS(DataRegularSeason20242025!$AB$3:$AB$1315,DataRegularSeason20242025!$B$3:$B$1315, "&lt;=" &amp; FH$1, DataRegularSeason20242025!$E$3:$E$1315, $A19)</f>
        <v>10</v>
      </c>
      <c r="FI19">
        <f>SUMIFS(DataRegularSeason20242025!$AA$3:$AA$1315,DataRegularSeason20242025!$B$3:$B$1315, "&lt;=" &amp; FI$1, DataRegularSeason20242025!$D$3:$D$1315, $A19)+SUMIFS(DataRegularSeason20242025!$AB$3:$AB$1315,DataRegularSeason20242025!$B$3:$B$1315, "&lt;=" &amp; FI$1, DataRegularSeason20242025!$E$3:$E$1315, $A19)</f>
        <v>10</v>
      </c>
      <c r="FJ19">
        <f>SUMIFS(DataRegularSeason20242025!$AA$3:$AA$1315,DataRegularSeason20242025!$B$3:$B$1315, "&lt;=" &amp; FJ$1, DataRegularSeason20242025!$D$3:$D$1315, $A19)+SUMIFS(DataRegularSeason20242025!$AB$3:$AB$1315,DataRegularSeason20242025!$B$3:$B$1315, "&lt;=" &amp; FJ$1, DataRegularSeason20242025!$E$3:$E$1315, $A19)</f>
        <v>10</v>
      </c>
      <c r="FK19">
        <f>SUMIFS(DataRegularSeason20242025!$AA$3:$AA$1315,DataRegularSeason20242025!$B$3:$B$1315, "&lt;=" &amp; FK$1, DataRegularSeason20242025!$D$3:$D$1315, $A19)+SUMIFS(DataRegularSeason20242025!$AB$3:$AB$1315,DataRegularSeason20242025!$B$3:$B$1315, "&lt;=" &amp; FK$1, DataRegularSeason20242025!$E$3:$E$1315, $A19)</f>
        <v>10</v>
      </c>
      <c r="FL19">
        <f>SUMIFS(DataRegularSeason20242025!$AA$3:$AA$1315,DataRegularSeason20242025!$B$3:$B$1315, "&lt;=" &amp; FL$1, DataRegularSeason20242025!$D$3:$D$1315, $A19)+SUMIFS(DataRegularSeason20242025!$AB$3:$AB$1315,DataRegularSeason20242025!$B$3:$B$1315, "&lt;=" &amp; FL$1, DataRegularSeason20242025!$E$3:$E$1315, $A19)</f>
        <v>10</v>
      </c>
      <c r="FM19">
        <f>SUMIFS(DataRegularSeason20242025!$AA$3:$AA$1315,DataRegularSeason20242025!$B$3:$B$1315, "&lt;=" &amp; FM$1, DataRegularSeason20242025!$D$3:$D$1315, $A19)+SUMIFS(DataRegularSeason20242025!$AB$3:$AB$1315,DataRegularSeason20242025!$B$3:$B$1315, "&lt;=" &amp; FM$1, DataRegularSeason20242025!$E$3:$E$1315, $A19)</f>
        <v>10</v>
      </c>
      <c r="FN19">
        <f>SUMIFS(DataRegularSeason20242025!$AA$3:$AA$1315,DataRegularSeason20242025!$B$3:$B$1315, "&lt;=" &amp; FN$1, DataRegularSeason20242025!$D$3:$D$1315, $A19)+SUMIFS(DataRegularSeason20242025!$AB$3:$AB$1315,DataRegularSeason20242025!$B$3:$B$1315, "&lt;=" &amp; FN$1, DataRegularSeason20242025!$E$3:$E$1315, $A19)</f>
        <v>10</v>
      </c>
      <c r="FO19">
        <f>SUMIFS(DataRegularSeason20242025!$AA$3:$AA$1315,DataRegularSeason20242025!$B$3:$B$1315, "&lt;=" &amp; FO$1, DataRegularSeason20242025!$D$3:$D$1315, $A19)+SUMIFS(DataRegularSeason20242025!$AB$3:$AB$1315,DataRegularSeason20242025!$B$3:$B$1315, "&lt;=" &amp; FO$1, DataRegularSeason20242025!$E$3:$E$1315, $A19)</f>
        <v>10</v>
      </c>
      <c r="FP19">
        <f>SUMIFS(DataRegularSeason20242025!$AA$3:$AA$1315,DataRegularSeason20242025!$B$3:$B$1315, "&lt;=" &amp; FP$1, DataRegularSeason20242025!$D$3:$D$1315, $A19)+SUMIFS(DataRegularSeason20242025!$AB$3:$AB$1315,DataRegularSeason20242025!$B$3:$B$1315, "&lt;=" &amp; FP$1, DataRegularSeason20242025!$E$3:$E$1315, $A19)</f>
        <v>10</v>
      </c>
      <c r="FQ19">
        <f>SUMIFS(DataRegularSeason20242025!$AA$3:$AA$1315,DataRegularSeason20242025!$B$3:$B$1315, "&lt;=" &amp; FQ$1, DataRegularSeason20242025!$D$3:$D$1315, $A19)+SUMIFS(DataRegularSeason20242025!$AB$3:$AB$1315,DataRegularSeason20242025!$B$3:$B$1315, "&lt;=" &amp; FQ$1, DataRegularSeason20242025!$E$3:$E$1315, $A19)</f>
        <v>10</v>
      </c>
      <c r="FR19">
        <f>SUMIFS(DataRegularSeason20242025!$AA$3:$AA$1315,DataRegularSeason20242025!$B$3:$B$1315, "&lt;=" &amp; FR$1, DataRegularSeason20242025!$D$3:$D$1315, $A19)+SUMIFS(DataRegularSeason20242025!$AB$3:$AB$1315,DataRegularSeason20242025!$B$3:$B$1315, "&lt;=" &amp; FR$1, DataRegularSeason20242025!$E$3:$E$1315, $A19)</f>
        <v>10</v>
      </c>
      <c r="FS19">
        <f>SUMIFS(DataRegularSeason20242025!$AA$3:$AA$1315,DataRegularSeason20242025!$B$3:$B$1315, "&lt;=" &amp; FS$1, DataRegularSeason20242025!$D$3:$D$1315, $A19)+SUMIFS(DataRegularSeason20242025!$AB$3:$AB$1315,DataRegularSeason20242025!$B$3:$B$1315, "&lt;=" &amp; FS$1, DataRegularSeason20242025!$E$3:$E$1315, $A19)</f>
        <v>10</v>
      </c>
      <c r="FT19">
        <f>SUMIFS(DataRegularSeason20242025!$AA$3:$AA$1315,DataRegularSeason20242025!$B$3:$B$1315, "&lt;=" &amp; FT$1, DataRegularSeason20242025!$D$3:$D$1315, $A19)+SUMIFS(DataRegularSeason20242025!$AB$3:$AB$1315,DataRegularSeason20242025!$B$3:$B$1315, "&lt;=" &amp; FT$1, DataRegularSeason20242025!$E$3:$E$1315, $A19)</f>
        <v>10</v>
      </c>
      <c r="FU19">
        <f>SUMIFS(DataRegularSeason20242025!$AA$3:$AA$1315,DataRegularSeason20242025!$B$3:$B$1315, "&lt;=" &amp; FU$1, DataRegularSeason20242025!$D$3:$D$1315, $A19)+SUMIFS(DataRegularSeason20242025!$AB$3:$AB$1315,DataRegularSeason20242025!$B$3:$B$1315, "&lt;=" &amp; FU$1, DataRegularSeason20242025!$E$3:$E$1315, $A19)</f>
        <v>10</v>
      </c>
      <c r="FV19">
        <f>SUMIFS(DataRegularSeason20242025!$AA$3:$AA$1315,DataRegularSeason20242025!$B$3:$B$1315, "&lt;=" &amp; FV$1, DataRegularSeason20242025!$D$3:$D$1315, $A19)+SUMIFS(DataRegularSeason20242025!$AB$3:$AB$1315,DataRegularSeason20242025!$B$3:$B$1315, "&lt;=" &amp; FV$1, DataRegularSeason20242025!$E$3:$E$1315, $A19)</f>
        <v>10</v>
      </c>
      <c r="FW19">
        <f>SUMIFS(DataRegularSeason20242025!$AA$3:$AA$1315,DataRegularSeason20242025!$B$3:$B$1315, "&lt;=" &amp; FW$1, DataRegularSeason20242025!$D$3:$D$1315, $A19)+SUMIFS(DataRegularSeason20242025!$AB$3:$AB$1315,DataRegularSeason20242025!$B$3:$B$1315, "&lt;=" &amp; FW$1, DataRegularSeason20242025!$E$3:$E$1315, $A19)</f>
        <v>10</v>
      </c>
      <c r="FX19">
        <f>SUMIFS(DataRegularSeason20242025!$AA$3:$AA$1315,DataRegularSeason20242025!$B$3:$B$1315, "&lt;=" &amp; FX$1, DataRegularSeason20242025!$D$3:$D$1315, $A19)+SUMIFS(DataRegularSeason20242025!$AB$3:$AB$1315,DataRegularSeason20242025!$B$3:$B$1315, "&lt;=" &amp; FX$1, DataRegularSeason20242025!$E$3:$E$1315, $A19)</f>
        <v>10</v>
      </c>
      <c r="FY19">
        <f>SUMIFS(DataRegularSeason20242025!$AA$3:$AA$1315,DataRegularSeason20242025!$B$3:$B$1315, "&lt;=" &amp; FY$1, DataRegularSeason20242025!$D$3:$D$1315, $A19)+SUMIFS(DataRegularSeason20242025!$AB$3:$AB$1315,DataRegularSeason20242025!$B$3:$B$1315, "&lt;=" &amp; FY$1, DataRegularSeason20242025!$E$3:$E$1315, $A19)</f>
        <v>10</v>
      </c>
      <c r="FZ19">
        <f>SUMIFS(DataRegularSeason20242025!$AA$3:$AA$1315,DataRegularSeason20242025!$B$3:$B$1315, "&lt;=" &amp; FZ$1, DataRegularSeason20242025!$D$3:$D$1315, $A19)+SUMIFS(DataRegularSeason20242025!$AB$3:$AB$1315,DataRegularSeason20242025!$B$3:$B$1315, "&lt;=" &amp; FZ$1, DataRegularSeason20242025!$E$3:$E$1315, $A19)</f>
        <v>10</v>
      </c>
      <c r="GA19">
        <f>SUMIFS(DataRegularSeason20242025!$AA$3:$AA$1315,DataRegularSeason20242025!$B$3:$B$1315, "&lt;=" &amp; GA$1, DataRegularSeason20242025!$D$3:$D$1315, $A19)+SUMIFS(DataRegularSeason20242025!$AB$3:$AB$1315,DataRegularSeason20242025!$B$3:$B$1315, "&lt;=" &amp; GA$1, DataRegularSeason20242025!$E$3:$E$1315, $A19)</f>
        <v>10</v>
      </c>
      <c r="GB19">
        <f>SUMIFS(DataRegularSeason20242025!$AA$3:$AA$1315,DataRegularSeason20242025!$B$3:$B$1315, "&lt;=" &amp; GB$1, DataRegularSeason20242025!$D$3:$D$1315, $A19)+SUMIFS(DataRegularSeason20242025!$AB$3:$AB$1315,DataRegularSeason20242025!$B$3:$B$1315, "&lt;=" &amp; GB$1, DataRegularSeason20242025!$E$3:$E$1315, $A19)</f>
        <v>10</v>
      </c>
      <c r="GC19">
        <f>SUMIFS(DataRegularSeason20242025!$AA$3:$AA$1315,DataRegularSeason20242025!$B$3:$B$1315, "&lt;=" &amp; GC$1, DataRegularSeason20242025!$D$3:$D$1315, $A19)+SUMIFS(DataRegularSeason20242025!$AB$3:$AB$1315,DataRegularSeason20242025!$B$3:$B$1315, "&lt;=" &amp; GC$1, DataRegularSeason20242025!$E$3:$E$1315, $A19)</f>
        <v>10</v>
      </c>
      <c r="GD19">
        <f>SUMIFS(DataRegularSeason20242025!$AA$3:$AA$1315,DataRegularSeason20242025!$B$3:$B$1315, "&lt;=" &amp; GD$1, DataRegularSeason20242025!$D$3:$D$1315, $A19)+SUMIFS(DataRegularSeason20242025!$AB$3:$AB$1315,DataRegularSeason20242025!$B$3:$B$1315, "&lt;=" &amp; GD$1, DataRegularSeason20242025!$E$3:$E$1315, $A19)</f>
        <v>10</v>
      </c>
      <c r="GE19">
        <f>SUMIFS(DataRegularSeason20242025!$AA$3:$AA$1315,DataRegularSeason20242025!$B$3:$B$1315, "&lt;=" &amp; GE$1, DataRegularSeason20242025!$D$3:$D$1315, $A19)+SUMIFS(DataRegularSeason20242025!$AB$3:$AB$1315,DataRegularSeason20242025!$B$3:$B$1315, "&lt;=" &amp; GE$1, DataRegularSeason20242025!$E$3:$E$1315, $A19)</f>
        <v>10</v>
      </c>
      <c r="GF19">
        <f>SUMIFS(DataRegularSeason20242025!$AA$3:$AA$1315,DataRegularSeason20242025!$B$3:$B$1315, "&lt;=" &amp; GF$1, DataRegularSeason20242025!$D$3:$D$1315, $A19)+SUMIFS(DataRegularSeason20242025!$AB$3:$AB$1315,DataRegularSeason20242025!$B$3:$B$1315, "&lt;=" &amp; GF$1, DataRegularSeason20242025!$E$3:$E$1315, $A19)</f>
        <v>10</v>
      </c>
      <c r="GG19">
        <f>SUMIFS(DataRegularSeason20242025!$AA$3:$AA$1315,DataRegularSeason20242025!$B$3:$B$1315, "&lt;=" &amp; GG$1, DataRegularSeason20242025!$D$3:$D$1315, $A19)+SUMIFS(DataRegularSeason20242025!$AB$3:$AB$1315,DataRegularSeason20242025!$B$3:$B$1315, "&lt;=" &amp; GG$1, DataRegularSeason20242025!$E$3:$E$1315, $A19)</f>
        <v>10</v>
      </c>
      <c r="GH19">
        <f>SUMIFS(DataRegularSeason20242025!$AA$3:$AA$1315,DataRegularSeason20242025!$B$3:$B$1315, "&lt;=" &amp; GH$1, DataRegularSeason20242025!$D$3:$D$1315, $A19)+SUMIFS(DataRegularSeason20242025!$AB$3:$AB$1315,DataRegularSeason20242025!$B$3:$B$1315, "&lt;=" &amp; GH$1, DataRegularSeason20242025!$E$3:$E$1315, $A19)</f>
        <v>10</v>
      </c>
      <c r="GI19">
        <f>SUMIFS(DataRegularSeason20242025!$AA$3:$AA$1315,DataRegularSeason20242025!$B$3:$B$1315, "&lt;=" &amp; GI$1, DataRegularSeason20242025!$D$3:$D$1315, $A19)+SUMIFS(DataRegularSeason20242025!$AB$3:$AB$1315,DataRegularSeason20242025!$B$3:$B$1315, "&lt;=" &amp; GI$1, DataRegularSeason20242025!$E$3:$E$1315, $A19)</f>
        <v>10</v>
      </c>
      <c r="GJ19">
        <f>SUMIFS(DataRegularSeason20242025!$AA$3:$AA$1315,DataRegularSeason20242025!$B$3:$B$1315, "&lt;=" &amp; GJ$1, DataRegularSeason20242025!$D$3:$D$1315, $A19)+SUMIFS(DataRegularSeason20242025!$AB$3:$AB$1315,DataRegularSeason20242025!$B$3:$B$1315, "&lt;=" &amp; GJ$1, DataRegularSeason20242025!$E$3:$E$1315, $A19)</f>
        <v>10</v>
      </c>
      <c r="GK19">
        <f>SUMIFS(DataRegularSeason20242025!$AA$3:$AA$1315,DataRegularSeason20242025!$B$3:$B$1315, "&lt;=" &amp; GK$1, DataRegularSeason20242025!$D$3:$D$1315, $A19)+SUMIFS(DataRegularSeason20242025!$AB$3:$AB$1315,DataRegularSeason20242025!$B$3:$B$1315, "&lt;=" &amp; GK$1, DataRegularSeason20242025!$E$3:$E$1315, $A19)</f>
        <v>10</v>
      </c>
      <c r="GL19">
        <f>SUMIFS(DataRegularSeason20242025!$AA$3:$AA$1315,DataRegularSeason20242025!$B$3:$B$1315, "&lt;=" &amp; GL$1, DataRegularSeason20242025!$D$3:$D$1315, $A19)+SUMIFS(DataRegularSeason20242025!$AB$3:$AB$1315,DataRegularSeason20242025!$B$3:$B$1315, "&lt;=" &amp; GL$1, DataRegularSeason20242025!$E$3:$E$1315, $A19)</f>
        <v>10</v>
      </c>
      <c r="GM19">
        <f>SUMIFS(DataRegularSeason20242025!$AA$3:$AA$1315,DataRegularSeason20242025!$B$3:$B$1315, "&lt;=" &amp; GM$1, DataRegularSeason20242025!$D$3:$D$1315, $A19)+SUMIFS(DataRegularSeason20242025!$AB$3:$AB$1315,DataRegularSeason20242025!$B$3:$B$1315, "&lt;=" &amp; GM$1, DataRegularSeason20242025!$E$3:$E$1315, $A19)</f>
        <v>10</v>
      </c>
      <c r="GN19">
        <f>SUMIFS(DataRegularSeason20242025!$AA$3:$AA$1315,DataRegularSeason20242025!$B$3:$B$1315, "&lt;=" &amp; GN$1, DataRegularSeason20242025!$D$3:$D$1315, $A19)+SUMIFS(DataRegularSeason20242025!$AB$3:$AB$1315,DataRegularSeason20242025!$B$3:$B$1315, "&lt;=" &amp; GN$1, DataRegularSeason20242025!$E$3:$E$1315, $A19)</f>
        <v>10</v>
      </c>
      <c r="GO19">
        <f>SUMIFS(DataRegularSeason20242025!$AA$3:$AA$1315,DataRegularSeason20242025!$B$3:$B$1315, "&lt;=" &amp; GO$1, DataRegularSeason20242025!$D$3:$D$1315, $A19)+SUMIFS(DataRegularSeason20242025!$AB$3:$AB$1315,DataRegularSeason20242025!$B$3:$B$1315, "&lt;=" &amp; GO$1, DataRegularSeason20242025!$E$3:$E$1315, $A19)</f>
        <v>10</v>
      </c>
      <c r="GP19">
        <f>SUMIFS(DataRegularSeason20242025!$AA$3:$AA$1315,DataRegularSeason20242025!$B$3:$B$1315, "&lt;=" &amp; GP$1, DataRegularSeason20242025!$D$3:$D$1315, $A19)+SUMIFS(DataRegularSeason20242025!$AB$3:$AB$1315,DataRegularSeason20242025!$B$3:$B$1315, "&lt;=" &amp; GP$1, DataRegularSeason20242025!$E$3:$E$1315, $A19)</f>
        <v>10</v>
      </c>
      <c r="GQ19">
        <f>SUMIFS(DataRegularSeason20242025!$AA$3:$AA$1315,DataRegularSeason20242025!$B$3:$B$1315, "&lt;=" &amp; GQ$1, DataRegularSeason20242025!$D$3:$D$1315, $A19)+SUMIFS(DataRegularSeason20242025!$AB$3:$AB$1315,DataRegularSeason20242025!$B$3:$B$1315, "&lt;=" &amp; GQ$1, DataRegularSeason20242025!$E$3:$E$1315, $A19)</f>
        <v>10</v>
      </c>
      <c r="GR19">
        <f>SUMIFS(DataRegularSeason20242025!$AA$3:$AA$1315,DataRegularSeason20242025!$B$3:$B$1315, "&lt;=" &amp; GR$1, DataRegularSeason20242025!$D$3:$D$1315, $A19)+SUMIFS(DataRegularSeason20242025!$AB$3:$AB$1315,DataRegularSeason20242025!$B$3:$B$1315, "&lt;=" &amp; GR$1, DataRegularSeason20242025!$E$3:$E$1315, $A19)</f>
        <v>10</v>
      </c>
      <c r="GS19">
        <f>SUMIFS(DataRegularSeason20242025!$AA$3:$AA$1315,DataRegularSeason20242025!$B$3:$B$1315, "&lt;=" &amp; GS$1, DataRegularSeason20242025!$D$3:$D$1315, $A19)+SUMIFS(DataRegularSeason20242025!$AB$3:$AB$1315,DataRegularSeason20242025!$B$3:$B$1315, "&lt;=" &amp; GS$1, DataRegularSeason20242025!$E$3:$E$1315, $A19)</f>
        <v>10</v>
      </c>
      <c r="GT19">
        <f>SUMIFS(DataRegularSeason20242025!$AA$3:$AA$1315,DataRegularSeason20242025!$B$3:$B$1315, "&lt;=" &amp; GT$1, DataRegularSeason20242025!$D$3:$D$1315, $A19)+SUMIFS(DataRegularSeason20242025!$AB$3:$AB$1315,DataRegularSeason20242025!$B$3:$B$1315, "&lt;=" &amp; GT$1, DataRegularSeason20242025!$E$3:$E$1315, $A19)</f>
        <v>10</v>
      </c>
      <c r="GU19">
        <f>SUMIFS(DataRegularSeason20242025!$AA$3:$AA$1315,DataRegularSeason20242025!$B$3:$B$1315, "&lt;=" &amp; GU$1, DataRegularSeason20242025!$D$3:$D$1315, $A19)+SUMIFS(DataRegularSeason20242025!$AB$3:$AB$1315,DataRegularSeason20242025!$B$3:$B$1315, "&lt;=" &amp; GU$1, DataRegularSeason20242025!$E$3:$E$1315, $A19)</f>
        <v>10</v>
      </c>
    </row>
    <row r="20" spans="1:203" x14ac:dyDescent="0.25">
      <c r="A20" t="s">
        <v>14</v>
      </c>
      <c r="B20" t="s">
        <v>90</v>
      </c>
      <c r="C20" s="107" t="s">
        <v>88</v>
      </c>
      <c r="D20">
        <f>SUMIFS(DataRegularSeason20242025!$AA$3:$AA$1315,DataRegularSeason20242025!$B$3:$B$1315, "&lt;=" &amp; D$1, DataRegularSeason20242025!$D$3:$D$1315, $A20)+SUMIFS(DataRegularSeason20242025!$AB$3:$AB$1315,DataRegularSeason20242025!$B$3:$B$1315, "&lt;=" &amp; D$1, DataRegularSeason20242025!$E$3:$E$1315, $A20)</f>
        <v>0</v>
      </c>
      <c r="E20">
        <f>SUMIFS(DataRegularSeason20242025!$AA$3:$AA$1315,DataRegularSeason20242025!$B$3:$B$1315, "&lt;=" &amp; E$1, DataRegularSeason20242025!$D$3:$D$1315, $A20)+SUMIFS(DataRegularSeason20242025!$AB$3:$AB$1315,DataRegularSeason20242025!$B$3:$B$1315, "&lt;=" &amp; E$1, DataRegularSeason20242025!$E$3:$E$1315, $A20)</f>
        <v>0</v>
      </c>
      <c r="F20">
        <f>SUMIFS(DataRegularSeason20242025!$AA$3:$AA$1315,DataRegularSeason20242025!$B$3:$B$1315, "&lt;=" &amp; F$1, DataRegularSeason20242025!$D$3:$D$1315, $A20)+SUMIFS(DataRegularSeason20242025!$AB$3:$AB$1315,DataRegularSeason20242025!$B$3:$B$1315, "&lt;=" &amp; F$1, DataRegularSeason20242025!$E$3:$E$1315, $A20)</f>
        <v>0</v>
      </c>
      <c r="G20">
        <f>SUMIFS(DataRegularSeason20242025!$AA$3:$AA$1315,DataRegularSeason20242025!$B$3:$B$1315, "&lt;=" &amp; G$1, DataRegularSeason20242025!$D$3:$D$1315, $A20)+SUMIFS(DataRegularSeason20242025!$AB$3:$AB$1315,DataRegularSeason20242025!$B$3:$B$1315, "&lt;=" &amp; G$1, DataRegularSeason20242025!$E$3:$E$1315, $A20)</f>
        <v>0</v>
      </c>
      <c r="H20">
        <f>SUMIFS(DataRegularSeason20242025!$AA$3:$AA$1315,DataRegularSeason20242025!$B$3:$B$1315, "&lt;=" &amp; H$1, DataRegularSeason20242025!$D$3:$D$1315, $A20)+SUMIFS(DataRegularSeason20242025!$AB$3:$AB$1315,DataRegularSeason20242025!$B$3:$B$1315, "&lt;=" &amp; H$1, DataRegularSeason20242025!$E$3:$E$1315, $A20)</f>
        <v>0</v>
      </c>
      <c r="I20">
        <f>SUMIFS(DataRegularSeason20242025!$AA$3:$AA$1315,DataRegularSeason20242025!$B$3:$B$1315, "&lt;=" &amp; I$1, DataRegularSeason20242025!$D$3:$D$1315, $A20)+SUMIFS(DataRegularSeason20242025!$AB$3:$AB$1315,DataRegularSeason20242025!$B$3:$B$1315, "&lt;=" &amp; I$1, DataRegularSeason20242025!$E$3:$E$1315, $A20)</f>
        <v>0</v>
      </c>
      <c r="J20">
        <f>SUMIFS(DataRegularSeason20242025!$AA$3:$AA$1315,DataRegularSeason20242025!$B$3:$B$1315, "&lt;=" &amp; J$1, DataRegularSeason20242025!$D$3:$D$1315, $A20)+SUMIFS(DataRegularSeason20242025!$AB$3:$AB$1315,DataRegularSeason20242025!$B$3:$B$1315, "&lt;=" &amp; J$1, DataRegularSeason20242025!$E$3:$E$1315, $A20)</f>
        <v>0</v>
      </c>
      <c r="K20">
        <f>SUMIFS(DataRegularSeason20242025!$AA$3:$AA$1315,DataRegularSeason20242025!$B$3:$B$1315, "&lt;=" &amp; K$1, DataRegularSeason20242025!$D$3:$D$1315, $A20)+SUMIFS(DataRegularSeason20242025!$AB$3:$AB$1315,DataRegularSeason20242025!$B$3:$B$1315, "&lt;=" &amp; K$1, DataRegularSeason20242025!$E$3:$E$1315, $A20)</f>
        <v>0</v>
      </c>
      <c r="L20">
        <f>SUMIFS(DataRegularSeason20242025!$AA$3:$AA$1315,DataRegularSeason20242025!$B$3:$B$1315, "&lt;=" &amp; L$1, DataRegularSeason20242025!$D$3:$D$1315, $A20)+SUMIFS(DataRegularSeason20242025!$AB$3:$AB$1315,DataRegularSeason20242025!$B$3:$B$1315, "&lt;=" &amp; L$1, DataRegularSeason20242025!$E$3:$E$1315, $A20)</f>
        <v>2</v>
      </c>
      <c r="M20">
        <f>SUMIFS(DataRegularSeason20242025!$AA$3:$AA$1315,DataRegularSeason20242025!$B$3:$B$1315, "&lt;=" &amp; M$1, DataRegularSeason20242025!$D$3:$D$1315, $A20)+SUMIFS(DataRegularSeason20242025!$AB$3:$AB$1315,DataRegularSeason20242025!$B$3:$B$1315, "&lt;=" &amp; M$1, DataRegularSeason20242025!$E$3:$E$1315, $A20)</f>
        <v>2</v>
      </c>
      <c r="N20">
        <f>SUMIFS(DataRegularSeason20242025!$AA$3:$AA$1315,DataRegularSeason20242025!$B$3:$B$1315, "&lt;=" &amp; N$1, DataRegularSeason20242025!$D$3:$D$1315, $A20)+SUMIFS(DataRegularSeason20242025!$AB$3:$AB$1315,DataRegularSeason20242025!$B$3:$B$1315, "&lt;=" &amp; N$1, DataRegularSeason20242025!$E$3:$E$1315, $A20)</f>
        <v>2</v>
      </c>
      <c r="O20">
        <f>SUMIFS(DataRegularSeason20242025!$AA$3:$AA$1315,DataRegularSeason20242025!$B$3:$B$1315, "&lt;=" &amp; O$1, DataRegularSeason20242025!$D$3:$D$1315, $A20)+SUMIFS(DataRegularSeason20242025!$AB$3:$AB$1315,DataRegularSeason20242025!$B$3:$B$1315, "&lt;=" &amp; O$1, DataRegularSeason20242025!$E$3:$E$1315, $A20)</f>
        <v>2</v>
      </c>
      <c r="P20">
        <f>SUMIFS(DataRegularSeason20242025!$AA$3:$AA$1315,DataRegularSeason20242025!$B$3:$B$1315, "&lt;=" &amp; P$1, DataRegularSeason20242025!$D$3:$D$1315, $A20)+SUMIFS(DataRegularSeason20242025!$AB$3:$AB$1315,DataRegularSeason20242025!$B$3:$B$1315, "&lt;=" &amp; P$1, DataRegularSeason20242025!$E$3:$E$1315, $A20)</f>
        <v>4</v>
      </c>
      <c r="Q20">
        <f>SUMIFS(DataRegularSeason20242025!$AA$3:$AA$1315,DataRegularSeason20242025!$B$3:$B$1315, "&lt;=" &amp; Q$1, DataRegularSeason20242025!$D$3:$D$1315, $A20)+SUMIFS(DataRegularSeason20242025!$AB$3:$AB$1315,DataRegularSeason20242025!$B$3:$B$1315, "&lt;=" &amp; Q$1, DataRegularSeason20242025!$E$3:$E$1315, $A20)</f>
        <v>4</v>
      </c>
      <c r="R20">
        <f>SUMIFS(DataRegularSeason20242025!$AA$3:$AA$1315,DataRegularSeason20242025!$B$3:$B$1315, "&lt;=" &amp; R$1, DataRegularSeason20242025!$D$3:$D$1315, $A20)+SUMIFS(DataRegularSeason20242025!$AB$3:$AB$1315,DataRegularSeason20242025!$B$3:$B$1315, "&lt;=" &amp; R$1, DataRegularSeason20242025!$E$3:$E$1315, $A20)</f>
        <v>6</v>
      </c>
      <c r="S20">
        <f>SUMIFS(DataRegularSeason20242025!$AA$3:$AA$1315,DataRegularSeason20242025!$B$3:$B$1315, "&lt;=" &amp; S$1, DataRegularSeason20242025!$D$3:$D$1315, $A20)+SUMIFS(DataRegularSeason20242025!$AB$3:$AB$1315,DataRegularSeason20242025!$B$3:$B$1315, "&lt;=" &amp; S$1, DataRegularSeason20242025!$E$3:$E$1315, $A20)</f>
        <v>6</v>
      </c>
      <c r="T20">
        <f>SUMIFS(DataRegularSeason20242025!$AA$3:$AA$1315,DataRegularSeason20242025!$B$3:$B$1315, "&lt;=" &amp; T$1, DataRegularSeason20242025!$D$3:$D$1315, $A20)+SUMIFS(DataRegularSeason20242025!$AB$3:$AB$1315,DataRegularSeason20242025!$B$3:$B$1315, "&lt;=" &amp; T$1, DataRegularSeason20242025!$E$3:$E$1315, $A20)</f>
        <v>8</v>
      </c>
      <c r="U20">
        <f>SUMIFS(DataRegularSeason20242025!$AA$3:$AA$1315,DataRegularSeason20242025!$B$3:$B$1315, "&lt;=" &amp; U$1, DataRegularSeason20242025!$D$3:$D$1315, $A20)+SUMIFS(DataRegularSeason20242025!$AB$3:$AB$1315,DataRegularSeason20242025!$B$3:$B$1315, "&lt;=" &amp; U$1, DataRegularSeason20242025!$E$3:$E$1315, $A20)</f>
        <v>8</v>
      </c>
      <c r="V20">
        <f>SUMIFS(DataRegularSeason20242025!$AA$3:$AA$1315,DataRegularSeason20242025!$B$3:$B$1315, "&lt;=" &amp; V$1, DataRegularSeason20242025!$D$3:$D$1315, $A20)+SUMIFS(DataRegularSeason20242025!$AB$3:$AB$1315,DataRegularSeason20242025!$B$3:$B$1315, "&lt;=" &amp; V$1, DataRegularSeason20242025!$E$3:$E$1315, $A20)</f>
        <v>10</v>
      </c>
      <c r="W20">
        <f>SUMIFS(DataRegularSeason20242025!$AA$3:$AA$1315,DataRegularSeason20242025!$B$3:$B$1315, "&lt;=" &amp; W$1, DataRegularSeason20242025!$D$3:$D$1315, $A20)+SUMIFS(DataRegularSeason20242025!$AB$3:$AB$1315,DataRegularSeason20242025!$B$3:$B$1315, "&lt;=" &amp; W$1, DataRegularSeason20242025!$E$3:$E$1315, $A20)</f>
        <v>10</v>
      </c>
      <c r="X20">
        <f>SUMIFS(DataRegularSeason20242025!$AA$3:$AA$1315,DataRegularSeason20242025!$B$3:$B$1315, "&lt;=" &amp; X$1, DataRegularSeason20242025!$D$3:$D$1315, $A20)+SUMIFS(DataRegularSeason20242025!$AB$3:$AB$1315,DataRegularSeason20242025!$B$3:$B$1315, "&lt;=" &amp; X$1, DataRegularSeason20242025!$E$3:$E$1315, $A20)</f>
        <v>10</v>
      </c>
      <c r="Y20">
        <f>SUMIFS(DataRegularSeason20242025!$AA$3:$AA$1315,DataRegularSeason20242025!$B$3:$B$1315, "&lt;=" &amp; Y$1, DataRegularSeason20242025!$D$3:$D$1315, $A20)+SUMIFS(DataRegularSeason20242025!$AB$3:$AB$1315,DataRegularSeason20242025!$B$3:$B$1315, "&lt;=" &amp; Y$1, DataRegularSeason20242025!$E$3:$E$1315, $A20)</f>
        <v>10</v>
      </c>
      <c r="Z20">
        <f>SUMIFS(DataRegularSeason20242025!$AA$3:$AA$1315,DataRegularSeason20242025!$B$3:$B$1315, "&lt;=" &amp; Z$1, DataRegularSeason20242025!$D$3:$D$1315, $A20)+SUMIFS(DataRegularSeason20242025!$AB$3:$AB$1315,DataRegularSeason20242025!$B$3:$B$1315, "&lt;=" &amp; Z$1, DataRegularSeason20242025!$E$3:$E$1315, $A20)</f>
        <v>10</v>
      </c>
      <c r="AA20">
        <f>SUMIFS(DataRegularSeason20242025!$AA$3:$AA$1315,DataRegularSeason20242025!$B$3:$B$1315, "&lt;=" &amp; AA$1, DataRegularSeason20242025!$D$3:$D$1315, $A20)+SUMIFS(DataRegularSeason20242025!$AB$3:$AB$1315,DataRegularSeason20242025!$B$3:$B$1315, "&lt;=" &amp; AA$1, DataRegularSeason20242025!$E$3:$E$1315, $A20)</f>
        <v>10</v>
      </c>
      <c r="AB20">
        <f>SUMIFS(DataRegularSeason20242025!$AA$3:$AA$1315,DataRegularSeason20242025!$B$3:$B$1315, "&lt;=" &amp; AB$1, DataRegularSeason20242025!$D$3:$D$1315, $A20)+SUMIFS(DataRegularSeason20242025!$AB$3:$AB$1315,DataRegularSeason20242025!$B$3:$B$1315, "&lt;=" &amp; AB$1, DataRegularSeason20242025!$E$3:$E$1315, $A20)</f>
        <v>10</v>
      </c>
      <c r="AC20">
        <f>SUMIFS(DataRegularSeason20242025!$AA$3:$AA$1315,DataRegularSeason20242025!$B$3:$B$1315, "&lt;=" &amp; AC$1, DataRegularSeason20242025!$D$3:$D$1315, $A20)+SUMIFS(DataRegularSeason20242025!$AB$3:$AB$1315,DataRegularSeason20242025!$B$3:$B$1315, "&lt;=" &amp; AC$1, DataRegularSeason20242025!$E$3:$E$1315, $A20)</f>
        <v>10</v>
      </c>
      <c r="AD20">
        <f>SUMIFS(DataRegularSeason20242025!$AA$3:$AA$1315,DataRegularSeason20242025!$B$3:$B$1315, "&lt;=" &amp; AD$1, DataRegularSeason20242025!$D$3:$D$1315, $A20)+SUMIFS(DataRegularSeason20242025!$AB$3:$AB$1315,DataRegularSeason20242025!$B$3:$B$1315, "&lt;=" &amp; AD$1, DataRegularSeason20242025!$E$3:$E$1315, $A20)</f>
        <v>10</v>
      </c>
      <c r="AE20">
        <f>SUMIFS(DataRegularSeason20242025!$AA$3:$AA$1315,DataRegularSeason20242025!$B$3:$B$1315, "&lt;=" &amp; AE$1, DataRegularSeason20242025!$D$3:$D$1315, $A20)+SUMIFS(DataRegularSeason20242025!$AB$3:$AB$1315,DataRegularSeason20242025!$B$3:$B$1315, "&lt;=" &amp; AE$1, DataRegularSeason20242025!$E$3:$E$1315, $A20)</f>
        <v>10</v>
      </c>
      <c r="AF20">
        <f>SUMIFS(DataRegularSeason20242025!$AA$3:$AA$1315,DataRegularSeason20242025!$B$3:$B$1315, "&lt;=" &amp; AF$1, DataRegularSeason20242025!$D$3:$D$1315, $A20)+SUMIFS(DataRegularSeason20242025!$AB$3:$AB$1315,DataRegularSeason20242025!$B$3:$B$1315, "&lt;=" &amp; AF$1, DataRegularSeason20242025!$E$3:$E$1315, $A20)</f>
        <v>10</v>
      </c>
      <c r="AG20">
        <f>SUMIFS(DataRegularSeason20242025!$AA$3:$AA$1315,DataRegularSeason20242025!$B$3:$B$1315, "&lt;=" &amp; AG$1, DataRegularSeason20242025!$D$3:$D$1315, $A20)+SUMIFS(DataRegularSeason20242025!$AB$3:$AB$1315,DataRegularSeason20242025!$B$3:$B$1315, "&lt;=" &amp; AG$1, DataRegularSeason20242025!$E$3:$E$1315, $A20)</f>
        <v>10</v>
      </c>
      <c r="AH20">
        <f>SUMIFS(DataRegularSeason20242025!$AA$3:$AA$1315,DataRegularSeason20242025!$B$3:$B$1315, "&lt;=" &amp; AH$1, DataRegularSeason20242025!$D$3:$D$1315, $A20)+SUMIFS(DataRegularSeason20242025!$AB$3:$AB$1315,DataRegularSeason20242025!$B$3:$B$1315, "&lt;=" &amp; AH$1, DataRegularSeason20242025!$E$3:$E$1315, $A20)</f>
        <v>10</v>
      </c>
      <c r="AI20">
        <f>SUMIFS(DataRegularSeason20242025!$AA$3:$AA$1315,DataRegularSeason20242025!$B$3:$B$1315, "&lt;=" &amp; AI$1, DataRegularSeason20242025!$D$3:$D$1315, $A20)+SUMIFS(DataRegularSeason20242025!$AB$3:$AB$1315,DataRegularSeason20242025!$B$3:$B$1315, "&lt;=" &amp; AI$1, DataRegularSeason20242025!$E$3:$E$1315, $A20)</f>
        <v>10</v>
      </c>
      <c r="AJ20">
        <f>SUMIFS(DataRegularSeason20242025!$AA$3:$AA$1315,DataRegularSeason20242025!$B$3:$B$1315, "&lt;=" &amp; AJ$1, DataRegularSeason20242025!$D$3:$D$1315, $A20)+SUMIFS(DataRegularSeason20242025!$AB$3:$AB$1315,DataRegularSeason20242025!$B$3:$B$1315, "&lt;=" &amp; AJ$1, DataRegularSeason20242025!$E$3:$E$1315, $A20)</f>
        <v>10</v>
      </c>
      <c r="AK20">
        <f>SUMIFS(DataRegularSeason20242025!$AA$3:$AA$1315,DataRegularSeason20242025!$B$3:$B$1315, "&lt;=" &amp; AK$1, DataRegularSeason20242025!$D$3:$D$1315, $A20)+SUMIFS(DataRegularSeason20242025!$AB$3:$AB$1315,DataRegularSeason20242025!$B$3:$B$1315, "&lt;=" &amp; AK$1, DataRegularSeason20242025!$E$3:$E$1315, $A20)</f>
        <v>10</v>
      </c>
      <c r="AL20">
        <f>SUMIFS(DataRegularSeason20242025!$AA$3:$AA$1315,DataRegularSeason20242025!$B$3:$B$1315, "&lt;=" &amp; AL$1, DataRegularSeason20242025!$D$3:$D$1315, $A20)+SUMIFS(DataRegularSeason20242025!$AB$3:$AB$1315,DataRegularSeason20242025!$B$3:$B$1315, "&lt;=" &amp; AL$1, DataRegularSeason20242025!$E$3:$E$1315, $A20)</f>
        <v>10</v>
      </c>
      <c r="AM20">
        <f>SUMIFS(DataRegularSeason20242025!$AA$3:$AA$1315,DataRegularSeason20242025!$B$3:$B$1315, "&lt;=" &amp; AM$1, DataRegularSeason20242025!$D$3:$D$1315, $A20)+SUMIFS(DataRegularSeason20242025!$AB$3:$AB$1315,DataRegularSeason20242025!$B$3:$B$1315, "&lt;=" &amp; AM$1, DataRegularSeason20242025!$E$3:$E$1315, $A20)</f>
        <v>10</v>
      </c>
      <c r="AN20">
        <f>SUMIFS(DataRegularSeason20242025!$AA$3:$AA$1315,DataRegularSeason20242025!$B$3:$B$1315, "&lt;=" &amp; AN$1, DataRegularSeason20242025!$D$3:$D$1315, $A20)+SUMIFS(DataRegularSeason20242025!$AB$3:$AB$1315,DataRegularSeason20242025!$B$3:$B$1315, "&lt;=" &amp; AN$1, DataRegularSeason20242025!$E$3:$E$1315, $A20)</f>
        <v>10</v>
      </c>
      <c r="AO20">
        <f>SUMIFS(DataRegularSeason20242025!$AA$3:$AA$1315,DataRegularSeason20242025!$B$3:$B$1315, "&lt;=" &amp; AO$1, DataRegularSeason20242025!$D$3:$D$1315, $A20)+SUMIFS(DataRegularSeason20242025!$AB$3:$AB$1315,DataRegularSeason20242025!$B$3:$B$1315, "&lt;=" &amp; AO$1, DataRegularSeason20242025!$E$3:$E$1315, $A20)</f>
        <v>10</v>
      </c>
      <c r="AP20">
        <f>SUMIFS(DataRegularSeason20242025!$AA$3:$AA$1315,DataRegularSeason20242025!$B$3:$B$1315, "&lt;=" &amp; AP$1, DataRegularSeason20242025!$D$3:$D$1315, $A20)+SUMIFS(DataRegularSeason20242025!$AB$3:$AB$1315,DataRegularSeason20242025!$B$3:$B$1315, "&lt;=" &amp; AP$1, DataRegularSeason20242025!$E$3:$E$1315, $A20)</f>
        <v>10</v>
      </c>
      <c r="AQ20">
        <f>SUMIFS(DataRegularSeason20242025!$AA$3:$AA$1315,DataRegularSeason20242025!$B$3:$B$1315, "&lt;=" &amp; AQ$1, DataRegularSeason20242025!$D$3:$D$1315, $A20)+SUMIFS(DataRegularSeason20242025!$AB$3:$AB$1315,DataRegularSeason20242025!$B$3:$B$1315, "&lt;=" &amp; AQ$1, DataRegularSeason20242025!$E$3:$E$1315, $A20)</f>
        <v>10</v>
      </c>
      <c r="AR20">
        <f>SUMIFS(DataRegularSeason20242025!$AA$3:$AA$1315,DataRegularSeason20242025!$B$3:$B$1315, "&lt;=" &amp; AR$1, DataRegularSeason20242025!$D$3:$D$1315, $A20)+SUMIFS(DataRegularSeason20242025!$AB$3:$AB$1315,DataRegularSeason20242025!$B$3:$B$1315, "&lt;=" &amp; AR$1, DataRegularSeason20242025!$E$3:$E$1315, $A20)</f>
        <v>10</v>
      </c>
      <c r="AS20">
        <f>SUMIFS(DataRegularSeason20242025!$AA$3:$AA$1315,DataRegularSeason20242025!$B$3:$B$1315, "&lt;=" &amp; AS$1, DataRegularSeason20242025!$D$3:$D$1315, $A20)+SUMIFS(DataRegularSeason20242025!$AB$3:$AB$1315,DataRegularSeason20242025!$B$3:$B$1315, "&lt;=" &amp; AS$1, DataRegularSeason20242025!$E$3:$E$1315, $A20)</f>
        <v>10</v>
      </c>
      <c r="AT20">
        <f>SUMIFS(DataRegularSeason20242025!$AA$3:$AA$1315,DataRegularSeason20242025!$B$3:$B$1315, "&lt;=" &amp; AT$1, DataRegularSeason20242025!$D$3:$D$1315, $A20)+SUMIFS(DataRegularSeason20242025!$AB$3:$AB$1315,DataRegularSeason20242025!$B$3:$B$1315, "&lt;=" &amp; AT$1, DataRegularSeason20242025!$E$3:$E$1315, $A20)</f>
        <v>10</v>
      </c>
      <c r="AU20">
        <f>SUMIFS(DataRegularSeason20242025!$AA$3:$AA$1315,DataRegularSeason20242025!$B$3:$B$1315, "&lt;=" &amp; AU$1, DataRegularSeason20242025!$D$3:$D$1315, $A20)+SUMIFS(DataRegularSeason20242025!$AB$3:$AB$1315,DataRegularSeason20242025!$B$3:$B$1315, "&lt;=" &amp; AU$1, DataRegularSeason20242025!$E$3:$E$1315, $A20)</f>
        <v>10</v>
      </c>
      <c r="AV20">
        <f>SUMIFS(DataRegularSeason20242025!$AA$3:$AA$1315,DataRegularSeason20242025!$B$3:$B$1315, "&lt;=" &amp; AV$1, DataRegularSeason20242025!$D$3:$D$1315, $A20)+SUMIFS(DataRegularSeason20242025!$AB$3:$AB$1315,DataRegularSeason20242025!$B$3:$B$1315, "&lt;=" &amp; AV$1, DataRegularSeason20242025!$E$3:$E$1315, $A20)</f>
        <v>10</v>
      </c>
      <c r="AW20">
        <f>SUMIFS(DataRegularSeason20242025!$AA$3:$AA$1315,DataRegularSeason20242025!$B$3:$B$1315, "&lt;=" &amp; AW$1, DataRegularSeason20242025!$D$3:$D$1315, $A20)+SUMIFS(DataRegularSeason20242025!$AB$3:$AB$1315,DataRegularSeason20242025!$B$3:$B$1315, "&lt;=" &amp; AW$1, DataRegularSeason20242025!$E$3:$E$1315, $A20)</f>
        <v>10</v>
      </c>
      <c r="AX20">
        <f>SUMIFS(DataRegularSeason20242025!$AA$3:$AA$1315,DataRegularSeason20242025!$B$3:$B$1315, "&lt;=" &amp; AX$1, DataRegularSeason20242025!$D$3:$D$1315, $A20)+SUMIFS(DataRegularSeason20242025!$AB$3:$AB$1315,DataRegularSeason20242025!$B$3:$B$1315, "&lt;=" &amp; AX$1, DataRegularSeason20242025!$E$3:$E$1315, $A20)</f>
        <v>10</v>
      </c>
      <c r="AY20">
        <f>SUMIFS(DataRegularSeason20242025!$AA$3:$AA$1315,DataRegularSeason20242025!$B$3:$B$1315, "&lt;=" &amp; AY$1, DataRegularSeason20242025!$D$3:$D$1315, $A20)+SUMIFS(DataRegularSeason20242025!$AB$3:$AB$1315,DataRegularSeason20242025!$B$3:$B$1315, "&lt;=" &amp; AY$1, DataRegularSeason20242025!$E$3:$E$1315, $A20)</f>
        <v>10</v>
      </c>
      <c r="AZ20">
        <f>SUMIFS(DataRegularSeason20242025!$AA$3:$AA$1315,DataRegularSeason20242025!$B$3:$B$1315, "&lt;=" &amp; AZ$1, DataRegularSeason20242025!$D$3:$D$1315, $A20)+SUMIFS(DataRegularSeason20242025!$AB$3:$AB$1315,DataRegularSeason20242025!$B$3:$B$1315, "&lt;=" &amp; AZ$1, DataRegularSeason20242025!$E$3:$E$1315, $A20)</f>
        <v>10</v>
      </c>
      <c r="BA20">
        <f>SUMIFS(DataRegularSeason20242025!$AA$3:$AA$1315,DataRegularSeason20242025!$B$3:$B$1315, "&lt;=" &amp; BA$1, DataRegularSeason20242025!$D$3:$D$1315, $A20)+SUMIFS(DataRegularSeason20242025!$AB$3:$AB$1315,DataRegularSeason20242025!$B$3:$B$1315, "&lt;=" &amp; BA$1, DataRegularSeason20242025!$E$3:$E$1315, $A20)</f>
        <v>10</v>
      </c>
      <c r="BB20">
        <f>SUMIFS(DataRegularSeason20242025!$AA$3:$AA$1315,DataRegularSeason20242025!$B$3:$B$1315, "&lt;=" &amp; BB$1, DataRegularSeason20242025!$D$3:$D$1315, $A20)+SUMIFS(DataRegularSeason20242025!$AB$3:$AB$1315,DataRegularSeason20242025!$B$3:$B$1315, "&lt;=" &amp; BB$1, DataRegularSeason20242025!$E$3:$E$1315, $A20)</f>
        <v>10</v>
      </c>
      <c r="BC20">
        <f>SUMIFS(DataRegularSeason20242025!$AA$3:$AA$1315,DataRegularSeason20242025!$B$3:$B$1315, "&lt;=" &amp; BC$1, DataRegularSeason20242025!$D$3:$D$1315, $A20)+SUMIFS(DataRegularSeason20242025!$AB$3:$AB$1315,DataRegularSeason20242025!$B$3:$B$1315, "&lt;=" &amp; BC$1, DataRegularSeason20242025!$E$3:$E$1315, $A20)</f>
        <v>10</v>
      </c>
      <c r="BD20">
        <f>SUMIFS(DataRegularSeason20242025!$AA$3:$AA$1315,DataRegularSeason20242025!$B$3:$B$1315, "&lt;=" &amp; BD$1, DataRegularSeason20242025!$D$3:$D$1315, $A20)+SUMIFS(DataRegularSeason20242025!$AB$3:$AB$1315,DataRegularSeason20242025!$B$3:$B$1315, "&lt;=" &amp; BD$1, DataRegularSeason20242025!$E$3:$E$1315, $A20)</f>
        <v>10</v>
      </c>
      <c r="BE20">
        <f>SUMIFS(DataRegularSeason20242025!$AA$3:$AA$1315,DataRegularSeason20242025!$B$3:$B$1315, "&lt;=" &amp; BE$1, DataRegularSeason20242025!$D$3:$D$1315, $A20)+SUMIFS(DataRegularSeason20242025!$AB$3:$AB$1315,DataRegularSeason20242025!$B$3:$B$1315, "&lt;=" &amp; BE$1, DataRegularSeason20242025!$E$3:$E$1315, $A20)</f>
        <v>10</v>
      </c>
      <c r="BF20">
        <f>SUMIFS(DataRegularSeason20242025!$AA$3:$AA$1315,DataRegularSeason20242025!$B$3:$B$1315, "&lt;=" &amp; BF$1, DataRegularSeason20242025!$D$3:$D$1315, $A20)+SUMIFS(DataRegularSeason20242025!$AB$3:$AB$1315,DataRegularSeason20242025!$B$3:$B$1315, "&lt;=" &amp; BF$1, DataRegularSeason20242025!$E$3:$E$1315, $A20)</f>
        <v>10</v>
      </c>
      <c r="BG20">
        <f>SUMIFS(DataRegularSeason20242025!$AA$3:$AA$1315,DataRegularSeason20242025!$B$3:$B$1315, "&lt;=" &amp; BG$1, DataRegularSeason20242025!$D$3:$D$1315, $A20)+SUMIFS(DataRegularSeason20242025!$AB$3:$AB$1315,DataRegularSeason20242025!$B$3:$B$1315, "&lt;=" &amp; BG$1, DataRegularSeason20242025!$E$3:$E$1315, $A20)</f>
        <v>10</v>
      </c>
      <c r="BH20">
        <f>SUMIFS(DataRegularSeason20242025!$AA$3:$AA$1315,DataRegularSeason20242025!$B$3:$B$1315, "&lt;=" &amp; BH$1, DataRegularSeason20242025!$D$3:$D$1315, $A20)+SUMIFS(DataRegularSeason20242025!$AB$3:$AB$1315,DataRegularSeason20242025!$B$3:$B$1315, "&lt;=" &amp; BH$1, DataRegularSeason20242025!$E$3:$E$1315, $A20)</f>
        <v>10</v>
      </c>
      <c r="BI20">
        <f>SUMIFS(DataRegularSeason20242025!$AA$3:$AA$1315,DataRegularSeason20242025!$B$3:$B$1315, "&lt;=" &amp; BI$1, DataRegularSeason20242025!$D$3:$D$1315, $A20)+SUMIFS(DataRegularSeason20242025!$AB$3:$AB$1315,DataRegularSeason20242025!$B$3:$B$1315, "&lt;=" &amp; BI$1, DataRegularSeason20242025!$E$3:$E$1315, $A20)</f>
        <v>10</v>
      </c>
      <c r="BJ20">
        <f>SUMIFS(DataRegularSeason20242025!$AA$3:$AA$1315,DataRegularSeason20242025!$B$3:$B$1315, "&lt;=" &amp; BJ$1, DataRegularSeason20242025!$D$3:$D$1315, $A20)+SUMIFS(DataRegularSeason20242025!$AB$3:$AB$1315,DataRegularSeason20242025!$B$3:$B$1315, "&lt;=" &amp; BJ$1, DataRegularSeason20242025!$E$3:$E$1315, $A20)</f>
        <v>10</v>
      </c>
      <c r="BK20">
        <f>SUMIFS(DataRegularSeason20242025!$AA$3:$AA$1315,DataRegularSeason20242025!$B$3:$B$1315, "&lt;=" &amp; BK$1, DataRegularSeason20242025!$D$3:$D$1315, $A20)+SUMIFS(DataRegularSeason20242025!$AB$3:$AB$1315,DataRegularSeason20242025!$B$3:$B$1315, "&lt;=" &amp; BK$1, DataRegularSeason20242025!$E$3:$E$1315, $A20)</f>
        <v>10</v>
      </c>
      <c r="BL20">
        <f>SUMIFS(DataRegularSeason20242025!$AA$3:$AA$1315,DataRegularSeason20242025!$B$3:$B$1315, "&lt;=" &amp; BL$1, DataRegularSeason20242025!$D$3:$D$1315, $A20)+SUMIFS(DataRegularSeason20242025!$AB$3:$AB$1315,DataRegularSeason20242025!$B$3:$B$1315, "&lt;=" &amp; BL$1, DataRegularSeason20242025!$E$3:$E$1315, $A20)</f>
        <v>10</v>
      </c>
      <c r="BM20">
        <f>SUMIFS(DataRegularSeason20242025!$AA$3:$AA$1315,DataRegularSeason20242025!$B$3:$B$1315, "&lt;=" &amp; BM$1, DataRegularSeason20242025!$D$3:$D$1315, $A20)+SUMIFS(DataRegularSeason20242025!$AB$3:$AB$1315,DataRegularSeason20242025!$B$3:$B$1315, "&lt;=" &amp; BM$1, DataRegularSeason20242025!$E$3:$E$1315, $A20)</f>
        <v>10</v>
      </c>
      <c r="BN20">
        <f>SUMIFS(DataRegularSeason20242025!$AA$3:$AA$1315,DataRegularSeason20242025!$B$3:$B$1315, "&lt;=" &amp; BN$1, DataRegularSeason20242025!$D$3:$D$1315, $A20)+SUMIFS(DataRegularSeason20242025!$AB$3:$AB$1315,DataRegularSeason20242025!$B$3:$B$1315, "&lt;=" &amp; BN$1, DataRegularSeason20242025!$E$3:$E$1315, $A20)</f>
        <v>10</v>
      </c>
      <c r="BO20">
        <f>SUMIFS(DataRegularSeason20242025!$AA$3:$AA$1315,DataRegularSeason20242025!$B$3:$B$1315, "&lt;=" &amp; BO$1, DataRegularSeason20242025!$D$3:$D$1315, $A20)+SUMIFS(DataRegularSeason20242025!$AB$3:$AB$1315,DataRegularSeason20242025!$B$3:$B$1315, "&lt;=" &amp; BO$1, DataRegularSeason20242025!$E$3:$E$1315, $A20)</f>
        <v>10</v>
      </c>
      <c r="BP20">
        <f>SUMIFS(DataRegularSeason20242025!$AA$3:$AA$1315,DataRegularSeason20242025!$B$3:$B$1315, "&lt;=" &amp; BP$1, DataRegularSeason20242025!$D$3:$D$1315, $A20)+SUMIFS(DataRegularSeason20242025!$AB$3:$AB$1315,DataRegularSeason20242025!$B$3:$B$1315, "&lt;=" &amp; BP$1, DataRegularSeason20242025!$E$3:$E$1315, $A20)</f>
        <v>10</v>
      </c>
      <c r="BQ20">
        <f>SUMIFS(DataRegularSeason20242025!$AA$3:$AA$1315,DataRegularSeason20242025!$B$3:$B$1315, "&lt;=" &amp; BQ$1, DataRegularSeason20242025!$D$3:$D$1315, $A20)+SUMIFS(DataRegularSeason20242025!$AB$3:$AB$1315,DataRegularSeason20242025!$B$3:$B$1315, "&lt;=" &amp; BQ$1, DataRegularSeason20242025!$E$3:$E$1315, $A20)</f>
        <v>10</v>
      </c>
      <c r="BR20">
        <f>SUMIFS(DataRegularSeason20242025!$AA$3:$AA$1315,DataRegularSeason20242025!$B$3:$B$1315, "&lt;=" &amp; BR$1, DataRegularSeason20242025!$D$3:$D$1315, $A20)+SUMIFS(DataRegularSeason20242025!$AB$3:$AB$1315,DataRegularSeason20242025!$B$3:$B$1315, "&lt;=" &amp; BR$1, DataRegularSeason20242025!$E$3:$E$1315, $A20)</f>
        <v>10</v>
      </c>
      <c r="BS20">
        <f>SUMIFS(DataRegularSeason20242025!$AA$3:$AA$1315,DataRegularSeason20242025!$B$3:$B$1315, "&lt;=" &amp; BS$1, DataRegularSeason20242025!$D$3:$D$1315, $A20)+SUMIFS(DataRegularSeason20242025!$AB$3:$AB$1315,DataRegularSeason20242025!$B$3:$B$1315, "&lt;=" &amp; BS$1, DataRegularSeason20242025!$E$3:$E$1315, $A20)</f>
        <v>10</v>
      </c>
      <c r="BT20">
        <f>SUMIFS(DataRegularSeason20242025!$AA$3:$AA$1315,DataRegularSeason20242025!$B$3:$B$1315, "&lt;=" &amp; BT$1, DataRegularSeason20242025!$D$3:$D$1315, $A20)+SUMIFS(DataRegularSeason20242025!$AB$3:$AB$1315,DataRegularSeason20242025!$B$3:$B$1315, "&lt;=" &amp; BT$1, DataRegularSeason20242025!$E$3:$E$1315, $A20)</f>
        <v>10</v>
      </c>
      <c r="BU20">
        <f>SUMIFS(DataRegularSeason20242025!$AA$3:$AA$1315,DataRegularSeason20242025!$B$3:$B$1315, "&lt;=" &amp; BU$1, DataRegularSeason20242025!$D$3:$D$1315, $A20)+SUMIFS(DataRegularSeason20242025!$AB$3:$AB$1315,DataRegularSeason20242025!$B$3:$B$1315, "&lt;=" &amp; BU$1, DataRegularSeason20242025!$E$3:$E$1315, $A20)</f>
        <v>10</v>
      </c>
      <c r="BV20">
        <f>SUMIFS(DataRegularSeason20242025!$AA$3:$AA$1315,DataRegularSeason20242025!$B$3:$B$1315, "&lt;=" &amp; BV$1, DataRegularSeason20242025!$D$3:$D$1315, $A20)+SUMIFS(DataRegularSeason20242025!$AB$3:$AB$1315,DataRegularSeason20242025!$B$3:$B$1315, "&lt;=" &amp; BV$1, DataRegularSeason20242025!$E$3:$E$1315, $A20)</f>
        <v>10</v>
      </c>
      <c r="BW20">
        <f>SUMIFS(DataRegularSeason20242025!$AA$3:$AA$1315,DataRegularSeason20242025!$B$3:$B$1315, "&lt;=" &amp; BW$1, DataRegularSeason20242025!$D$3:$D$1315, $A20)+SUMIFS(DataRegularSeason20242025!$AB$3:$AB$1315,DataRegularSeason20242025!$B$3:$B$1315, "&lt;=" &amp; BW$1, DataRegularSeason20242025!$E$3:$E$1315, $A20)</f>
        <v>10</v>
      </c>
      <c r="BX20">
        <f>SUMIFS(DataRegularSeason20242025!$AA$3:$AA$1315,DataRegularSeason20242025!$B$3:$B$1315, "&lt;=" &amp; BX$1, DataRegularSeason20242025!$D$3:$D$1315, $A20)+SUMIFS(DataRegularSeason20242025!$AB$3:$AB$1315,DataRegularSeason20242025!$B$3:$B$1315, "&lt;=" &amp; BX$1, DataRegularSeason20242025!$E$3:$E$1315, $A20)</f>
        <v>10</v>
      </c>
      <c r="BY20">
        <f>SUMIFS(DataRegularSeason20242025!$AA$3:$AA$1315,DataRegularSeason20242025!$B$3:$B$1315, "&lt;=" &amp; BY$1, DataRegularSeason20242025!$D$3:$D$1315, $A20)+SUMIFS(DataRegularSeason20242025!$AB$3:$AB$1315,DataRegularSeason20242025!$B$3:$B$1315, "&lt;=" &amp; BY$1, DataRegularSeason20242025!$E$3:$E$1315, $A20)</f>
        <v>10</v>
      </c>
      <c r="BZ20">
        <f>SUMIFS(DataRegularSeason20242025!$AA$3:$AA$1315,DataRegularSeason20242025!$B$3:$B$1315, "&lt;=" &amp; BZ$1, DataRegularSeason20242025!$D$3:$D$1315, $A20)+SUMIFS(DataRegularSeason20242025!$AB$3:$AB$1315,DataRegularSeason20242025!$B$3:$B$1315, "&lt;=" &amp; BZ$1, DataRegularSeason20242025!$E$3:$E$1315, $A20)</f>
        <v>10</v>
      </c>
      <c r="CA20">
        <f>SUMIFS(DataRegularSeason20242025!$AA$3:$AA$1315,DataRegularSeason20242025!$B$3:$B$1315, "&lt;=" &amp; CA$1, DataRegularSeason20242025!$D$3:$D$1315, $A20)+SUMIFS(DataRegularSeason20242025!$AB$3:$AB$1315,DataRegularSeason20242025!$B$3:$B$1315, "&lt;=" &amp; CA$1, DataRegularSeason20242025!$E$3:$E$1315, $A20)</f>
        <v>10</v>
      </c>
      <c r="CB20">
        <f>SUMIFS(DataRegularSeason20242025!$AA$3:$AA$1315,DataRegularSeason20242025!$B$3:$B$1315, "&lt;=" &amp; CB$1, DataRegularSeason20242025!$D$3:$D$1315, $A20)+SUMIFS(DataRegularSeason20242025!$AB$3:$AB$1315,DataRegularSeason20242025!$B$3:$B$1315, "&lt;=" &amp; CB$1, DataRegularSeason20242025!$E$3:$E$1315, $A20)</f>
        <v>10</v>
      </c>
      <c r="CC20">
        <f>SUMIFS(DataRegularSeason20242025!$AA$3:$AA$1315,DataRegularSeason20242025!$B$3:$B$1315, "&lt;=" &amp; CC$1, DataRegularSeason20242025!$D$3:$D$1315, $A20)+SUMIFS(DataRegularSeason20242025!$AB$3:$AB$1315,DataRegularSeason20242025!$B$3:$B$1315, "&lt;=" &amp; CC$1, DataRegularSeason20242025!$E$3:$E$1315, $A20)</f>
        <v>10</v>
      </c>
      <c r="CD20">
        <f>SUMIFS(DataRegularSeason20242025!$AA$3:$AA$1315,DataRegularSeason20242025!$B$3:$B$1315, "&lt;=" &amp; CD$1, DataRegularSeason20242025!$D$3:$D$1315, $A20)+SUMIFS(DataRegularSeason20242025!$AB$3:$AB$1315,DataRegularSeason20242025!$B$3:$B$1315, "&lt;=" &amp; CD$1, DataRegularSeason20242025!$E$3:$E$1315, $A20)</f>
        <v>10</v>
      </c>
      <c r="CE20">
        <f>SUMIFS(DataRegularSeason20242025!$AA$3:$AA$1315,DataRegularSeason20242025!$B$3:$B$1315, "&lt;=" &amp; CE$1, DataRegularSeason20242025!$D$3:$D$1315, $A20)+SUMIFS(DataRegularSeason20242025!$AB$3:$AB$1315,DataRegularSeason20242025!$B$3:$B$1315, "&lt;=" &amp; CE$1, DataRegularSeason20242025!$E$3:$E$1315, $A20)</f>
        <v>10</v>
      </c>
      <c r="CF20">
        <f>SUMIFS(DataRegularSeason20242025!$AA$3:$AA$1315,DataRegularSeason20242025!$B$3:$B$1315, "&lt;=" &amp; CF$1, DataRegularSeason20242025!$D$3:$D$1315, $A20)+SUMIFS(DataRegularSeason20242025!$AB$3:$AB$1315,DataRegularSeason20242025!$B$3:$B$1315, "&lt;=" &amp; CF$1, DataRegularSeason20242025!$E$3:$E$1315, $A20)</f>
        <v>10</v>
      </c>
      <c r="CG20">
        <f>SUMIFS(DataRegularSeason20242025!$AA$3:$AA$1315,DataRegularSeason20242025!$B$3:$B$1315, "&lt;=" &amp; CG$1, DataRegularSeason20242025!$D$3:$D$1315, $A20)+SUMIFS(DataRegularSeason20242025!$AB$3:$AB$1315,DataRegularSeason20242025!$B$3:$B$1315, "&lt;=" &amp; CG$1, DataRegularSeason20242025!$E$3:$E$1315, $A20)</f>
        <v>10</v>
      </c>
      <c r="CH20">
        <f>SUMIFS(DataRegularSeason20242025!$AA$3:$AA$1315,DataRegularSeason20242025!$B$3:$B$1315, "&lt;=" &amp; CH$1, DataRegularSeason20242025!$D$3:$D$1315, $A20)+SUMIFS(DataRegularSeason20242025!$AB$3:$AB$1315,DataRegularSeason20242025!$B$3:$B$1315, "&lt;=" &amp; CH$1, DataRegularSeason20242025!$E$3:$E$1315, $A20)</f>
        <v>10</v>
      </c>
      <c r="CI20">
        <f>SUMIFS(DataRegularSeason20242025!$AA$3:$AA$1315,DataRegularSeason20242025!$B$3:$B$1315, "&lt;=" &amp; CI$1, DataRegularSeason20242025!$D$3:$D$1315, $A20)+SUMIFS(DataRegularSeason20242025!$AB$3:$AB$1315,DataRegularSeason20242025!$B$3:$B$1315, "&lt;=" &amp; CI$1, DataRegularSeason20242025!$E$3:$E$1315, $A20)</f>
        <v>10</v>
      </c>
      <c r="CJ20">
        <f>SUMIFS(DataRegularSeason20242025!$AA$3:$AA$1315,DataRegularSeason20242025!$B$3:$B$1315, "&lt;=" &amp; CJ$1, DataRegularSeason20242025!$D$3:$D$1315, $A20)+SUMIFS(DataRegularSeason20242025!$AB$3:$AB$1315,DataRegularSeason20242025!$B$3:$B$1315, "&lt;=" &amp; CJ$1, DataRegularSeason20242025!$E$3:$E$1315, $A20)</f>
        <v>10</v>
      </c>
      <c r="CK20">
        <f>SUMIFS(DataRegularSeason20242025!$AA$3:$AA$1315,DataRegularSeason20242025!$B$3:$B$1315, "&lt;=" &amp; CK$1, DataRegularSeason20242025!$D$3:$D$1315, $A20)+SUMIFS(DataRegularSeason20242025!$AB$3:$AB$1315,DataRegularSeason20242025!$B$3:$B$1315, "&lt;=" &amp; CK$1, DataRegularSeason20242025!$E$3:$E$1315, $A20)</f>
        <v>10</v>
      </c>
      <c r="CL20">
        <f>SUMIFS(DataRegularSeason20242025!$AA$3:$AA$1315,DataRegularSeason20242025!$B$3:$B$1315, "&lt;=" &amp; CL$1, DataRegularSeason20242025!$D$3:$D$1315, $A20)+SUMIFS(DataRegularSeason20242025!$AB$3:$AB$1315,DataRegularSeason20242025!$B$3:$B$1315, "&lt;=" &amp; CL$1, DataRegularSeason20242025!$E$3:$E$1315, $A20)</f>
        <v>10</v>
      </c>
      <c r="CM20">
        <f>SUMIFS(DataRegularSeason20242025!$AA$3:$AA$1315,DataRegularSeason20242025!$B$3:$B$1315, "&lt;=" &amp; CM$1, DataRegularSeason20242025!$D$3:$D$1315, $A20)+SUMIFS(DataRegularSeason20242025!$AB$3:$AB$1315,DataRegularSeason20242025!$B$3:$B$1315, "&lt;=" &amp; CM$1, DataRegularSeason20242025!$E$3:$E$1315, $A20)</f>
        <v>10</v>
      </c>
      <c r="CN20">
        <f>SUMIFS(DataRegularSeason20242025!$AA$3:$AA$1315,DataRegularSeason20242025!$B$3:$B$1315, "&lt;=" &amp; CN$1, DataRegularSeason20242025!$D$3:$D$1315, $A20)+SUMIFS(DataRegularSeason20242025!$AB$3:$AB$1315,DataRegularSeason20242025!$B$3:$B$1315, "&lt;=" &amp; CN$1, DataRegularSeason20242025!$E$3:$E$1315, $A20)</f>
        <v>10</v>
      </c>
      <c r="CO20">
        <f>SUMIFS(DataRegularSeason20242025!$AA$3:$AA$1315,DataRegularSeason20242025!$B$3:$B$1315, "&lt;=" &amp; CO$1, DataRegularSeason20242025!$D$3:$D$1315, $A20)+SUMIFS(DataRegularSeason20242025!$AB$3:$AB$1315,DataRegularSeason20242025!$B$3:$B$1315, "&lt;=" &amp; CO$1, DataRegularSeason20242025!$E$3:$E$1315, $A20)</f>
        <v>10</v>
      </c>
      <c r="CP20">
        <f>SUMIFS(DataRegularSeason20242025!$AA$3:$AA$1315,DataRegularSeason20242025!$B$3:$B$1315, "&lt;=" &amp; CP$1, DataRegularSeason20242025!$D$3:$D$1315, $A20)+SUMIFS(DataRegularSeason20242025!$AB$3:$AB$1315,DataRegularSeason20242025!$B$3:$B$1315, "&lt;=" &amp; CP$1, DataRegularSeason20242025!$E$3:$E$1315, $A20)</f>
        <v>10</v>
      </c>
      <c r="CQ20">
        <f>SUMIFS(DataRegularSeason20242025!$AA$3:$AA$1315,DataRegularSeason20242025!$B$3:$B$1315, "&lt;=" &amp; CQ$1, DataRegularSeason20242025!$D$3:$D$1315, $A20)+SUMIFS(DataRegularSeason20242025!$AB$3:$AB$1315,DataRegularSeason20242025!$B$3:$B$1315, "&lt;=" &amp; CQ$1, DataRegularSeason20242025!$E$3:$E$1315, $A20)</f>
        <v>10</v>
      </c>
      <c r="CR20">
        <f>SUMIFS(DataRegularSeason20242025!$AA$3:$AA$1315,DataRegularSeason20242025!$B$3:$B$1315, "&lt;=" &amp; CR$1, DataRegularSeason20242025!$D$3:$D$1315, $A20)+SUMIFS(DataRegularSeason20242025!$AB$3:$AB$1315,DataRegularSeason20242025!$B$3:$B$1315, "&lt;=" &amp; CR$1, DataRegularSeason20242025!$E$3:$E$1315, $A20)</f>
        <v>10</v>
      </c>
      <c r="CS20">
        <f>SUMIFS(DataRegularSeason20242025!$AA$3:$AA$1315,DataRegularSeason20242025!$B$3:$B$1315, "&lt;=" &amp; CS$1, DataRegularSeason20242025!$D$3:$D$1315, $A20)+SUMIFS(DataRegularSeason20242025!$AB$3:$AB$1315,DataRegularSeason20242025!$B$3:$B$1315, "&lt;=" &amp; CS$1, DataRegularSeason20242025!$E$3:$E$1315, $A20)</f>
        <v>10</v>
      </c>
      <c r="CT20">
        <f>SUMIFS(DataRegularSeason20242025!$AA$3:$AA$1315,DataRegularSeason20242025!$B$3:$B$1315, "&lt;=" &amp; CT$1, DataRegularSeason20242025!$D$3:$D$1315, $A20)+SUMIFS(DataRegularSeason20242025!$AB$3:$AB$1315,DataRegularSeason20242025!$B$3:$B$1315, "&lt;=" &amp; CT$1, DataRegularSeason20242025!$E$3:$E$1315, $A20)</f>
        <v>10</v>
      </c>
      <c r="CU20">
        <f>SUMIFS(DataRegularSeason20242025!$AA$3:$AA$1315,DataRegularSeason20242025!$B$3:$B$1315, "&lt;=" &amp; CU$1, DataRegularSeason20242025!$D$3:$D$1315, $A20)+SUMIFS(DataRegularSeason20242025!$AB$3:$AB$1315,DataRegularSeason20242025!$B$3:$B$1315, "&lt;=" &amp; CU$1, DataRegularSeason20242025!$E$3:$E$1315, $A20)</f>
        <v>10</v>
      </c>
      <c r="CV20">
        <f>SUMIFS(DataRegularSeason20242025!$AA$3:$AA$1315,DataRegularSeason20242025!$B$3:$B$1315, "&lt;=" &amp; CV$1, DataRegularSeason20242025!$D$3:$D$1315, $A20)+SUMIFS(DataRegularSeason20242025!$AB$3:$AB$1315,DataRegularSeason20242025!$B$3:$B$1315, "&lt;=" &amp; CV$1, DataRegularSeason20242025!$E$3:$E$1315, $A20)</f>
        <v>10</v>
      </c>
      <c r="CW20">
        <f>SUMIFS(DataRegularSeason20242025!$AA$3:$AA$1315,DataRegularSeason20242025!$B$3:$B$1315, "&lt;=" &amp; CW$1, DataRegularSeason20242025!$D$3:$D$1315, $A20)+SUMIFS(DataRegularSeason20242025!$AB$3:$AB$1315,DataRegularSeason20242025!$B$3:$B$1315, "&lt;=" &amp; CW$1, DataRegularSeason20242025!$E$3:$E$1315, $A20)</f>
        <v>10</v>
      </c>
      <c r="CX20">
        <f>SUMIFS(DataRegularSeason20242025!$AA$3:$AA$1315,DataRegularSeason20242025!$B$3:$B$1315, "&lt;=" &amp; CX$1, DataRegularSeason20242025!$D$3:$D$1315, $A20)+SUMIFS(DataRegularSeason20242025!$AB$3:$AB$1315,DataRegularSeason20242025!$B$3:$B$1315, "&lt;=" &amp; CX$1, DataRegularSeason20242025!$E$3:$E$1315, $A20)</f>
        <v>10</v>
      </c>
      <c r="CY20">
        <f>SUMIFS(DataRegularSeason20242025!$AA$3:$AA$1315,DataRegularSeason20242025!$B$3:$B$1315, "&lt;=" &amp; CY$1, DataRegularSeason20242025!$D$3:$D$1315, $A20)+SUMIFS(DataRegularSeason20242025!$AB$3:$AB$1315,DataRegularSeason20242025!$B$3:$B$1315, "&lt;=" &amp; CY$1, DataRegularSeason20242025!$E$3:$E$1315, $A20)</f>
        <v>10</v>
      </c>
      <c r="CZ20">
        <f>SUMIFS(DataRegularSeason20242025!$AA$3:$AA$1315,DataRegularSeason20242025!$B$3:$B$1315, "&lt;=" &amp; CZ$1, DataRegularSeason20242025!$D$3:$D$1315, $A20)+SUMIFS(DataRegularSeason20242025!$AB$3:$AB$1315,DataRegularSeason20242025!$B$3:$B$1315, "&lt;=" &amp; CZ$1, DataRegularSeason20242025!$E$3:$E$1315, $A20)</f>
        <v>10</v>
      </c>
      <c r="DA20">
        <f>SUMIFS(DataRegularSeason20242025!$AA$3:$AA$1315,DataRegularSeason20242025!$B$3:$B$1315, "&lt;=" &amp; DA$1, DataRegularSeason20242025!$D$3:$D$1315, $A20)+SUMIFS(DataRegularSeason20242025!$AB$3:$AB$1315,DataRegularSeason20242025!$B$3:$B$1315, "&lt;=" &amp; DA$1, DataRegularSeason20242025!$E$3:$E$1315, $A20)</f>
        <v>10</v>
      </c>
      <c r="DB20">
        <f>SUMIFS(DataRegularSeason20242025!$AA$3:$AA$1315,DataRegularSeason20242025!$B$3:$B$1315, "&lt;=" &amp; DB$1, DataRegularSeason20242025!$D$3:$D$1315, $A20)+SUMIFS(DataRegularSeason20242025!$AB$3:$AB$1315,DataRegularSeason20242025!$B$3:$B$1315, "&lt;=" &amp; DB$1, DataRegularSeason20242025!$E$3:$E$1315, $A20)</f>
        <v>10</v>
      </c>
      <c r="DC20">
        <f>SUMIFS(DataRegularSeason20242025!$AA$3:$AA$1315,DataRegularSeason20242025!$B$3:$B$1315, "&lt;=" &amp; DC$1, DataRegularSeason20242025!$D$3:$D$1315, $A20)+SUMIFS(DataRegularSeason20242025!$AB$3:$AB$1315,DataRegularSeason20242025!$B$3:$B$1315, "&lt;=" &amp; DC$1, DataRegularSeason20242025!$E$3:$E$1315, $A20)</f>
        <v>10</v>
      </c>
      <c r="DD20">
        <f>SUMIFS(DataRegularSeason20242025!$AA$3:$AA$1315,DataRegularSeason20242025!$B$3:$B$1315, "&lt;=" &amp; DD$1, DataRegularSeason20242025!$D$3:$D$1315, $A20)+SUMIFS(DataRegularSeason20242025!$AB$3:$AB$1315,DataRegularSeason20242025!$B$3:$B$1315, "&lt;=" &amp; DD$1, DataRegularSeason20242025!$E$3:$E$1315, $A20)</f>
        <v>10</v>
      </c>
      <c r="DE20">
        <f>SUMIFS(DataRegularSeason20242025!$AA$3:$AA$1315,DataRegularSeason20242025!$B$3:$B$1315, "&lt;=" &amp; DE$1, DataRegularSeason20242025!$D$3:$D$1315, $A20)+SUMIFS(DataRegularSeason20242025!$AB$3:$AB$1315,DataRegularSeason20242025!$B$3:$B$1315, "&lt;=" &amp; DE$1, DataRegularSeason20242025!$E$3:$E$1315, $A20)</f>
        <v>10</v>
      </c>
      <c r="DF20">
        <f>SUMIFS(DataRegularSeason20242025!$AA$3:$AA$1315,DataRegularSeason20242025!$B$3:$B$1315, "&lt;=" &amp; DF$1, DataRegularSeason20242025!$D$3:$D$1315, $A20)+SUMIFS(DataRegularSeason20242025!$AB$3:$AB$1315,DataRegularSeason20242025!$B$3:$B$1315, "&lt;=" &amp; DF$1, DataRegularSeason20242025!$E$3:$E$1315, $A20)</f>
        <v>10</v>
      </c>
      <c r="DG20">
        <f>SUMIFS(DataRegularSeason20242025!$AA$3:$AA$1315,DataRegularSeason20242025!$B$3:$B$1315, "&lt;=" &amp; DG$1, DataRegularSeason20242025!$D$3:$D$1315, $A20)+SUMIFS(DataRegularSeason20242025!$AB$3:$AB$1315,DataRegularSeason20242025!$B$3:$B$1315, "&lt;=" &amp; DG$1, DataRegularSeason20242025!$E$3:$E$1315, $A20)</f>
        <v>10</v>
      </c>
      <c r="DH20">
        <f>SUMIFS(DataRegularSeason20242025!$AA$3:$AA$1315,DataRegularSeason20242025!$B$3:$B$1315, "&lt;=" &amp; DH$1, DataRegularSeason20242025!$D$3:$D$1315, $A20)+SUMIFS(DataRegularSeason20242025!$AB$3:$AB$1315,DataRegularSeason20242025!$B$3:$B$1315, "&lt;=" &amp; DH$1, DataRegularSeason20242025!$E$3:$E$1315, $A20)</f>
        <v>10</v>
      </c>
      <c r="DI20">
        <f>SUMIFS(DataRegularSeason20242025!$AA$3:$AA$1315,DataRegularSeason20242025!$B$3:$B$1315, "&lt;=" &amp; DI$1, DataRegularSeason20242025!$D$3:$D$1315, $A20)+SUMIFS(DataRegularSeason20242025!$AB$3:$AB$1315,DataRegularSeason20242025!$B$3:$B$1315, "&lt;=" &amp; DI$1, DataRegularSeason20242025!$E$3:$E$1315, $A20)</f>
        <v>10</v>
      </c>
      <c r="DJ20">
        <f>SUMIFS(DataRegularSeason20242025!$AA$3:$AA$1315,DataRegularSeason20242025!$B$3:$B$1315, "&lt;=" &amp; DJ$1, DataRegularSeason20242025!$D$3:$D$1315, $A20)+SUMIFS(DataRegularSeason20242025!$AB$3:$AB$1315,DataRegularSeason20242025!$B$3:$B$1315, "&lt;=" &amp; DJ$1, DataRegularSeason20242025!$E$3:$E$1315, $A20)</f>
        <v>10</v>
      </c>
      <c r="DK20">
        <f>SUMIFS(DataRegularSeason20242025!$AA$3:$AA$1315,DataRegularSeason20242025!$B$3:$B$1315, "&lt;=" &amp; DK$1, DataRegularSeason20242025!$D$3:$D$1315, $A20)+SUMIFS(DataRegularSeason20242025!$AB$3:$AB$1315,DataRegularSeason20242025!$B$3:$B$1315, "&lt;=" &amp; DK$1, DataRegularSeason20242025!$E$3:$E$1315, $A20)</f>
        <v>10</v>
      </c>
      <c r="DL20">
        <f>SUMIFS(DataRegularSeason20242025!$AA$3:$AA$1315,DataRegularSeason20242025!$B$3:$B$1315, "&lt;=" &amp; DL$1, DataRegularSeason20242025!$D$3:$D$1315, $A20)+SUMIFS(DataRegularSeason20242025!$AB$3:$AB$1315,DataRegularSeason20242025!$B$3:$B$1315, "&lt;=" &amp; DL$1, DataRegularSeason20242025!$E$3:$E$1315, $A20)</f>
        <v>10</v>
      </c>
      <c r="DM20">
        <f>SUMIFS(DataRegularSeason20242025!$AA$3:$AA$1315,DataRegularSeason20242025!$B$3:$B$1315, "&lt;=" &amp; DM$1, DataRegularSeason20242025!$D$3:$D$1315, $A20)+SUMIFS(DataRegularSeason20242025!$AB$3:$AB$1315,DataRegularSeason20242025!$B$3:$B$1315, "&lt;=" &amp; DM$1, DataRegularSeason20242025!$E$3:$E$1315, $A20)</f>
        <v>10</v>
      </c>
      <c r="DN20">
        <f>SUMIFS(DataRegularSeason20242025!$AA$3:$AA$1315,DataRegularSeason20242025!$B$3:$B$1315, "&lt;=" &amp; DN$1, DataRegularSeason20242025!$D$3:$D$1315, $A20)+SUMIFS(DataRegularSeason20242025!$AB$3:$AB$1315,DataRegularSeason20242025!$B$3:$B$1315, "&lt;=" &amp; DN$1, DataRegularSeason20242025!$E$3:$E$1315, $A20)</f>
        <v>10</v>
      </c>
      <c r="DO20">
        <f>SUMIFS(DataRegularSeason20242025!$AA$3:$AA$1315,DataRegularSeason20242025!$B$3:$B$1315, "&lt;=" &amp; DO$1, DataRegularSeason20242025!$D$3:$D$1315, $A20)+SUMIFS(DataRegularSeason20242025!$AB$3:$AB$1315,DataRegularSeason20242025!$B$3:$B$1315, "&lt;=" &amp; DO$1, DataRegularSeason20242025!$E$3:$E$1315, $A20)</f>
        <v>10</v>
      </c>
      <c r="DP20">
        <f>SUMIFS(DataRegularSeason20242025!$AA$3:$AA$1315,DataRegularSeason20242025!$B$3:$B$1315, "&lt;=" &amp; DP$1, DataRegularSeason20242025!$D$3:$D$1315, $A20)+SUMIFS(DataRegularSeason20242025!$AB$3:$AB$1315,DataRegularSeason20242025!$B$3:$B$1315, "&lt;=" &amp; DP$1, DataRegularSeason20242025!$E$3:$E$1315, $A20)</f>
        <v>10</v>
      </c>
      <c r="DQ20">
        <f>SUMIFS(DataRegularSeason20242025!$AA$3:$AA$1315,DataRegularSeason20242025!$B$3:$B$1315, "&lt;=" &amp; DQ$1, DataRegularSeason20242025!$D$3:$D$1315, $A20)+SUMIFS(DataRegularSeason20242025!$AB$3:$AB$1315,DataRegularSeason20242025!$B$3:$B$1315, "&lt;=" &amp; DQ$1, DataRegularSeason20242025!$E$3:$E$1315, $A20)</f>
        <v>10</v>
      </c>
      <c r="DR20">
        <f>SUMIFS(DataRegularSeason20242025!$AA$3:$AA$1315,DataRegularSeason20242025!$B$3:$B$1315, "&lt;=" &amp; DR$1, DataRegularSeason20242025!$D$3:$D$1315, $A20)+SUMIFS(DataRegularSeason20242025!$AB$3:$AB$1315,DataRegularSeason20242025!$B$3:$B$1315, "&lt;=" &amp; DR$1, DataRegularSeason20242025!$E$3:$E$1315, $A20)</f>
        <v>10</v>
      </c>
      <c r="DS20">
        <f>SUMIFS(DataRegularSeason20242025!$AA$3:$AA$1315,DataRegularSeason20242025!$B$3:$B$1315, "&lt;=" &amp; DS$1, DataRegularSeason20242025!$D$3:$D$1315, $A20)+SUMIFS(DataRegularSeason20242025!$AB$3:$AB$1315,DataRegularSeason20242025!$B$3:$B$1315, "&lt;=" &amp; DS$1, DataRegularSeason20242025!$E$3:$E$1315, $A20)</f>
        <v>10</v>
      </c>
      <c r="DT20">
        <f>SUMIFS(DataRegularSeason20242025!$AA$3:$AA$1315,DataRegularSeason20242025!$B$3:$B$1315, "&lt;=" &amp; DT$1, DataRegularSeason20242025!$D$3:$D$1315, $A20)+SUMIFS(DataRegularSeason20242025!$AB$3:$AB$1315,DataRegularSeason20242025!$B$3:$B$1315, "&lt;=" &amp; DT$1, DataRegularSeason20242025!$E$3:$E$1315, $A20)</f>
        <v>10</v>
      </c>
      <c r="DU20">
        <f>SUMIFS(DataRegularSeason20242025!$AA$3:$AA$1315,DataRegularSeason20242025!$B$3:$B$1315, "&lt;=" &amp; DU$1, DataRegularSeason20242025!$D$3:$D$1315, $A20)+SUMIFS(DataRegularSeason20242025!$AB$3:$AB$1315,DataRegularSeason20242025!$B$3:$B$1315, "&lt;=" &amp; DU$1, DataRegularSeason20242025!$E$3:$E$1315, $A20)</f>
        <v>10</v>
      </c>
      <c r="DV20">
        <f>SUMIFS(DataRegularSeason20242025!$AA$3:$AA$1315,DataRegularSeason20242025!$B$3:$B$1315, "&lt;=" &amp; DV$1, DataRegularSeason20242025!$D$3:$D$1315, $A20)+SUMIFS(DataRegularSeason20242025!$AB$3:$AB$1315,DataRegularSeason20242025!$B$3:$B$1315, "&lt;=" &amp; DV$1, DataRegularSeason20242025!$E$3:$E$1315, $A20)</f>
        <v>10</v>
      </c>
      <c r="DW20">
        <f>SUMIFS(DataRegularSeason20242025!$AA$3:$AA$1315,DataRegularSeason20242025!$B$3:$B$1315, "&lt;=" &amp; DW$1, DataRegularSeason20242025!$D$3:$D$1315, $A20)+SUMIFS(DataRegularSeason20242025!$AB$3:$AB$1315,DataRegularSeason20242025!$B$3:$B$1315, "&lt;=" &amp; DW$1, DataRegularSeason20242025!$E$3:$E$1315, $A20)</f>
        <v>10</v>
      </c>
      <c r="DX20">
        <f>SUMIFS(DataRegularSeason20242025!$AA$3:$AA$1315,DataRegularSeason20242025!$B$3:$B$1315, "&lt;=" &amp; DX$1, DataRegularSeason20242025!$D$3:$D$1315, $A20)+SUMIFS(DataRegularSeason20242025!$AB$3:$AB$1315,DataRegularSeason20242025!$B$3:$B$1315, "&lt;=" &amp; DX$1, DataRegularSeason20242025!$E$3:$E$1315, $A20)</f>
        <v>10</v>
      </c>
      <c r="DY20">
        <f>SUMIFS(DataRegularSeason20242025!$AA$3:$AA$1315,DataRegularSeason20242025!$B$3:$B$1315, "&lt;=" &amp; DY$1, DataRegularSeason20242025!$D$3:$D$1315, $A20)+SUMIFS(DataRegularSeason20242025!$AB$3:$AB$1315,DataRegularSeason20242025!$B$3:$B$1315, "&lt;=" &amp; DY$1, DataRegularSeason20242025!$E$3:$E$1315, $A20)</f>
        <v>10</v>
      </c>
      <c r="DZ20">
        <f>SUMIFS(DataRegularSeason20242025!$AA$3:$AA$1315,DataRegularSeason20242025!$B$3:$B$1315, "&lt;=" &amp; DZ$1, DataRegularSeason20242025!$D$3:$D$1315, $A20)+SUMIFS(DataRegularSeason20242025!$AB$3:$AB$1315,DataRegularSeason20242025!$B$3:$B$1315, "&lt;=" &amp; DZ$1, DataRegularSeason20242025!$E$3:$E$1315, $A20)</f>
        <v>10</v>
      </c>
      <c r="EA20">
        <f>SUMIFS(DataRegularSeason20242025!$AA$3:$AA$1315,DataRegularSeason20242025!$B$3:$B$1315, "&lt;=" &amp; EA$1, DataRegularSeason20242025!$D$3:$D$1315, $A20)+SUMIFS(DataRegularSeason20242025!$AB$3:$AB$1315,DataRegularSeason20242025!$B$3:$B$1315, "&lt;=" &amp; EA$1, DataRegularSeason20242025!$E$3:$E$1315, $A20)</f>
        <v>10</v>
      </c>
      <c r="EB20">
        <f>SUMIFS(DataRegularSeason20242025!$AA$3:$AA$1315,DataRegularSeason20242025!$B$3:$B$1315, "&lt;=" &amp; EB$1, DataRegularSeason20242025!$D$3:$D$1315, $A20)+SUMIFS(DataRegularSeason20242025!$AB$3:$AB$1315,DataRegularSeason20242025!$B$3:$B$1315, "&lt;=" &amp; EB$1, DataRegularSeason20242025!$E$3:$E$1315, $A20)</f>
        <v>10</v>
      </c>
      <c r="EC20">
        <f>SUMIFS(DataRegularSeason20242025!$AA$3:$AA$1315,DataRegularSeason20242025!$B$3:$B$1315, "&lt;=" &amp; EC$1, DataRegularSeason20242025!$D$3:$D$1315, $A20)+SUMIFS(DataRegularSeason20242025!$AB$3:$AB$1315,DataRegularSeason20242025!$B$3:$B$1315, "&lt;=" &amp; EC$1, DataRegularSeason20242025!$E$3:$E$1315, $A20)</f>
        <v>10</v>
      </c>
      <c r="ED20">
        <f>SUMIFS(DataRegularSeason20242025!$AA$3:$AA$1315,DataRegularSeason20242025!$B$3:$B$1315, "&lt;=" &amp; ED$1, DataRegularSeason20242025!$D$3:$D$1315, $A20)+SUMIFS(DataRegularSeason20242025!$AB$3:$AB$1315,DataRegularSeason20242025!$B$3:$B$1315, "&lt;=" &amp; ED$1, DataRegularSeason20242025!$E$3:$E$1315, $A20)</f>
        <v>10</v>
      </c>
      <c r="EE20">
        <f>SUMIFS(DataRegularSeason20242025!$AA$3:$AA$1315,DataRegularSeason20242025!$B$3:$B$1315, "&lt;=" &amp; EE$1, DataRegularSeason20242025!$D$3:$D$1315, $A20)+SUMIFS(DataRegularSeason20242025!$AB$3:$AB$1315,DataRegularSeason20242025!$B$3:$B$1315, "&lt;=" &amp; EE$1, DataRegularSeason20242025!$E$3:$E$1315, $A20)</f>
        <v>10</v>
      </c>
      <c r="EF20">
        <f>SUMIFS(DataRegularSeason20242025!$AA$3:$AA$1315,DataRegularSeason20242025!$B$3:$B$1315, "&lt;=" &amp; EF$1, DataRegularSeason20242025!$D$3:$D$1315, $A20)+SUMIFS(DataRegularSeason20242025!$AB$3:$AB$1315,DataRegularSeason20242025!$B$3:$B$1315, "&lt;=" &amp; EF$1, DataRegularSeason20242025!$E$3:$E$1315, $A20)</f>
        <v>10</v>
      </c>
      <c r="EG20">
        <f>SUMIFS(DataRegularSeason20242025!$AA$3:$AA$1315,DataRegularSeason20242025!$B$3:$B$1315, "&lt;=" &amp; EG$1, DataRegularSeason20242025!$D$3:$D$1315, $A20)+SUMIFS(DataRegularSeason20242025!$AB$3:$AB$1315,DataRegularSeason20242025!$B$3:$B$1315, "&lt;=" &amp; EG$1, DataRegularSeason20242025!$E$3:$E$1315, $A20)</f>
        <v>10</v>
      </c>
      <c r="EH20">
        <f>SUMIFS(DataRegularSeason20242025!$AA$3:$AA$1315,DataRegularSeason20242025!$B$3:$B$1315, "&lt;=" &amp; EH$1, DataRegularSeason20242025!$D$3:$D$1315, $A20)+SUMIFS(DataRegularSeason20242025!$AB$3:$AB$1315,DataRegularSeason20242025!$B$3:$B$1315, "&lt;=" &amp; EH$1, DataRegularSeason20242025!$E$3:$E$1315, $A20)</f>
        <v>10</v>
      </c>
      <c r="EI20">
        <f>SUMIFS(DataRegularSeason20242025!$AA$3:$AA$1315,DataRegularSeason20242025!$B$3:$B$1315, "&lt;=" &amp; EI$1, DataRegularSeason20242025!$D$3:$D$1315, $A20)+SUMIFS(DataRegularSeason20242025!$AB$3:$AB$1315,DataRegularSeason20242025!$B$3:$B$1315, "&lt;=" &amp; EI$1, DataRegularSeason20242025!$E$3:$E$1315, $A20)</f>
        <v>10</v>
      </c>
      <c r="EJ20">
        <f>SUMIFS(DataRegularSeason20242025!$AA$3:$AA$1315,DataRegularSeason20242025!$B$3:$B$1315, "&lt;=" &amp; EJ$1, DataRegularSeason20242025!$D$3:$D$1315, $A20)+SUMIFS(DataRegularSeason20242025!$AB$3:$AB$1315,DataRegularSeason20242025!$B$3:$B$1315, "&lt;=" &amp; EJ$1, DataRegularSeason20242025!$E$3:$E$1315, $A20)</f>
        <v>10</v>
      </c>
      <c r="EK20">
        <f>SUMIFS(DataRegularSeason20242025!$AA$3:$AA$1315,DataRegularSeason20242025!$B$3:$B$1315, "&lt;=" &amp; EK$1, DataRegularSeason20242025!$D$3:$D$1315, $A20)+SUMIFS(DataRegularSeason20242025!$AB$3:$AB$1315,DataRegularSeason20242025!$B$3:$B$1315, "&lt;=" &amp; EK$1, DataRegularSeason20242025!$E$3:$E$1315, $A20)</f>
        <v>10</v>
      </c>
      <c r="EL20">
        <f>SUMIFS(DataRegularSeason20242025!$AA$3:$AA$1315,DataRegularSeason20242025!$B$3:$B$1315, "&lt;=" &amp; EL$1, DataRegularSeason20242025!$D$3:$D$1315, $A20)+SUMIFS(DataRegularSeason20242025!$AB$3:$AB$1315,DataRegularSeason20242025!$B$3:$B$1315, "&lt;=" &amp; EL$1, DataRegularSeason20242025!$E$3:$E$1315, $A20)</f>
        <v>10</v>
      </c>
      <c r="EM20">
        <f>SUMIFS(DataRegularSeason20242025!$AA$3:$AA$1315,DataRegularSeason20242025!$B$3:$B$1315, "&lt;=" &amp; EM$1, DataRegularSeason20242025!$D$3:$D$1315, $A20)+SUMIFS(DataRegularSeason20242025!$AB$3:$AB$1315,DataRegularSeason20242025!$B$3:$B$1315, "&lt;=" &amp; EM$1, DataRegularSeason20242025!$E$3:$E$1315, $A20)</f>
        <v>10</v>
      </c>
      <c r="EN20">
        <f>SUMIFS(DataRegularSeason20242025!$AA$3:$AA$1315,DataRegularSeason20242025!$B$3:$B$1315, "&lt;=" &amp; EN$1, DataRegularSeason20242025!$D$3:$D$1315, $A20)+SUMIFS(DataRegularSeason20242025!$AB$3:$AB$1315,DataRegularSeason20242025!$B$3:$B$1315, "&lt;=" &amp; EN$1, DataRegularSeason20242025!$E$3:$E$1315, $A20)</f>
        <v>10</v>
      </c>
      <c r="EO20">
        <f>SUMIFS(DataRegularSeason20242025!$AA$3:$AA$1315,DataRegularSeason20242025!$B$3:$B$1315, "&lt;=" &amp; EO$1, DataRegularSeason20242025!$D$3:$D$1315, $A20)+SUMIFS(DataRegularSeason20242025!$AB$3:$AB$1315,DataRegularSeason20242025!$B$3:$B$1315, "&lt;=" &amp; EO$1, DataRegularSeason20242025!$E$3:$E$1315, $A20)</f>
        <v>10</v>
      </c>
      <c r="EP20">
        <f>SUMIFS(DataRegularSeason20242025!$AA$3:$AA$1315,DataRegularSeason20242025!$B$3:$B$1315, "&lt;=" &amp; EP$1, DataRegularSeason20242025!$D$3:$D$1315, $A20)+SUMIFS(DataRegularSeason20242025!$AB$3:$AB$1315,DataRegularSeason20242025!$B$3:$B$1315, "&lt;=" &amp; EP$1, DataRegularSeason20242025!$E$3:$E$1315, $A20)</f>
        <v>10</v>
      </c>
      <c r="EQ20">
        <f>SUMIFS(DataRegularSeason20242025!$AA$3:$AA$1315,DataRegularSeason20242025!$B$3:$B$1315, "&lt;=" &amp; EQ$1, DataRegularSeason20242025!$D$3:$D$1315, $A20)+SUMIFS(DataRegularSeason20242025!$AB$3:$AB$1315,DataRegularSeason20242025!$B$3:$B$1315, "&lt;=" &amp; EQ$1, DataRegularSeason20242025!$E$3:$E$1315, $A20)</f>
        <v>10</v>
      </c>
      <c r="ER20">
        <f>SUMIFS(DataRegularSeason20242025!$AA$3:$AA$1315,DataRegularSeason20242025!$B$3:$B$1315, "&lt;=" &amp; ER$1, DataRegularSeason20242025!$D$3:$D$1315, $A20)+SUMIFS(DataRegularSeason20242025!$AB$3:$AB$1315,DataRegularSeason20242025!$B$3:$B$1315, "&lt;=" &amp; ER$1, DataRegularSeason20242025!$E$3:$E$1315, $A20)</f>
        <v>10</v>
      </c>
      <c r="ES20">
        <f>SUMIFS(DataRegularSeason20242025!$AA$3:$AA$1315,DataRegularSeason20242025!$B$3:$B$1315, "&lt;=" &amp; ES$1, DataRegularSeason20242025!$D$3:$D$1315, $A20)+SUMIFS(DataRegularSeason20242025!$AB$3:$AB$1315,DataRegularSeason20242025!$B$3:$B$1315, "&lt;=" &amp; ES$1, DataRegularSeason20242025!$E$3:$E$1315, $A20)</f>
        <v>10</v>
      </c>
      <c r="ET20">
        <f>SUMIFS(DataRegularSeason20242025!$AA$3:$AA$1315,DataRegularSeason20242025!$B$3:$B$1315, "&lt;=" &amp; ET$1, DataRegularSeason20242025!$D$3:$D$1315, $A20)+SUMIFS(DataRegularSeason20242025!$AB$3:$AB$1315,DataRegularSeason20242025!$B$3:$B$1315, "&lt;=" &amp; ET$1, DataRegularSeason20242025!$E$3:$E$1315, $A20)</f>
        <v>10</v>
      </c>
      <c r="EU20">
        <f>SUMIFS(DataRegularSeason20242025!$AA$3:$AA$1315,DataRegularSeason20242025!$B$3:$B$1315, "&lt;=" &amp; EU$1, DataRegularSeason20242025!$D$3:$D$1315, $A20)+SUMIFS(DataRegularSeason20242025!$AB$3:$AB$1315,DataRegularSeason20242025!$B$3:$B$1315, "&lt;=" &amp; EU$1, DataRegularSeason20242025!$E$3:$E$1315, $A20)</f>
        <v>10</v>
      </c>
      <c r="EV20">
        <f>SUMIFS(DataRegularSeason20242025!$AA$3:$AA$1315,DataRegularSeason20242025!$B$3:$B$1315, "&lt;=" &amp; EV$1, DataRegularSeason20242025!$D$3:$D$1315, $A20)+SUMIFS(DataRegularSeason20242025!$AB$3:$AB$1315,DataRegularSeason20242025!$B$3:$B$1315, "&lt;=" &amp; EV$1, DataRegularSeason20242025!$E$3:$E$1315, $A20)</f>
        <v>10</v>
      </c>
      <c r="EW20">
        <f>SUMIFS(DataRegularSeason20242025!$AA$3:$AA$1315,DataRegularSeason20242025!$B$3:$B$1315, "&lt;=" &amp; EW$1, DataRegularSeason20242025!$D$3:$D$1315, $A20)+SUMIFS(DataRegularSeason20242025!$AB$3:$AB$1315,DataRegularSeason20242025!$B$3:$B$1315, "&lt;=" &amp; EW$1, DataRegularSeason20242025!$E$3:$E$1315, $A20)</f>
        <v>10</v>
      </c>
      <c r="EX20">
        <f>SUMIFS(DataRegularSeason20242025!$AA$3:$AA$1315,DataRegularSeason20242025!$B$3:$B$1315, "&lt;=" &amp; EX$1, DataRegularSeason20242025!$D$3:$D$1315, $A20)+SUMIFS(DataRegularSeason20242025!$AB$3:$AB$1315,DataRegularSeason20242025!$B$3:$B$1315, "&lt;=" &amp; EX$1, DataRegularSeason20242025!$E$3:$E$1315, $A20)</f>
        <v>10</v>
      </c>
      <c r="EY20">
        <f>SUMIFS(DataRegularSeason20242025!$AA$3:$AA$1315,DataRegularSeason20242025!$B$3:$B$1315, "&lt;=" &amp; EY$1, DataRegularSeason20242025!$D$3:$D$1315, $A20)+SUMIFS(DataRegularSeason20242025!$AB$3:$AB$1315,DataRegularSeason20242025!$B$3:$B$1315, "&lt;=" &amp; EY$1, DataRegularSeason20242025!$E$3:$E$1315, $A20)</f>
        <v>10</v>
      </c>
      <c r="EZ20">
        <f>SUMIFS(DataRegularSeason20242025!$AA$3:$AA$1315,DataRegularSeason20242025!$B$3:$B$1315, "&lt;=" &amp; EZ$1, DataRegularSeason20242025!$D$3:$D$1315, $A20)+SUMIFS(DataRegularSeason20242025!$AB$3:$AB$1315,DataRegularSeason20242025!$B$3:$B$1315, "&lt;=" &amp; EZ$1, DataRegularSeason20242025!$E$3:$E$1315, $A20)</f>
        <v>10</v>
      </c>
      <c r="FA20">
        <f>SUMIFS(DataRegularSeason20242025!$AA$3:$AA$1315,DataRegularSeason20242025!$B$3:$B$1315, "&lt;=" &amp; FA$1, DataRegularSeason20242025!$D$3:$D$1315, $A20)+SUMIFS(DataRegularSeason20242025!$AB$3:$AB$1315,DataRegularSeason20242025!$B$3:$B$1315, "&lt;=" &amp; FA$1, DataRegularSeason20242025!$E$3:$E$1315, $A20)</f>
        <v>10</v>
      </c>
      <c r="FB20">
        <f>SUMIFS(DataRegularSeason20242025!$AA$3:$AA$1315,DataRegularSeason20242025!$B$3:$B$1315, "&lt;=" &amp; FB$1, DataRegularSeason20242025!$D$3:$D$1315, $A20)+SUMIFS(DataRegularSeason20242025!$AB$3:$AB$1315,DataRegularSeason20242025!$B$3:$B$1315, "&lt;=" &amp; FB$1, DataRegularSeason20242025!$E$3:$E$1315, $A20)</f>
        <v>10</v>
      </c>
      <c r="FC20">
        <f>SUMIFS(DataRegularSeason20242025!$AA$3:$AA$1315,DataRegularSeason20242025!$B$3:$B$1315, "&lt;=" &amp; FC$1, DataRegularSeason20242025!$D$3:$D$1315, $A20)+SUMIFS(DataRegularSeason20242025!$AB$3:$AB$1315,DataRegularSeason20242025!$B$3:$B$1315, "&lt;=" &amp; FC$1, DataRegularSeason20242025!$E$3:$E$1315, $A20)</f>
        <v>10</v>
      </c>
      <c r="FD20">
        <f>SUMIFS(DataRegularSeason20242025!$AA$3:$AA$1315,DataRegularSeason20242025!$B$3:$B$1315, "&lt;=" &amp; FD$1, DataRegularSeason20242025!$D$3:$D$1315, $A20)+SUMIFS(DataRegularSeason20242025!$AB$3:$AB$1315,DataRegularSeason20242025!$B$3:$B$1315, "&lt;=" &amp; FD$1, DataRegularSeason20242025!$E$3:$E$1315, $A20)</f>
        <v>10</v>
      </c>
      <c r="FE20">
        <f>SUMIFS(DataRegularSeason20242025!$AA$3:$AA$1315,DataRegularSeason20242025!$B$3:$B$1315, "&lt;=" &amp; FE$1, DataRegularSeason20242025!$D$3:$D$1315, $A20)+SUMIFS(DataRegularSeason20242025!$AB$3:$AB$1315,DataRegularSeason20242025!$B$3:$B$1315, "&lt;=" &amp; FE$1, DataRegularSeason20242025!$E$3:$E$1315, $A20)</f>
        <v>10</v>
      </c>
      <c r="FF20">
        <f>SUMIFS(DataRegularSeason20242025!$AA$3:$AA$1315,DataRegularSeason20242025!$B$3:$B$1315, "&lt;=" &amp; FF$1, DataRegularSeason20242025!$D$3:$D$1315, $A20)+SUMIFS(DataRegularSeason20242025!$AB$3:$AB$1315,DataRegularSeason20242025!$B$3:$B$1315, "&lt;=" &amp; FF$1, DataRegularSeason20242025!$E$3:$E$1315, $A20)</f>
        <v>10</v>
      </c>
      <c r="FG20">
        <f>SUMIFS(DataRegularSeason20242025!$AA$3:$AA$1315,DataRegularSeason20242025!$B$3:$B$1315, "&lt;=" &amp; FG$1, DataRegularSeason20242025!$D$3:$D$1315, $A20)+SUMIFS(DataRegularSeason20242025!$AB$3:$AB$1315,DataRegularSeason20242025!$B$3:$B$1315, "&lt;=" &amp; FG$1, DataRegularSeason20242025!$E$3:$E$1315, $A20)</f>
        <v>10</v>
      </c>
      <c r="FH20">
        <f>SUMIFS(DataRegularSeason20242025!$AA$3:$AA$1315,DataRegularSeason20242025!$B$3:$B$1315, "&lt;=" &amp; FH$1, DataRegularSeason20242025!$D$3:$D$1315, $A20)+SUMIFS(DataRegularSeason20242025!$AB$3:$AB$1315,DataRegularSeason20242025!$B$3:$B$1315, "&lt;=" &amp; FH$1, DataRegularSeason20242025!$E$3:$E$1315, $A20)</f>
        <v>10</v>
      </c>
      <c r="FI20">
        <f>SUMIFS(DataRegularSeason20242025!$AA$3:$AA$1315,DataRegularSeason20242025!$B$3:$B$1315, "&lt;=" &amp; FI$1, DataRegularSeason20242025!$D$3:$D$1315, $A20)+SUMIFS(DataRegularSeason20242025!$AB$3:$AB$1315,DataRegularSeason20242025!$B$3:$B$1315, "&lt;=" &amp; FI$1, DataRegularSeason20242025!$E$3:$E$1315, $A20)</f>
        <v>10</v>
      </c>
      <c r="FJ20">
        <f>SUMIFS(DataRegularSeason20242025!$AA$3:$AA$1315,DataRegularSeason20242025!$B$3:$B$1315, "&lt;=" &amp; FJ$1, DataRegularSeason20242025!$D$3:$D$1315, $A20)+SUMIFS(DataRegularSeason20242025!$AB$3:$AB$1315,DataRegularSeason20242025!$B$3:$B$1315, "&lt;=" &amp; FJ$1, DataRegularSeason20242025!$E$3:$E$1315, $A20)</f>
        <v>10</v>
      </c>
      <c r="FK20">
        <f>SUMIFS(DataRegularSeason20242025!$AA$3:$AA$1315,DataRegularSeason20242025!$B$3:$B$1315, "&lt;=" &amp; FK$1, DataRegularSeason20242025!$D$3:$D$1315, $A20)+SUMIFS(DataRegularSeason20242025!$AB$3:$AB$1315,DataRegularSeason20242025!$B$3:$B$1315, "&lt;=" &amp; FK$1, DataRegularSeason20242025!$E$3:$E$1315, $A20)</f>
        <v>10</v>
      </c>
      <c r="FL20">
        <f>SUMIFS(DataRegularSeason20242025!$AA$3:$AA$1315,DataRegularSeason20242025!$B$3:$B$1315, "&lt;=" &amp; FL$1, DataRegularSeason20242025!$D$3:$D$1315, $A20)+SUMIFS(DataRegularSeason20242025!$AB$3:$AB$1315,DataRegularSeason20242025!$B$3:$B$1315, "&lt;=" &amp; FL$1, DataRegularSeason20242025!$E$3:$E$1315, $A20)</f>
        <v>10</v>
      </c>
      <c r="FM20">
        <f>SUMIFS(DataRegularSeason20242025!$AA$3:$AA$1315,DataRegularSeason20242025!$B$3:$B$1315, "&lt;=" &amp; FM$1, DataRegularSeason20242025!$D$3:$D$1315, $A20)+SUMIFS(DataRegularSeason20242025!$AB$3:$AB$1315,DataRegularSeason20242025!$B$3:$B$1315, "&lt;=" &amp; FM$1, DataRegularSeason20242025!$E$3:$E$1315, $A20)</f>
        <v>10</v>
      </c>
      <c r="FN20">
        <f>SUMIFS(DataRegularSeason20242025!$AA$3:$AA$1315,DataRegularSeason20242025!$B$3:$B$1315, "&lt;=" &amp; FN$1, DataRegularSeason20242025!$D$3:$D$1315, $A20)+SUMIFS(DataRegularSeason20242025!$AB$3:$AB$1315,DataRegularSeason20242025!$B$3:$B$1315, "&lt;=" &amp; FN$1, DataRegularSeason20242025!$E$3:$E$1315, $A20)</f>
        <v>10</v>
      </c>
      <c r="FO20">
        <f>SUMIFS(DataRegularSeason20242025!$AA$3:$AA$1315,DataRegularSeason20242025!$B$3:$B$1315, "&lt;=" &amp; FO$1, DataRegularSeason20242025!$D$3:$D$1315, $A20)+SUMIFS(DataRegularSeason20242025!$AB$3:$AB$1315,DataRegularSeason20242025!$B$3:$B$1315, "&lt;=" &amp; FO$1, DataRegularSeason20242025!$E$3:$E$1315, $A20)</f>
        <v>10</v>
      </c>
      <c r="FP20">
        <f>SUMIFS(DataRegularSeason20242025!$AA$3:$AA$1315,DataRegularSeason20242025!$B$3:$B$1315, "&lt;=" &amp; FP$1, DataRegularSeason20242025!$D$3:$D$1315, $A20)+SUMIFS(DataRegularSeason20242025!$AB$3:$AB$1315,DataRegularSeason20242025!$B$3:$B$1315, "&lt;=" &amp; FP$1, DataRegularSeason20242025!$E$3:$E$1315, $A20)</f>
        <v>10</v>
      </c>
      <c r="FQ20">
        <f>SUMIFS(DataRegularSeason20242025!$AA$3:$AA$1315,DataRegularSeason20242025!$B$3:$B$1315, "&lt;=" &amp; FQ$1, DataRegularSeason20242025!$D$3:$D$1315, $A20)+SUMIFS(DataRegularSeason20242025!$AB$3:$AB$1315,DataRegularSeason20242025!$B$3:$B$1315, "&lt;=" &amp; FQ$1, DataRegularSeason20242025!$E$3:$E$1315, $A20)</f>
        <v>10</v>
      </c>
      <c r="FR20">
        <f>SUMIFS(DataRegularSeason20242025!$AA$3:$AA$1315,DataRegularSeason20242025!$B$3:$B$1315, "&lt;=" &amp; FR$1, DataRegularSeason20242025!$D$3:$D$1315, $A20)+SUMIFS(DataRegularSeason20242025!$AB$3:$AB$1315,DataRegularSeason20242025!$B$3:$B$1315, "&lt;=" &amp; FR$1, DataRegularSeason20242025!$E$3:$E$1315, $A20)</f>
        <v>10</v>
      </c>
      <c r="FS20">
        <f>SUMIFS(DataRegularSeason20242025!$AA$3:$AA$1315,DataRegularSeason20242025!$B$3:$B$1315, "&lt;=" &amp; FS$1, DataRegularSeason20242025!$D$3:$D$1315, $A20)+SUMIFS(DataRegularSeason20242025!$AB$3:$AB$1315,DataRegularSeason20242025!$B$3:$B$1315, "&lt;=" &amp; FS$1, DataRegularSeason20242025!$E$3:$E$1315, $A20)</f>
        <v>10</v>
      </c>
      <c r="FT20">
        <f>SUMIFS(DataRegularSeason20242025!$AA$3:$AA$1315,DataRegularSeason20242025!$B$3:$B$1315, "&lt;=" &amp; FT$1, DataRegularSeason20242025!$D$3:$D$1315, $A20)+SUMIFS(DataRegularSeason20242025!$AB$3:$AB$1315,DataRegularSeason20242025!$B$3:$B$1315, "&lt;=" &amp; FT$1, DataRegularSeason20242025!$E$3:$E$1315, $A20)</f>
        <v>10</v>
      </c>
      <c r="FU20">
        <f>SUMIFS(DataRegularSeason20242025!$AA$3:$AA$1315,DataRegularSeason20242025!$B$3:$B$1315, "&lt;=" &amp; FU$1, DataRegularSeason20242025!$D$3:$D$1315, $A20)+SUMIFS(DataRegularSeason20242025!$AB$3:$AB$1315,DataRegularSeason20242025!$B$3:$B$1315, "&lt;=" &amp; FU$1, DataRegularSeason20242025!$E$3:$E$1315, $A20)</f>
        <v>10</v>
      </c>
      <c r="FV20">
        <f>SUMIFS(DataRegularSeason20242025!$AA$3:$AA$1315,DataRegularSeason20242025!$B$3:$B$1315, "&lt;=" &amp; FV$1, DataRegularSeason20242025!$D$3:$D$1315, $A20)+SUMIFS(DataRegularSeason20242025!$AB$3:$AB$1315,DataRegularSeason20242025!$B$3:$B$1315, "&lt;=" &amp; FV$1, DataRegularSeason20242025!$E$3:$E$1315, $A20)</f>
        <v>10</v>
      </c>
      <c r="FW20">
        <f>SUMIFS(DataRegularSeason20242025!$AA$3:$AA$1315,DataRegularSeason20242025!$B$3:$B$1315, "&lt;=" &amp; FW$1, DataRegularSeason20242025!$D$3:$D$1315, $A20)+SUMIFS(DataRegularSeason20242025!$AB$3:$AB$1315,DataRegularSeason20242025!$B$3:$B$1315, "&lt;=" &amp; FW$1, DataRegularSeason20242025!$E$3:$E$1315, $A20)</f>
        <v>10</v>
      </c>
      <c r="FX20">
        <f>SUMIFS(DataRegularSeason20242025!$AA$3:$AA$1315,DataRegularSeason20242025!$B$3:$B$1315, "&lt;=" &amp; FX$1, DataRegularSeason20242025!$D$3:$D$1315, $A20)+SUMIFS(DataRegularSeason20242025!$AB$3:$AB$1315,DataRegularSeason20242025!$B$3:$B$1315, "&lt;=" &amp; FX$1, DataRegularSeason20242025!$E$3:$E$1315, $A20)</f>
        <v>10</v>
      </c>
      <c r="FY20">
        <f>SUMIFS(DataRegularSeason20242025!$AA$3:$AA$1315,DataRegularSeason20242025!$B$3:$B$1315, "&lt;=" &amp; FY$1, DataRegularSeason20242025!$D$3:$D$1315, $A20)+SUMIFS(DataRegularSeason20242025!$AB$3:$AB$1315,DataRegularSeason20242025!$B$3:$B$1315, "&lt;=" &amp; FY$1, DataRegularSeason20242025!$E$3:$E$1315, $A20)</f>
        <v>10</v>
      </c>
      <c r="FZ20">
        <f>SUMIFS(DataRegularSeason20242025!$AA$3:$AA$1315,DataRegularSeason20242025!$B$3:$B$1315, "&lt;=" &amp; FZ$1, DataRegularSeason20242025!$D$3:$D$1315, $A20)+SUMIFS(DataRegularSeason20242025!$AB$3:$AB$1315,DataRegularSeason20242025!$B$3:$B$1315, "&lt;=" &amp; FZ$1, DataRegularSeason20242025!$E$3:$E$1315, $A20)</f>
        <v>10</v>
      </c>
      <c r="GA20">
        <f>SUMIFS(DataRegularSeason20242025!$AA$3:$AA$1315,DataRegularSeason20242025!$B$3:$B$1315, "&lt;=" &amp; GA$1, DataRegularSeason20242025!$D$3:$D$1315, $A20)+SUMIFS(DataRegularSeason20242025!$AB$3:$AB$1315,DataRegularSeason20242025!$B$3:$B$1315, "&lt;=" &amp; GA$1, DataRegularSeason20242025!$E$3:$E$1315, $A20)</f>
        <v>10</v>
      </c>
      <c r="GB20">
        <f>SUMIFS(DataRegularSeason20242025!$AA$3:$AA$1315,DataRegularSeason20242025!$B$3:$B$1315, "&lt;=" &amp; GB$1, DataRegularSeason20242025!$D$3:$D$1315, $A20)+SUMIFS(DataRegularSeason20242025!$AB$3:$AB$1315,DataRegularSeason20242025!$B$3:$B$1315, "&lt;=" &amp; GB$1, DataRegularSeason20242025!$E$3:$E$1315, $A20)</f>
        <v>10</v>
      </c>
      <c r="GC20">
        <f>SUMIFS(DataRegularSeason20242025!$AA$3:$AA$1315,DataRegularSeason20242025!$B$3:$B$1315, "&lt;=" &amp; GC$1, DataRegularSeason20242025!$D$3:$D$1315, $A20)+SUMIFS(DataRegularSeason20242025!$AB$3:$AB$1315,DataRegularSeason20242025!$B$3:$B$1315, "&lt;=" &amp; GC$1, DataRegularSeason20242025!$E$3:$E$1315, $A20)</f>
        <v>10</v>
      </c>
      <c r="GD20">
        <f>SUMIFS(DataRegularSeason20242025!$AA$3:$AA$1315,DataRegularSeason20242025!$B$3:$B$1315, "&lt;=" &amp; GD$1, DataRegularSeason20242025!$D$3:$D$1315, $A20)+SUMIFS(DataRegularSeason20242025!$AB$3:$AB$1315,DataRegularSeason20242025!$B$3:$B$1315, "&lt;=" &amp; GD$1, DataRegularSeason20242025!$E$3:$E$1315, $A20)</f>
        <v>10</v>
      </c>
      <c r="GE20">
        <f>SUMIFS(DataRegularSeason20242025!$AA$3:$AA$1315,DataRegularSeason20242025!$B$3:$B$1315, "&lt;=" &amp; GE$1, DataRegularSeason20242025!$D$3:$D$1315, $A20)+SUMIFS(DataRegularSeason20242025!$AB$3:$AB$1315,DataRegularSeason20242025!$B$3:$B$1315, "&lt;=" &amp; GE$1, DataRegularSeason20242025!$E$3:$E$1315, $A20)</f>
        <v>10</v>
      </c>
      <c r="GF20">
        <f>SUMIFS(DataRegularSeason20242025!$AA$3:$AA$1315,DataRegularSeason20242025!$B$3:$B$1315, "&lt;=" &amp; GF$1, DataRegularSeason20242025!$D$3:$D$1315, $A20)+SUMIFS(DataRegularSeason20242025!$AB$3:$AB$1315,DataRegularSeason20242025!$B$3:$B$1315, "&lt;=" &amp; GF$1, DataRegularSeason20242025!$E$3:$E$1315, $A20)</f>
        <v>10</v>
      </c>
      <c r="GG20">
        <f>SUMIFS(DataRegularSeason20242025!$AA$3:$AA$1315,DataRegularSeason20242025!$B$3:$B$1315, "&lt;=" &amp; GG$1, DataRegularSeason20242025!$D$3:$D$1315, $A20)+SUMIFS(DataRegularSeason20242025!$AB$3:$AB$1315,DataRegularSeason20242025!$B$3:$B$1315, "&lt;=" &amp; GG$1, DataRegularSeason20242025!$E$3:$E$1315, $A20)</f>
        <v>10</v>
      </c>
      <c r="GH20">
        <f>SUMIFS(DataRegularSeason20242025!$AA$3:$AA$1315,DataRegularSeason20242025!$B$3:$B$1315, "&lt;=" &amp; GH$1, DataRegularSeason20242025!$D$3:$D$1315, $A20)+SUMIFS(DataRegularSeason20242025!$AB$3:$AB$1315,DataRegularSeason20242025!$B$3:$B$1315, "&lt;=" &amp; GH$1, DataRegularSeason20242025!$E$3:$E$1315, $A20)</f>
        <v>10</v>
      </c>
      <c r="GI20">
        <f>SUMIFS(DataRegularSeason20242025!$AA$3:$AA$1315,DataRegularSeason20242025!$B$3:$B$1315, "&lt;=" &amp; GI$1, DataRegularSeason20242025!$D$3:$D$1315, $A20)+SUMIFS(DataRegularSeason20242025!$AB$3:$AB$1315,DataRegularSeason20242025!$B$3:$B$1315, "&lt;=" &amp; GI$1, DataRegularSeason20242025!$E$3:$E$1315, $A20)</f>
        <v>10</v>
      </c>
      <c r="GJ20">
        <f>SUMIFS(DataRegularSeason20242025!$AA$3:$AA$1315,DataRegularSeason20242025!$B$3:$B$1315, "&lt;=" &amp; GJ$1, DataRegularSeason20242025!$D$3:$D$1315, $A20)+SUMIFS(DataRegularSeason20242025!$AB$3:$AB$1315,DataRegularSeason20242025!$B$3:$B$1315, "&lt;=" &amp; GJ$1, DataRegularSeason20242025!$E$3:$E$1315, $A20)</f>
        <v>10</v>
      </c>
      <c r="GK20">
        <f>SUMIFS(DataRegularSeason20242025!$AA$3:$AA$1315,DataRegularSeason20242025!$B$3:$B$1315, "&lt;=" &amp; GK$1, DataRegularSeason20242025!$D$3:$D$1315, $A20)+SUMIFS(DataRegularSeason20242025!$AB$3:$AB$1315,DataRegularSeason20242025!$B$3:$B$1315, "&lt;=" &amp; GK$1, DataRegularSeason20242025!$E$3:$E$1315, $A20)</f>
        <v>10</v>
      </c>
      <c r="GL20">
        <f>SUMIFS(DataRegularSeason20242025!$AA$3:$AA$1315,DataRegularSeason20242025!$B$3:$B$1315, "&lt;=" &amp; GL$1, DataRegularSeason20242025!$D$3:$D$1315, $A20)+SUMIFS(DataRegularSeason20242025!$AB$3:$AB$1315,DataRegularSeason20242025!$B$3:$B$1315, "&lt;=" &amp; GL$1, DataRegularSeason20242025!$E$3:$E$1315, $A20)</f>
        <v>10</v>
      </c>
      <c r="GM20">
        <f>SUMIFS(DataRegularSeason20242025!$AA$3:$AA$1315,DataRegularSeason20242025!$B$3:$B$1315, "&lt;=" &amp; GM$1, DataRegularSeason20242025!$D$3:$D$1315, $A20)+SUMIFS(DataRegularSeason20242025!$AB$3:$AB$1315,DataRegularSeason20242025!$B$3:$B$1315, "&lt;=" &amp; GM$1, DataRegularSeason20242025!$E$3:$E$1315, $A20)</f>
        <v>10</v>
      </c>
      <c r="GN20">
        <f>SUMIFS(DataRegularSeason20242025!$AA$3:$AA$1315,DataRegularSeason20242025!$B$3:$B$1315, "&lt;=" &amp; GN$1, DataRegularSeason20242025!$D$3:$D$1315, $A20)+SUMIFS(DataRegularSeason20242025!$AB$3:$AB$1315,DataRegularSeason20242025!$B$3:$B$1315, "&lt;=" &amp; GN$1, DataRegularSeason20242025!$E$3:$E$1315, $A20)</f>
        <v>10</v>
      </c>
      <c r="GO20">
        <f>SUMIFS(DataRegularSeason20242025!$AA$3:$AA$1315,DataRegularSeason20242025!$B$3:$B$1315, "&lt;=" &amp; GO$1, DataRegularSeason20242025!$D$3:$D$1315, $A20)+SUMIFS(DataRegularSeason20242025!$AB$3:$AB$1315,DataRegularSeason20242025!$B$3:$B$1315, "&lt;=" &amp; GO$1, DataRegularSeason20242025!$E$3:$E$1315, $A20)</f>
        <v>10</v>
      </c>
      <c r="GP20">
        <f>SUMIFS(DataRegularSeason20242025!$AA$3:$AA$1315,DataRegularSeason20242025!$B$3:$B$1315, "&lt;=" &amp; GP$1, DataRegularSeason20242025!$D$3:$D$1315, $A20)+SUMIFS(DataRegularSeason20242025!$AB$3:$AB$1315,DataRegularSeason20242025!$B$3:$B$1315, "&lt;=" &amp; GP$1, DataRegularSeason20242025!$E$3:$E$1315, $A20)</f>
        <v>10</v>
      </c>
      <c r="GQ20">
        <f>SUMIFS(DataRegularSeason20242025!$AA$3:$AA$1315,DataRegularSeason20242025!$B$3:$B$1315, "&lt;=" &amp; GQ$1, DataRegularSeason20242025!$D$3:$D$1315, $A20)+SUMIFS(DataRegularSeason20242025!$AB$3:$AB$1315,DataRegularSeason20242025!$B$3:$B$1315, "&lt;=" &amp; GQ$1, DataRegularSeason20242025!$E$3:$E$1315, $A20)</f>
        <v>10</v>
      </c>
      <c r="GR20">
        <f>SUMIFS(DataRegularSeason20242025!$AA$3:$AA$1315,DataRegularSeason20242025!$B$3:$B$1315, "&lt;=" &amp; GR$1, DataRegularSeason20242025!$D$3:$D$1315, $A20)+SUMIFS(DataRegularSeason20242025!$AB$3:$AB$1315,DataRegularSeason20242025!$B$3:$B$1315, "&lt;=" &amp; GR$1, DataRegularSeason20242025!$E$3:$E$1315, $A20)</f>
        <v>10</v>
      </c>
      <c r="GS20">
        <f>SUMIFS(DataRegularSeason20242025!$AA$3:$AA$1315,DataRegularSeason20242025!$B$3:$B$1315, "&lt;=" &amp; GS$1, DataRegularSeason20242025!$D$3:$D$1315, $A20)+SUMIFS(DataRegularSeason20242025!$AB$3:$AB$1315,DataRegularSeason20242025!$B$3:$B$1315, "&lt;=" &amp; GS$1, DataRegularSeason20242025!$E$3:$E$1315, $A20)</f>
        <v>10</v>
      </c>
      <c r="GT20">
        <f>SUMIFS(DataRegularSeason20242025!$AA$3:$AA$1315,DataRegularSeason20242025!$B$3:$B$1315, "&lt;=" &amp; GT$1, DataRegularSeason20242025!$D$3:$D$1315, $A20)+SUMIFS(DataRegularSeason20242025!$AB$3:$AB$1315,DataRegularSeason20242025!$B$3:$B$1315, "&lt;=" &amp; GT$1, DataRegularSeason20242025!$E$3:$E$1315, $A20)</f>
        <v>10</v>
      </c>
      <c r="GU20">
        <f>SUMIFS(DataRegularSeason20242025!$AA$3:$AA$1315,DataRegularSeason20242025!$B$3:$B$1315, "&lt;=" &amp; GU$1, DataRegularSeason20242025!$D$3:$D$1315, $A20)+SUMIFS(DataRegularSeason20242025!$AB$3:$AB$1315,DataRegularSeason20242025!$B$3:$B$1315, "&lt;=" &amp; GU$1, DataRegularSeason20242025!$E$3:$E$1315, $A20)</f>
        <v>10</v>
      </c>
    </row>
    <row r="21" spans="1:203" x14ac:dyDescent="0.25">
      <c r="A21" t="s">
        <v>16</v>
      </c>
      <c r="B21" t="s">
        <v>90</v>
      </c>
      <c r="C21" s="107" t="s">
        <v>88</v>
      </c>
      <c r="D21">
        <f>SUMIFS(DataRegularSeason20242025!$AA$3:$AA$1315,DataRegularSeason20242025!$B$3:$B$1315, "&lt;=" &amp; D$1, DataRegularSeason20242025!$D$3:$D$1315, $A21)+SUMIFS(DataRegularSeason20242025!$AB$3:$AB$1315,DataRegularSeason20242025!$B$3:$B$1315, "&lt;=" &amp; D$1, DataRegularSeason20242025!$E$3:$E$1315, $A21)</f>
        <v>0</v>
      </c>
      <c r="E21">
        <f>SUMIFS(DataRegularSeason20242025!$AA$3:$AA$1315,DataRegularSeason20242025!$B$3:$B$1315, "&lt;=" &amp; E$1, DataRegularSeason20242025!$D$3:$D$1315, $A21)+SUMIFS(DataRegularSeason20242025!$AB$3:$AB$1315,DataRegularSeason20242025!$B$3:$B$1315, "&lt;=" &amp; E$1, DataRegularSeason20242025!$E$3:$E$1315, $A21)</f>
        <v>0</v>
      </c>
      <c r="F21">
        <f>SUMIFS(DataRegularSeason20242025!$AA$3:$AA$1315,DataRegularSeason20242025!$B$3:$B$1315, "&lt;=" &amp; F$1, DataRegularSeason20242025!$D$3:$D$1315, $A21)+SUMIFS(DataRegularSeason20242025!$AB$3:$AB$1315,DataRegularSeason20242025!$B$3:$B$1315, "&lt;=" &amp; F$1, DataRegularSeason20242025!$E$3:$E$1315, $A21)</f>
        <v>0</v>
      </c>
      <c r="G21">
        <f>SUMIFS(DataRegularSeason20242025!$AA$3:$AA$1315,DataRegularSeason20242025!$B$3:$B$1315, "&lt;=" &amp; G$1, DataRegularSeason20242025!$D$3:$D$1315, $A21)+SUMIFS(DataRegularSeason20242025!$AB$3:$AB$1315,DataRegularSeason20242025!$B$3:$B$1315, "&lt;=" &amp; G$1, DataRegularSeason20242025!$E$3:$E$1315, $A21)</f>
        <v>0</v>
      </c>
      <c r="H21">
        <f>SUMIFS(DataRegularSeason20242025!$AA$3:$AA$1315,DataRegularSeason20242025!$B$3:$B$1315, "&lt;=" &amp; H$1, DataRegularSeason20242025!$D$3:$D$1315, $A21)+SUMIFS(DataRegularSeason20242025!$AB$3:$AB$1315,DataRegularSeason20242025!$B$3:$B$1315, "&lt;=" &amp; H$1, DataRegularSeason20242025!$E$3:$E$1315, $A21)</f>
        <v>0</v>
      </c>
      <c r="I21">
        <f>SUMIFS(DataRegularSeason20242025!$AA$3:$AA$1315,DataRegularSeason20242025!$B$3:$B$1315, "&lt;=" &amp; I$1, DataRegularSeason20242025!$D$3:$D$1315, $A21)+SUMIFS(DataRegularSeason20242025!$AB$3:$AB$1315,DataRegularSeason20242025!$B$3:$B$1315, "&lt;=" &amp; I$1, DataRegularSeason20242025!$E$3:$E$1315, $A21)</f>
        <v>0</v>
      </c>
      <c r="J21">
        <f>SUMIFS(DataRegularSeason20242025!$AA$3:$AA$1315,DataRegularSeason20242025!$B$3:$B$1315, "&lt;=" &amp; J$1, DataRegularSeason20242025!$D$3:$D$1315, $A21)+SUMIFS(DataRegularSeason20242025!$AB$3:$AB$1315,DataRegularSeason20242025!$B$3:$B$1315, "&lt;=" &amp; J$1, DataRegularSeason20242025!$E$3:$E$1315, $A21)</f>
        <v>1</v>
      </c>
      <c r="K21">
        <f>SUMIFS(DataRegularSeason20242025!$AA$3:$AA$1315,DataRegularSeason20242025!$B$3:$B$1315, "&lt;=" &amp; K$1, DataRegularSeason20242025!$D$3:$D$1315, $A21)+SUMIFS(DataRegularSeason20242025!$AB$3:$AB$1315,DataRegularSeason20242025!$B$3:$B$1315, "&lt;=" &amp; K$1, DataRegularSeason20242025!$E$3:$E$1315, $A21)</f>
        <v>1</v>
      </c>
      <c r="L21">
        <f>SUMIFS(DataRegularSeason20242025!$AA$3:$AA$1315,DataRegularSeason20242025!$B$3:$B$1315, "&lt;=" &amp; L$1, DataRegularSeason20242025!$D$3:$D$1315, $A21)+SUMIFS(DataRegularSeason20242025!$AB$3:$AB$1315,DataRegularSeason20242025!$B$3:$B$1315, "&lt;=" &amp; L$1, DataRegularSeason20242025!$E$3:$E$1315, $A21)</f>
        <v>1</v>
      </c>
      <c r="M21">
        <f>SUMIFS(DataRegularSeason20242025!$AA$3:$AA$1315,DataRegularSeason20242025!$B$3:$B$1315, "&lt;=" &amp; M$1, DataRegularSeason20242025!$D$3:$D$1315, $A21)+SUMIFS(DataRegularSeason20242025!$AB$3:$AB$1315,DataRegularSeason20242025!$B$3:$B$1315, "&lt;=" &amp; M$1, DataRegularSeason20242025!$E$3:$E$1315, $A21)</f>
        <v>1</v>
      </c>
      <c r="N21">
        <f>SUMIFS(DataRegularSeason20242025!$AA$3:$AA$1315,DataRegularSeason20242025!$B$3:$B$1315, "&lt;=" &amp; N$1, DataRegularSeason20242025!$D$3:$D$1315, $A21)+SUMIFS(DataRegularSeason20242025!$AB$3:$AB$1315,DataRegularSeason20242025!$B$3:$B$1315, "&lt;=" &amp; N$1, DataRegularSeason20242025!$E$3:$E$1315, $A21)</f>
        <v>3</v>
      </c>
      <c r="O21">
        <f>SUMIFS(DataRegularSeason20242025!$AA$3:$AA$1315,DataRegularSeason20242025!$B$3:$B$1315, "&lt;=" &amp; O$1, DataRegularSeason20242025!$D$3:$D$1315, $A21)+SUMIFS(DataRegularSeason20242025!$AB$3:$AB$1315,DataRegularSeason20242025!$B$3:$B$1315, "&lt;=" &amp; O$1, DataRegularSeason20242025!$E$3:$E$1315, $A21)</f>
        <v>3</v>
      </c>
      <c r="P21">
        <f>SUMIFS(DataRegularSeason20242025!$AA$3:$AA$1315,DataRegularSeason20242025!$B$3:$B$1315, "&lt;=" &amp; P$1, DataRegularSeason20242025!$D$3:$D$1315, $A21)+SUMIFS(DataRegularSeason20242025!$AB$3:$AB$1315,DataRegularSeason20242025!$B$3:$B$1315, "&lt;=" &amp; P$1, DataRegularSeason20242025!$E$3:$E$1315, $A21)</f>
        <v>5</v>
      </c>
      <c r="Q21">
        <f>SUMIFS(DataRegularSeason20242025!$AA$3:$AA$1315,DataRegularSeason20242025!$B$3:$B$1315, "&lt;=" &amp; Q$1, DataRegularSeason20242025!$D$3:$D$1315, $A21)+SUMIFS(DataRegularSeason20242025!$AB$3:$AB$1315,DataRegularSeason20242025!$B$3:$B$1315, "&lt;=" &amp; Q$1, DataRegularSeason20242025!$E$3:$E$1315, $A21)</f>
        <v>5</v>
      </c>
      <c r="R21">
        <f>SUMIFS(DataRegularSeason20242025!$AA$3:$AA$1315,DataRegularSeason20242025!$B$3:$B$1315, "&lt;=" &amp; R$1, DataRegularSeason20242025!$D$3:$D$1315, $A21)+SUMIFS(DataRegularSeason20242025!$AB$3:$AB$1315,DataRegularSeason20242025!$B$3:$B$1315, "&lt;=" &amp; R$1, DataRegularSeason20242025!$E$3:$E$1315, $A21)</f>
        <v>6</v>
      </c>
      <c r="S21">
        <f>SUMIFS(DataRegularSeason20242025!$AA$3:$AA$1315,DataRegularSeason20242025!$B$3:$B$1315, "&lt;=" &amp; S$1, DataRegularSeason20242025!$D$3:$D$1315, $A21)+SUMIFS(DataRegularSeason20242025!$AB$3:$AB$1315,DataRegularSeason20242025!$B$3:$B$1315, "&lt;=" &amp; S$1, DataRegularSeason20242025!$E$3:$E$1315, $A21)</f>
        <v>6</v>
      </c>
      <c r="T21">
        <f>SUMIFS(DataRegularSeason20242025!$AA$3:$AA$1315,DataRegularSeason20242025!$B$3:$B$1315, "&lt;=" &amp; T$1, DataRegularSeason20242025!$D$3:$D$1315, $A21)+SUMIFS(DataRegularSeason20242025!$AB$3:$AB$1315,DataRegularSeason20242025!$B$3:$B$1315, "&lt;=" &amp; T$1, DataRegularSeason20242025!$E$3:$E$1315, $A21)</f>
        <v>8</v>
      </c>
      <c r="U21">
        <f>SUMIFS(DataRegularSeason20242025!$AA$3:$AA$1315,DataRegularSeason20242025!$B$3:$B$1315, "&lt;=" &amp; U$1, DataRegularSeason20242025!$D$3:$D$1315, $A21)+SUMIFS(DataRegularSeason20242025!$AB$3:$AB$1315,DataRegularSeason20242025!$B$3:$B$1315, "&lt;=" &amp; U$1, DataRegularSeason20242025!$E$3:$E$1315, $A21)</f>
        <v>8</v>
      </c>
      <c r="V21">
        <f>SUMIFS(DataRegularSeason20242025!$AA$3:$AA$1315,DataRegularSeason20242025!$B$3:$B$1315, "&lt;=" &amp; V$1, DataRegularSeason20242025!$D$3:$D$1315, $A21)+SUMIFS(DataRegularSeason20242025!$AB$3:$AB$1315,DataRegularSeason20242025!$B$3:$B$1315, "&lt;=" &amp; V$1, DataRegularSeason20242025!$E$3:$E$1315, $A21)</f>
        <v>8</v>
      </c>
      <c r="W21">
        <f>SUMIFS(DataRegularSeason20242025!$AA$3:$AA$1315,DataRegularSeason20242025!$B$3:$B$1315, "&lt;=" &amp; W$1, DataRegularSeason20242025!$D$3:$D$1315, $A21)+SUMIFS(DataRegularSeason20242025!$AB$3:$AB$1315,DataRegularSeason20242025!$B$3:$B$1315, "&lt;=" &amp; W$1, DataRegularSeason20242025!$E$3:$E$1315, $A21)</f>
        <v>8</v>
      </c>
      <c r="X21">
        <f>SUMIFS(DataRegularSeason20242025!$AA$3:$AA$1315,DataRegularSeason20242025!$B$3:$B$1315, "&lt;=" &amp; X$1, DataRegularSeason20242025!$D$3:$D$1315, $A21)+SUMIFS(DataRegularSeason20242025!$AB$3:$AB$1315,DataRegularSeason20242025!$B$3:$B$1315, "&lt;=" &amp; X$1, DataRegularSeason20242025!$E$3:$E$1315, $A21)</f>
        <v>8</v>
      </c>
      <c r="Y21">
        <f>SUMIFS(DataRegularSeason20242025!$AA$3:$AA$1315,DataRegularSeason20242025!$B$3:$B$1315, "&lt;=" &amp; Y$1, DataRegularSeason20242025!$D$3:$D$1315, $A21)+SUMIFS(DataRegularSeason20242025!$AB$3:$AB$1315,DataRegularSeason20242025!$B$3:$B$1315, "&lt;=" &amp; Y$1, DataRegularSeason20242025!$E$3:$E$1315, $A21)</f>
        <v>8</v>
      </c>
      <c r="Z21">
        <f>SUMIFS(DataRegularSeason20242025!$AA$3:$AA$1315,DataRegularSeason20242025!$B$3:$B$1315, "&lt;=" &amp; Z$1, DataRegularSeason20242025!$D$3:$D$1315, $A21)+SUMIFS(DataRegularSeason20242025!$AB$3:$AB$1315,DataRegularSeason20242025!$B$3:$B$1315, "&lt;=" &amp; Z$1, DataRegularSeason20242025!$E$3:$E$1315, $A21)</f>
        <v>8</v>
      </c>
      <c r="AA21">
        <f>SUMIFS(DataRegularSeason20242025!$AA$3:$AA$1315,DataRegularSeason20242025!$B$3:$B$1315, "&lt;=" &amp; AA$1, DataRegularSeason20242025!$D$3:$D$1315, $A21)+SUMIFS(DataRegularSeason20242025!$AB$3:$AB$1315,DataRegularSeason20242025!$B$3:$B$1315, "&lt;=" &amp; AA$1, DataRegularSeason20242025!$E$3:$E$1315, $A21)</f>
        <v>8</v>
      </c>
      <c r="AB21">
        <f>SUMIFS(DataRegularSeason20242025!$AA$3:$AA$1315,DataRegularSeason20242025!$B$3:$B$1315, "&lt;=" &amp; AB$1, DataRegularSeason20242025!$D$3:$D$1315, $A21)+SUMIFS(DataRegularSeason20242025!$AB$3:$AB$1315,DataRegularSeason20242025!$B$3:$B$1315, "&lt;=" &amp; AB$1, DataRegularSeason20242025!$E$3:$E$1315, $A21)</f>
        <v>8</v>
      </c>
      <c r="AC21">
        <f>SUMIFS(DataRegularSeason20242025!$AA$3:$AA$1315,DataRegularSeason20242025!$B$3:$B$1315, "&lt;=" &amp; AC$1, DataRegularSeason20242025!$D$3:$D$1315, $A21)+SUMIFS(DataRegularSeason20242025!$AB$3:$AB$1315,DataRegularSeason20242025!$B$3:$B$1315, "&lt;=" &amp; AC$1, DataRegularSeason20242025!$E$3:$E$1315, $A21)</f>
        <v>8</v>
      </c>
      <c r="AD21">
        <f>SUMIFS(DataRegularSeason20242025!$AA$3:$AA$1315,DataRegularSeason20242025!$B$3:$B$1315, "&lt;=" &amp; AD$1, DataRegularSeason20242025!$D$3:$D$1315, $A21)+SUMIFS(DataRegularSeason20242025!$AB$3:$AB$1315,DataRegularSeason20242025!$B$3:$B$1315, "&lt;=" &amp; AD$1, DataRegularSeason20242025!$E$3:$E$1315, $A21)</f>
        <v>8</v>
      </c>
      <c r="AE21">
        <f>SUMIFS(DataRegularSeason20242025!$AA$3:$AA$1315,DataRegularSeason20242025!$B$3:$B$1315, "&lt;=" &amp; AE$1, DataRegularSeason20242025!$D$3:$D$1315, $A21)+SUMIFS(DataRegularSeason20242025!$AB$3:$AB$1315,DataRegularSeason20242025!$B$3:$B$1315, "&lt;=" &amp; AE$1, DataRegularSeason20242025!$E$3:$E$1315, $A21)</f>
        <v>8</v>
      </c>
      <c r="AF21">
        <f>SUMIFS(DataRegularSeason20242025!$AA$3:$AA$1315,DataRegularSeason20242025!$B$3:$B$1315, "&lt;=" &amp; AF$1, DataRegularSeason20242025!$D$3:$D$1315, $A21)+SUMIFS(DataRegularSeason20242025!$AB$3:$AB$1315,DataRegularSeason20242025!$B$3:$B$1315, "&lt;=" &amp; AF$1, DataRegularSeason20242025!$E$3:$E$1315, $A21)</f>
        <v>8</v>
      </c>
      <c r="AG21">
        <f>SUMIFS(DataRegularSeason20242025!$AA$3:$AA$1315,DataRegularSeason20242025!$B$3:$B$1315, "&lt;=" &amp; AG$1, DataRegularSeason20242025!$D$3:$D$1315, $A21)+SUMIFS(DataRegularSeason20242025!$AB$3:$AB$1315,DataRegularSeason20242025!$B$3:$B$1315, "&lt;=" &amp; AG$1, DataRegularSeason20242025!$E$3:$E$1315, $A21)</f>
        <v>8</v>
      </c>
      <c r="AH21">
        <f>SUMIFS(DataRegularSeason20242025!$AA$3:$AA$1315,DataRegularSeason20242025!$B$3:$B$1315, "&lt;=" &amp; AH$1, DataRegularSeason20242025!$D$3:$D$1315, $A21)+SUMIFS(DataRegularSeason20242025!$AB$3:$AB$1315,DataRegularSeason20242025!$B$3:$B$1315, "&lt;=" &amp; AH$1, DataRegularSeason20242025!$E$3:$E$1315, $A21)</f>
        <v>8</v>
      </c>
      <c r="AI21">
        <f>SUMIFS(DataRegularSeason20242025!$AA$3:$AA$1315,DataRegularSeason20242025!$B$3:$B$1315, "&lt;=" &amp; AI$1, DataRegularSeason20242025!$D$3:$D$1315, $A21)+SUMIFS(DataRegularSeason20242025!$AB$3:$AB$1315,DataRegularSeason20242025!$B$3:$B$1315, "&lt;=" &amp; AI$1, DataRegularSeason20242025!$E$3:$E$1315, $A21)</f>
        <v>8</v>
      </c>
      <c r="AJ21">
        <f>SUMIFS(DataRegularSeason20242025!$AA$3:$AA$1315,DataRegularSeason20242025!$B$3:$B$1315, "&lt;=" &amp; AJ$1, DataRegularSeason20242025!$D$3:$D$1315, $A21)+SUMIFS(DataRegularSeason20242025!$AB$3:$AB$1315,DataRegularSeason20242025!$B$3:$B$1315, "&lt;=" &amp; AJ$1, DataRegularSeason20242025!$E$3:$E$1315, $A21)</f>
        <v>8</v>
      </c>
      <c r="AK21">
        <f>SUMIFS(DataRegularSeason20242025!$AA$3:$AA$1315,DataRegularSeason20242025!$B$3:$B$1315, "&lt;=" &amp; AK$1, DataRegularSeason20242025!$D$3:$D$1315, $A21)+SUMIFS(DataRegularSeason20242025!$AB$3:$AB$1315,DataRegularSeason20242025!$B$3:$B$1315, "&lt;=" &amp; AK$1, DataRegularSeason20242025!$E$3:$E$1315, $A21)</f>
        <v>8</v>
      </c>
      <c r="AL21">
        <f>SUMIFS(DataRegularSeason20242025!$AA$3:$AA$1315,DataRegularSeason20242025!$B$3:$B$1315, "&lt;=" &amp; AL$1, DataRegularSeason20242025!$D$3:$D$1315, $A21)+SUMIFS(DataRegularSeason20242025!$AB$3:$AB$1315,DataRegularSeason20242025!$B$3:$B$1315, "&lt;=" &amp; AL$1, DataRegularSeason20242025!$E$3:$E$1315, $A21)</f>
        <v>8</v>
      </c>
      <c r="AM21">
        <f>SUMIFS(DataRegularSeason20242025!$AA$3:$AA$1315,DataRegularSeason20242025!$B$3:$B$1315, "&lt;=" &amp; AM$1, DataRegularSeason20242025!$D$3:$D$1315, $A21)+SUMIFS(DataRegularSeason20242025!$AB$3:$AB$1315,DataRegularSeason20242025!$B$3:$B$1315, "&lt;=" &amp; AM$1, DataRegularSeason20242025!$E$3:$E$1315, $A21)</f>
        <v>8</v>
      </c>
      <c r="AN21">
        <f>SUMIFS(DataRegularSeason20242025!$AA$3:$AA$1315,DataRegularSeason20242025!$B$3:$B$1315, "&lt;=" &amp; AN$1, DataRegularSeason20242025!$D$3:$D$1315, $A21)+SUMIFS(DataRegularSeason20242025!$AB$3:$AB$1315,DataRegularSeason20242025!$B$3:$B$1315, "&lt;=" &amp; AN$1, DataRegularSeason20242025!$E$3:$E$1315, $A21)</f>
        <v>8</v>
      </c>
      <c r="AO21">
        <f>SUMIFS(DataRegularSeason20242025!$AA$3:$AA$1315,DataRegularSeason20242025!$B$3:$B$1315, "&lt;=" &amp; AO$1, DataRegularSeason20242025!$D$3:$D$1315, $A21)+SUMIFS(DataRegularSeason20242025!$AB$3:$AB$1315,DataRegularSeason20242025!$B$3:$B$1315, "&lt;=" &amp; AO$1, DataRegularSeason20242025!$E$3:$E$1315, $A21)</f>
        <v>8</v>
      </c>
      <c r="AP21">
        <f>SUMIFS(DataRegularSeason20242025!$AA$3:$AA$1315,DataRegularSeason20242025!$B$3:$B$1315, "&lt;=" &amp; AP$1, DataRegularSeason20242025!$D$3:$D$1315, $A21)+SUMIFS(DataRegularSeason20242025!$AB$3:$AB$1315,DataRegularSeason20242025!$B$3:$B$1315, "&lt;=" &amp; AP$1, DataRegularSeason20242025!$E$3:$E$1315, $A21)</f>
        <v>8</v>
      </c>
      <c r="AQ21">
        <f>SUMIFS(DataRegularSeason20242025!$AA$3:$AA$1315,DataRegularSeason20242025!$B$3:$B$1315, "&lt;=" &amp; AQ$1, DataRegularSeason20242025!$D$3:$D$1315, $A21)+SUMIFS(DataRegularSeason20242025!$AB$3:$AB$1315,DataRegularSeason20242025!$B$3:$B$1315, "&lt;=" &amp; AQ$1, DataRegularSeason20242025!$E$3:$E$1315, $A21)</f>
        <v>8</v>
      </c>
      <c r="AR21">
        <f>SUMIFS(DataRegularSeason20242025!$AA$3:$AA$1315,DataRegularSeason20242025!$B$3:$B$1315, "&lt;=" &amp; AR$1, DataRegularSeason20242025!$D$3:$D$1315, $A21)+SUMIFS(DataRegularSeason20242025!$AB$3:$AB$1315,DataRegularSeason20242025!$B$3:$B$1315, "&lt;=" &amp; AR$1, DataRegularSeason20242025!$E$3:$E$1315, $A21)</f>
        <v>8</v>
      </c>
      <c r="AS21">
        <f>SUMIFS(DataRegularSeason20242025!$AA$3:$AA$1315,DataRegularSeason20242025!$B$3:$B$1315, "&lt;=" &amp; AS$1, DataRegularSeason20242025!$D$3:$D$1315, $A21)+SUMIFS(DataRegularSeason20242025!$AB$3:$AB$1315,DataRegularSeason20242025!$B$3:$B$1315, "&lt;=" &amp; AS$1, DataRegularSeason20242025!$E$3:$E$1315, $A21)</f>
        <v>8</v>
      </c>
      <c r="AT21">
        <f>SUMIFS(DataRegularSeason20242025!$AA$3:$AA$1315,DataRegularSeason20242025!$B$3:$B$1315, "&lt;=" &amp; AT$1, DataRegularSeason20242025!$D$3:$D$1315, $A21)+SUMIFS(DataRegularSeason20242025!$AB$3:$AB$1315,DataRegularSeason20242025!$B$3:$B$1315, "&lt;=" &amp; AT$1, DataRegularSeason20242025!$E$3:$E$1315, $A21)</f>
        <v>8</v>
      </c>
      <c r="AU21">
        <f>SUMIFS(DataRegularSeason20242025!$AA$3:$AA$1315,DataRegularSeason20242025!$B$3:$B$1315, "&lt;=" &amp; AU$1, DataRegularSeason20242025!$D$3:$D$1315, $A21)+SUMIFS(DataRegularSeason20242025!$AB$3:$AB$1315,DataRegularSeason20242025!$B$3:$B$1315, "&lt;=" &amp; AU$1, DataRegularSeason20242025!$E$3:$E$1315, $A21)</f>
        <v>8</v>
      </c>
      <c r="AV21">
        <f>SUMIFS(DataRegularSeason20242025!$AA$3:$AA$1315,DataRegularSeason20242025!$B$3:$B$1315, "&lt;=" &amp; AV$1, DataRegularSeason20242025!$D$3:$D$1315, $A21)+SUMIFS(DataRegularSeason20242025!$AB$3:$AB$1315,DataRegularSeason20242025!$B$3:$B$1315, "&lt;=" &amp; AV$1, DataRegularSeason20242025!$E$3:$E$1315, $A21)</f>
        <v>8</v>
      </c>
      <c r="AW21">
        <f>SUMIFS(DataRegularSeason20242025!$AA$3:$AA$1315,DataRegularSeason20242025!$B$3:$B$1315, "&lt;=" &amp; AW$1, DataRegularSeason20242025!$D$3:$D$1315, $A21)+SUMIFS(DataRegularSeason20242025!$AB$3:$AB$1315,DataRegularSeason20242025!$B$3:$B$1315, "&lt;=" &amp; AW$1, DataRegularSeason20242025!$E$3:$E$1315, $A21)</f>
        <v>8</v>
      </c>
      <c r="AX21">
        <f>SUMIFS(DataRegularSeason20242025!$AA$3:$AA$1315,DataRegularSeason20242025!$B$3:$B$1315, "&lt;=" &amp; AX$1, DataRegularSeason20242025!$D$3:$D$1315, $A21)+SUMIFS(DataRegularSeason20242025!$AB$3:$AB$1315,DataRegularSeason20242025!$B$3:$B$1315, "&lt;=" &amp; AX$1, DataRegularSeason20242025!$E$3:$E$1315, $A21)</f>
        <v>8</v>
      </c>
      <c r="AY21">
        <f>SUMIFS(DataRegularSeason20242025!$AA$3:$AA$1315,DataRegularSeason20242025!$B$3:$B$1315, "&lt;=" &amp; AY$1, DataRegularSeason20242025!$D$3:$D$1315, $A21)+SUMIFS(DataRegularSeason20242025!$AB$3:$AB$1315,DataRegularSeason20242025!$B$3:$B$1315, "&lt;=" &amp; AY$1, DataRegularSeason20242025!$E$3:$E$1315, $A21)</f>
        <v>8</v>
      </c>
      <c r="AZ21">
        <f>SUMIFS(DataRegularSeason20242025!$AA$3:$AA$1315,DataRegularSeason20242025!$B$3:$B$1315, "&lt;=" &amp; AZ$1, DataRegularSeason20242025!$D$3:$D$1315, $A21)+SUMIFS(DataRegularSeason20242025!$AB$3:$AB$1315,DataRegularSeason20242025!$B$3:$B$1315, "&lt;=" &amp; AZ$1, DataRegularSeason20242025!$E$3:$E$1315, $A21)</f>
        <v>8</v>
      </c>
      <c r="BA21">
        <f>SUMIFS(DataRegularSeason20242025!$AA$3:$AA$1315,DataRegularSeason20242025!$B$3:$B$1315, "&lt;=" &amp; BA$1, DataRegularSeason20242025!$D$3:$D$1315, $A21)+SUMIFS(DataRegularSeason20242025!$AB$3:$AB$1315,DataRegularSeason20242025!$B$3:$B$1315, "&lt;=" &amp; BA$1, DataRegularSeason20242025!$E$3:$E$1315, $A21)</f>
        <v>8</v>
      </c>
      <c r="BB21">
        <f>SUMIFS(DataRegularSeason20242025!$AA$3:$AA$1315,DataRegularSeason20242025!$B$3:$B$1315, "&lt;=" &amp; BB$1, DataRegularSeason20242025!$D$3:$D$1315, $A21)+SUMIFS(DataRegularSeason20242025!$AB$3:$AB$1315,DataRegularSeason20242025!$B$3:$B$1315, "&lt;=" &amp; BB$1, DataRegularSeason20242025!$E$3:$E$1315, $A21)</f>
        <v>8</v>
      </c>
      <c r="BC21">
        <f>SUMIFS(DataRegularSeason20242025!$AA$3:$AA$1315,DataRegularSeason20242025!$B$3:$B$1315, "&lt;=" &amp; BC$1, DataRegularSeason20242025!$D$3:$D$1315, $A21)+SUMIFS(DataRegularSeason20242025!$AB$3:$AB$1315,DataRegularSeason20242025!$B$3:$B$1315, "&lt;=" &amp; BC$1, DataRegularSeason20242025!$E$3:$E$1315, $A21)</f>
        <v>8</v>
      </c>
      <c r="BD21">
        <f>SUMIFS(DataRegularSeason20242025!$AA$3:$AA$1315,DataRegularSeason20242025!$B$3:$B$1315, "&lt;=" &amp; BD$1, DataRegularSeason20242025!$D$3:$D$1315, $A21)+SUMIFS(DataRegularSeason20242025!$AB$3:$AB$1315,DataRegularSeason20242025!$B$3:$B$1315, "&lt;=" &amp; BD$1, DataRegularSeason20242025!$E$3:$E$1315, $A21)</f>
        <v>8</v>
      </c>
      <c r="BE21">
        <f>SUMIFS(DataRegularSeason20242025!$AA$3:$AA$1315,DataRegularSeason20242025!$B$3:$B$1315, "&lt;=" &amp; BE$1, DataRegularSeason20242025!$D$3:$D$1315, $A21)+SUMIFS(DataRegularSeason20242025!$AB$3:$AB$1315,DataRegularSeason20242025!$B$3:$B$1315, "&lt;=" &amp; BE$1, DataRegularSeason20242025!$E$3:$E$1315, $A21)</f>
        <v>8</v>
      </c>
      <c r="BF21">
        <f>SUMIFS(DataRegularSeason20242025!$AA$3:$AA$1315,DataRegularSeason20242025!$B$3:$B$1315, "&lt;=" &amp; BF$1, DataRegularSeason20242025!$D$3:$D$1315, $A21)+SUMIFS(DataRegularSeason20242025!$AB$3:$AB$1315,DataRegularSeason20242025!$B$3:$B$1315, "&lt;=" &amp; BF$1, DataRegularSeason20242025!$E$3:$E$1315, $A21)</f>
        <v>8</v>
      </c>
      <c r="BG21">
        <f>SUMIFS(DataRegularSeason20242025!$AA$3:$AA$1315,DataRegularSeason20242025!$B$3:$B$1315, "&lt;=" &amp; BG$1, DataRegularSeason20242025!$D$3:$D$1315, $A21)+SUMIFS(DataRegularSeason20242025!$AB$3:$AB$1315,DataRegularSeason20242025!$B$3:$B$1315, "&lt;=" &amp; BG$1, DataRegularSeason20242025!$E$3:$E$1315, $A21)</f>
        <v>8</v>
      </c>
      <c r="BH21">
        <f>SUMIFS(DataRegularSeason20242025!$AA$3:$AA$1315,DataRegularSeason20242025!$B$3:$B$1315, "&lt;=" &amp; BH$1, DataRegularSeason20242025!$D$3:$D$1315, $A21)+SUMIFS(DataRegularSeason20242025!$AB$3:$AB$1315,DataRegularSeason20242025!$B$3:$B$1315, "&lt;=" &amp; BH$1, DataRegularSeason20242025!$E$3:$E$1315, $A21)</f>
        <v>8</v>
      </c>
      <c r="BI21">
        <f>SUMIFS(DataRegularSeason20242025!$AA$3:$AA$1315,DataRegularSeason20242025!$B$3:$B$1315, "&lt;=" &amp; BI$1, DataRegularSeason20242025!$D$3:$D$1315, $A21)+SUMIFS(DataRegularSeason20242025!$AB$3:$AB$1315,DataRegularSeason20242025!$B$3:$B$1315, "&lt;=" &amp; BI$1, DataRegularSeason20242025!$E$3:$E$1315, $A21)</f>
        <v>8</v>
      </c>
      <c r="BJ21">
        <f>SUMIFS(DataRegularSeason20242025!$AA$3:$AA$1315,DataRegularSeason20242025!$B$3:$B$1315, "&lt;=" &amp; BJ$1, DataRegularSeason20242025!$D$3:$D$1315, $A21)+SUMIFS(DataRegularSeason20242025!$AB$3:$AB$1315,DataRegularSeason20242025!$B$3:$B$1315, "&lt;=" &amp; BJ$1, DataRegularSeason20242025!$E$3:$E$1315, $A21)</f>
        <v>8</v>
      </c>
      <c r="BK21">
        <f>SUMIFS(DataRegularSeason20242025!$AA$3:$AA$1315,DataRegularSeason20242025!$B$3:$B$1315, "&lt;=" &amp; BK$1, DataRegularSeason20242025!$D$3:$D$1315, $A21)+SUMIFS(DataRegularSeason20242025!$AB$3:$AB$1315,DataRegularSeason20242025!$B$3:$B$1315, "&lt;=" &amp; BK$1, DataRegularSeason20242025!$E$3:$E$1315, $A21)</f>
        <v>8</v>
      </c>
      <c r="BL21">
        <f>SUMIFS(DataRegularSeason20242025!$AA$3:$AA$1315,DataRegularSeason20242025!$B$3:$B$1315, "&lt;=" &amp; BL$1, DataRegularSeason20242025!$D$3:$D$1315, $A21)+SUMIFS(DataRegularSeason20242025!$AB$3:$AB$1315,DataRegularSeason20242025!$B$3:$B$1315, "&lt;=" &amp; BL$1, DataRegularSeason20242025!$E$3:$E$1315, $A21)</f>
        <v>8</v>
      </c>
      <c r="BM21">
        <f>SUMIFS(DataRegularSeason20242025!$AA$3:$AA$1315,DataRegularSeason20242025!$B$3:$B$1315, "&lt;=" &amp; BM$1, DataRegularSeason20242025!$D$3:$D$1315, $A21)+SUMIFS(DataRegularSeason20242025!$AB$3:$AB$1315,DataRegularSeason20242025!$B$3:$B$1315, "&lt;=" &amp; BM$1, DataRegularSeason20242025!$E$3:$E$1315, $A21)</f>
        <v>8</v>
      </c>
      <c r="BN21">
        <f>SUMIFS(DataRegularSeason20242025!$AA$3:$AA$1315,DataRegularSeason20242025!$B$3:$B$1315, "&lt;=" &amp; BN$1, DataRegularSeason20242025!$D$3:$D$1315, $A21)+SUMIFS(DataRegularSeason20242025!$AB$3:$AB$1315,DataRegularSeason20242025!$B$3:$B$1315, "&lt;=" &amp; BN$1, DataRegularSeason20242025!$E$3:$E$1315, $A21)</f>
        <v>8</v>
      </c>
      <c r="BO21">
        <f>SUMIFS(DataRegularSeason20242025!$AA$3:$AA$1315,DataRegularSeason20242025!$B$3:$B$1315, "&lt;=" &amp; BO$1, DataRegularSeason20242025!$D$3:$D$1315, $A21)+SUMIFS(DataRegularSeason20242025!$AB$3:$AB$1315,DataRegularSeason20242025!$B$3:$B$1315, "&lt;=" &amp; BO$1, DataRegularSeason20242025!$E$3:$E$1315, $A21)</f>
        <v>8</v>
      </c>
      <c r="BP21">
        <f>SUMIFS(DataRegularSeason20242025!$AA$3:$AA$1315,DataRegularSeason20242025!$B$3:$B$1315, "&lt;=" &amp; BP$1, DataRegularSeason20242025!$D$3:$D$1315, $A21)+SUMIFS(DataRegularSeason20242025!$AB$3:$AB$1315,DataRegularSeason20242025!$B$3:$B$1315, "&lt;=" &amp; BP$1, DataRegularSeason20242025!$E$3:$E$1315, $A21)</f>
        <v>8</v>
      </c>
      <c r="BQ21">
        <f>SUMIFS(DataRegularSeason20242025!$AA$3:$AA$1315,DataRegularSeason20242025!$B$3:$B$1315, "&lt;=" &amp; BQ$1, DataRegularSeason20242025!$D$3:$D$1315, $A21)+SUMIFS(DataRegularSeason20242025!$AB$3:$AB$1315,DataRegularSeason20242025!$B$3:$B$1315, "&lt;=" &amp; BQ$1, DataRegularSeason20242025!$E$3:$E$1315, $A21)</f>
        <v>8</v>
      </c>
      <c r="BR21">
        <f>SUMIFS(DataRegularSeason20242025!$AA$3:$AA$1315,DataRegularSeason20242025!$B$3:$B$1315, "&lt;=" &amp; BR$1, DataRegularSeason20242025!$D$3:$D$1315, $A21)+SUMIFS(DataRegularSeason20242025!$AB$3:$AB$1315,DataRegularSeason20242025!$B$3:$B$1315, "&lt;=" &amp; BR$1, DataRegularSeason20242025!$E$3:$E$1315, $A21)</f>
        <v>8</v>
      </c>
      <c r="BS21">
        <f>SUMIFS(DataRegularSeason20242025!$AA$3:$AA$1315,DataRegularSeason20242025!$B$3:$B$1315, "&lt;=" &amp; BS$1, DataRegularSeason20242025!$D$3:$D$1315, $A21)+SUMIFS(DataRegularSeason20242025!$AB$3:$AB$1315,DataRegularSeason20242025!$B$3:$B$1315, "&lt;=" &amp; BS$1, DataRegularSeason20242025!$E$3:$E$1315, $A21)</f>
        <v>8</v>
      </c>
      <c r="BT21">
        <f>SUMIFS(DataRegularSeason20242025!$AA$3:$AA$1315,DataRegularSeason20242025!$B$3:$B$1315, "&lt;=" &amp; BT$1, DataRegularSeason20242025!$D$3:$D$1315, $A21)+SUMIFS(DataRegularSeason20242025!$AB$3:$AB$1315,DataRegularSeason20242025!$B$3:$B$1315, "&lt;=" &amp; BT$1, DataRegularSeason20242025!$E$3:$E$1315, $A21)</f>
        <v>8</v>
      </c>
      <c r="BU21">
        <f>SUMIFS(DataRegularSeason20242025!$AA$3:$AA$1315,DataRegularSeason20242025!$B$3:$B$1315, "&lt;=" &amp; BU$1, DataRegularSeason20242025!$D$3:$D$1315, $A21)+SUMIFS(DataRegularSeason20242025!$AB$3:$AB$1315,DataRegularSeason20242025!$B$3:$B$1315, "&lt;=" &amp; BU$1, DataRegularSeason20242025!$E$3:$E$1315, $A21)</f>
        <v>8</v>
      </c>
      <c r="BV21">
        <f>SUMIFS(DataRegularSeason20242025!$AA$3:$AA$1315,DataRegularSeason20242025!$B$3:$B$1315, "&lt;=" &amp; BV$1, DataRegularSeason20242025!$D$3:$D$1315, $A21)+SUMIFS(DataRegularSeason20242025!$AB$3:$AB$1315,DataRegularSeason20242025!$B$3:$B$1315, "&lt;=" &amp; BV$1, DataRegularSeason20242025!$E$3:$E$1315, $A21)</f>
        <v>8</v>
      </c>
      <c r="BW21">
        <f>SUMIFS(DataRegularSeason20242025!$AA$3:$AA$1315,DataRegularSeason20242025!$B$3:$B$1315, "&lt;=" &amp; BW$1, DataRegularSeason20242025!$D$3:$D$1315, $A21)+SUMIFS(DataRegularSeason20242025!$AB$3:$AB$1315,DataRegularSeason20242025!$B$3:$B$1315, "&lt;=" &amp; BW$1, DataRegularSeason20242025!$E$3:$E$1315, $A21)</f>
        <v>8</v>
      </c>
      <c r="BX21">
        <f>SUMIFS(DataRegularSeason20242025!$AA$3:$AA$1315,DataRegularSeason20242025!$B$3:$B$1315, "&lt;=" &amp; BX$1, DataRegularSeason20242025!$D$3:$D$1315, $A21)+SUMIFS(DataRegularSeason20242025!$AB$3:$AB$1315,DataRegularSeason20242025!$B$3:$B$1315, "&lt;=" &amp; BX$1, DataRegularSeason20242025!$E$3:$E$1315, $A21)</f>
        <v>8</v>
      </c>
      <c r="BY21">
        <f>SUMIFS(DataRegularSeason20242025!$AA$3:$AA$1315,DataRegularSeason20242025!$B$3:$B$1315, "&lt;=" &amp; BY$1, DataRegularSeason20242025!$D$3:$D$1315, $A21)+SUMIFS(DataRegularSeason20242025!$AB$3:$AB$1315,DataRegularSeason20242025!$B$3:$B$1315, "&lt;=" &amp; BY$1, DataRegularSeason20242025!$E$3:$E$1315, $A21)</f>
        <v>8</v>
      </c>
      <c r="BZ21">
        <f>SUMIFS(DataRegularSeason20242025!$AA$3:$AA$1315,DataRegularSeason20242025!$B$3:$B$1315, "&lt;=" &amp; BZ$1, DataRegularSeason20242025!$D$3:$D$1315, $A21)+SUMIFS(DataRegularSeason20242025!$AB$3:$AB$1315,DataRegularSeason20242025!$B$3:$B$1315, "&lt;=" &amp; BZ$1, DataRegularSeason20242025!$E$3:$E$1315, $A21)</f>
        <v>8</v>
      </c>
      <c r="CA21">
        <f>SUMIFS(DataRegularSeason20242025!$AA$3:$AA$1315,DataRegularSeason20242025!$B$3:$B$1315, "&lt;=" &amp; CA$1, DataRegularSeason20242025!$D$3:$D$1315, $A21)+SUMIFS(DataRegularSeason20242025!$AB$3:$AB$1315,DataRegularSeason20242025!$B$3:$B$1315, "&lt;=" &amp; CA$1, DataRegularSeason20242025!$E$3:$E$1315, $A21)</f>
        <v>8</v>
      </c>
      <c r="CB21">
        <f>SUMIFS(DataRegularSeason20242025!$AA$3:$AA$1315,DataRegularSeason20242025!$B$3:$B$1315, "&lt;=" &amp; CB$1, DataRegularSeason20242025!$D$3:$D$1315, $A21)+SUMIFS(DataRegularSeason20242025!$AB$3:$AB$1315,DataRegularSeason20242025!$B$3:$B$1315, "&lt;=" &amp; CB$1, DataRegularSeason20242025!$E$3:$E$1315, $A21)</f>
        <v>8</v>
      </c>
      <c r="CC21">
        <f>SUMIFS(DataRegularSeason20242025!$AA$3:$AA$1315,DataRegularSeason20242025!$B$3:$B$1315, "&lt;=" &amp; CC$1, DataRegularSeason20242025!$D$3:$D$1315, $A21)+SUMIFS(DataRegularSeason20242025!$AB$3:$AB$1315,DataRegularSeason20242025!$B$3:$B$1315, "&lt;=" &amp; CC$1, DataRegularSeason20242025!$E$3:$E$1315, $A21)</f>
        <v>8</v>
      </c>
      <c r="CD21">
        <f>SUMIFS(DataRegularSeason20242025!$AA$3:$AA$1315,DataRegularSeason20242025!$B$3:$B$1315, "&lt;=" &amp; CD$1, DataRegularSeason20242025!$D$3:$D$1315, $A21)+SUMIFS(DataRegularSeason20242025!$AB$3:$AB$1315,DataRegularSeason20242025!$B$3:$B$1315, "&lt;=" &amp; CD$1, DataRegularSeason20242025!$E$3:$E$1315, $A21)</f>
        <v>8</v>
      </c>
      <c r="CE21">
        <f>SUMIFS(DataRegularSeason20242025!$AA$3:$AA$1315,DataRegularSeason20242025!$B$3:$B$1315, "&lt;=" &amp; CE$1, DataRegularSeason20242025!$D$3:$D$1315, $A21)+SUMIFS(DataRegularSeason20242025!$AB$3:$AB$1315,DataRegularSeason20242025!$B$3:$B$1315, "&lt;=" &amp; CE$1, DataRegularSeason20242025!$E$3:$E$1315, $A21)</f>
        <v>8</v>
      </c>
      <c r="CF21">
        <f>SUMIFS(DataRegularSeason20242025!$AA$3:$AA$1315,DataRegularSeason20242025!$B$3:$B$1315, "&lt;=" &amp; CF$1, DataRegularSeason20242025!$D$3:$D$1315, $A21)+SUMIFS(DataRegularSeason20242025!$AB$3:$AB$1315,DataRegularSeason20242025!$B$3:$B$1315, "&lt;=" &amp; CF$1, DataRegularSeason20242025!$E$3:$E$1315, $A21)</f>
        <v>8</v>
      </c>
      <c r="CG21">
        <f>SUMIFS(DataRegularSeason20242025!$AA$3:$AA$1315,DataRegularSeason20242025!$B$3:$B$1315, "&lt;=" &amp; CG$1, DataRegularSeason20242025!$D$3:$D$1315, $A21)+SUMIFS(DataRegularSeason20242025!$AB$3:$AB$1315,DataRegularSeason20242025!$B$3:$B$1315, "&lt;=" &amp; CG$1, DataRegularSeason20242025!$E$3:$E$1315, $A21)</f>
        <v>8</v>
      </c>
      <c r="CH21">
        <f>SUMIFS(DataRegularSeason20242025!$AA$3:$AA$1315,DataRegularSeason20242025!$B$3:$B$1315, "&lt;=" &amp; CH$1, DataRegularSeason20242025!$D$3:$D$1315, $A21)+SUMIFS(DataRegularSeason20242025!$AB$3:$AB$1315,DataRegularSeason20242025!$B$3:$B$1315, "&lt;=" &amp; CH$1, DataRegularSeason20242025!$E$3:$E$1315, $A21)</f>
        <v>8</v>
      </c>
      <c r="CI21">
        <f>SUMIFS(DataRegularSeason20242025!$AA$3:$AA$1315,DataRegularSeason20242025!$B$3:$B$1315, "&lt;=" &amp; CI$1, DataRegularSeason20242025!$D$3:$D$1315, $A21)+SUMIFS(DataRegularSeason20242025!$AB$3:$AB$1315,DataRegularSeason20242025!$B$3:$B$1315, "&lt;=" &amp; CI$1, DataRegularSeason20242025!$E$3:$E$1315, $A21)</f>
        <v>8</v>
      </c>
      <c r="CJ21">
        <f>SUMIFS(DataRegularSeason20242025!$AA$3:$AA$1315,DataRegularSeason20242025!$B$3:$B$1315, "&lt;=" &amp; CJ$1, DataRegularSeason20242025!$D$3:$D$1315, $A21)+SUMIFS(DataRegularSeason20242025!$AB$3:$AB$1315,DataRegularSeason20242025!$B$3:$B$1315, "&lt;=" &amp; CJ$1, DataRegularSeason20242025!$E$3:$E$1315, $A21)</f>
        <v>8</v>
      </c>
      <c r="CK21">
        <f>SUMIFS(DataRegularSeason20242025!$AA$3:$AA$1315,DataRegularSeason20242025!$B$3:$B$1315, "&lt;=" &amp; CK$1, DataRegularSeason20242025!$D$3:$D$1315, $A21)+SUMIFS(DataRegularSeason20242025!$AB$3:$AB$1315,DataRegularSeason20242025!$B$3:$B$1315, "&lt;=" &amp; CK$1, DataRegularSeason20242025!$E$3:$E$1315, $A21)</f>
        <v>8</v>
      </c>
      <c r="CL21">
        <f>SUMIFS(DataRegularSeason20242025!$AA$3:$AA$1315,DataRegularSeason20242025!$B$3:$B$1315, "&lt;=" &amp; CL$1, DataRegularSeason20242025!$D$3:$D$1315, $A21)+SUMIFS(DataRegularSeason20242025!$AB$3:$AB$1315,DataRegularSeason20242025!$B$3:$B$1315, "&lt;=" &amp; CL$1, DataRegularSeason20242025!$E$3:$E$1315, $A21)</f>
        <v>8</v>
      </c>
      <c r="CM21">
        <f>SUMIFS(DataRegularSeason20242025!$AA$3:$AA$1315,DataRegularSeason20242025!$B$3:$B$1315, "&lt;=" &amp; CM$1, DataRegularSeason20242025!$D$3:$D$1315, $A21)+SUMIFS(DataRegularSeason20242025!$AB$3:$AB$1315,DataRegularSeason20242025!$B$3:$B$1315, "&lt;=" &amp; CM$1, DataRegularSeason20242025!$E$3:$E$1315, $A21)</f>
        <v>8</v>
      </c>
      <c r="CN21">
        <f>SUMIFS(DataRegularSeason20242025!$AA$3:$AA$1315,DataRegularSeason20242025!$B$3:$B$1315, "&lt;=" &amp; CN$1, DataRegularSeason20242025!$D$3:$D$1315, $A21)+SUMIFS(DataRegularSeason20242025!$AB$3:$AB$1315,DataRegularSeason20242025!$B$3:$B$1315, "&lt;=" &amp; CN$1, DataRegularSeason20242025!$E$3:$E$1315, $A21)</f>
        <v>8</v>
      </c>
      <c r="CO21">
        <f>SUMIFS(DataRegularSeason20242025!$AA$3:$AA$1315,DataRegularSeason20242025!$B$3:$B$1315, "&lt;=" &amp; CO$1, DataRegularSeason20242025!$D$3:$D$1315, $A21)+SUMIFS(DataRegularSeason20242025!$AB$3:$AB$1315,DataRegularSeason20242025!$B$3:$B$1315, "&lt;=" &amp; CO$1, DataRegularSeason20242025!$E$3:$E$1315, $A21)</f>
        <v>8</v>
      </c>
      <c r="CP21">
        <f>SUMIFS(DataRegularSeason20242025!$AA$3:$AA$1315,DataRegularSeason20242025!$B$3:$B$1315, "&lt;=" &amp; CP$1, DataRegularSeason20242025!$D$3:$D$1315, $A21)+SUMIFS(DataRegularSeason20242025!$AB$3:$AB$1315,DataRegularSeason20242025!$B$3:$B$1315, "&lt;=" &amp; CP$1, DataRegularSeason20242025!$E$3:$E$1315, $A21)</f>
        <v>8</v>
      </c>
      <c r="CQ21">
        <f>SUMIFS(DataRegularSeason20242025!$AA$3:$AA$1315,DataRegularSeason20242025!$B$3:$B$1315, "&lt;=" &amp; CQ$1, DataRegularSeason20242025!$D$3:$D$1315, $A21)+SUMIFS(DataRegularSeason20242025!$AB$3:$AB$1315,DataRegularSeason20242025!$B$3:$B$1315, "&lt;=" &amp; CQ$1, DataRegularSeason20242025!$E$3:$E$1315, $A21)</f>
        <v>8</v>
      </c>
      <c r="CR21">
        <f>SUMIFS(DataRegularSeason20242025!$AA$3:$AA$1315,DataRegularSeason20242025!$B$3:$B$1315, "&lt;=" &amp; CR$1, DataRegularSeason20242025!$D$3:$D$1315, $A21)+SUMIFS(DataRegularSeason20242025!$AB$3:$AB$1315,DataRegularSeason20242025!$B$3:$B$1315, "&lt;=" &amp; CR$1, DataRegularSeason20242025!$E$3:$E$1315, $A21)</f>
        <v>8</v>
      </c>
      <c r="CS21">
        <f>SUMIFS(DataRegularSeason20242025!$AA$3:$AA$1315,DataRegularSeason20242025!$B$3:$B$1315, "&lt;=" &amp; CS$1, DataRegularSeason20242025!$D$3:$D$1315, $A21)+SUMIFS(DataRegularSeason20242025!$AB$3:$AB$1315,DataRegularSeason20242025!$B$3:$B$1315, "&lt;=" &amp; CS$1, DataRegularSeason20242025!$E$3:$E$1315, $A21)</f>
        <v>8</v>
      </c>
      <c r="CT21">
        <f>SUMIFS(DataRegularSeason20242025!$AA$3:$AA$1315,DataRegularSeason20242025!$B$3:$B$1315, "&lt;=" &amp; CT$1, DataRegularSeason20242025!$D$3:$D$1315, $A21)+SUMIFS(DataRegularSeason20242025!$AB$3:$AB$1315,DataRegularSeason20242025!$B$3:$B$1315, "&lt;=" &amp; CT$1, DataRegularSeason20242025!$E$3:$E$1315, $A21)</f>
        <v>8</v>
      </c>
      <c r="CU21">
        <f>SUMIFS(DataRegularSeason20242025!$AA$3:$AA$1315,DataRegularSeason20242025!$B$3:$B$1315, "&lt;=" &amp; CU$1, DataRegularSeason20242025!$D$3:$D$1315, $A21)+SUMIFS(DataRegularSeason20242025!$AB$3:$AB$1315,DataRegularSeason20242025!$B$3:$B$1315, "&lt;=" &amp; CU$1, DataRegularSeason20242025!$E$3:$E$1315, $A21)</f>
        <v>8</v>
      </c>
      <c r="CV21">
        <f>SUMIFS(DataRegularSeason20242025!$AA$3:$AA$1315,DataRegularSeason20242025!$B$3:$B$1315, "&lt;=" &amp; CV$1, DataRegularSeason20242025!$D$3:$D$1315, $A21)+SUMIFS(DataRegularSeason20242025!$AB$3:$AB$1315,DataRegularSeason20242025!$B$3:$B$1315, "&lt;=" &amp; CV$1, DataRegularSeason20242025!$E$3:$E$1315, $A21)</f>
        <v>8</v>
      </c>
      <c r="CW21">
        <f>SUMIFS(DataRegularSeason20242025!$AA$3:$AA$1315,DataRegularSeason20242025!$B$3:$B$1315, "&lt;=" &amp; CW$1, DataRegularSeason20242025!$D$3:$D$1315, $A21)+SUMIFS(DataRegularSeason20242025!$AB$3:$AB$1315,DataRegularSeason20242025!$B$3:$B$1315, "&lt;=" &amp; CW$1, DataRegularSeason20242025!$E$3:$E$1315, $A21)</f>
        <v>8</v>
      </c>
      <c r="CX21">
        <f>SUMIFS(DataRegularSeason20242025!$AA$3:$AA$1315,DataRegularSeason20242025!$B$3:$B$1315, "&lt;=" &amp; CX$1, DataRegularSeason20242025!$D$3:$D$1315, $A21)+SUMIFS(DataRegularSeason20242025!$AB$3:$AB$1315,DataRegularSeason20242025!$B$3:$B$1315, "&lt;=" &amp; CX$1, DataRegularSeason20242025!$E$3:$E$1315, $A21)</f>
        <v>8</v>
      </c>
      <c r="CY21">
        <f>SUMIFS(DataRegularSeason20242025!$AA$3:$AA$1315,DataRegularSeason20242025!$B$3:$B$1315, "&lt;=" &amp; CY$1, DataRegularSeason20242025!$D$3:$D$1315, $A21)+SUMIFS(DataRegularSeason20242025!$AB$3:$AB$1315,DataRegularSeason20242025!$B$3:$B$1315, "&lt;=" &amp; CY$1, DataRegularSeason20242025!$E$3:$E$1315, $A21)</f>
        <v>8</v>
      </c>
      <c r="CZ21">
        <f>SUMIFS(DataRegularSeason20242025!$AA$3:$AA$1315,DataRegularSeason20242025!$B$3:$B$1315, "&lt;=" &amp; CZ$1, DataRegularSeason20242025!$D$3:$D$1315, $A21)+SUMIFS(DataRegularSeason20242025!$AB$3:$AB$1315,DataRegularSeason20242025!$B$3:$B$1315, "&lt;=" &amp; CZ$1, DataRegularSeason20242025!$E$3:$E$1315, $A21)</f>
        <v>8</v>
      </c>
      <c r="DA21">
        <f>SUMIFS(DataRegularSeason20242025!$AA$3:$AA$1315,DataRegularSeason20242025!$B$3:$B$1315, "&lt;=" &amp; DA$1, DataRegularSeason20242025!$D$3:$D$1315, $A21)+SUMIFS(DataRegularSeason20242025!$AB$3:$AB$1315,DataRegularSeason20242025!$B$3:$B$1315, "&lt;=" &amp; DA$1, DataRegularSeason20242025!$E$3:$E$1315, $A21)</f>
        <v>8</v>
      </c>
      <c r="DB21">
        <f>SUMIFS(DataRegularSeason20242025!$AA$3:$AA$1315,DataRegularSeason20242025!$B$3:$B$1315, "&lt;=" &amp; DB$1, DataRegularSeason20242025!$D$3:$D$1315, $A21)+SUMIFS(DataRegularSeason20242025!$AB$3:$AB$1315,DataRegularSeason20242025!$B$3:$B$1315, "&lt;=" &amp; DB$1, DataRegularSeason20242025!$E$3:$E$1315, $A21)</f>
        <v>8</v>
      </c>
      <c r="DC21">
        <f>SUMIFS(DataRegularSeason20242025!$AA$3:$AA$1315,DataRegularSeason20242025!$B$3:$B$1315, "&lt;=" &amp; DC$1, DataRegularSeason20242025!$D$3:$D$1315, $A21)+SUMIFS(DataRegularSeason20242025!$AB$3:$AB$1315,DataRegularSeason20242025!$B$3:$B$1315, "&lt;=" &amp; DC$1, DataRegularSeason20242025!$E$3:$E$1315, $A21)</f>
        <v>8</v>
      </c>
      <c r="DD21">
        <f>SUMIFS(DataRegularSeason20242025!$AA$3:$AA$1315,DataRegularSeason20242025!$B$3:$B$1315, "&lt;=" &amp; DD$1, DataRegularSeason20242025!$D$3:$D$1315, $A21)+SUMIFS(DataRegularSeason20242025!$AB$3:$AB$1315,DataRegularSeason20242025!$B$3:$B$1315, "&lt;=" &amp; DD$1, DataRegularSeason20242025!$E$3:$E$1315, $A21)</f>
        <v>8</v>
      </c>
      <c r="DE21">
        <f>SUMIFS(DataRegularSeason20242025!$AA$3:$AA$1315,DataRegularSeason20242025!$B$3:$B$1315, "&lt;=" &amp; DE$1, DataRegularSeason20242025!$D$3:$D$1315, $A21)+SUMIFS(DataRegularSeason20242025!$AB$3:$AB$1315,DataRegularSeason20242025!$B$3:$B$1315, "&lt;=" &amp; DE$1, DataRegularSeason20242025!$E$3:$E$1315, $A21)</f>
        <v>8</v>
      </c>
      <c r="DF21">
        <f>SUMIFS(DataRegularSeason20242025!$AA$3:$AA$1315,DataRegularSeason20242025!$B$3:$B$1315, "&lt;=" &amp; DF$1, DataRegularSeason20242025!$D$3:$D$1315, $A21)+SUMIFS(DataRegularSeason20242025!$AB$3:$AB$1315,DataRegularSeason20242025!$B$3:$B$1315, "&lt;=" &amp; DF$1, DataRegularSeason20242025!$E$3:$E$1315, $A21)</f>
        <v>8</v>
      </c>
      <c r="DG21">
        <f>SUMIFS(DataRegularSeason20242025!$AA$3:$AA$1315,DataRegularSeason20242025!$B$3:$B$1315, "&lt;=" &amp; DG$1, DataRegularSeason20242025!$D$3:$D$1315, $A21)+SUMIFS(DataRegularSeason20242025!$AB$3:$AB$1315,DataRegularSeason20242025!$B$3:$B$1315, "&lt;=" &amp; DG$1, DataRegularSeason20242025!$E$3:$E$1315, $A21)</f>
        <v>8</v>
      </c>
      <c r="DH21">
        <f>SUMIFS(DataRegularSeason20242025!$AA$3:$AA$1315,DataRegularSeason20242025!$B$3:$B$1315, "&lt;=" &amp; DH$1, DataRegularSeason20242025!$D$3:$D$1315, $A21)+SUMIFS(DataRegularSeason20242025!$AB$3:$AB$1315,DataRegularSeason20242025!$B$3:$B$1315, "&lt;=" &amp; DH$1, DataRegularSeason20242025!$E$3:$E$1315, $A21)</f>
        <v>8</v>
      </c>
      <c r="DI21">
        <f>SUMIFS(DataRegularSeason20242025!$AA$3:$AA$1315,DataRegularSeason20242025!$B$3:$B$1315, "&lt;=" &amp; DI$1, DataRegularSeason20242025!$D$3:$D$1315, $A21)+SUMIFS(DataRegularSeason20242025!$AB$3:$AB$1315,DataRegularSeason20242025!$B$3:$B$1315, "&lt;=" &amp; DI$1, DataRegularSeason20242025!$E$3:$E$1315, $A21)</f>
        <v>8</v>
      </c>
      <c r="DJ21">
        <f>SUMIFS(DataRegularSeason20242025!$AA$3:$AA$1315,DataRegularSeason20242025!$B$3:$B$1315, "&lt;=" &amp; DJ$1, DataRegularSeason20242025!$D$3:$D$1315, $A21)+SUMIFS(DataRegularSeason20242025!$AB$3:$AB$1315,DataRegularSeason20242025!$B$3:$B$1315, "&lt;=" &amp; DJ$1, DataRegularSeason20242025!$E$3:$E$1315, $A21)</f>
        <v>8</v>
      </c>
      <c r="DK21">
        <f>SUMIFS(DataRegularSeason20242025!$AA$3:$AA$1315,DataRegularSeason20242025!$B$3:$B$1315, "&lt;=" &amp; DK$1, DataRegularSeason20242025!$D$3:$D$1315, $A21)+SUMIFS(DataRegularSeason20242025!$AB$3:$AB$1315,DataRegularSeason20242025!$B$3:$B$1315, "&lt;=" &amp; DK$1, DataRegularSeason20242025!$E$3:$E$1315, $A21)</f>
        <v>8</v>
      </c>
      <c r="DL21">
        <f>SUMIFS(DataRegularSeason20242025!$AA$3:$AA$1315,DataRegularSeason20242025!$B$3:$B$1315, "&lt;=" &amp; DL$1, DataRegularSeason20242025!$D$3:$D$1315, $A21)+SUMIFS(DataRegularSeason20242025!$AB$3:$AB$1315,DataRegularSeason20242025!$B$3:$B$1315, "&lt;=" &amp; DL$1, DataRegularSeason20242025!$E$3:$E$1315, $A21)</f>
        <v>8</v>
      </c>
      <c r="DM21">
        <f>SUMIFS(DataRegularSeason20242025!$AA$3:$AA$1315,DataRegularSeason20242025!$B$3:$B$1315, "&lt;=" &amp; DM$1, DataRegularSeason20242025!$D$3:$D$1315, $A21)+SUMIFS(DataRegularSeason20242025!$AB$3:$AB$1315,DataRegularSeason20242025!$B$3:$B$1315, "&lt;=" &amp; DM$1, DataRegularSeason20242025!$E$3:$E$1315, $A21)</f>
        <v>8</v>
      </c>
      <c r="DN21">
        <f>SUMIFS(DataRegularSeason20242025!$AA$3:$AA$1315,DataRegularSeason20242025!$B$3:$B$1315, "&lt;=" &amp; DN$1, DataRegularSeason20242025!$D$3:$D$1315, $A21)+SUMIFS(DataRegularSeason20242025!$AB$3:$AB$1315,DataRegularSeason20242025!$B$3:$B$1315, "&lt;=" &amp; DN$1, DataRegularSeason20242025!$E$3:$E$1315, $A21)</f>
        <v>8</v>
      </c>
      <c r="DO21">
        <f>SUMIFS(DataRegularSeason20242025!$AA$3:$AA$1315,DataRegularSeason20242025!$B$3:$B$1315, "&lt;=" &amp; DO$1, DataRegularSeason20242025!$D$3:$D$1315, $A21)+SUMIFS(DataRegularSeason20242025!$AB$3:$AB$1315,DataRegularSeason20242025!$B$3:$B$1315, "&lt;=" &amp; DO$1, DataRegularSeason20242025!$E$3:$E$1315, $A21)</f>
        <v>8</v>
      </c>
      <c r="DP21">
        <f>SUMIFS(DataRegularSeason20242025!$AA$3:$AA$1315,DataRegularSeason20242025!$B$3:$B$1315, "&lt;=" &amp; DP$1, DataRegularSeason20242025!$D$3:$D$1315, $A21)+SUMIFS(DataRegularSeason20242025!$AB$3:$AB$1315,DataRegularSeason20242025!$B$3:$B$1315, "&lt;=" &amp; DP$1, DataRegularSeason20242025!$E$3:$E$1315, $A21)</f>
        <v>8</v>
      </c>
      <c r="DQ21">
        <f>SUMIFS(DataRegularSeason20242025!$AA$3:$AA$1315,DataRegularSeason20242025!$B$3:$B$1315, "&lt;=" &amp; DQ$1, DataRegularSeason20242025!$D$3:$D$1315, $A21)+SUMIFS(DataRegularSeason20242025!$AB$3:$AB$1315,DataRegularSeason20242025!$B$3:$B$1315, "&lt;=" &amp; DQ$1, DataRegularSeason20242025!$E$3:$E$1315, $A21)</f>
        <v>8</v>
      </c>
      <c r="DR21">
        <f>SUMIFS(DataRegularSeason20242025!$AA$3:$AA$1315,DataRegularSeason20242025!$B$3:$B$1315, "&lt;=" &amp; DR$1, DataRegularSeason20242025!$D$3:$D$1315, $A21)+SUMIFS(DataRegularSeason20242025!$AB$3:$AB$1315,DataRegularSeason20242025!$B$3:$B$1315, "&lt;=" &amp; DR$1, DataRegularSeason20242025!$E$3:$E$1315, $A21)</f>
        <v>8</v>
      </c>
      <c r="DS21">
        <f>SUMIFS(DataRegularSeason20242025!$AA$3:$AA$1315,DataRegularSeason20242025!$B$3:$B$1315, "&lt;=" &amp; DS$1, DataRegularSeason20242025!$D$3:$D$1315, $A21)+SUMIFS(DataRegularSeason20242025!$AB$3:$AB$1315,DataRegularSeason20242025!$B$3:$B$1315, "&lt;=" &amp; DS$1, DataRegularSeason20242025!$E$3:$E$1315, $A21)</f>
        <v>8</v>
      </c>
      <c r="DT21">
        <f>SUMIFS(DataRegularSeason20242025!$AA$3:$AA$1315,DataRegularSeason20242025!$B$3:$B$1315, "&lt;=" &amp; DT$1, DataRegularSeason20242025!$D$3:$D$1315, $A21)+SUMIFS(DataRegularSeason20242025!$AB$3:$AB$1315,DataRegularSeason20242025!$B$3:$B$1315, "&lt;=" &amp; DT$1, DataRegularSeason20242025!$E$3:$E$1315, $A21)</f>
        <v>8</v>
      </c>
      <c r="DU21">
        <f>SUMIFS(DataRegularSeason20242025!$AA$3:$AA$1315,DataRegularSeason20242025!$B$3:$B$1315, "&lt;=" &amp; DU$1, DataRegularSeason20242025!$D$3:$D$1315, $A21)+SUMIFS(DataRegularSeason20242025!$AB$3:$AB$1315,DataRegularSeason20242025!$B$3:$B$1315, "&lt;=" &amp; DU$1, DataRegularSeason20242025!$E$3:$E$1315, $A21)</f>
        <v>8</v>
      </c>
      <c r="DV21">
        <f>SUMIFS(DataRegularSeason20242025!$AA$3:$AA$1315,DataRegularSeason20242025!$B$3:$B$1315, "&lt;=" &amp; DV$1, DataRegularSeason20242025!$D$3:$D$1315, $A21)+SUMIFS(DataRegularSeason20242025!$AB$3:$AB$1315,DataRegularSeason20242025!$B$3:$B$1315, "&lt;=" &amp; DV$1, DataRegularSeason20242025!$E$3:$E$1315, $A21)</f>
        <v>8</v>
      </c>
      <c r="DW21">
        <f>SUMIFS(DataRegularSeason20242025!$AA$3:$AA$1315,DataRegularSeason20242025!$B$3:$B$1315, "&lt;=" &amp; DW$1, DataRegularSeason20242025!$D$3:$D$1315, $A21)+SUMIFS(DataRegularSeason20242025!$AB$3:$AB$1315,DataRegularSeason20242025!$B$3:$B$1315, "&lt;=" &amp; DW$1, DataRegularSeason20242025!$E$3:$E$1315, $A21)</f>
        <v>8</v>
      </c>
      <c r="DX21">
        <f>SUMIFS(DataRegularSeason20242025!$AA$3:$AA$1315,DataRegularSeason20242025!$B$3:$B$1315, "&lt;=" &amp; DX$1, DataRegularSeason20242025!$D$3:$D$1315, $A21)+SUMIFS(DataRegularSeason20242025!$AB$3:$AB$1315,DataRegularSeason20242025!$B$3:$B$1315, "&lt;=" &amp; DX$1, DataRegularSeason20242025!$E$3:$E$1315, $A21)</f>
        <v>8</v>
      </c>
      <c r="DY21">
        <f>SUMIFS(DataRegularSeason20242025!$AA$3:$AA$1315,DataRegularSeason20242025!$B$3:$B$1315, "&lt;=" &amp; DY$1, DataRegularSeason20242025!$D$3:$D$1315, $A21)+SUMIFS(DataRegularSeason20242025!$AB$3:$AB$1315,DataRegularSeason20242025!$B$3:$B$1315, "&lt;=" &amp; DY$1, DataRegularSeason20242025!$E$3:$E$1315, $A21)</f>
        <v>8</v>
      </c>
      <c r="DZ21">
        <f>SUMIFS(DataRegularSeason20242025!$AA$3:$AA$1315,DataRegularSeason20242025!$B$3:$B$1315, "&lt;=" &amp; DZ$1, DataRegularSeason20242025!$D$3:$D$1315, $A21)+SUMIFS(DataRegularSeason20242025!$AB$3:$AB$1315,DataRegularSeason20242025!$B$3:$B$1315, "&lt;=" &amp; DZ$1, DataRegularSeason20242025!$E$3:$E$1315, $A21)</f>
        <v>8</v>
      </c>
      <c r="EA21">
        <f>SUMIFS(DataRegularSeason20242025!$AA$3:$AA$1315,DataRegularSeason20242025!$B$3:$B$1315, "&lt;=" &amp; EA$1, DataRegularSeason20242025!$D$3:$D$1315, $A21)+SUMIFS(DataRegularSeason20242025!$AB$3:$AB$1315,DataRegularSeason20242025!$B$3:$B$1315, "&lt;=" &amp; EA$1, DataRegularSeason20242025!$E$3:$E$1315, $A21)</f>
        <v>8</v>
      </c>
      <c r="EB21">
        <f>SUMIFS(DataRegularSeason20242025!$AA$3:$AA$1315,DataRegularSeason20242025!$B$3:$B$1315, "&lt;=" &amp; EB$1, DataRegularSeason20242025!$D$3:$D$1315, $A21)+SUMIFS(DataRegularSeason20242025!$AB$3:$AB$1315,DataRegularSeason20242025!$B$3:$B$1315, "&lt;=" &amp; EB$1, DataRegularSeason20242025!$E$3:$E$1315, $A21)</f>
        <v>8</v>
      </c>
      <c r="EC21">
        <f>SUMIFS(DataRegularSeason20242025!$AA$3:$AA$1315,DataRegularSeason20242025!$B$3:$B$1315, "&lt;=" &amp; EC$1, DataRegularSeason20242025!$D$3:$D$1315, $A21)+SUMIFS(DataRegularSeason20242025!$AB$3:$AB$1315,DataRegularSeason20242025!$B$3:$B$1315, "&lt;=" &amp; EC$1, DataRegularSeason20242025!$E$3:$E$1315, $A21)</f>
        <v>8</v>
      </c>
      <c r="ED21">
        <f>SUMIFS(DataRegularSeason20242025!$AA$3:$AA$1315,DataRegularSeason20242025!$B$3:$B$1315, "&lt;=" &amp; ED$1, DataRegularSeason20242025!$D$3:$D$1315, $A21)+SUMIFS(DataRegularSeason20242025!$AB$3:$AB$1315,DataRegularSeason20242025!$B$3:$B$1315, "&lt;=" &amp; ED$1, DataRegularSeason20242025!$E$3:$E$1315, $A21)</f>
        <v>8</v>
      </c>
      <c r="EE21">
        <f>SUMIFS(DataRegularSeason20242025!$AA$3:$AA$1315,DataRegularSeason20242025!$B$3:$B$1315, "&lt;=" &amp; EE$1, DataRegularSeason20242025!$D$3:$D$1315, $A21)+SUMIFS(DataRegularSeason20242025!$AB$3:$AB$1315,DataRegularSeason20242025!$B$3:$B$1315, "&lt;=" &amp; EE$1, DataRegularSeason20242025!$E$3:$E$1315, $A21)</f>
        <v>8</v>
      </c>
      <c r="EF21">
        <f>SUMIFS(DataRegularSeason20242025!$AA$3:$AA$1315,DataRegularSeason20242025!$B$3:$B$1315, "&lt;=" &amp; EF$1, DataRegularSeason20242025!$D$3:$D$1315, $A21)+SUMIFS(DataRegularSeason20242025!$AB$3:$AB$1315,DataRegularSeason20242025!$B$3:$B$1315, "&lt;=" &amp; EF$1, DataRegularSeason20242025!$E$3:$E$1315, $A21)</f>
        <v>8</v>
      </c>
      <c r="EG21">
        <f>SUMIFS(DataRegularSeason20242025!$AA$3:$AA$1315,DataRegularSeason20242025!$B$3:$B$1315, "&lt;=" &amp; EG$1, DataRegularSeason20242025!$D$3:$D$1315, $A21)+SUMIFS(DataRegularSeason20242025!$AB$3:$AB$1315,DataRegularSeason20242025!$B$3:$B$1315, "&lt;=" &amp; EG$1, DataRegularSeason20242025!$E$3:$E$1315, $A21)</f>
        <v>8</v>
      </c>
      <c r="EH21">
        <f>SUMIFS(DataRegularSeason20242025!$AA$3:$AA$1315,DataRegularSeason20242025!$B$3:$B$1315, "&lt;=" &amp; EH$1, DataRegularSeason20242025!$D$3:$D$1315, $A21)+SUMIFS(DataRegularSeason20242025!$AB$3:$AB$1315,DataRegularSeason20242025!$B$3:$B$1315, "&lt;=" &amp; EH$1, DataRegularSeason20242025!$E$3:$E$1315, $A21)</f>
        <v>8</v>
      </c>
      <c r="EI21">
        <f>SUMIFS(DataRegularSeason20242025!$AA$3:$AA$1315,DataRegularSeason20242025!$B$3:$B$1315, "&lt;=" &amp; EI$1, DataRegularSeason20242025!$D$3:$D$1315, $A21)+SUMIFS(DataRegularSeason20242025!$AB$3:$AB$1315,DataRegularSeason20242025!$B$3:$B$1315, "&lt;=" &amp; EI$1, DataRegularSeason20242025!$E$3:$E$1315, $A21)</f>
        <v>8</v>
      </c>
      <c r="EJ21">
        <f>SUMIFS(DataRegularSeason20242025!$AA$3:$AA$1315,DataRegularSeason20242025!$B$3:$B$1315, "&lt;=" &amp; EJ$1, DataRegularSeason20242025!$D$3:$D$1315, $A21)+SUMIFS(DataRegularSeason20242025!$AB$3:$AB$1315,DataRegularSeason20242025!$B$3:$B$1315, "&lt;=" &amp; EJ$1, DataRegularSeason20242025!$E$3:$E$1315, $A21)</f>
        <v>8</v>
      </c>
      <c r="EK21">
        <f>SUMIFS(DataRegularSeason20242025!$AA$3:$AA$1315,DataRegularSeason20242025!$B$3:$B$1315, "&lt;=" &amp; EK$1, DataRegularSeason20242025!$D$3:$D$1315, $A21)+SUMIFS(DataRegularSeason20242025!$AB$3:$AB$1315,DataRegularSeason20242025!$B$3:$B$1315, "&lt;=" &amp; EK$1, DataRegularSeason20242025!$E$3:$E$1315, $A21)</f>
        <v>8</v>
      </c>
      <c r="EL21">
        <f>SUMIFS(DataRegularSeason20242025!$AA$3:$AA$1315,DataRegularSeason20242025!$B$3:$B$1315, "&lt;=" &amp; EL$1, DataRegularSeason20242025!$D$3:$D$1315, $A21)+SUMIFS(DataRegularSeason20242025!$AB$3:$AB$1315,DataRegularSeason20242025!$B$3:$B$1315, "&lt;=" &amp; EL$1, DataRegularSeason20242025!$E$3:$E$1315, $A21)</f>
        <v>8</v>
      </c>
      <c r="EM21">
        <f>SUMIFS(DataRegularSeason20242025!$AA$3:$AA$1315,DataRegularSeason20242025!$B$3:$B$1315, "&lt;=" &amp; EM$1, DataRegularSeason20242025!$D$3:$D$1315, $A21)+SUMIFS(DataRegularSeason20242025!$AB$3:$AB$1315,DataRegularSeason20242025!$B$3:$B$1315, "&lt;=" &amp; EM$1, DataRegularSeason20242025!$E$3:$E$1315, $A21)</f>
        <v>8</v>
      </c>
      <c r="EN21">
        <f>SUMIFS(DataRegularSeason20242025!$AA$3:$AA$1315,DataRegularSeason20242025!$B$3:$B$1315, "&lt;=" &amp; EN$1, DataRegularSeason20242025!$D$3:$D$1315, $A21)+SUMIFS(DataRegularSeason20242025!$AB$3:$AB$1315,DataRegularSeason20242025!$B$3:$B$1315, "&lt;=" &amp; EN$1, DataRegularSeason20242025!$E$3:$E$1315, $A21)</f>
        <v>8</v>
      </c>
      <c r="EO21">
        <f>SUMIFS(DataRegularSeason20242025!$AA$3:$AA$1315,DataRegularSeason20242025!$B$3:$B$1315, "&lt;=" &amp; EO$1, DataRegularSeason20242025!$D$3:$D$1315, $A21)+SUMIFS(DataRegularSeason20242025!$AB$3:$AB$1315,DataRegularSeason20242025!$B$3:$B$1315, "&lt;=" &amp; EO$1, DataRegularSeason20242025!$E$3:$E$1315, $A21)</f>
        <v>8</v>
      </c>
      <c r="EP21">
        <f>SUMIFS(DataRegularSeason20242025!$AA$3:$AA$1315,DataRegularSeason20242025!$B$3:$B$1315, "&lt;=" &amp; EP$1, DataRegularSeason20242025!$D$3:$D$1315, $A21)+SUMIFS(DataRegularSeason20242025!$AB$3:$AB$1315,DataRegularSeason20242025!$B$3:$B$1315, "&lt;=" &amp; EP$1, DataRegularSeason20242025!$E$3:$E$1315, $A21)</f>
        <v>8</v>
      </c>
      <c r="EQ21">
        <f>SUMIFS(DataRegularSeason20242025!$AA$3:$AA$1315,DataRegularSeason20242025!$B$3:$B$1315, "&lt;=" &amp; EQ$1, DataRegularSeason20242025!$D$3:$D$1315, $A21)+SUMIFS(DataRegularSeason20242025!$AB$3:$AB$1315,DataRegularSeason20242025!$B$3:$B$1315, "&lt;=" &amp; EQ$1, DataRegularSeason20242025!$E$3:$E$1315, $A21)</f>
        <v>8</v>
      </c>
      <c r="ER21">
        <f>SUMIFS(DataRegularSeason20242025!$AA$3:$AA$1315,DataRegularSeason20242025!$B$3:$B$1315, "&lt;=" &amp; ER$1, DataRegularSeason20242025!$D$3:$D$1315, $A21)+SUMIFS(DataRegularSeason20242025!$AB$3:$AB$1315,DataRegularSeason20242025!$B$3:$B$1315, "&lt;=" &amp; ER$1, DataRegularSeason20242025!$E$3:$E$1315, $A21)</f>
        <v>8</v>
      </c>
      <c r="ES21">
        <f>SUMIFS(DataRegularSeason20242025!$AA$3:$AA$1315,DataRegularSeason20242025!$B$3:$B$1315, "&lt;=" &amp; ES$1, DataRegularSeason20242025!$D$3:$D$1315, $A21)+SUMIFS(DataRegularSeason20242025!$AB$3:$AB$1315,DataRegularSeason20242025!$B$3:$B$1315, "&lt;=" &amp; ES$1, DataRegularSeason20242025!$E$3:$E$1315, $A21)</f>
        <v>8</v>
      </c>
      <c r="ET21">
        <f>SUMIFS(DataRegularSeason20242025!$AA$3:$AA$1315,DataRegularSeason20242025!$B$3:$B$1315, "&lt;=" &amp; ET$1, DataRegularSeason20242025!$D$3:$D$1315, $A21)+SUMIFS(DataRegularSeason20242025!$AB$3:$AB$1315,DataRegularSeason20242025!$B$3:$B$1315, "&lt;=" &amp; ET$1, DataRegularSeason20242025!$E$3:$E$1315, $A21)</f>
        <v>8</v>
      </c>
      <c r="EU21">
        <f>SUMIFS(DataRegularSeason20242025!$AA$3:$AA$1315,DataRegularSeason20242025!$B$3:$B$1315, "&lt;=" &amp; EU$1, DataRegularSeason20242025!$D$3:$D$1315, $A21)+SUMIFS(DataRegularSeason20242025!$AB$3:$AB$1315,DataRegularSeason20242025!$B$3:$B$1315, "&lt;=" &amp; EU$1, DataRegularSeason20242025!$E$3:$E$1315, $A21)</f>
        <v>8</v>
      </c>
      <c r="EV21">
        <f>SUMIFS(DataRegularSeason20242025!$AA$3:$AA$1315,DataRegularSeason20242025!$B$3:$B$1315, "&lt;=" &amp; EV$1, DataRegularSeason20242025!$D$3:$D$1315, $A21)+SUMIFS(DataRegularSeason20242025!$AB$3:$AB$1315,DataRegularSeason20242025!$B$3:$B$1315, "&lt;=" &amp; EV$1, DataRegularSeason20242025!$E$3:$E$1315, $A21)</f>
        <v>8</v>
      </c>
      <c r="EW21">
        <f>SUMIFS(DataRegularSeason20242025!$AA$3:$AA$1315,DataRegularSeason20242025!$B$3:$B$1315, "&lt;=" &amp; EW$1, DataRegularSeason20242025!$D$3:$D$1315, $A21)+SUMIFS(DataRegularSeason20242025!$AB$3:$AB$1315,DataRegularSeason20242025!$B$3:$B$1315, "&lt;=" &amp; EW$1, DataRegularSeason20242025!$E$3:$E$1315, $A21)</f>
        <v>8</v>
      </c>
      <c r="EX21">
        <f>SUMIFS(DataRegularSeason20242025!$AA$3:$AA$1315,DataRegularSeason20242025!$B$3:$B$1315, "&lt;=" &amp; EX$1, DataRegularSeason20242025!$D$3:$D$1315, $A21)+SUMIFS(DataRegularSeason20242025!$AB$3:$AB$1315,DataRegularSeason20242025!$B$3:$B$1315, "&lt;=" &amp; EX$1, DataRegularSeason20242025!$E$3:$E$1315, $A21)</f>
        <v>8</v>
      </c>
      <c r="EY21">
        <f>SUMIFS(DataRegularSeason20242025!$AA$3:$AA$1315,DataRegularSeason20242025!$B$3:$B$1315, "&lt;=" &amp; EY$1, DataRegularSeason20242025!$D$3:$D$1315, $A21)+SUMIFS(DataRegularSeason20242025!$AB$3:$AB$1315,DataRegularSeason20242025!$B$3:$B$1315, "&lt;=" &amp; EY$1, DataRegularSeason20242025!$E$3:$E$1315, $A21)</f>
        <v>8</v>
      </c>
      <c r="EZ21">
        <f>SUMIFS(DataRegularSeason20242025!$AA$3:$AA$1315,DataRegularSeason20242025!$B$3:$B$1315, "&lt;=" &amp; EZ$1, DataRegularSeason20242025!$D$3:$D$1315, $A21)+SUMIFS(DataRegularSeason20242025!$AB$3:$AB$1315,DataRegularSeason20242025!$B$3:$B$1315, "&lt;=" &amp; EZ$1, DataRegularSeason20242025!$E$3:$E$1315, $A21)</f>
        <v>8</v>
      </c>
      <c r="FA21">
        <f>SUMIFS(DataRegularSeason20242025!$AA$3:$AA$1315,DataRegularSeason20242025!$B$3:$B$1315, "&lt;=" &amp; FA$1, DataRegularSeason20242025!$D$3:$D$1315, $A21)+SUMIFS(DataRegularSeason20242025!$AB$3:$AB$1315,DataRegularSeason20242025!$B$3:$B$1315, "&lt;=" &amp; FA$1, DataRegularSeason20242025!$E$3:$E$1315, $A21)</f>
        <v>8</v>
      </c>
      <c r="FB21">
        <f>SUMIFS(DataRegularSeason20242025!$AA$3:$AA$1315,DataRegularSeason20242025!$B$3:$B$1315, "&lt;=" &amp; FB$1, DataRegularSeason20242025!$D$3:$D$1315, $A21)+SUMIFS(DataRegularSeason20242025!$AB$3:$AB$1315,DataRegularSeason20242025!$B$3:$B$1315, "&lt;=" &amp; FB$1, DataRegularSeason20242025!$E$3:$E$1315, $A21)</f>
        <v>8</v>
      </c>
      <c r="FC21">
        <f>SUMIFS(DataRegularSeason20242025!$AA$3:$AA$1315,DataRegularSeason20242025!$B$3:$B$1315, "&lt;=" &amp; FC$1, DataRegularSeason20242025!$D$3:$D$1315, $A21)+SUMIFS(DataRegularSeason20242025!$AB$3:$AB$1315,DataRegularSeason20242025!$B$3:$B$1315, "&lt;=" &amp; FC$1, DataRegularSeason20242025!$E$3:$E$1315, $A21)</f>
        <v>8</v>
      </c>
      <c r="FD21">
        <f>SUMIFS(DataRegularSeason20242025!$AA$3:$AA$1315,DataRegularSeason20242025!$B$3:$B$1315, "&lt;=" &amp; FD$1, DataRegularSeason20242025!$D$3:$D$1315, $A21)+SUMIFS(DataRegularSeason20242025!$AB$3:$AB$1315,DataRegularSeason20242025!$B$3:$B$1315, "&lt;=" &amp; FD$1, DataRegularSeason20242025!$E$3:$E$1315, $A21)</f>
        <v>8</v>
      </c>
      <c r="FE21">
        <f>SUMIFS(DataRegularSeason20242025!$AA$3:$AA$1315,DataRegularSeason20242025!$B$3:$B$1315, "&lt;=" &amp; FE$1, DataRegularSeason20242025!$D$3:$D$1315, $A21)+SUMIFS(DataRegularSeason20242025!$AB$3:$AB$1315,DataRegularSeason20242025!$B$3:$B$1315, "&lt;=" &amp; FE$1, DataRegularSeason20242025!$E$3:$E$1315, $A21)</f>
        <v>8</v>
      </c>
      <c r="FF21">
        <f>SUMIFS(DataRegularSeason20242025!$AA$3:$AA$1315,DataRegularSeason20242025!$B$3:$B$1315, "&lt;=" &amp; FF$1, DataRegularSeason20242025!$D$3:$D$1315, $A21)+SUMIFS(DataRegularSeason20242025!$AB$3:$AB$1315,DataRegularSeason20242025!$B$3:$B$1315, "&lt;=" &amp; FF$1, DataRegularSeason20242025!$E$3:$E$1315, $A21)</f>
        <v>8</v>
      </c>
      <c r="FG21">
        <f>SUMIFS(DataRegularSeason20242025!$AA$3:$AA$1315,DataRegularSeason20242025!$B$3:$B$1315, "&lt;=" &amp; FG$1, DataRegularSeason20242025!$D$3:$D$1315, $A21)+SUMIFS(DataRegularSeason20242025!$AB$3:$AB$1315,DataRegularSeason20242025!$B$3:$B$1315, "&lt;=" &amp; FG$1, DataRegularSeason20242025!$E$3:$E$1315, $A21)</f>
        <v>8</v>
      </c>
      <c r="FH21">
        <f>SUMIFS(DataRegularSeason20242025!$AA$3:$AA$1315,DataRegularSeason20242025!$B$3:$B$1315, "&lt;=" &amp; FH$1, DataRegularSeason20242025!$D$3:$D$1315, $A21)+SUMIFS(DataRegularSeason20242025!$AB$3:$AB$1315,DataRegularSeason20242025!$B$3:$B$1315, "&lt;=" &amp; FH$1, DataRegularSeason20242025!$E$3:$E$1315, $A21)</f>
        <v>8</v>
      </c>
      <c r="FI21">
        <f>SUMIFS(DataRegularSeason20242025!$AA$3:$AA$1315,DataRegularSeason20242025!$B$3:$B$1315, "&lt;=" &amp; FI$1, DataRegularSeason20242025!$D$3:$D$1315, $A21)+SUMIFS(DataRegularSeason20242025!$AB$3:$AB$1315,DataRegularSeason20242025!$B$3:$B$1315, "&lt;=" &amp; FI$1, DataRegularSeason20242025!$E$3:$E$1315, $A21)</f>
        <v>8</v>
      </c>
      <c r="FJ21">
        <f>SUMIFS(DataRegularSeason20242025!$AA$3:$AA$1315,DataRegularSeason20242025!$B$3:$B$1315, "&lt;=" &amp; FJ$1, DataRegularSeason20242025!$D$3:$D$1315, $A21)+SUMIFS(DataRegularSeason20242025!$AB$3:$AB$1315,DataRegularSeason20242025!$B$3:$B$1315, "&lt;=" &amp; FJ$1, DataRegularSeason20242025!$E$3:$E$1315, $A21)</f>
        <v>8</v>
      </c>
      <c r="FK21">
        <f>SUMIFS(DataRegularSeason20242025!$AA$3:$AA$1315,DataRegularSeason20242025!$B$3:$B$1315, "&lt;=" &amp; FK$1, DataRegularSeason20242025!$D$3:$D$1315, $A21)+SUMIFS(DataRegularSeason20242025!$AB$3:$AB$1315,DataRegularSeason20242025!$B$3:$B$1315, "&lt;=" &amp; FK$1, DataRegularSeason20242025!$E$3:$E$1315, $A21)</f>
        <v>8</v>
      </c>
      <c r="FL21">
        <f>SUMIFS(DataRegularSeason20242025!$AA$3:$AA$1315,DataRegularSeason20242025!$B$3:$B$1315, "&lt;=" &amp; FL$1, DataRegularSeason20242025!$D$3:$D$1315, $A21)+SUMIFS(DataRegularSeason20242025!$AB$3:$AB$1315,DataRegularSeason20242025!$B$3:$B$1315, "&lt;=" &amp; FL$1, DataRegularSeason20242025!$E$3:$E$1315, $A21)</f>
        <v>8</v>
      </c>
      <c r="FM21">
        <f>SUMIFS(DataRegularSeason20242025!$AA$3:$AA$1315,DataRegularSeason20242025!$B$3:$B$1315, "&lt;=" &amp; FM$1, DataRegularSeason20242025!$D$3:$D$1315, $A21)+SUMIFS(DataRegularSeason20242025!$AB$3:$AB$1315,DataRegularSeason20242025!$B$3:$B$1315, "&lt;=" &amp; FM$1, DataRegularSeason20242025!$E$3:$E$1315, $A21)</f>
        <v>8</v>
      </c>
      <c r="FN21">
        <f>SUMIFS(DataRegularSeason20242025!$AA$3:$AA$1315,DataRegularSeason20242025!$B$3:$B$1315, "&lt;=" &amp; FN$1, DataRegularSeason20242025!$D$3:$D$1315, $A21)+SUMIFS(DataRegularSeason20242025!$AB$3:$AB$1315,DataRegularSeason20242025!$B$3:$B$1315, "&lt;=" &amp; FN$1, DataRegularSeason20242025!$E$3:$E$1315, $A21)</f>
        <v>8</v>
      </c>
      <c r="FO21">
        <f>SUMIFS(DataRegularSeason20242025!$AA$3:$AA$1315,DataRegularSeason20242025!$B$3:$B$1315, "&lt;=" &amp; FO$1, DataRegularSeason20242025!$D$3:$D$1315, $A21)+SUMIFS(DataRegularSeason20242025!$AB$3:$AB$1315,DataRegularSeason20242025!$B$3:$B$1315, "&lt;=" &amp; FO$1, DataRegularSeason20242025!$E$3:$E$1315, $A21)</f>
        <v>8</v>
      </c>
      <c r="FP21">
        <f>SUMIFS(DataRegularSeason20242025!$AA$3:$AA$1315,DataRegularSeason20242025!$B$3:$B$1315, "&lt;=" &amp; FP$1, DataRegularSeason20242025!$D$3:$D$1315, $A21)+SUMIFS(DataRegularSeason20242025!$AB$3:$AB$1315,DataRegularSeason20242025!$B$3:$B$1315, "&lt;=" &amp; FP$1, DataRegularSeason20242025!$E$3:$E$1315, $A21)</f>
        <v>8</v>
      </c>
      <c r="FQ21">
        <f>SUMIFS(DataRegularSeason20242025!$AA$3:$AA$1315,DataRegularSeason20242025!$B$3:$B$1315, "&lt;=" &amp; FQ$1, DataRegularSeason20242025!$D$3:$D$1315, $A21)+SUMIFS(DataRegularSeason20242025!$AB$3:$AB$1315,DataRegularSeason20242025!$B$3:$B$1315, "&lt;=" &amp; FQ$1, DataRegularSeason20242025!$E$3:$E$1315, $A21)</f>
        <v>8</v>
      </c>
      <c r="FR21">
        <f>SUMIFS(DataRegularSeason20242025!$AA$3:$AA$1315,DataRegularSeason20242025!$B$3:$B$1315, "&lt;=" &amp; FR$1, DataRegularSeason20242025!$D$3:$D$1315, $A21)+SUMIFS(DataRegularSeason20242025!$AB$3:$AB$1315,DataRegularSeason20242025!$B$3:$B$1315, "&lt;=" &amp; FR$1, DataRegularSeason20242025!$E$3:$E$1315, $A21)</f>
        <v>8</v>
      </c>
      <c r="FS21">
        <f>SUMIFS(DataRegularSeason20242025!$AA$3:$AA$1315,DataRegularSeason20242025!$B$3:$B$1315, "&lt;=" &amp; FS$1, DataRegularSeason20242025!$D$3:$D$1315, $A21)+SUMIFS(DataRegularSeason20242025!$AB$3:$AB$1315,DataRegularSeason20242025!$B$3:$B$1315, "&lt;=" &amp; FS$1, DataRegularSeason20242025!$E$3:$E$1315, $A21)</f>
        <v>8</v>
      </c>
      <c r="FT21">
        <f>SUMIFS(DataRegularSeason20242025!$AA$3:$AA$1315,DataRegularSeason20242025!$B$3:$B$1315, "&lt;=" &amp; FT$1, DataRegularSeason20242025!$D$3:$D$1315, $A21)+SUMIFS(DataRegularSeason20242025!$AB$3:$AB$1315,DataRegularSeason20242025!$B$3:$B$1315, "&lt;=" &amp; FT$1, DataRegularSeason20242025!$E$3:$E$1315, $A21)</f>
        <v>8</v>
      </c>
      <c r="FU21">
        <f>SUMIFS(DataRegularSeason20242025!$AA$3:$AA$1315,DataRegularSeason20242025!$B$3:$B$1315, "&lt;=" &amp; FU$1, DataRegularSeason20242025!$D$3:$D$1315, $A21)+SUMIFS(DataRegularSeason20242025!$AB$3:$AB$1315,DataRegularSeason20242025!$B$3:$B$1315, "&lt;=" &amp; FU$1, DataRegularSeason20242025!$E$3:$E$1315, $A21)</f>
        <v>8</v>
      </c>
      <c r="FV21">
        <f>SUMIFS(DataRegularSeason20242025!$AA$3:$AA$1315,DataRegularSeason20242025!$B$3:$B$1315, "&lt;=" &amp; FV$1, DataRegularSeason20242025!$D$3:$D$1315, $A21)+SUMIFS(DataRegularSeason20242025!$AB$3:$AB$1315,DataRegularSeason20242025!$B$3:$B$1315, "&lt;=" &amp; FV$1, DataRegularSeason20242025!$E$3:$E$1315, $A21)</f>
        <v>8</v>
      </c>
      <c r="FW21">
        <f>SUMIFS(DataRegularSeason20242025!$AA$3:$AA$1315,DataRegularSeason20242025!$B$3:$B$1315, "&lt;=" &amp; FW$1, DataRegularSeason20242025!$D$3:$D$1315, $A21)+SUMIFS(DataRegularSeason20242025!$AB$3:$AB$1315,DataRegularSeason20242025!$B$3:$B$1315, "&lt;=" &amp; FW$1, DataRegularSeason20242025!$E$3:$E$1315, $A21)</f>
        <v>8</v>
      </c>
      <c r="FX21">
        <f>SUMIFS(DataRegularSeason20242025!$AA$3:$AA$1315,DataRegularSeason20242025!$B$3:$B$1315, "&lt;=" &amp; FX$1, DataRegularSeason20242025!$D$3:$D$1315, $A21)+SUMIFS(DataRegularSeason20242025!$AB$3:$AB$1315,DataRegularSeason20242025!$B$3:$B$1315, "&lt;=" &amp; FX$1, DataRegularSeason20242025!$E$3:$E$1315, $A21)</f>
        <v>8</v>
      </c>
      <c r="FY21">
        <f>SUMIFS(DataRegularSeason20242025!$AA$3:$AA$1315,DataRegularSeason20242025!$B$3:$B$1315, "&lt;=" &amp; FY$1, DataRegularSeason20242025!$D$3:$D$1315, $A21)+SUMIFS(DataRegularSeason20242025!$AB$3:$AB$1315,DataRegularSeason20242025!$B$3:$B$1315, "&lt;=" &amp; FY$1, DataRegularSeason20242025!$E$3:$E$1315, $A21)</f>
        <v>8</v>
      </c>
      <c r="FZ21">
        <f>SUMIFS(DataRegularSeason20242025!$AA$3:$AA$1315,DataRegularSeason20242025!$B$3:$B$1315, "&lt;=" &amp; FZ$1, DataRegularSeason20242025!$D$3:$D$1315, $A21)+SUMIFS(DataRegularSeason20242025!$AB$3:$AB$1315,DataRegularSeason20242025!$B$3:$B$1315, "&lt;=" &amp; FZ$1, DataRegularSeason20242025!$E$3:$E$1315, $A21)</f>
        <v>8</v>
      </c>
      <c r="GA21">
        <f>SUMIFS(DataRegularSeason20242025!$AA$3:$AA$1315,DataRegularSeason20242025!$B$3:$B$1315, "&lt;=" &amp; GA$1, DataRegularSeason20242025!$D$3:$D$1315, $A21)+SUMIFS(DataRegularSeason20242025!$AB$3:$AB$1315,DataRegularSeason20242025!$B$3:$B$1315, "&lt;=" &amp; GA$1, DataRegularSeason20242025!$E$3:$E$1315, $A21)</f>
        <v>8</v>
      </c>
      <c r="GB21">
        <f>SUMIFS(DataRegularSeason20242025!$AA$3:$AA$1315,DataRegularSeason20242025!$B$3:$B$1315, "&lt;=" &amp; GB$1, DataRegularSeason20242025!$D$3:$D$1315, $A21)+SUMIFS(DataRegularSeason20242025!$AB$3:$AB$1315,DataRegularSeason20242025!$B$3:$B$1315, "&lt;=" &amp; GB$1, DataRegularSeason20242025!$E$3:$E$1315, $A21)</f>
        <v>8</v>
      </c>
      <c r="GC21">
        <f>SUMIFS(DataRegularSeason20242025!$AA$3:$AA$1315,DataRegularSeason20242025!$B$3:$B$1315, "&lt;=" &amp; GC$1, DataRegularSeason20242025!$D$3:$D$1315, $A21)+SUMIFS(DataRegularSeason20242025!$AB$3:$AB$1315,DataRegularSeason20242025!$B$3:$B$1315, "&lt;=" &amp; GC$1, DataRegularSeason20242025!$E$3:$E$1315, $A21)</f>
        <v>8</v>
      </c>
      <c r="GD21">
        <f>SUMIFS(DataRegularSeason20242025!$AA$3:$AA$1315,DataRegularSeason20242025!$B$3:$B$1315, "&lt;=" &amp; GD$1, DataRegularSeason20242025!$D$3:$D$1315, $A21)+SUMIFS(DataRegularSeason20242025!$AB$3:$AB$1315,DataRegularSeason20242025!$B$3:$B$1315, "&lt;=" &amp; GD$1, DataRegularSeason20242025!$E$3:$E$1315, $A21)</f>
        <v>8</v>
      </c>
      <c r="GE21">
        <f>SUMIFS(DataRegularSeason20242025!$AA$3:$AA$1315,DataRegularSeason20242025!$B$3:$B$1315, "&lt;=" &amp; GE$1, DataRegularSeason20242025!$D$3:$D$1315, $A21)+SUMIFS(DataRegularSeason20242025!$AB$3:$AB$1315,DataRegularSeason20242025!$B$3:$B$1315, "&lt;=" &amp; GE$1, DataRegularSeason20242025!$E$3:$E$1315, $A21)</f>
        <v>8</v>
      </c>
      <c r="GF21">
        <f>SUMIFS(DataRegularSeason20242025!$AA$3:$AA$1315,DataRegularSeason20242025!$B$3:$B$1315, "&lt;=" &amp; GF$1, DataRegularSeason20242025!$D$3:$D$1315, $A21)+SUMIFS(DataRegularSeason20242025!$AB$3:$AB$1315,DataRegularSeason20242025!$B$3:$B$1315, "&lt;=" &amp; GF$1, DataRegularSeason20242025!$E$3:$E$1315, $A21)</f>
        <v>8</v>
      </c>
      <c r="GG21">
        <f>SUMIFS(DataRegularSeason20242025!$AA$3:$AA$1315,DataRegularSeason20242025!$B$3:$B$1315, "&lt;=" &amp; GG$1, DataRegularSeason20242025!$D$3:$D$1315, $A21)+SUMIFS(DataRegularSeason20242025!$AB$3:$AB$1315,DataRegularSeason20242025!$B$3:$B$1315, "&lt;=" &amp; GG$1, DataRegularSeason20242025!$E$3:$E$1315, $A21)</f>
        <v>8</v>
      </c>
      <c r="GH21">
        <f>SUMIFS(DataRegularSeason20242025!$AA$3:$AA$1315,DataRegularSeason20242025!$B$3:$B$1315, "&lt;=" &amp; GH$1, DataRegularSeason20242025!$D$3:$D$1315, $A21)+SUMIFS(DataRegularSeason20242025!$AB$3:$AB$1315,DataRegularSeason20242025!$B$3:$B$1315, "&lt;=" &amp; GH$1, DataRegularSeason20242025!$E$3:$E$1315, $A21)</f>
        <v>8</v>
      </c>
      <c r="GI21">
        <f>SUMIFS(DataRegularSeason20242025!$AA$3:$AA$1315,DataRegularSeason20242025!$B$3:$B$1315, "&lt;=" &amp; GI$1, DataRegularSeason20242025!$D$3:$D$1315, $A21)+SUMIFS(DataRegularSeason20242025!$AB$3:$AB$1315,DataRegularSeason20242025!$B$3:$B$1315, "&lt;=" &amp; GI$1, DataRegularSeason20242025!$E$3:$E$1315, $A21)</f>
        <v>8</v>
      </c>
      <c r="GJ21">
        <f>SUMIFS(DataRegularSeason20242025!$AA$3:$AA$1315,DataRegularSeason20242025!$B$3:$B$1315, "&lt;=" &amp; GJ$1, DataRegularSeason20242025!$D$3:$D$1315, $A21)+SUMIFS(DataRegularSeason20242025!$AB$3:$AB$1315,DataRegularSeason20242025!$B$3:$B$1315, "&lt;=" &amp; GJ$1, DataRegularSeason20242025!$E$3:$E$1315, $A21)</f>
        <v>8</v>
      </c>
      <c r="GK21">
        <f>SUMIFS(DataRegularSeason20242025!$AA$3:$AA$1315,DataRegularSeason20242025!$B$3:$B$1315, "&lt;=" &amp; GK$1, DataRegularSeason20242025!$D$3:$D$1315, $A21)+SUMIFS(DataRegularSeason20242025!$AB$3:$AB$1315,DataRegularSeason20242025!$B$3:$B$1315, "&lt;=" &amp; GK$1, DataRegularSeason20242025!$E$3:$E$1315, $A21)</f>
        <v>8</v>
      </c>
      <c r="GL21">
        <f>SUMIFS(DataRegularSeason20242025!$AA$3:$AA$1315,DataRegularSeason20242025!$B$3:$B$1315, "&lt;=" &amp; GL$1, DataRegularSeason20242025!$D$3:$D$1315, $A21)+SUMIFS(DataRegularSeason20242025!$AB$3:$AB$1315,DataRegularSeason20242025!$B$3:$B$1315, "&lt;=" &amp; GL$1, DataRegularSeason20242025!$E$3:$E$1315, $A21)</f>
        <v>8</v>
      </c>
      <c r="GM21">
        <f>SUMIFS(DataRegularSeason20242025!$AA$3:$AA$1315,DataRegularSeason20242025!$B$3:$B$1315, "&lt;=" &amp; GM$1, DataRegularSeason20242025!$D$3:$D$1315, $A21)+SUMIFS(DataRegularSeason20242025!$AB$3:$AB$1315,DataRegularSeason20242025!$B$3:$B$1315, "&lt;=" &amp; GM$1, DataRegularSeason20242025!$E$3:$E$1315, $A21)</f>
        <v>8</v>
      </c>
      <c r="GN21">
        <f>SUMIFS(DataRegularSeason20242025!$AA$3:$AA$1315,DataRegularSeason20242025!$B$3:$B$1315, "&lt;=" &amp; GN$1, DataRegularSeason20242025!$D$3:$D$1315, $A21)+SUMIFS(DataRegularSeason20242025!$AB$3:$AB$1315,DataRegularSeason20242025!$B$3:$B$1315, "&lt;=" &amp; GN$1, DataRegularSeason20242025!$E$3:$E$1315, $A21)</f>
        <v>8</v>
      </c>
      <c r="GO21">
        <f>SUMIFS(DataRegularSeason20242025!$AA$3:$AA$1315,DataRegularSeason20242025!$B$3:$B$1315, "&lt;=" &amp; GO$1, DataRegularSeason20242025!$D$3:$D$1315, $A21)+SUMIFS(DataRegularSeason20242025!$AB$3:$AB$1315,DataRegularSeason20242025!$B$3:$B$1315, "&lt;=" &amp; GO$1, DataRegularSeason20242025!$E$3:$E$1315, $A21)</f>
        <v>8</v>
      </c>
      <c r="GP21">
        <f>SUMIFS(DataRegularSeason20242025!$AA$3:$AA$1315,DataRegularSeason20242025!$B$3:$B$1315, "&lt;=" &amp; GP$1, DataRegularSeason20242025!$D$3:$D$1315, $A21)+SUMIFS(DataRegularSeason20242025!$AB$3:$AB$1315,DataRegularSeason20242025!$B$3:$B$1315, "&lt;=" &amp; GP$1, DataRegularSeason20242025!$E$3:$E$1315, $A21)</f>
        <v>8</v>
      </c>
      <c r="GQ21">
        <f>SUMIFS(DataRegularSeason20242025!$AA$3:$AA$1315,DataRegularSeason20242025!$B$3:$B$1315, "&lt;=" &amp; GQ$1, DataRegularSeason20242025!$D$3:$D$1315, $A21)+SUMIFS(DataRegularSeason20242025!$AB$3:$AB$1315,DataRegularSeason20242025!$B$3:$B$1315, "&lt;=" &amp; GQ$1, DataRegularSeason20242025!$E$3:$E$1315, $A21)</f>
        <v>8</v>
      </c>
      <c r="GR21">
        <f>SUMIFS(DataRegularSeason20242025!$AA$3:$AA$1315,DataRegularSeason20242025!$B$3:$B$1315, "&lt;=" &amp; GR$1, DataRegularSeason20242025!$D$3:$D$1315, $A21)+SUMIFS(DataRegularSeason20242025!$AB$3:$AB$1315,DataRegularSeason20242025!$B$3:$B$1315, "&lt;=" &amp; GR$1, DataRegularSeason20242025!$E$3:$E$1315, $A21)</f>
        <v>8</v>
      </c>
      <c r="GS21">
        <f>SUMIFS(DataRegularSeason20242025!$AA$3:$AA$1315,DataRegularSeason20242025!$B$3:$B$1315, "&lt;=" &amp; GS$1, DataRegularSeason20242025!$D$3:$D$1315, $A21)+SUMIFS(DataRegularSeason20242025!$AB$3:$AB$1315,DataRegularSeason20242025!$B$3:$B$1315, "&lt;=" &amp; GS$1, DataRegularSeason20242025!$E$3:$E$1315, $A21)</f>
        <v>8</v>
      </c>
      <c r="GT21">
        <f>SUMIFS(DataRegularSeason20242025!$AA$3:$AA$1315,DataRegularSeason20242025!$B$3:$B$1315, "&lt;=" &amp; GT$1, DataRegularSeason20242025!$D$3:$D$1315, $A21)+SUMIFS(DataRegularSeason20242025!$AB$3:$AB$1315,DataRegularSeason20242025!$B$3:$B$1315, "&lt;=" &amp; GT$1, DataRegularSeason20242025!$E$3:$E$1315, $A21)</f>
        <v>8</v>
      </c>
      <c r="GU21">
        <f>SUMIFS(DataRegularSeason20242025!$AA$3:$AA$1315,DataRegularSeason20242025!$B$3:$B$1315, "&lt;=" &amp; GU$1, DataRegularSeason20242025!$D$3:$D$1315, $A21)+SUMIFS(DataRegularSeason20242025!$AB$3:$AB$1315,DataRegularSeason20242025!$B$3:$B$1315, "&lt;=" &amp; GU$1, DataRegularSeason20242025!$E$3:$E$1315, $A21)</f>
        <v>8</v>
      </c>
    </row>
    <row r="22" spans="1:203" x14ac:dyDescent="0.25">
      <c r="A22" t="s">
        <v>36</v>
      </c>
      <c r="B22" t="s">
        <v>90</v>
      </c>
      <c r="C22" s="107" t="s">
        <v>88</v>
      </c>
      <c r="D22">
        <f>SUMIFS(DataRegularSeason20242025!$AA$3:$AA$1315,DataRegularSeason20242025!$B$3:$B$1315, "&lt;=" &amp; D$1, DataRegularSeason20242025!$D$3:$D$1315, $A22)+SUMIFS(DataRegularSeason20242025!$AB$3:$AB$1315,DataRegularSeason20242025!$B$3:$B$1315, "&lt;=" &amp; D$1, DataRegularSeason20242025!$E$3:$E$1315, $A22)</f>
        <v>0</v>
      </c>
      <c r="E22">
        <f>SUMIFS(DataRegularSeason20242025!$AA$3:$AA$1315,DataRegularSeason20242025!$B$3:$B$1315, "&lt;=" &amp; E$1, DataRegularSeason20242025!$D$3:$D$1315, $A22)+SUMIFS(DataRegularSeason20242025!$AB$3:$AB$1315,DataRegularSeason20242025!$B$3:$B$1315, "&lt;=" &amp; E$1, DataRegularSeason20242025!$E$3:$E$1315, $A22)</f>
        <v>0</v>
      </c>
      <c r="F22">
        <f>SUMIFS(DataRegularSeason20242025!$AA$3:$AA$1315,DataRegularSeason20242025!$B$3:$B$1315, "&lt;=" &amp; F$1, DataRegularSeason20242025!$D$3:$D$1315, $A22)+SUMIFS(DataRegularSeason20242025!$AB$3:$AB$1315,DataRegularSeason20242025!$B$3:$B$1315, "&lt;=" &amp; F$1, DataRegularSeason20242025!$E$3:$E$1315, $A22)</f>
        <v>0</v>
      </c>
      <c r="G22">
        <f>SUMIFS(DataRegularSeason20242025!$AA$3:$AA$1315,DataRegularSeason20242025!$B$3:$B$1315, "&lt;=" &amp; G$1, DataRegularSeason20242025!$D$3:$D$1315, $A22)+SUMIFS(DataRegularSeason20242025!$AB$3:$AB$1315,DataRegularSeason20242025!$B$3:$B$1315, "&lt;=" &amp; G$1, DataRegularSeason20242025!$E$3:$E$1315, $A22)</f>
        <v>0</v>
      </c>
      <c r="H22">
        <f>SUMIFS(DataRegularSeason20242025!$AA$3:$AA$1315,DataRegularSeason20242025!$B$3:$B$1315, "&lt;=" &amp; H$1, DataRegularSeason20242025!$D$3:$D$1315, $A22)+SUMIFS(DataRegularSeason20242025!$AB$3:$AB$1315,DataRegularSeason20242025!$B$3:$B$1315, "&lt;=" &amp; H$1, DataRegularSeason20242025!$E$3:$E$1315, $A22)</f>
        <v>0</v>
      </c>
      <c r="I22">
        <f>SUMIFS(DataRegularSeason20242025!$AA$3:$AA$1315,DataRegularSeason20242025!$B$3:$B$1315, "&lt;=" &amp; I$1, DataRegularSeason20242025!$D$3:$D$1315, $A22)+SUMIFS(DataRegularSeason20242025!$AB$3:$AB$1315,DataRegularSeason20242025!$B$3:$B$1315, "&lt;=" &amp; I$1, DataRegularSeason20242025!$E$3:$E$1315, $A22)</f>
        <v>0</v>
      </c>
      <c r="J22">
        <f>SUMIFS(DataRegularSeason20242025!$AA$3:$AA$1315,DataRegularSeason20242025!$B$3:$B$1315, "&lt;=" &amp; J$1, DataRegularSeason20242025!$D$3:$D$1315, $A22)+SUMIFS(DataRegularSeason20242025!$AB$3:$AB$1315,DataRegularSeason20242025!$B$3:$B$1315, "&lt;=" &amp; J$1, DataRegularSeason20242025!$E$3:$E$1315, $A22)</f>
        <v>2</v>
      </c>
      <c r="K22">
        <f>SUMIFS(DataRegularSeason20242025!$AA$3:$AA$1315,DataRegularSeason20242025!$B$3:$B$1315, "&lt;=" &amp; K$1, DataRegularSeason20242025!$D$3:$D$1315, $A22)+SUMIFS(DataRegularSeason20242025!$AB$3:$AB$1315,DataRegularSeason20242025!$B$3:$B$1315, "&lt;=" &amp; K$1, DataRegularSeason20242025!$E$3:$E$1315, $A22)</f>
        <v>2</v>
      </c>
      <c r="L22">
        <f>SUMIFS(DataRegularSeason20242025!$AA$3:$AA$1315,DataRegularSeason20242025!$B$3:$B$1315, "&lt;=" &amp; L$1, DataRegularSeason20242025!$D$3:$D$1315, $A22)+SUMIFS(DataRegularSeason20242025!$AB$3:$AB$1315,DataRegularSeason20242025!$B$3:$B$1315, "&lt;=" &amp; L$1, DataRegularSeason20242025!$E$3:$E$1315, $A22)</f>
        <v>2</v>
      </c>
      <c r="M22">
        <f>SUMIFS(DataRegularSeason20242025!$AA$3:$AA$1315,DataRegularSeason20242025!$B$3:$B$1315, "&lt;=" &amp; M$1, DataRegularSeason20242025!$D$3:$D$1315, $A22)+SUMIFS(DataRegularSeason20242025!$AB$3:$AB$1315,DataRegularSeason20242025!$B$3:$B$1315, "&lt;=" &amp; M$1, DataRegularSeason20242025!$E$3:$E$1315, $A22)</f>
        <v>2</v>
      </c>
      <c r="N22">
        <f>SUMIFS(DataRegularSeason20242025!$AA$3:$AA$1315,DataRegularSeason20242025!$B$3:$B$1315, "&lt;=" &amp; N$1, DataRegularSeason20242025!$D$3:$D$1315, $A22)+SUMIFS(DataRegularSeason20242025!$AB$3:$AB$1315,DataRegularSeason20242025!$B$3:$B$1315, "&lt;=" &amp; N$1, DataRegularSeason20242025!$E$3:$E$1315, $A22)</f>
        <v>4</v>
      </c>
      <c r="O22">
        <f>SUMIFS(DataRegularSeason20242025!$AA$3:$AA$1315,DataRegularSeason20242025!$B$3:$B$1315, "&lt;=" &amp; O$1, DataRegularSeason20242025!$D$3:$D$1315, $A22)+SUMIFS(DataRegularSeason20242025!$AB$3:$AB$1315,DataRegularSeason20242025!$B$3:$B$1315, "&lt;=" &amp; O$1, DataRegularSeason20242025!$E$3:$E$1315, $A22)</f>
        <v>4</v>
      </c>
      <c r="P22">
        <f>SUMIFS(DataRegularSeason20242025!$AA$3:$AA$1315,DataRegularSeason20242025!$B$3:$B$1315, "&lt;=" &amp; P$1, DataRegularSeason20242025!$D$3:$D$1315, $A22)+SUMIFS(DataRegularSeason20242025!$AB$3:$AB$1315,DataRegularSeason20242025!$B$3:$B$1315, "&lt;=" &amp; P$1, DataRegularSeason20242025!$E$3:$E$1315, $A22)</f>
        <v>4</v>
      </c>
      <c r="Q22">
        <f>SUMIFS(DataRegularSeason20242025!$AA$3:$AA$1315,DataRegularSeason20242025!$B$3:$B$1315, "&lt;=" &amp; Q$1, DataRegularSeason20242025!$D$3:$D$1315, $A22)+SUMIFS(DataRegularSeason20242025!$AB$3:$AB$1315,DataRegularSeason20242025!$B$3:$B$1315, "&lt;=" &amp; Q$1, DataRegularSeason20242025!$E$3:$E$1315, $A22)</f>
        <v>4</v>
      </c>
      <c r="R22">
        <f>SUMIFS(DataRegularSeason20242025!$AA$3:$AA$1315,DataRegularSeason20242025!$B$3:$B$1315, "&lt;=" &amp; R$1, DataRegularSeason20242025!$D$3:$D$1315, $A22)+SUMIFS(DataRegularSeason20242025!$AB$3:$AB$1315,DataRegularSeason20242025!$B$3:$B$1315, "&lt;=" &amp; R$1, DataRegularSeason20242025!$E$3:$E$1315, $A22)</f>
        <v>4</v>
      </c>
      <c r="S22">
        <f>SUMIFS(DataRegularSeason20242025!$AA$3:$AA$1315,DataRegularSeason20242025!$B$3:$B$1315, "&lt;=" &amp; S$1, DataRegularSeason20242025!$D$3:$D$1315, $A22)+SUMIFS(DataRegularSeason20242025!$AB$3:$AB$1315,DataRegularSeason20242025!$B$3:$B$1315, "&lt;=" &amp; S$1, DataRegularSeason20242025!$E$3:$E$1315, $A22)</f>
        <v>5</v>
      </c>
      <c r="T22">
        <f>SUMIFS(DataRegularSeason20242025!$AA$3:$AA$1315,DataRegularSeason20242025!$B$3:$B$1315, "&lt;=" &amp; T$1, DataRegularSeason20242025!$D$3:$D$1315, $A22)+SUMIFS(DataRegularSeason20242025!$AB$3:$AB$1315,DataRegularSeason20242025!$B$3:$B$1315, "&lt;=" &amp; T$1, DataRegularSeason20242025!$E$3:$E$1315, $A22)</f>
        <v>5</v>
      </c>
      <c r="U22">
        <f>SUMIFS(DataRegularSeason20242025!$AA$3:$AA$1315,DataRegularSeason20242025!$B$3:$B$1315, "&lt;=" &amp; U$1, DataRegularSeason20242025!$D$3:$D$1315, $A22)+SUMIFS(DataRegularSeason20242025!$AB$3:$AB$1315,DataRegularSeason20242025!$B$3:$B$1315, "&lt;=" &amp; U$1, DataRegularSeason20242025!$E$3:$E$1315, $A22)</f>
        <v>7</v>
      </c>
      <c r="V22">
        <f>SUMIFS(DataRegularSeason20242025!$AA$3:$AA$1315,DataRegularSeason20242025!$B$3:$B$1315, "&lt;=" &amp; V$1, DataRegularSeason20242025!$D$3:$D$1315, $A22)+SUMIFS(DataRegularSeason20242025!$AB$3:$AB$1315,DataRegularSeason20242025!$B$3:$B$1315, "&lt;=" &amp; V$1, DataRegularSeason20242025!$E$3:$E$1315, $A22)</f>
        <v>7</v>
      </c>
      <c r="W22">
        <f>SUMIFS(DataRegularSeason20242025!$AA$3:$AA$1315,DataRegularSeason20242025!$B$3:$B$1315, "&lt;=" &amp; W$1, DataRegularSeason20242025!$D$3:$D$1315, $A22)+SUMIFS(DataRegularSeason20242025!$AB$3:$AB$1315,DataRegularSeason20242025!$B$3:$B$1315, "&lt;=" &amp; W$1, DataRegularSeason20242025!$E$3:$E$1315, $A22)</f>
        <v>7</v>
      </c>
      <c r="X22">
        <f>SUMIFS(DataRegularSeason20242025!$AA$3:$AA$1315,DataRegularSeason20242025!$B$3:$B$1315, "&lt;=" &amp; X$1, DataRegularSeason20242025!$D$3:$D$1315, $A22)+SUMIFS(DataRegularSeason20242025!$AB$3:$AB$1315,DataRegularSeason20242025!$B$3:$B$1315, "&lt;=" &amp; X$1, DataRegularSeason20242025!$E$3:$E$1315, $A22)</f>
        <v>7</v>
      </c>
      <c r="Y22">
        <f>SUMIFS(DataRegularSeason20242025!$AA$3:$AA$1315,DataRegularSeason20242025!$B$3:$B$1315, "&lt;=" &amp; Y$1, DataRegularSeason20242025!$D$3:$D$1315, $A22)+SUMIFS(DataRegularSeason20242025!$AB$3:$AB$1315,DataRegularSeason20242025!$B$3:$B$1315, "&lt;=" &amp; Y$1, DataRegularSeason20242025!$E$3:$E$1315, $A22)</f>
        <v>7</v>
      </c>
      <c r="Z22">
        <f>SUMIFS(DataRegularSeason20242025!$AA$3:$AA$1315,DataRegularSeason20242025!$B$3:$B$1315, "&lt;=" &amp; Z$1, DataRegularSeason20242025!$D$3:$D$1315, $A22)+SUMIFS(DataRegularSeason20242025!$AB$3:$AB$1315,DataRegularSeason20242025!$B$3:$B$1315, "&lt;=" &amp; Z$1, DataRegularSeason20242025!$E$3:$E$1315, $A22)</f>
        <v>7</v>
      </c>
      <c r="AA22">
        <f>SUMIFS(DataRegularSeason20242025!$AA$3:$AA$1315,DataRegularSeason20242025!$B$3:$B$1315, "&lt;=" &amp; AA$1, DataRegularSeason20242025!$D$3:$D$1315, $A22)+SUMIFS(DataRegularSeason20242025!$AB$3:$AB$1315,DataRegularSeason20242025!$B$3:$B$1315, "&lt;=" &amp; AA$1, DataRegularSeason20242025!$E$3:$E$1315, $A22)</f>
        <v>7</v>
      </c>
      <c r="AB22">
        <f>SUMIFS(DataRegularSeason20242025!$AA$3:$AA$1315,DataRegularSeason20242025!$B$3:$B$1315, "&lt;=" &amp; AB$1, DataRegularSeason20242025!$D$3:$D$1315, $A22)+SUMIFS(DataRegularSeason20242025!$AB$3:$AB$1315,DataRegularSeason20242025!$B$3:$B$1315, "&lt;=" &amp; AB$1, DataRegularSeason20242025!$E$3:$E$1315, $A22)</f>
        <v>7</v>
      </c>
      <c r="AC22">
        <f>SUMIFS(DataRegularSeason20242025!$AA$3:$AA$1315,DataRegularSeason20242025!$B$3:$B$1315, "&lt;=" &amp; AC$1, DataRegularSeason20242025!$D$3:$D$1315, $A22)+SUMIFS(DataRegularSeason20242025!$AB$3:$AB$1315,DataRegularSeason20242025!$B$3:$B$1315, "&lt;=" &amp; AC$1, DataRegularSeason20242025!$E$3:$E$1315, $A22)</f>
        <v>7</v>
      </c>
      <c r="AD22">
        <f>SUMIFS(DataRegularSeason20242025!$AA$3:$AA$1315,DataRegularSeason20242025!$B$3:$B$1315, "&lt;=" &amp; AD$1, DataRegularSeason20242025!$D$3:$D$1315, $A22)+SUMIFS(DataRegularSeason20242025!$AB$3:$AB$1315,DataRegularSeason20242025!$B$3:$B$1315, "&lt;=" &amp; AD$1, DataRegularSeason20242025!$E$3:$E$1315, $A22)</f>
        <v>7</v>
      </c>
      <c r="AE22">
        <f>SUMIFS(DataRegularSeason20242025!$AA$3:$AA$1315,DataRegularSeason20242025!$B$3:$B$1315, "&lt;=" &amp; AE$1, DataRegularSeason20242025!$D$3:$D$1315, $A22)+SUMIFS(DataRegularSeason20242025!$AB$3:$AB$1315,DataRegularSeason20242025!$B$3:$B$1315, "&lt;=" &amp; AE$1, DataRegularSeason20242025!$E$3:$E$1315, $A22)</f>
        <v>7</v>
      </c>
      <c r="AF22">
        <f>SUMIFS(DataRegularSeason20242025!$AA$3:$AA$1315,DataRegularSeason20242025!$B$3:$B$1315, "&lt;=" &amp; AF$1, DataRegularSeason20242025!$D$3:$D$1315, $A22)+SUMIFS(DataRegularSeason20242025!$AB$3:$AB$1315,DataRegularSeason20242025!$B$3:$B$1315, "&lt;=" &amp; AF$1, DataRegularSeason20242025!$E$3:$E$1315, $A22)</f>
        <v>7</v>
      </c>
      <c r="AG22">
        <f>SUMIFS(DataRegularSeason20242025!$AA$3:$AA$1315,DataRegularSeason20242025!$B$3:$B$1315, "&lt;=" &amp; AG$1, DataRegularSeason20242025!$D$3:$D$1315, $A22)+SUMIFS(DataRegularSeason20242025!$AB$3:$AB$1315,DataRegularSeason20242025!$B$3:$B$1315, "&lt;=" &amp; AG$1, DataRegularSeason20242025!$E$3:$E$1315, $A22)</f>
        <v>7</v>
      </c>
      <c r="AH22">
        <f>SUMIFS(DataRegularSeason20242025!$AA$3:$AA$1315,DataRegularSeason20242025!$B$3:$B$1315, "&lt;=" &amp; AH$1, DataRegularSeason20242025!$D$3:$D$1315, $A22)+SUMIFS(DataRegularSeason20242025!$AB$3:$AB$1315,DataRegularSeason20242025!$B$3:$B$1315, "&lt;=" &amp; AH$1, DataRegularSeason20242025!$E$3:$E$1315, $A22)</f>
        <v>7</v>
      </c>
      <c r="AI22">
        <f>SUMIFS(DataRegularSeason20242025!$AA$3:$AA$1315,DataRegularSeason20242025!$B$3:$B$1315, "&lt;=" &amp; AI$1, DataRegularSeason20242025!$D$3:$D$1315, $A22)+SUMIFS(DataRegularSeason20242025!$AB$3:$AB$1315,DataRegularSeason20242025!$B$3:$B$1315, "&lt;=" &amp; AI$1, DataRegularSeason20242025!$E$3:$E$1315, $A22)</f>
        <v>7</v>
      </c>
      <c r="AJ22">
        <f>SUMIFS(DataRegularSeason20242025!$AA$3:$AA$1315,DataRegularSeason20242025!$B$3:$B$1315, "&lt;=" &amp; AJ$1, DataRegularSeason20242025!$D$3:$D$1315, $A22)+SUMIFS(DataRegularSeason20242025!$AB$3:$AB$1315,DataRegularSeason20242025!$B$3:$B$1315, "&lt;=" &amp; AJ$1, DataRegularSeason20242025!$E$3:$E$1315, $A22)</f>
        <v>7</v>
      </c>
      <c r="AK22">
        <f>SUMIFS(DataRegularSeason20242025!$AA$3:$AA$1315,DataRegularSeason20242025!$B$3:$B$1315, "&lt;=" &amp; AK$1, DataRegularSeason20242025!$D$3:$D$1315, $A22)+SUMIFS(DataRegularSeason20242025!$AB$3:$AB$1315,DataRegularSeason20242025!$B$3:$B$1315, "&lt;=" &amp; AK$1, DataRegularSeason20242025!$E$3:$E$1315, $A22)</f>
        <v>7</v>
      </c>
      <c r="AL22">
        <f>SUMIFS(DataRegularSeason20242025!$AA$3:$AA$1315,DataRegularSeason20242025!$B$3:$B$1315, "&lt;=" &amp; AL$1, DataRegularSeason20242025!$D$3:$D$1315, $A22)+SUMIFS(DataRegularSeason20242025!$AB$3:$AB$1315,DataRegularSeason20242025!$B$3:$B$1315, "&lt;=" &amp; AL$1, DataRegularSeason20242025!$E$3:$E$1315, $A22)</f>
        <v>7</v>
      </c>
      <c r="AM22">
        <f>SUMIFS(DataRegularSeason20242025!$AA$3:$AA$1315,DataRegularSeason20242025!$B$3:$B$1315, "&lt;=" &amp; AM$1, DataRegularSeason20242025!$D$3:$D$1315, $A22)+SUMIFS(DataRegularSeason20242025!$AB$3:$AB$1315,DataRegularSeason20242025!$B$3:$B$1315, "&lt;=" &amp; AM$1, DataRegularSeason20242025!$E$3:$E$1315, $A22)</f>
        <v>7</v>
      </c>
      <c r="AN22">
        <f>SUMIFS(DataRegularSeason20242025!$AA$3:$AA$1315,DataRegularSeason20242025!$B$3:$B$1315, "&lt;=" &amp; AN$1, DataRegularSeason20242025!$D$3:$D$1315, $A22)+SUMIFS(DataRegularSeason20242025!$AB$3:$AB$1315,DataRegularSeason20242025!$B$3:$B$1315, "&lt;=" &amp; AN$1, DataRegularSeason20242025!$E$3:$E$1315, $A22)</f>
        <v>7</v>
      </c>
      <c r="AO22">
        <f>SUMIFS(DataRegularSeason20242025!$AA$3:$AA$1315,DataRegularSeason20242025!$B$3:$B$1315, "&lt;=" &amp; AO$1, DataRegularSeason20242025!$D$3:$D$1315, $A22)+SUMIFS(DataRegularSeason20242025!$AB$3:$AB$1315,DataRegularSeason20242025!$B$3:$B$1315, "&lt;=" &amp; AO$1, DataRegularSeason20242025!$E$3:$E$1315, $A22)</f>
        <v>7</v>
      </c>
      <c r="AP22">
        <f>SUMIFS(DataRegularSeason20242025!$AA$3:$AA$1315,DataRegularSeason20242025!$B$3:$B$1315, "&lt;=" &amp; AP$1, DataRegularSeason20242025!$D$3:$D$1315, $A22)+SUMIFS(DataRegularSeason20242025!$AB$3:$AB$1315,DataRegularSeason20242025!$B$3:$B$1315, "&lt;=" &amp; AP$1, DataRegularSeason20242025!$E$3:$E$1315, $A22)</f>
        <v>7</v>
      </c>
      <c r="AQ22">
        <f>SUMIFS(DataRegularSeason20242025!$AA$3:$AA$1315,DataRegularSeason20242025!$B$3:$B$1315, "&lt;=" &amp; AQ$1, DataRegularSeason20242025!$D$3:$D$1315, $A22)+SUMIFS(DataRegularSeason20242025!$AB$3:$AB$1315,DataRegularSeason20242025!$B$3:$B$1315, "&lt;=" &amp; AQ$1, DataRegularSeason20242025!$E$3:$E$1315, $A22)</f>
        <v>7</v>
      </c>
      <c r="AR22">
        <f>SUMIFS(DataRegularSeason20242025!$AA$3:$AA$1315,DataRegularSeason20242025!$B$3:$B$1315, "&lt;=" &amp; AR$1, DataRegularSeason20242025!$D$3:$D$1315, $A22)+SUMIFS(DataRegularSeason20242025!$AB$3:$AB$1315,DataRegularSeason20242025!$B$3:$B$1315, "&lt;=" &amp; AR$1, DataRegularSeason20242025!$E$3:$E$1315, $A22)</f>
        <v>7</v>
      </c>
      <c r="AS22">
        <f>SUMIFS(DataRegularSeason20242025!$AA$3:$AA$1315,DataRegularSeason20242025!$B$3:$B$1315, "&lt;=" &amp; AS$1, DataRegularSeason20242025!$D$3:$D$1315, $A22)+SUMIFS(DataRegularSeason20242025!$AB$3:$AB$1315,DataRegularSeason20242025!$B$3:$B$1315, "&lt;=" &amp; AS$1, DataRegularSeason20242025!$E$3:$E$1315, $A22)</f>
        <v>7</v>
      </c>
      <c r="AT22">
        <f>SUMIFS(DataRegularSeason20242025!$AA$3:$AA$1315,DataRegularSeason20242025!$B$3:$B$1315, "&lt;=" &amp; AT$1, DataRegularSeason20242025!$D$3:$D$1315, $A22)+SUMIFS(DataRegularSeason20242025!$AB$3:$AB$1315,DataRegularSeason20242025!$B$3:$B$1315, "&lt;=" &amp; AT$1, DataRegularSeason20242025!$E$3:$E$1315, $A22)</f>
        <v>7</v>
      </c>
      <c r="AU22">
        <f>SUMIFS(DataRegularSeason20242025!$AA$3:$AA$1315,DataRegularSeason20242025!$B$3:$B$1315, "&lt;=" &amp; AU$1, DataRegularSeason20242025!$D$3:$D$1315, $A22)+SUMIFS(DataRegularSeason20242025!$AB$3:$AB$1315,DataRegularSeason20242025!$B$3:$B$1315, "&lt;=" &amp; AU$1, DataRegularSeason20242025!$E$3:$E$1315, $A22)</f>
        <v>7</v>
      </c>
      <c r="AV22">
        <f>SUMIFS(DataRegularSeason20242025!$AA$3:$AA$1315,DataRegularSeason20242025!$B$3:$B$1315, "&lt;=" &amp; AV$1, DataRegularSeason20242025!$D$3:$D$1315, $A22)+SUMIFS(DataRegularSeason20242025!$AB$3:$AB$1315,DataRegularSeason20242025!$B$3:$B$1315, "&lt;=" &amp; AV$1, DataRegularSeason20242025!$E$3:$E$1315, $A22)</f>
        <v>7</v>
      </c>
      <c r="AW22">
        <f>SUMIFS(DataRegularSeason20242025!$AA$3:$AA$1315,DataRegularSeason20242025!$B$3:$B$1315, "&lt;=" &amp; AW$1, DataRegularSeason20242025!$D$3:$D$1315, $A22)+SUMIFS(DataRegularSeason20242025!$AB$3:$AB$1315,DataRegularSeason20242025!$B$3:$B$1315, "&lt;=" &amp; AW$1, DataRegularSeason20242025!$E$3:$E$1315, $A22)</f>
        <v>7</v>
      </c>
      <c r="AX22">
        <f>SUMIFS(DataRegularSeason20242025!$AA$3:$AA$1315,DataRegularSeason20242025!$B$3:$B$1315, "&lt;=" &amp; AX$1, DataRegularSeason20242025!$D$3:$D$1315, $A22)+SUMIFS(DataRegularSeason20242025!$AB$3:$AB$1315,DataRegularSeason20242025!$B$3:$B$1315, "&lt;=" &amp; AX$1, DataRegularSeason20242025!$E$3:$E$1315, $A22)</f>
        <v>7</v>
      </c>
      <c r="AY22">
        <f>SUMIFS(DataRegularSeason20242025!$AA$3:$AA$1315,DataRegularSeason20242025!$B$3:$B$1315, "&lt;=" &amp; AY$1, DataRegularSeason20242025!$D$3:$D$1315, $A22)+SUMIFS(DataRegularSeason20242025!$AB$3:$AB$1315,DataRegularSeason20242025!$B$3:$B$1315, "&lt;=" &amp; AY$1, DataRegularSeason20242025!$E$3:$E$1315, $A22)</f>
        <v>7</v>
      </c>
      <c r="AZ22">
        <f>SUMIFS(DataRegularSeason20242025!$AA$3:$AA$1315,DataRegularSeason20242025!$B$3:$B$1315, "&lt;=" &amp; AZ$1, DataRegularSeason20242025!$D$3:$D$1315, $A22)+SUMIFS(DataRegularSeason20242025!$AB$3:$AB$1315,DataRegularSeason20242025!$B$3:$B$1315, "&lt;=" &amp; AZ$1, DataRegularSeason20242025!$E$3:$E$1315, $A22)</f>
        <v>7</v>
      </c>
      <c r="BA22">
        <f>SUMIFS(DataRegularSeason20242025!$AA$3:$AA$1315,DataRegularSeason20242025!$B$3:$B$1315, "&lt;=" &amp; BA$1, DataRegularSeason20242025!$D$3:$D$1315, $A22)+SUMIFS(DataRegularSeason20242025!$AB$3:$AB$1315,DataRegularSeason20242025!$B$3:$B$1315, "&lt;=" &amp; BA$1, DataRegularSeason20242025!$E$3:$E$1315, $A22)</f>
        <v>7</v>
      </c>
      <c r="BB22">
        <f>SUMIFS(DataRegularSeason20242025!$AA$3:$AA$1315,DataRegularSeason20242025!$B$3:$B$1315, "&lt;=" &amp; BB$1, DataRegularSeason20242025!$D$3:$D$1315, $A22)+SUMIFS(DataRegularSeason20242025!$AB$3:$AB$1315,DataRegularSeason20242025!$B$3:$B$1315, "&lt;=" &amp; BB$1, DataRegularSeason20242025!$E$3:$E$1315, $A22)</f>
        <v>7</v>
      </c>
      <c r="BC22">
        <f>SUMIFS(DataRegularSeason20242025!$AA$3:$AA$1315,DataRegularSeason20242025!$B$3:$B$1315, "&lt;=" &amp; BC$1, DataRegularSeason20242025!$D$3:$D$1315, $A22)+SUMIFS(DataRegularSeason20242025!$AB$3:$AB$1315,DataRegularSeason20242025!$B$3:$B$1315, "&lt;=" &amp; BC$1, DataRegularSeason20242025!$E$3:$E$1315, $A22)</f>
        <v>7</v>
      </c>
      <c r="BD22">
        <f>SUMIFS(DataRegularSeason20242025!$AA$3:$AA$1315,DataRegularSeason20242025!$B$3:$B$1315, "&lt;=" &amp; BD$1, DataRegularSeason20242025!$D$3:$D$1315, $A22)+SUMIFS(DataRegularSeason20242025!$AB$3:$AB$1315,DataRegularSeason20242025!$B$3:$B$1315, "&lt;=" &amp; BD$1, DataRegularSeason20242025!$E$3:$E$1315, $A22)</f>
        <v>7</v>
      </c>
      <c r="BE22">
        <f>SUMIFS(DataRegularSeason20242025!$AA$3:$AA$1315,DataRegularSeason20242025!$B$3:$B$1315, "&lt;=" &amp; BE$1, DataRegularSeason20242025!$D$3:$D$1315, $A22)+SUMIFS(DataRegularSeason20242025!$AB$3:$AB$1315,DataRegularSeason20242025!$B$3:$B$1315, "&lt;=" &amp; BE$1, DataRegularSeason20242025!$E$3:$E$1315, $A22)</f>
        <v>7</v>
      </c>
      <c r="BF22">
        <f>SUMIFS(DataRegularSeason20242025!$AA$3:$AA$1315,DataRegularSeason20242025!$B$3:$B$1315, "&lt;=" &amp; BF$1, DataRegularSeason20242025!$D$3:$D$1315, $A22)+SUMIFS(DataRegularSeason20242025!$AB$3:$AB$1315,DataRegularSeason20242025!$B$3:$B$1315, "&lt;=" &amp; BF$1, DataRegularSeason20242025!$E$3:$E$1315, $A22)</f>
        <v>7</v>
      </c>
      <c r="BG22">
        <f>SUMIFS(DataRegularSeason20242025!$AA$3:$AA$1315,DataRegularSeason20242025!$B$3:$B$1315, "&lt;=" &amp; BG$1, DataRegularSeason20242025!$D$3:$D$1315, $A22)+SUMIFS(DataRegularSeason20242025!$AB$3:$AB$1315,DataRegularSeason20242025!$B$3:$B$1315, "&lt;=" &amp; BG$1, DataRegularSeason20242025!$E$3:$E$1315, $A22)</f>
        <v>7</v>
      </c>
      <c r="BH22">
        <f>SUMIFS(DataRegularSeason20242025!$AA$3:$AA$1315,DataRegularSeason20242025!$B$3:$B$1315, "&lt;=" &amp; BH$1, DataRegularSeason20242025!$D$3:$D$1315, $A22)+SUMIFS(DataRegularSeason20242025!$AB$3:$AB$1315,DataRegularSeason20242025!$B$3:$B$1315, "&lt;=" &amp; BH$1, DataRegularSeason20242025!$E$3:$E$1315, $A22)</f>
        <v>7</v>
      </c>
      <c r="BI22">
        <f>SUMIFS(DataRegularSeason20242025!$AA$3:$AA$1315,DataRegularSeason20242025!$B$3:$B$1315, "&lt;=" &amp; BI$1, DataRegularSeason20242025!$D$3:$D$1315, $A22)+SUMIFS(DataRegularSeason20242025!$AB$3:$AB$1315,DataRegularSeason20242025!$B$3:$B$1315, "&lt;=" &amp; BI$1, DataRegularSeason20242025!$E$3:$E$1315, $A22)</f>
        <v>7</v>
      </c>
      <c r="BJ22">
        <f>SUMIFS(DataRegularSeason20242025!$AA$3:$AA$1315,DataRegularSeason20242025!$B$3:$B$1315, "&lt;=" &amp; BJ$1, DataRegularSeason20242025!$D$3:$D$1315, $A22)+SUMIFS(DataRegularSeason20242025!$AB$3:$AB$1315,DataRegularSeason20242025!$B$3:$B$1315, "&lt;=" &amp; BJ$1, DataRegularSeason20242025!$E$3:$E$1315, $A22)</f>
        <v>7</v>
      </c>
      <c r="BK22">
        <f>SUMIFS(DataRegularSeason20242025!$AA$3:$AA$1315,DataRegularSeason20242025!$B$3:$B$1315, "&lt;=" &amp; BK$1, DataRegularSeason20242025!$D$3:$D$1315, $A22)+SUMIFS(DataRegularSeason20242025!$AB$3:$AB$1315,DataRegularSeason20242025!$B$3:$B$1315, "&lt;=" &amp; BK$1, DataRegularSeason20242025!$E$3:$E$1315, $A22)</f>
        <v>7</v>
      </c>
      <c r="BL22">
        <f>SUMIFS(DataRegularSeason20242025!$AA$3:$AA$1315,DataRegularSeason20242025!$B$3:$B$1315, "&lt;=" &amp; BL$1, DataRegularSeason20242025!$D$3:$D$1315, $A22)+SUMIFS(DataRegularSeason20242025!$AB$3:$AB$1315,DataRegularSeason20242025!$B$3:$B$1315, "&lt;=" &amp; BL$1, DataRegularSeason20242025!$E$3:$E$1315, $A22)</f>
        <v>7</v>
      </c>
      <c r="BM22">
        <f>SUMIFS(DataRegularSeason20242025!$AA$3:$AA$1315,DataRegularSeason20242025!$B$3:$B$1315, "&lt;=" &amp; BM$1, DataRegularSeason20242025!$D$3:$D$1315, $A22)+SUMIFS(DataRegularSeason20242025!$AB$3:$AB$1315,DataRegularSeason20242025!$B$3:$B$1315, "&lt;=" &amp; BM$1, DataRegularSeason20242025!$E$3:$E$1315, $A22)</f>
        <v>7</v>
      </c>
      <c r="BN22">
        <f>SUMIFS(DataRegularSeason20242025!$AA$3:$AA$1315,DataRegularSeason20242025!$B$3:$B$1315, "&lt;=" &amp; BN$1, DataRegularSeason20242025!$D$3:$D$1315, $A22)+SUMIFS(DataRegularSeason20242025!$AB$3:$AB$1315,DataRegularSeason20242025!$B$3:$B$1315, "&lt;=" &amp; BN$1, DataRegularSeason20242025!$E$3:$E$1315, $A22)</f>
        <v>7</v>
      </c>
      <c r="BO22">
        <f>SUMIFS(DataRegularSeason20242025!$AA$3:$AA$1315,DataRegularSeason20242025!$B$3:$B$1315, "&lt;=" &amp; BO$1, DataRegularSeason20242025!$D$3:$D$1315, $A22)+SUMIFS(DataRegularSeason20242025!$AB$3:$AB$1315,DataRegularSeason20242025!$B$3:$B$1315, "&lt;=" &amp; BO$1, DataRegularSeason20242025!$E$3:$E$1315, $A22)</f>
        <v>7</v>
      </c>
      <c r="BP22">
        <f>SUMIFS(DataRegularSeason20242025!$AA$3:$AA$1315,DataRegularSeason20242025!$B$3:$B$1315, "&lt;=" &amp; BP$1, DataRegularSeason20242025!$D$3:$D$1315, $A22)+SUMIFS(DataRegularSeason20242025!$AB$3:$AB$1315,DataRegularSeason20242025!$B$3:$B$1315, "&lt;=" &amp; BP$1, DataRegularSeason20242025!$E$3:$E$1315, $A22)</f>
        <v>7</v>
      </c>
      <c r="BQ22">
        <f>SUMIFS(DataRegularSeason20242025!$AA$3:$AA$1315,DataRegularSeason20242025!$B$3:$B$1315, "&lt;=" &amp; BQ$1, DataRegularSeason20242025!$D$3:$D$1315, $A22)+SUMIFS(DataRegularSeason20242025!$AB$3:$AB$1315,DataRegularSeason20242025!$B$3:$B$1315, "&lt;=" &amp; BQ$1, DataRegularSeason20242025!$E$3:$E$1315, $A22)</f>
        <v>7</v>
      </c>
      <c r="BR22">
        <f>SUMIFS(DataRegularSeason20242025!$AA$3:$AA$1315,DataRegularSeason20242025!$B$3:$B$1315, "&lt;=" &amp; BR$1, DataRegularSeason20242025!$D$3:$D$1315, $A22)+SUMIFS(DataRegularSeason20242025!$AB$3:$AB$1315,DataRegularSeason20242025!$B$3:$B$1315, "&lt;=" &amp; BR$1, DataRegularSeason20242025!$E$3:$E$1315, $A22)</f>
        <v>7</v>
      </c>
      <c r="BS22">
        <f>SUMIFS(DataRegularSeason20242025!$AA$3:$AA$1315,DataRegularSeason20242025!$B$3:$B$1315, "&lt;=" &amp; BS$1, DataRegularSeason20242025!$D$3:$D$1315, $A22)+SUMIFS(DataRegularSeason20242025!$AB$3:$AB$1315,DataRegularSeason20242025!$B$3:$B$1315, "&lt;=" &amp; BS$1, DataRegularSeason20242025!$E$3:$E$1315, $A22)</f>
        <v>7</v>
      </c>
      <c r="BT22">
        <f>SUMIFS(DataRegularSeason20242025!$AA$3:$AA$1315,DataRegularSeason20242025!$B$3:$B$1315, "&lt;=" &amp; BT$1, DataRegularSeason20242025!$D$3:$D$1315, $A22)+SUMIFS(DataRegularSeason20242025!$AB$3:$AB$1315,DataRegularSeason20242025!$B$3:$B$1315, "&lt;=" &amp; BT$1, DataRegularSeason20242025!$E$3:$E$1315, $A22)</f>
        <v>7</v>
      </c>
      <c r="BU22">
        <f>SUMIFS(DataRegularSeason20242025!$AA$3:$AA$1315,DataRegularSeason20242025!$B$3:$B$1315, "&lt;=" &amp; BU$1, DataRegularSeason20242025!$D$3:$D$1315, $A22)+SUMIFS(DataRegularSeason20242025!$AB$3:$AB$1315,DataRegularSeason20242025!$B$3:$B$1315, "&lt;=" &amp; BU$1, DataRegularSeason20242025!$E$3:$E$1315, $A22)</f>
        <v>7</v>
      </c>
      <c r="BV22">
        <f>SUMIFS(DataRegularSeason20242025!$AA$3:$AA$1315,DataRegularSeason20242025!$B$3:$B$1315, "&lt;=" &amp; BV$1, DataRegularSeason20242025!$D$3:$D$1315, $A22)+SUMIFS(DataRegularSeason20242025!$AB$3:$AB$1315,DataRegularSeason20242025!$B$3:$B$1315, "&lt;=" &amp; BV$1, DataRegularSeason20242025!$E$3:$E$1315, $A22)</f>
        <v>7</v>
      </c>
      <c r="BW22">
        <f>SUMIFS(DataRegularSeason20242025!$AA$3:$AA$1315,DataRegularSeason20242025!$B$3:$B$1315, "&lt;=" &amp; BW$1, DataRegularSeason20242025!$D$3:$D$1315, $A22)+SUMIFS(DataRegularSeason20242025!$AB$3:$AB$1315,DataRegularSeason20242025!$B$3:$B$1315, "&lt;=" &amp; BW$1, DataRegularSeason20242025!$E$3:$E$1315, $A22)</f>
        <v>7</v>
      </c>
      <c r="BX22">
        <f>SUMIFS(DataRegularSeason20242025!$AA$3:$AA$1315,DataRegularSeason20242025!$B$3:$B$1315, "&lt;=" &amp; BX$1, DataRegularSeason20242025!$D$3:$D$1315, $A22)+SUMIFS(DataRegularSeason20242025!$AB$3:$AB$1315,DataRegularSeason20242025!$B$3:$B$1315, "&lt;=" &amp; BX$1, DataRegularSeason20242025!$E$3:$E$1315, $A22)</f>
        <v>7</v>
      </c>
      <c r="BY22">
        <f>SUMIFS(DataRegularSeason20242025!$AA$3:$AA$1315,DataRegularSeason20242025!$B$3:$B$1315, "&lt;=" &amp; BY$1, DataRegularSeason20242025!$D$3:$D$1315, $A22)+SUMIFS(DataRegularSeason20242025!$AB$3:$AB$1315,DataRegularSeason20242025!$B$3:$B$1315, "&lt;=" &amp; BY$1, DataRegularSeason20242025!$E$3:$E$1315, $A22)</f>
        <v>7</v>
      </c>
      <c r="BZ22">
        <f>SUMIFS(DataRegularSeason20242025!$AA$3:$AA$1315,DataRegularSeason20242025!$B$3:$B$1315, "&lt;=" &amp; BZ$1, DataRegularSeason20242025!$D$3:$D$1315, $A22)+SUMIFS(DataRegularSeason20242025!$AB$3:$AB$1315,DataRegularSeason20242025!$B$3:$B$1315, "&lt;=" &amp; BZ$1, DataRegularSeason20242025!$E$3:$E$1315, $A22)</f>
        <v>7</v>
      </c>
      <c r="CA22">
        <f>SUMIFS(DataRegularSeason20242025!$AA$3:$AA$1315,DataRegularSeason20242025!$B$3:$B$1315, "&lt;=" &amp; CA$1, DataRegularSeason20242025!$D$3:$D$1315, $A22)+SUMIFS(DataRegularSeason20242025!$AB$3:$AB$1315,DataRegularSeason20242025!$B$3:$B$1315, "&lt;=" &amp; CA$1, DataRegularSeason20242025!$E$3:$E$1315, $A22)</f>
        <v>7</v>
      </c>
      <c r="CB22">
        <f>SUMIFS(DataRegularSeason20242025!$AA$3:$AA$1315,DataRegularSeason20242025!$B$3:$B$1315, "&lt;=" &amp; CB$1, DataRegularSeason20242025!$D$3:$D$1315, $A22)+SUMIFS(DataRegularSeason20242025!$AB$3:$AB$1315,DataRegularSeason20242025!$B$3:$B$1315, "&lt;=" &amp; CB$1, DataRegularSeason20242025!$E$3:$E$1315, $A22)</f>
        <v>7</v>
      </c>
      <c r="CC22">
        <f>SUMIFS(DataRegularSeason20242025!$AA$3:$AA$1315,DataRegularSeason20242025!$B$3:$B$1315, "&lt;=" &amp; CC$1, DataRegularSeason20242025!$D$3:$D$1315, $A22)+SUMIFS(DataRegularSeason20242025!$AB$3:$AB$1315,DataRegularSeason20242025!$B$3:$B$1315, "&lt;=" &amp; CC$1, DataRegularSeason20242025!$E$3:$E$1315, $A22)</f>
        <v>7</v>
      </c>
      <c r="CD22">
        <f>SUMIFS(DataRegularSeason20242025!$AA$3:$AA$1315,DataRegularSeason20242025!$B$3:$B$1315, "&lt;=" &amp; CD$1, DataRegularSeason20242025!$D$3:$D$1315, $A22)+SUMIFS(DataRegularSeason20242025!$AB$3:$AB$1315,DataRegularSeason20242025!$B$3:$B$1315, "&lt;=" &amp; CD$1, DataRegularSeason20242025!$E$3:$E$1315, $A22)</f>
        <v>7</v>
      </c>
      <c r="CE22">
        <f>SUMIFS(DataRegularSeason20242025!$AA$3:$AA$1315,DataRegularSeason20242025!$B$3:$B$1315, "&lt;=" &amp; CE$1, DataRegularSeason20242025!$D$3:$D$1315, $A22)+SUMIFS(DataRegularSeason20242025!$AB$3:$AB$1315,DataRegularSeason20242025!$B$3:$B$1315, "&lt;=" &amp; CE$1, DataRegularSeason20242025!$E$3:$E$1315, $A22)</f>
        <v>7</v>
      </c>
      <c r="CF22">
        <f>SUMIFS(DataRegularSeason20242025!$AA$3:$AA$1315,DataRegularSeason20242025!$B$3:$B$1315, "&lt;=" &amp; CF$1, DataRegularSeason20242025!$D$3:$D$1315, $A22)+SUMIFS(DataRegularSeason20242025!$AB$3:$AB$1315,DataRegularSeason20242025!$B$3:$B$1315, "&lt;=" &amp; CF$1, DataRegularSeason20242025!$E$3:$E$1315, $A22)</f>
        <v>7</v>
      </c>
      <c r="CG22">
        <f>SUMIFS(DataRegularSeason20242025!$AA$3:$AA$1315,DataRegularSeason20242025!$B$3:$B$1315, "&lt;=" &amp; CG$1, DataRegularSeason20242025!$D$3:$D$1315, $A22)+SUMIFS(DataRegularSeason20242025!$AB$3:$AB$1315,DataRegularSeason20242025!$B$3:$B$1315, "&lt;=" &amp; CG$1, DataRegularSeason20242025!$E$3:$E$1315, $A22)</f>
        <v>7</v>
      </c>
      <c r="CH22">
        <f>SUMIFS(DataRegularSeason20242025!$AA$3:$AA$1315,DataRegularSeason20242025!$B$3:$B$1315, "&lt;=" &amp; CH$1, DataRegularSeason20242025!$D$3:$D$1315, $A22)+SUMIFS(DataRegularSeason20242025!$AB$3:$AB$1315,DataRegularSeason20242025!$B$3:$B$1315, "&lt;=" &amp; CH$1, DataRegularSeason20242025!$E$3:$E$1315, $A22)</f>
        <v>7</v>
      </c>
      <c r="CI22">
        <f>SUMIFS(DataRegularSeason20242025!$AA$3:$AA$1315,DataRegularSeason20242025!$B$3:$B$1315, "&lt;=" &amp; CI$1, DataRegularSeason20242025!$D$3:$D$1315, $A22)+SUMIFS(DataRegularSeason20242025!$AB$3:$AB$1315,DataRegularSeason20242025!$B$3:$B$1315, "&lt;=" &amp; CI$1, DataRegularSeason20242025!$E$3:$E$1315, $A22)</f>
        <v>7</v>
      </c>
      <c r="CJ22">
        <f>SUMIFS(DataRegularSeason20242025!$AA$3:$AA$1315,DataRegularSeason20242025!$B$3:$B$1315, "&lt;=" &amp; CJ$1, DataRegularSeason20242025!$D$3:$D$1315, $A22)+SUMIFS(DataRegularSeason20242025!$AB$3:$AB$1315,DataRegularSeason20242025!$B$3:$B$1315, "&lt;=" &amp; CJ$1, DataRegularSeason20242025!$E$3:$E$1315, $A22)</f>
        <v>7</v>
      </c>
      <c r="CK22">
        <f>SUMIFS(DataRegularSeason20242025!$AA$3:$AA$1315,DataRegularSeason20242025!$B$3:$B$1315, "&lt;=" &amp; CK$1, DataRegularSeason20242025!$D$3:$D$1315, $A22)+SUMIFS(DataRegularSeason20242025!$AB$3:$AB$1315,DataRegularSeason20242025!$B$3:$B$1315, "&lt;=" &amp; CK$1, DataRegularSeason20242025!$E$3:$E$1315, $A22)</f>
        <v>7</v>
      </c>
      <c r="CL22">
        <f>SUMIFS(DataRegularSeason20242025!$AA$3:$AA$1315,DataRegularSeason20242025!$B$3:$B$1315, "&lt;=" &amp; CL$1, DataRegularSeason20242025!$D$3:$D$1315, $A22)+SUMIFS(DataRegularSeason20242025!$AB$3:$AB$1315,DataRegularSeason20242025!$B$3:$B$1315, "&lt;=" &amp; CL$1, DataRegularSeason20242025!$E$3:$E$1315, $A22)</f>
        <v>7</v>
      </c>
      <c r="CM22">
        <f>SUMIFS(DataRegularSeason20242025!$AA$3:$AA$1315,DataRegularSeason20242025!$B$3:$B$1315, "&lt;=" &amp; CM$1, DataRegularSeason20242025!$D$3:$D$1315, $A22)+SUMIFS(DataRegularSeason20242025!$AB$3:$AB$1315,DataRegularSeason20242025!$B$3:$B$1315, "&lt;=" &amp; CM$1, DataRegularSeason20242025!$E$3:$E$1315, $A22)</f>
        <v>7</v>
      </c>
      <c r="CN22">
        <f>SUMIFS(DataRegularSeason20242025!$AA$3:$AA$1315,DataRegularSeason20242025!$B$3:$B$1315, "&lt;=" &amp; CN$1, DataRegularSeason20242025!$D$3:$D$1315, $A22)+SUMIFS(DataRegularSeason20242025!$AB$3:$AB$1315,DataRegularSeason20242025!$B$3:$B$1315, "&lt;=" &amp; CN$1, DataRegularSeason20242025!$E$3:$E$1315, $A22)</f>
        <v>7</v>
      </c>
      <c r="CO22">
        <f>SUMIFS(DataRegularSeason20242025!$AA$3:$AA$1315,DataRegularSeason20242025!$B$3:$B$1315, "&lt;=" &amp; CO$1, DataRegularSeason20242025!$D$3:$D$1315, $A22)+SUMIFS(DataRegularSeason20242025!$AB$3:$AB$1315,DataRegularSeason20242025!$B$3:$B$1315, "&lt;=" &amp; CO$1, DataRegularSeason20242025!$E$3:$E$1315, $A22)</f>
        <v>7</v>
      </c>
      <c r="CP22">
        <f>SUMIFS(DataRegularSeason20242025!$AA$3:$AA$1315,DataRegularSeason20242025!$B$3:$B$1315, "&lt;=" &amp; CP$1, DataRegularSeason20242025!$D$3:$D$1315, $A22)+SUMIFS(DataRegularSeason20242025!$AB$3:$AB$1315,DataRegularSeason20242025!$B$3:$B$1315, "&lt;=" &amp; CP$1, DataRegularSeason20242025!$E$3:$E$1315, $A22)</f>
        <v>7</v>
      </c>
      <c r="CQ22">
        <f>SUMIFS(DataRegularSeason20242025!$AA$3:$AA$1315,DataRegularSeason20242025!$B$3:$B$1315, "&lt;=" &amp; CQ$1, DataRegularSeason20242025!$D$3:$D$1315, $A22)+SUMIFS(DataRegularSeason20242025!$AB$3:$AB$1315,DataRegularSeason20242025!$B$3:$B$1315, "&lt;=" &amp; CQ$1, DataRegularSeason20242025!$E$3:$E$1315, $A22)</f>
        <v>7</v>
      </c>
      <c r="CR22">
        <f>SUMIFS(DataRegularSeason20242025!$AA$3:$AA$1315,DataRegularSeason20242025!$B$3:$B$1315, "&lt;=" &amp; CR$1, DataRegularSeason20242025!$D$3:$D$1315, $A22)+SUMIFS(DataRegularSeason20242025!$AB$3:$AB$1315,DataRegularSeason20242025!$B$3:$B$1315, "&lt;=" &amp; CR$1, DataRegularSeason20242025!$E$3:$E$1315, $A22)</f>
        <v>7</v>
      </c>
      <c r="CS22">
        <f>SUMIFS(DataRegularSeason20242025!$AA$3:$AA$1315,DataRegularSeason20242025!$B$3:$B$1315, "&lt;=" &amp; CS$1, DataRegularSeason20242025!$D$3:$D$1315, $A22)+SUMIFS(DataRegularSeason20242025!$AB$3:$AB$1315,DataRegularSeason20242025!$B$3:$B$1315, "&lt;=" &amp; CS$1, DataRegularSeason20242025!$E$3:$E$1315, $A22)</f>
        <v>7</v>
      </c>
      <c r="CT22">
        <f>SUMIFS(DataRegularSeason20242025!$AA$3:$AA$1315,DataRegularSeason20242025!$B$3:$B$1315, "&lt;=" &amp; CT$1, DataRegularSeason20242025!$D$3:$D$1315, $A22)+SUMIFS(DataRegularSeason20242025!$AB$3:$AB$1315,DataRegularSeason20242025!$B$3:$B$1315, "&lt;=" &amp; CT$1, DataRegularSeason20242025!$E$3:$E$1315, $A22)</f>
        <v>7</v>
      </c>
      <c r="CU22">
        <f>SUMIFS(DataRegularSeason20242025!$AA$3:$AA$1315,DataRegularSeason20242025!$B$3:$B$1315, "&lt;=" &amp; CU$1, DataRegularSeason20242025!$D$3:$D$1315, $A22)+SUMIFS(DataRegularSeason20242025!$AB$3:$AB$1315,DataRegularSeason20242025!$B$3:$B$1315, "&lt;=" &amp; CU$1, DataRegularSeason20242025!$E$3:$E$1315, $A22)</f>
        <v>7</v>
      </c>
      <c r="CV22">
        <f>SUMIFS(DataRegularSeason20242025!$AA$3:$AA$1315,DataRegularSeason20242025!$B$3:$B$1315, "&lt;=" &amp; CV$1, DataRegularSeason20242025!$D$3:$D$1315, $A22)+SUMIFS(DataRegularSeason20242025!$AB$3:$AB$1315,DataRegularSeason20242025!$B$3:$B$1315, "&lt;=" &amp; CV$1, DataRegularSeason20242025!$E$3:$E$1315, $A22)</f>
        <v>7</v>
      </c>
      <c r="CW22">
        <f>SUMIFS(DataRegularSeason20242025!$AA$3:$AA$1315,DataRegularSeason20242025!$B$3:$B$1315, "&lt;=" &amp; CW$1, DataRegularSeason20242025!$D$3:$D$1315, $A22)+SUMIFS(DataRegularSeason20242025!$AB$3:$AB$1315,DataRegularSeason20242025!$B$3:$B$1315, "&lt;=" &amp; CW$1, DataRegularSeason20242025!$E$3:$E$1315, $A22)</f>
        <v>7</v>
      </c>
      <c r="CX22">
        <f>SUMIFS(DataRegularSeason20242025!$AA$3:$AA$1315,DataRegularSeason20242025!$B$3:$B$1315, "&lt;=" &amp; CX$1, DataRegularSeason20242025!$D$3:$D$1315, $A22)+SUMIFS(DataRegularSeason20242025!$AB$3:$AB$1315,DataRegularSeason20242025!$B$3:$B$1315, "&lt;=" &amp; CX$1, DataRegularSeason20242025!$E$3:$E$1315, $A22)</f>
        <v>7</v>
      </c>
      <c r="CY22">
        <f>SUMIFS(DataRegularSeason20242025!$AA$3:$AA$1315,DataRegularSeason20242025!$B$3:$B$1315, "&lt;=" &amp; CY$1, DataRegularSeason20242025!$D$3:$D$1315, $A22)+SUMIFS(DataRegularSeason20242025!$AB$3:$AB$1315,DataRegularSeason20242025!$B$3:$B$1315, "&lt;=" &amp; CY$1, DataRegularSeason20242025!$E$3:$E$1315, $A22)</f>
        <v>7</v>
      </c>
      <c r="CZ22">
        <f>SUMIFS(DataRegularSeason20242025!$AA$3:$AA$1315,DataRegularSeason20242025!$B$3:$B$1315, "&lt;=" &amp; CZ$1, DataRegularSeason20242025!$D$3:$D$1315, $A22)+SUMIFS(DataRegularSeason20242025!$AB$3:$AB$1315,DataRegularSeason20242025!$B$3:$B$1315, "&lt;=" &amp; CZ$1, DataRegularSeason20242025!$E$3:$E$1315, $A22)</f>
        <v>7</v>
      </c>
      <c r="DA22">
        <f>SUMIFS(DataRegularSeason20242025!$AA$3:$AA$1315,DataRegularSeason20242025!$B$3:$B$1315, "&lt;=" &amp; DA$1, DataRegularSeason20242025!$D$3:$D$1315, $A22)+SUMIFS(DataRegularSeason20242025!$AB$3:$AB$1315,DataRegularSeason20242025!$B$3:$B$1315, "&lt;=" &amp; DA$1, DataRegularSeason20242025!$E$3:$E$1315, $A22)</f>
        <v>7</v>
      </c>
      <c r="DB22">
        <f>SUMIFS(DataRegularSeason20242025!$AA$3:$AA$1315,DataRegularSeason20242025!$B$3:$B$1315, "&lt;=" &amp; DB$1, DataRegularSeason20242025!$D$3:$D$1315, $A22)+SUMIFS(DataRegularSeason20242025!$AB$3:$AB$1315,DataRegularSeason20242025!$B$3:$B$1315, "&lt;=" &amp; DB$1, DataRegularSeason20242025!$E$3:$E$1315, $A22)</f>
        <v>7</v>
      </c>
      <c r="DC22">
        <f>SUMIFS(DataRegularSeason20242025!$AA$3:$AA$1315,DataRegularSeason20242025!$B$3:$B$1315, "&lt;=" &amp; DC$1, DataRegularSeason20242025!$D$3:$D$1315, $A22)+SUMIFS(DataRegularSeason20242025!$AB$3:$AB$1315,DataRegularSeason20242025!$B$3:$B$1315, "&lt;=" &amp; DC$1, DataRegularSeason20242025!$E$3:$E$1315, $A22)</f>
        <v>7</v>
      </c>
      <c r="DD22">
        <f>SUMIFS(DataRegularSeason20242025!$AA$3:$AA$1315,DataRegularSeason20242025!$B$3:$B$1315, "&lt;=" &amp; DD$1, DataRegularSeason20242025!$D$3:$D$1315, $A22)+SUMIFS(DataRegularSeason20242025!$AB$3:$AB$1315,DataRegularSeason20242025!$B$3:$B$1315, "&lt;=" &amp; DD$1, DataRegularSeason20242025!$E$3:$E$1315, $A22)</f>
        <v>7</v>
      </c>
      <c r="DE22">
        <f>SUMIFS(DataRegularSeason20242025!$AA$3:$AA$1315,DataRegularSeason20242025!$B$3:$B$1315, "&lt;=" &amp; DE$1, DataRegularSeason20242025!$D$3:$D$1315, $A22)+SUMIFS(DataRegularSeason20242025!$AB$3:$AB$1315,DataRegularSeason20242025!$B$3:$B$1315, "&lt;=" &amp; DE$1, DataRegularSeason20242025!$E$3:$E$1315, $A22)</f>
        <v>7</v>
      </c>
      <c r="DF22">
        <f>SUMIFS(DataRegularSeason20242025!$AA$3:$AA$1315,DataRegularSeason20242025!$B$3:$B$1315, "&lt;=" &amp; DF$1, DataRegularSeason20242025!$D$3:$D$1315, $A22)+SUMIFS(DataRegularSeason20242025!$AB$3:$AB$1315,DataRegularSeason20242025!$B$3:$B$1315, "&lt;=" &amp; DF$1, DataRegularSeason20242025!$E$3:$E$1315, $A22)</f>
        <v>7</v>
      </c>
      <c r="DG22">
        <f>SUMIFS(DataRegularSeason20242025!$AA$3:$AA$1315,DataRegularSeason20242025!$B$3:$B$1315, "&lt;=" &amp; DG$1, DataRegularSeason20242025!$D$3:$D$1315, $A22)+SUMIFS(DataRegularSeason20242025!$AB$3:$AB$1315,DataRegularSeason20242025!$B$3:$B$1315, "&lt;=" &amp; DG$1, DataRegularSeason20242025!$E$3:$E$1315, $A22)</f>
        <v>7</v>
      </c>
      <c r="DH22">
        <f>SUMIFS(DataRegularSeason20242025!$AA$3:$AA$1315,DataRegularSeason20242025!$B$3:$B$1315, "&lt;=" &amp; DH$1, DataRegularSeason20242025!$D$3:$D$1315, $A22)+SUMIFS(DataRegularSeason20242025!$AB$3:$AB$1315,DataRegularSeason20242025!$B$3:$B$1315, "&lt;=" &amp; DH$1, DataRegularSeason20242025!$E$3:$E$1315, $A22)</f>
        <v>7</v>
      </c>
      <c r="DI22">
        <f>SUMIFS(DataRegularSeason20242025!$AA$3:$AA$1315,DataRegularSeason20242025!$B$3:$B$1315, "&lt;=" &amp; DI$1, DataRegularSeason20242025!$D$3:$D$1315, $A22)+SUMIFS(DataRegularSeason20242025!$AB$3:$AB$1315,DataRegularSeason20242025!$B$3:$B$1315, "&lt;=" &amp; DI$1, DataRegularSeason20242025!$E$3:$E$1315, $A22)</f>
        <v>7</v>
      </c>
      <c r="DJ22">
        <f>SUMIFS(DataRegularSeason20242025!$AA$3:$AA$1315,DataRegularSeason20242025!$B$3:$B$1315, "&lt;=" &amp; DJ$1, DataRegularSeason20242025!$D$3:$D$1315, $A22)+SUMIFS(DataRegularSeason20242025!$AB$3:$AB$1315,DataRegularSeason20242025!$B$3:$B$1315, "&lt;=" &amp; DJ$1, DataRegularSeason20242025!$E$3:$E$1315, $A22)</f>
        <v>7</v>
      </c>
      <c r="DK22">
        <f>SUMIFS(DataRegularSeason20242025!$AA$3:$AA$1315,DataRegularSeason20242025!$B$3:$B$1315, "&lt;=" &amp; DK$1, DataRegularSeason20242025!$D$3:$D$1315, $A22)+SUMIFS(DataRegularSeason20242025!$AB$3:$AB$1315,DataRegularSeason20242025!$B$3:$B$1315, "&lt;=" &amp; DK$1, DataRegularSeason20242025!$E$3:$E$1315, $A22)</f>
        <v>7</v>
      </c>
      <c r="DL22">
        <f>SUMIFS(DataRegularSeason20242025!$AA$3:$AA$1315,DataRegularSeason20242025!$B$3:$B$1315, "&lt;=" &amp; DL$1, DataRegularSeason20242025!$D$3:$D$1315, $A22)+SUMIFS(DataRegularSeason20242025!$AB$3:$AB$1315,DataRegularSeason20242025!$B$3:$B$1315, "&lt;=" &amp; DL$1, DataRegularSeason20242025!$E$3:$E$1315, $A22)</f>
        <v>7</v>
      </c>
      <c r="DM22">
        <f>SUMIFS(DataRegularSeason20242025!$AA$3:$AA$1315,DataRegularSeason20242025!$B$3:$B$1315, "&lt;=" &amp; DM$1, DataRegularSeason20242025!$D$3:$D$1315, $A22)+SUMIFS(DataRegularSeason20242025!$AB$3:$AB$1315,DataRegularSeason20242025!$B$3:$B$1315, "&lt;=" &amp; DM$1, DataRegularSeason20242025!$E$3:$E$1315, $A22)</f>
        <v>7</v>
      </c>
      <c r="DN22">
        <f>SUMIFS(DataRegularSeason20242025!$AA$3:$AA$1315,DataRegularSeason20242025!$B$3:$B$1315, "&lt;=" &amp; DN$1, DataRegularSeason20242025!$D$3:$D$1315, $A22)+SUMIFS(DataRegularSeason20242025!$AB$3:$AB$1315,DataRegularSeason20242025!$B$3:$B$1315, "&lt;=" &amp; DN$1, DataRegularSeason20242025!$E$3:$E$1315, $A22)</f>
        <v>7</v>
      </c>
      <c r="DO22">
        <f>SUMIFS(DataRegularSeason20242025!$AA$3:$AA$1315,DataRegularSeason20242025!$B$3:$B$1315, "&lt;=" &amp; DO$1, DataRegularSeason20242025!$D$3:$D$1315, $A22)+SUMIFS(DataRegularSeason20242025!$AB$3:$AB$1315,DataRegularSeason20242025!$B$3:$B$1315, "&lt;=" &amp; DO$1, DataRegularSeason20242025!$E$3:$E$1315, $A22)</f>
        <v>7</v>
      </c>
      <c r="DP22">
        <f>SUMIFS(DataRegularSeason20242025!$AA$3:$AA$1315,DataRegularSeason20242025!$B$3:$B$1315, "&lt;=" &amp; DP$1, DataRegularSeason20242025!$D$3:$D$1315, $A22)+SUMIFS(DataRegularSeason20242025!$AB$3:$AB$1315,DataRegularSeason20242025!$B$3:$B$1315, "&lt;=" &amp; DP$1, DataRegularSeason20242025!$E$3:$E$1315, $A22)</f>
        <v>7</v>
      </c>
      <c r="DQ22">
        <f>SUMIFS(DataRegularSeason20242025!$AA$3:$AA$1315,DataRegularSeason20242025!$B$3:$B$1315, "&lt;=" &amp; DQ$1, DataRegularSeason20242025!$D$3:$D$1315, $A22)+SUMIFS(DataRegularSeason20242025!$AB$3:$AB$1315,DataRegularSeason20242025!$B$3:$B$1315, "&lt;=" &amp; DQ$1, DataRegularSeason20242025!$E$3:$E$1315, $A22)</f>
        <v>7</v>
      </c>
      <c r="DR22">
        <f>SUMIFS(DataRegularSeason20242025!$AA$3:$AA$1315,DataRegularSeason20242025!$B$3:$B$1315, "&lt;=" &amp; DR$1, DataRegularSeason20242025!$D$3:$D$1315, $A22)+SUMIFS(DataRegularSeason20242025!$AB$3:$AB$1315,DataRegularSeason20242025!$B$3:$B$1315, "&lt;=" &amp; DR$1, DataRegularSeason20242025!$E$3:$E$1315, $A22)</f>
        <v>7</v>
      </c>
      <c r="DS22">
        <f>SUMIFS(DataRegularSeason20242025!$AA$3:$AA$1315,DataRegularSeason20242025!$B$3:$B$1315, "&lt;=" &amp; DS$1, DataRegularSeason20242025!$D$3:$D$1315, $A22)+SUMIFS(DataRegularSeason20242025!$AB$3:$AB$1315,DataRegularSeason20242025!$B$3:$B$1315, "&lt;=" &amp; DS$1, DataRegularSeason20242025!$E$3:$E$1315, $A22)</f>
        <v>7</v>
      </c>
      <c r="DT22">
        <f>SUMIFS(DataRegularSeason20242025!$AA$3:$AA$1315,DataRegularSeason20242025!$B$3:$B$1315, "&lt;=" &amp; DT$1, DataRegularSeason20242025!$D$3:$D$1315, $A22)+SUMIFS(DataRegularSeason20242025!$AB$3:$AB$1315,DataRegularSeason20242025!$B$3:$B$1315, "&lt;=" &amp; DT$1, DataRegularSeason20242025!$E$3:$E$1315, $A22)</f>
        <v>7</v>
      </c>
      <c r="DU22">
        <f>SUMIFS(DataRegularSeason20242025!$AA$3:$AA$1315,DataRegularSeason20242025!$B$3:$B$1315, "&lt;=" &amp; DU$1, DataRegularSeason20242025!$D$3:$D$1315, $A22)+SUMIFS(DataRegularSeason20242025!$AB$3:$AB$1315,DataRegularSeason20242025!$B$3:$B$1315, "&lt;=" &amp; DU$1, DataRegularSeason20242025!$E$3:$E$1315, $A22)</f>
        <v>7</v>
      </c>
      <c r="DV22">
        <f>SUMIFS(DataRegularSeason20242025!$AA$3:$AA$1315,DataRegularSeason20242025!$B$3:$B$1315, "&lt;=" &amp; DV$1, DataRegularSeason20242025!$D$3:$D$1315, $A22)+SUMIFS(DataRegularSeason20242025!$AB$3:$AB$1315,DataRegularSeason20242025!$B$3:$B$1315, "&lt;=" &amp; DV$1, DataRegularSeason20242025!$E$3:$E$1315, $A22)</f>
        <v>7</v>
      </c>
      <c r="DW22">
        <f>SUMIFS(DataRegularSeason20242025!$AA$3:$AA$1315,DataRegularSeason20242025!$B$3:$B$1315, "&lt;=" &amp; DW$1, DataRegularSeason20242025!$D$3:$D$1315, $A22)+SUMIFS(DataRegularSeason20242025!$AB$3:$AB$1315,DataRegularSeason20242025!$B$3:$B$1315, "&lt;=" &amp; DW$1, DataRegularSeason20242025!$E$3:$E$1315, $A22)</f>
        <v>7</v>
      </c>
      <c r="DX22">
        <f>SUMIFS(DataRegularSeason20242025!$AA$3:$AA$1315,DataRegularSeason20242025!$B$3:$B$1315, "&lt;=" &amp; DX$1, DataRegularSeason20242025!$D$3:$D$1315, $A22)+SUMIFS(DataRegularSeason20242025!$AB$3:$AB$1315,DataRegularSeason20242025!$B$3:$B$1315, "&lt;=" &amp; DX$1, DataRegularSeason20242025!$E$3:$E$1315, $A22)</f>
        <v>7</v>
      </c>
      <c r="DY22">
        <f>SUMIFS(DataRegularSeason20242025!$AA$3:$AA$1315,DataRegularSeason20242025!$B$3:$B$1315, "&lt;=" &amp; DY$1, DataRegularSeason20242025!$D$3:$D$1315, $A22)+SUMIFS(DataRegularSeason20242025!$AB$3:$AB$1315,DataRegularSeason20242025!$B$3:$B$1315, "&lt;=" &amp; DY$1, DataRegularSeason20242025!$E$3:$E$1315, $A22)</f>
        <v>7</v>
      </c>
      <c r="DZ22">
        <f>SUMIFS(DataRegularSeason20242025!$AA$3:$AA$1315,DataRegularSeason20242025!$B$3:$B$1315, "&lt;=" &amp; DZ$1, DataRegularSeason20242025!$D$3:$D$1315, $A22)+SUMIFS(DataRegularSeason20242025!$AB$3:$AB$1315,DataRegularSeason20242025!$B$3:$B$1315, "&lt;=" &amp; DZ$1, DataRegularSeason20242025!$E$3:$E$1315, $A22)</f>
        <v>7</v>
      </c>
      <c r="EA22">
        <f>SUMIFS(DataRegularSeason20242025!$AA$3:$AA$1315,DataRegularSeason20242025!$B$3:$B$1315, "&lt;=" &amp; EA$1, DataRegularSeason20242025!$D$3:$D$1315, $A22)+SUMIFS(DataRegularSeason20242025!$AB$3:$AB$1315,DataRegularSeason20242025!$B$3:$B$1315, "&lt;=" &amp; EA$1, DataRegularSeason20242025!$E$3:$E$1315, $A22)</f>
        <v>7</v>
      </c>
      <c r="EB22">
        <f>SUMIFS(DataRegularSeason20242025!$AA$3:$AA$1315,DataRegularSeason20242025!$B$3:$B$1315, "&lt;=" &amp; EB$1, DataRegularSeason20242025!$D$3:$D$1315, $A22)+SUMIFS(DataRegularSeason20242025!$AB$3:$AB$1315,DataRegularSeason20242025!$B$3:$B$1315, "&lt;=" &amp; EB$1, DataRegularSeason20242025!$E$3:$E$1315, $A22)</f>
        <v>7</v>
      </c>
      <c r="EC22">
        <f>SUMIFS(DataRegularSeason20242025!$AA$3:$AA$1315,DataRegularSeason20242025!$B$3:$B$1315, "&lt;=" &amp; EC$1, DataRegularSeason20242025!$D$3:$D$1315, $A22)+SUMIFS(DataRegularSeason20242025!$AB$3:$AB$1315,DataRegularSeason20242025!$B$3:$B$1315, "&lt;=" &amp; EC$1, DataRegularSeason20242025!$E$3:$E$1315, $A22)</f>
        <v>7</v>
      </c>
      <c r="ED22">
        <f>SUMIFS(DataRegularSeason20242025!$AA$3:$AA$1315,DataRegularSeason20242025!$B$3:$B$1315, "&lt;=" &amp; ED$1, DataRegularSeason20242025!$D$3:$D$1315, $A22)+SUMIFS(DataRegularSeason20242025!$AB$3:$AB$1315,DataRegularSeason20242025!$B$3:$B$1315, "&lt;=" &amp; ED$1, DataRegularSeason20242025!$E$3:$E$1315, $A22)</f>
        <v>7</v>
      </c>
      <c r="EE22">
        <f>SUMIFS(DataRegularSeason20242025!$AA$3:$AA$1315,DataRegularSeason20242025!$B$3:$B$1315, "&lt;=" &amp; EE$1, DataRegularSeason20242025!$D$3:$D$1315, $A22)+SUMIFS(DataRegularSeason20242025!$AB$3:$AB$1315,DataRegularSeason20242025!$B$3:$B$1315, "&lt;=" &amp; EE$1, DataRegularSeason20242025!$E$3:$E$1315, $A22)</f>
        <v>7</v>
      </c>
      <c r="EF22">
        <f>SUMIFS(DataRegularSeason20242025!$AA$3:$AA$1315,DataRegularSeason20242025!$B$3:$B$1315, "&lt;=" &amp; EF$1, DataRegularSeason20242025!$D$3:$D$1315, $A22)+SUMIFS(DataRegularSeason20242025!$AB$3:$AB$1315,DataRegularSeason20242025!$B$3:$B$1315, "&lt;=" &amp; EF$1, DataRegularSeason20242025!$E$3:$E$1315, $A22)</f>
        <v>7</v>
      </c>
      <c r="EG22">
        <f>SUMIFS(DataRegularSeason20242025!$AA$3:$AA$1315,DataRegularSeason20242025!$B$3:$B$1315, "&lt;=" &amp; EG$1, DataRegularSeason20242025!$D$3:$D$1315, $A22)+SUMIFS(DataRegularSeason20242025!$AB$3:$AB$1315,DataRegularSeason20242025!$B$3:$B$1315, "&lt;=" &amp; EG$1, DataRegularSeason20242025!$E$3:$E$1315, $A22)</f>
        <v>7</v>
      </c>
      <c r="EH22">
        <f>SUMIFS(DataRegularSeason20242025!$AA$3:$AA$1315,DataRegularSeason20242025!$B$3:$B$1315, "&lt;=" &amp; EH$1, DataRegularSeason20242025!$D$3:$D$1315, $A22)+SUMIFS(DataRegularSeason20242025!$AB$3:$AB$1315,DataRegularSeason20242025!$B$3:$B$1315, "&lt;=" &amp; EH$1, DataRegularSeason20242025!$E$3:$E$1315, $A22)</f>
        <v>7</v>
      </c>
      <c r="EI22">
        <f>SUMIFS(DataRegularSeason20242025!$AA$3:$AA$1315,DataRegularSeason20242025!$B$3:$B$1315, "&lt;=" &amp; EI$1, DataRegularSeason20242025!$D$3:$D$1315, $A22)+SUMIFS(DataRegularSeason20242025!$AB$3:$AB$1315,DataRegularSeason20242025!$B$3:$B$1315, "&lt;=" &amp; EI$1, DataRegularSeason20242025!$E$3:$E$1315, $A22)</f>
        <v>7</v>
      </c>
      <c r="EJ22">
        <f>SUMIFS(DataRegularSeason20242025!$AA$3:$AA$1315,DataRegularSeason20242025!$B$3:$B$1315, "&lt;=" &amp; EJ$1, DataRegularSeason20242025!$D$3:$D$1315, $A22)+SUMIFS(DataRegularSeason20242025!$AB$3:$AB$1315,DataRegularSeason20242025!$B$3:$B$1315, "&lt;=" &amp; EJ$1, DataRegularSeason20242025!$E$3:$E$1315, $A22)</f>
        <v>7</v>
      </c>
      <c r="EK22">
        <f>SUMIFS(DataRegularSeason20242025!$AA$3:$AA$1315,DataRegularSeason20242025!$B$3:$B$1315, "&lt;=" &amp; EK$1, DataRegularSeason20242025!$D$3:$D$1315, $A22)+SUMIFS(DataRegularSeason20242025!$AB$3:$AB$1315,DataRegularSeason20242025!$B$3:$B$1315, "&lt;=" &amp; EK$1, DataRegularSeason20242025!$E$3:$E$1315, $A22)</f>
        <v>7</v>
      </c>
      <c r="EL22">
        <f>SUMIFS(DataRegularSeason20242025!$AA$3:$AA$1315,DataRegularSeason20242025!$B$3:$B$1315, "&lt;=" &amp; EL$1, DataRegularSeason20242025!$D$3:$D$1315, $A22)+SUMIFS(DataRegularSeason20242025!$AB$3:$AB$1315,DataRegularSeason20242025!$B$3:$B$1315, "&lt;=" &amp; EL$1, DataRegularSeason20242025!$E$3:$E$1315, $A22)</f>
        <v>7</v>
      </c>
      <c r="EM22">
        <f>SUMIFS(DataRegularSeason20242025!$AA$3:$AA$1315,DataRegularSeason20242025!$B$3:$B$1315, "&lt;=" &amp; EM$1, DataRegularSeason20242025!$D$3:$D$1315, $A22)+SUMIFS(DataRegularSeason20242025!$AB$3:$AB$1315,DataRegularSeason20242025!$B$3:$B$1315, "&lt;=" &amp; EM$1, DataRegularSeason20242025!$E$3:$E$1315, $A22)</f>
        <v>7</v>
      </c>
      <c r="EN22">
        <f>SUMIFS(DataRegularSeason20242025!$AA$3:$AA$1315,DataRegularSeason20242025!$B$3:$B$1315, "&lt;=" &amp; EN$1, DataRegularSeason20242025!$D$3:$D$1315, $A22)+SUMIFS(DataRegularSeason20242025!$AB$3:$AB$1315,DataRegularSeason20242025!$B$3:$B$1315, "&lt;=" &amp; EN$1, DataRegularSeason20242025!$E$3:$E$1315, $A22)</f>
        <v>7</v>
      </c>
      <c r="EO22">
        <f>SUMIFS(DataRegularSeason20242025!$AA$3:$AA$1315,DataRegularSeason20242025!$B$3:$B$1315, "&lt;=" &amp; EO$1, DataRegularSeason20242025!$D$3:$D$1315, $A22)+SUMIFS(DataRegularSeason20242025!$AB$3:$AB$1315,DataRegularSeason20242025!$B$3:$B$1315, "&lt;=" &amp; EO$1, DataRegularSeason20242025!$E$3:$E$1315, $A22)</f>
        <v>7</v>
      </c>
      <c r="EP22">
        <f>SUMIFS(DataRegularSeason20242025!$AA$3:$AA$1315,DataRegularSeason20242025!$B$3:$B$1315, "&lt;=" &amp; EP$1, DataRegularSeason20242025!$D$3:$D$1315, $A22)+SUMIFS(DataRegularSeason20242025!$AB$3:$AB$1315,DataRegularSeason20242025!$B$3:$B$1315, "&lt;=" &amp; EP$1, DataRegularSeason20242025!$E$3:$E$1315, $A22)</f>
        <v>7</v>
      </c>
      <c r="EQ22">
        <f>SUMIFS(DataRegularSeason20242025!$AA$3:$AA$1315,DataRegularSeason20242025!$B$3:$B$1315, "&lt;=" &amp; EQ$1, DataRegularSeason20242025!$D$3:$D$1315, $A22)+SUMIFS(DataRegularSeason20242025!$AB$3:$AB$1315,DataRegularSeason20242025!$B$3:$B$1315, "&lt;=" &amp; EQ$1, DataRegularSeason20242025!$E$3:$E$1315, $A22)</f>
        <v>7</v>
      </c>
      <c r="ER22">
        <f>SUMIFS(DataRegularSeason20242025!$AA$3:$AA$1315,DataRegularSeason20242025!$B$3:$B$1315, "&lt;=" &amp; ER$1, DataRegularSeason20242025!$D$3:$D$1315, $A22)+SUMIFS(DataRegularSeason20242025!$AB$3:$AB$1315,DataRegularSeason20242025!$B$3:$B$1315, "&lt;=" &amp; ER$1, DataRegularSeason20242025!$E$3:$E$1315, $A22)</f>
        <v>7</v>
      </c>
      <c r="ES22">
        <f>SUMIFS(DataRegularSeason20242025!$AA$3:$AA$1315,DataRegularSeason20242025!$B$3:$B$1315, "&lt;=" &amp; ES$1, DataRegularSeason20242025!$D$3:$D$1315, $A22)+SUMIFS(DataRegularSeason20242025!$AB$3:$AB$1315,DataRegularSeason20242025!$B$3:$B$1315, "&lt;=" &amp; ES$1, DataRegularSeason20242025!$E$3:$E$1315, $A22)</f>
        <v>7</v>
      </c>
      <c r="ET22">
        <f>SUMIFS(DataRegularSeason20242025!$AA$3:$AA$1315,DataRegularSeason20242025!$B$3:$B$1315, "&lt;=" &amp; ET$1, DataRegularSeason20242025!$D$3:$D$1315, $A22)+SUMIFS(DataRegularSeason20242025!$AB$3:$AB$1315,DataRegularSeason20242025!$B$3:$B$1315, "&lt;=" &amp; ET$1, DataRegularSeason20242025!$E$3:$E$1315, $A22)</f>
        <v>7</v>
      </c>
      <c r="EU22">
        <f>SUMIFS(DataRegularSeason20242025!$AA$3:$AA$1315,DataRegularSeason20242025!$B$3:$B$1315, "&lt;=" &amp; EU$1, DataRegularSeason20242025!$D$3:$D$1315, $A22)+SUMIFS(DataRegularSeason20242025!$AB$3:$AB$1315,DataRegularSeason20242025!$B$3:$B$1315, "&lt;=" &amp; EU$1, DataRegularSeason20242025!$E$3:$E$1315, $A22)</f>
        <v>7</v>
      </c>
      <c r="EV22">
        <f>SUMIFS(DataRegularSeason20242025!$AA$3:$AA$1315,DataRegularSeason20242025!$B$3:$B$1315, "&lt;=" &amp; EV$1, DataRegularSeason20242025!$D$3:$D$1315, $A22)+SUMIFS(DataRegularSeason20242025!$AB$3:$AB$1315,DataRegularSeason20242025!$B$3:$B$1315, "&lt;=" &amp; EV$1, DataRegularSeason20242025!$E$3:$E$1315, $A22)</f>
        <v>7</v>
      </c>
      <c r="EW22">
        <f>SUMIFS(DataRegularSeason20242025!$AA$3:$AA$1315,DataRegularSeason20242025!$B$3:$B$1315, "&lt;=" &amp; EW$1, DataRegularSeason20242025!$D$3:$D$1315, $A22)+SUMIFS(DataRegularSeason20242025!$AB$3:$AB$1315,DataRegularSeason20242025!$B$3:$B$1315, "&lt;=" &amp; EW$1, DataRegularSeason20242025!$E$3:$E$1315, $A22)</f>
        <v>7</v>
      </c>
      <c r="EX22">
        <f>SUMIFS(DataRegularSeason20242025!$AA$3:$AA$1315,DataRegularSeason20242025!$B$3:$B$1315, "&lt;=" &amp; EX$1, DataRegularSeason20242025!$D$3:$D$1315, $A22)+SUMIFS(DataRegularSeason20242025!$AB$3:$AB$1315,DataRegularSeason20242025!$B$3:$B$1315, "&lt;=" &amp; EX$1, DataRegularSeason20242025!$E$3:$E$1315, $A22)</f>
        <v>7</v>
      </c>
      <c r="EY22">
        <f>SUMIFS(DataRegularSeason20242025!$AA$3:$AA$1315,DataRegularSeason20242025!$B$3:$B$1315, "&lt;=" &amp; EY$1, DataRegularSeason20242025!$D$3:$D$1315, $A22)+SUMIFS(DataRegularSeason20242025!$AB$3:$AB$1315,DataRegularSeason20242025!$B$3:$B$1315, "&lt;=" &amp; EY$1, DataRegularSeason20242025!$E$3:$E$1315, $A22)</f>
        <v>7</v>
      </c>
      <c r="EZ22">
        <f>SUMIFS(DataRegularSeason20242025!$AA$3:$AA$1315,DataRegularSeason20242025!$B$3:$B$1315, "&lt;=" &amp; EZ$1, DataRegularSeason20242025!$D$3:$D$1315, $A22)+SUMIFS(DataRegularSeason20242025!$AB$3:$AB$1315,DataRegularSeason20242025!$B$3:$B$1315, "&lt;=" &amp; EZ$1, DataRegularSeason20242025!$E$3:$E$1315, $A22)</f>
        <v>7</v>
      </c>
      <c r="FA22">
        <f>SUMIFS(DataRegularSeason20242025!$AA$3:$AA$1315,DataRegularSeason20242025!$B$3:$B$1315, "&lt;=" &amp; FA$1, DataRegularSeason20242025!$D$3:$D$1315, $A22)+SUMIFS(DataRegularSeason20242025!$AB$3:$AB$1315,DataRegularSeason20242025!$B$3:$B$1315, "&lt;=" &amp; FA$1, DataRegularSeason20242025!$E$3:$E$1315, $A22)</f>
        <v>7</v>
      </c>
      <c r="FB22">
        <f>SUMIFS(DataRegularSeason20242025!$AA$3:$AA$1315,DataRegularSeason20242025!$B$3:$B$1315, "&lt;=" &amp; FB$1, DataRegularSeason20242025!$D$3:$D$1315, $A22)+SUMIFS(DataRegularSeason20242025!$AB$3:$AB$1315,DataRegularSeason20242025!$B$3:$B$1315, "&lt;=" &amp; FB$1, DataRegularSeason20242025!$E$3:$E$1315, $A22)</f>
        <v>7</v>
      </c>
      <c r="FC22">
        <f>SUMIFS(DataRegularSeason20242025!$AA$3:$AA$1315,DataRegularSeason20242025!$B$3:$B$1315, "&lt;=" &amp; FC$1, DataRegularSeason20242025!$D$3:$D$1315, $A22)+SUMIFS(DataRegularSeason20242025!$AB$3:$AB$1315,DataRegularSeason20242025!$B$3:$B$1315, "&lt;=" &amp; FC$1, DataRegularSeason20242025!$E$3:$E$1315, $A22)</f>
        <v>7</v>
      </c>
      <c r="FD22">
        <f>SUMIFS(DataRegularSeason20242025!$AA$3:$AA$1315,DataRegularSeason20242025!$B$3:$B$1315, "&lt;=" &amp; FD$1, DataRegularSeason20242025!$D$3:$D$1315, $A22)+SUMIFS(DataRegularSeason20242025!$AB$3:$AB$1315,DataRegularSeason20242025!$B$3:$B$1315, "&lt;=" &amp; FD$1, DataRegularSeason20242025!$E$3:$E$1315, $A22)</f>
        <v>7</v>
      </c>
      <c r="FE22">
        <f>SUMIFS(DataRegularSeason20242025!$AA$3:$AA$1315,DataRegularSeason20242025!$B$3:$B$1315, "&lt;=" &amp; FE$1, DataRegularSeason20242025!$D$3:$D$1315, $A22)+SUMIFS(DataRegularSeason20242025!$AB$3:$AB$1315,DataRegularSeason20242025!$B$3:$B$1315, "&lt;=" &amp; FE$1, DataRegularSeason20242025!$E$3:$E$1315, $A22)</f>
        <v>7</v>
      </c>
      <c r="FF22">
        <f>SUMIFS(DataRegularSeason20242025!$AA$3:$AA$1315,DataRegularSeason20242025!$B$3:$B$1315, "&lt;=" &amp; FF$1, DataRegularSeason20242025!$D$3:$D$1315, $A22)+SUMIFS(DataRegularSeason20242025!$AB$3:$AB$1315,DataRegularSeason20242025!$B$3:$B$1315, "&lt;=" &amp; FF$1, DataRegularSeason20242025!$E$3:$E$1315, $A22)</f>
        <v>7</v>
      </c>
      <c r="FG22">
        <f>SUMIFS(DataRegularSeason20242025!$AA$3:$AA$1315,DataRegularSeason20242025!$B$3:$B$1315, "&lt;=" &amp; FG$1, DataRegularSeason20242025!$D$3:$D$1315, $A22)+SUMIFS(DataRegularSeason20242025!$AB$3:$AB$1315,DataRegularSeason20242025!$B$3:$B$1315, "&lt;=" &amp; FG$1, DataRegularSeason20242025!$E$3:$E$1315, $A22)</f>
        <v>7</v>
      </c>
      <c r="FH22">
        <f>SUMIFS(DataRegularSeason20242025!$AA$3:$AA$1315,DataRegularSeason20242025!$B$3:$B$1315, "&lt;=" &amp; FH$1, DataRegularSeason20242025!$D$3:$D$1315, $A22)+SUMIFS(DataRegularSeason20242025!$AB$3:$AB$1315,DataRegularSeason20242025!$B$3:$B$1315, "&lt;=" &amp; FH$1, DataRegularSeason20242025!$E$3:$E$1315, $A22)</f>
        <v>7</v>
      </c>
      <c r="FI22">
        <f>SUMIFS(DataRegularSeason20242025!$AA$3:$AA$1315,DataRegularSeason20242025!$B$3:$B$1315, "&lt;=" &amp; FI$1, DataRegularSeason20242025!$D$3:$D$1315, $A22)+SUMIFS(DataRegularSeason20242025!$AB$3:$AB$1315,DataRegularSeason20242025!$B$3:$B$1315, "&lt;=" &amp; FI$1, DataRegularSeason20242025!$E$3:$E$1315, $A22)</f>
        <v>7</v>
      </c>
      <c r="FJ22">
        <f>SUMIFS(DataRegularSeason20242025!$AA$3:$AA$1315,DataRegularSeason20242025!$B$3:$B$1315, "&lt;=" &amp; FJ$1, DataRegularSeason20242025!$D$3:$D$1315, $A22)+SUMIFS(DataRegularSeason20242025!$AB$3:$AB$1315,DataRegularSeason20242025!$B$3:$B$1315, "&lt;=" &amp; FJ$1, DataRegularSeason20242025!$E$3:$E$1315, $A22)</f>
        <v>7</v>
      </c>
      <c r="FK22">
        <f>SUMIFS(DataRegularSeason20242025!$AA$3:$AA$1315,DataRegularSeason20242025!$B$3:$B$1315, "&lt;=" &amp; FK$1, DataRegularSeason20242025!$D$3:$D$1315, $A22)+SUMIFS(DataRegularSeason20242025!$AB$3:$AB$1315,DataRegularSeason20242025!$B$3:$B$1315, "&lt;=" &amp; FK$1, DataRegularSeason20242025!$E$3:$E$1315, $A22)</f>
        <v>7</v>
      </c>
      <c r="FL22">
        <f>SUMIFS(DataRegularSeason20242025!$AA$3:$AA$1315,DataRegularSeason20242025!$B$3:$B$1315, "&lt;=" &amp; FL$1, DataRegularSeason20242025!$D$3:$D$1315, $A22)+SUMIFS(DataRegularSeason20242025!$AB$3:$AB$1315,DataRegularSeason20242025!$B$3:$B$1315, "&lt;=" &amp; FL$1, DataRegularSeason20242025!$E$3:$E$1315, $A22)</f>
        <v>7</v>
      </c>
      <c r="FM22">
        <f>SUMIFS(DataRegularSeason20242025!$AA$3:$AA$1315,DataRegularSeason20242025!$B$3:$B$1315, "&lt;=" &amp; FM$1, DataRegularSeason20242025!$D$3:$D$1315, $A22)+SUMIFS(DataRegularSeason20242025!$AB$3:$AB$1315,DataRegularSeason20242025!$B$3:$B$1315, "&lt;=" &amp; FM$1, DataRegularSeason20242025!$E$3:$E$1315, $A22)</f>
        <v>7</v>
      </c>
      <c r="FN22">
        <f>SUMIFS(DataRegularSeason20242025!$AA$3:$AA$1315,DataRegularSeason20242025!$B$3:$B$1315, "&lt;=" &amp; FN$1, DataRegularSeason20242025!$D$3:$D$1315, $A22)+SUMIFS(DataRegularSeason20242025!$AB$3:$AB$1315,DataRegularSeason20242025!$B$3:$B$1315, "&lt;=" &amp; FN$1, DataRegularSeason20242025!$E$3:$E$1315, $A22)</f>
        <v>7</v>
      </c>
      <c r="FO22">
        <f>SUMIFS(DataRegularSeason20242025!$AA$3:$AA$1315,DataRegularSeason20242025!$B$3:$B$1315, "&lt;=" &amp; FO$1, DataRegularSeason20242025!$D$3:$D$1315, $A22)+SUMIFS(DataRegularSeason20242025!$AB$3:$AB$1315,DataRegularSeason20242025!$B$3:$B$1315, "&lt;=" &amp; FO$1, DataRegularSeason20242025!$E$3:$E$1315, $A22)</f>
        <v>7</v>
      </c>
      <c r="FP22">
        <f>SUMIFS(DataRegularSeason20242025!$AA$3:$AA$1315,DataRegularSeason20242025!$B$3:$B$1315, "&lt;=" &amp; FP$1, DataRegularSeason20242025!$D$3:$D$1315, $A22)+SUMIFS(DataRegularSeason20242025!$AB$3:$AB$1315,DataRegularSeason20242025!$B$3:$B$1315, "&lt;=" &amp; FP$1, DataRegularSeason20242025!$E$3:$E$1315, $A22)</f>
        <v>7</v>
      </c>
      <c r="FQ22">
        <f>SUMIFS(DataRegularSeason20242025!$AA$3:$AA$1315,DataRegularSeason20242025!$B$3:$B$1315, "&lt;=" &amp; FQ$1, DataRegularSeason20242025!$D$3:$D$1315, $A22)+SUMIFS(DataRegularSeason20242025!$AB$3:$AB$1315,DataRegularSeason20242025!$B$3:$B$1315, "&lt;=" &amp; FQ$1, DataRegularSeason20242025!$E$3:$E$1315, $A22)</f>
        <v>7</v>
      </c>
      <c r="FR22">
        <f>SUMIFS(DataRegularSeason20242025!$AA$3:$AA$1315,DataRegularSeason20242025!$B$3:$B$1315, "&lt;=" &amp; FR$1, DataRegularSeason20242025!$D$3:$D$1315, $A22)+SUMIFS(DataRegularSeason20242025!$AB$3:$AB$1315,DataRegularSeason20242025!$B$3:$B$1315, "&lt;=" &amp; FR$1, DataRegularSeason20242025!$E$3:$E$1315, $A22)</f>
        <v>7</v>
      </c>
      <c r="FS22">
        <f>SUMIFS(DataRegularSeason20242025!$AA$3:$AA$1315,DataRegularSeason20242025!$B$3:$B$1315, "&lt;=" &amp; FS$1, DataRegularSeason20242025!$D$3:$D$1315, $A22)+SUMIFS(DataRegularSeason20242025!$AB$3:$AB$1315,DataRegularSeason20242025!$B$3:$B$1315, "&lt;=" &amp; FS$1, DataRegularSeason20242025!$E$3:$E$1315, $A22)</f>
        <v>7</v>
      </c>
      <c r="FT22">
        <f>SUMIFS(DataRegularSeason20242025!$AA$3:$AA$1315,DataRegularSeason20242025!$B$3:$B$1315, "&lt;=" &amp; FT$1, DataRegularSeason20242025!$D$3:$D$1315, $A22)+SUMIFS(DataRegularSeason20242025!$AB$3:$AB$1315,DataRegularSeason20242025!$B$3:$B$1315, "&lt;=" &amp; FT$1, DataRegularSeason20242025!$E$3:$E$1315, $A22)</f>
        <v>7</v>
      </c>
      <c r="FU22">
        <f>SUMIFS(DataRegularSeason20242025!$AA$3:$AA$1315,DataRegularSeason20242025!$B$3:$B$1315, "&lt;=" &amp; FU$1, DataRegularSeason20242025!$D$3:$D$1315, $A22)+SUMIFS(DataRegularSeason20242025!$AB$3:$AB$1315,DataRegularSeason20242025!$B$3:$B$1315, "&lt;=" &amp; FU$1, DataRegularSeason20242025!$E$3:$E$1315, $A22)</f>
        <v>7</v>
      </c>
      <c r="FV22">
        <f>SUMIFS(DataRegularSeason20242025!$AA$3:$AA$1315,DataRegularSeason20242025!$B$3:$B$1315, "&lt;=" &amp; FV$1, DataRegularSeason20242025!$D$3:$D$1315, $A22)+SUMIFS(DataRegularSeason20242025!$AB$3:$AB$1315,DataRegularSeason20242025!$B$3:$B$1315, "&lt;=" &amp; FV$1, DataRegularSeason20242025!$E$3:$E$1315, $A22)</f>
        <v>7</v>
      </c>
      <c r="FW22">
        <f>SUMIFS(DataRegularSeason20242025!$AA$3:$AA$1315,DataRegularSeason20242025!$B$3:$B$1315, "&lt;=" &amp; FW$1, DataRegularSeason20242025!$D$3:$D$1315, $A22)+SUMIFS(DataRegularSeason20242025!$AB$3:$AB$1315,DataRegularSeason20242025!$B$3:$B$1315, "&lt;=" &amp; FW$1, DataRegularSeason20242025!$E$3:$E$1315, $A22)</f>
        <v>7</v>
      </c>
      <c r="FX22">
        <f>SUMIFS(DataRegularSeason20242025!$AA$3:$AA$1315,DataRegularSeason20242025!$B$3:$B$1315, "&lt;=" &amp; FX$1, DataRegularSeason20242025!$D$3:$D$1315, $A22)+SUMIFS(DataRegularSeason20242025!$AB$3:$AB$1315,DataRegularSeason20242025!$B$3:$B$1315, "&lt;=" &amp; FX$1, DataRegularSeason20242025!$E$3:$E$1315, $A22)</f>
        <v>7</v>
      </c>
      <c r="FY22">
        <f>SUMIFS(DataRegularSeason20242025!$AA$3:$AA$1315,DataRegularSeason20242025!$B$3:$B$1315, "&lt;=" &amp; FY$1, DataRegularSeason20242025!$D$3:$D$1315, $A22)+SUMIFS(DataRegularSeason20242025!$AB$3:$AB$1315,DataRegularSeason20242025!$B$3:$B$1315, "&lt;=" &amp; FY$1, DataRegularSeason20242025!$E$3:$E$1315, $A22)</f>
        <v>7</v>
      </c>
      <c r="FZ22">
        <f>SUMIFS(DataRegularSeason20242025!$AA$3:$AA$1315,DataRegularSeason20242025!$B$3:$B$1315, "&lt;=" &amp; FZ$1, DataRegularSeason20242025!$D$3:$D$1315, $A22)+SUMIFS(DataRegularSeason20242025!$AB$3:$AB$1315,DataRegularSeason20242025!$B$3:$B$1315, "&lt;=" &amp; FZ$1, DataRegularSeason20242025!$E$3:$E$1315, $A22)</f>
        <v>7</v>
      </c>
      <c r="GA22">
        <f>SUMIFS(DataRegularSeason20242025!$AA$3:$AA$1315,DataRegularSeason20242025!$B$3:$B$1315, "&lt;=" &amp; GA$1, DataRegularSeason20242025!$D$3:$D$1315, $A22)+SUMIFS(DataRegularSeason20242025!$AB$3:$AB$1315,DataRegularSeason20242025!$B$3:$B$1315, "&lt;=" &amp; GA$1, DataRegularSeason20242025!$E$3:$E$1315, $A22)</f>
        <v>7</v>
      </c>
      <c r="GB22">
        <f>SUMIFS(DataRegularSeason20242025!$AA$3:$AA$1315,DataRegularSeason20242025!$B$3:$B$1315, "&lt;=" &amp; GB$1, DataRegularSeason20242025!$D$3:$D$1315, $A22)+SUMIFS(DataRegularSeason20242025!$AB$3:$AB$1315,DataRegularSeason20242025!$B$3:$B$1315, "&lt;=" &amp; GB$1, DataRegularSeason20242025!$E$3:$E$1315, $A22)</f>
        <v>7</v>
      </c>
      <c r="GC22">
        <f>SUMIFS(DataRegularSeason20242025!$AA$3:$AA$1315,DataRegularSeason20242025!$B$3:$B$1315, "&lt;=" &amp; GC$1, DataRegularSeason20242025!$D$3:$D$1315, $A22)+SUMIFS(DataRegularSeason20242025!$AB$3:$AB$1315,DataRegularSeason20242025!$B$3:$B$1315, "&lt;=" &amp; GC$1, DataRegularSeason20242025!$E$3:$E$1315, $A22)</f>
        <v>7</v>
      </c>
      <c r="GD22">
        <f>SUMIFS(DataRegularSeason20242025!$AA$3:$AA$1315,DataRegularSeason20242025!$B$3:$B$1315, "&lt;=" &amp; GD$1, DataRegularSeason20242025!$D$3:$D$1315, $A22)+SUMIFS(DataRegularSeason20242025!$AB$3:$AB$1315,DataRegularSeason20242025!$B$3:$B$1315, "&lt;=" &amp; GD$1, DataRegularSeason20242025!$E$3:$E$1315, $A22)</f>
        <v>7</v>
      </c>
      <c r="GE22">
        <f>SUMIFS(DataRegularSeason20242025!$AA$3:$AA$1315,DataRegularSeason20242025!$B$3:$B$1315, "&lt;=" &amp; GE$1, DataRegularSeason20242025!$D$3:$D$1315, $A22)+SUMIFS(DataRegularSeason20242025!$AB$3:$AB$1315,DataRegularSeason20242025!$B$3:$B$1315, "&lt;=" &amp; GE$1, DataRegularSeason20242025!$E$3:$E$1315, $A22)</f>
        <v>7</v>
      </c>
      <c r="GF22">
        <f>SUMIFS(DataRegularSeason20242025!$AA$3:$AA$1315,DataRegularSeason20242025!$B$3:$B$1315, "&lt;=" &amp; GF$1, DataRegularSeason20242025!$D$3:$D$1315, $A22)+SUMIFS(DataRegularSeason20242025!$AB$3:$AB$1315,DataRegularSeason20242025!$B$3:$B$1315, "&lt;=" &amp; GF$1, DataRegularSeason20242025!$E$3:$E$1315, $A22)</f>
        <v>7</v>
      </c>
      <c r="GG22">
        <f>SUMIFS(DataRegularSeason20242025!$AA$3:$AA$1315,DataRegularSeason20242025!$B$3:$B$1315, "&lt;=" &amp; GG$1, DataRegularSeason20242025!$D$3:$D$1315, $A22)+SUMIFS(DataRegularSeason20242025!$AB$3:$AB$1315,DataRegularSeason20242025!$B$3:$B$1315, "&lt;=" &amp; GG$1, DataRegularSeason20242025!$E$3:$E$1315, $A22)</f>
        <v>7</v>
      </c>
      <c r="GH22">
        <f>SUMIFS(DataRegularSeason20242025!$AA$3:$AA$1315,DataRegularSeason20242025!$B$3:$B$1315, "&lt;=" &amp; GH$1, DataRegularSeason20242025!$D$3:$D$1315, $A22)+SUMIFS(DataRegularSeason20242025!$AB$3:$AB$1315,DataRegularSeason20242025!$B$3:$B$1315, "&lt;=" &amp; GH$1, DataRegularSeason20242025!$E$3:$E$1315, $A22)</f>
        <v>7</v>
      </c>
      <c r="GI22">
        <f>SUMIFS(DataRegularSeason20242025!$AA$3:$AA$1315,DataRegularSeason20242025!$B$3:$B$1315, "&lt;=" &amp; GI$1, DataRegularSeason20242025!$D$3:$D$1315, $A22)+SUMIFS(DataRegularSeason20242025!$AB$3:$AB$1315,DataRegularSeason20242025!$B$3:$B$1315, "&lt;=" &amp; GI$1, DataRegularSeason20242025!$E$3:$E$1315, $A22)</f>
        <v>7</v>
      </c>
      <c r="GJ22">
        <f>SUMIFS(DataRegularSeason20242025!$AA$3:$AA$1315,DataRegularSeason20242025!$B$3:$B$1315, "&lt;=" &amp; GJ$1, DataRegularSeason20242025!$D$3:$D$1315, $A22)+SUMIFS(DataRegularSeason20242025!$AB$3:$AB$1315,DataRegularSeason20242025!$B$3:$B$1315, "&lt;=" &amp; GJ$1, DataRegularSeason20242025!$E$3:$E$1315, $A22)</f>
        <v>7</v>
      </c>
      <c r="GK22">
        <f>SUMIFS(DataRegularSeason20242025!$AA$3:$AA$1315,DataRegularSeason20242025!$B$3:$B$1315, "&lt;=" &amp; GK$1, DataRegularSeason20242025!$D$3:$D$1315, $A22)+SUMIFS(DataRegularSeason20242025!$AB$3:$AB$1315,DataRegularSeason20242025!$B$3:$B$1315, "&lt;=" &amp; GK$1, DataRegularSeason20242025!$E$3:$E$1315, $A22)</f>
        <v>7</v>
      </c>
      <c r="GL22">
        <f>SUMIFS(DataRegularSeason20242025!$AA$3:$AA$1315,DataRegularSeason20242025!$B$3:$B$1315, "&lt;=" &amp; GL$1, DataRegularSeason20242025!$D$3:$D$1315, $A22)+SUMIFS(DataRegularSeason20242025!$AB$3:$AB$1315,DataRegularSeason20242025!$B$3:$B$1315, "&lt;=" &amp; GL$1, DataRegularSeason20242025!$E$3:$E$1315, $A22)</f>
        <v>7</v>
      </c>
      <c r="GM22">
        <f>SUMIFS(DataRegularSeason20242025!$AA$3:$AA$1315,DataRegularSeason20242025!$B$3:$B$1315, "&lt;=" &amp; GM$1, DataRegularSeason20242025!$D$3:$D$1315, $A22)+SUMIFS(DataRegularSeason20242025!$AB$3:$AB$1315,DataRegularSeason20242025!$B$3:$B$1315, "&lt;=" &amp; GM$1, DataRegularSeason20242025!$E$3:$E$1315, $A22)</f>
        <v>7</v>
      </c>
      <c r="GN22">
        <f>SUMIFS(DataRegularSeason20242025!$AA$3:$AA$1315,DataRegularSeason20242025!$B$3:$B$1315, "&lt;=" &amp; GN$1, DataRegularSeason20242025!$D$3:$D$1315, $A22)+SUMIFS(DataRegularSeason20242025!$AB$3:$AB$1315,DataRegularSeason20242025!$B$3:$B$1315, "&lt;=" &amp; GN$1, DataRegularSeason20242025!$E$3:$E$1315, $A22)</f>
        <v>7</v>
      </c>
      <c r="GO22">
        <f>SUMIFS(DataRegularSeason20242025!$AA$3:$AA$1315,DataRegularSeason20242025!$B$3:$B$1315, "&lt;=" &amp; GO$1, DataRegularSeason20242025!$D$3:$D$1315, $A22)+SUMIFS(DataRegularSeason20242025!$AB$3:$AB$1315,DataRegularSeason20242025!$B$3:$B$1315, "&lt;=" &amp; GO$1, DataRegularSeason20242025!$E$3:$E$1315, $A22)</f>
        <v>7</v>
      </c>
      <c r="GP22">
        <f>SUMIFS(DataRegularSeason20242025!$AA$3:$AA$1315,DataRegularSeason20242025!$B$3:$B$1315, "&lt;=" &amp; GP$1, DataRegularSeason20242025!$D$3:$D$1315, $A22)+SUMIFS(DataRegularSeason20242025!$AB$3:$AB$1315,DataRegularSeason20242025!$B$3:$B$1315, "&lt;=" &amp; GP$1, DataRegularSeason20242025!$E$3:$E$1315, $A22)</f>
        <v>7</v>
      </c>
      <c r="GQ22">
        <f>SUMIFS(DataRegularSeason20242025!$AA$3:$AA$1315,DataRegularSeason20242025!$B$3:$B$1315, "&lt;=" &amp; GQ$1, DataRegularSeason20242025!$D$3:$D$1315, $A22)+SUMIFS(DataRegularSeason20242025!$AB$3:$AB$1315,DataRegularSeason20242025!$B$3:$B$1315, "&lt;=" &amp; GQ$1, DataRegularSeason20242025!$E$3:$E$1315, $A22)</f>
        <v>7</v>
      </c>
      <c r="GR22">
        <f>SUMIFS(DataRegularSeason20242025!$AA$3:$AA$1315,DataRegularSeason20242025!$B$3:$B$1315, "&lt;=" &amp; GR$1, DataRegularSeason20242025!$D$3:$D$1315, $A22)+SUMIFS(DataRegularSeason20242025!$AB$3:$AB$1315,DataRegularSeason20242025!$B$3:$B$1315, "&lt;=" &amp; GR$1, DataRegularSeason20242025!$E$3:$E$1315, $A22)</f>
        <v>7</v>
      </c>
      <c r="GS22">
        <f>SUMIFS(DataRegularSeason20242025!$AA$3:$AA$1315,DataRegularSeason20242025!$B$3:$B$1315, "&lt;=" &amp; GS$1, DataRegularSeason20242025!$D$3:$D$1315, $A22)+SUMIFS(DataRegularSeason20242025!$AB$3:$AB$1315,DataRegularSeason20242025!$B$3:$B$1315, "&lt;=" &amp; GS$1, DataRegularSeason20242025!$E$3:$E$1315, $A22)</f>
        <v>7</v>
      </c>
      <c r="GT22">
        <f>SUMIFS(DataRegularSeason20242025!$AA$3:$AA$1315,DataRegularSeason20242025!$B$3:$B$1315, "&lt;=" &amp; GT$1, DataRegularSeason20242025!$D$3:$D$1315, $A22)+SUMIFS(DataRegularSeason20242025!$AB$3:$AB$1315,DataRegularSeason20242025!$B$3:$B$1315, "&lt;=" &amp; GT$1, DataRegularSeason20242025!$E$3:$E$1315, $A22)</f>
        <v>7</v>
      </c>
      <c r="GU22">
        <f>SUMIFS(DataRegularSeason20242025!$AA$3:$AA$1315,DataRegularSeason20242025!$B$3:$B$1315, "&lt;=" &amp; GU$1, DataRegularSeason20242025!$D$3:$D$1315, $A22)+SUMIFS(DataRegularSeason20242025!$AB$3:$AB$1315,DataRegularSeason20242025!$B$3:$B$1315, "&lt;=" &amp; GU$1, DataRegularSeason20242025!$E$3:$E$1315, $A22)</f>
        <v>7</v>
      </c>
    </row>
    <row r="23" spans="1:203" x14ac:dyDescent="0.25">
      <c r="A23" t="s">
        <v>12</v>
      </c>
      <c r="B23" t="s">
        <v>90</v>
      </c>
      <c r="C23" s="107" t="s">
        <v>88</v>
      </c>
      <c r="D23">
        <f>SUMIFS(DataRegularSeason20242025!$AA$3:$AA$1315,DataRegularSeason20242025!$B$3:$B$1315, "&lt;=" &amp; D$1, DataRegularSeason20242025!$D$3:$D$1315, $A23)+SUMIFS(DataRegularSeason20242025!$AB$3:$AB$1315,DataRegularSeason20242025!$B$3:$B$1315, "&lt;=" &amp; D$1, DataRegularSeason20242025!$E$3:$E$1315, $A23)</f>
        <v>0</v>
      </c>
      <c r="E23">
        <f>SUMIFS(DataRegularSeason20242025!$AA$3:$AA$1315,DataRegularSeason20242025!$B$3:$B$1315, "&lt;=" &amp; E$1, DataRegularSeason20242025!$D$3:$D$1315, $A23)+SUMIFS(DataRegularSeason20242025!$AB$3:$AB$1315,DataRegularSeason20242025!$B$3:$B$1315, "&lt;=" &amp; E$1, DataRegularSeason20242025!$E$3:$E$1315, $A23)</f>
        <v>0</v>
      </c>
      <c r="F23">
        <f>SUMIFS(DataRegularSeason20242025!$AA$3:$AA$1315,DataRegularSeason20242025!$B$3:$B$1315, "&lt;=" &amp; F$1, DataRegularSeason20242025!$D$3:$D$1315, $A23)+SUMIFS(DataRegularSeason20242025!$AB$3:$AB$1315,DataRegularSeason20242025!$B$3:$B$1315, "&lt;=" &amp; F$1, DataRegularSeason20242025!$E$3:$E$1315, $A23)</f>
        <v>0</v>
      </c>
      <c r="G23">
        <f>SUMIFS(DataRegularSeason20242025!$AA$3:$AA$1315,DataRegularSeason20242025!$B$3:$B$1315, "&lt;=" &amp; G$1, DataRegularSeason20242025!$D$3:$D$1315, $A23)+SUMIFS(DataRegularSeason20242025!$AB$3:$AB$1315,DataRegularSeason20242025!$B$3:$B$1315, "&lt;=" &amp; G$1, DataRegularSeason20242025!$E$3:$E$1315, $A23)</f>
        <v>0</v>
      </c>
      <c r="H23">
        <f>SUMIFS(DataRegularSeason20242025!$AA$3:$AA$1315,DataRegularSeason20242025!$B$3:$B$1315, "&lt;=" &amp; H$1, DataRegularSeason20242025!$D$3:$D$1315, $A23)+SUMIFS(DataRegularSeason20242025!$AB$3:$AB$1315,DataRegularSeason20242025!$B$3:$B$1315, "&lt;=" &amp; H$1, DataRegularSeason20242025!$E$3:$E$1315, $A23)</f>
        <v>0</v>
      </c>
      <c r="I23">
        <f>SUMIFS(DataRegularSeason20242025!$AA$3:$AA$1315,DataRegularSeason20242025!$B$3:$B$1315, "&lt;=" &amp; I$1, DataRegularSeason20242025!$D$3:$D$1315, $A23)+SUMIFS(DataRegularSeason20242025!$AB$3:$AB$1315,DataRegularSeason20242025!$B$3:$B$1315, "&lt;=" &amp; I$1, DataRegularSeason20242025!$E$3:$E$1315, $A23)</f>
        <v>0</v>
      </c>
      <c r="J23">
        <f>SUMIFS(DataRegularSeason20242025!$AA$3:$AA$1315,DataRegularSeason20242025!$B$3:$B$1315, "&lt;=" &amp; J$1, DataRegularSeason20242025!$D$3:$D$1315, $A23)+SUMIFS(DataRegularSeason20242025!$AB$3:$AB$1315,DataRegularSeason20242025!$B$3:$B$1315, "&lt;=" &amp; J$1, DataRegularSeason20242025!$E$3:$E$1315, $A23)</f>
        <v>0</v>
      </c>
      <c r="K23">
        <f>SUMIFS(DataRegularSeason20242025!$AA$3:$AA$1315,DataRegularSeason20242025!$B$3:$B$1315, "&lt;=" &amp; K$1, DataRegularSeason20242025!$D$3:$D$1315, $A23)+SUMIFS(DataRegularSeason20242025!$AB$3:$AB$1315,DataRegularSeason20242025!$B$3:$B$1315, "&lt;=" &amp; K$1, DataRegularSeason20242025!$E$3:$E$1315, $A23)</f>
        <v>0</v>
      </c>
      <c r="L23">
        <f>SUMIFS(DataRegularSeason20242025!$AA$3:$AA$1315,DataRegularSeason20242025!$B$3:$B$1315, "&lt;=" &amp; L$1, DataRegularSeason20242025!$D$3:$D$1315, $A23)+SUMIFS(DataRegularSeason20242025!$AB$3:$AB$1315,DataRegularSeason20242025!$B$3:$B$1315, "&lt;=" &amp; L$1, DataRegularSeason20242025!$E$3:$E$1315, $A23)</f>
        <v>2</v>
      </c>
      <c r="M23">
        <f>SUMIFS(DataRegularSeason20242025!$AA$3:$AA$1315,DataRegularSeason20242025!$B$3:$B$1315, "&lt;=" &amp; M$1, DataRegularSeason20242025!$D$3:$D$1315, $A23)+SUMIFS(DataRegularSeason20242025!$AB$3:$AB$1315,DataRegularSeason20242025!$B$3:$B$1315, "&lt;=" &amp; M$1, DataRegularSeason20242025!$E$3:$E$1315, $A23)</f>
        <v>2</v>
      </c>
      <c r="N23">
        <f>SUMIFS(DataRegularSeason20242025!$AA$3:$AA$1315,DataRegularSeason20242025!$B$3:$B$1315, "&lt;=" &amp; N$1, DataRegularSeason20242025!$D$3:$D$1315, $A23)+SUMIFS(DataRegularSeason20242025!$AB$3:$AB$1315,DataRegularSeason20242025!$B$3:$B$1315, "&lt;=" &amp; N$1, DataRegularSeason20242025!$E$3:$E$1315, $A23)</f>
        <v>4</v>
      </c>
      <c r="O23">
        <f>SUMIFS(DataRegularSeason20242025!$AA$3:$AA$1315,DataRegularSeason20242025!$B$3:$B$1315, "&lt;=" &amp; O$1, DataRegularSeason20242025!$D$3:$D$1315, $A23)+SUMIFS(DataRegularSeason20242025!$AB$3:$AB$1315,DataRegularSeason20242025!$B$3:$B$1315, "&lt;=" &amp; O$1, DataRegularSeason20242025!$E$3:$E$1315, $A23)</f>
        <v>4</v>
      </c>
      <c r="P23">
        <f>SUMIFS(DataRegularSeason20242025!$AA$3:$AA$1315,DataRegularSeason20242025!$B$3:$B$1315, "&lt;=" &amp; P$1, DataRegularSeason20242025!$D$3:$D$1315, $A23)+SUMIFS(DataRegularSeason20242025!$AB$3:$AB$1315,DataRegularSeason20242025!$B$3:$B$1315, "&lt;=" &amp; P$1, DataRegularSeason20242025!$E$3:$E$1315, $A23)</f>
        <v>4</v>
      </c>
      <c r="Q23">
        <f>SUMIFS(DataRegularSeason20242025!$AA$3:$AA$1315,DataRegularSeason20242025!$B$3:$B$1315, "&lt;=" &amp; Q$1, DataRegularSeason20242025!$D$3:$D$1315, $A23)+SUMIFS(DataRegularSeason20242025!$AB$3:$AB$1315,DataRegularSeason20242025!$B$3:$B$1315, "&lt;=" &amp; Q$1, DataRegularSeason20242025!$E$3:$E$1315, $A23)</f>
        <v>4</v>
      </c>
      <c r="R23">
        <f>SUMIFS(DataRegularSeason20242025!$AA$3:$AA$1315,DataRegularSeason20242025!$B$3:$B$1315, "&lt;=" &amp; R$1, DataRegularSeason20242025!$D$3:$D$1315, $A23)+SUMIFS(DataRegularSeason20242025!$AB$3:$AB$1315,DataRegularSeason20242025!$B$3:$B$1315, "&lt;=" &amp; R$1, DataRegularSeason20242025!$E$3:$E$1315, $A23)</f>
        <v>4</v>
      </c>
      <c r="S23">
        <f>SUMIFS(DataRegularSeason20242025!$AA$3:$AA$1315,DataRegularSeason20242025!$B$3:$B$1315, "&lt;=" &amp; S$1, DataRegularSeason20242025!$D$3:$D$1315, $A23)+SUMIFS(DataRegularSeason20242025!$AB$3:$AB$1315,DataRegularSeason20242025!$B$3:$B$1315, "&lt;=" &amp; S$1, DataRegularSeason20242025!$E$3:$E$1315, $A23)</f>
        <v>6</v>
      </c>
      <c r="T23">
        <f>SUMIFS(DataRegularSeason20242025!$AA$3:$AA$1315,DataRegularSeason20242025!$B$3:$B$1315, "&lt;=" &amp; T$1, DataRegularSeason20242025!$D$3:$D$1315, $A23)+SUMIFS(DataRegularSeason20242025!$AB$3:$AB$1315,DataRegularSeason20242025!$B$3:$B$1315, "&lt;=" &amp; T$1, DataRegularSeason20242025!$E$3:$E$1315, $A23)</f>
        <v>6</v>
      </c>
      <c r="U23">
        <f>SUMIFS(DataRegularSeason20242025!$AA$3:$AA$1315,DataRegularSeason20242025!$B$3:$B$1315, "&lt;=" &amp; U$1, DataRegularSeason20242025!$D$3:$D$1315, $A23)+SUMIFS(DataRegularSeason20242025!$AB$3:$AB$1315,DataRegularSeason20242025!$B$3:$B$1315, "&lt;=" &amp; U$1, DataRegularSeason20242025!$E$3:$E$1315, $A23)</f>
        <v>6</v>
      </c>
      <c r="V23">
        <f>SUMIFS(DataRegularSeason20242025!$AA$3:$AA$1315,DataRegularSeason20242025!$B$3:$B$1315, "&lt;=" &amp; V$1, DataRegularSeason20242025!$D$3:$D$1315, $A23)+SUMIFS(DataRegularSeason20242025!$AB$3:$AB$1315,DataRegularSeason20242025!$B$3:$B$1315, "&lt;=" &amp; V$1, DataRegularSeason20242025!$E$3:$E$1315, $A23)</f>
        <v>7</v>
      </c>
      <c r="W23">
        <f>SUMIFS(DataRegularSeason20242025!$AA$3:$AA$1315,DataRegularSeason20242025!$B$3:$B$1315, "&lt;=" &amp; W$1, DataRegularSeason20242025!$D$3:$D$1315, $A23)+SUMIFS(DataRegularSeason20242025!$AB$3:$AB$1315,DataRegularSeason20242025!$B$3:$B$1315, "&lt;=" &amp; W$1, DataRegularSeason20242025!$E$3:$E$1315, $A23)</f>
        <v>7</v>
      </c>
      <c r="X23">
        <f>SUMIFS(DataRegularSeason20242025!$AA$3:$AA$1315,DataRegularSeason20242025!$B$3:$B$1315, "&lt;=" &amp; X$1, DataRegularSeason20242025!$D$3:$D$1315, $A23)+SUMIFS(DataRegularSeason20242025!$AB$3:$AB$1315,DataRegularSeason20242025!$B$3:$B$1315, "&lt;=" &amp; X$1, DataRegularSeason20242025!$E$3:$E$1315, $A23)</f>
        <v>7</v>
      </c>
      <c r="Y23">
        <f>SUMIFS(DataRegularSeason20242025!$AA$3:$AA$1315,DataRegularSeason20242025!$B$3:$B$1315, "&lt;=" &amp; Y$1, DataRegularSeason20242025!$D$3:$D$1315, $A23)+SUMIFS(DataRegularSeason20242025!$AB$3:$AB$1315,DataRegularSeason20242025!$B$3:$B$1315, "&lt;=" &amp; Y$1, DataRegularSeason20242025!$E$3:$E$1315, $A23)</f>
        <v>7</v>
      </c>
      <c r="Z23">
        <f>SUMIFS(DataRegularSeason20242025!$AA$3:$AA$1315,DataRegularSeason20242025!$B$3:$B$1315, "&lt;=" &amp; Z$1, DataRegularSeason20242025!$D$3:$D$1315, $A23)+SUMIFS(DataRegularSeason20242025!$AB$3:$AB$1315,DataRegularSeason20242025!$B$3:$B$1315, "&lt;=" &amp; Z$1, DataRegularSeason20242025!$E$3:$E$1315, $A23)</f>
        <v>7</v>
      </c>
      <c r="AA23">
        <f>SUMIFS(DataRegularSeason20242025!$AA$3:$AA$1315,DataRegularSeason20242025!$B$3:$B$1315, "&lt;=" &amp; AA$1, DataRegularSeason20242025!$D$3:$D$1315, $A23)+SUMIFS(DataRegularSeason20242025!$AB$3:$AB$1315,DataRegularSeason20242025!$B$3:$B$1315, "&lt;=" &amp; AA$1, DataRegularSeason20242025!$E$3:$E$1315, $A23)</f>
        <v>7</v>
      </c>
      <c r="AB23">
        <f>SUMIFS(DataRegularSeason20242025!$AA$3:$AA$1315,DataRegularSeason20242025!$B$3:$B$1315, "&lt;=" &amp; AB$1, DataRegularSeason20242025!$D$3:$D$1315, $A23)+SUMIFS(DataRegularSeason20242025!$AB$3:$AB$1315,DataRegularSeason20242025!$B$3:$B$1315, "&lt;=" &amp; AB$1, DataRegularSeason20242025!$E$3:$E$1315, $A23)</f>
        <v>7</v>
      </c>
      <c r="AC23">
        <f>SUMIFS(DataRegularSeason20242025!$AA$3:$AA$1315,DataRegularSeason20242025!$B$3:$B$1315, "&lt;=" &amp; AC$1, DataRegularSeason20242025!$D$3:$D$1315, $A23)+SUMIFS(DataRegularSeason20242025!$AB$3:$AB$1315,DataRegularSeason20242025!$B$3:$B$1315, "&lt;=" &amp; AC$1, DataRegularSeason20242025!$E$3:$E$1315, $A23)</f>
        <v>7</v>
      </c>
      <c r="AD23">
        <f>SUMIFS(DataRegularSeason20242025!$AA$3:$AA$1315,DataRegularSeason20242025!$B$3:$B$1315, "&lt;=" &amp; AD$1, DataRegularSeason20242025!$D$3:$D$1315, $A23)+SUMIFS(DataRegularSeason20242025!$AB$3:$AB$1315,DataRegularSeason20242025!$B$3:$B$1315, "&lt;=" &amp; AD$1, DataRegularSeason20242025!$E$3:$E$1315, $A23)</f>
        <v>7</v>
      </c>
      <c r="AE23">
        <f>SUMIFS(DataRegularSeason20242025!$AA$3:$AA$1315,DataRegularSeason20242025!$B$3:$B$1315, "&lt;=" &amp; AE$1, DataRegularSeason20242025!$D$3:$D$1315, $A23)+SUMIFS(DataRegularSeason20242025!$AB$3:$AB$1315,DataRegularSeason20242025!$B$3:$B$1315, "&lt;=" &amp; AE$1, DataRegularSeason20242025!$E$3:$E$1315, $A23)</f>
        <v>7</v>
      </c>
      <c r="AF23">
        <f>SUMIFS(DataRegularSeason20242025!$AA$3:$AA$1315,DataRegularSeason20242025!$B$3:$B$1315, "&lt;=" &amp; AF$1, DataRegularSeason20242025!$D$3:$D$1315, $A23)+SUMIFS(DataRegularSeason20242025!$AB$3:$AB$1315,DataRegularSeason20242025!$B$3:$B$1315, "&lt;=" &amp; AF$1, DataRegularSeason20242025!$E$3:$E$1315, $A23)</f>
        <v>7</v>
      </c>
      <c r="AG23">
        <f>SUMIFS(DataRegularSeason20242025!$AA$3:$AA$1315,DataRegularSeason20242025!$B$3:$B$1315, "&lt;=" &amp; AG$1, DataRegularSeason20242025!$D$3:$D$1315, $A23)+SUMIFS(DataRegularSeason20242025!$AB$3:$AB$1315,DataRegularSeason20242025!$B$3:$B$1315, "&lt;=" &amp; AG$1, DataRegularSeason20242025!$E$3:$E$1315, $A23)</f>
        <v>7</v>
      </c>
      <c r="AH23">
        <f>SUMIFS(DataRegularSeason20242025!$AA$3:$AA$1315,DataRegularSeason20242025!$B$3:$B$1315, "&lt;=" &amp; AH$1, DataRegularSeason20242025!$D$3:$D$1315, $A23)+SUMIFS(DataRegularSeason20242025!$AB$3:$AB$1315,DataRegularSeason20242025!$B$3:$B$1315, "&lt;=" &amp; AH$1, DataRegularSeason20242025!$E$3:$E$1315, $A23)</f>
        <v>7</v>
      </c>
      <c r="AI23">
        <f>SUMIFS(DataRegularSeason20242025!$AA$3:$AA$1315,DataRegularSeason20242025!$B$3:$B$1315, "&lt;=" &amp; AI$1, DataRegularSeason20242025!$D$3:$D$1315, $A23)+SUMIFS(DataRegularSeason20242025!$AB$3:$AB$1315,DataRegularSeason20242025!$B$3:$B$1315, "&lt;=" &amp; AI$1, DataRegularSeason20242025!$E$3:$E$1315, $A23)</f>
        <v>7</v>
      </c>
      <c r="AJ23">
        <f>SUMIFS(DataRegularSeason20242025!$AA$3:$AA$1315,DataRegularSeason20242025!$B$3:$B$1315, "&lt;=" &amp; AJ$1, DataRegularSeason20242025!$D$3:$D$1315, $A23)+SUMIFS(DataRegularSeason20242025!$AB$3:$AB$1315,DataRegularSeason20242025!$B$3:$B$1315, "&lt;=" &amp; AJ$1, DataRegularSeason20242025!$E$3:$E$1315, $A23)</f>
        <v>7</v>
      </c>
      <c r="AK23">
        <f>SUMIFS(DataRegularSeason20242025!$AA$3:$AA$1315,DataRegularSeason20242025!$B$3:$B$1315, "&lt;=" &amp; AK$1, DataRegularSeason20242025!$D$3:$D$1315, $A23)+SUMIFS(DataRegularSeason20242025!$AB$3:$AB$1315,DataRegularSeason20242025!$B$3:$B$1315, "&lt;=" &amp; AK$1, DataRegularSeason20242025!$E$3:$E$1315, $A23)</f>
        <v>7</v>
      </c>
      <c r="AL23">
        <f>SUMIFS(DataRegularSeason20242025!$AA$3:$AA$1315,DataRegularSeason20242025!$B$3:$B$1315, "&lt;=" &amp; AL$1, DataRegularSeason20242025!$D$3:$D$1315, $A23)+SUMIFS(DataRegularSeason20242025!$AB$3:$AB$1315,DataRegularSeason20242025!$B$3:$B$1315, "&lt;=" &amp; AL$1, DataRegularSeason20242025!$E$3:$E$1315, $A23)</f>
        <v>7</v>
      </c>
      <c r="AM23">
        <f>SUMIFS(DataRegularSeason20242025!$AA$3:$AA$1315,DataRegularSeason20242025!$B$3:$B$1315, "&lt;=" &amp; AM$1, DataRegularSeason20242025!$D$3:$D$1315, $A23)+SUMIFS(DataRegularSeason20242025!$AB$3:$AB$1315,DataRegularSeason20242025!$B$3:$B$1315, "&lt;=" &amp; AM$1, DataRegularSeason20242025!$E$3:$E$1315, $A23)</f>
        <v>7</v>
      </c>
      <c r="AN23">
        <f>SUMIFS(DataRegularSeason20242025!$AA$3:$AA$1315,DataRegularSeason20242025!$B$3:$B$1315, "&lt;=" &amp; AN$1, DataRegularSeason20242025!$D$3:$D$1315, $A23)+SUMIFS(DataRegularSeason20242025!$AB$3:$AB$1315,DataRegularSeason20242025!$B$3:$B$1315, "&lt;=" &amp; AN$1, DataRegularSeason20242025!$E$3:$E$1315, $A23)</f>
        <v>7</v>
      </c>
      <c r="AO23">
        <f>SUMIFS(DataRegularSeason20242025!$AA$3:$AA$1315,DataRegularSeason20242025!$B$3:$B$1315, "&lt;=" &amp; AO$1, DataRegularSeason20242025!$D$3:$D$1315, $A23)+SUMIFS(DataRegularSeason20242025!$AB$3:$AB$1315,DataRegularSeason20242025!$B$3:$B$1315, "&lt;=" &amp; AO$1, DataRegularSeason20242025!$E$3:$E$1315, $A23)</f>
        <v>7</v>
      </c>
      <c r="AP23">
        <f>SUMIFS(DataRegularSeason20242025!$AA$3:$AA$1315,DataRegularSeason20242025!$B$3:$B$1315, "&lt;=" &amp; AP$1, DataRegularSeason20242025!$D$3:$D$1315, $A23)+SUMIFS(DataRegularSeason20242025!$AB$3:$AB$1315,DataRegularSeason20242025!$B$3:$B$1315, "&lt;=" &amp; AP$1, DataRegularSeason20242025!$E$3:$E$1315, $A23)</f>
        <v>7</v>
      </c>
      <c r="AQ23">
        <f>SUMIFS(DataRegularSeason20242025!$AA$3:$AA$1315,DataRegularSeason20242025!$B$3:$B$1315, "&lt;=" &amp; AQ$1, DataRegularSeason20242025!$D$3:$D$1315, $A23)+SUMIFS(DataRegularSeason20242025!$AB$3:$AB$1315,DataRegularSeason20242025!$B$3:$B$1315, "&lt;=" &amp; AQ$1, DataRegularSeason20242025!$E$3:$E$1315, $A23)</f>
        <v>7</v>
      </c>
      <c r="AR23">
        <f>SUMIFS(DataRegularSeason20242025!$AA$3:$AA$1315,DataRegularSeason20242025!$B$3:$B$1315, "&lt;=" &amp; AR$1, DataRegularSeason20242025!$D$3:$D$1315, $A23)+SUMIFS(DataRegularSeason20242025!$AB$3:$AB$1315,DataRegularSeason20242025!$B$3:$B$1315, "&lt;=" &amp; AR$1, DataRegularSeason20242025!$E$3:$E$1315, $A23)</f>
        <v>7</v>
      </c>
      <c r="AS23">
        <f>SUMIFS(DataRegularSeason20242025!$AA$3:$AA$1315,DataRegularSeason20242025!$B$3:$B$1315, "&lt;=" &amp; AS$1, DataRegularSeason20242025!$D$3:$D$1315, $A23)+SUMIFS(DataRegularSeason20242025!$AB$3:$AB$1315,DataRegularSeason20242025!$B$3:$B$1315, "&lt;=" &amp; AS$1, DataRegularSeason20242025!$E$3:$E$1315, $A23)</f>
        <v>7</v>
      </c>
      <c r="AT23">
        <f>SUMIFS(DataRegularSeason20242025!$AA$3:$AA$1315,DataRegularSeason20242025!$B$3:$B$1315, "&lt;=" &amp; AT$1, DataRegularSeason20242025!$D$3:$D$1315, $A23)+SUMIFS(DataRegularSeason20242025!$AB$3:$AB$1315,DataRegularSeason20242025!$B$3:$B$1315, "&lt;=" &amp; AT$1, DataRegularSeason20242025!$E$3:$E$1315, $A23)</f>
        <v>7</v>
      </c>
      <c r="AU23">
        <f>SUMIFS(DataRegularSeason20242025!$AA$3:$AA$1315,DataRegularSeason20242025!$B$3:$B$1315, "&lt;=" &amp; AU$1, DataRegularSeason20242025!$D$3:$D$1315, $A23)+SUMIFS(DataRegularSeason20242025!$AB$3:$AB$1315,DataRegularSeason20242025!$B$3:$B$1315, "&lt;=" &amp; AU$1, DataRegularSeason20242025!$E$3:$E$1315, $A23)</f>
        <v>7</v>
      </c>
      <c r="AV23">
        <f>SUMIFS(DataRegularSeason20242025!$AA$3:$AA$1315,DataRegularSeason20242025!$B$3:$B$1315, "&lt;=" &amp; AV$1, DataRegularSeason20242025!$D$3:$D$1315, $A23)+SUMIFS(DataRegularSeason20242025!$AB$3:$AB$1315,DataRegularSeason20242025!$B$3:$B$1315, "&lt;=" &amp; AV$1, DataRegularSeason20242025!$E$3:$E$1315, $A23)</f>
        <v>7</v>
      </c>
      <c r="AW23">
        <f>SUMIFS(DataRegularSeason20242025!$AA$3:$AA$1315,DataRegularSeason20242025!$B$3:$B$1315, "&lt;=" &amp; AW$1, DataRegularSeason20242025!$D$3:$D$1315, $A23)+SUMIFS(DataRegularSeason20242025!$AB$3:$AB$1315,DataRegularSeason20242025!$B$3:$B$1315, "&lt;=" &amp; AW$1, DataRegularSeason20242025!$E$3:$E$1315, $A23)</f>
        <v>7</v>
      </c>
      <c r="AX23">
        <f>SUMIFS(DataRegularSeason20242025!$AA$3:$AA$1315,DataRegularSeason20242025!$B$3:$B$1315, "&lt;=" &amp; AX$1, DataRegularSeason20242025!$D$3:$D$1315, $A23)+SUMIFS(DataRegularSeason20242025!$AB$3:$AB$1315,DataRegularSeason20242025!$B$3:$B$1315, "&lt;=" &amp; AX$1, DataRegularSeason20242025!$E$3:$E$1315, $A23)</f>
        <v>7</v>
      </c>
      <c r="AY23">
        <f>SUMIFS(DataRegularSeason20242025!$AA$3:$AA$1315,DataRegularSeason20242025!$B$3:$B$1315, "&lt;=" &amp; AY$1, DataRegularSeason20242025!$D$3:$D$1315, $A23)+SUMIFS(DataRegularSeason20242025!$AB$3:$AB$1315,DataRegularSeason20242025!$B$3:$B$1315, "&lt;=" &amp; AY$1, DataRegularSeason20242025!$E$3:$E$1315, $A23)</f>
        <v>7</v>
      </c>
      <c r="AZ23">
        <f>SUMIFS(DataRegularSeason20242025!$AA$3:$AA$1315,DataRegularSeason20242025!$B$3:$B$1315, "&lt;=" &amp; AZ$1, DataRegularSeason20242025!$D$3:$D$1315, $A23)+SUMIFS(DataRegularSeason20242025!$AB$3:$AB$1315,DataRegularSeason20242025!$B$3:$B$1315, "&lt;=" &amp; AZ$1, DataRegularSeason20242025!$E$3:$E$1315, $A23)</f>
        <v>7</v>
      </c>
      <c r="BA23">
        <f>SUMIFS(DataRegularSeason20242025!$AA$3:$AA$1315,DataRegularSeason20242025!$B$3:$B$1315, "&lt;=" &amp; BA$1, DataRegularSeason20242025!$D$3:$D$1315, $A23)+SUMIFS(DataRegularSeason20242025!$AB$3:$AB$1315,DataRegularSeason20242025!$B$3:$B$1315, "&lt;=" &amp; BA$1, DataRegularSeason20242025!$E$3:$E$1315, $A23)</f>
        <v>7</v>
      </c>
      <c r="BB23">
        <f>SUMIFS(DataRegularSeason20242025!$AA$3:$AA$1315,DataRegularSeason20242025!$B$3:$B$1315, "&lt;=" &amp; BB$1, DataRegularSeason20242025!$D$3:$D$1315, $A23)+SUMIFS(DataRegularSeason20242025!$AB$3:$AB$1315,DataRegularSeason20242025!$B$3:$B$1315, "&lt;=" &amp; BB$1, DataRegularSeason20242025!$E$3:$E$1315, $A23)</f>
        <v>7</v>
      </c>
      <c r="BC23">
        <f>SUMIFS(DataRegularSeason20242025!$AA$3:$AA$1315,DataRegularSeason20242025!$B$3:$B$1315, "&lt;=" &amp; BC$1, DataRegularSeason20242025!$D$3:$D$1315, $A23)+SUMIFS(DataRegularSeason20242025!$AB$3:$AB$1315,DataRegularSeason20242025!$B$3:$B$1315, "&lt;=" &amp; BC$1, DataRegularSeason20242025!$E$3:$E$1315, $A23)</f>
        <v>7</v>
      </c>
      <c r="BD23">
        <f>SUMIFS(DataRegularSeason20242025!$AA$3:$AA$1315,DataRegularSeason20242025!$B$3:$B$1315, "&lt;=" &amp; BD$1, DataRegularSeason20242025!$D$3:$D$1315, $A23)+SUMIFS(DataRegularSeason20242025!$AB$3:$AB$1315,DataRegularSeason20242025!$B$3:$B$1315, "&lt;=" &amp; BD$1, DataRegularSeason20242025!$E$3:$E$1315, $A23)</f>
        <v>7</v>
      </c>
      <c r="BE23">
        <f>SUMIFS(DataRegularSeason20242025!$AA$3:$AA$1315,DataRegularSeason20242025!$B$3:$B$1315, "&lt;=" &amp; BE$1, DataRegularSeason20242025!$D$3:$D$1315, $A23)+SUMIFS(DataRegularSeason20242025!$AB$3:$AB$1315,DataRegularSeason20242025!$B$3:$B$1315, "&lt;=" &amp; BE$1, DataRegularSeason20242025!$E$3:$E$1315, $A23)</f>
        <v>7</v>
      </c>
      <c r="BF23">
        <f>SUMIFS(DataRegularSeason20242025!$AA$3:$AA$1315,DataRegularSeason20242025!$B$3:$B$1315, "&lt;=" &amp; BF$1, DataRegularSeason20242025!$D$3:$D$1315, $A23)+SUMIFS(DataRegularSeason20242025!$AB$3:$AB$1315,DataRegularSeason20242025!$B$3:$B$1315, "&lt;=" &amp; BF$1, DataRegularSeason20242025!$E$3:$E$1315, $A23)</f>
        <v>7</v>
      </c>
      <c r="BG23">
        <f>SUMIFS(DataRegularSeason20242025!$AA$3:$AA$1315,DataRegularSeason20242025!$B$3:$B$1315, "&lt;=" &amp; BG$1, DataRegularSeason20242025!$D$3:$D$1315, $A23)+SUMIFS(DataRegularSeason20242025!$AB$3:$AB$1315,DataRegularSeason20242025!$B$3:$B$1315, "&lt;=" &amp; BG$1, DataRegularSeason20242025!$E$3:$E$1315, $A23)</f>
        <v>7</v>
      </c>
      <c r="BH23">
        <f>SUMIFS(DataRegularSeason20242025!$AA$3:$AA$1315,DataRegularSeason20242025!$B$3:$B$1315, "&lt;=" &amp; BH$1, DataRegularSeason20242025!$D$3:$D$1315, $A23)+SUMIFS(DataRegularSeason20242025!$AB$3:$AB$1315,DataRegularSeason20242025!$B$3:$B$1315, "&lt;=" &amp; BH$1, DataRegularSeason20242025!$E$3:$E$1315, $A23)</f>
        <v>7</v>
      </c>
      <c r="BI23">
        <f>SUMIFS(DataRegularSeason20242025!$AA$3:$AA$1315,DataRegularSeason20242025!$B$3:$B$1315, "&lt;=" &amp; BI$1, DataRegularSeason20242025!$D$3:$D$1315, $A23)+SUMIFS(DataRegularSeason20242025!$AB$3:$AB$1315,DataRegularSeason20242025!$B$3:$B$1315, "&lt;=" &amp; BI$1, DataRegularSeason20242025!$E$3:$E$1315, $A23)</f>
        <v>7</v>
      </c>
      <c r="BJ23">
        <f>SUMIFS(DataRegularSeason20242025!$AA$3:$AA$1315,DataRegularSeason20242025!$B$3:$B$1315, "&lt;=" &amp; BJ$1, DataRegularSeason20242025!$D$3:$D$1315, $A23)+SUMIFS(DataRegularSeason20242025!$AB$3:$AB$1315,DataRegularSeason20242025!$B$3:$B$1315, "&lt;=" &amp; BJ$1, DataRegularSeason20242025!$E$3:$E$1315, $A23)</f>
        <v>7</v>
      </c>
      <c r="BK23">
        <f>SUMIFS(DataRegularSeason20242025!$AA$3:$AA$1315,DataRegularSeason20242025!$B$3:$B$1315, "&lt;=" &amp; BK$1, DataRegularSeason20242025!$D$3:$D$1315, $A23)+SUMIFS(DataRegularSeason20242025!$AB$3:$AB$1315,DataRegularSeason20242025!$B$3:$B$1315, "&lt;=" &amp; BK$1, DataRegularSeason20242025!$E$3:$E$1315, $A23)</f>
        <v>7</v>
      </c>
      <c r="BL23">
        <f>SUMIFS(DataRegularSeason20242025!$AA$3:$AA$1315,DataRegularSeason20242025!$B$3:$B$1315, "&lt;=" &amp; BL$1, DataRegularSeason20242025!$D$3:$D$1315, $A23)+SUMIFS(DataRegularSeason20242025!$AB$3:$AB$1315,DataRegularSeason20242025!$B$3:$B$1315, "&lt;=" &amp; BL$1, DataRegularSeason20242025!$E$3:$E$1315, $A23)</f>
        <v>7</v>
      </c>
      <c r="BM23">
        <f>SUMIFS(DataRegularSeason20242025!$AA$3:$AA$1315,DataRegularSeason20242025!$B$3:$B$1315, "&lt;=" &amp; BM$1, DataRegularSeason20242025!$D$3:$D$1315, $A23)+SUMIFS(DataRegularSeason20242025!$AB$3:$AB$1315,DataRegularSeason20242025!$B$3:$B$1315, "&lt;=" &amp; BM$1, DataRegularSeason20242025!$E$3:$E$1315, $A23)</f>
        <v>7</v>
      </c>
      <c r="BN23">
        <f>SUMIFS(DataRegularSeason20242025!$AA$3:$AA$1315,DataRegularSeason20242025!$B$3:$B$1315, "&lt;=" &amp; BN$1, DataRegularSeason20242025!$D$3:$D$1315, $A23)+SUMIFS(DataRegularSeason20242025!$AB$3:$AB$1315,DataRegularSeason20242025!$B$3:$B$1315, "&lt;=" &amp; BN$1, DataRegularSeason20242025!$E$3:$E$1315, $A23)</f>
        <v>7</v>
      </c>
      <c r="BO23">
        <f>SUMIFS(DataRegularSeason20242025!$AA$3:$AA$1315,DataRegularSeason20242025!$B$3:$B$1315, "&lt;=" &amp; BO$1, DataRegularSeason20242025!$D$3:$D$1315, $A23)+SUMIFS(DataRegularSeason20242025!$AB$3:$AB$1315,DataRegularSeason20242025!$B$3:$B$1315, "&lt;=" &amp; BO$1, DataRegularSeason20242025!$E$3:$E$1315, $A23)</f>
        <v>7</v>
      </c>
      <c r="BP23">
        <f>SUMIFS(DataRegularSeason20242025!$AA$3:$AA$1315,DataRegularSeason20242025!$B$3:$B$1315, "&lt;=" &amp; BP$1, DataRegularSeason20242025!$D$3:$D$1315, $A23)+SUMIFS(DataRegularSeason20242025!$AB$3:$AB$1315,DataRegularSeason20242025!$B$3:$B$1315, "&lt;=" &amp; BP$1, DataRegularSeason20242025!$E$3:$E$1315, $A23)</f>
        <v>7</v>
      </c>
      <c r="BQ23">
        <f>SUMIFS(DataRegularSeason20242025!$AA$3:$AA$1315,DataRegularSeason20242025!$B$3:$B$1315, "&lt;=" &amp; BQ$1, DataRegularSeason20242025!$D$3:$D$1315, $A23)+SUMIFS(DataRegularSeason20242025!$AB$3:$AB$1315,DataRegularSeason20242025!$B$3:$B$1315, "&lt;=" &amp; BQ$1, DataRegularSeason20242025!$E$3:$E$1315, $A23)</f>
        <v>7</v>
      </c>
      <c r="BR23">
        <f>SUMIFS(DataRegularSeason20242025!$AA$3:$AA$1315,DataRegularSeason20242025!$B$3:$B$1315, "&lt;=" &amp; BR$1, DataRegularSeason20242025!$D$3:$D$1315, $A23)+SUMIFS(DataRegularSeason20242025!$AB$3:$AB$1315,DataRegularSeason20242025!$B$3:$B$1315, "&lt;=" &amp; BR$1, DataRegularSeason20242025!$E$3:$E$1315, $A23)</f>
        <v>7</v>
      </c>
      <c r="BS23">
        <f>SUMIFS(DataRegularSeason20242025!$AA$3:$AA$1315,DataRegularSeason20242025!$B$3:$B$1315, "&lt;=" &amp; BS$1, DataRegularSeason20242025!$D$3:$D$1315, $A23)+SUMIFS(DataRegularSeason20242025!$AB$3:$AB$1315,DataRegularSeason20242025!$B$3:$B$1315, "&lt;=" &amp; BS$1, DataRegularSeason20242025!$E$3:$E$1315, $A23)</f>
        <v>7</v>
      </c>
      <c r="BT23">
        <f>SUMIFS(DataRegularSeason20242025!$AA$3:$AA$1315,DataRegularSeason20242025!$B$3:$B$1315, "&lt;=" &amp; BT$1, DataRegularSeason20242025!$D$3:$D$1315, $A23)+SUMIFS(DataRegularSeason20242025!$AB$3:$AB$1315,DataRegularSeason20242025!$B$3:$B$1315, "&lt;=" &amp; BT$1, DataRegularSeason20242025!$E$3:$E$1315, $A23)</f>
        <v>7</v>
      </c>
      <c r="BU23">
        <f>SUMIFS(DataRegularSeason20242025!$AA$3:$AA$1315,DataRegularSeason20242025!$B$3:$B$1315, "&lt;=" &amp; BU$1, DataRegularSeason20242025!$D$3:$D$1315, $A23)+SUMIFS(DataRegularSeason20242025!$AB$3:$AB$1315,DataRegularSeason20242025!$B$3:$B$1315, "&lt;=" &amp; BU$1, DataRegularSeason20242025!$E$3:$E$1315, $A23)</f>
        <v>7</v>
      </c>
      <c r="BV23">
        <f>SUMIFS(DataRegularSeason20242025!$AA$3:$AA$1315,DataRegularSeason20242025!$B$3:$B$1315, "&lt;=" &amp; BV$1, DataRegularSeason20242025!$D$3:$D$1315, $A23)+SUMIFS(DataRegularSeason20242025!$AB$3:$AB$1315,DataRegularSeason20242025!$B$3:$B$1315, "&lt;=" &amp; BV$1, DataRegularSeason20242025!$E$3:$E$1315, $A23)</f>
        <v>7</v>
      </c>
      <c r="BW23">
        <f>SUMIFS(DataRegularSeason20242025!$AA$3:$AA$1315,DataRegularSeason20242025!$B$3:$B$1315, "&lt;=" &amp; BW$1, DataRegularSeason20242025!$D$3:$D$1315, $A23)+SUMIFS(DataRegularSeason20242025!$AB$3:$AB$1315,DataRegularSeason20242025!$B$3:$B$1315, "&lt;=" &amp; BW$1, DataRegularSeason20242025!$E$3:$E$1315, $A23)</f>
        <v>7</v>
      </c>
      <c r="BX23">
        <f>SUMIFS(DataRegularSeason20242025!$AA$3:$AA$1315,DataRegularSeason20242025!$B$3:$B$1315, "&lt;=" &amp; BX$1, DataRegularSeason20242025!$D$3:$D$1315, $A23)+SUMIFS(DataRegularSeason20242025!$AB$3:$AB$1315,DataRegularSeason20242025!$B$3:$B$1315, "&lt;=" &amp; BX$1, DataRegularSeason20242025!$E$3:$E$1315, $A23)</f>
        <v>7</v>
      </c>
      <c r="BY23">
        <f>SUMIFS(DataRegularSeason20242025!$AA$3:$AA$1315,DataRegularSeason20242025!$B$3:$B$1315, "&lt;=" &amp; BY$1, DataRegularSeason20242025!$D$3:$D$1315, $A23)+SUMIFS(DataRegularSeason20242025!$AB$3:$AB$1315,DataRegularSeason20242025!$B$3:$B$1315, "&lt;=" &amp; BY$1, DataRegularSeason20242025!$E$3:$E$1315, $A23)</f>
        <v>7</v>
      </c>
      <c r="BZ23">
        <f>SUMIFS(DataRegularSeason20242025!$AA$3:$AA$1315,DataRegularSeason20242025!$B$3:$B$1315, "&lt;=" &amp; BZ$1, DataRegularSeason20242025!$D$3:$D$1315, $A23)+SUMIFS(DataRegularSeason20242025!$AB$3:$AB$1315,DataRegularSeason20242025!$B$3:$B$1315, "&lt;=" &amp; BZ$1, DataRegularSeason20242025!$E$3:$E$1315, $A23)</f>
        <v>7</v>
      </c>
      <c r="CA23">
        <f>SUMIFS(DataRegularSeason20242025!$AA$3:$AA$1315,DataRegularSeason20242025!$B$3:$B$1315, "&lt;=" &amp; CA$1, DataRegularSeason20242025!$D$3:$D$1315, $A23)+SUMIFS(DataRegularSeason20242025!$AB$3:$AB$1315,DataRegularSeason20242025!$B$3:$B$1315, "&lt;=" &amp; CA$1, DataRegularSeason20242025!$E$3:$E$1315, $A23)</f>
        <v>7</v>
      </c>
      <c r="CB23">
        <f>SUMIFS(DataRegularSeason20242025!$AA$3:$AA$1315,DataRegularSeason20242025!$B$3:$B$1315, "&lt;=" &amp; CB$1, DataRegularSeason20242025!$D$3:$D$1315, $A23)+SUMIFS(DataRegularSeason20242025!$AB$3:$AB$1315,DataRegularSeason20242025!$B$3:$B$1315, "&lt;=" &amp; CB$1, DataRegularSeason20242025!$E$3:$E$1315, $A23)</f>
        <v>7</v>
      </c>
      <c r="CC23">
        <f>SUMIFS(DataRegularSeason20242025!$AA$3:$AA$1315,DataRegularSeason20242025!$B$3:$B$1315, "&lt;=" &amp; CC$1, DataRegularSeason20242025!$D$3:$D$1315, $A23)+SUMIFS(DataRegularSeason20242025!$AB$3:$AB$1315,DataRegularSeason20242025!$B$3:$B$1315, "&lt;=" &amp; CC$1, DataRegularSeason20242025!$E$3:$E$1315, $A23)</f>
        <v>7</v>
      </c>
      <c r="CD23">
        <f>SUMIFS(DataRegularSeason20242025!$AA$3:$AA$1315,DataRegularSeason20242025!$B$3:$B$1315, "&lt;=" &amp; CD$1, DataRegularSeason20242025!$D$3:$D$1315, $A23)+SUMIFS(DataRegularSeason20242025!$AB$3:$AB$1315,DataRegularSeason20242025!$B$3:$B$1315, "&lt;=" &amp; CD$1, DataRegularSeason20242025!$E$3:$E$1315, $A23)</f>
        <v>7</v>
      </c>
      <c r="CE23">
        <f>SUMIFS(DataRegularSeason20242025!$AA$3:$AA$1315,DataRegularSeason20242025!$B$3:$B$1315, "&lt;=" &amp; CE$1, DataRegularSeason20242025!$D$3:$D$1315, $A23)+SUMIFS(DataRegularSeason20242025!$AB$3:$AB$1315,DataRegularSeason20242025!$B$3:$B$1315, "&lt;=" &amp; CE$1, DataRegularSeason20242025!$E$3:$E$1315, $A23)</f>
        <v>7</v>
      </c>
      <c r="CF23">
        <f>SUMIFS(DataRegularSeason20242025!$AA$3:$AA$1315,DataRegularSeason20242025!$B$3:$B$1315, "&lt;=" &amp; CF$1, DataRegularSeason20242025!$D$3:$D$1315, $A23)+SUMIFS(DataRegularSeason20242025!$AB$3:$AB$1315,DataRegularSeason20242025!$B$3:$B$1315, "&lt;=" &amp; CF$1, DataRegularSeason20242025!$E$3:$E$1315, $A23)</f>
        <v>7</v>
      </c>
      <c r="CG23">
        <f>SUMIFS(DataRegularSeason20242025!$AA$3:$AA$1315,DataRegularSeason20242025!$B$3:$B$1315, "&lt;=" &amp; CG$1, DataRegularSeason20242025!$D$3:$D$1315, $A23)+SUMIFS(DataRegularSeason20242025!$AB$3:$AB$1315,DataRegularSeason20242025!$B$3:$B$1315, "&lt;=" &amp; CG$1, DataRegularSeason20242025!$E$3:$E$1315, $A23)</f>
        <v>7</v>
      </c>
      <c r="CH23">
        <f>SUMIFS(DataRegularSeason20242025!$AA$3:$AA$1315,DataRegularSeason20242025!$B$3:$B$1315, "&lt;=" &amp; CH$1, DataRegularSeason20242025!$D$3:$D$1315, $A23)+SUMIFS(DataRegularSeason20242025!$AB$3:$AB$1315,DataRegularSeason20242025!$B$3:$B$1315, "&lt;=" &amp; CH$1, DataRegularSeason20242025!$E$3:$E$1315, $A23)</f>
        <v>7</v>
      </c>
      <c r="CI23">
        <f>SUMIFS(DataRegularSeason20242025!$AA$3:$AA$1315,DataRegularSeason20242025!$B$3:$B$1315, "&lt;=" &amp; CI$1, DataRegularSeason20242025!$D$3:$D$1315, $A23)+SUMIFS(DataRegularSeason20242025!$AB$3:$AB$1315,DataRegularSeason20242025!$B$3:$B$1315, "&lt;=" &amp; CI$1, DataRegularSeason20242025!$E$3:$E$1315, $A23)</f>
        <v>7</v>
      </c>
      <c r="CJ23">
        <f>SUMIFS(DataRegularSeason20242025!$AA$3:$AA$1315,DataRegularSeason20242025!$B$3:$B$1315, "&lt;=" &amp; CJ$1, DataRegularSeason20242025!$D$3:$D$1315, $A23)+SUMIFS(DataRegularSeason20242025!$AB$3:$AB$1315,DataRegularSeason20242025!$B$3:$B$1315, "&lt;=" &amp; CJ$1, DataRegularSeason20242025!$E$3:$E$1315, $A23)</f>
        <v>7</v>
      </c>
      <c r="CK23">
        <f>SUMIFS(DataRegularSeason20242025!$AA$3:$AA$1315,DataRegularSeason20242025!$B$3:$B$1315, "&lt;=" &amp; CK$1, DataRegularSeason20242025!$D$3:$D$1315, $A23)+SUMIFS(DataRegularSeason20242025!$AB$3:$AB$1315,DataRegularSeason20242025!$B$3:$B$1315, "&lt;=" &amp; CK$1, DataRegularSeason20242025!$E$3:$E$1315, $A23)</f>
        <v>7</v>
      </c>
      <c r="CL23">
        <f>SUMIFS(DataRegularSeason20242025!$AA$3:$AA$1315,DataRegularSeason20242025!$B$3:$B$1315, "&lt;=" &amp; CL$1, DataRegularSeason20242025!$D$3:$D$1315, $A23)+SUMIFS(DataRegularSeason20242025!$AB$3:$AB$1315,DataRegularSeason20242025!$B$3:$B$1315, "&lt;=" &amp; CL$1, DataRegularSeason20242025!$E$3:$E$1315, $A23)</f>
        <v>7</v>
      </c>
      <c r="CM23">
        <f>SUMIFS(DataRegularSeason20242025!$AA$3:$AA$1315,DataRegularSeason20242025!$B$3:$B$1315, "&lt;=" &amp; CM$1, DataRegularSeason20242025!$D$3:$D$1315, $A23)+SUMIFS(DataRegularSeason20242025!$AB$3:$AB$1315,DataRegularSeason20242025!$B$3:$B$1315, "&lt;=" &amp; CM$1, DataRegularSeason20242025!$E$3:$E$1315, $A23)</f>
        <v>7</v>
      </c>
      <c r="CN23">
        <f>SUMIFS(DataRegularSeason20242025!$AA$3:$AA$1315,DataRegularSeason20242025!$B$3:$B$1315, "&lt;=" &amp; CN$1, DataRegularSeason20242025!$D$3:$D$1315, $A23)+SUMIFS(DataRegularSeason20242025!$AB$3:$AB$1315,DataRegularSeason20242025!$B$3:$B$1315, "&lt;=" &amp; CN$1, DataRegularSeason20242025!$E$3:$E$1315, $A23)</f>
        <v>7</v>
      </c>
      <c r="CO23">
        <f>SUMIFS(DataRegularSeason20242025!$AA$3:$AA$1315,DataRegularSeason20242025!$B$3:$B$1315, "&lt;=" &amp; CO$1, DataRegularSeason20242025!$D$3:$D$1315, $A23)+SUMIFS(DataRegularSeason20242025!$AB$3:$AB$1315,DataRegularSeason20242025!$B$3:$B$1315, "&lt;=" &amp; CO$1, DataRegularSeason20242025!$E$3:$E$1315, $A23)</f>
        <v>7</v>
      </c>
      <c r="CP23">
        <f>SUMIFS(DataRegularSeason20242025!$AA$3:$AA$1315,DataRegularSeason20242025!$B$3:$B$1315, "&lt;=" &amp; CP$1, DataRegularSeason20242025!$D$3:$D$1315, $A23)+SUMIFS(DataRegularSeason20242025!$AB$3:$AB$1315,DataRegularSeason20242025!$B$3:$B$1315, "&lt;=" &amp; CP$1, DataRegularSeason20242025!$E$3:$E$1315, $A23)</f>
        <v>7</v>
      </c>
      <c r="CQ23">
        <f>SUMIFS(DataRegularSeason20242025!$AA$3:$AA$1315,DataRegularSeason20242025!$B$3:$B$1315, "&lt;=" &amp; CQ$1, DataRegularSeason20242025!$D$3:$D$1315, $A23)+SUMIFS(DataRegularSeason20242025!$AB$3:$AB$1315,DataRegularSeason20242025!$B$3:$B$1315, "&lt;=" &amp; CQ$1, DataRegularSeason20242025!$E$3:$E$1315, $A23)</f>
        <v>7</v>
      </c>
      <c r="CR23">
        <f>SUMIFS(DataRegularSeason20242025!$AA$3:$AA$1315,DataRegularSeason20242025!$B$3:$B$1315, "&lt;=" &amp; CR$1, DataRegularSeason20242025!$D$3:$D$1315, $A23)+SUMIFS(DataRegularSeason20242025!$AB$3:$AB$1315,DataRegularSeason20242025!$B$3:$B$1315, "&lt;=" &amp; CR$1, DataRegularSeason20242025!$E$3:$E$1315, $A23)</f>
        <v>7</v>
      </c>
      <c r="CS23">
        <f>SUMIFS(DataRegularSeason20242025!$AA$3:$AA$1315,DataRegularSeason20242025!$B$3:$B$1315, "&lt;=" &amp; CS$1, DataRegularSeason20242025!$D$3:$D$1315, $A23)+SUMIFS(DataRegularSeason20242025!$AB$3:$AB$1315,DataRegularSeason20242025!$B$3:$B$1315, "&lt;=" &amp; CS$1, DataRegularSeason20242025!$E$3:$E$1315, $A23)</f>
        <v>7</v>
      </c>
      <c r="CT23">
        <f>SUMIFS(DataRegularSeason20242025!$AA$3:$AA$1315,DataRegularSeason20242025!$B$3:$B$1315, "&lt;=" &amp; CT$1, DataRegularSeason20242025!$D$3:$D$1315, $A23)+SUMIFS(DataRegularSeason20242025!$AB$3:$AB$1315,DataRegularSeason20242025!$B$3:$B$1315, "&lt;=" &amp; CT$1, DataRegularSeason20242025!$E$3:$E$1315, $A23)</f>
        <v>7</v>
      </c>
      <c r="CU23">
        <f>SUMIFS(DataRegularSeason20242025!$AA$3:$AA$1315,DataRegularSeason20242025!$B$3:$B$1315, "&lt;=" &amp; CU$1, DataRegularSeason20242025!$D$3:$D$1315, $A23)+SUMIFS(DataRegularSeason20242025!$AB$3:$AB$1315,DataRegularSeason20242025!$B$3:$B$1315, "&lt;=" &amp; CU$1, DataRegularSeason20242025!$E$3:$E$1315, $A23)</f>
        <v>7</v>
      </c>
      <c r="CV23">
        <f>SUMIFS(DataRegularSeason20242025!$AA$3:$AA$1315,DataRegularSeason20242025!$B$3:$B$1315, "&lt;=" &amp; CV$1, DataRegularSeason20242025!$D$3:$D$1315, $A23)+SUMIFS(DataRegularSeason20242025!$AB$3:$AB$1315,DataRegularSeason20242025!$B$3:$B$1315, "&lt;=" &amp; CV$1, DataRegularSeason20242025!$E$3:$E$1315, $A23)</f>
        <v>7</v>
      </c>
      <c r="CW23">
        <f>SUMIFS(DataRegularSeason20242025!$AA$3:$AA$1315,DataRegularSeason20242025!$B$3:$B$1315, "&lt;=" &amp; CW$1, DataRegularSeason20242025!$D$3:$D$1315, $A23)+SUMIFS(DataRegularSeason20242025!$AB$3:$AB$1315,DataRegularSeason20242025!$B$3:$B$1315, "&lt;=" &amp; CW$1, DataRegularSeason20242025!$E$3:$E$1315, $A23)</f>
        <v>7</v>
      </c>
      <c r="CX23">
        <f>SUMIFS(DataRegularSeason20242025!$AA$3:$AA$1315,DataRegularSeason20242025!$B$3:$B$1315, "&lt;=" &amp; CX$1, DataRegularSeason20242025!$D$3:$D$1315, $A23)+SUMIFS(DataRegularSeason20242025!$AB$3:$AB$1315,DataRegularSeason20242025!$B$3:$B$1315, "&lt;=" &amp; CX$1, DataRegularSeason20242025!$E$3:$E$1315, $A23)</f>
        <v>7</v>
      </c>
      <c r="CY23">
        <f>SUMIFS(DataRegularSeason20242025!$AA$3:$AA$1315,DataRegularSeason20242025!$B$3:$B$1315, "&lt;=" &amp; CY$1, DataRegularSeason20242025!$D$3:$D$1315, $A23)+SUMIFS(DataRegularSeason20242025!$AB$3:$AB$1315,DataRegularSeason20242025!$B$3:$B$1315, "&lt;=" &amp; CY$1, DataRegularSeason20242025!$E$3:$E$1315, $A23)</f>
        <v>7</v>
      </c>
      <c r="CZ23">
        <f>SUMIFS(DataRegularSeason20242025!$AA$3:$AA$1315,DataRegularSeason20242025!$B$3:$B$1315, "&lt;=" &amp; CZ$1, DataRegularSeason20242025!$D$3:$D$1315, $A23)+SUMIFS(DataRegularSeason20242025!$AB$3:$AB$1315,DataRegularSeason20242025!$B$3:$B$1315, "&lt;=" &amp; CZ$1, DataRegularSeason20242025!$E$3:$E$1315, $A23)</f>
        <v>7</v>
      </c>
      <c r="DA23">
        <f>SUMIFS(DataRegularSeason20242025!$AA$3:$AA$1315,DataRegularSeason20242025!$B$3:$B$1315, "&lt;=" &amp; DA$1, DataRegularSeason20242025!$D$3:$D$1315, $A23)+SUMIFS(DataRegularSeason20242025!$AB$3:$AB$1315,DataRegularSeason20242025!$B$3:$B$1315, "&lt;=" &amp; DA$1, DataRegularSeason20242025!$E$3:$E$1315, $A23)</f>
        <v>7</v>
      </c>
      <c r="DB23">
        <f>SUMIFS(DataRegularSeason20242025!$AA$3:$AA$1315,DataRegularSeason20242025!$B$3:$B$1315, "&lt;=" &amp; DB$1, DataRegularSeason20242025!$D$3:$D$1315, $A23)+SUMIFS(DataRegularSeason20242025!$AB$3:$AB$1315,DataRegularSeason20242025!$B$3:$B$1315, "&lt;=" &amp; DB$1, DataRegularSeason20242025!$E$3:$E$1315, $A23)</f>
        <v>7</v>
      </c>
      <c r="DC23">
        <f>SUMIFS(DataRegularSeason20242025!$AA$3:$AA$1315,DataRegularSeason20242025!$B$3:$B$1315, "&lt;=" &amp; DC$1, DataRegularSeason20242025!$D$3:$D$1315, $A23)+SUMIFS(DataRegularSeason20242025!$AB$3:$AB$1315,DataRegularSeason20242025!$B$3:$B$1315, "&lt;=" &amp; DC$1, DataRegularSeason20242025!$E$3:$E$1315, $A23)</f>
        <v>7</v>
      </c>
      <c r="DD23">
        <f>SUMIFS(DataRegularSeason20242025!$AA$3:$AA$1315,DataRegularSeason20242025!$B$3:$B$1315, "&lt;=" &amp; DD$1, DataRegularSeason20242025!$D$3:$D$1315, $A23)+SUMIFS(DataRegularSeason20242025!$AB$3:$AB$1315,DataRegularSeason20242025!$B$3:$B$1315, "&lt;=" &amp; DD$1, DataRegularSeason20242025!$E$3:$E$1315, $A23)</f>
        <v>7</v>
      </c>
      <c r="DE23">
        <f>SUMIFS(DataRegularSeason20242025!$AA$3:$AA$1315,DataRegularSeason20242025!$B$3:$B$1315, "&lt;=" &amp; DE$1, DataRegularSeason20242025!$D$3:$D$1315, $A23)+SUMIFS(DataRegularSeason20242025!$AB$3:$AB$1315,DataRegularSeason20242025!$B$3:$B$1315, "&lt;=" &amp; DE$1, DataRegularSeason20242025!$E$3:$E$1315, $A23)</f>
        <v>7</v>
      </c>
      <c r="DF23">
        <f>SUMIFS(DataRegularSeason20242025!$AA$3:$AA$1315,DataRegularSeason20242025!$B$3:$B$1315, "&lt;=" &amp; DF$1, DataRegularSeason20242025!$D$3:$D$1315, $A23)+SUMIFS(DataRegularSeason20242025!$AB$3:$AB$1315,DataRegularSeason20242025!$B$3:$B$1315, "&lt;=" &amp; DF$1, DataRegularSeason20242025!$E$3:$E$1315, $A23)</f>
        <v>7</v>
      </c>
      <c r="DG23">
        <f>SUMIFS(DataRegularSeason20242025!$AA$3:$AA$1315,DataRegularSeason20242025!$B$3:$B$1315, "&lt;=" &amp; DG$1, DataRegularSeason20242025!$D$3:$D$1315, $A23)+SUMIFS(DataRegularSeason20242025!$AB$3:$AB$1315,DataRegularSeason20242025!$B$3:$B$1315, "&lt;=" &amp; DG$1, DataRegularSeason20242025!$E$3:$E$1315, $A23)</f>
        <v>7</v>
      </c>
      <c r="DH23">
        <f>SUMIFS(DataRegularSeason20242025!$AA$3:$AA$1315,DataRegularSeason20242025!$B$3:$B$1315, "&lt;=" &amp; DH$1, DataRegularSeason20242025!$D$3:$D$1315, $A23)+SUMIFS(DataRegularSeason20242025!$AB$3:$AB$1315,DataRegularSeason20242025!$B$3:$B$1315, "&lt;=" &amp; DH$1, DataRegularSeason20242025!$E$3:$E$1315, $A23)</f>
        <v>7</v>
      </c>
      <c r="DI23">
        <f>SUMIFS(DataRegularSeason20242025!$AA$3:$AA$1315,DataRegularSeason20242025!$B$3:$B$1315, "&lt;=" &amp; DI$1, DataRegularSeason20242025!$D$3:$D$1315, $A23)+SUMIFS(DataRegularSeason20242025!$AB$3:$AB$1315,DataRegularSeason20242025!$B$3:$B$1315, "&lt;=" &amp; DI$1, DataRegularSeason20242025!$E$3:$E$1315, $A23)</f>
        <v>7</v>
      </c>
      <c r="DJ23">
        <f>SUMIFS(DataRegularSeason20242025!$AA$3:$AA$1315,DataRegularSeason20242025!$B$3:$B$1315, "&lt;=" &amp; DJ$1, DataRegularSeason20242025!$D$3:$D$1315, $A23)+SUMIFS(DataRegularSeason20242025!$AB$3:$AB$1315,DataRegularSeason20242025!$B$3:$B$1315, "&lt;=" &amp; DJ$1, DataRegularSeason20242025!$E$3:$E$1315, $A23)</f>
        <v>7</v>
      </c>
      <c r="DK23">
        <f>SUMIFS(DataRegularSeason20242025!$AA$3:$AA$1315,DataRegularSeason20242025!$B$3:$B$1315, "&lt;=" &amp; DK$1, DataRegularSeason20242025!$D$3:$D$1315, $A23)+SUMIFS(DataRegularSeason20242025!$AB$3:$AB$1315,DataRegularSeason20242025!$B$3:$B$1315, "&lt;=" &amp; DK$1, DataRegularSeason20242025!$E$3:$E$1315, $A23)</f>
        <v>7</v>
      </c>
      <c r="DL23">
        <f>SUMIFS(DataRegularSeason20242025!$AA$3:$AA$1315,DataRegularSeason20242025!$B$3:$B$1315, "&lt;=" &amp; DL$1, DataRegularSeason20242025!$D$3:$D$1315, $A23)+SUMIFS(DataRegularSeason20242025!$AB$3:$AB$1315,DataRegularSeason20242025!$B$3:$B$1315, "&lt;=" &amp; DL$1, DataRegularSeason20242025!$E$3:$E$1315, $A23)</f>
        <v>7</v>
      </c>
      <c r="DM23">
        <f>SUMIFS(DataRegularSeason20242025!$AA$3:$AA$1315,DataRegularSeason20242025!$B$3:$B$1315, "&lt;=" &amp; DM$1, DataRegularSeason20242025!$D$3:$D$1315, $A23)+SUMIFS(DataRegularSeason20242025!$AB$3:$AB$1315,DataRegularSeason20242025!$B$3:$B$1315, "&lt;=" &amp; DM$1, DataRegularSeason20242025!$E$3:$E$1315, $A23)</f>
        <v>7</v>
      </c>
      <c r="DN23">
        <f>SUMIFS(DataRegularSeason20242025!$AA$3:$AA$1315,DataRegularSeason20242025!$B$3:$B$1315, "&lt;=" &amp; DN$1, DataRegularSeason20242025!$D$3:$D$1315, $A23)+SUMIFS(DataRegularSeason20242025!$AB$3:$AB$1315,DataRegularSeason20242025!$B$3:$B$1315, "&lt;=" &amp; DN$1, DataRegularSeason20242025!$E$3:$E$1315, $A23)</f>
        <v>7</v>
      </c>
      <c r="DO23">
        <f>SUMIFS(DataRegularSeason20242025!$AA$3:$AA$1315,DataRegularSeason20242025!$B$3:$B$1315, "&lt;=" &amp; DO$1, DataRegularSeason20242025!$D$3:$D$1315, $A23)+SUMIFS(DataRegularSeason20242025!$AB$3:$AB$1315,DataRegularSeason20242025!$B$3:$B$1315, "&lt;=" &amp; DO$1, DataRegularSeason20242025!$E$3:$E$1315, $A23)</f>
        <v>7</v>
      </c>
      <c r="DP23">
        <f>SUMIFS(DataRegularSeason20242025!$AA$3:$AA$1315,DataRegularSeason20242025!$B$3:$B$1315, "&lt;=" &amp; DP$1, DataRegularSeason20242025!$D$3:$D$1315, $A23)+SUMIFS(DataRegularSeason20242025!$AB$3:$AB$1315,DataRegularSeason20242025!$B$3:$B$1315, "&lt;=" &amp; DP$1, DataRegularSeason20242025!$E$3:$E$1315, $A23)</f>
        <v>7</v>
      </c>
      <c r="DQ23">
        <f>SUMIFS(DataRegularSeason20242025!$AA$3:$AA$1315,DataRegularSeason20242025!$B$3:$B$1315, "&lt;=" &amp; DQ$1, DataRegularSeason20242025!$D$3:$D$1315, $A23)+SUMIFS(DataRegularSeason20242025!$AB$3:$AB$1315,DataRegularSeason20242025!$B$3:$B$1315, "&lt;=" &amp; DQ$1, DataRegularSeason20242025!$E$3:$E$1315, $A23)</f>
        <v>7</v>
      </c>
      <c r="DR23">
        <f>SUMIFS(DataRegularSeason20242025!$AA$3:$AA$1315,DataRegularSeason20242025!$B$3:$B$1315, "&lt;=" &amp; DR$1, DataRegularSeason20242025!$D$3:$D$1315, $A23)+SUMIFS(DataRegularSeason20242025!$AB$3:$AB$1315,DataRegularSeason20242025!$B$3:$B$1315, "&lt;=" &amp; DR$1, DataRegularSeason20242025!$E$3:$E$1315, $A23)</f>
        <v>7</v>
      </c>
      <c r="DS23">
        <f>SUMIFS(DataRegularSeason20242025!$AA$3:$AA$1315,DataRegularSeason20242025!$B$3:$B$1315, "&lt;=" &amp; DS$1, DataRegularSeason20242025!$D$3:$D$1315, $A23)+SUMIFS(DataRegularSeason20242025!$AB$3:$AB$1315,DataRegularSeason20242025!$B$3:$B$1315, "&lt;=" &amp; DS$1, DataRegularSeason20242025!$E$3:$E$1315, $A23)</f>
        <v>7</v>
      </c>
      <c r="DT23">
        <f>SUMIFS(DataRegularSeason20242025!$AA$3:$AA$1315,DataRegularSeason20242025!$B$3:$B$1315, "&lt;=" &amp; DT$1, DataRegularSeason20242025!$D$3:$D$1315, $A23)+SUMIFS(DataRegularSeason20242025!$AB$3:$AB$1315,DataRegularSeason20242025!$B$3:$B$1315, "&lt;=" &amp; DT$1, DataRegularSeason20242025!$E$3:$E$1315, $A23)</f>
        <v>7</v>
      </c>
      <c r="DU23">
        <f>SUMIFS(DataRegularSeason20242025!$AA$3:$AA$1315,DataRegularSeason20242025!$B$3:$B$1315, "&lt;=" &amp; DU$1, DataRegularSeason20242025!$D$3:$D$1315, $A23)+SUMIFS(DataRegularSeason20242025!$AB$3:$AB$1315,DataRegularSeason20242025!$B$3:$B$1315, "&lt;=" &amp; DU$1, DataRegularSeason20242025!$E$3:$E$1315, $A23)</f>
        <v>7</v>
      </c>
      <c r="DV23">
        <f>SUMIFS(DataRegularSeason20242025!$AA$3:$AA$1315,DataRegularSeason20242025!$B$3:$B$1315, "&lt;=" &amp; DV$1, DataRegularSeason20242025!$D$3:$D$1315, $A23)+SUMIFS(DataRegularSeason20242025!$AB$3:$AB$1315,DataRegularSeason20242025!$B$3:$B$1315, "&lt;=" &amp; DV$1, DataRegularSeason20242025!$E$3:$E$1315, $A23)</f>
        <v>7</v>
      </c>
      <c r="DW23">
        <f>SUMIFS(DataRegularSeason20242025!$AA$3:$AA$1315,DataRegularSeason20242025!$B$3:$B$1315, "&lt;=" &amp; DW$1, DataRegularSeason20242025!$D$3:$D$1315, $A23)+SUMIFS(DataRegularSeason20242025!$AB$3:$AB$1315,DataRegularSeason20242025!$B$3:$B$1315, "&lt;=" &amp; DW$1, DataRegularSeason20242025!$E$3:$E$1315, $A23)</f>
        <v>7</v>
      </c>
      <c r="DX23">
        <f>SUMIFS(DataRegularSeason20242025!$AA$3:$AA$1315,DataRegularSeason20242025!$B$3:$B$1315, "&lt;=" &amp; DX$1, DataRegularSeason20242025!$D$3:$D$1315, $A23)+SUMIFS(DataRegularSeason20242025!$AB$3:$AB$1315,DataRegularSeason20242025!$B$3:$B$1315, "&lt;=" &amp; DX$1, DataRegularSeason20242025!$E$3:$E$1315, $A23)</f>
        <v>7</v>
      </c>
      <c r="DY23">
        <f>SUMIFS(DataRegularSeason20242025!$AA$3:$AA$1315,DataRegularSeason20242025!$B$3:$B$1315, "&lt;=" &amp; DY$1, DataRegularSeason20242025!$D$3:$D$1315, $A23)+SUMIFS(DataRegularSeason20242025!$AB$3:$AB$1315,DataRegularSeason20242025!$B$3:$B$1315, "&lt;=" &amp; DY$1, DataRegularSeason20242025!$E$3:$E$1315, $A23)</f>
        <v>7</v>
      </c>
      <c r="DZ23">
        <f>SUMIFS(DataRegularSeason20242025!$AA$3:$AA$1315,DataRegularSeason20242025!$B$3:$B$1315, "&lt;=" &amp; DZ$1, DataRegularSeason20242025!$D$3:$D$1315, $A23)+SUMIFS(DataRegularSeason20242025!$AB$3:$AB$1315,DataRegularSeason20242025!$B$3:$B$1315, "&lt;=" &amp; DZ$1, DataRegularSeason20242025!$E$3:$E$1315, $A23)</f>
        <v>7</v>
      </c>
      <c r="EA23">
        <f>SUMIFS(DataRegularSeason20242025!$AA$3:$AA$1315,DataRegularSeason20242025!$B$3:$B$1315, "&lt;=" &amp; EA$1, DataRegularSeason20242025!$D$3:$D$1315, $A23)+SUMIFS(DataRegularSeason20242025!$AB$3:$AB$1315,DataRegularSeason20242025!$B$3:$B$1315, "&lt;=" &amp; EA$1, DataRegularSeason20242025!$E$3:$E$1315, $A23)</f>
        <v>7</v>
      </c>
      <c r="EB23">
        <f>SUMIFS(DataRegularSeason20242025!$AA$3:$AA$1315,DataRegularSeason20242025!$B$3:$B$1315, "&lt;=" &amp; EB$1, DataRegularSeason20242025!$D$3:$D$1315, $A23)+SUMIFS(DataRegularSeason20242025!$AB$3:$AB$1315,DataRegularSeason20242025!$B$3:$B$1315, "&lt;=" &amp; EB$1, DataRegularSeason20242025!$E$3:$E$1315, $A23)</f>
        <v>7</v>
      </c>
      <c r="EC23">
        <f>SUMIFS(DataRegularSeason20242025!$AA$3:$AA$1315,DataRegularSeason20242025!$B$3:$B$1315, "&lt;=" &amp; EC$1, DataRegularSeason20242025!$D$3:$D$1315, $A23)+SUMIFS(DataRegularSeason20242025!$AB$3:$AB$1315,DataRegularSeason20242025!$B$3:$B$1315, "&lt;=" &amp; EC$1, DataRegularSeason20242025!$E$3:$E$1315, $A23)</f>
        <v>7</v>
      </c>
      <c r="ED23">
        <f>SUMIFS(DataRegularSeason20242025!$AA$3:$AA$1315,DataRegularSeason20242025!$B$3:$B$1315, "&lt;=" &amp; ED$1, DataRegularSeason20242025!$D$3:$D$1315, $A23)+SUMIFS(DataRegularSeason20242025!$AB$3:$AB$1315,DataRegularSeason20242025!$B$3:$B$1315, "&lt;=" &amp; ED$1, DataRegularSeason20242025!$E$3:$E$1315, $A23)</f>
        <v>7</v>
      </c>
      <c r="EE23">
        <f>SUMIFS(DataRegularSeason20242025!$AA$3:$AA$1315,DataRegularSeason20242025!$B$3:$B$1315, "&lt;=" &amp; EE$1, DataRegularSeason20242025!$D$3:$D$1315, $A23)+SUMIFS(DataRegularSeason20242025!$AB$3:$AB$1315,DataRegularSeason20242025!$B$3:$B$1315, "&lt;=" &amp; EE$1, DataRegularSeason20242025!$E$3:$E$1315, $A23)</f>
        <v>7</v>
      </c>
      <c r="EF23">
        <f>SUMIFS(DataRegularSeason20242025!$AA$3:$AA$1315,DataRegularSeason20242025!$B$3:$B$1315, "&lt;=" &amp; EF$1, DataRegularSeason20242025!$D$3:$D$1315, $A23)+SUMIFS(DataRegularSeason20242025!$AB$3:$AB$1315,DataRegularSeason20242025!$B$3:$B$1315, "&lt;=" &amp; EF$1, DataRegularSeason20242025!$E$3:$E$1315, $A23)</f>
        <v>7</v>
      </c>
      <c r="EG23">
        <f>SUMIFS(DataRegularSeason20242025!$AA$3:$AA$1315,DataRegularSeason20242025!$B$3:$B$1315, "&lt;=" &amp; EG$1, DataRegularSeason20242025!$D$3:$D$1315, $A23)+SUMIFS(DataRegularSeason20242025!$AB$3:$AB$1315,DataRegularSeason20242025!$B$3:$B$1315, "&lt;=" &amp; EG$1, DataRegularSeason20242025!$E$3:$E$1315, $A23)</f>
        <v>7</v>
      </c>
      <c r="EH23">
        <f>SUMIFS(DataRegularSeason20242025!$AA$3:$AA$1315,DataRegularSeason20242025!$B$3:$B$1315, "&lt;=" &amp; EH$1, DataRegularSeason20242025!$D$3:$D$1315, $A23)+SUMIFS(DataRegularSeason20242025!$AB$3:$AB$1315,DataRegularSeason20242025!$B$3:$B$1315, "&lt;=" &amp; EH$1, DataRegularSeason20242025!$E$3:$E$1315, $A23)</f>
        <v>7</v>
      </c>
      <c r="EI23">
        <f>SUMIFS(DataRegularSeason20242025!$AA$3:$AA$1315,DataRegularSeason20242025!$B$3:$B$1315, "&lt;=" &amp; EI$1, DataRegularSeason20242025!$D$3:$D$1315, $A23)+SUMIFS(DataRegularSeason20242025!$AB$3:$AB$1315,DataRegularSeason20242025!$B$3:$B$1315, "&lt;=" &amp; EI$1, DataRegularSeason20242025!$E$3:$E$1315, $A23)</f>
        <v>7</v>
      </c>
      <c r="EJ23">
        <f>SUMIFS(DataRegularSeason20242025!$AA$3:$AA$1315,DataRegularSeason20242025!$B$3:$B$1315, "&lt;=" &amp; EJ$1, DataRegularSeason20242025!$D$3:$D$1315, $A23)+SUMIFS(DataRegularSeason20242025!$AB$3:$AB$1315,DataRegularSeason20242025!$B$3:$B$1315, "&lt;=" &amp; EJ$1, DataRegularSeason20242025!$E$3:$E$1315, $A23)</f>
        <v>7</v>
      </c>
      <c r="EK23">
        <f>SUMIFS(DataRegularSeason20242025!$AA$3:$AA$1315,DataRegularSeason20242025!$B$3:$B$1315, "&lt;=" &amp; EK$1, DataRegularSeason20242025!$D$3:$D$1315, $A23)+SUMIFS(DataRegularSeason20242025!$AB$3:$AB$1315,DataRegularSeason20242025!$B$3:$B$1315, "&lt;=" &amp; EK$1, DataRegularSeason20242025!$E$3:$E$1315, $A23)</f>
        <v>7</v>
      </c>
      <c r="EL23">
        <f>SUMIFS(DataRegularSeason20242025!$AA$3:$AA$1315,DataRegularSeason20242025!$B$3:$B$1315, "&lt;=" &amp; EL$1, DataRegularSeason20242025!$D$3:$D$1315, $A23)+SUMIFS(DataRegularSeason20242025!$AB$3:$AB$1315,DataRegularSeason20242025!$B$3:$B$1315, "&lt;=" &amp; EL$1, DataRegularSeason20242025!$E$3:$E$1315, $A23)</f>
        <v>7</v>
      </c>
      <c r="EM23">
        <f>SUMIFS(DataRegularSeason20242025!$AA$3:$AA$1315,DataRegularSeason20242025!$B$3:$B$1315, "&lt;=" &amp; EM$1, DataRegularSeason20242025!$D$3:$D$1315, $A23)+SUMIFS(DataRegularSeason20242025!$AB$3:$AB$1315,DataRegularSeason20242025!$B$3:$B$1315, "&lt;=" &amp; EM$1, DataRegularSeason20242025!$E$3:$E$1315, $A23)</f>
        <v>7</v>
      </c>
      <c r="EN23">
        <f>SUMIFS(DataRegularSeason20242025!$AA$3:$AA$1315,DataRegularSeason20242025!$B$3:$B$1315, "&lt;=" &amp; EN$1, DataRegularSeason20242025!$D$3:$D$1315, $A23)+SUMIFS(DataRegularSeason20242025!$AB$3:$AB$1315,DataRegularSeason20242025!$B$3:$B$1315, "&lt;=" &amp; EN$1, DataRegularSeason20242025!$E$3:$E$1315, $A23)</f>
        <v>7</v>
      </c>
      <c r="EO23">
        <f>SUMIFS(DataRegularSeason20242025!$AA$3:$AA$1315,DataRegularSeason20242025!$B$3:$B$1315, "&lt;=" &amp; EO$1, DataRegularSeason20242025!$D$3:$D$1315, $A23)+SUMIFS(DataRegularSeason20242025!$AB$3:$AB$1315,DataRegularSeason20242025!$B$3:$B$1315, "&lt;=" &amp; EO$1, DataRegularSeason20242025!$E$3:$E$1315, $A23)</f>
        <v>7</v>
      </c>
      <c r="EP23">
        <f>SUMIFS(DataRegularSeason20242025!$AA$3:$AA$1315,DataRegularSeason20242025!$B$3:$B$1315, "&lt;=" &amp; EP$1, DataRegularSeason20242025!$D$3:$D$1315, $A23)+SUMIFS(DataRegularSeason20242025!$AB$3:$AB$1315,DataRegularSeason20242025!$B$3:$B$1315, "&lt;=" &amp; EP$1, DataRegularSeason20242025!$E$3:$E$1315, $A23)</f>
        <v>7</v>
      </c>
      <c r="EQ23">
        <f>SUMIFS(DataRegularSeason20242025!$AA$3:$AA$1315,DataRegularSeason20242025!$B$3:$B$1315, "&lt;=" &amp; EQ$1, DataRegularSeason20242025!$D$3:$D$1315, $A23)+SUMIFS(DataRegularSeason20242025!$AB$3:$AB$1315,DataRegularSeason20242025!$B$3:$B$1315, "&lt;=" &amp; EQ$1, DataRegularSeason20242025!$E$3:$E$1315, $A23)</f>
        <v>7</v>
      </c>
      <c r="ER23">
        <f>SUMIFS(DataRegularSeason20242025!$AA$3:$AA$1315,DataRegularSeason20242025!$B$3:$B$1315, "&lt;=" &amp; ER$1, DataRegularSeason20242025!$D$3:$D$1315, $A23)+SUMIFS(DataRegularSeason20242025!$AB$3:$AB$1315,DataRegularSeason20242025!$B$3:$B$1315, "&lt;=" &amp; ER$1, DataRegularSeason20242025!$E$3:$E$1315, $A23)</f>
        <v>7</v>
      </c>
      <c r="ES23">
        <f>SUMIFS(DataRegularSeason20242025!$AA$3:$AA$1315,DataRegularSeason20242025!$B$3:$B$1315, "&lt;=" &amp; ES$1, DataRegularSeason20242025!$D$3:$D$1315, $A23)+SUMIFS(DataRegularSeason20242025!$AB$3:$AB$1315,DataRegularSeason20242025!$B$3:$B$1315, "&lt;=" &amp; ES$1, DataRegularSeason20242025!$E$3:$E$1315, $A23)</f>
        <v>7</v>
      </c>
      <c r="ET23">
        <f>SUMIFS(DataRegularSeason20242025!$AA$3:$AA$1315,DataRegularSeason20242025!$B$3:$B$1315, "&lt;=" &amp; ET$1, DataRegularSeason20242025!$D$3:$D$1315, $A23)+SUMIFS(DataRegularSeason20242025!$AB$3:$AB$1315,DataRegularSeason20242025!$B$3:$B$1315, "&lt;=" &amp; ET$1, DataRegularSeason20242025!$E$3:$E$1315, $A23)</f>
        <v>7</v>
      </c>
      <c r="EU23">
        <f>SUMIFS(DataRegularSeason20242025!$AA$3:$AA$1315,DataRegularSeason20242025!$B$3:$B$1315, "&lt;=" &amp; EU$1, DataRegularSeason20242025!$D$3:$D$1315, $A23)+SUMIFS(DataRegularSeason20242025!$AB$3:$AB$1315,DataRegularSeason20242025!$B$3:$B$1315, "&lt;=" &amp; EU$1, DataRegularSeason20242025!$E$3:$E$1315, $A23)</f>
        <v>7</v>
      </c>
      <c r="EV23">
        <f>SUMIFS(DataRegularSeason20242025!$AA$3:$AA$1315,DataRegularSeason20242025!$B$3:$B$1315, "&lt;=" &amp; EV$1, DataRegularSeason20242025!$D$3:$D$1315, $A23)+SUMIFS(DataRegularSeason20242025!$AB$3:$AB$1315,DataRegularSeason20242025!$B$3:$B$1315, "&lt;=" &amp; EV$1, DataRegularSeason20242025!$E$3:$E$1315, $A23)</f>
        <v>7</v>
      </c>
      <c r="EW23">
        <f>SUMIFS(DataRegularSeason20242025!$AA$3:$AA$1315,DataRegularSeason20242025!$B$3:$B$1315, "&lt;=" &amp; EW$1, DataRegularSeason20242025!$D$3:$D$1315, $A23)+SUMIFS(DataRegularSeason20242025!$AB$3:$AB$1315,DataRegularSeason20242025!$B$3:$B$1315, "&lt;=" &amp; EW$1, DataRegularSeason20242025!$E$3:$E$1315, $A23)</f>
        <v>7</v>
      </c>
      <c r="EX23">
        <f>SUMIFS(DataRegularSeason20242025!$AA$3:$AA$1315,DataRegularSeason20242025!$B$3:$B$1315, "&lt;=" &amp; EX$1, DataRegularSeason20242025!$D$3:$D$1315, $A23)+SUMIFS(DataRegularSeason20242025!$AB$3:$AB$1315,DataRegularSeason20242025!$B$3:$B$1315, "&lt;=" &amp; EX$1, DataRegularSeason20242025!$E$3:$E$1315, $A23)</f>
        <v>7</v>
      </c>
      <c r="EY23">
        <f>SUMIFS(DataRegularSeason20242025!$AA$3:$AA$1315,DataRegularSeason20242025!$B$3:$B$1315, "&lt;=" &amp; EY$1, DataRegularSeason20242025!$D$3:$D$1315, $A23)+SUMIFS(DataRegularSeason20242025!$AB$3:$AB$1315,DataRegularSeason20242025!$B$3:$B$1315, "&lt;=" &amp; EY$1, DataRegularSeason20242025!$E$3:$E$1315, $A23)</f>
        <v>7</v>
      </c>
      <c r="EZ23">
        <f>SUMIFS(DataRegularSeason20242025!$AA$3:$AA$1315,DataRegularSeason20242025!$B$3:$B$1315, "&lt;=" &amp; EZ$1, DataRegularSeason20242025!$D$3:$D$1315, $A23)+SUMIFS(DataRegularSeason20242025!$AB$3:$AB$1315,DataRegularSeason20242025!$B$3:$B$1315, "&lt;=" &amp; EZ$1, DataRegularSeason20242025!$E$3:$E$1315, $A23)</f>
        <v>7</v>
      </c>
      <c r="FA23">
        <f>SUMIFS(DataRegularSeason20242025!$AA$3:$AA$1315,DataRegularSeason20242025!$B$3:$B$1315, "&lt;=" &amp; FA$1, DataRegularSeason20242025!$D$3:$D$1315, $A23)+SUMIFS(DataRegularSeason20242025!$AB$3:$AB$1315,DataRegularSeason20242025!$B$3:$B$1315, "&lt;=" &amp; FA$1, DataRegularSeason20242025!$E$3:$E$1315, $A23)</f>
        <v>7</v>
      </c>
      <c r="FB23">
        <f>SUMIFS(DataRegularSeason20242025!$AA$3:$AA$1315,DataRegularSeason20242025!$B$3:$B$1315, "&lt;=" &amp; FB$1, DataRegularSeason20242025!$D$3:$D$1315, $A23)+SUMIFS(DataRegularSeason20242025!$AB$3:$AB$1315,DataRegularSeason20242025!$B$3:$B$1315, "&lt;=" &amp; FB$1, DataRegularSeason20242025!$E$3:$E$1315, $A23)</f>
        <v>7</v>
      </c>
      <c r="FC23">
        <f>SUMIFS(DataRegularSeason20242025!$AA$3:$AA$1315,DataRegularSeason20242025!$B$3:$B$1315, "&lt;=" &amp; FC$1, DataRegularSeason20242025!$D$3:$D$1315, $A23)+SUMIFS(DataRegularSeason20242025!$AB$3:$AB$1315,DataRegularSeason20242025!$B$3:$B$1315, "&lt;=" &amp; FC$1, DataRegularSeason20242025!$E$3:$E$1315, $A23)</f>
        <v>7</v>
      </c>
      <c r="FD23">
        <f>SUMIFS(DataRegularSeason20242025!$AA$3:$AA$1315,DataRegularSeason20242025!$B$3:$B$1315, "&lt;=" &amp; FD$1, DataRegularSeason20242025!$D$3:$D$1315, $A23)+SUMIFS(DataRegularSeason20242025!$AB$3:$AB$1315,DataRegularSeason20242025!$B$3:$B$1315, "&lt;=" &amp; FD$1, DataRegularSeason20242025!$E$3:$E$1315, $A23)</f>
        <v>7</v>
      </c>
      <c r="FE23">
        <f>SUMIFS(DataRegularSeason20242025!$AA$3:$AA$1315,DataRegularSeason20242025!$B$3:$B$1315, "&lt;=" &amp; FE$1, DataRegularSeason20242025!$D$3:$D$1315, $A23)+SUMIFS(DataRegularSeason20242025!$AB$3:$AB$1315,DataRegularSeason20242025!$B$3:$B$1315, "&lt;=" &amp; FE$1, DataRegularSeason20242025!$E$3:$E$1315, $A23)</f>
        <v>7</v>
      </c>
      <c r="FF23">
        <f>SUMIFS(DataRegularSeason20242025!$AA$3:$AA$1315,DataRegularSeason20242025!$B$3:$B$1315, "&lt;=" &amp; FF$1, DataRegularSeason20242025!$D$3:$D$1315, $A23)+SUMIFS(DataRegularSeason20242025!$AB$3:$AB$1315,DataRegularSeason20242025!$B$3:$B$1315, "&lt;=" &amp; FF$1, DataRegularSeason20242025!$E$3:$E$1315, $A23)</f>
        <v>7</v>
      </c>
      <c r="FG23">
        <f>SUMIFS(DataRegularSeason20242025!$AA$3:$AA$1315,DataRegularSeason20242025!$B$3:$B$1315, "&lt;=" &amp; FG$1, DataRegularSeason20242025!$D$3:$D$1315, $A23)+SUMIFS(DataRegularSeason20242025!$AB$3:$AB$1315,DataRegularSeason20242025!$B$3:$B$1315, "&lt;=" &amp; FG$1, DataRegularSeason20242025!$E$3:$E$1315, $A23)</f>
        <v>7</v>
      </c>
      <c r="FH23">
        <f>SUMIFS(DataRegularSeason20242025!$AA$3:$AA$1315,DataRegularSeason20242025!$B$3:$B$1315, "&lt;=" &amp; FH$1, DataRegularSeason20242025!$D$3:$D$1315, $A23)+SUMIFS(DataRegularSeason20242025!$AB$3:$AB$1315,DataRegularSeason20242025!$B$3:$B$1315, "&lt;=" &amp; FH$1, DataRegularSeason20242025!$E$3:$E$1315, $A23)</f>
        <v>7</v>
      </c>
      <c r="FI23">
        <f>SUMIFS(DataRegularSeason20242025!$AA$3:$AA$1315,DataRegularSeason20242025!$B$3:$B$1315, "&lt;=" &amp; FI$1, DataRegularSeason20242025!$D$3:$D$1315, $A23)+SUMIFS(DataRegularSeason20242025!$AB$3:$AB$1315,DataRegularSeason20242025!$B$3:$B$1315, "&lt;=" &amp; FI$1, DataRegularSeason20242025!$E$3:$E$1315, $A23)</f>
        <v>7</v>
      </c>
      <c r="FJ23">
        <f>SUMIFS(DataRegularSeason20242025!$AA$3:$AA$1315,DataRegularSeason20242025!$B$3:$B$1315, "&lt;=" &amp; FJ$1, DataRegularSeason20242025!$D$3:$D$1315, $A23)+SUMIFS(DataRegularSeason20242025!$AB$3:$AB$1315,DataRegularSeason20242025!$B$3:$B$1315, "&lt;=" &amp; FJ$1, DataRegularSeason20242025!$E$3:$E$1315, $A23)</f>
        <v>7</v>
      </c>
      <c r="FK23">
        <f>SUMIFS(DataRegularSeason20242025!$AA$3:$AA$1315,DataRegularSeason20242025!$B$3:$B$1315, "&lt;=" &amp; FK$1, DataRegularSeason20242025!$D$3:$D$1315, $A23)+SUMIFS(DataRegularSeason20242025!$AB$3:$AB$1315,DataRegularSeason20242025!$B$3:$B$1315, "&lt;=" &amp; FK$1, DataRegularSeason20242025!$E$3:$E$1315, $A23)</f>
        <v>7</v>
      </c>
      <c r="FL23">
        <f>SUMIFS(DataRegularSeason20242025!$AA$3:$AA$1315,DataRegularSeason20242025!$B$3:$B$1315, "&lt;=" &amp; FL$1, DataRegularSeason20242025!$D$3:$D$1315, $A23)+SUMIFS(DataRegularSeason20242025!$AB$3:$AB$1315,DataRegularSeason20242025!$B$3:$B$1315, "&lt;=" &amp; FL$1, DataRegularSeason20242025!$E$3:$E$1315, $A23)</f>
        <v>7</v>
      </c>
      <c r="FM23">
        <f>SUMIFS(DataRegularSeason20242025!$AA$3:$AA$1315,DataRegularSeason20242025!$B$3:$B$1315, "&lt;=" &amp; FM$1, DataRegularSeason20242025!$D$3:$D$1315, $A23)+SUMIFS(DataRegularSeason20242025!$AB$3:$AB$1315,DataRegularSeason20242025!$B$3:$B$1315, "&lt;=" &amp; FM$1, DataRegularSeason20242025!$E$3:$E$1315, $A23)</f>
        <v>7</v>
      </c>
      <c r="FN23">
        <f>SUMIFS(DataRegularSeason20242025!$AA$3:$AA$1315,DataRegularSeason20242025!$B$3:$B$1315, "&lt;=" &amp; FN$1, DataRegularSeason20242025!$D$3:$D$1315, $A23)+SUMIFS(DataRegularSeason20242025!$AB$3:$AB$1315,DataRegularSeason20242025!$B$3:$B$1315, "&lt;=" &amp; FN$1, DataRegularSeason20242025!$E$3:$E$1315, $A23)</f>
        <v>7</v>
      </c>
      <c r="FO23">
        <f>SUMIFS(DataRegularSeason20242025!$AA$3:$AA$1315,DataRegularSeason20242025!$B$3:$B$1315, "&lt;=" &amp; FO$1, DataRegularSeason20242025!$D$3:$D$1315, $A23)+SUMIFS(DataRegularSeason20242025!$AB$3:$AB$1315,DataRegularSeason20242025!$B$3:$B$1315, "&lt;=" &amp; FO$1, DataRegularSeason20242025!$E$3:$E$1315, $A23)</f>
        <v>7</v>
      </c>
      <c r="FP23">
        <f>SUMIFS(DataRegularSeason20242025!$AA$3:$AA$1315,DataRegularSeason20242025!$B$3:$B$1315, "&lt;=" &amp; FP$1, DataRegularSeason20242025!$D$3:$D$1315, $A23)+SUMIFS(DataRegularSeason20242025!$AB$3:$AB$1315,DataRegularSeason20242025!$B$3:$B$1315, "&lt;=" &amp; FP$1, DataRegularSeason20242025!$E$3:$E$1315, $A23)</f>
        <v>7</v>
      </c>
      <c r="FQ23">
        <f>SUMIFS(DataRegularSeason20242025!$AA$3:$AA$1315,DataRegularSeason20242025!$B$3:$B$1315, "&lt;=" &amp; FQ$1, DataRegularSeason20242025!$D$3:$D$1315, $A23)+SUMIFS(DataRegularSeason20242025!$AB$3:$AB$1315,DataRegularSeason20242025!$B$3:$B$1315, "&lt;=" &amp; FQ$1, DataRegularSeason20242025!$E$3:$E$1315, $A23)</f>
        <v>7</v>
      </c>
      <c r="FR23">
        <f>SUMIFS(DataRegularSeason20242025!$AA$3:$AA$1315,DataRegularSeason20242025!$B$3:$B$1315, "&lt;=" &amp; FR$1, DataRegularSeason20242025!$D$3:$D$1315, $A23)+SUMIFS(DataRegularSeason20242025!$AB$3:$AB$1315,DataRegularSeason20242025!$B$3:$B$1315, "&lt;=" &amp; FR$1, DataRegularSeason20242025!$E$3:$E$1315, $A23)</f>
        <v>7</v>
      </c>
      <c r="FS23">
        <f>SUMIFS(DataRegularSeason20242025!$AA$3:$AA$1315,DataRegularSeason20242025!$B$3:$B$1315, "&lt;=" &amp; FS$1, DataRegularSeason20242025!$D$3:$D$1315, $A23)+SUMIFS(DataRegularSeason20242025!$AB$3:$AB$1315,DataRegularSeason20242025!$B$3:$B$1315, "&lt;=" &amp; FS$1, DataRegularSeason20242025!$E$3:$E$1315, $A23)</f>
        <v>7</v>
      </c>
      <c r="FT23">
        <f>SUMIFS(DataRegularSeason20242025!$AA$3:$AA$1315,DataRegularSeason20242025!$B$3:$B$1315, "&lt;=" &amp; FT$1, DataRegularSeason20242025!$D$3:$D$1315, $A23)+SUMIFS(DataRegularSeason20242025!$AB$3:$AB$1315,DataRegularSeason20242025!$B$3:$B$1315, "&lt;=" &amp; FT$1, DataRegularSeason20242025!$E$3:$E$1315, $A23)</f>
        <v>7</v>
      </c>
      <c r="FU23">
        <f>SUMIFS(DataRegularSeason20242025!$AA$3:$AA$1315,DataRegularSeason20242025!$B$3:$B$1315, "&lt;=" &amp; FU$1, DataRegularSeason20242025!$D$3:$D$1315, $A23)+SUMIFS(DataRegularSeason20242025!$AB$3:$AB$1315,DataRegularSeason20242025!$B$3:$B$1315, "&lt;=" &amp; FU$1, DataRegularSeason20242025!$E$3:$E$1315, $A23)</f>
        <v>7</v>
      </c>
      <c r="FV23">
        <f>SUMIFS(DataRegularSeason20242025!$AA$3:$AA$1315,DataRegularSeason20242025!$B$3:$B$1315, "&lt;=" &amp; FV$1, DataRegularSeason20242025!$D$3:$D$1315, $A23)+SUMIFS(DataRegularSeason20242025!$AB$3:$AB$1315,DataRegularSeason20242025!$B$3:$B$1315, "&lt;=" &amp; FV$1, DataRegularSeason20242025!$E$3:$E$1315, $A23)</f>
        <v>7</v>
      </c>
      <c r="FW23">
        <f>SUMIFS(DataRegularSeason20242025!$AA$3:$AA$1315,DataRegularSeason20242025!$B$3:$B$1315, "&lt;=" &amp; FW$1, DataRegularSeason20242025!$D$3:$D$1315, $A23)+SUMIFS(DataRegularSeason20242025!$AB$3:$AB$1315,DataRegularSeason20242025!$B$3:$B$1315, "&lt;=" &amp; FW$1, DataRegularSeason20242025!$E$3:$E$1315, $A23)</f>
        <v>7</v>
      </c>
      <c r="FX23">
        <f>SUMIFS(DataRegularSeason20242025!$AA$3:$AA$1315,DataRegularSeason20242025!$B$3:$B$1315, "&lt;=" &amp; FX$1, DataRegularSeason20242025!$D$3:$D$1315, $A23)+SUMIFS(DataRegularSeason20242025!$AB$3:$AB$1315,DataRegularSeason20242025!$B$3:$B$1315, "&lt;=" &amp; FX$1, DataRegularSeason20242025!$E$3:$E$1315, $A23)</f>
        <v>7</v>
      </c>
      <c r="FY23">
        <f>SUMIFS(DataRegularSeason20242025!$AA$3:$AA$1315,DataRegularSeason20242025!$B$3:$B$1315, "&lt;=" &amp; FY$1, DataRegularSeason20242025!$D$3:$D$1315, $A23)+SUMIFS(DataRegularSeason20242025!$AB$3:$AB$1315,DataRegularSeason20242025!$B$3:$B$1315, "&lt;=" &amp; FY$1, DataRegularSeason20242025!$E$3:$E$1315, $A23)</f>
        <v>7</v>
      </c>
      <c r="FZ23">
        <f>SUMIFS(DataRegularSeason20242025!$AA$3:$AA$1315,DataRegularSeason20242025!$B$3:$B$1315, "&lt;=" &amp; FZ$1, DataRegularSeason20242025!$D$3:$D$1315, $A23)+SUMIFS(DataRegularSeason20242025!$AB$3:$AB$1315,DataRegularSeason20242025!$B$3:$B$1315, "&lt;=" &amp; FZ$1, DataRegularSeason20242025!$E$3:$E$1315, $A23)</f>
        <v>7</v>
      </c>
      <c r="GA23">
        <f>SUMIFS(DataRegularSeason20242025!$AA$3:$AA$1315,DataRegularSeason20242025!$B$3:$B$1315, "&lt;=" &amp; GA$1, DataRegularSeason20242025!$D$3:$D$1315, $A23)+SUMIFS(DataRegularSeason20242025!$AB$3:$AB$1315,DataRegularSeason20242025!$B$3:$B$1315, "&lt;=" &amp; GA$1, DataRegularSeason20242025!$E$3:$E$1315, $A23)</f>
        <v>7</v>
      </c>
      <c r="GB23">
        <f>SUMIFS(DataRegularSeason20242025!$AA$3:$AA$1315,DataRegularSeason20242025!$B$3:$B$1315, "&lt;=" &amp; GB$1, DataRegularSeason20242025!$D$3:$D$1315, $A23)+SUMIFS(DataRegularSeason20242025!$AB$3:$AB$1315,DataRegularSeason20242025!$B$3:$B$1315, "&lt;=" &amp; GB$1, DataRegularSeason20242025!$E$3:$E$1315, $A23)</f>
        <v>7</v>
      </c>
      <c r="GC23">
        <f>SUMIFS(DataRegularSeason20242025!$AA$3:$AA$1315,DataRegularSeason20242025!$B$3:$B$1315, "&lt;=" &amp; GC$1, DataRegularSeason20242025!$D$3:$D$1315, $A23)+SUMIFS(DataRegularSeason20242025!$AB$3:$AB$1315,DataRegularSeason20242025!$B$3:$B$1315, "&lt;=" &amp; GC$1, DataRegularSeason20242025!$E$3:$E$1315, $A23)</f>
        <v>7</v>
      </c>
      <c r="GD23">
        <f>SUMIFS(DataRegularSeason20242025!$AA$3:$AA$1315,DataRegularSeason20242025!$B$3:$B$1315, "&lt;=" &amp; GD$1, DataRegularSeason20242025!$D$3:$D$1315, $A23)+SUMIFS(DataRegularSeason20242025!$AB$3:$AB$1315,DataRegularSeason20242025!$B$3:$B$1315, "&lt;=" &amp; GD$1, DataRegularSeason20242025!$E$3:$E$1315, $A23)</f>
        <v>7</v>
      </c>
      <c r="GE23">
        <f>SUMIFS(DataRegularSeason20242025!$AA$3:$AA$1315,DataRegularSeason20242025!$B$3:$B$1315, "&lt;=" &amp; GE$1, DataRegularSeason20242025!$D$3:$D$1315, $A23)+SUMIFS(DataRegularSeason20242025!$AB$3:$AB$1315,DataRegularSeason20242025!$B$3:$B$1315, "&lt;=" &amp; GE$1, DataRegularSeason20242025!$E$3:$E$1315, $A23)</f>
        <v>7</v>
      </c>
      <c r="GF23">
        <f>SUMIFS(DataRegularSeason20242025!$AA$3:$AA$1315,DataRegularSeason20242025!$B$3:$B$1315, "&lt;=" &amp; GF$1, DataRegularSeason20242025!$D$3:$D$1315, $A23)+SUMIFS(DataRegularSeason20242025!$AB$3:$AB$1315,DataRegularSeason20242025!$B$3:$B$1315, "&lt;=" &amp; GF$1, DataRegularSeason20242025!$E$3:$E$1315, $A23)</f>
        <v>7</v>
      </c>
      <c r="GG23">
        <f>SUMIFS(DataRegularSeason20242025!$AA$3:$AA$1315,DataRegularSeason20242025!$B$3:$B$1315, "&lt;=" &amp; GG$1, DataRegularSeason20242025!$D$3:$D$1315, $A23)+SUMIFS(DataRegularSeason20242025!$AB$3:$AB$1315,DataRegularSeason20242025!$B$3:$B$1315, "&lt;=" &amp; GG$1, DataRegularSeason20242025!$E$3:$E$1315, $A23)</f>
        <v>7</v>
      </c>
      <c r="GH23">
        <f>SUMIFS(DataRegularSeason20242025!$AA$3:$AA$1315,DataRegularSeason20242025!$B$3:$B$1315, "&lt;=" &amp; GH$1, DataRegularSeason20242025!$D$3:$D$1315, $A23)+SUMIFS(DataRegularSeason20242025!$AB$3:$AB$1315,DataRegularSeason20242025!$B$3:$B$1315, "&lt;=" &amp; GH$1, DataRegularSeason20242025!$E$3:$E$1315, $A23)</f>
        <v>7</v>
      </c>
      <c r="GI23">
        <f>SUMIFS(DataRegularSeason20242025!$AA$3:$AA$1315,DataRegularSeason20242025!$B$3:$B$1315, "&lt;=" &amp; GI$1, DataRegularSeason20242025!$D$3:$D$1315, $A23)+SUMIFS(DataRegularSeason20242025!$AB$3:$AB$1315,DataRegularSeason20242025!$B$3:$B$1315, "&lt;=" &amp; GI$1, DataRegularSeason20242025!$E$3:$E$1315, $A23)</f>
        <v>7</v>
      </c>
      <c r="GJ23">
        <f>SUMIFS(DataRegularSeason20242025!$AA$3:$AA$1315,DataRegularSeason20242025!$B$3:$B$1315, "&lt;=" &amp; GJ$1, DataRegularSeason20242025!$D$3:$D$1315, $A23)+SUMIFS(DataRegularSeason20242025!$AB$3:$AB$1315,DataRegularSeason20242025!$B$3:$B$1315, "&lt;=" &amp; GJ$1, DataRegularSeason20242025!$E$3:$E$1315, $A23)</f>
        <v>7</v>
      </c>
      <c r="GK23">
        <f>SUMIFS(DataRegularSeason20242025!$AA$3:$AA$1315,DataRegularSeason20242025!$B$3:$B$1315, "&lt;=" &amp; GK$1, DataRegularSeason20242025!$D$3:$D$1315, $A23)+SUMIFS(DataRegularSeason20242025!$AB$3:$AB$1315,DataRegularSeason20242025!$B$3:$B$1315, "&lt;=" &amp; GK$1, DataRegularSeason20242025!$E$3:$E$1315, $A23)</f>
        <v>7</v>
      </c>
      <c r="GL23">
        <f>SUMIFS(DataRegularSeason20242025!$AA$3:$AA$1315,DataRegularSeason20242025!$B$3:$B$1315, "&lt;=" &amp; GL$1, DataRegularSeason20242025!$D$3:$D$1315, $A23)+SUMIFS(DataRegularSeason20242025!$AB$3:$AB$1315,DataRegularSeason20242025!$B$3:$B$1315, "&lt;=" &amp; GL$1, DataRegularSeason20242025!$E$3:$E$1315, $A23)</f>
        <v>7</v>
      </c>
      <c r="GM23">
        <f>SUMIFS(DataRegularSeason20242025!$AA$3:$AA$1315,DataRegularSeason20242025!$B$3:$B$1315, "&lt;=" &amp; GM$1, DataRegularSeason20242025!$D$3:$D$1315, $A23)+SUMIFS(DataRegularSeason20242025!$AB$3:$AB$1315,DataRegularSeason20242025!$B$3:$B$1315, "&lt;=" &amp; GM$1, DataRegularSeason20242025!$E$3:$E$1315, $A23)</f>
        <v>7</v>
      </c>
      <c r="GN23">
        <f>SUMIFS(DataRegularSeason20242025!$AA$3:$AA$1315,DataRegularSeason20242025!$B$3:$B$1315, "&lt;=" &amp; GN$1, DataRegularSeason20242025!$D$3:$D$1315, $A23)+SUMIFS(DataRegularSeason20242025!$AB$3:$AB$1315,DataRegularSeason20242025!$B$3:$B$1315, "&lt;=" &amp; GN$1, DataRegularSeason20242025!$E$3:$E$1315, $A23)</f>
        <v>7</v>
      </c>
      <c r="GO23">
        <f>SUMIFS(DataRegularSeason20242025!$AA$3:$AA$1315,DataRegularSeason20242025!$B$3:$B$1315, "&lt;=" &amp; GO$1, DataRegularSeason20242025!$D$3:$D$1315, $A23)+SUMIFS(DataRegularSeason20242025!$AB$3:$AB$1315,DataRegularSeason20242025!$B$3:$B$1315, "&lt;=" &amp; GO$1, DataRegularSeason20242025!$E$3:$E$1315, $A23)</f>
        <v>7</v>
      </c>
      <c r="GP23">
        <f>SUMIFS(DataRegularSeason20242025!$AA$3:$AA$1315,DataRegularSeason20242025!$B$3:$B$1315, "&lt;=" &amp; GP$1, DataRegularSeason20242025!$D$3:$D$1315, $A23)+SUMIFS(DataRegularSeason20242025!$AB$3:$AB$1315,DataRegularSeason20242025!$B$3:$B$1315, "&lt;=" &amp; GP$1, DataRegularSeason20242025!$E$3:$E$1315, $A23)</f>
        <v>7</v>
      </c>
      <c r="GQ23">
        <f>SUMIFS(DataRegularSeason20242025!$AA$3:$AA$1315,DataRegularSeason20242025!$B$3:$B$1315, "&lt;=" &amp; GQ$1, DataRegularSeason20242025!$D$3:$D$1315, $A23)+SUMIFS(DataRegularSeason20242025!$AB$3:$AB$1315,DataRegularSeason20242025!$B$3:$B$1315, "&lt;=" &amp; GQ$1, DataRegularSeason20242025!$E$3:$E$1315, $A23)</f>
        <v>7</v>
      </c>
      <c r="GR23">
        <f>SUMIFS(DataRegularSeason20242025!$AA$3:$AA$1315,DataRegularSeason20242025!$B$3:$B$1315, "&lt;=" &amp; GR$1, DataRegularSeason20242025!$D$3:$D$1315, $A23)+SUMIFS(DataRegularSeason20242025!$AB$3:$AB$1315,DataRegularSeason20242025!$B$3:$B$1315, "&lt;=" &amp; GR$1, DataRegularSeason20242025!$E$3:$E$1315, $A23)</f>
        <v>7</v>
      </c>
      <c r="GS23">
        <f>SUMIFS(DataRegularSeason20242025!$AA$3:$AA$1315,DataRegularSeason20242025!$B$3:$B$1315, "&lt;=" &amp; GS$1, DataRegularSeason20242025!$D$3:$D$1315, $A23)+SUMIFS(DataRegularSeason20242025!$AB$3:$AB$1315,DataRegularSeason20242025!$B$3:$B$1315, "&lt;=" &amp; GS$1, DataRegularSeason20242025!$E$3:$E$1315, $A23)</f>
        <v>7</v>
      </c>
      <c r="GT23">
        <f>SUMIFS(DataRegularSeason20242025!$AA$3:$AA$1315,DataRegularSeason20242025!$B$3:$B$1315, "&lt;=" &amp; GT$1, DataRegularSeason20242025!$D$3:$D$1315, $A23)+SUMIFS(DataRegularSeason20242025!$AB$3:$AB$1315,DataRegularSeason20242025!$B$3:$B$1315, "&lt;=" &amp; GT$1, DataRegularSeason20242025!$E$3:$E$1315, $A23)</f>
        <v>7</v>
      </c>
      <c r="GU23">
        <f>SUMIFS(DataRegularSeason20242025!$AA$3:$AA$1315,DataRegularSeason20242025!$B$3:$B$1315, "&lt;=" &amp; GU$1, DataRegularSeason20242025!$D$3:$D$1315, $A23)+SUMIFS(DataRegularSeason20242025!$AB$3:$AB$1315,DataRegularSeason20242025!$B$3:$B$1315, "&lt;=" &amp; GU$1, DataRegularSeason20242025!$E$3:$E$1315, $A23)</f>
        <v>7</v>
      </c>
    </row>
    <row r="24" spans="1:203" x14ac:dyDescent="0.25">
      <c r="A24" t="s">
        <v>33</v>
      </c>
      <c r="B24" t="s">
        <v>90</v>
      </c>
      <c r="C24" s="107" t="s">
        <v>88</v>
      </c>
      <c r="D24">
        <f>SUMIFS(DataRegularSeason20242025!$AA$3:$AA$1315,DataRegularSeason20242025!$B$3:$B$1315, "&lt;=" &amp; D$1, DataRegularSeason20242025!$D$3:$D$1315, $A24)+SUMIFS(DataRegularSeason20242025!$AB$3:$AB$1315,DataRegularSeason20242025!$B$3:$B$1315, "&lt;=" &amp; D$1, DataRegularSeason20242025!$E$3:$E$1315, $A24)</f>
        <v>0</v>
      </c>
      <c r="E24">
        <f>SUMIFS(DataRegularSeason20242025!$AA$3:$AA$1315,DataRegularSeason20242025!$B$3:$B$1315, "&lt;=" &amp; E$1, DataRegularSeason20242025!$D$3:$D$1315, $A24)+SUMIFS(DataRegularSeason20242025!$AB$3:$AB$1315,DataRegularSeason20242025!$B$3:$B$1315, "&lt;=" &amp; E$1, DataRegularSeason20242025!$E$3:$E$1315, $A24)</f>
        <v>0</v>
      </c>
      <c r="F24">
        <f>SUMIFS(DataRegularSeason20242025!$AA$3:$AA$1315,DataRegularSeason20242025!$B$3:$B$1315, "&lt;=" &amp; F$1, DataRegularSeason20242025!$D$3:$D$1315, $A24)+SUMIFS(DataRegularSeason20242025!$AB$3:$AB$1315,DataRegularSeason20242025!$B$3:$B$1315, "&lt;=" &amp; F$1, DataRegularSeason20242025!$E$3:$E$1315, $A24)</f>
        <v>0</v>
      </c>
      <c r="G24">
        <f>SUMIFS(DataRegularSeason20242025!$AA$3:$AA$1315,DataRegularSeason20242025!$B$3:$B$1315, "&lt;=" &amp; G$1, DataRegularSeason20242025!$D$3:$D$1315, $A24)+SUMIFS(DataRegularSeason20242025!$AB$3:$AB$1315,DataRegularSeason20242025!$B$3:$B$1315, "&lt;=" &amp; G$1, DataRegularSeason20242025!$E$3:$E$1315, $A24)</f>
        <v>0</v>
      </c>
      <c r="H24">
        <f>SUMIFS(DataRegularSeason20242025!$AA$3:$AA$1315,DataRegularSeason20242025!$B$3:$B$1315, "&lt;=" &amp; H$1, DataRegularSeason20242025!$D$3:$D$1315, $A24)+SUMIFS(DataRegularSeason20242025!$AB$3:$AB$1315,DataRegularSeason20242025!$B$3:$B$1315, "&lt;=" &amp; H$1, DataRegularSeason20242025!$E$3:$E$1315, $A24)</f>
        <v>0</v>
      </c>
      <c r="I24">
        <f>SUMIFS(DataRegularSeason20242025!$AA$3:$AA$1315,DataRegularSeason20242025!$B$3:$B$1315, "&lt;=" &amp; I$1, DataRegularSeason20242025!$D$3:$D$1315, $A24)+SUMIFS(DataRegularSeason20242025!$AB$3:$AB$1315,DataRegularSeason20242025!$B$3:$B$1315, "&lt;=" &amp; I$1, DataRegularSeason20242025!$E$3:$E$1315, $A24)</f>
        <v>0</v>
      </c>
      <c r="J24">
        <f>SUMIFS(DataRegularSeason20242025!$AA$3:$AA$1315,DataRegularSeason20242025!$B$3:$B$1315, "&lt;=" &amp; J$1, DataRegularSeason20242025!$D$3:$D$1315, $A24)+SUMIFS(DataRegularSeason20242025!$AB$3:$AB$1315,DataRegularSeason20242025!$B$3:$B$1315, "&lt;=" &amp; J$1, DataRegularSeason20242025!$E$3:$E$1315, $A24)</f>
        <v>2</v>
      </c>
      <c r="K24">
        <f>SUMIFS(DataRegularSeason20242025!$AA$3:$AA$1315,DataRegularSeason20242025!$B$3:$B$1315, "&lt;=" &amp; K$1, DataRegularSeason20242025!$D$3:$D$1315, $A24)+SUMIFS(DataRegularSeason20242025!$AB$3:$AB$1315,DataRegularSeason20242025!$B$3:$B$1315, "&lt;=" &amp; K$1, DataRegularSeason20242025!$E$3:$E$1315, $A24)</f>
        <v>2</v>
      </c>
      <c r="L24">
        <f>SUMIFS(DataRegularSeason20242025!$AA$3:$AA$1315,DataRegularSeason20242025!$B$3:$B$1315, "&lt;=" &amp; L$1, DataRegularSeason20242025!$D$3:$D$1315, $A24)+SUMIFS(DataRegularSeason20242025!$AB$3:$AB$1315,DataRegularSeason20242025!$B$3:$B$1315, "&lt;=" &amp; L$1, DataRegularSeason20242025!$E$3:$E$1315, $A24)</f>
        <v>4</v>
      </c>
      <c r="M24">
        <f>SUMIFS(DataRegularSeason20242025!$AA$3:$AA$1315,DataRegularSeason20242025!$B$3:$B$1315, "&lt;=" &amp; M$1, DataRegularSeason20242025!$D$3:$D$1315, $A24)+SUMIFS(DataRegularSeason20242025!$AB$3:$AB$1315,DataRegularSeason20242025!$B$3:$B$1315, "&lt;=" &amp; M$1, DataRegularSeason20242025!$E$3:$E$1315, $A24)</f>
        <v>4</v>
      </c>
      <c r="N24">
        <f>SUMIFS(DataRegularSeason20242025!$AA$3:$AA$1315,DataRegularSeason20242025!$B$3:$B$1315, "&lt;=" &amp; N$1, DataRegularSeason20242025!$D$3:$D$1315, $A24)+SUMIFS(DataRegularSeason20242025!$AB$3:$AB$1315,DataRegularSeason20242025!$B$3:$B$1315, "&lt;=" &amp; N$1, DataRegularSeason20242025!$E$3:$E$1315, $A24)</f>
        <v>4</v>
      </c>
      <c r="O24">
        <f>SUMIFS(DataRegularSeason20242025!$AA$3:$AA$1315,DataRegularSeason20242025!$B$3:$B$1315, "&lt;=" &amp; O$1, DataRegularSeason20242025!$D$3:$D$1315, $A24)+SUMIFS(DataRegularSeason20242025!$AB$3:$AB$1315,DataRegularSeason20242025!$B$3:$B$1315, "&lt;=" &amp; O$1, DataRegularSeason20242025!$E$3:$E$1315, $A24)</f>
        <v>6</v>
      </c>
      <c r="P24">
        <f>SUMIFS(DataRegularSeason20242025!$AA$3:$AA$1315,DataRegularSeason20242025!$B$3:$B$1315, "&lt;=" &amp; P$1, DataRegularSeason20242025!$D$3:$D$1315, $A24)+SUMIFS(DataRegularSeason20242025!$AB$3:$AB$1315,DataRegularSeason20242025!$B$3:$B$1315, "&lt;=" &amp; P$1, DataRegularSeason20242025!$E$3:$E$1315, $A24)</f>
        <v>6</v>
      </c>
      <c r="Q24">
        <f>SUMIFS(DataRegularSeason20242025!$AA$3:$AA$1315,DataRegularSeason20242025!$B$3:$B$1315, "&lt;=" &amp; Q$1, DataRegularSeason20242025!$D$3:$D$1315, $A24)+SUMIFS(DataRegularSeason20242025!$AB$3:$AB$1315,DataRegularSeason20242025!$B$3:$B$1315, "&lt;=" &amp; Q$1, DataRegularSeason20242025!$E$3:$E$1315, $A24)</f>
        <v>6</v>
      </c>
      <c r="R24">
        <f>SUMIFS(DataRegularSeason20242025!$AA$3:$AA$1315,DataRegularSeason20242025!$B$3:$B$1315, "&lt;=" &amp; R$1, DataRegularSeason20242025!$D$3:$D$1315, $A24)+SUMIFS(DataRegularSeason20242025!$AB$3:$AB$1315,DataRegularSeason20242025!$B$3:$B$1315, "&lt;=" &amp; R$1, DataRegularSeason20242025!$E$3:$E$1315, $A24)</f>
        <v>6</v>
      </c>
      <c r="S24">
        <f>SUMIFS(DataRegularSeason20242025!$AA$3:$AA$1315,DataRegularSeason20242025!$B$3:$B$1315, "&lt;=" &amp; S$1, DataRegularSeason20242025!$D$3:$D$1315, $A24)+SUMIFS(DataRegularSeason20242025!$AB$3:$AB$1315,DataRegularSeason20242025!$B$3:$B$1315, "&lt;=" &amp; S$1, DataRegularSeason20242025!$E$3:$E$1315, $A24)</f>
        <v>6</v>
      </c>
      <c r="T24">
        <f>SUMIFS(DataRegularSeason20242025!$AA$3:$AA$1315,DataRegularSeason20242025!$B$3:$B$1315, "&lt;=" &amp; T$1, DataRegularSeason20242025!$D$3:$D$1315, $A24)+SUMIFS(DataRegularSeason20242025!$AB$3:$AB$1315,DataRegularSeason20242025!$B$3:$B$1315, "&lt;=" &amp; T$1, DataRegularSeason20242025!$E$3:$E$1315, $A24)</f>
        <v>6</v>
      </c>
      <c r="U24">
        <f>SUMIFS(DataRegularSeason20242025!$AA$3:$AA$1315,DataRegularSeason20242025!$B$3:$B$1315, "&lt;=" &amp; U$1, DataRegularSeason20242025!$D$3:$D$1315, $A24)+SUMIFS(DataRegularSeason20242025!$AB$3:$AB$1315,DataRegularSeason20242025!$B$3:$B$1315, "&lt;=" &amp; U$1, DataRegularSeason20242025!$E$3:$E$1315, $A24)</f>
        <v>6</v>
      </c>
      <c r="V24">
        <f>SUMIFS(DataRegularSeason20242025!$AA$3:$AA$1315,DataRegularSeason20242025!$B$3:$B$1315, "&lt;=" &amp; V$1, DataRegularSeason20242025!$D$3:$D$1315, $A24)+SUMIFS(DataRegularSeason20242025!$AB$3:$AB$1315,DataRegularSeason20242025!$B$3:$B$1315, "&lt;=" &amp; V$1, DataRegularSeason20242025!$E$3:$E$1315, $A24)</f>
        <v>6</v>
      </c>
      <c r="W24">
        <f>SUMIFS(DataRegularSeason20242025!$AA$3:$AA$1315,DataRegularSeason20242025!$B$3:$B$1315, "&lt;=" &amp; W$1, DataRegularSeason20242025!$D$3:$D$1315, $A24)+SUMIFS(DataRegularSeason20242025!$AB$3:$AB$1315,DataRegularSeason20242025!$B$3:$B$1315, "&lt;=" &amp; W$1, DataRegularSeason20242025!$E$3:$E$1315, $A24)</f>
        <v>6</v>
      </c>
      <c r="X24">
        <f>SUMIFS(DataRegularSeason20242025!$AA$3:$AA$1315,DataRegularSeason20242025!$B$3:$B$1315, "&lt;=" &amp; X$1, DataRegularSeason20242025!$D$3:$D$1315, $A24)+SUMIFS(DataRegularSeason20242025!$AB$3:$AB$1315,DataRegularSeason20242025!$B$3:$B$1315, "&lt;=" &amp; X$1, DataRegularSeason20242025!$E$3:$E$1315, $A24)</f>
        <v>6</v>
      </c>
      <c r="Y24">
        <f>SUMIFS(DataRegularSeason20242025!$AA$3:$AA$1315,DataRegularSeason20242025!$B$3:$B$1315, "&lt;=" &amp; Y$1, DataRegularSeason20242025!$D$3:$D$1315, $A24)+SUMIFS(DataRegularSeason20242025!$AB$3:$AB$1315,DataRegularSeason20242025!$B$3:$B$1315, "&lt;=" &amp; Y$1, DataRegularSeason20242025!$E$3:$E$1315, $A24)</f>
        <v>6</v>
      </c>
      <c r="Z24">
        <f>SUMIFS(DataRegularSeason20242025!$AA$3:$AA$1315,DataRegularSeason20242025!$B$3:$B$1315, "&lt;=" &amp; Z$1, DataRegularSeason20242025!$D$3:$D$1315, $A24)+SUMIFS(DataRegularSeason20242025!$AB$3:$AB$1315,DataRegularSeason20242025!$B$3:$B$1315, "&lt;=" &amp; Z$1, DataRegularSeason20242025!$E$3:$E$1315, $A24)</f>
        <v>6</v>
      </c>
      <c r="AA24">
        <f>SUMIFS(DataRegularSeason20242025!$AA$3:$AA$1315,DataRegularSeason20242025!$B$3:$B$1315, "&lt;=" &amp; AA$1, DataRegularSeason20242025!$D$3:$D$1315, $A24)+SUMIFS(DataRegularSeason20242025!$AB$3:$AB$1315,DataRegularSeason20242025!$B$3:$B$1315, "&lt;=" &amp; AA$1, DataRegularSeason20242025!$E$3:$E$1315, $A24)</f>
        <v>6</v>
      </c>
      <c r="AB24">
        <f>SUMIFS(DataRegularSeason20242025!$AA$3:$AA$1315,DataRegularSeason20242025!$B$3:$B$1315, "&lt;=" &amp; AB$1, DataRegularSeason20242025!$D$3:$D$1315, $A24)+SUMIFS(DataRegularSeason20242025!$AB$3:$AB$1315,DataRegularSeason20242025!$B$3:$B$1315, "&lt;=" &amp; AB$1, DataRegularSeason20242025!$E$3:$E$1315, $A24)</f>
        <v>6</v>
      </c>
      <c r="AC24">
        <f>SUMIFS(DataRegularSeason20242025!$AA$3:$AA$1315,DataRegularSeason20242025!$B$3:$B$1315, "&lt;=" &amp; AC$1, DataRegularSeason20242025!$D$3:$D$1315, $A24)+SUMIFS(DataRegularSeason20242025!$AB$3:$AB$1315,DataRegularSeason20242025!$B$3:$B$1315, "&lt;=" &amp; AC$1, DataRegularSeason20242025!$E$3:$E$1315, $A24)</f>
        <v>6</v>
      </c>
      <c r="AD24">
        <f>SUMIFS(DataRegularSeason20242025!$AA$3:$AA$1315,DataRegularSeason20242025!$B$3:$B$1315, "&lt;=" &amp; AD$1, DataRegularSeason20242025!$D$3:$D$1315, $A24)+SUMIFS(DataRegularSeason20242025!$AB$3:$AB$1315,DataRegularSeason20242025!$B$3:$B$1315, "&lt;=" &amp; AD$1, DataRegularSeason20242025!$E$3:$E$1315, $A24)</f>
        <v>6</v>
      </c>
      <c r="AE24">
        <f>SUMIFS(DataRegularSeason20242025!$AA$3:$AA$1315,DataRegularSeason20242025!$B$3:$B$1315, "&lt;=" &amp; AE$1, DataRegularSeason20242025!$D$3:$D$1315, $A24)+SUMIFS(DataRegularSeason20242025!$AB$3:$AB$1315,DataRegularSeason20242025!$B$3:$B$1315, "&lt;=" &amp; AE$1, DataRegularSeason20242025!$E$3:$E$1315, $A24)</f>
        <v>6</v>
      </c>
      <c r="AF24">
        <f>SUMIFS(DataRegularSeason20242025!$AA$3:$AA$1315,DataRegularSeason20242025!$B$3:$B$1315, "&lt;=" &amp; AF$1, DataRegularSeason20242025!$D$3:$D$1315, $A24)+SUMIFS(DataRegularSeason20242025!$AB$3:$AB$1315,DataRegularSeason20242025!$B$3:$B$1315, "&lt;=" &amp; AF$1, DataRegularSeason20242025!$E$3:$E$1315, $A24)</f>
        <v>6</v>
      </c>
      <c r="AG24">
        <f>SUMIFS(DataRegularSeason20242025!$AA$3:$AA$1315,DataRegularSeason20242025!$B$3:$B$1315, "&lt;=" &amp; AG$1, DataRegularSeason20242025!$D$3:$D$1315, $A24)+SUMIFS(DataRegularSeason20242025!$AB$3:$AB$1315,DataRegularSeason20242025!$B$3:$B$1315, "&lt;=" &amp; AG$1, DataRegularSeason20242025!$E$3:$E$1315, $A24)</f>
        <v>6</v>
      </c>
      <c r="AH24">
        <f>SUMIFS(DataRegularSeason20242025!$AA$3:$AA$1315,DataRegularSeason20242025!$B$3:$B$1315, "&lt;=" &amp; AH$1, DataRegularSeason20242025!$D$3:$D$1315, $A24)+SUMIFS(DataRegularSeason20242025!$AB$3:$AB$1315,DataRegularSeason20242025!$B$3:$B$1315, "&lt;=" &amp; AH$1, DataRegularSeason20242025!$E$3:$E$1315, $A24)</f>
        <v>6</v>
      </c>
      <c r="AI24">
        <f>SUMIFS(DataRegularSeason20242025!$AA$3:$AA$1315,DataRegularSeason20242025!$B$3:$B$1315, "&lt;=" &amp; AI$1, DataRegularSeason20242025!$D$3:$D$1315, $A24)+SUMIFS(DataRegularSeason20242025!$AB$3:$AB$1315,DataRegularSeason20242025!$B$3:$B$1315, "&lt;=" &amp; AI$1, DataRegularSeason20242025!$E$3:$E$1315, $A24)</f>
        <v>6</v>
      </c>
      <c r="AJ24">
        <f>SUMIFS(DataRegularSeason20242025!$AA$3:$AA$1315,DataRegularSeason20242025!$B$3:$B$1315, "&lt;=" &amp; AJ$1, DataRegularSeason20242025!$D$3:$D$1315, $A24)+SUMIFS(DataRegularSeason20242025!$AB$3:$AB$1315,DataRegularSeason20242025!$B$3:$B$1315, "&lt;=" &amp; AJ$1, DataRegularSeason20242025!$E$3:$E$1315, $A24)</f>
        <v>6</v>
      </c>
      <c r="AK24">
        <f>SUMIFS(DataRegularSeason20242025!$AA$3:$AA$1315,DataRegularSeason20242025!$B$3:$B$1315, "&lt;=" &amp; AK$1, DataRegularSeason20242025!$D$3:$D$1315, $A24)+SUMIFS(DataRegularSeason20242025!$AB$3:$AB$1315,DataRegularSeason20242025!$B$3:$B$1315, "&lt;=" &amp; AK$1, DataRegularSeason20242025!$E$3:$E$1315, $A24)</f>
        <v>6</v>
      </c>
      <c r="AL24">
        <f>SUMIFS(DataRegularSeason20242025!$AA$3:$AA$1315,DataRegularSeason20242025!$B$3:$B$1315, "&lt;=" &amp; AL$1, DataRegularSeason20242025!$D$3:$D$1315, $A24)+SUMIFS(DataRegularSeason20242025!$AB$3:$AB$1315,DataRegularSeason20242025!$B$3:$B$1315, "&lt;=" &amp; AL$1, DataRegularSeason20242025!$E$3:$E$1315, $A24)</f>
        <v>6</v>
      </c>
      <c r="AM24">
        <f>SUMIFS(DataRegularSeason20242025!$AA$3:$AA$1315,DataRegularSeason20242025!$B$3:$B$1315, "&lt;=" &amp; AM$1, DataRegularSeason20242025!$D$3:$D$1315, $A24)+SUMIFS(DataRegularSeason20242025!$AB$3:$AB$1315,DataRegularSeason20242025!$B$3:$B$1315, "&lt;=" &amp; AM$1, DataRegularSeason20242025!$E$3:$E$1315, $A24)</f>
        <v>6</v>
      </c>
      <c r="AN24">
        <f>SUMIFS(DataRegularSeason20242025!$AA$3:$AA$1315,DataRegularSeason20242025!$B$3:$B$1315, "&lt;=" &amp; AN$1, DataRegularSeason20242025!$D$3:$D$1315, $A24)+SUMIFS(DataRegularSeason20242025!$AB$3:$AB$1315,DataRegularSeason20242025!$B$3:$B$1315, "&lt;=" &amp; AN$1, DataRegularSeason20242025!$E$3:$E$1315, $A24)</f>
        <v>6</v>
      </c>
      <c r="AO24">
        <f>SUMIFS(DataRegularSeason20242025!$AA$3:$AA$1315,DataRegularSeason20242025!$B$3:$B$1315, "&lt;=" &amp; AO$1, DataRegularSeason20242025!$D$3:$D$1315, $A24)+SUMIFS(DataRegularSeason20242025!$AB$3:$AB$1315,DataRegularSeason20242025!$B$3:$B$1315, "&lt;=" &amp; AO$1, DataRegularSeason20242025!$E$3:$E$1315, $A24)</f>
        <v>6</v>
      </c>
      <c r="AP24">
        <f>SUMIFS(DataRegularSeason20242025!$AA$3:$AA$1315,DataRegularSeason20242025!$B$3:$B$1315, "&lt;=" &amp; AP$1, DataRegularSeason20242025!$D$3:$D$1315, $A24)+SUMIFS(DataRegularSeason20242025!$AB$3:$AB$1315,DataRegularSeason20242025!$B$3:$B$1315, "&lt;=" &amp; AP$1, DataRegularSeason20242025!$E$3:$E$1315, $A24)</f>
        <v>6</v>
      </c>
      <c r="AQ24">
        <f>SUMIFS(DataRegularSeason20242025!$AA$3:$AA$1315,DataRegularSeason20242025!$B$3:$B$1315, "&lt;=" &amp; AQ$1, DataRegularSeason20242025!$D$3:$D$1315, $A24)+SUMIFS(DataRegularSeason20242025!$AB$3:$AB$1315,DataRegularSeason20242025!$B$3:$B$1315, "&lt;=" &amp; AQ$1, DataRegularSeason20242025!$E$3:$E$1315, $A24)</f>
        <v>6</v>
      </c>
      <c r="AR24">
        <f>SUMIFS(DataRegularSeason20242025!$AA$3:$AA$1315,DataRegularSeason20242025!$B$3:$B$1315, "&lt;=" &amp; AR$1, DataRegularSeason20242025!$D$3:$D$1315, $A24)+SUMIFS(DataRegularSeason20242025!$AB$3:$AB$1315,DataRegularSeason20242025!$B$3:$B$1315, "&lt;=" &amp; AR$1, DataRegularSeason20242025!$E$3:$E$1315, $A24)</f>
        <v>6</v>
      </c>
      <c r="AS24">
        <f>SUMIFS(DataRegularSeason20242025!$AA$3:$AA$1315,DataRegularSeason20242025!$B$3:$B$1315, "&lt;=" &amp; AS$1, DataRegularSeason20242025!$D$3:$D$1315, $A24)+SUMIFS(DataRegularSeason20242025!$AB$3:$AB$1315,DataRegularSeason20242025!$B$3:$B$1315, "&lt;=" &amp; AS$1, DataRegularSeason20242025!$E$3:$E$1315, $A24)</f>
        <v>6</v>
      </c>
      <c r="AT24">
        <f>SUMIFS(DataRegularSeason20242025!$AA$3:$AA$1315,DataRegularSeason20242025!$B$3:$B$1315, "&lt;=" &amp; AT$1, DataRegularSeason20242025!$D$3:$D$1315, $A24)+SUMIFS(DataRegularSeason20242025!$AB$3:$AB$1315,DataRegularSeason20242025!$B$3:$B$1315, "&lt;=" &amp; AT$1, DataRegularSeason20242025!$E$3:$E$1315, $A24)</f>
        <v>6</v>
      </c>
      <c r="AU24">
        <f>SUMIFS(DataRegularSeason20242025!$AA$3:$AA$1315,DataRegularSeason20242025!$B$3:$B$1315, "&lt;=" &amp; AU$1, DataRegularSeason20242025!$D$3:$D$1315, $A24)+SUMIFS(DataRegularSeason20242025!$AB$3:$AB$1315,DataRegularSeason20242025!$B$3:$B$1315, "&lt;=" &amp; AU$1, DataRegularSeason20242025!$E$3:$E$1315, $A24)</f>
        <v>6</v>
      </c>
      <c r="AV24">
        <f>SUMIFS(DataRegularSeason20242025!$AA$3:$AA$1315,DataRegularSeason20242025!$B$3:$B$1315, "&lt;=" &amp; AV$1, DataRegularSeason20242025!$D$3:$D$1315, $A24)+SUMIFS(DataRegularSeason20242025!$AB$3:$AB$1315,DataRegularSeason20242025!$B$3:$B$1315, "&lt;=" &amp; AV$1, DataRegularSeason20242025!$E$3:$E$1315, $A24)</f>
        <v>6</v>
      </c>
      <c r="AW24">
        <f>SUMIFS(DataRegularSeason20242025!$AA$3:$AA$1315,DataRegularSeason20242025!$B$3:$B$1315, "&lt;=" &amp; AW$1, DataRegularSeason20242025!$D$3:$D$1315, $A24)+SUMIFS(DataRegularSeason20242025!$AB$3:$AB$1315,DataRegularSeason20242025!$B$3:$B$1315, "&lt;=" &amp; AW$1, DataRegularSeason20242025!$E$3:$E$1315, $A24)</f>
        <v>6</v>
      </c>
      <c r="AX24">
        <f>SUMIFS(DataRegularSeason20242025!$AA$3:$AA$1315,DataRegularSeason20242025!$B$3:$B$1315, "&lt;=" &amp; AX$1, DataRegularSeason20242025!$D$3:$D$1315, $A24)+SUMIFS(DataRegularSeason20242025!$AB$3:$AB$1315,DataRegularSeason20242025!$B$3:$B$1315, "&lt;=" &amp; AX$1, DataRegularSeason20242025!$E$3:$E$1315, $A24)</f>
        <v>6</v>
      </c>
      <c r="AY24">
        <f>SUMIFS(DataRegularSeason20242025!$AA$3:$AA$1315,DataRegularSeason20242025!$B$3:$B$1315, "&lt;=" &amp; AY$1, DataRegularSeason20242025!$D$3:$D$1315, $A24)+SUMIFS(DataRegularSeason20242025!$AB$3:$AB$1315,DataRegularSeason20242025!$B$3:$B$1315, "&lt;=" &amp; AY$1, DataRegularSeason20242025!$E$3:$E$1315, $A24)</f>
        <v>6</v>
      </c>
      <c r="AZ24">
        <f>SUMIFS(DataRegularSeason20242025!$AA$3:$AA$1315,DataRegularSeason20242025!$B$3:$B$1315, "&lt;=" &amp; AZ$1, DataRegularSeason20242025!$D$3:$D$1315, $A24)+SUMIFS(DataRegularSeason20242025!$AB$3:$AB$1315,DataRegularSeason20242025!$B$3:$B$1315, "&lt;=" &amp; AZ$1, DataRegularSeason20242025!$E$3:$E$1315, $A24)</f>
        <v>6</v>
      </c>
      <c r="BA24">
        <f>SUMIFS(DataRegularSeason20242025!$AA$3:$AA$1315,DataRegularSeason20242025!$B$3:$B$1315, "&lt;=" &amp; BA$1, DataRegularSeason20242025!$D$3:$D$1315, $A24)+SUMIFS(DataRegularSeason20242025!$AB$3:$AB$1315,DataRegularSeason20242025!$B$3:$B$1315, "&lt;=" &amp; BA$1, DataRegularSeason20242025!$E$3:$E$1315, $A24)</f>
        <v>6</v>
      </c>
      <c r="BB24">
        <f>SUMIFS(DataRegularSeason20242025!$AA$3:$AA$1315,DataRegularSeason20242025!$B$3:$B$1315, "&lt;=" &amp; BB$1, DataRegularSeason20242025!$D$3:$D$1315, $A24)+SUMIFS(DataRegularSeason20242025!$AB$3:$AB$1315,DataRegularSeason20242025!$B$3:$B$1315, "&lt;=" &amp; BB$1, DataRegularSeason20242025!$E$3:$E$1315, $A24)</f>
        <v>6</v>
      </c>
      <c r="BC24">
        <f>SUMIFS(DataRegularSeason20242025!$AA$3:$AA$1315,DataRegularSeason20242025!$B$3:$B$1315, "&lt;=" &amp; BC$1, DataRegularSeason20242025!$D$3:$D$1315, $A24)+SUMIFS(DataRegularSeason20242025!$AB$3:$AB$1315,DataRegularSeason20242025!$B$3:$B$1315, "&lt;=" &amp; BC$1, DataRegularSeason20242025!$E$3:$E$1315, $A24)</f>
        <v>6</v>
      </c>
      <c r="BD24">
        <f>SUMIFS(DataRegularSeason20242025!$AA$3:$AA$1315,DataRegularSeason20242025!$B$3:$B$1315, "&lt;=" &amp; BD$1, DataRegularSeason20242025!$D$3:$D$1315, $A24)+SUMIFS(DataRegularSeason20242025!$AB$3:$AB$1315,DataRegularSeason20242025!$B$3:$B$1315, "&lt;=" &amp; BD$1, DataRegularSeason20242025!$E$3:$E$1315, $A24)</f>
        <v>6</v>
      </c>
      <c r="BE24">
        <f>SUMIFS(DataRegularSeason20242025!$AA$3:$AA$1315,DataRegularSeason20242025!$B$3:$B$1315, "&lt;=" &amp; BE$1, DataRegularSeason20242025!$D$3:$D$1315, $A24)+SUMIFS(DataRegularSeason20242025!$AB$3:$AB$1315,DataRegularSeason20242025!$B$3:$B$1315, "&lt;=" &amp; BE$1, DataRegularSeason20242025!$E$3:$E$1315, $A24)</f>
        <v>6</v>
      </c>
      <c r="BF24">
        <f>SUMIFS(DataRegularSeason20242025!$AA$3:$AA$1315,DataRegularSeason20242025!$B$3:$B$1315, "&lt;=" &amp; BF$1, DataRegularSeason20242025!$D$3:$D$1315, $A24)+SUMIFS(DataRegularSeason20242025!$AB$3:$AB$1315,DataRegularSeason20242025!$B$3:$B$1315, "&lt;=" &amp; BF$1, DataRegularSeason20242025!$E$3:$E$1315, $A24)</f>
        <v>6</v>
      </c>
      <c r="BG24">
        <f>SUMIFS(DataRegularSeason20242025!$AA$3:$AA$1315,DataRegularSeason20242025!$B$3:$B$1315, "&lt;=" &amp; BG$1, DataRegularSeason20242025!$D$3:$D$1315, $A24)+SUMIFS(DataRegularSeason20242025!$AB$3:$AB$1315,DataRegularSeason20242025!$B$3:$B$1315, "&lt;=" &amp; BG$1, DataRegularSeason20242025!$E$3:$E$1315, $A24)</f>
        <v>6</v>
      </c>
      <c r="BH24">
        <f>SUMIFS(DataRegularSeason20242025!$AA$3:$AA$1315,DataRegularSeason20242025!$B$3:$B$1315, "&lt;=" &amp; BH$1, DataRegularSeason20242025!$D$3:$D$1315, $A24)+SUMIFS(DataRegularSeason20242025!$AB$3:$AB$1315,DataRegularSeason20242025!$B$3:$B$1315, "&lt;=" &amp; BH$1, DataRegularSeason20242025!$E$3:$E$1315, $A24)</f>
        <v>6</v>
      </c>
      <c r="BI24">
        <f>SUMIFS(DataRegularSeason20242025!$AA$3:$AA$1315,DataRegularSeason20242025!$B$3:$B$1315, "&lt;=" &amp; BI$1, DataRegularSeason20242025!$D$3:$D$1315, $A24)+SUMIFS(DataRegularSeason20242025!$AB$3:$AB$1315,DataRegularSeason20242025!$B$3:$B$1315, "&lt;=" &amp; BI$1, DataRegularSeason20242025!$E$3:$E$1315, $A24)</f>
        <v>6</v>
      </c>
      <c r="BJ24">
        <f>SUMIFS(DataRegularSeason20242025!$AA$3:$AA$1315,DataRegularSeason20242025!$B$3:$B$1315, "&lt;=" &amp; BJ$1, DataRegularSeason20242025!$D$3:$D$1315, $A24)+SUMIFS(DataRegularSeason20242025!$AB$3:$AB$1315,DataRegularSeason20242025!$B$3:$B$1315, "&lt;=" &amp; BJ$1, DataRegularSeason20242025!$E$3:$E$1315, $A24)</f>
        <v>6</v>
      </c>
      <c r="BK24">
        <f>SUMIFS(DataRegularSeason20242025!$AA$3:$AA$1315,DataRegularSeason20242025!$B$3:$B$1315, "&lt;=" &amp; BK$1, DataRegularSeason20242025!$D$3:$D$1315, $A24)+SUMIFS(DataRegularSeason20242025!$AB$3:$AB$1315,DataRegularSeason20242025!$B$3:$B$1315, "&lt;=" &amp; BK$1, DataRegularSeason20242025!$E$3:$E$1315, $A24)</f>
        <v>6</v>
      </c>
      <c r="BL24">
        <f>SUMIFS(DataRegularSeason20242025!$AA$3:$AA$1315,DataRegularSeason20242025!$B$3:$B$1315, "&lt;=" &amp; BL$1, DataRegularSeason20242025!$D$3:$D$1315, $A24)+SUMIFS(DataRegularSeason20242025!$AB$3:$AB$1315,DataRegularSeason20242025!$B$3:$B$1315, "&lt;=" &amp; BL$1, DataRegularSeason20242025!$E$3:$E$1315, $A24)</f>
        <v>6</v>
      </c>
      <c r="BM24">
        <f>SUMIFS(DataRegularSeason20242025!$AA$3:$AA$1315,DataRegularSeason20242025!$B$3:$B$1315, "&lt;=" &amp; BM$1, DataRegularSeason20242025!$D$3:$D$1315, $A24)+SUMIFS(DataRegularSeason20242025!$AB$3:$AB$1315,DataRegularSeason20242025!$B$3:$B$1315, "&lt;=" &amp; BM$1, DataRegularSeason20242025!$E$3:$E$1315, $A24)</f>
        <v>6</v>
      </c>
      <c r="BN24">
        <f>SUMIFS(DataRegularSeason20242025!$AA$3:$AA$1315,DataRegularSeason20242025!$B$3:$B$1315, "&lt;=" &amp; BN$1, DataRegularSeason20242025!$D$3:$D$1315, $A24)+SUMIFS(DataRegularSeason20242025!$AB$3:$AB$1315,DataRegularSeason20242025!$B$3:$B$1315, "&lt;=" &amp; BN$1, DataRegularSeason20242025!$E$3:$E$1315, $A24)</f>
        <v>6</v>
      </c>
      <c r="BO24">
        <f>SUMIFS(DataRegularSeason20242025!$AA$3:$AA$1315,DataRegularSeason20242025!$B$3:$B$1315, "&lt;=" &amp; BO$1, DataRegularSeason20242025!$D$3:$D$1315, $A24)+SUMIFS(DataRegularSeason20242025!$AB$3:$AB$1315,DataRegularSeason20242025!$B$3:$B$1315, "&lt;=" &amp; BO$1, DataRegularSeason20242025!$E$3:$E$1315, $A24)</f>
        <v>6</v>
      </c>
      <c r="BP24">
        <f>SUMIFS(DataRegularSeason20242025!$AA$3:$AA$1315,DataRegularSeason20242025!$B$3:$B$1315, "&lt;=" &amp; BP$1, DataRegularSeason20242025!$D$3:$D$1315, $A24)+SUMIFS(DataRegularSeason20242025!$AB$3:$AB$1315,DataRegularSeason20242025!$B$3:$B$1315, "&lt;=" &amp; BP$1, DataRegularSeason20242025!$E$3:$E$1315, $A24)</f>
        <v>6</v>
      </c>
      <c r="BQ24">
        <f>SUMIFS(DataRegularSeason20242025!$AA$3:$AA$1315,DataRegularSeason20242025!$B$3:$B$1315, "&lt;=" &amp; BQ$1, DataRegularSeason20242025!$D$3:$D$1315, $A24)+SUMIFS(DataRegularSeason20242025!$AB$3:$AB$1315,DataRegularSeason20242025!$B$3:$B$1315, "&lt;=" &amp; BQ$1, DataRegularSeason20242025!$E$3:$E$1315, $A24)</f>
        <v>6</v>
      </c>
      <c r="BR24">
        <f>SUMIFS(DataRegularSeason20242025!$AA$3:$AA$1315,DataRegularSeason20242025!$B$3:$B$1315, "&lt;=" &amp; BR$1, DataRegularSeason20242025!$D$3:$D$1315, $A24)+SUMIFS(DataRegularSeason20242025!$AB$3:$AB$1315,DataRegularSeason20242025!$B$3:$B$1315, "&lt;=" &amp; BR$1, DataRegularSeason20242025!$E$3:$E$1315, $A24)</f>
        <v>6</v>
      </c>
      <c r="BS24">
        <f>SUMIFS(DataRegularSeason20242025!$AA$3:$AA$1315,DataRegularSeason20242025!$B$3:$B$1315, "&lt;=" &amp; BS$1, DataRegularSeason20242025!$D$3:$D$1315, $A24)+SUMIFS(DataRegularSeason20242025!$AB$3:$AB$1315,DataRegularSeason20242025!$B$3:$B$1315, "&lt;=" &amp; BS$1, DataRegularSeason20242025!$E$3:$E$1315, $A24)</f>
        <v>6</v>
      </c>
      <c r="BT24">
        <f>SUMIFS(DataRegularSeason20242025!$AA$3:$AA$1315,DataRegularSeason20242025!$B$3:$B$1315, "&lt;=" &amp; BT$1, DataRegularSeason20242025!$D$3:$D$1315, $A24)+SUMIFS(DataRegularSeason20242025!$AB$3:$AB$1315,DataRegularSeason20242025!$B$3:$B$1315, "&lt;=" &amp; BT$1, DataRegularSeason20242025!$E$3:$E$1315, $A24)</f>
        <v>6</v>
      </c>
      <c r="BU24">
        <f>SUMIFS(DataRegularSeason20242025!$AA$3:$AA$1315,DataRegularSeason20242025!$B$3:$B$1315, "&lt;=" &amp; BU$1, DataRegularSeason20242025!$D$3:$D$1315, $A24)+SUMIFS(DataRegularSeason20242025!$AB$3:$AB$1315,DataRegularSeason20242025!$B$3:$B$1315, "&lt;=" &amp; BU$1, DataRegularSeason20242025!$E$3:$E$1315, $A24)</f>
        <v>6</v>
      </c>
      <c r="BV24">
        <f>SUMIFS(DataRegularSeason20242025!$AA$3:$AA$1315,DataRegularSeason20242025!$B$3:$B$1315, "&lt;=" &amp; BV$1, DataRegularSeason20242025!$D$3:$D$1315, $A24)+SUMIFS(DataRegularSeason20242025!$AB$3:$AB$1315,DataRegularSeason20242025!$B$3:$B$1315, "&lt;=" &amp; BV$1, DataRegularSeason20242025!$E$3:$E$1315, $A24)</f>
        <v>6</v>
      </c>
      <c r="BW24">
        <f>SUMIFS(DataRegularSeason20242025!$AA$3:$AA$1315,DataRegularSeason20242025!$B$3:$B$1315, "&lt;=" &amp; BW$1, DataRegularSeason20242025!$D$3:$D$1315, $A24)+SUMIFS(DataRegularSeason20242025!$AB$3:$AB$1315,DataRegularSeason20242025!$B$3:$B$1315, "&lt;=" &amp; BW$1, DataRegularSeason20242025!$E$3:$E$1315, $A24)</f>
        <v>6</v>
      </c>
      <c r="BX24">
        <f>SUMIFS(DataRegularSeason20242025!$AA$3:$AA$1315,DataRegularSeason20242025!$B$3:$B$1315, "&lt;=" &amp; BX$1, DataRegularSeason20242025!$D$3:$D$1315, $A24)+SUMIFS(DataRegularSeason20242025!$AB$3:$AB$1315,DataRegularSeason20242025!$B$3:$B$1315, "&lt;=" &amp; BX$1, DataRegularSeason20242025!$E$3:$E$1315, $A24)</f>
        <v>6</v>
      </c>
      <c r="BY24">
        <f>SUMIFS(DataRegularSeason20242025!$AA$3:$AA$1315,DataRegularSeason20242025!$B$3:$B$1315, "&lt;=" &amp; BY$1, DataRegularSeason20242025!$D$3:$D$1315, $A24)+SUMIFS(DataRegularSeason20242025!$AB$3:$AB$1315,DataRegularSeason20242025!$B$3:$B$1315, "&lt;=" &amp; BY$1, DataRegularSeason20242025!$E$3:$E$1315, $A24)</f>
        <v>6</v>
      </c>
      <c r="BZ24">
        <f>SUMIFS(DataRegularSeason20242025!$AA$3:$AA$1315,DataRegularSeason20242025!$B$3:$B$1315, "&lt;=" &amp; BZ$1, DataRegularSeason20242025!$D$3:$D$1315, $A24)+SUMIFS(DataRegularSeason20242025!$AB$3:$AB$1315,DataRegularSeason20242025!$B$3:$B$1315, "&lt;=" &amp; BZ$1, DataRegularSeason20242025!$E$3:$E$1315, $A24)</f>
        <v>6</v>
      </c>
      <c r="CA24">
        <f>SUMIFS(DataRegularSeason20242025!$AA$3:$AA$1315,DataRegularSeason20242025!$B$3:$B$1315, "&lt;=" &amp; CA$1, DataRegularSeason20242025!$D$3:$D$1315, $A24)+SUMIFS(DataRegularSeason20242025!$AB$3:$AB$1315,DataRegularSeason20242025!$B$3:$B$1315, "&lt;=" &amp; CA$1, DataRegularSeason20242025!$E$3:$E$1315, $A24)</f>
        <v>6</v>
      </c>
      <c r="CB24">
        <f>SUMIFS(DataRegularSeason20242025!$AA$3:$AA$1315,DataRegularSeason20242025!$B$3:$B$1315, "&lt;=" &amp; CB$1, DataRegularSeason20242025!$D$3:$D$1315, $A24)+SUMIFS(DataRegularSeason20242025!$AB$3:$AB$1315,DataRegularSeason20242025!$B$3:$B$1315, "&lt;=" &amp; CB$1, DataRegularSeason20242025!$E$3:$E$1315, $A24)</f>
        <v>6</v>
      </c>
      <c r="CC24">
        <f>SUMIFS(DataRegularSeason20242025!$AA$3:$AA$1315,DataRegularSeason20242025!$B$3:$B$1315, "&lt;=" &amp; CC$1, DataRegularSeason20242025!$D$3:$D$1315, $A24)+SUMIFS(DataRegularSeason20242025!$AB$3:$AB$1315,DataRegularSeason20242025!$B$3:$B$1315, "&lt;=" &amp; CC$1, DataRegularSeason20242025!$E$3:$E$1315, $A24)</f>
        <v>6</v>
      </c>
      <c r="CD24">
        <f>SUMIFS(DataRegularSeason20242025!$AA$3:$AA$1315,DataRegularSeason20242025!$B$3:$B$1315, "&lt;=" &amp; CD$1, DataRegularSeason20242025!$D$3:$D$1315, $A24)+SUMIFS(DataRegularSeason20242025!$AB$3:$AB$1315,DataRegularSeason20242025!$B$3:$B$1315, "&lt;=" &amp; CD$1, DataRegularSeason20242025!$E$3:$E$1315, $A24)</f>
        <v>6</v>
      </c>
      <c r="CE24">
        <f>SUMIFS(DataRegularSeason20242025!$AA$3:$AA$1315,DataRegularSeason20242025!$B$3:$B$1315, "&lt;=" &amp; CE$1, DataRegularSeason20242025!$D$3:$D$1315, $A24)+SUMIFS(DataRegularSeason20242025!$AB$3:$AB$1315,DataRegularSeason20242025!$B$3:$B$1315, "&lt;=" &amp; CE$1, DataRegularSeason20242025!$E$3:$E$1315, $A24)</f>
        <v>6</v>
      </c>
      <c r="CF24">
        <f>SUMIFS(DataRegularSeason20242025!$AA$3:$AA$1315,DataRegularSeason20242025!$B$3:$B$1315, "&lt;=" &amp; CF$1, DataRegularSeason20242025!$D$3:$D$1315, $A24)+SUMIFS(DataRegularSeason20242025!$AB$3:$AB$1315,DataRegularSeason20242025!$B$3:$B$1315, "&lt;=" &amp; CF$1, DataRegularSeason20242025!$E$3:$E$1315, $A24)</f>
        <v>6</v>
      </c>
      <c r="CG24">
        <f>SUMIFS(DataRegularSeason20242025!$AA$3:$AA$1315,DataRegularSeason20242025!$B$3:$B$1315, "&lt;=" &amp; CG$1, DataRegularSeason20242025!$D$3:$D$1315, $A24)+SUMIFS(DataRegularSeason20242025!$AB$3:$AB$1315,DataRegularSeason20242025!$B$3:$B$1315, "&lt;=" &amp; CG$1, DataRegularSeason20242025!$E$3:$E$1315, $A24)</f>
        <v>6</v>
      </c>
      <c r="CH24">
        <f>SUMIFS(DataRegularSeason20242025!$AA$3:$AA$1315,DataRegularSeason20242025!$B$3:$B$1315, "&lt;=" &amp; CH$1, DataRegularSeason20242025!$D$3:$D$1315, $A24)+SUMIFS(DataRegularSeason20242025!$AB$3:$AB$1315,DataRegularSeason20242025!$B$3:$B$1315, "&lt;=" &amp; CH$1, DataRegularSeason20242025!$E$3:$E$1315, $A24)</f>
        <v>6</v>
      </c>
      <c r="CI24">
        <f>SUMIFS(DataRegularSeason20242025!$AA$3:$AA$1315,DataRegularSeason20242025!$B$3:$B$1315, "&lt;=" &amp; CI$1, DataRegularSeason20242025!$D$3:$D$1315, $A24)+SUMIFS(DataRegularSeason20242025!$AB$3:$AB$1315,DataRegularSeason20242025!$B$3:$B$1315, "&lt;=" &amp; CI$1, DataRegularSeason20242025!$E$3:$E$1315, $A24)</f>
        <v>6</v>
      </c>
      <c r="CJ24">
        <f>SUMIFS(DataRegularSeason20242025!$AA$3:$AA$1315,DataRegularSeason20242025!$B$3:$B$1315, "&lt;=" &amp; CJ$1, DataRegularSeason20242025!$D$3:$D$1315, $A24)+SUMIFS(DataRegularSeason20242025!$AB$3:$AB$1315,DataRegularSeason20242025!$B$3:$B$1315, "&lt;=" &amp; CJ$1, DataRegularSeason20242025!$E$3:$E$1315, $A24)</f>
        <v>6</v>
      </c>
      <c r="CK24">
        <f>SUMIFS(DataRegularSeason20242025!$AA$3:$AA$1315,DataRegularSeason20242025!$B$3:$B$1315, "&lt;=" &amp; CK$1, DataRegularSeason20242025!$D$3:$D$1315, $A24)+SUMIFS(DataRegularSeason20242025!$AB$3:$AB$1315,DataRegularSeason20242025!$B$3:$B$1315, "&lt;=" &amp; CK$1, DataRegularSeason20242025!$E$3:$E$1315, $A24)</f>
        <v>6</v>
      </c>
      <c r="CL24">
        <f>SUMIFS(DataRegularSeason20242025!$AA$3:$AA$1315,DataRegularSeason20242025!$B$3:$B$1315, "&lt;=" &amp; CL$1, DataRegularSeason20242025!$D$3:$D$1315, $A24)+SUMIFS(DataRegularSeason20242025!$AB$3:$AB$1315,DataRegularSeason20242025!$B$3:$B$1315, "&lt;=" &amp; CL$1, DataRegularSeason20242025!$E$3:$E$1315, $A24)</f>
        <v>6</v>
      </c>
      <c r="CM24">
        <f>SUMIFS(DataRegularSeason20242025!$AA$3:$AA$1315,DataRegularSeason20242025!$B$3:$B$1315, "&lt;=" &amp; CM$1, DataRegularSeason20242025!$D$3:$D$1315, $A24)+SUMIFS(DataRegularSeason20242025!$AB$3:$AB$1315,DataRegularSeason20242025!$B$3:$B$1315, "&lt;=" &amp; CM$1, DataRegularSeason20242025!$E$3:$E$1315, $A24)</f>
        <v>6</v>
      </c>
      <c r="CN24">
        <f>SUMIFS(DataRegularSeason20242025!$AA$3:$AA$1315,DataRegularSeason20242025!$B$3:$B$1315, "&lt;=" &amp; CN$1, DataRegularSeason20242025!$D$3:$D$1315, $A24)+SUMIFS(DataRegularSeason20242025!$AB$3:$AB$1315,DataRegularSeason20242025!$B$3:$B$1315, "&lt;=" &amp; CN$1, DataRegularSeason20242025!$E$3:$E$1315, $A24)</f>
        <v>6</v>
      </c>
      <c r="CO24">
        <f>SUMIFS(DataRegularSeason20242025!$AA$3:$AA$1315,DataRegularSeason20242025!$B$3:$B$1315, "&lt;=" &amp; CO$1, DataRegularSeason20242025!$D$3:$D$1315, $A24)+SUMIFS(DataRegularSeason20242025!$AB$3:$AB$1315,DataRegularSeason20242025!$B$3:$B$1315, "&lt;=" &amp; CO$1, DataRegularSeason20242025!$E$3:$E$1315, $A24)</f>
        <v>6</v>
      </c>
      <c r="CP24">
        <f>SUMIFS(DataRegularSeason20242025!$AA$3:$AA$1315,DataRegularSeason20242025!$B$3:$B$1315, "&lt;=" &amp; CP$1, DataRegularSeason20242025!$D$3:$D$1315, $A24)+SUMIFS(DataRegularSeason20242025!$AB$3:$AB$1315,DataRegularSeason20242025!$B$3:$B$1315, "&lt;=" &amp; CP$1, DataRegularSeason20242025!$E$3:$E$1315, $A24)</f>
        <v>6</v>
      </c>
      <c r="CQ24">
        <f>SUMIFS(DataRegularSeason20242025!$AA$3:$AA$1315,DataRegularSeason20242025!$B$3:$B$1315, "&lt;=" &amp; CQ$1, DataRegularSeason20242025!$D$3:$D$1315, $A24)+SUMIFS(DataRegularSeason20242025!$AB$3:$AB$1315,DataRegularSeason20242025!$B$3:$B$1315, "&lt;=" &amp; CQ$1, DataRegularSeason20242025!$E$3:$E$1315, $A24)</f>
        <v>6</v>
      </c>
      <c r="CR24">
        <f>SUMIFS(DataRegularSeason20242025!$AA$3:$AA$1315,DataRegularSeason20242025!$B$3:$B$1315, "&lt;=" &amp; CR$1, DataRegularSeason20242025!$D$3:$D$1315, $A24)+SUMIFS(DataRegularSeason20242025!$AB$3:$AB$1315,DataRegularSeason20242025!$B$3:$B$1315, "&lt;=" &amp; CR$1, DataRegularSeason20242025!$E$3:$E$1315, $A24)</f>
        <v>6</v>
      </c>
      <c r="CS24">
        <f>SUMIFS(DataRegularSeason20242025!$AA$3:$AA$1315,DataRegularSeason20242025!$B$3:$B$1315, "&lt;=" &amp; CS$1, DataRegularSeason20242025!$D$3:$D$1315, $A24)+SUMIFS(DataRegularSeason20242025!$AB$3:$AB$1315,DataRegularSeason20242025!$B$3:$B$1315, "&lt;=" &amp; CS$1, DataRegularSeason20242025!$E$3:$E$1315, $A24)</f>
        <v>6</v>
      </c>
      <c r="CT24">
        <f>SUMIFS(DataRegularSeason20242025!$AA$3:$AA$1315,DataRegularSeason20242025!$B$3:$B$1315, "&lt;=" &amp; CT$1, DataRegularSeason20242025!$D$3:$D$1315, $A24)+SUMIFS(DataRegularSeason20242025!$AB$3:$AB$1315,DataRegularSeason20242025!$B$3:$B$1315, "&lt;=" &amp; CT$1, DataRegularSeason20242025!$E$3:$E$1315, $A24)</f>
        <v>6</v>
      </c>
      <c r="CU24">
        <f>SUMIFS(DataRegularSeason20242025!$AA$3:$AA$1315,DataRegularSeason20242025!$B$3:$B$1315, "&lt;=" &amp; CU$1, DataRegularSeason20242025!$D$3:$D$1315, $A24)+SUMIFS(DataRegularSeason20242025!$AB$3:$AB$1315,DataRegularSeason20242025!$B$3:$B$1315, "&lt;=" &amp; CU$1, DataRegularSeason20242025!$E$3:$E$1315, $A24)</f>
        <v>6</v>
      </c>
      <c r="CV24">
        <f>SUMIFS(DataRegularSeason20242025!$AA$3:$AA$1315,DataRegularSeason20242025!$B$3:$B$1315, "&lt;=" &amp; CV$1, DataRegularSeason20242025!$D$3:$D$1315, $A24)+SUMIFS(DataRegularSeason20242025!$AB$3:$AB$1315,DataRegularSeason20242025!$B$3:$B$1315, "&lt;=" &amp; CV$1, DataRegularSeason20242025!$E$3:$E$1315, $A24)</f>
        <v>6</v>
      </c>
      <c r="CW24">
        <f>SUMIFS(DataRegularSeason20242025!$AA$3:$AA$1315,DataRegularSeason20242025!$B$3:$B$1315, "&lt;=" &amp; CW$1, DataRegularSeason20242025!$D$3:$D$1315, $A24)+SUMIFS(DataRegularSeason20242025!$AB$3:$AB$1315,DataRegularSeason20242025!$B$3:$B$1315, "&lt;=" &amp; CW$1, DataRegularSeason20242025!$E$3:$E$1315, $A24)</f>
        <v>6</v>
      </c>
      <c r="CX24">
        <f>SUMIFS(DataRegularSeason20242025!$AA$3:$AA$1315,DataRegularSeason20242025!$B$3:$B$1315, "&lt;=" &amp; CX$1, DataRegularSeason20242025!$D$3:$D$1315, $A24)+SUMIFS(DataRegularSeason20242025!$AB$3:$AB$1315,DataRegularSeason20242025!$B$3:$B$1315, "&lt;=" &amp; CX$1, DataRegularSeason20242025!$E$3:$E$1315, $A24)</f>
        <v>6</v>
      </c>
      <c r="CY24">
        <f>SUMIFS(DataRegularSeason20242025!$AA$3:$AA$1315,DataRegularSeason20242025!$B$3:$B$1315, "&lt;=" &amp; CY$1, DataRegularSeason20242025!$D$3:$D$1315, $A24)+SUMIFS(DataRegularSeason20242025!$AB$3:$AB$1315,DataRegularSeason20242025!$B$3:$B$1315, "&lt;=" &amp; CY$1, DataRegularSeason20242025!$E$3:$E$1315, $A24)</f>
        <v>6</v>
      </c>
      <c r="CZ24">
        <f>SUMIFS(DataRegularSeason20242025!$AA$3:$AA$1315,DataRegularSeason20242025!$B$3:$B$1315, "&lt;=" &amp; CZ$1, DataRegularSeason20242025!$D$3:$D$1315, $A24)+SUMIFS(DataRegularSeason20242025!$AB$3:$AB$1315,DataRegularSeason20242025!$B$3:$B$1315, "&lt;=" &amp; CZ$1, DataRegularSeason20242025!$E$3:$E$1315, $A24)</f>
        <v>6</v>
      </c>
      <c r="DA24">
        <f>SUMIFS(DataRegularSeason20242025!$AA$3:$AA$1315,DataRegularSeason20242025!$B$3:$B$1315, "&lt;=" &amp; DA$1, DataRegularSeason20242025!$D$3:$D$1315, $A24)+SUMIFS(DataRegularSeason20242025!$AB$3:$AB$1315,DataRegularSeason20242025!$B$3:$B$1315, "&lt;=" &amp; DA$1, DataRegularSeason20242025!$E$3:$E$1315, $A24)</f>
        <v>6</v>
      </c>
      <c r="DB24">
        <f>SUMIFS(DataRegularSeason20242025!$AA$3:$AA$1315,DataRegularSeason20242025!$B$3:$B$1315, "&lt;=" &amp; DB$1, DataRegularSeason20242025!$D$3:$D$1315, $A24)+SUMIFS(DataRegularSeason20242025!$AB$3:$AB$1315,DataRegularSeason20242025!$B$3:$B$1315, "&lt;=" &amp; DB$1, DataRegularSeason20242025!$E$3:$E$1315, $A24)</f>
        <v>6</v>
      </c>
      <c r="DC24">
        <f>SUMIFS(DataRegularSeason20242025!$AA$3:$AA$1315,DataRegularSeason20242025!$B$3:$B$1315, "&lt;=" &amp; DC$1, DataRegularSeason20242025!$D$3:$D$1315, $A24)+SUMIFS(DataRegularSeason20242025!$AB$3:$AB$1315,DataRegularSeason20242025!$B$3:$B$1315, "&lt;=" &amp; DC$1, DataRegularSeason20242025!$E$3:$E$1315, $A24)</f>
        <v>6</v>
      </c>
      <c r="DD24">
        <f>SUMIFS(DataRegularSeason20242025!$AA$3:$AA$1315,DataRegularSeason20242025!$B$3:$B$1315, "&lt;=" &amp; DD$1, DataRegularSeason20242025!$D$3:$D$1315, $A24)+SUMIFS(DataRegularSeason20242025!$AB$3:$AB$1315,DataRegularSeason20242025!$B$3:$B$1315, "&lt;=" &amp; DD$1, DataRegularSeason20242025!$E$3:$E$1315, $A24)</f>
        <v>6</v>
      </c>
      <c r="DE24">
        <f>SUMIFS(DataRegularSeason20242025!$AA$3:$AA$1315,DataRegularSeason20242025!$B$3:$B$1315, "&lt;=" &amp; DE$1, DataRegularSeason20242025!$D$3:$D$1315, $A24)+SUMIFS(DataRegularSeason20242025!$AB$3:$AB$1315,DataRegularSeason20242025!$B$3:$B$1315, "&lt;=" &amp; DE$1, DataRegularSeason20242025!$E$3:$E$1315, $A24)</f>
        <v>6</v>
      </c>
      <c r="DF24">
        <f>SUMIFS(DataRegularSeason20242025!$AA$3:$AA$1315,DataRegularSeason20242025!$B$3:$B$1315, "&lt;=" &amp; DF$1, DataRegularSeason20242025!$D$3:$D$1315, $A24)+SUMIFS(DataRegularSeason20242025!$AB$3:$AB$1315,DataRegularSeason20242025!$B$3:$B$1315, "&lt;=" &amp; DF$1, DataRegularSeason20242025!$E$3:$E$1315, $A24)</f>
        <v>6</v>
      </c>
      <c r="DG24">
        <f>SUMIFS(DataRegularSeason20242025!$AA$3:$AA$1315,DataRegularSeason20242025!$B$3:$B$1315, "&lt;=" &amp; DG$1, DataRegularSeason20242025!$D$3:$D$1315, $A24)+SUMIFS(DataRegularSeason20242025!$AB$3:$AB$1315,DataRegularSeason20242025!$B$3:$B$1315, "&lt;=" &amp; DG$1, DataRegularSeason20242025!$E$3:$E$1315, $A24)</f>
        <v>6</v>
      </c>
      <c r="DH24">
        <f>SUMIFS(DataRegularSeason20242025!$AA$3:$AA$1315,DataRegularSeason20242025!$B$3:$B$1315, "&lt;=" &amp; DH$1, DataRegularSeason20242025!$D$3:$D$1315, $A24)+SUMIFS(DataRegularSeason20242025!$AB$3:$AB$1315,DataRegularSeason20242025!$B$3:$B$1315, "&lt;=" &amp; DH$1, DataRegularSeason20242025!$E$3:$E$1315, $A24)</f>
        <v>6</v>
      </c>
      <c r="DI24">
        <f>SUMIFS(DataRegularSeason20242025!$AA$3:$AA$1315,DataRegularSeason20242025!$B$3:$B$1315, "&lt;=" &amp; DI$1, DataRegularSeason20242025!$D$3:$D$1315, $A24)+SUMIFS(DataRegularSeason20242025!$AB$3:$AB$1315,DataRegularSeason20242025!$B$3:$B$1315, "&lt;=" &amp; DI$1, DataRegularSeason20242025!$E$3:$E$1315, $A24)</f>
        <v>6</v>
      </c>
      <c r="DJ24">
        <f>SUMIFS(DataRegularSeason20242025!$AA$3:$AA$1315,DataRegularSeason20242025!$B$3:$B$1315, "&lt;=" &amp; DJ$1, DataRegularSeason20242025!$D$3:$D$1315, $A24)+SUMIFS(DataRegularSeason20242025!$AB$3:$AB$1315,DataRegularSeason20242025!$B$3:$B$1315, "&lt;=" &amp; DJ$1, DataRegularSeason20242025!$E$3:$E$1315, $A24)</f>
        <v>6</v>
      </c>
      <c r="DK24">
        <f>SUMIFS(DataRegularSeason20242025!$AA$3:$AA$1315,DataRegularSeason20242025!$B$3:$B$1315, "&lt;=" &amp; DK$1, DataRegularSeason20242025!$D$3:$D$1315, $A24)+SUMIFS(DataRegularSeason20242025!$AB$3:$AB$1315,DataRegularSeason20242025!$B$3:$B$1315, "&lt;=" &amp; DK$1, DataRegularSeason20242025!$E$3:$E$1315, $A24)</f>
        <v>6</v>
      </c>
      <c r="DL24">
        <f>SUMIFS(DataRegularSeason20242025!$AA$3:$AA$1315,DataRegularSeason20242025!$B$3:$B$1315, "&lt;=" &amp; DL$1, DataRegularSeason20242025!$D$3:$D$1315, $A24)+SUMIFS(DataRegularSeason20242025!$AB$3:$AB$1315,DataRegularSeason20242025!$B$3:$B$1315, "&lt;=" &amp; DL$1, DataRegularSeason20242025!$E$3:$E$1315, $A24)</f>
        <v>6</v>
      </c>
      <c r="DM24">
        <f>SUMIFS(DataRegularSeason20242025!$AA$3:$AA$1315,DataRegularSeason20242025!$B$3:$B$1315, "&lt;=" &amp; DM$1, DataRegularSeason20242025!$D$3:$D$1315, $A24)+SUMIFS(DataRegularSeason20242025!$AB$3:$AB$1315,DataRegularSeason20242025!$B$3:$B$1315, "&lt;=" &amp; DM$1, DataRegularSeason20242025!$E$3:$E$1315, $A24)</f>
        <v>6</v>
      </c>
      <c r="DN24">
        <f>SUMIFS(DataRegularSeason20242025!$AA$3:$AA$1315,DataRegularSeason20242025!$B$3:$B$1315, "&lt;=" &amp; DN$1, DataRegularSeason20242025!$D$3:$D$1315, $A24)+SUMIFS(DataRegularSeason20242025!$AB$3:$AB$1315,DataRegularSeason20242025!$B$3:$B$1315, "&lt;=" &amp; DN$1, DataRegularSeason20242025!$E$3:$E$1315, $A24)</f>
        <v>6</v>
      </c>
      <c r="DO24">
        <f>SUMIFS(DataRegularSeason20242025!$AA$3:$AA$1315,DataRegularSeason20242025!$B$3:$B$1315, "&lt;=" &amp; DO$1, DataRegularSeason20242025!$D$3:$D$1315, $A24)+SUMIFS(DataRegularSeason20242025!$AB$3:$AB$1315,DataRegularSeason20242025!$B$3:$B$1315, "&lt;=" &amp; DO$1, DataRegularSeason20242025!$E$3:$E$1315, $A24)</f>
        <v>6</v>
      </c>
      <c r="DP24">
        <f>SUMIFS(DataRegularSeason20242025!$AA$3:$AA$1315,DataRegularSeason20242025!$B$3:$B$1315, "&lt;=" &amp; DP$1, DataRegularSeason20242025!$D$3:$D$1315, $A24)+SUMIFS(DataRegularSeason20242025!$AB$3:$AB$1315,DataRegularSeason20242025!$B$3:$B$1315, "&lt;=" &amp; DP$1, DataRegularSeason20242025!$E$3:$E$1315, $A24)</f>
        <v>6</v>
      </c>
      <c r="DQ24">
        <f>SUMIFS(DataRegularSeason20242025!$AA$3:$AA$1315,DataRegularSeason20242025!$B$3:$B$1315, "&lt;=" &amp; DQ$1, DataRegularSeason20242025!$D$3:$D$1315, $A24)+SUMIFS(DataRegularSeason20242025!$AB$3:$AB$1315,DataRegularSeason20242025!$B$3:$B$1315, "&lt;=" &amp; DQ$1, DataRegularSeason20242025!$E$3:$E$1315, $A24)</f>
        <v>6</v>
      </c>
      <c r="DR24">
        <f>SUMIFS(DataRegularSeason20242025!$AA$3:$AA$1315,DataRegularSeason20242025!$B$3:$B$1315, "&lt;=" &amp; DR$1, DataRegularSeason20242025!$D$3:$D$1315, $A24)+SUMIFS(DataRegularSeason20242025!$AB$3:$AB$1315,DataRegularSeason20242025!$B$3:$B$1315, "&lt;=" &amp; DR$1, DataRegularSeason20242025!$E$3:$E$1315, $A24)</f>
        <v>6</v>
      </c>
      <c r="DS24">
        <f>SUMIFS(DataRegularSeason20242025!$AA$3:$AA$1315,DataRegularSeason20242025!$B$3:$B$1315, "&lt;=" &amp; DS$1, DataRegularSeason20242025!$D$3:$D$1315, $A24)+SUMIFS(DataRegularSeason20242025!$AB$3:$AB$1315,DataRegularSeason20242025!$B$3:$B$1315, "&lt;=" &amp; DS$1, DataRegularSeason20242025!$E$3:$E$1315, $A24)</f>
        <v>6</v>
      </c>
      <c r="DT24">
        <f>SUMIFS(DataRegularSeason20242025!$AA$3:$AA$1315,DataRegularSeason20242025!$B$3:$B$1315, "&lt;=" &amp; DT$1, DataRegularSeason20242025!$D$3:$D$1315, $A24)+SUMIFS(DataRegularSeason20242025!$AB$3:$AB$1315,DataRegularSeason20242025!$B$3:$B$1315, "&lt;=" &amp; DT$1, DataRegularSeason20242025!$E$3:$E$1315, $A24)</f>
        <v>6</v>
      </c>
      <c r="DU24">
        <f>SUMIFS(DataRegularSeason20242025!$AA$3:$AA$1315,DataRegularSeason20242025!$B$3:$B$1315, "&lt;=" &amp; DU$1, DataRegularSeason20242025!$D$3:$D$1315, $A24)+SUMIFS(DataRegularSeason20242025!$AB$3:$AB$1315,DataRegularSeason20242025!$B$3:$B$1315, "&lt;=" &amp; DU$1, DataRegularSeason20242025!$E$3:$E$1315, $A24)</f>
        <v>6</v>
      </c>
      <c r="DV24">
        <f>SUMIFS(DataRegularSeason20242025!$AA$3:$AA$1315,DataRegularSeason20242025!$B$3:$B$1315, "&lt;=" &amp; DV$1, DataRegularSeason20242025!$D$3:$D$1315, $A24)+SUMIFS(DataRegularSeason20242025!$AB$3:$AB$1315,DataRegularSeason20242025!$B$3:$B$1315, "&lt;=" &amp; DV$1, DataRegularSeason20242025!$E$3:$E$1315, $A24)</f>
        <v>6</v>
      </c>
      <c r="DW24">
        <f>SUMIFS(DataRegularSeason20242025!$AA$3:$AA$1315,DataRegularSeason20242025!$B$3:$B$1315, "&lt;=" &amp; DW$1, DataRegularSeason20242025!$D$3:$D$1315, $A24)+SUMIFS(DataRegularSeason20242025!$AB$3:$AB$1315,DataRegularSeason20242025!$B$3:$B$1315, "&lt;=" &amp; DW$1, DataRegularSeason20242025!$E$3:$E$1315, $A24)</f>
        <v>6</v>
      </c>
      <c r="DX24">
        <f>SUMIFS(DataRegularSeason20242025!$AA$3:$AA$1315,DataRegularSeason20242025!$B$3:$B$1315, "&lt;=" &amp; DX$1, DataRegularSeason20242025!$D$3:$D$1315, $A24)+SUMIFS(DataRegularSeason20242025!$AB$3:$AB$1315,DataRegularSeason20242025!$B$3:$B$1315, "&lt;=" &amp; DX$1, DataRegularSeason20242025!$E$3:$E$1315, $A24)</f>
        <v>6</v>
      </c>
      <c r="DY24">
        <f>SUMIFS(DataRegularSeason20242025!$AA$3:$AA$1315,DataRegularSeason20242025!$B$3:$B$1315, "&lt;=" &amp; DY$1, DataRegularSeason20242025!$D$3:$D$1315, $A24)+SUMIFS(DataRegularSeason20242025!$AB$3:$AB$1315,DataRegularSeason20242025!$B$3:$B$1315, "&lt;=" &amp; DY$1, DataRegularSeason20242025!$E$3:$E$1315, $A24)</f>
        <v>6</v>
      </c>
      <c r="DZ24">
        <f>SUMIFS(DataRegularSeason20242025!$AA$3:$AA$1315,DataRegularSeason20242025!$B$3:$B$1315, "&lt;=" &amp; DZ$1, DataRegularSeason20242025!$D$3:$D$1315, $A24)+SUMIFS(DataRegularSeason20242025!$AB$3:$AB$1315,DataRegularSeason20242025!$B$3:$B$1315, "&lt;=" &amp; DZ$1, DataRegularSeason20242025!$E$3:$E$1315, $A24)</f>
        <v>6</v>
      </c>
      <c r="EA24">
        <f>SUMIFS(DataRegularSeason20242025!$AA$3:$AA$1315,DataRegularSeason20242025!$B$3:$B$1315, "&lt;=" &amp; EA$1, DataRegularSeason20242025!$D$3:$D$1315, $A24)+SUMIFS(DataRegularSeason20242025!$AB$3:$AB$1315,DataRegularSeason20242025!$B$3:$B$1315, "&lt;=" &amp; EA$1, DataRegularSeason20242025!$E$3:$E$1315, $A24)</f>
        <v>6</v>
      </c>
      <c r="EB24">
        <f>SUMIFS(DataRegularSeason20242025!$AA$3:$AA$1315,DataRegularSeason20242025!$B$3:$B$1315, "&lt;=" &amp; EB$1, DataRegularSeason20242025!$D$3:$D$1315, $A24)+SUMIFS(DataRegularSeason20242025!$AB$3:$AB$1315,DataRegularSeason20242025!$B$3:$B$1315, "&lt;=" &amp; EB$1, DataRegularSeason20242025!$E$3:$E$1315, $A24)</f>
        <v>6</v>
      </c>
      <c r="EC24">
        <f>SUMIFS(DataRegularSeason20242025!$AA$3:$AA$1315,DataRegularSeason20242025!$B$3:$B$1315, "&lt;=" &amp; EC$1, DataRegularSeason20242025!$D$3:$D$1315, $A24)+SUMIFS(DataRegularSeason20242025!$AB$3:$AB$1315,DataRegularSeason20242025!$B$3:$B$1315, "&lt;=" &amp; EC$1, DataRegularSeason20242025!$E$3:$E$1315, $A24)</f>
        <v>6</v>
      </c>
      <c r="ED24">
        <f>SUMIFS(DataRegularSeason20242025!$AA$3:$AA$1315,DataRegularSeason20242025!$B$3:$B$1315, "&lt;=" &amp; ED$1, DataRegularSeason20242025!$D$3:$D$1315, $A24)+SUMIFS(DataRegularSeason20242025!$AB$3:$AB$1315,DataRegularSeason20242025!$B$3:$B$1315, "&lt;=" &amp; ED$1, DataRegularSeason20242025!$E$3:$E$1315, $A24)</f>
        <v>6</v>
      </c>
      <c r="EE24">
        <f>SUMIFS(DataRegularSeason20242025!$AA$3:$AA$1315,DataRegularSeason20242025!$B$3:$B$1315, "&lt;=" &amp; EE$1, DataRegularSeason20242025!$D$3:$D$1315, $A24)+SUMIFS(DataRegularSeason20242025!$AB$3:$AB$1315,DataRegularSeason20242025!$B$3:$B$1315, "&lt;=" &amp; EE$1, DataRegularSeason20242025!$E$3:$E$1315, $A24)</f>
        <v>6</v>
      </c>
      <c r="EF24">
        <f>SUMIFS(DataRegularSeason20242025!$AA$3:$AA$1315,DataRegularSeason20242025!$B$3:$B$1315, "&lt;=" &amp; EF$1, DataRegularSeason20242025!$D$3:$D$1315, $A24)+SUMIFS(DataRegularSeason20242025!$AB$3:$AB$1315,DataRegularSeason20242025!$B$3:$B$1315, "&lt;=" &amp; EF$1, DataRegularSeason20242025!$E$3:$E$1315, $A24)</f>
        <v>6</v>
      </c>
      <c r="EG24">
        <f>SUMIFS(DataRegularSeason20242025!$AA$3:$AA$1315,DataRegularSeason20242025!$B$3:$B$1315, "&lt;=" &amp; EG$1, DataRegularSeason20242025!$D$3:$D$1315, $A24)+SUMIFS(DataRegularSeason20242025!$AB$3:$AB$1315,DataRegularSeason20242025!$B$3:$B$1315, "&lt;=" &amp; EG$1, DataRegularSeason20242025!$E$3:$E$1315, $A24)</f>
        <v>6</v>
      </c>
      <c r="EH24">
        <f>SUMIFS(DataRegularSeason20242025!$AA$3:$AA$1315,DataRegularSeason20242025!$B$3:$B$1315, "&lt;=" &amp; EH$1, DataRegularSeason20242025!$D$3:$D$1315, $A24)+SUMIFS(DataRegularSeason20242025!$AB$3:$AB$1315,DataRegularSeason20242025!$B$3:$B$1315, "&lt;=" &amp; EH$1, DataRegularSeason20242025!$E$3:$E$1315, $A24)</f>
        <v>6</v>
      </c>
      <c r="EI24">
        <f>SUMIFS(DataRegularSeason20242025!$AA$3:$AA$1315,DataRegularSeason20242025!$B$3:$B$1315, "&lt;=" &amp; EI$1, DataRegularSeason20242025!$D$3:$D$1315, $A24)+SUMIFS(DataRegularSeason20242025!$AB$3:$AB$1315,DataRegularSeason20242025!$B$3:$B$1315, "&lt;=" &amp; EI$1, DataRegularSeason20242025!$E$3:$E$1315, $A24)</f>
        <v>6</v>
      </c>
      <c r="EJ24">
        <f>SUMIFS(DataRegularSeason20242025!$AA$3:$AA$1315,DataRegularSeason20242025!$B$3:$B$1315, "&lt;=" &amp; EJ$1, DataRegularSeason20242025!$D$3:$D$1315, $A24)+SUMIFS(DataRegularSeason20242025!$AB$3:$AB$1315,DataRegularSeason20242025!$B$3:$B$1315, "&lt;=" &amp; EJ$1, DataRegularSeason20242025!$E$3:$E$1315, $A24)</f>
        <v>6</v>
      </c>
      <c r="EK24">
        <f>SUMIFS(DataRegularSeason20242025!$AA$3:$AA$1315,DataRegularSeason20242025!$B$3:$B$1315, "&lt;=" &amp; EK$1, DataRegularSeason20242025!$D$3:$D$1315, $A24)+SUMIFS(DataRegularSeason20242025!$AB$3:$AB$1315,DataRegularSeason20242025!$B$3:$B$1315, "&lt;=" &amp; EK$1, DataRegularSeason20242025!$E$3:$E$1315, $A24)</f>
        <v>6</v>
      </c>
      <c r="EL24">
        <f>SUMIFS(DataRegularSeason20242025!$AA$3:$AA$1315,DataRegularSeason20242025!$B$3:$B$1315, "&lt;=" &amp; EL$1, DataRegularSeason20242025!$D$3:$D$1315, $A24)+SUMIFS(DataRegularSeason20242025!$AB$3:$AB$1315,DataRegularSeason20242025!$B$3:$B$1315, "&lt;=" &amp; EL$1, DataRegularSeason20242025!$E$3:$E$1315, $A24)</f>
        <v>6</v>
      </c>
      <c r="EM24">
        <f>SUMIFS(DataRegularSeason20242025!$AA$3:$AA$1315,DataRegularSeason20242025!$B$3:$B$1315, "&lt;=" &amp; EM$1, DataRegularSeason20242025!$D$3:$D$1315, $A24)+SUMIFS(DataRegularSeason20242025!$AB$3:$AB$1315,DataRegularSeason20242025!$B$3:$B$1315, "&lt;=" &amp; EM$1, DataRegularSeason20242025!$E$3:$E$1315, $A24)</f>
        <v>6</v>
      </c>
      <c r="EN24">
        <f>SUMIFS(DataRegularSeason20242025!$AA$3:$AA$1315,DataRegularSeason20242025!$B$3:$B$1315, "&lt;=" &amp; EN$1, DataRegularSeason20242025!$D$3:$D$1315, $A24)+SUMIFS(DataRegularSeason20242025!$AB$3:$AB$1315,DataRegularSeason20242025!$B$3:$B$1315, "&lt;=" &amp; EN$1, DataRegularSeason20242025!$E$3:$E$1315, $A24)</f>
        <v>6</v>
      </c>
      <c r="EO24">
        <f>SUMIFS(DataRegularSeason20242025!$AA$3:$AA$1315,DataRegularSeason20242025!$B$3:$B$1315, "&lt;=" &amp; EO$1, DataRegularSeason20242025!$D$3:$D$1315, $A24)+SUMIFS(DataRegularSeason20242025!$AB$3:$AB$1315,DataRegularSeason20242025!$B$3:$B$1315, "&lt;=" &amp; EO$1, DataRegularSeason20242025!$E$3:$E$1315, $A24)</f>
        <v>6</v>
      </c>
      <c r="EP24">
        <f>SUMIFS(DataRegularSeason20242025!$AA$3:$AA$1315,DataRegularSeason20242025!$B$3:$B$1315, "&lt;=" &amp; EP$1, DataRegularSeason20242025!$D$3:$D$1315, $A24)+SUMIFS(DataRegularSeason20242025!$AB$3:$AB$1315,DataRegularSeason20242025!$B$3:$B$1315, "&lt;=" &amp; EP$1, DataRegularSeason20242025!$E$3:$E$1315, $A24)</f>
        <v>6</v>
      </c>
      <c r="EQ24">
        <f>SUMIFS(DataRegularSeason20242025!$AA$3:$AA$1315,DataRegularSeason20242025!$B$3:$B$1315, "&lt;=" &amp; EQ$1, DataRegularSeason20242025!$D$3:$D$1315, $A24)+SUMIFS(DataRegularSeason20242025!$AB$3:$AB$1315,DataRegularSeason20242025!$B$3:$B$1315, "&lt;=" &amp; EQ$1, DataRegularSeason20242025!$E$3:$E$1315, $A24)</f>
        <v>6</v>
      </c>
      <c r="ER24">
        <f>SUMIFS(DataRegularSeason20242025!$AA$3:$AA$1315,DataRegularSeason20242025!$B$3:$B$1315, "&lt;=" &amp; ER$1, DataRegularSeason20242025!$D$3:$D$1315, $A24)+SUMIFS(DataRegularSeason20242025!$AB$3:$AB$1315,DataRegularSeason20242025!$B$3:$B$1315, "&lt;=" &amp; ER$1, DataRegularSeason20242025!$E$3:$E$1315, $A24)</f>
        <v>6</v>
      </c>
      <c r="ES24">
        <f>SUMIFS(DataRegularSeason20242025!$AA$3:$AA$1315,DataRegularSeason20242025!$B$3:$B$1315, "&lt;=" &amp; ES$1, DataRegularSeason20242025!$D$3:$D$1315, $A24)+SUMIFS(DataRegularSeason20242025!$AB$3:$AB$1315,DataRegularSeason20242025!$B$3:$B$1315, "&lt;=" &amp; ES$1, DataRegularSeason20242025!$E$3:$E$1315, $A24)</f>
        <v>6</v>
      </c>
      <c r="ET24">
        <f>SUMIFS(DataRegularSeason20242025!$AA$3:$AA$1315,DataRegularSeason20242025!$B$3:$B$1315, "&lt;=" &amp; ET$1, DataRegularSeason20242025!$D$3:$D$1315, $A24)+SUMIFS(DataRegularSeason20242025!$AB$3:$AB$1315,DataRegularSeason20242025!$B$3:$B$1315, "&lt;=" &amp; ET$1, DataRegularSeason20242025!$E$3:$E$1315, $A24)</f>
        <v>6</v>
      </c>
      <c r="EU24">
        <f>SUMIFS(DataRegularSeason20242025!$AA$3:$AA$1315,DataRegularSeason20242025!$B$3:$B$1315, "&lt;=" &amp; EU$1, DataRegularSeason20242025!$D$3:$D$1315, $A24)+SUMIFS(DataRegularSeason20242025!$AB$3:$AB$1315,DataRegularSeason20242025!$B$3:$B$1315, "&lt;=" &amp; EU$1, DataRegularSeason20242025!$E$3:$E$1315, $A24)</f>
        <v>6</v>
      </c>
      <c r="EV24">
        <f>SUMIFS(DataRegularSeason20242025!$AA$3:$AA$1315,DataRegularSeason20242025!$B$3:$B$1315, "&lt;=" &amp; EV$1, DataRegularSeason20242025!$D$3:$D$1315, $A24)+SUMIFS(DataRegularSeason20242025!$AB$3:$AB$1315,DataRegularSeason20242025!$B$3:$B$1315, "&lt;=" &amp; EV$1, DataRegularSeason20242025!$E$3:$E$1315, $A24)</f>
        <v>6</v>
      </c>
      <c r="EW24">
        <f>SUMIFS(DataRegularSeason20242025!$AA$3:$AA$1315,DataRegularSeason20242025!$B$3:$B$1315, "&lt;=" &amp; EW$1, DataRegularSeason20242025!$D$3:$D$1315, $A24)+SUMIFS(DataRegularSeason20242025!$AB$3:$AB$1315,DataRegularSeason20242025!$B$3:$B$1315, "&lt;=" &amp; EW$1, DataRegularSeason20242025!$E$3:$E$1315, $A24)</f>
        <v>6</v>
      </c>
      <c r="EX24">
        <f>SUMIFS(DataRegularSeason20242025!$AA$3:$AA$1315,DataRegularSeason20242025!$B$3:$B$1315, "&lt;=" &amp; EX$1, DataRegularSeason20242025!$D$3:$D$1315, $A24)+SUMIFS(DataRegularSeason20242025!$AB$3:$AB$1315,DataRegularSeason20242025!$B$3:$B$1315, "&lt;=" &amp; EX$1, DataRegularSeason20242025!$E$3:$E$1315, $A24)</f>
        <v>6</v>
      </c>
      <c r="EY24">
        <f>SUMIFS(DataRegularSeason20242025!$AA$3:$AA$1315,DataRegularSeason20242025!$B$3:$B$1315, "&lt;=" &amp; EY$1, DataRegularSeason20242025!$D$3:$D$1315, $A24)+SUMIFS(DataRegularSeason20242025!$AB$3:$AB$1315,DataRegularSeason20242025!$B$3:$B$1315, "&lt;=" &amp; EY$1, DataRegularSeason20242025!$E$3:$E$1315, $A24)</f>
        <v>6</v>
      </c>
      <c r="EZ24">
        <f>SUMIFS(DataRegularSeason20242025!$AA$3:$AA$1315,DataRegularSeason20242025!$B$3:$B$1315, "&lt;=" &amp; EZ$1, DataRegularSeason20242025!$D$3:$D$1315, $A24)+SUMIFS(DataRegularSeason20242025!$AB$3:$AB$1315,DataRegularSeason20242025!$B$3:$B$1315, "&lt;=" &amp; EZ$1, DataRegularSeason20242025!$E$3:$E$1315, $A24)</f>
        <v>6</v>
      </c>
      <c r="FA24">
        <f>SUMIFS(DataRegularSeason20242025!$AA$3:$AA$1315,DataRegularSeason20242025!$B$3:$B$1315, "&lt;=" &amp; FA$1, DataRegularSeason20242025!$D$3:$D$1315, $A24)+SUMIFS(DataRegularSeason20242025!$AB$3:$AB$1315,DataRegularSeason20242025!$B$3:$B$1315, "&lt;=" &amp; FA$1, DataRegularSeason20242025!$E$3:$E$1315, $A24)</f>
        <v>6</v>
      </c>
      <c r="FB24">
        <f>SUMIFS(DataRegularSeason20242025!$AA$3:$AA$1315,DataRegularSeason20242025!$B$3:$B$1315, "&lt;=" &amp; FB$1, DataRegularSeason20242025!$D$3:$D$1315, $A24)+SUMIFS(DataRegularSeason20242025!$AB$3:$AB$1315,DataRegularSeason20242025!$B$3:$B$1315, "&lt;=" &amp; FB$1, DataRegularSeason20242025!$E$3:$E$1315, $A24)</f>
        <v>6</v>
      </c>
      <c r="FC24">
        <f>SUMIFS(DataRegularSeason20242025!$AA$3:$AA$1315,DataRegularSeason20242025!$B$3:$B$1315, "&lt;=" &amp; FC$1, DataRegularSeason20242025!$D$3:$D$1315, $A24)+SUMIFS(DataRegularSeason20242025!$AB$3:$AB$1315,DataRegularSeason20242025!$B$3:$B$1315, "&lt;=" &amp; FC$1, DataRegularSeason20242025!$E$3:$E$1315, $A24)</f>
        <v>6</v>
      </c>
      <c r="FD24">
        <f>SUMIFS(DataRegularSeason20242025!$AA$3:$AA$1315,DataRegularSeason20242025!$B$3:$B$1315, "&lt;=" &amp; FD$1, DataRegularSeason20242025!$D$3:$D$1315, $A24)+SUMIFS(DataRegularSeason20242025!$AB$3:$AB$1315,DataRegularSeason20242025!$B$3:$B$1315, "&lt;=" &amp; FD$1, DataRegularSeason20242025!$E$3:$E$1315, $A24)</f>
        <v>6</v>
      </c>
      <c r="FE24">
        <f>SUMIFS(DataRegularSeason20242025!$AA$3:$AA$1315,DataRegularSeason20242025!$B$3:$B$1315, "&lt;=" &amp; FE$1, DataRegularSeason20242025!$D$3:$D$1315, $A24)+SUMIFS(DataRegularSeason20242025!$AB$3:$AB$1315,DataRegularSeason20242025!$B$3:$B$1315, "&lt;=" &amp; FE$1, DataRegularSeason20242025!$E$3:$E$1315, $A24)</f>
        <v>6</v>
      </c>
      <c r="FF24">
        <f>SUMIFS(DataRegularSeason20242025!$AA$3:$AA$1315,DataRegularSeason20242025!$B$3:$B$1315, "&lt;=" &amp; FF$1, DataRegularSeason20242025!$D$3:$D$1315, $A24)+SUMIFS(DataRegularSeason20242025!$AB$3:$AB$1315,DataRegularSeason20242025!$B$3:$B$1315, "&lt;=" &amp; FF$1, DataRegularSeason20242025!$E$3:$E$1315, $A24)</f>
        <v>6</v>
      </c>
      <c r="FG24">
        <f>SUMIFS(DataRegularSeason20242025!$AA$3:$AA$1315,DataRegularSeason20242025!$B$3:$B$1315, "&lt;=" &amp; FG$1, DataRegularSeason20242025!$D$3:$D$1315, $A24)+SUMIFS(DataRegularSeason20242025!$AB$3:$AB$1315,DataRegularSeason20242025!$B$3:$B$1315, "&lt;=" &amp; FG$1, DataRegularSeason20242025!$E$3:$E$1315, $A24)</f>
        <v>6</v>
      </c>
      <c r="FH24">
        <f>SUMIFS(DataRegularSeason20242025!$AA$3:$AA$1315,DataRegularSeason20242025!$B$3:$B$1315, "&lt;=" &amp; FH$1, DataRegularSeason20242025!$D$3:$D$1315, $A24)+SUMIFS(DataRegularSeason20242025!$AB$3:$AB$1315,DataRegularSeason20242025!$B$3:$B$1315, "&lt;=" &amp; FH$1, DataRegularSeason20242025!$E$3:$E$1315, $A24)</f>
        <v>6</v>
      </c>
      <c r="FI24">
        <f>SUMIFS(DataRegularSeason20242025!$AA$3:$AA$1315,DataRegularSeason20242025!$B$3:$B$1315, "&lt;=" &amp; FI$1, DataRegularSeason20242025!$D$3:$D$1315, $A24)+SUMIFS(DataRegularSeason20242025!$AB$3:$AB$1315,DataRegularSeason20242025!$B$3:$B$1315, "&lt;=" &amp; FI$1, DataRegularSeason20242025!$E$3:$E$1315, $A24)</f>
        <v>6</v>
      </c>
      <c r="FJ24">
        <f>SUMIFS(DataRegularSeason20242025!$AA$3:$AA$1315,DataRegularSeason20242025!$B$3:$B$1315, "&lt;=" &amp; FJ$1, DataRegularSeason20242025!$D$3:$D$1315, $A24)+SUMIFS(DataRegularSeason20242025!$AB$3:$AB$1315,DataRegularSeason20242025!$B$3:$B$1315, "&lt;=" &amp; FJ$1, DataRegularSeason20242025!$E$3:$E$1315, $A24)</f>
        <v>6</v>
      </c>
      <c r="FK24">
        <f>SUMIFS(DataRegularSeason20242025!$AA$3:$AA$1315,DataRegularSeason20242025!$B$3:$B$1315, "&lt;=" &amp; FK$1, DataRegularSeason20242025!$D$3:$D$1315, $A24)+SUMIFS(DataRegularSeason20242025!$AB$3:$AB$1315,DataRegularSeason20242025!$B$3:$B$1315, "&lt;=" &amp; FK$1, DataRegularSeason20242025!$E$3:$E$1315, $A24)</f>
        <v>6</v>
      </c>
      <c r="FL24">
        <f>SUMIFS(DataRegularSeason20242025!$AA$3:$AA$1315,DataRegularSeason20242025!$B$3:$B$1315, "&lt;=" &amp; FL$1, DataRegularSeason20242025!$D$3:$D$1315, $A24)+SUMIFS(DataRegularSeason20242025!$AB$3:$AB$1315,DataRegularSeason20242025!$B$3:$B$1315, "&lt;=" &amp; FL$1, DataRegularSeason20242025!$E$3:$E$1315, $A24)</f>
        <v>6</v>
      </c>
      <c r="FM24">
        <f>SUMIFS(DataRegularSeason20242025!$AA$3:$AA$1315,DataRegularSeason20242025!$B$3:$B$1315, "&lt;=" &amp; FM$1, DataRegularSeason20242025!$D$3:$D$1315, $A24)+SUMIFS(DataRegularSeason20242025!$AB$3:$AB$1315,DataRegularSeason20242025!$B$3:$B$1315, "&lt;=" &amp; FM$1, DataRegularSeason20242025!$E$3:$E$1315, $A24)</f>
        <v>6</v>
      </c>
      <c r="FN24">
        <f>SUMIFS(DataRegularSeason20242025!$AA$3:$AA$1315,DataRegularSeason20242025!$B$3:$B$1315, "&lt;=" &amp; FN$1, DataRegularSeason20242025!$D$3:$D$1315, $A24)+SUMIFS(DataRegularSeason20242025!$AB$3:$AB$1315,DataRegularSeason20242025!$B$3:$B$1315, "&lt;=" &amp; FN$1, DataRegularSeason20242025!$E$3:$E$1315, $A24)</f>
        <v>6</v>
      </c>
      <c r="FO24">
        <f>SUMIFS(DataRegularSeason20242025!$AA$3:$AA$1315,DataRegularSeason20242025!$B$3:$B$1315, "&lt;=" &amp; FO$1, DataRegularSeason20242025!$D$3:$D$1315, $A24)+SUMIFS(DataRegularSeason20242025!$AB$3:$AB$1315,DataRegularSeason20242025!$B$3:$B$1315, "&lt;=" &amp; FO$1, DataRegularSeason20242025!$E$3:$E$1315, $A24)</f>
        <v>6</v>
      </c>
      <c r="FP24">
        <f>SUMIFS(DataRegularSeason20242025!$AA$3:$AA$1315,DataRegularSeason20242025!$B$3:$B$1315, "&lt;=" &amp; FP$1, DataRegularSeason20242025!$D$3:$D$1315, $A24)+SUMIFS(DataRegularSeason20242025!$AB$3:$AB$1315,DataRegularSeason20242025!$B$3:$B$1315, "&lt;=" &amp; FP$1, DataRegularSeason20242025!$E$3:$E$1315, $A24)</f>
        <v>6</v>
      </c>
      <c r="FQ24">
        <f>SUMIFS(DataRegularSeason20242025!$AA$3:$AA$1315,DataRegularSeason20242025!$B$3:$B$1315, "&lt;=" &amp; FQ$1, DataRegularSeason20242025!$D$3:$D$1315, $A24)+SUMIFS(DataRegularSeason20242025!$AB$3:$AB$1315,DataRegularSeason20242025!$B$3:$B$1315, "&lt;=" &amp; FQ$1, DataRegularSeason20242025!$E$3:$E$1315, $A24)</f>
        <v>6</v>
      </c>
      <c r="FR24">
        <f>SUMIFS(DataRegularSeason20242025!$AA$3:$AA$1315,DataRegularSeason20242025!$B$3:$B$1315, "&lt;=" &amp; FR$1, DataRegularSeason20242025!$D$3:$D$1315, $A24)+SUMIFS(DataRegularSeason20242025!$AB$3:$AB$1315,DataRegularSeason20242025!$B$3:$B$1315, "&lt;=" &amp; FR$1, DataRegularSeason20242025!$E$3:$E$1315, $A24)</f>
        <v>6</v>
      </c>
      <c r="FS24">
        <f>SUMIFS(DataRegularSeason20242025!$AA$3:$AA$1315,DataRegularSeason20242025!$B$3:$B$1315, "&lt;=" &amp; FS$1, DataRegularSeason20242025!$D$3:$D$1315, $A24)+SUMIFS(DataRegularSeason20242025!$AB$3:$AB$1315,DataRegularSeason20242025!$B$3:$B$1315, "&lt;=" &amp; FS$1, DataRegularSeason20242025!$E$3:$E$1315, $A24)</f>
        <v>6</v>
      </c>
      <c r="FT24">
        <f>SUMIFS(DataRegularSeason20242025!$AA$3:$AA$1315,DataRegularSeason20242025!$B$3:$B$1315, "&lt;=" &amp; FT$1, DataRegularSeason20242025!$D$3:$D$1315, $A24)+SUMIFS(DataRegularSeason20242025!$AB$3:$AB$1315,DataRegularSeason20242025!$B$3:$B$1315, "&lt;=" &amp; FT$1, DataRegularSeason20242025!$E$3:$E$1315, $A24)</f>
        <v>6</v>
      </c>
      <c r="FU24">
        <f>SUMIFS(DataRegularSeason20242025!$AA$3:$AA$1315,DataRegularSeason20242025!$B$3:$B$1315, "&lt;=" &amp; FU$1, DataRegularSeason20242025!$D$3:$D$1315, $A24)+SUMIFS(DataRegularSeason20242025!$AB$3:$AB$1315,DataRegularSeason20242025!$B$3:$B$1315, "&lt;=" &amp; FU$1, DataRegularSeason20242025!$E$3:$E$1315, $A24)</f>
        <v>6</v>
      </c>
      <c r="FV24">
        <f>SUMIFS(DataRegularSeason20242025!$AA$3:$AA$1315,DataRegularSeason20242025!$B$3:$B$1315, "&lt;=" &amp; FV$1, DataRegularSeason20242025!$D$3:$D$1315, $A24)+SUMIFS(DataRegularSeason20242025!$AB$3:$AB$1315,DataRegularSeason20242025!$B$3:$B$1315, "&lt;=" &amp; FV$1, DataRegularSeason20242025!$E$3:$E$1315, $A24)</f>
        <v>6</v>
      </c>
      <c r="FW24">
        <f>SUMIFS(DataRegularSeason20242025!$AA$3:$AA$1315,DataRegularSeason20242025!$B$3:$B$1315, "&lt;=" &amp; FW$1, DataRegularSeason20242025!$D$3:$D$1315, $A24)+SUMIFS(DataRegularSeason20242025!$AB$3:$AB$1315,DataRegularSeason20242025!$B$3:$B$1315, "&lt;=" &amp; FW$1, DataRegularSeason20242025!$E$3:$E$1315, $A24)</f>
        <v>6</v>
      </c>
      <c r="FX24">
        <f>SUMIFS(DataRegularSeason20242025!$AA$3:$AA$1315,DataRegularSeason20242025!$B$3:$B$1315, "&lt;=" &amp; FX$1, DataRegularSeason20242025!$D$3:$D$1315, $A24)+SUMIFS(DataRegularSeason20242025!$AB$3:$AB$1315,DataRegularSeason20242025!$B$3:$B$1315, "&lt;=" &amp; FX$1, DataRegularSeason20242025!$E$3:$E$1315, $A24)</f>
        <v>6</v>
      </c>
      <c r="FY24">
        <f>SUMIFS(DataRegularSeason20242025!$AA$3:$AA$1315,DataRegularSeason20242025!$B$3:$B$1315, "&lt;=" &amp; FY$1, DataRegularSeason20242025!$D$3:$D$1315, $A24)+SUMIFS(DataRegularSeason20242025!$AB$3:$AB$1315,DataRegularSeason20242025!$B$3:$B$1315, "&lt;=" &amp; FY$1, DataRegularSeason20242025!$E$3:$E$1315, $A24)</f>
        <v>6</v>
      </c>
      <c r="FZ24">
        <f>SUMIFS(DataRegularSeason20242025!$AA$3:$AA$1315,DataRegularSeason20242025!$B$3:$B$1315, "&lt;=" &amp; FZ$1, DataRegularSeason20242025!$D$3:$D$1315, $A24)+SUMIFS(DataRegularSeason20242025!$AB$3:$AB$1315,DataRegularSeason20242025!$B$3:$B$1315, "&lt;=" &amp; FZ$1, DataRegularSeason20242025!$E$3:$E$1315, $A24)</f>
        <v>6</v>
      </c>
      <c r="GA24">
        <f>SUMIFS(DataRegularSeason20242025!$AA$3:$AA$1315,DataRegularSeason20242025!$B$3:$B$1315, "&lt;=" &amp; GA$1, DataRegularSeason20242025!$D$3:$D$1315, $A24)+SUMIFS(DataRegularSeason20242025!$AB$3:$AB$1315,DataRegularSeason20242025!$B$3:$B$1315, "&lt;=" &amp; GA$1, DataRegularSeason20242025!$E$3:$E$1315, $A24)</f>
        <v>6</v>
      </c>
      <c r="GB24">
        <f>SUMIFS(DataRegularSeason20242025!$AA$3:$AA$1315,DataRegularSeason20242025!$B$3:$B$1315, "&lt;=" &amp; GB$1, DataRegularSeason20242025!$D$3:$D$1315, $A24)+SUMIFS(DataRegularSeason20242025!$AB$3:$AB$1315,DataRegularSeason20242025!$B$3:$B$1315, "&lt;=" &amp; GB$1, DataRegularSeason20242025!$E$3:$E$1315, $A24)</f>
        <v>6</v>
      </c>
      <c r="GC24">
        <f>SUMIFS(DataRegularSeason20242025!$AA$3:$AA$1315,DataRegularSeason20242025!$B$3:$B$1315, "&lt;=" &amp; GC$1, DataRegularSeason20242025!$D$3:$D$1315, $A24)+SUMIFS(DataRegularSeason20242025!$AB$3:$AB$1315,DataRegularSeason20242025!$B$3:$B$1315, "&lt;=" &amp; GC$1, DataRegularSeason20242025!$E$3:$E$1315, $A24)</f>
        <v>6</v>
      </c>
      <c r="GD24">
        <f>SUMIFS(DataRegularSeason20242025!$AA$3:$AA$1315,DataRegularSeason20242025!$B$3:$B$1315, "&lt;=" &amp; GD$1, DataRegularSeason20242025!$D$3:$D$1315, $A24)+SUMIFS(DataRegularSeason20242025!$AB$3:$AB$1315,DataRegularSeason20242025!$B$3:$B$1315, "&lt;=" &amp; GD$1, DataRegularSeason20242025!$E$3:$E$1315, $A24)</f>
        <v>6</v>
      </c>
      <c r="GE24">
        <f>SUMIFS(DataRegularSeason20242025!$AA$3:$AA$1315,DataRegularSeason20242025!$B$3:$B$1315, "&lt;=" &amp; GE$1, DataRegularSeason20242025!$D$3:$D$1315, $A24)+SUMIFS(DataRegularSeason20242025!$AB$3:$AB$1315,DataRegularSeason20242025!$B$3:$B$1315, "&lt;=" &amp; GE$1, DataRegularSeason20242025!$E$3:$E$1315, $A24)</f>
        <v>6</v>
      </c>
      <c r="GF24">
        <f>SUMIFS(DataRegularSeason20242025!$AA$3:$AA$1315,DataRegularSeason20242025!$B$3:$B$1315, "&lt;=" &amp; GF$1, DataRegularSeason20242025!$D$3:$D$1315, $A24)+SUMIFS(DataRegularSeason20242025!$AB$3:$AB$1315,DataRegularSeason20242025!$B$3:$B$1315, "&lt;=" &amp; GF$1, DataRegularSeason20242025!$E$3:$E$1315, $A24)</f>
        <v>6</v>
      </c>
      <c r="GG24">
        <f>SUMIFS(DataRegularSeason20242025!$AA$3:$AA$1315,DataRegularSeason20242025!$B$3:$B$1315, "&lt;=" &amp; GG$1, DataRegularSeason20242025!$D$3:$D$1315, $A24)+SUMIFS(DataRegularSeason20242025!$AB$3:$AB$1315,DataRegularSeason20242025!$B$3:$B$1315, "&lt;=" &amp; GG$1, DataRegularSeason20242025!$E$3:$E$1315, $A24)</f>
        <v>6</v>
      </c>
      <c r="GH24">
        <f>SUMIFS(DataRegularSeason20242025!$AA$3:$AA$1315,DataRegularSeason20242025!$B$3:$B$1315, "&lt;=" &amp; GH$1, DataRegularSeason20242025!$D$3:$D$1315, $A24)+SUMIFS(DataRegularSeason20242025!$AB$3:$AB$1315,DataRegularSeason20242025!$B$3:$B$1315, "&lt;=" &amp; GH$1, DataRegularSeason20242025!$E$3:$E$1315, $A24)</f>
        <v>6</v>
      </c>
      <c r="GI24">
        <f>SUMIFS(DataRegularSeason20242025!$AA$3:$AA$1315,DataRegularSeason20242025!$B$3:$B$1315, "&lt;=" &amp; GI$1, DataRegularSeason20242025!$D$3:$D$1315, $A24)+SUMIFS(DataRegularSeason20242025!$AB$3:$AB$1315,DataRegularSeason20242025!$B$3:$B$1315, "&lt;=" &amp; GI$1, DataRegularSeason20242025!$E$3:$E$1315, $A24)</f>
        <v>6</v>
      </c>
      <c r="GJ24">
        <f>SUMIFS(DataRegularSeason20242025!$AA$3:$AA$1315,DataRegularSeason20242025!$B$3:$B$1315, "&lt;=" &amp; GJ$1, DataRegularSeason20242025!$D$3:$D$1315, $A24)+SUMIFS(DataRegularSeason20242025!$AB$3:$AB$1315,DataRegularSeason20242025!$B$3:$B$1315, "&lt;=" &amp; GJ$1, DataRegularSeason20242025!$E$3:$E$1315, $A24)</f>
        <v>6</v>
      </c>
      <c r="GK24">
        <f>SUMIFS(DataRegularSeason20242025!$AA$3:$AA$1315,DataRegularSeason20242025!$B$3:$B$1315, "&lt;=" &amp; GK$1, DataRegularSeason20242025!$D$3:$D$1315, $A24)+SUMIFS(DataRegularSeason20242025!$AB$3:$AB$1315,DataRegularSeason20242025!$B$3:$B$1315, "&lt;=" &amp; GK$1, DataRegularSeason20242025!$E$3:$E$1315, $A24)</f>
        <v>6</v>
      </c>
      <c r="GL24">
        <f>SUMIFS(DataRegularSeason20242025!$AA$3:$AA$1315,DataRegularSeason20242025!$B$3:$B$1315, "&lt;=" &amp; GL$1, DataRegularSeason20242025!$D$3:$D$1315, $A24)+SUMIFS(DataRegularSeason20242025!$AB$3:$AB$1315,DataRegularSeason20242025!$B$3:$B$1315, "&lt;=" &amp; GL$1, DataRegularSeason20242025!$E$3:$E$1315, $A24)</f>
        <v>6</v>
      </c>
      <c r="GM24">
        <f>SUMIFS(DataRegularSeason20242025!$AA$3:$AA$1315,DataRegularSeason20242025!$B$3:$B$1315, "&lt;=" &amp; GM$1, DataRegularSeason20242025!$D$3:$D$1315, $A24)+SUMIFS(DataRegularSeason20242025!$AB$3:$AB$1315,DataRegularSeason20242025!$B$3:$B$1315, "&lt;=" &amp; GM$1, DataRegularSeason20242025!$E$3:$E$1315, $A24)</f>
        <v>6</v>
      </c>
      <c r="GN24">
        <f>SUMIFS(DataRegularSeason20242025!$AA$3:$AA$1315,DataRegularSeason20242025!$B$3:$B$1315, "&lt;=" &amp; GN$1, DataRegularSeason20242025!$D$3:$D$1315, $A24)+SUMIFS(DataRegularSeason20242025!$AB$3:$AB$1315,DataRegularSeason20242025!$B$3:$B$1315, "&lt;=" &amp; GN$1, DataRegularSeason20242025!$E$3:$E$1315, $A24)</f>
        <v>6</v>
      </c>
      <c r="GO24">
        <f>SUMIFS(DataRegularSeason20242025!$AA$3:$AA$1315,DataRegularSeason20242025!$B$3:$B$1315, "&lt;=" &amp; GO$1, DataRegularSeason20242025!$D$3:$D$1315, $A24)+SUMIFS(DataRegularSeason20242025!$AB$3:$AB$1315,DataRegularSeason20242025!$B$3:$B$1315, "&lt;=" &amp; GO$1, DataRegularSeason20242025!$E$3:$E$1315, $A24)</f>
        <v>6</v>
      </c>
      <c r="GP24">
        <f>SUMIFS(DataRegularSeason20242025!$AA$3:$AA$1315,DataRegularSeason20242025!$B$3:$B$1315, "&lt;=" &amp; GP$1, DataRegularSeason20242025!$D$3:$D$1315, $A24)+SUMIFS(DataRegularSeason20242025!$AB$3:$AB$1315,DataRegularSeason20242025!$B$3:$B$1315, "&lt;=" &amp; GP$1, DataRegularSeason20242025!$E$3:$E$1315, $A24)</f>
        <v>6</v>
      </c>
      <c r="GQ24">
        <f>SUMIFS(DataRegularSeason20242025!$AA$3:$AA$1315,DataRegularSeason20242025!$B$3:$B$1315, "&lt;=" &amp; GQ$1, DataRegularSeason20242025!$D$3:$D$1315, $A24)+SUMIFS(DataRegularSeason20242025!$AB$3:$AB$1315,DataRegularSeason20242025!$B$3:$B$1315, "&lt;=" &amp; GQ$1, DataRegularSeason20242025!$E$3:$E$1315, $A24)</f>
        <v>6</v>
      </c>
      <c r="GR24">
        <f>SUMIFS(DataRegularSeason20242025!$AA$3:$AA$1315,DataRegularSeason20242025!$B$3:$B$1315, "&lt;=" &amp; GR$1, DataRegularSeason20242025!$D$3:$D$1315, $A24)+SUMIFS(DataRegularSeason20242025!$AB$3:$AB$1315,DataRegularSeason20242025!$B$3:$B$1315, "&lt;=" &amp; GR$1, DataRegularSeason20242025!$E$3:$E$1315, $A24)</f>
        <v>6</v>
      </c>
      <c r="GS24">
        <f>SUMIFS(DataRegularSeason20242025!$AA$3:$AA$1315,DataRegularSeason20242025!$B$3:$B$1315, "&lt;=" &amp; GS$1, DataRegularSeason20242025!$D$3:$D$1315, $A24)+SUMIFS(DataRegularSeason20242025!$AB$3:$AB$1315,DataRegularSeason20242025!$B$3:$B$1315, "&lt;=" &amp; GS$1, DataRegularSeason20242025!$E$3:$E$1315, $A24)</f>
        <v>6</v>
      </c>
      <c r="GT24">
        <f>SUMIFS(DataRegularSeason20242025!$AA$3:$AA$1315,DataRegularSeason20242025!$B$3:$B$1315, "&lt;=" &amp; GT$1, DataRegularSeason20242025!$D$3:$D$1315, $A24)+SUMIFS(DataRegularSeason20242025!$AB$3:$AB$1315,DataRegularSeason20242025!$B$3:$B$1315, "&lt;=" &amp; GT$1, DataRegularSeason20242025!$E$3:$E$1315, $A24)</f>
        <v>6</v>
      </c>
      <c r="GU24">
        <f>SUMIFS(DataRegularSeason20242025!$AA$3:$AA$1315,DataRegularSeason20242025!$B$3:$B$1315, "&lt;=" &amp; GU$1, DataRegularSeason20242025!$D$3:$D$1315, $A24)+SUMIFS(DataRegularSeason20242025!$AB$3:$AB$1315,DataRegularSeason20242025!$B$3:$B$1315, "&lt;=" &amp; GU$1, DataRegularSeason20242025!$E$3:$E$1315, $A24)</f>
        <v>6</v>
      </c>
    </row>
    <row r="25" spans="1:203" x14ac:dyDescent="0.25">
      <c r="A25" t="s">
        <v>34</v>
      </c>
      <c r="B25" t="s">
        <v>90</v>
      </c>
      <c r="C25" s="107" t="s">
        <v>88</v>
      </c>
      <c r="D25">
        <f>SUMIFS(DataRegularSeason20242025!$AA$3:$AA$1315,DataRegularSeason20242025!$B$3:$B$1315, "&lt;=" &amp; D$1, DataRegularSeason20242025!$D$3:$D$1315, $A25)+SUMIFS(DataRegularSeason20242025!$AB$3:$AB$1315,DataRegularSeason20242025!$B$3:$B$1315, "&lt;=" &amp; D$1, DataRegularSeason20242025!$E$3:$E$1315, $A25)</f>
        <v>0</v>
      </c>
      <c r="E25">
        <f>SUMIFS(DataRegularSeason20242025!$AA$3:$AA$1315,DataRegularSeason20242025!$B$3:$B$1315, "&lt;=" &amp; E$1, DataRegularSeason20242025!$D$3:$D$1315, $A25)+SUMIFS(DataRegularSeason20242025!$AB$3:$AB$1315,DataRegularSeason20242025!$B$3:$B$1315, "&lt;=" &amp; E$1, DataRegularSeason20242025!$E$3:$E$1315, $A25)</f>
        <v>0</v>
      </c>
      <c r="F25">
        <f>SUMIFS(DataRegularSeason20242025!$AA$3:$AA$1315,DataRegularSeason20242025!$B$3:$B$1315, "&lt;=" &amp; F$1, DataRegularSeason20242025!$D$3:$D$1315, $A25)+SUMIFS(DataRegularSeason20242025!$AB$3:$AB$1315,DataRegularSeason20242025!$B$3:$B$1315, "&lt;=" &amp; F$1, DataRegularSeason20242025!$E$3:$E$1315, $A25)</f>
        <v>0</v>
      </c>
      <c r="G25">
        <f>SUMIFS(DataRegularSeason20242025!$AA$3:$AA$1315,DataRegularSeason20242025!$B$3:$B$1315, "&lt;=" &amp; G$1, DataRegularSeason20242025!$D$3:$D$1315, $A25)+SUMIFS(DataRegularSeason20242025!$AB$3:$AB$1315,DataRegularSeason20242025!$B$3:$B$1315, "&lt;=" &amp; G$1, DataRegularSeason20242025!$E$3:$E$1315, $A25)</f>
        <v>0</v>
      </c>
      <c r="H25">
        <f>SUMIFS(DataRegularSeason20242025!$AA$3:$AA$1315,DataRegularSeason20242025!$B$3:$B$1315, "&lt;=" &amp; H$1, DataRegularSeason20242025!$D$3:$D$1315, $A25)+SUMIFS(DataRegularSeason20242025!$AB$3:$AB$1315,DataRegularSeason20242025!$B$3:$B$1315, "&lt;=" &amp; H$1, DataRegularSeason20242025!$E$3:$E$1315, $A25)</f>
        <v>0</v>
      </c>
      <c r="I25">
        <f>SUMIFS(DataRegularSeason20242025!$AA$3:$AA$1315,DataRegularSeason20242025!$B$3:$B$1315, "&lt;=" &amp; I$1, DataRegularSeason20242025!$D$3:$D$1315, $A25)+SUMIFS(DataRegularSeason20242025!$AB$3:$AB$1315,DataRegularSeason20242025!$B$3:$B$1315, "&lt;=" &amp; I$1, DataRegularSeason20242025!$E$3:$E$1315, $A25)</f>
        <v>0</v>
      </c>
      <c r="J25">
        <f>SUMIFS(DataRegularSeason20242025!$AA$3:$AA$1315,DataRegularSeason20242025!$B$3:$B$1315, "&lt;=" &amp; J$1, DataRegularSeason20242025!$D$3:$D$1315, $A25)+SUMIFS(DataRegularSeason20242025!$AB$3:$AB$1315,DataRegularSeason20242025!$B$3:$B$1315, "&lt;=" &amp; J$1, DataRegularSeason20242025!$E$3:$E$1315, $A25)</f>
        <v>2</v>
      </c>
      <c r="K25">
        <f>SUMIFS(DataRegularSeason20242025!$AA$3:$AA$1315,DataRegularSeason20242025!$B$3:$B$1315, "&lt;=" &amp; K$1, DataRegularSeason20242025!$D$3:$D$1315, $A25)+SUMIFS(DataRegularSeason20242025!$AB$3:$AB$1315,DataRegularSeason20242025!$B$3:$B$1315, "&lt;=" &amp; K$1, DataRegularSeason20242025!$E$3:$E$1315, $A25)</f>
        <v>2</v>
      </c>
      <c r="L25">
        <f>SUMIFS(DataRegularSeason20242025!$AA$3:$AA$1315,DataRegularSeason20242025!$B$3:$B$1315, "&lt;=" &amp; L$1, DataRegularSeason20242025!$D$3:$D$1315, $A25)+SUMIFS(DataRegularSeason20242025!$AB$3:$AB$1315,DataRegularSeason20242025!$B$3:$B$1315, "&lt;=" &amp; L$1, DataRegularSeason20242025!$E$3:$E$1315, $A25)</f>
        <v>3</v>
      </c>
      <c r="M25">
        <f>SUMIFS(DataRegularSeason20242025!$AA$3:$AA$1315,DataRegularSeason20242025!$B$3:$B$1315, "&lt;=" &amp; M$1, DataRegularSeason20242025!$D$3:$D$1315, $A25)+SUMIFS(DataRegularSeason20242025!$AB$3:$AB$1315,DataRegularSeason20242025!$B$3:$B$1315, "&lt;=" &amp; M$1, DataRegularSeason20242025!$E$3:$E$1315, $A25)</f>
        <v>3</v>
      </c>
      <c r="N25">
        <f>SUMIFS(DataRegularSeason20242025!$AA$3:$AA$1315,DataRegularSeason20242025!$B$3:$B$1315, "&lt;=" &amp; N$1, DataRegularSeason20242025!$D$3:$D$1315, $A25)+SUMIFS(DataRegularSeason20242025!$AB$3:$AB$1315,DataRegularSeason20242025!$B$3:$B$1315, "&lt;=" &amp; N$1, DataRegularSeason20242025!$E$3:$E$1315, $A25)</f>
        <v>5</v>
      </c>
      <c r="O25">
        <f>SUMIFS(DataRegularSeason20242025!$AA$3:$AA$1315,DataRegularSeason20242025!$B$3:$B$1315, "&lt;=" &amp; O$1, DataRegularSeason20242025!$D$3:$D$1315, $A25)+SUMIFS(DataRegularSeason20242025!$AB$3:$AB$1315,DataRegularSeason20242025!$B$3:$B$1315, "&lt;=" &amp; O$1, DataRegularSeason20242025!$E$3:$E$1315, $A25)</f>
        <v>5</v>
      </c>
      <c r="P25">
        <f>SUMIFS(DataRegularSeason20242025!$AA$3:$AA$1315,DataRegularSeason20242025!$B$3:$B$1315, "&lt;=" &amp; P$1, DataRegularSeason20242025!$D$3:$D$1315, $A25)+SUMIFS(DataRegularSeason20242025!$AB$3:$AB$1315,DataRegularSeason20242025!$B$3:$B$1315, "&lt;=" &amp; P$1, DataRegularSeason20242025!$E$3:$E$1315, $A25)</f>
        <v>5</v>
      </c>
      <c r="Q25">
        <f>SUMIFS(DataRegularSeason20242025!$AA$3:$AA$1315,DataRegularSeason20242025!$B$3:$B$1315, "&lt;=" &amp; Q$1, DataRegularSeason20242025!$D$3:$D$1315, $A25)+SUMIFS(DataRegularSeason20242025!$AB$3:$AB$1315,DataRegularSeason20242025!$B$3:$B$1315, "&lt;=" &amp; Q$1, DataRegularSeason20242025!$E$3:$E$1315, $A25)</f>
        <v>6</v>
      </c>
      <c r="R25">
        <f>SUMIFS(DataRegularSeason20242025!$AA$3:$AA$1315,DataRegularSeason20242025!$B$3:$B$1315, "&lt;=" &amp; R$1, DataRegularSeason20242025!$D$3:$D$1315, $A25)+SUMIFS(DataRegularSeason20242025!$AB$3:$AB$1315,DataRegularSeason20242025!$B$3:$B$1315, "&lt;=" &amp; R$1, DataRegularSeason20242025!$E$3:$E$1315, $A25)</f>
        <v>6</v>
      </c>
      <c r="S25">
        <f>SUMIFS(DataRegularSeason20242025!$AA$3:$AA$1315,DataRegularSeason20242025!$B$3:$B$1315, "&lt;=" &amp; S$1, DataRegularSeason20242025!$D$3:$D$1315, $A25)+SUMIFS(DataRegularSeason20242025!$AB$3:$AB$1315,DataRegularSeason20242025!$B$3:$B$1315, "&lt;=" &amp; S$1, DataRegularSeason20242025!$E$3:$E$1315, $A25)</f>
        <v>6</v>
      </c>
      <c r="T25">
        <f>SUMIFS(DataRegularSeason20242025!$AA$3:$AA$1315,DataRegularSeason20242025!$B$3:$B$1315, "&lt;=" &amp; T$1, DataRegularSeason20242025!$D$3:$D$1315, $A25)+SUMIFS(DataRegularSeason20242025!$AB$3:$AB$1315,DataRegularSeason20242025!$B$3:$B$1315, "&lt;=" &amp; T$1, DataRegularSeason20242025!$E$3:$E$1315, $A25)</f>
        <v>6</v>
      </c>
      <c r="U25">
        <f>SUMIFS(DataRegularSeason20242025!$AA$3:$AA$1315,DataRegularSeason20242025!$B$3:$B$1315, "&lt;=" &amp; U$1, DataRegularSeason20242025!$D$3:$D$1315, $A25)+SUMIFS(DataRegularSeason20242025!$AB$3:$AB$1315,DataRegularSeason20242025!$B$3:$B$1315, "&lt;=" &amp; U$1, DataRegularSeason20242025!$E$3:$E$1315, $A25)</f>
        <v>6</v>
      </c>
      <c r="V25">
        <f>SUMIFS(DataRegularSeason20242025!$AA$3:$AA$1315,DataRegularSeason20242025!$B$3:$B$1315, "&lt;=" &amp; V$1, DataRegularSeason20242025!$D$3:$D$1315, $A25)+SUMIFS(DataRegularSeason20242025!$AB$3:$AB$1315,DataRegularSeason20242025!$B$3:$B$1315, "&lt;=" &amp; V$1, DataRegularSeason20242025!$E$3:$E$1315, $A25)</f>
        <v>6</v>
      </c>
      <c r="W25">
        <f>SUMIFS(DataRegularSeason20242025!$AA$3:$AA$1315,DataRegularSeason20242025!$B$3:$B$1315, "&lt;=" &amp; W$1, DataRegularSeason20242025!$D$3:$D$1315, $A25)+SUMIFS(DataRegularSeason20242025!$AB$3:$AB$1315,DataRegularSeason20242025!$B$3:$B$1315, "&lt;=" &amp; W$1, DataRegularSeason20242025!$E$3:$E$1315, $A25)</f>
        <v>6</v>
      </c>
      <c r="X25">
        <f>SUMIFS(DataRegularSeason20242025!$AA$3:$AA$1315,DataRegularSeason20242025!$B$3:$B$1315, "&lt;=" &amp; X$1, DataRegularSeason20242025!$D$3:$D$1315, $A25)+SUMIFS(DataRegularSeason20242025!$AB$3:$AB$1315,DataRegularSeason20242025!$B$3:$B$1315, "&lt;=" &amp; X$1, DataRegularSeason20242025!$E$3:$E$1315, $A25)</f>
        <v>6</v>
      </c>
      <c r="Y25">
        <f>SUMIFS(DataRegularSeason20242025!$AA$3:$AA$1315,DataRegularSeason20242025!$B$3:$B$1315, "&lt;=" &amp; Y$1, DataRegularSeason20242025!$D$3:$D$1315, $A25)+SUMIFS(DataRegularSeason20242025!$AB$3:$AB$1315,DataRegularSeason20242025!$B$3:$B$1315, "&lt;=" &amp; Y$1, DataRegularSeason20242025!$E$3:$E$1315, $A25)</f>
        <v>6</v>
      </c>
      <c r="Z25">
        <f>SUMIFS(DataRegularSeason20242025!$AA$3:$AA$1315,DataRegularSeason20242025!$B$3:$B$1315, "&lt;=" &amp; Z$1, DataRegularSeason20242025!$D$3:$D$1315, $A25)+SUMIFS(DataRegularSeason20242025!$AB$3:$AB$1315,DataRegularSeason20242025!$B$3:$B$1315, "&lt;=" &amp; Z$1, DataRegularSeason20242025!$E$3:$E$1315, $A25)</f>
        <v>6</v>
      </c>
      <c r="AA25">
        <f>SUMIFS(DataRegularSeason20242025!$AA$3:$AA$1315,DataRegularSeason20242025!$B$3:$B$1315, "&lt;=" &amp; AA$1, DataRegularSeason20242025!$D$3:$D$1315, $A25)+SUMIFS(DataRegularSeason20242025!$AB$3:$AB$1315,DataRegularSeason20242025!$B$3:$B$1315, "&lt;=" &amp; AA$1, DataRegularSeason20242025!$E$3:$E$1315, $A25)</f>
        <v>6</v>
      </c>
      <c r="AB25">
        <f>SUMIFS(DataRegularSeason20242025!$AA$3:$AA$1315,DataRegularSeason20242025!$B$3:$B$1315, "&lt;=" &amp; AB$1, DataRegularSeason20242025!$D$3:$D$1315, $A25)+SUMIFS(DataRegularSeason20242025!$AB$3:$AB$1315,DataRegularSeason20242025!$B$3:$B$1315, "&lt;=" &amp; AB$1, DataRegularSeason20242025!$E$3:$E$1315, $A25)</f>
        <v>6</v>
      </c>
      <c r="AC25">
        <f>SUMIFS(DataRegularSeason20242025!$AA$3:$AA$1315,DataRegularSeason20242025!$B$3:$B$1315, "&lt;=" &amp; AC$1, DataRegularSeason20242025!$D$3:$D$1315, $A25)+SUMIFS(DataRegularSeason20242025!$AB$3:$AB$1315,DataRegularSeason20242025!$B$3:$B$1315, "&lt;=" &amp; AC$1, DataRegularSeason20242025!$E$3:$E$1315, $A25)</f>
        <v>6</v>
      </c>
      <c r="AD25">
        <f>SUMIFS(DataRegularSeason20242025!$AA$3:$AA$1315,DataRegularSeason20242025!$B$3:$B$1315, "&lt;=" &amp; AD$1, DataRegularSeason20242025!$D$3:$D$1315, $A25)+SUMIFS(DataRegularSeason20242025!$AB$3:$AB$1315,DataRegularSeason20242025!$B$3:$B$1315, "&lt;=" &amp; AD$1, DataRegularSeason20242025!$E$3:$E$1315, $A25)</f>
        <v>6</v>
      </c>
      <c r="AE25">
        <f>SUMIFS(DataRegularSeason20242025!$AA$3:$AA$1315,DataRegularSeason20242025!$B$3:$B$1315, "&lt;=" &amp; AE$1, DataRegularSeason20242025!$D$3:$D$1315, $A25)+SUMIFS(DataRegularSeason20242025!$AB$3:$AB$1315,DataRegularSeason20242025!$B$3:$B$1315, "&lt;=" &amp; AE$1, DataRegularSeason20242025!$E$3:$E$1315, $A25)</f>
        <v>6</v>
      </c>
      <c r="AF25">
        <f>SUMIFS(DataRegularSeason20242025!$AA$3:$AA$1315,DataRegularSeason20242025!$B$3:$B$1315, "&lt;=" &amp; AF$1, DataRegularSeason20242025!$D$3:$D$1315, $A25)+SUMIFS(DataRegularSeason20242025!$AB$3:$AB$1315,DataRegularSeason20242025!$B$3:$B$1315, "&lt;=" &amp; AF$1, DataRegularSeason20242025!$E$3:$E$1315, $A25)</f>
        <v>6</v>
      </c>
      <c r="AG25">
        <f>SUMIFS(DataRegularSeason20242025!$AA$3:$AA$1315,DataRegularSeason20242025!$B$3:$B$1315, "&lt;=" &amp; AG$1, DataRegularSeason20242025!$D$3:$D$1315, $A25)+SUMIFS(DataRegularSeason20242025!$AB$3:$AB$1315,DataRegularSeason20242025!$B$3:$B$1315, "&lt;=" &amp; AG$1, DataRegularSeason20242025!$E$3:$E$1315, $A25)</f>
        <v>6</v>
      </c>
      <c r="AH25">
        <f>SUMIFS(DataRegularSeason20242025!$AA$3:$AA$1315,DataRegularSeason20242025!$B$3:$B$1315, "&lt;=" &amp; AH$1, DataRegularSeason20242025!$D$3:$D$1315, $A25)+SUMIFS(DataRegularSeason20242025!$AB$3:$AB$1315,DataRegularSeason20242025!$B$3:$B$1315, "&lt;=" &amp; AH$1, DataRegularSeason20242025!$E$3:$E$1315, $A25)</f>
        <v>6</v>
      </c>
      <c r="AI25">
        <f>SUMIFS(DataRegularSeason20242025!$AA$3:$AA$1315,DataRegularSeason20242025!$B$3:$B$1315, "&lt;=" &amp; AI$1, DataRegularSeason20242025!$D$3:$D$1315, $A25)+SUMIFS(DataRegularSeason20242025!$AB$3:$AB$1315,DataRegularSeason20242025!$B$3:$B$1315, "&lt;=" &amp; AI$1, DataRegularSeason20242025!$E$3:$E$1315, $A25)</f>
        <v>6</v>
      </c>
      <c r="AJ25">
        <f>SUMIFS(DataRegularSeason20242025!$AA$3:$AA$1315,DataRegularSeason20242025!$B$3:$B$1315, "&lt;=" &amp; AJ$1, DataRegularSeason20242025!$D$3:$D$1315, $A25)+SUMIFS(DataRegularSeason20242025!$AB$3:$AB$1315,DataRegularSeason20242025!$B$3:$B$1315, "&lt;=" &amp; AJ$1, DataRegularSeason20242025!$E$3:$E$1315, $A25)</f>
        <v>6</v>
      </c>
      <c r="AK25">
        <f>SUMIFS(DataRegularSeason20242025!$AA$3:$AA$1315,DataRegularSeason20242025!$B$3:$B$1315, "&lt;=" &amp; AK$1, DataRegularSeason20242025!$D$3:$D$1315, $A25)+SUMIFS(DataRegularSeason20242025!$AB$3:$AB$1315,DataRegularSeason20242025!$B$3:$B$1315, "&lt;=" &amp; AK$1, DataRegularSeason20242025!$E$3:$E$1315, $A25)</f>
        <v>6</v>
      </c>
      <c r="AL25">
        <f>SUMIFS(DataRegularSeason20242025!$AA$3:$AA$1315,DataRegularSeason20242025!$B$3:$B$1315, "&lt;=" &amp; AL$1, DataRegularSeason20242025!$D$3:$D$1315, $A25)+SUMIFS(DataRegularSeason20242025!$AB$3:$AB$1315,DataRegularSeason20242025!$B$3:$B$1315, "&lt;=" &amp; AL$1, DataRegularSeason20242025!$E$3:$E$1315, $A25)</f>
        <v>6</v>
      </c>
      <c r="AM25">
        <f>SUMIFS(DataRegularSeason20242025!$AA$3:$AA$1315,DataRegularSeason20242025!$B$3:$B$1315, "&lt;=" &amp; AM$1, DataRegularSeason20242025!$D$3:$D$1315, $A25)+SUMIFS(DataRegularSeason20242025!$AB$3:$AB$1315,DataRegularSeason20242025!$B$3:$B$1315, "&lt;=" &amp; AM$1, DataRegularSeason20242025!$E$3:$E$1315, $A25)</f>
        <v>6</v>
      </c>
      <c r="AN25">
        <f>SUMIFS(DataRegularSeason20242025!$AA$3:$AA$1315,DataRegularSeason20242025!$B$3:$B$1315, "&lt;=" &amp; AN$1, DataRegularSeason20242025!$D$3:$D$1315, $A25)+SUMIFS(DataRegularSeason20242025!$AB$3:$AB$1315,DataRegularSeason20242025!$B$3:$B$1315, "&lt;=" &amp; AN$1, DataRegularSeason20242025!$E$3:$E$1315, $A25)</f>
        <v>6</v>
      </c>
      <c r="AO25">
        <f>SUMIFS(DataRegularSeason20242025!$AA$3:$AA$1315,DataRegularSeason20242025!$B$3:$B$1315, "&lt;=" &amp; AO$1, DataRegularSeason20242025!$D$3:$D$1315, $A25)+SUMIFS(DataRegularSeason20242025!$AB$3:$AB$1315,DataRegularSeason20242025!$B$3:$B$1315, "&lt;=" &amp; AO$1, DataRegularSeason20242025!$E$3:$E$1315, $A25)</f>
        <v>6</v>
      </c>
      <c r="AP25">
        <f>SUMIFS(DataRegularSeason20242025!$AA$3:$AA$1315,DataRegularSeason20242025!$B$3:$B$1315, "&lt;=" &amp; AP$1, DataRegularSeason20242025!$D$3:$D$1315, $A25)+SUMIFS(DataRegularSeason20242025!$AB$3:$AB$1315,DataRegularSeason20242025!$B$3:$B$1315, "&lt;=" &amp; AP$1, DataRegularSeason20242025!$E$3:$E$1315, $A25)</f>
        <v>6</v>
      </c>
      <c r="AQ25">
        <f>SUMIFS(DataRegularSeason20242025!$AA$3:$AA$1315,DataRegularSeason20242025!$B$3:$B$1315, "&lt;=" &amp; AQ$1, DataRegularSeason20242025!$D$3:$D$1315, $A25)+SUMIFS(DataRegularSeason20242025!$AB$3:$AB$1315,DataRegularSeason20242025!$B$3:$B$1315, "&lt;=" &amp; AQ$1, DataRegularSeason20242025!$E$3:$E$1315, $A25)</f>
        <v>6</v>
      </c>
      <c r="AR25">
        <f>SUMIFS(DataRegularSeason20242025!$AA$3:$AA$1315,DataRegularSeason20242025!$B$3:$B$1315, "&lt;=" &amp; AR$1, DataRegularSeason20242025!$D$3:$D$1315, $A25)+SUMIFS(DataRegularSeason20242025!$AB$3:$AB$1315,DataRegularSeason20242025!$B$3:$B$1315, "&lt;=" &amp; AR$1, DataRegularSeason20242025!$E$3:$E$1315, $A25)</f>
        <v>6</v>
      </c>
      <c r="AS25">
        <f>SUMIFS(DataRegularSeason20242025!$AA$3:$AA$1315,DataRegularSeason20242025!$B$3:$B$1315, "&lt;=" &amp; AS$1, DataRegularSeason20242025!$D$3:$D$1315, $A25)+SUMIFS(DataRegularSeason20242025!$AB$3:$AB$1315,DataRegularSeason20242025!$B$3:$B$1315, "&lt;=" &amp; AS$1, DataRegularSeason20242025!$E$3:$E$1315, $A25)</f>
        <v>6</v>
      </c>
      <c r="AT25">
        <f>SUMIFS(DataRegularSeason20242025!$AA$3:$AA$1315,DataRegularSeason20242025!$B$3:$B$1315, "&lt;=" &amp; AT$1, DataRegularSeason20242025!$D$3:$D$1315, $A25)+SUMIFS(DataRegularSeason20242025!$AB$3:$AB$1315,DataRegularSeason20242025!$B$3:$B$1315, "&lt;=" &amp; AT$1, DataRegularSeason20242025!$E$3:$E$1315, $A25)</f>
        <v>6</v>
      </c>
      <c r="AU25">
        <f>SUMIFS(DataRegularSeason20242025!$AA$3:$AA$1315,DataRegularSeason20242025!$B$3:$B$1315, "&lt;=" &amp; AU$1, DataRegularSeason20242025!$D$3:$D$1315, $A25)+SUMIFS(DataRegularSeason20242025!$AB$3:$AB$1315,DataRegularSeason20242025!$B$3:$B$1315, "&lt;=" &amp; AU$1, DataRegularSeason20242025!$E$3:$E$1315, $A25)</f>
        <v>6</v>
      </c>
      <c r="AV25">
        <f>SUMIFS(DataRegularSeason20242025!$AA$3:$AA$1315,DataRegularSeason20242025!$B$3:$B$1315, "&lt;=" &amp; AV$1, DataRegularSeason20242025!$D$3:$D$1315, $A25)+SUMIFS(DataRegularSeason20242025!$AB$3:$AB$1315,DataRegularSeason20242025!$B$3:$B$1315, "&lt;=" &amp; AV$1, DataRegularSeason20242025!$E$3:$E$1315, $A25)</f>
        <v>6</v>
      </c>
      <c r="AW25">
        <f>SUMIFS(DataRegularSeason20242025!$AA$3:$AA$1315,DataRegularSeason20242025!$B$3:$B$1315, "&lt;=" &amp; AW$1, DataRegularSeason20242025!$D$3:$D$1315, $A25)+SUMIFS(DataRegularSeason20242025!$AB$3:$AB$1315,DataRegularSeason20242025!$B$3:$B$1315, "&lt;=" &amp; AW$1, DataRegularSeason20242025!$E$3:$E$1315, $A25)</f>
        <v>6</v>
      </c>
      <c r="AX25">
        <f>SUMIFS(DataRegularSeason20242025!$AA$3:$AA$1315,DataRegularSeason20242025!$B$3:$B$1315, "&lt;=" &amp; AX$1, DataRegularSeason20242025!$D$3:$D$1315, $A25)+SUMIFS(DataRegularSeason20242025!$AB$3:$AB$1315,DataRegularSeason20242025!$B$3:$B$1315, "&lt;=" &amp; AX$1, DataRegularSeason20242025!$E$3:$E$1315, $A25)</f>
        <v>6</v>
      </c>
      <c r="AY25">
        <f>SUMIFS(DataRegularSeason20242025!$AA$3:$AA$1315,DataRegularSeason20242025!$B$3:$B$1315, "&lt;=" &amp; AY$1, DataRegularSeason20242025!$D$3:$D$1315, $A25)+SUMIFS(DataRegularSeason20242025!$AB$3:$AB$1315,DataRegularSeason20242025!$B$3:$B$1315, "&lt;=" &amp; AY$1, DataRegularSeason20242025!$E$3:$E$1315, $A25)</f>
        <v>6</v>
      </c>
      <c r="AZ25">
        <f>SUMIFS(DataRegularSeason20242025!$AA$3:$AA$1315,DataRegularSeason20242025!$B$3:$B$1315, "&lt;=" &amp; AZ$1, DataRegularSeason20242025!$D$3:$D$1315, $A25)+SUMIFS(DataRegularSeason20242025!$AB$3:$AB$1315,DataRegularSeason20242025!$B$3:$B$1315, "&lt;=" &amp; AZ$1, DataRegularSeason20242025!$E$3:$E$1315, $A25)</f>
        <v>6</v>
      </c>
      <c r="BA25">
        <f>SUMIFS(DataRegularSeason20242025!$AA$3:$AA$1315,DataRegularSeason20242025!$B$3:$B$1315, "&lt;=" &amp; BA$1, DataRegularSeason20242025!$D$3:$D$1315, $A25)+SUMIFS(DataRegularSeason20242025!$AB$3:$AB$1315,DataRegularSeason20242025!$B$3:$B$1315, "&lt;=" &amp; BA$1, DataRegularSeason20242025!$E$3:$E$1315, $A25)</f>
        <v>6</v>
      </c>
      <c r="BB25">
        <f>SUMIFS(DataRegularSeason20242025!$AA$3:$AA$1315,DataRegularSeason20242025!$B$3:$B$1315, "&lt;=" &amp; BB$1, DataRegularSeason20242025!$D$3:$D$1315, $A25)+SUMIFS(DataRegularSeason20242025!$AB$3:$AB$1315,DataRegularSeason20242025!$B$3:$B$1315, "&lt;=" &amp; BB$1, DataRegularSeason20242025!$E$3:$E$1315, $A25)</f>
        <v>6</v>
      </c>
      <c r="BC25">
        <f>SUMIFS(DataRegularSeason20242025!$AA$3:$AA$1315,DataRegularSeason20242025!$B$3:$B$1315, "&lt;=" &amp; BC$1, DataRegularSeason20242025!$D$3:$D$1315, $A25)+SUMIFS(DataRegularSeason20242025!$AB$3:$AB$1315,DataRegularSeason20242025!$B$3:$B$1315, "&lt;=" &amp; BC$1, DataRegularSeason20242025!$E$3:$E$1315, $A25)</f>
        <v>6</v>
      </c>
      <c r="BD25">
        <f>SUMIFS(DataRegularSeason20242025!$AA$3:$AA$1315,DataRegularSeason20242025!$B$3:$B$1315, "&lt;=" &amp; BD$1, DataRegularSeason20242025!$D$3:$D$1315, $A25)+SUMIFS(DataRegularSeason20242025!$AB$3:$AB$1315,DataRegularSeason20242025!$B$3:$B$1315, "&lt;=" &amp; BD$1, DataRegularSeason20242025!$E$3:$E$1315, $A25)</f>
        <v>6</v>
      </c>
      <c r="BE25">
        <f>SUMIFS(DataRegularSeason20242025!$AA$3:$AA$1315,DataRegularSeason20242025!$B$3:$B$1315, "&lt;=" &amp; BE$1, DataRegularSeason20242025!$D$3:$D$1315, $A25)+SUMIFS(DataRegularSeason20242025!$AB$3:$AB$1315,DataRegularSeason20242025!$B$3:$B$1315, "&lt;=" &amp; BE$1, DataRegularSeason20242025!$E$3:$E$1315, $A25)</f>
        <v>6</v>
      </c>
      <c r="BF25">
        <f>SUMIFS(DataRegularSeason20242025!$AA$3:$AA$1315,DataRegularSeason20242025!$B$3:$B$1315, "&lt;=" &amp; BF$1, DataRegularSeason20242025!$D$3:$D$1315, $A25)+SUMIFS(DataRegularSeason20242025!$AB$3:$AB$1315,DataRegularSeason20242025!$B$3:$B$1315, "&lt;=" &amp; BF$1, DataRegularSeason20242025!$E$3:$E$1315, $A25)</f>
        <v>6</v>
      </c>
      <c r="BG25">
        <f>SUMIFS(DataRegularSeason20242025!$AA$3:$AA$1315,DataRegularSeason20242025!$B$3:$B$1315, "&lt;=" &amp; BG$1, DataRegularSeason20242025!$D$3:$D$1315, $A25)+SUMIFS(DataRegularSeason20242025!$AB$3:$AB$1315,DataRegularSeason20242025!$B$3:$B$1315, "&lt;=" &amp; BG$1, DataRegularSeason20242025!$E$3:$E$1315, $A25)</f>
        <v>6</v>
      </c>
      <c r="BH25">
        <f>SUMIFS(DataRegularSeason20242025!$AA$3:$AA$1315,DataRegularSeason20242025!$B$3:$B$1315, "&lt;=" &amp; BH$1, DataRegularSeason20242025!$D$3:$D$1315, $A25)+SUMIFS(DataRegularSeason20242025!$AB$3:$AB$1315,DataRegularSeason20242025!$B$3:$B$1315, "&lt;=" &amp; BH$1, DataRegularSeason20242025!$E$3:$E$1315, $A25)</f>
        <v>6</v>
      </c>
      <c r="BI25">
        <f>SUMIFS(DataRegularSeason20242025!$AA$3:$AA$1315,DataRegularSeason20242025!$B$3:$B$1315, "&lt;=" &amp; BI$1, DataRegularSeason20242025!$D$3:$D$1315, $A25)+SUMIFS(DataRegularSeason20242025!$AB$3:$AB$1315,DataRegularSeason20242025!$B$3:$B$1315, "&lt;=" &amp; BI$1, DataRegularSeason20242025!$E$3:$E$1315, $A25)</f>
        <v>6</v>
      </c>
      <c r="BJ25">
        <f>SUMIFS(DataRegularSeason20242025!$AA$3:$AA$1315,DataRegularSeason20242025!$B$3:$B$1315, "&lt;=" &amp; BJ$1, DataRegularSeason20242025!$D$3:$D$1315, $A25)+SUMIFS(DataRegularSeason20242025!$AB$3:$AB$1315,DataRegularSeason20242025!$B$3:$B$1315, "&lt;=" &amp; BJ$1, DataRegularSeason20242025!$E$3:$E$1315, $A25)</f>
        <v>6</v>
      </c>
      <c r="BK25">
        <f>SUMIFS(DataRegularSeason20242025!$AA$3:$AA$1315,DataRegularSeason20242025!$B$3:$B$1315, "&lt;=" &amp; BK$1, DataRegularSeason20242025!$D$3:$D$1315, $A25)+SUMIFS(DataRegularSeason20242025!$AB$3:$AB$1315,DataRegularSeason20242025!$B$3:$B$1315, "&lt;=" &amp; BK$1, DataRegularSeason20242025!$E$3:$E$1315, $A25)</f>
        <v>6</v>
      </c>
      <c r="BL25">
        <f>SUMIFS(DataRegularSeason20242025!$AA$3:$AA$1315,DataRegularSeason20242025!$B$3:$B$1315, "&lt;=" &amp; BL$1, DataRegularSeason20242025!$D$3:$D$1315, $A25)+SUMIFS(DataRegularSeason20242025!$AB$3:$AB$1315,DataRegularSeason20242025!$B$3:$B$1315, "&lt;=" &amp; BL$1, DataRegularSeason20242025!$E$3:$E$1315, $A25)</f>
        <v>6</v>
      </c>
      <c r="BM25">
        <f>SUMIFS(DataRegularSeason20242025!$AA$3:$AA$1315,DataRegularSeason20242025!$B$3:$B$1315, "&lt;=" &amp; BM$1, DataRegularSeason20242025!$D$3:$D$1315, $A25)+SUMIFS(DataRegularSeason20242025!$AB$3:$AB$1315,DataRegularSeason20242025!$B$3:$B$1315, "&lt;=" &amp; BM$1, DataRegularSeason20242025!$E$3:$E$1315, $A25)</f>
        <v>6</v>
      </c>
      <c r="BN25">
        <f>SUMIFS(DataRegularSeason20242025!$AA$3:$AA$1315,DataRegularSeason20242025!$B$3:$B$1315, "&lt;=" &amp; BN$1, DataRegularSeason20242025!$D$3:$D$1315, $A25)+SUMIFS(DataRegularSeason20242025!$AB$3:$AB$1315,DataRegularSeason20242025!$B$3:$B$1315, "&lt;=" &amp; BN$1, DataRegularSeason20242025!$E$3:$E$1315, $A25)</f>
        <v>6</v>
      </c>
      <c r="BO25">
        <f>SUMIFS(DataRegularSeason20242025!$AA$3:$AA$1315,DataRegularSeason20242025!$B$3:$B$1315, "&lt;=" &amp; BO$1, DataRegularSeason20242025!$D$3:$D$1315, $A25)+SUMIFS(DataRegularSeason20242025!$AB$3:$AB$1315,DataRegularSeason20242025!$B$3:$B$1315, "&lt;=" &amp; BO$1, DataRegularSeason20242025!$E$3:$E$1315, $A25)</f>
        <v>6</v>
      </c>
      <c r="BP25">
        <f>SUMIFS(DataRegularSeason20242025!$AA$3:$AA$1315,DataRegularSeason20242025!$B$3:$B$1315, "&lt;=" &amp; BP$1, DataRegularSeason20242025!$D$3:$D$1315, $A25)+SUMIFS(DataRegularSeason20242025!$AB$3:$AB$1315,DataRegularSeason20242025!$B$3:$B$1315, "&lt;=" &amp; BP$1, DataRegularSeason20242025!$E$3:$E$1315, $A25)</f>
        <v>6</v>
      </c>
      <c r="BQ25">
        <f>SUMIFS(DataRegularSeason20242025!$AA$3:$AA$1315,DataRegularSeason20242025!$B$3:$B$1315, "&lt;=" &amp; BQ$1, DataRegularSeason20242025!$D$3:$D$1315, $A25)+SUMIFS(DataRegularSeason20242025!$AB$3:$AB$1315,DataRegularSeason20242025!$B$3:$B$1315, "&lt;=" &amp; BQ$1, DataRegularSeason20242025!$E$3:$E$1315, $A25)</f>
        <v>6</v>
      </c>
      <c r="BR25">
        <f>SUMIFS(DataRegularSeason20242025!$AA$3:$AA$1315,DataRegularSeason20242025!$B$3:$B$1315, "&lt;=" &amp; BR$1, DataRegularSeason20242025!$D$3:$D$1315, $A25)+SUMIFS(DataRegularSeason20242025!$AB$3:$AB$1315,DataRegularSeason20242025!$B$3:$B$1315, "&lt;=" &amp; BR$1, DataRegularSeason20242025!$E$3:$E$1315, $A25)</f>
        <v>6</v>
      </c>
      <c r="BS25">
        <f>SUMIFS(DataRegularSeason20242025!$AA$3:$AA$1315,DataRegularSeason20242025!$B$3:$B$1315, "&lt;=" &amp; BS$1, DataRegularSeason20242025!$D$3:$D$1315, $A25)+SUMIFS(DataRegularSeason20242025!$AB$3:$AB$1315,DataRegularSeason20242025!$B$3:$B$1315, "&lt;=" &amp; BS$1, DataRegularSeason20242025!$E$3:$E$1315, $A25)</f>
        <v>6</v>
      </c>
      <c r="BT25">
        <f>SUMIFS(DataRegularSeason20242025!$AA$3:$AA$1315,DataRegularSeason20242025!$B$3:$B$1315, "&lt;=" &amp; BT$1, DataRegularSeason20242025!$D$3:$D$1315, $A25)+SUMIFS(DataRegularSeason20242025!$AB$3:$AB$1315,DataRegularSeason20242025!$B$3:$B$1315, "&lt;=" &amp; BT$1, DataRegularSeason20242025!$E$3:$E$1315, $A25)</f>
        <v>6</v>
      </c>
      <c r="BU25">
        <f>SUMIFS(DataRegularSeason20242025!$AA$3:$AA$1315,DataRegularSeason20242025!$B$3:$B$1315, "&lt;=" &amp; BU$1, DataRegularSeason20242025!$D$3:$D$1315, $A25)+SUMIFS(DataRegularSeason20242025!$AB$3:$AB$1315,DataRegularSeason20242025!$B$3:$B$1315, "&lt;=" &amp; BU$1, DataRegularSeason20242025!$E$3:$E$1315, $A25)</f>
        <v>6</v>
      </c>
      <c r="BV25">
        <f>SUMIFS(DataRegularSeason20242025!$AA$3:$AA$1315,DataRegularSeason20242025!$B$3:$B$1315, "&lt;=" &amp; BV$1, DataRegularSeason20242025!$D$3:$D$1315, $A25)+SUMIFS(DataRegularSeason20242025!$AB$3:$AB$1315,DataRegularSeason20242025!$B$3:$B$1315, "&lt;=" &amp; BV$1, DataRegularSeason20242025!$E$3:$E$1315, $A25)</f>
        <v>6</v>
      </c>
      <c r="BW25">
        <f>SUMIFS(DataRegularSeason20242025!$AA$3:$AA$1315,DataRegularSeason20242025!$B$3:$B$1315, "&lt;=" &amp; BW$1, DataRegularSeason20242025!$D$3:$D$1315, $A25)+SUMIFS(DataRegularSeason20242025!$AB$3:$AB$1315,DataRegularSeason20242025!$B$3:$B$1315, "&lt;=" &amp; BW$1, DataRegularSeason20242025!$E$3:$E$1315, $A25)</f>
        <v>6</v>
      </c>
      <c r="BX25">
        <f>SUMIFS(DataRegularSeason20242025!$AA$3:$AA$1315,DataRegularSeason20242025!$B$3:$B$1315, "&lt;=" &amp; BX$1, DataRegularSeason20242025!$D$3:$D$1315, $A25)+SUMIFS(DataRegularSeason20242025!$AB$3:$AB$1315,DataRegularSeason20242025!$B$3:$B$1315, "&lt;=" &amp; BX$1, DataRegularSeason20242025!$E$3:$E$1315, $A25)</f>
        <v>6</v>
      </c>
      <c r="BY25">
        <f>SUMIFS(DataRegularSeason20242025!$AA$3:$AA$1315,DataRegularSeason20242025!$B$3:$B$1315, "&lt;=" &amp; BY$1, DataRegularSeason20242025!$D$3:$D$1315, $A25)+SUMIFS(DataRegularSeason20242025!$AB$3:$AB$1315,DataRegularSeason20242025!$B$3:$B$1315, "&lt;=" &amp; BY$1, DataRegularSeason20242025!$E$3:$E$1315, $A25)</f>
        <v>6</v>
      </c>
      <c r="BZ25">
        <f>SUMIFS(DataRegularSeason20242025!$AA$3:$AA$1315,DataRegularSeason20242025!$B$3:$B$1315, "&lt;=" &amp; BZ$1, DataRegularSeason20242025!$D$3:$D$1315, $A25)+SUMIFS(DataRegularSeason20242025!$AB$3:$AB$1315,DataRegularSeason20242025!$B$3:$B$1315, "&lt;=" &amp; BZ$1, DataRegularSeason20242025!$E$3:$E$1315, $A25)</f>
        <v>6</v>
      </c>
      <c r="CA25">
        <f>SUMIFS(DataRegularSeason20242025!$AA$3:$AA$1315,DataRegularSeason20242025!$B$3:$B$1315, "&lt;=" &amp; CA$1, DataRegularSeason20242025!$D$3:$D$1315, $A25)+SUMIFS(DataRegularSeason20242025!$AB$3:$AB$1315,DataRegularSeason20242025!$B$3:$B$1315, "&lt;=" &amp; CA$1, DataRegularSeason20242025!$E$3:$E$1315, $A25)</f>
        <v>6</v>
      </c>
      <c r="CB25">
        <f>SUMIFS(DataRegularSeason20242025!$AA$3:$AA$1315,DataRegularSeason20242025!$B$3:$B$1315, "&lt;=" &amp; CB$1, DataRegularSeason20242025!$D$3:$D$1315, $A25)+SUMIFS(DataRegularSeason20242025!$AB$3:$AB$1315,DataRegularSeason20242025!$B$3:$B$1315, "&lt;=" &amp; CB$1, DataRegularSeason20242025!$E$3:$E$1315, $A25)</f>
        <v>6</v>
      </c>
      <c r="CC25">
        <f>SUMIFS(DataRegularSeason20242025!$AA$3:$AA$1315,DataRegularSeason20242025!$B$3:$B$1315, "&lt;=" &amp; CC$1, DataRegularSeason20242025!$D$3:$D$1315, $A25)+SUMIFS(DataRegularSeason20242025!$AB$3:$AB$1315,DataRegularSeason20242025!$B$3:$B$1315, "&lt;=" &amp; CC$1, DataRegularSeason20242025!$E$3:$E$1315, $A25)</f>
        <v>6</v>
      </c>
      <c r="CD25">
        <f>SUMIFS(DataRegularSeason20242025!$AA$3:$AA$1315,DataRegularSeason20242025!$B$3:$B$1315, "&lt;=" &amp; CD$1, DataRegularSeason20242025!$D$3:$D$1315, $A25)+SUMIFS(DataRegularSeason20242025!$AB$3:$AB$1315,DataRegularSeason20242025!$B$3:$B$1315, "&lt;=" &amp; CD$1, DataRegularSeason20242025!$E$3:$E$1315, $A25)</f>
        <v>6</v>
      </c>
      <c r="CE25">
        <f>SUMIFS(DataRegularSeason20242025!$AA$3:$AA$1315,DataRegularSeason20242025!$B$3:$B$1315, "&lt;=" &amp; CE$1, DataRegularSeason20242025!$D$3:$D$1315, $A25)+SUMIFS(DataRegularSeason20242025!$AB$3:$AB$1315,DataRegularSeason20242025!$B$3:$B$1315, "&lt;=" &amp; CE$1, DataRegularSeason20242025!$E$3:$E$1315, $A25)</f>
        <v>6</v>
      </c>
      <c r="CF25">
        <f>SUMIFS(DataRegularSeason20242025!$AA$3:$AA$1315,DataRegularSeason20242025!$B$3:$B$1315, "&lt;=" &amp; CF$1, DataRegularSeason20242025!$D$3:$D$1315, $A25)+SUMIFS(DataRegularSeason20242025!$AB$3:$AB$1315,DataRegularSeason20242025!$B$3:$B$1315, "&lt;=" &amp; CF$1, DataRegularSeason20242025!$E$3:$E$1315, $A25)</f>
        <v>6</v>
      </c>
      <c r="CG25">
        <f>SUMIFS(DataRegularSeason20242025!$AA$3:$AA$1315,DataRegularSeason20242025!$B$3:$B$1315, "&lt;=" &amp; CG$1, DataRegularSeason20242025!$D$3:$D$1315, $A25)+SUMIFS(DataRegularSeason20242025!$AB$3:$AB$1315,DataRegularSeason20242025!$B$3:$B$1315, "&lt;=" &amp; CG$1, DataRegularSeason20242025!$E$3:$E$1315, $A25)</f>
        <v>6</v>
      </c>
      <c r="CH25">
        <f>SUMIFS(DataRegularSeason20242025!$AA$3:$AA$1315,DataRegularSeason20242025!$B$3:$B$1315, "&lt;=" &amp; CH$1, DataRegularSeason20242025!$D$3:$D$1315, $A25)+SUMIFS(DataRegularSeason20242025!$AB$3:$AB$1315,DataRegularSeason20242025!$B$3:$B$1315, "&lt;=" &amp; CH$1, DataRegularSeason20242025!$E$3:$E$1315, $A25)</f>
        <v>6</v>
      </c>
      <c r="CI25">
        <f>SUMIFS(DataRegularSeason20242025!$AA$3:$AA$1315,DataRegularSeason20242025!$B$3:$B$1315, "&lt;=" &amp; CI$1, DataRegularSeason20242025!$D$3:$D$1315, $A25)+SUMIFS(DataRegularSeason20242025!$AB$3:$AB$1315,DataRegularSeason20242025!$B$3:$B$1315, "&lt;=" &amp; CI$1, DataRegularSeason20242025!$E$3:$E$1315, $A25)</f>
        <v>6</v>
      </c>
      <c r="CJ25">
        <f>SUMIFS(DataRegularSeason20242025!$AA$3:$AA$1315,DataRegularSeason20242025!$B$3:$B$1315, "&lt;=" &amp; CJ$1, DataRegularSeason20242025!$D$3:$D$1315, $A25)+SUMIFS(DataRegularSeason20242025!$AB$3:$AB$1315,DataRegularSeason20242025!$B$3:$B$1315, "&lt;=" &amp; CJ$1, DataRegularSeason20242025!$E$3:$E$1315, $A25)</f>
        <v>6</v>
      </c>
      <c r="CK25">
        <f>SUMIFS(DataRegularSeason20242025!$AA$3:$AA$1315,DataRegularSeason20242025!$B$3:$B$1315, "&lt;=" &amp; CK$1, DataRegularSeason20242025!$D$3:$D$1315, $A25)+SUMIFS(DataRegularSeason20242025!$AB$3:$AB$1315,DataRegularSeason20242025!$B$3:$B$1315, "&lt;=" &amp; CK$1, DataRegularSeason20242025!$E$3:$E$1315, $A25)</f>
        <v>6</v>
      </c>
      <c r="CL25">
        <f>SUMIFS(DataRegularSeason20242025!$AA$3:$AA$1315,DataRegularSeason20242025!$B$3:$B$1315, "&lt;=" &amp; CL$1, DataRegularSeason20242025!$D$3:$D$1315, $A25)+SUMIFS(DataRegularSeason20242025!$AB$3:$AB$1315,DataRegularSeason20242025!$B$3:$B$1315, "&lt;=" &amp; CL$1, DataRegularSeason20242025!$E$3:$E$1315, $A25)</f>
        <v>6</v>
      </c>
      <c r="CM25">
        <f>SUMIFS(DataRegularSeason20242025!$AA$3:$AA$1315,DataRegularSeason20242025!$B$3:$B$1315, "&lt;=" &amp; CM$1, DataRegularSeason20242025!$D$3:$D$1315, $A25)+SUMIFS(DataRegularSeason20242025!$AB$3:$AB$1315,DataRegularSeason20242025!$B$3:$B$1315, "&lt;=" &amp; CM$1, DataRegularSeason20242025!$E$3:$E$1315, $A25)</f>
        <v>6</v>
      </c>
      <c r="CN25">
        <f>SUMIFS(DataRegularSeason20242025!$AA$3:$AA$1315,DataRegularSeason20242025!$B$3:$B$1315, "&lt;=" &amp; CN$1, DataRegularSeason20242025!$D$3:$D$1315, $A25)+SUMIFS(DataRegularSeason20242025!$AB$3:$AB$1315,DataRegularSeason20242025!$B$3:$B$1315, "&lt;=" &amp; CN$1, DataRegularSeason20242025!$E$3:$E$1315, $A25)</f>
        <v>6</v>
      </c>
      <c r="CO25">
        <f>SUMIFS(DataRegularSeason20242025!$AA$3:$AA$1315,DataRegularSeason20242025!$B$3:$B$1315, "&lt;=" &amp; CO$1, DataRegularSeason20242025!$D$3:$D$1315, $A25)+SUMIFS(DataRegularSeason20242025!$AB$3:$AB$1315,DataRegularSeason20242025!$B$3:$B$1315, "&lt;=" &amp; CO$1, DataRegularSeason20242025!$E$3:$E$1315, $A25)</f>
        <v>6</v>
      </c>
      <c r="CP25">
        <f>SUMIFS(DataRegularSeason20242025!$AA$3:$AA$1315,DataRegularSeason20242025!$B$3:$B$1315, "&lt;=" &amp; CP$1, DataRegularSeason20242025!$D$3:$D$1315, $A25)+SUMIFS(DataRegularSeason20242025!$AB$3:$AB$1315,DataRegularSeason20242025!$B$3:$B$1315, "&lt;=" &amp; CP$1, DataRegularSeason20242025!$E$3:$E$1315, $A25)</f>
        <v>6</v>
      </c>
      <c r="CQ25">
        <f>SUMIFS(DataRegularSeason20242025!$AA$3:$AA$1315,DataRegularSeason20242025!$B$3:$B$1315, "&lt;=" &amp; CQ$1, DataRegularSeason20242025!$D$3:$D$1315, $A25)+SUMIFS(DataRegularSeason20242025!$AB$3:$AB$1315,DataRegularSeason20242025!$B$3:$B$1315, "&lt;=" &amp; CQ$1, DataRegularSeason20242025!$E$3:$E$1315, $A25)</f>
        <v>6</v>
      </c>
      <c r="CR25">
        <f>SUMIFS(DataRegularSeason20242025!$AA$3:$AA$1315,DataRegularSeason20242025!$B$3:$B$1315, "&lt;=" &amp; CR$1, DataRegularSeason20242025!$D$3:$D$1315, $A25)+SUMIFS(DataRegularSeason20242025!$AB$3:$AB$1315,DataRegularSeason20242025!$B$3:$B$1315, "&lt;=" &amp; CR$1, DataRegularSeason20242025!$E$3:$E$1315, $A25)</f>
        <v>6</v>
      </c>
      <c r="CS25">
        <f>SUMIFS(DataRegularSeason20242025!$AA$3:$AA$1315,DataRegularSeason20242025!$B$3:$B$1315, "&lt;=" &amp; CS$1, DataRegularSeason20242025!$D$3:$D$1315, $A25)+SUMIFS(DataRegularSeason20242025!$AB$3:$AB$1315,DataRegularSeason20242025!$B$3:$B$1315, "&lt;=" &amp; CS$1, DataRegularSeason20242025!$E$3:$E$1315, $A25)</f>
        <v>6</v>
      </c>
      <c r="CT25">
        <f>SUMIFS(DataRegularSeason20242025!$AA$3:$AA$1315,DataRegularSeason20242025!$B$3:$B$1315, "&lt;=" &amp; CT$1, DataRegularSeason20242025!$D$3:$D$1315, $A25)+SUMIFS(DataRegularSeason20242025!$AB$3:$AB$1315,DataRegularSeason20242025!$B$3:$B$1315, "&lt;=" &amp; CT$1, DataRegularSeason20242025!$E$3:$E$1315, $A25)</f>
        <v>6</v>
      </c>
      <c r="CU25">
        <f>SUMIFS(DataRegularSeason20242025!$AA$3:$AA$1315,DataRegularSeason20242025!$B$3:$B$1315, "&lt;=" &amp; CU$1, DataRegularSeason20242025!$D$3:$D$1315, $A25)+SUMIFS(DataRegularSeason20242025!$AB$3:$AB$1315,DataRegularSeason20242025!$B$3:$B$1315, "&lt;=" &amp; CU$1, DataRegularSeason20242025!$E$3:$E$1315, $A25)</f>
        <v>6</v>
      </c>
      <c r="CV25">
        <f>SUMIFS(DataRegularSeason20242025!$AA$3:$AA$1315,DataRegularSeason20242025!$B$3:$B$1315, "&lt;=" &amp; CV$1, DataRegularSeason20242025!$D$3:$D$1315, $A25)+SUMIFS(DataRegularSeason20242025!$AB$3:$AB$1315,DataRegularSeason20242025!$B$3:$B$1315, "&lt;=" &amp; CV$1, DataRegularSeason20242025!$E$3:$E$1315, $A25)</f>
        <v>6</v>
      </c>
      <c r="CW25">
        <f>SUMIFS(DataRegularSeason20242025!$AA$3:$AA$1315,DataRegularSeason20242025!$B$3:$B$1315, "&lt;=" &amp; CW$1, DataRegularSeason20242025!$D$3:$D$1315, $A25)+SUMIFS(DataRegularSeason20242025!$AB$3:$AB$1315,DataRegularSeason20242025!$B$3:$B$1315, "&lt;=" &amp; CW$1, DataRegularSeason20242025!$E$3:$E$1315, $A25)</f>
        <v>6</v>
      </c>
      <c r="CX25">
        <f>SUMIFS(DataRegularSeason20242025!$AA$3:$AA$1315,DataRegularSeason20242025!$B$3:$B$1315, "&lt;=" &amp; CX$1, DataRegularSeason20242025!$D$3:$D$1315, $A25)+SUMIFS(DataRegularSeason20242025!$AB$3:$AB$1315,DataRegularSeason20242025!$B$3:$B$1315, "&lt;=" &amp; CX$1, DataRegularSeason20242025!$E$3:$E$1315, $A25)</f>
        <v>6</v>
      </c>
      <c r="CY25">
        <f>SUMIFS(DataRegularSeason20242025!$AA$3:$AA$1315,DataRegularSeason20242025!$B$3:$B$1315, "&lt;=" &amp; CY$1, DataRegularSeason20242025!$D$3:$D$1315, $A25)+SUMIFS(DataRegularSeason20242025!$AB$3:$AB$1315,DataRegularSeason20242025!$B$3:$B$1315, "&lt;=" &amp; CY$1, DataRegularSeason20242025!$E$3:$E$1315, $A25)</f>
        <v>6</v>
      </c>
      <c r="CZ25">
        <f>SUMIFS(DataRegularSeason20242025!$AA$3:$AA$1315,DataRegularSeason20242025!$B$3:$B$1315, "&lt;=" &amp; CZ$1, DataRegularSeason20242025!$D$3:$D$1315, $A25)+SUMIFS(DataRegularSeason20242025!$AB$3:$AB$1315,DataRegularSeason20242025!$B$3:$B$1315, "&lt;=" &amp; CZ$1, DataRegularSeason20242025!$E$3:$E$1315, $A25)</f>
        <v>6</v>
      </c>
      <c r="DA25">
        <f>SUMIFS(DataRegularSeason20242025!$AA$3:$AA$1315,DataRegularSeason20242025!$B$3:$B$1315, "&lt;=" &amp; DA$1, DataRegularSeason20242025!$D$3:$D$1315, $A25)+SUMIFS(DataRegularSeason20242025!$AB$3:$AB$1315,DataRegularSeason20242025!$B$3:$B$1315, "&lt;=" &amp; DA$1, DataRegularSeason20242025!$E$3:$E$1315, $A25)</f>
        <v>6</v>
      </c>
      <c r="DB25">
        <f>SUMIFS(DataRegularSeason20242025!$AA$3:$AA$1315,DataRegularSeason20242025!$B$3:$B$1315, "&lt;=" &amp; DB$1, DataRegularSeason20242025!$D$3:$D$1315, $A25)+SUMIFS(DataRegularSeason20242025!$AB$3:$AB$1315,DataRegularSeason20242025!$B$3:$B$1315, "&lt;=" &amp; DB$1, DataRegularSeason20242025!$E$3:$E$1315, $A25)</f>
        <v>6</v>
      </c>
      <c r="DC25">
        <f>SUMIFS(DataRegularSeason20242025!$AA$3:$AA$1315,DataRegularSeason20242025!$B$3:$B$1315, "&lt;=" &amp; DC$1, DataRegularSeason20242025!$D$3:$D$1315, $A25)+SUMIFS(DataRegularSeason20242025!$AB$3:$AB$1315,DataRegularSeason20242025!$B$3:$B$1315, "&lt;=" &amp; DC$1, DataRegularSeason20242025!$E$3:$E$1315, $A25)</f>
        <v>6</v>
      </c>
      <c r="DD25">
        <f>SUMIFS(DataRegularSeason20242025!$AA$3:$AA$1315,DataRegularSeason20242025!$B$3:$B$1315, "&lt;=" &amp; DD$1, DataRegularSeason20242025!$D$3:$D$1315, $A25)+SUMIFS(DataRegularSeason20242025!$AB$3:$AB$1315,DataRegularSeason20242025!$B$3:$B$1315, "&lt;=" &amp; DD$1, DataRegularSeason20242025!$E$3:$E$1315, $A25)</f>
        <v>6</v>
      </c>
      <c r="DE25">
        <f>SUMIFS(DataRegularSeason20242025!$AA$3:$AA$1315,DataRegularSeason20242025!$B$3:$B$1315, "&lt;=" &amp; DE$1, DataRegularSeason20242025!$D$3:$D$1315, $A25)+SUMIFS(DataRegularSeason20242025!$AB$3:$AB$1315,DataRegularSeason20242025!$B$3:$B$1315, "&lt;=" &amp; DE$1, DataRegularSeason20242025!$E$3:$E$1315, $A25)</f>
        <v>6</v>
      </c>
      <c r="DF25">
        <f>SUMIFS(DataRegularSeason20242025!$AA$3:$AA$1315,DataRegularSeason20242025!$B$3:$B$1315, "&lt;=" &amp; DF$1, DataRegularSeason20242025!$D$3:$D$1315, $A25)+SUMIFS(DataRegularSeason20242025!$AB$3:$AB$1315,DataRegularSeason20242025!$B$3:$B$1315, "&lt;=" &amp; DF$1, DataRegularSeason20242025!$E$3:$E$1315, $A25)</f>
        <v>6</v>
      </c>
      <c r="DG25">
        <f>SUMIFS(DataRegularSeason20242025!$AA$3:$AA$1315,DataRegularSeason20242025!$B$3:$B$1315, "&lt;=" &amp; DG$1, DataRegularSeason20242025!$D$3:$D$1315, $A25)+SUMIFS(DataRegularSeason20242025!$AB$3:$AB$1315,DataRegularSeason20242025!$B$3:$B$1315, "&lt;=" &amp; DG$1, DataRegularSeason20242025!$E$3:$E$1315, $A25)</f>
        <v>6</v>
      </c>
      <c r="DH25">
        <f>SUMIFS(DataRegularSeason20242025!$AA$3:$AA$1315,DataRegularSeason20242025!$B$3:$B$1315, "&lt;=" &amp; DH$1, DataRegularSeason20242025!$D$3:$D$1315, $A25)+SUMIFS(DataRegularSeason20242025!$AB$3:$AB$1315,DataRegularSeason20242025!$B$3:$B$1315, "&lt;=" &amp; DH$1, DataRegularSeason20242025!$E$3:$E$1315, $A25)</f>
        <v>6</v>
      </c>
      <c r="DI25">
        <f>SUMIFS(DataRegularSeason20242025!$AA$3:$AA$1315,DataRegularSeason20242025!$B$3:$B$1315, "&lt;=" &amp; DI$1, DataRegularSeason20242025!$D$3:$D$1315, $A25)+SUMIFS(DataRegularSeason20242025!$AB$3:$AB$1315,DataRegularSeason20242025!$B$3:$B$1315, "&lt;=" &amp; DI$1, DataRegularSeason20242025!$E$3:$E$1315, $A25)</f>
        <v>6</v>
      </c>
      <c r="DJ25">
        <f>SUMIFS(DataRegularSeason20242025!$AA$3:$AA$1315,DataRegularSeason20242025!$B$3:$B$1315, "&lt;=" &amp; DJ$1, DataRegularSeason20242025!$D$3:$D$1315, $A25)+SUMIFS(DataRegularSeason20242025!$AB$3:$AB$1315,DataRegularSeason20242025!$B$3:$B$1315, "&lt;=" &amp; DJ$1, DataRegularSeason20242025!$E$3:$E$1315, $A25)</f>
        <v>6</v>
      </c>
      <c r="DK25">
        <f>SUMIFS(DataRegularSeason20242025!$AA$3:$AA$1315,DataRegularSeason20242025!$B$3:$B$1315, "&lt;=" &amp; DK$1, DataRegularSeason20242025!$D$3:$D$1315, $A25)+SUMIFS(DataRegularSeason20242025!$AB$3:$AB$1315,DataRegularSeason20242025!$B$3:$B$1315, "&lt;=" &amp; DK$1, DataRegularSeason20242025!$E$3:$E$1315, $A25)</f>
        <v>6</v>
      </c>
      <c r="DL25">
        <f>SUMIFS(DataRegularSeason20242025!$AA$3:$AA$1315,DataRegularSeason20242025!$B$3:$B$1315, "&lt;=" &amp; DL$1, DataRegularSeason20242025!$D$3:$D$1315, $A25)+SUMIFS(DataRegularSeason20242025!$AB$3:$AB$1315,DataRegularSeason20242025!$B$3:$B$1315, "&lt;=" &amp; DL$1, DataRegularSeason20242025!$E$3:$E$1315, $A25)</f>
        <v>6</v>
      </c>
      <c r="DM25">
        <f>SUMIFS(DataRegularSeason20242025!$AA$3:$AA$1315,DataRegularSeason20242025!$B$3:$B$1315, "&lt;=" &amp; DM$1, DataRegularSeason20242025!$D$3:$D$1315, $A25)+SUMIFS(DataRegularSeason20242025!$AB$3:$AB$1315,DataRegularSeason20242025!$B$3:$B$1315, "&lt;=" &amp; DM$1, DataRegularSeason20242025!$E$3:$E$1315, $A25)</f>
        <v>6</v>
      </c>
      <c r="DN25">
        <f>SUMIFS(DataRegularSeason20242025!$AA$3:$AA$1315,DataRegularSeason20242025!$B$3:$B$1315, "&lt;=" &amp; DN$1, DataRegularSeason20242025!$D$3:$D$1315, $A25)+SUMIFS(DataRegularSeason20242025!$AB$3:$AB$1315,DataRegularSeason20242025!$B$3:$B$1315, "&lt;=" &amp; DN$1, DataRegularSeason20242025!$E$3:$E$1315, $A25)</f>
        <v>6</v>
      </c>
      <c r="DO25">
        <f>SUMIFS(DataRegularSeason20242025!$AA$3:$AA$1315,DataRegularSeason20242025!$B$3:$B$1315, "&lt;=" &amp; DO$1, DataRegularSeason20242025!$D$3:$D$1315, $A25)+SUMIFS(DataRegularSeason20242025!$AB$3:$AB$1315,DataRegularSeason20242025!$B$3:$B$1315, "&lt;=" &amp; DO$1, DataRegularSeason20242025!$E$3:$E$1315, $A25)</f>
        <v>6</v>
      </c>
      <c r="DP25">
        <f>SUMIFS(DataRegularSeason20242025!$AA$3:$AA$1315,DataRegularSeason20242025!$B$3:$B$1315, "&lt;=" &amp; DP$1, DataRegularSeason20242025!$D$3:$D$1315, $A25)+SUMIFS(DataRegularSeason20242025!$AB$3:$AB$1315,DataRegularSeason20242025!$B$3:$B$1315, "&lt;=" &amp; DP$1, DataRegularSeason20242025!$E$3:$E$1315, $A25)</f>
        <v>6</v>
      </c>
      <c r="DQ25">
        <f>SUMIFS(DataRegularSeason20242025!$AA$3:$AA$1315,DataRegularSeason20242025!$B$3:$B$1315, "&lt;=" &amp; DQ$1, DataRegularSeason20242025!$D$3:$D$1315, $A25)+SUMIFS(DataRegularSeason20242025!$AB$3:$AB$1315,DataRegularSeason20242025!$B$3:$B$1315, "&lt;=" &amp; DQ$1, DataRegularSeason20242025!$E$3:$E$1315, $A25)</f>
        <v>6</v>
      </c>
      <c r="DR25">
        <f>SUMIFS(DataRegularSeason20242025!$AA$3:$AA$1315,DataRegularSeason20242025!$B$3:$B$1315, "&lt;=" &amp; DR$1, DataRegularSeason20242025!$D$3:$D$1315, $A25)+SUMIFS(DataRegularSeason20242025!$AB$3:$AB$1315,DataRegularSeason20242025!$B$3:$B$1315, "&lt;=" &amp; DR$1, DataRegularSeason20242025!$E$3:$E$1315, $A25)</f>
        <v>6</v>
      </c>
      <c r="DS25">
        <f>SUMIFS(DataRegularSeason20242025!$AA$3:$AA$1315,DataRegularSeason20242025!$B$3:$B$1315, "&lt;=" &amp; DS$1, DataRegularSeason20242025!$D$3:$D$1315, $A25)+SUMIFS(DataRegularSeason20242025!$AB$3:$AB$1315,DataRegularSeason20242025!$B$3:$B$1315, "&lt;=" &amp; DS$1, DataRegularSeason20242025!$E$3:$E$1315, $A25)</f>
        <v>6</v>
      </c>
      <c r="DT25">
        <f>SUMIFS(DataRegularSeason20242025!$AA$3:$AA$1315,DataRegularSeason20242025!$B$3:$B$1315, "&lt;=" &amp; DT$1, DataRegularSeason20242025!$D$3:$D$1315, $A25)+SUMIFS(DataRegularSeason20242025!$AB$3:$AB$1315,DataRegularSeason20242025!$B$3:$B$1315, "&lt;=" &amp; DT$1, DataRegularSeason20242025!$E$3:$E$1315, $A25)</f>
        <v>6</v>
      </c>
      <c r="DU25">
        <f>SUMIFS(DataRegularSeason20242025!$AA$3:$AA$1315,DataRegularSeason20242025!$B$3:$B$1315, "&lt;=" &amp; DU$1, DataRegularSeason20242025!$D$3:$D$1315, $A25)+SUMIFS(DataRegularSeason20242025!$AB$3:$AB$1315,DataRegularSeason20242025!$B$3:$B$1315, "&lt;=" &amp; DU$1, DataRegularSeason20242025!$E$3:$E$1315, $A25)</f>
        <v>6</v>
      </c>
      <c r="DV25">
        <f>SUMIFS(DataRegularSeason20242025!$AA$3:$AA$1315,DataRegularSeason20242025!$B$3:$B$1315, "&lt;=" &amp; DV$1, DataRegularSeason20242025!$D$3:$D$1315, $A25)+SUMIFS(DataRegularSeason20242025!$AB$3:$AB$1315,DataRegularSeason20242025!$B$3:$B$1315, "&lt;=" &amp; DV$1, DataRegularSeason20242025!$E$3:$E$1315, $A25)</f>
        <v>6</v>
      </c>
      <c r="DW25">
        <f>SUMIFS(DataRegularSeason20242025!$AA$3:$AA$1315,DataRegularSeason20242025!$B$3:$B$1315, "&lt;=" &amp; DW$1, DataRegularSeason20242025!$D$3:$D$1315, $A25)+SUMIFS(DataRegularSeason20242025!$AB$3:$AB$1315,DataRegularSeason20242025!$B$3:$B$1315, "&lt;=" &amp; DW$1, DataRegularSeason20242025!$E$3:$E$1315, $A25)</f>
        <v>6</v>
      </c>
      <c r="DX25">
        <f>SUMIFS(DataRegularSeason20242025!$AA$3:$AA$1315,DataRegularSeason20242025!$B$3:$B$1315, "&lt;=" &amp; DX$1, DataRegularSeason20242025!$D$3:$D$1315, $A25)+SUMIFS(DataRegularSeason20242025!$AB$3:$AB$1315,DataRegularSeason20242025!$B$3:$B$1315, "&lt;=" &amp; DX$1, DataRegularSeason20242025!$E$3:$E$1315, $A25)</f>
        <v>6</v>
      </c>
      <c r="DY25">
        <f>SUMIFS(DataRegularSeason20242025!$AA$3:$AA$1315,DataRegularSeason20242025!$B$3:$B$1315, "&lt;=" &amp; DY$1, DataRegularSeason20242025!$D$3:$D$1315, $A25)+SUMIFS(DataRegularSeason20242025!$AB$3:$AB$1315,DataRegularSeason20242025!$B$3:$B$1315, "&lt;=" &amp; DY$1, DataRegularSeason20242025!$E$3:$E$1315, $A25)</f>
        <v>6</v>
      </c>
      <c r="DZ25">
        <f>SUMIFS(DataRegularSeason20242025!$AA$3:$AA$1315,DataRegularSeason20242025!$B$3:$B$1315, "&lt;=" &amp; DZ$1, DataRegularSeason20242025!$D$3:$D$1315, $A25)+SUMIFS(DataRegularSeason20242025!$AB$3:$AB$1315,DataRegularSeason20242025!$B$3:$B$1315, "&lt;=" &amp; DZ$1, DataRegularSeason20242025!$E$3:$E$1315, $A25)</f>
        <v>6</v>
      </c>
      <c r="EA25">
        <f>SUMIFS(DataRegularSeason20242025!$AA$3:$AA$1315,DataRegularSeason20242025!$B$3:$B$1315, "&lt;=" &amp; EA$1, DataRegularSeason20242025!$D$3:$D$1315, $A25)+SUMIFS(DataRegularSeason20242025!$AB$3:$AB$1315,DataRegularSeason20242025!$B$3:$B$1315, "&lt;=" &amp; EA$1, DataRegularSeason20242025!$E$3:$E$1315, $A25)</f>
        <v>6</v>
      </c>
      <c r="EB25">
        <f>SUMIFS(DataRegularSeason20242025!$AA$3:$AA$1315,DataRegularSeason20242025!$B$3:$B$1315, "&lt;=" &amp; EB$1, DataRegularSeason20242025!$D$3:$D$1315, $A25)+SUMIFS(DataRegularSeason20242025!$AB$3:$AB$1315,DataRegularSeason20242025!$B$3:$B$1315, "&lt;=" &amp; EB$1, DataRegularSeason20242025!$E$3:$E$1315, $A25)</f>
        <v>6</v>
      </c>
      <c r="EC25">
        <f>SUMIFS(DataRegularSeason20242025!$AA$3:$AA$1315,DataRegularSeason20242025!$B$3:$B$1315, "&lt;=" &amp; EC$1, DataRegularSeason20242025!$D$3:$D$1315, $A25)+SUMIFS(DataRegularSeason20242025!$AB$3:$AB$1315,DataRegularSeason20242025!$B$3:$B$1315, "&lt;=" &amp; EC$1, DataRegularSeason20242025!$E$3:$E$1315, $A25)</f>
        <v>6</v>
      </c>
      <c r="ED25">
        <f>SUMIFS(DataRegularSeason20242025!$AA$3:$AA$1315,DataRegularSeason20242025!$B$3:$B$1315, "&lt;=" &amp; ED$1, DataRegularSeason20242025!$D$3:$D$1315, $A25)+SUMIFS(DataRegularSeason20242025!$AB$3:$AB$1315,DataRegularSeason20242025!$B$3:$B$1315, "&lt;=" &amp; ED$1, DataRegularSeason20242025!$E$3:$E$1315, $A25)</f>
        <v>6</v>
      </c>
      <c r="EE25">
        <f>SUMIFS(DataRegularSeason20242025!$AA$3:$AA$1315,DataRegularSeason20242025!$B$3:$B$1315, "&lt;=" &amp; EE$1, DataRegularSeason20242025!$D$3:$D$1315, $A25)+SUMIFS(DataRegularSeason20242025!$AB$3:$AB$1315,DataRegularSeason20242025!$B$3:$B$1315, "&lt;=" &amp; EE$1, DataRegularSeason20242025!$E$3:$E$1315, $A25)</f>
        <v>6</v>
      </c>
      <c r="EF25">
        <f>SUMIFS(DataRegularSeason20242025!$AA$3:$AA$1315,DataRegularSeason20242025!$B$3:$B$1315, "&lt;=" &amp; EF$1, DataRegularSeason20242025!$D$3:$D$1315, $A25)+SUMIFS(DataRegularSeason20242025!$AB$3:$AB$1315,DataRegularSeason20242025!$B$3:$B$1315, "&lt;=" &amp; EF$1, DataRegularSeason20242025!$E$3:$E$1315, $A25)</f>
        <v>6</v>
      </c>
      <c r="EG25">
        <f>SUMIFS(DataRegularSeason20242025!$AA$3:$AA$1315,DataRegularSeason20242025!$B$3:$B$1315, "&lt;=" &amp; EG$1, DataRegularSeason20242025!$D$3:$D$1315, $A25)+SUMIFS(DataRegularSeason20242025!$AB$3:$AB$1315,DataRegularSeason20242025!$B$3:$B$1315, "&lt;=" &amp; EG$1, DataRegularSeason20242025!$E$3:$E$1315, $A25)</f>
        <v>6</v>
      </c>
      <c r="EH25">
        <f>SUMIFS(DataRegularSeason20242025!$AA$3:$AA$1315,DataRegularSeason20242025!$B$3:$B$1315, "&lt;=" &amp; EH$1, DataRegularSeason20242025!$D$3:$D$1315, $A25)+SUMIFS(DataRegularSeason20242025!$AB$3:$AB$1315,DataRegularSeason20242025!$B$3:$B$1315, "&lt;=" &amp; EH$1, DataRegularSeason20242025!$E$3:$E$1315, $A25)</f>
        <v>6</v>
      </c>
      <c r="EI25">
        <f>SUMIFS(DataRegularSeason20242025!$AA$3:$AA$1315,DataRegularSeason20242025!$B$3:$B$1315, "&lt;=" &amp; EI$1, DataRegularSeason20242025!$D$3:$D$1315, $A25)+SUMIFS(DataRegularSeason20242025!$AB$3:$AB$1315,DataRegularSeason20242025!$B$3:$B$1315, "&lt;=" &amp; EI$1, DataRegularSeason20242025!$E$3:$E$1315, $A25)</f>
        <v>6</v>
      </c>
      <c r="EJ25">
        <f>SUMIFS(DataRegularSeason20242025!$AA$3:$AA$1315,DataRegularSeason20242025!$B$3:$B$1315, "&lt;=" &amp; EJ$1, DataRegularSeason20242025!$D$3:$D$1315, $A25)+SUMIFS(DataRegularSeason20242025!$AB$3:$AB$1315,DataRegularSeason20242025!$B$3:$B$1315, "&lt;=" &amp; EJ$1, DataRegularSeason20242025!$E$3:$E$1315, $A25)</f>
        <v>6</v>
      </c>
      <c r="EK25">
        <f>SUMIFS(DataRegularSeason20242025!$AA$3:$AA$1315,DataRegularSeason20242025!$B$3:$B$1315, "&lt;=" &amp; EK$1, DataRegularSeason20242025!$D$3:$D$1315, $A25)+SUMIFS(DataRegularSeason20242025!$AB$3:$AB$1315,DataRegularSeason20242025!$B$3:$B$1315, "&lt;=" &amp; EK$1, DataRegularSeason20242025!$E$3:$E$1315, $A25)</f>
        <v>6</v>
      </c>
      <c r="EL25">
        <f>SUMIFS(DataRegularSeason20242025!$AA$3:$AA$1315,DataRegularSeason20242025!$B$3:$B$1315, "&lt;=" &amp; EL$1, DataRegularSeason20242025!$D$3:$D$1315, $A25)+SUMIFS(DataRegularSeason20242025!$AB$3:$AB$1315,DataRegularSeason20242025!$B$3:$B$1315, "&lt;=" &amp; EL$1, DataRegularSeason20242025!$E$3:$E$1315, $A25)</f>
        <v>6</v>
      </c>
      <c r="EM25">
        <f>SUMIFS(DataRegularSeason20242025!$AA$3:$AA$1315,DataRegularSeason20242025!$B$3:$B$1315, "&lt;=" &amp; EM$1, DataRegularSeason20242025!$D$3:$D$1315, $A25)+SUMIFS(DataRegularSeason20242025!$AB$3:$AB$1315,DataRegularSeason20242025!$B$3:$B$1315, "&lt;=" &amp; EM$1, DataRegularSeason20242025!$E$3:$E$1315, $A25)</f>
        <v>6</v>
      </c>
      <c r="EN25">
        <f>SUMIFS(DataRegularSeason20242025!$AA$3:$AA$1315,DataRegularSeason20242025!$B$3:$B$1315, "&lt;=" &amp; EN$1, DataRegularSeason20242025!$D$3:$D$1315, $A25)+SUMIFS(DataRegularSeason20242025!$AB$3:$AB$1315,DataRegularSeason20242025!$B$3:$B$1315, "&lt;=" &amp; EN$1, DataRegularSeason20242025!$E$3:$E$1315, $A25)</f>
        <v>6</v>
      </c>
      <c r="EO25">
        <f>SUMIFS(DataRegularSeason20242025!$AA$3:$AA$1315,DataRegularSeason20242025!$B$3:$B$1315, "&lt;=" &amp; EO$1, DataRegularSeason20242025!$D$3:$D$1315, $A25)+SUMIFS(DataRegularSeason20242025!$AB$3:$AB$1315,DataRegularSeason20242025!$B$3:$B$1315, "&lt;=" &amp; EO$1, DataRegularSeason20242025!$E$3:$E$1315, $A25)</f>
        <v>6</v>
      </c>
      <c r="EP25">
        <f>SUMIFS(DataRegularSeason20242025!$AA$3:$AA$1315,DataRegularSeason20242025!$B$3:$B$1315, "&lt;=" &amp; EP$1, DataRegularSeason20242025!$D$3:$D$1315, $A25)+SUMIFS(DataRegularSeason20242025!$AB$3:$AB$1315,DataRegularSeason20242025!$B$3:$B$1315, "&lt;=" &amp; EP$1, DataRegularSeason20242025!$E$3:$E$1315, $A25)</f>
        <v>6</v>
      </c>
      <c r="EQ25">
        <f>SUMIFS(DataRegularSeason20242025!$AA$3:$AA$1315,DataRegularSeason20242025!$B$3:$B$1315, "&lt;=" &amp; EQ$1, DataRegularSeason20242025!$D$3:$D$1315, $A25)+SUMIFS(DataRegularSeason20242025!$AB$3:$AB$1315,DataRegularSeason20242025!$B$3:$B$1315, "&lt;=" &amp; EQ$1, DataRegularSeason20242025!$E$3:$E$1315, $A25)</f>
        <v>6</v>
      </c>
      <c r="ER25">
        <f>SUMIFS(DataRegularSeason20242025!$AA$3:$AA$1315,DataRegularSeason20242025!$B$3:$B$1315, "&lt;=" &amp; ER$1, DataRegularSeason20242025!$D$3:$D$1315, $A25)+SUMIFS(DataRegularSeason20242025!$AB$3:$AB$1315,DataRegularSeason20242025!$B$3:$B$1315, "&lt;=" &amp; ER$1, DataRegularSeason20242025!$E$3:$E$1315, $A25)</f>
        <v>6</v>
      </c>
      <c r="ES25">
        <f>SUMIFS(DataRegularSeason20242025!$AA$3:$AA$1315,DataRegularSeason20242025!$B$3:$B$1315, "&lt;=" &amp; ES$1, DataRegularSeason20242025!$D$3:$D$1315, $A25)+SUMIFS(DataRegularSeason20242025!$AB$3:$AB$1315,DataRegularSeason20242025!$B$3:$B$1315, "&lt;=" &amp; ES$1, DataRegularSeason20242025!$E$3:$E$1315, $A25)</f>
        <v>6</v>
      </c>
      <c r="ET25">
        <f>SUMIFS(DataRegularSeason20242025!$AA$3:$AA$1315,DataRegularSeason20242025!$B$3:$B$1315, "&lt;=" &amp; ET$1, DataRegularSeason20242025!$D$3:$D$1315, $A25)+SUMIFS(DataRegularSeason20242025!$AB$3:$AB$1315,DataRegularSeason20242025!$B$3:$B$1315, "&lt;=" &amp; ET$1, DataRegularSeason20242025!$E$3:$E$1315, $A25)</f>
        <v>6</v>
      </c>
      <c r="EU25">
        <f>SUMIFS(DataRegularSeason20242025!$AA$3:$AA$1315,DataRegularSeason20242025!$B$3:$B$1315, "&lt;=" &amp; EU$1, DataRegularSeason20242025!$D$3:$D$1315, $A25)+SUMIFS(DataRegularSeason20242025!$AB$3:$AB$1315,DataRegularSeason20242025!$B$3:$B$1315, "&lt;=" &amp; EU$1, DataRegularSeason20242025!$E$3:$E$1315, $A25)</f>
        <v>6</v>
      </c>
      <c r="EV25">
        <f>SUMIFS(DataRegularSeason20242025!$AA$3:$AA$1315,DataRegularSeason20242025!$B$3:$B$1315, "&lt;=" &amp; EV$1, DataRegularSeason20242025!$D$3:$D$1315, $A25)+SUMIFS(DataRegularSeason20242025!$AB$3:$AB$1315,DataRegularSeason20242025!$B$3:$B$1315, "&lt;=" &amp; EV$1, DataRegularSeason20242025!$E$3:$E$1315, $A25)</f>
        <v>6</v>
      </c>
      <c r="EW25">
        <f>SUMIFS(DataRegularSeason20242025!$AA$3:$AA$1315,DataRegularSeason20242025!$B$3:$B$1315, "&lt;=" &amp; EW$1, DataRegularSeason20242025!$D$3:$D$1315, $A25)+SUMIFS(DataRegularSeason20242025!$AB$3:$AB$1315,DataRegularSeason20242025!$B$3:$B$1315, "&lt;=" &amp; EW$1, DataRegularSeason20242025!$E$3:$E$1315, $A25)</f>
        <v>6</v>
      </c>
      <c r="EX25">
        <f>SUMIFS(DataRegularSeason20242025!$AA$3:$AA$1315,DataRegularSeason20242025!$B$3:$B$1315, "&lt;=" &amp; EX$1, DataRegularSeason20242025!$D$3:$D$1315, $A25)+SUMIFS(DataRegularSeason20242025!$AB$3:$AB$1315,DataRegularSeason20242025!$B$3:$B$1315, "&lt;=" &amp; EX$1, DataRegularSeason20242025!$E$3:$E$1315, $A25)</f>
        <v>6</v>
      </c>
      <c r="EY25">
        <f>SUMIFS(DataRegularSeason20242025!$AA$3:$AA$1315,DataRegularSeason20242025!$B$3:$B$1315, "&lt;=" &amp; EY$1, DataRegularSeason20242025!$D$3:$D$1315, $A25)+SUMIFS(DataRegularSeason20242025!$AB$3:$AB$1315,DataRegularSeason20242025!$B$3:$B$1315, "&lt;=" &amp; EY$1, DataRegularSeason20242025!$E$3:$E$1315, $A25)</f>
        <v>6</v>
      </c>
      <c r="EZ25">
        <f>SUMIFS(DataRegularSeason20242025!$AA$3:$AA$1315,DataRegularSeason20242025!$B$3:$B$1315, "&lt;=" &amp; EZ$1, DataRegularSeason20242025!$D$3:$D$1315, $A25)+SUMIFS(DataRegularSeason20242025!$AB$3:$AB$1315,DataRegularSeason20242025!$B$3:$B$1315, "&lt;=" &amp; EZ$1, DataRegularSeason20242025!$E$3:$E$1315, $A25)</f>
        <v>6</v>
      </c>
      <c r="FA25">
        <f>SUMIFS(DataRegularSeason20242025!$AA$3:$AA$1315,DataRegularSeason20242025!$B$3:$B$1315, "&lt;=" &amp; FA$1, DataRegularSeason20242025!$D$3:$D$1315, $A25)+SUMIFS(DataRegularSeason20242025!$AB$3:$AB$1315,DataRegularSeason20242025!$B$3:$B$1315, "&lt;=" &amp; FA$1, DataRegularSeason20242025!$E$3:$E$1315, $A25)</f>
        <v>6</v>
      </c>
      <c r="FB25">
        <f>SUMIFS(DataRegularSeason20242025!$AA$3:$AA$1315,DataRegularSeason20242025!$B$3:$B$1315, "&lt;=" &amp; FB$1, DataRegularSeason20242025!$D$3:$D$1315, $A25)+SUMIFS(DataRegularSeason20242025!$AB$3:$AB$1315,DataRegularSeason20242025!$B$3:$B$1315, "&lt;=" &amp; FB$1, DataRegularSeason20242025!$E$3:$E$1315, $A25)</f>
        <v>6</v>
      </c>
      <c r="FC25">
        <f>SUMIFS(DataRegularSeason20242025!$AA$3:$AA$1315,DataRegularSeason20242025!$B$3:$B$1315, "&lt;=" &amp; FC$1, DataRegularSeason20242025!$D$3:$D$1315, $A25)+SUMIFS(DataRegularSeason20242025!$AB$3:$AB$1315,DataRegularSeason20242025!$B$3:$B$1315, "&lt;=" &amp; FC$1, DataRegularSeason20242025!$E$3:$E$1315, $A25)</f>
        <v>6</v>
      </c>
      <c r="FD25">
        <f>SUMIFS(DataRegularSeason20242025!$AA$3:$AA$1315,DataRegularSeason20242025!$B$3:$B$1315, "&lt;=" &amp; FD$1, DataRegularSeason20242025!$D$3:$D$1315, $A25)+SUMIFS(DataRegularSeason20242025!$AB$3:$AB$1315,DataRegularSeason20242025!$B$3:$B$1315, "&lt;=" &amp; FD$1, DataRegularSeason20242025!$E$3:$E$1315, $A25)</f>
        <v>6</v>
      </c>
      <c r="FE25">
        <f>SUMIFS(DataRegularSeason20242025!$AA$3:$AA$1315,DataRegularSeason20242025!$B$3:$B$1315, "&lt;=" &amp; FE$1, DataRegularSeason20242025!$D$3:$D$1315, $A25)+SUMIFS(DataRegularSeason20242025!$AB$3:$AB$1315,DataRegularSeason20242025!$B$3:$B$1315, "&lt;=" &amp; FE$1, DataRegularSeason20242025!$E$3:$E$1315, $A25)</f>
        <v>6</v>
      </c>
      <c r="FF25">
        <f>SUMIFS(DataRegularSeason20242025!$AA$3:$AA$1315,DataRegularSeason20242025!$B$3:$B$1315, "&lt;=" &amp; FF$1, DataRegularSeason20242025!$D$3:$D$1315, $A25)+SUMIFS(DataRegularSeason20242025!$AB$3:$AB$1315,DataRegularSeason20242025!$B$3:$B$1315, "&lt;=" &amp; FF$1, DataRegularSeason20242025!$E$3:$E$1315, $A25)</f>
        <v>6</v>
      </c>
      <c r="FG25">
        <f>SUMIFS(DataRegularSeason20242025!$AA$3:$AA$1315,DataRegularSeason20242025!$B$3:$B$1315, "&lt;=" &amp; FG$1, DataRegularSeason20242025!$D$3:$D$1315, $A25)+SUMIFS(DataRegularSeason20242025!$AB$3:$AB$1315,DataRegularSeason20242025!$B$3:$B$1315, "&lt;=" &amp; FG$1, DataRegularSeason20242025!$E$3:$E$1315, $A25)</f>
        <v>6</v>
      </c>
      <c r="FH25">
        <f>SUMIFS(DataRegularSeason20242025!$AA$3:$AA$1315,DataRegularSeason20242025!$B$3:$B$1315, "&lt;=" &amp; FH$1, DataRegularSeason20242025!$D$3:$D$1315, $A25)+SUMIFS(DataRegularSeason20242025!$AB$3:$AB$1315,DataRegularSeason20242025!$B$3:$B$1315, "&lt;=" &amp; FH$1, DataRegularSeason20242025!$E$3:$E$1315, $A25)</f>
        <v>6</v>
      </c>
      <c r="FI25">
        <f>SUMIFS(DataRegularSeason20242025!$AA$3:$AA$1315,DataRegularSeason20242025!$B$3:$B$1315, "&lt;=" &amp; FI$1, DataRegularSeason20242025!$D$3:$D$1315, $A25)+SUMIFS(DataRegularSeason20242025!$AB$3:$AB$1315,DataRegularSeason20242025!$B$3:$B$1315, "&lt;=" &amp; FI$1, DataRegularSeason20242025!$E$3:$E$1315, $A25)</f>
        <v>6</v>
      </c>
      <c r="FJ25">
        <f>SUMIFS(DataRegularSeason20242025!$AA$3:$AA$1315,DataRegularSeason20242025!$B$3:$B$1315, "&lt;=" &amp; FJ$1, DataRegularSeason20242025!$D$3:$D$1315, $A25)+SUMIFS(DataRegularSeason20242025!$AB$3:$AB$1315,DataRegularSeason20242025!$B$3:$B$1315, "&lt;=" &amp; FJ$1, DataRegularSeason20242025!$E$3:$E$1315, $A25)</f>
        <v>6</v>
      </c>
      <c r="FK25">
        <f>SUMIFS(DataRegularSeason20242025!$AA$3:$AA$1315,DataRegularSeason20242025!$B$3:$B$1315, "&lt;=" &amp; FK$1, DataRegularSeason20242025!$D$3:$D$1315, $A25)+SUMIFS(DataRegularSeason20242025!$AB$3:$AB$1315,DataRegularSeason20242025!$B$3:$B$1315, "&lt;=" &amp; FK$1, DataRegularSeason20242025!$E$3:$E$1315, $A25)</f>
        <v>6</v>
      </c>
      <c r="FL25">
        <f>SUMIFS(DataRegularSeason20242025!$AA$3:$AA$1315,DataRegularSeason20242025!$B$3:$B$1315, "&lt;=" &amp; FL$1, DataRegularSeason20242025!$D$3:$D$1315, $A25)+SUMIFS(DataRegularSeason20242025!$AB$3:$AB$1315,DataRegularSeason20242025!$B$3:$B$1315, "&lt;=" &amp; FL$1, DataRegularSeason20242025!$E$3:$E$1315, $A25)</f>
        <v>6</v>
      </c>
      <c r="FM25">
        <f>SUMIFS(DataRegularSeason20242025!$AA$3:$AA$1315,DataRegularSeason20242025!$B$3:$B$1315, "&lt;=" &amp; FM$1, DataRegularSeason20242025!$D$3:$D$1315, $A25)+SUMIFS(DataRegularSeason20242025!$AB$3:$AB$1315,DataRegularSeason20242025!$B$3:$B$1315, "&lt;=" &amp; FM$1, DataRegularSeason20242025!$E$3:$E$1315, $A25)</f>
        <v>6</v>
      </c>
      <c r="FN25">
        <f>SUMIFS(DataRegularSeason20242025!$AA$3:$AA$1315,DataRegularSeason20242025!$B$3:$B$1315, "&lt;=" &amp; FN$1, DataRegularSeason20242025!$D$3:$D$1315, $A25)+SUMIFS(DataRegularSeason20242025!$AB$3:$AB$1315,DataRegularSeason20242025!$B$3:$B$1315, "&lt;=" &amp; FN$1, DataRegularSeason20242025!$E$3:$E$1315, $A25)</f>
        <v>6</v>
      </c>
      <c r="FO25">
        <f>SUMIFS(DataRegularSeason20242025!$AA$3:$AA$1315,DataRegularSeason20242025!$B$3:$B$1315, "&lt;=" &amp; FO$1, DataRegularSeason20242025!$D$3:$D$1315, $A25)+SUMIFS(DataRegularSeason20242025!$AB$3:$AB$1315,DataRegularSeason20242025!$B$3:$B$1315, "&lt;=" &amp; FO$1, DataRegularSeason20242025!$E$3:$E$1315, $A25)</f>
        <v>6</v>
      </c>
      <c r="FP25">
        <f>SUMIFS(DataRegularSeason20242025!$AA$3:$AA$1315,DataRegularSeason20242025!$B$3:$B$1315, "&lt;=" &amp; FP$1, DataRegularSeason20242025!$D$3:$D$1315, $A25)+SUMIFS(DataRegularSeason20242025!$AB$3:$AB$1315,DataRegularSeason20242025!$B$3:$B$1315, "&lt;=" &amp; FP$1, DataRegularSeason20242025!$E$3:$E$1315, $A25)</f>
        <v>6</v>
      </c>
      <c r="FQ25">
        <f>SUMIFS(DataRegularSeason20242025!$AA$3:$AA$1315,DataRegularSeason20242025!$B$3:$B$1315, "&lt;=" &amp; FQ$1, DataRegularSeason20242025!$D$3:$D$1315, $A25)+SUMIFS(DataRegularSeason20242025!$AB$3:$AB$1315,DataRegularSeason20242025!$B$3:$B$1315, "&lt;=" &amp; FQ$1, DataRegularSeason20242025!$E$3:$E$1315, $A25)</f>
        <v>6</v>
      </c>
      <c r="FR25">
        <f>SUMIFS(DataRegularSeason20242025!$AA$3:$AA$1315,DataRegularSeason20242025!$B$3:$B$1315, "&lt;=" &amp; FR$1, DataRegularSeason20242025!$D$3:$D$1315, $A25)+SUMIFS(DataRegularSeason20242025!$AB$3:$AB$1315,DataRegularSeason20242025!$B$3:$B$1315, "&lt;=" &amp; FR$1, DataRegularSeason20242025!$E$3:$E$1315, $A25)</f>
        <v>6</v>
      </c>
      <c r="FS25">
        <f>SUMIFS(DataRegularSeason20242025!$AA$3:$AA$1315,DataRegularSeason20242025!$B$3:$B$1315, "&lt;=" &amp; FS$1, DataRegularSeason20242025!$D$3:$D$1315, $A25)+SUMIFS(DataRegularSeason20242025!$AB$3:$AB$1315,DataRegularSeason20242025!$B$3:$B$1315, "&lt;=" &amp; FS$1, DataRegularSeason20242025!$E$3:$E$1315, $A25)</f>
        <v>6</v>
      </c>
      <c r="FT25">
        <f>SUMIFS(DataRegularSeason20242025!$AA$3:$AA$1315,DataRegularSeason20242025!$B$3:$B$1315, "&lt;=" &amp; FT$1, DataRegularSeason20242025!$D$3:$D$1315, $A25)+SUMIFS(DataRegularSeason20242025!$AB$3:$AB$1315,DataRegularSeason20242025!$B$3:$B$1315, "&lt;=" &amp; FT$1, DataRegularSeason20242025!$E$3:$E$1315, $A25)</f>
        <v>6</v>
      </c>
      <c r="FU25">
        <f>SUMIFS(DataRegularSeason20242025!$AA$3:$AA$1315,DataRegularSeason20242025!$B$3:$B$1315, "&lt;=" &amp; FU$1, DataRegularSeason20242025!$D$3:$D$1315, $A25)+SUMIFS(DataRegularSeason20242025!$AB$3:$AB$1315,DataRegularSeason20242025!$B$3:$B$1315, "&lt;=" &amp; FU$1, DataRegularSeason20242025!$E$3:$E$1315, $A25)</f>
        <v>6</v>
      </c>
      <c r="FV25">
        <f>SUMIFS(DataRegularSeason20242025!$AA$3:$AA$1315,DataRegularSeason20242025!$B$3:$B$1315, "&lt;=" &amp; FV$1, DataRegularSeason20242025!$D$3:$D$1315, $A25)+SUMIFS(DataRegularSeason20242025!$AB$3:$AB$1315,DataRegularSeason20242025!$B$3:$B$1315, "&lt;=" &amp; FV$1, DataRegularSeason20242025!$E$3:$E$1315, $A25)</f>
        <v>6</v>
      </c>
      <c r="FW25">
        <f>SUMIFS(DataRegularSeason20242025!$AA$3:$AA$1315,DataRegularSeason20242025!$B$3:$B$1315, "&lt;=" &amp; FW$1, DataRegularSeason20242025!$D$3:$D$1315, $A25)+SUMIFS(DataRegularSeason20242025!$AB$3:$AB$1315,DataRegularSeason20242025!$B$3:$B$1315, "&lt;=" &amp; FW$1, DataRegularSeason20242025!$E$3:$E$1315, $A25)</f>
        <v>6</v>
      </c>
      <c r="FX25">
        <f>SUMIFS(DataRegularSeason20242025!$AA$3:$AA$1315,DataRegularSeason20242025!$B$3:$B$1315, "&lt;=" &amp; FX$1, DataRegularSeason20242025!$D$3:$D$1315, $A25)+SUMIFS(DataRegularSeason20242025!$AB$3:$AB$1315,DataRegularSeason20242025!$B$3:$B$1315, "&lt;=" &amp; FX$1, DataRegularSeason20242025!$E$3:$E$1315, $A25)</f>
        <v>6</v>
      </c>
      <c r="FY25">
        <f>SUMIFS(DataRegularSeason20242025!$AA$3:$AA$1315,DataRegularSeason20242025!$B$3:$B$1315, "&lt;=" &amp; FY$1, DataRegularSeason20242025!$D$3:$D$1315, $A25)+SUMIFS(DataRegularSeason20242025!$AB$3:$AB$1315,DataRegularSeason20242025!$B$3:$B$1315, "&lt;=" &amp; FY$1, DataRegularSeason20242025!$E$3:$E$1315, $A25)</f>
        <v>6</v>
      </c>
      <c r="FZ25">
        <f>SUMIFS(DataRegularSeason20242025!$AA$3:$AA$1315,DataRegularSeason20242025!$B$3:$B$1315, "&lt;=" &amp; FZ$1, DataRegularSeason20242025!$D$3:$D$1315, $A25)+SUMIFS(DataRegularSeason20242025!$AB$3:$AB$1315,DataRegularSeason20242025!$B$3:$B$1315, "&lt;=" &amp; FZ$1, DataRegularSeason20242025!$E$3:$E$1315, $A25)</f>
        <v>6</v>
      </c>
      <c r="GA25">
        <f>SUMIFS(DataRegularSeason20242025!$AA$3:$AA$1315,DataRegularSeason20242025!$B$3:$B$1315, "&lt;=" &amp; GA$1, DataRegularSeason20242025!$D$3:$D$1315, $A25)+SUMIFS(DataRegularSeason20242025!$AB$3:$AB$1315,DataRegularSeason20242025!$B$3:$B$1315, "&lt;=" &amp; GA$1, DataRegularSeason20242025!$E$3:$E$1315, $A25)</f>
        <v>6</v>
      </c>
      <c r="GB25">
        <f>SUMIFS(DataRegularSeason20242025!$AA$3:$AA$1315,DataRegularSeason20242025!$B$3:$B$1315, "&lt;=" &amp; GB$1, DataRegularSeason20242025!$D$3:$D$1315, $A25)+SUMIFS(DataRegularSeason20242025!$AB$3:$AB$1315,DataRegularSeason20242025!$B$3:$B$1315, "&lt;=" &amp; GB$1, DataRegularSeason20242025!$E$3:$E$1315, $A25)</f>
        <v>6</v>
      </c>
      <c r="GC25">
        <f>SUMIFS(DataRegularSeason20242025!$AA$3:$AA$1315,DataRegularSeason20242025!$B$3:$B$1315, "&lt;=" &amp; GC$1, DataRegularSeason20242025!$D$3:$D$1315, $A25)+SUMIFS(DataRegularSeason20242025!$AB$3:$AB$1315,DataRegularSeason20242025!$B$3:$B$1315, "&lt;=" &amp; GC$1, DataRegularSeason20242025!$E$3:$E$1315, $A25)</f>
        <v>6</v>
      </c>
      <c r="GD25">
        <f>SUMIFS(DataRegularSeason20242025!$AA$3:$AA$1315,DataRegularSeason20242025!$B$3:$B$1315, "&lt;=" &amp; GD$1, DataRegularSeason20242025!$D$3:$D$1315, $A25)+SUMIFS(DataRegularSeason20242025!$AB$3:$AB$1315,DataRegularSeason20242025!$B$3:$B$1315, "&lt;=" &amp; GD$1, DataRegularSeason20242025!$E$3:$E$1315, $A25)</f>
        <v>6</v>
      </c>
      <c r="GE25">
        <f>SUMIFS(DataRegularSeason20242025!$AA$3:$AA$1315,DataRegularSeason20242025!$B$3:$B$1315, "&lt;=" &amp; GE$1, DataRegularSeason20242025!$D$3:$D$1315, $A25)+SUMIFS(DataRegularSeason20242025!$AB$3:$AB$1315,DataRegularSeason20242025!$B$3:$B$1315, "&lt;=" &amp; GE$1, DataRegularSeason20242025!$E$3:$E$1315, $A25)</f>
        <v>6</v>
      </c>
      <c r="GF25">
        <f>SUMIFS(DataRegularSeason20242025!$AA$3:$AA$1315,DataRegularSeason20242025!$B$3:$B$1315, "&lt;=" &amp; GF$1, DataRegularSeason20242025!$D$3:$D$1315, $A25)+SUMIFS(DataRegularSeason20242025!$AB$3:$AB$1315,DataRegularSeason20242025!$B$3:$B$1315, "&lt;=" &amp; GF$1, DataRegularSeason20242025!$E$3:$E$1315, $A25)</f>
        <v>6</v>
      </c>
      <c r="GG25">
        <f>SUMIFS(DataRegularSeason20242025!$AA$3:$AA$1315,DataRegularSeason20242025!$B$3:$B$1315, "&lt;=" &amp; GG$1, DataRegularSeason20242025!$D$3:$D$1315, $A25)+SUMIFS(DataRegularSeason20242025!$AB$3:$AB$1315,DataRegularSeason20242025!$B$3:$B$1315, "&lt;=" &amp; GG$1, DataRegularSeason20242025!$E$3:$E$1315, $A25)</f>
        <v>6</v>
      </c>
      <c r="GH25">
        <f>SUMIFS(DataRegularSeason20242025!$AA$3:$AA$1315,DataRegularSeason20242025!$B$3:$B$1315, "&lt;=" &amp; GH$1, DataRegularSeason20242025!$D$3:$D$1315, $A25)+SUMIFS(DataRegularSeason20242025!$AB$3:$AB$1315,DataRegularSeason20242025!$B$3:$B$1315, "&lt;=" &amp; GH$1, DataRegularSeason20242025!$E$3:$E$1315, $A25)</f>
        <v>6</v>
      </c>
      <c r="GI25">
        <f>SUMIFS(DataRegularSeason20242025!$AA$3:$AA$1315,DataRegularSeason20242025!$B$3:$B$1315, "&lt;=" &amp; GI$1, DataRegularSeason20242025!$D$3:$D$1315, $A25)+SUMIFS(DataRegularSeason20242025!$AB$3:$AB$1315,DataRegularSeason20242025!$B$3:$B$1315, "&lt;=" &amp; GI$1, DataRegularSeason20242025!$E$3:$E$1315, $A25)</f>
        <v>6</v>
      </c>
      <c r="GJ25">
        <f>SUMIFS(DataRegularSeason20242025!$AA$3:$AA$1315,DataRegularSeason20242025!$B$3:$B$1315, "&lt;=" &amp; GJ$1, DataRegularSeason20242025!$D$3:$D$1315, $A25)+SUMIFS(DataRegularSeason20242025!$AB$3:$AB$1315,DataRegularSeason20242025!$B$3:$B$1315, "&lt;=" &amp; GJ$1, DataRegularSeason20242025!$E$3:$E$1315, $A25)</f>
        <v>6</v>
      </c>
      <c r="GK25">
        <f>SUMIFS(DataRegularSeason20242025!$AA$3:$AA$1315,DataRegularSeason20242025!$B$3:$B$1315, "&lt;=" &amp; GK$1, DataRegularSeason20242025!$D$3:$D$1315, $A25)+SUMIFS(DataRegularSeason20242025!$AB$3:$AB$1315,DataRegularSeason20242025!$B$3:$B$1315, "&lt;=" &amp; GK$1, DataRegularSeason20242025!$E$3:$E$1315, $A25)</f>
        <v>6</v>
      </c>
      <c r="GL25">
        <f>SUMIFS(DataRegularSeason20242025!$AA$3:$AA$1315,DataRegularSeason20242025!$B$3:$B$1315, "&lt;=" &amp; GL$1, DataRegularSeason20242025!$D$3:$D$1315, $A25)+SUMIFS(DataRegularSeason20242025!$AB$3:$AB$1315,DataRegularSeason20242025!$B$3:$B$1315, "&lt;=" &amp; GL$1, DataRegularSeason20242025!$E$3:$E$1315, $A25)</f>
        <v>6</v>
      </c>
      <c r="GM25">
        <f>SUMIFS(DataRegularSeason20242025!$AA$3:$AA$1315,DataRegularSeason20242025!$B$3:$B$1315, "&lt;=" &amp; GM$1, DataRegularSeason20242025!$D$3:$D$1315, $A25)+SUMIFS(DataRegularSeason20242025!$AB$3:$AB$1315,DataRegularSeason20242025!$B$3:$B$1315, "&lt;=" &amp; GM$1, DataRegularSeason20242025!$E$3:$E$1315, $A25)</f>
        <v>6</v>
      </c>
      <c r="GN25">
        <f>SUMIFS(DataRegularSeason20242025!$AA$3:$AA$1315,DataRegularSeason20242025!$B$3:$B$1315, "&lt;=" &amp; GN$1, DataRegularSeason20242025!$D$3:$D$1315, $A25)+SUMIFS(DataRegularSeason20242025!$AB$3:$AB$1315,DataRegularSeason20242025!$B$3:$B$1315, "&lt;=" &amp; GN$1, DataRegularSeason20242025!$E$3:$E$1315, $A25)</f>
        <v>6</v>
      </c>
      <c r="GO25">
        <f>SUMIFS(DataRegularSeason20242025!$AA$3:$AA$1315,DataRegularSeason20242025!$B$3:$B$1315, "&lt;=" &amp; GO$1, DataRegularSeason20242025!$D$3:$D$1315, $A25)+SUMIFS(DataRegularSeason20242025!$AB$3:$AB$1315,DataRegularSeason20242025!$B$3:$B$1315, "&lt;=" &amp; GO$1, DataRegularSeason20242025!$E$3:$E$1315, $A25)</f>
        <v>6</v>
      </c>
      <c r="GP25">
        <f>SUMIFS(DataRegularSeason20242025!$AA$3:$AA$1315,DataRegularSeason20242025!$B$3:$B$1315, "&lt;=" &amp; GP$1, DataRegularSeason20242025!$D$3:$D$1315, $A25)+SUMIFS(DataRegularSeason20242025!$AB$3:$AB$1315,DataRegularSeason20242025!$B$3:$B$1315, "&lt;=" &amp; GP$1, DataRegularSeason20242025!$E$3:$E$1315, $A25)</f>
        <v>6</v>
      </c>
      <c r="GQ25">
        <f>SUMIFS(DataRegularSeason20242025!$AA$3:$AA$1315,DataRegularSeason20242025!$B$3:$B$1315, "&lt;=" &amp; GQ$1, DataRegularSeason20242025!$D$3:$D$1315, $A25)+SUMIFS(DataRegularSeason20242025!$AB$3:$AB$1315,DataRegularSeason20242025!$B$3:$B$1315, "&lt;=" &amp; GQ$1, DataRegularSeason20242025!$E$3:$E$1315, $A25)</f>
        <v>6</v>
      </c>
      <c r="GR25">
        <f>SUMIFS(DataRegularSeason20242025!$AA$3:$AA$1315,DataRegularSeason20242025!$B$3:$B$1315, "&lt;=" &amp; GR$1, DataRegularSeason20242025!$D$3:$D$1315, $A25)+SUMIFS(DataRegularSeason20242025!$AB$3:$AB$1315,DataRegularSeason20242025!$B$3:$B$1315, "&lt;=" &amp; GR$1, DataRegularSeason20242025!$E$3:$E$1315, $A25)</f>
        <v>6</v>
      </c>
      <c r="GS25">
        <f>SUMIFS(DataRegularSeason20242025!$AA$3:$AA$1315,DataRegularSeason20242025!$B$3:$B$1315, "&lt;=" &amp; GS$1, DataRegularSeason20242025!$D$3:$D$1315, $A25)+SUMIFS(DataRegularSeason20242025!$AB$3:$AB$1315,DataRegularSeason20242025!$B$3:$B$1315, "&lt;=" &amp; GS$1, DataRegularSeason20242025!$E$3:$E$1315, $A25)</f>
        <v>6</v>
      </c>
      <c r="GT25">
        <f>SUMIFS(DataRegularSeason20242025!$AA$3:$AA$1315,DataRegularSeason20242025!$B$3:$B$1315, "&lt;=" &amp; GT$1, DataRegularSeason20242025!$D$3:$D$1315, $A25)+SUMIFS(DataRegularSeason20242025!$AB$3:$AB$1315,DataRegularSeason20242025!$B$3:$B$1315, "&lt;=" &amp; GT$1, DataRegularSeason20242025!$E$3:$E$1315, $A25)</f>
        <v>6</v>
      </c>
      <c r="GU25">
        <f>SUMIFS(DataRegularSeason20242025!$AA$3:$AA$1315,DataRegularSeason20242025!$B$3:$B$1315, "&lt;=" &amp; GU$1, DataRegularSeason20242025!$D$3:$D$1315, $A25)+SUMIFS(DataRegularSeason20242025!$AB$3:$AB$1315,DataRegularSeason20242025!$B$3:$B$1315, "&lt;=" &amp; GU$1, DataRegularSeason20242025!$E$3:$E$1315, $A25)</f>
        <v>6</v>
      </c>
    </row>
    <row r="26" spans="1:203" x14ac:dyDescent="0.25">
      <c r="A26" t="s">
        <v>26</v>
      </c>
      <c r="B26" t="s">
        <v>90</v>
      </c>
      <c r="C26" s="108" t="s">
        <v>93</v>
      </c>
      <c r="D26">
        <f>SUMIFS(DataRegularSeason20242025!$AA$3:$AA$1315,DataRegularSeason20242025!$B$3:$B$1315, "&lt;=" &amp; D$1, DataRegularSeason20242025!$D$3:$D$1315, $A26)+SUMIFS(DataRegularSeason20242025!$AB$3:$AB$1315,DataRegularSeason20242025!$B$3:$B$1315, "&lt;=" &amp; D$1, DataRegularSeason20242025!$E$3:$E$1315, $A26)</f>
        <v>0</v>
      </c>
      <c r="E26">
        <f>SUMIFS(DataRegularSeason20242025!$AA$3:$AA$1315,DataRegularSeason20242025!$B$3:$B$1315, "&lt;=" &amp; E$1, DataRegularSeason20242025!$D$3:$D$1315, $A26)+SUMIFS(DataRegularSeason20242025!$AB$3:$AB$1315,DataRegularSeason20242025!$B$3:$B$1315, "&lt;=" &amp; E$1, DataRegularSeason20242025!$E$3:$E$1315, $A26)</f>
        <v>0</v>
      </c>
      <c r="F26">
        <f>SUMIFS(DataRegularSeason20242025!$AA$3:$AA$1315,DataRegularSeason20242025!$B$3:$B$1315, "&lt;=" &amp; F$1, DataRegularSeason20242025!$D$3:$D$1315, $A26)+SUMIFS(DataRegularSeason20242025!$AB$3:$AB$1315,DataRegularSeason20242025!$B$3:$B$1315, "&lt;=" &amp; F$1, DataRegularSeason20242025!$E$3:$E$1315, $A26)</f>
        <v>0</v>
      </c>
      <c r="G26">
        <f>SUMIFS(DataRegularSeason20242025!$AA$3:$AA$1315,DataRegularSeason20242025!$B$3:$B$1315, "&lt;=" &amp; G$1, DataRegularSeason20242025!$D$3:$D$1315, $A26)+SUMIFS(DataRegularSeason20242025!$AB$3:$AB$1315,DataRegularSeason20242025!$B$3:$B$1315, "&lt;=" &amp; G$1, DataRegularSeason20242025!$E$3:$E$1315, $A26)</f>
        <v>0</v>
      </c>
      <c r="H26">
        <f>SUMIFS(DataRegularSeason20242025!$AA$3:$AA$1315,DataRegularSeason20242025!$B$3:$B$1315, "&lt;=" &amp; H$1, DataRegularSeason20242025!$D$3:$D$1315, $A26)+SUMIFS(DataRegularSeason20242025!$AB$3:$AB$1315,DataRegularSeason20242025!$B$3:$B$1315, "&lt;=" &amp; H$1, DataRegularSeason20242025!$E$3:$E$1315, $A26)</f>
        <v>0</v>
      </c>
      <c r="I26">
        <f>SUMIFS(DataRegularSeason20242025!$AA$3:$AA$1315,DataRegularSeason20242025!$B$3:$B$1315, "&lt;=" &amp; I$1, DataRegularSeason20242025!$D$3:$D$1315, $A26)+SUMIFS(DataRegularSeason20242025!$AB$3:$AB$1315,DataRegularSeason20242025!$B$3:$B$1315, "&lt;=" &amp; I$1, DataRegularSeason20242025!$E$3:$E$1315, $A26)</f>
        <v>1</v>
      </c>
      <c r="J26">
        <f>SUMIFS(DataRegularSeason20242025!$AA$3:$AA$1315,DataRegularSeason20242025!$B$3:$B$1315, "&lt;=" &amp; J$1, DataRegularSeason20242025!$D$3:$D$1315, $A26)+SUMIFS(DataRegularSeason20242025!$AB$3:$AB$1315,DataRegularSeason20242025!$B$3:$B$1315, "&lt;=" &amp; J$1, DataRegularSeason20242025!$E$3:$E$1315, $A26)</f>
        <v>3</v>
      </c>
      <c r="K26">
        <f>SUMIFS(DataRegularSeason20242025!$AA$3:$AA$1315,DataRegularSeason20242025!$B$3:$B$1315, "&lt;=" &amp; K$1, DataRegularSeason20242025!$D$3:$D$1315, $A26)+SUMIFS(DataRegularSeason20242025!$AB$3:$AB$1315,DataRegularSeason20242025!$B$3:$B$1315, "&lt;=" &amp; K$1, DataRegularSeason20242025!$E$3:$E$1315, $A26)</f>
        <v>3</v>
      </c>
      <c r="L26">
        <f>SUMIFS(DataRegularSeason20242025!$AA$3:$AA$1315,DataRegularSeason20242025!$B$3:$B$1315, "&lt;=" &amp; L$1, DataRegularSeason20242025!$D$3:$D$1315, $A26)+SUMIFS(DataRegularSeason20242025!$AB$3:$AB$1315,DataRegularSeason20242025!$B$3:$B$1315, "&lt;=" &amp; L$1, DataRegularSeason20242025!$E$3:$E$1315, $A26)</f>
        <v>4</v>
      </c>
      <c r="M26">
        <f>SUMIFS(DataRegularSeason20242025!$AA$3:$AA$1315,DataRegularSeason20242025!$B$3:$B$1315, "&lt;=" &amp; M$1, DataRegularSeason20242025!$D$3:$D$1315, $A26)+SUMIFS(DataRegularSeason20242025!$AB$3:$AB$1315,DataRegularSeason20242025!$B$3:$B$1315, "&lt;=" &amp; M$1, DataRegularSeason20242025!$E$3:$E$1315, $A26)</f>
        <v>4</v>
      </c>
      <c r="N26">
        <f>SUMIFS(DataRegularSeason20242025!$AA$3:$AA$1315,DataRegularSeason20242025!$B$3:$B$1315, "&lt;=" &amp; N$1, DataRegularSeason20242025!$D$3:$D$1315, $A26)+SUMIFS(DataRegularSeason20242025!$AB$3:$AB$1315,DataRegularSeason20242025!$B$3:$B$1315, "&lt;=" &amp; N$1, DataRegularSeason20242025!$E$3:$E$1315, $A26)</f>
        <v>4</v>
      </c>
      <c r="O26">
        <f>SUMIFS(DataRegularSeason20242025!$AA$3:$AA$1315,DataRegularSeason20242025!$B$3:$B$1315, "&lt;=" &amp; O$1, DataRegularSeason20242025!$D$3:$D$1315, $A26)+SUMIFS(DataRegularSeason20242025!$AB$3:$AB$1315,DataRegularSeason20242025!$B$3:$B$1315, "&lt;=" &amp; O$1, DataRegularSeason20242025!$E$3:$E$1315, $A26)</f>
        <v>6</v>
      </c>
      <c r="P26">
        <f>SUMIFS(DataRegularSeason20242025!$AA$3:$AA$1315,DataRegularSeason20242025!$B$3:$B$1315, "&lt;=" &amp; P$1, DataRegularSeason20242025!$D$3:$D$1315, $A26)+SUMIFS(DataRegularSeason20242025!$AB$3:$AB$1315,DataRegularSeason20242025!$B$3:$B$1315, "&lt;=" &amp; P$1, DataRegularSeason20242025!$E$3:$E$1315, $A26)</f>
        <v>6</v>
      </c>
      <c r="Q26">
        <f>SUMIFS(DataRegularSeason20242025!$AA$3:$AA$1315,DataRegularSeason20242025!$B$3:$B$1315, "&lt;=" &amp; Q$1, DataRegularSeason20242025!$D$3:$D$1315, $A26)+SUMIFS(DataRegularSeason20242025!$AB$3:$AB$1315,DataRegularSeason20242025!$B$3:$B$1315, "&lt;=" &amp; Q$1, DataRegularSeason20242025!$E$3:$E$1315, $A26)</f>
        <v>8</v>
      </c>
      <c r="R26">
        <f>SUMIFS(DataRegularSeason20242025!$AA$3:$AA$1315,DataRegularSeason20242025!$B$3:$B$1315, "&lt;=" &amp; R$1, DataRegularSeason20242025!$D$3:$D$1315, $A26)+SUMIFS(DataRegularSeason20242025!$AB$3:$AB$1315,DataRegularSeason20242025!$B$3:$B$1315, "&lt;=" &amp; R$1, DataRegularSeason20242025!$E$3:$E$1315, $A26)</f>
        <v>8</v>
      </c>
      <c r="S26">
        <f>SUMIFS(DataRegularSeason20242025!$AA$3:$AA$1315,DataRegularSeason20242025!$B$3:$B$1315, "&lt;=" &amp; S$1, DataRegularSeason20242025!$D$3:$D$1315, $A26)+SUMIFS(DataRegularSeason20242025!$AB$3:$AB$1315,DataRegularSeason20242025!$B$3:$B$1315, "&lt;=" &amp; S$1, DataRegularSeason20242025!$E$3:$E$1315, $A26)</f>
        <v>10</v>
      </c>
      <c r="T26">
        <f>SUMIFS(DataRegularSeason20242025!$AA$3:$AA$1315,DataRegularSeason20242025!$B$3:$B$1315, "&lt;=" &amp; T$1, DataRegularSeason20242025!$D$3:$D$1315, $A26)+SUMIFS(DataRegularSeason20242025!$AB$3:$AB$1315,DataRegularSeason20242025!$B$3:$B$1315, "&lt;=" &amp; T$1, DataRegularSeason20242025!$E$3:$E$1315, $A26)</f>
        <v>10</v>
      </c>
      <c r="U26">
        <f>SUMIFS(DataRegularSeason20242025!$AA$3:$AA$1315,DataRegularSeason20242025!$B$3:$B$1315, "&lt;=" &amp; U$1, DataRegularSeason20242025!$D$3:$D$1315, $A26)+SUMIFS(DataRegularSeason20242025!$AB$3:$AB$1315,DataRegularSeason20242025!$B$3:$B$1315, "&lt;=" &amp; U$1, DataRegularSeason20242025!$E$3:$E$1315, $A26)</f>
        <v>12</v>
      </c>
      <c r="V26">
        <f>SUMIFS(DataRegularSeason20242025!$AA$3:$AA$1315,DataRegularSeason20242025!$B$3:$B$1315, "&lt;=" &amp; V$1, DataRegularSeason20242025!$D$3:$D$1315, $A26)+SUMIFS(DataRegularSeason20242025!$AB$3:$AB$1315,DataRegularSeason20242025!$B$3:$B$1315, "&lt;=" &amp; V$1, DataRegularSeason20242025!$E$3:$E$1315, $A26)</f>
        <v>12</v>
      </c>
      <c r="W26">
        <f>SUMIFS(DataRegularSeason20242025!$AA$3:$AA$1315,DataRegularSeason20242025!$B$3:$B$1315, "&lt;=" &amp; W$1, DataRegularSeason20242025!$D$3:$D$1315, $A26)+SUMIFS(DataRegularSeason20242025!$AB$3:$AB$1315,DataRegularSeason20242025!$B$3:$B$1315, "&lt;=" &amp; W$1, DataRegularSeason20242025!$E$3:$E$1315, $A26)</f>
        <v>12</v>
      </c>
      <c r="X26">
        <f>SUMIFS(DataRegularSeason20242025!$AA$3:$AA$1315,DataRegularSeason20242025!$B$3:$B$1315, "&lt;=" &amp; X$1, DataRegularSeason20242025!$D$3:$D$1315, $A26)+SUMIFS(DataRegularSeason20242025!$AB$3:$AB$1315,DataRegularSeason20242025!$B$3:$B$1315, "&lt;=" &amp; X$1, DataRegularSeason20242025!$E$3:$E$1315, $A26)</f>
        <v>12</v>
      </c>
      <c r="Y26">
        <f>SUMIFS(DataRegularSeason20242025!$AA$3:$AA$1315,DataRegularSeason20242025!$B$3:$B$1315, "&lt;=" &amp; Y$1, DataRegularSeason20242025!$D$3:$D$1315, $A26)+SUMIFS(DataRegularSeason20242025!$AB$3:$AB$1315,DataRegularSeason20242025!$B$3:$B$1315, "&lt;=" &amp; Y$1, DataRegularSeason20242025!$E$3:$E$1315, $A26)</f>
        <v>12</v>
      </c>
      <c r="Z26">
        <f>SUMIFS(DataRegularSeason20242025!$AA$3:$AA$1315,DataRegularSeason20242025!$B$3:$B$1315, "&lt;=" &amp; Z$1, DataRegularSeason20242025!$D$3:$D$1315, $A26)+SUMIFS(DataRegularSeason20242025!$AB$3:$AB$1315,DataRegularSeason20242025!$B$3:$B$1315, "&lt;=" &amp; Z$1, DataRegularSeason20242025!$E$3:$E$1315, $A26)</f>
        <v>12</v>
      </c>
      <c r="AA26">
        <f>SUMIFS(DataRegularSeason20242025!$AA$3:$AA$1315,DataRegularSeason20242025!$B$3:$B$1315, "&lt;=" &amp; AA$1, DataRegularSeason20242025!$D$3:$D$1315, $A26)+SUMIFS(DataRegularSeason20242025!$AB$3:$AB$1315,DataRegularSeason20242025!$B$3:$B$1315, "&lt;=" &amp; AA$1, DataRegularSeason20242025!$E$3:$E$1315, $A26)</f>
        <v>12</v>
      </c>
      <c r="AB26">
        <f>SUMIFS(DataRegularSeason20242025!$AA$3:$AA$1315,DataRegularSeason20242025!$B$3:$B$1315, "&lt;=" &amp; AB$1, DataRegularSeason20242025!$D$3:$D$1315, $A26)+SUMIFS(DataRegularSeason20242025!$AB$3:$AB$1315,DataRegularSeason20242025!$B$3:$B$1315, "&lt;=" &amp; AB$1, DataRegularSeason20242025!$E$3:$E$1315, $A26)</f>
        <v>12</v>
      </c>
      <c r="AC26">
        <f>SUMIFS(DataRegularSeason20242025!$AA$3:$AA$1315,DataRegularSeason20242025!$B$3:$B$1315, "&lt;=" &amp; AC$1, DataRegularSeason20242025!$D$3:$D$1315, $A26)+SUMIFS(DataRegularSeason20242025!$AB$3:$AB$1315,DataRegularSeason20242025!$B$3:$B$1315, "&lt;=" &amp; AC$1, DataRegularSeason20242025!$E$3:$E$1315, $A26)</f>
        <v>12</v>
      </c>
      <c r="AD26">
        <f>SUMIFS(DataRegularSeason20242025!$AA$3:$AA$1315,DataRegularSeason20242025!$B$3:$B$1315, "&lt;=" &amp; AD$1, DataRegularSeason20242025!$D$3:$D$1315, $A26)+SUMIFS(DataRegularSeason20242025!$AB$3:$AB$1315,DataRegularSeason20242025!$B$3:$B$1315, "&lt;=" &amp; AD$1, DataRegularSeason20242025!$E$3:$E$1315, $A26)</f>
        <v>12</v>
      </c>
      <c r="AE26">
        <f>SUMIFS(DataRegularSeason20242025!$AA$3:$AA$1315,DataRegularSeason20242025!$B$3:$B$1315, "&lt;=" &amp; AE$1, DataRegularSeason20242025!$D$3:$D$1315, $A26)+SUMIFS(DataRegularSeason20242025!$AB$3:$AB$1315,DataRegularSeason20242025!$B$3:$B$1315, "&lt;=" &amp; AE$1, DataRegularSeason20242025!$E$3:$E$1315, $A26)</f>
        <v>12</v>
      </c>
      <c r="AF26">
        <f>SUMIFS(DataRegularSeason20242025!$AA$3:$AA$1315,DataRegularSeason20242025!$B$3:$B$1315, "&lt;=" &amp; AF$1, DataRegularSeason20242025!$D$3:$D$1315, $A26)+SUMIFS(DataRegularSeason20242025!$AB$3:$AB$1315,DataRegularSeason20242025!$B$3:$B$1315, "&lt;=" &amp; AF$1, DataRegularSeason20242025!$E$3:$E$1315, $A26)</f>
        <v>12</v>
      </c>
      <c r="AG26">
        <f>SUMIFS(DataRegularSeason20242025!$AA$3:$AA$1315,DataRegularSeason20242025!$B$3:$B$1315, "&lt;=" &amp; AG$1, DataRegularSeason20242025!$D$3:$D$1315, $A26)+SUMIFS(DataRegularSeason20242025!$AB$3:$AB$1315,DataRegularSeason20242025!$B$3:$B$1315, "&lt;=" &amp; AG$1, DataRegularSeason20242025!$E$3:$E$1315, $A26)</f>
        <v>12</v>
      </c>
      <c r="AH26">
        <f>SUMIFS(DataRegularSeason20242025!$AA$3:$AA$1315,DataRegularSeason20242025!$B$3:$B$1315, "&lt;=" &amp; AH$1, DataRegularSeason20242025!$D$3:$D$1315, $A26)+SUMIFS(DataRegularSeason20242025!$AB$3:$AB$1315,DataRegularSeason20242025!$B$3:$B$1315, "&lt;=" &amp; AH$1, DataRegularSeason20242025!$E$3:$E$1315, $A26)</f>
        <v>12</v>
      </c>
      <c r="AI26">
        <f>SUMIFS(DataRegularSeason20242025!$AA$3:$AA$1315,DataRegularSeason20242025!$B$3:$B$1315, "&lt;=" &amp; AI$1, DataRegularSeason20242025!$D$3:$D$1315, $A26)+SUMIFS(DataRegularSeason20242025!$AB$3:$AB$1315,DataRegularSeason20242025!$B$3:$B$1315, "&lt;=" &amp; AI$1, DataRegularSeason20242025!$E$3:$E$1315, $A26)</f>
        <v>12</v>
      </c>
      <c r="AJ26">
        <f>SUMIFS(DataRegularSeason20242025!$AA$3:$AA$1315,DataRegularSeason20242025!$B$3:$B$1315, "&lt;=" &amp; AJ$1, DataRegularSeason20242025!$D$3:$D$1315, $A26)+SUMIFS(DataRegularSeason20242025!$AB$3:$AB$1315,DataRegularSeason20242025!$B$3:$B$1315, "&lt;=" &amp; AJ$1, DataRegularSeason20242025!$E$3:$E$1315, $A26)</f>
        <v>12</v>
      </c>
      <c r="AK26">
        <f>SUMIFS(DataRegularSeason20242025!$AA$3:$AA$1315,DataRegularSeason20242025!$B$3:$B$1315, "&lt;=" &amp; AK$1, DataRegularSeason20242025!$D$3:$D$1315, $A26)+SUMIFS(DataRegularSeason20242025!$AB$3:$AB$1315,DataRegularSeason20242025!$B$3:$B$1315, "&lt;=" &amp; AK$1, DataRegularSeason20242025!$E$3:$E$1315, $A26)</f>
        <v>12</v>
      </c>
      <c r="AL26">
        <f>SUMIFS(DataRegularSeason20242025!$AA$3:$AA$1315,DataRegularSeason20242025!$B$3:$B$1315, "&lt;=" &amp; AL$1, DataRegularSeason20242025!$D$3:$D$1315, $A26)+SUMIFS(DataRegularSeason20242025!$AB$3:$AB$1315,DataRegularSeason20242025!$B$3:$B$1315, "&lt;=" &amp; AL$1, DataRegularSeason20242025!$E$3:$E$1315, $A26)</f>
        <v>12</v>
      </c>
      <c r="AM26">
        <f>SUMIFS(DataRegularSeason20242025!$AA$3:$AA$1315,DataRegularSeason20242025!$B$3:$B$1315, "&lt;=" &amp; AM$1, DataRegularSeason20242025!$D$3:$D$1315, $A26)+SUMIFS(DataRegularSeason20242025!$AB$3:$AB$1315,DataRegularSeason20242025!$B$3:$B$1315, "&lt;=" &amp; AM$1, DataRegularSeason20242025!$E$3:$E$1315, $A26)</f>
        <v>12</v>
      </c>
      <c r="AN26">
        <f>SUMIFS(DataRegularSeason20242025!$AA$3:$AA$1315,DataRegularSeason20242025!$B$3:$B$1315, "&lt;=" &amp; AN$1, DataRegularSeason20242025!$D$3:$D$1315, $A26)+SUMIFS(DataRegularSeason20242025!$AB$3:$AB$1315,DataRegularSeason20242025!$B$3:$B$1315, "&lt;=" &amp; AN$1, DataRegularSeason20242025!$E$3:$E$1315, $A26)</f>
        <v>12</v>
      </c>
      <c r="AO26">
        <f>SUMIFS(DataRegularSeason20242025!$AA$3:$AA$1315,DataRegularSeason20242025!$B$3:$B$1315, "&lt;=" &amp; AO$1, DataRegularSeason20242025!$D$3:$D$1315, $A26)+SUMIFS(DataRegularSeason20242025!$AB$3:$AB$1315,DataRegularSeason20242025!$B$3:$B$1315, "&lt;=" &amp; AO$1, DataRegularSeason20242025!$E$3:$E$1315, $A26)</f>
        <v>12</v>
      </c>
      <c r="AP26">
        <f>SUMIFS(DataRegularSeason20242025!$AA$3:$AA$1315,DataRegularSeason20242025!$B$3:$B$1315, "&lt;=" &amp; AP$1, DataRegularSeason20242025!$D$3:$D$1315, $A26)+SUMIFS(DataRegularSeason20242025!$AB$3:$AB$1315,DataRegularSeason20242025!$B$3:$B$1315, "&lt;=" &amp; AP$1, DataRegularSeason20242025!$E$3:$E$1315, $A26)</f>
        <v>12</v>
      </c>
      <c r="AQ26">
        <f>SUMIFS(DataRegularSeason20242025!$AA$3:$AA$1315,DataRegularSeason20242025!$B$3:$B$1315, "&lt;=" &amp; AQ$1, DataRegularSeason20242025!$D$3:$D$1315, $A26)+SUMIFS(DataRegularSeason20242025!$AB$3:$AB$1315,DataRegularSeason20242025!$B$3:$B$1315, "&lt;=" &amp; AQ$1, DataRegularSeason20242025!$E$3:$E$1315, $A26)</f>
        <v>12</v>
      </c>
      <c r="AR26">
        <f>SUMIFS(DataRegularSeason20242025!$AA$3:$AA$1315,DataRegularSeason20242025!$B$3:$B$1315, "&lt;=" &amp; AR$1, DataRegularSeason20242025!$D$3:$D$1315, $A26)+SUMIFS(DataRegularSeason20242025!$AB$3:$AB$1315,DataRegularSeason20242025!$B$3:$B$1315, "&lt;=" &amp; AR$1, DataRegularSeason20242025!$E$3:$E$1315, $A26)</f>
        <v>12</v>
      </c>
      <c r="AS26">
        <f>SUMIFS(DataRegularSeason20242025!$AA$3:$AA$1315,DataRegularSeason20242025!$B$3:$B$1315, "&lt;=" &amp; AS$1, DataRegularSeason20242025!$D$3:$D$1315, $A26)+SUMIFS(DataRegularSeason20242025!$AB$3:$AB$1315,DataRegularSeason20242025!$B$3:$B$1315, "&lt;=" &amp; AS$1, DataRegularSeason20242025!$E$3:$E$1315, $A26)</f>
        <v>12</v>
      </c>
      <c r="AT26">
        <f>SUMIFS(DataRegularSeason20242025!$AA$3:$AA$1315,DataRegularSeason20242025!$B$3:$B$1315, "&lt;=" &amp; AT$1, DataRegularSeason20242025!$D$3:$D$1315, $A26)+SUMIFS(DataRegularSeason20242025!$AB$3:$AB$1315,DataRegularSeason20242025!$B$3:$B$1315, "&lt;=" &amp; AT$1, DataRegularSeason20242025!$E$3:$E$1315, $A26)</f>
        <v>12</v>
      </c>
      <c r="AU26">
        <f>SUMIFS(DataRegularSeason20242025!$AA$3:$AA$1315,DataRegularSeason20242025!$B$3:$B$1315, "&lt;=" &amp; AU$1, DataRegularSeason20242025!$D$3:$D$1315, $A26)+SUMIFS(DataRegularSeason20242025!$AB$3:$AB$1315,DataRegularSeason20242025!$B$3:$B$1315, "&lt;=" &amp; AU$1, DataRegularSeason20242025!$E$3:$E$1315, $A26)</f>
        <v>12</v>
      </c>
      <c r="AV26">
        <f>SUMIFS(DataRegularSeason20242025!$AA$3:$AA$1315,DataRegularSeason20242025!$B$3:$B$1315, "&lt;=" &amp; AV$1, DataRegularSeason20242025!$D$3:$D$1315, $A26)+SUMIFS(DataRegularSeason20242025!$AB$3:$AB$1315,DataRegularSeason20242025!$B$3:$B$1315, "&lt;=" &amp; AV$1, DataRegularSeason20242025!$E$3:$E$1315, $A26)</f>
        <v>12</v>
      </c>
      <c r="AW26">
        <f>SUMIFS(DataRegularSeason20242025!$AA$3:$AA$1315,DataRegularSeason20242025!$B$3:$B$1315, "&lt;=" &amp; AW$1, DataRegularSeason20242025!$D$3:$D$1315, $A26)+SUMIFS(DataRegularSeason20242025!$AB$3:$AB$1315,DataRegularSeason20242025!$B$3:$B$1315, "&lt;=" &amp; AW$1, DataRegularSeason20242025!$E$3:$E$1315, $A26)</f>
        <v>12</v>
      </c>
      <c r="AX26">
        <f>SUMIFS(DataRegularSeason20242025!$AA$3:$AA$1315,DataRegularSeason20242025!$B$3:$B$1315, "&lt;=" &amp; AX$1, DataRegularSeason20242025!$D$3:$D$1315, $A26)+SUMIFS(DataRegularSeason20242025!$AB$3:$AB$1315,DataRegularSeason20242025!$B$3:$B$1315, "&lt;=" &amp; AX$1, DataRegularSeason20242025!$E$3:$E$1315, $A26)</f>
        <v>12</v>
      </c>
      <c r="AY26">
        <f>SUMIFS(DataRegularSeason20242025!$AA$3:$AA$1315,DataRegularSeason20242025!$B$3:$B$1315, "&lt;=" &amp; AY$1, DataRegularSeason20242025!$D$3:$D$1315, $A26)+SUMIFS(DataRegularSeason20242025!$AB$3:$AB$1315,DataRegularSeason20242025!$B$3:$B$1315, "&lt;=" &amp; AY$1, DataRegularSeason20242025!$E$3:$E$1315, $A26)</f>
        <v>12</v>
      </c>
      <c r="AZ26">
        <f>SUMIFS(DataRegularSeason20242025!$AA$3:$AA$1315,DataRegularSeason20242025!$B$3:$B$1315, "&lt;=" &amp; AZ$1, DataRegularSeason20242025!$D$3:$D$1315, $A26)+SUMIFS(DataRegularSeason20242025!$AB$3:$AB$1315,DataRegularSeason20242025!$B$3:$B$1315, "&lt;=" &amp; AZ$1, DataRegularSeason20242025!$E$3:$E$1315, $A26)</f>
        <v>12</v>
      </c>
      <c r="BA26">
        <f>SUMIFS(DataRegularSeason20242025!$AA$3:$AA$1315,DataRegularSeason20242025!$B$3:$B$1315, "&lt;=" &amp; BA$1, DataRegularSeason20242025!$D$3:$D$1315, $A26)+SUMIFS(DataRegularSeason20242025!$AB$3:$AB$1315,DataRegularSeason20242025!$B$3:$B$1315, "&lt;=" &amp; BA$1, DataRegularSeason20242025!$E$3:$E$1315, $A26)</f>
        <v>12</v>
      </c>
      <c r="BB26">
        <f>SUMIFS(DataRegularSeason20242025!$AA$3:$AA$1315,DataRegularSeason20242025!$B$3:$B$1315, "&lt;=" &amp; BB$1, DataRegularSeason20242025!$D$3:$D$1315, $A26)+SUMIFS(DataRegularSeason20242025!$AB$3:$AB$1315,DataRegularSeason20242025!$B$3:$B$1315, "&lt;=" &amp; BB$1, DataRegularSeason20242025!$E$3:$E$1315, $A26)</f>
        <v>12</v>
      </c>
      <c r="BC26">
        <f>SUMIFS(DataRegularSeason20242025!$AA$3:$AA$1315,DataRegularSeason20242025!$B$3:$B$1315, "&lt;=" &amp; BC$1, DataRegularSeason20242025!$D$3:$D$1315, $A26)+SUMIFS(DataRegularSeason20242025!$AB$3:$AB$1315,DataRegularSeason20242025!$B$3:$B$1315, "&lt;=" &amp; BC$1, DataRegularSeason20242025!$E$3:$E$1315, $A26)</f>
        <v>12</v>
      </c>
      <c r="BD26">
        <f>SUMIFS(DataRegularSeason20242025!$AA$3:$AA$1315,DataRegularSeason20242025!$B$3:$B$1315, "&lt;=" &amp; BD$1, DataRegularSeason20242025!$D$3:$D$1315, $A26)+SUMIFS(DataRegularSeason20242025!$AB$3:$AB$1315,DataRegularSeason20242025!$B$3:$B$1315, "&lt;=" &amp; BD$1, DataRegularSeason20242025!$E$3:$E$1315, $A26)</f>
        <v>12</v>
      </c>
      <c r="BE26">
        <f>SUMIFS(DataRegularSeason20242025!$AA$3:$AA$1315,DataRegularSeason20242025!$B$3:$B$1315, "&lt;=" &amp; BE$1, DataRegularSeason20242025!$D$3:$D$1315, $A26)+SUMIFS(DataRegularSeason20242025!$AB$3:$AB$1315,DataRegularSeason20242025!$B$3:$B$1315, "&lt;=" &amp; BE$1, DataRegularSeason20242025!$E$3:$E$1315, $A26)</f>
        <v>12</v>
      </c>
      <c r="BF26">
        <f>SUMIFS(DataRegularSeason20242025!$AA$3:$AA$1315,DataRegularSeason20242025!$B$3:$B$1315, "&lt;=" &amp; BF$1, DataRegularSeason20242025!$D$3:$D$1315, $A26)+SUMIFS(DataRegularSeason20242025!$AB$3:$AB$1315,DataRegularSeason20242025!$B$3:$B$1315, "&lt;=" &amp; BF$1, DataRegularSeason20242025!$E$3:$E$1315, $A26)</f>
        <v>12</v>
      </c>
      <c r="BG26">
        <f>SUMIFS(DataRegularSeason20242025!$AA$3:$AA$1315,DataRegularSeason20242025!$B$3:$B$1315, "&lt;=" &amp; BG$1, DataRegularSeason20242025!$D$3:$D$1315, $A26)+SUMIFS(DataRegularSeason20242025!$AB$3:$AB$1315,DataRegularSeason20242025!$B$3:$B$1315, "&lt;=" &amp; BG$1, DataRegularSeason20242025!$E$3:$E$1315, $A26)</f>
        <v>12</v>
      </c>
      <c r="BH26">
        <f>SUMIFS(DataRegularSeason20242025!$AA$3:$AA$1315,DataRegularSeason20242025!$B$3:$B$1315, "&lt;=" &amp; BH$1, DataRegularSeason20242025!$D$3:$D$1315, $A26)+SUMIFS(DataRegularSeason20242025!$AB$3:$AB$1315,DataRegularSeason20242025!$B$3:$B$1315, "&lt;=" &amp; BH$1, DataRegularSeason20242025!$E$3:$E$1315, $A26)</f>
        <v>12</v>
      </c>
      <c r="BI26">
        <f>SUMIFS(DataRegularSeason20242025!$AA$3:$AA$1315,DataRegularSeason20242025!$B$3:$B$1315, "&lt;=" &amp; BI$1, DataRegularSeason20242025!$D$3:$D$1315, $A26)+SUMIFS(DataRegularSeason20242025!$AB$3:$AB$1315,DataRegularSeason20242025!$B$3:$B$1315, "&lt;=" &amp; BI$1, DataRegularSeason20242025!$E$3:$E$1315, $A26)</f>
        <v>12</v>
      </c>
      <c r="BJ26">
        <f>SUMIFS(DataRegularSeason20242025!$AA$3:$AA$1315,DataRegularSeason20242025!$B$3:$B$1315, "&lt;=" &amp; BJ$1, DataRegularSeason20242025!$D$3:$D$1315, $A26)+SUMIFS(DataRegularSeason20242025!$AB$3:$AB$1315,DataRegularSeason20242025!$B$3:$B$1315, "&lt;=" &amp; BJ$1, DataRegularSeason20242025!$E$3:$E$1315, $A26)</f>
        <v>12</v>
      </c>
      <c r="BK26">
        <f>SUMIFS(DataRegularSeason20242025!$AA$3:$AA$1315,DataRegularSeason20242025!$B$3:$B$1315, "&lt;=" &amp; BK$1, DataRegularSeason20242025!$D$3:$D$1315, $A26)+SUMIFS(DataRegularSeason20242025!$AB$3:$AB$1315,DataRegularSeason20242025!$B$3:$B$1315, "&lt;=" &amp; BK$1, DataRegularSeason20242025!$E$3:$E$1315, $A26)</f>
        <v>12</v>
      </c>
      <c r="BL26">
        <f>SUMIFS(DataRegularSeason20242025!$AA$3:$AA$1315,DataRegularSeason20242025!$B$3:$B$1315, "&lt;=" &amp; BL$1, DataRegularSeason20242025!$D$3:$D$1315, $A26)+SUMIFS(DataRegularSeason20242025!$AB$3:$AB$1315,DataRegularSeason20242025!$B$3:$B$1315, "&lt;=" &amp; BL$1, DataRegularSeason20242025!$E$3:$E$1315, $A26)</f>
        <v>12</v>
      </c>
      <c r="BM26">
        <f>SUMIFS(DataRegularSeason20242025!$AA$3:$AA$1315,DataRegularSeason20242025!$B$3:$B$1315, "&lt;=" &amp; BM$1, DataRegularSeason20242025!$D$3:$D$1315, $A26)+SUMIFS(DataRegularSeason20242025!$AB$3:$AB$1315,DataRegularSeason20242025!$B$3:$B$1315, "&lt;=" &amp; BM$1, DataRegularSeason20242025!$E$3:$E$1315, $A26)</f>
        <v>12</v>
      </c>
      <c r="BN26">
        <f>SUMIFS(DataRegularSeason20242025!$AA$3:$AA$1315,DataRegularSeason20242025!$B$3:$B$1315, "&lt;=" &amp; BN$1, DataRegularSeason20242025!$D$3:$D$1315, $A26)+SUMIFS(DataRegularSeason20242025!$AB$3:$AB$1315,DataRegularSeason20242025!$B$3:$B$1315, "&lt;=" &amp; BN$1, DataRegularSeason20242025!$E$3:$E$1315, $A26)</f>
        <v>12</v>
      </c>
      <c r="BO26">
        <f>SUMIFS(DataRegularSeason20242025!$AA$3:$AA$1315,DataRegularSeason20242025!$B$3:$B$1315, "&lt;=" &amp; BO$1, DataRegularSeason20242025!$D$3:$D$1315, $A26)+SUMIFS(DataRegularSeason20242025!$AB$3:$AB$1315,DataRegularSeason20242025!$B$3:$B$1315, "&lt;=" &amp; BO$1, DataRegularSeason20242025!$E$3:$E$1315, $A26)</f>
        <v>12</v>
      </c>
      <c r="BP26">
        <f>SUMIFS(DataRegularSeason20242025!$AA$3:$AA$1315,DataRegularSeason20242025!$B$3:$B$1315, "&lt;=" &amp; BP$1, DataRegularSeason20242025!$D$3:$D$1315, $A26)+SUMIFS(DataRegularSeason20242025!$AB$3:$AB$1315,DataRegularSeason20242025!$B$3:$B$1315, "&lt;=" &amp; BP$1, DataRegularSeason20242025!$E$3:$E$1315, $A26)</f>
        <v>12</v>
      </c>
      <c r="BQ26">
        <f>SUMIFS(DataRegularSeason20242025!$AA$3:$AA$1315,DataRegularSeason20242025!$B$3:$B$1315, "&lt;=" &amp; BQ$1, DataRegularSeason20242025!$D$3:$D$1315, $A26)+SUMIFS(DataRegularSeason20242025!$AB$3:$AB$1315,DataRegularSeason20242025!$B$3:$B$1315, "&lt;=" &amp; BQ$1, DataRegularSeason20242025!$E$3:$E$1315, $A26)</f>
        <v>12</v>
      </c>
      <c r="BR26">
        <f>SUMIFS(DataRegularSeason20242025!$AA$3:$AA$1315,DataRegularSeason20242025!$B$3:$B$1315, "&lt;=" &amp; BR$1, DataRegularSeason20242025!$D$3:$D$1315, $A26)+SUMIFS(DataRegularSeason20242025!$AB$3:$AB$1315,DataRegularSeason20242025!$B$3:$B$1315, "&lt;=" &amp; BR$1, DataRegularSeason20242025!$E$3:$E$1315, $A26)</f>
        <v>12</v>
      </c>
      <c r="BS26">
        <f>SUMIFS(DataRegularSeason20242025!$AA$3:$AA$1315,DataRegularSeason20242025!$B$3:$B$1315, "&lt;=" &amp; BS$1, DataRegularSeason20242025!$D$3:$D$1315, $A26)+SUMIFS(DataRegularSeason20242025!$AB$3:$AB$1315,DataRegularSeason20242025!$B$3:$B$1315, "&lt;=" &amp; BS$1, DataRegularSeason20242025!$E$3:$E$1315, $A26)</f>
        <v>12</v>
      </c>
      <c r="BT26">
        <f>SUMIFS(DataRegularSeason20242025!$AA$3:$AA$1315,DataRegularSeason20242025!$B$3:$B$1315, "&lt;=" &amp; BT$1, DataRegularSeason20242025!$D$3:$D$1315, $A26)+SUMIFS(DataRegularSeason20242025!$AB$3:$AB$1315,DataRegularSeason20242025!$B$3:$B$1315, "&lt;=" &amp; BT$1, DataRegularSeason20242025!$E$3:$E$1315, $A26)</f>
        <v>12</v>
      </c>
      <c r="BU26">
        <f>SUMIFS(DataRegularSeason20242025!$AA$3:$AA$1315,DataRegularSeason20242025!$B$3:$B$1315, "&lt;=" &amp; BU$1, DataRegularSeason20242025!$D$3:$D$1315, $A26)+SUMIFS(DataRegularSeason20242025!$AB$3:$AB$1315,DataRegularSeason20242025!$B$3:$B$1315, "&lt;=" &amp; BU$1, DataRegularSeason20242025!$E$3:$E$1315, $A26)</f>
        <v>12</v>
      </c>
      <c r="BV26">
        <f>SUMIFS(DataRegularSeason20242025!$AA$3:$AA$1315,DataRegularSeason20242025!$B$3:$B$1315, "&lt;=" &amp; BV$1, DataRegularSeason20242025!$D$3:$D$1315, $A26)+SUMIFS(DataRegularSeason20242025!$AB$3:$AB$1315,DataRegularSeason20242025!$B$3:$B$1315, "&lt;=" &amp; BV$1, DataRegularSeason20242025!$E$3:$E$1315, $A26)</f>
        <v>12</v>
      </c>
      <c r="BW26">
        <f>SUMIFS(DataRegularSeason20242025!$AA$3:$AA$1315,DataRegularSeason20242025!$B$3:$B$1315, "&lt;=" &amp; BW$1, DataRegularSeason20242025!$D$3:$D$1315, $A26)+SUMIFS(DataRegularSeason20242025!$AB$3:$AB$1315,DataRegularSeason20242025!$B$3:$B$1315, "&lt;=" &amp; BW$1, DataRegularSeason20242025!$E$3:$E$1315, $A26)</f>
        <v>12</v>
      </c>
      <c r="BX26">
        <f>SUMIFS(DataRegularSeason20242025!$AA$3:$AA$1315,DataRegularSeason20242025!$B$3:$B$1315, "&lt;=" &amp; BX$1, DataRegularSeason20242025!$D$3:$D$1315, $A26)+SUMIFS(DataRegularSeason20242025!$AB$3:$AB$1315,DataRegularSeason20242025!$B$3:$B$1315, "&lt;=" &amp; BX$1, DataRegularSeason20242025!$E$3:$E$1315, $A26)</f>
        <v>12</v>
      </c>
      <c r="BY26">
        <f>SUMIFS(DataRegularSeason20242025!$AA$3:$AA$1315,DataRegularSeason20242025!$B$3:$B$1315, "&lt;=" &amp; BY$1, DataRegularSeason20242025!$D$3:$D$1315, $A26)+SUMIFS(DataRegularSeason20242025!$AB$3:$AB$1315,DataRegularSeason20242025!$B$3:$B$1315, "&lt;=" &amp; BY$1, DataRegularSeason20242025!$E$3:$E$1315, $A26)</f>
        <v>12</v>
      </c>
      <c r="BZ26">
        <f>SUMIFS(DataRegularSeason20242025!$AA$3:$AA$1315,DataRegularSeason20242025!$B$3:$B$1315, "&lt;=" &amp; BZ$1, DataRegularSeason20242025!$D$3:$D$1315, $A26)+SUMIFS(DataRegularSeason20242025!$AB$3:$AB$1315,DataRegularSeason20242025!$B$3:$B$1315, "&lt;=" &amp; BZ$1, DataRegularSeason20242025!$E$3:$E$1315, $A26)</f>
        <v>12</v>
      </c>
      <c r="CA26">
        <f>SUMIFS(DataRegularSeason20242025!$AA$3:$AA$1315,DataRegularSeason20242025!$B$3:$B$1315, "&lt;=" &amp; CA$1, DataRegularSeason20242025!$D$3:$D$1315, $A26)+SUMIFS(DataRegularSeason20242025!$AB$3:$AB$1315,DataRegularSeason20242025!$B$3:$B$1315, "&lt;=" &amp; CA$1, DataRegularSeason20242025!$E$3:$E$1315, $A26)</f>
        <v>12</v>
      </c>
      <c r="CB26">
        <f>SUMIFS(DataRegularSeason20242025!$AA$3:$AA$1315,DataRegularSeason20242025!$B$3:$B$1315, "&lt;=" &amp; CB$1, DataRegularSeason20242025!$D$3:$D$1315, $A26)+SUMIFS(DataRegularSeason20242025!$AB$3:$AB$1315,DataRegularSeason20242025!$B$3:$B$1315, "&lt;=" &amp; CB$1, DataRegularSeason20242025!$E$3:$E$1315, $A26)</f>
        <v>12</v>
      </c>
      <c r="CC26">
        <f>SUMIFS(DataRegularSeason20242025!$AA$3:$AA$1315,DataRegularSeason20242025!$B$3:$B$1315, "&lt;=" &amp; CC$1, DataRegularSeason20242025!$D$3:$D$1315, $A26)+SUMIFS(DataRegularSeason20242025!$AB$3:$AB$1315,DataRegularSeason20242025!$B$3:$B$1315, "&lt;=" &amp; CC$1, DataRegularSeason20242025!$E$3:$E$1315, $A26)</f>
        <v>12</v>
      </c>
      <c r="CD26">
        <f>SUMIFS(DataRegularSeason20242025!$AA$3:$AA$1315,DataRegularSeason20242025!$B$3:$B$1315, "&lt;=" &amp; CD$1, DataRegularSeason20242025!$D$3:$D$1315, $A26)+SUMIFS(DataRegularSeason20242025!$AB$3:$AB$1315,DataRegularSeason20242025!$B$3:$B$1315, "&lt;=" &amp; CD$1, DataRegularSeason20242025!$E$3:$E$1315, $A26)</f>
        <v>12</v>
      </c>
      <c r="CE26">
        <f>SUMIFS(DataRegularSeason20242025!$AA$3:$AA$1315,DataRegularSeason20242025!$B$3:$B$1315, "&lt;=" &amp; CE$1, DataRegularSeason20242025!$D$3:$D$1315, $A26)+SUMIFS(DataRegularSeason20242025!$AB$3:$AB$1315,DataRegularSeason20242025!$B$3:$B$1315, "&lt;=" &amp; CE$1, DataRegularSeason20242025!$E$3:$E$1315, $A26)</f>
        <v>12</v>
      </c>
      <c r="CF26">
        <f>SUMIFS(DataRegularSeason20242025!$AA$3:$AA$1315,DataRegularSeason20242025!$B$3:$B$1315, "&lt;=" &amp; CF$1, DataRegularSeason20242025!$D$3:$D$1315, $A26)+SUMIFS(DataRegularSeason20242025!$AB$3:$AB$1315,DataRegularSeason20242025!$B$3:$B$1315, "&lt;=" &amp; CF$1, DataRegularSeason20242025!$E$3:$E$1315, $A26)</f>
        <v>12</v>
      </c>
      <c r="CG26">
        <f>SUMIFS(DataRegularSeason20242025!$AA$3:$AA$1315,DataRegularSeason20242025!$B$3:$B$1315, "&lt;=" &amp; CG$1, DataRegularSeason20242025!$D$3:$D$1315, $A26)+SUMIFS(DataRegularSeason20242025!$AB$3:$AB$1315,DataRegularSeason20242025!$B$3:$B$1315, "&lt;=" &amp; CG$1, DataRegularSeason20242025!$E$3:$E$1315, $A26)</f>
        <v>12</v>
      </c>
      <c r="CH26">
        <f>SUMIFS(DataRegularSeason20242025!$AA$3:$AA$1315,DataRegularSeason20242025!$B$3:$B$1315, "&lt;=" &amp; CH$1, DataRegularSeason20242025!$D$3:$D$1315, $A26)+SUMIFS(DataRegularSeason20242025!$AB$3:$AB$1315,DataRegularSeason20242025!$B$3:$B$1315, "&lt;=" &amp; CH$1, DataRegularSeason20242025!$E$3:$E$1315, $A26)</f>
        <v>12</v>
      </c>
      <c r="CI26">
        <f>SUMIFS(DataRegularSeason20242025!$AA$3:$AA$1315,DataRegularSeason20242025!$B$3:$B$1315, "&lt;=" &amp; CI$1, DataRegularSeason20242025!$D$3:$D$1315, $A26)+SUMIFS(DataRegularSeason20242025!$AB$3:$AB$1315,DataRegularSeason20242025!$B$3:$B$1315, "&lt;=" &amp; CI$1, DataRegularSeason20242025!$E$3:$E$1315, $A26)</f>
        <v>12</v>
      </c>
      <c r="CJ26">
        <f>SUMIFS(DataRegularSeason20242025!$AA$3:$AA$1315,DataRegularSeason20242025!$B$3:$B$1315, "&lt;=" &amp; CJ$1, DataRegularSeason20242025!$D$3:$D$1315, $A26)+SUMIFS(DataRegularSeason20242025!$AB$3:$AB$1315,DataRegularSeason20242025!$B$3:$B$1315, "&lt;=" &amp; CJ$1, DataRegularSeason20242025!$E$3:$E$1315, $A26)</f>
        <v>12</v>
      </c>
      <c r="CK26">
        <f>SUMIFS(DataRegularSeason20242025!$AA$3:$AA$1315,DataRegularSeason20242025!$B$3:$B$1315, "&lt;=" &amp; CK$1, DataRegularSeason20242025!$D$3:$D$1315, $A26)+SUMIFS(DataRegularSeason20242025!$AB$3:$AB$1315,DataRegularSeason20242025!$B$3:$B$1315, "&lt;=" &amp; CK$1, DataRegularSeason20242025!$E$3:$E$1315, $A26)</f>
        <v>12</v>
      </c>
      <c r="CL26">
        <f>SUMIFS(DataRegularSeason20242025!$AA$3:$AA$1315,DataRegularSeason20242025!$B$3:$B$1315, "&lt;=" &amp; CL$1, DataRegularSeason20242025!$D$3:$D$1315, $A26)+SUMIFS(DataRegularSeason20242025!$AB$3:$AB$1315,DataRegularSeason20242025!$B$3:$B$1315, "&lt;=" &amp; CL$1, DataRegularSeason20242025!$E$3:$E$1315, $A26)</f>
        <v>12</v>
      </c>
      <c r="CM26">
        <f>SUMIFS(DataRegularSeason20242025!$AA$3:$AA$1315,DataRegularSeason20242025!$B$3:$B$1315, "&lt;=" &amp; CM$1, DataRegularSeason20242025!$D$3:$D$1315, $A26)+SUMIFS(DataRegularSeason20242025!$AB$3:$AB$1315,DataRegularSeason20242025!$B$3:$B$1315, "&lt;=" &amp; CM$1, DataRegularSeason20242025!$E$3:$E$1315, $A26)</f>
        <v>12</v>
      </c>
      <c r="CN26">
        <f>SUMIFS(DataRegularSeason20242025!$AA$3:$AA$1315,DataRegularSeason20242025!$B$3:$B$1315, "&lt;=" &amp; CN$1, DataRegularSeason20242025!$D$3:$D$1315, $A26)+SUMIFS(DataRegularSeason20242025!$AB$3:$AB$1315,DataRegularSeason20242025!$B$3:$B$1315, "&lt;=" &amp; CN$1, DataRegularSeason20242025!$E$3:$E$1315, $A26)</f>
        <v>12</v>
      </c>
      <c r="CO26">
        <f>SUMIFS(DataRegularSeason20242025!$AA$3:$AA$1315,DataRegularSeason20242025!$B$3:$B$1315, "&lt;=" &amp; CO$1, DataRegularSeason20242025!$D$3:$D$1315, $A26)+SUMIFS(DataRegularSeason20242025!$AB$3:$AB$1315,DataRegularSeason20242025!$B$3:$B$1315, "&lt;=" &amp; CO$1, DataRegularSeason20242025!$E$3:$E$1315, $A26)</f>
        <v>12</v>
      </c>
      <c r="CP26">
        <f>SUMIFS(DataRegularSeason20242025!$AA$3:$AA$1315,DataRegularSeason20242025!$B$3:$B$1315, "&lt;=" &amp; CP$1, DataRegularSeason20242025!$D$3:$D$1315, $A26)+SUMIFS(DataRegularSeason20242025!$AB$3:$AB$1315,DataRegularSeason20242025!$B$3:$B$1315, "&lt;=" &amp; CP$1, DataRegularSeason20242025!$E$3:$E$1315, $A26)</f>
        <v>12</v>
      </c>
      <c r="CQ26">
        <f>SUMIFS(DataRegularSeason20242025!$AA$3:$AA$1315,DataRegularSeason20242025!$B$3:$B$1315, "&lt;=" &amp; CQ$1, DataRegularSeason20242025!$D$3:$D$1315, $A26)+SUMIFS(DataRegularSeason20242025!$AB$3:$AB$1315,DataRegularSeason20242025!$B$3:$B$1315, "&lt;=" &amp; CQ$1, DataRegularSeason20242025!$E$3:$E$1315, $A26)</f>
        <v>12</v>
      </c>
      <c r="CR26">
        <f>SUMIFS(DataRegularSeason20242025!$AA$3:$AA$1315,DataRegularSeason20242025!$B$3:$B$1315, "&lt;=" &amp; CR$1, DataRegularSeason20242025!$D$3:$D$1315, $A26)+SUMIFS(DataRegularSeason20242025!$AB$3:$AB$1315,DataRegularSeason20242025!$B$3:$B$1315, "&lt;=" &amp; CR$1, DataRegularSeason20242025!$E$3:$E$1315, $A26)</f>
        <v>12</v>
      </c>
      <c r="CS26">
        <f>SUMIFS(DataRegularSeason20242025!$AA$3:$AA$1315,DataRegularSeason20242025!$B$3:$B$1315, "&lt;=" &amp; CS$1, DataRegularSeason20242025!$D$3:$D$1315, $A26)+SUMIFS(DataRegularSeason20242025!$AB$3:$AB$1315,DataRegularSeason20242025!$B$3:$B$1315, "&lt;=" &amp; CS$1, DataRegularSeason20242025!$E$3:$E$1315, $A26)</f>
        <v>12</v>
      </c>
      <c r="CT26">
        <f>SUMIFS(DataRegularSeason20242025!$AA$3:$AA$1315,DataRegularSeason20242025!$B$3:$B$1315, "&lt;=" &amp; CT$1, DataRegularSeason20242025!$D$3:$D$1315, $A26)+SUMIFS(DataRegularSeason20242025!$AB$3:$AB$1315,DataRegularSeason20242025!$B$3:$B$1315, "&lt;=" &amp; CT$1, DataRegularSeason20242025!$E$3:$E$1315, $A26)</f>
        <v>12</v>
      </c>
      <c r="CU26">
        <f>SUMIFS(DataRegularSeason20242025!$AA$3:$AA$1315,DataRegularSeason20242025!$B$3:$B$1315, "&lt;=" &amp; CU$1, DataRegularSeason20242025!$D$3:$D$1315, $A26)+SUMIFS(DataRegularSeason20242025!$AB$3:$AB$1315,DataRegularSeason20242025!$B$3:$B$1315, "&lt;=" &amp; CU$1, DataRegularSeason20242025!$E$3:$E$1315, $A26)</f>
        <v>12</v>
      </c>
      <c r="CV26">
        <f>SUMIFS(DataRegularSeason20242025!$AA$3:$AA$1315,DataRegularSeason20242025!$B$3:$B$1315, "&lt;=" &amp; CV$1, DataRegularSeason20242025!$D$3:$D$1315, $A26)+SUMIFS(DataRegularSeason20242025!$AB$3:$AB$1315,DataRegularSeason20242025!$B$3:$B$1315, "&lt;=" &amp; CV$1, DataRegularSeason20242025!$E$3:$E$1315, $A26)</f>
        <v>12</v>
      </c>
      <c r="CW26">
        <f>SUMIFS(DataRegularSeason20242025!$AA$3:$AA$1315,DataRegularSeason20242025!$B$3:$B$1315, "&lt;=" &amp; CW$1, DataRegularSeason20242025!$D$3:$D$1315, $A26)+SUMIFS(DataRegularSeason20242025!$AB$3:$AB$1315,DataRegularSeason20242025!$B$3:$B$1315, "&lt;=" &amp; CW$1, DataRegularSeason20242025!$E$3:$E$1315, $A26)</f>
        <v>12</v>
      </c>
      <c r="CX26">
        <f>SUMIFS(DataRegularSeason20242025!$AA$3:$AA$1315,DataRegularSeason20242025!$B$3:$B$1315, "&lt;=" &amp; CX$1, DataRegularSeason20242025!$D$3:$D$1315, $A26)+SUMIFS(DataRegularSeason20242025!$AB$3:$AB$1315,DataRegularSeason20242025!$B$3:$B$1315, "&lt;=" &amp; CX$1, DataRegularSeason20242025!$E$3:$E$1315, $A26)</f>
        <v>12</v>
      </c>
      <c r="CY26">
        <f>SUMIFS(DataRegularSeason20242025!$AA$3:$AA$1315,DataRegularSeason20242025!$B$3:$B$1315, "&lt;=" &amp; CY$1, DataRegularSeason20242025!$D$3:$D$1315, $A26)+SUMIFS(DataRegularSeason20242025!$AB$3:$AB$1315,DataRegularSeason20242025!$B$3:$B$1315, "&lt;=" &amp; CY$1, DataRegularSeason20242025!$E$3:$E$1315, $A26)</f>
        <v>12</v>
      </c>
      <c r="CZ26">
        <f>SUMIFS(DataRegularSeason20242025!$AA$3:$AA$1315,DataRegularSeason20242025!$B$3:$B$1315, "&lt;=" &amp; CZ$1, DataRegularSeason20242025!$D$3:$D$1315, $A26)+SUMIFS(DataRegularSeason20242025!$AB$3:$AB$1315,DataRegularSeason20242025!$B$3:$B$1315, "&lt;=" &amp; CZ$1, DataRegularSeason20242025!$E$3:$E$1315, $A26)</f>
        <v>12</v>
      </c>
      <c r="DA26">
        <f>SUMIFS(DataRegularSeason20242025!$AA$3:$AA$1315,DataRegularSeason20242025!$B$3:$B$1315, "&lt;=" &amp; DA$1, DataRegularSeason20242025!$D$3:$D$1315, $A26)+SUMIFS(DataRegularSeason20242025!$AB$3:$AB$1315,DataRegularSeason20242025!$B$3:$B$1315, "&lt;=" &amp; DA$1, DataRegularSeason20242025!$E$3:$E$1315, $A26)</f>
        <v>12</v>
      </c>
      <c r="DB26">
        <f>SUMIFS(DataRegularSeason20242025!$AA$3:$AA$1315,DataRegularSeason20242025!$B$3:$B$1315, "&lt;=" &amp; DB$1, DataRegularSeason20242025!$D$3:$D$1315, $A26)+SUMIFS(DataRegularSeason20242025!$AB$3:$AB$1315,DataRegularSeason20242025!$B$3:$B$1315, "&lt;=" &amp; DB$1, DataRegularSeason20242025!$E$3:$E$1315, $A26)</f>
        <v>12</v>
      </c>
      <c r="DC26">
        <f>SUMIFS(DataRegularSeason20242025!$AA$3:$AA$1315,DataRegularSeason20242025!$B$3:$B$1315, "&lt;=" &amp; DC$1, DataRegularSeason20242025!$D$3:$D$1315, $A26)+SUMIFS(DataRegularSeason20242025!$AB$3:$AB$1315,DataRegularSeason20242025!$B$3:$B$1315, "&lt;=" &amp; DC$1, DataRegularSeason20242025!$E$3:$E$1315, $A26)</f>
        <v>12</v>
      </c>
      <c r="DD26">
        <f>SUMIFS(DataRegularSeason20242025!$AA$3:$AA$1315,DataRegularSeason20242025!$B$3:$B$1315, "&lt;=" &amp; DD$1, DataRegularSeason20242025!$D$3:$D$1315, $A26)+SUMIFS(DataRegularSeason20242025!$AB$3:$AB$1315,DataRegularSeason20242025!$B$3:$B$1315, "&lt;=" &amp; DD$1, DataRegularSeason20242025!$E$3:$E$1315, $A26)</f>
        <v>12</v>
      </c>
      <c r="DE26">
        <f>SUMIFS(DataRegularSeason20242025!$AA$3:$AA$1315,DataRegularSeason20242025!$B$3:$B$1315, "&lt;=" &amp; DE$1, DataRegularSeason20242025!$D$3:$D$1315, $A26)+SUMIFS(DataRegularSeason20242025!$AB$3:$AB$1315,DataRegularSeason20242025!$B$3:$B$1315, "&lt;=" &amp; DE$1, DataRegularSeason20242025!$E$3:$E$1315, $A26)</f>
        <v>12</v>
      </c>
      <c r="DF26">
        <f>SUMIFS(DataRegularSeason20242025!$AA$3:$AA$1315,DataRegularSeason20242025!$B$3:$B$1315, "&lt;=" &amp; DF$1, DataRegularSeason20242025!$D$3:$D$1315, $A26)+SUMIFS(DataRegularSeason20242025!$AB$3:$AB$1315,DataRegularSeason20242025!$B$3:$B$1315, "&lt;=" &amp; DF$1, DataRegularSeason20242025!$E$3:$E$1315, $A26)</f>
        <v>12</v>
      </c>
      <c r="DG26">
        <f>SUMIFS(DataRegularSeason20242025!$AA$3:$AA$1315,DataRegularSeason20242025!$B$3:$B$1315, "&lt;=" &amp; DG$1, DataRegularSeason20242025!$D$3:$D$1315, $A26)+SUMIFS(DataRegularSeason20242025!$AB$3:$AB$1315,DataRegularSeason20242025!$B$3:$B$1315, "&lt;=" &amp; DG$1, DataRegularSeason20242025!$E$3:$E$1315, $A26)</f>
        <v>12</v>
      </c>
      <c r="DH26">
        <f>SUMIFS(DataRegularSeason20242025!$AA$3:$AA$1315,DataRegularSeason20242025!$B$3:$B$1315, "&lt;=" &amp; DH$1, DataRegularSeason20242025!$D$3:$D$1315, $A26)+SUMIFS(DataRegularSeason20242025!$AB$3:$AB$1315,DataRegularSeason20242025!$B$3:$B$1315, "&lt;=" &amp; DH$1, DataRegularSeason20242025!$E$3:$E$1315, $A26)</f>
        <v>12</v>
      </c>
      <c r="DI26">
        <f>SUMIFS(DataRegularSeason20242025!$AA$3:$AA$1315,DataRegularSeason20242025!$B$3:$B$1315, "&lt;=" &amp; DI$1, DataRegularSeason20242025!$D$3:$D$1315, $A26)+SUMIFS(DataRegularSeason20242025!$AB$3:$AB$1315,DataRegularSeason20242025!$B$3:$B$1315, "&lt;=" &amp; DI$1, DataRegularSeason20242025!$E$3:$E$1315, $A26)</f>
        <v>12</v>
      </c>
      <c r="DJ26">
        <f>SUMIFS(DataRegularSeason20242025!$AA$3:$AA$1315,DataRegularSeason20242025!$B$3:$B$1315, "&lt;=" &amp; DJ$1, DataRegularSeason20242025!$D$3:$D$1315, $A26)+SUMIFS(DataRegularSeason20242025!$AB$3:$AB$1315,DataRegularSeason20242025!$B$3:$B$1315, "&lt;=" &amp; DJ$1, DataRegularSeason20242025!$E$3:$E$1315, $A26)</f>
        <v>12</v>
      </c>
      <c r="DK26">
        <f>SUMIFS(DataRegularSeason20242025!$AA$3:$AA$1315,DataRegularSeason20242025!$B$3:$B$1315, "&lt;=" &amp; DK$1, DataRegularSeason20242025!$D$3:$D$1315, $A26)+SUMIFS(DataRegularSeason20242025!$AB$3:$AB$1315,DataRegularSeason20242025!$B$3:$B$1315, "&lt;=" &amp; DK$1, DataRegularSeason20242025!$E$3:$E$1315, $A26)</f>
        <v>12</v>
      </c>
      <c r="DL26">
        <f>SUMIFS(DataRegularSeason20242025!$AA$3:$AA$1315,DataRegularSeason20242025!$B$3:$B$1315, "&lt;=" &amp; DL$1, DataRegularSeason20242025!$D$3:$D$1315, $A26)+SUMIFS(DataRegularSeason20242025!$AB$3:$AB$1315,DataRegularSeason20242025!$B$3:$B$1315, "&lt;=" &amp; DL$1, DataRegularSeason20242025!$E$3:$E$1315, $A26)</f>
        <v>12</v>
      </c>
      <c r="DM26">
        <f>SUMIFS(DataRegularSeason20242025!$AA$3:$AA$1315,DataRegularSeason20242025!$B$3:$B$1315, "&lt;=" &amp; DM$1, DataRegularSeason20242025!$D$3:$D$1315, $A26)+SUMIFS(DataRegularSeason20242025!$AB$3:$AB$1315,DataRegularSeason20242025!$B$3:$B$1315, "&lt;=" &amp; DM$1, DataRegularSeason20242025!$E$3:$E$1315, $A26)</f>
        <v>12</v>
      </c>
      <c r="DN26">
        <f>SUMIFS(DataRegularSeason20242025!$AA$3:$AA$1315,DataRegularSeason20242025!$B$3:$B$1315, "&lt;=" &amp; DN$1, DataRegularSeason20242025!$D$3:$D$1315, $A26)+SUMIFS(DataRegularSeason20242025!$AB$3:$AB$1315,DataRegularSeason20242025!$B$3:$B$1315, "&lt;=" &amp; DN$1, DataRegularSeason20242025!$E$3:$E$1315, $A26)</f>
        <v>12</v>
      </c>
      <c r="DO26">
        <f>SUMIFS(DataRegularSeason20242025!$AA$3:$AA$1315,DataRegularSeason20242025!$B$3:$B$1315, "&lt;=" &amp; DO$1, DataRegularSeason20242025!$D$3:$D$1315, $A26)+SUMIFS(DataRegularSeason20242025!$AB$3:$AB$1315,DataRegularSeason20242025!$B$3:$B$1315, "&lt;=" &amp; DO$1, DataRegularSeason20242025!$E$3:$E$1315, $A26)</f>
        <v>12</v>
      </c>
      <c r="DP26">
        <f>SUMIFS(DataRegularSeason20242025!$AA$3:$AA$1315,DataRegularSeason20242025!$B$3:$B$1315, "&lt;=" &amp; DP$1, DataRegularSeason20242025!$D$3:$D$1315, $A26)+SUMIFS(DataRegularSeason20242025!$AB$3:$AB$1315,DataRegularSeason20242025!$B$3:$B$1315, "&lt;=" &amp; DP$1, DataRegularSeason20242025!$E$3:$E$1315, $A26)</f>
        <v>12</v>
      </c>
      <c r="DQ26">
        <f>SUMIFS(DataRegularSeason20242025!$AA$3:$AA$1315,DataRegularSeason20242025!$B$3:$B$1315, "&lt;=" &amp; DQ$1, DataRegularSeason20242025!$D$3:$D$1315, $A26)+SUMIFS(DataRegularSeason20242025!$AB$3:$AB$1315,DataRegularSeason20242025!$B$3:$B$1315, "&lt;=" &amp; DQ$1, DataRegularSeason20242025!$E$3:$E$1315, $A26)</f>
        <v>12</v>
      </c>
      <c r="DR26">
        <f>SUMIFS(DataRegularSeason20242025!$AA$3:$AA$1315,DataRegularSeason20242025!$B$3:$B$1315, "&lt;=" &amp; DR$1, DataRegularSeason20242025!$D$3:$D$1315, $A26)+SUMIFS(DataRegularSeason20242025!$AB$3:$AB$1315,DataRegularSeason20242025!$B$3:$B$1315, "&lt;=" &amp; DR$1, DataRegularSeason20242025!$E$3:$E$1315, $A26)</f>
        <v>12</v>
      </c>
      <c r="DS26">
        <f>SUMIFS(DataRegularSeason20242025!$AA$3:$AA$1315,DataRegularSeason20242025!$B$3:$B$1315, "&lt;=" &amp; DS$1, DataRegularSeason20242025!$D$3:$D$1315, $A26)+SUMIFS(DataRegularSeason20242025!$AB$3:$AB$1315,DataRegularSeason20242025!$B$3:$B$1315, "&lt;=" &amp; DS$1, DataRegularSeason20242025!$E$3:$E$1315, $A26)</f>
        <v>12</v>
      </c>
      <c r="DT26">
        <f>SUMIFS(DataRegularSeason20242025!$AA$3:$AA$1315,DataRegularSeason20242025!$B$3:$B$1315, "&lt;=" &amp; DT$1, DataRegularSeason20242025!$D$3:$D$1315, $A26)+SUMIFS(DataRegularSeason20242025!$AB$3:$AB$1315,DataRegularSeason20242025!$B$3:$B$1315, "&lt;=" &amp; DT$1, DataRegularSeason20242025!$E$3:$E$1315, $A26)</f>
        <v>12</v>
      </c>
      <c r="DU26">
        <f>SUMIFS(DataRegularSeason20242025!$AA$3:$AA$1315,DataRegularSeason20242025!$B$3:$B$1315, "&lt;=" &amp; DU$1, DataRegularSeason20242025!$D$3:$D$1315, $A26)+SUMIFS(DataRegularSeason20242025!$AB$3:$AB$1315,DataRegularSeason20242025!$B$3:$B$1315, "&lt;=" &amp; DU$1, DataRegularSeason20242025!$E$3:$E$1315, $A26)</f>
        <v>12</v>
      </c>
      <c r="DV26">
        <f>SUMIFS(DataRegularSeason20242025!$AA$3:$AA$1315,DataRegularSeason20242025!$B$3:$B$1315, "&lt;=" &amp; DV$1, DataRegularSeason20242025!$D$3:$D$1315, $A26)+SUMIFS(DataRegularSeason20242025!$AB$3:$AB$1315,DataRegularSeason20242025!$B$3:$B$1315, "&lt;=" &amp; DV$1, DataRegularSeason20242025!$E$3:$E$1315, $A26)</f>
        <v>12</v>
      </c>
      <c r="DW26">
        <f>SUMIFS(DataRegularSeason20242025!$AA$3:$AA$1315,DataRegularSeason20242025!$B$3:$B$1315, "&lt;=" &amp; DW$1, DataRegularSeason20242025!$D$3:$D$1315, $A26)+SUMIFS(DataRegularSeason20242025!$AB$3:$AB$1315,DataRegularSeason20242025!$B$3:$B$1315, "&lt;=" &amp; DW$1, DataRegularSeason20242025!$E$3:$E$1315, $A26)</f>
        <v>12</v>
      </c>
      <c r="DX26">
        <f>SUMIFS(DataRegularSeason20242025!$AA$3:$AA$1315,DataRegularSeason20242025!$B$3:$B$1315, "&lt;=" &amp; DX$1, DataRegularSeason20242025!$D$3:$D$1315, $A26)+SUMIFS(DataRegularSeason20242025!$AB$3:$AB$1315,DataRegularSeason20242025!$B$3:$B$1315, "&lt;=" &amp; DX$1, DataRegularSeason20242025!$E$3:$E$1315, $A26)</f>
        <v>12</v>
      </c>
      <c r="DY26">
        <f>SUMIFS(DataRegularSeason20242025!$AA$3:$AA$1315,DataRegularSeason20242025!$B$3:$B$1315, "&lt;=" &amp; DY$1, DataRegularSeason20242025!$D$3:$D$1315, $A26)+SUMIFS(DataRegularSeason20242025!$AB$3:$AB$1315,DataRegularSeason20242025!$B$3:$B$1315, "&lt;=" &amp; DY$1, DataRegularSeason20242025!$E$3:$E$1315, $A26)</f>
        <v>12</v>
      </c>
      <c r="DZ26">
        <f>SUMIFS(DataRegularSeason20242025!$AA$3:$AA$1315,DataRegularSeason20242025!$B$3:$B$1315, "&lt;=" &amp; DZ$1, DataRegularSeason20242025!$D$3:$D$1315, $A26)+SUMIFS(DataRegularSeason20242025!$AB$3:$AB$1315,DataRegularSeason20242025!$B$3:$B$1315, "&lt;=" &amp; DZ$1, DataRegularSeason20242025!$E$3:$E$1315, $A26)</f>
        <v>12</v>
      </c>
      <c r="EA26">
        <f>SUMIFS(DataRegularSeason20242025!$AA$3:$AA$1315,DataRegularSeason20242025!$B$3:$B$1315, "&lt;=" &amp; EA$1, DataRegularSeason20242025!$D$3:$D$1315, $A26)+SUMIFS(DataRegularSeason20242025!$AB$3:$AB$1315,DataRegularSeason20242025!$B$3:$B$1315, "&lt;=" &amp; EA$1, DataRegularSeason20242025!$E$3:$E$1315, $A26)</f>
        <v>12</v>
      </c>
      <c r="EB26">
        <f>SUMIFS(DataRegularSeason20242025!$AA$3:$AA$1315,DataRegularSeason20242025!$B$3:$B$1315, "&lt;=" &amp; EB$1, DataRegularSeason20242025!$D$3:$D$1315, $A26)+SUMIFS(DataRegularSeason20242025!$AB$3:$AB$1315,DataRegularSeason20242025!$B$3:$B$1315, "&lt;=" &amp; EB$1, DataRegularSeason20242025!$E$3:$E$1315, $A26)</f>
        <v>12</v>
      </c>
      <c r="EC26">
        <f>SUMIFS(DataRegularSeason20242025!$AA$3:$AA$1315,DataRegularSeason20242025!$B$3:$B$1315, "&lt;=" &amp; EC$1, DataRegularSeason20242025!$D$3:$D$1315, $A26)+SUMIFS(DataRegularSeason20242025!$AB$3:$AB$1315,DataRegularSeason20242025!$B$3:$B$1315, "&lt;=" &amp; EC$1, DataRegularSeason20242025!$E$3:$E$1315, $A26)</f>
        <v>12</v>
      </c>
      <c r="ED26">
        <f>SUMIFS(DataRegularSeason20242025!$AA$3:$AA$1315,DataRegularSeason20242025!$B$3:$B$1315, "&lt;=" &amp; ED$1, DataRegularSeason20242025!$D$3:$D$1315, $A26)+SUMIFS(DataRegularSeason20242025!$AB$3:$AB$1315,DataRegularSeason20242025!$B$3:$B$1315, "&lt;=" &amp; ED$1, DataRegularSeason20242025!$E$3:$E$1315, $A26)</f>
        <v>12</v>
      </c>
      <c r="EE26">
        <f>SUMIFS(DataRegularSeason20242025!$AA$3:$AA$1315,DataRegularSeason20242025!$B$3:$B$1315, "&lt;=" &amp; EE$1, DataRegularSeason20242025!$D$3:$D$1315, $A26)+SUMIFS(DataRegularSeason20242025!$AB$3:$AB$1315,DataRegularSeason20242025!$B$3:$B$1315, "&lt;=" &amp; EE$1, DataRegularSeason20242025!$E$3:$E$1315, $A26)</f>
        <v>12</v>
      </c>
      <c r="EF26">
        <f>SUMIFS(DataRegularSeason20242025!$AA$3:$AA$1315,DataRegularSeason20242025!$B$3:$B$1315, "&lt;=" &amp; EF$1, DataRegularSeason20242025!$D$3:$D$1315, $A26)+SUMIFS(DataRegularSeason20242025!$AB$3:$AB$1315,DataRegularSeason20242025!$B$3:$B$1315, "&lt;=" &amp; EF$1, DataRegularSeason20242025!$E$3:$E$1315, $A26)</f>
        <v>12</v>
      </c>
      <c r="EG26">
        <f>SUMIFS(DataRegularSeason20242025!$AA$3:$AA$1315,DataRegularSeason20242025!$B$3:$B$1315, "&lt;=" &amp; EG$1, DataRegularSeason20242025!$D$3:$D$1315, $A26)+SUMIFS(DataRegularSeason20242025!$AB$3:$AB$1315,DataRegularSeason20242025!$B$3:$B$1315, "&lt;=" &amp; EG$1, DataRegularSeason20242025!$E$3:$E$1315, $A26)</f>
        <v>12</v>
      </c>
      <c r="EH26">
        <f>SUMIFS(DataRegularSeason20242025!$AA$3:$AA$1315,DataRegularSeason20242025!$B$3:$B$1315, "&lt;=" &amp; EH$1, DataRegularSeason20242025!$D$3:$D$1315, $A26)+SUMIFS(DataRegularSeason20242025!$AB$3:$AB$1315,DataRegularSeason20242025!$B$3:$B$1315, "&lt;=" &amp; EH$1, DataRegularSeason20242025!$E$3:$E$1315, $A26)</f>
        <v>12</v>
      </c>
      <c r="EI26">
        <f>SUMIFS(DataRegularSeason20242025!$AA$3:$AA$1315,DataRegularSeason20242025!$B$3:$B$1315, "&lt;=" &amp; EI$1, DataRegularSeason20242025!$D$3:$D$1315, $A26)+SUMIFS(DataRegularSeason20242025!$AB$3:$AB$1315,DataRegularSeason20242025!$B$3:$B$1315, "&lt;=" &amp; EI$1, DataRegularSeason20242025!$E$3:$E$1315, $A26)</f>
        <v>12</v>
      </c>
      <c r="EJ26">
        <f>SUMIFS(DataRegularSeason20242025!$AA$3:$AA$1315,DataRegularSeason20242025!$B$3:$B$1315, "&lt;=" &amp; EJ$1, DataRegularSeason20242025!$D$3:$D$1315, $A26)+SUMIFS(DataRegularSeason20242025!$AB$3:$AB$1315,DataRegularSeason20242025!$B$3:$B$1315, "&lt;=" &amp; EJ$1, DataRegularSeason20242025!$E$3:$E$1315, $A26)</f>
        <v>12</v>
      </c>
      <c r="EK26">
        <f>SUMIFS(DataRegularSeason20242025!$AA$3:$AA$1315,DataRegularSeason20242025!$B$3:$B$1315, "&lt;=" &amp; EK$1, DataRegularSeason20242025!$D$3:$D$1315, $A26)+SUMIFS(DataRegularSeason20242025!$AB$3:$AB$1315,DataRegularSeason20242025!$B$3:$B$1315, "&lt;=" &amp; EK$1, DataRegularSeason20242025!$E$3:$E$1315, $A26)</f>
        <v>12</v>
      </c>
      <c r="EL26">
        <f>SUMIFS(DataRegularSeason20242025!$AA$3:$AA$1315,DataRegularSeason20242025!$B$3:$B$1315, "&lt;=" &amp; EL$1, DataRegularSeason20242025!$D$3:$D$1315, $A26)+SUMIFS(DataRegularSeason20242025!$AB$3:$AB$1315,DataRegularSeason20242025!$B$3:$B$1315, "&lt;=" &amp; EL$1, DataRegularSeason20242025!$E$3:$E$1315, $A26)</f>
        <v>12</v>
      </c>
      <c r="EM26">
        <f>SUMIFS(DataRegularSeason20242025!$AA$3:$AA$1315,DataRegularSeason20242025!$B$3:$B$1315, "&lt;=" &amp; EM$1, DataRegularSeason20242025!$D$3:$D$1315, $A26)+SUMIFS(DataRegularSeason20242025!$AB$3:$AB$1315,DataRegularSeason20242025!$B$3:$B$1315, "&lt;=" &amp; EM$1, DataRegularSeason20242025!$E$3:$E$1315, $A26)</f>
        <v>12</v>
      </c>
      <c r="EN26">
        <f>SUMIFS(DataRegularSeason20242025!$AA$3:$AA$1315,DataRegularSeason20242025!$B$3:$B$1315, "&lt;=" &amp; EN$1, DataRegularSeason20242025!$D$3:$D$1315, $A26)+SUMIFS(DataRegularSeason20242025!$AB$3:$AB$1315,DataRegularSeason20242025!$B$3:$B$1315, "&lt;=" &amp; EN$1, DataRegularSeason20242025!$E$3:$E$1315, $A26)</f>
        <v>12</v>
      </c>
      <c r="EO26">
        <f>SUMIFS(DataRegularSeason20242025!$AA$3:$AA$1315,DataRegularSeason20242025!$B$3:$B$1315, "&lt;=" &amp; EO$1, DataRegularSeason20242025!$D$3:$D$1315, $A26)+SUMIFS(DataRegularSeason20242025!$AB$3:$AB$1315,DataRegularSeason20242025!$B$3:$B$1315, "&lt;=" &amp; EO$1, DataRegularSeason20242025!$E$3:$E$1315, $A26)</f>
        <v>12</v>
      </c>
      <c r="EP26">
        <f>SUMIFS(DataRegularSeason20242025!$AA$3:$AA$1315,DataRegularSeason20242025!$B$3:$B$1315, "&lt;=" &amp; EP$1, DataRegularSeason20242025!$D$3:$D$1315, $A26)+SUMIFS(DataRegularSeason20242025!$AB$3:$AB$1315,DataRegularSeason20242025!$B$3:$B$1315, "&lt;=" &amp; EP$1, DataRegularSeason20242025!$E$3:$E$1315, $A26)</f>
        <v>12</v>
      </c>
      <c r="EQ26">
        <f>SUMIFS(DataRegularSeason20242025!$AA$3:$AA$1315,DataRegularSeason20242025!$B$3:$B$1315, "&lt;=" &amp; EQ$1, DataRegularSeason20242025!$D$3:$D$1315, $A26)+SUMIFS(DataRegularSeason20242025!$AB$3:$AB$1315,DataRegularSeason20242025!$B$3:$B$1315, "&lt;=" &amp; EQ$1, DataRegularSeason20242025!$E$3:$E$1315, $A26)</f>
        <v>12</v>
      </c>
      <c r="ER26">
        <f>SUMIFS(DataRegularSeason20242025!$AA$3:$AA$1315,DataRegularSeason20242025!$B$3:$B$1315, "&lt;=" &amp; ER$1, DataRegularSeason20242025!$D$3:$D$1315, $A26)+SUMIFS(DataRegularSeason20242025!$AB$3:$AB$1315,DataRegularSeason20242025!$B$3:$B$1315, "&lt;=" &amp; ER$1, DataRegularSeason20242025!$E$3:$E$1315, $A26)</f>
        <v>12</v>
      </c>
      <c r="ES26">
        <f>SUMIFS(DataRegularSeason20242025!$AA$3:$AA$1315,DataRegularSeason20242025!$B$3:$B$1315, "&lt;=" &amp; ES$1, DataRegularSeason20242025!$D$3:$D$1315, $A26)+SUMIFS(DataRegularSeason20242025!$AB$3:$AB$1315,DataRegularSeason20242025!$B$3:$B$1315, "&lt;=" &amp; ES$1, DataRegularSeason20242025!$E$3:$E$1315, $A26)</f>
        <v>12</v>
      </c>
      <c r="ET26">
        <f>SUMIFS(DataRegularSeason20242025!$AA$3:$AA$1315,DataRegularSeason20242025!$B$3:$B$1315, "&lt;=" &amp; ET$1, DataRegularSeason20242025!$D$3:$D$1315, $A26)+SUMIFS(DataRegularSeason20242025!$AB$3:$AB$1315,DataRegularSeason20242025!$B$3:$B$1315, "&lt;=" &amp; ET$1, DataRegularSeason20242025!$E$3:$E$1315, $A26)</f>
        <v>12</v>
      </c>
      <c r="EU26">
        <f>SUMIFS(DataRegularSeason20242025!$AA$3:$AA$1315,DataRegularSeason20242025!$B$3:$B$1315, "&lt;=" &amp; EU$1, DataRegularSeason20242025!$D$3:$D$1315, $A26)+SUMIFS(DataRegularSeason20242025!$AB$3:$AB$1315,DataRegularSeason20242025!$B$3:$B$1315, "&lt;=" &amp; EU$1, DataRegularSeason20242025!$E$3:$E$1315, $A26)</f>
        <v>12</v>
      </c>
      <c r="EV26">
        <f>SUMIFS(DataRegularSeason20242025!$AA$3:$AA$1315,DataRegularSeason20242025!$B$3:$B$1315, "&lt;=" &amp; EV$1, DataRegularSeason20242025!$D$3:$D$1315, $A26)+SUMIFS(DataRegularSeason20242025!$AB$3:$AB$1315,DataRegularSeason20242025!$B$3:$B$1315, "&lt;=" &amp; EV$1, DataRegularSeason20242025!$E$3:$E$1315, $A26)</f>
        <v>12</v>
      </c>
      <c r="EW26">
        <f>SUMIFS(DataRegularSeason20242025!$AA$3:$AA$1315,DataRegularSeason20242025!$B$3:$B$1315, "&lt;=" &amp; EW$1, DataRegularSeason20242025!$D$3:$D$1315, $A26)+SUMIFS(DataRegularSeason20242025!$AB$3:$AB$1315,DataRegularSeason20242025!$B$3:$B$1315, "&lt;=" &amp; EW$1, DataRegularSeason20242025!$E$3:$E$1315, $A26)</f>
        <v>12</v>
      </c>
      <c r="EX26">
        <f>SUMIFS(DataRegularSeason20242025!$AA$3:$AA$1315,DataRegularSeason20242025!$B$3:$B$1315, "&lt;=" &amp; EX$1, DataRegularSeason20242025!$D$3:$D$1315, $A26)+SUMIFS(DataRegularSeason20242025!$AB$3:$AB$1315,DataRegularSeason20242025!$B$3:$B$1315, "&lt;=" &amp; EX$1, DataRegularSeason20242025!$E$3:$E$1315, $A26)</f>
        <v>12</v>
      </c>
      <c r="EY26">
        <f>SUMIFS(DataRegularSeason20242025!$AA$3:$AA$1315,DataRegularSeason20242025!$B$3:$B$1315, "&lt;=" &amp; EY$1, DataRegularSeason20242025!$D$3:$D$1315, $A26)+SUMIFS(DataRegularSeason20242025!$AB$3:$AB$1315,DataRegularSeason20242025!$B$3:$B$1315, "&lt;=" &amp; EY$1, DataRegularSeason20242025!$E$3:$E$1315, $A26)</f>
        <v>12</v>
      </c>
      <c r="EZ26">
        <f>SUMIFS(DataRegularSeason20242025!$AA$3:$AA$1315,DataRegularSeason20242025!$B$3:$B$1315, "&lt;=" &amp; EZ$1, DataRegularSeason20242025!$D$3:$D$1315, $A26)+SUMIFS(DataRegularSeason20242025!$AB$3:$AB$1315,DataRegularSeason20242025!$B$3:$B$1315, "&lt;=" &amp; EZ$1, DataRegularSeason20242025!$E$3:$E$1315, $A26)</f>
        <v>12</v>
      </c>
      <c r="FA26">
        <f>SUMIFS(DataRegularSeason20242025!$AA$3:$AA$1315,DataRegularSeason20242025!$B$3:$B$1315, "&lt;=" &amp; FA$1, DataRegularSeason20242025!$D$3:$D$1315, $A26)+SUMIFS(DataRegularSeason20242025!$AB$3:$AB$1315,DataRegularSeason20242025!$B$3:$B$1315, "&lt;=" &amp; FA$1, DataRegularSeason20242025!$E$3:$E$1315, $A26)</f>
        <v>12</v>
      </c>
      <c r="FB26">
        <f>SUMIFS(DataRegularSeason20242025!$AA$3:$AA$1315,DataRegularSeason20242025!$B$3:$B$1315, "&lt;=" &amp; FB$1, DataRegularSeason20242025!$D$3:$D$1315, $A26)+SUMIFS(DataRegularSeason20242025!$AB$3:$AB$1315,DataRegularSeason20242025!$B$3:$B$1315, "&lt;=" &amp; FB$1, DataRegularSeason20242025!$E$3:$E$1315, $A26)</f>
        <v>12</v>
      </c>
      <c r="FC26">
        <f>SUMIFS(DataRegularSeason20242025!$AA$3:$AA$1315,DataRegularSeason20242025!$B$3:$B$1315, "&lt;=" &amp; FC$1, DataRegularSeason20242025!$D$3:$D$1315, $A26)+SUMIFS(DataRegularSeason20242025!$AB$3:$AB$1315,DataRegularSeason20242025!$B$3:$B$1315, "&lt;=" &amp; FC$1, DataRegularSeason20242025!$E$3:$E$1315, $A26)</f>
        <v>12</v>
      </c>
      <c r="FD26">
        <f>SUMIFS(DataRegularSeason20242025!$AA$3:$AA$1315,DataRegularSeason20242025!$B$3:$B$1315, "&lt;=" &amp; FD$1, DataRegularSeason20242025!$D$3:$D$1315, $A26)+SUMIFS(DataRegularSeason20242025!$AB$3:$AB$1315,DataRegularSeason20242025!$B$3:$B$1315, "&lt;=" &amp; FD$1, DataRegularSeason20242025!$E$3:$E$1315, $A26)</f>
        <v>12</v>
      </c>
      <c r="FE26">
        <f>SUMIFS(DataRegularSeason20242025!$AA$3:$AA$1315,DataRegularSeason20242025!$B$3:$B$1315, "&lt;=" &amp; FE$1, DataRegularSeason20242025!$D$3:$D$1315, $A26)+SUMIFS(DataRegularSeason20242025!$AB$3:$AB$1315,DataRegularSeason20242025!$B$3:$B$1315, "&lt;=" &amp; FE$1, DataRegularSeason20242025!$E$3:$E$1315, $A26)</f>
        <v>12</v>
      </c>
      <c r="FF26">
        <f>SUMIFS(DataRegularSeason20242025!$AA$3:$AA$1315,DataRegularSeason20242025!$B$3:$B$1315, "&lt;=" &amp; FF$1, DataRegularSeason20242025!$D$3:$D$1315, $A26)+SUMIFS(DataRegularSeason20242025!$AB$3:$AB$1315,DataRegularSeason20242025!$B$3:$B$1315, "&lt;=" &amp; FF$1, DataRegularSeason20242025!$E$3:$E$1315, $A26)</f>
        <v>12</v>
      </c>
      <c r="FG26">
        <f>SUMIFS(DataRegularSeason20242025!$AA$3:$AA$1315,DataRegularSeason20242025!$B$3:$B$1315, "&lt;=" &amp; FG$1, DataRegularSeason20242025!$D$3:$D$1315, $A26)+SUMIFS(DataRegularSeason20242025!$AB$3:$AB$1315,DataRegularSeason20242025!$B$3:$B$1315, "&lt;=" &amp; FG$1, DataRegularSeason20242025!$E$3:$E$1315, $A26)</f>
        <v>12</v>
      </c>
      <c r="FH26">
        <f>SUMIFS(DataRegularSeason20242025!$AA$3:$AA$1315,DataRegularSeason20242025!$B$3:$B$1315, "&lt;=" &amp; FH$1, DataRegularSeason20242025!$D$3:$D$1315, $A26)+SUMIFS(DataRegularSeason20242025!$AB$3:$AB$1315,DataRegularSeason20242025!$B$3:$B$1315, "&lt;=" &amp; FH$1, DataRegularSeason20242025!$E$3:$E$1315, $A26)</f>
        <v>12</v>
      </c>
      <c r="FI26">
        <f>SUMIFS(DataRegularSeason20242025!$AA$3:$AA$1315,DataRegularSeason20242025!$B$3:$B$1315, "&lt;=" &amp; FI$1, DataRegularSeason20242025!$D$3:$D$1315, $A26)+SUMIFS(DataRegularSeason20242025!$AB$3:$AB$1315,DataRegularSeason20242025!$B$3:$B$1315, "&lt;=" &amp; FI$1, DataRegularSeason20242025!$E$3:$E$1315, $A26)</f>
        <v>12</v>
      </c>
      <c r="FJ26">
        <f>SUMIFS(DataRegularSeason20242025!$AA$3:$AA$1315,DataRegularSeason20242025!$B$3:$B$1315, "&lt;=" &amp; FJ$1, DataRegularSeason20242025!$D$3:$D$1315, $A26)+SUMIFS(DataRegularSeason20242025!$AB$3:$AB$1315,DataRegularSeason20242025!$B$3:$B$1315, "&lt;=" &amp; FJ$1, DataRegularSeason20242025!$E$3:$E$1315, $A26)</f>
        <v>12</v>
      </c>
      <c r="FK26">
        <f>SUMIFS(DataRegularSeason20242025!$AA$3:$AA$1315,DataRegularSeason20242025!$B$3:$B$1315, "&lt;=" &amp; FK$1, DataRegularSeason20242025!$D$3:$D$1315, $A26)+SUMIFS(DataRegularSeason20242025!$AB$3:$AB$1315,DataRegularSeason20242025!$B$3:$B$1315, "&lt;=" &amp; FK$1, DataRegularSeason20242025!$E$3:$E$1315, $A26)</f>
        <v>12</v>
      </c>
      <c r="FL26">
        <f>SUMIFS(DataRegularSeason20242025!$AA$3:$AA$1315,DataRegularSeason20242025!$B$3:$B$1315, "&lt;=" &amp; FL$1, DataRegularSeason20242025!$D$3:$D$1315, $A26)+SUMIFS(DataRegularSeason20242025!$AB$3:$AB$1315,DataRegularSeason20242025!$B$3:$B$1315, "&lt;=" &amp; FL$1, DataRegularSeason20242025!$E$3:$E$1315, $A26)</f>
        <v>12</v>
      </c>
      <c r="FM26">
        <f>SUMIFS(DataRegularSeason20242025!$AA$3:$AA$1315,DataRegularSeason20242025!$B$3:$B$1315, "&lt;=" &amp; FM$1, DataRegularSeason20242025!$D$3:$D$1315, $A26)+SUMIFS(DataRegularSeason20242025!$AB$3:$AB$1315,DataRegularSeason20242025!$B$3:$B$1315, "&lt;=" &amp; FM$1, DataRegularSeason20242025!$E$3:$E$1315, $A26)</f>
        <v>12</v>
      </c>
      <c r="FN26">
        <f>SUMIFS(DataRegularSeason20242025!$AA$3:$AA$1315,DataRegularSeason20242025!$B$3:$B$1315, "&lt;=" &amp; FN$1, DataRegularSeason20242025!$D$3:$D$1315, $A26)+SUMIFS(DataRegularSeason20242025!$AB$3:$AB$1315,DataRegularSeason20242025!$B$3:$B$1315, "&lt;=" &amp; FN$1, DataRegularSeason20242025!$E$3:$E$1315, $A26)</f>
        <v>12</v>
      </c>
      <c r="FO26">
        <f>SUMIFS(DataRegularSeason20242025!$AA$3:$AA$1315,DataRegularSeason20242025!$B$3:$B$1315, "&lt;=" &amp; FO$1, DataRegularSeason20242025!$D$3:$D$1315, $A26)+SUMIFS(DataRegularSeason20242025!$AB$3:$AB$1315,DataRegularSeason20242025!$B$3:$B$1315, "&lt;=" &amp; FO$1, DataRegularSeason20242025!$E$3:$E$1315, $A26)</f>
        <v>12</v>
      </c>
      <c r="FP26">
        <f>SUMIFS(DataRegularSeason20242025!$AA$3:$AA$1315,DataRegularSeason20242025!$B$3:$B$1315, "&lt;=" &amp; FP$1, DataRegularSeason20242025!$D$3:$D$1315, $A26)+SUMIFS(DataRegularSeason20242025!$AB$3:$AB$1315,DataRegularSeason20242025!$B$3:$B$1315, "&lt;=" &amp; FP$1, DataRegularSeason20242025!$E$3:$E$1315, $A26)</f>
        <v>12</v>
      </c>
      <c r="FQ26">
        <f>SUMIFS(DataRegularSeason20242025!$AA$3:$AA$1315,DataRegularSeason20242025!$B$3:$B$1315, "&lt;=" &amp; FQ$1, DataRegularSeason20242025!$D$3:$D$1315, $A26)+SUMIFS(DataRegularSeason20242025!$AB$3:$AB$1315,DataRegularSeason20242025!$B$3:$B$1315, "&lt;=" &amp; FQ$1, DataRegularSeason20242025!$E$3:$E$1315, $A26)</f>
        <v>12</v>
      </c>
      <c r="FR26">
        <f>SUMIFS(DataRegularSeason20242025!$AA$3:$AA$1315,DataRegularSeason20242025!$B$3:$B$1315, "&lt;=" &amp; FR$1, DataRegularSeason20242025!$D$3:$D$1315, $A26)+SUMIFS(DataRegularSeason20242025!$AB$3:$AB$1315,DataRegularSeason20242025!$B$3:$B$1315, "&lt;=" &amp; FR$1, DataRegularSeason20242025!$E$3:$E$1315, $A26)</f>
        <v>12</v>
      </c>
      <c r="FS26">
        <f>SUMIFS(DataRegularSeason20242025!$AA$3:$AA$1315,DataRegularSeason20242025!$B$3:$B$1315, "&lt;=" &amp; FS$1, DataRegularSeason20242025!$D$3:$D$1315, $A26)+SUMIFS(DataRegularSeason20242025!$AB$3:$AB$1315,DataRegularSeason20242025!$B$3:$B$1315, "&lt;=" &amp; FS$1, DataRegularSeason20242025!$E$3:$E$1315, $A26)</f>
        <v>12</v>
      </c>
      <c r="FT26">
        <f>SUMIFS(DataRegularSeason20242025!$AA$3:$AA$1315,DataRegularSeason20242025!$B$3:$B$1315, "&lt;=" &amp; FT$1, DataRegularSeason20242025!$D$3:$D$1315, $A26)+SUMIFS(DataRegularSeason20242025!$AB$3:$AB$1315,DataRegularSeason20242025!$B$3:$B$1315, "&lt;=" &amp; FT$1, DataRegularSeason20242025!$E$3:$E$1315, $A26)</f>
        <v>12</v>
      </c>
      <c r="FU26">
        <f>SUMIFS(DataRegularSeason20242025!$AA$3:$AA$1315,DataRegularSeason20242025!$B$3:$B$1315, "&lt;=" &amp; FU$1, DataRegularSeason20242025!$D$3:$D$1315, $A26)+SUMIFS(DataRegularSeason20242025!$AB$3:$AB$1315,DataRegularSeason20242025!$B$3:$B$1315, "&lt;=" &amp; FU$1, DataRegularSeason20242025!$E$3:$E$1315, $A26)</f>
        <v>12</v>
      </c>
      <c r="FV26">
        <f>SUMIFS(DataRegularSeason20242025!$AA$3:$AA$1315,DataRegularSeason20242025!$B$3:$B$1315, "&lt;=" &amp; FV$1, DataRegularSeason20242025!$D$3:$D$1315, $A26)+SUMIFS(DataRegularSeason20242025!$AB$3:$AB$1315,DataRegularSeason20242025!$B$3:$B$1315, "&lt;=" &amp; FV$1, DataRegularSeason20242025!$E$3:$E$1315, $A26)</f>
        <v>12</v>
      </c>
      <c r="FW26">
        <f>SUMIFS(DataRegularSeason20242025!$AA$3:$AA$1315,DataRegularSeason20242025!$B$3:$B$1315, "&lt;=" &amp; FW$1, DataRegularSeason20242025!$D$3:$D$1315, $A26)+SUMIFS(DataRegularSeason20242025!$AB$3:$AB$1315,DataRegularSeason20242025!$B$3:$B$1315, "&lt;=" &amp; FW$1, DataRegularSeason20242025!$E$3:$E$1315, $A26)</f>
        <v>12</v>
      </c>
      <c r="FX26">
        <f>SUMIFS(DataRegularSeason20242025!$AA$3:$AA$1315,DataRegularSeason20242025!$B$3:$B$1315, "&lt;=" &amp; FX$1, DataRegularSeason20242025!$D$3:$D$1315, $A26)+SUMIFS(DataRegularSeason20242025!$AB$3:$AB$1315,DataRegularSeason20242025!$B$3:$B$1315, "&lt;=" &amp; FX$1, DataRegularSeason20242025!$E$3:$E$1315, $A26)</f>
        <v>12</v>
      </c>
      <c r="FY26">
        <f>SUMIFS(DataRegularSeason20242025!$AA$3:$AA$1315,DataRegularSeason20242025!$B$3:$B$1315, "&lt;=" &amp; FY$1, DataRegularSeason20242025!$D$3:$D$1315, $A26)+SUMIFS(DataRegularSeason20242025!$AB$3:$AB$1315,DataRegularSeason20242025!$B$3:$B$1315, "&lt;=" &amp; FY$1, DataRegularSeason20242025!$E$3:$E$1315, $A26)</f>
        <v>12</v>
      </c>
      <c r="FZ26">
        <f>SUMIFS(DataRegularSeason20242025!$AA$3:$AA$1315,DataRegularSeason20242025!$B$3:$B$1315, "&lt;=" &amp; FZ$1, DataRegularSeason20242025!$D$3:$D$1315, $A26)+SUMIFS(DataRegularSeason20242025!$AB$3:$AB$1315,DataRegularSeason20242025!$B$3:$B$1315, "&lt;=" &amp; FZ$1, DataRegularSeason20242025!$E$3:$E$1315, $A26)</f>
        <v>12</v>
      </c>
      <c r="GA26">
        <f>SUMIFS(DataRegularSeason20242025!$AA$3:$AA$1315,DataRegularSeason20242025!$B$3:$B$1315, "&lt;=" &amp; GA$1, DataRegularSeason20242025!$D$3:$D$1315, $A26)+SUMIFS(DataRegularSeason20242025!$AB$3:$AB$1315,DataRegularSeason20242025!$B$3:$B$1315, "&lt;=" &amp; GA$1, DataRegularSeason20242025!$E$3:$E$1315, $A26)</f>
        <v>12</v>
      </c>
      <c r="GB26">
        <f>SUMIFS(DataRegularSeason20242025!$AA$3:$AA$1315,DataRegularSeason20242025!$B$3:$B$1315, "&lt;=" &amp; GB$1, DataRegularSeason20242025!$D$3:$D$1315, $A26)+SUMIFS(DataRegularSeason20242025!$AB$3:$AB$1315,DataRegularSeason20242025!$B$3:$B$1315, "&lt;=" &amp; GB$1, DataRegularSeason20242025!$E$3:$E$1315, $A26)</f>
        <v>12</v>
      </c>
      <c r="GC26">
        <f>SUMIFS(DataRegularSeason20242025!$AA$3:$AA$1315,DataRegularSeason20242025!$B$3:$B$1315, "&lt;=" &amp; GC$1, DataRegularSeason20242025!$D$3:$D$1315, $A26)+SUMIFS(DataRegularSeason20242025!$AB$3:$AB$1315,DataRegularSeason20242025!$B$3:$B$1315, "&lt;=" &amp; GC$1, DataRegularSeason20242025!$E$3:$E$1315, $A26)</f>
        <v>12</v>
      </c>
      <c r="GD26">
        <f>SUMIFS(DataRegularSeason20242025!$AA$3:$AA$1315,DataRegularSeason20242025!$B$3:$B$1315, "&lt;=" &amp; GD$1, DataRegularSeason20242025!$D$3:$D$1315, $A26)+SUMIFS(DataRegularSeason20242025!$AB$3:$AB$1315,DataRegularSeason20242025!$B$3:$B$1315, "&lt;=" &amp; GD$1, DataRegularSeason20242025!$E$3:$E$1315, $A26)</f>
        <v>12</v>
      </c>
      <c r="GE26">
        <f>SUMIFS(DataRegularSeason20242025!$AA$3:$AA$1315,DataRegularSeason20242025!$B$3:$B$1315, "&lt;=" &amp; GE$1, DataRegularSeason20242025!$D$3:$D$1315, $A26)+SUMIFS(DataRegularSeason20242025!$AB$3:$AB$1315,DataRegularSeason20242025!$B$3:$B$1315, "&lt;=" &amp; GE$1, DataRegularSeason20242025!$E$3:$E$1315, $A26)</f>
        <v>12</v>
      </c>
      <c r="GF26">
        <f>SUMIFS(DataRegularSeason20242025!$AA$3:$AA$1315,DataRegularSeason20242025!$B$3:$B$1315, "&lt;=" &amp; GF$1, DataRegularSeason20242025!$D$3:$D$1315, $A26)+SUMIFS(DataRegularSeason20242025!$AB$3:$AB$1315,DataRegularSeason20242025!$B$3:$B$1315, "&lt;=" &amp; GF$1, DataRegularSeason20242025!$E$3:$E$1315, $A26)</f>
        <v>12</v>
      </c>
      <c r="GG26">
        <f>SUMIFS(DataRegularSeason20242025!$AA$3:$AA$1315,DataRegularSeason20242025!$B$3:$B$1315, "&lt;=" &amp; GG$1, DataRegularSeason20242025!$D$3:$D$1315, $A26)+SUMIFS(DataRegularSeason20242025!$AB$3:$AB$1315,DataRegularSeason20242025!$B$3:$B$1315, "&lt;=" &amp; GG$1, DataRegularSeason20242025!$E$3:$E$1315, $A26)</f>
        <v>12</v>
      </c>
      <c r="GH26">
        <f>SUMIFS(DataRegularSeason20242025!$AA$3:$AA$1315,DataRegularSeason20242025!$B$3:$B$1315, "&lt;=" &amp; GH$1, DataRegularSeason20242025!$D$3:$D$1315, $A26)+SUMIFS(DataRegularSeason20242025!$AB$3:$AB$1315,DataRegularSeason20242025!$B$3:$B$1315, "&lt;=" &amp; GH$1, DataRegularSeason20242025!$E$3:$E$1315, $A26)</f>
        <v>12</v>
      </c>
      <c r="GI26">
        <f>SUMIFS(DataRegularSeason20242025!$AA$3:$AA$1315,DataRegularSeason20242025!$B$3:$B$1315, "&lt;=" &amp; GI$1, DataRegularSeason20242025!$D$3:$D$1315, $A26)+SUMIFS(DataRegularSeason20242025!$AB$3:$AB$1315,DataRegularSeason20242025!$B$3:$B$1315, "&lt;=" &amp; GI$1, DataRegularSeason20242025!$E$3:$E$1315, $A26)</f>
        <v>12</v>
      </c>
      <c r="GJ26">
        <f>SUMIFS(DataRegularSeason20242025!$AA$3:$AA$1315,DataRegularSeason20242025!$B$3:$B$1315, "&lt;=" &amp; GJ$1, DataRegularSeason20242025!$D$3:$D$1315, $A26)+SUMIFS(DataRegularSeason20242025!$AB$3:$AB$1315,DataRegularSeason20242025!$B$3:$B$1315, "&lt;=" &amp; GJ$1, DataRegularSeason20242025!$E$3:$E$1315, $A26)</f>
        <v>12</v>
      </c>
      <c r="GK26">
        <f>SUMIFS(DataRegularSeason20242025!$AA$3:$AA$1315,DataRegularSeason20242025!$B$3:$B$1315, "&lt;=" &amp; GK$1, DataRegularSeason20242025!$D$3:$D$1315, $A26)+SUMIFS(DataRegularSeason20242025!$AB$3:$AB$1315,DataRegularSeason20242025!$B$3:$B$1315, "&lt;=" &amp; GK$1, DataRegularSeason20242025!$E$3:$E$1315, $A26)</f>
        <v>12</v>
      </c>
      <c r="GL26">
        <f>SUMIFS(DataRegularSeason20242025!$AA$3:$AA$1315,DataRegularSeason20242025!$B$3:$B$1315, "&lt;=" &amp; GL$1, DataRegularSeason20242025!$D$3:$D$1315, $A26)+SUMIFS(DataRegularSeason20242025!$AB$3:$AB$1315,DataRegularSeason20242025!$B$3:$B$1315, "&lt;=" &amp; GL$1, DataRegularSeason20242025!$E$3:$E$1315, $A26)</f>
        <v>12</v>
      </c>
      <c r="GM26">
        <f>SUMIFS(DataRegularSeason20242025!$AA$3:$AA$1315,DataRegularSeason20242025!$B$3:$B$1315, "&lt;=" &amp; GM$1, DataRegularSeason20242025!$D$3:$D$1315, $A26)+SUMIFS(DataRegularSeason20242025!$AB$3:$AB$1315,DataRegularSeason20242025!$B$3:$B$1315, "&lt;=" &amp; GM$1, DataRegularSeason20242025!$E$3:$E$1315, $A26)</f>
        <v>12</v>
      </c>
      <c r="GN26">
        <f>SUMIFS(DataRegularSeason20242025!$AA$3:$AA$1315,DataRegularSeason20242025!$B$3:$B$1315, "&lt;=" &amp; GN$1, DataRegularSeason20242025!$D$3:$D$1315, $A26)+SUMIFS(DataRegularSeason20242025!$AB$3:$AB$1315,DataRegularSeason20242025!$B$3:$B$1315, "&lt;=" &amp; GN$1, DataRegularSeason20242025!$E$3:$E$1315, $A26)</f>
        <v>12</v>
      </c>
      <c r="GO26">
        <f>SUMIFS(DataRegularSeason20242025!$AA$3:$AA$1315,DataRegularSeason20242025!$B$3:$B$1315, "&lt;=" &amp; GO$1, DataRegularSeason20242025!$D$3:$D$1315, $A26)+SUMIFS(DataRegularSeason20242025!$AB$3:$AB$1315,DataRegularSeason20242025!$B$3:$B$1315, "&lt;=" &amp; GO$1, DataRegularSeason20242025!$E$3:$E$1315, $A26)</f>
        <v>12</v>
      </c>
      <c r="GP26">
        <f>SUMIFS(DataRegularSeason20242025!$AA$3:$AA$1315,DataRegularSeason20242025!$B$3:$B$1315, "&lt;=" &amp; GP$1, DataRegularSeason20242025!$D$3:$D$1315, $A26)+SUMIFS(DataRegularSeason20242025!$AB$3:$AB$1315,DataRegularSeason20242025!$B$3:$B$1315, "&lt;=" &amp; GP$1, DataRegularSeason20242025!$E$3:$E$1315, $A26)</f>
        <v>12</v>
      </c>
      <c r="GQ26">
        <f>SUMIFS(DataRegularSeason20242025!$AA$3:$AA$1315,DataRegularSeason20242025!$B$3:$B$1315, "&lt;=" &amp; GQ$1, DataRegularSeason20242025!$D$3:$D$1315, $A26)+SUMIFS(DataRegularSeason20242025!$AB$3:$AB$1315,DataRegularSeason20242025!$B$3:$B$1315, "&lt;=" &amp; GQ$1, DataRegularSeason20242025!$E$3:$E$1315, $A26)</f>
        <v>12</v>
      </c>
      <c r="GR26">
        <f>SUMIFS(DataRegularSeason20242025!$AA$3:$AA$1315,DataRegularSeason20242025!$B$3:$B$1315, "&lt;=" &amp; GR$1, DataRegularSeason20242025!$D$3:$D$1315, $A26)+SUMIFS(DataRegularSeason20242025!$AB$3:$AB$1315,DataRegularSeason20242025!$B$3:$B$1315, "&lt;=" &amp; GR$1, DataRegularSeason20242025!$E$3:$E$1315, $A26)</f>
        <v>12</v>
      </c>
      <c r="GS26">
        <f>SUMIFS(DataRegularSeason20242025!$AA$3:$AA$1315,DataRegularSeason20242025!$B$3:$B$1315, "&lt;=" &amp; GS$1, DataRegularSeason20242025!$D$3:$D$1315, $A26)+SUMIFS(DataRegularSeason20242025!$AB$3:$AB$1315,DataRegularSeason20242025!$B$3:$B$1315, "&lt;=" &amp; GS$1, DataRegularSeason20242025!$E$3:$E$1315, $A26)</f>
        <v>12</v>
      </c>
      <c r="GT26">
        <f>SUMIFS(DataRegularSeason20242025!$AA$3:$AA$1315,DataRegularSeason20242025!$B$3:$B$1315, "&lt;=" &amp; GT$1, DataRegularSeason20242025!$D$3:$D$1315, $A26)+SUMIFS(DataRegularSeason20242025!$AB$3:$AB$1315,DataRegularSeason20242025!$B$3:$B$1315, "&lt;=" &amp; GT$1, DataRegularSeason20242025!$E$3:$E$1315, $A26)</f>
        <v>12</v>
      </c>
      <c r="GU26">
        <f>SUMIFS(DataRegularSeason20242025!$AA$3:$AA$1315,DataRegularSeason20242025!$B$3:$B$1315, "&lt;=" &amp; GU$1, DataRegularSeason20242025!$D$3:$D$1315, $A26)+SUMIFS(DataRegularSeason20242025!$AB$3:$AB$1315,DataRegularSeason20242025!$B$3:$B$1315, "&lt;=" &amp; GU$1, DataRegularSeason20242025!$E$3:$E$1315, $A26)</f>
        <v>12</v>
      </c>
    </row>
    <row r="27" spans="1:203" x14ac:dyDescent="0.25">
      <c r="A27" t="s">
        <v>11</v>
      </c>
      <c r="B27" t="s">
        <v>90</v>
      </c>
      <c r="C27" s="108" t="s">
        <v>93</v>
      </c>
      <c r="D27">
        <f>SUMIFS(DataRegularSeason20242025!$AA$3:$AA$1315,DataRegularSeason20242025!$B$3:$B$1315, "&lt;=" &amp; D$1, DataRegularSeason20242025!$D$3:$D$1315, $A27)+SUMIFS(DataRegularSeason20242025!$AB$3:$AB$1315,DataRegularSeason20242025!$B$3:$B$1315, "&lt;=" &amp; D$1, DataRegularSeason20242025!$E$3:$E$1315, $A27)</f>
        <v>0</v>
      </c>
      <c r="E27">
        <f>SUMIFS(DataRegularSeason20242025!$AA$3:$AA$1315,DataRegularSeason20242025!$B$3:$B$1315, "&lt;=" &amp; E$1, DataRegularSeason20242025!$D$3:$D$1315, $A27)+SUMIFS(DataRegularSeason20242025!$AB$3:$AB$1315,DataRegularSeason20242025!$B$3:$B$1315, "&lt;=" &amp; E$1, DataRegularSeason20242025!$E$3:$E$1315, $A27)</f>
        <v>0</v>
      </c>
      <c r="F27">
        <f>SUMIFS(DataRegularSeason20242025!$AA$3:$AA$1315,DataRegularSeason20242025!$B$3:$B$1315, "&lt;=" &amp; F$1, DataRegularSeason20242025!$D$3:$D$1315, $A27)+SUMIFS(DataRegularSeason20242025!$AB$3:$AB$1315,DataRegularSeason20242025!$B$3:$B$1315, "&lt;=" &amp; F$1, DataRegularSeason20242025!$E$3:$E$1315, $A27)</f>
        <v>0</v>
      </c>
      <c r="G27">
        <f>SUMIFS(DataRegularSeason20242025!$AA$3:$AA$1315,DataRegularSeason20242025!$B$3:$B$1315, "&lt;=" &amp; G$1, DataRegularSeason20242025!$D$3:$D$1315, $A27)+SUMIFS(DataRegularSeason20242025!$AB$3:$AB$1315,DataRegularSeason20242025!$B$3:$B$1315, "&lt;=" &amp; G$1, DataRegularSeason20242025!$E$3:$E$1315, $A27)</f>
        <v>0</v>
      </c>
      <c r="H27">
        <f>SUMIFS(DataRegularSeason20242025!$AA$3:$AA$1315,DataRegularSeason20242025!$B$3:$B$1315, "&lt;=" &amp; H$1, DataRegularSeason20242025!$D$3:$D$1315, $A27)+SUMIFS(DataRegularSeason20242025!$AB$3:$AB$1315,DataRegularSeason20242025!$B$3:$B$1315, "&lt;=" &amp; H$1, DataRegularSeason20242025!$E$3:$E$1315, $A27)</f>
        <v>0</v>
      </c>
      <c r="I27">
        <f>SUMIFS(DataRegularSeason20242025!$AA$3:$AA$1315,DataRegularSeason20242025!$B$3:$B$1315, "&lt;=" &amp; I$1, DataRegularSeason20242025!$D$3:$D$1315, $A27)+SUMIFS(DataRegularSeason20242025!$AB$3:$AB$1315,DataRegularSeason20242025!$B$3:$B$1315, "&lt;=" &amp; I$1, DataRegularSeason20242025!$E$3:$E$1315, $A27)</f>
        <v>0</v>
      </c>
      <c r="J27">
        <f>SUMIFS(DataRegularSeason20242025!$AA$3:$AA$1315,DataRegularSeason20242025!$B$3:$B$1315, "&lt;=" &amp; J$1, DataRegularSeason20242025!$D$3:$D$1315, $A27)+SUMIFS(DataRegularSeason20242025!$AB$3:$AB$1315,DataRegularSeason20242025!$B$3:$B$1315, "&lt;=" &amp; J$1, DataRegularSeason20242025!$E$3:$E$1315, $A27)</f>
        <v>2</v>
      </c>
      <c r="K27">
        <f>SUMIFS(DataRegularSeason20242025!$AA$3:$AA$1315,DataRegularSeason20242025!$B$3:$B$1315, "&lt;=" &amp; K$1, DataRegularSeason20242025!$D$3:$D$1315, $A27)+SUMIFS(DataRegularSeason20242025!$AB$3:$AB$1315,DataRegularSeason20242025!$B$3:$B$1315, "&lt;=" &amp; K$1, DataRegularSeason20242025!$E$3:$E$1315, $A27)</f>
        <v>2</v>
      </c>
      <c r="L27">
        <f>SUMIFS(DataRegularSeason20242025!$AA$3:$AA$1315,DataRegularSeason20242025!$B$3:$B$1315, "&lt;=" &amp; L$1, DataRegularSeason20242025!$D$3:$D$1315, $A27)+SUMIFS(DataRegularSeason20242025!$AB$3:$AB$1315,DataRegularSeason20242025!$B$3:$B$1315, "&lt;=" &amp; L$1, DataRegularSeason20242025!$E$3:$E$1315, $A27)</f>
        <v>4</v>
      </c>
      <c r="M27">
        <f>SUMIFS(DataRegularSeason20242025!$AA$3:$AA$1315,DataRegularSeason20242025!$B$3:$B$1315, "&lt;=" &amp; M$1, DataRegularSeason20242025!$D$3:$D$1315, $A27)+SUMIFS(DataRegularSeason20242025!$AB$3:$AB$1315,DataRegularSeason20242025!$B$3:$B$1315, "&lt;=" &amp; M$1, DataRegularSeason20242025!$E$3:$E$1315, $A27)</f>
        <v>4</v>
      </c>
      <c r="N27">
        <f>SUMIFS(DataRegularSeason20242025!$AA$3:$AA$1315,DataRegularSeason20242025!$B$3:$B$1315, "&lt;=" &amp; N$1, DataRegularSeason20242025!$D$3:$D$1315, $A27)+SUMIFS(DataRegularSeason20242025!$AB$3:$AB$1315,DataRegularSeason20242025!$B$3:$B$1315, "&lt;=" &amp; N$1, DataRegularSeason20242025!$E$3:$E$1315, $A27)</f>
        <v>4</v>
      </c>
      <c r="O27">
        <f>SUMIFS(DataRegularSeason20242025!$AA$3:$AA$1315,DataRegularSeason20242025!$B$3:$B$1315, "&lt;=" &amp; O$1, DataRegularSeason20242025!$D$3:$D$1315, $A27)+SUMIFS(DataRegularSeason20242025!$AB$3:$AB$1315,DataRegularSeason20242025!$B$3:$B$1315, "&lt;=" &amp; O$1, DataRegularSeason20242025!$E$3:$E$1315, $A27)</f>
        <v>5</v>
      </c>
      <c r="P27">
        <f>SUMIFS(DataRegularSeason20242025!$AA$3:$AA$1315,DataRegularSeason20242025!$B$3:$B$1315, "&lt;=" &amp; P$1, DataRegularSeason20242025!$D$3:$D$1315, $A27)+SUMIFS(DataRegularSeason20242025!$AB$3:$AB$1315,DataRegularSeason20242025!$B$3:$B$1315, "&lt;=" &amp; P$1, DataRegularSeason20242025!$E$3:$E$1315, $A27)</f>
        <v>5</v>
      </c>
      <c r="Q27">
        <f>SUMIFS(DataRegularSeason20242025!$AA$3:$AA$1315,DataRegularSeason20242025!$B$3:$B$1315, "&lt;=" &amp; Q$1, DataRegularSeason20242025!$D$3:$D$1315, $A27)+SUMIFS(DataRegularSeason20242025!$AB$3:$AB$1315,DataRegularSeason20242025!$B$3:$B$1315, "&lt;=" &amp; Q$1, DataRegularSeason20242025!$E$3:$E$1315, $A27)</f>
        <v>6</v>
      </c>
      <c r="R27">
        <f>SUMIFS(DataRegularSeason20242025!$AA$3:$AA$1315,DataRegularSeason20242025!$B$3:$B$1315, "&lt;=" &amp; R$1, DataRegularSeason20242025!$D$3:$D$1315, $A27)+SUMIFS(DataRegularSeason20242025!$AB$3:$AB$1315,DataRegularSeason20242025!$B$3:$B$1315, "&lt;=" &amp; R$1, DataRegularSeason20242025!$E$3:$E$1315, $A27)</f>
        <v>6</v>
      </c>
      <c r="S27">
        <f>SUMIFS(DataRegularSeason20242025!$AA$3:$AA$1315,DataRegularSeason20242025!$B$3:$B$1315, "&lt;=" &amp; S$1, DataRegularSeason20242025!$D$3:$D$1315, $A27)+SUMIFS(DataRegularSeason20242025!$AB$3:$AB$1315,DataRegularSeason20242025!$B$3:$B$1315, "&lt;=" &amp; S$1, DataRegularSeason20242025!$E$3:$E$1315, $A27)</f>
        <v>8</v>
      </c>
      <c r="T27">
        <f>SUMIFS(DataRegularSeason20242025!$AA$3:$AA$1315,DataRegularSeason20242025!$B$3:$B$1315, "&lt;=" &amp; T$1, DataRegularSeason20242025!$D$3:$D$1315, $A27)+SUMIFS(DataRegularSeason20242025!$AB$3:$AB$1315,DataRegularSeason20242025!$B$3:$B$1315, "&lt;=" &amp; T$1, DataRegularSeason20242025!$E$3:$E$1315, $A27)</f>
        <v>8</v>
      </c>
      <c r="U27">
        <f>SUMIFS(DataRegularSeason20242025!$AA$3:$AA$1315,DataRegularSeason20242025!$B$3:$B$1315, "&lt;=" &amp; U$1, DataRegularSeason20242025!$D$3:$D$1315, $A27)+SUMIFS(DataRegularSeason20242025!$AB$3:$AB$1315,DataRegularSeason20242025!$B$3:$B$1315, "&lt;=" &amp; U$1, DataRegularSeason20242025!$E$3:$E$1315, $A27)</f>
        <v>8</v>
      </c>
      <c r="V27">
        <f>SUMIFS(DataRegularSeason20242025!$AA$3:$AA$1315,DataRegularSeason20242025!$B$3:$B$1315, "&lt;=" &amp; V$1, DataRegularSeason20242025!$D$3:$D$1315, $A27)+SUMIFS(DataRegularSeason20242025!$AB$3:$AB$1315,DataRegularSeason20242025!$B$3:$B$1315, "&lt;=" &amp; V$1, DataRegularSeason20242025!$E$3:$E$1315, $A27)</f>
        <v>8</v>
      </c>
      <c r="W27">
        <f>SUMIFS(DataRegularSeason20242025!$AA$3:$AA$1315,DataRegularSeason20242025!$B$3:$B$1315, "&lt;=" &amp; W$1, DataRegularSeason20242025!$D$3:$D$1315, $A27)+SUMIFS(DataRegularSeason20242025!$AB$3:$AB$1315,DataRegularSeason20242025!$B$3:$B$1315, "&lt;=" &amp; W$1, DataRegularSeason20242025!$E$3:$E$1315, $A27)</f>
        <v>8</v>
      </c>
      <c r="X27">
        <f>SUMIFS(DataRegularSeason20242025!$AA$3:$AA$1315,DataRegularSeason20242025!$B$3:$B$1315, "&lt;=" &amp; X$1, DataRegularSeason20242025!$D$3:$D$1315, $A27)+SUMIFS(DataRegularSeason20242025!$AB$3:$AB$1315,DataRegularSeason20242025!$B$3:$B$1315, "&lt;=" &amp; X$1, DataRegularSeason20242025!$E$3:$E$1315, $A27)</f>
        <v>8</v>
      </c>
      <c r="Y27">
        <f>SUMIFS(DataRegularSeason20242025!$AA$3:$AA$1315,DataRegularSeason20242025!$B$3:$B$1315, "&lt;=" &amp; Y$1, DataRegularSeason20242025!$D$3:$D$1315, $A27)+SUMIFS(DataRegularSeason20242025!$AB$3:$AB$1315,DataRegularSeason20242025!$B$3:$B$1315, "&lt;=" &amp; Y$1, DataRegularSeason20242025!$E$3:$E$1315, $A27)</f>
        <v>8</v>
      </c>
      <c r="Z27">
        <f>SUMIFS(DataRegularSeason20242025!$AA$3:$AA$1315,DataRegularSeason20242025!$B$3:$B$1315, "&lt;=" &amp; Z$1, DataRegularSeason20242025!$D$3:$D$1315, $A27)+SUMIFS(DataRegularSeason20242025!$AB$3:$AB$1315,DataRegularSeason20242025!$B$3:$B$1315, "&lt;=" &amp; Z$1, DataRegularSeason20242025!$E$3:$E$1315, $A27)</f>
        <v>8</v>
      </c>
      <c r="AA27">
        <f>SUMIFS(DataRegularSeason20242025!$AA$3:$AA$1315,DataRegularSeason20242025!$B$3:$B$1315, "&lt;=" &amp; AA$1, DataRegularSeason20242025!$D$3:$D$1315, $A27)+SUMIFS(DataRegularSeason20242025!$AB$3:$AB$1315,DataRegularSeason20242025!$B$3:$B$1315, "&lt;=" &amp; AA$1, DataRegularSeason20242025!$E$3:$E$1315, $A27)</f>
        <v>8</v>
      </c>
      <c r="AB27">
        <f>SUMIFS(DataRegularSeason20242025!$AA$3:$AA$1315,DataRegularSeason20242025!$B$3:$B$1315, "&lt;=" &amp; AB$1, DataRegularSeason20242025!$D$3:$D$1315, $A27)+SUMIFS(DataRegularSeason20242025!$AB$3:$AB$1315,DataRegularSeason20242025!$B$3:$B$1315, "&lt;=" &amp; AB$1, DataRegularSeason20242025!$E$3:$E$1315, $A27)</f>
        <v>8</v>
      </c>
      <c r="AC27">
        <f>SUMIFS(DataRegularSeason20242025!$AA$3:$AA$1315,DataRegularSeason20242025!$B$3:$B$1315, "&lt;=" &amp; AC$1, DataRegularSeason20242025!$D$3:$D$1315, $A27)+SUMIFS(DataRegularSeason20242025!$AB$3:$AB$1315,DataRegularSeason20242025!$B$3:$B$1315, "&lt;=" &amp; AC$1, DataRegularSeason20242025!$E$3:$E$1315, $A27)</f>
        <v>8</v>
      </c>
      <c r="AD27">
        <f>SUMIFS(DataRegularSeason20242025!$AA$3:$AA$1315,DataRegularSeason20242025!$B$3:$B$1315, "&lt;=" &amp; AD$1, DataRegularSeason20242025!$D$3:$D$1315, $A27)+SUMIFS(DataRegularSeason20242025!$AB$3:$AB$1315,DataRegularSeason20242025!$B$3:$B$1315, "&lt;=" &amp; AD$1, DataRegularSeason20242025!$E$3:$E$1315, $A27)</f>
        <v>8</v>
      </c>
      <c r="AE27">
        <f>SUMIFS(DataRegularSeason20242025!$AA$3:$AA$1315,DataRegularSeason20242025!$B$3:$B$1315, "&lt;=" &amp; AE$1, DataRegularSeason20242025!$D$3:$D$1315, $A27)+SUMIFS(DataRegularSeason20242025!$AB$3:$AB$1315,DataRegularSeason20242025!$B$3:$B$1315, "&lt;=" &amp; AE$1, DataRegularSeason20242025!$E$3:$E$1315, $A27)</f>
        <v>8</v>
      </c>
      <c r="AF27">
        <f>SUMIFS(DataRegularSeason20242025!$AA$3:$AA$1315,DataRegularSeason20242025!$B$3:$B$1315, "&lt;=" &amp; AF$1, DataRegularSeason20242025!$D$3:$D$1315, $A27)+SUMIFS(DataRegularSeason20242025!$AB$3:$AB$1315,DataRegularSeason20242025!$B$3:$B$1315, "&lt;=" &amp; AF$1, DataRegularSeason20242025!$E$3:$E$1315, $A27)</f>
        <v>8</v>
      </c>
      <c r="AG27">
        <f>SUMIFS(DataRegularSeason20242025!$AA$3:$AA$1315,DataRegularSeason20242025!$B$3:$B$1315, "&lt;=" &amp; AG$1, DataRegularSeason20242025!$D$3:$D$1315, $A27)+SUMIFS(DataRegularSeason20242025!$AB$3:$AB$1315,DataRegularSeason20242025!$B$3:$B$1315, "&lt;=" &amp; AG$1, DataRegularSeason20242025!$E$3:$E$1315, $A27)</f>
        <v>8</v>
      </c>
      <c r="AH27">
        <f>SUMIFS(DataRegularSeason20242025!$AA$3:$AA$1315,DataRegularSeason20242025!$B$3:$B$1315, "&lt;=" &amp; AH$1, DataRegularSeason20242025!$D$3:$D$1315, $A27)+SUMIFS(DataRegularSeason20242025!$AB$3:$AB$1315,DataRegularSeason20242025!$B$3:$B$1315, "&lt;=" &amp; AH$1, DataRegularSeason20242025!$E$3:$E$1315, $A27)</f>
        <v>8</v>
      </c>
      <c r="AI27">
        <f>SUMIFS(DataRegularSeason20242025!$AA$3:$AA$1315,DataRegularSeason20242025!$B$3:$B$1315, "&lt;=" &amp; AI$1, DataRegularSeason20242025!$D$3:$D$1315, $A27)+SUMIFS(DataRegularSeason20242025!$AB$3:$AB$1315,DataRegularSeason20242025!$B$3:$B$1315, "&lt;=" &amp; AI$1, DataRegularSeason20242025!$E$3:$E$1315, $A27)</f>
        <v>8</v>
      </c>
      <c r="AJ27">
        <f>SUMIFS(DataRegularSeason20242025!$AA$3:$AA$1315,DataRegularSeason20242025!$B$3:$B$1315, "&lt;=" &amp; AJ$1, DataRegularSeason20242025!$D$3:$D$1315, $A27)+SUMIFS(DataRegularSeason20242025!$AB$3:$AB$1315,DataRegularSeason20242025!$B$3:$B$1315, "&lt;=" &amp; AJ$1, DataRegularSeason20242025!$E$3:$E$1315, $A27)</f>
        <v>8</v>
      </c>
      <c r="AK27">
        <f>SUMIFS(DataRegularSeason20242025!$AA$3:$AA$1315,DataRegularSeason20242025!$B$3:$B$1315, "&lt;=" &amp; AK$1, DataRegularSeason20242025!$D$3:$D$1315, $A27)+SUMIFS(DataRegularSeason20242025!$AB$3:$AB$1315,DataRegularSeason20242025!$B$3:$B$1315, "&lt;=" &amp; AK$1, DataRegularSeason20242025!$E$3:$E$1315, $A27)</f>
        <v>8</v>
      </c>
      <c r="AL27">
        <f>SUMIFS(DataRegularSeason20242025!$AA$3:$AA$1315,DataRegularSeason20242025!$B$3:$B$1315, "&lt;=" &amp; AL$1, DataRegularSeason20242025!$D$3:$D$1315, $A27)+SUMIFS(DataRegularSeason20242025!$AB$3:$AB$1315,DataRegularSeason20242025!$B$3:$B$1315, "&lt;=" &amp; AL$1, DataRegularSeason20242025!$E$3:$E$1315, $A27)</f>
        <v>8</v>
      </c>
      <c r="AM27">
        <f>SUMIFS(DataRegularSeason20242025!$AA$3:$AA$1315,DataRegularSeason20242025!$B$3:$B$1315, "&lt;=" &amp; AM$1, DataRegularSeason20242025!$D$3:$D$1315, $A27)+SUMIFS(DataRegularSeason20242025!$AB$3:$AB$1315,DataRegularSeason20242025!$B$3:$B$1315, "&lt;=" &amp; AM$1, DataRegularSeason20242025!$E$3:$E$1315, $A27)</f>
        <v>8</v>
      </c>
      <c r="AN27">
        <f>SUMIFS(DataRegularSeason20242025!$AA$3:$AA$1315,DataRegularSeason20242025!$B$3:$B$1315, "&lt;=" &amp; AN$1, DataRegularSeason20242025!$D$3:$D$1315, $A27)+SUMIFS(DataRegularSeason20242025!$AB$3:$AB$1315,DataRegularSeason20242025!$B$3:$B$1315, "&lt;=" &amp; AN$1, DataRegularSeason20242025!$E$3:$E$1315, $A27)</f>
        <v>8</v>
      </c>
      <c r="AO27">
        <f>SUMIFS(DataRegularSeason20242025!$AA$3:$AA$1315,DataRegularSeason20242025!$B$3:$B$1315, "&lt;=" &amp; AO$1, DataRegularSeason20242025!$D$3:$D$1315, $A27)+SUMIFS(DataRegularSeason20242025!$AB$3:$AB$1315,DataRegularSeason20242025!$B$3:$B$1315, "&lt;=" &amp; AO$1, DataRegularSeason20242025!$E$3:$E$1315, $A27)</f>
        <v>8</v>
      </c>
      <c r="AP27">
        <f>SUMIFS(DataRegularSeason20242025!$AA$3:$AA$1315,DataRegularSeason20242025!$B$3:$B$1315, "&lt;=" &amp; AP$1, DataRegularSeason20242025!$D$3:$D$1315, $A27)+SUMIFS(DataRegularSeason20242025!$AB$3:$AB$1315,DataRegularSeason20242025!$B$3:$B$1315, "&lt;=" &amp; AP$1, DataRegularSeason20242025!$E$3:$E$1315, $A27)</f>
        <v>8</v>
      </c>
      <c r="AQ27">
        <f>SUMIFS(DataRegularSeason20242025!$AA$3:$AA$1315,DataRegularSeason20242025!$B$3:$B$1315, "&lt;=" &amp; AQ$1, DataRegularSeason20242025!$D$3:$D$1315, $A27)+SUMIFS(DataRegularSeason20242025!$AB$3:$AB$1315,DataRegularSeason20242025!$B$3:$B$1315, "&lt;=" &amp; AQ$1, DataRegularSeason20242025!$E$3:$E$1315, $A27)</f>
        <v>8</v>
      </c>
      <c r="AR27">
        <f>SUMIFS(DataRegularSeason20242025!$AA$3:$AA$1315,DataRegularSeason20242025!$B$3:$B$1315, "&lt;=" &amp; AR$1, DataRegularSeason20242025!$D$3:$D$1315, $A27)+SUMIFS(DataRegularSeason20242025!$AB$3:$AB$1315,DataRegularSeason20242025!$B$3:$B$1315, "&lt;=" &amp; AR$1, DataRegularSeason20242025!$E$3:$E$1315, $A27)</f>
        <v>8</v>
      </c>
      <c r="AS27">
        <f>SUMIFS(DataRegularSeason20242025!$AA$3:$AA$1315,DataRegularSeason20242025!$B$3:$B$1315, "&lt;=" &amp; AS$1, DataRegularSeason20242025!$D$3:$D$1315, $A27)+SUMIFS(DataRegularSeason20242025!$AB$3:$AB$1315,DataRegularSeason20242025!$B$3:$B$1315, "&lt;=" &amp; AS$1, DataRegularSeason20242025!$E$3:$E$1315, $A27)</f>
        <v>8</v>
      </c>
      <c r="AT27">
        <f>SUMIFS(DataRegularSeason20242025!$AA$3:$AA$1315,DataRegularSeason20242025!$B$3:$B$1315, "&lt;=" &amp; AT$1, DataRegularSeason20242025!$D$3:$D$1315, $A27)+SUMIFS(DataRegularSeason20242025!$AB$3:$AB$1315,DataRegularSeason20242025!$B$3:$B$1315, "&lt;=" &amp; AT$1, DataRegularSeason20242025!$E$3:$E$1315, $A27)</f>
        <v>8</v>
      </c>
      <c r="AU27">
        <f>SUMIFS(DataRegularSeason20242025!$AA$3:$AA$1315,DataRegularSeason20242025!$B$3:$B$1315, "&lt;=" &amp; AU$1, DataRegularSeason20242025!$D$3:$D$1315, $A27)+SUMIFS(DataRegularSeason20242025!$AB$3:$AB$1315,DataRegularSeason20242025!$B$3:$B$1315, "&lt;=" &amp; AU$1, DataRegularSeason20242025!$E$3:$E$1315, $A27)</f>
        <v>8</v>
      </c>
      <c r="AV27">
        <f>SUMIFS(DataRegularSeason20242025!$AA$3:$AA$1315,DataRegularSeason20242025!$B$3:$B$1315, "&lt;=" &amp; AV$1, DataRegularSeason20242025!$D$3:$D$1315, $A27)+SUMIFS(DataRegularSeason20242025!$AB$3:$AB$1315,DataRegularSeason20242025!$B$3:$B$1315, "&lt;=" &amp; AV$1, DataRegularSeason20242025!$E$3:$E$1315, $A27)</f>
        <v>8</v>
      </c>
      <c r="AW27">
        <f>SUMIFS(DataRegularSeason20242025!$AA$3:$AA$1315,DataRegularSeason20242025!$B$3:$B$1315, "&lt;=" &amp; AW$1, DataRegularSeason20242025!$D$3:$D$1315, $A27)+SUMIFS(DataRegularSeason20242025!$AB$3:$AB$1315,DataRegularSeason20242025!$B$3:$B$1315, "&lt;=" &amp; AW$1, DataRegularSeason20242025!$E$3:$E$1315, $A27)</f>
        <v>8</v>
      </c>
      <c r="AX27">
        <f>SUMIFS(DataRegularSeason20242025!$AA$3:$AA$1315,DataRegularSeason20242025!$B$3:$B$1315, "&lt;=" &amp; AX$1, DataRegularSeason20242025!$D$3:$D$1315, $A27)+SUMIFS(DataRegularSeason20242025!$AB$3:$AB$1315,DataRegularSeason20242025!$B$3:$B$1315, "&lt;=" &amp; AX$1, DataRegularSeason20242025!$E$3:$E$1315, $A27)</f>
        <v>8</v>
      </c>
      <c r="AY27">
        <f>SUMIFS(DataRegularSeason20242025!$AA$3:$AA$1315,DataRegularSeason20242025!$B$3:$B$1315, "&lt;=" &amp; AY$1, DataRegularSeason20242025!$D$3:$D$1315, $A27)+SUMIFS(DataRegularSeason20242025!$AB$3:$AB$1315,DataRegularSeason20242025!$B$3:$B$1315, "&lt;=" &amp; AY$1, DataRegularSeason20242025!$E$3:$E$1315, $A27)</f>
        <v>8</v>
      </c>
      <c r="AZ27">
        <f>SUMIFS(DataRegularSeason20242025!$AA$3:$AA$1315,DataRegularSeason20242025!$B$3:$B$1315, "&lt;=" &amp; AZ$1, DataRegularSeason20242025!$D$3:$D$1315, $A27)+SUMIFS(DataRegularSeason20242025!$AB$3:$AB$1315,DataRegularSeason20242025!$B$3:$B$1315, "&lt;=" &amp; AZ$1, DataRegularSeason20242025!$E$3:$E$1315, $A27)</f>
        <v>8</v>
      </c>
      <c r="BA27">
        <f>SUMIFS(DataRegularSeason20242025!$AA$3:$AA$1315,DataRegularSeason20242025!$B$3:$B$1315, "&lt;=" &amp; BA$1, DataRegularSeason20242025!$D$3:$D$1315, $A27)+SUMIFS(DataRegularSeason20242025!$AB$3:$AB$1315,DataRegularSeason20242025!$B$3:$B$1315, "&lt;=" &amp; BA$1, DataRegularSeason20242025!$E$3:$E$1315, $A27)</f>
        <v>8</v>
      </c>
      <c r="BB27">
        <f>SUMIFS(DataRegularSeason20242025!$AA$3:$AA$1315,DataRegularSeason20242025!$B$3:$B$1315, "&lt;=" &amp; BB$1, DataRegularSeason20242025!$D$3:$D$1315, $A27)+SUMIFS(DataRegularSeason20242025!$AB$3:$AB$1315,DataRegularSeason20242025!$B$3:$B$1315, "&lt;=" &amp; BB$1, DataRegularSeason20242025!$E$3:$E$1315, $A27)</f>
        <v>8</v>
      </c>
      <c r="BC27">
        <f>SUMIFS(DataRegularSeason20242025!$AA$3:$AA$1315,DataRegularSeason20242025!$B$3:$B$1315, "&lt;=" &amp; BC$1, DataRegularSeason20242025!$D$3:$D$1315, $A27)+SUMIFS(DataRegularSeason20242025!$AB$3:$AB$1315,DataRegularSeason20242025!$B$3:$B$1315, "&lt;=" &amp; BC$1, DataRegularSeason20242025!$E$3:$E$1315, $A27)</f>
        <v>8</v>
      </c>
      <c r="BD27">
        <f>SUMIFS(DataRegularSeason20242025!$AA$3:$AA$1315,DataRegularSeason20242025!$B$3:$B$1315, "&lt;=" &amp; BD$1, DataRegularSeason20242025!$D$3:$D$1315, $A27)+SUMIFS(DataRegularSeason20242025!$AB$3:$AB$1315,DataRegularSeason20242025!$B$3:$B$1315, "&lt;=" &amp; BD$1, DataRegularSeason20242025!$E$3:$E$1315, $A27)</f>
        <v>8</v>
      </c>
      <c r="BE27">
        <f>SUMIFS(DataRegularSeason20242025!$AA$3:$AA$1315,DataRegularSeason20242025!$B$3:$B$1315, "&lt;=" &amp; BE$1, DataRegularSeason20242025!$D$3:$D$1315, $A27)+SUMIFS(DataRegularSeason20242025!$AB$3:$AB$1315,DataRegularSeason20242025!$B$3:$B$1315, "&lt;=" &amp; BE$1, DataRegularSeason20242025!$E$3:$E$1315, $A27)</f>
        <v>8</v>
      </c>
      <c r="BF27">
        <f>SUMIFS(DataRegularSeason20242025!$AA$3:$AA$1315,DataRegularSeason20242025!$B$3:$B$1315, "&lt;=" &amp; BF$1, DataRegularSeason20242025!$D$3:$D$1315, $A27)+SUMIFS(DataRegularSeason20242025!$AB$3:$AB$1315,DataRegularSeason20242025!$B$3:$B$1315, "&lt;=" &amp; BF$1, DataRegularSeason20242025!$E$3:$E$1315, $A27)</f>
        <v>8</v>
      </c>
      <c r="BG27">
        <f>SUMIFS(DataRegularSeason20242025!$AA$3:$AA$1315,DataRegularSeason20242025!$B$3:$B$1315, "&lt;=" &amp; BG$1, DataRegularSeason20242025!$D$3:$D$1315, $A27)+SUMIFS(DataRegularSeason20242025!$AB$3:$AB$1315,DataRegularSeason20242025!$B$3:$B$1315, "&lt;=" &amp; BG$1, DataRegularSeason20242025!$E$3:$E$1315, $A27)</f>
        <v>8</v>
      </c>
      <c r="BH27">
        <f>SUMIFS(DataRegularSeason20242025!$AA$3:$AA$1315,DataRegularSeason20242025!$B$3:$B$1315, "&lt;=" &amp; BH$1, DataRegularSeason20242025!$D$3:$D$1315, $A27)+SUMIFS(DataRegularSeason20242025!$AB$3:$AB$1315,DataRegularSeason20242025!$B$3:$B$1315, "&lt;=" &amp; BH$1, DataRegularSeason20242025!$E$3:$E$1315, $A27)</f>
        <v>8</v>
      </c>
      <c r="BI27">
        <f>SUMIFS(DataRegularSeason20242025!$AA$3:$AA$1315,DataRegularSeason20242025!$B$3:$B$1315, "&lt;=" &amp; BI$1, DataRegularSeason20242025!$D$3:$D$1315, $A27)+SUMIFS(DataRegularSeason20242025!$AB$3:$AB$1315,DataRegularSeason20242025!$B$3:$B$1315, "&lt;=" &amp; BI$1, DataRegularSeason20242025!$E$3:$E$1315, $A27)</f>
        <v>8</v>
      </c>
      <c r="BJ27">
        <f>SUMIFS(DataRegularSeason20242025!$AA$3:$AA$1315,DataRegularSeason20242025!$B$3:$B$1315, "&lt;=" &amp; BJ$1, DataRegularSeason20242025!$D$3:$D$1315, $A27)+SUMIFS(DataRegularSeason20242025!$AB$3:$AB$1315,DataRegularSeason20242025!$B$3:$B$1315, "&lt;=" &amp; BJ$1, DataRegularSeason20242025!$E$3:$E$1315, $A27)</f>
        <v>8</v>
      </c>
      <c r="BK27">
        <f>SUMIFS(DataRegularSeason20242025!$AA$3:$AA$1315,DataRegularSeason20242025!$B$3:$B$1315, "&lt;=" &amp; BK$1, DataRegularSeason20242025!$D$3:$D$1315, $A27)+SUMIFS(DataRegularSeason20242025!$AB$3:$AB$1315,DataRegularSeason20242025!$B$3:$B$1315, "&lt;=" &amp; BK$1, DataRegularSeason20242025!$E$3:$E$1315, $A27)</f>
        <v>8</v>
      </c>
      <c r="BL27">
        <f>SUMIFS(DataRegularSeason20242025!$AA$3:$AA$1315,DataRegularSeason20242025!$B$3:$B$1315, "&lt;=" &amp; BL$1, DataRegularSeason20242025!$D$3:$D$1315, $A27)+SUMIFS(DataRegularSeason20242025!$AB$3:$AB$1315,DataRegularSeason20242025!$B$3:$B$1315, "&lt;=" &amp; BL$1, DataRegularSeason20242025!$E$3:$E$1315, $A27)</f>
        <v>8</v>
      </c>
      <c r="BM27">
        <f>SUMIFS(DataRegularSeason20242025!$AA$3:$AA$1315,DataRegularSeason20242025!$B$3:$B$1315, "&lt;=" &amp; BM$1, DataRegularSeason20242025!$D$3:$D$1315, $A27)+SUMIFS(DataRegularSeason20242025!$AB$3:$AB$1315,DataRegularSeason20242025!$B$3:$B$1315, "&lt;=" &amp; BM$1, DataRegularSeason20242025!$E$3:$E$1315, $A27)</f>
        <v>8</v>
      </c>
      <c r="BN27">
        <f>SUMIFS(DataRegularSeason20242025!$AA$3:$AA$1315,DataRegularSeason20242025!$B$3:$B$1315, "&lt;=" &amp; BN$1, DataRegularSeason20242025!$D$3:$D$1315, $A27)+SUMIFS(DataRegularSeason20242025!$AB$3:$AB$1315,DataRegularSeason20242025!$B$3:$B$1315, "&lt;=" &amp; BN$1, DataRegularSeason20242025!$E$3:$E$1315, $A27)</f>
        <v>8</v>
      </c>
      <c r="BO27">
        <f>SUMIFS(DataRegularSeason20242025!$AA$3:$AA$1315,DataRegularSeason20242025!$B$3:$B$1315, "&lt;=" &amp; BO$1, DataRegularSeason20242025!$D$3:$D$1315, $A27)+SUMIFS(DataRegularSeason20242025!$AB$3:$AB$1315,DataRegularSeason20242025!$B$3:$B$1315, "&lt;=" &amp; BO$1, DataRegularSeason20242025!$E$3:$E$1315, $A27)</f>
        <v>8</v>
      </c>
      <c r="BP27">
        <f>SUMIFS(DataRegularSeason20242025!$AA$3:$AA$1315,DataRegularSeason20242025!$B$3:$B$1315, "&lt;=" &amp; BP$1, DataRegularSeason20242025!$D$3:$D$1315, $A27)+SUMIFS(DataRegularSeason20242025!$AB$3:$AB$1315,DataRegularSeason20242025!$B$3:$B$1315, "&lt;=" &amp; BP$1, DataRegularSeason20242025!$E$3:$E$1315, $A27)</f>
        <v>8</v>
      </c>
      <c r="BQ27">
        <f>SUMIFS(DataRegularSeason20242025!$AA$3:$AA$1315,DataRegularSeason20242025!$B$3:$B$1315, "&lt;=" &amp; BQ$1, DataRegularSeason20242025!$D$3:$D$1315, $A27)+SUMIFS(DataRegularSeason20242025!$AB$3:$AB$1315,DataRegularSeason20242025!$B$3:$B$1315, "&lt;=" &amp; BQ$1, DataRegularSeason20242025!$E$3:$E$1315, $A27)</f>
        <v>8</v>
      </c>
      <c r="BR27">
        <f>SUMIFS(DataRegularSeason20242025!$AA$3:$AA$1315,DataRegularSeason20242025!$B$3:$B$1315, "&lt;=" &amp; BR$1, DataRegularSeason20242025!$D$3:$D$1315, $A27)+SUMIFS(DataRegularSeason20242025!$AB$3:$AB$1315,DataRegularSeason20242025!$B$3:$B$1315, "&lt;=" &amp; BR$1, DataRegularSeason20242025!$E$3:$E$1315, $A27)</f>
        <v>8</v>
      </c>
      <c r="BS27">
        <f>SUMIFS(DataRegularSeason20242025!$AA$3:$AA$1315,DataRegularSeason20242025!$B$3:$B$1315, "&lt;=" &amp; BS$1, DataRegularSeason20242025!$D$3:$D$1315, $A27)+SUMIFS(DataRegularSeason20242025!$AB$3:$AB$1315,DataRegularSeason20242025!$B$3:$B$1315, "&lt;=" &amp; BS$1, DataRegularSeason20242025!$E$3:$E$1315, $A27)</f>
        <v>8</v>
      </c>
      <c r="BT27">
        <f>SUMIFS(DataRegularSeason20242025!$AA$3:$AA$1315,DataRegularSeason20242025!$B$3:$B$1315, "&lt;=" &amp; BT$1, DataRegularSeason20242025!$D$3:$D$1315, $A27)+SUMIFS(DataRegularSeason20242025!$AB$3:$AB$1315,DataRegularSeason20242025!$B$3:$B$1315, "&lt;=" &amp; BT$1, DataRegularSeason20242025!$E$3:$E$1315, $A27)</f>
        <v>8</v>
      </c>
      <c r="BU27">
        <f>SUMIFS(DataRegularSeason20242025!$AA$3:$AA$1315,DataRegularSeason20242025!$B$3:$B$1315, "&lt;=" &amp; BU$1, DataRegularSeason20242025!$D$3:$D$1315, $A27)+SUMIFS(DataRegularSeason20242025!$AB$3:$AB$1315,DataRegularSeason20242025!$B$3:$B$1315, "&lt;=" &amp; BU$1, DataRegularSeason20242025!$E$3:$E$1315, $A27)</f>
        <v>8</v>
      </c>
      <c r="BV27">
        <f>SUMIFS(DataRegularSeason20242025!$AA$3:$AA$1315,DataRegularSeason20242025!$B$3:$B$1315, "&lt;=" &amp; BV$1, DataRegularSeason20242025!$D$3:$D$1315, $A27)+SUMIFS(DataRegularSeason20242025!$AB$3:$AB$1315,DataRegularSeason20242025!$B$3:$B$1315, "&lt;=" &amp; BV$1, DataRegularSeason20242025!$E$3:$E$1315, $A27)</f>
        <v>8</v>
      </c>
      <c r="BW27">
        <f>SUMIFS(DataRegularSeason20242025!$AA$3:$AA$1315,DataRegularSeason20242025!$B$3:$B$1315, "&lt;=" &amp; BW$1, DataRegularSeason20242025!$D$3:$D$1315, $A27)+SUMIFS(DataRegularSeason20242025!$AB$3:$AB$1315,DataRegularSeason20242025!$B$3:$B$1315, "&lt;=" &amp; BW$1, DataRegularSeason20242025!$E$3:$E$1315, $A27)</f>
        <v>8</v>
      </c>
      <c r="BX27">
        <f>SUMIFS(DataRegularSeason20242025!$AA$3:$AA$1315,DataRegularSeason20242025!$B$3:$B$1315, "&lt;=" &amp; BX$1, DataRegularSeason20242025!$D$3:$D$1315, $A27)+SUMIFS(DataRegularSeason20242025!$AB$3:$AB$1315,DataRegularSeason20242025!$B$3:$B$1315, "&lt;=" &amp; BX$1, DataRegularSeason20242025!$E$3:$E$1315, $A27)</f>
        <v>8</v>
      </c>
      <c r="BY27">
        <f>SUMIFS(DataRegularSeason20242025!$AA$3:$AA$1315,DataRegularSeason20242025!$B$3:$B$1315, "&lt;=" &amp; BY$1, DataRegularSeason20242025!$D$3:$D$1315, $A27)+SUMIFS(DataRegularSeason20242025!$AB$3:$AB$1315,DataRegularSeason20242025!$B$3:$B$1315, "&lt;=" &amp; BY$1, DataRegularSeason20242025!$E$3:$E$1315, $A27)</f>
        <v>8</v>
      </c>
      <c r="BZ27">
        <f>SUMIFS(DataRegularSeason20242025!$AA$3:$AA$1315,DataRegularSeason20242025!$B$3:$B$1315, "&lt;=" &amp; BZ$1, DataRegularSeason20242025!$D$3:$D$1315, $A27)+SUMIFS(DataRegularSeason20242025!$AB$3:$AB$1315,DataRegularSeason20242025!$B$3:$B$1315, "&lt;=" &amp; BZ$1, DataRegularSeason20242025!$E$3:$E$1315, $A27)</f>
        <v>8</v>
      </c>
      <c r="CA27">
        <f>SUMIFS(DataRegularSeason20242025!$AA$3:$AA$1315,DataRegularSeason20242025!$B$3:$B$1315, "&lt;=" &amp; CA$1, DataRegularSeason20242025!$D$3:$D$1315, $A27)+SUMIFS(DataRegularSeason20242025!$AB$3:$AB$1315,DataRegularSeason20242025!$B$3:$B$1315, "&lt;=" &amp; CA$1, DataRegularSeason20242025!$E$3:$E$1315, $A27)</f>
        <v>8</v>
      </c>
      <c r="CB27">
        <f>SUMIFS(DataRegularSeason20242025!$AA$3:$AA$1315,DataRegularSeason20242025!$B$3:$B$1315, "&lt;=" &amp; CB$1, DataRegularSeason20242025!$D$3:$D$1315, $A27)+SUMIFS(DataRegularSeason20242025!$AB$3:$AB$1315,DataRegularSeason20242025!$B$3:$B$1315, "&lt;=" &amp; CB$1, DataRegularSeason20242025!$E$3:$E$1315, $A27)</f>
        <v>8</v>
      </c>
      <c r="CC27">
        <f>SUMIFS(DataRegularSeason20242025!$AA$3:$AA$1315,DataRegularSeason20242025!$B$3:$B$1315, "&lt;=" &amp; CC$1, DataRegularSeason20242025!$D$3:$D$1315, $A27)+SUMIFS(DataRegularSeason20242025!$AB$3:$AB$1315,DataRegularSeason20242025!$B$3:$B$1315, "&lt;=" &amp; CC$1, DataRegularSeason20242025!$E$3:$E$1315, $A27)</f>
        <v>8</v>
      </c>
      <c r="CD27">
        <f>SUMIFS(DataRegularSeason20242025!$AA$3:$AA$1315,DataRegularSeason20242025!$B$3:$B$1315, "&lt;=" &amp; CD$1, DataRegularSeason20242025!$D$3:$D$1315, $A27)+SUMIFS(DataRegularSeason20242025!$AB$3:$AB$1315,DataRegularSeason20242025!$B$3:$B$1315, "&lt;=" &amp; CD$1, DataRegularSeason20242025!$E$3:$E$1315, $A27)</f>
        <v>8</v>
      </c>
      <c r="CE27">
        <f>SUMIFS(DataRegularSeason20242025!$AA$3:$AA$1315,DataRegularSeason20242025!$B$3:$B$1315, "&lt;=" &amp; CE$1, DataRegularSeason20242025!$D$3:$D$1315, $A27)+SUMIFS(DataRegularSeason20242025!$AB$3:$AB$1315,DataRegularSeason20242025!$B$3:$B$1315, "&lt;=" &amp; CE$1, DataRegularSeason20242025!$E$3:$E$1315, $A27)</f>
        <v>8</v>
      </c>
      <c r="CF27">
        <f>SUMIFS(DataRegularSeason20242025!$AA$3:$AA$1315,DataRegularSeason20242025!$B$3:$B$1315, "&lt;=" &amp; CF$1, DataRegularSeason20242025!$D$3:$D$1315, $A27)+SUMIFS(DataRegularSeason20242025!$AB$3:$AB$1315,DataRegularSeason20242025!$B$3:$B$1315, "&lt;=" &amp; CF$1, DataRegularSeason20242025!$E$3:$E$1315, $A27)</f>
        <v>8</v>
      </c>
      <c r="CG27">
        <f>SUMIFS(DataRegularSeason20242025!$AA$3:$AA$1315,DataRegularSeason20242025!$B$3:$B$1315, "&lt;=" &amp; CG$1, DataRegularSeason20242025!$D$3:$D$1315, $A27)+SUMIFS(DataRegularSeason20242025!$AB$3:$AB$1315,DataRegularSeason20242025!$B$3:$B$1315, "&lt;=" &amp; CG$1, DataRegularSeason20242025!$E$3:$E$1315, $A27)</f>
        <v>8</v>
      </c>
      <c r="CH27">
        <f>SUMIFS(DataRegularSeason20242025!$AA$3:$AA$1315,DataRegularSeason20242025!$B$3:$B$1315, "&lt;=" &amp; CH$1, DataRegularSeason20242025!$D$3:$D$1315, $A27)+SUMIFS(DataRegularSeason20242025!$AB$3:$AB$1315,DataRegularSeason20242025!$B$3:$B$1315, "&lt;=" &amp; CH$1, DataRegularSeason20242025!$E$3:$E$1315, $A27)</f>
        <v>8</v>
      </c>
      <c r="CI27">
        <f>SUMIFS(DataRegularSeason20242025!$AA$3:$AA$1315,DataRegularSeason20242025!$B$3:$B$1315, "&lt;=" &amp; CI$1, DataRegularSeason20242025!$D$3:$D$1315, $A27)+SUMIFS(DataRegularSeason20242025!$AB$3:$AB$1315,DataRegularSeason20242025!$B$3:$B$1315, "&lt;=" &amp; CI$1, DataRegularSeason20242025!$E$3:$E$1315, $A27)</f>
        <v>8</v>
      </c>
      <c r="CJ27">
        <f>SUMIFS(DataRegularSeason20242025!$AA$3:$AA$1315,DataRegularSeason20242025!$B$3:$B$1315, "&lt;=" &amp; CJ$1, DataRegularSeason20242025!$D$3:$D$1315, $A27)+SUMIFS(DataRegularSeason20242025!$AB$3:$AB$1315,DataRegularSeason20242025!$B$3:$B$1315, "&lt;=" &amp; CJ$1, DataRegularSeason20242025!$E$3:$E$1315, $A27)</f>
        <v>8</v>
      </c>
      <c r="CK27">
        <f>SUMIFS(DataRegularSeason20242025!$AA$3:$AA$1315,DataRegularSeason20242025!$B$3:$B$1315, "&lt;=" &amp; CK$1, DataRegularSeason20242025!$D$3:$D$1315, $A27)+SUMIFS(DataRegularSeason20242025!$AB$3:$AB$1315,DataRegularSeason20242025!$B$3:$B$1315, "&lt;=" &amp; CK$1, DataRegularSeason20242025!$E$3:$E$1315, $A27)</f>
        <v>8</v>
      </c>
      <c r="CL27">
        <f>SUMIFS(DataRegularSeason20242025!$AA$3:$AA$1315,DataRegularSeason20242025!$B$3:$B$1315, "&lt;=" &amp; CL$1, DataRegularSeason20242025!$D$3:$D$1315, $A27)+SUMIFS(DataRegularSeason20242025!$AB$3:$AB$1315,DataRegularSeason20242025!$B$3:$B$1315, "&lt;=" &amp; CL$1, DataRegularSeason20242025!$E$3:$E$1315, $A27)</f>
        <v>8</v>
      </c>
      <c r="CM27">
        <f>SUMIFS(DataRegularSeason20242025!$AA$3:$AA$1315,DataRegularSeason20242025!$B$3:$B$1315, "&lt;=" &amp; CM$1, DataRegularSeason20242025!$D$3:$D$1315, $A27)+SUMIFS(DataRegularSeason20242025!$AB$3:$AB$1315,DataRegularSeason20242025!$B$3:$B$1315, "&lt;=" &amp; CM$1, DataRegularSeason20242025!$E$3:$E$1315, $A27)</f>
        <v>8</v>
      </c>
      <c r="CN27">
        <f>SUMIFS(DataRegularSeason20242025!$AA$3:$AA$1315,DataRegularSeason20242025!$B$3:$B$1315, "&lt;=" &amp; CN$1, DataRegularSeason20242025!$D$3:$D$1315, $A27)+SUMIFS(DataRegularSeason20242025!$AB$3:$AB$1315,DataRegularSeason20242025!$B$3:$B$1315, "&lt;=" &amp; CN$1, DataRegularSeason20242025!$E$3:$E$1315, $A27)</f>
        <v>8</v>
      </c>
      <c r="CO27">
        <f>SUMIFS(DataRegularSeason20242025!$AA$3:$AA$1315,DataRegularSeason20242025!$B$3:$B$1315, "&lt;=" &amp; CO$1, DataRegularSeason20242025!$D$3:$D$1315, $A27)+SUMIFS(DataRegularSeason20242025!$AB$3:$AB$1315,DataRegularSeason20242025!$B$3:$B$1315, "&lt;=" &amp; CO$1, DataRegularSeason20242025!$E$3:$E$1315, $A27)</f>
        <v>8</v>
      </c>
      <c r="CP27">
        <f>SUMIFS(DataRegularSeason20242025!$AA$3:$AA$1315,DataRegularSeason20242025!$B$3:$B$1315, "&lt;=" &amp; CP$1, DataRegularSeason20242025!$D$3:$D$1315, $A27)+SUMIFS(DataRegularSeason20242025!$AB$3:$AB$1315,DataRegularSeason20242025!$B$3:$B$1315, "&lt;=" &amp; CP$1, DataRegularSeason20242025!$E$3:$E$1315, $A27)</f>
        <v>8</v>
      </c>
      <c r="CQ27">
        <f>SUMIFS(DataRegularSeason20242025!$AA$3:$AA$1315,DataRegularSeason20242025!$B$3:$B$1315, "&lt;=" &amp; CQ$1, DataRegularSeason20242025!$D$3:$D$1315, $A27)+SUMIFS(DataRegularSeason20242025!$AB$3:$AB$1315,DataRegularSeason20242025!$B$3:$B$1315, "&lt;=" &amp; CQ$1, DataRegularSeason20242025!$E$3:$E$1315, $A27)</f>
        <v>8</v>
      </c>
      <c r="CR27">
        <f>SUMIFS(DataRegularSeason20242025!$AA$3:$AA$1315,DataRegularSeason20242025!$B$3:$B$1315, "&lt;=" &amp; CR$1, DataRegularSeason20242025!$D$3:$D$1315, $A27)+SUMIFS(DataRegularSeason20242025!$AB$3:$AB$1315,DataRegularSeason20242025!$B$3:$B$1315, "&lt;=" &amp; CR$1, DataRegularSeason20242025!$E$3:$E$1315, $A27)</f>
        <v>8</v>
      </c>
      <c r="CS27">
        <f>SUMIFS(DataRegularSeason20242025!$AA$3:$AA$1315,DataRegularSeason20242025!$B$3:$B$1315, "&lt;=" &amp; CS$1, DataRegularSeason20242025!$D$3:$D$1315, $A27)+SUMIFS(DataRegularSeason20242025!$AB$3:$AB$1315,DataRegularSeason20242025!$B$3:$B$1315, "&lt;=" &amp; CS$1, DataRegularSeason20242025!$E$3:$E$1315, $A27)</f>
        <v>8</v>
      </c>
      <c r="CT27">
        <f>SUMIFS(DataRegularSeason20242025!$AA$3:$AA$1315,DataRegularSeason20242025!$B$3:$B$1315, "&lt;=" &amp; CT$1, DataRegularSeason20242025!$D$3:$D$1315, $A27)+SUMIFS(DataRegularSeason20242025!$AB$3:$AB$1315,DataRegularSeason20242025!$B$3:$B$1315, "&lt;=" &amp; CT$1, DataRegularSeason20242025!$E$3:$E$1315, $A27)</f>
        <v>8</v>
      </c>
      <c r="CU27">
        <f>SUMIFS(DataRegularSeason20242025!$AA$3:$AA$1315,DataRegularSeason20242025!$B$3:$B$1315, "&lt;=" &amp; CU$1, DataRegularSeason20242025!$D$3:$D$1315, $A27)+SUMIFS(DataRegularSeason20242025!$AB$3:$AB$1315,DataRegularSeason20242025!$B$3:$B$1315, "&lt;=" &amp; CU$1, DataRegularSeason20242025!$E$3:$E$1315, $A27)</f>
        <v>8</v>
      </c>
      <c r="CV27">
        <f>SUMIFS(DataRegularSeason20242025!$AA$3:$AA$1315,DataRegularSeason20242025!$B$3:$B$1315, "&lt;=" &amp; CV$1, DataRegularSeason20242025!$D$3:$D$1315, $A27)+SUMIFS(DataRegularSeason20242025!$AB$3:$AB$1315,DataRegularSeason20242025!$B$3:$B$1315, "&lt;=" &amp; CV$1, DataRegularSeason20242025!$E$3:$E$1315, $A27)</f>
        <v>8</v>
      </c>
      <c r="CW27">
        <f>SUMIFS(DataRegularSeason20242025!$AA$3:$AA$1315,DataRegularSeason20242025!$B$3:$B$1315, "&lt;=" &amp; CW$1, DataRegularSeason20242025!$D$3:$D$1315, $A27)+SUMIFS(DataRegularSeason20242025!$AB$3:$AB$1315,DataRegularSeason20242025!$B$3:$B$1315, "&lt;=" &amp; CW$1, DataRegularSeason20242025!$E$3:$E$1315, $A27)</f>
        <v>8</v>
      </c>
      <c r="CX27">
        <f>SUMIFS(DataRegularSeason20242025!$AA$3:$AA$1315,DataRegularSeason20242025!$B$3:$B$1315, "&lt;=" &amp; CX$1, DataRegularSeason20242025!$D$3:$D$1315, $A27)+SUMIFS(DataRegularSeason20242025!$AB$3:$AB$1315,DataRegularSeason20242025!$B$3:$B$1315, "&lt;=" &amp; CX$1, DataRegularSeason20242025!$E$3:$E$1315, $A27)</f>
        <v>8</v>
      </c>
      <c r="CY27">
        <f>SUMIFS(DataRegularSeason20242025!$AA$3:$AA$1315,DataRegularSeason20242025!$B$3:$B$1315, "&lt;=" &amp; CY$1, DataRegularSeason20242025!$D$3:$D$1315, $A27)+SUMIFS(DataRegularSeason20242025!$AB$3:$AB$1315,DataRegularSeason20242025!$B$3:$B$1315, "&lt;=" &amp; CY$1, DataRegularSeason20242025!$E$3:$E$1315, $A27)</f>
        <v>8</v>
      </c>
      <c r="CZ27">
        <f>SUMIFS(DataRegularSeason20242025!$AA$3:$AA$1315,DataRegularSeason20242025!$B$3:$B$1315, "&lt;=" &amp; CZ$1, DataRegularSeason20242025!$D$3:$D$1315, $A27)+SUMIFS(DataRegularSeason20242025!$AB$3:$AB$1315,DataRegularSeason20242025!$B$3:$B$1315, "&lt;=" &amp; CZ$1, DataRegularSeason20242025!$E$3:$E$1315, $A27)</f>
        <v>8</v>
      </c>
      <c r="DA27">
        <f>SUMIFS(DataRegularSeason20242025!$AA$3:$AA$1315,DataRegularSeason20242025!$B$3:$B$1315, "&lt;=" &amp; DA$1, DataRegularSeason20242025!$D$3:$D$1315, $A27)+SUMIFS(DataRegularSeason20242025!$AB$3:$AB$1315,DataRegularSeason20242025!$B$3:$B$1315, "&lt;=" &amp; DA$1, DataRegularSeason20242025!$E$3:$E$1315, $A27)</f>
        <v>8</v>
      </c>
      <c r="DB27">
        <f>SUMIFS(DataRegularSeason20242025!$AA$3:$AA$1315,DataRegularSeason20242025!$B$3:$B$1315, "&lt;=" &amp; DB$1, DataRegularSeason20242025!$D$3:$D$1315, $A27)+SUMIFS(DataRegularSeason20242025!$AB$3:$AB$1315,DataRegularSeason20242025!$B$3:$B$1315, "&lt;=" &amp; DB$1, DataRegularSeason20242025!$E$3:$E$1315, $A27)</f>
        <v>8</v>
      </c>
      <c r="DC27">
        <f>SUMIFS(DataRegularSeason20242025!$AA$3:$AA$1315,DataRegularSeason20242025!$B$3:$B$1315, "&lt;=" &amp; DC$1, DataRegularSeason20242025!$D$3:$D$1315, $A27)+SUMIFS(DataRegularSeason20242025!$AB$3:$AB$1315,DataRegularSeason20242025!$B$3:$B$1315, "&lt;=" &amp; DC$1, DataRegularSeason20242025!$E$3:$E$1315, $A27)</f>
        <v>8</v>
      </c>
      <c r="DD27">
        <f>SUMIFS(DataRegularSeason20242025!$AA$3:$AA$1315,DataRegularSeason20242025!$B$3:$B$1315, "&lt;=" &amp; DD$1, DataRegularSeason20242025!$D$3:$D$1315, $A27)+SUMIFS(DataRegularSeason20242025!$AB$3:$AB$1315,DataRegularSeason20242025!$B$3:$B$1315, "&lt;=" &amp; DD$1, DataRegularSeason20242025!$E$3:$E$1315, $A27)</f>
        <v>8</v>
      </c>
      <c r="DE27">
        <f>SUMIFS(DataRegularSeason20242025!$AA$3:$AA$1315,DataRegularSeason20242025!$B$3:$B$1315, "&lt;=" &amp; DE$1, DataRegularSeason20242025!$D$3:$D$1315, $A27)+SUMIFS(DataRegularSeason20242025!$AB$3:$AB$1315,DataRegularSeason20242025!$B$3:$B$1315, "&lt;=" &amp; DE$1, DataRegularSeason20242025!$E$3:$E$1315, $A27)</f>
        <v>8</v>
      </c>
      <c r="DF27">
        <f>SUMIFS(DataRegularSeason20242025!$AA$3:$AA$1315,DataRegularSeason20242025!$B$3:$B$1315, "&lt;=" &amp; DF$1, DataRegularSeason20242025!$D$3:$D$1315, $A27)+SUMIFS(DataRegularSeason20242025!$AB$3:$AB$1315,DataRegularSeason20242025!$B$3:$B$1315, "&lt;=" &amp; DF$1, DataRegularSeason20242025!$E$3:$E$1315, $A27)</f>
        <v>8</v>
      </c>
      <c r="DG27">
        <f>SUMIFS(DataRegularSeason20242025!$AA$3:$AA$1315,DataRegularSeason20242025!$B$3:$B$1315, "&lt;=" &amp; DG$1, DataRegularSeason20242025!$D$3:$D$1315, $A27)+SUMIFS(DataRegularSeason20242025!$AB$3:$AB$1315,DataRegularSeason20242025!$B$3:$B$1315, "&lt;=" &amp; DG$1, DataRegularSeason20242025!$E$3:$E$1315, $A27)</f>
        <v>8</v>
      </c>
      <c r="DH27">
        <f>SUMIFS(DataRegularSeason20242025!$AA$3:$AA$1315,DataRegularSeason20242025!$B$3:$B$1315, "&lt;=" &amp; DH$1, DataRegularSeason20242025!$D$3:$D$1315, $A27)+SUMIFS(DataRegularSeason20242025!$AB$3:$AB$1315,DataRegularSeason20242025!$B$3:$B$1315, "&lt;=" &amp; DH$1, DataRegularSeason20242025!$E$3:$E$1315, $A27)</f>
        <v>8</v>
      </c>
      <c r="DI27">
        <f>SUMIFS(DataRegularSeason20242025!$AA$3:$AA$1315,DataRegularSeason20242025!$B$3:$B$1315, "&lt;=" &amp; DI$1, DataRegularSeason20242025!$D$3:$D$1315, $A27)+SUMIFS(DataRegularSeason20242025!$AB$3:$AB$1315,DataRegularSeason20242025!$B$3:$B$1315, "&lt;=" &amp; DI$1, DataRegularSeason20242025!$E$3:$E$1315, $A27)</f>
        <v>8</v>
      </c>
      <c r="DJ27">
        <f>SUMIFS(DataRegularSeason20242025!$AA$3:$AA$1315,DataRegularSeason20242025!$B$3:$B$1315, "&lt;=" &amp; DJ$1, DataRegularSeason20242025!$D$3:$D$1315, $A27)+SUMIFS(DataRegularSeason20242025!$AB$3:$AB$1315,DataRegularSeason20242025!$B$3:$B$1315, "&lt;=" &amp; DJ$1, DataRegularSeason20242025!$E$3:$E$1315, $A27)</f>
        <v>8</v>
      </c>
      <c r="DK27">
        <f>SUMIFS(DataRegularSeason20242025!$AA$3:$AA$1315,DataRegularSeason20242025!$B$3:$B$1315, "&lt;=" &amp; DK$1, DataRegularSeason20242025!$D$3:$D$1315, $A27)+SUMIFS(DataRegularSeason20242025!$AB$3:$AB$1315,DataRegularSeason20242025!$B$3:$B$1315, "&lt;=" &amp; DK$1, DataRegularSeason20242025!$E$3:$E$1315, $A27)</f>
        <v>8</v>
      </c>
      <c r="DL27">
        <f>SUMIFS(DataRegularSeason20242025!$AA$3:$AA$1315,DataRegularSeason20242025!$B$3:$B$1315, "&lt;=" &amp; DL$1, DataRegularSeason20242025!$D$3:$D$1315, $A27)+SUMIFS(DataRegularSeason20242025!$AB$3:$AB$1315,DataRegularSeason20242025!$B$3:$B$1315, "&lt;=" &amp; DL$1, DataRegularSeason20242025!$E$3:$E$1315, $A27)</f>
        <v>8</v>
      </c>
      <c r="DM27">
        <f>SUMIFS(DataRegularSeason20242025!$AA$3:$AA$1315,DataRegularSeason20242025!$B$3:$B$1315, "&lt;=" &amp; DM$1, DataRegularSeason20242025!$D$3:$D$1315, $A27)+SUMIFS(DataRegularSeason20242025!$AB$3:$AB$1315,DataRegularSeason20242025!$B$3:$B$1315, "&lt;=" &amp; DM$1, DataRegularSeason20242025!$E$3:$E$1315, $A27)</f>
        <v>8</v>
      </c>
      <c r="DN27">
        <f>SUMIFS(DataRegularSeason20242025!$AA$3:$AA$1315,DataRegularSeason20242025!$B$3:$B$1315, "&lt;=" &amp; DN$1, DataRegularSeason20242025!$D$3:$D$1315, $A27)+SUMIFS(DataRegularSeason20242025!$AB$3:$AB$1315,DataRegularSeason20242025!$B$3:$B$1315, "&lt;=" &amp; DN$1, DataRegularSeason20242025!$E$3:$E$1315, $A27)</f>
        <v>8</v>
      </c>
      <c r="DO27">
        <f>SUMIFS(DataRegularSeason20242025!$AA$3:$AA$1315,DataRegularSeason20242025!$B$3:$B$1315, "&lt;=" &amp; DO$1, DataRegularSeason20242025!$D$3:$D$1315, $A27)+SUMIFS(DataRegularSeason20242025!$AB$3:$AB$1315,DataRegularSeason20242025!$B$3:$B$1315, "&lt;=" &amp; DO$1, DataRegularSeason20242025!$E$3:$E$1315, $A27)</f>
        <v>8</v>
      </c>
      <c r="DP27">
        <f>SUMIFS(DataRegularSeason20242025!$AA$3:$AA$1315,DataRegularSeason20242025!$B$3:$B$1315, "&lt;=" &amp; DP$1, DataRegularSeason20242025!$D$3:$D$1315, $A27)+SUMIFS(DataRegularSeason20242025!$AB$3:$AB$1315,DataRegularSeason20242025!$B$3:$B$1315, "&lt;=" &amp; DP$1, DataRegularSeason20242025!$E$3:$E$1315, $A27)</f>
        <v>8</v>
      </c>
      <c r="DQ27">
        <f>SUMIFS(DataRegularSeason20242025!$AA$3:$AA$1315,DataRegularSeason20242025!$B$3:$B$1315, "&lt;=" &amp; DQ$1, DataRegularSeason20242025!$D$3:$D$1315, $A27)+SUMIFS(DataRegularSeason20242025!$AB$3:$AB$1315,DataRegularSeason20242025!$B$3:$B$1315, "&lt;=" &amp; DQ$1, DataRegularSeason20242025!$E$3:$E$1315, $A27)</f>
        <v>8</v>
      </c>
      <c r="DR27">
        <f>SUMIFS(DataRegularSeason20242025!$AA$3:$AA$1315,DataRegularSeason20242025!$B$3:$B$1315, "&lt;=" &amp; DR$1, DataRegularSeason20242025!$D$3:$D$1315, $A27)+SUMIFS(DataRegularSeason20242025!$AB$3:$AB$1315,DataRegularSeason20242025!$B$3:$B$1315, "&lt;=" &amp; DR$1, DataRegularSeason20242025!$E$3:$E$1315, $A27)</f>
        <v>8</v>
      </c>
      <c r="DS27">
        <f>SUMIFS(DataRegularSeason20242025!$AA$3:$AA$1315,DataRegularSeason20242025!$B$3:$B$1315, "&lt;=" &amp; DS$1, DataRegularSeason20242025!$D$3:$D$1315, $A27)+SUMIFS(DataRegularSeason20242025!$AB$3:$AB$1315,DataRegularSeason20242025!$B$3:$B$1315, "&lt;=" &amp; DS$1, DataRegularSeason20242025!$E$3:$E$1315, $A27)</f>
        <v>8</v>
      </c>
      <c r="DT27">
        <f>SUMIFS(DataRegularSeason20242025!$AA$3:$AA$1315,DataRegularSeason20242025!$B$3:$B$1315, "&lt;=" &amp; DT$1, DataRegularSeason20242025!$D$3:$D$1315, $A27)+SUMIFS(DataRegularSeason20242025!$AB$3:$AB$1315,DataRegularSeason20242025!$B$3:$B$1315, "&lt;=" &amp; DT$1, DataRegularSeason20242025!$E$3:$E$1315, $A27)</f>
        <v>8</v>
      </c>
      <c r="DU27">
        <f>SUMIFS(DataRegularSeason20242025!$AA$3:$AA$1315,DataRegularSeason20242025!$B$3:$B$1315, "&lt;=" &amp; DU$1, DataRegularSeason20242025!$D$3:$D$1315, $A27)+SUMIFS(DataRegularSeason20242025!$AB$3:$AB$1315,DataRegularSeason20242025!$B$3:$B$1315, "&lt;=" &amp; DU$1, DataRegularSeason20242025!$E$3:$E$1315, $A27)</f>
        <v>8</v>
      </c>
      <c r="DV27">
        <f>SUMIFS(DataRegularSeason20242025!$AA$3:$AA$1315,DataRegularSeason20242025!$B$3:$B$1315, "&lt;=" &amp; DV$1, DataRegularSeason20242025!$D$3:$D$1315, $A27)+SUMIFS(DataRegularSeason20242025!$AB$3:$AB$1315,DataRegularSeason20242025!$B$3:$B$1315, "&lt;=" &amp; DV$1, DataRegularSeason20242025!$E$3:$E$1315, $A27)</f>
        <v>8</v>
      </c>
      <c r="DW27">
        <f>SUMIFS(DataRegularSeason20242025!$AA$3:$AA$1315,DataRegularSeason20242025!$B$3:$B$1315, "&lt;=" &amp; DW$1, DataRegularSeason20242025!$D$3:$D$1315, $A27)+SUMIFS(DataRegularSeason20242025!$AB$3:$AB$1315,DataRegularSeason20242025!$B$3:$B$1315, "&lt;=" &amp; DW$1, DataRegularSeason20242025!$E$3:$E$1315, $A27)</f>
        <v>8</v>
      </c>
      <c r="DX27">
        <f>SUMIFS(DataRegularSeason20242025!$AA$3:$AA$1315,DataRegularSeason20242025!$B$3:$B$1315, "&lt;=" &amp; DX$1, DataRegularSeason20242025!$D$3:$D$1315, $A27)+SUMIFS(DataRegularSeason20242025!$AB$3:$AB$1315,DataRegularSeason20242025!$B$3:$B$1315, "&lt;=" &amp; DX$1, DataRegularSeason20242025!$E$3:$E$1315, $A27)</f>
        <v>8</v>
      </c>
      <c r="DY27">
        <f>SUMIFS(DataRegularSeason20242025!$AA$3:$AA$1315,DataRegularSeason20242025!$B$3:$B$1315, "&lt;=" &amp; DY$1, DataRegularSeason20242025!$D$3:$D$1315, $A27)+SUMIFS(DataRegularSeason20242025!$AB$3:$AB$1315,DataRegularSeason20242025!$B$3:$B$1315, "&lt;=" &amp; DY$1, DataRegularSeason20242025!$E$3:$E$1315, $A27)</f>
        <v>8</v>
      </c>
      <c r="DZ27">
        <f>SUMIFS(DataRegularSeason20242025!$AA$3:$AA$1315,DataRegularSeason20242025!$B$3:$B$1315, "&lt;=" &amp; DZ$1, DataRegularSeason20242025!$D$3:$D$1315, $A27)+SUMIFS(DataRegularSeason20242025!$AB$3:$AB$1315,DataRegularSeason20242025!$B$3:$B$1315, "&lt;=" &amp; DZ$1, DataRegularSeason20242025!$E$3:$E$1315, $A27)</f>
        <v>8</v>
      </c>
      <c r="EA27">
        <f>SUMIFS(DataRegularSeason20242025!$AA$3:$AA$1315,DataRegularSeason20242025!$B$3:$B$1315, "&lt;=" &amp; EA$1, DataRegularSeason20242025!$D$3:$D$1315, $A27)+SUMIFS(DataRegularSeason20242025!$AB$3:$AB$1315,DataRegularSeason20242025!$B$3:$B$1315, "&lt;=" &amp; EA$1, DataRegularSeason20242025!$E$3:$E$1315, $A27)</f>
        <v>8</v>
      </c>
      <c r="EB27">
        <f>SUMIFS(DataRegularSeason20242025!$AA$3:$AA$1315,DataRegularSeason20242025!$B$3:$B$1315, "&lt;=" &amp; EB$1, DataRegularSeason20242025!$D$3:$D$1315, $A27)+SUMIFS(DataRegularSeason20242025!$AB$3:$AB$1315,DataRegularSeason20242025!$B$3:$B$1315, "&lt;=" &amp; EB$1, DataRegularSeason20242025!$E$3:$E$1315, $A27)</f>
        <v>8</v>
      </c>
      <c r="EC27">
        <f>SUMIFS(DataRegularSeason20242025!$AA$3:$AA$1315,DataRegularSeason20242025!$B$3:$B$1315, "&lt;=" &amp; EC$1, DataRegularSeason20242025!$D$3:$D$1315, $A27)+SUMIFS(DataRegularSeason20242025!$AB$3:$AB$1315,DataRegularSeason20242025!$B$3:$B$1315, "&lt;=" &amp; EC$1, DataRegularSeason20242025!$E$3:$E$1315, $A27)</f>
        <v>8</v>
      </c>
      <c r="ED27">
        <f>SUMIFS(DataRegularSeason20242025!$AA$3:$AA$1315,DataRegularSeason20242025!$B$3:$B$1315, "&lt;=" &amp; ED$1, DataRegularSeason20242025!$D$3:$D$1315, $A27)+SUMIFS(DataRegularSeason20242025!$AB$3:$AB$1315,DataRegularSeason20242025!$B$3:$B$1315, "&lt;=" &amp; ED$1, DataRegularSeason20242025!$E$3:$E$1315, $A27)</f>
        <v>8</v>
      </c>
      <c r="EE27">
        <f>SUMIFS(DataRegularSeason20242025!$AA$3:$AA$1315,DataRegularSeason20242025!$B$3:$B$1315, "&lt;=" &amp; EE$1, DataRegularSeason20242025!$D$3:$D$1315, $A27)+SUMIFS(DataRegularSeason20242025!$AB$3:$AB$1315,DataRegularSeason20242025!$B$3:$B$1315, "&lt;=" &amp; EE$1, DataRegularSeason20242025!$E$3:$E$1315, $A27)</f>
        <v>8</v>
      </c>
      <c r="EF27">
        <f>SUMIFS(DataRegularSeason20242025!$AA$3:$AA$1315,DataRegularSeason20242025!$B$3:$B$1315, "&lt;=" &amp; EF$1, DataRegularSeason20242025!$D$3:$D$1315, $A27)+SUMIFS(DataRegularSeason20242025!$AB$3:$AB$1315,DataRegularSeason20242025!$B$3:$B$1315, "&lt;=" &amp; EF$1, DataRegularSeason20242025!$E$3:$E$1315, $A27)</f>
        <v>8</v>
      </c>
      <c r="EG27">
        <f>SUMIFS(DataRegularSeason20242025!$AA$3:$AA$1315,DataRegularSeason20242025!$B$3:$B$1315, "&lt;=" &amp; EG$1, DataRegularSeason20242025!$D$3:$D$1315, $A27)+SUMIFS(DataRegularSeason20242025!$AB$3:$AB$1315,DataRegularSeason20242025!$B$3:$B$1315, "&lt;=" &amp; EG$1, DataRegularSeason20242025!$E$3:$E$1315, $A27)</f>
        <v>8</v>
      </c>
      <c r="EH27">
        <f>SUMIFS(DataRegularSeason20242025!$AA$3:$AA$1315,DataRegularSeason20242025!$B$3:$B$1315, "&lt;=" &amp; EH$1, DataRegularSeason20242025!$D$3:$D$1315, $A27)+SUMIFS(DataRegularSeason20242025!$AB$3:$AB$1315,DataRegularSeason20242025!$B$3:$B$1315, "&lt;=" &amp; EH$1, DataRegularSeason20242025!$E$3:$E$1315, $A27)</f>
        <v>8</v>
      </c>
      <c r="EI27">
        <f>SUMIFS(DataRegularSeason20242025!$AA$3:$AA$1315,DataRegularSeason20242025!$B$3:$B$1315, "&lt;=" &amp; EI$1, DataRegularSeason20242025!$D$3:$D$1315, $A27)+SUMIFS(DataRegularSeason20242025!$AB$3:$AB$1315,DataRegularSeason20242025!$B$3:$B$1315, "&lt;=" &amp; EI$1, DataRegularSeason20242025!$E$3:$E$1315, $A27)</f>
        <v>8</v>
      </c>
      <c r="EJ27">
        <f>SUMIFS(DataRegularSeason20242025!$AA$3:$AA$1315,DataRegularSeason20242025!$B$3:$B$1315, "&lt;=" &amp; EJ$1, DataRegularSeason20242025!$D$3:$D$1315, $A27)+SUMIFS(DataRegularSeason20242025!$AB$3:$AB$1315,DataRegularSeason20242025!$B$3:$B$1315, "&lt;=" &amp; EJ$1, DataRegularSeason20242025!$E$3:$E$1315, $A27)</f>
        <v>8</v>
      </c>
      <c r="EK27">
        <f>SUMIFS(DataRegularSeason20242025!$AA$3:$AA$1315,DataRegularSeason20242025!$B$3:$B$1315, "&lt;=" &amp; EK$1, DataRegularSeason20242025!$D$3:$D$1315, $A27)+SUMIFS(DataRegularSeason20242025!$AB$3:$AB$1315,DataRegularSeason20242025!$B$3:$B$1315, "&lt;=" &amp; EK$1, DataRegularSeason20242025!$E$3:$E$1315, $A27)</f>
        <v>8</v>
      </c>
      <c r="EL27">
        <f>SUMIFS(DataRegularSeason20242025!$AA$3:$AA$1315,DataRegularSeason20242025!$B$3:$B$1315, "&lt;=" &amp; EL$1, DataRegularSeason20242025!$D$3:$D$1315, $A27)+SUMIFS(DataRegularSeason20242025!$AB$3:$AB$1315,DataRegularSeason20242025!$B$3:$B$1315, "&lt;=" &amp; EL$1, DataRegularSeason20242025!$E$3:$E$1315, $A27)</f>
        <v>8</v>
      </c>
      <c r="EM27">
        <f>SUMIFS(DataRegularSeason20242025!$AA$3:$AA$1315,DataRegularSeason20242025!$B$3:$B$1315, "&lt;=" &amp; EM$1, DataRegularSeason20242025!$D$3:$D$1315, $A27)+SUMIFS(DataRegularSeason20242025!$AB$3:$AB$1315,DataRegularSeason20242025!$B$3:$B$1315, "&lt;=" &amp; EM$1, DataRegularSeason20242025!$E$3:$E$1315, $A27)</f>
        <v>8</v>
      </c>
      <c r="EN27">
        <f>SUMIFS(DataRegularSeason20242025!$AA$3:$AA$1315,DataRegularSeason20242025!$B$3:$B$1315, "&lt;=" &amp; EN$1, DataRegularSeason20242025!$D$3:$D$1315, $A27)+SUMIFS(DataRegularSeason20242025!$AB$3:$AB$1315,DataRegularSeason20242025!$B$3:$B$1315, "&lt;=" &amp; EN$1, DataRegularSeason20242025!$E$3:$E$1315, $A27)</f>
        <v>8</v>
      </c>
      <c r="EO27">
        <f>SUMIFS(DataRegularSeason20242025!$AA$3:$AA$1315,DataRegularSeason20242025!$B$3:$B$1315, "&lt;=" &amp; EO$1, DataRegularSeason20242025!$D$3:$D$1315, $A27)+SUMIFS(DataRegularSeason20242025!$AB$3:$AB$1315,DataRegularSeason20242025!$B$3:$B$1315, "&lt;=" &amp; EO$1, DataRegularSeason20242025!$E$3:$E$1315, $A27)</f>
        <v>8</v>
      </c>
      <c r="EP27">
        <f>SUMIFS(DataRegularSeason20242025!$AA$3:$AA$1315,DataRegularSeason20242025!$B$3:$B$1315, "&lt;=" &amp; EP$1, DataRegularSeason20242025!$D$3:$D$1315, $A27)+SUMIFS(DataRegularSeason20242025!$AB$3:$AB$1315,DataRegularSeason20242025!$B$3:$B$1315, "&lt;=" &amp; EP$1, DataRegularSeason20242025!$E$3:$E$1315, $A27)</f>
        <v>8</v>
      </c>
      <c r="EQ27">
        <f>SUMIFS(DataRegularSeason20242025!$AA$3:$AA$1315,DataRegularSeason20242025!$B$3:$B$1315, "&lt;=" &amp; EQ$1, DataRegularSeason20242025!$D$3:$D$1315, $A27)+SUMIFS(DataRegularSeason20242025!$AB$3:$AB$1315,DataRegularSeason20242025!$B$3:$B$1315, "&lt;=" &amp; EQ$1, DataRegularSeason20242025!$E$3:$E$1315, $A27)</f>
        <v>8</v>
      </c>
      <c r="ER27">
        <f>SUMIFS(DataRegularSeason20242025!$AA$3:$AA$1315,DataRegularSeason20242025!$B$3:$B$1315, "&lt;=" &amp; ER$1, DataRegularSeason20242025!$D$3:$D$1315, $A27)+SUMIFS(DataRegularSeason20242025!$AB$3:$AB$1315,DataRegularSeason20242025!$B$3:$B$1315, "&lt;=" &amp; ER$1, DataRegularSeason20242025!$E$3:$E$1315, $A27)</f>
        <v>8</v>
      </c>
      <c r="ES27">
        <f>SUMIFS(DataRegularSeason20242025!$AA$3:$AA$1315,DataRegularSeason20242025!$B$3:$B$1315, "&lt;=" &amp; ES$1, DataRegularSeason20242025!$D$3:$D$1315, $A27)+SUMIFS(DataRegularSeason20242025!$AB$3:$AB$1315,DataRegularSeason20242025!$B$3:$B$1315, "&lt;=" &amp; ES$1, DataRegularSeason20242025!$E$3:$E$1315, $A27)</f>
        <v>8</v>
      </c>
      <c r="ET27">
        <f>SUMIFS(DataRegularSeason20242025!$AA$3:$AA$1315,DataRegularSeason20242025!$B$3:$B$1315, "&lt;=" &amp; ET$1, DataRegularSeason20242025!$D$3:$D$1315, $A27)+SUMIFS(DataRegularSeason20242025!$AB$3:$AB$1315,DataRegularSeason20242025!$B$3:$B$1315, "&lt;=" &amp; ET$1, DataRegularSeason20242025!$E$3:$E$1315, $A27)</f>
        <v>8</v>
      </c>
      <c r="EU27">
        <f>SUMIFS(DataRegularSeason20242025!$AA$3:$AA$1315,DataRegularSeason20242025!$B$3:$B$1315, "&lt;=" &amp; EU$1, DataRegularSeason20242025!$D$3:$D$1315, $A27)+SUMIFS(DataRegularSeason20242025!$AB$3:$AB$1315,DataRegularSeason20242025!$B$3:$B$1315, "&lt;=" &amp; EU$1, DataRegularSeason20242025!$E$3:$E$1315, $A27)</f>
        <v>8</v>
      </c>
      <c r="EV27">
        <f>SUMIFS(DataRegularSeason20242025!$AA$3:$AA$1315,DataRegularSeason20242025!$B$3:$B$1315, "&lt;=" &amp; EV$1, DataRegularSeason20242025!$D$3:$D$1315, $A27)+SUMIFS(DataRegularSeason20242025!$AB$3:$AB$1315,DataRegularSeason20242025!$B$3:$B$1315, "&lt;=" &amp; EV$1, DataRegularSeason20242025!$E$3:$E$1315, $A27)</f>
        <v>8</v>
      </c>
      <c r="EW27">
        <f>SUMIFS(DataRegularSeason20242025!$AA$3:$AA$1315,DataRegularSeason20242025!$B$3:$B$1315, "&lt;=" &amp; EW$1, DataRegularSeason20242025!$D$3:$D$1315, $A27)+SUMIFS(DataRegularSeason20242025!$AB$3:$AB$1315,DataRegularSeason20242025!$B$3:$B$1315, "&lt;=" &amp; EW$1, DataRegularSeason20242025!$E$3:$E$1315, $A27)</f>
        <v>8</v>
      </c>
      <c r="EX27">
        <f>SUMIFS(DataRegularSeason20242025!$AA$3:$AA$1315,DataRegularSeason20242025!$B$3:$B$1315, "&lt;=" &amp; EX$1, DataRegularSeason20242025!$D$3:$D$1315, $A27)+SUMIFS(DataRegularSeason20242025!$AB$3:$AB$1315,DataRegularSeason20242025!$B$3:$B$1315, "&lt;=" &amp; EX$1, DataRegularSeason20242025!$E$3:$E$1315, $A27)</f>
        <v>8</v>
      </c>
      <c r="EY27">
        <f>SUMIFS(DataRegularSeason20242025!$AA$3:$AA$1315,DataRegularSeason20242025!$B$3:$B$1315, "&lt;=" &amp; EY$1, DataRegularSeason20242025!$D$3:$D$1315, $A27)+SUMIFS(DataRegularSeason20242025!$AB$3:$AB$1315,DataRegularSeason20242025!$B$3:$B$1315, "&lt;=" &amp; EY$1, DataRegularSeason20242025!$E$3:$E$1315, $A27)</f>
        <v>8</v>
      </c>
      <c r="EZ27">
        <f>SUMIFS(DataRegularSeason20242025!$AA$3:$AA$1315,DataRegularSeason20242025!$B$3:$B$1315, "&lt;=" &amp; EZ$1, DataRegularSeason20242025!$D$3:$D$1315, $A27)+SUMIFS(DataRegularSeason20242025!$AB$3:$AB$1315,DataRegularSeason20242025!$B$3:$B$1315, "&lt;=" &amp; EZ$1, DataRegularSeason20242025!$E$3:$E$1315, $A27)</f>
        <v>8</v>
      </c>
      <c r="FA27">
        <f>SUMIFS(DataRegularSeason20242025!$AA$3:$AA$1315,DataRegularSeason20242025!$B$3:$B$1315, "&lt;=" &amp; FA$1, DataRegularSeason20242025!$D$3:$D$1315, $A27)+SUMIFS(DataRegularSeason20242025!$AB$3:$AB$1315,DataRegularSeason20242025!$B$3:$B$1315, "&lt;=" &amp; FA$1, DataRegularSeason20242025!$E$3:$E$1315, $A27)</f>
        <v>8</v>
      </c>
      <c r="FB27">
        <f>SUMIFS(DataRegularSeason20242025!$AA$3:$AA$1315,DataRegularSeason20242025!$B$3:$B$1315, "&lt;=" &amp; FB$1, DataRegularSeason20242025!$D$3:$D$1315, $A27)+SUMIFS(DataRegularSeason20242025!$AB$3:$AB$1315,DataRegularSeason20242025!$B$3:$B$1315, "&lt;=" &amp; FB$1, DataRegularSeason20242025!$E$3:$E$1315, $A27)</f>
        <v>8</v>
      </c>
      <c r="FC27">
        <f>SUMIFS(DataRegularSeason20242025!$AA$3:$AA$1315,DataRegularSeason20242025!$B$3:$B$1315, "&lt;=" &amp; FC$1, DataRegularSeason20242025!$D$3:$D$1315, $A27)+SUMIFS(DataRegularSeason20242025!$AB$3:$AB$1315,DataRegularSeason20242025!$B$3:$B$1315, "&lt;=" &amp; FC$1, DataRegularSeason20242025!$E$3:$E$1315, $A27)</f>
        <v>8</v>
      </c>
      <c r="FD27">
        <f>SUMIFS(DataRegularSeason20242025!$AA$3:$AA$1315,DataRegularSeason20242025!$B$3:$B$1315, "&lt;=" &amp; FD$1, DataRegularSeason20242025!$D$3:$D$1315, $A27)+SUMIFS(DataRegularSeason20242025!$AB$3:$AB$1315,DataRegularSeason20242025!$B$3:$B$1315, "&lt;=" &amp; FD$1, DataRegularSeason20242025!$E$3:$E$1315, $A27)</f>
        <v>8</v>
      </c>
      <c r="FE27">
        <f>SUMIFS(DataRegularSeason20242025!$AA$3:$AA$1315,DataRegularSeason20242025!$B$3:$B$1315, "&lt;=" &amp; FE$1, DataRegularSeason20242025!$D$3:$D$1315, $A27)+SUMIFS(DataRegularSeason20242025!$AB$3:$AB$1315,DataRegularSeason20242025!$B$3:$B$1315, "&lt;=" &amp; FE$1, DataRegularSeason20242025!$E$3:$E$1315, $A27)</f>
        <v>8</v>
      </c>
      <c r="FF27">
        <f>SUMIFS(DataRegularSeason20242025!$AA$3:$AA$1315,DataRegularSeason20242025!$B$3:$B$1315, "&lt;=" &amp; FF$1, DataRegularSeason20242025!$D$3:$D$1315, $A27)+SUMIFS(DataRegularSeason20242025!$AB$3:$AB$1315,DataRegularSeason20242025!$B$3:$B$1315, "&lt;=" &amp; FF$1, DataRegularSeason20242025!$E$3:$E$1315, $A27)</f>
        <v>8</v>
      </c>
      <c r="FG27">
        <f>SUMIFS(DataRegularSeason20242025!$AA$3:$AA$1315,DataRegularSeason20242025!$B$3:$B$1315, "&lt;=" &amp; FG$1, DataRegularSeason20242025!$D$3:$D$1315, $A27)+SUMIFS(DataRegularSeason20242025!$AB$3:$AB$1315,DataRegularSeason20242025!$B$3:$B$1315, "&lt;=" &amp; FG$1, DataRegularSeason20242025!$E$3:$E$1315, $A27)</f>
        <v>8</v>
      </c>
      <c r="FH27">
        <f>SUMIFS(DataRegularSeason20242025!$AA$3:$AA$1315,DataRegularSeason20242025!$B$3:$B$1315, "&lt;=" &amp; FH$1, DataRegularSeason20242025!$D$3:$D$1315, $A27)+SUMIFS(DataRegularSeason20242025!$AB$3:$AB$1315,DataRegularSeason20242025!$B$3:$B$1315, "&lt;=" &amp; FH$1, DataRegularSeason20242025!$E$3:$E$1315, $A27)</f>
        <v>8</v>
      </c>
      <c r="FI27">
        <f>SUMIFS(DataRegularSeason20242025!$AA$3:$AA$1315,DataRegularSeason20242025!$B$3:$B$1315, "&lt;=" &amp; FI$1, DataRegularSeason20242025!$D$3:$D$1315, $A27)+SUMIFS(DataRegularSeason20242025!$AB$3:$AB$1315,DataRegularSeason20242025!$B$3:$B$1315, "&lt;=" &amp; FI$1, DataRegularSeason20242025!$E$3:$E$1315, $A27)</f>
        <v>8</v>
      </c>
      <c r="FJ27">
        <f>SUMIFS(DataRegularSeason20242025!$AA$3:$AA$1315,DataRegularSeason20242025!$B$3:$B$1315, "&lt;=" &amp; FJ$1, DataRegularSeason20242025!$D$3:$D$1315, $A27)+SUMIFS(DataRegularSeason20242025!$AB$3:$AB$1315,DataRegularSeason20242025!$B$3:$B$1315, "&lt;=" &amp; FJ$1, DataRegularSeason20242025!$E$3:$E$1315, $A27)</f>
        <v>8</v>
      </c>
      <c r="FK27">
        <f>SUMIFS(DataRegularSeason20242025!$AA$3:$AA$1315,DataRegularSeason20242025!$B$3:$B$1315, "&lt;=" &amp; FK$1, DataRegularSeason20242025!$D$3:$D$1315, $A27)+SUMIFS(DataRegularSeason20242025!$AB$3:$AB$1315,DataRegularSeason20242025!$B$3:$B$1315, "&lt;=" &amp; FK$1, DataRegularSeason20242025!$E$3:$E$1315, $A27)</f>
        <v>8</v>
      </c>
      <c r="FL27">
        <f>SUMIFS(DataRegularSeason20242025!$AA$3:$AA$1315,DataRegularSeason20242025!$B$3:$B$1315, "&lt;=" &amp; FL$1, DataRegularSeason20242025!$D$3:$D$1315, $A27)+SUMIFS(DataRegularSeason20242025!$AB$3:$AB$1315,DataRegularSeason20242025!$B$3:$B$1315, "&lt;=" &amp; FL$1, DataRegularSeason20242025!$E$3:$E$1315, $A27)</f>
        <v>8</v>
      </c>
      <c r="FM27">
        <f>SUMIFS(DataRegularSeason20242025!$AA$3:$AA$1315,DataRegularSeason20242025!$B$3:$B$1315, "&lt;=" &amp; FM$1, DataRegularSeason20242025!$D$3:$D$1315, $A27)+SUMIFS(DataRegularSeason20242025!$AB$3:$AB$1315,DataRegularSeason20242025!$B$3:$B$1315, "&lt;=" &amp; FM$1, DataRegularSeason20242025!$E$3:$E$1315, $A27)</f>
        <v>8</v>
      </c>
      <c r="FN27">
        <f>SUMIFS(DataRegularSeason20242025!$AA$3:$AA$1315,DataRegularSeason20242025!$B$3:$B$1315, "&lt;=" &amp; FN$1, DataRegularSeason20242025!$D$3:$D$1315, $A27)+SUMIFS(DataRegularSeason20242025!$AB$3:$AB$1315,DataRegularSeason20242025!$B$3:$B$1315, "&lt;=" &amp; FN$1, DataRegularSeason20242025!$E$3:$E$1315, $A27)</f>
        <v>8</v>
      </c>
      <c r="FO27">
        <f>SUMIFS(DataRegularSeason20242025!$AA$3:$AA$1315,DataRegularSeason20242025!$B$3:$B$1315, "&lt;=" &amp; FO$1, DataRegularSeason20242025!$D$3:$D$1315, $A27)+SUMIFS(DataRegularSeason20242025!$AB$3:$AB$1315,DataRegularSeason20242025!$B$3:$B$1315, "&lt;=" &amp; FO$1, DataRegularSeason20242025!$E$3:$E$1315, $A27)</f>
        <v>8</v>
      </c>
      <c r="FP27">
        <f>SUMIFS(DataRegularSeason20242025!$AA$3:$AA$1315,DataRegularSeason20242025!$B$3:$B$1315, "&lt;=" &amp; FP$1, DataRegularSeason20242025!$D$3:$D$1315, $A27)+SUMIFS(DataRegularSeason20242025!$AB$3:$AB$1315,DataRegularSeason20242025!$B$3:$B$1315, "&lt;=" &amp; FP$1, DataRegularSeason20242025!$E$3:$E$1315, $A27)</f>
        <v>8</v>
      </c>
      <c r="FQ27">
        <f>SUMIFS(DataRegularSeason20242025!$AA$3:$AA$1315,DataRegularSeason20242025!$B$3:$B$1315, "&lt;=" &amp; FQ$1, DataRegularSeason20242025!$D$3:$D$1315, $A27)+SUMIFS(DataRegularSeason20242025!$AB$3:$AB$1315,DataRegularSeason20242025!$B$3:$B$1315, "&lt;=" &amp; FQ$1, DataRegularSeason20242025!$E$3:$E$1315, $A27)</f>
        <v>8</v>
      </c>
      <c r="FR27">
        <f>SUMIFS(DataRegularSeason20242025!$AA$3:$AA$1315,DataRegularSeason20242025!$B$3:$B$1315, "&lt;=" &amp; FR$1, DataRegularSeason20242025!$D$3:$D$1315, $A27)+SUMIFS(DataRegularSeason20242025!$AB$3:$AB$1315,DataRegularSeason20242025!$B$3:$B$1315, "&lt;=" &amp; FR$1, DataRegularSeason20242025!$E$3:$E$1315, $A27)</f>
        <v>8</v>
      </c>
      <c r="FS27">
        <f>SUMIFS(DataRegularSeason20242025!$AA$3:$AA$1315,DataRegularSeason20242025!$B$3:$B$1315, "&lt;=" &amp; FS$1, DataRegularSeason20242025!$D$3:$D$1315, $A27)+SUMIFS(DataRegularSeason20242025!$AB$3:$AB$1315,DataRegularSeason20242025!$B$3:$B$1315, "&lt;=" &amp; FS$1, DataRegularSeason20242025!$E$3:$E$1315, $A27)</f>
        <v>8</v>
      </c>
      <c r="FT27">
        <f>SUMIFS(DataRegularSeason20242025!$AA$3:$AA$1315,DataRegularSeason20242025!$B$3:$B$1315, "&lt;=" &amp; FT$1, DataRegularSeason20242025!$D$3:$D$1315, $A27)+SUMIFS(DataRegularSeason20242025!$AB$3:$AB$1315,DataRegularSeason20242025!$B$3:$B$1315, "&lt;=" &amp; FT$1, DataRegularSeason20242025!$E$3:$E$1315, $A27)</f>
        <v>8</v>
      </c>
      <c r="FU27">
        <f>SUMIFS(DataRegularSeason20242025!$AA$3:$AA$1315,DataRegularSeason20242025!$B$3:$B$1315, "&lt;=" &amp; FU$1, DataRegularSeason20242025!$D$3:$D$1315, $A27)+SUMIFS(DataRegularSeason20242025!$AB$3:$AB$1315,DataRegularSeason20242025!$B$3:$B$1315, "&lt;=" &amp; FU$1, DataRegularSeason20242025!$E$3:$E$1315, $A27)</f>
        <v>8</v>
      </c>
      <c r="FV27">
        <f>SUMIFS(DataRegularSeason20242025!$AA$3:$AA$1315,DataRegularSeason20242025!$B$3:$B$1315, "&lt;=" &amp; FV$1, DataRegularSeason20242025!$D$3:$D$1315, $A27)+SUMIFS(DataRegularSeason20242025!$AB$3:$AB$1315,DataRegularSeason20242025!$B$3:$B$1315, "&lt;=" &amp; FV$1, DataRegularSeason20242025!$E$3:$E$1315, $A27)</f>
        <v>8</v>
      </c>
      <c r="FW27">
        <f>SUMIFS(DataRegularSeason20242025!$AA$3:$AA$1315,DataRegularSeason20242025!$B$3:$B$1315, "&lt;=" &amp; FW$1, DataRegularSeason20242025!$D$3:$D$1315, $A27)+SUMIFS(DataRegularSeason20242025!$AB$3:$AB$1315,DataRegularSeason20242025!$B$3:$B$1315, "&lt;=" &amp; FW$1, DataRegularSeason20242025!$E$3:$E$1315, $A27)</f>
        <v>8</v>
      </c>
      <c r="FX27">
        <f>SUMIFS(DataRegularSeason20242025!$AA$3:$AA$1315,DataRegularSeason20242025!$B$3:$B$1315, "&lt;=" &amp; FX$1, DataRegularSeason20242025!$D$3:$D$1315, $A27)+SUMIFS(DataRegularSeason20242025!$AB$3:$AB$1315,DataRegularSeason20242025!$B$3:$B$1315, "&lt;=" &amp; FX$1, DataRegularSeason20242025!$E$3:$E$1315, $A27)</f>
        <v>8</v>
      </c>
      <c r="FY27">
        <f>SUMIFS(DataRegularSeason20242025!$AA$3:$AA$1315,DataRegularSeason20242025!$B$3:$B$1315, "&lt;=" &amp; FY$1, DataRegularSeason20242025!$D$3:$D$1315, $A27)+SUMIFS(DataRegularSeason20242025!$AB$3:$AB$1315,DataRegularSeason20242025!$B$3:$B$1315, "&lt;=" &amp; FY$1, DataRegularSeason20242025!$E$3:$E$1315, $A27)</f>
        <v>8</v>
      </c>
      <c r="FZ27">
        <f>SUMIFS(DataRegularSeason20242025!$AA$3:$AA$1315,DataRegularSeason20242025!$B$3:$B$1315, "&lt;=" &amp; FZ$1, DataRegularSeason20242025!$D$3:$D$1315, $A27)+SUMIFS(DataRegularSeason20242025!$AB$3:$AB$1315,DataRegularSeason20242025!$B$3:$B$1315, "&lt;=" &amp; FZ$1, DataRegularSeason20242025!$E$3:$E$1315, $A27)</f>
        <v>8</v>
      </c>
      <c r="GA27">
        <f>SUMIFS(DataRegularSeason20242025!$AA$3:$AA$1315,DataRegularSeason20242025!$B$3:$B$1315, "&lt;=" &amp; GA$1, DataRegularSeason20242025!$D$3:$D$1315, $A27)+SUMIFS(DataRegularSeason20242025!$AB$3:$AB$1315,DataRegularSeason20242025!$B$3:$B$1315, "&lt;=" &amp; GA$1, DataRegularSeason20242025!$E$3:$E$1315, $A27)</f>
        <v>8</v>
      </c>
      <c r="GB27">
        <f>SUMIFS(DataRegularSeason20242025!$AA$3:$AA$1315,DataRegularSeason20242025!$B$3:$B$1315, "&lt;=" &amp; GB$1, DataRegularSeason20242025!$D$3:$D$1315, $A27)+SUMIFS(DataRegularSeason20242025!$AB$3:$AB$1315,DataRegularSeason20242025!$B$3:$B$1315, "&lt;=" &amp; GB$1, DataRegularSeason20242025!$E$3:$E$1315, $A27)</f>
        <v>8</v>
      </c>
      <c r="GC27">
        <f>SUMIFS(DataRegularSeason20242025!$AA$3:$AA$1315,DataRegularSeason20242025!$B$3:$B$1315, "&lt;=" &amp; GC$1, DataRegularSeason20242025!$D$3:$D$1315, $A27)+SUMIFS(DataRegularSeason20242025!$AB$3:$AB$1315,DataRegularSeason20242025!$B$3:$B$1315, "&lt;=" &amp; GC$1, DataRegularSeason20242025!$E$3:$E$1315, $A27)</f>
        <v>8</v>
      </c>
      <c r="GD27">
        <f>SUMIFS(DataRegularSeason20242025!$AA$3:$AA$1315,DataRegularSeason20242025!$B$3:$B$1315, "&lt;=" &amp; GD$1, DataRegularSeason20242025!$D$3:$D$1315, $A27)+SUMIFS(DataRegularSeason20242025!$AB$3:$AB$1315,DataRegularSeason20242025!$B$3:$B$1315, "&lt;=" &amp; GD$1, DataRegularSeason20242025!$E$3:$E$1315, $A27)</f>
        <v>8</v>
      </c>
      <c r="GE27">
        <f>SUMIFS(DataRegularSeason20242025!$AA$3:$AA$1315,DataRegularSeason20242025!$B$3:$B$1315, "&lt;=" &amp; GE$1, DataRegularSeason20242025!$D$3:$D$1315, $A27)+SUMIFS(DataRegularSeason20242025!$AB$3:$AB$1315,DataRegularSeason20242025!$B$3:$B$1315, "&lt;=" &amp; GE$1, DataRegularSeason20242025!$E$3:$E$1315, $A27)</f>
        <v>8</v>
      </c>
      <c r="GF27">
        <f>SUMIFS(DataRegularSeason20242025!$AA$3:$AA$1315,DataRegularSeason20242025!$B$3:$B$1315, "&lt;=" &amp; GF$1, DataRegularSeason20242025!$D$3:$D$1315, $A27)+SUMIFS(DataRegularSeason20242025!$AB$3:$AB$1315,DataRegularSeason20242025!$B$3:$B$1315, "&lt;=" &amp; GF$1, DataRegularSeason20242025!$E$3:$E$1315, $A27)</f>
        <v>8</v>
      </c>
      <c r="GG27">
        <f>SUMIFS(DataRegularSeason20242025!$AA$3:$AA$1315,DataRegularSeason20242025!$B$3:$B$1315, "&lt;=" &amp; GG$1, DataRegularSeason20242025!$D$3:$D$1315, $A27)+SUMIFS(DataRegularSeason20242025!$AB$3:$AB$1315,DataRegularSeason20242025!$B$3:$B$1315, "&lt;=" &amp; GG$1, DataRegularSeason20242025!$E$3:$E$1315, $A27)</f>
        <v>8</v>
      </c>
      <c r="GH27">
        <f>SUMIFS(DataRegularSeason20242025!$AA$3:$AA$1315,DataRegularSeason20242025!$B$3:$B$1315, "&lt;=" &amp; GH$1, DataRegularSeason20242025!$D$3:$D$1315, $A27)+SUMIFS(DataRegularSeason20242025!$AB$3:$AB$1315,DataRegularSeason20242025!$B$3:$B$1315, "&lt;=" &amp; GH$1, DataRegularSeason20242025!$E$3:$E$1315, $A27)</f>
        <v>8</v>
      </c>
      <c r="GI27">
        <f>SUMIFS(DataRegularSeason20242025!$AA$3:$AA$1315,DataRegularSeason20242025!$B$3:$B$1315, "&lt;=" &amp; GI$1, DataRegularSeason20242025!$D$3:$D$1315, $A27)+SUMIFS(DataRegularSeason20242025!$AB$3:$AB$1315,DataRegularSeason20242025!$B$3:$B$1315, "&lt;=" &amp; GI$1, DataRegularSeason20242025!$E$3:$E$1315, $A27)</f>
        <v>8</v>
      </c>
      <c r="GJ27">
        <f>SUMIFS(DataRegularSeason20242025!$AA$3:$AA$1315,DataRegularSeason20242025!$B$3:$B$1315, "&lt;=" &amp; GJ$1, DataRegularSeason20242025!$D$3:$D$1315, $A27)+SUMIFS(DataRegularSeason20242025!$AB$3:$AB$1315,DataRegularSeason20242025!$B$3:$B$1315, "&lt;=" &amp; GJ$1, DataRegularSeason20242025!$E$3:$E$1315, $A27)</f>
        <v>8</v>
      </c>
      <c r="GK27">
        <f>SUMIFS(DataRegularSeason20242025!$AA$3:$AA$1315,DataRegularSeason20242025!$B$3:$B$1315, "&lt;=" &amp; GK$1, DataRegularSeason20242025!$D$3:$D$1315, $A27)+SUMIFS(DataRegularSeason20242025!$AB$3:$AB$1315,DataRegularSeason20242025!$B$3:$B$1315, "&lt;=" &amp; GK$1, DataRegularSeason20242025!$E$3:$E$1315, $A27)</f>
        <v>8</v>
      </c>
      <c r="GL27">
        <f>SUMIFS(DataRegularSeason20242025!$AA$3:$AA$1315,DataRegularSeason20242025!$B$3:$B$1315, "&lt;=" &amp; GL$1, DataRegularSeason20242025!$D$3:$D$1315, $A27)+SUMIFS(DataRegularSeason20242025!$AB$3:$AB$1315,DataRegularSeason20242025!$B$3:$B$1315, "&lt;=" &amp; GL$1, DataRegularSeason20242025!$E$3:$E$1315, $A27)</f>
        <v>8</v>
      </c>
      <c r="GM27">
        <f>SUMIFS(DataRegularSeason20242025!$AA$3:$AA$1315,DataRegularSeason20242025!$B$3:$B$1315, "&lt;=" &amp; GM$1, DataRegularSeason20242025!$D$3:$D$1315, $A27)+SUMIFS(DataRegularSeason20242025!$AB$3:$AB$1315,DataRegularSeason20242025!$B$3:$B$1315, "&lt;=" &amp; GM$1, DataRegularSeason20242025!$E$3:$E$1315, $A27)</f>
        <v>8</v>
      </c>
      <c r="GN27">
        <f>SUMIFS(DataRegularSeason20242025!$AA$3:$AA$1315,DataRegularSeason20242025!$B$3:$B$1315, "&lt;=" &amp; GN$1, DataRegularSeason20242025!$D$3:$D$1315, $A27)+SUMIFS(DataRegularSeason20242025!$AB$3:$AB$1315,DataRegularSeason20242025!$B$3:$B$1315, "&lt;=" &amp; GN$1, DataRegularSeason20242025!$E$3:$E$1315, $A27)</f>
        <v>8</v>
      </c>
      <c r="GO27">
        <f>SUMIFS(DataRegularSeason20242025!$AA$3:$AA$1315,DataRegularSeason20242025!$B$3:$B$1315, "&lt;=" &amp; GO$1, DataRegularSeason20242025!$D$3:$D$1315, $A27)+SUMIFS(DataRegularSeason20242025!$AB$3:$AB$1315,DataRegularSeason20242025!$B$3:$B$1315, "&lt;=" &amp; GO$1, DataRegularSeason20242025!$E$3:$E$1315, $A27)</f>
        <v>8</v>
      </c>
      <c r="GP27">
        <f>SUMIFS(DataRegularSeason20242025!$AA$3:$AA$1315,DataRegularSeason20242025!$B$3:$B$1315, "&lt;=" &amp; GP$1, DataRegularSeason20242025!$D$3:$D$1315, $A27)+SUMIFS(DataRegularSeason20242025!$AB$3:$AB$1315,DataRegularSeason20242025!$B$3:$B$1315, "&lt;=" &amp; GP$1, DataRegularSeason20242025!$E$3:$E$1315, $A27)</f>
        <v>8</v>
      </c>
      <c r="GQ27">
        <f>SUMIFS(DataRegularSeason20242025!$AA$3:$AA$1315,DataRegularSeason20242025!$B$3:$B$1315, "&lt;=" &amp; GQ$1, DataRegularSeason20242025!$D$3:$D$1315, $A27)+SUMIFS(DataRegularSeason20242025!$AB$3:$AB$1315,DataRegularSeason20242025!$B$3:$B$1315, "&lt;=" &amp; GQ$1, DataRegularSeason20242025!$E$3:$E$1315, $A27)</f>
        <v>8</v>
      </c>
      <c r="GR27">
        <f>SUMIFS(DataRegularSeason20242025!$AA$3:$AA$1315,DataRegularSeason20242025!$B$3:$B$1315, "&lt;=" &amp; GR$1, DataRegularSeason20242025!$D$3:$D$1315, $A27)+SUMIFS(DataRegularSeason20242025!$AB$3:$AB$1315,DataRegularSeason20242025!$B$3:$B$1315, "&lt;=" &amp; GR$1, DataRegularSeason20242025!$E$3:$E$1315, $A27)</f>
        <v>8</v>
      </c>
      <c r="GS27">
        <f>SUMIFS(DataRegularSeason20242025!$AA$3:$AA$1315,DataRegularSeason20242025!$B$3:$B$1315, "&lt;=" &amp; GS$1, DataRegularSeason20242025!$D$3:$D$1315, $A27)+SUMIFS(DataRegularSeason20242025!$AB$3:$AB$1315,DataRegularSeason20242025!$B$3:$B$1315, "&lt;=" &amp; GS$1, DataRegularSeason20242025!$E$3:$E$1315, $A27)</f>
        <v>8</v>
      </c>
      <c r="GT27">
        <f>SUMIFS(DataRegularSeason20242025!$AA$3:$AA$1315,DataRegularSeason20242025!$B$3:$B$1315, "&lt;=" &amp; GT$1, DataRegularSeason20242025!$D$3:$D$1315, $A27)+SUMIFS(DataRegularSeason20242025!$AB$3:$AB$1315,DataRegularSeason20242025!$B$3:$B$1315, "&lt;=" &amp; GT$1, DataRegularSeason20242025!$E$3:$E$1315, $A27)</f>
        <v>8</v>
      </c>
      <c r="GU27">
        <f>SUMIFS(DataRegularSeason20242025!$AA$3:$AA$1315,DataRegularSeason20242025!$B$3:$B$1315, "&lt;=" &amp; GU$1, DataRegularSeason20242025!$D$3:$D$1315, $A27)+SUMIFS(DataRegularSeason20242025!$AB$3:$AB$1315,DataRegularSeason20242025!$B$3:$B$1315, "&lt;=" &amp; GU$1, DataRegularSeason20242025!$E$3:$E$1315, $A27)</f>
        <v>8</v>
      </c>
    </row>
    <row r="28" spans="1:203" x14ac:dyDescent="0.25">
      <c r="A28" t="s">
        <v>24</v>
      </c>
      <c r="B28" t="s">
        <v>90</v>
      </c>
      <c r="C28" s="108" t="s">
        <v>93</v>
      </c>
      <c r="D28">
        <f>SUMIFS(DataRegularSeason20242025!$AA$3:$AA$1315,DataRegularSeason20242025!$B$3:$B$1315, "&lt;=" &amp; D$1, DataRegularSeason20242025!$D$3:$D$1315, $A28)+SUMIFS(DataRegularSeason20242025!$AB$3:$AB$1315,DataRegularSeason20242025!$B$3:$B$1315, "&lt;=" &amp; D$1, DataRegularSeason20242025!$E$3:$E$1315, $A28)</f>
        <v>0</v>
      </c>
      <c r="E28">
        <f>SUMIFS(DataRegularSeason20242025!$AA$3:$AA$1315,DataRegularSeason20242025!$B$3:$B$1315, "&lt;=" &amp; E$1, DataRegularSeason20242025!$D$3:$D$1315, $A28)+SUMIFS(DataRegularSeason20242025!$AB$3:$AB$1315,DataRegularSeason20242025!$B$3:$B$1315, "&lt;=" &amp; E$1, DataRegularSeason20242025!$E$3:$E$1315, $A28)</f>
        <v>0</v>
      </c>
      <c r="F28">
        <f>SUMIFS(DataRegularSeason20242025!$AA$3:$AA$1315,DataRegularSeason20242025!$B$3:$B$1315, "&lt;=" &amp; F$1, DataRegularSeason20242025!$D$3:$D$1315, $A28)+SUMIFS(DataRegularSeason20242025!$AB$3:$AB$1315,DataRegularSeason20242025!$B$3:$B$1315, "&lt;=" &amp; F$1, DataRegularSeason20242025!$E$3:$E$1315, $A28)</f>
        <v>0</v>
      </c>
      <c r="G28">
        <f>SUMIFS(DataRegularSeason20242025!$AA$3:$AA$1315,DataRegularSeason20242025!$B$3:$B$1315, "&lt;=" &amp; G$1, DataRegularSeason20242025!$D$3:$D$1315, $A28)+SUMIFS(DataRegularSeason20242025!$AB$3:$AB$1315,DataRegularSeason20242025!$B$3:$B$1315, "&lt;=" &amp; G$1, DataRegularSeason20242025!$E$3:$E$1315, $A28)</f>
        <v>0</v>
      </c>
      <c r="H28">
        <f>SUMIFS(DataRegularSeason20242025!$AA$3:$AA$1315,DataRegularSeason20242025!$B$3:$B$1315, "&lt;=" &amp; H$1, DataRegularSeason20242025!$D$3:$D$1315, $A28)+SUMIFS(DataRegularSeason20242025!$AB$3:$AB$1315,DataRegularSeason20242025!$B$3:$B$1315, "&lt;=" &amp; H$1, DataRegularSeason20242025!$E$3:$E$1315, $A28)</f>
        <v>0</v>
      </c>
      <c r="I28">
        <f>SUMIFS(DataRegularSeason20242025!$AA$3:$AA$1315,DataRegularSeason20242025!$B$3:$B$1315, "&lt;=" &amp; I$1, DataRegularSeason20242025!$D$3:$D$1315, $A28)+SUMIFS(DataRegularSeason20242025!$AB$3:$AB$1315,DataRegularSeason20242025!$B$3:$B$1315, "&lt;=" &amp; I$1, DataRegularSeason20242025!$E$3:$E$1315, $A28)</f>
        <v>0</v>
      </c>
      <c r="J28">
        <f>SUMIFS(DataRegularSeason20242025!$AA$3:$AA$1315,DataRegularSeason20242025!$B$3:$B$1315, "&lt;=" &amp; J$1, DataRegularSeason20242025!$D$3:$D$1315, $A28)+SUMIFS(DataRegularSeason20242025!$AB$3:$AB$1315,DataRegularSeason20242025!$B$3:$B$1315, "&lt;=" &amp; J$1, DataRegularSeason20242025!$E$3:$E$1315, $A28)</f>
        <v>2</v>
      </c>
      <c r="K28">
        <f>SUMIFS(DataRegularSeason20242025!$AA$3:$AA$1315,DataRegularSeason20242025!$B$3:$B$1315, "&lt;=" &amp; K$1, DataRegularSeason20242025!$D$3:$D$1315, $A28)+SUMIFS(DataRegularSeason20242025!$AB$3:$AB$1315,DataRegularSeason20242025!$B$3:$B$1315, "&lt;=" &amp; K$1, DataRegularSeason20242025!$E$3:$E$1315, $A28)</f>
        <v>2</v>
      </c>
      <c r="L28">
        <f>SUMIFS(DataRegularSeason20242025!$AA$3:$AA$1315,DataRegularSeason20242025!$B$3:$B$1315, "&lt;=" &amp; L$1, DataRegularSeason20242025!$D$3:$D$1315, $A28)+SUMIFS(DataRegularSeason20242025!$AB$3:$AB$1315,DataRegularSeason20242025!$B$3:$B$1315, "&lt;=" &amp; L$1, DataRegularSeason20242025!$E$3:$E$1315, $A28)</f>
        <v>2</v>
      </c>
      <c r="M28">
        <f>SUMIFS(DataRegularSeason20242025!$AA$3:$AA$1315,DataRegularSeason20242025!$B$3:$B$1315, "&lt;=" &amp; M$1, DataRegularSeason20242025!$D$3:$D$1315, $A28)+SUMIFS(DataRegularSeason20242025!$AB$3:$AB$1315,DataRegularSeason20242025!$B$3:$B$1315, "&lt;=" &amp; M$1, DataRegularSeason20242025!$E$3:$E$1315, $A28)</f>
        <v>2</v>
      </c>
      <c r="N28">
        <f>SUMIFS(DataRegularSeason20242025!$AA$3:$AA$1315,DataRegularSeason20242025!$B$3:$B$1315, "&lt;=" &amp; N$1, DataRegularSeason20242025!$D$3:$D$1315, $A28)+SUMIFS(DataRegularSeason20242025!$AB$3:$AB$1315,DataRegularSeason20242025!$B$3:$B$1315, "&lt;=" &amp; N$1, DataRegularSeason20242025!$E$3:$E$1315, $A28)</f>
        <v>2</v>
      </c>
      <c r="O28">
        <f>SUMIFS(DataRegularSeason20242025!$AA$3:$AA$1315,DataRegularSeason20242025!$B$3:$B$1315, "&lt;=" &amp; O$1, DataRegularSeason20242025!$D$3:$D$1315, $A28)+SUMIFS(DataRegularSeason20242025!$AB$3:$AB$1315,DataRegularSeason20242025!$B$3:$B$1315, "&lt;=" &amp; O$1, DataRegularSeason20242025!$E$3:$E$1315, $A28)</f>
        <v>2</v>
      </c>
      <c r="P28">
        <f>SUMIFS(DataRegularSeason20242025!$AA$3:$AA$1315,DataRegularSeason20242025!$B$3:$B$1315, "&lt;=" &amp; P$1, DataRegularSeason20242025!$D$3:$D$1315, $A28)+SUMIFS(DataRegularSeason20242025!$AB$3:$AB$1315,DataRegularSeason20242025!$B$3:$B$1315, "&lt;=" &amp; P$1, DataRegularSeason20242025!$E$3:$E$1315, $A28)</f>
        <v>2</v>
      </c>
      <c r="Q28">
        <f>SUMIFS(DataRegularSeason20242025!$AA$3:$AA$1315,DataRegularSeason20242025!$B$3:$B$1315, "&lt;=" &amp; Q$1, DataRegularSeason20242025!$D$3:$D$1315, $A28)+SUMIFS(DataRegularSeason20242025!$AB$3:$AB$1315,DataRegularSeason20242025!$B$3:$B$1315, "&lt;=" &amp; Q$1, DataRegularSeason20242025!$E$3:$E$1315, $A28)</f>
        <v>4</v>
      </c>
      <c r="R28">
        <f>SUMIFS(DataRegularSeason20242025!$AA$3:$AA$1315,DataRegularSeason20242025!$B$3:$B$1315, "&lt;=" &amp; R$1, DataRegularSeason20242025!$D$3:$D$1315, $A28)+SUMIFS(DataRegularSeason20242025!$AB$3:$AB$1315,DataRegularSeason20242025!$B$3:$B$1315, "&lt;=" &amp; R$1, DataRegularSeason20242025!$E$3:$E$1315, $A28)</f>
        <v>6</v>
      </c>
      <c r="S28">
        <f>SUMIFS(DataRegularSeason20242025!$AA$3:$AA$1315,DataRegularSeason20242025!$B$3:$B$1315, "&lt;=" &amp; S$1, DataRegularSeason20242025!$D$3:$D$1315, $A28)+SUMIFS(DataRegularSeason20242025!$AB$3:$AB$1315,DataRegularSeason20242025!$B$3:$B$1315, "&lt;=" &amp; S$1, DataRegularSeason20242025!$E$3:$E$1315, $A28)</f>
        <v>6</v>
      </c>
      <c r="T28">
        <f>SUMIFS(DataRegularSeason20242025!$AA$3:$AA$1315,DataRegularSeason20242025!$B$3:$B$1315, "&lt;=" &amp; T$1, DataRegularSeason20242025!$D$3:$D$1315, $A28)+SUMIFS(DataRegularSeason20242025!$AB$3:$AB$1315,DataRegularSeason20242025!$B$3:$B$1315, "&lt;=" &amp; T$1, DataRegularSeason20242025!$E$3:$E$1315, $A28)</f>
        <v>8</v>
      </c>
      <c r="U28">
        <f>SUMIFS(DataRegularSeason20242025!$AA$3:$AA$1315,DataRegularSeason20242025!$B$3:$B$1315, "&lt;=" &amp; U$1, DataRegularSeason20242025!$D$3:$D$1315, $A28)+SUMIFS(DataRegularSeason20242025!$AB$3:$AB$1315,DataRegularSeason20242025!$B$3:$B$1315, "&lt;=" &amp; U$1, DataRegularSeason20242025!$E$3:$E$1315, $A28)</f>
        <v>8</v>
      </c>
      <c r="V28">
        <f>SUMIFS(DataRegularSeason20242025!$AA$3:$AA$1315,DataRegularSeason20242025!$B$3:$B$1315, "&lt;=" &amp; V$1, DataRegularSeason20242025!$D$3:$D$1315, $A28)+SUMIFS(DataRegularSeason20242025!$AB$3:$AB$1315,DataRegularSeason20242025!$B$3:$B$1315, "&lt;=" &amp; V$1, DataRegularSeason20242025!$E$3:$E$1315, $A28)</f>
        <v>8</v>
      </c>
      <c r="W28">
        <f>SUMIFS(DataRegularSeason20242025!$AA$3:$AA$1315,DataRegularSeason20242025!$B$3:$B$1315, "&lt;=" &amp; W$1, DataRegularSeason20242025!$D$3:$D$1315, $A28)+SUMIFS(DataRegularSeason20242025!$AB$3:$AB$1315,DataRegularSeason20242025!$B$3:$B$1315, "&lt;=" &amp; W$1, DataRegularSeason20242025!$E$3:$E$1315, $A28)</f>
        <v>8</v>
      </c>
      <c r="X28">
        <f>SUMIFS(DataRegularSeason20242025!$AA$3:$AA$1315,DataRegularSeason20242025!$B$3:$B$1315, "&lt;=" &amp; X$1, DataRegularSeason20242025!$D$3:$D$1315, $A28)+SUMIFS(DataRegularSeason20242025!$AB$3:$AB$1315,DataRegularSeason20242025!$B$3:$B$1315, "&lt;=" &amp; X$1, DataRegularSeason20242025!$E$3:$E$1315, $A28)</f>
        <v>8</v>
      </c>
      <c r="Y28">
        <f>SUMIFS(DataRegularSeason20242025!$AA$3:$AA$1315,DataRegularSeason20242025!$B$3:$B$1315, "&lt;=" &amp; Y$1, DataRegularSeason20242025!$D$3:$D$1315, $A28)+SUMIFS(DataRegularSeason20242025!$AB$3:$AB$1315,DataRegularSeason20242025!$B$3:$B$1315, "&lt;=" &amp; Y$1, DataRegularSeason20242025!$E$3:$E$1315, $A28)</f>
        <v>8</v>
      </c>
      <c r="Z28">
        <f>SUMIFS(DataRegularSeason20242025!$AA$3:$AA$1315,DataRegularSeason20242025!$B$3:$B$1315, "&lt;=" &amp; Z$1, DataRegularSeason20242025!$D$3:$D$1315, $A28)+SUMIFS(DataRegularSeason20242025!$AB$3:$AB$1315,DataRegularSeason20242025!$B$3:$B$1315, "&lt;=" &amp; Z$1, DataRegularSeason20242025!$E$3:$E$1315, $A28)</f>
        <v>8</v>
      </c>
      <c r="AA28">
        <f>SUMIFS(DataRegularSeason20242025!$AA$3:$AA$1315,DataRegularSeason20242025!$B$3:$B$1315, "&lt;=" &amp; AA$1, DataRegularSeason20242025!$D$3:$D$1315, $A28)+SUMIFS(DataRegularSeason20242025!$AB$3:$AB$1315,DataRegularSeason20242025!$B$3:$B$1315, "&lt;=" &amp; AA$1, DataRegularSeason20242025!$E$3:$E$1315, $A28)</f>
        <v>8</v>
      </c>
      <c r="AB28">
        <f>SUMIFS(DataRegularSeason20242025!$AA$3:$AA$1315,DataRegularSeason20242025!$B$3:$B$1315, "&lt;=" &amp; AB$1, DataRegularSeason20242025!$D$3:$D$1315, $A28)+SUMIFS(DataRegularSeason20242025!$AB$3:$AB$1315,DataRegularSeason20242025!$B$3:$B$1315, "&lt;=" &amp; AB$1, DataRegularSeason20242025!$E$3:$E$1315, $A28)</f>
        <v>8</v>
      </c>
      <c r="AC28">
        <f>SUMIFS(DataRegularSeason20242025!$AA$3:$AA$1315,DataRegularSeason20242025!$B$3:$B$1315, "&lt;=" &amp; AC$1, DataRegularSeason20242025!$D$3:$D$1315, $A28)+SUMIFS(DataRegularSeason20242025!$AB$3:$AB$1315,DataRegularSeason20242025!$B$3:$B$1315, "&lt;=" &amp; AC$1, DataRegularSeason20242025!$E$3:$E$1315, $A28)</f>
        <v>8</v>
      </c>
      <c r="AD28">
        <f>SUMIFS(DataRegularSeason20242025!$AA$3:$AA$1315,DataRegularSeason20242025!$B$3:$B$1315, "&lt;=" &amp; AD$1, DataRegularSeason20242025!$D$3:$D$1315, $A28)+SUMIFS(DataRegularSeason20242025!$AB$3:$AB$1315,DataRegularSeason20242025!$B$3:$B$1315, "&lt;=" &amp; AD$1, DataRegularSeason20242025!$E$3:$E$1315, $A28)</f>
        <v>8</v>
      </c>
      <c r="AE28">
        <f>SUMIFS(DataRegularSeason20242025!$AA$3:$AA$1315,DataRegularSeason20242025!$B$3:$B$1315, "&lt;=" &amp; AE$1, DataRegularSeason20242025!$D$3:$D$1315, $A28)+SUMIFS(DataRegularSeason20242025!$AB$3:$AB$1315,DataRegularSeason20242025!$B$3:$B$1315, "&lt;=" &amp; AE$1, DataRegularSeason20242025!$E$3:$E$1315, $A28)</f>
        <v>8</v>
      </c>
      <c r="AF28">
        <f>SUMIFS(DataRegularSeason20242025!$AA$3:$AA$1315,DataRegularSeason20242025!$B$3:$B$1315, "&lt;=" &amp; AF$1, DataRegularSeason20242025!$D$3:$D$1315, $A28)+SUMIFS(DataRegularSeason20242025!$AB$3:$AB$1315,DataRegularSeason20242025!$B$3:$B$1315, "&lt;=" &amp; AF$1, DataRegularSeason20242025!$E$3:$E$1315, $A28)</f>
        <v>8</v>
      </c>
      <c r="AG28">
        <f>SUMIFS(DataRegularSeason20242025!$AA$3:$AA$1315,DataRegularSeason20242025!$B$3:$B$1315, "&lt;=" &amp; AG$1, DataRegularSeason20242025!$D$3:$D$1315, $A28)+SUMIFS(DataRegularSeason20242025!$AB$3:$AB$1315,DataRegularSeason20242025!$B$3:$B$1315, "&lt;=" &amp; AG$1, DataRegularSeason20242025!$E$3:$E$1315, $A28)</f>
        <v>8</v>
      </c>
      <c r="AH28">
        <f>SUMIFS(DataRegularSeason20242025!$AA$3:$AA$1315,DataRegularSeason20242025!$B$3:$B$1315, "&lt;=" &amp; AH$1, DataRegularSeason20242025!$D$3:$D$1315, $A28)+SUMIFS(DataRegularSeason20242025!$AB$3:$AB$1315,DataRegularSeason20242025!$B$3:$B$1315, "&lt;=" &amp; AH$1, DataRegularSeason20242025!$E$3:$E$1315, $A28)</f>
        <v>8</v>
      </c>
      <c r="AI28">
        <f>SUMIFS(DataRegularSeason20242025!$AA$3:$AA$1315,DataRegularSeason20242025!$B$3:$B$1315, "&lt;=" &amp; AI$1, DataRegularSeason20242025!$D$3:$D$1315, $A28)+SUMIFS(DataRegularSeason20242025!$AB$3:$AB$1315,DataRegularSeason20242025!$B$3:$B$1315, "&lt;=" &amp; AI$1, DataRegularSeason20242025!$E$3:$E$1315, $A28)</f>
        <v>8</v>
      </c>
      <c r="AJ28">
        <f>SUMIFS(DataRegularSeason20242025!$AA$3:$AA$1315,DataRegularSeason20242025!$B$3:$B$1315, "&lt;=" &amp; AJ$1, DataRegularSeason20242025!$D$3:$D$1315, $A28)+SUMIFS(DataRegularSeason20242025!$AB$3:$AB$1315,DataRegularSeason20242025!$B$3:$B$1315, "&lt;=" &amp; AJ$1, DataRegularSeason20242025!$E$3:$E$1315, $A28)</f>
        <v>8</v>
      </c>
      <c r="AK28">
        <f>SUMIFS(DataRegularSeason20242025!$AA$3:$AA$1315,DataRegularSeason20242025!$B$3:$B$1315, "&lt;=" &amp; AK$1, DataRegularSeason20242025!$D$3:$D$1315, $A28)+SUMIFS(DataRegularSeason20242025!$AB$3:$AB$1315,DataRegularSeason20242025!$B$3:$B$1315, "&lt;=" &amp; AK$1, DataRegularSeason20242025!$E$3:$E$1315, $A28)</f>
        <v>8</v>
      </c>
      <c r="AL28">
        <f>SUMIFS(DataRegularSeason20242025!$AA$3:$AA$1315,DataRegularSeason20242025!$B$3:$B$1315, "&lt;=" &amp; AL$1, DataRegularSeason20242025!$D$3:$D$1315, $A28)+SUMIFS(DataRegularSeason20242025!$AB$3:$AB$1315,DataRegularSeason20242025!$B$3:$B$1315, "&lt;=" &amp; AL$1, DataRegularSeason20242025!$E$3:$E$1315, $A28)</f>
        <v>8</v>
      </c>
      <c r="AM28">
        <f>SUMIFS(DataRegularSeason20242025!$AA$3:$AA$1315,DataRegularSeason20242025!$B$3:$B$1315, "&lt;=" &amp; AM$1, DataRegularSeason20242025!$D$3:$D$1315, $A28)+SUMIFS(DataRegularSeason20242025!$AB$3:$AB$1315,DataRegularSeason20242025!$B$3:$B$1315, "&lt;=" &amp; AM$1, DataRegularSeason20242025!$E$3:$E$1315, $A28)</f>
        <v>8</v>
      </c>
      <c r="AN28">
        <f>SUMIFS(DataRegularSeason20242025!$AA$3:$AA$1315,DataRegularSeason20242025!$B$3:$B$1315, "&lt;=" &amp; AN$1, DataRegularSeason20242025!$D$3:$D$1315, $A28)+SUMIFS(DataRegularSeason20242025!$AB$3:$AB$1315,DataRegularSeason20242025!$B$3:$B$1315, "&lt;=" &amp; AN$1, DataRegularSeason20242025!$E$3:$E$1315, $A28)</f>
        <v>8</v>
      </c>
      <c r="AO28">
        <f>SUMIFS(DataRegularSeason20242025!$AA$3:$AA$1315,DataRegularSeason20242025!$B$3:$B$1315, "&lt;=" &amp; AO$1, DataRegularSeason20242025!$D$3:$D$1315, $A28)+SUMIFS(DataRegularSeason20242025!$AB$3:$AB$1315,DataRegularSeason20242025!$B$3:$B$1315, "&lt;=" &amp; AO$1, DataRegularSeason20242025!$E$3:$E$1315, $A28)</f>
        <v>8</v>
      </c>
      <c r="AP28">
        <f>SUMIFS(DataRegularSeason20242025!$AA$3:$AA$1315,DataRegularSeason20242025!$B$3:$B$1315, "&lt;=" &amp; AP$1, DataRegularSeason20242025!$D$3:$D$1315, $A28)+SUMIFS(DataRegularSeason20242025!$AB$3:$AB$1315,DataRegularSeason20242025!$B$3:$B$1315, "&lt;=" &amp; AP$1, DataRegularSeason20242025!$E$3:$E$1315, $A28)</f>
        <v>8</v>
      </c>
      <c r="AQ28">
        <f>SUMIFS(DataRegularSeason20242025!$AA$3:$AA$1315,DataRegularSeason20242025!$B$3:$B$1315, "&lt;=" &amp; AQ$1, DataRegularSeason20242025!$D$3:$D$1315, $A28)+SUMIFS(DataRegularSeason20242025!$AB$3:$AB$1315,DataRegularSeason20242025!$B$3:$B$1315, "&lt;=" &amp; AQ$1, DataRegularSeason20242025!$E$3:$E$1315, $A28)</f>
        <v>8</v>
      </c>
      <c r="AR28">
        <f>SUMIFS(DataRegularSeason20242025!$AA$3:$AA$1315,DataRegularSeason20242025!$B$3:$B$1315, "&lt;=" &amp; AR$1, DataRegularSeason20242025!$D$3:$D$1315, $A28)+SUMIFS(DataRegularSeason20242025!$AB$3:$AB$1315,DataRegularSeason20242025!$B$3:$B$1315, "&lt;=" &amp; AR$1, DataRegularSeason20242025!$E$3:$E$1315, $A28)</f>
        <v>8</v>
      </c>
      <c r="AS28">
        <f>SUMIFS(DataRegularSeason20242025!$AA$3:$AA$1315,DataRegularSeason20242025!$B$3:$B$1315, "&lt;=" &amp; AS$1, DataRegularSeason20242025!$D$3:$D$1315, $A28)+SUMIFS(DataRegularSeason20242025!$AB$3:$AB$1315,DataRegularSeason20242025!$B$3:$B$1315, "&lt;=" &amp; AS$1, DataRegularSeason20242025!$E$3:$E$1315, $A28)</f>
        <v>8</v>
      </c>
      <c r="AT28">
        <f>SUMIFS(DataRegularSeason20242025!$AA$3:$AA$1315,DataRegularSeason20242025!$B$3:$B$1315, "&lt;=" &amp; AT$1, DataRegularSeason20242025!$D$3:$D$1315, $A28)+SUMIFS(DataRegularSeason20242025!$AB$3:$AB$1315,DataRegularSeason20242025!$B$3:$B$1315, "&lt;=" &amp; AT$1, DataRegularSeason20242025!$E$3:$E$1315, $A28)</f>
        <v>8</v>
      </c>
      <c r="AU28">
        <f>SUMIFS(DataRegularSeason20242025!$AA$3:$AA$1315,DataRegularSeason20242025!$B$3:$B$1315, "&lt;=" &amp; AU$1, DataRegularSeason20242025!$D$3:$D$1315, $A28)+SUMIFS(DataRegularSeason20242025!$AB$3:$AB$1315,DataRegularSeason20242025!$B$3:$B$1315, "&lt;=" &amp; AU$1, DataRegularSeason20242025!$E$3:$E$1315, $A28)</f>
        <v>8</v>
      </c>
      <c r="AV28">
        <f>SUMIFS(DataRegularSeason20242025!$AA$3:$AA$1315,DataRegularSeason20242025!$B$3:$B$1315, "&lt;=" &amp; AV$1, DataRegularSeason20242025!$D$3:$D$1315, $A28)+SUMIFS(DataRegularSeason20242025!$AB$3:$AB$1315,DataRegularSeason20242025!$B$3:$B$1315, "&lt;=" &amp; AV$1, DataRegularSeason20242025!$E$3:$E$1315, $A28)</f>
        <v>8</v>
      </c>
      <c r="AW28">
        <f>SUMIFS(DataRegularSeason20242025!$AA$3:$AA$1315,DataRegularSeason20242025!$B$3:$B$1315, "&lt;=" &amp; AW$1, DataRegularSeason20242025!$D$3:$D$1315, $A28)+SUMIFS(DataRegularSeason20242025!$AB$3:$AB$1315,DataRegularSeason20242025!$B$3:$B$1315, "&lt;=" &amp; AW$1, DataRegularSeason20242025!$E$3:$E$1315, $A28)</f>
        <v>8</v>
      </c>
      <c r="AX28">
        <f>SUMIFS(DataRegularSeason20242025!$AA$3:$AA$1315,DataRegularSeason20242025!$B$3:$B$1315, "&lt;=" &amp; AX$1, DataRegularSeason20242025!$D$3:$D$1315, $A28)+SUMIFS(DataRegularSeason20242025!$AB$3:$AB$1315,DataRegularSeason20242025!$B$3:$B$1315, "&lt;=" &amp; AX$1, DataRegularSeason20242025!$E$3:$E$1315, $A28)</f>
        <v>8</v>
      </c>
      <c r="AY28">
        <f>SUMIFS(DataRegularSeason20242025!$AA$3:$AA$1315,DataRegularSeason20242025!$B$3:$B$1315, "&lt;=" &amp; AY$1, DataRegularSeason20242025!$D$3:$D$1315, $A28)+SUMIFS(DataRegularSeason20242025!$AB$3:$AB$1315,DataRegularSeason20242025!$B$3:$B$1315, "&lt;=" &amp; AY$1, DataRegularSeason20242025!$E$3:$E$1315, $A28)</f>
        <v>8</v>
      </c>
      <c r="AZ28">
        <f>SUMIFS(DataRegularSeason20242025!$AA$3:$AA$1315,DataRegularSeason20242025!$B$3:$B$1315, "&lt;=" &amp; AZ$1, DataRegularSeason20242025!$D$3:$D$1315, $A28)+SUMIFS(DataRegularSeason20242025!$AB$3:$AB$1315,DataRegularSeason20242025!$B$3:$B$1315, "&lt;=" &amp; AZ$1, DataRegularSeason20242025!$E$3:$E$1315, $A28)</f>
        <v>8</v>
      </c>
      <c r="BA28">
        <f>SUMIFS(DataRegularSeason20242025!$AA$3:$AA$1315,DataRegularSeason20242025!$B$3:$B$1315, "&lt;=" &amp; BA$1, DataRegularSeason20242025!$D$3:$D$1315, $A28)+SUMIFS(DataRegularSeason20242025!$AB$3:$AB$1315,DataRegularSeason20242025!$B$3:$B$1315, "&lt;=" &amp; BA$1, DataRegularSeason20242025!$E$3:$E$1315, $A28)</f>
        <v>8</v>
      </c>
      <c r="BB28">
        <f>SUMIFS(DataRegularSeason20242025!$AA$3:$AA$1315,DataRegularSeason20242025!$B$3:$B$1315, "&lt;=" &amp; BB$1, DataRegularSeason20242025!$D$3:$D$1315, $A28)+SUMIFS(DataRegularSeason20242025!$AB$3:$AB$1315,DataRegularSeason20242025!$B$3:$B$1315, "&lt;=" &amp; BB$1, DataRegularSeason20242025!$E$3:$E$1315, $A28)</f>
        <v>8</v>
      </c>
      <c r="BC28">
        <f>SUMIFS(DataRegularSeason20242025!$AA$3:$AA$1315,DataRegularSeason20242025!$B$3:$B$1315, "&lt;=" &amp; BC$1, DataRegularSeason20242025!$D$3:$D$1315, $A28)+SUMIFS(DataRegularSeason20242025!$AB$3:$AB$1315,DataRegularSeason20242025!$B$3:$B$1315, "&lt;=" &amp; BC$1, DataRegularSeason20242025!$E$3:$E$1315, $A28)</f>
        <v>8</v>
      </c>
      <c r="BD28">
        <f>SUMIFS(DataRegularSeason20242025!$AA$3:$AA$1315,DataRegularSeason20242025!$B$3:$B$1315, "&lt;=" &amp; BD$1, DataRegularSeason20242025!$D$3:$D$1315, $A28)+SUMIFS(DataRegularSeason20242025!$AB$3:$AB$1315,DataRegularSeason20242025!$B$3:$B$1315, "&lt;=" &amp; BD$1, DataRegularSeason20242025!$E$3:$E$1315, $A28)</f>
        <v>8</v>
      </c>
      <c r="BE28">
        <f>SUMIFS(DataRegularSeason20242025!$AA$3:$AA$1315,DataRegularSeason20242025!$B$3:$B$1315, "&lt;=" &amp; BE$1, DataRegularSeason20242025!$D$3:$D$1315, $A28)+SUMIFS(DataRegularSeason20242025!$AB$3:$AB$1315,DataRegularSeason20242025!$B$3:$B$1315, "&lt;=" &amp; BE$1, DataRegularSeason20242025!$E$3:$E$1315, $A28)</f>
        <v>8</v>
      </c>
      <c r="BF28">
        <f>SUMIFS(DataRegularSeason20242025!$AA$3:$AA$1315,DataRegularSeason20242025!$B$3:$B$1315, "&lt;=" &amp; BF$1, DataRegularSeason20242025!$D$3:$D$1315, $A28)+SUMIFS(DataRegularSeason20242025!$AB$3:$AB$1315,DataRegularSeason20242025!$B$3:$B$1315, "&lt;=" &amp; BF$1, DataRegularSeason20242025!$E$3:$E$1315, $A28)</f>
        <v>8</v>
      </c>
      <c r="BG28">
        <f>SUMIFS(DataRegularSeason20242025!$AA$3:$AA$1315,DataRegularSeason20242025!$B$3:$B$1315, "&lt;=" &amp; BG$1, DataRegularSeason20242025!$D$3:$D$1315, $A28)+SUMIFS(DataRegularSeason20242025!$AB$3:$AB$1315,DataRegularSeason20242025!$B$3:$B$1315, "&lt;=" &amp; BG$1, DataRegularSeason20242025!$E$3:$E$1315, $A28)</f>
        <v>8</v>
      </c>
      <c r="BH28">
        <f>SUMIFS(DataRegularSeason20242025!$AA$3:$AA$1315,DataRegularSeason20242025!$B$3:$B$1315, "&lt;=" &amp; BH$1, DataRegularSeason20242025!$D$3:$D$1315, $A28)+SUMIFS(DataRegularSeason20242025!$AB$3:$AB$1315,DataRegularSeason20242025!$B$3:$B$1315, "&lt;=" &amp; BH$1, DataRegularSeason20242025!$E$3:$E$1315, $A28)</f>
        <v>8</v>
      </c>
      <c r="BI28">
        <f>SUMIFS(DataRegularSeason20242025!$AA$3:$AA$1315,DataRegularSeason20242025!$B$3:$B$1315, "&lt;=" &amp; BI$1, DataRegularSeason20242025!$D$3:$D$1315, $A28)+SUMIFS(DataRegularSeason20242025!$AB$3:$AB$1315,DataRegularSeason20242025!$B$3:$B$1315, "&lt;=" &amp; BI$1, DataRegularSeason20242025!$E$3:$E$1315, $A28)</f>
        <v>8</v>
      </c>
      <c r="BJ28">
        <f>SUMIFS(DataRegularSeason20242025!$AA$3:$AA$1315,DataRegularSeason20242025!$B$3:$B$1315, "&lt;=" &amp; BJ$1, DataRegularSeason20242025!$D$3:$D$1315, $A28)+SUMIFS(DataRegularSeason20242025!$AB$3:$AB$1315,DataRegularSeason20242025!$B$3:$B$1315, "&lt;=" &amp; BJ$1, DataRegularSeason20242025!$E$3:$E$1315, $A28)</f>
        <v>8</v>
      </c>
      <c r="BK28">
        <f>SUMIFS(DataRegularSeason20242025!$AA$3:$AA$1315,DataRegularSeason20242025!$B$3:$B$1315, "&lt;=" &amp; BK$1, DataRegularSeason20242025!$D$3:$D$1315, $A28)+SUMIFS(DataRegularSeason20242025!$AB$3:$AB$1315,DataRegularSeason20242025!$B$3:$B$1315, "&lt;=" &amp; BK$1, DataRegularSeason20242025!$E$3:$E$1315, $A28)</f>
        <v>8</v>
      </c>
      <c r="BL28">
        <f>SUMIFS(DataRegularSeason20242025!$AA$3:$AA$1315,DataRegularSeason20242025!$B$3:$B$1315, "&lt;=" &amp; BL$1, DataRegularSeason20242025!$D$3:$D$1315, $A28)+SUMIFS(DataRegularSeason20242025!$AB$3:$AB$1315,DataRegularSeason20242025!$B$3:$B$1315, "&lt;=" &amp; BL$1, DataRegularSeason20242025!$E$3:$E$1315, $A28)</f>
        <v>8</v>
      </c>
      <c r="BM28">
        <f>SUMIFS(DataRegularSeason20242025!$AA$3:$AA$1315,DataRegularSeason20242025!$B$3:$B$1315, "&lt;=" &amp; BM$1, DataRegularSeason20242025!$D$3:$D$1315, $A28)+SUMIFS(DataRegularSeason20242025!$AB$3:$AB$1315,DataRegularSeason20242025!$B$3:$B$1315, "&lt;=" &amp; BM$1, DataRegularSeason20242025!$E$3:$E$1315, $A28)</f>
        <v>8</v>
      </c>
      <c r="BN28">
        <f>SUMIFS(DataRegularSeason20242025!$AA$3:$AA$1315,DataRegularSeason20242025!$B$3:$B$1315, "&lt;=" &amp; BN$1, DataRegularSeason20242025!$D$3:$D$1315, $A28)+SUMIFS(DataRegularSeason20242025!$AB$3:$AB$1315,DataRegularSeason20242025!$B$3:$B$1315, "&lt;=" &amp; BN$1, DataRegularSeason20242025!$E$3:$E$1315, $A28)</f>
        <v>8</v>
      </c>
      <c r="BO28">
        <f>SUMIFS(DataRegularSeason20242025!$AA$3:$AA$1315,DataRegularSeason20242025!$B$3:$B$1315, "&lt;=" &amp; BO$1, DataRegularSeason20242025!$D$3:$D$1315, $A28)+SUMIFS(DataRegularSeason20242025!$AB$3:$AB$1315,DataRegularSeason20242025!$B$3:$B$1315, "&lt;=" &amp; BO$1, DataRegularSeason20242025!$E$3:$E$1315, $A28)</f>
        <v>8</v>
      </c>
      <c r="BP28">
        <f>SUMIFS(DataRegularSeason20242025!$AA$3:$AA$1315,DataRegularSeason20242025!$B$3:$B$1315, "&lt;=" &amp; BP$1, DataRegularSeason20242025!$D$3:$D$1315, $A28)+SUMIFS(DataRegularSeason20242025!$AB$3:$AB$1315,DataRegularSeason20242025!$B$3:$B$1315, "&lt;=" &amp; BP$1, DataRegularSeason20242025!$E$3:$E$1315, $A28)</f>
        <v>8</v>
      </c>
      <c r="BQ28">
        <f>SUMIFS(DataRegularSeason20242025!$AA$3:$AA$1315,DataRegularSeason20242025!$B$3:$B$1315, "&lt;=" &amp; BQ$1, DataRegularSeason20242025!$D$3:$D$1315, $A28)+SUMIFS(DataRegularSeason20242025!$AB$3:$AB$1315,DataRegularSeason20242025!$B$3:$B$1315, "&lt;=" &amp; BQ$1, DataRegularSeason20242025!$E$3:$E$1315, $A28)</f>
        <v>8</v>
      </c>
      <c r="BR28">
        <f>SUMIFS(DataRegularSeason20242025!$AA$3:$AA$1315,DataRegularSeason20242025!$B$3:$B$1315, "&lt;=" &amp; BR$1, DataRegularSeason20242025!$D$3:$D$1315, $A28)+SUMIFS(DataRegularSeason20242025!$AB$3:$AB$1315,DataRegularSeason20242025!$B$3:$B$1315, "&lt;=" &amp; BR$1, DataRegularSeason20242025!$E$3:$E$1315, $A28)</f>
        <v>8</v>
      </c>
      <c r="BS28">
        <f>SUMIFS(DataRegularSeason20242025!$AA$3:$AA$1315,DataRegularSeason20242025!$B$3:$B$1315, "&lt;=" &amp; BS$1, DataRegularSeason20242025!$D$3:$D$1315, $A28)+SUMIFS(DataRegularSeason20242025!$AB$3:$AB$1315,DataRegularSeason20242025!$B$3:$B$1315, "&lt;=" &amp; BS$1, DataRegularSeason20242025!$E$3:$E$1315, $A28)</f>
        <v>8</v>
      </c>
      <c r="BT28">
        <f>SUMIFS(DataRegularSeason20242025!$AA$3:$AA$1315,DataRegularSeason20242025!$B$3:$B$1315, "&lt;=" &amp; BT$1, DataRegularSeason20242025!$D$3:$D$1315, $A28)+SUMIFS(DataRegularSeason20242025!$AB$3:$AB$1315,DataRegularSeason20242025!$B$3:$B$1315, "&lt;=" &amp; BT$1, DataRegularSeason20242025!$E$3:$E$1315, $A28)</f>
        <v>8</v>
      </c>
      <c r="BU28">
        <f>SUMIFS(DataRegularSeason20242025!$AA$3:$AA$1315,DataRegularSeason20242025!$B$3:$B$1315, "&lt;=" &amp; BU$1, DataRegularSeason20242025!$D$3:$D$1315, $A28)+SUMIFS(DataRegularSeason20242025!$AB$3:$AB$1315,DataRegularSeason20242025!$B$3:$B$1315, "&lt;=" &amp; BU$1, DataRegularSeason20242025!$E$3:$E$1315, $A28)</f>
        <v>8</v>
      </c>
      <c r="BV28">
        <f>SUMIFS(DataRegularSeason20242025!$AA$3:$AA$1315,DataRegularSeason20242025!$B$3:$B$1315, "&lt;=" &amp; BV$1, DataRegularSeason20242025!$D$3:$D$1315, $A28)+SUMIFS(DataRegularSeason20242025!$AB$3:$AB$1315,DataRegularSeason20242025!$B$3:$B$1315, "&lt;=" &amp; BV$1, DataRegularSeason20242025!$E$3:$E$1315, $A28)</f>
        <v>8</v>
      </c>
      <c r="BW28">
        <f>SUMIFS(DataRegularSeason20242025!$AA$3:$AA$1315,DataRegularSeason20242025!$B$3:$B$1315, "&lt;=" &amp; BW$1, DataRegularSeason20242025!$D$3:$D$1315, $A28)+SUMIFS(DataRegularSeason20242025!$AB$3:$AB$1315,DataRegularSeason20242025!$B$3:$B$1315, "&lt;=" &amp; BW$1, DataRegularSeason20242025!$E$3:$E$1315, $A28)</f>
        <v>8</v>
      </c>
      <c r="BX28">
        <f>SUMIFS(DataRegularSeason20242025!$AA$3:$AA$1315,DataRegularSeason20242025!$B$3:$B$1315, "&lt;=" &amp; BX$1, DataRegularSeason20242025!$D$3:$D$1315, $A28)+SUMIFS(DataRegularSeason20242025!$AB$3:$AB$1315,DataRegularSeason20242025!$B$3:$B$1315, "&lt;=" &amp; BX$1, DataRegularSeason20242025!$E$3:$E$1315, $A28)</f>
        <v>8</v>
      </c>
      <c r="BY28">
        <f>SUMIFS(DataRegularSeason20242025!$AA$3:$AA$1315,DataRegularSeason20242025!$B$3:$B$1315, "&lt;=" &amp; BY$1, DataRegularSeason20242025!$D$3:$D$1315, $A28)+SUMIFS(DataRegularSeason20242025!$AB$3:$AB$1315,DataRegularSeason20242025!$B$3:$B$1315, "&lt;=" &amp; BY$1, DataRegularSeason20242025!$E$3:$E$1315, $A28)</f>
        <v>8</v>
      </c>
      <c r="BZ28">
        <f>SUMIFS(DataRegularSeason20242025!$AA$3:$AA$1315,DataRegularSeason20242025!$B$3:$B$1315, "&lt;=" &amp; BZ$1, DataRegularSeason20242025!$D$3:$D$1315, $A28)+SUMIFS(DataRegularSeason20242025!$AB$3:$AB$1315,DataRegularSeason20242025!$B$3:$B$1315, "&lt;=" &amp; BZ$1, DataRegularSeason20242025!$E$3:$E$1315, $A28)</f>
        <v>8</v>
      </c>
      <c r="CA28">
        <f>SUMIFS(DataRegularSeason20242025!$AA$3:$AA$1315,DataRegularSeason20242025!$B$3:$B$1315, "&lt;=" &amp; CA$1, DataRegularSeason20242025!$D$3:$D$1315, $A28)+SUMIFS(DataRegularSeason20242025!$AB$3:$AB$1315,DataRegularSeason20242025!$B$3:$B$1315, "&lt;=" &amp; CA$1, DataRegularSeason20242025!$E$3:$E$1315, $A28)</f>
        <v>8</v>
      </c>
      <c r="CB28">
        <f>SUMIFS(DataRegularSeason20242025!$AA$3:$AA$1315,DataRegularSeason20242025!$B$3:$B$1315, "&lt;=" &amp; CB$1, DataRegularSeason20242025!$D$3:$D$1315, $A28)+SUMIFS(DataRegularSeason20242025!$AB$3:$AB$1315,DataRegularSeason20242025!$B$3:$B$1315, "&lt;=" &amp; CB$1, DataRegularSeason20242025!$E$3:$E$1315, $A28)</f>
        <v>8</v>
      </c>
      <c r="CC28">
        <f>SUMIFS(DataRegularSeason20242025!$AA$3:$AA$1315,DataRegularSeason20242025!$B$3:$B$1315, "&lt;=" &amp; CC$1, DataRegularSeason20242025!$D$3:$D$1315, $A28)+SUMIFS(DataRegularSeason20242025!$AB$3:$AB$1315,DataRegularSeason20242025!$B$3:$B$1315, "&lt;=" &amp; CC$1, DataRegularSeason20242025!$E$3:$E$1315, $A28)</f>
        <v>8</v>
      </c>
      <c r="CD28">
        <f>SUMIFS(DataRegularSeason20242025!$AA$3:$AA$1315,DataRegularSeason20242025!$B$3:$B$1315, "&lt;=" &amp; CD$1, DataRegularSeason20242025!$D$3:$D$1315, $A28)+SUMIFS(DataRegularSeason20242025!$AB$3:$AB$1315,DataRegularSeason20242025!$B$3:$B$1315, "&lt;=" &amp; CD$1, DataRegularSeason20242025!$E$3:$E$1315, $A28)</f>
        <v>8</v>
      </c>
      <c r="CE28">
        <f>SUMIFS(DataRegularSeason20242025!$AA$3:$AA$1315,DataRegularSeason20242025!$B$3:$B$1315, "&lt;=" &amp; CE$1, DataRegularSeason20242025!$D$3:$D$1315, $A28)+SUMIFS(DataRegularSeason20242025!$AB$3:$AB$1315,DataRegularSeason20242025!$B$3:$B$1315, "&lt;=" &amp; CE$1, DataRegularSeason20242025!$E$3:$E$1315, $A28)</f>
        <v>8</v>
      </c>
      <c r="CF28">
        <f>SUMIFS(DataRegularSeason20242025!$AA$3:$AA$1315,DataRegularSeason20242025!$B$3:$B$1315, "&lt;=" &amp; CF$1, DataRegularSeason20242025!$D$3:$D$1315, $A28)+SUMIFS(DataRegularSeason20242025!$AB$3:$AB$1315,DataRegularSeason20242025!$B$3:$B$1315, "&lt;=" &amp; CF$1, DataRegularSeason20242025!$E$3:$E$1315, $A28)</f>
        <v>8</v>
      </c>
      <c r="CG28">
        <f>SUMIFS(DataRegularSeason20242025!$AA$3:$AA$1315,DataRegularSeason20242025!$B$3:$B$1315, "&lt;=" &amp; CG$1, DataRegularSeason20242025!$D$3:$D$1315, $A28)+SUMIFS(DataRegularSeason20242025!$AB$3:$AB$1315,DataRegularSeason20242025!$B$3:$B$1315, "&lt;=" &amp; CG$1, DataRegularSeason20242025!$E$3:$E$1315, $A28)</f>
        <v>8</v>
      </c>
      <c r="CH28">
        <f>SUMIFS(DataRegularSeason20242025!$AA$3:$AA$1315,DataRegularSeason20242025!$B$3:$B$1315, "&lt;=" &amp; CH$1, DataRegularSeason20242025!$D$3:$D$1315, $A28)+SUMIFS(DataRegularSeason20242025!$AB$3:$AB$1315,DataRegularSeason20242025!$B$3:$B$1315, "&lt;=" &amp; CH$1, DataRegularSeason20242025!$E$3:$E$1315, $A28)</f>
        <v>8</v>
      </c>
      <c r="CI28">
        <f>SUMIFS(DataRegularSeason20242025!$AA$3:$AA$1315,DataRegularSeason20242025!$B$3:$B$1315, "&lt;=" &amp; CI$1, DataRegularSeason20242025!$D$3:$D$1315, $A28)+SUMIFS(DataRegularSeason20242025!$AB$3:$AB$1315,DataRegularSeason20242025!$B$3:$B$1315, "&lt;=" &amp; CI$1, DataRegularSeason20242025!$E$3:$E$1315, $A28)</f>
        <v>8</v>
      </c>
      <c r="CJ28">
        <f>SUMIFS(DataRegularSeason20242025!$AA$3:$AA$1315,DataRegularSeason20242025!$B$3:$B$1315, "&lt;=" &amp; CJ$1, DataRegularSeason20242025!$D$3:$D$1315, $A28)+SUMIFS(DataRegularSeason20242025!$AB$3:$AB$1315,DataRegularSeason20242025!$B$3:$B$1315, "&lt;=" &amp; CJ$1, DataRegularSeason20242025!$E$3:$E$1315, $A28)</f>
        <v>8</v>
      </c>
      <c r="CK28">
        <f>SUMIFS(DataRegularSeason20242025!$AA$3:$AA$1315,DataRegularSeason20242025!$B$3:$B$1315, "&lt;=" &amp; CK$1, DataRegularSeason20242025!$D$3:$D$1315, $A28)+SUMIFS(DataRegularSeason20242025!$AB$3:$AB$1315,DataRegularSeason20242025!$B$3:$B$1315, "&lt;=" &amp; CK$1, DataRegularSeason20242025!$E$3:$E$1315, $A28)</f>
        <v>8</v>
      </c>
      <c r="CL28">
        <f>SUMIFS(DataRegularSeason20242025!$AA$3:$AA$1315,DataRegularSeason20242025!$B$3:$B$1315, "&lt;=" &amp; CL$1, DataRegularSeason20242025!$D$3:$D$1315, $A28)+SUMIFS(DataRegularSeason20242025!$AB$3:$AB$1315,DataRegularSeason20242025!$B$3:$B$1315, "&lt;=" &amp; CL$1, DataRegularSeason20242025!$E$3:$E$1315, $A28)</f>
        <v>8</v>
      </c>
      <c r="CM28">
        <f>SUMIFS(DataRegularSeason20242025!$AA$3:$AA$1315,DataRegularSeason20242025!$B$3:$B$1315, "&lt;=" &amp; CM$1, DataRegularSeason20242025!$D$3:$D$1315, $A28)+SUMIFS(DataRegularSeason20242025!$AB$3:$AB$1315,DataRegularSeason20242025!$B$3:$B$1315, "&lt;=" &amp; CM$1, DataRegularSeason20242025!$E$3:$E$1315, $A28)</f>
        <v>8</v>
      </c>
      <c r="CN28">
        <f>SUMIFS(DataRegularSeason20242025!$AA$3:$AA$1315,DataRegularSeason20242025!$B$3:$B$1315, "&lt;=" &amp; CN$1, DataRegularSeason20242025!$D$3:$D$1315, $A28)+SUMIFS(DataRegularSeason20242025!$AB$3:$AB$1315,DataRegularSeason20242025!$B$3:$B$1315, "&lt;=" &amp; CN$1, DataRegularSeason20242025!$E$3:$E$1315, $A28)</f>
        <v>8</v>
      </c>
      <c r="CO28">
        <f>SUMIFS(DataRegularSeason20242025!$AA$3:$AA$1315,DataRegularSeason20242025!$B$3:$B$1315, "&lt;=" &amp; CO$1, DataRegularSeason20242025!$D$3:$D$1315, $A28)+SUMIFS(DataRegularSeason20242025!$AB$3:$AB$1315,DataRegularSeason20242025!$B$3:$B$1315, "&lt;=" &amp; CO$1, DataRegularSeason20242025!$E$3:$E$1315, $A28)</f>
        <v>8</v>
      </c>
      <c r="CP28">
        <f>SUMIFS(DataRegularSeason20242025!$AA$3:$AA$1315,DataRegularSeason20242025!$B$3:$B$1315, "&lt;=" &amp; CP$1, DataRegularSeason20242025!$D$3:$D$1315, $A28)+SUMIFS(DataRegularSeason20242025!$AB$3:$AB$1315,DataRegularSeason20242025!$B$3:$B$1315, "&lt;=" &amp; CP$1, DataRegularSeason20242025!$E$3:$E$1315, $A28)</f>
        <v>8</v>
      </c>
      <c r="CQ28">
        <f>SUMIFS(DataRegularSeason20242025!$AA$3:$AA$1315,DataRegularSeason20242025!$B$3:$B$1315, "&lt;=" &amp; CQ$1, DataRegularSeason20242025!$D$3:$D$1315, $A28)+SUMIFS(DataRegularSeason20242025!$AB$3:$AB$1315,DataRegularSeason20242025!$B$3:$B$1315, "&lt;=" &amp; CQ$1, DataRegularSeason20242025!$E$3:$E$1315, $A28)</f>
        <v>8</v>
      </c>
      <c r="CR28">
        <f>SUMIFS(DataRegularSeason20242025!$AA$3:$AA$1315,DataRegularSeason20242025!$B$3:$B$1315, "&lt;=" &amp; CR$1, DataRegularSeason20242025!$D$3:$D$1315, $A28)+SUMIFS(DataRegularSeason20242025!$AB$3:$AB$1315,DataRegularSeason20242025!$B$3:$B$1315, "&lt;=" &amp; CR$1, DataRegularSeason20242025!$E$3:$E$1315, $A28)</f>
        <v>8</v>
      </c>
      <c r="CS28">
        <f>SUMIFS(DataRegularSeason20242025!$AA$3:$AA$1315,DataRegularSeason20242025!$B$3:$B$1315, "&lt;=" &amp; CS$1, DataRegularSeason20242025!$D$3:$D$1315, $A28)+SUMIFS(DataRegularSeason20242025!$AB$3:$AB$1315,DataRegularSeason20242025!$B$3:$B$1315, "&lt;=" &amp; CS$1, DataRegularSeason20242025!$E$3:$E$1315, $A28)</f>
        <v>8</v>
      </c>
      <c r="CT28">
        <f>SUMIFS(DataRegularSeason20242025!$AA$3:$AA$1315,DataRegularSeason20242025!$B$3:$B$1315, "&lt;=" &amp; CT$1, DataRegularSeason20242025!$D$3:$D$1315, $A28)+SUMIFS(DataRegularSeason20242025!$AB$3:$AB$1315,DataRegularSeason20242025!$B$3:$B$1315, "&lt;=" &amp; CT$1, DataRegularSeason20242025!$E$3:$E$1315, $A28)</f>
        <v>8</v>
      </c>
      <c r="CU28">
        <f>SUMIFS(DataRegularSeason20242025!$AA$3:$AA$1315,DataRegularSeason20242025!$B$3:$B$1315, "&lt;=" &amp; CU$1, DataRegularSeason20242025!$D$3:$D$1315, $A28)+SUMIFS(DataRegularSeason20242025!$AB$3:$AB$1315,DataRegularSeason20242025!$B$3:$B$1315, "&lt;=" &amp; CU$1, DataRegularSeason20242025!$E$3:$E$1315, $A28)</f>
        <v>8</v>
      </c>
      <c r="CV28">
        <f>SUMIFS(DataRegularSeason20242025!$AA$3:$AA$1315,DataRegularSeason20242025!$B$3:$B$1315, "&lt;=" &amp; CV$1, DataRegularSeason20242025!$D$3:$D$1315, $A28)+SUMIFS(DataRegularSeason20242025!$AB$3:$AB$1315,DataRegularSeason20242025!$B$3:$B$1315, "&lt;=" &amp; CV$1, DataRegularSeason20242025!$E$3:$E$1315, $A28)</f>
        <v>8</v>
      </c>
      <c r="CW28">
        <f>SUMIFS(DataRegularSeason20242025!$AA$3:$AA$1315,DataRegularSeason20242025!$B$3:$B$1315, "&lt;=" &amp; CW$1, DataRegularSeason20242025!$D$3:$D$1315, $A28)+SUMIFS(DataRegularSeason20242025!$AB$3:$AB$1315,DataRegularSeason20242025!$B$3:$B$1315, "&lt;=" &amp; CW$1, DataRegularSeason20242025!$E$3:$E$1315, $A28)</f>
        <v>8</v>
      </c>
      <c r="CX28">
        <f>SUMIFS(DataRegularSeason20242025!$AA$3:$AA$1315,DataRegularSeason20242025!$B$3:$B$1315, "&lt;=" &amp; CX$1, DataRegularSeason20242025!$D$3:$D$1315, $A28)+SUMIFS(DataRegularSeason20242025!$AB$3:$AB$1315,DataRegularSeason20242025!$B$3:$B$1315, "&lt;=" &amp; CX$1, DataRegularSeason20242025!$E$3:$E$1315, $A28)</f>
        <v>8</v>
      </c>
      <c r="CY28">
        <f>SUMIFS(DataRegularSeason20242025!$AA$3:$AA$1315,DataRegularSeason20242025!$B$3:$B$1315, "&lt;=" &amp; CY$1, DataRegularSeason20242025!$D$3:$D$1315, $A28)+SUMIFS(DataRegularSeason20242025!$AB$3:$AB$1315,DataRegularSeason20242025!$B$3:$B$1315, "&lt;=" &amp; CY$1, DataRegularSeason20242025!$E$3:$E$1315, $A28)</f>
        <v>8</v>
      </c>
      <c r="CZ28">
        <f>SUMIFS(DataRegularSeason20242025!$AA$3:$AA$1315,DataRegularSeason20242025!$B$3:$B$1315, "&lt;=" &amp; CZ$1, DataRegularSeason20242025!$D$3:$D$1315, $A28)+SUMIFS(DataRegularSeason20242025!$AB$3:$AB$1315,DataRegularSeason20242025!$B$3:$B$1315, "&lt;=" &amp; CZ$1, DataRegularSeason20242025!$E$3:$E$1315, $A28)</f>
        <v>8</v>
      </c>
      <c r="DA28">
        <f>SUMIFS(DataRegularSeason20242025!$AA$3:$AA$1315,DataRegularSeason20242025!$B$3:$B$1315, "&lt;=" &amp; DA$1, DataRegularSeason20242025!$D$3:$D$1315, $A28)+SUMIFS(DataRegularSeason20242025!$AB$3:$AB$1315,DataRegularSeason20242025!$B$3:$B$1315, "&lt;=" &amp; DA$1, DataRegularSeason20242025!$E$3:$E$1315, $A28)</f>
        <v>8</v>
      </c>
      <c r="DB28">
        <f>SUMIFS(DataRegularSeason20242025!$AA$3:$AA$1315,DataRegularSeason20242025!$B$3:$B$1315, "&lt;=" &amp; DB$1, DataRegularSeason20242025!$D$3:$D$1315, $A28)+SUMIFS(DataRegularSeason20242025!$AB$3:$AB$1315,DataRegularSeason20242025!$B$3:$B$1315, "&lt;=" &amp; DB$1, DataRegularSeason20242025!$E$3:$E$1315, $A28)</f>
        <v>8</v>
      </c>
      <c r="DC28">
        <f>SUMIFS(DataRegularSeason20242025!$AA$3:$AA$1315,DataRegularSeason20242025!$B$3:$B$1315, "&lt;=" &amp; DC$1, DataRegularSeason20242025!$D$3:$D$1315, $A28)+SUMIFS(DataRegularSeason20242025!$AB$3:$AB$1315,DataRegularSeason20242025!$B$3:$B$1315, "&lt;=" &amp; DC$1, DataRegularSeason20242025!$E$3:$E$1315, $A28)</f>
        <v>8</v>
      </c>
      <c r="DD28">
        <f>SUMIFS(DataRegularSeason20242025!$AA$3:$AA$1315,DataRegularSeason20242025!$B$3:$B$1315, "&lt;=" &amp; DD$1, DataRegularSeason20242025!$D$3:$D$1315, $A28)+SUMIFS(DataRegularSeason20242025!$AB$3:$AB$1315,DataRegularSeason20242025!$B$3:$B$1315, "&lt;=" &amp; DD$1, DataRegularSeason20242025!$E$3:$E$1315, $A28)</f>
        <v>8</v>
      </c>
      <c r="DE28">
        <f>SUMIFS(DataRegularSeason20242025!$AA$3:$AA$1315,DataRegularSeason20242025!$B$3:$B$1315, "&lt;=" &amp; DE$1, DataRegularSeason20242025!$D$3:$D$1315, $A28)+SUMIFS(DataRegularSeason20242025!$AB$3:$AB$1315,DataRegularSeason20242025!$B$3:$B$1315, "&lt;=" &amp; DE$1, DataRegularSeason20242025!$E$3:$E$1315, $A28)</f>
        <v>8</v>
      </c>
      <c r="DF28">
        <f>SUMIFS(DataRegularSeason20242025!$AA$3:$AA$1315,DataRegularSeason20242025!$B$3:$B$1315, "&lt;=" &amp; DF$1, DataRegularSeason20242025!$D$3:$D$1315, $A28)+SUMIFS(DataRegularSeason20242025!$AB$3:$AB$1315,DataRegularSeason20242025!$B$3:$B$1315, "&lt;=" &amp; DF$1, DataRegularSeason20242025!$E$3:$E$1315, $A28)</f>
        <v>8</v>
      </c>
      <c r="DG28">
        <f>SUMIFS(DataRegularSeason20242025!$AA$3:$AA$1315,DataRegularSeason20242025!$B$3:$B$1315, "&lt;=" &amp; DG$1, DataRegularSeason20242025!$D$3:$D$1315, $A28)+SUMIFS(DataRegularSeason20242025!$AB$3:$AB$1315,DataRegularSeason20242025!$B$3:$B$1315, "&lt;=" &amp; DG$1, DataRegularSeason20242025!$E$3:$E$1315, $A28)</f>
        <v>8</v>
      </c>
      <c r="DH28">
        <f>SUMIFS(DataRegularSeason20242025!$AA$3:$AA$1315,DataRegularSeason20242025!$B$3:$B$1315, "&lt;=" &amp; DH$1, DataRegularSeason20242025!$D$3:$D$1315, $A28)+SUMIFS(DataRegularSeason20242025!$AB$3:$AB$1315,DataRegularSeason20242025!$B$3:$B$1315, "&lt;=" &amp; DH$1, DataRegularSeason20242025!$E$3:$E$1315, $A28)</f>
        <v>8</v>
      </c>
      <c r="DI28">
        <f>SUMIFS(DataRegularSeason20242025!$AA$3:$AA$1315,DataRegularSeason20242025!$B$3:$B$1315, "&lt;=" &amp; DI$1, DataRegularSeason20242025!$D$3:$D$1315, $A28)+SUMIFS(DataRegularSeason20242025!$AB$3:$AB$1315,DataRegularSeason20242025!$B$3:$B$1315, "&lt;=" &amp; DI$1, DataRegularSeason20242025!$E$3:$E$1315, $A28)</f>
        <v>8</v>
      </c>
      <c r="DJ28">
        <f>SUMIFS(DataRegularSeason20242025!$AA$3:$AA$1315,DataRegularSeason20242025!$B$3:$B$1315, "&lt;=" &amp; DJ$1, DataRegularSeason20242025!$D$3:$D$1315, $A28)+SUMIFS(DataRegularSeason20242025!$AB$3:$AB$1315,DataRegularSeason20242025!$B$3:$B$1315, "&lt;=" &amp; DJ$1, DataRegularSeason20242025!$E$3:$E$1315, $A28)</f>
        <v>8</v>
      </c>
      <c r="DK28">
        <f>SUMIFS(DataRegularSeason20242025!$AA$3:$AA$1315,DataRegularSeason20242025!$B$3:$B$1315, "&lt;=" &amp; DK$1, DataRegularSeason20242025!$D$3:$D$1315, $A28)+SUMIFS(DataRegularSeason20242025!$AB$3:$AB$1315,DataRegularSeason20242025!$B$3:$B$1315, "&lt;=" &amp; DK$1, DataRegularSeason20242025!$E$3:$E$1315, $A28)</f>
        <v>8</v>
      </c>
      <c r="DL28">
        <f>SUMIFS(DataRegularSeason20242025!$AA$3:$AA$1315,DataRegularSeason20242025!$B$3:$B$1315, "&lt;=" &amp; DL$1, DataRegularSeason20242025!$D$3:$D$1315, $A28)+SUMIFS(DataRegularSeason20242025!$AB$3:$AB$1315,DataRegularSeason20242025!$B$3:$B$1315, "&lt;=" &amp; DL$1, DataRegularSeason20242025!$E$3:$E$1315, $A28)</f>
        <v>8</v>
      </c>
      <c r="DM28">
        <f>SUMIFS(DataRegularSeason20242025!$AA$3:$AA$1315,DataRegularSeason20242025!$B$3:$B$1315, "&lt;=" &amp; DM$1, DataRegularSeason20242025!$D$3:$D$1315, $A28)+SUMIFS(DataRegularSeason20242025!$AB$3:$AB$1315,DataRegularSeason20242025!$B$3:$B$1315, "&lt;=" &amp; DM$1, DataRegularSeason20242025!$E$3:$E$1315, $A28)</f>
        <v>8</v>
      </c>
      <c r="DN28">
        <f>SUMIFS(DataRegularSeason20242025!$AA$3:$AA$1315,DataRegularSeason20242025!$B$3:$B$1315, "&lt;=" &amp; DN$1, DataRegularSeason20242025!$D$3:$D$1315, $A28)+SUMIFS(DataRegularSeason20242025!$AB$3:$AB$1315,DataRegularSeason20242025!$B$3:$B$1315, "&lt;=" &amp; DN$1, DataRegularSeason20242025!$E$3:$E$1315, $A28)</f>
        <v>8</v>
      </c>
      <c r="DO28">
        <f>SUMIFS(DataRegularSeason20242025!$AA$3:$AA$1315,DataRegularSeason20242025!$B$3:$B$1315, "&lt;=" &amp; DO$1, DataRegularSeason20242025!$D$3:$D$1315, $A28)+SUMIFS(DataRegularSeason20242025!$AB$3:$AB$1315,DataRegularSeason20242025!$B$3:$B$1315, "&lt;=" &amp; DO$1, DataRegularSeason20242025!$E$3:$E$1315, $A28)</f>
        <v>8</v>
      </c>
      <c r="DP28">
        <f>SUMIFS(DataRegularSeason20242025!$AA$3:$AA$1315,DataRegularSeason20242025!$B$3:$B$1315, "&lt;=" &amp; DP$1, DataRegularSeason20242025!$D$3:$D$1315, $A28)+SUMIFS(DataRegularSeason20242025!$AB$3:$AB$1315,DataRegularSeason20242025!$B$3:$B$1315, "&lt;=" &amp; DP$1, DataRegularSeason20242025!$E$3:$E$1315, $A28)</f>
        <v>8</v>
      </c>
      <c r="DQ28">
        <f>SUMIFS(DataRegularSeason20242025!$AA$3:$AA$1315,DataRegularSeason20242025!$B$3:$B$1315, "&lt;=" &amp; DQ$1, DataRegularSeason20242025!$D$3:$D$1315, $A28)+SUMIFS(DataRegularSeason20242025!$AB$3:$AB$1315,DataRegularSeason20242025!$B$3:$B$1315, "&lt;=" &amp; DQ$1, DataRegularSeason20242025!$E$3:$E$1315, $A28)</f>
        <v>8</v>
      </c>
      <c r="DR28">
        <f>SUMIFS(DataRegularSeason20242025!$AA$3:$AA$1315,DataRegularSeason20242025!$B$3:$B$1315, "&lt;=" &amp; DR$1, DataRegularSeason20242025!$D$3:$D$1315, $A28)+SUMIFS(DataRegularSeason20242025!$AB$3:$AB$1315,DataRegularSeason20242025!$B$3:$B$1315, "&lt;=" &amp; DR$1, DataRegularSeason20242025!$E$3:$E$1315, $A28)</f>
        <v>8</v>
      </c>
      <c r="DS28">
        <f>SUMIFS(DataRegularSeason20242025!$AA$3:$AA$1315,DataRegularSeason20242025!$B$3:$B$1315, "&lt;=" &amp; DS$1, DataRegularSeason20242025!$D$3:$D$1315, $A28)+SUMIFS(DataRegularSeason20242025!$AB$3:$AB$1315,DataRegularSeason20242025!$B$3:$B$1315, "&lt;=" &amp; DS$1, DataRegularSeason20242025!$E$3:$E$1315, $A28)</f>
        <v>8</v>
      </c>
      <c r="DT28">
        <f>SUMIFS(DataRegularSeason20242025!$AA$3:$AA$1315,DataRegularSeason20242025!$B$3:$B$1315, "&lt;=" &amp; DT$1, DataRegularSeason20242025!$D$3:$D$1315, $A28)+SUMIFS(DataRegularSeason20242025!$AB$3:$AB$1315,DataRegularSeason20242025!$B$3:$B$1315, "&lt;=" &amp; DT$1, DataRegularSeason20242025!$E$3:$E$1315, $A28)</f>
        <v>8</v>
      </c>
      <c r="DU28">
        <f>SUMIFS(DataRegularSeason20242025!$AA$3:$AA$1315,DataRegularSeason20242025!$B$3:$B$1315, "&lt;=" &amp; DU$1, DataRegularSeason20242025!$D$3:$D$1315, $A28)+SUMIFS(DataRegularSeason20242025!$AB$3:$AB$1315,DataRegularSeason20242025!$B$3:$B$1315, "&lt;=" &amp; DU$1, DataRegularSeason20242025!$E$3:$E$1315, $A28)</f>
        <v>8</v>
      </c>
      <c r="DV28">
        <f>SUMIFS(DataRegularSeason20242025!$AA$3:$AA$1315,DataRegularSeason20242025!$B$3:$B$1315, "&lt;=" &amp; DV$1, DataRegularSeason20242025!$D$3:$D$1315, $A28)+SUMIFS(DataRegularSeason20242025!$AB$3:$AB$1315,DataRegularSeason20242025!$B$3:$B$1315, "&lt;=" &amp; DV$1, DataRegularSeason20242025!$E$3:$E$1315, $A28)</f>
        <v>8</v>
      </c>
      <c r="DW28">
        <f>SUMIFS(DataRegularSeason20242025!$AA$3:$AA$1315,DataRegularSeason20242025!$B$3:$B$1315, "&lt;=" &amp; DW$1, DataRegularSeason20242025!$D$3:$D$1315, $A28)+SUMIFS(DataRegularSeason20242025!$AB$3:$AB$1315,DataRegularSeason20242025!$B$3:$B$1315, "&lt;=" &amp; DW$1, DataRegularSeason20242025!$E$3:$E$1315, $A28)</f>
        <v>8</v>
      </c>
      <c r="DX28">
        <f>SUMIFS(DataRegularSeason20242025!$AA$3:$AA$1315,DataRegularSeason20242025!$B$3:$B$1315, "&lt;=" &amp; DX$1, DataRegularSeason20242025!$D$3:$D$1315, $A28)+SUMIFS(DataRegularSeason20242025!$AB$3:$AB$1315,DataRegularSeason20242025!$B$3:$B$1315, "&lt;=" &amp; DX$1, DataRegularSeason20242025!$E$3:$E$1315, $A28)</f>
        <v>8</v>
      </c>
      <c r="DY28">
        <f>SUMIFS(DataRegularSeason20242025!$AA$3:$AA$1315,DataRegularSeason20242025!$B$3:$B$1315, "&lt;=" &amp; DY$1, DataRegularSeason20242025!$D$3:$D$1315, $A28)+SUMIFS(DataRegularSeason20242025!$AB$3:$AB$1315,DataRegularSeason20242025!$B$3:$B$1315, "&lt;=" &amp; DY$1, DataRegularSeason20242025!$E$3:$E$1315, $A28)</f>
        <v>8</v>
      </c>
      <c r="DZ28">
        <f>SUMIFS(DataRegularSeason20242025!$AA$3:$AA$1315,DataRegularSeason20242025!$B$3:$B$1315, "&lt;=" &amp; DZ$1, DataRegularSeason20242025!$D$3:$D$1315, $A28)+SUMIFS(DataRegularSeason20242025!$AB$3:$AB$1315,DataRegularSeason20242025!$B$3:$B$1315, "&lt;=" &amp; DZ$1, DataRegularSeason20242025!$E$3:$E$1315, $A28)</f>
        <v>8</v>
      </c>
      <c r="EA28">
        <f>SUMIFS(DataRegularSeason20242025!$AA$3:$AA$1315,DataRegularSeason20242025!$B$3:$B$1315, "&lt;=" &amp; EA$1, DataRegularSeason20242025!$D$3:$D$1315, $A28)+SUMIFS(DataRegularSeason20242025!$AB$3:$AB$1315,DataRegularSeason20242025!$B$3:$B$1315, "&lt;=" &amp; EA$1, DataRegularSeason20242025!$E$3:$E$1315, $A28)</f>
        <v>8</v>
      </c>
      <c r="EB28">
        <f>SUMIFS(DataRegularSeason20242025!$AA$3:$AA$1315,DataRegularSeason20242025!$B$3:$B$1315, "&lt;=" &amp; EB$1, DataRegularSeason20242025!$D$3:$D$1315, $A28)+SUMIFS(DataRegularSeason20242025!$AB$3:$AB$1315,DataRegularSeason20242025!$B$3:$B$1315, "&lt;=" &amp; EB$1, DataRegularSeason20242025!$E$3:$E$1315, $A28)</f>
        <v>8</v>
      </c>
      <c r="EC28">
        <f>SUMIFS(DataRegularSeason20242025!$AA$3:$AA$1315,DataRegularSeason20242025!$B$3:$B$1315, "&lt;=" &amp; EC$1, DataRegularSeason20242025!$D$3:$D$1315, $A28)+SUMIFS(DataRegularSeason20242025!$AB$3:$AB$1315,DataRegularSeason20242025!$B$3:$B$1315, "&lt;=" &amp; EC$1, DataRegularSeason20242025!$E$3:$E$1315, $A28)</f>
        <v>8</v>
      </c>
      <c r="ED28">
        <f>SUMIFS(DataRegularSeason20242025!$AA$3:$AA$1315,DataRegularSeason20242025!$B$3:$B$1315, "&lt;=" &amp; ED$1, DataRegularSeason20242025!$D$3:$D$1315, $A28)+SUMIFS(DataRegularSeason20242025!$AB$3:$AB$1315,DataRegularSeason20242025!$B$3:$B$1315, "&lt;=" &amp; ED$1, DataRegularSeason20242025!$E$3:$E$1315, $A28)</f>
        <v>8</v>
      </c>
      <c r="EE28">
        <f>SUMIFS(DataRegularSeason20242025!$AA$3:$AA$1315,DataRegularSeason20242025!$B$3:$B$1315, "&lt;=" &amp; EE$1, DataRegularSeason20242025!$D$3:$D$1315, $A28)+SUMIFS(DataRegularSeason20242025!$AB$3:$AB$1315,DataRegularSeason20242025!$B$3:$B$1315, "&lt;=" &amp; EE$1, DataRegularSeason20242025!$E$3:$E$1315, $A28)</f>
        <v>8</v>
      </c>
      <c r="EF28">
        <f>SUMIFS(DataRegularSeason20242025!$AA$3:$AA$1315,DataRegularSeason20242025!$B$3:$B$1315, "&lt;=" &amp; EF$1, DataRegularSeason20242025!$D$3:$D$1315, $A28)+SUMIFS(DataRegularSeason20242025!$AB$3:$AB$1315,DataRegularSeason20242025!$B$3:$B$1315, "&lt;=" &amp; EF$1, DataRegularSeason20242025!$E$3:$E$1315, $A28)</f>
        <v>8</v>
      </c>
      <c r="EG28">
        <f>SUMIFS(DataRegularSeason20242025!$AA$3:$AA$1315,DataRegularSeason20242025!$B$3:$B$1315, "&lt;=" &amp; EG$1, DataRegularSeason20242025!$D$3:$D$1315, $A28)+SUMIFS(DataRegularSeason20242025!$AB$3:$AB$1315,DataRegularSeason20242025!$B$3:$B$1315, "&lt;=" &amp; EG$1, DataRegularSeason20242025!$E$3:$E$1315, $A28)</f>
        <v>8</v>
      </c>
      <c r="EH28">
        <f>SUMIFS(DataRegularSeason20242025!$AA$3:$AA$1315,DataRegularSeason20242025!$B$3:$B$1315, "&lt;=" &amp; EH$1, DataRegularSeason20242025!$D$3:$D$1315, $A28)+SUMIFS(DataRegularSeason20242025!$AB$3:$AB$1315,DataRegularSeason20242025!$B$3:$B$1315, "&lt;=" &amp; EH$1, DataRegularSeason20242025!$E$3:$E$1315, $A28)</f>
        <v>8</v>
      </c>
      <c r="EI28">
        <f>SUMIFS(DataRegularSeason20242025!$AA$3:$AA$1315,DataRegularSeason20242025!$B$3:$B$1315, "&lt;=" &amp; EI$1, DataRegularSeason20242025!$D$3:$D$1315, $A28)+SUMIFS(DataRegularSeason20242025!$AB$3:$AB$1315,DataRegularSeason20242025!$B$3:$B$1315, "&lt;=" &amp; EI$1, DataRegularSeason20242025!$E$3:$E$1315, $A28)</f>
        <v>8</v>
      </c>
      <c r="EJ28">
        <f>SUMIFS(DataRegularSeason20242025!$AA$3:$AA$1315,DataRegularSeason20242025!$B$3:$B$1315, "&lt;=" &amp; EJ$1, DataRegularSeason20242025!$D$3:$D$1315, $A28)+SUMIFS(DataRegularSeason20242025!$AB$3:$AB$1315,DataRegularSeason20242025!$B$3:$B$1315, "&lt;=" &amp; EJ$1, DataRegularSeason20242025!$E$3:$E$1315, $A28)</f>
        <v>8</v>
      </c>
      <c r="EK28">
        <f>SUMIFS(DataRegularSeason20242025!$AA$3:$AA$1315,DataRegularSeason20242025!$B$3:$B$1315, "&lt;=" &amp; EK$1, DataRegularSeason20242025!$D$3:$D$1315, $A28)+SUMIFS(DataRegularSeason20242025!$AB$3:$AB$1315,DataRegularSeason20242025!$B$3:$B$1315, "&lt;=" &amp; EK$1, DataRegularSeason20242025!$E$3:$E$1315, $A28)</f>
        <v>8</v>
      </c>
      <c r="EL28">
        <f>SUMIFS(DataRegularSeason20242025!$AA$3:$AA$1315,DataRegularSeason20242025!$B$3:$B$1315, "&lt;=" &amp; EL$1, DataRegularSeason20242025!$D$3:$D$1315, $A28)+SUMIFS(DataRegularSeason20242025!$AB$3:$AB$1315,DataRegularSeason20242025!$B$3:$B$1315, "&lt;=" &amp; EL$1, DataRegularSeason20242025!$E$3:$E$1315, $A28)</f>
        <v>8</v>
      </c>
      <c r="EM28">
        <f>SUMIFS(DataRegularSeason20242025!$AA$3:$AA$1315,DataRegularSeason20242025!$B$3:$B$1315, "&lt;=" &amp; EM$1, DataRegularSeason20242025!$D$3:$D$1315, $A28)+SUMIFS(DataRegularSeason20242025!$AB$3:$AB$1315,DataRegularSeason20242025!$B$3:$B$1315, "&lt;=" &amp; EM$1, DataRegularSeason20242025!$E$3:$E$1315, $A28)</f>
        <v>8</v>
      </c>
      <c r="EN28">
        <f>SUMIFS(DataRegularSeason20242025!$AA$3:$AA$1315,DataRegularSeason20242025!$B$3:$B$1315, "&lt;=" &amp; EN$1, DataRegularSeason20242025!$D$3:$D$1315, $A28)+SUMIFS(DataRegularSeason20242025!$AB$3:$AB$1315,DataRegularSeason20242025!$B$3:$B$1315, "&lt;=" &amp; EN$1, DataRegularSeason20242025!$E$3:$E$1315, $A28)</f>
        <v>8</v>
      </c>
      <c r="EO28">
        <f>SUMIFS(DataRegularSeason20242025!$AA$3:$AA$1315,DataRegularSeason20242025!$B$3:$B$1315, "&lt;=" &amp; EO$1, DataRegularSeason20242025!$D$3:$D$1315, $A28)+SUMIFS(DataRegularSeason20242025!$AB$3:$AB$1315,DataRegularSeason20242025!$B$3:$B$1315, "&lt;=" &amp; EO$1, DataRegularSeason20242025!$E$3:$E$1315, $A28)</f>
        <v>8</v>
      </c>
      <c r="EP28">
        <f>SUMIFS(DataRegularSeason20242025!$AA$3:$AA$1315,DataRegularSeason20242025!$B$3:$B$1315, "&lt;=" &amp; EP$1, DataRegularSeason20242025!$D$3:$D$1315, $A28)+SUMIFS(DataRegularSeason20242025!$AB$3:$AB$1315,DataRegularSeason20242025!$B$3:$B$1315, "&lt;=" &amp; EP$1, DataRegularSeason20242025!$E$3:$E$1315, $A28)</f>
        <v>8</v>
      </c>
      <c r="EQ28">
        <f>SUMIFS(DataRegularSeason20242025!$AA$3:$AA$1315,DataRegularSeason20242025!$B$3:$B$1315, "&lt;=" &amp; EQ$1, DataRegularSeason20242025!$D$3:$D$1315, $A28)+SUMIFS(DataRegularSeason20242025!$AB$3:$AB$1315,DataRegularSeason20242025!$B$3:$B$1315, "&lt;=" &amp; EQ$1, DataRegularSeason20242025!$E$3:$E$1315, $A28)</f>
        <v>8</v>
      </c>
      <c r="ER28">
        <f>SUMIFS(DataRegularSeason20242025!$AA$3:$AA$1315,DataRegularSeason20242025!$B$3:$B$1315, "&lt;=" &amp; ER$1, DataRegularSeason20242025!$D$3:$D$1315, $A28)+SUMIFS(DataRegularSeason20242025!$AB$3:$AB$1315,DataRegularSeason20242025!$B$3:$B$1315, "&lt;=" &amp; ER$1, DataRegularSeason20242025!$E$3:$E$1315, $A28)</f>
        <v>8</v>
      </c>
      <c r="ES28">
        <f>SUMIFS(DataRegularSeason20242025!$AA$3:$AA$1315,DataRegularSeason20242025!$B$3:$B$1315, "&lt;=" &amp; ES$1, DataRegularSeason20242025!$D$3:$D$1315, $A28)+SUMIFS(DataRegularSeason20242025!$AB$3:$AB$1315,DataRegularSeason20242025!$B$3:$B$1315, "&lt;=" &amp; ES$1, DataRegularSeason20242025!$E$3:$E$1315, $A28)</f>
        <v>8</v>
      </c>
      <c r="ET28">
        <f>SUMIFS(DataRegularSeason20242025!$AA$3:$AA$1315,DataRegularSeason20242025!$B$3:$B$1315, "&lt;=" &amp; ET$1, DataRegularSeason20242025!$D$3:$D$1315, $A28)+SUMIFS(DataRegularSeason20242025!$AB$3:$AB$1315,DataRegularSeason20242025!$B$3:$B$1315, "&lt;=" &amp; ET$1, DataRegularSeason20242025!$E$3:$E$1315, $A28)</f>
        <v>8</v>
      </c>
      <c r="EU28">
        <f>SUMIFS(DataRegularSeason20242025!$AA$3:$AA$1315,DataRegularSeason20242025!$B$3:$B$1315, "&lt;=" &amp; EU$1, DataRegularSeason20242025!$D$3:$D$1315, $A28)+SUMIFS(DataRegularSeason20242025!$AB$3:$AB$1315,DataRegularSeason20242025!$B$3:$B$1315, "&lt;=" &amp; EU$1, DataRegularSeason20242025!$E$3:$E$1315, $A28)</f>
        <v>8</v>
      </c>
      <c r="EV28">
        <f>SUMIFS(DataRegularSeason20242025!$AA$3:$AA$1315,DataRegularSeason20242025!$B$3:$B$1315, "&lt;=" &amp; EV$1, DataRegularSeason20242025!$D$3:$D$1315, $A28)+SUMIFS(DataRegularSeason20242025!$AB$3:$AB$1315,DataRegularSeason20242025!$B$3:$B$1315, "&lt;=" &amp; EV$1, DataRegularSeason20242025!$E$3:$E$1315, $A28)</f>
        <v>8</v>
      </c>
      <c r="EW28">
        <f>SUMIFS(DataRegularSeason20242025!$AA$3:$AA$1315,DataRegularSeason20242025!$B$3:$B$1315, "&lt;=" &amp; EW$1, DataRegularSeason20242025!$D$3:$D$1315, $A28)+SUMIFS(DataRegularSeason20242025!$AB$3:$AB$1315,DataRegularSeason20242025!$B$3:$B$1315, "&lt;=" &amp; EW$1, DataRegularSeason20242025!$E$3:$E$1315, $A28)</f>
        <v>8</v>
      </c>
      <c r="EX28">
        <f>SUMIFS(DataRegularSeason20242025!$AA$3:$AA$1315,DataRegularSeason20242025!$B$3:$B$1315, "&lt;=" &amp; EX$1, DataRegularSeason20242025!$D$3:$D$1315, $A28)+SUMIFS(DataRegularSeason20242025!$AB$3:$AB$1315,DataRegularSeason20242025!$B$3:$B$1315, "&lt;=" &amp; EX$1, DataRegularSeason20242025!$E$3:$E$1315, $A28)</f>
        <v>8</v>
      </c>
      <c r="EY28">
        <f>SUMIFS(DataRegularSeason20242025!$AA$3:$AA$1315,DataRegularSeason20242025!$B$3:$B$1315, "&lt;=" &amp; EY$1, DataRegularSeason20242025!$D$3:$D$1315, $A28)+SUMIFS(DataRegularSeason20242025!$AB$3:$AB$1315,DataRegularSeason20242025!$B$3:$B$1315, "&lt;=" &amp; EY$1, DataRegularSeason20242025!$E$3:$E$1315, $A28)</f>
        <v>8</v>
      </c>
      <c r="EZ28">
        <f>SUMIFS(DataRegularSeason20242025!$AA$3:$AA$1315,DataRegularSeason20242025!$B$3:$B$1315, "&lt;=" &amp; EZ$1, DataRegularSeason20242025!$D$3:$D$1315, $A28)+SUMIFS(DataRegularSeason20242025!$AB$3:$AB$1315,DataRegularSeason20242025!$B$3:$B$1315, "&lt;=" &amp; EZ$1, DataRegularSeason20242025!$E$3:$E$1315, $A28)</f>
        <v>8</v>
      </c>
      <c r="FA28">
        <f>SUMIFS(DataRegularSeason20242025!$AA$3:$AA$1315,DataRegularSeason20242025!$B$3:$B$1315, "&lt;=" &amp; FA$1, DataRegularSeason20242025!$D$3:$D$1315, $A28)+SUMIFS(DataRegularSeason20242025!$AB$3:$AB$1315,DataRegularSeason20242025!$B$3:$B$1315, "&lt;=" &amp; FA$1, DataRegularSeason20242025!$E$3:$E$1315, $A28)</f>
        <v>8</v>
      </c>
      <c r="FB28">
        <f>SUMIFS(DataRegularSeason20242025!$AA$3:$AA$1315,DataRegularSeason20242025!$B$3:$B$1315, "&lt;=" &amp; FB$1, DataRegularSeason20242025!$D$3:$D$1315, $A28)+SUMIFS(DataRegularSeason20242025!$AB$3:$AB$1315,DataRegularSeason20242025!$B$3:$B$1315, "&lt;=" &amp; FB$1, DataRegularSeason20242025!$E$3:$E$1315, $A28)</f>
        <v>8</v>
      </c>
      <c r="FC28">
        <f>SUMIFS(DataRegularSeason20242025!$AA$3:$AA$1315,DataRegularSeason20242025!$B$3:$B$1315, "&lt;=" &amp; FC$1, DataRegularSeason20242025!$D$3:$D$1315, $A28)+SUMIFS(DataRegularSeason20242025!$AB$3:$AB$1315,DataRegularSeason20242025!$B$3:$B$1315, "&lt;=" &amp; FC$1, DataRegularSeason20242025!$E$3:$E$1315, $A28)</f>
        <v>8</v>
      </c>
      <c r="FD28">
        <f>SUMIFS(DataRegularSeason20242025!$AA$3:$AA$1315,DataRegularSeason20242025!$B$3:$B$1315, "&lt;=" &amp; FD$1, DataRegularSeason20242025!$D$3:$D$1315, $A28)+SUMIFS(DataRegularSeason20242025!$AB$3:$AB$1315,DataRegularSeason20242025!$B$3:$B$1315, "&lt;=" &amp; FD$1, DataRegularSeason20242025!$E$3:$E$1315, $A28)</f>
        <v>8</v>
      </c>
      <c r="FE28">
        <f>SUMIFS(DataRegularSeason20242025!$AA$3:$AA$1315,DataRegularSeason20242025!$B$3:$B$1315, "&lt;=" &amp; FE$1, DataRegularSeason20242025!$D$3:$D$1315, $A28)+SUMIFS(DataRegularSeason20242025!$AB$3:$AB$1315,DataRegularSeason20242025!$B$3:$B$1315, "&lt;=" &amp; FE$1, DataRegularSeason20242025!$E$3:$E$1315, $A28)</f>
        <v>8</v>
      </c>
      <c r="FF28">
        <f>SUMIFS(DataRegularSeason20242025!$AA$3:$AA$1315,DataRegularSeason20242025!$B$3:$B$1315, "&lt;=" &amp; FF$1, DataRegularSeason20242025!$D$3:$D$1315, $A28)+SUMIFS(DataRegularSeason20242025!$AB$3:$AB$1315,DataRegularSeason20242025!$B$3:$B$1315, "&lt;=" &amp; FF$1, DataRegularSeason20242025!$E$3:$E$1315, $A28)</f>
        <v>8</v>
      </c>
      <c r="FG28">
        <f>SUMIFS(DataRegularSeason20242025!$AA$3:$AA$1315,DataRegularSeason20242025!$B$3:$B$1315, "&lt;=" &amp; FG$1, DataRegularSeason20242025!$D$3:$D$1315, $A28)+SUMIFS(DataRegularSeason20242025!$AB$3:$AB$1315,DataRegularSeason20242025!$B$3:$B$1315, "&lt;=" &amp; FG$1, DataRegularSeason20242025!$E$3:$E$1315, $A28)</f>
        <v>8</v>
      </c>
      <c r="FH28">
        <f>SUMIFS(DataRegularSeason20242025!$AA$3:$AA$1315,DataRegularSeason20242025!$B$3:$B$1315, "&lt;=" &amp; FH$1, DataRegularSeason20242025!$D$3:$D$1315, $A28)+SUMIFS(DataRegularSeason20242025!$AB$3:$AB$1315,DataRegularSeason20242025!$B$3:$B$1315, "&lt;=" &amp; FH$1, DataRegularSeason20242025!$E$3:$E$1315, $A28)</f>
        <v>8</v>
      </c>
      <c r="FI28">
        <f>SUMIFS(DataRegularSeason20242025!$AA$3:$AA$1315,DataRegularSeason20242025!$B$3:$B$1315, "&lt;=" &amp; FI$1, DataRegularSeason20242025!$D$3:$D$1315, $A28)+SUMIFS(DataRegularSeason20242025!$AB$3:$AB$1315,DataRegularSeason20242025!$B$3:$B$1315, "&lt;=" &amp; FI$1, DataRegularSeason20242025!$E$3:$E$1315, $A28)</f>
        <v>8</v>
      </c>
      <c r="FJ28">
        <f>SUMIFS(DataRegularSeason20242025!$AA$3:$AA$1315,DataRegularSeason20242025!$B$3:$B$1315, "&lt;=" &amp; FJ$1, DataRegularSeason20242025!$D$3:$D$1315, $A28)+SUMIFS(DataRegularSeason20242025!$AB$3:$AB$1315,DataRegularSeason20242025!$B$3:$B$1315, "&lt;=" &amp; FJ$1, DataRegularSeason20242025!$E$3:$E$1315, $A28)</f>
        <v>8</v>
      </c>
      <c r="FK28">
        <f>SUMIFS(DataRegularSeason20242025!$AA$3:$AA$1315,DataRegularSeason20242025!$B$3:$B$1315, "&lt;=" &amp; FK$1, DataRegularSeason20242025!$D$3:$D$1315, $A28)+SUMIFS(DataRegularSeason20242025!$AB$3:$AB$1315,DataRegularSeason20242025!$B$3:$B$1315, "&lt;=" &amp; FK$1, DataRegularSeason20242025!$E$3:$E$1315, $A28)</f>
        <v>8</v>
      </c>
      <c r="FL28">
        <f>SUMIFS(DataRegularSeason20242025!$AA$3:$AA$1315,DataRegularSeason20242025!$B$3:$B$1315, "&lt;=" &amp; FL$1, DataRegularSeason20242025!$D$3:$D$1315, $A28)+SUMIFS(DataRegularSeason20242025!$AB$3:$AB$1315,DataRegularSeason20242025!$B$3:$B$1315, "&lt;=" &amp; FL$1, DataRegularSeason20242025!$E$3:$E$1315, $A28)</f>
        <v>8</v>
      </c>
      <c r="FM28">
        <f>SUMIFS(DataRegularSeason20242025!$AA$3:$AA$1315,DataRegularSeason20242025!$B$3:$B$1315, "&lt;=" &amp; FM$1, DataRegularSeason20242025!$D$3:$D$1315, $A28)+SUMIFS(DataRegularSeason20242025!$AB$3:$AB$1315,DataRegularSeason20242025!$B$3:$B$1315, "&lt;=" &amp; FM$1, DataRegularSeason20242025!$E$3:$E$1315, $A28)</f>
        <v>8</v>
      </c>
      <c r="FN28">
        <f>SUMIFS(DataRegularSeason20242025!$AA$3:$AA$1315,DataRegularSeason20242025!$B$3:$B$1315, "&lt;=" &amp; FN$1, DataRegularSeason20242025!$D$3:$D$1315, $A28)+SUMIFS(DataRegularSeason20242025!$AB$3:$AB$1315,DataRegularSeason20242025!$B$3:$B$1315, "&lt;=" &amp; FN$1, DataRegularSeason20242025!$E$3:$E$1315, $A28)</f>
        <v>8</v>
      </c>
      <c r="FO28">
        <f>SUMIFS(DataRegularSeason20242025!$AA$3:$AA$1315,DataRegularSeason20242025!$B$3:$B$1315, "&lt;=" &amp; FO$1, DataRegularSeason20242025!$D$3:$D$1315, $A28)+SUMIFS(DataRegularSeason20242025!$AB$3:$AB$1315,DataRegularSeason20242025!$B$3:$B$1315, "&lt;=" &amp; FO$1, DataRegularSeason20242025!$E$3:$E$1315, $A28)</f>
        <v>8</v>
      </c>
      <c r="FP28">
        <f>SUMIFS(DataRegularSeason20242025!$AA$3:$AA$1315,DataRegularSeason20242025!$B$3:$B$1315, "&lt;=" &amp; FP$1, DataRegularSeason20242025!$D$3:$D$1315, $A28)+SUMIFS(DataRegularSeason20242025!$AB$3:$AB$1315,DataRegularSeason20242025!$B$3:$B$1315, "&lt;=" &amp; FP$1, DataRegularSeason20242025!$E$3:$E$1315, $A28)</f>
        <v>8</v>
      </c>
      <c r="FQ28">
        <f>SUMIFS(DataRegularSeason20242025!$AA$3:$AA$1315,DataRegularSeason20242025!$B$3:$B$1315, "&lt;=" &amp; FQ$1, DataRegularSeason20242025!$D$3:$D$1315, $A28)+SUMIFS(DataRegularSeason20242025!$AB$3:$AB$1315,DataRegularSeason20242025!$B$3:$B$1315, "&lt;=" &amp; FQ$1, DataRegularSeason20242025!$E$3:$E$1315, $A28)</f>
        <v>8</v>
      </c>
      <c r="FR28">
        <f>SUMIFS(DataRegularSeason20242025!$AA$3:$AA$1315,DataRegularSeason20242025!$B$3:$B$1315, "&lt;=" &amp; FR$1, DataRegularSeason20242025!$D$3:$D$1315, $A28)+SUMIFS(DataRegularSeason20242025!$AB$3:$AB$1315,DataRegularSeason20242025!$B$3:$B$1315, "&lt;=" &amp; FR$1, DataRegularSeason20242025!$E$3:$E$1315, $A28)</f>
        <v>8</v>
      </c>
      <c r="FS28">
        <f>SUMIFS(DataRegularSeason20242025!$AA$3:$AA$1315,DataRegularSeason20242025!$B$3:$B$1315, "&lt;=" &amp; FS$1, DataRegularSeason20242025!$D$3:$D$1315, $A28)+SUMIFS(DataRegularSeason20242025!$AB$3:$AB$1315,DataRegularSeason20242025!$B$3:$B$1315, "&lt;=" &amp; FS$1, DataRegularSeason20242025!$E$3:$E$1315, $A28)</f>
        <v>8</v>
      </c>
      <c r="FT28">
        <f>SUMIFS(DataRegularSeason20242025!$AA$3:$AA$1315,DataRegularSeason20242025!$B$3:$B$1315, "&lt;=" &amp; FT$1, DataRegularSeason20242025!$D$3:$D$1315, $A28)+SUMIFS(DataRegularSeason20242025!$AB$3:$AB$1315,DataRegularSeason20242025!$B$3:$B$1315, "&lt;=" &amp; FT$1, DataRegularSeason20242025!$E$3:$E$1315, $A28)</f>
        <v>8</v>
      </c>
      <c r="FU28">
        <f>SUMIFS(DataRegularSeason20242025!$AA$3:$AA$1315,DataRegularSeason20242025!$B$3:$B$1315, "&lt;=" &amp; FU$1, DataRegularSeason20242025!$D$3:$D$1315, $A28)+SUMIFS(DataRegularSeason20242025!$AB$3:$AB$1315,DataRegularSeason20242025!$B$3:$B$1315, "&lt;=" &amp; FU$1, DataRegularSeason20242025!$E$3:$E$1315, $A28)</f>
        <v>8</v>
      </c>
      <c r="FV28">
        <f>SUMIFS(DataRegularSeason20242025!$AA$3:$AA$1315,DataRegularSeason20242025!$B$3:$B$1315, "&lt;=" &amp; FV$1, DataRegularSeason20242025!$D$3:$D$1315, $A28)+SUMIFS(DataRegularSeason20242025!$AB$3:$AB$1315,DataRegularSeason20242025!$B$3:$B$1315, "&lt;=" &amp; FV$1, DataRegularSeason20242025!$E$3:$E$1315, $A28)</f>
        <v>8</v>
      </c>
      <c r="FW28">
        <f>SUMIFS(DataRegularSeason20242025!$AA$3:$AA$1315,DataRegularSeason20242025!$B$3:$B$1315, "&lt;=" &amp; FW$1, DataRegularSeason20242025!$D$3:$D$1315, $A28)+SUMIFS(DataRegularSeason20242025!$AB$3:$AB$1315,DataRegularSeason20242025!$B$3:$B$1315, "&lt;=" &amp; FW$1, DataRegularSeason20242025!$E$3:$E$1315, $A28)</f>
        <v>8</v>
      </c>
      <c r="FX28">
        <f>SUMIFS(DataRegularSeason20242025!$AA$3:$AA$1315,DataRegularSeason20242025!$B$3:$B$1315, "&lt;=" &amp; FX$1, DataRegularSeason20242025!$D$3:$D$1315, $A28)+SUMIFS(DataRegularSeason20242025!$AB$3:$AB$1315,DataRegularSeason20242025!$B$3:$B$1315, "&lt;=" &amp; FX$1, DataRegularSeason20242025!$E$3:$E$1315, $A28)</f>
        <v>8</v>
      </c>
      <c r="FY28">
        <f>SUMIFS(DataRegularSeason20242025!$AA$3:$AA$1315,DataRegularSeason20242025!$B$3:$B$1315, "&lt;=" &amp; FY$1, DataRegularSeason20242025!$D$3:$D$1315, $A28)+SUMIFS(DataRegularSeason20242025!$AB$3:$AB$1315,DataRegularSeason20242025!$B$3:$B$1315, "&lt;=" &amp; FY$1, DataRegularSeason20242025!$E$3:$E$1315, $A28)</f>
        <v>8</v>
      </c>
      <c r="FZ28">
        <f>SUMIFS(DataRegularSeason20242025!$AA$3:$AA$1315,DataRegularSeason20242025!$B$3:$B$1315, "&lt;=" &amp; FZ$1, DataRegularSeason20242025!$D$3:$D$1315, $A28)+SUMIFS(DataRegularSeason20242025!$AB$3:$AB$1315,DataRegularSeason20242025!$B$3:$B$1315, "&lt;=" &amp; FZ$1, DataRegularSeason20242025!$E$3:$E$1315, $A28)</f>
        <v>8</v>
      </c>
      <c r="GA28">
        <f>SUMIFS(DataRegularSeason20242025!$AA$3:$AA$1315,DataRegularSeason20242025!$B$3:$B$1315, "&lt;=" &amp; GA$1, DataRegularSeason20242025!$D$3:$D$1315, $A28)+SUMIFS(DataRegularSeason20242025!$AB$3:$AB$1315,DataRegularSeason20242025!$B$3:$B$1315, "&lt;=" &amp; GA$1, DataRegularSeason20242025!$E$3:$E$1315, $A28)</f>
        <v>8</v>
      </c>
      <c r="GB28">
        <f>SUMIFS(DataRegularSeason20242025!$AA$3:$AA$1315,DataRegularSeason20242025!$B$3:$B$1315, "&lt;=" &amp; GB$1, DataRegularSeason20242025!$D$3:$D$1315, $A28)+SUMIFS(DataRegularSeason20242025!$AB$3:$AB$1315,DataRegularSeason20242025!$B$3:$B$1315, "&lt;=" &amp; GB$1, DataRegularSeason20242025!$E$3:$E$1315, $A28)</f>
        <v>8</v>
      </c>
      <c r="GC28">
        <f>SUMIFS(DataRegularSeason20242025!$AA$3:$AA$1315,DataRegularSeason20242025!$B$3:$B$1315, "&lt;=" &amp; GC$1, DataRegularSeason20242025!$D$3:$D$1315, $A28)+SUMIFS(DataRegularSeason20242025!$AB$3:$AB$1315,DataRegularSeason20242025!$B$3:$B$1315, "&lt;=" &amp; GC$1, DataRegularSeason20242025!$E$3:$E$1315, $A28)</f>
        <v>8</v>
      </c>
      <c r="GD28">
        <f>SUMIFS(DataRegularSeason20242025!$AA$3:$AA$1315,DataRegularSeason20242025!$B$3:$B$1315, "&lt;=" &amp; GD$1, DataRegularSeason20242025!$D$3:$D$1315, $A28)+SUMIFS(DataRegularSeason20242025!$AB$3:$AB$1315,DataRegularSeason20242025!$B$3:$B$1315, "&lt;=" &amp; GD$1, DataRegularSeason20242025!$E$3:$E$1315, $A28)</f>
        <v>8</v>
      </c>
      <c r="GE28">
        <f>SUMIFS(DataRegularSeason20242025!$AA$3:$AA$1315,DataRegularSeason20242025!$B$3:$B$1315, "&lt;=" &amp; GE$1, DataRegularSeason20242025!$D$3:$D$1315, $A28)+SUMIFS(DataRegularSeason20242025!$AB$3:$AB$1315,DataRegularSeason20242025!$B$3:$B$1315, "&lt;=" &amp; GE$1, DataRegularSeason20242025!$E$3:$E$1315, $A28)</f>
        <v>8</v>
      </c>
      <c r="GF28">
        <f>SUMIFS(DataRegularSeason20242025!$AA$3:$AA$1315,DataRegularSeason20242025!$B$3:$B$1315, "&lt;=" &amp; GF$1, DataRegularSeason20242025!$D$3:$D$1315, $A28)+SUMIFS(DataRegularSeason20242025!$AB$3:$AB$1315,DataRegularSeason20242025!$B$3:$B$1315, "&lt;=" &amp; GF$1, DataRegularSeason20242025!$E$3:$E$1315, $A28)</f>
        <v>8</v>
      </c>
      <c r="GG28">
        <f>SUMIFS(DataRegularSeason20242025!$AA$3:$AA$1315,DataRegularSeason20242025!$B$3:$B$1315, "&lt;=" &amp; GG$1, DataRegularSeason20242025!$D$3:$D$1315, $A28)+SUMIFS(DataRegularSeason20242025!$AB$3:$AB$1315,DataRegularSeason20242025!$B$3:$B$1315, "&lt;=" &amp; GG$1, DataRegularSeason20242025!$E$3:$E$1315, $A28)</f>
        <v>8</v>
      </c>
      <c r="GH28">
        <f>SUMIFS(DataRegularSeason20242025!$AA$3:$AA$1315,DataRegularSeason20242025!$B$3:$B$1315, "&lt;=" &amp; GH$1, DataRegularSeason20242025!$D$3:$D$1315, $A28)+SUMIFS(DataRegularSeason20242025!$AB$3:$AB$1315,DataRegularSeason20242025!$B$3:$B$1315, "&lt;=" &amp; GH$1, DataRegularSeason20242025!$E$3:$E$1315, $A28)</f>
        <v>8</v>
      </c>
      <c r="GI28">
        <f>SUMIFS(DataRegularSeason20242025!$AA$3:$AA$1315,DataRegularSeason20242025!$B$3:$B$1315, "&lt;=" &amp; GI$1, DataRegularSeason20242025!$D$3:$D$1315, $A28)+SUMIFS(DataRegularSeason20242025!$AB$3:$AB$1315,DataRegularSeason20242025!$B$3:$B$1315, "&lt;=" &amp; GI$1, DataRegularSeason20242025!$E$3:$E$1315, $A28)</f>
        <v>8</v>
      </c>
      <c r="GJ28">
        <f>SUMIFS(DataRegularSeason20242025!$AA$3:$AA$1315,DataRegularSeason20242025!$B$3:$B$1315, "&lt;=" &amp; GJ$1, DataRegularSeason20242025!$D$3:$D$1315, $A28)+SUMIFS(DataRegularSeason20242025!$AB$3:$AB$1315,DataRegularSeason20242025!$B$3:$B$1315, "&lt;=" &amp; GJ$1, DataRegularSeason20242025!$E$3:$E$1315, $A28)</f>
        <v>8</v>
      </c>
      <c r="GK28">
        <f>SUMIFS(DataRegularSeason20242025!$AA$3:$AA$1315,DataRegularSeason20242025!$B$3:$B$1315, "&lt;=" &amp; GK$1, DataRegularSeason20242025!$D$3:$D$1315, $A28)+SUMIFS(DataRegularSeason20242025!$AB$3:$AB$1315,DataRegularSeason20242025!$B$3:$B$1315, "&lt;=" &amp; GK$1, DataRegularSeason20242025!$E$3:$E$1315, $A28)</f>
        <v>8</v>
      </c>
      <c r="GL28">
        <f>SUMIFS(DataRegularSeason20242025!$AA$3:$AA$1315,DataRegularSeason20242025!$B$3:$B$1315, "&lt;=" &amp; GL$1, DataRegularSeason20242025!$D$3:$D$1315, $A28)+SUMIFS(DataRegularSeason20242025!$AB$3:$AB$1315,DataRegularSeason20242025!$B$3:$B$1315, "&lt;=" &amp; GL$1, DataRegularSeason20242025!$E$3:$E$1315, $A28)</f>
        <v>8</v>
      </c>
      <c r="GM28">
        <f>SUMIFS(DataRegularSeason20242025!$AA$3:$AA$1315,DataRegularSeason20242025!$B$3:$B$1315, "&lt;=" &amp; GM$1, DataRegularSeason20242025!$D$3:$D$1315, $A28)+SUMIFS(DataRegularSeason20242025!$AB$3:$AB$1315,DataRegularSeason20242025!$B$3:$B$1315, "&lt;=" &amp; GM$1, DataRegularSeason20242025!$E$3:$E$1315, $A28)</f>
        <v>8</v>
      </c>
      <c r="GN28">
        <f>SUMIFS(DataRegularSeason20242025!$AA$3:$AA$1315,DataRegularSeason20242025!$B$3:$B$1315, "&lt;=" &amp; GN$1, DataRegularSeason20242025!$D$3:$D$1315, $A28)+SUMIFS(DataRegularSeason20242025!$AB$3:$AB$1315,DataRegularSeason20242025!$B$3:$B$1315, "&lt;=" &amp; GN$1, DataRegularSeason20242025!$E$3:$E$1315, $A28)</f>
        <v>8</v>
      </c>
      <c r="GO28">
        <f>SUMIFS(DataRegularSeason20242025!$AA$3:$AA$1315,DataRegularSeason20242025!$B$3:$B$1315, "&lt;=" &amp; GO$1, DataRegularSeason20242025!$D$3:$D$1315, $A28)+SUMIFS(DataRegularSeason20242025!$AB$3:$AB$1315,DataRegularSeason20242025!$B$3:$B$1315, "&lt;=" &amp; GO$1, DataRegularSeason20242025!$E$3:$E$1315, $A28)</f>
        <v>8</v>
      </c>
      <c r="GP28">
        <f>SUMIFS(DataRegularSeason20242025!$AA$3:$AA$1315,DataRegularSeason20242025!$B$3:$B$1315, "&lt;=" &amp; GP$1, DataRegularSeason20242025!$D$3:$D$1315, $A28)+SUMIFS(DataRegularSeason20242025!$AB$3:$AB$1315,DataRegularSeason20242025!$B$3:$B$1315, "&lt;=" &amp; GP$1, DataRegularSeason20242025!$E$3:$E$1315, $A28)</f>
        <v>8</v>
      </c>
      <c r="GQ28">
        <f>SUMIFS(DataRegularSeason20242025!$AA$3:$AA$1315,DataRegularSeason20242025!$B$3:$B$1315, "&lt;=" &amp; GQ$1, DataRegularSeason20242025!$D$3:$D$1315, $A28)+SUMIFS(DataRegularSeason20242025!$AB$3:$AB$1315,DataRegularSeason20242025!$B$3:$B$1315, "&lt;=" &amp; GQ$1, DataRegularSeason20242025!$E$3:$E$1315, $A28)</f>
        <v>8</v>
      </c>
      <c r="GR28">
        <f>SUMIFS(DataRegularSeason20242025!$AA$3:$AA$1315,DataRegularSeason20242025!$B$3:$B$1315, "&lt;=" &amp; GR$1, DataRegularSeason20242025!$D$3:$D$1315, $A28)+SUMIFS(DataRegularSeason20242025!$AB$3:$AB$1315,DataRegularSeason20242025!$B$3:$B$1315, "&lt;=" &amp; GR$1, DataRegularSeason20242025!$E$3:$E$1315, $A28)</f>
        <v>8</v>
      </c>
      <c r="GS28">
        <f>SUMIFS(DataRegularSeason20242025!$AA$3:$AA$1315,DataRegularSeason20242025!$B$3:$B$1315, "&lt;=" &amp; GS$1, DataRegularSeason20242025!$D$3:$D$1315, $A28)+SUMIFS(DataRegularSeason20242025!$AB$3:$AB$1315,DataRegularSeason20242025!$B$3:$B$1315, "&lt;=" &amp; GS$1, DataRegularSeason20242025!$E$3:$E$1315, $A28)</f>
        <v>8</v>
      </c>
      <c r="GT28">
        <f>SUMIFS(DataRegularSeason20242025!$AA$3:$AA$1315,DataRegularSeason20242025!$B$3:$B$1315, "&lt;=" &amp; GT$1, DataRegularSeason20242025!$D$3:$D$1315, $A28)+SUMIFS(DataRegularSeason20242025!$AB$3:$AB$1315,DataRegularSeason20242025!$B$3:$B$1315, "&lt;=" &amp; GT$1, DataRegularSeason20242025!$E$3:$E$1315, $A28)</f>
        <v>8</v>
      </c>
      <c r="GU28">
        <f>SUMIFS(DataRegularSeason20242025!$AA$3:$AA$1315,DataRegularSeason20242025!$B$3:$B$1315, "&lt;=" &amp; GU$1, DataRegularSeason20242025!$D$3:$D$1315, $A28)+SUMIFS(DataRegularSeason20242025!$AB$3:$AB$1315,DataRegularSeason20242025!$B$3:$B$1315, "&lt;=" &amp; GU$1, DataRegularSeason20242025!$E$3:$E$1315, $A28)</f>
        <v>8</v>
      </c>
    </row>
    <row r="29" spans="1:203" x14ac:dyDescent="0.25">
      <c r="A29" t="s">
        <v>22</v>
      </c>
      <c r="B29" t="s">
        <v>90</v>
      </c>
      <c r="C29" s="108" t="s">
        <v>93</v>
      </c>
      <c r="D29">
        <f>SUMIFS(DataRegularSeason20242025!$AA$3:$AA$1315,DataRegularSeason20242025!$B$3:$B$1315, "&lt;=" &amp; D$1, DataRegularSeason20242025!$D$3:$D$1315, $A29)+SUMIFS(DataRegularSeason20242025!$AB$3:$AB$1315,DataRegularSeason20242025!$B$3:$B$1315, "&lt;=" &amp; D$1, DataRegularSeason20242025!$E$3:$E$1315, $A29)</f>
        <v>0</v>
      </c>
      <c r="E29">
        <f>SUMIFS(DataRegularSeason20242025!$AA$3:$AA$1315,DataRegularSeason20242025!$B$3:$B$1315, "&lt;=" &amp; E$1, DataRegularSeason20242025!$D$3:$D$1315, $A29)+SUMIFS(DataRegularSeason20242025!$AB$3:$AB$1315,DataRegularSeason20242025!$B$3:$B$1315, "&lt;=" &amp; E$1, DataRegularSeason20242025!$E$3:$E$1315, $A29)</f>
        <v>0</v>
      </c>
      <c r="F29">
        <f>SUMIFS(DataRegularSeason20242025!$AA$3:$AA$1315,DataRegularSeason20242025!$B$3:$B$1315, "&lt;=" &amp; F$1, DataRegularSeason20242025!$D$3:$D$1315, $A29)+SUMIFS(DataRegularSeason20242025!$AB$3:$AB$1315,DataRegularSeason20242025!$B$3:$B$1315, "&lt;=" &amp; F$1, DataRegularSeason20242025!$E$3:$E$1315, $A29)</f>
        <v>0</v>
      </c>
      <c r="G29">
        <f>SUMIFS(DataRegularSeason20242025!$AA$3:$AA$1315,DataRegularSeason20242025!$B$3:$B$1315, "&lt;=" &amp; G$1, DataRegularSeason20242025!$D$3:$D$1315, $A29)+SUMIFS(DataRegularSeason20242025!$AB$3:$AB$1315,DataRegularSeason20242025!$B$3:$B$1315, "&lt;=" &amp; G$1, DataRegularSeason20242025!$E$3:$E$1315, $A29)</f>
        <v>0</v>
      </c>
      <c r="H29">
        <f>SUMIFS(DataRegularSeason20242025!$AA$3:$AA$1315,DataRegularSeason20242025!$B$3:$B$1315, "&lt;=" &amp; H$1, DataRegularSeason20242025!$D$3:$D$1315, $A29)+SUMIFS(DataRegularSeason20242025!$AB$3:$AB$1315,DataRegularSeason20242025!$B$3:$B$1315, "&lt;=" &amp; H$1, DataRegularSeason20242025!$E$3:$E$1315, $A29)</f>
        <v>0</v>
      </c>
      <c r="I29">
        <f>SUMIFS(DataRegularSeason20242025!$AA$3:$AA$1315,DataRegularSeason20242025!$B$3:$B$1315, "&lt;=" &amp; I$1, DataRegularSeason20242025!$D$3:$D$1315, $A29)+SUMIFS(DataRegularSeason20242025!$AB$3:$AB$1315,DataRegularSeason20242025!$B$3:$B$1315, "&lt;=" &amp; I$1, DataRegularSeason20242025!$E$3:$E$1315, $A29)</f>
        <v>1</v>
      </c>
      <c r="J29">
        <f>SUMIFS(DataRegularSeason20242025!$AA$3:$AA$1315,DataRegularSeason20242025!$B$3:$B$1315, "&lt;=" &amp; J$1, DataRegularSeason20242025!$D$3:$D$1315, $A29)+SUMIFS(DataRegularSeason20242025!$AB$3:$AB$1315,DataRegularSeason20242025!$B$3:$B$1315, "&lt;=" &amp; J$1, DataRegularSeason20242025!$E$3:$E$1315, $A29)</f>
        <v>1</v>
      </c>
      <c r="K29">
        <f>SUMIFS(DataRegularSeason20242025!$AA$3:$AA$1315,DataRegularSeason20242025!$B$3:$B$1315, "&lt;=" &amp; K$1, DataRegularSeason20242025!$D$3:$D$1315, $A29)+SUMIFS(DataRegularSeason20242025!$AB$3:$AB$1315,DataRegularSeason20242025!$B$3:$B$1315, "&lt;=" &amp; K$1, DataRegularSeason20242025!$E$3:$E$1315, $A29)</f>
        <v>1</v>
      </c>
      <c r="L29">
        <f>SUMIFS(DataRegularSeason20242025!$AA$3:$AA$1315,DataRegularSeason20242025!$B$3:$B$1315, "&lt;=" &amp; L$1, DataRegularSeason20242025!$D$3:$D$1315, $A29)+SUMIFS(DataRegularSeason20242025!$AB$3:$AB$1315,DataRegularSeason20242025!$B$3:$B$1315, "&lt;=" &amp; L$1, DataRegularSeason20242025!$E$3:$E$1315, $A29)</f>
        <v>3</v>
      </c>
      <c r="M29">
        <f>SUMIFS(DataRegularSeason20242025!$AA$3:$AA$1315,DataRegularSeason20242025!$B$3:$B$1315, "&lt;=" &amp; M$1, DataRegularSeason20242025!$D$3:$D$1315, $A29)+SUMIFS(DataRegularSeason20242025!$AB$3:$AB$1315,DataRegularSeason20242025!$B$3:$B$1315, "&lt;=" &amp; M$1, DataRegularSeason20242025!$E$3:$E$1315, $A29)</f>
        <v>3</v>
      </c>
      <c r="N29">
        <f>SUMIFS(DataRegularSeason20242025!$AA$3:$AA$1315,DataRegularSeason20242025!$B$3:$B$1315, "&lt;=" &amp; N$1, DataRegularSeason20242025!$D$3:$D$1315, $A29)+SUMIFS(DataRegularSeason20242025!$AB$3:$AB$1315,DataRegularSeason20242025!$B$3:$B$1315, "&lt;=" &amp; N$1, DataRegularSeason20242025!$E$3:$E$1315, $A29)</f>
        <v>3</v>
      </c>
      <c r="O29">
        <f>SUMIFS(DataRegularSeason20242025!$AA$3:$AA$1315,DataRegularSeason20242025!$B$3:$B$1315, "&lt;=" &amp; O$1, DataRegularSeason20242025!$D$3:$D$1315, $A29)+SUMIFS(DataRegularSeason20242025!$AB$3:$AB$1315,DataRegularSeason20242025!$B$3:$B$1315, "&lt;=" &amp; O$1, DataRegularSeason20242025!$E$3:$E$1315, $A29)</f>
        <v>5</v>
      </c>
      <c r="P29">
        <f>SUMIFS(DataRegularSeason20242025!$AA$3:$AA$1315,DataRegularSeason20242025!$B$3:$B$1315, "&lt;=" &amp; P$1, DataRegularSeason20242025!$D$3:$D$1315, $A29)+SUMIFS(DataRegularSeason20242025!$AB$3:$AB$1315,DataRegularSeason20242025!$B$3:$B$1315, "&lt;=" &amp; P$1, DataRegularSeason20242025!$E$3:$E$1315, $A29)</f>
        <v>5</v>
      </c>
      <c r="Q29">
        <f>SUMIFS(DataRegularSeason20242025!$AA$3:$AA$1315,DataRegularSeason20242025!$B$3:$B$1315, "&lt;=" &amp; Q$1, DataRegularSeason20242025!$D$3:$D$1315, $A29)+SUMIFS(DataRegularSeason20242025!$AB$3:$AB$1315,DataRegularSeason20242025!$B$3:$B$1315, "&lt;=" &amp; Q$1, DataRegularSeason20242025!$E$3:$E$1315, $A29)</f>
        <v>5</v>
      </c>
      <c r="R29">
        <f>SUMIFS(DataRegularSeason20242025!$AA$3:$AA$1315,DataRegularSeason20242025!$B$3:$B$1315, "&lt;=" &amp; R$1, DataRegularSeason20242025!$D$3:$D$1315, $A29)+SUMIFS(DataRegularSeason20242025!$AB$3:$AB$1315,DataRegularSeason20242025!$B$3:$B$1315, "&lt;=" &amp; R$1, DataRegularSeason20242025!$E$3:$E$1315, $A29)</f>
        <v>5</v>
      </c>
      <c r="S29">
        <f>SUMIFS(DataRegularSeason20242025!$AA$3:$AA$1315,DataRegularSeason20242025!$B$3:$B$1315, "&lt;=" &amp; S$1, DataRegularSeason20242025!$D$3:$D$1315, $A29)+SUMIFS(DataRegularSeason20242025!$AB$3:$AB$1315,DataRegularSeason20242025!$B$3:$B$1315, "&lt;=" &amp; S$1, DataRegularSeason20242025!$E$3:$E$1315, $A29)</f>
        <v>5</v>
      </c>
      <c r="T29">
        <f>SUMIFS(DataRegularSeason20242025!$AA$3:$AA$1315,DataRegularSeason20242025!$B$3:$B$1315, "&lt;=" &amp; T$1, DataRegularSeason20242025!$D$3:$D$1315, $A29)+SUMIFS(DataRegularSeason20242025!$AB$3:$AB$1315,DataRegularSeason20242025!$B$3:$B$1315, "&lt;=" &amp; T$1, DataRegularSeason20242025!$E$3:$E$1315, $A29)</f>
        <v>5</v>
      </c>
      <c r="U29">
        <f>SUMIFS(DataRegularSeason20242025!$AA$3:$AA$1315,DataRegularSeason20242025!$B$3:$B$1315, "&lt;=" &amp; U$1, DataRegularSeason20242025!$D$3:$D$1315, $A29)+SUMIFS(DataRegularSeason20242025!$AB$3:$AB$1315,DataRegularSeason20242025!$B$3:$B$1315, "&lt;=" &amp; U$1, DataRegularSeason20242025!$E$3:$E$1315, $A29)</f>
        <v>5</v>
      </c>
      <c r="V29">
        <f>SUMIFS(DataRegularSeason20242025!$AA$3:$AA$1315,DataRegularSeason20242025!$B$3:$B$1315, "&lt;=" &amp; V$1, DataRegularSeason20242025!$D$3:$D$1315, $A29)+SUMIFS(DataRegularSeason20242025!$AB$3:$AB$1315,DataRegularSeason20242025!$B$3:$B$1315, "&lt;=" &amp; V$1, DataRegularSeason20242025!$E$3:$E$1315, $A29)</f>
        <v>7</v>
      </c>
      <c r="W29">
        <f>SUMIFS(DataRegularSeason20242025!$AA$3:$AA$1315,DataRegularSeason20242025!$B$3:$B$1315, "&lt;=" &amp; W$1, DataRegularSeason20242025!$D$3:$D$1315, $A29)+SUMIFS(DataRegularSeason20242025!$AB$3:$AB$1315,DataRegularSeason20242025!$B$3:$B$1315, "&lt;=" &amp; W$1, DataRegularSeason20242025!$E$3:$E$1315, $A29)</f>
        <v>7</v>
      </c>
      <c r="X29">
        <f>SUMIFS(DataRegularSeason20242025!$AA$3:$AA$1315,DataRegularSeason20242025!$B$3:$B$1315, "&lt;=" &amp; X$1, DataRegularSeason20242025!$D$3:$D$1315, $A29)+SUMIFS(DataRegularSeason20242025!$AB$3:$AB$1315,DataRegularSeason20242025!$B$3:$B$1315, "&lt;=" &amp; X$1, DataRegularSeason20242025!$E$3:$E$1315, $A29)</f>
        <v>7</v>
      </c>
      <c r="Y29">
        <f>SUMIFS(DataRegularSeason20242025!$AA$3:$AA$1315,DataRegularSeason20242025!$B$3:$B$1315, "&lt;=" &amp; Y$1, DataRegularSeason20242025!$D$3:$D$1315, $A29)+SUMIFS(DataRegularSeason20242025!$AB$3:$AB$1315,DataRegularSeason20242025!$B$3:$B$1315, "&lt;=" &amp; Y$1, DataRegularSeason20242025!$E$3:$E$1315, $A29)</f>
        <v>7</v>
      </c>
      <c r="Z29">
        <f>SUMIFS(DataRegularSeason20242025!$AA$3:$AA$1315,DataRegularSeason20242025!$B$3:$B$1315, "&lt;=" &amp; Z$1, DataRegularSeason20242025!$D$3:$D$1315, $A29)+SUMIFS(DataRegularSeason20242025!$AB$3:$AB$1315,DataRegularSeason20242025!$B$3:$B$1315, "&lt;=" &amp; Z$1, DataRegularSeason20242025!$E$3:$E$1315, $A29)</f>
        <v>7</v>
      </c>
      <c r="AA29">
        <f>SUMIFS(DataRegularSeason20242025!$AA$3:$AA$1315,DataRegularSeason20242025!$B$3:$B$1315, "&lt;=" &amp; AA$1, DataRegularSeason20242025!$D$3:$D$1315, $A29)+SUMIFS(DataRegularSeason20242025!$AB$3:$AB$1315,DataRegularSeason20242025!$B$3:$B$1315, "&lt;=" &amp; AA$1, DataRegularSeason20242025!$E$3:$E$1315, $A29)</f>
        <v>7</v>
      </c>
      <c r="AB29">
        <f>SUMIFS(DataRegularSeason20242025!$AA$3:$AA$1315,DataRegularSeason20242025!$B$3:$B$1315, "&lt;=" &amp; AB$1, DataRegularSeason20242025!$D$3:$D$1315, $A29)+SUMIFS(DataRegularSeason20242025!$AB$3:$AB$1315,DataRegularSeason20242025!$B$3:$B$1315, "&lt;=" &amp; AB$1, DataRegularSeason20242025!$E$3:$E$1315, $A29)</f>
        <v>7</v>
      </c>
      <c r="AC29">
        <f>SUMIFS(DataRegularSeason20242025!$AA$3:$AA$1315,DataRegularSeason20242025!$B$3:$B$1315, "&lt;=" &amp; AC$1, DataRegularSeason20242025!$D$3:$D$1315, $A29)+SUMIFS(DataRegularSeason20242025!$AB$3:$AB$1315,DataRegularSeason20242025!$B$3:$B$1315, "&lt;=" &amp; AC$1, DataRegularSeason20242025!$E$3:$E$1315, $A29)</f>
        <v>7</v>
      </c>
      <c r="AD29">
        <f>SUMIFS(DataRegularSeason20242025!$AA$3:$AA$1315,DataRegularSeason20242025!$B$3:$B$1315, "&lt;=" &amp; AD$1, DataRegularSeason20242025!$D$3:$D$1315, $A29)+SUMIFS(DataRegularSeason20242025!$AB$3:$AB$1315,DataRegularSeason20242025!$B$3:$B$1315, "&lt;=" &amp; AD$1, DataRegularSeason20242025!$E$3:$E$1315, $A29)</f>
        <v>7</v>
      </c>
      <c r="AE29">
        <f>SUMIFS(DataRegularSeason20242025!$AA$3:$AA$1315,DataRegularSeason20242025!$B$3:$B$1315, "&lt;=" &amp; AE$1, DataRegularSeason20242025!$D$3:$D$1315, $A29)+SUMIFS(DataRegularSeason20242025!$AB$3:$AB$1315,DataRegularSeason20242025!$B$3:$B$1315, "&lt;=" &amp; AE$1, DataRegularSeason20242025!$E$3:$E$1315, $A29)</f>
        <v>7</v>
      </c>
      <c r="AF29">
        <f>SUMIFS(DataRegularSeason20242025!$AA$3:$AA$1315,DataRegularSeason20242025!$B$3:$B$1315, "&lt;=" &amp; AF$1, DataRegularSeason20242025!$D$3:$D$1315, $A29)+SUMIFS(DataRegularSeason20242025!$AB$3:$AB$1315,DataRegularSeason20242025!$B$3:$B$1315, "&lt;=" &amp; AF$1, DataRegularSeason20242025!$E$3:$E$1315, $A29)</f>
        <v>7</v>
      </c>
      <c r="AG29">
        <f>SUMIFS(DataRegularSeason20242025!$AA$3:$AA$1315,DataRegularSeason20242025!$B$3:$B$1315, "&lt;=" &amp; AG$1, DataRegularSeason20242025!$D$3:$D$1315, $A29)+SUMIFS(DataRegularSeason20242025!$AB$3:$AB$1315,DataRegularSeason20242025!$B$3:$B$1315, "&lt;=" &amp; AG$1, DataRegularSeason20242025!$E$3:$E$1315, $A29)</f>
        <v>7</v>
      </c>
      <c r="AH29">
        <f>SUMIFS(DataRegularSeason20242025!$AA$3:$AA$1315,DataRegularSeason20242025!$B$3:$B$1315, "&lt;=" &amp; AH$1, DataRegularSeason20242025!$D$3:$D$1315, $A29)+SUMIFS(DataRegularSeason20242025!$AB$3:$AB$1315,DataRegularSeason20242025!$B$3:$B$1315, "&lt;=" &amp; AH$1, DataRegularSeason20242025!$E$3:$E$1315, $A29)</f>
        <v>7</v>
      </c>
      <c r="AI29">
        <f>SUMIFS(DataRegularSeason20242025!$AA$3:$AA$1315,DataRegularSeason20242025!$B$3:$B$1315, "&lt;=" &amp; AI$1, DataRegularSeason20242025!$D$3:$D$1315, $A29)+SUMIFS(DataRegularSeason20242025!$AB$3:$AB$1315,DataRegularSeason20242025!$B$3:$B$1315, "&lt;=" &amp; AI$1, DataRegularSeason20242025!$E$3:$E$1315, $A29)</f>
        <v>7</v>
      </c>
      <c r="AJ29">
        <f>SUMIFS(DataRegularSeason20242025!$AA$3:$AA$1315,DataRegularSeason20242025!$B$3:$B$1315, "&lt;=" &amp; AJ$1, DataRegularSeason20242025!$D$3:$D$1315, $A29)+SUMIFS(DataRegularSeason20242025!$AB$3:$AB$1315,DataRegularSeason20242025!$B$3:$B$1315, "&lt;=" &amp; AJ$1, DataRegularSeason20242025!$E$3:$E$1315, $A29)</f>
        <v>7</v>
      </c>
      <c r="AK29">
        <f>SUMIFS(DataRegularSeason20242025!$AA$3:$AA$1315,DataRegularSeason20242025!$B$3:$B$1315, "&lt;=" &amp; AK$1, DataRegularSeason20242025!$D$3:$D$1315, $A29)+SUMIFS(DataRegularSeason20242025!$AB$3:$AB$1315,DataRegularSeason20242025!$B$3:$B$1315, "&lt;=" &amp; AK$1, DataRegularSeason20242025!$E$3:$E$1315, $A29)</f>
        <v>7</v>
      </c>
      <c r="AL29">
        <f>SUMIFS(DataRegularSeason20242025!$AA$3:$AA$1315,DataRegularSeason20242025!$B$3:$B$1315, "&lt;=" &amp; AL$1, DataRegularSeason20242025!$D$3:$D$1315, $A29)+SUMIFS(DataRegularSeason20242025!$AB$3:$AB$1315,DataRegularSeason20242025!$B$3:$B$1315, "&lt;=" &amp; AL$1, DataRegularSeason20242025!$E$3:$E$1315, $A29)</f>
        <v>7</v>
      </c>
      <c r="AM29">
        <f>SUMIFS(DataRegularSeason20242025!$AA$3:$AA$1315,DataRegularSeason20242025!$B$3:$B$1315, "&lt;=" &amp; AM$1, DataRegularSeason20242025!$D$3:$D$1315, $A29)+SUMIFS(DataRegularSeason20242025!$AB$3:$AB$1315,DataRegularSeason20242025!$B$3:$B$1315, "&lt;=" &amp; AM$1, DataRegularSeason20242025!$E$3:$E$1315, $A29)</f>
        <v>7</v>
      </c>
      <c r="AN29">
        <f>SUMIFS(DataRegularSeason20242025!$AA$3:$AA$1315,DataRegularSeason20242025!$B$3:$B$1315, "&lt;=" &amp; AN$1, DataRegularSeason20242025!$D$3:$D$1315, $A29)+SUMIFS(DataRegularSeason20242025!$AB$3:$AB$1315,DataRegularSeason20242025!$B$3:$B$1315, "&lt;=" &amp; AN$1, DataRegularSeason20242025!$E$3:$E$1315, $A29)</f>
        <v>7</v>
      </c>
      <c r="AO29">
        <f>SUMIFS(DataRegularSeason20242025!$AA$3:$AA$1315,DataRegularSeason20242025!$B$3:$B$1315, "&lt;=" &amp; AO$1, DataRegularSeason20242025!$D$3:$D$1315, $A29)+SUMIFS(DataRegularSeason20242025!$AB$3:$AB$1315,DataRegularSeason20242025!$B$3:$B$1315, "&lt;=" &amp; AO$1, DataRegularSeason20242025!$E$3:$E$1315, $A29)</f>
        <v>7</v>
      </c>
      <c r="AP29">
        <f>SUMIFS(DataRegularSeason20242025!$AA$3:$AA$1315,DataRegularSeason20242025!$B$3:$B$1315, "&lt;=" &amp; AP$1, DataRegularSeason20242025!$D$3:$D$1315, $A29)+SUMIFS(DataRegularSeason20242025!$AB$3:$AB$1315,DataRegularSeason20242025!$B$3:$B$1315, "&lt;=" &amp; AP$1, DataRegularSeason20242025!$E$3:$E$1315, $A29)</f>
        <v>7</v>
      </c>
      <c r="AQ29">
        <f>SUMIFS(DataRegularSeason20242025!$AA$3:$AA$1315,DataRegularSeason20242025!$B$3:$B$1315, "&lt;=" &amp; AQ$1, DataRegularSeason20242025!$D$3:$D$1315, $A29)+SUMIFS(DataRegularSeason20242025!$AB$3:$AB$1315,DataRegularSeason20242025!$B$3:$B$1315, "&lt;=" &amp; AQ$1, DataRegularSeason20242025!$E$3:$E$1315, $A29)</f>
        <v>7</v>
      </c>
      <c r="AR29">
        <f>SUMIFS(DataRegularSeason20242025!$AA$3:$AA$1315,DataRegularSeason20242025!$B$3:$B$1315, "&lt;=" &amp; AR$1, DataRegularSeason20242025!$D$3:$D$1315, $A29)+SUMIFS(DataRegularSeason20242025!$AB$3:$AB$1315,DataRegularSeason20242025!$B$3:$B$1315, "&lt;=" &amp; AR$1, DataRegularSeason20242025!$E$3:$E$1315, $A29)</f>
        <v>7</v>
      </c>
      <c r="AS29">
        <f>SUMIFS(DataRegularSeason20242025!$AA$3:$AA$1315,DataRegularSeason20242025!$B$3:$B$1315, "&lt;=" &amp; AS$1, DataRegularSeason20242025!$D$3:$D$1315, $A29)+SUMIFS(DataRegularSeason20242025!$AB$3:$AB$1315,DataRegularSeason20242025!$B$3:$B$1315, "&lt;=" &amp; AS$1, DataRegularSeason20242025!$E$3:$E$1315, $A29)</f>
        <v>7</v>
      </c>
      <c r="AT29">
        <f>SUMIFS(DataRegularSeason20242025!$AA$3:$AA$1315,DataRegularSeason20242025!$B$3:$B$1315, "&lt;=" &amp; AT$1, DataRegularSeason20242025!$D$3:$D$1315, $A29)+SUMIFS(DataRegularSeason20242025!$AB$3:$AB$1315,DataRegularSeason20242025!$B$3:$B$1315, "&lt;=" &amp; AT$1, DataRegularSeason20242025!$E$3:$E$1315, $A29)</f>
        <v>7</v>
      </c>
      <c r="AU29">
        <f>SUMIFS(DataRegularSeason20242025!$AA$3:$AA$1315,DataRegularSeason20242025!$B$3:$B$1315, "&lt;=" &amp; AU$1, DataRegularSeason20242025!$D$3:$D$1315, $A29)+SUMIFS(DataRegularSeason20242025!$AB$3:$AB$1315,DataRegularSeason20242025!$B$3:$B$1315, "&lt;=" &amp; AU$1, DataRegularSeason20242025!$E$3:$E$1315, $A29)</f>
        <v>7</v>
      </c>
      <c r="AV29">
        <f>SUMIFS(DataRegularSeason20242025!$AA$3:$AA$1315,DataRegularSeason20242025!$B$3:$B$1315, "&lt;=" &amp; AV$1, DataRegularSeason20242025!$D$3:$D$1315, $A29)+SUMIFS(DataRegularSeason20242025!$AB$3:$AB$1315,DataRegularSeason20242025!$B$3:$B$1315, "&lt;=" &amp; AV$1, DataRegularSeason20242025!$E$3:$E$1315, $A29)</f>
        <v>7</v>
      </c>
      <c r="AW29">
        <f>SUMIFS(DataRegularSeason20242025!$AA$3:$AA$1315,DataRegularSeason20242025!$B$3:$B$1315, "&lt;=" &amp; AW$1, DataRegularSeason20242025!$D$3:$D$1315, $A29)+SUMIFS(DataRegularSeason20242025!$AB$3:$AB$1315,DataRegularSeason20242025!$B$3:$B$1315, "&lt;=" &amp; AW$1, DataRegularSeason20242025!$E$3:$E$1315, $A29)</f>
        <v>7</v>
      </c>
      <c r="AX29">
        <f>SUMIFS(DataRegularSeason20242025!$AA$3:$AA$1315,DataRegularSeason20242025!$B$3:$B$1315, "&lt;=" &amp; AX$1, DataRegularSeason20242025!$D$3:$D$1315, $A29)+SUMIFS(DataRegularSeason20242025!$AB$3:$AB$1315,DataRegularSeason20242025!$B$3:$B$1315, "&lt;=" &amp; AX$1, DataRegularSeason20242025!$E$3:$E$1315, $A29)</f>
        <v>7</v>
      </c>
      <c r="AY29">
        <f>SUMIFS(DataRegularSeason20242025!$AA$3:$AA$1315,DataRegularSeason20242025!$B$3:$B$1315, "&lt;=" &amp; AY$1, DataRegularSeason20242025!$D$3:$D$1315, $A29)+SUMIFS(DataRegularSeason20242025!$AB$3:$AB$1315,DataRegularSeason20242025!$B$3:$B$1315, "&lt;=" &amp; AY$1, DataRegularSeason20242025!$E$3:$E$1315, $A29)</f>
        <v>7</v>
      </c>
      <c r="AZ29">
        <f>SUMIFS(DataRegularSeason20242025!$AA$3:$AA$1315,DataRegularSeason20242025!$B$3:$B$1315, "&lt;=" &amp; AZ$1, DataRegularSeason20242025!$D$3:$D$1315, $A29)+SUMIFS(DataRegularSeason20242025!$AB$3:$AB$1315,DataRegularSeason20242025!$B$3:$B$1315, "&lt;=" &amp; AZ$1, DataRegularSeason20242025!$E$3:$E$1315, $A29)</f>
        <v>7</v>
      </c>
      <c r="BA29">
        <f>SUMIFS(DataRegularSeason20242025!$AA$3:$AA$1315,DataRegularSeason20242025!$B$3:$B$1315, "&lt;=" &amp; BA$1, DataRegularSeason20242025!$D$3:$D$1315, $A29)+SUMIFS(DataRegularSeason20242025!$AB$3:$AB$1315,DataRegularSeason20242025!$B$3:$B$1315, "&lt;=" &amp; BA$1, DataRegularSeason20242025!$E$3:$E$1315, $A29)</f>
        <v>7</v>
      </c>
      <c r="BB29">
        <f>SUMIFS(DataRegularSeason20242025!$AA$3:$AA$1315,DataRegularSeason20242025!$B$3:$B$1315, "&lt;=" &amp; BB$1, DataRegularSeason20242025!$D$3:$D$1315, $A29)+SUMIFS(DataRegularSeason20242025!$AB$3:$AB$1315,DataRegularSeason20242025!$B$3:$B$1315, "&lt;=" &amp; BB$1, DataRegularSeason20242025!$E$3:$E$1315, $A29)</f>
        <v>7</v>
      </c>
      <c r="BC29">
        <f>SUMIFS(DataRegularSeason20242025!$AA$3:$AA$1315,DataRegularSeason20242025!$B$3:$B$1315, "&lt;=" &amp; BC$1, DataRegularSeason20242025!$D$3:$D$1315, $A29)+SUMIFS(DataRegularSeason20242025!$AB$3:$AB$1315,DataRegularSeason20242025!$B$3:$B$1315, "&lt;=" &amp; BC$1, DataRegularSeason20242025!$E$3:$E$1315, $A29)</f>
        <v>7</v>
      </c>
      <c r="BD29">
        <f>SUMIFS(DataRegularSeason20242025!$AA$3:$AA$1315,DataRegularSeason20242025!$B$3:$B$1315, "&lt;=" &amp; BD$1, DataRegularSeason20242025!$D$3:$D$1315, $A29)+SUMIFS(DataRegularSeason20242025!$AB$3:$AB$1315,DataRegularSeason20242025!$B$3:$B$1315, "&lt;=" &amp; BD$1, DataRegularSeason20242025!$E$3:$E$1315, $A29)</f>
        <v>7</v>
      </c>
      <c r="BE29">
        <f>SUMIFS(DataRegularSeason20242025!$AA$3:$AA$1315,DataRegularSeason20242025!$B$3:$B$1315, "&lt;=" &amp; BE$1, DataRegularSeason20242025!$D$3:$D$1315, $A29)+SUMIFS(DataRegularSeason20242025!$AB$3:$AB$1315,DataRegularSeason20242025!$B$3:$B$1315, "&lt;=" &amp; BE$1, DataRegularSeason20242025!$E$3:$E$1315, $A29)</f>
        <v>7</v>
      </c>
      <c r="BF29">
        <f>SUMIFS(DataRegularSeason20242025!$AA$3:$AA$1315,DataRegularSeason20242025!$B$3:$B$1315, "&lt;=" &amp; BF$1, DataRegularSeason20242025!$D$3:$D$1315, $A29)+SUMIFS(DataRegularSeason20242025!$AB$3:$AB$1315,DataRegularSeason20242025!$B$3:$B$1315, "&lt;=" &amp; BF$1, DataRegularSeason20242025!$E$3:$E$1315, $A29)</f>
        <v>7</v>
      </c>
      <c r="BG29">
        <f>SUMIFS(DataRegularSeason20242025!$AA$3:$AA$1315,DataRegularSeason20242025!$B$3:$B$1315, "&lt;=" &amp; BG$1, DataRegularSeason20242025!$D$3:$D$1315, $A29)+SUMIFS(DataRegularSeason20242025!$AB$3:$AB$1315,DataRegularSeason20242025!$B$3:$B$1315, "&lt;=" &amp; BG$1, DataRegularSeason20242025!$E$3:$E$1315, $A29)</f>
        <v>7</v>
      </c>
      <c r="BH29">
        <f>SUMIFS(DataRegularSeason20242025!$AA$3:$AA$1315,DataRegularSeason20242025!$B$3:$B$1315, "&lt;=" &amp; BH$1, DataRegularSeason20242025!$D$3:$D$1315, $A29)+SUMIFS(DataRegularSeason20242025!$AB$3:$AB$1315,DataRegularSeason20242025!$B$3:$B$1315, "&lt;=" &amp; BH$1, DataRegularSeason20242025!$E$3:$E$1315, $A29)</f>
        <v>7</v>
      </c>
      <c r="BI29">
        <f>SUMIFS(DataRegularSeason20242025!$AA$3:$AA$1315,DataRegularSeason20242025!$B$3:$B$1315, "&lt;=" &amp; BI$1, DataRegularSeason20242025!$D$3:$D$1315, $A29)+SUMIFS(DataRegularSeason20242025!$AB$3:$AB$1315,DataRegularSeason20242025!$B$3:$B$1315, "&lt;=" &amp; BI$1, DataRegularSeason20242025!$E$3:$E$1315, $A29)</f>
        <v>7</v>
      </c>
      <c r="BJ29">
        <f>SUMIFS(DataRegularSeason20242025!$AA$3:$AA$1315,DataRegularSeason20242025!$B$3:$B$1315, "&lt;=" &amp; BJ$1, DataRegularSeason20242025!$D$3:$D$1315, $A29)+SUMIFS(DataRegularSeason20242025!$AB$3:$AB$1315,DataRegularSeason20242025!$B$3:$B$1315, "&lt;=" &amp; BJ$1, DataRegularSeason20242025!$E$3:$E$1315, $A29)</f>
        <v>7</v>
      </c>
      <c r="BK29">
        <f>SUMIFS(DataRegularSeason20242025!$AA$3:$AA$1315,DataRegularSeason20242025!$B$3:$B$1315, "&lt;=" &amp; BK$1, DataRegularSeason20242025!$D$3:$D$1315, $A29)+SUMIFS(DataRegularSeason20242025!$AB$3:$AB$1315,DataRegularSeason20242025!$B$3:$B$1315, "&lt;=" &amp; BK$1, DataRegularSeason20242025!$E$3:$E$1315, $A29)</f>
        <v>7</v>
      </c>
      <c r="BL29">
        <f>SUMIFS(DataRegularSeason20242025!$AA$3:$AA$1315,DataRegularSeason20242025!$B$3:$B$1315, "&lt;=" &amp; BL$1, DataRegularSeason20242025!$D$3:$D$1315, $A29)+SUMIFS(DataRegularSeason20242025!$AB$3:$AB$1315,DataRegularSeason20242025!$B$3:$B$1315, "&lt;=" &amp; BL$1, DataRegularSeason20242025!$E$3:$E$1315, $A29)</f>
        <v>7</v>
      </c>
      <c r="BM29">
        <f>SUMIFS(DataRegularSeason20242025!$AA$3:$AA$1315,DataRegularSeason20242025!$B$3:$B$1315, "&lt;=" &amp; BM$1, DataRegularSeason20242025!$D$3:$D$1315, $A29)+SUMIFS(DataRegularSeason20242025!$AB$3:$AB$1315,DataRegularSeason20242025!$B$3:$B$1315, "&lt;=" &amp; BM$1, DataRegularSeason20242025!$E$3:$E$1315, $A29)</f>
        <v>7</v>
      </c>
      <c r="BN29">
        <f>SUMIFS(DataRegularSeason20242025!$AA$3:$AA$1315,DataRegularSeason20242025!$B$3:$B$1315, "&lt;=" &amp; BN$1, DataRegularSeason20242025!$D$3:$D$1315, $A29)+SUMIFS(DataRegularSeason20242025!$AB$3:$AB$1315,DataRegularSeason20242025!$B$3:$B$1315, "&lt;=" &amp; BN$1, DataRegularSeason20242025!$E$3:$E$1315, $A29)</f>
        <v>7</v>
      </c>
      <c r="BO29">
        <f>SUMIFS(DataRegularSeason20242025!$AA$3:$AA$1315,DataRegularSeason20242025!$B$3:$B$1315, "&lt;=" &amp; BO$1, DataRegularSeason20242025!$D$3:$D$1315, $A29)+SUMIFS(DataRegularSeason20242025!$AB$3:$AB$1315,DataRegularSeason20242025!$B$3:$B$1315, "&lt;=" &amp; BO$1, DataRegularSeason20242025!$E$3:$E$1315, $A29)</f>
        <v>7</v>
      </c>
      <c r="BP29">
        <f>SUMIFS(DataRegularSeason20242025!$AA$3:$AA$1315,DataRegularSeason20242025!$B$3:$B$1315, "&lt;=" &amp; BP$1, DataRegularSeason20242025!$D$3:$D$1315, $A29)+SUMIFS(DataRegularSeason20242025!$AB$3:$AB$1315,DataRegularSeason20242025!$B$3:$B$1315, "&lt;=" &amp; BP$1, DataRegularSeason20242025!$E$3:$E$1315, $A29)</f>
        <v>7</v>
      </c>
      <c r="BQ29">
        <f>SUMIFS(DataRegularSeason20242025!$AA$3:$AA$1315,DataRegularSeason20242025!$B$3:$B$1315, "&lt;=" &amp; BQ$1, DataRegularSeason20242025!$D$3:$D$1315, $A29)+SUMIFS(DataRegularSeason20242025!$AB$3:$AB$1315,DataRegularSeason20242025!$B$3:$B$1315, "&lt;=" &amp; BQ$1, DataRegularSeason20242025!$E$3:$E$1315, $A29)</f>
        <v>7</v>
      </c>
      <c r="BR29">
        <f>SUMIFS(DataRegularSeason20242025!$AA$3:$AA$1315,DataRegularSeason20242025!$B$3:$B$1315, "&lt;=" &amp; BR$1, DataRegularSeason20242025!$D$3:$D$1315, $A29)+SUMIFS(DataRegularSeason20242025!$AB$3:$AB$1315,DataRegularSeason20242025!$B$3:$B$1315, "&lt;=" &amp; BR$1, DataRegularSeason20242025!$E$3:$E$1315, $A29)</f>
        <v>7</v>
      </c>
      <c r="BS29">
        <f>SUMIFS(DataRegularSeason20242025!$AA$3:$AA$1315,DataRegularSeason20242025!$B$3:$B$1315, "&lt;=" &amp; BS$1, DataRegularSeason20242025!$D$3:$D$1315, $A29)+SUMIFS(DataRegularSeason20242025!$AB$3:$AB$1315,DataRegularSeason20242025!$B$3:$B$1315, "&lt;=" &amp; BS$1, DataRegularSeason20242025!$E$3:$E$1315, $A29)</f>
        <v>7</v>
      </c>
      <c r="BT29">
        <f>SUMIFS(DataRegularSeason20242025!$AA$3:$AA$1315,DataRegularSeason20242025!$B$3:$B$1315, "&lt;=" &amp; BT$1, DataRegularSeason20242025!$D$3:$D$1315, $A29)+SUMIFS(DataRegularSeason20242025!$AB$3:$AB$1315,DataRegularSeason20242025!$B$3:$B$1315, "&lt;=" &amp; BT$1, DataRegularSeason20242025!$E$3:$E$1315, $A29)</f>
        <v>7</v>
      </c>
      <c r="BU29">
        <f>SUMIFS(DataRegularSeason20242025!$AA$3:$AA$1315,DataRegularSeason20242025!$B$3:$B$1315, "&lt;=" &amp; BU$1, DataRegularSeason20242025!$D$3:$D$1315, $A29)+SUMIFS(DataRegularSeason20242025!$AB$3:$AB$1315,DataRegularSeason20242025!$B$3:$B$1315, "&lt;=" &amp; BU$1, DataRegularSeason20242025!$E$3:$E$1315, $A29)</f>
        <v>7</v>
      </c>
      <c r="BV29">
        <f>SUMIFS(DataRegularSeason20242025!$AA$3:$AA$1315,DataRegularSeason20242025!$B$3:$B$1315, "&lt;=" &amp; BV$1, DataRegularSeason20242025!$D$3:$D$1315, $A29)+SUMIFS(DataRegularSeason20242025!$AB$3:$AB$1315,DataRegularSeason20242025!$B$3:$B$1315, "&lt;=" &amp; BV$1, DataRegularSeason20242025!$E$3:$E$1315, $A29)</f>
        <v>7</v>
      </c>
      <c r="BW29">
        <f>SUMIFS(DataRegularSeason20242025!$AA$3:$AA$1315,DataRegularSeason20242025!$B$3:$B$1315, "&lt;=" &amp; BW$1, DataRegularSeason20242025!$D$3:$D$1315, $A29)+SUMIFS(DataRegularSeason20242025!$AB$3:$AB$1315,DataRegularSeason20242025!$B$3:$B$1315, "&lt;=" &amp; BW$1, DataRegularSeason20242025!$E$3:$E$1315, $A29)</f>
        <v>7</v>
      </c>
      <c r="BX29">
        <f>SUMIFS(DataRegularSeason20242025!$AA$3:$AA$1315,DataRegularSeason20242025!$B$3:$B$1315, "&lt;=" &amp; BX$1, DataRegularSeason20242025!$D$3:$D$1315, $A29)+SUMIFS(DataRegularSeason20242025!$AB$3:$AB$1315,DataRegularSeason20242025!$B$3:$B$1315, "&lt;=" &amp; BX$1, DataRegularSeason20242025!$E$3:$E$1315, $A29)</f>
        <v>7</v>
      </c>
      <c r="BY29">
        <f>SUMIFS(DataRegularSeason20242025!$AA$3:$AA$1315,DataRegularSeason20242025!$B$3:$B$1315, "&lt;=" &amp; BY$1, DataRegularSeason20242025!$D$3:$D$1315, $A29)+SUMIFS(DataRegularSeason20242025!$AB$3:$AB$1315,DataRegularSeason20242025!$B$3:$B$1315, "&lt;=" &amp; BY$1, DataRegularSeason20242025!$E$3:$E$1315, $A29)</f>
        <v>7</v>
      </c>
      <c r="BZ29">
        <f>SUMIFS(DataRegularSeason20242025!$AA$3:$AA$1315,DataRegularSeason20242025!$B$3:$B$1315, "&lt;=" &amp; BZ$1, DataRegularSeason20242025!$D$3:$D$1315, $A29)+SUMIFS(DataRegularSeason20242025!$AB$3:$AB$1315,DataRegularSeason20242025!$B$3:$B$1315, "&lt;=" &amp; BZ$1, DataRegularSeason20242025!$E$3:$E$1315, $A29)</f>
        <v>7</v>
      </c>
      <c r="CA29">
        <f>SUMIFS(DataRegularSeason20242025!$AA$3:$AA$1315,DataRegularSeason20242025!$B$3:$B$1315, "&lt;=" &amp; CA$1, DataRegularSeason20242025!$D$3:$D$1315, $A29)+SUMIFS(DataRegularSeason20242025!$AB$3:$AB$1315,DataRegularSeason20242025!$B$3:$B$1315, "&lt;=" &amp; CA$1, DataRegularSeason20242025!$E$3:$E$1315, $A29)</f>
        <v>7</v>
      </c>
      <c r="CB29">
        <f>SUMIFS(DataRegularSeason20242025!$AA$3:$AA$1315,DataRegularSeason20242025!$B$3:$B$1315, "&lt;=" &amp; CB$1, DataRegularSeason20242025!$D$3:$D$1315, $A29)+SUMIFS(DataRegularSeason20242025!$AB$3:$AB$1315,DataRegularSeason20242025!$B$3:$B$1315, "&lt;=" &amp; CB$1, DataRegularSeason20242025!$E$3:$E$1315, $A29)</f>
        <v>7</v>
      </c>
      <c r="CC29">
        <f>SUMIFS(DataRegularSeason20242025!$AA$3:$AA$1315,DataRegularSeason20242025!$B$3:$B$1315, "&lt;=" &amp; CC$1, DataRegularSeason20242025!$D$3:$D$1315, $A29)+SUMIFS(DataRegularSeason20242025!$AB$3:$AB$1315,DataRegularSeason20242025!$B$3:$B$1315, "&lt;=" &amp; CC$1, DataRegularSeason20242025!$E$3:$E$1315, $A29)</f>
        <v>7</v>
      </c>
      <c r="CD29">
        <f>SUMIFS(DataRegularSeason20242025!$AA$3:$AA$1315,DataRegularSeason20242025!$B$3:$B$1315, "&lt;=" &amp; CD$1, DataRegularSeason20242025!$D$3:$D$1315, $A29)+SUMIFS(DataRegularSeason20242025!$AB$3:$AB$1315,DataRegularSeason20242025!$B$3:$B$1315, "&lt;=" &amp; CD$1, DataRegularSeason20242025!$E$3:$E$1315, $A29)</f>
        <v>7</v>
      </c>
      <c r="CE29">
        <f>SUMIFS(DataRegularSeason20242025!$AA$3:$AA$1315,DataRegularSeason20242025!$B$3:$B$1315, "&lt;=" &amp; CE$1, DataRegularSeason20242025!$D$3:$D$1315, $A29)+SUMIFS(DataRegularSeason20242025!$AB$3:$AB$1315,DataRegularSeason20242025!$B$3:$B$1315, "&lt;=" &amp; CE$1, DataRegularSeason20242025!$E$3:$E$1315, $A29)</f>
        <v>7</v>
      </c>
      <c r="CF29">
        <f>SUMIFS(DataRegularSeason20242025!$AA$3:$AA$1315,DataRegularSeason20242025!$B$3:$B$1315, "&lt;=" &amp; CF$1, DataRegularSeason20242025!$D$3:$D$1315, $A29)+SUMIFS(DataRegularSeason20242025!$AB$3:$AB$1315,DataRegularSeason20242025!$B$3:$B$1315, "&lt;=" &amp; CF$1, DataRegularSeason20242025!$E$3:$E$1315, $A29)</f>
        <v>7</v>
      </c>
      <c r="CG29">
        <f>SUMIFS(DataRegularSeason20242025!$AA$3:$AA$1315,DataRegularSeason20242025!$B$3:$B$1315, "&lt;=" &amp; CG$1, DataRegularSeason20242025!$D$3:$D$1315, $A29)+SUMIFS(DataRegularSeason20242025!$AB$3:$AB$1315,DataRegularSeason20242025!$B$3:$B$1315, "&lt;=" &amp; CG$1, DataRegularSeason20242025!$E$3:$E$1315, $A29)</f>
        <v>7</v>
      </c>
      <c r="CH29">
        <f>SUMIFS(DataRegularSeason20242025!$AA$3:$AA$1315,DataRegularSeason20242025!$B$3:$B$1315, "&lt;=" &amp; CH$1, DataRegularSeason20242025!$D$3:$D$1315, $A29)+SUMIFS(DataRegularSeason20242025!$AB$3:$AB$1315,DataRegularSeason20242025!$B$3:$B$1315, "&lt;=" &amp; CH$1, DataRegularSeason20242025!$E$3:$E$1315, $A29)</f>
        <v>7</v>
      </c>
      <c r="CI29">
        <f>SUMIFS(DataRegularSeason20242025!$AA$3:$AA$1315,DataRegularSeason20242025!$B$3:$B$1315, "&lt;=" &amp; CI$1, DataRegularSeason20242025!$D$3:$D$1315, $A29)+SUMIFS(DataRegularSeason20242025!$AB$3:$AB$1315,DataRegularSeason20242025!$B$3:$B$1315, "&lt;=" &amp; CI$1, DataRegularSeason20242025!$E$3:$E$1315, $A29)</f>
        <v>7</v>
      </c>
      <c r="CJ29">
        <f>SUMIFS(DataRegularSeason20242025!$AA$3:$AA$1315,DataRegularSeason20242025!$B$3:$B$1315, "&lt;=" &amp; CJ$1, DataRegularSeason20242025!$D$3:$D$1315, $A29)+SUMIFS(DataRegularSeason20242025!$AB$3:$AB$1315,DataRegularSeason20242025!$B$3:$B$1315, "&lt;=" &amp; CJ$1, DataRegularSeason20242025!$E$3:$E$1315, $A29)</f>
        <v>7</v>
      </c>
      <c r="CK29">
        <f>SUMIFS(DataRegularSeason20242025!$AA$3:$AA$1315,DataRegularSeason20242025!$B$3:$B$1315, "&lt;=" &amp; CK$1, DataRegularSeason20242025!$D$3:$D$1315, $A29)+SUMIFS(DataRegularSeason20242025!$AB$3:$AB$1315,DataRegularSeason20242025!$B$3:$B$1315, "&lt;=" &amp; CK$1, DataRegularSeason20242025!$E$3:$E$1315, $A29)</f>
        <v>7</v>
      </c>
      <c r="CL29">
        <f>SUMIFS(DataRegularSeason20242025!$AA$3:$AA$1315,DataRegularSeason20242025!$B$3:$B$1315, "&lt;=" &amp; CL$1, DataRegularSeason20242025!$D$3:$D$1315, $A29)+SUMIFS(DataRegularSeason20242025!$AB$3:$AB$1315,DataRegularSeason20242025!$B$3:$B$1315, "&lt;=" &amp; CL$1, DataRegularSeason20242025!$E$3:$E$1315, $A29)</f>
        <v>7</v>
      </c>
      <c r="CM29">
        <f>SUMIFS(DataRegularSeason20242025!$AA$3:$AA$1315,DataRegularSeason20242025!$B$3:$B$1315, "&lt;=" &amp; CM$1, DataRegularSeason20242025!$D$3:$D$1315, $A29)+SUMIFS(DataRegularSeason20242025!$AB$3:$AB$1315,DataRegularSeason20242025!$B$3:$B$1315, "&lt;=" &amp; CM$1, DataRegularSeason20242025!$E$3:$E$1315, $A29)</f>
        <v>7</v>
      </c>
      <c r="CN29">
        <f>SUMIFS(DataRegularSeason20242025!$AA$3:$AA$1315,DataRegularSeason20242025!$B$3:$B$1315, "&lt;=" &amp; CN$1, DataRegularSeason20242025!$D$3:$D$1315, $A29)+SUMIFS(DataRegularSeason20242025!$AB$3:$AB$1315,DataRegularSeason20242025!$B$3:$B$1315, "&lt;=" &amp; CN$1, DataRegularSeason20242025!$E$3:$E$1315, $A29)</f>
        <v>7</v>
      </c>
      <c r="CO29">
        <f>SUMIFS(DataRegularSeason20242025!$AA$3:$AA$1315,DataRegularSeason20242025!$B$3:$B$1315, "&lt;=" &amp; CO$1, DataRegularSeason20242025!$D$3:$D$1315, $A29)+SUMIFS(DataRegularSeason20242025!$AB$3:$AB$1315,DataRegularSeason20242025!$B$3:$B$1315, "&lt;=" &amp; CO$1, DataRegularSeason20242025!$E$3:$E$1315, $A29)</f>
        <v>7</v>
      </c>
      <c r="CP29">
        <f>SUMIFS(DataRegularSeason20242025!$AA$3:$AA$1315,DataRegularSeason20242025!$B$3:$B$1315, "&lt;=" &amp; CP$1, DataRegularSeason20242025!$D$3:$D$1315, $A29)+SUMIFS(DataRegularSeason20242025!$AB$3:$AB$1315,DataRegularSeason20242025!$B$3:$B$1315, "&lt;=" &amp; CP$1, DataRegularSeason20242025!$E$3:$E$1315, $A29)</f>
        <v>7</v>
      </c>
      <c r="CQ29">
        <f>SUMIFS(DataRegularSeason20242025!$AA$3:$AA$1315,DataRegularSeason20242025!$B$3:$B$1315, "&lt;=" &amp; CQ$1, DataRegularSeason20242025!$D$3:$D$1315, $A29)+SUMIFS(DataRegularSeason20242025!$AB$3:$AB$1315,DataRegularSeason20242025!$B$3:$B$1315, "&lt;=" &amp; CQ$1, DataRegularSeason20242025!$E$3:$E$1315, $A29)</f>
        <v>7</v>
      </c>
      <c r="CR29">
        <f>SUMIFS(DataRegularSeason20242025!$AA$3:$AA$1315,DataRegularSeason20242025!$B$3:$B$1315, "&lt;=" &amp; CR$1, DataRegularSeason20242025!$D$3:$D$1315, $A29)+SUMIFS(DataRegularSeason20242025!$AB$3:$AB$1315,DataRegularSeason20242025!$B$3:$B$1315, "&lt;=" &amp; CR$1, DataRegularSeason20242025!$E$3:$E$1315, $A29)</f>
        <v>7</v>
      </c>
      <c r="CS29">
        <f>SUMIFS(DataRegularSeason20242025!$AA$3:$AA$1315,DataRegularSeason20242025!$B$3:$B$1315, "&lt;=" &amp; CS$1, DataRegularSeason20242025!$D$3:$D$1315, $A29)+SUMIFS(DataRegularSeason20242025!$AB$3:$AB$1315,DataRegularSeason20242025!$B$3:$B$1315, "&lt;=" &amp; CS$1, DataRegularSeason20242025!$E$3:$E$1315, $A29)</f>
        <v>7</v>
      </c>
      <c r="CT29">
        <f>SUMIFS(DataRegularSeason20242025!$AA$3:$AA$1315,DataRegularSeason20242025!$B$3:$B$1315, "&lt;=" &amp; CT$1, DataRegularSeason20242025!$D$3:$D$1315, $A29)+SUMIFS(DataRegularSeason20242025!$AB$3:$AB$1315,DataRegularSeason20242025!$B$3:$B$1315, "&lt;=" &amp; CT$1, DataRegularSeason20242025!$E$3:$E$1315, $A29)</f>
        <v>7</v>
      </c>
      <c r="CU29">
        <f>SUMIFS(DataRegularSeason20242025!$AA$3:$AA$1315,DataRegularSeason20242025!$B$3:$B$1315, "&lt;=" &amp; CU$1, DataRegularSeason20242025!$D$3:$D$1315, $A29)+SUMIFS(DataRegularSeason20242025!$AB$3:$AB$1315,DataRegularSeason20242025!$B$3:$B$1315, "&lt;=" &amp; CU$1, DataRegularSeason20242025!$E$3:$E$1315, $A29)</f>
        <v>7</v>
      </c>
      <c r="CV29">
        <f>SUMIFS(DataRegularSeason20242025!$AA$3:$AA$1315,DataRegularSeason20242025!$B$3:$B$1315, "&lt;=" &amp; CV$1, DataRegularSeason20242025!$D$3:$D$1315, $A29)+SUMIFS(DataRegularSeason20242025!$AB$3:$AB$1315,DataRegularSeason20242025!$B$3:$B$1315, "&lt;=" &amp; CV$1, DataRegularSeason20242025!$E$3:$E$1315, $A29)</f>
        <v>7</v>
      </c>
      <c r="CW29">
        <f>SUMIFS(DataRegularSeason20242025!$AA$3:$AA$1315,DataRegularSeason20242025!$B$3:$B$1315, "&lt;=" &amp; CW$1, DataRegularSeason20242025!$D$3:$D$1315, $A29)+SUMIFS(DataRegularSeason20242025!$AB$3:$AB$1315,DataRegularSeason20242025!$B$3:$B$1315, "&lt;=" &amp; CW$1, DataRegularSeason20242025!$E$3:$E$1315, $A29)</f>
        <v>7</v>
      </c>
      <c r="CX29">
        <f>SUMIFS(DataRegularSeason20242025!$AA$3:$AA$1315,DataRegularSeason20242025!$B$3:$B$1315, "&lt;=" &amp; CX$1, DataRegularSeason20242025!$D$3:$D$1315, $A29)+SUMIFS(DataRegularSeason20242025!$AB$3:$AB$1315,DataRegularSeason20242025!$B$3:$B$1315, "&lt;=" &amp; CX$1, DataRegularSeason20242025!$E$3:$E$1315, $A29)</f>
        <v>7</v>
      </c>
      <c r="CY29">
        <f>SUMIFS(DataRegularSeason20242025!$AA$3:$AA$1315,DataRegularSeason20242025!$B$3:$B$1315, "&lt;=" &amp; CY$1, DataRegularSeason20242025!$D$3:$D$1315, $A29)+SUMIFS(DataRegularSeason20242025!$AB$3:$AB$1315,DataRegularSeason20242025!$B$3:$B$1315, "&lt;=" &amp; CY$1, DataRegularSeason20242025!$E$3:$E$1315, $A29)</f>
        <v>7</v>
      </c>
      <c r="CZ29">
        <f>SUMIFS(DataRegularSeason20242025!$AA$3:$AA$1315,DataRegularSeason20242025!$B$3:$B$1315, "&lt;=" &amp; CZ$1, DataRegularSeason20242025!$D$3:$D$1315, $A29)+SUMIFS(DataRegularSeason20242025!$AB$3:$AB$1315,DataRegularSeason20242025!$B$3:$B$1315, "&lt;=" &amp; CZ$1, DataRegularSeason20242025!$E$3:$E$1315, $A29)</f>
        <v>7</v>
      </c>
      <c r="DA29">
        <f>SUMIFS(DataRegularSeason20242025!$AA$3:$AA$1315,DataRegularSeason20242025!$B$3:$B$1315, "&lt;=" &amp; DA$1, DataRegularSeason20242025!$D$3:$D$1315, $A29)+SUMIFS(DataRegularSeason20242025!$AB$3:$AB$1315,DataRegularSeason20242025!$B$3:$B$1315, "&lt;=" &amp; DA$1, DataRegularSeason20242025!$E$3:$E$1315, $A29)</f>
        <v>7</v>
      </c>
      <c r="DB29">
        <f>SUMIFS(DataRegularSeason20242025!$AA$3:$AA$1315,DataRegularSeason20242025!$B$3:$B$1315, "&lt;=" &amp; DB$1, DataRegularSeason20242025!$D$3:$D$1315, $A29)+SUMIFS(DataRegularSeason20242025!$AB$3:$AB$1315,DataRegularSeason20242025!$B$3:$B$1315, "&lt;=" &amp; DB$1, DataRegularSeason20242025!$E$3:$E$1315, $A29)</f>
        <v>7</v>
      </c>
      <c r="DC29">
        <f>SUMIFS(DataRegularSeason20242025!$AA$3:$AA$1315,DataRegularSeason20242025!$B$3:$B$1315, "&lt;=" &amp; DC$1, DataRegularSeason20242025!$D$3:$D$1315, $A29)+SUMIFS(DataRegularSeason20242025!$AB$3:$AB$1315,DataRegularSeason20242025!$B$3:$B$1315, "&lt;=" &amp; DC$1, DataRegularSeason20242025!$E$3:$E$1315, $A29)</f>
        <v>7</v>
      </c>
      <c r="DD29">
        <f>SUMIFS(DataRegularSeason20242025!$AA$3:$AA$1315,DataRegularSeason20242025!$B$3:$B$1315, "&lt;=" &amp; DD$1, DataRegularSeason20242025!$D$3:$D$1315, $A29)+SUMIFS(DataRegularSeason20242025!$AB$3:$AB$1315,DataRegularSeason20242025!$B$3:$B$1315, "&lt;=" &amp; DD$1, DataRegularSeason20242025!$E$3:$E$1315, $A29)</f>
        <v>7</v>
      </c>
      <c r="DE29">
        <f>SUMIFS(DataRegularSeason20242025!$AA$3:$AA$1315,DataRegularSeason20242025!$B$3:$B$1315, "&lt;=" &amp; DE$1, DataRegularSeason20242025!$D$3:$D$1315, $A29)+SUMIFS(DataRegularSeason20242025!$AB$3:$AB$1315,DataRegularSeason20242025!$B$3:$B$1315, "&lt;=" &amp; DE$1, DataRegularSeason20242025!$E$3:$E$1315, $A29)</f>
        <v>7</v>
      </c>
      <c r="DF29">
        <f>SUMIFS(DataRegularSeason20242025!$AA$3:$AA$1315,DataRegularSeason20242025!$B$3:$B$1315, "&lt;=" &amp; DF$1, DataRegularSeason20242025!$D$3:$D$1315, $A29)+SUMIFS(DataRegularSeason20242025!$AB$3:$AB$1315,DataRegularSeason20242025!$B$3:$B$1315, "&lt;=" &amp; DF$1, DataRegularSeason20242025!$E$3:$E$1315, $A29)</f>
        <v>7</v>
      </c>
      <c r="DG29">
        <f>SUMIFS(DataRegularSeason20242025!$AA$3:$AA$1315,DataRegularSeason20242025!$B$3:$B$1315, "&lt;=" &amp; DG$1, DataRegularSeason20242025!$D$3:$D$1315, $A29)+SUMIFS(DataRegularSeason20242025!$AB$3:$AB$1315,DataRegularSeason20242025!$B$3:$B$1315, "&lt;=" &amp; DG$1, DataRegularSeason20242025!$E$3:$E$1315, $A29)</f>
        <v>7</v>
      </c>
      <c r="DH29">
        <f>SUMIFS(DataRegularSeason20242025!$AA$3:$AA$1315,DataRegularSeason20242025!$B$3:$B$1315, "&lt;=" &amp; DH$1, DataRegularSeason20242025!$D$3:$D$1315, $A29)+SUMIFS(DataRegularSeason20242025!$AB$3:$AB$1315,DataRegularSeason20242025!$B$3:$B$1315, "&lt;=" &amp; DH$1, DataRegularSeason20242025!$E$3:$E$1315, $A29)</f>
        <v>7</v>
      </c>
      <c r="DI29">
        <f>SUMIFS(DataRegularSeason20242025!$AA$3:$AA$1315,DataRegularSeason20242025!$B$3:$B$1315, "&lt;=" &amp; DI$1, DataRegularSeason20242025!$D$3:$D$1315, $A29)+SUMIFS(DataRegularSeason20242025!$AB$3:$AB$1315,DataRegularSeason20242025!$B$3:$B$1315, "&lt;=" &amp; DI$1, DataRegularSeason20242025!$E$3:$E$1315, $A29)</f>
        <v>7</v>
      </c>
      <c r="DJ29">
        <f>SUMIFS(DataRegularSeason20242025!$AA$3:$AA$1315,DataRegularSeason20242025!$B$3:$B$1315, "&lt;=" &amp; DJ$1, DataRegularSeason20242025!$D$3:$D$1315, $A29)+SUMIFS(DataRegularSeason20242025!$AB$3:$AB$1315,DataRegularSeason20242025!$B$3:$B$1315, "&lt;=" &amp; DJ$1, DataRegularSeason20242025!$E$3:$E$1315, $A29)</f>
        <v>7</v>
      </c>
      <c r="DK29">
        <f>SUMIFS(DataRegularSeason20242025!$AA$3:$AA$1315,DataRegularSeason20242025!$B$3:$B$1315, "&lt;=" &amp; DK$1, DataRegularSeason20242025!$D$3:$D$1315, $A29)+SUMIFS(DataRegularSeason20242025!$AB$3:$AB$1315,DataRegularSeason20242025!$B$3:$B$1315, "&lt;=" &amp; DK$1, DataRegularSeason20242025!$E$3:$E$1315, $A29)</f>
        <v>7</v>
      </c>
      <c r="DL29">
        <f>SUMIFS(DataRegularSeason20242025!$AA$3:$AA$1315,DataRegularSeason20242025!$B$3:$B$1315, "&lt;=" &amp; DL$1, DataRegularSeason20242025!$D$3:$D$1315, $A29)+SUMIFS(DataRegularSeason20242025!$AB$3:$AB$1315,DataRegularSeason20242025!$B$3:$B$1315, "&lt;=" &amp; DL$1, DataRegularSeason20242025!$E$3:$E$1315, $A29)</f>
        <v>7</v>
      </c>
      <c r="DM29">
        <f>SUMIFS(DataRegularSeason20242025!$AA$3:$AA$1315,DataRegularSeason20242025!$B$3:$B$1315, "&lt;=" &amp; DM$1, DataRegularSeason20242025!$D$3:$D$1315, $A29)+SUMIFS(DataRegularSeason20242025!$AB$3:$AB$1315,DataRegularSeason20242025!$B$3:$B$1315, "&lt;=" &amp; DM$1, DataRegularSeason20242025!$E$3:$E$1315, $A29)</f>
        <v>7</v>
      </c>
      <c r="DN29">
        <f>SUMIFS(DataRegularSeason20242025!$AA$3:$AA$1315,DataRegularSeason20242025!$B$3:$B$1315, "&lt;=" &amp; DN$1, DataRegularSeason20242025!$D$3:$D$1315, $A29)+SUMIFS(DataRegularSeason20242025!$AB$3:$AB$1315,DataRegularSeason20242025!$B$3:$B$1315, "&lt;=" &amp; DN$1, DataRegularSeason20242025!$E$3:$E$1315, $A29)</f>
        <v>7</v>
      </c>
      <c r="DO29">
        <f>SUMIFS(DataRegularSeason20242025!$AA$3:$AA$1315,DataRegularSeason20242025!$B$3:$B$1315, "&lt;=" &amp; DO$1, DataRegularSeason20242025!$D$3:$D$1315, $A29)+SUMIFS(DataRegularSeason20242025!$AB$3:$AB$1315,DataRegularSeason20242025!$B$3:$B$1315, "&lt;=" &amp; DO$1, DataRegularSeason20242025!$E$3:$E$1315, $A29)</f>
        <v>7</v>
      </c>
      <c r="DP29">
        <f>SUMIFS(DataRegularSeason20242025!$AA$3:$AA$1315,DataRegularSeason20242025!$B$3:$B$1315, "&lt;=" &amp; DP$1, DataRegularSeason20242025!$D$3:$D$1315, $A29)+SUMIFS(DataRegularSeason20242025!$AB$3:$AB$1315,DataRegularSeason20242025!$B$3:$B$1315, "&lt;=" &amp; DP$1, DataRegularSeason20242025!$E$3:$E$1315, $A29)</f>
        <v>7</v>
      </c>
      <c r="DQ29">
        <f>SUMIFS(DataRegularSeason20242025!$AA$3:$AA$1315,DataRegularSeason20242025!$B$3:$B$1315, "&lt;=" &amp; DQ$1, DataRegularSeason20242025!$D$3:$D$1315, $A29)+SUMIFS(DataRegularSeason20242025!$AB$3:$AB$1315,DataRegularSeason20242025!$B$3:$B$1315, "&lt;=" &amp; DQ$1, DataRegularSeason20242025!$E$3:$E$1315, $A29)</f>
        <v>7</v>
      </c>
      <c r="DR29">
        <f>SUMIFS(DataRegularSeason20242025!$AA$3:$AA$1315,DataRegularSeason20242025!$B$3:$B$1315, "&lt;=" &amp; DR$1, DataRegularSeason20242025!$D$3:$D$1315, $A29)+SUMIFS(DataRegularSeason20242025!$AB$3:$AB$1315,DataRegularSeason20242025!$B$3:$B$1315, "&lt;=" &amp; DR$1, DataRegularSeason20242025!$E$3:$E$1315, $A29)</f>
        <v>7</v>
      </c>
      <c r="DS29">
        <f>SUMIFS(DataRegularSeason20242025!$AA$3:$AA$1315,DataRegularSeason20242025!$B$3:$B$1315, "&lt;=" &amp; DS$1, DataRegularSeason20242025!$D$3:$D$1315, $A29)+SUMIFS(DataRegularSeason20242025!$AB$3:$AB$1315,DataRegularSeason20242025!$B$3:$B$1315, "&lt;=" &amp; DS$1, DataRegularSeason20242025!$E$3:$E$1315, $A29)</f>
        <v>7</v>
      </c>
      <c r="DT29">
        <f>SUMIFS(DataRegularSeason20242025!$AA$3:$AA$1315,DataRegularSeason20242025!$B$3:$B$1315, "&lt;=" &amp; DT$1, DataRegularSeason20242025!$D$3:$D$1315, $A29)+SUMIFS(DataRegularSeason20242025!$AB$3:$AB$1315,DataRegularSeason20242025!$B$3:$B$1315, "&lt;=" &amp; DT$1, DataRegularSeason20242025!$E$3:$E$1315, $A29)</f>
        <v>7</v>
      </c>
      <c r="DU29">
        <f>SUMIFS(DataRegularSeason20242025!$AA$3:$AA$1315,DataRegularSeason20242025!$B$3:$B$1315, "&lt;=" &amp; DU$1, DataRegularSeason20242025!$D$3:$D$1315, $A29)+SUMIFS(DataRegularSeason20242025!$AB$3:$AB$1315,DataRegularSeason20242025!$B$3:$B$1315, "&lt;=" &amp; DU$1, DataRegularSeason20242025!$E$3:$E$1315, $A29)</f>
        <v>7</v>
      </c>
      <c r="DV29">
        <f>SUMIFS(DataRegularSeason20242025!$AA$3:$AA$1315,DataRegularSeason20242025!$B$3:$B$1315, "&lt;=" &amp; DV$1, DataRegularSeason20242025!$D$3:$D$1315, $A29)+SUMIFS(DataRegularSeason20242025!$AB$3:$AB$1315,DataRegularSeason20242025!$B$3:$B$1315, "&lt;=" &amp; DV$1, DataRegularSeason20242025!$E$3:$E$1315, $A29)</f>
        <v>7</v>
      </c>
      <c r="DW29">
        <f>SUMIFS(DataRegularSeason20242025!$AA$3:$AA$1315,DataRegularSeason20242025!$B$3:$B$1315, "&lt;=" &amp; DW$1, DataRegularSeason20242025!$D$3:$D$1315, $A29)+SUMIFS(DataRegularSeason20242025!$AB$3:$AB$1315,DataRegularSeason20242025!$B$3:$B$1315, "&lt;=" &amp; DW$1, DataRegularSeason20242025!$E$3:$E$1315, $A29)</f>
        <v>7</v>
      </c>
      <c r="DX29">
        <f>SUMIFS(DataRegularSeason20242025!$AA$3:$AA$1315,DataRegularSeason20242025!$B$3:$B$1315, "&lt;=" &amp; DX$1, DataRegularSeason20242025!$D$3:$D$1315, $A29)+SUMIFS(DataRegularSeason20242025!$AB$3:$AB$1315,DataRegularSeason20242025!$B$3:$B$1315, "&lt;=" &amp; DX$1, DataRegularSeason20242025!$E$3:$E$1315, $A29)</f>
        <v>7</v>
      </c>
      <c r="DY29">
        <f>SUMIFS(DataRegularSeason20242025!$AA$3:$AA$1315,DataRegularSeason20242025!$B$3:$B$1315, "&lt;=" &amp; DY$1, DataRegularSeason20242025!$D$3:$D$1315, $A29)+SUMIFS(DataRegularSeason20242025!$AB$3:$AB$1315,DataRegularSeason20242025!$B$3:$B$1315, "&lt;=" &amp; DY$1, DataRegularSeason20242025!$E$3:$E$1315, $A29)</f>
        <v>7</v>
      </c>
      <c r="DZ29">
        <f>SUMIFS(DataRegularSeason20242025!$AA$3:$AA$1315,DataRegularSeason20242025!$B$3:$B$1315, "&lt;=" &amp; DZ$1, DataRegularSeason20242025!$D$3:$D$1315, $A29)+SUMIFS(DataRegularSeason20242025!$AB$3:$AB$1315,DataRegularSeason20242025!$B$3:$B$1315, "&lt;=" &amp; DZ$1, DataRegularSeason20242025!$E$3:$E$1315, $A29)</f>
        <v>7</v>
      </c>
      <c r="EA29">
        <f>SUMIFS(DataRegularSeason20242025!$AA$3:$AA$1315,DataRegularSeason20242025!$B$3:$B$1315, "&lt;=" &amp; EA$1, DataRegularSeason20242025!$D$3:$D$1315, $A29)+SUMIFS(DataRegularSeason20242025!$AB$3:$AB$1315,DataRegularSeason20242025!$B$3:$B$1315, "&lt;=" &amp; EA$1, DataRegularSeason20242025!$E$3:$E$1315, $A29)</f>
        <v>7</v>
      </c>
      <c r="EB29">
        <f>SUMIFS(DataRegularSeason20242025!$AA$3:$AA$1315,DataRegularSeason20242025!$B$3:$B$1315, "&lt;=" &amp; EB$1, DataRegularSeason20242025!$D$3:$D$1315, $A29)+SUMIFS(DataRegularSeason20242025!$AB$3:$AB$1315,DataRegularSeason20242025!$B$3:$B$1315, "&lt;=" &amp; EB$1, DataRegularSeason20242025!$E$3:$E$1315, $A29)</f>
        <v>7</v>
      </c>
      <c r="EC29">
        <f>SUMIFS(DataRegularSeason20242025!$AA$3:$AA$1315,DataRegularSeason20242025!$B$3:$B$1315, "&lt;=" &amp; EC$1, DataRegularSeason20242025!$D$3:$D$1315, $A29)+SUMIFS(DataRegularSeason20242025!$AB$3:$AB$1315,DataRegularSeason20242025!$B$3:$B$1315, "&lt;=" &amp; EC$1, DataRegularSeason20242025!$E$3:$E$1315, $A29)</f>
        <v>7</v>
      </c>
      <c r="ED29">
        <f>SUMIFS(DataRegularSeason20242025!$AA$3:$AA$1315,DataRegularSeason20242025!$B$3:$B$1315, "&lt;=" &amp; ED$1, DataRegularSeason20242025!$D$3:$D$1315, $A29)+SUMIFS(DataRegularSeason20242025!$AB$3:$AB$1315,DataRegularSeason20242025!$B$3:$B$1315, "&lt;=" &amp; ED$1, DataRegularSeason20242025!$E$3:$E$1315, $A29)</f>
        <v>7</v>
      </c>
      <c r="EE29">
        <f>SUMIFS(DataRegularSeason20242025!$AA$3:$AA$1315,DataRegularSeason20242025!$B$3:$B$1315, "&lt;=" &amp; EE$1, DataRegularSeason20242025!$D$3:$D$1315, $A29)+SUMIFS(DataRegularSeason20242025!$AB$3:$AB$1315,DataRegularSeason20242025!$B$3:$B$1315, "&lt;=" &amp; EE$1, DataRegularSeason20242025!$E$3:$E$1315, $A29)</f>
        <v>7</v>
      </c>
      <c r="EF29">
        <f>SUMIFS(DataRegularSeason20242025!$AA$3:$AA$1315,DataRegularSeason20242025!$B$3:$B$1315, "&lt;=" &amp; EF$1, DataRegularSeason20242025!$D$3:$D$1315, $A29)+SUMIFS(DataRegularSeason20242025!$AB$3:$AB$1315,DataRegularSeason20242025!$B$3:$B$1315, "&lt;=" &amp; EF$1, DataRegularSeason20242025!$E$3:$E$1315, $A29)</f>
        <v>7</v>
      </c>
      <c r="EG29">
        <f>SUMIFS(DataRegularSeason20242025!$AA$3:$AA$1315,DataRegularSeason20242025!$B$3:$B$1315, "&lt;=" &amp; EG$1, DataRegularSeason20242025!$D$3:$D$1315, $A29)+SUMIFS(DataRegularSeason20242025!$AB$3:$AB$1315,DataRegularSeason20242025!$B$3:$B$1315, "&lt;=" &amp; EG$1, DataRegularSeason20242025!$E$3:$E$1315, $A29)</f>
        <v>7</v>
      </c>
      <c r="EH29">
        <f>SUMIFS(DataRegularSeason20242025!$AA$3:$AA$1315,DataRegularSeason20242025!$B$3:$B$1315, "&lt;=" &amp; EH$1, DataRegularSeason20242025!$D$3:$D$1315, $A29)+SUMIFS(DataRegularSeason20242025!$AB$3:$AB$1315,DataRegularSeason20242025!$B$3:$B$1315, "&lt;=" &amp; EH$1, DataRegularSeason20242025!$E$3:$E$1315, $A29)</f>
        <v>7</v>
      </c>
      <c r="EI29">
        <f>SUMIFS(DataRegularSeason20242025!$AA$3:$AA$1315,DataRegularSeason20242025!$B$3:$B$1315, "&lt;=" &amp; EI$1, DataRegularSeason20242025!$D$3:$D$1315, $A29)+SUMIFS(DataRegularSeason20242025!$AB$3:$AB$1315,DataRegularSeason20242025!$B$3:$B$1315, "&lt;=" &amp; EI$1, DataRegularSeason20242025!$E$3:$E$1315, $A29)</f>
        <v>7</v>
      </c>
      <c r="EJ29">
        <f>SUMIFS(DataRegularSeason20242025!$AA$3:$AA$1315,DataRegularSeason20242025!$B$3:$B$1315, "&lt;=" &amp; EJ$1, DataRegularSeason20242025!$D$3:$D$1315, $A29)+SUMIFS(DataRegularSeason20242025!$AB$3:$AB$1315,DataRegularSeason20242025!$B$3:$B$1315, "&lt;=" &amp; EJ$1, DataRegularSeason20242025!$E$3:$E$1315, $A29)</f>
        <v>7</v>
      </c>
      <c r="EK29">
        <f>SUMIFS(DataRegularSeason20242025!$AA$3:$AA$1315,DataRegularSeason20242025!$B$3:$B$1315, "&lt;=" &amp; EK$1, DataRegularSeason20242025!$D$3:$D$1315, $A29)+SUMIFS(DataRegularSeason20242025!$AB$3:$AB$1315,DataRegularSeason20242025!$B$3:$B$1315, "&lt;=" &amp; EK$1, DataRegularSeason20242025!$E$3:$E$1315, $A29)</f>
        <v>7</v>
      </c>
      <c r="EL29">
        <f>SUMIFS(DataRegularSeason20242025!$AA$3:$AA$1315,DataRegularSeason20242025!$B$3:$B$1315, "&lt;=" &amp; EL$1, DataRegularSeason20242025!$D$3:$D$1315, $A29)+SUMIFS(DataRegularSeason20242025!$AB$3:$AB$1315,DataRegularSeason20242025!$B$3:$B$1315, "&lt;=" &amp; EL$1, DataRegularSeason20242025!$E$3:$E$1315, $A29)</f>
        <v>7</v>
      </c>
      <c r="EM29">
        <f>SUMIFS(DataRegularSeason20242025!$AA$3:$AA$1315,DataRegularSeason20242025!$B$3:$B$1315, "&lt;=" &amp; EM$1, DataRegularSeason20242025!$D$3:$D$1315, $A29)+SUMIFS(DataRegularSeason20242025!$AB$3:$AB$1315,DataRegularSeason20242025!$B$3:$B$1315, "&lt;=" &amp; EM$1, DataRegularSeason20242025!$E$3:$E$1315, $A29)</f>
        <v>7</v>
      </c>
      <c r="EN29">
        <f>SUMIFS(DataRegularSeason20242025!$AA$3:$AA$1315,DataRegularSeason20242025!$B$3:$B$1315, "&lt;=" &amp; EN$1, DataRegularSeason20242025!$D$3:$D$1315, $A29)+SUMIFS(DataRegularSeason20242025!$AB$3:$AB$1315,DataRegularSeason20242025!$B$3:$B$1315, "&lt;=" &amp; EN$1, DataRegularSeason20242025!$E$3:$E$1315, $A29)</f>
        <v>7</v>
      </c>
      <c r="EO29">
        <f>SUMIFS(DataRegularSeason20242025!$AA$3:$AA$1315,DataRegularSeason20242025!$B$3:$B$1315, "&lt;=" &amp; EO$1, DataRegularSeason20242025!$D$3:$D$1315, $A29)+SUMIFS(DataRegularSeason20242025!$AB$3:$AB$1315,DataRegularSeason20242025!$B$3:$B$1315, "&lt;=" &amp; EO$1, DataRegularSeason20242025!$E$3:$E$1315, $A29)</f>
        <v>7</v>
      </c>
      <c r="EP29">
        <f>SUMIFS(DataRegularSeason20242025!$AA$3:$AA$1315,DataRegularSeason20242025!$B$3:$B$1315, "&lt;=" &amp; EP$1, DataRegularSeason20242025!$D$3:$D$1315, $A29)+SUMIFS(DataRegularSeason20242025!$AB$3:$AB$1315,DataRegularSeason20242025!$B$3:$B$1315, "&lt;=" &amp; EP$1, DataRegularSeason20242025!$E$3:$E$1315, $A29)</f>
        <v>7</v>
      </c>
      <c r="EQ29">
        <f>SUMIFS(DataRegularSeason20242025!$AA$3:$AA$1315,DataRegularSeason20242025!$B$3:$B$1315, "&lt;=" &amp; EQ$1, DataRegularSeason20242025!$D$3:$D$1315, $A29)+SUMIFS(DataRegularSeason20242025!$AB$3:$AB$1315,DataRegularSeason20242025!$B$3:$B$1315, "&lt;=" &amp; EQ$1, DataRegularSeason20242025!$E$3:$E$1315, $A29)</f>
        <v>7</v>
      </c>
      <c r="ER29">
        <f>SUMIFS(DataRegularSeason20242025!$AA$3:$AA$1315,DataRegularSeason20242025!$B$3:$B$1315, "&lt;=" &amp; ER$1, DataRegularSeason20242025!$D$3:$D$1315, $A29)+SUMIFS(DataRegularSeason20242025!$AB$3:$AB$1315,DataRegularSeason20242025!$B$3:$B$1315, "&lt;=" &amp; ER$1, DataRegularSeason20242025!$E$3:$E$1315, $A29)</f>
        <v>7</v>
      </c>
      <c r="ES29">
        <f>SUMIFS(DataRegularSeason20242025!$AA$3:$AA$1315,DataRegularSeason20242025!$B$3:$B$1315, "&lt;=" &amp; ES$1, DataRegularSeason20242025!$D$3:$D$1315, $A29)+SUMIFS(DataRegularSeason20242025!$AB$3:$AB$1315,DataRegularSeason20242025!$B$3:$B$1315, "&lt;=" &amp; ES$1, DataRegularSeason20242025!$E$3:$E$1315, $A29)</f>
        <v>7</v>
      </c>
      <c r="ET29">
        <f>SUMIFS(DataRegularSeason20242025!$AA$3:$AA$1315,DataRegularSeason20242025!$B$3:$B$1315, "&lt;=" &amp; ET$1, DataRegularSeason20242025!$D$3:$D$1315, $A29)+SUMIFS(DataRegularSeason20242025!$AB$3:$AB$1315,DataRegularSeason20242025!$B$3:$B$1315, "&lt;=" &amp; ET$1, DataRegularSeason20242025!$E$3:$E$1315, $A29)</f>
        <v>7</v>
      </c>
      <c r="EU29">
        <f>SUMIFS(DataRegularSeason20242025!$AA$3:$AA$1315,DataRegularSeason20242025!$B$3:$B$1315, "&lt;=" &amp; EU$1, DataRegularSeason20242025!$D$3:$D$1315, $A29)+SUMIFS(DataRegularSeason20242025!$AB$3:$AB$1315,DataRegularSeason20242025!$B$3:$B$1315, "&lt;=" &amp; EU$1, DataRegularSeason20242025!$E$3:$E$1315, $A29)</f>
        <v>7</v>
      </c>
      <c r="EV29">
        <f>SUMIFS(DataRegularSeason20242025!$AA$3:$AA$1315,DataRegularSeason20242025!$B$3:$B$1315, "&lt;=" &amp; EV$1, DataRegularSeason20242025!$D$3:$D$1315, $A29)+SUMIFS(DataRegularSeason20242025!$AB$3:$AB$1315,DataRegularSeason20242025!$B$3:$B$1315, "&lt;=" &amp; EV$1, DataRegularSeason20242025!$E$3:$E$1315, $A29)</f>
        <v>7</v>
      </c>
      <c r="EW29">
        <f>SUMIFS(DataRegularSeason20242025!$AA$3:$AA$1315,DataRegularSeason20242025!$B$3:$B$1315, "&lt;=" &amp; EW$1, DataRegularSeason20242025!$D$3:$D$1315, $A29)+SUMIFS(DataRegularSeason20242025!$AB$3:$AB$1315,DataRegularSeason20242025!$B$3:$B$1315, "&lt;=" &amp; EW$1, DataRegularSeason20242025!$E$3:$E$1315, $A29)</f>
        <v>7</v>
      </c>
      <c r="EX29">
        <f>SUMIFS(DataRegularSeason20242025!$AA$3:$AA$1315,DataRegularSeason20242025!$B$3:$B$1315, "&lt;=" &amp; EX$1, DataRegularSeason20242025!$D$3:$D$1315, $A29)+SUMIFS(DataRegularSeason20242025!$AB$3:$AB$1315,DataRegularSeason20242025!$B$3:$B$1315, "&lt;=" &amp; EX$1, DataRegularSeason20242025!$E$3:$E$1315, $A29)</f>
        <v>7</v>
      </c>
      <c r="EY29">
        <f>SUMIFS(DataRegularSeason20242025!$AA$3:$AA$1315,DataRegularSeason20242025!$B$3:$B$1315, "&lt;=" &amp; EY$1, DataRegularSeason20242025!$D$3:$D$1315, $A29)+SUMIFS(DataRegularSeason20242025!$AB$3:$AB$1315,DataRegularSeason20242025!$B$3:$B$1315, "&lt;=" &amp; EY$1, DataRegularSeason20242025!$E$3:$E$1315, $A29)</f>
        <v>7</v>
      </c>
      <c r="EZ29">
        <f>SUMIFS(DataRegularSeason20242025!$AA$3:$AA$1315,DataRegularSeason20242025!$B$3:$B$1315, "&lt;=" &amp; EZ$1, DataRegularSeason20242025!$D$3:$D$1315, $A29)+SUMIFS(DataRegularSeason20242025!$AB$3:$AB$1315,DataRegularSeason20242025!$B$3:$B$1315, "&lt;=" &amp; EZ$1, DataRegularSeason20242025!$E$3:$E$1315, $A29)</f>
        <v>7</v>
      </c>
      <c r="FA29">
        <f>SUMIFS(DataRegularSeason20242025!$AA$3:$AA$1315,DataRegularSeason20242025!$B$3:$B$1315, "&lt;=" &amp; FA$1, DataRegularSeason20242025!$D$3:$D$1315, $A29)+SUMIFS(DataRegularSeason20242025!$AB$3:$AB$1315,DataRegularSeason20242025!$B$3:$B$1315, "&lt;=" &amp; FA$1, DataRegularSeason20242025!$E$3:$E$1315, $A29)</f>
        <v>7</v>
      </c>
      <c r="FB29">
        <f>SUMIFS(DataRegularSeason20242025!$AA$3:$AA$1315,DataRegularSeason20242025!$B$3:$B$1315, "&lt;=" &amp; FB$1, DataRegularSeason20242025!$D$3:$D$1315, $A29)+SUMIFS(DataRegularSeason20242025!$AB$3:$AB$1315,DataRegularSeason20242025!$B$3:$B$1315, "&lt;=" &amp; FB$1, DataRegularSeason20242025!$E$3:$E$1315, $A29)</f>
        <v>7</v>
      </c>
      <c r="FC29">
        <f>SUMIFS(DataRegularSeason20242025!$AA$3:$AA$1315,DataRegularSeason20242025!$B$3:$B$1315, "&lt;=" &amp; FC$1, DataRegularSeason20242025!$D$3:$D$1315, $A29)+SUMIFS(DataRegularSeason20242025!$AB$3:$AB$1315,DataRegularSeason20242025!$B$3:$B$1315, "&lt;=" &amp; FC$1, DataRegularSeason20242025!$E$3:$E$1315, $A29)</f>
        <v>7</v>
      </c>
      <c r="FD29">
        <f>SUMIFS(DataRegularSeason20242025!$AA$3:$AA$1315,DataRegularSeason20242025!$B$3:$B$1315, "&lt;=" &amp; FD$1, DataRegularSeason20242025!$D$3:$D$1315, $A29)+SUMIFS(DataRegularSeason20242025!$AB$3:$AB$1315,DataRegularSeason20242025!$B$3:$B$1315, "&lt;=" &amp; FD$1, DataRegularSeason20242025!$E$3:$E$1315, $A29)</f>
        <v>7</v>
      </c>
      <c r="FE29">
        <f>SUMIFS(DataRegularSeason20242025!$AA$3:$AA$1315,DataRegularSeason20242025!$B$3:$B$1315, "&lt;=" &amp; FE$1, DataRegularSeason20242025!$D$3:$D$1315, $A29)+SUMIFS(DataRegularSeason20242025!$AB$3:$AB$1315,DataRegularSeason20242025!$B$3:$B$1315, "&lt;=" &amp; FE$1, DataRegularSeason20242025!$E$3:$E$1315, $A29)</f>
        <v>7</v>
      </c>
      <c r="FF29">
        <f>SUMIFS(DataRegularSeason20242025!$AA$3:$AA$1315,DataRegularSeason20242025!$B$3:$B$1315, "&lt;=" &amp; FF$1, DataRegularSeason20242025!$D$3:$D$1315, $A29)+SUMIFS(DataRegularSeason20242025!$AB$3:$AB$1315,DataRegularSeason20242025!$B$3:$B$1315, "&lt;=" &amp; FF$1, DataRegularSeason20242025!$E$3:$E$1315, $A29)</f>
        <v>7</v>
      </c>
      <c r="FG29">
        <f>SUMIFS(DataRegularSeason20242025!$AA$3:$AA$1315,DataRegularSeason20242025!$B$3:$B$1315, "&lt;=" &amp; FG$1, DataRegularSeason20242025!$D$3:$D$1315, $A29)+SUMIFS(DataRegularSeason20242025!$AB$3:$AB$1315,DataRegularSeason20242025!$B$3:$B$1315, "&lt;=" &amp; FG$1, DataRegularSeason20242025!$E$3:$E$1315, $A29)</f>
        <v>7</v>
      </c>
      <c r="FH29">
        <f>SUMIFS(DataRegularSeason20242025!$AA$3:$AA$1315,DataRegularSeason20242025!$B$3:$B$1315, "&lt;=" &amp; FH$1, DataRegularSeason20242025!$D$3:$D$1315, $A29)+SUMIFS(DataRegularSeason20242025!$AB$3:$AB$1315,DataRegularSeason20242025!$B$3:$B$1315, "&lt;=" &amp; FH$1, DataRegularSeason20242025!$E$3:$E$1315, $A29)</f>
        <v>7</v>
      </c>
      <c r="FI29">
        <f>SUMIFS(DataRegularSeason20242025!$AA$3:$AA$1315,DataRegularSeason20242025!$B$3:$B$1315, "&lt;=" &amp; FI$1, DataRegularSeason20242025!$D$3:$D$1315, $A29)+SUMIFS(DataRegularSeason20242025!$AB$3:$AB$1315,DataRegularSeason20242025!$B$3:$B$1315, "&lt;=" &amp; FI$1, DataRegularSeason20242025!$E$3:$E$1315, $A29)</f>
        <v>7</v>
      </c>
      <c r="FJ29">
        <f>SUMIFS(DataRegularSeason20242025!$AA$3:$AA$1315,DataRegularSeason20242025!$B$3:$B$1315, "&lt;=" &amp; FJ$1, DataRegularSeason20242025!$D$3:$D$1315, $A29)+SUMIFS(DataRegularSeason20242025!$AB$3:$AB$1315,DataRegularSeason20242025!$B$3:$B$1315, "&lt;=" &amp; FJ$1, DataRegularSeason20242025!$E$3:$E$1315, $A29)</f>
        <v>7</v>
      </c>
      <c r="FK29">
        <f>SUMIFS(DataRegularSeason20242025!$AA$3:$AA$1315,DataRegularSeason20242025!$B$3:$B$1315, "&lt;=" &amp; FK$1, DataRegularSeason20242025!$D$3:$D$1315, $A29)+SUMIFS(DataRegularSeason20242025!$AB$3:$AB$1315,DataRegularSeason20242025!$B$3:$B$1315, "&lt;=" &amp; FK$1, DataRegularSeason20242025!$E$3:$E$1315, $A29)</f>
        <v>7</v>
      </c>
      <c r="FL29">
        <f>SUMIFS(DataRegularSeason20242025!$AA$3:$AA$1315,DataRegularSeason20242025!$B$3:$B$1315, "&lt;=" &amp; FL$1, DataRegularSeason20242025!$D$3:$D$1315, $A29)+SUMIFS(DataRegularSeason20242025!$AB$3:$AB$1315,DataRegularSeason20242025!$B$3:$B$1315, "&lt;=" &amp; FL$1, DataRegularSeason20242025!$E$3:$E$1315, $A29)</f>
        <v>7</v>
      </c>
      <c r="FM29">
        <f>SUMIFS(DataRegularSeason20242025!$AA$3:$AA$1315,DataRegularSeason20242025!$B$3:$B$1315, "&lt;=" &amp; FM$1, DataRegularSeason20242025!$D$3:$D$1315, $A29)+SUMIFS(DataRegularSeason20242025!$AB$3:$AB$1315,DataRegularSeason20242025!$B$3:$B$1315, "&lt;=" &amp; FM$1, DataRegularSeason20242025!$E$3:$E$1315, $A29)</f>
        <v>7</v>
      </c>
      <c r="FN29">
        <f>SUMIFS(DataRegularSeason20242025!$AA$3:$AA$1315,DataRegularSeason20242025!$B$3:$B$1315, "&lt;=" &amp; FN$1, DataRegularSeason20242025!$D$3:$D$1315, $A29)+SUMIFS(DataRegularSeason20242025!$AB$3:$AB$1315,DataRegularSeason20242025!$B$3:$B$1315, "&lt;=" &amp; FN$1, DataRegularSeason20242025!$E$3:$E$1315, $A29)</f>
        <v>7</v>
      </c>
      <c r="FO29">
        <f>SUMIFS(DataRegularSeason20242025!$AA$3:$AA$1315,DataRegularSeason20242025!$B$3:$B$1315, "&lt;=" &amp; FO$1, DataRegularSeason20242025!$D$3:$D$1315, $A29)+SUMIFS(DataRegularSeason20242025!$AB$3:$AB$1315,DataRegularSeason20242025!$B$3:$B$1315, "&lt;=" &amp; FO$1, DataRegularSeason20242025!$E$3:$E$1315, $A29)</f>
        <v>7</v>
      </c>
      <c r="FP29">
        <f>SUMIFS(DataRegularSeason20242025!$AA$3:$AA$1315,DataRegularSeason20242025!$B$3:$B$1315, "&lt;=" &amp; FP$1, DataRegularSeason20242025!$D$3:$D$1315, $A29)+SUMIFS(DataRegularSeason20242025!$AB$3:$AB$1315,DataRegularSeason20242025!$B$3:$B$1315, "&lt;=" &amp; FP$1, DataRegularSeason20242025!$E$3:$E$1315, $A29)</f>
        <v>7</v>
      </c>
      <c r="FQ29">
        <f>SUMIFS(DataRegularSeason20242025!$AA$3:$AA$1315,DataRegularSeason20242025!$B$3:$B$1315, "&lt;=" &amp; FQ$1, DataRegularSeason20242025!$D$3:$D$1315, $A29)+SUMIFS(DataRegularSeason20242025!$AB$3:$AB$1315,DataRegularSeason20242025!$B$3:$B$1315, "&lt;=" &amp; FQ$1, DataRegularSeason20242025!$E$3:$E$1315, $A29)</f>
        <v>7</v>
      </c>
      <c r="FR29">
        <f>SUMIFS(DataRegularSeason20242025!$AA$3:$AA$1315,DataRegularSeason20242025!$B$3:$B$1315, "&lt;=" &amp; FR$1, DataRegularSeason20242025!$D$3:$D$1315, $A29)+SUMIFS(DataRegularSeason20242025!$AB$3:$AB$1315,DataRegularSeason20242025!$B$3:$B$1315, "&lt;=" &amp; FR$1, DataRegularSeason20242025!$E$3:$E$1315, $A29)</f>
        <v>7</v>
      </c>
      <c r="FS29">
        <f>SUMIFS(DataRegularSeason20242025!$AA$3:$AA$1315,DataRegularSeason20242025!$B$3:$B$1315, "&lt;=" &amp; FS$1, DataRegularSeason20242025!$D$3:$D$1315, $A29)+SUMIFS(DataRegularSeason20242025!$AB$3:$AB$1315,DataRegularSeason20242025!$B$3:$B$1315, "&lt;=" &amp; FS$1, DataRegularSeason20242025!$E$3:$E$1315, $A29)</f>
        <v>7</v>
      </c>
      <c r="FT29">
        <f>SUMIFS(DataRegularSeason20242025!$AA$3:$AA$1315,DataRegularSeason20242025!$B$3:$B$1315, "&lt;=" &amp; FT$1, DataRegularSeason20242025!$D$3:$D$1315, $A29)+SUMIFS(DataRegularSeason20242025!$AB$3:$AB$1315,DataRegularSeason20242025!$B$3:$B$1315, "&lt;=" &amp; FT$1, DataRegularSeason20242025!$E$3:$E$1315, $A29)</f>
        <v>7</v>
      </c>
      <c r="FU29">
        <f>SUMIFS(DataRegularSeason20242025!$AA$3:$AA$1315,DataRegularSeason20242025!$B$3:$B$1315, "&lt;=" &amp; FU$1, DataRegularSeason20242025!$D$3:$D$1315, $A29)+SUMIFS(DataRegularSeason20242025!$AB$3:$AB$1315,DataRegularSeason20242025!$B$3:$B$1315, "&lt;=" &amp; FU$1, DataRegularSeason20242025!$E$3:$E$1315, $A29)</f>
        <v>7</v>
      </c>
      <c r="FV29">
        <f>SUMIFS(DataRegularSeason20242025!$AA$3:$AA$1315,DataRegularSeason20242025!$B$3:$B$1315, "&lt;=" &amp; FV$1, DataRegularSeason20242025!$D$3:$D$1315, $A29)+SUMIFS(DataRegularSeason20242025!$AB$3:$AB$1315,DataRegularSeason20242025!$B$3:$B$1315, "&lt;=" &amp; FV$1, DataRegularSeason20242025!$E$3:$E$1315, $A29)</f>
        <v>7</v>
      </c>
      <c r="FW29">
        <f>SUMIFS(DataRegularSeason20242025!$AA$3:$AA$1315,DataRegularSeason20242025!$B$3:$B$1315, "&lt;=" &amp; FW$1, DataRegularSeason20242025!$D$3:$D$1315, $A29)+SUMIFS(DataRegularSeason20242025!$AB$3:$AB$1315,DataRegularSeason20242025!$B$3:$B$1315, "&lt;=" &amp; FW$1, DataRegularSeason20242025!$E$3:$E$1315, $A29)</f>
        <v>7</v>
      </c>
      <c r="FX29">
        <f>SUMIFS(DataRegularSeason20242025!$AA$3:$AA$1315,DataRegularSeason20242025!$B$3:$B$1315, "&lt;=" &amp; FX$1, DataRegularSeason20242025!$D$3:$D$1315, $A29)+SUMIFS(DataRegularSeason20242025!$AB$3:$AB$1315,DataRegularSeason20242025!$B$3:$B$1315, "&lt;=" &amp; FX$1, DataRegularSeason20242025!$E$3:$E$1315, $A29)</f>
        <v>7</v>
      </c>
      <c r="FY29">
        <f>SUMIFS(DataRegularSeason20242025!$AA$3:$AA$1315,DataRegularSeason20242025!$B$3:$B$1315, "&lt;=" &amp; FY$1, DataRegularSeason20242025!$D$3:$D$1315, $A29)+SUMIFS(DataRegularSeason20242025!$AB$3:$AB$1315,DataRegularSeason20242025!$B$3:$B$1315, "&lt;=" &amp; FY$1, DataRegularSeason20242025!$E$3:$E$1315, $A29)</f>
        <v>7</v>
      </c>
      <c r="FZ29">
        <f>SUMIFS(DataRegularSeason20242025!$AA$3:$AA$1315,DataRegularSeason20242025!$B$3:$B$1315, "&lt;=" &amp; FZ$1, DataRegularSeason20242025!$D$3:$D$1315, $A29)+SUMIFS(DataRegularSeason20242025!$AB$3:$AB$1315,DataRegularSeason20242025!$B$3:$B$1315, "&lt;=" &amp; FZ$1, DataRegularSeason20242025!$E$3:$E$1315, $A29)</f>
        <v>7</v>
      </c>
      <c r="GA29">
        <f>SUMIFS(DataRegularSeason20242025!$AA$3:$AA$1315,DataRegularSeason20242025!$B$3:$B$1315, "&lt;=" &amp; GA$1, DataRegularSeason20242025!$D$3:$D$1315, $A29)+SUMIFS(DataRegularSeason20242025!$AB$3:$AB$1315,DataRegularSeason20242025!$B$3:$B$1315, "&lt;=" &amp; GA$1, DataRegularSeason20242025!$E$3:$E$1315, $A29)</f>
        <v>7</v>
      </c>
      <c r="GB29">
        <f>SUMIFS(DataRegularSeason20242025!$AA$3:$AA$1315,DataRegularSeason20242025!$B$3:$B$1315, "&lt;=" &amp; GB$1, DataRegularSeason20242025!$D$3:$D$1315, $A29)+SUMIFS(DataRegularSeason20242025!$AB$3:$AB$1315,DataRegularSeason20242025!$B$3:$B$1315, "&lt;=" &amp; GB$1, DataRegularSeason20242025!$E$3:$E$1315, $A29)</f>
        <v>7</v>
      </c>
      <c r="GC29">
        <f>SUMIFS(DataRegularSeason20242025!$AA$3:$AA$1315,DataRegularSeason20242025!$B$3:$B$1315, "&lt;=" &amp; GC$1, DataRegularSeason20242025!$D$3:$D$1315, $A29)+SUMIFS(DataRegularSeason20242025!$AB$3:$AB$1315,DataRegularSeason20242025!$B$3:$B$1315, "&lt;=" &amp; GC$1, DataRegularSeason20242025!$E$3:$E$1315, $A29)</f>
        <v>7</v>
      </c>
      <c r="GD29">
        <f>SUMIFS(DataRegularSeason20242025!$AA$3:$AA$1315,DataRegularSeason20242025!$B$3:$B$1315, "&lt;=" &amp; GD$1, DataRegularSeason20242025!$D$3:$D$1315, $A29)+SUMIFS(DataRegularSeason20242025!$AB$3:$AB$1315,DataRegularSeason20242025!$B$3:$B$1315, "&lt;=" &amp; GD$1, DataRegularSeason20242025!$E$3:$E$1315, $A29)</f>
        <v>7</v>
      </c>
      <c r="GE29">
        <f>SUMIFS(DataRegularSeason20242025!$AA$3:$AA$1315,DataRegularSeason20242025!$B$3:$B$1315, "&lt;=" &amp; GE$1, DataRegularSeason20242025!$D$3:$D$1315, $A29)+SUMIFS(DataRegularSeason20242025!$AB$3:$AB$1315,DataRegularSeason20242025!$B$3:$B$1315, "&lt;=" &amp; GE$1, DataRegularSeason20242025!$E$3:$E$1315, $A29)</f>
        <v>7</v>
      </c>
      <c r="GF29">
        <f>SUMIFS(DataRegularSeason20242025!$AA$3:$AA$1315,DataRegularSeason20242025!$B$3:$B$1315, "&lt;=" &amp; GF$1, DataRegularSeason20242025!$D$3:$D$1315, $A29)+SUMIFS(DataRegularSeason20242025!$AB$3:$AB$1315,DataRegularSeason20242025!$B$3:$B$1315, "&lt;=" &amp; GF$1, DataRegularSeason20242025!$E$3:$E$1315, $A29)</f>
        <v>7</v>
      </c>
      <c r="GG29">
        <f>SUMIFS(DataRegularSeason20242025!$AA$3:$AA$1315,DataRegularSeason20242025!$B$3:$B$1315, "&lt;=" &amp; GG$1, DataRegularSeason20242025!$D$3:$D$1315, $A29)+SUMIFS(DataRegularSeason20242025!$AB$3:$AB$1315,DataRegularSeason20242025!$B$3:$B$1315, "&lt;=" &amp; GG$1, DataRegularSeason20242025!$E$3:$E$1315, $A29)</f>
        <v>7</v>
      </c>
      <c r="GH29">
        <f>SUMIFS(DataRegularSeason20242025!$AA$3:$AA$1315,DataRegularSeason20242025!$B$3:$B$1315, "&lt;=" &amp; GH$1, DataRegularSeason20242025!$D$3:$D$1315, $A29)+SUMIFS(DataRegularSeason20242025!$AB$3:$AB$1315,DataRegularSeason20242025!$B$3:$B$1315, "&lt;=" &amp; GH$1, DataRegularSeason20242025!$E$3:$E$1315, $A29)</f>
        <v>7</v>
      </c>
      <c r="GI29">
        <f>SUMIFS(DataRegularSeason20242025!$AA$3:$AA$1315,DataRegularSeason20242025!$B$3:$B$1315, "&lt;=" &amp; GI$1, DataRegularSeason20242025!$D$3:$D$1315, $A29)+SUMIFS(DataRegularSeason20242025!$AB$3:$AB$1315,DataRegularSeason20242025!$B$3:$B$1315, "&lt;=" &amp; GI$1, DataRegularSeason20242025!$E$3:$E$1315, $A29)</f>
        <v>7</v>
      </c>
      <c r="GJ29">
        <f>SUMIFS(DataRegularSeason20242025!$AA$3:$AA$1315,DataRegularSeason20242025!$B$3:$B$1315, "&lt;=" &amp; GJ$1, DataRegularSeason20242025!$D$3:$D$1315, $A29)+SUMIFS(DataRegularSeason20242025!$AB$3:$AB$1315,DataRegularSeason20242025!$B$3:$B$1315, "&lt;=" &amp; GJ$1, DataRegularSeason20242025!$E$3:$E$1315, $A29)</f>
        <v>7</v>
      </c>
      <c r="GK29">
        <f>SUMIFS(DataRegularSeason20242025!$AA$3:$AA$1315,DataRegularSeason20242025!$B$3:$B$1315, "&lt;=" &amp; GK$1, DataRegularSeason20242025!$D$3:$D$1315, $A29)+SUMIFS(DataRegularSeason20242025!$AB$3:$AB$1315,DataRegularSeason20242025!$B$3:$B$1315, "&lt;=" &amp; GK$1, DataRegularSeason20242025!$E$3:$E$1315, $A29)</f>
        <v>7</v>
      </c>
      <c r="GL29">
        <f>SUMIFS(DataRegularSeason20242025!$AA$3:$AA$1315,DataRegularSeason20242025!$B$3:$B$1315, "&lt;=" &amp; GL$1, DataRegularSeason20242025!$D$3:$D$1315, $A29)+SUMIFS(DataRegularSeason20242025!$AB$3:$AB$1315,DataRegularSeason20242025!$B$3:$B$1315, "&lt;=" &amp; GL$1, DataRegularSeason20242025!$E$3:$E$1315, $A29)</f>
        <v>7</v>
      </c>
      <c r="GM29">
        <f>SUMIFS(DataRegularSeason20242025!$AA$3:$AA$1315,DataRegularSeason20242025!$B$3:$B$1315, "&lt;=" &amp; GM$1, DataRegularSeason20242025!$D$3:$D$1315, $A29)+SUMIFS(DataRegularSeason20242025!$AB$3:$AB$1315,DataRegularSeason20242025!$B$3:$B$1315, "&lt;=" &amp; GM$1, DataRegularSeason20242025!$E$3:$E$1315, $A29)</f>
        <v>7</v>
      </c>
      <c r="GN29">
        <f>SUMIFS(DataRegularSeason20242025!$AA$3:$AA$1315,DataRegularSeason20242025!$B$3:$B$1315, "&lt;=" &amp; GN$1, DataRegularSeason20242025!$D$3:$D$1315, $A29)+SUMIFS(DataRegularSeason20242025!$AB$3:$AB$1315,DataRegularSeason20242025!$B$3:$B$1315, "&lt;=" &amp; GN$1, DataRegularSeason20242025!$E$3:$E$1315, $A29)</f>
        <v>7</v>
      </c>
      <c r="GO29">
        <f>SUMIFS(DataRegularSeason20242025!$AA$3:$AA$1315,DataRegularSeason20242025!$B$3:$B$1315, "&lt;=" &amp; GO$1, DataRegularSeason20242025!$D$3:$D$1315, $A29)+SUMIFS(DataRegularSeason20242025!$AB$3:$AB$1315,DataRegularSeason20242025!$B$3:$B$1315, "&lt;=" &amp; GO$1, DataRegularSeason20242025!$E$3:$E$1315, $A29)</f>
        <v>7</v>
      </c>
      <c r="GP29">
        <f>SUMIFS(DataRegularSeason20242025!$AA$3:$AA$1315,DataRegularSeason20242025!$B$3:$B$1315, "&lt;=" &amp; GP$1, DataRegularSeason20242025!$D$3:$D$1315, $A29)+SUMIFS(DataRegularSeason20242025!$AB$3:$AB$1315,DataRegularSeason20242025!$B$3:$B$1315, "&lt;=" &amp; GP$1, DataRegularSeason20242025!$E$3:$E$1315, $A29)</f>
        <v>7</v>
      </c>
      <c r="GQ29">
        <f>SUMIFS(DataRegularSeason20242025!$AA$3:$AA$1315,DataRegularSeason20242025!$B$3:$B$1315, "&lt;=" &amp; GQ$1, DataRegularSeason20242025!$D$3:$D$1315, $A29)+SUMIFS(DataRegularSeason20242025!$AB$3:$AB$1315,DataRegularSeason20242025!$B$3:$B$1315, "&lt;=" &amp; GQ$1, DataRegularSeason20242025!$E$3:$E$1315, $A29)</f>
        <v>7</v>
      </c>
      <c r="GR29">
        <f>SUMIFS(DataRegularSeason20242025!$AA$3:$AA$1315,DataRegularSeason20242025!$B$3:$B$1315, "&lt;=" &amp; GR$1, DataRegularSeason20242025!$D$3:$D$1315, $A29)+SUMIFS(DataRegularSeason20242025!$AB$3:$AB$1315,DataRegularSeason20242025!$B$3:$B$1315, "&lt;=" &amp; GR$1, DataRegularSeason20242025!$E$3:$E$1315, $A29)</f>
        <v>7</v>
      </c>
      <c r="GS29">
        <f>SUMIFS(DataRegularSeason20242025!$AA$3:$AA$1315,DataRegularSeason20242025!$B$3:$B$1315, "&lt;=" &amp; GS$1, DataRegularSeason20242025!$D$3:$D$1315, $A29)+SUMIFS(DataRegularSeason20242025!$AB$3:$AB$1315,DataRegularSeason20242025!$B$3:$B$1315, "&lt;=" &amp; GS$1, DataRegularSeason20242025!$E$3:$E$1315, $A29)</f>
        <v>7</v>
      </c>
      <c r="GT29">
        <f>SUMIFS(DataRegularSeason20242025!$AA$3:$AA$1315,DataRegularSeason20242025!$B$3:$B$1315, "&lt;=" &amp; GT$1, DataRegularSeason20242025!$D$3:$D$1315, $A29)+SUMIFS(DataRegularSeason20242025!$AB$3:$AB$1315,DataRegularSeason20242025!$B$3:$B$1315, "&lt;=" &amp; GT$1, DataRegularSeason20242025!$E$3:$E$1315, $A29)</f>
        <v>7</v>
      </c>
      <c r="GU29">
        <f>SUMIFS(DataRegularSeason20242025!$AA$3:$AA$1315,DataRegularSeason20242025!$B$3:$B$1315, "&lt;=" &amp; GU$1, DataRegularSeason20242025!$D$3:$D$1315, $A29)+SUMIFS(DataRegularSeason20242025!$AB$3:$AB$1315,DataRegularSeason20242025!$B$3:$B$1315, "&lt;=" &amp; GU$1, DataRegularSeason20242025!$E$3:$E$1315, $A29)</f>
        <v>7</v>
      </c>
    </row>
    <row r="30" spans="1:203" x14ac:dyDescent="0.25">
      <c r="A30" t="s">
        <v>44</v>
      </c>
      <c r="B30" t="s">
        <v>90</v>
      </c>
      <c r="C30" s="108" t="s">
        <v>93</v>
      </c>
      <c r="D30">
        <f>SUMIFS(DataRegularSeason20242025!$AA$3:$AA$1315,DataRegularSeason20242025!$B$3:$B$1315, "&lt;=" &amp; D$1, DataRegularSeason20242025!$D$3:$D$1315, $A30)+SUMIFS(DataRegularSeason20242025!$AB$3:$AB$1315,DataRegularSeason20242025!$B$3:$B$1315, "&lt;=" &amp; D$1, DataRegularSeason20242025!$E$3:$E$1315, $A30)</f>
        <v>0</v>
      </c>
      <c r="E30">
        <f>SUMIFS(DataRegularSeason20242025!$AA$3:$AA$1315,DataRegularSeason20242025!$B$3:$B$1315, "&lt;=" &amp; E$1, DataRegularSeason20242025!$D$3:$D$1315, $A30)+SUMIFS(DataRegularSeason20242025!$AB$3:$AB$1315,DataRegularSeason20242025!$B$3:$B$1315, "&lt;=" &amp; E$1, DataRegularSeason20242025!$E$3:$E$1315, $A30)</f>
        <v>0</v>
      </c>
      <c r="F30">
        <f>SUMIFS(DataRegularSeason20242025!$AA$3:$AA$1315,DataRegularSeason20242025!$B$3:$B$1315, "&lt;=" &amp; F$1, DataRegularSeason20242025!$D$3:$D$1315, $A30)+SUMIFS(DataRegularSeason20242025!$AB$3:$AB$1315,DataRegularSeason20242025!$B$3:$B$1315, "&lt;=" &amp; F$1, DataRegularSeason20242025!$E$3:$E$1315, $A30)</f>
        <v>0</v>
      </c>
      <c r="G30">
        <f>SUMIFS(DataRegularSeason20242025!$AA$3:$AA$1315,DataRegularSeason20242025!$B$3:$B$1315, "&lt;=" &amp; G$1, DataRegularSeason20242025!$D$3:$D$1315, $A30)+SUMIFS(DataRegularSeason20242025!$AB$3:$AB$1315,DataRegularSeason20242025!$B$3:$B$1315, "&lt;=" &amp; G$1, DataRegularSeason20242025!$E$3:$E$1315, $A30)</f>
        <v>0</v>
      </c>
      <c r="H30">
        <f>SUMIFS(DataRegularSeason20242025!$AA$3:$AA$1315,DataRegularSeason20242025!$B$3:$B$1315, "&lt;=" &amp; H$1, DataRegularSeason20242025!$D$3:$D$1315, $A30)+SUMIFS(DataRegularSeason20242025!$AB$3:$AB$1315,DataRegularSeason20242025!$B$3:$B$1315, "&lt;=" &amp; H$1, DataRegularSeason20242025!$E$3:$E$1315, $A30)</f>
        <v>0</v>
      </c>
      <c r="I30">
        <f>SUMIFS(DataRegularSeason20242025!$AA$3:$AA$1315,DataRegularSeason20242025!$B$3:$B$1315, "&lt;=" &amp; I$1, DataRegularSeason20242025!$D$3:$D$1315, $A30)+SUMIFS(DataRegularSeason20242025!$AB$3:$AB$1315,DataRegularSeason20242025!$B$3:$B$1315, "&lt;=" &amp; I$1, DataRegularSeason20242025!$E$3:$E$1315, $A30)</f>
        <v>0</v>
      </c>
      <c r="J30">
        <f>SUMIFS(DataRegularSeason20242025!$AA$3:$AA$1315,DataRegularSeason20242025!$B$3:$B$1315, "&lt;=" &amp; J$1, DataRegularSeason20242025!$D$3:$D$1315, $A30)+SUMIFS(DataRegularSeason20242025!$AB$3:$AB$1315,DataRegularSeason20242025!$B$3:$B$1315, "&lt;=" &amp; J$1, DataRegularSeason20242025!$E$3:$E$1315, $A30)</f>
        <v>0</v>
      </c>
      <c r="K30">
        <f>SUMIFS(DataRegularSeason20242025!$AA$3:$AA$1315,DataRegularSeason20242025!$B$3:$B$1315, "&lt;=" &amp; K$1, DataRegularSeason20242025!$D$3:$D$1315, $A30)+SUMIFS(DataRegularSeason20242025!$AB$3:$AB$1315,DataRegularSeason20242025!$B$3:$B$1315, "&lt;=" &amp; K$1, DataRegularSeason20242025!$E$3:$E$1315, $A30)</f>
        <v>0</v>
      </c>
      <c r="L30">
        <f>SUMIFS(DataRegularSeason20242025!$AA$3:$AA$1315,DataRegularSeason20242025!$B$3:$B$1315, "&lt;=" &amp; L$1, DataRegularSeason20242025!$D$3:$D$1315, $A30)+SUMIFS(DataRegularSeason20242025!$AB$3:$AB$1315,DataRegularSeason20242025!$B$3:$B$1315, "&lt;=" &amp; L$1, DataRegularSeason20242025!$E$3:$E$1315, $A30)</f>
        <v>2</v>
      </c>
      <c r="M30">
        <f>SUMIFS(DataRegularSeason20242025!$AA$3:$AA$1315,DataRegularSeason20242025!$B$3:$B$1315, "&lt;=" &amp; M$1, DataRegularSeason20242025!$D$3:$D$1315, $A30)+SUMIFS(DataRegularSeason20242025!$AB$3:$AB$1315,DataRegularSeason20242025!$B$3:$B$1315, "&lt;=" &amp; M$1, DataRegularSeason20242025!$E$3:$E$1315, $A30)</f>
        <v>2</v>
      </c>
      <c r="N30">
        <f>SUMIFS(DataRegularSeason20242025!$AA$3:$AA$1315,DataRegularSeason20242025!$B$3:$B$1315, "&lt;=" &amp; N$1, DataRegularSeason20242025!$D$3:$D$1315, $A30)+SUMIFS(DataRegularSeason20242025!$AB$3:$AB$1315,DataRegularSeason20242025!$B$3:$B$1315, "&lt;=" &amp; N$1, DataRegularSeason20242025!$E$3:$E$1315, $A30)</f>
        <v>2</v>
      </c>
      <c r="O30">
        <f>SUMIFS(DataRegularSeason20242025!$AA$3:$AA$1315,DataRegularSeason20242025!$B$3:$B$1315, "&lt;=" &amp; O$1, DataRegularSeason20242025!$D$3:$D$1315, $A30)+SUMIFS(DataRegularSeason20242025!$AB$3:$AB$1315,DataRegularSeason20242025!$B$3:$B$1315, "&lt;=" &amp; O$1, DataRegularSeason20242025!$E$3:$E$1315, $A30)</f>
        <v>4</v>
      </c>
      <c r="P30">
        <f>SUMIFS(DataRegularSeason20242025!$AA$3:$AA$1315,DataRegularSeason20242025!$B$3:$B$1315, "&lt;=" &amp; P$1, DataRegularSeason20242025!$D$3:$D$1315, $A30)+SUMIFS(DataRegularSeason20242025!$AB$3:$AB$1315,DataRegularSeason20242025!$B$3:$B$1315, "&lt;=" &amp; P$1, DataRegularSeason20242025!$E$3:$E$1315, $A30)</f>
        <v>4</v>
      </c>
      <c r="Q30">
        <f>SUMIFS(DataRegularSeason20242025!$AA$3:$AA$1315,DataRegularSeason20242025!$B$3:$B$1315, "&lt;=" &amp; Q$1, DataRegularSeason20242025!$D$3:$D$1315, $A30)+SUMIFS(DataRegularSeason20242025!$AB$3:$AB$1315,DataRegularSeason20242025!$B$3:$B$1315, "&lt;=" &amp; Q$1, DataRegularSeason20242025!$E$3:$E$1315, $A30)</f>
        <v>4</v>
      </c>
      <c r="R30">
        <f>SUMIFS(DataRegularSeason20242025!$AA$3:$AA$1315,DataRegularSeason20242025!$B$3:$B$1315, "&lt;=" &amp; R$1, DataRegularSeason20242025!$D$3:$D$1315, $A30)+SUMIFS(DataRegularSeason20242025!$AB$3:$AB$1315,DataRegularSeason20242025!$B$3:$B$1315, "&lt;=" &amp; R$1, DataRegularSeason20242025!$E$3:$E$1315, $A30)</f>
        <v>4</v>
      </c>
      <c r="S30">
        <f>SUMIFS(DataRegularSeason20242025!$AA$3:$AA$1315,DataRegularSeason20242025!$B$3:$B$1315, "&lt;=" &amp; S$1, DataRegularSeason20242025!$D$3:$D$1315, $A30)+SUMIFS(DataRegularSeason20242025!$AB$3:$AB$1315,DataRegularSeason20242025!$B$3:$B$1315, "&lt;=" &amp; S$1, DataRegularSeason20242025!$E$3:$E$1315, $A30)</f>
        <v>4</v>
      </c>
      <c r="T30">
        <f>SUMIFS(DataRegularSeason20242025!$AA$3:$AA$1315,DataRegularSeason20242025!$B$3:$B$1315, "&lt;=" &amp; T$1, DataRegularSeason20242025!$D$3:$D$1315, $A30)+SUMIFS(DataRegularSeason20242025!$AB$3:$AB$1315,DataRegularSeason20242025!$B$3:$B$1315, "&lt;=" &amp; T$1, DataRegularSeason20242025!$E$3:$E$1315, $A30)</f>
        <v>5</v>
      </c>
      <c r="U30">
        <f>SUMIFS(DataRegularSeason20242025!$AA$3:$AA$1315,DataRegularSeason20242025!$B$3:$B$1315, "&lt;=" &amp; U$1, DataRegularSeason20242025!$D$3:$D$1315, $A30)+SUMIFS(DataRegularSeason20242025!$AB$3:$AB$1315,DataRegularSeason20242025!$B$3:$B$1315, "&lt;=" &amp; U$1, DataRegularSeason20242025!$E$3:$E$1315, $A30)</f>
        <v>5</v>
      </c>
      <c r="V30">
        <f>SUMIFS(DataRegularSeason20242025!$AA$3:$AA$1315,DataRegularSeason20242025!$B$3:$B$1315, "&lt;=" &amp; V$1, DataRegularSeason20242025!$D$3:$D$1315, $A30)+SUMIFS(DataRegularSeason20242025!$AB$3:$AB$1315,DataRegularSeason20242025!$B$3:$B$1315, "&lt;=" &amp; V$1, DataRegularSeason20242025!$E$3:$E$1315, $A30)</f>
        <v>7</v>
      </c>
      <c r="W30">
        <f>SUMIFS(DataRegularSeason20242025!$AA$3:$AA$1315,DataRegularSeason20242025!$B$3:$B$1315, "&lt;=" &amp; W$1, DataRegularSeason20242025!$D$3:$D$1315, $A30)+SUMIFS(DataRegularSeason20242025!$AB$3:$AB$1315,DataRegularSeason20242025!$B$3:$B$1315, "&lt;=" &amp; W$1, DataRegularSeason20242025!$E$3:$E$1315, $A30)</f>
        <v>7</v>
      </c>
      <c r="X30">
        <f>SUMIFS(DataRegularSeason20242025!$AA$3:$AA$1315,DataRegularSeason20242025!$B$3:$B$1315, "&lt;=" &amp; X$1, DataRegularSeason20242025!$D$3:$D$1315, $A30)+SUMIFS(DataRegularSeason20242025!$AB$3:$AB$1315,DataRegularSeason20242025!$B$3:$B$1315, "&lt;=" &amp; X$1, DataRegularSeason20242025!$E$3:$E$1315, $A30)</f>
        <v>7</v>
      </c>
      <c r="Y30">
        <f>SUMIFS(DataRegularSeason20242025!$AA$3:$AA$1315,DataRegularSeason20242025!$B$3:$B$1315, "&lt;=" &amp; Y$1, DataRegularSeason20242025!$D$3:$D$1315, $A30)+SUMIFS(DataRegularSeason20242025!$AB$3:$AB$1315,DataRegularSeason20242025!$B$3:$B$1315, "&lt;=" &amp; Y$1, DataRegularSeason20242025!$E$3:$E$1315, $A30)</f>
        <v>7</v>
      </c>
      <c r="Z30">
        <f>SUMIFS(DataRegularSeason20242025!$AA$3:$AA$1315,DataRegularSeason20242025!$B$3:$B$1315, "&lt;=" &amp; Z$1, DataRegularSeason20242025!$D$3:$D$1315, $A30)+SUMIFS(DataRegularSeason20242025!$AB$3:$AB$1315,DataRegularSeason20242025!$B$3:$B$1315, "&lt;=" &amp; Z$1, DataRegularSeason20242025!$E$3:$E$1315, $A30)</f>
        <v>7</v>
      </c>
      <c r="AA30">
        <f>SUMIFS(DataRegularSeason20242025!$AA$3:$AA$1315,DataRegularSeason20242025!$B$3:$B$1315, "&lt;=" &amp; AA$1, DataRegularSeason20242025!$D$3:$D$1315, $A30)+SUMIFS(DataRegularSeason20242025!$AB$3:$AB$1315,DataRegularSeason20242025!$B$3:$B$1315, "&lt;=" &amp; AA$1, DataRegularSeason20242025!$E$3:$E$1315, $A30)</f>
        <v>7</v>
      </c>
      <c r="AB30">
        <f>SUMIFS(DataRegularSeason20242025!$AA$3:$AA$1315,DataRegularSeason20242025!$B$3:$B$1315, "&lt;=" &amp; AB$1, DataRegularSeason20242025!$D$3:$D$1315, $A30)+SUMIFS(DataRegularSeason20242025!$AB$3:$AB$1315,DataRegularSeason20242025!$B$3:$B$1315, "&lt;=" &amp; AB$1, DataRegularSeason20242025!$E$3:$E$1315, $A30)</f>
        <v>7</v>
      </c>
      <c r="AC30">
        <f>SUMIFS(DataRegularSeason20242025!$AA$3:$AA$1315,DataRegularSeason20242025!$B$3:$B$1315, "&lt;=" &amp; AC$1, DataRegularSeason20242025!$D$3:$D$1315, $A30)+SUMIFS(DataRegularSeason20242025!$AB$3:$AB$1315,DataRegularSeason20242025!$B$3:$B$1315, "&lt;=" &amp; AC$1, DataRegularSeason20242025!$E$3:$E$1315, $A30)</f>
        <v>7</v>
      </c>
      <c r="AD30">
        <f>SUMIFS(DataRegularSeason20242025!$AA$3:$AA$1315,DataRegularSeason20242025!$B$3:$B$1315, "&lt;=" &amp; AD$1, DataRegularSeason20242025!$D$3:$D$1315, $A30)+SUMIFS(DataRegularSeason20242025!$AB$3:$AB$1315,DataRegularSeason20242025!$B$3:$B$1315, "&lt;=" &amp; AD$1, DataRegularSeason20242025!$E$3:$E$1315, $A30)</f>
        <v>7</v>
      </c>
      <c r="AE30">
        <f>SUMIFS(DataRegularSeason20242025!$AA$3:$AA$1315,DataRegularSeason20242025!$B$3:$B$1315, "&lt;=" &amp; AE$1, DataRegularSeason20242025!$D$3:$D$1315, $A30)+SUMIFS(DataRegularSeason20242025!$AB$3:$AB$1315,DataRegularSeason20242025!$B$3:$B$1315, "&lt;=" &amp; AE$1, DataRegularSeason20242025!$E$3:$E$1315, $A30)</f>
        <v>7</v>
      </c>
      <c r="AF30">
        <f>SUMIFS(DataRegularSeason20242025!$AA$3:$AA$1315,DataRegularSeason20242025!$B$3:$B$1315, "&lt;=" &amp; AF$1, DataRegularSeason20242025!$D$3:$D$1315, $A30)+SUMIFS(DataRegularSeason20242025!$AB$3:$AB$1315,DataRegularSeason20242025!$B$3:$B$1315, "&lt;=" &amp; AF$1, DataRegularSeason20242025!$E$3:$E$1315, $A30)</f>
        <v>7</v>
      </c>
      <c r="AG30">
        <f>SUMIFS(DataRegularSeason20242025!$AA$3:$AA$1315,DataRegularSeason20242025!$B$3:$B$1315, "&lt;=" &amp; AG$1, DataRegularSeason20242025!$D$3:$D$1315, $A30)+SUMIFS(DataRegularSeason20242025!$AB$3:$AB$1315,DataRegularSeason20242025!$B$3:$B$1315, "&lt;=" &amp; AG$1, DataRegularSeason20242025!$E$3:$E$1315, $A30)</f>
        <v>7</v>
      </c>
      <c r="AH30">
        <f>SUMIFS(DataRegularSeason20242025!$AA$3:$AA$1315,DataRegularSeason20242025!$B$3:$B$1315, "&lt;=" &amp; AH$1, DataRegularSeason20242025!$D$3:$D$1315, $A30)+SUMIFS(DataRegularSeason20242025!$AB$3:$AB$1315,DataRegularSeason20242025!$B$3:$B$1315, "&lt;=" &amp; AH$1, DataRegularSeason20242025!$E$3:$E$1315, $A30)</f>
        <v>7</v>
      </c>
      <c r="AI30">
        <f>SUMIFS(DataRegularSeason20242025!$AA$3:$AA$1315,DataRegularSeason20242025!$B$3:$B$1315, "&lt;=" &amp; AI$1, DataRegularSeason20242025!$D$3:$D$1315, $A30)+SUMIFS(DataRegularSeason20242025!$AB$3:$AB$1315,DataRegularSeason20242025!$B$3:$B$1315, "&lt;=" &amp; AI$1, DataRegularSeason20242025!$E$3:$E$1315, $A30)</f>
        <v>7</v>
      </c>
      <c r="AJ30">
        <f>SUMIFS(DataRegularSeason20242025!$AA$3:$AA$1315,DataRegularSeason20242025!$B$3:$B$1315, "&lt;=" &amp; AJ$1, DataRegularSeason20242025!$D$3:$D$1315, $A30)+SUMIFS(DataRegularSeason20242025!$AB$3:$AB$1315,DataRegularSeason20242025!$B$3:$B$1315, "&lt;=" &amp; AJ$1, DataRegularSeason20242025!$E$3:$E$1315, $A30)</f>
        <v>7</v>
      </c>
      <c r="AK30">
        <f>SUMIFS(DataRegularSeason20242025!$AA$3:$AA$1315,DataRegularSeason20242025!$B$3:$B$1315, "&lt;=" &amp; AK$1, DataRegularSeason20242025!$D$3:$D$1315, $A30)+SUMIFS(DataRegularSeason20242025!$AB$3:$AB$1315,DataRegularSeason20242025!$B$3:$B$1315, "&lt;=" &amp; AK$1, DataRegularSeason20242025!$E$3:$E$1315, $A30)</f>
        <v>7</v>
      </c>
      <c r="AL30">
        <f>SUMIFS(DataRegularSeason20242025!$AA$3:$AA$1315,DataRegularSeason20242025!$B$3:$B$1315, "&lt;=" &amp; AL$1, DataRegularSeason20242025!$D$3:$D$1315, $A30)+SUMIFS(DataRegularSeason20242025!$AB$3:$AB$1315,DataRegularSeason20242025!$B$3:$B$1315, "&lt;=" &amp; AL$1, DataRegularSeason20242025!$E$3:$E$1315, $A30)</f>
        <v>7</v>
      </c>
      <c r="AM30">
        <f>SUMIFS(DataRegularSeason20242025!$AA$3:$AA$1315,DataRegularSeason20242025!$B$3:$B$1315, "&lt;=" &amp; AM$1, DataRegularSeason20242025!$D$3:$D$1315, $A30)+SUMIFS(DataRegularSeason20242025!$AB$3:$AB$1315,DataRegularSeason20242025!$B$3:$B$1315, "&lt;=" &amp; AM$1, DataRegularSeason20242025!$E$3:$E$1315, $A30)</f>
        <v>7</v>
      </c>
      <c r="AN30">
        <f>SUMIFS(DataRegularSeason20242025!$AA$3:$AA$1315,DataRegularSeason20242025!$B$3:$B$1315, "&lt;=" &amp; AN$1, DataRegularSeason20242025!$D$3:$D$1315, $A30)+SUMIFS(DataRegularSeason20242025!$AB$3:$AB$1315,DataRegularSeason20242025!$B$3:$B$1315, "&lt;=" &amp; AN$1, DataRegularSeason20242025!$E$3:$E$1315, $A30)</f>
        <v>7</v>
      </c>
      <c r="AO30">
        <f>SUMIFS(DataRegularSeason20242025!$AA$3:$AA$1315,DataRegularSeason20242025!$B$3:$B$1315, "&lt;=" &amp; AO$1, DataRegularSeason20242025!$D$3:$D$1315, $A30)+SUMIFS(DataRegularSeason20242025!$AB$3:$AB$1315,DataRegularSeason20242025!$B$3:$B$1315, "&lt;=" &amp; AO$1, DataRegularSeason20242025!$E$3:$E$1315, $A30)</f>
        <v>7</v>
      </c>
      <c r="AP30">
        <f>SUMIFS(DataRegularSeason20242025!$AA$3:$AA$1315,DataRegularSeason20242025!$B$3:$B$1315, "&lt;=" &amp; AP$1, DataRegularSeason20242025!$D$3:$D$1315, $A30)+SUMIFS(DataRegularSeason20242025!$AB$3:$AB$1315,DataRegularSeason20242025!$B$3:$B$1315, "&lt;=" &amp; AP$1, DataRegularSeason20242025!$E$3:$E$1315, $A30)</f>
        <v>7</v>
      </c>
      <c r="AQ30">
        <f>SUMIFS(DataRegularSeason20242025!$AA$3:$AA$1315,DataRegularSeason20242025!$B$3:$B$1315, "&lt;=" &amp; AQ$1, DataRegularSeason20242025!$D$3:$D$1315, $A30)+SUMIFS(DataRegularSeason20242025!$AB$3:$AB$1315,DataRegularSeason20242025!$B$3:$B$1315, "&lt;=" &amp; AQ$1, DataRegularSeason20242025!$E$3:$E$1315, $A30)</f>
        <v>7</v>
      </c>
      <c r="AR30">
        <f>SUMIFS(DataRegularSeason20242025!$AA$3:$AA$1315,DataRegularSeason20242025!$B$3:$B$1315, "&lt;=" &amp; AR$1, DataRegularSeason20242025!$D$3:$D$1315, $A30)+SUMIFS(DataRegularSeason20242025!$AB$3:$AB$1315,DataRegularSeason20242025!$B$3:$B$1315, "&lt;=" &amp; AR$1, DataRegularSeason20242025!$E$3:$E$1315, $A30)</f>
        <v>7</v>
      </c>
      <c r="AS30">
        <f>SUMIFS(DataRegularSeason20242025!$AA$3:$AA$1315,DataRegularSeason20242025!$B$3:$B$1315, "&lt;=" &amp; AS$1, DataRegularSeason20242025!$D$3:$D$1315, $A30)+SUMIFS(DataRegularSeason20242025!$AB$3:$AB$1315,DataRegularSeason20242025!$B$3:$B$1315, "&lt;=" &amp; AS$1, DataRegularSeason20242025!$E$3:$E$1315, $A30)</f>
        <v>7</v>
      </c>
      <c r="AT30">
        <f>SUMIFS(DataRegularSeason20242025!$AA$3:$AA$1315,DataRegularSeason20242025!$B$3:$B$1315, "&lt;=" &amp; AT$1, DataRegularSeason20242025!$D$3:$D$1315, $A30)+SUMIFS(DataRegularSeason20242025!$AB$3:$AB$1315,DataRegularSeason20242025!$B$3:$B$1315, "&lt;=" &amp; AT$1, DataRegularSeason20242025!$E$3:$E$1315, $A30)</f>
        <v>7</v>
      </c>
      <c r="AU30">
        <f>SUMIFS(DataRegularSeason20242025!$AA$3:$AA$1315,DataRegularSeason20242025!$B$3:$B$1315, "&lt;=" &amp; AU$1, DataRegularSeason20242025!$D$3:$D$1315, $A30)+SUMIFS(DataRegularSeason20242025!$AB$3:$AB$1315,DataRegularSeason20242025!$B$3:$B$1315, "&lt;=" &amp; AU$1, DataRegularSeason20242025!$E$3:$E$1315, $A30)</f>
        <v>7</v>
      </c>
      <c r="AV30">
        <f>SUMIFS(DataRegularSeason20242025!$AA$3:$AA$1315,DataRegularSeason20242025!$B$3:$B$1315, "&lt;=" &amp; AV$1, DataRegularSeason20242025!$D$3:$D$1315, $A30)+SUMIFS(DataRegularSeason20242025!$AB$3:$AB$1315,DataRegularSeason20242025!$B$3:$B$1315, "&lt;=" &amp; AV$1, DataRegularSeason20242025!$E$3:$E$1315, $A30)</f>
        <v>7</v>
      </c>
      <c r="AW30">
        <f>SUMIFS(DataRegularSeason20242025!$AA$3:$AA$1315,DataRegularSeason20242025!$B$3:$B$1315, "&lt;=" &amp; AW$1, DataRegularSeason20242025!$D$3:$D$1315, $A30)+SUMIFS(DataRegularSeason20242025!$AB$3:$AB$1315,DataRegularSeason20242025!$B$3:$B$1315, "&lt;=" &amp; AW$1, DataRegularSeason20242025!$E$3:$E$1315, $A30)</f>
        <v>7</v>
      </c>
      <c r="AX30">
        <f>SUMIFS(DataRegularSeason20242025!$AA$3:$AA$1315,DataRegularSeason20242025!$B$3:$B$1315, "&lt;=" &amp; AX$1, DataRegularSeason20242025!$D$3:$D$1315, $A30)+SUMIFS(DataRegularSeason20242025!$AB$3:$AB$1315,DataRegularSeason20242025!$B$3:$B$1315, "&lt;=" &amp; AX$1, DataRegularSeason20242025!$E$3:$E$1315, $A30)</f>
        <v>7</v>
      </c>
      <c r="AY30">
        <f>SUMIFS(DataRegularSeason20242025!$AA$3:$AA$1315,DataRegularSeason20242025!$B$3:$B$1315, "&lt;=" &amp; AY$1, DataRegularSeason20242025!$D$3:$D$1315, $A30)+SUMIFS(DataRegularSeason20242025!$AB$3:$AB$1315,DataRegularSeason20242025!$B$3:$B$1315, "&lt;=" &amp; AY$1, DataRegularSeason20242025!$E$3:$E$1315, $A30)</f>
        <v>7</v>
      </c>
      <c r="AZ30">
        <f>SUMIFS(DataRegularSeason20242025!$AA$3:$AA$1315,DataRegularSeason20242025!$B$3:$B$1315, "&lt;=" &amp; AZ$1, DataRegularSeason20242025!$D$3:$D$1315, $A30)+SUMIFS(DataRegularSeason20242025!$AB$3:$AB$1315,DataRegularSeason20242025!$B$3:$B$1315, "&lt;=" &amp; AZ$1, DataRegularSeason20242025!$E$3:$E$1315, $A30)</f>
        <v>7</v>
      </c>
      <c r="BA30">
        <f>SUMIFS(DataRegularSeason20242025!$AA$3:$AA$1315,DataRegularSeason20242025!$B$3:$B$1315, "&lt;=" &amp; BA$1, DataRegularSeason20242025!$D$3:$D$1315, $A30)+SUMIFS(DataRegularSeason20242025!$AB$3:$AB$1315,DataRegularSeason20242025!$B$3:$B$1315, "&lt;=" &amp; BA$1, DataRegularSeason20242025!$E$3:$E$1315, $A30)</f>
        <v>7</v>
      </c>
      <c r="BB30">
        <f>SUMIFS(DataRegularSeason20242025!$AA$3:$AA$1315,DataRegularSeason20242025!$B$3:$B$1315, "&lt;=" &amp; BB$1, DataRegularSeason20242025!$D$3:$D$1315, $A30)+SUMIFS(DataRegularSeason20242025!$AB$3:$AB$1315,DataRegularSeason20242025!$B$3:$B$1315, "&lt;=" &amp; BB$1, DataRegularSeason20242025!$E$3:$E$1315, $A30)</f>
        <v>7</v>
      </c>
      <c r="BC30">
        <f>SUMIFS(DataRegularSeason20242025!$AA$3:$AA$1315,DataRegularSeason20242025!$B$3:$B$1315, "&lt;=" &amp; BC$1, DataRegularSeason20242025!$D$3:$D$1315, $A30)+SUMIFS(DataRegularSeason20242025!$AB$3:$AB$1315,DataRegularSeason20242025!$B$3:$B$1315, "&lt;=" &amp; BC$1, DataRegularSeason20242025!$E$3:$E$1315, $A30)</f>
        <v>7</v>
      </c>
      <c r="BD30">
        <f>SUMIFS(DataRegularSeason20242025!$AA$3:$AA$1315,DataRegularSeason20242025!$B$3:$B$1315, "&lt;=" &amp; BD$1, DataRegularSeason20242025!$D$3:$D$1315, $A30)+SUMIFS(DataRegularSeason20242025!$AB$3:$AB$1315,DataRegularSeason20242025!$B$3:$B$1315, "&lt;=" &amp; BD$1, DataRegularSeason20242025!$E$3:$E$1315, $A30)</f>
        <v>7</v>
      </c>
      <c r="BE30">
        <f>SUMIFS(DataRegularSeason20242025!$AA$3:$AA$1315,DataRegularSeason20242025!$B$3:$B$1315, "&lt;=" &amp; BE$1, DataRegularSeason20242025!$D$3:$D$1315, $A30)+SUMIFS(DataRegularSeason20242025!$AB$3:$AB$1315,DataRegularSeason20242025!$B$3:$B$1315, "&lt;=" &amp; BE$1, DataRegularSeason20242025!$E$3:$E$1315, $A30)</f>
        <v>7</v>
      </c>
      <c r="BF30">
        <f>SUMIFS(DataRegularSeason20242025!$AA$3:$AA$1315,DataRegularSeason20242025!$B$3:$B$1315, "&lt;=" &amp; BF$1, DataRegularSeason20242025!$D$3:$D$1315, $A30)+SUMIFS(DataRegularSeason20242025!$AB$3:$AB$1315,DataRegularSeason20242025!$B$3:$B$1315, "&lt;=" &amp; BF$1, DataRegularSeason20242025!$E$3:$E$1315, $A30)</f>
        <v>7</v>
      </c>
      <c r="BG30">
        <f>SUMIFS(DataRegularSeason20242025!$AA$3:$AA$1315,DataRegularSeason20242025!$B$3:$B$1315, "&lt;=" &amp; BG$1, DataRegularSeason20242025!$D$3:$D$1315, $A30)+SUMIFS(DataRegularSeason20242025!$AB$3:$AB$1315,DataRegularSeason20242025!$B$3:$B$1315, "&lt;=" &amp; BG$1, DataRegularSeason20242025!$E$3:$E$1315, $A30)</f>
        <v>7</v>
      </c>
      <c r="BH30">
        <f>SUMIFS(DataRegularSeason20242025!$AA$3:$AA$1315,DataRegularSeason20242025!$B$3:$B$1315, "&lt;=" &amp; BH$1, DataRegularSeason20242025!$D$3:$D$1315, $A30)+SUMIFS(DataRegularSeason20242025!$AB$3:$AB$1315,DataRegularSeason20242025!$B$3:$B$1315, "&lt;=" &amp; BH$1, DataRegularSeason20242025!$E$3:$E$1315, $A30)</f>
        <v>7</v>
      </c>
      <c r="BI30">
        <f>SUMIFS(DataRegularSeason20242025!$AA$3:$AA$1315,DataRegularSeason20242025!$B$3:$B$1315, "&lt;=" &amp; BI$1, DataRegularSeason20242025!$D$3:$D$1315, $A30)+SUMIFS(DataRegularSeason20242025!$AB$3:$AB$1315,DataRegularSeason20242025!$B$3:$B$1315, "&lt;=" &amp; BI$1, DataRegularSeason20242025!$E$3:$E$1315, $A30)</f>
        <v>7</v>
      </c>
      <c r="BJ30">
        <f>SUMIFS(DataRegularSeason20242025!$AA$3:$AA$1315,DataRegularSeason20242025!$B$3:$B$1315, "&lt;=" &amp; BJ$1, DataRegularSeason20242025!$D$3:$D$1315, $A30)+SUMIFS(DataRegularSeason20242025!$AB$3:$AB$1315,DataRegularSeason20242025!$B$3:$B$1315, "&lt;=" &amp; BJ$1, DataRegularSeason20242025!$E$3:$E$1315, $A30)</f>
        <v>7</v>
      </c>
      <c r="BK30">
        <f>SUMIFS(DataRegularSeason20242025!$AA$3:$AA$1315,DataRegularSeason20242025!$B$3:$B$1315, "&lt;=" &amp; BK$1, DataRegularSeason20242025!$D$3:$D$1315, $A30)+SUMIFS(DataRegularSeason20242025!$AB$3:$AB$1315,DataRegularSeason20242025!$B$3:$B$1315, "&lt;=" &amp; BK$1, DataRegularSeason20242025!$E$3:$E$1315, $A30)</f>
        <v>7</v>
      </c>
      <c r="BL30">
        <f>SUMIFS(DataRegularSeason20242025!$AA$3:$AA$1315,DataRegularSeason20242025!$B$3:$B$1315, "&lt;=" &amp; BL$1, DataRegularSeason20242025!$D$3:$D$1315, $A30)+SUMIFS(DataRegularSeason20242025!$AB$3:$AB$1315,DataRegularSeason20242025!$B$3:$B$1315, "&lt;=" &amp; BL$1, DataRegularSeason20242025!$E$3:$E$1315, $A30)</f>
        <v>7</v>
      </c>
      <c r="BM30">
        <f>SUMIFS(DataRegularSeason20242025!$AA$3:$AA$1315,DataRegularSeason20242025!$B$3:$B$1315, "&lt;=" &amp; BM$1, DataRegularSeason20242025!$D$3:$D$1315, $A30)+SUMIFS(DataRegularSeason20242025!$AB$3:$AB$1315,DataRegularSeason20242025!$B$3:$B$1315, "&lt;=" &amp; BM$1, DataRegularSeason20242025!$E$3:$E$1315, $A30)</f>
        <v>7</v>
      </c>
      <c r="BN30">
        <f>SUMIFS(DataRegularSeason20242025!$AA$3:$AA$1315,DataRegularSeason20242025!$B$3:$B$1315, "&lt;=" &amp; BN$1, DataRegularSeason20242025!$D$3:$D$1315, $A30)+SUMIFS(DataRegularSeason20242025!$AB$3:$AB$1315,DataRegularSeason20242025!$B$3:$B$1315, "&lt;=" &amp; BN$1, DataRegularSeason20242025!$E$3:$E$1315, $A30)</f>
        <v>7</v>
      </c>
      <c r="BO30">
        <f>SUMIFS(DataRegularSeason20242025!$AA$3:$AA$1315,DataRegularSeason20242025!$B$3:$B$1315, "&lt;=" &amp; BO$1, DataRegularSeason20242025!$D$3:$D$1315, $A30)+SUMIFS(DataRegularSeason20242025!$AB$3:$AB$1315,DataRegularSeason20242025!$B$3:$B$1315, "&lt;=" &amp; BO$1, DataRegularSeason20242025!$E$3:$E$1315, $A30)</f>
        <v>7</v>
      </c>
      <c r="BP30">
        <f>SUMIFS(DataRegularSeason20242025!$AA$3:$AA$1315,DataRegularSeason20242025!$B$3:$B$1315, "&lt;=" &amp; BP$1, DataRegularSeason20242025!$D$3:$D$1315, $A30)+SUMIFS(DataRegularSeason20242025!$AB$3:$AB$1315,DataRegularSeason20242025!$B$3:$B$1315, "&lt;=" &amp; BP$1, DataRegularSeason20242025!$E$3:$E$1315, $A30)</f>
        <v>7</v>
      </c>
      <c r="BQ30">
        <f>SUMIFS(DataRegularSeason20242025!$AA$3:$AA$1315,DataRegularSeason20242025!$B$3:$B$1315, "&lt;=" &amp; BQ$1, DataRegularSeason20242025!$D$3:$D$1315, $A30)+SUMIFS(DataRegularSeason20242025!$AB$3:$AB$1315,DataRegularSeason20242025!$B$3:$B$1315, "&lt;=" &amp; BQ$1, DataRegularSeason20242025!$E$3:$E$1315, $A30)</f>
        <v>7</v>
      </c>
      <c r="BR30">
        <f>SUMIFS(DataRegularSeason20242025!$AA$3:$AA$1315,DataRegularSeason20242025!$B$3:$B$1315, "&lt;=" &amp; BR$1, DataRegularSeason20242025!$D$3:$D$1315, $A30)+SUMIFS(DataRegularSeason20242025!$AB$3:$AB$1315,DataRegularSeason20242025!$B$3:$B$1315, "&lt;=" &amp; BR$1, DataRegularSeason20242025!$E$3:$E$1315, $A30)</f>
        <v>7</v>
      </c>
      <c r="BS30">
        <f>SUMIFS(DataRegularSeason20242025!$AA$3:$AA$1315,DataRegularSeason20242025!$B$3:$B$1315, "&lt;=" &amp; BS$1, DataRegularSeason20242025!$D$3:$D$1315, $A30)+SUMIFS(DataRegularSeason20242025!$AB$3:$AB$1315,DataRegularSeason20242025!$B$3:$B$1315, "&lt;=" &amp; BS$1, DataRegularSeason20242025!$E$3:$E$1315, $A30)</f>
        <v>7</v>
      </c>
      <c r="BT30">
        <f>SUMIFS(DataRegularSeason20242025!$AA$3:$AA$1315,DataRegularSeason20242025!$B$3:$B$1315, "&lt;=" &amp; BT$1, DataRegularSeason20242025!$D$3:$D$1315, $A30)+SUMIFS(DataRegularSeason20242025!$AB$3:$AB$1315,DataRegularSeason20242025!$B$3:$B$1315, "&lt;=" &amp; BT$1, DataRegularSeason20242025!$E$3:$E$1315, $A30)</f>
        <v>7</v>
      </c>
      <c r="BU30">
        <f>SUMIFS(DataRegularSeason20242025!$AA$3:$AA$1315,DataRegularSeason20242025!$B$3:$B$1315, "&lt;=" &amp; BU$1, DataRegularSeason20242025!$D$3:$D$1315, $A30)+SUMIFS(DataRegularSeason20242025!$AB$3:$AB$1315,DataRegularSeason20242025!$B$3:$B$1315, "&lt;=" &amp; BU$1, DataRegularSeason20242025!$E$3:$E$1315, $A30)</f>
        <v>7</v>
      </c>
      <c r="BV30">
        <f>SUMIFS(DataRegularSeason20242025!$AA$3:$AA$1315,DataRegularSeason20242025!$B$3:$B$1315, "&lt;=" &amp; BV$1, DataRegularSeason20242025!$D$3:$D$1315, $A30)+SUMIFS(DataRegularSeason20242025!$AB$3:$AB$1315,DataRegularSeason20242025!$B$3:$B$1315, "&lt;=" &amp; BV$1, DataRegularSeason20242025!$E$3:$E$1315, $A30)</f>
        <v>7</v>
      </c>
      <c r="BW30">
        <f>SUMIFS(DataRegularSeason20242025!$AA$3:$AA$1315,DataRegularSeason20242025!$B$3:$B$1315, "&lt;=" &amp; BW$1, DataRegularSeason20242025!$D$3:$D$1315, $A30)+SUMIFS(DataRegularSeason20242025!$AB$3:$AB$1315,DataRegularSeason20242025!$B$3:$B$1315, "&lt;=" &amp; BW$1, DataRegularSeason20242025!$E$3:$E$1315, $A30)</f>
        <v>7</v>
      </c>
      <c r="BX30">
        <f>SUMIFS(DataRegularSeason20242025!$AA$3:$AA$1315,DataRegularSeason20242025!$B$3:$B$1315, "&lt;=" &amp; BX$1, DataRegularSeason20242025!$D$3:$D$1315, $A30)+SUMIFS(DataRegularSeason20242025!$AB$3:$AB$1315,DataRegularSeason20242025!$B$3:$B$1315, "&lt;=" &amp; BX$1, DataRegularSeason20242025!$E$3:$E$1315, $A30)</f>
        <v>7</v>
      </c>
      <c r="BY30">
        <f>SUMIFS(DataRegularSeason20242025!$AA$3:$AA$1315,DataRegularSeason20242025!$B$3:$B$1315, "&lt;=" &amp; BY$1, DataRegularSeason20242025!$D$3:$D$1315, $A30)+SUMIFS(DataRegularSeason20242025!$AB$3:$AB$1315,DataRegularSeason20242025!$B$3:$B$1315, "&lt;=" &amp; BY$1, DataRegularSeason20242025!$E$3:$E$1315, $A30)</f>
        <v>7</v>
      </c>
      <c r="BZ30">
        <f>SUMIFS(DataRegularSeason20242025!$AA$3:$AA$1315,DataRegularSeason20242025!$B$3:$B$1315, "&lt;=" &amp; BZ$1, DataRegularSeason20242025!$D$3:$D$1315, $A30)+SUMIFS(DataRegularSeason20242025!$AB$3:$AB$1315,DataRegularSeason20242025!$B$3:$B$1315, "&lt;=" &amp; BZ$1, DataRegularSeason20242025!$E$3:$E$1315, $A30)</f>
        <v>7</v>
      </c>
      <c r="CA30">
        <f>SUMIFS(DataRegularSeason20242025!$AA$3:$AA$1315,DataRegularSeason20242025!$B$3:$B$1315, "&lt;=" &amp; CA$1, DataRegularSeason20242025!$D$3:$D$1315, $A30)+SUMIFS(DataRegularSeason20242025!$AB$3:$AB$1315,DataRegularSeason20242025!$B$3:$B$1315, "&lt;=" &amp; CA$1, DataRegularSeason20242025!$E$3:$E$1315, $A30)</f>
        <v>7</v>
      </c>
      <c r="CB30">
        <f>SUMIFS(DataRegularSeason20242025!$AA$3:$AA$1315,DataRegularSeason20242025!$B$3:$B$1315, "&lt;=" &amp; CB$1, DataRegularSeason20242025!$D$3:$D$1315, $A30)+SUMIFS(DataRegularSeason20242025!$AB$3:$AB$1315,DataRegularSeason20242025!$B$3:$B$1315, "&lt;=" &amp; CB$1, DataRegularSeason20242025!$E$3:$E$1315, $A30)</f>
        <v>7</v>
      </c>
      <c r="CC30">
        <f>SUMIFS(DataRegularSeason20242025!$AA$3:$AA$1315,DataRegularSeason20242025!$B$3:$B$1315, "&lt;=" &amp; CC$1, DataRegularSeason20242025!$D$3:$D$1315, $A30)+SUMIFS(DataRegularSeason20242025!$AB$3:$AB$1315,DataRegularSeason20242025!$B$3:$B$1315, "&lt;=" &amp; CC$1, DataRegularSeason20242025!$E$3:$E$1315, $A30)</f>
        <v>7</v>
      </c>
      <c r="CD30">
        <f>SUMIFS(DataRegularSeason20242025!$AA$3:$AA$1315,DataRegularSeason20242025!$B$3:$B$1315, "&lt;=" &amp; CD$1, DataRegularSeason20242025!$D$3:$D$1315, $A30)+SUMIFS(DataRegularSeason20242025!$AB$3:$AB$1315,DataRegularSeason20242025!$B$3:$B$1315, "&lt;=" &amp; CD$1, DataRegularSeason20242025!$E$3:$E$1315, $A30)</f>
        <v>7</v>
      </c>
      <c r="CE30">
        <f>SUMIFS(DataRegularSeason20242025!$AA$3:$AA$1315,DataRegularSeason20242025!$B$3:$B$1315, "&lt;=" &amp; CE$1, DataRegularSeason20242025!$D$3:$D$1315, $A30)+SUMIFS(DataRegularSeason20242025!$AB$3:$AB$1315,DataRegularSeason20242025!$B$3:$B$1315, "&lt;=" &amp; CE$1, DataRegularSeason20242025!$E$3:$E$1315, $A30)</f>
        <v>7</v>
      </c>
      <c r="CF30">
        <f>SUMIFS(DataRegularSeason20242025!$AA$3:$AA$1315,DataRegularSeason20242025!$B$3:$B$1315, "&lt;=" &amp; CF$1, DataRegularSeason20242025!$D$3:$D$1315, $A30)+SUMIFS(DataRegularSeason20242025!$AB$3:$AB$1315,DataRegularSeason20242025!$B$3:$B$1315, "&lt;=" &amp; CF$1, DataRegularSeason20242025!$E$3:$E$1315, $A30)</f>
        <v>7</v>
      </c>
      <c r="CG30">
        <f>SUMIFS(DataRegularSeason20242025!$AA$3:$AA$1315,DataRegularSeason20242025!$B$3:$B$1315, "&lt;=" &amp; CG$1, DataRegularSeason20242025!$D$3:$D$1315, $A30)+SUMIFS(DataRegularSeason20242025!$AB$3:$AB$1315,DataRegularSeason20242025!$B$3:$B$1315, "&lt;=" &amp; CG$1, DataRegularSeason20242025!$E$3:$E$1315, $A30)</f>
        <v>7</v>
      </c>
      <c r="CH30">
        <f>SUMIFS(DataRegularSeason20242025!$AA$3:$AA$1315,DataRegularSeason20242025!$B$3:$B$1315, "&lt;=" &amp; CH$1, DataRegularSeason20242025!$D$3:$D$1315, $A30)+SUMIFS(DataRegularSeason20242025!$AB$3:$AB$1315,DataRegularSeason20242025!$B$3:$B$1315, "&lt;=" &amp; CH$1, DataRegularSeason20242025!$E$3:$E$1315, $A30)</f>
        <v>7</v>
      </c>
      <c r="CI30">
        <f>SUMIFS(DataRegularSeason20242025!$AA$3:$AA$1315,DataRegularSeason20242025!$B$3:$B$1315, "&lt;=" &amp; CI$1, DataRegularSeason20242025!$D$3:$D$1315, $A30)+SUMIFS(DataRegularSeason20242025!$AB$3:$AB$1315,DataRegularSeason20242025!$B$3:$B$1315, "&lt;=" &amp; CI$1, DataRegularSeason20242025!$E$3:$E$1315, $A30)</f>
        <v>7</v>
      </c>
      <c r="CJ30">
        <f>SUMIFS(DataRegularSeason20242025!$AA$3:$AA$1315,DataRegularSeason20242025!$B$3:$B$1315, "&lt;=" &amp; CJ$1, DataRegularSeason20242025!$D$3:$D$1315, $A30)+SUMIFS(DataRegularSeason20242025!$AB$3:$AB$1315,DataRegularSeason20242025!$B$3:$B$1315, "&lt;=" &amp; CJ$1, DataRegularSeason20242025!$E$3:$E$1315, $A30)</f>
        <v>7</v>
      </c>
      <c r="CK30">
        <f>SUMIFS(DataRegularSeason20242025!$AA$3:$AA$1315,DataRegularSeason20242025!$B$3:$B$1315, "&lt;=" &amp; CK$1, DataRegularSeason20242025!$D$3:$D$1315, $A30)+SUMIFS(DataRegularSeason20242025!$AB$3:$AB$1315,DataRegularSeason20242025!$B$3:$B$1315, "&lt;=" &amp; CK$1, DataRegularSeason20242025!$E$3:$E$1315, $A30)</f>
        <v>7</v>
      </c>
      <c r="CL30">
        <f>SUMIFS(DataRegularSeason20242025!$AA$3:$AA$1315,DataRegularSeason20242025!$B$3:$B$1315, "&lt;=" &amp; CL$1, DataRegularSeason20242025!$D$3:$D$1315, $A30)+SUMIFS(DataRegularSeason20242025!$AB$3:$AB$1315,DataRegularSeason20242025!$B$3:$B$1315, "&lt;=" &amp; CL$1, DataRegularSeason20242025!$E$3:$E$1315, $A30)</f>
        <v>7</v>
      </c>
      <c r="CM30">
        <f>SUMIFS(DataRegularSeason20242025!$AA$3:$AA$1315,DataRegularSeason20242025!$B$3:$B$1315, "&lt;=" &amp; CM$1, DataRegularSeason20242025!$D$3:$D$1315, $A30)+SUMIFS(DataRegularSeason20242025!$AB$3:$AB$1315,DataRegularSeason20242025!$B$3:$B$1315, "&lt;=" &amp; CM$1, DataRegularSeason20242025!$E$3:$E$1315, $A30)</f>
        <v>7</v>
      </c>
      <c r="CN30">
        <f>SUMIFS(DataRegularSeason20242025!$AA$3:$AA$1315,DataRegularSeason20242025!$B$3:$B$1315, "&lt;=" &amp; CN$1, DataRegularSeason20242025!$D$3:$D$1315, $A30)+SUMIFS(DataRegularSeason20242025!$AB$3:$AB$1315,DataRegularSeason20242025!$B$3:$B$1315, "&lt;=" &amp; CN$1, DataRegularSeason20242025!$E$3:$E$1315, $A30)</f>
        <v>7</v>
      </c>
      <c r="CO30">
        <f>SUMIFS(DataRegularSeason20242025!$AA$3:$AA$1315,DataRegularSeason20242025!$B$3:$B$1315, "&lt;=" &amp; CO$1, DataRegularSeason20242025!$D$3:$D$1315, $A30)+SUMIFS(DataRegularSeason20242025!$AB$3:$AB$1315,DataRegularSeason20242025!$B$3:$B$1315, "&lt;=" &amp; CO$1, DataRegularSeason20242025!$E$3:$E$1315, $A30)</f>
        <v>7</v>
      </c>
      <c r="CP30">
        <f>SUMIFS(DataRegularSeason20242025!$AA$3:$AA$1315,DataRegularSeason20242025!$B$3:$B$1315, "&lt;=" &amp; CP$1, DataRegularSeason20242025!$D$3:$D$1315, $A30)+SUMIFS(DataRegularSeason20242025!$AB$3:$AB$1315,DataRegularSeason20242025!$B$3:$B$1315, "&lt;=" &amp; CP$1, DataRegularSeason20242025!$E$3:$E$1315, $A30)</f>
        <v>7</v>
      </c>
      <c r="CQ30">
        <f>SUMIFS(DataRegularSeason20242025!$AA$3:$AA$1315,DataRegularSeason20242025!$B$3:$B$1315, "&lt;=" &amp; CQ$1, DataRegularSeason20242025!$D$3:$D$1315, $A30)+SUMIFS(DataRegularSeason20242025!$AB$3:$AB$1315,DataRegularSeason20242025!$B$3:$B$1315, "&lt;=" &amp; CQ$1, DataRegularSeason20242025!$E$3:$E$1315, $A30)</f>
        <v>7</v>
      </c>
      <c r="CR30">
        <f>SUMIFS(DataRegularSeason20242025!$AA$3:$AA$1315,DataRegularSeason20242025!$B$3:$B$1315, "&lt;=" &amp; CR$1, DataRegularSeason20242025!$D$3:$D$1315, $A30)+SUMIFS(DataRegularSeason20242025!$AB$3:$AB$1315,DataRegularSeason20242025!$B$3:$B$1315, "&lt;=" &amp; CR$1, DataRegularSeason20242025!$E$3:$E$1315, $A30)</f>
        <v>7</v>
      </c>
      <c r="CS30">
        <f>SUMIFS(DataRegularSeason20242025!$AA$3:$AA$1315,DataRegularSeason20242025!$B$3:$B$1315, "&lt;=" &amp; CS$1, DataRegularSeason20242025!$D$3:$D$1315, $A30)+SUMIFS(DataRegularSeason20242025!$AB$3:$AB$1315,DataRegularSeason20242025!$B$3:$B$1315, "&lt;=" &amp; CS$1, DataRegularSeason20242025!$E$3:$E$1315, $A30)</f>
        <v>7</v>
      </c>
      <c r="CT30">
        <f>SUMIFS(DataRegularSeason20242025!$AA$3:$AA$1315,DataRegularSeason20242025!$B$3:$B$1315, "&lt;=" &amp; CT$1, DataRegularSeason20242025!$D$3:$D$1315, $A30)+SUMIFS(DataRegularSeason20242025!$AB$3:$AB$1315,DataRegularSeason20242025!$B$3:$B$1315, "&lt;=" &amp; CT$1, DataRegularSeason20242025!$E$3:$E$1315, $A30)</f>
        <v>7</v>
      </c>
      <c r="CU30">
        <f>SUMIFS(DataRegularSeason20242025!$AA$3:$AA$1315,DataRegularSeason20242025!$B$3:$B$1315, "&lt;=" &amp; CU$1, DataRegularSeason20242025!$D$3:$D$1315, $A30)+SUMIFS(DataRegularSeason20242025!$AB$3:$AB$1315,DataRegularSeason20242025!$B$3:$B$1315, "&lt;=" &amp; CU$1, DataRegularSeason20242025!$E$3:$E$1315, $A30)</f>
        <v>7</v>
      </c>
      <c r="CV30">
        <f>SUMIFS(DataRegularSeason20242025!$AA$3:$AA$1315,DataRegularSeason20242025!$B$3:$B$1315, "&lt;=" &amp; CV$1, DataRegularSeason20242025!$D$3:$D$1315, $A30)+SUMIFS(DataRegularSeason20242025!$AB$3:$AB$1315,DataRegularSeason20242025!$B$3:$B$1315, "&lt;=" &amp; CV$1, DataRegularSeason20242025!$E$3:$E$1315, $A30)</f>
        <v>7</v>
      </c>
      <c r="CW30">
        <f>SUMIFS(DataRegularSeason20242025!$AA$3:$AA$1315,DataRegularSeason20242025!$B$3:$B$1315, "&lt;=" &amp; CW$1, DataRegularSeason20242025!$D$3:$D$1315, $A30)+SUMIFS(DataRegularSeason20242025!$AB$3:$AB$1315,DataRegularSeason20242025!$B$3:$B$1315, "&lt;=" &amp; CW$1, DataRegularSeason20242025!$E$3:$E$1315, $A30)</f>
        <v>7</v>
      </c>
      <c r="CX30">
        <f>SUMIFS(DataRegularSeason20242025!$AA$3:$AA$1315,DataRegularSeason20242025!$B$3:$B$1315, "&lt;=" &amp; CX$1, DataRegularSeason20242025!$D$3:$D$1315, $A30)+SUMIFS(DataRegularSeason20242025!$AB$3:$AB$1315,DataRegularSeason20242025!$B$3:$B$1315, "&lt;=" &amp; CX$1, DataRegularSeason20242025!$E$3:$E$1315, $A30)</f>
        <v>7</v>
      </c>
      <c r="CY30">
        <f>SUMIFS(DataRegularSeason20242025!$AA$3:$AA$1315,DataRegularSeason20242025!$B$3:$B$1315, "&lt;=" &amp; CY$1, DataRegularSeason20242025!$D$3:$D$1315, $A30)+SUMIFS(DataRegularSeason20242025!$AB$3:$AB$1315,DataRegularSeason20242025!$B$3:$B$1315, "&lt;=" &amp; CY$1, DataRegularSeason20242025!$E$3:$E$1315, $A30)</f>
        <v>7</v>
      </c>
      <c r="CZ30">
        <f>SUMIFS(DataRegularSeason20242025!$AA$3:$AA$1315,DataRegularSeason20242025!$B$3:$B$1315, "&lt;=" &amp; CZ$1, DataRegularSeason20242025!$D$3:$D$1315, $A30)+SUMIFS(DataRegularSeason20242025!$AB$3:$AB$1315,DataRegularSeason20242025!$B$3:$B$1315, "&lt;=" &amp; CZ$1, DataRegularSeason20242025!$E$3:$E$1315, $A30)</f>
        <v>7</v>
      </c>
      <c r="DA30">
        <f>SUMIFS(DataRegularSeason20242025!$AA$3:$AA$1315,DataRegularSeason20242025!$B$3:$B$1315, "&lt;=" &amp; DA$1, DataRegularSeason20242025!$D$3:$D$1315, $A30)+SUMIFS(DataRegularSeason20242025!$AB$3:$AB$1315,DataRegularSeason20242025!$B$3:$B$1315, "&lt;=" &amp; DA$1, DataRegularSeason20242025!$E$3:$E$1315, $A30)</f>
        <v>7</v>
      </c>
      <c r="DB30">
        <f>SUMIFS(DataRegularSeason20242025!$AA$3:$AA$1315,DataRegularSeason20242025!$B$3:$B$1315, "&lt;=" &amp; DB$1, DataRegularSeason20242025!$D$3:$D$1315, $A30)+SUMIFS(DataRegularSeason20242025!$AB$3:$AB$1315,DataRegularSeason20242025!$B$3:$B$1315, "&lt;=" &amp; DB$1, DataRegularSeason20242025!$E$3:$E$1315, $A30)</f>
        <v>7</v>
      </c>
      <c r="DC30">
        <f>SUMIFS(DataRegularSeason20242025!$AA$3:$AA$1315,DataRegularSeason20242025!$B$3:$B$1315, "&lt;=" &amp; DC$1, DataRegularSeason20242025!$D$3:$D$1315, $A30)+SUMIFS(DataRegularSeason20242025!$AB$3:$AB$1315,DataRegularSeason20242025!$B$3:$B$1315, "&lt;=" &amp; DC$1, DataRegularSeason20242025!$E$3:$E$1315, $A30)</f>
        <v>7</v>
      </c>
      <c r="DD30">
        <f>SUMIFS(DataRegularSeason20242025!$AA$3:$AA$1315,DataRegularSeason20242025!$B$3:$B$1315, "&lt;=" &amp; DD$1, DataRegularSeason20242025!$D$3:$D$1315, $A30)+SUMIFS(DataRegularSeason20242025!$AB$3:$AB$1315,DataRegularSeason20242025!$B$3:$B$1315, "&lt;=" &amp; DD$1, DataRegularSeason20242025!$E$3:$E$1315, $A30)</f>
        <v>7</v>
      </c>
      <c r="DE30">
        <f>SUMIFS(DataRegularSeason20242025!$AA$3:$AA$1315,DataRegularSeason20242025!$B$3:$B$1315, "&lt;=" &amp; DE$1, DataRegularSeason20242025!$D$3:$D$1315, $A30)+SUMIFS(DataRegularSeason20242025!$AB$3:$AB$1315,DataRegularSeason20242025!$B$3:$B$1315, "&lt;=" &amp; DE$1, DataRegularSeason20242025!$E$3:$E$1315, $A30)</f>
        <v>7</v>
      </c>
      <c r="DF30">
        <f>SUMIFS(DataRegularSeason20242025!$AA$3:$AA$1315,DataRegularSeason20242025!$B$3:$B$1315, "&lt;=" &amp; DF$1, DataRegularSeason20242025!$D$3:$D$1315, $A30)+SUMIFS(DataRegularSeason20242025!$AB$3:$AB$1315,DataRegularSeason20242025!$B$3:$B$1315, "&lt;=" &amp; DF$1, DataRegularSeason20242025!$E$3:$E$1315, $A30)</f>
        <v>7</v>
      </c>
      <c r="DG30">
        <f>SUMIFS(DataRegularSeason20242025!$AA$3:$AA$1315,DataRegularSeason20242025!$B$3:$B$1315, "&lt;=" &amp; DG$1, DataRegularSeason20242025!$D$3:$D$1315, $A30)+SUMIFS(DataRegularSeason20242025!$AB$3:$AB$1315,DataRegularSeason20242025!$B$3:$B$1315, "&lt;=" &amp; DG$1, DataRegularSeason20242025!$E$3:$E$1315, $A30)</f>
        <v>7</v>
      </c>
      <c r="DH30">
        <f>SUMIFS(DataRegularSeason20242025!$AA$3:$AA$1315,DataRegularSeason20242025!$B$3:$B$1315, "&lt;=" &amp; DH$1, DataRegularSeason20242025!$D$3:$D$1315, $A30)+SUMIFS(DataRegularSeason20242025!$AB$3:$AB$1315,DataRegularSeason20242025!$B$3:$B$1315, "&lt;=" &amp; DH$1, DataRegularSeason20242025!$E$3:$E$1315, $A30)</f>
        <v>7</v>
      </c>
      <c r="DI30">
        <f>SUMIFS(DataRegularSeason20242025!$AA$3:$AA$1315,DataRegularSeason20242025!$B$3:$B$1315, "&lt;=" &amp; DI$1, DataRegularSeason20242025!$D$3:$D$1315, $A30)+SUMIFS(DataRegularSeason20242025!$AB$3:$AB$1315,DataRegularSeason20242025!$B$3:$B$1315, "&lt;=" &amp; DI$1, DataRegularSeason20242025!$E$3:$E$1315, $A30)</f>
        <v>7</v>
      </c>
      <c r="DJ30">
        <f>SUMIFS(DataRegularSeason20242025!$AA$3:$AA$1315,DataRegularSeason20242025!$B$3:$B$1315, "&lt;=" &amp; DJ$1, DataRegularSeason20242025!$D$3:$D$1315, $A30)+SUMIFS(DataRegularSeason20242025!$AB$3:$AB$1315,DataRegularSeason20242025!$B$3:$B$1315, "&lt;=" &amp; DJ$1, DataRegularSeason20242025!$E$3:$E$1315, $A30)</f>
        <v>7</v>
      </c>
      <c r="DK30">
        <f>SUMIFS(DataRegularSeason20242025!$AA$3:$AA$1315,DataRegularSeason20242025!$B$3:$B$1315, "&lt;=" &amp; DK$1, DataRegularSeason20242025!$D$3:$D$1315, $A30)+SUMIFS(DataRegularSeason20242025!$AB$3:$AB$1315,DataRegularSeason20242025!$B$3:$B$1315, "&lt;=" &amp; DK$1, DataRegularSeason20242025!$E$3:$E$1315, $A30)</f>
        <v>7</v>
      </c>
      <c r="DL30">
        <f>SUMIFS(DataRegularSeason20242025!$AA$3:$AA$1315,DataRegularSeason20242025!$B$3:$B$1315, "&lt;=" &amp; DL$1, DataRegularSeason20242025!$D$3:$D$1315, $A30)+SUMIFS(DataRegularSeason20242025!$AB$3:$AB$1315,DataRegularSeason20242025!$B$3:$B$1315, "&lt;=" &amp; DL$1, DataRegularSeason20242025!$E$3:$E$1315, $A30)</f>
        <v>7</v>
      </c>
      <c r="DM30">
        <f>SUMIFS(DataRegularSeason20242025!$AA$3:$AA$1315,DataRegularSeason20242025!$B$3:$B$1315, "&lt;=" &amp; DM$1, DataRegularSeason20242025!$D$3:$D$1315, $A30)+SUMIFS(DataRegularSeason20242025!$AB$3:$AB$1315,DataRegularSeason20242025!$B$3:$B$1315, "&lt;=" &amp; DM$1, DataRegularSeason20242025!$E$3:$E$1315, $A30)</f>
        <v>7</v>
      </c>
      <c r="DN30">
        <f>SUMIFS(DataRegularSeason20242025!$AA$3:$AA$1315,DataRegularSeason20242025!$B$3:$B$1315, "&lt;=" &amp; DN$1, DataRegularSeason20242025!$D$3:$D$1315, $A30)+SUMIFS(DataRegularSeason20242025!$AB$3:$AB$1315,DataRegularSeason20242025!$B$3:$B$1315, "&lt;=" &amp; DN$1, DataRegularSeason20242025!$E$3:$E$1315, $A30)</f>
        <v>7</v>
      </c>
      <c r="DO30">
        <f>SUMIFS(DataRegularSeason20242025!$AA$3:$AA$1315,DataRegularSeason20242025!$B$3:$B$1315, "&lt;=" &amp; DO$1, DataRegularSeason20242025!$D$3:$D$1315, $A30)+SUMIFS(DataRegularSeason20242025!$AB$3:$AB$1315,DataRegularSeason20242025!$B$3:$B$1315, "&lt;=" &amp; DO$1, DataRegularSeason20242025!$E$3:$E$1315, $A30)</f>
        <v>7</v>
      </c>
      <c r="DP30">
        <f>SUMIFS(DataRegularSeason20242025!$AA$3:$AA$1315,DataRegularSeason20242025!$B$3:$B$1315, "&lt;=" &amp; DP$1, DataRegularSeason20242025!$D$3:$D$1315, $A30)+SUMIFS(DataRegularSeason20242025!$AB$3:$AB$1315,DataRegularSeason20242025!$B$3:$B$1315, "&lt;=" &amp; DP$1, DataRegularSeason20242025!$E$3:$E$1315, $A30)</f>
        <v>7</v>
      </c>
      <c r="DQ30">
        <f>SUMIFS(DataRegularSeason20242025!$AA$3:$AA$1315,DataRegularSeason20242025!$B$3:$B$1315, "&lt;=" &amp; DQ$1, DataRegularSeason20242025!$D$3:$D$1315, $A30)+SUMIFS(DataRegularSeason20242025!$AB$3:$AB$1315,DataRegularSeason20242025!$B$3:$B$1315, "&lt;=" &amp; DQ$1, DataRegularSeason20242025!$E$3:$E$1315, $A30)</f>
        <v>7</v>
      </c>
      <c r="DR30">
        <f>SUMIFS(DataRegularSeason20242025!$AA$3:$AA$1315,DataRegularSeason20242025!$B$3:$B$1315, "&lt;=" &amp; DR$1, DataRegularSeason20242025!$D$3:$D$1315, $A30)+SUMIFS(DataRegularSeason20242025!$AB$3:$AB$1315,DataRegularSeason20242025!$B$3:$B$1315, "&lt;=" &amp; DR$1, DataRegularSeason20242025!$E$3:$E$1315, $A30)</f>
        <v>7</v>
      </c>
      <c r="DS30">
        <f>SUMIFS(DataRegularSeason20242025!$AA$3:$AA$1315,DataRegularSeason20242025!$B$3:$B$1315, "&lt;=" &amp; DS$1, DataRegularSeason20242025!$D$3:$D$1315, $A30)+SUMIFS(DataRegularSeason20242025!$AB$3:$AB$1315,DataRegularSeason20242025!$B$3:$B$1315, "&lt;=" &amp; DS$1, DataRegularSeason20242025!$E$3:$E$1315, $A30)</f>
        <v>7</v>
      </c>
      <c r="DT30">
        <f>SUMIFS(DataRegularSeason20242025!$AA$3:$AA$1315,DataRegularSeason20242025!$B$3:$B$1315, "&lt;=" &amp; DT$1, DataRegularSeason20242025!$D$3:$D$1315, $A30)+SUMIFS(DataRegularSeason20242025!$AB$3:$AB$1315,DataRegularSeason20242025!$B$3:$B$1315, "&lt;=" &amp; DT$1, DataRegularSeason20242025!$E$3:$E$1315, $A30)</f>
        <v>7</v>
      </c>
      <c r="DU30">
        <f>SUMIFS(DataRegularSeason20242025!$AA$3:$AA$1315,DataRegularSeason20242025!$B$3:$B$1315, "&lt;=" &amp; DU$1, DataRegularSeason20242025!$D$3:$D$1315, $A30)+SUMIFS(DataRegularSeason20242025!$AB$3:$AB$1315,DataRegularSeason20242025!$B$3:$B$1315, "&lt;=" &amp; DU$1, DataRegularSeason20242025!$E$3:$E$1315, $A30)</f>
        <v>7</v>
      </c>
      <c r="DV30">
        <f>SUMIFS(DataRegularSeason20242025!$AA$3:$AA$1315,DataRegularSeason20242025!$B$3:$B$1315, "&lt;=" &amp; DV$1, DataRegularSeason20242025!$D$3:$D$1315, $A30)+SUMIFS(DataRegularSeason20242025!$AB$3:$AB$1315,DataRegularSeason20242025!$B$3:$B$1315, "&lt;=" &amp; DV$1, DataRegularSeason20242025!$E$3:$E$1315, $A30)</f>
        <v>7</v>
      </c>
      <c r="DW30">
        <f>SUMIFS(DataRegularSeason20242025!$AA$3:$AA$1315,DataRegularSeason20242025!$B$3:$B$1315, "&lt;=" &amp; DW$1, DataRegularSeason20242025!$D$3:$D$1315, $A30)+SUMIFS(DataRegularSeason20242025!$AB$3:$AB$1315,DataRegularSeason20242025!$B$3:$B$1315, "&lt;=" &amp; DW$1, DataRegularSeason20242025!$E$3:$E$1315, $A30)</f>
        <v>7</v>
      </c>
      <c r="DX30">
        <f>SUMIFS(DataRegularSeason20242025!$AA$3:$AA$1315,DataRegularSeason20242025!$B$3:$B$1315, "&lt;=" &amp; DX$1, DataRegularSeason20242025!$D$3:$D$1315, $A30)+SUMIFS(DataRegularSeason20242025!$AB$3:$AB$1315,DataRegularSeason20242025!$B$3:$B$1315, "&lt;=" &amp; DX$1, DataRegularSeason20242025!$E$3:$E$1315, $A30)</f>
        <v>7</v>
      </c>
      <c r="DY30">
        <f>SUMIFS(DataRegularSeason20242025!$AA$3:$AA$1315,DataRegularSeason20242025!$B$3:$B$1315, "&lt;=" &amp; DY$1, DataRegularSeason20242025!$D$3:$D$1315, $A30)+SUMIFS(DataRegularSeason20242025!$AB$3:$AB$1315,DataRegularSeason20242025!$B$3:$B$1315, "&lt;=" &amp; DY$1, DataRegularSeason20242025!$E$3:$E$1315, $A30)</f>
        <v>7</v>
      </c>
      <c r="DZ30">
        <f>SUMIFS(DataRegularSeason20242025!$AA$3:$AA$1315,DataRegularSeason20242025!$B$3:$B$1315, "&lt;=" &amp; DZ$1, DataRegularSeason20242025!$D$3:$D$1315, $A30)+SUMIFS(DataRegularSeason20242025!$AB$3:$AB$1315,DataRegularSeason20242025!$B$3:$B$1315, "&lt;=" &amp; DZ$1, DataRegularSeason20242025!$E$3:$E$1315, $A30)</f>
        <v>7</v>
      </c>
      <c r="EA30">
        <f>SUMIFS(DataRegularSeason20242025!$AA$3:$AA$1315,DataRegularSeason20242025!$B$3:$B$1315, "&lt;=" &amp; EA$1, DataRegularSeason20242025!$D$3:$D$1315, $A30)+SUMIFS(DataRegularSeason20242025!$AB$3:$AB$1315,DataRegularSeason20242025!$B$3:$B$1315, "&lt;=" &amp; EA$1, DataRegularSeason20242025!$E$3:$E$1315, $A30)</f>
        <v>7</v>
      </c>
      <c r="EB30">
        <f>SUMIFS(DataRegularSeason20242025!$AA$3:$AA$1315,DataRegularSeason20242025!$B$3:$B$1315, "&lt;=" &amp; EB$1, DataRegularSeason20242025!$D$3:$D$1315, $A30)+SUMIFS(DataRegularSeason20242025!$AB$3:$AB$1315,DataRegularSeason20242025!$B$3:$B$1315, "&lt;=" &amp; EB$1, DataRegularSeason20242025!$E$3:$E$1315, $A30)</f>
        <v>7</v>
      </c>
      <c r="EC30">
        <f>SUMIFS(DataRegularSeason20242025!$AA$3:$AA$1315,DataRegularSeason20242025!$B$3:$B$1315, "&lt;=" &amp; EC$1, DataRegularSeason20242025!$D$3:$D$1315, $A30)+SUMIFS(DataRegularSeason20242025!$AB$3:$AB$1315,DataRegularSeason20242025!$B$3:$B$1315, "&lt;=" &amp; EC$1, DataRegularSeason20242025!$E$3:$E$1315, $A30)</f>
        <v>7</v>
      </c>
      <c r="ED30">
        <f>SUMIFS(DataRegularSeason20242025!$AA$3:$AA$1315,DataRegularSeason20242025!$B$3:$B$1315, "&lt;=" &amp; ED$1, DataRegularSeason20242025!$D$3:$D$1315, $A30)+SUMIFS(DataRegularSeason20242025!$AB$3:$AB$1315,DataRegularSeason20242025!$B$3:$B$1315, "&lt;=" &amp; ED$1, DataRegularSeason20242025!$E$3:$E$1315, $A30)</f>
        <v>7</v>
      </c>
      <c r="EE30">
        <f>SUMIFS(DataRegularSeason20242025!$AA$3:$AA$1315,DataRegularSeason20242025!$B$3:$B$1315, "&lt;=" &amp; EE$1, DataRegularSeason20242025!$D$3:$D$1315, $A30)+SUMIFS(DataRegularSeason20242025!$AB$3:$AB$1315,DataRegularSeason20242025!$B$3:$B$1315, "&lt;=" &amp; EE$1, DataRegularSeason20242025!$E$3:$E$1315, $A30)</f>
        <v>7</v>
      </c>
      <c r="EF30">
        <f>SUMIFS(DataRegularSeason20242025!$AA$3:$AA$1315,DataRegularSeason20242025!$B$3:$B$1315, "&lt;=" &amp; EF$1, DataRegularSeason20242025!$D$3:$D$1315, $A30)+SUMIFS(DataRegularSeason20242025!$AB$3:$AB$1315,DataRegularSeason20242025!$B$3:$B$1315, "&lt;=" &amp; EF$1, DataRegularSeason20242025!$E$3:$E$1315, $A30)</f>
        <v>7</v>
      </c>
      <c r="EG30">
        <f>SUMIFS(DataRegularSeason20242025!$AA$3:$AA$1315,DataRegularSeason20242025!$B$3:$B$1315, "&lt;=" &amp; EG$1, DataRegularSeason20242025!$D$3:$D$1315, $A30)+SUMIFS(DataRegularSeason20242025!$AB$3:$AB$1315,DataRegularSeason20242025!$B$3:$B$1315, "&lt;=" &amp; EG$1, DataRegularSeason20242025!$E$3:$E$1315, $A30)</f>
        <v>7</v>
      </c>
      <c r="EH30">
        <f>SUMIFS(DataRegularSeason20242025!$AA$3:$AA$1315,DataRegularSeason20242025!$B$3:$B$1315, "&lt;=" &amp; EH$1, DataRegularSeason20242025!$D$3:$D$1315, $A30)+SUMIFS(DataRegularSeason20242025!$AB$3:$AB$1315,DataRegularSeason20242025!$B$3:$B$1315, "&lt;=" &amp; EH$1, DataRegularSeason20242025!$E$3:$E$1315, $A30)</f>
        <v>7</v>
      </c>
      <c r="EI30">
        <f>SUMIFS(DataRegularSeason20242025!$AA$3:$AA$1315,DataRegularSeason20242025!$B$3:$B$1315, "&lt;=" &amp; EI$1, DataRegularSeason20242025!$D$3:$D$1315, $A30)+SUMIFS(DataRegularSeason20242025!$AB$3:$AB$1315,DataRegularSeason20242025!$B$3:$B$1315, "&lt;=" &amp; EI$1, DataRegularSeason20242025!$E$3:$E$1315, $A30)</f>
        <v>7</v>
      </c>
      <c r="EJ30">
        <f>SUMIFS(DataRegularSeason20242025!$AA$3:$AA$1315,DataRegularSeason20242025!$B$3:$B$1315, "&lt;=" &amp; EJ$1, DataRegularSeason20242025!$D$3:$D$1315, $A30)+SUMIFS(DataRegularSeason20242025!$AB$3:$AB$1315,DataRegularSeason20242025!$B$3:$B$1315, "&lt;=" &amp; EJ$1, DataRegularSeason20242025!$E$3:$E$1315, $A30)</f>
        <v>7</v>
      </c>
      <c r="EK30">
        <f>SUMIFS(DataRegularSeason20242025!$AA$3:$AA$1315,DataRegularSeason20242025!$B$3:$B$1315, "&lt;=" &amp; EK$1, DataRegularSeason20242025!$D$3:$D$1315, $A30)+SUMIFS(DataRegularSeason20242025!$AB$3:$AB$1315,DataRegularSeason20242025!$B$3:$B$1315, "&lt;=" &amp; EK$1, DataRegularSeason20242025!$E$3:$E$1315, $A30)</f>
        <v>7</v>
      </c>
      <c r="EL30">
        <f>SUMIFS(DataRegularSeason20242025!$AA$3:$AA$1315,DataRegularSeason20242025!$B$3:$B$1315, "&lt;=" &amp; EL$1, DataRegularSeason20242025!$D$3:$D$1315, $A30)+SUMIFS(DataRegularSeason20242025!$AB$3:$AB$1315,DataRegularSeason20242025!$B$3:$B$1315, "&lt;=" &amp; EL$1, DataRegularSeason20242025!$E$3:$E$1315, $A30)</f>
        <v>7</v>
      </c>
      <c r="EM30">
        <f>SUMIFS(DataRegularSeason20242025!$AA$3:$AA$1315,DataRegularSeason20242025!$B$3:$B$1315, "&lt;=" &amp; EM$1, DataRegularSeason20242025!$D$3:$D$1315, $A30)+SUMIFS(DataRegularSeason20242025!$AB$3:$AB$1315,DataRegularSeason20242025!$B$3:$B$1315, "&lt;=" &amp; EM$1, DataRegularSeason20242025!$E$3:$E$1315, $A30)</f>
        <v>7</v>
      </c>
      <c r="EN30">
        <f>SUMIFS(DataRegularSeason20242025!$AA$3:$AA$1315,DataRegularSeason20242025!$B$3:$B$1315, "&lt;=" &amp; EN$1, DataRegularSeason20242025!$D$3:$D$1315, $A30)+SUMIFS(DataRegularSeason20242025!$AB$3:$AB$1315,DataRegularSeason20242025!$B$3:$B$1315, "&lt;=" &amp; EN$1, DataRegularSeason20242025!$E$3:$E$1315, $A30)</f>
        <v>7</v>
      </c>
      <c r="EO30">
        <f>SUMIFS(DataRegularSeason20242025!$AA$3:$AA$1315,DataRegularSeason20242025!$B$3:$B$1315, "&lt;=" &amp; EO$1, DataRegularSeason20242025!$D$3:$D$1315, $A30)+SUMIFS(DataRegularSeason20242025!$AB$3:$AB$1315,DataRegularSeason20242025!$B$3:$B$1315, "&lt;=" &amp; EO$1, DataRegularSeason20242025!$E$3:$E$1315, $A30)</f>
        <v>7</v>
      </c>
      <c r="EP30">
        <f>SUMIFS(DataRegularSeason20242025!$AA$3:$AA$1315,DataRegularSeason20242025!$B$3:$B$1315, "&lt;=" &amp; EP$1, DataRegularSeason20242025!$D$3:$D$1315, $A30)+SUMIFS(DataRegularSeason20242025!$AB$3:$AB$1315,DataRegularSeason20242025!$B$3:$B$1315, "&lt;=" &amp; EP$1, DataRegularSeason20242025!$E$3:$E$1315, $A30)</f>
        <v>7</v>
      </c>
      <c r="EQ30">
        <f>SUMIFS(DataRegularSeason20242025!$AA$3:$AA$1315,DataRegularSeason20242025!$B$3:$B$1315, "&lt;=" &amp; EQ$1, DataRegularSeason20242025!$D$3:$D$1315, $A30)+SUMIFS(DataRegularSeason20242025!$AB$3:$AB$1315,DataRegularSeason20242025!$B$3:$B$1315, "&lt;=" &amp; EQ$1, DataRegularSeason20242025!$E$3:$E$1315, $A30)</f>
        <v>7</v>
      </c>
      <c r="ER30">
        <f>SUMIFS(DataRegularSeason20242025!$AA$3:$AA$1315,DataRegularSeason20242025!$B$3:$B$1315, "&lt;=" &amp; ER$1, DataRegularSeason20242025!$D$3:$D$1315, $A30)+SUMIFS(DataRegularSeason20242025!$AB$3:$AB$1315,DataRegularSeason20242025!$B$3:$B$1315, "&lt;=" &amp; ER$1, DataRegularSeason20242025!$E$3:$E$1315, $A30)</f>
        <v>7</v>
      </c>
      <c r="ES30">
        <f>SUMIFS(DataRegularSeason20242025!$AA$3:$AA$1315,DataRegularSeason20242025!$B$3:$B$1315, "&lt;=" &amp; ES$1, DataRegularSeason20242025!$D$3:$D$1315, $A30)+SUMIFS(DataRegularSeason20242025!$AB$3:$AB$1315,DataRegularSeason20242025!$B$3:$B$1315, "&lt;=" &amp; ES$1, DataRegularSeason20242025!$E$3:$E$1315, $A30)</f>
        <v>7</v>
      </c>
      <c r="ET30">
        <f>SUMIFS(DataRegularSeason20242025!$AA$3:$AA$1315,DataRegularSeason20242025!$B$3:$B$1315, "&lt;=" &amp; ET$1, DataRegularSeason20242025!$D$3:$D$1315, $A30)+SUMIFS(DataRegularSeason20242025!$AB$3:$AB$1315,DataRegularSeason20242025!$B$3:$B$1315, "&lt;=" &amp; ET$1, DataRegularSeason20242025!$E$3:$E$1315, $A30)</f>
        <v>7</v>
      </c>
      <c r="EU30">
        <f>SUMIFS(DataRegularSeason20242025!$AA$3:$AA$1315,DataRegularSeason20242025!$B$3:$B$1315, "&lt;=" &amp; EU$1, DataRegularSeason20242025!$D$3:$D$1315, $A30)+SUMIFS(DataRegularSeason20242025!$AB$3:$AB$1315,DataRegularSeason20242025!$B$3:$B$1315, "&lt;=" &amp; EU$1, DataRegularSeason20242025!$E$3:$E$1315, $A30)</f>
        <v>7</v>
      </c>
      <c r="EV30">
        <f>SUMIFS(DataRegularSeason20242025!$AA$3:$AA$1315,DataRegularSeason20242025!$B$3:$B$1315, "&lt;=" &amp; EV$1, DataRegularSeason20242025!$D$3:$D$1315, $A30)+SUMIFS(DataRegularSeason20242025!$AB$3:$AB$1315,DataRegularSeason20242025!$B$3:$B$1315, "&lt;=" &amp; EV$1, DataRegularSeason20242025!$E$3:$E$1315, $A30)</f>
        <v>7</v>
      </c>
      <c r="EW30">
        <f>SUMIFS(DataRegularSeason20242025!$AA$3:$AA$1315,DataRegularSeason20242025!$B$3:$B$1315, "&lt;=" &amp; EW$1, DataRegularSeason20242025!$D$3:$D$1315, $A30)+SUMIFS(DataRegularSeason20242025!$AB$3:$AB$1315,DataRegularSeason20242025!$B$3:$B$1315, "&lt;=" &amp; EW$1, DataRegularSeason20242025!$E$3:$E$1315, $A30)</f>
        <v>7</v>
      </c>
      <c r="EX30">
        <f>SUMIFS(DataRegularSeason20242025!$AA$3:$AA$1315,DataRegularSeason20242025!$B$3:$B$1315, "&lt;=" &amp; EX$1, DataRegularSeason20242025!$D$3:$D$1315, $A30)+SUMIFS(DataRegularSeason20242025!$AB$3:$AB$1315,DataRegularSeason20242025!$B$3:$B$1315, "&lt;=" &amp; EX$1, DataRegularSeason20242025!$E$3:$E$1315, $A30)</f>
        <v>7</v>
      </c>
      <c r="EY30">
        <f>SUMIFS(DataRegularSeason20242025!$AA$3:$AA$1315,DataRegularSeason20242025!$B$3:$B$1315, "&lt;=" &amp; EY$1, DataRegularSeason20242025!$D$3:$D$1315, $A30)+SUMIFS(DataRegularSeason20242025!$AB$3:$AB$1315,DataRegularSeason20242025!$B$3:$B$1315, "&lt;=" &amp; EY$1, DataRegularSeason20242025!$E$3:$E$1315, $A30)</f>
        <v>7</v>
      </c>
      <c r="EZ30">
        <f>SUMIFS(DataRegularSeason20242025!$AA$3:$AA$1315,DataRegularSeason20242025!$B$3:$B$1315, "&lt;=" &amp; EZ$1, DataRegularSeason20242025!$D$3:$D$1315, $A30)+SUMIFS(DataRegularSeason20242025!$AB$3:$AB$1315,DataRegularSeason20242025!$B$3:$B$1315, "&lt;=" &amp; EZ$1, DataRegularSeason20242025!$E$3:$E$1315, $A30)</f>
        <v>7</v>
      </c>
      <c r="FA30">
        <f>SUMIFS(DataRegularSeason20242025!$AA$3:$AA$1315,DataRegularSeason20242025!$B$3:$B$1315, "&lt;=" &amp; FA$1, DataRegularSeason20242025!$D$3:$D$1315, $A30)+SUMIFS(DataRegularSeason20242025!$AB$3:$AB$1315,DataRegularSeason20242025!$B$3:$B$1315, "&lt;=" &amp; FA$1, DataRegularSeason20242025!$E$3:$E$1315, $A30)</f>
        <v>7</v>
      </c>
      <c r="FB30">
        <f>SUMIFS(DataRegularSeason20242025!$AA$3:$AA$1315,DataRegularSeason20242025!$B$3:$B$1315, "&lt;=" &amp; FB$1, DataRegularSeason20242025!$D$3:$D$1315, $A30)+SUMIFS(DataRegularSeason20242025!$AB$3:$AB$1315,DataRegularSeason20242025!$B$3:$B$1315, "&lt;=" &amp; FB$1, DataRegularSeason20242025!$E$3:$E$1315, $A30)</f>
        <v>7</v>
      </c>
      <c r="FC30">
        <f>SUMIFS(DataRegularSeason20242025!$AA$3:$AA$1315,DataRegularSeason20242025!$B$3:$B$1315, "&lt;=" &amp; FC$1, DataRegularSeason20242025!$D$3:$D$1315, $A30)+SUMIFS(DataRegularSeason20242025!$AB$3:$AB$1315,DataRegularSeason20242025!$B$3:$B$1315, "&lt;=" &amp; FC$1, DataRegularSeason20242025!$E$3:$E$1315, $A30)</f>
        <v>7</v>
      </c>
      <c r="FD30">
        <f>SUMIFS(DataRegularSeason20242025!$AA$3:$AA$1315,DataRegularSeason20242025!$B$3:$B$1315, "&lt;=" &amp; FD$1, DataRegularSeason20242025!$D$3:$D$1315, $A30)+SUMIFS(DataRegularSeason20242025!$AB$3:$AB$1315,DataRegularSeason20242025!$B$3:$B$1315, "&lt;=" &amp; FD$1, DataRegularSeason20242025!$E$3:$E$1315, $A30)</f>
        <v>7</v>
      </c>
      <c r="FE30">
        <f>SUMIFS(DataRegularSeason20242025!$AA$3:$AA$1315,DataRegularSeason20242025!$B$3:$B$1315, "&lt;=" &amp; FE$1, DataRegularSeason20242025!$D$3:$D$1315, $A30)+SUMIFS(DataRegularSeason20242025!$AB$3:$AB$1315,DataRegularSeason20242025!$B$3:$B$1315, "&lt;=" &amp; FE$1, DataRegularSeason20242025!$E$3:$E$1315, $A30)</f>
        <v>7</v>
      </c>
      <c r="FF30">
        <f>SUMIFS(DataRegularSeason20242025!$AA$3:$AA$1315,DataRegularSeason20242025!$B$3:$B$1315, "&lt;=" &amp; FF$1, DataRegularSeason20242025!$D$3:$D$1315, $A30)+SUMIFS(DataRegularSeason20242025!$AB$3:$AB$1315,DataRegularSeason20242025!$B$3:$B$1315, "&lt;=" &amp; FF$1, DataRegularSeason20242025!$E$3:$E$1315, $A30)</f>
        <v>7</v>
      </c>
      <c r="FG30">
        <f>SUMIFS(DataRegularSeason20242025!$AA$3:$AA$1315,DataRegularSeason20242025!$B$3:$B$1315, "&lt;=" &amp; FG$1, DataRegularSeason20242025!$D$3:$D$1315, $A30)+SUMIFS(DataRegularSeason20242025!$AB$3:$AB$1315,DataRegularSeason20242025!$B$3:$B$1315, "&lt;=" &amp; FG$1, DataRegularSeason20242025!$E$3:$E$1315, $A30)</f>
        <v>7</v>
      </c>
      <c r="FH30">
        <f>SUMIFS(DataRegularSeason20242025!$AA$3:$AA$1315,DataRegularSeason20242025!$B$3:$B$1315, "&lt;=" &amp; FH$1, DataRegularSeason20242025!$D$3:$D$1315, $A30)+SUMIFS(DataRegularSeason20242025!$AB$3:$AB$1315,DataRegularSeason20242025!$B$3:$B$1315, "&lt;=" &amp; FH$1, DataRegularSeason20242025!$E$3:$E$1315, $A30)</f>
        <v>7</v>
      </c>
      <c r="FI30">
        <f>SUMIFS(DataRegularSeason20242025!$AA$3:$AA$1315,DataRegularSeason20242025!$B$3:$B$1315, "&lt;=" &amp; FI$1, DataRegularSeason20242025!$D$3:$D$1315, $A30)+SUMIFS(DataRegularSeason20242025!$AB$3:$AB$1315,DataRegularSeason20242025!$B$3:$B$1315, "&lt;=" &amp; FI$1, DataRegularSeason20242025!$E$3:$E$1315, $A30)</f>
        <v>7</v>
      </c>
      <c r="FJ30">
        <f>SUMIFS(DataRegularSeason20242025!$AA$3:$AA$1315,DataRegularSeason20242025!$B$3:$B$1315, "&lt;=" &amp; FJ$1, DataRegularSeason20242025!$D$3:$D$1315, $A30)+SUMIFS(DataRegularSeason20242025!$AB$3:$AB$1315,DataRegularSeason20242025!$B$3:$B$1315, "&lt;=" &amp; FJ$1, DataRegularSeason20242025!$E$3:$E$1315, $A30)</f>
        <v>7</v>
      </c>
      <c r="FK30">
        <f>SUMIFS(DataRegularSeason20242025!$AA$3:$AA$1315,DataRegularSeason20242025!$B$3:$B$1315, "&lt;=" &amp; FK$1, DataRegularSeason20242025!$D$3:$D$1315, $A30)+SUMIFS(DataRegularSeason20242025!$AB$3:$AB$1315,DataRegularSeason20242025!$B$3:$B$1315, "&lt;=" &amp; FK$1, DataRegularSeason20242025!$E$3:$E$1315, $A30)</f>
        <v>7</v>
      </c>
      <c r="FL30">
        <f>SUMIFS(DataRegularSeason20242025!$AA$3:$AA$1315,DataRegularSeason20242025!$B$3:$B$1315, "&lt;=" &amp; FL$1, DataRegularSeason20242025!$D$3:$D$1315, $A30)+SUMIFS(DataRegularSeason20242025!$AB$3:$AB$1315,DataRegularSeason20242025!$B$3:$B$1315, "&lt;=" &amp; FL$1, DataRegularSeason20242025!$E$3:$E$1315, $A30)</f>
        <v>7</v>
      </c>
      <c r="FM30">
        <f>SUMIFS(DataRegularSeason20242025!$AA$3:$AA$1315,DataRegularSeason20242025!$B$3:$B$1315, "&lt;=" &amp; FM$1, DataRegularSeason20242025!$D$3:$D$1315, $A30)+SUMIFS(DataRegularSeason20242025!$AB$3:$AB$1315,DataRegularSeason20242025!$B$3:$B$1315, "&lt;=" &amp; FM$1, DataRegularSeason20242025!$E$3:$E$1315, $A30)</f>
        <v>7</v>
      </c>
      <c r="FN30">
        <f>SUMIFS(DataRegularSeason20242025!$AA$3:$AA$1315,DataRegularSeason20242025!$B$3:$B$1315, "&lt;=" &amp; FN$1, DataRegularSeason20242025!$D$3:$D$1315, $A30)+SUMIFS(DataRegularSeason20242025!$AB$3:$AB$1315,DataRegularSeason20242025!$B$3:$B$1315, "&lt;=" &amp; FN$1, DataRegularSeason20242025!$E$3:$E$1315, $A30)</f>
        <v>7</v>
      </c>
      <c r="FO30">
        <f>SUMIFS(DataRegularSeason20242025!$AA$3:$AA$1315,DataRegularSeason20242025!$B$3:$B$1315, "&lt;=" &amp; FO$1, DataRegularSeason20242025!$D$3:$D$1315, $A30)+SUMIFS(DataRegularSeason20242025!$AB$3:$AB$1315,DataRegularSeason20242025!$B$3:$B$1315, "&lt;=" &amp; FO$1, DataRegularSeason20242025!$E$3:$E$1315, $A30)</f>
        <v>7</v>
      </c>
      <c r="FP30">
        <f>SUMIFS(DataRegularSeason20242025!$AA$3:$AA$1315,DataRegularSeason20242025!$B$3:$B$1315, "&lt;=" &amp; FP$1, DataRegularSeason20242025!$D$3:$D$1315, $A30)+SUMIFS(DataRegularSeason20242025!$AB$3:$AB$1315,DataRegularSeason20242025!$B$3:$B$1315, "&lt;=" &amp; FP$1, DataRegularSeason20242025!$E$3:$E$1315, $A30)</f>
        <v>7</v>
      </c>
      <c r="FQ30">
        <f>SUMIFS(DataRegularSeason20242025!$AA$3:$AA$1315,DataRegularSeason20242025!$B$3:$B$1315, "&lt;=" &amp; FQ$1, DataRegularSeason20242025!$D$3:$D$1315, $A30)+SUMIFS(DataRegularSeason20242025!$AB$3:$AB$1315,DataRegularSeason20242025!$B$3:$B$1315, "&lt;=" &amp; FQ$1, DataRegularSeason20242025!$E$3:$E$1315, $A30)</f>
        <v>7</v>
      </c>
      <c r="FR30">
        <f>SUMIFS(DataRegularSeason20242025!$AA$3:$AA$1315,DataRegularSeason20242025!$B$3:$B$1315, "&lt;=" &amp; FR$1, DataRegularSeason20242025!$D$3:$D$1315, $A30)+SUMIFS(DataRegularSeason20242025!$AB$3:$AB$1315,DataRegularSeason20242025!$B$3:$B$1315, "&lt;=" &amp; FR$1, DataRegularSeason20242025!$E$3:$E$1315, $A30)</f>
        <v>7</v>
      </c>
      <c r="FS30">
        <f>SUMIFS(DataRegularSeason20242025!$AA$3:$AA$1315,DataRegularSeason20242025!$B$3:$B$1315, "&lt;=" &amp; FS$1, DataRegularSeason20242025!$D$3:$D$1315, $A30)+SUMIFS(DataRegularSeason20242025!$AB$3:$AB$1315,DataRegularSeason20242025!$B$3:$B$1315, "&lt;=" &amp; FS$1, DataRegularSeason20242025!$E$3:$E$1315, $A30)</f>
        <v>7</v>
      </c>
      <c r="FT30">
        <f>SUMIFS(DataRegularSeason20242025!$AA$3:$AA$1315,DataRegularSeason20242025!$B$3:$B$1315, "&lt;=" &amp; FT$1, DataRegularSeason20242025!$D$3:$D$1315, $A30)+SUMIFS(DataRegularSeason20242025!$AB$3:$AB$1315,DataRegularSeason20242025!$B$3:$B$1315, "&lt;=" &amp; FT$1, DataRegularSeason20242025!$E$3:$E$1315, $A30)</f>
        <v>7</v>
      </c>
      <c r="FU30">
        <f>SUMIFS(DataRegularSeason20242025!$AA$3:$AA$1315,DataRegularSeason20242025!$B$3:$B$1315, "&lt;=" &amp; FU$1, DataRegularSeason20242025!$D$3:$D$1315, $A30)+SUMIFS(DataRegularSeason20242025!$AB$3:$AB$1315,DataRegularSeason20242025!$B$3:$B$1315, "&lt;=" &amp; FU$1, DataRegularSeason20242025!$E$3:$E$1315, $A30)</f>
        <v>7</v>
      </c>
      <c r="FV30">
        <f>SUMIFS(DataRegularSeason20242025!$AA$3:$AA$1315,DataRegularSeason20242025!$B$3:$B$1315, "&lt;=" &amp; FV$1, DataRegularSeason20242025!$D$3:$D$1315, $A30)+SUMIFS(DataRegularSeason20242025!$AB$3:$AB$1315,DataRegularSeason20242025!$B$3:$B$1315, "&lt;=" &amp; FV$1, DataRegularSeason20242025!$E$3:$E$1315, $A30)</f>
        <v>7</v>
      </c>
      <c r="FW30">
        <f>SUMIFS(DataRegularSeason20242025!$AA$3:$AA$1315,DataRegularSeason20242025!$B$3:$B$1315, "&lt;=" &amp; FW$1, DataRegularSeason20242025!$D$3:$D$1315, $A30)+SUMIFS(DataRegularSeason20242025!$AB$3:$AB$1315,DataRegularSeason20242025!$B$3:$B$1315, "&lt;=" &amp; FW$1, DataRegularSeason20242025!$E$3:$E$1315, $A30)</f>
        <v>7</v>
      </c>
      <c r="FX30">
        <f>SUMIFS(DataRegularSeason20242025!$AA$3:$AA$1315,DataRegularSeason20242025!$B$3:$B$1315, "&lt;=" &amp; FX$1, DataRegularSeason20242025!$D$3:$D$1315, $A30)+SUMIFS(DataRegularSeason20242025!$AB$3:$AB$1315,DataRegularSeason20242025!$B$3:$B$1315, "&lt;=" &amp; FX$1, DataRegularSeason20242025!$E$3:$E$1315, $A30)</f>
        <v>7</v>
      </c>
      <c r="FY30">
        <f>SUMIFS(DataRegularSeason20242025!$AA$3:$AA$1315,DataRegularSeason20242025!$B$3:$B$1315, "&lt;=" &amp; FY$1, DataRegularSeason20242025!$D$3:$D$1315, $A30)+SUMIFS(DataRegularSeason20242025!$AB$3:$AB$1315,DataRegularSeason20242025!$B$3:$B$1315, "&lt;=" &amp; FY$1, DataRegularSeason20242025!$E$3:$E$1315, $A30)</f>
        <v>7</v>
      </c>
      <c r="FZ30">
        <f>SUMIFS(DataRegularSeason20242025!$AA$3:$AA$1315,DataRegularSeason20242025!$B$3:$B$1315, "&lt;=" &amp; FZ$1, DataRegularSeason20242025!$D$3:$D$1315, $A30)+SUMIFS(DataRegularSeason20242025!$AB$3:$AB$1315,DataRegularSeason20242025!$B$3:$B$1315, "&lt;=" &amp; FZ$1, DataRegularSeason20242025!$E$3:$E$1315, $A30)</f>
        <v>7</v>
      </c>
      <c r="GA30">
        <f>SUMIFS(DataRegularSeason20242025!$AA$3:$AA$1315,DataRegularSeason20242025!$B$3:$B$1315, "&lt;=" &amp; GA$1, DataRegularSeason20242025!$D$3:$D$1315, $A30)+SUMIFS(DataRegularSeason20242025!$AB$3:$AB$1315,DataRegularSeason20242025!$B$3:$B$1315, "&lt;=" &amp; GA$1, DataRegularSeason20242025!$E$3:$E$1315, $A30)</f>
        <v>7</v>
      </c>
      <c r="GB30">
        <f>SUMIFS(DataRegularSeason20242025!$AA$3:$AA$1315,DataRegularSeason20242025!$B$3:$B$1315, "&lt;=" &amp; GB$1, DataRegularSeason20242025!$D$3:$D$1315, $A30)+SUMIFS(DataRegularSeason20242025!$AB$3:$AB$1315,DataRegularSeason20242025!$B$3:$B$1315, "&lt;=" &amp; GB$1, DataRegularSeason20242025!$E$3:$E$1315, $A30)</f>
        <v>7</v>
      </c>
      <c r="GC30">
        <f>SUMIFS(DataRegularSeason20242025!$AA$3:$AA$1315,DataRegularSeason20242025!$B$3:$B$1315, "&lt;=" &amp; GC$1, DataRegularSeason20242025!$D$3:$D$1315, $A30)+SUMIFS(DataRegularSeason20242025!$AB$3:$AB$1315,DataRegularSeason20242025!$B$3:$B$1315, "&lt;=" &amp; GC$1, DataRegularSeason20242025!$E$3:$E$1315, $A30)</f>
        <v>7</v>
      </c>
      <c r="GD30">
        <f>SUMIFS(DataRegularSeason20242025!$AA$3:$AA$1315,DataRegularSeason20242025!$B$3:$B$1315, "&lt;=" &amp; GD$1, DataRegularSeason20242025!$D$3:$D$1315, $A30)+SUMIFS(DataRegularSeason20242025!$AB$3:$AB$1315,DataRegularSeason20242025!$B$3:$B$1315, "&lt;=" &amp; GD$1, DataRegularSeason20242025!$E$3:$E$1315, $A30)</f>
        <v>7</v>
      </c>
      <c r="GE30">
        <f>SUMIFS(DataRegularSeason20242025!$AA$3:$AA$1315,DataRegularSeason20242025!$B$3:$B$1315, "&lt;=" &amp; GE$1, DataRegularSeason20242025!$D$3:$D$1315, $A30)+SUMIFS(DataRegularSeason20242025!$AB$3:$AB$1315,DataRegularSeason20242025!$B$3:$B$1315, "&lt;=" &amp; GE$1, DataRegularSeason20242025!$E$3:$E$1315, $A30)</f>
        <v>7</v>
      </c>
      <c r="GF30">
        <f>SUMIFS(DataRegularSeason20242025!$AA$3:$AA$1315,DataRegularSeason20242025!$B$3:$B$1315, "&lt;=" &amp; GF$1, DataRegularSeason20242025!$D$3:$D$1315, $A30)+SUMIFS(DataRegularSeason20242025!$AB$3:$AB$1315,DataRegularSeason20242025!$B$3:$B$1315, "&lt;=" &amp; GF$1, DataRegularSeason20242025!$E$3:$E$1315, $A30)</f>
        <v>7</v>
      </c>
      <c r="GG30">
        <f>SUMIFS(DataRegularSeason20242025!$AA$3:$AA$1315,DataRegularSeason20242025!$B$3:$B$1315, "&lt;=" &amp; GG$1, DataRegularSeason20242025!$D$3:$D$1315, $A30)+SUMIFS(DataRegularSeason20242025!$AB$3:$AB$1315,DataRegularSeason20242025!$B$3:$B$1315, "&lt;=" &amp; GG$1, DataRegularSeason20242025!$E$3:$E$1315, $A30)</f>
        <v>7</v>
      </c>
      <c r="GH30">
        <f>SUMIFS(DataRegularSeason20242025!$AA$3:$AA$1315,DataRegularSeason20242025!$B$3:$B$1315, "&lt;=" &amp; GH$1, DataRegularSeason20242025!$D$3:$D$1315, $A30)+SUMIFS(DataRegularSeason20242025!$AB$3:$AB$1315,DataRegularSeason20242025!$B$3:$B$1315, "&lt;=" &amp; GH$1, DataRegularSeason20242025!$E$3:$E$1315, $A30)</f>
        <v>7</v>
      </c>
      <c r="GI30">
        <f>SUMIFS(DataRegularSeason20242025!$AA$3:$AA$1315,DataRegularSeason20242025!$B$3:$B$1315, "&lt;=" &amp; GI$1, DataRegularSeason20242025!$D$3:$D$1315, $A30)+SUMIFS(DataRegularSeason20242025!$AB$3:$AB$1315,DataRegularSeason20242025!$B$3:$B$1315, "&lt;=" &amp; GI$1, DataRegularSeason20242025!$E$3:$E$1315, $A30)</f>
        <v>7</v>
      </c>
      <c r="GJ30">
        <f>SUMIFS(DataRegularSeason20242025!$AA$3:$AA$1315,DataRegularSeason20242025!$B$3:$B$1315, "&lt;=" &amp; GJ$1, DataRegularSeason20242025!$D$3:$D$1315, $A30)+SUMIFS(DataRegularSeason20242025!$AB$3:$AB$1315,DataRegularSeason20242025!$B$3:$B$1315, "&lt;=" &amp; GJ$1, DataRegularSeason20242025!$E$3:$E$1315, $A30)</f>
        <v>7</v>
      </c>
      <c r="GK30">
        <f>SUMIFS(DataRegularSeason20242025!$AA$3:$AA$1315,DataRegularSeason20242025!$B$3:$B$1315, "&lt;=" &amp; GK$1, DataRegularSeason20242025!$D$3:$D$1315, $A30)+SUMIFS(DataRegularSeason20242025!$AB$3:$AB$1315,DataRegularSeason20242025!$B$3:$B$1315, "&lt;=" &amp; GK$1, DataRegularSeason20242025!$E$3:$E$1315, $A30)</f>
        <v>7</v>
      </c>
      <c r="GL30">
        <f>SUMIFS(DataRegularSeason20242025!$AA$3:$AA$1315,DataRegularSeason20242025!$B$3:$B$1315, "&lt;=" &amp; GL$1, DataRegularSeason20242025!$D$3:$D$1315, $A30)+SUMIFS(DataRegularSeason20242025!$AB$3:$AB$1315,DataRegularSeason20242025!$B$3:$B$1315, "&lt;=" &amp; GL$1, DataRegularSeason20242025!$E$3:$E$1315, $A30)</f>
        <v>7</v>
      </c>
      <c r="GM30">
        <f>SUMIFS(DataRegularSeason20242025!$AA$3:$AA$1315,DataRegularSeason20242025!$B$3:$B$1315, "&lt;=" &amp; GM$1, DataRegularSeason20242025!$D$3:$D$1315, $A30)+SUMIFS(DataRegularSeason20242025!$AB$3:$AB$1315,DataRegularSeason20242025!$B$3:$B$1315, "&lt;=" &amp; GM$1, DataRegularSeason20242025!$E$3:$E$1315, $A30)</f>
        <v>7</v>
      </c>
      <c r="GN30">
        <f>SUMIFS(DataRegularSeason20242025!$AA$3:$AA$1315,DataRegularSeason20242025!$B$3:$B$1315, "&lt;=" &amp; GN$1, DataRegularSeason20242025!$D$3:$D$1315, $A30)+SUMIFS(DataRegularSeason20242025!$AB$3:$AB$1315,DataRegularSeason20242025!$B$3:$B$1315, "&lt;=" &amp; GN$1, DataRegularSeason20242025!$E$3:$E$1315, $A30)</f>
        <v>7</v>
      </c>
      <c r="GO30">
        <f>SUMIFS(DataRegularSeason20242025!$AA$3:$AA$1315,DataRegularSeason20242025!$B$3:$B$1315, "&lt;=" &amp; GO$1, DataRegularSeason20242025!$D$3:$D$1315, $A30)+SUMIFS(DataRegularSeason20242025!$AB$3:$AB$1315,DataRegularSeason20242025!$B$3:$B$1315, "&lt;=" &amp; GO$1, DataRegularSeason20242025!$E$3:$E$1315, $A30)</f>
        <v>7</v>
      </c>
      <c r="GP30">
        <f>SUMIFS(DataRegularSeason20242025!$AA$3:$AA$1315,DataRegularSeason20242025!$B$3:$B$1315, "&lt;=" &amp; GP$1, DataRegularSeason20242025!$D$3:$D$1315, $A30)+SUMIFS(DataRegularSeason20242025!$AB$3:$AB$1315,DataRegularSeason20242025!$B$3:$B$1315, "&lt;=" &amp; GP$1, DataRegularSeason20242025!$E$3:$E$1315, $A30)</f>
        <v>7</v>
      </c>
      <c r="GQ30">
        <f>SUMIFS(DataRegularSeason20242025!$AA$3:$AA$1315,DataRegularSeason20242025!$B$3:$B$1315, "&lt;=" &amp; GQ$1, DataRegularSeason20242025!$D$3:$D$1315, $A30)+SUMIFS(DataRegularSeason20242025!$AB$3:$AB$1315,DataRegularSeason20242025!$B$3:$B$1315, "&lt;=" &amp; GQ$1, DataRegularSeason20242025!$E$3:$E$1315, $A30)</f>
        <v>7</v>
      </c>
      <c r="GR30">
        <f>SUMIFS(DataRegularSeason20242025!$AA$3:$AA$1315,DataRegularSeason20242025!$B$3:$B$1315, "&lt;=" &amp; GR$1, DataRegularSeason20242025!$D$3:$D$1315, $A30)+SUMIFS(DataRegularSeason20242025!$AB$3:$AB$1315,DataRegularSeason20242025!$B$3:$B$1315, "&lt;=" &amp; GR$1, DataRegularSeason20242025!$E$3:$E$1315, $A30)</f>
        <v>7</v>
      </c>
      <c r="GS30">
        <f>SUMIFS(DataRegularSeason20242025!$AA$3:$AA$1315,DataRegularSeason20242025!$B$3:$B$1315, "&lt;=" &amp; GS$1, DataRegularSeason20242025!$D$3:$D$1315, $A30)+SUMIFS(DataRegularSeason20242025!$AB$3:$AB$1315,DataRegularSeason20242025!$B$3:$B$1315, "&lt;=" &amp; GS$1, DataRegularSeason20242025!$E$3:$E$1315, $A30)</f>
        <v>7</v>
      </c>
      <c r="GT30">
        <f>SUMIFS(DataRegularSeason20242025!$AA$3:$AA$1315,DataRegularSeason20242025!$B$3:$B$1315, "&lt;=" &amp; GT$1, DataRegularSeason20242025!$D$3:$D$1315, $A30)+SUMIFS(DataRegularSeason20242025!$AB$3:$AB$1315,DataRegularSeason20242025!$B$3:$B$1315, "&lt;=" &amp; GT$1, DataRegularSeason20242025!$E$3:$E$1315, $A30)</f>
        <v>7</v>
      </c>
      <c r="GU30">
        <f>SUMIFS(DataRegularSeason20242025!$AA$3:$AA$1315,DataRegularSeason20242025!$B$3:$B$1315, "&lt;=" &amp; GU$1, DataRegularSeason20242025!$D$3:$D$1315, $A30)+SUMIFS(DataRegularSeason20242025!$AB$3:$AB$1315,DataRegularSeason20242025!$B$3:$B$1315, "&lt;=" &amp; GU$1, DataRegularSeason20242025!$E$3:$E$1315, $A30)</f>
        <v>7</v>
      </c>
    </row>
    <row r="31" spans="1:203" x14ac:dyDescent="0.25">
      <c r="A31" t="s">
        <v>27</v>
      </c>
      <c r="B31" t="s">
        <v>90</v>
      </c>
      <c r="C31" s="108" t="s">
        <v>93</v>
      </c>
      <c r="D31">
        <f>SUMIFS(DataRegularSeason20242025!$AA$3:$AA$1315,DataRegularSeason20242025!$B$3:$B$1315, "&lt;=" &amp; D$1, DataRegularSeason20242025!$D$3:$D$1315, $A31)+SUMIFS(DataRegularSeason20242025!$AB$3:$AB$1315,DataRegularSeason20242025!$B$3:$B$1315, "&lt;=" &amp; D$1, DataRegularSeason20242025!$E$3:$E$1315, $A31)</f>
        <v>0</v>
      </c>
      <c r="E31">
        <f>SUMIFS(DataRegularSeason20242025!$AA$3:$AA$1315,DataRegularSeason20242025!$B$3:$B$1315, "&lt;=" &amp; E$1, DataRegularSeason20242025!$D$3:$D$1315, $A31)+SUMIFS(DataRegularSeason20242025!$AB$3:$AB$1315,DataRegularSeason20242025!$B$3:$B$1315, "&lt;=" &amp; E$1, DataRegularSeason20242025!$E$3:$E$1315, $A31)</f>
        <v>0</v>
      </c>
      <c r="F31">
        <f>SUMIFS(DataRegularSeason20242025!$AA$3:$AA$1315,DataRegularSeason20242025!$B$3:$B$1315, "&lt;=" &amp; F$1, DataRegularSeason20242025!$D$3:$D$1315, $A31)+SUMIFS(DataRegularSeason20242025!$AB$3:$AB$1315,DataRegularSeason20242025!$B$3:$B$1315, "&lt;=" &amp; F$1, DataRegularSeason20242025!$E$3:$E$1315, $A31)</f>
        <v>0</v>
      </c>
      <c r="G31">
        <f>SUMIFS(DataRegularSeason20242025!$AA$3:$AA$1315,DataRegularSeason20242025!$B$3:$B$1315, "&lt;=" &amp; G$1, DataRegularSeason20242025!$D$3:$D$1315, $A31)+SUMIFS(DataRegularSeason20242025!$AB$3:$AB$1315,DataRegularSeason20242025!$B$3:$B$1315, "&lt;=" &amp; G$1, DataRegularSeason20242025!$E$3:$E$1315, $A31)</f>
        <v>0</v>
      </c>
      <c r="H31">
        <f>SUMIFS(DataRegularSeason20242025!$AA$3:$AA$1315,DataRegularSeason20242025!$B$3:$B$1315, "&lt;=" &amp; H$1, DataRegularSeason20242025!$D$3:$D$1315, $A31)+SUMIFS(DataRegularSeason20242025!$AB$3:$AB$1315,DataRegularSeason20242025!$B$3:$B$1315, "&lt;=" &amp; H$1, DataRegularSeason20242025!$E$3:$E$1315, $A31)</f>
        <v>0</v>
      </c>
      <c r="I31">
        <f>SUMIFS(DataRegularSeason20242025!$AA$3:$AA$1315,DataRegularSeason20242025!$B$3:$B$1315, "&lt;=" &amp; I$1, DataRegularSeason20242025!$D$3:$D$1315, $A31)+SUMIFS(DataRegularSeason20242025!$AB$3:$AB$1315,DataRegularSeason20242025!$B$3:$B$1315, "&lt;=" &amp; I$1, DataRegularSeason20242025!$E$3:$E$1315, $A31)</f>
        <v>2</v>
      </c>
      <c r="J31">
        <f>SUMIFS(DataRegularSeason20242025!$AA$3:$AA$1315,DataRegularSeason20242025!$B$3:$B$1315, "&lt;=" &amp; J$1, DataRegularSeason20242025!$D$3:$D$1315, $A31)+SUMIFS(DataRegularSeason20242025!$AB$3:$AB$1315,DataRegularSeason20242025!$B$3:$B$1315, "&lt;=" &amp; J$1, DataRegularSeason20242025!$E$3:$E$1315, $A31)</f>
        <v>2</v>
      </c>
      <c r="K31">
        <f>SUMIFS(DataRegularSeason20242025!$AA$3:$AA$1315,DataRegularSeason20242025!$B$3:$B$1315, "&lt;=" &amp; K$1, DataRegularSeason20242025!$D$3:$D$1315, $A31)+SUMIFS(DataRegularSeason20242025!$AB$3:$AB$1315,DataRegularSeason20242025!$B$3:$B$1315, "&lt;=" &amp; K$1, DataRegularSeason20242025!$E$3:$E$1315, $A31)</f>
        <v>2</v>
      </c>
      <c r="L31">
        <f>SUMIFS(DataRegularSeason20242025!$AA$3:$AA$1315,DataRegularSeason20242025!$B$3:$B$1315, "&lt;=" &amp; L$1, DataRegularSeason20242025!$D$3:$D$1315, $A31)+SUMIFS(DataRegularSeason20242025!$AB$3:$AB$1315,DataRegularSeason20242025!$B$3:$B$1315, "&lt;=" &amp; L$1, DataRegularSeason20242025!$E$3:$E$1315, $A31)</f>
        <v>2</v>
      </c>
      <c r="M31">
        <f>SUMIFS(DataRegularSeason20242025!$AA$3:$AA$1315,DataRegularSeason20242025!$B$3:$B$1315, "&lt;=" &amp; M$1, DataRegularSeason20242025!$D$3:$D$1315, $A31)+SUMIFS(DataRegularSeason20242025!$AB$3:$AB$1315,DataRegularSeason20242025!$B$3:$B$1315, "&lt;=" &amp; M$1, DataRegularSeason20242025!$E$3:$E$1315, $A31)</f>
        <v>2</v>
      </c>
      <c r="N31">
        <f>SUMIFS(DataRegularSeason20242025!$AA$3:$AA$1315,DataRegularSeason20242025!$B$3:$B$1315, "&lt;=" &amp; N$1, DataRegularSeason20242025!$D$3:$D$1315, $A31)+SUMIFS(DataRegularSeason20242025!$AB$3:$AB$1315,DataRegularSeason20242025!$B$3:$B$1315, "&lt;=" &amp; N$1, DataRegularSeason20242025!$E$3:$E$1315, $A31)</f>
        <v>3</v>
      </c>
      <c r="O31">
        <f>SUMIFS(DataRegularSeason20242025!$AA$3:$AA$1315,DataRegularSeason20242025!$B$3:$B$1315, "&lt;=" &amp; O$1, DataRegularSeason20242025!$D$3:$D$1315, $A31)+SUMIFS(DataRegularSeason20242025!$AB$3:$AB$1315,DataRegularSeason20242025!$B$3:$B$1315, "&lt;=" &amp; O$1, DataRegularSeason20242025!$E$3:$E$1315, $A31)</f>
        <v>3</v>
      </c>
      <c r="P31">
        <f>SUMIFS(DataRegularSeason20242025!$AA$3:$AA$1315,DataRegularSeason20242025!$B$3:$B$1315, "&lt;=" &amp; P$1, DataRegularSeason20242025!$D$3:$D$1315, $A31)+SUMIFS(DataRegularSeason20242025!$AB$3:$AB$1315,DataRegularSeason20242025!$B$3:$B$1315, "&lt;=" &amp; P$1, DataRegularSeason20242025!$E$3:$E$1315, $A31)</f>
        <v>3</v>
      </c>
      <c r="Q31">
        <f>SUMIFS(DataRegularSeason20242025!$AA$3:$AA$1315,DataRegularSeason20242025!$B$3:$B$1315, "&lt;=" &amp; Q$1, DataRegularSeason20242025!$D$3:$D$1315, $A31)+SUMIFS(DataRegularSeason20242025!$AB$3:$AB$1315,DataRegularSeason20242025!$B$3:$B$1315, "&lt;=" &amp; Q$1, DataRegularSeason20242025!$E$3:$E$1315, $A31)</f>
        <v>3</v>
      </c>
      <c r="R31">
        <f>SUMIFS(DataRegularSeason20242025!$AA$3:$AA$1315,DataRegularSeason20242025!$B$3:$B$1315, "&lt;=" &amp; R$1, DataRegularSeason20242025!$D$3:$D$1315, $A31)+SUMIFS(DataRegularSeason20242025!$AB$3:$AB$1315,DataRegularSeason20242025!$B$3:$B$1315, "&lt;=" &amp; R$1, DataRegularSeason20242025!$E$3:$E$1315, $A31)</f>
        <v>3</v>
      </c>
      <c r="S31">
        <f>SUMIFS(DataRegularSeason20242025!$AA$3:$AA$1315,DataRegularSeason20242025!$B$3:$B$1315, "&lt;=" &amp; S$1, DataRegularSeason20242025!$D$3:$D$1315, $A31)+SUMIFS(DataRegularSeason20242025!$AB$3:$AB$1315,DataRegularSeason20242025!$B$3:$B$1315, "&lt;=" &amp; S$1, DataRegularSeason20242025!$E$3:$E$1315, $A31)</f>
        <v>4</v>
      </c>
      <c r="T31">
        <f>SUMIFS(DataRegularSeason20242025!$AA$3:$AA$1315,DataRegularSeason20242025!$B$3:$B$1315, "&lt;=" &amp; T$1, DataRegularSeason20242025!$D$3:$D$1315, $A31)+SUMIFS(DataRegularSeason20242025!$AB$3:$AB$1315,DataRegularSeason20242025!$B$3:$B$1315, "&lt;=" &amp; T$1, DataRegularSeason20242025!$E$3:$E$1315, $A31)</f>
        <v>4</v>
      </c>
      <c r="U31">
        <f>SUMIFS(DataRegularSeason20242025!$AA$3:$AA$1315,DataRegularSeason20242025!$B$3:$B$1315, "&lt;=" &amp; U$1, DataRegularSeason20242025!$D$3:$D$1315, $A31)+SUMIFS(DataRegularSeason20242025!$AB$3:$AB$1315,DataRegularSeason20242025!$B$3:$B$1315, "&lt;=" &amp; U$1, DataRegularSeason20242025!$E$3:$E$1315, $A31)</f>
        <v>4</v>
      </c>
      <c r="V31">
        <f>SUMIFS(DataRegularSeason20242025!$AA$3:$AA$1315,DataRegularSeason20242025!$B$3:$B$1315, "&lt;=" &amp; V$1, DataRegularSeason20242025!$D$3:$D$1315, $A31)+SUMIFS(DataRegularSeason20242025!$AB$3:$AB$1315,DataRegularSeason20242025!$B$3:$B$1315, "&lt;=" &amp; V$1, DataRegularSeason20242025!$E$3:$E$1315, $A31)</f>
        <v>6</v>
      </c>
      <c r="W31">
        <f>SUMIFS(DataRegularSeason20242025!$AA$3:$AA$1315,DataRegularSeason20242025!$B$3:$B$1315, "&lt;=" &amp; W$1, DataRegularSeason20242025!$D$3:$D$1315, $A31)+SUMIFS(DataRegularSeason20242025!$AB$3:$AB$1315,DataRegularSeason20242025!$B$3:$B$1315, "&lt;=" &amp; W$1, DataRegularSeason20242025!$E$3:$E$1315, $A31)</f>
        <v>6</v>
      </c>
      <c r="X31">
        <f>SUMIFS(DataRegularSeason20242025!$AA$3:$AA$1315,DataRegularSeason20242025!$B$3:$B$1315, "&lt;=" &amp; X$1, DataRegularSeason20242025!$D$3:$D$1315, $A31)+SUMIFS(DataRegularSeason20242025!$AB$3:$AB$1315,DataRegularSeason20242025!$B$3:$B$1315, "&lt;=" &amp; X$1, DataRegularSeason20242025!$E$3:$E$1315, $A31)</f>
        <v>6</v>
      </c>
      <c r="Y31">
        <f>SUMIFS(DataRegularSeason20242025!$AA$3:$AA$1315,DataRegularSeason20242025!$B$3:$B$1315, "&lt;=" &amp; Y$1, DataRegularSeason20242025!$D$3:$D$1315, $A31)+SUMIFS(DataRegularSeason20242025!$AB$3:$AB$1315,DataRegularSeason20242025!$B$3:$B$1315, "&lt;=" &amp; Y$1, DataRegularSeason20242025!$E$3:$E$1315, $A31)</f>
        <v>6</v>
      </c>
      <c r="Z31">
        <f>SUMIFS(DataRegularSeason20242025!$AA$3:$AA$1315,DataRegularSeason20242025!$B$3:$B$1315, "&lt;=" &amp; Z$1, DataRegularSeason20242025!$D$3:$D$1315, $A31)+SUMIFS(DataRegularSeason20242025!$AB$3:$AB$1315,DataRegularSeason20242025!$B$3:$B$1315, "&lt;=" &amp; Z$1, DataRegularSeason20242025!$E$3:$E$1315, $A31)</f>
        <v>6</v>
      </c>
      <c r="AA31">
        <f>SUMIFS(DataRegularSeason20242025!$AA$3:$AA$1315,DataRegularSeason20242025!$B$3:$B$1315, "&lt;=" &amp; AA$1, DataRegularSeason20242025!$D$3:$D$1315, $A31)+SUMIFS(DataRegularSeason20242025!$AB$3:$AB$1315,DataRegularSeason20242025!$B$3:$B$1315, "&lt;=" &amp; AA$1, DataRegularSeason20242025!$E$3:$E$1315, $A31)</f>
        <v>6</v>
      </c>
      <c r="AB31">
        <f>SUMIFS(DataRegularSeason20242025!$AA$3:$AA$1315,DataRegularSeason20242025!$B$3:$B$1315, "&lt;=" &amp; AB$1, DataRegularSeason20242025!$D$3:$D$1315, $A31)+SUMIFS(DataRegularSeason20242025!$AB$3:$AB$1315,DataRegularSeason20242025!$B$3:$B$1315, "&lt;=" &amp; AB$1, DataRegularSeason20242025!$E$3:$E$1315, $A31)</f>
        <v>6</v>
      </c>
      <c r="AC31">
        <f>SUMIFS(DataRegularSeason20242025!$AA$3:$AA$1315,DataRegularSeason20242025!$B$3:$B$1315, "&lt;=" &amp; AC$1, DataRegularSeason20242025!$D$3:$D$1315, $A31)+SUMIFS(DataRegularSeason20242025!$AB$3:$AB$1315,DataRegularSeason20242025!$B$3:$B$1315, "&lt;=" &amp; AC$1, DataRegularSeason20242025!$E$3:$E$1315, $A31)</f>
        <v>6</v>
      </c>
      <c r="AD31">
        <f>SUMIFS(DataRegularSeason20242025!$AA$3:$AA$1315,DataRegularSeason20242025!$B$3:$B$1315, "&lt;=" &amp; AD$1, DataRegularSeason20242025!$D$3:$D$1315, $A31)+SUMIFS(DataRegularSeason20242025!$AB$3:$AB$1315,DataRegularSeason20242025!$B$3:$B$1315, "&lt;=" &amp; AD$1, DataRegularSeason20242025!$E$3:$E$1315, $A31)</f>
        <v>6</v>
      </c>
      <c r="AE31">
        <f>SUMIFS(DataRegularSeason20242025!$AA$3:$AA$1315,DataRegularSeason20242025!$B$3:$B$1315, "&lt;=" &amp; AE$1, DataRegularSeason20242025!$D$3:$D$1315, $A31)+SUMIFS(DataRegularSeason20242025!$AB$3:$AB$1315,DataRegularSeason20242025!$B$3:$B$1315, "&lt;=" &amp; AE$1, DataRegularSeason20242025!$E$3:$E$1315, $A31)</f>
        <v>6</v>
      </c>
      <c r="AF31">
        <f>SUMIFS(DataRegularSeason20242025!$AA$3:$AA$1315,DataRegularSeason20242025!$B$3:$B$1315, "&lt;=" &amp; AF$1, DataRegularSeason20242025!$D$3:$D$1315, $A31)+SUMIFS(DataRegularSeason20242025!$AB$3:$AB$1315,DataRegularSeason20242025!$B$3:$B$1315, "&lt;=" &amp; AF$1, DataRegularSeason20242025!$E$3:$E$1315, $A31)</f>
        <v>6</v>
      </c>
      <c r="AG31">
        <f>SUMIFS(DataRegularSeason20242025!$AA$3:$AA$1315,DataRegularSeason20242025!$B$3:$B$1315, "&lt;=" &amp; AG$1, DataRegularSeason20242025!$D$3:$D$1315, $A31)+SUMIFS(DataRegularSeason20242025!$AB$3:$AB$1315,DataRegularSeason20242025!$B$3:$B$1315, "&lt;=" &amp; AG$1, DataRegularSeason20242025!$E$3:$E$1315, $A31)</f>
        <v>6</v>
      </c>
      <c r="AH31">
        <f>SUMIFS(DataRegularSeason20242025!$AA$3:$AA$1315,DataRegularSeason20242025!$B$3:$B$1315, "&lt;=" &amp; AH$1, DataRegularSeason20242025!$D$3:$D$1315, $A31)+SUMIFS(DataRegularSeason20242025!$AB$3:$AB$1315,DataRegularSeason20242025!$B$3:$B$1315, "&lt;=" &amp; AH$1, DataRegularSeason20242025!$E$3:$E$1315, $A31)</f>
        <v>6</v>
      </c>
      <c r="AI31">
        <f>SUMIFS(DataRegularSeason20242025!$AA$3:$AA$1315,DataRegularSeason20242025!$B$3:$B$1315, "&lt;=" &amp; AI$1, DataRegularSeason20242025!$D$3:$D$1315, $A31)+SUMIFS(DataRegularSeason20242025!$AB$3:$AB$1315,DataRegularSeason20242025!$B$3:$B$1315, "&lt;=" &amp; AI$1, DataRegularSeason20242025!$E$3:$E$1315, $A31)</f>
        <v>6</v>
      </c>
      <c r="AJ31">
        <f>SUMIFS(DataRegularSeason20242025!$AA$3:$AA$1315,DataRegularSeason20242025!$B$3:$B$1315, "&lt;=" &amp; AJ$1, DataRegularSeason20242025!$D$3:$D$1315, $A31)+SUMIFS(DataRegularSeason20242025!$AB$3:$AB$1315,DataRegularSeason20242025!$B$3:$B$1315, "&lt;=" &amp; AJ$1, DataRegularSeason20242025!$E$3:$E$1315, $A31)</f>
        <v>6</v>
      </c>
      <c r="AK31">
        <f>SUMIFS(DataRegularSeason20242025!$AA$3:$AA$1315,DataRegularSeason20242025!$B$3:$B$1315, "&lt;=" &amp; AK$1, DataRegularSeason20242025!$D$3:$D$1315, $A31)+SUMIFS(DataRegularSeason20242025!$AB$3:$AB$1315,DataRegularSeason20242025!$B$3:$B$1315, "&lt;=" &amp; AK$1, DataRegularSeason20242025!$E$3:$E$1315, $A31)</f>
        <v>6</v>
      </c>
      <c r="AL31">
        <f>SUMIFS(DataRegularSeason20242025!$AA$3:$AA$1315,DataRegularSeason20242025!$B$3:$B$1315, "&lt;=" &amp; AL$1, DataRegularSeason20242025!$D$3:$D$1315, $A31)+SUMIFS(DataRegularSeason20242025!$AB$3:$AB$1315,DataRegularSeason20242025!$B$3:$B$1315, "&lt;=" &amp; AL$1, DataRegularSeason20242025!$E$3:$E$1315, $A31)</f>
        <v>6</v>
      </c>
      <c r="AM31">
        <f>SUMIFS(DataRegularSeason20242025!$AA$3:$AA$1315,DataRegularSeason20242025!$B$3:$B$1315, "&lt;=" &amp; AM$1, DataRegularSeason20242025!$D$3:$D$1315, $A31)+SUMIFS(DataRegularSeason20242025!$AB$3:$AB$1315,DataRegularSeason20242025!$B$3:$B$1315, "&lt;=" &amp; AM$1, DataRegularSeason20242025!$E$3:$E$1315, $A31)</f>
        <v>6</v>
      </c>
      <c r="AN31">
        <f>SUMIFS(DataRegularSeason20242025!$AA$3:$AA$1315,DataRegularSeason20242025!$B$3:$B$1315, "&lt;=" &amp; AN$1, DataRegularSeason20242025!$D$3:$D$1315, $A31)+SUMIFS(DataRegularSeason20242025!$AB$3:$AB$1315,DataRegularSeason20242025!$B$3:$B$1315, "&lt;=" &amp; AN$1, DataRegularSeason20242025!$E$3:$E$1315, $A31)</f>
        <v>6</v>
      </c>
      <c r="AO31">
        <f>SUMIFS(DataRegularSeason20242025!$AA$3:$AA$1315,DataRegularSeason20242025!$B$3:$B$1315, "&lt;=" &amp; AO$1, DataRegularSeason20242025!$D$3:$D$1315, $A31)+SUMIFS(DataRegularSeason20242025!$AB$3:$AB$1315,DataRegularSeason20242025!$B$3:$B$1315, "&lt;=" &amp; AO$1, DataRegularSeason20242025!$E$3:$E$1315, $A31)</f>
        <v>6</v>
      </c>
      <c r="AP31">
        <f>SUMIFS(DataRegularSeason20242025!$AA$3:$AA$1315,DataRegularSeason20242025!$B$3:$B$1315, "&lt;=" &amp; AP$1, DataRegularSeason20242025!$D$3:$D$1315, $A31)+SUMIFS(DataRegularSeason20242025!$AB$3:$AB$1315,DataRegularSeason20242025!$B$3:$B$1315, "&lt;=" &amp; AP$1, DataRegularSeason20242025!$E$3:$E$1315, $A31)</f>
        <v>6</v>
      </c>
      <c r="AQ31">
        <f>SUMIFS(DataRegularSeason20242025!$AA$3:$AA$1315,DataRegularSeason20242025!$B$3:$B$1315, "&lt;=" &amp; AQ$1, DataRegularSeason20242025!$D$3:$D$1315, $A31)+SUMIFS(DataRegularSeason20242025!$AB$3:$AB$1315,DataRegularSeason20242025!$B$3:$B$1315, "&lt;=" &amp; AQ$1, DataRegularSeason20242025!$E$3:$E$1315, $A31)</f>
        <v>6</v>
      </c>
      <c r="AR31">
        <f>SUMIFS(DataRegularSeason20242025!$AA$3:$AA$1315,DataRegularSeason20242025!$B$3:$B$1315, "&lt;=" &amp; AR$1, DataRegularSeason20242025!$D$3:$D$1315, $A31)+SUMIFS(DataRegularSeason20242025!$AB$3:$AB$1315,DataRegularSeason20242025!$B$3:$B$1315, "&lt;=" &amp; AR$1, DataRegularSeason20242025!$E$3:$E$1315, $A31)</f>
        <v>6</v>
      </c>
      <c r="AS31">
        <f>SUMIFS(DataRegularSeason20242025!$AA$3:$AA$1315,DataRegularSeason20242025!$B$3:$B$1315, "&lt;=" &amp; AS$1, DataRegularSeason20242025!$D$3:$D$1315, $A31)+SUMIFS(DataRegularSeason20242025!$AB$3:$AB$1315,DataRegularSeason20242025!$B$3:$B$1315, "&lt;=" &amp; AS$1, DataRegularSeason20242025!$E$3:$E$1315, $A31)</f>
        <v>6</v>
      </c>
      <c r="AT31">
        <f>SUMIFS(DataRegularSeason20242025!$AA$3:$AA$1315,DataRegularSeason20242025!$B$3:$B$1315, "&lt;=" &amp; AT$1, DataRegularSeason20242025!$D$3:$D$1315, $A31)+SUMIFS(DataRegularSeason20242025!$AB$3:$AB$1315,DataRegularSeason20242025!$B$3:$B$1315, "&lt;=" &amp; AT$1, DataRegularSeason20242025!$E$3:$E$1315, $A31)</f>
        <v>6</v>
      </c>
      <c r="AU31">
        <f>SUMIFS(DataRegularSeason20242025!$AA$3:$AA$1315,DataRegularSeason20242025!$B$3:$B$1315, "&lt;=" &amp; AU$1, DataRegularSeason20242025!$D$3:$D$1315, $A31)+SUMIFS(DataRegularSeason20242025!$AB$3:$AB$1315,DataRegularSeason20242025!$B$3:$B$1315, "&lt;=" &amp; AU$1, DataRegularSeason20242025!$E$3:$E$1315, $A31)</f>
        <v>6</v>
      </c>
      <c r="AV31">
        <f>SUMIFS(DataRegularSeason20242025!$AA$3:$AA$1315,DataRegularSeason20242025!$B$3:$B$1315, "&lt;=" &amp; AV$1, DataRegularSeason20242025!$D$3:$D$1315, $A31)+SUMIFS(DataRegularSeason20242025!$AB$3:$AB$1315,DataRegularSeason20242025!$B$3:$B$1315, "&lt;=" &amp; AV$1, DataRegularSeason20242025!$E$3:$E$1315, $A31)</f>
        <v>6</v>
      </c>
      <c r="AW31">
        <f>SUMIFS(DataRegularSeason20242025!$AA$3:$AA$1315,DataRegularSeason20242025!$B$3:$B$1315, "&lt;=" &amp; AW$1, DataRegularSeason20242025!$D$3:$D$1315, $A31)+SUMIFS(DataRegularSeason20242025!$AB$3:$AB$1315,DataRegularSeason20242025!$B$3:$B$1315, "&lt;=" &amp; AW$1, DataRegularSeason20242025!$E$3:$E$1315, $A31)</f>
        <v>6</v>
      </c>
      <c r="AX31">
        <f>SUMIFS(DataRegularSeason20242025!$AA$3:$AA$1315,DataRegularSeason20242025!$B$3:$B$1315, "&lt;=" &amp; AX$1, DataRegularSeason20242025!$D$3:$D$1315, $A31)+SUMIFS(DataRegularSeason20242025!$AB$3:$AB$1315,DataRegularSeason20242025!$B$3:$B$1315, "&lt;=" &amp; AX$1, DataRegularSeason20242025!$E$3:$E$1315, $A31)</f>
        <v>6</v>
      </c>
      <c r="AY31">
        <f>SUMIFS(DataRegularSeason20242025!$AA$3:$AA$1315,DataRegularSeason20242025!$B$3:$B$1315, "&lt;=" &amp; AY$1, DataRegularSeason20242025!$D$3:$D$1315, $A31)+SUMIFS(DataRegularSeason20242025!$AB$3:$AB$1315,DataRegularSeason20242025!$B$3:$B$1315, "&lt;=" &amp; AY$1, DataRegularSeason20242025!$E$3:$E$1315, $A31)</f>
        <v>6</v>
      </c>
      <c r="AZ31">
        <f>SUMIFS(DataRegularSeason20242025!$AA$3:$AA$1315,DataRegularSeason20242025!$B$3:$B$1315, "&lt;=" &amp; AZ$1, DataRegularSeason20242025!$D$3:$D$1315, $A31)+SUMIFS(DataRegularSeason20242025!$AB$3:$AB$1315,DataRegularSeason20242025!$B$3:$B$1315, "&lt;=" &amp; AZ$1, DataRegularSeason20242025!$E$3:$E$1315, $A31)</f>
        <v>6</v>
      </c>
      <c r="BA31">
        <f>SUMIFS(DataRegularSeason20242025!$AA$3:$AA$1315,DataRegularSeason20242025!$B$3:$B$1315, "&lt;=" &amp; BA$1, DataRegularSeason20242025!$D$3:$D$1315, $A31)+SUMIFS(DataRegularSeason20242025!$AB$3:$AB$1315,DataRegularSeason20242025!$B$3:$B$1315, "&lt;=" &amp; BA$1, DataRegularSeason20242025!$E$3:$E$1315, $A31)</f>
        <v>6</v>
      </c>
      <c r="BB31">
        <f>SUMIFS(DataRegularSeason20242025!$AA$3:$AA$1315,DataRegularSeason20242025!$B$3:$B$1315, "&lt;=" &amp; BB$1, DataRegularSeason20242025!$D$3:$D$1315, $A31)+SUMIFS(DataRegularSeason20242025!$AB$3:$AB$1315,DataRegularSeason20242025!$B$3:$B$1315, "&lt;=" &amp; BB$1, DataRegularSeason20242025!$E$3:$E$1315, $A31)</f>
        <v>6</v>
      </c>
      <c r="BC31">
        <f>SUMIFS(DataRegularSeason20242025!$AA$3:$AA$1315,DataRegularSeason20242025!$B$3:$B$1315, "&lt;=" &amp; BC$1, DataRegularSeason20242025!$D$3:$D$1315, $A31)+SUMIFS(DataRegularSeason20242025!$AB$3:$AB$1315,DataRegularSeason20242025!$B$3:$B$1315, "&lt;=" &amp; BC$1, DataRegularSeason20242025!$E$3:$E$1315, $A31)</f>
        <v>6</v>
      </c>
      <c r="BD31">
        <f>SUMIFS(DataRegularSeason20242025!$AA$3:$AA$1315,DataRegularSeason20242025!$B$3:$B$1315, "&lt;=" &amp; BD$1, DataRegularSeason20242025!$D$3:$D$1315, $A31)+SUMIFS(DataRegularSeason20242025!$AB$3:$AB$1315,DataRegularSeason20242025!$B$3:$B$1315, "&lt;=" &amp; BD$1, DataRegularSeason20242025!$E$3:$E$1315, $A31)</f>
        <v>6</v>
      </c>
      <c r="BE31">
        <f>SUMIFS(DataRegularSeason20242025!$AA$3:$AA$1315,DataRegularSeason20242025!$B$3:$B$1315, "&lt;=" &amp; BE$1, DataRegularSeason20242025!$D$3:$D$1315, $A31)+SUMIFS(DataRegularSeason20242025!$AB$3:$AB$1315,DataRegularSeason20242025!$B$3:$B$1315, "&lt;=" &amp; BE$1, DataRegularSeason20242025!$E$3:$E$1315, $A31)</f>
        <v>6</v>
      </c>
      <c r="BF31">
        <f>SUMIFS(DataRegularSeason20242025!$AA$3:$AA$1315,DataRegularSeason20242025!$B$3:$B$1315, "&lt;=" &amp; BF$1, DataRegularSeason20242025!$D$3:$D$1315, $A31)+SUMIFS(DataRegularSeason20242025!$AB$3:$AB$1315,DataRegularSeason20242025!$B$3:$B$1315, "&lt;=" &amp; BF$1, DataRegularSeason20242025!$E$3:$E$1315, $A31)</f>
        <v>6</v>
      </c>
      <c r="BG31">
        <f>SUMIFS(DataRegularSeason20242025!$AA$3:$AA$1315,DataRegularSeason20242025!$B$3:$B$1315, "&lt;=" &amp; BG$1, DataRegularSeason20242025!$D$3:$D$1315, $A31)+SUMIFS(DataRegularSeason20242025!$AB$3:$AB$1315,DataRegularSeason20242025!$B$3:$B$1315, "&lt;=" &amp; BG$1, DataRegularSeason20242025!$E$3:$E$1315, $A31)</f>
        <v>6</v>
      </c>
      <c r="BH31">
        <f>SUMIFS(DataRegularSeason20242025!$AA$3:$AA$1315,DataRegularSeason20242025!$B$3:$B$1315, "&lt;=" &amp; BH$1, DataRegularSeason20242025!$D$3:$D$1315, $A31)+SUMIFS(DataRegularSeason20242025!$AB$3:$AB$1315,DataRegularSeason20242025!$B$3:$B$1315, "&lt;=" &amp; BH$1, DataRegularSeason20242025!$E$3:$E$1315, $A31)</f>
        <v>6</v>
      </c>
      <c r="BI31">
        <f>SUMIFS(DataRegularSeason20242025!$AA$3:$AA$1315,DataRegularSeason20242025!$B$3:$B$1315, "&lt;=" &amp; BI$1, DataRegularSeason20242025!$D$3:$D$1315, $A31)+SUMIFS(DataRegularSeason20242025!$AB$3:$AB$1315,DataRegularSeason20242025!$B$3:$B$1315, "&lt;=" &amp; BI$1, DataRegularSeason20242025!$E$3:$E$1315, $A31)</f>
        <v>6</v>
      </c>
      <c r="BJ31">
        <f>SUMIFS(DataRegularSeason20242025!$AA$3:$AA$1315,DataRegularSeason20242025!$B$3:$B$1315, "&lt;=" &amp; BJ$1, DataRegularSeason20242025!$D$3:$D$1315, $A31)+SUMIFS(DataRegularSeason20242025!$AB$3:$AB$1315,DataRegularSeason20242025!$B$3:$B$1315, "&lt;=" &amp; BJ$1, DataRegularSeason20242025!$E$3:$E$1315, $A31)</f>
        <v>6</v>
      </c>
      <c r="BK31">
        <f>SUMIFS(DataRegularSeason20242025!$AA$3:$AA$1315,DataRegularSeason20242025!$B$3:$B$1315, "&lt;=" &amp; BK$1, DataRegularSeason20242025!$D$3:$D$1315, $A31)+SUMIFS(DataRegularSeason20242025!$AB$3:$AB$1315,DataRegularSeason20242025!$B$3:$B$1315, "&lt;=" &amp; BK$1, DataRegularSeason20242025!$E$3:$E$1315, $A31)</f>
        <v>6</v>
      </c>
      <c r="BL31">
        <f>SUMIFS(DataRegularSeason20242025!$AA$3:$AA$1315,DataRegularSeason20242025!$B$3:$B$1315, "&lt;=" &amp; BL$1, DataRegularSeason20242025!$D$3:$D$1315, $A31)+SUMIFS(DataRegularSeason20242025!$AB$3:$AB$1315,DataRegularSeason20242025!$B$3:$B$1315, "&lt;=" &amp; BL$1, DataRegularSeason20242025!$E$3:$E$1315, $A31)</f>
        <v>6</v>
      </c>
      <c r="BM31">
        <f>SUMIFS(DataRegularSeason20242025!$AA$3:$AA$1315,DataRegularSeason20242025!$B$3:$B$1315, "&lt;=" &amp; BM$1, DataRegularSeason20242025!$D$3:$D$1315, $A31)+SUMIFS(DataRegularSeason20242025!$AB$3:$AB$1315,DataRegularSeason20242025!$B$3:$B$1315, "&lt;=" &amp; BM$1, DataRegularSeason20242025!$E$3:$E$1315, $A31)</f>
        <v>6</v>
      </c>
      <c r="BN31">
        <f>SUMIFS(DataRegularSeason20242025!$AA$3:$AA$1315,DataRegularSeason20242025!$B$3:$B$1315, "&lt;=" &amp; BN$1, DataRegularSeason20242025!$D$3:$D$1315, $A31)+SUMIFS(DataRegularSeason20242025!$AB$3:$AB$1315,DataRegularSeason20242025!$B$3:$B$1315, "&lt;=" &amp; BN$1, DataRegularSeason20242025!$E$3:$E$1315, $A31)</f>
        <v>6</v>
      </c>
      <c r="BO31">
        <f>SUMIFS(DataRegularSeason20242025!$AA$3:$AA$1315,DataRegularSeason20242025!$B$3:$B$1315, "&lt;=" &amp; BO$1, DataRegularSeason20242025!$D$3:$D$1315, $A31)+SUMIFS(DataRegularSeason20242025!$AB$3:$AB$1315,DataRegularSeason20242025!$B$3:$B$1315, "&lt;=" &amp; BO$1, DataRegularSeason20242025!$E$3:$E$1315, $A31)</f>
        <v>6</v>
      </c>
      <c r="BP31">
        <f>SUMIFS(DataRegularSeason20242025!$AA$3:$AA$1315,DataRegularSeason20242025!$B$3:$B$1315, "&lt;=" &amp; BP$1, DataRegularSeason20242025!$D$3:$D$1315, $A31)+SUMIFS(DataRegularSeason20242025!$AB$3:$AB$1315,DataRegularSeason20242025!$B$3:$B$1315, "&lt;=" &amp; BP$1, DataRegularSeason20242025!$E$3:$E$1315, $A31)</f>
        <v>6</v>
      </c>
      <c r="BQ31">
        <f>SUMIFS(DataRegularSeason20242025!$AA$3:$AA$1315,DataRegularSeason20242025!$B$3:$B$1315, "&lt;=" &amp; BQ$1, DataRegularSeason20242025!$D$3:$D$1315, $A31)+SUMIFS(DataRegularSeason20242025!$AB$3:$AB$1315,DataRegularSeason20242025!$B$3:$B$1315, "&lt;=" &amp; BQ$1, DataRegularSeason20242025!$E$3:$E$1315, $A31)</f>
        <v>6</v>
      </c>
      <c r="BR31">
        <f>SUMIFS(DataRegularSeason20242025!$AA$3:$AA$1315,DataRegularSeason20242025!$B$3:$B$1315, "&lt;=" &amp; BR$1, DataRegularSeason20242025!$D$3:$D$1315, $A31)+SUMIFS(DataRegularSeason20242025!$AB$3:$AB$1315,DataRegularSeason20242025!$B$3:$B$1315, "&lt;=" &amp; BR$1, DataRegularSeason20242025!$E$3:$E$1315, $A31)</f>
        <v>6</v>
      </c>
      <c r="BS31">
        <f>SUMIFS(DataRegularSeason20242025!$AA$3:$AA$1315,DataRegularSeason20242025!$B$3:$B$1315, "&lt;=" &amp; BS$1, DataRegularSeason20242025!$D$3:$D$1315, $A31)+SUMIFS(DataRegularSeason20242025!$AB$3:$AB$1315,DataRegularSeason20242025!$B$3:$B$1315, "&lt;=" &amp; BS$1, DataRegularSeason20242025!$E$3:$E$1315, $A31)</f>
        <v>6</v>
      </c>
      <c r="BT31">
        <f>SUMIFS(DataRegularSeason20242025!$AA$3:$AA$1315,DataRegularSeason20242025!$B$3:$B$1315, "&lt;=" &amp; BT$1, DataRegularSeason20242025!$D$3:$D$1315, $A31)+SUMIFS(DataRegularSeason20242025!$AB$3:$AB$1315,DataRegularSeason20242025!$B$3:$B$1315, "&lt;=" &amp; BT$1, DataRegularSeason20242025!$E$3:$E$1315, $A31)</f>
        <v>6</v>
      </c>
      <c r="BU31">
        <f>SUMIFS(DataRegularSeason20242025!$AA$3:$AA$1315,DataRegularSeason20242025!$B$3:$B$1315, "&lt;=" &amp; BU$1, DataRegularSeason20242025!$D$3:$D$1315, $A31)+SUMIFS(DataRegularSeason20242025!$AB$3:$AB$1315,DataRegularSeason20242025!$B$3:$B$1315, "&lt;=" &amp; BU$1, DataRegularSeason20242025!$E$3:$E$1315, $A31)</f>
        <v>6</v>
      </c>
      <c r="BV31">
        <f>SUMIFS(DataRegularSeason20242025!$AA$3:$AA$1315,DataRegularSeason20242025!$B$3:$B$1315, "&lt;=" &amp; BV$1, DataRegularSeason20242025!$D$3:$D$1315, $A31)+SUMIFS(DataRegularSeason20242025!$AB$3:$AB$1315,DataRegularSeason20242025!$B$3:$B$1315, "&lt;=" &amp; BV$1, DataRegularSeason20242025!$E$3:$E$1315, $A31)</f>
        <v>6</v>
      </c>
      <c r="BW31">
        <f>SUMIFS(DataRegularSeason20242025!$AA$3:$AA$1315,DataRegularSeason20242025!$B$3:$B$1315, "&lt;=" &amp; BW$1, DataRegularSeason20242025!$D$3:$D$1315, $A31)+SUMIFS(DataRegularSeason20242025!$AB$3:$AB$1315,DataRegularSeason20242025!$B$3:$B$1315, "&lt;=" &amp; BW$1, DataRegularSeason20242025!$E$3:$E$1315, $A31)</f>
        <v>6</v>
      </c>
      <c r="BX31">
        <f>SUMIFS(DataRegularSeason20242025!$AA$3:$AA$1315,DataRegularSeason20242025!$B$3:$B$1315, "&lt;=" &amp; BX$1, DataRegularSeason20242025!$D$3:$D$1315, $A31)+SUMIFS(DataRegularSeason20242025!$AB$3:$AB$1315,DataRegularSeason20242025!$B$3:$B$1315, "&lt;=" &amp; BX$1, DataRegularSeason20242025!$E$3:$E$1315, $A31)</f>
        <v>6</v>
      </c>
      <c r="BY31">
        <f>SUMIFS(DataRegularSeason20242025!$AA$3:$AA$1315,DataRegularSeason20242025!$B$3:$B$1315, "&lt;=" &amp; BY$1, DataRegularSeason20242025!$D$3:$D$1315, $A31)+SUMIFS(DataRegularSeason20242025!$AB$3:$AB$1315,DataRegularSeason20242025!$B$3:$B$1315, "&lt;=" &amp; BY$1, DataRegularSeason20242025!$E$3:$E$1315, $A31)</f>
        <v>6</v>
      </c>
      <c r="BZ31">
        <f>SUMIFS(DataRegularSeason20242025!$AA$3:$AA$1315,DataRegularSeason20242025!$B$3:$B$1315, "&lt;=" &amp; BZ$1, DataRegularSeason20242025!$D$3:$D$1315, $A31)+SUMIFS(DataRegularSeason20242025!$AB$3:$AB$1315,DataRegularSeason20242025!$B$3:$B$1315, "&lt;=" &amp; BZ$1, DataRegularSeason20242025!$E$3:$E$1315, $A31)</f>
        <v>6</v>
      </c>
      <c r="CA31">
        <f>SUMIFS(DataRegularSeason20242025!$AA$3:$AA$1315,DataRegularSeason20242025!$B$3:$B$1315, "&lt;=" &amp; CA$1, DataRegularSeason20242025!$D$3:$D$1315, $A31)+SUMIFS(DataRegularSeason20242025!$AB$3:$AB$1315,DataRegularSeason20242025!$B$3:$B$1315, "&lt;=" &amp; CA$1, DataRegularSeason20242025!$E$3:$E$1315, $A31)</f>
        <v>6</v>
      </c>
      <c r="CB31">
        <f>SUMIFS(DataRegularSeason20242025!$AA$3:$AA$1315,DataRegularSeason20242025!$B$3:$B$1315, "&lt;=" &amp; CB$1, DataRegularSeason20242025!$D$3:$D$1315, $A31)+SUMIFS(DataRegularSeason20242025!$AB$3:$AB$1315,DataRegularSeason20242025!$B$3:$B$1315, "&lt;=" &amp; CB$1, DataRegularSeason20242025!$E$3:$E$1315, $A31)</f>
        <v>6</v>
      </c>
      <c r="CC31">
        <f>SUMIFS(DataRegularSeason20242025!$AA$3:$AA$1315,DataRegularSeason20242025!$B$3:$B$1315, "&lt;=" &amp; CC$1, DataRegularSeason20242025!$D$3:$D$1315, $A31)+SUMIFS(DataRegularSeason20242025!$AB$3:$AB$1315,DataRegularSeason20242025!$B$3:$B$1315, "&lt;=" &amp; CC$1, DataRegularSeason20242025!$E$3:$E$1315, $A31)</f>
        <v>6</v>
      </c>
      <c r="CD31">
        <f>SUMIFS(DataRegularSeason20242025!$AA$3:$AA$1315,DataRegularSeason20242025!$B$3:$B$1315, "&lt;=" &amp; CD$1, DataRegularSeason20242025!$D$3:$D$1315, $A31)+SUMIFS(DataRegularSeason20242025!$AB$3:$AB$1315,DataRegularSeason20242025!$B$3:$B$1315, "&lt;=" &amp; CD$1, DataRegularSeason20242025!$E$3:$E$1315, $A31)</f>
        <v>6</v>
      </c>
      <c r="CE31">
        <f>SUMIFS(DataRegularSeason20242025!$AA$3:$AA$1315,DataRegularSeason20242025!$B$3:$B$1315, "&lt;=" &amp; CE$1, DataRegularSeason20242025!$D$3:$D$1315, $A31)+SUMIFS(DataRegularSeason20242025!$AB$3:$AB$1315,DataRegularSeason20242025!$B$3:$B$1315, "&lt;=" &amp; CE$1, DataRegularSeason20242025!$E$3:$E$1315, $A31)</f>
        <v>6</v>
      </c>
      <c r="CF31">
        <f>SUMIFS(DataRegularSeason20242025!$AA$3:$AA$1315,DataRegularSeason20242025!$B$3:$B$1315, "&lt;=" &amp; CF$1, DataRegularSeason20242025!$D$3:$D$1315, $A31)+SUMIFS(DataRegularSeason20242025!$AB$3:$AB$1315,DataRegularSeason20242025!$B$3:$B$1315, "&lt;=" &amp; CF$1, DataRegularSeason20242025!$E$3:$E$1315, $A31)</f>
        <v>6</v>
      </c>
      <c r="CG31">
        <f>SUMIFS(DataRegularSeason20242025!$AA$3:$AA$1315,DataRegularSeason20242025!$B$3:$B$1315, "&lt;=" &amp; CG$1, DataRegularSeason20242025!$D$3:$D$1315, $A31)+SUMIFS(DataRegularSeason20242025!$AB$3:$AB$1315,DataRegularSeason20242025!$B$3:$B$1315, "&lt;=" &amp; CG$1, DataRegularSeason20242025!$E$3:$E$1315, $A31)</f>
        <v>6</v>
      </c>
      <c r="CH31">
        <f>SUMIFS(DataRegularSeason20242025!$AA$3:$AA$1315,DataRegularSeason20242025!$B$3:$B$1315, "&lt;=" &amp; CH$1, DataRegularSeason20242025!$D$3:$D$1315, $A31)+SUMIFS(DataRegularSeason20242025!$AB$3:$AB$1315,DataRegularSeason20242025!$B$3:$B$1315, "&lt;=" &amp; CH$1, DataRegularSeason20242025!$E$3:$E$1315, $A31)</f>
        <v>6</v>
      </c>
      <c r="CI31">
        <f>SUMIFS(DataRegularSeason20242025!$AA$3:$AA$1315,DataRegularSeason20242025!$B$3:$B$1315, "&lt;=" &amp; CI$1, DataRegularSeason20242025!$D$3:$D$1315, $A31)+SUMIFS(DataRegularSeason20242025!$AB$3:$AB$1315,DataRegularSeason20242025!$B$3:$B$1315, "&lt;=" &amp; CI$1, DataRegularSeason20242025!$E$3:$E$1315, $A31)</f>
        <v>6</v>
      </c>
      <c r="CJ31">
        <f>SUMIFS(DataRegularSeason20242025!$AA$3:$AA$1315,DataRegularSeason20242025!$B$3:$B$1315, "&lt;=" &amp; CJ$1, DataRegularSeason20242025!$D$3:$D$1315, $A31)+SUMIFS(DataRegularSeason20242025!$AB$3:$AB$1315,DataRegularSeason20242025!$B$3:$B$1315, "&lt;=" &amp; CJ$1, DataRegularSeason20242025!$E$3:$E$1315, $A31)</f>
        <v>6</v>
      </c>
      <c r="CK31">
        <f>SUMIFS(DataRegularSeason20242025!$AA$3:$AA$1315,DataRegularSeason20242025!$B$3:$B$1315, "&lt;=" &amp; CK$1, DataRegularSeason20242025!$D$3:$D$1315, $A31)+SUMIFS(DataRegularSeason20242025!$AB$3:$AB$1315,DataRegularSeason20242025!$B$3:$B$1315, "&lt;=" &amp; CK$1, DataRegularSeason20242025!$E$3:$E$1315, $A31)</f>
        <v>6</v>
      </c>
      <c r="CL31">
        <f>SUMIFS(DataRegularSeason20242025!$AA$3:$AA$1315,DataRegularSeason20242025!$B$3:$B$1315, "&lt;=" &amp; CL$1, DataRegularSeason20242025!$D$3:$D$1315, $A31)+SUMIFS(DataRegularSeason20242025!$AB$3:$AB$1315,DataRegularSeason20242025!$B$3:$B$1315, "&lt;=" &amp; CL$1, DataRegularSeason20242025!$E$3:$E$1315, $A31)</f>
        <v>6</v>
      </c>
      <c r="CM31">
        <f>SUMIFS(DataRegularSeason20242025!$AA$3:$AA$1315,DataRegularSeason20242025!$B$3:$B$1315, "&lt;=" &amp; CM$1, DataRegularSeason20242025!$D$3:$D$1315, $A31)+SUMIFS(DataRegularSeason20242025!$AB$3:$AB$1315,DataRegularSeason20242025!$B$3:$B$1315, "&lt;=" &amp; CM$1, DataRegularSeason20242025!$E$3:$E$1315, $A31)</f>
        <v>6</v>
      </c>
      <c r="CN31">
        <f>SUMIFS(DataRegularSeason20242025!$AA$3:$AA$1315,DataRegularSeason20242025!$B$3:$B$1315, "&lt;=" &amp; CN$1, DataRegularSeason20242025!$D$3:$D$1315, $A31)+SUMIFS(DataRegularSeason20242025!$AB$3:$AB$1315,DataRegularSeason20242025!$B$3:$B$1315, "&lt;=" &amp; CN$1, DataRegularSeason20242025!$E$3:$E$1315, $A31)</f>
        <v>6</v>
      </c>
      <c r="CO31">
        <f>SUMIFS(DataRegularSeason20242025!$AA$3:$AA$1315,DataRegularSeason20242025!$B$3:$B$1315, "&lt;=" &amp; CO$1, DataRegularSeason20242025!$D$3:$D$1315, $A31)+SUMIFS(DataRegularSeason20242025!$AB$3:$AB$1315,DataRegularSeason20242025!$B$3:$B$1315, "&lt;=" &amp; CO$1, DataRegularSeason20242025!$E$3:$E$1315, $A31)</f>
        <v>6</v>
      </c>
      <c r="CP31">
        <f>SUMIFS(DataRegularSeason20242025!$AA$3:$AA$1315,DataRegularSeason20242025!$B$3:$B$1315, "&lt;=" &amp; CP$1, DataRegularSeason20242025!$D$3:$D$1315, $A31)+SUMIFS(DataRegularSeason20242025!$AB$3:$AB$1315,DataRegularSeason20242025!$B$3:$B$1315, "&lt;=" &amp; CP$1, DataRegularSeason20242025!$E$3:$E$1315, $A31)</f>
        <v>6</v>
      </c>
      <c r="CQ31">
        <f>SUMIFS(DataRegularSeason20242025!$AA$3:$AA$1315,DataRegularSeason20242025!$B$3:$B$1315, "&lt;=" &amp; CQ$1, DataRegularSeason20242025!$D$3:$D$1315, $A31)+SUMIFS(DataRegularSeason20242025!$AB$3:$AB$1315,DataRegularSeason20242025!$B$3:$B$1315, "&lt;=" &amp; CQ$1, DataRegularSeason20242025!$E$3:$E$1315, $A31)</f>
        <v>6</v>
      </c>
      <c r="CR31">
        <f>SUMIFS(DataRegularSeason20242025!$AA$3:$AA$1315,DataRegularSeason20242025!$B$3:$B$1315, "&lt;=" &amp; CR$1, DataRegularSeason20242025!$D$3:$D$1315, $A31)+SUMIFS(DataRegularSeason20242025!$AB$3:$AB$1315,DataRegularSeason20242025!$B$3:$B$1315, "&lt;=" &amp; CR$1, DataRegularSeason20242025!$E$3:$E$1315, $A31)</f>
        <v>6</v>
      </c>
      <c r="CS31">
        <f>SUMIFS(DataRegularSeason20242025!$AA$3:$AA$1315,DataRegularSeason20242025!$B$3:$B$1315, "&lt;=" &amp; CS$1, DataRegularSeason20242025!$D$3:$D$1315, $A31)+SUMIFS(DataRegularSeason20242025!$AB$3:$AB$1315,DataRegularSeason20242025!$B$3:$B$1315, "&lt;=" &amp; CS$1, DataRegularSeason20242025!$E$3:$E$1315, $A31)</f>
        <v>6</v>
      </c>
      <c r="CT31">
        <f>SUMIFS(DataRegularSeason20242025!$AA$3:$AA$1315,DataRegularSeason20242025!$B$3:$B$1315, "&lt;=" &amp; CT$1, DataRegularSeason20242025!$D$3:$D$1315, $A31)+SUMIFS(DataRegularSeason20242025!$AB$3:$AB$1315,DataRegularSeason20242025!$B$3:$B$1315, "&lt;=" &amp; CT$1, DataRegularSeason20242025!$E$3:$E$1315, $A31)</f>
        <v>6</v>
      </c>
      <c r="CU31">
        <f>SUMIFS(DataRegularSeason20242025!$AA$3:$AA$1315,DataRegularSeason20242025!$B$3:$B$1315, "&lt;=" &amp; CU$1, DataRegularSeason20242025!$D$3:$D$1315, $A31)+SUMIFS(DataRegularSeason20242025!$AB$3:$AB$1315,DataRegularSeason20242025!$B$3:$B$1315, "&lt;=" &amp; CU$1, DataRegularSeason20242025!$E$3:$E$1315, $A31)</f>
        <v>6</v>
      </c>
      <c r="CV31">
        <f>SUMIFS(DataRegularSeason20242025!$AA$3:$AA$1315,DataRegularSeason20242025!$B$3:$B$1315, "&lt;=" &amp; CV$1, DataRegularSeason20242025!$D$3:$D$1315, $A31)+SUMIFS(DataRegularSeason20242025!$AB$3:$AB$1315,DataRegularSeason20242025!$B$3:$B$1315, "&lt;=" &amp; CV$1, DataRegularSeason20242025!$E$3:$E$1315, $A31)</f>
        <v>6</v>
      </c>
      <c r="CW31">
        <f>SUMIFS(DataRegularSeason20242025!$AA$3:$AA$1315,DataRegularSeason20242025!$B$3:$B$1315, "&lt;=" &amp; CW$1, DataRegularSeason20242025!$D$3:$D$1315, $A31)+SUMIFS(DataRegularSeason20242025!$AB$3:$AB$1315,DataRegularSeason20242025!$B$3:$B$1315, "&lt;=" &amp; CW$1, DataRegularSeason20242025!$E$3:$E$1315, $A31)</f>
        <v>6</v>
      </c>
      <c r="CX31">
        <f>SUMIFS(DataRegularSeason20242025!$AA$3:$AA$1315,DataRegularSeason20242025!$B$3:$B$1315, "&lt;=" &amp; CX$1, DataRegularSeason20242025!$D$3:$D$1315, $A31)+SUMIFS(DataRegularSeason20242025!$AB$3:$AB$1315,DataRegularSeason20242025!$B$3:$B$1315, "&lt;=" &amp; CX$1, DataRegularSeason20242025!$E$3:$E$1315, $A31)</f>
        <v>6</v>
      </c>
      <c r="CY31">
        <f>SUMIFS(DataRegularSeason20242025!$AA$3:$AA$1315,DataRegularSeason20242025!$B$3:$B$1315, "&lt;=" &amp; CY$1, DataRegularSeason20242025!$D$3:$D$1315, $A31)+SUMIFS(DataRegularSeason20242025!$AB$3:$AB$1315,DataRegularSeason20242025!$B$3:$B$1315, "&lt;=" &amp; CY$1, DataRegularSeason20242025!$E$3:$E$1315, $A31)</f>
        <v>6</v>
      </c>
      <c r="CZ31">
        <f>SUMIFS(DataRegularSeason20242025!$AA$3:$AA$1315,DataRegularSeason20242025!$B$3:$B$1315, "&lt;=" &amp; CZ$1, DataRegularSeason20242025!$D$3:$D$1315, $A31)+SUMIFS(DataRegularSeason20242025!$AB$3:$AB$1315,DataRegularSeason20242025!$B$3:$B$1315, "&lt;=" &amp; CZ$1, DataRegularSeason20242025!$E$3:$E$1315, $A31)</f>
        <v>6</v>
      </c>
      <c r="DA31">
        <f>SUMIFS(DataRegularSeason20242025!$AA$3:$AA$1315,DataRegularSeason20242025!$B$3:$B$1315, "&lt;=" &amp; DA$1, DataRegularSeason20242025!$D$3:$D$1315, $A31)+SUMIFS(DataRegularSeason20242025!$AB$3:$AB$1315,DataRegularSeason20242025!$B$3:$B$1315, "&lt;=" &amp; DA$1, DataRegularSeason20242025!$E$3:$E$1315, $A31)</f>
        <v>6</v>
      </c>
      <c r="DB31">
        <f>SUMIFS(DataRegularSeason20242025!$AA$3:$AA$1315,DataRegularSeason20242025!$B$3:$B$1315, "&lt;=" &amp; DB$1, DataRegularSeason20242025!$D$3:$D$1315, $A31)+SUMIFS(DataRegularSeason20242025!$AB$3:$AB$1315,DataRegularSeason20242025!$B$3:$B$1315, "&lt;=" &amp; DB$1, DataRegularSeason20242025!$E$3:$E$1315, $A31)</f>
        <v>6</v>
      </c>
      <c r="DC31">
        <f>SUMIFS(DataRegularSeason20242025!$AA$3:$AA$1315,DataRegularSeason20242025!$B$3:$B$1315, "&lt;=" &amp; DC$1, DataRegularSeason20242025!$D$3:$D$1315, $A31)+SUMIFS(DataRegularSeason20242025!$AB$3:$AB$1315,DataRegularSeason20242025!$B$3:$B$1315, "&lt;=" &amp; DC$1, DataRegularSeason20242025!$E$3:$E$1315, $A31)</f>
        <v>6</v>
      </c>
      <c r="DD31">
        <f>SUMIFS(DataRegularSeason20242025!$AA$3:$AA$1315,DataRegularSeason20242025!$B$3:$B$1315, "&lt;=" &amp; DD$1, DataRegularSeason20242025!$D$3:$D$1315, $A31)+SUMIFS(DataRegularSeason20242025!$AB$3:$AB$1315,DataRegularSeason20242025!$B$3:$B$1315, "&lt;=" &amp; DD$1, DataRegularSeason20242025!$E$3:$E$1315, $A31)</f>
        <v>6</v>
      </c>
      <c r="DE31">
        <f>SUMIFS(DataRegularSeason20242025!$AA$3:$AA$1315,DataRegularSeason20242025!$B$3:$B$1315, "&lt;=" &amp; DE$1, DataRegularSeason20242025!$D$3:$D$1315, $A31)+SUMIFS(DataRegularSeason20242025!$AB$3:$AB$1315,DataRegularSeason20242025!$B$3:$B$1315, "&lt;=" &amp; DE$1, DataRegularSeason20242025!$E$3:$E$1315, $A31)</f>
        <v>6</v>
      </c>
      <c r="DF31">
        <f>SUMIFS(DataRegularSeason20242025!$AA$3:$AA$1315,DataRegularSeason20242025!$B$3:$B$1315, "&lt;=" &amp; DF$1, DataRegularSeason20242025!$D$3:$D$1315, $A31)+SUMIFS(DataRegularSeason20242025!$AB$3:$AB$1315,DataRegularSeason20242025!$B$3:$B$1315, "&lt;=" &amp; DF$1, DataRegularSeason20242025!$E$3:$E$1315, $A31)</f>
        <v>6</v>
      </c>
      <c r="DG31">
        <f>SUMIFS(DataRegularSeason20242025!$AA$3:$AA$1315,DataRegularSeason20242025!$B$3:$B$1315, "&lt;=" &amp; DG$1, DataRegularSeason20242025!$D$3:$D$1315, $A31)+SUMIFS(DataRegularSeason20242025!$AB$3:$AB$1315,DataRegularSeason20242025!$B$3:$B$1315, "&lt;=" &amp; DG$1, DataRegularSeason20242025!$E$3:$E$1315, $A31)</f>
        <v>6</v>
      </c>
      <c r="DH31">
        <f>SUMIFS(DataRegularSeason20242025!$AA$3:$AA$1315,DataRegularSeason20242025!$B$3:$B$1315, "&lt;=" &amp; DH$1, DataRegularSeason20242025!$D$3:$D$1315, $A31)+SUMIFS(DataRegularSeason20242025!$AB$3:$AB$1315,DataRegularSeason20242025!$B$3:$B$1315, "&lt;=" &amp; DH$1, DataRegularSeason20242025!$E$3:$E$1315, $A31)</f>
        <v>6</v>
      </c>
      <c r="DI31">
        <f>SUMIFS(DataRegularSeason20242025!$AA$3:$AA$1315,DataRegularSeason20242025!$B$3:$B$1315, "&lt;=" &amp; DI$1, DataRegularSeason20242025!$D$3:$D$1315, $A31)+SUMIFS(DataRegularSeason20242025!$AB$3:$AB$1315,DataRegularSeason20242025!$B$3:$B$1315, "&lt;=" &amp; DI$1, DataRegularSeason20242025!$E$3:$E$1315, $A31)</f>
        <v>6</v>
      </c>
      <c r="DJ31">
        <f>SUMIFS(DataRegularSeason20242025!$AA$3:$AA$1315,DataRegularSeason20242025!$B$3:$B$1315, "&lt;=" &amp; DJ$1, DataRegularSeason20242025!$D$3:$D$1315, $A31)+SUMIFS(DataRegularSeason20242025!$AB$3:$AB$1315,DataRegularSeason20242025!$B$3:$B$1315, "&lt;=" &amp; DJ$1, DataRegularSeason20242025!$E$3:$E$1315, $A31)</f>
        <v>6</v>
      </c>
      <c r="DK31">
        <f>SUMIFS(DataRegularSeason20242025!$AA$3:$AA$1315,DataRegularSeason20242025!$B$3:$B$1315, "&lt;=" &amp; DK$1, DataRegularSeason20242025!$D$3:$D$1315, $A31)+SUMIFS(DataRegularSeason20242025!$AB$3:$AB$1315,DataRegularSeason20242025!$B$3:$B$1315, "&lt;=" &amp; DK$1, DataRegularSeason20242025!$E$3:$E$1315, $A31)</f>
        <v>6</v>
      </c>
      <c r="DL31">
        <f>SUMIFS(DataRegularSeason20242025!$AA$3:$AA$1315,DataRegularSeason20242025!$B$3:$B$1315, "&lt;=" &amp; DL$1, DataRegularSeason20242025!$D$3:$D$1315, $A31)+SUMIFS(DataRegularSeason20242025!$AB$3:$AB$1315,DataRegularSeason20242025!$B$3:$B$1315, "&lt;=" &amp; DL$1, DataRegularSeason20242025!$E$3:$E$1315, $A31)</f>
        <v>6</v>
      </c>
      <c r="DM31">
        <f>SUMIFS(DataRegularSeason20242025!$AA$3:$AA$1315,DataRegularSeason20242025!$B$3:$B$1315, "&lt;=" &amp; DM$1, DataRegularSeason20242025!$D$3:$D$1315, $A31)+SUMIFS(DataRegularSeason20242025!$AB$3:$AB$1315,DataRegularSeason20242025!$B$3:$B$1315, "&lt;=" &amp; DM$1, DataRegularSeason20242025!$E$3:$E$1315, $A31)</f>
        <v>6</v>
      </c>
      <c r="DN31">
        <f>SUMIFS(DataRegularSeason20242025!$AA$3:$AA$1315,DataRegularSeason20242025!$B$3:$B$1315, "&lt;=" &amp; DN$1, DataRegularSeason20242025!$D$3:$D$1315, $A31)+SUMIFS(DataRegularSeason20242025!$AB$3:$AB$1315,DataRegularSeason20242025!$B$3:$B$1315, "&lt;=" &amp; DN$1, DataRegularSeason20242025!$E$3:$E$1315, $A31)</f>
        <v>6</v>
      </c>
      <c r="DO31">
        <f>SUMIFS(DataRegularSeason20242025!$AA$3:$AA$1315,DataRegularSeason20242025!$B$3:$B$1315, "&lt;=" &amp; DO$1, DataRegularSeason20242025!$D$3:$D$1315, $A31)+SUMIFS(DataRegularSeason20242025!$AB$3:$AB$1315,DataRegularSeason20242025!$B$3:$B$1315, "&lt;=" &amp; DO$1, DataRegularSeason20242025!$E$3:$E$1315, $A31)</f>
        <v>6</v>
      </c>
      <c r="DP31">
        <f>SUMIFS(DataRegularSeason20242025!$AA$3:$AA$1315,DataRegularSeason20242025!$B$3:$B$1315, "&lt;=" &amp; DP$1, DataRegularSeason20242025!$D$3:$D$1315, $A31)+SUMIFS(DataRegularSeason20242025!$AB$3:$AB$1315,DataRegularSeason20242025!$B$3:$B$1315, "&lt;=" &amp; DP$1, DataRegularSeason20242025!$E$3:$E$1315, $A31)</f>
        <v>6</v>
      </c>
      <c r="DQ31">
        <f>SUMIFS(DataRegularSeason20242025!$AA$3:$AA$1315,DataRegularSeason20242025!$B$3:$B$1315, "&lt;=" &amp; DQ$1, DataRegularSeason20242025!$D$3:$D$1315, $A31)+SUMIFS(DataRegularSeason20242025!$AB$3:$AB$1315,DataRegularSeason20242025!$B$3:$B$1315, "&lt;=" &amp; DQ$1, DataRegularSeason20242025!$E$3:$E$1315, $A31)</f>
        <v>6</v>
      </c>
      <c r="DR31">
        <f>SUMIFS(DataRegularSeason20242025!$AA$3:$AA$1315,DataRegularSeason20242025!$B$3:$B$1315, "&lt;=" &amp; DR$1, DataRegularSeason20242025!$D$3:$D$1315, $A31)+SUMIFS(DataRegularSeason20242025!$AB$3:$AB$1315,DataRegularSeason20242025!$B$3:$B$1315, "&lt;=" &amp; DR$1, DataRegularSeason20242025!$E$3:$E$1315, $A31)</f>
        <v>6</v>
      </c>
      <c r="DS31">
        <f>SUMIFS(DataRegularSeason20242025!$AA$3:$AA$1315,DataRegularSeason20242025!$B$3:$B$1315, "&lt;=" &amp; DS$1, DataRegularSeason20242025!$D$3:$D$1315, $A31)+SUMIFS(DataRegularSeason20242025!$AB$3:$AB$1315,DataRegularSeason20242025!$B$3:$B$1315, "&lt;=" &amp; DS$1, DataRegularSeason20242025!$E$3:$E$1315, $A31)</f>
        <v>6</v>
      </c>
      <c r="DT31">
        <f>SUMIFS(DataRegularSeason20242025!$AA$3:$AA$1315,DataRegularSeason20242025!$B$3:$B$1315, "&lt;=" &amp; DT$1, DataRegularSeason20242025!$D$3:$D$1315, $A31)+SUMIFS(DataRegularSeason20242025!$AB$3:$AB$1315,DataRegularSeason20242025!$B$3:$B$1315, "&lt;=" &amp; DT$1, DataRegularSeason20242025!$E$3:$E$1315, $A31)</f>
        <v>6</v>
      </c>
      <c r="DU31">
        <f>SUMIFS(DataRegularSeason20242025!$AA$3:$AA$1315,DataRegularSeason20242025!$B$3:$B$1315, "&lt;=" &amp; DU$1, DataRegularSeason20242025!$D$3:$D$1315, $A31)+SUMIFS(DataRegularSeason20242025!$AB$3:$AB$1315,DataRegularSeason20242025!$B$3:$B$1315, "&lt;=" &amp; DU$1, DataRegularSeason20242025!$E$3:$E$1315, $A31)</f>
        <v>6</v>
      </c>
      <c r="DV31">
        <f>SUMIFS(DataRegularSeason20242025!$AA$3:$AA$1315,DataRegularSeason20242025!$B$3:$B$1315, "&lt;=" &amp; DV$1, DataRegularSeason20242025!$D$3:$D$1315, $A31)+SUMIFS(DataRegularSeason20242025!$AB$3:$AB$1315,DataRegularSeason20242025!$B$3:$B$1315, "&lt;=" &amp; DV$1, DataRegularSeason20242025!$E$3:$E$1315, $A31)</f>
        <v>6</v>
      </c>
      <c r="DW31">
        <f>SUMIFS(DataRegularSeason20242025!$AA$3:$AA$1315,DataRegularSeason20242025!$B$3:$B$1315, "&lt;=" &amp; DW$1, DataRegularSeason20242025!$D$3:$D$1315, $A31)+SUMIFS(DataRegularSeason20242025!$AB$3:$AB$1315,DataRegularSeason20242025!$B$3:$B$1315, "&lt;=" &amp; DW$1, DataRegularSeason20242025!$E$3:$E$1315, $A31)</f>
        <v>6</v>
      </c>
      <c r="DX31">
        <f>SUMIFS(DataRegularSeason20242025!$AA$3:$AA$1315,DataRegularSeason20242025!$B$3:$B$1315, "&lt;=" &amp; DX$1, DataRegularSeason20242025!$D$3:$D$1315, $A31)+SUMIFS(DataRegularSeason20242025!$AB$3:$AB$1315,DataRegularSeason20242025!$B$3:$B$1315, "&lt;=" &amp; DX$1, DataRegularSeason20242025!$E$3:$E$1315, $A31)</f>
        <v>6</v>
      </c>
      <c r="DY31">
        <f>SUMIFS(DataRegularSeason20242025!$AA$3:$AA$1315,DataRegularSeason20242025!$B$3:$B$1315, "&lt;=" &amp; DY$1, DataRegularSeason20242025!$D$3:$D$1315, $A31)+SUMIFS(DataRegularSeason20242025!$AB$3:$AB$1315,DataRegularSeason20242025!$B$3:$B$1315, "&lt;=" &amp; DY$1, DataRegularSeason20242025!$E$3:$E$1315, $A31)</f>
        <v>6</v>
      </c>
      <c r="DZ31">
        <f>SUMIFS(DataRegularSeason20242025!$AA$3:$AA$1315,DataRegularSeason20242025!$B$3:$B$1315, "&lt;=" &amp; DZ$1, DataRegularSeason20242025!$D$3:$D$1315, $A31)+SUMIFS(DataRegularSeason20242025!$AB$3:$AB$1315,DataRegularSeason20242025!$B$3:$B$1315, "&lt;=" &amp; DZ$1, DataRegularSeason20242025!$E$3:$E$1315, $A31)</f>
        <v>6</v>
      </c>
      <c r="EA31">
        <f>SUMIFS(DataRegularSeason20242025!$AA$3:$AA$1315,DataRegularSeason20242025!$B$3:$B$1315, "&lt;=" &amp; EA$1, DataRegularSeason20242025!$D$3:$D$1315, $A31)+SUMIFS(DataRegularSeason20242025!$AB$3:$AB$1315,DataRegularSeason20242025!$B$3:$B$1315, "&lt;=" &amp; EA$1, DataRegularSeason20242025!$E$3:$E$1315, $A31)</f>
        <v>6</v>
      </c>
      <c r="EB31">
        <f>SUMIFS(DataRegularSeason20242025!$AA$3:$AA$1315,DataRegularSeason20242025!$B$3:$B$1315, "&lt;=" &amp; EB$1, DataRegularSeason20242025!$D$3:$D$1315, $A31)+SUMIFS(DataRegularSeason20242025!$AB$3:$AB$1315,DataRegularSeason20242025!$B$3:$B$1315, "&lt;=" &amp; EB$1, DataRegularSeason20242025!$E$3:$E$1315, $A31)</f>
        <v>6</v>
      </c>
      <c r="EC31">
        <f>SUMIFS(DataRegularSeason20242025!$AA$3:$AA$1315,DataRegularSeason20242025!$B$3:$B$1315, "&lt;=" &amp; EC$1, DataRegularSeason20242025!$D$3:$D$1315, $A31)+SUMIFS(DataRegularSeason20242025!$AB$3:$AB$1315,DataRegularSeason20242025!$B$3:$B$1315, "&lt;=" &amp; EC$1, DataRegularSeason20242025!$E$3:$E$1315, $A31)</f>
        <v>6</v>
      </c>
      <c r="ED31">
        <f>SUMIFS(DataRegularSeason20242025!$AA$3:$AA$1315,DataRegularSeason20242025!$B$3:$B$1315, "&lt;=" &amp; ED$1, DataRegularSeason20242025!$D$3:$D$1315, $A31)+SUMIFS(DataRegularSeason20242025!$AB$3:$AB$1315,DataRegularSeason20242025!$B$3:$B$1315, "&lt;=" &amp; ED$1, DataRegularSeason20242025!$E$3:$E$1315, $A31)</f>
        <v>6</v>
      </c>
      <c r="EE31">
        <f>SUMIFS(DataRegularSeason20242025!$AA$3:$AA$1315,DataRegularSeason20242025!$B$3:$B$1315, "&lt;=" &amp; EE$1, DataRegularSeason20242025!$D$3:$D$1315, $A31)+SUMIFS(DataRegularSeason20242025!$AB$3:$AB$1315,DataRegularSeason20242025!$B$3:$B$1315, "&lt;=" &amp; EE$1, DataRegularSeason20242025!$E$3:$E$1315, $A31)</f>
        <v>6</v>
      </c>
      <c r="EF31">
        <f>SUMIFS(DataRegularSeason20242025!$AA$3:$AA$1315,DataRegularSeason20242025!$B$3:$B$1315, "&lt;=" &amp; EF$1, DataRegularSeason20242025!$D$3:$D$1315, $A31)+SUMIFS(DataRegularSeason20242025!$AB$3:$AB$1315,DataRegularSeason20242025!$B$3:$B$1315, "&lt;=" &amp; EF$1, DataRegularSeason20242025!$E$3:$E$1315, $A31)</f>
        <v>6</v>
      </c>
      <c r="EG31">
        <f>SUMIFS(DataRegularSeason20242025!$AA$3:$AA$1315,DataRegularSeason20242025!$B$3:$B$1315, "&lt;=" &amp; EG$1, DataRegularSeason20242025!$D$3:$D$1315, $A31)+SUMIFS(DataRegularSeason20242025!$AB$3:$AB$1315,DataRegularSeason20242025!$B$3:$B$1315, "&lt;=" &amp; EG$1, DataRegularSeason20242025!$E$3:$E$1315, $A31)</f>
        <v>6</v>
      </c>
      <c r="EH31">
        <f>SUMIFS(DataRegularSeason20242025!$AA$3:$AA$1315,DataRegularSeason20242025!$B$3:$B$1315, "&lt;=" &amp; EH$1, DataRegularSeason20242025!$D$3:$D$1315, $A31)+SUMIFS(DataRegularSeason20242025!$AB$3:$AB$1315,DataRegularSeason20242025!$B$3:$B$1315, "&lt;=" &amp; EH$1, DataRegularSeason20242025!$E$3:$E$1315, $A31)</f>
        <v>6</v>
      </c>
      <c r="EI31">
        <f>SUMIFS(DataRegularSeason20242025!$AA$3:$AA$1315,DataRegularSeason20242025!$B$3:$B$1315, "&lt;=" &amp; EI$1, DataRegularSeason20242025!$D$3:$D$1315, $A31)+SUMIFS(DataRegularSeason20242025!$AB$3:$AB$1315,DataRegularSeason20242025!$B$3:$B$1315, "&lt;=" &amp; EI$1, DataRegularSeason20242025!$E$3:$E$1315, $A31)</f>
        <v>6</v>
      </c>
      <c r="EJ31">
        <f>SUMIFS(DataRegularSeason20242025!$AA$3:$AA$1315,DataRegularSeason20242025!$B$3:$B$1315, "&lt;=" &amp; EJ$1, DataRegularSeason20242025!$D$3:$D$1315, $A31)+SUMIFS(DataRegularSeason20242025!$AB$3:$AB$1315,DataRegularSeason20242025!$B$3:$B$1315, "&lt;=" &amp; EJ$1, DataRegularSeason20242025!$E$3:$E$1315, $A31)</f>
        <v>6</v>
      </c>
      <c r="EK31">
        <f>SUMIFS(DataRegularSeason20242025!$AA$3:$AA$1315,DataRegularSeason20242025!$B$3:$B$1315, "&lt;=" &amp; EK$1, DataRegularSeason20242025!$D$3:$D$1315, $A31)+SUMIFS(DataRegularSeason20242025!$AB$3:$AB$1315,DataRegularSeason20242025!$B$3:$B$1315, "&lt;=" &amp; EK$1, DataRegularSeason20242025!$E$3:$E$1315, $A31)</f>
        <v>6</v>
      </c>
      <c r="EL31">
        <f>SUMIFS(DataRegularSeason20242025!$AA$3:$AA$1315,DataRegularSeason20242025!$B$3:$B$1315, "&lt;=" &amp; EL$1, DataRegularSeason20242025!$D$3:$D$1315, $A31)+SUMIFS(DataRegularSeason20242025!$AB$3:$AB$1315,DataRegularSeason20242025!$B$3:$B$1315, "&lt;=" &amp; EL$1, DataRegularSeason20242025!$E$3:$E$1315, $A31)</f>
        <v>6</v>
      </c>
      <c r="EM31">
        <f>SUMIFS(DataRegularSeason20242025!$AA$3:$AA$1315,DataRegularSeason20242025!$B$3:$B$1315, "&lt;=" &amp; EM$1, DataRegularSeason20242025!$D$3:$D$1315, $A31)+SUMIFS(DataRegularSeason20242025!$AB$3:$AB$1315,DataRegularSeason20242025!$B$3:$B$1315, "&lt;=" &amp; EM$1, DataRegularSeason20242025!$E$3:$E$1315, $A31)</f>
        <v>6</v>
      </c>
      <c r="EN31">
        <f>SUMIFS(DataRegularSeason20242025!$AA$3:$AA$1315,DataRegularSeason20242025!$B$3:$B$1315, "&lt;=" &amp; EN$1, DataRegularSeason20242025!$D$3:$D$1315, $A31)+SUMIFS(DataRegularSeason20242025!$AB$3:$AB$1315,DataRegularSeason20242025!$B$3:$B$1315, "&lt;=" &amp; EN$1, DataRegularSeason20242025!$E$3:$E$1315, $A31)</f>
        <v>6</v>
      </c>
      <c r="EO31">
        <f>SUMIFS(DataRegularSeason20242025!$AA$3:$AA$1315,DataRegularSeason20242025!$B$3:$B$1315, "&lt;=" &amp; EO$1, DataRegularSeason20242025!$D$3:$D$1315, $A31)+SUMIFS(DataRegularSeason20242025!$AB$3:$AB$1315,DataRegularSeason20242025!$B$3:$B$1315, "&lt;=" &amp; EO$1, DataRegularSeason20242025!$E$3:$E$1315, $A31)</f>
        <v>6</v>
      </c>
      <c r="EP31">
        <f>SUMIFS(DataRegularSeason20242025!$AA$3:$AA$1315,DataRegularSeason20242025!$B$3:$B$1315, "&lt;=" &amp; EP$1, DataRegularSeason20242025!$D$3:$D$1315, $A31)+SUMIFS(DataRegularSeason20242025!$AB$3:$AB$1315,DataRegularSeason20242025!$B$3:$B$1315, "&lt;=" &amp; EP$1, DataRegularSeason20242025!$E$3:$E$1315, $A31)</f>
        <v>6</v>
      </c>
      <c r="EQ31">
        <f>SUMIFS(DataRegularSeason20242025!$AA$3:$AA$1315,DataRegularSeason20242025!$B$3:$B$1315, "&lt;=" &amp; EQ$1, DataRegularSeason20242025!$D$3:$D$1315, $A31)+SUMIFS(DataRegularSeason20242025!$AB$3:$AB$1315,DataRegularSeason20242025!$B$3:$B$1315, "&lt;=" &amp; EQ$1, DataRegularSeason20242025!$E$3:$E$1315, $A31)</f>
        <v>6</v>
      </c>
      <c r="ER31">
        <f>SUMIFS(DataRegularSeason20242025!$AA$3:$AA$1315,DataRegularSeason20242025!$B$3:$B$1315, "&lt;=" &amp; ER$1, DataRegularSeason20242025!$D$3:$D$1315, $A31)+SUMIFS(DataRegularSeason20242025!$AB$3:$AB$1315,DataRegularSeason20242025!$B$3:$B$1315, "&lt;=" &amp; ER$1, DataRegularSeason20242025!$E$3:$E$1315, $A31)</f>
        <v>6</v>
      </c>
      <c r="ES31">
        <f>SUMIFS(DataRegularSeason20242025!$AA$3:$AA$1315,DataRegularSeason20242025!$B$3:$B$1315, "&lt;=" &amp; ES$1, DataRegularSeason20242025!$D$3:$D$1315, $A31)+SUMIFS(DataRegularSeason20242025!$AB$3:$AB$1315,DataRegularSeason20242025!$B$3:$B$1315, "&lt;=" &amp; ES$1, DataRegularSeason20242025!$E$3:$E$1315, $A31)</f>
        <v>6</v>
      </c>
      <c r="ET31">
        <f>SUMIFS(DataRegularSeason20242025!$AA$3:$AA$1315,DataRegularSeason20242025!$B$3:$B$1315, "&lt;=" &amp; ET$1, DataRegularSeason20242025!$D$3:$D$1315, $A31)+SUMIFS(DataRegularSeason20242025!$AB$3:$AB$1315,DataRegularSeason20242025!$B$3:$B$1315, "&lt;=" &amp; ET$1, DataRegularSeason20242025!$E$3:$E$1315, $A31)</f>
        <v>6</v>
      </c>
      <c r="EU31">
        <f>SUMIFS(DataRegularSeason20242025!$AA$3:$AA$1315,DataRegularSeason20242025!$B$3:$B$1315, "&lt;=" &amp; EU$1, DataRegularSeason20242025!$D$3:$D$1315, $A31)+SUMIFS(DataRegularSeason20242025!$AB$3:$AB$1315,DataRegularSeason20242025!$B$3:$B$1315, "&lt;=" &amp; EU$1, DataRegularSeason20242025!$E$3:$E$1315, $A31)</f>
        <v>6</v>
      </c>
      <c r="EV31">
        <f>SUMIFS(DataRegularSeason20242025!$AA$3:$AA$1315,DataRegularSeason20242025!$B$3:$B$1315, "&lt;=" &amp; EV$1, DataRegularSeason20242025!$D$3:$D$1315, $A31)+SUMIFS(DataRegularSeason20242025!$AB$3:$AB$1315,DataRegularSeason20242025!$B$3:$B$1315, "&lt;=" &amp; EV$1, DataRegularSeason20242025!$E$3:$E$1315, $A31)</f>
        <v>6</v>
      </c>
      <c r="EW31">
        <f>SUMIFS(DataRegularSeason20242025!$AA$3:$AA$1315,DataRegularSeason20242025!$B$3:$B$1315, "&lt;=" &amp; EW$1, DataRegularSeason20242025!$D$3:$D$1315, $A31)+SUMIFS(DataRegularSeason20242025!$AB$3:$AB$1315,DataRegularSeason20242025!$B$3:$B$1315, "&lt;=" &amp; EW$1, DataRegularSeason20242025!$E$3:$E$1315, $A31)</f>
        <v>6</v>
      </c>
      <c r="EX31">
        <f>SUMIFS(DataRegularSeason20242025!$AA$3:$AA$1315,DataRegularSeason20242025!$B$3:$B$1315, "&lt;=" &amp; EX$1, DataRegularSeason20242025!$D$3:$D$1315, $A31)+SUMIFS(DataRegularSeason20242025!$AB$3:$AB$1315,DataRegularSeason20242025!$B$3:$B$1315, "&lt;=" &amp; EX$1, DataRegularSeason20242025!$E$3:$E$1315, $A31)</f>
        <v>6</v>
      </c>
      <c r="EY31">
        <f>SUMIFS(DataRegularSeason20242025!$AA$3:$AA$1315,DataRegularSeason20242025!$B$3:$B$1315, "&lt;=" &amp; EY$1, DataRegularSeason20242025!$D$3:$D$1315, $A31)+SUMIFS(DataRegularSeason20242025!$AB$3:$AB$1315,DataRegularSeason20242025!$B$3:$B$1315, "&lt;=" &amp; EY$1, DataRegularSeason20242025!$E$3:$E$1315, $A31)</f>
        <v>6</v>
      </c>
      <c r="EZ31">
        <f>SUMIFS(DataRegularSeason20242025!$AA$3:$AA$1315,DataRegularSeason20242025!$B$3:$B$1315, "&lt;=" &amp; EZ$1, DataRegularSeason20242025!$D$3:$D$1315, $A31)+SUMIFS(DataRegularSeason20242025!$AB$3:$AB$1315,DataRegularSeason20242025!$B$3:$B$1315, "&lt;=" &amp; EZ$1, DataRegularSeason20242025!$E$3:$E$1315, $A31)</f>
        <v>6</v>
      </c>
      <c r="FA31">
        <f>SUMIFS(DataRegularSeason20242025!$AA$3:$AA$1315,DataRegularSeason20242025!$B$3:$B$1315, "&lt;=" &amp; FA$1, DataRegularSeason20242025!$D$3:$D$1315, $A31)+SUMIFS(DataRegularSeason20242025!$AB$3:$AB$1315,DataRegularSeason20242025!$B$3:$B$1315, "&lt;=" &amp; FA$1, DataRegularSeason20242025!$E$3:$E$1315, $A31)</f>
        <v>6</v>
      </c>
      <c r="FB31">
        <f>SUMIFS(DataRegularSeason20242025!$AA$3:$AA$1315,DataRegularSeason20242025!$B$3:$B$1315, "&lt;=" &amp; FB$1, DataRegularSeason20242025!$D$3:$D$1315, $A31)+SUMIFS(DataRegularSeason20242025!$AB$3:$AB$1315,DataRegularSeason20242025!$B$3:$B$1315, "&lt;=" &amp; FB$1, DataRegularSeason20242025!$E$3:$E$1315, $A31)</f>
        <v>6</v>
      </c>
      <c r="FC31">
        <f>SUMIFS(DataRegularSeason20242025!$AA$3:$AA$1315,DataRegularSeason20242025!$B$3:$B$1315, "&lt;=" &amp; FC$1, DataRegularSeason20242025!$D$3:$D$1315, $A31)+SUMIFS(DataRegularSeason20242025!$AB$3:$AB$1315,DataRegularSeason20242025!$B$3:$B$1315, "&lt;=" &amp; FC$1, DataRegularSeason20242025!$E$3:$E$1315, $A31)</f>
        <v>6</v>
      </c>
      <c r="FD31">
        <f>SUMIFS(DataRegularSeason20242025!$AA$3:$AA$1315,DataRegularSeason20242025!$B$3:$B$1315, "&lt;=" &amp; FD$1, DataRegularSeason20242025!$D$3:$D$1315, $A31)+SUMIFS(DataRegularSeason20242025!$AB$3:$AB$1315,DataRegularSeason20242025!$B$3:$B$1315, "&lt;=" &amp; FD$1, DataRegularSeason20242025!$E$3:$E$1315, $A31)</f>
        <v>6</v>
      </c>
      <c r="FE31">
        <f>SUMIFS(DataRegularSeason20242025!$AA$3:$AA$1315,DataRegularSeason20242025!$B$3:$B$1315, "&lt;=" &amp; FE$1, DataRegularSeason20242025!$D$3:$D$1315, $A31)+SUMIFS(DataRegularSeason20242025!$AB$3:$AB$1315,DataRegularSeason20242025!$B$3:$B$1315, "&lt;=" &amp; FE$1, DataRegularSeason20242025!$E$3:$E$1315, $A31)</f>
        <v>6</v>
      </c>
      <c r="FF31">
        <f>SUMIFS(DataRegularSeason20242025!$AA$3:$AA$1315,DataRegularSeason20242025!$B$3:$B$1315, "&lt;=" &amp; FF$1, DataRegularSeason20242025!$D$3:$D$1315, $A31)+SUMIFS(DataRegularSeason20242025!$AB$3:$AB$1315,DataRegularSeason20242025!$B$3:$B$1315, "&lt;=" &amp; FF$1, DataRegularSeason20242025!$E$3:$E$1315, $A31)</f>
        <v>6</v>
      </c>
      <c r="FG31">
        <f>SUMIFS(DataRegularSeason20242025!$AA$3:$AA$1315,DataRegularSeason20242025!$B$3:$B$1315, "&lt;=" &amp; FG$1, DataRegularSeason20242025!$D$3:$D$1315, $A31)+SUMIFS(DataRegularSeason20242025!$AB$3:$AB$1315,DataRegularSeason20242025!$B$3:$B$1315, "&lt;=" &amp; FG$1, DataRegularSeason20242025!$E$3:$E$1315, $A31)</f>
        <v>6</v>
      </c>
      <c r="FH31">
        <f>SUMIFS(DataRegularSeason20242025!$AA$3:$AA$1315,DataRegularSeason20242025!$B$3:$B$1315, "&lt;=" &amp; FH$1, DataRegularSeason20242025!$D$3:$D$1315, $A31)+SUMIFS(DataRegularSeason20242025!$AB$3:$AB$1315,DataRegularSeason20242025!$B$3:$B$1315, "&lt;=" &amp; FH$1, DataRegularSeason20242025!$E$3:$E$1315, $A31)</f>
        <v>6</v>
      </c>
      <c r="FI31">
        <f>SUMIFS(DataRegularSeason20242025!$AA$3:$AA$1315,DataRegularSeason20242025!$B$3:$B$1315, "&lt;=" &amp; FI$1, DataRegularSeason20242025!$D$3:$D$1315, $A31)+SUMIFS(DataRegularSeason20242025!$AB$3:$AB$1315,DataRegularSeason20242025!$B$3:$B$1315, "&lt;=" &amp; FI$1, DataRegularSeason20242025!$E$3:$E$1315, $A31)</f>
        <v>6</v>
      </c>
      <c r="FJ31">
        <f>SUMIFS(DataRegularSeason20242025!$AA$3:$AA$1315,DataRegularSeason20242025!$B$3:$B$1315, "&lt;=" &amp; FJ$1, DataRegularSeason20242025!$D$3:$D$1315, $A31)+SUMIFS(DataRegularSeason20242025!$AB$3:$AB$1315,DataRegularSeason20242025!$B$3:$B$1315, "&lt;=" &amp; FJ$1, DataRegularSeason20242025!$E$3:$E$1315, $A31)</f>
        <v>6</v>
      </c>
      <c r="FK31">
        <f>SUMIFS(DataRegularSeason20242025!$AA$3:$AA$1315,DataRegularSeason20242025!$B$3:$B$1315, "&lt;=" &amp; FK$1, DataRegularSeason20242025!$D$3:$D$1315, $A31)+SUMIFS(DataRegularSeason20242025!$AB$3:$AB$1315,DataRegularSeason20242025!$B$3:$B$1315, "&lt;=" &amp; FK$1, DataRegularSeason20242025!$E$3:$E$1315, $A31)</f>
        <v>6</v>
      </c>
      <c r="FL31">
        <f>SUMIFS(DataRegularSeason20242025!$AA$3:$AA$1315,DataRegularSeason20242025!$B$3:$B$1315, "&lt;=" &amp; FL$1, DataRegularSeason20242025!$D$3:$D$1315, $A31)+SUMIFS(DataRegularSeason20242025!$AB$3:$AB$1315,DataRegularSeason20242025!$B$3:$B$1315, "&lt;=" &amp; FL$1, DataRegularSeason20242025!$E$3:$E$1315, $A31)</f>
        <v>6</v>
      </c>
      <c r="FM31">
        <f>SUMIFS(DataRegularSeason20242025!$AA$3:$AA$1315,DataRegularSeason20242025!$B$3:$B$1315, "&lt;=" &amp; FM$1, DataRegularSeason20242025!$D$3:$D$1315, $A31)+SUMIFS(DataRegularSeason20242025!$AB$3:$AB$1315,DataRegularSeason20242025!$B$3:$B$1315, "&lt;=" &amp; FM$1, DataRegularSeason20242025!$E$3:$E$1315, $A31)</f>
        <v>6</v>
      </c>
      <c r="FN31">
        <f>SUMIFS(DataRegularSeason20242025!$AA$3:$AA$1315,DataRegularSeason20242025!$B$3:$B$1315, "&lt;=" &amp; FN$1, DataRegularSeason20242025!$D$3:$D$1315, $A31)+SUMIFS(DataRegularSeason20242025!$AB$3:$AB$1315,DataRegularSeason20242025!$B$3:$B$1315, "&lt;=" &amp; FN$1, DataRegularSeason20242025!$E$3:$E$1315, $A31)</f>
        <v>6</v>
      </c>
      <c r="FO31">
        <f>SUMIFS(DataRegularSeason20242025!$AA$3:$AA$1315,DataRegularSeason20242025!$B$3:$B$1315, "&lt;=" &amp; FO$1, DataRegularSeason20242025!$D$3:$D$1315, $A31)+SUMIFS(DataRegularSeason20242025!$AB$3:$AB$1315,DataRegularSeason20242025!$B$3:$B$1315, "&lt;=" &amp; FO$1, DataRegularSeason20242025!$E$3:$E$1315, $A31)</f>
        <v>6</v>
      </c>
      <c r="FP31">
        <f>SUMIFS(DataRegularSeason20242025!$AA$3:$AA$1315,DataRegularSeason20242025!$B$3:$B$1315, "&lt;=" &amp; FP$1, DataRegularSeason20242025!$D$3:$D$1315, $A31)+SUMIFS(DataRegularSeason20242025!$AB$3:$AB$1315,DataRegularSeason20242025!$B$3:$B$1315, "&lt;=" &amp; FP$1, DataRegularSeason20242025!$E$3:$E$1315, $A31)</f>
        <v>6</v>
      </c>
      <c r="FQ31">
        <f>SUMIFS(DataRegularSeason20242025!$AA$3:$AA$1315,DataRegularSeason20242025!$B$3:$B$1315, "&lt;=" &amp; FQ$1, DataRegularSeason20242025!$D$3:$D$1315, $A31)+SUMIFS(DataRegularSeason20242025!$AB$3:$AB$1315,DataRegularSeason20242025!$B$3:$B$1315, "&lt;=" &amp; FQ$1, DataRegularSeason20242025!$E$3:$E$1315, $A31)</f>
        <v>6</v>
      </c>
      <c r="FR31">
        <f>SUMIFS(DataRegularSeason20242025!$AA$3:$AA$1315,DataRegularSeason20242025!$B$3:$B$1315, "&lt;=" &amp; FR$1, DataRegularSeason20242025!$D$3:$D$1315, $A31)+SUMIFS(DataRegularSeason20242025!$AB$3:$AB$1315,DataRegularSeason20242025!$B$3:$B$1315, "&lt;=" &amp; FR$1, DataRegularSeason20242025!$E$3:$E$1315, $A31)</f>
        <v>6</v>
      </c>
      <c r="FS31">
        <f>SUMIFS(DataRegularSeason20242025!$AA$3:$AA$1315,DataRegularSeason20242025!$B$3:$B$1315, "&lt;=" &amp; FS$1, DataRegularSeason20242025!$D$3:$D$1315, $A31)+SUMIFS(DataRegularSeason20242025!$AB$3:$AB$1315,DataRegularSeason20242025!$B$3:$B$1315, "&lt;=" &amp; FS$1, DataRegularSeason20242025!$E$3:$E$1315, $A31)</f>
        <v>6</v>
      </c>
      <c r="FT31">
        <f>SUMIFS(DataRegularSeason20242025!$AA$3:$AA$1315,DataRegularSeason20242025!$B$3:$B$1315, "&lt;=" &amp; FT$1, DataRegularSeason20242025!$D$3:$D$1315, $A31)+SUMIFS(DataRegularSeason20242025!$AB$3:$AB$1315,DataRegularSeason20242025!$B$3:$B$1315, "&lt;=" &amp; FT$1, DataRegularSeason20242025!$E$3:$E$1315, $A31)</f>
        <v>6</v>
      </c>
      <c r="FU31">
        <f>SUMIFS(DataRegularSeason20242025!$AA$3:$AA$1315,DataRegularSeason20242025!$B$3:$B$1315, "&lt;=" &amp; FU$1, DataRegularSeason20242025!$D$3:$D$1315, $A31)+SUMIFS(DataRegularSeason20242025!$AB$3:$AB$1315,DataRegularSeason20242025!$B$3:$B$1315, "&lt;=" &amp; FU$1, DataRegularSeason20242025!$E$3:$E$1315, $A31)</f>
        <v>6</v>
      </c>
      <c r="FV31">
        <f>SUMIFS(DataRegularSeason20242025!$AA$3:$AA$1315,DataRegularSeason20242025!$B$3:$B$1315, "&lt;=" &amp; FV$1, DataRegularSeason20242025!$D$3:$D$1315, $A31)+SUMIFS(DataRegularSeason20242025!$AB$3:$AB$1315,DataRegularSeason20242025!$B$3:$B$1315, "&lt;=" &amp; FV$1, DataRegularSeason20242025!$E$3:$E$1315, $A31)</f>
        <v>6</v>
      </c>
      <c r="FW31">
        <f>SUMIFS(DataRegularSeason20242025!$AA$3:$AA$1315,DataRegularSeason20242025!$B$3:$B$1315, "&lt;=" &amp; FW$1, DataRegularSeason20242025!$D$3:$D$1315, $A31)+SUMIFS(DataRegularSeason20242025!$AB$3:$AB$1315,DataRegularSeason20242025!$B$3:$B$1315, "&lt;=" &amp; FW$1, DataRegularSeason20242025!$E$3:$E$1315, $A31)</f>
        <v>6</v>
      </c>
      <c r="FX31">
        <f>SUMIFS(DataRegularSeason20242025!$AA$3:$AA$1315,DataRegularSeason20242025!$B$3:$B$1315, "&lt;=" &amp; FX$1, DataRegularSeason20242025!$D$3:$D$1315, $A31)+SUMIFS(DataRegularSeason20242025!$AB$3:$AB$1315,DataRegularSeason20242025!$B$3:$B$1315, "&lt;=" &amp; FX$1, DataRegularSeason20242025!$E$3:$E$1315, $A31)</f>
        <v>6</v>
      </c>
      <c r="FY31">
        <f>SUMIFS(DataRegularSeason20242025!$AA$3:$AA$1315,DataRegularSeason20242025!$B$3:$B$1315, "&lt;=" &amp; FY$1, DataRegularSeason20242025!$D$3:$D$1315, $A31)+SUMIFS(DataRegularSeason20242025!$AB$3:$AB$1315,DataRegularSeason20242025!$B$3:$B$1315, "&lt;=" &amp; FY$1, DataRegularSeason20242025!$E$3:$E$1315, $A31)</f>
        <v>6</v>
      </c>
      <c r="FZ31">
        <f>SUMIFS(DataRegularSeason20242025!$AA$3:$AA$1315,DataRegularSeason20242025!$B$3:$B$1315, "&lt;=" &amp; FZ$1, DataRegularSeason20242025!$D$3:$D$1315, $A31)+SUMIFS(DataRegularSeason20242025!$AB$3:$AB$1315,DataRegularSeason20242025!$B$3:$B$1315, "&lt;=" &amp; FZ$1, DataRegularSeason20242025!$E$3:$E$1315, $A31)</f>
        <v>6</v>
      </c>
      <c r="GA31">
        <f>SUMIFS(DataRegularSeason20242025!$AA$3:$AA$1315,DataRegularSeason20242025!$B$3:$B$1315, "&lt;=" &amp; GA$1, DataRegularSeason20242025!$D$3:$D$1315, $A31)+SUMIFS(DataRegularSeason20242025!$AB$3:$AB$1315,DataRegularSeason20242025!$B$3:$B$1315, "&lt;=" &amp; GA$1, DataRegularSeason20242025!$E$3:$E$1315, $A31)</f>
        <v>6</v>
      </c>
      <c r="GB31">
        <f>SUMIFS(DataRegularSeason20242025!$AA$3:$AA$1315,DataRegularSeason20242025!$B$3:$B$1315, "&lt;=" &amp; GB$1, DataRegularSeason20242025!$D$3:$D$1315, $A31)+SUMIFS(DataRegularSeason20242025!$AB$3:$AB$1315,DataRegularSeason20242025!$B$3:$B$1315, "&lt;=" &amp; GB$1, DataRegularSeason20242025!$E$3:$E$1315, $A31)</f>
        <v>6</v>
      </c>
      <c r="GC31">
        <f>SUMIFS(DataRegularSeason20242025!$AA$3:$AA$1315,DataRegularSeason20242025!$B$3:$B$1315, "&lt;=" &amp; GC$1, DataRegularSeason20242025!$D$3:$D$1315, $A31)+SUMIFS(DataRegularSeason20242025!$AB$3:$AB$1315,DataRegularSeason20242025!$B$3:$B$1315, "&lt;=" &amp; GC$1, DataRegularSeason20242025!$E$3:$E$1315, $A31)</f>
        <v>6</v>
      </c>
      <c r="GD31">
        <f>SUMIFS(DataRegularSeason20242025!$AA$3:$AA$1315,DataRegularSeason20242025!$B$3:$B$1315, "&lt;=" &amp; GD$1, DataRegularSeason20242025!$D$3:$D$1315, $A31)+SUMIFS(DataRegularSeason20242025!$AB$3:$AB$1315,DataRegularSeason20242025!$B$3:$B$1315, "&lt;=" &amp; GD$1, DataRegularSeason20242025!$E$3:$E$1315, $A31)</f>
        <v>6</v>
      </c>
      <c r="GE31">
        <f>SUMIFS(DataRegularSeason20242025!$AA$3:$AA$1315,DataRegularSeason20242025!$B$3:$B$1315, "&lt;=" &amp; GE$1, DataRegularSeason20242025!$D$3:$D$1315, $A31)+SUMIFS(DataRegularSeason20242025!$AB$3:$AB$1315,DataRegularSeason20242025!$B$3:$B$1315, "&lt;=" &amp; GE$1, DataRegularSeason20242025!$E$3:$E$1315, $A31)</f>
        <v>6</v>
      </c>
      <c r="GF31">
        <f>SUMIFS(DataRegularSeason20242025!$AA$3:$AA$1315,DataRegularSeason20242025!$B$3:$B$1315, "&lt;=" &amp; GF$1, DataRegularSeason20242025!$D$3:$D$1315, $A31)+SUMIFS(DataRegularSeason20242025!$AB$3:$AB$1315,DataRegularSeason20242025!$B$3:$B$1315, "&lt;=" &amp; GF$1, DataRegularSeason20242025!$E$3:$E$1315, $A31)</f>
        <v>6</v>
      </c>
      <c r="GG31">
        <f>SUMIFS(DataRegularSeason20242025!$AA$3:$AA$1315,DataRegularSeason20242025!$B$3:$B$1315, "&lt;=" &amp; GG$1, DataRegularSeason20242025!$D$3:$D$1315, $A31)+SUMIFS(DataRegularSeason20242025!$AB$3:$AB$1315,DataRegularSeason20242025!$B$3:$B$1315, "&lt;=" &amp; GG$1, DataRegularSeason20242025!$E$3:$E$1315, $A31)</f>
        <v>6</v>
      </c>
      <c r="GH31">
        <f>SUMIFS(DataRegularSeason20242025!$AA$3:$AA$1315,DataRegularSeason20242025!$B$3:$B$1315, "&lt;=" &amp; GH$1, DataRegularSeason20242025!$D$3:$D$1315, $A31)+SUMIFS(DataRegularSeason20242025!$AB$3:$AB$1315,DataRegularSeason20242025!$B$3:$B$1315, "&lt;=" &amp; GH$1, DataRegularSeason20242025!$E$3:$E$1315, $A31)</f>
        <v>6</v>
      </c>
      <c r="GI31">
        <f>SUMIFS(DataRegularSeason20242025!$AA$3:$AA$1315,DataRegularSeason20242025!$B$3:$B$1315, "&lt;=" &amp; GI$1, DataRegularSeason20242025!$D$3:$D$1315, $A31)+SUMIFS(DataRegularSeason20242025!$AB$3:$AB$1315,DataRegularSeason20242025!$B$3:$B$1315, "&lt;=" &amp; GI$1, DataRegularSeason20242025!$E$3:$E$1315, $A31)</f>
        <v>6</v>
      </c>
      <c r="GJ31">
        <f>SUMIFS(DataRegularSeason20242025!$AA$3:$AA$1315,DataRegularSeason20242025!$B$3:$B$1315, "&lt;=" &amp; GJ$1, DataRegularSeason20242025!$D$3:$D$1315, $A31)+SUMIFS(DataRegularSeason20242025!$AB$3:$AB$1315,DataRegularSeason20242025!$B$3:$B$1315, "&lt;=" &amp; GJ$1, DataRegularSeason20242025!$E$3:$E$1315, $A31)</f>
        <v>6</v>
      </c>
      <c r="GK31">
        <f>SUMIFS(DataRegularSeason20242025!$AA$3:$AA$1315,DataRegularSeason20242025!$B$3:$B$1315, "&lt;=" &amp; GK$1, DataRegularSeason20242025!$D$3:$D$1315, $A31)+SUMIFS(DataRegularSeason20242025!$AB$3:$AB$1315,DataRegularSeason20242025!$B$3:$B$1315, "&lt;=" &amp; GK$1, DataRegularSeason20242025!$E$3:$E$1315, $A31)</f>
        <v>6</v>
      </c>
      <c r="GL31">
        <f>SUMIFS(DataRegularSeason20242025!$AA$3:$AA$1315,DataRegularSeason20242025!$B$3:$B$1315, "&lt;=" &amp; GL$1, DataRegularSeason20242025!$D$3:$D$1315, $A31)+SUMIFS(DataRegularSeason20242025!$AB$3:$AB$1315,DataRegularSeason20242025!$B$3:$B$1315, "&lt;=" &amp; GL$1, DataRegularSeason20242025!$E$3:$E$1315, $A31)</f>
        <v>6</v>
      </c>
      <c r="GM31">
        <f>SUMIFS(DataRegularSeason20242025!$AA$3:$AA$1315,DataRegularSeason20242025!$B$3:$B$1315, "&lt;=" &amp; GM$1, DataRegularSeason20242025!$D$3:$D$1315, $A31)+SUMIFS(DataRegularSeason20242025!$AB$3:$AB$1315,DataRegularSeason20242025!$B$3:$B$1315, "&lt;=" &amp; GM$1, DataRegularSeason20242025!$E$3:$E$1315, $A31)</f>
        <v>6</v>
      </c>
      <c r="GN31">
        <f>SUMIFS(DataRegularSeason20242025!$AA$3:$AA$1315,DataRegularSeason20242025!$B$3:$B$1315, "&lt;=" &amp; GN$1, DataRegularSeason20242025!$D$3:$D$1315, $A31)+SUMIFS(DataRegularSeason20242025!$AB$3:$AB$1315,DataRegularSeason20242025!$B$3:$B$1315, "&lt;=" &amp; GN$1, DataRegularSeason20242025!$E$3:$E$1315, $A31)</f>
        <v>6</v>
      </c>
      <c r="GO31">
        <f>SUMIFS(DataRegularSeason20242025!$AA$3:$AA$1315,DataRegularSeason20242025!$B$3:$B$1315, "&lt;=" &amp; GO$1, DataRegularSeason20242025!$D$3:$D$1315, $A31)+SUMIFS(DataRegularSeason20242025!$AB$3:$AB$1315,DataRegularSeason20242025!$B$3:$B$1315, "&lt;=" &amp; GO$1, DataRegularSeason20242025!$E$3:$E$1315, $A31)</f>
        <v>6</v>
      </c>
      <c r="GP31">
        <f>SUMIFS(DataRegularSeason20242025!$AA$3:$AA$1315,DataRegularSeason20242025!$B$3:$B$1315, "&lt;=" &amp; GP$1, DataRegularSeason20242025!$D$3:$D$1315, $A31)+SUMIFS(DataRegularSeason20242025!$AB$3:$AB$1315,DataRegularSeason20242025!$B$3:$B$1315, "&lt;=" &amp; GP$1, DataRegularSeason20242025!$E$3:$E$1315, $A31)</f>
        <v>6</v>
      </c>
      <c r="GQ31">
        <f>SUMIFS(DataRegularSeason20242025!$AA$3:$AA$1315,DataRegularSeason20242025!$B$3:$B$1315, "&lt;=" &amp; GQ$1, DataRegularSeason20242025!$D$3:$D$1315, $A31)+SUMIFS(DataRegularSeason20242025!$AB$3:$AB$1315,DataRegularSeason20242025!$B$3:$B$1315, "&lt;=" &amp; GQ$1, DataRegularSeason20242025!$E$3:$E$1315, $A31)</f>
        <v>6</v>
      </c>
      <c r="GR31">
        <f>SUMIFS(DataRegularSeason20242025!$AA$3:$AA$1315,DataRegularSeason20242025!$B$3:$B$1315, "&lt;=" &amp; GR$1, DataRegularSeason20242025!$D$3:$D$1315, $A31)+SUMIFS(DataRegularSeason20242025!$AB$3:$AB$1315,DataRegularSeason20242025!$B$3:$B$1315, "&lt;=" &amp; GR$1, DataRegularSeason20242025!$E$3:$E$1315, $A31)</f>
        <v>6</v>
      </c>
      <c r="GS31">
        <f>SUMIFS(DataRegularSeason20242025!$AA$3:$AA$1315,DataRegularSeason20242025!$B$3:$B$1315, "&lt;=" &amp; GS$1, DataRegularSeason20242025!$D$3:$D$1315, $A31)+SUMIFS(DataRegularSeason20242025!$AB$3:$AB$1315,DataRegularSeason20242025!$B$3:$B$1315, "&lt;=" &amp; GS$1, DataRegularSeason20242025!$E$3:$E$1315, $A31)</f>
        <v>6</v>
      </c>
      <c r="GT31">
        <f>SUMIFS(DataRegularSeason20242025!$AA$3:$AA$1315,DataRegularSeason20242025!$B$3:$B$1315, "&lt;=" &amp; GT$1, DataRegularSeason20242025!$D$3:$D$1315, $A31)+SUMIFS(DataRegularSeason20242025!$AB$3:$AB$1315,DataRegularSeason20242025!$B$3:$B$1315, "&lt;=" &amp; GT$1, DataRegularSeason20242025!$E$3:$E$1315, $A31)</f>
        <v>6</v>
      </c>
      <c r="GU31">
        <f>SUMIFS(DataRegularSeason20242025!$AA$3:$AA$1315,DataRegularSeason20242025!$B$3:$B$1315, "&lt;=" &amp; GU$1, DataRegularSeason20242025!$D$3:$D$1315, $A31)+SUMIFS(DataRegularSeason20242025!$AB$3:$AB$1315,DataRegularSeason20242025!$B$3:$B$1315, "&lt;=" &amp; GU$1, DataRegularSeason20242025!$E$3:$E$1315, $A31)</f>
        <v>6</v>
      </c>
    </row>
    <row r="32" spans="1:203" x14ac:dyDescent="0.25">
      <c r="A32" t="s">
        <v>23</v>
      </c>
      <c r="B32" t="s">
        <v>90</v>
      </c>
      <c r="C32" s="108" t="s">
        <v>93</v>
      </c>
      <c r="D32">
        <f>SUMIFS(DataRegularSeason20242025!$AA$3:$AA$1315,DataRegularSeason20242025!$B$3:$B$1315, "&lt;=" &amp; D$1, DataRegularSeason20242025!$D$3:$D$1315, $A32)+SUMIFS(DataRegularSeason20242025!$AB$3:$AB$1315,DataRegularSeason20242025!$B$3:$B$1315, "&lt;=" &amp; D$1, DataRegularSeason20242025!$E$3:$E$1315, $A32)</f>
        <v>0</v>
      </c>
      <c r="E32">
        <f>SUMIFS(DataRegularSeason20242025!$AA$3:$AA$1315,DataRegularSeason20242025!$B$3:$B$1315, "&lt;=" &amp; E$1, DataRegularSeason20242025!$D$3:$D$1315, $A32)+SUMIFS(DataRegularSeason20242025!$AB$3:$AB$1315,DataRegularSeason20242025!$B$3:$B$1315, "&lt;=" &amp; E$1, DataRegularSeason20242025!$E$3:$E$1315, $A32)</f>
        <v>0</v>
      </c>
      <c r="F32">
        <f>SUMIFS(DataRegularSeason20242025!$AA$3:$AA$1315,DataRegularSeason20242025!$B$3:$B$1315, "&lt;=" &amp; F$1, DataRegularSeason20242025!$D$3:$D$1315, $A32)+SUMIFS(DataRegularSeason20242025!$AB$3:$AB$1315,DataRegularSeason20242025!$B$3:$B$1315, "&lt;=" &amp; F$1, DataRegularSeason20242025!$E$3:$E$1315, $A32)</f>
        <v>0</v>
      </c>
      <c r="G32">
        <f>SUMIFS(DataRegularSeason20242025!$AA$3:$AA$1315,DataRegularSeason20242025!$B$3:$B$1315, "&lt;=" &amp; G$1, DataRegularSeason20242025!$D$3:$D$1315, $A32)+SUMIFS(DataRegularSeason20242025!$AB$3:$AB$1315,DataRegularSeason20242025!$B$3:$B$1315, "&lt;=" &amp; G$1, DataRegularSeason20242025!$E$3:$E$1315, $A32)</f>
        <v>0</v>
      </c>
      <c r="H32">
        <f>SUMIFS(DataRegularSeason20242025!$AA$3:$AA$1315,DataRegularSeason20242025!$B$3:$B$1315, "&lt;=" &amp; H$1, DataRegularSeason20242025!$D$3:$D$1315, $A32)+SUMIFS(DataRegularSeason20242025!$AB$3:$AB$1315,DataRegularSeason20242025!$B$3:$B$1315, "&lt;=" &amp; H$1, DataRegularSeason20242025!$E$3:$E$1315, $A32)</f>
        <v>0</v>
      </c>
      <c r="I32">
        <f>SUMIFS(DataRegularSeason20242025!$AA$3:$AA$1315,DataRegularSeason20242025!$B$3:$B$1315, "&lt;=" &amp; I$1, DataRegularSeason20242025!$D$3:$D$1315, $A32)+SUMIFS(DataRegularSeason20242025!$AB$3:$AB$1315,DataRegularSeason20242025!$B$3:$B$1315, "&lt;=" &amp; I$1, DataRegularSeason20242025!$E$3:$E$1315, $A32)</f>
        <v>2</v>
      </c>
      <c r="J32">
        <f>SUMIFS(DataRegularSeason20242025!$AA$3:$AA$1315,DataRegularSeason20242025!$B$3:$B$1315, "&lt;=" &amp; J$1, DataRegularSeason20242025!$D$3:$D$1315, $A32)+SUMIFS(DataRegularSeason20242025!$AB$3:$AB$1315,DataRegularSeason20242025!$B$3:$B$1315, "&lt;=" &amp; J$1, DataRegularSeason20242025!$E$3:$E$1315, $A32)</f>
        <v>2</v>
      </c>
      <c r="K32">
        <f>SUMIFS(DataRegularSeason20242025!$AA$3:$AA$1315,DataRegularSeason20242025!$B$3:$B$1315, "&lt;=" &amp; K$1, DataRegularSeason20242025!$D$3:$D$1315, $A32)+SUMIFS(DataRegularSeason20242025!$AB$3:$AB$1315,DataRegularSeason20242025!$B$3:$B$1315, "&lt;=" &amp; K$1, DataRegularSeason20242025!$E$3:$E$1315, $A32)</f>
        <v>2</v>
      </c>
      <c r="L32">
        <f>SUMIFS(DataRegularSeason20242025!$AA$3:$AA$1315,DataRegularSeason20242025!$B$3:$B$1315, "&lt;=" &amp; L$1, DataRegularSeason20242025!$D$3:$D$1315, $A32)+SUMIFS(DataRegularSeason20242025!$AB$3:$AB$1315,DataRegularSeason20242025!$B$3:$B$1315, "&lt;=" &amp; L$1, DataRegularSeason20242025!$E$3:$E$1315, $A32)</f>
        <v>2</v>
      </c>
      <c r="M32">
        <f>SUMIFS(DataRegularSeason20242025!$AA$3:$AA$1315,DataRegularSeason20242025!$B$3:$B$1315, "&lt;=" &amp; M$1, DataRegularSeason20242025!$D$3:$D$1315, $A32)+SUMIFS(DataRegularSeason20242025!$AB$3:$AB$1315,DataRegularSeason20242025!$B$3:$B$1315, "&lt;=" &amp; M$1, DataRegularSeason20242025!$E$3:$E$1315, $A32)</f>
        <v>2</v>
      </c>
      <c r="N32">
        <f>SUMIFS(DataRegularSeason20242025!$AA$3:$AA$1315,DataRegularSeason20242025!$B$3:$B$1315, "&lt;=" &amp; N$1, DataRegularSeason20242025!$D$3:$D$1315, $A32)+SUMIFS(DataRegularSeason20242025!$AB$3:$AB$1315,DataRegularSeason20242025!$B$3:$B$1315, "&lt;=" &amp; N$1, DataRegularSeason20242025!$E$3:$E$1315, $A32)</f>
        <v>2</v>
      </c>
      <c r="O32">
        <f>SUMIFS(DataRegularSeason20242025!$AA$3:$AA$1315,DataRegularSeason20242025!$B$3:$B$1315, "&lt;=" &amp; O$1, DataRegularSeason20242025!$D$3:$D$1315, $A32)+SUMIFS(DataRegularSeason20242025!$AB$3:$AB$1315,DataRegularSeason20242025!$B$3:$B$1315, "&lt;=" &amp; O$1, DataRegularSeason20242025!$E$3:$E$1315, $A32)</f>
        <v>2</v>
      </c>
      <c r="P32">
        <f>SUMIFS(DataRegularSeason20242025!$AA$3:$AA$1315,DataRegularSeason20242025!$B$3:$B$1315, "&lt;=" &amp; P$1, DataRegularSeason20242025!$D$3:$D$1315, $A32)+SUMIFS(DataRegularSeason20242025!$AB$3:$AB$1315,DataRegularSeason20242025!$B$3:$B$1315, "&lt;=" &amp; P$1, DataRegularSeason20242025!$E$3:$E$1315, $A32)</f>
        <v>2</v>
      </c>
      <c r="Q32">
        <f>SUMIFS(DataRegularSeason20242025!$AA$3:$AA$1315,DataRegularSeason20242025!$B$3:$B$1315, "&lt;=" &amp; Q$1, DataRegularSeason20242025!$D$3:$D$1315, $A32)+SUMIFS(DataRegularSeason20242025!$AB$3:$AB$1315,DataRegularSeason20242025!$B$3:$B$1315, "&lt;=" &amp; Q$1, DataRegularSeason20242025!$E$3:$E$1315, $A32)</f>
        <v>2</v>
      </c>
      <c r="R32">
        <f>SUMIFS(DataRegularSeason20242025!$AA$3:$AA$1315,DataRegularSeason20242025!$B$3:$B$1315, "&lt;=" &amp; R$1, DataRegularSeason20242025!$D$3:$D$1315, $A32)+SUMIFS(DataRegularSeason20242025!$AB$3:$AB$1315,DataRegularSeason20242025!$B$3:$B$1315, "&lt;=" &amp; R$1, DataRegularSeason20242025!$E$3:$E$1315, $A32)</f>
        <v>2</v>
      </c>
      <c r="S32">
        <f>SUMIFS(DataRegularSeason20242025!$AA$3:$AA$1315,DataRegularSeason20242025!$B$3:$B$1315, "&lt;=" &amp; S$1, DataRegularSeason20242025!$D$3:$D$1315, $A32)+SUMIFS(DataRegularSeason20242025!$AB$3:$AB$1315,DataRegularSeason20242025!$B$3:$B$1315, "&lt;=" &amp; S$1, DataRegularSeason20242025!$E$3:$E$1315, $A32)</f>
        <v>2</v>
      </c>
      <c r="T32">
        <f>SUMIFS(DataRegularSeason20242025!$AA$3:$AA$1315,DataRegularSeason20242025!$B$3:$B$1315, "&lt;=" &amp; T$1, DataRegularSeason20242025!$D$3:$D$1315, $A32)+SUMIFS(DataRegularSeason20242025!$AB$3:$AB$1315,DataRegularSeason20242025!$B$3:$B$1315, "&lt;=" &amp; T$1, DataRegularSeason20242025!$E$3:$E$1315, $A32)</f>
        <v>2</v>
      </c>
      <c r="U32">
        <f>SUMIFS(DataRegularSeason20242025!$AA$3:$AA$1315,DataRegularSeason20242025!$B$3:$B$1315, "&lt;=" &amp; U$1, DataRegularSeason20242025!$D$3:$D$1315, $A32)+SUMIFS(DataRegularSeason20242025!$AB$3:$AB$1315,DataRegularSeason20242025!$B$3:$B$1315, "&lt;=" &amp; U$1, DataRegularSeason20242025!$E$3:$E$1315, $A32)</f>
        <v>2</v>
      </c>
      <c r="V32">
        <f>SUMIFS(DataRegularSeason20242025!$AA$3:$AA$1315,DataRegularSeason20242025!$B$3:$B$1315, "&lt;=" &amp; V$1, DataRegularSeason20242025!$D$3:$D$1315, $A32)+SUMIFS(DataRegularSeason20242025!$AB$3:$AB$1315,DataRegularSeason20242025!$B$3:$B$1315, "&lt;=" &amp; V$1, DataRegularSeason20242025!$E$3:$E$1315, $A32)</f>
        <v>2</v>
      </c>
      <c r="W32">
        <f>SUMIFS(DataRegularSeason20242025!$AA$3:$AA$1315,DataRegularSeason20242025!$B$3:$B$1315, "&lt;=" &amp; W$1, DataRegularSeason20242025!$D$3:$D$1315, $A32)+SUMIFS(DataRegularSeason20242025!$AB$3:$AB$1315,DataRegularSeason20242025!$B$3:$B$1315, "&lt;=" &amp; W$1, DataRegularSeason20242025!$E$3:$E$1315, $A32)</f>
        <v>2</v>
      </c>
      <c r="X32">
        <f>SUMIFS(DataRegularSeason20242025!$AA$3:$AA$1315,DataRegularSeason20242025!$B$3:$B$1315, "&lt;=" &amp; X$1, DataRegularSeason20242025!$D$3:$D$1315, $A32)+SUMIFS(DataRegularSeason20242025!$AB$3:$AB$1315,DataRegularSeason20242025!$B$3:$B$1315, "&lt;=" &amp; X$1, DataRegularSeason20242025!$E$3:$E$1315, $A32)</f>
        <v>2</v>
      </c>
      <c r="Y32">
        <f>SUMIFS(DataRegularSeason20242025!$AA$3:$AA$1315,DataRegularSeason20242025!$B$3:$B$1315, "&lt;=" &amp; Y$1, DataRegularSeason20242025!$D$3:$D$1315, $A32)+SUMIFS(DataRegularSeason20242025!$AB$3:$AB$1315,DataRegularSeason20242025!$B$3:$B$1315, "&lt;=" &amp; Y$1, DataRegularSeason20242025!$E$3:$E$1315, $A32)</f>
        <v>2</v>
      </c>
      <c r="Z32">
        <f>SUMIFS(DataRegularSeason20242025!$AA$3:$AA$1315,DataRegularSeason20242025!$B$3:$B$1315, "&lt;=" &amp; Z$1, DataRegularSeason20242025!$D$3:$D$1315, $A32)+SUMIFS(DataRegularSeason20242025!$AB$3:$AB$1315,DataRegularSeason20242025!$B$3:$B$1315, "&lt;=" &amp; Z$1, DataRegularSeason20242025!$E$3:$E$1315, $A32)</f>
        <v>2</v>
      </c>
      <c r="AA32">
        <f>SUMIFS(DataRegularSeason20242025!$AA$3:$AA$1315,DataRegularSeason20242025!$B$3:$B$1315, "&lt;=" &amp; AA$1, DataRegularSeason20242025!$D$3:$D$1315, $A32)+SUMIFS(DataRegularSeason20242025!$AB$3:$AB$1315,DataRegularSeason20242025!$B$3:$B$1315, "&lt;=" &amp; AA$1, DataRegularSeason20242025!$E$3:$E$1315, $A32)</f>
        <v>2</v>
      </c>
      <c r="AB32">
        <f>SUMIFS(DataRegularSeason20242025!$AA$3:$AA$1315,DataRegularSeason20242025!$B$3:$B$1315, "&lt;=" &amp; AB$1, DataRegularSeason20242025!$D$3:$D$1315, $A32)+SUMIFS(DataRegularSeason20242025!$AB$3:$AB$1315,DataRegularSeason20242025!$B$3:$B$1315, "&lt;=" &amp; AB$1, DataRegularSeason20242025!$E$3:$E$1315, $A32)</f>
        <v>2</v>
      </c>
      <c r="AC32">
        <f>SUMIFS(DataRegularSeason20242025!$AA$3:$AA$1315,DataRegularSeason20242025!$B$3:$B$1315, "&lt;=" &amp; AC$1, DataRegularSeason20242025!$D$3:$D$1315, $A32)+SUMIFS(DataRegularSeason20242025!$AB$3:$AB$1315,DataRegularSeason20242025!$B$3:$B$1315, "&lt;=" &amp; AC$1, DataRegularSeason20242025!$E$3:$E$1315, $A32)</f>
        <v>2</v>
      </c>
      <c r="AD32">
        <f>SUMIFS(DataRegularSeason20242025!$AA$3:$AA$1315,DataRegularSeason20242025!$B$3:$B$1315, "&lt;=" &amp; AD$1, DataRegularSeason20242025!$D$3:$D$1315, $A32)+SUMIFS(DataRegularSeason20242025!$AB$3:$AB$1315,DataRegularSeason20242025!$B$3:$B$1315, "&lt;=" &amp; AD$1, DataRegularSeason20242025!$E$3:$E$1315, $A32)</f>
        <v>2</v>
      </c>
      <c r="AE32">
        <f>SUMIFS(DataRegularSeason20242025!$AA$3:$AA$1315,DataRegularSeason20242025!$B$3:$B$1315, "&lt;=" &amp; AE$1, DataRegularSeason20242025!$D$3:$D$1315, $A32)+SUMIFS(DataRegularSeason20242025!$AB$3:$AB$1315,DataRegularSeason20242025!$B$3:$B$1315, "&lt;=" &amp; AE$1, DataRegularSeason20242025!$E$3:$E$1315, $A32)</f>
        <v>2</v>
      </c>
      <c r="AF32">
        <f>SUMIFS(DataRegularSeason20242025!$AA$3:$AA$1315,DataRegularSeason20242025!$B$3:$B$1315, "&lt;=" &amp; AF$1, DataRegularSeason20242025!$D$3:$D$1315, $A32)+SUMIFS(DataRegularSeason20242025!$AB$3:$AB$1315,DataRegularSeason20242025!$B$3:$B$1315, "&lt;=" &amp; AF$1, DataRegularSeason20242025!$E$3:$E$1315, $A32)</f>
        <v>2</v>
      </c>
      <c r="AG32">
        <f>SUMIFS(DataRegularSeason20242025!$AA$3:$AA$1315,DataRegularSeason20242025!$B$3:$B$1315, "&lt;=" &amp; AG$1, DataRegularSeason20242025!$D$3:$D$1315, $A32)+SUMIFS(DataRegularSeason20242025!$AB$3:$AB$1315,DataRegularSeason20242025!$B$3:$B$1315, "&lt;=" &amp; AG$1, DataRegularSeason20242025!$E$3:$E$1315, $A32)</f>
        <v>2</v>
      </c>
      <c r="AH32">
        <f>SUMIFS(DataRegularSeason20242025!$AA$3:$AA$1315,DataRegularSeason20242025!$B$3:$B$1315, "&lt;=" &amp; AH$1, DataRegularSeason20242025!$D$3:$D$1315, $A32)+SUMIFS(DataRegularSeason20242025!$AB$3:$AB$1315,DataRegularSeason20242025!$B$3:$B$1315, "&lt;=" &amp; AH$1, DataRegularSeason20242025!$E$3:$E$1315, $A32)</f>
        <v>2</v>
      </c>
      <c r="AI32">
        <f>SUMIFS(DataRegularSeason20242025!$AA$3:$AA$1315,DataRegularSeason20242025!$B$3:$B$1315, "&lt;=" &amp; AI$1, DataRegularSeason20242025!$D$3:$D$1315, $A32)+SUMIFS(DataRegularSeason20242025!$AB$3:$AB$1315,DataRegularSeason20242025!$B$3:$B$1315, "&lt;=" &amp; AI$1, DataRegularSeason20242025!$E$3:$E$1315, $A32)</f>
        <v>2</v>
      </c>
      <c r="AJ32">
        <f>SUMIFS(DataRegularSeason20242025!$AA$3:$AA$1315,DataRegularSeason20242025!$B$3:$B$1315, "&lt;=" &amp; AJ$1, DataRegularSeason20242025!$D$3:$D$1315, $A32)+SUMIFS(DataRegularSeason20242025!$AB$3:$AB$1315,DataRegularSeason20242025!$B$3:$B$1315, "&lt;=" &amp; AJ$1, DataRegularSeason20242025!$E$3:$E$1315, $A32)</f>
        <v>2</v>
      </c>
      <c r="AK32">
        <f>SUMIFS(DataRegularSeason20242025!$AA$3:$AA$1315,DataRegularSeason20242025!$B$3:$B$1315, "&lt;=" &amp; AK$1, DataRegularSeason20242025!$D$3:$D$1315, $A32)+SUMIFS(DataRegularSeason20242025!$AB$3:$AB$1315,DataRegularSeason20242025!$B$3:$B$1315, "&lt;=" &amp; AK$1, DataRegularSeason20242025!$E$3:$E$1315, $A32)</f>
        <v>2</v>
      </c>
      <c r="AL32">
        <f>SUMIFS(DataRegularSeason20242025!$AA$3:$AA$1315,DataRegularSeason20242025!$B$3:$B$1315, "&lt;=" &amp; AL$1, DataRegularSeason20242025!$D$3:$D$1315, $A32)+SUMIFS(DataRegularSeason20242025!$AB$3:$AB$1315,DataRegularSeason20242025!$B$3:$B$1315, "&lt;=" &amp; AL$1, DataRegularSeason20242025!$E$3:$E$1315, $A32)</f>
        <v>2</v>
      </c>
      <c r="AM32">
        <f>SUMIFS(DataRegularSeason20242025!$AA$3:$AA$1315,DataRegularSeason20242025!$B$3:$B$1315, "&lt;=" &amp; AM$1, DataRegularSeason20242025!$D$3:$D$1315, $A32)+SUMIFS(DataRegularSeason20242025!$AB$3:$AB$1315,DataRegularSeason20242025!$B$3:$B$1315, "&lt;=" &amp; AM$1, DataRegularSeason20242025!$E$3:$E$1315, $A32)</f>
        <v>2</v>
      </c>
      <c r="AN32">
        <f>SUMIFS(DataRegularSeason20242025!$AA$3:$AA$1315,DataRegularSeason20242025!$B$3:$B$1315, "&lt;=" &amp; AN$1, DataRegularSeason20242025!$D$3:$D$1315, $A32)+SUMIFS(DataRegularSeason20242025!$AB$3:$AB$1315,DataRegularSeason20242025!$B$3:$B$1315, "&lt;=" &amp; AN$1, DataRegularSeason20242025!$E$3:$E$1315, $A32)</f>
        <v>2</v>
      </c>
      <c r="AO32">
        <f>SUMIFS(DataRegularSeason20242025!$AA$3:$AA$1315,DataRegularSeason20242025!$B$3:$B$1315, "&lt;=" &amp; AO$1, DataRegularSeason20242025!$D$3:$D$1315, $A32)+SUMIFS(DataRegularSeason20242025!$AB$3:$AB$1315,DataRegularSeason20242025!$B$3:$B$1315, "&lt;=" &amp; AO$1, DataRegularSeason20242025!$E$3:$E$1315, $A32)</f>
        <v>2</v>
      </c>
      <c r="AP32">
        <f>SUMIFS(DataRegularSeason20242025!$AA$3:$AA$1315,DataRegularSeason20242025!$B$3:$B$1315, "&lt;=" &amp; AP$1, DataRegularSeason20242025!$D$3:$D$1315, $A32)+SUMIFS(DataRegularSeason20242025!$AB$3:$AB$1315,DataRegularSeason20242025!$B$3:$B$1315, "&lt;=" &amp; AP$1, DataRegularSeason20242025!$E$3:$E$1315, $A32)</f>
        <v>2</v>
      </c>
      <c r="AQ32">
        <f>SUMIFS(DataRegularSeason20242025!$AA$3:$AA$1315,DataRegularSeason20242025!$B$3:$B$1315, "&lt;=" &amp; AQ$1, DataRegularSeason20242025!$D$3:$D$1315, $A32)+SUMIFS(DataRegularSeason20242025!$AB$3:$AB$1315,DataRegularSeason20242025!$B$3:$B$1315, "&lt;=" &amp; AQ$1, DataRegularSeason20242025!$E$3:$E$1315, $A32)</f>
        <v>2</v>
      </c>
      <c r="AR32">
        <f>SUMIFS(DataRegularSeason20242025!$AA$3:$AA$1315,DataRegularSeason20242025!$B$3:$B$1315, "&lt;=" &amp; AR$1, DataRegularSeason20242025!$D$3:$D$1315, $A32)+SUMIFS(DataRegularSeason20242025!$AB$3:$AB$1315,DataRegularSeason20242025!$B$3:$B$1315, "&lt;=" &amp; AR$1, DataRegularSeason20242025!$E$3:$E$1315, $A32)</f>
        <v>2</v>
      </c>
      <c r="AS32">
        <f>SUMIFS(DataRegularSeason20242025!$AA$3:$AA$1315,DataRegularSeason20242025!$B$3:$B$1315, "&lt;=" &amp; AS$1, DataRegularSeason20242025!$D$3:$D$1315, $A32)+SUMIFS(DataRegularSeason20242025!$AB$3:$AB$1315,DataRegularSeason20242025!$B$3:$B$1315, "&lt;=" &amp; AS$1, DataRegularSeason20242025!$E$3:$E$1315, $A32)</f>
        <v>2</v>
      </c>
      <c r="AT32">
        <f>SUMIFS(DataRegularSeason20242025!$AA$3:$AA$1315,DataRegularSeason20242025!$B$3:$B$1315, "&lt;=" &amp; AT$1, DataRegularSeason20242025!$D$3:$D$1315, $A32)+SUMIFS(DataRegularSeason20242025!$AB$3:$AB$1315,DataRegularSeason20242025!$B$3:$B$1315, "&lt;=" &amp; AT$1, DataRegularSeason20242025!$E$3:$E$1315, $A32)</f>
        <v>2</v>
      </c>
      <c r="AU32">
        <f>SUMIFS(DataRegularSeason20242025!$AA$3:$AA$1315,DataRegularSeason20242025!$B$3:$B$1315, "&lt;=" &amp; AU$1, DataRegularSeason20242025!$D$3:$D$1315, $A32)+SUMIFS(DataRegularSeason20242025!$AB$3:$AB$1315,DataRegularSeason20242025!$B$3:$B$1315, "&lt;=" &amp; AU$1, DataRegularSeason20242025!$E$3:$E$1315, $A32)</f>
        <v>2</v>
      </c>
      <c r="AV32">
        <f>SUMIFS(DataRegularSeason20242025!$AA$3:$AA$1315,DataRegularSeason20242025!$B$3:$B$1315, "&lt;=" &amp; AV$1, DataRegularSeason20242025!$D$3:$D$1315, $A32)+SUMIFS(DataRegularSeason20242025!$AB$3:$AB$1315,DataRegularSeason20242025!$B$3:$B$1315, "&lt;=" &amp; AV$1, DataRegularSeason20242025!$E$3:$E$1315, $A32)</f>
        <v>2</v>
      </c>
      <c r="AW32">
        <f>SUMIFS(DataRegularSeason20242025!$AA$3:$AA$1315,DataRegularSeason20242025!$B$3:$B$1315, "&lt;=" &amp; AW$1, DataRegularSeason20242025!$D$3:$D$1315, $A32)+SUMIFS(DataRegularSeason20242025!$AB$3:$AB$1315,DataRegularSeason20242025!$B$3:$B$1315, "&lt;=" &amp; AW$1, DataRegularSeason20242025!$E$3:$E$1315, $A32)</f>
        <v>2</v>
      </c>
      <c r="AX32">
        <f>SUMIFS(DataRegularSeason20242025!$AA$3:$AA$1315,DataRegularSeason20242025!$B$3:$B$1315, "&lt;=" &amp; AX$1, DataRegularSeason20242025!$D$3:$D$1315, $A32)+SUMIFS(DataRegularSeason20242025!$AB$3:$AB$1315,DataRegularSeason20242025!$B$3:$B$1315, "&lt;=" &amp; AX$1, DataRegularSeason20242025!$E$3:$E$1315, $A32)</f>
        <v>2</v>
      </c>
      <c r="AY32">
        <f>SUMIFS(DataRegularSeason20242025!$AA$3:$AA$1315,DataRegularSeason20242025!$B$3:$B$1315, "&lt;=" &amp; AY$1, DataRegularSeason20242025!$D$3:$D$1315, $A32)+SUMIFS(DataRegularSeason20242025!$AB$3:$AB$1315,DataRegularSeason20242025!$B$3:$B$1315, "&lt;=" &amp; AY$1, DataRegularSeason20242025!$E$3:$E$1315, $A32)</f>
        <v>2</v>
      </c>
      <c r="AZ32">
        <f>SUMIFS(DataRegularSeason20242025!$AA$3:$AA$1315,DataRegularSeason20242025!$B$3:$B$1315, "&lt;=" &amp; AZ$1, DataRegularSeason20242025!$D$3:$D$1315, $A32)+SUMIFS(DataRegularSeason20242025!$AB$3:$AB$1315,DataRegularSeason20242025!$B$3:$B$1315, "&lt;=" &amp; AZ$1, DataRegularSeason20242025!$E$3:$E$1315, $A32)</f>
        <v>2</v>
      </c>
      <c r="BA32">
        <f>SUMIFS(DataRegularSeason20242025!$AA$3:$AA$1315,DataRegularSeason20242025!$B$3:$B$1315, "&lt;=" &amp; BA$1, DataRegularSeason20242025!$D$3:$D$1315, $A32)+SUMIFS(DataRegularSeason20242025!$AB$3:$AB$1315,DataRegularSeason20242025!$B$3:$B$1315, "&lt;=" &amp; BA$1, DataRegularSeason20242025!$E$3:$E$1315, $A32)</f>
        <v>2</v>
      </c>
      <c r="BB32">
        <f>SUMIFS(DataRegularSeason20242025!$AA$3:$AA$1315,DataRegularSeason20242025!$B$3:$B$1315, "&lt;=" &amp; BB$1, DataRegularSeason20242025!$D$3:$D$1315, $A32)+SUMIFS(DataRegularSeason20242025!$AB$3:$AB$1315,DataRegularSeason20242025!$B$3:$B$1315, "&lt;=" &amp; BB$1, DataRegularSeason20242025!$E$3:$E$1315, $A32)</f>
        <v>2</v>
      </c>
      <c r="BC32">
        <f>SUMIFS(DataRegularSeason20242025!$AA$3:$AA$1315,DataRegularSeason20242025!$B$3:$B$1315, "&lt;=" &amp; BC$1, DataRegularSeason20242025!$D$3:$D$1315, $A32)+SUMIFS(DataRegularSeason20242025!$AB$3:$AB$1315,DataRegularSeason20242025!$B$3:$B$1315, "&lt;=" &amp; BC$1, DataRegularSeason20242025!$E$3:$E$1315, $A32)</f>
        <v>2</v>
      </c>
      <c r="BD32">
        <f>SUMIFS(DataRegularSeason20242025!$AA$3:$AA$1315,DataRegularSeason20242025!$B$3:$B$1315, "&lt;=" &amp; BD$1, DataRegularSeason20242025!$D$3:$D$1315, $A32)+SUMIFS(DataRegularSeason20242025!$AB$3:$AB$1315,DataRegularSeason20242025!$B$3:$B$1315, "&lt;=" &amp; BD$1, DataRegularSeason20242025!$E$3:$E$1315, $A32)</f>
        <v>2</v>
      </c>
      <c r="BE32">
        <f>SUMIFS(DataRegularSeason20242025!$AA$3:$AA$1315,DataRegularSeason20242025!$B$3:$B$1315, "&lt;=" &amp; BE$1, DataRegularSeason20242025!$D$3:$D$1315, $A32)+SUMIFS(DataRegularSeason20242025!$AB$3:$AB$1315,DataRegularSeason20242025!$B$3:$B$1315, "&lt;=" &amp; BE$1, DataRegularSeason20242025!$E$3:$E$1315, $A32)</f>
        <v>2</v>
      </c>
      <c r="BF32">
        <f>SUMIFS(DataRegularSeason20242025!$AA$3:$AA$1315,DataRegularSeason20242025!$B$3:$B$1315, "&lt;=" &amp; BF$1, DataRegularSeason20242025!$D$3:$D$1315, $A32)+SUMIFS(DataRegularSeason20242025!$AB$3:$AB$1315,DataRegularSeason20242025!$B$3:$B$1315, "&lt;=" &amp; BF$1, DataRegularSeason20242025!$E$3:$E$1315, $A32)</f>
        <v>2</v>
      </c>
      <c r="BG32">
        <f>SUMIFS(DataRegularSeason20242025!$AA$3:$AA$1315,DataRegularSeason20242025!$B$3:$B$1315, "&lt;=" &amp; BG$1, DataRegularSeason20242025!$D$3:$D$1315, $A32)+SUMIFS(DataRegularSeason20242025!$AB$3:$AB$1315,DataRegularSeason20242025!$B$3:$B$1315, "&lt;=" &amp; BG$1, DataRegularSeason20242025!$E$3:$E$1315, $A32)</f>
        <v>2</v>
      </c>
      <c r="BH32">
        <f>SUMIFS(DataRegularSeason20242025!$AA$3:$AA$1315,DataRegularSeason20242025!$B$3:$B$1315, "&lt;=" &amp; BH$1, DataRegularSeason20242025!$D$3:$D$1315, $A32)+SUMIFS(DataRegularSeason20242025!$AB$3:$AB$1315,DataRegularSeason20242025!$B$3:$B$1315, "&lt;=" &amp; BH$1, DataRegularSeason20242025!$E$3:$E$1315, $A32)</f>
        <v>2</v>
      </c>
      <c r="BI32">
        <f>SUMIFS(DataRegularSeason20242025!$AA$3:$AA$1315,DataRegularSeason20242025!$B$3:$B$1315, "&lt;=" &amp; BI$1, DataRegularSeason20242025!$D$3:$D$1315, $A32)+SUMIFS(DataRegularSeason20242025!$AB$3:$AB$1315,DataRegularSeason20242025!$B$3:$B$1315, "&lt;=" &amp; BI$1, DataRegularSeason20242025!$E$3:$E$1315, $A32)</f>
        <v>2</v>
      </c>
      <c r="BJ32">
        <f>SUMIFS(DataRegularSeason20242025!$AA$3:$AA$1315,DataRegularSeason20242025!$B$3:$B$1315, "&lt;=" &amp; BJ$1, DataRegularSeason20242025!$D$3:$D$1315, $A32)+SUMIFS(DataRegularSeason20242025!$AB$3:$AB$1315,DataRegularSeason20242025!$B$3:$B$1315, "&lt;=" &amp; BJ$1, DataRegularSeason20242025!$E$3:$E$1315, $A32)</f>
        <v>2</v>
      </c>
      <c r="BK32">
        <f>SUMIFS(DataRegularSeason20242025!$AA$3:$AA$1315,DataRegularSeason20242025!$B$3:$B$1315, "&lt;=" &amp; BK$1, DataRegularSeason20242025!$D$3:$D$1315, $A32)+SUMIFS(DataRegularSeason20242025!$AB$3:$AB$1315,DataRegularSeason20242025!$B$3:$B$1315, "&lt;=" &amp; BK$1, DataRegularSeason20242025!$E$3:$E$1315, $A32)</f>
        <v>2</v>
      </c>
      <c r="BL32">
        <f>SUMIFS(DataRegularSeason20242025!$AA$3:$AA$1315,DataRegularSeason20242025!$B$3:$B$1315, "&lt;=" &amp; BL$1, DataRegularSeason20242025!$D$3:$D$1315, $A32)+SUMIFS(DataRegularSeason20242025!$AB$3:$AB$1315,DataRegularSeason20242025!$B$3:$B$1315, "&lt;=" &amp; BL$1, DataRegularSeason20242025!$E$3:$E$1315, $A32)</f>
        <v>2</v>
      </c>
      <c r="BM32">
        <f>SUMIFS(DataRegularSeason20242025!$AA$3:$AA$1315,DataRegularSeason20242025!$B$3:$B$1315, "&lt;=" &amp; BM$1, DataRegularSeason20242025!$D$3:$D$1315, $A32)+SUMIFS(DataRegularSeason20242025!$AB$3:$AB$1315,DataRegularSeason20242025!$B$3:$B$1315, "&lt;=" &amp; BM$1, DataRegularSeason20242025!$E$3:$E$1315, $A32)</f>
        <v>2</v>
      </c>
      <c r="BN32">
        <f>SUMIFS(DataRegularSeason20242025!$AA$3:$AA$1315,DataRegularSeason20242025!$B$3:$B$1315, "&lt;=" &amp; BN$1, DataRegularSeason20242025!$D$3:$D$1315, $A32)+SUMIFS(DataRegularSeason20242025!$AB$3:$AB$1315,DataRegularSeason20242025!$B$3:$B$1315, "&lt;=" &amp; BN$1, DataRegularSeason20242025!$E$3:$E$1315, $A32)</f>
        <v>2</v>
      </c>
      <c r="BO32">
        <f>SUMIFS(DataRegularSeason20242025!$AA$3:$AA$1315,DataRegularSeason20242025!$B$3:$B$1315, "&lt;=" &amp; BO$1, DataRegularSeason20242025!$D$3:$D$1315, $A32)+SUMIFS(DataRegularSeason20242025!$AB$3:$AB$1315,DataRegularSeason20242025!$B$3:$B$1315, "&lt;=" &amp; BO$1, DataRegularSeason20242025!$E$3:$E$1315, $A32)</f>
        <v>2</v>
      </c>
      <c r="BP32">
        <f>SUMIFS(DataRegularSeason20242025!$AA$3:$AA$1315,DataRegularSeason20242025!$B$3:$B$1315, "&lt;=" &amp; BP$1, DataRegularSeason20242025!$D$3:$D$1315, $A32)+SUMIFS(DataRegularSeason20242025!$AB$3:$AB$1315,DataRegularSeason20242025!$B$3:$B$1315, "&lt;=" &amp; BP$1, DataRegularSeason20242025!$E$3:$E$1315, $A32)</f>
        <v>2</v>
      </c>
      <c r="BQ32">
        <f>SUMIFS(DataRegularSeason20242025!$AA$3:$AA$1315,DataRegularSeason20242025!$B$3:$B$1315, "&lt;=" &amp; BQ$1, DataRegularSeason20242025!$D$3:$D$1315, $A32)+SUMIFS(DataRegularSeason20242025!$AB$3:$AB$1315,DataRegularSeason20242025!$B$3:$B$1315, "&lt;=" &amp; BQ$1, DataRegularSeason20242025!$E$3:$E$1315, $A32)</f>
        <v>2</v>
      </c>
      <c r="BR32">
        <f>SUMIFS(DataRegularSeason20242025!$AA$3:$AA$1315,DataRegularSeason20242025!$B$3:$B$1315, "&lt;=" &amp; BR$1, DataRegularSeason20242025!$D$3:$D$1315, $A32)+SUMIFS(DataRegularSeason20242025!$AB$3:$AB$1315,DataRegularSeason20242025!$B$3:$B$1315, "&lt;=" &amp; BR$1, DataRegularSeason20242025!$E$3:$E$1315, $A32)</f>
        <v>2</v>
      </c>
      <c r="BS32">
        <f>SUMIFS(DataRegularSeason20242025!$AA$3:$AA$1315,DataRegularSeason20242025!$B$3:$B$1315, "&lt;=" &amp; BS$1, DataRegularSeason20242025!$D$3:$D$1315, $A32)+SUMIFS(DataRegularSeason20242025!$AB$3:$AB$1315,DataRegularSeason20242025!$B$3:$B$1315, "&lt;=" &amp; BS$1, DataRegularSeason20242025!$E$3:$E$1315, $A32)</f>
        <v>2</v>
      </c>
      <c r="BT32">
        <f>SUMIFS(DataRegularSeason20242025!$AA$3:$AA$1315,DataRegularSeason20242025!$B$3:$B$1315, "&lt;=" &amp; BT$1, DataRegularSeason20242025!$D$3:$D$1315, $A32)+SUMIFS(DataRegularSeason20242025!$AB$3:$AB$1315,DataRegularSeason20242025!$B$3:$B$1315, "&lt;=" &amp; BT$1, DataRegularSeason20242025!$E$3:$E$1315, $A32)</f>
        <v>2</v>
      </c>
      <c r="BU32">
        <f>SUMIFS(DataRegularSeason20242025!$AA$3:$AA$1315,DataRegularSeason20242025!$B$3:$B$1315, "&lt;=" &amp; BU$1, DataRegularSeason20242025!$D$3:$D$1315, $A32)+SUMIFS(DataRegularSeason20242025!$AB$3:$AB$1315,DataRegularSeason20242025!$B$3:$B$1315, "&lt;=" &amp; BU$1, DataRegularSeason20242025!$E$3:$E$1315, $A32)</f>
        <v>2</v>
      </c>
      <c r="BV32">
        <f>SUMIFS(DataRegularSeason20242025!$AA$3:$AA$1315,DataRegularSeason20242025!$B$3:$B$1315, "&lt;=" &amp; BV$1, DataRegularSeason20242025!$D$3:$D$1315, $A32)+SUMIFS(DataRegularSeason20242025!$AB$3:$AB$1315,DataRegularSeason20242025!$B$3:$B$1315, "&lt;=" &amp; BV$1, DataRegularSeason20242025!$E$3:$E$1315, $A32)</f>
        <v>2</v>
      </c>
      <c r="BW32">
        <f>SUMIFS(DataRegularSeason20242025!$AA$3:$AA$1315,DataRegularSeason20242025!$B$3:$B$1315, "&lt;=" &amp; BW$1, DataRegularSeason20242025!$D$3:$D$1315, $A32)+SUMIFS(DataRegularSeason20242025!$AB$3:$AB$1315,DataRegularSeason20242025!$B$3:$B$1315, "&lt;=" &amp; BW$1, DataRegularSeason20242025!$E$3:$E$1315, $A32)</f>
        <v>2</v>
      </c>
      <c r="BX32">
        <f>SUMIFS(DataRegularSeason20242025!$AA$3:$AA$1315,DataRegularSeason20242025!$B$3:$B$1315, "&lt;=" &amp; BX$1, DataRegularSeason20242025!$D$3:$D$1315, $A32)+SUMIFS(DataRegularSeason20242025!$AB$3:$AB$1315,DataRegularSeason20242025!$B$3:$B$1315, "&lt;=" &amp; BX$1, DataRegularSeason20242025!$E$3:$E$1315, $A32)</f>
        <v>2</v>
      </c>
      <c r="BY32">
        <f>SUMIFS(DataRegularSeason20242025!$AA$3:$AA$1315,DataRegularSeason20242025!$B$3:$B$1315, "&lt;=" &amp; BY$1, DataRegularSeason20242025!$D$3:$D$1315, $A32)+SUMIFS(DataRegularSeason20242025!$AB$3:$AB$1315,DataRegularSeason20242025!$B$3:$B$1315, "&lt;=" &amp; BY$1, DataRegularSeason20242025!$E$3:$E$1315, $A32)</f>
        <v>2</v>
      </c>
      <c r="BZ32">
        <f>SUMIFS(DataRegularSeason20242025!$AA$3:$AA$1315,DataRegularSeason20242025!$B$3:$B$1315, "&lt;=" &amp; BZ$1, DataRegularSeason20242025!$D$3:$D$1315, $A32)+SUMIFS(DataRegularSeason20242025!$AB$3:$AB$1315,DataRegularSeason20242025!$B$3:$B$1315, "&lt;=" &amp; BZ$1, DataRegularSeason20242025!$E$3:$E$1315, $A32)</f>
        <v>2</v>
      </c>
      <c r="CA32">
        <f>SUMIFS(DataRegularSeason20242025!$AA$3:$AA$1315,DataRegularSeason20242025!$B$3:$B$1315, "&lt;=" &amp; CA$1, DataRegularSeason20242025!$D$3:$D$1315, $A32)+SUMIFS(DataRegularSeason20242025!$AB$3:$AB$1315,DataRegularSeason20242025!$B$3:$B$1315, "&lt;=" &amp; CA$1, DataRegularSeason20242025!$E$3:$E$1315, $A32)</f>
        <v>2</v>
      </c>
      <c r="CB32">
        <f>SUMIFS(DataRegularSeason20242025!$AA$3:$AA$1315,DataRegularSeason20242025!$B$3:$B$1315, "&lt;=" &amp; CB$1, DataRegularSeason20242025!$D$3:$D$1315, $A32)+SUMIFS(DataRegularSeason20242025!$AB$3:$AB$1315,DataRegularSeason20242025!$B$3:$B$1315, "&lt;=" &amp; CB$1, DataRegularSeason20242025!$E$3:$E$1315, $A32)</f>
        <v>2</v>
      </c>
      <c r="CC32">
        <f>SUMIFS(DataRegularSeason20242025!$AA$3:$AA$1315,DataRegularSeason20242025!$B$3:$B$1315, "&lt;=" &amp; CC$1, DataRegularSeason20242025!$D$3:$D$1315, $A32)+SUMIFS(DataRegularSeason20242025!$AB$3:$AB$1315,DataRegularSeason20242025!$B$3:$B$1315, "&lt;=" &amp; CC$1, DataRegularSeason20242025!$E$3:$E$1315, $A32)</f>
        <v>2</v>
      </c>
      <c r="CD32">
        <f>SUMIFS(DataRegularSeason20242025!$AA$3:$AA$1315,DataRegularSeason20242025!$B$3:$B$1315, "&lt;=" &amp; CD$1, DataRegularSeason20242025!$D$3:$D$1315, $A32)+SUMIFS(DataRegularSeason20242025!$AB$3:$AB$1315,DataRegularSeason20242025!$B$3:$B$1315, "&lt;=" &amp; CD$1, DataRegularSeason20242025!$E$3:$E$1315, $A32)</f>
        <v>2</v>
      </c>
      <c r="CE32">
        <f>SUMIFS(DataRegularSeason20242025!$AA$3:$AA$1315,DataRegularSeason20242025!$B$3:$B$1315, "&lt;=" &amp; CE$1, DataRegularSeason20242025!$D$3:$D$1315, $A32)+SUMIFS(DataRegularSeason20242025!$AB$3:$AB$1315,DataRegularSeason20242025!$B$3:$B$1315, "&lt;=" &amp; CE$1, DataRegularSeason20242025!$E$3:$E$1315, $A32)</f>
        <v>2</v>
      </c>
      <c r="CF32">
        <f>SUMIFS(DataRegularSeason20242025!$AA$3:$AA$1315,DataRegularSeason20242025!$B$3:$B$1315, "&lt;=" &amp; CF$1, DataRegularSeason20242025!$D$3:$D$1315, $A32)+SUMIFS(DataRegularSeason20242025!$AB$3:$AB$1315,DataRegularSeason20242025!$B$3:$B$1315, "&lt;=" &amp; CF$1, DataRegularSeason20242025!$E$3:$E$1315, $A32)</f>
        <v>2</v>
      </c>
      <c r="CG32">
        <f>SUMIFS(DataRegularSeason20242025!$AA$3:$AA$1315,DataRegularSeason20242025!$B$3:$B$1315, "&lt;=" &amp; CG$1, DataRegularSeason20242025!$D$3:$D$1315, $A32)+SUMIFS(DataRegularSeason20242025!$AB$3:$AB$1315,DataRegularSeason20242025!$B$3:$B$1315, "&lt;=" &amp; CG$1, DataRegularSeason20242025!$E$3:$E$1315, $A32)</f>
        <v>2</v>
      </c>
      <c r="CH32">
        <f>SUMIFS(DataRegularSeason20242025!$AA$3:$AA$1315,DataRegularSeason20242025!$B$3:$B$1315, "&lt;=" &amp; CH$1, DataRegularSeason20242025!$D$3:$D$1315, $A32)+SUMIFS(DataRegularSeason20242025!$AB$3:$AB$1315,DataRegularSeason20242025!$B$3:$B$1315, "&lt;=" &amp; CH$1, DataRegularSeason20242025!$E$3:$E$1315, $A32)</f>
        <v>2</v>
      </c>
      <c r="CI32">
        <f>SUMIFS(DataRegularSeason20242025!$AA$3:$AA$1315,DataRegularSeason20242025!$B$3:$B$1315, "&lt;=" &amp; CI$1, DataRegularSeason20242025!$D$3:$D$1315, $A32)+SUMIFS(DataRegularSeason20242025!$AB$3:$AB$1315,DataRegularSeason20242025!$B$3:$B$1315, "&lt;=" &amp; CI$1, DataRegularSeason20242025!$E$3:$E$1315, $A32)</f>
        <v>2</v>
      </c>
      <c r="CJ32">
        <f>SUMIFS(DataRegularSeason20242025!$AA$3:$AA$1315,DataRegularSeason20242025!$B$3:$B$1315, "&lt;=" &amp; CJ$1, DataRegularSeason20242025!$D$3:$D$1315, $A32)+SUMIFS(DataRegularSeason20242025!$AB$3:$AB$1315,DataRegularSeason20242025!$B$3:$B$1315, "&lt;=" &amp; CJ$1, DataRegularSeason20242025!$E$3:$E$1315, $A32)</f>
        <v>2</v>
      </c>
      <c r="CK32">
        <f>SUMIFS(DataRegularSeason20242025!$AA$3:$AA$1315,DataRegularSeason20242025!$B$3:$B$1315, "&lt;=" &amp; CK$1, DataRegularSeason20242025!$D$3:$D$1315, $A32)+SUMIFS(DataRegularSeason20242025!$AB$3:$AB$1315,DataRegularSeason20242025!$B$3:$B$1315, "&lt;=" &amp; CK$1, DataRegularSeason20242025!$E$3:$E$1315, $A32)</f>
        <v>2</v>
      </c>
      <c r="CL32">
        <f>SUMIFS(DataRegularSeason20242025!$AA$3:$AA$1315,DataRegularSeason20242025!$B$3:$B$1315, "&lt;=" &amp; CL$1, DataRegularSeason20242025!$D$3:$D$1315, $A32)+SUMIFS(DataRegularSeason20242025!$AB$3:$AB$1315,DataRegularSeason20242025!$B$3:$B$1315, "&lt;=" &amp; CL$1, DataRegularSeason20242025!$E$3:$E$1315, $A32)</f>
        <v>2</v>
      </c>
      <c r="CM32">
        <f>SUMIFS(DataRegularSeason20242025!$AA$3:$AA$1315,DataRegularSeason20242025!$B$3:$B$1315, "&lt;=" &amp; CM$1, DataRegularSeason20242025!$D$3:$D$1315, $A32)+SUMIFS(DataRegularSeason20242025!$AB$3:$AB$1315,DataRegularSeason20242025!$B$3:$B$1315, "&lt;=" &amp; CM$1, DataRegularSeason20242025!$E$3:$E$1315, $A32)</f>
        <v>2</v>
      </c>
      <c r="CN32">
        <f>SUMIFS(DataRegularSeason20242025!$AA$3:$AA$1315,DataRegularSeason20242025!$B$3:$B$1315, "&lt;=" &amp; CN$1, DataRegularSeason20242025!$D$3:$D$1315, $A32)+SUMIFS(DataRegularSeason20242025!$AB$3:$AB$1315,DataRegularSeason20242025!$B$3:$B$1315, "&lt;=" &amp; CN$1, DataRegularSeason20242025!$E$3:$E$1315, $A32)</f>
        <v>2</v>
      </c>
      <c r="CO32">
        <f>SUMIFS(DataRegularSeason20242025!$AA$3:$AA$1315,DataRegularSeason20242025!$B$3:$B$1315, "&lt;=" &amp; CO$1, DataRegularSeason20242025!$D$3:$D$1315, $A32)+SUMIFS(DataRegularSeason20242025!$AB$3:$AB$1315,DataRegularSeason20242025!$B$3:$B$1315, "&lt;=" &amp; CO$1, DataRegularSeason20242025!$E$3:$E$1315, $A32)</f>
        <v>2</v>
      </c>
      <c r="CP32">
        <f>SUMIFS(DataRegularSeason20242025!$AA$3:$AA$1315,DataRegularSeason20242025!$B$3:$B$1315, "&lt;=" &amp; CP$1, DataRegularSeason20242025!$D$3:$D$1315, $A32)+SUMIFS(DataRegularSeason20242025!$AB$3:$AB$1315,DataRegularSeason20242025!$B$3:$B$1315, "&lt;=" &amp; CP$1, DataRegularSeason20242025!$E$3:$E$1315, $A32)</f>
        <v>2</v>
      </c>
      <c r="CQ32">
        <f>SUMIFS(DataRegularSeason20242025!$AA$3:$AA$1315,DataRegularSeason20242025!$B$3:$B$1315, "&lt;=" &amp; CQ$1, DataRegularSeason20242025!$D$3:$D$1315, $A32)+SUMIFS(DataRegularSeason20242025!$AB$3:$AB$1315,DataRegularSeason20242025!$B$3:$B$1315, "&lt;=" &amp; CQ$1, DataRegularSeason20242025!$E$3:$E$1315, $A32)</f>
        <v>2</v>
      </c>
      <c r="CR32">
        <f>SUMIFS(DataRegularSeason20242025!$AA$3:$AA$1315,DataRegularSeason20242025!$B$3:$B$1315, "&lt;=" &amp; CR$1, DataRegularSeason20242025!$D$3:$D$1315, $A32)+SUMIFS(DataRegularSeason20242025!$AB$3:$AB$1315,DataRegularSeason20242025!$B$3:$B$1315, "&lt;=" &amp; CR$1, DataRegularSeason20242025!$E$3:$E$1315, $A32)</f>
        <v>2</v>
      </c>
      <c r="CS32">
        <f>SUMIFS(DataRegularSeason20242025!$AA$3:$AA$1315,DataRegularSeason20242025!$B$3:$B$1315, "&lt;=" &amp; CS$1, DataRegularSeason20242025!$D$3:$D$1315, $A32)+SUMIFS(DataRegularSeason20242025!$AB$3:$AB$1315,DataRegularSeason20242025!$B$3:$B$1315, "&lt;=" &amp; CS$1, DataRegularSeason20242025!$E$3:$E$1315, $A32)</f>
        <v>2</v>
      </c>
      <c r="CT32">
        <f>SUMIFS(DataRegularSeason20242025!$AA$3:$AA$1315,DataRegularSeason20242025!$B$3:$B$1315, "&lt;=" &amp; CT$1, DataRegularSeason20242025!$D$3:$D$1315, $A32)+SUMIFS(DataRegularSeason20242025!$AB$3:$AB$1315,DataRegularSeason20242025!$B$3:$B$1315, "&lt;=" &amp; CT$1, DataRegularSeason20242025!$E$3:$E$1315, $A32)</f>
        <v>2</v>
      </c>
      <c r="CU32">
        <f>SUMIFS(DataRegularSeason20242025!$AA$3:$AA$1315,DataRegularSeason20242025!$B$3:$B$1315, "&lt;=" &amp; CU$1, DataRegularSeason20242025!$D$3:$D$1315, $A32)+SUMIFS(DataRegularSeason20242025!$AB$3:$AB$1315,DataRegularSeason20242025!$B$3:$B$1315, "&lt;=" &amp; CU$1, DataRegularSeason20242025!$E$3:$E$1315, $A32)</f>
        <v>2</v>
      </c>
      <c r="CV32">
        <f>SUMIFS(DataRegularSeason20242025!$AA$3:$AA$1315,DataRegularSeason20242025!$B$3:$B$1315, "&lt;=" &amp; CV$1, DataRegularSeason20242025!$D$3:$D$1315, $A32)+SUMIFS(DataRegularSeason20242025!$AB$3:$AB$1315,DataRegularSeason20242025!$B$3:$B$1315, "&lt;=" &amp; CV$1, DataRegularSeason20242025!$E$3:$E$1315, $A32)</f>
        <v>2</v>
      </c>
      <c r="CW32">
        <f>SUMIFS(DataRegularSeason20242025!$AA$3:$AA$1315,DataRegularSeason20242025!$B$3:$B$1315, "&lt;=" &amp; CW$1, DataRegularSeason20242025!$D$3:$D$1315, $A32)+SUMIFS(DataRegularSeason20242025!$AB$3:$AB$1315,DataRegularSeason20242025!$B$3:$B$1315, "&lt;=" &amp; CW$1, DataRegularSeason20242025!$E$3:$E$1315, $A32)</f>
        <v>2</v>
      </c>
      <c r="CX32">
        <f>SUMIFS(DataRegularSeason20242025!$AA$3:$AA$1315,DataRegularSeason20242025!$B$3:$B$1315, "&lt;=" &amp; CX$1, DataRegularSeason20242025!$D$3:$D$1315, $A32)+SUMIFS(DataRegularSeason20242025!$AB$3:$AB$1315,DataRegularSeason20242025!$B$3:$B$1315, "&lt;=" &amp; CX$1, DataRegularSeason20242025!$E$3:$E$1315, $A32)</f>
        <v>2</v>
      </c>
      <c r="CY32">
        <f>SUMIFS(DataRegularSeason20242025!$AA$3:$AA$1315,DataRegularSeason20242025!$B$3:$B$1315, "&lt;=" &amp; CY$1, DataRegularSeason20242025!$D$3:$D$1315, $A32)+SUMIFS(DataRegularSeason20242025!$AB$3:$AB$1315,DataRegularSeason20242025!$B$3:$B$1315, "&lt;=" &amp; CY$1, DataRegularSeason20242025!$E$3:$E$1315, $A32)</f>
        <v>2</v>
      </c>
      <c r="CZ32">
        <f>SUMIFS(DataRegularSeason20242025!$AA$3:$AA$1315,DataRegularSeason20242025!$B$3:$B$1315, "&lt;=" &amp; CZ$1, DataRegularSeason20242025!$D$3:$D$1315, $A32)+SUMIFS(DataRegularSeason20242025!$AB$3:$AB$1315,DataRegularSeason20242025!$B$3:$B$1315, "&lt;=" &amp; CZ$1, DataRegularSeason20242025!$E$3:$E$1315, $A32)</f>
        <v>2</v>
      </c>
      <c r="DA32">
        <f>SUMIFS(DataRegularSeason20242025!$AA$3:$AA$1315,DataRegularSeason20242025!$B$3:$B$1315, "&lt;=" &amp; DA$1, DataRegularSeason20242025!$D$3:$D$1315, $A32)+SUMIFS(DataRegularSeason20242025!$AB$3:$AB$1315,DataRegularSeason20242025!$B$3:$B$1315, "&lt;=" &amp; DA$1, DataRegularSeason20242025!$E$3:$E$1315, $A32)</f>
        <v>2</v>
      </c>
      <c r="DB32">
        <f>SUMIFS(DataRegularSeason20242025!$AA$3:$AA$1315,DataRegularSeason20242025!$B$3:$B$1315, "&lt;=" &amp; DB$1, DataRegularSeason20242025!$D$3:$D$1315, $A32)+SUMIFS(DataRegularSeason20242025!$AB$3:$AB$1315,DataRegularSeason20242025!$B$3:$B$1315, "&lt;=" &amp; DB$1, DataRegularSeason20242025!$E$3:$E$1315, $A32)</f>
        <v>2</v>
      </c>
      <c r="DC32">
        <f>SUMIFS(DataRegularSeason20242025!$AA$3:$AA$1315,DataRegularSeason20242025!$B$3:$B$1315, "&lt;=" &amp; DC$1, DataRegularSeason20242025!$D$3:$D$1315, $A32)+SUMIFS(DataRegularSeason20242025!$AB$3:$AB$1315,DataRegularSeason20242025!$B$3:$B$1315, "&lt;=" &amp; DC$1, DataRegularSeason20242025!$E$3:$E$1315, $A32)</f>
        <v>2</v>
      </c>
      <c r="DD32">
        <f>SUMIFS(DataRegularSeason20242025!$AA$3:$AA$1315,DataRegularSeason20242025!$B$3:$B$1315, "&lt;=" &amp; DD$1, DataRegularSeason20242025!$D$3:$D$1315, $A32)+SUMIFS(DataRegularSeason20242025!$AB$3:$AB$1315,DataRegularSeason20242025!$B$3:$B$1315, "&lt;=" &amp; DD$1, DataRegularSeason20242025!$E$3:$E$1315, $A32)</f>
        <v>2</v>
      </c>
      <c r="DE32">
        <f>SUMIFS(DataRegularSeason20242025!$AA$3:$AA$1315,DataRegularSeason20242025!$B$3:$B$1315, "&lt;=" &amp; DE$1, DataRegularSeason20242025!$D$3:$D$1315, $A32)+SUMIFS(DataRegularSeason20242025!$AB$3:$AB$1315,DataRegularSeason20242025!$B$3:$B$1315, "&lt;=" &amp; DE$1, DataRegularSeason20242025!$E$3:$E$1315, $A32)</f>
        <v>2</v>
      </c>
      <c r="DF32">
        <f>SUMIFS(DataRegularSeason20242025!$AA$3:$AA$1315,DataRegularSeason20242025!$B$3:$B$1315, "&lt;=" &amp; DF$1, DataRegularSeason20242025!$D$3:$D$1315, $A32)+SUMIFS(DataRegularSeason20242025!$AB$3:$AB$1315,DataRegularSeason20242025!$B$3:$B$1315, "&lt;=" &amp; DF$1, DataRegularSeason20242025!$E$3:$E$1315, $A32)</f>
        <v>2</v>
      </c>
      <c r="DG32">
        <f>SUMIFS(DataRegularSeason20242025!$AA$3:$AA$1315,DataRegularSeason20242025!$B$3:$B$1315, "&lt;=" &amp; DG$1, DataRegularSeason20242025!$D$3:$D$1315, $A32)+SUMIFS(DataRegularSeason20242025!$AB$3:$AB$1315,DataRegularSeason20242025!$B$3:$B$1315, "&lt;=" &amp; DG$1, DataRegularSeason20242025!$E$3:$E$1315, $A32)</f>
        <v>2</v>
      </c>
      <c r="DH32">
        <f>SUMIFS(DataRegularSeason20242025!$AA$3:$AA$1315,DataRegularSeason20242025!$B$3:$B$1315, "&lt;=" &amp; DH$1, DataRegularSeason20242025!$D$3:$D$1315, $A32)+SUMIFS(DataRegularSeason20242025!$AB$3:$AB$1315,DataRegularSeason20242025!$B$3:$B$1315, "&lt;=" &amp; DH$1, DataRegularSeason20242025!$E$3:$E$1315, $A32)</f>
        <v>2</v>
      </c>
      <c r="DI32">
        <f>SUMIFS(DataRegularSeason20242025!$AA$3:$AA$1315,DataRegularSeason20242025!$B$3:$B$1315, "&lt;=" &amp; DI$1, DataRegularSeason20242025!$D$3:$D$1315, $A32)+SUMIFS(DataRegularSeason20242025!$AB$3:$AB$1315,DataRegularSeason20242025!$B$3:$B$1315, "&lt;=" &amp; DI$1, DataRegularSeason20242025!$E$3:$E$1315, $A32)</f>
        <v>2</v>
      </c>
      <c r="DJ32">
        <f>SUMIFS(DataRegularSeason20242025!$AA$3:$AA$1315,DataRegularSeason20242025!$B$3:$B$1315, "&lt;=" &amp; DJ$1, DataRegularSeason20242025!$D$3:$D$1315, $A32)+SUMIFS(DataRegularSeason20242025!$AB$3:$AB$1315,DataRegularSeason20242025!$B$3:$B$1315, "&lt;=" &amp; DJ$1, DataRegularSeason20242025!$E$3:$E$1315, $A32)</f>
        <v>2</v>
      </c>
      <c r="DK32">
        <f>SUMIFS(DataRegularSeason20242025!$AA$3:$AA$1315,DataRegularSeason20242025!$B$3:$B$1315, "&lt;=" &amp; DK$1, DataRegularSeason20242025!$D$3:$D$1315, $A32)+SUMIFS(DataRegularSeason20242025!$AB$3:$AB$1315,DataRegularSeason20242025!$B$3:$B$1315, "&lt;=" &amp; DK$1, DataRegularSeason20242025!$E$3:$E$1315, $A32)</f>
        <v>2</v>
      </c>
      <c r="DL32">
        <f>SUMIFS(DataRegularSeason20242025!$AA$3:$AA$1315,DataRegularSeason20242025!$B$3:$B$1315, "&lt;=" &amp; DL$1, DataRegularSeason20242025!$D$3:$D$1315, $A32)+SUMIFS(DataRegularSeason20242025!$AB$3:$AB$1315,DataRegularSeason20242025!$B$3:$B$1315, "&lt;=" &amp; DL$1, DataRegularSeason20242025!$E$3:$E$1315, $A32)</f>
        <v>2</v>
      </c>
      <c r="DM32">
        <f>SUMIFS(DataRegularSeason20242025!$AA$3:$AA$1315,DataRegularSeason20242025!$B$3:$B$1315, "&lt;=" &amp; DM$1, DataRegularSeason20242025!$D$3:$D$1315, $A32)+SUMIFS(DataRegularSeason20242025!$AB$3:$AB$1315,DataRegularSeason20242025!$B$3:$B$1315, "&lt;=" &amp; DM$1, DataRegularSeason20242025!$E$3:$E$1315, $A32)</f>
        <v>2</v>
      </c>
      <c r="DN32">
        <f>SUMIFS(DataRegularSeason20242025!$AA$3:$AA$1315,DataRegularSeason20242025!$B$3:$B$1315, "&lt;=" &amp; DN$1, DataRegularSeason20242025!$D$3:$D$1315, $A32)+SUMIFS(DataRegularSeason20242025!$AB$3:$AB$1315,DataRegularSeason20242025!$B$3:$B$1315, "&lt;=" &amp; DN$1, DataRegularSeason20242025!$E$3:$E$1315, $A32)</f>
        <v>2</v>
      </c>
      <c r="DO32">
        <f>SUMIFS(DataRegularSeason20242025!$AA$3:$AA$1315,DataRegularSeason20242025!$B$3:$B$1315, "&lt;=" &amp; DO$1, DataRegularSeason20242025!$D$3:$D$1315, $A32)+SUMIFS(DataRegularSeason20242025!$AB$3:$AB$1315,DataRegularSeason20242025!$B$3:$B$1315, "&lt;=" &amp; DO$1, DataRegularSeason20242025!$E$3:$E$1315, $A32)</f>
        <v>2</v>
      </c>
      <c r="DP32">
        <f>SUMIFS(DataRegularSeason20242025!$AA$3:$AA$1315,DataRegularSeason20242025!$B$3:$B$1315, "&lt;=" &amp; DP$1, DataRegularSeason20242025!$D$3:$D$1315, $A32)+SUMIFS(DataRegularSeason20242025!$AB$3:$AB$1315,DataRegularSeason20242025!$B$3:$B$1315, "&lt;=" &amp; DP$1, DataRegularSeason20242025!$E$3:$E$1315, $A32)</f>
        <v>2</v>
      </c>
      <c r="DQ32">
        <f>SUMIFS(DataRegularSeason20242025!$AA$3:$AA$1315,DataRegularSeason20242025!$B$3:$B$1315, "&lt;=" &amp; DQ$1, DataRegularSeason20242025!$D$3:$D$1315, $A32)+SUMIFS(DataRegularSeason20242025!$AB$3:$AB$1315,DataRegularSeason20242025!$B$3:$B$1315, "&lt;=" &amp; DQ$1, DataRegularSeason20242025!$E$3:$E$1315, $A32)</f>
        <v>2</v>
      </c>
      <c r="DR32">
        <f>SUMIFS(DataRegularSeason20242025!$AA$3:$AA$1315,DataRegularSeason20242025!$B$3:$B$1315, "&lt;=" &amp; DR$1, DataRegularSeason20242025!$D$3:$D$1315, $A32)+SUMIFS(DataRegularSeason20242025!$AB$3:$AB$1315,DataRegularSeason20242025!$B$3:$B$1315, "&lt;=" &amp; DR$1, DataRegularSeason20242025!$E$3:$E$1315, $A32)</f>
        <v>2</v>
      </c>
      <c r="DS32">
        <f>SUMIFS(DataRegularSeason20242025!$AA$3:$AA$1315,DataRegularSeason20242025!$B$3:$B$1315, "&lt;=" &amp; DS$1, DataRegularSeason20242025!$D$3:$D$1315, $A32)+SUMIFS(DataRegularSeason20242025!$AB$3:$AB$1315,DataRegularSeason20242025!$B$3:$B$1315, "&lt;=" &amp; DS$1, DataRegularSeason20242025!$E$3:$E$1315, $A32)</f>
        <v>2</v>
      </c>
      <c r="DT32">
        <f>SUMIFS(DataRegularSeason20242025!$AA$3:$AA$1315,DataRegularSeason20242025!$B$3:$B$1315, "&lt;=" &amp; DT$1, DataRegularSeason20242025!$D$3:$D$1315, $A32)+SUMIFS(DataRegularSeason20242025!$AB$3:$AB$1315,DataRegularSeason20242025!$B$3:$B$1315, "&lt;=" &amp; DT$1, DataRegularSeason20242025!$E$3:$E$1315, $A32)</f>
        <v>2</v>
      </c>
      <c r="DU32">
        <f>SUMIFS(DataRegularSeason20242025!$AA$3:$AA$1315,DataRegularSeason20242025!$B$3:$B$1315, "&lt;=" &amp; DU$1, DataRegularSeason20242025!$D$3:$D$1315, $A32)+SUMIFS(DataRegularSeason20242025!$AB$3:$AB$1315,DataRegularSeason20242025!$B$3:$B$1315, "&lt;=" &amp; DU$1, DataRegularSeason20242025!$E$3:$E$1315, $A32)</f>
        <v>2</v>
      </c>
      <c r="DV32">
        <f>SUMIFS(DataRegularSeason20242025!$AA$3:$AA$1315,DataRegularSeason20242025!$B$3:$B$1315, "&lt;=" &amp; DV$1, DataRegularSeason20242025!$D$3:$D$1315, $A32)+SUMIFS(DataRegularSeason20242025!$AB$3:$AB$1315,DataRegularSeason20242025!$B$3:$B$1315, "&lt;=" &amp; DV$1, DataRegularSeason20242025!$E$3:$E$1315, $A32)</f>
        <v>2</v>
      </c>
      <c r="DW32">
        <f>SUMIFS(DataRegularSeason20242025!$AA$3:$AA$1315,DataRegularSeason20242025!$B$3:$B$1315, "&lt;=" &amp; DW$1, DataRegularSeason20242025!$D$3:$D$1315, $A32)+SUMIFS(DataRegularSeason20242025!$AB$3:$AB$1315,DataRegularSeason20242025!$B$3:$B$1315, "&lt;=" &amp; DW$1, DataRegularSeason20242025!$E$3:$E$1315, $A32)</f>
        <v>2</v>
      </c>
      <c r="DX32">
        <f>SUMIFS(DataRegularSeason20242025!$AA$3:$AA$1315,DataRegularSeason20242025!$B$3:$B$1315, "&lt;=" &amp; DX$1, DataRegularSeason20242025!$D$3:$D$1315, $A32)+SUMIFS(DataRegularSeason20242025!$AB$3:$AB$1315,DataRegularSeason20242025!$B$3:$B$1315, "&lt;=" &amp; DX$1, DataRegularSeason20242025!$E$3:$E$1315, $A32)</f>
        <v>2</v>
      </c>
      <c r="DY32">
        <f>SUMIFS(DataRegularSeason20242025!$AA$3:$AA$1315,DataRegularSeason20242025!$B$3:$B$1315, "&lt;=" &amp; DY$1, DataRegularSeason20242025!$D$3:$D$1315, $A32)+SUMIFS(DataRegularSeason20242025!$AB$3:$AB$1315,DataRegularSeason20242025!$B$3:$B$1315, "&lt;=" &amp; DY$1, DataRegularSeason20242025!$E$3:$E$1315, $A32)</f>
        <v>2</v>
      </c>
      <c r="DZ32">
        <f>SUMIFS(DataRegularSeason20242025!$AA$3:$AA$1315,DataRegularSeason20242025!$B$3:$B$1315, "&lt;=" &amp; DZ$1, DataRegularSeason20242025!$D$3:$D$1315, $A32)+SUMIFS(DataRegularSeason20242025!$AB$3:$AB$1315,DataRegularSeason20242025!$B$3:$B$1315, "&lt;=" &amp; DZ$1, DataRegularSeason20242025!$E$3:$E$1315, $A32)</f>
        <v>2</v>
      </c>
      <c r="EA32">
        <f>SUMIFS(DataRegularSeason20242025!$AA$3:$AA$1315,DataRegularSeason20242025!$B$3:$B$1315, "&lt;=" &amp; EA$1, DataRegularSeason20242025!$D$3:$D$1315, $A32)+SUMIFS(DataRegularSeason20242025!$AB$3:$AB$1315,DataRegularSeason20242025!$B$3:$B$1315, "&lt;=" &amp; EA$1, DataRegularSeason20242025!$E$3:$E$1315, $A32)</f>
        <v>2</v>
      </c>
      <c r="EB32">
        <f>SUMIFS(DataRegularSeason20242025!$AA$3:$AA$1315,DataRegularSeason20242025!$B$3:$B$1315, "&lt;=" &amp; EB$1, DataRegularSeason20242025!$D$3:$D$1315, $A32)+SUMIFS(DataRegularSeason20242025!$AB$3:$AB$1315,DataRegularSeason20242025!$B$3:$B$1315, "&lt;=" &amp; EB$1, DataRegularSeason20242025!$E$3:$E$1315, $A32)</f>
        <v>2</v>
      </c>
      <c r="EC32">
        <f>SUMIFS(DataRegularSeason20242025!$AA$3:$AA$1315,DataRegularSeason20242025!$B$3:$B$1315, "&lt;=" &amp; EC$1, DataRegularSeason20242025!$D$3:$D$1315, $A32)+SUMIFS(DataRegularSeason20242025!$AB$3:$AB$1315,DataRegularSeason20242025!$B$3:$B$1315, "&lt;=" &amp; EC$1, DataRegularSeason20242025!$E$3:$E$1315, $A32)</f>
        <v>2</v>
      </c>
      <c r="ED32">
        <f>SUMIFS(DataRegularSeason20242025!$AA$3:$AA$1315,DataRegularSeason20242025!$B$3:$B$1315, "&lt;=" &amp; ED$1, DataRegularSeason20242025!$D$3:$D$1315, $A32)+SUMIFS(DataRegularSeason20242025!$AB$3:$AB$1315,DataRegularSeason20242025!$B$3:$B$1315, "&lt;=" &amp; ED$1, DataRegularSeason20242025!$E$3:$E$1315, $A32)</f>
        <v>2</v>
      </c>
      <c r="EE32">
        <f>SUMIFS(DataRegularSeason20242025!$AA$3:$AA$1315,DataRegularSeason20242025!$B$3:$B$1315, "&lt;=" &amp; EE$1, DataRegularSeason20242025!$D$3:$D$1315, $A32)+SUMIFS(DataRegularSeason20242025!$AB$3:$AB$1315,DataRegularSeason20242025!$B$3:$B$1315, "&lt;=" &amp; EE$1, DataRegularSeason20242025!$E$3:$E$1315, $A32)</f>
        <v>2</v>
      </c>
      <c r="EF32">
        <f>SUMIFS(DataRegularSeason20242025!$AA$3:$AA$1315,DataRegularSeason20242025!$B$3:$B$1315, "&lt;=" &amp; EF$1, DataRegularSeason20242025!$D$3:$D$1315, $A32)+SUMIFS(DataRegularSeason20242025!$AB$3:$AB$1315,DataRegularSeason20242025!$B$3:$B$1315, "&lt;=" &amp; EF$1, DataRegularSeason20242025!$E$3:$E$1315, $A32)</f>
        <v>2</v>
      </c>
      <c r="EG32">
        <f>SUMIFS(DataRegularSeason20242025!$AA$3:$AA$1315,DataRegularSeason20242025!$B$3:$B$1315, "&lt;=" &amp; EG$1, DataRegularSeason20242025!$D$3:$D$1315, $A32)+SUMIFS(DataRegularSeason20242025!$AB$3:$AB$1315,DataRegularSeason20242025!$B$3:$B$1315, "&lt;=" &amp; EG$1, DataRegularSeason20242025!$E$3:$E$1315, $A32)</f>
        <v>2</v>
      </c>
      <c r="EH32">
        <f>SUMIFS(DataRegularSeason20242025!$AA$3:$AA$1315,DataRegularSeason20242025!$B$3:$B$1315, "&lt;=" &amp; EH$1, DataRegularSeason20242025!$D$3:$D$1315, $A32)+SUMIFS(DataRegularSeason20242025!$AB$3:$AB$1315,DataRegularSeason20242025!$B$3:$B$1315, "&lt;=" &amp; EH$1, DataRegularSeason20242025!$E$3:$E$1315, $A32)</f>
        <v>2</v>
      </c>
      <c r="EI32">
        <f>SUMIFS(DataRegularSeason20242025!$AA$3:$AA$1315,DataRegularSeason20242025!$B$3:$B$1315, "&lt;=" &amp; EI$1, DataRegularSeason20242025!$D$3:$D$1315, $A32)+SUMIFS(DataRegularSeason20242025!$AB$3:$AB$1315,DataRegularSeason20242025!$B$3:$B$1315, "&lt;=" &amp; EI$1, DataRegularSeason20242025!$E$3:$E$1315, $A32)</f>
        <v>2</v>
      </c>
      <c r="EJ32">
        <f>SUMIFS(DataRegularSeason20242025!$AA$3:$AA$1315,DataRegularSeason20242025!$B$3:$B$1315, "&lt;=" &amp; EJ$1, DataRegularSeason20242025!$D$3:$D$1315, $A32)+SUMIFS(DataRegularSeason20242025!$AB$3:$AB$1315,DataRegularSeason20242025!$B$3:$B$1315, "&lt;=" &amp; EJ$1, DataRegularSeason20242025!$E$3:$E$1315, $A32)</f>
        <v>2</v>
      </c>
      <c r="EK32">
        <f>SUMIFS(DataRegularSeason20242025!$AA$3:$AA$1315,DataRegularSeason20242025!$B$3:$B$1315, "&lt;=" &amp; EK$1, DataRegularSeason20242025!$D$3:$D$1315, $A32)+SUMIFS(DataRegularSeason20242025!$AB$3:$AB$1315,DataRegularSeason20242025!$B$3:$B$1315, "&lt;=" &amp; EK$1, DataRegularSeason20242025!$E$3:$E$1315, $A32)</f>
        <v>2</v>
      </c>
      <c r="EL32">
        <f>SUMIFS(DataRegularSeason20242025!$AA$3:$AA$1315,DataRegularSeason20242025!$B$3:$B$1315, "&lt;=" &amp; EL$1, DataRegularSeason20242025!$D$3:$D$1315, $A32)+SUMIFS(DataRegularSeason20242025!$AB$3:$AB$1315,DataRegularSeason20242025!$B$3:$B$1315, "&lt;=" &amp; EL$1, DataRegularSeason20242025!$E$3:$E$1315, $A32)</f>
        <v>2</v>
      </c>
      <c r="EM32">
        <f>SUMIFS(DataRegularSeason20242025!$AA$3:$AA$1315,DataRegularSeason20242025!$B$3:$B$1315, "&lt;=" &amp; EM$1, DataRegularSeason20242025!$D$3:$D$1315, $A32)+SUMIFS(DataRegularSeason20242025!$AB$3:$AB$1315,DataRegularSeason20242025!$B$3:$B$1315, "&lt;=" &amp; EM$1, DataRegularSeason20242025!$E$3:$E$1315, $A32)</f>
        <v>2</v>
      </c>
      <c r="EN32">
        <f>SUMIFS(DataRegularSeason20242025!$AA$3:$AA$1315,DataRegularSeason20242025!$B$3:$B$1315, "&lt;=" &amp; EN$1, DataRegularSeason20242025!$D$3:$D$1315, $A32)+SUMIFS(DataRegularSeason20242025!$AB$3:$AB$1315,DataRegularSeason20242025!$B$3:$B$1315, "&lt;=" &amp; EN$1, DataRegularSeason20242025!$E$3:$E$1315, $A32)</f>
        <v>2</v>
      </c>
      <c r="EO32">
        <f>SUMIFS(DataRegularSeason20242025!$AA$3:$AA$1315,DataRegularSeason20242025!$B$3:$B$1315, "&lt;=" &amp; EO$1, DataRegularSeason20242025!$D$3:$D$1315, $A32)+SUMIFS(DataRegularSeason20242025!$AB$3:$AB$1315,DataRegularSeason20242025!$B$3:$B$1315, "&lt;=" &amp; EO$1, DataRegularSeason20242025!$E$3:$E$1315, $A32)</f>
        <v>2</v>
      </c>
      <c r="EP32">
        <f>SUMIFS(DataRegularSeason20242025!$AA$3:$AA$1315,DataRegularSeason20242025!$B$3:$B$1315, "&lt;=" &amp; EP$1, DataRegularSeason20242025!$D$3:$D$1315, $A32)+SUMIFS(DataRegularSeason20242025!$AB$3:$AB$1315,DataRegularSeason20242025!$B$3:$B$1315, "&lt;=" &amp; EP$1, DataRegularSeason20242025!$E$3:$E$1315, $A32)</f>
        <v>2</v>
      </c>
      <c r="EQ32">
        <f>SUMIFS(DataRegularSeason20242025!$AA$3:$AA$1315,DataRegularSeason20242025!$B$3:$B$1315, "&lt;=" &amp; EQ$1, DataRegularSeason20242025!$D$3:$D$1315, $A32)+SUMIFS(DataRegularSeason20242025!$AB$3:$AB$1315,DataRegularSeason20242025!$B$3:$B$1315, "&lt;=" &amp; EQ$1, DataRegularSeason20242025!$E$3:$E$1315, $A32)</f>
        <v>2</v>
      </c>
      <c r="ER32">
        <f>SUMIFS(DataRegularSeason20242025!$AA$3:$AA$1315,DataRegularSeason20242025!$B$3:$B$1315, "&lt;=" &amp; ER$1, DataRegularSeason20242025!$D$3:$D$1315, $A32)+SUMIFS(DataRegularSeason20242025!$AB$3:$AB$1315,DataRegularSeason20242025!$B$3:$B$1315, "&lt;=" &amp; ER$1, DataRegularSeason20242025!$E$3:$E$1315, $A32)</f>
        <v>2</v>
      </c>
      <c r="ES32">
        <f>SUMIFS(DataRegularSeason20242025!$AA$3:$AA$1315,DataRegularSeason20242025!$B$3:$B$1315, "&lt;=" &amp; ES$1, DataRegularSeason20242025!$D$3:$D$1315, $A32)+SUMIFS(DataRegularSeason20242025!$AB$3:$AB$1315,DataRegularSeason20242025!$B$3:$B$1315, "&lt;=" &amp; ES$1, DataRegularSeason20242025!$E$3:$E$1315, $A32)</f>
        <v>2</v>
      </c>
      <c r="ET32">
        <f>SUMIFS(DataRegularSeason20242025!$AA$3:$AA$1315,DataRegularSeason20242025!$B$3:$B$1315, "&lt;=" &amp; ET$1, DataRegularSeason20242025!$D$3:$D$1315, $A32)+SUMIFS(DataRegularSeason20242025!$AB$3:$AB$1315,DataRegularSeason20242025!$B$3:$B$1315, "&lt;=" &amp; ET$1, DataRegularSeason20242025!$E$3:$E$1315, $A32)</f>
        <v>2</v>
      </c>
      <c r="EU32">
        <f>SUMIFS(DataRegularSeason20242025!$AA$3:$AA$1315,DataRegularSeason20242025!$B$3:$B$1315, "&lt;=" &amp; EU$1, DataRegularSeason20242025!$D$3:$D$1315, $A32)+SUMIFS(DataRegularSeason20242025!$AB$3:$AB$1315,DataRegularSeason20242025!$B$3:$B$1315, "&lt;=" &amp; EU$1, DataRegularSeason20242025!$E$3:$E$1315, $A32)</f>
        <v>2</v>
      </c>
      <c r="EV32">
        <f>SUMIFS(DataRegularSeason20242025!$AA$3:$AA$1315,DataRegularSeason20242025!$B$3:$B$1315, "&lt;=" &amp; EV$1, DataRegularSeason20242025!$D$3:$D$1315, $A32)+SUMIFS(DataRegularSeason20242025!$AB$3:$AB$1315,DataRegularSeason20242025!$B$3:$B$1315, "&lt;=" &amp; EV$1, DataRegularSeason20242025!$E$3:$E$1315, $A32)</f>
        <v>2</v>
      </c>
      <c r="EW32">
        <f>SUMIFS(DataRegularSeason20242025!$AA$3:$AA$1315,DataRegularSeason20242025!$B$3:$B$1315, "&lt;=" &amp; EW$1, DataRegularSeason20242025!$D$3:$D$1315, $A32)+SUMIFS(DataRegularSeason20242025!$AB$3:$AB$1315,DataRegularSeason20242025!$B$3:$B$1315, "&lt;=" &amp; EW$1, DataRegularSeason20242025!$E$3:$E$1315, $A32)</f>
        <v>2</v>
      </c>
      <c r="EX32">
        <f>SUMIFS(DataRegularSeason20242025!$AA$3:$AA$1315,DataRegularSeason20242025!$B$3:$B$1315, "&lt;=" &amp; EX$1, DataRegularSeason20242025!$D$3:$D$1315, $A32)+SUMIFS(DataRegularSeason20242025!$AB$3:$AB$1315,DataRegularSeason20242025!$B$3:$B$1315, "&lt;=" &amp; EX$1, DataRegularSeason20242025!$E$3:$E$1315, $A32)</f>
        <v>2</v>
      </c>
      <c r="EY32">
        <f>SUMIFS(DataRegularSeason20242025!$AA$3:$AA$1315,DataRegularSeason20242025!$B$3:$B$1315, "&lt;=" &amp; EY$1, DataRegularSeason20242025!$D$3:$D$1315, $A32)+SUMIFS(DataRegularSeason20242025!$AB$3:$AB$1315,DataRegularSeason20242025!$B$3:$B$1315, "&lt;=" &amp; EY$1, DataRegularSeason20242025!$E$3:$E$1315, $A32)</f>
        <v>2</v>
      </c>
      <c r="EZ32">
        <f>SUMIFS(DataRegularSeason20242025!$AA$3:$AA$1315,DataRegularSeason20242025!$B$3:$B$1315, "&lt;=" &amp; EZ$1, DataRegularSeason20242025!$D$3:$D$1315, $A32)+SUMIFS(DataRegularSeason20242025!$AB$3:$AB$1315,DataRegularSeason20242025!$B$3:$B$1315, "&lt;=" &amp; EZ$1, DataRegularSeason20242025!$E$3:$E$1315, $A32)</f>
        <v>2</v>
      </c>
      <c r="FA32">
        <f>SUMIFS(DataRegularSeason20242025!$AA$3:$AA$1315,DataRegularSeason20242025!$B$3:$B$1315, "&lt;=" &amp; FA$1, DataRegularSeason20242025!$D$3:$D$1315, $A32)+SUMIFS(DataRegularSeason20242025!$AB$3:$AB$1315,DataRegularSeason20242025!$B$3:$B$1315, "&lt;=" &amp; FA$1, DataRegularSeason20242025!$E$3:$E$1315, $A32)</f>
        <v>2</v>
      </c>
      <c r="FB32">
        <f>SUMIFS(DataRegularSeason20242025!$AA$3:$AA$1315,DataRegularSeason20242025!$B$3:$B$1315, "&lt;=" &amp; FB$1, DataRegularSeason20242025!$D$3:$D$1315, $A32)+SUMIFS(DataRegularSeason20242025!$AB$3:$AB$1315,DataRegularSeason20242025!$B$3:$B$1315, "&lt;=" &amp; FB$1, DataRegularSeason20242025!$E$3:$E$1315, $A32)</f>
        <v>2</v>
      </c>
      <c r="FC32">
        <f>SUMIFS(DataRegularSeason20242025!$AA$3:$AA$1315,DataRegularSeason20242025!$B$3:$B$1315, "&lt;=" &amp; FC$1, DataRegularSeason20242025!$D$3:$D$1315, $A32)+SUMIFS(DataRegularSeason20242025!$AB$3:$AB$1315,DataRegularSeason20242025!$B$3:$B$1315, "&lt;=" &amp; FC$1, DataRegularSeason20242025!$E$3:$E$1315, $A32)</f>
        <v>2</v>
      </c>
      <c r="FD32">
        <f>SUMIFS(DataRegularSeason20242025!$AA$3:$AA$1315,DataRegularSeason20242025!$B$3:$B$1315, "&lt;=" &amp; FD$1, DataRegularSeason20242025!$D$3:$D$1315, $A32)+SUMIFS(DataRegularSeason20242025!$AB$3:$AB$1315,DataRegularSeason20242025!$B$3:$B$1315, "&lt;=" &amp; FD$1, DataRegularSeason20242025!$E$3:$E$1315, $A32)</f>
        <v>2</v>
      </c>
      <c r="FE32">
        <f>SUMIFS(DataRegularSeason20242025!$AA$3:$AA$1315,DataRegularSeason20242025!$B$3:$B$1315, "&lt;=" &amp; FE$1, DataRegularSeason20242025!$D$3:$D$1315, $A32)+SUMIFS(DataRegularSeason20242025!$AB$3:$AB$1315,DataRegularSeason20242025!$B$3:$B$1315, "&lt;=" &amp; FE$1, DataRegularSeason20242025!$E$3:$E$1315, $A32)</f>
        <v>2</v>
      </c>
      <c r="FF32">
        <f>SUMIFS(DataRegularSeason20242025!$AA$3:$AA$1315,DataRegularSeason20242025!$B$3:$B$1315, "&lt;=" &amp; FF$1, DataRegularSeason20242025!$D$3:$D$1315, $A32)+SUMIFS(DataRegularSeason20242025!$AB$3:$AB$1315,DataRegularSeason20242025!$B$3:$B$1315, "&lt;=" &amp; FF$1, DataRegularSeason20242025!$E$3:$E$1315, $A32)</f>
        <v>2</v>
      </c>
      <c r="FG32">
        <f>SUMIFS(DataRegularSeason20242025!$AA$3:$AA$1315,DataRegularSeason20242025!$B$3:$B$1315, "&lt;=" &amp; FG$1, DataRegularSeason20242025!$D$3:$D$1315, $A32)+SUMIFS(DataRegularSeason20242025!$AB$3:$AB$1315,DataRegularSeason20242025!$B$3:$B$1315, "&lt;=" &amp; FG$1, DataRegularSeason20242025!$E$3:$E$1315, $A32)</f>
        <v>2</v>
      </c>
      <c r="FH32">
        <f>SUMIFS(DataRegularSeason20242025!$AA$3:$AA$1315,DataRegularSeason20242025!$B$3:$B$1315, "&lt;=" &amp; FH$1, DataRegularSeason20242025!$D$3:$D$1315, $A32)+SUMIFS(DataRegularSeason20242025!$AB$3:$AB$1315,DataRegularSeason20242025!$B$3:$B$1315, "&lt;=" &amp; FH$1, DataRegularSeason20242025!$E$3:$E$1315, $A32)</f>
        <v>2</v>
      </c>
      <c r="FI32">
        <f>SUMIFS(DataRegularSeason20242025!$AA$3:$AA$1315,DataRegularSeason20242025!$B$3:$B$1315, "&lt;=" &amp; FI$1, DataRegularSeason20242025!$D$3:$D$1315, $A32)+SUMIFS(DataRegularSeason20242025!$AB$3:$AB$1315,DataRegularSeason20242025!$B$3:$B$1315, "&lt;=" &amp; FI$1, DataRegularSeason20242025!$E$3:$E$1315, $A32)</f>
        <v>2</v>
      </c>
      <c r="FJ32">
        <f>SUMIFS(DataRegularSeason20242025!$AA$3:$AA$1315,DataRegularSeason20242025!$B$3:$B$1315, "&lt;=" &amp; FJ$1, DataRegularSeason20242025!$D$3:$D$1315, $A32)+SUMIFS(DataRegularSeason20242025!$AB$3:$AB$1315,DataRegularSeason20242025!$B$3:$B$1315, "&lt;=" &amp; FJ$1, DataRegularSeason20242025!$E$3:$E$1315, $A32)</f>
        <v>2</v>
      </c>
      <c r="FK32">
        <f>SUMIFS(DataRegularSeason20242025!$AA$3:$AA$1315,DataRegularSeason20242025!$B$3:$B$1315, "&lt;=" &amp; FK$1, DataRegularSeason20242025!$D$3:$D$1315, $A32)+SUMIFS(DataRegularSeason20242025!$AB$3:$AB$1315,DataRegularSeason20242025!$B$3:$B$1315, "&lt;=" &amp; FK$1, DataRegularSeason20242025!$E$3:$E$1315, $A32)</f>
        <v>2</v>
      </c>
      <c r="FL32">
        <f>SUMIFS(DataRegularSeason20242025!$AA$3:$AA$1315,DataRegularSeason20242025!$B$3:$B$1315, "&lt;=" &amp; FL$1, DataRegularSeason20242025!$D$3:$D$1315, $A32)+SUMIFS(DataRegularSeason20242025!$AB$3:$AB$1315,DataRegularSeason20242025!$B$3:$B$1315, "&lt;=" &amp; FL$1, DataRegularSeason20242025!$E$3:$E$1315, $A32)</f>
        <v>2</v>
      </c>
      <c r="FM32">
        <f>SUMIFS(DataRegularSeason20242025!$AA$3:$AA$1315,DataRegularSeason20242025!$B$3:$B$1315, "&lt;=" &amp; FM$1, DataRegularSeason20242025!$D$3:$D$1315, $A32)+SUMIFS(DataRegularSeason20242025!$AB$3:$AB$1315,DataRegularSeason20242025!$B$3:$B$1315, "&lt;=" &amp; FM$1, DataRegularSeason20242025!$E$3:$E$1315, $A32)</f>
        <v>2</v>
      </c>
      <c r="FN32">
        <f>SUMIFS(DataRegularSeason20242025!$AA$3:$AA$1315,DataRegularSeason20242025!$B$3:$B$1315, "&lt;=" &amp; FN$1, DataRegularSeason20242025!$D$3:$D$1315, $A32)+SUMIFS(DataRegularSeason20242025!$AB$3:$AB$1315,DataRegularSeason20242025!$B$3:$B$1315, "&lt;=" &amp; FN$1, DataRegularSeason20242025!$E$3:$E$1315, $A32)</f>
        <v>2</v>
      </c>
      <c r="FO32">
        <f>SUMIFS(DataRegularSeason20242025!$AA$3:$AA$1315,DataRegularSeason20242025!$B$3:$B$1315, "&lt;=" &amp; FO$1, DataRegularSeason20242025!$D$3:$D$1315, $A32)+SUMIFS(DataRegularSeason20242025!$AB$3:$AB$1315,DataRegularSeason20242025!$B$3:$B$1315, "&lt;=" &amp; FO$1, DataRegularSeason20242025!$E$3:$E$1315, $A32)</f>
        <v>2</v>
      </c>
      <c r="FP32">
        <f>SUMIFS(DataRegularSeason20242025!$AA$3:$AA$1315,DataRegularSeason20242025!$B$3:$B$1315, "&lt;=" &amp; FP$1, DataRegularSeason20242025!$D$3:$D$1315, $A32)+SUMIFS(DataRegularSeason20242025!$AB$3:$AB$1315,DataRegularSeason20242025!$B$3:$B$1315, "&lt;=" &amp; FP$1, DataRegularSeason20242025!$E$3:$E$1315, $A32)</f>
        <v>2</v>
      </c>
      <c r="FQ32">
        <f>SUMIFS(DataRegularSeason20242025!$AA$3:$AA$1315,DataRegularSeason20242025!$B$3:$B$1315, "&lt;=" &amp; FQ$1, DataRegularSeason20242025!$D$3:$D$1315, $A32)+SUMIFS(DataRegularSeason20242025!$AB$3:$AB$1315,DataRegularSeason20242025!$B$3:$B$1315, "&lt;=" &amp; FQ$1, DataRegularSeason20242025!$E$3:$E$1315, $A32)</f>
        <v>2</v>
      </c>
      <c r="FR32">
        <f>SUMIFS(DataRegularSeason20242025!$AA$3:$AA$1315,DataRegularSeason20242025!$B$3:$B$1315, "&lt;=" &amp; FR$1, DataRegularSeason20242025!$D$3:$D$1315, $A32)+SUMIFS(DataRegularSeason20242025!$AB$3:$AB$1315,DataRegularSeason20242025!$B$3:$B$1315, "&lt;=" &amp; FR$1, DataRegularSeason20242025!$E$3:$E$1315, $A32)</f>
        <v>2</v>
      </c>
      <c r="FS32">
        <f>SUMIFS(DataRegularSeason20242025!$AA$3:$AA$1315,DataRegularSeason20242025!$B$3:$B$1315, "&lt;=" &amp; FS$1, DataRegularSeason20242025!$D$3:$D$1315, $A32)+SUMIFS(DataRegularSeason20242025!$AB$3:$AB$1315,DataRegularSeason20242025!$B$3:$B$1315, "&lt;=" &amp; FS$1, DataRegularSeason20242025!$E$3:$E$1315, $A32)</f>
        <v>2</v>
      </c>
      <c r="FT32">
        <f>SUMIFS(DataRegularSeason20242025!$AA$3:$AA$1315,DataRegularSeason20242025!$B$3:$B$1315, "&lt;=" &amp; FT$1, DataRegularSeason20242025!$D$3:$D$1315, $A32)+SUMIFS(DataRegularSeason20242025!$AB$3:$AB$1315,DataRegularSeason20242025!$B$3:$B$1315, "&lt;=" &amp; FT$1, DataRegularSeason20242025!$E$3:$E$1315, $A32)</f>
        <v>2</v>
      </c>
      <c r="FU32">
        <f>SUMIFS(DataRegularSeason20242025!$AA$3:$AA$1315,DataRegularSeason20242025!$B$3:$B$1315, "&lt;=" &amp; FU$1, DataRegularSeason20242025!$D$3:$D$1315, $A32)+SUMIFS(DataRegularSeason20242025!$AB$3:$AB$1315,DataRegularSeason20242025!$B$3:$B$1315, "&lt;=" &amp; FU$1, DataRegularSeason20242025!$E$3:$E$1315, $A32)</f>
        <v>2</v>
      </c>
      <c r="FV32">
        <f>SUMIFS(DataRegularSeason20242025!$AA$3:$AA$1315,DataRegularSeason20242025!$B$3:$B$1315, "&lt;=" &amp; FV$1, DataRegularSeason20242025!$D$3:$D$1315, $A32)+SUMIFS(DataRegularSeason20242025!$AB$3:$AB$1315,DataRegularSeason20242025!$B$3:$B$1315, "&lt;=" &amp; FV$1, DataRegularSeason20242025!$E$3:$E$1315, $A32)</f>
        <v>2</v>
      </c>
      <c r="FW32">
        <f>SUMIFS(DataRegularSeason20242025!$AA$3:$AA$1315,DataRegularSeason20242025!$B$3:$B$1315, "&lt;=" &amp; FW$1, DataRegularSeason20242025!$D$3:$D$1315, $A32)+SUMIFS(DataRegularSeason20242025!$AB$3:$AB$1315,DataRegularSeason20242025!$B$3:$B$1315, "&lt;=" &amp; FW$1, DataRegularSeason20242025!$E$3:$E$1315, $A32)</f>
        <v>2</v>
      </c>
      <c r="FX32">
        <f>SUMIFS(DataRegularSeason20242025!$AA$3:$AA$1315,DataRegularSeason20242025!$B$3:$B$1315, "&lt;=" &amp; FX$1, DataRegularSeason20242025!$D$3:$D$1315, $A32)+SUMIFS(DataRegularSeason20242025!$AB$3:$AB$1315,DataRegularSeason20242025!$B$3:$B$1315, "&lt;=" &amp; FX$1, DataRegularSeason20242025!$E$3:$E$1315, $A32)</f>
        <v>2</v>
      </c>
      <c r="FY32">
        <f>SUMIFS(DataRegularSeason20242025!$AA$3:$AA$1315,DataRegularSeason20242025!$B$3:$B$1315, "&lt;=" &amp; FY$1, DataRegularSeason20242025!$D$3:$D$1315, $A32)+SUMIFS(DataRegularSeason20242025!$AB$3:$AB$1315,DataRegularSeason20242025!$B$3:$B$1315, "&lt;=" &amp; FY$1, DataRegularSeason20242025!$E$3:$E$1315, $A32)</f>
        <v>2</v>
      </c>
      <c r="FZ32">
        <f>SUMIFS(DataRegularSeason20242025!$AA$3:$AA$1315,DataRegularSeason20242025!$B$3:$B$1315, "&lt;=" &amp; FZ$1, DataRegularSeason20242025!$D$3:$D$1315, $A32)+SUMIFS(DataRegularSeason20242025!$AB$3:$AB$1315,DataRegularSeason20242025!$B$3:$B$1315, "&lt;=" &amp; FZ$1, DataRegularSeason20242025!$E$3:$E$1315, $A32)</f>
        <v>2</v>
      </c>
      <c r="GA32">
        <f>SUMIFS(DataRegularSeason20242025!$AA$3:$AA$1315,DataRegularSeason20242025!$B$3:$B$1315, "&lt;=" &amp; GA$1, DataRegularSeason20242025!$D$3:$D$1315, $A32)+SUMIFS(DataRegularSeason20242025!$AB$3:$AB$1315,DataRegularSeason20242025!$B$3:$B$1315, "&lt;=" &amp; GA$1, DataRegularSeason20242025!$E$3:$E$1315, $A32)</f>
        <v>2</v>
      </c>
      <c r="GB32">
        <f>SUMIFS(DataRegularSeason20242025!$AA$3:$AA$1315,DataRegularSeason20242025!$B$3:$B$1315, "&lt;=" &amp; GB$1, DataRegularSeason20242025!$D$3:$D$1315, $A32)+SUMIFS(DataRegularSeason20242025!$AB$3:$AB$1315,DataRegularSeason20242025!$B$3:$B$1315, "&lt;=" &amp; GB$1, DataRegularSeason20242025!$E$3:$E$1315, $A32)</f>
        <v>2</v>
      </c>
      <c r="GC32">
        <f>SUMIFS(DataRegularSeason20242025!$AA$3:$AA$1315,DataRegularSeason20242025!$B$3:$B$1315, "&lt;=" &amp; GC$1, DataRegularSeason20242025!$D$3:$D$1315, $A32)+SUMIFS(DataRegularSeason20242025!$AB$3:$AB$1315,DataRegularSeason20242025!$B$3:$B$1315, "&lt;=" &amp; GC$1, DataRegularSeason20242025!$E$3:$E$1315, $A32)</f>
        <v>2</v>
      </c>
      <c r="GD32">
        <f>SUMIFS(DataRegularSeason20242025!$AA$3:$AA$1315,DataRegularSeason20242025!$B$3:$B$1315, "&lt;=" &amp; GD$1, DataRegularSeason20242025!$D$3:$D$1315, $A32)+SUMIFS(DataRegularSeason20242025!$AB$3:$AB$1315,DataRegularSeason20242025!$B$3:$B$1315, "&lt;=" &amp; GD$1, DataRegularSeason20242025!$E$3:$E$1315, $A32)</f>
        <v>2</v>
      </c>
      <c r="GE32">
        <f>SUMIFS(DataRegularSeason20242025!$AA$3:$AA$1315,DataRegularSeason20242025!$B$3:$B$1315, "&lt;=" &amp; GE$1, DataRegularSeason20242025!$D$3:$D$1315, $A32)+SUMIFS(DataRegularSeason20242025!$AB$3:$AB$1315,DataRegularSeason20242025!$B$3:$B$1315, "&lt;=" &amp; GE$1, DataRegularSeason20242025!$E$3:$E$1315, $A32)</f>
        <v>2</v>
      </c>
      <c r="GF32">
        <f>SUMIFS(DataRegularSeason20242025!$AA$3:$AA$1315,DataRegularSeason20242025!$B$3:$B$1315, "&lt;=" &amp; GF$1, DataRegularSeason20242025!$D$3:$D$1315, $A32)+SUMIFS(DataRegularSeason20242025!$AB$3:$AB$1315,DataRegularSeason20242025!$B$3:$B$1315, "&lt;=" &amp; GF$1, DataRegularSeason20242025!$E$3:$E$1315, $A32)</f>
        <v>2</v>
      </c>
      <c r="GG32">
        <f>SUMIFS(DataRegularSeason20242025!$AA$3:$AA$1315,DataRegularSeason20242025!$B$3:$B$1315, "&lt;=" &amp; GG$1, DataRegularSeason20242025!$D$3:$D$1315, $A32)+SUMIFS(DataRegularSeason20242025!$AB$3:$AB$1315,DataRegularSeason20242025!$B$3:$B$1315, "&lt;=" &amp; GG$1, DataRegularSeason20242025!$E$3:$E$1315, $A32)</f>
        <v>2</v>
      </c>
      <c r="GH32">
        <f>SUMIFS(DataRegularSeason20242025!$AA$3:$AA$1315,DataRegularSeason20242025!$B$3:$B$1315, "&lt;=" &amp; GH$1, DataRegularSeason20242025!$D$3:$D$1315, $A32)+SUMIFS(DataRegularSeason20242025!$AB$3:$AB$1315,DataRegularSeason20242025!$B$3:$B$1315, "&lt;=" &amp; GH$1, DataRegularSeason20242025!$E$3:$E$1315, $A32)</f>
        <v>2</v>
      </c>
      <c r="GI32">
        <f>SUMIFS(DataRegularSeason20242025!$AA$3:$AA$1315,DataRegularSeason20242025!$B$3:$B$1315, "&lt;=" &amp; GI$1, DataRegularSeason20242025!$D$3:$D$1315, $A32)+SUMIFS(DataRegularSeason20242025!$AB$3:$AB$1315,DataRegularSeason20242025!$B$3:$B$1315, "&lt;=" &amp; GI$1, DataRegularSeason20242025!$E$3:$E$1315, $A32)</f>
        <v>2</v>
      </c>
      <c r="GJ32">
        <f>SUMIFS(DataRegularSeason20242025!$AA$3:$AA$1315,DataRegularSeason20242025!$B$3:$B$1315, "&lt;=" &amp; GJ$1, DataRegularSeason20242025!$D$3:$D$1315, $A32)+SUMIFS(DataRegularSeason20242025!$AB$3:$AB$1315,DataRegularSeason20242025!$B$3:$B$1315, "&lt;=" &amp; GJ$1, DataRegularSeason20242025!$E$3:$E$1315, $A32)</f>
        <v>2</v>
      </c>
      <c r="GK32">
        <f>SUMIFS(DataRegularSeason20242025!$AA$3:$AA$1315,DataRegularSeason20242025!$B$3:$B$1315, "&lt;=" &amp; GK$1, DataRegularSeason20242025!$D$3:$D$1315, $A32)+SUMIFS(DataRegularSeason20242025!$AB$3:$AB$1315,DataRegularSeason20242025!$B$3:$B$1315, "&lt;=" &amp; GK$1, DataRegularSeason20242025!$E$3:$E$1315, $A32)</f>
        <v>2</v>
      </c>
      <c r="GL32">
        <f>SUMIFS(DataRegularSeason20242025!$AA$3:$AA$1315,DataRegularSeason20242025!$B$3:$B$1315, "&lt;=" &amp; GL$1, DataRegularSeason20242025!$D$3:$D$1315, $A32)+SUMIFS(DataRegularSeason20242025!$AB$3:$AB$1315,DataRegularSeason20242025!$B$3:$B$1315, "&lt;=" &amp; GL$1, DataRegularSeason20242025!$E$3:$E$1315, $A32)</f>
        <v>2</v>
      </c>
      <c r="GM32">
        <f>SUMIFS(DataRegularSeason20242025!$AA$3:$AA$1315,DataRegularSeason20242025!$B$3:$B$1315, "&lt;=" &amp; GM$1, DataRegularSeason20242025!$D$3:$D$1315, $A32)+SUMIFS(DataRegularSeason20242025!$AB$3:$AB$1315,DataRegularSeason20242025!$B$3:$B$1315, "&lt;=" &amp; GM$1, DataRegularSeason20242025!$E$3:$E$1315, $A32)</f>
        <v>2</v>
      </c>
      <c r="GN32">
        <f>SUMIFS(DataRegularSeason20242025!$AA$3:$AA$1315,DataRegularSeason20242025!$B$3:$B$1315, "&lt;=" &amp; GN$1, DataRegularSeason20242025!$D$3:$D$1315, $A32)+SUMIFS(DataRegularSeason20242025!$AB$3:$AB$1315,DataRegularSeason20242025!$B$3:$B$1315, "&lt;=" &amp; GN$1, DataRegularSeason20242025!$E$3:$E$1315, $A32)</f>
        <v>2</v>
      </c>
      <c r="GO32">
        <f>SUMIFS(DataRegularSeason20242025!$AA$3:$AA$1315,DataRegularSeason20242025!$B$3:$B$1315, "&lt;=" &amp; GO$1, DataRegularSeason20242025!$D$3:$D$1315, $A32)+SUMIFS(DataRegularSeason20242025!$AB$3:$AB$1315,DataRegularSeason20242025!$B$3:$B$1315, "&lt;=" &amp; GO$1, DataRegularSeason20242025!$E$3:$E$1315, $A32)</f>
        <v>2</v>
      </c>
      <c r="GP32">
        <f>SUMIFS(DataRegularSeason20242025!$AA$3:$AA$1315,DataRegularSeason20242025!$B$3:$B$1315, "&lt;=" &amp; GP$1, DataRegularSeason20242025!$D$3:$D$1315, $A32)+SUMIFS(DataRegularSeason20242025!$AB$3:$AB$1315,DataRegularSeason20242025!$B$3:$B$1315, "&lt;=" &amp; GP$1, DataRegularSeason20242025!$E$3:$E$1315, $A32)</f>
        <v>2</v>
      </c>
      <c r="GQ32">
        <f>SUMIFS(DataRegularSeason20242025!$AA$3:$AA$1315,DataRegularSeason20242025!$B$3:$B$1315, "&lt;=" &amp; GQ$1, DataRegularSeason20242025!$D$3:$D$1315, $A32)+SUMIFS(DataRegularSeason20242025!$AB$3:$AB$1315,DataRegularSeason20242025!$B$3:$B$1315, "&lt;=" &amp; GQ$1, DataRegularSeason20242025!$E$3:$E$1315, $A32)</f>
        <v>2</v>
      </c>
      <c r="GR32">
        <f>SUMIFS(DataRegularSeason20242025!$AA$3:$AA$1315,DataRegularSeason20242025!$B$3:$B$1315, "&lt;=" &amp; GR$1, DataRegularSeason20242025!$D$3:$D$1315, $A32)+SUMIFS(DataRegularSeason20242025!$AB$3:$AB$1315,DataRegularSeason20242025!$B$3:$B$1315, "&lt;=" &amp; GR$1, DataRegularSeason20242025!$E$3:$E$1315, $A32)</f>
        <v>2</v>
      </c>
      <c r="GS32">
        <f>SUMIFS(DataRegularSeason20242025!$AA$3:$AA$1315,DataRegularSeason20242025!$B$3:$B$1315, "&lt;=" &amp; GS$1, DataRegularSeason20242025!$D$3:$D$1315, $A32)+SUMIFS(DataRegularSeason20242025!$AB$3:$AB$1315,DataRegularSeason20242025!$B$3:$B$1315, "&lt;=" &amp; GS$1, DataRegularSeason20242025!$E$3:$E$1315, $A32)</f>
        <v>2</v>
      </c>
      <c r="GT32">
        <f>SUMIFS(DataRegularSeason20242025!$AA$3:$AA$1315,DataRegularSeason20242025!$B$3:$B$1315, "&lt;=" &amp; GT$1, DataRegularSeason20242025!$D$3:$D$1315, $A32)+SUMIFS(DataRegularSeason20242025!$AB$3:$AB$1315,DataRegularSeason20242025!$B$3:$B$1315, "&lt;=" &amp; GT$1, DataRegularSeason20242025!$E$3:$E$1315, $A32)</f>
        <v>2</v>
      </c>
      <c r="GU32">
        <f>SUMIFS(DataRegularSeason20242025!$AA$3:$AA$1315,DataRegularSeason20242025!$B$3:$B$1315, "&lt;=" &amp; GU$1, DataRegularSeason20242025!$D$3:$D$1315, $A32)+SUMIFS(DataRegularSeason20242025!$AB$3:$AB$1315,DataRegularSeason20242025!$B$3:$B$1315, "&lt;=" &amp; GU$1, DataRegularSeason20242025!$E$3:$E$1315, $A32)</f>
        <v>2</v>
      </c>
    </row>
    <row r="33" spans="1:275" x14ac:dyDescent="0.25">
      <c r="A33" t="s">
        <v>37</v>
      </c>
      <c r="B33" t="s">
        <v>90</v>
      </c>
      <c r="C33" s="108" t="s">
        <v>93</v>
      </c>
      <c r="D33">
        <f>SUMIFS(DataRegularSeason20242025!$AA$3:$AA$1315,DataRegularSeason20242025!$B$3:$B$1315, "&lt;=" &amp; D$1, DataRegularSeason20242025!$D$3:$D$1315, $A33)+SUMIFS(DataRegularSeason20242025!$AB$3:$AB$1315,DataRegularSeason20242025!$B$3:$B$1315, "&lt;=" &amp; D$1, DataRegularSeason20242025!$E$3:$E$1315, $A33)</f>
        <v>0</v>
      </c>
      <c r="E33">
        <f>SUMIFS(DataRegularSeason20242025!$AA$3:$AA$1315,DataRegularSeason20242025!$B$3:$B$1315, "&lt;=" &amp; E$1, DataRegularSeason20242025!$D$3:$D$1315, $A33)+SUMIFS(DataRegularSeason20242025!$AB$3:$AB$1315,DataRegularSeason20242025!$B$3:$B$1315, "&lt;=" &amp; E$1, DataRegularSeason20242025!$E$3:$E$1315, $A33)</f>
        <v>0</v>
      </c>
      <c r="F33">
        <f>SUMIFS(DataRegularSeason20242025!$AA$3:$AA$1315,DataRegularSeason20242025!$B$3:$B$1315, "&lt;=" &amp; F$1, DataRegularSeason20242025!$D$3:$D$1315, $A33)+SUMIFS(DataRegularSeason20242025!$AB$3:$AB$1315,DataRegularSeason20242025!$B$3:$B$1315, "&lt;=" &amp; F$1, DataRegularSeason20242025!$E$3:$E$1315, $A33)</f>
        <v>0</v>
      </c>
      <c r="G33">
        <f>SUMIFS(DataRegularSeason20242025!$AA$3:$AA$1315,DataRegularSeason20242025!$B$3:$B$1315, "&lt;=" &amp; G$1, DataRegularSeason20242025!$D$3:$D$1315, $A33)+SUMIFS(DataRegularSeason20242025!$AB$3:$AB$1315,DataRegularSeason20242025!$B$3:$B$1315, "&lt;=" &amp; G$1, DataRegularSeason20242025!$E$3:$E$1315, $A33)</f>
        <v>0</v>
      </c>
      <c r="H33">
        <f>SUMIFS(DataRegularSeason20242025!$AA$3:$AA$1315,DataRegularSeason20242025!$B$3:$B$1315, "&lt;=" &amp; H$1, DataRegularSeason20242025!$D$3:$D$1315, $A33)+SUMIFS(DataRegularSeason20242025!$AB$3:$AB$1315,DataRegularSeason20242025!$B$3:$B$1315, "&lt;=" &amp; H$1, DataRegularSeason20242025!$E$3:$E$1315, $A33)</f>
        <v>0</v>
      </c>
      <c r="I33">
        <f>SUMIFS(DataRegularSeason20242025!$AA$3:$AA$1315,DataRegularSeason20242025!$B$3:$B$1315, "&lt;=" &amp; I$1, DataRegularSeason20242025!$D$3:$D$1315, $A33)+SUMIFS(DataRegularSeason20242025!$AB$3:$AB$1315,DataRegularSeason20242025!$B$3:$B$1315, "&lt;=" &amp; I$1, DataRegularSeason20242025!$E$3:$E$1315, $A33)</f>
        <v>0</v>
      </c>
      <c r="J33">
        <f>SUMIFS(DataRegularSeason20242025!$AA$3:$AA$1315,DataRegularSeason20242025!$B$3:$B$1315, "&lt;=" &amp; J$1, DataRegularSeason20242025!$D$3:$D$1315, $A33)+SUMIFS(DataRegularSeason20242025!$AB$3:$AB$1315,DataRegularSeason20242025!$B$3:$B$1315, "&lt;=" &amp; J$1, DataRegularSeason20242025!$E$3:$E$1315, $A33)</f>
        <v>1</v>
      </c>
      <c r="K33">
        <f>SUMIFS(DataRegularSeason20242025!$AA$3:$AA$1315,DataRegularSeason20242025!$B$3:$B$1315, "&lt;=" &amp; K$1, DataRegularSeason20242025!$D$3:$D$1315, $A33)+SUMIFS(DataRegularSeason20242025!$AB$3:$AB$1315,DataRegularSeason20242025!$B$3:$B$1315, "&lt;=" &amp; K$1, DataRegularSeason20242025!$E$3:$E$1315, $A33)</f>
        <v>1</v>
      </c>
      <c r="L33">
        <f>SUMIFS(DataRegularSeason20242025!$AA$3:$AA$1315,DataRegularSeason20242025!$B$3:$B$1315, "&lt;=" &amp; L$1, DataRegularSeason20242025!$D$3:$D$1315, $A33)+SUMIFS(DataRegularSeason20242025!$AB$3:$AB$1315,DataRegularSeason20242025!$B$3:$B$1315, "&lt;=" &amp; L$1, DataRegularSeason20242025!$E$3:$E$1315, $A33)</f>
        <v>2</v>
      </c>
      <c r="M33">
        <f>SUMIFS(DataRegularSeason20242025!$AA$3:$AA$1315,DataRegularSeason20242025!$B$3:$B$1315, "&lt;=" &amp; M$1, DataRegularSeason20242025!$D$3:$D$1315, $A33)+SUMIFS(DataRegularSeason20242025!$AB$3:$AB$1315,DataRegularSeason20242025!$B$3:$B$1315, "&lt;=" &amp; M$1, DataRegularSeason20242025!$E$3:$E$1315, $A33)</f>
        <v>2</v>
      </c>
      <c r="N33">
        <f>SUMIFS(DataRegularSeason20242025!$AA$3:$AA$1315,DataRegularSeason20242025!$B$3:$B$1315, "&lt;=" &amp; N$1, DataRegularSeason20242025!$D$3:$D$1315, $A33)+SUMIFS(DataRegularSeason20242025!$AB$3:$AB$1315,DataRegularSeason20242025!$B$3:$B$1315, "&lt;=" &amp; N$1, DataRegularSeason20242025!$E$3:$E$1315, $A33)</f>
        <v>2</v>
      </c>
      <c r="O33">
        <f>SUMIFS(DataRegularSeason20242025!$AA$3:$AA$1315,DataRegularSeason20242025!$B$3:$B$1315, "&lt;=" &amp; O$1, DataRegularSeason20242025!$D$3:$D$1315, $A33)+SUMIFS(DataRegularSeason20242025!$AB$3:$AB$1315,DataRegularSeason20242025!$B$3:$B$1315, "&lt;=" &amp; O$1, DataRegularSeason20242025!$E$3:$E$1315, $A33)</f>
        <v>2</v>
      </c>
      <c r="P33">
        <f>SUMIFS(DataRegularSeason20242025!$AA$3:$AA$1315,DataRegularSeason20242025!$B$3:$B$1315, "&lt;=" &amp; P$1, DataRegularSeason20242025!$D$3:$D$1315, $A33)+SUMIFS(DataRegularSeason20242025!$AB$3:$AB$1315,DataRegularSeason20242025!$B$3:$B$1315, "&lt;=" &amp; P$1, DataRegularSeason20242025!$E$3:$E$1315, $A33)</f>
        <v>2</v>
      </c>
      <c r="Q33">
        <f>SUMIFS(DataRegularSeason20242025!$AA$3:$AA$1315,DataRegularSeason20242025!$B$3:$B$1315, "&lt;=" &amp; Q$1, DataRegularSeason20242025!$D$3:$D$1315, $A33)+SUMIFS(DataRegularSeason20242025!$AB$3:$AB$1315,DataRegularSeason20242025!$B$3:$B$1315, "&lt;=" &amp; Q$1, DataRegularSeason20242025!$E$3:$E$1315, $A33)</f>
        <v>2</v>
      </c>
      <c r="R33">
        <f>SUMIFS(DataRegularSeason20242025!$AA$3:$AA$1315,DataRegularSeason20242025!$B$3:$B$1315, "&lt;=" &amp; R$1, DataRegularSeason20242025!$D$3:$D$1315, $A33)+SUMIFS(DataRegularSeason20242025!$AB$3:$AB$1315,DataRegularSeason20242025!$B$3:$B$1315, "&lt;=" &amp; R$1, DataRegularSeason20242025!$E$3:$E$1315, $A33)</f>
        <v>2</v>
      </c>
      <c r="S33">
        <f>SUMIFS(DataRegularSeason20242025!$AA$3:$AA$1315,DataRegularSeason20242025!$B$3:$B$1315, "&lt;=" &amp; S$1, DataRegularSeason20242025!$D$3:$D$1315, $A33)+SUMIFS(DataRegularSeason20242025!$AB$3:$AB$1315,DataRegularSeason20242025!$B$3:$B$1315, "&lt;=" &amp; S$1, DataRegularSeason20242025!$E$3:$E$1315, $A33)</f>
        <v>2</v>
      </c>
      <c r="T33">
        <f>SUMIFS(DataRegularSeason20242025!$AA$3:$AA$1315,DataRegularSeason20242025!$B$3:$B$1315, "&lt;=" &amp; T$1, DataRegularSeason20242025!$D$3:$D$1315, $A33)+SUMIFS(DataRegularSeason20242025!$AB$3:$AB$1315,DataRegularSeason20242025!$B$3:$B$1315, "&lt;=" &amp; T$1, DataRegularSeason20242025!$E$3:$E$1315, $A33)</f>
        <v>2</v>
      </c>
      <c r="U33">
        <f>SUMIFS(DataRegularSeason20242025!$AA$3:$AA$1315,DataRegularSeason20242025!$B$3:$B$1315, "&lt;=" &amp; U$1, DataRegularSeason20242025!$D$3:$D$1315, $A33)+SUMIFS(DataRegularSeason20242025!$AB$3:$AB$1315,DataRegularSeason20242025!$B$3:$B$1315, "&lt;=" &amp; U$1, DataRegularSeason20242025!$E$3:$E$1315, $A33)</f>
        <v>2</v>
      </c>
      <c r="V33">
        <f>SUMIFS(DataRegularSeason20242025!$AA$3:$AA$1315,DataRegularSeason20242025!$B$3:$B$1315, "&lt;=" &amp; V$1, DataRegularSeason20242025!$D$3:$D$1315, $A33)+SUMIFS(DataRegularSeason20242025!$AB$3:$AB$1315,DataRegularSeason20242025!$B$3:$B$1315, "&lt;=" &amp; V$1, DataRegularSeason20242025!$E$3:$E$1315, $A33)</f>
        <v>2</v>
      </c>
      <c r="W33">
        <f>SUMIFS(DataRegularSeason20242025!$AA$3:$AA$1315,DataRegularSeason20242025!$B$3:$B$1315, "&lt;=" &amp; W$1, DataRegularSeason20242025!$D$3:$D$1315, $A33)+SUMIFS(DataRegularSeason20242025!$AB$3:$AB$1315,DataRegularSeason20242025!$B$3:$B$1315, "&lt;=" &amp; W$1, DataRegularSeason20242025!$E$3:$E$1315, $A33)</f>
        <v>2</v>
      </c>
      <c r="X33">
        <f>SUMIFS(DataRegularSeason20242025!$AA$3:$AA$1315,DataRegularSeason20242025!$B$3:$B$1315, "&lt;=" &amp; X$1, DataRegularSeason20242025!$D$3:$D$1315, $A33)+SUMIFS(DataRegularSeason20242025!$AB$3:$AB$1315,DataRegularSeason20242025!$B$3:$B$1315, "&lt;=" &amp; X$1, DataRegularSeason20242025!$E$3:$E$1315, $A33)</f>
        <v>2</v>
      </c>
      <c r="Y33">
        <f>SUMIFS(DataRegularSeason20242025!$AA$3:$AA$1315,DataRegularSeason20242025!$B$3:$B$1315, "&lt;=" &amp; Y$1, DataRegularSeason20242025!$D$3:$D$1315, $A33)+SUMIFS(DataRegularSeason20242025!$AB$3:$AB$1315,DataRegularSeason20242025!$B$3:$B$1315, "&lt;=" &amp; Y$1, DataRegularSeason20242025!$E$3:$E$1315, $A33)</f>
        <v>2</v>
      </c>
      <c r="Z33">
        <f>SUMIFS(DataRegularSeason20242025!$AA$3:$AA$1315,DataRegularSeason20242025!$B$3:$B$1315, "&lt;=" &amp; Z$1, DataRegularSeason20242025!$D$3:$D$1315, $A33)+SUMIFS(DataRegularSeason20242025!$AB$3:$AB$1315,DataRegularSeason20242025!$B$3:$B$1315, "&lt;=" &amp; Z$1, DataRegularSeason20242025!$E$3:$E$1315, $A33)</f>
        <v>2</v>
      </c>
      <c r="AA33">
        <f>SUMIFS(DataRegularSeason20242025!$AA$3:$AA$1315,DataRegularSeason20242025!$B$3:$B$1315, "&lt;=" &amp; AA$1, DataRegularSeason20242025!$D$3:$D$1315, $A33)+SUMIFS(DataRegularSeason20242025!$AB$3:$AB$1315,DataRegularSeason20242025!$B$3:$B$1315, "&lt;=" &amp; AA$1, DataRegularSeason20242025!$E$3:$E$1315, $A33)</f>
        <v>2</v>
      </c>
      <c r="AB33">
        <f>SUMIFS(DataRegularSeason20242025!$AA$3:$AA$1315,DataRegularSeason20242025!$B$3:$B$1315, "&lt;=" &amp; AB$1, DataRegularSeason20242025!$D$3:$D$1315, $A33)+SUMIFS(DataRegularSeason20242025!$AB$3:$AB$1315,DataRegularSeason20242025!$B$3:$B$1315, "&lt;=" &amp; AB$1, DataRegularSeason20242025!$E$3:$E$1315, $A33)</f>
        <v>2</v>
      </c>
      <c r="AC33">
        <f>SUMIFS(DataRegularSeason20242025!$AA$3:$AA$1315,DataRegularSeason20242025!$B$3:$B$1315, "&lt;=" &amp; AC$1, DataRegularSeason20242025!$D$3:$D$1315, $A33)+SUMIFS(DataRegularSeason20242025!$AB$3:$AB$1315,DataRegularSeason20242025!$B$3:$B$1315, "&lt;=" &amp; AC$1, DataRegularSeason20242025!$E$3:$E$1315, $A33)</f>
        <v>2</v>
      </c>
      <c r="AD33">
        <f>SUMIFS(DataRegularSeason20242025!$AA$3:$AA$1315,DataRegularSeason20242025!$B$3:$B$1315, "&lt;=" &amp; AD$1, DataRegularSeason20242025!$D$3:$D$1315, $A33)+SUMIFS(DataRegularSeason20242025!$AB$3:$AB$1315,DataRegularSeason20242025!$B$3:$B$1315, "&lt;=" &amp; AD$1, DataRegularSeason20242025!$E$3:$E$1315, $A33)</f>
        <v>2</v>
      </c>
      <c r="AE33">
        <f>SUMIFS(DataRegularSeason20242025!$AA$3:$AA$1315,DataRegularSeason20242025!$B$3:$B$1315, "&lt;=" &amp; AE$1, DataRegularSeason20242025!$D$3:$D$1315, $A33)+SUMIFS(DataRegularSeason20242025!$AB$3:$AB$1315,DataRegularSeason20242025!$B$3:$B$1315, "&lt;=" &amp; AE$1, DataRegularSeason20242025!$E$3:$E$1315, $A33)</f>
        <v>2</v>
      </c>
      <c r="AF33">
        <f>SUMIFS(DataRegularSeason20242025!$AA$3:$AA$1315,DataRegularSeason20242025!$B$3:$B$1315, "&lt;=" &amp; AF$1, DataRegularSeason20242025!$D$3:$D$1315, $A33)+SUMIFS(DataRegularSeason20242025!$AB$3:$AB$1315,DataRegularSeason20242025!$B$3:$B$1315, "&lt;=" &amp; AF$1, DataRegularSeason20242025!$E$3:$E$1315, $A33)</f>
        <v>2</v>
      </c>
      <c r="AG33">
        <f>SUMIFS(DataRegularSeason20242025!$AA$3:$AA$1315,DataRegularSeason20242025!$B$3:$B$1315, "&lt;=" &amp; AG$1, DataRegularSeason20242025!$D$3:$D$1315, $A33)+SUMIFS(DataRegularSeason20242025!$AB$3:$AB$1315,DataRegularSeason20242025!$B$3:$B$1315, "&lt;=" &amp; AG$1, DataRegularSeason20242025!$E$3:$E$1315, $A33)</f>
        <v>2</v>
      </c>
      <c r="AH33">
        <f>SUMIFS(DataRegularSeason20242025!$AA$3:$AA$1315,DataRegularSeason20242025!$B$3:$B$1315, "&lt;=" &amp; AH$1, DataRegularSeason20242025!$D$3:$D$1315, $A33)+SUMIFS(DataRegularSeason20242025!$AB$3:$AB$1315,DataRegularSeason20242025!$B$3:$B$1315, "&lt;=" &amp; AH$1, DataRegularSeason20242025!$E$3:$E$1315, $A33)</f>
        <v>2</v>
      </c>
      <c r="AI33">
        <f>SUMIFS(DataRegularSeason20242025!$AA$3:$AA$1315,DataRegularSeason20242025!$B$3:$B$1315, "&lt;=" &amp; AI$1, DataRegularSeason20242025!$D$3:$D$1315, $A33)+SUMIFS(DataRegularSeason20242025!$AB$3:$AB$1315,DataRegularSeason20242025!$B$3:$B$1315, "&lt;=" &amp; AI$1, DataRegularSeason20242025!$E$3:$E$1315, $A33)</f>
        <v>2</v>
      </c>
      <c r="AJ33">
        <f>SUMIFS(DataRegularSeason20242025!$AA$3:$AA$1315,DataRegularSeason20242025!$B$3:$B$1315, "&lt;=" &amp; AJ$1, DataRegularSeason20242025!$D$3:$D$1315, $A33)+SUMIFS(DataRegularSeason20242025!$AB$3:$AB$1315,DataRegularSeason20242025!$B$3:$B$1315, "&lt;=" &amp; AJ$1, DataRegularSeason20242025!$E$3:$E$1315, $A33)</f>
        <v>2</v>
      </c>
      <c r="AK33">
        <f>SUMIFS(DataRegularSeason20242025!$AA$3:$AA$1315,DataRegularSeason20242025!$B$3:$B$1315, "&lt;=" &amp; AK$1, DataRegularSeason20242025!$D$3:$D$1315, $A33)+SUMIFS(DataRegularSeason20242025!$AB$3:$AB$1315,DataRegularSeason20242025!$B$3:$B$1315, "&lt;=" &amp; AK$1, DataRegularSeason20242025!$E$3:$E$1315, $A33)</f>
        <v>2</v>
      </c>
      <c r="AL33">
        <f>SUMIFS(DataRegularSeason20242025!$AA$3:$AA$1315,DataRegularSeason20242025!$B$3:$B$1315, "&lt;=" &amp; AL$1, DataRegularSeason20242025!$D$3:$D$1315, $A33)+SUMIFS(DataRegularSeason20242025!$AB$3:$AB$1315,DataRegularSeason20242025!$B$3:$B$1315, "&lt;=" &amp; AL$1, DataRegularSeason20242025!$E$3:$E$1315, $A33)</f>
        <v>2</v>
      </c>
      <c r="AM33">
        <f>SUMIFS(DataRegularSeason20242025!$AA$3:$AA$1315,DataRegularSeason20242025!$B$3:$B$1315, "&lt;=" &amp; AM$1, DataRegularSeason20242025!$D$3:$D$1315, $A33)+SUMIFS(DataRegularSeason20242025!$AB$3:$AB$1315,DataRegularSeason20242025!$B$3:$B$1315, "&lt;=" &amp; AM$1, DataRegularSeason20242025!$E$3:$E$1315, $A33)</f>
        <v>2</v>
      </c>
      <c r="AN33">
        <f>SUMIFS(DataRegularSeason20242025!$AA$3:$AA$1315,DataRegularSeason20242025!$B$3:$B$1315, "&lt;=" &amp; AN$1, DataRegularSeason20242025!$D$3:$D$1315, $A33)+SUMIFS(DataRegularSeason20242025!$AB$3:$AB$1315,DataRegularSeason20242025!$B$3:$B$1315, "&lt;=" &amp; AN$1, DataRegularSeason20242025!$E$3:$E$1315, $A33)</f>
        <v>2</v>
      </c>
      <c r="AO33">
        <f>SUMIFS(DataRegularSeason20242025!$AA$3:$AA$1315,DataRegularSeason20242025!$B$3:$B$1315, "&lt;=" &amp; AO$1, DataRegularSeason20242025!$D$3:$D$1315, $A33)+SUMIFS(DataRegularSeason20242025!$AB$3:$AB$1315,DataRegularSeason20242025!$B$3:$B$1315, "&lt;=" &amp; AO$1, DataRegularSeason20242025!$E$3:$E$1315, $A33)</f>
        <v>2</v>
      </c>
      <c r="AP33">
        <f>SUMIFS(DataRegularSeason20242025!$AA$3:$AA$1315,DataRegularSeason20242025!$B$3:$B$1315, "&lt;=" &amp; AP$1, DataRegularSeason20242025!$D$3:$D$1315, $A33)+SUMIFS(DataRegularSeason20242025!$AB$3:$AB$1315,DataRegularSeason20242025!$B$3:$B$1315, "&lt;=" &amp; AP$1, DataRegularSeason20242025!$E$3:$E$1315, $A33)</f>
        <v>2</v>
      </c>
      <c r="AQ33">
        <f>SUMIFS(DataRegularSeason20242025!$AA$3:$AA$1315,DataRegularSeason20242025!$B$3:$B$1315, "&lt;=" &amp; AQ$1, DataRegularSeason20242025!$D$3:$D$1315, $A33)+SUMIFS(DataRegularSeason20242025!$AB$3:$AB$1315,DataRegularSeason20242025!$B$3:$B$1315, "&lt;=" &amp; AQ$1, DataRegularSeason20242025!$E$3:$E$1315, $A33)</f>
        <v>2</v>
      </c>
      <c r="AR33">
        <f>SUMIFS(DataRegularSeason20242025!$AA$3:$AA$1315,DataRegularSeason20242025!$B$3:$B$1315, "&lt;=" &amp; AR$1, DataRegularSeason20242025!$D$3:$D$1315, $A33)+SUMIFS(DataRegularSeason20242025!$AB$3:$AB$1315,DataRegularSeason20242025!$B$3:$B$1315, "&lt;=" &amp; AR$1, DataRegularSeason20242025!$E$3:$E$1315, $A33)</f>
        <v>2</v>
      </c>
      <c r="AS33">
        <f>SUMIFS(DataRegularSeason20242025!$AA$3:$AA$1315,DataRegularSeason20242025!$B$3:$B$1315, "&lt;=" &amp; AS$1, DataRegularSeason20242025!$D$3:$D$1315, $A33)+SUMIFS(DataRegularSeason20242025!$AB$3:$AB$1315,DataRegularSeason20242025!$B$3:$B$1315, "&lt;=" &amp; AS$1, DataRegularSeason20242025!$E$3:$E$1315, $A33)</f>
        <v>2</v>
      </c>
      <c r="AT33">
        <f>SUMIFS(DataRegularSeason20242025!$AA$3:$AA$1315,DataRegularSeason20242025!$B$3:$B$1315, "&lt;=" &amp; AT$1, DataRegularSeason20242025!$D$3:$D$1315, $A33)+SUMIFS(DataRegularSeason20242025!$AB$3:$AB$1315,DataRegularSeason20242025!$B$3:$B$1315, "&lt;=" &amp; AT$1, DataRegularSeason20242025!$E$3:$E$1315, $A33)</f>
        <v>2</v>
      </c>
      <c r="AU33">
        <f>SUMIFS(DataRegularSeason20242025!$AA$3:$AA$1315,DataRegularSeason20242025!$B$3:$B$1315, "&lt;=" &amp; AU$1, DataRegularSeason20242025!$D$3:$D$1315, $A33)+SUMIFS(DataRegularSeason20242025!$AB$3:$AB$1315,DataRegularSeason20242025!$B$3:$B$1315, "&lt;=" &amp; AU$1, DataRegularSeason20242025!$E$3:$E$1315, $A33)</f>
        <v>2</v>
      </c>
      <c r="AV33">
        <f>SUMIFS(DataRegularSeason20242025!$AA$3:$AA$1315,DataRegularSeason20242025!$B$3:$B$1315, "&lt;=" &amp; AV$1, DataRegularSeason20242025!$D$3:$D$1315, $A33)+SUMIFS(DataRegularSeason20242025!$AB$3:$AB$1315,DataRegularSeason20242025!$B$3:$B$1315, "&lt;=" &amp; AV$1, DataRegularSeason20242025!$E$3:$E$1315, $A33)</f>
        <v>2</v>
      </c>
      <c r="AW33">
        <f>SUMIFS(DataRegularSeason20242025!$AA$3:$AA$1315,DataRegularSeason20242025!$B$3:$B$1315, "&lt;=" &amp; AW$1, DataRegularSeason20242025!$D$3:$D$1315, $A33)+SUMIFS(DataRegularSeason20242025!$AB$3:$AB$1315,DataRegularSeason20242025!$B$3:$B$1315, "&lt;=" &amp; AW$1, DataRegularSeason20242025!$E$3:$E$1315, $A33)</f>
        <v>2</v>
      </c>
      <c r="AX33">
        <f>SUMIFS(DataRegularSeason20242025!$AA$3:$AA$1315,DataRegularSeason20242025!$B$3:$B$1315, "&lt;=" &amp; AX$1, DataRegularSeason20242025!$D$3:$D$1315, $A33)+SUMIFS(DataRegularSeason20242025!$AB$3:$AB$1315,DataRegularSeason20242025!$B$3:$B$1315, "&lt;=" &amp; AX$1, DataRegularSeason20242025!$E$3:$E$1315, $A33)</f>
        <v>2</v>
      </c>
      <c r="AY33">
        <f>SUMIFS(DataRegularSeason20242025!$AA$3:$AA$1315,DataRegularSeason20242025!$B$3:$B$1315, "&lt;=" &amp; AY$1, DataRegularSeason20242025!$D$3:$D$1315, $A33)+SUMIFS(DataRegularSeason20242025!$AB$3:$AB$1315,DataRegularSeason20242025!$B$3:$B$1315, "&lt;=" &amp; AY$1, DataRegularSeason20242025!$E$3:$E$1315, $A33)</f>
        <v>2</v>
      </c>
      <c r="AZ33">
        <f>SUMIFS(DataRegularSeason20242025!$AA$3:$AA$1315,DataRegularSeason20242025!$B$3:$B$1315, "&lt;=" &amp; AZ$1, DataRegularSeason20242025!$D$3:$D$1315, $A33)+SUMIFS(DataRegularSeason20242025!$AB$3:$AB$1315,DataRegularSeason20242025!$B$3:$B$1315, "&lt;=" &amp; AZ$1, DataRegularSeason20242025!$E$3:$E$1315, $A33)</f>
        <v>2</v>
      </c>
      <c r="BA33">
        <f>SUMIFS(DataRegularSeason20242025!$AA$3:$AA$1315,DataRegularSeason20242025!$B$3:$B$1315, "&lt;=" &amp; BA$1, DataRegularSeason20242025!$D$3:$D$1315, $A33)+SUMIFS(DataRegularSeason20242025!$AB$3:$AB$1315,DataRegularSeason20242025!$B$3:$B$1315, "&lt;=" &amp; BA$1, DataRegularSeason20242025!$E$3:$E$1315, $A33)</f>
        <v>2</v>
      </c>
      <c r="BB33">
        <f>SUMIFS(DataRegularSeason20242025!$AA$3:$AA$1315,DataRegularSeason20242025!$B$3:$B$1315, "&lt;=" &amp; BB$1, DataRegularSeason20242025!$D$3:$D$1315, $A33)+SUMIFS(DataRegularSeason20242025!$AB$3:$AB$1315,DataRegularSeason20242025!$B$3:$B$1315, "&lt;=" &amp; BB$1, DataRegularSeason20242025!$E$3:$E$1315, $A33)</f>
        <v>2</v>
      </c>
      <c r="BC33">
        <f>SUMIFS(DataRegularSeason20242025!$AA$3:$AA$1315,DataRegularSeason20242025!$B$3:$B$1315, "&lt;=" &amp; BC$1, DataRegularSeason20242025!$D$3:$D$1315, $A33)+SUMIFS(DataRegularSeason20242025!$AB$3:$AB$1315,DataRegularSeason20242025!$B$3:$B$1315, "&lt;=" &amp; BC$1, DataRegularSeason20242025!$E$3:$E$1315, $A33)</f>
        <v>2</v>
      </c>
      <c r="BD33">
        <f>SUMIFS(DataRegularSeason20242025!$AA$3:$AA$1315,DataRegularSeason20242025!$B$3:$B$1315, "&lt;=" &amp; BD$1, DataRegularSeason20242025!$D$3:$D$1315, $A33)+SUMIFS(DataRegularSeason20242025!$AB$3:$AB$1315,DataRegularSeason20242025!$B$3:$B$1315, "&lt;=" &amp; BD$1, DataRegularSeason20242025!$E$3:$E$1315, $A33)</f>
        <v>2</v>
      </c>
      <c r="BE33">
        <f>SUMIFS(DataRegularSeason20242025!$AA$3:$AA$1315,DataRegularSeason20242025!$B$3:$B$1315, "&lt;=" &amp; BE$1, DataRegularSeason20242025!$D$3:$D$1315, $A33)+SUMIFS(DataRegularSeason20242025!$AB$3:$AB$1315,DataRegularSeason20242025!$B$3:$B$1315, "&lt;=" &amp; BE$1, DataRegularSeason20242025!$E$3:$E$1315, $A33)</f>
        <v>2</v>
      </c>
      <c r="BF33">
        <f>SUMIFS(DataRegularSeason20242025!$AA$3:$AA$1315,DataRegularSeason20242025!$B$3:$B$1315, "&lt;=" &amp; BF$1, DataRegularSeason20242025!$D$3:$D$1315, $A33)+SUMIFS(DataRegularSeason20242025!$AB$3:$AB$1315,DataRegularSeason20242025!$B$3:$B$1315, "&lt;=" &amp; BF$1, DataRegularSeason20242025!$E$3:$E$1315, $A33)</f>
        <v>2</v>
      </c>
      <c r="BG33">
        <f>SUMIFS(DataRegularSeason20242025!$AA$3:$AA$1315,DataRegularSeason20242025!$B$3:$B$1315, "&lt;=" &amp; BG$1, DataRegularSeason20242025!$D$3:$D$1315, $A33)+SUMIFS(DataRegularSeason20242025!$AB$3:$AB$1315,DataRegularSeason20242025!$B$3:$B$1315, "&lt;=" &amp; BG$1, DataRegularSeason20242025!$E$3:$E$1315, $A33)</f>
        <v>2</v>
      </c>
      <c r="BH33">
        <f>SUMIFS(DataRegularSeason20242025!$AA$3:$AA$1315,DataRegularSeason20242025!$B$3:$B$1315, "&lt;=" &amp; BH$1, DataRegularSeason20242025!$D$3:$D$1315, $A33)+SUMIFS(DataRegularSeason20242025!$AB$3:$AB$1315,DataRegularSeason20242025!$B$3:$B$1315, "&lt;=" &amp; BH$1, DataRegularSeason20242025!$E$3:$E$1315, $A33)</f>
        <v>2</v>
      </c>
      <c r="BI33">
        <f>SUMIFS(DataRegularSeason20242025!$AA$3:$AA$1315,DataRegularSeason20242025!$B$3:$B$1315, "&lt;=" &amp; BI$1, DataRegularSeason20242025!$D$3:$D$1315, $A33)+SUMIFS(DataRegularSeason20242025!$AB$3:$AB$1315,DataRegularSeason20242025!$B$3:$B$1315, "&lt;=" &amp; BI$1, DataRegularSeason20242025!$E$3:$E$1315, $A33)</f>
        <v>2</v>
      </c>
      <c r="BJ33">
        <f>SUMIFS(DataRegularSeason20242025!$AA$3:$AA$1315,DataRegularSeason20242025!$B$3:$B$1315, "&lt;=" &amp; BJ$1, DataRegularSeason20242025!$D$3:$D$1315, $A33)+SUMIFS(DataRegularSeason20242025!$AB$3:$AB$1315,DataRegularSeason20242025!$B$3:$B$1315, "&lt;=" &amp; BJ$1, DataRegularSeason20242025!$E$3:$E$1315, $A33)</f>
        <v>2</v>
      </c>
      <c r="BK33">
        <f>SUMIFS(DataRegularSeason20242025!$AA$3:$AA$1315,DataRegularSeason20242025!$B$3:$B$1315, "&lt;=" &amp; BK$1, DataRegularSeason20242025!$D$3:$D$1315, $A33)+SUMIFS(DataRegularSeason20242025!$AB$3:$AB$1315,DataRegularSeason20242025!$B$3:$B$1315, "&lt;=" &amp; BK$1, DataRegularSeason20242025!$E$3:$E$1315, $A33)</f>
        <v>2</v>
      </c>
      <c r="BL33">
        <f>SUMIFS(DataRegularSeason20242025!$AA$3:$AA$1315,DataRegularSeason20242025!$B$3:$B$1315, "&lt;=" &amp; BL$1, DataRegularSeason20242025!$D$3:$D$1315, $A33)+SUMIFS(DataRegularSeason20242025!$AB$3:$AB$1315,DataRegularSeason20242025!$B$3:$B$1315, "&lt;=" &amp; BL$1, DataRegularSeason20242025!$E$3:$E$1315, $A33)</f>
        <v>2</v>
      </c>
      <c r="BM33">
        <f>SUMIFS(DataRegularSeason20242025!$AA$3:$AA$1315,DataRegularSeason20242025!$B$3:$B$1315, "&lt;=" &amp; BM$1, DataRegularSeason20242025!$D$3:$D$1315, $A33)+SUMIFS(DataRegularSeason20242025!$AB$3:$AB$1315,DataRegularSeason20242025!$B$3:$B$1315, "&lt;=" &amp; BM$1, DataRegularSeason20242025!$E$3:$E$1315, $A33)</f>
        <v>2</v>
      </c>
      <c r="BN33">
        <f>SUMIFS(DataRegularSeason20242025!$AA$3:$AA$1315,DataRegularSeason20242025!$B$3:$B$1315, "&lt;=" &amp; BN$1, DataRegularSeason20242025!$D$3:$D$1315, $A33)+SUMIFS(DataRegularSeason20242025!$AB$3:$AB$1315,DataRegularSeason20242025!$B$3:$B$1315, "&lt;=" &amp; BN$1, DataRegularSeason20242025!$E$3:$E$1315, $A33)</f>
        <v>2</v>
      </c>
      <c r="BO33">
        <f>SUMIFS(DataRegularSeason20242025!$AA$3:$AA$1315,DataRegularSeason20242025!$B$3:$B$1315, "&lt;=" &amp; BO$1, DataRegularSeason20242025!$D$3:$D$1315, $A33)+SUMIFS(DataRegularSeason20242025!$AB$3:$AB$1315,DataRegularSeason20242025!$B$3:$B$1315, "&lt;=" &amp; BO$1, DataRegularSeason20242025!$E$3:$E$1315, $A33)</f>
        <v>2</v>
      </c>
      <c r="BP33">
        <f>SUMIFS(DataRegularSeason20242025!$AA$3:$AA$1315,DataRegularSeason20242025!$B$3:$B$1315, "&lt;=" &amp; BP$1, DataRegularSeason20242025!$D$3:$D$1315, $A33)+SUMIFS(DataRegularSeason20242025!$AB$3:$AB$1315,DataRegularSeason20242025!$B$3:$B$1315, "&lt;=" &amp; BP$1, DataRegularSeason20242025!$E$3:$E$1315, $A33)</f>
        <v>2</v>
      </c>
      <c r="BQ33">
        <f>SUMIFS(DataRegularSeason20242025!$AA$3:$AA$1315,DataRegularSeason20242025!$B$3:$B$1315, "&lt;=" &amp; BQ$1, DataRegularSeason20242025!$D$3:$D$1315, $A33)+SUMIFS(DataRegularSeason20242025!$AB$3:$AB$1315,DataRegularSeason20242025!$B$3:$B$1315, "&lt;=" &amp; BQ$1, DataRegularSeason20242025!$E$3:$E$1315, $A33)</f>
        <v>2</v>
      </c>
      <c r="BR33">
        <f>SUMIFS(DataRegularSeason20242025!$AA$3:$AA$1315,DataRegularSeason20242025!$B$3:$B$1315, "&lt;=" &amp; BR$1, DataRegularSeason20242025!$D$3:$D$1315, $A33)+SUMIFS(DataRegularSeason20242025!$AB$3:$AB$1315,DataRegularSeason20242025!$B$3:$B$1315, "&lt;=" &amp; BR$1, DataRegularSeason20242025!$E$3:$E$1315, $A33)</f>
        <v>2</v>
      </c>
      <c r="BS33">
        <f>SUMIFS(DataRegularSeason20242025!$AA$3:$AA$1315,DataRegularSeason20242025!$B$3:$B$1315, "&lt;=" &amp; BS$1, DataRegularSeason20242025!$D$3:$D$1315, $A33)+SUMIFS(DataRegularSeason20242025!$AB$3:$AB$1315,DataRegularSeason20242025!$B$3:$B$1315, "&lt;=" &amp; BS$1, DataRegularSeason20242025!$E$3:$E$1315, $A33)</f>
        <v>2</v>
      </c>
      <c r="BT33">
        <f>SUMIFS(DataRegularSeason20242025!$AA$3:$AA$1315,DataRegularSeason20242025!$B$3:$B$1315, "&lt;=" &amp; BT$1, DataRegularSeason20242025!$D$3:$D$1315, $A33)+SUMIFS(DataRegularSeason20242025!$AB$3:$AB$1315,DataRegularSeason20242025!$B$3:$B$1315, "&lt;=" &amp; BT$1, DataRegularSeason20242025!$E$3:$E$1315, $A33)</f>
        <v>2</v>
      </c>
      <c r="BU33">
        <f>SUMIFS(DataRegularSeason20242025!$AA$3:$AA$1315,DataRegularSeason20242025!$B$3:$B$1315, "&lt;=" &amp; BU$1, DataRegularSeason20242025!$D$3:$D$1315, $A33)+SUMIFS(DataRegularSeason20242025!$AB$3:$AB$1315,DataRegularSeason20242025!$B$3:$B$1315, "&lt;=" &amp; BU$1, DataRegularSeason20242025!$E$3:$E$1315, $A33)</f>
        <v>2</v>
      </c>
      <c r="BV33">
        <f>SUMIFS(DataRegularSeason20242025!$AA$3:$AA$1315,DataRegularSeason20242025!$B$3:$B$1315, "&lt;=" &amp; BV$1, DataRegularSeason20242025!$D$3:$D$1315, $A33)+SUMIFS(DataRegularSeason20242025!$AB$3:$AB$1315,DataRegularSeason20242025!$B$3:$B$1315, "&lt;=" &amp; BV$1, DataRegularSeason20242025!$E$3:$E$1315, $A33)</f>
        <v>2</v>
      </c>
      <c r="BW33">
        <f>SUMIFS(DataRegularSeason20242025!$AA$3:$AA$1315,DataRegularSeason20242025!$B$3:$B$1315, "&lt;=" &amp; BW$1, DataRegularSeason20242025!$D$3:$D$1315, $A33)+SUMIFS(DataRegularSeason20242025!$AB$3:$AB$1315,DataRegularSeason20242025!$B$3:$B$1315, "&lt;=" &amp; BW$1, DataRegularSeason20242025!$E$3:$E$1315, $A33)</f>
        <v>2</v>
      </c>
      <c r="BX33">
        <f>SUMIFS(DataRegularSeason20242025!$AA$3:$AA$1315,DataRegularSeason20242025!$B$3:$B$1315, "&lt;=" &amp; BX$1, DataRegularSeason20242025!$D$3:$D$1315, $A33)+SUMIFS(DataRegularSeason20242025!$AB$3:$AB$1315,DataRegularSeason20242025!$B$3:$B$1315, "&lt;=" &amp; BX$1, DataRegularSeason20242025!$E$3:$E$1315, $A33)</f>
        <v>2</v>
      </c>
      <c r="BY33">
        <f>SUMIFS(DataRegularSeason20242025!$AA$3:$AA$1315,DataRegularSeason20242025!$B$3:$B$1315, "&lt;=" &amp; BY$1, DataRegularSeason20242025!$D$3:$D$1315, $A33)+SUMIFS(DataRegularSeason20242025!$AB$3:$AB$1315,DataRegularSeason20242025!$B$3:$B$1315, "&lt;=" &amp; BY$1, DataRegularSeason20242025!$E$3:$E$1315, $A33)</f>
        <v>2</v>
      </c>
      <c r="BZ33">
        <f>SUMIFS(DataRegularSeason20242025!$AA$3:$AA$1315,DataRegularSeason20242025!$B$3:$B$1315, "&lt;=" &amp; BZ$1, DataRegularSeason20242025!$D$3:$D$1315, $A33)+SUMIFS(DataRegularSeason20242025!$AB$3:$AB$1315,DataRegularSeason20242025!$B$3:$B$1315, "&lt;=" &amp; BZ$1, DataRegularSeason20242025!$E$3:$E$1315, $A33)</f>
        <v>2</v>
      </c>
      <c r="CA33">
        <f>SUMIFS(DataRegularSeason20242025!$AA$3:$AA$1315,DataRegularSeason20242025!$B$3:$B$1315, "&lt;=" &amp; CA$1, DataRegularSeason20242025!$D$3:$D$1315, $A33)+SUMIFS(DataRegularSeason20242025!$AB$3:$AB$1315,DataRegularSeason20242025!$B$3:$B$1315, "&lt;=" &amp; CA$1, DataRegularSeason20242025!$E$3:$E$1315, $A33)</f>
        <v>2</v>
      </c>
      <c r="CB33">
        <f>SUMIFS(DataRegularSeason20242025!$AA$3:$AA$1315,DataRegularSeason20242025!$B$3:$B$1315, "&lt;=" &amp; CB$1, DataRegularSeason20242025!$D$3:$D$1315, $A33)+SUMIFS(DataRegularSeason20242025!$AB$3:$AB$1315,DataRegularSeason20242025!$B$3:$B$1315, "&lt;=" &amp; CB$1, DataRegularSeason20242025!$E$3:$E$1315, $A33)</f>
        <v>2</v>
      </c>
      <c r="CC33">
        <f>SUMIFS(DataRegularSeason20242025!$AA$3:$AA$1315,DataRegularSeason20242025!$B$3:$B$1315, "&lt;=" &amp; CC$1, DataRegularSeason20242025!$D$3:$D$1315, $A33)+SUMIFS(DataRegularSeason20242025!$AB$3:$AB$1315,DataRegularSeason20242025!$B$3:$B$1315, "&lt;=" &amp; CC$1, DataRegularSeason20242025!$E$3:$E$1315, $A33)</f>
        <v>2</v>
      </c>
      <c r="CD33">
        <f>SUMIFS(DataRegularSeason20242025!$AA$3:$AA$1315,DataRegularSeason20242025!$B$3:$B$1315, "&lt;=" &amp; CD$1, DataRegularSeason20242025!$D$3:$D$1315, $A33)+SUMIFS(DataRegularSeason20242025!$AB$3:$AB$1315,DataRegularSeason20242025!$B$3:$B$1315, "&lt;=" &amp; CD$1, DataRegularSeason20242025!$E$3:$E$1315, $A33)</f>
        <v>2</v>
      </c>
      <c r="CE33">
        <f>SUMIFS(DataRegularSeason20242025!$AA$3:$AA$1315,DataRegularSeason20242025!$B$3:$B$1315, "&lt;=" &amp; CE$1, DataRegularSeason20242025!$D$3:$D$1315, $A33)+SUMIFS(DataRegularSeason20242025!$AB$3:$AB$1315,DataRegularSeason20242025!$B$3:$B$1315, "&lt;=" &amp; CE$1, DataRegularSeason20242025!$E$3:$E$1315, $A33)</f>
        <v>2</v>
      </c>
      <c r="CF33">
        <f>SUMIFS(DataRegularSeason20242025!$AA$3:$AA$1315,DataRegularSeason20242025!$B$3:$B$1315, "&lt;=" &amp; CF$1, DataRegularSeason20242025!$D$3:$D$1315, $A33)+SUMIFS(DataRegularSeason20242025!$AB$3:$AB$1315,DataRegularSeason20242025!$B$3:$B$1315, "&lt;=" &amp; CF$1, DataRegularSeason20242025!$E$3:$E$1315, $A33)</f>
        <v>2</v>
      </c>
      <c r="CG33">
        <f>SUMIFS(DataRegularSeason20242025!$AA$3:$AA$1315,DataRegularSeason20242025!$B$3:$B$1315, "&lt;=" &amp; CG$1, DataRegularSeason20242025!$D$3:$D$1315, $A33)+SUMIFS(DataRegularSeason20242025!$AB$3:$AB$1315,DataRegularSeason20242025!$B$3:$B$1315, "&lt;=" &amp; CG$1, DataRegularSeason20242025!$E$3:$E$1315, $A33)</f>
        <v>2</v>
      </c>
      <c r="CH33">
        <f>SUMIFS(DataRegularSeason20242025!$AA$3:$AA$1315,DataRegularSeason20242025!$B$3:$B$1315, "&lt;=" &amp; CH$1, DataRegularSeason20242025!$D$3:$D$1315, $A33)+SUMIFS(DataRegularSeason20242025!$AB$3:$AB$1315,DataRegularSeason20242025!$B$3:$B$1315, "&lt;=" &amp; CH$1, DataRegularSeason20242025!$E$3:$E$1315, $A33)</f>
        <v>2</v>
      </c>
      <c r="CI33">
        <f>SUMIFS(DataRegularSeason20242025!$AA$3:$AA$1315,DataRegularSeason20242025!$B$3:$B$1315, "&lt;=" &amp; CI$1, DataRegularSeason20242025!$D$3:$D$1315, $A33)+SUMIFS(DataRegularSeason20242025!$AB$3:$AB$1315,DataRegularSeason20242025!$B$3:$B$1315, "&lt;=" &amp; CI$1, DataRegularSeason20242025!$E$3:$E$1315, $A33)</f>
        <v>2</v>
      </c>
      <c r="CJ33">
        <f>SUMIFS(DataRegularSeason20242025!$AA$3:$AA$1315,DataRegularSeason20242025!$B$3:$B$1315, "&lt;=" &amp; CJ$1, DataRegularSeason20242025!$D$3:$D$1315, $A33)+SUMIFS(DataRegularSeason20242025!$AB$3:$AB$1315,DataRegularSeason20242025!$B$3:$B$1315, "&lt;=" &amp; CJ$1, DataRegularSeason20242025!$E$3:$E$1315, $A33)</f>
        <v>2</v>
      </c>
      <c r="CK33">
        <f>SUMIFS(DataRegularSeason20242025!$AA$3:$AA$1315,DataRegularSeason20242025!$B$3:$B$1315, "&lt;=" &amp; CK$1, DataRegularSeason20242025!$D$3:$D$1315, $A33)+SUMIFS(DataRegularSeason20242025!$AB$3:$AB$1315,DataRegularSeason20242025!$B$3:$B$1315, "&lt;=" &amp; CK$1, DataRegularSeason20242025!$E$3:$E$1315, $A33)</f>
        <v>2</v>
      </c>
      <c r="CL33">
        <f>SUMIFS(DataRegularSeason20242025!$AA$3:$AA$1315,DataRegularSeason20242025!$B$3:$B$1315, "&lt;=" &amp; CL$1, DataRegularSeason20242025!$D$3:$D$1315, $A33)+SUMIFS(DataRegularSeason20242025!$AB$3:$AB$1315,DataRegularSeason20242025!$B$3:$B$1315, "&lt;=" &amp; CL$1, DataRegularSeason20242025!$E$3:$E$1315, $A33)</f>
        <v>2</v>
      </c>
      <c r="CM33">
        <f>SUMIFS(DataRegularSeason20242025!$AA$3:$AA$1315,DataRegularSeason20242025!$B$3:$B$1315, "&lt;=" &amp; CM$1, DataRegularSeason20242025!$D$3:$D$1315, $A33)+SUMIFS(DataRegularSeason20242025!$AB$3:$AB$1315,DataRegularSeason20242025!$B$3:$B$1315, "&lt;=" &amp; CM$1, DataRegularSeason20242025!$E$3:$E$1315, $A33)</f>
        <v>2</v>
      </c>
      <c r="CN33">
        <f>SUMIFS(DataRegularSeason20242025!$AA$3:$AA$1315,DataRegularSeason20242025!$B$3:$B$1315, "&lt;=" &amp; CN$1, DataRegularSeason20242025!$D$3:$D$1315, $A33)+SUMIFS(DataRegularSeason20242025!$AB$3:$AB$1315,DataRegularSeason20242025!$B$3:$B$1315, "&lt;=" &amp; CN$1, DataRegularSeason20242025!$E$3:$E$1315, $A33)</f>
        <v>2</v>
      </c>
      <c r="CO33">
        <f>SUMIFS(DataRegularSeason20242025!$AA$3:$AA$1315,DataRegularSeason20242025!$B$3:$B$1315, "&lt;=" &amp; CO$1, DataRegularSeason20242025!$D$3:$D$1315, $A33)+SUMIFS(DataRegularSeason20242025!$AB$3:$AB$1315,DataRegularSeason20242025!$B$3:$B$1315, "&lt;=" &amp; CO$1, DataRegularSeason20242025!$E$3:$E$1315, $A33)</f>
        <v>2</v>
      </c>
      <c r="CP33">
        <f>SUMIFS(DataRegularSeason20242025!$AA$3:$AA$1315,DataRegularSeason20242025!$B$3:$B$1315, "&lt;=" &amp; CP$1, DataRegularSeason20242025!$D$3:$D$1315, $A33)+SUMIFS(DataRegularSeason20242025!$AB$3:$AB$1315,DataRegularSeason20242025!$B$3:$B$1315, "&lt;=" &amp; CP$1, DataRegularSeason20242025!$E$3:$E$1315, $A33)</f>
        <v>2</v>
      </c>
      <c r="CQ33">
        <f>SUMIFS(DataRegularSeason20242025!$AA$3:$AA$1315,DataRegularSeason20242025!$B$3:$B$1315, "&lt;=" &amp; CQ$1, DataRegularSeason20242025!$D$3:$D$1315, $A33)+SUMIFS(DataRegularSeason20242025!$AB$3:$AB$1315,DataRegularSeason20242025!$B$3:$B$1315, "&lt;=" &amp; CQ$1, DataRegularSeason20242025!$E$3:$E$1315, $A33)</f>
        <v>2</v>
      </c>
      <c r="CR33">
        <f>SUMIFS(DataRegularSeason20242025!$AA$3:$AA$1315,DataRegularSeason20242025!$B$3:$B$1315, "&lt;=" &amp; CR$1, DataRegularSeason20242025!$D$3:$D$1315, $A33)+SUMIFS(DataRegularSeason20242025!$AB$3:$AB$1315,DataRegularSeason20242025!$B$3:$B$1315, "&lt;=" &amp; CR$1, DataRegularSeason20242025!$E$3:$E$1315, $A33)</f>
        <v>2</v>
      </c>
      <c r="CS33">
        <f>SUMIFS(DataRegularSeason20242025!$AA$3:$AA$1315,DataRegularSeason20242025!$B$3:$B$1315, "&lt;=" &amp; CS$1, DataRegularSeason20242025!$D$3:$D$1315, $A33)+SUMIFS(DataRegularSeason20242025!$AB$3:$AB$1315,DataRegularSeason20242025!$B$3:$B$1315, "&lt;=" &amp; CS$1, DataRegularSeason20242025!$E$3:$E$1315, $A33)</f>
        <v>2</v>
      </c>
      <c r="CT33">
        <f>SUMIFS(DataRegularSeason20242025!$AA$3:$AA$1315,DataRegularSeason20242025!$B$3:$B$1315, "&lt;=" &amp; CT$1, DataRegularSeason20242025!$D$3:$D$1315, $A33)+SUMIFS(DataRegularSeason20242025!$AB$3:$AB$1315,DataRegularSeason20242025!$B$3:$B$1315, "&lt;=" &amp; CT$1, DataRegularSeason20242025!$E$3:$E$1315, $A33)</f>
        <v>2</v>
      </c>
      <c r="CU33">
        <f>SUMIFS(DataRegularSeason20242025!$AA$3:$AA$1315,DataRegularSeason20242025!$B$3:$B$1315, "&lt;=" &amp; CU$1, DataRegularSeason20242025!$D$3:$D$1315, $A33)+SUMIFS(DataRegularSeason20242025!$AB$3:$AB$1315,DataRegularSeason20242025!$B$3:$B$1315, "&lt;=" &amp; CU$1, DataRegularSeason20242025!$E$3:$E$1315, $A33)</f>
        <v>2</v>
      </c>
      <c r="CV33">
        <f>SUMIFS(DataRegularSeason20242025!$AA$3:$AA$1315,DataRegularSeason20242025!$B$3:$B$1315, "&lt;=" &amp; CV$1, DataRegularSeason20242025!$D$3:$D$1315, $A33)+SUMIFS(DataRegularSeason20242025!$AB$3:$AB$1315,DataRegularSeason20242025!$B$3:$B$1315, "&lt;=" &amp; CV$1, DataRegularSeason20242025!$E$3:$E$1315, $A33)</f>
        <v>2</v>
      </c>
      <c r="CW33">
        <f>SUMIFS(DataRegularSeason20242025!$AA$3:$AA$1315,DataRegularSeason20242025!$B$3:$B$1315, "&lt;=" &amp; CW$1, DataRegularSeason20242025!$D$3:$D$1315, $A33)+SUMIFS(DataRegularSeason20242025!$AB$3:$AB$1315,DataRegularSeason20242025!$B$3:$B$1315, "&lt;=" &amp; CW$1, DataRegularSeason20242025!$E$3:$E$1315, $A33)</f>
        <v>2</v>
      </c>
      <c r="CX33">
        <f>SUMIFS(DataRegularSeason20242025!$AA$3:$AA$1315,DataRegularSeason20242025!$B$3:$B$1315, "&lt;=" &amp; CX$1, DataRegularSeason20242025!$D$3:$D$1315, $A33)+SUMIFS(DataRegularSeason20242025!$AB$3:$AB$1315,DataRegularSeason20242025!$B$3:$B$1315, "&lt;=" &amp; CX$1, DataRegularSeason20242025!$E$3:$E$1315, $A33)</f>
        <v>2</v>
      </c>
      <c r="CY33">
        <f>SUMIFS(DataRegularSeason20242025!$AA$3:$AA$1315,DataRegularSeason20242025!$B$3:$B$1315, "&lt;=" &amp; CY$1, DataRegularSeason20242025!$D$3:$D$1315, $A33)+SUMIFS(DataRegularSeason20242025!$AB$3:$AB$1315,DataRegularSeason20242025!$B$3:$B$1315, "&lt;=" &amp; CY$1, DataRegularSeason20242025!$E$3:$E$1315, $A33)</f>
        <v>2</v>
      </c>
      <c r="CZ33">
        <f>SUMIFS(DataRegularSeason20242025!$AA$3:$AA$1315,DataRegularSeason20242025!$B$3:$B$1315, "&lt;=" &amp; CZ$1, DataRegularSeason20242025!$D$3:$D$1315, $A33)+SUMIFS(DataRegularSeason20242025!$AB$3:$AB$1315,DataRegularSeason20242025!$B$3:$B$1315, "&lt;=" &amp; CZ$1, DataRegularSeason20242025!$E$3:$E$1315, $A33)</f>
        <v>2</v>
      </c>
      <c r="DA33">
        <f>SUMIFS(DataRegularSeason20242025!$AA$3:$AA$1315,DataRegularSeason20242025!$B$3:$B$1315, "&lt;=" &amp; DA$1, DataRegularSeason20242025!$D$3:$D$1315, $A33)+SUMIFS(DataRegularSeason20242025!$AB$3:$AB$1315,DataRegularSeason20242025!$B$3:$B$1315, "&lt;=" &amp; DA$1, DataRegularSeason20242025!$E$3:$E$1315, $A33)</f>
        <v>2</v>
      </c>
      <c r="DB33">
        <f>SUMIFS(DataRegularSeason20242025!$AA$3:$AA$1315,DataRegularSeason20242025!$B$3:$B$1315, "&lt;=" &amp; DB$1, DataRegularSeason20242025!$D$3:$D$1315, $A33)+SUMIFS(DataRegularSeason20242025!$AB$3:$AB$1315,DataRegularSeason20242025!$B$3:$B$1315, "&lt;=" &amp; DB$1, DataRegularSeason20242025!$E$3:$E$1315, $A33)</f>
        <v>2</v>
      </c>
      <c r="DC33">
        <f>SUMIFS(DataRegularSeason20242025!$AA$3:$AA$1315,DataRegularSeason20242025!$B$3:$B$1315, "&lt;=" &amp; DC$1, DataRegularSeason20242025!$D$3:$D$1315, $A33)+SUMIFS(DataRegularSeason20242025!$AB$3:$AB$1315,DataRegularSeason20242025!$B$3:$B$1315, "&lt;=" &amp; DC$1, DataRegularSeason20242025!$E$3:$E$1315, $A33)</f>
        <v>2</v>
      </c>
      <c r="DD33">
        <f>SUMIFS(DataRegularSeason20242025!$AA$3:$AA$1315,DataRegularSeason20242025!$B$3:$B$1315, "&lt;=" &amp; DD$1, DataRegularSeason20242025!$D$3:$D$1315, $A33)+SUMIFS(DataRegularSeason20242025!$AB$3:$AB$1315,DataRegularSeason20242025!$B$3:$B$1315, "&lt;=" &amp; DD$1, DataRegularSeason20242025!$E$3:$E$1315, $A33)</f>
        <v>2</v>
      </c>
      <c r="DE33">
        <f>SUMIFS(DataRegularSeason20242025!$AA$3:$AA$1315,DataRegularSeason20242025!$B$3:$B$1315, "&lt;=" &amp; DE$1, DataRegularSeason20242025!$D$3:$D$1315, $A33)+SUMIFS(DataRegularSeason20242025!$AB$3:$AB$1315,DataRegularSeason20242025!$B$3:$B$1315, "&lt;=" &amp; DE$1, DataRegularSeason20242025!$E$3:$E$1315, $A33)</f>
        <v>2</v>
      </c>
      <c r="DF33">
        <f>SUMIFS(DataRegularSeason20242025!$AA$3:$AA$1315,DataRegularSeason20242025!$B$3:$B$1315, "&lt;=" &amp; DF$1, DataRegularSeason20242025!$D$3:$D$1315, $A33)+SUMIFS(DataRegularSeason20242025!$AB$3:$AB$1315,DataRegularSeason20242025!$B$3:$B$1315, "&lt;=" &amp; DF$1, DataRegularSeason20242025!$E$3:$E$1315, $A33)</f>
        <v>2</v>
      </c>
      <c r="DG33">
        <f>SUMIFS(DataRegularSeason20242025!$AA$3:$AA$1315,DataRegularSeason20242025!$B$3:$B$1315, "&lt;=" &amp; DG$1, DataRegularSeason20242025!$D$3:$D$1315, $A33)+SUMIFS(DataRegularSeason20242025!$AB$3:$AB$1315,DataRegularSeason20242025!$B$3:$B$1315, "&lt;=" &amp; DG$1, DataRegularSeason20242025!$E$3:$E$1315, $A33)</f>
        <v>2</v>
      </c>
      <c r="DH33">
        <f>SUMIFS(DataRegularSeason20242025!$AA$3:$AA$1315,DataRegularSeason20242025!$B$3:$B$1315, "&lt;=" &amp; DH$1, DataRegularSeason20242025!$D$3:$D$1315, $A33)+SUMIFS(DataRegularSeason20242025!$AB$3:$AB$1315,DataRegularSeason20242025!$B$3:$B$1315, "&lt;=" &amp; DH$1, DataRegularSeason20242025!$E$3:$E$1315, $A33)</f>
        <v>2</v>
      </c>
      <c r="DI33">
        <f>SUMIFS(DataRegularSeason20242025!$AA$3:$AA$1315,DataRegularSeason20242025!$B$3:$B$1315, "&lt;=" &amp; DI$1, DataRegularSeason20242025!$D$3:$D$1315, $A33)+SUMIFS(DataRegularSeason20242025!$AB$3:$AB$1315,DataRegularSeason20242025!$B$3:$B$1315, "&lt;=" &amp; DI$1, DataRegularSeason20242025!$E$3:$E$1315, $A33)</f>
        <v>2</v>
      </c>
      <c r="DJ33">
        <f>SUMIFS(DataRegularSeason20242025!$AA$3:$AA$1315,DataRegularSeason20242025!$B$3:$B$1315, "&lt;=" &amp; DJ$1, DataRegularSeason20242025!$D$3:$D$1315, $A33)+SUMIFS(DataRegularSeason20242025!$AB$3:$AB$1315,DataRegularSeason20242025!$B$3:$B$1315, "&lt;=" &amp; DJ$1, DataRegularSeason20242025!$E$3:$E$1315, $A33)</f>
        <v>2</v>
      </c>
      <c r="DK33">
        <f>SUMIFS(DataRegularSeason20242025!$AA$3:$AA$1315,DataRegularSeason20242025!$B$3:$B$1315, "&lt;=" &amp; DK$1, DataRegularSeason20242025!$D$3:$D$1315, $A33)+SUMIFS(DataRegularSeason20242025!$AB$3:$AB$1315,DataRegularSeason20242025!$B$3:$B$1315, "&lt;=" &amp; DK$1, DataRegularSeason20242025!$E$3:$E$1315, $A33)</f>
        <v>2</v>
      </c>
      <c r="DL33">
        <f>SUMIFS(DataRegularSeason20242025!$AA$3:$AA$1315,DataRegularSeason20242025!$B$3:$B$1315, "&lt;=" &amp; DL$1, DataRegularSeason20242025!$D$3:$D$1315, $A33)+SUMIFS(DataRegularSeason20242025!$AB$3:$AB$1315,DataRegularSeason20242025!$B$3:$B$1315, "&lt;=" &amp; DL$1, DataRegularSeason20242025!$E$3:$E$1315, $A33)</f>
        <v>2</v>
      </c>
      <c r="DM33">
        <f>SUMIFS(DataRegularSeason20242025!$AA$3:$AA$1315,DataRegularSeason20242025!$B$3:$B$1315, "&lt;=" &amp; DM$1, DataRegularSeason20242025!$D$3:$D$1315, $A33)+SUMIFS(DataRegularSeason20242025!$AB$3:$AB$1315,DataRegularSeason20242025!$B$3:$B$1315, "&lt;=" &amp; DM$1, DataRegularSeason20242025!$E$3:$E$1315, $A33)</f>
        <v>2</v>
      </c>
      <c r="DN33">
        <f>SUMIFS(DataRegularSeason20242025!$AA$3:$AA$1315,DataRegularSeason20242025!$B$3:$B$1315, "&lt;=" &amp; DN$1, DataRegularSeason20242025!$D$3:$D$1315, $A33)+SUMIFS(DataRegularSeason20242025!$AB$3:$AB$1315,DataRegularSeason20242025!$B$3:$B$1315, "&lt;=" &amp; DN$1, DataRegularSeason20242025!$E$3:$E$1315, $A33)</f>
        <v>2</v>
      </c>
      <c r="DO33">
        <f>SUMIFS(DataRegularSeason20242025!$AA$3:$AA$1315,DataRegularSeason20242025!$B$3:$B$1315, "&lt;=" &amp; DO$1, DataRegularSeason20242025!$D$3:$D$1315, $A33)+SUMIFS(DataRegularSeason20242025!$AB$3:$AB$1315,DataRegularSeason20242025!$B$3:$B$1315, "&lt;=" &amp; DO$1, DataRegularSeason20242025!$E$3:$E$1315, $A33)</f>
        <v>2</v>
      </c>
      <c r="DP33">
        <f>SUMIFS(DataRegularSeason20242025!$AA$3:$AA$1315,DataRegularSeason20242025!$B$3:$B$1315, "&lt;=" &amp; DP$1, DataRegularSeason20242025!$D$3:$D$1315, $A33)+SUMIFS(DataRegularSeason20242025!$AB$3:$AB$1315,DataRegularSeason20242025!$B$3:$B$1315, "&lt;=" &amp; DP$1, DataRegularSeason20242025!$E$3:$E$1315, $A33)</f>
        <v>2</v>
      </c>
      <c r="DQ33">
        <f>SUMIFS(DataRegularSeason20242025!$AA$3:$AA$1315,DataRegularSeason20242025!$B$3:$B$1315, "&lt;=" &amp; DQ$1, DataRegularSeason20242025!$D$3:$D$1315, $A33)+SUMIFS(DataRegularSeason20242025!$AB$3:$AB$1315,DataRegularSeason20242025!$B$3:$B$1315, "&lt;=" &amp; DQ$1, DataRegularSeason20242025!$E$3:$E$1315, $A33)</f>
        <v>2</v>
      </c>
      <c r="DR33">
        <f>SUMIFS(DataRegularSeason20242025!$AA$3:$AA$1315,DataRegularSeason20242025!$B$3:$B$1315, "&lt;=" &amp; DR$1, DataRegularSeason20242025!$D$3:$D$1315, $A33)+SUMIFS(DataRegularSeason20242025!$AB$3:$AB$1315,DataRegularSeason20242025!$B$3:$B$1315, "&lt;=" &amp; DR$1, DataRegularSeason20242025!$E$3:$E$1315, $A33)</f>
        <v>2</v>
      </c>
      <c r="DS33">
        <f>SUMIFS(DataRegularSeason20242025!$AA$3:$AA$1315,DataRegularSeason20242025!$B$3:$B$1315, "&lt;=" &amp; DS$1, DataRegularSeason20242025!$D$3:$D$1315, $A33)+SUMIFS(DataRegularSeason20242025!$AB$3:$AB$1315,DataRegularSeason20242025!$B$3:$B$1315, "&lt;=" &amp; DS$1, DataRegularSeason20242025!$E$3:$E$1315, $A33)</f>
        <v>2</v>
      </c>
      <c r="DT33">
        <f>SUMIFS(DataRegularSeason20242025!$AA$3:$AA$1315,DataRegularSeason20242025!$B$3:$B$1315, "&lt;=" &amp; DT$1, DataRegularSeason20242025!$D$3:$D$1315, $A33)+SUMIFS(DataRegularSeason20242025!$AB$3:$AB$1315,DataRegularSeason20242025!$B$3:$B$1315, "&lt;=" &amp; DT$1, DataRegularSeason20242025!$E$3:$E$1315, $A33)</f>
        <v>2</v>
      </c>
      <c r="DU33">
        <f>SUMIFS(DataRegularSeason20242025!$AA$3:$AA$1315,DataRegularSeason20242025!$B$3:$B$1315, "&lt;=" &amp; DU$1, DataRegularSeason20242025!$D$3:$D$1315, $A33)+SUMIFS(DataRegularSeason20242025!$AB$3:$AB$1315,DataRegularSeason20242025!$B$3:$B$1315, "&lt;=" &amp; DU$1, DataRegularSeason20242025!$E$3:$E$1315, $A33)</f>
        <v>2</v>
      </c>
      <c r="DV33">
        <f>SUMIFS(DataRegularSeason20242025!$AA$3:$AA$1315,DataRegularSeason20242025!$B$3:$B$1315, "&lt;=" &amp; DV$1, DataRegularSeason20242025!$D$3:$D$1315, $A33)+SUMIFS(DataRegularSeason20242025!$AB$3:$AB$1315,DataRegularSeason20242025!$B$3:$B$1315, "&lt;=" &amp; DV$1, DataRegularSeason20242025!$E$3:$E$1315, $A33)</f>
        <v>2</v>
      </c>
      <c r="DW33">
        <f>SUMIFS(DataRegularSeason20242025!$AA$3:$AA$1315,DataRegularSeason20242025!$B$3:$B$1315, "&lt;=" &amp; DW$1, DataRegularSeason20242025!$D$3:$D$1315, $A33)+SUMIFS(DataRegularSeason20242025!$AB$3:$AB$1315,DataRegularSeason20242025!$B$3:$B$1315, "&lt;=" &amp; DW$1, DataRegularSeason20242025!$E$3:$E$1315, $A33)</f>
        <v>2</v>
      </c>
      <c r="DX33">
        <f>SUMIFS(DataRegularSeason20242025!$AA$3:$AA$1315,DataRegularSeason20242025!$B$3:$B$1315, "&lt;=" &amp; DX$1, DataRegularSeason20242025!$D$3:$D$1315, $A33)+SUMIFS(DataRegularSeason20242025!$AB$3:$AB$1315,DataRegularSeason20242025!$B$3:$B$1315, "&lt;=" &amp; DX$1, DataRegularSeason20242025!$E$3:$E$1315, $A33)</f>
        <v>2</v>
      </c>
      <c r="DY33">
        <f>SUMIFS(DataRegularSeason20242025!$AA$3:$AA$1315,DataRegularSeason20242025!$B$3:$B$1315, "&lt;=" &amp; DY$1, DataRegularSeason20242025!$D$3:$D$1315, $A33)+SUMIFS(DataRegularSeason20242025!$AB$3:$AB$1315,DataRegularSeason20242025!$B$3:$B$1315, "&lt;=" &amp; DY$1, DataRegularSeason20242025!$E$3:$E$1315, $A33)</f>
        <v>2</v>
      </c>
      <c r="DZ33">
        <f>SUMIFS(DataRegularSeason20242025!$AA$3:$AA$1315,DataRegularSeason20242025!$B$3:$B$1315, "&lt;=" &amp; DZ$1, DataRegularSeason20242025!$D$3:$D$1315, $A33)+SUMIFS(DataRegularSeason20242025!$AB$3:$AB$1315,DataRegularSeason20242025!$B$3:$B$1315, "&lt;=" &amp; DZ$1, DataRegularSeason20242025!$E$3:$E$1315, $A33)</f>
        <v>2</v>
      </c>
      <c r="EA33">
        <f>SUMIFS(DataRegularSeason20242025!$AA$3:$AA$1315,DataRegularSeason20242025!$B$3:$B$1315, "&lt;=" &amp; EA$1, DataRegularSeason20242025!$D$3:$D$1315, $A33)+SUMIFS(DataRegularSeason20242025!$AB$3:$AB$1315,DataRegularSeason20242025!$B$3:$B$1315, "&lt;=" &amp; EA$1, DataRegularSeason20242025!$E$3:$E$1315, $A33)</f>
        <v>2</v>
      </c>
      <c r="EB33">
        <f>SUMIFS(DataRegularSeason20242025!$AA$3:$AA$1315,DataRegularSeason20242025!$B$3:$B$1315, "&lt;=" &amp; EB$1, DataRegularSeason20242025!$D$3:$D$1315, $A33)+SUMIFS(DataRegularSeason20242025!$AB$3:$AB$1315,DataRegularSeason20242025!$B$3:$B$1315, "&lt;=" &amp; EB$1, DataRegularSeason20242025!$E$3:$E$1315, $A33)</f>
        <v>2</v>
      </c>
      <c r="EC33">
        <f>SUMIFS(DataRegularSeason20242025!$AA$3:$AA$1315,DataRegularSeason20242025!$B$3:$B$1315, "&lt;=" &amp; EC$1, DataRegularSeason20242025!$D$3:$D$1315, $A33)+SUMIFS(DataRegularSeason20242025!$AB$3:$AB$1315,DataRegularSeason20242025!$B$3:$B$1315, "&lt;=" &amp; EC$1, DataRegularSeason20242025!$E$3:$E$1315, $A33)</f>
        <v>2</v>
      </c>
      <c r="ED33">
        <f>SUMIFS(DataRegularSeason20242025!$AA$3:$AA$1315,DataRegularSeason20242025!$B$3:$B$1315, "&lt;=" &amp; ED$1, DataRegularSeason20242025!$D$3:$D$1315, $A33)+SUMIFS(DataRegularSeason20242025!$AB$3:$AB$1315,DataRegularSeason20242025!$B$3:$B$1315, "&lt;=" &amp; ED$1, DataRegularSeason20242025!$E$3:$E$1315, $A33)</f>
        <v>2</v>
      </c>
      <c r="EE33">
        <f>SUMIFS(DataRegularSeason20242025!$AA$3:$AA$1315,DataRegularSeason20242025!$B$3:$B$1315, "&lt;=" &amp; EE$1, DataRegularSeason20242025!$D$3:$D$1315, $A33)+SUMIFS(DataRegularSeason20242025!$AB$3:$AB$1315,DataRegularSeason20242025!$B$3:$B$1315, "&lt;=" &amp; EE$1, DataRegularSeason20242025!$E$3:$E$1315, $A33)</f>
        <v>2</v>
      </c>
      <c r="EF33">
        <f>SUMIFS(DataRegularSeason20242025!$AA$3:$AA$1315,DataRegularSeason20242025!$B$3:$B$1315, "&lt;=" &amp; EF$1, DataRegularSeason20242025!$D$3:$D$1315, $A33)+SUMIFS(DataRegularSeason20242025!$AB$3:$AB$1315,DataRegularSeason20242025!$B$3:$B$1315, "&lt;=" &amp; EF$1, DataRegularSeason20242025!$E$3:$E$1315, $A33)</f>
        <v>2</v>
      </c>
      <c r="EG33">
        <f>SUMIFS(DataRegularSeason20242025!$AA$3:$AA$1315,DataRegularSeason20242025!$B$3:$B$1315, "&lt;=" &amp; EG$1, DataRegularSeason20242025!$D$3:$D$1315, $A33)+SUMIFS(DataRegularSeason20242025!$AB$3:$AB$1315,DataRegularSeason20242025!$B$3:$B$1315, "&lt;=" &amp; EG$1, DataRegularSeason20242025!$E$3:$E$1315, $A33)</f>
        <v>2</v>
      </c>
      <c r="EH33">
        <f>SUMIFS(DataRegularSeason20242025!$AA$3:$AA$1315,DataRegularSeason20242025!$B$3:$B$1315, "&lt;=" &amp; EH$1, DataRegularSeason20242025!$D$3:$D$1315, $A33)+SUMIFS(DataRegularSeason20242025!$AB$3:$AB$1315,DataRegularSeason20242025!$B$3:$B$1315, "&lt;=" &amp; EH$1, DataRegularSeason20242025!$E$3:$E$1315, $A33)</f>
        <v>2</v>
      </c>
      <c r="EI33">
        <f>SUMIFS(DataRegularSeason20242025!$AA$3:$AA$1315,DataRegularSeason20242025!$B$3:$B$1315, "&lt;=" &amp; EI$1, DataRegularSeason20242025!$D$3:$D$1315, $A33)+SUMIFS(DataRegularSeason20242025!$AB$3:$AB$1315,DataRegularSeason20242025!$B$3:$B$1315, "&lt;=" &amp; EI$1, DataRegularSeason20242025!$E$3:$E$1315, $A33)</f>
        <v>2</v>
      </c>
      <c r="EJ33">
        <f>SUMIFS(DataRegularSeason20242025!$AA$3:$AA$1315,DataRegularSeason20242025!$B$3:$B$1315, "&lt;=" &amp; EJ$1, DataRegularSeason20242025!$D$3:$D$1315, $A33)+SUMIFS(DataRegularSeason20242025!$AB$3:$AB$1315,DataRegularSeason20242025!$B$3:$B$1315, "&lt;=" &amp; EJ$1, DataRegularSeason20242025!$E$3:$E$1315, $A33)</f>
        <v>2</v>
      </c>
      <c r="EK33">
        <f>SUMIFS(DataRegularSeason20242025!$AA$3:$AA$1315,DataRegularSeason20242025!$B$3:$B$1315, "&lt;=" &amp; EK$1, DataRegularSeason20242025!$D$3:$D$1315, $A33)+SUMIFS(DataRegularSeason20242025!$AB$3:$AB$1315,DataRegularSeason20242025!$B$3:$B$1315, "&lt;=" &amp; EK$1, DataRegularSeason20242025!$E$3:$E$1315, $A33)</f>
        <v>2</v>
      </c>
      <c r="EL33">
        <f>SUMIFS(DataRegularSeason20242025!$AA$3:$AA$1315,DataRegularSeason20242025!$B$3:$B$1315, "&lt;=" &amp; EL$1, DataRegularSeason20242025!$D$3:$D$1315, $A33)+SUMIFS(DataRegularSeason20242025!$AB$3:$AB$1315,DataRegularSeason20242025!$B$3:$B$1315, "&lt;=" &amp; EL$1, DataRegularSeason20242025!$E$3:$E$1315, $A33)</f>
        <v>2</v>
      </c>
      <c r="EM33">
        <f>SUMIFS(DataRegularSeason20242025!$AA$3:$AA$1315,DataRegularSeason20242025!$B$3:$B$1315, "&lt;=" &amp; EM$1, DataRegularSeason20242025!$D$3:$D$1315, $A33)+SUMIFS(DataRegularSeason20242025!$AB$3:$AB$1315,DataRegularSeason20242025!$B$3:$B$1315, "&lt;=" &amp; EM$1, DataRegularSeason20242025!$E$3:$E$1315, $A33)</f>
        <v>2</v>
      </c>
      <c r="EN33">
        <f>SUMIFS(DataRegularSeason20242025!$AA$3:$AA$1315,DataRegularSeason20242025!$B$3:$B$1315, "&lt;=" &amp; EN$1, DataRegularSeason20242025!$D$3:$D$1315, $A33)+SUMIFS(DataRegularSeason20242025!$AB$3:$AB$1315,DataRegularSeason20242025!$B$3:$B$1315, "&lt;=" &amp; EN$1, DataRegularSeason20242025!$E$3:$E$1315, $A33)</f>
        <v>2</v>
      </c>
      <c r="EO33">
        <f>SUMIFS(DataRegularSeason20242025!$AA$3:$AA$1315,DataRegularSeason20242025!$B$3:$B$1315, "&lt;=" &amp; EO$1, DataRegularSeason20242025!$D$3:$D$1315, $A33)+SUMIFS(DataRegularSeason20242025!$AB$3:$AB$1315,DataRegularSeason20242025!$B$3:$B$1315, "&lt;=" &amp; EO$1, DataRegularSeason20242025!$E$3:$E$1315, $A33)</f>
        <v>2</v>
      </c>
      <c r="EP33">
        <f>SUMIFS(DataRegularSeason20242025!$AA$3:$AA$1315,DataRegularSeason20242025!$B$3:$B$1315, "&lt;=" &amp; EP$1, DataRegularSeason20242025!$D$3:$D$1315, $A33)+SUMIFS(DataRegularSeason20242025!$AB$3:$AB$1315,DataRegularSeason20242025!$B$3:$B$1315, "&lt;=" &amp; EP$1, DataRegularSeason20242025!$E$3:$E$1315, $A33)</f>
        <v>2</v>
      </c>
      <c r="EQ33">
        <f>SUMIFS(DataRegularSeason20242025!$AA$3:$AA$1315,DataRegularSeason20242025!$B$3:$B$1315, "&lt;=" &amp; EQ$1, DataRegularSeason20242025!$D$3:$D$1315, $A33)+SUMIFS(DataRegularSeason20242025!$AB$3:$AB$1315,DataRegularSeason20242025!$B$3:$B$1315, "&lt;=" &amp; EQ$1, DataRegularSeason20242025!$E$3:$E$1315, $A33)</f>
        <v>2</v>
      </c>
      <c r="ER33">
        <f>SUMIFS(DataRegularSeason20242025!$AA$3:$AA$1315,DataRegularSeason20242025!$B$3:$B$1315, "&lt;=" &amp; ER$1, DataRegularSeason20242025!$D$3:$D$1315, $A33)+SUMIFS(DataRegularSeason20242025!$AB$3:$AB$1315,DataRegularSeason20242025!$B$3:$B$1315, "&lt;=" &amp; ER$1, DataRegularSeason20242025!$E$3:$E$1315, $A33)</f>
        <v>2</v>
      </c>
      <c r="ES33">
        <f>SUMIFS(DataRegularSeason20242025!$AA$3:$AA$1315,DataRegularSeason20242025!$B$3:$B$1315, "&lt;=" &amp; ES$1, DataRegularSeason20242025!$D$3:$D$1315, $A33)+SUMIFS(DataRegularSeason20242025!$AB$3:$AB$1315,DataRegularSeason20242025!$B$3:$B$1315, "&lt;=" &amp; ES$1, DataRegularSeason20242025!$E$3:$E$1315, $A33)</f>
        <v>2</v>
      </c>
      <c r="ET33">
        <f>SUMIFS(DataRegularSeason20242025!$AA$3:$AA$1315,DataRegularSeason20242025!$B$3:$B$1315, "&lt;=" &amp; ET$1, DataRegularSeason20242025!$D$3:$D$1315, $A33)+SUMIFS(DataRegularSeason20242025!$AB$3:$AB$1315,DataRegularSeason20242025!$B$3:$B$1315, "&lt;=" &amp; ET$1, DataRegularSeason20242025!$E$3:$E$1315, $A33)</f>
        <v>2</v>
      </c>
      <c r="EU33">
        <f>SUMIFS(DataRegularSeason20242025!$AA$3:$AA$1315,DataRegularSeason20242025!$B$3:$B$1315, "&lt;=" &amp; EU$1, DataRegularSeason20242025!$D$3:$D$1315, $A33)+SUMIFS(DataRegularSeason20242025!$AB$3:$AB$1315,DataRegularSeason20242025!$B$3:$B$1315, "&lt;=" &amp; EU$1, DataRegularSeason20242025!$E$3:$E$1315, $A33)</f>
        <v>2</v>
      </c>
      <c r="EV33">
        <f>SUMIFS(DataRegularSeason20242025!$AA$3:$AA$1315,DataRegularSeason20242025!$B$3:$B$1315, "&lt;=" &amp; EV$1, DataRegularSeason20242025!$D$3:$D$1315, $A33)+SUMIFS(DataRegularSeason20242025!$AB$3:$AB$1315,DataRegularSeason20242025!$B$3:$B$1315, "&lt;=" &amp; EV$1, DataRegularSeason20242025!$E$3:$E$1315, $A33)</f>
        <v>2</v>
      </c>
      <c r="EW33">
        <f>SUMIFS(DataRegularSeason20242025!$AA$3:$AA$1315,DataRegularSeason20242025!$B$3:$B$1315, "&lt;=" &amp; EW$1, DataRegularSeason20242025!$D$3:$D$1315, $A33)+SUMIFS(DataRegularSeason20242025!$AB$3:$AB$1315,DataRegularSeason20242025!$B$3:$B$1315, "&lt;=" &amp; EW$1, DataRegularSeason20242025!$E$3:$E$1315, $A33)</f>
        <v>2</v>
      </c>
      <c r="EX33">
        <f>SUMIFS(DataRegularSeason20242025!$AA$3:$AA$1315,DataRegularSeason20242025!$B$3:$B$1315, "&lt;=" &amp; EX$1, DataRegularSeason20242025!$D$3:$D$1315, $A33)+SUMIFS(DataRegularSeason20242025!$AB$3:$AB$1315,DataRegularSeason20242025!$B$3:$B$1315, "&lt;=" &amp; EX$1, DataRegularSeason20242025!$E$3:$E$1315, $A33)</f>
        <v>2</v>
      </c>
      <c r="EY33">
        <f>SUMIFS(DataRegularSeason20242025!$AA$3:$AA$1315,DataRegularSeason20242025!$B$3:$B$1315, "&lt;=" &amp; EY$1, DataRegularSeason20242025!$D$3:$D$1315, $A33)+SUMIFS(DataRegularSeason20242025!$AB$3:$AB$1315,DataRegularSeason20242025!$B$3:$B$1315, "&lt;=" &amp; EY$1, DataRegularSeason20242025!$E$3:$E$1315, $A33)</f>
        <v>2</v>
      </c>
      <c r="EZ33">
        <f>SUMIFS(DataRegularSeason20242025!$AA$3:$AA$1315,DataRegularSeason20242025!$B$3:$B$1315, "&lt;=" &amp; EZ$1, DataRegularSeason20242025!$D$3:$D$1315, $A33)+SUMIFS(DataRegularSeason20242025!$AB$3:$AB$1315,DataRegularSeason20242025!$B$3:$B$1315, "&lt;=" &amp; EZ$1, DataRegularSeason20242025!$E$3:$E$1315, $A33)</f>
        <v>2</v>
      </c>
      <c r="FA33">
        <f>SUMIFS(DataRegularSeason20242025!$AA$3:$AA$1315,DataRegularSeason20242025!$B$3:$B$1315, "&lt;=" &amp; FA$1, DataRegularSeason20242025!$D$3:$D$1315, $A33)+SUMIFS(DataRegularSeason20242025!$AB$3:$AB$1315,DataRegularSeason20242025!$B$3:$B$1315, "&lt;=" &amp; FA$1, DataRegularSeason20242025!$E$3:$E$1315, $A33)</f>
        <v>2</v>
      </c>
      <c r="FB33">
        <f>SUMIFS(DataRegularSeason20242025!$AA$3:$AA$1315,DataRegularSeason20242025!$B$3:$B$1315, "&lt;=" &amp; FB$1, DataRegularSeason20242025!$D$3:$D$1315, $A33)+SUMIFS(DataRegularSeason20242025!$AB$3:$AB$1315,DataRegularSeason20242025!$B$3:$B$1315, "&lt;=" &amp; FB$1, DataRegularSeason20242025!$E$3:$E$1315, $A33)</f>
        <v>2</v>
      </c>
      <c r="FC33">
        <f>SUMIFS(DataRegularSeason20242025!$AA$3:$AA$1315,DataRegularSeason20242025!$B$3:$B$1315, "&lt;=" &amp; FC$1, DataRegularSeason20242025!$D$3:$D$1315, $A33)+SUMIFS(DataRegularSeason20242025!$AB$3:$AB$1315,DataRegularSeason20242025!$B$3:$B$1315, "&lt;=" &amp; FC$1, DataRegularSeason20242025!$E$3:$E$1315, $A33)</f>
        <v>2</v>
      </c>
      <c r="FD33">
        <f>SUMIFS(DataRegularSeason20242025!$AA$3:$AA$1315,DataRegularSeason20242025!$B$3:$B$1315, "&lt;=" &amp; FD$1, DataRegularSeason20242025!$D$3:$D$1315, $A33)+SUMIFS(DataRegularSeason20242025!$AB$3:$AB$1315,DataRegularSeason20242025!$B$3:$B$1315, "&lt;=" &amp; FD$1, DataRegularSeason20242025!$E$3:$E$1315, $A33)</f>
        <v>2</v>
      </c>
      <c r="FE33">
        <f>SUMIFS(DataRegularSeason20242025!$AA$3:$AA$1315,DataRegularSeason20242025!$B$3:$B$1315, "&lt;=" &amp; FE$1, DataRegularSeason20242025!$D$3:$D$1315, $A33)+SUMIFS(DataRegularSeason20242025!$AB$3:$AB$1315,DataRegularSeason20242025!$B$3:$B$1315, "&lt;=" &amp; FE$1, DataRegularSeason20242025!$E$3:$E$1315, $A33)</f>
        <v>2</v>
      </c>
      <c r="FF33">
        <f>SUMIFS(DataRegularSeason20242025!$AA$3:$AA$1315,DataRegularSeason20242025!$B$3:$B$1315, "&lt;=" &amp; FF$1, DataRegularSeason20242025!$D$3:$D$1315, $A33)+SUMIFS(DataRegularSeason20242025!$AB$3:$AB$1315,DataRegularSeason20242025!$B$3:$B$1315, "&lt;=" &amp; FF$1, DataRegularSeason20242025!$E$3:$E$1315, $A33)</f>
        <v>2</v>
      </c>
      <c r="FG33">
        <f>SUMIFS(DataRegularSeason20242025!$AA$3:$AA$1315,DataRegularSeason20242025!$B$3:$B$1315, "&lt;=" &amp; FG$1, DataRegularSeason20242025!$D$3:$D$1315, $A33)+SUMIFS(DataRegularSeason20242025!$AB$3:$AB$1315,DataRegularSeason20242025!$B$3:$B$1315, "&lt;=" &amp; FG$1, DataRegularSeason20242025!$E$3:$E$1315, $A33)</f>
        <v>2</v>
      </c>
      <c r="FH33">
        <f>SUMIFS(DataRegularSeason20242025!$AA$3:$AA$1315,DataRegularSeason20242025!$B$3:$B$1315, "&lt;=" &amp; FH$1, DataRegularSeason20242025!$D$3:$D$1315, $A33)+SUMIFS(DataRegularSeason20242025!$AB$3:$AB$1315,DataRegularSeason20242025!$B$3:$B$1315, "&lt;=" &amp; FH$1, DataRegularSeason20242025!$E$3:$E$1315, $A33)</f>
        <v>2</v>
      </c>
      <c r="FI33">
        <f>SUMIFS(DataRegularSeason20242025!$AA$3:$AA$1315,DataRegularSeason20242025!$B$3:$B$1315, "&lt;=" &amp; FI$1, DataRegularSeason20242025!$D$3:$D$1315, $A33)+SUMIFS(DataRegularSeason20242025!$AB$3:$AB$1315,DataRegularSeason20242025!$B$3:$B$1315, "&lt;=" &amp; FI$1, DataRegularSeason20242025!$E$3:$E$1315, $A33)</f>
        <v>2</v>
      </c>
      <c r="FJ33">
        <f>SUMIFS(DataRegularSeason20242025!$AA$3:$AA$1315,DataRegularSeason20242025!$B$3:$B$1315, "&lt;=" &amp; FJ$1, DataRegularSeason20242025!$D$3:$D$1315, $A33)+SUMIFS(DataRegularSeason20242025!$AB$3:$AB$1315,DataRegularSeason20242025!$B$3:$B$1315, "&lt;=" &amp; FJ$1, DataRegularSeason20242025!$E$3:$E$1315, $A33)</f>
        <v>2</v>
      </c>
      <c r="FK33">
        <f>SUMIFS(DataRegularSeason20242025!$AA$3:$AA$1315,DataRegularSeason20242025!$B$3:$B$1315, "&lt;=" &amp; FK$1, DataRegularSeason20242025!$D$3:$D$1315, $A33)+SUMIFS(DataRegularSeason20242025!$AB$3:$AB$1315,DataRegularSeason20242025!$B$3:$B$1315, "&lt;=" &amp; FK$1, DataRegularSeason20242025!$E$3:$E$1315, $A33)</f>
        <v>2</v>
      </c>
      <c r="FL33">
        <f>SUMIFS(DataRegularSeason20242025!$AA$3:$AA$1315,DataRegularSeason20242025!$B$3:$B$1315, "&lt;=" &amp; FL$1, DataRegularSeason20242025!$D$3:$D$1315, $A33)+SUMIFS(DataRegularSeason20242025!$AB$3:$AB$1315,DataRegularSeason20242025!$B$3:$B$1315, "&lt;=" &amp; FL$1, DataRegularSeason20242025!$E$3:$E$1315, $A33)</f>
        <v>2</v>
      </c>
      <c r="FM33">
        <f>SUMIFS(DataRegularSeason20242025!$AA$3:$AA$1315,DataRegularSeason20242025!$B$3:$B$1315, "&lt;=" &amp; FM$1, DataRegularSeason20242025!$D$3:$D$1315, $A33)+SUMIFS(DataRegularSeason20242025!$AB$3:$AB$1315,DataRegularSeason20242025!$B$3:$B$1315, "&lt;=" &amp; FM$1, DataRegularSeason20242025!$E$3:$E$1315, $A33)</f>
        <v>2</v>
      </c>
      <c r="FN33">
        <f>SUMIFS(DataRegularSeason20242025!$AA$3:$AA$1315,DataRegularSeason20242025!$B$3:$B$1315, "&lt;=" &amp; FN$1, DataRegularSeason20242025!$D$3:$D$1315, $A33)+SUMIFS(DataRegularSeason20242025!$AB$3:$AB$1315,DataRegularSeason20242025!$B$3:$B$1315, "&lt;=" &amp; FN$1, DataRegularSeason20242025!$E$3:$E$1315, $A33)</f>
        <v>2</v>
      </c>
      <c r="FO33">
        <f>SUMIFS(DataRegularSeason20242025!$AA$3:$AA$1315,DataRegularSeason20242025!$B$3:$B$1315, "&lt;=" &amp; FO$1, DataRegularSeason20242025!$D$3:$D$1315, $A33)+SUMIFS(DataRegularSeason20242025!$AB$3:$AB$1315,DataRegularSeason20242025!$B$3:$B$1315, "&lt;=" &amp; FO$1, DataRegularSeason20242025!$E$3:$E$1315, $A33)</f>
        <v>2</v>
      </c>
      <c r="FP33">
        <f>SUMIFS(DataRegularSeason20242025!$AA$3:$AA$1315,DataRegularSeason20242025!$B$3:$B$1315, "&lt;=" &amp; FP$1, DataRegularSeason20242025!$D$3:$D$1315, $A33)+SUMIFS(DataRegularSeason20242025!$AB$3:$AB$1315,DataRegularSeason20242025!$B$3:$B$1315, "&lt;=" &amp; FP$1, DataRegularSeason20242025!$E$3:$E$1315, $A33)</f>
        <v>2</v>
      </c>
      <c r="FQ33">
        <f>SUMIFS(DataRegularSeason20242025!$AA$3:$AA$1315,DataRegularSeason20242025!$B$3:$B$1315, "&lt;=" &amp; FQ$1, DataRegularSeason20242025!$D$3:$D$1315, $A33)+SUMIFS(DataRegularSeason20242025!$AB$3:$AB$1315,DataRegularSeason20242025!$B$3:$B$1315, "&lt;=" &amp; FQ$1, DataRegularSeason20242025!$E$3:$E$1315, $A33)</f>
        <v>2</v>
      </c>
      <c r="FR33">
        <f>SUMIFS(DataRegularSeason20242025!$AA$3:$AA$1315,DataRegularSeason20242025!$B$3:$B$1315, "&lt;=" &amp; FR$1, DataRegularSeason20242025!$D$3:$D$1315, $A33)+SUMIFS(DataRegularSeason20242025!$AB$3:$AB$1315,DataRegularSeason20242025!$B$3:$B$1315, "&lt;=" &amp; FR$1, DataRegularSeason20242025!$E$3:$E$1315, $A33)</f>
        <v>2</v>
      </c>
      <c r="FS33">
        <f>SUMIFS(DataRegularSeason20242025!$AA$3:$AA$1315,DataRegularSeason20242025!$B$3:$B$1315, "&lt;=" &amp; FS$1, DataRegularSeason20242025!$D$3:$D$1315, $A33)+SUMIFS(DataRegularSeason20242025!$AB$3:$AB$1315,DataRegularSeason20242025!$B$3:$B$1315, "&lt;=" &amp; FS$1, DataRegularSeason20242025!$E$3:$E$1315, $A33)</f>
        <v>2</v>
      </c>
      <c r="FT33">
        <f>SUMIFS(DataRegularSeason20242025!$AA$3:$AA$1315,DataRegularSeason20242025!$B$3:$B$1315, "&lt;=" &amp; FT$1, DataRegularSeason20242025!$D$3:$D$1315, $A33)+SUMIFS(DataRegularSeason20242025!$AB$3:$AB$1315,DataRegularSeason20242025!$B$3:$B$1315, "&lt;=" &amp; FT$1, DataRegularSeason20242025!$E$3:$E$1315, $A33)</f>
        <v>2</v>
      </c>
      <c r="FU33">
        <f>SUMIFS(DataRegularSeason20242025!$AA$3:$AA$1315,DataRegularSeason20242025!$B$3:$B$1315, "&lt;=" &amp; FU$1, DataRegularSeason20242025!$D$3:$D$1315, $A33)+SUMIFS(DataRegularSeason20242025!$AB$3:$AB$1315,DataRegularSeason20242025!$B$3:$B$1315, "&lt;=" &amp; FU$1, DataRegularSeason20242025!$E$3:$E$1315, $A33)</f>
        <v>2</v>
      </c>
      <c r="FV33">
        <f>SUMIFS(DataRegularSeason20242025!$AA$3:$AA$1315,DataRegularSeason20242025!$B$3:$B$1315, "&lt;=" &amp; FV$1, DataRegularSeason20242025!$D$3:$D$1315, $A33)+SUMIFS(DataRegularSeason20242025!$AB$3:$AB$1315,DataRegularSeason20242025!$B$3:$B$1315, "&lt;=" &amp; FV$1, DataRegularSeason20242025!$E$3:$E$1315, $A33)</f>
        <v>2</v>
      </c>
      <c r="FW33">
        <f>SUMIFS(DataRegularSeason20242025!$AA$3:$AA$1315,DataRegularSeason20242025!$B$3:$B$1315, "&lt;=" &amp; FW$1, DataRegularSeason20242025!$D$3:$D$1315, $A33)+SUMIFS(DataRegularSeason20242025!$AB$3:$AB$1315,DataRegularSeason20242025!$B$3:$B$1315, "&lt;=" &amp; FW$1, DataRegularSeason20242025!$E$3:$E$1315, $A33)</f>
        <v>2</v>
      </c>
      <c r="FX33">
        <f>SUMIFS(DataRegularSeason20242025!$AA$3:$AA$1315,DataRegularSeason20242025!$B$3:$B$1315, "&lt;=" &amp; FX$1, DataRegularSeason20242025!$D$3:$D$1315, $A33)+SUMIFS(DataRegularSeason20242025!$AB$3:$AB$1315,DataRegularSeason20242025!$B$3:$B$1315, "&lt;=" &amp; FX$1, DataRegularSeason20242025!$E$3:$E$1315, $A33)</f>
        <v>2</v>
      </c>
      <c r="FY33">
        <f>SUMIFS(DataRegularSeason20242025!$AA$3:$AA$1315,DataRegularSeason20242025!$B$3:$B$1315, "&lt;=" &amp; FY$1, DataRegularSeason20242025!$D$3:$D$1315, $A33)+SUMIFS(DataRegularSeason20242025!$AB$3:$AB$1315,DataRegularSeason20242025!$B$3:$B$1315, "&lt;=" &amp; FY$1, DataRegularSeason20242025!$E$3:$E$1315, $A33)</f>
        <v>2</v>
      </c>
      <c r="FZ33">
        <f>SUMIFS(DataRegularSeason20242025!$AA$3:$AA$1315,DataRegularSeason20242025!$B$3:$B$1315, "&lt;=" &amp; FZ$1, DataRegularSeason20242025!$D$3:$D$1315, $A33)+SUMIFS(DataRegularSeason20242025!$AB$3:$AB$1315,DataRegularSeason20242025!$B$3:$B$1315, "&lt;=" &amp; FZ$1, DataRegularSeason20242025!$E$3:$E$1315, $A33)</f>
        <v>2</v>
      </c>
      <c r="GA33">
        <f>SUMIFS(DataRegularSeason20242025!$AA$3:$AA$1315,DataRegularSeason20242025!$B$3:$B$1315, "&lt;=" &amp; GA$1, DataRegularSeason20242025!$D$3:$D$1315, $A33)+SUMIFS(DataRegularSeason20242025!$AB$3:$AB$1315,DataRegularSeason20242025!$B$3:$B$1315, "&lt;=" &amp; GA$1, DataRegularSeason20242025!$E$3:$E$1315, $A33)</f>
        <v>2</v>
      </c>
      <c r="GB33">
        <f>SUMIFS(DataRegularSeason20242025!$AA$3:$AA$1315,DataRegularSeason20242025!$B$3:$B$1315, "&lt;=" &amp; GB$1, DataRegularSeason20242025!$D$3:$D$1315, $A33)+SUMIFS(DataRegularSeason20242025!$AB$3:$AB$1315,DataRegularSeason20242025!$B$3:$B$1315, "&lt;=" &amp; GB$1, DataRegularSeason20242025!$E$3:$E$1315, $A33)</f>
        <v>2</v>
      </c>
      <c r="GC33">
        <f>SUMIFS(DataRegularSeason20242025!$AA$3:$AA$1315,DataRegularSeason20242025!$B$3:$B$1315, "&lt;=" &amp; GC$1, DataRegularSeason20242025!$D$3:$D$1315, $A33)+SUMIFS(DataRegularSeason20242025!$AB$3:$AB$1315,DataRegularSeason20242025!$B$3:$B$1315, "&lt;=" &amp; GC$1, DataRegularSeason20242025!$E$3:$E$1315, $A33)</f>
        <v>2</v>
      </c>
      <c r="GD33">
        <f>SUMIFS(DataRegularSeason20242025!$AA$3:$AA$1315,DataRegularSeason20242025!$B$3:$B$1315, "&lt;=" &amp; GD$1, DataRegularSeason20242025!$D$3:$D$1315, $A33)+SUMIFS(DataRegularSeason20242025!$AB$3:$AB$1315,DataRegularSeason20242025!$B$3:$B$1315, "&lt;=" &amp; GD$1, DataRegularSeason20242025!$E$3:$E$1315, $A33)</f>
        <v>2</v>
      </c>
      <c r="GE33">
        <f>SUMIFS(DataRegularSeason20242025!$AA$3:$AA$1315,DataRegularSeason20242025!$B$3:$B$1315, "&lt;=" &amp; GE$1, DataRegularSeason20242025!$D$3:$D$1315, $A33)+SUMIFS(DataRegularSeason20242025!$AB$3:$AB$1315,DataRegularSeason20242025!$B$3:$B$1315, "&lt;=" &amp; GE$1, DataRegularSeason20242025!$E$3:$E$1315, $A33)</f>
        <v>2</v>
      </c>
      <c r="GF33">
        <f>SUMIFS(DataRegularSeason20242025!$AA$3:$AA$1315,DataRegularSeason20242025!$B$3:$B$1315, "&lt;=" &amp; GF$1, DataRegularSeason20242025!$D$3:$D$1315, $A33)+SUMIFS(DataRegularSeason20242025!$AB$3:$AB$1315,DataRegularSeason20242025!$B$3:$B$1315, "&lt;=" &amp; GF$1, DataRegularSeason20242025!$E$3:$E$1315, $A33)</f>
        <v>2</v>
      </c>
      <c r="GG33">
        <f>SUMIFS(DataRegularSeason20242025!$AA$3:$AA$1315,DataRegularSeason20242025!$B$3:$B$1315, "&lt;=" &amp; GG$1, DataRegularSeason20242025!$D$3:$D$1315, $A33)+SUMIFS(DataRegularSeason20242025!$AB$3:$AB$1315,DataRegularSeason20242025!$B$3:$B$1315, "&lt;=" &amp; GG$1, DataRegularSeason20242025!$E$3:$E$1315, $A33)</f>
        <v>2</v>
      </c>
      <c r="GH33">
        <f>SUMIFS(DataRegularSeason20242025!$AA$3:$AA$1315,DataRegularSeason20242025!$B$3:$B$1315, "&lt;=" &amp; GH$1, DataRegularSeason20242025!$D$3:$D$1315, $A33)+SUMIFS(DataRegularSeason20242025!$AB$3:$AB$1315,DataRegularSeason20242025!$B$3:$B$1315, "&lt;=" &amp; GH$1, DataRegularSeason20242025!$E$3:$E$1315, $A33)</f>
        <v>2</v>
      </c>
      <c r="GI33">
        <f>SUMIFS(DataRegularSeason20242025!$AA$3:$AA$1315,DataRegularSeason20242025!$B$3:$B$1315, "&lt;=" &amp; GI$1, DataRegularSeason20242025!$D$3:$D$1315, $A33)+SUMIFS(DataRegularSeason20242025!$AB$3:$AB$1315,DataRegularSeason20242025!$B$3:$B$1315, "&lt;=" &amp; GI$1, DataRegularSeason20242025!$E$3:$E$1315, $A33)</f>
        <v>2</v>
      </c>
      <c r="GJ33">
        <f>SUMIFS(DataRegularSeason20242025!$AA$3:$AA$1315,DataRegularSeason20242025!$B$3:$B$1315, "&lt;=" &amp; GJ$1, DataRegularSeason20242025!$D$3:$D$1315, $A33)+SUMIFS(DataRegularSeason20242025!$AB$3:$AB$1315,DataRegularSeason20242025!$B$3:$B$1315, "&lt;=" &amp; GJ$1, DataRegularSeason20242025!$E$3:$E$1315, $A33)</f>
        <v>2</v>
      </c>
      <c r="GK33">
        <f>SUMIFS(DataRegularSeason20242025!$AA$3:$AA$1315,DataRegularSeason20242025!$B$3:$B$1315, "&lt;=" &amp; GK$1, DataRegularSeason20242025!$D$3:$D$1315, $A33)+SUMIFS(DataRegularSeason20242025!$AB$3:$AB$1315,DataRegularSeason20242025!$B$3:$B$1315, "&lt;=" &amp; GK$1, DataRegularSeason20242025!$E$3:$E$1315, $A33)</f>
        <v>2</v>
      </c>
      <c r="GL33">
        <f>SUMIFS(DataRegularSeason20242025!$AA$3:$AA$1315,DataRegularSeason20242025!$B$3:$B$1315, "&lt;=" &amp; GL$1, DataRegularSeason20242025!$D$3:$D$1315, $A33)+SUMIFS(DataRegularSeason20242025!$AB$3:$AB$1315,DataRegularSeason20242025!$B$3:$B$1315, "&lt;=" &amp; GL$1, DataRegularSeason20242025!$E$3:$E$1315, $A33)</f>
        <v>2</v>
      </c>
      <c r="GM33">
        <f>SUMIFS(DataRegularSeason20242025!$AA$3:$AA$1315,DataRegularSeason20242025!$B$3:$B$1315, "&lt;=" &amp; GM$1, DataRegularSeason20242025!$D$3:$D$1315, $A33)+SUMIFS(DataRegularSeason20242025!$AB$3:$AB$1315,DataRegularSeason20242025!$B$3:$B$1315, "&lt;=" &amp; GM$1, DataRegularSeason20242025!$E$3:$E$1315, $A33)</f>
        <v>2</v>
      </c>
      <c r="GN33">
        <f>SUMIFS(DataRegularSeason20242025!$AA$3:$AA$1315,DataRegularSeason20242025!$B$3:$B$1315, "&lt;=" &amp; GN$1, DataRegularSeason20242025!$D$3:$D$1315, $A33)+SUMIFS(DataRegularSeason20242025!$AB$3:$AB$1315,DataRegularSeason20242025!$B$3:$B$1315, "&lt;=" &amp; GN$1, DataRegularSeason20242025!$E$3:$E$1315, $A33)</f>
        <v>2</v>
      </c>
      <c r="GO33">
        <f>SUMIFS(DataRegularSeason20242025!$AA$3:$AA$1315,DataRegularSeason20242025!$B$3:$B$1315, "&lt;=" &amp; GO$1, DataRegularSeason20242025!$D$3:$D$1315, $A33)+SUMIFS(DataRegularSeason20242025!$AB$3:$AB$1315,DataRegularSeason20242025!$B$3:$B$1315, "&lt;=" &amp; GO$1, DataRegularSeason20242025!$E$3:$E$1315, $A33)</f>
        <v>2</v>
      </c>
      <c r="GP33">
        <f>SUMIFS(DataRegularSeason20242025!$AA$3:$AA$1315,DataRegularSeason20242025!$B$3:$B$1315, "&lt;=" &amp; GP$1, DataRegularSeason20242025!$D$3:$D$1315, $A33)+SUMIFS(DataRegularSeason20242025!$AB$3:$AB$1315,DataRegularSeason20242025!$B$3:$B$1315, "&lt;=" &amp; GP$1, DataRegularSeason20242025!$E$3:$E$1315, $A33)</f>
        <v>2</v>
      </c>
      <c r="GQ33">
        <f>SUMIFS(DataRegularSeason20242025!$AA$3:$AA$1315,DataRegularSeason20242025!$B$3:$B$1315, "&lt;=" &amp; GQ$1, DataRegularSeason20242025!$D$3:$D$1315, $A33)+SUMIFS(DataRegularSeason20242025!$AB$3:$AB$1315,DataRegularSeason20242025!$B$3:$B$1315, "&lt;=" &amp; GQ$1, DataRegularSeason20242025!$E$3:$E$1315, $A33)</f>
        <v>2</v>
      </c>
      <c r="GR33">
        <f>SUMIFS(DataRegularSeason20242025!$AA$3:$AA$1315,DataRegularSeason20242025!$B$3:$B$1315, "&lt;=" &amp; GR$1, DataRegularSeason20242025!$D$3:$D$1315, $A33)+SUMIFS(DataRegularSeason20242025!$AB$3:$AB$1315,DataRegularSeason20242025!$B$3:$B$1315, "&lt;=" &amp; GR$1, DataRegularSeason20242025!$E$3:$E$1315, $A33)</f>
        <v>2</v>
      </c>
      <c r="GS33">
        <f>SUMIFS(DataRegularSeason20242025!$AA$3:$AA$1315,DataRegularSeason20242025!$B$3:$B$1315, "&lt;=" &amp; GS$1, DataRegularSeason20242025!$D$3:$D$1315, $A33)+SUMIFS(DataRegularSeason20242025!$AB$3:$AB$1315,DataRegularSeason20242025!$B$3:$B$1315, "&lt;=" &amp; GS$1, DataRegularSeason20242025!$E$3:$E$1315, $A33)</f>
        <v>2</v>
      </c>
      <c r="GT33">
        <f>SUMIFS(DataRegularSeason20242025!$AA$3:$AA$1315,DataRegularSeason20242025!$B$3:$B$1315, "&lt;=" &amp; GT$1, DataRegularSeason20242025!$D$3:$D$1315, $A33)+SUMIFS(DataRegularSeason20242025!$AB$3:$AB$1315,DataRegularSeason20242025!$B$3:$B$1315, "&lt;=" &amp; GT$1, DataRegularSeason20242025!$E$3:$E$1315, $A33)</f>
        <v>2</v>
      </c>
      <c r="GU33">
        <f>SUMIFS(DataRegularSeason20242025!$AA$3:$AA$1315,DataRegularSeason20242025!$B$3:$B$1315, "&lt;=" &amp; GU$1, DataRegularSeason20242025!$D$3:$D$1315, $A33)+SUMIFS(DataRegularSeason20242025!$AB$3:$AB$1315,DataRegularSeason20242025!$B$3:$B$1315, "&lt;=" &amp; GU$1, DataRegularSeason20242025!$E$3:$E$1315, $A33)</f>
        <v>2</v>
      </c>
    </row>
    <row r="34" spans="1:275" x14ac:dyDescent="0.25">
      <c r="A34" t="s">
        <v>436</v>
      </c>
      <c r="D34">
        <f>SUBTOTAL(101,Table4[2025-10-03])</f>
        <v>0</v>
      </c>
      <c r="E34">
        <f>SUBTOTAL(101,Table4[2025-10-04])</f>
        <v>0</v>
      </c>
      <c r="F34">
        <f>SUBTOTAL(101,Table4[2025-10-05])</f>
        <v>0</v>
      </c>
      <c r="G34">
        <f>SUBTOTAL(101,Table4[2025-10-06])</f>
        <v>0</v>
      </c>
      <c r="H34">
        <f>SUBTOTAL(101,Table4[2025-10-07])</f>
        <v>0.1875</v>
      </c>
      <c r="I34">
        <f>SUBTOTAL(101,Table4[2025-10-08])</f>
        <v>0.5</v>
      </c>
      <c r="J34">
        <f>SUBTOTAL(101,Table4[2025-10-09])</f>
        <v>1.4375</v>
      </c>
      <c r="K34">
        <f>SUBTOTAL(101,Table4[2025-10-10])</f>
        <v>1.4375</v>
      </c>
      <c r="L34">
        <f>SUBTOTAL(101,Table4[2025-10-11])</f>
        <v>2.59375</v>
      </c>
      <c r="M34">
        <f>SUBTOTAL(101,Table4[2025-10-12])</f>
        <v>2.65625</v>
      </c>
      <c r="N34">
        <f>SUBTOTAL(101,Table4[2025-10-13])</f>
        <v>3.3125</v>
      </c>
      <c r="O34">
        <f>SUBTOTAL(101,Table4[2025-10-14])</f>
        <v>3.875</v>
      </c>
      <c r="P34">
        <f>SUBTOTAL(101,Table4[2025-10-15])</f>
        <v>4.125</v>
      </c>
      <c r="Q34">
        <f>SUBTOTAL(101,Table4[2025-10-16])</f>
        <v>4.90625</v>
      </c>
      <c r="R34">
        <f>SUBTOTAL(101,Table4[2025-10-17])</f>
        <v>5.21875</v>
      </c>
      <c r="S34">
        <f>SUBTOTAL(101,Table4[2025-10-18])</f>
        <v>6.125</v>
      </c>
      <c r="T34">
        <f>SUBTOTAL(101,Table4[2025-10-19])</f>
        <v>6.40625</v>
      </c>
      <c r="U34">
        <f>SUBTOTAL(101,Table4[2025-10-20])</f>
        <v>6.71875</v>
      </c>
      <c r="V34">
        <f>SUBTOTAL(101,Table4[2025-10-21])</f>
        <v>7.4375</v>
      </c>
      <c r="W34">
        <f>SUBTOTAL(101,Table4[2025-10-22])</f>
        <v>7.4375</v>
      </c>
      <c r="X34">
        <f>SUBTOTAL(101,Table4[2025-10-23])</f>
        <v>7.4375</v>
      </c>
      <c r="Y34">
        <f>SUBTOTAL(101,Table4[2025-10-24])</f>
        <v>7.4375</v>
      </c>
      <c r="Z34">
        <f>SUBTOTAL(101,Table4[2025-10-25])</f>
        <v>7.4375</v>
      </c>
      <c r="AA34">
        <f>SUBTOTAL(101,Table4[2025-10-26])</f>
        <v>7.4375</v>
      </c>
      <c r="AB34">
        <f>SUBTOTAL(101,Table4[2025-10-27])</f>
        <v>7.4375</v>
      </c>
      <c r="AC34">
        <f>SUBTOTAL(101,Table4[2025-10-28])</f>
        <v>7.4375</v>
      </c>
      <c r="AD34">
        <f>SUBTOTAL(101,Table4[2025-10-29])</f>
        <v>7.4375</v>
      </c>
      <c r="AE34">
        <f>SUBTOTAL(101,Table4[2025-10-30])</f>
        <v>7.4375</v>
      </c>
      <c r="AF34">
        <f>SUBTOTAL(101,Table4[2025-10-31])</f>
        <v>7.4375</v>
      </c>
      <c r="AG34">
        <f>SUBTOTAL(101,Table4[2025-11-01])</f>
        <v>7.4375</v>
      </c>
      <c r="AH34">
        <f>SUBTOTAL(101,Table4[2025-11-02])</f>
        <v>7.4375</v>
      </c>
      <c r="AI34">
        <f>SUBTOTAL(101,Table4[2025-11-03])</f>
        <v>7.4375</v>
      </c>
      <c r="AJ34">
        <f>SUBTOTAL(101,Table4[2025-11-04])</f>
        <v>7.4375</v>
      </c>
      <c r="AK34">
        <f>SUBTOTAL(101,Table4[2025-11-05])</f>
        <v>7.4375</v>
      </c>
      <c r="AL34">
        <f>SUBTOTAL(101,Table4[2025-11-06])</f>
        <v>7.4375</v>
      </c>
      <c r="AM34">
        <f>SUBTOTAL(101,Table4[2025-11-07])</f>
        <v>7.4375</v>
      </c>
      <c r="AN34">
        <f>SUBTOTAL(101,Table4[2025-11-08])</f>
        <v>7.4375</v>
      </c>
      <c r="AO34">
        <f>SUBTOTAL(101,Table4[2025-11-09])</f>
        <v>7.4375</v>
      </c>
      <c r="AP34">
        <f>SUBTOTAL(101,Table4[2025-11-10])</f>
        <v>7.4375</v>
      </c>
      <c r="AQ34">
        <f>SUBTOTAL(101,Table4[2025-11-11])</f>
        <v>7.4375</v>
      </c>
      <c r="AR34">
        <f>SUBTOTAL(101,Table4[2025-11-12])</f>
        <v>7.4375</v>
      </c>
      <c r="AS34">
        <f>SUBTOTAL(101,Table4[2025-11-13])</f>
        <v>7.4375</v>
      </c>
      <c r="AT34">
        <f>SUBTOTAL(101,Table4[2025-11-14])</f>
        <v>7.4375</v>
      </c>
      <c r="AU34">
        <f>SUBTOTAL(101,Table4[2025-11-15])</f>
        <v>7.4375</v>
      </c>
      <c r="AV34">
        <f>SUBTOTAL(101,Table4[2025-11-16])</f>
        <v>7.4375</v>
      </c>
      <c r="AW34">
        <f>SUBTOTAL(101,Table4[2025-11-17])</f>
        <v>7.4375</v>
      </c>
      <c r="AX34">
        <f>SUBTOTAL(101,Table4[2025-11-18])</f>
        <v>7.4375</v>
      </c>
      <c r="AY34">
        <f>SUBTOTAL(101,Table4[2025-11-19])</f>
        <v>7.4375</v>
      </c>
      <c r="AZ34">
        <f>SUBTOTAL(101,Table4[2025-11-20])</f>
        <v>7.4375</v>
      </c>
      <c r="BA34">
        <f>SUBTOTAL(101,Table4[2025-11-21])</f>
        <v>7.4375</v>
      </c>
      <c r="BB34">
        <f>SUBTOTAL(101,Table4[2025-11-22])</f>
        <v>7.4375</v>
      </c>
      <c r="BC34">
        <f>SUBTOTAL(101,Table4[2025-11-23])</f>
        <v>7.4375</v>
      </c>
      <c r="BD34">
        <f>SUBTOTAL(101,Table4[2025-11-24])</f>
        <v>7.4375</v>
      </c>
      <c r="BE34">
        <f>SUBTOTAL(101,Table4[2025-11-25])</f>
        <v>7.4375</v>
      </c>
      <c r="BF34">
        <f>SUBTOTAL(101,Table4[2025-11-26])</f>
        <v>7.4375</v>
      </c>
      <c r="BG34">
        <f>SUBTOTAL(101,Table4[2025-11-27])</f>
        <v>7.4375</v>
      </c>
      <c r="BH34">
        <f>SUBTOTAL(101,Table4[2025-11-28])</f>
        <v>7.4375</v>
      </c>
      <c r="BI34">
        <f>SUBTOTAL(101,Table4[2025-11-29])</f>
        <v>7.4375</v>
      </c>
      <c r="BJ34">
        <f>SUBTOTAL(101,Table4[2025-11-30])</f>
        <v>7.4375</v>
      </c>
      <c r="BK34">
        <f>SUBTOTAL(101,Table4[2025-12-01])</f>
        <v>7.4375</v>
      </c>
      <c r="BL34">
        <f>SUBTOTAL(101,Table4[2025-12-02])</f>
        <v>7.4375</v>
      </c>
      <c r="BM34">
        <f>SUBTOTAL(101,Table4[2025-12-03])</f>
        <v>7.4375</v>
      </c>
      <c r="BN34">
        <f>SUBTOTAL(101,Table4[2025-12-04])</f>
        <v>7.4375</v>
      </c>
      <c r="BO34">
        <f>SUBTOTAL(101,Table4[2025-12-05])</f>
        <v>7.4375</v>
      </c>
      <c r="BP34">
        <f>SUBTOTAL(101,Table4[2025-12-06])</f>
        <v>7.4375</v>
      </c>
      <c r="BQ34">
        <f>SUBTOTAL(101,Table4[2025-12-07])</f>
        <v>7.4375</v>
      </c>
      <c r="BR34">
        <f>SUBTOTAL(101,Table4[2025-12-08])</f>
        <v>7.4375</v>
      </c>
      <c r="BS34">
        <f>SUBTOTAL(101,Table4[2025-12-09])</f>
        <v>7.4375</v>
      </c>
      <c r="BT34">
        <f>SUBTOTAL(101,Table4[2025-12-10])</f>
        <v>7.4375</v>
      </c>
      <c r="BU34">
        <f>SUBTOTAL(101,Table4[2025-12-11])</f>
        <v>7.4375</v>
      </c>
      <c r="BV34">
        <f>SUBTOTAL(101,Table4[2025-12-12])</f>
        <v>7.4375</v>
      </c>
      <c r="BW34">
        <f>SUBTOTAL(101,Table4[2025-12-13])</f>
        <v>7.4375</v>
      </c>
      <c r="BX34">
        <f>SUBTOTAL(101,Table4[2025-12-14])</f>
        <v>7.4375</v>
      </c>
      <c r="BY34">
        <f>SUBTOTAL(101,Table4[2025-12-15])</f>
        <v>7.4375</v>
      </c>
      <c r="BZ34">
        <f>SUBTOTAL(101,Table4[2025-12-16])</f>
        <v>7.4375</v>
      </c>
      <c r="CA34">
        <f>SUBTOTAL(101,Table4[2025-12-17])</f>
        <v>7.4375</v>
      </c>
      <c r="CB34">
        <f>SUBTOTAL(101,Table4[2025-12-18])</f>
        <v>7.4375</v>
      </c>
      <c r="CC34">
        <f>SUBTOTAL(101,Table4[2025-12-19])</f>
        <v>7.4375</v>
      </c>
      <c r="CD34">
        <f>SUBTOTAL(101,Table4[2025-12-20])</f>
        <v>7.4375</v>
      </c>
      <c r="CE34">
        <f>SUBTOTAL(101,Table4[2025-12-21])</f>
        <v>7.4375</v>
      </c>
      <c r="CF34">
        <f>SUBTOTAL(101,Table4[2025-12-22])</f>
        <v>7.4375</v>
      </c>
      <c r="CG34">
        <f>SUBTOTAL(101,Table4[2025-12-23])</f>
        <v>7.4375</v>
      </c>
      <c r="CH34">
        <f>SUBTOTAL(101,Table4[2025-12-24])</f>
        <v>7.4375</v>
      </c>
      <c r="CI34">
        <f>SUBTOTAL(101,Table4[2025-12-25])</f>
        <v>7.4375</v>
      </c>
      <c r="CJ34">
        <f>SUBTOTAL(101,Table4[2025-12-26])</f>
        <v>7.4375</v>
      </c>
      <c r="CK34">
        <f>SUBTOTAL(101,Table4[2025-12-27])</f>
        <v>7.4375</v>
      </c>
      <c r="CL34">
        <f>SUBTOTAL(101,Table4[2025-12-28])</f>
        <v>7.4375</v>
      </c>
      <c r="CM34">
        <f>SUBTOTAL(101,Table4[2025-12-29])</f>
        <v>7.4375</v>
      </c>
      <c r="CN34">
        <f>SUBTOTAL(101,Table4[2025-12-30])</f>
        <v>7.4375</v>
      </c>
      <c r="CO34">
        <f>SUBTOTAL(101,Table4[2025-12-31])</f>
        <v>7.4375</v>
      </c>
      <c r="CP34">
        <f>SUBTOTAL(101,Table4[2026-01-01])</f>
        <v>7.4375</v>
      </c>
      <c r="CQ34">
        <f>SUBTOTAL(101,Table4[2026-01-02])</f>
        <v>7.4375</v>
      </c>
      <c r="CR34">
        <f>SUBTOTAL(101,Table4[2026-01-03])</f>
        <v>7.4375</v>
      </c>
      <c r="CS34">
        <f>SUBTOTAL(101,Table4[2026-01-04])</f>
        <v>7.4375</v>
      </c>
      <c r="CT34">
        <f>SUBTOTAL(101,Table4[2026-01-05])</f>
        <v>7.4375</v>
      </c>
      <c r="CU34">
        <f>SUBTOTAL(101,Table4[2026-01-06])</f>
        <v>7.4375</v>
      </c>
      <c r="CV34">
        <f>SUBTOTAL(101,Table4[2026-01-07])</f>
        <v>7.4375</v>
      </c>
      <c r="CW34">
        <f>SUBTOTAL(101,Table4[2026-01-08])</f>
        <v>7.4375</v>
      </c>
      <c r="CX34">
        <f>SUBTOTAL(101,Table4[2026-01-09])</f>
        <v>7.4375</v>
      </c>
      <c r="CY34">
        <f>SUBTOTAL(101,Table4[2026-01-10])</f>
        <v>7.4375</v>
      </c>
      <c r="CZ34">
        <f>SUBTOTAL(101,Table4[2026-01-11])</f>
        <v>7.4375</v>
      </c>
      <c r="DA34">
        <f>SUBTOTAL(101,Table4[2026-01-12])</f>
        <v>7.4375</v>
      </c>
      <c r="DB34">
        <f>SUBTOTAL(101,Table4[2026-01-13])</f>
        <v>7.4375</v>
      </c>
      <c r="DC34">
        <f>SUBTOTAL(101,Table4[2026-01-14])</f>
        <v>7.4375</v>
      </c>
      <c r="DD34">
        <f>SUBTOTAL(101,Table4[2026-01-15])</f>
        <v>7.4375</v>
      </c>
      <c r="DE34">
        <f>SUBTOTAL(101,Table4[2026-01-16])</f>
        <v>7.4375</v>
      </c>
      <c r="DF34">
        <f>SUBTOTAL(101,Table4[2026-01-17])</f>
        <v>7.4375</v>
      </c>
      <c r="DG34">
        <f>SUBTOTAL(101,Table4[2026-01-18])</f>
        <v>7.4375</v>
      </c>
      <c r="DH34">
        <f>SUBTOTAL(101,Table4[2026-01-19])</f>
        <v>7.4375</v>
      </c>
      <c r="DI34">
        <f>SUBTOTAL(101,Table4[2026-01-20])</f>
        <v>7.4375</v>
      </c>
      <c r="DJ34">
        <f>SUBTOTAL(101,Table4[2026-01-21])</f>
        <v>7.4375</v>
      </c>
      <c r="DK34">
        <f>SUBTOTAL(101,Table4[2026-01-22])</f>
        <v>7.4375</v>
      </c>
      <c r="DL34">
        <f>SUBTOTAL(101,Table4[2026-01-23])</f>
        <v>7.4375</v>
      </c>
      <c r="DM34">
        <f>SUBTOTAL(101,Table4[2026-01-24])</f>
        <v>7.4375</v>
      </c>
      <c r="DN34">
        <f>SUBTOTAL(101,Table4[2026-01-25])</f>
        <v>7.4375</v>
      </c>
      <c r="DO34">
        <f>SUBTOTAL(101,Table4[2026-01-26])</f>
        <v>7.4375</v>
      </c>
      <c r="DP34">
        <f>SUBTOTAL(101,Table4[2026-01-27])</f>
        <v>7.4375</v>
      </c>
      <c r="DQ34">
        <f>SUBTOTAL(101,Table4[2026-01-28])</f>
        <v>7.4375</v>
      </c>
      <c r="DR34">
        <f>SUBTOTAL(101,Table4[2026-01-29])</f>
        <v>7.4375</v>
      </c>
      <c r="DS34">
        <f>SUBTOTAL(101,Table4[2026-01-30])</f>
        <v>7.4375</v>
      </c>
      <c r="DT34">
        <f>SUBTOTAL(101,Table4[2026-01-31])</f>
        <v>7.4375</v>
      </c>
      <c r="DU34">
        <f>SUBTOTAL(101,Table4[2026-02-01])</f>
        <v>7.4375</v>
      </c>
      <c r="DV34">
        <f>SUBTOTAL(101,Table4[2026-02-02])</f>
        <v>7.4375</v>
      </c>
      <c r="DW34">
        <f>SUBTOTAL(101,Table4[2026-02-03])</f>
        <v>7.4375</v>
      </c>
      <c r="DX34">
        <f>SUBTOTAL(101,Table4[2026-02-04])</f>
        <v>7.4375</v>
      </c>
      <c r="DY34">
        <f>SUBTOTAL(101,Table4[2026-02-05])</f>
        <v>7.4375</v>
      </c>
      <c r="DZ34">
        <f>SUBTOTAL(101,Table4[2026-02-06])</f>
        <v>7.4375</v>
      </c>
      <c r="EA34">
        <f>SUBTOTAL(101,Table4[2026-02-07])</f>
        <v>7.4375</v>
      </c>
      <c r="EB34">
        <f>SUBTOTAL(101,Table4[2026-02-08])</f>
        <v>7.4375</v>
      </c>
      <c r="EC34">
        <f>SUBTOTAL(101,Table4[2026-02-09])</f>
        <v>7.4375</v>
      </c>
      <c r="ED34">
        <f>SUBTOTAL(101,Table4[2026-02-10])</f>
        <v>7.4375</v>
      </c>
      <c r="EE34">
        <f>SUBTOTAL(101,Table4[2026-02-11])</f>
        <v>7.4375</v>
      </c>
      <c r="EF34">
        <f>SUBTOTAL(101,Table4[2026-02-12])</f>
        <v>7.4375</v>
      </c>
      <c r="EG34">
        <f>SUBTOTAL(101,Table4[2026-02-13])</f>
        <v>7.4375</v>
      </c>
      <c r="EH34">
        <f>SUBTOTAL(101,Table4[2026-02-14])</f>
        <v>7.4375</v>
      </c>
      <c r="EI34">
        <f>SUBTOTAL(101,Table4[2026-02-15])</f>
        <v>7.4375</v>
      </c>
      <c r="EJ34">
        <f>SUBTOTAL(101,Table4[2026-02-16])</f>
        <v>7.4375</v>
      </c>
      <c r="EK34">
        <f>SUBTOTAL(101,Table4[2026-02-17])</f>
        <v>7.4375</v>
      </c>
      <c r="EL34">
        <f>SUBTOTAL(101,Table4[2026-02-18])</f>
        <v>7.4375</v>
      </c>
      <c r="EM34">
        <f>SUBTOTAL(101,Table4[2026-02-19])</f>
        <v>7.4375</v>
      </c>
      <c r="EN34">
        <f>SUBTOTAL(101,Table4[2026-02-20])</f>
        <v>7.4375</v>
      </c>
      <c r="EO34">
        <f>SUBTOTAL(101,Table4[2026-02-21])</f>
        <v>7.4375</v>
      </c>
      <c r="EP34">
        <f>SUBTOTAL(101,Table4[2026-02-22])</f>
        <v>7.4375</v>
      </c>
      <c r="EQ34">
        <f>SUBTOTAL(101,Table4[2026-02-23])</f>
        <v>7.4375</v>
      </c>
      <c r="ER34">
        <f>SUBTOTAL(101,Table4[2026-02-24])</f>
        <v>7.4375</v>
      </c>
      <c r="ES34">
        <f>SUBTOTAL(101,Table4[2026-02-25])</f>
        <v>7.4375</v>
      </c>
      <c r="ET34">
        <f>SUBTOTAL(101,Table4[2026-02-26])</f>
        <v>7.4375</v>
      </c>
      <c r="EU34">
        <f>SUBTOTAL(101,Table4[2026-02-27])</f>
        <v>7.4375</v>
      </c>
      <c r="EV34">
        <f>SUBTOTAL(101,Table4[2026-02-28])</f>
        <v>7.4375</v>
      </c>
      <c r="EW34">
        <f>SUBTOTAL(101,Table4[2026-03-01])</f>
        <v>7.4375</v>
      </c>
      <c r="EX34">
        <f>SUBTOTAL(101,Table4[2026-03-02])</f>
        <v>7.4375</v>
      </c>
      <c r="EY34">
        <f>SUBTOTAL(101,Table4[2026-03-03])</f>
        <v>7.4375</v>
      </c>
      <c r="EZ34">
        <f>SUBTOTAL(101,Table4[2026-03-04])</f>
        <v>7.4375</v>
      </c>
      <c r="FA34">
        <f>SUBTOTAL(101,Table4[2026-03-05])</f>
        <v>7.4375</v>
      </c>
      <c r="FB34">
        <f>SUBTOTAL(101,Table4[2026-03-06])</f>
        <v>7.4375</v>
      </c>
      <c r="FC34">
        <f>SUBTOTAL(101,Table4[2026-03-07])</f>
        <v>7.4375</v>
      </c>
      <c r="FD34">
        <f>SUBTOTAL(101,Table4[2026-03-08])</f>
        <v>7.4375</v>
      </c>
      <c r="FE34">
        <f>SUBTOTAL(101,Table4[2026-03-09])</f>
        <v>7.4375</v>
      </c>
      <c r="FF34">
        <f>SUBTOTAL(101,Table4[2026-03-10])</f>
        <v>7.4375</v>
      </c>
      <c r="FG34">
        <f>SUBTOTAL(101,Table4[2026-03-11])</f>
        <v>7.4375</v>
      </c>
      <c r="FH34">
        <f>SUBTOTAL(101,Table4[2026-03-12])</f>
        <v>7.4375</v>
      </c>
      <c r="FI34">
        <f>SUBTOTAL(101,Table4[2026-03-13])</f>
        <v>7.4375</v>
      </c>
      <c r="FJ34">
        <f>SUBTOTAL(101,Table4[2026-03-14])</f>
        <v>7.4375</v>
      </c>
      <c r="FK34">
        <f>SUBTOTAL(101,Table4[2026-03-15])</f>
        <v>7.4375</v>
      </c>
      <c r="FL34">
        <f>SUBTOTAL(101,Table4[2026-03-16])</f>
        <v>7.4375</v>
      </c>
      <c r="FM34">
        <f>SUBTOTAL(101,Table4[2026-03-17])</f>
        <v>7.4375</v>
      </c>
      <c r="FN34">
        <f>SUBTOTAL(101,Table4[2026-03-18])</f>
        <v>7.4375</v>
      </c>
      <c r="FO34">
        <f>SUBTOTAL(101,Table4[2026-03-19])</f>
        <v>7.4375</v>
      </c>
      <c r="FP34">
        <f>SUBTOTAL(101,Table4[2026-03-20])</f>
        <v>7.4375</v>
      </c>
      <c r="FQ34">
        <f>SUBTOTAL(101,Table4[2026-03-21])</f>
        <v>7.4375</v>
      </c>
      <c r="FR34">
        <f>SUBTOTAL(101,Table4[2026-03-22])</f>
        <v>7.4375</v>
      </c>
      <c r="FS34">
        <f>SUBTOTAL(101,Table4[2026-03-23])</f>
        <v>7.4375</v>
      </c>
      <c r="FT34">
        <f>SUBTOTAL(101,Table4[2026-03-24])</f>
        <v>7.4375</v>
      </c>
      <c r="FU34">
        <f>SUBTOTAL(101,Table4[2026-03-25])</f>
        <v>7.4375</v>
      </c>
      <c r="FV34">
        <f>SUBTOTAL(101,Table4[2026-03-26])</f>
        <v>7.4375</v>
      </c>
      <c r="FW34">
        <f>SUBTOTAL(101,Table4[2026-03-27])</f>
        <v>7.4375</v>
      </c>
      <c r="FX34">
        <f>SUBTOTAL(101,Table4[2026-03-28])</f>
        <v>7.4375</v>
      </c>
      <c r="FY34">
        <f>SUBTOTAL(101,Table4[2026-03-29])</f>
        <v>7.4375</v>
      </c>
      <c r="FZ34">
        <f>SUBTOTAL(101,Table4[2026-03-30])</f>
        <v>7.4375</v>
      </c>
      <c r="GA34">
        <f>SUBTOTAL(101,Table4[2026-03-31])</f>
        <v>7.4375</v>
      </c>
      <c r="GB34">
        <f>SUBTOTAL(101,Table4[2026-04-01])</f>
        <v>7.4375</v>
      </c>
      <c r="GC34">
        <f>SUBTOTAL(101,Table4[2026-04-02])</f>
        <v>7.4375</v>
      </c>
      <c r="GD34">
        <f>SUBTOTAL(101,Table4[2026-04-03])</f>
        <v>7.4375</v>
      </c>
      <c r="GE34">
        <f>SUBTOTAL(101,Table4[2026-04-04])</f>
        <v>7.4375</v>
      </c>
      <c r="GF34">
        <f>SUBTOTAL(101,Table4[2026-04-05])</f>
        <v>7.4375</v>
      </c>
      <c r="GG34">
        <f>SUBTOTAL(101,Table4[2026-04-06])</f>
        <v>7.4375</v>
      </c>
      <c r="GH34">
        <f>SUBTOTAL(101,Table4[2026-04-07])</f>
        <v>7.4375</v>
      </c>
      <c r="GI34">
        <f>SUBTOTAL(101,Table4[2026-04-08])</f>
        <v>7.4375</v>
      </c>
      <c r="GJ34">
        <f>SUBTOTAL(101,Table4[2026-04-09])</f>
        <v>7.4375</v>
      </c>
      <c r="GK34">
        <f>SUBTOTAL(101,Table4[2026-04-10])</f>
        <v>7.4375</v>
      </c>
      <c r="GL34">
        <f>SUBTOTAL(101,Table4[2026-04-11])</f>
        <v>7.4375</v>
      </c>
      <c r="GM34">
        <f>SUBTOTAL(101,Table4[2026-04-12])</f>
        <v>7.4375</v>
      </c>
      <c r="GN34">
        <f>SUBTOTAL(101,Table4[2026-04-13])</f>
        <v>7.4375</v>
      </c>
      <c r="GO34">
        <f>SUBTOTAL(101,Table4[2026-04-14])</f>
        <v>7.4375</v>
      </c>
      <c r="GP34">
        <f>SUBTOTAL(101,Table4[2026-04-15])</f>
        <v>7.4375</v>
      </c>
      <c r="GQ34">
        <f>SUBTOTAL(101,Table4[2026-04-16])</f>
        <v>7.4375</v>
      </c>
      <c r="GR34">
        <f>SUBTOTAL(101,Table4[2026-04-17])</f>
        <v>7.4375</v>
      </c>
      <c r="GS34">
        <f>SUBTOTAL(101,Table4[2026-04-18])</f>
        <v>7.4375</v>
      </c>
      <c r="GT34">
        <f>SUBTOTAL(101,Table4[2026-04-19])</f>
        <v>7.4375</v>
      </c>
      <c r="GU34">
        <f>SUBTOTAL(101,Table4[2026-04-20])</f>
        <v>7.4375</v>
      </c>
      <c r="JO34">
        <f>SUBTOTAL(103,Table4[2025-07-01])</f>
        <v>0</v>
      </c>
    </row>
    <row r="37" spans="1:275" ht="54.75" x14ac:dyDescent="0.25">
      <c r="A37" s="21" t="s">
        <v>433</v>
      </c>
      <c r="B37" s="21" t="s">
        <v>434</v>
      </c>
      <c r="C37" s="21" t="s">
        <v>435</v>
      </c>
      <c r="D37" s="22" t="s">
        <v>161</v>
      </c>
      <c r="E37" s="22" t="s">
        <v>162</v>
      </c>
      <c r="F37" s="22" t="s">
        <v>163</v>
      </c>
      <c r="G37" s="22" t="s">
        <v>164</v>
      </c>
      <c r="H37" s="22" t="s">
        <v>165</v>
      </c>
      <c r="I37" s="22" t="s">
        <v>166</v>
      </c>
      <c r="J37" s="22" t="s">
        <v>167</v>
      </c>
      <c r="K37" s="22" t="s">
        <v>168</v>
      </c>
      <c r="L37" s="22" t="s">
        <v>169</v>
      </c>
      <c r="M37" s="22" t="s">
        <v>170</v>
      </c>
      <c r="N37" s="22" t="s">
        <v>171</v>
      </c>
      <c r="O37" s="22" t="s">
        <v>172</v>
      </c>
      <c r="P37" s="22" t="s">
        <v>173</v>
      </c>
      <c r="Q37" s="22" t="s">
        <v>174</v>
      </c>
      <c r="R37" s="22" t="s">
        <v>175</v>
      </c>
      <c r="S37" s="22" t="s">
        <v>176</v>
      </c>
      <c r="T37" s="22" t="s">
        <v>177</v>
      </c>
      <c r="U37" s="22" t="s">
        <v>178</v>
      </c>
      <c r="V37" s="22" t="s">
        <v>179</v>
      </c>
      <c r="W37" s="22" t="s">
        <v>180</v>
      </c>
      <c r="X37" s="22" t="s">
        <v>181</v>
      </c>
      <c r="Y37" s="22" t="s">
        <v>182</v>
      </c>
      <c r="Z37" s="22" t="s">
        <v>183</v>
      </c>
      <c r="AA37" s="22" t="s">
        <v>184</v>
      </c>
      <c r="AB37" s="22" t="s">
        <v>185</v>
      </c>
      <c r="AC37" s="22" t="s">
        <v>186</v>
      </c>
      <c r="AD37" s="22" t="s">
        <v>187</v>
      </c>
      <c r="AE37" s="22" t="s">
        <v>188</v>
      </c>
      <c r="AF37" s="22" t="s">
        <v>189</v>
      </c>
      <c r="AG37" s="22" t="s">
        <v>190</v>
      </c>
      <c r="AH37" s="22" t="s">
        <v>191</v>
      </c>
      <c r="AI37" s="22" t="s">
        <v>192</v>
      </c>
      <c r="AJ37" s="22" t="s">
        <v>193</v>
      </c>
      <c r="AK37" s="22" t="s">
        <v>194</v>
      </c>
      <c r="AL37" s="22" t="s">
        <v>195</v>
      </c>
      <c r="AM37" s="22" t="s">
        <v>196</v>
      </c>
      <c r="AN37" s="22" t="s">
        <v>197</v>
      </c>
      <c r="AO37" s="22" t="s">
        <v>198</v>
      </c>
      <c r="AP37" s="22" t="s">
        <v>199</v>
      </c>
      <c r="AQ37" s="22" t="s">
        <v>200</v>
      </c>
      <c r="AR37" s="22" t="s">
        <v>201</v>
      </c>
      <c r="AS37" s="22" t="s">
        <v>202</v>
      </c>
      <c r="AT37" s="22" t="s">
        <v>203</v>
      </c>
      <c r="AU37" s="22" t="s">
        <v>204</v>
      </c>
      <c r="AV37" s="22" t="s">
        <v>205</v>
      </c>
      <c r="AW37" s="22" t="s">
        <v>206</v>
      </c>
      <c r="AX37" s="22" t="s">
        <v>207</v>
      </c>
      <c r="AY37" s="22" t="s">
        <v>208</v>
      </c>
      <c r="AZ37" s="22" t="s">
        <v>209</v>
      </c>
      <c r="BA37" s="22" t="s">
        <v>210</v>
      </c>
      <c r="BB37" s="22" t="s">
        <v>211</v>
      </c>
      <c r="BC37" s="22" t="s">
        <v>212</v>
      </c>
      <c r="BD37" s="22" t="s">
        <v>213</v>
      </c>
      <c r="BE37" s="22" t="s">
        <v>214</v>
      </c>
      <c r="BF37" s="22" t="s">
        <v>215</v>
      </c>
      <c r="BG37" s="22" t="s">
        <v>216</v>
      </c>
      <c r="BH37" s="22" t="s">
        <v>217</v>
      </c>
      <c r="BI37" s="22" t="s">
        <v>218</v>
      </c>
      <c r="BJ37" s="22" t="s">
        <v>219</v>
      </c>
      <c r="BK37" s="22" t="s">
        <v>220</v>
      </c>
      <c r="BL37" s="22" t="s">
        <v>221</v>
      </c>
      <c r="BM37" s="22" t="s">
        <v>222</v>
      </c>
      <c r="BN37" s="22" t="s">
        <v>223</v>
      </c>
      <c r="BO37" s="22" t="s">
        <v>224</v>
      </c>
      <c r="BP37" s="22" t="s">
        <v>225</v>
      </c>
      <c r="BQ37" s="22" t="s">
        <v>226</v>
      </c>
      <c r="BR37" s="22" t="s">
        <v>227</v>
      </c>
      <c r="BS37" s="22" t="s">
        <v>228</v>
      </c>
      <c r="BT37" s="22" t="s">
        <v>229</v>
      </c>
      <c r="BU37" s="22" t="s">
        <v>230</v>
      </c>
      <c r="BV37" s="22" t="s">
        <v>231</v>
      </c>
      <c r="BW37" s="22" t="s">
        <v>232</v>
      </c>
      <c r="BX37" s="22" t="s">
        <v>233</v>
      </c>
      <c r="BY37" s="22" t="s">
        <v>234</v>
      </c>
      <c r="BZ37" s="22" t="s">
        <v>235</v>
      </c>
      <c r="CA37" s="22" t="s">
        <v>236</v>
      </c>
      <c r="CB37" s="22" t="s">
        <v>237</v>
      </c>
      <c r="CC37" s="22" t="s">
        <v>238</v>
      </c>
      <c r="CD37" s="22" t="s">
        <v>239</v>
      </c>
      <c r="CE37" s="22" t="s">
        <v>240</v>
      </c>
      <c r="CF37" s="22" t="s">
        <v>241</v>
      </c>
      <c r="CG37" s="22" t="s">
        <v>242</v>
      </c>
      <c r="CH37" s="22" t="s">
        <v>243</v>
      </c>
      <c r="CI37" s="22" t="s">
        <v>244</v>
      </c>
      <c r="CJ37" s="22" t="s">
        <v>245</v>
      </c>
      <c r="CK37" s="22" t="s">
        <v>246</v>
      </c>
      <c r="CL37" s="22" t="s">
        <v>247</v>
      </c>
      <c r="CM37" s="22" t="s">
        <v>248</v>
      </c>
      <c r="CN37" s="22" t="s">
        <v>249</v>
      </c>
      <c r="CO37" s="22" t="s">
        <v>250</v>
      </c>
      <c r="CP37" s="22" t="s">
        <v>251</v>
      </c>
      <c r="CQ37" s="22" t="s">
        <v>252</v>
      </c>
      <c r="CR37" s="22" t="s">
        <v>253</v>
      </c>
      <c r="CS37" s="22" t="s">
        <v>254</v>
      </c>
      <c r="CT37" s="22" t="s">
        <v>255</v>
      </c>
      <c r="CU37" s="22" t="s">
        <v>256</v>
      </c>
      <c r="CV37" s="22" t="s">
        <v>257</v>
      </c>
      <c r="CW37" s="22" t="s">
        <v>258</v>
      </c>
      <c r="CX37" s="22" t="s">
        <v>259</v>
      </c>
      <c r="CY37" s="22" t="s">
        <v>260</v>
      </c>
      <c r="CZ37" s="22" t="s">
        <v>261</v>
      </c>
      <c r="DA37" s="22" t="s">
        <v>262</v>
      </c>
      <c r="DB37" s="22" t="s">
        <v>263</v>
      </c>
      <c r="DC37" s="22" t="s">
        <v>264</v>
      </c>
      <c r="DD37" s="22" t="s">
        <v>265</v>
      </c>
      <c r="DE37" s="22" t="s">
        <v>266</v>
      </c>
      <c r="DF37" s="22" t="s">
        <v>267</v>
      </c>
      <c r="DG37" s="22" t="s">
        <v>268</v>
      </c>
      <c r="DH37" s="22" t="s">
        <v>269</v>
      </c>
      <c r="DI37" s="22" t="s">
        <v>270</v>
      </c>
      <c r="DJ37" s="22" t="s">
        <v>271</v>
      </c>
      <c r="DK37" s="22" t="s">
        <v>272</v>
      </c>
      <c r="DL37" s="22" t="s">
        <v>273</v>
      </c>
      <c r="DM37" s="22" t="s">
        <v>274</v>
      </c>
      <c r="DN37" s="22" t="s">
        <v>275</v>
      </c>
      <c r="DO37" s="22" t="s">
        <v>276</v>
      </c>
      <c r="DP37" s="22" t="s">
        <v>277</v>
      </c>
      <c r="DQ37" s="22" t="s">
        <v>278</v>
      </c>
      <c r="DR37" s="22" t="s">
        <v>279</v>
      </c>
      <c r="DS37" s="22" t="s">
        <v>280</v>
      </c>
      <c r="DT37" s="22" t="s">
        <v>281</v>
      </c>
      <c r="DU37" s="22" t="s">
        <v>282</v>
      </c>
      <c r="DV37" s="22" t="s">
        <v>283</v>
      </c>
      <c r="DW37" s="22" t="s">
        <v>284</v>
      </c>
      <c r="DX37" s="22" t="s">
        <v>285</v>
      </c>
      <c r="DY37" s="22" t="s">
        <v>286</v>
      </c>
      <c r="DZ37" s="22" t="s">
        <v>287</v>
      </c>
      <c r="EA37" s="22" t="s">
        <v>288</v>
      </c>
      <c r="EB37" s="22" t="s">
        <v>289</v>
      </c>
      <c r="EC37" s="22" t="s">
        <v>290</v>
      </c>
      <c r="ED37" s="22" t="s">
        <v>291</v>
      </c>
      <c r="EE37" s="22" t="s">
        <v>292</v>
      </c>
      <c r="EF37" s="22" t="s">
        <v>293</v>
      </c>
      <c r="EG37" s="22" t="s">
        <v>294</v>
      </c>
      <c r="EH37" s="22" t="s">
        <v>295</v>
      </c>
      <c r="EI37" s="22" t="s">
        <v>296</v>
      </c>
      <c r="EJ37" s="22" t="s">
        <v>297</v>
      </c>
      <c r="EK37" s="22" t="s">
        <v>298</v>
      </c>
      <c r="EL37" s="22" t="s">
        <v>299</v>
      </c>
      <c r="EM37" s="22" t="s">
        <v>300</v>
      </c>
      <c r="EN37" s="22" t="s">
        <v>301</v>
      </c>
      <c r="EO37" s="22" t="s">
        <v>302</v>
      </c>
      <c r="EP37" s="22" t="s">
        <v>303</v>
      </c>
      <c r="EQ37" s="22" t="s">
        <v>304</v>
      </c>
      <c r="ER37" s="22" t="s">
        <v>305</v>
      </c>
      <c r="ES37" s="22" t="s">
        <v>306</v>
      </c>
      <c r="ET37" s="22" t="s">
        <v>307</v>
      </c>
      <c r="EU37" s="22" t="s">
        <v>308</v>
      </c>
      <c r="EV37" s="22" t="s">
        <v>309</v>
      </c>
      <c r="EW37" s="22" t="s">
        <v>310</v>
      </c>
      <c r="EX37" s="22" t="s">
        <v>311</v>
      </c>
      <c r="EY37" s="22" t="s">
        <v>312</v>
      </c>
      <c r="EZ37" s="22" t="s">
        <v>313</v>
      </c>
      <c r="FA37" s="22" t="s">
        <v>314</v>
      </c>
      <c r="FB37" s="22" t="s">
        <v>315</v>
      </c>
      <c r="FC37" s="22" t="s">
        <v>316</v>
      </c>
      <c r="FD37" s="22" t="s">
        <v>317</v>
      </c>
      <c r="FE37" s="22" t="s">
        <v>318</v>
      </c>
      <c r="FF37" s="22" t="s">
        <v>319</v>
      </c>
      <c r="FG37" s="22" t="s">
        <v>320</v>
      </c>
      <c r="FH37" s="22" t="s">
        <v>321</v>
      </c>
      <c r="FI37" s="22" t="s">
        <v>322</v>
      </c>
      <c r="FJ37" s="22" t="s">
        <v>323</v>
      </c>
      <c r="FK37" s="22" t="s">
        <v>324</v>
      </c>
      <c r="FL37" s="22" t="s">
        <v>325</v>
      </c>
      <c r="FM37" s="22" t="s">
        <v>326</v>
      </c>
      <c r="FN37" s="22" t="s">
        <v>327</v>
      </c>
      <c r="FO37" s="22" t="s">
        <v>328</v>
      </c>
      <c r="FP37" s="22" t="s">
        <v>329</v>
      </c>
      <c r="FQ37" s="22" t="s">
        <v>330</v>
      </c>
      <c r="FR37" s="22" t="s">
        <v>331</v>
      </c>
      <c r="FS37" s="22" t="s">
        <v>332</v>
      </c>
      <c r="FT37" s="22" t="s">
        <v>333</v>
      </c>
      <c r="FU37" s="22" t="s">
        <v>334</v>
      </c>
      <c r="FV37" s="22" t="s">
        <v>335</v>
      </c>
      <c r="FW37" s="22" t="s">
        <v>336</v>
      </c>
      <c r="FX37" s="22" t="s">
        <v>337</v>
      </c>
      <c r="FY37" s="22" t="s">
        <v>338</v>
      </c>
      <c r="FZ37" s="22" t="s">
        <v>339</v>
      </c>
      <c r="GA37" s="22" t="s">
        <v>340</v>
      </c>
      <c r="GB37" s="22" t="s">
        <v>341</v>
      </c>
      <c r="GC37" s="22" t="s">
        <v>342</v>
      </c>
      <c r="GD37" s="22" t="s">
        <v>343</v>
      </c>
      <c r="GE37" s="22" t="s">
        <v>344</v>
      </c>
      <c r="GF37" s="22" t="s">
        <v>345</v>
      </c>
      <c r="GG37" s="22" t="s">
        <v>346</v>
      </c>
      <c r="GH37" s="22" t="s">
        <v>347</v>
      </c>
      <c r="GI37" s="22" t="s">
        <v>348</v>
      </c>
      <c r="GJ37" s="22" t="s">
        <v>349</v>
      </c>
      <c r="GK37" s="22" t="s">
        <v>350</v>
      </c>
      <c r="GL37" s="22" t="s">
        <v>351</v>
      </c>
      <c r="GM37" s="22" t="s">
        <v>352</v>
      </c>
      <c r="GN37" s="22" t="s">
        <v>353</v>
      </c>
      <c r="GO37" s="22" t="s">
        <v>354</v>
      </c>
      <c r="GP37" s="22" t="s">
        <v>355</v>
      </c>
      <c r="GQ37" s="22" t="s">
        <v>356</v>
      </c>
      <c r="GR37" s="22" t="s">
        <v>357</v>
      </c>
      <c r="GS37" s="22" t="s">
        <v>358</v>
      </c>
      <c r="GT37" s="22" t="s">
        <v>359</v>
      </c>
      <c r="GU37" s="22" t="s">
        <v>360</v>
      </c>
      <c r="GV37" s="22" t="s">
        <v>361</v>
      </c>
      <c r="GW37" s="22" t="s">
        <v>362</v>
      </c>
      <c r="GX37" s="22" t="s">
        <v>363</v>
      </c>
      <c r="GY37" s="22" t="s">
        <v>364</v>
      </c>
      <c r="GZ37" s="22" t="s">
        <v>365</v>
      </c>
      <c r="HA37" s="22" t="s">
        <v>366</v>
      </c>
      <c r="HB37" s="22" t="s">
        <v>367</v>
      </c>
      <c r="HC37" s="22" t="s">
        <v>368</v>
      </c>
      <c r="HD37" s="22" t="s">
        <v>369</v>
      </c>
      <c r="HE37" s="22" t="s">
        <v>370</v>
      </c>
      <c r="HF37" s="22" t="s">
        <v>371</v>
      </c>
      <c r="HG37" s="22" t="s">
        <v>372</v>
      </c>
      <c r="HH37" s="22" t="s">
        <v>373</v>
      </c>
      <c r="HI37" s="22" t="s">
        <v>374</v>
      </c>
      <c r="HJ37" s="22" t="s">
        <v>375</v>
      </c>
      <c r="HK37" s="22" t="s">
        <v>376</v>
      </c>
      <c r="HL37" s="22" t="s">
        <v>377</v>
      </c>
      <c r="HM37" s="22" t="s">
        <v>378</v>
      </c>
      <c r="HN37" s="22" t="s">
        <v>379</v>
      </c>
      <c r="HO37" s="22" t="s">
        <v>380</v>
      </c>
      <c r="HP37" s="22" t="s">
        <v>381</v>
      </c>
      <c r="HQ37" s="22" t="s">
        <v>382</v>
      </c>
      <c r="HR37" s="22" t="s">
        <v>383</v>
      </c>
      <c r="HS37" s="22" t="s">
        <v>384</v>
      </c>
      <c r="HT37" s="22" t="s">
        <v>385</v>
      </c>
      <c r="HU37" s="22" t="s">
        <v>386</v>
      </c>
      <c r="HV37" s="22" t="s">
        <v>387</v>
      </c>
      <c r="HW37" s="22" t="s">
        <v>388</v>
      </c>
      <c r="HX37" s="22" t="s">
        <v>389</v>
      </c>
      <c r="HY37" s="22" t="s">
        <v>390</v>
      </c>
      <c r="HZ37" s="22" t="s">
        <v>391</v>
      </c>
      <c r="IA37" s="22" t="s">
        <v>392</v>
      </c>
      <c r="IB37" s="22" t="s">
        <v>393</v>
      </c>
      <c r="IC37" s="22" t="s">
        <v>394</v>
      </c>
      <c r="ID37" s="22" t="s">
        <v>395</v>
      </c>
      <c r="IE37" s="22" t="s">
        <v>396</v>
      </c>
      <c r="IF37" s="22" t="s">
        <v>397</v>
      </c>
      <c r="IG37" s="22" t="s">
        <v>398</v>
      </c>
      <c r="IH37" s="22" t="s">
        <v>399</v>
      </c>
      <c r="II37" s="22" t="s">
        <v>400</v>
      </c>
      <c r="IJ37" s="22" t="s">
        <v>401</v>
      </c>
      <c r="IK37" s="22" t="s">
        <v>402</v>
      </c>
      <c r="IL37" s="22" t="s">
        <v>403</v>
      </c>
      <c r="IM37" s="22" t="s">
        <v>404</v>
      </c>
      <c r="IN37" s="22" t="s">
        <v>405</v>
      </c>
      <c r="IO37" s="22" t="s">
        <v>406</v>
      </c>
      <c r="IP37" s="22" t="s">
        <v>407</v>
      </c>
      <c r="IQ37" s="22" t="s">
        <v>408</v>
      </c>
      <c r="IR37" s="22" t="s">
        <v>409</v>
      </c>
      <c r="IS37" s="22" t="s">
        <v>410</v>
      </c>
      <c r="IT37" s="22" t="s">
        <v>411</v>
      </c>
      <c r="IU37" s="22" t="s">
        <v>412</v>
      </c>
      <c r="IV37" s="22" t="s">
        <v>413</v>
      </c>
      <c r="IW37" s="22" t="s">
        <v>414</v>
      </c>
      <c r="IX37" s="22" t="s">
        <v>415</v>
      </c>
      <c r="IY37" s="22" t="s">
        <v>416</v>
      </c>
      <c r="IZ37" s="22" t="s">
        <v>417</v>
      </c>
      <c r="JA37" s="22" t="s">
        <v>418</v>
      </c>
      <c r="JB37" s="22" t="s">
        <v>419</v>
      </c>
      <c r="JC37" s="22" t="s">
        <v>420</v>
      </c>
      <c r="JD37" s="22" t="s">
        <v>421</v>
      </c>
      <c r="JE37" s="22" t="s">
        <v>422</v>
      </c>
      <c r="JF37" s="22" t="s">
        <v>423</v>
      </c>
      <c r="JG37" s="22" t="s">
        <v>424</v>
      </c>
      <c r="JH37" s="22" t="s">
        <v>425</v>
      </c>
      <c r="JI37" s="22" t="s">
        <v>426</v>
      </c>
      <c r="JJ37" s="22" t="s">
        <v>427</v>
      </c>
      <c r="JK37" s="22" t="s">
        <v>428</v>
      </c>
      <c r="JL37" s="22" t="s">
        <v>429</v>
      </c>
      <c r="JM37" s="22" t="s">
        <v>430</v>
      </c>
      <c r="JN37" s="22" t="s">
        <v>431</v>
      </c>
      <c r="JO37" s="22" t="s">
        <v>432</v>
      </c>
    </row>
    <row r="38" spans="1:275" x14ac:dyDescent="0.25">
      <c r="A38" t="s">
        <v>30</v>
      </c>
      <c r="B38" t="s">
        <v>91</v>
      </c>
      <c r="C38" t="s">
        <v>74</v>
      </c>
      <c r="D38">
        <f>SUMIFS(DataRegularSeason20242025!$AA$3:$AA$1315,DataRegularSeason20242025!$B$3:$B$1315, "&lt;=" &amp; D$1, DataRegularSeason20242025!$D$3:$D$1315, $A38)+SUMIFS(DataRegularSeason20242025!$AB$3:$AB$1315,DataRegularSeason20242025!$B$3:$B$1315, "&lt;=" &amp; D$1, DataRegularSeason20242025!$E$3:$E$1315, $A38)</f>
        <v>0</v>
      </c>
      <c r="E38">
        <f>SUMIFS(DataRegularSeason20242025!$AA$3:$AA$1315,DataRegularSeason20242025!$B$3:$B$1315, "&lt;=" &amp; E$1, DataRegularSeason20242025!$D$3:$D$1315, $A38)+SUMIFS(DataRegularSeason20242025!$AB$3:$AB$1315,DataRegularSeason20242025!$B$3:$B$1315, "&lt;=" &amp; E$1, DataRegularSeason20242025!$E$3:$E$1315, $A38)</f>
        <v>0</v>
      </c>
      <c r="F38">
        <f>SUMIFS(DataRegularSeason20242025!$AA$3:$AA$1315,DataRegularSeason20242025!$B$3:$B$1315, "&lt;=" &amp; F$1, DataRegularSeason20242025!$D$3:$D$1315, $A38)+SUMIFS(DataRegularSeason20242025!$AB$3:$AB$1315,DataRegularSeason20242025!$B$3:$B$1315, "&lt;=" &amp; F$1, DataRegularSeason20242025!$E$3:$E$1315, $A38)</f>
        <v>0</v>
      </c>
      <c r="G38">
        <f>SUMIFS(DataRegularSeason20242025!$AA$3:$AA$1315,DataRegularSeason20242025!$B$3:$B$1315, "&lt;=" &amp; G$1, DataRegularSeason20242025!$D$3:$D$1315, $A38)+SUMIFS(DataRegularSeason20242025!$AB$3:$AB$1315,DataRegularSeason20242025!$B$3:$B$1315, "&lt;=" &amp; G$1, DataRegularSeason20242025!$E$3:$E$1315, $A38)</f>
        <v>0</v>
      </c>
      <c r="H38">
        <f>SUMIFS(DataRegularSeason20242025!$AA$3:$AA$1315,DataRegularSeason20242025!$B$3:$B$1315, "&lt;=" &amp; H$1, DataRegularSeason20242025!$D$3:$D$1315, $A38)+SUMIFS(DataRegularSeason20242025!$AB$3:$AB$1315,DataRegularSeason20242025!$B$3:$B$1315, "&lt;=" &amp; H$1, DataRegularSeason20242025!$E$3:$E$1315, $A38)</f>
        <v>0</v>
      </c>
      <c r="I38">
        <f>SUMIFS(DataRegularSeason20242025!$AA$3:$AA$1315,DataRegularSeason20242025!$B$3:$B$1315, "&lt;=" &amp; I$1, DataRegularSeason20242025!$D$3:$D$1315, $A38)+SUMIFS(DataRegularSeason20242025!$AB$3:$AB$1315,DataRegularSeason20242025!$B$3:$B$1315, "&lt;=" &amp; I$1, DataRegularSeason20242025!$E$3:$E$1315, $A38)</f>
        <v>0</v>
      </c>
      <c r="J38">
        <f>SUMIFS(DataRegularSeason20242025!$AA$3:$AA$1315,DataRegularSeason20242025!$B$3:$B$1315, "&lt;=" &amp; J$1, DataRegularSeason20242025!$D$3:$D$1315, $A38)+SUMIFS(DataRegularSeason20242025!$AB$3:$AB$1315,DataRegularSeason20242025!$B$3:$B$1315, "&lt;=" &amp; J$1, DataRegularSeason20242025!$E$3:$E$1315, $A38)</f>
        <v>0</v>
      </c>
      <c r="K38">
        <f>SUMIFS(DataRegularSeason20242025!$AA$3:$AA$1315,DataRegularSeason20242025!$B$3:$B$1315, "&lt;=" &amp; K$1, DataRegularSeason20242025!$D$3:$D$1315, $A38)+SUMIFS(DataRegularSeason20242025!$AB$3:$AB$1315,DataRegularSeason20242025!$B$3:$B$1315, "&lt;=" &amp; K$1, DataRegularSeason20242025!$E$3:$E$1315, $A38)</f>
        <v>0</v>
      </c>
      <c r="L38">
        <f>SUMIFS(DataRegularSeason20242025!$AA$3:$AA$1315,DataRegularSeason20242025!$B$3:$B$1315, "&lt;=" &amp; L$1, DataRegularSeason20242025!$D$3:$D$1315, $A38)+SUMIFS(DataRegularSeason20242025!$AB$3:$AB$1315,DataRegularSeason20242025!$B$3:$B$1315, "&lt;=" &amp; L$1, DataRegularSeason20242025!$E$3:$E$1315, $A38)</f>
        <v>2</v>
      </c>
      <c r="M38">
        <f>SUMIFS(DataRegularSeason20242025!$AA$3:$AA$1315,DataRegularSeason20242025!$B$3:$B$1315, "&lt;=" &amp; M$1, DataRegularSeason20242025!$D$3:$D$1315, $A38)+SUMIFS(DataRegularSeason20242025!$AB$3:$AB$1315,DataRegularSeason20242025!$B$3:$B$1315, "&lt;=" &amp; M$1, DataRegularSeason20242025!$E$3:$E$1315, $A38)</f>
        <v>2</v>
      </c>
      <c r="N38">
        <f>SUMIFS(DataRegularSeason20242025!$AA$3:$AA$1315,DataRegularSeason20242025!$B$3:$B$1315, "&lt;=" &amp; N$1, DataRegularSeason20242025!$D$3:$D$1315, $A38)+SUMIFS(DataRegularSeason20242025!$AB$3:$AB$1315,DataRegularSeason20242025!$B$3:$B$1315, "&lt;=" &amp; N$1, DataRegularSeason20242025!$E$3:$E$1315, $A38)</f>
        <v>4</v>
      </c>
      <c r="O38">
        <f>SUMIFS(DataRegularSeason20242025!$AA$3:$AA$1315,DataRegularSeason20242025!$B$3:$B$1315, "&lt;=" &amp; O$1, DataRegularSeason20242025!$D$3:$D$1315, $A38)+SUMIFS(DataRegularSeason20242025!$AB$3:$AB$1315,DataRegularSeason20242025!$B$3:$B$1315, "&lt;=" &amp; O$1, DataRegularSeason20242025!$E$3:$E$1315, $A38)</f>
        <v>4</v>
      </c>
      <c r="P38">
        <f>SUMIFS(DataRegularSeason20242025!$AA$3:$AA$1315,DataRegularSeason20242025!$B$3:$B$1315, "&lt;=" &amp; P$1, DataRegularSeason20242025!$D$3:$D$1315, $A38)+SUMIFS(DataRegularSeason20242025!$AB$3:$AB$1315,DataRegularSeason20242025!$B$3:$B$1315, "&lt;=" &amp; P$1, DataRegularSeason20242025!$E$3:$E$1315, $A38)</f>
        <v>6</v>
      </c>
      <c r="Q38">
        <f>SUMIFS(DataRegularSeason20242025!$AA$3:$AA$1315,DataRegularSeason20242025!$B$3:$B$1315, "&lt;=" &amp; Q$1, DataRegularSeason20242025!$D$3:$D$1315, $A38)+SUMIFS(DataRegularSeason20242025!$AB$3:$AB$1315,DataRegularSeason20242025!$B$3:$B$1315, "&lt;=" &amp; Q$1, DataRegularSeason20242025!$E$3:$E$1315, $A38)</f>
        <v>6</v>
      </c>
      <c r="R38">
        <f>SUMIFS(DataRegularSeason20242025!$AA$3:$AA$1315,DataRegularSeason20242025!$B$3:$B$1315, "&lt;=" &amp; R$1, DataRegularSeason20242025!$D$3:$D$1315, $A38)+SUMIFS(DataRegularSeason20242025!$AB$3:$AB$1315,DataRegularSeason20242025!$B$3:$B$1315, "&lt;=" &amp; R$1, DataRegularSeason20242025!$E$3:$E$1315, $A38)</f>
        <v>8</v>
      </c>
      <c r="S38">
        <f>SUMIFS(DataRegularSeason20242025!$AA$3:$AA$1315,DataRegularSeason20242025!$B$3:$B$1315, "&lt;=" &amp; S$1, DataRegularSeason20242025!$D$3:$D$1315, $A38)+SUMIFS(DataRegularSeason20242025!$AB$3:$AB$1315,DataRegularSeason20242025!$B$3:$B$1315, "&lt;=" &amp; S$1, DataRegularSeason20242025!$E$3:$E$1315, $A38)</f>
        <v>8</v>
      </c>
      <c r="T38">
        <f>SUMIFS(DataRegularSeason20242025!$AA$3:$AA$1315,DataRegularSeason20242025!$B$3:$B$1315, "&lt;=" &amp; T$1, DataRegularSeason20242025!$D$3:$D$1315, $A38)+SUMIFS(DataRegularSeason20242025!$AB$3:$AB$1315,DataRegularSeason20242025!$B$3:$B$1315, "&lt;=" &amp; T$1, DataRegularSeason20242025!$E$3:$E$1315, $A38)</f>
        <v>10</v>
      </c>
      <c r="U38">
        <f>SUMIFS(DataRegularSeason20242025!$AA$3:$AA$1315,DataRegularSeason20242025!$B$3:$B$1315, "&lt;=" &amp; U$1, DataRegularSeason20242025!$D$3:$D$1315, $A38)+SUMIFS(DataRegularSeason20242025!$AB$3:$AB$1315,DataRegularSeason20242025!$B$3:$B$1315, "&lt;=" &amp; U$1, DataRegularSeason20242025!$E$3:$E$1315, $A38)</f>
        <v>10</v>
      </c>
      <c r="V38">
        <f>SUMIFS(DataRegularSeason20242025!$AA$3:$AA$1315,DataRegularSeason20242025!$B$3:$B$1315, "&lt;=" &amp; V$1, DataRegularSeason20242025!$D$3:$D$1315, $A38)+SUMIFS(DataRegularSeason20242025!$AB$3:$AB$1315,DataRegularSeason20242025!$B$3:$B$1315, "&lt;=" &amp; V$1, DataRegularSeason20242025!$E$3:$E$1315, $A38)</f>
        <v>10</v>
      </c>
      <c r="W38">
        <f>SUMIFS(DataRegularSeason20242025!$AA$3:$AA$1315,DataRegularSeason20242025!$B$3:$B$1315, "&lt;=" &amp; W$1, DataRegularSeason20242025!$D$3:$D$1315, $A38)+SUMIFS(DataRegularSeason20242025!$AB$3:$AB$1315,DataRegularSeason20242025!$B$3:$B$1315, "&lt;=" &amp; W$1, DataRegularSeason20242025!$E$3:$E$1315, $A38)</f>
        <v>10</v>
      </c>
      <c r="X38">
        <f>SUMIFS(DataRegularSeason20242025!$AA$3:$AA$1315,DataRegularSeason20242025!$B$3:$B$1315, "&lt;=" &amp; X$1, DataRegularSeason20242025!$D$3:$D$1315, $A38)+SUMIFS(DataRegularSeason20242025!$AB$3:$AB$1315,DataRegularSeason20242025!$B$3:$B$1315, "&lt;=" &amp; X$1, DataRegularSeason20242025!$E$3:$E$1315, $A38)</f>
        <v>10</v>
      </c>
      <c r="Y38">
        <f>SUMIFS(DataRegularSeason20242025!$AA$3:$AA$1315,DataRegularSeason20242025!$B$3:$B$1315, "&lt;=" &amp; Y$1, DataRegularSeason20242025!$D$3:$D$1315, $A38)+SUMIFS(DataRegularSeason20242025!$AB$3:$AB$1315,DataRegularSeason20242025!$B$3:$B$1315, "&lt;=" &amp; Y$1, DataRegularSeason20242025!$E$3:$E$1315, $A38)</f>
        <v>10</v>
      </c>
      <c r="Z38">
        <f>SUMIFS(DataRegularSeason20242025!$AA$3:$AA$1315,DataRegularSeason20242025!$B$3:$B$1315, "&lt;=" &amp; Z$1, DataRegularSeason20242025!$D$3:$D$1315, $A38)+SUMIFS(DataRegularSeason20242025!$AB$3:$AB$1315,DataRegularSeason20242025!$B$3:$B$1315, "&lt;=" &amp; Z$1, DataRegularSeason20242025!$E$3:$E$1315, $A38)</f>
        <v>10</v>
      </c>
      <c r="AA38">
        <f>SUMIFS(DataRegularSeason20242025!$AA$3:$AA$1315,DataRegularSeason20242025!$B$3:$B$1315, "&lt;=" &amp; AA$1, DataRegularSeason20242025!$D$3:$D$1315, $A38)+SUMIFS(DataRegularSeason20242025!$AB$3:$AB$1315,DataRegularSeason20242025!$B$3:$B$1315, "&lt;=" &amp; AA$1, DataRegularSeason20242025!$E$3:$E$1315, $A38)</f>
        <v>10</v>
      </c>
      <c r="AB38">
        <f>SUMIFS(DataRegularSeason20242025!$AA$3:$AA$1315,DataRegularSeason20242025!$B$3:$B$1315, "&lt;=" &amp; AB$1, DataRegularSeason20242025!$D$3:$D$1315, $A38)+SUMIFS(DataRegularSeason20242025!$AB$3:$AB$1315,DataRegularSeason20242025!$B$3:$B$1315, "&lt;=" &amp; AB$1, DataRegularSeason20242025!$E$3:$E$1315, $A38)</f>
        <v>10</v>
      </c>
      <c r="AC38">
        <f>SUMIFS(DataRegularSeason20242025!$AA$3:$AA$1315,DataRegularSeason20242025!$B$3:$B$1315, "&lt;=" &amp; AC$1, DataRegularSeason20242025!$D$3:$D$1315, $A38)+SUMIFS(DataRegularSeason20242025!$AB$3:$AB$1315,DataRegularSeason20242025!$B$3:$B$1315, "&lt;=" &amp; AC$1, DataRegularSeason20242025!$E$3:$E$1315, $A38)</f>
        <v>10</v>
      </c>
      <c r="AD38">
        <f>SUMIFS(DataRegularSeason20242025!$AA$3:$AA$1315,DataRegularSeason20242025!$B$3:$B$1315, "&lt;=" &amp; AD$1, DataRegularSeason20242025!$D$3:$D$1315, $A38)+SUMIFS(DataRegularSeason20242025!$AB$3:$AB$1315,DataRegularSeason20242025!$B$3:$B$1315, "&lt;=" &amp; AD$1, DataRegularSeason20242025!$E$3:$E$1315, $A38)</f>
        <v>10</v>
      </c>
      <c r="AE38">
        <f>SUMIFS(DataRegularSeason20242025!$AA$3:$AA$1315,DataRegularSeason20242025!$B$3:$B$1315, "&lt;=" &amp; AE$1, DataRegularSeason20242025!$D$3:$D$1315, $A38)+SUMIFS(DataRegularSeason20242025!$AB$3:$AB$1315,DataRegularSeason20242025!$B$3:$B$1315, "&lt;=" &amp; AE$1, DataRegularSeason20242025!$E$3:$E$1315, $A38)</f>
        <v>10</v>
      </c>
      <c r="AF38">
        <f>SUMIFS(DataRegularSeason20242025!$AA$3:$AA$1315,DataRegularSeason20242025!$B$3:$B$1315, "&lt;=" &amp; AF$1, DataRegularSeason20242025!$D$3:$D$1315, $A38)+SUMIFS(DataRegularSeason20242025!$AB$3:$AB$1315,DataRegularSeason20242025!$B$3:$B$1315, "&lt;=" &amp; AF$1, DataRegularSeason20242025!$E$3:$E$1315, $A38)</f>
        <v>10</v>
      </c>
      <c r="AG38">
        <f>SUMIFS(DataRegularSeason20242025!$AA$3:$AA$1315,DataRegularSeason20242025!$B$3:$B$1315, "&lt;=" &amp; AG$1, DataRegularSeason20242025!$D$3:$D$1315, $A38)+SUMIFS(DataRegularSeason20242025!$AB$3:$AB$1315,DataRegularSeason20242025!$B$3:$B$1315, "&lt;=" &amp; AG$1, DataRegularSeason20242025!$E$3:$E$1315, $A38)</f>
        <v>10</v>
      </c>
      <c r="AH38">
        <f>SUMIFS(DataRegularSeason20242025!$AA$3:$AA$1315,DataRegularSeason20242025!$B$3:$B$1315, "&lt;=" &amp; AH$1, DataRegularSeason20242025!$D$3:$D$1315, $A38)+SUMIFS(DataRegularSeason20242025!$AB$3:$AB$1315,DataRegularSeason20242025!$B$3:$B$1315, "&lt;=" &amp; AH$1, DataRegularSeason20242025!$E$3:$E$1315, $A38)</f>
        <v>10</v>
      </c>
      <c r="AI38">
        <f>SUMIFS(DataRegularSeason20242025!$AA$3:$AA$1315,DataRegularSeason20242025!$B$3:$B$1315, "&lt;=" &amp; AI$1, DataRegularSeason20242025!$D$3:$D$1315, $A38)+SUMIFS(DataRegularSeason20242025!$AB$3:$AB$1315,DataRegularSeason20242025!$B$3:$B$1315, "&lt;=" &amp; AI$1, DataRegularSeason20242025!$E$3:$E$1315, $A38)</f>
        <v>10</v>
      </c>
      <c r="AJ38">
        <f>SUMIFS(DataRegularSeason20242025!$AA$3:$AA$1315,DataRegularSeason20242025!$B$3:$B$1315, "&lt;=" &amp; AJ$1, DataRegularSeason20242025!$D$3:$D$1315, $A38)+SUMIFS(DataRegularSeason20242025!$AB$3:$AB$1315,DataRegularSeason20242025!$B$3:$B$1315, "&lt;=" &amp; AJ$1, DataRegularSeason20242025!$E$3:$E$1315, $A38)</f>
        <v>10</v>
      </c>
      <c r="AK38">
        <f>SUMIFS(DataRegularSeason20242025!$AA$3:$AA$1315,DataRegularSeason20242025!$B$3:$B$1315, "&lt;=" &amp; AK$1, DataRegularSeason20242025!$D$3:$D$1315, $A38)+SUMIFS(DataRegularSeason20242025!$AB$3:$AB$1315,DataRegularSeason20242025!$B$3:$B$1315, "&lt;=" &amp; AK$1, DataRegularSeason20242025!$E$3:$E$1315, $A38)</f>
        <v>10</v>
      </c>
      <c r="AL38">
        <f>SUMIFS(DataRegularSeason20242025!$AA$3:$AA$1315,DataRegularSeason20242025!$B$3:$B$1315, "&lt;=" &amp; AL$1, DataRegularSeason20242025!$D$3:$D$1315, $A38)+SUMIFS(DataRegularSeason20242025!$AB$3:$AB$1315,DataRegularSeason20242025!$B$3:$B$1315, "&lt;=" &amp; AL$1, DataRegularSeason20242025!$E$3:$E$1315, $A38)</f>
        <v>10</v>
      </c>
      <c r="AM38">
        <f>SUMIFS(DataRegularSeason20242025!$AA$3:$AA$1315,DataRegularSeason20242025!$B$3:$B$1315, "&lt;=" &amp; AM$1, DataRegularSeason20242025!$D$3:$D$1315, $A38)+SUMIFS(DataRegularSeason20242025!$AB$3:$AB$1315,DataRegularSeason20242025!$B$3:$B$1315, "&lt;=" &amp; AM$1, DataRegularSeason20242025!$E$3:$E$1315, $A38)</f>
        <v>10</v>
      </c>
      <c r="AN38">
        <f>SUMIFS(DataRegularSeason20242025!$AA$3:$AA$1315,DataRegularSeason20242025!$B$3:$B$1315, "&lt;=" &amp; AN$1, DataRegularSeason20242025!$D$3:$D$1315, $A38)+SUMIFS(DataRegularSeason20242025!$AB$3:$AB$1315,DataRegularSeason20242025!$B$3:$B$1315, "&lt;=" &amp; AN$1, DataRegularSeason20242025!$E$3:$E$1315, $A38)</f>
        <v>10</v>
      </c>
      <c r="AO38">
        <f>SUMIFS(DataRegularSeason20242025!$AA$3:$AA$1315,DataRegularSeason20242025!$B$3:$B$1315, "&lt;=" &amp; AO$1, DataRegularSeason20242025!$D$3:$D$1315, $A38)+SUMIFS(DataRegularSeason20242025!$AB$3:$AB$1315,DataRegularSeason20242025!$B$3:$B$1315, "&lt;=" &amp; AO$1, DataRegularSeason20242025!$E$3:$E$1315, $A38)</f>
        <v>10</v>
      </c>
      <c r="AP38">
        <f>SUMIFS(DataRegularSeason20242025!$AA$3:$AA$1315,DataRegularSeason20242025!$B$3:$B$1315, "&lt;=" &amp; AP$1, DataRegularSeason20242025!$D$3:$D$1315, $A38)+SUMIFS(DataRegularSeason20242025!$AB$3:$AB$1315,DataRegularSeason20242025!$B$3:$B$1315, "&lt;=" &amp; AP$1, DataRegularSeason20242025!$E$3:$E$1315, $A38)</f>
        <v>10</v>
      </c>
      <c r="AQ38">
        <f>SUMIFS(DataRegularSeason20242025!$AA$3:$AA$1315,DataRegularSeason20242025!$B$3:$B$1315, "&lt;=" &amp; AQ$1, DataRegularSeason20242025!$D$3:$D$1315, $A38)+SUMIFS(DataRegularSeason20242025!$AB$3:$AB$1315,DataRegularSeason20242025!$B$3:$B$1315, "&lt;=" &amp; AQ$1, DataRegularSeason20242025!$E$3:$E$1315, $A38)</f>
        <v>10</v>
      </c>
      <c r="AR38">
        <f>SUMIFS(DataRegularSeason20242025!$AA$3:$AA$1315,DataRegularSeason20242025!$B$3:$B$1315, "&lt;=" &amp; AR$1, DataRegularSeason20242025!$D$3:$D$1315, $A38)+SUMIFS(DataRegularSeason20242025!$AB$3:$AB$1315,DataRegularSeason20242025!$B$3:$B$1315, "&lt;=" &amp; AR$1, DataRegularSeason20242025!$E$3:$E$1315, $A38)</f>
        <v>10</v>
      </c>
      <c r="AS38">
        <f>SUMIFS(DataRegularSeason20242025!$AA$3:$AA$1315,DataRegularSeason20242025!$B$3:$B$1315, "&lt;=" &amp; AS$1, DataRegularSeason20242025!$D$3:$D$1315, $A38)+SUMIFS(DataRegularSeason20242025!$AB$3:$AB$1315,DataRegularSeason20242025!$B$3:$B$1315, "&lt;=" &amp; AS$1, DataRegularSeason20242025!$E$3:$E$1315, $A38)</f>
        <v>10</v>
      </c>
      <c r="AT38">
        <f>SUMIFS(DataRegularSeason20242025!$AA$3:$AA$1315,DataRegularSeason20242025!$B$3:$B$1315, "&lt;=" &amp; AT$1, DataRegularSeason20242025!$D$3:$D$1315, $A38)+SUMIFS(DataRegularSeason20242025!$AB$3:$AB$1315,DataRegularSeason20242025!$B$3:$B$1315, "&lt;=" &amp; AT$1, DataRegularSeason20242025!$E$3:$E$1315, $A38)</f>
        <v>10</v>
      </c>
      <c r="AU38">
        <f>SUMIFS(DataRegularSeason20242025!$AA$3:$AA$1315,DataRegularSeason20242025!$B$3:$B$1315, "&lt;=" &amp; AU$1, DataRegularSeason20242025!$D$3:$D$1315, $A38)+SUMIFS(DataRegularSeason20242025!$AB$3:$AB$1315,DataRegularSeason20242025!$B$3:$B$1315, "&lt;=" &amp; AU$1, DataRegularSeason20242025!$E$3:$E$1315, $A38)</f>
        <v>10</v>
      </c>
      <c r="AV38">
        <f>SUMIFS(DataRegularSeason20242025!$AA$3:$AA$1315,DataRegularSeason20242025!$B$3:$B$1315, "&lt;=" &amp; AV$1, DataRegularSeason20242025!$D$3:$D$1315, $A38)+SUMIFS(DataRegularSeason20242025!$AB$3:$AB$1315,DataRegularSeason20242025!$B$3:$B$1315, "&lt;=" &amp; AV$1, DataRegularSeason20242025!$E$3:$E$1315, $A38)</f>
        <v>10</v>
      </c>
      <c r="AW38">
        <f>SUMIFS(DataRegularSeason20242025!$AA$3:$AA$1315,DataRegularSeason20242025!$B$3:$B$1315, "&lt;=" &amp; AW$1, DataRegularSeason20242025!$D$3:$D$1315, $A38)+SUMIFS(DataRegularSeason20242025!$AB$3:$AB$1315,DataRegularSeason20242025!$B$3:$B$1315, "&lt;=" &amp; AW$1, DataRegularSeason20242025!$E$3:$E$1315, $A38)</f>
        <v>10</v>
      </c>
      <c r="AX38">
        <f>SUMIFS(DataRegularSeason20242025!$AA$3:$AA$1315,DataRegularSeason20242025!$B$3:$B$1315, "&lt;=" &amp; AX$1, DataRegularSeason20242025!$D$3:$D$1315, $A38)+SUMIFS(DataRegularSeason20242025!$AB$3:$AB$1315,DataRegularSeason20242025!$B$3:$B$1315, "&lt;=" &amp; AX$1, DataRegularSeason20242025!$E$3:$E$1315, $A38)</f>
        <v>10</v>
      </c>
      <c r="AY38">
        <f>SUMIFS(DataRegularSeason20242025!$AA$3:$AA$1315,DataRegularSeason20242025!$B$3:$B$1315, "&lt;=" &amp; AY$1, DataRegularSeason20242025!$D$3:$D$1315, $A38)+SUMIFS(DataRegularSeason20242025!$AB$3:$AB$1315,DataRegularSeason20242025!$B$3:$B$1315, "&lt;=" &amp; AY$1, DataRegularSeason20242025!$E$3:$E$1315, $A38)</f>
        <v>10</v>
      </c>
      <c r="AZ38">
        <f>SUMIFS(DataRegularSeason20242025!$AA$3:$AA$1315,DataRegularSeason20242025!$B$3:$B$1315, "&lt;=" &amp; AZ$1, DataRegularSeason20242025!$D$3:$D$1315, $A38)+SUMIFS(DataRegularSeason20242025!$AB$3:$AB$1315,DataRegularSeason20242025!$B$3:$B$1315, "&lt;=" &amp; AZ$1, DataRegularSeason20242025!$E$3:$E$1315, $A38)</f>
        <v>10</v>
      </c>
      <c r="BA38">
        <f>SUMIFS(DataRegularSeason20242025!$AA$3:$AA$1315,DataRegularSeason20242025!$B$3:$B$1315, "&lt;=" &amp; BA$1, DataRegularSeason20242025!$D$3:$D$1315, $A38)+SUMIFS(DataRegularSeason20242025!$AB$3:$AB$1315,DataRegularSeason20242025!$B$3:$B$1315, "&lt;=" &amp; BA$1, DataRegularSeason20242025!$E$3:$E$1315, $A38)</f>
        <v>10</v>
      </c>
      <c r="BB38">
        <f>SUMIFS(DataRegularSeason20242025!$AA$3:$AA$1315,DataRegularSeason20242025!$B$3:$B$1315, "&lt;=" &amp; BB$1, DataRegularSeason20242025!$D$3:$D$1315, $A38)+SUMIFS(DataRegularSeason20242025!$AB$3:$AB$1315,DataRegularSeason20242025!$B$3:$B$1315, "&lt;=" &amp; BB$1, DataRegularSeason20242025!$E$3:$E$1315, $A38)</f>
        <v>10</v>
      </c>
      <c r="BC38">
        <f>SUMIFS(DataRegularSeason20242025!$AA$3:$AA$1315,DataRegularSeason20242025!$B$3:$B$1315, "&lt;=" &amp; BC$1, DataRegularSeason20242025!$D$3:$D$1315, $A38)+SUMIFS(DataRegularSeason20242025!$AB$3:$AB$1315,DataRegularSeason20242025!$B$3:$B$1315, "&lt;=" &amp; BC$1, DataRegularSeason20242025!$E$3:$E$1315, $A38)</f>
        <v>10</v>
      </c>
      <c r="BD38">
        <f>SUMIFS(DataRegularSeason20242025!$AA$3:$AA$1315,DataRegularSeason20242025!$B$3:$B$1315, "&lt;=" &amp; BD$1, DataRegularSeason20242025!$D$3:$D$1315, $A38)+SUMIFS(DataRegularSeason20242025!$AB$3:$AB$1315,DataRegularSeason20242025!$B$3:$B$1315, "&lt;=" &amp; BD$1, DataRegularSeason20242025!$E$3:$E$1315, $A38)</f>
        <v>10</v>
      </c>
      <c r="BE38">
        <f>SUMIFS(DataRegularSeason20242025!$AA$3:$AA$1315,DataRegularSeason20242025!$B$3:$B$1315, "&lt;=" &amp; BE$1, DataRegularSeason20242025!$D$3:$D$1315, $A38)+SUMIFS(DataRegularSeason20242025!$AB$3:$AB$1315,DataRegularSeason20242025!$B$3:$B$1315, "&lt;=" &amp; BE$1, DataRegularSeason20242025!$E$3:$E$1315, $A38)</f>
        <v>10</v>
      </c>
      <c r="BF38">
        <f>SUMIFS(DataRegularSeason20242025!$AA$3:$AA$1315,DataRegularSeason20242025!$B$3:$B$1315, "&lt;=" &amp; BF$1, DataRegularSeason20242025!$D$3:$D$1315, $A38)+SUMIFS(DataRegularSeason20242025!$AB$3:$AB$1315,DataRegularSeason20242025!$B$3:$B$1315, "&lt;=" &amp; BF$1, DataRegularSeason20242025!$E$3:$E$1315, $A38)</f>
        <v>10</v>
      </c>
      <c r="BG38">
        <f>SUMIFS(DataRegularSeason20242025!$AA$3:$AA$1315,DataRegularSeason20242025!$B$3:$B$1315, "&lt;=" &amp; BG$1, DataRegularSeason20242025!$D$3:$D$1315, $A38)+SUMIFS(DataRegularSeason20242025!$AB$3:$AB$1315,DataRegularSeason20242025!$B$3:$B$1315, "&lt;=" &amp; BG$1, DataRegularSeason20242025!$E$3:$E$1315, $A38)</f>
        <v>10</v>
      </c>
      <c r="BH38">
        <f>SUMIFS(DataRegularSeason20242025!$AA$3:$AA$1315,DataRegularSeason20242025!$B$3:$B$1315, "&lt;=" &amp; BH$1, DataRegularSeason20242025!$D$3:$D$1315, $A38)+SUMIFS(DataRegularSeason20242025!$AB$3:$AB$1315,DataRegularSeason20242025!$B$3:$B$1315, "&lt;=" &amp; BH$1, DataRegularSeason20242025!$E$3:$E$1315, $A38)</f>
        <v>10</v>
      </c>
      <c r="BI38">
        <f>SUMIFS(DataRegularSeason20242025!$AA$3:$AA$1315,DataRegularSeason20242025!$B$3:$B$1315, "&lt;=" &amp; BI$1, DataRegularSeason20242025!$D$3:$D$1315, $A38)+SUMIFS(DataRegularSeason20242025!$AB$3:$AB$1315,DataRegularSeason20242025!$B$3:$B$1315, "&lt;=" &amp; BI$1, DataRegularSeason20242025!$E$3:$E$1315, $A38)</f>
        <v>10</v>
      </c>
      <c r="BJ38">
        <f>SUMIFS(DataRegularSeason20242025!$AA$3:$AA$1315,DataRegularSeason20242025!$B$3:$B$1315, "&lt;=" &amp; BJ$1, DataRegularSeason20242025!$D$3:$D$1315, $A38)+SUMIFS(DataRegularSeason20242025!$AB$3:$AB$1315,DataRegularSeason20242025!$B$3:$B$1315, "&lt;=" &amp; BJ$1, DataRegularSeason20242025!$E$3:$E$1315, $A38)</f>
        <v>10</v>
      </c>
      <c r="BK38">
        <f>SUMIFS(DataRegularSeason20242025!$AA$3:$AA$1315,DataRegularSeason20242025!$B$3:$B$1315, "&lt;=" &amp; BK$1, DataRegularSeason20242025!$D$3:$D$1315, $A38)+SUMIFS(DataRegularSeason20242025!$AB$3:$AB$1315,DataRegularSeason20242025!$B$3:$B$1315, "&lt;=" &amp; BK$1, DataRegularSeason20242025!$E$3:$E$1315, $A38)</f>
        <v>10</v>
      </c>
      <c r="BL38">
        <f>SUMIFS(DataRegularSeason20242025!$AA$3:$AA$1315,DataRegularSeason20242025!$B$3:$B$1315, "&lt;=" &amp; BL$1, DataRegularSeason20242025!$D$3:$D$1315, $A38)+SUMIFS(DataRegularSeason20242025!$AB$3:$AB$1315,DataRegularSeason20242025!$B$3:$B$1315, "&lt;=" &amp; BL$1, DataRegularSeason20242025!$E$3:$E$1315, $A38)</f>
        <v>10</v>
      </c>
      <c r="BM38">
        <f>SUMIFS(DataRegularSeason20242025!$AA$3:$AA$1315,DataRegularSeason20242025!$B$3:$B$1315, "&lt;=" &amp; BM$1, DataRegularSeason20242025!$D$3:$D$1315, $A38)+SUMIFS(DataRegularSeason20242025!$AB$3:$AB$1315,DataRegularSeason20242025!$B$3:$B$1315, "&lt;=" &amp; BM$1, DataRegularSeason20242025!$E$3:$E$1315, $A38)</f>
        <v>10</v>
      </c>
      <c r="BN38">
        <f>SUMIFS(DataRegularSeason20242025!$AA$3:$AA$1315,DataRegularSeason20242025!$B$3:$B$1315, "&lt;=" &amp; BN$1, DataRegularSeason20242025!$D$3:$D$1315, $A38)+SUMIFS(DataRegularSeason20242025!$AB$3:$AB$1315,DataRegularSeason20242025!$B$3:$B$1315, "&lt;=" &amp; BN$1, DataRegularSeason20242025!$E$3:$E$1315, $A38)</f>
        <v>10</v>
      </c>
      <c r="BO38">
        <f>SUMIFS(DataRegularSeason20242025!$AA$3:$AA$1315,DataRegularSeason20242025!$B$3:$B$1315, "&lt;=" &amp; BO$1, DataRegularSeason20242025!$D$3:$D$1315, $A38)+SUMIFS(DataRegularSeason20242025!$AB$3:$AB$1315,DataRegularSeason20242025!$B$3:$B$1315, "&lt;=" &amp; BO$1, DataRegularSeason20242025!$E$3:$E$1315, $A38)</f>
        <v>10</v>
      </c>
      <c r="BP38">
        <f>SUMIFS(DataRegularSeason20242025!$AA$3:$AA$1315,DataRegularSeason20242025!$B$3:$B$1315, "&lt;=" &amp; BP$1, DataRegularSeason20242025!$D$3:$D$1315, $A38)+SUMIFS(DataRegularSeason20242025!$AB$3:$AB$1315,DataRegularSeason20242025!$B$3:$B$1315, "&lt;=" &amp; BP$1, DataRegularSeason20242025!$E$3:$E$1315, $A38)</f>
        <v>10</v>
      </c>
      <c r="BQ38">
        <f>SUMIFS(DataRegularSeason20242025!$AA$3:$AA$1315,DataRegularSeason20242025!$B$3:$B$1315, "&lt;=" &amp; BQ$1, DataRegularSeason20242025!$D$3:$D$1315, $A38)+SUMIFS(DataRegularSeason20242025!$AB$3:$AB$1315,DataRegularSeason20242025!$B$3:$B$1315, "&lt;=" &amp; BQ$1, DataRegularSeason20242025!$E$3:$E$1315, $A38)</f>
        <v>10</v>
      </c>
      <c r="BR38">
        <f>SUMIFS(DataRegularSeason20242025!$AA$3:$AA$1315,DataRegularSeason20242025!$B$3:$B$1315, "&lt;=" &amp; BR$1, DataRegularSeason20242025!$D$3:$D$1315, $A38)+SUMIFS(DataRegularSeason20242025!$AB$3:$AB$1315,DataRegularSeason20242025!$B$3:$B$1315, "&lt;=" &amp; BR$1, DataRegularSeason20242025!$E$3:$E$1315, $A38)</f>
        <v>10</v>
      </c>
      <c r="BS38">
        <f>SUMIFS(DataRegularSeason20242025!$AA$3:$AA$1315,DataRegularSeason20242025!$B$3:$B$1315, "&lt;=" &amp; BS$1, DataRegularSeason20242025!$D$3:$D$1315, $A38)+SUMIFS(DataRegularSeason20242025!$AB$3:$AB$1315,DataRegularSeason20242025!$B$3:$B$1315, "&lt;=" &amp; BS$1, DataRegularSeason20242025!$E$3:$E$1315, $A38)</f>
        <v>10</v>
      </c>
      <c r="BT38">
        <f>SUMIFS(DataRegularSeason20242025!$AA$3:$AA$1315,DataRegularSeason20242025!$B$3:$B$1315, "&lt;=" &amp; BT$1, DataRegularSeason20242025!$D$3:$D$1315, $A38)+SUMIFS(DataRegularSeason20242025!$AB$3:$AB$1315,DataRegularSeason20242025!$B$3:$B$1315, "&lt;=" &amp; BT$1, DataRegularSeason20242025!$E$3:$E$1315, $A38)</f>
        <v>10</v>
      </c>
      <c r="BU38">
        <f>SUMIFS(DataRegularSeason20242025!$AA$3:$AA$1315,DataRegularSeason20242025!$B$3:$B$1315, "&lt;=" &amp; BU$1, DataRegularSeason20242025!$D$3:$D$1315, $A38)+SUMIFS(DataRegularSeason20242025!$AB$3:$AB$1315,DataRegularSeason20242025!$B$3:$B$1315, "&lt;=" &amp; BU$1, DataRegularSeason20242025!$E$3:$E$1315, $A38)</f>
        <v>10</v>
      </c>
      <c r="BV38">
        <f>SUMIFS(DataRegularSeason20242025!$AA$3:$AA$1315,DataRegularSeason20242025!$B$3:$B$1315, "&lt;=" &amp; BV$1, DataRegularSeason20242025!$D$3:$D$1315, $A38)+SUMIFS(DataRegularSeason20242025!$AB$3:$AB$1315,DataRegularSeason20242025!$B$3:$B$1315, "&lt;=" &amp; BV$1, DataRegularSeason20242025!$E$3:$E$1315, $A38)</f>
        <v>10</v>
      </c>
      <c r="BW38">
        <f>SUMIFS(DataRegularSeason20242025!$AA$3:$AA$1315,DataRegularSeason20242025!$B$3:$B$1315, "&lt;=" &amp; BW$1, DataRegularSeason20242025!$D$3:$D$1315, $A38)+SUMIFS(DataRegularSeason20242025!$AB$3:$AB$1315,DataRegularSeason20242025!$B$3:$B$1315, "&lt;=" &amp; BW$1, DataRegularSeason20242025!$E$3:$E$1315, $A38)</f>
        <v>10</v>
      </c>
      <c r="BX38">
        <f>SUMIFS(DataRegularSeason20242025!$AA$3:$AA$1315,DataRegularSeason20242025!$B$3:$B$1315, "&lt;=" &amp; BX$1, DataRegularSeason20242025!$D$3:$D$1315, $A38)+SUMIFS(DataRegularSeason20242025!$AB$3:$AB$1315,DataRegularSeason20242025!$B$3:$B$1315, "&lt;=" &amp; BX$1, DataRegularSeason20242025!$E$3:$E$1315, $A38)</f>
        <v>10</v>
      </c>
      <c r="BY38">
        <f>SUMIFS(DataRegularSeason20242025!$AA$3:$AA$1315,DataRegularSeason20242025!$B$3:$B$1315, "&lt;=" &amp; BY$1, DataRegularSeason20242025!$D$3:$D$1315, $A38)+SUMIFS(DataRegularSeason20242025!$AB$3:$AB$1315,DataRegularSeason20242025!$B$3:$B$1315, "&lt;=" &amp; BY$1, DataRegularSeason20242025!$E$3:$E$1315, $A38)</f>
        <v>10</v>
      </c>
      <c r="BZ38">
        <f>SUMIFS(DataRegularSeason20242025!$AA$3:$AA$1315,DataRegularSeason20242025!$B$3:$B$1315, "&lt;=" &amp; BZ$1, DataRegularSeason20242025!$D$3:$D$1315, $A38)+SUMIFS(DataRegularSeason20242025!$AB$3:$AB$1315,DataRegularSeason20242025!$B$3:$B$1315, "&lt;=" &amp; BZ$1, DataRegularSeason20242025!$E$3:$E$1315, $A38)</f>
        <v>10</v>
      </c>
      <c r="CA38">
        <f>SUMIFS(DataRegularSeason20242025!$AA$3:$AA$1315,DataRegularSeason20242025!$B$3:$B$1315, "&lt;=" &amp; CA$1, DataRegularSeason20242025!$D$3:$D$1315, $A38)+SUMIFS(DataRegularSeason20242025!$AB$3:$AB$1315,DataRegularSeason20242025!$B$3:$B$1315, "&lt;=" &amp; CA$1, DataRegularSeason20242025!$E$3:$E$1315, $A38)</f>
        <v>10</v>
      </c>
      <c r="CB38">
        <f>SUMIFS(DataRegularSeason20242025!$AA$3:$AA$1315,DataRegularSeason20242025!$B$3:$B$1315, "&lt;=" &amp; CB$1, DataRegularSeason20242025!$D$3:$D$1315, $A38)+SUMIFS(DataRegularSeason20242025!$AB$3:$AB$1315,DataRegularSeason20242025!$B$3:$B$1315, "&lt;=" &amp; CB$1, DataRegularSeason20242025!$E$3:$E$1315, $A38)</f>
        <v>10</v>
      </c>
      <c r="CC38">
        <f>SUMIFS(DataRegularSeason20242025!$AA$3:$AA$1315,DataRegularSeason20242025!$B$3:$B$1315, "&lt;=" &amp; CC$1, DataRegularSeason20242025!$D$3:$D$1315, $A38)+SUMIFS(DataRegularSeason20242025!$AB$3:$AB$1315,DataRegularSeason20242025!$B$3:$B$1315, "&lt;=" &amp; CC$1, DataRegularSeason20242025!$E$3:$E$1315, $A38)</f>
        <v>10</v>
      </c>
      <c r="CD38">
        <f>SUMIFS(DataRegularSeason20242025!$AA$3:$AA$1315,DataRegularSeason20242025!$B$3:$B$1315, "&lt;=" &amp; CD$1, DataRegularSeason20242025!$D$3:$D$1315, $A38)+SUMIFS(DataRegularSeason20242025!$AB$3:$AB$1315,DataRegularSeason20242025!$B$3:$B$1315, "&lt;=" &amp; CD$1, DataRegularSeason20242025!$E$3:$E$1315, $A38)</f>
        <v>10</v>
      </c>
      <c r="CE38">
        <f>SUMIFS(DataRegularSeason20242025!$AA$3:$AA$1315,DataRegularSeason20242025!$B$3:$B$1315, "&lt;=" &amp; CE$1, DataRegularSeason20242025!$D$3:$D$1315, $A38)+SUMIFS(DataRegularSeason20242025!$AB$3:$AB$1315,DataRegularSeason20242025!$B$3:$B$1315, "&lt;=" &amp; CE$1, DataRegularSeason20242025!$E$3:$E$1315, $A38)</f>
        <v>10</v>
      </c>
      <c r="CF38">
        <f>SUMIFS(DataRegularSeason20242025!$AA$3:$AA$1315,DataRegularSeason20242025!$B$3:$B$1315, "&lt;=" &amp; CF$1, DataRegularSeason20242025!$D$3:$D$1315, $A38)+SUMIFS(DataRegularSeason20242025!$AB$3:$AB$1315,DataRegularSeason20242025!$B$3:$B$1315, "&lt;=" &amp; CF$1, DataRegularSeason20242025!$E$3:$E$1315, $A38)</f>
        <v>10</v>
      </c>
      <c r="CG38">
        <f>SUMIFS(DataRegularSeason20242025!$AA$3:$AA$1315,DataRegularSeason20242025!$B$3:$B$1315, "&lt;=" &amp; CG$1, DataRegularSeason20242025!$D$3:$D$1315, $A38)+SUMIFS(DataRegularSeason20242025!$AB$3:$AB$1315,DataRegularSeason20242025!$B$3:$B$1315, "&lt;=" &amp; CG$1, DataRegularSeason20242025!$E$3:$E$1315, $A38)</f>
        <v>10</v>
      </c>
      <c r="CH38">
        <f>SUMIFS(DataRegularSeason20242025!$AA$3:$AA$1315,DataRegularSeason20242025!$B$3:$B$1315, "&lt;=" &amp; CH$1, DataRegularSeason20242025!$D$3:$D$1315, $A38)+SUMIFS(DataRegularSeason20242025!$AB$3:$AB$1315,DataRegularSeason20242025!$B$3:$B$1315, "&lt;=" &amp; CH$1, DataRegularSeason20242025!$E$3:$E$1315, $A38)</f>
        <v>10</v>
      </c>
      <c r="CI38">
        <f>SUMIFS(DataRegularSeason20242025!$AA$3:$AA$1315,DataRegularSeason20242025!$B$3:$B$1315, "&lt;=" &amp; CI$1, DataRegularSeason20242025!$D$3:$D$1315, $A38)+SUMIFS(DataRegularSeason20242025!$AB$3:$AB$1315,DataRegularSeason20242025!$B$3:$B$1315, "&lt;=" &amp; CI$1, DataRegularSeason20242025!$E$3:$E$1315, $A38)</f>
        <v>10</v>
      </c>
      <c r="CJ38">
        <f>SUMIFS(DataRegularSeason20242025!$AA$3:$AA$1315,DataRegularSeason20242025!$B$3:$B$1315, "&lt;=" &amp; CJ$1, DataRegularSeason20242025!$D$3:$D$1315, $A38)+SUMIFS(DataRegularSeason20242025!$AB$3:$AB$1315,DataRegularSeason20242025!$B$3:$B$1315, "&lt;=" &amp; CJ$1, DataRegularSeason20242025!$E$3:$E$1315, $A38)</f>
        <v>10</v>
      </c>
      <c r="CK38">
        <f>SUMIFS(DataRegularSeason20242025!$AA$3:$AA$1315,DataRegularSeason20242025!$B$3:$B$1315, "&lt;=" &amp; CK$1, DataRegularSeason20242025!$D$3:$D$1315, $A38)+SUMIFS(DataRegularSeason20242025!$AB$3:$AB$1315,DataRegularSeason20242025!$B$3:$B$1315, "&lt;=" &amp; CK$1, DataRegularSeason20242025!$E$3:$E$1315, $A38)</f>
        <v>10</v>
      </c>
      <c r="CL38">
        <f>SUMIFS(DataRegularSeason20242025!$AA$3:$AA$1315,DataRegularSeason20242025!$B$3:$B$1315, "&lt;=" &amp; CL$1, DataRegularSeason20242025!$D$3:$D$1315, $A38)+SUMIFS(DataRegularSeason20242025!$AB$3:$AB$1315,DataRegularSeason20242025!$B$3:$B$1315, "&lt;=" &amp; CL$1, DataRegularSeason20242025!$E$3:$E$1315, $A38)</f>
        <v>10</v>
      </c>
      <c r="CM38">
        <f>SUMIFS(DataRegularSeason20242025!$AA$3:$AA$1315,DataRegularSeason20242025!$B$3:$B$1315, "&lt;=" &amp; CM$1, DataRegularSeason20242025!$D$3:$D$1315, $A38)+SUMIFS(DataRegularSeason20242025!$AB$3:$AB$1315,DataRegularSeason20242025!$B$3:$B$1315, "&lt;=" &amp; CM$1, DataRegularSeason20242025!$E$3:$E$1315, $A38)</f>
        <v>10</v>
      </c>
      <c r="CN38">
        <f>SUMIFS(DataRegularSeason20242025!$AA$3:$AA$1315,DataRegularSeason20242025!$B$3:$B$1315, "&lt;=" &amp; CN$1, DataRegularSeason20242025!$D$3:$D$1315, $A38)+SUMIFS(DataRegularSeason20242025!$AB$3:$AB$1315,DataRegularSeason20242025!$B$3:$B$1315, "&lt;=" &amp; CN$1, DataRegularSeason20242025!$E$3:$E$1315, $A38)</f>
        <v>10</v>
      </c>
      <c r="CO38">
        <f>SUMIFS(DataRegularSeason20242025!$AA$3:$AA$1315,DataRegularSeason20242025!$B$3:$B$1315, "&lt;=" &amp; CO$1, DataRegularSeason20242025!$D$3:$D$1315, $A38)+SUMIFS(DataRegularSeason20242025!$AB$3:$AB$1315,DataRegularSeason20242025!$B$3:$B$1315, "&lt;=" &amp; CO$1, DataRegularSeason20242025!$E$3:$E$1315, $A38)</f>
        <v>10</v>
      </c>
      <c r="CP38">
        <f>SUMIFS(DataRegularSeason20242025!$AA$3:$AA$1315,DataRegularSeason20242025!$B$3:$B$1315, "&lt;=" &amp; CP$1, DataRegularSeason20242025!$D$3:$D$1315, $A38)+SUMIFS(DataRegularSeason20242025!$AB$3:$AB$1315,DataRegularSeason20242025!$B$3:$B$1315, "&lt;=" &amp; CP$1, DataRegularSeason20242025!$E$3:$E$1315, $A38)</f>
        <v>10</v>
      </c>
      <c r="CQ38">
        <f>SUMIFS(DataRegularSeason20242025!$AA$3:$AA$1315,DataRegularSeason20242025!$B$3:$B$1315, "&lt;=" &amp; CQ$1, DataRegularSeason20242025!$D$3:$D$1315, $A38)+SUMIFS(DataRegularSeason20242025!$AB$3:$AB$1315,DataRegularSeason20242025!$B$3:$B$1315, "&lt;=" &amp; CQ$1, DataRegularSeason20242025!$E$3:$E$1315, $A38)</f>
        <v>10</v>
      </c>
      <c r="CR38">
        <f>SUMIFS(DataRegularSeason20242025!$AA$3:$AA$1315,DataRegularSeason20242025!$B$3:$B$1315, "&lt;=" &amp; CR$1, DataRegularSeason20242025!$D$3:$D$1315, $A38)+SUMIFS(DataRegularSeason20242025!$AB$3:$AB$1315,DataRegularSeason20242025!$B$3:$B$1315, "&lt;=" &amp; CR$1, DataRegularSeason20242025!$E$3:$E$1315, $A38)</f>
        <v>10</v>
      </c>
      <c r="CS38">
        <f>SUMIFS(DataRegularSeason20242025!$AA$3:$AA$1315,DataRegularSeason20242025!$B$3:$B$1315, "&lt;=" &amp; CS$1, DataRegularSeason20242025!$D$3:$D$1315, $A38)+SUMIFS(DataRegularSeason20242025!$AB$3:$AB$1315,DataRegularSeason20242025!$B$3:$B$1315, "&lt;=" &amp; CS$1, DataRegularSeason20242025!$E$3:$E$1315, $A38)</f>
        <v>10</v>
      </c>
      <c r="CT38">
        <f>SUMIFS(DataRegularSeason20242025!$AA$3:$AA$1315,DataRegularSeason20242025!$B$3:$B$1315, "&lt;=" &amp; CT$1, DataRegularSeason20242025!$D$3:$D$1315, $A38)+SUMIFS(DataRegularSeason20242025!$AB$3:$AB$1315,DataRegularSeason20242025!$B$3:$B$1315, "&lt;=" &amp; CT$1, DataRegularSeason20242025!$E$3:$E$1315, $A38)</f>
        <v>10</v>
      </c>
      <c r="CU38">
        <f>SUMIFS(DataRegularSeason20242025!$AA$3:$AA$1315,DataRegularSeason20242025!$B$3:$B$1315, "&lt;=" &amp; CU$1, DataRegularSeason20242025!$D$3:$D$1315, $A38)+SUMIFS(DataRegularSeason20242025!$AB$3:$AB$1315,DataRegularSeason20242025!$B$3:$B$1315, "&lt;=" &amp; CU$1, DataRegularSeason20242025!$E$3:$E$1315, $A38)</f>
        <v>10</v>
      </c>
      <c r="CV38">
        <f>SUMIFS(DataRegularSeason20242025!$AA$3:$AA$1315,DataRegularSeason20242025!$B$3:$B$1315, "&lt;=" &amp; CV$1, DataRegularSeason20242025!$D$3:$D$1315, $A38)+SUMIFS(DataRegularSeason20242025!$AB$3:$AB$1315,DataRegularSeason20242025!$B$3:$B$1315, "&lt;=" &amp; CV$1, DataRegularSeason20242025!$E$3:$E$1315, $A38)</f>
        <v>10</v>
      </c>
      <c r="CW38">
        <f>SUMIFS(DataRegularSeason20242025!$AA$3:$AA$1315,DataRegularSeason20242025!$B$3:$B$1315, "&lt;=" &amp; CW$1, DataRegularSeason20242025!$D$3:$D$1315, $A38)+SUMIFS(DataRegularSeason20242025!$AB$3:$AB$1315,DataRegularSeason20242025!$B$3:$B$1315, "&lt;=" &amp; CW$1, DataRegularSeason20242025!$E$3:$E$1315, $A38)</f>
        <v>10</v>
      </c>
      <c r="CX38">
        <f>SUMIFS(DataRegularSeason20242025!$AA$3:$AA$1315,DataRegularSeason20242025!$B$3:$B$1315, "&lt;=" &amp; CX$1, DataRegularSeason20242025!$D$3:$D$1315, $A38)+SUMIFS(DataRegularSeason20242025!$AB$3:$AB$1315,DataRegularSeason20242025!$B$3:$B$1315, "&lt;=" &amp; CX$1, DataRegularSeason20242025!$E$3:$E$1315, $A38)</f>
        <v>10</v>
      </c>
      <c r="CY38">
        <f>SUMIFS(DataRegularSeason20242025!$AA$3:$AA$1315,DataRegularSeason20242025!$B$3:$B$1315, "&lt;=" &amp; CY$1, DataRegularSeason20242025!$D$3:$D$1315, $A38)+SUMIFS(DataRegularSeason20242025!$AB$3:$AB$1315,DataRegularSeason20242025!$B$3:$B$1315, "&lt;=" &amp; CY$1, DataRegularSeason20242025!$E$3:$E$1315, $A38)</f>
        <v>10</v>
      </c>
      <c r="CZ38">
        <f>SUMIFS(DataRegularSeason20242025!$AA$3:$AA$1315,DataRegularSeason20242025!$B$3:$B$1315, "&lt;=" &amp; CZ$1, DataRegularSeason20242025!$D$3:$D$1315, $A38)+SUMIFS(DataRegularSeason20242025!$AB$3:$AB$1315,DataRegularSeason20242025!$B$3:$B$1315, "&lt;=" &amp; CZ$1, DataRegularSeason20242025!$E$3:$E$1315, $A38)</f>
        <v>10</v>
      </c>
      <c r="DA38">
        <f>SUMIFS(DataRegularSeason20242025!$AA$3:$AA$1315,DataRegularSeason20242025!$B$3:$B$1315, "&lt;=" &amp; DA$1, DataRegularSeason20242025!$D$3:$D$1315, $A38)+SUMIFS(DataRegularSeason20242025!$AB$3:$AB$1315,DataRegularSeason20242025!$B$3:$B$1315, "&lt;=" &amp; DA$1, DataRegularSeason20242025!$E$3:$E$1315, $A38)</f>
        <v>10</v>
      </c>
      <c r="DB38">
        <f>SUMIFS(DataRegularSeason20242025!$AA$3:$AA$1315,DataRegularSeason20242025!$B$3:$B$1315, "&lt;=" &amp; DB$1, DataRegularSeason20242025!$D$3:$D$1315, $A38)+SUMIFS(DataRegularSeason20242025!$AB$3:$AB$1315,DataRegularSeason20242025!$B$3:$B$1315, "&lt;=" &amp; DB$1, DataRegularSeason20242025!$E$3:$E$1315, $A38)</f>
        <v>10</v>
      </c>
      <c r="DC38">
        <f>SUMIFS(DataRegularSeason20242025!$AA$3:$AA$1315,DataRegularSeason20242025!$B$3:$B$1315, "&lt;=" &amp; DC$1, DataRegularSeason20242025!$D$3:$D$1315, $A38)+SUMIFS(DataRegularSeason20242025!$AB$3:$AB$1315,DataRegularSeason20242025!$B$3:$B$1315, "&lt;=" &amp; DC$1, DataRegularSeason20242025!$E$3:$E$1315, $A38)</f>
        <v>10</v>
      </c>
      <c r="DD38">
        <f>SUMIFS(DataRegularSeason20242025!$AA$3:$AA$1315,DataRegularSeason20242025!$B$3:$B$1315, "&lt;=" &amp; DD$1, DataRegularSeason20242025!$D$3:$D$1315, $A38)+SUMIFS(DataRegularSeason20242025!$AB$3:$AB$1315,DataRegularSeason20242025!$B$3:$B$1315, "&lt;=" &amp; DD$1, DataRegularSeason20242025!$E$3:$E$1315, $A38)</f>
        <v>10</v>
      </c>
      <c r="DE38">
        <f>SUMIFS(DataRegularSeason20242025!$AA$3:$AA$1315,DataRegularSeason20242025!$B$3:$B$1315, "&lt;=" &amp; DE$1, DataRegularSeason20242025!$D$3:$D$1315, $A38)+SUMIFS(DataRegularSeason20242025!$AB$3:$AB$1315,DataRegularSeason20242025!$B$3:$B$1315, "&lt;=" &amp; DE$1, DataRegularSeason20242025!$E$3:$E$1315, $A38)</f>
        <v>10</v>
      </c>
      <c r="DF38">
        <f>SUMIFS(DataRegularSeason20242025!$AA$3:$AA$1315,DataRegularSeason20242025!$B$3:$B$1315, "&lt;=" &amp; DF$1, DataRegularSeason20242025!$D$3:$D$1315, $A38)+SUMIFS(DataRegularSeason20242025!$AB$3:$AB$1315,DataRegularSeason20242025!$B$3:$B$1315, "&lt;=" &amp; DF$1, DataRegularSeason20242025!$E$3:$E$1315, $A38)</f>
        <v>10</v>
      </c>
      <c r="DG38">
        <f>SUMIFS(DataRegularSeason20242025!$AA$3:$AA$1315,DataRegularSeason20242025!$B$3:$B$1315, "&lt;=" &amp; DG$1, DataRegularSeason20242025!$D$3:$D$1315, $A38)+SUMIFS(DataRegularSeason20242025!$AB$3:$AB$1315,DataRegularSeason20242025!$B$3:$B$1315, "&lt;=" &amp; DG$1, DataRegularSeason20242025!$E$3:$E$1315, $A38)</f>
        <v>10</v>
      </c>
      <c r="DH38">
        <f>SUMIFS(DataRegularSeason20242025!$AA$3:$AA$1315,DataRegularSeason20242025!$B$3:$B$1315, "&lt;=" &amp; DH$1, DataRegularSeason20242025!$D$3:$D$1315, $A38)+SUMIFS(DataRegularSeason20242025!$AB$3:$AB$1315,DataRegularSeason20242025!$B$3:$B$1315, "&lt;=" &amp; DH$1, DataRegularSeason20242025!$E$3:$E$1315, $A38)</f>
        <v>10</v>
      </c>
      <c r="DI38">
        <f>SUMIFS(DataRegularSeason20242025!$AA$3:$AA$1315,DataRegularSeason20242025!$B$3:$B$1315, "&lt;=" &amp; DI$1, DataRegularSeason20242025!$D$3:$D$1315, $A38)+SUMIFS(DataRegularSeason20242025!$AB$3:$AB$1315,DataRegularSeason20242025!$B$3:$B$1315, "&lt;=" &amp; DI$1, DataRegularSeason20242025!$E$3:$E$1315, $A38)</f>
        <v>10</v>
      </c>
      <c r="DJ38">
        <f>SUMIFS(DataRegularSeason20242025!$AA$3:$AA$1315,DataRegularSeason20242025!$B$3:$B$1315, "&lt;=" &amp; DJ$1, DataRegularSeason20242025!$D$3:$D$1315, $A38)+SUMIFS(DataRegularSeason20242025!$AB$3:$AB$1315,DataRegularSeason20242025!$B$3:$B$1315, "&lt;=" &amp; DJ$1, DataRegularSeason20242025!$E$3:$E$1315, $A38)</f>
        <v>10</v>
      </c>
      <c r="DK38">
        <f>SUMIFS(DataRegularSeason20242025!$AA$3:$AA$1315,DataRegularSeason20242025!$B$3:$B$1315, "&lt;=" &amp; DK$1, DataRegularSeason20242025!$D$3:$D$1315, $A38)+SUMIFS(DataRegularSeason20242025!$AB$3:$AB$1315,DataRegularSeason20242025!$B$3:$B$1315, "&lt;=" &amp; DK$1, DataRegularSeason20242025!$E$3:$E$1315, $A38)</f>
        <v>10</v>
      </c>
      <c r="DL38">
        <f>SUMIFS(DataRegularSeason20242025!$AA$3:$AA$1315,DataRegularSeason20242025!$B$3:$B$1315, "&lt;=" &amp; DL$1, DataRegularSeason20242025!$D$3:$D$1315, $A38)+SUMIFS(DataRegularSeason20242025!$AB$3:$AB$1315,DataRegularSeason20242025!$B$3:$B$1315, "&lt;=" &amp; DL$1, DataRegularSeason20242025!$E$3:$E$1315, $A38)</f>
        <v>10</v>
      </c>
      <c r="DM38">
        <f>SUMIFS(DataRegularSeason20242025!$AA$3:$AA$1315,DataRegularSeason20242025!$B$3:$B$1315, "&lt;=" &amp; DM$1, DataRegularSeason20242025!$D$3:$D$1315, $A38)+SUMIFS(DataRegularSeason20242025!$AB$3:$AB$1315,DataRegularSeason20242025!$B$3:$B$1315, "&lt;=" &amp; DM$1, DataRegularSeason20242025!$E$3:$E$1315, $A38)</f>
        <v>10</v>
      </c>
      <c r="DN38">
        <f>SUMIFS(DataRegularSeason20242025!$AA$3:$AA$1315,DataRegularSeason20242025!$B$3:$B$1315, "&lt;=" &amp; DN$1, DataRegularSeason20242025!$D$3:$D$1315, $A38)+SUMIFS(DataRegularSeason20242025!$AB$3:$AB$1315,DataRegularSeason20242025!$B$3:$B$1315, "&lt;=" &amp; DN$1, DataRegularSeason20242025!$E$3:$E$1315, $A38)</f>
        <v>10</v>
      </c>
      <c r="DO38">
        <f>SUMIFS(DataRegularSeason20242025!$AA$3:$AA$1315,DataRegularSeason20242025!$B$3:$B$1315, "&lt;=" &amp; DO$1, DataRegularSeason20242025!$D$3:$D$1315, $A38)+SUMIFS(DataRegularSeason20242025!$AB$3:$AB$1315,DataRegularSeason20242025!$B$3:$B$1315, "&lt;=" &amp; DO$1, DataRegularSeason20242025!$E$3:$E$1315, $A38)</f>
        <v>10</v>
      </c>
      <c r="DP38">
        <f>SUMIFS(DataRegularSeason20242025!$AA$3:$AA$1315,DataRegularSeason20242025!$B$3:$B$1315, "&lt;=" &amp; DP$1, DataRegularSeason20242025!$D$3:$D$1315, $A38)+SUMIFS(DataRegularSeason20242025!$AB$3:$AB$1315,DataRegularSeason20242025!$B$3:$B$1315, "&lt;=" &amp; DP$1, DataRegularSeason20242025!$E$3:$E$1315, $A38)</f>
        <v>10</v>
      </c>
      <c r="DQ38">
        <f>SUMIFS(DataRegularSeason20242025!$AA$3:$AA$1315,DataRegularSeason20242025!$B$3:$B$1315, "&lt;=" &amp; DQ$1, DataRegularSeason20242025!$D$3:$D$1315, $A38)+SUMIFS(DataRegularSeason20242025!$AB$3:$AB$1315,DataRegularSeason20242025!$B$3:$B$1315, "&lt;=" &amp; DQ$1, DataRegularSeason20242025!$E$3:$E$1315, $A38)</f>
        <v>10</v>
      </c>
      <c r="DR38">
        <f>SUMIFS(DataRegularSeason20242025!$AA$3:$AA$1315,DataRegularSeason20242025!$B$3:$B$1315, "&lt;=" &amp; DR$1, DataRegularSeason20242025!$D$3:$D$1315, $A38)+SUMIFS(DataRegularSeason20242025!$AB$3:$AB$1315,DataRegularSeason20242025!$B$3:$B$1315, "&lt;=" &amp; DR$1, DataRegularSeason20242025!$E$3:$E$1315, $A38)</f>
        <v>10</v>
      </c>
      <c r="DS38">
        <f>SUMIFS(DataRegularSeason20242025!$AA$3:$AA$1315,DataRegularSeason20242025!$B$3:$B$1315, "&lt;=" &amp; DS$1, DataRegularSeason20242025!$D$3:$D$1315, $A38)+SUMIFS(DataRegularSeason20242025!$AB$3:$AB$1315,DataRegularSeason20242025!$B$3:$B$1315, "&lt;=" &amp; DS$1, DataRegularSeason20242025!$E$3:$E$1315, $A38)</f>
        <v>10</v>
      </c>
      <c r="DT38">
        <f>SUMIFS(DataRegularSeason20242025!$AA$3:$AA$1315,DataRegularSeason20242025!$B$3:$B$1315, "&lt;=" &amp; DT$1, DataRegularSeason20242025!$D$3:$D$1315, $A38)+SUMIFS(DataRegularSeason20242025!$AB$3:$AB$1315,DataRegularSeason20242025!$B$3:$B$1315, "&lt;=" &amp; DT$1, DataRegularSeason20242025!$E$3:$E$1315, $A38)</f>
        <v>10</v>
      </c>
      <c r="DU38">
        <f>SUMIFS(DataRegularSeason20242025!$AA$3:$AA$1315,DataRegularSeason20242025!$B$3:$B$1315, "&lt;=" &amp; DU$1, DataRegularSeason20242025!$D$3:$D$1315, $A38)+SUMIFS(DataRegularSeason20242025!$AB$3:$AB$1315,DataRegularSeason20242025!$B$3:$B$1315, "&lt;=" &amp; DU$1, DataRegularSeason20242025!$E$3:$E$1315, $A38)</f>
        <v>10</v>
      </c>
      <c r="DV38">
        <f>SUMIFS(DataRegularSeason20242025!$AA$3:$AA$1315,DataRegularSeason20242025!$B$3:$B$1315, "&lt;=" &amp; DV$1, DataRegularSeason20242025!$D$3:$D$1315, $A38)+SUMIFS(DataRegularSeason20242025!$AB$3:$AB$1315,DataRegularSeason20242025!$B$3:$B$1315, "&lt;=" &amp; DV$1, DataRegularSeason20242025!$E$3:$E$1315, $A38)</f>
        <v>10</v>
      </c>
      <c r="DW38">
        <f>SUMIFS(DataRegularSeason20242025!$AA$3:$AA$1315,DataRegularSeason20242025!$B$3:$B$1315, "&lt;=" &amp; DW$1, DataRegularSeason20242025!$D$3:$D$1315, $A38)+SUMIFS(DataRegularSeason20242025!$AB$3:$AB$1315,DataRegularSeason20242025!$B$3:$B$1315, "&lt;=" &amp; DW$1, DataRegularSeason20242025!$E$3:$E$1315, $A38)</f>
        <v>10</v>
      </c>
      <c r="DX38">
        <f>SUMIFS(DataRegularSeason20242025!$AA$3:$AA$1315,DataRegularSeason20242025!$B$3:$B$1315, "&lt;=" &amp; DX$1, DataRegularSeason20242025!$D$3:$D$1315, $A38)+SUMIFS(DataRegularSeason20242025!$AB$3:$AB$1315,DataRegularSeason20242025!$B$3:$B$1315, "&lt;=" &amp; DX$1, DataRegularSeason20242025!$E$3:$E$1315, $A38)</f>
        <v>10</v>
      </c>
      <c r="DY38">
        <f>SUMIFS(DataRegularSeason20242025!$AA$3:$AA$1315,DataRegularSeason20242025!$B$3:$B$1315, "&lt;=" &amp; DY$1, DataRegularSeason20242025!$D$3:$D$1315, $A38)+SUMIFS(DataRegularSeason20242025!$AB$3:$AB$1315,DataRegularSeason20242025!$B$3:$B$1315, "&lt;=" &amp; DY$1, DataRegularSeason20242025!$E$3:$E$1315, $A38)</f>
        <v>10</v>
      </c>
      <c r="DZ38">
        <f>SUMIFS(DataRegularSeason20242025!$AA$3:$AA$1315,DataRegularSeason20242025!$B$3:$B$1315, "&lt;=" &amp; DZ$1, DataRegularSeason20242025!$D$3:$D$1315, $A38)+SUMIFS(DataRegularSeason20242025!$AB$3:$AB$1315,DataRegularSeason20242025!$B$3:$B$1315, "&lt;=" &amp; DZ$1, DataRegularSeason20242025!$E$3:$E$1315, $A38)</f>
        <v>10</v>
      </c>
      <c r="EA38">
        <f>SUMIFS(DataRegularSeason20242025!$AA$3:$AA$1315,DataRegularSeason20242025!$B$3:$B$1315, "&lt;=" &amp; EA$1, DataRegularSeason20242025!$D$3:$D$1315, $A38)+SUMIFS(DataRegularSeason20242025!$AB$3:$AB$1315,DataRegularSeason20242025!$B$3:$B$1315, "&lt;=" &amp; EA$1, DataRegularSeason20242025!$E$3:$E$1315, $A38)</f>
        <v>10</v>
      </c>
      <c r="EB38">
        <f>SUMIFS(DataRegularSeason20242025!$AA$3:$AA$1315,DataRegularSeason20242025!$B$3:$B$1315, "&lt;=" &amp; EB$1, DataRegularSeason20242025!$D$3:$D$1315, $A38)+SUMIFS(DataRegularSeason20242025!$AB$3:$AB$1315,DataRegularSeason20242025!$B$3:$B$1315, "&lt;=" &amp; EB$1, DataRegularSeason20242025!$E$3:$E$1315, $A38)</f>
        <v>10</v>
      </c>
      <c r="EC38">
        <f>SUMIFS(DataRegularSeason20242025!$AA$3:$AA$1315,DataRegularSeason20242025!$B$3:$B$1315, "&lt;=" &amp; EC$1, DataRegularSeason20242025!$D$3:$D$1315, $A38)+SUMIFS(DataRegularSeason20242025!$AB$3:$AB$1315,DataRegularSeason20242025!$B$3:$B$1315, "&lt;=" &amp; EC$1, DataRegularSeason20242025!$E$3:$E$1315, $A38)</f>
        <v>10</v>
      </c>
      <c r="ED38">
        <f>SUMIFS(DataRegularSeason20242025!$AA$3:$AA$1315,DataRegularSeason20242025!$B$3:$B$1315, "&lt;=" &amp; ED$1, DataRegularSeason20242025!$D$3:$D$1315, $A38)+SUMIFS(DataRegularSeason20242025!$AB$3:$AB$1315,DataRegularSeason20242025!$B$3:$B$1315, "&lt;=" &amp; ED$1, DataRegularSeason20242025!$E$3:$E$1315, $A38)</f>
        <v>10</v>
      </c>
      <c r="EE38">
        <f>SUMIFS(DataRegularSeason20242025!$AA$3:$AA$1315,DataRegularSeason20242025!$B$3:$B$1315, "&lt;=" &amp; EE$1, DataRegularSeason20242025!$D$3:$D$1315, $A38)+SUMIFS(DataRegularSeason20242025!$AB$3:$AB$1315,DataRegularSeason20242025!$B$3:$B$1315, "&lt;=" &amp; EE$1, DataRegularSeason20242025!$E$3:$E$1315, $A38)</f>
        <v>10</v>
      </c>
      <c r="EF38">
        <f>SUMIFS(DataRegularSeason20242025!$AA$3:$AA$1315,DataRegularSeason20242025!$B$3:$B$1315, "&lt;=" &amp; EF$1, DataRegularSeason20242025!$D$3:$D$1315, $A38)+SUMIFS(DataRegularSeason20242025!$AB$3:$AB$1315,DataRegularSeason20242025!$B$3:$B$1315, "&lt;=" &amp; EF$1, DataRegularSeason20242025!$E$3:$E$1315, $A38)</f>
        <v>10</v>
      </c>
      <c r="EG38">
        <f>SUMIFS(DataRegularSeason20242025!$AA$3:$AA$1315,DataRegularSeason20242025!$B$3:$B$1315, "&lt;=" &amp; EG$1, DataRegularSeason20242025!$D$3:$D$1315, $A38)+SUMIFS(DataRegularSeason20242025!$AB$3:$AB$1315,DataRegularSeason20242025!$B$3:$B$1315, "&lt;=" &amp; EG$1, DataRegularSeason20242025!$E$3:$E$1315, $A38)</f>
        <v>10</v>
      </c>
      <c r="EH38">
        <f>SUMIFS(DataRegularSeason20242025!$AA$3:$AA$1315,DataRegularSeason20242025!$B$3:$B$1315, "&lt;=" &amp; EH$1, DataRegularSeason20242025!$D$3:$D$1315, $A38)+SUMIFS(DataRegularSeason20242025!$AB$3:$AB$1315,DataRegularSeason20242025!$B$3:$B$1315, "&lt;=" &amp; EH$1, DataRegularSeason20242025!$E$3:$E$1315, $A38)</f>
        <v>10</v>
      </c>
      <c r="EI38">
        <f>SUMIFS(DataRegularSeason20242025!$AA$3:$AA$1315,DataRegularSeason20242025!$B$3:$B$1315, "&lt;=" &amp; EI$1, DataRegularSeason20242025!$D$3:$D$1315, $A38)+SUMIFS(DataRegularSeason20242025!$AB$3:$AB$1315,DataRegularSeason20242025!$B$3:$B$1315, "&lt;=" &amp; EI$1, DataRegularSeason20242025!$E$3:$E$1315, $A38)</f>
        <v>10</v>
      </c>
      <c r="EJ38">
        <f>SUMIFS(DataRegularSeason20242025!$AA$3:$AA$1315,DataRegularSeason20242025!$B$3:$B$1315, "&lt;=" &amp; EJ$1, DataRegularSeason20242025!$D$3:$D$1315, $A38)+SUMIFS(DataRegularSeason20242025!$AB$3:$AB$1315,DataRegularSeason20242025!$B$3:$B$1315, "&lt;=" &amp; EJ$1, DataRegularSeason20242025!$E$3:$E$1315, $A38)</f>
        <v>10</v>
      </c>
      <c r="EK38">
        <f>SUMIFS(DataRegularSeason20242025!$AA$3:$AA$1315,DataRegularSeason20242025!$B$3:$B$1315, "&lt;=" &amp; EK$1, DataRegularSeason20242025!$D$3:$D$1315, $A38)+SUMIFS(DataRegularSeason20242025!$AB$3:$AB$1315,DataRegularSeason20242025!$B$3:$B$1315, "&lt;=" &amp; EK$1, DataRegularSeason20242025!$E$3:$E$1315, $A38)</f>
        <v>10</v>
      </c>
      <c r="EL38">
        <f>SUMIFS(DataRegularSeason20242025!$AA$3:$AA$1315,DataRegularSeason20242025!$B$3:$B$1315, "&lt;=" &amp; EL$1, DataRegularSeason20242025!$D$3:$D$1315, $A38)+SUMIFS(DataRegularSeason20242025!$AB$3:$AB$1315,DataRegularSeason20242025!$B$3:$B$1315, "&lt;=" &amp; EL$1, DataRegularSeason20242025!$E$3:$E$1315, $A38)</f>
        <v>10</v>
      </c>
      <c r="EM38">
        <f>SUMIFS(DataRegularSeason20242025!$AA$3:$AA$1315,DataRegularSeason20242025!$B$3:$B$1315, "&lt;=" &amp; EM$1, DataRegularSeason20242025!$D$3:$D$1315, $A38)+SUMIFS(DataRegularSeason20242025!$AB$3:$AB$1315,DataRegularSeason20242025!$B$3:$B$1315, "&lt;=" &amp; EM$1, DataRegularSeason20242025!$E$3:$E$1315, $A38)</f>
        <v>10</v>
      </c>
      <c r="EN38">
        <f>SUMIFS(DataRegularSeason20242025!$AA$3:$AA$1315,DataRegularSeason20242025!$B$3:$B$1315, "&lt;=" &amp; EN$1, DataRegularSeason20242025!$D$3:$D$1315, $A38)+SUMIFS(DataRegularSeason20242025!$AB$3:$AB$1315,DataRegularSeason20242025!$B$3:$B$1315, "&lt;=" &amp; EN$1, DataRegularSeason20242025!$E$3:$E$1315, $A38)</f>
        <v>10</v>
      </c>
      <c r="EO38">
        <f>SUMIFS(DataRegularSeason20242025!$AA$3:$AA$1315,DataRegularSeason20242025!$B$3:$B$1315, "&lt;=" &amp; EO$1, DataRegularSeason20242025!$D$3:$D$1315, $A38)+SUMIFS(DataRegularSeason20242025!$AB$3:$AB$1315,DataRegularSeason20242025!$B$3:$B$1315, "&lt;=" &amp; EO$1, DataRegularSeason20242025!$E$3:$E$1315, $A38)</f>
        <v>10</v>
      </c>
      <c r="EP38">
        <f>SUMIFS(DataRegularSeason20242025!$AA$3:$AA$1315,DataRegularSeason20242025!$B$3:$B$1315, "&lt;=" &amp; EP$1, DataRegularSeason20242025!$D$3:$D$1315, $A38)+SUMIFS(DataRegularSeason20242025!$AB$3:$AB$1315,DataRegularSeason20242025!$B$3:$B$1315, "&lt;=" &amp; EP$1, DataRegularSeason20242025!$E$3:$E$1315, $A38)</f>
        <v>10</v>
      </c>
      <c r="EQ38">
        <f>SUMIFS(DataRegularSeason20242025!$AA$3:$AA$1315,DataRegularSeason20242025!$B$3:$B$1315, "&lt;=" &amp; EQ$1, DataRegularSeason20242025!$D$3:$D$1315, $A38)+SUMIFS(DataRegularSeason20242025!$AB$3:$AB$1315,DataRegularSeason20242025!$B$3:$B$1315, "&lt;=" &amp; EQ$1, DataRegularSeason20242025!$E$3:$E$1315, $A38)</f>
        <v>10</v>
      </c>
      <c r="ER38">
        <f>SUMIFS(DataRegularSeason20242025!$AA$3:$AA$1315,DataRegularSeason20242025!$B$3:$B$1315, "&lt;=" &amp; ER$1, DataRegularSeason20242025!$D$3:$D$1315, $A38)+SUMIFS(DataRegularSeason20242025!$AB$3:$AB$1315,DataRegularSeason20242025!$B$3:$B$1315, "&lt;=" &amp; ER$1, DataRegularSeason20242025!$E$3:$E$1315, $A38)</f>
        <v>10</v>
      </c>
      <c r="ES38">
        <f>SUMIFS(DataRegularSeason20242025!$AA$3:$AA$1315,DataRegularSeason20242025!$B$3:$B$1315, "&lt;=" &amp; ES$1, DataRegularSeason20242025!$D$3:$D$1315, $A38)+SUMIFS(DataRegularSeason20242025!$AB$3:$AB$1315,DataRegularSeason20242025!$B$3:$B$1315, "&lt;=" &amp; ES$1, DataRegularSeason20242025!$E$3:$E$1315, $A38)</f>
        <v>10</v>
      </c>
      <c r="ET38">
        <f>SUMIFS(DataRegularSeason20242025!$AA$3:$AA$1315,DataRegularSeason20242025!$B$3:$B$1315, "&lt;=" &amp; ET$1, DataRegularSeason20242025!$D$3:$D$1315, $A38)+SUMIFS(DataRegularSeason20242025!$AB$3:$AB$1315,DataRegularSeason20242025!$B$3:$B$1315, "&lt;=" &amp; ET$1, DataRegularSeason20242025!$E$3:$E$1315, $A38)</f>
        <v>10</v>
      </c>
      <c r="EU38">
        <f>SUMIFS(DataRegularSeason20242025!$AA$3:$AA$1315,DataRegularSeason20242025!$B$3:$B$1315, "&lt;=" &amp; EU$1, DataRegularSeason20242025!$D$3:$D$1315, $A38)+SUMIFS(DataRegularSeason20242025!$AB$3:$AB$1315,DataRegularSeason20242025!$B$3:$B$1315, "&lt;=" &amp; EU$1, DataRegularSeason20242025!$E$3:$E$1315, $A38)</f>
        <v>10</v>
      </c>
      <c r="EV38">
        <f>SUMIFS(DataRegularSeason20242025!$AA$3:$AA$1315,DataRegularSeason20242025!$B$3:$B$1315, "&lt;=" &amp; EV$1, DataRegularSeason20242025!$D$3:$D$1315, $A38)+SUMIFS(DataRegularSeason20242025!$AB$3:$AB$1315,DataRegularSeason20242025!$B$3:$B$1315, "&lt;=" &amp; EV$1, DataRegularSeason20242025!$E$3:$E$1315, $A38)</f>
        <v>10</v>
      </c>
      <c r="EW38">
        <f>SUMIFS(DataRegularSeason20242025!$AA$3:$AA$1315,DataRegularSeason20242025!$B$3:$B$1315, "&lt;=" &amp; EW$1, DataRegularSeason20242025!$D$3:$D$1315, $A38)+SUMIFS(DataRegularSeason20242025!$AB$3:$AB$1315,DataRegularSeason20242025!$B$3:$B$1315, "&lt;=" &amp; EW$1, DataRegularSeason20242025!$E$3:$E$1315, $A38)</f>
        <v>10</v>
      </c>
      <c r="EX38">
        <f>SUMIFS(DataRegularSeason20242025!$AA$3:$AA$1315,DataRegularSeason20242025!$B$3:$B$1315, "&lt;=" &amp; EX$1, DataRegularSeason20242025!$D$3:$D$1315, $A38)+SUMIFS(DataRegularSeason20242025!$AB$3:$AB$1315,DataRegularSeason20242025!$B$3:$B$1315, "&lt;=" &amp; EX$1, DataRegularSeason20242025!$E$3:$E$1315, $A38)</f>
        <v>10</v>
      </c>
      <c r="EY38">
        <f>SUMIFS(DataRegularSeason20242025!$AA$3:$AA$1315,DataRegularSeason20242025!$B$3:$B$1315, "&lt;=" &amp; EY$1, DataRegularSeason20242025!$D$3:$D$1315, $A38)+SUMIFS(DataRegularSeason20242025!$AB$3:$AB$1315,DataRegularSeason20242025!$B$3:$B$1315, "&lt;=" &amp; EY$1, DataRegularSeason20242025!$E$3:$E$1315, $A38)</f>
        <v>10</v>
      </c>
      <c r="EZ38">
        <f>SUMIFS(DataRegularSeason20242025!$AA$3:$AA$1315,DataRegularSeason20242025!$B$3:$B$1315, "&lt;=" &amp; EZ$1, DataRegularSeason20242025!$D$3:$D$1315, $A38)+SUMIFS(DataRegularSeason20242025!$AB$3:$AB$1315,DataRegularSeason20242025!$B$3:$B$1315, "&lt;=" &amp; EZ$1, DataRegularSeason20242025!$E$3:$E$1315, $A38)</f>
        <v>10</v>
      </c>
      <c r="FA38">
        <f>SUMIFS(DataRegularSeason20242025!$AA$3:$AA$1315,DataRegularSeason20242025!$B$3:$B$1315, "&lt;=" &amp; FA$1, DataRegularSeason20242025!$D$3:$D$1315, $A38)+SUMIFS(DataRegularSeason20242025!$AB$3:$AB$1315,DataRegularSeason20242025!$B$3:$B$1315, "&lt;=" &amp; FA$1, DataRegularSeason20242025!$E$3:$E$1315, $A38)</f>
        <v>10</v>
      </c>
      <c r="FB38">
        <f>SUMIFS(DataRegularSeason20242025!$AA$3:$AA$1315,DataRegularSeason20242025!$B$3:$B$1315, "&lt;=" &amp; FB$1, DataRegularSeason20242025!$D$3:$D$1315, $A38)+SUMIFS(DataRegularSeason20242025!$AB$3:$AB$1315,DataRegularSeason20242025!$B$3:$B$1315, "&lt;=" &amp; FB$1, DataRegularSeason20242025!$E$3:$E$1315, $A38)</f>
        <v>10</v>
      </c>
      <c r="FC38">
        <f>SUMIFS(DataRegularSeason20242025!$AA$3:$AA$1315,DataRegularSeason20242025!$B$3:$B$1315, "&lt;=" &amp; FC$1, DataRegularSeason20242025!$D$3:$D$1315, $A38)+SUMIFS(DataRegularSeason20242025!$AB$3:$AB$1315,DataRegularSeason20242025!$B$3:$B$1315, "&lt;=" &amp; FC$1, DataRegularSeason20242025!$E$3:$E$1315, $A38)</f>
        <v>10</v>
      </c>
      <c r="FD38">
        <f>SUMIFS(DataRegularSeason20242025!$AA$3:$AA$1315,DataRegularSeason20242025!$B$3:$B$1315, "&lt;=" &amp; FD$1, DataRegularSeason20242025!$D$3:$D$1315, $A38)+SUMIFS(DataRegularSeason20242025!$AB$3:$AB$1315,DataRegularSeason20242025!$B$3:$B$1315, "&lt;=" &amp; FD$1, DataRegularSeason20242025!$E$3:$E$1315, $A38)</f>
        <v>10</v>
      </c>
      <c r="FE38">
        <f>SUMIFS(DataRegularSeason20242025!$AA$3:$AA$1315,DataRegularSeason20242025!$B$3:$B$1315, "&lt;=" &amp; FE$1, DataRegularSeason20242025!$D$3:$D$1315, $A38)+SUMIFS(DataRegularSeason20242025!$AB$3:$AB$1315,DataRegularSeason20242025!$B$3:$B$1315, "&lt;=" &amp; FE$1, DataRegularSeason20242025!$E$3:$E$1315, $A38)</f>
        <v>10</v>
      </c>
      <c r="FF38">
        <f>SUMIFS(DataRegularSeason20242025!$AA$3:$AA$1315,DataRegularSeason20242025!$B$3:$B$1315, "&lt;=" &amp; FF$1, DataRegularSeason20242025!$D$3:$D$1315, $A38)+SUMIFS(DataRegularSeason20242025!$AB$3:$AB$1315,DataRegularSeason20242025!$B$3:$B$1315, "&lt;=" &amp; FF$1, DataRegularSeason20242025!$E$3:$E$1315, $A38)</f>
        <v>10</v>
      </c>
      <c r="FG38">
        <f>SUMIFS(DataRegularSeason20242025!$AA$3:$AA$1315,DataRegularSeason20242025!$B$3:$B$1315, "&lt;=" &amp; FG$1, DataRegularSeason20242025!$D$3:$D$1315, $A38)+SUMIFS(DataRegularSeason20242025!$AB$3:$AB$1315,DataRegularSeason20242025!$B$3:$B$1315, "&lt;=" &amp; FG$1, DataRegularSeason20242025!$E$3:$E$1315, $A38)</f>
        <v>10</v>
      </c>
      <c r="FH38">
        <f>SUMIFS(DataRegularSeason20242025!$AA$3:$AA$1315,DataRegularSeason20242025!$B$3:$B$1315, "&lt;=" &amp; FH$1, DataRegularSeason20242025!$D$3:$D$1315, $A38)+SUMIFS(DataRegularSeason20242025!$AB$3:$AB$1315,DataRegularSeason20242025!$B$3:$B$1315, "&lt;=" &amp; FH$1, DataRegularSeason20242025!$E$3:$E$1315, $A38)</f>
        <v>10</v>
      </c>
      <c r="FI38">
        <f>SUMIFS(DataRegularSeason20242025!$AA$3:$AA$1315,DataRegularSeason20242025!$B$3:$B$1315, "&lt;=" &amp; FI$1, DataRegularSeason20242025!$D$3:$D$1315, $A38)+SUMIFS(DataRegularSeason20242025!$AB$3:$AB$1315,DataRegularSeason20242025!$B$3:$B$1315, "&lt;=" &amp; FI$1, DataRegularSeason20242025!$E$3:$E$1315, $A38)</f>
        <v>10</v>
      </c>
      <c r="FJ38">
        <f>SUMIFS(DataRegularSeason20242025!$AA$3:$AA$1315,DataRegularSeason20242025!$B$3:$B$1315, "&lt;=" &amp; FJ$1, DataRegularSeason20242025!$D$3:$D$1315, $A38)+SUMIFS(DataRegularSeason20242025!$AB$3:$AB$1315,DataRegularSeason20242025!$B$3:$B$1315, "&lt;=" &amp; FJ$1, DataRegularSeason20242025!$E$3:$E$1315, $A38)</f>
        <v>10</v>
      </c>
      <c r="FK38">
        <f>SUMIFS(DataRegularSeason20242025!$AA$3:$AA$1315,DataRegularSeason20242025!$B$3:$B$1315, "&lt;=" &amp; FK$1, DataRegularSeason20242025!$D$3:$D$1315, $A38)+SUMIFS(DataRegularSeason20242025!$AB$3:$AB$1315,DataRegularSeason20242025!$B$3:$B$1315, "&lt;=" &amp; FK$1, DataRegularSeason20242025!$E$3:$E$1315, $A38)</f>
        <v>10</v>
      </c>
      <c r="FL38">
        <f>SUMIFS(DataRegularSeason20242025!$AA$3:$AA$1315,DataRegularSeason20242025!$B$3:$B$1315, "&lt;=" &amp; FL$1, DataRegularSeason20242025!$D$3:$D$1315, $A38)+SUMIFS(DataRegularSeason20242025!$AB$3:$AB$1315,DataRegularSeason20242025!$B$3:$B$1315, "&lt;=" &amp; FL$1, DataRegularSeason20242025!$E$3:$E$1315, $A38)</f>
        <v>10</v>
      </c>
      <c r="FM38">
        <f>SUMIFS(DataRegularSeason20242025!$AA$3:$AA$1315,DataRegularSeason20242025!$B$3:$B$1315, "&lt;=" &amp; FM$1, DataRegularSeason20242025!$D$3:$D$1315, $A38)+SUMIFS(DataRegularSeason20242025!$AB$3:$AB$1315,DataRegularSeason20242025!$B$3:$B$1315, "&lt;=" &amp; FM$1, DataRegularSeason20242025!$E$3:$E$1315, $A38)</f>
        <v>10</v>
      </c>
      <c r="FN38">
        <f>SUMIFS(DataRegularSeason20242025!$AA$3:$AA$1315,DataRegularSeason20242025!$B$3:$B$1315, "&lt;=" &amp; FN$1, DataRegularSeason20242025!$D$3:$D$1315, $A38)+SUMIFS(DataRegularSeason20242025!$AB$3:$AB$1315,DataRegularSeason20242025!$B$3:$B$1315, "&lt;=" &amp; FN$1, DataRegularSeason20242025!$E$3:$E$1315, $A38)</f>
        <v>10</v>
      </c>
      <c r="FO38">
        <f>SUMIFS(DataRegularSeason20242025!$AA$3:$AA$1315,DataRegularSeason20242025!$B$3:$B$1315, "&lt;=" &amp; FO$1, DataRegularSeason20242025!$D$3:$D$1315, $A38)+SUMIFS(DataRegularSeason20242025!$AB$3:$AB$1315,DataRegularSeason20242025!$B$3:$B$1315, "&lt;=" &amp; FO$1, DataRegularSeason20242025!$E$3:$E$1315, $A38)</f>
        <v>10</v>
      </c>
      <c r="FP38">
        <f>SUMIFS(DataRegularSeason20242025!$AA$3:$AA$1315,DataRegularSeason20242025!$B$3:$B$1315, "&lt;=" &amp; FP$1, DataRegularSeason20242025!$D$3:$D$1315, $A38)+SUMIFS(DataRegularSeason20242025!$AB$3:$AB$1315,DataRegularSeason20242025!$B$3:$B$1315, "&lt;=" &amp; FP$1, DataRegularSeason20242025!$E$3:$E$1315, $A38)</f>
        <v>10</v>
      </c>
      <c r="FQ38">
        <f>SUMIFS(DataRegularSeason20242025!$AA$3:$AA$1315,DataRegularSeason20242025!$B$3:$B$1315, "&lt;=" &amp; FQ$1, DataRegularSeason20242025!$D$3:$D$1315, $A38)+SUMIFS(DataRegularSeason20242025!$AB$3:$AB$1315,DataRegularSeason20242025!$B$3:$B$1315, "&lt;=" &amp; FQ$1, DataRegularSeason20242025!$E$3:$E$1315, $A38)</f>
        <v>10</v>
      </c>
      <c r="FR38">
        <f>SUMIFS(DataRegularSeason20242025!$AA$3:$AA$1315,DataRegularSeason20242025!$B$3:$B$1315, "&lt;=" &amp; FR$1, DataRegularSeason20242025!$D$3:$D$1315, $A38)+SUMIFS(DataRegularSeason20242025!$AB$3:$AB$1315,DataRegularSeason20242025!$B$3:$B$1315, "&lt;=" &amp; FR$1, DataRegularSeason20242025!$E$3:$E$1315, $A38)</f>
        <v>10</v>
      </c>
      <c r="FS38">
        <f>SUMIFS(DataRegularSeason20242025!$AA$3:$AA$1315,DataRegularSeason20242025!$B$3:$B$1315, "&lt;=" &amp; FS$1, DataRegularSeason20242025!$D$3:$D$1315, $A38)+SUMIFS(DataRegularSeason20242025!$AB$3:$AB$1315,DataRegularSeason20242025!$B$3:$B$1315, "&lt;=" &amp; FS$1, DataRegularSeason20242025!$E$3:$E$1315, $A38)</f>
        <v>10</v>
      </c>
      <c r="FT38">
        <f>SUMIFS(DataRegularSeason20242025!$AA$3:$AA$1315,DataRegularSeason20242025!$B$3:$B$1315, "&lt;=" &amp; FT$1, DataRegularSeason20242025!$D$3:$D$1315, $A38)+SUMIFS(DataRegularSeason20242025!$AB$3:$AB$1315,DataRegularSeason20242025!$B$3:$B$1315, "&lt;=" &amp; FT$1, DataRegularSeason20242025!$E$3:$E$1315, $A38)</f>
        <v>10</v>
      </c>
      <c r="FU38">
        <f>SUMIFS(DataRegularSeason20242025!$AA$3:$AA$1315,DataRegularSeason20242025!$B$3:$B$1315, "&lt;=" &amp; FU$1, DataRegularSeason20242025!$D$3:$D$1315, $A38)+SUMIFS(DataRegularSeason20242025!$AB$3:$AB$1315,DataRegularSeason20242025!$B$3:$B$1315, "&lt;=" &amp; FU$1, DataRegularSeason20242025!$E$3:$E$1315, $A38)</f>
        <v>10</v>
      </c>
      <c r="FV38">
        <f>SUMIFS(DataRegularSeason20242025!$AA$3:$AA$1315,DataRegularSeason20242025!$B$3:$B$1315, "&lt;=" &amp; FV$1, DataRegularSeason20242025!$D$3:$D$1315, $A38)+SUMIFS(DataRegularSeason20242025!$AB$3:$AB$1315,DataRegularSeason20242025!$B$3:$B$1315, "&lt;=" &amp; FV$1, DataRegularSeason20242025!$E$3:$E$1315, $A38)</f>
        <v>10</v>
      </c>
      <c r="FW38">
        <f>SUMIFS(DataRegularSeason20242025!$AA$3:$AA$1315,DataRegularSeason20242025!$B$3:$B$1315, "&lt;=" &amp; FW$1, DataRegularSeason20242025!$D$3:$D$1315, $A38)+SUMIFS(DataRegularSeason20242025!$AB$3:$AB$1315,DataRegularSeason20242025!$B$3:$B$1315, "&lt;=" &amp; FW$1, DataRegularSeason20242025!$E$3:$E$1315, $A38)</f>
        <v>10</v>
      </c>
      <c r="FX38">
        <f>SUMIFS(DataRegularSeason20242025!$AA$3:$AA$1315,DataRegularSeason20242025!$B$3:$B$1315, "&lt;=" &amp; FX$1, DataRegularSeason20242025!$D$3:$D$1315, $A38)+SUMIFS(DataRegularSeason20242025!$AB$3:$AB$1315,DataRegularSeason20242025!$B$3:$B$1315, "&lt;=" &amp; FX$1, DataRegularSeason20242025!$E$3:$E$1315, $A38)</f>
        <v>10</v>
      </c>
      <c r="FY38">
        <f>SUMIFS(DataRegularSeason20242025!$AA$3:$AA$1315,DataRegularSeason20242025!$B$3:$B$1315, "&lt;=" &amp; FY$1, DataRegularSeason20242025!$D$3:$D$1315, $A38)+SUMIFS(DataRegularSeason20242025!$AB$3:$AB$1315,DataRegularSeason20242025!$B$3:$B$1315, "&lt;=" &amp; FY$1, DataRegularSeason20242025!$E$3:$E$1315, $A38)</f>
        <v>10</v>
      </c>
      <c r="FZ38">
        <f>SUMIFS(DataRegularSeason20242025!$AA$3:$AA$1315,DataRegularSeason20242025!$B$3:$B$1315, "&lt;=" &amp; FZ$1, DataRegularSeason20242025!$D$3:$D$1315, $A38)+SUMIFS(DataRegularSeason20242025!$AB$3:$AB$1315,DataRegularSeason20242025!$B$3:$B$1315, "&lt;=" &amp; FZ$1, DataRegularSeason20242025!$E$3:$E$1315, $A38)</f>
        <v>10</v>
      </c>
      <c r="GA38">
        <f>SUMIFS(DataRegularSeason20242025!$AA$3:$AA$1315,DataRegularSeason20242025!$B$3:$B$1315, "&lt;=" &amp; GA$1, DataRegularSeason20242025!$D$3:$D$1315, $A38)+SUMIFS(DataRegularSeason20242025!$AB$3:$AB$1315,DataRegularSeason20242025!$B$3:$B$1315, "&lt;=" &amp; GA$1, DataRegularSeason20242025!$E$3:$E$1315, $A38)</f>
        <v>10</v>
      </c>
      <c r="GB38">
        <f>SUMIFS(DataRegularSeason20242025!$AA$3:$AA$1315,DataRegularSeason20242025!$B$3:$B$1315, "&lt;=" &amp; GB$1, DataRegularSeason20242025!$D$3:$D$1315, $A38)+SUMIFS(DataRegularSeason20242025!$AB$3:$AB$1315,DataRegularSeason20242025!$B$3:$B$1315, "&lt;=" &amp; GB$1, DataRegularSeason20242025!$E$3:$E$1315, $A38)</f>
        <v>10</v>
      </c>
      <c r="GC38">
        <f>SUMIFS(DataRegularSeason20242025!$AA$3:$AA$1315,DataRegularSeason20242025!$B$3:$B$1315, "&lt;=" &amp; GC$1, DataRegularSeason20242025!$D$3:$D$1315, $A38)+SUMIFS(DataRegularSeason20242025!$AB$3:$AB$1315,DataRegularSeason20242025!$B$3:$B$1315, "&lt;=" &amp; GC$1, DataRegularSeason20242025!$E$3:$E$1315, $A38)</f>
        <v>10</v>
      </c>
      <c r="GD38">
        <f>SUMIFS(DataRegularSeason20242025!$AA$3:$AA$1315,DataRegularSeason20242025!$B$3:$B$1315, "&lt;=" &amp; GD$1, DataRegularSeason20242025!$D$3:$D$1315, $A38)+SUMIFS(DataRegularSeason20242025!$AB$3:$AB$1315,DataRegularSeason20242025!$B$3:$B$1315, "&lt;=" &amp; GD$1, DataRegularSeason20242025!$E$3:$E$1315, $A38)</f>
        <v>10</v>
      </c>
      <c r="GE38">
        <f>SUMIFS(DataRegularSeason20242025!$AA$3:$AA$1315,DataRegularSeason20242025!$B$3:$B$1315, "&lt;=" &amp; GE$1, DataRegularSeason20242025!$D$3:$D$1315, $A38)+SUMIFS(DataRegularSeason20242025!$AB$3:$AB$1315,DataRegularSeason20242025!$B$3:$B$1315, "&lt;=" &amp; GE$1, DataRegularSeason20242025!$E$3:$E$1315, $A38)</f>
        <v>10</v>
      </c>
      <c r="GF38">
        <f>SUMIFS(DataRegularSeason20242025!$AA$3:$AA$1315,DataRegularSeason20242025!$B$3:$B$1315, "&lt;=" &amp; GF$1, DataRegularSeason20242025!$D$3:$D$1315, $A38)+SUMIFS(DataRegularSeason20242025!$AB$3:$AB$1315,DataRegularSeason20242025!$B$3:$B$1315, "&lt;=" &amp; GF$1, DataRegularSeason20242025!$E$3:$E$1315, $A38)</f>
        <v>10</v>
      </c>
      <c r="GG38">
        <f>SUMIFS(DataRegularSeason20242025!$AA$3:$AA$1315,DataRegularSeason20242025!$B$3:$B$1315, "&lt;=" &amp; GG$1, DataRegularSeason20242025!$D$3:$D$1315, $A38)+SUMIFS(DataRegularSeason20242025!$AB$3:$AB$1315,DataRegularSeason20242025!$B$3:$B$1315, "&lt;=" &amp; GG$1, DataRegularSeason20242025!$E$3:$E$1315, $A38)</f>
        <v>10</v>
      </c>
      <c r="GH38">
        <f>SUMIFS(DataRegularSeason20242025!$AA$3:$AA$1315,DataRegularSeason20242025!$B$3:$B$1315, "&lt;=" &amp; GH$1, DataRegularSeason20242025!$D$3:$D$1315, $A38)+SUMIFS(DataRegularSeason20242025!$AB$3:$AB$1315,DataRegularSeason20242025!$B$3:$B$1315, "&lt;=" &amp; GH$1, DataRegularSeason20242025!$E$3:$E$1315, $A38)</f>
        <v>10</v>
      </c>
      <c r="GI38">
        <f>SUMIFS(DataRegularSeason20242025!$AA$3:$AA$1315,DataRegularSeason20242025!$B$3:$B$1315, "&lt;=" &amp; GI$1, DataRegularSeason20242025!$D$3:$D$1315, $A38)+SUMIFS(DataRegularSeason20242025!$AB$3:$AB$1315,DataRegularSeason20242025!$B$3:$B$1315, "&lt;=" &amp; GI$1, DataRegularSeason20242025!$E$3:$E$1315, $A38)</f>
        <v>10</v>
      </c>
      <c r="GJ38">
        <f>SUMIFS(DataRegularSeason20242025!$AA$3:$AA$1315,DataRegularSeason20242025!$B$3:$B$1315, "&lt;=" &amp; GJ$1, DataRegularSeason20242025!$D$3:$D$1315, $A38)+SUMIFS(DataRegularSeason20242025!$AB$3:$AB$1315,DataRegularSeason20242025!$B$3:$B$1315, "&lt;=" &amp; GJ$1, DataRegularSeason20242025!$E$3:$E$1315, $A38)</f>
        <v>10</v>
      </c>
      <c r="GK38">
        <f>SUMIFS(DataRegularSeason20242025!$AA$3:$AA$1315,DataRegularSeason20242025!$B$3:$B$1315, "&lt;=" &amp; GK$1, DataRegularSeason20242025!$D$3:$D$1315, $A38)+SUMIFS(DataRegularSeason20242025!$AB$3:$AB$1315,DataRegularSeason20242025!$B$3:$B$1315, "&lt;=" &amp; GK$1, DataRegularSeason20242025!$E$3:$E$1315, $A38)</f>
        <v>10</v>
      </c>
      <c r="GL38">
        <f>SUMIFS(DataRegularSeason20242025!$AA$3:$AA$1315,DataRegularSeason20242025!$B$3:$B$1315, "&lt;=" &amp; GL$1, DataRegularSeason20242025!$D$3:$D$1315, $A38)+SUMIFS(DataRegularSeason20242025!$AB$3:$AB$1315,DataRegularSeason20242025!$B$3:$B$1315, "&lt;=" &amp; GL$1, DataRegularSeason20242025!$E$3:$E$1315, $A38)</f>
        <v>10</v>
      </c>
      <c r="GM38">
        <f>SUMIFS(DataRegularSeason20242025!$AA$3:$AA$1315,DataRegularSeason20242025!$B$3:$B$1315, "&lt;=" &amp; GM$1, DataRegularSeason20242025!$D$3:$D$1315, $A38)+SUMIFS(DataRegularSeason20242025!$AB$3:$AB$1315,DataRegularSeason20242025!$B$3:$B$1315, "&lt;=" &amp; GM$1, DataRegularSeason20242025!$E$3:$E$1315, $A38)</f>
        <v>10</v>
      </c>
      <c r="GN38">
        <f>SUMIFS(DataRegularSeason20242025!$AA$3:$AA$1315,DataRegularSeason20242025!$B$3:$B$1315, "&lt;=" &amp; GN$1, DataRegularSeason20242025!$D$3:$D$1315, $A38)+SUMIFS(DataRegularSeason20242025!$AB$3:$AB$1315,DataRegularSeason20242025!$B$3:$B$1315, "&lt;=" &amp; GN$1, DataRegularSeason20242025!$E$3:$E$1315, $A38)</f>
        <v>10</v>
      </c>
      <c r="GO38">
        <f>SUMIFS(DataRegularSeason20242025!$AA$3:$AA$1315,DataRegularSeason20242025!$B$3:$B$1315, "&lt;=" &amp; GO$1, DataRegularSeason20242025!$D$3:$D$1315, $A38)+SUMIFS(DataRegularSeason20242025!$AB$3:$AB$1315,DataRegularSeason20242025!$B$3:$B$1315, "&lt;=" &amp; GO$1, DataRegularSeason20242025!$E$3:$E$1315, $A38)</f>
        <v>10</v>
      </c>
      <c r="GP38">
        <f>SUMIFS(DataRegularSeason20242025!$AA$3:$AA$1315,DataRegularSeason20242025!$B$3:$B$1315, "&lt;=" &amp; GP$1, DataRegularSeason20242025!$D$3:$D$1315, $A38)+SUMIFS(DataRegularSeason20242025!$AB$3:$AB$1315,DataRegularSeason20242025!$B$3:$B$1315, "&lt;=" &amp; GP$1, DataRegularSeason20242025!$E$3:$E$1315, $A38)</f>
        <v>10</v>
      </c>
      <c r="GQ38">
        <f>SUMIFS(DataRegularSeason20242025!$AA$3:$AA$1315,DataRegularSeason20242025!$B$3:$B$1315, "&lt;=" &amp; GQ$1, DataRegularSeason20242025!$D$3:$D$1315, $A38)+SUMIFS(DataRegularSeason20242025!$AB$3:$AB$1315,DataRegularSeason20242025!$B$3:$B$1315, "&lt;=" &amp; GQ$1, DataRegularSeason20242025!$E$3:$E$1315, $A38)</f>
        <v>10</v>
      </c>
      <c r="GR38">
        <f>SUMIFS(DataRegularSeason20242025!$AA$3:$AA$1315,DataRegularSeason20242025!$B$3:$B$1315, "&lt;=" &amp; GR$1, DataRegularSeason20242025!$D$3:$D$1315, $A38)+SUMIFS(DataRegularSeason20242025!$AB$3:$AB$1315,DataRegularSeason20242025!$B$3:$B$1315, "&lt;=" &amp; GR$1, DataRegularSeason20242025!$E$3:$E$1315, $A38)</f>
        <v>10</v>
      </c>
      <c r="GS38">
        <f>SUMIFS(DataRegularSeason20242025!$AA$3:$AA$1315,DataRegularSeason20242025!$B$3:$B$1315, "&lt;=" &amp; GS$1, DataRegularSeason20242025!$D$3:$D$1315, $A38)+SUMIFS(DataRegularSeason20242025!$AB$3:$AB$1315,DataRegularSeason20242025!$B$3:$B$1315, "&lt;=" &amp; GS$1, DataRegularSeason20242025!$E$3:$E$1315, $A38)</f>
        <v>10</v>
      </c>
      <c r="GT38">
        <f>SUMIFS(DataRegularSeason20242025!$AA$3:$AA$1315,DataRegularSeason20242025!$B$3:$B$1315, "&lt;=" &amp; GT$1, DataRegularSeason20242025!$D$3:$D$1315, $A38)+SUMIFS(DataRegularSeason20242025!$AB$3:$AB$1315,DataRegularSeason20242025!$B$3:$B$1315, "&lt;=" &amp; GT$1, DataRegularSeason20242025!$E$3:$E$1315, $A38)</f>
        <v>10</v>
      </c>
      <c r="GU38">
        <f>SUMIFS(DataRegularSeason20242025!$AA$3:$AA$1315,DataRegularSeason20242025!$B$3:$B$1315, "&lt;=" &amp; GU$1, DataRegularSeason20242025!$D$3:$D$1315, $A38)+SUMIFS(DataRegularSeason20242025!$AB$3:$AB$1315,DataRegularSeason20242025!$B$3:$B$1315, "&lt;=" &amp; GU$1, DataRegularSeason20242025!$E$3:$E$1315, $A38)</f>
        <v>10</v>
      </c>
    </row>
    <row r="39" spans="1:275" x14ac:dyDescent="0.25">
      <c r="A39" t="s">
        <v>18</v>
      </c>
      <c r="B39" t="s">
        <v>91</v>
      </c>
      <c r="C39" t="s">
        <v>74</v>
      </c>
      <c r="D39">
        <f>SUMIFS(DataRegularSeason20242025!$AA$3:$AA$1315,DataRegularSeason20242025!$B$3:$B$1315, "&lt;=" &amp; D$1, DataRegularSeason20242025!$D$3:$D$1315, $A39)+SUMIFS(DataRegularSeason20242025!$AB$3:$AB$1315,DataRegularSeason20242025!$B$3:$B$1315, "&lt;=" &amp; D$1, DataRegularSeason20242025!$E$3:$E$1315, $A39)</f>
        <v>0</v>
      </c>
      <c r="E39">
        <f>SUMIFS(DataRegularSeason20242025!$AA$3:$AA$1315,DataRegularSeason20242025!$B$3:$B$1315, "&lt;=" &amp; E$1, DataRegularSeason20242025!$D$3:$D$1315, $A39)+SUMIFS(DataRegularSeason20242025!$AB$3:$AB$1315,DataRegularSeason20242025!$B$3:$B$1315, "&lt;=" &amp; E$1, DataRegularSeason20242025!$E$3:$E$1315, $A39)</f>
        <v>0</v>
      </c>
      <c r="F39">
        <f>SUMIFS(DataRegularSeason20242025!$AA$3:$AA$1315,DataRegularSeason20242025!$B$3:$B$1315, "&lt;=" &amp; F$1, DataRegularSeason20242025!$D$3:$D$1315, $A39)+SUMIFS(DataRegularSeason20242025!$AB$3:$AB$1315,DataRegularSeason20242025!$B$3:$B$1315, "&lt;=" &amp; F$1, DataRegularSeason20242025!$E$3:$E$1315, $A39)</f>
        <v>0</v>
      </c>
      <c r="G39">
        <f>SUMIFS(DataRegularSeason20242025!$AA$3:$AA$1315,DataRegularSeason20242025!$B$3:$B$1315, "&lt;=" &amp; G$1, DataRegularSeason20242025!$D$3:$D$1315, $A39)+SUMIFS(DataRegularSeason20242025!$AB$3:$AB$1315,DataRegularSeason20242025!$B$3:$B$1315, "&lt;=" &amp; G$1, DataRegularSeason20242025!$E$3:$E$1315, $A39)</f>
        <v>0</v>
      </c>
      <c r="H39">
        <f>SUMIFS(DataRegularSeason20242025!$AA$3:$AA$1315,DataRegularSeason20242025!$B$3:$B$1315, "&lt;=" &amp; H$1, DataRegularSeason20242025!$D$3:$D$1315, $A39)+SUMIFS(DataRegularSeason20242025!$AB$3:$AB$1315,DataRegularSeason20242025!$B$3:$B$1315, "&lt;=" &amp; H$1, DataRegularSeason20242025!$E$3:$E$1315, $A39)</f>
        <v>0</v>
      </c>
      <c r="I39">
        <f>SUMIFS(DataRegularSeason20242025!$AA$3:$AA$1315,DataRegularSeason20242025!$B$3:$B$1315, "&lt;=" &amp; I$1, DataRegularSeason20242025!$D$3:$D$1315, $A39)+SUMIFS(DataRegularSeason20242025!$AB$3:$AB$1315,DataRegularSeason20242025!$B$3:$B$1315, "&lt;=" &amp; I$1, DataRegularSeason20242025!$E$3:$E$1315, $A39)</f>
        <v>0</v>
      </c>
      <c r="J39">
        <f>SUMIFS(DataRegularSeason20242025!$AA$3:$AA$1315,DataRegularSeason20242025!$B$3:$B$1315, "&lt;=" &amp; J$1, DataRegularSeason20242025!$D$3:$D$1315, $A39)+SUMIFS(DataRegularSeason20242025!$AB$3:$AB$1315,DataRegularSeason20242025!$B$3:$B$1315, "&lt;=" &amp; J$1, DataRegularSeason20242025!$E$3:$E$1315, $A39)</f>
        <v>2</v>
      </c>
      <c r="K39">
        <f>SUMIFS(DataRegularSeason20242025!$AA$3:$AA$1315,DataRegularSeason20242025!$B$3:$B$1315, "&lt;=" &amp; K$1, DataRegularSeason20242025!$D$3:$D$1315, $A39)+SUMIFS(DataRegularSeason20242025!$AB$3:$AB$1315,DataRegularSeason20242025!$B$3:$B$1315, "&lt;=" &amp; K$1, DataRegularSeason20242025!$E$3:$E$1315, $A39)</f>
        <v>2</v>
      </c>
      <c r="L39">
        <f>SUMIFS(DataRegularSeason20242025!$AA$3:$AA$1315,DataRegularSeason20242025!$B$3:$B$1315, "&lt;=" &amp; L$1, DataRegularSeason20242025!$D$3:$D$1315, $A39)+SUMIFS(DataRegularSeason20242025!$AB$3:$AB$1315,DataRegularSeason20242025!$B$3:$B$1315, "&lt;=" &amp; L$1, DataRegularSeason20242025!$E$3:$E$1315, $A39)</f>
        <v>4</v>
      </c>
      <c r="M39">
        <f>SUMIFS(DataRegularSeason20242025!$AA$3:$AA$1315,DataRegularSeason20242025!$B$3:$B$1315, "&lt;=" &amp; M$1, DataRegularSeason20242025!$D$3:$D$1315, $A39)+SUMIFS(DataRegularSeason20242025!$AB$3:$AB$1315,DataRegularSeason20242025!$B$3:$B$1315, "&lt;=" &amp; M$1, DataRegularSeason20242025!$E$3:$E$1315, $A39)</f>
        <v>4</v>
      </c>
      <c r="N39">
        <f>SUMIFS(DataRegularSeason20242025!$AA$3:$AA$1315,DataRegularSeason20242025!$B$3:$B$1315, "&lt;=" &amp; N$1, DataRegularSeason20242025!$D$3:$D$1315, $A39)+SUMIFS(DataRegularSeason20242025!$AB$3:$AB$1315,DataRegularSeason20242025!$B$3:$B$1315, "&lt;=" &amp; N$1, DataRegularSeason20242025!$E$3:$E$1315, $A39)</f>
        <v>4</v>
      </c>
      <c r="O39">
        <f>SUMIFS(DataRegularSeason20242025!$AA$3:$AA$1315,DataRegularSeason20242025!$B$3:$B$1315, "&lt;=" &amp; O$1, DataRegularSeason20242025!$D$3:$D$1315, $A39)+SUMIFS(DataRegularSeason20242025!$AB$3:$AB$1315,DataRegularSeason20242025!$B$3:$B$1315, "&lt;=" &amp; O$1, DataRegularSeason20242025!$E$3:$E$1315, $A39)</f>
        <v>6</v>
      </c>
      <c r="P39">
        <f>SUMIFS(DataRegularSeason20242025!$AA$3:$AA$1315,DataRegularSeason20242025!$B$3:$B$1315, "&lt;=" &amp; P$1, DataRegularSeason20242025!$D$3:$D$1315, $A39)+SUMIFS(DataRegularSeason20242025!$AB$3:$AB$1315,DataRegularSeason20242025!$B$3:$B$1315, "&lt;=" &amp; P$1, DataRegularSeason20242025!$E$3:$E$1315, $A39)</f>
        <v>6</v>
      </c>
      <c r="Q39">
        <f>SUMIFS(DataRegularSeason20242025!$AA$3:$AA$1315,DataRegularSeason20242025!$B$3:$B$1315, "&lt;=" &amp; Q$1, DataRegularSeason20242025!$D$3:$D$1315, $A39)+SUMIFS(DataRegularSeason20242025!$AB$3:$AB$1315,DataRegularSeason20242025!$B$3:$B$1315, "&lt;=" &amp; Q$1, DataRegularSeason20242025!$E$3:$E$1315, $A39)</f>
        <v>8</v>
      </c>
      <c r="R39">
        <f>SUMIFS(DataRegularSeason20242025!$AA$3:$AA$1315,DataRegularSeason20242025!$B$3:$B$1315, "&lt;=" &amp; R$1, DataRegularSeason20242025!$D$3:$D$1315, $A39)+SUMIFS(DataRegularSeason20242025!$AB$3:$AB$1315,DataRegularSeason20242025!$B$3:$B$1315, "&lt;=" &amp; R$1, DataRegularSeason20242025!$E$3:$E$1315, $A39)</f>
        <v>8</v>
      </c>
      <c r="S39">
        <f>SUMIFS(DataRegularSeason20242025!$AA$3:$AA$1315,DataRegularSeason20242025!$B$3:$B$1315, "&lt;=" &amp; S$1, DataRegularSeason20242025!$D$3:$D$1315, $A39)+SUMIFS(DataRegularSeason20242025!$AB$3:$AB$1315,DataRegularSeason20242025!$B$3:$B$1315, "&lt;=" &amp; S$1, DataRegularSeason20242025!$E$3:$E$1315, $A39)</f>
        <v>8</v>
      </c>
      <c r="T39">
        <f>SUMIFS(DataRegularSeason20242025!$AA$3:$AA$1315,DataRegularSeason20242025!$B$3:$B$1315, "&lt;=" &amp; T$1, DataRegularSeason20242025!$D$3:$D$1315, $A39)+SUMIFS(DataRegularSeason20242025!$AB$3:$AB$1315,DataRegularSeason20242025!$B$3:$B$1315, "&lt;=" &amp; T$1, DataRegularSeason20242025!$E$3:$E$1315, $A39)</f>
        <v>8</v>
      </c>
      <c r="U39">
        <f>SUMIFS(DataRegularSeason20242025!$AA$3:$AA$1315,DataRegularSeason20242025!$B$3:$B$1315, "&lt;=" &amp; U$1, DataRegularSeason20242025!$D$3:$D$1315, $A39)+SUMIFS(DataRegularSeason20242025!$AB$3:$AB$1315,DataRegularSeason20242025!$B$3:$B$1315, "&lt;=" &amp; U$1, DataRegularSeason20242025!$E$3:$E$1315, $A39)</f>
        <v>10</v>
      </c>
      <c r="V39">
        <f>SUMIFS(DataRegularSeason20242025!$AA$3:$AA$1315,DataRegularSeason20242025!$B$3:$B$1315, "&lt;=" &amp; V$1, DataRegularSeason20242025!$D$3:$D$1315, $A39)+SUMIFS(DataRegularSeason20242025!$AB$3:$AB$1315,DataRegularSeason20242025!$B$3:$B$1315, "&lt;=" &amp; V$1, DataRegularSeason20242025!$E$3:$E$1315, $A39)</f>
        <v>10</v>
      </c>
      <c r="W39">
        <f>SUMIFS(DataRegularSeason20242025!$AA$3:$AA$1315,DataRegularSeason20242025!$B$3:$B$1315, "&lt;=" &amp; W$1, DataRegularSeason20242025!$D$3:$D$1315, $A39)+SUMIFS(DataRegularSeason20242025!$AB$3:$AB$1315,DataRegularSeason20242025!$B$3:$B$1315, "&lt;=" &amp; W$1, DataRegularSeason20242025!$E$3:$E$1315, $A39)</f>
        <v>10</v>
      </c>
      <c r="X39">
        <f>SUMIFS(DataRegularSeason20242025!$AA$3:$AA$1315,DataRegularSeason20242025!$B$3:$B$1315, "&lt;=" &amp; X$1, DataRegularSeason20242025!$D$3:$D$1315, $A39)+SUMIFS(DataRegularSeason20242025!$AB$3:$AB$1315,DataRegularSeason20242025!$B$3:$B$1315, "&lt;=" &amp; X$1, DataRegularSeason20242025!$E$3:$E$1315, $A39)</f>
        <v>10</v>
      </c>
      <c r="Y39">
        <f>SUMIFS(DataRegularSeason20242025!$AA$3:$AA$1315,DataRegularSeason20242025!$B$3:$B$1315, "&lt;=" &amp; Y$1, DataRegularSeason20242025!$D$3:$D$1315, $A39)+SUMIFS(DataRegularSeason20242025!$AB$3:$AB$1315,DataRegularSeason20242025!$B$3:$B$1315, "&lt;=" &amp; Y$1, DataRegularSeason20242025!$E$3:$E$1315, $A39)</f>
        <v>10</v>
      </c>
      <c r="Z39">
        <f>SUMIFS(DataRegularSeason20242025!$AA$3:$AA$1315,DataRegularSeason20242025!$B$3:$B$1315, "&lt;=" &amp; Z$1, DataRegularSeason20242025!$D$3:$D$1315, $A39)+SUMIFS(DataRegularSeason20242025!$AB$3:$AB$1315,DataRegularSeason20242025!$B$3:$B$1315, "&lt;=" &amp; Z$1, DataRegularSeason20242025!$E$3:$E$1315, $A39)</f>
        <v>10</v>
      </c>
      <c r="AA39">
        <f>SUMIFS(DataRegularSeason20242025!$AA$3:$AA$1315,DataRegularSeason20242025!$B$3:$B$1315, "&lt;=" &amp; AA$1, DataRegularSeason20242025!$D$3:$D$1315, $A39)+SUMIFS(DataRegularSeason20242025!$AB$3:$AB$1315,DataRegularSeason20242025!$B$3:$B$1315, "&lt;=" &amp; AA$1, DataRegularSeason20242025!$E$3:$E$1315, $A39)</f>
        <v>10</v>
      </c>
      <c r="AB39">
        <f>SUMIFS(DataRegularSeason20242025!$AA$3:$AA$1315,DataRegularSeason20242025!$B$3:$B$1315, "&lt;=" &amp; AB$1, DataRegularSeason20242025!$D$3:$D$1315, $A39)+SUMIFS(DataRegularSeason20242025!$AB$3:$AB$1315,DataRegularSeason20242025!$B$3:$B$1315, "&lt;=" &amp; AB$1, DataRegularSeason20242025!$E$3:$E$1315, $A39)</f>
        <v>10</v>
      </c>
      <c r="AC39">
        <f>SUMIFS(DataRegularSeason20242025!$AA$3:$AA$1315,DataRegularSeason20242025!$B$3:$B$1315, "&lt;=" &amp; AC$1, DataRegularSeason20242025!$D$3:$D$1315, $A39)+SUMIFS(DataRegularSeason20242025!$AB$3:$AB$1315,DataRegularSeason20242025!$B$3:$B$1315, "&lt;=" &amp; AC$1, DataRegularSeason20242025!$E$3:$E$1315, $A39)</f>
        <v>10</v>
      </c>
      <c r="AD39">
        <f>SUMIFS(DataRegularSeason20242025!$AA$3:$AA$1315,DataRegularSeason20242025!$B$3:$B$1315, "&lt;=" &amp; AD$1, DataRegularSeason20242025!$D$3:$D$1315, $A39)+SUMIFS(DataRegularSeason20242025!$AB$3:$AB$1315,DataRegularSeason20242025!$B$3:$B$1315, "&lt;=" &amp; AD$1, DataRegularSeason20242025!$E$3:$E$1315, $A39)</f>
        <v>10</v>
      </c>
      <c r="AE39">
        <f>SUMIFS(DataRegularSeason20242025!$AA$3:$AA$1315,DataRegularSeason20242025!$B$3:$B$1315, "&lt;=" &amp; AE$1, DataRegularSeason20242025!$D$3:$D$1315, $A39)+SUMIFS(DataRegularSeason20242025!$AB$3:$AB$1315,DataRegularSeason20242025!$B$3:$B$1315, "&lt;=" &amp; AE$1, DataRegularSeason20242025!$E$3:$E$1315, $A39)</f>
        <v>10</v>
      </c>
      <c r="AF39">
        <f>SUMIFS(DataRegularSeason20242025!$AA$3:$AA$1315,DataRegularSeason20242025!$B$3:$B$1315, "&lt;=" &amp; AF$1, DataRegularSeason20242025!$D$3:$D$1315, $A39)+SUMIFS(DataRegularSeason20242025!$AB$3:$AB$1315,DataRegularSeason20242025!$B$3:$B$1315, "&lt;=" &amp; AF$1, DataRegularSeason20242025!$E$3:$E$1315, $A39)</f>
        <v>10</v>
      </c>
      <c r="AG39">
        <f>SUMIFS(DataRegularSeason20242025!$AA$3:$AA$1315,DataRegularSeason20242025!$B$3:$B$1315, "&lt;=" &amp; AG$1, DataRegularSeason20242025!$D$3:$D$1315, $A39)+SUMIFS(DataRegularSeason20242025!$AB$3:$AB$1315,DataRegularSeason20242025!$B$3:$B$1315, "&lt;=" &amp; AG$1, DataRegularSeason20242025!$E$3:$E$1315, $A39)</f>
        <v>10</v>
      </c>
      <c r="AH39">
        <f>SUMIFS(DataRegularSeason20242025!$AA$3:$AA$1315,DataRegularSeason20242025!$B$3:$B$1315, "&lt;=" &amp; AH$1, DataRegularSeason20242025!$D$3:$D$1315, $A39)+SUMIFS(DataRegularSeason20242025!$AB$3:$AB$1315,DataRegularSeason20242025!$B$3:$B$1315, "&lt;=" &amp; AH$1, DataRegularSeason20242025!$E$3:$E$1315, $A39)</f>
        <v>10</v>
      </c>
      <c r="AI39">
        <f>SUMIFS(DataRegularSeason20242025!$AA$3:$AA$1315,DataRegularSeason20242025!$B$3:$B$1315, "&lt;=" &amp; AI$1, DataRegularSeason20242025!$D$3:$D$1315, $A39)+SUMIFS(DataRegularSeason20242025!$AB$3:$AB$1315,DataRegularSeason20242025!$B$3:$B$1315, "&lt;=" &amp; AI$1, DataRegularSeason20242025!$E$3:$E$1315, $A39)</f>
        <v>10</v>
      </c>
      <c r="AJ39">
        <f>SUMIFS(DataRegularSeason20242025!$AA$3:$AA$1315,DataRegularSeason20242025!$B$3:$B$1315, "&lt;=" &amp; AJ$1, DataRegularSeason20242025!$D$3:$D$1315, $A39)+SUMIFS(DataRegularSeason20242025!$AB$3:$AB$1315,DataRegularSeason20242025!$B$3:$B$1315, "&lt;=" &amp; AJ$1, DataRegularSeason20242025!$E$3:$E$1315, $A39)</f>
        <v>10</v>
      </c>
      <c r="AK39">
        <f>SUMIFS(DataRegularSeason20242025!$AA$3:$AA$1315,DataRegularSeason20242025!$B$3:$B$1315, "&lt;=" &amp; AK$1, DataRegularSeason20242025!$D$3:$D$1315, $A39)+SUMIFS(DataRegularSeason20242025!$AB$3:$AB$1315,DataRegularSeason20242025!$B$3:$B$1315, "&lt;=" &amp; AK$1, DataRegularSeason20242025!$E$3:$E$1315, $A39)</f>
        <v>10</v>
      </c>
      <c r="AL39">
        <f>SUMIFS(DataRegularSeason20242025!$AA$3:$AA$1315,DataRegularSeason20242025!$B$3:$B$1315, "&lt;=" &amp; AL$1, DataRegularSeason20242025!$D$3:$D$1315, $A39)+SUMIFS(DataRegularSeason20242025!$AB$3:$AB$1315,DataRegularSeason20242025!$B$3:$B$1315, "&lt;=" &amp; AL$1, DataRegularSeason20242025!$E$3:$E$1315, $A39)</f>
        <v>10</v>
      </c>
      <c r="AM39">
        <f>SUMIFS(DataRegularSeason20242025!$AA$3:$AA$1315,DataRegularSeason20242025!$B$3:$B$1315, "&lt;=" &amp; AM$1, DataRegularSeason20242025!$D$3:$D$1315, $A39)+SUMIFS(DataRegularSeason20242025!$AB$3:$AB$1315,DataRegularSeason20242025!$B$3:$B$1315, "&lt;=" &amp; AM$1, DataRegularSeason20242025!$E$3:$E$1315, $A39)</f>
        <v>10</v>
      </c>
      <c r="AN39">
        <f>SUMIFS(DataRegularSeason20242025!$AA$3:$AA$1315,DataRegularSeason20242025!$B$3:$B$1315, "&lt;=" &amp; AN$1, DataRegularSeason20242025!$D$3:$D$1315, $A39)+SUMIFS(DataRegularSeason20242025!$AB$3:$AB$1315,DataRegularSeason20242025!$B$3:$B$1315, "&lt;=" &amp; AN$1, DataRegularSeason20242025!$E$3:$E$1315, $A39)</f>
        <v>10</v>
      </c>
      <c r="AO39">
        <f>SUMIFS(DataRegularSeason20242025!$AA$3:$AA$1315,DataRegularSeason20242025!$B$3:$B$1315, "&lt;=" &amp; AO$1, DataRegularSeason20242025!$D$3:$D$1315, $A39)+SUMIFS(DataRegularSeason20242025!$AB$3:$AB$1315,DataRegularSeason20242025!$B$3:$B$1315, "&lt;=" &amp; AO$1, DataRegularSeason20242025!$E$3:$E$1315, $A39)</f>
        <v>10</v>
      </c>
      <c r="AP39">
        <f>SUMIFS(DataRegularSeason20242025!$AA$3:$AA$1315,DataRegularSeason20242025!$B$3:$B$1315, "&lt;=" &amp; AP$1, DataRegularSeason20242025!$D$3:$D$1315, $A39)+SUMIFS(DataRegularSeason20242025!$AB$3:$AB$1315,DataRegularSeason20242025!$B$3:$B$1315, "&lt;=" &amp; AP$1, DataRegularSeason20242025!$E$3:$E$1315, $A39)</f>
        <v>10</v>
      </c>
      <c r="AQ39">
        <f>SUMIFS(DataRegularSeason20242025!$AA$3:$AA$1315,DataRegularSeason20242025!$B$3:$B$1315, "&lt;=" &amp; AQ$1, DataRegularSeason20242025!$D$3:$D$1315, $A39)+SUMIFS(DataRegularSeason20242025!$AB$3:$AB$1315,DataRegularSeason20242025!$B$3:$B$1315, "&lt;=" &amp; AQ$1, DataRegularSeason20242025!$E$3:$E$1315, $A39)</f>
        <v>10</v>
      </c>
      <c r="AR39">
        <f>SUMIFS(DataRegularSeason20242025!$AA$3:$AA$1315,DataRegularSeason20242025!$B$3:$B$1315, "&lt;=" &amp; AR$1, DataRegularSeason20242025!$D$3:$D$1315, $A39)+SUMIFS(DataRegularSeason20242025!$AB$3:$AB$1315,DataRegularSeason20242025!$B$3:$B$1315, "&lt;=" &amp; AR$1, DataRegularSeason20242025!$E$3:$E$1315, $A39)</f>
        <v>10</v>
      </c>
      <c r="AS39">
        <f>SUMIFS(DataRegularSeason20242025!$AA$3:$AA$1315,DataRegularSeason20242025!$B$3:$B$1315, "&lt;=" &amp; AS$1, DataRegularSeason20242025!$D$3:$D$1315, $A39)+SUMIFS(DataRegularSeason20242025!$AB$3:$AB$1315,DataRegularSeason20242025!$B$3:$B$1315, "&lt;=" &amp; AS$1, DataRegularSeason20242025!$E$3:$E$1315, $A39)</f>
        <v>10</v>
      </c>
      <c r="AT39">
        <f>SUMIFS(DataRegularSeason20242025!$AA$3:$AA$1315,DataRegularSeason20242025!$B$3:$B$1315, "&lt;=" &amp; AT$1, DataRegularSeason20242025!$D$3:$D$1315, $A39)+SUMIFS(DataRegularSeason20242025!$AB$3:$AB$1315,DataRegularSeason20242025!$B$3:$B$1315, "&lt;=" &amp; AT$1, DataRegularSeason20242025!$E$3:$E$1315, $A39)</f>
        <v>10</v>
      </c>
      <c r="AU39">
        <f>SUMIFS(DataRegularSeason20242025!$AA$3:$AA$1315,DataRegularSeason20242025!$B$3:$B$1315, "&lt;=" &amp; AU$1, DataRegularSeason20242025!$D$3:$D$1315, $A39)+SUMIFS(DataRegularSeason20242025!$AB$3:$AB$1315,DataRegularSeason20242025!$B$3:$B$1315, "&lt;=" &amp; AU$1, DataRegularSeason20242025!$E$3:$E$1315, $A39)</f>
        <v>10</v>
      </c>
      <c r="AV39">
        <f>SUMIFS(DataRegularSeason20242025!$AA$3:$AA$1315,DataRegularSeason20242025!$B$3:$B$1315, "&lt;=" &amp; AV$1, DataRegularSeason20242025!$D$3:$D$1315, $A39)+SUMIFS(DataRegularSeason20242025!$AB$3:$AB$1315,DataRegularSeason20242025!$B$3:$B$1315, "&lt;=" &amp; AV$1, DataRegularSeason20242025!$E$3:$E$1315, $A39)</f>
        <v>10</v>
      </c>
      <c r="AW39">
        <f>SUMIFS(DataRegularSeason20242025!$AA$3:$AA$1315,DataRegularSeason20242025!$B$3:$B$1315, "&lt;=" &amp; AW$1, DataRegularSeason20242025!$D$3:$D$1315, $A39)+SUMIFS(DataRegularSeason20242025!$AB$3:$AB$1315,DataRegularSeason20242025!$B$3:$B$1315, "&lt;=" &amp; AW$1, DataRegularSeason20242025!$E$3:$E$1315, $A39)</f>
        <v>10</v>
      </c>
      <c r="AX39">
        <f>SUMIFS(DataRegularSeason20242025!$AA$3:$AA$1315,DataRegularSeason20242025!$B$3:$B$1315, "&lt;=" &amp; AX$1, DataRegularSeason20242025!$D$3:$D$1315, $A39)+SUMIFS(DataRegularSeason20242025!$AB$3:$AB$1315,DataRegularSeason20242025!$B$3:$B$1315, "&lt;=" &amp; AX$1, DataRegularSeason20242025!$E$3:$E$1315, $A39)</f>
        <v>10</v>
      </c>
      <c r="AY39">
        <f>SUMIFS(DataRegularSeason20242025!$AA$3:$AA$1315,DataRegularSeason20242025!$B$3:$B$1315, "&lt;=" &amp; AY$1, DataRegularSeason20242025!$D$3:$D$1315, $A39)+SUMIFS(DataRegularSeason20242025!$AB$3:$AB$1315,DataRegularSeason20242025!$B$3:$B$1315, "&lt;=" &amp; AY$1, DataRegularSeason20242025!$E$3:$E$1315, $A39)</f>
        <v>10</v>
      </c>
      <c r="AZ39">
        <f>SUMIFS(DataRegularSeason20242025!$AA$3:$AA$1315,DataRegularSeason20242025!$B$3:$B$1315, "&lt;=" &amp; AZ$1, DataRegularSeason20242025!$D$3:$D$1315, $A39)+SUMIFS(DataRegularSeason20242025!$AB$3:$AB$1315,DataRegularSeason20242025!$B$3:$B$1315, "&lt;=" &amp; AZ$1, DataRegularSeason20242025!$E$3:$E$1315, $A39)</f>
        <v>10</v>
      </c>
      <c r="BA39">
        <f>SUMIFS(DataRegularSeason20242025!$AA$3:$AA$1315,DataRegularSeason20242025!$B$3:$B$1315, "&lt;=" &amp; BA$1, DataRegularSeason20242025!$D$3:$D$1315, $A39)+SUMIFS(DataRegularSeason20242025!$AB$3:$AB$1315,DataRegularSeason20242025!$B$3:$B$1315, "&lt;=" &amp; BA$1, DataRegularSeason20242025!$E$3:$E$1315, $A39)</f>
        <v>10</v>
      </c>
      <c r="BB39">
        <f>SUMIFS(DataRegularSeason20242025!$AA$3:$AA$1315,DataRegularSeason20242025!$B$3:$B$1315, "&lt;=" &amp; BB$1, DataRegularSeason20242025!$D$3:$D$1315, $A39)+SUMIFS(DataRegularSeason20242025!$AB$3:$AB$1315,DataRegularSeason20242025!$B$3:$B$1315, "&lt;=" &amp; BB$1, DataRegularSeason20242025!$E$3:$E$1315, $A39)</f>
        <v>10</v>
      </c>
      <c r="BC39">
        <f>SUMIFS(DataRegularSeason20242025!$AA$3:$AA$1315,DataRegularSeason20242025!$B$3:$B$1315, "&lt;=" &amp; BC$1, DataRegularSeason20242025!$D$3:$D$1315, $A39)+SUMIFS(DataRegularSeason20242025!$AB$3:$AB$1315,DataRegularSeason20242025!$B$3:$B$1315, "&lt;=" &amp; BC$1, DataRegularSeason20242025!$E$3:$E$1315, $A39)</f>
        <v>10</v>
      </c>
      <c r="BD39">
        <f>SUMIFS(DataRegularSeason20242025!$AA$3:$AA$1315,DataRegularSeason20242025!$B$3:$B$1315, "&lt;=" &amp; BD$1, DataRegularSeason20242025!$D$3:$D$1315, $A39)+SUMIFS(DataRegularSeason20242025!$AB$3:$AB$1315,DataRegularSeason20242025!$B$3:$B$1315, "&lt;=" &amp; BD$1, DataRegularSeason20242025!$E$3:$E$1315, $A39)</f>
        <v>10</v>
      </c>
      <c r="BE39">
        <f>SUMIFS(DataRegularSeason20242025!$AA$3:$AA$1315,DataRegularSeason20242025!$B$3:$B$1315, "&lt;=" &amp; BE$1, DataRegularSeason20242025!$D$3:$D$1315, $A39)+SUMIFS(DataRegularSeason20242025!$AB$3:$AB$1315,DataRegularSeason20242025!$B$3:$B$1315, "&lt;=" &amp; BE$1, DataRegularSeason20242025!$E$3:$E$1315, $A39)</f>
        <v>10</v>
      </c>
      <c r="BF39">
        <f>SUMIFS(DataRegularSeason20242025!$AA$3:$AA$1315,DataRegularSeason20242025!$B$3:$B$1315, "&lt;=" &amp; BF$1, DataRegularSeason20242025!$D$3:$D$1315, $A39)+SUMIFS(DataRegularSeason20242025!$AB$3:$AB$1315,DataRegularSeason20242025!$B$3:$B$1315, "&lt;=" &amp; BF$1, DataRegularSeason20242025!$E$3:$E$1315, $A39)</f>
        <v>10</v>
      </c>
      <c r="BG39">
        <f>SUMIFS(DataRegularSeason20242025!$AA$3:$AA$1315,DataRegularSeason20242025!$B$3:$B$1315, "&lt;=" &amp; BG$1, DataRegularSeason20242025!$D$3:$D$1315, $A39)+SUMIFS(DataRegularSeason20242025!$AB$3:$AB$1315,DataRegularSeason20242025!$B$3:$B$1315, "&lt;=" &amp; BG$1, DataRegularSeason20242025!$E$3:$E$1315, $A39)</f>
        <v>10</v>
      </c>
      <c r="BH39">
        <f>SUMIFS(DataRegularSeason20242025!$AA$3:$AA$1315,DataRegularSeason20242025!$B$3:$B$1315, "&lt;=" &amp; BH$1, DataRegularSeason20242025!$D$3:$D$1315, $A39)+SUMIFS(DataRegularSeason20242025!$AB$3:$AB$1315,DataRegularSeason20242025!$B$3:$B$1315, "&lt;=" &amp; BH$1, DataRegularSeason20242025!$E$3:$E$1315, $A39)</f>
        <v>10</v>
      </c>
      <c r="BI39">
        <f>SUMIFS(DataRegularSeason20242025!$AA$3:$AA$1315,DataRegularSeason20242025!$B$3:$B$1315, "&lt;=" &amp; BI$1, DataRegularSeason20242025!$D$3:$D$1315, $A39)+SUMIFS(DataRegularSeason20242025!$AB$3:$AB$1315,DataRegularSeason20242025!$B$3:$B$1315, "&lt;=" &amp; BI$1, DataRegularSeason20242025!$E$3:$E$1315, $A39)</f>
        <v>10</v>
      </c>
      <c r="BJ39">
        <f>SUMIFS(DataRegularSeason20242025!$AA$3:$AA$1315,DataRegularSeason20242025!$B$3:$B$1315, "&lt;=" &amp; BJ$1, DataRegularSeason20242025!$D$3:$D$1315, $A39)+SUMIFS(DataRegularSeason20242025!$AB$3:$AB$1315,DataRegularSeason20242025!$B$3:$B$1315, "&lt;=" &amp; BJ$1, DataRegularSeason20242025!$E$3:$E$1315, $A39)</f>
        <v>10</v>
      </c>
      <c r="BK39">
        <f>SUMIFS(DataRegularSeason20242025!$AA$3:$AA$1315,DataRegularSeason20242025!$B$3:$B$1315, "&lt;=" &amp; BK$1, DataRegularSeason20242025!$D$3:$D$1315, $A39)+SUMIFS(DataRegularSeason20242025!$AB$3:$AB$1315,DataRegularSeason20242025!$B$3:$B$1315, "&lt;=" &amp; BK$1, DataRegularSeason20242025!$E$3:$E$1315, $A39)</f>
        <v>10</v>
      </c>
      <c r="BL39">
        <f>SUMIFS(DataRegularSeason20242025!$AA$3:$AA$1315,DataRegularSeason20242025!$B$3:$B$1315, "&lt;=" &amp; BL$1, DataRegularSeason20242025!$D$3:$D$1315, $A39)+SUMIFS(DataRegularSeason20242025!$AB$3:$AB$1315,DataRegularSeason20242025!$B$3:$B$1315, "&lt;=" &amp; BL$1, DataRegularSeason20242025!$E$3:$E$1315, $A39)</f>
        <v>10</v>
      </c>
      <c r="BM39">
        <f>SUMIFS(DataRegularSeason20242025!$AA$3:$AA$1315,DataRegularSeason20242025!$B$3:$B$1315, "&lt;=" &amp; BM$1, DataRegularSeason20242025!$D$3:$D$1315, $A39)+SUMIFS(DataRegularSeason20242025!$AB$3:$AB$1315,DataRegularSeason20242025!$B$3:$B$1315, "&lt;=" &amp; BM$1, DataRegularSeason20242025!$E$3:$E$1315, $A39)</f>
        <v>10</v>
      </c>
      <c r="BN39">
        <f>SUMIFS(DataRegularSeason20242025!$AA$3:$AA$1315,DataRegularSeason20242025!$B$3:$B$1315, "&lt;=" &amp; BN$1, DataRegularSeason20242025!$D$3:$D$1315, $A39)+SUMIFS(DataRegularSeason20242025!$AB$3:$AB$1315,DataRegularSeason20242025!$B$3:$B$1315, "&lt;=" &amp; BN$1, DataRegularSeason20242025!$E$3:$E$1315, $A39)</f>
        <v>10</v>
      </c>
      <c r="BO39">
        <f>SUMIFS(DataRegularSeason20242025!$AA$3:$AA$1315,DataRegularSeason20242025!$B$3:$B$1315, "&lt;=" &amp; BO$1, DataRegularSeason20242025!$D$3:$D$1315, $A39)+SUMIFS(DataRegularSeason20242025!$AB$3:$AB$1315,DataRegularSeason20242025!$B$3:$B$1315, "&lt;=" &amp; BO$1, DataRegularSeason20242025!$E$3:$E$1315, $A39)</f>
        <v>10</v>
      </c>
      <c r="BP39">
        <f>SUMIFS(DataRegularSeason20242025!$AA$3:$AA$1315,DataRegularSeason20242025!$B$3:$B$1315, "&lt;=" &amp; BP$1, DataRegularSeason20242025!$D$3:$D$1315, $A39)+SUMIFS(DataRegularSeason20242025!$AB$3:$AB$1315,DataRegularSeason20242025!$B$3:$B$1315, "&lt;=" &amp; BP$1, DataRegularSeason20242025!$E$3:$E$1315, $A39)</f>
        <v>10</v>
      </c>
      <c r="BQ39">
        <f>SUMIFS(DataRegularSeason20242025!$AA$3:$AA$1315,DataRegularSeason20242025!$B$3:$B$1315, "&lt;=" &amp; BQ$1, DataRegularSeason20242025!$D$3:$D$1315, $A39)+SUMIFS(DataRegularSeason20242025!$AB$3:$AB$1315,DataRegularSeason20242025!$B$3:$B$1315, "&lt;=" &amp; BQ$1, DataRegularSeason20242025!$E$3:$E$1315, $A39)</f>
        <v>10</v>
      </c>
      <c r="BR39">
        <f>SUMIFS(DataRegularSeason20242025!$AA$3:$AA$1315,DataRegularSeason20242025!$B$3:$B$1315, "&lt;=" &amp; BR$1, DataRegularSeason20242025!$D$3:$D$1315, $A39)+SUMIFS(DataRegularSeason20242025!$AB$3:$AB$1315,DataRegularSeason20242025!$B$3:$B$1315, "&lt;=" &amp; BR$1, DataRegularSeason20242025!$E$3:$E$1315, $A39)</f>
        <v>10</v>
      </c>
      <c r="BS39">
        <f>SUMIFS(DataRegularSeason20242025!$AA$3:$AA$1315,DataRegularSeason20242025!$B$3:$B$1315, "&lt;=" &amp; BS$1, DataRegularSeason20242025!$D$3:$D$1315, $A39)+SUMIFS(DataRegularSeason20242025!$AB$3:$AB$1315,DataRegularSeason20242025!$B$3:$B$1315, "&lt;=" &amp; BS$1, DataRegularSeason20242025!$E$3:$E$1315, $A39)</f>
        <v>10</v>
      </c>
      <c r="BT39">
        <f>SUMIFS(DataRegularSeason20242025!$AA$3:$AA$1315,DataRegularSeason20242025!$B$3:$B$1315, "&lt;=" &amp; BT$1, DataRegularSeason20242025!$D$3:$D$1315, $A39)+SUMIFS(DataRegularSeason20242025!$AB$3:$AB$1315,DataRegularSeason20242025!$B$3:$B$1315, "&lt;=" &amp; BT$1, DataRegularSeason20242025!$E$3:$E$1315, $A39)</f>
        <v>10</v>
      </c>
      <c r="BU39">
        <f>SUMIFS(DataRegularSeason20242025!$AA$3:$AA$1315,DataRegularSeason20242025!$B$3:$B$1315, "&lt;=" &amp; BU$1, DataRegularSeason20242025!$D$3:$D$1315, $A39)+SUMIFS(DataRegularSeason20242025!$AB$3:$AB$1315,DataRegularSeason20242025!$B$3:$B$1315, "&lt;=" &amp; BU$1, DataRegularSeason20242025!$E$3:$E$1315, $A39)</f>
        <v>10</v>
      </c>
      <c r="BV39">
        <f>SUMIFS(DataRegularSeason20242025!$AA$3:$AA$1315,DataRegularSeason20242025!$B$3:$B$1315, "&lt;=" &amp; BV$1, DataRegularSeason20242025!$D$3:$D$1315, $A39)+SUMIFS(DataRegularSeason20242025!$AB$3:$AB$1315,DataRegularSeason20242025!$B$3:$B$1315, "&lt;=" &amp; BV$1, DataRegularSeason20242025!$E$3:$E$1315, $A39)</f>
        <v>10</v>
      </c>
      <c r="BW39">
        <f>SUMIFS(DataRegularSeason20242025!$AA$3:$AA$1315,DataRegularSeason20242025!$B$3:$B$1315, "&lt;=" &amp; BW$1, DataRegularSeason20242025!$D$3:$D$1315, $A39)+SUMIFS(DataRegularSeason20242025!$AB$3:$AB$1315,DataRegularSeason20242025!$B$3:$B$1315, "&lt;=" &amp; BW$1, DataRegularSeason20242025!$E$3:$E$1315, $A39)</f>
        <v>10</v>
      </c>
      <c r="BX39">
        <f>SUMIFS(DataRegularSeason20242025!$AA$3:$AA$1315,DataRegularSeason20242025!$B$3:$B$1315, "&lt;=" &amp; BX$1, DataRegularSeason20242025!$D$3:$D$1315, $A39)+SUMIFS(DataRegularSeason20242025!$AB$3:$AB$1315,DataRegularSeason20242025!$B$3:$B$1315, "&lt;=" &amp; BX$1, DataRegularSeason20242025!$E$3:$E$1315, $A39)</f>
        <v>10</v>
      </c>
      <c r="BY39">
        <f>SUMIFS(DataRegularSeason20242025!$AA$3:$AA$1315,DataRegularSeason20242025!$B$3:$B$1315, "&lt;=" &amp; BY$1, DataRegularSeason20242025!$D$3:$D$1315, $A39)+SUMIFS(DataRegularSeason20242025!$AB$3:$AB$1315,DataRegularSeason20242025!$B$3:$B$1315, "&lt;=" &amp; BY$1, DataRegularSeason20242025!$E$3:$E$1315, $A39)</f>
        <v>10</v>
      </c>
      <c r="BZ39">
        <f>SUMIFS(DataRegularSeason20242025!$AA$3:$AA$1315,DataRegularSeason20242025!$B$3:$B$1315, "&lt;=" &amp; BZ$1, DataRegularSeason20242025!$D$3:$D$1315, $A39)+SUMIFS(DataRegularSeason20242025!$AB$3:$AB$1315,DataRegularSeason20242025!$B$3:$B$1315, "&lt;=" &amp; BZ$1, DataRegularSeason20242025!$E$3:$E$1315, $A39)</f>
        <v>10</v>
      </c>
      <c r="CA39">
        <f>SUMIFS(DataRegularSeason20242025!$AA$3:$AA$1315,DataRegularSeason20242025!$B$3:$B$1315, "&lt;=" &amp; CA$1, DataRegularSeason20242025!$D$3:$D$1315, $A39)+SUMIFS(DataRegularSeason20242025!$AB$3:$AB$1315,DataRegularSeason20242025!$B$3:$B$1315, "&lt;=" &amp; CA$1, DataRegularSeason20242025!$E$3:$E$1315, $A39)</f>
        <v>10</v>
      </c>
      <c r="CB39">
        <f>SUMIFS(DataRegularSeason20242025!$AA$3:$AA$1315,DataRegularSeason20242025!$B$3:$B$1315, "&lt;=" &amp; CB$1, DataRegularSeason20242025!$D$3:$D$1315, $A39)+SUMIFS(DataRegularSeason20242025!$AB$3:$AB$1315,DataRegularSeason20242025!$B$3:$B$1315, "&lt;=" &amp; CB$1, DataRegularSeason20242025!$E$3:$E$1315, $A39)</f>
        <v>10</v>
      </c>
      <c r="CC39">
        <f>SUMIFS(DataRegularSeason20242025!$AA$3:$AA$1315,DataRegularSeason20242025!$B$3:$B$1315, "&lt;=" &amp; CC$1, DataRegularSeason20242025!$D$3:$D$1315, $A39)+SUMIFS(DataRegularSeason20242025!$AB$3:$AB$1315,DataRegularSeason20242025!$B$3:$B$1315, "&lt;=" &amp; CC$1, DataRegularSeason20242025!$E$3:$E$1315, $A39)</f>
        <v>10</v>
      </c>
      <c r="CD39">
        <f>SUMIFS(DataRegularSeason20242025!$AA$3:$AA$1315,DataRegularSeason20242025!$B$3:$B$1315, "&lt;=" &amp; CD$1, DataRegularSeason20242025!$D$3:$D$1315, $A39)+SUMIFS(DataRegularSeason20242025!$AB$3:$AB$1315,DataRegularSeason20242025!$B$3:$B$1315, "&lt;=" &amp; CD$1, DataRegularSeason20242025!$E$3:$E$1315, $A39)</f>
        <v>10</v>
      </c>
      <c r="CE39">
        <f>SUMIFS(DataRegularSeason20242025!$AA$3:$AA$1315,DataRegularSeason20242025!$B$3:$B$1315, "&lt;=" &amp; CE$1, DataRegularSeason20242025!$D$3:$D$1315, $A39)+SUMIFS(DataRegularSeason20242025!$AB$3:$AB$1315,DataRegularSeason20242025!$B$3:$B$1315, "&lt;=" &amp; CE$1, DataRegularSeason20242025!$E$3:$E$1315, $A39)</f>
        <v>10</v>
      </c>
      <c r="CF39">
        <f>SUMIFS(DataRegularSeason20242025!$AA$3:$AA$1315,DataRegularSeason20242025!$B$3:$B$1315, "&lt;=" &amp; CF$1, DataRegularSeason20242025!$D$3:$D$1315, $A39)+SUMIFS(DataRegularSeason20242025!$AB$3:$AB$1315,DataRegularSeason20242025!$B$3:$B$1315, "&lt;=" &amp; CF$1, DataRegularSeason20242025!$E$3:$E$1315, $A39)</f>
        <v>10</v>
      </c>
      <c r="CG39">
        <f>SUMIFS(DataRegularSeason20242025!$AA$3:$AA$1315,DataRegularSeason20242025!$B$3:$B$1315, "&lt;=" &amp; CG$1, DataRegularSeason20242025!$D$3:$D$1315, $A39)+SUMIFS(DataRegularSeason20242025!$AB$3:$AB$1315,DataRegularSeason20242025!$B$3:$B$1315, "&lt;=" &amp; CG$1, DataRegularSeason20242025!$E$3:$E$1315, $A39)</f>
        <v>10</v>
      </c>
      <c r="CH39">
        <f>SUMIFS(DataRegularSeason20242025!$AA$3:$AA$1315,DataRegularSeason20242025!$B$3:$B$1315, "&lt;=" &amp; CH$1, DataRegularSeason20242025!$D$3:$D$1315, $A39)+SUMIFS(DataRegularSeason20242025!$AB$3:$AB$1315,DataRegularSeason20242025!$B$3:$B$1315, "&lt;=" &amp; CH$1, DataRegularSeason20242025!$E$3:$E$1315, $A39)</f>
        <v>10</v>
      </c>
      <c r="CI39">
        <f>SUMIFS(DataRegularSeason20242025!$AA$3:$AA$1315,DataRegularSeason20242025!$B$3:$B$1315, "&lt;=" &amp; CI$1, DataRegularSeason20242025!$D$3:$D$1315, $A39)+SUMIFS(DataRegularSeason20242025!$AB$3:$AB$1315,DataRegularSeason20242025!$B$3:$B$1315, "&lt;=" &amp; CI$1, DataRegularSeason20242025!$E$3:$E$1315, $A39)</f>
        <v>10</v>
      </c>
      <c r="CJ39">
        <f>SUMIFS(DataRegularSeason20242025!$AA$3:$AA$1315,DataRegularSeason20242025!$B$3:$B$1315, "&lt;=" &amp; CJ$1, DataRegularSeason20242025!$D$3:$D$1315, $A39)+SUMIFS(DataRegularSeason20242025!$AB$3:$AB$1315,DataRegularSeason20242025!$B$3:$B$1315, "&lt;=" &amp; CJ$1, DataRegularSeason20242025!$E$3:$E$1315, $A39)</f>
        <v>10</v>
      </c>
      <c r="CK39">
        <f>SUMIFS(DataRegularSeason20242025!$AA$3:$AA$1315,DataRegularSeason20242025!$B$3:$B$1315, "&lt;=" &amp; CK$1, DataRegularSeason20242025!$D$3:$D$1315, $A39)+SUMIFS(DataRegularSeason20242025!$AB$3:$AB$1315,DataRegularSeason20242025!$B$3:$B$1315, "&lt;=" &amp; CK$1, DataRegularSeason20242025!$E$3:$E$1315, $A39)</f>
        <v>10</v>
      </c>
      <c r="CL39">
        <f>SUMIFS(DataRegularSeason20242025!$AA$3:$AA$1315,DataRegularSeason20242025!$B$3:$B$1315, "&lt;=" &amp; CL$1, DataRegularSeason20242025!$D$3:$D$1315, $A39)+SUMIFS(DataRegularSeason20242025!$AB$3:$AB$1315,DataRegularSeason20242025!$B$3:$B$1315, "&lt;=" &amp; CL$1, DataRegularSeason20242025!$E$3:$E$1315, $A39)</f>
        <v>10</v>
      </c>
      <c r="CM39">
        <f>SUMIFS(DataRegularSeason20242025!$AA$3:$AA$1315,DataRegularSeason20242025!$B$3:$B$1315, "&lt;=" &amp; CM$1, DataRegularSeason20242025!$D$3:$D$1315, $A39)+SUMIFS(DataRegularSeason20242025!$AB$3:$AB$1315,DataRegularSeason20242025!$B$3:$B$1315, "&lt;=" &amp; CM$1, DataRegularSeason20242025!$E$3:$E$1315, $A39)</f>
        <v>10</v>
      </c>
      <c r="CN39">
        <f>SUMIFS(DataRegularSeason20242025!$AA$3:$AA$1315,DataRegularSeason20242025!$B$3:$B$1315, "&lt;=" &amp; CN$1, DataRegularSeason20242025!$D$3:$D$1315, $A39)+SUMIFS(DataRegularSeason20242025!$AB$3:$AB$1315,DataRegularSeason20242025!$B$3:$B$1315, "&lt;=" &amp; CN$1, DataRegularSeason20242025!$E$3:$E$1315, $A39)</f>
        <v>10</v>
      </c>
      <c r="CO39">
        <f>SUMIFS(DataRegularSeason20242025!$AA$3:$AA$1315,DataRegularSeason20242025!$B$3:$B$1315, "&lt;=" &amp; CO$1, DataRegularSeason20242025!$D$3:$D$1315, $A39)+SUMIFS(DataRegularSeason20242025!$AB$3:$AB$1315,DataRegularSeason20242025!$B$3:$B$1315, "&lt;=" &amp; CO$1, DataRegularSeason20242025!$E$3:$E$1315, $A39)</f>
        <v>10</v>
      </c>
      <c r="CP39">
        <f>SUMIFS(DataRegularSeason20242025!$AA$3:$AA$1315,DataRegularSeason20242025!$B$3:$B$1315, "&lt;=" &amp; CP$1, DataRegularSeason20242025!$D$3:$D$1315, $A39)+SUMIFS(DataRegularSeason20242025!$AB$3:$AB$1315,DataRegularSeason20242025!$B$3:$B$1315, "&lt;=" &amp; CP$1, DataRegularSeason20242025!$E$3:$E$1315, $A39)</f>
        <v>10</v>
      </c>
      <c r="CQ39">
        <f>SUMIFS(DataRegularSeason20242025!$AA$3:$AA$1315,DataRegularSeason20242025!$B$3:$B$1315, "&lt;=" &amp; CQ$1, DataRegularSeason20242025!$D$3:$D$1315, $A39)+SUMIFS(DataRegularSeason20242025!$AB$3:$AB$1315,DataRegularSeason20242025!$B$3:$B$1315, "&lt;=" &amp; CQ$1, DataRegularSeason20242025!$E$3:$E$1315, $A39)</f>
        <v>10</v>
      </c>
      <c r="CR39">
        <f>SUMIFS(DataRegularSeason20242025!$AA$3:$AA$1315,DataRegularSeason20242025!$B$3:$B$1315, "&lt;=" &amp; CR$1, DataRegularSeason20242025!$D$3:$D$1315, $A39)+SUMIFS(DataRegularSeason20242025!$AB$3:$AB$1315,DataRegularSeason20242025!$B$3:$B$1315, "&lt;=" &amp; CR$1, DataRegularSeason20242025!$E$3:$E$1315, $A39)</f>
        <v>10</v>
      </c>
      <c r="CS39">
        <f>SUMIFS(DataRegularSeason20242025!$AA$3:$AA$1315,DataRegularSeason20242025!$B$3:$B$1315, "&lt;=" &amp; CS$1, DataRegularSeason20242025!$D$3:$D$1315, $A39)+SUMIFS(DataRegularSeason20242025!$AB$3:$AB$1315,DataRegularSeason20242025!$B$3:$B$1315, "&lt;=" &amp; CS$1, DataRegularSeason20242025!$E$3:$E$1315, $A39)</f>
        <v>10</v>
      </c>
      <c r="CT39">
        <f>SUMIFS(DataRegularSeason20242025!$AA$3:$AA$1315,DataRegularSeason20242025!$B$3:$B$1315, "&lt;=" &amp; CT$1, DataRegularSeason20242025!$D$3:$D$1315, $A39)+SUMIFS(DataRegularSeason20242025!$AB$3:$AB$1315,DataRegularSeason20242025!$B$3:$B$1315, "&lt;=" &amp; CT$1, DataRegularSeason20242025!$E$3:$E$1315, $A39)</f>
        <v>10</v>
      </c>
      <c r="CU39">
        <f>SUMIFS(DataRegularSeason20242025!$AA$3:$AA$1315,DataRegularSeason20242025!$B$3:$B$1315, "&lt;=" &amp; CU$1, DataRegularSeason20242025!$D$3:$D$1315, $A39)+SUMIFS(DataRegularSeason20242025!$AB$3:$AB$1315,DataRegularSeason20242025!$B$3:$B$1315, "&lt;=" &amp; CU$1, DataRegularSeason20242025!$E$3:$E$1315, $A39)</f>
        <v>10</v>
      </c>
      <c r="CV39">
        <f>SUMIFS(DataRegularSeason20242025!$AA$3:$AA$1315,DataRegularSeason20242025!$B$3:$B$1315, "&lt;=" &amp; CV$1, DataRegularSeason20242025!$D$3:$D$1315, $A39)+SUMIFS(DataRegularSeason20242025!$AB$3:$AB$1315,DataRegularSeason20242025!$B$3:$B$1315, "&lt;=" &amp; CV$1, DataRegularSeason20242025!$E$3:$E$1315, $A39)</f>
        <v>10</v>
      </c>
      <c r="CW39">
        <f>SUMIFS(DataRegularSeason20242025!$AA$3:$AA$1315,DataRegularSeason20242025!$B$3:$B$1315, "&lt;=" &amp; CW$1, DataRegularSeason20242025!$D$3:$D$1315, $A39)+SUMIFS(DataRegularSeason20242025!$AB$3:$AB$1315,DataRegularSeason20242025!$B$3:$B$1315, "&lt;=" &amp; CW$1, DataRegularSeason20242025!$E$3:$E$1315, $A39)</f>
        <v>10</v>
      </c>
      <c r="CX39">
        <f>SUMIFS(DataRegularSeason20242025!$AA$3:$AA$1315,DataRegularSeason20242025!$B$3:$B$1315, "&lt;=" &amp; CX$1, DataRegularSeason20242025!$D$3:$D$1315, $A39)+SUMIFS(DataRegularSeason20242025!$AB$3:$AB$1315,DataRegularSeason20242025!$B$3:$B$1315, "&lt;=" &amp; CX$1, DataRegularSeason20242025!$E$3:$E$1315, $A39)</f>
        <v>10</v>
      </c>
      <c r="CY39">
        <f>SUMIFS(DataRegularSeason20242025!$AA$3:$AA$1315,DataRegularSeason20242025!$B$3:$B$1315, "&lt;=" &amp; CY$1, DataRegularSeason20242025!$D$3:$D$1315, $A39)+SUMIFS(DataRegularSeason20242025!$AB$3:$AB$1315,DataRegularSeason20242025!$B$3:$B$1315, "&lt;=" &amp; CY$1, DataRegularSeason20242025!$E$3:$E$1315, $A39)</f>
        <v>10</v>
      </c>
      <c r="CZ39">
        <f>SUMIFS(DataRegularSeason20242025!$AA$3:$AA$1315,DataRegularSeason20242025!$B$3:$B$1315, "&lt;=" &amp; CZ$1, DataRegularSeason20242025!$D$3:$D$1315, $A39)+SUMIFS(DataRegularSeason20242025!$AB$3:$AB$1315,DataRegularSeason20242025!$B$3:$B$1315, "&lt;=" &amp; CZ$1, DataRegularSeason20242025!$E$3:$E$1315, $A39)</f>
        <v>10</v>
      </c>
      <c r="DA39">
        <f>SUMIFS(DataRegularSeason20242025!$AA$3:$AA$1315,DataRegularSeason20242025!$B$3:$B$1315, "&lt;=" &amp; DA$1, DataRegularSeason20242025!$D$3:$D$1315, $A39)+SUMIFS(DataRegularSeason20242025!$AB$3:$AB$1315,DataRegularSeason20242025!$B$3:$B$1315, "&lt;=" &amp; DA$1, DataRegularSeason20242025!$E$3:$E$1315, $A39)</f>
        <v>10</v>
      </c>
      <c r="DB39">
        <f>SUMIFS(DataRegularSeason20242025!$AA$3:$AA$1315,DataRegularSeason20242025!$B$3:$B$1315, "&lt;=" &amp; DB$1, DataRegularSeason20242025!$D$3:$D$1315, $A39)+SUMIFS(DataRegularSeason20242025!$AB$3:$AB$1315,DataRegularSeason20242025!$B$3:$B$1315, "&lt;=" &amp; DB$1, DataRegularSeason20242025!$E$3:$E$1315, $A39)</f>
        <v>10</v>
      </c>
      <c r="DC39">
        <f>SUMIFS(DataRegularSeason20242025!$AA$3:$AA$1315,DataRegularSeason20242025!$B$3:$B$1315, "&lt;=" &amp; DC$1, DataRegularSeason20242025!$D$3:$D$1315, $A39)+SUMIFS(DataRegularSeason20242025!$AB$3:$AB$1315,DataRegularSeason20242025!$B$3:$B$1315, "&lt;=" &amp; DC$1, DataRegularSeason20242025!$E$3:$E$1315, $A39)</f>
        <v>10</v>
      </c>
      <c r="DD39">
        <f>SUMIFS(DataRegularSeason20242025!$AA$3:$AA$1315,DataRegularSeason20242025!$B$3:$B$1315, "&lt;=" &amp; DD$1, DataRegularSeason20242025!$D$3:$D$1315, $A39)+SUMIFS(DataRegularSeason20242025!$AB$3:$AB$1315,DataRegularSeason20242025!$B$3:$B$1315, "&lt;=" &amp; DD$1, DataRegularSeason20242025!$E$3:$E$1315, $A39)</f>
        <v>10</v>
      </c>
      <c r="DE39">
        <f>SUMIFS(DataRegularSeason20242025!$AA$3:$AA$1315,DataRegularSeason20242025!$B$3:$B$1315, "&lt;=" &amp; DE$1, DataRegularSeason20242025!$D$3:$D$1315, $A39)+SUMIFS(DataRegularSeason20242025!$AB$3:$AB$1315,DataRegularSeason20242025!$B$3:$B$1315, "&lt;=" &amp; DE$1, DataRegularSeason20242025!$E$3:$E$1315, $A39)</f>
        <v>10</v>
      </c>
      <c r="DF39">
        <f>SUMIFS(DataRegularSeason20242025!$AA$3:$AA$1315,DataRegularSeason20242025!$B$3:$B$1315, "&lt;=" &amp; DF$1, DataRegularSeason20242025!$D$3:$D$1315, $A39)+SUMIFS(DataRegularSeason20242025!$AB$3:$AB$1315,DataRegularSeason20242025!$B$3:$B$1315, "&lt;=" &amp; DF$1, DataRegularSeason20242025!$E$3:$E$1315, $A39)</f>
        <v>10</v>
      </c>
      <c r="DG39">
        <f>SUMIFS(DataRegularSeason20242025!$AA$3:$AA$1315,DataRegularSeason20242025!$B$3:$B$1315, "&lt;=" &amp; DG$1, DataRegularSeason20242025!$D$3:$D$1315, $A39)+SUMIFS(DataRegularSeason20242025!$AB$3:$AB$1315,DataRegularSeason20242025!$B$3:$B$1315, "&lt;=" &amp; DG$1, DataRegularSeason20242025!$E$3:$E$1315, $A39)</f>
        <v>10</v>
      </c>
      <c r="DH39">
        <f>SUMIFS(DataRegularSeason20242025!$AA$3:$AA$1315,DataRegularSeason20242025!$B$3:$B$1315, "&lt;=" &amp; DH$1, DataRegularSeason20242025!$D$3:$D$1315, $A39)+SUMIFS(DataRegularSeason20242025!$AB$3:$AB$1315,DataRegularSeason20242025!$B$3:$B$1315, "&lt;=" &amp; DH$1, DataRegularSeason20242025!$E$3:$E$1315, $A39)</f>
        <v>10</v>
      </c>
      <c r="DI39">
        <f>SUMIFS(DataRegularSeason20242025!$AA$3:$AA$1315,DataRegularSeason20242025!$B$3:$B$1315, "&lt;=" &amp; DI$1, DataRegularSeason20242025!$D$3:$D$1315, $A39)+SUMIFS(DataRegularSeason20242025!$AB$3:$AB$1315,DataRegularSeason20242025!$B$3:$B$1315, "&lt;=" &amp; DI$1, DataRegularSeason20242025!$E$3:$E$1315, $A39)</f>
        <v>10</v>
      </c>
      <c r="DJ39">
        <f>SUMIFS(DataRegularSeason20242025!$AA$3:$AA$1315,DataRegularSeason20242025!$B$3:$B$1315, "&lt;=" &amp; DJ$1, DataRegularSeason20242025!$D$3:$D$1315, $A39)+SUMIFS(DataRegularSeason20242025!$AB$3:$AB$1315,DataRegularSeason20242025!$B$3:$B$1315, "&lt;=" &amp; DJ$1, DataRegularSeason20242025!$E$3:$E$1315, $A39)</f>
        <v>10</v>
      </c>
      <c r="DK39">
        <f>SUMIFS(DataRegularSeason20242025!$AA$3:$AA$1315,DataRegularSeason20242025!$B$3:$B$1315, "&lt;=" &amp; DK$1, DataRegularSeason20242025!$D$3:$D$1315, $A39)+SUMIFS(DataRegularSeason20242025!$AB$3:$AB$1315,DataRegularSeason20242025!$B$3:$B$1315, "&lt;=" &amp; DK$1, DataRegularSeason20242025!$E$3:$E$1315, $A39)</f>
        <v>10</v>
      </c>
      <c r="DL39">
        <f>SUMIFS(DataRegularSeason20242025!$AA$3:$AA$1315,DataRegularSeason20242025!$B$3:$B$1315, "&lt;=" &amp; DL$1, DataRegularSeason20242025!$D$3:$D$1315, $A39)+SUMIFS(DataRegularSeason20242025!$AB$3:$AB$1315,DataRegularSeason20242025!$B$3:$B$1315, "&lt;=" &amp; DL$1, DataRegularSeason20242025!$E$3:$E$1315, $A39)</f>
        <v>10</v>
      </c>
      <c r="DM39">
        <f>SUMIFS(DataRegularSeason20242025!$AA$3:$AA$1315,DataRegularSeason20242025!$B$3:$B$1315, "&lt;=" &amp; DM$1, DataRegularSeason20242025!$D$3:$D$1315, $A39)+SUMIFS(DataRegularSeason20242025!$AB$3:$AB$1315,DataRegularSeason20242025!$B$3:$B$1315, "&lt;=" &amp; DM$1, DataRegularSeason20242025!$E$3:$E$1315, $A39)</f>
        <v>10</v>
      </c>
      <c r="DN39">
        <f>SUMIFS(DataRegularSeason20242025!$AA$3:$AA$1315,DataRegularSeason20242025!$B$3:$B$1315, "&lt;=" &amp; DN$1, DataRegularSeason20242025!$D$3:$D$1315, $A39)+SUMIFS(DataRegularSeason20242025!$AB$3:$AB$1315,DataRegularSeason20242025!$B$3:$B$1315, "&lt;=" &amp; DN$1, DataRegularSeason20242025!$E$3:$E$1315, $A39)</f>
        <v>10</v>
      </c>
      <c r="DO39">
        <f>SUMIFS(DataRegularSeason20242025!$AA$3:$AA$1315,DataRegularSeason20242025!$B$3:$B$1315, "&lt;=" &amp; DO$1, DataRegularSeason20242025!$D$3:$D$1315, $A39)+SUMIFS(DataRegularSeason20242025!$AB$3:$AB$1315,DataRegularSeason20242025!$B$3:$B$1315, "&lt;=" &amp; DO$1, DataRegularSeason20242025!$E$3:$E$1315, $A39)</f>
        <v>10</v>
      </c>
      <c r="DP39">
        <f>SUMIFS(DataRegularSeason20242025!$AA$3:$AA$1315,DataRegularSeason20242025!$B$3:$B$1315, "&lt;=" &amp; DP$1, DataRegularSeason20242025!$D$3:$D$1315, $A39)+SUMIFS(DataRegularSeason20242025!$AB$3:$AB$1315,DataRegularSeason20242025!$B$3:$B$1315, "&lt;=" &amp; DP$1, DataRegularSeason20242025!$E$3:$E$1315, $A39)</f>
        <v>10</v>
      </c>
      <c r="DQ39">
        <f>SUMIFS(DataRegularSeason20242025!$AA$3:$AA$1315,DataRegularSeason20242025!$B$3:$B$1315, "&lt;=" &amp; DQ$1, DataRegularSeason20242025!$D$3:$D$1315, $A39)+SUMIFS(DataRegularSeason20242025!$AB$3:$AB$1315,DataRegularSeason20242025!$B$3:$B$1315, "&lt;=" &amp; DQ$1, DataRegularSeason20242025!$E$3:$E$1315, $A39)</f>
        <v>10</v>
      </c>
      <c r="DR39">
        <f>SUMIFS(DataRegularSeason20242025!$AA$3:$AA$1315,DataRegularSeason20242025!$B$3:$B$1315, "&lt;=" &amp; DR$1, DataRegularSeason20242025!$D$3:$D$1315, $A39)+SUMIFS(DataRegularSeason20242025!$AB$3:$AB$1315,DataRegularSeason20242025!$B$3:$B$1315, "&lt;=" &amp; DR$1, DataRegularSeason20242025!$E$3:$E$1315, $A39)</f>
        <v>10</v>
      </c>
      <c r="DS39">
        <f>SUMIFS(DataRegularSeason20242025!$AA$3:$AA$1315,DataRegularSeason20242025!$B$3:$B$1315, "&lt;=" &amp; DS$1, DataRegularSeason20242025!$D$3:$D$1315, $A39)+SUMIFS(DataRegularSeason20242025!$AB$3:$AB$1315,DataRegularSeason20242025!$B$3:$B$1315, "&lt;=" &amp; DS$1, DataRegularSeason20242025!$E$3:$E$1315, $A39)</f>
        <v>10</v>
      </c>
      <c r="DT39">
        <f>SUMIFS(DataRegularSeason20242025!$AA$3:$AA$1315,DataRegularSeason20242025!$B$3:$B$1315, "&lt;=" &amp; DT$1, DataRegularSeason20242025!$D$3:$D$1315, $A39)+SUMIFS(DataRegularSeason20242025!$AB$3:$AB$1315,DataRegularSeason20242025!$B$3:$B$1315, "&lt;=" &amp; DT$1, DataRegularSeason20242025!$E$3:$E$1315, $A39)</f>
        <v>10</v>
      </c>
      <c r="DU39">
        <f>SUMIFS(DataRegularSeason20242025!$AA$3:$AA$1315,DataRegularSeason20242025!$B$3:$B$1315, "&lt;=" &amp; DU$1, DataRegularSeason20242025!$D$3:$D$1315, $A39)+SUMIFS(DataRegularSeason20242025!$AB$3:$AB$1315,DataRegularSeason20242025!$B$3:$B$1315, "&lt;=" &amp; DU$1, DataRegularSeason20242025!$E$3:$E$1315, $A39)</f>
        <v>10</v>
      </c>
      <c r="DV39">
        <f>SUMIFS(DataRegularSeason20242025!$AA$3:$AA$1315,DataRegularSeason20242025!$B$3:$B$1315, "&lt;=" &amp; DV$1, DataRegularSeason20242025!$D$3:$D$1315, $A39)+SUMIFS(DataRegularSeason20242025!$AB$3:$AB$1315,DataRegularSeason20242025!$B$3:$B$1315, "&lt;=" &amp; DV$1, DataRegularSeason20242025!$E$3:$E$1315, $A39)</f>
        <v>10</v>
      </c>
      <c r="DW39">
        <f>SUMIFS(DataRegularSeason20242025!$AA$3:$AA$1315,DataRegularSeason20242025!$B$3:$B$1315, "&lt;=" &amp; DW$1, DataRegularSeason20242025!$D$3:$D$1315, $A39)+SUMIFS(DataRegularSeason20242025!$AB$3:$AB$1315,DataRegularSeason20242025!$B$3:$B$1315, "&lt;=" &amp; DW$1, DataRegularSeason20242025!$E$3:$E$1315, $A39)</f>
        <v>10</v>
      </c>
      <c r="DX39">
        <f>SUMIFS(DataRegularSeason20242025!$AA$3:$AA$1315,DataRegularSeason20242025!$B$3:$B$1315, "&lt;=" &amp; DX$1, DataRegularSeason20242025!$D$3:$D$1315, $A39)+SUMIFS(DataRegularSeason20242025!$AB$3:$AB$1315,DataRegularSeason20242025!$B$3:$B$1315, "&lt;=" &amp; DX$1, DataRegularSeason20242025!$E$3:$E$1315, $A39)</f>
        <v>10</v>
      </c>
      <c r="DY39">
        <f>SUMIFS(DataRegularSeason20242025!$AA$3:$AA$1315,DataRegularSeason20242025!$B$3:$B$1315, "&lt;=" &amp; DY$1, DataRegularSeason20242025!$D$3:$D$1315, $A39)+SUMIFS(DataRegularSeason20242025!$AB$3:$AB$1315,DataRegularSeason20242025!$B$3:$B$1315, "&lt;=" &amp; DY$1, DataRegularSeason20242025!$E$3:$E$1315, $A39)</f>
        <v>10</v>
      </c>
      <c r="DZ39">
        <f>SUMIFS(DataRegularSeason20242025!$AA$3:$AA$1315,DataRegularSeason20242025!$B$3:$B$1315, "&lt;=" &amp; DZ$1, DataRegularSeason20242025!$D$3:$D$1315, $A39)+SUMIFS(DataRegularSeason20242025!$AB$3:$AB$1315,DataRegularSeason20242025!$B$3:$B$1315, "&lt;=" &amp; DZ$1, DataRegularSeason20242025!$E$3:$E$1315, $A39)</f>
        <v>10</v>
      </c>
      <c r="EA39">
        <f>SUMIFS(DataRegularSeason20242025!$AA$3:$AA$1315,DataRegularSeason20242025!$B$3:$B$1315, "&lt;=" &amp; EA$1, DataRegularSeason20242025!$D$3:$D$1315, $A39)+SUMIFS(DataRegularSeason20242025!$AB$3:$AB$1315,DataRegularSeason20242025!$B$3:$B$1315, "&lt;=" &amp; EA$1, DataRegularSeason20242025!$E$3:$E$1315, $A39)</f>
        <v>10</v>
      </c>
      <c r="EB39">
        <f>SUMIFS(DataRegularSeason20242025!$AA$3:$AA$1315,DataRegularSeason20242025!$B$3:$B$1315, "&lt;=" &amp; EB$1, DataRegularSeason20242025!$D$3:$D$1315, $A39)+SUMIFS(DataRegularSeason20242025!$AB$3:$AB$1315,DataRegularSeason20242025!$B$3:$B$1315, "&lt;=" &amp; EB$1, DataRegularSeason20242025!$E$3:$E$1315, $A39)</f>
        <v>10</v>
      </c>
      <c r="EC39">
        <f>SUMIFS(DataRegularSeason20242025!$AA$3:$AA$1315,DataRegularSeason20242025!$B$3:$B$1315, "&lt;=" &amp; EC$1, DataRegularSeason20242025!$D$3:$D$1315, $A39)+SUMIFS(DataRegularSeason20242025!$AB$3:$AB$1315,DataRegularSeason20242025!$B$3:$B$1315, "&lt;=" &amp; EC$1, DataRegularSeason20242025!$E$3:$E$1315, $A39)</f>
        <v>10</v>
      </c>
      <c r="ED39">
        <f>SUMIFS(DataRegularSeason20242025!$AA$3:$AA$1315,DataRegularSeason20242025!$B$3:$B$1315, "&lt;=" &amp; ED$1, DataRegularSeason20242025!$D$3:$D$1315, $A39)+SUMIFS(DataRegularSeason20242025!$AB$3:$AB$1315,DataRegularSeason20242025!$B$3:$B$1315, "&lt;=" &amp; ED$1, DataRegularSeason20242025!$E$3:$E$1315, $A39)</f>
        <v>10</v>
      </c>
      <c r="EE39">
        <f>SUMIFS(DataRegularSeason20242025!$AA$3:$AA$1315,DataRegularSeason20242025!$B$3:$B$1315, "&lt;=" &amp; EE$1, DataRegularSeason20242025!$D$3:$D$1315, $A39)+SUMIFS(DataRegularSeason20242025!$AB$3:$AB$1315,DataRegularSeason20242025!$B$3:$B$1315, "&lt;=" &amp; EE$1, DataRegularSeason20242025!$E$3:$E$1315, $A39)</f>
        <v>10</v>
      </c>
      <c r="EF39">
        <f>SUMIFS(DataRegularSeason20242025!$AA$3:$AA$1315,DataRegularSeason20242025!$B$3:$B$1315, "&lt;=" &amp; EF$1, DataRegularSeason20242025!$D$3:$D$1315, $A39)+SUMIFS(DataRegularSeason20242025!$AB$3:$AB$1315,DataRegularSeason20242025!$B$3:$B$1315, "&lt;=" &amp; EF$1, DataRegularSeason20242025!$E$3:$E$1315, $A39)</f>
        <v>10</v>
      </c>
      <c r="EG39">
        <f>SUMIFS(DataRegularSeason20242025!$AA$3:$AA$1315,DataRegularSeason20242025!$B$3:$B$1315, "&lt;=" &amp; EG$1, DataRegularSeason20242025!$D$3:$D$1315, $A39)+SUMIFS(DataRegularSeason20242025!$AB$3:$AB$1315,DataRegularSeason20242025!$B$3:$B$1315, "&lt;=" &amp; EG$1, DataRegularSeason20242025!$E$3:$E$1315, $A39)</f>
        <v>10</v>
      </c>
      <c r="EH39">
        <f>SUMIFS(DataRegularSeason20242025!$AA$3:$AA$1315,DataRegularSeason20242025!$B$3:$B$1315, "&lt;=" &amp; EH$1, DataRegularSeason20242025!$D$3:$D$1315, $A39)+SUMIFS(DataRegularSeason20242025!$AB$3:$AB$1315,DataRegularSeason20242025!$B$3:$B$1315, "&lt;=" &amp; EH$1, DataRegularSeason20242025!$E$3:$E$1315, $A39)</f>
        <v>10</v>
      </c>
      <c r="EI39">
        <f>SUMIFS(DataRegularSeason20242025!$AA$3:$AA$1315,DataRegularSeason20242025!$B$3:$B$1315, "&lt;=" &amp; EI$1, DataRegularSeason20242025!$D$3:$D$1315, $A39)+SUMIFS(DataRegularSeason20242025!$AB$3:$AB$1315,DataRegularSeason20242025!$B$3:$B$1315, "&lt;=" &amp; EI$1, DataRegularSeason20242025!$E$3:$E$1315, $A39)</f>
        <v>10</v>
      </c>
      <c r="EJ39">
        <f>SUMIFS(DataRegularSeason20242025!$AA$3:$AA$1315,DataRegularSeason20242025!$B$3:$B$1315, "&lt;=" &amp; EJ$1, DataRegularSeason20242025!$D$3:$D$1315, $A39)+SUMIFS(DataRegularSeason20242025!$AB$3:$AB$1315,DataRegularSeason20242025!$B$3:$B$1315, "&lt;=" &amp; EJ$1, DataRegularSeason20242025!$E$3:$E$1315, $A39)</f>
        <v>10</v>
      </c>
      <c r="EK39">
        <f>SUMIFS(DataRegularSeason20242025!$AA$3:$AA$1315,DataRegularSeason20242025!$B$3:$B$1315, "&lt;=" &amp; EK$1, DataRegularSeason20242025!$D$3:$D$1315, $A39)+SUMIFS(DataRegularSeason20242025!$AB$3:$AB$1315,DataRegularSeason20242025!$B$3:$B$1315, "&lt;=" &amp; EK$1, DataRegularSeason20242025!$E$3:$E$1315, $A39)</f>
        <v>10</v>
      </c>
      <c r="EL39">
        <f>SUMIFS(DataRegularSeason20242025!$AA$3:$AA$1315,DataRegularSeason20242025!$B$3:$B$1315, "&lt;=" &amp; EL$1, DataRegularSeason20242025!$D$3:$D$1315, $A39)+SUMIFS(DataRegularSeason20242025!$AB$3:$AB$1315,DataRegularSeason20242025!$B$3:$B$1315, "&lt;=" &amp; EL$1, DataRegularSeason20242025!$E$3:$E$1315, $A39)</f>
        <v>10</v>
      </c>
      <c r="EM39">
        <f>SUMIFS(DataRegularSeason20242025!$AA$3:$AA$1315,DataRegularSeason20242025!$B$3:$B$1315, "&lt;=" &amp; EM$1, DataRegularSeason20242025!$D$3:$D$1315, $A39)+SUMIFS(DataRegularSeason20242025!$AB$3:$AB$1315,DataRegularSeason20242025!$B$3:$B$1315, "&lt;=" &amp; EM$1, DataRegularSeason20242025!$E$3:$E$1315, $A39)</f>
        <v>10</v>
      </c>
      <c r="EN39">
        <f>SUMIFS(DataRegularSeason20242025!$AA$3:$AA$1315,DataRegularSeason20242025!$B$3:$B$1315, "&lt;=" &amp; EN$1, DataRegularSeason20242025!$D$3:$D$1315, $A39)+SUMIFS(DataRegularSeason20242025!$AB$3:$AB$1315,DataRegularSeason20242025!$B$3:$B$1315, "&lt;=" &amp; EN$1, DataRegularSeason20242025!$E$3:$E$1315, $A39)</f>
        <v>10</v>
      </c>
      <c r="EO39">
        <f>SUMIFS(DataRegularSeason20242025!$AA$3:$AA$1315,DataRegularSeason20242025!$B$3:$B$1315, "&lt;=" &amp; EO$1, DataRegularSeason20242025!$D$3:$D$1315, $A39)+SUMIFS(DataRegularSeason20242025!$AB$3:$AB$1315,DataRegularSeason20242025!$B$3:$B$1315, "&lt;=" &amp; EO$1, DataRegularSeason20242025!$E$3:$E$1315, $A39)</f>
        <v>10</v>
      </c>
      <c r="EP39">
        <f>SUMIFS(DataRegularSeason20242025!$AA$3:$AA$1315,DataRegularSeason20242025!$B$3:$B$1315, "&lt;=" &amp; EP$1, DataRegularSeason20242025!$D$3:$D$1315, $A39)+SUMIFS(DataRegularSeason20242025!$AB$3:$AB$1315,DataRegularSeason20242025!$B$3:$B$1315, "&lt;=" &amp; EP$1, DataRegularSeason20242025!$E$3:$E$1315, $A39)</f>
        <v>10</v>
      </c>
      <c r="EQ39">
        <f>SUMIFS(DataRegularSeason20242025!$AA$3:$AA$1315,DataRegularSeason20242025!$B$3:$B$1315, "&lt;=" &amp; EQ$1, DataRegularSeason20242025!$D$3:$D$1315, $A39)+SUMIFS(DataRegularSeason20242025!$AB$3:$AB$1315,DataRegularSeason20242025!$B$3:$B$1315, "&lt;=" &amp; EQ$1, DataRegularSeason20242025!$E$3:$E$1315, $A39)</f>
        <v>10</v>
      </c>
      <c r="ER39">
        <f>SUMIFS(DataRegularSeason20242025!$AA$3:$AA$1315,DataRegularSeason20242025!$B$3:$B$1315, "&lt;=" &amp; ER$1, DataRegularSeason20242025!$D$3:$D$1315, $A39)+SUMIFS(DataRegularSeason20242025!$AB$3:$AB$1315,DataRegularSeason20242025!$B$3:$B$1315, "&lt;=" &amp; ER$1, DataRegularSeason20242025!$E$3:$E$1315, $A39)</f>
        <v>10</v>
      </c>
      <c r="ES39">
        <f>SUMIFS(DataRegularSeason20242025!$AA$3:$AA$1315,DataRegularSeason20242025!$B$3:$B$1315, "&lt;=" &amp; ES$1, DataRegularSeason20242025!$D$3:$D$1315, $A39)+SUMIFS(DataRegularSeason20242025!$AB$3:$AB$1315,DataRegularSeason20242025!$B$3:$B$1315, "&lt;=" &amp; ES$1, DataRegularSeason20242025!$E$3:$E$1315, $A39)</f>
        <v>10</v>
      </c>
      <c r="ET39">
        <f>SUMIFS(DataRegularSeason20242025!$AA$3:$AA$1315,DataRegularSeason20242025!$B$3:$B$1315, "&lt;=" &amp; ET$1, DataRegularSeason20242025!$D$3:$D$1315, $A39)+SUMIFS(DataRegularSeason20242025!$AB$3:$AB$1315,DataRegularSeason20242025!$B$3:$B$1315, "&lt;=" &amp; ET$1, DataRegularSeason20242025!$E$3:$E$1315, $A39)</f>
        <v>10</v>
      </c>
      <c r="EU39">
        <f>SUMIFS(DataRegularSeason20242025!$AA$3:$AA$1315,DataRegularSeason20242025!$B$3:$B$1315, "&lt;=" &amp; EU$1, DataRegularSeason20242025!$D$3:$D$1315, $A39)+SUMIFS(DataRegularSeason20242025!$AB$3:$AB$1315,DataRegularSeason20242025!$B$3:$B$1315, "&lt;=" &amp; EU$1, DataRegularSeason20242025!$E$3:$E$1315, $A39)</f>
        <v>10</v>
      </c>
      <c r="EV39">
        <f>SUMIFS(DataRegularSeason20242025!$AA$3:$AA$1315,DataRegularSeason20242025!$B$3:$B$1315, "&lt;=" &amp; EV$1, DataRegularSeason20242025!$D$3:$D$1315, $A39)+SUMIFS(DataRegularSeason20242025!$AB$3:$AB$1315,DataRegularSeason20242025!$B$3:$B$1315, "&lt;=" &amp; EV$1, DataRegularSeason20242025!$E$3:$E$1315, $A39)</f>
        <v>10</v>
      </c>
      <c r="EW39">
        <f>SUMIFS(DataRegularSeason20242025!$AA$3:$AA$1315,DataRegularSeason20242025!$B$3:$B$1315, "&lt;=" &amp; EW$1, DataRegularSeason20242025!$D$3:$D$1315, $A39)+SUMIFS(DataRegularSeason20242025!$AB$3:$AB$1315,DataRegularSeason20242025!$B$3:$B$1315, "&lt;=" &amp; EW$1, DataRegularSeason20242025!$E$3:$E$1315, $A39)</f>
        <v>10</v>
      </c>
      <c r="EX39">
        <f>SUMIFS(DataRegularSeason20242025!$AA$3:$AA$1315,DataRegularSeason20242025!$B$3:$B$1315, "&lt;=" &amp; EX$1, DataRegularSeason20242025!$D$3:$D$1315, $A39)+SUMIFS(DataRegularSeason20242025!$AB$3:$AB$1315,DataRegularSeason20242025!$B$3:$B$1315, "&lt;=" &amp; EX$1, DataRegularSeason20242025!$E$3:$E$1315, $A39)</f>
        <v>10</v>
      </c>
      <c r="EY39">
        <f>SUMIFS(DataRegularSeason20242025!$AA$3:$AA$1315,DataRegularSeason20242025!$B$3:$B$1315, "&lt;=" &amp; EY$1, DataRegularSeason20242025!$D$3:$D$1315, $A39)+SUMIFS(DataRegularSeason20242025!$AB$3:$AB$1315,DataRegularSeason20242025!$B$3:$B$1315, "&lt;=" &amp; EY$1, DataRegularSeason20242025!$E$3:$E$1315, $A39)</f>
        <v>10</v>
      </c>
      <c r="EZ39">
        <f>SUMIFS(DataRegularSeason20242025!$AA$3:$AA$1315,DataRegularSeason20242025!$B$3:$B$1315, "&lt;=" &amp; EZ$1, DataRegularSeason20242025!$D$3:$D$1315, $A39)+SUMIFS(DataRegularSeason20242025!$AB$3:$AB$1315,DataRegularSeason20242025!$B$3:$B$1315, "&lt;=" &amp; EZ$1, DataRegularSeason20242025!$E$3:$E$1315, $A39)</f>
        <v>10</v>
      </c>
      <c r="FA39">
        <f>SUMIFS(DataRegularSeason20242025!$AA$3:$AA$1315,DataRegularSeason20242025!$B$3:$B$1315, "&lt;=" &amp; FA$1, DataRegularSeason20242025!$D$3:$D$1315, $A39)+SUMIFS(DataRegularSeason20242025!$AB$3:$AB$1315,DataRegularSeason20242025!$B$3:$B$1315, "&lt;=" &amp; FA$1, DataRegularSeason20242025!$E$3:$E$1315, $A39)</f>
        <v>10</v>
      </c>
      <c r="FB39">
        <f>SUMIFS(DataRegularSeason20242025!$AA$3:$AA$1315,DataRegularSeason20242025!$B$3:$B$1315, "&lt;=" &amp; FB$1, DataRegularSeason20242025!$D$3:$D$1315, $A39)+SUMIFS(DataRegularSeason20242025!$AB$3:$AB$1315,DataRegularSeason20242025!$B$3:$B$1315, "&lt;=" &amp; FB$1, DataRegularSeason20242025!$E$3:$E$1315, $A39)</f>
        <v>10</v>
      </c>
      <c r="FC39">
        <f>SUMIFS(DataRegularSeason20242025!$AA$3:$AA$1315,DataRegularSeason20242025!$B$3:$B$1315, "&lt;=" &amp; FC$1, DataRegularSeason20242025!$D$3:$D$1315, $A39)+SUMIFS(DataRegularSeason20242025!$AB$3:$AB$1315,DataRegularSeason20242025!$B$3:$B$1315, "&lt;=" &amp; FC$1, DataRegularSeason20242025!$E$3:$E$1315, $A39)</f>
        <v>10</v>
      </c>
      <c r="FD39">
        <f>SUMIFS(DataRegularSeason20242025!$AA$3:$AA$1315,DataRegularSeason20242025!$B$3:$B$1315, "&lt;=" &amp; FD$1, DataRegularSeason20242025!$D$3:$D$1315, $A39)+SUMIFS(DataRegularSeason20242025!$AB$3:$AB$1315,DataRegularSeason20242025!$B$3:$B$1315, "&lt;=" &amp; FD$1, DataRegularSeason20242025!$E$3:$E$1315, $A39)</f>
        <v>10</v>
      </c>
      <c r="FE39">
        <f>SUMIFS(DataRegularSeason20242025!$AA$3:$AA$1315,DataRegularSeason20242025!$B$3:$B$1315, "&lt;=" &amp; FE$1, DataRegularSeason20242025!$D$3:$D$1315, $A39)+SUMIFS(DataRegularSeason20242025!$AB$3:$AB$1315,DataRegularSeason20242025!$B$3:$B$1315, "&lt;=" &amp; FE$1, DataRegularSeason20242025!$E$3:$E$1315, $A39)</f>
        <v>10</v>
      </c>
      <c r="FF39">
        <f>SUMIFS(DataRegularSeason20242025!$AA$3:$AA$1315,DataRegularSeason20242025!$B$3:$B$1315, "&lt;=" &amp; FF$1, DataRegularSeason20242025!$D$3:$D$1315, $A39)+SUMIFS(DataRegularSeason20242025!$AB$3:$AB$1315,DataRegularSeason20242025!$B$3:$B$1315, "&lt;=" &amp; FF$1, DataRegularSeason20242025!$E$3:$E$1315, $A39)</f>
        <v>10</v>
      </c>
      <c r="FG39">
        <f>SUMIFS(DataRegularSeason20242025!$AA$3:$AA$1315,DataRegularSeason20242025!$B$3:$B$1315, "&lt;=" &amp; FG$1, DataRegularSeason20242025!$D$3:$D$1315, $A39)+SUMIFS(DataRegularSeason20242025!$AB$3:$AB$1315,DataRegularSeason20242025!$B$3:$B$1315, "&lt;=" &amp; FG$1, DataRegularSeason20242025!$E$3:$E$1315, $A39)</f>
        <v>10</v>
      </c>
      <c r="FH39">
        <f>SUMIFS(DataRegularSeason20242025!$AA$3:$AA$1315,DataRegularSeason20242025!$B$3:$B$1315, "&lt;=" &amp; FH$1, DataRegularSeason20242025!$D$3:$D$1315, $A39)+SUMIFS(DataRegularSeason20242025!$AB$3:$AB$1315,DataRegularSeason20242025!$B$3:$B$1315, "&lt;=" &amp; FH$1, DataRegularSeason20242025!$E$3:$E$1315, $A39)</f>
        <v>10</v>
      </c>
      <c r="FI39">
        <f>SUMIFS(DataRegularSeason20242025!$AA$3:$AA$1315,DataRegularSeason20242025!$B$3:$B$1315, "&lt;=" &amp; FI$1, DataRegularSeason20242025!$D$3:$D$1315, $A39)+SUMIFS(DataRegularSeason20242025!$AB$3:$AB$1315,DataRegularSeason20242025!$B$3:$B$1315, "&lt;=" &amp; FI$1, DataRegularSeason20242025!$E$3:$E$1315, $A39)</f>
        <v>10</v>
      </c>
      <c r="FJ39">
        <f>SUMIFS(DataRegularSeason20242025!$AA$3:$AA$1315,DataRegularSeason20242025!$B$3:$B$1315, "&lt;=" &amp; FJ$1, DataRegularSeason20242025!$D$3:$D$1315, $A39)+SUMIFS(DataRegularSeason20242025!$AB$3:$AB$1315,DataRegularSeason20242025!$B$3:$B$1315, "&lt;=" &amp; FJ$1, DataRegularSeason20242025!$E$3:$E$1315, $A39)</f>
        <v>10</v>
      </c>
      <c r="FK39">
        <f>SUMIFS(DataRegularSeason20242025!$AA$3:$AA$1315,DataRegularSeason20242025!$B$3:$B$1315, "&lt;=" &amp; FK$1, DataRegularSeason20242025!$D$3:$D$1315, $A39)+SUMIFS(DataRegularSeason20242025!$AB$3:$AB$1315,DataRegularSeason20242025!$B$3:$B$1315, "&lt;=" &amp; FK$1, DataRegularSeason20242025!$E$3:$E$1315, $A39)</f>
        <v>10</v>
      </c>
      <c r="FL39">
        <f>SUMIFS(DataRegularSeason20242025!$AA$3:$AA$1315,DataRegularSeason20242025!$B$3:$B$1315, "&lt;=" &amp; FL$1, DataRegularSeason20242025!$D$3:$D$1315, $A39)+SUMIFS(DataRegularSeason20242025!$AB$3:$AB$1315,DataRegularSeason20242025!$B$3:$B$1315, "&lt;=" &amp; FL$1, DataRegularSeason20242025!$E$3:$E$1315, $A39)</f>
        <v>10</v>
      </c>
      <c r="FM39">
        <f>SUMIFS(DataRegularSeason20242025!$AA$3:$AA$1315,DataRegularSeason20242025!$B$3:$B$1315, "&lt;=" &amp; FM$1, DataRegularSeason20242025!$D$3:$D$1315, $A39)+SUMIFS(DataRegularSeason20242025!$AB$3:$AB$1315,DataRegularSeason20242025!$B$3:$B$1315, "&lt;=" &amp; FM$1, DataRegularSeason20242025!$E$3:$E$1315, $A39)</f>
        <v>10</v>
      </c>
      <c r="FN39">
        <f>SUMIFS(DataRegularSeason20242025!$AA$3:$AA$1315,DataRegularSeason20242025!$B$3:$B$1315, "&lt;=" &amp; FN$1, DataRegularSeason20242025!$D$3:$D$1315, $A39)+SUMIFS(DataRegularSeason20242025!$AB$3:$AB$1315,DataRegularSeason20242025!$B$3:$B$1315, "&lt;=" &amp; FN$1, DataRegularSeason20242025!$E$3:$E$1315, $A39)</f>
        <v>10</v>
      </c>
      <c r="FO39">
        <f>SUMIFS(DataRegularSeason20242025!$AA$3:$AA$1315,DataRegularSeason20242025!$B$3:$B$1315, "&lt;=" &amp; FO$1, DataRegularSeason20242025!$D$3:$D$1315, $A39)+SUMIFS(DataRegularSeason20242025!$AB$3:$AB$1315,DataRegularSeason20242025!$B$3:$B$1315, "&lt;=" &amp; FO$1, DataRegularSeason20242025!$E$3:$E$1315, $A39)</f>
        <v>10</v>
      </c>
      <c r="FP39">
        <f>SUMIFS(DataRegularSeason20242025!$AA$3:$AA$1315,DataRegularSeason20242025!$B$3:$B$1315, "&lt;=" &amp; FP$1, DataRegularSeason20242025!$D$3:$D$1315, $A39)+SUMIFS(DataRegularSeason20242025!$AB$3:$AB$1315,DataRegularSeason20242025!$B$3:$B$1315, "&lt;=" &amp; FP$1, DataRegularSeason20242025!$E$3:$E$1315, $A39)</f>
        <v>10</v>
      </c>
      <c r="FQ39">
        <f>SUMIFS(DataRegularSeason20242025!$AA$3:$AA$1315,DataRegularSeason20242025!$B$3:$B$1315, "&lt;=" &amp; FQ$1, DataRegularSeason20242025!$D$3:$D$1315, $A39)+SUMIFS(DataRegularSeason20242025!$AB$3:$AB$1315,DataRegularSeason20242025!$B$3:$B$1315, "&lt;=" &amp; FQ$1, DataRegularSeason20242025!$E$3:$E$1315, $A39)</f>
        <v>10</v>
      </c>
      <c r="FR39">
        <f>SUMIFS(DataRegularSeason20242025!$AA$3:$AA$1315,DataRegularSeason20242025!$B$3:$B$1315, "&lt;=" &amp; FR$1, DataRegularSeason20242025!$D$3:$D$1315, $A39)+SUMIFS(DataRegularSeason20242025!$AB$3:$AB$1315,DataRegularSeason20242025!$B$3:$B$1315, "&lt;=" &amp; FR$1, DataRegularSeason20242025!$E$3:$E$1315, $A39)</f>
        <v>10</v>
      </c>
      <c r="FS39">
        <f>SUMIFS(DataRegularSeason20242025!$AA$3:$AA$1315,DataRegularSeason20242025!$B$3:$B$1315, "&lt;=" &amp; FS$1, DataRegularSeason20242025!$D$3:$D$1315, $A39)+SUMIFS(DataRegularSeason20242025!$AB$3:$AB$1315,DataRegularSeason20242025!$B$3:$B$1315, "&lt;=" &amp; FS$1, DataRegularSeason20242025!$E$3:$E$1315, $A39)</f>
        <v>10</v>
      </c>
      <c r="FT39">
        <f>SUMIFS(DataRegularSeason20242025!$AA$3:$AA$1315,DataRegularSeason20242025!$B$3:$B$1315, "&lt;=" &amp; FT$1, DataRegularSeason20242025!$D$3:$D$1315, $A39)+SUMIFS(DataRegularSeason20242025!$AB$3:$AB$1315,DataRegularSeason20242025!$B$3:$B$1315, "&lt;=" &amp; FT$1, DataRegularSeason20242025!$E$3:$E$1315, $A39)</f>
        <v>10</v>
      </c>
      <c r="FU39">
        <f>SUMIFS(DataRegularSeason20242025!$AA$3:$AA$1315,DataRegularSeason20242025!$B$3:$B$1315, "&lt;=" &amp; FU$1, DataRegularSeason20242025!$D$3:$D$1315, $A39)+SUMIFS(DataRegularSeason20242025!$AB$3:$AB$1315,DataRegularSeason20242025!$B$3:$B$1315, "&lt;=" &amp; FU$1, DataRegularSeason20242025!$E$3:$E$1315, $A39)</f>
        <v>10</v>
      </c>
      <c r="FV39">
        <f>SUMIFS(DataRegularSeason20242025!$AA$3:$AA$1315,DataRegularSeason20242025!$B$3:$B$1315, "&lt;=" &amp; FV$1, DataRegularSeason20242025!$D$3:$D$1315, $A39)+SUMIFS(DataRegularSeason20242025!$AB$3:$AB$1315,DataRegularSeason20242025!$B$3:$B$1315, "&lt;=" &amp; FV$1, DataRegularSeason20242025!$E$3:$E$1315, $A39)</f>
        <v>10</v>
      </c>
      <c r="FW39">
        <f>SUMIFS(DataRegularSeason20242025!$AA$3:$AA$1315,DataRegularSeason20242025!$B$3:$B$1315, "&lt;=" &amp; FW$1, DataRegularSeason20242025!$D$3:$D$1315, $A39)+SUMIFS(DataRegularSeason20242025!$AB$3:$AB$1315,DataRegularSeason20242025!$B$3:$B$1315, "&lt;=" &amp; FW$1, DataRegularSeason20242025!$E$3:$E$1315, $A39)</f>
        <v>10</v>
      </c>
      <c r="FX39">
        <f>SUMIFS(DataRegularSeason20242025!$AA$3:$AA$1315,DataRegularSeason20242025!$B$3:$B$1315, "&lt;=" &amp; FX$1, DataRegularSeason20242025!$D$3:$D$1315, $A39)+SUMIFS(DataRegularSeason20242025!$AB$3:$AB$1315,DataRegularSeason20242025!$B$3:$B$1315, "&lt;=" &amp; FX$1, DataRegularSeason20242025!$E$3:$E$1315, $A39)</f>
        <v>10</v>
      </c>
      <c r="FY39">
        <f>SUMIFS(DataRegularSeason20242025!$AA$3:$AA$1315,DataRegularSeason20242025!$B$3:$B$1315, "&lt;=" &amp; FY$1, DataRegularSeason20242025!$D$3:$D$1315, $A39)+SUMIFS(DataRegularSeason20242025!$AB$3:$AB$1315,DataRegularSeason20242025!$B$3:$B$1315, "&lt;=" &amp; FY$1, DataRegularSeason20242025!$E$3:$E$1315, $A39)</f>
        <v>10</v>
      </c>
      <c r="FZ39">
        <f>SUMIFS(DataRegularSeason20242025!$AA$3:$AA$1315,DataRegularSeason20242025!$B$3:$B$1315, "&lt;=" &amp; FZ$1, DataRegularSeason20242025!$D$3:$D$1315, $A39)+SUMIFS(DataRegularSeason20242025!$AB$3:$AB$1315,DataRegularSeason20242025!$B$3:$B$1315, "&lt;=" &amp; FZ$1, DataRegularSeason20242025!$E$3:$E$1315, $A39)</f>
        <v>10</v>
      </c>
      <c r="GA39">
        <f>SUMIFS(DataRegularSeason20242025!$AA$3:$AA$1315,DataRegularSeason20242025!$B$3:$B$1315, "&lt;=" &amp; GA$1, DataRegularSeason20242025!$D$3:$D$1315, $A39)+SUMIFS(DataRegularSeason20242025!$AB$3:$AB$1315,DataRegularSeason20242025!$B$3:$B$1315, "&lt;=" &amp; GA$1, DataRegularSeason20242025!$E$3:$E$1315, $A39)</f>
        <v>10</v>
      </c>
      <c r="GB39">
        <f>SUMIFS(DataRegularSeason20242025!$AA$3:$AA$1315,DataRegularSeason20242025!$B$3:$B$1315, "&lt;=" &amp; GB$1, DataRegularSeason20242025!$D$3:$D$1315, $A39)+SUMIFS(DataRegularSeason20242025!$AB$3:$AB$1315,DataRegularSeason20242025!$B$3:$B$1315, "&lt;=" &amp; GB$1, DataRegularSeason20242025!$E$3:$E$1315, $A39)</f>
        <v>10</v>
      </c>
      <c r="GC39">
        <f>SUMIFS(DataRegularSeason20242025!$AA$3:$AA$1315,DataRegularSeason20242025!$B$3:$B$1315, "&lt;=" &amp; GC$1, DataRegularSeason20242025!$D$3:$D$1315, $A39)+SUMIFS(DataRegularSeason20242025!$AB$3:$AB$1315,DataRegularSeason20242025!$B$3:$B$1315, "&lt;=" &amp; GC$1, DataRegularSeason20242025!$E$3:$E$1315, $A39)</f>
        <v>10</v>
      </c>
      <c r="GD39">
        <f>SUMIFS(DataRegularSeason20242025!$AA$3:$AA$1315,DataRegularSeason20242025!$B$3:$B$1315, "&lt;=" &amp; GD$1, DataRegularSeason20242025!$D$3:$D$1315, $A39)+SUMIFS(DataRegularSeason20242025!$AB$3:$AB$1315,DataRegularSeason20242025!$B$3:$B$1315, "&lt;=" &amp; GD$1, DataRegularSeason20242025!$E$3:$E$1315, $A39)</f>
        <v>10</v>
      </c>
      <c r="GE39">
        <f>SUMIFS(DataRegularSeason20242025!$AA$3:$AA$1315,DataRegularSeason20242025!$B$3:$B$1315, "&lt;=" &amp; GE$1, DataRegularSeason20242025!$D$3:$D$1315, $A39)+SUMIFS(DataRegularSeason20242025!$AB$3:$AB$1315,DataRegularSeason20242025!$B$3:$B$1315, "&lt;=" &amp; GE$1, DataRegularSeason20242025!$E$3:$E$1315, $A39)</f>
        <v>10</v>
      </c>
      <c r="GF39">
        <f>SUMIFS(DataRegularSeason20242025!$AA$3:$AA$1315,DataRegularSeason20242025!$B$3:$B$1315, "&lt;=" &amp; GF$1, DataRegularSeason20242025!$D$3:$D$1315, $A39)+SUMIFS(DataRegularSeason20242025!$AB$3:$AB$1315,DataRegularSeason20242025!$B$3:$B$1315, "&lt;=" &amp; GF$1, DataRegularSeason20242025!$E$3:$E$1315, $A39)</f>
        <v>10</v>
      </c>
      <c r="GG39">
        <f>SUMIFS(DataRegularSeason20242025!$AA$3:$AA$1315,DataRegularSeason20242025!$B$3:$B$1315, "&lt;=" &amp; GG$1, DataRegularSeason20242025!$D$3:$D$1315, $A39)+SUMIFS(DataRegularSeason20242025!$AB$3:$AB$1315,DataRegularSeason20242025!$B$3:$B$1315, "&lt;=" &amp; GG$1, DataRegularSeason20242025!$E$3:$E$1315, $A39)</f>
        <v>10</v>
      </c>
      <c r="GH39">
        <f>SUMIFS(DataRegularSeason20242025!$AA$3:$AA$1315,DataRegularSeason20242025!$B$3:$B$1315, "&lt;=" &amp; GH$1, DataRegularSeason20242025!$D$3:$D$1315, $A39)+SUMIFS(DataRegularSeason20242025!$AB$3:$AB$1315,DataRegularSeason20242025!$B$3:$B$1315, "&lt;=" &amp; GH$1, DataRegularSeason20242025!$E$3:$E$1315, $A39)</f>
        <v>10</v>
      </c>
      <c r="GI39">
        <f>SUMIFS(DataRegularSeason20242025!$AA$3:$AA$1315,DataRegularSeason20242025!$B$3:$B$1315, "&lt;=" &amp; GI$1, DataRegularSeason20242025!$D$3:$D$1315, $A39)+SUMIFS(DataRegularSeason20242025!$AB$3:$AB$1315,DataRegularSeason20242025!$B$3:$B$1315, "&lt;=" &amp; GI$1, DataRegularSeason20242025!$E$3:$E$1315, $A39)</f>
        <v>10</v>
      </c>
      <c r="GJ39">
        <f>SUMIFS(DataRegularSeason20242025!$AA$3:$AA$1315,DataRegularSeason20242025!$B$3:$B$1315, "&lt;=" &amp; GJ$1, DataRegularSeason20242025!$D$3:$D$1315, $A39)+SUMIFS(DataRegularSeason20242025!$AB$3:$AB$1315,DataRegularSeason20242025!$B$3:$B$1315, "&lt;=" &amp; GJ$1, DataRegularSeason20242025!$E$3:$E$1315, $A39)</f>
        <v>10</v>
      </c>
      <c r="GK39">
        <f>SUMIFS(DataRegularSeason20242025!$AA$3:$AA$1315,DataRegularSeason20242025!$B$3:$B$1315, "&lt;=" &amp; GK$1, DataRegularSeason20242025!$D$3:$D$1315, $A39)+SUMIFS(DataRegularSeason20242025!$AB$3:$AB$1315,DataRegularSeason20242025!$B$3:$B$1315, "&lt;=" &amp; GK$1, DataRegularSeason20242025!$E$3:$E$1315, $A39)</f>
        <v>10</v>
      </c>
      <c r="GL39">
        <f>SUMIFS(DataRegularSeason20242025!$AA$3:$AA$1315,DataRegularSeason20242025!$B$3:$B$1315, "&lt;=" &amp; GL$1, DataRegularSeason20242025!$D$3:$D$1315, $A39)+SUMIFS(DataRegularSeason20242025!$AB$3:$AB$1315,DataRegularSeason20242025!$B$3:$B$1315, "&lt;=" &amp; GL$1, DataRegularSeason20242025!$E$3:$E$1315, $A39)</f>
        <v>10</v>
      </c>
      <c r="GM39">
        <f>SUMIFS(DataRegularSeason20242025!$AA$3:$AA$1315,DataRegularSeason20242025!$B$3:$B$1315, "&lt;=" &amp; GM$1, DataRegularSeason20242025!$D$3:$D$1315, $A39)+SUMIFS(DataRegularSeason20242025!$AB$3:$AB$1315,DataRegularSeason20242025!$B$3:$B$1315, "&lt;=" &amp; GM$1, DataRegularSeason20242025!$E$3:$E$1315, $A39)</f>
        <v>10</v>
      </c>
      <c r="GN39">
        <f>SUMIFS(DataRegularSeason20242025!$AA$3:$AA$1315,DataRegularSeason20242025!$B$3:$B$1315, "&lt;=" &amp; GN$1, DataRegularSeason20242025!$D$3:$D$1315, $A39)+SUMIFS(DataRegularSeason20242025!$AB$3:$AB$1315,DataRegularSeason20242025!$B$3:$B$1315, "&lt;=" &amp; GN$1, DataRegularSeason20242025!$E$3:$E$1315, $A39)</f>
        <v>10</v>
      </c>
      <c r="GO39">
        <f>SUMIFS(DataRegularSeason20242025!$AA$3:$AA$1315,DataRegularSeason20242025!$B$3:$B$1315, "&lt;=" &amp; GO$1, DataRegularSeason20242025!$D$3:$D$1315, $A39)+SUMIFS(DataRegularSeason20242025!$AB$3:$AB$1315,DataRegularSeason20242025!$B$3:$B$1315, "&lt;=" &amp; GO$1, DataRegularSeason20242025!$E$3:$E$1315, $A39)</f>
        <v>10</v>
      </c>
      <c r="GP39">
        <f>SUMIFS(DataRegularSeason20242025!$AA$3:$AA$1315,DataRegularSeason20242025!$B$3:$B$1315, "&lt;=" &amp; GP$1, DataRegularSeason20242025!$D$3:$D$1315, $A39)+SUMIFS(DataRegularSeason20242025!$AB$3:$AB$1315,DataRegularSeason20242025!$B$3:$B$1315, "&lt;=" &amp; GP$1, DataRegularSeason20242025!$E$3:$E$1315, $A39)</f>
        <v>10</v>
      </c>
      <c r="GQ39">
        <f>SUMIFS(DataRegularSeason20242025!$AA$3:$AA$1315,DataRegularSeason20242025!$B$3:$B$1315, "&lt;=" &amp; GQ$1, DataRegularSeason20242025!$D$3:$D$1315, $A39)+SUMIFS(DataRegularSeason20242025!$AB$3:$AB$1315,DataRegularSeason20242025!$B$3:$B$1315, "&lt;=" &amp; GQ$1, DataRegularSeason20242025!$E$3:$E$1315, $A39)</f>
        <v>10</v>
      </c>
      <c r="GR39">
        <f>SUMIFS(DataRegularSeason20242025!$AA$3:$AA$1315,DataRegularSeason20242025!$B$3:$B$1315, "&lt;=" &amp; GR$1, DataRegularSeason20242025!$D$3:$D$1315, $A39)+SUMIFS(DataRegularSeason20242025!$AB$3:$AB$1315,DataRegularSeason20242025!$B$3:$B$1315, "&lt;=" &amp; GR$1, DataRegularSeason20242025!$E$3:$E$1315, $A39)</f>
        <v>10</v>
      </c>
      <c r="GS39">
        <f>SUMIFS(DataRegularSeason20242025!$AA$3:$AA$1315,DataRegularSeason20242025!$B$3:$B$1315, "&lt;=" &amp; GS$1, DataRegularSeason20242025!$D$3:$D$1315, $A39)+SUMIFS(DataRegularSeason20242025!$AB$3:$AB$1315,DataRegularSeason20242025!$B$3:$B$1315, "&lt;=" &amp; GS$1, DataRegularSeason20242025!$E$3:$E$1315, $A39)</f>
        <v>10</v>
      </c>
      <c r="GT39">
        <f>SUMIFS(DataRegularSeason20242025!$AA$3:$AA$1315,DataRegularSeason20242025!$B$3:$B$1315, "&lt;=" &amp; GT$1, DataRegularSeason20242025!$D$3:$D$1315, $A39)+SUMIFS(DataRegularSeason20242025!$AB$3:$AB$1315,DataRegularSeason20242025!$B$3:$B$1315, "&lt;=" &amp; GT$1, DataRegularSeason20242025!$E$3:$E$1315, $A39)</f>
        <v>10</v>
      </c>
      <c r="GU39">
        <f>SUMIFS(DataRegularSeason20242025!$AA$3:$AA$1315,DataRegularSeason20242025!$B$3:$B$1315, "&lt;=" &amp; GU$1, DataRegularSeason20242025!$D$3:$D$1315, $A39)+SUMIFS(DataRegularSeason20242025!$AB$3:$AB$1315,DataRegularSeason20242025!$B$3:$B$1315, "&lt;=" &amp; GU$1, DataRegularSeason20242025!$E$3:$E$1315, $A39)</f>
        <v>10</v>
      </c>
    </row>
    <row r="40" spans="1:275" x14ac:dyDescent="0.25">
      <c r="A40" t="s">
        <v>17</v>
      </c>
      <c r="B40" t="s">
        <v>91</v>
      </c>
      <c r="C40" t="s">
        <v>74</v>
      </c>
      <c r="D40">
        <f>SUMIFS(DataRegularSeason20242025!$AA$3:$AA$1315,DataRegularSeason20242025!$B$3:$B$1315, "&lt;=" &amp; D$1, DataRegularSeason20242025!$D$3:$D$1315, $A40)+SUMIFS(DataRegularSeason20242025!$AB$3:$AB$1315,DataRegularSeason20242025!$B$3:$B$1315, "&lt;=" &amp; D$1, DataRegularSeason20242025!$E$3:$E$1315, $A40)</f>
        <v>0</v>
      </c>
      <c r="E40">
        <f>SUMIFS(DataRegularSeason20242025!$AA$3:$AA$1315,DataRegularSeason20242025!$B$3:$B$1315, "&lt;=" &amp; E$1, DataRegularSeason20242025!$D$3:$D$1315, $A40)+SUMIFS(DataRegularSeason20242025!$AB$3:$AB$1315,DataRegularSeason20242025!$B$3:$B$1315, "&lt;=" &amp; E$1, DataRegularSeason20242025!$E$3:$E$1315, $A40)</f>
        <v>0</v>
      </c>
      <c r="F40">
        <f>SUMIFS(DataRegularSeason20242025!$AA$3:$AA$1315,DataRegularSeason20242025!$B$3:$B$1315, "&lt;=" &amp; F$1, DataRegularSeason20242025!$D$3:$D$1315, $A40)+SUMIFS(DataRegularSeason20242025!$AB$3:$AB$1315,DataRegularSeason20242025!$B$3:$B$1315, "&lt;=" &amp; F$1, DataRegularSeason20242025!$E$3:$E$1315, $A40)</f>
        <v>0</v>
      </c>
      <c r="G40">
        <f>SUMIFS(DataRegularSeason20242025!$AA$3:$AA$1315,DataRegularSeason20242025!$B$3:$B$1315, "&lt;=" &amp; G$1, DataRegularSeason20242025!$D$3:$D$1315, $A40)+SUMIFS(DataRegularSeason20242025!$AB$3:$AB$1315,DataRegularSeason20242025!$B$3:$B$1315, "&lt;=" &amp; G$1, DataRegularSeason20242025!$E$3:$E$1315, $A40)</f>
        <v>0</v>
      </c>
      <c r="H40">
        <f>SUMIFS(DataRegularSeason20242025!$AA$3:$AA$1315,DataRegularSeason20242025!$B$3:$B$1315, "&lt;=" &amp; H$1, DataRegularSeason20242025!$D$3:$D$1315, $A40)+SUMIFS(DataRegularSeason20242025!$AB$3:$AB$1315,DataRegularSeason20242025!$B$3:$B$1315, "&lt;=" &amp; H$1, DataRegularSeason20242025!$E$3:$E$1315, $A40)</f>
        <v>0</v>
      </c>
      <c r="I40">
        <f>SUMIFS(DataRegularSeason20242025!$AA$3:$AA$1315,DataRegularSeason20242025!$B$3:$B$1315, "&lt;=" &amp; I$1, DataRegularSeason20242025!$D$3:$D$1315, $A40)+SUMIFS(DataRegularSeason20242025!$AB$3:$AB$1315,DataRegularSeason20242025!$B$3:$B$1315, "&lt;=" &amp; I$1, DataRegularSeason20242025!$E$3:$E$1315, $A40)</f>
        <v>2</v>
      </c>
      <c r="J40">
        <f>SUMIFS(DataRegularSeason20242025!$AA$3:$AA$1315,DataRegularSeason20242025!$B$3:$B$1315, "&lt;=" &amp; J$1, DataRegularSeason20242025!$D$3:$D$1315, $A40)+SUMIFS(DataRegularSeason20242025!$AB$3:$AB$1315,DataRegularSeason20242025!$B$3:$B$1315, "&lt;=" &amp; J$1, DataRegularSeason20242025!$E$3:$E$1315, $A40)</f>
        <v>2</v>
      </c>
      <c r="K40">
        <f>SUMIFS(DataRegularSeason20242025!$AA$3:$AA$1315,DataRegularSeason20242025!$B$3:$B$1315, "&lt;=" &amp; K$1, DataRegularSeason20242025!$D$3:$D$1315, $A40)+SUMIFS(DataRegularSeason20242025!$AB$3:$AB$1315,DataRegularSeason20242025!$B$3:$B$1315, "&lt;=" &amp; K$1, DataRegularSeason20242025!$E$3:$E$1315, $A40)</f>
        <v>2</v>
      </c>
      <c r="L40">
        <f>SUMIFS(DataRegularSeason20242025!$AA$3:$AA$1315,DataRegularSeason20242025!$B$3:$B$1315, "&lt;=" &amp; L$1, DataRegularSeason20242025!$D$3:$D$1315, $A40)+SUMIFS(DataRegularSeason20242025!$AB$3:$AB$1315,DataRegularSeason20242025!$B$3:$B$1315, "&lt;=" &amp; L$1, DataRegularSeason20242025!$E$3:$E$1315, $A40)</f>
        <v>2</v>
      </c>
      <c r="M40">
        <f>SUMIFS(DataRegularSeason20242025!$AA$3:$AA$1315,DataRegularSeason20242025!$B$3:$B$1315, "&lt;=" &amp; M$1, DataRegularSeason20242025!$D$3:$D$1315, $A40)+SUMIFS(DataRegularSeason20242025!$AB$3:$AB$1315,DataRegularSeason20242025!$B$3:$B$1315, "&lt;=" &amp; M$1, DataRegularSeason20242025!$E$3:$E$1315, $A40)</f>
        <v>2</v>
      </c>
      <c r="N40">
        <f>SUMIFS(DataRegularSeason20242025!$AA$3:$AA$1315,DataRegularSeason20242025!$B$3:$B$1315, "&lt;=" &amp; N$1, DataRegularSeason20242025!$D$3:$D$1315, $A40)+SUMIFS(DataRegularSeason20242025!$AB$3:$AB$1315,DataRegularSeason20242025!$B$3:$B$1315, "&lt;=" &amp; N$1, DataRegularSeason20242025!$E$3:$E$1315, $A40)</f>
        <v>2</v>
      </c>
      <c r="O40">
        <f>SUMIFS(DataRegularSeason20242025!$AA$3:$AA$1315,DataRegularSeason20242025!$B$3:$B$1315, "&lt;=" &amp; O$1, DataRegularSeason20242025!$D$3:$D$1315, $A40)+SUMIFS(DataRegularSeason20242025!$AB$3:$AB$1315,DataRegularSeason20242025!$B$3:$B$1315, "&lt;=" &amp; O$1, DataRegularSeason20242025!$E$3:$E$1315, $A40)</f>
        <v>4</v>
      </c>
      <c r="P40">
        <f>SUMIFS(DataRegularSeason20242025!$AA$3:$AA$1315,DataRegularSeason20242025!$B$3:$B$1315, "&lt;=" &amp; P$1, DataRegularSeason20242025!$D$3:$D$1315, $A40)+SUMIFS(DataRegularSeason20242025!$AB$3:$AB$1315,DataRegularSeason20242025!$B$3:$B$1315, "&lt;=" &amp; P$1, DataRegularSeason20242025!$E$3:$E$1315, $A40)</f>
        <v>4</v>
      </c>
      <c r="Q40">
        <f>SUMIFS(DataRegularSeason20242025!$AA$3:$AA$1315,DataRegularSeason20242025!$B$3:$B$1315, "&lt;=" &amp; Q$1, DataRegularSeason20242025!$D$3:$D$1315, $A40)+SUMIFS(DataRegularSeason20242025!$AB$3:$AB$1315,DataRegularSeason20242025!$B$3:$B$1315, "&lt;=" &amp; Q$1, DataRegularSeason20242025!$E$3:$E$1315, $A40)</f>
        <v>6</v>
      </c>
      <c r="R40">
        <f>SUMIFS(DataRegularSeason20242025!$AA$3:$AA$1315,DataRegularSeason20242025!$B$3:$B$1315, "&lt;=" &amp; R$1, DataRegularSeason20242025!$D$3:$D$1315, $A40)+SUMIFS(DataRegularSeason20242025!$AB$3:$AB$1315,DataRegularSeason20242025!$B$3:$B$1315, "&lt;=" &amp; R$1, DataRegularSeason20242025!$E$3:$E$1315, $A40)</f>
        <v>6</v>
      </c>
      <c r="S40">
        <f>SUMIFS(DataRegularSeason20242025!$AA$3:$AA$1315,DataRegularSeason20242025!$B$3:$B$1315, "&lt;=" &amp; S$1, DataRegularSeason20242025!$D$3:$D$1315, $A40)+SUMIFS(DataRegularSeason20242025!$AB$3:$AB$1315,DataRegularSeason20242025!$B$3:$B$1315, "&lt;=" &amp; S$1, DataRegularSeason20242025!$E$3:$E$1315, $A40)</f>
        <v>7</v>
      </c>
      <c r="T40">
        <f>SUMIFS(DataRegularSeason20242025!$AA$3:$AA$1315,DataRegularSeason20242025!$B$3:$B$1315, "&lt;=" &amp; T$1, DataRegularSeason20242025!$D$3:$D$1315, $A40)+SUMIFS(DataRegularSeason20242025!$AB$3:$AB$1315,DataRegularSeason20242025!$B$3:$B$1315, "&lt;=" &amp; T$1, DataRegularSeason20242025!$E$3:$E$1315, $A40)</f>
        <v>7</v>
      </c>
      <c r="U40">
        <f>SUMIFS(DataRegularSeason20242025!$AA$3:$AA$1315,DataRegularSeason20242025!$B$3:$B$1315, "&lt;=" &amp; U$1, DataRegularSeason20242025!$D$3:$D$1315, $A40)+SUMIFS(DataRegularSeason20242025!$AB$3:$AB$1315,DataRegularSeason20242025!$B$3:$B$1315, "&lt;=" &amp; U$1, DataRegularSeason20242025!$E$3:$E$1315, $A40)</f>
        <v>7</v>
      </c>
      <c r="V40">
        <f>SUMIFS(DataRegularSeason20242025!$AA$3:$AA$1315,DataRegularSeason20242025!$B$3:$B$1315, "&lt;=" &amp; V$1, DataRegularSeason20242025!$D$3:$D$1315, $A40)+SUMIFS(DataRegularSeason20242025!$AB$3:$AB$1315,DataRegularSeason20242025!$B$3:$B$1315, "&lt;=" &amp; V$1, DataRegularSeason20242025!$E$3:$E$1315, $A40)</f>
        <v>7</v>
      </c>
      <c r="W40">
        <f>SUMIFS(DataRegularSeason20242025!$AA$3:$AA$1315,DataRegularSeason20242025!$B$3:$B$1315, "&lt;=" &amp; W$1, DataRegularSeason20242025!$D$3:$D$1315, $A40)+SUMIFS(DataRegularSeason20242025!$AB$3:$AB$1315,DataRegularSeason20242025!$B$3:$B$1315, "&lt;=" &amp; W$1, DataRegularSeason20242025!$E$3:$E$1315, $A40)</f>
        <v>7</v>
      </c>
      <c r="X40">
        <f>SUMIFS(DataRegularSeason20242025!$AA$3:$AA$1315,DataRegularSeason20242025!$B$3:$B$1315, "&lt;=" &amp; X$1, DataRegularSeason20242025!$D$3:$D$1315, $A40)+SUMIFS(DataRegularSeason20242025!$AB$3:$AB$1315,DataRegularSeason20242025!$B$3:$B$1315, "&lt;=" &amp; X$1, DataRegularSeason20242025!$E$3:$E$1315, $A40)</f>
        <v>7</v>
      </c>
      <c r="Y40">
        <f>SUMIFS(DataRegularSeason20242025!$AA$3:$AA$1315,DataRegularSeason20242025!$B$3:$B$1315, "&lt;=" &amp; Y$1, DataRegularSeason20242025!$D$3:$D$1315, $A40)+SUMIFS(DataRegularSeason20242025!$AB$3:$AB$1315,DataRegularSeason20242025!$B$3:$B$1315, "&lt;=" &amp; Y$1, DataRegularSeason20242025!$E$3:$E$1315, $A40)</f>
        <v>7</v>
      </c>
      <c r="Z40">
        <f>SUMIFS(DataRegularSeason20242025!$AA$3:$AA$1315,DataRegularSeason20242025!$B$3:$B$1315, "&lt;=" &amp; Z$1, DataRegularSeason20242025!$D$3:$D$1315, $A40)+SUMIFS(DataRegularSeason20242025!$AB$3:$AB$1315,DataRegularSeason20242025!$B$3:$B$1315, "&lt;=" &amp; Z$1, DataRegularSeason20242025!$E$3:$E$1315, $A40)</f>
        <v>7</v>
      </c>
      <c r="AA40">
        <f>SUMIFS(DataRegularSeason20242025!$AA$3:$AA$1315,DataRegularSeason20242025!$B$3:$B$1315, "&lt;=" &amp; AA$1, DataRegularSeason20242025!$D$3:$D$1315, $A40)+SUMIFS(DataRegularSeason20242025!$AB$3:$AB$1315,DataRegularSeason20242025!$B$3:$B$1315, "&lt;=" &amp; AA$1, DataRegularSeason20242025!$E$3:$E$1315, $A40)</f>
        <v>7</v>
      </c>
      <c r="AB40">
        <f>SUMIFS(DataRegularSeason20242025!$AA$3:$AA$1315,DataRegularSeason20242025!$B$3:$B$1315, "&lt;=" &amp; AB$1, DataRegularSeason20242025!$D$3:$D$1315, $A40)+SUMIFS(DataRegularSeason20242025!$AB$3:$AB$1315,DataRegularSeason20242025!$B$3:$B$1315, "&lt;=" &amp; AB$1, DataRegularSeason20242025!$E$3:$E$1315, $A40)</f>
        <v>7</v>
      </c>
      <c r="AC40">
        <f>SUMIFS(DataRegularSeason20242025!$AA$3:$AA$1315,DataRegularSeason20242025!$B$3:$B$1315, "&lt;=" &amp; AC$1, DataRegularSeason20242025!$D$3:$D$1315, $A40)+SUMIFS(DataRegularSeason20242025!$AB$3:$AB$1315,DataRegularSeason20242025!$B$3:$B$1315, "&lt;=" &amp; AC$1, DataRegularSeason20242025!$E$3:$E$1315, $A40)</f>
        <v>7</v>
      </c>
      <c r="AD40">
        <f>SUMIFS(DataRegularSeason20242025!$AA$3:$AA$1315,DataRegularSeason20242025!$B$3:$B$1315, "&lt;=" &amp; AD$1, DataRegularSeason20242025!$D$3:$D$1315, $A40)+SUMIFS(DataRegularSeason20242025!$AB$3:$AB$1315,DataRegularSeason20242025!$B$3:$B$1315, "&lt;=" &amp; AD$1, DataRegularSeason20242025!$E$3:$E$1315, $A40)</f>
        <v>7</v>
      </c>
      <c r="AE40">
        <f>SUMIFS(DataRegularSeason20242025!$AA$3:$AA$1315,DataRegularSeason20242025!$B$3:$B$1315, "&lt;=" &amp; AE$1, DataRegularSeason20242025!$D$3:$D$1315, $A40)+SUMIFS(DataRegularSeason20242025!$AB$3:$AB$1315,DataRegularSeason20242025!$B$3:$B$1315, "&lt;=" &amp; AE$1, DataRegularSeason20242025!$E$3:$E$1315, $A40)</f>
        <v>7</v>
      </c>
      <c r="AF40">
        <f>SUMIFS(DataRegularSeason20242025!$AA$3:$AA$1315,DataRegularSeason20242025!$B$3:$B$1315, "&lt;=" &amp; AF$1, DataRegularSeason20242025!$D$3:$D$1315, $A40)+SUMIFS(DataRegularSeason20242025!$AB$3:$AB$1315,DataRegularSeason20242025!$B$3:$B$1315, "&lt;=" &amp; AF$1, DataRegularSeason20242025!$E$3:$E$1315, $A40)</f>
        <v>7</v>
      </c>
      <c r="AG40">
        <f>SUMIFS(DataRegularSeason20242025!$AA$3:$AA$1315,DataRegularSeason20242025!$B$3:$B$1315, "&lt;=" &amp; AG$1, DataRegularSeason20242025!$D$3:$D$1315, $A40)+SUMIFS(DataRegularSeason20242025!$AB$3:$AB$1315,DataRegularSeason20242025!$B$3:$B$1315, "&lt;=" &amp; AG$1, DataRegularSeason20242025!$E$3:$E$1315, $A40)</f>
        <v>7</v>
      </c>
      <c r="AH40">
        <f>SUMIFS(DataRegularSeason20242025!$AA$3:$AA$1315,DataRegularSeason20242025!$B$3:$B$1315, "&lt;=" &amp; AH$1, DataRegularSeason20242025!$D$3:$D$1315, $A40)+SUMIFS(DataRegularSeason20242025!$AB$3:$AB$1315,DataRegularSeason20242025!$B$3:$B$1315, "&lt;=" &amp; AH$1, DataRegularSeason20242025!$E$3:$E$1315, $A40)</f>
        <v>7</v>
      </c>
      <c r="AI40">
        <f>SUMIFS(DataRegularSeason20242025!$AA$3:$AA$1315,DataRegularSeason20242025!$B$3:$B$1315, "&lt;=" &amp; AI$1, DataRegularSeason20242025!$D$3:$D$1315, $A40)+SUMIFS(DataRegularSeason20242025!$AB$3:$AB$1315,DataRegularSeason20242025!$B$3:$B$1315, "&lt;=" &amp; AI$1, DataRegularSeason20242025!$E$3:$E$1315, $A40)</f>
        <v>7</v>
      </c>
      <c r="AJ40">
        <f>SUMIFS(DataRegularSeason20242025!$AA$3:$AA$1315,DataRegularSeason20242025!$B$3:$B$1315, "&lt;=" &amp; AJ$1, DataRegularSeason20242025!$D$3:$D$1315, $A40)+SUMIFS(DataRegularSeason20242025!$AB$3:$AB$1315,DataRegularSeason20242025!$B$3:$B$1315, "&lt;=" &amp; AJ$1, DataRegularSeason20242025!$E$3:$E$1315, $A40)</f>
        <v>7</v>
      </c>
      <c r="AK40">
        <f>SUMIFS(DataRegularSeason20242025!$AA$3:$AA$1315,DataRegularSeason20242025!$B$3:$B$1315, "&lt;=" &amp; AK$1, DataRegularSeason20242025!$D$3:$D$1315, $A40)+SUMIFS(DataRegularSeason20242025!$AB$3:$AB$1315,DataRegularSeason20242025!$B$3:$B$1315, "&lt;=" &amp; AK$1, DataRegularSeason20242025!$E$3:$E$1315, $A40)</f>
        <v>7</v>
      </c>
      <c r="AL40">
        <f>SUMIFS(DataRegularSeason20242025!$AA$3:$AA$1315,DataRegularSeason20242025!$B$3:$B$1315, "&lt;=" &amp; AL$1, DataRegularSeason20242025!$D$3:$D$1315, $A40)+SUMIFS(DataRegularSeason20242025!$AB$3:$AB$1315,DataRegularSeason20242025!$B$3:$B$1315, "&lt;=" &amp; AL$1, DataRegularSeason20242025!$E$3:$E$1315, $A40)</f>
        <v>7</v>
      </c>
      <c r="AM40">
        <f>SUMIFS(DataRegularSeason20242025!$AA$3:$AA$1315,DataRegularSeason20242025!$B$3:$B$1315, "&lt;=" &amp; AM$1, DataRegularSeason20242025!$D$3:$D$1315, $A40)+SUMIFS(DataRegularSeason20242025!$AB$3:$AB$1315,DataRegularSeason20242025!$B$3:$B$1315, "&lt;=" &amp; AM$1, DataRegularSeason20242025!$E$3:$E$1315, $A40)</f>
        <v>7</v>
      </c>
      <c r="AN40">
        <f>SUMIFS(DataRegularSeason20242025!$AA$3:$AA$1315,DataRegularSeason20242025!$B$3:$B$1315, "&lt;=" &amp; AN$1, DataRegularSeason20242025!$D$3:$D$1315, $A40)+SUMIFS(DataRegularSeason20242025!$AB$3:$AB$1315,DataRegularSeason20242025!$B$3:$B$1315, "&lt;=" &amp; AN$1, DataRegularSeason20242025!$E$3:$E$1315, $A40)</f>
        <v>7</v>
      </c>
      <c r="AO40">
        <f>SUMIFS(DataRegularSeason20242025!$AA$3:$AA$1315,DataRegularSeason20242025!$B$3:$B$1315, "&lt;=" &amp; AO$1, DataRegularSeason20242025!$D$3:$D$1315, $A40)+SUMIFS(DataRegularSeason20242025!$AB$3:$AB$1315,DataRegularSeason20242025!$B$3:$B$1315, "&lt;=" &amp; AO$1, DataRegularSeason20242025!$E$3:$E$1315, $A40)</f>
        <v>7</v>
      </c>
      <c r="AP40">
        <f>SUMIFS(DataRegularSeason20242025!$AA$3:$AA$1315,DataRegularSeason20242025!$B$3:$B$1315, "&lt;=" &amp; AP$1, DataRegularSeason20242025!$D$3:$D$1315, $A40)+SUMIFS(DataRegularSeason20242025!$AB$3:$AB$1315,DataRegularSeason20242025!$B$3:$B$1315, "&lt;=" &amp; AP$1, DataRegularSeason20242025!$E$3:$E$1315, $A40)</f>
        <v>7</v>
      </c>
      <c r="AQ40">
        <f>SUMIFS(DataRegularSeason20242025!$AA$3:$AA$1315,DataRegularSeason20242025!$B$3:$B$1315, "&lt;=" &amp; AQ$1, DataRegularSeason20242025!$D$3:$D$1315, $A40)+SUMIFS(DataRegularSeason20242025!$AB$3:$AB$1315,DataRegularSeason20242025!$B$3:$B$1315, "&lt;=" &amp; AQ$1, DataRegularSeason20242025!$E$3:$E$1315, $A40)</f>
        <v>7</v>
      </c>
      <c r="AR40">
        <f>SUMIFS(DataRegularSeason20242025!$AA$3:$AA$1315,DataRegularSeason20242025!$B$3:$B$1315, "&lt;=" &amp; AR$1, DataRegularSeason20242025!$D$3:$D$1315, $A40)+SUMIFS(DataRegularSeason20242025!$AB$3:$AB$1315,DataRegularSeason20242025!$B$3:$B$1315, "&lt;=" &amp; AR$1, DataRegularSeason20242025!$E$3:$E$1315, $A40)</f>
        <v>7</v>
      </c>
      <c r="AS40">
        <f>SUMIFS(DataRegularSeason20242025!$AA$3:$AA$1315,DataRegularSeason20242025!$B$3:$B$1315, "&lt;=" &amp; AS$1, DataRegularSeason20242025!$D$3:$D$1315, $A40)+SUMIFS(DataRegularSeason20242025!$AB$3:$AB$1315,DataRegularSeason20242025!$B$3:$B$1315, "&lt;=" &amp; AS$1, DataRegularSeason20242025!$E$3:$E$1315, $A40)</f>
        <v>7</v>
      </c>
      <c r="AT40">
        <f>SUMIFS(DataRegularSeason20242025!$AA$3:$AA$1315,DataRegularSeason20242025!$B$3:$B$1315, "&lt;=" &amp; AT$1, DataRegularSeason20242025!$D$3:$D$1315, $A40)+SUMIFS(DataRegularSeason20242025!$AB$3:$AB$1315,DataRegularSeason20242025!$B$3:$B$1315, "&lt;=" &amp; AT$1, DataRegularSeason20242025!$E$3:$E$1315, $A40)</f>
        <v>7</v>
      </c>
      <c r="AU40">
        <f>SUMIFS(DataRegularSeason20242025!$AA$3:$AA$1315,DataRegularSeason20242025!$B$3:$B$1315, "&lt;=" &amp; AU$1, DataRegularSeason20242025!$D$3:$D$1315, $A40)+SUMIFS(DataRegularSeason20242025!$AB$3:$AB$1315,DataRegularSeason20242025!$B$3:$B$1315, "&lt;=" &amp; AU$1, DataRegularSeason20242025!$E$3:$E$1315, $A40)</f>
        <v>7</v>
      </c>
      <c r="AV40">
        <f>SUMIFS(DataRegularSeason20242025!$AA$3:$AA$1315,DataRegularSeason20242025!$B$3:$B$1315, "&lt;=" &amp; AV$1, DataRegularSeason20242025!$D$3:$D$1315, $A40)+SUMIFS(DataRegularSeason20242025!$AB$3:$AB$1315,DataRegularSeason20242025!$B$3:$B$1315, "&lt;=" &amp; AV$1, DataRegularSeason20242025!$E$3:$E$1315, $A40)</f>
        <v>7</v>
      </c>
      <c r="AW40">
        <f>SUMIFS(DataRegularSeason20242025!$AA$3:$AA$1315,DataRegularSeason20242025!$B$3:$B$1315, "&lt;=" &amp; AW$1, DataRegularSeason20242025!$D$3:$D$1315, $A40)+SUMIFS(DataRegularSeason20242025!$AB$3:$AB$1315,DataRegularSeason20242025!$B$3:$B$1315, "&lt;=" &amp; AW$1, DataRegularSeason20242025!$E$3:$E$1315, $A40)</f>
        <v>7</v>
      </c>
      <c r="AX40">
        <f>SUMIFS(DataRegularSeason20242025!$AA$3:$AA$1315,DataRegularSeason20242025!$B$3:$B$1315, "&lt;=" &amp; AX$1, DataRegularSeason20242025!$D$3:$D$1315, $A40)+SUMIFS(DataRegularSeason20242025!$AB$3:$AB$1315,DataRegularSeason20242025!$B$3:$B$1315, "&lt;=" &amp; AX$1, DataRegularSeason20242025!$E$3:$E$1315, $A40)</f>
        <v>7</v>
      </c>
      <c r="AY40">
        <f>SUMIFS(DataRegularSeason20242025!$AA$3:$AA$1315,DataRegularSeason20242025!$B$3:$B$1315, "&lt;=" &amp; AY$1, DataRegularSeason20242025!$D$3:$D$1315, $A40)+SUMIFS(DataRegularSeason20242025!$AB$3:$AB$1315,DataRegularSeason20242025!$B$3:$B$1315, "&lt;=" &amp; AY$1, DataRegularSeason20242025!$E$3:$E$1315, $A40)</f>
        <v>7</v>
      </c>
      <c r="AZ40">
        <f>SUMIFS(DataRegularSeason20242025!$AA$3:$AA$1315,DataRegularSeason20242025!$B$3:$B$1315, "&lt;=" &amp; AZ$1, DataRegularSeason20242025!$D$3:$D$1315, $A40)+SUMIFS(DataRegularSeason20242025!$AB$3:$AB$1315,DataRegularSeason20242025!$B$3:$B$1315, "&lt;=" &amp; AZ$1, DataRegularSeason20242025!$E$3:$E$1315, $A40)</f>
        <v>7</v>
      </c>
      <c r="BA40">
        <f>SUMIFS(DataRegularSeason20242025!$AA$3:$AA$1315,DataRegularSeason20242025!$B$3:$B$1315, "&lt;=" &amp; BA$1, DataRegularSeason20242025!$D$3:$D$1315, $A40)+SUMIFS(DataRegularSeason20242025!$AB$3:$AB$1315,DataRegularSeason20242025!$B$3:$B$1315, "&lt;=" &amp; BA$1, DataRegularSeason20242025!$E$3:$E$1315, $A40)</f>
        <v>7</v>
      </c>
      <c r="BB40">
        <f>SUMIFS(DataRegularSeason20242025!$AA$3:$AA$1315,DataRegularSeason20242025!$B$3:$B$1315, "&lt;=" &amp; BB$1, DataRegularSeason20242025!$D$3:$D$1315, $A40)+SUMIFS(DataRegularSeason20242025!$AB$3:$AB$1315,DataRegularSeason20242025!$B$3:$B$1315, "&lt;=" &amp; BB$1, DataRegularSeason20242025!$E$3:$E$1315, $A40)</f>
        <v>7</v>
      </c>
      <c r="BC40">
        <f>SUMIFS(DataRegularSeason20242025!$AA$3:$AA$1315,DataRegularSeason20242025!$B$3:$B$1315, "&lt;=" &amp; BC$1, DataRegularSeason20242025!$D$3:$D$1315, $A40)+SUMIFS(DataRegularSeason20242025!$AB$3:$AB$1315,DataRegularSeason20242025!$B$3:$B$1315, "&lt;=" &amp; BC$1, DataRegularSeason20242025!$E$3:$E$1315, $A40)</f>
        <v>7</v>
      </c>
      <c r="BD40">
        <f>SUMIFS(DataRegularSeason20242025!$AA$3:$AA$1315,DataRegularSeason20242025!$B$3:$B$1315, "&lt;=" &amp; BD$1, DataRegularSeason20242025!$D$3:$D$1315, $A40)+SUMIFS(DataRegularSeason20242025!$AB$3:$AB$1315,DataRegularSeason20242025!$B$3:$B$1315, "&lt;=" &amp; BD$1, DataRegularSeason20242025!$E$3:$E$1315, $A40)</f>
        <v>7</v>
      </c>
      <c r="BE40">
        <f>SUMIFS(DataRegularSeason20242025!$AA$3:$AA$1315,DataRegularSeason20242025!$B$3:$B$1315, "&lt;=" &amp; BE$1, DataRegularSeason20242025!$D$3:$D$1315, $A40)+SUMIFS(DataRegularSeason20242025!$AB$3:$AB$1315,DataRegularSeason20242025!$B$3:$B$1315, "&lt;=" &amp; BE$1, DataRegularSeason20242025!$E$3:$E$1315, $A40)</f>
        <v>7</v>
      </c>
      <c r="BF40">
        <f>SUMIFS(DataRegularSeason20242025!$AA$3:$AA$1315,DataRegularSeason20242025!$B$3:$B$1315, "&lt;=" &amp; BF$1, DataRegularSeason20242025!$D$3:$D$1315, $A40)+SUMIFS(DataRegularSeason20242025!$AB$3:$AB$1315,DataRegularSeason20242025!$B$3:$B$1315, "&lt;=" &amp; BF$1, DataRegularSeason20242025!$E$3:$E$1315, $A40)</f>
        <v>7</v>
      </c>
      <c r="BG40">
        <f>SUMIFS(DataRegularSeason20242025!$AA$3:$AA$1315,DataRegularSeason20242025!$B$3:$B$1315, "&lt;=" &amp; BG$1, DataRegularSeason20242025!$D$3:$D$1315, $A40)+SUMIFS(DataRegularSeason20242025!$AB$3:$AB$1315,DataRegularSeason20242025!$B$3:$B$1315, "&lt;=" &amp; BG$1, DataRegularSeason20242025!$E$3:$E$1315, $A40)</f>
        <v>7</v>
      </c>
      <c r="BH40">
        <f>SUMIFS(DataRegularSeason20242025!$AA$3:$AA$1315,DataRegularSeason20242025!$B$3:$B$1315, "&lt;=" &amp; BH$1, DataRegularSeason20242025!$D$3:$D$1315, $A40)+SUMIFS(DataRegularSeason20242025!$AB$3:$AB$1315,DataRegularSeason20242025!$B$3:$B$1315, "&lt;=" &amp; BH$1, DataRegularSeason20242025!$E$3:$E$1315, $A40)</f>
        <v>7</v>
      </c>
      <c r="BI40">
        <f>SUMIFS(DataRegularSeason20242025!$AA$3:$AA$1315,DataRegularSeason20242025!$B$3:$B$1315, "&lt;=" &amp; BI$1, DataRegularSeason20242025!$D$3:$D$1315, $A40)+SUMIFS(DataRegularSeason20242025!$AB$3:$AB$1315,DataRegularSeason20242025!$B$3:$B$1315, "&lt;=" &amp; BI$1, DataRegularSeason20242025!$E$3:$E$1315, $A40)</f>
        <v>7</v>
      </c>
      <c r="BJ40">
        <f>SUMIFS(DataRegularSeason20242025!$AA$3:$AA$1315,DataRegularSeason20242025!$B$3:$B$1315, "&lt;=" &amp; BJ$1, DataRegularSeason20242025!$D$3:$D$1315, $A40)+SUMIFS(DataRegularSeason20242025!$AB$3:$AB$1315,DataRegularSeason20242025!$B$3:$B$1315, "&lt;=" &amp; BJ$1, DataRegularSeason20242025!$E$3:$E$1315, $A40)</f>
        <v>7</v>
      </c>
      <c r="BK40">
        <f>SUMIFS(DataRegularSeason20242025!$AA$3:$AA$1315,DataRegularSeason20242025!$B$3:$B$1315, "&lt;=" &amp; BK$1, DataRegularSeason20242025!$D$3:$D$1315, $A40)+SUMIFS(DataRegularSeason20242025!$AB$3:$AB$1315,DataRegularSeason20242025!$B$3:$B$1315, "&lt;=" &amp; BK$1, DataRegularSeason20242025!$E$3:$E$1315, $A40)</f>
        <v>7</v>
      </c>
      <c r="BL40">
        <f>SUMIFS(DataRegularSeason20242025!$AA$3:$AA$1315,DataRegularSeason20242025!$B$3:$B$1315, "&lt;=" &amp; BL$1, DataRegularSeason20242025!$D$3:$D$1315, $A40)+SUMIFS(DataRegularSeason20242025!$AB$3:$AB$1315,DataRegularSeason20242025!$B$3:$B$1315, "&lt;=" &amp; BL$1, DataRegularSeason20242025!$E$3:$E$1315, $A40)</f>
        <v>7</v>
      </c>
      <c r="BM40">
        <f>SUMIFS(DataRegularSeason20242025!$AA$3:$AA$1315,DataRegularSeason20242025!$B$3:$B$1315, "&lt;=" &amp; BM$1, DataRegularSeason20242025!$D$3:$D$1315, $A40)+SUMIFS(DataRegularSeason20242025!$AB$3:$AB$1315,DataRegularSeason20242025!$B$3:$B$1315, "&lt;=" &amp; BM$1, DataRegularSeason20242025!$E$3:$E$1315, $A40)</f>
        <v>7</v>
      </c>
      <c r="BN40">
        <f>SUMIFS(DataRegularSeason20242025!$AA$3:$AA$1315,DataRegularSeason20242025!$B$3:$B$1315, "&lt;=" &amp; BN$1, DataRegularSeason20242025!$D$3:$D$1315, $A40)+SUMIFS(DataRegularSeason20242025!$AB$3:$AB$1315,DataRegularSeason20242025!$B$3:$B$1315, "&lt;=" &amp; BN$1, DataRegularSeason20242025!$E$3:$E$1315, $A40)</f>
        <v>7</v>
      </c>
      <c r="BO40">
        <f>SUMIFS(DataRegularSeason20242025!$AA$3:$AA$1315,DataRegularSeason20242025!$B$3:$B$1315, "&lt;=" &amp; BO$1, DataRegularSeason20242025!$D$3:$D$1315, $A40)+SUMIFS(DataRegularSeason20242025!$AB$3:$AB$1315,DataRegularSeason20242025!$B$3:$B$1315, "&lt;=" &amp; BO$1, DataRegularSeason20242025!$E$3:$E$1315, $A40)</f>
        <v>7</v>
      </c>
      <c r="BP40">
        <f>SUMIFS(DataRegularSeason20242025!$AA$3:$AA$1315,DataRegularSeason20242025!$B$3:$B$1315, "&lt;=" &amp; BP$1, DataRegularSeason20242025!$D$3:$D$1315, $A40)+SUMIFS(DataRegularSeason20242025!$AB$3:$AB$1315,DataRegularSeason20242025!$B$3:$B$1315, "&lt;=" &amp; BP$1, DataRegularSeason20242025!$E$3:$E$1315, $A40)</f>
        <v>7</v>
      </c>
      <c r="BQ40">
        <f>SUMIFS(DataRegularSeason20242025!$AA$3:$AA$1315,DataRegularSeason20242025!$B$3:$B$1315, "&lt;=" &amp; BQ$1, DataRegularSeason20242025!$D$3:$D$1315, $A40)+SUMIFS(DataRegularSeason20242025!$AB$3:$AB$1315,DataRegularSeason20242025!$B$3:$B$1315, "&lt;=" &amp; BQ$1, DataRegularSeason20242025!$E$3:$E$1315, $A40)</f>
        <v>7</v>
      </c>
      <c r="BR40">
        <f>SUMIFS(DataRegularSeason20242025!$AA$3:$AA$1315,DataRegularSeason20242025!$B$3:$B$1315, "&lt;=" &amp; BR$1, DataRegularSeason20242025!$D$3:$D$1315, $A40)+SUMIFS(DataRegularSeason20242025!$AB$3:$AB$1315,DataRegularSeason20242025!$B$3:$B$1315, "&lt;=" &amp; BR$1, DataRegularSeason20242025!$E$3:$E$1315, $A40)</f>
        <v>7</v>
      </c>
      <c r="BS40">
        <f>SUMIFS(DataRegularSeason20242025!$AA$3:$AA$1315,DataRegularSeason20242025!$B$3:$B$1315, "&lt;=" &amp; BS$1, DataRegularSeason20242025!$D$3:$D$1315, $A40)+SUMIFS(DataRegularSeason20242025!$AB$3:$AB$1315,DataRegularSeason20242025!$B$3:$B$1315, "&lt;=" &amp; BS$1, DataRegularSeason20242025!$E$3:$E$1315, $A40)</f>
        <v>7</v>
      </c>
      <c r="BT40">
        <f>SUMIFS(DataRegularSeason20242025!$AA$3:$AA$1315,DataRegularSeason20242025!$B$3:$B$1315, "&lt;=" &amp; BT$1, DataRegularSeason20242025!$D$3:$D$1315, $A40)+SUMIFS(DataRegularSeason20242025!$AB$3:$AB$1315,DataRegularSeason20242025!$B$3:$B$1315, "&lt;=" &amp; BT$1, DataRegularSeason20242025!$E$3:$E$1315, $A40)</f>
        <v>7</v>
      </c>
      <c r="BU40">
        <f>SUMIFS(DataRegularSeason20242025!$AA$3:$AA$1315,DataRegularSeason20242025!$B$3:$B$1315, "&lt;=" &amp; BU$1, DataRegularSeason20242025!$D$3:$D$1315, $A40)+SUMIFS(DataRegularSeason20242025!$AB$3:$AB$1315,DataRegularSeason20242025!$B$3:$B$1315, "&lt;=" &amp; BU$1, DataRegularSeason20242025!$E$3:$E$1315, $A40)</f>
        <v>7</v>
      </c>
      <c r="BV40">
        <f>SUMIFS(DataRegularSeason20242025!$AA$3:$AA$1315,DataRegularSeason20242025!$B$3:$B$1315, "&lt;=" &amp; BV$1, DataRegularSeason20242025!$D$3:$D$1315, $A40)+SUMIFS(DataRegularSeason20242025!$AB$3:$AB$1315,DataRegularSeason20242025!$B$3:$B$1315, "&lt;=" &amp; BV$1, DataRegularSeason20242025!$E$3:$E$1315, $A40)</f>
        <v>7</v>
      </c>
      <c r="BW40">
        <f>SUMIFS(DataRegularSeason20242025!$AA$3:$AA$1315,DataRegularSeason20242025!$B$3:$B$1315, "&lt;=" &amp; BW$1, DataRegularSeason20242025!$D$3:$D$1315, $A40)+SUMIFS(DataRegularSeason20242025!$AB$3:$AB$1315,DataRegularSeason20242025!$B$3:$B$1315, "&lt;=" &amp; BW$1, DataRegularSeason20242025!$E$3:$E$1315, $A40)</f>
        <v>7</v>
      </c>
      <c r="BX40">
        <f>SUMIFS(DataRegularSeason20242025!$AA$3:$AA$1315,DataRegularSeason20242025!$B$3:$B$1315, "&lt;=" &amp; BX$1, DataRegularSeason20242025!$D$3:$D$1315, $A40)+SUMIFS(DataRegularSeason20242025!$AB$3:$AB$1315,DataRegularSeason20242025!$B$3:$B$1315, "&lt;=" &amp; BX$1, DataRegularSeason20242025!$E$3:$E$1315, $A40)</f>
        <v>7</v>
      </c>
      <c r="BY40">
        <f>SUMIFS(DataRegularSeason20242025!$AA$3:$AA$1315,DataRegularSeason20242025!$B$3:$B$1315, "&lt;=" &amp; BY$1, DataRegularSeason20242025!$D$3:$D$1315, $A40)+SUMIFS(DataRegularSeason20242025!$AB$3:$AB$1315,DataRegularSeason20242025!$B$3:$B$1315, "&lt;=" &amp; BY$1, DataRegularSeason20242025!$E$3:$E$1315, $A40)</f>
        <v>7</v>
      </c>
      <c r="BZ40">
        <f>SUMIFS(DataRegularSeason20242025!$AA$3:$AA$1315,DataRegularSeason20242025!$B$3:$B$1315, "&lt;=" &amp; BZ$1, DataRegularSeason20242025!$D$3:$D$1315, $A40)+SUMIFS(DataRegularSeason20242025!$AB$3:$AB$1315,DataRegularSeason20242025!$B$3:$B$1315, "&lt;=" &amp; BZ$1, DataRegularSeason20242025!$E$3:$E$1315, $A40)</f>
        <v>7</v>
      </c>
      <c r="CA40">
        <f>SUMIFS(DataRegularSeason20242025!$AA$3:$AA$1315,DataRegularSeason20242025!$B$3:$B$1315, "&lt;=" &amp; CA$1, DataRegularSeason20242025!$D$3:$D$1315, $A40)+SUMIFS(DataRegularSeason20242025!$AB$3:$AB$1315,DataRegularSeason20242025!$B$3:$B$1315, "&lt;=" &amp; CA$1, DataRegularSeason20242025!$E$3:$E$1315, $A40)</f>
        <v>7</v>
      </c>
      <c r="CB40">
        <f>SUMIFS(DataRegularSeason20242025!$AA$3:$AA$1315,DataRegularSeason20242025!$B$3:$B$1315, "&lt;=" &amp; CB$1, DataRegularSeason20242025!$D$3:$D$1315, $A40)+SUMIFS(DataRegularSeason20242025!$AB$3:$AB$1315,DataRegularSeason20242025!$B$3:$B$1315, "&lt;=" &amp; CB$1, DataRegularSeason20242025!$E$3:$E$1315, $A40)</f>
        <v>7</v>
      </c>
      <c r="CC40">
        <f>SUMIFS(DataRegularSeason20242025!$AA$3:$AA$1315,DataRegularSeason20242025!$B$3:$B$1315, "&lt;=" &amp; CC$1, DataRegularSeason20242025!$D$3:$D$1315, $A40)+SUMIFS(DataRegularSeason20242025!$AB$3:$AB$1315,DataRegularSeason20242025!$B$3:$B$1315, "&lt;=" &amp; CC$1, DataRegularSeason20242025!$E$3:$E$1315, $A40)</f>
        <v>7</v>
      </c>
      <c r="CD40">
        <f>SUMIFS(DataRegularSeason20242025!$AA$3:$AA$1315,DataRegularSeason20242025!$B$3:$B$1315, "&lt;=" &amp; CD$1, DataRegularSeason20242025!$D$3:$D$1315, $A40)+SUMIFS(DataRegularSeason20242025!$AB$3:$AB$1315,DataRegularSeason20242025!$B$3:$B$1315, "&lt;=" &amp; CD$1, DataRegularSeason20242025!$E$3:$E$1315, $A40)</f>
        <v>7</v>
      </c>
      <c r="CE40">
        <f>SUMIFS(DataRegularSeason20242025!$AA$3:$AA$1315,DataRegularSeason20242025!$B$3:$B$1315, "&lt;=" &amp; CE$1, DataRegularSeason20242025!$D$3:$D$1315, $A40)+SUMIFS(DataRegularSeason20242025!$AB$3:$AB$1315,DataRegularSeason20242025!$B$3:$B$1315, "&lt;=" &amp; CE$1, DataRegularSeason20242025!$E$3:$E$1315, $A40)</f>
        <v>7</v>
      </c>
      <c r="CF40">
        <f>SUMIFS(DataRegularSeason20242025!$AA$3:$AA$1315,DataRegularSeason20242025!$B$3:$B$1315, "&lt;=" &amp; CF$1, DataRegularSeason20242025!$D$3:$D$1315, $A40)+SUMIFS(DataRegularSeason20242025!$AB$3:$AB$1315,DataRegularSeason20242025!$B$3:$B$1315, "&lt;=" &amp; CF$1, DataRegularSeason20242025!$E$3:$E$1315, $A40)</f>
        <v>7</v>
      </c>
      <c r="CG40">
        <f>SUMIFS(DataRegularSeason20242025!$AA$3:$AA$1315,DataRegularSeason20242025!$B$3:$B$1315, "&lt;=" &amp; CG$1, DataRegularSeason20242025!$D$3:$D$1315, $A40)+SUMIFS(DataRegularSeason20242025!$AB$3:$AB$1315,DataRegularSeason20242025!$B$3:$B$1315, "&lt;=" &amp; CG$1, DataRegularSeason20242025!$E$3:$E$1315, $A40)</f>
        <v>7</v>
      </c>
      <c r="CH40">
        <f>SUMIFS(DataRegularSeason20242025!$AA$3:$AA$1315,DataRegularSeason20242025!$B$3:$B$1315, "&lt;=" &amp; CH$1, DataRegularSeason20242025!$D$3:$D$1315, $A40)+SUMIFS(DataRegularSeason20242025!$AB$3:$AB$1315,DataRegularSeason20242025!$B$3:$B$1315, "&lt;=" &amp; CH$1, DataRegularSeason20242025!$E$3:$E$1315, $A40)</f>
        <v>7</v>
      </c>
      <c r="CI40">
        <f>SUMIFS(DataRegularSeason20242025!$AA$3:$AA$1315,DataRegularSeason20242025!$B$3:$B$1315, "&lt;=" &amp; CI$1, DataRegularSeason20242025!$D$3:$D$1315, $A40)+SUMIFS(DataRegularSeason20242025!$AB$3:$AB$1315,DataRegularSeason20242025!$B$3:$B$1315, "&lt;=" &amp; CI$1, DataRegularSeason20242025!$E$3:$E$1315, $A40)</f>
        <v>7</v>
      </c>
      <c r="CJ40">
        <f>SUMIFS(DataRegularSeason20242025!$AA$3:$AA$1315,DataRegularSeason20242025!$B$3:$B$1315, "&lt;=" &amp; CJ$1, DataRegularSeason20242025!$D$3:$D$1315, $A40)+SUMIFS(DataRegularSeason20242025!$AB$3:$AB$1315,DataRegularSeason20242025!$B$3:$B$1315, "&lt;=" &amp; CJ$1, DataRegularSeason20242025!$E$3:$E$1315, $A40)</f>
        <v>7</v>
      </c>
      <c r="CK40">
        <f>SUMIFS(DataRegularSeason20242025!$AA$3:$AA$1315,DataRegularSeason20242025!$B$3:$B$1315, "&lt;=" &amp; CK$1, DataRegularSeason20242025!$D$3:$D$1315, $A40)+SUMIFS(DataRegularSeason20242025!$AB$3:$AB$1315,DataRegularSeason20242025!$B$3:$B$1315, "&lt;=" &amp; CK$1, DataRegularSeason20242025!$E$3:$E$1315, $A40)</f>
        <v>7</v>
      </c>
      <c r="CL40">
        <f>SUMIFS(DataRegularSeason20242025!$AA$3:$AA$1315,DataRegularSeason20242025!$B$3:$B$1315, "&lt;=" &amp; CL$1, DataRegularSeason20242025!$D$3:$D$1315, $A40)+SUMIFS(DataRegularSeason20242025!$AB$3:$AB$1315,DataRegularSeason20242025!$B$3:$B$1315, "&lt;=" &amp; CL$1, DataRegularSeason20242025!$E$3:$E$1315, $A40)</f>
        <v>7</v>
      </c>
      <c r="CM40">
        <f>SUMIFS(DataRegularSeason20242025!$AA$3:$AA$1315,DataRegularSeason20242025!$B$3:$B$1315, "&lt;=" &amp; CM$1, DataRegularSeason20242025!$D$3:$D$1315, $A40)+SUMIFS(DataRegularSeason20242025!$AB$3:$AB$1315,DataRegularSeason20242025!$B$3:$B$1315, "&lt;=" &amp; CM$1, DataRegularSeason20242025!$E$3:$E$1315, $A40)</f>
        <v>7</v>
      </c>
      <c r="CN40">
        <f>SUMIFS(DataRegularSeason20242025!$AA$3:$AA$1315,DataRegularSeason20242025!$B$3:$B$1315, "&lt;=" &amp; CN$1, DataRegularSeason20242025!$D$3:$D$1315, $A40)+SUMIFS(DataRegularSeason20242025!$AB$3:$AB$1315,DataRegularSeason20242025!$B$3:$B$1315, "&lt;=" &amp; CN$1, DataRegularSeason20242025!$E$3:$E$1315, $A40)</f>
        <v>7</v>
      </c>
      <c r="CO40">
        <f>SUMIFS(DataRegularSeason20242025!$AA$3:$AA$1315,DataRegularSeason20242025!$B$3:$B$1315, "&lt;=" &amp; CO$1, DataRegularSeason20242025!$D$3:$D$1315, $A40)+SUMIFS(DataRegularSeason20242025!$AB$3:$AB$1315,DataRegularSeason20242025!$B$3:$B$1315, "&lt;=" &amp; CO$1, DataRegularSeason20242025!$E$3:$E$1315, $A40)</f>
        <v>7</v>
      </c>
      <c r="CP40">
        <f>SUMIFS(DataRegularSeason20242025!$AA$3:$AA$1315,DataRegularSeason20242025!$B$3:$B$1315, "&lt;=" &amp; CP$1, DataRegularSeason20242025!$D$3:$D$1315, $A40)+SUMIFS(DataRegularSeason20242025!$AB$3:$AB$1315,DataRegularSeason20242025!$B$3:$B$1315, "&lt;=" &amp; CP$1, DataRegularSeason20242025!$E$3:$E$1315, $A40)</f>
        <v>7</v>
      </c>
      <c r="CQ40">
        <f>SUMIFS(DataRegularSeason20242025!$AA$3:$AA$1315,DataRegularSeason20242025!$B$3:$B$1315, "&lt;=" &amp; CQ$1, DataRegularSeason20242025!$D$3:$D$1315, $A40)+SUMIFS(DataRegularSeason20242025!$AB$3:$AB$1315,DataRegularSeason20242025!$B$3:$B$1315, "&lt;=" &amp; CQ$1, DataRegularSeason20242025!$E$3:$E$1315, $A40)</f>
        <v>7</v>
      </c>
      <c r="CR40">
        <f>SUMIFS(DataRegularSeason20242025!$AA$3:$AA$1315,DataRegularSeason20242025!$B$3:$B$1315, "&lt;=" &amp; CR$1, DataRegularSeason20242025!$D$3:$D$1315, $A40)+SUMIFS(DataRegularSeason20242025!$AB$3:$AB$1315,DataRegularSeason20242025!$B$3:$B$1315, "&lt;=" &amp; CR$1, DataRegularSeason20242025!$E$3:$E$1315, $A40)</f>
        <v>7</v>
      </c>
      <c r="CS40">
        <f>SUMIFS(DataRegularSeason20242025!$AA$3:$AA$1315,DataRegularSeason20242025!$B$3:$B$1315, "&lt;=" &amp; CS$1, DataRegularSeason20242025!$D$3:$D$1315, $A40)+SUMIFS(DataRegularSeason20242025!$AB$3:$AB$1315,DataRegularSeason20242025!$B$3:$B$1315, "&lt;=" &amp; CS$1, DataRegularSeason20242025!$E$3:$E$1315, $A40)</f>
        <v>7</v>
      </c>
      <c r="CT40">
        <f>SUMIFS(DataRegularSeason20242025!$AA$3:$AA$1315,DataRegularSeason20242025!$B$3:$B$1315, "&lt;=" &amp; CT$1, DataRegularSeason20242025!$D$3:$D$1315, $A40)+SUMIFS(DataRegularSeason20242025!$AB$3:$AB$1315,DataRegularSeason20242025!$B$3:$B$1315, "&lt;=" &amp; CT$1, DataRegularSeason20242025!$E$3:$E$1315, $A40)</f>
        <v>7</v>
      </c>
      <c r="CU40">
        <f>SUMIFS(DataRegularSeason20242025!$AA$3:$AA$1315,DataRegularSeason20242025!$B$3:$B$1315, "&lt;=" &amp; CU$1, DataRegularSeason20242025!$D$3:$D$1315, $A40)+SUMIFS(DataRegularSeason20242025!$AB$3:$AB$1315,DataRegularSeason20242025!$B$3:$B$1315, "&lt;=" &amp; CU$1, DataRegularSeason20242025!$E$3:$E$1315, $A40)</f>
        <v>7</v>
      </c>
      <c r="CV40">
        <f>SUMIFS(DataRegularSeason20242025!$AA$3:$AA$1315,DataRegularSeason20242025!$B$3:$B$1315, "&lt;=" &amp; CV$1, DataRegularSeason20242025!$D$3:$D$1315, $A40)+SUMIFS(DataRegularSeason20242025!$AB$3:$AB$1315,DataRegularSeason20242025!$B$3:$B$1315, "&lt;=" &amp; CV$1, DataRegularSeason20242025!$E$3:$E$1315, $A40)</f>
        <v>7</v>
      </c>
      <c r="CW40">
        <f>SUMIFS(DataRegularSeason20242025!$AA$3:$AA$1315,DataRegularSeason20242025!$B$3:$B$1315, "&lt;=" &amp; CW$1, DataRegularSeason20242025!$D$3:$D$1315, $A40)+SUMIFS(DataRegularSeason20242025!$AB$3:$AB$1315,DataRegularSeason20242025!$B$3:$B$1315, "&lt;=" &amp; CW$1, DataRegularSeason20242025!$E$3:$E$1315, $A40)</f>
        <v>7</v>
      </c>
      <c r="CX40">
        <f>SUMIFS(DataRegularSeason20242025!$AA$3:$AA$1315,DataRegularSeason20242025!$B$3:$B$1315, "&lt;=" &amp; CX$1, DataRegularSeason20242025!$D$3:$D$1315, $A40)+SUMIFS(DataRegularSeason20242025!$AB$3:$AB$1315,DataRegularSeason20242025!$B$3:$B$1315, "&lt;=" &amp; CX$1, DataRegularSeason20242025!$E$3:$E$1315, $A40)</f>
        <v>7</v>
      </c>
      <c r="CY40">
        <f>SUMIFS(DataRegularSeason20242025!$AA$3:$AA$1315,DataRegularSeason20242025!$B$3:$B$1315, "&lt;=" &amp; CY$1, DataRegularSeason20242025!$D$3:$D$1315, $A40)+SUMIFS(DataRegularSeason20242025!$AB$3:$AB$1315,DataRegularSeason20242025!$B$3:$B$1315, "&lt;=" &amp; CY$1, DataRegularSeason20242025!$E$3:$E$1315, $A40)</f>
        <v>7</v>
      </c>
      <c r="CZ40">
        <f>SUMIFS(DataRegularSeason20242025!$AA$3:$AA$1315,DataRegularSeason20242025!$B$3:$B$1315, "&lt;=" &amp; CZ$1, DataRegularSeason20242025!$D$3:$D$1315, $A40)+SUMIFS(DataRegularSeason20242025!$AB$3:$AB$1315,DataRegularSeason20242025!$B$3:$B$1315, "&lt;=" &amp; CZ$1, DataRegularSeason20242025!$E$3:$E$1315, $A40)</f>
        <v>7</v>
      </c>
      <c r="DA40">
        <f>SUMIFS(DataRegularSeason20242025!$AA$3:$AA$1315,DataRegularSeason20242025!$B$3:$B$1315, "&lt;=" &amp; DA$1, DataRegularSeason20242025!$D$3:$D$1315, $A40)+SUMIFS(DataRegularSeason20242025!$AB$3:$AB$1315,DataRegularSeason20242025!$B$3:$B$1315, "&lt;=" &amp; DA$1, DataRegularSeason20242025!$E$3:$E$1315, $A40)</f>
        <v>7</v>
      </c>
      <c r="DB40">
        <f>SUMIFS(DataRegularSeason20242025!$AA$3:$AA$1315,DataRegularSeason20242025!$B$3:$B$1315, "&lt;=" &amp; DB$1, DataRegularSeason20242025!$D$3:$D$1315, $A40)+SUMIFS(DataRegularSeason20242025!$AB$3:$AB$1315,DataRegularSeason20242025!$B$3:$B$1315, "&lt;=" &amp; DB$1, DataRegularSeason20242025!$E$3:$E$1315, $A40)</f>
        <v>7</v>
      </c>
      <c r="DC40">
        <f>SUMIFS(DataRegularSeason20242025!$AA$3:$AA$1315,DataRegularSeason20242025!$B$3:$B$1315, "&lt;=" &amp; DC$1, DataRegularSeason20242025!$D$3:$D$1315, $A40)+SUMIFS(DataRegularSeason20242025!$AB$3:$AB$1315,DataRegularSeason20242025!$B$3:$B$1315, "&lt;=" &amp; DC$1, DataRegularSeason20242025!$E$3:$E$1315, $A40)</f>
        <v>7</v>
      </c>
      <c r="DD40">
        <f>SUMIFS(DataRegularSeason20242025!$AA$3:$AA$1315,DataRegularSeason20242025!$B$3:$B$1315, "&lt;=" &amp; DD$1, DataRegularSeason20242025!$D$3:$D$1315, $A40)+SUMIFS(DataRegularSeason20242025!$AB$3:$AB$1315,DataRegularSeason20242025!$B$3:$B$1315, "&lt;=" &amp; DD$1, DataRegularSeason20242025!$E$3:$E$1315, $A40)</f>
        <v>7</v>
      </c>
      <c r="DE40">
        <f>SUMIFS(DataRegularSeason20242025!$AA$3:$AA$1315,DataRegularSeason20242025!$B$3:$B$1315, "&lt;=" &amp; DE$1, DataRegularSeason20242025!$D$3:$D$1315, $A40)+SUMIFS(DataRegularSeason20242025!$AB$3:$AB$1315,DataRegularSeason20242025!$B$3:$B$1315, "&lt;=" &amp; DE$1, DataRegularSeason20242025!$E$3:$E$1315, $A40)</f>
        <v>7</v>
      </c>
      <c r="DF40">
        <f>SUMIFS(DataRegularSeason20242025!$AA$3:$AA$1315,DataRegularSeason20242025!$B$3:$B$1315, "&lt;=" &amp; DF$1, DataRegularSeason20242025!$D$3:$D$1315, $A40)+SUMIFS(DataRegularSeason20242025!$AB$3:$AB$1315,DataRegularSeason20242025!$B$3:$B$1315, "&lt;=" &amp; DF$1, DataRegularSeason20242025!$E$3:$E$1315, $A40)</f>
        <v>7</v>
      </c>
      <c r="DG40">
        <f>SUMIFS(DataRegularSeason20242025!$AA$3:$AA$1315,DataRegularSeason20242025!$B$3:$B$1315, "&lt;=" &amp; DG$1, DataRegularSeason20242025!$D$3:$D$1315, $A40)+SUMIFS(DataRegularSeason20242025!$AB$3:$AB$1315,DataRegularSeason20242025!$B$3:$B$1315, "&lt;=" &amp; DG$1, DataRegularSeason20242025!$E$3:$E$1315, $A40)</f>
        <v>7</v>
      </c>
      <c r="DH40">
        <f>SUMIFS(DataRegularSeason20242025!$AA$3:$AA$1315,DataRegularSeason20242025!$B$3:$B$1315, "&lt;=" &amp; DH$1, DataRegularSeason20242025!$D$3:$D$1315, $A40)+SUMIFS(DataRegularSeason20242025!$AB$3:$AB$1315,DataRegularSeason20242025!$B$3:$B$1315, "&lt;=" &amp; DH$1, DataRegularSeason20242025!$E$3:$E$1315, $A40)</f>
        <v>7</v>
      </c>
      <c r="DI40">
        <f>SUMIFS(DataRegularSeason20242025!$AA$3:$AA$1315,DataRegularSeason20242025!$B$3:$B$1315, "&lt;=" &amp; DI$1, DataRegularSeason20242025!$D$3:$D$1315, $A40)+SUMIFS(DataRegularSeason20242025!$AB$3:$AB$1315,DataRegularSeason20242025!$B$3:$B$1315, "&lt;=" &amp; DI$1, DataRegularSeason20242025!$E$3:$E$1315, $A40)</f>
        <v>7</v>
      </c>
      <c r="DJ40">
        <f>SUMIFS(DataRegularSeason20242025!$AA$3:$AA$1315,DataRegularSeason20242025!$B$3:$B$1315, "&lt;=" &amp; DJ$1, DataRegularSeason20242025!$D$3:$D$1315, $A40)+SUMIFS(DataRegularSeason20242025!$AB$3:$AB$1315,DataRegularSeason20242025!$B$3:$B$1315, "&lt;=" &amp; DJ$1, DataRegularSeason20242025!$E$3:$E$1315, $A40)</f>
        <v>7</v>
      </c>
      <c r="DK40">
        <f>SUMIFS(DataRegularSeason20242025!$AA$3:$AA$1315,DataRegularSeason20242025!$B$3:$B$1315, "&lt;=" &amp; DK$1, DataRegularSeason20242025!$D$3:$D$1315, $A40)+SUMIFS(DataRegularSeason20242025!$AB$3:$AB$1315,DataRegularSeason20242025!$B$3:$B$1315, "&lt;=" &amp; DK$1, DataRegularSeason20242025!$E$3:$E$1315, $A40)</f>
        <v>7</v>
      </c>
      <c r="DL40">
        <f>SUMIFS(DataRegularSeason20242025!$AA$3:$AA$1315,DataRegularSeason20242025!$B$3:$B$1315, "&lt;=" &amp; DL$1, DataRegularSeason20242025!$D$3:$D$1315, $A40)+SUMIFS(DataRegularSeason20242025!$AB$3:$AB$1315,DataRegularSeason20242025!$B$3:$B$1315, "&lt;=" &amp; DL$1, DataRegularSeason20242025!$E$3:$E$1315, $A40)</f>
        <v>7</v>
      </c>
      <c r="DM40">
        <f>SUMIFS(DataRegularSeason20242025!$AA$3:$AA$1315,DataRegularSeason20242025!$B$3:$B$1315, "&lt;=" &amp; DM$1, DataRegularSeason20242025!$D$3:$D$1315, $A40)+SUMIFS(DataRegularSeason20242025!$AB$3:$AB$1315,DataRegularSeason20242025!$B$3:$B$1315, "&lt;=" &amp; DM$1, DataRegularSeason20242025!$E$3:$E$1315, $A40)</f>
        <v>7</v>
      </c>
      <c r="DN40">
        <f>SUMIFS(DataRegularSeason20242025!$AA$3:$AA$1315,DataRegularSeason20242025!$B$3:$B$1315, "&lt;=" &amp; DN$1, DataRegularSeason20242025!$D$3:$D$1315, $A40)+SUMIFS(DataRegularSeason20242025!$AB$3:$AB$1315,DataRegularSeason20242025!$B$3:$B$1315, "&lt;=" &amp; DN$1, DataRegularSeason20242025!$E$3:$E$1315, $A40)</f>
        <v>7</v>
      </c>
      <c r="DO40">
        <f>SUMIFS(DataRegularSeason20242025!$AA$3:$AA$1315,DataRegularSeason20242025!$B$3:$B$1315, "&lt;=" &amp; DO$1, DataRegularSeason20242025!$D$3:$D$1315, $A40)+SUMIFS(DataRegularSeason20242025!$AB$3:$AB$1315,DataRegularSeason20242025!$B$3:$B$1315, "&lt;=" &amp; DO$1, DataRegularSeason20242025!$E$3:$E$1315, $A40)</f>
        <v>7</v>
      </c>
      <c r="DP40">
        <f>SUMIFS(DataRegularSeason20242025!$AA$3:$AA$1315,DataRegularSeason20242025!$B$3:$B$1315, "&lt;=" &amp; DP$1, DataRegularSeason20242025!$D$3:$D$1315, $A40)+SUMIFS(DataRegularSeason20242025!$AB$3:$AB$1315,DataRegularSeason20242025!$B$3:$B$1315, "&lt;=" &amp; DP$1, DataRegularSeason20242025!$E$3:$E$1315, $A40)</f>
        <v>7</v>
      </c>
      <c r="DQ40">
        <f>SUMIFS(DataRegularSeason20242025!$AA$3:$AA$1315,DataRegularSeason20242025!$B$3:$B$1315, "&lt;=" &amp; DQ$1, DataRegularSeason20242025!$D$3:$D$1315, $A40)+SUMIFS(DataRegularSeason20242025!$AB$3:$AB$1315,DataRegularSeason20242025!$B$3:$B$1315, "&lt;=" &amp; DQ$1, DataRegularSeason20242025!$E$3:$E$1315, $A40)</f>
        <v>7</v>
      </c>
      <c r="DR40">
        <f>SUMIFS(DataRegularSeason20242025!$AA$3:$AA$1315,DataRegularSeason20242025!$B$3:$B$1315, "&lt;=" &amp; DR$1, DataRegularSeason20242025!$D$3:$D$1315, $A40)+SUMIFS(DataRegularSeason20242025!$AB$3:$AB$1315,DataRegularSeason20242025!$B$3:$B$1315, "&lt;=" &amp; DR$1, DataRegularSeason20242025!$E$3:$E$1315, $A40)</f>
        <v>7</v>
      </c>
      <c r="DS40">
        <f>SUMIFS(DataRegularSeason20242025!$AA$3:$AA$1315,DataRegularSeason20242025!$B$3:$B$1315, "&lt;=" &amp; DS$1, DataRegularSeason20242025!$D$3:$D$1315, $A40)+SUMIFS(DataRegularSeason20242025!$AB$3:$AB$1315,DataRegularSeason20242025!$B$3:$B$1315, "&lt;=" &amp; DS$1, DataRegularSeason20242025!$E$3:$E$1315, $A40)</f>
        <v>7</v>
      </c>
      <c r="DT40">
        <f>SUMIFS(DataRegularSeason20242025!$AA$3:$AA$1315,DataRegularSeason20242025!$B$3:$B$1315, "&lt;=" &amp; DT$1, DataRegularSeason20242025!$D$3:$D$1315, $A40)+SUMIFS(DataRegularSeason20242025!$AB$3:$AB$1315,DataRegularSeason20242025!$B$3:$B$1315, "&lt;=" &amp; DT$1, DataRegularSeason20242025!$E$3:$E$1315, $A40)</f>
        <v>7</v>
      </c>
      <c r="DU40">
        <f>SUMIFS(DataRegularSeason20242025!$AA$3:$AA$1315,DataRegularSeason20242025!$B$3:$B$1315, "&lt;=" &amp; DU$1, DataRegularSeason20242025!$D$3:$D$1315, $A40)+SUMIFS(DataRegularSeason20242025!$AB$3:$AB$1315,DataRegularSeason20242025!$B$3:$B$1315, "&lt;=" &amp; DU$1, DataRegularSeason20242025!$E$3:$E$1315, $A40)</f>
        <v>7</v>
      </c>
      <c r="DV40">
        <f>SUMIFS(DataRegularSeason20242025!$AA$3:$AA$1315,DataRegularSeason20242025!$B$3:$B$1315, "&lt;=" &amp; DV$1, DataRegularSeason20242025!$D$3:$D$1315, $A40)+SUMIFS(DataRegularSeason20242025!$AB$3:$AB$1315,DataRegularSeason20242025!$B$3:$B$1315, "&lt;=" &amp; DV$1, DataRegularSeason20242025!$E$3:$E$1315, $A40)</f>
        <v>7</v>
      </c>
      <c r="DW40">
        <f>SUMIFS(DataRegularSeason20242025!$AA$3:$AA$1315,DataRegularSeason20242025!$B$3:$B$1315, "&lt;=" &amp; DW$1, DataRegularSeason20242025!$D$3:$D$1315, $A40)+SUMIFS(DataRegularSeason20242025!$AB$3:$AB$1315,DataRegularSeason20242025!$B$3:$B$1315, "&lt;=" &amp; DW$1, DataRegularSeason20242025!$E$3:$E$1315, $A40)</f>
        <v>7</v>
      </c>
      <c r="DX40">
        <f>SUMIFS(DataRegularSeason20242025!$AA$3:$AA$1315,DataRegularSeason20242025!$B$3:$B$1315, "&lt;=" &amp; DX$1, DataRegularSeason20242025!$D$3:$D$1315, $A40)+SUMIFS(DataRegularSeason20242025!$AB$3:$AB$1315,DataRegularSeason20242025!$B$3:$B$1315, "&lt;=" &amp; DX$1, DataRegularSeason20242025!$E$3:$E$1315, $A40)</f>
        <v>7</v>
      </c>
      <c r="DY40">
        <f>SUMIFS(DataRegularSeason20242025!$AA$3:$AA$1315,DataRegularSeason20242025!$B$3:$B$1315, "&lt;=" &amp; DY$1, DataRegularSeason20242025!$D$3:$D$1315, $A40)+SUMIFS(DataRegularSeason20242025!$AB$3:$AB$1315,DataRegularSeason20242025!$B$3:$B$1315, "&lt;=" &amp; DY$1, DataRegularSeason20242025!$E$3:$E$1315, $A40)</f>
        <v>7</v>
      </c>
      <c r="DZ40">
        <f>SUMIFS(DataRegularSeason20242025!$AA$3:$AA$1315,DataRegularSeason20242025!$B$3:$B$1315, "&lt;=" &amp; DZ$1, DataRegularSeason20242025!$D$3:$D$1315, $A40)+SUMIFS(DataRegularSeason20242025!$AB$3:$AB$1315,DataRegularSeason20242025!$B$3:$B$1315, "&lt;=" &amp; DZ$1, DataRegularSeason20242025!$E$3:$E$1315, $A40)</f>
        <v>7</v>
      </c>
      <c r="EA40">
        <f>SUMIFS(DataRegularSeason20242025!$AA$3:$AA$1315,DataRegularSeason20242025!$B$3:$B$1315, "&lt;=" &amp; EA$1, DataRegularSeason20242025!$D$3:$D$1315, $A40)+SUMIFS(DataRegularSeason20242025!$AB$3:$AB$1315,DataRegularSeason20242025!$B$3:$B$1315, "&lt;=" &amp; EA$1, DataRegularSeason20242025!$E$3:$E$1315, $A40)</f>
        <v>7</v>
      </c>
      <c r="EB40">
        <f>SUMIFS(DataRegularSeason20242025!$AA$3:$AA$1315,DataRegularSeason20242025!$B$3:$B$1315, "&lt;=" &amp; EB$1, DataRegularSeason20242025!$D$3:$D$1315, $A40)+SUMIFS(DataRegularSeason20242025!$AB$3:$AB$1315,DataRegularSeason20242025!$B$3:$B$1315, "&lt;=" &amp; EB$1, DataRegularSeason20242025!$E$3:$E$1315, $A40)</f>
        <v>7</v>
      </c>
      <c r="EC40">
        <f>SUMIFS(DataRegularSeason20242025!$AA$3:$AA$1315,DataRegularSeason20242025!$B$3:$B$1315, "&lt;=" &amp; EC$1, DataRegularSeason20242025!$D$3:$D$1315, $A40)+SUMIFS(DataRegularSeason20242025!$AB$3:$AB$1315,DataRegularSeason20242025!$B$3:$B$1315, "&lt;=" &amp; EC$1, DataRegularSeason20242025!$E$3:$E$1315, $A40)</f>
        <v>7</v>
      </c>
      <c r="ED40">
        <f>SUMIFS(DataRegularSeason20242025!$AA$3:$AA$1315,DataRegularSeason20242025!$B$3:$B$1315, "&lt;=" &amp; ED$1, DataRegularSeason20242025!$D$3:$D$1315, $A40)+SUMIFS(DataRegularSeason20242025!$AB$3:$AB$1315,DataRegularSeason20242025!$B$3:$B$1315, "&lt;=" &amp; ED$1, DataRegularSeason20242025!$E$3:$E$1315, $A40)</f>
        <v>7</v>
      </c>
      <c r="EE40">
        <f>SUMIFS(DataRegularSeason20242025!$AA$3:$AA$1315,DataRegularSeason20242025!$B$3:$B$1315, "&lt;=" &amp; EE$1, DataRegularSeason20242025!$D$3:$D$1315, $A40)+SUMIFS(DataRegularSeason20242025!$AB$3:$AB$1315,DataRegularSeason20242025!$B$3:$B$1315, "&lt;=" &amp; EE$1, DataRegularSeason20242025!$E$3:$E$1315, $A40)</f>
        <v>7</v>
      </c>
      <c r="EF40">
        <f>SUMIFS(DataRegularSeason20242025!$AA$3:$AA$1315,DataRegularSeason20242025!$B$3:$B$1315, "&lt;=" &amp; EF$1, DataRegularSeason20242025!$D$3:$D$1315, $A40)+SUMIFS(DataRegularSeason20242025!$AB$3:$AB$1315,DataRegularSeason20242025!$B$3:$B$1315, "&lt;=" &amp; EF$1, DataRegularSeason20242025!$E$3:$E$1315, $A40)</f>
        <v>7</v>
      </c>
      <c r="EG40">
        <f>SUMIFS(DataRegularSeason20242025!$AA$3:$AA$1315,DataRegularSeason20242025!$B$3:$B$1315, "&lt;=" &amp; EG$1, DataRegularSeason20242025!$D$3:$D$1315, $A40)+SUMIFS(DataRegularSeason20242025!$AB$3:$AB$1315,DataRegularSeason20242025!$B$3:$B$1315, "&lt;=" &amp; EG$1, DataRegularSeason20242025!$E$3:$E$1315, $A40)</f>
        <v>7</v>
      </c>
      <c r="EH40">
        <f>SUMIFS(DataRegularSeason20242025!$AA$3:$AA$1315,DataRegularSeason20242025!$B$3:$B$1315, "&lt;=" &amp; EH$1, DataRegularSeason20242025!$D$3:$D$1315, $A40)+SUMIFS(DataRegularSeason20242025!$AB$3:$AB$1315,DataRegularSeason20242025!$B$3:$B$1315, "&lt;=" &amp; EH$1, DataRegularSeason20242025!$E$3:$E$1315, $A40)</f>
        <v>7</v>
      </c>
      <c r="EI40">
        <f>SUMIFS(DataRegularSeason20242025!$AA$3:$AA$1315,DataRegularSeason20242025!$B$3:$B$1315, "&lt;=" &amp; EI$1, DataRegularSeason20242025!$D$3:$D$1315, $A40)+SUMIFS(DataRegularSeason20242025!$AB$3:$AB$1315,DataRegularSeason20242025!$B$3:$B$1315, "&lt;=" &amp; EI$1, DataRegularSeason20242025!$E$3:$E$1315, $A40)</f>
        <v>7</v>
      </c>
      <c r="EJ40">
        <f>SUMIFS(DataRegularSeason20242025!$AA$3:$AA$1315,DataRegularSeason20242025!$B$3:$B$1315, "&lt;=" &amp; EJ$1, DataRegularSeason20242025!$D$3:$D$1315, $A40)+SUMIFS(DataRegularSeason20242025!$AB$3:$AB$1315,DataRegularSeason20242025!$B$3:$B$1315, "&lt;=" &amp; EJ$1, DataRegularSeason20242025!$E$3:$E$1315, $A40)</f>
        <v>7</v>
      </c>
      <c r="EK40">
        <f>SUMIFS(DataRegularSeason20242025!$AA$3:$AA$1315,DataRegularSeason20242025!$B$3:$B$1315, "&lt;=" &amp; EK$1, DataRegularSeason20242025!$D$3:$D$1315, $A40)+SUMIFS(DataRegularSeason20242025!$AB$3:$AB$1315,DataRegularSeason20242025!$B$3:$B$1315, "&lt;=" &amp; EK$1, DataRegularSeason20242025!$E$3:$E$1315, $A40)</f>
        <v>7</v>
      </c>
      <c r="EL40">
        <f>SUMIFS(DataRegularSeason20242025!$AA$3:$AA$1315,DataRegularSeason20242025!$B$3:$B$1315, "&lt;=" &amp; EL$1, DataRegularSeason20242025!$D$3:$D$1315, $A40)+SUMIFS(DataRegularSeason20242025!$AB$3:$AB$1315,DataRegularSeason20242025!$B$3:$B$1315, "&lt;=" &amp; EL$1, DataRegularSeason20242025!$E$3:$E$1315, $A40)</f>
        <v>7</v>
      </c>
      <c r="EM40">
        <f>SUMIFS(DataRegularSeason20242025!$AA$3:$AA$1315,DataRegularSeason20242025!$B$3:$B$1315, "&lt;=" &amp; EM$1, DataRegularSeason20242025!$D$3:$D$1315, $A40)+SUMIFS(DataRegularSeason20242025!$AB$3:$AB$1315,DataRegularSeason20242025!$B$3:$B$1315, "&lt;=" &amp; EM$1, DataRegularSeason20242025!$E$3:$E$1315, $A40)</f>
        <v>7</v>
      </c>
      <c r="EN40">
        <f>SUMIFS(DataRegularSeason20242025!$AA$3:$AA$1315,DataRegularSeason20242025!$B$3:$B$1315, "&lt;=" &amp; EN$1, DataRegularSeason20242025!$D$3:$D$1315, $A40)+SUMIFS(DataRegularSeason20242025!$AB$3:$AB$1315,DataRegularSeason20242025!$B$3:$B$1315, "&lt;=" &amp; EN$1, DataRegularSeason20242025!$E$3:$E$1315, $A40)</f>
        <v>7</v>
      </c>
      <c r="EO40">
        <f>SUMIFS(DataRegularSeason20242025!$AA$3:$AA$1315,DataRegularSeason20242025!$B$3:$B$1315, "&lt;=" &amp; EO$1, DataRegularSeason20242025!$D$3:$D$1315, $A40)+SUMIFS(DataRegularSeason20242025!$AB$3:$AB$1315,DataRegularSeason20242025!$B$3:$B$1315, "&lt;=" &amp; EO$1, DataRegularSeason20242025!$E$3:$E$1315, $A40)</f>
        <v>7</v>
      </c>
      <c r="EP40">
        <f>SUMIFS(DataRegularSeason20242025!$AA$3:$AA$1315,DataRegularSeason20242025!$B$3:$B$1315, "&lt;=" &amp; EP$1, DataRegularSeason20242025!$D$3:$D$1315, $A40)+SUMIFS(DataRegularSeason20242025!$AB$3:$AB$1315,DataRegularSeason20242025!$B$3:$B$1315, "&lt;=" &amp; EP$1, DataRegularSeason20242025!$E$3:$E$1315, $A40)</f>
        <v>7</v>
      </c>
      <c r="EQ40">
        <f>SUMIFS(DataRegularSeason20242025!$AA$3:$AA$1315,DataRegularSeason20242025!$B$3:$B$1315, "&lt;=" &amp; EQ$1, DataRegularSeason20242025!$D$3:$D$1315, $A40)+SUMIFS(DataRegularSeason20242025!$AB$3:$AB$1315,DataRegularSeason20242025!$B$3:$B$1315, "&lt;=" &amp; EQ$1, DataRegularSeason20242025!$E$3:$E$1315, $A40)</f>
        <v>7</v>
      </c>
      <c r="ER40">
        <f>SUMIFS(DataRegularSeason20242025!$AA$3:$AA$1315,DataRegularSeason20242025!$B$3:$B$1315, "&lt;=" &amp; ER$1, DataRegularSeason20242025!$D$3:$D$1315, $A40)+SUMIFS(DataRegularSeason20242025!$AB$3:$AB$1315,DataRegularSeason20242025!$B$3:$B$1315, "&lt;=" &amp; ER$1, DataRegularSeason20242025!$E$3:$E$1315, $A40)</f>
        <v>7</v>
      </c>
      <c r="ES40">
        <f>SUMIFS(DataRegularSeason20242025!$AA$3:$AA$1315,DataRegularSeason20242025!$B$3:$B$1315, "&lt;=" &amp; ES$1, DataRegularSeason20242025!$D$3:$D$1315, $A40)+SUMIFS(DataRegularSeason20242025!$AB$3:$AB$1315,DataRegularSeason20242025!$B$3:$B$1315, "&lt;=" &amp; ES$1, DataRegularSeason20242025!$E$3:$E$1315, $A40)</f>
        <v>7</v>
      </c>
      <c r="ET40">
        <f>SUMIFS(DataRegularSeason20242025!$AA$3:$AA$1315,DataRegularSeason20242025!$B$3:$B$1315, "&lt;=" &amp; ET$1, DataRegularSeason20242025!$D$3:$D$1315, $A40)+SUMIFS(DataRegularSeason20242025!$AB$3:$AB$1315,DataRegularSeason20242025!$B$3:$B$1315, "&lt;=" &amp; ET$1, DataRegularSeason20242025!$E$3:$E$1315, $A40)</f>
        <v>7</v>
      </c>
      <c r="EU40">
        <f>SUMIFS(DataRegularSeason20242025!$AA$3:$AA$1315,DataRegularSeason20242025!$B$3:$B$1315, "&lt;=" &amp; EU$1, DataRegularSeason20242025!$D$3:$D$1315, $A40)+SUMIFS(DataRegularSeason20242025!$AB$3:$AB$1315,DataRegularSeason20242025!$B$3:$B$1315, "&lt;=" &amp; EU$1, DataRegularSeason20242025!$E$3:$E$1315, $A40)</f>
        <v>7</v>
      </c>
      <c r="EV40">
        <f>SUMIFS(DataRegularSeason20242025!$AA$3:$AA$1315,DataRegularSeason20242025!$B$3:$B$1315, "&lt;=" &amp; EV$1, DataRegularSeason20242025!$D$3:$D$1315, $A40)+SUMIFS(DataRegularSeason20242025!$AB$3:$AB$1315,DataRegularSeason20242025!$B$3:$B$1315, "&lt;=" &amp; EV$1, DataRegularSeason20242025!$E$3:$E$1315, $A40)</f>
        <v>7</v>
      </c>
      <c r="EW40">
        <f>SUMIFS(DataRegularSeason20242025!$AA$3:$AA$1315,DataRegularSeason20242025!$B$3:$B$1315, "&lt;=" &amp; EW$1, DataRegularSeason20242025!$D$3:$D$1315, $A40)+SUMIFS(DataRegularSeason20242025!$AB$3:$AB$1315,DataRegularSeason20242025!$B$3:$B$1315, "&lt;=" &amp; EW$1, DataRegularSeason20242025!$E$3:$E$1315, $A40)</f>
        <v>7</v>
      </c>
      <c r="EX40">
        <f>SUMIFS(DataRegularSeason20242025!$AA$3:$AA$1315,DataRegularSeason20242025!$B$3:$B$1315, "&lt;=" &amp; EX$1, DataRegularSeason20242025!$D$3:$D$1315, $A40)+SUMIFS(DataRegularSeason20242025!$AB$3:$AB$1315,DataRegularSeason20242025!$B$3:$B$1315, "&lt;=" &amp; EX$1, DataRegularSeason20242025!$E$3:$E$1315, $A40)</f>
        <v>7</v>
      </c>
      <c r="EY40">
        <f>SUMIFS(DataRegularSeason20242025!$AA$3:$AA$1315,DataRegularSeason20242025!$B$3:$B$1315, "&lt;=" &amp; EY$1, DataRegularSeason20242025!$D$3:$D$1315, $A40)+SUMIFS(DataRegularSeason20242025!$AB$3:$AB$1315,DataRegularSeason20242025!$B$3:$B$1315, "&lt;=" &amp; EY$1, DataRegularSeason20242025!$E$3:$E$1315, $A40)</f>
        <v>7</v>
      </c>
      <c r="EZ40">
        <f>SUMIFS(DataRegularSeason20242025!$AA$3:$AA$1315,DataRegularSeason20242025!$B$3:$B$1315, "&lt;=" &amp; EZ$1, DataRegularSeason20242025!$D$3:$D$1315, $A40)+SUMIFS(DataRegularSeason20242025!$AB$3:$AB$1315,DataRegularSeason20242025!$B$3:$B$1315, "&lt;=" &amp; EZ$1, DataRegularSeason20242025!$E$3:$E$1315, $A40)</f>
        <v>7</v>
      </c>
      <c r="FA40">
        <f>SUMIFS(DataRegularSeason20242025!$AA$3:$AA$1315,DataRegularSeason20242025!$B$3:$B$1315, "&lt;=" &amp; FA$1, DataRegularSeason20242025!$D$3:$D$1315, $A40)+SUMIFS(DataRegularSeason20242025!$AB$3:$AB$1315,DataRegularSeason20242025!$B$3:$B$1315, "&lt;=" &amp; FA$1, DataRegularSeason20242025!$E$3:$E$1315, $A40)</f>
        <v>7</v>
      </c>
      <c r="FB40">
        <f>SUMIFS(DataRegularSeason20242025!$AA$3:$AA$1315,DataRegularSeason20242025!$B$3:$B$1315, "&lt;=" &amp; FB$1, DataRegularSeason20242025!$D$3:$D$1315, $A40)+SUMIFS(DataRegularSeason20242025!$AB$3:$AB$1315,DataRegularSeason20242025!$B$3:$B$1315, "&lt;=" &amp; FB$1, DataRegularSeason20242025!$E$3:$E$1315, $A40)</f>
        <v>7</v>
      </c>
      <c r="FC40">
        <f>SUMIFS(DataRegularSeason20242025!$AA$3:$AA$1315,DataRegularSeason20242025!$B$3:$B$1315, "&lt;=" &amp; FC$1, DataRegularSeason20242025!$D$3:$D$1315, $A40)+SUMIFS(DataRegularSeason20242025!$AB$3:$AB$1315,DataRegularSeason20242025!$B$3:$B$1315, "&lt;=" &amp; FC$1, DataRegularSeason20242025!$E$3:$E$1315, $A40)</f>
        <v>7</v>
      </c>
      <c r="FD40">
        <f>SUMIFS(DataRegularSeason20242025!$AA$3:$AA$1315,DataRegularSeason20242025!$B$3:$B$1315, "&lt;=" &amp; FD$1, DataRegularSeason20242025!$D$3:$D$1315, $A40)+SUMIFS(DataRegularSeason20242025!$AB$3:$AB$1315,DataRegularSeason20242025!$B$3:$B$1315, "&lt;=" &amp; FD$1, DataRegularSeason20242025!$E$3:$E$1315, $A40)</f>
        <v>7</v>
      </c>
      <c r="FE40">
        <f>SUMIFS(DataRegularSeason20242025!$AA$3:$AA$1315,DataRegularSeason20242025!$B$3:$B$1315, "&lt;=" &amp; FE$1, DataRegularSeason20242025!$D$3:$D$1315, $A40)+SUMIFS(DataRegularSeason20242025!$AB$3:$AB$1315,DataRegularSeason20242025!$B$3:$B$1315, "&lt;=" &amp; FE$1, DataRegularSeason20242025!$E$3:$E$1315, $A40)</f>
        <v>7</v>
      </c>
      <c r="FF40">
        <f>SUMIFS(DataRegularSeason20242025!$AA$3:$AA$1315,DataRegularSeason20242025!$B$3:$B$1315, "&lt;=" &amp; FF$1, DataRegularSeason20242025!$D$3:$D$1315, $A40)+SUMIFS(DataRegularSeason20242025!$AB$3:$AB$1315,DataRegularSeason20242025!$B$3:$B$1315, "&lt;=" &amp; FF$1, DataRegularSeason20242025!$E$3:$E$1315, $A40)</f>
        <v>7</v>
      </c>
      <c r="FG40">
        <f>SUMIFS(DataRegularSeason20242025!$AA$3:$AA$1315,DataRegularSeason20242025!$B$3:$B$1315, "&lt;=" &amp; FG$1, DataRegularSeason20242025!$D$3:$D$1315, $A40)+SUMIFS(DataRegularSeason20242025!$AB$3:$AB$1315,DataRegularSeason20242025!$B$3:$B$1315, "&lt;=" &amp; FG$1, DataRegularSeason20242025!$E$3:$E$1315, $A40)</f>
        <v>7</v>
      </c>
      <c r="FH40">
        <f>SUMIFS(DataRegularSeason20242025!$AA$3:$AA$1315,DataRegularSeason20242025!$B$3:$B$1315, "&lt;=" &amp; FH$1, DataRegularSeason20242025!$D$3:$D$1315, $A40)+SUMIFS(DataRegularSeason20242025!$AB$3:$AB$1315,DataRegularSeason20242025!$B$3:$B$1315, "&lt;=" &amp; FH$1, DataRegularSeason20242025!$E$3:$E$1315, $A40)</f>
        <v>7</v>
      </c>
      <c r="FI40">
        <f>SUMIFS(DataRegularSeason20242025!$AA$3:$AA$1315,DataRegularSeason20242025!$B$3:$B$1315, "&lt;=" &amp; FI$1, DataRegularSeason20242025!$D$3:$D$1315, $A40)+SUMIFS(DataRegularSeason20242025!$AB$3:$AB$1315,DataRegularSeason20242025!$B$3:$B$1315, "&lt;=" &amp; FI$1, DataRegularSeason20242025!$E$3:$E$1315, $A40)</f>
        <v>7</v>
      </c>
      <c r="FJ40">
        <f>SUMIFS(DataRegularSeason20242025!$AA$3:$AA$1315,DataRegularSeason20242025!$B$3:$B$1315, "&lt;=" &amp; FJ$1, DataRegularSeason20242025!$D$3:$D$1315, $A40)+SUMIFS(DataRegularSeason20242025!$AB$3:$AB$1315,DataRegularSeason20242025!$B$3:$B$1315, "&lt;=" &amp; FJ$1, DataRegularSeason20242025!$E$3:$E$1315, $A40)</f>
        <v>7</v>
      </c>
      <c r="FK40">
        <f>SUMIFS(DataRegularSeason20242025!$AA$3:$AA$1315,DataRegularSeason20242025!$B$3:$B$1315, "&lt;=" &amp; FK$1, DataRegularSeason20242025!$D$3:$D$1315, $A40)+SUMIFS(DataRegularSeason20242025!$AB$3:$AB$1315,DataRegularSeason20242025!$B$3:$B$1315, "&lt;=" &amp; FK$1, DataRegularSeason20242025!$E$3:$E$1315, $A40)</f>
        <v>7</v>
      </c>
      <c r="FL40">
        <f>SUMIFS(DataRegularSeason20242025!$AA$3:$AA$1315,DataRegularSeason20242025!$B$3:$B$1315, "&lt;=" &amp; FL$1, DataRegularSeason20242025!$D$3:$D$1315, $A40)+SUMIFS(DataRegularSeason20242025!$AB$3:$AB$1315,DataRegularSeason20242025!$B$3:$B$1315, "&lt;=" &amp; FL$1, DataRegularSeason20242025!$E$3:$E$1315, $A40)</f>
        <v>7</v>
      </c>
      <c r="FM40">
        <f>SUMIFS(DataRegularSeason20242025!$AA$3:$AA$1315,DataRegularSeason20242025!$B$3:$B$1315, "&lt;=" &amp; FM$1, DataRegularSeason20242025!$D$3:$D$1315, $A40)+SUMIFS(DataRegularSeason20242025!$AB$3:$AB$1315,DataRegularSeason20242025!$B$3:$B$1315, "&lt;=" &amp; FM$1, DataRegularSeason20242025!$E$3:$E$1315, $A40)</f>
        <v>7</v>
      </c>
      <c r="FN40">
        <f>SUMIFS(DataRegularSeason20242025!$AA$3:$AA$1315,DataRegularSeason20242025!$B$3:$B$1315, "&lt;=" &amp; FN$1, DataRegularSeason20242025!$D$3:$D$1315, $A40)+SUMIFS(DataRegularSeason20242025!$AB$3:$AB$1315,DataRegularSeason20242025!$B$3:$B$1315, "&lt;=" &amp; FN$1, DataRegularSeason20242025!$E$3:$E$1315, $A40)</f>
        <v>7</v>
      </c>
      <c r="FO40">
        <f>SUMIFS(DataRegularSeason20242025!$AA$3:$AA$1315,DataRegularSeason20242025!$B$3:$B$1315, "&lt;=" &amp; FO$1, DataRegularSeason20242025!$D$3:$D$1315, $A40)+SUMIFS(DataRegularSeason20242025!$AB$3:$AB$1315,DataRegularSeason20242025!$B$3:$B$1315, "&lt;=" &amp; FO$1, DataRegularSeason20242025!$E$3:$E$1315, $A40)</f>
        <v>7</v>
      </c>
      <c r="FP40">
        <f>SUMIFS(DataRegularSeason20242025!$AA$3:$AA$1315,DataRegularSeason20242025!$B$3:$B$1315, "&lt;=" &amp; FP$1, DataRegularSeason20242025!$D$3:$D$1315, $A40)+SUMIFS(DataRegularSeason20242025!$AB$3:$AB$1315,DataRegularSeason20242025!$B$3:$B$1315, "&lt;=" &amp; FP$1, DataRegularSeason20242025!$E$3:$E$1315, $A40)</f>
        <v>7</v>
      </c>
      <c r="FQ40">
        <f>SUMIFS(DataRegularSeason20242025!$AA$3:$AA$1315,DataRegularSeason20242025!$B$3:$B$1315, "&lt;=" &amp; FQ$1, DataRegularSeason20242025!$D$3:$D$1315, $A40)+SUMIFS(DataRegularSeason20242025!$AB$3:$AB$1315,DataRegularSeason20242025!$B$3:$B$1315, "&lt;=" &amp; FQ$1, DataRegularSeason20242025!$E$3:$E$1315, $A40)</f>
        <v>7</v>
      </c>
      <c r="FR40">
        <f>SUMIFS(DataRegularSeason20242025!$AA$3:$AA$1315,DataRegularSeason20242025!$B$3:$B$1315, "&lt;=" &amp; FR$1, DataRegularSeason20242025!$D$3:$D$1315, $A40)+SUMIFS(DataRegularSeason20242025!$AB$3:$AB$1315,DataRegularSeason20242025!$B$3:$B$1315, "&lt;=" &amp; FR$1, DataRegularSeason20242025!$E$3:$E$1315, $A40)</f>
        <v>7</v>
      </c>
      <c r="FS40">
        <f>SUMIFS(DataRegularSeason20242025!$AA$3:$AA$1315,DataRegularSeason20242025!$B$3:$B$1315, "&lt;=" &amp; FS$1, DataRegularSeason20242025!$D$3:$D$1315, $A40)+SUMIFS(DataRegularSeason20242025!$AB$3:$AB$1315,DataRegularSeason20242025!$B$3:$B$1315, "&lt;=" &amp; FS$1, DataRegularSeason20242025!$E$3:$E$1315, $A40)</f>
        <v>7</v>
      </c>
      <c r="FT40">
        <f>SUMIFS(DataRegularSeason20242025!$AA$3:$AA$1315,DataRegularSeason20242025!$B$3:$B$1315, "&lt;=" &amp; FT$1, DataRegularSeason20242025!$D$3:$D$1315, $A40)+SUMIFS(DataRegularSeason20242025!$AB$3:$AB$1315,DataRegularSeason20242025!$B$3:$B$1315, "&lt;=" &amp; FT$1, DataRegularSeason20242025!$E$3:$E$1315, $A40)</f>
        <v>7</v>
      </c>
      <c r="FU40">
        <f>SUMIFS(DataRegularSeason20242025!$AA$3:$AA$1315,DataRegularSeason20242025!$B$3:$B$1315, "&lt;=" &amp; FU$1, DataRegularSeason20242025!$D$3:$D$1315, $A40)+SUMIFS(DataRegularSeason20242025!$AB$3:$AB$1315,DataRegularSeason20242025!$B$3:$B$1315, "&lt;=" &amp; FU$1, DataRegularSeason20242025!$E$3:$E$1315, $A40)</f>
        <v>7</v>
      </c>
      <c r="FV40">
        <f>SUMIFS(DataRegularSeason20242025!$AA$3:$AA$1315,DataRegularSeason20242025!$B$3:$B$1315, "&lt;=" &amp; FV$1, DataRegularSeason20242025!$D$3:$D$1315, $A40)+SUMIFS(DataRegularSeason20242025!$AB$3:$AB$1315,DataRegularSeason20242025!$B$3:$B$1315, "&lt;=" &amp; FV$1, DataRegularSeason20242025!$E$3:$E$1315, $A40)</f>
        <v>7</v>
      </c>
      <c r="FW40">
        <f>SUMIFS(DataRegularSeason20242025!$AA$3:$AA$1315,DataRegularSeason20242025!$B$3:$B$1315, "&lt;=" &amp; FW$1, DataRegularSeason20242025!$D$3:$D$1315, $A40)+SUMIFS(DataRegularSeason20242025!$AB$3:$AB$1315,DataRegularSeason20242025!$B$3:$B$1315, "&lt;=" &amp; FW$1, DataRegularSeason20242025!$E$3:$E$1315, $A40)</f>
        <v>7</v>
      </c>
      <c r="FX40">
        <f>SUMIFS(DataRegularSeason20242025!$AA$3:$AA$1315,DataRegularSeason20242025!$B$3:$B$1315, "&lt;=" &amp; FX$1, DataRegularSeason20242025!$D$3:$D$1315, $A40)+SUMIFS(DataRegularSeason20242025!$AB$3:$AB$1315,DataRegularSeason20242025!$B$3:$B$1315, "&lt;=" &amp; FX$1, DataRegularSeason20242025!$E$3:$E$1315, $A40)</f>
        <v>7</v>
      </c>
      <c r="FY40">
        <f>SUMIFS(DataRegularSeason20242025!$AA$3:$AA$1315,DataRegularSeason20242025!$B$3:$B$1315, "&lt;=" &amp; FY$1, DataRegularSeason20242025!$D$3:$D$1315, $A40)+SUMIFS(DataRegularSeason20242025!$AB$3:$AB$1315,DataRegularSeason20242025!$B$3:$B$1315, "&lt;=" &amp; FY$1, DataRegularSeason20242025!$E$3:$E$1315, $A40)</f>
        <v>7</v>
      </c>
      <c r="FZ40">
        <f>SUMIFS(DataRegularSeason20242025!$AA$3:$AA$1315,DataRegularSeason20242025!$B$3:$B$1315, "&lt;=" &amp; FZ$1, DataRegularSeason20242025!$D$3:$D$1315, $A40)+SUMIFS(DataRegularSeason20242025!$AB$3:$AB$1315,DataRegularSeason20242025!$B$3:$B$1315, "&lt;=" &amp; FZ$1, DataRegularSeason20242025!$E$3:$E$1315, $A40)</f>
        <v>7</v>
      </c>
      <c r="GA40">
        <f>SUMIFS(DataRegularSeason20242025!$AA$3:$AA$1315,DataRegularSeason20242025!$B$3:$B$1315, "&lt;=" &amp; GA$1, DataRegularSeason20242025!$D$3:$D$1315, $A40)+SUMIFS(DataRegularSeason20242025!$AB$3:$AB$1315,DataRegularSeason20242025!$B$3:$B$1315, "&lt;=" &amp; GA$1, DataRegularSeason20242025!$E$3:$E$1315, $A40)</f>
        <v>7</v>
      </c>
      <c r="GB40">
        <f>SUMIFS(DataRegularSeason20242025!$AA$3:$AA$1315,DataRegularSeason20242025!$B$3:$B$1315, "&lt;=" &amp; GB$1, DataRegularSeason20242025!$D$3:$D$1315, $A40)+SUMIFS(DataRegularSeason20242025!$AB$3:$AB$1315,DataRegularSeason20242025!$B$3:$B$1315, "&lt;=" &amp; GB$1, DataRegularSeason20242025!$E$3:$E$1315, $A40)</f>
        <v>7</v>
      </c>
      <c r="GC40">
        <f>SUMIFS(DataRegularSeason20242025!$AA$3:$AA$1315,DataRegularSeason20242025!$B$3:$B$1315, "&lt;=" &amp; GC$1, DataRegularSeason20242025!$D$3:$D$1315, $A40)+SUMIFS(DataRegularSeason20242025!$AB$3:$AB$1315,DataRegularSeason20242025!$B$3:$B$1315, "&lt;=" &amp; GC$1, DataRegularSeason20242025!$E$3:$E$1315, $A40)</f>
        <v>7</v>
      </c>
      <c r="GD40">
        <f>SUMIFS(DataRegularSeason20242025!$AA$3:$AA$1315,DataRegularSeason20242025!$B$3:$B$1315, "&lt;=" &amp; GD$1, DataRegularSeason20242025!$D$3:$D$1315, $A40)+SUMIFS(DataRegularSeason20242025!$AB$3:$AB$1315,DataRegularSeason20242025!$B$3:$B$1315, "&lt;=" &amp; GD$1, DataRegularSeason20242025!$E$3:$E$1315, $A40)</f>
        <v>7</v>
      </c>
      <c r="GE40">
        <f>SUMIFS(DataRegularSeason20242025!$AA$3:$AA$1315,DataRegularSeason20242025!$B$3:$B$1315, "&lt;=" &amp; GE$1, DataRegularSeason20242025!$D$3:$D$1315, $A40)+SUMIFS(DataRegularSeason20242025!$AB$3:$AB$1315,DataRegularSeason20242025!$B$3:$B$1315, "&lt;=" &amp; GE$1, DataRegularSeason20242025!$E$3:$E$1315, $A40)</f>
        <v>7</v>
      </c>
      <c r="GF40">
        <f>SUMIFS(DataRegularSeason20242025!$AA$3:$AA$1315,DataRegularSeason20242025!$B$3:$B$1315, "&lt;=" &amp; GF$1, DataRegularSeason20242025!$D$3:$D$1315, $A40)+SUMIFS(DataRegularSeason20242025!$AB$3:$AB$1315,DataRegularSeason20242025!$B$3:$B$1315, "&lt;=" &amp; GF$1, DataRegularSeason20242025!$E$3:$E$1315, $A40)</f>
        <v>7</v>
      </c>
      <c r="GG40">
        <f>SUMIFS(DataRegularSeason20242025!$AA$3:$AA$1315,DataRegularSeason20242025!$B$3:$B$1315, "&lt;=" &amp; GG$1, DataRegularSeason20242025!$D$3:$D$1315, $A40)+SUMIFS(DataRegularSeason20242025!$AB$3:$AB$1315,DataRegularSeason20242025!$B$3:$B$1315, "&lt;=" &amp; GG$1, DataRegularSeason20242025!$E$3:$E$1315, $A40)</f>
        <v>7</v>
      </c>
      <c r="GH40">
        <f>SUMIFS(DataRegularSeason20242025!$AA$3:$AA$1315,DataRegularSeason20242025!$B$3:$B$1315, "&lt;=" &amp; GH$1, DataRegularSeason20242025!$D$3:$D$1315, $A40)+SUMIFS(DataRegularSeason20242025!$AB$3:$AB$1315,DataRegularSeason20242025!$B$3:$B$1315, "&lt;=" &amp; GH$1, DataRegularSeason20242025!$E$3:$E$1315, $A40)</f>
        <v>7</v>
      </c>
      <c r="GI40">
        <f>SUMIFS(DataRegularSeason20242025!$AA$3:$AA$1315,DataRegularSeason20242025!$B$3:$B$1315, "&lt;=" &amp; GI$1, DataRegularSeason20242025!$D$3:$D$1315, $A40)+SUMIFS(DataRegularSeason20242025!$AB$3:$AB$1315,DataRegularSeason20242025!$B$3:$B$1315, "&lt;=" &amp; GI$1, DataRegularSeason20242025!$E$3:$E$1315, $A40)</f>
        <v>7</v>
      </c>
      <c r="GJ40">
        <f>SUMIFS(DataRegularSeason20242025!$AA$3:$AA$1315,DataRegularSeason20242025!$B$3:$B$1315, "&lt;=" &amp; GJ$1, DataRegularSeason20242025!$D$3:$D$1315, $A40)+SUMIFS(DataRegularSeason20242025!$AB$3:$AB$1315,DataRegularSeason20242025!$B$3:$B$1315, "&lt;=" &amp; GJ$1, DataRegularSeason20242025!$E$3:$E$1315, $A40)</f>
        <v>7</v>
      </c>
      <c r="GK40">
        <f>SUMIFS(DataRegularSeason20242025!$AA$3:$AA$1315,DataRegularSeason20242025!$B$3:$B$1315, "&lt;=" &amp; GK$1, DataRegularSeason20242025!$D$3:$D$1315, $A40)+SUMIFS(DataRegularSeason20242025!$AB$3:$AB$1315,DataRegularSeason20242025!$B$3:$B$1315, "&lt;=" &amp; GK$1, DataRegularSeason20242025!$E$3:$E$1315, $A40)</f>
        <v>7</v>
      </c>
      <c r="GL40">
        <f>SUMIFS(DataRegularSeason20242025!$AA$3:$AA$1315,DataRegularSeason20242025!$B$3:$B$1315, "&lt;=" &amp; GL$1, DataRegularSeason20242025!$D$3:$D$1315, $A40)+SUMIFS(DataRegularSeason20242025!$AB$3:$AB$1315,DataRegularSeason20242025!$B$3:$B$1315, "&lt;=" &amp; GL$1, DataRegularSeason20242025!$E$3:$E$1315, $A40)</f>
        <v>7</v>
      </c>
      <c r="GM40">
        <f>SUMIFS(DataRegularSeason20242025!$AA$3:$AA$1315,DataRegularSeason20242025!$B$3:$B$1315, "&lt;=" &amp; GM$1, DataRegularSeason20242025!$D$3:$D$1315, $A40)+SUMIFS(DataRegularSeason20242025!$AB$3:$AB$1315,DataRegularSeason20242025!$B$3:$B$1315, "&lt;=" &amp; GM$1, DataRegularSeason20242025!$E$3:$E$1315, $A40)</f>
        <v>7</v>
      </c>
      <c r="GN40">
        <f>SUMIFS(DataRegularSeason20242025!$AA$3:$AA$1315,DataRegularSeason20242025!$B$3:$B$1315, "&lt;=" &amp; GN$1, DataRegularSeason20242025!$D$3:$D$1315, $A40)+SUMIFS(DataRegularSeason20242025!$AB$3:$AB$1315,DataRegularSeason20242025!$B$3:$B$1315, "&lt;=" &amp; GN$1, DataRegularSeason20242025!$E$3:$E$1315, $A40)</f>
        <v>7</v>
      </c>
      <c r="GO40">
        <f>SUMIFS(DataRegularSeason20242025!$AA$3:$AA$1315,DataRegularSeason20242025!$B$3:$B$1315, "&lt;=" &amp; GO$1, DataRegularSeason20242025!$D$3:$D$1315, $A40)+SUMIFS(DataRegularSeason20242025!$AB$3:$AB$1315,DataRegularSeason20242025!$B$3:$B$1315, "&lt;=" &amp; GO$1, DataRegularSeason20242025!$E$3:$E$1315, $A40)</f>
        <v>7</v>
      </c>
      <c r="GP40">
        <f>SUMIFS(DataRegularSeason20242025!$AA$3:$AA$1315,DataRegularSeason20242025!$B$3:$B$1315, "&lt;=" &amp; GP$1, DataRegularSeason20242025!$D$3:$D$1315, $A40)+SUMIFS(DataRegularSeason20242025!$AB$3:$AB$1315,DataRegularSeason20242025!$B$3:$B$1315, "&lt;=" &amp; GP$1, DataRegularSeason20242025!$E$3:$E$1315, $A40)</f>
        <v>7</v>
      </c>
      <c r="GQ40">
        <f>SUMIFS(DataRegularSeason20242025!$AA$3:$AA$1315,DataRegularSeason20242025!$B$3:$B$1315, "&lt;=" &amp; GQ$1, DataRegularSeason20242025!$D$3:$D$1315, $A40)+SUMIFS(DataRegularSeason20242025!$AB$3:$AB$1315,DataRegularSeason20242025!$B$3:$B$1315, "&lt;=" &amp; GQ$1, DataRegularSeason20242025!$E$3:$E$1315, $A40)</f>
        <v>7</v>
      </c>
      <c r="GR40">
        <f>SUMIFS(DataRegularSeason20242025!$AA$3:$AA$1315,DataRegularSeason20242025!$B$3:$B$1315, "&lt;=" &amp; GR$1, DataRegularSeason20242025!$D$3:$D$1315, $A40)+SUMIFS(DataRegularSeason20242025!$AB$3:$AB$1315,DataRegularSeason20242025!$B$3:$B$1315, "&lt;=" &amp; GR$1, DataRegularSeason20242025!$E$3:$E$1315, $A40)</f>
        <v>7</v>
      </c>
      <c r="GS40">
        <f>SUMIFS(DataRegularSeason20242025!$AA$3:$AA$1315,DataRegularSeason20242025!$B$3:$B$1315, "&lt;=" &amp; GS$1, DataRegularSeason20242025!$D$3:$D$1315, $A40)+SUMIFS(DataRegularSeason20242025!$AB$3:$AB$1315,DataRegularSeason20242025!$B$3:$B$1315, "&lt;=" &amp; GS$1, DataRegularSeason20242025!$E$3:$E$1315, $A40)</f>
        <v>7</v>
      </c>
      <c r="GT40">
        <f>SUMIFS(DataRegularSeason20242025!$AA$3:$AA$1315,DataRegularSeason20242025!$B$3:$B$1315, "&lt;=" &amp; GT$1, DataRegularSeason20242025!$D$3:$D$1315, $A40)+SUMIFS(DataRegularSeason20242025!$AB$3:$AB$1315,DataRegularSeason20242025!$B$3:$B$1315, "&lt;=" &amp; GT$1, DataRegularSeason20242025!$E$3:$E$1315, $A40)</f>
        <v>7</v>
      </c>
      <c r="GU40">
        <f>SUMIFS(DataRegularSeason20242025!$AA$3:$AA$1315,DataRegularSeason20242025!$B$3:$B$1315, "&lt;=" &amp; GU$1, DataRegularSeason20242025!$D$3:$D$1315, $A40)+SUMIFS(DataRegularSeason20242025!$AB$3:$AB$1315,DataRegularSeason20242025!$B$3:$B$1315, "&lt;=" &amp; GU$1, DataRegularSeason20242025!$E$3:$E$1315, $A40)</f>
        <v>7</v>
      </c>
    </row>
    <row r="41" spans="1:275" x14ac:dyDescent="0.25">
      <c r="A41" t="s">
        <v>13</v>
      </c>
      <c r="B41" t="s">
        <v>91</v>
      </c>
      <c r="C41" t="s">
        <v>74</v>
      </c>
      <c r="D41">
        <f>SUMIFS(DataRegularSeason20242025!$AA$3:$AA$1315,DataRegularSeason20242025!$B$3:$B$1315, "&lt;=" &amp; D$1, DataRegularSeason20242025!$D$3:$D$1315, $A41)+SUMIFS(DataRegularSeason20242025!$AB$3:$AB$1315,DataRegularSeason20242025!$B$3:$B$1315, "&lt;=" &amp; D$1, DataRegularSeason20242025!$E$3:$E$1315, $A41)</f>
        <v>0</v>
      </c>
      <c r="E41">
        <f>SUMIFS(DataRegularSeason20242025!$AA$3:$AA$1315,DataRegularSeason20242025!$B$3:$B$1315, "&lt;=" &amp; E$1, DataRegularSeason20242025!$D$3:$D$1315, $A41)+SUMIFS(DataRegularSeason20242025!$AB$3:$AB$1315,DataRegularSeason20242025!$B$3:$B$1315, "&lt;=" &amp; E$1, DataRegularSeason20242025!$E$3:$E$1315, $A41)</f>
        <v>0</v>
      </c>
      <c r="F41">
        <f>SUMIFS(DataRegularSeason20242025!$AA$3:$AA$1315,DataRegularSeason20242025!$B$3:$B$1315, "&lt;=" &amp; F$1, DataRegularSeason20242025!$D$3:$D$1315, $A41)+SUMIFS(DataRegularSeason20242025!$AB$3:$AB$1315,DataRegularSeason20242025!$B$3:$B$1315, "&lt;=" &amp; F$1, DataRegularSeason20242025!$E$3:$E$1315, $A41)</f>
        <v>0</v>
      </c>
      <c r="G41">
        <f>SUMIFS(DataRegularSeason20242025!$AA$3:$AA$1315,DataRegularSeason20242025!$B$3:$B$1315, "&lt;=" &amp; G$1, DataRegularSeason20242025!$D$3:$D$1315, $A41)+SUMIFS(DataRegularSeason20242025!$AB$3:$AB$1315,DataRegularSeason20242025!$B$3:$B$1315, "&lt;=" &amp; G$1, DataRegularSeason20242025!$E$3:$E$1315, $A41)</f>
        <v>0</v>
      </c>
      <c r="H41">
        <f>SUMIFS(DataRegularSeason20242025!$AA$3:$AA$1315,DataRegularSeason20242025!$B$3:$B$1315, "&lt;=" &amp; H$1, DataRegularSeason20242025!$D$3:$D$1315, $A41)+SUMIFS(DataRegularSeason20242025!$AB$3:$AB$1315,DataRegularSeason20242025!$B$3:$B$1315, "&lt;=" &amp; H$1, DataRegularSeason20242025!$E$3:$E$1315, $A41)</f>
        <v>2</v>
      </c>
      <c r="I41">
        <f>SUMIFS(DataRegularSeason20242025!$AA$3:$AA$1315,DataRegularSeason20242025!$B$3:$B$1315, "&lt;=" &amp; I$1, DataRegularSeason20242025!$D$3:$D$1315, $A41)+SUMIFS(DataRegularSeason20242025!$AB$3:$AB$1315,DataRegularSeason20242025!$B$3:$B$1315, "&lt;=" &amp; I$1, DataRegularSeason20242025!$E$3:$E$1315, $A41)</f>
        <v>2</v>
      </c>
      <c r="J41">
        <f>SUMIFS(DataRegularSeason20242025!$AA$3:$AA$1315,DataRegularSeason20242025!$B$3:$B$1315, "&lt;=" &amp; J$1, DataRegularSeason20242025!$D$3:$D$1315, $A41)+SUMIFS(DataRegularSeason20242025!$AB$3:$AB$1315,DataRegularSeason20242025!$B$3:$B$1315, "&lt;=" &amp; J$1, DataRegularSeason20242025!$E$3:$E$1315, $A41)</f>
        <v>4</v>
      </c>
      <c r="K41">
        <f>SUMIFS(DataRegularSeason20242025!$AA$3:$AA$1315,DataRegularSeason20242025!$B$3:$B$1315, "&lt;=" &amp; K$1, DataRegularSeason20242025!$D$3:$D$1315, $A41)+SUMIFS(DataRegularSeason20242025!$AB$3:$AB$1315,DataRegularSeason20242025!$B$3:$B$1315, "&lt;=" &amp; K$1, DataRegularSeason20242025!$E$3:$E$1315, $A41)</f>
        <v>4</v>
      </c>
      <c r="L41">
        <f>SUMIFS(DataRegularSeason20242025!$AA$3:$AA$1315,DataRegularSeason20242025!$B$3:$B$1315, "&lt;=" &amp; L$1, DataRegularSeason20242025!$D$3:$D$1315, $A41)+SUMIFS(DataRegularSeason20242025!$AB$3:$AB$1315,DataRegularSeason20242025!$B$3:$B$1315, "&lt;=" &amp; L$1, DataRegularSeason20242025!$E$3:$E$1315, $A41)</f>
        <v>6</v>
      </c>
      <c r="M41">
        <f>SUMIFS(DataRegularSeason20242025!$AA$3:$AA$1315,DataRegularSeason20242025!$B$3:$B$1315, "&lt;=" &amp; M$1, DataRegularSeason20242025!$D$3:$D$1315, $A41)+SUMIFS(DataRegularSeason20242025!$AB$3:$AB$1315,DataRegularSeason20242025!$B$3:$B$1315, "&lt;=" &amp; M$1, DataRegularSeason20242025!$E$3:$E$1315, $A41)</f>
        <v>6</v>
      </c>
      <c r="N41">
        <f>SUMIFS(DataRegularSeason20242025!$AA$3:$AA$1315,DataRegularSeason20242025!$B$3:$B$1315, "&lt;=" &amp; N$1, DataRegularSeason20242025!$D$3:$D$1315, $A41)+SUMIFS(DataRegularSeason20242025!$AB$3:$AB$1315,DataRegularSeason20242025!$B$3:$B$1315, "&lt;=" &amp; N$1, DataRegularSeason20242025!$E$3:$E$1315, $A41)</f>
        <v>6</v>
      </c>
      <c r="O41">
        <f>SUMIFS(DataRegularSeason20242025!$AA$3:$AA$1315,DataRegularSeason20242025!$B$3:$B$1315, "&lt;=" &amp; O$1, DataRegularSeason20242025!$D$3:$D$1315, $A41)+SUMIFS(DataRegularSeason20242025!$AB$3:$AB$1315,DataRegularSeason20242025!$B$3:$B$1315, "&lt;=" &amp; O$1, DataRegularSeason20242025!$E$3:$E$1315, $A41)</f>
        <v>6</v>
      </c>
      <c r="P41">
        <f>SUMIFS(DataRegularSeason20242025!$AA$3:$AA$1315,DataRegularSeason20242025!$B$3:$B$1315, "&lt;=" &amp; P$1, DataRegularSeason20242025!$D$3:$D$1315, $A41)+SUMIFS(DataRegularSeason20242025!$AB$3:$AB$1315,DataRegularSeason20242025!$B$3:$B$1315, "&lt;=" &amp; P$1, DataRegularSeason20242025!$E$3:$E$1315, $A41)</f>
        <v>6</v>
      </c>
      <c r="Q41">
        <f>SUMIFS(DataRegularSeason20242025!$AA$3:$AA$1315,DataRegularSeason20242025!$B$3:$B$1315, "&lt;=" &amp; Q$1, DataRegularSeason20242025!$D$3:$D$1315, $A41)+SUMIFS(DataRegularSeason20242025!$AB$3:$AB$1315,DataRegularSeason20242025!$B$3:$B$1315, "&lt;=" &amp; Q$1, DataRegularSeason20242025!$E$3:$E$1315, $A41)</f>
        <v>6</v>
      </c>
      <c r="R41">
        <f>SUMIFS(DataRegularSeason20242025!$AA$3:$AA$1315,DataRegularSeason20242025!$B$3:$B$1315, "&lt;=" &amp; R$1, DataRegularSeason20242025!$D$3:$D$1315, $A41)+SUMIFS(DataRegularSeason20242025!$AB$3:$AB$1315,DataRegularSeason20242025!$B$3:$B$1315, "&lt;=" &amp; R$1, DataRegularSeason20242025!$E$3:$E$1315, $A41)</f>
        <v>6</v>
      </c>
      <c r="S41">
        <f>SUMIFS(DataRegularSeason20242025!$AA$3:$AA$1315,DataRegularSeason20242025!$B$3:$B$1315, "&lt;=" &amp; S$1, DataRegularSeason20242025!$D$3:$D$1315, $A41)+SUMIFS(DataRegularSeason20242025!$AB$3:$AB$1315,DataRegularSeason20242025!$B$3:$B$1315, "&lt;=" &amp; S$1, DataRegularSeason20242025!$E$3:$E$1315, $A41)</f>
        <v>6</v>
      </c>
      <c r="T41">
        <f>SUMIFS(DataRegularSeason20242025!$AA$3:$AA$1315,DataRegularSeason20242025!$B$3:$B$1315, "&lt;=" &amp; T$1, DataRegularSeason20242025!$D$3:$D$1315, $A41)+SUMIFS(DataRegularSeason20242025!$AB$3:$AB$1315,DataRegularSeason20242025!$B$3:$B$1315, "&lt;=" &amp; T$1, DataRegularSeason20242025!$E$3:$E$1315, $A41)</f>
        <v>6</v>
      </c>
      <c r="U41">
        <f>SUMIFS(DataRegularSeason20242025!$AA$3:$AA$1315,DataRegularSeason20242025!$B$3:$B$1315, "&lt;=" &amp; U$1, DataRegularSeason20242025!$D$3:$D$1315, $A41)+SUMIFS(DataRegularSeason20242025!$AB$3:$AB$1315,DataRegularSeason20242025!$B$3:$B$1315, "&lt;=" &amp; U$1, DataRegularSeason20242025!$E$3:$E$1315, $A41)</f>
        <v>6</v>
      </c>
      <c r="V41">
        <f>SUMIFS(DataRegularSeason20242025!$AA$3:$AA$1315,DataRegularSeason20242025!$B$3:$B$1315, "&lt;=" &amp; V$1, DataRegularSeason20242025!$D$3:$D$1315, $A41)+SUMIFS(DataRegularSeason20242025!$AB$3:$AB$1315,DataRegularSeason20242025!$B$3:$B$1315, "&lt;=" &amp; V$1, DataRegularSeason20242025!$E$3:$E$1315, $A41)</f>
        <v>8</v>
      </c>
      <c r="W41">
        <f>SUMIFS(DataRegularSeason20242025!$AA$3:$AA$1315,DataRegularSeason20242025!$B$3:$B$1315, "&lt;=" &amp; W$1, DataRegularSeason20242025!$D$3:$D$1315, $A41)+SUMIFS(DataRegularSeason20242025!$AB$3:$AB$1315,DataRegularSeason20242025!$B$3:$B$1315, "&lt;=" &amp; W$1, DataRegularSeason20242025!$E$3:$E$1315, $A41)</f>
        <v>8</v>
      </c>
      <c r="X41">
        <f>SUMIFS(DataRegularSeason20242025!$AA$3:$AA$1315,DataRegularSeason20242025!$B$3:$B$1315, "&lt;=" &amp; X$1, DataRegularSeason20242025!$D$3:$D$1315, $A41)+SUMIFS(DataRegularSeason20242025!$AB$3:$AB$1315,DataRegularSeason20242025!$B$3:$B$1315, "&lt;=" &amp; X$1, DataRegularSeason20242025!$E$3:$E$1315, $A41)</f>
        <v>8</v>
      </c>
      <c r="Y41">
        <f>SUMIFS(DataRegularSeason20242025!$AA$3:$AA$1315,DataRegularSeason20242025!$B$3:$B$1315, "&lt;=" &amp; Y$1, DataRegularSeason20242025!$D$3:$D$1315, $A41)+SUMIFS(DataRegularSeason20242025!$AB$3:$AB$1315,DataRegularSeason20242025!$B$3:$B$1315, "&lt;=" &amp; Y$1, DataRegularSeason20242025!$E$3:$E$1315, $A41)</f>
        <v>8</v>
      </c>
      <c r="Z41">
        <f>SUMIFS(DataRegularSeason20242025!$AA$3:$AA$1315,DataRegularSeason20242025!$B$3:$B$1315, "&lt;=" &amp; Z$1, DataRegularSeason20242025!$D$3:$D$1315, $A41)+SUMIFS(DataRegularSeason20242025!$AB$3:$AB$1315,DataRegularSeason20242025!$B$3:$B$1315, "&lt;=" &amp; Z$1, DataRegularSeason20242025!$E$3:$E$1315, $A41)</f>
        <v>8</v>
      </c>
      <c r="AA41">
        <f>SUMIFS(DataRegularSeason20242025!$AA$3:$AA$1315,DataRegularSeason20242025!$B$3:$B$1315, "&lt;=" &amp; AA$1, DataRegularSeason20242025!$D$3:$D$1315, $A41)+SUMIFS(DataRegularSeason20242025!$AB$3:$AB$1315,DataRegularSeason20242025!$B$3:$B$1315, "&lt;=" &amp; AA$1, DataRegularSeason20242025!$E$3:$E$1315, $A41)</f>
        <v>8</v>
      </c>
      <c r="AB41">
        <f>SUMIFS(DataRegularSeason20242025!$AA$3:$AA$1315,DataRegularSeason20242025!$B$3:$B$1315, "&lt;=" &amp; AB$1, DataRegularSeason20242025!$D$3:$D$1315, $A41)+SUMIFS(DataRegularSeason20242025!$AB$3:$AB$1315,DataRegularSeason20242025!$B$3:$B$1315, "&lt;=" &amp; AB$1, DataRegularSeason20242025!$E$3:$E$1315, $A41)</f>
        <v>8</v>
      </c>
      <c r="AC41">
        <f>SUMIFS(DataRegularSeason20242025!$AA$3:$AA$1315,DataRegularSeason20242025!$B$3:$B$1315, "&lt;=" &amp; AC$1, DataRegularSeason20242025!$D$3:$D$1315, $A41)+SUMIFS(DataRegularSeason20242025!$AB$3:$AB$1315,DataRegularSeason20242025!$B$3:$B$1315, "&lt;=" &amp; AC$1, DataRegularSeason20242025!$E$3:$E$1315, $A41)</f>
        <v>8</v>
      </c>
      <c r="AD41">
        <f>SUMIFS(DataRegularSeason20242025!$AA$3:$AA$1315,DataRegularSeason20242025!$B$3:$B$1315, "&lt;=" &amp; AD$1, DataRegularSeason20242025!$D$3:$D$1315, $A41)+SUMIFS(DataRegularSeason20242025!$AB$3:$AB$1315,DataRegularSeason20242025!$B$3:$B$1315, "&lt;=" &amp; AD$1, DataRegularSeason20242025!$E$3:$E$1315, $A41)</f>
        <v>8</v>
      </c>
      <c r="AE41">
        <f>SUMIFS(DataRegularSeason20242025!$AA$3:$AA$1315,DataRegularSeason20242025!$B$3:$B$1315, "&lt;=" &amp; AE$1, DataRegularSeason20242025!$D$3:$D$1315, $A41)+SUMIFS(DataRegularSeason20242025!$AB$3:$AB$1315,DataRegularSeason20242025!$B$3:$B$1315, "&lt;=" &amp; AE$1, DataRegularSeason20242025!$E$3:$E$1315, $A41)</f>
        <v>8</v>
      </c>
      <c r="AF41">
        <f>SUMIFS(DataRegularSeason20242025!$AA$3:$AA$1315,DataRegularSeason20242025!$B$3:$B$1315, "&lt;=" &amp; AF$1, DataRegularSeason20242025!$D$3:$D$1315, $A41)+SUMIFS(DataRegularSeason20242025!$AB$3:$AB$1315,DataRegularSeason20242025!$B$3:$B$1315, "&lt;=" &amp; AF$1, DataRegularSeason20242025!$E$3:$E$1315, $A41)</f>
        <v>8</v>
      </c>
      <c r="AG41">
        <f>SUMIFS(DataRegularSeason20242025!$AA$3:$AA$1315,DataRegularSeason20242025!$B$3:$B$1315, "&lt;=" &amp; AG$1, DataRegularSeason20242025!$D$3:$D$1315, $A41)+SUMIFS(DataRegularSeason20242025!$AB$3:$AB$1315,DataRegularSeason20242025!$B$3:$B$1315, "&lt;=" &amp; AG$1, DataRegularSeason20242025!$E$3:$E$1315, $A41)</f>
        <v>8</v>
      </c>
      <c r="AH41">
        <f>SUMIFS(DataRegularSeason20242025!$AA$3:$AA$1315,DataRegularSeason20242025!$B$3:$B$1315, "&lt;=" &amp; AH$1, DataRegularSeason20242025!$D$3:$D$1315, $A41)+SUMIFS(DataRegularSeason20242025!$AB$3:$AB$1315,DataRegularSeason20242025!$B$3:$B$1315, "&lt;=" &amp; AH$1, DataRegularSeason20242025!$E$3:$E$1315, $A41)</f>
        <v>8</v>
      </c>
      <c r="AI41">
        <f>SUMIFS(DataRegularSeason20242025!$AA$3:$AA$1315,DataRegularSeason20242025!$B$3:$B$1315, "&lt;=" &amp; AI$1, DataRegularSeason20242025!$D$3:$D$1315, $A41)+SUMIFS(DataRegularSeason20242025!$AB$3:$AB$1315,DataRegularSeason20242025!$B$3:$B$1315, "&lt;=" &amp; AI$1, DataRegularSeason20242025!$E$3:$E$1315, $A41)</f>
        <v>8</v>
      </c>
      <c r="AJ41">
        <f>SUMIFS(DataRegularSeason20242025!$AA$3:$AA$1315,DataRegularSeason20242025!$B$3:$B$1315, "&lt;=" &amp; AJ$1, DataRegularSeason20242025!$D$3:$D$1315, $A41)+SUMIFS(DataRegularSeason20242025!$AB$3:$AB$1315,DataRegularSeason20242025!$B$3:$B$1315, "&lt;=" &amp; AJ$1, DataRegularSeason20242025!$E$3:$E$1315, $A41)</f>
        <v>8</v>
      </c>
      <c r="AK41">
        <f>SUMIFS(DataRegularSeason20242025!$AA$3:$AA$1315,DataRegularSeason20242025!$B$3:$B$1315, "&lt;=" &amp; AK$1, DataRegularSeason20242025!$D$3:$D$1315, $A41)+SUMIFS(DataRegularSeason20242025!$AB$3:$AB$1315,DataRegularSeason20242025!$B$3:$B$1315, "&lt;=" &amp; AK$1, DataRegularSeason20242025!$E$3:$E$1315, $A41)</f>
        <v>8</v>
      </c>
      <c r="AL41">
        <f>SUMIFS(DataRegularSeason20242025!$AA$3:$AA$1315,DataRegularSeason20242025!$B$3:$B$1315, "&lt;=" &amp; AL$1, DataRegularSeason20242025!$D$3:$D$1315, $A41)+SUMIFS(DataRegularSeason20242025!$AB$3:$AB$1315,DataRegularSeason20242025!$B$3:$B$1315, "&lt;=" &amp; AL$1, DataRegularSeason20242025!$E$3:$E$1315, $A41)</f>
        <v>8</v>
      </c>
      <c r="AM41">
        <f>SUMIFS(DataRegularSeason20242025!$AA$3:$AA$1315,DataRegularSeason20242025!$B$3:$B$1315, "&lt;=" &amp; AM$1, DataRegularSeason20242025!$D$3:$D$1315, $A41)+SUMIFS(DataRegularSeason20242025!$AB$3:$AB$1315,DataRegularSeason20242025!$B$3:$B$1315, "&lt;=" &amp; AM$1, DataRegularSeason20242025!$E$3:$E$1315, $A41)</f>
        <v>8</v>
      </c>
      <c r="AN41">
        <f>SUMIFS(DataRegularSeason20242025!$AA$3:$AA$1315,DataRegularSeason20242025!$B$3:$B$1315, "&lt;=" &amp; AN$1, DataRegularSeason20242025!$D$3:$D$1315, $A41)+SUMIFS(DataRegularSeason20242025!$AB$3:$AB$1315,DataRegularSeason20242025!$B$3:$B$1315, "&lt;=" &amp; AN$1, DataRegularSeason20242025!$E$3:$E$1315, $A41)</f>
        <v>8</v>
      </c>
      <c r="AO41">
        <f>SUMIFS(DataRegularSeason20242025!$AA$3:$AA$1315,DataRegularSeason20242025!$B$3:$B$1315, "&lt;=" &amp; AO$1, DataRegularSeason20242025!$D$3:$D$1315, $A41)+SUMIFS(DataRegularSeason20242025!$AB$3:$AB$1315,DataRegularSeason20242025!$B$3:$B$1315, "&lt;=" &amp; AO$1, DataRegularSeason20242025!$E$3:$E$1315, $A41)</f>
        <v>8</v>
      </c>
      <c r="AP41">
        <f>SUMIFS(DataRegularSeason20242025!$AA$3:$AA$1315,DataRegularSeason20242025!$B$3:$B$1315, "&lt;=" &amp; AP$1, DataRegularSeason20242025!$D$3:$D$1315, $A41)+SUMIFS(DataRegularSeason20242025!$AB$3:$AB$1315,DataRegularSeason20242025!$B$3:$B$1315, "&lt;=" &amp; AP$1, DataRegularSeason20242025!$E$3:$E$1315, $A41)</f>
        <v>8</v>
      </c>
      <c r="AQ41">
        <f>SUMIFS(DataRegularSeason20242025!$AA$3:$AA$1315,DataRegularSeason20242025!$B$3:$B$1315, "&lt;=" &amp; AQ$1, DataRegularSeason20242025!$D$3:$D$1315, $A41)+SUMIFS(DataRegularSeason20242025!$AB$3:$AB$1315,DataRegularSeason20242025!$B$3:$B$1315, "&lt;=" &amp; AQ$1, DataRegularSeason20242025!$E$3:$E$1315, $A41)</f>
        <v>8</v>
      </c>
      <c r="AR41">
        <f>SUMIFS(DataRegularSeason20242025!$AA$3:$AA$1315,DataRegularSeason20242025!$B$3:$B$1315, "&lt;=" &amp; AR$1, DataRegularSeason20242025!$D$3:$D$1315, $A41)+SUMIFS(DataRegularSeason20242025!$AB$3:$AB$1315,DataRegularSeason20242025!$B$3:$B$1315, "&lt;=" &amp; AR$1, DataRegularSeason20242025!$E$3:$E$1315, $A41)</f>
        <v>8</v>
      </c>
      <c r="AS41">
        <f>SUMIFS(DataRegularSeason20242025!$AA$3:$AA$1315,DataRegularSeason20242025!$B$3:$B$1315, "&lt;=" &amp; AS$1, DataRegularSeason20242025!$D$3:$D$1315, $A41)+SUMIFS(DataRegularSeason20242025!$AB$3:$AB$1315,DataRegularSeason20242025!$B$3:$B$1315, "&lt;=" &amp; AS$1, DataRegularSeason20242025!$E$3:$E$1315, $A41)</f>
        <v>8</v>
      </c>
      <c r="AT41">
        <f>SUMIFS(DataRegularSeason20242025!$AA$3:$AA$1315,DataRegularSeason20242025!$B$3:$B$1315, "&lt;=" &amp; AT$1, DataRegularSeason20242025!$D$3:$D$1315, $A41)+SUMIFS(DataRegularSeason20242025!$AB$3:$AB$1315,DataRegularSeason20242025!$B$3:$B$1315, "&lt;=" &amp; AT$1, DataRegularSeason20242025!$E$3:$E$1315, $A41)</f>
        <v>8</v>
      </c>
      <c r="AU41">
        <f>SUMIFS(DataRegularSeason20242025!$AA$3:$AA$1315,DataRegularSeason20242025!$B$3:$B$1315, "&lt;=" &amp; AU$1, DataRegularSeason20242025!$D$3:$D$1315, $A41)+SUMIFS(DataRegularSeason20242025!$AB$3:$AB$1315,DataRegularSeason20242025!$B$3:$B$1315, "&lt;=" &amp; AU$1, DataRegularSeason20242025!$E$3:$E$1315, $A41)</f>
        <v>8</v>
      </c>
      <c r="AV41">
        <f>SUMIFS(DataRegularSeason20242025!$AA$3:$AA$1315,DataRegularSeason20242025!$B$3:$B$1315, "&lt;=" &amp; AV$1, DataRegularSeason20242025!$D$3:$D$1315, $A41)+SUMIFS(DataRegularSeason20242025!$AB$3:$AB$1315,DataRegularSeason20242025!$B$3:$B$1315, "&lt;=" &amp; AV$1, DataRegularSeason20242025!$E$3:$E$1315, $A41)</f>
        <v>8</v>
      </c>
      <c r="AW41">
        <f>SUMIFS(DataRegularSeason20242025!$AA$3:$AA$1315,DataRegularSeason20242025!$B$3:$B$1315, "&lt;=" &amp; AW$1, DataRegularSeason20242025!$D$3:$D$1315, $A41)+SUMIFS(DataRegularSeason20242025!$AB$3:$AB$1315,DataRegularSeason20242025!$B$3:$B$1315, "&lt;=" &amp; AW$1, DataRegularSeason20242025!$E$3:$E$1315, $A41)</f>
        <v>8</v>
      </c>
      <c r="AX41">
        <f>SUMIFS(DataRegularSeason20242025!$AA$3:$AA$1315,DataRegularSeason20242025!$B$3:$B$1315, "&lt;=" &amp; AX$1, DataRegularSeason20242025!$D$3:$D$1315, $A41)+SUMIFS(DataRegularSeason20242025!$AB$3:$AB$1315,DataRegularSeason20242025!$B$3:$B$1315, "&lt;=" &amp; AX$1, DataRegularSeason20242025!$E$3:$E$1315, $A41)</f>
        <v>8</v>
      </c>
      <c r="AY41">
        <f>SUMIFS(DataRegularSeason20242025!$AA$3:$AA$1315,DataRegularSeason20242025!$B$3:$B$1315, "&lt;=" &amp; AY$1, DataRegularSeason20242025!$D$3:$D$1315, $A41)+SUMIFS(DataRegularSeason20242025!$AB$3:$AB$1315,DataRegularSeason20242025!$B$3:$B$1315, "&lt;=" &amp; AY$1, DataRegularSeason20242025!$E$3:$E$1315, $A41)</f>
        <v>8</v>
      </c>
      <c r="AZ41">
        <f>SUMIFS(DataRegularSeason20242025!$AA$3:$AA$1315,DataRegularSeason20242025!$B$3:$B$1315, "&lt;=" &amp; AZ$1, DataRegularSeason20242025!$D$3:$D$1315, $A41)+SUMIFS(DataRegularSeason20242025!$AB$3:$AB$1315,DataRegularSeason20242025!$B$3:$B$1315, "&lt;=" &amp; AZ$1, DataRegularSeason20242025!$E$3:$E$1315, $A41)</f>
        <v>8</v>
      </c>
      <c r="BA41">
        <f>SUMIFS(DataRegularSeason20242025!$AA$3:$AA$1315,DataRegularSeason20242025!$B$3:$B$1315, "&lt;=" &amp; BA$1, DataRegularSeason20242025!$D$3:$D$1315, $A41)+SUMIFS(DataRegularSeason20242025!$AB$3:$AB$1315,DataRegularSeason20242025!$B$3:$B$1315, "&lt;=" &amp; BA$1, DataRegularSeason20242025!$E$3:$E$1315, $A41)</f>
        <v>8</v>
      </c>
      <c r="BB41">
        <f>SUMIFS(DataRegularSeason20242025!$AA$3:$AA$1315,DataRegularSeason20242025!$B$3:$B$1315, "&lt;=" &amp; BB$1, DataRegularSeason20242025!$D$3:$D$1315, $A41)+SUMIFS(DataRegularSeason20242025!$AB$3:$AB$1315,DataRegularSeason20242025!$B$3:$B$1315, "&lt;=" &amp; BB$1, DataRegularSeason20242025!$E$3:$E$1315, $A41)</f>
        <v>8</v>
      </c>
      <c r="BC41">
        <f>SUMIFS(DataRegularSeason20242025!$AA$3:$AA$1315,DataRegularSeason20242025!$B$3:$B$1315, "&lt;=" &amp; BC$1, DataRegularSeason20242025!$D$3:$D$1315, $A41)+SUMIFS(DataRegularSeason20242025!$AB$3:$AB$1315,DataRegularSeason20242025!$B$3:$B$1315, "&lt;=" &amp; BC$1, DataRegularSeason20242025!$E$3:$E$1315, $A41)</f>
        <v>8</v>
      </c>
      <c r="BD41">
        <f>SUMIFS(DataRegularSeason20242025!$AA$3:$AA$1315,DataRegularSeason20242025!$B$3:$B$1315, "&lt;=" &amp; BD$1, DataRegularSeason20242025!$D$3:$D$1315, $A41)+SUMIFS(DataRegularSeason20242025!$AB$3:$AB$1315,DataRegularSeason20242025!$B$3:$B$1315, "&lt;=" &amp; BD$1, DataRegularSeason20242025!$E$3:$E$1315, $A41)</f>
        <v>8</v>
      </c>
      <c r="BE41">
        <f>SUMIFS(DataRegularSeason20242025!$AA$3:$AA$1315,DataRegularSeason20242025!$B$3:$B$1315, "&lt;=" &amp; BE$1, DataRegularSeason20242025!$D$3:$D$1315, $A41)+SUMIFS(DataRegularSeason20242025!$AB$3:$AB$1315,DataRegularSeason20242025!$B$3:$B$1315, "&lt;=" &amp; BE$1, DataRegularSeason20242025!$E$3:$E$1315, $A41)</f>
        <v>8</v>
      </c>
      <c r="BF41">
        <f>SUMIFS(DataRegularSeason20242025!$AA$3:$AA$1315,DataRegularSeason20242025!$B$3:$B$1315, "&lt;=" &amp; BF$1, DataRegularSeason20242025!$D$3:$D$1315, $A41)+SUMIFS(DataRegularSeason20242025!$AB$3:$AB$1315,DataRegularSeason20242025!$B$3:$B$1315, "&lt;=" &amp; BF$1, DataRegularSeason20242025!$E$3:$E$1315, $A41)</f>
        <v>8</v>
      </c>
      <c r="BG41">
        <f>SUMIFS(DataRegularSeason20242025!$AA$3:$AA$1315,DataRegularSeason20242025!$B$3:$B$1315, "&lt;=" &amp; BG$1, DataRegularSeason20242025!$D$3:$D$1315, $A41)+SUMIFS(DataRegularSeason20242025!$AB$3:$AB$1315,DataRegularSeason20242025!$B$3:$B$1315, "&lt;=" &amp; BG$1, DataRegularSeason20242025!$E$3:$E$1315, $A41)</f>
        <v>8</v>
      </c>
      <c r="BH41">
        <f>SUMIFS(DataRegularSeason20242025!$AA$3:$AA$1315,DataRegularSeason20242025!$B$3:$B$1315, "&lt;=" &amp; BH$1, DataRegularSeason20242025!$D$3:$D$1315, $A41)+SUMIFS(DataRegularSeason20242025!$AB$3:$AB$1315,DataRegularSeason20242025!$B$3:$B$1315, "&lt;=" &amp; BH$1, DataRegularSeason20242025!$E$3:$E$1315, $A41)</f>
        <v>8</v>
      </c>
      <c r="BI41">
        <f>SUMIFS(DataRegularSeason20242025!$AA$3:$AA$1315,DataRegularSeason20242025!$B$3:$B$1315, "&lt;=" &amp; BI$1, DataRegularSeason20242025!$D$3:$D$1315, $A41)+SUMIFS(DataRegularSeason20242025!$AB$3:$AB$1315,DataRegularSeason20242025!$B$3:$B$1315, "&lt;=" &amp; BI$1, DataRegularSeason20242025!$E$3:$E$1315, $A41)</f>
        <v>8</v>
      </c>
      <c r="BJ41">
        <f>SUMIFS(DataRegularSeason20242025!$AA$3:$AA$1315,DataRegularSeason20242025!$B$3:$B$1315, "&lt;=" &amp; BJ$1, DataRegularSeason20242025!$D$3:$D$1315, $A41)+SUMIFS(DataRegularSeason20242025!$AB$3:$AB$1315,DataRegularSeason20242025!$B$3:$B$1315, "&lt;=" &amp; BJ$1, DataRegularSeason20242025!$E$3:$E$1315, $A41)</f>
        <v>8</v>
      </c>
      <c r="BK41">
        <f>SUMIFS(DataRegularSeason20242025!$AA$3:$AA$1315,DataRegularSeason20242025!$B$3:$B$1315, "&lt;=" &amp; BK$1, DataRegularSeason20242025!$D$3:$D$1315, $A41)+SUMIFS(DataRegularSeason20242025!$AB$3:$AB$1315,DataRegularSeason20242025!$B$3:$B$1315, "&lt;=" &amp; BK$1, DataRegularSeason20242025!$E$3:$E$1315, $A41)</f>
        <v>8</v>
      </c>
      <c r="BL41">
        <f>SUMIFS(DataRegularSeason20242025!$AA$3:$AA$1315,DataRegularSeason20242025!$B$3:$B$1315, "&lt;=" &amp; BL$1, DataRegularSeason20242025!$D$3:$D$1315, $A41)+SUMIFS(DataRegularSeason20242025!$AB$3:$AB$1315,DataRegularSeason20242025!$B$3:$B$1315, "&lt;=" &amp; BL$1, DataRegularSeason20242025!$E$3:$E$1315, $A41)</f>
        <v>8</v>
      </c>
      <c r="BM41">
        <f>SUMIFS(DataRegularSeason20242025!$AA$3:$AA$1315,DataRegularSeason20242025!$B$3:$B$1315, "&lt;=" &amp; BM$1, DataRegularSeason20242025!$D$3:$D$1315, $A41)+SUMIFS(DataRegularSeason20242025!$AB$3:$AB$1315,DataRegularSeason20242025!$B$3:$B$1315, "&lt;=" &amp; BM$1, DataRegularSeason20242025!$E$3:$E$1315, $A41)</f>
        <v>8</v>
      </c>
      <c r="BN41">
        <f>SUMIFS(DataRegularSeason20242025!$AA$3:$AA$1315,DataRegularSeason20242025!$B$3:$B$1315, "&lt;=" &amp; BN$1, DataRegularSeason20242025!$D$3:$D$1315, $A41)+SUMIFS(DataRegularSeason20242025!$AB$3:$AB$1315,DataRegularSeason20242025!$B$3:$B$1315, "&lt;=" &amp; BN$1, DataRegularSeason20242025!$E$3:$E$1315, $A41)</f>
        <v>8</v>
      </c>
      <c r="BO41">
        <f>SUMIFS(DataRegularSeason20242025!$AA$3:$AA$1315,DataRegularSeason20242025!$B$3:$B$1315, "&lt;=" &amp; BO$1, DataRegularSeason20242025!$D$3:$D$1315, $A41)+SUMIFS(DataRegularSeason20242025!$AB$3:$AB$1315,DataRegularSeason20242025!$B$3:$B$1315, "&lt;=" &amp; BO$1, DataRegularSeason20242025!$E$3:$E$1315, $A41)</f>
        <v>8</v>
      </c>
      <c r="BP41">
        <f>SUMIFS(DataRegularSeason20242025!$AA$3:$AA$1315,DataRegularSeason20242025!$B$3:$B$1315, "&lt;=" &amp; BP$1, DataRegularSeason20242025!$D$3:$D$1315, $A41)+SUMIFS(DataRegularSeason20242025!$AB$3:$AB$1315,DataRegularSeason20242025!$B$3:$B$1315, "&lt;=" &amp; BP$1, DataRegularSeason20242025!$E$3:$E$1315, $A41)</f>
        <v>8</v>
      </c>
      <c r="BQ41">
        <f>SUMIFS(DataRegularSeason20242025!$AA$3:$AA$1315,DataRegularSeason20242025!$B$3:$B$1315, "&lt;=" &amp; BQ$1, DataRegularSeason20242025!$D$3:$D$1315, $A41)+SUMIFS(DataRegularSeason20242025!$AB$3:$AB$1315,DataRegularSeason20242025!$B$3:$B$1315, "&lt;=" &amp; BQ$1, DataRegularSeason20242025!$E$3:$E$1315, $A41)</f>
        <v>8</v>
      </c>
      <c r="BR41">
        <f>SUMIFS(DataRegularSeason20242025!$AA$3:$AA$1315,DataRegularSeason20242025!$B$3:$B$1315, "&lt;=" &amp; BR$1, DataRegularSeason20242025!$D$3:$D$1315, $A41)+SUMIFS(DataRegularSeason20242025!$AB$3:$AB$1315,DataRegularSeason20242025!$B$3:$B$1315, "&lt;=" &amp; BR$1, DataRegularSeason20242025!$E$3:$E$1315, $A41)</f>
        <v>8</v>
      </c>
      <c r="BS41">
        <f>SUMIFS(DataRegularSeason20242025!$AA$3:$AA$1315,DataRegularSeason20242025!$B$3:$B$1315, "&lt;=" &amp; BS$1, DataRegularSeason20242025!$D$3:$D$1315, $A41)+SUMIFS(DataRegularSeason20242025!$AB$3:$AB$1315,DataRegularSeason20242025!$B$3:$B$1315, "&lt;=" &amp; BS$1, DataRegularSeason20242025!$E$3:$E$1315, $A41)</f>
        <v>8</v>
      </c>
      <c r="BT41">
        <f>SUMIFS(DataRegularSeason20242025!$AA$3:$AA$1315,DataRegularSeason20242025!$B$3:$B$1315, "&lt;=" &amp; BT$1, DataRegularSeason20242025!$D$3:$D$1315, $A41)+SUMIFS(DataRegularSeason20242025!$AB$3:$AB$1315,DataRegularSeason20242025!$B$3:$B$1315, "&lt;=" &amp; BT$1, DataRegularSeason20242025!$E$3:$E$1315, $A41)</f>
        <v>8</v>
      </c>
      <c r="BU41">
        <f>SUMIFS(DataRegularSeason20242025!$AA$3:$AA$1315,DataRegularSeason20242025!$B$3:$B$1315, "&lt;=" &amp; BU$1, DataRegularSeason20242025!$D$3:$D$1315, $A41)+SUMIFS(DataRegularSeason20242025!$AB$3:$AB$1315,DataRegularSeason20242025!$B$3:$B$1315, "&lt;=" &amp; BU$1, DataRegularSeason20242025!$E$3:$E$1315, $A41)</f>
        <v>8</v>
      </c>
      <c r="BV41">
        <f>SUMIFS(DataRegularSeason20242025!$AA$3:$AA$1315,DataRegularSeason20242025!$B$3:$B$1315, "&lt;=" &amp; BV$1, DataRegularSeason20242025!$D$3:$D$1315, $A41)+SUMIFS(DataRegularSeason20242025!$AB$3:$AB$1315,DataRegularSeason20242025!$B$3:$B$1315, "&lt;=" &amp; BV$1, DataRegularSeason20242025!$E$3:$E$1315, $A41)</f>
        <v>8</v>
      </c>
      <c r="BW41">
        <f>SUMIFS(DataRegularSeason20242025!$AA$3:$AA$1315,DataRegularSeason20242025!$B$3:$B$1315, "&lt;=" &amp; BW$1, DataRegularSeason20242025!$D$3:$D$1315, $A41)+SUMIFS(DataRegularSeason20242025!$AB$3:$AB$1315,DataRegularSeason20242025!$B$3:$B$1315, "&lt;=" &amp; BW$1, DataRegularSeason20242025!$E$3:$E$1315, $A41)</f>
        <v>8</v>
      </c>
      <c r="BX41">
        <f>SUMIFS(DataRegularSeason20242025!$AA$3:$AA$1315,DataRegularSeason20242025!$B$3:$B$1315, "&lt;=" &amp; BX$1, DataRegularSeason20242025!$D$3:$D$1315, $A41)+SUMIFS(DataRegularSeason20242025!$AB$3:$AB$1315,DataRegularSeason20242025!$B$3:$B$1315, "&lt;=" &amp; BX$1, DataRegularSeason20242025!$E$3:$E$1315, $A41)</f>
        <v>8</v>
      </c>
      <c r="BY41">
        <f>SUMIFS(DataRegularSeason20242025!$AA$3:$AA$1315,DataRegularSeason20242025!$B$3:$B$1315, "&lt;=" &amp; BY$1, DataRegularSeason20242025!$D$3:$D$1315, $A41)+SUMIFS(DataRegularSeason20242025!$AB$3:$AB$1315,DataRegularSeason20242025!$B$3:$B$1315, "&lt;=" &amp; BY$1, DataRegularSeason20242025!$E$3:$E$1315, $A41)</f>
        <v>8</v>
      </c>
      <c r="BZ41">
        <f>SUMIFS(DataRegularSeason20242025!$AA$3:$AA$1315,DataRegularSeason20242025!$B$3:$B$1315, "&lt;=" &amp; BZ$1, DataRegularSeason20242025!$D$3:$D$1315, $A41)+SUMIFS(DataRegularSeason20242025!$AB$3:$AB$1315,DataRegularSeason20242025!$B$3:$B$1315, "&lt;=" &amp; BZ$1, DataRegularSeason20242025!$E$3:$E$1315, $A41)</f>
        <v>8</v>
      </c>
      <c r="CA41">
        <f>SUMIFS(DataRegularSeason20242025!$AA$3:$AA$1315,DataRegularSeason20242025!$B$3:$B$1315, "&lt;=" &amp; CA$1, DataRegularSeason20242025!$D$3:$D$1315, $A41)+SUMIFS(DataRegularSeason20242025!$AB$3:$AB$1315,DataRegularSeason20242025!$B$3:$B$1315, "&lt;=" &amp; CA$1, DataRegularSeason20242025!$E$3:$E$1315, $A41)</f>
        <v>8</v>
      </c>
      <c r="CB41">
        <f>SUMIFS(DataRegularSeason20242025!$AA$3:$AA$1315,DataRegularSeason20242025!$B$3:$B$1315, "&lt;=" &amp; CB$1, DataRegularSeason20242025!$D$3:$D$1315, $A41)+SUMIFS(DataRegularSeason20242025!$AB$3:$AB$1315,DataRegularSeason20242025!$B$3:$B$1315, "&lt;=" &amp; CB$1, DataRegularSeason20242025!$E$3:$E$1315, $A41)</f>
        <v>8</v>
      </c>
      <c r="CC41">
        <f>SUMIFS(DataRegularSeason20242025!$AA$3:$AA$1315,DataRegularSeason20242025!$B$3:$B$1315, "&lt;=" &amp; CC$1, DataRegularSeason20242025!$D$3:$D$1315, $A41)+SUMIFS(DataRegularSeason20242025!$AB$3:$AB$1315,DataRegularSeason20242025!$B$3:$B$1315, "&lt;=" &amp; CC$1, DataRegularSeason20242025!$E$3:$E$1315, $A41)</f>
        <v>8</v>
      </c>
      <c r="CD41">
        <f>SUMIFS(DataRegularSeason20242025!$AA$3:$AA$1315,DataRegularSeason20242025!$B$3:$B$1315, "&lt;=" &amp; CD$1, DataRegularSeason20242025!$D$3:$D$1315, $A41)+SUMIFS(DataRegularSeason20242025!$AB$3:$AB$1315,DataRegularSeason20242025!$B$3:$B$1315, "&lt;=" &amp; CD$1, DataRegularSeason20242025!$E$3:$E$1315, $A41)</f>
        <v>8</v>
      </c>
      <c r="CE41">
        <f>SUMIFS(DataRegularSeason20242025!$AA$3:$AA$1315,DataRegularSeason20242025!$B$3:$B$1315, "&lt;=" &amp; CE$1, DataRegularSeason20242025!$D$3:$D$1315, $A41)+SUMIFS(DataRegularSeason20242025!$AB$3:$AB$1315,DataRegularSeason20242025!$B$3:$B$1315, "&lt;=" &amp; CE$1, DataRegularSeason20242025!$E$3:$E$1315, $A41)</f>
        <v>8</v>
      </c>
      <c r="CF41">
        <f>SUMIFS(DataRegularSeason20242025!$AA$3:$AA$1315,DataRegularSeason20242025!$B$3:$B$1315, "&lt;=" &amp; CF$1, DataRegularSeason20242025!$D$3:$D$1315, $A41)+SUMIFS(DataRegularSeason20242025!$AB$3:$AB$1315,DataRegularSeason20242025!$B$3:$B$1315, "&lt;=" &amp; CF$1, DataRegularSeason20242025!$E$3:$E$1315, $A41)</f>
        <v>8</v>
      </c>
      <c r="CG41">
        <f>SUMIFS(DataRegularSeason20242025!$AA$3:$AA$1315,DataRegularSeason20242025!$B$3:$B$1315, "&lt;=" &amp; CG$1, DataRegularSeason20242025!$D$3:$D$1315, $A41)+SUMIFS(DataRegularSeason20242025!$AB$3:$AB$1315,DataRegularSeason20242025!$B$3:$B$1315, "&lt;=" &amp; CG$1, DataRegularSeason20242025!$E$3:$E$1315, $A41)</f>
        <v>8</v>
      </c>
      <c r="CH41">
        <f>SUMIFS(DataRegularSeason20242025!$AA$3:$AA$1315,DataRegularSeason20242025!$B$3:$B$1315, "&lt;=" &amp; CH$1, DataRegularSeason20242025!$D$3:$D$1315, $A41)+SUMIFS(DataRegularSeason20242025!$AB$3:$AB$1315,DataRegularSeason20242025!$B$3:$B$1315, "&lt;=" &amp; CH$1, DataRegularSeason20242025!$E$3:$E$1315, $A41)</f>
        <v>8</v>
      </c>
      <c r="CI41">
        <f>SUMIFS(DataRegularSeason20242025!$AA$3:$AA$1315,DataRegularSeason20242025!$B$3:$B$1315, "&lt;=" &amp; CI$1, DataRegularSeason20242025!$D$3:$D$1315, $A41)+SUMIFS(DataRegularSeason20242025!$AB$3:$AB$1315,DataRegularSeason20242025!$B$3:$B$1315, "&lt;=" &amp; CI$1, DataRegularSeason20242025!$E$3:$E$1315, $A41)</f>
        <v>8</v>
      </c>
      <c r="CJ41">
        <f>SUMIFS(DataRegularSeason20242025!$AA$3:$AA$1315,DataRegularSeason20242025!$B$3:$B$1315, "&lt;=" &amp; CJ$1, DataRegularSeason20242025!$D$3:$D$1315, $A41)+SUMIFS(DataRegularSeason20242025!$AB$3:$AB$1315,DataRegularSeason20242025!$B$3:$B$1315, "&lt;=" &amp; CJ$1, DataRegularSeason20242025!$E$3:$E$1315, $A41)</f>
        <v>8</v>
      </c>
      <c r="CK41">
        <f>SUMIFS(DataRegularSeason20242025!$AA$3:$AA$1315,DataRegularSeason20242025!$B$3:$B$1315, "&lt;=" &amp; CK$1, DataRegularSeason20242025!$D$3:$D$1315, $A41)+SUMIFS(DataRegularSeason20242025!$AB$3:$AB$1315,DataRegularSeason20242025!$B$3:$B$1315, "&lt;=" &amp; CK$1, DataRegularSeason20242025!$E$3:$E$1315, $A41)</f>
        <v>8</v>
      </c>
      <c r="CL41">
        <f>SUMIFS(DataRegularSeason20242025!$AA$3:$AA$1315,DataRegularSeason20242025!$B$3:$B$1315, "&lt;=" &amp; CL$1, DataRegularSeason20242025!$D$3:$D$1315, $A41)+SUMIFS(DataRegularSeason20242025!$AB$3:$AB$1315,DataRegularSeason20242025!$B$3:$B$1315, "&lt;=" &amp; CL$1, DataRegularSeason20242025!$E$3:$E$1315, $A41)</f>
        <v>8</v>
      </c>
      <c r="CM41">
        <f>SUMIFS(DataRegularSeason20242025!$AA$3:$AA$1315,DataRegularSeason20242025!$B$3:$B$1315, "&lt;=" &amp; CM$1, DataRegularSeason20242025!$D$3:$D$1315, $A41)+SUMIFS(DataRegularSeason20242025!$AB$3:$AB$1315,DataRegularSeason20242025!$B$3:$B$1315, "&lt;=" &amp; CM$1, DataRegularSeason20242025!$E$3:$E$1315, $A41)</f>
        <v>8</v>
      </c>
      <c r="CN41">
        <f>SUMIFS(DataRegularSeason20242025!$AA$3:$AA$1315,DataRegularSeason20242025!$B$3:$B$1315, "&lt;=" &amp; CN$1, DataRegularSeason20242025!$D$3:$D$1315, $A41)+SUMIFS(DataRegularSeason20242025!$AB$3:$AB$1315,DataRegularSeason20242025!$B$3:$B$1315, "&lt;=" &amp; CN$1, DataRegularSeason20242025!$E$3:$E$1315, $A41)</f>
        <v>8</v>
      </c>
      <c r="CO41">
        <f>SUMIFS(DataRegularSeason20242025!$AA$3:$AA$1315,DataRegularSeason20242025!$B$3:$B$1315, "&lt;=" &amp; CO$1, DataRegularSeason20242025!$D$3:$D$1315, $A41)+SUMIFS(DataRegularSeason20242025!$AB$3:$AB$1315,DataRegularSeason20242025!$B$3:$B$1315, "&lt;=" &amp; CO$1, DataRegularSeason20242025!$E$3:$E$1315, $A41)</f>
        <v>8</v>
      </c>
      <c r="CP41">
        <f>SUMIFS(DataRegularSeason20242025!$AA$3:$AA$1315,DataRegularSeason20242025!$B$3:$B$1315, "&lt;=" &amp; CP$1, DataRegularSeason20242025!$D$3:$D$1315, $A41)+SUMIFS(DataRegularSeason20242025!$AB$3:$AB$1315,DataRegularSeason20242025!$B$3:$B$1315, "&lt;=" &amp; CP$1, DataRegularSeason20242025!$E$3:$E$1315, $A41)</f>
        <v>8</v>
      </c>
      <c r="CQ41">
        <f>SUMIFS(DataRegularSeason20242025!$AA$3:$AA$1315,DataRegularSeason20242025!$B$3:$B$1315, "&lt;=" &amp; CQ$1, DataRegularSeason20242025!$D$3:$D$1315, $A41)+SUMIFS(DataRegularSeason20242025!$AB$3:$AB$1315,DataRegularSeason20242025!$B$3:$B$1315, "&lt;=" &amp; CQ$1, DataRegularSeason20242025!$E$3:$E$1315, $A41)</f>
        <v>8</v>
      </c>
      <c r="CR41">
        <f>SUMIFS(DataRegularSeason20242025!$AA$3:$AA$1315,DataRegularSeason20242025!$B$3:$B$1315, "&lt;=" &amp; CR$1, DataRegularSeason20242025!$D$3:$D$1315, $A41)+SUMIFS(DataRegularSeason20242025!$AB$3:$AB$1315,DataRegularSeason20242025!$B$3:$B$1315, "&lt;=" &amp; CR$1, DataRegularSeason20242025!$E$3:$E$1315, $A41)</f>
        <v>8</v>
      </c>
      <c r="CS41">
        <f>SUMIFS(DataRegularSeason20242025!$AA$3:$AA$1315,DataRegularSeason20242025!$B$3:$B$1315, "&lt;=" &amp; CS$1, DataRegularSeason20242025!$D$3:$D$1315, $A41)+SUMIFS(DataRegularSeason20242025!$AB$3:$AB$1315,DataRegularSeason20242025!$B$3:$B$1315, "&lt;=" &amp; CS$1, DataRegularSeason20242025!$E$3:$E$1315, $A41)</f>
        <v>8</v>
      </c>
      <c r="CT41">
        <f>SUMIFS(DataRegularSeason20242025!$AA$3:$AA$1315,DataRegularSeason20242025!$B$3:$B$1315, "&lt;=" &amp; CT$1, DataRegularSeason20242025!$D$3:$D$1315, $A41)+SUMIFS(DataRegularSeason20242025!$AB$3:$AB$1315,DataRegularSeason20242025!$B$3:$B$1315, "&lt;=" &amp; CT$1, DataRegularSeason20242025!$E$3:$E$1315, $A41)</f>
        <v>8</v>
      </c>
      <c r="CU41">
        <f>SUMIFS(DataRegularSeason20242025!$AA$3:$AA$1315,DataRegularSeason20242025!$B$3:$B$1315, "&lt;=" &amp; CU$1, DataRegularSeason20242025!$D$3:$D$1315, $A41)+SUMIFS(DataRegularSeason20242025!$AB$3:$AB$1315,DataRegularSeason20242025!$B$3:$B$1315, "&lt;=" &amp; CU$1, DataRegularSeason20242025!$E$3:$E$1315, $A41)</f>
        <v>8</v>
      </c>
      <c r="CV41">
        <f>SUMIFS(DataRegularSeason20242025!$AA$3:$AA$1315,DataRegularSeason20242025!$B$3:$B$1315, "&lt;=" &amp; CV$1, DataRegularSeason20242025!$D$3:$D$1315, $A41)+SUMIFS(DataRegularSeason20242025!$AB$3:$AB$1315,DataRegularSeason20242025!$B$3:$B$1315, "&lt;=" &amp; CV$1, DataRegularSeason20242025!$E$3:$E$1315, $A41)</f>
        <v>8</v>
      </c>
      <c r="CW41">
        <f>SUMIFS(DataRegularSeason20242025!$AA$3:$AA$1315,DataRegularSeason20242025!$B$3:$B$1315, "&lt;=" &amp; CW$1, DataRegularSeason20242025!$D$3:$D$1315, $A41)+SUMIFS(DataRegularSeason20242025!$AB$3:$AB$1315,DataRegularSeason20242025!$B$3:$B$1315, "&lt;=" &amp; CW$1, DataRegularSeason20242025!$E$3:$E$1315, $A41)</f>
        <v>8</v>
      </c>
      <c r="CX41">
        <f>SUMIFS(DataRegularSeason20242025!$AA$3:$AA$1315,DataRegularSeason20242025!$B$3:$B$1315, "&lt;=" &amp; CX$1, DataRegularSeason20242025!$D$3:$D$1315, $A41)+SUMIFS(DataRegularSeason20242025!$AB$3:$AB$1315,DataRegularSeason20242025!$B$3:$B$1315, "&lt;=" &amp; CX$1, DataRegularSeason20242025!$E$3:$E$1315, $A41)</f>
        <v>8</v>
      </c>
      <c r="CY41">
        <f>SUMIFS(DataRegularSeason20242025!$AA$3:$AA$1315,DataRegularSeason20242025!$B$3:$B$1315, "&lt;=" &amp; CY$1, DataRegularSeason20242025!$D$3:$D$1315, $A41)+SUMIFS(DataRegularSeason20242025!$AB$3:$AB$1315,DataRegularSeason20242025!$B$3:$B$1315, "&lt;=" &amp; CY$1, DataRegularSeason20242025!$E$3:$E$1315, $A41)</f>
        <v>8</v>
      </c>
      <c r="CZ41">
        <f>SUMIFS(DataRegularSeason20242025!$AA$3:$AA$1315,DataRegularSeason20242025!$B$3:$B$1315, "&lt;=" &amp; CZ$1, DataRegularSeason20242025!$D$3:$D$1315, $A41)+SUMIFS(DataRegularSeason20242025!$AB$3:$AB$1315,DataRegularSeason20242025!$B$3:$B$1315, "&lt;=" &amp; CZ$1, DataRegularSeason20242025!$E$3:$E$1315, $A41)</f>
        <v>8</v>
      </c>
      <c r="DA41">
        <f>SUMIFS(DataRegularSeason20242025!$AA$3:$AA$1315,DataRegularSeason20242025!$B$3:$B$1315, "&lt;=" &amp; DA$1, DataRegularSeason20242025!$D$3:$D$1315, $A41)+SUMIFS(DataRegularSeason20242025!$AB$3:$AB$1315,DataRegularSeason20242025!$B$3:$B$1315, "&lt;=" &amp; DA$1, DataRegularSeason20242025!$E$3:$E$1315, $A41)</f>
        <v>8</v>
      </c>
      <c r="DB41">
        <f>SUMIFS(DataRegularSeason20242025!$AA$3:$AA$1315,DataRegularSeason20242025!$B$3:$B$1315, "&lt;=" &amp; DB$1, DataRegularSeason20242025!$D$3:$D$1315, $A41)+SUMIFS(DataRegularSeason20242025!$AB$3:$AB$1315,DataRegularSeason20242025!$B$3:$B$1315, "&lt;=" &amp; DB$1, DataRegularSeason20242025!$E$3:$E$1315, $A41)</f>
        <v>8</v>
      </c>
      <c r="DC41">
        <f>SUMIFS(DataRegularSeason20242025!$AA$3:$AA$1315,DataRegularSeason20242025!$B$3:$B$1315, "&lt;=" &amp; DC$1, DataRegularSeason20242025!$D$3:$D$1315, $A41)+SUMIFS(DataRegularSeason20242025!$AB$3:$AB$1315,DataRegularSeason20242025!$B$3:$B$1315, "&lt;=" &amp; DC$1, DataRegularSeason20242025!$E$3:$E$1315, $A41)</f>
        <v>8</v>
      </c>
      <c r="DD41">
        <f>SUMIFS(DataRegularSeason20242025!$AA$3:$AA$1315,DataRegularSeason20242025!$B$3:$B$1315, "&lt;=" &amp; DD$1, DataRegularSeason20242025!$D$3:$D$1315, $A41)+SUMIFS(DataRegularSeason20242025!$AB$3:$AB$1315,DataRegularSeason20242025!$B$3:$B$1315, "&lt;=" &amp; DD$1, DataRegularSeason20242025!$E$3:$E$1315, $A41)</f>
        <v>8</v>
      </c>
      <c r="DE41">
        <f>SUMIFS(DataRegularSeason20242025!$AA$3:$AA$1315,DataRegularSeason20242025!$B$3:$B$1315, "&lt;=" &amp; DE$1, DataRegularSeason20242025!$D$3:$D$1315, $A41)+SUMIFS(DataRegularSeason20242025!$AB$3:$AB$1315,DataRegularSeason20242025!$B$3:$B$1315, "&lt;=" &amp; DE$1, DataRegularSeason20242025!$E$3:$E$1315, $A41)</f>
        <v>8</v>
      </c>
      <c r="DF41">
        <f>SUMIFS(DataRegularSeason20242025!$AA$3:$AA$1315,DataRegularSeason20242025!$B$3:$B$1315, "&lt;=" &amp; DF$1, DataRegularSeason20242025!$D$3:$D$1315, $A41)+SUMIFS(DataRegularSeason20242025!$AB$3:$AB$1315,DataRegularSeason20242025!$B$3:$B$1315, "&lt;=" &amp; DF$1, DataRegularSeason20242025!$E$3:$E$1315, $A41)</f>
        <v>8</v>
      </c>
      <c r="DG41">
        <f>SUMIFS(DataRegularSeason20242025!$AA$3:$AA$1315,DataRegularSeason20242025!$B$3:$B$1315, "&lt;=" &amp; DG$1, DataRegularSeason20242025!$D$3:$D$1315, $A41)+SUMIFS(DataRegularSeason20242025!$AB$3:$AB$1315,DataRegularSeason20242025!$B$3:$B$1315, "&lt;=" &amp; DG$1, DataRegularSeason20242025!$E$3:$E$1315, $A41)</f>
        <v>8</v>
      </c>
      <c r="DH41">
        <f>SUMIFS(DataRegularSeason20242025!$AA$3:$AA$1315,DataRegularSeason20242025!$B$3:$B$1315, "&lt;=" &amp; DH$1, DataRegularSeason20242025!$D$3:$D$1315, $A41)+SUMIFS(DataRegularSeason20242025!$AB$3:$AB$1315,DataRegularSeason20242025!$B$3:$B$1315, "&lt;=" &amp; DH$1, DataRegularSeason20242025!$E$3:$E$1315, $A41)</f>
        <v>8</v>
      </c>
      <c r="DI41">
        <f>SUMIFS(DataRegularSeason20242025!$AA$3:$AA$1315,DataRegularSeason20242025!$B$3:$B$1315, "&lt;=" &amp; DI$1, DataRegularSeason20242025!$D$3:$D$1315, $A41)+SUMIFS(DataRegularSeason20242025!$AB$3:$AB$1315,DataRegularSeason20242025!$B$3:$B$1315, "&lt;=" &amp; DI$1, DataRegularSeason20242025!$E$3:$E$1315, $A41)</f>
        <v>8</v>
      </c>
      <c r="DJ41">
        <f>SUMIFS(DataRegularSeason20242025!$AA$3:$AA$1315,DataRegularSeason20242025!$B$3:$B$1315, "&lt;=" &amp; DJ$1, DataRegularSeason20242025!$D$3:$D$1315, $A41)+SUMIFS(DataRegularSeason20242025!$AB$3:$AB$1315,DataRegularSeason20242025!$B$3:$B$1315, "&lt;=" &amp; DJ$1, DataRegularSeason20242025!$E$3:$E$1315, $A41)</f>
        <v>8</v>
      </c>
      <c r="DK41">
        <f>SUMIFS(DataRegularSeason20242025!$AA$3:$AA$1315,DataRegularSeason20242025!$B$3:$B$1315, "&lt;=" &amp; DK$1, DataRegularSeason20242025!$D$3:$D$1315, $A41)+SUMIFS(DataRegularSeason20242025!$AB$3:$AB$1315,DataRegularSeason20242025!$B$3:$B$1315, "&lt;=" &amp; DK$1, DataRegularSeason20242025!$E$3:$E$1315, $A41)</f>
        <v>8</v>
      </c>
      <c r="DL41">
        <f>SUMIFS(DataRegularSeason20242025!$AA$3:$AA$1315,DataRegularSeason20242025!$B$3:$B$1315, "&lt;=" &amp; DL$1, DataRegularSeason20242025!$D$3:$D$1315, $A41)+SUMIFS(DataRegularSeason20242025!$AB$3:$AB$1315,DataRegularSeason20242025!$B$3:$B$1315, "&lt;=" &amp; DL$1, DataRegularSeason20242025!$E$3:$E$1315, $A41)</f>
        <v>8</v>
      </c>
      <c r="DM41">
        <f>SUMIFS(DataRegularSeason20242025!$AA$3:$AA$1315,DataRegularSeason20242025!$B$3:$B$1315, "&lt;=" &amp; DM$1, DataRegularSeason20242025!$D$3:$D$1315, $A41)+SUMIFS(DataRegularSeason20242025!$AB$3:$AB$1315,DataRegularSeason20242025!$B$3:$B$1315, "&lt;=" &amp; DM$1, DataRegularSeason20242025!$E$3:$E$1315, $A41)</f>
        <v>8</v>
      </c>
      <c r="DN41">
        <f>SUMIFS(DataRegularSeason20242025!$AA$3:$AA$1315,DataRegularSeason20242025!$B$3:$B$1315, "&lt;=" &amp; DN$1, DataRegularSeason20242025!$D$3:$D$1315, $A41)+SUMIFS(DataRegularSeason20242025!$AB$3:$AB$1315,DataRegularSeason20242025!$B$3:$B$1315, "&lt;=" &amp; DN$1, DataRegularSeason20242025!$E$3:$E$1315, $A41)</f>
        <v>8</v>
      </c>
      <c r="DO41">
        <f>SUMIFS(DataRegularSeason20242025!$AA$3:$AA$1315,DataRegularSeason20242025!$B$3:$B$1315, "&lt;=" &amp; DO$1, DataRegularSeason20242025!$D$3:$D$1315, $A41)+SUMIFS(DataRegularSeason20242025!$AB$3:$AB$1315,DataRegularSeason20242025!$B$3:$B$1315, "&lt;=" &amp; DO$1, DataRegularSeason20242025!$E$3:$E$1315, $A41)</f>
        <v>8</v>
      </c>
      <c r="DP41">
        <f>SUMIFS(DataRegularSeason20242025!$AA$3:$AA$1315,DataRegularSeason20242025!$B$3:$B$1315, "&lt;=" &amp; DP$1, DataRegularSeason20242025!$D$3:$D$1315, $A41)+SUMIFS(DataRegularSeason20242025!$AB$3:$AB$1315,DataRegularSeason20242025!$B$3:$B$1315, "&lt;=" &amp; DP$1, DataRegularSeason20242025!$E$3:$E$1315, $A41)</f>
        <v>8</v>
      </c>
      <c r="DQ41">
        <f>SUMIFS(DataRegularSeason20242025!$AA$3:$AA$1315,DataRegularSeason20242025!$B$3:$B$1315, "&lt;=" &amp; DQ$1, DataRegularSeason20242025!$D$3:$D$1315, $A41)+SUMIFS(DataRegularSeason20242025!$AB$3:$AB$1315,DataRegularSeason20242025!$B$3:$B$1315, "&lt;=" &amp; DQ$1, DataRegularSeason20242025!$E$3:$E$1315, $A41)</f>
        <v>8</v>
      </c>
      <c r="DR41">
        <f>SUMIFS(DataRegularSeason20242025!$AA$3:$AA$1315,DataRegularSeason20242025!$B$3:$B$1315, "&lt;=" &amp; DR$1, DataRegularSeason20242025!$D$3:$D$1315, $A41)+SUMIFS(DataRegularSeason20242025!$AB$3:$AB$1315,DataRegularSeason20242025!$B$3:$B$1315, "&lt;=" &amp; DR$1, DataRegularSeason20242025!$E$3:$E$1315, $A41)</f>
        <v>8</v>
      </c>
      <c r="DS41">
        <f>SUMIFS(DataRegularSeason20242025!$AA$3:$AA$1315,DataRegularSeason20242025!$B$3:$B$1315, "&lt;=" &amp; DS$1, DataRegularSeason20242025!$D$3:$D$1315, $A41)+SUMIFS(DataRegularSeason20242025!$AB$3:$AB$1315,DataRegularSeason20242025!$B$3:$B$1315, "&lt;=" &amp; DS$1, DataRegularSeason20242025!$E$3:$E$1315, $A41)</f>
        <v>8</v>
      </c>
      <c r="DT41">
        <f>SUMIFS(DataRegularSeason20242025!$AA$3:$AA$1315,DataRegularSeason20242025!$B$3:$B$1315, "&lt;=" &amp; DT$1, DataRegularSeason20242025!$D$3:$D$1315, $A41)+SUMIFS(DataRegularSeason20242025!$AB$3:$AB$1315,DataRegularSeason20242025!$B$3:$B$1315, "&lt;=" &amp; DT$1, DataRegularSeason20242025!$E$3:$E$1315, $A41)</f>
        <v>8</v>
      </c>
      <c r="DU41">
        <f>SUMIFS(DataRegularSeason20242025!$AA$3:$AA$1315,DataRegularSeason20242025!$B$3:$B$1315, "&lt;=" &amp; DU$1, DataRegularSeason20242025!$D$3:$D$1315, $A41)+SUMIFS(DataRegularSeason20242025!$AB$3:$AB$1315,DataRegularSeason20242025!$B$3:$B$1315, "&lt;=" &amp; DU$1, DataRegularSeason20242025!$E$3:$E$1315, $A41)</f>
        <v>8</v>
      </c>
      <c r="DV41">
        <f>SUMIFS(DataRegularSeason20242025!$AA$3:$AA$1315,DataRegularSeason20242025!$B$3:$B$1315, "&lt;=" &amp; DV$1, DataRegularSeason20242025!$D$3:$D$1315, $A41)+SUMIFS(DataRegularSeason20242025!$AB$3:$AB$1315,DataRegularSeason20242025!$B$3:$B$1315, "&lt;=" &amp; DV$1, DataRegularSeason20242025!$E$3:$E$1315, $A41)</f>
        <v>8</v>
      </c>
      <c r="DW41">
        <f>SUMIFS(DataRegularSeason20242025!$AA$3:$AA$1315,DataRegularSeason20242025!$B$3:$B$1315, "&lt;=" &amp; DW$1, DataRegularSeason20242025!$D$3:$D$1315, $A41)+SUMIFS(DataRegularSeason20242025!$AB$3:$AB$1315,DataRegularSeason20242025!$B$3:$B$1315, "&lt;=" &amp; DW$1, DataRegularSeason20242025!$E$3:$E$1315, $A41)</f>
        <v>8</v>
      </c>
      <c r="DX41">
        <f>SUMIFS(DataRegularSeason20242025!$AA$3:$AA$1315,DataRegularSeason20242025!$B$3:$B$1315, "&lt;=" &amp; DX$1, DataRegularSeason20242025!$D$3:$D$1315, $A41)+SUMIFS(DataRegularSeason20242025!$AB$3:$AB$1315,DataRegularSeason20242025!$B$3:$B$1315, "&lt;=" &amp; DX$1, DataRegularSeason20242025!$E$3:$E$1315, $A41)</f>
        <v>8</v>
      </c>
      <c r="DY41">
        <f>SUMIFS(DataRegularSeason20242025!$AA$3:$AA$1315,DataRegularSeason20242025!$B$3:$B$1315, "&lt;=" &amp; DY$1, DataRegularSeason20242025!$D$3:$D$1315, $A41)+SUMIFS(DataRegularSeason20242025!$AB$3:$AB$1315,DataRegularSeason20242025!$B$3:$B$1315, "&lt;=" &amp; DY$1, DataRegularSeason20242025!$E$3:$E$1315, $A41)</f>
        <v>8</v>
      </c>
      <c r="DZ41">
        <f>SUMIFS(DataRegularSeason20242025!$AA$3:$AA$1315,DataRegularSeason20242025!$B$3:$B$1315, "&lt;=" &amp; DZ$1, DataRegularSeason20242025!$D$3:$D$1315, $A41)+SUMIFS(DataRegularSeason20242025!$AB$3:$AB$1315,DataRegularSeason20242025!$B$3:$B$1315, "&lt;=" &amp; DZ$1, DataRegularSeason20242025!$E$3:$E$1315, $A41)</f>
        <v>8</v>
      </c>
      <c r="EA41">
        <f>SUMIFS(DataRegularSeason20242025!$AA$3:$AA$1315,DataRegularSeason20242025!$B$3:$B$1315, "&lt;=" &amp; EA$1, DataRegularSeason20242025!$D$3:$D$1315, $A41)+SUMIFS(DataRegularSeason20242025!$AB$3:$AB$1315,DataRegularSeason20242025!$B$3:$B$1315, "&lt;=" &amp; EA$1, DataRegularSeason20242025!$E$3:$E$1315, $A41)</f>
        <v>8</v>
      </c>
      <c r="EB41">
        <f>SUMIFS(DataRegularSeason20242025!$AA$3:$AA$1315,DataRegularSeason20242025!$B$3:$B$1315, "&lt;=" &amp; EB$1, DataRegularSeason20242025!$D$3:$D$1315, $A41)+SUMIFS(DataRegularSeason20242025!$AB$3:$AB$1315,DataRegularSeason20242025!$B$3:$B$1315, "&lt;=" &amp; EB$1, DataRegularSeason20242025!$E$3:$E$1315, $A41)</f>
        <v>8</v>
      </c>
      <c r="EC41">
        <f>SUMIFS(DataRegularSeason20242025!$AA$3:$AA$1315,DataRegularSeason20242025!$B$3:$B$1315, "&lt;=" &amp; EC$1, DataRegularSeason20242025!$D$3:$D$1315, $A41)+SUMIFS(DataRegularSeason20242025!$AB$3:$AB$1315,DataRegularSeason20242025!$B$3:$B$1315, "&lt;=" &amp; EC$1, DataRegularSeason20242025!$E$3:$E$1315, $A41)</f>
        <v>8</v>
      </c>
      <c r="ED41">
        <f>SUMIFS(DataRegularSeason20242025!$AA$3:$AA$1315,DataRegularSeason20242025!$B$3:$B$1315, "&lt;=" &amp; ED$1, DataRegularSeason20242025!$D$3:$D$1315, $A41)+SUMIFS(DataRegularSeason20242025!$AB$3:$AB$1315,DataRegularSeason20242025!$B$3:$B$1315, "&lt;=" &amp; ED$1, DataRegularSeason20242025!$E$3:$E$1315, $A41)</f>
        <v>8</v>
      </c>
      <c r="EE41">
        <f>SUMIFS(DataRegularSeason20242025!$AA$3:$AA$1315,DataRegularSeason20242025!$B$3:$B$1315, "&lt;=" &amp; EE$1, DataRegularSeason20242025!$D$3:$D$1315, $A41)+SUMIFS(DataRegularSeason20242025!$AB$3:$AB$1315,DataRegularSeason20242025!$B$3:$B$1315, "&lt;=" &amp; EE$1, DataRegularSeason20242025!$E$3:$E$1315, $A41)</f>
        <v>8</v>
      </c>
      <c r="EF41">
        <f>SUMIFS(DataRegularSeason20242025!$AA$3:$AA$1315,DataRegularSeason20242025!$B$3:$B$1315, "&lt;=" &amp; EF$1, DataRegularSeason20242025!$D$3:$D$1315, $A41)+SUMIFS(DataRegularSeason20242025!$AB$3:$AB$1315,DataRegularSeason20242025!$B$3:$B$1315, "&lt;=" &amp; EF$1, DataRegularSeason20242025!$E$3:$E$1315, $A41)</f>
        <v>8</v>
      </c>
      <c r="EG41">
        <f>SUMIFS(DataRegularSeason20242025!$AA$3:$AA$1315,DataRegularSeason20242025!$B$3:$B$1315, "&lt;=" &amp; EG$1, DataRegularSeason20242025!$D$3:$D$1315, $A41)+SUMIFS(DataRegularSeason20242025!$AB$3:$AB$1315,DataRegularSeason20242025!$B$3:$B$1315, "&lt;=" &amp; EG$1, DataRegularSeason20242025!$E$3:$E$1315, $A41)</f>
        <v>8</v>
      </c>
      <c r="EH41">
        <f>SUMIFS(DataRegularSeason20242025!$AA$3:$AA$1315,DataRegularSeason20242025!$B$3:$B$1315, "&lt;=" &amp; EH$1, DataRegularSeason20242025!$D$3:$D$1315, $A41)+SUMIFS(DataRegularSeason20242025!$AB$3:$AB$1315,DataRegularSeason20242025!$B$3:$B$1315, "&lt;=" &amp; EH$1, DataRegularSeason20242025!$E$3:$E$1315, $A41)</f>
        <v>8</v>
      </c>
      <c r="EI41">
        <f>SUMIFS(DataRegularSeason20242025!$AA$3:$AA$1315,DataRegularSeason20242025!$B$3:$B$1315, "&lt;=" &amp; EI$1, DataRegularSeason20242025!$D$3:$D$1315, $A41)+SUMIFS(DataRegularSeason20242025!$AB$3:$AB$1315,DataRegularSeason20242025!$B$3:$B$1315, "&lt;=" &amp; EI$1, DataRegularSeason20242025!$E$3:$E$1315, $A41)</f>
        <v>8</v>
      </c>
      <c r="EJ41">
        <f>SUMIFS(DataRegularSeason20242025!$AA$3:$AA$1315,DataRegularSeason20242025!$B$3:$B$1315, "&lt;=" &amp; EJ$1, DataRegularSeason20242025!$D$3:$D$1315, $A41)+SUMIFS(DataRegularSeason20242025!$AB$3:$AB$1315,DataRegularSeason20242025!$B$3:$B$1315, "&lt;=" &amp; EJ$1, DataRegularSeason20242025!$E$3:$E$1315, $A41)</f>
        <v>8</v>
      </c>
      <c r="EK41">
        <f>SUMIFS(DataRegularSeason20242025!$AA$3:$AA$1315,DataRegularSeason20242025!$B$3:$B$1315, "&lt;=" &amp; EK$1, DataRegularSeason20242025!$D$3:$D$1315, $A41)+SUMIFS(DataRegularSeason20242025!$AB$3:$AB$1315,DataRegularSeason20242025!$B$3:$B$1315, "&lt;=" &amp; EK$1, DataRegularSeason20242025!$E$3:$E$1315, $A41)</f>
        <v>8</v>
      </c>
      <c r="EL41">
        <f>SUMIFS(DataRegularSeason20242025!$AA$3:$AA$1315,DataRegularSeason20242025!$B$3:$B$1315, "&lt;=" &amp; EL$1, DataRegularSeason20242025!$D$3:$D$1315, $A41)+SUMIFS(DataRegularSeason20242025!$AB$3:$AB$1315,DataRegularSeason20242025!$B$3:$B$1315, "&lt;=" &amp; EL$1, DataRegularSeason20242025!$E$3:$E$1315, $A41)</f>
        <v>8</v>
      </c>
      <c r="EM41">
        <f>SUMIFS(DataRegularSeason20242025!$AA$3:$AA$1315,DataRegularSeason20242025!$B$3:$B$1315, "&lt;=" &amp; EM$1, DataRegularSeason20242025!$D$3:$D$1315, $A41)+SUMIFS(DataRegularSeason20242025!$AB$3:$AB$1315,DataRegularSeason20242025!$B$3:$B$1315, "&lt;=" &amp; EM$1, DataRegularSeason20242025!$E$3:$E$1315, $A41)</f>
        <v>8</v>
      </c>
      <c r="EN41">
        <f>SUMIFS(DataRegularSeason20242025!$AA$3:$AA$1315,DataRegularSeason20242025!$B$3:$B$1315, "&lt;=" &amp; EN$1, DataRegularSeason20242025!$D$3:$D$1315, $A41)+SUMIFS(DataRegularSeason20242025!$AB$3:$AB$1315,DataRegularSeason20242025!$B$3:$B$1315, "&lt;=" &amp; EN$1, DataRegularSeason20242025!$E$3:$E$1315, $A41)</f>
        <v>8</v>
      </c>
      <c r="EO41">
        <f>SUMIFS(DataRegularSeason20242025!$AA$3:$AA$1315,DataRegularSeason20242025!$B$3:$B$1315, "&lt;=" &amp; EO$1, DataRegularSeason20242025!$D$3:$D$1315, $A41)+SUMIFS(DataRegularSeason20242025!$AB$3:$AB$1315,DataRegularSeason20242025!$B$3:$B$1315, "&lt;=" &amp; EO$1, DataRegularSeason20242025!$E$3:$E$1315, $A41)</f>
        <v>8</v>
      </c>
      <c r="EP41">
        <f>SUMIFS(DataRegularSeason20242025!$AA$3:$AA$1315,DataRegularSeason20242025!$B$3:$B$1315, "&lt;=" &amp; EP$1, DataRegularSeason20242025!$D$3:$D$1315, $A41)+SUMIFS(DataRegularSeason20242025!$AB$3:$AB$1315,DataRegularSeason20242025!$B$3:$B$1315, "&lt;=" &amp; EP$1, DataRegularSeason20242025!$E$3:$E$1315, $A41)</f>
        <v>8</v>
      </c>
      <c r="EQ41">
        <f>SUMIFS(DataRegularSeason20242025!$AA$3:$AA$1315,DataRegularSeason20242025!$B$3:$B$1315, "&lt;=" &amp; EQ$1, DataRegularSeason20242025!$D$3:$D$1315, $A41)+SUMIFS(DataRegularSeason20242025!$AB$3:$AB$1315,DataRegularSeason20242025!$B$3:$B$1315, "&lt;=" &amp; EQ$1, DataRegularSeason20242025!$E$3:$E$1315, $A41)</f>
        <v>8</v>
      </c>
      <c r="ER41">
        <f>SUMIFS(DataRegularSeason20242025!$AA$3:$AA$1315,DataRegularSeason20242025!$B$3:$B$1315, "&lt;=" &amp; ER$1, DataRegularSeason20242025!$D$3:$D$1315, $A41)+SUMIFS(DataRegularSeason20242025!$AB$3:$AB$1315,DataRegularSeason20242025!$B$3:$B$1315, "&lt;=" &amp; ER$1, DataRegularSeason20242025!$E$3:$E$1315, $A41)</f>
        <v>8</v>
      </c>
      <c r="ES41">
        <f>SUMIFS(DataRegularSeason20242025!$AA$3:$AA$1315,DataRegularSeason20242025!$B$3:$B$1315, "&lt;=" &amp; ES$1, DataRegularSeason20242025!$D$3:$D$1315, $A41)+SUMIFS(DataRegularSeason20242025!$AB$3:$AB$1315,DataRegularSeason20242025!$B$3:$B$1315, "&lt;=" &amp; ES$1, DataRegularSeason20242025!$E$3:$E$1315, $A41)</f>
        <v>8</v>
      </c>
      <c r="ET41">
        <f>SUMIFS(DataRegularSeason20242025!$AA$3:$AA$1315,DataRegularSeason20242025!$B$3:$B$1315, "&lt;=" &amp; ET$1, DataRegularSeason20242025!$D$3:$D$1315, $A41)+SUMIFS(DataRegularSeason20242025!$AB$3:$AB$1315,DataRegularSeason20242025!$B$3:$B$1315, "&lt;=" &amp; ET$1, DataRegularSeason20242025!$E$3:$E$1315, $A41)</f>
        <v>8</v>
      </c>
      <c r="EU41">
        <f>SUMIFS(DataRegularSeason20242025!$AA$3:$AA$1315,DataRegularSeason20242025!$B$3:$B$1315, "&lt;=" &amp; EU$1, DataRegularSeason20242025!$D$3:$D$1315, $A41)+SUMIFS(DataRegularSeason20242025!$AB$3:$AB$1315,DataRegularSeason20242025!$B$3:$B$1315, "&lt;=" &amp; EU$1, DataRegularSeason20242025!$E$3:$E$1315, $A41)</f>
        <v>8</v>
      </c>
      <c r="EV41">
        <f>SUMIFS(DataRegularSeason20242025!$AA$3:$AA$1315,DataRegularSeason20242025!$B$3:$B$1315, "&lt;=" &amp; EV$1, DataRegularSeason20242025!$D$3:$D$1315, $A41)+SUMIFS(DataRegularSeason20242025!$AB$3:$AB$1315,DataRegularSeason20242025!$B$3:$B$1315, "&lt;=" &amp; EV$1, DataRegularSeason20242025!$E$3:$E$1315, $A41)</f>
        <v>8</v>
      </c>
      <c r="EW41">
        <f>SUMIFS(DataRegularSeason20242025!$AA$3:$AA$1315,DataRegularSeason20242025!$B$3:$B$1315, "&lt;=" &amp; EW$1, DataRegularSeason20242025!$D$3:$D$1315, $A41)+SUMIFS(DataRegularSeason20242025!$AB$3:$AB$1315,DataRegularSeason20242025!$B$3:$B$1315, "&lt;=" &amp; EW$1, DataRegularSeason20242025!$E$3:$E$1315, $A41)</f>
        <v>8</v>
      </c>
      <c r="EX41">
        <f>SUMIFS(DataRegularSeason20242025!$AA$3:$AA$1315,DataRegularSeason20242025!$B$3:$B$1315, "&lt;=" &amp; EX$1, DataRegularSeason20242025!$D$3:$D$1315, $A41)+SUMIFS(DataRegularSeason20242025!$AB$3:$AB$1315,DataRegularSeason20242025!$B$3:$B$1315, "&lt;=" &amp; EX$1, DataRegularSeason20242025!$E$3:$E$1315, $A41)</f>
        <v>8</v>
      </c>
      <c r="EY41">
        <f>SUMIFS(DataRegularSeason20242025!$AA$3:$AA$1315,DataRegularSeason20242025!$B$3:$B$1315, "&lt;=" &amp; EY$1, DataRegularSeason20242025!$D$3:$D$1315, $A41)+SUMIFS(DataRegularSeason20242025!$AB$3:$AB$1315,DataRegularSeason20242025!$B$3:$B$1315, "&lt;=" &amp; EY$1, DataRegularSeason20242025!$E$3:$E$1315, $A41)</f>
        <v>8</v>
      </c>
      <c r="EZ41">
        <f>SUMIFS(DataRegularSeason20242025!$AA$3:$AA$1315,DataRegularSeason20242025!$B$3:$B$1315, "&lt;=" &amp; EZ$1, DataRegularSeason20242025!$D$3:$D$1315, $A41)+SUMIFS(DataRegularSeason20242025!$AB$3:$AB$1315,DataRegularSeason20242025!$B$3:$B$1315, "&lt;=" &amp; EZ$1, DataRegularSeason20242025!$E$3:$E$1315, $A41)</f>
        <v>8</v>
      </c>
      <c r="FA41">
        <f>SUMIFS(DataRegularSeason20242025!$AA$3:$AA$1315,DataRegularSeason20242025!$B$3:$B$1315, "&lt;=" &amp; FA$1, DataRegularSeason20242025!$D$3:$D$1315, $A41)+SUMIFS(DataRegularSeason20242025!$AB$3:$AB$1315,DataRegularSeason20242025!$B$3:$B$1315, "&lt;=" &amp; FA$1, DataRegularSeason20242025!$E$3:$E$1315, $A41)</f>
        <v>8</v>
      </c>
      <c r="FB41">
        <f>SUMIFS(DataRegularSeason20242025!$AA$3:$AA$1315,DataRegularSeason20242025!$B$3:$B$1315, "&lt;=" &amp; FB$1, DataRegularSeason20242025!$D$3:$D$1315, $A41)+SUMIFS(DataRegularSeason20242025!$AB$3:$AB$1315,DataRegularSeason20242025!$B$3:$B$1315, "&lt;=" &amp; FB$1, DataRegularSeason20242025!$E$3:$E$1315, $A41)</f>
        <v>8</v>
      </c>
      <c r="FC41">
        <f>SUMIFS(DataRegularSeason20242025!$AA$3:$AA$1315,DataRegularSeason20242025!$B$3:$B$1315, "&lt;=" &amp; FC$1, DataRegularSeason20242025!$D$3:$D$1315, $A41)+SUMIFS(DataRegularSeason20242025!$AB$3:$AB$1315,DataRegularSeason20242025!$B$3:$B$1315, "&lt;=" &amp; FC$1, DataRegularSeason20242025!$E$3:$E$1315, $A41)</f>
        <v>8</v>
      </c>
      <c r="FD41">
        <f>SUMIFS(DataRegularSeason20242025!$AA$3:$AA$1315,DataRegularSeason20242025!$B$3:$B$1315, "&lt;=" &amp; FD$1, DataRegularSeason20242025!$D$3:$D$1315, $A41)+SUMIFS(DataRegularSeason20242025!$AB$3:$AB$1315,DataRegularSeason20242025!$B$3:$B$1315, "&lt;=" &amp; FD$1, DataRegularSeason20242025!$E$3:$E$1315, $A41)</f>
        <v>8</v>
      </c>
      <c r="FE41">
        <f>SUMIFS(DataRegularSeason20242025!$AA$3:$AA$1315,DataRegularSeason20242025!$B$3:$B$1315, "&lt;=" &amp; FE$1, DataRegularSeason20242025!$D$3:$D$1315, $A41)+SUMIFS(DataRegularSeason20242025!$AB$3:$AB$1315,DataRegularSeason20242025!$B$3:$B$1315, "&lt;=" &amp; FE$1, DataRegularSeason20242025!$E$3:$E$1315, $A41)</f>
        <v>8</v>
      </c>
      <c r="FF41">
        <f>SUMIFS(DataRegularSeason20242025!$AA$3:$AA$1315,DataRegularSeason20242025!$B$3:$B$1315, "&lt;=" &amp; FF$1, DataRegularSeason20242025!$D$3:$D$1315, $A41)+SUMIFS(DataRegularSeason20242025!$AB$3:$AB$1315,DataRegularSeason20242025!$B$3:$B$1315, "&lt;=" &amp; FF$1, DataRegularSeason20242025!$E$3:$E$1315, $A41)</f>
        <v>8</v>
      </c>
      <c r="FG41">
        <f>SUMIFS(DataRegularSeason20242025!$AA$3:$AA$1315,DataRegularSeason20242025!$B$3:$B$1315, "&lt;=" &amp; FG$1, DataRegularSeason20242025!$D$3:$D$1315, $A41)+SUMIFS(DataRegularSeason20242025!$AB$3:$AB$1315,DataRegularSeason20242025!$B$3:$B$1315, "&lt;=" &amp; FG$1, DataRegularSeason20242025!$E$3:$E$1315, $A41)</f>
        <v>8</v>
      </c>
      <c r="FH41">
        <f>SUMIFS(DataRegularSeason20242025!$AA$3:$AA$1315,DataRegularSeason20242025!$B$3:$B$1315, "&lt;=" &amp; FH$1, DataRegularSeason20242025!$D$3:$D$1315, $A41)+SUMIFS(DataRegularSeason20242025!$AB$3:$AB$1315,DataRegularSeason20242025!$B$3:$B$1315, "&lt;=" &amp; FH$1, DataRegularSeason20242025!$E$3:$E$1315, $A41)</f>
        <v>8</v>
      </c>
      <c r="FI41">
        <f>SUMIFS(DataRegularSeason20242025!$AA$3:$AA$1315,DataRegularSeason20242025!$B$3:$B$1315, "&lt;=" &amp; FI$1, DataRegularSeason20242025!$D$3:$D$1315, $A41)+SUMIFS(DataRegularSeason20242025!$AB$3:$AB$1315,DataRegularSeason20242025!$B$3:$B$1315, "&lt;=" &amp; FI$1, DataRegularSeason20242025!$E$3:$E$1315, $A41)</f>
        <v>8</v>
      </c>
      <c r="FJ41">
        <f>SUMIFS(DataRegularSeason20242025!$AA$3:$AA$1315,DataRegularSeason20242025!$B$3:$B$1315, "&lt;=" &amp; FJ$1, DataRegularSeason20242025!$D$3:$D$1315, $A41)+SUMIFS(DataRegularSeason20242025!$AB$3:$AB$1315,DataRegularSeason20242025!$B$3:$B$1315, "&lt;=" &amp; FJ$1, DataRegularSeason20242025!$E$3:$E$1315, $A41)</f>
        <v>8</v>
      </c>
      <c r="FK41">
        <f>SUMIFS(DataRegularSeason20242025!$AA$3:$AA$1315,DataRegularSeason20242025!$B$3:$B$1315, "&lt;=" &amp; FK$1, DataRegularSeason20242025!$D$3:$D$1315, $A41)+SUMIFS(DataRegularSeason20242025!$AB$3:$AB$1315,DataRegularSeason20242025!$B$3:$B$1315, "&lt;=" &amp; FK$1, DataRegularSeason20242025!$E$3:$E$1315, $A41)</f>
        <v>8</v>
      </c>
      <c r="FL41">
        <f>SUMIFS(DataRegularSeason20242025!$AA$3:$AA$1315,DataRegularSeason20242025!$B$3:$B$1315, "&lt;=" &amp; FL$1, DataRegularSeason20242025!$D$3:$D$1315, $A41)+SUMIFS(DataRegularSeason20242025!$AB$3:$AB$1315,DataRegularSeason20242025!$B$3:$B$1315, "&lt;=" &amp; FL$1, DataRegularSeason20242025!$E$3:$E$1315, $A41)</f>
        <v>8</v>
      </c>
      <c r="FM41">
        <f>SUMIFS(DataRegularSeason20242025!$AA$3:$AA$1315,DataRegularSeason20242025!$B$3:$B$1315, "&lt;=" &amp; FM$1, DataRegularSeason20242025!$D$3:$D$1315, $A41)+SUMIFS(DataRegularSeason20242025!$AB$3:$AB$1315,DataRegularSeason20242025!$B$3:$B$1315, "&lt;=" &amp; FM$1, DataRegularSeason20242025!$E$3:$E$1315, $A41)</f>
        <v>8</v>
      </c>
      <c r="FN41">
        <f>SUMIFS(DataRegularSeason20242025!$AA$3:$AA$1315,DataRegularSeason20242025!$B$3:$B$1315, "&lt;=" &amp; FN$1, DataRegularSeason20242025!$D$3:$D$1315, $A41)+SUMIFS(DataRegularSeason20242025!$AB$3:$AB$1315,DataRegularSeason20242025!$B$3:$B$1315, "&lt;=" &amp; FN$1, DataRegularSeason20242025!$E$3:$E$1315, $A41)</f>
        <v>8</v>
      </c>
      <c r="FO41">
        <f>SUMIFS(DataRegularSeason20242025!$AA$3:$AA$1315,DataRegularSeason20242025!$B$3:$B$1315, "&lt;=" &amp; FO$1, DataRegularSeason20242025!$D$3:$D$1315, $A41)+SUMIFS(DataRegularSeason20242025!$AB$3:$AB$1315,DataRegularSeason20242025!$B$3:$B$1315, "&lt;=" &amp; FO$1, DataRegularSeason20242025!$E$3:$E$1315, $A41)</f>
        <v>8</v>
      </c>
      <c r="FP41">
        <f>SUMIFS(DataRegularSeason20242025!$AA$3:$AA$1315,DataRegularSeason20242025!$B$3:$B$1315, "&lt;=" &amp; FP$1, DataRegularSeason20242025!$D$3:$D$1315, $A41)+SUMIFS(DataRegularSeason20242025!$AB$3:$AB$1315,DataRegularSeason20242025!$B$3:$B$1315, "&lt;=" &amp; FP$1, DataRegularSeason20242025!$E$3:$E$1315, $A41)</f>
        <v>8</v>
      </c>
      <c r="FQ41">
        <f>SUMIFS(DataRegularSeason20242025!$AA$3:$AA$1315,DataRegularSeason20242025!$B$3:$B$1315, "&lt;=" &amp; FQ$1, DataRegularSeason20242025!$D$3:$D$1315, $A41)+SUMIFS(DataRegularSeason20242025!$AB$3:$AB$1315,DataRegularSeason20242025!$B$3:$B$1315, "&lt;=" &amp; FQ$1, DataRegularSeason20242025!$E$3:$E$1315, $A41)</f>
        <v>8</v>
      </c>
      <c r="FR41">
        <f>SUMIFS(DataRegularSeason20242025!$AA$3:$AA$1315,DataRegularSeason20242025!$B$3:$B$1315, "&lt;=" &amp; FR$1, DataRegularSeason20242025!$D$3:$D$1315, $A41)+SUMIFS(DataRegularSeason20242025!$AB$3:$AB$1315,DataRegularSeason20242025!$B$3:$B$1315, "&lt;=" &amp; FR$1, DataRegularSeason20242025!$E$3:$E$1315, $A41)</f>
        <v>8</v>
      </c>
      <c r="FS41">
        <f>SUMIFS(DataRegularSeason20242025!$AA$3:$AA$1315,DataRegularSeason20242025!$B$3:$B$1315, "&lt;=" &amp; FS$1, DataRegularSeason20242025!$D$3:$D$1315, $A41)+SUMIFS(DataRegularSeason20242025!$AB$3:$AB$1315,DataRegularSeason20242025!$B$3:$B$1315, "&lt;=" &amp; FS$1, DataRegularSeason20242025!$E$3:$E$1315, $A41)</f>
        <v>8</v>
      </c>
      <c r="FT41">
        <f>SUMIFS(DataRegularSeason20242025!$AA$3:$AA$1315,DataRegularSeason20242025!$B$3:$B$1315, "&lt;=" &amp; FT$1, DataRegularSeason20242025!$D$3:$D$1315, $A41)+SUMIFS(DataRegularSeason20242025!$AB$3:$AB$1315,DataRegularSeason20242025!$B$3:$B$1315, "&lt;=" &amp; FT$1, DataRegularSeason20242025!$E$3:$E$1315, $A41)</f>
        <v>8</v>
      </c>
      <c r="FU41">
        <f>SUMIFS(DataRegularSeason20242025!$AA$3:$AA$1315,DataRegularSeason20242025!$B$3:$B$1315, "&lt;=" &amp; FU$1, DataRegularSeason20242025!$D$3:$D$1315, $A41)+SUMIFS(DataRegularSeason20242025!$AB$3:$AB$1315,DataRegularSeason20242025!$B$3:$B$1315, "&lt;=" &amp; FU$1, DataRegularSeason20242025!$E$3:$E$1315, $A41)</f>
        <v>8</v>
      </c>
      <c r="FV41">
        <f>SUMIFS(DataRegularSeason20242025!$AA$3:$AA$1315,DataRegularSeason20242025!$B$3:$B$1315, "&lt;=" &amp; FV$1, DataRegularSeason20242025!$D$3:$D$1315, $A41)+SUMIFS(DataRegularSeason20242025!$AB$3:$AB$1315,DataRegularSeason20242025!$B$3:$B$1315, "&lt;=" &amp; FV$1, DataRegularSeason20242025!$E$3:$E$1315, $A41)</f>
        <v>8</v>
      </c>
      <c r="FW41">
        <f>SUMIFS(DataRegularSeason20242025!$AA$3:$AA$1315,DataRegularSeason20242025!$B$3:$B$1315, "&lt;=" &amp; FW$1, DataRegularSeason20242025!$D$3:$D$1315, $A41)+SUMIFS(DataRegularSeason20242025!$AB$3:$AB$1315,DataRegularSeason20242025!$B$3:$B$1315, "&lt;=" &amp; FW$1, DataRegularSeason20242025!$E$3:$E$1315, $A41)</f>
        <v>8</v>
      </c>
      <c r="FX41">
        <f>SUMIFS(DataRegularSeason20242025!$AA$3:$AA$1315,DataRegularSeason20242025!$B$3:$B$1315, "&lt;=" &amp; FX$1, DataRegularSeason20242025!$D$3:$D$1315, $A41)+SUMIFS(DataRegularSeason20242025!$AB$3:$AB$1315,DataRegularSeason20242025!$B$3:$B$1315, "&lt;=" &amp; FX$1, DataRegularSeason20242025!$E$3:$E$1315, $A41)</f>
        <v>8</v>
      </c>
      <c r="FY41">
        <f>SUMIFS(DataRegularSeason20242025!$AA$3:$AA$1315,DataRegularSeason20242025!$B$3:$B$1315, "&lt;=" &amp; FY$1, DataRegularSeason20242025!$D$3:$D$1315, $A41)+SUMIFS(DataRegularSeason20242025!$AB$3:$AB$1315,DataRegularSeason20242025!$B$3:$B$1315, "&lt;=" &amp; FY$1, DataRegularSeason20242025!$E$3:$E$1315, $A41)</f>
        <v>8</v>
      </c>
      <c r="FZ41">
        <f>SUMIFS(DataRegularSeason20242025!$AA$3:$AA$1315,DataRegularSeason20242025!$B$3:$B$1315, "&lt;=" &amp; FZ$1, DataRegularSeason20242025!$D$3:$D$1315, $A41)+SUMIFS(DataRegularSeason20242025!$AB$3:$AB$1315,DataRegularSeason20242025!$B$3:$B$1315, "&lt;=" &amp; FZ$1, DataRegularSeason20242025!$E$3:$E$1315, $A41)</f>
        <v>8</v>
      </c>
      <c r="GA41">
        <f>SUMIFS(DataRegularSeason20242025!$AA$3:$AA$1315,DataRegularSeason20242025!$B$3:$B$1315, "&lt;=" &amp; GA$1, DataRegularSeason20242025!$D$3:$D$1315, $A41)+SUMIFS(DataRegularSeason20242025!$AB$3:$AB$1315,DataRegularSeason20242025!$B$3:$B$1315, "&lt;=" &amp; GA$1, DataRegularSeason20242025!$E$3:$E$1315, $A41)</f>
        <v>8</v>
      </c>
      <c r="GB41">
        <f>SUMIFS(DataRegularSeason20242025!$AA$3:$AA$1315,DataRegularSeason20242025!$B$3:$B$1315, "&lt;=" &amp; GB$1, DataRegularSeason20242025!$D$3:$D$1315, $A41)+SUMIFS(DataRegularSeason20242025!$AB$3:$AB$1315,DataRegularSeason20242025!$B$3:$B$1315, "&lt;=" &amp; GB$1, DataRegularSeason20242025!$E$3:$E$1315, $A41)</f>
        <v>8</v>
      </c>
      <c r="GC41">
        <f>SUMIFS(DataRegularSeason20242025!$AA$3:$AA$1315,DataRegularSeason20242025!$B$3:$B$1315, "&lt;=" &amp; GC$1, DataRegularSeason20242025!$D$3:$D$1315, $A41)+SUMIFS(DataRegularSeason20242025!$AB$3:$AB$1315,DataRegularSeason20242025!$B$3:$B$1315, "&lt;=" &amp; GC$1, DataRegularSeason20242025!$E$3:$E$1315, $A41)</f>
        <v>8</v>
      </c>
      <c r="GD41">
        <f>SUMIFS(DataRegularSeason20242025!$AA$3:$AA$1315,DataRegularSeason20242025!$B$3:$B$1315, "&lt;=" &amp; GD$1, DataRegularSeason20242025!$D$3:$D$1315, $A41)+SUMIFS(DataRegularSeason20242025!$AB$3:$AB$1315,DataRegularSeason20242025!$B$3:$B$1315, "&lt;=" &amp; GD$1, DataRegularSeason20242025!$E$3:$E$1315, $A41)</f>
        <v>8</v>
      </c>
      <c r="GE41">
        <f>SUMIFS(DataRegularSeason20242025!$AA$3:$AA$1315,DataRegularSeason20242025!$B$3:$B$1315, "&lt;=" &amp; GE$1, DataRegularSeason20242025!$D$3:$D$1315, $A41)+SUMIFS(DataRegularSeason20242025!$AB$3:$AB$1315,DataRegularSeason20242025!$B$3:$B$1315, "&lt;=" &amp; GE$1, DataRegularSeason20242025!$E$3:$E$1315, $A41)</f>
        <v>8</v>
      </c>
      <c r="GF41">
        <f>SUMIFS(DataRegularSeason20242025!$AA$3:$AA$1315,DataRegularSeason20242025!$B$3:$B$1315, "&lt;=" &amp; GF$1, DataRegularSeason20242025!$D$3:$D$1315, $A41)+SUMIFS(DataRegularSeason20242025!$AB$3:$AB$1315,DataRegularSeason20242025!$B$3:$B$1315, "&lt;=" &amp; GF$1, DataRegularSeason20242025!$E$3:$E$1315, $A41)</f>
        <v>8</v>
      </c>
      <c r="GG41">
        <f>SUMIFS(DataRegularSeason20242025!$AA$3:$AA$1315,DataRegularSeason20242025!$B$3:$B$1315, "&lt;=" &amp; GG$1, DataRegularSeason20242025!$D$3:$D$1315, $A41)+SUMIFS(DataRegularSeason20242025!$AB$3:$AB$1315,DataRegularSeason20242025!$B$3:$B$1315, "&lt;=" &amp; GG$1, DataRegularSeason20242025!$E$3:$E$1315, $A41)</f>
        <v>8</v>
      </c>
      <c r="GH41">
        <f>SUMIFS(DataRegularSeason20242025!$AA$3:$AA$1315,DataRegularSeason20242025!$B$3:$B$1315, "&lt;=" &amp; GH$1, DataRegularSeason20242025!$D$3:$D$1315, $A41)+SUMIFS(DataRegularSeason20242025!$AB$3:$AB$1315,DataRegularSeason20242025!$B$3:$B$1315, "&lt;=" &amp; GH$1, DataRegularSeason20242025!$E$3:$E$1315, $A41)</f>
        <v>8</v>
      </c>
      <c r="GI41">
        <f>SUMIFS(DataRegularSeason20242025!$AA$3:$AA$1315,DataRegularSeason20242025!$B$3:$B$1315, "&lt;=" &amp; GI$1, DataRegularSeason20242025!$D$3:$D$1315, $A41)+SUMIFS(DataRegularSeason20242025!$AB$3:$AB$1315,DataRegularSeason20242025!$B$3:$B$1315, "&lt;=" &amp; GI$1, DataRegularSeason20242025!$E$3:$E$1315, $A41)</f>
        <v>8</v>
      </c>
      <c r="GJ41">
        <f>SUMIFS(DataRegularSeason20242025!$AA$3:$AA$1315,DataRegularSeason20242025!$B$3:$B$1315, "&lt;=" &amp; GJ$1, DataRegularSeason20242025!$D$3:$D$1315, $A41)+SUMIFS(DataRegularSeason20242025!$AB$3:$AB$1315,DataRegularSeason20242025!$B$3:$B$1315, "&lt;=" &amp; GJ$1, DataRegularSeason20242025!$E$3:$E$1315, $A41)</f>
        <v>8</v>
      </c>
      <c r="GK41">
        <f>SUMIFS(DataRegularSeason20242025!$AA$3:$AA$1315,DataRegularSeason20242025!$B$3:$B$1315, "&lt;=" &amp; GK$1, DataRegularSeason20242025!$D$3:$D$1315, $A41)+SUMIFS(DataRegularSeason20242025!$AB$3:$AB$1315,DataRegularSeason20242025!$B$3:$B$1315, "&lt;=" &amp; GK$1, DataRegularSeason20242025!$E$3:$E$1315, $A41)</f>
        <v>8</v>
      </c>
      <c r="GL41">
        <f>SUMIFS(DataRegularSeason20242025!$AA$3:$AA$1315,DataRegularSeason20242025!$B$3:$B$1315, "&lt;=" &amp; GL$1, DataRegularSeason20242025!$D$3:$D$1315, $A41)+SUMIFS(DataRegularSeason20242025!$AB$3:$AB$1315,DataRegularSeason20242025!$B$3:$B$1315, "&lt;=" &amp; GL$1, DataRegularSeason20242025!$E$3:$E$1315, $A41)</f>
        <v>8</v>
      </c>
      <c r="GM41">
        <f>SUMIFS(DataRegularSeason20242025!$AA$3:$AA$1315,DataRegularSeason20242025!$B$3:$B$1315, "&lt;=" &amp; GM$1, DataRegularSeason20242025!$D$3:$D$1315, $A41)+SUMIFS(DataRegularSeason20242025!$AB$3:$AB$1315,DataRegularSeason20242025!$B$3:$B$1315, "&lt;=" &amp; GM$1, DataRegularSeason20242025!$E$3:$E$1315, $A41)</f>
        <v>8</v>
      </c>
      <c r="GN41">
        <f>SUMIFS(DataRegularSeason20242025!$AA$3:$AA$1315,DataRegularSeason20242025!$B$3:$B$1315, "&lt;=" &amp; GN$1, DataRegularSeason20242025!$D$3:$D$1315, $A41)+SUMIFS(DataRegularSeason20242025!$AB$3:$AB$1315,DataRegularSeason20242025!$B$3:$B$1315, "&lt;=" &amp; GN$1, DataRegularSeason20242025!$E$3:$E$1315, $A41)</f>
        <v>8</v>
      </c>
      <c r="GO41">
        <f>SUMIFS(DataRegularSeason20242025!$AA$3:$AA$1315,DataRegularSeason20242025!$B$3:$B$1315, "&lt;=" &amp; GO$1, DataRegularSeason20242025!$D$3:$D$1315, $A41)+SUMIFS(DataRegularSeason20242025!$AB$3:$AB$1315,DataRegularSeason20242025!$B$3:$B$1315, "&lt;=" &amp; GO$1, DataRegularSeason20242025!$E$3:$E$1315, $A41)</f>
        <v>8</v>
      </c>
      <c r="GP41">
        <f>SUMIFS(DataRegularSeason20242025!$AA$3:$AA$1315,DataRegularSeason20242025!$B$3:$B$1315, "&lt;=" &amp; GP$1, DataRegularSeason20242025!$D$3:$D$1315, $A41)+SUMIFS(DataRegularSeason20242025!$AB$3:$AB$1315,DataRegularSeason20242025!$B$3:$B$1315, "&lt;=" &amp; GP$1, DataRegularSeason20242025!$E$3:$E$1315, $A41)</f>
        <v>8</v>
      </c>
      <c r="GQ41">
        <f>SUMIFS(DataRegularSeason20242025!$AA$3:$AA$1315,DataRegularSeason20242025!$B$3:$B$1315, "&lt;=" &amp; GQ$1, DataRegularSeason20242025!$D$3:$D$1315, $A41)+SUMIFS(DataRegularSeason20242025!$AB$3:$AB$1315,DataRegularSeason20242025!$B$3:$B$1315, "&lt;=" &amp; GQ$1, DataRegularSeason20242025!$E$3:$E$1315, $A41)</f>
        <v>8</v>
      </c>
      <c r="GR41">
        <f>SUMIFS(DataRegularSeason20242025!$AA$3:$AA$1315,DataRegularSeason20242025!$B$3:$B$1315, "&lt;=" &amp; GR$1, DataRegularSeason20242025!$D$3:$D$1315, $A41)+SUMIFS(DataRegularSeason20242025!$AB$3:$AB$1315,DataRegularSeason20242025!$B$3:$B$1315, "&lt;=" &amp; GR$1, DataRegularSeason20242025!$E$3:$E$1315, $A41)</f>
        <v>8</v>
      </c>
      <c r="GS41">
        <f>SUMIFS(DataRegularSeason20242025!$AA$3:$AA$1315,DataRegularSeason20242025!$B$3:$B$1315, "&lt;=" &amp; GS$1, DataRegularSeason20242025!$D$3:$D$1315, $A41)+SUMIFS(DataRegularSeason20242025!$AB$3:$AB$1315,DataRegularSeason20242025!$B$3:$B$1315, "&lt;=" &amp; GS$1, DataRegularSeason20242025!$E$3:$E$1315, $A41)</f>
        <v>8</v>
      </c>
      <c r="GT41">
        <f>SUMIFS(DataRegularSeason20242025!$AA$3:$AA$1315,DataRegularSeason20242025!$B$3:$B$1315, "&lt;=" &amp; GT$1, DataRegularSeason20242025!$D$3:$D$1315, $A41)+SUMIFS(DataRegularSeason20242025!$AB$3:$AB$1315,DataRegularSeason20242025!$B$3:$B$1315, "&lt;=" &amp; GT$1, DataRegularSeason20242025!$E$3:$E$1315, $A41)</f>
        <v>8</v>
      </c>
      <c r="GU41">
        <f>SUMIFS(DataRegularSeason20242025!$AA$3:$AA$1315,DataRegularSeason20242025!$B$3:$B$1315, "&lt;=" &amp; GU$1, DataRegularSeason20242025!$D$3:$D$1315, $A41)+SUMIFS(DataRegularSeason20242025!$AB$3:$AB$1315,DataRegularSeason20242025!$B$3:$B$1315, "&lt;=" &amp; GU$1, DataRegularSeason20242025!$E$3:$E$1315, $A41)</f>
        <v>8</v>
      </c>
    </row>
    <row r="42" spans="1:275" x14ac:dyDescent="0.25">
      <c r="A42" t="s">
        <v>15</v>
      </c>
      <c r="B42" t="s">
        <v>91</v>
      </c>
      <c r="C42" t="s">
        <v>74</v>
      </c>
      <c r="D42">
        <f>SUMIFS(DataRegularSeason20242025!$AA$3:$AA$1315,DataRegularSeason20242025!$B$3:$B$1315, "&lt;=" &amp; D$1, DataRegularSeason20242025!$D$3:$D$1315, $A42)+SUMIFS(DataRegularSeason20242025!$AB$3:$AB$1315,DataRegularSeason20242025!$B$3:$B$1315, "&lt;=" &amp; D$1, DataRegularSeason20242025!$E$3:$E$1315, $A42)</f>
        <v>0</v>
      </c>
      <c r="E42">
        <f>SUMIFS(DataRegularSeason20242025!$AA$3:$AA$1315,DataRegularSeason20242025!$B$3:$B$1315, "&lt;=" &amp; E$1, DataRegularSeason20242025!$D$3:$D$1315, $A42)+SUMIFS(DataRegularSeason20242025!$AB$3:$AB$1315,DataRegularSeason20242025!$B$3:$B$1315, "&lt;=" &amp; E$1, DataRegularSeason20242025!$E$3:$E$1315, $A42)</f>
        <v>0</v>
      </c>
      <c r="F42">
        <f>SUMIFS(DataRegularSeason20242025!$AA$3:$AA$1315,DataRegularSeason20242025!$B$3:$B$1315, "&lt;=" &amp; F$1, DataRegularSeason20242025!$D$3:$D$1315, $A42)+SUMIFS(DataRegularSeason20242025!$AB$3:$AB$1315,DataRegularSeason20242025!$B$3:$B$1315, "&lt;=" &amp; F$1, DataRegularSeason20242025!$E$3:$E$1315, $A42)</f>
        <v>0</v>
      </c>
      <c r="G42">
        <f>SUMIFS(DataRegularSeason20242025!$AA$3:$AA$1315,DataRegularSeason20242025!$B$3:$B$1315, "&lt;=" &amp; G$1, DataRegularSeason20242025!$D$3:$D$1315, $A42)+SUMIFS(DataRegularSeason20242025!$AB$3:$AB$1315,DataRegularSeason20242025!$B$3:$B$1315, "&lt;=" &amp; G$1, DataRegularSeason20242025!$E$3:$E$1315, $A42)</f>
        <v>0</v>
      </c>
      <c r="H42">
        <f>SUMIFS(DataRegularSeason20242025!$AA$3:$AA$1315,DataRegularSeason20242025!$B$3:$B$1315, "&lt;=" &amp; H$1, DataRegularSeason20242025!$D$3:$D$1315, $A42)+SUMIFS(DataRegularSeason20242025!$AB$3:$AB$1315,DataRegularSeason20242025!$B$3:$B$1315, "&lt;=" &amp; H$1, DataRegularSeason20242025!$E$3:$E$1315, $A42)</f>
        <v>0</v>
      </c>
      <c r="I42">
        <f>SUMIFS(DataRegularSeason20242025!$AA$3:$AA$1315,DataRegularSeason20242025!$B$3:$B$1315, "&lt;=" &amp; I$1, DataRegularSeason20242025!$D$3:$D$1315, $A42)+SUMIFS(DataRegularSeason20242025!$AB$3:$AB$1315,DataRegularSeason20242025!$B$3:$B$1315, "&lt;=" &amp; I$1, DataRegularSeason20242025!$E$3:$E$1315, $A42)</f>
        <v>2</v>
      </c>
      <c r="J42">
        <f>SUMIFS(DataRegularSeason20242025!$AA$3:$AA$1315,DataRegularSeason20242025!$B$3:$B$1315, "&lt;=" &amp; J$1, DataRegularSeason20242025!$D$3:$D$1315, $A42)+SUMIFS(DataRegularSeason20242025!$AB$3:$AB$1315,DataRegularSeason20242025!$B$3:$B$1315, "&lt;=" &amp; J$1, DataRegularSeason20242025!$E$3:$E$1315, $A42)</f>
        <v>4</v>
      </c>
      <c r="K42">
        <f>SUMIFS(DataRegularSeason20242025!$AA$3:$AA$1315,DataRegularSeason20242025!$B$3:$B$1315, "&lt;=" &amp; K$1, DataRegularSeason20242025!$D$3:$D$1315, $A42)+SUMIFS(DataRegularSeason20242025!$AB$3:$AB$1315,DataRegularSeason20242025!$B$3:$B$1315, "&lt;=" &amp; K$1, DataRegularSeason20242025!$E$3:$E$1315, $A42)</f>
        <v>4</v>
      </c>
      <c r="L42">
        <f>SUMIFS(DataRegularSeason20242025!$AA$3:$AA$1315,DataRegularSeason20242025!$B$3:$B$1315, "&lt;=" &amp; L$1, DataRegularSeason20242025!$D$3:$D$1315, $A42)+SUMIFS(DataRegularSeason20242025!$AB$3:$AB$1315,DataRegularSeason20242025!$B$3:$B$1315, "&lt;=" &amp; L$1, DataRegularSeason20242025!$E$3:$E$1315, $A42)</f>
        <v>6</v>
      </c>
      <c r="M42">
        <f>SUMIFS(DataRegularSeason20242025!$AA$3:$AA$1315,DataRegularSeason20242025!$B$3:$B$1315, "&lt;=" &amp; M$1, DataRegularSeason20242025!$D$3:$D$1315, $A42)+SUMIFS(DataRegularSeason20242025!$AB$3:$AB$1315,DataRegularSeason20242025!$B$3:$B$1315, "&lt;=" &amp; M$1, DataRegularSeason20242025!$E$3:$E$1315, $A42)</f>
        <v>6</v>
      </c>
      <c r="N42">
        <f>SUMIFS(DataRegularSeason20242025!$AA$3:$AA$1315,DataRegularSeason20242025!$B$3:$B$1315, "&lt;=" &amp; N$1, DataRegularSeason20242025!$D$3:$D$1315, $A42)+SUMIFS(DataRegularSeason20242025!$AB$3:$AB$1315,DataRegularSeason20242025!$B$3:$B$1315, "&lt;=" &amp; N$1, DataRegularSeason20242025!$E$3:$E$1315, $A42)</f>
        <v>6</v>
      </c>
      <c r="O42">
        <f>SUMIFS(DataRegularSeason20242025!$AA$3:$AA$1315,DataRegularSeason20242025!$B$3:$B$1315, "&lt;=" &amp; O$1, DataRegularSeason20242025!$D$3:$D$1315, $A42)+SUMIFS(DataRegularSeason20242025!$AB$3:$AB$1315,DataRegularSeason20242025!$B$3:$B$1315, "&lt;=" &amp; O$1, DataRegularSeason20242025!$E$3:$E$1315, $A42)</f>
        <v>6</v>
      </c>
      <c r="P42">
        <f>SUMIFS(DataRegularSeason20242025!$AA$3:$AA$1315,DataRegularSeason20242025!$B$3:$B$1315, "&lt;=" &amp; P$1, DataRegularSeason20242025!$D$3:$D$1315, $A42)+SUMIFS(DataRegularSeason20242025!$AB$3:$AB$1315,DataRegularSeason20242025!$B$3:$B$1315, "&lt;=" &amp; P$1, DataRegularSeason20242025!$E$3:$E$1315, $A42)</f>
        <v>6</v>
      </c>
      <c r="Q42">
        <f>SUMIFS(DataRegularSeason20242025!$AA$3:$AA$1315,DataRegularSeason20242025!$B$3:$B$1315, "&lt;=" &amp; Q$1, DataRegularSeason20242025!$D$3:$D$1315, $A42)+SUMIFS(DataRegularSeason20242025!$AB$3:$AB$1315,DataRegularSeason20242025!$B$3:$B$1315, "&lt;=" &amp; Q$1, DataRegularSeason20242025!$E$3:$E$1315, $A42)</f>
        <v>6</v>
      </c>
      <c r="R42">
        <f>SUMIFS(DataRegularSeason20242025!$AA$3:$AA$1315,DataRegularSeason20242025!$B$3:$B$1315, "&lt;=" &amp; R$1, DataRegularSeason20242025!$D$3:$D$1315, $A42)+SUMIFS(DataRegularSeason20242025!$AB$3:$AB$1315,DataRegularSeason20242025!$B$3:$B$1315, "&lt;=" &amp; R$1, DataRegularSeason20242025!$E$3:$E$1315, $A42)</f>
        <v>6</v>
      </c>
      <c r="S42">
        <f>SUMIFS(DataRegularSeason20242025!$AA$3:$AA$1315,DataRegularSeason20242025!$B$3:$B$1315, "&lt;=" &amp; S$1, DataRegularSeason20242025!$D$3:$D$1315, $A42)+SUMIFS(DataRegularSeason20242025!$AB$3:$AB$1315,DataRegularSeason20242025!$B$3:$B$1315, "&lt;=" &amp; S$1, DataRegularSeason20242025!$E$3:$E$1315, $A42)</f>
        <v>6</v>
      </c>
      <c r="T42">
        <f>SUMIFS(DataRegularSeason20242025!$AA$3:$AA$1315,DataRegularSeason20242025!$B$3:$B$1315, "&lt;=" &amp; T$1, DataRegularSeason20242025!$D$3:$D$1315, $A42)+SUMIFS(DataRegularSeason20242025!$AB$3:$AB$1315,DataRegularSeason20242025!$B$3:$B$1315, "&lt;=" &amp; T$1, DataRegularSeason20242025!$E$3:$E$1315, $A42)</f>
        <v>6</v>
      </c>
      <c r="U42">
        <f>SUMIFS(DataRegularSeason20242025!$AA$3:$AA$1315,DataRegularSeason20242025!$B$3:$B$1315, "&lt;=" &amp; U$1, DataRegularSeason20242025!$D$3:$D$1315, $A42)+SUMIFS(DataRegularSeason20242025!$AB$3:$AB$1315,DataRegularSeason20242025!$B$3:$B$1315, "&lt;=" &amp; U$1, DataRegularSeason20242025!$E$3:$E$1315, $A42)</f>
        <v>6</v>
      </c>
      <c r="V42">
        <f>SUMIFS(DataRegularSeason20242025!$AA$3:$AA$1315,DataRegularSeason20242025!$B$3:$B$1315, "&lt;=" &amp; V$1, DataRegularSeason20242025!$D$3:$D$1315, $A42)+SUMIFS(DataRegularSeason20242025!$AB$3:$AB$1315,DataRegularSeason20242025!$B$3:$B$1315, "&lt;=" &amp; V$1, DataRegularSeason20242025!$E$3:$E$1315, $A42)</f>
        <v>6</v>
      </c>
      <c r="W42">
        <f>SUMIFS(DataRegularSeason20242025!$AA$3:$AA$1315,DataRegularSeason20242025!$B$3:$B$1315, "&lt;=" &amp; W$1, DataRegularSeason20242025!$D$3:$D$1315, $A42)+SUMIFS(DataRegularSeason20242025!$AB$3:$AB$1315,DataRegularSeason20242025!$B$3:$B$1315, "&lt;=" &amp; W$1, DataRegularSeason20242025!$E$3:$E$1315, $A42)</f>
        <v>6</v>
      </c>
      <c r="X42">
        <f>SUMIFS(DataRegularSeason20242025!$AA$3:$AA$1315,DataRegularSeason20242025!$B$3:$B$1315, "&lt;=" &amp; X$1, DataRegularSeason20242025!$D$3:$D$1315, $A42)+SUMIFS(DataRegularSeason20242025!$AB$3:$AB$1315,DataRegularSeason20242025!$B$3:$B$1315, "&lt;=" &amp; X$1, DataRegularSeason20242025!$E$3:$E$1315, $A42)</f>
        <v>6</v>
      </c>
      <c r="Y42">
        <f>SUMIFS(DataRegularSeason20242025!$AA$3:$AA$1315,DataRegularSeason20242025!$B$3:$B$1315, "&lt;=" &amp; Y$1, DataRegularSeason20242025!$D$3:$D$1315, $A42)+SUMIFS(DataRegularSeason20242025!$AB$3:$AB$1315,DataRegularSeason20242025!$B$3:$B$1315, "&lt;=" &amp; Y$1, DataRegularSeason20242025!$E$3:$E$1315, $A42)</f>
        <v>6</v>
      </c>
      <c r="Z42">
        <f>SUMIFS(DataRegularSeason20242025!$AA$3:$AA$1315,DataRegularSeason20242025!$B$3:$B$1315, "&lt;=" &amp; Z$1, DataRegularSeason20242025!$D$3:$D$1315, $A42)+SUMIFS(DataRegularSeason20242025!$AB$3:$AB$1315,DataRegularSeason20242025!$B$3:$B$1315, "&lt;=" &amp; Z$1, DataRegularSeason20242025!$E$3:$E$1315, $A42)</f>
        <v>6</v>
      </c>
      <c r="AA42">
        <f>SUMIFS(DataRegularSeason20242025!$AA$3:$AA$1315,DataRegularSeason20242025!$B$3:$B$1315, "&lt;=" &amp; AA$1, DataRegularSeason20242025!$D$3:$D$1315, $A42)+SUMIFS(DataRegularSeason20242025!$AB$3:$AB$1315,DataRegularSeason20242025!$B$3:$B$1315, "&lt;=" &amp; AA$1, DataRegularSeason20242025!$E$3:$E$1315, $A42)</f>
        <v>6</v>
      </c>
      <c r="AB42">
        <f>SUMIFS(DataRegularSeason20242025!$AA$3:$AA$1315,DataRegularSeason20242025!$B$3:$B$1315, "&lt;=" &amp; AB$1, DataRegularSeason20242025!$D$3:$D$1315, $A42)+SUMIFS(DataRegularSeason20242025!$AB$3:$AB$1315,DataRegularSeason20242025!$B$3:$B$1315, "&lt;=" &amp; AB$1, DataRegularSeason20242025!$E$3:$E$1315, $A42)</f>
        <v>6</v>
      </c>
      <c r="AC42">
        <f>SUMIFS(DataRegularSeason20242025!$AA$3:$AA$1315,DataRegularSeason20242025!$B$3:$B$1315, "&lt;=" &amp; AC$1, DataRegularSeason20242025!$D$3:$D$1315, $A42)+SUMIFS(DataRegularSeason20242025!$AB$3:$AB$1315,DataRegularSeason20242025!$B$3:$B$1315, "&lt;=" &amp; AC$1, DataRegularSeason20242025!$E$3:$E$1315, $A42)</f>
        <v>6</v>
      </c>
      <c r="AD42">
        <f>SUMIFS(DataRegularSeason20242025!$AA$3:$AA$1315,DataRegularSeason20242025!$B$3:$B$1315, "&lt;=" &amp; AD$1, DataRegularSeason20242025!$D$3:$D$1315, $A42)+SUMIFS(DataRegularSeason20242025!$AB$3:$AB$1315,DataRegularSeason20242025!$B$3:$B$1315, "&lt;=" &amp; AD$1, DataRegularSeason20242025!$E$3:$E$1315, $A42)</f>
        <v>6</v>
      </c>
      <c r="AE42">
        <f>SUMIFS(DataRegularSeason20242025!$AA$3:$AA$1315,DataRegularSeason20242025!$B$3:$B$1315, "&lt;=" &amp; AE$1, DataRegularSeason20242025!$D$3:$D$1315, $A42)+SUMIFS(DataRegularSeason20242025!$AB$3:$AB$1315,DataRegularSeason20242025!$B$3:$B$1315, "&lt;=" &amp; AE$1, DataRegularSeason20242025!$E$3:$E$1315, $A42)</f>
        <v>6</v>
      </c>
      <c r="AF42">
        <f>SUMIFS(DataRegularSeason20242025!$AA$3:$AA$1315,DataRegularSeason20242025!$B$3:$B$1315, "&lt;=" &amp; AF$1, DataRegularSeason20242025!$D$3:$D$1315, $A42)+SUMIFS(DataRegularSeason20242025!$AB$3:$AB$1315,DataRegularSeason20242025!$B$3:$B$1315, "&lt;=" &amp; AF$1, DataRegularSeason20242025!$E$3:$E$1315, $A42)</f>
        <v>6</v>
      </c>
      <c r="AG42">
        <f>SUMIFS(DataRegularSeason20242025!$AA$3:$AA$1315,DataRegularSeason20242025!$B$3:$B$1315, "&lt;=" &amp; AG$1, DataRegularSeason20242025!$D$3:$D$1315, $A42)+SUMIFS(DataRegularSeason20242025!$AB$3:$AB$1315,DataRegularSeason20242025!$B$3:$B$1315, "&lt;=" &amp; AG$1, DataRegularSeason20242025!$E$3:$E$1315, $A42)</f>
        <v>6</v>
      </c>
      <c r="AH42">
        <f>SUMIFS(DataRegularSeason20242025!$AA$3:$AA$1315,DataRegularSeason20242025!$B$3:$B$1315, "&lt;=" &amp; AH$1, DataRegularSeason20242025!$D$3:$D$1315, $A42)+SUMIFS(DataRegularSeason20242025!$AB$3:$AB$1315,DataRegularSeason20242025!$B$3:$B$1315, "&lt;=" &amp; AH$1, DataRegularSeason20242025!$E$3:$E$1315, $A42)</f>
        <v>6</v>
      </c>
      <c r="AI42">
        <f>SUMIFS(DataRegularSeason20242025!$AA$3:$AA$1315,DataRegularSeason20242025!$B$3:$B$1315, "&lt;=" &amp; AI$1, DataRegularSeason20242025!$D$3:$D$1315, $A42)+SUMIFS(DataRegularSeason20242025!$AB$3:$AB$1315,DataRegularSeason20242025!$B$3:$B$1315, "&lt;=" &amp; AI$1, DataRegularSeason20242025!$E$3:$E$1315, $A42)</f>
        <v>6</v>
      </c>
      <c r="AJ42">
        <f>SUMIFS(DataRegularSeason20242025!$AA$3:$AA$1315,DataRegularSeason20242025!$B$3:$B$1315, "&lt;=" &amp; AJ$1, DataRegularSeason20242025!$D$3:$D$1315, $A42)+SUMIFS(DataRegularSeason20242025!$AB$3:$AB$1315,DataRegularSeason20242025!$B$3:$B$1315, "&lt;=" &amp; AJ$1, DataRegularSeason20242025!$E$3:$E$1315, $A42)</f>
        <v>6</v>
      </c>
      <c r="AK42">
        <f>SUMIFS(DataRegularSeason20242025!$AA$3:$AA$1315,DataRegularSeason20242025!$B$3:$B$1315, "&lt;=" &amp; AK$1, DataRegularSeason20242025!$D$3:$D$1315, $A42)+SUMIFS(DataRegularSeason20242025!$AB$3:$AB$1315,DataRegularSeason20242025!$B$3:$B$1315, "&lt;=" &amp; AK$1, DataRegularSeason20242025!$E$3:$E$1315, $A42)</f>
        <v>6</v>
      </c>
      <c r="AL42">
        <f>SUMIFS(DataRegularSeason20242025!$AA$3:$AA$1315,DataRegularSeason20242025!$B$3:$B$1315, "&lt;=" &amp; AL$1, DataRegularSeason20242025!$D$3:$D$1315, $A42)+SUMIFS(DataRegularSeason20242025!$AB$3:$AB$1315,DataRegularSeason20242025!$B$3:$B$1315, "&lt;=" &amp; AL$1, DataRegularSeason20242025!$E$3:$E$1315, $A42)</f>
        <v>6</v>
      </c>
      <c r="AM42">
        <f>SUMIFS(DataRegularSeason20242025!$AA$3:$AA$1315,DataRegularSeason20242025!$B$3:$B$1315, "&lt;=" &amp; AM$1, DataRegularSeason20242025!$D$3:$D$1315, $A42)+SUMIFS(DataRegularSeason20242025!$AB$3:$AB$1315,DataRegularSeason20242025!$B$3:$B$1315, "&lt;=" &amp; AM$1, DataRegularSeason20242025!$E$3:$E$1315, $A42)</f>
        <v>6</v>
      </c>
      <c r="AN42">
        <f>SUMIFS(DataRegularSeason20242025!$AA$3:$AA$1315,DataRegularSeason20242025!$B$3:$B$1315, "&lt;=" &amp; AN$1, DataRegularSeason20242025!$D$3:$D$1315, $A42)+SUMIFS(DataRegularSeason20242025!$AB$3:$AB$1315,DataRegularSeason20242025!$B$3:$B$1315, "&lt;=" &amp; AN$1, DataRegularSeason20242025!$E$3:$E$1315, $A42)</f>
        <v>6</v>
      </c>
      <c r="AO42">
        <f>SUMIFS(DataRegularSeason20242025!$AA$3:$AA$1315,DataRegularSeason20242025!$B$3:$B$1315, "&lt;=" &amp; AO$1, DataRegularSeason20242025!$D$3:$D$1315, $A42)+SUMIFS(DataRegularSeason20242025!$AB$3:$AB$1315,DataRegularSeason20242025!$B$3:$B$1315, "&lt;=" &amp; AO$1, DataRegularSeason20242025!$E$3:$E$1315, $A42)</f>
        <v>6</v>
      </c>
      <c r="AP42">
        <f>SUMIFS(DataRegularSeason20242025!$AA$3:$AA$1315,DataRegularSeason20242025!$B$3:$B$1315, "&lt;=" &amp; AP$1, DataRegularSeason20242025!$D$3:$D$1315, $A42)+SUMIFS(DataRegularSeason20242025!$AB$3:$AB$1315,DataRegularSeason20242025!$B$3:$B$1315, "&lt;=" &amp; AP$1, DataRegularSeason20242025!$E$3:$E$1315, $A42)</f>
        <v>6</v>
      </c>
      <c r="AQ42">
        <f>SUMIFS(DataRegularSeason20242025!$AA$3:$AA$1315,DataRegularSeason20242025!$B$3:$B$1315, "&lt;=" &amp; AQ$1, DataRegularSeason20242025!$D$3:$D$1315, $A42)+SUMIFS(DataRegularSeason20242025!$AB$3:$AB$1315,DataRegularSeason20242025!$B$3:$B$1315, "&lt;=" &amp; AQ$1, DataRegularSeason20242025!$E$3:$E$1315, $A42)</f>
        <v>6</v>
      </c>
      <c r="AR42">
        <f>SUMIFS(DataRegularSeason20242025!$AA$3:$AA$1315,DataRegularSeason20242025!$B$3:$B$1315, "&lt;=" &amp; AR$1, DataRegularSeason20242025!$D$3:$D$1315, $A42)+SUMIFS(DataRegularSeason20242025!$AB$3:$AB$1315,DataRegularSeason20242025!$B$3:$B$1315, "&lt;=" &amp; AR$1, DataRegularSeason20242025!$E$3:$E$1315, $A42)</f>
        <v>6</v>
      </c>
      <c r="AS42">
        <f>SUMIFS(DataRegularSeason20242025!$AA$3:$AA$1315,DataRegularSeason20242025!$B$3:$B$1315, "&lt;=" &amp; AS$1, DataRegularSeason20242025!$D$3:$D$1315, $A42)+SUMIFS(DataRegularSeason20242025!$AB$3:$AB$1315,DataRegularSeason20242025!$B$3:$B$1315, "&lt;=" &amp; AS$1, DataRegularSeason20242025!$E$3:$E$1315, $A42)</f>
        <v>6</v>
      </c>
      <c r="AT42">
        <f>SUMIFS(DataRegularSeason20242025!$AA$3:$AA$1315,DataRegularSeason20242025!$B$3:$B$1315, "&lt;=" &amp; AT$1, DataRegularSeason20242025!$D$3:$D$1315, $A42)+SUMIFS(DataRegularSeason20242025!$AB$3:$AB$1315,DataRegularSeason20242025!$B$3:$B$1315, "&lt;=" &amp; AT$1, DataRegularSeason20242025!$E$3:$E$1315, $A42)</f>
        <v>6</v>
      </c>
      <c r="AU42">
        <f>SUMIFS(DataRegularSeason20242025!$AA$3:$AA$1315,DataRegularSeason20242025!$B$3:$B$1315, "&lt;=" &amp; AU$1, DataRegularSeason20242025!$D$3:$D$1315, $A42)+SUMIFS(DataRegularSeason20242025!$AB$3:$AB$1315,DataRegularSeason20242025!$B$3:$B$1315, "&lt;=" &amp; AU$1, DataRegularSeason20242025!$E$3:$E$1315, $A42)</f>
        <v>6</v>
      </c>
      <c r="AV42">
        <f>SUMIFS(DataRegularSeason20242025!$AA$3:$AA$1315,DataRegularSeason20242025!$B$3:$B$1315, "&lt;=" &amp; AV$1, DataRegularSeason20242025!$D$3:$D$1315, $A42)+SUMIFS(DataRegularSeason20242025!$AB$3:$AB$1315,DataRegularSeason20242025!$B$3:$B$1315, "&lt;=" &amp; AV$1, DataRegularSeason20242025!$E$3:$E$1315, $A42)</f>
        <v>6</v>
      </c>
      <c r="AW42">
        <f>SUMIFS(DataRegularSeason20242025!$AA$3:$AA$1315,DataRegularSeason20242025!$B$3:$B$1315, "&lt;=" &amp; AW$1, DataRegularSeason20242025!$D$3:$D$1315, $A42)+SUMIFS(DataRegularSeason20242025!$AB$3:$AB$1315,DataRegularSeason20242025!$B$3:$B$1315, "&lt;=" &amp; AW$1, DataRegularSeason20242025!$E$3:$E$1315, $A42)</f>
        <v>6</v>
      </c>
      <c r="AX42">
        <f>SUMIFS(DataRegularSeason20242025!$AA$3:$AA$1315,DataRegularSeason20242025!$B$3:$B$1315, "&lt;=" &amp; AX$1, DataRegularSeason20242025!$D$3:$D$1315, $A42)+SUMIFS(DataRegularSeason20242025!$AB$3:$AB$1315,DataRegularSeason20242025!$B$3:$B$1315, "&lt;=" &amp; AX$1, DataRegularSeason20242025!$E$3:$E$1315, $A42)</f>
        <v>6</v>
      </c>
      <c r="AY42">
        <f>SUMIFS(DataRegularSeason20242025!$AA$3:$AA$1315,DataRegularSeason20242025!$B$3:$B$1315, "&lt;=" &amp; AY$1, DataRegularSeason20242025!$D$3:$D$1315, $A42)+SUMIFS(DataRegularSeason20242025!$AB$3:$AB$1315,DataRegularSeason20242025!$B$3:$B$1315, "&lt;=" &amp; AY$1, DataRegularSeason20242025!$E$3:$E$1315, $A42)</f>
        <v>6</v>
      </c>
      <c r="AZ42">
        <f>SUMIFS(DataRegularSeason20242025!$AA$3:$AA$1315,DataRegularSeason20242025!$B$3:$B$1315, "&lt;=" &amp; AZ$1, DataRegularSeason20242025!$D$3:$D$1315, $A42)+SUMIFS(DataRegularSeason20242025!$AB$3:$AB$1315,DataRegularSeason20242025!$B$3:$B$1315, "&lt;=" &amp; AZ$1, DataRegularSeason20242025!$E$3:$E$1315, $A42)</f>
        <v>6</v>
      </c>
      <c r="BA42">
        <f>SUMIFS(DataRegularSeason20242025!$AA$3:$AA$1315,DataRegularSeason20242025!$B$3:$B$1315, "&lt;=" &amp; BA$1, DataRegularSeason20242025!$D$3:$D$1315, $A42)+SUMIFS(DataRegularSeason20242025!$AB$3:$AB$1315,DataRegularSeason20242025!$B$3:$B$1315, "&lt;=" &amp; BA$1, DataRegularSeason20242025!$E$3:$E$1315, $A42)</f>
        <v>6</v>
      </c>
      <c r="BB42">
        <f>SUMIFS(DataRegularSeason20242025!$AA$3:$AA$1315,DataRegularSeason20242025!$B$3:$B$1315, "&lt;=" &amp; BB$1, DataRegularSeason20242025!$D$3:$D$1315, $A42)+SUMIFS(DataRegularSeason20242025!$AB$3:$AB$1315,DataRegularSeason20242025!$B$3:$B$1315, "&lt;=" &amp; BB$1, DataRegularSeason20242025!$E$3:$E$1315, $A42)</f>
        <v>6</v>
      </c>
      <c r="BC42">
        <f>SUMIFS(DataRegularSeason20242025!$AA$3:$AA$1315,DataRegularSeason20242025!$B$3:$B$1315, "&lt;=" &amp; BC$1, DataRegularSeason20242025!$D$3:$D$1315, $A42)+SUMIFS(DataRegularSeason20242025!$AB$3:$AB$1315,DataRegularSeason20242025!$B$3:$B$1315, "&lt;=" &amp; BC$1, DataRegularSeason20242025!$E$3:$E$1315, $A42)</f>
        <v>6</v>
      </c>
      <c r="BD42">
        <f>SUMIFS(DataRegularSeason20242025!$AA$3:$AA$1315,DataRegularSeason20242025!$B$3:$B$1315, "&lt;=" &amp; BD$1, DataRegularSeason20242025!$D$3:$D$1315, $A42)+SUMIFS(DataRegularSeason20242025!$AB$3:$AB$1315,DataRegularSeason20242025!$B$3:$B$1315, "&lt;=" &amp; BD$1, DataRegularSeason20242025!$E$3:$E$1315, $A42)</f>
        <v>6</v>
      </c>
      <c r="BE42">
        <f>SUMIFS(DataRegularSeason20242025!$AA$3:$AA$1315,DataRegularSeason20242025!$B$3:$B$1315, "&lt;=" &amp; BE$1, DataRegularSeason20242025!$D$3:$D$1315, $A42)+SUMIFS(DataRegularSeason20242025!$AB$3:$AB$1315,DataRegularSeason20242025!$B$3:$B$1315, "&lt;=" &amp; BE$1, DataRegularSeason20242025!$E$3:$E$1315, $A42)</f>
        <v>6</v>
      </c>
      <c r="BF42">
        <f>SUMIFS(DataRegularSeason20242025!$AA$3:$AA$1315,DataRegularSeason20242025!$B$3:$B$1315, "&lt;=" &amp; BF$1, DataRegularSeason20242025!$D$3:$D$1315, $A42)+SUMIFS(DataRegularSeason20242025!$AB$3:$AB$1315,DataRegularSeason20242025!$B$3:$B$1315, "&lt;=" &amp; BF$1, DataRegularSeason20242025!$E$3:$E$1315, $A42)</f>
        <v>6</v>
      </c>
      <c r="BG42">
        <f>SUMIFS(DataRegularSeason20242025!$AA$3:$AA$1315,DataRegularSeason20242025!$B$3:$B$1315, "&lt;=" &amp; BG$1, DataRegularSeason20242025!$D$3:$D$1315, $A42)+SUMIFS(DataRegularSeason20242025!$AB$3:$AB$1315,DataRegularSeason20242025!$B$3:$B$1315, "&lt;=" &amp; BG$1, DataRegularSeason20242025!$E$3:$E$1315, $A42)</f>
        <v>6</v>
      </c>
      <c r="BH42">
        <f>SUMIFS(DataRegularSeason20242025!$AA$3:$AA$1315,DataRegularSeason20242025!$B$3:$B$1315, "&lt;=" &amp; BH$1, DataRegularSeason20242025!$D$3:$D$1315, $A42)+SUMIFS(DataRegularSeason20242025!$AB$3:$AB$1315,DataRegularSeason20242025!$B$3:$B$1315, "&lt;=" &amp; BH$1, DataRegularSeason20242025!$E$3:$E$1315, $A42)</f>
        <v>6</v>
      </c>
      <c r="BI42">
        <f>SUMIFS(DataRegularSeason20242025!$AA$3:$AA$1315,DataRegularSeason20242025!$B$3:$B$1315, "&lt;=" &amp; BI$1, DataRegularSeason20242025!$D$3:$D$1315, $A42)+SUMIFS(DataRegularSeason20242025!$AB$3:$AB$1315,DataRegularSeason20242025!$B$3:$B$1315, "&lt;=" &amp; BI$1, DataRegularSeason20242025!$E$3:$E$1315, $A42)</f>
        <v>6</v>
      </c>
      <c r="BJ42">
        <f>SUMIFS(DataRegularSeason20242025!$AA$3:$AA$1315,DataRegularSeason20242025!$B$3:$B$1315, "&lt;=" &amp; BJ$1, DataRegularSeason20242025!$D$3:$D$1315, $A42)+SUMIFS(DataRegularSeason20242025!$AB$3:$AB$1315,DataRegularSeason20242025!$B$3:$B$1315, "&lt;=" &amp; BJ$1, DataRegularSeason20242025!$E$3:$E$1315, $A42)</f>
        <v>6</v>
      </c>
      <c r="BK42">
        <f>SUMIFS(DataRegularSeason20242025!$AA$3:$AA$1315,DataRegularSeason20242025!$B$3:$B$1315, "&lt;=" &amp; BK$1, DataRegularSeason20242025!$D$3:$D$1315, $A42)+SUMIFS(DataRegularSeason20242025!$AB$3:$AB$1315,DataRegularSeason20242025!$B$3:$B$1315, "&lt;=" &amp; BK$1, DataRegularSeason20242025!$E$3:$E$1315, $A42)</f>
        <v>6</v>
      </c>
      <c r="BL42">
        <f>SUMIFS(DataRegularSeason20242025!$AA$3:$AA$1315,DataRegularSeason20242025!$B$3:$B$1315, "&lt;=" &amp; BL$1, DataRegularSeason20242025!$D$3:$D$1315, $A42)+SUMIFS(DataRegularSeason20242025!$AB$3:$AB$1315,DataRegularSeason20242025!$B$3:$B$1315, "&lt;=" &amp; BL$1, DataRegularSeason20242025!$E$3:$E$1315, $A42)</f>
        <v>6</v>
      </c>
      <c r="BM42">
        <f>SUMIFS(DataRegularSeason20242025!$AA$3:$AA$1315,DataRegularSeason20242025!$B$3:$B$1315, "&lt;=" &amp; BM$1, DataRegularSeason20242025!$D$3:$D$1315, $A42)+SUMIFS(DataRegularSeason20242025!$AB$3:$AB$1315,DataRegularSeason20242025!$B$3:$B$1315, "&lt;=" &amp; BM$1, DataRegularSeason20242025!$E$3:$E$1315, $A42)</f>
        <v>6</v>
      </c>
      <c r="BN42">
        <f>SUMIFS(DataRegularSeason20242025!$AA$3:$AA$1315,DataRegularSeason20242025!$B$3:$B$1315, "&lt;=" &amp; BN$1, DataRegularSeason20242025!$D$3:$D$1315, $A42)+SUMIFS(DataRegularSeason20242025!$AB$3:$AB$1315,DataRegularSeason20242025!$B$3:$B$1315, "&lt;=" &amp; BN$1, DataRegularSeason20242025!$E$3:$E$1315, $A42)</f>
        <v>6</v>
      </c>
      <c r="BO42">
        <f>SUMIFS(DataRegularSeason20242025!$AA$3:$AA$1315,DataRegularSeason20242025!$B$3:$B$1315, "&lt;=" &amp; BO$1, DataRegularSeason20242025!$D$3:$D$1315, $A42)+SUMIFS(DataRegularSeason20242025!$AB$3:$AB$1315,DataRegularSeason20242025!$B$3:$B$1315, "&lt;=" &amp; BO$1, DataRegularSeason20242025!$E$3:$E$1315, $A42)</f>
        <v>6</v>
      </c>
      <c r="BP42">
        <f>SUMIFS(DataRegularSeason20242025!$AA$3:$AA$1315,DataRegularSeason20242025!$B$3:$B$1315, "&lt;=" &amp; BP$1, DataRegularSeason20242025!$D$3:$D$1315, $A42)+SUMIFS(DataRegularSeason20242025!$AB$3:$AB$1315,DataRegularSeason20242025!$B$3:$B$1315, "&lt;=" &amp; BP$1, DataRegularSeason20242025!$E$3:$E$1315, $A42)</f>
        <v>6</v>
      </c>
      <c r="BQ42">
        <f>SUMIFS(DataRegularSeason20242025!$AA$3:$AA$1315,DataRegularSeason20242025!$B$3:$B$1315, "&lt;=" &amp; BQ$1, DataRegularSeason20242025!$D$3:$D$1315, $A42)+SUMIFS(DataRegularSeason20242025!$AB$3:$AB$1315,DataRegularSeason20242025!$B$3:$B$1315, "&lt;=" &amp; BQ$1, DataRegularSeason20242025!$E$3:$E$1315, $A42)</f>
        <v>6</v>
      </c>
      <c r="BR42">
        <f>SUMIFS(DataRegularSeason20242025!$AA$3:$AA$1315,DataRegularSeason20242025!$B$3:$B$1315, "&lt;=" &amp; BR$1, DataRegularSeason20242025!$D$3:$D$1315, $A42)+SUMIFS(DataRegularSeason20242025!$AB$3:$AB$1315,DataRegularSeason20242025!$B$3:$B$1315, "&lt;=" &amp; BR$1, DataRegularSeason20242025!$E$3:$E$1315, $A42)</f>
        <v>6</v>
      </c>
      <c r="BS42">
        <f>SUMIFS(DataRegularSeason20242025!$AA$3:$AA$1315,DataRegularSeason20242025!$B$3:$B$1315, "&lt;=" &amp; BS$1, DataRegularSeason20242025!$D$3:$D$1315, $A42)+SUMIFS(DataRegularSeason20242025!$AB$3:$AB$1315,DataRegularSeason20242025!$B$3:$B$1315, "&lt;=" &amp; BS$1, DataRegularSeason20242025!$E$3:$E$1315, $A42)</f>
        <v>6</v>
      </c>
      <c r="BT42">
        <f>SUMIFS(DataRegularSeason20242025!$AA$3:$AA$1315,DataRegularSeason20242025!$B$3:$B$1315, "&lt;=" &amp; BT$1, DataRegularSeason20242025!$D$3:$D$1315, $A42)+SUMIFS(DataRegularSeason20242025!$AB$3:$AB$1315,DataRegularSeason20242025!$B$3:$B$1315, "&lt;=" &amp; BT$1, DataRegularSeason20242025!$E$3:$E$1315, $A42)</f>
        <v>6</v>
      </c>
      <c r="BU42">
        <f>SUMIFS(DataRegularSeason20242025!$AA$3:$AA$1315,DataRegularSeason20242025!$B$3:$B$1315, "&lt;=" &amp; BU$1, DataRegularSeason20242025!$D$3:$D$1315, $A42)+SUMIFS(DataRegularSeason20242025!$AB$3:$AB$1315,DataRegularSeason20242025!$B$3:$B$1315, "&lt;=" &amp; BU$1, DataRegularSeason20242025!$E$3:$E$1315, $A42)</f>
        <v>6</v>
      </c>
      <c r="BV42">
        <f>SUMIFS(DataRegularSeason20242025!$AA$3:$AA$1315,DataRegularSeason20242025!$B$3:$B$1315, "&lt;=" &amp; BV$1, DataRegularSeason20242025!$D$3:$D$1315, $A42)+SUMIFS(DataRegularSeason20242025!$AB$3:$AB$1315,DataRegularSeason20242025!$B$3:$B$1315, "&lt;=" &amp; BV$1, DataRegularSeason20242025!$E$3:$E$1315, $A42)</f>
        <v>6</v>
      </c>
      <c r="BW42">
        <f>SUMIFS(DataRegularSeason20242025!$AA$3:$AA$1315,DataRegularSeason20242025!$B$3:$B$1315, "&lt;=" &amp; BW$1, DataRegularSeason20242025!$D$3:$D$1315, $A42)+SUMIFS(DataRegularSeason20242025!$AB$3:$AB$1315,DataRegularSeason20242025!$B$3:$B$1315, "&lt;=" &amp; BW$1, DataRegularSeason20242025!$E$3:$E$1315, $A42)</f>
        <v>6</v>
      </c>
      <c r="BX42">
        <f>SUMIFS(DataRegularSeason20242025!$AA$3:$AA$1315,DataRegularSeason20242025!$B$3:$B$1315, "&lt;=" &amp; BX$1, DataRegularSeason20242025!$D$3:$D$1315, $A42)+SUMIFS(DataRegularSeason20242025!$AB$3:$AB$1315,DataRegularSeason20242025!$B$3:$B$1315, "&lt;=" &amp; BX$1, DataRegularSeason20242025!$E$3:$E$1315, $A42)</f>
        <v>6</v>
      </c>
      <c r="BY42">
        <f>SUMIFS(DataRegularSeason20242025!$AA$3:$AA$1315,DataRegularSeason20242025!$B$3:$B$1315, "&lt;=" &amp; BY$1, DataRegularSeason20242025!$D$3:$D$1315, $A42)+SUMIFS(DataRegularSeason20242025!$AB$3:$AB$1315,DataRegularSeason20242025!$B$3:$B$1315, "&lt;=" &amp; BY$1, DataRegularSeason20242025!$E$3:$E$1315, $A42)</f>
        <v>6</v>
      </c>
      <c r="BZ42">
        <f>SUMIFS(DataRegularSeason20242025!$AA$3:$AA$1315,DataRegularSeason20242025!$B$3:$B$1315, "&lt;=" &amp; BZ$1, DataRegularSeason20242025!$D$3:$D$1315, $A42)+SUMIFS(DataRegularSeason20242025!$AB$3:$AB$1315,DataRegularSeason20242025!$B$3:$B$1315, "&lt;=" &amp; BZ$1, DataRegularSeason20242025!$E$3:$E$1315, $A42)</f>
        <v>6</v>
      </c>
      <c r="CA42">
        <f>SUMIFS(DataRegularSeason20242025!$AA$3:$AA$1315,DataRegularSeason20242025!$B$3:$B$1315, "&lt;=" &amp; CA$1, DataRegularSeason20242025!$D$3:$D$1315, $A42)+SUMIFS(DataRegularSeason20242025!$AB$3:$AB$1315,DataRegularSeason20242025!$B$3:$B$1315, "&lt;=" &amp; CA$1, DataRegularSeason20242025!$E$3:$E$1315, $A42)</f>
        <v>6</v>
      </c>
      <c r="CB42">
        <f>SUMIFS(DataRegularSeason20242025!$AA$3:$AA$1315,DataRegularSeason20242025!$B$3:$B$1315, "&lt;=" &amp; CB$1, DataRegularSeason20242025!$D$3:$D$1315, $A42)+SUMIFS(DataRegularSeason20242025!$AB$3:$AB$1315,DataRegularSeason20242025!$B$3:$B$1315, "&lt;=" &amp; CB$1, DataRegularSeason20242025!$E$3:$E$1315, $A42)</f>
        <v>6</v>
      </c>
      <c r="CC42">
        <f>SUMIFS(DataRegularSeason20242025!$AA$3:$AA$1315,DataRegularSeason20242025!$B$3:$B$1315, "&lt;=" &amp; CC$1, DataRegularSeason20242025!$D$3:$D$1315, $A42)+SUMIFS(DataRegularSeason20242025!$AB$3:$AB$1315,DataRegularSeason20242025!$B$3:$B$1315, "&lt;=" &amp; CC$1, DataRegularSeason20242025!$E$3:$E$1315, $A42)</f>
        <v>6</v>
      </c>
      <c r="CD42">
        <f>SUMIFS(DataRegularSeason20242025!$AA$3:$AA$1315,DataRegularSeason20242025!$B$3:$B$1315, "&lt;=" &amp; CD$1, DataRegularSeason20242025!$D$3:$D$1315, $A42)+SUMIFS(DataRegularSeason20242025!$AB$3:$AB$1315,DataRegularSeason20242025!$B$3:$B$1315, "&lt;=" &amp; CD$1, DataRegularSeason20242025!$E$3:$E$1315, $A42)</f>
        <v>6</v>
      </c>
      <c r="CE42">
        <f>SUMIFS(DataRegularSeason20242025!$AA$3:$AA$1315,DataRegularSeason20242025!$B$3:$B$1315, "&lt;=" &amp; CE$1, DataRegularSeason20242025!$D$3:$D$1315, $A42)+SUMIFS(DataRegularSeason20242025!$AB$3:$AB$1315,DataRegularSeason20242025!$B$3:$B$1315, "&lt;=" &amp; CE$1, DataRegularSeason20242025!$E$3:$E$1315, $A42)</f>
        <v>6</v>
      </c>
      <c r="CF42">
        <f>SUMIFS(DataRegularSeason20242025!$AA$3:$AA$1315,DataRegularSeason20242025!$B$3:$B$1315, "&lt;=" &amp; CF$1, DataRegularSeason20242025!$D$3:$D$1315, $A42)+SUMIFS(DataRegularSeason20242025!$AB$3:$AB$1315,DataRegularSeason20242025!$B$3:$B$1315, "&lt;=" &amp; CF$1, DataRegularSeason20242025!$E$3:$E$1315, $A42)</f>
        <v>6</v>
      </c>
      <c r="CG42">
        <f>SUMIFS(DataRegularSeason20242025!$AA$3:$AA$1315,DataRegularSeason20242025!$B$3:$B$1315, "&lt;=" &amp; CG$1, DataRegularSeason20242025!$D$3:$D$1315, $A42)+SUMIFS(DataRegularSeason20242025!$AB$3:$AB$1315,DataRegularSeason20242025!$B$3:$B$1315, "&lt;=" &amp; CG$1, DataRegularSeason20242025!$E$3:$E$1315, $A42)</f>
        <v>6</v>
      </c>
      <c r="CH42">
        <f>SUMIFS(DataRegularSeason20242025!$AA$3:$AA$1315,DataRegularSeason20242025!$B$3:$B$1315, "&lt;=" &amp; CH$1, DataRegularSeason20242025!$D$3:$D$1315, $A42)+SUMIFS(DataRegularSeason20242025!$AB$3:$AB$1315,DataRegularSeason20242025!$B$3:$B$1315, "&lt;=" &amp; CH$1, DataRegularSeason20242025!$E$3:$E$1315, $A42)</f>
        <v>6</v>
      </c>
      <c r="CI42">
        <f>SUMIFS(DataRegularSeason20242025!$AA$3:$AA$1315,DataRegularSeason20242025!$B$3:$B$1315, "&lt;=" &amp; CI$1, DataRegularSeason20242025!$D$3:$D$1315, $A42)+SUMIFS(DataRegularSeason20242025!$AB$3:$AB$1315,DataRegularSeason20242025!$B$3:$B$1315, "&lt;=" &amp; CI$1, DataRegularSeason20242025!$E$3:$E$1315, $A42)</f>
        <v>6</v>
      </c>
      <c r="CJ42">
        <f>SUMIFS(DataRegularSeason20242025!$AA$3:$AA$1315,DataRegularSeason20242025!$B$3:$B$1315, "&lt;=" &amp; CJ$1, DataRegularSeason20242025!$D$3:$D$1315, $A42)+SUMIFS(DataRegularSeason20242025!$AB$3:$AB$1315,DataRegularSeason20242025!$B$3:$B$1315, "&lt;=" &amp; CJ$1, DataRegularSeason20242025!$E$3:$E$1315, $A42)</f>
        <v>6</v>
      </c>
      <c r="CK42">
        <f>SUMIFS(DataRegularSeason20242025!$AA$3:$AA$1315,DataRegularSeason20242025!$B$3:$B$1315, "&lt;=" &amp; CK$1, DataRegularSeason20242025!$D$3:$D$1315, $A42)+SUMIFS(DataRegularSeason20242025!$AB$3:$AB$1315,DataRegularSeason20242025!$B$3:$B$1315, "&lt;=" &amp; CK$1, DataRegularSeason20242025!$E$3:$E$1315, $A42)</f>
        <v>6</v>
      </c>
      <c r="CL42">
        <f>SUMIFS(DataRegularSeason20242025!$AA$3:$AA$1315,DataRegularSeason20242025!$B$3:$B$1315, "&lt;=" &amp; CL$1, DataRegularSeason20242025!$D$3:$D$1315, $A42)+SUMIFS(DataRegularSeason20242025!$AB$3:$AB$1315,DataRegularSeason20242025!$B$3:$B$1315, "&lt;=" &amp; CL$1, DataRegularSeason20242025!$E$3:$E$1315, $A42)</f>
        <v>6</v>
      </c>
      <c r="CM42">
        <f>SUMIFS(DataRegularSeason20242025!$AA$3:$AA$1315,DataRegularSeason20242025!$B$3:$B$1315, "&lt;=" &amp; CM$1, DataRegularSeason20242025!$D$3:$D$1315, $A42)+SUMIFS(DataRegularSeason20242025!$AB$3:$AB$1315,DataRegularSeason20242025!$B$3:$B$1315, "&lt;=" &amp; CM$1, DataRegularSeason20242025!$E$3:$E$1315, $A42)</f>
        <v>6</v>
      </c>
      <c r="CN42">
        <f>SUMIFS(DataRegularSeason20242025!$AA$3:$AA$1315,DataRegularSeason20242025!$B$3:$B$1315, "&lt;=" &amp; CN$1, DataRegularSeason20242025!$D$3:$D$1315, $A42)+SUMIFS(DataRegularSeason20242025!$AB$3:$AB$1315,DataRegularSeason20242025!$B$3:$B$1315, "&lt;=" &amp; CN$1, DataRegularSeason20242025!$E$3:$E$1315, $A42)</f>
        <v>6</v>
      </c>
      <c r="CO42">
        <f>SUMIFS(DataRegularSeason20242025!$AA$3:$AA$1315,DataRegularSeason20242025!$B$3:$B$1315, "&lt;=" &amp; CO$1, DataRegularSeason20242025!$D$3:$D$1315, $A42)+SUMIFS(DataRegularSeason20242025!$AB$3:$AB$1315,DataRegularSeason20242025!$B$3:$B$1315, "&lt;=" &amp; CO$1, DataRegularSeason20242025!$E$3:$E$1315, $A42)</f>
        <v>6</v>
      </c>
      <c r="CP42">
        <f>SUMIFS(DataRegularSeason20242025!$AA$3:$AA$1315,DataRegularSeason20242025!$B$3:$B$1315, "&lt;=" &amp; CP$1, DataRegularSeason20242025!$D$3:$D$1315, $A42)+SUMIFS(DataRegularSeason20242025!$AB$3:$AB$1315,DataRegularSeason20242025!$B$3:$B$1315, "&lt;=" &amp; CP$1, DataRegularSeason20242025!$E$3:$E$1315, $A42)</f>
        <v>6</v>
      </c>
      <c r="CQ42">
        <f>SUMIFS(DataRegularSeason20242025!$AA$3:$AA$1315,DataRegularSeason20242025!$B$3:$B$1315, "&lt;=" &amp; CQ$1, DataRegularSeason20242025!$D$3:$D$1315, $A42)+SUMIFS(DataRegularSeason20242025!$AB$3:$AB$1315,DataRegularSeason20242025!$B$3:$B$1315, "&lt;=" &amp; CQ$1, DataRegularSeason20242025!$E$3:$E$1315, $A42)</f>
        <v>6</v>
      </c>
      <c r="CR42">
        <f>SUMIFS(DataRegularSeason20242025!$AA$3:$AA$1315,DataRegularSeason20242025!$B$3:$B$1315, "&lt;=" &amp; CR$1, DataRegularSeason20242025!$D$3:$D$1315, $A42)+SUMIFS(DataRegularSeason20242025!$AB$3:$AB$1315,DataRegularSeason20242025!$B$3:$B$1315, "&lt;=" &amp; CR$1, DataRegularSeason20242025!$E$3:$E$1315, $A42)</f>
        <v>6</v>
      </c>
      <c r="CS42">
        <f>SUMIFS(DataRegularSeason20242025!$AA$3:$AA$1315,DataRegularSeason20242025!$B$3:$B$1315, "&lt;=" &amp; CS$1, DataRegularSeason20242025!$D$3:$D$1315, $A42)+SUMIFS(DataRegularSeason20242025!$AB$3:$AB$1315,DataRegularSeason20242025!$B$3:$B$1315, "&lt;=" &amp; CS$1, DataRegularSeason20242025!$E$3:$E$1315, $A42)</f>
        <v>6</v>
      </c>
      <c r="CT42">
        <f>SUMIFS(DataRegularSeason20242025!$AA$3:$AA$1315,DataRegularSeason20242025!$B$3:$B$1315, "&lt;=" &amp; CT$1, DataRegularSeason20242025!$D$3:$D$1315, $A42)+SUMIFS(DataRegularSeason20242025!$AB$3:$AB$1315,DataRegularSeason20242025!$B$3:$B$1315, "&lt;=" &amp; CT$1, DataRegularSeason20242025!$E$3:$E$1315, $A42)</f>
        <v>6</v>
      </c>
      <c r="CU42">
        <f>SUMIFS(DataRegularSeason20242025!$AA$3:$AA$1315,DataRegularSeason20242025!$B$3:$B$1315, "&lt;=" &amp; CU$1, DataRegularSeason20242025!$D$3:$D$1315, $A42)+SUMIFS(DataRegularSeason20242025!$AB$3:$AB$1315,DataRegularSeason20242025!$B$3:$B$1315, "&lt;=" &amp; CU$1, DataRegularSeason20242025!$E$3:$E$1315, $A42)</f>
        <v>6</v>
      </c>
      <c r="CV42">
        <f>SUMIFS(DataRegularSeason20242025!$AA$3:$AA$1315,DataRegularSeason20242025!$B$3:$B$1315, "&lt;=" &amp; CV$1, DataRegularSeason20242025!$D$3:$D$1315, $A42)+SUMIFS(DataRegularSeason20242025!$AB$3:$AB$1315,DataRegularSeason20242025!$B$3:$B$1315, "&lt;=" &amp; CV$1, DataRegularSeason20242025!$E$3:$E$1315, $A42)</f>
        <v>6</v>
      </c>
      <c r="CW42">
        <f>SUMIFS(DataRegularSeason20242025!$AA$3:$AA$1315,DataRegularSeason20242025!$B$3:$B$1315, "&lt;=" &amp; CW$1, DataRegularSeason20242025!$D$3:$D$1315, $A42)+SUMIFS(DataRegularSeason20242025!$AB$3:$AB$1315,DataRegularSeason20242025!$B$3:$B$1315, "&lt;=" &amp; CW$1, DataRegularSeason20242025!$E$3:$E$1315, $A42)</f>
        <v>6</v>
      </c>
      <c r="CX42">
        <f>SUMIFS(DataRegularSeason20242025!$AA$3:$AA$1315,DataRegularSeason20242025!$B$3:$B$1315, "&lt;=" &amp; CX$1, DataRegularSeason20242025!$D$3:$D$1315, $A42)+SUMIFS(DataRegularSeason20242025!$AB$3:$AB$1315,DataRegularSeason20242025!$B$3:$B$1315, "&lt;=" &amp; CX$1, DataRegularSeason20242025!$E$3:$E$1315, $A42)</f>
        <v>6</v>
      </c>
      <c r="CY42">
        <f>SUMIFS(DataRegularSeason20242025!$AA$3:$AA$1315,DataRegularSeason20242025!$B$3:$B$1315, "&lt;=" &amp; CY$1, DataRegularSeason20242025!$D$3:$D$1315, $A42)+SUMIFS(DataRegularSeason20242025!$AB$3:$AB$1315,DataRegularSeason20242025!$B$3:$B$1315, "&lt;=" &amp; CY$1, DataRegularSeason20242025!$E$3:$E$1315, $A42)</f>
        <v>6</v>
      </c>
      <c r="CZ42">
        <f>SUMIFS(DataRegularSeason20242025!$AA$3:$AA$1315,DataRegularSeason20242025!$B$3:$B$1315, "&lt;=" &amp; CZ$1, DataRegularSeason20242025!$D$3:$D$1315, $A42)+SUMIFS(DataRegularSeason20242025!$AB$3:$AB$1315,DataRegularSeason20242025!$B$3:$B$1315, "&lt;=" &amp; CZ$1, DataRegularSeason20242025!$E$3:$E$1315, $A42)</f>
        <v>6</v>
      </c>
      <c r="DA42">
        <f>SUMIFS(DataRegularSeason20242025!$AA$3:$AA$1315,DataRegularSeason20242025!$B$3:$B$1315, "&lt;=" &amp; DA$1, DataRegularSeason20242025!$D$3:$D$1315, $A42)+SUMIFS(DataRegularSeason20242025!$AB$3:$AB$1315,DataRegularSeason20242025!$B$3:$B$1315, "&lt;=" &amp; DA$1, DataRegularSeason20242025!$E$3:$E$1315, $A42)</f>
        <v>6</v>
      </c>
      <c r="DB42">
        <f>SUMIFS(DataRegularSeason20242025!$AA$3:$AA$1315,DataRegularSeason20242025!$B$3:$B$1315, "&lt;=" &amp; DB$1, DataRegularSeason20242025!$D$3:$D$1315, $A42)+SUMIFS(DataRegularSeason20242025!$AB$3:$AB$1315,DataRegularSeason20242025!$B$3:$B$1315, "&lt;=" &amp; DB$1, DataRegularSeason20242025!$E$3:$E$1315, $A42)</f>
        <v>6</v>
      </c>
      <c r="DC42">
        <f>SUMIFS(DataRegularSeason20242025!$AA$3:$AA$1315,DataRegularSeason20242025!$B$3:$B$1315, "&lt;=" &amp; DC$1, DataRegularSeason20242025!$D$3:$D$1315, $A42)+SUMIFS(DataRegularSeason20242025!$AB$3:$AB$1315,DataRegularSeason20242025!$B$3:$B$1315, "&lt;=" &amp; DC$1, DataRegularSeason20242025!$E$3:$E$1315, $A42)</f>
        <v>6</v>
      </c>
      <c r="DD42">
        <f>SUMIFS(DataRegularSeason20242025!$AA$3:$AA$1315,DataRegularSeason20242025!$B$3:$B$1315, "&lt;=" &amp; DD$1, DataRegularSeason20242025!$D$3:$D$1315, $A42)+SUMIFS(DataRegularSeason20242025!$AB$3:$AB$1315,DataRegularSeason20242025!$B$3:$B$1315, "&lt;=" &amp; DD$1, DataRegularSeason20242025!$E$3:$E$1315, $A42)</f>
        <v>6</v>
      </c>
      <c r="DE42">
        <f>SUMIFS(DataRegularSeason20242025!$AA$3:$AA$1315,DataRegularSeason20242025!$B$3:$B$1315, "&lt;=" &amp; DE$1, DataRegularSeason20242025!$D$3:$D$1315, $A42)+SUMIFS(DataRegularSeason20242025!$AB$3:$AB$1315,DataRegularSeason20242025!$B$3:$B$1315, "&lt;=" &amp; DE$1, DataRegularSeason20242025!$E$3:$E$1315, $A42)</f>
        <v>6</v>
      </c>
      <c r="DF42">
        <f>SUMIFS(DataRegularSeason20242025!$AA$3:$AA$1315,DataRegularSeason20242025!$B$3:$B$1315, "&lt;=" &amp; DF$1, DataRegularSeason20242025!$D$3:$D$1315, $A42)+SUMIFS(DataRegularSeason20242025!$AB$3:$AB$1315,DataRegularSeason20242025!$B$3:$B$1315, "&lt;=" &amp; DF$1, DataRegularSeason20242025!$E$3:$E$1315, $A42)</f>
        <v>6</v>
      </c>
      <c r="DG42">
        <f>SUMIFS(DataRegularSeason20242025!$AA$3:$AA$1315,DataRegularSeason20242025!$B$3:$B$1315, "&lt;=" &amp; DG$1, DataRegularSeason20242025!$D$3:$D$1315, $A42)+SUMIFS(DataRegularSeason20242025!$AB$3:$AB$1315,DataRegularSeason20242025!$B$3:$B$1315, "&lt;=" &amp; DG$1, DataRegularSeason20242025!$E$3:$E$1315, $A42)</f>
        <v>6</v>
      </c>
      <c r="DH42">
        <f>SUMIFS(DataRegularSeason20242025!$AA$3:$AA$1315,DataRegularSeason20242025!$B$3:$B$1315, "&lt;=" &amp; DH$1, DataRegularSeason20242025!$D$3:$D$1315, $A42)+SUMIFS(DataRegularSeason20242025!$AB$3:$AB$1315,DataRegularSeason20242025!$B$3:$B$1315, "&lt;=" &amp; DH$1, DataRegularSeason20242025!$E$3:$E$1315, $A42)</f>
        <v>6</v>
      </c>
      <c r="DI42">
        <f>SUMIFS(DataRegularSeason20242025!$AA$3:$AA$1315,DataRegularSeason20242025!$B$3:$B$1315, "&lt;=" &amp; DI$1, DataRegularSeason20242025!$D$3:$D$1315, $A42)+SUMIFS(DataRegularSeason20242025!$AB$3:$AB$1315,DataRegularSeason20242025!$B$3:$B$1315, "&lt;=" &amp; DI$1, DataRegularSeason20242025!$E$3:$E$1315, $A42)</f>
        <v>6</v>
      </c>
      <c r="DJ42">
        <f>SUMIFS(DataRegularSeason20242025!$AA$3:$AA$1315,DataRegularSeason20242025!$B$3:$B$1315, "&lt;=" &amp; DJ$1, DataRegularSeason20242025!$D$3:$D$1315, $A42)+SUMIFS(DataRegularSeason20242025!$AB$3:$AB$1315,DataRegularSeason20242025!$B$3:$B$1315, "&lt;=" &amp; DJ$1, DataRegularSeason20242025!$E$3:$E$1315, $A42)</f>
        <v>6</v>
      </c>
      <c r="DK42">
        <f>SUMIFS(DataRegularSeason20242025!$AA$3:$AA$1315,DataRegularSeason20242025!$B$3:$B$1315, "&lt;=" &amp; DK$1, DataRegularSeason20242025!$D$3:$D$1315, $A42)+SUMIFS(DataRegularSeason20242025!$AB$3:$AB$1315,DataRegularSeason20242025!$B$3:$B$1315, "&lt;=" &amp; DK$1, DataRegularSeason20242025!$E$3:$E$1315, $A42)</f>
        <v>6</v>
      </c>
      <c r="DL42">
        <f>SUMIFS(DataRegularSeason20242025!$AA$3:$AA$1315,DataRegularSeason20242025!$B$3:$B$1315, "&lt;=" &amp; DL$1, DataRegularSeason20242025!$D$3:$D$1315, $A42)+SUMIFS(DataRegularSeason20242025!$AB$3:$AB$1315,DataRegularSeason20242025!$B$3:$B$1315, "&lt;=" &amp; DL$1, DataRegularSeason20242025!$E$3:$E$1315, $A42)</f>
        <v>6</v>
      </c>
      <c r="DM42">
        <f>SUMIFS(DataRegularSeason20242025!$AA$3:$AA$1315,DataRegularSeason20242025!$B$3:$B$1315, "&lt;=" &amp; DM$1, DataRegularSeason20242025!$D$3:$D$1315, $A42)+SUMIFS(DataRegularSeason20242025!$AB$3:$AB$1315,DataRegularSeason20242025!$B$3:$B$1315, "&lt;=" &amp; DM$1, DataRegularSeason20242025!$E$3:$E$1315, $A42)</f>
        <v>6</v>
      </c>
      <c r="DN42">
        <f>SUMIFS(DataRegularSeason20242025!$AA$3:$AA$1315,DataRegularSeason20242025!$B$3:$B$1315, "&lt;=" &amp; DN$1, DataRegularSeason20242025!$D$3:$D$1315, $A42)+SUMIFS(DataRegularSeason20242025!$AB$3:$AB$1315,DataRegularSeason20242025!$B$3:$B$1315, "&lt;=" &amp; DN$1, DataRegularSeason20242025!$E$3:$E$1315, $A42)</f>
        <v>6</v>
      </c>
      <c r="DO42">
        <f>SUMIFS(DataRegularSeason20242025!$AA$3:$AA$1315,DataRegularSeason20242025!$B$3:$B$1315, "&lt;=" &amp; DO$1, DataRegularSeason20242025!$D$3:$D$1315, $A42)+SUMIFS(DataRegularSeason20242025!$AB$3:$AB$1315,DataRegularSeason20242025!$B$3:$B$1315, "&lt;=" &amp; DO$1, DataRegularSeason20242025!$E$3:$E$1315, $A42)</f>
        <v>6</v>
      </c>
      <c r="DP42">
        <f>SUMIFS(DataRegularSeason20242025!$AA$3:$AA$1315,DataRegularSeason20242025!$B$3:$B$1315, "&lt;=" &amp; DP$1, DataRegularSeason20242025!$D$3:$D$1315, $A42)+SUMIFS(DataRegularSeason20242025!$AB$3:$AB$1315,DataRegularSeason20242025!$B$3:$B$1315, "&lt;=" &amp; DP$1, DataRegularSeason20242025!$E$3:$E$1315, $A42)</f>
        <v>6</v>
      </c>
      <c r="DQ42">
        <f>SUMIFS(DataRegularSeason20242025!$AA$3:$AA$1315,DataRegularSeason20242025!$B$3:$B$1315, "&lt;=" &amp; DQ$1, DataRegularSeason20242025!$D$3:$D$1315, $A42)+SUMIFS(DataRegularSeason20242025!$AB$3:$AB$1315,DataRegularSeason20242025!$B$3:$B$1315, "&lt;=" &amp; DQ$1, DataRegularSeason20242025!$E$3:$E$1315, $A42)</f>
        <v>6</v>
      </c>
      <c r="DR42">
        <f>SUMIFS(DataRegularSeason20242025!$AA$3:$AA$1315,DataRegularSeason20242025!$B$3:$B$1315, "&lt;=" &amp; DR$1, DataRegularSeason20242025!$D$3:$D$1315, $A42)+SUMIFS(DataRegularSeason20242025!$AB$3:$AB$1315,DataRegularSeason20242025!$B$3:$B$1315, "&lt;=" &amp; DR$1, DataRegularSeason20242025!$E$3:$E$1315, $A42)</f>
        <v>6</v>
      </c>
      <c r="DS42">
        <f>SUMIFS(DataRegularSeason20242025!$AA$3:$AA$1315,DataRegularSeason20242025!$B$3:$B$1315, "&lt;=" &amp; DS$1, DataRegularSeason20242025!$D$3:$D$1315, $A42)+SUMIFS(DataRegularSeason20242025!$AB$3:$AB$1315,DataRegularSeason20242025!$B$3:$B$1315, "&lt;=" &amp; DS$1, DataRegularSeason20242025!$E$3:$E$1315, $A42)</f>
        <v>6</v>
      </c>
      <c r="DT42">
        <f>SUMIFS(DataRegularSeason20242025!$AA$3:$AA$1315,DataRegularSeason20242025!$B$3:$B$1315, "&lt;=" &amp; DT$1, DataRegularSeason20242025!$D$3:$D$1315, $A42)+SUMIFS(DataRegularSeason20242025!$AB$3:$AB$1315,DataRegularSeason20242025!$B$3:$B$1315, "&lt;=" &amp; DT$1, DataRegularSeason20242025!$E$3:$E$1315, $A42)</f>
        <v>6</v>
      </c>
      <c r="DU42">
        <f>SUMIFS(DataRegularSeason20242025!$AA$3:$AA$1315,DataRegularSeason20242025!$B$3:$B$1315, "&lt;=" &amp; DU$1, DataRegularSeason20242025!$D$3:$D$1315, $A42)+SUMIFS(DataRegularSeason20242025!$AB$3:$AB$1315,DataRegularSeason20242025!$B$3:$B$1315, "&lt;=" &amp; DU$1, DataRegularSeason20242025!$E$3:$E$1315, $A42)</f>
        <v>6</v>
      </c>
      <c r="DV42">
        <f>SUMIFS(DataRegularSeason20242025!$AA$3:$AA$1315,DataRegularSeason20242025!$B$3:$B$1315, "&lt;=" &amp; DV$1, DataRegularSeason20242025!$D$3:$D$1315, $A42)+SUMIFS(DataRegularSeason20242025!$AB$3:$AB$1315,DataRegularSeason20242025!$B$3:$B$1315, "&lt;=" &amp; DV$1, DataRegularSeason20242025!$E$3:$E$1315, $A42)</f>
        <v>6</v>
      </c>
      <c r="DW42">
        <f>SUMIFS(DataRegularSeason20242025!$AA$3:$AA$1315,DataRegularSeason20242025!$B$3:$B$1315, "&lt;=" &amp; DW$1, DataRegularSeason20242025!$D$3:$D$1315, $A42)+SUMIFS(DataRegularSeason20242025!$AB$3:$AB$1315,DataRegularSeason20242025!$B$3:$B$1315, "&lt;=" &amp; DW$1, DataRegularSeason20242025!$E$3:$E$1315, $A42)</f>
        <v>6</v>
      </c>
      <c r="DX42">
        <f>SUMIFS(DataRegularSeason20242025!$AA$3:$AA$1315,DataRegularSeason20242025!$B$3:$B$1315, "&lt;=" &amp; DX$1, DataRegularSeason20242025!$D$3:$D$1315, $A42)+SUMIFS(DataRegularSeason20242025!$AB$3:$AB$1315,DataRegularSeason20242025!$B$3:$B$1315, "&lt;=" &amp; DX$1, DataRegularSeason20242025!$E$3:$E$1315, $A42)</f>
        <v>6</v>
      </c>
      <c r="DY42">
        <f>SUMIFS(DataRegularSeason20242025!$AA$3:$AA$1315,DataRegularSeason20242025!$B$3:$B$1315, "&lt;=" &amp; DY$1, DataRegularSeason20242025!$D$3:$D$1315, $A42)+SUMIFS(DataRegularSeason20242025!$AB$3:$AB$1315,DataRegularSeason20242025!$B$3:$B$1315, "&lt;=" &amp; DY$1, DataRegularSeason20242025!$E$3:$E$1315, $A42)</f>
        <v>6</v>
      </c>
      <c r="DZ42">
        <f>SUMIFS(DataRegularSeason20242025!$AA$3:$AA$1315,DataRegularSeason20242025!$B$3:$B$1315, "&lt;=" &amp; DZ$1, DataRegularSeason20242025!$D$3:$D$1315, $A42)+SUMIFS(DataRegularSeason20242025!$AB$3:$AB$1315,DataRegularSeason20242025!$B$3:$B$1315, "&lt;=" &amp; DZ$1, DataRegularSeason20242025!$E$3:$E$1315, $A42)</f>
        <v>6</v>
      </c>
      <c r="EA42">
        <f>SUMIFS(DataRegularSeason20242025!$AA$3:$AA$1315,DataRegularSeason20242025!$B$3:$B$1315, "&lt;=" &amp; EA$1, DataRegularSeason20242025!$D$3:$D$1315, $A42)+SUMIFS(DataRegularSeason20242025!$AB$3:$AB$1315,DataRegularSeason20242025!$B$3:$B$1315, "&lt;=" &amp; EA$1, DataRegularSeason20242025!$E$3:$E$1315, $A42)</f>
        <v>6</v>
      </c>
      <c r="EB42">
        <f>SUMIFS(DataRegularSeason20242025!$AA$3:$AA$1315,DataRegularSeason20242025!$B$3:$B$1315, "&lt;=" &amp; EB$1, DataRegularSeason20242025!$D$3:$D$1315, $A42)+SUMIFS(DataRegularSeason20242025!$AB$3:$AB$1315,DataRegularSeason20242025!$B$3:$B$1315, "&lt;=" &amp; EB$1, DataRegularSeason20242025!$E$3:$E$1315, $A42)</f>
        <v>6</v>
      </c>
      <c r="EC42">
        <f>SUMIFS(DataRegularSeason20242025!$AA$3:$AA$1315,DataRegularSeason20242025!$B$3:$B$1315, "&lt;=" &amp; EC$1, DataRegularSeason20242025!$D$3:$D$1315, $A42)+SUMIFS(DataRegularSeason20242025!$AB$3:$AB$1315,DataRegularSeason20242025!$B$3:$B$1315, "&lt;=" &amp; EC$1, DataRegularSeason20242025!$E$3:$E$1315, $A42)</f>
        <v>6</v>
      </c>
      <c r="ED42">
        <f>SUMIFS(DataRegularSeason20242025!$AA$3:$AA$1315,DataRegularSeason20242025!$B$3:$B$1315, "&lt;=" &amp; ED$1, DataRegularSeason20242025!$D$3:$D$1315, $A42)+SUMIFS(DataRegularSeason20242025!$AB$3:$AB$1315,DataRegularSeason20242025!$B$3:$B$1315, "&lt;=" &amp; ED$1, DataRegularSeason20242025!$E$3:$E$1315, $A42)</f>
        <v>6</v>
      </c>
      <c r="EE42">
        <f>SUMIFS(DataRegularSeason20242025!$AA$3:$AA$1315,DataRegularSeason20242025!$B$3:$B$1315, "&lt;=" &amp; EE$1, DataRegularSeason20242025!$D$3:$D$1315, $A42)+SUMIFS(DataRegularSeason20242025!$AB$3:$AB$1315,DataRegularSeason20242025!$B$3:$B$1315, "&lt;=" &amp; EE$1, DataRegularSeason20242025!$E$3:$E$1315, $A42)</f>
        <v>6</v>
      </c>
      <c r="EF42">
        <f>SUMIFS(DataRegularSeason20242025!$AA$3:$AA$1315,DataRegularSeason20242025!$B$3:$B$1315, "&lt;=" &amp; EF$1, DataRegularSeason20242025!$D$3:$D$1315, $A42)+SUMIFS(DataRegularSeason20242025!$AB$3:$AB$1315,DataRegularSeason20242025!$B$3:$B$1315, "&lt;=" &amp; EF$1, DataRegularSeason20242025!$E$3:$E$1315, $A42)</f>
        <v>6</v>
      </c>
      <c r="EG42">
        <f>SUMIFS(DataRegularSeason20242025!$AA$3:$AA$1315,DataRegularSeason20242025!$B$3:$B$1315, "&lt;=" &amp; EG$1, DataRegularSeason20242025!$D$3:$D$1315, $A42)+SUMIFS(DataRegularSeason20242025!$AB$3:$AB$1315,DataRegularSeason20242025!$B$3:$B$1315, "&lt;=" &amp; EG$1, DataRegularSeason20242025!$E$3:$E$1315, $A42)</f>
        <v>6</v>
      </c>
      <c r="EH42">
        <f>SUMIFS(DataRegularSeason20242025!$AA$3:$AA$1315,DataRegularSeason20242025!$B$3:$B$1315, "&lt;=" &amp; EH$1, DataRegularSeason20242025!$D$3:$D$1315, $A42)+SUMIFS(DataRegularSeason20242025!$AB$3:$AB$1315,DataRegularSeason20242025!$B$3:$B$1315, "&lt;=" &amp; EH$1, DataRegularSeason20242025!$E$3:$E$1315, $A42)</f>
        <v>6</v>
      </c>
      <c r="EI42">
        <f>SUMIFS(DataRegularSeason20242025!$AA$3:$AA$1315,DataRegularSeason20242025!$B$3:$B$1315, "&lt;=" &amp; EI$1, DataRegularSeason20242025!$D$3:$D$1315, $A42)+SUMIFS(DataRegularSeason20242025!$AB$3:$AB$1315,DataRegularSeason20242025!$B$3:$B$1315, "&lt;=" &amp; EI$1, DataRegularSeason20242025!$E$3:$E$1315, $A42)</f>
        <v>6</v>
      </c>
      <c r="EJ42">
        <f>SUMIFS(DataRegularSeason20242025!$AA$3:$AA$1315,DataRegularSeason20242025!$B$3:$B$1315, "&lt;=" &amp; EJ$1, DataRegularSeason20242025!$D$3:$D$1315, $A42)+SUMIFS(DataRegularSeason20242025!$AB$3:$AB$1315,DataRegularSeason20242025!$B$3:$B$1315, "&lt;=" &amp; EJ$1, DataRegularSeason20242025!$E$3:$E$1315, $A42)</f>
        <v>6</v>
      </c>
      <c r="EK42">
        <f>SUMIFS(DataRegularSeason20242025!$AA$3:$AA$1315,DataRegularSeason20242025!$B$3:$B$1315, "&lt;=" &amp; EK$1, DataRegularSeason20242025!$D$3:$D$1315, $A42)+SUMIFS(DataRegularSeason20242025!$AB$3:$AB$1315,DataRegularSeason20242025!$B$3:$B$1315, "&lt;=" &amp; EK$1, DataRegularSeason20242025!$E$3:$E$1315, $A42)</f>
        <v>6</v>
      </c>
      <c r="EL42">
        <f>SUMIFS(DataRegularSeason20242025!$AA$3:$AA$1315,DataRegularSeason20242025!$B$3:$B$1315, "&lt;=" &amp; EL$1, DataRegularSeason20242025!$D$3:$D$1315, $A42)+SUMIFS(DataRegularSeason20242025!$AB$3:$AB$1315,DataRegularSeason20242025!$B$3:$B$1315, "&lt;=" &amp; EL$1, DataRegularSeason20242025!$E$3:$E$1315, $A42)</f>
        <v>6</v>
      </c>
      <c r="EM42">
        <f>SUMIFS(DataRegularSeason20242025!$AA$3:$AA$1315,DataRegularSeason20242025!$B$3:$B$1315, "&lt;=" &amp; EM$1, DataRegularSeason20242025!$D$3:$D$1315, $A42)+SUMIFS(DataRegularSeason20242025!$AB$3:$AB$1315,DataRegularSeason20242025!$B$3:$B$1315, "&lt;=" &amp; EM$1, DataRegularSeason20242025!$E$3:$E$1315, $A42)</f>
        <v>6</v>
      </c>
      <c r="EN42">
        <f>SUMIFS(DataRegularSeason20242025!$AA$3:$AA$1315,DataRegularSeason20242025!$B$3:$B$1315, "&lt;=" &amp; EN$1, DataRegularSeason20242025!$D$3:$D$1315, $A42)+SUMIFS(DataRegularSeason20242025!$AB$3:$AB$1315,DataRegularSeason20242025!$B$3:$B$1315, "&lt;=" &amp; EN$1, DataRegularSeason20242025!$E$3:$E$1315, $A42)</f>
        <v>6</v>
      </c>
      <c r="EO42">
        <f>SUMIFS(DataRegularSeason20242025!$AA$3:$AA$1315,DataRegularSeason20242025!$B$3:$B$1315, "&lt;=" &amp; EO$1, DataRegularSeason20242025!$D$3:$D$1315, $A42)+SUMIFS(DataRegularSeason20242025!$AB$3:$AB$1315,DataRegularSeason20242025!$B$3:$B$1315, "&lt;=" &amp; EO$1, DataRegularSeason20242025!$E$3:$E$1315, $A42)</f>
        <v>6</v>
      </c>
      <c r="EP42">
        <f>SUMIFS(DataRegularSeason20242025!$AA$3:$AA$1315,DataRegularSeason20242025!$B$3:$B$1315, "&lt;=" &amp; EP$1, DataRegularSeason20242025!$D$3:$D$1315, $A42)+SUMIFS(DataRegularSeason20242025!$AB$3:$AB$1315,DataRegularSeason20242025!$B$3:$B$1315, "&lt;=" &amp; EP$1, DataRegularSeason20242025!$E$3:$E$1315, $A42)</f>
        <v>6</v>
      </c>
      <c r="EQ42">
        <f>SUMIFS(DataRegularSeason20242025!$AA$3:$AA$1315,DataRegularSeason20242025!$B$3:$B$1315, "&lt;=" &amp; EQ$1, DataRegularSeason20242025!$D$3:$D$1315, $A42)+SUMIFS(DataRegularSeason20242025!$AB$3:$AB$1315,DataRegularSeason20242025!$B$3:$B$1315, "&lt;=" &amp; EQ$1, DataRegularSeason20242025!$E$3:$E$1315, $A42)</f>
        <v>6</v>
      </c>
      <c r="ER42">
        <f>SUMIFS(DataRegularSeason20242025!$AA$3:$AA$1315,DataRegularSeason20242025!$B$3:$B$1315, "&lt;=" &amp; ER$1, DataRegularSeason20242025!$D$3:$D$1315, $A42)+SUMIFS(DataRegularSeason20242025!$AB$3:$AB$1315,DataRegularSeason20242025!$B$3:$B$1315, "&lt;=" &amp; ER$1, DataRegularSeason20242025!$E$3:$E$1315, $A42)</f>
        <v>6</v>
      </c>
      <c r="ES42">
        <f>SUMIFS(DataRegularSeason20242025!$AA$3:$AA$1315,DataRegularSeason20242025!$B$3:$B$1315, "&lt;=" &amp; ES$1, DataRegularSeason20242025!$D$3:$D$1315, $A42)+SUMIFS(DataRegularSeason20242025!$AB$3:$AB$1315,DataRegularSeason20242025!$B$3:$B$1315, "&lt;=" &amp; ES$1, DataRegularSeason20242025!$E$3:$E$1315, $A42)</f>
        <v>6</v>
      </c>
      <c r="ET42">
        <f>SUMIFS(DataRegularSeason20242025!$AA$3:$AA$1315,DataRegularSeason20242025!$B$3:$B$1315, "&lt;=" &amp; ET$1, DataRegularSeason20242025!$D$3:$D$1315, $A42)+SUMIFS(DataRegularSeason20242025!$AB$3:$AB$1315,DataRegularSeason20242025!$B$3:$B$1315, "&lt;=" &amp; ET$1, DataRegularSeason20242025!$E$3:$E$1315, $A42)</f>
        <v>6</v>
      </c>
      <c r="EU42">
        <f>SUMIFS(DataRegularSeason20242025!$AA$3:$AA$1315,DataRegularSeason20242025!$B$3:$B$1315, "&lt;=" &amp; EU$1, DataRegularSeason20242025!$D$3:$D$1315, $A42)+SUMIFS(DataRegularSeason20242025!$AB$3:$AB$1315,DataRegularSeason20242025!$B$3:$B$1315, "&lt;=" &amp; EU$1, DataRegularSeason20242025!$E$3:$E$1315, $A42)</f>
        <v>6</v>
      </c>
      <c r="EV42">
        <f>SUMIFS(DataRegularSeason20242025!$AA$3:$AA$1315,DataRegularSeason20242025!$B$3:$B$1315, "&lt;=" &amp; EV$1, DataRegularSeason20242025!$D$3:$D$1315, $A42)+SUMIFS(DataRegularSeason20242025!$AB$3:$AB$1315,DataRegularSeason20242025!$B$3:$B$1315, "&lt;=" &amp; EV$1, DataRegularSeason20242025!$E$3:$E$1315, $A42)</f>
        <v>6</v>
      </c>
      <c r="EW42">
        <f>SUMIFS(DataRegularSeason20242025!$AA$3:$AA$1315,DataRegularSeason20242025!$B$3:$B$1315, "&lt;=" &amp; EW$1, DataRegularSeason20242025!$D$3:$D$1315, $A42)+SUMIFS(DataRegularSeason20242025!$AB$3:$AB$1315,DataRegularSeason20242025!$B$3:$B$1315, "&lt;=" &amp; EW$1, DataRegularSeason20242025!$E$3:$E$1315, $A42)</f>
        <v>6</v>
      </c>
      <c r="EX42">
        <f>SUMIFS(DataRegularSeason20242025!$AA$3:$AA$1315,DataRegularSeason20242025!$B$3:$B$1315, "&lt;=" &amp; EX$1, DataRegularSeason20242025!$D$3:$D$1315, $A42)+SUMIFS(DataRegularSeason20242025!$AB$3:$AB$1315,DataRegularSeason20242025!$B$3:$B$1315, "&lt;=" &amp; EX$1, DataRegularSeason20242025!$E$3:$E$1315, $A42)</f>
        <v>6</v>
      </c>
      <c r="EY42">
        <f>SUMIFS(DataRegularSeason20242025!$AA$3:$AA$1315,DataRegularSeason20242025!$B$3:$B$1315, "&lt;=" &amp; EY$1, DataRegularSeason20242025!$D$3:$D$1315, $A42)+SUMIFS(DataRegularSeason20242025!$AB$3:$AB$1315,DataRegularSeason20242025!$B$3:$B$1315, "&lt;=" &amp; EY$1, DataRegularSeason20242025!$E$3:$E$1315, $A42)</f>
        <v>6</v>
      </c>
      <c r="EZ42">
        <f>SUMIFS(DataRegularSeason20242025!$AA$3:$AA$1315,DataRegularSeason20242025!$B$3:$B$1315, "&lt;=" &amp; EZ$1, DataRegularSeason20242025!$D$3:$D$1315, $A42)+SUMIFS(DataRegularSeason20242025!$AB$3:$AB$1315,DataRegularSeason20242025!$B$3:$B$1315, "&lt;=" &amp; EZ$1, DataRegularSeason20242025!$E$3:$E$1315, $A42)</f>
        <v>6</v>
      </c>
      <c r="FA42">
        <f>SUMIFS(DataRegularSeason20242025!$AA$3:$AA$1315,DataRegularSeason20242025!$B$3:$B$1315, "&lt;=" &amp; FA$1, DataRegularSeason20242025!$D$3:$D$1315, $A42)+SUMIFS(DataRegularSeason20242025!$AB$3:$AB$1315,DataRegularSeason20242025!$B$3:$B$1315, "&lt;=" &amp; FA$1, DataRegularSeason20242025!$E$3:$E$1315, $A42)</f>
        <v>6</v>
      </c>
      <c r="FB42">
        <f>SUMIFS(DataRegularSeason20242025!$AA$3:$AA$1315,DataRegularSeason20242025!$B$3:$B$1315, "&lt;=" &amp; FB$1, DataRegularSeason20242025!$D$3:$D$1315, $A42)+SUMIFS(DataRegularSeason20242025!$AB$3:$AB$1315,DataRegularSeason20242025!$B$3:$B$1315, "&lt;=" &amp; FB$1, DataRegularSeason20242025!$E$3:$E$1315, $A42)</f>
        <v>6</v>
      </c>
      <c r="FC42">
        <f>SUMIFS(DataRegularSeason20242025!$AA$3:$AA$1315,DataRegularSeason20242025!$B$3:$B$1315, "&lt;=" &amp; FC$1, DataRegularSeason20242025!$D$3:$D$1315, $A42)+SUMIFS(DataRegularSeason20242025!$AB$3:$AB$1315,DataRegularSeason20242025!$B$3:$B$1315, "&lt;=" &amp; FC$1, DataRegularSeason20242025!$E$3:$E$1315, $A42)</f>
        <v>6</v>
      </c>
      <c r="FD42">
        <f>SUMIFS(DataRegularSeason20242025!$AA$3:$AA$1315,DataRegularSeason20242025!$B$3:$B$1315, "&lt;=" &amp; FD$1, DataRegularSeason20242025!$D$3:$D$1315, $A42)+SUMIFS(DataRegularSeason20242025!$AB$3:$AB$1315,DataRegularSeason20242025!$B$3:$B$1315, "&lt;=" &amp; FD$1, DataRegularSeason20242025!$E$3:$E$1315, $A42)</f>
        <v>6</v>
      </c>
      <c r="FE42">
        <f>SUMIFS(DataRegularSeason20242025!$AA$3:$AA$1315,DataRegularSeason20242025!$B$3:$B$1315, "&lt;=" &amp; FE$1, DataRegularSeason20242025!$D$3:$D$1315, $A42)+SUMIFS(DataRegularSeason20242025!$AB$3:$AB$1315,DataRegularSeason20242025!$B$3:$B$1315, "&lt;=" &amp; FE$1, DataRegularSeason20242025!$E$3:$E$1315, $A42)</f>
        <v>6</v>
      </c>
      <c r="FF42">
        <f>SUMIFS(DataRegularSeason20242025!$AA$3:$AA$1315,DataRegularSeason20242025!$B$3:$B$1315, "&lt;=" &amp; FF$1, DataRegularSeason20242025!$D$3:$D$1315, $A42)+SUMIFS(DataRegularSeason20242025!$AB$3:$AB$1315,DataRegularSeason20242025!$B$3:$B$1315, "&lt;=" &amp; FF$1, DataRegularSeason20242025!$E$3:$E$1315, $A42)</f>
        <v>6</v>
      </c>
      <c r="FG42">
        <f>SUMIFS(DataRegularSeason20242025!$AA$3:$AA$1315,DataRegularSeason20242025!$B$3:$B$1315, "&lt;=" &amp; FG$1, DataRegularSeason20242025!$D$3:$D$1315, $A42)+SUMIFS(DataRegularSeason20242025!$AB$3:$AB$1315,DataRegularSeason20242025!$B$3:$B$1315, "&lt;=" &amp; FG$1, DataRegularSeason20242025!$E$3:$E$1315, $A42)</f>
        <v>6</v>
      </c>
      <c r="FH42">
        <f>SUMIFS(DataRegularSeason20242025!$AA$3:$AA$1315,DataRegularSeason20242025!$B$3:$B$1315, "&lt;=" &amp; FH$1, DataRegularSeason20242025!$D$3:$D$1315, $A42)+SUMIFS(DataRegularSeason20242025!$AB$3:$AB$1315,DataRegularSeason20242025!$B$3:$B$1315, "&lt;=" &amp; FH$1, DataRegularSeason20242025!$E$3:$E$1315, $A42)</f>
        <v>6</v>
      </c>
      <c r="FI42">
        <f>SUMIFS(DataRegularSeason20242025!$AA$3:$AA$1315,DataRegularSeason20242025!$B$3:$B$1315, "&lt;=" &amp; FI$1, DataRegularSeason20242025!$D$3:$D$1315, $A42)+SUMIFS(DataRegularSeason20242025!$AB$3:$AB$1315,DataRegularSeason20242025!$B$3:$B$1315, "&lt;=" &amp; FI$1, DataRegularSeason20242025!$E$3:$E$1315, $A42)</f>
        <v>6</v>
      </c>
      <c r="FJ42">
        <f>SUMIFS(DataRegularSeason20242025!$AA$3:$AA$1315,DataRegularSeason20242025!$B$3:$B$1315, "&lt;=" &amp; FJ$1, DataRegularSeason20242025!$D$3:$D$1315, $A42)+SUMIFS(DataRegularSeason20242025!$AB$3:$AB$1315,DataRegularSeason20242025!$B$3:$B$1315, "&lt;=" &amp; FJ$1, DataRegularSeason20242025!$E$3:$E$1315, $A42)</f>
        <v>6</v>
      </c>
      <c r="FK42">
        <f>SUMIFS(DataRegularSeason20242025!$AA$3:$AA$1315,DataRegularSeason20242025!$B$3:$B$1315, "&lt;=" &amp; FK$1, DataRegularSeason20242025!$D$3:$D$1315, $A42)+SUMIFS(DataRegularSeason20242025!$AB$3:$AB$1315,DataRegularSeason20242025!$B$3:$B$1315, "&lt;=" &amp; FK$1, DataRegularSeason20242025!$E$3:$E$1315, $A42)</f>
        <v>6</v>
      </c>
      <c r="FL42">
        <f>SUMIFS(DataRegularSeason20242025!$AA$3:$AA$1315,DataRegularSeason20242025!$B$3:$B$1315, "&lt;=" &amp; FL$1, DataRegularSeason20242025!$D$3:$D$1315, $A42)+SUMIFS(DataRegularSeason20242025!$AB$3:$AB$1315,DataRegularSeason20242025!$B$3:$B$1315, "&lt;=" &amp; FL$1, DataRegularSeason20242025!$E$3:$E$1315, $A42)</f>
        <v>6</v>
      </c>
      <c r="FM42">
        <f>SUMIFS(DataRegularSeason20242025!$AA$3:$AA$1315,DataRegularSeason20242025!$B$3:$B$1315, "&lt;=" &amp; FM$1, DataRegularSeason20242025!$D$3:$D$1315, $A42)+SUMIFS(DataRegularSeason20242025!$AB$3:$AB$1315,DataRegularSeason20242025!$B$3:$B$1315, "&lt;=" &amp; FM$1, DataRegularSeason20242025!$E$3:$E$1315, $A42)</f>
        <v>6</v>
      </c>
      <c r="FN42">
        <f>SUMIFS(DataRegularSeason20242025!$AA$3:$AA$1315,DataRegularSeason20242025!$B$3:$B$1315, "&lt;=" &amp; FN$1, DataRegularSeason20242025!$D$3:$D$1315, $A42)+SUMIFS(DataRegularSeason20242025!$AB$3:$AB$1315,DataRegularSeason20242025!$B$3:$B$1315, "&lt;=" &amp; FN$1, DataRegularSeason20242025!$E$3:$E$1315, $A42)</f>
        <v>6</v>
      </c>
      <c r="FO42">
        <f>SUMIFS(DataRegularSeason20242025!$AA$3:$AA$1315,DataRegularSeason20242025!$B$3:$B$1315, "&lt;=" &amp; FO$1, DataRegularSeason20242025!$D$3:$D$1315, $A42)+SUMIFS(DataRegularSeason20242025!$AB$3:$AB$1315,DataRegularSeason20242025!$B$3:$B$1315, "&lt;=" &amp; FO$1, DataRegularSeason20242025!$E$3:$E$1315, $A42)</f>
        <v>6</v>
      </c>
      <c r="FP42">
        <f>SUMIFS(DataRegularSeason20242025!$AA$3:$AA$1315,DataRegularSeason20242025!$B$3:$B$1315, "&lt;=" &amp; FP$1, DataRegularSeason20242025!$D$3:$D$1315, $A42)+SUMIFS(DataRegularSeason20242025!$AB$3:$AB$1315,DataRegularSeason20242025!$B$3:$B$1315, "&lt;=" &amp; FP$1, DataRegularSeason20242025!$E$3:$E$1315, $A42)</f>
        <v>6</v>
      </c>
      <c r="FQ42">
        <f>SUMIFS(DataRegularSeason20242025!$AA$3:$AA$1315,DataRegularSeason20242025!$B$3:$B$1315, "&lt;=" &amp; FQ$1, DataRegularSeason20242025!$D$3:$D$1315, $A42)+SUMIFS(DataRegularSeason20242025!$AB$3:$AB$1315,DataRegularSeason20242025!$B$3:$B$1315, "&lt;=" &amp; FQ$1, DataRegularSeason20242025!$E$3:$E$1315, $A42)</f>
        <v>6</v>
      </c>
      <c r="FR42">
        <f>SUMIFS(DataRegularSeason20242025!$AA$3:$AA$1315,DataRegularSeason20242025!$B$3:$B$1315, "&lt;=" &amp; FR$1, DataRegularSeason20242025!$D$3:$D$1315, $A42)+SUMIFS(DataRegularSeason20242025!$AB$3:$AB$1315,DataRegularSeason20242025!$B$3:$B$1315, "&lt;=" &amp; FR$1, DataRegularSeason20242025!$E$3:$E$1315, $A42)</f>
        <v>6</v>
      </c>
      <c r="FS42">
        <f>SUMIFS(DataRegularSeason20242025!$AA$3:$AA$1315,DataRegularSeason20242025!$B$3:$B$1315, "&lt;=" &amp; FS$1, DataRegularSeason20242025!$D$3:$D$1315, $A42)+SUMIFS(DataRegularSeason20242025!$AB$3:$AB$1315,DataRegularSeason20242025!$B$3:$B$1315, "&lt;=" &amp; FS$1, DataRegularSeason20242025!$E$3:$E$1315, $A42)</f>
        <v>6</v>
      </c>
      <c r="FT42">
        <f>SUMIFS(DataRegularSeason20242025!$AA$3:$AA$1315,DataRegularSeason20242025!$B$3:$B$1315, "&lt;=" &amp; FT$1, DataRegularSeason20242025!$D$3:$D$1315, $A42)+SUMIFS(DataRegularSeason20242025!$AB$3:$AB$1315,DataRegularSeason20242025!$B$3:$B$1315, "&lt;=" &amp; FT$1, DataRegularSeason20242025!$E$3:$E$1315, $A42)</f>
        <v>6</v>
      </c>
      <c r="FU42">
        <f>SUMIFS(DataRegularSeason20242025!$AA$3:$AA$1315,DataRegularSeason20242025!$B$3:$B$1315, "&lt;=" &amp; FU$1, DataRegularSeason20242025!$D$3:$D$1315, $A42)+SUMIFS(DataRegularSeason20242025!$AB$3:$AB$1315,DataRegularSeason20242025!$B$3:$B$1315, "&lt;=" &amp; FU$1, DataRegularSeason20242025!$E$3:$E$1315, $A42)</f>
        <v>6</v>
      </c>
      <c r="FV42">
        <f>SUMIFS(DataRegularSeason20242025!$AA$3:$AA$1315,DataRegularSeason20242025!$B$3:$B$1315, "&lt;=" &amp; FV$1, DataRegularSeason20242025!$D$3:$D$1315, $A42)+SUMIFS(DataRegularSeason20242025!$AB$3:$AB$1315,DataRegularSeason20242025!$B$3:$B$1315, "&lt;=" &amp; FV$1, DataRegularSeason20242025!$E$3:$E$1315, $A42)</f>
        <v>6</v>
      </c>
      <c r="FW42">
        <f>SUMIFS(DataRegularSeason20242025!$AA$3:$AA$1315,DataRegularSeason20242025!$B$3:$B$1315, "&lt;=" &amp; FW$1, DataRegularSeason20242025!$D$3:$D$1315, $A42)+SUMIFS(DataRegularSeason20242025!$AB$3:$AB$1315,DataRegularSeason20242025!$B$3:$B$1315, "&lt;=" &amp; FW$1, DataRegularSeason20242025!$E$3:$E$1315, $A42)</f>
        <v>6</v>
      </c>
      <c r="FX42">
        <f>SUMIFS(DataRegularSeason20242025!$AA$3:$AA$1315,DataRegularSeason20242025!$B$3:$B$1315, "&lt;=" &amp; FX$1, DataRegularSeason20242025!$D$3:$D$1315, $A42)+SUMIFS(DataRegularSeason20242025!$AB$3:$AB$1315,DataRegularSeason20242025!$B$3:$B$1315, "&lt;=" &amp; FX$1, DataRegularSeason20242025!$E$3:$E$1315, $A42)</f>
        <v>6</v>
      </c>
      <c r="FY42">
        <f>SUMIFS(DataRegularSeason20242025!$AA$3:$AA$1315,DataRegularSeason20242025!$B$3:$B$1315, "&lt;=" &amp; FY$1, DataRegularSeason20242025!$D$3:$D$1315, $A42)+SUMIFS(DataRegularSeason20242025!$AB$3:$AB$1315,DataRegularSeason20242025!$B$3:$B$1315, "&lt;=" &amp; FY$1, DataRegularSeason20242025!$E$3:$E$1315, $A42)</f>
        <v>6</v>
      </c>
      <c r="FZ42">
        <f>SUMIFS(DataRegularSeason20242025!$AA$3:$AA$1315,DataRegularSeason20242025!$B$3:$B$1315, "&lt;=" &amp; FZ$1, DataRegularSeason20242025!$D$3:$D$1315, $A42)+SUMIFS(DataRegularSeason20242025!$AB$3:$AB$1315,DataRegularSeason20242025!$B$3:$B$1315, "&lt;=" &amp; FZ$1, DataRegularSeason20242025!$E$3:$E$1315, $A42)</f>
        <v>6</v>
      </c>
      <c r="GA42">
        <f>SUMIFS(DataRegularSeason20242025!$AA$3:$AA$1315,DataRegularSeason20242025!$B$3:$B$1315, "&lt;=" &amp; GA$1, DataRegularSeason20242025!$D$3:$D$1315, $A42)+SUMIFS(DataRegularSeason20242025!$AB$3:$AB$1315,DataRegularSeason20242025!$B$3:$B$1315, "&lt;=" &amp; GA$1, DataRegularSeason20242025!$E$3:$E$1315, $A42)</f>
        <v>6</v>
      </c>
      <c r="GB42">
        <f>SUMIFS(DataRegularSeason20242025!$AA$3:$AA$1315,DataRegularSeason20242025!$B$3:$B$1315, "&lt;=" &amp; GB$1, DataRegularSeason20242025!$D$3:$D$1315, $A42)+SUMIFS(DataRegularSeason20242025!$AB$3:$AB$1315,DataRegularSeason20242025!$B$3:$B$1315, "&lt;=" &amp; GB$1, DataRegularSeason20242025!$E$3:$E$1315, $A42)</f>
        <v>6</v>
      </c>
      <c r="GC42">
        <f>SUMIFS(DataRegularSeason20242025!$AA$3:$AA$1315,DataRegularSeason20242025!$B$3:$B$1315, "&lt;=" &amp; GC$1, DataRegularSeason20242025!$D$3:$D$1315, $A42)+SUMIFS(DataRegularSeason20242025!$AB$3:$AB$1315,DataRegularSeason20242025!$B$3:$B$1315, "&lt;=" &amp; GC$1, DataRegularSeason20242025!$E$3:$E$1315, $A42)</f>
        <v>6</v>
      </c>
      <c r="GD42">
        <f>SUMIFS(DataRegularSeason20242025!$AA$3:$AA$1315,DataRegularSeason20242025!$B$3:$B$1315, "&lt;=" &amp; GD$1, DataRegularSeason20242025!$D$3:$D$1315, $A42)+SUMIFS(DataRegularSeason20242025!$AB$3:$AB$1315,DataRegularSeason20242025!$B$3:$B$1315, "&lt;=" &amp; GD$1, DataRegularSeason20242025!$E$3:$E$1315, $A42)</f>
        <v>6</v>
      </c>
      <c r="GE42">
        <f>SUMIFS(DataRegularSeason20242025!$AA$3:$AA$1315,DataRegularSeason20242025!$B$3:$B$1315, "&lt;=" &amp; GE$1, DataRegularSeason20242025!$D$3:$D$1315, $A42)+SUMIFS(DataRegularSeason20242025!$AB$3:$AB$1315,DataRegularSeason20242025!$B$3:$B$1315, "&lt;=" &amp; GE$1, DataRegularSeason20242025!$E$3:$E$1315, $A42)</f>
        <v>6</v>
      </c>
      <c r="GF42">
        <f>SUMIFS(DataRegularSeason20242025!$AA$3:$AA$1315,DataRegularSeason20242025!$B$3:$B$1315, "&lt;=" &amp; GF$1, DataRegularSeason20242025!$D$3:$D$1315, $A42)+SUMIFS(DataRegularSeason20242025!$AB$3:$AB$1315,DataRegularSeason20242025!$B$3:$B$1315, "&lt;=" &amp; GF$1, DataRegularSeason20242025!$E$3:$E$1315, $A42)</f>
        <v>6</v>
      </c>
      <c r="GG42">
        <f>SUMIFS(DataRegularSeason20242025!$AA$3:$AA$1315,DataRegularSeason20242025!$B$3:$B$1315, "&lt;=" &amp; GG$1, DataRegularSeason20242025!$D$3:$D$1315, $A42)+SUMIFS(DataRegularSeason20242025!$AB$3:$AB$1315,DataRegularSeason20242025!$B$3:$B$1315, "&lt;=" &amp; GG$1, DataRegularSeason20242025!$E$3:$E$1315, $A42)</f>
        <v>6</v>
      </c>
      <c r="GH42">
        <f>SUMIFS(DataRegularSeason20242025!$AA$3:$AA$1315,DataRegularSeason20242025!$B$3:$B$1315, "&lt;=" &amp; GH$1, DataRegularSeason20242025!$D$3:$D$1315, $A42)+SUMIFS(DataRegularSeason20242025!$AB$3:$AB$1315,DataRegularSeason20242025!$B$3:$B$1315, "&lt;=" &amp; GH$1, DataRegularSeason20242025!$E$3:$E$1315, $A42)</f>
        <v>6</v>
      </c>
      <c r="GI42">
        <f>SUMIFS(DataRegularSeason20242025!$AA$3:$AA$1315,DataRegularSeason20242025!$B$3:$B$1315, "&lt;=" &amp; GI$1, DataRegularSeason20242025!$D$3:$D$1315, $A42)+SUMIFS(DataRegularSeason20242025!$AB$3:$AB$1315,DataRegularSeason20242025!$B$3:$B$1315, "&lt;=" &amp; GI$1, DataRegularSeason20242025!$E$3:$E$1315, $A42)</f>
        <v>6</v>
      </c>
      <c r="GJ42">
        <f>SUMIFS(DataRegularSeason20242025!$AA$3:$AA$1315,DataRegularSeason20242025!$B$3:$B$1315, "&lt;=" &amp; GJ$1, DataRegularSeason20242025!$D$3:$D$1315, $A42)+SUMIFS(DataRegularSeason20242025!$AB$3:$AB$1315,DataRegularSeason20242025!$B$3:$B$1315, "&lt;=" &amp; GJ$1, DataRegularSeason20242025!$E$3:$E$1315, $A42)</f>
        <v>6</v>
      </c>
      <c r="GK42">
        <f>SUMIFS(DataRegularSeason20242025!$AA$3:$AA$1315,DataRegularSeason20242025!$B$3:$B$1315, "&lt;=" &amp; GK$1, DataRegularSeason20242025!$D$3:$D$1315, $A42)+SUMIFS(DataRegularSeason20242025!$AB$3:$AB$1315,DataRegularSeason20242025!$B$3:$B$1315, "&lt;=" &amp; GK$1, DataRegularSeason20242025!$E$3:$E$1315, $A42)</f>
        <v>6</v>
      </c>
      <c r="GL42">
        <f>SUMIFS(DataRegularSeason20242025!$AA$3:$AA$1315,DataRegularSeason20242025!$B$3:$B$1315, "&lt;=" &amp; GL$1, DataRegularSeason20242025!$D$3:$D$1315, $A42)+SUMIFS(DataRegularSeason20242025!$AB$3:$AB$1315,DataRegularSeason20242025!$B$3:$B$1315, "&lt;=" &amp; GL$1, DataRegularSeason20242025!$E$3:$E$1315, $A42)</f>
        <v>6</v>
      </c>
      <c r="GM42">
        <f>SUMIFS(DataRegularSeason20242025!$AA$3:$AA$1315,DataRegularSeason20242025!$B$3:$B$1315, "&lt;=" &amp; GM$1, DataRegularSeason20242025!$D$3:$D$1315, $A42)+SUMIFS(DataRegularSeason20242025!$AB$3:$AB$1315,DataRegularSeason20242025!$B$3:$B$1315, "&lt;=" &amp; GM$1, DataRegularSeason20242025!$E$3:$E$1315, $A42)</f>
        <v>6</v>
      </c>
      <c r="GN42">
        <f>SUMIFS(DataRegularSeason20242025!$AA$3:$AA$1315,DataRegularSeason20242025!$B$3:$B$1315, "&lt;=" &amp; GN$1, DataRegularSeason20242025!$D$3:$D$1315, $A42)+SUMIFS(DataRegularSeason20242025!$AB$3:$AB$1315,DataRegularSeason20242025!$B$3:$B$1315, "&lt;=" &amp; GN$1, DataRegularSeason20242025!$E$3:$E$1315, $A42)</f>
        <v>6</v>
      </c>
      <c r="GO42">
        <f>SUMIFS(DataRegularSeason20242025!$AA$3:$AA$1315,DataRegularSeason20242025!$B$3:$B$1315, "&lt;=" &amp; GO$1, DataRegularSeason20242025!$D$3:$D$1315, $A42)+SUMIFS(DataRegularSeason20242025!$AB$3:$AB$1315,DataRegularSeason20242025!$B$3:$B$1315, "&lt;=" &amp; GO$1, DataRegularSeason20242025!$E$3:$E$1315, $A42)</f>
        <v>6</v>
      </c>
      <c r="GP42">
        <f>SUMIFS(DataRegularSeason20242025!$AA$3:$AA$1315,DataRegularSeason20242025!$B$3:$B$1315, "&lt;=" &amp; GP$1, DataRegularSeason20242025!$D$3:$D$1315, $A42)+SUMIFS(DataRegularSeason20242025!$AB$3:$AB$1315,DataRegularSeason20242025!$B$3:$B$1315, "&lt;=" &amp; GP$1, DataRegularSeason20242025!$E$3:$E$1315, $A42)</f>
        <v>6</v>
      </c>
      <c r="GQ42">
        <f>SUMIFS(DataRegularSeason20242025!$AA$3:$AA$1315,DataRegularSeason20242025!$B$3:$B$1315, "&lt;=" &amp; GQ$1, DataRegularSeason20242025!$D$3:$D$1315, $A42)+SUMIFS(DataRegularSeason20242025!$AB$3:$AB$1315,DataRegularSeason20242025!$B$3:$B$1315, "&lt;=" &amp; GQ$1, DataRegularSeason20242025!$E$3:$E$1315, $A42)</f>
        <v>6</v>
      </c>
      <c r="GR42">
        <f>SUMIFS(DataRegularSeason20242025!$AA$3:$AA$1315,DataRegularSeason20242025!$B$3:$B$1315, "&lt;=" &amp; GR$1, DataRegularSeason20242025!$D$3:$D$1315, $A42)+SUMIFS(DataRegularSeason20242025!$AB$3:$AB$1315,DataRegularSeason20242025!$B$3:$B$1315, "&lt;=" &amp; GR$1, DataRegularSeason20242025!$E$3:$E$1315, $A42)</f>
        <v>6</v>
      </c>
      <c r="GS42">
        <f>SUMIFS(DataRegularSeason20242025!$AA$3:$AA$1315,DataRegularSeason20242025!$B$3:$B$1315, "&lt;=" &amp; GS$1, DataRegularSeason20242025!$D$3:$D$1315, $A42)+SUMIFS(DataRegularSeason20242025!$AB$3:$AB$1315,DataRegularSeason20242025!$B$3:$B$1315, "&lt;=" &amp; GS$1, DataRegularSeason20242025!$E$3:$E$1315, $A42)</f>
        <v>6</v>
      </c>
      <c r="GT42">
        <f>SUMIFS(DataRegularSeason20242025!$AA$3:$AA$1315,DataRegularSeason20242025!$B$3:$B$1315, "&lt;=" &amp; GT$1, DataRegularSeason20242025!$D$3:$D$1315, $A42)+SUMIFS(DataRegularSeason20242025!$AB$3:$AB$1315,DataRegularSeason20242025!$B$3:$B$1315, "&lt;=" &amp; GT$1, DataRegularSeason20242025!$E$3:$E$1315, $A42)</f>
        <v>6</v>
      </c>
      <c r="GU42">
        <f>SUMIFS(DataRegularSeason20242025!$AA$3:$AA$1315,DataRegularSeason20242025!$B$3:$B$1315, "&lt;=" &amp; GU$1, DataRegularSeason20242025!$D$3:$D$1315, $A42)+SUMIFS(DataRegularSeason20242025!$AB$3:$AB$1315,DataRegularSeason20242025!$B$3:$B$1315, "&lt;=" &amp; GU$1, DataRegularSeason20242025!$E$3:$E$1315, $A42)</f>
        <v>6</v>
      </c>
    </row>
    <row r="43" spans="1:275" x14ac:dyDescent="0.25">
      <c r="A43" t="s">
        <v>40</v>
      </c>
      <c r="B43" t="s">
        <v>91</v>
      </c>
      <c r="C43" t="s">
        <v>74</v>
      </c>
      <c r="D43">
        <f>SUMIFS(DataRegularSeason20242025!$AA$3:$AA$1315,DataRegularSeason20242025!$B$3:$B$1315, "&lt;=" &amp; D$1, DataRegularSeason20242025!$D$3:$D$1315, $A43)+SUMIFS(DataRegularSeason20242025!$AB$3:$AB$1315,DataRegularSeason20242025!$B$3:$B$1315, "&lt;=" &amp; D$1, DataRegularSeason20242025!$E$3:$E$1315, $A43)</f>
        <v>0</v>
      </c>
      <c r="E43">
        <f>SUMIFS(DataRegularSeason20242025!$AA$3:$AA$1315,DataRegularSeason20242025!$B$3:$B$1315, "&lt;=" &amp; E$1, DataRegularSeason20242025!$D$3:$D$1315, $A43)+SUMIFS(DataRegularSeason20242025!$AB$3:$AB$1315,DataRegularSeason20242025!$B$3:$B$1315, "&lt;=" &amp; E$1, DataRegularSeason20242025!$E$3:$E$1315, $A43)</f>
        <v>0</v>
      </c>
      <c r="F43">
        <f>SUMIFS(DataRegularSeason20242025!$AA$3:$AA$1315,DataRegularSeason20242025!$B$3:$B$1315, "&lt;=" &amp; F$1, DataRegularSeason20242025!$D$3:$D$1315, $A43)+SUMIFS(DataRegularSeason20242025!$AB$3:$AB$1315,DataRegularSeason20242025!$B$3:$B$1315, "&lt;=" &amp; F$1, DataRegularSeason20242025!$E$3:$E$1315, $A43)</f>
        <v>0</v>
      </c>
      <c r="G43">
        <f>SUMIFS(DataRegularSeason20242025!$AA$3:$AA$1315,DataRegularSeason20242025!$B$3:$B$1315, "&lt;=" &amp; G$1, DataRegularSeason20242025!$D$3:$D$1315, $A43)+SUMIFS(DataRegularSeason20242025!$AB$3:$AB$1315,DataRegularSeason20242025!$B$3:$B$1315, "&lt;=" &amp; G$1, DataRegularSeason20242025!$E$3:$E$1315, $A43)</f>
        <v>0</v>
      </c>
      <c r="H43">
        <f>SUMIFS(DataRegularSeason20242025!$AA$3:$AA$1315,DataRegularSeason20242025!$B$3:$B$1315, "&lt;=" &amp; H$1, DataRegularSeason20242025!$D$3:$D$1315, $A43)+SUMIFS(DataRegularSeason20242025!$AB$3:$AB$1315,DataRegularSeason20242025!$B$3:$B$1315, "&lt;=" &amp; H$1, DataRegularSeason20242025!$E$3:$E$1315, $A43)</f>
        <v>0</v>
      </c>
      <c r="I43">
        <f>SUMIFS(DataRegularSeason20242025!$AA$3:$AA$1315,DataRegularSeason20242025!$B$3:$B$1315, "&lt;=" &amp; I$1, DataRegularSeason20242025!$D$3:$D$1315, $A43)+SUMIFS(DataRegularSeason20242025!$AB$3:$AB$1315,DataRegularSeason20242025!$B$3:$B$1315, "&lt;=" &amp; I$1, DataRegularSeason20242025!$E$3:$E$1315, $A43)</f>
        <v>0</v>
      </c>
      <c r="J43">
        <f>SUMIFS(DataRegularSeason20242025!$AA$3:$AA$1315,DataRegularSeason20242025!$B$3:$B$1315, "&lt;=" &amp; J$1, DataRegularSeason20242025!$D$3:$D$1315, $A43)+SUMIFS(DataRegularSeason20242025!$AB$3:$AB$1315,DataRegularSeason20242025!$B$3:$B$1315, "&lt;=" &amp; J$1, DataRegularSeason20242025!$E$3:$E$1315, $A43)</f>
        <v>0</v>
      </c>
      <c r="K43">
        <f>SUMIFS(DataRegularSeason20242025!$AA$3:$AA$1315,DataRegularSeason20242025!$B$3:$B$1315, "&lt;=" &amp; K$1, DataRegularSeason20242025!$D$3:$D$1315, $A43)+SUMIFS(DataRegularSeason20242025!$AB$3:$AB$1315,DataRegularSeason20242025!$B$3:$B$1315, "&lt;=" &amp; K$1, DataRegularSeason20242025!$E$3:$E$1315, $A43)</f>
        <v>0</v>
      </c>
      <c r="L43">
        <f>SUMIFS(DataRegularSeason20242025!$AA$3:$AA$1315,DataRegularSeason20242025!$B$3:$B$1315, "&lt;=" &amp; L$1, DataRegularSeason20242025!$D$3:$D$1315, $A43)+SUMIFS(DataRegularSeason20242025!$AB$3:$AB$1315,DataRegularSeason20242025!$B$3:$B$1315, "&lt;=" &amp; L$1, DataRegularSeason20242025!$E$3:$E$1315, $A43)</f>
        <v>0</v>
      </c>
      <c r="M43">
        <f>SUMIFS(DataRegularSeason20242025!$AA$3:$AA$1315,DataRegularSeason20242025!$B$3:$B$1315, "&lt;=" &amp; M$1, DataRegularSeason20242025!$D$3:$D$1315, $A43)+SUMIFS(DataRegularSeason20242025!$AB$3:$AB$1315,DataRegularSeason20242025!$B$3:$B$1315, "&lt;=" &amp; M$1, DataRegularSeason20242025!$E$3:$E$1315, $A43)</f>
        <v>0</v>
      </c>
      <c r="N43">
        <f>SUMIFS(DataRegularSeason20242025!$AA$3:$AA$1315,DataRegularSeason20242025!$B$3:$B$1315, "&lt;=" &amp; N$1, DataRegularSeason20242025!$D$3:$D$1315, $A43)+SUMIFS(DataRegularSeason20242025!$AB$3:$AB$1315,DataRegularSeason20242025!$B$3:$B$1315, "&lt;=" &amp; N$1, DataRegularSeason20242025!$E$3:$E$1315, $A43)</f>
        <v>2</v>
      </c>
      <c r="O43">
        <f>SUMIFS(DataRegularSeason20242025!$AA$3:$AA$1315,DataRegularSeason20242025!$B$3:$B$1315, "&lt;=" &amp; O$1, DataRegularSeason20242025!$D$3:$D$1315, $A43)+SUMIFS(DataRegularSeason20242025!$AB$3:$AB$1315,DataRegularSeason20242025!$B$3:$B$1315, "&lt;=" &amp; O$1, DataRegularSeason20242025!$E$3:$E$1315, $A43)</f>
        <v>3</v>
      </c>
      <c r="P43">
        <f>SUMIFS(DataRegularSeason20242025!$AA$3:$AA$1315,DataRegularSeason20242025!$B$3:$B$1315, "&lt;=" &amp; P$1, DataRegularSeason20242025!$D$3:$D$1315, $A43)+SUMIFS(DataRegularSeason20242025!$AB$3:$AB$1315,DataRegularSeason20242025!$B$3:$B$1315, "&lt;=" &amp; P$1, DataRegularSeason20242025!$E$3:$E$1315, $A43)</f>
        <v>3</v>
      </c>
      <c r="Q43">
        <f>SUMIFS(DataRegularSeason20242025!$AA$3:$AA$1315,DataRegularSeason20242025!$B$3:$B$1315, "&lt;=" &amp; Q$1, DataRegularSeason20242025!$D$3:$D$1315, $A43)+SUMIFS(DataRegularSeason20242025!$AB$3:$AB$1315,DataRegularSeason20242025!$B$3:$B$1315, "&lt;=" &amp; Q$1, DataRegularSeason20242025!$E$3:$E$1315, $A43)</f>
        <v>3</v>
      </c>
      <c r="R43">
        <f>SUMIFS(DataRegularSeason20242025!$AA$3:$AA$1315,DataRegularSeason20242025!$B$3:$B$1315, "&lt;=" &amp; R$1, DataRegularSeason20242025!$D$3:$D$1315, $A43)+SUMIFS(DataRegularSeason20242025!$AB$3:$AB$1315,DataRegularSeason20242025!$B$3:$B$1315, "&lt;=" &amp; R$1, DataRegularSeason20242025!$E$3:$E$1315, $A43)</f>
        <v>4</v>
      </c>
      <c r="S43">
        <f>SUMIFS(DataRegularSeason20242025!$AA$3:$AA$1315,DataRegularSeason20242025!$B$3:$B$1315, "&lt;=" &amp; S$1, DataRegularSeason20242025!$D$3:$D$1315, $A43)+SUMIFS(DataRegularSeason20242025!$AB$3:$AB$1315,DataRegularSeason20242025!$B$3:$B$1315, "&lt;=" &amp; S$1, DataRegularSeason20242025!$E$3:$E$1315, $A43)</f>
        <v>4</v>
      </c>
      <c r="T43">
        <f>SUMIFS(DataRegularSeason20242025!$AA$3:$AA$1315,DataRegularSeason20242025!$B$3:$B$1315, "&lt;=" &amp; T$1, DataRegularSeason20242025!$D$3:$D$1315, $A43)+SUMIFS(DataRegularSeason20242025!$AB$3:$AB$1315,DataRegularSeason20242025!$B$3:$B$1315, "&lt;=" &amp; T$1, DataRegularSeason20242025!$E$3:$E$1315, $A43)</f>
        <v>4</v>
      </c>
      <c r="U43">
        <f>SUMIFS(DataRegularSeason20242025!$AA$3:$AA$1315,DataRegularSeason20242025!$B$3:$B$1315, "&lt;=" &amp; U$1, DataRegularSeason20242025!$D$3:$D$1315, $A43)+SUMIFS(DataRegularSeason20242025!$AB$3:$AB$1315,DataRegularSeason20242025!$B$3:$B$1315, "&lt;=" &amp; U$1, DataRegularSeason20242025!$E$3:$E$1315, $A43)</f>
        <v>4</v>
      </c>
      <c r="V43">
        <f>SUMIFS(DataRegularSeason20242025!$AA$3:$AA$1315,DataRegularSeason20242025!$B$3:$B$1315, "&lt;=" &amp; V$1, DataRegularSeason20242025!$D$3:$D$1315, $A43)+SUMIFS(DataRegularSeason20242025!$AB$3:$AB$1315,DataRegularSeason20242025!$B$3:$B$1315, "&lt;=" &amp; V$1, DataRegularSeason20242025!$E$3:$E$1315, $A43)</f>
        <v>4</v>
      </c>
      <c r="W43">
        <f>SUMIFS(DataRegularSeason20242025!$AA$3:$AA$1315,DataRegularSeason20242025!$B$3:$B$1315, "&lt;=" &amp; W$1, DataRegularSeason20242025!$D$3:$D$1315, $A43)+SUMIFS(DataRegularSeason20242025!$AB$3:$AB$1315,DataRegularSeason20242025!$B$3:$B$1315, "&lt;=" &amp; W$1, DataRegularSeason20242025!$E$3:$E$1315, $A43)</f>
        <v>4</v>
      </c>
      <c r="X43">
        <f>SUMIFS(DataRegularSeason20242025!$AA$3:$AA$1315,DataRegularSeason20242025!$B$3:$B$1315, "&lt;=" &amp; X$1, DataRegularSeason20242025!$D$3:$D$1315, $A43)+SUMIFS(DataRegularSeason20242025!$AB$3:$AB$1315,DataRegularSeason20242025!$B$3:$B$1315, "&lt;=" &amp; X$1, DataRegularSeason20242025!$E$3:$E$1315, $A43)</f>
        <v>4</v>
      </c>
      <c r="Y43">
        <f>SUMIFS(DataRegularSeason20242025!$AA$3:$AA$1315,DataRegularSeason20242025!$B$3:$B$1315, "&lt;=" &amp; Y$1, DataRegularSeason20242025!$D$3:$D$1315, $A43)+SUMIFS(DataRegularSeason20242025!$AB$3:$AB$1315,DataRegularSeason20242025!$B$3:$B$1315, "&lt;=" &amp; Y$1, DataRegularSeason20242025!$E$3:$E$1315, $A43)</f>
        <v>4</v>
      </c>
      <c r="Z43">
        <f>SUMIFS(DataRegularSeason20242025!$AA$3:$AA$1315,DataRegularSeason20242025!$B$3:$B$1315, "&lt;=" &amp; Z$1, DataRegularSeason20242025!$D$3:$D$1315, $A43)+SUMIFS(DataRegularSeason20242025!$AB$3:$AB$1315,DataRegularSeason20242025!$B$3:$B$1315, "&lt;=" &amp; Z$1, DataRegularSeason20242025!$E$3:$E$1315, $A43)</f>
        <v>4</v>
      </c>
      <c r="AA43">
        <f>SUMIFS(DataRegularSeason20242025!$AA$3:$AA$1315,DataRegularSeason20242025!$B$3:$B$1315, "&lt;=" &amp; AA$1, DataRegularSeason20242025!$D$3:$D$1315, $A43)+SUMIFS(DataRegularSeason20242025!$AB$3:$AB$1315,DataRegularSeason20242025!$B$3:$B$1315, "&lt;=" &amp; AA$1, DataRegularSeason20242025!$E$3:$E$1315, $A43)</f>
        <v>4</v>
      </c>
      <c r="AB43">
        <f>SUMIFS(DataRegularSeason20242025!$AA$3:$AA$1315,DataRegularSeason20242025!$B$3:$B$1315, "&lt;=" &amp; AB$1, DataRegularSeason20242025!$D$3:$D$1315, $A43)+SUMIFS(DataRegularSeason20242025!$AB$3:$AB$1315,DataRegularSeason20242025!$B$3:$B$1315, "&lt;=" &amp; AB$1, DataRegularSeason20242025!$E$3:$E$1315, $A43)</f>
        <v>4</v>
      </c>
      <c r="AC43">
        <f>SUMIFS(DataRegularSeason20242025!$AA$3:$AA$1315,DataRegularSeason20242025!$B$3:$B$1315, "&lt;=" &amp; AC$1, DataRegularSeason20242025!$D$3:$D$1315, $A43)+SUMIFS(DataRegularSeason20242025!$AB$3:$AB$1315,DataRegularSeason20242025!$B$3:$B$1315, "&lt;=" &amp; AC$1, DataRegularSeason20242025!$E$3:$E$1315, $A43)</f>
        <v>4</v>
      </c>
      <c r="AD43">
        <f>SUMIFS(DataRegularSeason20242025!$AA$3:$AA$1315,DataRegularSeason20242025!$B$3:$B$1315, "&lt;=" &amp; AD$1, DataRegularSeason20242025!$D$3:$D$1315, $A43)+SUMIFS(DataRegularSeason20242025!$AB$3:$AB$1315,DataRegularSeason20242025!$B$3:$B$1315, "&lt;=" &amp; AD$1, DataRegularSeason20242025!$E$3:$E$1315, $A43)</f>
        <v>4</v>
      </c>
      <c r="AE43">
        <f>SUMIFS(DataRegularSeason20242025!$AA$3:$AA$1315,DataRegularSeason20242025!$B$3:$B$1315, "&lt;=" &amp; AE$1, DataRegularSeason20242025!$D$3:$D$1315, $A43)+SUMIFS(DataRegularSeason20242025!$AB$3:$AB$1315,DataRegularSeason20242025!$B$3:$B$1315, "&lt;=" &amp; AE$1, DataRegularSeason20242025!$E$3:$E$1315, $A43)</f>
        <v>4</v>
      </c>
      <c r="AF43">
        <f>SUMIFS(DataRegularSeason20242025!$AA$3:$AA$1315,DataRegularSeason20242025!$B$3:$B$1315, "&lt;=" &amp; AF$1, DataRegularSeason20242025!$D$3:$D$1315, $A43)+SUMIFS(DataRegularSeason20242025!$AB$3:$AB$1315,DataRegularSeason20242025!$B$3:$B$1315, "&lt;=" &amp; AF$1, DataRegularSeason20242025!$E$3:$E$1315, $A43)</f>
        <v>4</v>
      </c>
      <c r="AG43">
        <f>SUMIFS(DataRegularSeason20242025!$AA$3:$AA$1315,DataRegularSeason20242025!$B$3:$B$1315, "&lt;=" &amp; AG$1, DataRegularSeason20242025!$D$3:$D$1315, $A43)+SUMIFS(DataRegularSeason20242025!$AB$3:$AB$1315,DataRegularSeason20242025!$B$3:$B$1315, "&lt;=" &amp; AG$1, DataRegularSeason20242025!$E$3:$E$1315, $A43)</f>
        <v>4</v>
      </c>
      <c r="AH43">
        <f>SUMIFS(DataRegularSeason20242025!$AA$3:$AA$1315,DataRegularSeason20242025!$B$3:$B$1315, "&lt;=" &amp; AH$1, DataRegularSeason20242025!$D$3:$D$1315, $A43)+SUMIFS(DataRegularSeason20242025!$AB$3:$AB$1315,DataRegularSeason20242025!$B$3:$B$1315, "&lt;=" &amp; AH$1, DataRegularSeason20242025!$E$3:$E$1315, $A43)</f>
        <v>4</v>
      </c>
      <c r="AI43">
        <f>SUMIFS(DataRegularSeason20242025!$AA$3:$AA$1315,DataRegularSeason20242025!$B$3:$B$1315, "&lt;=" &amp; AI$1, DataRegularSeason20242025!$D$3:$D$1315, $A43)+SUMIFS(DataRegularSeason20242025!$AB$3:$AB$1315,DataRegularSeason20242025!$B$3:$B$1315, "&lt;=" &amp; AI$1, DataRegularSeason20242025!$E$3:$E$1315, $A43)</f>
        <v>4</v>
      </c>
      <c r="AJ43">
        <f>SUMIFS(DataRegularSeason20242025!$AA$3:$AA$1315,DataRegularSeason20242025!$B$3:$B$1315, "&lt;=" &amp; AJ$1, DataRegularSeason20242025!$D$3:$D$1315, $A43)+SUMIFS(DataRegularSeason20242025!$AB$3:$AB$1315,DataRegularSeason20242025!$B$3:$B$1315, "&lt;=" &amp; AJ$1, DataRegularSeason20242025!$E$3:$E$1315, $A43)</f>
        <v>4</v>
      </c>
      <c r="AK43">
        <f>SUMIFS(DataRegularSeason20242025!$AA$3:$AA$1315,DataRegularSeason20242025!$B$3:$B$1315, "&lt;=" &amp; AK$1, DataRegularSeason20242025!$D$3:$D$1315, $A43)+SUMIFS(DataRegularSeason20242025!$AB$3:$AB$1315,DataRegularSeason20242025!$B$3:$B$1315, "&lt;=" &amp; AK$1, DataRegularSeason20242025!$E$3:$E$1315, $A43)</f>
        <v>4</v>
      </c>
      <c r="AL43">
        <f>SUMIFS(DataRegularSeason20242025!$AA$3:$AA$1315,DataRegularSeason20242025!$B$3:$B$1315, "&lt;=" &amp; AL$1, DataRegularSeason20242025!$D$3:$D$1315, $A43)+SUMIFS(DataRegularSeason20242025!$AB$3:$AB$1315,DataRegularSeason20242025!$B$3:$B$1315, "&lt;=" &amp; AL$1, DataRegularSeason20242025!$E$3:$E$1315, $A43)</f>
        <v>4</v>
      </c>
      <c r="AM43">
        <f>SUMIFS(DataRegularSeason20242025!$AA$3:$AA$1315,DataRegularSeason20242025!$B$3:$B$1315, "&lt;=" &amp; AM$1, DataRegularSeason20242025!$D$3:$D$1315, $A43)+SUMIFS(DataRegularSeason20242025!$AB$3:$AB$1315,DataRegularSeason20242025!$B$3:$B$1315, "&lt;=" &amp; AM$1, DataRegularSeason20242025!$E$3:$E$1315, $A43)</f>
        <v>4</v>
      </c>
      <c r="AN43">
        <f>SUMIFS(DataRegularSeason20242025!$AA$3:$AA$1315,DataRegularSeason20242025!$B$3:$B$1315, "&lt;=" &amp; AN$1, DataRegularSeason20242025!$D$3:$D$1315, $A43)+SUMIFS(DataRegularSeason20242025!$AB$3:$AB$1315,DataRegularSeason20242025!$B$3:$B$1315, "&lt;=" &amp; AN$1, DataRegularSeason20242025!$E$3:$E$1315, $A43)</f>
        <v>4</v>
      </c>
      <c r="AO43">
        <f>SUMIFS(DataRegularSeason20242025!$AA$3:$AA$1315,DataRegularSeason20242025!$B$3:$B$1315, "&lt;=" &amp; AO$1, DataRegularSeason20242025!$D$3:$D$1315, $A43)+SUMIFS(DataRegularSeason20242025!$AB$3:$AB$1315,DataRegularSeason20242025!$B$3:$B$1315, "&lt;=" &amp; AO$1, DataRegularSeason20242025!$E$3:$E$1315, $A43)</f>
        <v>4</v>
      </c>
      <c r="AP43">
        <f>SUMIFS(DataRegularSeason20242025!$AA$3:$AA$1315,DataRegularSeason20242025!$B$3:$B$1315, "&lt;=" &amp; AP$1, DataRegularSeason20242025!$D$3:$D$1315, $A43)+SUMIFS(DataRegularSeason20242025!$AB$3:$AB$1315,DataRegularSeason20242025!$B$3:$B$1315, "&lt;=" &amp; AP$1, DataRegularSeason20242025!$E$3:$E$1315, $A43)</f>
        <v>4</v>
      </c>
      <c r="AQ43">
        <f>SUMIFS(DataRegularSeason20242025!$AA$3:$AA$1315,DataRegularSeason20242025!$B$3:$B$1315, "&lt;=" &amp; AQ$1, DataRegularSeason20242025!$D$3:$D$1315, $A43)+SUMIFS(DataRegularSeason20242025!$AB$3:$AB$1315,DataRegularSeason20242025!$B$3:$B$1315, "&lt;=" &amp; AQ$1, DataRegularSeason20242025!$E$3:$E$1315, $A43)</f>
        <v>4</v>
      </c>
      <c r="AR43">
        <f>SUMIFS(DataRegularSeason20242025!$AA$3:$AA$1315,DataRegularSeason20242025!$B$3:$B$1315, "&lt;=" &amp; AR$1, DataRegularSeason20242025!$D$3:$D$1315, $A43)+SUMIFS(DataRegularSeason20242025!$AB$3:$AB$1315,DataRegularSeason20242025!$B$3:$B$1315, "&lt;=" &amp; AR$1, DataRegularSeason20242025!$E$3:$E$1315, $A43)</f>
        <v>4</v>
      </c>
      <c r="AS43">
        <f>SUMIFS(DataRegularSeason20242025!$AA$3:$AA$1315,DataRegularSeason20242025!$B$3:$B$1315, "&lt;=" &amp; AS$1, DataRegularSeason20242025!$D$3:$D$1315, $A43)+SUMIFS(DataRegularSeason20242025!$AB$3:$AB$1315,DataRegularSeason20242025!$B$3:$B$1315, "&lt;=" &amp; AS$1, DataRegularSeason20242025!$E$3:$E$1315, $A43)</f>
        <v>4</v>
      </c>
      <c r="AT43">
        <f>SUMIFS(DataRegularSeason20242025!$AA$3:$AA$1315,DataRegularSeason20242025!$B$3:$B$1315, "&lt;=" &amp; AT$1, DataRegularSeason20242025!$D$3:$D$1315, $A43)+SUMIFS(DataRegularSeason20242025!$AB$3:$AB$1315,DataRegularSeason20242025!$B$3:$B$1315, "&lt;=" &amp; AT$1, DataRegularSeason20242025!$E$3:$E$1315, $A43)</f>
        <v>4</v>
      </c>
      <c r="AU43">
        <f>SUMIFS(DataRegularSeason20242025!$AA$3:$AA$1315,DataRegularSeason20242025!$B$3:$B$1315, "&lt;=" &amp; AU$1, DataRegularSeason20242025!$D$3:$D$1315, $A43)+SUMIFS(DataRegularSeason20242025!$AB$3:$AB$1315,DataRegularSeason20242025!$B$3:$B$1315, "&lt;=" &amp; AU$1, DataRegularSeason20242025!$E$3:$E$1315, $A43)</f>
        <v>4</v>
      </c>
      <c r="AV43">
        <f>SUMIFS(DataRegularSeason20242025!$AA$3:$AA$1315,DataRegularSeason20242025!$B$3:$B$1315, "&lt;=" &amp; AV$1, DataRegularSeason20242025!$D$3:$D$1315, $A43)+SUMIFS(DataRegularSeason20242025!$AB$3:$AB$1315,DataRegularSeason20242025!$B$3:$B$1315, "&lt;=" &amp; AV$1, DataRegularSeason20242025!$E$3:$E$1315, $A43)</f>
        <v>4</v>
      </c>
      <c r="AW43">
        <f>SUMIFS(DataRegularSeason20242025!$AA$3:$AA$1315,DataRegularSeason20242025!$B$3:$B$1315, "&lt;=" &amp; AW$1, DataRegularSeason20242025!$D$3:$D$1315, $A43)+SUMIFS(DataRegularSeason20242025!$AB$3:$AB$1315,DataRegularSeason20242025!$B$3:$B$1315, "&lt;=" &amp; AW$1, DataRegularSeason20242025!$E$3:$E$1315, $A43)</f>
        <v>4</v>
      </c>
      <c r="AX43">
        <f>SUMIFS(DataRegularSeason20242025!$AA$3:$AA$1315,DataRegularSeason20242025!$B$3:$B$1315, "&lt;=" &amp; AX$1, DataRegularSeason20242025!$D$3:$D$1315, $A43)+SUMIFS(DataRegularSeason20242025!$AB$3:$AB$1315,DataRegularSeason20242025!$B$3:$B$1315, "&lt;=" &amp; AX$1, DataRegularSeason20242025!$E$3:$E$1315, $A43)</f>
        <v>4</v>
      </c>
      <c r="AY43">
        <f>SUMIFS(DataRegularSeason20242025!$AA$3:$AA$1315,DataRegularSeason20242025!$B$3:$B$1315, "&lt;=" &amp; AY$1, DataRegularSeason20242025!$D$3:$D$1315, $A43)+SUMIFS(DataRegularSeason20242025!$AB$3:$AB$1315,DataRegularSeason20242025!$B$3:$B$1315, "&lt;=" &amp; AY$1, DataRegularSeason20242025!$E$3:$E$1315, $A43)</f>
        <v>4</v>
      </c>
      <c r="AZ43">
        <f>SUMIFS(DataRegularSeason20242025!$AA$3:$AA$1315,DataRegularSeason20242025!$B$3:$B$1315, "&lt;=" &amp; AZ$1, DataRegularSeason20242025!$D$3:$D$1315, $A43)+SUMIFS(DataRegularSeason20242025!$AB$3:$AB$1315,DataRegularSeason20242025!$B$3:$B$1315, "&lt;=" &amp; AZ$1, DataRegularSeason20242025!$E$3:$E$1315, $A43)</f>
        <v>4</v>
      </c>
      <c r="BA43">
        <f>SUMIFS(DataRegularSeason20242025!$AA$3:$AA$1315,DataRegularSeason20242025!$B$3:$B$1315, "&lt;=" &amp; BA$1, DataRegularSeason20242025!$D$3:$D$1315, $A43)+SUMIFS(DataRegularSeason20242025!$AB$3:$AB$1315,DataRegularSeason20242025!$B$3:$B$1315, "&lt;=" &amp; BA$1, DataRegularSeason20242025!$E$3:$E$1315, $A43)</f>
        <v>4</v>
      </c>
      <c r="BB43">
        <f>SUMIFS(DataRegularSeason20242025!$AA$3:$AA$1315,DataRegularSeason20242025!$B$3:$B$1315, "&lt;=" &amp; BB$1, DataRegularSeason20242025!$D$3:$D$1315, $A43)+SUMIFS(DataRegularSeason20242025!$AB$3:$AB$1315,DataRegularSeason20242025!$B$3:$B$1315, "&lt;=" &amp; BB$1, DataRegularSeason20242025!$E$3:$E$1315, $A43)</f>
        <v>4</v>
      </c>
      <c r="BC43">
        <f>SUMIFS(DataRegularSeason20242025!$AA$3:$AA$1315,DataRegularSeason20242025!$B$3:$B$1315, "&lt;=" &amp; BC$1, DataRegularSeason20242025!$D$3:$D$1315, $A43)+SUMIFS(DataRegularSeason20242025!$AB$3:$AB$1315,DataRegularSeason20242025!$B$3:$B$1315, "&lt;=" &amp; BC$1, DataRegularSeason20242025!$E$3:$E$1315, $A43)</f>
        <v>4</v>
      </c>
      <c r="BD43">
        <f>SUMIFS(DataRegularSeason20242025!$AA$3:$AA$1315,DataRegularSeason20242025!$B$3:$B$1315, "&lt;=" &amp; BD$1, DataRegularSeason20242025!$D$3:$D$1315, $A43)+SUMIFS(DataRegularSeason20242025!$AB$3:$AB$1315,DataRegularSeason20242025!$B$3:$B$1315, "&lt;=" &amp; BD$1, DataRegularSeason20242025!$E$3:$E$1315, $A43)</f>
        <v>4</v>
      </c>
      <c r="BE43">
        <f>SUMIFS(DataRegularSeason20242025!$AA$3:$AA$1315,DataRegularSeason20242025!$B$3:$B$1315, "&lt;=" &amp; BE$1, DataRegularSeason20242025!$D$3:$D$1315, $A43)+SUMIFS(DataRegularSeason20242025!$AB$3:$AB$1315,DataRegularSeason20242025!$B$3:$B$1315, "&lt;=" &amp; BE$1, DataRegularSeason20242025!$E$3:$E$1315, $A43)</f>
        <v>4</v>
      </c>
      <c r="BF43">
        <f>SUMIFS(DataRegularSeason20242025!$AA$3:$AA$1315,DataRegularSeason20242025!$B$3:$B$1315, "&lt;=" &amp; BF$1, DataRegularSeason20242025!$D$3:$D$1315, $A43)+SUMIFS(DataRegularSeason20242025!$AB$3:$AB$1315,DataRegularSeason20242025!$B$3:$B$1315, "&lt;=" &amp; BF$1, DataRegularSeason20242025!$E$3:$E$1315, $A43)</f>
        <v>4</v>
      </c>
      <c r="BG43">
        <f>SUMIFS(DataRegularSeason20242025!$AA$3:$AA$1315,DataRegularSeason20242025!$B$3:$B$1315, "&lt;=" &amp; BG$1, DataRegularSeason20242025!$D$3:$D$1315, $A43)+SUMIFS(DataRegularSeason20242025!$AB$3:$AB$1315,DataRegularSeason20242025!$B$3:$B$1315, "&lt;=" &amp; BG$1, DataRegularSeason20242025!$E$3:$E$1315, $A43)</f>
        <v>4</v>
      </c>
      <c r="BH43">
        <f>SUMIFS(DataRegularSeason20242025!$AA$3:$AA$1315,DataRegularSeason20242025!$B$3:$B$1315, "&lt;=" &amp; BH$1, DataRegularSeason20242025!$D$3:$D$1315, $A43)+SUMIFS(DataRegularSeason20242025!$AB$3:$AB$1315,DataRegularSeason20242025!$B$3:$B$1315, "&lt;=" &amp; BH$1, DataRegularSeason20242025!$E$3:$E$1315, $A43)</f>
        <v>4</v>
      </c>
      <c r="BI43">
        <f>SUMIFS(DataRegularSeason20242025!$AA$3:$AA$1315,DataRegularSeason20242025!$B$3:$B$1315, "&lt;=" &amp; BI$1, DataRegularSeason20242025!$D$3:$D$1315, $A43)+SUMIFS(DataRegularSeason20242025!$AB$3:$AB$1315,DataRegularSeason20242025!$B$3:$B$1315, "&lt;=" &amp; BI$1, DataRegularSeason20242025!$E$3:$E$1315, $A43)</f>
        <v>4</v>
      </c>
      <c r="BJ43">
        <f>SUMIFS(DataRegularSeason20242025!$AA$3:$AA$1315,DataRegularSeason20242025!$B$3:$B$1315, "&lt;=" &amp; BJ$1, DataRegularSeason20242025!$D$3:$D$1315, $A43)+SUMIFS(DataRegularSeason20242025!$AB$3:$AB$1315,DataRegularSeason20242025!$B$3:$B$1315, "&lt;=" &amp; BJ$1, DataRegularSeason20242025!$E$3:$E$1315, $A43)</f>
        <v>4</v>
      </c>
      <c r="BK43">
        <f>SUMIFS(DataRegularSeason20242025!$AA$3:$AA$1315,DataRegularSeason20242025!$B$3:$B$1315, "&lt;=" &amp; BK$1, DataRegularSeason20242025!$D$3:$D$1315, $A43)+SUMIFS(DataRegularSeason20242025!$AB$3:$AB$1315,DataRegularSeason20242025!$B$3:$B$1315, "&lt;=" &amp; BK$1, DataRegularSeason20242025!$E$3:$E$1315, $A43)</f>
        <v>4</v>
      </c>
      <c r="BL43">
        <f>SUMIFS(DataRegularSeason20242025!$AA$3:$AA$1315,DataRegularSeason20242025!$B$3:$B$1315, "&lt;=" &amp; BL$1, DataRegularSeason20242025!$D$3:$D$1315, $A43)+SUMIFS(DataRegularSeason20242025!$AB$3:$AB$1315,DataRegularSeason20242025!$B$3:$B$1315, "&lt;=" &amp; BL$1, DataRegularSeason20242025!$E$3:$E$1315, $A43)</f>
        <v>4</v>
      </c>
      <c r="BM43">
        <f>SUMIFS(DataRegularSeason20242025!$AA$3:$AA$1315,DataRegularSeason20242025!$B$3:$B$1315, "&lt;=" &amp; BM$1, DataRegularSeason20242025!$D$3:$D$1315, $A43)+SUMIFS(DataRegularSeason20242025!$AB$3:$AB$1315,DataRegularSeason20242025!$B$3:$B$1315, "&lt;=" &amp; BM$1, DataRegularSeason20242025!$E$3:$E$1315, $A43)</f>
        <v>4</v>
      </c>
      <c r="BN43">
        <f>SUMIFS(DataRegularSeason20242025!$AA$3:$AA$1315,DataRegularSeason20242025!$B$3:$B$1315, "&lt;=" &amp; BN$1, DataRegularSeason20242025!$D$3:$D$1315, $A43)+SUMIFS(DataRegularSeason20242025!$AB$3:$AB$1315,DataRegularSeason20242025!$B$3:$B$1315, "&lt;=" &amp; BN$1, DataRegularSeason20242025!$E$3:$E$1315, $A43)</f>
        <v>4</v>
      </c>
      <c r="BO43">
        <f>SUMIFS(DataRegularSeason20242025!$AA$3:$AA$1315,DataRegularSeason20242025!$B$3:$B$1315, "&lt;=" &amp; BO$1, DataRegularSeason20242025!$D$3:$D$1315, $A43)+SUMIFS(DataRegularSeason20242025!$AB$3:$AB$1315,DataRegularSeason20242025!$B$3:$B$1315, "&lt;=" &amp; BO$1, DataRegularSeason20242025!$E$3:$E$1315, $A43)</f>
        <v>4</v>
      </c>
      <c r="BP43">
        <f>SUMIFS(DataRegularSeason20242025!$AA$3:$AA$1315,DataRegularSeason20242025!$B$3:$B$1315, "&lt;=" &amp; BP$1, DataRegularSeason20242025!$D$3:$D$1315, $A43)+SUMIFS(DataRegularSeason20242025!$AB$3:$AB$1315,DataRegularSeason20242025!$B$3:$B$1315, "&lt;=" &amp; BP$1, DataRegularSeason20242025!$E$3:$E$1315, $A43)</f>
        <v>4</v>
      </c>
      <c r="BQ43">
        <f>SUMIFS(DataRegularSeason20242025!$AA$3:$AA$1315,DataRegularSeason20242025!$B$3:$B$1315, "&lt;=" &amp; BQ$1, DataRegularSeason20242025!$D$3:$D$1315, $A43)+SUMIFS(DataRegularSeason20242025!$AB$3:$AB$1315,DataRegularSeason20242025!$B$3:$B$1315, "&lt;=" &amp; BQ$1, DataRegularSeason20242025!$E$3:$E$1315, $A43)</f>
        <v>4</v>
      </c>
      <c r="BR43">
        <f>SUMIFS(DataRegularSeason20242025!$AA$3:$AA$1315,DataRegularSeason20242025!$B$3:$B$1315, "&lt;=" &amp; BR$1, DataRegularSeason20242025!$D$3:$D$1315, $A43)+SUMIFS(DataRegularSeason20242025!$AB$3:$AB$1315,DataRegularSeason20242025!$B$3:$B$1315, "&lt;=" &amp; BR$1, DataRegularSeason20242025!$E$3:$E$1315, $A43)</f>
        <v>4</v>
      </c>
      <c r="BS43">
        <f>SUMIFS(DataRegularSeason20242025!$AA$3:$AA$1315,DataRegularSeason20242025!$B$3:$B$1315, "&lt;=" &amp; BS$1, DataRegularSeason20242025!$D$3:$D$1315, $A43)+SUMIFS(DataRegularSeason20242025!$AB$3:$AB$1315,DataRegularSeason20242025!$B$3:$B$1315, "&lt;=" &amp; BS$1, DataRegularSeason20242025!$E$3:$E$1315, $A43)</f>
        <v>4</v>
      </c>
      <c r="BT43">
        <f>SUMIFS(DataRegularSeason20242025!$AA$3:$AA$1315,DataRegularSeason20242025!$B$3:$B$1315, "&lt;=" &amp; BT$1, DataRegularSeason20242025!$D$3:$D$1315, $A43)+SUMIFS(DataRegularSeason20242025!$AB$3:$AB$1315,DataRegularSeason20242025!$B$3:$B$1315, "&lt;=" &amp; BT$1, DataRegularSeason20242025!$E$3:$E$1315, $A43)</f>
        <v>4</v>
      </c>
      <c r="BU43">
        <f>SUMIFS(DataRegularSeason20242025!$AA$3:$AA$1315,DataRegularSeason20242025!$B$3:$B$1315, "&lt;=" &amp; BU$1, DataRegularSeason20242025!$D$3:$D$1315, $A43)+SUMIFS(DataRegularSeason20242025!$AB$3:$AB$1315,DataRegularSeason20242025!$B$3:$B$1315, "&lt;=" &amp; BU$1, DataRegularSeason20242025!$E$3:$E$1315, $A43)</f>
        <v>4</v>
      </c>
      <c r="BV43">
        <f>SUMIFS(DataRegularSeason20242025!$AA$3:$AA$1315,DataRegularSeason20242025!$B$3:$B$1315, "&lt;=" &amp; BV$1, DataRegularSeason20242025!$D$3:$D$1315, $A43)+SUMIFS(DataRegularSeason20242025!$AB$3:$AB$1315,DataRegularSeason20242025!$B$3:$B$1315, "&lt;=" &amp; BV$1, DataRegularSeason20242025!$E$3:$E$1315, $A43)</f>
        <v>4</v>
      </c>
      <c r="BW43">
        <f>SUMIFS(DataRegularSeason20242025!$AA$3:$AA$1315,DataRegularSeason20242025!$B$3:$B$1315, "&lt;=" &amp; BW$1, DataRegularSeason20242025!$D$3:$D$1315, $A43)+SUMIFS(DataRegularSeason20242025!$AB$3:$AB$1315,DataRegularSeason20242025!$B$3:$B$1315, "&lt;=" &amp; BW$1, DataRegularSeason20242025!$E$3:$E$1315, $A43)</f>
        <v>4</v>
      </c>
      <c r="BX43">
        <f>SUMIFS(DataRegularSeason20242025!$AA$3:$AA$1315,DataRegularSeason20242025!$B$3:$B$1315, "&lt;=" &amp; BX$1, DataRegularSeason20242025!$D$3:$D$1315, $A43)+SUMIFS(DataRegularSeason20242025!$AB$3:$AB$1315,DataRegularSeason20242025!$B$3:$B$1315, "&lt;=" &amp; BX$1, DataRegularSeason20242025!$E$3:$E$1315, $A43)</f>
        <v>4</v>
      </c>
      <c r="BY43">
        <f>SUMIFS(DataRegularSeason20242025!$AA$3:$AA$1315,DataRegularSeason20242025!$B$3:$B$1315, "&lt;=" &amp; BY$1, DataRegularSeason20242025!$D$3:$D$1315, $A43)+SUMIFS(DataRegularSeason20242025!$AB$3:$AB$1315,DataRegularSeason20242025!$B$3:$B$1315, "&lt;=" &amp; BY$1, DataRegularSeason20242025!$E$3:$E$1315, $A43)</f>
        <v>4</v>
      </c>
      <c r="BZ43">
        <f>SUMIFS(DataRegularSeason20242025!$AA$3:$AA$1315,DataRegularSeason20242025!$B$3:$B$1315, "&lt;=" &amp; BZ$1, DataRegularSeason20242025!$D$3:$D$1315, $A43)+SUMIFS(DataRegularSeason20242025!$AB$3:$AB$1315,DataRegularSeason20242025!$B$3:$B$1315, "&lt;=" &amp; BZ$1, DataRegularSeason20242025!$E$3:$E$1315, $A43)</f>
        <v>4</v>
      </c>
      <c r="CA43">
        <f>SUMIFS(DataRegularSeason20242025!$AA$3:$AA$1315,DataRegularSeason20242025!$B$3:$B$1315, "&lt;=" &amp; CA$1, DataRegularSeason20242025!$D$3:$D$1315, $A43)+SUMIFS(DataRegularSeason20242025!$AB$3:$AB$1315,DataRegularSeason20242025!$B$3:$B$1315, "&lt;=" &amp; CA$1, DataRegularSeason20242025!$E$3:$E$1315, $A43)</f>
        <v>4</v>
      </c>
      <c r="CB43">
        <f>SUMIFS(DataRegularSeason20242025!$AA$3:$AA$1315,DataRegularSeason20242025!$B$3:$B$1315, "&lt;=" &amp; CB$1, DataRegularSeason20242025!$D$3:$D$1315, $A43)+SUMIFS(DataRegularSeason20242025!$AB$3:$AB$1315,DataRegularSeason20242025!$B$3:$B$1315, "&lt;=" &amp; CB$1, DataRegularSeason20242025!$E$3:$E$1315, $A43)</f>
        <v>4</v>
      </c>
      <c r="CC43">
        <f>SUMIFS(DataRegularSeason20242025!$AA$3:$AA$1315,DataRegularSeason20242025!$B$3:$B$1315, "&lt;=" &amp; CC$1, DataRegularSeason20242025!$D$3:$D$1315, $A43)+SUMIFS(DataRegularSeason20242025!$AB$3:$AB$1315,DataRegularSeason20242025!$B$3:$B$1315, "&lt;=" &amp; CC$1, DataRegularSeason20242025!$E$3:$E$1315, $A43)</f>
        <v>4</v>
      </c>
      <c r="CD43">
        <f>SUMIFS(DataRegularSeason20242025!$AA$3:$AA$1315,DataRegularSeason20242025!$B$3:$B$1315, "&lt;=" &amp; CD$1, DataRegularSeason20242025!$D$3:$D$1315, $A43)+SUMIFS(DataRegularSeason20242025!$AB$3:$AB$1315,DataRegularSeason20242025!$B$3:$B$1315, "&lt;=" &amp; CD$1, DataRegularSeason20242025!$E$3:$E$1315, $A43)</f>
        <v>4</v>
      </c>
      <c r="CE43">
        <f>SUMIFS(DataRegularSeason20242025!$AA$3:$AA$1315,DataRegularSeason20242025!$B$3:$B$1315, "&lt;=" &amp; CE$1, DataRegularSeason20242025!$D$3:$D$1315, $A43)+SUMIFS(DataRegularSeason20242025!$AB$3:$AB$1315,DataRegularSeason20242025!$B$3:$B$1315, "&lt;=" &amp; CE$1, DataRegularSeason20242025!$E$3:$E$1315, $A43)</f>
        <v>4</v>
      </c>
      <c r="CF43">
        <f>SUMIFS(DataRegularSeason20242025!$AA$3:$AA$1315,DataRegularSeason20242025!$B$3:$B$1315, "&lt;=" &amp; CF$1, DataRegularSeason20242025!$D$3:$D$1315, $A43)+SUMIFS(DataRegularSeason20242025!$AB$3:$AB$1315,DataRegularSeason20242025!$B$3:$B$1315, "&lt;=" &amp; CF$1, DataRegularSeason20242025!$E$3:$E$1315, $A43)</f>
        <v>4</v>
      </c>
      <c r="CG43">
        <f>SUMIFS(DataRegularSeason20242025!$AA$3:$AA$1315,DataRegularSeason20242025!$B$3:$B$1315, "&lt;=" &amp; CG$1, DataRegularSeason20242025!$D$3:$D$1315, $A43)+SUMIFS(DataRegularSeason20242025!$AB$3:$AB$1315,DataRegularSeason20242025!$B$3:$B$1315, "&lt;=" &amp; CG$1, DataRegularSeason20242025!$E$3:$E$1315, $A43)</f>
        <v>4</v>
      </c>
      <c r="CH43">
        <f>SUMIFS(DataRegularSeason20242025!$AA$3:$AA$1315,DataRegularSeason20242025!$B$3:$B$1315, "&lt;=" &amp; CH$1, DataRegularSeason20242025!$D$3:$D$1315, $A43)+SUMIFS(DataRegularSeason20242025!$AB$3:$AB$1315,DataRegularSeason20242025!$B$3:$B$1315, "&lt;=" &amp; CH$1, DataRegularSeason20242025!$E$3:$E$1315, $A43)</f>
        <v>4</v>
      </c>
      <c r="CI43">
        <f>SUMIFS(DataRegularSeason20242025!$AA$3:$AA$1315,DataRegularSeason20242025!$B$3:$B$1315, "&lt;=" &amp; CI$1, DataRegularSeason20242025!$D$3:$D$1315, $A43)+SUMIFS(DataRegularSeason20242025!$AB$3:$AB$1315,DataRegularSeason20242025!$B$3:$B$1315, "&lt;=" &amp; CI$1, DataRegularSeason20242025!$E$3:$E$1315, $A43)</f>
        <v>4</v>
      </c>
      <c r="CJ43">
        <f>SUMIFS(DataRegularSeason20242025!$AA$3:$AA$1315,DataRegularSeason20242025!$B$3:$B$1315, "&lt;=" &amp; CJ$1, DataRegularSeason20242025!$D$3:$D$1315, $A43)+SUMIFS(DataRegularSeason20242025!$AB$3:$AB$1315,DataRegularSeason20242025!$B$3:$B$1315, "&lt;=" &amp; CJ$1, DataRegularSeason20242025!$E$3:$E$1315, $A43)</f>
        <v>4</v>
      </c>
      <c r="CK43">
        <f>SUMIFS(DataRegularSeason20242025!$AA$3:$AA$1315,DataRegularSeason20242025!$B$3:$B$1315, "&lt;=" &amp; CK$1, DataRegularSeason20242025!$D$3:$D$1315, $A43)+SUMIFS(DataRegularSeason20242025!$AB$3:$AB$1315,DataRegularSeason20242025!$B$3:$B$1315, "&lt;=" &amp; CK$1, DataRegularSeason20242025!$E$3:$E$1315, $A43)</f>
        <v>4</v>
      </c>
      <c r="CL43">
        <f>SUMIFS(DataRegularSeason20242025!$AA$3:$AA$1315,DataRegularSeason20242025!$B$3:$B$1315, "&lt;=" &amp; CL$1, DataRegularSeason20242025!$D$3:$D$1315, $A43)+SUMIFS(DataRegularSeason20242025!$AB$3:$AB$1315,DataRegularSeason20242025!$B$3:$B$1315, "&lt;=" &amp; CL$1, DataRegularSeason20242025!$E$3:$E$1315, $A43)</f>
        <v>4</v>
      </c>
      <c r="CM43">
        <f>SUMIFS(DataRegularSeason20242025!$AA$3:$AA$1315,DataRegularSeason20242025!$B$3:$B$1315, "&lt;=" &amp; CM$1, DataRegularSeason20242025!$D$3:$D$1315, $A43)+SUMIFS(DataRegularSeason20242025!$AB$3:$AB$1315,DataRegularSeason20242025!$B$3:$B$1315, "&lt;=" &amp; CM$1, DataRegularSeason20242025!$E$3:$E$1315, $A43)</f>
        <v>4</v>
      </c>
      <c r="CN43">
        <f>SUMIFS(DataRegularSeason20242025!$AA$3:$AA$1315,DataRegularSeason20242025!$B$3:$B$1315, "&lt;=" &amp; CN$1, DataRegularSeason20242025!$D$3:$D$1315, $A43)+SUMIFS(DataRegularSeason20242025!$AB$3:$AB$1315,DataRegularSeason20242025!$B$3:$B$1315, "&lt;=" &amp; CN$1, DataRegularSeason20242025!$E$3:$E$1315, $A43)</f>
        <v>4</v>
      </c>
      <c r="CO43">
        <f>SUMIFS(DataRegularSeason20242025!$AA$3:$AA$1315,DataRegularSeason20242025!$B$3:$B$1315, "&lt;=" &amp; CO$1, DataRegularSeason20242025!$D$3:$D$1315, $A43)+SUMIFS(DataRegularSeason20242025!$AB$3:$AB$1315,DataRegularSeason20242025!$B$3:$B$1315, "&lt;=" &amp; CO$1, DataRegularSeason20242025!$E$3:$E$1315, $A43)</f>
        <v>4</v>
      </c>
      <c r="CP43">
        <f>SUMIFS(DataRegularSeason20242025!$AA$3:$AA$1315,DataRegularSeason20242025!$B$3:$B$1315, "&lt;=" &amp; CP$1, DataRegularSeason20242025!$D$3:$D$1315, $A43)+SUMIFS(DataRegularSeason20242025!$AB$3:$AB$1315,DataRegularSeason20242025!$B$3:$B$1315, "&lt;=" &amp; CP$1, DataRegularSeason20242025!$E$3:$E$1315, $A43)</f>
        <v>4</v>
      </c>
      <c r="CQ43">
        <f>SUMIFS(DataRegularSeason20242025!$AA$3:$AA$1315,DataRegularSeason20242025!$B$3:$B$1315, "&lt;=" &amp; CQ$1, DataRegularSeason20242025!$D$3:$D$1315, $A43)+SUMIFS(DataRegularSeason20242025!$AB$3:$AB$1315,DataRegularSeason20242025!$B$3:$B$1315, "&lt;=" &amp; CQ$1, DataRegularSeason20242025!$E$3:$E$1315, $A43)</f>
        <v>4</v>
      </c>
      <c r="CR43">
        <f>SUMIFS(DataRegularSeason20242025!$AA$3:$AA$1315,DataRegularSeason20242025!$B$3:$B$1315, "&lt;=" &amp; CR$1, DataRegularSeason20242025!$D$3:$D$1315, $A43)+SUMIFS(DataRegularSeason20242025!$AB$3:$AB$1315,DataRegularSeason20242025!$B$3:$B$1315, "&lt;=" &amp; CR$1, DataRegularSeason20242025!$E$3:$E$1315, $A43)</f>
        <v>4</v>
      </c>
      <c r="CS43">
        <f>SUMIFS(DataRegularSeason20242025!$AA$3:$AA$1315,DataRegularSeason20242025!$B$3:$B$1315, "&lt;=" &amp; CS$1, DataRegularSeason20242025!$D$3:$D$1315, $A43)+SUMIFS(DataRegularSeason20242025!$AB$3:$AB$1315,DataRegularSeason20242025!$B$3:$B$1315, "&lt;=" &amp; CS$1, DataRegularSeason20242025!$E$3:$E$1315, $A43)</f>
        <v>4</v>
      </c>
      <c r="CT43">
        <f>SUMIFS(DataRegularSeason20242025!$AA$3:$AA$1315,DataRegularSeason20242025!$B$3:$B$1315, "&lt;=" &amp; CT$1, DataRegularSeason20242025!$D$3:$D$1315, $A43)+SUMIFS(DataRegularSeason20242025!$AB$3:$AB$1315,DataRegularSeason20242025!$B$3:$B$1315, "&lt;=" &amp; CT$1, DataRegularSeason20242025!$E$3:$E$1315, $A43)</f>
        <v>4</v>
      </c>
      <c r="CU43">
        <f>SUMIFS(DataRegularSeason20242025!$AA$3:$AA$1315,DataRegularSeason20242025!$B$3:$B$1315, "&lt;=" &amp; CU$1, DataRegularSeason20242025!$D$3:$D$1315, $A43)+SUMIFS(DataRegularSeason20242025!$AB$3:$AB$1315,DataRegularSeason20242025!$B$3:$B$1315, "&lt;=" &amp; CU$1, DataRegularSeason20242025!$E$3:$E$1315, $A43)</f>
        <v>4</v>
      </c>
      <c r="CV43">
        <f>SUMIFS(DataRegularSeason20242025!$AA$3:$AA$1315,DataRegularSeason20242025!$B$3:$B$1315, "&lt;=" &amp; CV$1, DataRegularSeason20242025!$D$3:$D$1315, $A43)+SUMIFS(DataRegularSeason20242025!$AB$3:$AB$1315,DataRegularSeason20242025!$B$3:$B$1315, "&lt;=" &amp; CV$1, DataRegularSeason20242025!$E$3:$E$1315, $A43)</f>
        <v>4</v>
      </c>
      <c r="CW43">
        <f>SUMIFS(DataRegularSeason20242025!$AA$3:$AA$1315,DataRegularSeason20242025!$B$3:$B$1315, "&lt;=" &amp; CW$1, DataRegularSeason20242025!$D$3:$D$1315, $A43)+SUMIFS(DataRegularSeason20242025!$AB$3:$AB$1315,DataRegularSeason20242025!$B$3:$B$1315, "&lt;=" &amp; CW$1, DataRegularSeason20242025!$E$3:$E$1315, $A43)</f>
        <v>4</v>
      </c>
      <c r="CX43">
        <f>SUMIFS(DataRegularSeason20242025!$AA$3:$AA$1315,DataRegularSeason20242025!$B$3:$B$1315, "&lt;=" &amp; CX$1, DataRegularSeason20242025!$D$3:$D$1315, $A43)+SUMIFS(DataRegularSeason20242025!$AB$3:$AB$1315,DataRegularSeason20242025!$B$3:$B$1315, "&lt;=" &amp; CX$1, DataRegularSeason20242025!$E$3:$E$1315, $A43)</f>
        <v>4</v>
      </c>
      <c r="CY43">
        <f>SUMIFS(DataRegularSeason20242025!$AA$3:$AA$1315,DataRegularSeason20242025!$B$3:$B$1315, "&lt;=" &amp; CY$1, DataRegularSeason20242025!$D$3:$D$1315, $A43)+SUMIFS(DataRegularSeason20242025!$AB$3:$AB$1315,DataRegularSeason20242025!$B$3:$B$1315, "&lt;=" &amp; CY$1, DataRegularSeason20242025!$E$3:$E$1315, $A43)</f>
        <v>4</v>
      </c>
      <c r="CZ43">
        <f>SUMIFS(DataRegularSeason20242025!$AA$3:$AA$1315,DataRegularSeason20242025!$B$3:$B$1315, "&lt;=" &amp; CZ$1, DataRegularSeason20242025!$D$3:$D$1315, $A43)+SUMIFS(DataRegularSeason20242025!$AB$3:$AB$1315,DataRegularSeason20242025!$B$3:$B$1315, "&lt;=" &amp; CZ$1, DataRegularSeason20242025!$E$3:$E$1315, $A43)</f>
        <v>4</v>
      </c>
      <c r="DA43">
        <f>SUMIFS(DataRegularSeason20242025!$AA$3:$AA$1315,DataRegularSeason20242025!$B$3:$B$1315, "&lt;=" &amp; DA$1, DataRegularSeason20242025!$D$3:$D$1315, $A43)+SUMIFS(DataRegularSeason20242025!$AB$3:$AB$1315,DataRegularSeason20242025!$B$3:$B$1315, "&lt;=" &amp; DA$1, DataRegularSeason20242025!$E$3:$E$1315, $A43)</f>
        <v>4</v>
      </c>
      <c r="DB43">
        <f>SUMIFS(DataRegularSeason20242025!$AA$3:$AA$1315,DataRegularSeason20242025!$B$3:$B$1315, "&lt;=" &amp; DB$1, DataRegularSeason20242025!$D$3:$D$1315, $A43)+SUMIFS(DataRegularSeason20242025!$AB$3:$AB$1315,DataRegularSeason20242025!$B$3:$B$1315, "&lt;=" &amp; DB$1, DataRegularSeason20242025!$E$3:$E$1315, $A43)</f>
        <v>4</v>
      </c>
      <c r="DC43">
        <f>SUMIFS(DataRegularSeason20242025!$AA$3:$AA$1315,DataRegularSeason20242025!$B$3:$B$1315, "&lt;=" &amp; DC$1, DataRegularSeason20242025!$D$3:$D$1315, $A43)+SUMIFS(DataRegularSeason20242025!$AB$3:$AB$1315,DataRegularSeason20242025!$B$3:$B$1315, "&lt;=" &amp; DC$1, DataRegularSeason20242025!$E$3:$E$1315, $A43)</f>
        <v>4</v>
      </c>
      <c r="DD43">
        <f>SUMIFS(DataRegularSeason20242025!$AA$3:$AA$1315,DataRegularSeason20242025!$B$3:$B$1315, "&lt;=" &amp; DD$1, DataRegularSeason20242025!$D$3:$D$1315, $A43)+SUMIFS(DataRegularSeason20242025!$AB$3:$AB$1315,DataRegularSeason20242025!$B$3:$B$1315, "&lt;=" &amp; DD$1, DataRegularSeason20242025!$E$3:$E$1315, $A43)</f>
        <v>4</v>
      </c>
      <c r="DE43">
        <f>SUMIFS(DataRegularSeason20242025!$AA$3:$AA$1315,DataRegularSeason20242025!$B$3:$B$1315, "&lt;=" &amp; DE$1, DataRegularSeason20242025!$D$3:$D$1315, $A43)+SUMIFS(DataRegularSeason20242025!$AB$3:$AB$1315,DataRegularSeason20242025!$B$3:$B$1315, "&lt;=" &amp; DE$1, DataRegularSeason20242025!$E$3:$E$1315, $A43)</f>
        <v>4</v>
      </c>
      <c r="DF43">
        <f>SUMIFS(DataRegularSeason20242025!$AA$3:$AA$1315,DataRegularSeason20242025!$B$3:$B$1315, "&lt;=" &amp; DF$1, DataRegularSeason20242025!$D$3:$D$1315, $A43)+SUMIFS(DataRegularSeason20242025!$AB$3:$AB$1315,DataRegularSeason20242025!$B$3:$B$1315, "&lt;=" &amp; DF$1, DataRegularSeason20242025!$E$3:$E$1315, $A43)</f>
        <v>4</v>
      </c>
      <c r="DG43">
        <f>SUMIFS(DataRegularSeason20242025!$AA$3:$AA$1315,DataRegularSeason20242025!$B$3:$B$1315, "&lt;=" &amp; DG$1, DataRegularSeason20242025!$D$3:$D$1315, $A43)+SUMIFS(DataRegularSeason20242025!$AB$3:$AB$1315,DataRegularSeason20242025!$B$3:$B$1315, "&lt;=" &amp; DG$1, DataRegularSeason20242025!$E$3:$E$1315, $A43)</f>
        <v>4</v>
      </c>
      <c r="DH43">
        <f>SUMIFS(DataRegularSeason20242025!$AA$3:$AA$1315,DataRegularSeason20242025!$B$3:$B$1315, "&lt;=" &amp; DH$1, DataRegularSeason20242025!$D$3:$D$1315, $A43)+SUMIFS(DataRegularSeason20242025!$AB$3:$AB$1315,DataRegularSeason20242025!$B$3:$B$1315, "&lt;=" &amp; DH$1, DataRegularSeason20242025!$E$3:$E$1315, $A43)</f>
        <v>4</v>
      </c>
      <c r="DI43">
        <f>SUMIFS(DataRegularSeason20242025!$AA$3:$AA$1315,DataRegularSeason20242025!$B$3:$B$1315, "&lt;=" &amp; DI$1, DataRegularSeason20242025!$D$3:$D$1315, $A43)+SUMIFS(DataRegularSeason20242025!$AB$3:$AB$1315,DataRegularSeason20242025!$B$3:$B$1315, "&lt;=" &amp; DI$1, DataRegularSeason20242025!$E$3:$E$1315, $A43)</f>
        <v>4</v>
      </c>
      <c r="DJ43">
        <f>SUMIFS(DataRegularSeason20242025!$AA$3:$AA$1315,DataRegularSeason20242025!$B$3:$B$1315, "&lt;=" &amp; DJ$1, DataRegularSeason20242025!$D$3:$D$1315, $A43)+SUMIFS(DataRegularSeason20242025!$AB$3:$AB$1315,DataRegularSeason20242025!$B$3:$B$1315, "&lt;=" &amp; DJ$1, DataRegularSeason20242025!$E$3:$E$1315, $A43)</f>
        <v>4</v>
      </c>
      <c r="DK43">
        <f>SUMIFS(DataRegularSeason20242025!$AA$3:$AA$1315,DataRegularSeason20242025!$B$3:$B$1315, "&lt;=" &amp; DK$1, DataRegularSeason20242025!$D$3:$D$1315, $A43)+SUMIFS(DataRegularSeason20242025!$AB$3:$AB$1315,DataRegularSeason20242025!$B$3:$B$1315, "&lt;=" &amp; DK$1, DataRegularSeason20242025!$E$3:$E$1315, $A43)</f>
        <v>4</v>
      </c>
      <c r="DL43">
        <f>SUMIFS(DataRegularSeason20242025!$AA$3:$AA$1315,DataRegularSeason20242025!$B$3:$B$1315, "&lt;=" &amp; DL$1, DataRegularSeason20242025!$D$3:$D$1315, $A43)+SUMIFS(DataRegularSeason20242025!$AB$3:$AB$1315,DataRegularSeason20242025!$B$3:$B$1315, "&lt;=" &amp; DL$1, DataRegularSeason20242025!$E$3:$E$1315, $A43)</f>
        <v>4</v>
      </c>
      <c r="DM43">
        <f>SUMIFS(DataRegularSeason20242025!$AA$3:$AA$1315,DataRegularSeason20242025!$B$3:$B$1315, "&lt;=" &amp; DM$1, DataRegularSeason20242025!$D$3:$D$1315, $A43)+SUMIFS(DataRegularSeason20242025!$AB$3:$AB$1315,DataRegularSeason20242025!$B$3:$B$1315, "&lt;=" &amp; DM$1, DataRegularSeason20242025!$E$3:$E$1315, $A43)</f>
        <v>4</v>
      </c>
      <c r="DN43">
        <f>SUMIFS(DataRegularSeason20242025!$AA$3:$AA$1315,DataRegularSeason20242025!$B$3:$B$1315, "&lt;=" &amp; DN$1, DataRegularSeason20242025!$D$3:$D$1315, $A43)+SUMIFS(DataRegularSeason20242025!$AB$3:$AB$1315,DataRegularSeason20242025!$B$3:$B$1315, "&lt;=" &amp; DN$1, DataRegularSeason20242025!$E$3:$E$1315, $A43)</f>
        <v>4</v>
      </c>
      <c r="DO43">
        <f>SUMIFS(DataRegularSeason20242025!$AA$3:$AA$1315,DataRegularSeason20242025!$B$3:$B$1315, "&lt;=" &amp; DO$1, DataRegularSeason20242025!$D$3:$D$1315, $A43)+SUMIFS(DataRegularSeason20242025!$AB$3:$AB$1315,DataRegularSeason20242025!$B$3:$B$1315, "&lt;=" &amp; DO$1, DataRegularSeason20242025!$E$3:$E$1315, $A43)</f>
        <v>4</v>
      </c>
      <c r="DP43">
        <f>SUMIFS(DataRegularSeason20242025!$AA$3:$AA$1315,DataRegularSeason20242025!$B$3:$B$1315, "&lt;=" &amp; DP$1, DataRegularSeason20242025!$D$3:$D$1315, $A43)+SUMIFS(DataRegularSeason20242025!$AB$3:$AB$1315,DataRegularSeason20242025!$B$3:$B$1315, "&lt;=" &amp; DP$1, DataRegularSeason20242025!$E$3:$E$1315, $A43)</f>
        <v>4</v>
      </c>
      <c r="DQ43">
        <f>SUMIFS(DataRegularSeason20242025!$AA$3:$AA$1315,DataRegularSeason20242025!$B$3:$B$1315, "&lt;=" &amp; DQ$1, DataRegularSeason20242025!$D$3:$D$1315, $A43)+SUMIFS(DataRegularSeason20242025!$AB$3:$AB$1315,DataRegularSeason20242025!$B$3:$B$1315, "&lt;=" &amp; DQ$1, DataRegularSeason20242025!$E$3:$E$1315, $A43)</f>
        <v>4</v>
      </c>
      <c r="DR43">
        <f>SUMIFS(DataRegularSeason20242025!$AA$3:$AA$1315,DataRegularSeason20242025!$B$3:$B$1315, "&lt;=" &amp; DR$1, DataRegularSeason20242025!$D$3:$D$1315, $A43)+SUMIFS(DataRegularSeason20242025!$AB$3:$AB$1315,DataRegularSeason20242025!$B$3:$B$1315, "&lt;=" &amp; DR$1, DataRegularSeason20242025!$E$3:$E$1315, $A43)</f>
        <v>4</v>
      </c>
      <c r="DS43">
        <f>SUMIFS(DataRegularSeason20242025!$AA$3:$AA$1315,DataRegularSeason20242025!$B$3:$B$1315, "&lt;=" &amp; DS$1, DataRegularSeason20242025!$D$3:$D$1315, $A43)+SUMIFS(DataRegularSeason20242025!$AB$3:$AB$1315,DataRegularSeason20242025!$B$3:$B$1315, "&lt;=" &amp; DS$1, DataRegularSeason20242025!$E$3:$E$1315, $A43)</f>
        <v>4</v>
      </c>
      <c r="DT43">
        <f>SUMIFS(DataRegularSeason20242025!$AA$3:$AA$1315,DataRegularSeason20242025!$B$3:$B$1315, "&lt;=" &amp; DT$1, DataRegularSeason20242025!$D$3:$D$1315, $A43)+SUMIFS(DataRegularSeason20242025!$AB$3:$AB$1315,DataRegularSeason20242025!$B$3:$B$1315, "&lt;=" &amp; DT$1, DataRegularSeason20242025!$E$3:$E$1315, $A43)</f>
        <v>4</v>
      </c>
      <c r="DU43">
        <f>SUMIFS(DataRegularSeason20242025!$AA$3:$AA$1315,DataRegularSeason20242025!$B$3:$B$1315, "&lt;=" &amp; DU$1, DataRegularSeason20242025!$D$3:$D$1315, $A43)+SUMIFS(DataRegularSeason20242025!$AB$3:$AB$1315,DataRegularSeason20242025!$B$3:$B$1315, "&lt;=" &amp; DU$1, DataRegularSeason20242025!$E$3:$E$1315, $A43)</f>
        <v>4</v>
      </c>
      <c r="DV43">
        <f>SUMIFS(DataRegularSeason20242025!$AA$3:$AA$1315,DataRegularSeason20242025!$B$3:$B$1315, "&lt;=" &amp; DV$1, DataRegularSeason20242025!$D$3:$D$1315, $A43)+SUMIFS(DataRegularSeason20242025!$AB$3:$AB$1315,DataRegularSeason20242025!$B$3:$B$1315, "&lt;=" &amp; DV$1, DataRegularSeason20242025!$E$3:$E$1315, $A43)</f>
        <v>4</v>
      </c>
      <c r="DW43">
        <f>SUMIFS(DataRegularSeason20242025!$AA$3:$AA$1315,DataRegularSeason20242025!$B$3:$B$1315, "&lt;=" &amp; DW$1, DataRegularSeason20242025!$D$3:$D$1315, $A43)+SUMIFS(DataRegularSeason20242025!$AB$3:$AB$1315,DataRegularSeason20242025!$B$3:$B$1315, "&lt;=" &amp; DW$1, DataRegularSeason20242025!$E$3:$E$1315, $A43)</f>
        <v>4</v>
      </c>
      <c r="DX43">
        <f>SUMIFS(DataRegularSeason20242025!$AA$3:$AA$1315,DataRegularSeason20242025!$B$3:$B$1315, "&lt;=" &amp; DX$1, DataRegularSeason20242025!$D$3:$D$1315, $A43)+SUMIFS(DataRegularSeason20242025!$AB$3:$AB$1315,DataRegularSeason20242025!$B$3:$B$1315, "&lt;=" &amp; DX$1, DataRegularSeason20242025!$E$3:$E$1315, $A43)</f>
        <v>4</v>
      </c>
      <c r="DY43">
        <f>SUMIFS(DataRegularSeason20242025!$AA$3:$AA$1315,DataRegularSeason20242025!$B$3:$B$1315, "&lt;=" &amp; DY$1, DataRegularSeason20242025!$D$3:$D$1315, $A43)+SUMIFS(DataRegularSeason20242025!$AB$3:$AB$1315,DataRegularSeason20242025!$B$3:$B$1315, "&lt;=" &amp; DY$1, DataRegularSeason20242025!$E$3:$E$1315, $A43)</f>
        <v>4</v>
      </c>
      <c r="DZ43">
        <f>SUMIFS(DataRegularSeason20242025!$AA$3:$AA$1315,DataRegularSeason20242025!$B$3:$B$1315, "&lt;=" &amp; DZ$1, DataRegularSeason20242025!$D$3:$D$1315, $A43)+SUMIFS(DataRegularSeason20242025!$AB$3:$AB$1315,DataRegularSeason20242025!$B$3:$B$1315, "&lt;=" &amp; DZ$1, DataRegularSeason20242025!$E$3:$E$1315, $A43)</f>
        <v>4</v>
      </c>
      <c r="EA43">
        <f>SUMIFS(DataRegularSeason20242025!$AA$3:$AA$1315,DataRegularSeason20242025!$B$3:$B$1315, "&lt;=" &amp; EA$1, DataRegularSeason20242025!$D$3:$D$1315, $A43)+SUMIFS(DataRegularSeason20242025!$AB$3:$AB$1315,DataRegularSeason20242025!$B$3:$B$1315, "&lt;=" &amp; EA$1, DataRegularSeason20242025!$E$3:$E$1315, $A43)</f>
        <v>4</v>
      </c>
      <c r="EB43">
        <f>SUMIFS(DataRegularSeason20242025!$AA$3:$AA$1315,DataRegularSeason20242025!$B$3:$B$1315, "&lt;=" &amp; EB$1, DataRegularSeason20242025!$D$3:$D$1315, $A43)+SUMIFS(DataRegularSeason20242025!$AB$3:$AB$1315,DataRegularSeason20242025!$B$3:$B$1315, "&lt;=" &amp; EB$1, DataRegularSeason20242025!$E$3:$E$1315, $A43)</f>
        <v>4</v>
      </c>
      <c r="EC43">
        <f>SUMIFS(DataRegularSeason20242025!$AA$3:$AA$1315,DataRegularSeason20242025!$B$3:$B$1315, "&lt;=" &amp; EC$1, DataRegularSeason20242025!$D$3:$D$1315, $A43)+SUMIFS(DataRegularSeason20242025!$AB$3:$AB$1315,DataRegularSeason20242025!$B$3:$B$1315, "&lt;=" &amp; EC$1, DataRegularSeason20242025!$E$3:$E$1315, $A43)</f>
        <v>4</v>
      </c>
      <c r="ED43">
        <f>SUMIFS(DataRegularSeason20242025!$AA$3:$AA$1315,DataRegularSeason20242025!$B$3:$B$1315, "&lt;=" &amp; ED$1, DataRegularSeason20242025!$D$3:$D$1315, $A43)+SUMIFS(DataRegularSeason20242025!$AB$3:$AB$1315,DataRegularSeason20242025!$B$3:$B$1315, "&lt;=" &amp; ED$1, DataRegularSeason20242025!$E$3:$E$1315, $A43)</f>
        <v>4</v>
      </c>
      <c r="EE43">
        <f>SUMIFS(DataRegularSeason20242025!$AA$3:$AA$1315,DataRegularSeason20242025!$B$3:$B$1315, "&lt;=" &amp; EE$1, DataRegularSeason20242025!$D$3:$D$1315, $A43)+SUMIFS(DataRegularSeason20242025!$AB$3:$AB$1315,DataRegularSeason20242025!$B$3:$B$1315, "&lt;=" &amp; EE$1, DataRegularSeason20242025!$E$3:$E$1315, $A43)</f>
        <v>4</v>
      </c>
      <c r="EF43">
        <f>SUMIFS(DataRegularSeason20242025!$AA$3:$AA$1315,DataRegularSeason20242025!$B$3:$B$1315, "&lt;=" &amp; EF$1, DataRegularSeason20242025!$D$3:$D$1315, $A43)+SUMIFS(DataRegularSeason20242025!$AB$3:$AB$1315,DataRegularSeason20242025!$B$3:$B$1315, "&lt;=" &amp; EF$1, DataRegularSeason20242025!$E$3:$E$1315, $A43)</f>
        <v>4</v>
      </c>
      <c r="EG43">
        <f>SUMIFS(DataRegularSeason20242025!$AA$3:$AA$1315,DataRegularSeason20242025!$B$3:$B$1315, "&lt;=" &amp; EG$1, DataRegularSeason20242025!$D$3:$D$1315, $A43)+SUMIFS(DataRegularSeason20242025!$AB$3:$AB$1315,DataRegularSeason20242025!$B$3:$B$1315, "&lt;=" &amp; EG$1, DataRegularSeason20242025!$E$3:$E$1315, $A43)</f>
        <v>4</v>
      </c>
      <c r="EH43">
        <f>SUMIFS(DataRegularSeason20242025!$AA$3:$AA$1315,DataRegularSeason20242025!$B$3:$B$1315, "&lt;=" &amp; EH$1, DataRegularSeason20242025!$D$3:$D$1315, $A43)+SUMIFS(DataRegularSeason20242025!$AB$3:$AB$1315,DataRegularSeason20242025!$B$3:$B$1315, "&lt;=" &amp; EH$1, DataRegularSeason20242025!$E$3:$E$1315, $A43)</f>
        <v>4</v>
      </c>
      <c r="EI43">
        <f>SUMIFS(DataRegularSeason20242025!$AA$3:$AA$1315,DataRegularSeason20242025!$B$3:$B$1315, "&lt;=" &amp; EI$1, DataRegularSeason20242025!$D$3:$D$1315, $A43)+SUMIFS(DataRegularSeason20242025!$AB$3:$AB$1315,DataRegularSeason20242025!$B$3:$B$1315, "&lt;=" &amp; EI$1, DataRegularSeason20242025!$E$3:$E$1315, $A43)</f>
        <v>4</v>
      </c>
      <c r="EJ43">
        <f>SUMIFS(DataRegularSeason20242025!$AA$3:$AA$1315,DataRegularSeason20242025!$B$3:$B$1315, "&lt;=" &amp; EJ$1, DataRegularSeason20242025!$D$3:$D$1315, $A43)+SUMIFS(DataRegularSeason20242025!$AB$3:$AB$1315,DataRegularSeason20242025!$B$3:$B$1315, "&lt;=" &amp; EJ$1, DataRegularSeason20242025!$E$3:$E$1315, $A43)</f>
        <v>4</v>
      </c>
      <c r="EK43">
        <f>SUMIFS(DataRegularSeason20242025!$AA$3:$AA$1315,DataRegularSeason20242025!$B$3:$B$1315, "&lt;=" &amp; EK$1, DataRegularSeason20242025!$D$3:$D$1315, $A43)+SUMIFS(DataRegularSeason20242025!$AB$3:$AB$1315,DataRegularSeason20242025!$B$3:$B$1315, "&lt;=" &amp; EK$1, DataRegularSeason20242025!$E$3:$E$1315, $A43)</f>
        <v>4</v>
      </c>
      <c r="EL43">
        <f>SUMIFS(DataRegularSeason20242025!$AA$3:$AA$1315,DataRegularSeason20242025!$B$3:$B$1315, "&lt;=" &amp; EL$1, DataRegularSeason20242025!$D$3:$D$1315, $A43)+SUMIFS(DataRegularSeason20242025!$AB$3:$AB$1315,DataRegularSeason20242025!$B$3:$B$1315, "&lt;=" &amp; EL$1, DataRegularSeason20242025!$E$3:$E$1315, $A43)</f>
        <v>4</v>
      </c>
      <c r="EM43">
        <f>SUMIFS(DataRegularSeason20242025!$AA$3:$AA$1315,DataRegularSeason20242025!$B$3:$B$1315, "&lt;=" &amp; EM$1, DataRegularSeason20242025!$D$3:$D$1315, $A43)+SUMIFS(DataRegularSeason20242025!$AB$3:$AB$1315,DataRegularSeason20242025!$B$3:$B$1315, "&lt;=" &amp; EM$1, DataRegularSeason20242025!$E$3:$E$1315, $A43)</f>
        <v>4</v>
      </c>
      <c r="EN43">
        <f>SUMIFS(DataRegularSeason20242025!$AA$3:$AA$1315,DataRegularSeason20242025!$B$3:$B$1315, "&lt;=" &amp; EN$1, DataRegularSeason20242025!$D$3:$D$1315, $A43)+SUMIFS(DataRegularSeason20242025!$AB$3:$AB$1315,DataRegularSeason20242025!$B$3:$B$1315, "&lt;=" &amp; EN$1, DataRegularSeason20242025!$E$3:$E$1315, $A43)</f>
        <v>4</v>
      </c>
      <c r="EO43">
        <f>SUMIFS(DataRegularSeason20242025!$AA$3:$AA$1315,DataRegularSeason20242025!$B$3:$B$1315, "&lt;=" &amp; EO$1, DataRegularSeason20242025!$D$3:$D$1315, $A43)+SUMIFS(DataRegularSeason20242025!$AB$3:$AB$1315,DataRegularSeason20242025!$B$3:$B$1315, "&lt;=" &amp; EO$1, DataRegularSeason20242025!$E$3:$E$1315, $A43)</f>
        <v>4</v>
      </c>
      <c r="EP43">
        <f>SUMIFS(DataRegularSeason20242025!$AA$3:$AA$1315,DataRegularSeason20242025!$B$3:$B$1315, "&lt;=" &amp; EP$1, DataRegularSeason20242025!$D$3:$D$1315, $A43)+SUMIFS(DataRegularSeason20242025!$AB$3:$AB$1315,DataRegularSeason20242025!$B$3:$B$1315, "&lt;=" &amp; EP$1, DataRegularSeason20242025!$E$3:$E$1315, $A43)</f>
        <v>4</v>
      </c>
      <c r="EQ43">
        <f>SUMIFS(DataRegularSeason20242025!$AA$3:$AA$1315,DataRegularSeason20242025!$B$3:$B$1315, "&lt;=" &amp; EQ$1, DataRegularSeason20242025!$D$3:$D$1315, $A43)+SUMIFS(DataRegularSeason20242025!$AB$3:$AB$1315,DataRegularSeason20242025!$B$3:$B$1315, "&lt;=" &amp; EQ$1, DataRegularSeason20242025!$E$3:$E$1315, $A43)</f>
        <v>4</v>
      </c>
      <c r="ER43">
        <f>SUMIFS(DataRegularSeason20242025!$AA$3:$AA$1315,DataRegularSeason20242025!$B$3:$B$1315, "&lt;=" &amp; ER$1, DataRegularSeason20242025!$D$3:$D$1315, $A43)+SUMIFS(DataRegularSeason20242025!$AB$3:$AB$1315,DataRegularSeason20242025!$B$3:$B$1315, "&lt;=" &amp; ER$1, DataRegularSeason20242025!$E$3:$E$1315, $A43)</f>
        <v>4</v>
      </c>
      <c r="ES43">
        <f>SUMIFS(DataRegularSeason20242025!$AA$3:$AA$1315,DataRegularSeason20242025!$B$3:$B$1315, "&lt;=" &amp; ES$1, DataRegularSeason20242025!$D$3:$D$1315, $A43)+SUMIFS(DataRegularSeason20242025!$AB$3:$AB$1315,DataRegularSeason20242025!$B$3:$B$1315, "&lt;=" &amp; ES$1, DataRegularSeason20242025!$E$3:$E$1315, $A43)</f>
        <v>4</v>
      </c>
      <c r="ET43">
        <f>SUMIFS(DataRegularSeason20242025!$AA$3:$AA$1315,DataRegularSeason20242025!$B$3:$B$1315, "&lt;=" &amp; ET$1, DataRegularSeason20242025!$D$3:$D$1315, $A43)+SUMIFS(DataRegularSeason20242025!$AB$3:$AB$1315,DataRegularSeason20242025!$B$3:$B$1315, "&lt;=" &amp; ET$1, DataRegularSeason20242025!$E$3:$E$1315, $A43)</f>
        <v>4</v>
      </c>
      <c r="EU43">
        <f>SUMIFS(DataRegularSeason20242025!$AA$3:$AA$1315,DataRegularSeason20242025!$B$3:$B$1315, "&lt;=" &amp; EU$1, DataRegularSeason20242025!$D$3:$D$1315, $A43)+SUMIFS(DataRegularSeason20242025!$AB$3:$AB$1315,DataRegularSeason20242025!$B$3:$B$1315, "&lt;=" &amp; EU$1, DataRegularSeason20242025!$E$3:$E$1315, $A43)</f>
        <v>4</v>
      </c>
      <c r="EV43">
        <f>SUMIFS(DataRegularSeason20242025!$AA$3:$AA$1315,DataRegularSeason20242025!$B$3:$B$1315, "&lt;=" &amp; EV$1, DataRegularSeason20242025!$D$3:$D$1315, $A43)+SUMIFS(DataRegularSeason20242025!$AB$3:$AB$1315,DataRegularSeason20242025!$B$3:$B$1315, "&lt;=" &amp; EV$1, DataRegularSeason20242025!$E$3:$E$1315, $A43)</f>
        <v>4</v>
      </c>
      <c r="EW43">
        <f>SUMIFS(DataRegularSeason20242025!$AA$3:$AA$1315,DataRegularSeason20242025!$B$3:$B$1315, "&lt;=" &amp; EW$1, DataRegularSeason20242025!$D$3:$D$1315, $A43)+SUMIFS(DataRegularSeason20242025!$AB$3:$AB$1315,DataRegularSeason20242025!$B$3:$B$1315, "&lt;=" &amp; EW$1, DataRegularSeason20242025!$E$3:$E$1315, $A43)</f>
        <v>4</v>
      </c>
      <c r="EX43">
        <f>SUMIFS(DataRegularSeason20242025!$AA$3:$AA$1315,DataRegularSeason20242025!$B$3:$B$1315, "&lt;=" &amp; EX$1, DataRegularSeason20242025!$D$3:$D$1315, $A43)+SUMIFS(DataRegularSeason20242025!$AB$3:$AB$1315,DataRegularSeason20242025!$B$3:$B$1315, "&lt;=" &amp; EX$1, DataRegularSeason20242025!$E$3:$E$1315, $A43)</f>
        <v>4</v>
      </c>
      <c r="EY43">
        <f>SUMIFS(DataRegularSeason20242025!$AA$3:$AA$1315,DataRegularSeason20242025!$B$3:$B$1315, "&lt;=" &amp; EY$1, DataRegularSeason20242025!$D$3:$D$1315, $A43)+SUMIFS(DataRegularSeason20242025!$AB$3:$AB$1315,DataRegularSeason20242025!$B$3:$B$1315, "&lt;=" &amp; EY$1, DataRegularSeason20242025!$E$3:$E$1315, $A43)</f>
        <v>4</v>
      </c>
      <c r="EZ43">
        <f>SUMIFS(DataRegularSeason20242025!$AA$3:$AA$1315,DataRegularSeason20242025!$B$3:$B$1315, "&lt;=" &amp; EZ$1, DataRegularSeason20242025!$D$3:$D$1315, $A43)+SUMIFS(DataRegularSeason20242025!$AB$3:$AB$1315,DataRegularSeason20242025!$B$3:$B$1315, "&lt;=" &amp; EZ$1, DataRegularSeason20242025!$E$3:$E$1315, $A43)</f>
        <v>4</v>
      </c>
      <c r="FA43">
        <f>SUMIFS(DataRegularSeason20242025!$AA$3:$AA$1315,DataRegularSeason20242025!$B$3:$B$1315, "&lt;=" &amp; FA$1, DataRegularSeason20242025!$D$3:$D$1315, $A43)+SUMIFS(DataRegularSeason20242025!$AB$3:$AB$1315,DataRegularSeason20242025!$B$3:$B$1315, "&lt;=" &amp; FA$1, DataRegularSeason20242025!$E$3:$E$1315, $A43)</f>
        <v>4</v>
      </c>
      <c r="FB43">
        <f>SUMIFS(DataRegularSeason20242025!$AA$3:$AA$1315,DataRegularSeason20242025!$B$3:$B$1315, "&lt;=" &amp; FB$1, DataRegularSeason20242025!$D$3:$D$1315, $A43)+SUMIFS(DataRegularSeason20242025!$AB$3:$AB$1315,DataRegularSeason20242025!$B$3:$B$1315, "&lt;=" &amp; FB$1, DataRegularSeason20242025!$E$3:$E$1315, $A43)</f>
        <v>4</v>
      </c>
      <c r="FC43">
        <f>SUMIFS(DataRegularSeason20242025!$AA$3:$AA$1315,DataRegularSeason20242025!$B$3:$B$1315, "&lt;=" &amp; FC$1, DataRegularSeason20242025!$D$3:$D$1315, $A43)+SUMIFS(DataRegularSeason20242025!$AB$3:$AB$1315,DataRegularSeason20242025!$B$3:$B$1315, "&lt;=" &amp; FC$1, DataRegularSeason20242025!$E$3:$E$1315, $A43)</f>
        <v>4</v>
      </c>
      <c r="FD43">
        <f>SUMIFS(DataRegularSeason20242025!$AA$3:$AA$1315,DataRegularSeason20242025!$B$3:$B$1315, "&lt;=" &amp; FD$1, DataRegularSeason20242025!$D$3:$D$1315, $A43)+SUMIFS(DataRegularSeason20242025!$AB$3:$AB$1315,DataRegularSeason20242025!$B$3:$B$1315, "&lt;=" &amp; FD$1, DataRegularSeason20242025!$E$3:$E$1315, $A43)</f>
        <v>4</v>
      </c>
      <c r="FE43">
        <f>SUMIFS(DataRegularSeason20242025!$AA$3:$AA$1315,DataRegularSeason20242025!$B$3:$B$1315, "&lt;=" &amp; FE$1, DataRegularSeason20242025!$D$3:$D$1315, $A43)+SUMIFS(DataRegularSeason20242025!$AB$3:$AB$1315,DataRegularSeason20242025!$B$3:$B$1315, "&lt;=" &amp; FE$1, DataRegularSeason20242025!$E$3:$E$1315, $A43)</f>
        <v>4</v>
      </c>
      <c r="FF43">
        <f>SUMIFS(DataRegularSeason20242025!$AA$3:$AA$1315,DataRegularSeason20242025!$B$3:$B$1315, "&lt;=" &amp; FF$1, DataRegularSeason20242025!$D$3:$D$1315, $A43)+SUMIFS(DataRegularSeason20242025!$AB$3:$AB$1315,DataRegularSeason20242025!$B$3:$B$1315, "&lt;=" &amp; FF$1, DataRegularSeason20242025!$E$3:$E$1315, $A43)</f>
        <v>4</v>
      </c>
      <c r="FG43">
        <f>SUMIFS(DataRegularSeason20242025!$AA$3:$AA$1315,DataRegularSeason20242025!$B$3:$B$1315, "&lt;=" &amp; FG$1, DataRegularSeason20242025!$D$3:$D$1315, $A43)+SUMIFS(DataRegularSeason20242025!$AB$3:$AB$1315,DataRegularSeason20242025!$B$3:$B$1315, "&lt;=" &amp; FG$1, DataRegularSeason20242025!$E$3:$E$1315, $A43)</f>
        <v>4</v>
      </c>
      <c r="FH43">
        <f>SUMIFS(DataRegularSeason20242025!$AA$3:$AA$1315,DataRegularSeason20242025!$B$3:$B$1315, "&lt;=" &amp; FH$1, DataRegularSeason20242025!$D$3:$D$1315, $A43)+SUMIFS(DataRegularSeason20242025!$AB$3:$AB$1315,DataRegularSeason20242025!$B$3:$B$1315, "&lt;=" &amp; FH$1, DataRegularSeason20242025!$E$3:$E$1315, $A43)</f>
        <v>4</v>
      </c>
      <c r="FI43">
        <f>SUMIFS(DataRegularSeason20242025!$AA$3:$AA$1315,DataRegularSeason20242025!$B$3:$B$1315, "&lt;=" &amp; FI$1, DataRegularSeason20242025!$D$3:$D$1315, $A43)+SUMIFS(DataRegularSeason20242025!$AB$3:$AB$1315,DataRegularSeason20242025!$B$3:$B$1315, "&lt;=" &amp; FI$1, DataRegularSeason20242025!$E$3:$E$1315, $A43)</f>
        <v>4</v>
      </c>
      <c r="FJ43">
        <f>SUMIFS(DataRegularSeason20242025!$AA$3:$AA$1315,DataRegularSeason20242025!$B$3:$B$1315, "&lt;=" &amp; FJ$1, DataRegularSeason20242025!$D$3:$D$1315, $A43)+SUMIFS(DataRegularSeason20242025!$AB$3:$AB$1315,DataRegularSeason20242025!$B$3:$B$1315, "&lt;=" &amp; FJ$1, DataRegularSeason20242025!$E$3:$E$1315, $A43)</f>
        <v>4</v>
      </c>
      <c r="FK43">
        <f>SUMIFS(DataRegularSeason20242025!$AA$3:$AA$1315,DataRegularSeason20242025!$B$3:$B$1315, "&lt;=" &amp; FK$1, DataRegularSeason20242025!$D$3:$D$1315, $A43)+SUMIFS(DataRegularSeason20242025!$AB$3:$AB$1315,DataRegularSeason20242025!$B$3:$B$1315, "&lt;=" &amp; FK$1, DataRegularSeason20242025!$E$3:$E$1315, $A43)</f>
        <v>4</v>
      </c>
      <c r="FL43">
        <f>SUMIFS(DataRegularSeason20242025!$AA$3:$AA$1315,DataRegularSeason20242025!$B$3:$B$1315, "&lt;=" &amp; FL$1, DataRegularSeason20242025!$D$3:$D$1315, $A43)+SUMIFS(DataRegularSeason20242025!$AB$3:$AB$1315,DataRegularSeason20242025!$B$3:$B$1315, "&lt;=" &amp; FL$1, DataRegularSeason20242025!$E$3:$E$1315, $A43)</f>
        <v>4</v>
      </c>
      <c r="FM43">
        <f>SUMIFS(DataRegularSeason20242025!$AA$3:$AA$1315,DataRegularSeason20242025!$B$3:$B$1315, "&lt;=" &amp; FM$1, DataRegularSeason20242025!$D$3:$D$1315, $A43)+SUMIFS(DataRegularSeason20242025!$AB$3:$AB$1315,DataRegularSeason20242025!$B$3:$B$1315, "&lt;=" &amp; FM$1, DataRegularSeason20242025!$E$3:$E$1315, $A43)</f>
        <v>4</v>
      </c>
      <c r="FN43">
        <f>SUMIFS(DataRegularSeason20242025!$AA$3:$AA$1315,DataRegularSeason20242025!$B$3:$B$1315, "&lt;=" &amp; FN$1, DataRegularSeason20242025!$D$3:$D$1315, $A43)+SUMIFS(DataRegularSeason20242025!$AB$3:$AB$1315,DataRegularSeason20242025!$B$3:$B$1315, "&lt;=" &amp; FN$1, DataRegularSeason20242025!$E$3:$E$1315, $A43)</f>
        <v>4</v>
      </c>
      <c r="FO43">
        <f>SUMIFS(DataRegularSeason20242025!$AA$3:$AA$1315,DataRegularSeason20242025!$B$3:$B$1315, "&lt;=" &amp; FO$1, DataRegularSeason20242025!$D$3:$D$1315, $A43)+SUMIFS(DataRegularSeason20242025!$AB$3:$AB$1315,DataRegularSeason20242025!$B$3:$B$1315, "&lt;=" &amp; FO$1, DataRegularSeason20242025!$E$3:$E$1315, $A43)</f>
        <v>4</v>
      </c>
      <c r="FP43">
        <f>SUMIFS(DataRegularSeason20242025!$AA$3:$AA$1315,DataRegularSeason20242025!$B$3:$B$1315, "&lt;=" &amp; FP$1, DataRegularSeason20242025!$D$3:$D$1315, $A43)+SUMIFS(DataRegularSeason20242025!$AB$3:$AB$1315,DataRegularSeason20242025!$B$3:$B$1315, "&lt;=" &amp; FP$1, DataRegularSeason20242025!$E$3:$E$1315, $A43)</f>
        <v>4</v>
      </c>
      <c r="FQ43">
        <f>SUMIFS(DataRegularSeason20242025!$AA$3:$AA$1315,DataRegularSeason20242025!$B$3:$B$1315, "&lt;=" &amp; FQ$1, DataRegularSeason20242025!$D$3:$D$1315, $A43)+SUMIFS(DataRegularSeason20242025!$AB$3:$AB$1315,DataRegularSeason20242025!$B$3:$B$1315, "&lt;=" &amp; FQ$1, DataRegularSeason20242025!$E$3:$E$1315, $A43)</f>
        <v>4</v>
      </c>
      <c r="FR43">
        <f>SUMIFS(DataRegularSeason20242025!$AA$3:$AA$1315,DataRegularSeason20242025!$B$3:$B$1315, "&lt;=" &amp; FR$1, DataRegularSeason20242025!$D$3:$D$1315, $A43)+SUMIFS(DataRegularSeason20242025!$AB$3:$AB$1315,DataRegularSeason20242025!$B$3:$B$1315, "&lt;=" &amp; FR$1, DataRegularSeason20242025!$E$3:$E$1315, $A43)</f>
        <v>4</v>
      </c>
      <c r="FS43">
        <f>SUMIFS(DataRegularSeason20242025!$AA$3:$AA$1315,DataRegularSeason20242025!$B$3:$B$1315, "&lt;=" &amp; FS$1, DataRegularSeason20242025!$D$3:$D$1315, $A43)+SUMIFS(DataRegularSeason20242025!$AB$3:$AB$1315,DataRegularSeason20242025!$B$3:$B$1315, "&lt;=" &amp; FS$1, DataRegularSeason20242025!$E$3:$E$1315, $A43)</f>
        <v>4</v>
      </c>
      <c r="FT43">
        <f>SUMIFS(DataRegularSeason20242025!$AA$3:$AA$1315,DataRegularSeason20242025!$B$3:$B$1315, "&lt;=" &amp; FT$1, DataRegularSeason20242025!$D$3:$D$1315, $A43)+SUMIFS(DataRegularSeason20242025!$AB$3:$AB$1315,DataRegularSeason20242025!$B$3:$B$1315, "&lt;=" &amp; FT$1, DataRegularSeason20242025!$E$3:$E$1315, $A43)</f>
        <v>4</v>
      </c>
      <c r="FU43">
        <f>SUMIFS(DataRegularSeason20242025!$AA$3:$AA$1315,DataRegularSeason20242025!$B$3:$B$1315, "&lt;=" &amp; FU$1, DataRegularSeason20242025!$D$3:$D$1315, $A43)+SUMIFS(DataRegularSeason20242025!$AB$3:$AB$1315,DataRegularSeason20242025!$B$3:$B$1315, "&lt;=" &amp; FU$1, DataRegularSeason20242025!$E$3:$E$1315, $A43)</f>
        <v>4</v>
      </c>
      <c r="FV43">
        <f>SUMIFS(DataRegularSeason20242025!$AA$3:$AA$1315,DataRegularSeason20242025!$B$3:$B$1315, "&lt;=" &amp; FV$1, DataRegularSeason20242025!$D$3:$D$1315, $A43)+SUMIFS(DataRegularSeason20242025!$AB$3:$AB$1315,DataRegularSeason20242025!$B$3:$B$1315, "&lt;=" &amp; FV$1, DataRegularSeason20242025!$E$3:$E$1315, $A43)</f>
        <v>4</v>
      </c>
      <c r="FW43">
        <f>SUMIFS(DataRegularSeason20242025!$AA$3:$AA$1315,DataRegularSeason20242025!$B$3:$B$1315, "&lt;=" &amp; FW$1, DataRegularSeason20242025!$D$3:$D$1315, $A43)+SUMIFS(DataRegularSeason20242025!$AB$3:$AB$1315,DataRegularSeason20242025!$B$3:$B$1315, "&lt;=" &amp; FW$1, DataRegularSeason20242025!$E$3:$E$1315, $A43)</f>
        <v>4</v>
      </c>
      <c r="FX43">
        <f>SUMIFS(DataRegularSeason20242025!$AA$3:$AA$1315,DataRegularSeason20242025!$B$3:$B$1315, "&lt;=" &amp; FX$1, DataRegularSeason20242025!$D$3:$D$1315, $A43)+SUMIFS(DataRegularSeason20242025!$AB$3:$AB$1315,DataRegularSeason20242025!$B$3:$B$1315, "&lt;=" &amp; FX$1, DataRegularSeason20242025!$E$3:$E$1315, $A43)</f>
        <v>4</v>
      </c>
      <c r="FY43">
        <f>SUMIFS(DataRegularSeason20242025!$AA$3:$AA$1315,DataRegularSeason20242025!$B$3:$B$1315, "&lt;=" &amp; FY$1, DataRegularSeason20242025!$D$3:$D$1315, $A43)+SUMIFS(DataRegularSeason20242025!$AB$3:$AB$1315,DataRegularSeason20242025!$B$3:$B$1315, "&lt;=" &amp; FY$1, DataRegularSeason20242025!$E$3:$E$1315, $A43)</f>
        <v>4</v>
      </c>
      <c r="FZ43">
        <f>SUMIFS(DataRegularSeason20242025!$AA$3:$AA$1315,DataRegularSeason20242025!$B$3:$B$1315, "&lt;=" &amp; FZ$1, DataRegularSeason20242025!$D$3:$D$1315, $A43)+SUMIFS(DataRegularSeason20242025!$AB$3:$AB$1315,DataRegularSeason20242025!$B$3:$B$1315, "&lt;=" &amp; FZ$1, DataRegularSeason20242025!$E$3:$E$1315, $A43)</f>
        <v>4</v>
      </c>
      <c r="GA43">
        <f>SUMIFS(DataRegularSeason20242025!$AA$3:$AA$1315,DataRegularSeason20242025!$B$3:$B$1315, "&lt;=" &amp; GA$1, DataRegularSeason20242025!$D$3:$D$1315, $A43)+SUMIFS(DataRegularSeason20242025!$AB$3:$AB$1315,DataRegularSeason20242025!$B$3:$B$1315, "&lt;=" &amp; GA$1, DataRegularSeason20242025!$E$3:$E$1315, $A43)</f>
        <v>4</v>
      </c>
      <c r="GB43">
        <f>SUMIFS(DataRegularSeason20242025!$AA$3:$AA$1315,DataRegularSeason20242025!$B$3:$B$1315, "&lt;=" &amp; GB$1, DataRegularSeason20242025!$D$3:$D$1315, $A43)+SUMIFS(DataRegularSeason20242025!$AB$3:$AB$1315,DataRegularSeason20242025!$B$3:$B$1315, "&lt;=" &amp; GB$1, DataRegularSeason20242025!$E$3:$E$1315, $A43)</f>
        <v>4</v>
      </c>
      <c r="GC43">
        <f>SUMIFS(DataRegularSeason20242025!$AA$3:$AA$1315,DataRegularSeason20242025!$B$3:$B$1315, "&lt;=" &amp; GC$1, DataRegularSeason20242025!$D$3:$D$1315, $A43)+SUMIFS(DataRegularSeason20242025!$AB$3:$AB$1315,DataRegularSeason20242025!$B$3:$B$1315, "&lt;=" &amp; GC$1, DataRegularSeason20242025!$E$3:$E$1315, $A43)</f>
        <v>4</v>
      </c>
      <c r="GD43">
        <f>SUMIFS(DataRegularSeason20242025!$AA$3:$AA$1315,DataRegularSeason20242025!$B$3:$B$1315, "&lt;=" &amp; GD$1, DataRegularSeason20242025!$D$3:$D$1315, $A43)+SUMIFS(DataRegularSeason20242025!$AB$3:$AB$1315,DataRegularSeason20242025!$B$3:$B$1315, "&lt;=" &amp; GD$1, DataRegularSeason20242025!$E$3:$E$1315, $A43)</f>
        <v>4</v>
      </c>
      <c r="GE43">
        <f>SUMIFS(DataRegularSeason20242025!$AA$3:$AA$1315,DataRegularSeason20242025!$B$3:$B$1315, "&lt;=" &amp; GE$1, DataRegularSeason20242025!$D$3:$D$1315, $A43)+SUMIFS(DataRegularSeason20242025!$AB$3:$AB$1315,DataRegularSeason20242025!$B$3:$B$1315, "&lt;=" &amp; GE$1, DataRegularSeason20242025!$E$3:$E$1315, $A43)</f>
        <v>4</v>
      </c>
      <c r="GF43">
        <f>SUMIFS(DataRegularSeason20242025!$AA$3:$AA$1315,DataRegularSeason20242025!$B$3:$B$1315, "&lt;=" &amp; GF$1, DataRegularSeason20242025!$D$3:$D$1315, $A43)+SUMIFS(DataRegularSeason20242025!$AB$3:$AB$1315,DataRegularSeason20242025!$B$3:$B$1315, "&lt;=" &amp; GF$1, DataRegularSeason20242025!$E$3:$E$1315, $A43)</f>
        <v>4</v>
      </c>
      <c r="GG43">
        <f>SUMIFS(DataRegularSeason20242025!$AA$3:$AA$1315,DataRegularSeason20242025!$B$3:$B$1315, "&lt;=" &amp; GG$1, DataRegularSeason20242025!$D$3:$D$1315, $A43)+SUMIFS(DataRegularSeason20242025!$AB$3:$AB$1315,DataRegularSeason20242025!$B$3:$B$1315, "&lt;=" &amp; GG$1, DataRegularSeason20242025!$E$3:$E$1315, $A43)</f>
        <v>4</v>
      </c>
      <c r="GH43">
        <f>SUMIFS(DataRegularSeason20242025!$AA$3:$AA$1315,DataRegularSeason20242025!$B$3:$B$1315, "&lt;=" &amp; GH$1, DataRegularSeason20242025!$D$3:$D$1315, $A43)+SUMIFS(DataRegularSeason20242025!$AB$3:$AB$1315,DataRegularSeason20242025!$B$3:$B$1315, "&lt;=" &amp; GH$1, DataRegularSeason20242025!$E$3:$E$1315, $A43)</f>
        <v>4</v>
      </c>
      <c r="GI43">
        <f>SUMIFS(DataRegularSeason20242025!$AA$3:$AA$1315,DataRegularSeason20242025!$B$3:$B$1315, "&lt;=" &amp; GI$1, DataRegularSeason20242025!$D$3:$D$1315, $A43)+SUMIFS(DataRegularSeason20242025!$AB$3:$AB$1315,DataRegularSeason20242025!$B$3:$B$1315, "&lt;=" &amp; GI$1, DataRegularSeason20242025!$E$3:$E$1315, $A43)</f>
        <v>4</v>
      </c>
      <c r="GJ43">
        <f>SUMIFS(DataRegularSeason20242025!$AA$3:$AA$1315,DataRegularSeason20242025!$B$3:$B$1315, "&lt;=" &amp; GJ$1, DataRegularSeason20242025!$D$3:$D$1315, $A43)+SUMIFS(DataRegularSeason20242025!$AB$3:$AB$1315,DataRegularSeason20242025!$B$3:$B$1315, "&lt;=" &amp; GJ$1, DataRegularSeason20242025!$E$3:$E$1315, $A43)</f>
        <v>4</v>
      </c>
      <c r="GK43">
        <f>SUMIFS(DataRegularSeason20242025!$AA$3:$AA$1315,DataRegularSeason20242025!$B$3:$B$1315, "&lt;=" &amp; GK$1, DataRegularSeason20242025!$D$3:$D$1315, $A43)+SUMIFS(DataRegularSeason20242025!$AB$3:$AB$1315,DataRegularSeason20242025!$B$3:$B$1315, "&lt;=" &amp; GK$1, DataRegularSeason20242025!$E$3:$E$1315, $A43)</f>
        <v>4</v>
      </c>
      <c r="GL43">
        <f>SUMIFS(DataRegularSeason20242025!$AA$3:$AA$1315,DataRegularSeason20242025!$B$3:$B$1315, "&lt;=" &amp; GL$1, DataRegularSeason20242025!$D$3:$D$1315, $A43)+SUMIFS(DataRegularSeason20242025!$AB$3:$AB$1315,DataRegularSeason20242025!$B$3:$B$1315, "&lt;=" &amp; GL$1, DataRegularSeason20242025!$E$3:$E$1315, $A43)</f>
        <v>4</v>
      </c>
      <c r="GM43">
        <f>SUMIFS(DataRegularSeason20242025!$AA$3:$AA$1315,DataRegularSeason20242025!$B$3:$B$1315, "&lt;=" &amp; GM$1, DataRegularSeason20242025!$D$3:$D$1315, $A43)+SUMIFS(DataRegularSeason20242025!$AB$3:$AB$1315,DataRegularSeason20242025!$B$3:$B$1315, "&lt;=" &amp; GM$1, DataRegularSeason20242025!$E$3:$E$1315, $A43)</f>
        <v>4</v>
      </c>
      <c r="GN43">
        <f>SUMIFS(DataRegularSeason20242025!$AA$3:$AA$1315,DataRegularSeason20242025!$B$3:$B$1315, "&lt;=" &amp; GN$1, DataRegularSeason20242025!$D$3:$D$1315, $A43)+SUMIFS(DataRegularSeason20242025!$AB$3:$AB$1315,DataRegularSeason20242025!$B$3:$B$1315, "&lt;=" &amp; GN$1, DataRegularSeason20242025!$E$3:$E$1315, $A43)</f>
        <v>4</v>
      </c>
      <c r="GO43">
        <f>SUMIFS(DataRegularSeason20242025!$AA$3:$AA$1315,DataRegularSeason20242025!$B$3:$B$1315, "&lt;=" &amp; GO$1, DataRegularSeason20242025!$D$3:$D$1315, $A43)+SUMIFS(DataRegularSeason20242025!$AB$3:$AB$1315,DataRegularSeason20242025!$B$3:$B$1315, "&lt;=" &amp; GO$1, DataRegularSeason20242025!$E$3:$E$1315, $A43)</f>
        <v>4</v>
      </c>
      <c r="GP43">
        <f>SUMIFS(DataRegularSeason20242025!$AA$3:$AA$1315,DataRegularSeason20242025!$B$3:$B$1315, "&lt;=" &amp; GP$1, DataRegularSeason20242025!$D$3:$D$1315, $A43)+SUMIFS(DataRegularSeason20242025!$AB$3:$AB$1315,DataRegularSeason20242025!$B$3:$B$1315, "&lt;=" &amp; GP$1, DataRegularSeason20242025!$E$3:$E$1315, $A43)</f>
        <v>4</v>
      </c>
      <c r="GQ43">
        <f>SUMIFS(DataRegularSeason20242025!$AA$3:$AA$1315,DataRegularSeason20242025!$B$3:$B$1315, "&lt;=" &amp; GQ$1, DataRegularSeason20242025!$D$3:$D$1315, $A43)+SUMIFS(DataRegularSeason20242025!$AB$3:$AB$1315,DataRegularSeason20242025!$B$3:$B$1315, "&lt;=" &amp; GQ$1, DataRegularSeason20242025!$E$3:$E$1315, $A43)</f>
        <v>4</v>
      </c>
      <c r="GR43">
        <f>SUMIFS(DataRegularSeason20242025!$AA$3:$AA$1315,DataRegularSeason20242025!$B$3:$B$1315, "&lt;=" &amp; GR$1, DataRegularSeason20242025!$D$3:$D$1315, $A43)+SUMIFS(DataRegularSeason20242025!$AB$3:$AB$1315,DataRegularSeason20242025!$B$3:$B$1315, "&lt;=" &amp; GR$1, DataRegularSeason20242025!$E$3:$E$1315, $A43)</f>
        <v>4</v>
      </c>
      <c r="GS43">
        <f>SUMIFS(DataRegularSeason20242025!$AA$3:$AA$1315,DataRegularSeason20242025!$B$3:$B$1315, "&lt;=" &amp; GS$1, DataRegularSeason20242025!$D$3:$D$1315, $A43)+SUMIFS(DataRegularSeason20242025!$AB$3:$AB$1315,DataRegularSeason20242025!$B$3:$B$1315, "&lt;=" &amp; GS$1, DataRegularSeason20242025!$E$3:$E$1315, $A43)</f>
        <v>4</v>
      </c>
      <c r="GT43">
        <f>SUMIFS(DataRegularSeason20242025!$AA$3:$AA$1315,DataRegularSeason20242025!$B$3:$B$1315, "&lt;=" &amp; GT$1, DataRegularSeason20242025!$D$3:$D$1315, $A43)+SUMIFS(DataRegularSeason20242025!$AB$3:$AB$1315,DataRegularSeason20242025!$B$3:$B$1315, "&lt;=" &amp; GT$1, DataRegularSeason20242025!$E$3:$E$1315, $A43)</f>
        <v>4</v>
      </c>
      <c r="GU43">
        <f>SUMIFS(DataRegularSeason20242025!$AA$3:$AA$1315,DataRegularSeason20242025!$B$3:$B$1315, "&lt;=" &amp; GU$1, DataRegularSeason20242025!$D$3:$D$1315, $A43)+SUMIFS(DataRegularSeason20242025!$AB$3:$AB$1315,DataRegularSeason20242025!$B$3:$B$1315, "&lt;=" &amp; GU$1, DataRegularSeason20242025!$E$3:$E$1315, $A43)</f>
        <v>4</v>
      </c>
    </row>
    <row r="44" spans="1:275" x14ac:dyDescent="0.25">
      <c r="A44" t="s">
        <v>29</v>
      </c>
      <c r="B44" t="s">
        <v>91</v>
      </c>
      <c r="C44" t="s">
        <v>74</v>
      </c>
      <c r="D44">
        <f>SUMIFS(DataRegularSeason20242025!$AA$3:$AA$1315,DataRegularSeason20242025!$B$3:$B$1315, "&lt;=" &amp; D$1, DataRegularSeason20242025!$D$3:$D$1315, $A44)+SUMIFS(DataRegularSeason20242025!$AB$3:$AB$1315,DataRegularSeason20242025!$B$3:$B$1315, "&lt;=" &amp; D$1, DataRegularSeason20242025!$E$3:$E$1315, $A44)</f>
        <v>0</v>
      </c>
      <c r="E44">
        <f>SUMIFS(DataRegularSeason20242025!$AA$3:$AA$1315,DataRegularSeason20242025!$B$3:$B$1315, "&lt;=" &amp; E$1, DataRegularSeason20242025!$D$3:$D$1315, $A44)+SUMIFS(DataRegularSeason20242025!$AB$3:$AB$1315,DataRegularSeason20242025!$B$3:$B$1315, "&lt;=" &amp; E$1, DataRegularSeason20242025!$E$3:$E$1315, $A44)</f>
        <v>0</v>
      </c>
      <c r="F44">
        <f>SUMIFS(DataRegularSeason20242025!$AA$3:$AA$1315,DataRegularSeason20242025!$B$3:$B$1315, "&lt;=" &amp; F$1, DataRegularSeason20242025!$D$3:$D$1315, $A44)+SUMIFS(DataRegularSeason20242025!$AB$3:$AB$1315,DataRegularSeason20242025!$B$3:$B$1315, "&lt;=" &amp; F$1, DataRegularSeason20242025!$E$3:$E$1315, $A44)</f>
        <v>0</v>
      </c>
      <c r="G44">
        <f>SUMIFS(DataRegularSeason20242025!$AA$3:$AA$1315,DataRegularSeason20242025!$B$3:$B$1315, "&lt;=" &amp; G$1, DataRegularSeason20242025!$D$3:$D$1315, $A44)+SUMIFS(DataRegularSeason20242025!$AB$3:$AB$1315,DataRegularSeason20242025!$B$3:$B$1315, "&lt;=" &amp; G$1, DataRegularSeason20242025!$E$3:$E$1315, $A44)</f>
        <v>0</v>
      </c>
      <c r="H44">
        <f>SUMIFS(DataRegularSeason20242025!$AA$3:$AA$1315,DataRegularSeason20242025!$B$3:$B$1315, "&lt;=" &amp; H$1, DataRegularSeason20242025!$D$3:$D$1315, $A44)+SUMIFS(DataRegularSeason20242025!$AB$3:$AB$1315,DataRegularSeason20242025!$B$3:$B$1315, "&lt;=" &amp; H$1, DataRegularSeason20242025!$E$3:$E$1315, $A44)</f>
        <v>0</v>
      </c>
      <c r="I44">
        <f>SUMIFS(DataRegularSeason20242025!$AA$3:$AA$1315,DataRegularSeason20242025!$B$3:$B$1315, "&lt;=" &amp; I$1, DataRegularSeason20242025!$D$3:$D$1315, $A44)+SUMIFS(DataRegularSeason20242025!$AB$3:$AB$1315,DataRegularSeason20242025!$B$3:$B$1315, "&lt;=" &amp; I$1, DataRegularSeason20242025!$E$3:$E$1315, $A44)</f>
        <v>0</v>
      </c>
      <c r="J44">
        <f>SUMIFS(DataRegularSeason20242025!$AA$3:$AA$1315,DataRegularSeason20242025!$B$3:$B$1315, "&lt;=" &amp; J$1, DataRegularSeason20242025!$D$3:$D$1315, $A44)+SUMIFS(DataRegularSeason20242025!$AB$3:$AB$1315,DataRegularSeason20242025!$B$3:$B$1315, "&lt;=" &amp; J$1, DataRegularSeason20242025!$E$3:$E$1315, $A44)</f>
        <v>2</v>
      </c>
      <c r="K44">
        <f>SUMIFS(DataRegularSeason20242025!$AA$3:$AA$1315,DataRegularSeason20242025!$B$3:$B$1315, "&lt;=" &amp; K$1, DataRegularSeason20242025!$D$3:$D$1315, $A44)+SUMIFS(DataRegularSeason20242025!$AB$3:$AB$1315,DataRegularSeason20242025!$B$3:$B$1315, "&lt;=" &amp; K$1, DataRegularSeason20242025!$E$3:$E$1315, $A44)</f>
        <v>2</v>
      </c>
      <c r="L44">
        <f>SUMIFS(DataRegularSeason20242025!$AA$3:$AA$1315,DataRegularSeason20242025!$B$3:$B$1315, "&lt;=" &amp; L$1, DataRegularSeason20242025!$D$3:$D$1315, $A44)+SUMIFS(DataRegularSeason20242025!$AB$3:$AB$1315,DataRegularSeason20242025!$B$3:$B$1315, "&lt;=" &amp; L$1, DataRegularSeason20242025!$E$3:$E$1315, $A44)</f>
        <v>2</v>
      </c>
      <c r="M44">
        <f>SUMIFS(DataRegularSeason20242025!$AA$3:$AA$1315,DataRegularSeason20242025!$B$3:$B$1315, "&lt;=" &amp; M$1, DataRegularSeason20242025!$D$3:$D$1315, $A44)+SUMIFS(DataRegularSeason20242025!$AB$3:$AB$1315,DataRegularSeason20242025!$B$3:$B$1315, "&lt;=" &amp; M$1, DataRegularSeason20242025!$E$3:$E$1315, $A44)</f>
        <v>2</v>
      </c>
      <c r="N44">
        <f>SUMIFS(DataRegularSeason20242025!$AA$3:$AA$1315,DataRegularSeason20242025!$B$3:$B$1315, "&lt;=" &amp; N$1, DataRegularSeason20242025!$D$3:$D$1315, $A44)+SUMIFS(DataRegularSeason20242025!$AB$3:$AB$1315,DataRegularSeason20242025!$B$3:$B$1315, "&lt;=" &amp; N$1, DataRegularSeason20242025!$E$3:$E$1315, $A44)</f>
        <v>2</v>
      </c>
      <c r="O44">
        <f>SUMIFS(DataRegularSeason20242025!$AA$3:$AA$1315,DataRegularSeason20242025!$B$3:$B$1315, "&lt;=" &amp; O$1, DataRegularSeason20242025!$D$3:$D$1315, $A44)+SUMIFS(DataRegularSeason20242025!$AB$3:$AB$1315,DataRegularSeason20242025!$B$3:$B$1315, "&lt;=" &amp; O$1, DataRegularSeason20242025!$E$3:$E$1315, $A44)</f>
        <v>2</v>
      </c>
      <c r="P44">
        <f>SUMIFS(DataRegularSeason20242025!$AA$3:$AA$1315,DataRegularSeason20242025!$B$3:$B$1315, "&lt;=" &amp; P$1, DataRegularSeason20242025!$D$3:$D$1315, $A44)+SUMIFS(DataRegularSeason20242025!$AB$3:$AB$1315,DataRegularSeason20242025!$B$3:$B$1315, "&lt;=" &amp; P$1, DataRegularSeason20242025!$E$3:$E$1315, $A44)</f>
        <v>2</v>
      </c>
      <c r="Q44">
        <f>SUMIFS(DataRegularSeason20242025!$AA$3:$AA$1315,DataRegularSeason20242025!$B$3:$B$1315, "&lt;=" &amp; Q$1, DataRegularSeason20242025!$D$3:$D$1315, $A44)+SUMIFS(DataRegularSeason20242025!$AB$3:$AB$1315,DataRegularSeason20242025!$B$3:$B$1315, "&lt;=" &amp; Q$1, DataRegularSeason20242025!$E$3:$E$1315, $A44)</f>
        <v>4</v>
      </c>
      <c r="R44">
        <f>SUMIFS(DataRegularSeason20242025!$AA$3:$AA$1315,DataRegularSeason20242025!$B$3:$B$1315, "&lt;=" &amp; R$1, DataRegularSeason20242025!$D$3:$D$1315, $A44)+SUMIFS(DataRegularSeason20242025!$AB$3:$AB$1315,DataRegularSeason20242025!$B$3:$B$1315, "&lt;=" &amp; R$1, DataRegularSeason20242025!$E$3:$E$1315, $A44)</f>
        <v>4</v>
      </c>
      <c r="S44">
        <f>SUMIFS(DataRegularSeason20242025!$AA$3:$AA$1315,DataRegularSeason20242025!$B$3:$B$1315, "&lt;=" &amp; S$1, DataRegularSeason20242025!$D$3:$D$1315, $A44)+SUMIFS(DataRegularSeason20242025!$AB$3:$AB$1315,DataRegularSeason20242025!$B$3:$B$1315, "&lt;=" &amp; S$1, DataRegularSeason20242025!$E$3:$E$1315, $A44)</f>
        <v>4</v>
      </c>
      <c r="T44">
        <f>SUMIFS(DataRegularSeason20242025!$AA$3:$AA$1315,DataRegularSeason20242025!$B$3:$B$1315, "&lt;=" &amp; T$1, DataRegularSeason20242025!$D$3:$D$1315, $A44)+SUMIFS(DataRegularSeason20242025!$AB$3:$AB$1315,DataRegularSeason20242025!$B$3:$B$1315, "&lt;=" &amp; T$1, DataRegularSeason20242025!$E$3:$E$1315, $A44)</f>
        <v>4</v>
      </c>
      <c r="U44">
        <f>SUMIFS(DataRegularSeason20242025!$AA$3:$AA$1315,DataRegularSeason20242025!$B$3:$B$1315, "&lt;=" &amp; U$1, DataRegularSeason20242025!$D$3:$D$1315, $A44)+SUMIFS(DataRegularSeason20242025!$AB$3:$AB$1315,DataRegularSeason20242025!$B$3:$B$1315, "&lt;=" &amp; U$1, DataRegularSeason20242025!$E$3:$E$1315, $A44)</f>
        <v>4</v>
      </c>
      <c r="V44">
        <f>SUMIFS(DataRegularSeason20242025!$AA$3:$AA$1315,DataRegularSeason20242025!$B$3:$B$1315, "&lt;=" &amp; V$1, DataRegularSeason20242025!$D$3:$D$1315, $A44)+SUMIFS(DataRegularSeason20242025!$AB$3:$AB$1315,DataRegularSeason20242025!$B$3:$B$1315, "&lt;=" &amp; V$1, DataRegularSeason20242025!$E$3:$E$1315, $A44)</f>
        <v>5</v>
      </c>
      <c r="W44">
        <f>SUMIFS(DataRegularSeason20242025!$AA$3:$AA$1315,DataRegularSeason20242025!$B$3:$B$1315, "&lt;=" &amp; W$1, DataRegularSeason20242025!$D$3:$D$1315, $A44)+SUMIFS(DataRegularSeason20242025!$AB$3:$AB$1315,DataRegularSeason20242025!$B$3:$B$1315, "&lt;=" &amp; W$1, DataRegularSeason20242025!$E$3:$E$1315, $A44)</f>
        <v>5</v>
      </c>
      <c r="X44">
        <f>SUMIFS(DataRegularSeason20242025!$AA$3:$AA$1315,DataRegularSeason20242025!$B$3:$B$1315, "&lt;=" &amp; X$1, DataRegularSeason20242025!$D$3:$D$1315, $A44)+SUMIFS(DataRegularSeason20242025!$AB$3:$AB$1315,DataRegularSeason20242025!$B$3:$B$1315, "&lt;=" &amp; X$1, DataRegularSeason20242025!$E$3:$E$1315, $A44)</f>
        <v>5</v>
      </c>
      <c r="Y44">
        <f>SUMIFS(DataRegularSeason20242025!$AA$3:$AA$1315,DataRegularSeason20242025!$B$3:$B$1315, "&lt;=" &amp; Y$1, DataRegularSeason20242025!$D$3:$D$1315, $A44)+SUMIFS(DataRegularSeason20242025!$AB$3:$AB$1315,DataRegularSeason20242025!$B$3:$B$1315, "&lt;=" &amp; Y$1, DataRegularSeason20242025!$E$3:$E$1315, $A44)</f>
        <v>5</v>
      </c>
      <c r="Z44">
        <f>SUMIFS(DataRegularSeason20242025!$AA$3:$AA$1315,DataRegularSeason20242025!$B$3:$B$1315, "&lt;=" &amp; Z$1, DataRegularSeason20242025!$D$3:$D$1315, $A44)+SUMIFS(DataRegularSeason20242025!$AB$3:$AB$1315,DataRegularSeason20242025!$B$3:$B$1315, "&lt;=" &amp; Z$1, DataRegularSeason20242025!$E$3:$E$1315, $A44)</f>
        <v>5</v>
      </c>
      <c r="AA44">
        <f>SUMIFS(DataRegularSeason20242025!$AA$3:$AA$1315,DataRegularSeason20242025!$B$3:$B$1315, "&lt;=" &amp; AA$1, DataRegularSeason20242025!$D$3:$D$1315, $A44)+SUMIFS(DataRegularSeason20242025!$AB$3:$AB$1315,DataRegularSeason20242025!$B$3:$B$1315, "&lt;=" &amp; AA$1, DataRegularSeason20242025!$E$3:$E$1315, $A44)</f>
        <v>5</v>
      </c>
      <c r="AB44">
        <f>SUMIFS(DataRegularSeason20242025!$AA$3:$AA$1315,DataRegularSeason20242025!$B$3:$B$1315, "&lt;=" &amp; AB$1, DataRegularSeason20242025!$D$3:$D$1315, $A44)+SUMIFS(DataRegularSeason20242025!$AB$3:$AB$1315,DataRegularSeason20242025!$B$3:$B$1315, "&lt;=" &amp; AB$1, DataRegularSeason20242025!$E$3:$E$1315, $A44)</f>
        <v>5</v>
      </c>
      <c r="AC44">
        <f>SUMIFS(DataRegularSeason20242025!$AA$3:$AA$1315,DataRegularSeason20242025!$B$3:$B$1315, "&lt;=" &amp; AC$1, DataRegularSeason20242025!$D$3:$D$1315, $A44)+SUMIFS(DataRegularSeason20242025!$AB$3:$AB$1315,DataRegularSeason20242025!$B$3:$B$1315, "&lt;=" &amp; AC$1, DataRegularSeason20242025!$E$3:$E$1315, $A44)</f>
        <v>5</v>
      </c>
      <c r="AD44">
        <f>SUMIFS(DataRegularSeason20242025!$AA$3:$AA$1315,DataRegularSeason20242025!$B$3:$B$1315, "&lt;=" &amp; AD$1, DataRegularSeason20242025!$D$3:$D$1315, $A44)+SUMIFS(DataRegularSeason20242025!$AB$3:$AB$1315,DataRegularSeason20242025!$B$3:$B$1315, "&lt;=" &amp; AD$1, DataRegularSeason20242025!$E$3:$E$1315, $A44)</f>
        <v>5</v>
      </c>
      <c r="AE44">
        <f>SUMIFS(DataRegularSeason20242025!$AA$3:$AA$1315,DataRegularSeason20242025!$B$3:$B$1315, "&lt;=" &amp; AE$1, DataRegularSeason20242025!$D$3:$D$1315, $A44)+SUMIFS(DataRegularSeason20242025!$AB$3:$AB$1315,DataRegularSeason20242025!$B$3:$B$1315, "&lt;=" &amp; AE$1, DataRegularSeason20242025!$E$3:$E$1315, $A44)</f>
        <v>5</v>
      </c>
      <c r="AF44">
        <f>SUMIFS(DataRegularSeason20242025!$AA$3:$AA$1315,DataRegularSeason20242025!$B$3:$B$1315, "&lt;=" &amp; AF$1, DataRegularSeason20242025!$D$3:$D$1315, $A44)+SUMIFS(DataRegularSeason20242025!$AB$3:$AB$1315,DataRegularSeason20242025!$B$3:$B$1315, "&lt;=" &amp; AF$1, DataRegularSeason20242025!$E$3:$E$1315, $A44)</f>
        <v>5</v>
      </c>
      <c r="AG44">
        <f>SUMIFS(DataRegularSeason20242025!$AA$3:$AA$1315,DataRegularSeason20242025!$B$3:$B$1315, "&lt;=" &amp; AG$1, DataRegularSeason20242025!$D$3:$D$1315, $A44)+SUMIFS(DataRegularSeason20242025!$AB$3:$AB$1315,DataRegularSeason20242025!$B$3:$B$1315, "&lt;=" &amp; AG$1, DataRegularSeason20242025!$E$3:$E$1315, $A44)</f>
        <v>5</v>
      </c>
      <c r="AH44">
        <f>SUMIFS(DataRegularSeason20242025!$AA$3:$AA$1315,DataRegularSeason20242025!$B$3:$B$1315, "&lt;=" &amp; AH$1, DataRegularSeason20242025!$D$3:$D$1315, $A44)+SUMIFS(DataRegularSeason20242025!$AB$3:$AB$1315,DataRegularSeason20242025!$B$3:$B$1315, "&lt;=" &amp; AH$1, DataRegularSeason20242025!$E$3:$E$1315, $A44)</f>
        <v>5</v>
      </c>
      <c r="AI44">
        <f>SUMIFS(DataRegularSeason20242025!$AA$3:$AA$1315,DataRegularSeason20242025!$B$3:$B$1315, "&lt;=" &amp; AI$1, DataRegularSeason20242025!$D$3:$D$1315, $A44)+SUMIFS(DataRegularSeason20242025!$AB$3:$AB$1315,DataRegularSeason20242025!$B$3:$B$1315, "&lt;=" &amp; AI$1, DataRegularSeason20242025!$E$3:$E$1315, $A44)</f>
        <v>5</v>
      </c>
      <c r="AJ44">
        <f>SUMIFS(DataRegularSeason20242025!$AA$3:$AA$1315,DataRegularSeason20242025!$B$3:$B$1315, "&lt;=" &amp; AJ$1, DataRegularSeason20242025!$D$3:$D$1315, $A44)+SUMIFS(DataRegularSeason20242025!$AB$3:$AB$1315,DataRegularSeason20242025!$B$3:$B$1315, "&lt;=" &amp; AJ$1, DataRegularSeason20242025!$E$3:$E$1315, $A44)</f>
        <v>5</v>
      </c>
      <c r="AK44">
        <f>SUMIFS(DataRegularSeason20242025!$AA$3:$AA$1315,DataRegularSeason20242025!$B$3:$B$1315, "&lt;=" &amp; AK$1, DataRegularSeason20242025!$D$3:$D$1315, $A44)+SUMIFS(DataRegularSeason20242025!$AB$3:$AB$1315,DataRegularSeason20242025!$B$3:$B$1315, "&lt;=" &amp; AK$1, DataRegularSeason20242025!$E$3:$E$1315, $A44)</f>
        <v>5</v>
      </c>
      <c r="AL44">
        <f>SUMIFS(DataRegularSeason20242025!$AA$3:$AA$1315,DataRegularSeason20242025!$B$3:$B$1315, "&lt;=" &amp; AL$1, DataRegularSeason20242025!$D$3:$D$1315, $A44)+SUMIFS(DataRegularSeason20242025!$AB$3:$AB$1315,DataRegularSeason20242025!$B$3:$B$1315, "&lt;=" &amp; AL$1, DataRegularSeason20242025!$E$3:$E$1315, $A44)</f>
        <v>5</v>
      </c>
      <c r="AM44">
        <f>SUMIFS(DataRegularSeason20242025!$AA$3:$AA$1315,DataRegularSeason20242025!$B$3:$B$1315, "&lt;=" &amp; AM$1, DataRegularSeason20242025!$D$3:$D$1315, $A44)+SUMIFS(DataRegularSeason20242025!$AB$3:$AB$1315,DataRegularSeason20242025!$B$3:$B$1315, "&lt;=" &amp; AM$1, DataRegularSeason20242025!$E$3:$E$1315, $A44)</f>
        <v>5</v>
      </c>
      <c r="AN44">
        <f>SUMIFS(DataRegularSeason20242025!$AA$3:$AA$1315,DataRegularSeason20242025!$B$3:$B$1315, "&lt;=" &amp; AN$1, DataRegularSeason20242025!$D$3:$D$1315, $A44)+SUMIFS(DataRegularSeason20242025!$AB$3:$AB$1315,DataRegularSeason20242025!$B$3:$B$1315, "&lt;=" &amp; AN$1, DataRegularSeason20242025!$E$3:$E$1315, $A44)</f>
        <v>5</v>
      </c>
      <c r="AO44">
        <f>SUMIFS(DataRegularSeason20242025!$AA$3:$AA$1315,DataRegularSeason20242025!$B$3:$B$1315, "&lt;=" &amp; AO$1, DataRegularSeason20242025!$D$3:$D$1315, $A44)+SUMIFS(DataRegularSeason20242025!$AB$3:$AB$1315,DataRegularSeason20242025!$B$3:$B$1315, "&lt;=" &amp; AO$1, DataRegularSeason20242025!$E$3:$E$1315, $A44)</f>
        <v>5</v>
      </c>
      <c r="AP44">
        <f>SUMIFS(DataRegularSeason20242025!$AA$3:$AA$1315,DataRegularSeason20242025!$B$3:$B$1315, "&lt;=" &amp; AP$1, DataRegularSeason20242025!$D$3:$D$1315, $A44)+SUMIFS(DataRegularSeason20242025!$AB$3:$AB$1315,DataRegularSeason20242025!$B$3:$B$1315, "&lt;=" &amp; AP$1, DataRegularSeason20242025!$E$3:$E$1315, $A44)</f>
        <v>5</v>
      </c>
      <c r="AQ44">
        <f>SUMIFS(DataRegularSeason20242025!$AA$3:$AA$1315,DataRegularSeason20242025!$B$3:$B$1315, "&lt;=" &amp; AQ$1, DataRegularSeason20242025!$D$3:$D$1315, $A44)+SUMIFS(DataRegularSeason20242025!$AB$3:$AB$1315,DataRegularSeason20242025!$B$3:$B$1315, "&lt;=" &amp; AQ$1, DataRegularSeason20242025!$E$3:$E$1315, $A44)</f>
        <v>5</v>
      </c>
      <c r="AR44">
        <f>SUMIFS(DataRegularSeason20242025!$AA$3:$AA$1315,DataRegularSeason20242025!$B$3:$B$1315, "&lt;=" &amp; AR$1, DataRegularSeason20242025!$D$3:$D$1315, $A44)+SUMIFS(DataRegularSeason20242025!$AB$3:$AB$1315,DataRegularSeason20242025!$B$3:$B$1315, "&lt;=" &amp; AR$1, DataRegularSeason20242025!$E$3:$E$1315, $A44)</f>
        <v>5</v>
      </c>
      <c r="AS44">
        <f>SUMIFS(DataRegularSeason20242025!$AA$3:$AA$1315,DataRegularSeason20242025!$B$3:$B$1315, "&lt;=" &amp; AS$1, DataRegularSeason20242025!$D$3:$D$1315, $A44)+SUMIFS(DataRegularSeason20242025!$AB$3:$AB$1315,DataRegularSeason20242025!$B$3:$B$1315, "&lt;=" &amp; AS$1, DataRegularSeason20242025!$E$3:$E$1315, $A44)</f>
        <v>5</v>
      </c>
      <c r="AT44">
        <f>SUMIFS(DataRegularSeason20242025!$AA$3:$AA$1315,DataRegularSeason20242025!$B$3:$B$1315, "&lt;=" &amp; AT$1, DataRegularSeason20242025!$D$3:$D$1315, $A44)+SUMIFS(DataRegularSeason20242025!$AB$3:$AB$1315,DataRegularSeason20242025!$B$3:$B$1315, "&lt;=" &amp; AT$1, DataRegularSeason20242025!$E$3:$E$1315, $A44)</f>
        <v>5</v>
      </c>
      <c r="AU44">
        <f>SUMIFS(DataRegularSeason20242025!$AA$3:$AA$1315,DataRegularSeason20242025!$B$3:$B$1315, "&lt;=" &amp; AU$1, DataRegularSeason20242025!$D$3:$D$1315, $A44)+SUMIFS(DataRegularSeason20242025!$AB$3:$AB$1315,DataRegularSeason20242025!$B$3:$B$1315, "&lt;=" &amp; AU$1, DataRegularSeason20242025!$E$3:$E$1315, $A44)</f>
        <v>5</v>
      </c>
      <c r="AV44">
        <f>SUMIFS(DataRegularSeason20242025!$AA$3:$AA$1315,DataRegularSeason20242025!$B$3:$B$1315, "&lt;=" &amp; AV$1, DataRegularSeason20242025!$D$3:$D$1315, $A44)+SUMIFS(DataRegularSeason20242025!$AB$3:$AB$1315,DataRegularSeason20242025!$B$3:$B$1315, "&lt;=" &amp; AV$1, DataRegularSeason20242025!$E$3:$E$1315, $A44)</f>
        <v>5</v>
      </c>
      <c r="AW44">
        <f>SUMIFS(DataRegularSeason20242025!$AA$3:$AA$1315,DataRegularSeason20242025!$B$3:$B$1315, "&lt;=" &amp; AW$1, DataRegularSeason20242025!$D$3:$D$1315, $A44)+SUMIFS(DataRegularSeason20242025!$AB$3:$AB$1315,DataRegularSeason20242025!$B$3:$B$1315, "&lt;=" &amp; AW$1, DataRegularSeason20242025!$E$3:$E$1315, $A44)</f>
        <v>5</v>
      </c>
      <c r="AX44">
        <f>SUMIFS(DataRegularSeason20242025!$AA$3:$AA$1315,DataRegularSeason20242025!$B$3:$B$1315, "&lt;=" &amp; AX$1, DataRegularSeason20242025!$D$3:$D$1315, $A44)+SUMIFS(DataRegularSeason20242025!$AB$3:$AB$1315,DataRegularSeason20242025!$B$3:$B$1315, "&lt;=" &amp; AX$1, DataRegularSeason20242025!$E$3:$E$1315, $A44)</f>
        <v>5</v>
      </c>
      <c r="AY44">
        <f>SUMIFS(DataRegularSeason20242025!$AA$3:$AA$1315,DataRegularSeason20242025!$B$3:$B$1315, "&lt;=" &amp; AY$1, DataRegularSeason20242025!$D$3:$D$1315, $A44)+SUMIFS(DataRegularSeason20242025!$AB$3:$AB$1315,DataRegularSeason20242025!$B$3:$B$1315, "&lt;=" &amp; AY$1, DataRegularSeason20242025!$E$3:$E$1315, $A44)</f>
        <v>5</v>
      </c>
      <c r="AZ44">
        <f>SUMIFS(DataRegularSeason20242025!$AA$3:$AA$1315,DataRegularSeason20242025!$B$3:$B$1315, "&lt;=" &amp; AZ$1, DataRegularSeason20242025!$D$3:$D$1315, $A44)+SUMIFS(DataRegularSeason20242025!$AB$3:$AB$1315,DataRegularSeason20242025!$B$3:$B$1315, "&lt;=" &amp; AZ$1, DataRegularSeason20242025!$E$3:$E$1315, $A44)</f>
        <v>5</v>
      </c>
      <c r="BA44">
        <f>SUMIFS(DataRegularSeason20242025!$AA$3:$AA$1315,DataRegularSeason20242025!$B$3:$B$1315, "&lt;=" &amp; BA$1, DataRegularSeason20242025!$D$3:$D$1315, $A44)+SUMIFS(DataRegularSeason20242025!$AB$3:$AB$1315,DataRegularSeason20242025!$B$3:$B$1315, "&lt;=" &amp; BA$1, DataRegularSeason20242025!$E$3:$E$1315, $A44)</f>
        <v>5</v>
      </c>
      <c r="BB44">
        <f>SUMIFS(DataRegularSeason20242025!$AA$3:$AA$1315,DataRegularSeason20242025!$B$3:$B$1315, "&lt;=" &amp; BB$1, DataRegularSeason20242025!$D$3:$D$1315, $A44)+SUMIFS(DataRegularSeason20242025!$AB$3:$AB$1315,DataRegularSeason20242025!$B$3:$B$1315, "&lt;=" &amp; BB$1, DataRegularSeason20242025!$E$3:$E$1315, $A44)</f>
        <v>5</v>
      </c>
      <c r="BC44">
        <f>SUMIFS(DataRegularSeason20242025!$AA$3:$AA$1315,DataRegularSeason20242025!$B$3:$B$1315, "&lt;=" &amp; BC$1, DataRegularSeason20242025!$D$3:$D$1315, $A44)+SUMIFS(DataRegularSeason20242025!$AB$3:$AB$1315,DataRegularSeason20242025!$B$3:$B$1315, "&lt;=" &amp; BC$1, DataRegularSeason20242025!$E$3:$E$1315, $A44)</f>
        <v>5</v>
      </c>
      <c r="BD44">
        <f>SUMIFS(DataRegularSeason20242025!$AA$3:$AA$1315,DataRegularSeason20242025!$B$3:$B$1315, "&lt;=" &amp; BD$1, DataRegularSeason20242025!$D$3:$D$1315, $A44)+SUMIFS(DataRegularSeason20242025!$AB$3:$AB$1315,DataRegularSeason20242025!$B$3:$B$1315, "&lt;=" &amp; BD$1, DataRegularSeason20242025!$E$3:$E$1315, $A44)</f>
        <v>5</v>
      </c>
      <c r="BE44">
        <f>SUMIFS(DataRegularSeason20242025!$AA$3:$AA$1315,DataRegularSeason20242025!$B$3:$B$1315, "&lt;=" &amp; BE$1, DataRegularSeason20242025!$D$3:$D$1315, $A44)+SUMIFS(DataRegularSeason20242025!$AB$3:$AB$1315,DataRegularSeason20242025!$B$3:$B$1315, "&lt;=" &amp; BE$1, DataRegularSeason20242025!$E$3:$E$1315, $A44)</f>
        <v>5</v>
      </c>
      <c r="BF44">
        <f>SUMIFS(DataRegularSeason20242025!$AA$3:$AA$1315,DataRegularSeason20242025!$B$3:$B$1315, "&lt;=" &amp; BF$1, DataRegularSeason20242025!$D$3:$D$1315, $A44)+SUMIFS(DataRegularSeason20242025!$AB$3:$AB$1315,DataRegularSeason20242025!$B$3:$B$1315, "&lt;=" &amp; BF$1, DataRegularSeason20242025!$E$3:$E$1315, $A44)</f>
        <v>5</v>
      </c>
      <c r="BG44">
        <f>SUMIFS(DataRegularSeason20242025!$AA$3:$AA$1315,DataRegularSeason20242025!$B$3:$B$1315, "&lt;=" &amp; BG$1, DataRegularSeason20242025!$D$3:$D$1315, $A44)+SUMIFS(DataRegularSeason20242025!$AB$3:$AB$1315,DataRegularSeason20242025!$B$3:$B$1315, "&lt;=" &amp; BG$1, DataRegularSeason20242025!$E$3:$E$1315, $A44)</f>
        <v>5</v>
      </c>
      <c r="BH44">
        <f>SUMIFS(DataRegularSeason20242025!$AA$3:$AA$1315,DataRegularSeason20242025!$B$3:$B$1315, "&lt;=" &amp; BH$1, DataRegularSeason20242025!$D$3:$D$1315, $A44)+SUMIFS(DataRegularSeason20242025!$AB$3:$AB$1315,DataRegularSeason20242025!$B$3:$B$1315, "&lt;=" &amp; BH$1, DataRegularSeason20242025!$E$3:$E$1315, $A44)</f>
        <v>5</v>
      </c>
      <c r="BI44">
        <f>SUMIFS(DataRegularSeason20242025!$AA$3:$AA$1315,DataRegularSeason20242025!$B$3:$B$1315, "&lt;=" &amp; BI$1, DataRegularSeason20242025!$D$3:$D$1315, $A44)+SUMIFS(DataRegularSeason20242025!$AB$3:$AB$1315,DataRegularSeason20242025!$B$3:$B$1315, "&lt;=" &amp; BI$1, DataRegularSeason20242025!$E$3:$E$1315, $A44)</f>
        <v>5</v>
      </c>
      <c r="BJ44">
        <f>SUMIFS(DataRegularSeason20242025!$AA$3:$AA$1315,DataRegularSeason20242025!$B$3:$B$1315, "&lt;=" &amp; BJ$1, DataRegularSeason20242025!$D$3:$D$1315, $A44)+SUMIFS(DataRegularSeason20242025!$AB$3:$AB$1315,DataRegularSeason20242025!$B$3:$B$1315, "&lt;=" &amp; BJ$1, DataRegularSeason20242025!$E$3:$E$1315, $A44)</f>
        <v>5</v>
      </c>
      <c r="BK44">
        <f>SUMIFS(DataRegularSeason20242025!$AA$3:$AA$1315,DataRegularSeason20242025!$B$3:$B$1315, "&lt;=" &amp; BK$1, DataRegularSeason20242025!$D$3:$D$1315, $A44)+SUMIFS(DataRegularSeason20242025!$AB$3:$AB$1315,DataRegularSeason20242025!$B$3:$B$1315, "&lt;=" &amp; BK$1, DataRegularSeason20242025!$E$3:$E$1315, $A44)</f>
        <v>5</v>
      </c>
      <c r="BL44">
        <f>SUMIFS(DataRegularSeason20242025!$AA$3:$AA$1315,DataRegularSeason20242025!$B$3:$B$1315, "&lt;=" &amp; BL$1, DataRegularSeason20242025!$D$3:$D$1315, $A44)+SUMIFS(DataRegularSeason20242025!$AB$3:$AB$1315,DataRegularSeason20242025!$B$3:$B$1315, "&lt;=" &amp; BL$1, DataRegularSeason20242025!$E$3:$E$1315, $A44)</f>
        <v>5</v>
      </c>
      <c r="BM44">
        <f>SUMIFS(DataRegularSeason20242025!$AA$3:$AA$1315,DataRegularSeason20242025!$B$3:$B$1315, "&lt;=" &amp; BM$1, DataRegularSeason20242025!$D$3:$D$1315, $A44)+SUMIFS(DataRegularSeason20242025!$AB$3:$AB$1315,DataRegularSeason20242025!$B$3:$B$1315, "&lt;=" &amp; BM$1, DataRegularSeason20242025!$E$3:$E$1315, $A44)</f>
        <v>5</v>
      </c>
      <c r="BN44">
        <f>SUMIFS(DataRegularSeason20242025!$AA$3:$AA$1315,DataRegularSeason20242025!$B$3:$B$1315, "&lt;=" &amp; BN$1, DataRegularSeason20242025!$D$3:$D$1315, $A44)+SUMIFS(DataRegularSeason20242025!$AB$3:$AB$1315,DataRegularSeason20242025!$B$3:$B$1315, "&lt;=" &amp; BN$1, DataRegularSeason20242025!$E$3:$E$1315, $A44)</f>
        <v>5</v>
      </c>
      <c r="BO44">
        <f>SUMIFS(DataRegularSeason20242025!$AA$3:$AA$1315,DataRegularSeason20242025!$B$3:$B$1315, "&lt;=" &amp; BO$1, DataRegularSeason20242025!$D$3:$D$1315, $A44)+SUMIFS(DataRegularSeason20242025!$AB$3:$AB$1315,DataRegularSeason20242025!$B$3:$B$1315, "&lt;=" &amp; BO$1, DataRegularSeason20242025!$E$3:$E$1315, $A44)</f>
        <v>5</v>
      </c>
      <c r="BP44">
        <f>SUMIFS(DataRegularSeason20242025!$AA$3:$AA$1315,DataRegularSeason20242025!$B$3:$B$1315, "&lt;=" &amp; BP$1, DataRegularSeason20242025!$D$3:$D$1315, $A44)+SUMIFS(DataRegularSeason20242025!$AB$3:$AB$1315,DataRegularSeason20242025!$B$3:$B$1315, "&lt;=" &amp; BP$1, DataRegularSeason20242025!$E$3:$E$1315, $A44)</f>
        <v>5</v>
      </c>
      <c r="BQ44">
        <f>SUMIFS(DataRegularSeason20242025!$AA$3:$AA$1315,DataRegularSeason20242025!$B$3:$B$1315, "&lt;=" &amp; BQ$1, DataRegularSeason20242025!$D$3:$D$1315, $A44)+SUMIFS(DataRegularSeason20242025!$AB$3:$AB$1315,DataRegularSeason20242025!$B$3:$B$1315, "&lt;=" &amp; BQ$1, DataRegularSeason20242025!$E$3:$E$1315, $A44)</f>
        <v>5</v>
      </c>
      <c r="BR44">
        <f>SUMIFS(DataRegularSeason20242025!$AA$3:$AA$1315,DataRegularSeason20242025!$B$3:$B$1315, "&lt;=" &amp; BR$1, DataRegularSeason20242025!$D$3:$D$1315, $A44)+SUMIFS(DataRegularSeason20242025!$AB$3:$AB$1315,DataRegularSeason20242025!$B$3:$B$1315, "&lt;=" &amp; BR$1, DataRegularSeason20242025!$E$3:$E$1315, $A44)</f>
        <v>5</v>
      </c>
      <c r="BS44">
        <f>SUMIFS(DataRegularSeason20242025!$AA$3:$AA$1315,DataRegularSeason20242025!$B$3:$B$1315, "&lt;=" &amp; BS$1, DataRegularSeason20242025!$D$3:$D$1315, $A44)+SUMIFS(DataRegularSeason20242025!$AB$3:$AB$1315,DataRegularSeason20242025!$B$3:$B$1315, "&lt;=" &amp; BS$1, DataRegularSeason20242025!$E$3:$E$1315, $A44)</f>
        <v>5</v>
      </c>
      <c r="BT44">
        <f>SUMIFS(DataRegularSeason20242025!$AA$3:$AA$1315,DataRegularSeason20242025!$B$3:$B$1315, "&lt;=" &amp; BT$1, DataRegularSeason20242025!$D$3:$D$1315, $A44)+SUMIFS(DataRegularSeason20242025!$AB$3:$AB$1315,DataRegularSeason20242025!$B$3:$B$1315, "&lt;=" &amp; BT$1, DataRegularSeason20242025!$E$3:$E$1315, $A44)</f>
        <v>5</v>
      </c>
      <c r="BU44">
        <f>SUMIFS(DataRegularSeason20242025!$AA$3:$AA$1315,DataRegularSeason20242025!$B$3:$B$1315, "&lt;=" &amp; BU$1, DataRegularSeason20242025!$D$3:$D$1315, $A44)+SUMIFS(DataRegularSeason20242025!$AB$3:$AB$1315,DataRegularSeason20242025!$B$3:$B$1315, "&lt;=" &amp; BU$1, DataRegularSeason20242025!$E$3:$E$1315, $A44)</f>
        <v>5</v>
      </c>
      <c r="BV44">
        <f>SUMIFS(DataRegularSeason20242025!$AA$3:$AA$1315,DataRegularSeason20242025!$B$3:$B$1315, "&lt;=" &amp; BV$1, DataRegularSeason20242025!$D$3:$D$1315, $A44)+SUMIFS(DataRegularSeason20242025!$AB$3:$AB$1315,DataRegularSeason20242025!$B$3:$B$1315, "&lt;=" &amp; BV$1, DataRegularSeason20242025!$E$3:$E$1315, $A44)</f>
        <v>5</v>
      </c>
      <c r="BW44">
        <f>SUMIFS(DataRegularSeason20242025!$AA$3:$AA$1315,DataRegularSeason20242025!$B$3:$B$1315, "&lt;=" &amp; BW$1, DataRegularSeason20242025!$D$3:$D$1315, $A44)+SUMIFS(DataRegularSeason20242025!$AB$3:$AB$1315,DataRegularSeason20242025!$B$3:$B$1315, "&lt;=" &amp; BW$1, DataRegularSeason20242025!$E$3:$E$1315, $A44)</f>
        <v>5</v>
      </c>
      <c r="BX44">
        <f>SUMIFS(DataRegularSeason20242025!$AA$3:$AA$1315,DataRegularSeason20242025!$B$3:$B$1315, "&lt;=" &amp; BX$1, DataRegularSeason20242025!$D$3:$D$1315, $A44)+SUMIFS(DataRegularSeason20242025!$AB$3:$AB$1315,DataRegularSeason20242025!$B$3:$B$1315, "&lt;=" &amp; BX$1, DataRegularSeason20242025!$E$3:$E$1315, $A44)</f>
        <v>5</v>
      </c>
      <c r="BY44">
        <f>SUMIFS(DataRegularSeason20242025!$AA$3:$AA$1315,DataRegularSeason20242025!$B$3:$B$1315, "&lt;=" &amp; BY$1, DataRegularSeason20242025!$D$3:$D$1315, $A44)+SUMIFS(DataRegularSeason20242025!$AB$3:$AB$1315,DataRegularSeason20242025!$B$3:$B$1315, "&lt;=" &amp; BY$1, DataRegularSeason20242025!$E$3:$E$1315, $A44)</f>
        <v>5</v>
      </c>
      <c r="BZ44">
        <f>SUMIFS(DataRegularSeason20242025!$AA$3:$AA$1315,DataRegularSeason20242025!$B$3:$B$1315, "&lt;=" &amp; BZ$1, DataRegularSeason20242025!$D$3:$D$1315, $A44)+SUMIFS(DataRegularSeason20242025!$AB$3:$AB$1315,DataRegularSeason20242025!$B$3:$B$1315, "&lt;=" &amp; BZ$1, DataRegularSeason20242025!$E$3:$E$1315, $A44)</f>
        <v>5</v>
      </c>
      <c r="CA44">
        <f>SUMIFS(DataRegularSeason20242025!$AA$3:$AA$1315,DataRegularSeason20242025!$B$3:$B$1315, "&lt;=" &amp; CA$1, DataRegularSeason20242025!$D$3:$D$1315, $A44)+SUMIFS(DataRegularSeason20242025!$AB$3:$AB$1315,DataRegularSeason20242025!$B$3:$B$1315, "&lt;=" &amp; CA$1, DataRegularSeason20242025!$E$3:$E$1315, $A44)</f>
        <v>5</v>
      </c>
      <c r="CB44">
        <f>SUMIFS(DataRegularSeason20242025!$AA$3:$AA$1315,DataRegularSeason20242025!$B$3:$B$1315, "&lt;=" &amp; CB$1, DataRegularSeason20242025!$D$3:$D$1315, $A44)+SUMIFS(DataRegularSeason20242025!$AB$3:$AB$1315,DataRegularSeason20242025!$B$3:$B$1315, "&lt;=" &amp; CB$1, DataRegularSeason20242025!$E$3:$E$1315, $A44)</f>
        <v>5</v>
      </c>
      <c r="CC44">
        <f>SUMIFS(DataRegularSeason20242025!$AA$3:$AA$1315,DataRegularSeason20242025!$B$3:$B$1315, "&lt;=" &amp; CC$1, DataRegularSeason20242025!$D$3:$D$1315, $A44)+SUMIFS(DataRegularSeason20242025!$AB$3:$AB$1315,DataRegularSeason20242025!$B$3:$B$1315, "&lt;=" &amp; CC$1, DataRegularSeason20242025!$E$3:$E$1315, $A44)</f>
        <v>5</v>
      </c>
      <c r="CD44">
        <f>SUMIFS(DataRegularSeason20242025!$AA$3:$AA$1315,DataRegularSeason20242025!$B$3:$B$1315, "&lt;=" &amp; CD$1, DataRegularSeason20242025!$D$3:$D$1315, $A44)+SUMIFS(DataRegularSeason20242025!$AB$3:$AB$1315,DataRegularSeason20242025!$B$3:$B$1315, "&lt;=" &amp; CD$1, DataRegularSeason20242025!$E$3:$E$1315, $A44)</f>
        <v>5</v>
      </c>
      <c r="CE44">
        <f>SUMIFS(DataRegularSeason20242025!$AA$3:$AA$1315,DataRegularSeason20242025!$B$3:$B$1315, "&lt;=" &amp; CE$1, DataRegularSeason20242025!$D$3:$D$1315, $A44)+SUMIFS(DataRegularSeason20242025!$AB$3:$AB$1315,DataRegularSeason20242025!$B$3:$B$1315, "&lt;=" &amp; CE$1, DataRegularSeason20242025!$E$3:$E$1315, $A44)</f>
        <v>5</v>
      </c>
      <c r="CF44">
        <f>SUMIFS(DataRegularSeason20242025!$AA$3:$AA$1315,DataRegularSeason20242025!$B$3:$B$1315, "&lt;=" &amp; CF$1, DataRegularSeason20242025!$D$3:$D$1315, $A44)+SUMIFS(DataRegularSeason20242025!$AB$3:$AB$1315,DataRegularSeason20242025!$B$3:$B$1315, "&lt;=" &amp; CF$1, DataRegularSeason20242025!$E$3:$E$1315, $A44)</f>
        <v>5</v>
      </c>
      <c r="CG44">
        <f>SUMIFS(DataRegularSeason20242025!$AA$3:$AA$1315,DataRegularSeason20242025!$B$3:$B$1315, "&lt;=" &amp; CG$1, DataRegularSeason20242025!$D$3:$D$1315, $A44)+SUMIFS(DataRegularSeason20242025!$AB$3:$AB$1315,DataRegularSeason20242025!$B$3:$B$1315, "&lt;=" &amp; CG$1, DataRegularSeason20242025!$E$3:$E$1315, $A44)</f>
        <v>5</v>
      </c>
      <c r="CH44">
        <f>SUMIFS(DataRegularSeason20242025!$AA$3:$AA$1315,DataRegularSeason20242025!$B$3:$B$1315, "&lt;=" &amp; CH$1, DataRegularSeason20242025!$D$3:$D$1315, $A44)+SUMIFS(DataRegularSeason20242025!$AB$3:$AB$1315,DataRegularSeason20242025!$B$3:$B$1315, "&lt;=" &amp; CH$1, DataRegularSeason20242025!$E$3:$E$1315, $A44)</f>
        <v>5</v>
      </c>
      <c r="CI44">
        <f>SUMIFS(DataRegularSeason20242025!$AA$3:$AA$1315,DataRegularSeason20242025!$B$3:$B$1315, "&lt;=" &amp; CI$1, DataRegularSeason20242025!$D$3:$D$1315, $A44)+SUMIFS(DataRegularSeason20242025!$AB$3:$AB$1315,DataRegularSeason20242025!$B$3:$B$1315, "&lt;=" &amp; CI$1, DataRegularSeason20242025!$E$3:$E$1315, $A44)</f>
        <v>5</v>
      </c>
      <c r="CJ44">
        <f>SUMIFS(DataRegularSeason20242025!$AA$3:$AA$1315,DataRegularSeason20242025!$B$3:$B$1315, "&lt;=" &amp; CJ$1, DataRegularSeason20242025!$D$3:$D$1315, $A44)+SUMIFS(DataRegularSeason20242025!$AB$3:$AB$1315,DataRegularSeason20242025!$B$3:$B$1315, "&lt;=" &amp; CJ$1, DataRegularSeason20242025!$E$3:$E$1315, $A44)</f>
        <v>5</v>
      </c>
      <c r="CK44">
        <f>SUMIFS(DataRegularSeason20242025!$AA$3:$AA$1315,DataRegularSeason20242025!$B$3:$B$1315, "&lt;=" &amp; CK$1, DataRegularSeason20242025!$D$3:$D$1315, $A44)+SUMIFS(DataRegularSeason20242025!$AB$3:$AB$1315,DataRegularSeason20242025!$B$3:$B$1315, "&lt;=" &amp; CK$1, DataRegularSeason20242025!$E$3:$E$1315, $A44)</f>
        <v>5</v>
      </c>
      <c r="CL44">
        <f>SUMIFS(DataRegularSeason20242025!$AA$3:$AA$1315,DataRegularSeason20242025!$B$3:$B$1315, "&lt;=" &amp; CL$1, DataRegularSeason20242025!$D$3:$D$1315, $A44)+SUMIFS(DataRegularSeason20242025!$AB$3:$AB$1315,DataRegularSeason20242025!$B$3:$B$1315, "&lt;=" &amp; CL$1, DataRegularSeason20242025!$E$3:$E$1315, $A44)</f>
        <v>5</v>
      </c>
      <c r="CM44">
        <f>SUMIFS(DataRegularSeason20242025!$AA$3:$AA$1315,DataRegularSeason20242025!$B$3:$B$1315, "&lt;=" &amp; CM$1, DataRegularSeason20242025!$D$3:$D$1315, $A44)+SUMIFS(DataRegularSeason20242025!$AB$3:$AB$1315,DataRegularSeason20242025!$B$3:$B$1315, "&lt;=" &amp; CM$1, DataRegularSeason20242025!$E$3:$E$1315, $A44)</f>
        <v>5</v>
      </c>
      <c r="CN44">
        <f>SUMIFS(DataRegularSeason20242025!$AA$3:$AA$1315,DataRegularSeason20242025!$B$3:$B$1315, "&lt;=" &amp; CN$1, DataRegularSeason20242025!$D$3:$D$1315, $A44)+SUMIFS(DataRegularSeason20242025!$AB$3:$AB$1315,DataRegularSeason20242025!$B$3:$B$1315, "&lt;=" &amp; CN$1, DataRegularSeason20242025!$E$3:$E$1315, $A44)</f>
        <v>5</v>
      </c>
      <c r="CO44">
        <f>SUMIFS(DataRegularSeason20242025!$AA$3:$AA$1315,DataRegularSeason20242025!$B$3:$B$1315, "&lt;=" &amp; CO$1, DataRegularSeason20242025!$D$3:$D$1315, $A44)+SUMIFS(DataRegularSeason20242025!$AB$3:$AB$1315,DataRegularSeason20242025!$B$3:$B$1315, "&lt;=" &amp; CO$1, DataRegularSeason20242025!$E$3:$E$1315, $A44)</f>
        <v>5</v>
      </c>
      <c r="CP44">
        <f>SUMIFS(DataRegularSeason20242025!$AA$3:$AA$1315,DataRegularSeason20242025!$B$3:$B$1315, "&lt;=" &amp; CP$1, DataRegularSeason20242025!$D$3:$D$1315, $A44)+SUMIFS(DataRegularSeason20242025!$AB$3:$AB$1315,DataRegularSeason20242025!$B$3:$B$1315, "&lt;=" &amp; CP$1, DataRegularSeason20242025!$E$3:$E$1315, $A44)</f>
        <v>5</v>
      </c>
      <c r="CQ44">
        <f>SUMIFS(DataRegularSeason20242025!$AA$3:$AA$1315,DataRegularSeason20242025!$B$3:$B$1315, "&lt;=" &amp; CQ$1, DataRegularSeason20242025!$D$3:$D$1315, $A44)+SUMIFS(DataRegularSeason20242025!$AB$3:$AB$1315,DataRegularSeason20242025!$B$3:$B$1315, "&lt;=" &amp; CQ$1, DataRegularSeason20242025!$E$3:$E$1315, $A44)</f>
        <v>5</v>
      </c>
      <c r="CR44">
        <f>SUMIFS(DataRegularSeason20242025!$AA$3:$AA$1315,DataRegularSeason20242025!$B$3:$B$1315, "&lt;=" &amp; CR$1, DataRegularSeason20242025!$D$3:$D$1315, $A44)+SUMIFS(DataRegularSeason20242025!$AB$3:$AB$1315,DataRegularSeason20242025!$B$3:$B$1315, "&lt;=" &amp; CR$1, DataRegularSeason20242025!$E$3:$E$1315, $A44)</f>
        <v>5</v>
      </c>
      <c r="CS44">
        <f>SUMIFS(DataRegularSeason20242025!$AA$3:$AA$1315,DataRegularSeason20242025!$B$3:$B$1315, "&lt;=" &amp; CS$1, DataRegularSeason20242025!$D$3:$D$1315, $A44)+SUMIFS(DataRegularSeason20242025!$AB$3:$AB$1315,DataRegularSeason20242025!$B$3:$B$1315, "&lt;=" &amp; CS$1, DataRegularSeason20242025!$E$3:$E$1315, $A44)</f>
        <v>5</v>
      </c>
      <c r="CT44">
        <f>SUMIFS(DataRegularSeason20242025!$AA$3:$AA$1315,DataRegularSeason20242025!$B$3:$B$1315, "&lt;=" &amp; CT$1, DataRegularSeason20242025!$D$3:$D$1315, $A44)+SUMIFS(DataRegularSeason20242025!$AB$3:$AB$1315,DataRegularSeason20242025!$B$3:$B$1315, "&lt;=" &amp; CT$1, DataRegularSeason20242025!$E$3:$E$1315, $A44)</f>
        <v>5</v>
      </c>
      <c r="CU44">
        <f>SUMIFS(DataRegularSeason20242025!$AA$3:$AA$1315,DataRegularSeason20242025!$B$3:$B$1315, "&lt;=" &amp; CU$1, DataRegularSeason20242025!$D$3:$D$1315, $A44)+SUMIFS(DataRegularSeason20242025!$AB$3:$AB$1315,DataRegularSeason20242025!$B$3:$B$1315, "&lt;=" &amp; CU$1, DataRegularSeason20242025!$E$3:$E$1315, $A44)</f>
        <v>5</v>
      </c>
      <c r="CV44">
        <f>SUMIFS(DataRegularSeason20242025!$AA$3:$AA$1315,DataRegularSeason20242025!$B$3:$B$1315, "&lt;=" &amp; CV$1, DataRegularSeason20242025!$D$3:$D$1315, $A44)+SUMIFS(DataRegularSeason20242025!$AB$3:$AB$1315,DataRegularSeason20242025!$B$3:$B$1315, "&lt;=" &amp; CV$1, DataRegularSeason20242025!$E$3:$E$1315, $A44)</f>
        <v>5</v>
      </c>
      <c r="CW44">
        <f>SUMIFS(DataRegularSeason20242025!$AA$3:$AA$1315,DataRegularSeason20242025!$B$3:$B$1315, "&lt;=" &amp; CW$1, DataRegularSeason20242025!$D$3:$D$1315, $A44)+SUMIFS(DataRegularSeason20242025!$AB$3:$AB$1315,DataRegularSeason20242025!$B$3:$B$1315, "&lt;=" &amp; CW$1, DataRegularSeason20242025!$E$3:$E$1315, $A44)</f>
        <v>5</v>
      </c>
      <c r="CX44">
        <f>SUMIFS(DataRegularSeason20242025!$AA$3:$AA$1315,DataRegularSeason20242025!$B$3:$B$1315, "&lt;=" &amp; CX$1, DataRegularSeason20242025!$D$3:$D$1315, $A44)+SUMIFS(DataRegularSeason20242025!$AB$3:$AB$1315,DataRegularSeason20242025!$B$3:$B$1315, "&lt;=" &amp; CX$1, DataRegularSeason20242025!$E$3:$E$1315, $A44)</f>
        <v>5</v>
      </c>
      <c r="CY44">
        <f>SUMIFS(DataRegularSeason20242025!$AA$3:$AA$1315,DataRegularSeason20242025!$B$3:$B$1315, "&lt;=" &amp; CY$1, DataRegularSeason20242025!$D$3:$D$1315, $A44)+SUMIFS(DataRegularSeason20242025!$AB$3:$AB$1315,DataRegularSeason20242025!$B$3:$B$1315, "&lt;=" &amp; CY$1, DataRegularSeason20242025!$E$3:$E$1315, $A44)</f>
        <v>5</v>
      </c>
      <c r="CZ44">
        <f>SUMIFS(DataRegularSeason20242025!$AA$3:$AA$1315,DataRegularSeason20242025!$B$3:$B$1315, "&lt;=" &amp; CZ$1, DataRegularSeason20242025!$D$3:$D$1315, $A44)+SUMIFS(DataRegularSeason20242025!$AB$3:$AB$1315,DataRegularSeason20242025!$B$3:$B$1315, "&lt;=" &amp; CZ$1, DataRegularSeason20242025!$E$3:$E$1315, $A44)</f>
        <v>5</v>
      </c>
      <c r="DA44">
        <f>SUMIFS(DataRegularSeason20242025!$AA$3:$AA$1315,DataRegularSeason20242025!$B$3:$B$1315, "&lt;=" &amp; DA$1, DataRegularSeason20242025!$D$3:$D$1315, $A44)+SUMIFS(DataRegularSeason20242025!$AB$3:$AB$1315,DataRegularSeason20242025!$B$3:$B$1315, "&lt;=" &amp; DA$1, DataRegularSeason20242025!$E$3:$E$1315, $A44)</f>
        <v>5</v>
      </c>
      <c r="DB44">
        <f>SUMIFS(DataRegularSeason20242025!$AA$3:$AA$1315,DataRegularSeason20242025!$B$3:$B$1315, "&lt;=" &amp; DB$1, DataRegularSeason20242025!$D$3:$D$1315, $A44)+SUMIFS(DataRegularSeason20242025!$AB$3:$AB$1315,DataRegularSeason20242025!$B$3:$B$1315, "&lt;=" &amp; DB$1, DataRegularSeason20242025!$E$3:$E$1315, $A44)</f>
        <v>5</v>
      </c>
      <c r="DC44">
        <f>SUMIFS(DataRegularSeason20242025!$AA$3:$AA$1315,DataRegularSeason20242025!$B$3:$B$1315, "&lt;=" &amp; DC$1, DataRegularSeason20242025!$D$3:$D$1315, $A44)+SUMIFS(DataRegularSeason20242025!$AB$3:$AB$1315,DataRegularSeason20242025!$B$3:$B$1315, "&lt;=" &amp; DC$1, DataRegularSeason20242025!$E$3:$E$1315, $A44)</f>
        <v>5</v>
      </c>
      <c r="DD44">
        <f>SUMIFS(DataRegularSeason20242025!$AA$3:$AA$1315,DataRegularSeason20242025!$B$3:$B$1315, "&lt;=" &amp; DD$1, DataRegularSeason20242025!$D$3:$D$1315, $A44)+SUMIFS(DataRegularSeason20242025!$AB$3:$AB$1315,DataRegularSeason20242025!$B$3:$B$1315, "&lt;=" &amp; DD$1, DataRegularSeason20242025!$E$3:$E$1315, $A44)</f>
        <v>5</v>
      </c>
      <c r="DE44">
        <f>SUMIFS(DataRegularSeason20242025!$AA$3:$AA$1315,DataRegularSeason20242025!$B$3:$B$1315, "&lt;=" &amp; DE$1, DataRegularSeason20242025!$D$3:$D$1315, $A44)+SUMIFS(DataRegularSeason20242025!$AB$3:$AB$1315,DataRegularSeason20242025!$B$3:$B$1315, "&lt;=" &amp; DE$1, DataRegularSeason20242025!$E$3:$E$1315, $A44)</f>
        <v>5</v>
      </c>
      <c r="DF44">
        <f>SUMIFS(DataRegularSeason20242025!$AA$3:$AA$1315,DataRegularSeason20242025!$B$3:$B$1315, "&lt;=" &amp; DF$1, DataRegularSeason20242025!$D$3:$D$1315, $A44)+SUMIFS(DataRegularSeason20242025!$AB$3:$AB$1315,DataRegularSeason20242025!$B$3:$B$1315, "&lt;=" &amp; DF$1, DataRegularSeason20242025!$E$3:$E$1315, $A44)</f>
        <v>5</v>
      </c>
      <c r="DG44">
        <f>SUMIFS(DataRegularSeason20242025!$AA$3:$AA$1315,DataRegularSeason20242025!$B$3:$B$1315, "&lt;=" &amp; DG$1, DataRegularSeason20242025!$D$3:$D$1315, $A44)+SUMIFS(DataRegularSeason20242025!$AB$3:$AB$1315,DataRegularSeason20242025!$B$3:$B$1315, "&lt;=" &amp; DG$1, DataRegularSeason20242025!$E$3:$E$1315, $A44)</f>
        <v>5</v>
      </c>
      <c r="DH44">
        <f>SUMIFS(DataRegularSeason20242025!$AA$3:$AA$1315,DataRegularSeason20242025!$B$3:$B$1315, "&lt;=" &amp; DH$1, DataRegularSeason20242025!$D$3:$D$1315, $A44)+SUMIFS(DataRegularSeason20242025!$AB$3:$AB$1315,DataRegularSeason20242025!$B$3:$B$1315, "&lt;=" &amp; DH$1, DataRegularSeason20242025!$E$3:$E$1315, $A44)</f>
        <v>5</v>
      </c>
      <c r="DI44">
        <f>SUMIFS(DataRegularSeason20242025!$AA$3:$AA$1315,DataRegularSeason20242025!$B$3:$B$1315, "&lt;=" &amp; DI$1, DataRegularSeason20242025!$D$3:$D$1315, $A44)+SUMIFS(DataRegularSeason20242025!$AB$3:$AB$1315,DataRegularSeason20242025!$B$3:$B$1315, "&lt;=" &amp; DI$1, DataRegularSeason20242025!$E$3:$E$1315, $A44)</f>
        <v>5</v>
      </c>
      <c r="DJ44">
        <f>SUMIFS(DataRegularSeason20242025!$AA$3:$AA$1315,DataRegularSeason20242025!$B$3:$B$1315, "&lt;=" &amp; DJ$1, DataRegularSeason20242025!$D$3:$D$1315, $A44)+SUMIFS(DataRegularSeason20242025!$AB$3:$AB$1315,DataRegularSeason20242025!$B$3:$B$1315, "&lt;=" &amp; DJ$1, DataRegularSeason20242025!$E$3:$E$1315, $A44)</f>
        <v>5</v>
      </c>
      <c r="DK44">
        <f>SUMIFS(DataRegularSeason20242025!$AA$3:$AA$1315,DataRegularSeason20242025!$B$3:$B$1315, "&lt;=" &amp; DK$1, DataRegularSeason20242025!$D$3:$D$1315, $A44)+SUMIFS(DataRegularSeason20242025!$AB$3:$AB$1315,DataRegularSeason20242025!$B$3:$B$1315, "&lt;=" &amp; DK$1, DataRegularSeason20242025!$E$3:$E$1315, $A44)</f>
        <v>5</v>
      </c>
      <c r="DL44">
        <f>SUMIFS(DataRegularSeason20242025!$AA$3:$AA$1315,DataRegularSeason20242025!$B$3:$B$1315, "&lt;=" &amp; DL$1, DataRegularSeason20242025!$D$3:$D$1315, $A44)+SUMIFS(DataRegularSeason20242025!$AB$3:$AB$1315,DataRegularSeason20242025!$B$3:$B$1315, "&lt;=" &amp; DL$1, DataRegularSeason20242025!$E$3:$E$1315, $A44)</f>
        <v>5</v>
      </c>
      <c r="DM44">
        <f>SUMIFS(DataRegularSeason20242025!$AA$3:$AA$1315,DataRegularSeason20242025!$B$3:$B$1315, "&lt;=" &amp; DM$1, DataRegularSeason20242025!$D$3:$D$1315, $A44)+SUMIFS(DataRegularSeason20242025!$AB$3:$AB$1315,DataRegularSeason20242025!$B$3:$B$1315, "&lt;=" &amp; DM$1, DataRegularSeason20242025!$E$3:$E$1315, $A44)</f>
        <v>5</v>
      </c>
      <c r="DN44">
        <f>SUMIFS(DataRegularSeason20242025!$AA$3:$AA$1315,DataRegularSeason20242025!$B$3:$B$1315, "&lt;=" &amp; DN$1, DataRegularSeason20242025!$D$3:$D$1315, $A44)+SUMIFS(DataRegularSeason20242025!$AB$3:$AB$1315,DataRegularSeason20242025!$B$3:$B$1315, "&lt;=" &amp; DN$1, DataRegularSeason20242025!$E$3:$E$1315, $A44)</f>
        <v>5</v>
      </c>
      <c r="DO44">
        <f>SUMIFS(DataRegularSeason20242025!$AA$3:$AA$1315,DataRegularSeason20242025!$B$3:$B$1315, "&lt;=" &amp; DO$1, DataRegularSeason20242025!$D$3:$D$1315, $A44)+SUMIFS(DataRegularSeason20242025!$AB$3:$AB$1315,DataRegularSeason20242025!$B$3:$B$1315, "&lt;=" &amp; DO$1, DataRegularSeason20242025!$E$3:$E$1315, $A44)</f>
        <v>5</v>
      </c>
      <c r="DP44">
        <f>SUMIFS(DataRegularSeason20242025!$AA$3:$AA$1315,DataRegularSeason20242025!$B$3:$B$1315, "&lt;=" &amp; DP$1, DataRegularSeason20242025!$D$3:$D$1315, $A44)+SUMIFS(DataRegularSeason20242025!$AB$3:$AB$1315,DataRegularSeason20242025!$B$3:$B$1315, "&lt;=" &amp; DP$1, DataRegularSeason20242025!$E$3:$E$1315, $A44)</f>
        <v>5</v>
      </c>
      <c r="DQ44">
        <f>SUMIFS(DataRegularSeason20242025!$AA$3:$AA$1315,DataRegularSeason20242025!$B$3:$B$1315, "&lt;=" &amp; DQ$1, DataRegularSeason20242025!$D$3:$D$1315, $A44)+SUMIFS(DataRegularSeason20242025!$AB$3:$AB$1315,DataRegularSeason20242025!$B$3:$B$1315, "&lt;=" &amp; DQ$1, DataRegularSeason20242025!$E$3:$E$1315, $A44)</f>
        <v>5</v>
      </c>
      <c r="DR44">
        <f>SUMIFS(DataRegularSeason20242025!$AA$3:$AA$1315,DataRegularSeason20242025!$B$3:$B$1315, "&lt;=" &amp; DR$1, DataRegularSeason20242025!$D$3:$D$1315, $A44)+SUMIFS(DataRegularSeason20242025!$AB$3:$AB$1315,DataRegularSeason20242025!$B$3:$B$1315, "&lt;=" &amp; DR$1, DataRegularSeason20242025!$E$3:$E$1315, $A44)</f>
        <v>5</v>
      </c>
      <c r="DS44">
        <f>SUMIFS(DataRegularSeason20242025!$AA$3:$AA$1315,DataRegularSeason20242025!$B$3:$B$1315, "&lt;=" &amp; DS$1, DataRegularSeason20242025!$D$3:$D$1315, $A44)+SUMIFS(DataRegularSeason20242025!$AB$3:$AB$1315,DataRegularSeason20242025!$B$3:$B$1315, "&lt;=" &amp; DS$1, DataRegularSeason20242025!$E$3:$E$1315, $A44)</f>
        <v>5</v>
      </c>
      <c r="DT44">
        <f>SUMIFS(DataRegularSeason20242025!$AA$3:$AA$1315,DataRegularSeason20242025!$B$3:$B$1315, "&lt;=" &amp; DT$1, DataRegularSeason20242025!$D$3:$D$1315, $A44)+SUMIFS(DataRegularSeason20242025!$AB$3:$AB$1315,DataRegularSeason20242025!$B$3:$B$1315, "&lt;=" &amp; DT$1, DataRegularSeason20242025!$E$3:$E$1315, $A44)</f>
        <v>5</v>
      </c>
      <c r="DU44">
        <f>SUMIFS(DataRegularSeason20242025!$AA$3:$AA$1315,DataRegularSeason20242025!$B$3:$B$1315, "&lt;=" &amp; DU$1, DataRegularSeason20242025!$D$3:$D$1315, $A44)+SUMIFS(DataRegularSeason20242025!$AB$3:$AB$1315,DataRegularSeason20242025!$B$3:$B$1315, "&lt;=" &amp; DU$1, DataRegularSeason20242025!$E$3:$E$1315, $A44)</f>
        <v>5</v>
      </c>
      <c r="DV44">
        <f>SUMIFS(DataRegularSeason20242025!$AA$3:$AA$1315,DataRegularSeason20242025!$B$3:$B$1315, "&lt;=" &amp; DV$1, DataRegularSeason20242025!$D$3:$D$1315, $A44)+SUMIFS(DataRegularSeason20242025!$AB$3:$AB$1315,DataRegularSeason20242025!$B$3:$B$1315, "&lt;=" &amp; DV$1, DataRegularSeason20242025!$E$3:$E$1315, $A44)</f>
        <v>5</v>
      </c>
      <c r="DW44">
        <f>SUMIFS(DataRegularSeason20242025!$AA$3:$AA$1315,DataRegularSeason20242025!$B$3:$B$1315, "&lt;=" &amp; DW$1, DataRegularSeason20242025!$D$3:$D$1315, $A44)+SUMIFS(DataRegularSeason20242025!$AB$3:$AB$1315,DataRegularSeason20242025!$B$3:$B$1315, "&lt;=" &amp; DW$1, DataRegularSeason20242025!$E$3:$E$1315, $A44)</f>
        <v>5</v>
      </c>
      <c r="DX44">
        <f>SUMIFS(DataRegularSeason20242025!$AA$3:$AA$1315,DataRegularSeason20242025!$B$3:$B$1315, "&lt;=" &amp; DX$1, DataRegularSeason20242025!$D$3:$D$1315, $A44)+SUMIFS(DataRegularSeason20242025!$AB$3:$AB$1315,DataRegularSeason20242025!$B$3:$B$1315, "&lt;=" &amp; DX$1, DataRegularSeason20242025!$E$3:$E$1315, $A44)</f>
        <v>5</v>
      </c>
      <c r="DY44">
        <f>SUMIFS(DataRegularSeason20242025!$AA$3:$AA$1315,DataRegularSeason20242025!$B$3:$B$1315, "&lt;=" &amp; DY$1, DataRegularSeason20242025!$D$3:$D$1315, $A44)+SUMIFS(DataRegularSeason20242025!$AB$3:$AB$1315,DataRegularSeason20242025!$B$3:$B$1315, "&lt;=" &amp; DY$1, DataRegularSeason20242025!$E$3:$E$1315, $A44)</f>
        <v>5</v>
      </c>
      <c r="DZ44">
        <f>SUMIFS(DataRegularSeason20242025!$AA$3:$AA$1315,DataRegularSeason20242025!$B$3:$B$1315, "&lt;=" &amp; DZ$1, DataRegularSeason20242025!$D$3:$D$1315, $A44)+SUMIFS(DataRegularSeason20242025!$AB$3:$AB$1315,DataRegularSeason20242025!$B$3:$B$1315, "&lt;=" &amp; DZ$1, DataRegularSeason20242025!$E$3:$E$1315, $A44)</f>
        <v>5</v>
      </c>
      <c r="EA44">
        <f>SUMIFS(DataRegularSeason20242025!$AA$3:$AA$1315,DataRegularSeason20242025!$B$3:$B$1315, "&lt;=" &amp; EA$1, DataRegularSeason20242025!$D$3:$D$1315, $A44)+SUMIFS(DataRegularSeason20242025!$AB$3:$AB$1315,DataRegularSeason20242025!$B$3:$B$1315, "&lt;=" &amp; EA$1, DataRegularSeason20242025!$E$3:$E$1315, $A44)</f>
        <v>5</v>
      </c>
      <c r="EB44">
        <f>SUMIFS(DataRegularSeason20242025!$AA$3:$AA$1315,DataRegularSeason20242025!$B$3:$B$1315, "&lt;=" &amp; EB$1, DataRegularSeason20242025!$D$3:$D$1315, $A44)+SUMIFS(DataRegularSeason20242025!$AB$3:$AB$1315,DataRegularSeason20242025!$B$3:$B$1315, "&lt;=" &amp; EB$1, DataRegularSeason20242025!$E$3:$E$1315, $A44)</f>
        <v>5</v>
      </c>
      <c r="EC44">
        <f>SUMIFS(DataRegularSeason20242025!$AA$3:$AA$1315,DataRegularSeason20242025!$B$3:$B$1315, "&lt;=" &amp; EC$1, DataRegularSeason20242025!$D$3:$D$1315, $A44)+SUMIFS(DataRegularSeason20242025!$AB$3:$AB$1315,DataRegularSeason20242025!$B$3:$B$1315, "&lt;=" &amp; EC$1, DataRegularSeason20242025!$E$3:$E$1315, $A44)</f>
        <v>5</v>
      </c>
      <c r="ED44">
        <f>SUMIFS(DataRegularSeason20242025!$AA$3:$AA$1315,DataRegularSeason20242025!$B$3:$B$1315, "&lt;=" &amp; ED$1, DataRegularSeason20242025!$D$3:$D$1315, $A44)+SUMIFS(DataRegularSeason20242025!$AB$3:$AB$1315,DataRegularSeason20242025!$B$3:$B$1315, "&lt;=" &amp; ED$1, DataRegularSeason20242025!$E$3:$E$1315, $A44)</f>
        <v>5</v>
      </c>
      <c r="EE44">
        <f>SUMIFS(DataRegularSeason20242025!$AA$3:$AA$1315,DataRegularSeason20242025!$B$3:$B$1315, "&lt;=" &amp; EE$1, DataRegularSeason20242025!$D$3:$D$1315, $A44)+SUMIFS(DataRegularSeason20242025!$AB$3:$AB$1315,DataRegularSeason20242025!$B$3:$B$1315, "&lt;=" &amp; EE$1, DataRegularSeason20242025!$E$3:$E$1315, $A44)</f>
        <v>5</v>
      </c>
      <c r="EF44">
        <f>SUMIFS(DataRegularSeason20242025!$AA$3:$AA$1315,DataRegularSeason20242025!$B$3:$B$1315, "&lt;=" &amp; EF$1, DataRegularSeason20242025!$D$3:$D$1315, $A44)+SUMIFS(DataRegularSeason20242025!$AB$3:$AB$1315,DataRegularSeason20242025!$B$3:$B$1315, "&lt;=" &amp; EF$1, DataRegularSeason20242025!$E$3:$E$1315, $A44)</f>
        <v>5</v>
      </c>
      <c r="EG44">
        <f>SUMIFS(DataRegularSeason20242025!$AA$3:$AA$1315,DataRegularSeason20242025!$B$3:$B$1315, "&lt;=" &amp; EG$1, DataRegularSeason20242025!$D$3:$D$1315, $A44)+SUMIFS(DataRegularSeason20242025!$AB$3:$AB$1315,DataRegularSeason20242025!$B$3:$B$1315, "&lt;=" &amp; EG$1, DataRegularSeason20242025!$E$3:$E$1315, $A44)</f>
        <v>5</v>
      </c>
      <c r="EH44">
        <f>SUMIFS(DataRegularSeason20242025!$AA$3:$AA$1315,DataRegularSeason20242025!$B$3:$B$1315, "&lt;=" &amp; EH$1, DataRegularSeason20242025!$D$3:$D$1315, $A44)+SUMIFS(DataRegularSeason20242025!$AB$3:$AB$1315,DataRegularSeason20242025!$B$3:$B$1315, "&lt;=" &amp; EH$1, DataRegularSeason20242025!$E$3:$E$1315, $A44)</f>
        <v>5</v>
      </c>
      <c r="EI44">
        <f>SUMIFS(DataRegularSeason20242025!$AA$3:$AA$1315,DataRegularSeason20242025!$B$3:$B$1315, "&lt;=" &amp; EI$1, DataRegularSeason20242025!$D$3:$D$1315, $A44)+SUMIFS(DataRegularSeason20242025!$AB$3:$AB$1315,DataRegularSeason20242025!$B$3:$B$1315, "&lt;=" &amp; EI$1, DataRegularSeason20242025!$E$3:$E$1315, $A44)</f>
        <v>5</v>
      </c>
      <c r="EJ44">
        <f>SUMIFS(DataRegularSeason20242025!$AA$3:$AA$1315,DataRegularSeason20242025!$B$3:$B$1315, "&lt;=" &amp; EJ$1, DataRegularSeason20242025!$D$3:$D$1315, $A44)+SUMIFS(DataRegularSeason20242025!$AB$3:$AB$1315,DataRegularSeason20242025!$B$3:$B$1315, "&lt;=" &amp; EJ$1, DataRegularSeason20242025!$E$3:$E$1315, $A44)</f>
        <v>5</v>
      </c>
      <c r="EK44">
        <f>SUMIFS(DataRegularSeason20242025!$AA$3:$AA$1315,DataRegularSeason20242025!$B$3:$B$1315, "&lt;=" &amp; EK$1, DataRegularSeason20242025!$D$3:$D$1315, $A44)+SUMIFS(DataRegularSeason20242025!$AB$3:$AB$1315,DataRegularSeason20242025!$B$3:$B$1315, "&lt;=" &amp; EK$1, DataRegularSeason20242025!$E$3:$E$1315, $A44)</f>
        <v>5</v>
      </c>
      <c r="EL44">
        <f>SUMIFS(DataRegularSeason20242025!$AA$3:$AA$1315,DataRegularSeason20242025!$B$3:$B$1315, "&lt;=" &amp; EL$1, DataRegularSeason20242025!$D$3:$D$1315, $A44)+SUMIFS(DataRegularSeason20242025!$AB$3:$AB$1315,DataRegularSeason20242025!$B$3:$B$1315, "&lt;=" &amp; EL$1, DataRegularSeason20242025!$E$3:$E$1315, $A44)</f>
        <v>5</v>
      </c>
      <c r="EM44">
        <f>SUMIFS(DataRegularSeason20242025!$AA$3:$AA$1315,DataRegularSeason20242025!$B$3:$B$1315, "&lt;=" &amp; EM$1, DataRegularSeason20242025!$D$3:$D$1315, $A44)+SUMIFS(DataRegularSeason20242025!$AB$3:$AB$1315,DataRegularSeason20242025!$B$3:$B$1315, "&lt;=" &amp; EM$1, DataRegularSeason20242025!$E$3:$E$1315, $A44)</f>
        <v>5</v>
      </c>
      <c r="EN44">
        <f>SUMIFS(DataRegularSeason20242025!$AA$3:$AA$1315,DataRegularSeason20242025!$B$3:$B$1315, "&lt;=" &amp; EN$1, DataRegularSeason20242025!$D$3:$D$1315, $A44)+SUMIFS(DataRegularSeason20242025!$AB$3:$AB$1315,DataRegularSeason20242025!$B$3:$B$1315, "&lt;=" &amp; EN$1, DataRegularSeason20242025!$E$3:$E$1315, $A44)</f>
        <v>5</v>
      </c>
      <c r="EO44">
        <f>SUMIFS(DataRegularSeason20242025!$AA$3:$AA$1315,DataRegularSeason20242025!$B$3:$B$1315, "&lt;=" &amp; EO$1, DataRegularSeason20242025!$D$3:$D$1315, $A44)+SUMIFS(DataRegularSeason20242025!$AB$3:$AB$1315,DataRegularSeason20242025!$B$3:$B$1315, "&lt;=" &amp; EO$1, DataRegularSeason20242025!$E$3:$E$1315, $A44)</f>
        <v>5</v>
      </c>
      <c r="EP44">
        <f>SUMIFS(DataRegularSeason20242025!$AA$3:$AA$1315,DataRegularSeason20242025!$B$3:$B$1315, "&lt;=" &amp; EP$1, DataRegularSeason20242025!$D$3:$D$1315, $A44)+SUMIFS(DataRegularSeason20242025!$AB$3:$AB$1315,DataRegularSeason20242025!$B$3:$B$1315, "&lt;=" &amp; EP$1, DataRegularSeason20242025!$E$3:$E$1315, $A44)</f>
        <v>5</v>
      </c>
      <c r="EQ44">
        <f>SUMIFS(DataRegularSeason20242025!$AA$3:$AA$1315,DataRegularSeason20242025!$B$3:$B$1315, "&lt;=" &amp; EQ$1, DataRegularSeason20242025!$D$3:$D$1315, $A44)+SUMIFS(DataRegularSeason20242025!$AB$3:$AB$1315,DataRegularSeason20242025!$B$3:$B$1315, "&lt;=" &amp; EQ$1, DataRegularSeason20242025!$E$3:$E$1315, $A44)</f>
        <v>5</v>
      </c>
      <c r="ER44">
        <f>SUMIFS(DataRegularSeason20242025!$AA$3:$AA$1315,DataRegularSeason20242025!$B$3:$B$1315, "&lt;=" &amp; ER$1, DataRegularSeason20242025!$D$3:$D$1315, $A44)+SUMIFS(DataRegularSeason20242025!$AB$3:$AB$1315,DataRegularSeason20242025!$B$3:$B$1315, "&lt;=" &amp; ER$1, DataRegularSeason20242025!$E$3:$E$1315, $A44)</f>
        <v>5</v>
      </c>
      <c r="ES44">
        <f>SUMIFS(DataRegularSeason20242025!$AA$3:$AA$1315,DataRegularSeason20242025!$B$3:$B$1315, "&lt;=" &amp; ES$1, DataRegularSeason20242025!$D$3:$D$1315, $A44)+SUMIFS(DataRegularSeason20242025!$AB$3:$AB$1315,DataRegularSeason20242025!$B$3:$B$1315, "&lt;=" &amp; ES$1, DataRegularSeason20242025!$E$3:$E$1315, $A44)</f>
        <v>5</v>
      </c>
      <c r="ET44">
        <f>SUMIFS(DataRegularSeason20242025!$AA$3:$AA$1315,DataRegularSeason20242025!$B$3:$B$1315, "&lt;=" &amp; ET$1, DataRegularSeason20242025!$D$3:$D$1315, $A44)+SUMIFS(DataRegularSeason20242025!$AB$3:$AB$1315,DataRegularSeason20242025!$B$3:$B$1315, "&lt;=" &amp; ET$1, DataRegularSeason20242025!$E$3:$E$1315, $A44)</f>
        <v>5</v>
      </c>
      <c r="EU44">
        <f>SUMIFS(DataRegularSeason20242025!$AA$3:$AA$1315,DataRegularSeason20242025!$B$3:$B$1315, "&lt;=" &amp; EU$1, DataRegularSeason20242025!$D$3:$D$1315, $A44)+SUMIFS(DataRegularSeason20242025!$AB$3:$AB$1315,DataRegularSeason20242025!$B$3:$B$1315, "&lt;=" &amp; EU$1, DataRegularSeason20242025!$E$3:$E$1315, $A44)</f>
        <v>5</v>
      </c>
      <c r="EV44">
        <f>SUMIFS(DataRegularSeason20242025!$AA$3:$AA$1315,DataRegularSeason20242025!$B$3:$B$1315, "&lt;=" &amp; EV$1, DataRegularSeason20242025!$D$3:$D$1315, $A44)+SUMIFS(DataRegularSeason20242025!$AB$3:$AB$1315,DataRegularSeason20242025!$B$3:$B$1315, "&lt;=" &amp; EV$1, DataRegularSeason20242025!$E$3:$E$1315, $A44)</f>
        <v>5</v>
      </c>
      <c r="EW44">
        <f>SUMIFS(DataRegularSeason20242025!$AA$3:$AA$1315,DataRegularSeason20242025!$B$3:$B$1315, "&lt;=" &amp; EW$1, DataRegularSeason20242025!$D$3:$D$1315, $A44)+SUMIFS(DataRegularSeason20242025!$AB$3:$AB$1315,DataRegularSeason20242025!$B$3:$B$1315, "&lt;=" &amp; EW$1, DataRegularSeason20242025!$E$3:$E$1315, $A44)</f>
        <v>5</v>
      </c>
      <c r="EX44">
        <f>SUMIFS(DataRegularSeason20242025!$AA$3:$AA$1315,DataRegularSeason20242025!$B$3:$B$1315, "&lt;=" &amp; EX$1, DataRegularSeason20242025!$D$3:$D$1315, $A44)+SUMIFS(DataRegularSeason20242025!$AB$3:$AB$1315,DataRegularSeason20242025!$B$3:$B$1315, "&lt;=" &amp; EX$1, DataRegularSeason20242025!$E$3:$E$1315, $A44)</f>
        <v>5</v>
      </c>
      <c r="EY44">
        <f>SUMIFS(DataRegularSeason20242025!$AA$3:$AA$1315,DataRegularSeason20242025!$B$3:$B$1315, "&lt;=" &amp; EY$1, DataRegularSeason20242025!$D$3:$D$1315, $A44)+SUMIFS(DataRegularSeason20242025!$AB$3:$AB$1315,DataRegularSeason20242025!$B$3:$B$1315, "&lt;=" &amp; EY$1, DataRegularSeason20242025!$E$3:$E$1315, $A44)</f>
        <v>5</v>
      </c>
      <c r="EZ44">
        <f>SUMIFS(DataRegularSeason20242025!$AA$3:$AA$1315,DataRegularSeason20242025!$B$3:$B$1315, "&lt;=" &amp; EZ$1, DataRegularSeason20242025!$D$3:$D$1315, $A44)+SUMIFS(DataRegularSeason20242025!$AB$3:$AB$1315,DataRegularSeason20242025!$B$3:$B$1315, "&lt;=" &amp; EZ$1, DataRegularSeason20242025!$E$3:$E$1315, $A44)</f>
        <v>5</v>
      </c>
      <c r="FA44">
        <f>SUMIFS(DataRegularSeason20242025!$AA$3:$AA$1315,DataRegularSeason20242025!$B$3:$B$1315, "&lt;=" &amp; FA$1, DataRegularSeason20242025!$D$3:$D$1315, $A44)+SUMIFS(DataRegularSeason20242025!$AB$3:$AB$1315,DataRegularSeason20242025!$B$3:$B$1315, "&lt;=" &amp; FA$1, DataRegularSeason20242025!$E$3:$E$1315, $A44)</f>
        <v>5</v>
      </c>
      <c r="FB44">
        <f>SUMIFS(DataRegularSeason20242025!$AA$3:$AA$1315,DataRegularSeason20242025!$B$3:$B$1315, "&lt;=" &amp; FB$1, DataRegularSeason20242025!$D$3:$D$1315, $A44)+SUMIFS(DataRegularSeason20242025!$AB$3:$AB$1315,DataRegularSeason20242025!$B$3:$B$1315, "&lt;=" &amp; FB$1, DataRegularSeason20242025!$E$3:$E$1315, $A44)</f>
        <v>5</v>
      </c>
      <c r="FC44">
        <f>SUMIFS(DataRegularSeason20242025!$AA$3:$AA$1315,DataRegularSeason20242025!$B$3:$B$1315, "&lt;=" &amp; FC$1, DataRegularSeason20242025!$D$3:$D$1315, $A44)+SUMIFS(DataRegularSeason20242025!$AB$3:$AB$1315,DataRegularSeason20242025!$B$3:$B$1315, "&lt;=" &amp; FC$1, DataRegularSeason20242025!$E$3:$E$1315, $A44)</f>
        <v>5</v>
      </c>
      <c r="FD44">
        <f>SUMIFS(DataRegularSeason20242025!$AA$3:$AA$1315,DataRegularSeason20242025!$B$3:$B$1315, "&lt;=" &amp; FD$1, DataRegularSeason20242025!$D$3:$D$1315, $A44)+SUMIFS(DataRegularSeason20242025!$AB$3:$AB$1315,DataRegularSeason20242025!$B$3:$B$1315, "&lt;=" &amp; FD$1, DataRegularSeason20242025!$E$3:$E$1315, $A44)</f>
        <v>5</v>
      </c>
      <c r="FE44">
        <f>SUMIFS(DataRegularSeason20242025!$AA$3:$AA$1315,DataRegularSeason20242025!$B$3:$B$1315, "&lt;=" &amp; FE$1, DataRegularSeason20242025!$D$3:$D$1315, $A44)+SUMIFS(DataRegularSeason20242025!$AB$3:$AB$1315,DataRegularSeason20242025!$B$3:$B$1315, "&lt;=" &amp; FE$1, DataRegularSeason20242025!$E$3:$E$1315, $A44)</f>
        <v>5</v>
      </c>
      <c r="FF44">
        <f>SUMIFS(DataRegularSeason20242025!$AA$3:$AA$1315,DataRegularSeason20242025!$B$3:$B$1315, "&lt;=" &amp; FF$1, DataRegularSeason20242025!$D$3:$D$1315, $A44)+SUMIFS(DataRegularSeason20242025!$AB$3:$AB$1315,DataRegularSeason20242025!$B$3:$B$1315, "&lt;=" &amp; FF$1, DataRegularSeason20242025!$E$3:$E$1315, $A44)</f>
        <v>5</v>
      </c>
      <c r="FG44">
        <f>SUMIFS(DataRegularSeason20242025!$AA$3:$AA$1315,DataRegularSeason20242025!$B$3:$B$1315, "&lt;=" &amp; FG$1, DataRegularSeason20242025!$D$3:$D$1315, $A44)+SUMIFS(DataRegularSeason20242025!$AB$3:$AB$1315,DataRegularSeason20242025!$B$3:$B$1315, "&lt;=" &amp; FG$1, DataRegularSeason20242025!$E$3:$E$1315, $A44)</f>
        <v>5</v>
      </c>
      <c r="FH44">
        <f>SUMIFS(DataRegularSeason20242025!$AA$3:$AA$1315,DataRegularSeason20242025!$B$3:$B$1315, "&lt;=" &amp; FH$1, DataRegularSeason20242025!$D$3:$D$1315, $A44)+SUMIFS(DataRegularSeason20242025!$AB$3:$AB$1315,DataRegularSeason20242025!$B$3:$B$1315, "&lt;=" &amp; FH$1, DataRegularSeason20242025!$E$3:$E$1315, $A44)</f>
        <v>5</v>
      </c>
      <c r="FI44">
        <f>SUMIFS(DataRegularSeason20242025!$AA$3:$AA$1315,DataRegularSeason20242025!$B$3:$B$1315, "&lt;=" &amp; FI$1, DataRegularSeason20242025!$D$3:$D$1315, $A44)+SUMIFS(DataRegularSeason20242025!$AB$3:$AB$1315,DataRegularSeason20242025!$B$3:$B$1315, "&lt;=" &amp; FI$1, DataRegularSeason20242025!$E$3:$E$1315, $A44)</f>
        <v>5</v>
      </c>
      <c r="FJ44">
        <f>SUMIFS(DataRegularSeason20242025!$AA$3:$AA$1315,DataRegularSeason20242025!$B$3:$B$1315, "&lt;=" &amp; FJ$1, DataRegularSeason20242025!$D$3:$D$1315, $A44)+SUMIFS(DataRegularSeason20242025!$AB$3:$AB$1315,DataRegularSeason20242025!$B$3:$B$1315, "&lt;=" &amp; FJ$1, DataRegularSeason20242025!$E$3:$E$1315, $A44)</f>
        <v>5</v>
      </c>
      <c r="FK44">
        <f>SUMIFS(DataRegularSeason20242025!$AA$3:$AA$1315,DataRegularSeason20242025!$B$3:$B$1315, "&lt;=" &amp; FK$1, DataRegularSeason20242025!$D$3:$D$1315, $A44)+SUMIFS(DataRegularSeason20242025!$AB$3:$AB$1315,DataRegularSeason20242025!$B$3:$B$1315, "&lt;=" &amp; FK$1, DataRegularSeason20242025!$E$3:$E$1315, $A44)</f>
        <v>5</v>
      </c>
      <c r="FL44">
        <f>SUMIFS(DataRegularSeason20242025!$AA$3:$AA$1315,DataRegularSeason20242025!$B$3:$B$1315, "&lt;=" &amp; FL$1, DataRegularSeason20242025!$D$3:$D$1315, $A44)+SUMIFS(DataRegularSeason20242025!$AB$3:$AB$1315,DataRegularSeason20242025!$B$3:$B$1315, "&lt;=" &amp; FL$1, DataRegularSeason20242025!$E$3:$E$1315, $A44)</f>
        <v>5</v>
      </c>
      <c r="FM44">
        <f>SUMIFS(DataRegularSeason20242025!$AA$3:$AA$1315,DataRegularSeason20242025!$B$3:$B$1315, "&lt;=" &amp; FM$1, DataRegularSeason20242025!$D$3:$D$1315, $A44)+SUMIFS(DataRegularSeason20242025!$AB$3:$AB$1315,DataRegularSeason20242025!$B$3:$B$1315, "&lt;=" &amp; FM$1, DataRegularSeason20242025!$E$3:$E$1315, $A44)</f>
        <v>5</v>
      </c>
      <c r="FN44">
        <f>SUMIFS(DataRegularSeason20242025!$AA$3:$AA$1315,DataRegularSeason20242025!$B$3:$B$1315, "&lt;=" &amp; FN$1, DataRegularSeason20242025!$D$3:$D$1315, $A44)+SUMIFS(DataRegularSeason20242025!$AB$3:$AB$1315,DataRegularSeason20242025!$B$3:$B$1315, "&lt;=" &amp; FN$1, DataRegularSeason20242025!$E$3:$E$1315, $A44)</f>
        <v>5</v>
      </c>
      <c r="FO44">
        <f>SUMIFS(DataRegularSeason20242025!$AA$3:$AA$1315,DataRegularSeason20242025!$B$3:$B$1315, "&lt;=" &amp; FO$1, DataRegularSeason20242025!$D$3:$D$1315, $A44)+SUMIFS(DataRegularSeason20242025!$AB$3:$AB$1315,DataRegularSeason20242025!$B$3:$B$1315, "&lt;=" &amp; FO$1, DataRegularSeason20242025!$E$3:$E$1315, $A44)</f>
        <v>5</v>
      </c>
      <c r="FP44">
        <f>SUMIFS(DataRegularSeason20242025!$AA$3:$AA$1315,DataRegularSeason20242025!$B$3:$B$1315, "&lt;=" &amp; FP$1, DataRegularSeason20242025!$D$3:$D$1315, $A44)+SUMIFS(DataRegularSeason20242025!$AB$3:$AB$1315,DataRegularSeason20242025!$B$3:$B$1315, "&lt;=" &amp; FP$1, DataRegularSeason20242025!$E$3:$E$1315, $A44)</f>
        <v>5</v>
      </c>
      <c r="FQ44">
        <f>SUMIFS(DataRegularSeason20242025!$AA$3:$AA$1315,DataRegularSeason20242025!$B$3:$B$1315, "&lt;=" &amp; FQ$1, DataRegularSeason20242025!$D$3:$D$1315, $A44)+SUMIFS(DataRegularSeason20242025!$AB$3:$AB$1315,DataRegularSeason20242025!$B$3:$B$1315, "&lt;=" &amp; FQ$1, DataRegularSeason20242025!$E$3:$E$1315, $A44)</f>
        <v>5</v>
      </c>
      <c r="FR44">
        <f>SUMIFS(DataRegularSeason20242025!$AA$3:$AA$1315,DataRegularSeason20242025!$B$3:$B$1315, "&lt;=" &amp; FR$1, DataRegularSeason20242025!$D$3:$D$1315, $A44)+SUMIFS(DataRegularSeason20242025!$AB$3:$AB$1315,DataRegularSeason20242025!$B$3:$B$1315, "&lt;=" &amp; FR$1, DataRegularSeason20242025!$E$3:$E$1315, $A44)</f>
        <v>5</v>
      </c>
      <c r="FS44">
        <f>SUMIFS(DataRegularSeason20242025!$AA$3:$AA$1315,DataRegularSeason20242025!$B$3:$B$1315, "&lt;=" &amp; FS$1, DataRegularSeason20242025!$D$3:$D$1315, $A44)+SUMIFS(DataRegularSeason20242025!$AB$3:$AB$1315,DataRegularSeason20242025!$B$3:$B$1315, "&lt;=" &amp; FS$1, DataRegularSeason20242025!$E$3:$E$1315, $A44)</f>
        <v>5</v>
      </c>
      <c r="FT44">
        <f>SUMIFS(DataRegularSeason20242025!$AA$3:$AA$1315,DataRegularSeason20242025!$B$3:$B$1315, "&lt;=" &amp; FT$1, DataRegularSeason20242025!$D$3:$D$1315, $A44)+SUMIFS(DataRegularSeason20242025!$AB$3:$AB$1315,DataRegularSeason20242025!$B$3:$B$1315, "&lt;=" &amp; FT$1, DataRegularSeason20242025!$E$3:$E$1315, $A44)</f>
        <v>5</v>
      </c>
      <c r="FU44">
        <f>SUMIFS(DataRegularSeason20242025!$AA$3:$AA$1315,DataRegularSeason20242025!$B$3:$B$1315, "&lt;=" &amp; FU$1, DataRegularSeason20242025!$D$3:$D$1315, $A44)+SUMIFS(DataRegularSeason20242025!$AB$3:$AB$1315,DataRegularSeason20242025!$B$3:$B$1315, "&lt;=" &amp; FU$1, DataRegularSeason20242025!$E$3:$E$1315, $A44)</f>
        <v>5</v>
      </c>
      <c r="FV44">
        <f>SUMIFS(DataRegularSeason20242025!$AA$3:$AA$1315,DataRegularSeason20242025!$B$3:$B$1315, "&lt;=" &amp; FV$1, DataRegularSeason20242025!$D$3:$D$1315, $A44)+SUMIFS(DataRegularSeason20242025!$AB$3:$AB$1315,DataRegularSeason20242025!$B$3:$B$1315, "&lt;=" &amp; FV$1, DataRegularSeason20242025!$E$3:$E$1315, $A44)</f>
        <v>5</v>
      </c>
      <c r="FW44">
        <f>SUMIFS(DataRegularSeason20242025!$AA$3:$AA$1315,DataRegularSeason20242025!$B$3:$B$1315, "&lt;=" &amp; FW$1, DataRegularSeason20242025!$D$3:$D$1315, $A44)+SUMIFS(DataRegularSeason20242025!$AB$3:$AB$1315,DataRegularSeason20242025!$B$3:$B$1315, "&lt;=" &amp; FW$1, DataRegularSeason20242025!$E$3:$E$1315, $A44)</f>
        <v>5</v>
      </c>
      <c r="FX44">
        <f>SUMIFS(DataRegularSeason20242025!$AA$3:$AA$1315,DataRegularSeason20242025!$B$3:$B$1315, "&lt;=" &amp; FX$1, DataRegularSeason20242025!$D$3:$D$1315, $A44)+SUMIFS(DataRegularSeason20242025!$AB$3:$AB$1315,DataRegularSeason20242025!$B$3:$B$1315, "&lt;=" &amp; FX$1, DataRegularSeason20242025!$E$3:$E$1315, $A44)</f>
        <v>5</v>
      </c>
      <c r="FY44">
        <f>SUMIFS(DataRegularSeason20242025!$AA$3:$AA$1315,DataRegularSeason20242025!$B$3:$B$1315, "&lt;=" &amp; FY$1, DataRegularSeason20242025!$D$3:$D$1315, $A44)+SUMIFS(DataRegularSeason20242025!$AB$3:$AB$1315,DataRegularSeason20242025!$B$3:$B$1315, "&lt;=" &amp; FY$1, DataRegularSeason20242025!$E$3:$E$1315, $A44)</f>
        <v>5</v>
      </c>
      <c r="FZ44">
        <f>SUMIFS(DataRegularSeason20242025!$AA$3:$AA$1315,DataRegularSeason20242025!$B$3:$B$1315, "&lt;=" &amp; FZ$1, DataRegularSeason20242025!$D$3:$D$1315, $A44)+SUMIFS(DataRegularSeason20242025!$AB$3:$AB$1315,DataRegularSeason20242025!$B$3:$B$1315, "&lt;=" &amp; FZ$1, DataRegularSeason20242025!$E$3:$E$1315, $A44)</f>
        <v>5</v>
      </c>
      <c r="GA44">
        <f>SUMIFS(DataRegularSeason20242025!$AA$3:$AA$1315,DataRegularSeason20242025!$B$3:$B$1315, "&lt;=" &amp; GA$1, DataRegularSeason20242025!$D$3:$D$1315, $A44)+SUMIFS(DataRegularSeason20242025!$AB$3:$AB$1315,DataRegularSeason20242025!$B$3:$B$1315, "&lt;=" &amp; GA$1, DataRegularSeason20242025!$E$3:$E$1315, $A44)</f>
        <v>5</v>
      </c>
      <c r="GB44">
        <f>SUMIFS(DataRegularSeason20242025!$AA$3:$AA$1315,DataRegularSeason20242025!$B$3:$B$1315, "&lt;=" &amp; GB$1, DataRegularSeason20242025!$D$3:$D$1315, $A44)+SUMIFS(DataRegularSeason20242025!$AB$3:$AB$1315,DataRegularSeason20242025!$B$3:$B$1315, "&lt;=" &amp; GB$1, DataRegularSeason20242025!$E$3:$E$1315, $A44)</f>
        <v>5</v>
      </c>
      <c r="GC44">
        <f>SUMIFS(DataRegularSeason20242025!$AA$3:$AA$1315,DataRegularSeason20242025!$B$3:$B$1315, "&lt;=" &amp; GC$1, DataRegularSeason20242025!$D$3:$D$1315, $A44)+SUMIFS(DataRegularSeason20242025!$AB$3:$AB$1315,DataRegularSeason20242025!$B$3:$B$1315, "&lt;=" &amp; GC$1, DataRegularSeason20242025!$E$3:$E$1315, $A44)</f>
        <v>5</v>
      </c>
      <c r="GD44">
        <f>SUMIFS(DataRegularSeason20242025!$AA$3:$AA$1315,DataRegularSeason20242025!$B$3:$B$1315, "&lt;=" &amp; GD$1, DataRegularSeason20242025!$D$3:$D$1315, $A44)+SUMIFS(DataRegularSeason20242025!$AB$3:$AB$1315,DataRegularSeason20242025!$B$3:$B$1315, "&lt;=" &amp; GD$1, DataRegularSeason20242025!$E$3:$E$1315, $A44)</f>
        <v>5</v>
      </c>
      <c r="GE44">
        <f>SUMIFS(DataRegularSeason20242025!$AA$3:$AA$1315,DataRegularSeason20242025!$B$3:$B$1315, "&lt;=" &amp; GE$1, DataRegularSeason20242025!$D$3:$D$1315, $A44)+SUMIFS(DataRegularSeason20242025!$AB$3:$AB$1315,DataRegularSeason20242025!$B$3:$B$1315, "&lt;=" &amp; GE$1, DataRegularSeason20242025!$E$3:$E$1315, $A44)</f>
        <v>5</v>
      </c>
      <c r="GF44">
        <f>SUMIFS(DataRegularSeason20242025!$AA$3:$AA$1315,DataRegularSeason20242025!$B$3:$B$1315, "&lt;=" &amp; GF$1, DataRegularSeason20242025!$D$3:$D$1315, $A44)+SUMIFS(DataRegularSeason20242025!$AB$3:$AB$1315,DataRegularSeason20242025!$B$3:$B$1315, "&lt;=" &amp; GF$1, DataRegularSeason20242025!$E$3:$E$1315, $A44)</f>
        <v>5</v>
      </c>
      <c r="GG44">
        <f>SUMIFS(DataRegularSeason20242025!$AA$3:$AA$1315,DataRegularSeason20242025!$B$3:$B$1315, "&lt;=" &amp; GG$1, DataRegularSeason20242025!$D$3:$D$1315, $A44)+SUMIFS(DataRegularSeason20242025!$AB$3:$AB$1315,DataRegularSeason20242025!$B$3:$B$1315, "&lt;=" &amp; GG$1, DataRegularSeason20242025!$E$3:$E$1315, $A44)</f>
        <v>5</v>
      </c>
      <c r="GH44">
        <f>SUMIFS(DataRegularSeason20242025!$AA$3:$AA$1315,DataRegularSeason20242025!$B$3:$B$1315, "&lt;=" &amp; GH$1, DataRegularSeason20242025!$D$3:$D$1315, $A44)+SUMIFS(DataRegularSeason20242025!$AB$3:$AB$1315,DataRegularSeason20242025!$B$3:$B$1315, "&lt;=" &amp; GH$1, DataRegularSeason20242025!$E$3:$E$1315, $A44)</f>
        <v>5</v>
      </c>
      <c r="GI44">
        <f>SUMIFS(DataRegularSeason20242025!$AA$3:$AA$1315,DataRegularSeason20242025!$B$3:$B$1315, "&lt;=" &amp; GI$1, DataRegularSeason20242025!$D$3:$D$1315, $A44)+SUMIFS(DataRegularSeason20242025!$AB$3:$AB$1315,DataRegularSeason20242025!$B$3:$B$1315, "&lt;=" &amp; GI$1, DataRegularSeason20242025!$E$3:$E$1315, $A44)</f>
        <v>5</v>
      </c>
      <c r="GJ44">
        <f>SUMIFS(DataRegularSeason20242025!$AA$3:$AA$1315,DataRegularSeason20242025!$B$3:$B$1315, "&lt;=" &amp; GJ$1, DataRegularSeason20242025!$D$3:$D$1315, $A44)+SUMIFS(DataRegularSeason20242025!$AB$3:$AB$1315,DataRegularSeason20242025!$B$3:$B$1315, "&lt;=" &amp; GJ$1, DataRegularSeason20242025!$E$3:$E$1315, $A44)</f>
        <v>5</v>
      </c>
      <c r="GK44">
        <f>SUMIFS(DataRegularSeason20242025!$AA$3:$AA$1315,DataRegularSeason20242025!$B$3:$B$1315, "&lt;=" &amp; GK$1, DataRegularSeason20242025!$D$3:$D$1315, $A44)+SUMIFS(DataRegularSeason20242025!$AB$3:$AB$1315,DataRegularSeason20242025!$B$3:$B$1315, "&lt;=" &amp; GK$1, DataRegularSeason20242025!$E$3:$E$1315, $A44)</f>
        <v>5</v>
      </c>
      <c r="GL44">
        <f>SUMIFS(DataRegularSeason20242025!$AA$3:$AA$1315,DataRegularSeason20242025!$B$3:$B$1315, "&lt;=" &amp; GL$1, DataRegularSeason20242025!$D$3:$D$1315, $A44)+SUMIFS(DataRegularSeason20242025!$AB$3:$AB$1315,DataRegularSeason20242025!$B$3:$B$1315, "&lt;=" &amp; GL$1, DataRegularSeason20242025!$E$3:$E$1315, $A44)</f>
        <v>5</v>
      </c>
      <c r="GM44">
        <f>SUMIFS(DataRegularSeason20242025!$AA$3:$AA$1315,DataRegularSeason20242025!$B$3:$B$1315, "&lt;=" &amp; GM$1, DataRegularSeason20242025!$D$3:$D$1315, $A44)+SUMIFS(DataRegularSeason20242025!$AB$3:$AB$1315,DataRegularSeason20242025!$B$3:$B$1315, "&lt;=" &amp; GM$1, DataRegularSeason20242025!$E$3:$E$1315, $A44)</f>
        <v>5</v>
      </c>
      <c r="GN44">
        <f>SUMIFS(DataRegularSeason20242025!$AA$3:$AA$1315,DataRegularSeason20242025!$B$3:$B$1315, "&lt;=" &amp; GN$1, DataRegularSeason20242025!$D$3:$D$1315, $A44)+SUMIFS(DataRegularSeason20242025!$AB$3:$AB$1315,DataRegularSeason20242025!$B$3:$B$1315, "&lt;=" &amp; GN$1, DataRegularSeason20242025!$E$3:$E$1315, $A44)</f>
        <v>5</v>
      </c>
      <c r="GO44">
        <f>SUMIFS(DataRegularSeason20242025!$AA$3:$AA$1315,DataRegularSeason20242025!$B$3:$B$1315, "&lt;=" &amp; GO$1, DataRegularSeason20242025!$D$3:$D$1315, $A44)+SUMIFS(DataRegularSeason20242025!$AB$3:$AB$1315,DataRegularSeason20242025!$B$3:$B$1315, "&lt;=" &amp; GO$1, DataRegularSeason20242025!$E$3:$E$1315, $A44)</f>
        <v>5</v>
      </c>
      <c r="GP44">
        <f>SUMIFS(DataRegularSeason20242025!$AA$3:$AA$1315,DataRegularSeason20242025!$B$3:$B$1315, "&lt;=" &amp; GP$1, DataRegularSeason20242025!$D$3:$D$1315, $A44)+SUMIFS(DataRegularSeason20242025!$AB$3:$AB$1315,DataRegularSeason20242025!$B$3:$B$1315, "&lt;=" &amp; GP$1, DataRegularSeason20242025!$E$3:$E$1315, $A44)</f>
        <v>5</v>
      </c>
      <c r="GQ44">
        <f>SUMIFS(DataRegularSeason20242025!$AA$3:$AA$1315,DataRegularSeason20242025!$B$3:$B$1315, "&lt;=" &amp; GQ$1, DataRegularSeason20242025!$D$3:$D$1315, $A44)+SUMIFS(DataRegularSeason20242025!$AB$3:$AB$1315,DataRegularSeason20242025!$B$3:$B$1315, "&lt;=" &amp; GQ$1, DataRegularSeason20242025!$E$3:$E$1315, $A44)</f>
        <v>5</v>
      </c>
      <c r="GR44">
        <f>SUMIFS(DataRegularSeason20242025!$AA$3:$AA$1315,DataRegularSeason20242025!$B$3:$B$1315, "&lt;=" &amp; GR$1, DataRegularSeason20242025!$D$3:$D$1315, $A44)+SUMIFS(DataRegularSeason20242025!$AB$3:$AB$1315,DataRegularSeason20242025!$B$3:$B$1315, "&lt;=" &amp; GR$1, DataRegularSeason20242025!$E$3:$E$1315, $A44)</f>
        <v>5</v>
      </c>
      <c r="GS44">
        <f>SUMIFS(DataRegularSeason20242025!$AA$3:$AA$1315,DataRegularSeason20242025!$B$3:$B$1315, "&lt;=" &amp; GS$1, DataRegularSeason20242025!$D$3:$D$1315, $A44)+SUMIFS(DataRegularSeason20242025!$AB$3:$AB$1315,DataRegularSeason20242025!$B$3:$B$1315, "&lt;=" &amp; GS$1, DataRegularSeason20242025!$E$3:$E$1315, $A44)</f>
        <v>5</v>
      </c>
      <c r="GT44">
        <f>SUMIFS(DataRegularSeason20242025!$AA$3:$AA$1315,DataRegularSeason20242025!$B$3:$B$1315, "&lt;=" &amp; GT$1, DataRegularSeason20242025!$D$3:$D$1315, $A44)+SUMIFS(DataRegularSeason20242025!$AB$3:$AB$1315,DataRegularSeason20242025!$B$3:$B$1315, "&lt;=" &amp; GT$1, DataRegularSeason20242025!$E$3:$E$1315, $A44)</f>
        <v>5</v>
      </c>
      <c r="GU44">
        <f>SUMIFS(DataRegularSeason20242025!$AA$3:$AA$1315,DataRegularSeason20242025!$B$3:$B$1315, "&lt;=" &amp; GU$1, DataRegularSeason20242025!$D$3:$D$1315, $A44)+SUMIFS(DataRegularSeason20242025!$AB$3:$AB$1315,DataRegularSeason20242025!$B$3:$B$1315, "&lt;=" &amp; GU$1, DataRegularSeason20242025!$E$3:$E$1315, $A44)</f>
        <v>5</v>
      </c>
    </row>
    <row r="45" spans="1:275" x14ac:dyDescent="0.25">
      <c r="A45" t="s">
        <v>28</v>
      </c>
      <c r="B45" t="s">
        <v>91</v>
      </c>
      <c r="C45" t="s">
        <v>74</v>
      </c>
      <c r="D45">
        <f>SUMIFS(DataRegularSeason20242025!$AA$3:$AA$1315,DataRegularSeason20242025!$B$3:$B$1315, "&lt;=" &amp; D$1, DataRegularSeason20242025!$D$3:$D$1315, $A45)+SUMIFS(DataRegularSeason20242025!$AB$3:$AB$1315,DataRegularSeason20242025!$B$3:$B$1315, "&lt;=" &amp; D$1, DataRegularSeason20242025!$E$3:$E$1315, $A45)</f>
        <v>0</v>
      </c>
      <c r="E45">
        <f>SUMIFS(DataRegularSeason20242025!$AA$3:$AA$1315,DataRegularSeason20242025!$B$3:$B$1315, "&lt;=" &amp; E$1, DataRegularSeason20242025!$D$3:$D$1315, $A45)+SUMIFS(DataRegularSeason20242025!$AB$3:$AB$1315,DataRegularSeason20242025!$B$3:$B$1315, "&lt;=" &amp; E$1, DataRegularSeason20242025!$E$3:$E$1315, $A45)</f>
        <v>0</v>
      </c>
      <c r="F45">
        <f>SUMIFS(DataRegularSeason20242025!$AA$3:$AA$1315,DataRegularSeason20242025!$B$3:$B$1315, "&lt;=" &amp; F$1, DataRegularSeason20242025!$D$3:$D$1315, $A45)+SUMIFS(DataRegularSeason20242025!$AB$3:$AB$1315,DataRegularSeason20242025!$B$3:$B$1315, "&lt;=" &amp; F$1, DataRegularSeason20242025!$E$3:$E$1315, $A45)</f>
        <v>0</v>
      </c>
      <c r="G45">
        <f>SUMIFS(DataRegularSeason20242025!$AA$3:$AA$1315,DataRegularSeason20242025!$B$3:$B$1315, "&lt;=" &amp; G$1, DataRegularSeason20242025!$D$3:$D$1315, $A45)+SUMIFS(DataRegularSeason20242025!$AB$3:$AB$1315,DataRegularSeason20242025!$B$3:$B$1315, "&lt;=" &amp; G$1, DataRegularSeason20242025!$E$3:$E$1315, $A45)</f>
        <v>0</v>
      </c>
      <c r="H45">
        <f>SUMIFS(DataRegularSeason20242025!$AA$3:$AA$1315,DataRegularSeason20242025!$B$3:$B$1315, "&lt;=" &amp; H$1, DataRegularSeason20242025!$D$3:$D$1315, $A45)+SUMIFS(DataRegularSeason20242025!$AB$3:$AB$1315,DataRegularSeason20242025!$B$3:$B$1315, "&lt;=" &amp; H$1, DataRegularSeason20242025!$E$3:$E$1315, $A45)</f>
        <v>0</v>
      </c>
      <c r="I45">
        <f>SUMIFS(DataRegularSeason20242025!$AA$3:$AA$1315,DataRegularSeason20242025!$B$3:$B$1315, "&lt;=" &amp; I$1, DataRegularSeason20242025!$D$3:$D$1315, $A45)+SUMIFS(DataRegularSeason20242025!$AB$3:$AB$1315,DataRegularSeason20242025!$B$3:$B$1315, "&lt;=" &amp; I$1, DataRegularSeason20242025!$E$3:$E$1315, $A45)</f>
        <v>0</v>
      </c>
      <c r="J45">
        <f>SUMIFS(DataRegularSeason20242025!$AA$3:$AA$1315,DataRegularSeason20242025!$B$3:$B$1315, "&lt;=" &amp; J$1, DataRegularSeason20242025!$D$3:$D$1315, $A45)+SUMIFS(DataRegularSeason20242025!$AB$3:$AB$1315,DataRegularSeason20242025!$B$3:$B$1315, "&lt;=" &amp; J$1, DataRegularSeason20242025!$E$3:$E$1315, $A45)</f>
        <v>0</v>
      </c>
      <c r="K45">
        <f>SUMIFS(DataRegularSeason20242025!$AA$3:$AA$1315,DataRegularSeason20242025!$B$3:$B$1315, "&lt;=" &amp; K$1, DataRegularSeason20242025!$D$3:$D$1315, $A45)+SUMIFS(DataRegularSeason20242025!$AB$3:$AB$1315,DataRegularSeason20242025!$B$3:$B$1315, "&lt;=" &amp; K$1, DataRegularSeason20242025!$E$3:$E$1315, $A45)</f>
        <v>0</v>
      </c>
      <c r="L45">
        <f>SUMIFS(DataRegularSeason20242025!$AA$3:$AA$1315,DataRegularSeason20242025!$B$3:$B$1315, "&lt;=" &amp; L$1, DataRegularSeason20242025!$D$3:$D$1315, $A45)+SUMIFS(DataRegularSeason20242025!$AB$3:$AB$1315,DataRegularSeason20242025!$B$3:$B$1315, "&lt;=" &amp; L$1, DataRegularSeason20242025!$E$3:$E$1315, $A45)</f>
        <v>0</v>
      </c>
      <c r="M45">
        <f>SUMIFS(DataRegularSeason20242025!$AA$3:$AA$1315,DataRegularSeason20242025!$B$3:$B$1315, "&lt;=" &amp; M$1, DataRegularSeason20242025!$D$3:$D$1315, $A45)+SUMIFS(DataRegularSeason20242025!$AB$3:$AB$1315,DataRegularSeason20242025!$B$3:$B$1315, "&lt;=" &amp; M$1, DataRegularSeason20242025!$E$3:$E$1315, $A45)</f>
        <v>0</v>
      </c>
      <c r="N45">
        <f>SUMIFS(DataRegularSeason20242025!$AA$3:$AA$1315,DataRegularSeason20242025!$B$3:$B$1315, "&lt;=" &amp; N$1, DataRegularSeason20242025!$D$3:$D$1315, $A45)+SUMIFS(DataRegularSeason20242025!$AB$3:$AB$1315,DataRegularSeason20242025!$B$3:$B$1315, "&lt;=" &amp; N$1, DataRegularSeason20242025!$E$3:$E$1315, $A45)</f>
        <v>0</v>
      </c>
      <c r="O45">
        <f>SUMIFS(DataRegularSeason20242025!$AA$3:$AA$1315,DataRegularSeason20242025!$B$3:$B$1315, "&lt;=" &amp; O$1, DataRegularSeason20242025!$D$3:$D$1315, $A45)+SUMIFS(DataRegularSeason20242025!$AB$3:$AB$1315,DataRegularSeason20242025!$B$3:$B$1315, "&lt;=" &amp; O$1, DataRegularSeason20242025!$E$3:$E$1315, $A45)</f>
        <v>0</v>
      </c>
      <c r="P45">
        <f>SUMIFS(DataRegularSeason20242025!$AA$3:$AA$1315,DataRegularSeason20242025!$B$3:$B$1315, "&lt;=" &amp; P$1, DataRegularSeason20242025!$D$3:$D$1315, $A45)+SUMIFS(DataRegularSeason20242025!$AB$3:$AB$1315,DataRegularSeason20242025!$B$3:$B$1315, "&lt;=" &amp; P$1, DataRegularSeason20242025!$E$3:$E$1315, $A45)</f>
        <v>2</v>
      </c>
      <c r="Q45">
        <f>SUMIFS(DataRegularSeason20242025!$AA$3:$AA$1315,DataRegularSeason20242025!$B$3:$B$1315, "&lt;=" &amp; Q$1, DataRegularSeason20242025!$D$3:$D$1315, $A45)+SUMIFS(DataRegularSeason20242025!$AB$3:$AB$1315,DataRegularSeason20242025!$B$3:$B$1315, "&lt;=" &amp; Q$1, DataRegularSeason20242025!$E$3:$E$1315, $A45)</f>
        <v>2</v>
      </c>
      <c r="R45">
        <f>SUMIFS(DataRegularSeason20242025!$AA$3:$AA$1315,DataRegularSeason20242025!$B$3:$B$1315, "&lt;=" &amp; R$1, DataRegularSeason20242025!$D$3:$D$1315, $A45)+SUMIFS(DataRegularSeason20242025!$AB$3:$AB$1315,DataRegularSeason20242025!$B$3:$B$1315, "&lt;=" &amp; R$1, DataRegularSeason20242025!$E$3:$E$1315, $A45)</f>
        <v>2</v>
      </c>
      <c r="S45">
        <f>SUMIFS(DataRegularSeason20242025!$AA$3:$AA$1315,DataRegularSeason20242025!$B$3:$B$1315, "&lt;=" &amp; S$1, DataRegularSeason20242025!$D$3:$D$1315, $A45)+SUMIFS(DataRegularSeason20242025!$AB$3:$AB$1315,DataRegularSeason20242025!$B$3:$B$1315, "&lt;=" &amp; S$1, DataRegularSeason20242025!$E$3:$E$1315, $A45)</f>
        <v>4</v>
      </c>
      <c r="T45">
        <f>SUMIFS(DataRegularSeason20242025!$AA$3:$AA$1315,DataRegularSeason20242025!$B$3:$B$1315, "&lt;=" &amp; T$1, DataRegularSeason20242025!$D$3:$D$1315, $A45)+SUMIFS(DataRegularSeason20242025!$AB$3:$AB$1315,DataRegularSeason20242025!$B$3:$B$1315, "&lt;=" &amp; T$1, DataRegularSeason20242025!$E$3:$E$1315, $A45)</f>
        <v>4</v>
      </c>
      <c r="U45">
        <f>SUMIFS(DataRegularSeason20242025!$AA$3:$AA$1315,DataRegularSeason20242025!$B$3:$B$1315, "&lt;=" &amp; U$1, DataRegularSeason20242025!$D$3:$D$1315, $A45)+SUMIFS(DataRegularSeason20242025!$AB$3:$AB$1315,DataRegularSeason20242025!$B$3:$B$1315, "&lt;=" &amp; U$1, DataRegularSeason20242025!$E$3:$E$1315, $A45)</f>
        <v>4</v>
      </c>
      <c r="V45">
        <f>SUMIFS(DataRegularSeason20242025!$AA$3:$AA$1315,DataRegularSeason20242025!$B$3:$B$1315, "&lt;=" &amp; V$1, DataRegularSeason20242025!$D$3:$D$1315, $A45)+SUMIFS(DataRegularSeason20242025!$AB$3:$AB$1315,DataRegularSeason20242025!$B$3:$B$1315, "&lt;=" &amp; V$1, DataRegularSeason20242025!$E$3:$E$1315, $A45)</f>
        <v>4</v>
      </c>
      <c r="W45">
        <f>SUMIFS(DataRegularSeason20242025!$AA$3:$AA$1315,DataRegularSeason20242025!$B$3:$B$1315, "&lt;=" &amp; W$1, DataRegularSeason20242025!$D$3:$D$1315, $A45)+SUMIFS(DataRegularSeason20242025!$AB$3:$AB$1315,DataRegularSeason20242025!$B$3:$B$1315, "&lt;=" &amp; W$1, DataRegularSeason20242025!$E$3:$E$1315, $A45)</f>
        <v>4</v>
      </c>
      <c r="X45">
        <f>SUMIFS(DataRegularSeason20242025!$AA$3:$AA$1315,DataRegularSeason20242025!$B$3:$B$1315, "&lt;=" &amp; X$1, DataRegularSeason20242025!$D$3:$D$1315, $A45)+SUMIFS(DataRegularSeason20242025!$AB$3:$AB$1315,DataRegularSeason20242025!$B$3:$B$1315, "&lt;=" &amp; X$1, DataRegularSeason20242025!$E$3:$E$1315, $A45)</f>
        <v>4</v>
      </c>
      <c r="Y45">
        <f>SUMIFS(DataRegularSeason20242025!$AA$3:$AA$1315,DataRegularSeason20242025!$B$3:$B$1315, "&lt;=" &amp; Y$1, DataRegularSeason20242025!$D$3:$D$1315, $A45)+SUMIFS(DataRegularSeason20242025!$AB$3:$AB$1315,DataRegularSeason20242025!$B$3:$B$1315, "&lt;=" &amp; Y$1, DataRegularSeason20242025!$E$3:$E$1315, $A45)</f>
        <v>4</v>
      </c>
      <c r="Z45">
        <f>SUMIFS(DataRegularSeason20242025!$AA$3:$AA$1315,DataRegularSeason20242025!$B$3:$B$1315, "&lt;=" &amp; Z$1, DataRegularSeason20242025!$D$3:$D$1315, $A45)+SUMIFS(DataRegularSeason20242025!$AB$3:$AB$1315,DataRegularSeason20242025!$B$3:$B$1315, "&lt;=" &amp; Z$1, DataRegularSeason20242025!$E$3:$E$1315, $A45)</f>
        <v>4</v>
      </c>
      <c r="AA45">
        <f>SUMIFS(DataRegularSeason20242025!$AA$3:$AA$1315,DataRegularSeason20242025!$B$3:$B$1315, "&lt;=" &amp; AA$1, DataRegularSeason20242025!$D$3:$D$1315, $A45)+SUMIFS(DataRegularSeason20242025!$AB$3:$AB$1315,DataRegularSeason20242025!$B$3:$B$1315, "&lt;=" &amp; AA$1, DataRegularSeason20242025!$E$3:$E$1315, $A45)</f>
        <v>4</v>
      </c>
      <c r="AB45">
        <f>SUMIFS(DataRegularSeason20242025!$AA$3:$AA$1315,DataRegularSeason20242025!$B$3:$B$1315, "&lt;=" &amp; AB$1, DataRegularSeason20242025!$D$3:$D$1315, $A45)+SUMIFS(DataRegularSeason20242025!$AB$3:$AB$1315,DataRegularSeason20242025!$B$3:$B$1315, "&lt;=" &amp; AB$1, DataRegularSeason20242025!$E$3:$E$1315, $A45)</f>
        <v>4</v>
      </c>
      <c r="AC45">
        <f>SUMIFS(DataRegularSeason20242025!$AA$3:$AA$1315,DataRegularSeason20242025!$B$3:$B$1315, "&lt;=" &amp; AC$1, DataRegularSeason20242025!$D$3:$D$1315, $A45)+SUMIFS(DataRegularSeason20242025!$AB$3:$AB$1315,DataRegularSeason20242025!$B$3:$B$1315, "&lt;=" &amp; AC$1, DataRegularSeason20242025!$E$3:$E$1315, $A45)</f>
        <v>4</v>
      </c>
      <c r="AD45">
        <f>SUMIFS(DataRegularSeason20242025!$AA$3:$AA$1315,DataRegularSeason20242025!$B$3:$B$1315, "&lt;=" &amp; AD$1, DataRegularSeason20242025!$D$3:$D$1315, $A45)+SUMIFS(DataRegularSeason20242025!$AB$3:$AB$1315,DataRegularSeason20242025!$B$3:$B$1315, "&lt;=" &amp; AD$1, DataRegularSeason20242025!$E$3:$E$1315, $A45)</f>
        <v>4</v>
      </c>
      <c r="AE45">
        <f>SUMIFS(DataRegularSeason20242025!$AA$3:$AA$1315,DataRegularSeason20242025!$B$3:$B$1315, "&lt;=" &amp; AE$1, DataRegularSeason20242025!$D$3:$D$1315, $A45)+SUMIFS(DataRegularSeason20242025!$AB$3:$AB$1315,DataRegularSeason20242025!$B$3:$B$1315, "&lt;=" &amp; AE$1, DataRegularSeason20242025!$E$3:$E$1315, $A45)</f>
        <v>4</v>
      </c>
      <c r="AF45">
        <f>SUMIFS(DataRegularSeason20242025!$AA$3:$AA$1315,DataRegularSeason20242025!$B$3:$B$1315, "&lt;=" &amp; AF$1, DataRegularSeason20242025!$D$3:$D$1315, $A45)+SUMIFS(DataRegularSeason20242025!$AB$3:$AB$1315,DataRegularSeason20242025!$B$3:$B$1315, "&lt;=" &amp; AF$1, DataRegularSeason20242025!$E$3:$E$1315, $A45)</f>
        <v>4</v>
      </c>
      <c r="AG45">
        <f>SUMIFS(DataRegularSeason20242025!$AA$3:$AA$1315,DataRegularSeason20242025!$B$3:$B$1315, "&lt;=" &amp; AG$1, DataRegularSeason20242025!$D$3:$D$1315, $A45)+SUMIFS(DataRegularSeason20242025!$AB$3:$AB$1315,DataRegularSeason20242025!$B$3:$B$1315, "&lt;=" &amp; AG$1, DataRegularSeason20242025!$E$3:$E$1315, $A45)</f>
        <v>4</v>
      </c>
      <c r="AH45">
        <f>SUMIFS(DataRegularSeason20242025!$AA$3:$AA$1315,DataRegularSeason20242025!$B$3:$B$1315, "&lt;=" &amp; AH$1, DataRegularSeason20242025!$D$3:$D$1315, $A45)+SUMIFS(DataRegularSeason20242025!$AB$3:$AB$1315,DataRegularSeason20242025!$B$3:$B$1315, "&lt;=" &amp; AH$1, DataRegularSeason20242025!$E$3:$E$1315, $A45)</f>
        <v>4</v>
      </c>
      <c r="AI45">
        <f>SUMIFS(DataRegularSeason20242025!$AA$3:$AA$1315,DataRegularSeason20242025!$B$3:$B$1315, "&lt;=" &amp; AI$1, DataRegularSeason20242025!$D$3:$D$1315, $A45)+SUMIFS(DataRegularSeason20242025!$AB$3:$AB$1315,DataRegularSeason20242025!$B$3:$B$1315, "&lt;=" &amp; AI$1, DataRegularSeason20242025!$E$3:$E$1315, $A45)</f>
        <v>4</v>
      </c>
      <c r="AJ45">
        <f>SUMIFS(DataRegularSeason20242025!$AA$3:$AA$1315,DataRegularSeason20242025!$B$3:$B$1315, "&lt;=" &amp; AJ$1, DataRegularSeason20242025!$D$3:$D$1315, $A45)+SUMIFS(DataRegularSeason20242025!$AB$3:$AB$1315,DataRegularSeason20242025!$B$3:$B$1315, "&lt;=" &amp; AJ$1, DataRegularSeason20242025!$E$3:$E$1315, $A45)</f>
        <v>4</v>
      </c>
      <c r="AK45">
        <f>SUMIFS(DataRegularSeason20242025!$AA$3:$AA$1315,DataRegularSeason20242025!$B$3:$B$1315, "&lt;=" &amp; AK$1, DataRegularSeason20242025!$D$3:$D$1315, $A45)+SUMIFS(DataRegularSeason20242025!$AB$3:$AB$1315,DataRegularSeason20242025!$B$3:$B$1315, "&lt;=" &amp; AK$1, DataRegularSeason20242025!$E$3:$E$1315, $A45)</f>
        <v>4</v>
      </c>
      <c r="AL45">
        <f>SUMIFS(DataRegularSeason20242025!$AA$3:$AA$1315,DataRegularSeason20242025!$B$3:$B$1315, "&lt;=" &amp; AL$1, DataRegularSeason20242025!$D$3:$D$1315, $A45)+SUMIFS(DataRegularSeason20242025!$AB$3:$AB$1315,DataRegularSeason20242025!$B$3:$B$1315, "&lt;=" &amp; AL$1, DataRegularSeason20242025!$E$3:$E$1315, $A45)</f>
        <v>4</v>
      </c>
      <c r="AM45">
        <f>SUMIFS(DataRegularSeason20242025!$AA$3:$AA$1315,DataRegularSeason20242025!$B$3:$B$1315, "&lt;=" &amp; AM$1, DataRegularSeason20242025!$D$3:$D$1315, $A45)+SUMIFS(DataRegularSeason20242025!$AB$3:$AB$1315,DataRegularSeason20242025!$B$3:$B$1315, "&lt;=" &amp; AM$1, DataRegularSeason20242025!$E$3:$E$1315, $A45)</f>
        <v>4</v>
      </c>
      <c r="AN45">
        <f>SUMIFS(DataRegularSeason20242025!$AA$3:$AA$1315,DataRegularSeason20242025!$B$3:$B$1315, "&lt;=" &amp; AN$1, DataRegularSeason20242025!$D$3:$D$1315, $A45)+SUMIFS(DataRegularSeason20242025!$AB$3:$AB$1315,DataRegularSeason20242025!$B$3:$B$1315, "&lt;=" &amp; AN$1, DataRegularSeason20242025!$E$3:$E$1315, $A45)</f>
        <v>4</v>
      </c>
      <c r="AO45">
        <f>SUMIFS(DataRegularSeason20242025!$AA$3:$AA$1315,DataRegularSeason20242025!$B$3:$B$1315, "&lt;=" &amp; AO$1, DataRegularSeason20242025!$D$3:$D$1315, $A45)+SUMIFS(DataRegularSeason20242025!$AB$3:$AB$1315,DataRegularSeason20242025!$B$3:$B$1315, "&lt;=" &amp; AO$1, DataRegularSeason20242025!$E$3:$E$1315, $A45)</f>
        <v>4</v>
      </c>
      <c r="AP45">
        <f>SUMIFS(DataRegularSeason20242025!$AA$3:$AA$1315,DataRegularSeason20242025!$B$3:$B$1315, "&lt;=" &amp; AP$1, DataRegularSeason20242025!$D$3:$D$1315, $A45)+SUMIFS(DataRegularSeason20242025!$AB$3:$AB$1315,DataRegularSeason20242025!$B$3:$B$1315, "&lt;=" &amp; AP$1, DataRegularSeason20242025!$E$3:$E$1315, $A45)</f>
        <v>4</v>
      </c>
      <c r="AQ45">
        <f>SUMIFS(DataRegularSeason20242025!$AA$3:$AA$1315,DataRegularSeason20242025!$B$3:$B$1315, "&lt;=" &amp; AQ$1, DataRegularSeason20242025!$D$3:$D$1315, $A45)+SUMIFS(DataRegularSeason20242025!$AB$3:$AB$1315,DataRegularSeason20242025!$B$3:$B$1315, "&lt;=" &amp; AQ$1, DataRegularSeason20242025!$E$3:$E$1315, $A45)</f>
        <v>4</v>
      </c>
      <c r="AR45">
        <f>SUMIFS(DataRegularSeason20242025!$AA$3:$AA$1315,DataRegularSeason20242025!$B$3:$B$1315, "&lt;=" &amp; AR$1, DataRegularSeason20242025!$D$3:$D$1315, $A45)+SUMIFS(DataRegularSeason20242025!$AB$3:$AB$1315,DataRegularSeason20242025!$B$3:$B$1315, "&lt;=" &amp; AR$1, DataRegularSeason20242025!$E$3:$E$1315, $A45)</f>
        <v>4</v>
      </c>
      <c r="AS45">
        <f>SUMIFS(DataRegularSeason20242025!$AA$3:$AA$1315,DataRegularSeason20242025!$B$3:$B$1315, "&lt;=" &amp; AS$1, DataRegularSeason20242025!$D$3:$D$1315, $A45)+SUMIFS(DataRegularSeason20242025!$AB$3:$AB$1315,DataRegularSeason20242025!$B$3:$B$1315, "&lt;=" &amp; AS$1, DataRegularSeason20242025!$E$3:$E$1315, $A45)</f>
        <v>4</v>
      </c>
      <c r="AT45">
        <f>SUMIFS(DataRegularSeason20242025!$AA$3:$AA$1315,DataRegularSeason20242025!$B$3:$B$1315, "&lt;=" &amp; AT$1, DataRegularSeason20242025!$D$3:$D$1315, $A45)+SUMIFS(DataRegularSeason20242025!$AB$3:$AB$1315,DataRegularSeason20242025!$B$3:$B$1315, "&lt;=" &amp; AT$1, DataRegularSeason20242025!$E$3:$E$1315, $A45)</f>
        <v>4</v>
      </c>
      <c r="AU45">
        <f>SUMIFS(DataRegularSeason20242025!$AA$3:$AA$1315,DataRegularSeason20242025!$B$3:$B$1315, "&lt;=" &amp; AU$1, DataRegularSeason20242025!$D$3:$D$1315, $A45)+SUMIFS(DataRegularSeason20242025!$AB$3:$AB$1315,DataRegularSeason20242025!$B$3:$B$1315, "&lt;=" &amp; AU$1, DataRegularSeason20242025!$E$3:$E$1315, $A45)</f>
        <v>4</v>
      </c>
      <c r="AV45">
        <f>SUMIFS(DataRegularSeason20242025!$AA$3:$AA$1315,DataRegularSeason20242025!$B$3:$B$1315, "&lt;=" &amp; AV$1, DataRegularSeason20242025!$D$3:$D$1315, $A45)+SUMIFS(DataRegularSeason20242025!$AB$3:$AB$1315,DataRegularSeason20242025!$B$3:$B$1315, "&lt;=" &amp; AV$1, DataRegularSeason20242025!$E$3:$E$1315, $A45)</f>
        <v>4</v>
      </c>
      <c r="AW45">
        <f>SUMIFS(DataRegularSeason20242025!$AA$3:$AA$1315,DataRegularSeason20242025!$B$3:$B$1315, "&lt;=" &amp; AW$1, DataRegularSeason20242025!$D$3:$D$1315, $A45)+SUMIFS(DataRegularSeason20242025!$AB$3:$AB$1315,DataRegularSeason20242025!$B$3:$B$1315, "&lt;=" &amp; AW$1, DataRegularSeason20242025!$E$3:$E$1315, $A45)</f>
        <v>4</v>
      </c>
      <c r="AX45">
        <f>SUMIFS(DataRegularSeason20242025!$AA$3:$AA$1315,DataRegularSeason20242025!$B$3:$B$1315, "&lt;=" &amp; AX$1, DataRegularSeason20242025!$D$3:$D$1315, $A45)+SUMIFS(DataRegularSeason20242025!$AB$3:$AB$1315,DataRegularSeason20242025!$B$3:$B$1315, "&lt;=" &amp; AX$1, DataRegularSeason20242025!$E$3:$E$1315, $A45)</f>
        <v>4</v>
      </c>
      <c r="AY45">
        <f>SUMIFS(DataRegularSeason20242025!$AA$3:$AA$1315,DataRegularSeason20242025!$B$3:$B$1315, "&lt;=" &amp; AY$1, DataRegularSeason20242025!$D$3:$D$1315, $A45)+SUMIFS(DataRegularSeason20242025!$AB$3:$AB$1315,DataRegularSeason20242025!$B$3:$B$1315, "&lt;=" &amp; AY$1, DataRegularSeason20242025!$E$3:$E$1315, $A45)</f>
        <v>4</v>
      </c>
      <c r="AZ45">
        <f>SUMIFS(DataRegularSeason20242025!$AA$3:$AA$1315,DataRegularSeason20242025!$B$3:$B$1315, "&lt;=" &amp; AZ$1, DataRegularSeason20242025!$D$3:$D$1315, $A45)+SUMIFS(DataRegularSeason20242025!$AB$3:$AB$1315,DataRegularSeason20242025!$B$3:$B$1315, "&lt;=" &amp; AZ$1, DataRegularSeason20242025!$E$3:$E$1315, $A45)</f>
        <v>4</v>
      </c>
      <c r="BA45">
        <f>SUMIFS(DataRegularSeason20242025!$AA$3:$AA$1315,DataRegularSeason20242025!$B$3:$B$1315, "&lt;=" &amp; BA$1, DataRegularSeason20242025!$D$3:$D$1315, $A45)+SUMIFS(DataRegularSeason20242025!$AB$3:$AB$1315,DataRegularSeason20242025!$B$3:$B$1315, "&lt;=" &amp; BA$1, DataRegularSeason20242025!$E$3:$E$1315, $A45)</f>
        <v>4</v>
      </c>
      <c r="BB45">
        <f>SUMIFS(DataRegularSeason20242025!$AA$3:$AA$1315,DataRegularSeason20242025!$B$3:$B$1315, "&lt;=" &amp; BB$1, DataRegularSeason20242025!$D$3:$D$1315, $A45)+SUMIFS(DataRegularSeason20242025!$AB$3:$AB$1315,DataRegularSeason20242025!$B$3:$B$1315, "&lt;=" &amp; BB$1, DataRegularSeason20242025!$E$3:$E$1315, $A45)</f>
        <v>4</v>
      </c>
      <c r="BC45">
        <f>SUMIFS(DataRegularSeason20242025!$AA$3:$AA$1315,DataRegularSeason20242025!$B$3:$B$1315, "&lt;=" &amp; BC$1, DataRegularSeason20242025!$D$3:$D$1315, $A45)+SUMIFS(DataRegularSeason20242025!$AB$3:$AB$1315,DataRegularSeason20242025!$B$3:$B$1315, "&lt;=" &amp; BC$1, DataRegularSeason20242025!$E$3:$E$1315, $A45)</f>
        <v>4</v>
      </c>
      <c r="BD45">
        <f>SUMIFS(DataRegularSeason20242025!$AA$3:$AA$1315,DataRegularSeason20242025!$B$3:$B$1315, "&lt;=" &amp; BD$1, DataRegularSeason20242025!$D$3:$D$1315, $A45)+SUMIFS(DataRegularSeason20242025!$AB$3:$AB$1315,DataRegularSeason20242025!$B$3:$B$1315, "&lt;=" &amp; BD$1, DataRegularSeason20242025!$E$3:$E$1315, $A45)</f>
        <v>4</v>
      </c>
      <c r="BE45">
        <f>SUMIFS(DataRegularSeason20242025!$AA$3:$AA$1315,DataRegularSeason20242025!$B$3:$B$1315, "&lt;=" &amp; BE$1, DataRegularSeason20242025!$D$3:$D$1315, $A45)+SUMIFS(DataRegularSeason20242025!$AB$3:$AB$1315,DataRegularSeason20242025!$B$3:$B$1315, "&lt;=" &amp; BE$1, DataRegularSeason20242025!$E$3:$E$1315, $A45)</f>
        <v>4</v>
      </c>
      <c r="BF45">
        <f>SUMIFS(DataRegularSeason20242025!$AA$3:$AA$1315,DataRegularSeason20242025!$B$3:$B$1315, "&lt;=" &amp; BF$1, DataRegularSeason20242025!$D$3:$D$1315, $A45)+SUMIFS(DataRegularSeason20242025!$AB$3:$AB$1315,DataRegularSeason20242025!$B$3:$B$1315, "&lt;=" &amp; BF$1, DataRegularSeason20242025!$E$3:$E$1315, $A45)</f>
        <v>4</v>
      </c>
      <c r="BG45">
        <f>SUMIFS(DataRegularSeason20242025!$AA$3:$AA$1315,DataRegularSeason20242025!$B$3:$B$1315, "&lt;=" &amp; BG$1, DataRegularSeason20242025!$D$3:$D$1315, $A45)+SUMIFS(DataRegularSeason20242025!$AB$3:$AB$1315,DataRegularSeason20242025!$B$3:$B$1315, "&lt;=" &amp; BG$1, DataRegularSeason20242025!$E$3:$E$1315, $A45)</f>
        <v>4</v>
      </c>
      <c r="BH45">
        <f>SUMIFS(DataRegularSeason20242025!$AA$3:$AA$1315,DataRegularSeason20242025!$B$3:$B$1315, "&lt;=" &amp; BH$1, DataRegularSeason20242025!$D$3:$D$1315, $A45)+SUMIFS(DataRegularSeason20242025!$AB$3:$AB$1315,DataRegularSeason20242025!$B$3:$B$1315, "&lt;=" &amp; BH$1, DataRegularSeason20242025!$E$3:$E$1315, $A45)</f>
        <v>4</v>
      </c>
      <c r="BI45">
        <f>SUMIFS(DataRegularSeason20242025!$AA$3:$AA$1315,DataRegularSeason20242025!$B$3:$B$1315, "&lt;=" &amp; BI$1, DataRegularSeason20242025!$D$3:$D$1315, $A45)+SUMIFS(DataRegularSeason20242025!$AB$3:$AB$1315,DataRegularSeason20242025!$B$3:$B$1315, "&lt;=" &amp; BI$1, DataRegularSeason20242025!$E$3:$E$1315, $A45)</f>
        <v>4</v>
      </c>
      <c r="BJ45">
        <f>SUMIFS(DataRegularSeason20242025!$AA$3:$AA$1315,DataRegularSeason20242025!$B$3:$B$1315, "&lt;=" &amp; BJ$1, DataRegularSeason20242025!$D$3:$D$1315, $A45)+SUMIFS(DataRegularSeason20242025!$AB$3:$AB$1315,DataRegularSeason20242025!$B$3:$B$1315, "&lt;=" &amp; BJ$1, DataRegularSeason20242025!$E$3:$E$1315, $A45)</f>
        <v>4</v>
      </c>
      <c r="BK45">
        <f>SUMIFS(DataRegularSeason20242025!$AA$3:$AA$1315,DataRegularSeason20242025!$B$3:$B$1315, "&lt;=" &amp; BK$1, DataRegularSeason20242025!$D$3:$D$1315, $A45)+SUMIFS(DataRegularSeason20242025!$AB$3:$AB$1315,DataRegularSeason20242025!$B$3:$B$1315, "&lt;=" &amp; BK$1, DataRegularSeason20242025!$E$3:$E$1315, $A45)</f>
        <v>4</v>
      </c>
      <c r="BL45">
        <f>SUMIFS(DataRegularSeason20242025!$AA$3:$AA$1315,DataRegularSeason20242025!$B$3:$B$1315, "&lt;=" &amp; BL$1, DataRegularSeason20242025!$D$3:$D$1315, $A45)+SUMIFS(DataRegularSeason20242025!$AB$3:$AB$1315,DataRegularSeason20242025!$B$3:$B$1315, "&lt;=" &amp; BL$1, DataRegularSeason20242025!$E$3:$E$1315, $A45)</f>
        <v>4</v>
      </c>
      <c r="BM45">
        <f>SUMIFS(DataRegularSeason20242025!$AA$3:$AA$1315,DataRegularSeason20242025!$B$3:$B$1315, "&lt;=" &amp; BM$1, DataRegularSeason20242025!$D$3:$D$1315, $A45)+SUMIFS(DataRegularSeason20242025!$AB$3:$AB$1315,DataRegularSeason20242025!$B$3:$B$1315, "&lt;=" &amp; BM$1, DataRegularSeason20242025!$E$3:$E$1315, $A45)</f>
        <v>4</v>
      </c>
      <c r="BN45">
        <f>SUMIFS(DataRegularSeason20242025!$AA$3:$AA$1315,DataRegularSeason20242025!$B$3:$B$1315, "&lt;=" &amp; BN$1, DataRegularSeason20242025!$D$3:$D$1315, $A45)+SUMIFS(DataRegularSeason20242025!$AB$3:$AB$1315,DataRegularSeason20242025!$B$3:$B$1315, "&lt;=" &amp; BN$1, DataRegularSeason20242025!$E$3:$E$1315, $A45)</f>
        <v>4</v>
      </c>
      <c r="BO45">
        <f>SUMIFS(DataRegularSeason20242025!$AA$3:$AA$1315,DataRegularSeason20242025!$B$3:$B$1315, "&lt;=" &amp; BO$1, DataRegularSeason20242025!$D$3:$D$1315, $A45)+SUMIFS(DataRegularSeason20242025!$AB$3:$AB$1315,DataRegularSeason20242025!$B$3:$B$1315, "&lt;=" &amp; BO$1, DataRegularSeason20242025!$E$3:$E$1315, $A45)</f>
        <v>4</v>
      </c>
      <c r="BP45">
        <f>SUMIFS(DataRegularSeason20242025!$AA$3:$AA$1315,DataRegularSeason20242025!$B$3:$B$1315, "&lt;=" &amp; BP$1, DataRegularSeason20242025!$D$3:$D$1315, $A45)+SUMIFS(DataRegularSeason20242025!$AB$3:$AB$1315,DataRegularSeason20242025!$B$3:$B$1315, "&lt;=" &amp; BP$1, DataRegularSeason20242025!$E$3:$E$1315, $A45)</f>
        <v>4</v>
      </c>
      <c r="BQ45">
        <f>SUMIFS(DataRegularSeason20242025!$AA$3:$AA$1315,DataRegularSeason20242025!$B$3:$B$1315, "&lt;=" &amp; BQ$1, DataRegularSeason20242025!$D$3:$D$1315, $A45)+SUMIFS(DataRegularSeason20242025!$AB$3:$AB$1315,DataRegularSeason20242025!$B$3:$B$1315, "&lt;=" &amp; BQ$1, DataRegularSeason20242025!$E$3:$E$1315, $A45)</f>
        <v>4</v>
      </c>
      <c r="BR45">
        <f>SUMIFS(DataRegularSeason20242025!$AA$3:$AA$1315,DataRegularSeason20242025!$B$3:$B$1315, "&lt;=" &amp; BR$1, DataRegularSeason20242025!$D$3:$D$1315, $A45)+SUMIFS(DataRegularSeason20242025!$AB$3:$AB$1315,DataRegularSeason20242025!$B$3:$B$1315, "&lt;=" &amp; BR$1, DataRegularSeason20242025!$E$3:$E$1315, $A45)</f>
        <v>4</v>
      </c>
      <c r="BS45">
        <f>SUMIFS(DataRegularSeason20242025!$AA$3:$AA$1315,DataRegularSeason20242025!$B$3:$B$1315, "&lt;=" &amp; BS$1, DataRegularSeason20242025!$D$3:$D$1315, $A45)+SUMIFS(DataRegularSeason20242025!$AB$3:$AB$1315,DataRegularSeason20242025!$B$3:$B$1315, "&lt;=" &amp; BS$1, DataRegularSeason20242025!$E$3:$E$1315, $A45)</f>
        <v>4</v>
      </c>
      <c r="BT45">
        <f>SUMIFS(DataRegularSeason20242025!$AA$3:$AA$1315,DataRegularSeason20242025!$B$3:$B$1315, "&lt;=" &amp; BT$1, DataRegularSeason20242025!$D$3:$D$1315, $A45)+SUMIFS(DataRegularSeason20242025!$AB$3:$AB$1315,DataRegularSeason20242025!$B$3:$B$1315, "&lt;=" &amp; BT$1, DataRegularSeason20242025!$E$3:$E$1315, $A45)</f>
        <v>4</v>
      </c>
      <c r="BU45">
        <f>SUMIFS(DataRegularSeason20242025!$AA$3:$AA$1315,DataRegularSeason20242025!$B$3:$B$1315, "&lt;=" &amp; BU$1, DataRegularSeason20242025!$D$3:$D$1315, $A45)+SUMIFS(DataRegularSeason20242025!$AB$3:$AB$1315,DataRegularSeason20242025!$B$3:$B$1315, "&lt;=" &amp; BU$1, DataRegularSeason20242025!$E$3:$E$1315, $A45)</f>
        <v>4</v>
      </c>
      <c r="BV45">
        <f>SUMIFS(DataRegularSeason20242025!$AA$3:$AA$1315,DataRegularSeason20242025!$B$3:$B$1315, "&lt;=" &amp; BV$1, DataRegularSeason20242025!$D$3:$D$1315, $A45)+SUMIFS(DataRegularSeason20242025!$AB$3:$AB$1315,DataRegularSeason20242025!$B$3:$B$1315, "&lt;=" &amp; BV$1, DataRegularSeason20242025!$E$3:$E$1315, $A45)</f>
        <v>4</v>
      </c>
      <c r="BW45">
        <f>SUMIFS(DataRegularSeason20242025!$AA$3:$AA$1315,DataRegularSeason20242025!$B$3:$B$1315, "&lt;=" &amp; BW$1, DataRegularSeason20242025!$D$3:$D$1315, $A45)+SUMIFS(DataRegularSeason20242025!$AB$3:$AB$1315,DataRegularSeason20242025!$B$3:$B$1315, "&lt;=" &amp; BW$1, DataRegularSeason20242025!$E$3:$E$1315, $A45)</f>
        <v>4</v>
      </c>
      <c r="BX45">
        <f>SUMIFS(DataRegularSeason20242025!$AA$3:$AA$1315,DataRegularSeason20242025!$B$3:$B$1315, "&lt;=" &amp; BX$1, DataRegularSeason20242025!$D$3:$D$1315, $A45)+SUMIFS(DataRegularSeason20242025!$AB$3:$AB$1315,DataRegularSeason20242025!$B$3:$B$1315, "&lt;=" &amp; BX$1, DataRegularSeason20242025!$E$3:$E$1315, $A45)</f>
        <v>4</v>
      </c>
      <c r="BY45">
        <f>SUMIFS(DataRegularSeason20242025!$AA$3:$AA$1315,DataRegularSeason20242025!$B$3:$B$1315, "&lt;=" &amp; BY$1, DataRegularSeason20242025!$D$3:$D$1315, $A45)+SUMIFS(DataRegularSeason20242025!$AB$3:$AB$1315,DataRegularSeason20242025!$B$3:$B$1315, "&lt;=" &amp; BY$1, DataRegularSeason20242025!$E$3:$E$1315, $A45)</f>
        <v>4</v>
      </c>
      <c r="BZ45">
        <f>SUMIFS(DataRegularSeason20242025!$AA$3:$AA$1315,DataRegularSeason20242025!$B$3:$B$1315, "&lt;=" &amp; BZ$1, DataRegularSeason20242025!$D$3:$D$1315, $A45)+SUMIFS(DataRegularSeason20242025!$AB$3:$AB$1315,DataRegularSeason20242025!$B$3:$B$1315, "&lt;=" &amp; BZ$1, DataRegularSeason20242025!$E$3:$E$1315, $A45)</f>
        <v>4</v>
      </c>
      <c r="CA45">
        <f>SUMIFS(DataRegularSeason20242025!$AA$3:$AA$1315,DataRegularSeason20242025!$B$3:$B$1315, "&lt;=" &amp; CA$1, DataRegularSeason20242025!$D$3:$D$1315, $A45)+SUMIFS(DataRegularSeason20242025!$AB$3:$AB$1315,DataRegularSeason20242025!$B$3:$B$1315, "&lt;=" &amp; CA$1, DataRegularSeason20242025!$E$3:$E$1315, $A45)</f>
        <v>4</v>
      </c>
      <c r="CB45">
        <f>SUMIFS(DataRegularSeason20242025!$AA$3:$AA$1315,DataRegularSeason20242025!$B$3:$B$1315, "&lt;=" &amp; CB$1, DataRegularSeason20242025!$D$3:$D$1315, $A45)+SUMIFS(DataRegularSeason20242025!$AB$3:$AB$1315,DataRegularSeason20242025!$B$3:$B$1315, "&lt;=" &amp; CB$1, DataRegularSeason20242025!$E$3:$E$1315, $A45)</f>
        <v>4</v>
      </c>
      <c r="CC45">
        <f>SUMIFS(DataRegularSeason20242025!$AA$3:$AA$1315,DataRegularSeason20242025!$B$3:$B$1315, "&lt;=" &amp; CC$1, DataRegularSeason20242025!$D$3:$D$1315, $A45)+SUMIFS(DataRegularSeason20242025!$AB$3:$AB$1315,DataRegularSeason20242025!$B$3:$B$1315, "&lt;=" &amp; CC$1, DataRegularSeason20242025!$E$3:$E$1315, $A45)</f>
        <v>4</v>
      </c>
      <c r="CD45">
        <f>SUMIFS(DataRegularSeason20242025!$AA$3:$AA$1315,DataRegularSeason20242025!$B$3:$B$1315, "&lt;=" &amp; CD$1, DataRegularSeason20242025!$D$3:$D$1315, $A45)+SUMIFS(DataRegularSeason20242025!$AB$3:$AB$1315,DataRegularSeason20242025!$B$3:$B$1315, "&lt;=" &amp; CD$1, DataRegularSeason20242025!$E$3:$E$1315, $A45)</f>
        <v>4</v>
      </c>
      <c r="CE45">
        <f>SUMIFS(DataRegularSeason20242025!$AA$3:$AA$1315,DataRegularSeason20242025!$B$3:$B$1315, "&lt;=" &amp; CE$1, DataRegularSeason20242025!$D$3:$D$1315, $A45)+SUMIFS(DataRegularSeason20242025!$AB$3:$AB$1315,DataRegularSeason20242025!$B$3:$B$1315, "&lt;=" &amp; CE$1, DataRegularSeason20242025!$E$3:$E$1315, $A45)</f>
        <v>4</v>
      </c>
      <c r="CF45">
        <f>SUMIFS(DataRegularSeason20242025!$AA$3:$AA$1315,DataRegularSeason20242025!$B$3:$B$1315, "&lt;=" &amp; CF$1, DataRegularSeason20242025!$D$3:$D$1315, $A45)+SUMIFS(DataRegularSeason20242025!$AB$3:$AB$1315,DataRegularSeason20242025!$B$3:$B$1315, "&lt;=" &amp; CF$1, DataRegularSeason20242025!$E$3:$E$1315, $A45)</f>
        <v>4</v>
      </c>
      <c r="CG45">
        <f>SUMIFS(DataRegularSeason20242025!$AA$3:$AA$1315,DataRegularSeason20242025!$B$3:$B$1315, "&lt;=" &amp; CG$1, DataRegularSeason20242025!$D$3:$D$1315, $A45)+SUMIFS(DataRegularSeason20242025!$AB$3:$AB$1315,DataRegularSeason20242025!$B$3:$B$1315, "&lt;=" &amp; CG$1, DataRegularSeason20242025!$E$3:$E$1315, $A45)</f>
        <v>4</v>
      </c>
      <c r="CH45">
        <f>SUMIFS(DataRegularSeason20242025!$AA$3:$AA$1315,DataRegularSeason20242025!$B$3:$B$1315, "&lt;=" &amp; CH$1, DataRegularSeason20242025!$D$3:$D$1315, $A45)+SUMIFS(DataRegularSeason20242025!$AB$3:$AB$1315,DataRegularSeason20242025!$B$3:$B$1315, "&lt;=" &amp; CH$1, DataRegularSeason20242025!$E$3:$E$1315, $A45)</f>
        <v>4</v>
      </c>
      <c r="CI45">
        <f>SUMIFS(DataRegularSeason20242025!$AA$3:$AA$1315,DataRegularSeason20242025!$B$3:$B$1315, "&lt;=" &amp; CI$1, DataRegularSeason20242025!$D$3:$D$1315, $A45)+SUMIFS(DataRegularSeason20242025!$AB$3:$AB$1315,DataRegularSeason20242025!$B$3:$B$1315, "&lt;=" &amp; CI$1, DataRegularSeason20242025!$E$3:$E$1315, $A45)</f>
        <v>4</v>
      </c>
      <c r="CJ45">
        <f>SUMIFS(DataRegularSeason20242025!$AA$3:$AA$1315,DataRegularSeason20242025!$B$3:$B$1315, "&lt;=" &amp; CJ$1, DataRegularSeason20242025!$D$3:$D$1315, $A45)+SUMIFS(DataRegularSeason20242025!$AB$3:$AB$1315,DataRegularSeason20242025!$B$3:$B$1315, "&lt;=" &amp; CJ$1, DataRegularSeason20242025!$E$3:$E$1315, $A45)</f>
        <v>4</v>
      </c>
      <c r="CK45">
        <f>SUMIFS(DataRegularSeason20242025!$AA$3:$AA$1315,DataRegularSeason20242025!$B$3:$B$1315, "&lt;=" &amp; CK$1, DataRegularSeason20242025!$D$3:$D$1315, $A45)+SUMIFS(DataRegularSeason20242025!$AB$3:$AB$1315,DataRegularSeason20242025!$B$3:$B$1315, "&lt;=" &amp; CK$1, DataRegularSeason20242025!$E$3:$E$1315, $A45)</f>
        <v>4</v>
      </c>
      <c r="CL45">
        <f>SUMIFS(DataRegularSeason20242025!$AA$3:$AA$1315,DataRegularSeason20242025!$B$3:$B$1315, "&lt;=" &amp; CL$1, DataRegularSeason20242025!$D$3:$D$1315, $A45)+SUMIFS(DataRegularSeason20242025!$AB$3:$AB$1315,DataRegularSeason20242025!$B$3:$B$1315, "&lt;=" &amp; CL$1, DataRegularSeason20242025!$E$3:$E$1315, $A45)</f>
        <v>4</v>
      </c>
      <c r="CM45">
        <f>SUMIFS(DataRegularSeason20242025!$AA$3:$AA$1315,DataRegularSeason20242025!$B$3:$B$1315, "&lt;=" &amp; CM$1, DataRegularSeason20242025!$D$3:$D$1315, $A45)+SUMIFS(DataRegularSeason20242025!$AB$3:$AB$1315,DataRegularSeason20242025!$B$3:$B$1315, "&lt;=" &amp; CM$1, DataRegularSeason20242025!$E$3:$E$1315, $A45)</f>
        <v>4</v>
      </c>
      <c r="CN45">
        <f>SUMIFS(DataRegularSeason20242025!$AA$3:$AA$1315,DataRegularSeason20242025!$B$3:$B$1315, "&lt;=" &amp; CN$1, DataRegularSeason20242025!$D$3:$D$1315, $A45)+SUMIFS(DataRegularSeason20242025!$AB$3:$AB$1315,DataRegularSeason20242025!$B$3:$B$1315, "&lt;=" &amp; CN$1, DataRegularSeason20242025!$E$3:$E$1315, $A45)</f>
        <v>4</v>
      </c>
      <c r="CO45">
        <f>SUMIFS(DataRegularSeason20242025!$AA$3:$AA$1315,DataRegularSeason20242025!$B$3:$B$1315, "&lt;=" &amp; CO$1, DataRegularSeason20242025!$D$3:$D$1315, $A45)+SUMIFS(DataRegularSeason20242025!$AB$3:$AB$1315,DataRegularSeason20242025!$B$3:$B$1315, "&lt;=" &amp; CO$1, DataRegularSeason20242025!$E$3:$E$1315, $A45)</f>
        <v>4</v>
      </c>
      <c r="CP45">
        <f>SUMIFS(DataRegularSeason20242025!$AA$3:$AA$1315,DataRegularSeason20242025!$B$3:$B$1315, "&lt;=" &amp; CP$1, DataRegularSeason20242025!$D$3:$D$1315, $A45)+SUMIFS(DataRegularSeason20242025!$AB$3:$AB$1315,DataRegularSeason20242025!$B$3:$B$1315, "&lt;=" &amp; CP$1, DataRegularSeason20242025!$E$3:$E$1315, $A45)</f>
        <v>4</v>
      </c>
      <c r="CQ45">
        <f>SUMIFS(DataRegularSeason20242025!$AA$3:$AA$1315,DataRegularSeason20242025!$B$3:$B$1315, "&lt;=" &amp; CQ$1, DataRegularSeason20242025!$D$3:$D$1315, $A45)+SUMIFS(DataRegularSeason20242025!$AB$3:$AB$1315,DataRegularSeason20242025!$B$3:$B$1315, "&lt;=" &amp; CQ$1, DataRegularSeason20242025!$E$3:$E$1315, $A45)</f>
        <v>4</v>
      </c>
      <c r="CR45">
        <f>SUMIFS(DataRegularSeason20242025!$AA$3:$AA$1315,DataRegularSeason20242025!$B$3:$B$1315, "&lt;=" &amp; CR$1, DataRegularSeason20242025!$D$3:$D$1315, $A45)+SUMIFS(DataRegularSeason20242025!$AB$3:$AB$1315,DataRegularSeason20242025!$B$3:$B$1315, "&lt;=" &amp; CR$1, DataRegularSeason20242025!$E$3:$E$1315, $A45)</f>
        <v>4</v>
      </c>
      <c r="CS45">
        <f>SUMIFS(DataRegularSeason20242025!$AA$3:$AA$1315,DataRegularSeason20242025!$B$3:$B$1315, "&lt;=" &amp; CS$1, DataRegularSeason20242025!$D$3:$D$1315, $A45)+SUMIFS(DataRegularSeason20242025!$AB$3:$AB$1315,DataRegularSeason20242025!$B$3:$B$1315, "&lt;=" &amp; CS$1, DataRegularSeason20242025!$E$3:$E$1315, $A45)</f>
        <v>4</v>
      </c>
      <c r="CT45">
        <f>SUMIFS(DataRegularSeason20242025!$AA$3:$AA$1315,DataRegularSeason20242025!$B$3:$B$1315, "&lt;=" &amp; CT$1, DataRegularSeason20242025!$D$3:$D$1315, $A45)+SUMIFS(DataRegularSeason20242025!$AB$3:$AB$1315,DataRegularSeason20242025!$B$3:$B$1315, "&lt;=" &amp; CT$1, DataRegularSeason20242025!$E$3:$E$1315, $A45)</f>
        <v>4</v>
      </c>
      <c r="CU45">
        <f>SUMIFS(DataRegularSeason20242025!$AA$3:$AA$1315,DataRegularSeason20242025!$B$3:$B$1315, "&lt;=" &amp; CU$1, DataRegularSeason20242025!$D$3:$D$1315, $A45)+SUMIFS(DataRegularSeason20242025!$AB$3:$AB$1315,DataRegularSeason20242025!$B$3:$B$1315, "&lt;=" &amp; CU$1, DataRegularSeason20242025!$E$3:$E$1315, $A45)</f>
        <v>4</v>
      </c>
      <c r="CV45">
        <f>SUMIFS(DataRegularSeason20242025!$AA$3:$AA$1315,DataRegularSeason20242025!$B$3:$B$1315, "&lt;=" &amp; CV$1, DataRegularSeason20242025!$D$3:$D$1315, $A45)+SUMIFS(DataRegularSeason20242025!$AB$3:$AB$1315,DataRegularSeason20242025!$B$3:$B$1315, "&lt;=" &amp; CV$1, DataRegularSeason20242025!$E$3:$E$1315, $A45)</f>
        <v>4</v>
      </c>
      <c r="CW45">
        <f>SUMIFS(DataRegularSeason20242025!$AA$3:$AA$1315,DataRegularSeason20242025!$B$3:$B$1315, "&lt;=" &amp; CW$1, DataRegularSeason20242025!$D$3:$D$1315, $A45)+SUMIFS(DataRegularSeason20242025!$AB$3:$AB$1315,DataRegularSeason20242025!$B$3:$B$1315, "&lt;=" &amp; CW$1, DataRegularSeason20242025!$E$3:$E$1315, $A45)</f>
        <v>4</v>
      </c>
      <c r="CX45">
        <f>SUMIFS(DataRegularSeason20242025!$AA$3:$AA$1315,DataRegularSeason20242025!$B$3:$B$1315, "&lt;=" &amp; CX$1, DataRegularSeason20242025!$D$3:$D$1315, $A45)+SUMIFS(DataRegularSeason20242025!$AB$3:$AB$1315,DataRegularSeason20242025!$B$3:$B$1315, "&lt;=" &amp; CX$1, DataRegularSeason20242025!$E$3:$E$1315, $A45)</f>
        <v>4</v>
      </c>
      <c r="CY45">
        <f>SUMIFS(DataRegularSeason20242025!$AA$3:$AA$1315,DataRegularSeason20242025!$B$3:$B$1315, "&lt;=" &amp; CY$1, DataRegularSeason20242025!$D$3:$D$1315, $A45)+SUMIFS(DataRegularSeason20242025!$AB$3:$AB$1315,DataRegularSeason20242025!$B$3:$B$1315, "&lt;=" &amp; CY$1, DataRegularSeason20242025!$E$3:$E$1315, $A45)</f>
        <v>4</v>
      </c>
      <c r="CZ45">
        <f>SUMIFS(DataRegularSeason20242025!$AA$3:$AA$1315,DataRegularSeason20242025!$B$3:$B$1315, "&lt;=" &amp; CZ$1, DataRegularSeason20242025!$D$3:$D$1315, $A45)+SUMIFS(DataRegularSeason20242025!$AB$3:$AB$1315,DataRegularSeason20242025!$B$3:$B$1315, "&lt;=" &amp; CZ$1, DataRegularSeason20242025!$E$3:$E$1315, $A45)</f>
        <v>4</v>
      </c>
      <c r="DA45">
        <f>SUMIFS(DataRegularSeason20242025!$AA$3:$AA$1315,DataRegularSeason20242025!$B$3:$B$1315, "&lt;=" &amp; DA$1, DataRegularSeason20242025!$D$3:$D$1315, $A45)+SUMIFS(DataRegularSeason20242025!$AB$3:$AB$1315,DataRegularSeason20242025!$B$3:$B$1315, "&lt;=" &amp; DA$1, DataRegularSeason20242025!$E$3:$E$1315, $A45)</f>
        <v>4</v>
      </c>
      <c r="DB45">
        <f>SUMIFS(DataRegularSeason20242025!$AA$3:$AA$1315,DataRegularSeason20242025!$B$3:$B$1315, "&lt;=" &amp; DB$1, DataRegularSeason20242025!$D$3:$D$1315, $A45)+SUMIFS(DataRegularSeason20242025!$AB$3:$AB$1315,DataRegularSeason20242025!$B$3:$B$1315, "&lt;=" &amp; DB$1, DataRegularSeason20242025!$E$3:$E$1315, $A45)</f>
        <v>4</v>
      </c>
      <c r="DC45">
        <f>SUMIFS(DataRegularSeason20242025!$AA$3:$AA$1315,DataRegularSeason20242025!$B$3:$B$1315, "&lt;=" &amp; DC$1, DataRegularSeason20242025!$D$3:$D$1315, $A45)+SUMIFS(DataRegularSeason20242025!$AB$3:$AB$1315,DataRegularSeason20242025!$B$3:$B$1315, "&lt;=" &amp; DC$1, DataRegularSeason20242025!$E$3:$E$1315, $A45)</f>
        <v>4</v>
      </c>
      <c r="DD45">
        <f>SUMIFS(DataRegularSeason20242025!$AA$3:$AA$1315,DataRegularSeason20242025!$B$3:$B$1315, "&lt;=" &amp; DD$1, DataRegularSeason20242025!$D$3:$D$1315, $A45)+SUMIFS(DataRegularSeason20242025!$AB$3:$AB$1315,DataRegularSeason20242025!$B$3:$B$1315, "&lt;=" &amp; DD$1, DataRegularSeason20242025!$E$3:$E$1315, $A45)</f>
        <v>4</v>
      </c>
      <c r="DE45">
        <f>SUMIFS(DataRegularSeason20242025!$AA$3:$AA$1315,DataRegularSeason20242025!$B$3:$B$1315, "&lt;=" &amp; DE$1, DataRegularSeason20242025!$D$3:$D$1315, $A45)+SUMIFS(DataRegularSeason20242025!$AB$3:$AB$1315,DataRegularSeason20242025!$B$3:$B$1315, "&lt;=" &amp; DE$1, DataRegularSeason20242025!$E$3:$E$1315, $A45)</f>
        <v>4</v>
      </c>
      <c r="DF45">
        <f>SUMIFS(DataRegularSeason20242025!$AA$3:$AA$1315,DataRegularSeason20242025!$B$3:$B$1315, "&lt;=" &amp; DF$1, DataRegularSeason20242025!$D$3:$D$1315, $A45)+SUMIFS(DataRegularSeason20242025!$AB$3:$AB$1315,DataRegularSeason20242025!$B$3:$B$1315, "&lt;=" &amp; DF$1, DataRegularSeason20242025!$E$3:$E$1315, $A45)</f>
        <v>4</v>
      </c>
      <c r="DG45">
        <f>SUMIFS(DataRegularSeason20242025!$AA$3:$AA$1315,DataRegularSeason20242025!$B$3:$B$1315, "&lt;=" &amp; DG$1, DataRegularSeason20242025!$D$3:$D$1315, $A45)+SUMIFS(DataRegularSeason20242025!$AB$3:$AB$1315,DataRegularSeason20242025!$B$3:$B$1315, "&lt;=" &amp; DG$1, DataRegularSeason20242025!$E$3:$E$1315, $A45)</f>
        <v>4</v>
      </c>
      <c r="DH45">
        <f>SUMIFS(DataRegularSeason20242025!$AA$3:$AA$1315,DataRegularSeason20242025!$B$3:$B$1315, "&lt;=" &amp; DH$1, DataRegularSeason20242025!$D$3:$D$1315, $A45)+SUMIFS(DataRegularSeason20242025!$AB$3:$AB$1315,DataRegularSeason20242025!$B$3:$B$1315, "&lt;=" &amp; DH$1, DataRegularSeason20242025!$E$3:$E$1315, $A45)</f>
        <v>4</v>
      </c>
      <c r="DI45">
        <f>SUMIFS(DataRegularSeason20242025!$AA$3:$AA$1315,DataRegularSeason20242025!$B$3:$B$1315, "&lt;=" &amp; DI$1, DataRegularSeason20242025!$D$3:$D$1315, $A45)+SUMIFS(DataRegularSeason20242025!$AB$3:$AB$1315,DataRegularSeason20242025!$B$3:$B$1315, "&lt;=" &amp; DI$1, DataRegularSeason20242025!$E$3:$E$1315, $A45)</f>
        <v>4</v>
      </c>
      <c r="DJ45">
        <f>SUMIFS(DataRegularSeason20242025!$AA$3:$AA$1315,DataRegularSeason20242025!$B$3:$B$1315, "&lt;=" &amp; DJ$1, DataRegularSeason20242025!$D$3:$D$1315, $A45)+SUMIFS(DataRegularSeason20242025!$AB$3:$AB$1315,DataRegularSeason20242025!$B$3:$B$1315, "&lt;=" &amp; DJ$1, DataRegularSeason20242025!$E$3:$E$1315, $A45)</f>
        <v>4</v>
      </c>
      <c r="DK45">
        <f>SUMIFS(DataRegularSeason20242025!$AA$3:$AA$1315,DataRegularSeason20242025!$B$3:$B$1315, "&lt;=" &amp; DK$1, DataRegularSeason20242025!$D$3:$D$1315, $A45)+SUMIFS(DataRegularSeason20242025!$AB$3:$AB$1315,DataRegularSeason20242025!$B$3:$B$1315, "&lt;=" &amp; DK$1, DataRegularSeason20242025!$E$3:$E$1315, $A45)</f>
        <v>4</v>
      </c>
      <c r="DL45">
        <f>SUMIFS(DataRegularSeason20242025!$AA$3:$AA$1315,DataRegularSeason20242025!$B$3:$B$1315, "&lt;=" &amp; DL$1, DataRegularSeason20242025!$D$3:$D$1315, $A45)+SUMIFS(DataRegularSeason20242025!$AB$3:$AB$1315,DataRegularSeason20242025!$B$3:$B$1315, "&lt;=" &amp; DL$1, DataRegularSeason20242025!$E$3:$E$1315, $A45)</f>
        <v>4</v>
      </c>
      <c r="DM45">
        <f>SUMIFS(DataRegularSeason20242025!$AA$3:$AA$1315,DataRegularSeason20242025!$B$3:$B$1315, "&lt;=" &amp; DM$1, DataRegularSeason20242025!$D$3:$D$1315, $A45)+SUMIFS(DataRegularSeason20242025!$AB$3:$AB$1315,DataRegularSeason20242025!$B$3:$B$1315, "&lt;=" &amp; DM$1, DataRegularSeason20242025!$E$3:$E$1315, $A45)</f>
        <v>4</v>
      </c>
      <c r="DN45">
        <f>SUMIFS(DataRegularSeason20242025!$AA$3:$AA$1315,DataRegularSeason20242025!$B$3:$B$1315, "&lt;=" &amp; DN$1, DataRegularSeason20242025!$D$3:$D$1315, $A45)+SUMIFS(DataRegularSeason20242025!$AB$3:$AB$1315,DataRegularSeason20242025!$B$3:$B$1315, "&lt;=" &amp; DN$1, DataRegularSeason20242025!$E$3:$E$1315, $A45)</f>
        <v>4</v>
      </c>
      <c r="DO45">
        <f>SUMIFS(DataRegularSeason20242025!$AA$3:$AA$1315,DataRegularSeason20242025!$B$3:$B$1315, "&lt;=" &amp; DO$1, DataRegularSeason20242025!$D$3:$D$1315, $A45)+SUMIFS(DataRegularSeason20242025!$AB$3:$AB$1315,DataRegularSeason20242025!$B$3:$B$1315, "&lt;=" &amp; DO$1, DataRegularSeason20242025!$E$3:$E$1315, $A45)</f>
        <v>4</v>
      </c>
      <c r="DP45">
        <f>SUMIFS(DataRegularSeason20242025!$AA$3:$AA$1315,DataRegularSeason20242025!$B$3:$B$1315, "&lt;=" &amp; DP$1, DataRegularSeason20242025!$D$3:$D$1315, $A45)+SUMIFS(DataRegularSeason20242025!$AB$3:$AB$1315,DataRegularSeason20242025!$B$3:$B$1315, "&lt;=" &amp; DP$1, DataRegularSeason20242025!$E$3:$E$1315, $A45)</f>
        <v>4</v>
      </c>
      <c r="DQ45">
        <f>SUMIFS(DataRegularSeason20242025!$AA$3:$AA$1315,DataRegularSeason20242025!$B$3:$B$1315, "&lt;=" &amp; DQ$1, DataRegularSeason20242025!$D$3:$D$1315, $A45)+SUMIFS(DataRegularSeason20242025!$AB$3:$AB$1315,DataRegularSeason20242025!$B$3:$B$1315, "&lt;=" &amp; DQ$1, DataRegularSeason20242025!$E$3:$E$1315, $A45)</f>
        <v>4</v>
      </c>
      <c r="DR45">
        <f>SUMIFS(DataRegularSeason20242025!$AA$3:$AA$1315,DataRegularSeason20242025!$B$3:$B$1315, "&lt;=" &amp; DR$1, DataRegularSeason20242025!$D$3:$D$1315, $A45)+SUMIFS(DataRegularSeason20242025!$AB$3:$AB$1315,DataRegularSeason20242025!$B$3:$B$1315, "&lt;=" &amp; DR$1, DataRegularSeason20242025!$E$3:$E$1315, $A45)</f>
        <v>4</v>
      </c>
      <c r="DS45">
        <f>SUMIFS(DataRegularSeason20242025!$AA$3:$AA$1315,DataRegularSeason20242025!$B$3:$B$1315, "&lt;=" &amp; DS$1, DataRegularSeason20242025!$D$3:$D$1315, $A45)+SUMIFS(DataRegularSeason20242025!$AB$3:$AB$1315,DataRegularSeason20242025!$B$3:$B$1315, "&lt;=" &amp; DS$1, DataRegularSeason20242025!$E$3:$E$1315, $A45)</f>
        <v>4</v>
      </c>
      <c r="DT45">
        <f>SUMIFS(DataRegularSeason20242025!$AA$3:$AA$1315,DataRegularSeason20242025!$B$3:$B$1315, "&lt;=" &amp; DT$1, DataRegularSeason20242025!$D$3:$D$1315, $A45)+SUMIFS(DataRegularSeason20242025!$AB$3:$AB$1315,DataRegularSeason20242025!$B$3:$B$1315, "&lt;=" &amp; DT$1, DataRegularSeason20242025!$E$3:$E$1315, $A45)</f>
        <v>4</v>
      </c>
      <c r="DU45">
        <f>SUMIFS(DataRegularSeason20242025!$AA$3:$AA$1315,DataRegularSeason20242025!$B$3:$B$1315, "&lt;=" &amp; DU$1, DataRegularSeason20242025!$D$3:$D$1315, $A45)+SUMIFS(DataRegularSeason20242025!$AB$3:$AB$1315,DataRegularSeason20242025!$B$3:$B$1315, "&lt;=" &amp; DU$1, DataRegularSeason20242025!$E$3:$E$1315, $A45)</f>
        <v>4</v>
      </c>
      <c r="DV45">
        <f>SUMIFS(DataRegularSeason20242025!$AA$3:$AA$1315,DataRegularSeason20242025!$B$3:$B$1315, "&lt;=" &amp; DV$1, DataRegularSeason20242025!$D$3:$D$1315, $A45)+SUMIFS(DataRegularSeason20242025!$AB$3:$AB$1315,DataRegularSeason20242025!$B$3:$B$1315, "&lt;=" &amp; DV$1, DataRegularSeason20242025!$E$3:$E$1315, $A45)</f>
        <v>4</v>
      </c>
      <c r="DW45">
        <f>SUMIFS(DataRegularSeason20242025!$AA$3:$AA$1315,DataRegularSeason20242025!$B$3:$B$1315, "&lt;=" &amp; DW$1, DataRegularSeason20242025!$D$3:$D$1315, $A45)+SUMIFS(DataRegularSeason20242025!$AB$3:$AB$1315,DataRegularSeason20242025!$B$3:$B$1315, "&lt;=" &amp; DW$1, DataRegularSeason20242025!$E$3:$E$1315, $A45)</f>
        <v>4</v>
      </c>
      <c r="DX45">
        <f>SUMIFS(DataRegularSeason20242025!$AA$3:$AA$1315,DataRegularSeason20242025!$B$3:$B$1315, "&lt;=" &amp; DX$1, DataRegularSeason20242025!$D$3:$D$1315, $A45)+SUMIFS(DataRegularSeason20242025!$AB$3:$AB$1315,DataRegularSeason20242025!$B$3:$B$1315, "&lt;=" &amp; DX$1, DataRegularSeason20242025!$E$3:$E$1315, $A45)</f>
        <v>4</v>
      </c>
      <c r="DY45">
        <f>SUMIFS(DataRegularSeason20242025!$AA$3:$AA$1315,DataRegularSeason20242025!$B$3:$B$1315, "&lt;=" &amp; DY$1, DataRegularSeason20242025!$D$3:$D$1315, $A45)+SUMIFS(DataRegularSeason20242025!$AB$3:$AB$1315,DataRegularSeason20242025!$B$3:$B$1315, "&lt;=" &amp; DY$1, DataRegularSeason20242025!$E$3:$E$1315, $A45)</f>
        <v>4</v>
      </c>
      <c r="DZ45">
        <f>SUMIFS(DataRegularSeason20242025!$AA$3:$AA$1315,DataRegularSeason20242025!$B$3:$B$1315, "&lt;=" &amp; DZ$1, DataRegularSeason20242025!$D$3:$D$1315, $A45)+SUMIFS(DataRegularSeason20242025!$AB$3:$AB$1315,DataRegularSeason20242025!$B$3:$B$1315, "&lt;=" &amp; DZ$1, DataRegularSeason20242025!$E$3:$E$1315, $A45)</f>
        <v>4</v>
      </c>
      <c r="EA45">
        <f>SUMIFS(DataRegularSeason20242025!$AA$3:$AA$1315,DataRegularSeason20242025!$B$3:$B$1315, "&lt;=" &amp; EA$1, DataRegularSeason20242025!$D$3:$D$1315, $A45)+SUMIFS(DataRegularSeason20242025!$AB$3:$AB$1315,DataRegularSeason20242025!$B$3:$B$1315, "&lt;=" &amp; EA$1, DataRegularSeason20242025!$E$3:$E$1315, $A45)</f>
        <v>4</v>
      </c>
      <c r="EB45">
        <f>SUMIFS(DataRegularSeason20242025!$AA$3:$AA$1315,DataRegularSeason20242025!$B$3:$B$1315, "&lt;=" &amp; EB$1, DataRegularSeason20242025!$D$3:$D$1315, $A45)+SUMIFS(DataRegularSeason20242025!$AB$3:$AB$1315,DataRegularSeason20242025!$B$3:$B$1315, "&lt;=" &amp; EB$1, DataRegularSeason20242025!$E$3:$E$1315, $A45)</f>
        <v>4</v>
      </c>
      <c r="EC45">
        <f>SUMIFS(DataRegularSeason20242025!$AA$3:$AA$1315,DataRegularSeason20242025!$B$3:$B$1315, "&lt;=" &amp; EC$1, DataRegularSeason20242025!$D$3:$D$1315, $A45)+SUMIFS(DataRegularSeason20242025!$AB$3:$AB$1315,DataRegularSeason20242025!$B$3:$B$1315, "&lt;=" &amp; EC$1, DataRegularSeason20242025!$E$3:$E$1315, $A45)</f>
        <v>4</v>
      </c>
      <c r="ED45">
        <f>SUMIFS(DataRegularSeason20242025!$AA$3:$AA$1315,DataRegularSeason20242025!$B$3:$B$1315, "&lt;=" &amp; ED$1, DataRegularSeason20242025!$D$3:$D$1315, $A45)+SUMIFS(DataRegularSeason20242025!$AB$3:$AB$1315,DataRegularSeason20242025!$B$3:$B$1315, "&lt;=" &amp; ED$1, DataRegularSeason20242025!$E$3:$E$1315, $A45)</f>
        <v>4</v>
      </c>
      <c r="EE45">
        <f>SUMIFS(DataRegularSeason20242025!$AA$3:$AA$1315,DataRegularSeason20242025!$B$3:$B$1315, "&lt;=" &amp; EE$1, DataRegularSeason20242025!$D$3:$D$1315, $A45)+SUMIFS(DataRegularSeason20242025!$AB$3:$AB$1315,DataRegularSeason20242025!$B$3:$B$1315, "&lt;=" &amp; EE$1, DataRegularSeason20242025!$E$3:$E$1315, $A45)</f>
        <v>4</v>
      </c>
      <c r="EF45">
        <f>SUMIFS(DataRegularSeason20242025!$AA$3:$AA$1315,DataRegularSeason20242025!$B$3:$B$1315, "&lt;=" &amp; EF$1, DataRegularSeason20242025!$D$3:$D$1315, $A45)+SUMIFS(DataRegularSeason20242025!$AB$3:$AB$1315,DataRegularSeason20242025!$B$3:$B$1315, "&lt;=" &amp; EF$1, DataRegularSeason20242025!$E$3:$E$1315, $A45)</f>
        <v>4</v>
      </c>
      <c r="EG45">
        <f>SUMIFS(DataRegularSeason20242025!$AA$3:$AA$1315,DataRegularSeason20242025!$B$3:$B$1315, "&lt;=" &amp; EG$1, DataRegularSeason20242025!$D$3:$D$1315, $A45)+SUMIFS(DataRegularSeason20242025!$AB$3:$AB$1315,DataRegularSeason20242025!$B$3:$B$1315, "&lt;=" &amp; EG$1, DataRegularSeason20242025!$E$3:$E$1315, $A45)</f>
        <v>4</v>
      </c>
      <c r="EH45">
        <f>SUMIFS(DataRegularSeason20242025!$AA$3:$AA$1315,DataRegularSeason20242025!$B$3:$B$1315, "&lt;=" &amp; EH$1, DataRegularSeason20242025!$D$3:$D$1315, $A45)+SUMIFS(DataRegularSeason20242025!$AB$3:$AB$1315,DataRegularSeason20242025!$B$3:$B$1315, "&lt;=" &amp; EH$1, DataRegularSeason20242025!$E$3:$E$1315, $A45)</f>
        <v>4</v>
      </c>
      <c r="EI45">
        <f>SUMIFS(DataRegularSeason20242025!$AA$3:$AA$1315,DataRegularSeason20242025!$B$3:$B$1315, "&lt;=" &amp; EI$1, DataRegularSeason20242025!$D$3:$D$1315, $A45)+SUMIFS(DataRegularSeason20242025!$AB$3:$AB$1315,DataRegularSeason20242025!$B$3:$B$1315, "&lt;=" &amp; EI$1, DataRegularSeason20242025!$E$3:$E$1315, $A45)</f>
        <v>4</v>
      </c>
      <c r="EJ45">
        <f>SUMIFS(DataRegularSeason20242025!$AA$3:$AA$1315,DataRegularSeason20242025!$B$3:$B$1315, "&lt;=" &amp; EJ$1, DataRegularSeason20242025!$D$3:$D$1315, $A45)+SUMIFS(DataRegularSeason20242025!$AB$3:$AB$1315,DataRegularSeason20242025!$B$3:$B$1315, "&lt;=" &amp; EJ$1, DataRegularSeason20242025!$E$3:$E$1315, $A45)</f>
        <v>4</v>
      </c>
      <c r="EK45">
        <f>SUMIFS(DataRegularSeason20242025!$AA$3:$AA$1315,DataRegularSeason20242025!$B$3:$B$1315, "&lt;=" &amp; EK$1, DataRegularSeason20242025!$D$3:$D$1315, $A45)+SUMIFS(DataRegularSeason20242025!$AB$3:$AB$1315,DataRegularSeason20242025!$B$3:$B$1315, "&lt;=" &amp; EK$1, DataRegularSeason20242025!$E$3:$E$1315, $A45)</f>
        <v>4</v>
      </c>
      <c r="EL45">
        <f>SUMIFS(DataRegularSeason20242025!$AA$3:$AA$1315,DataRegularSeason20242025!$B$3:$B$1315, "&lt;=" &amp; EL$1, DataRegularSeason20242025!$D$3:$D$1315, $A45)+SUMIFS(DataRegularSeason20242025!$AB$3:$AB$1315,DataRegularSeason20242025!$B$3:$B$1315, "&lt;=" &amp; EL$1, DataRegularSeason20242025!$E$3:$E$1315, $A45)</f>
        <v>4</v>
      </c>
      <c r="EM45">
        <f>SUMIFS(DataRegularSeason20242025!$AA$3:$AA$1315,DataRegularSeason20242025!$B$3:$B$1315, "&lt;=" &amp; EM$1, DataRegularSeason20242025!$D$3:$D$1315, $A45)+SUMIFS(DataRegularSeason20242025!$AB$3:$AB$1315,DataRegularSeason20242025!$B$3:$B$1315, "&lt;=" &amp; EM$1, DataRegularSeason20242025!$E$3:$E$1315, $A45)</f>
        <v>4</v>
      </c>
      <c r="EN45">
        <f>SUMIFS(DataRegularSeason20242025!$AA$3:$AA$1315,DataRegularSeason20242025!$B$3:$B$1315, "&lt;=" &amp; EN$1, DataRegularSeason20242025!$D$3:$D$1315, $A45)+SUMIFS(DataRegularSeason20242025!$AB$3:$AB$1315,DataRegularSeason20242025!$B$3:$B$1315, "&lt;=" &amp; EN$1, DataRegularSeason20242025!$E$3:$E$1315, $A45)</f>
        <v>4</v>
      </c>
      <c r="EO45">
        <f>SUMIFS(DataRegularSeason20242025!$AA$3:$AA$1315,DataRegularSeason20242025!$B$3:$B$1315, "&lt;=" &amp; EO$1, DataRegularSeason20242025!$D$3:$D$1315, $A45)+SUMIFS(DataRegularSeason20242025!$AB$3:$AB$1315,DataRegularSeason20242025!$B$3:$B$1315, "&lt;=" &amp; EO$1, DataRegularSeason20242025!$E$3:$E$1315, $A45)</f>
        <v>4</v>
      </c>
      <c r="EP45">
        <f>SUMIFS(DataRegularSeason20242025!$AA$3:$AA$1315,DataRegularSeason20242025!$B$3:$B$1315, "&lt;=" &amp; EP$1, DataRegularSeason20242025!$D$3:$D$1315, $A45)+SUMIFS(DataRegularSeason20242025!$AB$3:$AB$1315,DataRegularSeason20242025!$B$3:$B$1315, "&lt;=" &amp; EP$1, DataRegularSeason20242025!$E$3:$E$1315, $A45)</f>
        <v>4</v>
      </c>
      <c r="EQ45">
        <f>SUMIFS(DataRegularSeason20242025!$AA$3:$AA$1315,DataRegularSeason20242025!$B$3:$B$1315, "&lt;=" &amp; EQ$1, DataRegularSeason20242025!$D$3:$D$1315, $A45)+SUMIFS(DataRegularSeason20242025!$AB$3:$AB$1315,DataRegularSeason20242025!$B$3:$B$1315, "&lt;=" &amp; EQ$1, DataRegularSeason20242025!$E$3:$E$1315, $A45)</f>
        <v>4</v>
      </c>
      <c r="ER45">
        <f>SUMIFS(DataRegularSeason20242025!$AA$3:$AA$1315,DataRegularSeason20242025!$B$3:$B$1315, "&lt;=" &amp; ER$1, DataRegularSeason20242025!$D$3:$D$1315, $A45)+SUMIFS(DataRegularSeason20242025!$AB$3:$AB$1315,DataRegularSeason20242025!$B$3:$B$1315, "&lt;=" &amp; ER$1, DataRegularSeason20242025!$E$3:$E$1315, $A45)</f>
        <v>4</v>
      </c>
      <c r="ES45">
        <f>SUMIFS(DataRegularSeason20242025!$AA$3:$AA$1315,DataRegularSeason20242025!$B$3:$B$1315, "&lt;=" &amp; ES$1, DataRegularSeason20242025!$D$3:$D$1315, $A45)+SUMIFS(DataRegularSeason20242025!$AB$3:$AB$1315,DataRegularSeason20242025!$B$3:$B$1315, "&lt;=" &amp; ES$1, DataRegularSeason20242025!$E$3:$E$1315, $A45)</f>
        <v>4</v>
      </c>
      <c r="ET45">
        <f>SUMIFS(DataRegularSeason20242025!$AA$3:$AA$1315,DataRegularSeason20242025!$B$3:$B$1315, "&lt;=" &amp; ET$1, DataRegularSeason20242025!$D$3:$D$1315, $A45)+SUMIFS(DataRegularSeason20242025!$AB$3:$AB$1315,DataRegularSeason20242025!$B$3:$B$1315, "&lt;=" &amp; ET$1, DataRegularSeason20242025!$E$3:$E$1315, $A45)</f>
        <v>4</v>
      </c>
      <c r="EU45">
        <f>SUMIFS(DataRegularSeason20242025!$AA$3:$AA$1315,DataRegularSeason20242025!$B$3:$B$1315, "&lt;=" &amp; EU$1, DataRegularSeason20242025!$D$3:$D$1315, $A45)+SUMIFS(DataRegularSeason20242025!$AB$3:$AB$1315,DataRegularSeason20242025!$B$3:$B$1315, "&lt;=" &amp; EU$1, DataRegularSeason20242025!$E$3:$E$1315, $A45)</f>
        <v>4</v>
      </c>
      <c r="EV45">
        <f>SUMIFS(DataRegularSeason20242025!$AA$3:$AA$1315,DataRegularSeason20242025!$B$3:$B$1315, "&lt;=" &amp; EV$1, DataRegularSeason20242025!$D$3:$D$1315, $A45)+SUMIFS(DataRegularSeason20242025!$AB$3:$AB$1315,DataRegularSeason20242025!$B$3:$B$1315, "&lt;=" &amp; EV$1, DataRegularSeason20242025!$E$3:$E$1315, $A45)</f>
        <v>4</v>
      </c>
      <c r="EW45">
        <f>SUMIFS(DataRegularSeason20242025!$AA$3:$AA$1315,DataRegularSeason20242025!$B$3:$B$1315, "&lt;=" &amp; EW$1, DataRegularSeason20242025!$D$3:$D$1315, $A45)+SUMIFS(DataRegularSeason20242025!$AB$3:$AB$1315,DataRegularSeason20242025!$B$3:$B$1315, "&lt;=" &amp; EW$1, DataRegularSeason20242025!$E$3:$E$1315, $A45)</f>
        <v>4</v>
      </c>
      <c r="EX45">
        <f>SUMIFS(DataRegularSeason20242025!$AA$3:$AA$1315,DataRegularSeason20242025!$B$3:$B$1315, "&lt;=" &amp; EX$1, DataRegularSeason20242025!$D$3:$D$1315, $A45)+SUMIFS(DataRegularSeason20242025!$AB$3:$AB$1315,DataRegularSeason20242025!$B$3:$B$1315, "&lt;=" &amp; EX$1, DataRegularSeason20242025!$E$3:$E$1315, $A45)</f>
        <v>4</v>
      </c>
      <c r="EY45">
        <f>SUMIFS(DataRegularSeason20242025!$AA$3:$AA$1315,DataRegularSeason20242025!$B$3:$B$1315, "&lt;=" &amp; EY$1, DataRegularSeason20242025!$D$3:$D$1315, $A45)+SUMIFS(DataRegularSeason20242025!$AB$3:$AB$1315,DataRegularSeason20242025!$B$3:$B$1315, "&lt;=" &amp; EY$1, DataRegularSeason20242025!$E$3:$E$1315, $A45)</f>
        <v>4</v>
      </c>
      <c r="EZ45">
        <f>SUMIFS(DataRegularSeason20242025!$AA$3:$AA$1315,DataRegularSeason20242025!$B$3:$B$1315, "&lt;=" &amp; EZ$1, DataRegularSeason20242025!$D$3:$D$1315, $A45)+SUMIFS(DataRegularSeason20242025!$AB$3:$AB$1315,DataRegularSeason20242025!$B$3:$B$1315, "&lt;=" &amp; EZ$1, DataRegularSeason20242025!$E$3:$E$1315, $A45)</f>
        <v>4</v>
      </c>
      <c r="FA45">
        <f>SUMIFS(DataRegularSeason20242025!$AA$3:$AA$1315,DataRegularSeason20242025!$B$3:$B$1315, "&lt;=" &amp; FA$1, DataRegularSeason20242025!$D$3:$D$1315, $A45)+SUMIFS(DataRegularSeason20242025!$AB$3:$AB$1315,DataRegularSeason20242025!$B$3:$B$1315, "&lt;=" &amp; FA$1, DataRegularSeason20242025!$E$3:$E$1315, $A45)</f>
        <v>4</v>
      </c>
      <c r="FB45">
        <f>SUMIFS(DataRegularSeason20242025!$AA$3:$AA$1315,DataRegularSeason20242025!$B$3:$B$1315, "&lt;=" &amp; FB$1, DataRegularSeason20242025!$D$3:$D$1315, $A45)+SUMIFS(DataRegularSeason20242025!$AB$3:$AB$1315,DataRegularSeason20242025!$B$3:$B$1315, "&lt;=" &amp; FB$1, DataRegularSeason20242025!$E$3:$E$1315, $A45)</f>
        <v>4</v>
      </c>
      <c r="FC45">
        <f>SUMIFS(DataRegularSeason20242025!$AA$3:$AA$1315,DataRegularSeason20242025!$B$3:$B$1315, "&lt;=" &amp; FC$1, DataRegularSeason20242025!$D$3:$D$1315, $A45)+SUMIFS(DataRegularSeason20242025!$AB$3:$AB$1315,DataRegularSeason20242025!$B$3:$B$1315, "&lt;=" &amp; FC$1, DataRegularSeason20242025!$E$3:$E$1315, $A45)</f>
        <v>4</v>
      </c>
      <c r="FD45">
        <f>SUMIFS(DataRegularSeason20242025!$AA$3:$AA$1315,DataRegularSeason20242025!$B$3:$B$1315, "&lt;=" &amp; FD$1, DataRegularSeason20242025!$D$3:$D$1315, $A45)+SUMIFS(DataRegularSeason20242025!$AB$3:$AB$1315,DataRegularSeason20242025!$B$3:$B$1315, "&lt;=" &amp; FD$1, DataRegularSeason20242025!$E$3:$E$1315, $A45)</f>
        <v>4</v>
      </c>
      <c r="FE45">
        <f>SUMIFS(DataRegularSeason20242025!$AA$3:$AA$1315,DataRegularSeason20242025!$B$3:$B$1315, "&lt;=" &amp; FE$1, DataRegularSeason20242025!$D$3:$D$1315, $A45)+SUMIFS(DataRegularSeason20242025!$AB$3:$AB$1315,DataRegularSeason20242025!$B$3:$B$1315, "&lt;=" &amp; FE$1, DataRegularSeason20242025!$E$3:$E$1315, $A45)</f>
        <v>4</v>
      </c>
      <c r="FF45">
        <f>SUMIFS(DataRegularSeason20242025!$AA$3:$AA$1315,DataRegularSeason20242025!$B$3:$B$1315, "&lt;=" &amp; FF$1, DataRegularSeason20242025!$D$3:$D$1315, $A45)+SUMIFS(DataRegularSeason20242025!$AB$3:$AB$1315,DataRegularSeason20242025!$B$3:$B$1315, "&lt;=" &amp; FF$1, DataRegularSeason20242025!$E$3:$E$1315, $A45)</f>
        <v>4</v>
      </c>
      <c r="FG45">
        <f>SUMIFS(DataRegularSeason20242025!$AA$3:$AA$1315,DataRegularSeason20242025!$B$3:$B$1315, "&lt;=" &amp; FG$1, DataRegularSeason20242025!$D$3:$D$1315, $A45)+SUMIFS(DataRegularSeason20242025!$AB$3:$AB$1315,DataRegularSeason20242025!$B$3:$B$1315, "&lt;=" &amp; FG$1, DataRegularSeason20242025!$E$3:$E$1315, $A45)</f>
        <v>4</v>
      </c>
      <c r="FH45">
        <f>SUMIFS(DataRegularSeason20242025!$AA$3:$AA$1315,DataRegularSeason20242025!$B$3:$B$1315, "&lt;=" &amp; FH$1, DataRegularSeason20242025!$D$3:$D$1315, $A45)+SUMIFS(DataRegularSeason20242025!$AB$3:$AB$1315,DataRegularSeason20242025!$B$3:$B$1315, "&lt;=" &amp; FH$1, DataRegularSeason20242025!$E$3:$E$1315, $A45)</f>
        <v>4</v>
      </c>
      <c r="FI45">
        <f>SUMIFS(DataRegularSeason20242025!$AA$3:$AA$1315,DataRegularSeason20242025!$B$3:$B$1315, "&lt;=" &amp; FI$1, DataRegularSeason20242025!$D$3:$D$1315, $A45)+SUMIFS(DataRegularSeason20242025!$AB$3:$AB$1315,DataRegularSeason20242025!$B$3:$B$1315, "&lt;=" &amp; FI$1, DataRegularSeason20242025!$E$3:$E$1315, $A45)</f>
        <v>4</v>
      </c>
      <c r="FJ45">
        <f>SUMIFS(DataRegularSeason20242025!$AA$3:$AA$1315,DataRegularSeason20242025!$B$3:$B$1315, "&lt;=" &amp; FJ$1, DataRegularSeason20242025!$D$3:$D$1315, $A45)+SUMIFS(DataRegularSeason20242025!$AB$3:$AB$1315,DataRegularSeason20242025!$B$3:$B$1315, "&lt;=" &amp; FJ$1, DataRegularSeason20242025!$E$3:$E$1315, $A45)</f>
        <v>4</v>
      </c>
      <c r="FK45">
        <f>SUMIFS(DataRegularSeason20242025!$AA$3:$AA$1315,DataRegularSeason20242025!$B$3:$B$1315, "&lt;=" &amp; FK$1, DataRegularSeason20242025!$D$3:$D$1315, $A45)+SUMIFS(DataRegularSeason20242025!$AB$3:$AB$1315,DataRegularSeason20242025!$B$3:$B$1315, "&lt;=" &amp; FK$1, DataRegularSeason20242025!$E$3:$E$1315, $A45)</f>
        <v>4</v>
      </c>
      <c r="FL45">
        <f>SUMIFS(DataRegularSeason20242025!$AA$3:$AA$1315,DataRegularSeason20242025!$B$3:$B$1315, "&lt;=" &amp; FL$1, DataRegularSeason20242025!$D$3:$D$1315, $A45)+SUMIFS(DataRegularSeason20242025!$AB$3:$AB$1315,DataRegularSeason20242025!$B$3:$B$1315, "&lt;=" &amp; FL$1, DataRegularSeason20242025!$E$3:$E$1315, $A45)</f>
        <v>4</v>
      </c>
      <c r="FM45">
        <f>SUMIFS(DataRegularSeason20242025!$AA$3:$AA$1315,DataRegularSeason20242025!$B$3:$B$1315, "&lt;=" &amp; FM$1, DataRegularSeason20242025!$D$3:$D$1315, $A45)+SUMIFS(DataRegularSeason20242025!$AB$3:$AB$1315,DataRegularSeason20242025!$B$3:$B$1315, "&lt;=" &amp; FM$1, DataRegularSeason20242025!$E$3:$E$1315, $A45)</f>
        <v>4</v>
      </c>
      <c r="FN45">
        <f>SUMIFS(DataRegularSeason20242025!$AA$3:$AA$1315,DataRegularSeason20242025!$B$3:$B$1315, "&lt;=" &amp; FN$1, DataRegularSeason20242025!$D$3:$D$1315, $A45)+SUMIFS(DataRegularSeason20242025!$AB$3:$AB$1315,DataRegularSeason20242025!$B$3:$B$1315, "&lt;=" &amp; FN$1, DataRegularSeason20242025!$E$3:$E$1315, $A45)</f>
        <v>4</v>
      </c>
      <c r="FO45">
        <f>SUMIFS(DataRegularSeason20242025!$AA$3:$AA$1315,DataRegularSeason20242025!$B$3:$B$1315, "&lt;=" &amp; FO$1, DataRegularSeason20242025!$D$3:$D$1315, $A45)+SUMIFS(DataRegularSeason20242025!$AB$3:$AB$1315,DataRegularSeason20242025!$B$3:$B$1315, "&lt;=" &amp; FO$1, DataRegularSeason20242025!$E$3:$E$1315, $A45)</f>
        <v>4</v>
      </c>
      <c r="FP45">
        <f>SUMIFS(DataRegularSeason20242025!$AA$3:$AA$1315,DataRegularSeason20242025!$B$3:$B$1315, "&lt;=" &amp; FP$1, DataRegularSeason20242025!$D$3:$D$1315, $A45)+SUMIFS(DataRegularSeason20242025!$AB$3:$AB$1315,DataRegularSeason20242025!$B$3:$B$1315, "&lt;=" &amp; FP$1, DataRegularSeason20242025!$E$3:$E$1315, $A45)</f>
        <v>4</v>
      </c>
      <c r="FQ45">
        <f>SUMIFS(DataRegularSeason20242025!$AA$3:$AA$1315,DataRegularSeason20242025!$B$3:$B$1315, "&lt;=" &amp; FQ$1, DataRegularSeason20242025!$D$3:$D$1315, $A45)+SUMIFS(DataRegularSeason20242025!$AB$3:$AB$1315,DataRegularSeason20242025!$B$3:$B$1315, "&lt;=" &amp; FQ$1, DataRegularSeason20242025!$E$3:$E$1315, $A45)</f>
        <v>4</v>
      </c>
      <c r="FR45">
        <f>SUMIFS(DataRegularSeason20242025!$AA$3:$AA$1315,DataRegularSeason20242025!$B$3:$B$1315, "&lt;=" &amp; FR$1, DataRegularSeason20242025!$D$3:$D$1315, $A45)+SUMIFS(DataRegularSeason20242025!$AB$3:$AB$1315,DataRegularSeason20242025!$B$3:$B$1315, "&lt;=" &amp; FR$1, DataRegularSeason20242025!$E$3:$E$1315, $A45)</f>
        <v>4</v>
      </c>
      <c r="FS45">
        <f>SUMIFS(DataRegularSeason20242025!$AA$3:$AA$1315,DataRegularSeason20242025!$B$3:$B$1315, "&lt;=" &amp; FS$1, DataRegularSeason20242025!$D$3:$D$1315, $A45)+SUMIFS(DataRegularSeason20242025!$AB$3:$AB$1315,DataRegularSeason20242025!$B$3:$B$1315, "&lt;=" &amp; FS$1, DataRegularSeason20242025!$E$3:$E$1315, $A45)</f>
        <v>4</v>
      </c>
      <c r="FT45">
        <f>SUMIFS(DataRegularSeason20242025!$AA$3:$AA$1315,DataRegularSeason20242025!$B$3:$B$1315, "&lt;=" &amp; FT$1, DataRegularSeason20242025!$D$3:$D$1315, $A45)+SUMIFS(DataRegularSeason20242025!$AB$3:$AB$1315,DataRegularSeason20242025!$B$3:$B$1315, "&lt;=" &amp; FT$1, DataRegularSeason20242025!$E$3:$E$1315, $A45)</f>
        <v>4</v>
      </c>
      <c r="FU45">
        <f>SUMIFS(DataRegularSeason20242025!$AA$3:$AA$1315,DataRegularSeason20242025!$B$3:$B$1315, "&lt;=" &amp; FU$1, DataRegularSeason20242025!$D$3:$D$1315, $A45)+SUMIFS(DataRegularSeason20242025!$AB$3:$AB$1315,DataRegularSeason20242025!$B$3:$B$1315, "&lt;=" &amp; FU$1, DataRegularSeason20242025!$E$3:$E$1315, $A45)</f>
        <v>4</v>
      </c>
      <c r="FV45">
        <f>SUMIFS(DataRegularSeason20242025!$AA$3:$AA$1315,DataRegularSeason20242025!$B$3:$B$1315, "&lt;=" &amp; FV$1, DataRegularSeason20242025!$D$3:$D$1315, $A45)+SUMIFS(DataRegularSeason20242025!$AB$3:$AB$1315,DataRegularSeason20242025!$B$3:$B$1315, "&lt;=" &amp; FV$1, DataRegularSeason20242025!$E$3:$E$1315, $A45)</f>
        <v>4</v>
      </c>
      <c r="FW45">
        <f>SUMIFS(DataRegularSeason20242025!$AA$3:$AA$1315,DataRegularSeason20242025!$B$3:$B$1315, "&lt;=" &amp; FW$1, DataRegularSeason20242025!$D$3:$D$1315, $A45)+SUMIFS(DataRegularSeason20242025!$AB$3:$AB$1315,DataRegularSeason20242025!$B$3:$B$1315, "&lt;=" &amp; FW$1, DataRegularSeason20242025!$E$3:$E$1315, $A45)</f>
        <v>4</v>
      </c>
      <c r="FX45">
        <f>SUMIFS(DataRegularSeason20242025!$AA$3:$AA$1315,DataRegularSeason20242025!$B$3:$B$1315, "&lt;=" &amp; FX$1, DataRegularSeason20242025!$D$3:$D$1315, $A45)+SUMIFS(DataRegularSeason20242025!$AB$3:$AB$1315,DataRegularSeason20242025!$B$3:$B$1315, "&lt;=" &amp; FX$1, DataRegularSeason20242025!$E$3:$E$1315, $A45)</f>
        <v>4</v>
      </c>
      <c r="FY45">
        <f>SUMIFS(DataRegularSeason20242025!$AA$3:$AA$1315,DataRegularSeason20242025!$B$3:$B$1315, "&lt;=" &amp; FY$1, DataRegularSeason20242025!$D$3:$D$1315, $A45)+SUMIFS(DataRegularSeason20242025!$AB$3:$AB$1315,DataRegularSeason20242025!$B$3:$B$1315, "&lt;=" &amp; FY$1, DataRegularSeason20242025!$E$3:$E$1315, $A45)</f>
        <v>4</v>
      </c>
      <c r="FZ45">
        <f>SUMIFS(DataRegularSeason20242025!$AA$3:$AA$1315,DataRegularSeason20242025!$B$3:$B$1315, "&lt;=" &amp; FZ$1, DataRegularSeason20242025!$D$3:$D$1315, $A45)+SUMIFS(DataRegularSeason20242025!$AB$3:$AB$1315,DataRegularSeason20242025!$B$3:$B$1315, "&lt;=" &amp; FZ$1, DataRegularSeason20242025!$E$3:$E$1315, $A45)</f>
        <v>4</v>
      </c>
      <c r="GA45">
        <f>SUMIFS(DataRegularSeason20242025!$AA$3:$AA$1315,DataRegularSeason20242025!$B$3:$B$1315, "&lt;=" &amp; GA$1, DataRegularSeason20242025!$D$3:$D$1315, $A45)+SUMIFS(DataRegularSeason20242025!$AB$3:$AB$1315,DataRegularSeason20242025!$B$3:$B$1315, "&lt;=" &amp; GA$1, DataRegularSeason20242025!$E$3:$E$1315, $A45)</f>
        <v>4</v>
      </c>
      <c r="GB45">
        <f>SUMIFS(DataRegularSeason20242025!$AA$3:$AA$1315,DataRegularSeason20242025!$B$3:$B$1315, "&lt;=" &amp; GB$1, DataRegularSeason20242025!$D$3:$D$1315, $A45)+SUMIFS(DataRegularSeason20242025!$AB$3:$AB$1315,DataRegularSeason20242025!$B$3:$B$1315, "&lt;=" &amp; GB$1, DataRegularSeason20242025!$E$3:$E$1315, $A45)</f>
        <v>4</v>
      </c>
      <c r="GC45">
        <f>SUMIFS(DataRegularSeason20242025!$AA$3:$AA$1315,DataRegularSeason20242025!$B$3:$B$1315, "&lt;=" &amp; GC$1, DataRegularSeason20242025!$D$3:$D$1315, $A45)+SUMIFS(DataRegularSeason20242025!$AB$3:$AB$1315,DataRegularSeason20242025!$B$3:$B$1315, "&lt;=" &amp; GC$1, DataRegularSeason20242025!$E$3:$E$1315, $A45)</f>
        <v>4</v>
      </c>
      <c r="GD45">
        <f>SUMIFS(DataRegularSeason20242025!$AA$3:$AA$1315,DataRegularSeason20242025!$B$3:$B$1315, "&lt;=" &amp; GD$1, DataRegularSeason20242025!$D$3:$D$1315, $A45)+SUMIFS(DataRegularSeason20242025!$AB$3:$AB$1315,DataRegularSeason20242025!$B$3:$B$1315, "&lt;=" &amp; GD$1, DataRegularSeason20242025!$E$3:$E$1315, $A45)</f>
        <v>4</v>
      </c>
      <c r="GE45">
        <f>SUMIFS(DataRegularSeason20242025!$AA$3:$AA$1315,DataRegularSeason20242025!$B$3:$B$1315, "&lt;=" &amp; GE$1, DataRegularSeason20242025!$D$3:$D$1315, $A45)+SUMIFS(DataRegularSeason20242025!$AB$3:$AB$1315,DataRegularSeason20242025!$B$3:$B$1315, "&lt;=" &amp; GE$1, DataRegularSeason20242025!$E$3:$E$1315, $A45)</f>
        <v>4</v>
      </c>
      <c r="GF45">
        <f>SUMIFS(DataRegularSeason20242025!$AA$3:$AA$1315,DataRegularSeason20242025!$B$3:$B$1315, "&lt;=" &amp; GF$1, DataRegularSeason20242025!$D$3:$D$1315, $A45)+SUMIFS(DataRegularSeason20242025!$AB$3:$AB$1315,DataRegularSeason20242025!$B$3:$B$1315, "&lt;=" &amp; GF$1, DataRegularSeason20242025!$E$3:$E$1315, $A45)</f>
        <v>4</v>
      </c>
      <c r="GG45">
        <f>SUMIFS(DataRegularSeason20242025!$AA$3:$AA$1315,DataRegularSeason20242025!$B$3:$B$1315, "&lt;=" &amp; GG$1, DataRegularSeason20242025!$D$3:$D$1315, $A45)+SUMIFS(DataRegularSeason20242025!$AB$3:$AB$1315,DataRegularSeason20242025!$B$3:$B$1315, "&lt;=" &amp; GG$1, DataRegularSeason20242025!$E$3:$E$1315, $A45)</f>
        <v>4</v>
      </c>
      <c r="GH45">
        <f>SUMIFS(DataRegularSeason20242025!$AA$3:$AA$1315,DataRegularSeason20242025!$B$3:$B$1315, "&lt;=" &amp; GH$1, DataRegularSeason20242025!$D$3:$D$1315, $A45)+SUMIFS(DataRegularSeason20242025!$AB$3:$AB$1315,DataRegularSeason20242025!$B$3:$B$1315, "&lt;=" &amp; GH$1, DataRegularSeason20242025!$E$3:$E$1315, $A45)</f>
        <v>4</v>
      </c>
      <c r="GI45">
        <f>SUMIFS(DataRegularSeason20242025!$AA$3:$AA$1315,DataRegularSeason20242025!$B$3:$B$1315, "&lt;=" &amp; GI$1, DataRegularSeason20242025!$D$3:$D$1315, $A45)+SUMIFS(DataRegularSeason20242025!$AB$3:$AB$1315,DataRegularSeason20242025!$B$3:$B$1315, "&lt;=" &amp; GI$1, DataRegularSeason20242025!$E$3:$E$1315, $A45)</f>
        <v>4</v>
      </c>
      <c r="GJ45">
        <f>SUMIFS(DataRegularSeason20242025!$AA$3:$AA$1315,DataRegularSeason20242025!$B$3:$B$1315, "&lt;=" &amp; GJ$1, DataRegularSeason20242025!$D$3:$D$1315, $A45)+SUMIFS(DataRegularSeason20242025!$AB$3:$AB$1315,DataRegularSeason20242025!$B$3:$B$1315, "&lt;=" &amp; GJ$1, DataRegularSeason20242025!$E$3:$E$1315, $A45)</f>
        <v>4</v>
      </c>
      <c r="GK45">
        <f>SUMIFS(DataRegularSeason20242025!$AA$3:$AA$1315,DataRegularSeason20242025!$B$3:$B$1315, "&lt;=" &amp; GK$1, DataRegularSeason20242025!$D$3:$D$1315, $A45)+SUMIFS(DataRegularSeason20242025!$AB$3:$AB$1315,DataRegularSeason20242025!$B$3:$B$1315, "&lt;=" &amp; GK$1, DataRegularSeason20242025!$E$3:$E$1315, $A45)</f>
        <v>4</v>
      </c>
      <c r="GL45">
        <f>SUMIFS(DataRegularSeason20242025!$AA$3:$AA$1315,DataRegularSeason20242025!$B$3:$B$1315, "&lt;=" &amp; GL$1, DataRegularSeason20242025!$D$3:$D$1315, $A45)+SUMIFS(DataRegularSeason20242025!$AB$3:$AB$1315,DataRegularSeason20242025!$B$3:$B$1315, "&lt;=" &amp; GL$1, DataRegularSeason20242025!$E$3:$E$1315, $A45)</f>
        <v>4</v>
      </c>
      <c r="GM45">
        <f>SUMIFS(DataRegularSeason20242025!$AA$3:$AA$1315,DataRegularSeason20242025!$B$3:$B$1315, "&lt;=" &amp; GM$1, DataRegularSeason20242025!$D$3:$D$1315, $A45)+SUMIFS(DataRegularSeason20242025!$AB$3:$AB$1315,DataRegularSeason20242025!$B$3:$B$1315, "&lt;=" &amp; GM$1, DataRegularSeason20242025!$E$3:$E$1315, $A45)</f>
        <v>4</v>
      </c>
      <c r="GN45">
        <f>SUMIFS(DataRegularSeason20242025!$AA$3:$AA$1315,DataRegularSeason20242025!$B$3:$B$1315, "&lt;=" &amp; GN$1, DataRegularSeason20242025!$D$3:$D$1315, $A45)+SUMIFS(DataRegularSeason20242025!$AB$3:$AB$1315,DataRegularSeason20242025!$B$3:$B$1315, "&lt;=" &amp; GN$1, DataRegularSeason20242025!$E$3:$E$1315, $A45)</f>
        <v>4</v>
      </c>
      <c r="GO45">
        <f>SUMIFS(DataRegularSeason20242025!$AA$3:$AA$1315,DataRegularSeason20242025!$B$3:$B$1315, "&lt;=" &amp; GO$1, DataRegularSeason20242025!$D$3:$D$1315, $A45)+SUMIFS(DataRegularSeason20242025!$AB$3:$AB$1315,DataRegularSeason20242025!$B$3:$B$1315, "&lt;=" &amp; GO$1, DataRegularSeason20242025!$E$3:$E$1315, $A45)</f>
        <v>4</v>
      </c>
      <c r="GP45">
        <f>SUMIFS(DataRegularSeason20242025!$AA$3:$AA$1315,DataRegularSeason20242025!$B$3:$B$1315, "&lt;=" &amp; GP$1, DataRegularSeason20242025!$D$3:$D$1315, $A45)+SUMIFS(DataRegularSeason20242025!$AB$3:$AB$1315,DataRegularSeason20242025!$B$3:$B$1315, "&lt;=" &amp; GP$1, DataRegularSeason20242025!$E$3:$E$1315, $A45)</f>
        <v>4</v>
      </c>
      <c r="GQ45">
        <f>SUMIFS(DataRegularSeason20242025!$AA$3:$AA$1315,DataRegularSeason20242025!$B$3:$B$1315, "&lt;=" &amp; GQ$1, DataRegularSeason20242025!$D$3:$D$1315, $A45)+SUMIFS(DataRegularSeason20242025!$AB$3:$AB$1315,DataRegularSeason20242025!$B$3:$B$1315, "&lt;=" &amp; GQ$1, DataRegularSeason20242025!$E$3:$E$1315, $A45)</f>
        <v>4</v>
      </c>
      <c r="GR45">
        <f>SUMIFS(DataRegularSeason20242025!$AA$3:$AA$1315,DataRegularSeason20242025!$B$3:$B$1315, "&lt;=" &amp; GR$1, DataRegularSeason20242025!$D$3:$D$1315, $A45)+SUMIFS(DataRegularSeason20242025!$AB$3:$AB$1315,DataRegularSeason20242025!$B$3:$B$1315, "&lt;=" &amp; GR$1, DataRegularSeason20242025!$E$3:$E$1315, $A45)</f>
        <v>4</v>
      </c>
      <c r="GS45">
        <f>SUMIFS(DataRegularSeason20242025!$AA$3:$AA$1315,DataRegularSeason20242025!$B$3:$B$1315, "&lt;=" &amp; GS$1, DataRegularSeason20242025!$D$3:$D$1315, $A45)+SUMIFS(DataRegularSeason20242025!$AB$3:$AB$1315,DataRegularSeason20242025!$B$3:$B$1315, "&lt;=" &amp; GS$1, DataRegularSeason20242025!$E$3:$E$1315, $A45)</f>
        <v>4</v>
      </c>
      <c r="GT45">
        <f>SUMIFS(DataRegularSeason20242025!$AA$3:$AA$1315,DataRegularSeason20242025!$B$3:$B$1315, "&lt;=" &amp; GT$1, DataRegularSeason20242025!$D$3:$D$1315, $A45)+SUMIFS(DataRegularSeason20242025!$AB$3:$AB$1315,DataRegularSeason20242025!$B$3:$B$1315, "&lt;=" &amp; GT$1, DataRegularSeason20242025!$E$3:$E$1315, $A45)</f>
        <v>4</v>
      </c>
      <c r="GU45">
        <f>SUMIFS(DataRegularSeason20242025!$AA$3:$AA$1315,DataRegularSeason20242025!$B$3:$B$1315, "&lt;=" &amp; GU$1, DataRegularSeason20242025!$D$3:$D$1315, $A45)+SUMIFS(DataRegularSeason20242025!$AB$3:$AB$1315,DataRegularSeason20242025!$B$3:$B$1315, "&lt;=" &amp; GU$1, DataRegularSeason20242025!$E$3:$E$1315, $A45)</f>
        <v>4</v>
      </c>
    </row>
    <row r="46" spans="1:275" x14ac:dyDescent="0.25">
      <c r="A46" t="s">
        <v>41</v>
      </c>
      <c r="B46" t="s">
        <v>91</v>
      </c>
      <c r="C46" t="s">
        <v>92</v>
      </c>
      <c r="D46">
        <f>SUMIFS(DataRegularSeason20242025!$AA$3:$AA$1315,DataRegularSeason20242025!$B$3:$B$1315, "&lt;=" &amp; D$1, DataRegularSeason20242025!$D$3:$D$1315, $A46)+SUMIFS(DataRegularSeason20242025!$AB$3:$AB$1315,DataRegularSeason20242025!$B$3:$B$1315, "&lt;=" &amp; D$1, DataRegularSeason20242025!$E$3:$E$1315, $A46)</f>
        <v>0</v>
      </c>
      <c r="E46">
        <f>SUMIFS(DataRegularSeason20242025!$AA$3:$AA$1315,DataRegularSeason20242025!$B$3:$B$1315, "&lt;=" &amp; E$1, DataRegularSeason20242025!$D$3:$D$1315, $A46)+SUMIFS(DataRegularSeason20242025!$AB$3:$AB$1315,DataRegularSeason20242025!$B$3:$B$1315, "&lt;=" &amp; E$1, DataRegularSeason20242025!$E$3:$E$1315, $A46)</f>
        <v>0</v>
      </c>
      <c r="F46">
        <f>SUMIFS(DataRegularSeason20242025!$AA$3:$AA$1315,DataRegularSeason20242025!$B$3:$B$1315, "&lt;=" &amp; F$1, DataRegularSeason20242025!$D$3:$D$1315, $A46)+SUMIFS(DataRegularSeason20242025!$AB$3:$AB$1315,DataRegularSeason20242025!$B$3:$B$1315, "&lt;=" &amp; F$1, DataRegularSeason20242025!$E$3:$E$1315, $A46)</f>
        <v>0</v>
      </c>
      <c r="G46">
        <f>SUMIFS(DataRegularSeason20242025!$AA$3:$AA$1315,DataRegularSeason20242025!$B$3:$B$1315, "&lt;=" &amp; G$1, DataRegularSeason20242025!$D$3:$D$1315, $A46)+SUMIFS(DataRegularSeason20242025!$AB$3:$AB$1315,DataRegularSeason20242025!$B$3:$B$1315, "&lt;=" &amp; G$1, DataRegularSeason20242025!$E$3:$E$1315, $A46)</f>
        <v>0</v>
      </c>
      <c r="H46">
        <f>SUMIFS(DataRegularSeason20242025!$AA$3:$AA$1315,DataRegularSeason20242025!$B$3:$B$1315, "&lt;=" &amp; H$1, DataRegularSeason20242025!$D$3:$D$1315, $A46)+SUMIFS(DataRegularSeason20242025!$AB$3:$AB$1315,DataRegularSeason20242025!$B$3:$B$1315, "&lt;=" &amp; H$1, DataRegularSeason20242025!$E$3:$E$1315, $A46)</f>
        <v>0</v>
      </c>
      <c r="I46">
        <f>SUMIFS(DataRegularSeason20242025!$AA$3:$AA$1315,DataRegularSeason20242025!$B$3:$B$1315, "&lt;=" &amp; I$1, DataRegularSeason20242025!$D$3:$D$1315, $A46)+SUMIFS(DataRegularSeason20242025!$AB$3:$AB$1315,DataRegularSeason20242025!$B$3:$B$1315, "&lt;=" &amp; I$1, DataRegularSeason20242025!$E$3:$E$1315, $A46)</f>
        <v>0</v>
      </c>
      <c r="J46">
        <f>SUMIFS(DataRegularSeason20242025!$AA$3:$AA$1315,DataRegularSeason20242025!$B$3:$B$1315, "&lt;=" &amp; J$1, DataRegularSeason20242025!$D$3:$D$1315, $A46)+SUMIFS(DataRegularSeason20242025!$AB$3:$AB$1315,DataRegularSeason20242025!$B$3:$B$1315, "&lt;=" &amp; J$1, DataRegularSeason20242025!$E$3:$E$1315, $A46)</f>
        <v>2</v>
      </c>
      <c r="K46">
        <f>SUMIFS(DataRegularSeason20242025!$AA$3:$AA$1315,DataRegularSeason20242025!$B$3:$B$1315, "&lt;=" &amp; K$1, DataRegularSeason20242025!$D$3:$D$1315, $A46)+SUMIFS(DataRegularSeason20242025!$AB$3:$AB$1315,DataRegularSeason20242025!$B$3:$B$1315, "&lt;=" &amp; K$1, DataRegularSeason20242025!$E$3:$E$1315, $A46)</f>
        <v>2</v>
      </c>
      <c r="L46">
        <f>SUMIFS(DataRegularSeason20242025!$AA$3:$AA$1315,DataRegularSeason20242025!$B$3:$B$1315, "&lt;=" &amp; L$1, DataRegularSeason20242025!$D$3:$D$1315, $A46)+SUMIFS(DataRegularSeason20242025!$AB$3:$AB$1315,DataRegularSeason20242025!$B$3:$B$1315, "&lt;=" &amp; L$1, DataRegularSeason20242025!$E$3:$E$1315, $A46)</f>
        <v>4</v>
      </c>
      <c r="M46">
        <f>SUMIFS(DataRegularSeason20242025!$AA$3:$AA$1315,DataRegularSeason20242025!$B$3:$B$1315, "&lt;=" &amp; M$1, DataRegularSeason20242025!$D$3:$D$1315, $A46)+SUMIFS(DataRegularSeason20242025!$AB$3:$AB$1315,DataRegularSeason20242025!$B$3:$B$1315, "&lt;=" &amp; M$1, DataRegularSeason20242025!$E$3:$E$1315, $A46)</f>
        <v>4</v>
      </c>
      <c r="N46">
        <f>SUMIFS(DataRegularSeason20242025!$AA$3:$AA$1315,DataRegularSeason20242025!$B$3:$B$1315, "&lt;=" &amp; N$1, DataRegularSeason20242025!$D$3:$D$1315, $A46)+SUMIFS(DataRegularSeason20242025!$AB$3:$AB$1315,DataRegularSeason20242025!$B$3:$B$1315, "&lt;=" &amp; N$1, DataRegularSeason20242025!$E$3:$E$1315, $A46)</f>
        <v>4</v>
      </c>
      <c r="O46">
        <f>SUMIFS(DataRegularSeason20242025!$AA$3:$AA$1315,DataRegularSeason20242025!$B$3:$B$1315, "&lt;=" &amp; O$1, DataRegularSeason20242025!$D$3:$D$1315, $A46)+SUMIFS(DataRegularSeason20242025!$AB$3:$AB$1315,DataRegularSeason20242025!$B$3:$B$1315, "&lt;=" &amp; O$1, DataRegularSeason20242025!$E$3:$E$1315, $A46)</f>
        <v>6</v>
      </c>
      <c r="P46">
        <f>SUMIFS(DataRegularSeason20242025!$AA$3:$AA$1315,DataRegularSeason20242025!$B$3:$B$1315, "&lt;=" &amp; P$1, DataRegularSeason20242025!$D$3:$D$1315, $A46)+SUMIFS(DataRegularSeason20242025!$AB$3:$AB$1315,DataRegularSeason20242025!$B$3:$B$1315, "&lt;=" &amp; P$1, DataRegularSeason20242025!$E$3:$E$1315, $A46)</f>
        <v>6</v>
      </c>
      <c r="Q46">
        <f>SUMIFS(DataRegularSeason20242025!$AA$3:$AA$1315,DataRegularSeason20242025!$B$3:$B$1315, "&lt;=" &amp; Q$1, DataRegularSeason20242025!$D$3:$D$1315, $A46)+SUMIFS(DataRegularSeason20242025!$AB$3:$AB$1315,DataRegularSeason20242025!$B$3:$B$1315, "&lt;=" &amp; Q$1, DataRegularSeason20242025!$E$3:$E$1315, $A46)</f>
        <v>8</v>
      </c>
      <c r="R46">
        <f>SUMIFS(DataRegularSeason20242025!$AA$3:$AA$1315,DataRegularSeason20242025!$B$3:$B$1315, "&lt;=" &amp; R$1, DataRegularSeason20242025!$D$3:$D$1315, $A46)+SUMIFS(DataRegularSeason20242025!$AB$3:$AB$1315,DataRegularSeason20242025!$B$3:$B$1315, "&lt;=" &amp; R$1, DataRegularSeason20242025!$E$3:$E$1315, $A46)</f>
        <v>8</v>
      </c>
      <c r="S46">
        <f>SUMIFS(DataRegularSeason20242025!$AA$3:$AA$1315,DataRegularSeason20242025!$B$3:$B$1315, "&lt;=" &amp; S$1, DataRegularSeason20242025!$D$3:$D$1315, $A46)+SUMIFS(DataRegularSeason20242025!$AB$3:$AB$1315,DataRegularSeason20242025!$B$3:$B$1315, "&lt;=" &amp; S$1, DataRegularSeason20242025!$E$3:$E$1315, $A46)</f>
        <v>10</v>
      </c>
      <c r="T46">
        <f>SUMIFS(DataRegularSeason20242025!$AA$3:$AA$1315,DataRegularSeason20242025!$B$3:$B$1315, "&lt;=" &amp; T$1, DataRegularSeason20242025!$D$3:$D$1315, $A46)+SUMIFS(DataRegularSeason20242025!$AB$3:$AB$1315,DataRegularSeason20242025!$B$3:$B$1315, "&lt;=" &amp; T$1, DataRegularSeason20242025!$E$3:$E$1315, $A46)</f>
        <v>10</v>
      </c>
      <c r="U46">
        <f>SUMIFS(DataRegularSeason20242025!$AA$3:$AA$1315,DataRegularSeason20242025!$B$3:$B$1315, "&lt;=" &amp; U$1, DataRegularSeason20242025!$D$3:$D$1315, $A46)+SUMIFS(DataRegularSeason20242025!$AB$3:$AB$1315,DataRegularSeason20242025!$B$3:$B$1315, "&lt;=" &amp; U$1, DataRegularSeason20242025!$E$3:$E$1315, $A46)</f>
        <v>10</v>
      </c>
      <c r="V46">
        <f>SUMIFS(DataRegularSeason20242025!$AA$3:$AA$1315,DataRegularSeason20242025!$B$3:$B$1315, "&lt;=" &amp; V$1, DataRegularSeason20242025!$D$3:$D$1315, $A46)+SUMIFS(DataRegularSeason20242025!$AB$3:$AB$1315,DataRegularSeason20242025!$B$3:$B$1315, "&lt;=" &amp; V$1, DataRegularSeason20242025!$E$3:$E$1315, $A46)</f>
        <v>10</v>
      </c>
      <c r="W46">
        <f>SUMIFS(DataRegularSeason20242025!$AA$3:$AA$1315,DataRegularSeason20242025!$B$3:$B$1315, "&lt;=" &amp; W$1, DataRegularSeason20242025!$D$3:$D$1315, $A46)+SUMIFS(DataRegularSeason20242025!$AB$3:$AB$1315,DataRegularSeason20242025!$B$3:$B$1315, "&lt;=" &amp; W$1, DataRegularSeason20242025!$E$3:$E$1315, $A46)</f>
        <v>10</v>
      </c>
      <c r="X46">
        <f>SUMIFS(DataRegularSeason20242025!$AA$3:$AA$1315,DataRegularSeason20242025!$B$3:$B$1315, "&lt;=" &amp; X$1, DataRegularSeason20242025!$D$3:$D$1315, $A46)+SUMIFS(DataRegularSeason20242025!$AB$3:$AB$1315,DataRegularSeason20242025!$B$3:$B$1315, "&lt;=" &amp; X$1, DataRegularSeason20242025!$E$3:$E$1315, $A46)</f>
        <v>10</v>
      </c>
      <c r="Y46">
        <f>SUMIFS(DataRegularSeason20242025!$AA$3:$AA$1315,DataRegularSeason20242025!$B$3:$B$1315, "&lt;=" &amp; Y$1, DataRegularSeason20242025!$D$3:$D$1315, $A46)+SUMIFS(DataRegularSeason20242025!$AB$3:$AB$1315,DataRegularSeason20242025!$B$3:$B$1315, "&lt;=" &amp; Y$1, DataRegularSeason20242025!$E$3:$E$1315, $A46)</f>
        <v>10</v>
      </c>
      <c r="Z46">
        <f>SUMIFS(DataRegularSeason20242025!$AA$3:$AA$1315,DataRegularSeason20242025!$B$3:$B$1315, "&lt;=" &amp; Z$1, DataRegularSeason20242025!$D$3:$D$1315, $A46)+SUMIFS(DataRegularSeason20242025!$AB$3:$AB$1315,DataRegularSeason20242025!$B$3:$B$1315, "&lt;=" &amp; Z$1, DataRegularSeason20242025!$E$3:$E$1315, $A46)</f>
        <v>10</v>
      </c>
      <c r="AA46">
        <f>SUMIFS(DataRegularSeason20242025!$AA$3:$AA$1315,DataRegularSeason20242025!$B$3:$B$1315, "&lt;=" &amp; AA$1, DataRegularSeason20242025!$D$3:$D$1315, $A46)+SUMIFS(DataRegularSeason20242025!$AB$3:$AB$1315,DataRegularSeason20242025!$B$3:$B$1315, "&lt;=" &amp; AA$1, DataRegularSeason20242025!$E$3:$E$1315, $A46)</f>
        <v>10</v>
      </c>
      <c r="AB46">
        <f>SUMIFS(DataRegularSeason20242025!$AA$3:$AA$1315,DataRegularSeason20242025!$B$3:$B$1315, "&lt;=" &amp; AB$1, DataRegularSeason20242025!$D$3:$D$1315, $A46)+SUMIFS(DataRegularSeason20242025!$AB$3:$AB$1315,DataRegularSeason20242025!$B$3:$B$1315, "&lt;=" &amp; AB$1, DataRegularSeason20242025!$E$3:$E$1315, $A46)</f>
        <v>10</v>
      </c>
      <c r="AC46">
        <f>SUMIFS(DataRegularSeason20242025!$AA$3:$AA$1315,DataRegularSeason20242025!$B$3:$B$1315, "&lt;=" &amp; AC$1, DataRegularSeason20242025!$D$3:$D$1315, $A46)+SUMIFS(DataRegularSeason20242025!$AB$3:$AB$1315,DataRegularSeason20242025!$B$3:$B$1315, "&lt;=" &amp; AC$1, DataRegularSeason20242025!$E$3:$E$1315, $A46)</f>
        <v>10</v>
      </c>
      <c r="AD46">
        <f>SUMIFS(DataRegularSeason20242025!$AA$3:$AA$1315,DataRegularSeason20242025!$B$3:$B$1315, "&lt;=" &amp; AD$1, DataRegularSeason20242025!$D$3:$D$1315, $A46)+SUMIFS(DataRegularSeason20242025!$AB$3:$AB$1315,DataRegularSeason20242025!$B$3:$B$1315, "&lt;=" &amp; AD$1, DataRegularSeason20242025!$E$3:$E$1315, $A46)</f>
        <v>10</v>
      </c>
      <c r="AE46">
        <f>SUMIFS(DataRegularSeason20242025!$AA$3:$AA$1315,DataRegularSeason20242025!$B$3:$B$1315, "&lt;=" &amp; AE$1, DataRegularSeason20242025!$D$3:$D$1315, $A46)+SUMIFS(DataRegularSeason20242025!$AB$3:$AB$1315,DataRegularSeason20242025!$B$3:$B$1315, "&lt;=" &amp; AE$1, DataRegularSeason20242025!$E$3:$E$1315, $A46)</f>
        <v>10</v>
      </c>
      <c r="AF46">
        <f>SUMIFS(DataRegularSeason20242025!$AA$3:$AA$1315,DataRegularSeason20242025!$B$3:$B$1315, "&lt;=" &amp; AF$1, DataRegularSeason20242025!$D$3:$D$1315, $A46)+SUMIFS(DataRegularSeason20242025!$AB$3:$AB$1315,DataRegularSeason20242025!$B$3:$B$1315, "&lt;=" &amp; AF$1, DataRegularSeason20242025!$E$3:$E$1315, $A46)</f>
        <v>10</v>
      </c>
      <c r="AG46">
        <f>SUMIFS(DataRegularSeason20242025!$AA$3:$AA$1315,DataRegularSeason20242025!$B$3:$B$1315, "&lt;=" &amp; AG$1, DataRegularSeason20242025!$D$3:$D$1315, $A46)+SUMIFS(DataRegularSeason20242025!$AB$3:$AB$1315,DataRegularSeason20242025!$B$3:$B$1315, "&lt;=" &amp; AG$1, DataRegularSeason20242025!$E$3:$E$1315, $A46)</f>
        <v>10</v>
      </c>
      <c r="AH46">
        <f>SUMIFS(DataRegularSeason20242025!$AA$3:$AA$1315,DataRegularSeason20242025!$B$3:$B$1315, "&lt;=" &amp; AH$1, DataRegularSeason20242025!$D$3:$D$1315, $A46)+SUMIFS(DataRegularSeason20242025!$AB$3:$AB$1315,DataRegularSeason20242025!$B$3:$B$1315, "&lt;=" &amp; AH$1, DataRegularSeason20242025!$E$3:$E$1315, $A46)</f>
        <v>10</v>
      </c>
      <c r="AI46">
        <f>SUMIFS(DataRegularSeason20242025!$AA$3:$AA$1315,DataRegularSeason20242025!$B$3:$B$1315, "&lt;=" &amp; AI$1, DataRegularSeason20242025!$D$3:$D$1315, $A46)+SUMIFS(DataRegularSeason20242025!$AB$3:$AB$1315,DataRegularSeason20242025!$B$3:$B$1315, "&lt;=" &amp; AI$1, DataRegularSeason20242025!$E$3:$E$1315, $A46)</f>
        <v>10</v>
      </c>
      <c r="AJ46">
        <f>SUMIFS(DataRegularSeason20242025!$AA$3:$AA$1315,DataRegularSeason20242025!$B$3:$B$1315, "&lt;=" &amp; AJ$1, DataRegularSeason20242025!$D$3:$D$1315, $A46)+SUMIFS(DataRegularSeason20242025!$AB$3:$AB$1315,DataRegularSeason20242025!$B$3:$B$1315, "&lt;=" &amp; AJ$1, DataRegularSeason20242025!$E$3:$E$1315, $A46)</f>
        <v>10</v>
      </c>
      <c r="AK46">
        <f>SUMIFS(DataRegularSeason20242025!$AA$3:$AA$1315,DataRegularSeason20242025!$B$3:$B$1315, "&lt;=" &amp; AK$1, DataRegularSeason20242025!$D$3:$D$1315, $A46)+SUMIFS(DataRegularSeason20242025!$AB$3:$AB$1315,DataRegularSeason20242025!$B$3:$B$1315, "&lt;=" &amp; AK$1, DataRegularSeason20242025!$E$3:$E$1315, $A46)</f>
        <v>10</v>
      </c>
      <c r="AL46">
        <f>SUMIFS(DataRegularSeason20242025!$AA$3:$AA$1315,DataRegularSeason20242025!$B$3:$B$1315, "&lt;=" &amp; AL$1, DataRegularSeason20242025!$D$3:$D$1315, $A46)+SUMIFS(DataRegularSeason20242025!$AB$3:$AB$1315,DataRegularSeason20242025!$B$3:$B$1315, "&lt;=" &amp; AL$1, DataRegularSeason20242025!$E$3:$E$1315, $A46)</f>
        <v>10</v>
      </c>
      <c r="AM46">
        <f>SUMIFS(DataRegularSeason20242025!$AA$3:$AA$1315,DataRegularSeason20242025!$B$3:$B$1315, "&lt;=" &amp; AM$1, DataRegularSeason20242025!$D$3:$D$1315, $A46)+SUMIFS(DataRegularSeason20242025!$AB$3:$AB$1315,DataRegularSeason20242025!$B$3:$B$1315, "&lt;=" &amp; AM$1, DataRegularSeason20242025!$E$3:$E$1315, $A46)</f>
        <v>10</v>
      </c>
      <c r="AN46">
        <f>SUMIFS(DataRegularSeason20242025!$AA$3:$AA$1315,DataRegularSeason20242025!$B$3:$B$1315, "&lt;=" &amp; AN$1, DataRegularSeason20242025!$D$3:$D$1315, $A46)+SUMIFS(DataRegularSeason20242025!$AB$3:$AB$1315,DataRegularSeason20242025!$B$3:$B$1315, "&lt;=" &amp; AN$1, DataRegularSeason20242025!$E$3:$E$1315, $A46)</f>
        <v>10</v>
      </c>
      <c r="AO46">
        <f>SUMIFS(DataRegularSeason20242025!$AA$3:$AA$1315,DataRegularSeason20242025!$B$3:$B$1315, "&lt;=" &amp; AO$1, DataRegularSeason20242025!$D$3:$D$1315, $A46)+SUMIFS(DataRegularSeason20242025!$AB$3:$AB$1315,DataRegularSeason20242025!$B$3:$B$1315, "&lt;=" &amp; AO$1, DataRegularSeason20242025!$E$3:$E$1315, $A46)</f>
        <v>10</v>
      </c>
      <c r="AP46">
        <f>SUMIFS(DataRegularSeason20242025!$AA$3:$AA$1315,DataRegularSeason20242025!$B$3:$B$1315, "&lt;=" &amp; AP$1, DataRegularSeason20242025!$D$3:$D$1315, $A46)+SUMIFS(DataRegularSeason20242025!$AB$3:$AB$1315,DataRegularSeason20242025!$B$3:$B$1315, "&lt;=" &amp; AP$1, DataRegularSeason20242025!$E$3:$E$1315, $A46)</f>
        <v>10</v>
      </c>
      <c r="AQ46">
        <f>SUMIFS(DataRegularSeason20242025!$AA$3:$AA$1315,DataRegularSeason20242025!$B$3:$B$1315, "&lt;=" &amp; AQ$1, DataRegularSeason20242025!$D$3:$D$1315, $A46)+SUMIFS(DataRegularSeason20242025!$AB$3:$AB$1315,DataRegularSeason20242025!$B$3:$B$1315, "&lt;=" &amp; AQ$1, DataRegularSeason20242025!$E$3:$E$1315, $A46)</f>
        <v>10</v>
      </c>
      <c r="AR46">
        <f>SUMIFS(DataRegularSeason20242025!$AA$3:$AA$1315,DataRegularSeason20242025!$B$3:$B$1315, "&lt;=" &amp; AR$1, DataRegularSeason20242025!$D$3:$D$1315, $A46)+SUMIFS(DataRegularSeason20242025!$AB$3:$AB$1315,DataRegularSeason20242025!$B$3:$B$1315, "&lt;=" &amp; AR$1, DataRegularSeason20242025!$E$3:$E$1315, $A46)</f>
        <v>10</v>
      </c>
      <c r="AS46">
        <f>SUMIFS(DataRegularSeason20242025!$AA$3:$AA$1315,DataRegularSeason20242025!$B$3:$B$1315, "&lt;=" &amp; AS$1, DataRegularSeason20242025!$D$3:$D$1315, $A46)+SUMIFS(DataRegularSeason20242025!$AB$3:$AB$1315,DataRegularSeason20242025!$B$3:$B$1315, "&lt;=" &amp; AS$1, DataRegularSeason20242025!$E$3:$E$1315, $A46)</f>
        <v>10</v>
      </c>
      <c r="AT46">
        <f>SUMIFS(DataRegularSeason20242025!$AA$3:$AA$1315,DataRegularSeason20242025!$B$3:$B$1315, "&lt;=" &amp; AT$1, DataRegularSeason20242025!$D$3:$D$1315, $A46)+SUMIFS(DataRegularSeason20242025!$AB$3:$AB$1315,DataRegularSeason20242025!$B$3:$B$1315, "&lt;=" &amp; AT$1, DataRegularSeason20242025!$E$3:$E$1315, $A46)</f>
        <v>10</v>
      </c>
      <c r="AU46">
        <f>SUMIFS(DataRegularSeason20242025!$AA$3:$AA$1315,DataRegularSeason20242025!$B$3:$B$1315, "&lt;=" &amp; AU$1, DataRegularSeason20242025!$D$3:$D$1315, $A46)+SUMIFS(DataRegularSeason20242025!$AB$3:$AB$1315,DataRegularSeason20242025!$B$3:$B$1315, "&lt;=" &amp; AU$1, DataRegularSeason20242025!$E$3:$E$1315, $A46)</f>
        <v>10</v>
      </c>
      <c r="AV46">
        <f>SUMIFS(DataRegularSeason20242025!$AA$3:$AA$1315,DataRegularSeason20242025!$B$3:$B$1315, "&lt;=" &amp; AV$1, DataRegularSeason20242025!$D$3:$D$1315, $A46)+SUMIFS(DataRegularSeason20242025!$AB$3:$AB$1315,DataRegularSeason20242025!$B$3:$B$1315, "&lt;=" &amp; AV$1, DataRegularSeason20242025!$E$3:$E$1315, $A46)</f>
        <v>10</v>
      </c>
      <c r="AW46">
        <f>SUMIFS(DataRegularSeason20242025!$AA$3:$AA$1315,DataRegularSeason20242025!$B$3:$B$1315, "&lt;=" &amp; AW$1, DataRegularSeason20242025!$D$3:$D$1315, $A46)+SUMIFS(DataRegularSeason20242025!$AB$3:$AB$1315,DataRegularSeason20242025!$B$3:$B$1315, "&lt;=" &amp; AW$1, DataRegularSeason20242025!$E$3:$E$1315, $A46)</f>
        <v>10</v>
      </c>
      <c r="AX46">
        <f>SUMIFS(DataRegularSeason20242025!$AA$3:$AA$1315,DataRegularSeason20242025!$B$3:$B$1315, "&lt;=" &amp; AX$1, DataRegularSeason20242025!$D$3:$D$1315, $A46)+SUMIFS(DataRegularSeason20242025!$AB$3:$AB$1315,DataRegularSeason20242025!$B$3:$B$1315, "&lt;=" &amp; AX$1, DataRegularSeason20242025!$E$3:$E$1315, $A46)</f>
        <v>10</v>
      </c>
      <c r="AY46">
        <f>SUMIFS(DataRegularSeason20242025!$AA$3:$AA$1315,DataRegularSeason20242025!$B$3:$B$1315, "&lt;=" &amp; AY$1, DataRegularSeason20242025!$D$3:$D$1315, $A46)+SUMIFS(DataRegularSeason20242025!$AB$3:$AB$1315,DataRegularSeason20242025!$B$3:$B$1315, "&lt;=" &amp; AY$1, DataRegularSeason20242025!$E$3:$E$1315, $A46)</f>
        <v>10</v>
      </c>
      <c r="AZ46">
        <f>SUMIFS(DataRegularSeason20242025!$AA$3:$AA$1315,DataRegularSeason20242025!$B$3:$B$1315, "&lt;=" &amp; AZ$1, DataRegularSeason20242025!$D$3:$D$1315, $A46)+SUMIFS(DataRegularSeason20242025!$AB$3:$AB$1315,DataRegularSeason20242025!$B$3:$B$1315, "&lt;=" &amp; AZ$1, DataRegularSeason20242025!$E$3:$E$1315, $A46)</f>
        <v>10</v>
      </c>
      <c r="BA46">
        <f>SUMIFS(DataRegularSeason20242025!$AA$3:$AA$1315,DataRegularSeason20242025!$B$3:$B$1315, "&lt;=" &amp; BA$1, DataRegularSeason20242025!$D$3:$D$1315, $A46)+SUMIFS(DataRegularSeason20242025!$AB$3:$AB$1315,DataRegularSeason20242025!$B$3:$B$1315, "&lt;=" &amp; BA$1, DataRegularSeason20242025!$E$3:$E$1315, $A46)</f>
        <v>10</v>
      </c>
      <c r="BB46">
        <f>SUMIFS(DataRegularSeason20242025!$AA$3:$AA$1315,DataRegularSeason20242025!$B$3:$B$1315, "&lt;=" &amp; BB$1, DataRegularSeason20242025!$D$3:$D$1315, $A46)+SUMIFS(DataRegularSeason20242025!$AB$3:$AB$1315,DataRegularSeason20242025!$B$3:$B$1315, "&lt;=" &amp; BB$1, DataRegularSeason20242025!$E$3:$E$1315, $A46)</f>
        <v>10</v>
      </c>
      <c r="BC46">
        <f>SUMIFS(DataRegularSeason20242025!$AA$3:$AA$1315,DataRegularSeason20242025!$B$3:$B$1315, "&lt;=" &amp; BC$1, DataRegularSeason20242025!$D$3:$D$1315, $A46)+SUMIFS(DataRegularSeason20242025!$AB$3:$AB$1315,DataRegularSeason20242025!$B$3:$B$1315, "&lt;=" &amp; BC$1, DataRegularSeason20242025!$E$3:$E$1315, $A46)</f>
        <v>10</v>
      </c>
      <c r="BD46">
        <f>SUMIFS(DataRegularSeason20242025!$AA$3:$AA$1315,DataRegularSeason20242025!$B$3:$B$1315, "&lt;=" &amp; BD$1, DataRegularSeason20242025!$D$3:$D$1315, $A46)+SUMIFS(DataRegularSeason20242025!$AB$3:$AB$1315,DataRegularSeason20242025!$B$3:$B$1315, "&lt;=" &amp; BD$1, DataRegularSeason20242025!$E$3:$E$1315, $A46)</f>
        <v>10</v>
      </c>
      <c r="BE46">
        <f>SUMIFS(DataRegularSeason20242025!$AA$3:$AA$1315,DataRegularSeason20242025!$B$3:$B$1315, "&lt;=" &amp; BE$1, DataRegularSeason20242025!$D$3:$D$1315, $A46)+SUMIFS(DataRegularSeason20242025!$AB$3:$AB$1315,DataRegularSeason20242025!$B$3:$B$1315, "&lt;=" &amp; BE$1, DataRegularSeason20242025!$E$3:$E$1315, $A46)</f>
        <v>10</v>
      </c>
      <c r="BF46">
        <f>SUMIFS(DataRegularSeason20242025!$AA$3:$AA$1315,DataRegularSeason20242025!$B$3:$B$1315, "&lt;=" &amp; BF$1, DataRegularSeason20242025!$D$3:$D$1315, $A46)+SUMIFS(DataRegularSeason20242025!$AB$3:$AB$1315,DataRegularSeason20242025!$B$3:$B$1315, "&lt;=" &amp; BF$1, DataRegularSeason20242025!$E$3:$E$1315, $A46)</f>
        <v>10</v>
      </c>
      <c r="BG46">
        <f>SUMIFS(DataRegularSeason20242025!$AA$3:$AA$1315,DataRegularSeason20242025!$B$3:$B$1315, "&lt;=" &amp; BG$1, DataRegularSeason20242025!$D$3:$D$1315, $A46)+SUMIFS(DataRegularSeason20242025!$AB$3:$AB$1315,DataRegularSeason20242025!$B$3:$B$1315, "&lt;=" &amp; BG$1, DataRegularSeason20242025!$E$3:$E$1315, $A46)</f>
        <v>10</v>
      </c>
      <c r="BH46">
        <f>SUMIFS(DataRegularSeason20242025!$AA$3:$AA$1315,DataRegularSeason20242025!$B$3:$B$1315, "&lt;=" &amp; BH$1, DataRegularSeason20242025!$D$3:$D$1315, $A46)+SUMIFS(DataRegularSeason20242025!$AB$3:$AB$1315,DataRegularSeason20242025!$B$3:$B$1315, "&lt;=" &amp; BH$1, DataRegularSeason20242025!$E$3:$E$1315, $A46)</f>
        <v>10</v>
      </c>
      <c r="BI46">
        <f>SUMIFS(DataRegularSeason20242025!$AA$3:$AA$1315,DataRegularSeason20242025!$B$3:$B$1315, "&lt;=" &amp; BI$1, DataRegularSeason20242025!$D$3:$D$1315, $A46)+SUMIFS(DataRegularSeason20242025!$AB$3:$AB$1315,DataRegularSeason20242025!$B$3:$B$1315, "&lt;=" &amp; BI$1, DataRegularSeason20242025!$E$3:$E$1315, $A46)</f>
        <v>10</v>
      </c>
      <c r="BJ46">
        <f>SUMIFS(DataRegularSeason20242025!$AA$3:$AA$1315,DataRegularSeason20242025!$B$3:$B$1315, "&lt;=" &amp; BJ$1, DataRegularSeason20242025!$D$3:$D$1315, $A46)+SUMIFS(DataRegularSeason20242025!$AB$3:$AB$1315,DataRegularSeason20242025!$B$3:$B$1315, "&lt;=" &amp; BJ$1, DataRegularSeason20242025!$E$3:$E$1315, $A46)</f>
        <v>10</v>
      </c>
      <c r="BK46">
        <f>SUMIFS(DataRegularSeason20242025!$AA$3:$AA$1315,DataRegularSeason20242025!$B$3:$B$1315, "&lt;=" &amp; BK$1, DataRegularSeason20242025!$D$3:$D$1315, $A46)+SUMIFS(DataRegularSeason20242025!$AB$3:$AB$1315,DataRegularSeason20242025!$B$3:$B$1315, "&lt;=" &amp; BK$1, DataRegularSeason20242025!$E$3:$E$1315, $A46)</f>
        <v>10</v>
      </c>
      <c r="BL46">
        <f>SUMIFS(DataRegularSeason20242025!$AA$3:$AA$1315,DataRegularSeason20242025!$B$3:$B$1315, "&lt;=" &amp; BL$1, DataRegularSeason20242025!$D$3:$D$1315, $A46)+SUMIFS(DataRegularSeason20242025!$AB$3:$AB$1315,DataRegularSeason20242025!$B$3:$B$1315, "&lt;=" &amp; BL$1, DataRegularSeason20242025!$E$3:$E$1315, $A46)</f>
        <v>10</v>
      </c>
      <c r="BM46">
        <f>SUMIFS(DataRegularSeason20242025!$AA$3:$AA$1315,DataRegularSeason20242025!$B$3:$B$1315, "&lt;=" &amp; BM$1, DataRegularSeason20242025!$D$3:$D$1315, $A46)+SUMIFS(DataRegularSeason20242025!$AB$3:$AB$1315,DataRegularSeason20242025!$B$3:$B$1315, "&lt;=" &amp; BM$1, DataRegularSeason20242025!$E$3:$E$1315, $A46)</f>
        <v>10</v>
      </c>
      <c r="BN46">
        <f>SUMIFS(DataRegularSeason20242025!$AA$3:$AA$1315,DataRegularSeason20242025!$B$3:$B$1315, "&lt;=" &amp; BN$1, DataRegularSeason20242025!$D$3:$D$1315, $A46)+SUMIFS(DataRegularSeason20242025!$AB$3:$AB$1315,DataRegularSeason20242025!$B$3:$B$1315, "&lt;=" &amp; BN$1, DataRegularSeason20242025!$E$3:$E$1315, $A46)</f>
        <v>10</v>
      </c>
      <c r="BO46">
        <f>SUMIFS(DataRegularSeason20242025!$AA$3:$AA$1315,DataRegularSeason20242025!$B$3:$B$1315, "&lt;=" &amp; BO$1, DataRegularSeason20242025!$D$3:$D$1315, $A46)+SUMIFS(DataRegularSeason20242025!$AB$3:$AB$1315,DataRegularSeason20242025!$B$3:$B$1315, "&lt;=" &amp; BO$1, DataRegularSeason20242025!$E$3:$E$1315, $A46)</f>
        <v>10</v>
      </c>
      <c r="BP46">
        <f>SUMIFS(DataRegularSeason20242025!$AA$3:$AA$1315,DataRegularSeason20242025!$B$3:$B$1315, "&lt;=" &amp; BP$1, DataRegularSeason20242025!$D$3:$D$1315, $A46)+SUMIFS(DataRegularSeason20242025!$AB$3:$AB$1315,DataRegularSeason20242025!$B$3:$B$1315, "&lt;=" &amp; BP$1, DataRegularSeason20242025!$E$3:$E$1315, $A46)</f>
        <v>10</v>
      </c>
      <c r="BQ46">
        <f>SUMIFS(DataRegularSeason20242025!$AA$3:$AA$1315,DataRegularSeason20242025!$B$3:$B$1315, "&lt;=" &amp; BQ$1, DataRegularSeason20242025!$D$3:$D$1315, $A46)+SUMIFS(DataRegularSeason20242025!$AB$3:$AB$1315,DataRegularSeason20242025!$B$3:$B$1315, "&lt;=" &amp; BQ$1, DataRegularSeason20242025!$E$3:$E$1315, $A46)</f>
        <v>10</v>
      </c>
      <c r="BR46">
        <f>SUMIFS(DataRegularSeason20242025!$AA$3:$AA$1315,DataRegularSeason20242025!$B$3:$B$1315, "&lt;=" &amp; BR$1, DataRegularSeason20242025!$D$3:$D$1315, $A46)+SUMIFS(DataRegularSeason20242025!$AB$3:$AB$1315,DataRegularSeason20242025!$B$3:$B$1315, "&lt;=" &amp; BR$1, DataRegularSeason20242025!$E$3:$E$1315, $A46)</f>
        <v>10</v>
      </c>
      <c r="BS46">
        <f>SUMIFS(DataRegularSeason20242025!$AA$3:$AA$1315,DataRegularSeason20242025!$B$3:$B$1315, "&lt;=" &amp; BS$1, DataRegularSeason20242025!$D$3:$D$1315, $A46)+SUMIFS(DataRegularSeason20242025!$AB$3:$AB$1315,DataRegularSeason20242025!$B$3:$B$1315, "&lt;=" &amp; BS$1, DataRegularSeason20242025!$E$3:$E$1315, $A46)</f>
        <v>10</v>
      </c>
      <c r="BT46">
        <f>SUMIFS(DataRegularSeason20242025!$AA$3:$AA$1315,DataRegularSeason20242025!$B$3:$B$1315, "&lt;=" &amp; BT$1, DataRegularSeason20242025!$D$3:$D$1315, $A46)+SUMIFS(DataRegularSeason20242025!$AB$3:$AB$1315,DataRegularSeason20242025!$B$3:$B$1315, "&lt;=" &amp; BT$1, DataRegularSeason20242025!$E$3:$E$1315, $A46)</f>
        <v>10</v>
      </c>
      <c r="BU46">
        <f>SUMIFS(DataRegularSeason20242025!$AA$3:$AA$1315,DataRegularSeason20242025!$B$3:$B$1315, "&lt;=" &amp; BU$1, DataRegularSeason20242025!$D$3:$D$1315, $A46)+SUMIFS(DataRegularSeason20242025!$AB$3:$AB$1315,DataRegularSeason20242025!$B$3:$B$1315, "&lt;=" &amp; BU$1, DataRegularSeason20242025!$E$3:$E$1315, $A46)</f>
        <v>10</v>
      </c>
      <c r="BV46">
        <f>SUMIFS(DataRegularSeason20242025!$AA$3:$AA$1315,DataRegularSeason20242025!$B$3:$B$1315, "&lt;=" &amp; BV$1, DataRegularSeason20242025!$D$3:$D$1315, $A46)+SUMIFS(DataRegularSeason20242025!$AB$3:$AB$1315,DataRegularSeason20242025!$B$3:$B$1315, "&lt;=" &amp; BV$1, DataRegularSeason20242025!$E$3:$E$1315, $A46)</f>
        <v>10</v>
      </c>
      <c r="BW46">
        <f>SUMIFS(DataRegularSeason20242025!$AA$3:$AA$1315,DataRegularSeason20242025!$B$3:$B$1315, "&lt;=" &amp; BW$1, DataRegularSeason20242025!$D$3:$D$1315, $A46)+SUMIFS(DataRegularSeason20242025!$AB$3:$AB$1315,DataRegularSeason20242025!$B$3:$B$1315, "&lt;=" &amp; BW$1, DataRegularSeason20242025!$E$3:$E$1315, $A46)</f>
        <v>10</v>
      </c>
      <c r="BX46">
        <f>SUMIFS(DataRegularSeason20242025!$AA$3:$AA$1315,DataRegularSeason20242025!$B$3:$B$1315, "&lt;=" &amp; BX$1, DataRegularSeason20242025!$D$3:$D$1315, $A46)+SUMIFS(DataRegularSeason20242025!$AB$3:$AB$1315,DataRegularSeason20242025!$B$3:$B$1315, "&lt;=" &amp; BX$1, DataRegularSeason20242025!$E$3:$E$1315, $A46)</f>
        <v>10</v>
      </c>
      <c r="BY46">
        <f>SUMIFS(DataRegularSeason20242025!$AA$3:$AA$1315,DataRegularSeason20242025!$B$3:$B$1315, "&lt;=" &amp; BY$1, DataRegularSeason20242025!$D$3:$D$1315, $A46)+SUMIFS(DataRegularSeason20242025!$AB$3:$AB$1315,DataRegularSeason20242025!$B$3:$B$1315, "&lt;=" &amp; BY$1, DataRegularSeason20242025!$E$3:$E$1315, $A46)</f>
        <v>10</v>
      </c>
      <c r="BZ46">
        <f>SUMIFS(DataRegularSeason20242025!$AA$3:$AA$1315,DataRegularSeason20242025!$B$3:$B$1315, "&lt;=" &amp; BZ$1, DataRegularSeason20242025!$D$3:$D$1315, $A46)+SUMIFS(DataRegularSeason20242025!$AB$3:$AB$1315,DataRegularSeason20242025!$B$3:$B$1315, "&lt;=" &amp; BZ$1, DataRegularSeason20242025!$E$3:$E$1315, $A46)</f>
        <v>10</v>
      </c>
      <c r="CA46">
        <f>SUMIFS(DataRegularSeason20242025!$AA$3:$AA$1315,DataRegularSeason20242025!$B$3:$B$1315, "&lt;=" &amp; CA$1, DataRegularSeason20242025!$D$3:$D$1315, $A46)+SUMIFS(DataRegularSeason20242025!$AB$3:$AB$1315,DataRegularSeason20242025!$B$3:$B$1315, "&lt;=" &amp; CA$1, DataRegularSeason20242025!$E$3:$E$1315, $A46)</f>
        <v>10</v>
      </c>
      <c r="CB46">
        <f>SUMIFS(DataRegularSeason20242025!$AA$3:$AA$1315,DataRegularSeason20242025!$B$3:$B$1315, "&lt;=" &amp; CB$1, DataRegularSeason20242025!$D$3:$D$1315, $A46)+SUMIFS(DataRegularSeason20242025!$AB$3:$AB$1315,DataRegularSeason20242025!$B$3:$B$1315, "&lt;=" &amp; CB$1, DataRegularSeason20242025!$E$3:$E$1315, $A46)</f>
        <v>10</v>
      </c>
      <c r="CC46">
        <f>SUMIFS(DataRegularSeason20242025!$AA$3:$AA$1315,DataRegularSeason20242025!$B$3:$B$1315, "&lt;=" &amp; CC$1, DataRegularSeason20242025!$D$3:$D$1315, $A46)+SUMIFS(DataRegularSeason20242025!$AB$3:$AB$1315,DataRegularSeason20242025!$B$3:$B$1315, "&lt;=" &amp; CC$1, DataRegularSeason20242025!$E$3:$E$1315, $A46)</f>
        <v>10</v>
      </c>
      <c r="CD46">
        <f>SUMIFS(DataRegularSeason20242025!$AA$3:$AA$1315,DataRegularSeason20242025!$B$3:$B$1315, "&lt;=" &amp; CD$1, DataRegularSeason20242025!$D$3:$D$1315, $A46)+SUMIFS(DataRegularSeason20242025!$AB$3:$AB$1315,DataRegularSeason20242025!$B$3:$B$1315, "&lt;=" &amp; CD$1, DataRegularSeason20242025!$E$3:$E$1315, $A46)</f>
        <v>10</v>
      </c>
      <c r="CE46">
        <f>SUMIFS(DataRegularSeason20242025!$AA$3:$AA$1315,DataRegularSeason20242025!$B$3:$B$1315, "&lt;=" &amp; CE$1, DataRegularSeason20242025!$D$3:$D$1315, $A46)+SUMIFS(DataRegularSeason20242025!$AB$3:$AB$1315,DataRegularSeason20242025!$B$3:$B$1315, "&lt;=" &amp; CE$1, DataRegularSeason20242025!$E$3:$E$1315, $A46)</f>
        <v>10</v>
      </c>
      <c r="CF46">
        <f>SUMIFS(DataRegularSeason20242025!$AA$3:$AA$1315,DataRegularSeason20242025!$B$3:$B$1315, "&lt;=" &amp; CF$1, DataRegularSeason20242025!$D$3:$D$1315, $A46)+SUMIFS(DataRegularSeason20242025!$AB$3:$AB$1315,DataRegularSeason20242025!$B$3:$B$1315, "&lt;=" &amp; CF$1, DataRegularSeason20242025!$E$3:$E$1315, $A46)</f>
        <v>10</v>
      </c>
      <c r="CG46">
        <f>SUMIFS(DataRegularSeason20242025!$AA$3:$AA$1315,DataRegularSeason20242025!$B$3:$B$1315, "&lt;=" &amp; CG$1, DataRegularSeason20242025!$D$3:$D$1315, $A46)+SUMIFS(DataRegularSeason20242025!$AB$3:$AB$1315,DataRegularSeason20242025!$B$3:$B$1315, "&lt;=" &amp; CG$1, DataRegularSeason20242025!$E$3:$E$1315, $A46)</f>
        <v>10</v>
      </c>
      <c r="CH46">
        <f>SUMIFS(DataRegularSeason20242025!$AA$3:$AA$1315,DataRegularSeason20242025!$B$3:$B$1315, "&lt;=" &amp; CH$1, DataRegularSeason20242025!$D$3:$D$1315, $A46)+SUMIFS(DataRegularSeason20242025!$AB$3:$AB$1315,DataRegularSeason20242025!$B$3:$B$1315, "&lt;=" &amp; CH$1, DataRegularSeason20242025!$E$3:$E$1315, $A46)</f>
        <v>10</v>
      </c>
      <c r="CI46">
        <f>SUMIFS(DataRegularSeason20242025!$AA$3:$AA$1315,DataRegularSeason20242025!$B$3:$B$1315, "&lt;=" &amp; CI$1, DataRegularSeason20242025!$D$3:$D$1315, $A46)+SUMIFS(DataRegularSeason20242025!$AB$3:$AB$1315,DataRegularSeason20242025!$B$3:$B$1315, "&lt;=" &amp; CI$1, DataRegularSeason20242025!$E$3:$E$1315, $A46)</f>
        <v>10</v>
      </c>
      <c r="CJ46">
        <f>SUMIFS(DataRegularSeason20242025!$AA$3:$AA$1315,DataRegularSeason20242025!$B$3:$B$1315, "&lt;=" &amp; CJ$1, DataRegularSeason20242025!$D$3:$D$1315, $A46)+SUMIFS(DataRegularSeason20242025!$AB$3:$AB$1315,DataRegularSeason20242025!$B$3:$B$1315, "&lt;=" &amp; CJ$1, DataRegularSeason20242025!$E$3:$E$1315, $A46)</f>
        <v>10</v>
      </c>
      <c r="CK46">
        <f>SUMIFS(DataRegularSeason20242025!$AA$3:$AA$1315,DataRegularSeason20242025!$B$3:$B$1315, "&lt;=" &amp; CK$1, DataRegularSeason20242025!$D$3:$D$1315, $A46)+SUMIFS(DataRegularSeason20242025!$AB$3:$AB$1315,DataRegularSeason20242025!$B$3:$B$1315, "&lt;=" &amp; CK$1, DataRegularSeason20242025!$E$3:$E$1315, $A46)</f>
        <v>10</v>
      </c>
      <c r="CL46">
        <f>SUMIFS(DataRegularSeason20242025!$AA$3:$AA$1315,DataRegularSeason20242025!$B$3:$B$1315, "&lt;=" &amp; CL$1, DataRegularSeason20242025!$D$3:$D$1315, $A46)+SUMIFS(DataRegularSeason20242025!$AB$3:$AB$1315,DataRegularSeason20242025!$B$3:$B$1315, "&lt;=" &amp; CL$1, DataRegularSeason20242025!$E$3:$E$1315, $A46)</f>
        <v>10</v>
      </c>
      <c r="CM46">
        <f>SUMIFS(DataRegularSeason20242025!$AA$3:$AA$1315,DataRegularSeason20242025!$B$3:$B$1315, "&lt;=" &amp; CM$1, DataRegularSeason20242025!$D$3:$D$1315, $A46)+SUMIFS(DataRegularSeason20242025!$AB$3:$AB$1315,DataRegularSeason20242025!$B$3:$B$1315, "&lt;=" &amp; CM$1, DataRegularSeason20242025!$E$3:$E$1315, $A46)</f>
        <v>10</v>
      </c>
      <c r="CN46">
        <f>SUMIFS(DataRegularSeason20242025!$AA$3:$AA$1315,DataRegularSeason20242025!$B$3:$B$1315, "&lt;=" &amp; CN$1, DataRegularSeason20242025!$D$3:$D$1315, $A46)+SUMIFS(DataRegularSeason20242025!$AB$3:$AB$1315,DataRegularSeason20242025!$B$3:$B$1315, "&lt;=" &amp; CN$1, DataRegularSeason20242025!$E$3:$E$1315, $A46)</f>
        <v>10</v>
      </c>
      <c r="CO46">
        <f>SUMIFS(DataRegularSeason20242025!$AA$3:$AA$1315,DataRegularSeason20242025!$B$3:$B$1315, "&lt;=" &amp; CO$1, DataRegularSeason20242025!$D$3:$D$1315, $A46)+SUMIFS(DataRegularSeason20242025!$AB$3:$AB$1315,DataRegularSeason20242025!$B$3:$B$1315, "&lt;=" &amp; CO$1, DataRegularSeason20242025!$E$3:$E$1315, $A46)</f>
        <v>10</v>
      </c>
      <c r="CP46">
        <f>SUMIFS(DataRegularSeason20242025!$AA$3:$AA$1315,DataRegularSeason20242025!$B$3:$B$1315, "&lt;=" &amp; CP$1, DataRegularSeason20242025!$D$3:$D$1315, $A46)+SUMIFS(DataRegularSeason20242025!$AB$3:$AB$1315,DataRegularSeason20242025!$B$3:$B$1315, "&lt;=" &amp; CP$1, DataRegularSeason20242025!$E$3:$E$1315, $A46)</f>
        <v>10</v>
      </c>
      <c r="CQ46">
        <f>SUMIFS(DataRegularSeason20242025!$AA$3:$AA$1315,DataRegularSeason20242025!$B$3:$B$1315, "&lt;=" &amp; CQ$1, DataRegularSeason20242025!$D$3:$D$1315, $A46)+SUMIFS(DataRegularSeason20242025!$AB$3:$AB$1315,DataRegularSeason20242025!$B$3:$B$1315, "&lt;=" &amp; CQ$1, DataRegularSeason20242025!$E$3:$E$1315, $A46)</f>
        <v>10</v>
      </c>
      <c r="CR46">
        <f>SUMIFS(DataRegularSeason20242025!$AA$3:$AA$1315,DataRegularSeason20242025!$B$3:$B$1315, "&lt;=" &amp; CR$1, DataRegularSeason20242025!$D$3:$D$1315, $A46)+SUMIFS(DataRegularSeason20242025!$AB$3:$AB$1315,DataRegularSeason20242025!$B$3:$B$1315, "&lt;=" &amp; CR$1, DataRegularSeason20242025!$E$3:$E$1315, $A46)</f>
        <v>10</v>
      </c>
      <c r="CS46">
        <f>SUMIFS(DataRegularSeason20242025!$AA$3:$AA$1315,DataRegularSeason20242025!$B$3:$B$1315, "&lt;=" &amp; CS$1, DataRegularSeason20242025!$D$3:$D$1315, $A46)+SUMIFS(DataRegularSeason20242025!$AB$3:$AB$1315,DataRegularSeason20242025!$B$3:$B$1315, "&lt;=" &amp; CS$1, DataRegularSeason20242025!$E$3:$E$1315, $A46)</f>
        <v>10</v>
      </c>
      <c r="CT46">
        <f>SUMIFS(DataRegularSeason20242025!$AA$3:$AA$1315,DataRegularSeason20242025!$B$3:$B$1315, "&lt;=" &amp; CT$1, DataRegularSeason20242025!$D$3:$D$1315, $A46)+SUMIFS(DataRegularSeason20242025!$AB$3:$AB$1315,DataRegularSeason20242025!$B$3:$B$1315, "&lt;=" &amp; CT$1, DataRegularSeason20242025!$E$3:$E$1315, $A46)</f>
        <v>10</v>
      </c>
      <c r="CU46">
        <f>SUMIFS(DataRegularSeason20242025!$AA$3:$AA$1315,DataRegularSeason20242025!$B$3:$B$1315, "&lt;=" &amp; CU$1, DataRegularSeason20242025!$D$3:$D$1315, $A46)+SUMIFS(DataRegularSeason20242025!$AB$3:$AB$1315,DataRegularSeason20242025!$B$3:$B$1315, "&lt;=" &amp; CU$1, DataRegularSeason20242025!$E$3:$E$1315, $A46)</f>
        <v>10</v>
      </c>
      <c r="CV46">
        <f>SUMIFS(DataRegularSeason20242025!$AA$3:$AA$1315,DataRegularSeason20242025!$B$3:$B$1315, "&lt;=" &amp; CV$1, DataRegularSeason20242025!$D$3:$D$1315, $A46)+SUMIFS(DataRegularSeason20242025!$AB$3:$AB$1315,DataRegularSeason20242025!$B$3:$B$1315, "&lt;=" &amp; CV$1, DataRegularSeason20242025!$E$3:$E$1315, $A46)</f>
        <v>10</v>
      </c>
      <c r="CW46">
        <f>SUMIFS(DataRegularSeason20242025!$AA$3:$AA$1315,DataRegularSeason20242025!$B$3:$B$1315, "&lt;=" &amp; CW$1, DataRegularSeason20242025!$D$3:$D$1315, $A46)+SUMIFS(DataRegularSeason20242025!$AB$3:$AB$1315,DataRegularSeason20242025!$B$3:$B$1315, "&lt;=" &amp; CW$1, DataRegularSeason20242025!$E$3:$E$1315, $A46)</f>
        <v>10</v>
      </c>
      <c r="CX46">
        <f>SUMIFS(DataRegularSeason20242025!$AA$3:$AA$1315,DataRegularSeason20242025!$B$3:$B$1315, "&lt;=" &amp; CX$1, DataRegularSeason20242025!$D$3:$D$1315, $A46)+SUMIFS(DataRegularSeason20242025!$AB$3:$AB$1315,DataRegularSeason20242025!$B$3:$B$1315, "&lt;=" &amp; CX$1, DataRegularSeason20242025!$E$3:$E$1315, $A46)</f>
        <v>10</v>
      </c>
      <c r="CY46">
        <f>SUMIFS(DataRegularSeason20242025!$AA$3:$AA$1315,DataRegularSeason20242025!$B$3:$B$1315, "&lt;=" &amp; CY$1, DataRegularSeason20242025!$D$3:$D$1315, $A46)+SUMIFS(DataRegularSeason20242025!$AB$3:$AB$1315,DataRegularSeason20242025!$B$3:$B$1315, "&lt;=" &amp; CY$1, DataRegularSeason20242025!$E$3:$E$1315, $A46)</f>
        <v>10</v>
      </c>
      <c r="CZ46">
        <f>SUMIFS(DataRegularSeason20242025!$AA$3:$AA$1315,DataRegularSeason20242025!$B$3:$B$1315, "&lt;=" &amp; CZ$1, DataRegularSeason20242025!$D$3:$D$1315, $A46)+SUMIFS(DataRegularSeason20242025!$AB$3:$AB$1315,DataRegularSeason20242025!$B$3:$B$1315, "&lt;=" &amp; CZ$1, DataRegularSeason20242025!$E$3:$E$1315, $A46)</f>
        <v>10</v>
      </c>
      <c r="DA46">
        <f>SUMIFS(DataRegularSeason20242025!$AA$3:$AA$1315,DataRegularSeason20242025!$B$3:$B$1315, "&lt;=" &amp; DA$1, DataRegularSeason20242025!$D$3:$D$1315, $A46)+SUMIFS(DataRegularSeason20242025!$AB$3:$AB$1315,DataRegularSeason20242025!$B$3:$B$1315, "&lt;=" &amp; DA$1, DataRegularSeason20242025!$E$3:$E$1315, $A46)</f>
        <v>10</v>
      </c>
      <c r="DB46">
        <f>SUMIFS(DataRegularSeason20242025!$AA$3:$AA$1315,DataRegularSeason20242025!$B$3:$B$1315, "&lt;=" &amp; DB$1, DataRegularSeason20242025!$D$3:$D$1315, $A46)+SUMIFS(DataRegularSeason20242025!$AB$3:$AB$1315,DataRegularSeason20242025!$B$3:$B$1315, "&lt;=" &amp; DB$1, DataRegularSeason20242025!$E$3:$E$1315, $A46)</f>
        <v>10</v>
      </c>
      <c r="DC46">
        <f>SUMIFS(DataRegularSeason20242025!$AA$3:$AA$1315,DataRegularSeason20242025!$B$3:$B$1315, "&lt;=" &amp; DC$1, DataRegularSeason20242025!$D$3:$D$1315, $A46)+SUMIFS(DataRegularSeason20242025!$AB$3:$AB$1315,DataRegularSeason20242025!$B$3:$B$1315, "&lt;=" &amp; DC$1, DataRegularSeason20242025!$E$3:$E$1315, $A46)</f>
        <v>10</v>
      </c>
      <c r="DD46">
        <f>SUMIFS(DataRegularSeason20242025!$AA$3:$AA$1315,DataRegularSeason20242025!$B$3:$B$1315, "&lt;=" &amp; DD$1, DataRegularSeason20242025!$D$3:$D$1315, $A46)+SUMIFS(DataRegularSeason20242025!$AB$3:$AB$1315,DataRegularSeason20242025!$B$3:$B$1315, "&lt;=" &amp; DD$1, DataRegularSeason20242025!$E$3:$E$1315, $A46)</f>
        <v>10</v>
      </c>
      <c r="DE46">
        <f>SUMIFS(DataRegularSeason20242025!$AA$3:$AA$1315,DataRegularSeason20242025!$B$3:$B$1315, "&lt;=" &amp; DE$1, DataRegularSeason20242025!$D$3:$D$1315, $A46)+SUMIFS(DataRegularSeason20242025!$AB$3:$AB$1315,DataRegularSeason20242025!$B$3:$B$1315, "&lt;=" &amp; DE$1, DataRegularSeason20242025!$E$3:$E$1315, $A46)</f>
        <v>10</v>
      </c>
      <c r="DF46">
        <f>SUMIFS(DataRegularSeason20242025!$AA$3:$AA$1315,DataRegularSeason20242025!$B$3:$B$1315, "&lt;=" &amp; DF$1, DataRegularSeason20242025!$D$3:$D$1315, $A46)+SUMIFS(DataRegularSeason20242025!$AB$3:$AB$1315,DataRegularSeason20242025!$B$3:$B$1315, "&lt;=" &amp; DF$1, DataRegularSeason20242025!$E$3:$E$1315, $A46)</f>
        <v>10</v>
      </c>
      <c r="DG46">
        <f>SUMIFS(DataRegularSeason20242025!$AA$3:$AA$1315,DataRegularSeason20242025!$B$3:$B$1315, "&lt;=" &amp; DG$1, DataRegularSeason20242025!$D$3:$D$1315, $A46)+SUMIFS(DataRegularSeason20242025!$AB$3:$AB$1315,DataRegularSeason20242025!$B$3:$B$1315, "&lt;=" &amp; DG$1, DataRegularSeason20242025!$E$3:$E$1315, $A46)</f>
        <v>10</v>
      </c>
      <c r="DH46">
        <f>SUMIFS(DataRegularSeason20242025!$AA$3:$AA$1315,DataRegularSeason20242025!$B$3:$B$1315, "&lt;=" &amp; DH$1, DataRegularSeason20242025!$D$3:$D$1315, $A46)+SUMIFS(DataRegularSeason20242025!$AB$3:$AB$1315,DataRegularSeason20242025!$B$3:$B$1315, "&lt;=" &amp; DH$1, DataRegularSeason20242025!$E$3:$E$1315, $A46)</f>
        <v>10</v>
      </c>
      <c r="DI46">
        <f>SUMIFS(DataRegularSeason20242025!$AA$3:$AA$1315,DataRegularSeason20242025!$B$3:$B$1315, "&lt;=" &amp; DI$1, DataRegularSeason20242025!$D$3:$D$1315, $A46)+SUMIFS(DataRegularSeason20242025!$AB$3:$AB$1315,DataRegularSeason20242025!$B$3:$B$1315, "&lt;=" &amp; DI$1, DataRegularSeason20242025!$E$3:$E$1315, $A46)</f>
        <v>10</v>
      </c>
      <c r="DJ46">
        <f>SUMIFS(DataRegularSeason20242025!$AA$3:$AA$1315,DataRegularSeason20242025!$B$3:$B$1315, "&lt;=" &amp; DJ$1, DataRegularSeason20242025!$D$3:$D$1315, $A46)+SUMIFS(DataRegularSeason20242025!$AB$3:$AB$1315,DataRegularSeason20242025!$B$3:$B$1315, "&lt;=" &amp; DJ$1, DataRegularSeason20242025!$E$3:$E$1315, $A46)</f>
        <v>10</v>
      </c>
      <c r="DK46">
        <f>SUMIFS(DataRegularSeason20242025!$AA$3:$AA$1315,DataRegularSeason20242025!$B$3:$B$1315, "&lt;=" &amp; DK$1, DataRegularSeason20242025!$D$3:$D$1315, $A46)+SUMIFS(DataRegularSeason20242025!$AB$3:$AB$1315,DataRegularSeason20242025!$B$3:$B$1315, "&lt;=" &amp; DK$1, DataRegularSeason20242025!$E$3:$E$1315, $A46)</f>
        <v>10</v>
      </c>
      <c r="DL46">
        <f>SUMIFS(DataRegularSeason20242025!$AA$3:$AA$1315,DataRegularSeason20242025!$B$3:$B$1315, "&lt;=" &amp; DL$1, DataRegularSeason20242025!$D$3:$D$1315, $A46)+SUMIFS(DataRegularSeason20242025!$AB$3:$AB$1315,DataRegularSeason20242025!$B$3:$B$1315, "&lt;=" &amp; DL$1, DataRegularSeason20242025!$E$3:$E$1315, $A46)</f>
        <v>10</v>
      </c>
      <c r="DM46">
        <f>SUMIFS(DataRegularSeason20242025!$AA$3:$AA$1315,DataRegularSeason20242025!$B$3:$B$1315, "&lt;=" &amp; DM$1, DataRegularSeason20242025!$D$3:$D$1315, $A46)+SUMIFS(DataRegularSeason20242025!$AB$3:$AB$1315,DataRegularSeason20242025!$B$3:$B$1315, "&lt;=" &amp; DM$1, DataRegularSeason20242025!$E$3:$E$1315, $A46)</f>
        <v>10</v>
      </c>
      <c r="DN46">
        <f>SUMIFS(DataRegularSeason20242025!$AA$3:$AA$1315,DataRegularSeason20242025!$B$3:$B$1315, "&lt;=" &amp; DN$1, DataRegularSeason20242025!$D$3:$D$1315, $A46)+SUMIFS(DataRegularSeason20242025!$AB$3:$AB$1315,DataRegularSeason20242025!$B$3:$B$1315, "&lt;=" &amp; DN$1, DataRegularSeason20242025!$E$3:$E$1315, $A46)</f>
        <v>10</v>
      </c>
      <c r="DO46">
        <f>SUMIFS(DataRegularSeason20242025!$AA$3:$AA$1315,DataRegularSeason20242025!$B$3:$B$1315, "&lt;=" &amp; DO$1, DataRegularSeason20242025!$D$3:$D$1315, $A46)+SUMIFS(DataRegularSeason20242025!$AB$3:$AB$1315,DataRegularSeason20242025!$B$3:$B$1315, "&lt;=" &amp; DO$1, DataRegularSeason20242025!$E$3:$E$1315, $A46)</f>
        <v>10</v>
      </c>
      <c r="DP46">
        <f>SUMIFS(DataRegularSeason20242025!$AA$3:$AA$1315,DataRegularSeason20242025!$B$3:$B$1315, "&lt;=" &amp; DP$1, DataRegularSeason20242025!$D$3:$D$1315, $A46)+SUMIFS(DataRegularSeason20242025!$AB$3:$AB$1315,DataRegularSeason20242025!$B$3:$B$1315, "&lt;=" &amp; DP$1, DataRegularSeason20242025!$E$3:$E$1315, $A46)</f>
        <v>10</v>
      </c>
      <c r="DQ46">
        <f>SUMIFS(DataRegularSeason20242025!$AA$3:$AA$1315,DataRegularSeason20242025!$B$3:$B$1315, "&lt;=" &amp; DQ$1, DataRegularSeason20242025!$D$3:$D$1315, $A46)+SUMIFS(DataRegularSeason20242025!$AB$3:$AB$1315,DataRegularSeason20242025!$B$3:$B$1315, "&lt;=" &amp; DQ$1, DataRegularSeason20242025!$E$3:$E$1315, $A46)</f>
        <v>10</v>
      </c>
      <c r="DR46">
        <f>SUMIFS(DataRegularSeason20242025!$AA$3:$AA$1315,DataRegularSeason20242025!$B$3:$B$1315, "&lt;=" &amp; DR$1, DataRegularSeason20242025!$D$3:$D$1315, $A46)+SUMIFS(DataRegularSeason20242025!$AB$3:$AB$1315,DataRegularSeason20242025!$B$3:$B$1315, "&lt;=" &amp; DR$1, DataRegularSeason20242025!$E$3:$E$1315, $A46)</f>
        <v>10</v>
      </c>
      <c r="DS46">
        <f>SUMIFS(DataRegularSeason20242025!$AA$3:$AA$1315,DataRegularSeason20242025!$B$3:$B$1315, "&lt;=" &amp; DS$1, DataRegularSeason20242025!$D$3:$D$1315, $A46)+SUMIFS(DataRegularSeason20242025!$AB$3:$AB$1315,DataRegularSeason20242025!$B$3:$B$1315, "&lt;=" &amp; DS$1, DataRegularSeason20242025!$E$3:$E$1315, $A46)</f>
        <v>10</v>
      </c>
      <c r="DT46">
        <f>SUMIFS(DataRegularSeason20242025!$AA$3:$AA$1315,DataRegularSeason20242025!$B$3:$B$1315, "&lt;=" &amp; DT$1, DataRegularSeason20242025!$D$3:$D$1315, $A46)+SUMIFS(DataRegularSeason20242025!$AB$3:$AB$1315,DataRegularSeason20242025!$B$3:$B$1315, "&lt;=" &amp; DT$1, DataRegularSeason20242025!$E$3:$E$1315, $A46)</f>
        <v>10</v>
      </c>
      <c r="DU46">
        <f>SUMIFS(DataRegularSeason20242025!$AA$3:$AA$1315,DataRegularSeason20242025!$B$3:$B$1315, "&lt;=" &amp; DU$1, DataRegularSeason20242025!$D$3:$D$1315, $A46)+SUMIFS(DataRegularSeason20242025!$AB$3:$AB$1315,DataRegularSeason20242025!$B$3:$B$1315, "&lt;=" &amp; DU$1, DataRegularSeason20242025!$E$3:$E$1315, $A46)</f>
        <v>10</v>
      </c>
      <c r="DV46">
        <f>SUMIFS(DataRegularSeason20242025!$AA$3:$AA$1315,DataRegularSeason20242025!$B$3:$B$1315, "&lt;=" &amp; DV$1, DataRegularSeason20242025!$D$3:$D$1315, $A46)+SUMIFS(DataRegularSeason20242025!$AB$3:$AB$1315,DataRegularSeason20242025!$B$3:$B$1315, "&lt;=" &amp; DV$1, DataRegularSeason20242025!$E$3:$E$1315, $A46)</f>
        <v>10</v>
      </c>
      <c r="DW46">
        <f>SUMIFS(DataRegularSeason20242025!$AA$3:$AA$1315,DataRegularSeason20242025!$B$3:$B$1315, "&lt;=" &amp; DW$1, DataRegularSeason20242025!$D$3:$D$1315, $A46)+SUMIFS(DataRegularSeason20242025!$AB$3:$AB$1315,DataRegularSeason20242025!$B$3:$B$1315, "&lt;=" &amp; DW$1, DataRegularSeason20242025!$E$3:$E$1315, $A46)</f>
        <v>10</v>
      </c>
      <c r="DX46">
        <f>SUMIFS(DataRegularSeason20242025!$AA$3:$AA$1315,DataRegularSeason20242025!$B$3:$B$1315, "&lt;=" &amp; DX$1, DataRegularSeason20242025!$D$3:$D$1315, $A46)+SUMIFS(DataRegularSeason20242025!$AB$3:$AB$1315,DataRegularSeason20242025!$B$3:$B$1315, "&lt;=" &amp; DX$1, DataRegularSeason20242025!$E$3:$E$1315, $A46)</f>
        <v>10</v>
      </c>
      <c r="DY46">
        <f>SUMIFS(DataRegularSeason20242025!$AA$3:$AA$1315,DataRegularSeason20242025!$B$3:$B$1315, "&lt;=" &amp; DY$1, DataRegularSeason20242025!$D$3:$D$1315, $A46)+SUMIFS(DataRegularSeason20242025!$AB$3:$AB$1315,DataRegularSeason20242025!$B$3:$B$1315, "&lt;=" &amp; DY$1, DataRegularSeason20242025!$E$3:$E$1315, $A46)</f>
        <v>10</v>
      </c>
      <c r="DZ46">
        <f>SUMIFS(DataRegularSeason20242025!$AA$3:$AA$1315,DataRegularSeason20242025!$B$3:$B$1315, "&lt;=" &amp; DZ$1, DataRegularSeason20242025!$D$3:$D$1315, $A46)+SUMIFS(DataRegularSeason20242025!$AB$3:$AB$1315,DataRegularSeason20242025!$B$3:$B$1315, "&lt;=" &amp; DZ$1, DataRegularSeason20242025!$E$3:$E$1315, $A46)</f>
        <v>10</v>
      </c>
      <c r="EA46">
        <f>SUMIFS(DataRegularSeason20242025!$AA$3:$AA$1315,DataRegularSeason20242025!$B$3:$B$1315, "&lt;=" &amp; EA$1, DataRegularSeason20242025!$D$3:$D$1315, $A46)+SUMIFS(DataRegularSeason20242025!$AB$3:$AB$1315,DataRegularSeason20242025!$B$3:$B$1315, "&lt;=" &amp; EA$1, DataRegularSeason20242025!$E$3:$E$1315, $A46)</f>
        <v>10</v>
      </c>
      <c r="EB46">
        <f>SUMIFS(DataRegularSeason20242025!$AA$3:$AA$1315,DataRegularSeason20242025!$B$3:$B$1315, "&lt;=" &amp; EB$1, DataRegularSeason20242025!$D$3:$D$1315, $A46)+SUMIFS(DataRegularSeason20242025!$AB$3:$AB$1315,DataRegularSeason20242025!$B$3:$B$1315, "&lt;=" &amp; EB$1, DataRegularSeason20242025!$E$3:$E$1315, $A46)</f>
        <v>10</v>
      </c>
      <c r="EC46">
        <f>SUMIFS(DataRegularSeason20242025!$AA$3:$AA$1315,DataRegularSeason20242025!$B$3:$B$1315, "&lt;=" &amp; EC$1, DataRegularSeason20242025!$D$3:$D$1315, $A46)+SUMIFS(DataRegularSeason20242025!$AB$3:$AB$1315,DataRegularSeason20242025!$B$3:$B$1315, "&lt;=" &amp; EC$1, DataRegularSeason20242025!$E$3:$E$1315, $A46)</f>
        <v>10</v>
      </c>
      <c r="ED46">
        <f>SUMIFS(DataRegularSeason20242025!$AA$3:$AA$1315,DataRegularSeason20242025!$B$3:$B$1315, "&lt;=" &amp; ED$1, DataRegularSeason20242025!$D$3:$D$1315, $A46)+SUMIFS(DataRegularSeason20242025!$AB$3:$AB$1315,DataRegularSeason20242025!$B$3:$B$1315, "&lt;=" &amp; ED$1, DataRegularSeason20242025!$E$3:$E$1315, $A46)</f>
        <v>10</v>
      </c>
      <c r="EE46">
        <f>SUMIFS(DataRegularSeason20242025!$AA$3:$AA$1315,DataRegularSeason20242025!$B$3:$B$1315, "&lt;=" &amp; EE$1, DataRegularSeason20242025!$D$3:$D$1315, $A46)+SUMIFS(DataRegularSeason20242025!$AB$3:$AB$1315,DataRegularSeason20242025!$B$3:$B$1315, "&lt;=" &amp; EE$1, DataRegularSeason20242025!$E$3:$E$1315, $A46)</f>
        <v>10</v>
      </c>
      <c r="EF46">
        <f>SUMIFS(DataRegularSeason20242025!$AA$3:$AA$1315,DataRegularSeason20242025!$B$3:$B$1315, "&lt;=" &amp; EF$1, DataRegularSeason20242025!$D$3:$D$1315, $A46)+SUMIFS(DataRegularSeason20242025!$AB$3:$AB$1315,DataRegularSeason20242025!$B$3:$B$1315, "&lt;=" &amp; EF$1, DataRegularSeason20242025!$E$3:$E$1315, $A46)</f>
        <v>10</v>
      </c>
      <c r="EG46">
        <f>SUMIFS(DataRegularSeason20242025!$AA$3:$AA$1315,DataRegularSeason20242025!$B$3:$B$1315, "&lt;=" &amp; EG$1, DataRegularSeason20242025!$D$3:$D$1315, $A46)+SUMIFS(DataRegularSeason20242025!$AB$3:$AB$1315,DataRegularSeason20242025!$B$3:$B$1315, "&lt;=" &amp; EG$1, DataRegularSeason20242025!$E$3:$E$1315, $A46)</f>
        <v>10</v>
      </c>
      <c r="EH46">
        <f>SUMIFS(DataRegularSeason20242025!$AA$3:$AA$1315,DataRegularSeason20242025!$B$3:$B$1315, "&lt;=" &amp; EH$1, DataRegularSeason20242025!$D$3:$D$1315, $A46)+SUMIFS(DataRegularSeason20242025!$AB$3:$AB$1315,DataRegularSeason20242025!$B$3:$B$1315, "&lt;=" &amp; EH$1, DataRegularSeason20242025!$E$3:$E$1315, $A46)</f>
        <v>10</v>
      </c>
      <c r="EI46">
        <f>SUMIFS(DataRegularSeason20242025!$AA$3:$AA$1315,DataRegularSeason20242025!$B$3:$B$1315, "&lt;=" &amp; EI$1, DataRegularSeason20242025!$D$3:$D$1315, $A46)+SUMIFS(DataRegularSeason20242025!$AB$3:$AB$1315,DataRegularSeason20242025!$B$3:$B$1315, "&lt;=" &amp; EI$1, DataRegularSeason20242025!$E$3:$E$1315, $A46)</f>
        <v>10</v>
      </c>
      <c r="EJ46">
        <f>SUMIFS(DataRegularSeason20242025!$AA$3:$AA$1315,DataRegularSeason20242025!$B$3:$B$1315, "&lt;=" &amp; EJ$1, DataRegularSeason20242025!$D$3:$D$1315, $A46)+SUMIFS(DataRegularSeason20242025!$AB$3:$AB$1315,DataRegularSeason20242025!$B$3:$B$1315, "&lt;=" &amp; EJ$1, DataRegularSeason20242025!$E$3:$E$1315, $A46)</f>
        <v>10</v>
      </c>
      <c r="EK46">
        <f>SUMIFS(DataRegularSeason20242025!$AA$3:$AA$1315,DataRegularSeason20242025!$B$3:$B$1315, "&lt;=" &amp; EK$1, DataRegularSeason20242025!$D$3:$D$1315, $A46)+SUMIFS(DataRegularSeason20242025!$AB$3:$AB$1315,DataRegularSeason20242025!$B$3:$B$1315, "&lt;=" &amp; EK$1, DataRegularSeason20242025!$E$3:$E$1315, $A46)</f>
        <v>10</v>
      </c>
      <c r="EL46">
        <f>SUMIFS(DataRegularSeason20242025!$AA$3:$AA$1315,DataRegularSeason20242025!$B$3:$B$1315, "&lt;=" &amp; EL$1, DataRegularSeason20242025!$D$3:$D$1315, $A46)+SUMIFS(DataRegularSeason20242025!$AB$3:$AB$1315,DataRegularSeason20242025!$B$3:$B$1315, "&lt;=" &amp; EL$1, DataRegularSeason20242025!$E$3:$E$1315, $A46)</f>
        <v>10</v>
      </c>
      <c r="EM46">
        <f>SUMIFS(DataRegularSeason20242025!$AA$3:$AA$1315,DataRegularSeason20242025!$B$3:$B$1315, "&lt;=" &amp; EM$1, DataRegularSeason20242025!$D$3:$D$1315, $A46)+SUMIFS(DataRegularSeason20242025!$AB$3:$AB$1315,DataRegularSeason20242025!$B$3:$B$1315, "&lt;=" &amp; EM$1, DataRegularSeason20242025!$E$3:$E$1315, $A46)</f>
        <v>10</v>
      </c>
      <c r="EN46">
        <f>SUMIFS(DataRegularSeason20242025!$AA$3:$AA$1315,DataRegularSeason20242025!$B$3:$B$1315, "&lt;=" &amp; EN$1, DataRegularSeason20242025!$D$3:$D$1315, $A46)+SUMIFS(DataRegularSeason20242025!$AB$3:$AB$1315,DataRegularSeason20242025!$B$3:$B$1315, "&lt;=" &amp; EN$1, DataRegularSeason20242025!$E$3:$E$1315, $A46)</f>
        <v>10</v>
      </c>
      <c r="EO46">
        <f>SUMIFS(DataRegularSeason20242025!$AA$3:$AA$1315,DataRegularSeason20242025!$B$3:$B$1315, "&lt;=" &amp; EO$1, DataRegularSeason20242025!$D$3:$D$1315, $A46)+SUMIFS(DataRegularSeason20242025!$AB$3:$AB$1315,DataRegularSeason20242025!$B$3:$B$1315, "&lt;=" &amp; EO$1, DataRegularSeason20242025!$E$3:$E$1315, $A46)</f>
        <v>10</v>
      </c>
      <c r="EP46">
        <f>SUMIFS(DataRegularSeason20242025!$AA$3:$AA$1315,DataRegularSeason20242025!$B$3:$B$1315, "&lt;=" &amp; EP$1, DataRegularSeason20242025!$D$3:$D$1315, $A46)+SUMIFS(DataRegularSeason20242025!$AB$3:$AB$1315,DataRegularSeason20242025!$B$3:$B$1315, "&lt;=" &amp; EP$1, DataRegularSeason20242025!$E$3:$E$1315, $A46)</f>
        <v>10</v>
      </c>
      <c r="EQ46">
        <f>SUMIFS(DataRegularSeason20242025!$AA$3:$AA$1315,DataRegularSeason20242025!$B$3:$B$1315, "&lt;=" &amp; EQ$1, DataRegularSeason20242025!$D$3:$D$1315, $A46)+SUMIFS(DataRegularSeason20242025!$AB$3:$AB$1315,DataRegularSeason20242025!$B$3:$B$1315, "&lt;=" &amp; EQ$1, DataRegularSeason20242025!$E$3:$E$1315, $A46)</f>
        <v>10</v>
      </c>
      <c r="ER46">
        <f>SUMIFS(DataRegularSeason20242025!$AA$3:$AA$1315,DataRegularSeason20242025!$B$3:$B$1315, "&lt;=" &amp; ER$1, DataRegularSeason20242025!$D$3:$D$1315, $A46)+SUMIFS(DataRegularSeason20242025!$AB$3:$AB$1315,DataRegularSeason20242025!$B$3:$B$1315, "&lt;=" &amp; ER$1, DataRegularSeason20242025!$E$3:$E$1315, $A46)</f>
        <v>10</v>
      </c>
      <c r="ES46">
        <f>SUMIFS(DataRegularSeason20242025!$AA$3:$AA$1315,DataRegularSeason20242025!$B$3:$B$1315, "&lt;=" &amp; ES$1, DataRegularSeason20242025!$D$3:$D$1315, $A46)+SUMIFS(DataRegularSeason20242025!$AB$3:$AB$1315,DataRegularSeason20242025!$B$3:$B$1315, "&lt;=" &amp; ES$1, DataRegularSeason20242025!$E$3:$E$1315, $A46)</f>
        <v>10</v>
      </c>
      <c r="ET46">
        <f>SUMIFS(DataRegularSeason20242025!$AA$3:$AA$1315,DataRegularSeason20242025!$B$3:$B$1315, "&lt;=" &amp; ET$1, DataRegularSeason20242025!$D$3:$D$1315, $A46)+SUMIFS(DataRegularSeason20242025!$AB$3:$AB$1315,DataRegularSeason20242025!$B$3:$B$1315, "&lt;=" &amp; ET$1, DataRegularSeason20242025!$E$3:$E$1315, $A46)</f>
        <v>10</v>
      </c>
      <c r="EU46">
        <f>SUMIFS(DataRegularSeason20242025!$AA$3:$AA$1315,DataRegularSeason20242025!$B$3:$B$1315, "&lt;=" &amp; EU$1, DataRegularSeason20242025!$D$3:$D$1315, $A46)+SUMIFS(DataRegularSeason20242025!$AB$3:$AB$1315,DataRegularSeason20242025!$B$3:$B$1315, "&lt;=" &amp; EU$1, DataRegularSeason20242025!$E$3:$E$1315, $A46)</f>
        <v>10</v>
      </c>
      <c r="EV46">
        <f>SUMIFS(DataRegularSeason20242025!$AA$3:$AA$1315,DataRegularSeason20242025!$B$3:$B$1315, "&lt;=" &amp; EV$1, DataRegularSeason20242025!$D$3:$D$1315, $A46)+SUMIFS(DataRegularSeason20242025!$AB$3:$AB$1315,DataRegularSeason20242025!$B$3:$B$1315, "&lt;=" &amp; EV$1, DataRegularSeason20242025!$E$3:$E$1315, $A46)</f>
        <v>10</v>
      </c>
      <c r="EW46">
        <f>SUMIFS(DataRegularSeason20242025!$AA$3:$AA$1315,DataRegularSeason20242025!$B$3:$B$1315, "&lt;=" &amp; EW$1, DataRegularSeason20242025!$D$3:$D$1315, $A46)+SUMIFS(DataRegularSeason20242025!$AB$3:$AB$1315,DataRegularSeason20242025!$B$3:$B$1315, "&lt;=" &amp; EW$1, DataRegularSeason20242025!$E$3:$E$1315, $A46)</f>
        <v>10</v>
      </c>
      <c r="EX46">
        <f>SUMIFS(DataRegularSeason20242025!$AA$3:$AA$1315,DataRegularSeason20242025!$B$3:$B$1315, "&lt;=" &amp; EX$1, DataRegularSeason20242025!$D$3:$D$1315, $A46)+SUMIFS(DataRegularSeason20242025!$AB$3:$AB$1315,DataRegularSeason20242025!$B$3:$B$1315, "&lt;=" &amp; EX$1, DataRegularSeason20242025!$E$3:$E$1315, $A46)</f>
        <v>10</v>
      </c>
      <c r="EY46">
        <f>SUMIFS(DataRegularSeason20242025!$AA$3:$AA$1315,DataRegularSeason20242025!$B$3:$B$1315, "&lt;=" &amp; EY$1, DataRegularSeason20242025!$D$3:$D$1315, $A46)+SUMIFS(DataRegularSeason20242025!$AB$3:$AB$1315,DataRegularSeason20242025!$B$3:$B$1315, "&lt;=" &amp; EY$1, DataRegularSeason20242025!$E$3:$E$1315, $A46)</f>
        <v>10</v>
      </c>
      <c r="EZ46">
        <f>SUMIFS(DataRegularSeason20242025!$AA$3:$AA$1315,DataRegularSeason20242025!$B$3:$B$1315, "&lt;=" &amp; EZ$1, DataRegularSeason20242025!$D$3:$D$1315, $A46)+SUMIFS(DataRegularSeason20242025!$AB$3:$AB$1315,DataRegularSeason20242025!$B$3:$B$1315, "&lt;=" &amp; EZ$1, DataRegularSeason20242025!$E$3:$E$1315, $A46)</f>
        <v>10</v>
      </c>
      <c r="FA46">
        <f>SUMIFS(DataRegularSeason20242025!$AA$3:$AA$1315,DataRegularSeason20242025!$B$3:$B$1315, "&lt;=" &amp; FA$1, DataRegularSeason20242025!$D$3:$D$1315, $A46)+SUMIFS(DataRegularSeason20242025!$AB$3:$AB$1315,DataRegularSeason20242025!$B$3:$B$1315, "&lt;=" &amp; FA$1, DataRegularSeason20242025!$E$3:$E$1315, $A46)</f>
        <v>10</v>
      </c>
      <c r="FB46">
        <f>SUMIFS(DataRegularSeason20242025!$AA$3:$AA$1315,DataRegularSeason20242025!$B$3:$B$1315, "&lt;=" &amp; FB$1, DataRegularSeason20242025!$D$3:$D$1315, $A46)+SUMIFS(DataRegularSeason20242025!$AB$3:$AB$1315,DataRegularSeason20242025!$B$3:$B$1315, "&lt;=" &amp; FB$1, DataRegularSeason20242025!$E$3:$E$1315, $A46)</f>
        <v>10</v>
      </c>
      <c r="FC46">
        <f>SUMIFS(DataRegularSeason20242025!$AA$3:$AA$1315,DataRegularSeason20242025!$B$3:$B$1315, "&lt;=" &amp; FC$1, DataRegularSeason20242025!$D$3:$D$1315, $A46)+SUMIFS(DataRegularSeason20242025!$AB$3:$AB$1315,DataRegularSeason20242025!$B$3:$B$1315, "&lt;=" &amp; FC$1, DataRegularSeason20242025!$E$3:$E$1315, $A46)</f>
        <v>10</v>
      </c>
      <c r="FD46">
        <f>SUMIFS(DataRegularSeason20242025!$AA$3:$AA$1315,DataRegularSeason20242025!$B$3:$B$1315, "&lt;=" &amp; FD$1, DataRegularSeason20242025!$D$3:$D$1315, $A46)+SUMIFS(DataRegularSeason20242025!$AB$3:$AB$1315,DataRegularSeason20242025!$B$3:$B$1315, "&lt;=" &amp; FD$1, DataRegularSeason20242025!$E$3:$E$1315, $A46)</f>
        <v>10</v>
      </c>
      <c r="FE46">
        <f>SUMIFS(DataRegularSeason20242025!$AA$3:$AA$1315,DataRegularSeason20242025!$B$3:$B$1315, "&lt;=" &amp; FE$1, DataRegularSeason20242025!$D$3:$D$1315, $A46)+SUMIFS(DataRegularSeason20242025!$AB$3:$AB$1315,DataRegularSeason20242025!$B$3:$B$1315, "&lt;=" &amp; FE$1, DataRegularSeason20242025!$E$3:$E$1315, $A46)</f>
        <v>10</v>
      </c>
      <c r="FF46">
        <f>SUMIFS(DataRegularSeason20242025!$AA$3:$AA$1315,DataRegularSeason20242025!$B$3:$B$1315, "&lt;=" &amp; FF$1, DataRegularSeason20242025!$D$3:$D$1315, $A46)+SUMIFS(DataRegularSeason20242025!$AB$3:$AB$1315,DataRegularSeason20242025!$B$3:$B$1315, "&lt;=" &amp; FF$1, DataRegularSeason20242025!$E$3:$E$1315, $A46)</f>
        <v>10</v>
      </c>
      <c r="FG46">
        <f>SUMIFS(DataRegularSeason20242025!$AA$3:$AA$1315,DataRegularSeason20242025!$B$3:$B$1315, "&lt;=" &amp; FG$1, DataRegularSeason20242025!$D$3:$D$1315, $A46)+SUMIFS(DataRegularSeason20242025!$AB$3:$AB$1315,DataRegularSeason20242025!$B$3:$B$1315, "&lt;=" &amp; FG$1, DataRegularSeason20242025!$E$3:$E$1315, $A46)</f>
        <v>10</v>
      </c>
      <c r="FH46">
        <f>SUMIFS(DataRegularSeason20242025!$AA$3:$AA$1315,DataRegularSeason20242025!$B$3:$B$1315, "&lt;=" &amp; FH$1, DataRegularSeason20242025!$D$3:$D$1315, $A46)+SUMIFS(DataRegularSeason20242025!$AB$3:$AB$1315,DataRegularSeason20242025!$B$3:$B$1315, "&lt;=" &amp; FH$1, DataRegularSeason20242025!$E$3:$E$1315, $A46)</f>
        <v>10</v>
      </c>
      <c r="FI46">
        <f>SUMIFS(DataRegularSeason20242025!$AA$3:$AA$1315,DataRegularSeason20242025!$B$3:$B$1315, "&lt;=" &amp; FI$1, DataRegularSeason20242025!$D$3:$D$1315, $A46)+SUMIFS(DataRegularSeason20242025!$AB$3:$AB$1315,DataRegularSeason20242025!$B$3:$B$1315, "&lt;=" &amp; FI$1, DataRegularSeason20242025!$E$3:$E$1315, $A46)</f>
        <v>10</v>
      </c>
      <c r="FJ46">
        <f>SUMIFS(DataRegularSeason20242025!$AA$3:$AA$1315,DataRegularSeason20242025!$B$3:$B$1315, "&lt;=" &amp; FJ$1, DataRegularSeason20242025!$D$3:$D$1315, $A46)+SUMIFS(DataRegularSeason20242025!$AB$3:$AB$1315,DataRegularSeason20242025!$B$3:$B$1315, "&lt;=" &amp; FJ$1, DataRegularSeason20242025!$E$3:$E$1315, $A46)</f>
        <v>10</v>
      </c>
      <c r="FK46">
        <f>SUMIFS(DataRegularSeason20242025!$AA$3:$AA$1315,DataRegularSeason20242025!$B$3:$B$1315, "&lt;=" &amp; FK$1, DataRegularSeason20242025!$D$3:$D$1315, $A46)+SUMIFS(DataRegularSeason20242025!$AB$3:$AB$1315,DataRegularSeason20242025!$B$3:$B$1315, "&lt;=" &amp; FK$1, DataRegularSeason20242025!$E$3:$E$1315, $A46)</f>
        <v>10</v>
      </c>
      <c r="FL46">
        <f>SUMIFS(DataRegularSeason20242025!$AA$3:$AA$1315,DataRegularSeason20242025!$B$3:$B$1315, "&lt;=" &amp; FL$1, DataRegularSeason20242025!$D$3:$D$1315, $A46)+SUMIFS(DataRegularSeason20242025!$AB$3:$AB$1315,DataRegularSeason20242025!$B$3:$B$1315, "&lt;=" &amp; FL$1, DataRegularSeason20242025!$E$3:$E$1315, $A46)</f>
        <v>10</v>
      </c>
      <c r="FM46">
        <f>SUMIFS(DataRegularSeason20242025!$AA$3:$AA$1315,DataRegularSeason20242025!$B$3:$B$1315, "&lt;=" &amp; FM$1, DataRegularSeason20242025!$D$3:$D$1315, $A46)+SUMIFS(DataRegularSeason20242025!$AB$3:$AB$1315,DataRegularSeason20242025!$B$3:$B$1315, "&lt;=" &amp; FM$1, DataRegularSeason20242025!$E$3:$E$1315, $A46)</f>
        <v>10</v>
      </c>
      <c r="FN46">
        <f>SUMIFS(DataRegularSeason20242025!$AA$3:$AA$1315,DataRegularSeason20242025!$B$3:$B$1315, "&lt;=" &amp; FN$1, DataRegularSeason20242025!$D$3:$D$1315, $A46)+SUMIFS(DataRegularSeason20242025!$AB$3:$AB$1315,DataRegularSeason20242025!$B$3:$B$1315, "&lt;=" &amp; FN$1, DataRegularSeason20242025!$E$3:$E$1315, $A46)</f>
        <v>10</v>
      </c>
      <c r="FO46">
        <f>SUMIFS(DataRegularSeason20242025!$AA$3:$AA$1315,DataRegularSeason20242025!$B$3:$B$1315, "&lt;=" &amp; FO$1, DataRegularSeason20242025!$D$3:$D$1315, $A46)+SUMIFS(DataRegularSeason20242025!$AB$3:$AB$1315,DataRegularSeason20242025!$B$3:$B$1315, "&lt;=" &amp; FO$1, DataRegularSeason20242025!$E$3:$E$1315, $A46)</f>
        <v>10</v>
      </c>
      <c r="FP46">
        <f>SUMIFS(DataRegularSeason20242025!$AA$3:$AA$1315,DataRegularSeason20242025!$B$3:$B$1315, "&lt;=" &amp; FP$1, DataRegularSeason20242025!$D$3:$D$1315, $A46)+SUMIFS(DataRegularSeason20242025!$AB$3:$AB$1315,DataRegularSeason20242025!$B$3:$B$1315, "&lt;=" &amp; FP$1, DataRegularSeason20242025!$E$3:$E$1315, $A46)</f>
        <v>10</v>
      </c>
      <c r="FQ46">
        <f>SUMIFS(DataRegularSeason20242025!$AA$3:$AA$1315,DataRegularSeason20242025!$B$3:$B$1315, "&lt;=" &amp; FQ$1, DataRegularSeason20242025!$D$3:$D$1315, $A46)+SUMIFS(DataRegularSeason20242025!$AB$3:$AB$1315,DataRegularSeason20242025!$B$3:$B$1315, "&lt;=" &amp; FQ$1, DataRegularSeason20242025!$E$3:$E$1315, $A46)</f>
        <v>10</v>
      </c>
      <c r="FR46">
        <f>SUMIFS(DataRegularSeason20242025!$AA$3:$AA$1315,DataRegularSeason20242025!$B$3:$B$1315, "&lt;=" &amp; FR$1, DataRegularSeason20242025!$D$3:$D$1315, $A46)+SUMIFS(DataRegularSeason20242025!$AB$3:$AB$1315,DataRegularSeason20242025!$B$3:$B$1315, "&lt;=" &amp; FR$1, DataRegularSeason20242025!$E$3:$E$1315, $A46)</f>
        <v>10</v>
      </c>
      <c r="FS46">
        <f>SUMIFS(DataRegularSeason20242025!$AA$3:$AA$1315,DataRegularSeason20242025!$B$3:$B$1315, "&lt;=" &amp; FS$1, DataRegularSeason20242025!$D$3:$D$1315, $A46)+SUMIFS(DataRegularSeason20242025!$AB$3:$AB$1315,DataRegularSeason20242025!$B$3:$B$1315, "&lt;=" &amp; FS$1, DataRegularSeason20242025!$E$3:$E$1315, $A46)</f>
        <v>10</v>
      </c>
      <c r="FT46">
        <f>SUMIFS(DataRegularSeason20242025!$AA$3:$AA$1315,DataRegularSeason20242025!$B$3:$B$1315, "&lt;=" &amp; FT$1, DataRegularSeason20242025!$D$3:$D$1315, $A46)+SUMIFS(DataRegularSeason20242025!$AB$3:$AB$1315,DataRegularSeason20242025!$B$3:$B$1315, "&lt;=" &amp; FT$1, DataRegularSeason20242025!$E$3:$E$1315, $A46)</f>
        <v>10</v>
      </c>
      <c r="FU46">
        <f>SUMIFS(DataRegularSeason20242025!$AA$3:$AA$1315,DataRegularSeason20242025!$B$3:$B$1315, "&lt;=" &amp; FU$1, DataRegularSeason20242025!$D$3:$D$1315, $A46)+SUMIFS(DataRegularSeason20242025!$AB$3:$AB$1315,DataRegularSeason20242025!$B$3:$B$1315, "&lt;=" &amp; FU$1, DataRegularSeason20242025!$E$3:$E$1315, $A46)</f>
        <v>10</v>
      </c>
      <c r="FV46">
        <f>SUMIFS(DataRegularSeason20242025!$AA$3:$AA$1315,DataRegularSeason20242025!$B$3:$B$1315, "&lt;=" &amp; FV$1, DataRegularSeason20242025!$D$3:$D$1315, $A46)+SUMIFS(DataRegularSeason20242025!$AB$3:$AB$1315,DataRegularSeason20242025!$B$3:$B$1315, "&lt;=" &amp; FV$1, DataRegularSeason20242025!$E$3:$E$1315, $A46)</f>
        <v>10</v>
      </c>
      <c r="FW46">
        <f>SUMIFS(DataRegularSeason20242025!$AA$3:$AA$1315,DataRegularSeason20242025!$B$3:$B$1315, "&lt;=" &amp; FW$1, DataRegularSeason20242025!$D$3:$D$1315, $A46)+SUMIFS(DataRegularSeason20242025!$AB$3:$AB$1315,DataRegularSeason20242025!$B$3:$B$1315, "&lt;=" &amp; FW$1, DataRegularSeason20242025!$E$3:$E$1315, $A46)</f>
        <v>10</v>
      </c>
      <c r="FX46">
        <f>SUMIFS(DataRegularSeason20242025!$AA$3:$AA$1315,DataRegularSeason20242025!$B$3:$B$1315, "&lt;=" &amp; FX$1, DataRegularSeason20242025!$D$3:$D$1315, $A46)+SUMIFS(DataRegularSeason20242025!$AB$3:$AB$1315,DataRegularSeason20242025!$B$3:$B$1315, "&lt;=" &amp; FX$1, DataRegularSeason20242025!$E$3:$E$1315, $A46)</f>
        <v>10</v>
      </c>
      <c r="FY46">
        <f>SUMIFS(DataRegularSeason20242025!$AA$3:$AA$1315,DataRegularSeason20242025!$B$3:$B$1315, "&lt;=" &amp; FY$1, DataRegularSeason20242025!$D$3:$D$1315, $A46)+SUMIFS(DataRegularSeason20242025!$AB$3:$AB$1315,DataRegularSeason20242025!$B$3:$B$1315, "&lt;=" &amp; FY$1, DataRegularSeason20242025!$E$3:$E$1315, $A46)</f>
        <v>10</v>
      </c>
      <c r="FZ46">
        <f>SUMIFS(DataRegularSeason20242025!$AA$3:$AA$1315,DataRegularSeason20242025!$B$3:$B$1315, "&lt;=" &amp; FZ$1, DataRegularSeason20242025!$D$3:$D$1315, $A46)+SUMIFS(DataRegularSeason20242025!$AB$3:$AB$1315,DataRegularSeason20242025!$B$3:$B$1315, "&lt;=" &amp; FZ$1, DataRegularSeason20242025!$E$3:$E$1315, $A46)</f>
        <v>10</v>
      </c>
      <c r="GA46">
        <f>SUMIFS(DataRegularSeason20242025!$AA$3:$AA$1315,DataRegularSeason20242025!$B$3:$B$1315, "&lt;=" &amp; GA$1, DataRegularSeason20242025!$D$3:$D$1315, $A46)+SUMIFS(DataRegularSeason20242025!$AB$3:$AB$1315,DataRegularSeason20242025!$B$3:$B$1315, "&lt;=" &amp; GA$1, DataRegularSeason20242025!$E$3:$E$1315, $A46)</f>
        <v>10</v>
      </c>
      <c r="GB46">
        <f>SUMIFS(DataRegularSeason20242025!$AA$3:$AA$1315,DataRegularSeason20242025!$B$3:$B$1315, "&lt;=" &amp; GB$1, DataRegularSeason20242025!$D$3:$D$1315, $A46)+SUMIFS(DataRegularSeason20242025!$AB$3:$AB$1315,DataRegularSeason20242025!$B$3:$B$1315, "&lt;=" &amp; GB$1, DataRegularSeason20242025!$E$3:$E$1315, $A46)</f>
        <v>10</v>
      </c>
      <c r="GC46">
        <f>SUMIFS(DataRegularSeason20242025!$AA$3:$AA$1315,DataRegularSeason20242025!$B$3:$B$1315, "&lt;=" &amp; GC$1, DataRegularSeason20242025!$D$3:$D$1315, $A46)+SUMIFS(DataRegularSeason20242025!$AB$3:$AB$1315,DataRegularSeason20242025!$B$3:$B$1315, "&lt;=" &amp; GC$1, DataRegularSeason20242025!$E$3:$E$1315, $A46)</f>
        <v>10</v>
      </c>
      <c r="GD46">
        <f>SUMIFS(DataRegularSeason20242025!$AA$3:$AA$1315,DataRegularSeason20242025!$B$3:$B$1315, "&lt;=" &amp; GD$1, DataRegularSeason20242025!$D$3:$D$1315, $A46)+SUMIFS(DataRegularSeason20242025!$AB$3:$AB$1315,DataRegularSeason20242025!$B$3:$B$1315, "&lt;=" &amp; GD$1, DataRegularSeason20242025!$E$3:$E$1315, $A46)</f>
        <v>10</v>
      </c>
      <c r="GE46">
        <f>SUMIFS(DataRegularSeason20242025!$AA$3:$AA$1315,DataRegularSeason20242025!$B$3:$B$1315, "&lt;=" &amp; GE$1, DataRegularSeason20242025!$D$3:$D$1315, $A46)+SUMIFS(DataRegularSeason20242025!$AB$3:$AB$1315,DataRegularSeason20242025!$B$3:$B$1315, "&lt;=" &amp; GE$1, DataRegularSeason20242025!$E$3:$E$1315, $A46)</f>
        <v>10</v>
      </c>
      <c r="GF46">
        <f>SUMIFS(DataRegularSeason20242025!$AA$3:$AA$1315,DataRegularSeason20242025!$B$3:$B$1315, "&lt;=" &amp; GF$1, DataRegularSeason20242025!$D$3:$D$1315, $A46)+SUMIFS(DataRegularSeason20242025!$AB$3:$AB$1315,DataRegularSeason20242025!$B$3:$B$1315, "&lt;=" &amp; GF$1, DataRegularSeason20242025!$E$3:$E$1315, $A46)</f>
        <v>10</v>
      </c>
      <c r="GG46">
        <f>SUMIFS(DataRegularSeason20242025!$AA$3:$AA$1315,DataRegularSeason20242025!$B$3:$B$1315, "&lt;=" &amp; GG$1, DataRegularSeason20242025!$D$3:$D$1315, $A46)+SUMIFS(DataRegularSeason20242025!$AB$3:$AB$1315,DataRegularSeason20242025!$B$3:$B$1315, "&lt;=" &amp; GG$1, DataRegularSeason20242025!$E$3:$E$1315, $A46)</f>
        <v>10</v>
      </c>
      <c r="GH46">
        <f>SUMIFS(DataRegularSeason20242025!$AA$3:$AA$1315,DataRegularSeason20242025!$B$3:$B$1315, "&lt;=" &amp; GH$1, DataRegularSeason20242025!$D$3:$D$1315, $A46)+SUMIFS(DataRegularSeason20242025!$AB$3:$AB$1315,DataRegularSeason20242025!$B$3:$B$1315, "&lt;=" &amp; GH$1, DataRegularSeason20242025!$E$3:$E$1315, $A46)</f>
        <v>10</v>
      </c>
      <c r="GI46">
        <f>SUMIFS(DataRegularSeason20242025!$AA$3:$AA$1315,DataRegularSeason20242025!$B$3:$B$1315, "&lt;=" &amp; GI$1, DataRegularSeason20242025!$D$3:$D$1315, $A46)+SUMIFS(DataRegularSeason20242025!$AB$3:$AB$1315,DataRegularSeason20242025!$B$3:$B$1315, "&lt;=" &amp; GI$1, DataRegularSeason20242025!$E$3:$E$1315, $A46)</f>
        <v>10</v>
      </c>
      <c r="GJ46">
        <f>SUMIFS(DataRegularSeason20242025!$AA$3:$AA$1315,DataRegularSeason20242025!$B$3:$B$1315, "&lt;=" &amp; GJ$1, DataRegularSeason20242025!$D$3:$D$1315, $A46)+SUMIFS(DataRegularSeason20242025!$AB$3:$AB$1315,DataRegularSeason20242025!$B$3:$B$1315, "&lt;=" &amp; GJ$1, DataRegularSeason20242025!$E$3:$E$1315, $A46)</f>
        <v>10</v>
      </c>
      <c r="GK46">
        <f>SUMIFS(DataRegularSeason20242025!$AA$3:$AA$1315,DataRegularSeason20242025!$B$3:$B$1315, "&lt;=" &amp; GK$1, DataRegularSeason20242025!$D$3:$D$1315, $A46)+SUMIFS(DataRegularSeason20242025!$AB$3:$AB$1315,DataRegularSeason20242025!$B$3:$B$1315, "&lt;=" &amp; GK$1, DataRegularSeason20242025!$E$3:$E$1315, $A46)</f>
        <v>10</v>
      </c>
      <c r="GL46">
        <f>SUMIFS(DataRegularSeason20242025!$AA$3:$AA$1315,DataRegularSeason20242025!$B$3:$B$1315, "&lt;=" &amp; GL$1, DataRegularSeason20242025!$D$3:$D$1315, $A46)+SUMIFS(DataRegularSeason20242025!$AB$3:$AB$1315,DataRegularSeason20242025!$B$3:$B$1315, "&lt;=" &amp; GL$1, DataRegularSeason20242025!$E$3:$E$1315, $A46)</f>
        <v>10</v>
      </c>
      <c r="GM46">
        <f>SUMIFS(DataRegularSeason20242025!$AA$3:$AA$1315,DataRegularSeason20242025!$B$3:$B$1315, "&lt;=" &amp; GM$1, DataRegularSeason20242025!$D$3:$D$1315, $A46)+SUMIFS(DataRegularSeason20242025!$AB$3:$AB$1315,DataRegularSeason20242025!$B$3:$B$1315, "&lt;=" &amp; GM$1, DataRegularSeason20242025!$E$3:$E$1315, $A46)</f>
        <v>10</v>
      </c>
      <c r="GN46">
        <f>SUMIFS(DataRegularSeason20242025!$AA$3:$AA$1315,DataRegularSeason20242025!$B$3:$B$1315, "&lt;=" &amp; GN$1, DataRegularSeason20242025!$D$3:$D$1315, $A46)+SUMIFS(DataRegularSeason20242025!$AB$3:$AB$1315,DataRegularSeason20242025!$B$3:$B$1315, "&lt;=" &amp; GN$1, DataRegularSeason20242025!$E$3:$E$1315, $A46)</f>
        <v>10</v>
      </c>
      <c r="GO46">
        <f>SUMIFS(DataRegularSeason20242025!$AA$3:$AA$1315,DataRegularSeason20242025!$B$3:$B$1315, "&lt;=" &amp; GO$1, DataRegularSeason20242025!$D$3:$D$1315, $A46)+SUMIFS(DataRegularSeason20242025!$AB$3:$AB$1315,DataRegularSeason20242025!$B$3:$B$1315, "&lt;=" &amp; GO$1, DataRegularSeason20242025!$E$3:$E$1315, $A46)</f>
        <v>10</v>
      </c>
      <c r="GP46">
        <f>SUMIFS(DataRegularSeason20242025!$AA$3:$AA$1315,DataRegularSeason20242025!$B$3:$B$1315, "&lt;=" &amp; GP$1, DataRegularSeason20242025!$D$3:$D$1315, $A46)+SUMIFS(DataRegularSeason20242025!$AB$3:$AB$1315,DataRegularSeason20242025!$B$3:$B$1315, "&lt;=" &amp; GP$1, DataRegularSeason20242025!$E$3:$E$1315, $A46)</f>
        <v>10</v>
      </c>
      <c r="GQ46">
        <f>SUMIFS(DataRegularSeason20242025!$AA$3:$AA$1315,DataRegularSeason20242025!$B$3:$B$1315, "&lt;=" &amp; GQ$1, DataRegularSeason20242025!$D$3:$D$1315, $A46)+SUMIFS(DataRegularSeason20242025!$AB$3:$AB$1315,DataRegularSeason20242025!$B$3:$B$1315, "&lt;=" &amp; GQ$1, DataRegularSeason20242025!$E$3:$E$1315, $A46)</f>
        <v>10</v>
      </c>
      <c r="GR46">
        <f>SUMIFS(DataRegularSeason20242025!$AA$3:$AA$1315,DataRegularSeason20242025!$B$3:$B$1315, "&lt;=" &amp; GR$1, DataRegularSeason20242025!$D$3:$D$1315, $A46)+SUMIFS(DataRegularSeason20242025!$AB$3:$AB$1315,DataRegularSeason20242025!$B$3:$B$1315, "&lt;=" &amp; GR$1, DataRegularSeason20242025!$E$3:$E$1315, $A46)</f>
        <v>10</v>
      </c>
      <c r="GS46">
        <f>SUMIFS(DataRegularSeason20242025!$AA$3:$AA$1315,DataRegularSeason20242025!$B$3:$B$1315, "&lt;=" &amp; GS$1, DataRegularSeason20242025!$D$3:$D$1315, $A46)+SUMIFS(DataRegularSeason20242025!$AB$3:$AB$1315,DataRegularSeason20242025!$B$3:$B$1315, "&lt;=" &amp; GS$1, DataRegularSeason20242025!$E$3:$E$1315, $A46)</f>
        <v>10</v>
      </c>
      <c r="GT46">
        <f>SUMIFS(DataRegularSeason20242025!$AA$3:$AA$1315,DataRegularSeason20242025!$B$3:$B$1315, "&lt;=" &amp; GT$1, DataRegularSeason20242025!$D$3:$D$1315, $A46)+SUMIFS(DataRegularSeason20242025!$AB$3:$AB$1315,DataRegularSeason20242025!$B$3:$B$1315, "&lt;=" &amp; GT$1, DataRegularSeason20242025!$E$3:$E$1315, $A46)</f>
        <v>10</v>
      </c>
      <c r="GU46">
        <f>SUMIFS(DataRegularSeason20242025!$AA$3:$AA$1315,DataRegularSeason20242025!$B$3:$B$1315, "&lt;=" &amp; GU$1, DataRegularSeason20242025!$D$3:$D$1315, $A46)+SUMIFS(DataRegularSeason20242025!$AB$3:$AB$1315,DataRegularSeason20242025!$B$3:$B$1315, "&lt;=" &amp; GU$1, DataRegularSeason20242025!$E$3:$E$1315, $A46)</f>
        <v>10</v>
      </c>
    </row>
    <row r="47" spans="1:275" x14ac:dyDescent="0.25">
      <c r="A47" t="s">
        <v>43</v>
      </c>
      <c r="B47" t="s">
        <v>91</v>
      </c>
      <c r="C47" t="s">
        <v>92</v>
      </c>
      <c r="D47">
        <f>SUMIFS(DataRegularSeason20242025!$AA$3:$AA$1315,DataRegularSeason20242025!$B$3:$B$1315, "&lt;=" &amp; D$1, DataRegularSeason20242025!$D$3:$D$1315, $A47)+SUMIFS(DataRegularSeason20242025!$AB$3:$AB$1315,DataRegularSeason20242025!$B$3:$B$1315, "&lt;=" &amp; D$1, DataRegularSeason20242025!$E$3:$E$1315, $A47)</f>
        <v>0</v>
      </c>
      <c r="E47">
        <f>SUMIFS(DataRegularSeason20242025!$AA$3:$AA$1315,DataRegularSeason20242025!$B$3:$B$1315, "&lt;=" &amp; E$1, DataRegularSeason20242025!$D$3:$D$1315, $A47)+SUMIFS(DataRegularSeason20242025!$AB$3:$AB$1315,DataRegularSeason20242025!$B$3:$B$1315, "&lt;=" &amp; E$1, DataRegularSeason20242025!$E$3:$E$1315, $A47)</f>
        <v>0</v>
      </c>
      <c r="F47">
        <f>SUMIFS(DataRegularSeason20242025!$AA$3:$AA$1315,DataRegularSeason20242025!$B$3:$B$1315, "&lt;=" &amp; F$1, DataRegularSeason20242025!$D$3:$D$1315, $A47)+SUMIFS(DataRegularSeason20242025!$AB$3:$AB$1315,DataRegularSeason20242025!$B$3:$B$1315, "&lt;=" &amp; F$1, DataRegularSeason20242025!$E$3:$E$1315, $A47)</f>
        <v>0</v>
      </c>
      <c r="G47">
        <f>SUMIFS(DataRegularSeason20242025!$AA$3:$AA$1315,DataRegularSeason20242025!$B$3:$B$1315, "&lt;=" &amp; G$1, DataRegularSeason20242025!$D$3:$D$1315, $A47)+SUMIFS(DataRegularSeason20242025!$AB$3:$AB$1315,DataRegularSeason20242025!$B$3:$B$1315, "&lt;=" &amp; G$1, DataRegularSeason20242025!$E$3:$E$1315, $A47)</f>
        <v>0</v>
      </c>
      <c r="H47">
        <f>SUMIFS(DataRegularSeason20242025!$AA$3:$AA$1315,DataRegularSeason20242025!$B$3:$B$1315, "&lt;=" &amp; H$1, DataRegularSeason20242025!$D$3:$D$1315, $A47)+SUMIFS(DataRegularSeason20242025!$AB$3:$AB$1315,DataRegularSeason20242025!$B$3:$B$1315, "&lt;=" &amp; H$1, DataRegularSeason20242025!$E$3:$E$1315, $A47)</f>
        <v>0</v>
      </c>
      <c r="I47">
        <f>SUMIFS(DataRegularSeason20242025!$AA$3:$AA$1315,DataRegularSeason20242025!$B$3:$B$1315, "&lt;=" &amp; I$1, DataRegularSeason20242025!$D$3:$D$1315, $A47)+SUMIFS(DataRegularSeason20242025!$AB$3:$AB$1315,DataRegularSeason20242025!$B$3:$B$1315, "&lt;=" &amp; I$1, DataRegularSeason20242025!$E$3:$E$1315, $A47)</f>
        <v>0</v>
      </c>
      <c r="J47">
        <f>SUMIFS(DataRegularSeason20242025!$AA$3:$AA$1315,DataRegularSeason20242025!$B$3:$B$1315, "&lt;=" &amp; J$1, DataRegularSeason20242025!$D$3:$D$1315, $A47)+SUMIFS(DataRegularSeason20242025!$AB$3:$AB$1315,DataRegularSeason20242025!$B$3:$B$1315, "&lt;=" &amp; J$1, DataRegularSeason20242025!$E$3:$E$1315, $A47)</f>
        <v>0</v>
      </c>
      <c r="K47">
        <f>SUMIFS(DataRegularSeason20242025!$AA$3:$AA$1315,DataRegularSeason20242025!$B$3:$B$1315, "&lt;=" &amp; K$1, DataRegularSeason20242025!$D$3:$D$1315, $A47)+SUMIFS(DataRegularSeason20242025!$AB$3:$AB$1315,DataRegularSeason20242025!$B$3:$B$1315, "&lt;=" &amp; K$1, DataRegularSeason20242025!$E$3:$E$1315, $A47)</f>
        <v>0</v>
      </c>
      <c r="L47">
        <f>SUMIFS(DataRegularSeason20242025!$AA$3:$AA$1315,DataRegularSeason20242025!$B$3:$B$1315, "&lt;=" &amp; L$1, DataRegularSeason20242025!$D$3:$D$1315, $A47)+SUMIFS(DataRegularSeason20242025!$AB$3:$AB$1315,DataRegularSeason20242025!$B$3:$B$1315, "&lt;=" &amp; L$1, DataRegularSeason20242025!$E$3:$E$1315, $A47)</f>
        <v>2</v>
      </c>
      <c r="M47">
        <f>SUMIFS(DataRegularSeason20242025!$AA$3:$AA$1315,DataRegularSeason20242025!$B$3:$B$1315, "&lt;=" &amp; M$1, DataRegularSeason20242025!$D$3:$D$1315, $A47)+SUMIFS(DataRegularSeason20242025!$AB$3:$AB$1315,DataRegularSeason20242025!$B$3:$B$1315, "&lt;=" &amp; M$1, DataRegularSeason20242025!$E$3:$E$1315, $A47)</f>
        <v>4</v>
      </c>
      <c r="N47">
        <f>SUMIFS(DataRegularSeason20242025!$AA$3:$AA$1315,DataRegularSeason20242025!$B$3:$B$1315, "&lt;=" &amp; N$1, DataRegularSeason20242025!$D$3:$D$1315, $A47)+SUMIFS(DataRegularSeason20242025!$AB$3:$AB$1315,DataRegularSeason20242025!$B$3:$B$1315, "&lt;=" &amp; N$1, DataRegularSeason20242025!$E$3:$E$1315, $A47)</f>
        <v>4</v>
      </c>
      <c r="O47">
        <f>SUMIFS(DataRegularSeason20242025!$AA$3:$AA$1315,DataRegularSeason20242025!$B$3:$B$1315, "&lt;=" &amp; O$1, DataRegularSeason20242025!$D$3:$D$1315, $A47)+SUMIFS(DataRegularSeason20242025!$AB$3:$AB$1315,DataRegularSeason20242025!$B$3:$B$1315, "&lt;=" &amp; O$1, DataRegularSeason20242025!$E$3:$E$1315, $A47)</f>
        <v>6</v>
      </c>
      <c r="P47">
        <f>SUMIFS(DataRegularSeason20242025!$AA$3:$AA$1315,DataRegularSeason20242025!$B$3:$B$1315, "&lt;=" &amp; P$1, DataRegularSeason20242025!$D$3:$D$1315, $A47)+SUMIFS(DataRegularSeason20242025!$AB$3:$AB$1315,DataRegularSeason20242025!$B$3:$B$1315, "&lt;=" &amp; P$1, DataRegularSeason20242025!$E$3:$E$1315, $A47)</f>
        <v>6</v>
      </c>
      <c r="Q47">
        <f>SUMIFS(DataRegularSeason20242025!$AA$3:$AA$1315,DataRegularSeason20242025!$B$3:$B$1315, "&lt;=" &amp; Q$1, DataRegularSeason20242025!$D$3:$D$1315, $A47)+SUMIFS(DataRegularSeason20242025!$AB$3:$AB$1315,DataRegularSeason20242025!$B$3:$B$1315, "&lt;=" &amp; Q$1, DataRegularSeason20242025!$E$3:$E$1315, $A47)</f>
        <v>6</v>
      </c>
      <c r="R47">
        <f>SUMIFS(DataRegularSeason20242025!$AA$3:$AA$1315,DataRegularSeason20242025!$B$3:$B$1315, "&lt;=" &amp; R$1, DataRegularSeason20242025!$D$3:$D$1315, $A47)+SUMIFS(DataRegularSeason20242025!$AB$3:$AB$1315,DataRegularSeason20242025!$B$3:$B$1315, "&lt;=" &amp; R$1, DataRegularSeason20242025!$E$3:$E$1315, $A47)</f>
        <v>8</v>
      </c>
      <c r="S47">
        <f>SUMIFS(DataRegularSeason20242025!$AA$3:$AA$1315,DataRegularSeason20242025!$B$3:$B$1315, "&lt;=" &amp; S$1, DataRegularSeason20242025!$D$3:$D$1315, $A47)+SUMIFS(DataRegularSeason20242025!$AB$3:$AB$1315,DataRegularSeason20242025!$B$3:$B$1315, "&lt;=" &amp; S$1, DataRegularSeason20242025!$E$3:$E$1315, $A47)</f>
        <v>8</v>
      </c>
      <c r="T47">
        <f>SUMIFS(DataRegularSeason20242025!$AA$3:$AA$1315,DataRegularSeason20242025!$B$3:$B$1315, "&lt;=" &amp; T$1, DataRegularSeason20242025!$D$3:$D$1315, $A47)+SUMIFS(DataRegularSeason20242025!$AB$3:$AB$1315,DataRegularSeason20242025!$B$3:$B$1315, "&lt;=" &amp; T$1, DataRegularSeason20242025!$E$3:$E$1315, $A47)</f>
        <v>8</v>
      </c>
      <c r="U47">
        <f>SUMIFS(DataRegularSeason20242025!$AA$3:$AA$1315,DataRegularSeason20242025!$B$3:$B$1315, "&lt;=" &amp; U$1, DataRegularSeason20242025!$D$3:$D$1315, $A47)+SUMIFS(DataRegularSeason20242025!$AB$3:$AB$1315,DataRegularSeason20242025!$B$3:$B$1315, "&lt;=" &amp; U$1, DataRegularSeason20242025!$E$3:$E$1315, $A47)</f>
        <v>8</v>
      </c>
      <c r="V47">
        <f>SUMIFS(DataRegularSeason20242025!$AA$3:$AA$1315,DataRegularSeason20242025!$B$3:$B$1315, "&lt;=" &amp; V$1, DataRegularSeason20242025!$D$3:$D$1315, $A47)+SUMIFS(DataRegularSeason20242025!$AB$3:$AB$1315,DataRegularSeason20242025!$B$3:$B$1315, "&lt;=" &amp; V$1, DataRegularSeason20242025!$E$3:$E$1315, $A47)</f>
        <v>10</v>
      </c>
      <c r="W47">
        <f>SUMIFS(DataRegularSeason20242025!$AA$3:$AA$1315,DataRegularSeason20242025!$B$3:$B$1315, "&lt;=" &amp; W$1, DataRegularSeason20242025!$D$3:$D$1315, $A47)+SUMIFS(DataRegularSeason20242025!$AB$3:$AB$1315,DataRegularSeason20242025!$B$3:$B$1315, "&lt;=" &amp; W$1, DataRegularSeason20242025!$E$3:$E$1315, $A47)</f>
        <v>10</v>
      </c>
      <c r="X47">
        <f>SUMIFS(DataRegularSeason20242025!$AA$3:$AA$1315,DataRegularSeason20242025!$B$3:$B$1315, "&lt;=" &amp; X$1, DataRegularSeason20242025!$D$3:$D$1315, $A47)+SUMIFS(DataRegularSeason20242025!$AB$3:$AB$1315,DataRegularSeason20242025!$B$3:$B$1315, "&lt;=" &amp; X$1, DataRegularSeason20242025!$E$3:$E$1315, $A47)</f>
        <v>10</v>
      </c>
      <c r="Y47">
        <f>SUMIFS(DataRegularSeason20242025!$AA$3:$AA$1315,DataRegularSeason20242025!$B$3:$B$1315, "&lt;=" &amp; Y$1, DataRegularSeason20242025!$D$3:$D$1315, $A47)+SUMIFS(DataRegularSeason20242025!$AB$3:$AB$1315,DataRegularSeason20242025!$B$3:$B$1315, "&lt;=" &amp; Y$1, DataRegularSeason20242025!$E$3:$E$1315, $A47)</f>
        <v>10</v>
      </c>
      <c r="Z47">
        <f>SUMIFS(DataRegularSeason20242025!$AA$3:$AA$1315,DataRegularSeason20242025!$B$3:$B$1315, "&lt;=" &amp; Z$1, DataRegularSeason20242025!$D$3:$D$1315, $A47)+SUMIFS(DataRegularSeason20242025!$AB$3:$AB$1315,DataRegularSeason20242025!$B$3:$B$1315, "&lt;=" &amp; Z$1, DataRegularSeason20242025!$E$3:$E$1315, $A47)</f>
        <v>10</v>
      </c>
      <c r="AA47">
        <f>SUMIFS(DataRegularSeason20242025!$AA$3:$AA$1315,DataRegularSeason20242025!$B$3:$B$1315, "&lt;=" &amp; AA$1, DataRegularSeason20242025!$D$3:$D$1315, $A47)+SUMIFS(DataRegularSeason20242025!$AB$3:$AB$1315,DataRegularSeason20242025!$B$3:$B$1315, "&lt;=" &amp; AA$1, DataRegularSeason20242025!$E$3:$E$1315, $A47)</f>
        <v>10</v>
      </c>
      <c r="AB47">
        <f>SUMIFS(DataRegularSeason20242025!$AA$3:$AA$1315,DataRegularSeason20242025!$B$3:$B$1315, "&lt;=" &amp; AB$1, DataRegularSeason20242025!$D$3:$D$1315, $A47)+SUMIFS(DataRegularSeason20242025!$AB$3:$AB$1315,DataRegularSeason20242025!$B$3:$B$1315, "&lt;=" &amp; AB$1, DataRegularSeason20242025!$E$3:$E$1315, $A47)</f>
        <v>10</v>
      </c>
      <c r="AC47">
        <f>SUMIFS(DataRegularSeason20242025!$AA$3:$AA$1315,DataRegularSeason20242025!$B$3:$B$1315, "&lt;=" &amp; AC$1, DataRegularSeason20242025!$D$3:$D$1315, $A47)+SUMIFS(DataRegularSeason20242025!$AB$3:$AB$1315,DataRegularSeason20242025!$B$3:$B$1315, "&lt;=" &amp; AC$1, DataRegularSeason20242025!$E$3:$E$1315, $A47)</f>
        <v>10</v>
      </c>
      <c r="AD47">
        <f>SUMIFS(DataRegularSeason20242025!$AA$3:$AA$1315,DataRegularSeason20242025!$B$3:$B$1315, "&lt;=" &amp; AD$1, DataRegularSeason20242025!$D$3:$D$1315, $A47)+SUMIFS(DataRegularSeason20242025!$AB$3:$AB$1315,DataRegularSeason20242025!$B$3:$B$1315, "&lt;=" &amp; AD$1, DataRegularSeason20242025!$E$3:$E$1315, $A47)</f>
        <v>10</v>
      </c>
      <c r="AE47">
        <f>SUMIFS(DataRegularSeason20242025!$AA$3:$AA$1315,DataRegularSeason20242025!$B$3:$B$1315, "&lt;=" &amp; AE$1, DataRegularSeason20242025!$D$3:$D$1315, $A47)+SUMIFS(DataRegularSeason20242025!$AB$3:$AB$1315,DataRegularSeason20242025!$B$3:$B$1315, "&lt;=" &amp; AE$1, DataRegularSeason20242025!$E$3:$E$1315, $A47)</f>
        <v>10</v>
      </c>
      <c r="AF47">
        <f>SUMIFS(DataRegularSeason20242025!$AA$3:$AA$1315,DataRegularSeason20242025!$B$3:$B$1315, "&lt;=" &amp; AF$1, DataRegularSeason20242025!$D$3:$D$1315, $A47)+SUMIFS(DataRegularSeason20242025!$AB$3:$AB$1315,DataRegularSeason20242025!$B$3:$B$1315, "&lt;=" &amp; AF$1, DataRegularSeason20242025!$E$3:$E$1315, $A47)</f>
        <v>10</v>
      </c>
      <c r="AG47">
        <f>SUMIFS(DataRegularSeason20242025!$AA$3:$AA$1315,DataRegularSeason20242025!$B$3:$B$1315, "&lt;=" &amp; AG$1, DataRegularSeason20242025!$D$3:$D$1315, $A47)+SUMIFS(DataRegularSeason20242025!$AB$3:$AB$1315,DataRegularSeason20242025!$B$3:$B$1315, "&lt;=" &amp; AG$1, DataRegularSeason20242025!$E$3:$E$1315, $A47)</f>
        <v>10</v>
      </c>
      <c r="AH47">
        <f>SUMIFS(DataRegularSeason20242025!$AA$3:$AA$1315,DataRegularSeason20242025!$B$3:$B$1315, "&lt;=" &amp; AH$1, DataRegularSeason20242025!$D$3:$D$1315, $A47)+SUMIFS(DataRegularSeason20242025!$AB$3:$AB$1315,DataRegularSeason20242025!$B$3:$B$1315, "&lt;=" &amp; AH$1, DataRegularSeason20242025!$E$3:$E$1315, $A47)</f>
        <v>10</v>
      </c>
      <c r="AI47">
        <f>SUMIFS(DataRegularSeason20242025!$AA$3:$AA$1315,DataRegularSeason20242025!$B$3:$B$1315, "&lt;=" &amp; AI$1, DataRegularSeason20242025!$D$3:$D$1315, $A47)+SUMIFS(DataRegularSeason20242025!$AB$3:$AB$1315,DataRegularSeason20242025!$B$3:$B$1315, "&lt;=" &amp; AI$1, DataRegularSeason20242025!$E$3:$E$1315, $A47)</f>
        <v>10</v>
      </c>
      <c r="AJ47">
        <f>SUMIFS(DataRegularSeason20242025!$AA$3:$AA$1315,DataRegularSeason20242025!$B$3:$B$1315, "&lt;=" &amp; AJ$1, DataRegularSeason20242025!$D$3:$D$1315, $A47)+SUMIFS(DataRegularSeason20242025!$AB$3:$AB$1315,DataRegularSeason20242025!$B$3:$B$1315, "&lt;=" &amp; AJ$1, DataRegularSeason20242025!$E$3:$E$1315, $A47)</f>
        <v>10</v>
      </c>
      <c r="AK47">
        <f>SUMIFS(DataRegularSeason20242025!$AA$3:$AA$1315,DataRegularSeason20242025!$B$3:$B$1315, "&lt;=" &amp; AK$1, DataRegularSeason20242025!$D$3:$D$1315, $A47)+SUMIFS(DataRegularSeason20242025!$AB$3:$AB$1315,DataRegularSeason20242025!$B$3:$B$1315, "&lt;=" &amp; AK$1, DataRegularSeason20242025!$E$3:$E$1315, $A47)</f>
        <v>10</v>
      </c>
      <c r="AL47">
        <f>SUMIFS(DataRegularSeason20242025!$AA$3:$AA$1315,DataRegularSeason20242025!$B$3:$B$1315, "&lt;=" &amp; AL$1, DataRegularSeason20242025!$D$3:$D$1315, $A47)+SUMIFS(DataRegularSeason20242025!$AB$3:$AB$1315,DataRegularSeason20242025!$B$3:$B$1315, "&lt;=" &amp; AL$1, DataRegularSeason20242025!$E$3:$E$1315, $A47)</f>
        <v>10</v>
      </c>
      <c r="AM47">
        <f>SUMIFS(DataRegularSeason20242025!$AA$3:$AA$1315,DataRegularSeason20242025!$B$3:$B$1315, "&lt;=" &amp; AM$1, DataRegularSeason20242025!$D$3:$D$1315, $A47)+SUMIFS(DataRegularSeason20242025!$AB$3:$AB$1315,DataRegularSeason20242025!$B$3:$B$1315, "&lt;=" &amp; AM$1, DataRegularSeason20242025!$E$3:$E$1315, $A47)</f>
        <v>10</v>
      </c>
      <c r="AN47">
        <f>SUMIFS(DataRegularSeason20242025!$AA$3:$AA$1315,DataRegularSeason20242025!$B$3:$B$1315, "&lt;=" &amp; AN$1, DataRegularSeason20242025!$D$3:$D$1315, $A47)+SUMIFS(DataRegularSeason20242025!$AB$3:$AB$1315,DataRegularSeason20242025!$B$3:$B$1315, "&lt;=" &amp; AN$1, DataRegularSeason20242025!$E$3:$E$1315, $A47)</f>
        <v>10</v>
      </c>
      <c r="AO47">
        <f>SUMIFS(DataRegularSeason20242025!$AA$3:$AA$1315,DataRegularSeason20242025!$B$3:$B$1315, "&lt;=" &amp; AO$1, DataRegularSeason20242025!$D$3:$D$1315, $A47)+SUMIFS(DataRegularSeason20242025!$AB$3:$AB$1315,DataRegularSeason20242025!$B$3:$B$1315, "&lt;=" &amp; AO$1, DataRegularSeason20242025!$E$3:$E$1315, $A47)</f>
        <v>10</v>
      </c>
      <c r="AP47">
        <f>SUMIFS(DataRegularSeason20242025!$AA$3:$AA$1315,DataRegularSeason20242025!$B$3:$B$1315, "&lt;=" &amp; AP$1, DataRegularSeason20242025!$D$3:$D$1315, $A47)+SUMIFS(DataRegularSeason20242025!$AB$3:$AB$1315,DataRegularSeason20242025!$B$3:$B$1315, "&lt;=" &amp; AP$1, DataRegularSeason20242025!$E$3:$E$1315, $A47)</f>
        <v>10</v>
      </c>
      <c r="AQ47">
        <f>SUMIFS(DataRegularSeason20242025!$AA$3:$AA$1315,DataRegularSeason20242025!$B$3:$B$1315, "&lt;=" &amp; AQ$1, DataRegularSeason20242025!$D$3:$D$1315, $A47)+SUMIFS(DataRegularSeason20242025!$AB$3:$AB$1315,DataRegularSeason20242025!$B$3:$B$1315, "&lt;=" &amp; AQ$1, DataRegularSeason20242025!$E$3:$E$1315, $A47)</f>
        <v>10</v>
      </c>
      <c r="AR47">
        <f>SUMIFS(DataRegularSeason20242025!$AA$3:$AA$1315,DataRegularSeason20242025!$B$3:$B$1315, "&lt;=" &amp; AR$1, DataRegularSeason20242025!$D$3:$D$1315, $A47)+SUMIFS(DataRegularSeason20242025!$AB$3:$AB$1315,DataRegularSeason20242025!$B$3:$B$1315, "&lt;=" &amp; AR$1, DataRegularSeason20242025!$E$3:$E$1315, $A47)</f>
        <v>10</v>
      </c>
      <c r="AS47">
        <f>SUMIFS(DataRegularSeason20242025!$AA$3:$AA$1315,DataRegularSeason20242025!$B$3:$B$1315, "&lt;=" &amp; AS$1, DataRegularSeason20242025!$D$3:$D$1315, $A47)+SUMIFS(DataRegularSeason20242025!$AB$3:$AB$1315,DataRegularSeason20242025!$B$3:$B$1315, "&lt;=" &amp; AS$1, DataRegularSeason20242025!$E$3:$E$1315, $A47)</f>
        <v>10</v>
      </c>
      <c r="AT47">
        <f>SUMIFS(DataRegularSeason20242025!$AA$3:$AA$1315,DataRegularSeason20242025!$B$3:$B$1315, "&lt;=" &amp; AT$1, DataRegularSeason20242025!$D$3:$D$1315, $A47)+SUMIFS(DataRegularSeason20242025!$AB$3:$AB$1315,DataRegularSeason20242025!$B$3:$B$1315, "&lt;=" &amp; AT$1, DataRegularSeason20242025!$E$3:$E$1315, $A47)</f>
        <v>10</v>
      </c>
      <c r="AU47">
        <f>SUMIFS(DataRegularSeason20242025!$AA$3:$AA$1315,DataRegularSeason20242025!$B$3:$B$1315, "&lt;=" &amp; AU$1, DataRegularSeason20242025!$D$3:$D$1315, $A47)+SUMIFS(DataRegularSeason20242025!$AB$3:$AB$1315,DataRegularSeason20242025!$B$3:$B$1315, "&lt;=" &amp; AU$1, DataRegularSeason20242025!$E$3:$E$1315, $A47)</f>
        <v>10</v>
      </c>
      <c r="AV47">
        <f>SUMIFS(DataRegularSeason20242025!$AA$3:$AA$1315,DataRegularSeason20242025!$B$3:$B$1315, "&lt;=" &amp; AV$1, DataRegularSeason20242025!$D$3:$D$1315, $A47)+SUMIFS(DataRegularSeason20242025!$AB$3:$AB$1315,DataRegularSeason20242025!$B$3:$B$1315, "&lt;=" &amp; AV$1, DataRegularSeason20242025!$E$3:$E$1315, $A47)</f>
        <v>10</v>
      </c>
      <c r="AW47">
        <f>SUMIFS(DataRegularSeason20242025!$AA$3:$AA$1315,DataRegularSeason20242025!$B$3:$B$1315, "&lt;=" &amp; AW$1, DataRegularSeason20242025!$D$3:$D$1315, $A47)+SUMIFS(DataRegularSeason20242025!$AB$3:$AB$1315,DataRegularSeason20242025!$B$3:$B$1315, "&lt;=" &amp; AW$1, DataRegularSeason20242025!$E$3:$E$1315, $A47)</f>
        <v>10</v>
      </c>
      <c r="AX47">
        <f>SUMIFS(DataRegularSeason20242025!$AA$3:$AA$1315,DataRegularSeason20242025!$B$3:$B$1315, "&lt;=" &amp; AX$1, DataRegularSeason20242025!$D$3:$D$1315, $A47)+SUMIFS(DataRegularSeason20242025!$AB$3:$AB$1315,DataRegularSeason20242025!$B$3:$B$1315, "&lt;=" &amp; AX$1, DataRegularSeason20242025!$E$3:$E$1315, $A47)</f>
        <v>10</v>
      </c>
      <c r="AY47">
        <f>SUMIFS(DataRegularSeason20242025!$AA$3:$AA$1315,DataRegularSeason20242025!$B$3:$B$1315, "&lt;=" &amp; AY$1, DataRegularSeason20242025!$D$3:$D$1315, $A47)+SUMIFS(DataRegularSeason20242025!$AB$3:$AB$1315,DataRegularSeason20242025!$B$3:$B$1315, "&lt;=" &amp; AY$1, DataRegularSeason20242025!$E$3:$E$1315, $A47)</f>
        <v>10</v>
      </c>
      <c r="AZ47">
        <f>SUMIFS(DataRegularSeason20242025!$AA$3:$AA$1315,DataRegularSeason20242025!$B$3:$B$1315, "&lt;=" &amp; AZ$1, DataRegularSeason20242025!$D$3:$D$1315, $A47)+SUMIFS(DataRegularSeason20242025!$AB$3:$AB$1315,DataRegularSeason20242025!$B$3:$B$1315, "&lt;=" &amp; AZ$1, DataRegularSeason20242025!$E$3:$E$1315, $A47)</f>
        <v>10</v>
      </c>
      <c r="BA47">
        <f>SUMIFS(DataRegularSeason20242025!$AA$3:$AA$1315,DataRegularSeason20242025!$B$3:$B$1315, "&lt;=" &amp; BA$1, DataRegularSeason20242025!$D$3:$D$1315, $A47)+SUMIFS(DataRegularSeason20242025!$AB$3:$AB$1315,DataRegularSeason20242025!$B$3:$B$1315, "&lt;=" &amp; BA$1, DataRegularSeason20242025!$E$3:$E$1315, $A47)</f>
        <v>10</v>
      </c>
      <c r="BB47">
        <f>SUMIFS(DataRegularSeason20242025!$AA$3:$AA$1315,DataRegularSeason20242025!$B$3:$B$1315, "&lt;=" &amp; BB$1, DataRegularSeason20242025!$D$3:$D$1315, $A47)+SUMIFS(DataRegularSeason20242025!$AB$3:$AB$1315,DataRegularSeason20242025!$B$3:$B$1315, "&lt;=" &amp; BB$1, DataRegularSeason20242025!$E$3:$E$1315, $A47)</f>
        <v>10</v>
      </c>
      <c r="BC47">
        <f>SUMIFS(DataRegularSeason20242025!$AA$3:$AA$1315,DataRegularSeason20242025!$B$3:$B$1315, "&lt;=" &amp; BC$1, DataRegularSeason20242025!$D$3:$D$1315, $A47)+SUMIFS(DataRegularSeason20242025!$AB$3:$AB$1315,DataRegularSeason20242025!$B$3:$B$1315, "&lt;=" &amp; BC$1, DataRegularSeason20242025!$E$3:$E$1315, $A47)</f>
        <v>10</v>
      </c>
      <c r="BD47">
        <f>SUMIFS(DataRegularSeason20242025!$AA$3:$AA$1315,DataRegularSeason20242025!$B$3:$B$1315, "&lt;=" &amp; BD$1, DataRegularSeason20242025!$D$3:$D$1315, $A47)+SUMIFS(DataRegularSeason20242025!$AB$3:$AB$1315,DataRegularSeason20242025!$B$3:$B$1315, "&lt;=" &amp; BD$1, DataRegularSeason20242025!$E$3:$E$1315, $A47)</f>
        <v>10</v>
      </c>
      <c r="BE47">
        <f>SUMIFS(DataRegularSeason20242025!$AA$3:$AA$1315,DataRegularSeason20242025!$B$3:$B$1315, "&lt;=" &amp; BE$1, DataRegularSeason20242025!$D$3:$D$1315, $A47)+SUMIFS(DataRegularSeason20242025!$AB$3:$AB$1315,DataRegularSeason20242025!$B$3:$B$1315, "&lt;=" &amp; BE$1, DataRegularSeason20242025!$E$3:$E$1315, $A47)</f>
        <v>10</v>
      </c>
      <c r="BF47">
        <f>SUMIFS(DataRegularSeason20242025!$AA$3:$AA$1315,DataRegularSeason20242025!$B$3:$B$1315, "&lt;=" &amp; BF$1, DataRegularSeason20242025!$D$3:$D$1315, $A47)+SUMIFS(DataRegularSeason20242025!$AB$3:$AB$1315,DataRegularSeason20242025!$B$3:$B$1315, "&lt;=" &amp; BF$1, DataRegularSeason20242025!$E$3:$E$1315, $A47)</f>
        <v>10</v>
      </c>
      <c r="BG47">
        <f>SUMIFS(DataRegularSeason20242025!$AA$3:$AA$1315,DataRegularSeason20242025!$B$3:$B$1315, "&lt;=" &amp; BG$1, DataRegularSeason20242025!$D$3:$D$1315, $A47)+SUMIFS(DataRegularSeason20242025!$AB$3:$AB$1315,DataRegularSeason20242025!$B$3:$B$1315, "&lt;=" &amp; BG$1, DataRegularSeason20242025!$E$3:$E$1315, $A47)</f>
        <v>10</v>
      </c>
      <c r="BH47">
        <f>SUMIFS(DataRegularSeason20242025!$AA$3:$AA$1315,DataRegularSeason20242025!$B$3:$B$1315, "&lt;=" &amp; BH$1, DataRegularSeason20242025!$D$3:$D$1315, $A47)+SUMIFS(DataRegularSeason20242025!$AB$3:$AB$1315,DataRegularSeason20242025!$B$3:$B$1315, "&lt;=" &amp; BH$1, DataRegularSeason20242025!$E$3:$E$1315, $A47)</f>
        <v>10</v>
      </c>
      <c r="BI47">
        <f>SUMIFS(DataRegularSeason20242025!$AA$3:$AA$1315,DataRegularSeason20242025!$B$3:$B$1315, "&lt;=" &amp; BI$1, DataRegularSeason20242025!$D$3:$D$1315, $A47)+SUMIFS(DataRegularSeason20242025!$AB$3:$AB$1315,DataRegularSeason20242025!$B$3:$B$1315, "&lt;=" &amp; BI$1, DataRegularSeason20242025!$E$3:$E$1315, $A47)</f>
        <v>10</v>
      </c>
      <c r="BJ47">
        <f>SUMIFS(DataRegularSeason20242025!$AA$3:$AA$1315,DataRegularSeason20242025!$B$3:$B$1315, "&lt;=" &amp; BJ$1, DataRegularSeason20242025!$D$3:$D$1315, $A47)+SUMIFS(DataRegularSeason20242025!$AB$3:$AB$1315,DataRegularSeason20242025!$B$3:$B$1315, "&lt;=" &amp; BJ$1, DataRegularSeason20242025!$E$3:$E$1315, $A47)</f>
        <v>10</v>
      </c>
      <c r="BK47">
        <f>SUMIFS(DataRegularSeason20242025!$AA$3:$AA$1315,DataRegularSeason20242025!$B$3:$B$1315, "&lt;=" &amp; BK$1, DataRegularSeason20242025!$D$3:$D$1315, $A47)+SUMIFS(DataRegularSeason20242025!$AB$3:$AB$1315,DataRegularSeason20242025!$B$3:$B$1315, "&lt;=" &amp; BK$1, DataRegularSeason20242025!$E$3:$E$1315, $A47)</f>
        <v>10</v>
      </c>
      <c r="BL47">
        <f>SUMIFS(DataRegularSeason20242025!$AA$3:$AA$1315,DataRegularSeason20242025!$B$3:$B$1315, "&lt;=" &amp; BL$1, DataRegularSeason20242025!$D$3:$D$1315, $A47)+SUMIFS(DataRegularSeason20242025!$AB$3:$AB$1315,DataRegularSeason20242025!$B$3:$B$1315, "&lt;=" &amp; BL$1, DataRegularSeason20242025!$E$3:$E$1315, $A47)</f>
        <v>10</v>
      </c>
      <c r="BM47">
        <f>SUMIFS(DataRegularSeason20242025!$AA$3:$AA$1315,DataRegularSeason20242025!$B$3:$B$1315, "&lt;=" &amp; BM$1, DataRegularSeason20242025!$D$3:$D$1315, $A47)+SUMIFS(DataRegularSeason20242025!$AB$3:$AB$1315,DataRegularSeason20242025!$B$3:$B$1315, "&lt;=" &amp; BM$1, DataRegularSeason20242025!$E$3:$E$1315, $A47)</f>
        <v>10</v>
      </c>
      <c r="BN47">
        <f>SUMIFS(DataRegularSeason20242025!$AA$3:$AA$1315,DataRegularSeason20242025!$B$3:$B$1315, "&lt;=" &amp; BN$1, DataRegularSeason20242025!$D$3:$D$1315, $A47)+SUMIFS(DataRegularSeason20242025!$AB$3:$AB$1315,DataRegularSeason20242025!$B$3:$B$1315, "&lt;=" &amp; BN$1, DataRegularSeason20242025!$E$3:$E$1315, $A47)</f>
        <v>10</v>
      </c>
      <c r="BO47">
        <f>SUMIFS(DataRegularSeason20242025!$AA$3:$AA$1315,DataRegularSeason20242025!$B$3:$B$1315, "&lt;=" &amp; BO$1, DataRegularSeason20242025!$D$3:$D$1315, $A47)+SUMIFS(DataRegularSeason20242025!$AB$3:$AB$1315,DataRegularSeason20242025!$B$3:$B$1315, "&lt;=" &amp; BO$1, DataRegularSeason20242025!$E$3:$E$1315, $A47)</f>
        <v>10</v>
      </c>
      <c r="BP47">
        <f>SUMIFS(DataRegularSeason20242025!$AA$3:$AA$1315,DataRegularSeason20242025!$B$3:$B$1315, "&lt;=" &amp; BP$1, DataRegularSeason20242025!$D$3:$D$1315, $A47)+SUMIFS(DataRegularSeason20242025!$AB$3:$AB$1315,DataRegularSeason20242025!$B$3:$B$1315, "&lt;=" &amp; BP$1, DataRegularSeason20242025!$E$3:$E$1315, $A47)</f>
        <v>10</v>
      </c>
      <c r="BQ47">
        <f>SUMIFS(DataRegularSeason20242025!$AA$3:$AA$1315,DataRegularSeason20242025!$B$3:$B$1315, "&lt;=" &amp; BQ$1, DataRegularSeason20242025!$D$3:$D$1315, $A47)+SUMIFS(DataRegularSeason20242025!$AB$3:$AB$1315,DataRegularSeason20242025!$B$3:$B$1315, "&lt;=" &amp; BQ$1, DataRegularSeason20242025!$E$3:$E$1315, $A47)</f>
        <v>10</v>
      </c>
      <c r="BR47">
        <f>SUMIFS(DataRegularSeason20242025!$AA$3:$AA$1315,DataRegularSeason20242025!$B$3:$B$1315, "&lt;=" &amp; BR$1, DataRegularSeason20242025!$D$3:$D$1315, $A47)+SUMIFS(DataRegularSeason20242025!$AB$3:$AB$1315,DataRegularSeason20242025!$B$3:$B$1315, "&lt;=" &amp; BR$1, DataRegularSeason20242025!$E$3:$E$1315, $A47)</f>
        <v>10</v>
      </c>
      <c r="BS47">
        <f>SUMIFS(DataRegularSeason20242025!$AA$3:$AA$1315,DataRegularSeason20242025!$B$3:$B$1315, "&lt;=" &amp; BS$1, DataRegularSeason20242025!$D$3:$D$1315, $A47)+SUMIFS(DataRegularSeason20242025!$AB$3:$AB$1315,DataRegularSeason20242025!$B$3:$B$1315, "&lt;=" &amp; BS$1, DataRegularSeason20242025!$E$3:$E$1315, $A47)</f>
        <v>10</v>
      </c>
      <c r="BT47">
        <f>SUMIFS(DataRegularSeason20242025!$AA$3:$AA$1315,DataRegularSeason20242025!$B$3:$B$1315, "&lt;=" &amp; BT$1, DataRegularSeason20242025!$D$3:$D$1315, $A47)+SUMIFS(DataRegularSeason20242025!$AB$3:$AB$1315,DataRegularSeason20242025!$B$3:$B$1315, "&lt;=" &amp; BT$1, DataRegularSeason20242025!$E$3:$E$1315, $A47)</f>
        <v>10</v>
      </c>
      <c r="BU47">
        <f>SUMIFS(DataRegularSeason20242025!$AA$3:$AA$1315,DataRegularSeason20242025!$B$3:$B$1315, "&lt;=" &amp; BU$1, DataRegularSeason20242025!$D$3:$D$1315, $A47)+SUMIFS(DataRegularSeason20242025!$AB$3:$AB$1315,DataRegularSeason20242025!$B$3:$B$1315, "&lt;=" &amp; BU$1, DataRegularSeason20242025!$E$3:$E$1315, $A47)</f>
        <v>10</v>
      </c>
      <c r="BV47">
        <f>SUMIFS(DataRegularSeason20242025!$AA$3:$AA$1315,DataRegularSeason20242025!$B$3:$B$1315, "&lt;=" &amp; BV$1, DataRegularSeason20242025!$D$3:$D$1315, $A47)+SUMIFS(DataRegularSeason20242025!$AB$3:$AB$1315,DataRegularSeason20242025!$B$3:$B$1315, "&lt;=" &amp; BV$1, DataRegularSeason20242025!$E$3:$E$1315, $A47)</f>
        <v>10</v>
      </c>
      <c r="BW47">
        <f>SUMIFS(DataRegularSeason20242025!$AA$3:$AA$1315,DataRegularSeason20242025!$B$3:$B$1315, "&lt;=" &amp; BW$1, DataRegularSeason20242025!$D$3:$D$1315, $A47)+SUMIFS(DataRegularSeason20242025!$AB$3:$AB$1315,DataRegularSeason20242025!$B$3:$B$1315, "&lt;=" &amp; BW$1, DataRegularSeason20242025!$E$3:$E$1315, $A47)</f>
        <v>10</v>
      </c>
      <c r="BX47">
        <f>SUMIFS(DataRegularSeason20242025!$AA$3:$AA$1315,DataRegularSeason20242025!$B$3:$B$1315, "&lt;=" &amp; BX$1, DataRegularSeason20242025!$D$3:$D$1315, $A47)+SUMIFS(DataRegularSeason20242025!$AB$3:$AB$1315,DataRegularSeason20242025!$B$3:$B$1315, "&lt;=" &amp; BX$1, DataRegularSeason20242025!$E$3:$E$1315, $A47)</f>
        <v>10</v>
      </c>
      <c r="BY47">
        <f>SUMIFS(DataRegularSeason20242025!$AA$3:$AA$1315,DataRegularSeason20242025!$B$3:$B$1315, "&lt;=" &amp; BY$1, DataRegularSeason20242025!$D$3:$D$1315, $A47)+SUMIFS(DataRegularSeason20242025!$AB$3:$AB$1315,DataRegularSeason20242025!$B$3:$B$1315, "&lt;=" &amp; BY$1, DataRegularSeason20242025!$E$3:$E$1315, $A47)</f>
        <v>10</v>
      </c>
      <c r="BZ47">
        <f>SUMIFS(DataRegularSeason20242025!$AA$3:$AA$1315,DataRegularSeason20242025!$B$3:$B$1315, "&lt;=" &amp; BZ$1, DataRegularSeason20242025!$D$3:$D$1315, $A47)+SUMIFS(DataRegularSeason20242025!$AB$3:$AB$1315,DataRegularSeason20242025!$B$3:$B$1315, "&lt;=" &amp; BZ$1, DataRegularSeason20242025!$E$3:$E$1315, $A47)</f>
        <v>10</v>
      </c>
      <c r="CA47">
        <f>SUMIFS(DataRegularSeason20242025!$AA$3:$AA$1315,DataRegularSeason20242025!$B$3:$B$1315, "&lt;=" &amp; CA$1, DataRegularSeason20242025!$D$3:$D$1315, $A47)+SUMIFS(DataRegularSeason20242025!$AB$3:$AB$1315,DataRegularSeason20242025!$B$3:$B$1315, "&lt;=" &amp; CA$1, DataRegularSeason20242025!$E$3:$E$1315, $A47)</f>
        <v>10</v>
      </c>
      <c r="CB47">
        <f>SUMIFS(DataRegularSeason20242025!$AA$3:$AA$1315,DataRegularSeason20242025!$B$3:$B$1315, "&lt;=" &amp; CB$1, DataRegularSeason20242025!$D$3:$D$1315, $A47)+SUMIFS(DataRegularSeason20242025!$AB$3:$AB$1315,DataRegularSeason20242025!$B$3:$B$1315, "&lt;=" &amp; CB$1, DataRegularSeason20242025!$E$3:$E$1315, $A47)</f>
        <v>10</v>
      </c>
      <c r="CC47">
        <f>SUMIFS(DataRegularSeason20242025!$AA$3:$AA$1315,DataRegularSeason20242025!$B$3:$B$1315, "&lt;=" &amp; CC$1, DataRegularSeason20242025!$D$3:$D$1315, $A47)+SUMIFS(DataRegularSeason20242025!$AB$3:$AB$1315,DataRegularSeason20242025!$B$3:$B$1315, "&lt;=" &amp; CC$1, DataRegularSeason20242025!$E$3:$E$1315, $A47)</f>
        <v>10</v>
      </c>
      <c r="CD47">
        <f>SUMIFS(DataRegularSeason20242025!$AA$3:$AA$1315,DataRegularSeason20242025!$B$3:$B$1315, "&lt;=" &amp; CD$1, DataRegularSeason20242025!$D$3:$D$1315, $A47)+SUMIFS(DataRegularSeason20242025!$AB$3:$AB$1315,DataRegularSeason20242025!$B$3:$B$1315, "&lt;=" &amp; CD$1, DataRegularSeason20242025!$E$3:$E$1315, $A47)</f>
        <v>10</v>
      </c>
      <c r="CE47">
        <f>SUMIFS(DataRegularSeason20242025!$AA$3:$AA$1315,DataRegularSeason20242025!$B$3:$B$1315, "&lt;=" &amp; CE$1, DataRegularSeason20242025!$D$3:$D$1315, $A47)+SUMIFS(DataRegularSeason20242025!$AB$3:$AB$1315,DataRegularSeason20242025!$B$3:$B$1315, "&lt;=" &amp; CE$1, DataRegularSeason20242025!$E$3:$E$1315, $A47)</f>
        <v>10</v>
      </c>
      <c r="CF47">
        <f>SUMIFS(DataRegularSeason20242025!$AA$3:$AA$1315,DataRegularSeason20242025!$B$3:$B$1315, "&lt;=" &amp; CF$1, DataRegularSeason20242025!$D$3:$D$1315, $A47)+SUMIFS(DataRegularSeason20242025!$AB$3:$AB$1315,DataRegularSeason20242025!$B$3:$B$1315, "&lt;=" &amp; CF$1, DataRegularSeason20242025!$E$3:$E$1315, $A47)</f>
        <v>10</v>
      </c>
      <c r="CG47">
        <f>SUMIFS(DataRegularSeason20242025!$AA$3:$AA$1315,DataRegularSeason20242025!$B$3:$B$1315, "&lt;=" &amp; CG$1, DataRegularSeason20242025!$D$3:$D$1315, $A47)+SUMIFS(DataRegularSeason20242025!$AB$3:$AB$1315,DataRegularSeason20242025!$B$3:$B$1315, "&lt;=" &amp; CG$1, DataRegularSeason20242025!$E$3:$E$1315, $A47)</f>
        <v>10</v>
      </c>
      <c r="CH47">
        <f>SUMIFS(DataRegularSeason20242025!$AA$3:$AA$1315,DataRegularSeason20242025!$B$3:$B$1315, "&lt;=" &amp; CH$1, DataRegularSeason20242025!$D$3:$D$1315, $A47)+SUMIFS(DataRegularSeason20242025!$AB$3:$AB$1315,DataRegularSeason20242025!$B$3:$B$1315, "&lt;=" &amp; CH$1, DataRegularSeason20242025!$E$3:$E$1315, $A47)</f>
        <v>10</v>
      </c>
      <c r="CI47">
        <f>SUMIFS(DataRegularSeason20242025!$AA$3:$AA$1315,DataRegularSeason20242025!$B$3:$B$1315, "&lt;=" &amp; CI$1, DataRegularSeason20242025!$D$3:$D$1315, $A47)+SUMIFS(DataRegularSeason20242025!$AB$3:$AB$1315,DataRegularSeason20242025!$B$3:$B$1315, "&lt;=" &amp; CI$1, DataRegularSeason20242025!$E$3:$E$1315, $A47)</f>
        <v>10</v>
      </c>
      <c r="CJ47">
        <f>SUMIFS(DataRegularSeason20242025!$AA$3:$AA$1315,DataRegularSeason20242025!$B$3:$B$1315, "&lt;=" &amp; CJ$1, DataRegularSeason20242025!$D$3:$D$1315, $A47)+SUMIFS(DataRegularSeason20242025!$AB$3:$AB$1315,DataRegularSeason20242025!$B$3:$B$1315, "&lt;=" &amp; CJ$1, DataRegularSeason20242025!$E$3:$E$1315, $A47)</f>
        <v>10</v>
      </c>
      <c r="CK47">
        <f>SUMIFS(DataRegularSeason20242025!$AA$3:$AA$1315,DataRegularSeason20242025!$B$3:$B$1315, "&lt;=" &amp; CK$1, DataRegularSeason20242025!$D$3:$D$1315, $A47)+SUMIFS(DataRegularSeason20242025!$AB$3:$AB$1315,DataRegularSeason20242025!$B$3:$B$1315, "&lt;=" &amp; CK$1, DataRegularSeason20242025!$E$3:$E$1315, $A47)</f>
        <v>10</v>
      </c>
      <c r="CL47">
        <f>SUMIFS(DataRegularSeason20242025!$AA$3:$AA$1315,DataRegularSeason20242025!$B$3:$B$1315, "&lt;=" &amp; CL$1, DataRegularSeason20242025!$D$3:$D$1315, $A47)+SUMIFS(DataRegularSeason20242025!$AB$3:$AB$1315,DataRegularSeason20242025!$B$3:$B$1315, "&lt;=" &amp; CL$1, DataRegularSeason20242025!$E$3:$E$1315, $A47)</f>
        <v>10</v>
      </c>
      <c r="CM47">
        <f>SUMIFS(DataRegularSeason20242025!$AA$3:$AA$1315,DataRegularSeason20242025!$B$3:$B$1315, "&lt;=" &amp; CM$1, DataRegularSeason20242025!$D$3:$D$1315, $A47)+SUMIFS(DataRegularSeason20242025!$AB$3:$AB$1315,DataRegularSeason20242025!$B$3:$B$1315, "&lt;=" &amp; CM$1, DataRegularSeason20242025!$E$3:$E$1315, $A47)</f>
        <v>10</v>
      </c>
      <c r="CN47">
        <f>SUMIFS(DataRegularSeason20242025!$AA$3:$AA$1315,DataRegularSeason20242025!$B$3:$B$1315, "&lt;=" &amp; CN$1, DataRegularSeason20242025!$D$3:$D$1315, $A47)+SUMIFS(DataRegularSeason20242025!$AB$3:$AB$1315,DataRegularSeason20242025!$B$3:$B$1315, "&lt;=" &amp; CN$1, DataRegularSeason20242025!$E$3:$E$1315, $A47)</f>
        <v>10</v>
      </c>
      <c r="CO47">
        <f>SUMIFS(DataRegularSeason20242025!$AA$3:$AA$1315,DataRegularSeason20242025!$B$3:$B$1315, "&lt;=" &amp; CO$1, DataRegularSeason20242025!$D$3:$D$1315, $A47)+SUMIFS(DataRegularSeason20242025!$AB$3:$AB$1315,DataRegularSeason20242025!$B$3:$B$1315, "&lt;=" &amp; CO$1, DataRegularSeason20242025!$E$3:$E$1315, $A47)</f>
        <v>10</v>
      </c>
      <c r="CP47">
        <f>SUMIFS(DataRegularSeason20242025!$AA$3:$AA$1315,DataRegularSeason20242025!$B$3:$B$1315, "&lt;=" &amp; CP$1, DataRegularSeason20242025!$D$3:$D$1315, $A47)+SUMIFS(DataRegularSeason20242025!$AB$3:$AB$1315,DataRegularSeason20242025!$B$3:$B$1315, "&lt;=" &amp; CP$1, DataRegularSeason20242025!$E$3:$E$1315, $A47)</f>
        <v>10</v>
      </c>
      <c r="CQ47">
        <f>SUMIFS(DataRegularSeason20242025!$AA$3:$AA$1315,DataRegularSeason20242025!$B$3:$B$1315, "&lt;=" &amp; CQ$1, DataRegularSeason20242025!$D$3:$D$1315, $A47)+SUMIFS(DataRegularSeason20242025!$AB$3:$AB$1315,DataRegularSeason20242025!$B$3:$B$1315, "&lt;=" &amp; CQ$1, DataRegularSeason20242025!$E$3:$E$1315, $A47)</f>
        <v>10</v>
      </c>
      <c r="CR47">
        <f>SUMIFS(DataRegularSeason20242025!$AA$3:$AA$1315,DataRegularSeason20242025!$B$3:$B$1315, "&lt;=" &amp; CR$1, DataRegularSeason20242025!$D$3:$D$1315, $A47)+SUMIFS(DataRegularSeason20242025!$AB$3:$AB$1315,DataRegularSeason20242025!$B$3:$B$1315, "&lt;=" &amp; CR$1, DataRegularSeason20242025!$E$3:$E$1315, $A47)</f>
        <v>10</v>
      </c>
      <c r="CS47">
        <f>SUMIFS(DataRegularSeason20242025!$AA$3:$AA$1315,DataRegularSeason20242025!$B$3:$B$1315, "&lt;=" &amp; CS$1, DataRegularSeason20242025!$D$3:$D$1315, $A47)+SUMIFS(DataRegularSeason20242025!$AB$3:$AB$1315,DataRegularSeason20242025!$B$3:$B$1315, "&lt;=" &amp; CS$1, DataRegularSeason20242025!$E$3:$E$1315, $A47)</f>
        <v>10</v>
      </c>
      <c r="CT47">
        <f>SUMIFS(DataRegularSeason20242025!$AA$3:$AA$1315,DataRegularSeason20242025!$B$3:$B$1315, "&lt;=" &amp; CT$1, DataRegularSeason20242025!$D$3:$D$1315, $A47)+SUMIFS(DataRegularSeason20242025!$AB$3:$AB$1315,DataRegularSeason20242025!$B$3:$B$1315, "&lt;=" &amp; CT$1, DataRegularSeason20242025!$E$3:$E$1315, $A47)</f>
        <v>10</v>
      </c>
      <c r="CU47">
        <f>SUMIFS(DataRegularSeason20242025!$AA$3:$AA$1315,DataRegularSeason20242025!$B$3:$B$1315, "&lt;=" &amp; CU$1, DataRegularSeason20242025!$D$3:$D$1315, $A47)+SUMIFS(DataRegularSeason20242025!$AB$3:$AB$1315,DataRegularSeason20242025!$B$3:$B$1315, "&lt;=" &amp; CU$1, DataRegularSeason20242025!$E$3:$E$1315, $A47)</f>
        <v>10</v>
      </c>
      <c r="CV47">
        <f>SUMIFS(DataRegularSeason20242025!$AA$3:$AA$1315,DataRegularSeason20242025!$B$3:$B$1315, "&lt;=" &amp; CV$1, DataRegularSeason20242025!$D$3:$D$1315, $A47)+SUMIFS(DataRegularSeason20242025!$AB$3:$AB$1315,DataRegularSeason20242025!$B$3:$B$1315, "&lt;=" &amp; CV$1, DataRegularSeason20242025!$E$3:$E$1315, $A47)</f>
        <v>10</v>
      </c>
      <c r="CW47">
        <f>SUMIFS(DataRegularSeason20242025!$AA$3:$AA$1315,DataRegularSeason20242025!$B$3:$B$1315, "&lt;=" &amp; CW$1, DataRegularSeason20242025!$D$3:$D$1315, $A47)+SUMIFS(DataRegularSeason20242025!$AB$3:$AB$1315,DataRegularSeason20242025!$B$3:$B$1315, "&lt;=" &amp; CW$1, DataRegularSeason20242025!$E$3:$E$1315, $A47)</f>
        <v>10</v>
      </c>
      <c r="CX47">
        <f>SUMIFS(DataRegularSeason20242025!$AA$3:$AA$1315,DataRegularSeason20242025!$B$3:$B$1315, "&lt;=" &amp; CX$1, DataRegularSeason20242025!$D$3:$D$1315, $A47)+SUMIFS(DataRegularSeason20242025!$AB$3:$AB$1315,DataRegularSeason20242025!$B$3:$B$1315, "&lt;=" &amp; CX$1, DataRegularSeason20242025!$E$3:$E$1315, $A47)</f>
        <v>10</v>
      </c>
      <c r="CY47">
        <f>SUMIFS(DataRegularSeason20242025!$AA$3:$AA$1315,DataRegularSeason20242025!$B$3:$B$1315, "&lt;=" &amp; CY$1, DataRegularSeason20242025!$D$3:$D$1315, $A47)+SUMIFS(DataRegularSeason20242025!$AB$3:$AB$1315,DataRegularSeason20242025!$B$3:$B$1315, "&lt;=" &amp; CY$1, DataRegularSeason20242025!$E$3:$E$1315, $A47)</f>
        <v>10</v>
      </c>
      <c r="CZ47">
        <f>SUMIFS(DataRegularSeason20242025!$AA$3:$AA$1315,DataRegularSeason20242025!$B$3:$B$1315, "&lt;=" &amp; CZ$1, DataRegularSeason20242025!$D$3:$D$1315, $A47)+SUMIFS(DataRegularSeason20242025!$AB$3:$AB$1315,DataRegularSeason20242025!$B$3:$B$1315, "&lt;=" &amp; CZ$1, DataRegularSeason20242025!$E$3:$E$1315, $A47)</f>
        <v>10</v>
      </c>
      <c r="DA47">
        <f>SUMIFS(DataRegularSeason20242025!$AA$3:$AA$1315,DataRegularSeason20242025!$B$3:$B$1315, "&lt;=" &amp; DA$1, DataRegularSeason20242025!$D$3:$D$1315, $A47)+SUMIFS(DataRegularSeason20242025!$AB$3:$AB$1315,DataRegularSeason20242025!$B$3:$B$1315, "&lt;=" &amp; DA$1, DataRegularSeason20242025!$E$3:$E$1315, $A47)</f>
        <v>10</v>
      </c>
      <c r="DB47">
        <f>SUMIFS(DataRegularSeason20242025!$AA$3:$AA$1315,DataRegularSeason20242025!$B$3:$B$1315, "&lt;=" &amp; DB$1, DataRegularSeason20242025!$D$3:$D$1315, $A47)+SUMIFS(DataRegularSeason20242025!$AB$3:$AB$1315,DataRegularSeason20242025!$B$3:$B$1315, "&lt;=" &amp; DB$1, DataRegularSeason20242025!$E$3:$E$1315, $A47)</f>
        <v>10</v>
      </c>
      <c r="DC47">
        <f>SUMIFS(DataRegularSeason20242025!$AA$3:$AA$1315,DataRegularSeason20242025!$B$3:$B$1315, "&lt;=" &amp; DC$1, DataRegularSeason20242025!$D$3:$D$1315, $A47)+SUMIFS(DataRegularSeason20242025!$AB$3:$AB$1315,DataRegularSeason20242025!$B$3:$B$1315, "&lt;=" &amp; DC$1, DataRegularSeason20242025!$E$3:$E$1315, $A47)</f>
        <v>10</v>
      </c>
      <c r="DD47">
        <f>SUMIFS(DataRegularSeason20242025!$AA$3:$AA$1315,DataRegularSeason20242025!$B$3:$B$1315, "&lt;=" &amp; DD$1, DataRegularSeason20242025!$D$3:$D$1315, $A47)+SUMIFS(DataRegularSeason20242025!$AB$3:$AB$1315,DataRegularSeason20242025!$B$3:$B$1315, "&lt;=" &amp; DD$1, DataRegularSeason20242025!$E$3:$E$1315, $A47)</f>
        <v>10</v>
      </c>
      <c r="DE47">
        <f>SUMIFS(DataRegularSeason20242025!$AA$3:$AA$1315,DataRegularSeason20242025!$B$3:$B$1315, "&lt;=" &amp; DE$1, DataRegularSeason20242025!$D$3:$D$1315, $A47)+SUMIFS(DataRegularSeason20242025!$AB$3:$AB$1315,DataRegularSeason20242025!$B$3:$B$1315, "&lt;=" &amp; DE$1, DataRegularSeason20242025!$E$3:$E$1315, $A47)</f>
        <v>10</v>
      </c>
      <c r="DF47">
        <f>SUMIFS(DataRegularSeason20242025!$AA$3:$AA$1315,DataRegularSeason20242025!$B$3:$B$1315, "&lt;=" &amp; DF$1, DataRegularSeason20242025!$D$3:$D$1315, $A47)+SUMIFS(DataRegularSeason20242025!$AB$3:$AB$1315,DataRegularSeason20242025!$B$3:$B$1315, "&lt;=" &amp; DF$1, DataRegularSeason20242025!$E$3:$E$1315, $A47)</f>
        <v>10</v>
      </c>
      <c r="DG47">
        <f>SUMIFS(DataRegularSeason20242025!$AA$3:$AA$1315,DataRegularSeason20242025!$B$3:$B$1315, "&lt;=" &amp; DG$1, DataRegularSeason20242025!$D$3:$D$1315, $A47)+SUMIFS(DataRegularSeason20242025!$AB$3:$AB$1315,DataRegularSeason20242025!$B$3:$B$1315, "&lt;=" &amp; DG$1, DataRegularSeason20242025!$E$3:$E$1315, $A47)</f>
        <v>10</v>
      </c>
      <c r="DH47">
        <f>SUMIFS(DataRegularSeason20242025!$AA$3:$AA$1315,DataRegularSeason20242025!$B$3:$B$1315, "&lt;=" &amp; DH$1, DataRegularSeason20242025!$D$3:$D$1315, $A47)+SUMIFS(DataRegularSeason20242025!$AB$3:$AB$1315,DataRegularSeason20242025!$B$3:$B$1315, "&lt;=" &amp; DH$1, DataRegularSeason20242025!$E$3:$E$1315, $A47)</f>
        <v>10</v>
      </c>
      <c r="DI47">
        <f>SUMIFS(DataRegularSeason20242025!$AA$3:$AA$1315,DataRegularSeason20242025!$B$3:$B$1315, "&lt;=" &amp; DI$1, DataRegularSeason20242025!$D$3:$D$1315, $A47)+SUMIFS(DataRegularSeason20242025!$AB$3:$AB$1315,DataRegularSeason20242025!$B$3:$B$1315, "&lt;=" &amp; DI$1, DataRegularSeason20242025!$E$3:$E$1315, $A47)</f>
        <v>10</v>
      </c>
      <c r="DJ47">
        <f>SUMIFS(DataRegularSeason20242025!$AA$3:$AA$1315,DataRegularSeason20242025!$B$3:$B$1315, "&lt;=" &amp; DJ$1, DataRegularSeason20242025!$D$3:$D$1315, $A47)+SUMIFS(DataRegularSeason20242025!$AB$3:$AB$1315,DataRegularSeason20242025!$B$3:$B$1315, "&lt;=" &amp; DJ$1, DataRegularSeason20242025!$E$3:$E$1315, $A47)</f>
        <v>10</v>
      </c>
      <c r="DK47">
        <f>SUMIFS(DataRegularSeason20242025!$AA$3:$AA$1315,DataRegularSeason20242025!$B$3:$B$1315, "&lt;=" &amp; DK$1, DataRegularSeason20242025!$D$3:$D$1315, $A47)+SUMIFS(DataRegularSeason20242025!$AB$3:$AB$1315,DataRegularSeason20242025!$B$3:$B$1315, "&lt;=" &amp; DK$1, DataRegularSeason20242025!$E$3:$E$1315, $A47)</f>
        <v>10</v>
      </c>
      <c r="DL47">
        <f>SUMIFS(DataRegularSeason20242025!$AA$3:$AA$1315,DataRegularSeason20242025!$B$3:$B$1315, "&lt;=" &amp; DL$1, DataRegularSeason20242025!$D$3:$D$1315, $A47)+SUMIFS(DataRegularSeason20242025!$AB$3:$AB$1315,DataRegularSeason20242025!$B$3:$B$1315, "&lt;=" &amp; DL$1, DataRegularSeason20242025!$E$3:$E$1315, $A47)</f>
        <v>10</v>
      </c>
      <c r="DM47">
        <f>SUMIFS(DataRegularSeason20242025!$AA$3:$AA$1315,DataRegularSeason20242025!$B$3:$B$1315, "&lt;=" &amp; DM$1, DataRegularSeason20242025!$D$3:$D$1315, $A47)+SUMIFS(DataRegularSeason20242025!$AB$3:$AB$1315,DataRegularSeason20242025!$B$3:$B$1315, "&lt;=" &amp; DM$1, DataRegularSeason20242025!$E$3:$E$1315, $A47)</f>
        <v>10</v>
      </c>
      <c r="DN47">
        <f>SUMIFS(DataRegularSeason20242025!$AA$3:$AA$1315,DataRegularSeason20242025!$B$3:$B$1315, "&lt;=" &amp; DN$1, DataRegularSeason20242025!$D$3:$D$1315, $A47)+SUMIFS(DataRegularSeason20242025!$AB$3:$AB$1315,DataRegularSeason20242025!$B$3:$B$1315, "&lt;=" &amp; DN$1, DataRegularSeason20242025!$E$3:$E$1315, $A47)</f>
        <v>10</v>
      </c>
      <c r="DO47">
        <f>SUMIFS(DataRegularSeason20242025!$AA$3:$AA$1315,DataRegularSeason20242025!$B$3:$B$1315, "&lt;=" &amp; DO$1, DataRegularSeason20242025!$D$3:$D$1315, $A47)+SUMIFS(DataRegularSeason20242025!$AB$3:$AB$1315,DataRegularSeason20242025!$B$3:$B$1315, "&lt;=" &amp; DO$1, DataRegularSeason20242025!$E$3:$E$1315, $A47)</f>
        <v>10</v>
      </c>
      <c r="DP47">
        <f>SUMIFS(DataRegularSeason20242025!$AA$3:$AA$1315,DataRegularSeason20242025!$B$3:$B$1315, "&lt;=" &amp; DP$1, DataRegularSeason20242025!$D$3:$D$1315, $A47)+SUMIFS(DataRegularSeason20242025!$AB$3:$AB$1315,DataRegularSeason20242025!$B$3:$B$1315, "&lt;=" &amp; DP$1, DataRegularSeason20242025!$E$3:$E$1315, $A47)</f>
        <v>10</v>
      </c>
      <c r="DQ47">
        <f>SUMIFS(DataRegularSeason20242025!$AA$3:$AA$1315,DataRegularSeason20242025!$B$3:$B$1315, "&lt;=" &amp; DQ$1, DataRegularSeason20242025!$D$3:$D$1315, $A47)+SUMIFS(DataRegularSeason20242025!$AB$3:$AB$1315,DataRegularSeason20242025!$B$3:$B$1315, "&lt;=" &amp; DQ$1, DataRegularSeason20242025!$E$3:$E$1315, $A47)</f>
        <v>10</v>
      </c>
      <c r="DR47">
        <f>SUMIFS(DataRegularSeason20242025!$AA$3:$AA$1315,DataRegularSeason20242025!$B$3:$B$1315, "&lt;=" &amp; DR$1, DataRegularSeason20242025!$D$3:$D$1315, $A47)+SUMIFS(DataRegularSeason20242025!$AB$3:$AB$1315,DataRegularSeason20242025!$B$3:$B$1315, "&lt;=" &amp; DR$1, DataRegularSeason20242025!$E$3:$E$1315, $A47)</f>
        <v>10</v>
      </c>
      <c r="DS47">
        <f>SUMIFS(DataRegularSeason20242025!$AA$3:$AA$1315,DataRegularSeason20242025!$B$3:$B$1315, "&lt;=" &amp; DS$1, DataRegularSeason20242025!$D$3:$D$1315, $A47)+SUMIFS(DataRegularSeason20242025!$AB$3:$AB$1315,DataRegularSeason20242025!$B$3:$B$1315, "&lt;=" &amp; DS$1, DataRegularSeason20242025!$E$3:$E$1315, $A47)</f>
        <v>10</v>
      </c>
      <c r="DT47">
        <f>SUMIFS(DataRegularSeason20242025!$AA$3:$AA$1315,DataRegularSeason20242025!$B$3:$B$1315, "&lt;=" &amp; DT$1, DataRegularSeason20242025!$D$3:$D$1315, $A47)+SUMIFS(DataRegularSeason20242025!$AB$3:$AB$1315,DataRegularSeason20242025!$B$3:$B$1315, "&lt;=" &amp; DT$1, DataRegularSeason20242025!$E$3:$E$1315, $A47)</f>
        <v>10</v>
      </c>
      <c r="DU47">
        <f>SUMIFS(DataRegularSeason20242025!$AA$3:$AA$1315,DataRegularSeason20242025!$B$3:$B$1315, "&lt;=" &amp; DU$1, DataRegularSeason20242025!$D$3:$D$1315, $A47)+SUMIFS(DataRegularSeason20242025!$AB$3:$AB$1315,DataRegularSeason20242025!$B$3:$B$1315, "&lt;=" &amp; DU$1, DataRegularSeason20242025!$E$3:$E$1315, $A47)</f>
        <v>10</v>
      </c>
      <c r="DV47">
        <f>SUMIFS(DataRegularSeason20242025!$AA$3:$AA$1315,DataRegularSeason20242025!$B$3:$B$1315, "&lt;=" &amp; DV$1, DataRegularSeason20242025!$D$3:$D$1315, $A47)+SUMIFS(DataRegularSeason20242025!$AB$3:$AB$1315,DataRegularSeason20242025!$B$3:$B$1315, "&lt;=" &amp; DV$1, DataRegularSeason20242025!$E$3:$E$1315, $A47)</f>
        <v>10</v>
      </c>
      <c r="DW47">
        <f>SUMIFS(DataRegularSeason20242025!$AA$3:$AA$1315,DataRegularSeason20242025!$B$3:$B$1315, "&lt;=" &amp; DW$1, DataRegularSeason20242025!$D$3:$D$1315, $A47)+SUMIFS(DataRegularSeason20242025!$AB$3:$AB$1315,DataRegularSeason20242025!$B$3:$B$1315, "&lt;=" &amp; DW$1, DataRegularSeason20242025!$E$3:$E$1315, $A47)</f>
        <v>10</v>
      </c>
      <c r="DX47">
        <f>SUMIFS(DataRegularSeason20242025!$AA$3:$AA$1315,DataRegularSeason20242025!$B$3:$B$1315, "&lt;=" &amp; DX$1, DataRegularSeason20242025!$D$3:$D$1315, $A47)+SUMIFS(DataRegularSeason20242025!$AB$3:$AB$1315,DataRegularSeason20242025!$B$3:$B$1315, "&lt;=" &amp; DX$1, DataRegularSeason20242025!$E$3:$E$1315, $A47)</f>
        <v>10</v>
      </c>
      <c r="DY47">
        <f>SUMIFS(DataRegularSeason20242025!$AA$3:$AA$1315,DataRegularSeason20242025!$B$3:$B$1315, "&lt;=" &amp; DY$1, DataRegularSeason20242025!$D$3:$D$1315, $A47)+SUMIFS(DataRegularSeason20242025!$AB$3:$AB$1315,DataRegularSeason20242025!$B$3:$B$1315, "&lt;=" &amp; DY$1, DataRegularSeason20242025!$E$3:$E$1315, $A47)</f>
        <v>10</v>
      </c>
      <c r="DZ47">
        <f>SUMIFS(DataRegularSeason20242025!$AA$3:$AA$1315,DataRegularSeason20242025!$B$3:$B$1315, "&lt;=" &amp; DZ$1, DataRegularSeason20242025!$D$3:$D$1315, $A47)+SUMIFS(DataRegularSeason20242025!$AB$3:$AB$1315,DataRegularSeason20242025!$B$3:$B$1315, "&lt;=" &amp; DZ$1, DataRegularSeason20242025!$E$3:$E$1315, $A47)</f>
        <v>10</v>
      </c>
      <c r="EA47">
        <f>SUMIFS(DataRegularSeason20242025!$AA$3:$AA$1315,DataRegularSeason20242025!$B$3:$B$1315, "&lt;=" &amp; EA$1, DataRegularSeason20242025!$D$3:$D$1315, $A47)+SUMIFS(DataRegularSeason20242025!$AB$3:$AB$1315,DataRegularSeason20242025!$B$3:$B$1315, "&lt;=" &amp; EA$1, DataRegularSeason20242025!$E$3:$E$1315, $A47)</f>
        <v>10</v>
      </c>
      <c r="EB47">
        <f>SUMIFS(DataRegularSeason20242025!$AA$3:$AA$1315,DataRegularSeason20242025!$B$3:$B$1315, "&lt;=" &amp; EB$1, DataRegularSeason20242025!$D$3:$D$1315, $A47)+SUMIFS(DataRegularSeason20242025!$AB$3:$AB$1315,DataRegularSeason20242025!$B$3:$B$1315, "&lt;=" &amp; EB$1, DataRegularSeason20242025!$E$3:$E$1315, $A47)</f>
        <v>10</v>
      </c>
      <c r="EC47">
        <f>SUMIFS(DataRegularSeason20242025!$AA$3:$AA$1315,DataRegularSeason20242025!$B$3:$B$1315, "&lt;=" &amp; EC$1, DataRegularSeason20242025!$D$3:$D$1315, $A47)+SUMIFS(DataRegularSeason20242025!$AB$3:$AB$1315,DataRegularSeason20242025!$B$3:$B$1315, "&lt;=" &amp; EC$1, DataRegularSeason20242025!$E$3:$E$1315, $A47)</f>
        <v>10</v>
      </c>
      <c r="ED47">
        <f>SUMIFS(DataRegularSeason20242025!$AA$3:$AA$1315,DataRegularSeason20242025!$B$3:$B$1315, "&lt;=" &amp; ED$1, DataRegularSeason20242025!$D$3:$D$1315, $A47)+SUMIFS(DataRegularSeason20242025!$AB$3:$AB$1315,DataRegularSeason20242025!$B$3:$B$1315, "&lt;=" &amp; ED$1, DataRegularSeason20242025!$E$3:$E$1315, $A47)</f>
        <v>10</v>
      </c>
      <c r="EE47">
        <f>SUMIFS(DataRegularSeason20242025!$AA$3:$AA$1315,DataRegularSeason20242025!$B$3:$B$1315, "&lt;=" &amp; EE$1, DataRegularSeason20242025!$D$3:$D$1315, $A47)+SUMIFS(DataRegularSeason20242025!$AB$3:$AB$1315,DataRegularSeason20242025!$B$3:$B$1315, "&lt;=" &amp; EE$1, DataRegularSeason20242025!$E$3:$E$1315, $A47)</f>
        <v>10</v>
      </c>
      <c r="EF47">
        <f>SUMIFS(DataRegularSeason20242025!$AA$3:$AA$1315,DataRegularSeason20242025!$B$3:$B$1315, "&lt;=" &amp; EF$1, DataRegularSeason20242025!$D$3:$D$1315, $A47)+SUMIFS(DataRegularSeason20242025!$AB$3:$AB$1315,DataRegularSeason20242025!$B$3:$B$1315, "&lt;=" &amp; EF$1, DataRegularSeason20242025!$E$3:$E$1315, $A47)</f>
        <v>10</v>
      </c>
      <c r="EG47">
        <f>SUMIFS(DataRegularSeason20242025!$AA$3:$AA$1315,DataRegularSeason20242025!$B$3:$B$1315, "&lt;=" &amp; EG$1, DataRegularSeason20242025!$D$3:$D$1315, $A47)+SUMIFS(DataRegularSeason20242025!$AB$3:$AB$1315,DataRegularSeason20242025!$B$3:$B$1315, "&lt;=" &amp; EG$1, DataRegularSeason20242025!$E$3:$E$1315, $A47)</f>
        <v>10</v>
      </c>
      <c r="EH47">
        <f>SUMIFS(DataRegularSeason20242025!$AA$3:$AA$1315,DataRegularSeason20242025!$B$3:$B$1315, "&lt;=" &amp; EH$1, DataRegularSeason20242025!$D$3:$D$1315, $A47)+SUMIFS(DataRegularSeason20242025!$AB$3:$AB$1315,DataRegularSeason20242025!$B$3:$B$1315, "&lt;=" &amp; EH$1, DataRegularSeason20242025!$E$3:$E$1315, $A47)</f>
        <v>10</v>
      </c>
      <c r="EI47">
        <f>SUMIFS(DataRegularSeason20242025!$AA$3:$AA$1315,DataRegularSeason20242025!$B$3:$B$1315, "&lt;=" &amp; EI$1, DataRegularSeason20242025!$D$3:$D$1315, $A47)+SUMIFS(DataRegularSeason20242025!$AB$3:$AB$1315,DataRegularSeason20242025!$B$3:$B$1315, "&lt;=" &amp; EI$1, DataRegularSeason20242025!$E$3:$E$1315, $A47)</f>
        <v>10</v>
      </c>
      <c r="EJ47">
        <f>SUMIFS(DataRegularSeason20242025!$AA$3:$AA$1315,DataRegularSeason20242025!$B$3:$B$1315, "&lt;=" &amp; EJ$1, DataRegularSeason20242025!$D$3:$D$1315, $A47)+SUMIFS(DataRegularSeason20242025!$AB$3:$AB$1315,DataRegularSeason20242025!$B$3:$B$1315, "&lt;=" &amp; EJ$1, DataRegularSeason20242025!$E$3:$E$1315, $A47)</f>
        <v>10</v>
      </c>
      <c r="EK47">
        <f>SUMIFS(DataRegularSeason20242025!$AA$3:$AA$1315,DataRegularSeason20242025!$B$3:$B$1315, "&lt;=" &amp; EK$1, DataRegularSeason20242025!$D$3:$D$1315, $A47)+SUMIFS(DataRegularSeason20242025!$AB$3:$AB$1315,DataRegularSeason20242025!$B$3:$B$1315, "&lt;=" &amp; EK$1, DataRegularSeason20242025!$E$3:$E$1315, $A47)</f>
        <v>10</v>
      </c>
      <c r="EL47">
        <f>SUMIFS(DataRegularSeason20242025!$AA$3:$AA$1315,DataRegularSeason20242025!$B$3:$B$1315, "&lt;=" &amp; EL$1, DataRegularSeason20242025!$D$3:$D$1315, $A47)+SUMIFS(DataRegularSeason20242025!$AB$3:$AB$1315,DataRegularSeason20242025!$B$3:$B$1315, "&lt;=" &amp; EL$1, DataRegularSeason20242025!$E$3:$E$1315, $A47)</f>
        <v>10</v>
      </c>
      <c r="EM47">
        <f>SUMIFS(DataRegularSeason20242025!$AA$3:$AA$1315,DataRegularSeason20242025!$B$3:$B$1315, "&lt;=" &amp; EM$1, DataRegularSeason20242025!$D$3:$D$1315, $A47)+SUMIFS(DataRegularSeason20242025!$AB$3:$AB$1315,DataRegularSeason20242025!$B$3:$B$1315, "&lt;=" &amp; EM$1, DataRegularSeason20242025!$E$3:$E$1315, $A47)</f>
        <v>10</v>
      </c>
      <c r="EN47">
        <f>SUMIFS(DataRegularSeason20242025!$AA$3:$AA$1315,DataRegularSeason20242025!$B$3:$B$1315, "&lt;=" &amp; EN$1, DataRegularSeason20242025!$D$3:$D$1315, $A47)+SUMIFS(DataRegularSeason20242025!$AB$3:$AB$1315,DataRegularSeason20242025!$B$3:$B$1315, "&lt;=" &amp; EN$1, DataRegularSeason20242025!$E$3:$E$1315, $A47)</f>
        <v>10</v>
      </c>
      <c r="EO47">
        <f>SUMIFS(DataRegularSeason20242025!$AA$3:$AA$1315,DataRegularSeason20242025!$B$3:$B$1315, "&lt;=" &amp; EO$1, DataRegularSeason20242025!$D$3:$D$1315, $A47)+SUMIFS(DataRegularSeason20242025!$AB$3:$AB$1315,DataRegularSeason20242025!$B$3:$B$1315, "&lt;=" &amp; EO$1, DataRegularSeason20242025!$E$3:$E$1315, $A47)</f>
        <v>10</v>
      </c>
      <c r="EP47">
        <f>SUMIFS(DataRegularSeason20242025!$AA$3:$AA$1315,DataRegularSeason20242025!$B$3:$B$1315, "&lt;=" &amp; EP$1, DataRegularSeason20242025!$D$3:$D$1315, $A47)+SUMIFS(DataRegularSeason20242025!$AB$3:$AB$1315,DataRegularSeason20242025!$B$3:$B$1315, "&lt;=" &amp; EP$1, DataRegularSeason20242025!$E$3:$E$1315, $A47)</f>
        <v>10</v>
      </c>
      <c r="EQ47">
        <f>SUMIFS(DataRegularSeason20242025!$AA$3:$AA$1315,DataRegularSeason20242025!$B$3:$B$1315, "&lt;=" &amp; EQ$1, DataRegularSeason20242025!$D$3:$D$1315, $A47)+SUMIFS(DataRegularSeason20242025!$AB$3:$AB$1315,DataRegularSeason20242025!$B$3:$B$1315, "&lt;=" &amp; EQ$1, DataRegularSeason20242025!$E$3:$E$1315, $A47)</f>
        <v>10</v>
      </c>
      <c r="ER47">
        <f>SUMIFS(DataRegularSeason20242025!$AA$3:$AA$1315,DataRegularSeason20242025!$B$3:$B$1315, "&lt;=" &amp; ER$1, DataRegularSeason20242025!$D$3:$D$1315, $A47)+SUMIFS(DataRegularSeason20242025!$AB$3:$AB$1315,DataRegularSeason20242025!$B$3:$B$1315, "&lt;=" &amp; ER$1, DataRegularSeason20242025!$E$3:$E$1315, $A47)</f>
        <v>10</v>
      </c>
      <c r="ES47">
        <f>SUMIFS(DataRegularSeason20242025!$AA$3:$AA$1315,DataRegularSeason20242025!$B$3:$B$1315, "&lt;=" &amp; ES$1, DataRegularSeason20242025!$D$3:$D$1315, $A47)+SUMIFS(DataRegularSeason20242025!$AB$3:$AB$1315,DataRegularSeason20242025!$B$3:$B$1315, "&lt;=" &amp; ES$1, DataRegularSeason20242025!$E$3:$E$1315, $A47)</f>
        <v>10</v>
      </c>
      <c r="ET47">
        <f>SUMIFS(DataRegularSeason20242025!$AA$3:$AA$1315,DataRegularSeason20242025!$B$3:$B$1315, "&lt;=" &amp; ET$1, DataRegularSeason20242025!$D$3:$D$1315, $A47)+SUMIFS(DataRegularSeason20242025!$AB$3:$AB$1315,DataRegularSeason20242025!$B$3:$B$1315, "&lt;=" &amp; ET$1, DataRegularSeason20242025!$E$3:$E$1315, $A47)</f>
        <v>10</v>
      </c>
      <c r="EU47">
        <f>SUMIFS(DataRegularSeason20242025!$AA$3:$AA$1315,DataRegularSeason20242025!$B$3:$B$1315, "&lt;=" &amp; EU$1, DataRegularSeason20242025!$D$3:$D$1315, $A47)+SUMIFS(DataRegularSeason20242025!$AB$3:$AB$1315,DataRegularSeason20242025!$B$3:$B$1315, "&lt;=" &amp; EU$1, DataRegularSeason20242025!$E$3:$E$1315, $A47)</f>
        <v>10</v>
      </c>
      <c r="EV47">
        <f>SUMIFS(DataRegularSeason20242025!$AA$3:$AA$1315,DataRegularSeason20242025!$B$3:$B$1315, "&lt;=" &amp; EV$1, DataRegularSeason20242025!$D$3:$D$1315, $A47)+SUMIFS(DataRegularSeason20242025!$AB$3:$AB$1315,DataRegularSeason20242025!$B$3:$B$1315, "&lt;=" &amp; EV$1, DataRegularSeason20242025!$E$3:$E$1315, $A47)</f>
        <v>10</v>
      </c>
      <c r="EW47">
        <f>SUMIFS(DataRegularSeason20242025!$AA$3:$AA$1315,DataRegularSeason20242025!$B$3:$B$1315, "&lt;=" &amp; EW$1, DataRegularSeason20242025!$D$3:$D$1315, $A47)+SUMIFS(DataRegularSeason20242025!$AB$3:$AB$1315,DataRegularSeason20242025!$B$3:$B$1315, "&lt;=" &amp; EW$1, DataRegularSeason20242025!$E$3:$E$1315, $A47)</f>
        <v>10</v>
      </c>
      <c r="EX47">
        <f>SUMIFS(DataRegularSeason20242025!$AA$3:$AA$1315,DataRegularSeason20242025!$B$3:$B$1315, "&lt;=" &amp; EX$1, DataRegularSeason20242025!$D$3:$D$1315, $A47)+SUMIFS(DataRegularSeason20242025!$AB$3:$AB$1315,DataRegularSeason20242025!$B$3:$B$1315, "&lt;=" &amp; EX$1, DataRegularSeason20242025!$E$3:$E$1315, $A47)</f>
        <v>10</v>
      </c>
      <c r="EY47">
        <f>SUMIFS(DataRegularSeason20242025!$AA$3:$AA$1315,DataRegularSeason20242025!$B$3:$B$1315, "&lt;=" &amp; EY$1, DataRegularSeason20242025!$D$3:$D$1315, $A47)+SUMIFS(DataRegularSeason20242025!$AB$3:$AB$1315,DataRegularSeason20242025!$B$3:$B$1315, "&lt;=" &amp; EY$1, DataRegularSeason20242025!$E$3:$E$1315, $A47)</f>
        <v>10</v>
      </c>
      <c r="EZ47">
        <f>SUMIFS(DataRegularSeason20242025!$AA$3:$AA$1315,DataRegularSeason20242025!$B$3:$B$1315, "&lt;=" &amp; EZ$1, DataRegularSeason20242025!$D$3:$D$1315, $A47)+SUMIFS(DataRegularSeason20242025!$AB$3:$AB$1315,DataRegularSeason20242025!$B$3:$B$1315, "&lt;=" &amp; EZ$1, DataRegularSeason20242025!$E$3:$E$1315, $A47)</f>
        <v>10</v>
      </c>
      <c r="FA47">
        <f>SUMIFS(DataRegularSeason20242025!$AA$3:$AA$1315,DataRegularSeason20242025!$B$3:$B$1315, "&lt;=" &amp; FA$1, DataRegularSeason20242025!$D$3:$D$1315, $A47)+SUMIFS(DataRegularSeason20242025!$AB$3:$AB$1315,DataRegularSeason20242025!$B$3:$B$1315, "&lt;=" &amp; FA$1, DataRegularSeason20242025!$E$3:$E$1315, $A47)</f>
        <v>10</v>
      </c>
      <c r="FB47">
        <f>SUMIFS(DataRegularSeason20242025!$AA$3:$AA$1315,DataRegularSeason20242025!$B$3:$B$1315, "&lt;=" &amp; FB$1, DataRegularSeason20242025!$D$3:$D$1315, $A47)+SUMIFS(DataRegularSeason20242025!$AB$3:$AB$1315,DataRegularSeason20242025!$B$3:$B$1315, "&lt;=" &amp; FB$1, DataRegularSeason20242025!$E$3:$E$1315, $A47)</f>
        <v>10</v>
      </c>
      <c r="FC47">
        <f>SUMIFS(DataRegularSeason20242025!$AA$3:$AA$1315,DataRegularSeason20242025!$B$3:$B$1315, "&lt;=" &amp; FC$1, DataRegularSeason20242025!$D$3:$D$1315, $A47)+SUMIFS(DataRegularSeason20242025!$AB$3:$AB$1315,DataRegularSeason20242025!$B$3:$B$1315, "&lt;=" &amp; FC$1, DataRegularSeason20242025!$E$3:$E$1315, $A47)</f>
        <v>10</v>
      </c>
      <c r="FD47">
        <f>SUMIFS(DataRegularSeason20242025!$AA$3:$AA$1315,DataRegularSeason20242025!$B$3:$B$1315, "&lt;=" &amp; FD$1, DataRegularSeason20242025!$D$3:$D$1315, $A47)+SUMIFS(DataRegularSeason20242025!$AB$3:$AB$1315,DataRegularSeason20242025!$B$3:$B$1315, "&lt;=" &amp; FD$1, DataRegularSeason20242025!$E$3:$E$1315, $A47)</f>
        <v>10</v>
      </c>
      <c r="FE47">
        <f>SUMIFS(DataRegularSeason20242025!$AA$3:$AA$1315,DataRegularSeason20242025!$B$3:$B$1315, "&lt;=" &amp; FE$1, DataRegularSeason20242025!$D$3:$D$1315, $A47)+SUMIFS(DataRegularSeason20242025!$AB$3:$AB$1315,DataRegularSeason20242025!$B$3:$B$1315, "&lt;=" &amp; FE$1, DataRegularSeason20242025!$E$3:$E$1315, $A47)</f>
        <v>10</v>
      </c>
      <c r="FF47">
        <f>SUMIFS(DataRegularSeason20242025!$AA$3:$AA$1315,DataRegularSeason20242025!$B$3:$B$1315, "&lt;=" &amp; FF$1, DataRegularSeason20242025!$D$3:$D$1315, $A47)+SUMIFS(DataRegularSeason20242025!$AB$3:$AB$1315,DataRegularSeason20242025!$B$3:$B$1315, "&lt;=" &amp; FF$1, DataRegularSeason20242025!$E$3:$E$1315, $A47)</f>
        <v>10</v>
      </c>
      <c r="FG47">
        <f>SUMIFS(DataRegularSeason20242025!$AA$3:$AA$1315,DataRegularSeason20242025!$B$3:$B$1315, "&lt;=" &amp; FG$1, DataRegularSeason20242025!$D$3:$D$1315, $A47)+SUMIFS(DataRegularSeason20242025!$AB$3:$AB$1315,DataRegularSeason20242025!$B$3:$B$1315, "&lt;=" &amp; FG$1, DataRegularSeason20242025!$E$3:$E$1315, $A47)</f>
        <v>10</v>
      </c>
      <c r="FH47">
        <f>SUMIFS(DataRegularSeason20242025!$AA$3:$AA$1315,DataRegularSeason20242025!$B$3:$B$1315, "&lt;=" &amp; FH$1, DataRegularSeason20242025!$D$3:$D$1315, $A47)+SUMIFS(DataRegularSeason20242025!$AB$3:$AB$1315,DataRegularSeason20242025!$B$3:$B$1315, "&lt;=" &amp; FH$1, DataRegularSeason20242025!$E$3:$E$1315, $A47)</f>
        <v>10</v>
      </c>
      <c r="FI47">
        <f>SUMIFS(DataRegularSeason20242025!$AA$3:$AA$1315,DataRegularSeason20242025!$B$3:$B$1315, "&lt;=" &amp; FI$1, DataRegularSeason20242025!$D$3:$D$1315, $A47)+SUMIFS(DataRegularSeason20242025!$AB$3:$AB$1315,DataRegularSeason20242025!$B$3:$B$1315, "&lt;=" &amp; FI$1, DataRegularSeason20242025!$E$3:$E$1315, $A47)</f>
        <v>10</v>
      </c>
      <c r="FJ47">
        <f>SUMIFS(DataRegularSeason20242025!$AA$3:$AA$1315,DataRegularSeason20242025!$B$3:$B$1315, "&lt;=" &amp; FJ$1, DataRegularSeason20242025!$D$3:$D$1315, $A47)+SUMIFS(DataRegularSeason20242025!$AB$3:$AB$1315,DataRegularSeason20242025!$B$3:$B$1315, "&lt;=" &amp; FJ$1, DataRegularSeason20242025!$E$3:$E$1315, $A47)</f>
        <v>10</v>
      </c>
      <c r="FK47">
        <f>SUMIFS(DataRegularSeason20242025!$AA$3:$AA$1315,DataRegularSeason20242025!$B$3:$B$1315, "&lt;=" &amp; FK$1, DataRegularSeason20242025!$D$3:$D$1315, $A47)+SUMIFS(DataRegularSeason20242025!$AB$3:$AB$1315,DataRegularSeason20242025!$B$3:$B$1315, "&lt;=" &amp; FK$1, DataRegularSeason20242025!$E$3:$E$1315, $A47)</f>
        <v>10</v>
      </c>
      <c r="FL47">
        <f>SUMIFS(DataRegularSeason20242025!$AA$3:$AA$1315,DataRegularSeason20242025!$B$3:$B$1315, "&lt;=" &amp; FL$1, DataRegularSeason20242025!$D$3:$D$1315, $A47)+SUMIFS(DataRegularSeason20242025!$AB$3:$AB$1315,DataRegularSeason20242025!$B$3:$B$1315, "&lt;=" &amp; FL$1, DataRegularSeason20242025!$E$3:$E$1315, $A47)</f>
        <v>10</v>
      </c>
      <c r="FM47">
        <f>SUMIFS(DataRegularSeason20242025!$AA$3:$AA$1315,DataRegularSeason20242025!$B$3:$B$1315, "&lt;=" &amp; FM$1, DataRegularSeason20242025!$D$3:$D$1315, $A47)+SUMIFS(DataRegularSeason20242025!$AB$3:$AB$1315,DataRegularSeason20242025!$B$3:$B$1315, "&lt;=" &amp; FM$1, DataRegularSeason20242025!$E$3:$E$1315, $A47)</f>
        <v>10</v>
      </c>
      <c r="FN47">
        <f>SUMIFS(DataRegularSeason20242025!$AA$3:$AA$1315,DataRegularSeason20242025!$B$3:$B$1315, "&lt;=" &amp; FN$1, DataRegularSeason20242025!$D$3:$D$1315, $A47)+SUMIFS(DataRegularSeason20242025!$AB$3:$AB$1315,DataRegularSeason20242025!$B$3:$B$1315, "&lt;=" &amp; FN$1, DataRegularSeason20242025!$E$3:$E$1315, $A47)</f>
        <v>10</v>
      </c>
      <c r="FO47">
        <f>SUMIFS(DataRegularSeason20242025!$AA$3:$AA$1315,DataRegularSeason20242025!$B$3:$B$1315, "&lt;=" &amp; FO$1, DataRegularSeason20242025!$D$3:$D$1315, $A47)+SUMIFS(DataRegularSeason20242025!$AB$3:$AB$1315,DataRegularSeason20242025!$B$3:$B$1315, "&lt;=" &amp; FO$1, DataRegularSeason20242025!$E$3:$E$1315, $A47)</f>
        <v>10</v>
      </c>
      <c r="FP47">
        <f>SUMIFS(DataRegularSeason20242025!$AA$3:$AA$1315,DataRegularSeason20242025!$B$3:$B$1315, "&lt;=" &amp; FP$1, DataRegularSeason20242025!$D$3:$D$1315, $A47)+SUMIFS(DataRegularSeason20242025!$AB$3:$AB$1315,DataRegularSeason20242025!$B$3:$B$1315, "&lt;=" &amp; FP$1, DataRegularSeason20242025!$E$3:$E$1315, $A47)</f>
        <v>10</v>
      </c>
      <c r="FQ47">
        <f>SUMIFS(DataRegularSeason20242025!$AA$3:$AA$1315,DataRegularSeason20242025!$B$3:$B$1315, "&lt;=" &amp; FQ$1, DataRegularSeason20242025!$D$3:$D$1315, $A47)+SUMIFS(DataRegularSeason20242025!$AB$3:$AB$1315,DataRegularSeason20242025!$B$3:$B$1315, "&lt;=" &amp; FQ$1, DataRegularSeason20242025!$E$3:$E$1315, $A47)</f>
        <v>10</v>
      </c>
      <c r="FR47">
        <f>SUMIFS(DataRegularSeason20242025!$AA$3:$AA$1315,DataRegularSeason20242025!$B$3:$B$1315, "&lt;=" &amp; FR$1, DataRegularSeason20242025!$D$3:$D$1315, $A47)+SUMIFS(DataRegularSeason20242025!$AB$3:$AB$1315,DataRegularSeason20242025!$B$3:$B$1315, "&lt;=" &amp; FR$1, DataRegularSeason20242025!$E$3:$E$1315, $A47)</f>
        <v>10</v>
      </c>
      <c r="FS47">
        <f>SUMIFS(DataRegularSeason20242025!$AA$3:$AA$1315,DataRegularSeason20242025!$B$3:$B$1315, "&lt;=" &amp; FS$1, DataRegularSeason20242025!$D$3:$D$1315, $A47)+SUMIFS(DataRegularSeason20242025!$AB$3:$AB$1315,DataRegularSeason20242025!$B$3:$B$1315, "&lt;=" &amp; FS$1, DataRegularSeason20242025!$E$3:$E$1315, $A47)</f>
        <v>10</v>
      </c>
      <c r="FT47">
        <f>SUMIFS(DataRegularSeason20242025!$AA$3:$AA$1315,DataRegularSeason20242025!$B$3:$B$1315, "&lt;=" &amp; FT$1, DataRegularSeason20242025!$D$3:$D$1315, $A47)+SUMIFS(DataRegularSeason20242025!$AB$3:$AB$1315,DataRegularSeason20242025!$B$3:$B$1315, "&lt;=" &amp; FT$1, DataRegularSeason20242025!$E$3:$E$1315, $A47)</f>
        <v>10</v>
      </c>
      <c r="FU47">
        <f>SUMIFS(DataRegularSeason20242025!$AA$3:$AA$1315,DataRegularSeason20242025!$B$3:$B$1315, "&lt;=" &amp; FU$1, DataRegularSeason20242025!$D$3:$D$1315, $A47)+SUMIFS(DataRegularSeason20242025!$AB$3:$AB$1315,DataRegularSeason20242025!$B$3:$B$1315, "&lt;=" &amp; FU$1, DataRegularSeason20242025!$E$3:$E$1315, $A47)</f>
        <v>10</v>
      </c>
      <c r="FV47">
        <f>SUMIFS(DataRegularSeason20242025!$AA$3:$AA$1315,DataRegularSeason20242025!$B$3:$B$1315, "&lt;=" &amp; FV$1, DataRegularSeason20242025!$D$3:$D$1315, $A47)+SUMIFS(DataRegularSeason20242025!$AB$3:$AB$1315,DataRegularSeason20242025!$B$3:$B$1315, "&lt;=" &amp; FV$1, DataRegularSeason20242025!$E$3:$E$1315, $A47)</f>
        <v>10</v>
      </c>
      <c r="FW47">
        <f>SUMIFS(DataRegularSeason20242025!$AA$3:$AA$1315,DataRegularSeason20242025!$B$3:$B$1315, "&lt;=" &amp; FW$1, DataRegularSeason20242025!$D$3:$D$1315, $A47)+SUMIFS(DataRegularSeason20242025!$AB$3:$AB$1315,DataRegularSeason20242025!$B$3:$B$1315, "&lt;=" &amp; FW$1, DataRegularSeason20242025!$E$3:$E$1315, $A47)</f>
        <v>10</v>
      </c>
      <c r="FX47">
        <f>SUMIFS(DataRegularSeason20242025!$AA$3:$AA$1315,DataRegularSeason20242025!$B$3:$B$1315, "&lt;=" &amp; FX$1, DataRegularSeason20242025!$D$3:$D$1315, $A47)+SUMIFS(DataRegularSeason20242025!$AB$3:$AB$1315,DataRegularSeason20242025!$B$3:$B$1315, "&lt;=" &amp; FX$1, DataRegularSeason20242025!$E$3:$E$1315, $A47)</f>
        <v>10</v>
      </c>
      <c r="FY47">
        <f>SUMIFS(DataRegularSeason20242025!$AA$3:$AA$1315,DataRegularSeason20242025!$B$3:$B$1315, "&lt;=" &amp; FY$1, DataRegularSeason20242025!$D$3:$D$1315, $A47)+SUMIFS(DataRegularSeason20242025!$AB$3:$AB$1315,DataRegularSeason20242025!$B$3:$B$1315, "&lt;=" &amp; FY$1, DataRegularSeason20242025!$E$3:$E$1315, $A47)</f>
        <v>10</v>
      </c>
      <c r="FZ47">
        <f>SUMIFS(DataRegularSeason20242025!$AA$3:$AA$1315,DataRegularSeason20242025!$B$3:$B$1315, "&lt;=" &amp; FZ$1, DataRegularSeason20242025!$D$3:$D$1315, $A47)+SUMIFS(DataRegularSeason20242025!$AB$3:$AB$1315,DataRegularSeason20242025!$B$3:$B$1315, "&lt;=" &amp; FZ$1, DataRegularSeason20242025!$E$3:$E$1315, $A47)</f>
        <v>10</v>
      </c>
      <c r="GA47">
        <f>SUMIFS(DataRegularSeason20242025!$AA$3:$AA$1315,DataRegularSeason20242025!$B$3:$B$1315, "&lt;=" &amp; GA$1, DataRegularSeason20242025!$D$3:$D$1315, $A47)+SUMIFS(DataRegularSeason20242025!$AB$3:$AB$1315,DataRegularSeason20242025!$B$3:$B$1315, "&lt;=" &amp; GA$1, DataRegularSeason20242025!$E$3:$E$1315, $A47)</f>
        <v>10</v>
      </c>
      <c r="GB47">
        <f>SUMIFS(DataRegularSeason20242025!$AA$3:$AA$1315,DataRegularSeason20242025!$B$3:$B$1315, "&lt;=" &amp; GB$1, DataRegularSeason20242025!$D$3:$D$1315, $A47)+SUMIFS(DataRegularSeason20242025!$AB$3:$AB$1315,DataRegularSeason20242025!$B$3:$B$1315, "&lt;=" &amp; GB$1, DataRegularSeason20242025!$E$3:$E$1315, $A47)</f>
        <v>10</v>
      </c>
      <c r="GC47">
        <f>SUMIFS(DataRegularSeason20242025!$AA$3:$AA$1315,DataRegularSeason20242025!$B$3:$B$1315, "&lt;=" &amp; GC$1, DataRegularSeason20242025!$D$3:$D$1315, $A47)+SUMIFS(DataRegularSeason20242025!$AB$3:$AB$1315,DataRegularSeason20242025!$B$3:$B$1315, "&lt;=" &amp; GC$1, DataRegularSeason20242025!$E$3:$E$1315, $A47)</f>
        <v>10</v>
      </c>
      <c r="GD47">
        <f>SUMIFS(DataRegularSeason20242025!$AA$3:$AA$1315,DataRegularSeason20242025!$B$3:$B$1315, "&lt;=" &amp; GD$1, DataRegularSeason20242025!$D$3:$D$1315, $A47)+SUMIFS(DataRegularSeason20242025!$AB$3:$AB$1315,DataRegularSeason20242025!$B$3:$B$1315, "&lt;=" &amp; GD$1, DataRegularSeason20242025!$E$3:$E$1315, $A47)</f>
        <v>10</v>
      </c>
      <c r="GE47">
        <f>SUMIFS(DataRegularSeason20242025!$AA$3:$AA$1315,DataRegularSeason20242025!$B$3:$B$1315, "&lt;=" &amp; GE$1, DataRegularSeason20242025!$D$3:$D$1315, $A47)+SUMIFS(DataRegularSeason20242025!$AB$3:$AB$1315,DataRegularSeason20242025!$B$3:$B$1315, "&lt;=" &amp; GE$1, DataRegularSeason20242025!$E$3:$E$1315, $A47)</f>
        <v>10</v>
      </c>
      <c r="GF47">
        <f>SUMIFS(DataRegularSeason20242025!$AA$3:$AA$1315,DataRegularSeason20242025!$B$3:$B$1315, "&lt;=" &amp; GF$1, DataRegularSeason20242025!$D$3:$D$1315, $A47)+SUMIFS(DataRegularSeason20242025!$AB$3:$AB$1315,DataRegularSeason20242025!$B$3:$B$1315, "&lt;=" &amp; GF$1, DataRegularSeason20242025!$E$3:$E$1315, $A47)</f>
        <v>10</v>
      </c>
      <c r="GG47">
        <f>SUMIFS(DataRegularSeason20242025!$AA$3:$AA$1315,DataRegularSeason20242025!$B$3:$B$1315, "&lt;=" &amp; GG$1, DataRegularSeason20242025!$D$3:$D$1315, $A47)+SUMIFS(DataRegularSeason20242025!$AB$3:$AB$1315,DataRegularSeason20242025!$B$3:$B$1315, "&lt;=" &amp; GG$1, DataRegularSeason20242025!$E$3:$E$1315, $A47)</f>
        <v>10</v>
      </c>
      <c r="GH47">
        <f>SUMIFS(DataRegularSeason20242025!$AA$3:$AA$1315,DataRegularSeason20242025!$B$3:$B$1315, "&lt;=" &amp; GH$1, DataRegularSeason20242025!$D$3:$D$1315, $A47)+SUMIFS(DataRegularSeason20242025!$AB$3:$AB$1315,DataRegularSeason20242025!$B$3:$B$1315, "&lt;=" &amp; GH$1, DataRegularSeason20242025!$E$3:$E$1315, $A47)</f>
        <v>10</v>
      </c>
      <c r="GI47">
        <f>SUMIFS(DataRegularSeason20242025!$AA$3:$AA$1315,DataRegularSeason20242025!$B$3:$B$1315, "&lt;=" &amp; GI$1, DataRegularSeason20242025!$D$3:$D$1315, $A47)+SUMIFS(DataRegularSeason20242025!$AB$3:$AB$1315,DataRegularSeason20242025!$B$3:$B$1315, "&lt;=" &amp; GI$1, DataRegularSeason20242025!$E$3:$E$1315, $A47)</f>
        <v>10</v>
      </c>
      <c r="GJ47">
        <f>SUMIFS(DataRegularSeason20242025!$AA$3:$AA$1315,DataRegularSeason20242025!$B$3:$B$1315, "&lt;=" &amp; GJ$1, DataRegularSeason20242025!$D$3:$D$1315, $A47)+SUMIFS(DataRegularSeason20242025!$AB$3:$AB$1315,DataRegularSeason20242025!$B$3:$B$1315, "&lt;=" &amp; GJ$1, DataRegularSeason20242025!$E$3:$E$1315, $A47)</f>
        <v>10</v>
      </c>
      <c r="GK47">
        <f>SUMIFS(DataRegularSeason20242025!$AA$3:$AA$1315,DataRegularSeason20242025!$B$3:$B$1315, "&lt;=" &amp; GK$1, DataRegularSeason20242025!$D$3:$D$1315, $A47)+SUMIFS(DataRegularSeason20242025!$AB$3:$AB$1315,DataRegularSeason20242025!$B$3:$B$1315, "&lt;=" &amp; GK$1, DataRegularSeason20242025!$E$3:$E$1315, $A47)</f>
        <v>10</v>
      </c>
      <c r="GL47">
        <f>SUMIFS(DataRegularSeason20242025!$AA$3:$AA$1315,DataRegularSeason20242025!$B$3:$B$1315, "&lt;=" &amp; GL$1, DataRegularSeason20242025!$D$3:$D$1315, $A47)+SUMIFS(DataRegularSeason20242025!$AB$3:$AB$1315,DataRegularSeason20242025!$B$3:$B$1315, "&lt;=" &amp; GL$1, DataRegularSeason20242025!$E$3:$E$1315, $A47)</f>
        <v>10</v>
      </c>
      <c r="GM47">
        <f>SUMIFS(DataRegularSeason20242025!$AA$3:$AA$1315,DataRegularSeason20242025!$B$3:$B$1315, "&lt;=" &amp; GM$1, DataRegularSeason20242025!$D$3:$D$1315, $A47)+SUMIFS(DataRegularSeason20242025!$AB$3:$AB$1315,DataRegularSeason20242025!$B$3:$B$1315, "&lt;=" &amp; GM$1, DataRegularSeason20242025!$E$3:$E$1315, $A47)</f>
        <v>10</v>
      </c>
      <c r="GN47">
        <f>SUMIFS(DataRegularSeason20242025!$AA$3:$AA$1315,DataRegularSeason20242025!$B$3:$B$1315, "&lt;=" &amp; GN$1, DataRegularSeason20242025!$D$3:$D$1315, $A47)+SUMIFS(DataRegularSeason20242025!$AB$3:$AB$1315,DataRegularSeason20242025!$B$3:$B$1315, "&lt;=" &amp; GN$1, DataRegularSeason20242025!$E$3:$E$1315, $A47)</f>
        <v>10</v>
      </c>
      <c r="GO47">
        <f>SUMIFS(DataRegularSeason20242025!$AA$3:$AA$1315,DataRegularSeason20242025!$B$3:$B$1315, "&lt;=" &amp; GO$1, DataRegularSeason20242025!$D$3:$D$1315, $A47)+SUMIFS(DataRegularSeason20242025!$AB$3:$AB$1315,DataRegularSeason20242025!$B$3:$B$1315, "&lt;=" &amp; GO$1, DataRegularSeason20242025!$E$3:$E$1315, $A47)</f>
        <v>10</v>
      </c>
      <c r="GP47">
        <f>SUMIFS(DataRegularSeason20242025!$AA$3:$AA$1315,DataRegularSeason20242025!$B$3:$B$1315, "&lt;=" &amp; GP$1, DataRegularSeason20242025!$D$3:$D$1315, $A47)+SUMIFS(DataRegularSeason20242025!$AB$3:$AB$1315,DataRegularSeason20242025!$B$3:$B$1315, "&lt;=" &amp; GP$1, DataRegularSeason20242025!$E$3:$E$1315, $A47)</f>
        <v>10</v>
      </c>
      <c r="GQ47">
        <f>SUMIFS(DataRegularSeason20242025!$AA$3:$AA$1315,DataRegularSeason20242025!$B$3:$B$1315, "&lt;=" &amp; GQ$1, DataRegularSeason20242025!$D$3:$D$1315, $A47)+SUMIFS(DataRegularSeason20242025!$AB$3:$AB$1315,DataRegularSeason20242025!$B$3:$B$1315, "&lt;=" &amp; GQ$1, DataRegularSeason20242025!$E$3:$E$1315, $A47)</f>
        <v>10</v>
      </c>
      <c r="GR47">
        <f>SUMIFS(DataRegularSeason20242025!$AA$3:$AA$1315,DataRegularSeason20242025!$B$3:$B$1315, "&lt;=" &amp; GR$1, DataRegularSeason20242025!$D$3:$D$1315, $A47)+SUMIFS(DataRegularSeason20242025!$AB$3:$AB$1315,DataRegularSeason20242025!$B$3:$B$1315, "&lt;=" &amp; GR$1, DataRegularSeason20242025!$E$3:$E$1315, $A47)</f>
        <v>10</v>
      </c>
      <c r="GS47">
        <f>SUMIFS(DataRegularSeason20242025!$AA$3:$AA$1315,DataRegularSeason20242025!$B$3:$B$1315, "&lt;=" &amp; GS$1, DataRegularSeason20242025!$D$3:$D$1315, $A47)+SUMIFS(DataRegularSeason20242025!$AB$3:$AB$1315,DataRegularSeason20242025!$B$3:$B$1315, "&lt;=" &amp; GS$1, DataRegularSeason20242025!$E$3:$E$1315, $A47)</f>
        <v>10</v>
      </c>
      <c r="GT47">
        <f>SUMIFS(DataRegularSeason20242025!$AA$3:$AA$1315,DataRegularSeason20242025!$B$3:$B$1315, "&lt;=" &amp; GT$1, DataRegularSeason20242025!$D$3:$D$1315, $A47)+SUMIFS(DataRegularSeason20242025!$AB$3:$AB$1315,DataRegularSeason20242025!$B$3:$B$1315, "&lt;=" &amp; GT$1, DataRegularSeason20242025!$E$3:$E$1315, $A47)</f>
        <v>10</v>
      </c>
      <c r="GU47">
        <f>SUMIFS(DataRegularSeason20242025!$AA$3:$AA$1315,DataRegularSeason20242025!$B$3:$B$1315, "&lt;=" &amp; GU$1, DataRegularSeason20242025!$D$3:$D$1315, $A47)+SUMIFS(DataRegularSeason20242025!$AB$3:$AB$1315,DataRegularSeason20242025!$B$3:$B$1315, "&lt;=" &amp; GU$1, DataRegularSeason20242025!$E$3:$E$1315, $A47)</f>
        <v>10</v>
      </c>
    </row>
    <row r="48" spans="1:275" x14ac:dyDescent="0.25">
      <c r="A48" t="s">
        <v>31</v>
      </c>
      <c r="B48" t="s">
        <v>91</v>
      </c>
      <c r="C48" t="s">
        <v>92</v>
      </c>
      <c r="D48">
        <f>SUMIFS(DataRegularSeason20242025!$AA$3:$AA$1315,DataRegularSeason20242025!$B$3:$B$1315, "&lt;=" &amp; D$1, DataRegularSeason20242025!$D$3:$D$1315, $A48)+SUMIFS(DataRegularSeason20242025!$AB$3:$AB$1315,DataRegularSeason20242025!$B$3:$B$1315, "&lt;=" &amp; D$1, DataRegularSeason20242025!$E$3:$E$1315, $A48)</f>
        <v>0</v>
      </c>
      <c r="E48">
        <f>SUMIFS(DataRegularSeason20242025!$AA$3:$AA$1315,DataRegularSeason20242025!$B$3:$B$1315, "&lt;=" &amp; E$1, DataRegularSeason20242025!$D$3:$D$1315, $A48)+SUMIFS(DataRegularSeason20242025!$AB$3:$AB$1315,DataRegularSeason20242025!$B$3:$B$1315, "&lt;=" &amp; E$1, DataRegularSeason20242025!$E$3:$E$1315, $A48)</f>
        <v>0</v>
      </c>
      <c r="F48">
        <f>SUMIFS(DataRegularSeason20242025!$AA$3:$AA$1315,DataRegularSeason20242025!$B$3:$B$1315, "&lt;=" &amp; F$1, DataRegularSeason20242025!$D$3:$D$1315, $A48)+SUMIFS(DataRegularSeason20242025!$AB$3:$AB$1315,DataRegularSeason20242025!$B$3:$B$1315, "&lt;=" &amp; F$1, DataRegularSeason20242025!$E$3:$E$1315, $A48)</f>
        <v>0</v>
      </c>
      <c r="G48">
        <f>SUMIFS(DataRegularSeason20242025!$AA$3:$AA$1315,DataRegularSeason20242025!$B$3:$B$1315, "&lt;=" &amp; G$1, DataRegularSeason20242025!$D$3:$D$1315, $A48)+SUMIFS(DataRegularSeason20242025!$AB$3:$AB$1315,DataRegularSeason20242025!$B$3:$B$1315, "&lt;=" &amp; G$1, DataRegularSeason20242025!$E$3:$E$1315, $A48)</f>
        <v>0</v>
      </c>
      <c r="H48">
        <f>SUMIFS(DataRegularSeason20242025!$AA$3:$AA$1315,DataRegularSeason20242025!$B$3:$B$1315, "&lt;=" &amp; H$1, DataRegularSeason20242025!$D$3:$D$1315, $A48)+SUMIFS(DataRegularSeason20242025!$AB$3:$AB$1315,DataRegularSeason20242025!$B$3:$B$1315, "&lt;=" &amp; H$1, DataRegularSeason20242025!$E$3:$E$1315, $A48)</f>
        <v>0</v>
      </c>
      <c r="I48">
        <f>SUMIFS(DataRegularSeason20242025!$AA$3:$AA$1315,DataRegularSeason20242025!$B$3:$B$1315, "&lt;=" &amp; I$1, DataRegularSeason20242025!$D$3:$D$1315, $A48)+SUMIFS(DataRegularSeason20242025!$AB$3:$AB$1315,DataRegularSeason20242025!$B$3:$B$1315, "&lt;=" &amp; I$1, DataRegularSeason20242025!$E$3:$E$1315, $A48)</f>
        <v>0</v>
      </c>
      <c r="J48">
        <f>SUMIFS(DataRegularSeason20242025!$AA$3:$AA$1315,DataRegularSeason20242025!$B$3:$B$1315, "&lt;=" &amp; J$1, DataRegularSeason20242025!$D$3:$D$1315, $A48)+SUMIFS(DataRegularSeason20242025!$AB$3:$AB$1315,DataRegularSeason20242025!$B$3:$B$1315, "&lt;=" &amp; J$1, DataRegularSeason20242025!$E$3:$E$1315, $A48)</f>
        <v>0</v>
      </c>
      <c r="K48">
        <f>SUMIFS(DataRegularSeason20242025!$AA$3:$AA$1315,DataRegularSeason20242025!$B$3:$B$1315, "&lt;=" &amp; K$1, DataRegularSeason20242025!$D$3:$D$1315, $A48)+SUMIFS(DataRegularSeason20242025!$AB$3:$AB$1315,DataRegularSeason20242025!$B$3:$B$1315, "&lt;=" &amp; K$1, DataRegularSeason20242025!$E$3:$E$1315, $A48)</f>
        <v>0</v>
      </c>
      <c r="L48">
        <f>SUMIFS(DataRegularSeason20242025!$AA$3:$AA$1315,DataRegularSeason20242025!$B$3:$B$1315, "&lt;=" &amp; L$1, DataRegularSeason20242025!$D$3:$D$1315, $A48)+SUMIFS(DataRegularSeason20242025!$AB$3:$AB$1315,DataRegularSeason20242025!$B$3:$B$1315, "&lt;=" &amp; L$1, DataRegularSeason20242025!$E$3:$E$1315, $A48)</f>
        <v>2</v>
      </c>
      <c r="M48">
        <f>SUMIFS(DataRegularSeason20242025!$AA$3:$AA$1315,DataRegularSeason20242025!$B$3:$B$1315, "&lt;=" &amp; M$1, DataRegularSeason20242025!$D$3:$D$1315, $A48)+SUMIFS(DataRegularSeason20242025!$AB$3:$AB$1315,DataRegularSeason20242025!$B$3:$B$1315, "&lt;=" &amp; M$1, DataRegularSeason20242025!$E$3:$E$1315, $A48)</f>
        <v>2</v>
      </c>
      <c r="N48">
        <f>SUMIFS(DataRegularSeason20242025!$AA$3:$AA$1315,DataRegularSeason20242025!$B$3:$B$1315, "&lt;=" &amp; N$1, DataRegularSeason20242025!$D$3:$D$1315, $A48)+SUMIFS(DataRegularSeason20242025!$AB$3:$AB$1315,DataRegularSeason20242025!$B$3:$B$1315, "&lt;=" &amp; N$1, DataRegularSeason20242025!$E$3:$E$1315, $A48)</f>
        <v>4</v>
      </c>
      <c r="O48">
        <f>SUMIFS(DataRegularSeason20242025!$AA$3:$AA$1315,DataRegularSeason20242025!$B$3:$B$1315, "&lt;=" &amp; O$1, DataRegularSeason20242025!$D$3:$D$1315, $A48)+SUMIFS(DataRegularSeason20242025!$AB$3:$AB$1315,DataRegularSeason20242025!$B$3:$B$1315, "&lt;=" &amp; O$1, DataRegularSeason20242025!$E$3:$E$1315, $A48)</f>
        <v>4</v>
      </c>
      <c r="P48">
        <f>SUMIFS(DataRegularSeason20242025!$AA$3:$AA$1315,DataRegularSeason20242025!$B$3:$B$1315, "&lt;=" &amp; P$1, DataRegularSeason20242025!$D$3:$D$1315, $A48)+SUMIFS(DataRegularSeason20242025!$AB$3:$AB$1315,DataRegularSeason20242025!$B$3:$B$1315, "&lt;=" &amp; P$1, DataRegularSeason20242025!$E$3:$E$1315, $A48)</f>
        <v>4</v>
      </c>
      <c r="Q48">
        <f>SUMIFS(DataRegularSeason20242025!$AA$3:$AA$1315,DataRegularSeason20242025!$B$3:$B$1315, "&lt;=" &amp; Q$1, DataRegularSeason20242025!$D$3:$D$1315, $A48)+SUMIFS(DataRegularSeason20242025!$AB$3:$AB$1315,DataRegularSeason20242025!$B$3:$B$1315, "&lt;=" &amp; Q$1, DataRegularSeason20242025!$E$3:$E$1315, $A48)</f>
        <v>6</v>
      </c>
      <c r="R48">
        <f>SUMIFS(DataRegularSeason20242025!$AA$3:$AA$1315,DataRegularSeason20242025!$B$3:$B$1315, "&lt;=" &amp; R$1, DataRegularSeason20242025!$D$3:$D$1315, $A48)+SUMIFS(DataRegularSeason20242025!$AB$3:$AB$1315,DataRegularSeason20242025!$B$3:$B$1315, "&lt;=" &amp; R$1, DataRegularSeason20242025!$E$3:$E$1315, $A48)</f>
        <v>6</v>
      </c>
      <c r="S48">
        <f>SUMIFS(DataRegularSeason20242025!$AA$3:$AA$1315,DataRegularSeason20242025!$B$3:$B$1315, "&lt;=" &amp; S$1, DataRegularSeason20242025!$D$3:$D$1315, $A48)+SUMIFS(DataRegularSeason20242025!$AB$3:$AB$1315,DataRegularSeason20242025!$B$3:$B$1315, "&lt;=" &amp; S$1, DataRegularSeason20242025!$E$3:$E$1315, $A48)</f>
        <v>8</v>
      </c>
      <c r="T48">
        <f>SUMIFS(DataRegularSeason20242025!$AA$3:$AA$1315,DataRegularSeason20242025!$B$3:$B$1315, "&lt;=" &amp; T$1, DataRegularSeason20242025!$D$3:$D$1315, $A48)+SUMIFS(DataRegularSeason20242025!$AB$3:$AB$1315,DataRegularSeason20242025!$B$3:$B$1315, "&lt;=" &amp; T$1, DataRegularSeason20242025!$E$3:$E$1315, $A48)</f>
        <v>8</v>
      </c>
      <c r="U48">
        <f>SUMIFS(DataRegularSeason20242025!$AA$3:$AA$1315,DataRegularSeason20242025!$B$3:$B$1315, "&lt;=" &amp; U$1, DataRegularSeason20242025!$D$3:$D$1315, $A48)+SUMIFS(DataRegularSeason20242025!$AB$3:$AB$1315,DataRegularSeason20242025!$B$3:$B$1315, "&lt;=" &amp; U$1, DataRegularSeason20242025!$E$3:$E$1315, $A48)</f>
        <v>8</v>
      </c>
      <c r="V48">
        <f>SUMIFS(DataRegularSeason20242025!$AA$3:$AA$1315,DataRegularSeason20242025!$B$3:$B$1315, "&lt;=" &amp; V$1, DataRegularSeason20242025!$D$3:$D$1315, $A48)+SUMIFS(DataRegularSeason20242025!$AB$3:$AB$1315,DataRegularSeason20242025!$B$3:$B$1315, "&lt;=" &amp; V$1, DataRegularSeason20242025!$E$3:$E$1315, $A48)</f>
        <v>10</v>
      </c>
      <c r="W48">
        <f>SUMIFS(DataRegularSeason20242025!$AA$3:$AA$1315,DataRegularSeason20242025!$B$3:$B$1315, "&lt;=" &amp; W$1, DataRegularSeason20242025!$D$3:$D$1315, $A48)+SUMIFS(DataRegularSeason20242025!$AB$3:$AB$1315,DataRegularSeason20242025!$B$3:$B$1315, "&lt;=" &amp; W$1, DataRegularSeason20242025!$E$3:$E$1315, $A48)</f>
        <v>10</v>
      </c>
      <c r="X48">
        <f>SUMIFS(DataRegularSeason20242025!$AA$3:$AA$1315,DataRegularSeason20242025!$B$3:$B$1315, "&lt;=" &amp; X$1, DataRegularSeason20242025!$D$3:$D$1315, $A48)+SUMIFS(DataRegularSeason20242025!$AB$3:$AB$1315,DataRegularSeason20242025!$B$3:$B$1315, "&lt;=" &amp; X$1, DataRegularSeason20242025!$E$3:$E$1315, $A48)</f>
        <v>10</v>
      </c>
      <c r="Y48">
        <f>SUMIFS(DataRegularSeason20242025!$AA$3:$AA$1315,DataRegularSeason20242025!$B$3:$B$1315, "&lt;=" &amp; Y$1, DataRegularSeason20242025!$D$3:$D$1315, $A48)+SUMIFS(DataRegularSeason20242025!$AB$3:$AB$1315,DataRegularSeason20242025!$B$3:$B$1315, "&lt;=" &amp; Y$1, DataRegularSeason20242025!$E$3:$E$1315, $A48)</f>
        <v>10</v>
      </c>
      <c r="Z48">
        <f>SUMIFS(DataRegularSeason20242025!$AA$3:$AA$1315,DataRegularSeason20242025!$B$3:$B$1315, "&lt;=" &amp; Z$1, DataRegularSeason20242025!$D$3:$D$1315, $A48)+SUMIFS(DataRegularSeason20242025!$AB$3:$AB$1315,DataRegularSeason20242025!$B$3:$B$1315, "&lt;=" &amp; Z$1, DataRegularSeason20242025!$E$3:$E$1315, $A48)</f>
        <v>10</v>
      </c>
      <c r="AA48">
        <f>SUMIFS(DataRegularSeason20242025!$AA$3:$AA$1315,DataRegularSeason20242025!$B$3:$B$1315, "&lt;=" &amp; AA$1, DataRegularSeason20242025!$D$3:$D$1315, $A48)+SUMIFS(DataRegularSeason20242025!$AB$3:$AB$1315,DataRegularSeason20242025!$B$3:$B$1315, "&lt;=" &amp; AA$1, DataRegularSeason20242025!$E$3:$E$1315, $A48)</f>
        <v>10</v>
      </c>
      <c r="AB48">
        <f>SUMIFS(DataRegularSeason20242025!$AA$3:$AA$1315,DataRegularSeason20242025!$B$3:$B$1315, "&lt;=" &amp; AB$1, DataRegularSeason20242025!$D$3:$D$1315, $A48)+SUMIFS(DataRegularSeason20242025!$AB$3:$AB$1315,DataRegularSeason20242025!$B$3:$B$1315, "&lt;=" &amp; AB$1, DataRegularSeason20242025!$E$3:$E$1315, $A48)</f>
        <v>10</v>
      </c>
      <c r="AC48">
        <f>SUMIFS(DataRegularSeason20242025!$AA$3:$AA$1315,DataRegularSeason20242025!$B$3:$B$1315, "&lt;=" &amp; AC$1, DataRegularSeason20242025!$D$3:$D$1315, $A48)+SUMIFS(DataRegularSeason20242025!$AB$3:$AB$1315,DataRegularSeason20242025!$B$3:$B$1315, "&lt;=" &amp; AC$1, DataRegularSeason20242025!$E$3:$E$1315, $A48)</f>
        <v>10</v>
      </c>
      <c r="AD48">
        <f>SUMIFS(DataRegularSeason20242025!$AA$3:$AA$1315,DataRegularSeason20242025!$B$3:$B$1315, "&lt;=" &amp; AD$1, DataRegularSeason20242025!$D$3:$D$1315, $A48)+SUMIFS(DataRegularSeason20242025!$AB$3:$AB$1315,DataRegularSeason20242025!$B$3:$B$1315, "&lt;=" &amp; AD$1, DataRegularSeason20242025!$E$3:$E$1315, $A48)</f>
        <v>10</v>
      </c>
      <c r="AE48">
        <f>SUMIFS(DataRegularSeason20242025!$AA$3:$AA$1315,DataRegularSeason20242025!$B$3:$B$1315, "&lt;=" &amp; AE$1, DataRegularSeason20242025!$D$3:$D$1315, $A48)+SUMIFS(DataRegularSeason20242025!$AB$3:$AB$1315,DataRegularSeason20242025!$B$3:$B$1315, "&lt;=" &amp; AE$1, DataRegularSeason20242025!$E$3:$E$1315, $A48)</f>
        <v>10</v>
      </c>
      <c r="AF48">
        <f>SUMIFS(DataRegularSeason20242025!$AA$3:$AA$1315,DataRegularSeason20242025!$B$3:$B$1315, "&lt;=" &amp; AF$1, DataRegularSeason20242025!$D$3:$D$1315, $A48)+SUMIFS(DataRegularSeason20242025!$AB$3:$AB$1315,DataRegularSeason20242025!$B$3:$B$1315, "&lt;=" &amp; AF$1, DataRegularSeason20242025!$E$3:$E$1315, $A48)</f>
        <v>10</v>
      </c>
      <c r="AG48">
        <f>SUMIFS(DataRegularSeason20242025!$AA$3:$AA$1315,DataRegularSeason20242025!$B$3:$B$1315, "&lt;=" &amp; AG$1, DataRegularSeason20242025!$D$3:$D$1315, $A48)+SUMIFS(DataRegularSeason20242025!$AB$3:$AB$1315,DataRegularSeason20242025!$B$3:$B$1315, "&lt;=" &amp; AG$1, DataRegularSeason20242025!$E$3:$E$1315, $A48)</f>
        <v>10</v>
      </c>
      <c r="AH48">
        <f>SUMIFS(DataRegularSeason20242025!$AA$3:$AA$1315,DataRegularSeason20242025!$B$3:$B$1315, "&lt;=" &amp; AH$1, DataRegularSeason20242025!$D$3:$D$1315, $A48)+SUMIFS(DataRegularSeason20242025!$AB$3:$AB$1315,DataRegularSeason20242025!$B$3:$B$1315, "&lt;=" &amp; AH$1, DataRegularSeason20242025!$E$3:$E$1315, $A48)</f>
        <v>10</v>
      </c>
      <c r="AI48">
        <f>SUMIFS(DataRegularSeason20242025!$AA$3:$AA$1315,DataRegularSeason20242025!$B$3:$B$1315, "&lt;=" &amp; AI$1, DataRegularSeason20242025!$D$3:$D$1315, $A48)+SUMIFS(DataRegularSeason20242025!$AB$3:$AB$1315,DataRegularSeason20242025!$B$3:$B$1315, "&lt;=" &amp; AI$1, DataRegularSeason20242025!$E$3:$E$1315, $A48)</f>
        <v>10</v>
      </c>
      <c r="AJ48">
        <f>SUMIFS(DataRegularSeason20242025!$AA$3:$AA$1315,DataRegularSeason20242025!$B$3:$B$1315, "&lt;=" &amp; AJ$1, DataRegularSeason20242025!$D$3:$D$1315, $A48)+SUMIFS(DataRegularSeason20242025!$AB$3:$AB$1315,DataRegularSeason20242025!$B$3:$B$1315, "&lt;=" &amp; AJ$1, DataRegularSeason20242025!$E$3:$E$1315, $A48)</f>
        <v>10</v>
      </c>
      <c r="AK48">
        <f>SUMIFS(DataRegularSeason20242025!$AA$3:$AA$1315,DataRegularSeason20242025!$B$3:$B$1315, "&lt;=" &amp; AK$1, DataRegularSeason20242025!$D$3:$D$1315, $A48)+SUMIFS(DataRegularSeason20242025!$AB$3:$AB$1315,DataRegularSeason20242025!$B$3:$B$1315, "&lt;=" &amp; AK$1, DataRegularSeason20242025!$E$3:$E$1315, $A48)</f>
        <v>10</v>
      </c>
      <c r="AL48">
        <f>SUMIFS(DataRegularSeason20242025!$AA$3:$AA$1315,DataRegularSeason20242025!$B$3:$B$1315, "&lt;=" &amp; AL$1, DataRegularSeason20242025!$D$3:$D$1315, $A48)+SUMIFS(DataRegularSeason20242025!$AB$3:$AB$1315,DataRegularSeason20242025!$B$3:$B$1315, "&lt;=" &amp; AL$1, DataRegularSeason20242025!$E$3:$E$1315, $A48)</f>
        <v>10</v>
      </c>
      <c r="AM48">
        <f>SUMIFS(DataRegularSeason20242025!$AA$3:$AA$1315,DataRegularSeason20242025!$B$3:$B$1315, "&lt;=" &amp; AM$1, DataRegularSeason20242025!$D$3:$D$1315, $A48)+SUMIFS(DataRegularSeason20242025!$AB$3:$AB$1315,DataRegularSeason20242025!$B$3:$B$1315, "&lt;=" &amp; AM$1, DataRegularSeason20242025!$E$3:$E$1315, $A48)</f>
        <v>10</v>
      </c>
      <c r="AN48">
        <f>SUMIFS(DataRegularSeason20242025!$AA$3:$AA$1315,DataRegularSeason20242025!$B$3:$B$1315, "&lt;=" &amp; AN$1, DataRegularSeason20242025!$D$3:$D$1315, $A48)+SUMIFS(DataRegularSeason20242025!$AB$3:$AB$1315,DataRegularSeason20242025!$B$3:$B$1315, "&lt;=" &amp; AN$1, DataRegularSeason20242025!$E$3:$E$1315, $A48)</f>
        <v>10</v>
      </c>
      <c r="AO48">
        <f>SUMIFS(DataRegularSeason20242025!$AA$3:$AA$1315,DataRegularSeason20242025!$B$3:$B$1315, "&lt;=" &amp; AO$1, DataRegularSeason20242025!$D$3:$D$1315, $A48)+SUMIFS(DataRegularSeason20242025!$AB$3:$AB$1315,DataRegularSeason20242025!$B$3:$B$1315, "&lt;=" &amp; AO$1, DataRegularSeason20242025!$E$3:$E$1315, $A48)</f>
        <v>10</v>
      </c>
      <c r="AP48">
        <f>SUMIFS(DataRegularSeason20242025!$AA$3:$AA$1315,DataRegularSeason20242025!$B$3:$B$1315, "&lt;=" &amp; AP$1, DataRegularSeason20242025!$D$3:$D$1315, $A48)+SUMIFS(DataRegularSeason20242025!$AB$3:$AB$1315,DataRegularSeason20242025!$B$3:$B$1315, "&lt;=" &amp; AP$1, DataRegularSeason20242025!$E$3:$E$1315, $A48)</f>
        <v>10</v>
      </c>
      <c r="AQ48">
        <f>SUMIFS(DataRegularSeason20242025!$AA$3:$AA$1315,DataRegularSeason20242025!$B$3:$B$1315, "&lt;=" &amp; AQ$1, DataRegularSeason20242025!$D$3:$D$1315, $A48)+SUMIFS(DataRegularSeason20242025!$AB$3:$AB$1315,DataRegularSeason20242025!$B$3:$B$1315, "&lt;=" &amp; AQ$1, DataRegularSeason20242025!$E$3:$E$1315, $A48)</f>
        <v>10</v>
      </c>
      <c r="AR48">
        <f>SUMIFS(DataRegularSeason20242025!$AA$3:$AA$1315,DataRegularSeason20242025!$B$3:$B$1315, "&lt;=" &amp; AR$1, DataRegularSeason20242025!$D$3:$D$1315, $A48)+SUMIFS(DataRegularSeason20242025!$AB$3:$AB$1315,DataRegularSeason20242025!$B$3:$B$1315, "&lt;=" &amp; AR$1, DataRegularSeason20242025!$E$3:$E$1315, $A48)</f>
        <v>10</v>
      </c>
      <c r="AS48">
        <f>SUMIFS(DataRegularSeason20242025!$AA$3:$AA$1315,DataRegularSeason20242025!$B$3:$B$1315, "&lt;=" &amp; AS$1, DataRegularSeason20242025!$D$3:$D$1315, $A48)+SUMIFS(DataRegularSeason20242025!$AB$3:$AB$1315,DataRegularSeason20242025!$B$3:$B$1315, "&lt;=" &amp; AS$1, DataRegularSeason20242025!$E$3:$E$1315, $A48)</f>
        <v>10</v>
      </c>
      <c r="AT48">
        <f>SUMIFS(DataRegularSeason20242025!$AA$3:$AA$1315,DataRegularSeason20242025!$B$3:$B$1315, "&lt;=" &amp; AT$1, DataRegularSeason20242025!$D$3:$D$1315, $A48)+SUMIFS(DataRegularSeason20242025!$AB$3:$AB$1315,DataRegularSeason20242025!$B$3:$B$1315, "&lt;=" &amp; AT$1, DataRegularSeason20242025!$E$3:$E$1315, $A48)</f>
        <v>10</v>
      </c>
      <c r="AU48">
        <f>SUMIFS(DataRegularSeason20242025!$AA$3:$AA$1315,DataRegularSeason20242025!$B$3:$B$1315, "&lt;=" &amp; AU$1, DataRegularSeason20242025!$D$3:$D$1315, $A48)+SUMIFS(DataRegularSeason20242025!$AB$3:$AB$1315,DataRegularSeason20242025!$B$3:$B$1315, "&lt;=" &amp; AU$1, DataRegularSeason20242025!$E$3:$E$1315, $A48)</f>
        <v>10</v>
      </c>
      <c r="AV48">
        <f>SUMIFS(DataRegularSeason20242025!$AA$3:$AA$1315,DataRegularSeason20242025!$B$3:$B$1315, "&lt;=" &amp; AV$1, DataRegularSeason20242025!$D$3:$D$1315, $A48)+SUMIFS(DataRegularSeason20242025!$AB$3:$AB$1315,DataRegularSeason20242025!$B$3:$B$1315, "&lt;=" &amp; AV$1, DataRegularSeason20242025!$E$3:$E$1315, $A48)</f>
        <v>10</v>
      </c>
      <c r="AW48">
        <f>SUMIFS(DataRegularSeason20242025!$AA$3:$AA$1315,DataRegularSeason20242025!$B$3:$B$1315, "&lt;=" &amp; AW$1, DataRegularSeason20242025!$D$3:$D$1315, $A48)+SUMIFS(DataRegularSeason20242025!$AB$3:$AB$1315,DataRegularSeason20242025!$B$3:$B$1315, "&lt;=" &amp; AW$1, DataRegularSeason20242025!$E$3:$E$1315, $A48)</f>
        <v>10</v>
      </c>
      <c r="AX48">
        <f>SUMIFS(DataRegularSeason20242025!$AA$3:$AA$1315,DataRegularSeason20242025!$B$3:$B$1315, "&lt;=" &amp; AX$1, DataRegularSeason20242025!$D$3:$D$1315, $A48)+SUMIFS(DataRegularSeason20242025!$AB$3:$AB$1315,DataRegularSeason20242025!$B$3:$B$1315, "&lt;=" &amp; AX$1, DataRegularSeason20242025!$E$3:$E$1315, $A48)</f>
        <v>10</v>
      </c>
      <c r="AY48">
        <f>SUMIFS(DataRegularSeason20242025!$AA$3:$AA$1315,DataRegularSeason20242025!$B$3:$B$1315, "&lt;=" &amp; AY$1, DataRegularSeason20242025!$D$3:$D$1315, $A48)+SUMIFS(DataRegularSeason20242025!$AB$3:$AB$1315,DataRegularSeason20242025!$B$3:$B$1315, "&lt;=" &amp; AY$1, DataRegularSeason20242025!$E$3:$E$1315, $A48)</f>
        <v>10</v>
      </c>
      <c r="AZ48">
        <f>SUMIFS(DataRegularSeason20242025!$AA$3:$AA$1315,DataRegularSeason20242025!$B$3:$B$1315, "&lt;=" &amp; AZ$1, DataRegularSeason20242025!$D$3:$D$1315, $A48)+SUMIFS(DataRegularSeason20242025!$AB$3:$AB$1315,DataRegularSeason20242025!$B$3:$B$1315, "&lt;=" &amp; AZ$1, DataRegularSeason20242025!$E$3:$E$1315, $A48)</f>
        <v>10</v>
      </c>
      <c r="BA48">
        <f>SUMIFS(DataRegularSeason20242025!$AA$3:$AA$1315,DataRegularSeason20242025!$B$3:$B$1315, "&lt;=" &amp; BA$1, DataRegularSeason20242025!$D$3:$D$1315, $A48)+SUMIFS(DataRegularSeason20242025!$AB$3:$AB$1315,DataRegularSeason20242025!$B$3:$B$1315, "&lt;=" &amp; BA$1, DataRegularSeason20242025!$E$3:$E$1315, $A48)</f>
        <v>10</v>
      </c>
      <c r="BB48">
        <f>SUMIFS(DataRegularSeason20242025!$AA$3:$AA$1315,DataRegularSeason20242025!$B$3:$B$1315, "&lt;=" &amp; BB$1, DataRegularSeason20242025!$D$3:$D$1315, $A48)+SUMIFS(DataRegularSeason20242025!$AB$3:$AB$1315,DataRegularSeason20242025!$B$3:$B$1315, "&lt;=" &amp; BB$1, DataRegularSeason20242025!$E$3:$E$1315, $A48)</f>
        <v>10</v>
      </c>
      <c r="BC48">
        <f>SUMIFS(DataRegularSeason20242025!$AA$3:$AA$1315,DataRegularSeason20242025!$B$3:$B$1315, "&lt;=" &amp; BC$1, DataRegularSeason20242025!$D$3:$D$1315, $A48)+SUMIFS(DataRegularSeason20242025!$AB$3:$AB$1315,DataRegularSeason20242025!$B$3:$B$1315, "&lt;=" &amp; BC$1, DataRegularSeason20242025!$E$3:$E$1315, $A48)</f>
        <v>10</v>
      </c>
      <c r="BD48">
        <f>SUMIFS(DataRegularSeason20242025!$AA$3:$AA$1315,DataRegularSeason20242025!$B$3:$B$1315, "&lt;=" &amp; BD$1, DataRegularSeason20242025!$D$3:$D$1315, $A48)+SUMIFS(DataRegularSeason20242025!$AB$3:$AB$1315,DataRegularSeason20242025!$B$3:$B$1315, "&lt;=" &amp; BD$1, DataRegularSeason20242025!$E$3:$E$1315, $A48)</f>
        <v>10</v>
      </c>
      <c r="BE48">
        <f>SUMIFS(DataRegularSeason20242025!$AA$3:$AA$1315,DataRegularSeason20242025!$B$3:$B$1315, "&lt;=" &amp; BE$1, DataRegularSeason20242025!$D$3:$D$1315, $A48)+SUMIFS(DataRegularSeason20242025!$AB$3:$AB$1315,DataRegularSeason20242025!$B$3:$B$1315, "&lt;=" &amp; BE$1, DataRegularSeason20242025!$E$3:$E$1315, $A48)</f>
        <v>10</v>
      </c>
      <c r="BF48">
        <f>SUMIFS(DataRegularSeason20242025!$AA$3:$AA$1315,DataRegularSeason20242025!$B$3:$B$1315, "&lt;=" &amp; BF$1, DataRegularSeason20242025!$D$3:$D$1315, $A48)+SUMIFS(DataRegularSeason20242025!$AB$3:$AB$1315,DataRegularSeason20242025!$B$3:$B$1315, "&lt;=" &amp; BF$1, DataRegularSeason20242025!$E$3:$E$1315, $A48)</f>
        <v>10</v>
      </c>
      <c r="BG48">
        <f>SUMIFS(DataRegularSeason20242025!$AA$3:$AA$1315,DataRegularSeason20242025!$B$3:$B$1315, "&lt;=" &amp; BG$1, DataRegularSeason20242025!$D$3:$D$1315, $A48)+SUMIFS(DataRegularSeason20242025!$AB$3:$AB$1315,DataRegularSeason20242025!$B$3:$B$1315, "&lt;=" &amp; BG$1, DataRegularSeason20242025!$E$3:$E$1315, $A48)</f>
        <v>10</v>
      </c>
      <c r="BH48">
        <f>SUMIFS(DataRegularSeason20242025!$AA$3:$AA$1315,DataRegularSeason20242025!$B$3:$B$1315, "&lt;=" &amp; BH$1, DataRegularSeason20242025!$D$3:$D$1315, $A48)+SUMIFS(DataRegularSeason20242025!$AB$3:$AB$1315,DataRegularSeason20242025!$B$3:$B$1315, "&lt;=" &amp; BH$1, DataRegularSeason20242025!$E$3:$E$1315, $A48)</f>
        <v>10</v>
      </c>
      <c r="BI48">
        <f>SUMIFS(DataRegularSeason20242025!$AA$3:$AA$1315,DataRegularSeason20242025!$B$3:$B$1315, "&lt;=" &amp; BI$1, DataRegularSeason20242025!$D$3:$D$1315, $A48)+SUMIFS(DataRegularSeason20242025!$AB$3:$AB$1315,DataRegularSeason20242025!$B$3:$B$1315, "&lt;=" &amp; BI$1, DataRegularSeason20242025!$E$3:$E$1315, $A48)</f>
        <v>10</v>
      </c>
      <c r="BJ48">
        <f>SUMIFS(DataRegularSeason20242025!$AA$3:$AA$1315,DataRegularSeason20242025!$B$3:$B$1315, "&lt;=" &amp; BJ$1, DataRegularSeason20242025!$D$3:$D$1315, $A48)+SUMIFS(DataRegularSeason20242025!$AB$3:$AB$1315,DataRegularSeason20242025!$B$3:$B$1315, "&lt;=" &amp; BJ$1, DataRegularSeason20242025!$E$3:$E$1315, $A48)</f>
        <v>10</v>
      </c>
      <c r="BK48">
        <f>SUMIFS(DataRegularSeason20242025!$AA$3:$AA$1315,DataRegularSeason20242025!$B$3:$B$1315, "&lt;=" &amp; BK$1, DataRegularSeason20242025!$D$3:$D$1315, $A48)+SUMIFS(DataRegularSeason20242025!$AB$3:$AB$1315,DataRegularSeason20242025!$B$3:$B$1315, "&lt;=" &amp; BK$1, DataRegularSeason20242025!$E$3:$E$1315, $A48)</f>
        <v>10</v>
      </c>
      <c r="BL48">
        <f>SUMIFS(DataRegularSeason20242025!$AA$3:$AA$1315,DataRegularSeason20242025!$B$3:$B$1315, "&lt;=" &amp; BL$1, DataRegularSeason20242025!$D$3:$D$1315, $A48)+SUMIFS(DataRegularSeason20242025!$AB$3:$AB$1315,DataRegularSeason20242025!$B$3:$B$1315, "&lt;=" &amp; BL$1, DataRegularSeason20242025!$E$3:$E$1315, $A48)</f>
        <v>10</v>
      </c>
      <c r="BM48">
        <f>SUMIFS(DataRegularSeason20242025!$AA$3:$AA$1315,DataRegularSeason20242025!$B$3:$B$1315, "&lt;=" &amp; BM$1, DataRegularSeason20242025!$D$3:$D$1315, $A48)+SUMIFS(DataRegularSeason20242025!$AB$3:$AB$1315,DataRegularSeason20242025!$B$3:$B$1315, "&lt;=" &amp; BM$1, DataRegularSeason20242025!$E$3:$E$1315, $A48)</f>
        <v>10</v>
      </c>
      <c r="BN48">
        <f>SUMIFS(DataRegularSeason20242025!$AA$3:$AA$1315,DataRegularSeason20242025!$B$3:$B$1315, "&lt;=" &amp; BN$1, DataRegularSeason20242025!$D$3:$D$1315, $A48)+SUMIFS(DataRegularSeason20242025!$AB$3:$AB$1315,DataRegularSeason20242025!$B$3:$B$1315, "&lt;=" &amp; BN$1, DataRegularSeason20242025!$E$3:$E$1315, $A48)</f>
        <v>10</v>
      </c>
      <c r="BO48">
        <f>SUMIFS(DataRegularSeason20242025!$AA$3:$AA$1315,DataRegularSeason20242025!$B$3:$B$1315, "&lt;=" &amp; BO$1, DataRegularSeason20242025!$D$3:$D$1315, $A48)+SUMIFS(DataRegularSeason20242025!$AB$3:$AB$1315,DataRegularSeason20242025!$B$3:$B$1315, "&lt;=" &amp; BO$1, DataRegularSeason20242025!$E$3:$E$1315, $A48)</f>
        <v>10</v>
      </c>
      <c r="BP48">
        <f>SUMIFS(DataRegularSeason20242025!$AA$3:$AA$1315,DataRegularSeason20242025!$B$3:$B$1315, "&lt;=" &amp; BP$1, DataRegularSeason20242025!$D$3:$D$1315, $A48)+SUMIFS(DataRegularSeason20242025!$AB$3:$AB$1315,DataRegularSeason20242025!$B$3:$B$1315, "&lt;=" &amp; BP$1, DataRegularSeason20242025!$E$3:$E$1315, $A48)</f>
        <v>10</v>
      </c>
      <c r="BQ48">
        <f>SUMIFS(DataRegularSeason20242025!$AA$3:$AA$1315,DataRegularSeason20242025!$B$3:$B$1315, "&lt;=" &amp; BQ$1, DataRegularSeason20242025!$D$3:$D$1315, $A48)+SUMIFS(DataRegularSeason20242025!$AB$3:$AB$1315,DataRegularSeason20242025!$B$3:$B$1315, "&lt;=" &amp; BQ$1, DataRegularSeason20242025!$E$3:$E$1315, $A48)</f>
        <v>10</v>
      </c>
      <c r="BR48">
        <f>SUMIFS(DataRegularSeason20242025!$AA$3:$AA$1315,DataRegularSeason20242025!$B$3:$B$1315, "&lt;=" &amp; BR$1, DataRegularSeason20242025!$D$3:$D$1315, $A48)+SUMIFS(DataRegularSeason20242025!$AB$3:$AB$1315,DataRegularSeason20242025!$B$3:$B$1315, "&lt;=" &amp; BR$1, DataRegularSeason20242025!$E$3:$E$1315, $A48)</f>
        <v>10</v>
      </c>
      <c r="BS48">
        <f>SUMIFS(DataRegularSeason20242025!$AA$3:$AA$1315,DataRegularSeason20242025!$B$3:$B$1315, "&lt;=" &amp; BS$1, DataRegularSeason20242025!$D$3:$D$1315, $A48)+SUMIFS(DataRegularSeason20242025!$AB$3:$AB$1315,DataRegularSeason20242025!$B$3:$B$1315, "&lt;=" &amp; BS$1, DataRegularSeason20242025!$E$3:$E$1315, $A48)</f>
        <v>10</v>
      </c>
      <c r="BT48">
        <f>SUMIFS(DataRegularSeason20242025!$AA$3:$AA$1315,DataRegularSeason20242025!$B$3:$B$1315, "&lt;=" &amp; BT$1, DataRegularSeason20242025!$D$3:$D$1315, $A48)+SUMIFS(DataRegularSeason20242025!$AB$3:$AB$1315,DataRegularSeason20242025!$B$3:$B$1315, "&lt;=" &amp; BT$1, DataRegularSeason20242025!$E$3:$E$1315, $A48)</f>
        <v>10</v>
      </c>
      <c r="BU48">
        <f>SUMIFS(DataRegularSeason20242025!$AA$3:$AA$1315,DataRegularSeason20242025!$B$3:$B$1315, "&lt;=" &amp; BU$1, DataRegularSeason20242025!$D$3:$D$1315, $A48)+SUMIFS(DataRegularSeason20242025!$AB$3:$AB$1315,DataRegularSeason20242025!$B$3:$B$1315, "&lt;=" &amp; BU$1, DataRegularSeason20242025!$E$3:$E$1315, $A48)</f>
        <v>10</v>
      </c>
      <c r="BV48">
        <f>SUMIFS(DataRegularSeason20242025!$AA$3:$AA$1315,DataRegularSeason20242025!$B$3:$B$1315, "&lt;=" &amp; BV$1, DataRegularSeason20242025!$D$3:$D$1315, $A48)+SUMIFS(DataRegularSeason20242025!$AB$3:$AB$1315,DataRegularSeason20242025!$B$3:$B$1315, "&lt;=" &amp; BV$1, DataRegularSeason20242025!$E$3:$E$1315, $A48)</f>
        <v>10</v>
      </c>
      <c r="BW48">
        <f>SUMIFS(DataRegularSeason20242025!$AA$3:$AA$1315,DataRegularSeason20242025!$B$3:$B$1315, "&lt;=" &amp; BW$1, DataRegularSeason20242025!$D$3:$D$1315, $A48)+SUMIFS(DataRegularSeason20242025!$AB$3:$AB$1315,DataRegularSeason20242025!$B$3:$B$1315, "&lt;=" &amp; BW$1, DataRegularSeason20242025!$E$3:$E$1315, $A48)</f>
        <v>10</v>
      </c>
      <c r="BX48">
        <f>SUMIFS(DataRegularSeason20242025!$AA$3:$AA$1315,DataRegularSeason20242025!$B$3:$B$1315, "&lt;=" &amp; BX$1, DataRegularSeason20242025!$D$3:$D$1315, $A48)+SUMIFS(DataRegularSeason20242025!$AB$3:$AB$1315,DataRegularSeason20242025!$B$3:$B$1315, "&lt;=" &amp; BX$1, DataRegularSeason20242025!$E$3:$E$1315, $A48)</f>
        <v>10</v>
      </c>
      <c r="BY48">
        <f>SUMIFS(DataRegularSeason20242025!$AA$3:$AA$1315,DataRegularSeason20242025!$B$3:$B$1315, "&lt;=" &amp; BY$1, DataRegularSeason20242025!$D$3:$D$1315, $A48)+SUMIFS(DataRegularSeason20242025!$AB$3:$AB$1315,DataRegularSeason20242025!$B$3:$B$1315, "&lt;=" &amp; BY$1, DataRegularSeason20242025!$E$3:$E$1315, $A48)</f>
        <v>10</v>
      </c>
      <c r="BZ48">
        <f>SUMIFS(DataRegularSeason20242025!$AA$3:$AA$1315,DataRegularSeason20242025!$B$3:$B$1315, "&lt;=" &amp; BZ$1, DataRegularSeason20242025!$D$3:$D$1315, $A48)+SUMIFS(DataRegularSeason20242025!$AB$3:$AB$1315,DataRegularSeason20242025!$B$3:$B$1315, "&lt;=" &amp; BZ$1, DataRegularSeason20242025!$E$3:$E$1315, $A48)</f>
        <v>10</v>
      </c>
      <c r="CA48">
        <f>SUMIFS(DataRegularSeason20242025!$AA$3:$AA$1315,DataRegularSeason20242025!$B$3:$B$1315, "&lt;=" &amp; CA$1, DataRegularSeason20242025!$D$3:$D$1315, $A48)+SUMIFS(DataRegularSeason20242025!$AB$3:$AB$1315,DataRegularSeason20242025!$B$3:$B$1315, "&lt;=" &amp; CA$1, DataRegularSeason20242025!$E$3:$E$1315, $A48)</f>
        <v>10</v>
      </c>
      <c r="CB48">
        <f>SUMIFS(DataRegularSeason20242025!$AA$3:$AA$1315,DataRegularSeason20242025!$B$3:$B$1315, "&lt;=" &amp; CB$1, DataRegularSeason20242025!$D$3:$D$1315, $A48)+SUMIFS(DataRegularSeason20242025!$AB$3:$AB$1315,DataRegularSeason20242025!$B$3:$B$1315, "&lt;=" &amp; CB$1, DataRegularSeason20242025!$E$3:$E$1315, $A48)</f>
        <v>10</v>
      </c>
      <c r="CC48">
        <f>SUMIFS(DataRegularSeason20242025!$AA$3:$AA$1315,DataRegularSeason20242025!$B$3:$B$1315, "&lt;=" &amp; CC$1, DataRegularSeason20242025!$D$3:$D$1315, $A48)+SUMIFS(DataRegularSeason20242025!$AB$3:$AB$1315,DataRegularSeason20242025!$B$3:$B$1315, "&lt;=" &amp; CC$1, DataRegularSeason20242025!$E$3:$E$1315, $A48)</f>
        <v>10</v>
      </c>
      <c r="CD48">
        <f>SUMIFS(DataRegularSeason20242025!$AA$3:$AA$1315,DataRegularSeason20242025!$B$3:$B$1315, "&lt;=" &amp; CD$1, DataRegularSeason20242025!$D$3:$D$1315, $A48)+SUMIFS(DataRegularSeason20242025!$AB$3:$AB$1315,DataRegularSeason20242025!$B$3:$B$1315, "&lt;=" &amp; CD$1, DataRegularSeason20242025!$E$3:$E$1315, $A48)</f>
        <v>10</v>
      </c>
      <c r="CE48">
        <f>SUMIFS(DataRegularSeason20242025!$AA$3:$AA$1315,DataRegularSeason20242025!$B$3:$B$1315, "&lt;=" &amp; CE$1, DataRegularSeason20242025!$D$3:$D$1315, $A48)+SUMIFS(DataRegularSeason20242025!$AB$3:$AB$1315,DataRegularSeason20242025!$B$3:$B$1315, "&lt;=" &amp; CE$1, DataRegularSeason20242025!$E$3:$E$1315, $A48)</f>
        <v>10</v>
      </c>
      <c r="CF48">
        <f>SUMIFS(DataRegularSeason20242025!$AA$3:$AA$1315,DataRegularSeason20242025!$B$3:$B$1315, "&lt;=" &amp; CF$1, DataRegularSeason20242025!$D$3:$D$1315, $A48)+SUMIFS(DataRegularSeason20242025!$AB$3:$AB$1315,DataRegularSeason20242025!$B$3:$B$1315, "&lt;=" &amp; CF$1, DataRegularSeason20242025!$E$3:$E$1315, $A48)</f>
        <v>10</v>
      </c>
      <c r="CG48">
        <f>SUMIFS(DataRegularSeason20242025!$AA$3:$AA$1315,DataRegularSeason20242025!$B$3:$B$1315, "&lt;=" &amp; CG$1, DataRegularSeason20242025!$D$3:$D$1315, $A48)+SUMIFS(DataRegularSeason20242025!$AB$3:$AB$1315,DataRegularSeason20242025!$B$3:$B$1315, "&lt;=" &amp; CG$1, DataRegularSeason20242025!$E$3:$E$1315, $A48)</f>
        <v>10</v>
      </c>
      <c r="CH48">
        <f>SUMIFS(DataRegularSeason20242025!$AA$3:$AA$1315,DataRegularSeason20242025!$B$3:$B$1315, "&lt;=" &amp; CH$1, DataRegularSeason20242025!$D$3:$D$1315, $A48)+SUMIFS(DataRegularSeason20242025!$AB$3:$AB$1315,DataRegularSeason20242025!$B$3:$B$1315, "&lt;=" &amp; CH$1, DataRegularSeason20242025!$E$3:$E$1315, $A48)</f>
        <v>10</v>
      </c>
      <c r="CI48">
        <f>SUMIFS(DataRegularSeason20242025!$AA$3:$AA$1315,DataRegularSeason20242025!$B$3:$B$1315, "&lt;=" &amp; CI$1, DataRegularSeason20242025!$D$3:$D$1315, $A48)+SUMIFS(DataRegularSeason20242025!$AB$3:$AB$1315,DataRegularSeason20242025!$B$3:$B$1315, "&lt;=" &amp; CI$1, DataRegularSeason20242025!$E$3:$E$1315, $A48)</f>
        <v>10</v>
      </c>
      <c r="CJ48">
        <f>SUMIFS(DataRegularSeason20242025!$AA$3:$AA$1315,DataRegularSeason20242025!$B$3:$B$1315, "&lt;=" &amp; CJ$1, DataRegularSeason20242025!$D$3:$D$1315, $A48)+SUMIFS(DataRegularSeason20242025!$AB$3:$AB$1315,DataRegularSeason20242025!$B$3:$B$1315, "&lt;=" &amp; CJ$1, DataRegularSeason20242025!$E$3:$E$1315, $A48)</f>
        <v>10</v>
      </c>
      <c r="CK48">
        <f>SUMIFS(DataRegularSeason20242025!$AA$3:$AA$1315,DataRegularSeason20242025!$B$3:$B$1315, "&lt;=" &amp; CK$1, DataRegularSeason20242025!$D$3:$D$1315, $A48)+SUMIFS(DataRegularSeason20242025!$AB$3:$AB$1315,DataRegularSeason20242025!$B$3:$B$1315, "&lt;=" &amp; CK$1, DataRegularSeason20242025!$E$3:$E$1315, $A48)</f>
        <v>10</v>
      </c>
      <c r="CL48">
        <f>SUMIFS(DataRegularSeason20242025!$AA$3:$AA$1315,DataRegularSeason20242025!$B$3:$B$1315, "&lt;=" &amp; CL$1, DataRegularSeason20242025!$D$3:$D$1315, $A48)+SUMIFS(DataRegularSeason20242025!$AB$3:$AB$1315,DataRegularSeason20242025!$B$3:$B$1315, "&lt;=" &amp; CL$1, DataRegularSeason20242025!$E$3:$E$1315, $A48)</f>
        <v>10</v>
      </c>
      <c r="CM48">
        <f>SUMIFS(DataRegularSeason20242025!$AA$3:$AA$1315,DataRegularSeason20242025!$B$3:$B$1315, "&lt;=" &amp; CM$1, DataRegularSeason20242025!$D$3:$D$1315, $A48)+SUMIFS(DataRegularSeason20242025!$AB$3:$AB$1315,DataRegularSeason20242025!$B$3:$B$1315, "&lt;=" &amp; CM$1, DataRegularSeason20242025!$E$3:$E$1315, $A48)</f>
        <v>10</v>
      </c>
      <c r="CN48">
        <f>SUMIFS(DataRegularSeason20242025!$AA$3:$AA$1315,DataRegularSeason20242025!$B$3:$B$1315, "&lt;=" &amp; CN$1, DataRegularSeason20242025!$D$3:$D$1315, $A48)+SUMIFS(DataRegularSeason20242025!$AB$3:$AB$1315,DataRegularSeason20242025!$B$3:$B$1315, "&lt;=" &amp; CN$1, DataRegularSeason20242025!$E$3:$E$1315, $A48)</f>
        <v>10</v>
      </c>
      <c r="CO48">
        <f>SUMIFS(DataRegularSeason20242025!$AA$3:$AA$1315,DataRegularSeason20242025!$B$3:$B$1315, "&lt;=" &amp; CO$1, DataRegularSeason20242025!$D$3:$D$1315, $A48)+SUMIFS(DataRegularSeason20242025!$AB$3:$AB$1315,DataRegularSeason20242025!$B$3:$B$1315, "&lt;=" &amp; CO$1, DataRegularSeason20242025!$E$3:$E$1315, $A48)</f>
        <v>10</v>
      </c>
      <c r="CP48">
        <f>SUMIFS(DataRegularSeason20242025!$AA$3:$AA$1315,DataRegularSeason20242025!$B$3:$B$1315, "&lt;=" &amp; CP$1, DataRegularSeason20242025!$D$3:$D$1315, $A48)+SUMIFS(DataRegularSeason20242025!$AB$3:$AB$1315,DataRegularSeason20242025!$B$3:$B$1315, "&lt;=" &amp; CP$1, DataRegularSeason20242025!$E$3:$E$1315, $A48)</f>
        <v>10</v>
      </c>
      <c r="CQ48">
        <f>SUMIFS(DataRegularSeason20242025!$AA$3:$AA$1315,DataRegularSeason20242025!$B$3:$B$1315, "&lt;=" &amp; CQ$1, DataRegularSeason20242025!$D$3:$D$1315, $A48)+SUMIFS(DataRegularSeason20242025!$AB$3:$AB$1315,DataRegularSeason20242025!$B$3:$B$1315, "&lt;=" &amp; CQ$1, DataRegularSeason20242025!$E$3:$E$1315, $A48)</f>
        <v>10</v>
      </c>
      <c r="CR48">
        <f>SUMIFS(DataRegularSeason20242025!$AA$3:$AA$1315,DataRegularSeason20242025!$B$3:$B$1315, "&lt;=" &amp; CR$1, DataRegularSeason20242025!$D$3:$D$1315, $A48)+SUMIFS(DataRegularSeason20242025!$AB$3:$AB$1315,DataRegularSeason20242025!$B$3:$B$1315, "&lt;=" &amp; CR$1, DataRegularSeason20242025!$E$3:$E$1315, $A48)</f>
        <v>10</v>
      </c>
      <c r="CS48">
        <f>SUMIFS(DataRegularSeason20242025!$AA$3:$AA$1315,DataRegularSeason20242025!$B$3:$B$1315, "&lt;=" &amp; CS$1, DataRegularSeason20242025!$D$3:$D$1315, $A48)+SUMIFS(DataRegularSeason20242025!$AB$3:$AB$1315,DataRegularSeason20242025!$B$3:$B$1315, "&lt;=" &amp; CS$1, DataRegularSeason20242025!$E$3:$E$1315, $A48)</f>
        <v>10</v>
      </c>
      <c r="CT48">
        <f>SUMIFS(DataRegularSeason20242025!$AA$3:$AA$1315,DataRegularSeason20242025!$B$3:$B$1315, "&lt;=" &amp; CT$1, DataRegularSeason20242025!$D$3:$D$1315, $A48)+SUMIFS(DataRegularSeason20242025!$AB$3:$AB$1315,DataRegularSeason20242025!$B$3:$B$1315, "&lt;=" &amp; CT$1, DataRegularSeason20242025!$E$3:$E$1315, $A48)</f>
        <v>10</v>
      </c>
      <c r="CU48">
        <f>SUMIFS(DataRegularSeason20242025!$AA$3:$AA$1315,DataRegularSeason20242025!$B$3:$B$1315, "&lt;=" &amp; CU$1, DataRegularSeason20242025!$D$3:$D$1315, $A48)+SUMIFS(DataRegularSeason20242025!$AB$3:$AB$1315,DataRegularSeason20242025!$B$3:$B$1315, "&lt;=" &amp; CU$1, DataRegularSeason20242025!$E$3:$E$1315, $A48)</f>
        <v>10</v>
      </c>
      <c r="CV48">
        <f>SUMIFS(DataRegularSeason20242025!$AA$3:$AA$1315,DataRegularSeason20242025!$B$3:$B$1315, "&lt;=" &amp; CV$1, DataRegularSeason20242025!$D$3:$D$1315, $A48)+SUMIFS(DataRegularSeason20242025!$AB$3:$AB$1315,DataRegularSeason20242025!$B$3:$B$1315, "&lt;=" &amp; CV$1, DataRegularSeason20242025!$E$3:$E$1315, $A48)</f>
        <v>10</v>
      </c>
      <c r="CW48">
        <f>SUMIFS(DataRegularSeason20242025!$AA$3:$AA$1315,DataRegularSeason20242025!$B$3:$B$1315, "&lt;=" &amp; CW$1, DataRegularSeason20242025!$D$3:$D$1315, $A48)+SUMIFS(DataRegularSeason20242025!$AB$3:$AB$1315,DataRegularSeason20242025!$B$3:$B$1315, "&lt;=" &amp; CW$1, DataRegularSeason20242025!$E$3:$E$1315, $A48)</f>
        <v>10</v>
      </c>
      <c r="CX48">
        <f>SUMIFS(DataRegularSeason20242025!$AA$3:$AA$1315,DataRegularSeason20242025!$B$3:$B$1315, "&lt;=" &amp; CX$1, DataRegularSeason20242025!$D$3:$D$1315, $A48)+SUMIFS(DataRegularSeason20242025!$AB$3:$AB$1315,DataRegularSeason20242025!$B$3:$B$1315, "&lt;=" &amp; CX$1, DataRegularSeason20242025!$E$3:$E$1315, $A48)</f>
        <v>10</v>
      </c>
      <c r="CY48">
        <f>SUMIFS(DataRegularSeason20242025!$AA$3:$AA$1315,DataRegularSeason20242025!$B$3:$B$1315, "&lt;=" &amp; CY$1, DataRegularSeason20242025!$D$3:$D$1315, $A48)+SUMIFS(DataRegularSeason20242025!$AB$3:$AB$1315,DataRegularSeason20242025!$B$3:$B$1315, "&lt;=" &amp; CY$1, DataRegularSeason20242025!$E$3:$E$1315, $A48)</f>
        <v>10</v>
      </c>
      <c r="CZ48">
        <f>SUMIFS(DataRegularSeason20242025!$AA$3:$AA$1315,DataRegularSeason20242025!$B$3:$B$1315, "&lt;=" &amp; CZ$1, DataRegularSeason20242025!$D$3:$D$1315, $A48)+SUMIFS(DataRegularSeason20242025!$AB$3:$AB$1315,DataRegularSeason20242025!$B$3:$B$1315, "&lt;=" &amp; CZ$1, DataRegularSeason20242025!$E$3:$E$1315, $A48)</f>
        <v>10</v>
      </c>
      <c r="DA48">
        <f>SUMIFS(DataRegularSeason20242025!$AA$3:$AA$1315,DataRegularSeason20242025!$B$3:$B$1315, "&lt;=" &amp; DA$1, DataRegularSeason20242025!$D$3:$D$1315, $A48)+SUMIFS(DataRegularSeason20242025!$AB$3:$AB$1315,DataRegularSeason20242025!$B$3:$B$1315, "&lt;=" &amp; DA$1, DataRegularSeason20242025!$E$3:$E$1315, $A48)</f>
        <v>10</v>
      </c>
      <c r="DB48">
        <f>SUMIFS(DataRegularSeason20242025!$AA$3:$AA$1315,DataRegularSeason20242025!$B$3:$B$1315, "&lt;=" &amp; DB$1, DataRegularSeason20242025!$D$3:$D$1315, $A48)+SUMIFS(DataRegularSeason20242025!$AB$3:$AB$1315,DataRegularSeason20242025!$B$3:$B$1315, "&lt;=" &amp; DB$1, DataRegularSeason20242025!$E$3:$E$1315, $A48)</f>
        <v>10</v>
      </c>
      <c r="DC48">
        <f>SUMIFS(DataRegularSeason20242025!$AA$3:$AA$1315,DataRegularSeason20242025!$B$3:$B$1315, "&lt;=" &amp; DC$1, DataRegularSeason20242025!$D$3:$D$1315, $A48)+SUMIFS(DataRegularSeason20242025!$AB$3:$AB$1315,DataRegularSeason20242025!$B$3:$B$1315, "&lt;=" &amp; DC$1, DataRegularSeason20242025!$E$3:$E$1315, $A48)</f>
        <v>10</v>
      </c>
      <c r="DD48">
        <f>SUMIFS(DataRegularSeason20242025!$AA$3:$AA$1315,DataRegularSeason20242025!$B$3:$B$1315, "&lt;=" &amp; DD$1, DataRegularSeason20242025!$D$3:$D$1315, $A48)+SUMIFS(DataRegularSeason20242025!$AB$3:$AB$1315,DataRegularSeason20242025!$B$3:$B$1315, "&lt;=" &amp; DD$1, DataRegularSeason20242025!$E$3:$E$1315, $A48)</f>
        <v>10</v>
      </c>
      <c r="DE48">
        <f>SUMIFS(DataRegularSeason20242025!$AA$3:$AA$1315,DataRegularSeason20242025!$B$3:$B$1315, "&lt;=" &amp; DE$1, DataRegularSeason20242025!$D$3:$D$1315, $A48)+SUMIFS(DataRegularSeason20242025!$AB$3:$AB$1315,DataRegularSeason20242025!$B$3:$B$1315, "&lt;=" &amp; DE$1, DataRegularSeason20242025!$E$3:$E$1315, $A48)</f>
        <v>10</v>
      </c>
      <c r="DF48">
        <f>SUMIFS(DataRegularSeason20242025!$AA$3:$AA$1315,DataRegularSeason20242025!$B$3:$B$1315, "&lt;=" &amp; DF$1, DataRegularSeason20242025!$D$3:$D$1315, $A48)+SUMIFS(DataRegularSeason20242025!$AB$3:$AB$1315,DataRegularSeason20242025!$B$3:$B$1315, "&lt;=" &amp; DF$1, DataRegularSeason20242025!$E$3:$E$1315, $A48)</f>
        <v>10</v>
      </c>
      <c r="DG48">
        <f>SUMIFS(DataRegularSeason20242025!$AA$3:$AA$1315,DataRegularSeason20242025!$B$3:$B$1315, "&lt;=" &amp; DG$1, DataRegularSeason20242025!$D$3:$D$1315, $A48)+SUMIFS(DataRegularSeason20242025!$AB$3:$AB$1315,DataRegularSeason20242025!$B$3:$B$1315, "&lt;=" &amp; DG$1, DataRegularSeason20242025!$E$3:$E$1315, $A48)</f>
        <v>10</v>
      </c>
      <c r="DH48">
        <f>SUMIFS(DataRegularSeason20242025!$AA$3:$AA$1315,DataRegularSeason20242025!$B$3:$B$1315, "&lt;=" &amp; DH$1, DataRegularSeason20242025!$D$3:$D$1315, $A48)+SUMIFS(DataRegularSeason20242025!$AB$3:$AB$1315,DataRegularSeason20242025!$B$3:$B$1315, "&lt;=" &amp; DH$1, DataRegularSeason20242025!$E$3:$E$1315, $A48)</f>
        <v>10</v>
      </c>
      <c r="DI48">
        <f>SUMIFS(DataRegularSeason20242025!$AA$3:$AA$1315,DataRegularSeason20242025!$B$3:$B$1315, "&lt;=" &amp; DI$1, DataRegularSeason20242025!$D$3:$D$1315, $A48)+SUMIFS(DataRegularSeason20242025!$AB$3:$AB$1315,DataRegularSeason20242025!$B$3:$B$1315, "&lt;=" &amp; DI$1, DataRegularSeason20242025!$E$3:$E$1315, $A48)</f>
        <v>10</v>
      </c>
      <c r="DJ48">
        <f>SUMIFS(DataRegularSeason20242025!$AA$3:$AA$1315,DataRegularSeason20242025!$B$3:$B$1315, "&lt;=" &amp; DJ$1, DataRegularSeason20242025!$D$3:$D$1315, $A48)+SUMIFS(DataRegularSeason20242025!$AB$3:$AB$1315,DataRegularSeason20242025!$B$3:$B$1315, "&lt;=" &amp; DJ$1, DataRegularSeason20242025!$E$3:$E$1315, $A48)</f>
        <v>10</v>
      </c>
      <c r="DK48">
        <f>SUMIFS(DataRegularSeason20242025!$AA$3:$AA$1315,DataRegularSeason20242025!$B$3:$B$1315, "&lt;=" &amp; DK$1, DataRegularSeason20242025!$D$3:$D$1315, $A48)+SUMIFS(DataRegularSeason20242025!$AB$3:$AB$1315,DataRegularSeason20242025!$B$3:$B$1315, "&lt;=" &amp; DK$1, DataRegularSeason20242025!$E$3:$E$1315, $A48)</f>
        <v>10</v>
      </c>
      <c r="DL48">
        <f>SUMIFS(DataRegularSeason20242025!$AA$3:$AA$1315,DataRegularSeason20242025!$B$3:$B$1315, "&lt;=" &amp; DL$1, DataRegularSeason20242025!$D$3:$D$1315, $A48)+SUMIFS(DataRegularSeason20242025!$AB$3:$AB$1315,DataRegularSeason20242025!$B$3:$B$1315, "&lt;=" &amp; DL$1, DataRegularSeason20242025!$E$3:$E$1315, $A48)</f>
        <v>10</v>
      </c>
      <c r="DM48">
        <f>SUMIFS(DataRegularSeason20242025!$AA$3:$AA$1315,DataRegularSeason20242025!$B$3:$B$1315, "&lt;=" &amp; DM$1, DataRegularSeason20242025!$D$3:$D$1315, $A48)+SUMIFS(DataRegularSeason20242025!$AB$3:$AB$1315,DataRegularSeason20242025!$B$3:$B$1315, "&lt;=" &amp; DM$1, DataRegularSeason20242025!$E$3:$E$1315, $A48)</f>
        <v>10</v>
      </c>
      <c r="DN48">
        <f>SUMIFS(DataRegularSeason20242025!$AA$3:$AA$1315,DataRegularSeason20242025!$B$3:$B$1315, "&lt;=" &amp; DN$1, DataRegularSeason20242025!$D$3:$D$1315, $A48)+SUMIFS(DataRegularSeason20242025!$AB$3:$AB$1315,DataRegularSeason20242025!$B$3:$B$1315, "&lt;=" &amp; DN$1, DataRegularSeason20242025!$E$3:$E$1315, $A48)</f>
        <v>10</v>
      </c>
      <c r="DO48">
        <f>SUMIFS(DataRegularSeason20242025!$AA$3:$AA$1315,DataRegularSeason20242025!$B$3:$B$1315, "&lt;=" &amp; DO$1, DataRegularSeason20242025!$D$3:$D$1315, $A48)+SUMIFS(DataRegularSeason20242025!$AB$3:$AB$1315,DataRegularSeason20242025!$B$3:$B$1315, "&lt;=" &amp; DO$1, DataRegularSeason20242025!$E$3:$E$1315, $A48)</f>
        <v>10</v>
      </c>
      <c r="DP48">
        <f>SUMIFS(DataRegularSeason20242025!$AA$3:$AA$1315,DataRegularSeason20242025!$B$3:$B$1315, "&lt;=" &amp; DP$1, DataRegularSeason20242025!$D$3:$D$1315, $A48)+SUMIFS(DataRegularSeason20242025!$AB$3:$AB$1315,DataRegularSeason20242025!$B$3:$B$1315, "&lt;=" &amp; DP$1, DataRegularSeason20242025!$E$3:$E$1315, $A48)</f>
        <v>10</v>
      </c>
      <c r="DQ48">
        <f>SUMIFS(DataRegularSeason20242025!$AA$3:$AA$1315,DataRegularSeason20242025!$B$3:$B$1315, "&lt;=" &amp; DQ$1, DataRegularSeason20242025!$D$3:$D$1315, $A48)+SUMIFS(DataRegularSeason20242025!$AB$3:$AB$1315,DataRegularSeason20242025!$B$3:$B$1315, "&lt;=" &amp; DQ$1, DataRegularSeason20242025!$E$3:$E$1315, $A48)</f>
        <v>10</v>
      </c>
      <c r="DR48">
        <f>SUMIFS(DataRegularSeason20242025!$AA$3:$AA$1315,DataRegularSeason20242025!$B$3:$B$1315, "&lt;=" &amp; DR$1, DataRegularSeason20242025!$D$3:$D$1315, $A48)+SUMIFS(DataRegularSeason20242025!$AB$3:$AB$1315,DataRegularSeason20242025!$B$3:$B$1315, "&lt;=" &amp; DR$1, DataRegularSeason20242025!$E$3:$E$1315, $A48)</f>
        <v>10</v>
      </c>
      <c r="DS48">
        <f>SUMIFS(DataRegularSeason20242025!$AA$3:$AA$1315,DataRegularSeason20242025!$B$3:$B$1315, "&lt;=" &amp; DS$1, DataRegularSeason20242025!$D$3:$D$1315, $A48)+SUMIFS(DataRegularSeason20242025!$AB$3:$AB$1315,DataRegularSeason20242025!$B$3:$B$1315, "&lt;=" &amp; DS$1, DataRegularSeason20242025!$E$3:$E$1315, $A48)</f>
        <v>10</v>
      </c>
      <c r="DT48">
        <f>SUMIFS(DataRegularSeason20242025!$AA$3:$AA$1315,DataRegularSeason20242025!$B$3:$B$1315, "&lt;=" &amp; DT$1, DataRegularSeason20242025!$D$3:$D$1315, $A48)+SUMIFS(DataRegularSeason20242025!$AB$3:$AB$1315,DataRegularSeason20242025!$B$3:$B$1315, "&lt;=" &amp; DT$1, DataRegularSeason20242025!$E$3:$E$1315, $A48)</f>
        <v>10</v>
      </c>
      <c r="DU48">
        <f>SUMIFS(DataRegularSeason20242025!$AA$3:$AA$1315,DataRegularSeason20242025!$B$3:$B$1315, "&lt;=" &amp; DU$1, DataRegularSeason20242025!$D$3:$D$1315, $A48)+SUMIFS(DataRegularSeason20242025!$AB$3:$AB$1315,DataRegularSeason20242025!$B$3:$B$1315, "&lt;=" &amp; DU$1, DataRegularSeason20242025!$E$3:$E$1315, $A48)</f>
        <v>10</v>
      </c>
      <c r="DV48">
        <f>SUMIFS(DataRegularSeason20242025!$AA$3:$AA$1315,DataRegularSeason20242025!$B$3:$B$1315, "&lt;=" &amp; DV$1, DataRegularSeason20242025!$D$3:$D$1315, $A48)+SUMIFS(DataRegularSeason20242025!$AB$3:$AB$1315,DataRegularSeason20242025!$B$3:$B$1315, "&lt;=" &amp; DV$1, DataRegularSeason20242025!$E$3:$E$1315, $A48)</f>
        <v>10</v>
      </c>
      <c r="DW48">
        <f>SUMIFS(DataRegularSeason20242025!$AA$3:$AA$1315,DataRegularSeason20242025!$B$3:$B$1315, "&lt;=" &amp; DW$1, DataRegularSeason20242025!$D$3:$D$1315, $A48)+SUMIFS(DataRegularSeason20242025!$AB$3:$AB$1315,DataRegularSeason20242025!$B$3:$B$1315, "&lt;=" &amp; DW$1, DataRegularSeason20242025!$E$3:$E$1315, $A48)</f>
        <v>10</v>
      </c>
      <c r="DX48">
        <f>SUMIFS(DataRegularSeason20242025!$AA$3:$AA$1315,DataRegularSeason20242025!$B$3:$B$1315, "&lt;=" &amp; DX$1, DataRegularSeason20242025!$D$3:$D$1315, $A48)+SUMIFS(DataRegularSeason20242025!$AB$3:$AB$1315,DataRegularSeason20242025!$B$3:$B$1315, "&lt;=" &amp; DX$1, DataRegularSeason20242025!$E$3:$E$1315, $A48)</f>
        <v>10</v>
      </c>
      <c r="DY48">
        <f>SUMIFS(DataRegularSeason20242025!$AA$3:$AA$1315,DataRegularSeason20242025!$B$3:$B$1315, "&lt;=" &amp; DY$1, DataRegularSeason20242025!$D$3:$D$1315, $A48)+SUMIFS(DataRegularSeason20242025!$AB$3:$AB$1315,DataRegularSeason20242025!$B$3:$B$1315, "&lt;=" &amp; DY$1, DataRegularSeason20242025!$E$3:$E$1315, $A48)</f>
        <v>10</v>
      </c>
      <c r="DZ48">
        <f>SUMIFS(DataRegularSeason20242025!$AA$3:$AA$1315,DataRegularSeason20242025!$B$3:$B$1315, "&lt;=" &amp; DZ$1, DataRegularSeason20242025!$D$3:$D$1315, $A48)+SUMIFS(DataRegularSeason20242025!$AB$3:$AB$1315,DataRegularSeason20242025!$B$3:$B$1315, "&lt;=" &amp; DZ$1, DataRegularSeason20242025!$E$3:$E$1315, $A48)</f>
        <v>10</v>
      </c>
      <c r="EA48">
        <f>SUMIFS(DataRegularSeason20242025!$AA$3:$AA$1315,DataRegularSeason20242025!$B$3:$B$1315, "&lt;=" &amp; EA$1, DataRegularSeason20242025!$D$3:$D$1315, $A48)+SUMIFS(DataRegularSeason20242025!$AB$3:$AB$1315,DataRegularSeason20242025!$B$3:$B$1315, "&lt;=" &amp; EA$1, DataRegularSeason20242025!$E$3:$E$1315, $A48)</f>
        <v>10</v>
      </c>
      <c r="EB48">
        <f>SUMIFS(DataRegularSeason20242025!$AA$3:$AA$1315,DataRegularSeason20242025!$B$3:$B$1315, "&lt;=" &amp; EB$1, DataRegularSeason20242025!$D$3:$D$1315, $A48)+SUMIFS(DataRegularSeason20242025!$AB$3:$AB$1315,DataRegularSeason20242025!$B$3:$B$1315, "&lt;=" &amp; EB$1, DataRegularSeason20242025!$E$3:$E$1315, $A48)</f>
        <v>10</v>
      </c>
      <c r="EC48">
        <f>SUMIFS(DataRegularSeason20242025!$AA$3:$AA$1315,DataRegularSeason20242025!$B$3:$B$1315, "&lt;=" &amp; EC$1, DataRegularSeason20242025!$D$3:$D$1315, $A48)+SUMIFS(DataRegularSeason20242025!$AB$3:$AB$1315,DataRegularSeason20242025!$B$3:$B$1315, "&lt;=" &amp; EC$1, DataRegularSeason20242025!$E$3:$E$1315, $A48)</f>
        <v>10</v>
      </c>
      <c r="ED48">
        <f>SUMIFS(DataRegularSeason20242025!$AA$3:$AA$1315,DataRegularSeason20242025!$B$3:$B$1315, "&lt;=" &amp; ED$1, DataRegularSeason20242025!$D$3:$D$1315, $A48)+SUMIFS(DataRegularSeason20242025!$AB$3:$AB$1315,DataRegularSeason20242025!$B$3:$B$1315, "&lt;=" &amp; ED$1, DataRegularSeason20242025!$E$3:$E$1315, $A48)</f>
        <v>10</v>
      </c>
      <c r="EE48">
        <f>SUMIFS(DataRegularSeason20242025!$AA$3:$AA$1315,DataRegularSeason20242025!$B$3:$B$1315, "&lt;=" &amp; EE$1, DataRegularSeason20242025!$D$3:$D$1315, $A48)+SUMIFS(DataRegularSeason20242025!$AB$3:$AB$1315,DataRegularSeason20242025!$B$3:$B$1315, "&lt;=" &amp; EE$1, DataRegularSeason20242025!$E$3:$E$1315, $A48)</f>
        <v>10</v>
      </c>
      <c r="EF48">
        <f>SUMIFS(DataRegularSeason20242025!$AA$3:$AA$1315,DataRegularSeason20242025!$B$3:$B$1315, "&lt;=" &amp; EF$1, DataRegularSeason20242025!$D$3:$D$1315, $A48)+SUMIFS(DataRegularSeason20242025!$AB$3:$AB$1315,DataRegularSeason20242025!$B$3:$B$1315, "&lt;=" &amp; EF$1, DataRegularSeason20242025!$E$3:$E$1315, $A48)</f>
        <v>10</v>
      </c>
      <c r="EG48">
        <f>SUMIFS(DataRegularSeason20242025!$AA$3:$AA$1315,DataRegularSeason20242025!$B$3:$B$1315, "&lt;=" &amp; EG$1, DataRegularSeason20242025!$D$3:$D$1315, $A48)+SUMIFS(DataRegularSeason20242025!$AB$3:$AB$1315,DataRegularSeason20242025!$B$3:$B$1315, "&lt;=" &amp; EG$1, DataRegularSeason20242025!$E$3:$E$1315, $A48)</f>
        <v>10</v>
      </c>
      <c r="EH48">
        <f>SUMIFS(DataRegularSeason20242025!$AA$3:$AA$1315,DataRegularSeason20242025!$B$3:$B$1315, "&lt;=" &amp; EH$1, DataRegularSeason20242025!$D$3:$D$1315, $A48)+SUMIFS(DataRegularSeason20242025!$AB$3:$AB$1315,DataRegularSeason20242025!$B$3:$B$1315, "&lt;=" &amp; EH$1, DataRegularSeason20242025!$E$3:$E$1315, $A48)</f>
        <v>10</v>
      </c>
      <c r="EI48">
        <f>SUMIFS(DataRegularSeason20242025!$AA$3:$AA$1315,DataRegularSeason20242025!$B$3:$B$1315, "&lt;=" &amp; EI$1, DataRegularSeason20242025!$D$3:$D$1315, $A48)+SUMIFS(DataRegularSeason20242025!$AB$3:$AB$1315,DataRegularSeason20242025!$B$3:$B$1315, "&lt;=" &amp; EI$1, DataRegularSeason20242025!$E$3:$E$1315, $A48)</f>
        <v>10</v>
      </c>
      <c r="EJ48">
        <f>SUMIFS(DataRegularSeason20242025!$AA$3:$AA$1315,DataRegularSeason20242025!$B$3:$B$1315, "&lt;=" &amp; EJ$1, DataRegularSeason20242025!$D$3:$D$1315, $A48)+SUMIFS(DataRegularSeason20242025!$AB$3:$AB$1315,DataRegularSeason20242025!$B$3:$B$1315, "&lt;=" &amp; EJ$1, DataRegularSeason20242025!$E$3:$E$1315, $A48)</f>
        <v>10</v>
      </c>
      <c r="EK48">
        <f>SUMIFS(DataRegularSeason20242025!$AA$3:$AA$1315,DataRegularSeason20242025!$B$3:$B$1315, "&lt;=" &amp; EK$1, DataRegularSeason20242025!$D$3:$D$1315, $A48)+SUMIFS(DataRegularSeason20242025!$AB$3:$AB$1315,DataRegularSeason20242025!$B$3:$B$1315, "&lt;=" &amp; EK$1, DataRegularSeason20242025!$E$3:$E$1315, $A48)</f>
        <v>10</v>
      </c>
      <c r="EL48">
        <f>SUMIFS(DataRegularSeason20242025!$AA$3:$AA$1315,DataRegularSeason20242025!$B$3:$B$1315, "&lt;=" &amp; EL$1, DataRegularSeason20242025!$D$3:$D$1315, $A48)+SUMIFS(DataRegularSeason20242025!$AB$3:$AB$1315,DataRegularSeason20242025!$B$3:$B$1315, "&lt;=" &amp; EL$1, DataRegularSeason20242025!$E$3:$E$1315, $A48)</f>
        <v>10</v>
      </c>
      <c r="EM48">
        <f>SUMIFS(DataRegularSeason20242025!$AA$3:$AA$1315,DataRegularSeason20242025!$B$3:$B$1315, "&lt;=" &amp; EM$1, DataRegularSeason20242025!$D$3:$D$1315, $A48)+SUMIFS(DataRegularSeason20242025!$AB$3:$AB$1315,DataRegularSeason20242025!$B$3:$B$1315, "&lt;=" &amp; EM$1, DataRegularSeason20242025!$E$3:$E$1315, $A48)</f>
        <v>10</v>
      </c>
      <c r="EN48">
        <f>SUMIFS(DataRegularSeason20242025!$AA$3:$AA$1315,DataRegularSeason20242025!$B$3:$B$1315, "&lt;=" &amp; EN$1, DataRegularSeason20242025!$D$3:$D$1315, $A48)+SUMIFS(DataRegularSeason20242025!$AB$3:$AB$1315,DataRegularSeason20242025!$B$3:$B$1315, "&lt;=" &amp; EN$1, DataRegularSeason20242025!$E$3:$E$1315, $A48)</f>
        <v>10</v>
      </c>
      <c r="EO48">
        <f>SUMIFS(DataRegularSeason20242025!$AA$3:$AA$1315,DataRegularSeason20242025!$B$3:$B$1315, "&lt;=" &amp; EO$1, DataRegularSeason20242025!$D$3:$D$1315, $A48)+SUMIFS(DataRegularSeason20242025!$AB$3:$AB$1315,DataRegularSeason20242025!$B$3:$B$1315, "&lt;=" &amp; EO$1, DataRegularSeason20242025!$E$3:$E$1315, $A48)</f>
        <v>10</v>
      </c>
      <c r="EP48">
        <f>SUMIFS(DataRegularSeason20242025!$AA$3:$AA$1315,DataRegularSeason20242025!$B$3:$B$1315, "&lt;=" &amp; EP$1, DataRegularSeason20242025!$D$3:$D$1315, $A48)+SUMIFS(DataRegularSeason20242025!$AB$3:$AB$1315,DataRegularSeason20242025!$B$3:$B$1315, "&lt;=" &amp; EP$1, DataRegularSeason20242025!$E$3:$E$1315, $A48)</f>
        <v>10</v>
      </c>
      <c r="EQ48">
        <f>SUMIFS(DataRegularSeason20242025!$AA$3:$AA$1315,DataRegularSeason20242025!$B$3:$B$1315, "&lt;=" &amp; EQ$1, DataRegularSeason20242025!$D$3:$D$1315, $A48)+SUMIFS(DataRegularSeason20242025!$AB$3:$AB$1315,DataRegularSeason20242025!$B$3:$B$1315, "&lt;=" &amp; EQ$1, DataRegularSeason20242025!$E$3:$E$1315, $A48)</f>
        <v>10</v>
      </c>
      <c r="ER48">
        <f>SUMIFS(DataRegularSeason20242025!$AA$3:$AA$1315,DataRegularSeason20242025!$B$3:$B$1315, "&lt;=" &amp; ER$1, DataRegularSeason20242025!$D$3:$D$1315, $A48)+SUMIFS(DataRegularSeason20242025!$AB$3:$AB$1315,DataRegularSeason20242025!$B$3:$B$1315, "&lt;=" &amp; ER$1, DataRegularSeason20242025!$E$3:$E$1315, $A48)</f>
        <v>10</v>
      </c>
      <c r="ES48">
        <f>SUMIFS(DataRegularSeason20242025!$AA$3:$AA$1315,DataRegularSeason20242025!$B$3:$B$1315, "&lt;=" &amp; ES$1, DataRegularSeason20242025!$D$3:$D$1315, $A48)+SUMIFS(DataRegularSeason20242025!$AB$3:$AB$1315,DataRegularSeason20242025!$B$3:$B$1315, "&lt;=" &amp; ES$1, DataRegularSeason20242025!$E$3:$E$1315, $A48)</f>
        <v>10</v>
      </c>
      <c r="ET48">
        <f>SUMIFS(DataRegularSeason20242025!$AA$3:$AA$1315,DataRegularSeason20242025!$B$3:$B$1315, "&lt;=" &amp; ET$1, DataRegularSeason20242025!$D$3:$D$1315, $A48)+SUMIFS(DataRegularSeason20242025!$AB$3:$AB$1315,DataRegularSeason20242025!$B$3:$B$1315, "&lt;=" &amp; ET$1, DataRegularSeason20242025!$E$3:$E$1315, $A48)</f>
        <v>10</v>
      </c>
      <c r="EU48">
        <f>SUMIFS(DataRegularSeason20242025!$AA$3:$AA$1315,DataRegularSeason20242025!$B$3:$B$1315, "&lt;=" &amp; EU$1, DataRegularSeason20242025!$D$3:$D$1315, $A48)+SUMIFS(DataRegularSeason20242025!$AB$3:$AB$1315,DataRegularSeason20242025!$B$3:$B$1315, "&lt;=" &amp; EU$1, DataRegularSeason20242025!$E$3:$E$1315, $A48)</f>
        <v>10</v>
      </c>
      <c r="EV48">
        <f>SUMIFS(DataRegularSeason20242025!$AA$3:$AA$1315,DataRegularSeason20242025!$B$3:$B$1315, "&lt;=" &amp; EV$1, DataRegularSeason20242025!$D$3:$D$1315, $A48)+SUMIFS(DataRegularSeason20242025!$AB$3:$AB$1315,DataRegularSeason20242025!$B$3:$B$1315, "&lt;=" &amp; EV$1, DataRegularSeason20242025!$E$3:$E$1315, $A48)</f>
        <v>10</v>
      </c>
      <c r="EW48">
        <f>SUMIFS(DataRegularSeason20242025!$AA$3:$AA$1315,DataRegularSeason20242025!$B$3:$B$1315, "&lt;=" &amp; EW$1, DataRegularSeason20242025!$D$3:$D$1315, $A48)+SUMIFS(DataRegularSeason20242025!$AB$3:$AB$1315,DataRegularSeason20242025!$B$3:$B$1315, "&lt;=" &amp; EW$1, DataRegularSeason20242025!$E$3:$E$1315, $A48)</f>
        <v>10</v>
      </c>
      <c r="EX48">
        <f>SUMIFS(DataRegularSeason20242025!$AA$3:$AA$1315,DataRegularSeason20242025!$B$3:$B$1315, "&lt;=" &amp; EX$1, DataRegularSeason20242025!$D$3:$D$1315, $A48)+SUMIFS(DataRegularSeason20242025!$AB$3:$AB$1315,DataRegularSeason20242025!$B$3:$B$1315, "&lt;=" &amp; EX$1, DataRegularSeason20242025!$E$3:$E$1315, $A48)</f>
        <v>10</v>
      </c>
      <c r="EY48">
        <f>SUMIFS(DataRegularSeason20242025!$AA$3:$AA$1315,DataRegularSeason20242025!$B$3:$B$1315, "&lt;=" &amp; EY$1, DataRegularSeason20242025!$D$3:$D$1315, $A48)+SUMIFS(DataRegularSeason20242025!$AB$3:$AB$1315,DataRegularSeason20242025!$B$3:$B$1315, "&lt;=" &amp; EY$1, DataRegularSeason20242025!$E$3:$E$1315, $A48)</f>
        <v>10</v>
      </c>
      <c r="EZ48">
        <f>SUMIFS(DataRegularSeason20242025!$AA$3:$AA$1315,DataRegularSeason20242025!$B$3:$B$1315, "&lt;=" &amp; EZ$1, DataRegularSeason20242025!$D$3:$D$1315, $A48)+SUMIFS(DataRegularSeason20242025!$AB$3:$AB$1315,DataRegularSeason20242025!$B$3:$B$1315, "&lt;=" &amp; EZ$1, DataRegularSeason20242025!$E$3:$E$1315, $A48)</f>
        <v>10</v>
      </c>
      <c r="FA48">
        <f>SUMIFS(DataRegularSeason20242025!$AA$3:$AA$1315,DataRegularSeason20242025!$B$3:$B$1315, "&lt;=" &amp; FA$1, DataRegularSeason20242025!$D$3:$D$1315, $A48)+SUMIFS(DataRegularSeason20242025!$AB$3:$AB$1315,DataRegularSeason20242025!$B$3:$B$1315, "&lt;=" &amp; FA$1, DataRegularSeason20242025!$E$3:$E$1315, $A48)</f>
        <v>10</v>
      </c>
      <c r="FB48">
        <f>SUMIFS(DataRegularSeason20242025!$AA$3:$AA$1315,DataRegularSeason20242025!$B$3:$B$1315, "&lt;=" &amp; FB$1, DataRegularSeason20242025!$D$3:$D$1315, $A48)+SUMIFS(DataRegularSeason20242025!$AB$3:$AB$1315,DataRegularSeason20242025!$B$3:$B$1315, "&lt;=" &amp; FB$1, DataRegularSeason20242025!$E$3:$E$1315, $A48)</f>
        <v>10</v>
      </c>
      <c r="FC48">
        <f>SUMIFS(DataRegularSeason20242025!$AA$3:$AA$1315,DataRegularSeason20242025!$B$3:$B$1315, "&lt;=" &amp; FC$1, DataRegularSeason20242025!$D$3:$D$1315, $A48)+SUMIFS(DataRegularSeason20242025!$AB$3:$AB$1315,DataRegularSeason20242025!$B$3:$B$1315, "&lt;=" &amp; FC$1, DataRegularSeason20242025!$E$3:$E$1315, $A48)</f>
        <v>10</v>
      </c>
      <c r="FD48">
        <f>SUMIFS(DataRegularSeason20242025!$AA$3:$AA$1315,DataRegularSeason20242025!$B$3:$B$1315, "&lt;=" &amp; FD$1, DataRegularSeason20242025!$D$3:$D$1315, $A48)+SUMIFS(DataRegularSeason20242025!$AB$3:$AB$1315,DataRegularSeason20242025!$B$3:$B$1315, "&lt;=" &amp; FD$1, DataRegularSeason20242025!$E$3:$E$1315, $A48)</f>
        <v>10</v>
      </c>
      <c r="FE48">
        <f>SUMIFS(DataRegularSeason20242025!$AA$3:$AA$1315,DataRegularSeason20242025!$B$3:$B$1315, "&lt;=" &amp; FE$1, DataRegularSeason20242025!$D$3:$D$1315, $A48)+SUMIFS(DataRegularSeason20242025!$AB$3:$AB$1315,DataRegularSeason20242025!$B$3:$B$1315, "&lt;=" &amp; FE$1, DataRegularSeason20242025!$E$3:$E$1315, $A48)</f>
        <v>10</v>
      </c>
      <c r="FF48">
        <f>SUMIFS(DataRegularSeason20242025!$AA$3:$AA$1315,DataRegularSeason20242025!$B$3:$B$1315, "&lt;=" &amp; FF$1, DataRegularSeason20242025!$D$3:$D$1315, $A48)+SUMIFS(DataRegularSeason20242025!$AB$3:$AB$1315,DataRegularSeason20242025!$B$3:$B$1315, "&lt;=" &amp; FF$1, DataRegularSeason20242025!$E$3:$E$1315, $A48)</f>
        <v>10</v>
      </c>
      <c r="FG48">
        <f>SUMIFS(DataRegularSeason20242025!$AA$3:$AA$1315,DataRegularSeason20242025!$B$3:$B$1315, "&lt;=" &amp; FG$1, DataRegularSeason20242025!$D$3:$D$1315, $A48)+SUMIFS(DataRegularSeason20242025!$AB$3:$AB$1315,DataRegularSeason20242025!$B$3:$B$1315, "&lt;=" &amp; FG$1, DataRegularSeason20242025!$E$3:$E$1315, $A48)</f>
        <v>10</v>
      </c>
      <c r="FH48">
        <f>SUMIFS(DataRegularSeason20242025!$AA$3:$AA$1315,DataRegularSeason20242025!$B$3:$B$1315, "&lt;=" &amp; FH$1, DataRegularSeason20242025!$D$3:$D$1315, $A48)+SUMIFS(DataRegularSeason20242025!$AB$3:$AB$1315,DataRegularSeason20242025!$B$3:$B$1315, "&lt;=" &amp; FH$1, DataRegularSeason20242025!$E$3:$E$1315, $A48)</f>
        <v>10</v>
      </c>
      <c r="FI48">
        <f>SUMIFS(DataRegularSeason20242025!$AA$3:$AA$1315,DataRegularSeason20242025!$B$3:$B$1315, "&lt;=" &amp; FI$1, DataRegularSeason20242025!$D$3:$D$1315, $A48)+SUMIFS(DataRegularSeason20242025!$AB$3:$AB$1315,DataRegularSeason20242025!$B$3:$B$1315, "&lt;=" &amp; FI$1, DataRegularSeason20242025!$E$3:$E$1315, $A48)</f>
        <v>10</v>
      </c>
      <c r="FJ48">
        <f>SUMIFS(DataRegularSeason20242025!$AA$3:$AA$1315,DataRegularSeason20242025!$B$3:$B$1315, "&lt;=" &amp; FJ$1, DataRegularSeason20242025!$D$3:$D$1315, $A48)+SUMIFS(DataRegularSeason20242025!$AB$3:$AB$1315,DataRegularSeason20242025!$B$3:$B$1315, "&lt;=" &amp; FJ$1, DataRegularSeason20242025!$E$3:$E$1315, $A48)</f>
        <v>10</v>
      </c>
      <c r="FK48">
        <f>SUMIFS(DataRegularSeason20242025!$AA$3:$AA$1315,DataRegularSeason20242025!$B$3:$B$1315, "&lt;=" &amp; FK$1, DataRegularSeason20242025!$D$3:$D$1315, $A48)+SUMIFS(DataRegularSeason20242025!$AB$3:$AB$1315,DataRegularSeason20242025!$B$3:$B$1315, "&lt;=" &amp; FK$1, DataRegularSeason20242025!$E$3:$E$1315, $A48)</f>
        <v>10</v>
      </c>
      <c r="FL48">
        <f>SUMIFS(DataRegularSeason20242025!$AA$3:$AA$1315,DataRegularSeason20242025!$B$3:$B$1315, "&lt;=" &amp; FL$1, DataRegularSeason20242025!$D$3:$D$1315, $A48)+SUMIFS(DataRegularSeason20242025!$AB$3:$AB$1315,DataRegularSeason20242025!$B$3:$B$1315, "&lt;=" &amp; FL$1, DataRegularSeason20242025!$E$3:$E$1315, $A48)</f>
        <v>10</v>
      </c>
      <c r="FM48">
        <f>SUMIFS(DataRegularSeason20242025!$AA$3:$AA$1315,DataRegularSeason20242025!$B$3:$B$1315, "&lt;=" &amp; FM$1, DataRegularSeason20242025!$D$3:$D$1315, $A48)+SUMIFS(DataRegularSeason20242025!$AB$3:$AB$1315,DataRegularSeason20242025!$B$3:$B$1315, "&lt;=" &amp; FM$1, DataRegularSeason20242025!$E$3:$E$1315, $A48)</f>
        <v>10</v>
      </c>
      <c r="FN48">
        <f>SUMIFS(DataRegularSeason20242025!$AA$3:$AA$1315,DataRegularSeason20242025!$B$3:$B$1315, "&lt;=" &amp; FN$1, DataRegularSeason20242025!$D$3:$D$1315, $A48)+SUMIFS(DataRegularSeason20242025!$AB$3:$AB$1315,DataRegularSeason20242025!$B$3:$B$1315, "&lt;=" &amp; FN$1, DataRegularSeason20242025!$E$3:$E$1315, $A48)</f>
        <v>10</v>
      </c>
      <c r="FO48">
        <f>SUMIFS(DataRegularSeason20242025!$AA$3:$AA$1315,DataRegularSeason20242025!$B$3:$B$1315, "&lt;=" &amp; FO$1, DataRegularSeason20242025!$D$3:$D$1315, $A48)+SUMIFS(DataRegularSeason20242025!$AB$3:$AB$1315,DataRegularSeason20242025!$B$3:$B$1315, "&lt;=" &amp; FO$1, DataRegularSeason20242025!$E$3:$E$1315, $A48)</f>
        <v>10</v>
      </c>
      <c r="FP48">
        <f>SUMIFS(DataRegularSeason20242025!$AA$3:$AA$1315,DataRegularSeason20242025!$B$3:$B$1315, "&lt;=" &amp; FP$1, DataRegularSeason20242025!$D$3:$D$1315, $A48)+SUMIFS(DataRegularSeason20242025!$AB$3:$AB$1315,DataRegularSeason20242025!$B$3:$B$1315, "&lt;=" &amp; FP$1, DataRegularSeason20242025!$E$3:$E$1315, $A48)</f>
        <v>10</v>
      </c>
      <c r="FQ48">
        <f>SUMIFS(DataRegularSeason20242025!$AA$3:$AA$1315,DataRegularSeason20242025!$B$3:$B$1315, "&lt;=" &amp; FQ$1, DataRegularSeason20242025!$D$3:$D$1315, $A48)+SUMIFS(DataRegularSeason20242025!$AB$3:$AB$1315,DataRegularSeason20242025!$B$3:$B$1315, "&lt;=" &amp; FQ$1, DataRegularSeason20242025!$E$3:$E$1315, $A48)</f>
        <v>10</v>
      </c>
      <c r="FR48">
        <f>SUMIFS(DataRegularSeason20242025!$AA$3:$AA$1315,DataRegularSeason20242025!$B$3:$B$1315, "&lt;=" &amp; FR$1, DataRegularSeason20242025!$D$3:$D$1315, $A48)+SUMIFS(DataRegularSeason20242025!$AB$3:$AB$1315,DataRegularSeason20242025!$B$3:$B$1315, "&lt;=" &amp; FR$1, DataRegularSeason20242025!$E$3:$E$1315, $A48)</f>
        <v>10</v>
      </c>
      <c r="FS48">
        <f>SUMIFS(DataRegularSeason20242025!$AA$3:$AA$1315,DataRegularSeason20242025!$B$3:$B$1315, "&lt;=" &amp; FS$1, DataRegularSeason20242025!$D$3:$D$1315, $A48)+SUMIFS(DataRegularSeason20242025!$AB$3:$AB$1315,DataRegularSeason20242025!$B$3:$B$1315, "&lt;=" &amp; FS$1, DataRegularSeason20242025!$E$3:$E$1315, $A48)</f>
        <v>10</v>
      </c>
      <c r="FT48">
        <f>SUMIFS(DataRegularSeason20242025!$AA$3:$AA$1315,DataRegularSeason20242025!$B$3:$B$1315, "&lt;=" &amp; FT$1, DataRegularSeason20242025!$D$3:$D$1315, $A48)+SUMIFS(DataRegularSeason20242025!$AB$3:$AB$1315,DataRegularSeason20242025!$B$3:$B$1315, "&lt;=" &amp; FT$1, DataRegularSeason20242025!$E$3:$E$1315, $A48)</f>
        <v>10</v>
      </c>
      <c r="FU48">
        <f>SUMIFS(DataRegularSeason20242025!$AA$3:$AA$1315,DataRegularSeason20242025!$B$3:$B$1315, "&lt;=" &amp; FU$1, DataRegularSeason20242025!$D$3:$D$1315, $A48)+SUMIFS(DataRegularSeason20242025!$AB$3:$AB$1315,DataRegularSeason20242025!$B$3:$B$1315, "&lt;=" &amp; FU$1, DataRegularSeason20242025!$E$3:$E$1315, $A48)</f>
        <v>10</v>
      </c>
      <c r="FV48">
        <f>SUMIFS(DataRegularSeason20242025!$AA$3:$AA$1315,DataRegularSeason20242025!$B$3:$B$1315, "&lt;=" &amp; FV$1, DataRegularSeason20242025!$D$3:$D$1315, $A48)+SUMIFS(DataRegularSeason20242025!$AB$3:$AB$1315,DataRegularSeason20242025!$B$3:$B$1315, "&lt;=" &amp; FV$1, DataRegularSeason20242025!$E$3:$E$1315, $A48)</f>
        <v>10</v>
      </c>
      <c r="FW48">
        <f>SUMIFS(DataRegularSeason20242025!$AA$3:$AA$1315,DataRegularSeason20242025!$B$3:$B$1315, "&lt;=" &amp; FW$1, DataRegularSeason20242025!$D$3:$D$1315, $A48)+SUMIFS(DataRegularSeason20242025!$AB$3:$AB$1315,DataRegularSeason20242025!$B$3:$B$1315, "&lt;=" &amp; FW$1, DataRegularSeason20242025!$E$3:$E$1315, $A48)</f>
        <v>10</v>
      </c>
      <c r="FX48">
        <f>SUMIFS(DataRegularSeason20242025!$AA$3:$AA$1315,DataRegularSeason20242025!$B$3:$B$1315, "&lt;=" &amp; FX$1, DataRegularSeason20242025!$D$3:$D$1315, $A48)+SUMIFS(DataRegularSeason20242025!$AB$3:$AB$1315,DataRegularSeason20242025!$B$3:$B$1315, "&lt;=" &amp; FX$1, DataRegularSeason20242025!$E$3:$E$1315, $A48)</f>
        <v>10</v>
      </c>
      <c r="FY48">
        <f>SUMIFS(DataRegularSeason20242025!$AA$3:$AA$1315,DataRegularSeason20242025!$B$3:$B$1315, "&lt;=" &amp; FY$1, DataRegularSeason20242025!$D$3:$D$1315, $A48)+SUMIFS(DataRegularSeason20242025!$AB$3:$AB$1315,DataRegularSeason20242025!$B$3:$B$1315, "&lt;=" &amp; FY$1, DataRegularSeason20242025!$E$3:$E$1315, $A48)</f>
        <v>10</v>
      </c>
      <c r="FZ48">
        <f>SUMIFS(DataRegularSeason20242025!$AA$3:$AA$1315,DataRegularSeason20242025!$B$3:$B$1315, "&lt;=" &amp; FZ$1, DataRegularSeason20242025!$D$3:$D$1315, $A48)+SUMIFS(DataRegularSeason20242025!$AB$3:$AB$1315,DataRegularSeason20242025!$B$3:$B$1315, "&lt;=" &amp; FZ$1, DataRegularSeason20242025!$E$3:$E$1315, $A48)</f>
        <v>10</v>
      </c>
      <c r="GA48">
        <f>SUMIFS(DataRegularSeason20242025!$AA$3:$AA$1315,DataRegularSeason20242025!$B$3:$B$1315, "&lt;=" &amp; GA$1, DataRegularSeason20242025!$D$3:$D$1315, $A48)+SUMIFS(DataRegularSeason20242025!$AB$3:$AB$1315,DataRegularSeason20242025!$B$3:$B$1315, "&lt;=" &amp; GA$1, DataRegularSeason20242025!$E$3:$E$1315, $A48)</f>
        <v>10</v>
      </c>
      <c r="GB48">
        <f>SUMIFS(DataRegularSeason20242025!$AA$3:$AA$1315,DataRegularSeason20242025!$B$3:$B$1315, "&lt;=" &amp; GB$1, DataRegularSeason20242025!$D$3:$D$1315, $A48)+SUMIFS(DataRegularSeason20242025!$AB$3:$AB$1315,DataRegularSeason20242025!$B$3:$B$1315, "&lt;=" &amp; GB$1, DataRegularSeason20242025!$E$3:$E$1315, $A48)</f>
        <v>10</v>
      </c>
      <c r="GC48">
        <f>SUMIFS(DataRegularSeason20242025!$AA$3:$AA$1315,DataRegularSeason20242025!$B$3:$B$1315, "&lt;=" &amp; GC$1, DataRegularSeason20242025!$D$3:$D$1315, $A48)+SUMIFS(DataRegularSeason20242025!$AB$3:$AB$1315,DataRegularSeason20242025!$B$3:$B$1315, "&lt;=" &amp; GC$1, DataRegularSeason20242025!$E$3:$E$1315, $A48)</f>
        <v>10</v>
      </c>
      <c r="GD48">
        <f>SUMIFS(DataRegularSeason20242025!$AA$3:$AA$1315,DataRegularSeason20242025!$B$3:$B$1315, "&lt;=" &amp; GD$1, DataRegularSeason20242025!$D$3:$D$1315, $A48)+SUMIFS(DataRegularSeason20242025!$AB$3:$AB$1315,DataRegularSeason20242025!$B$3:$B$1315, "&lt;=" &amp; GD$1, DataRegularSeason20242025!$E$3:$E$1315, $A48)</f>
        <v>10</v>
      </c>
      <c r="GE48">
        <f>SUMIFS(DataRegularSeason20242025!$AA$3:$AA$1315,DataRegularSeason20242025!$B$3:$B$1315, "&lt;=" &amp; GE$1, DataRegularSeason20242025!$D$3:$D$1315, $A48)+SUMIFS(DataRegularSeason20242025!$AB$3:$AB$1315,DataRegularSeason20242025!$B$3:$B$1315, "&lt;=" &amp; GE$1, DataRegularSeason20242025!$E$3:$E$1315, $A48)</f>
        <v>10</v>
      </c>
      <c r="GF48">
        <f>SUMIFS(DataRegularSeason20242025!$AA$3:$AA$1315,DataRegularSeason20242025!$B$3:$B$1315, "&lt;=" &amp; GF$1, DataRegularSeason20242025!$D$3:$D$1315, $A48)+SUMIFS(DataRegularSeason20242025!$AB$3:$AB$1315,DataRegularSeason20242025!$B$3:$B$1315, "&lt;=" &amp; GF$1, DataRegularSeason20242025!$E$3:$E$1315, $A48)</f>
        <v>10</v>
      </c>
      <c r="GG48">
        <f>SUMIFS(DataRegularSeason20242025!$AA$3:$AA$1315,DataRegularSeason20242025!$B$3:$B$1315, "&lt;=" &amp; GG$1, DataRegularSeason20242025!$D$3:$D$1315, $A48)+SUMIFS(DataRegularSeason20242025!$AB$3:$AB$1315,DataRegularSeason20242025!$B$3:$B$1315, "&lt;=" &amp; GG$1, DataRegularSeason20242025!$E$3:$E$1315, $A48)</f>
        <v>10</v>
      </c>
      <c r="GH48">
        <f>SUMIFS(DataRegularSeason20242025!$AA$3:$AA$1315,DataRegularSeason20242025!$B$3:$B$1315, "&lt;=" &amp; GH$1, DataRegularSeason20242025!$D$3:$D$1315, $A48)+SUMIFS(DataRegularSeason20242025!$AB$3:$AB$1315,DataRegularSeason20242025!$B$3:$B$1315, "&lt;=" &amp; GH$1, DataRegularSeason20242025!$E$3:$E$1315, $A48)</f>
        <v>10</v>
      </c>
      <c r="GI48">
        <f>SUMIFS(DataRegularSeason20242025!$AA$3:$AA$1315,DataRegularSeason20242025!$B$3:$B$1315, "&lt;=" &amp; GI$1, DataRegularSeason20242025!$D$3:$D$1315, $A48)+SUMIFS(DataRegularSeason20242025!$AB$3:$AB$1315,DataRegularSeason20242025!$B$3:$B$1315, "&lt;=" &amp; GI$1, DataRegularSeason20242025!$E$3:$E$1315, $A48)</f>
        <v>10</v>
      </c>
      <c r="GJ48">
        <f>SUMIFS(DataRegularSeason20242025!$AA$3:$AA$1315,DataRegularSeason20242025!$B$3:$B$1315, "&lt;=" &amp; GJ$1, DataRegularSeason20242025!$D$3:$D$1315, $A48)+SUMIFS(DataRegularSeason20242025!$AB$3:$AB$1315,DataRegularSeason20242025!$B$3:$B$1315, "&lt;=" &amp; GJ$1, DataRegularSeason20242025!$E$3:$E$1315, $A48)</f>
        <v>10</v>
      </c>
      <c r="GK48">
        <f>SUMIFS(DataRegularSeason20242025!$AA$3:$AA$1315,DataRegularSeason20242025!$B$3:$B$1315, "&lt;=" &amp; GK$1, DataRegularSeason20242025!$D$3:$D$1315, $A48)+SUMIFS(DataRegularSeason20242025!$AB$3:$AB$1315,DataRegularSeason20242025!$B$3:$B$1315, "&lt;=" &amp; GK$1, DataRegularSeason20242025!$E$3:$E$1315, $A48)</f>
        <v>10</v>
      </c>
      <c r="GL48">
        <f>SUMIFS(DataRegularSeason20242025!$AA$3:$AA$1315,DataRegularSeason20242025!$B$3:$B$1315, "&lt;=" &amp; GL$1, DataRegularSeason20242025!$D$3:$D$1315, $A48)+SUMIFS(DataRegularSeason20242025!$AB$3:$AB$1315,DataRegularSeason20242025!$B$3:$B$1315, "&lt;=" &amp; GL$1, DataRegularSeason20242025!$E$3:$E$1315, $A48)</f>
        <v>10</v>
      </c>
      <c r="GM48">
        <f>SUMIFS(DataRegularSeason20242025!$AA$3:$AA$1315,DataRegularSeason20242025!$B$3:$B$1315, "&lt;=" &amp; GM$1, DataRegularSeason20242025!$D$3:$D$1315, $A48)+SUMIFS(DataRegularSeason20242025!$AB$3:$AB$1315,DataRegularSeason20242025!$B$3:$B$1315, "&lt;=" &amp; GM$1, DataRegularSeason20242025!$E$3:$E$1315, $A48)</f>
        <v>10</v>
      </c>
      <c r="GN48">
        <f>SUMIFS(DataRegularSeason20242025!$AA$3:$AA$1315,DataRegularSeason20242025!$B$3:$B$1315, "&lt;=" &amp; GN$1, DataRegularSeason20242025!$D$3:$D$1315, $A48)+SUMIFS(DataRegularSeason20242025!$AB$3:$AB$1315,DataRegularSeason20242025!$B$3:$B$1315, "&lt;=" &amp; GN$1, DataRegularSeason20242025!$E$3:$E$1315, $A48)</f>
        <v>10</v>
      </c>
      <c r="GO48">
        <f>SUMIFS(DataRegularSeason20242025!$AA$3:$AA$1315,DataRegularSeason20242025!$B$3:$B$1315, "&lt;=" &amp; GO$1, DataRegularSeason20242025!$D$3:$D$1315, $A48)+SUMIFS(DataRegularSeason20242025!$AB$3:$AB$1315,DataRegularSeason20242025!$B$3:$B$1315, "&lt;=" &amp; GO$1, DataRegularSeason20242025!$E$3:$E$1315, $A48)</f>
        <v>10</v>
      </c>
      <c r="GP48">
        <f>SUMIFS(DataRegularSeason20242025!$AA$3:$AA$1315,DataRegularSeason20242025!$B$3:$B$1315, "&lt;=" &amp; GP$1, DataRegularSeason20242025!$D$3:$D$1315, $A48)+SUMIFS(DataRegularSeason20242025!$AB$3:$AB$1315,DataRegularSeason20242025!$B$3:$B$1315, "&lt;=" &amp; GP$1, DataRegularSeason20242025!$E$3:$E$1315, $A48)</f>
        <v>10</v>
      </c>
      <c r="GQ48">
        <f>SUMIFS(DataRegularSeason20242025!$AA$3:$AA$1315,DataRegularSeason20242025!$B$3:$B$1315, "&lt;=" &amp; GQ$1, DataRegularSeason20242025!$D$3:$D$1315, $A48)+SUMIFS(DataRegularSeason20242025!$AB$3:$AB$1315,DataRegularSeason20242025!$B$3:$B$1315, "&lt;=" &amp; GQ$1, DataRegularSeason20242025!$E$3:$E$1315, $A48)</f>
        <v>10</v>
      </c>
      <c r="GR48">
        <f>SUMIFS(DataRegularSeason20242025!$AA$3:$AA$1315,DataRegularSeason20242025!$B$3:$B$1315, "&lt;=" &amp; GR$1, DataRegularSeason20242025!$D$3:$D$1315, $A48)+SUMIFS(DataRegularSeason20242025!$AB$3:$AB$1315,DataRegularSeason20242025!$B$3:$B$1315, "&lt;=" &amp; GR$1, DataRegularSeason20242025!$E$3:$E$1315, $A48)</f>
        <v>10</v>
      </c>
      <c r="GS48">
        <f>SUMIFS(DataRegularSeason20242025!$AA$3:$AA$1315,DataRegularSeason20242025!$B$3:$B$1315, "&lt;=" &amp; GS$1, DataRegularSeason20242025!$D$3:$D$1315, $A48)+SUMIFS(DataRegularSeason20242025!$AB$3:$AB$1315,DataRegularSeason20242025!$B$3:$B$1315, "&lt;=" &amp; GS$1, DataRegularSeason20242025!$E$3:$E$1315, $A48)</f>
        <v>10</v>
      </c>
      <c r="GT48">
        <f>SUMIFS(DataRegularSeason20242025!$AA$3:$AA$1315,DataRegularSeason20242025!$B$3:$B$1315, "&lt;=" &amp; GT$1, DataRegularSeason20242025!$D$3:$D$1315, $A48)+SUMIFS(DataRegularSeason20242025!$AB$3:$AB$1315,DataRegularSeason20242025!$B$3:$B$1315, "&lt;=" &amp; GT$1, DataRegularSeason20242025!$E$3:$E$1315, $A48)</f>
        <v>10</v>
      </c>
      <c r="GU48">
        <f>SUMIFS(DataRegularSeason20242025!$AA$3:$AA$1315,DataRegularSeason20242025!$B$3:$B$1315, "&lt;=" &amp; GU$1, DataRegularSeason20242025!$D$3:$D$1315, $A48)+SUMIFS(DataRegularSeason20242025!$AB$3:$AB$1315,DataRegularSeason20242025!$B$3:$B$1315, "&lt;=" &amp; GU$1, DataRegularSeason20242025!$E$3:$E$1315, $A48)</f>
        <v>10</v>
      </c>
    </row>
    <row r="49" spans="1:203" x14ac:dyDescent="0.25">
      <c r="A49" t="s">
        <v>20</v>
      </c>
      <c r="B49" t="s">
        <v>91</v>
      </c>
      <c r="C49" t="s">
        <v>92</v>
      </c>
      <c r="D49">
        <f>SUMIFS(DataRegularSeason20242025!$AA$3:$AA$1315,DataRegularSeason20242025!$B$3:$B$1315, "&lt;=" &amp; D$1, DataRegularSeason20242025!$D$3:$D$1315, $A49)+SUMIFS(DataRegularSeason20242025!$AB$3:$AB$1315,DataRegularSeason20242025!$B$3:$B$1315, "&lt;=" &amp; D$1, DataRegularSeason20242025!$E$3:$E$1315, $A49)</f>
        <v>0</v>
      </c>
      <c r="E49">
        <f>SUMIFS(DataRegularSeason20242025!$AA$3:$AA$1315,DataRegularSeason20242025!$B$3:$B$1315, "&lt;=" &amp; E$1, DataRegularSeason20242025!$D$3:$D$1315, $A49)+SUMIFS(DataRegularSeason20242025!$AB$3:$AB$1315,DataRegularSeason20242025!$B$3:$B$1315, "&lt;=" &amp; E$1, DataRegularSeason20242025!$E$3:$E$1315, $A49)</f>
        <v>0</v>
      </c>
      <c r="F49">
        <f>SUMIFS(DataRegularSeason20242025!$AA$3:$AA$1315,DataRegularSeason20242025!$B$3:$B$1315, "&lt;=" &amp; F$1, DataRegularSeason20242025!$D$3:$D$1315, $A49)+SUMIFS(DataRegularSeason20242025!$AB$3:$AB$1315,DataRegularSeason20242025!$B$3:$B$1315, "&lt;=" &amp; F$1, DataRegularSeason20242025!$E$3:$E$1315, $A49)</f>
        <v>0</v>
      </c>
      <c r="G49">
        <f>SUMIFS(DataRegularSeason20242025!$AA$3:$AA$1315,DataRegularSeason20242025!$B$3:$B$1315, "&lt;=" &amp; G$1, DataRegularSeason20242025!$D$3:$D$1315, $A49)+SUMIFS(DataRegularSeason20242025!$AB$3:$AB$1315,DataRegularSeason20242025!$B$3:$B$1315, "&lt;=" &amp; G$1, DataRegularSeason20242025!$E$3:$E$1315, $A49)</f>
        <v>0</v>
      </c>
      <c r="H49">
        <f>SUMIFS(DataRegularSeason20242025!$AA$3:$AA$1315,DataRegularSeason20242025!$B$3:$B$1315, "&lt;=" &amp; H$1, DataRegularSeason20242025!$D$3:$D$1315, $A49)+SUMIFS(DataRegularSeason20242025!$AB$3:$AB$1315,DataRegularSeason20242025!$B$3:$B$1315, "&lt;=" &amp; H$1, DataRegularSeason20242025!$E$3:$E$1315, $A49)</f>
        <v>2</v>
      </c>
      <c r="I49">
        <f>SUMIFS(DataRegularSeason20242025!$AA$3:$AA$1315,DataRegularSeason20242025!$B$3:$B$1315, "&lt;=" &amp; I$1, DataRegularSeason20242025!$D$3:$D$1315, $A49)+SUMIFS(DataRegularSeason20242025!$AB$3:$AB$1315,DataRegularSeason20242025!$B$3:$B$1315, "&lt;=" &amp; I$1, DataRegularSeason20242025!$E$3:$E$1315, $A49)</f>
        <v>2</v>
      </c>
      <c r="J49">
        <f>SUMIFS(DataRegularSeason20242025!$AA$3:$AA$1315,DataRegularSeason20242025!$B$3:$B$1315, "&lt;=" &amp; J$1, DataRegularSeason20242025!$D$3:$D$1315, $A49)+SUMIFS(DataRegularSeason20242025!$AB$3:$AB$1315,DataRegularSeason20242025!$B$3:$B$1315, "&lt;=" &amp; J$1, DataRegularSeason20242025!$E$3:$E$1315, $A49)</f>
        <v>4</v>
      </c>
      <c r="K49">
        <f>SUMIFS(DataRegularSeason20242025!$AA$3:$AA$1315,DataRegularSeason20242025!$B$3:$B$1315, "&lt;=" &amp; K$1, DataRegularSeason20242025!$D$3:$D$1315, $A49)+SUMIFS(DataRegularSeason20242025!$AB$3:$AB$1315,DataRegularSeason20242025!$B$3:$B$1315, "&lt;=" &amp; K$1, DataRegularSeason20242025!$E$3:$E$1315, $A49)</f>
        <v>4</v>
      </c>
      <c r="L49">
        <f>SUMIFS(DataRegularSeason20242025!$AA$3:$AA$1315,DataRegularSeason20242025!$B$3:$B$1315, "&lt;=" &amp; L$1, DataRegularSeason20242025!$D$3:$D$1315, $A49)+SUMIFS(DataRegularSeason20242025!$AB$3:$AB$1315,DataRegularSeason20242025!$B$3:$B$1315, "&lt;=" &amp; L$1, DataRegularSeason20242025!$E$3:$E$1315, $A49)</f>
        <v>4</v>
      </c>
      <c r="M49">
        <f>SUMIFS(DataRegularSeason20242025!$AA$3:$AA$1315,DataRegularSeason20242025!$B$3:$B$1315, "&lt;=" &amp; M$1, DataRegularSeason20242025!$D$3:$D$1315, $A49)+SUMIFS(DataRegularSeason20242025!$AB$3:$AB$1315,DataRegularSeason20242025!$B$3:$B$1315, "&lt;=" &amp; M$1, DataRegularSeason20242025!$E$3:$E$1315, $A49)</f>
        <v>4</v>
      </c>
      <c r="N49">
        <f>SUMIFS(DataRegularSeason20242025!$AA$3:$AA$1315,DataRegularSeason20242025!$B$3:$B$1315, "&lt;=" &amp; N$1, DataRegularSeason20242025!$D$3:$D$1315, $A49)+SUMIFS(DataRegularSeason20242025!$AB$3:$AB$1315,DataRegularSeason20242025!$B$3:$B$1315, "&lt;=" &amp; N$1, DataRegularSeason20242025!$E$3:$E$1315, $A49)</f>
        <v>4</v>
      </c>
      <c r="O49">
        <f>SUMIFS(DataRegularSeason20242025!$AA$3:$AA$1315,DataRegularSeason20242025!$B$3:$B$1315, "&lt;=" &amp; O$1, DataRegularSeason20242025!$D$3:$D$1315, $A49)+SUMIFS(DataRegularSeason20242025!$AB$3:$AB$1315,DataRegularSeason20242025!$B$3:$B$1315, "&lt;=" &amp; O$1, DataRegularSeason20242025!$E$3:$E$1315, $A49)</f>
        <v>4</v>
      </c>
      <c r="P49">
        <f>SUMIFS(DataRegularSeason20242025!$AA$3:$AA$1315,DataRegularSeason20242025!$B$3:$B$1315, "&lt;=" &amp; P$1, DataRegularSeason20242025!$D$3:$D$1315, $A49)+SUMIFS(DataRegularSeason20242025!$AB$3:$AB$1315,DataRegularSeason20242025!$B$3:$B$1315, "&lt;=" &amp; P$1, DataRegularSeason20242025!$E$3:$E$1315, $A49)</f>
        <v>4</v>
      </c>
      <c r="Q49">
        <f>SUMIFS(DataRegularSeason20242025!$AA$3:$AA$1315,DataRegularSeason20242025!$B$3:$B$1315, "&lt;=" &amp; Q$1, DataRegularSeason20242025!$D$3:$D$1315, $A49)+SUMIFS(DataRegularSeason20242025!$AB$3:$AB$1315,DataRegularSeason20242025!$B$3:$B$1315, "&lt;=" &amp; Q$1, DataRegularSeason20242025!$E$3:$E$1315, $A49)</f>
        <v>6</v>
      </c>
      <c r="R49">
        <f>SUMIFS(DataRegularSeason20242025!$AA$3:$AA$1315,DataRegularSeason20242025!$B$3:$B$1315, "&lt;=" &amp; R$1, DataRegularSeason20242025!$D$3:$D$1315, $A49)+SUMIFS(DataRegularSeason20242025!$AB$3:$AB$1315,DataRegularSeason20242025!$B$3:$B$1315, "&lt;=" &amp; R$1, DataRegularSeason20242025!$E$3:$E$1315, $A49)</f>
        <v>6</v>
      </c>
      <c r="S49">
        <f>SUMIFS(DataRegularSeason20242025!$AA$3:$AA$1315,DataRegularSeason20242025!$B$3:$B$1315, "&lt;=" &amp; S$1, DataRegularSeason20242025!$D$3:$D$1315, $A49)+SUMIFS(DataRegularSeason20242025!$AB$3:$AB$1315,DataRegularSeason20242025!$B$3:$B$1315, "&lt;=" &amp; S$1, DataRegularSeason20242025!$E$3:$E$1315, $A49)</f>
        <v>8</v>
      </c>
      <c r="T49">
        <f>SUMIFS(DataRegularSeason20242025!$AA$3:$AA$1315,DataRegularSeason20242025!$B$3:$B$1315, "&lt;=" &amp; T$1, DataRegularSeason20242025!$D$3:$D$1315, $A49)+SUMIFS(DataRegularSeason20242025!$AB$3:$AB$1315,DataRegularSeason20242025!$B$3:$B$1315, "&lt;=" &amp; T$1, DataRegularSeason20242025!$E$3:$E$1315, $A49)</f>
        <v>8</v>
      </c>
      <c r="U49">
        <f>SUMIFS(DataRegularSeason20242025!$AA$3:$AA$1315,DataRegularSeason20242025!$B$3:$B$1315, "&lt;=" &amp; U$1, DataRegularSeason20242025!$D$3:$D$1315, $A49)+SUMIFS(DataRegularSeason20242025!$AB$3:$AB$1315,DataRegularSeason20242025!$B$3:$B$1315, "&lt;=" &amp; U$1, DataRegularSeason20242025!$E$3:$E$1315, $A49)</f>
        <v>8</v>
      </c>
      <c r="V49">
        <f>SUMIFS(DataRegularSeason20242025!$AA$3:$AA$1315,DataRegularSeason20242025!$B$3:$B$1315, "&lt;=" &amp; V$1, DataRegularSeason20242025!$D$3:$D$1315, $A49)+SUMIFS(DataRegularSeason20242025!$AB$3:$AB$1315,DataRegularSeason20242025!$B$3:$B$1315, "&lt;=" &amp; V$1, DataRegularSeason20242025!$E$3:$E$1315, $A49)</f>
        <v>10</v>
      </c>
      <c r="W49">
        <f>SUMIFS(DataRegularSeason20242025!$AA$3:$AA$1315,DataRegularSeason20242025!$B$3:$B$1315, "&lt;=" &amp; W$1, DataRegularSeason20242025!$D$3:$D$1315, $A49)+SUMIFS(DataRegularSeason20242025!$AB$3:$AB$1315,DataRegularSeason20242025!$B$3:$B$1315, "&lt;=" &amp; W$1, DataRegularSeason20242025!$E$3:$E$1315, $A49)</f>
        <v>10</v>
      </c>
      <c r="X49">
        <f>SUMIFS(DataRegularSeason20242025!$AA$3:$AA$1315,DataRegularSeason20242025!$B$3:$B$1315, "&lt;=" &amp; X$1, DataRegularSeason20242025!$D$3:$D$1315, $A49)+SUMIFS(DataRegularSeason20242025!$AB$3:$AB$1315,DataRegularSeason20242025!$B$3:$B$1315, "&lt;=" &amp; X$1, DataRegularSeason20242025!$E$3:$E$1315, $A49)</f>
        <v>10</v>
      </c>
      <c r="Y49">
        <f>SUMIFS(DataRegularSeason20242025!$AA$3:$AA$1315,DataRegularSeason20242025!$B$3:$B$1315, "&lt;=" &amp; Y$1, DataRegularSeason20242025!$D$3:$D$1315, $A49)+SUMIFS(DataRegularSeason20242025!$AB$3:$AB$1315,DataRegularSeason20242025!$B$3:$B$1315, "&lt;=" &amp; Y$1, DataRegularSeason20242025!$E$3:$E$1315, $A49)</f>
        <v>10</v>
      </c>
      <c r="Z49">
        <f>SUMIFS(DataRegularSeason20242025!$AA$3:$AA$1315,DataRegularSeason20242025!$B$3:$B$1315, "&lt;=" &amp; Z$1, DataRegularSeason20242025!$D$3:$D$1315, $A49)+SUMIFS(DataRegularSeason20242025!$AB$3:$AB$1315,DataRegularSeason20242025!$B$3:$B$1315, "&lt;=" &amp; Z$1, DataRegularSeason20242025!$E$3:$E$1315, $A49)</f>
        <v>10</v>
      </c>
      <c r="AA49">
        <f>SUMIFS(DataRegularSeason20242025!$AA$3:$AA$1315,DataRegularSeason20242025!$B$3:$B$1315, "&lt;=" &amp; AA$1, DataRegularSeason20242025!$D$3:$D$1315, $A49)+SUMIFS(DataRegularSeason20242025!$AB$3:$AB$1315,DataRegularSeason20242025!$B$3:$B$1315, "&lt;=" &amp; AA$1, DataRegularSeason20242025!$E$3:$E$1315, $A49)</f>
        <v>10</v>
      </c>
      <c r="AB49">
        <f>SUMIFS(DataRegularSeason20242025!$AA$3:$AA$1315,DataRegularSeason20242025!$B$3:$B$1315, "&lt;=" &amp; AB$1, DataRegularSeason20242025!$D$3:$D$1315, $A49)+SUMIFS(DataRegularSeason20242025!$AB$3:$AB$1315,DataRegularSeason20242025!$B$3:$B$1315, "&lt;=" &amp; AB$1, DataRegularSeason20242025!$E$3:$E$1315, $A49)</f>
        <v>10</v>
      </c>
      <c r="AC49">
        <f>SUMIFS(DataRegularSeason20242025!$AA$3:$AA$1315,DataRegularSeason20242025!$B$3:$B$1315, "&lt;=" &amp; AC$1, DataRegularSeason20242025!$D$3:$D$1315, $A49)+SUMIFS(DataRegularSeason20242025!$AB$3:$AB$1315,DataRegularSeason20242025!$B$3:$B$1315, "&lt;=" &amp; AC$1, DataRegularSeason20242025!$E$3:$E$1315, $A49)</f>
        <v>10</v>
      </c>
      <c r="AD49">
        <f>SUMIFS(DataRegularSeason20242025!$AA$3:$AA$1315,DataRegularSeason20242025!$B$3:$B$1315, "&lt;=" &amp; AD$1, DataRegularSeason20242025!$D$3:$D$1315, $A49)+SUMIFS(DataRegularSeason20242025!$AB$3:$AB$1315,DataRegularSeason20242025!$B$3:$B$1315, "&lt;=" &amp; AD$1, DataRegularSeason20242025!$E$3:$E$1315, $A49)</f>
        <v>10</v>
      </c>
      <c r="AE49">
        <f>SUMIFS(DataRegularSeason20242025!$AA$3:$AA$1315,DataRegularSeason20242025!$B$3:$B$1315, "&lt;=" &amp; AE$1, DataRegularSeason20242025!$D$3:$D$1315, $A49)+SUMIFS(DataRegularSeason20242025!$AB$3:$AB$1315,DataRegularSeason20242025!$B$3:$B$1315, "&lt;=" &amp; AE$1, DataRegularSeason20242025!$E$3:$E$1315, $A49)</f>
        <v>10</v>
      </c>
      <c r="AF49">
        <f>SUMIFS(DataRegularSeason20242025!$AA$3:$AA$1315,DataRegularSeason20242025!$B$3:$B$1315, "&lt;=" &amp; AF$1, DataRegularSeason20242025!$D$3:$D$1315, $A49)+SUMIFS(DataRegularSeason20242025!$AB$3:$AB$1315,DataRegularSeason20242025!$B$3:$B$1315, "&lt;=" &amp; AF$1, DataRegularSeason20242025!$E$3:$E$1315, $A49)</f>
        <v>10</v>
      </c>
      <c r="AG49">
        <f>SUMIFS(DataRegularSeason20242025!$AA$3:$AA$1315,DataRegularSeason20242025!$B$3:$B$1315, "&lt;=" &amp; AG$1, DataRegularSeason20242025!$D$3:$D$1315, $A49)+SUMIFS(DataRegularSeason20242025!$AB$3:$AB$1315,DataRegularSeason20242025!$B$3:$B$1315, "&lt;=" &amp; AG$1, DataRegularSeason20242025!$E$3:$E$1315, $A49)</f>
        <v>10</v>
      </c>
      <c r="AH49">
        <f>SUMIFS(DataRegularSeason20242025!$AA$3:$AA$1315,DataRegularSeason20242025!$B$3:$B$1315, "&lt;=" &amp; AH$1, DataRegularSeason20242025!$D$3:$D$1315, $A49)+SUMIFS(DataRegularSeason20242025!$AB$3:$AB$1315,DataRegularSeason20242025!$B$3:$B$1315, "&lt;=" &amp; AH$1, DataRegularSeason20242025!$E$3:$E$1315, $A49)</f>
        <v>10</v>
      </c>
      <c r="AI49">
        <f>SUMIFS(DataRegularSeason20242025!$AA$3:$AA$1315,DataRegularSeason20242025!$B$3:$B$1315, "&lt;=" &amp; AI$1, DataRegularSeason20242025!$D$3:$D$1315, $A49)+SUMIFS(DataRegularSeason20242025!$AB$3:$AB$1315,DataRegularSeason20242025!$B$3:$B$1315, "&lt;=" &amp; AI$1, DataRegularSeason20242025!$E$3:$E$1315, $A49)</f>
        <v>10</v>
      </c>
      <c r="AJ49">
        <f>SUMIFS(DataRegularSeason20242025!$AA$3:$AA$1315,DataRegularSeason20242025!$B$3:$B$1315, "&lt;=" &amp; AJ$1, DataRegularSeason20242025!$D$3:$D$1315, $A49)+SUMIFS(DataRegularSeason20242025!$AB$3:$AB$1315,DataRegularSeason20242025!$B$3:$B$1315, "&lt;=" &amp; AJ$1, DataRegularSeason20242025!$E$3:$E$1315, $A49)</f>
        <v>10</v>
      </c>
      <c r="AK49">
        <f>SUMIFS(DataRegularSeason20242025!$AA$3:$AA$1315,DataRegularSeason20242025!$B$3:$B$1315, "&lt;=" &amp; AK$1, DataRegularSeason20242025!$D$3:$D$1315, $A49)+SUMIFS(DataRegularSeason20242025!$AB$3:$AB$1315,DataRegularSeason20242025!$B$3:$B$1315, "&lt;=" &amp; AK$1, DataRegularSeason20242025!$E$3:$E$1315, $A49)</f>
        <v>10</v>
      </c>
      <c r="AL49">
        <f>SUMIFS(DataRegularSeason20242025!$AA$3:$AA$1315,DataRegularSeason20242025!$B$3:$B$1315, "&lt;=" &amp; AL$1, DataRegularSeason20242025!$D$3:$D$1315, $A49)+SUMIFS(DataRegularSeason20242025!$AB$3:$AB$1315,DataRegularSeason20242025!$B$3:$B$1315, "&lt;=" &amp; AL$1, DataRegularSeason20242025!$E$3:$E$1315, $A49)</f>
        <v>10</v>
      </c>
      <c r="AM49">
        <f>SUMIFS(DataRegularSeason20242025!$AA$3:$AA$1315,DataRegularSeason20242025!$B$3:$B$1315, "&lt;=" &amp; AM$1, DataRegularSeason20242025!$D$3:$D$1315, $A49)+SUMIFS(DataRegularSeason20242025!$AB$3:$AB$1315,DataRegularSeason20242025!$B$3:$B$1315, "&lt;=" &amp; AM$1, DataRegularSeason20242025!$E$3:$E$1315, $A49)</f>
        <v>10</v>
      </c>
      <c r="AN49">
        <f>SUMIFS(DataRegularSeason20242025!$AA$3:$AA$1315,DataRegularSeason20242025!$B$3:$B$1315, "&lt;=" &amp; AN$1, DataRegularSeason20242025!$D$3:$D$1315, $A49)+SUMIFS(DataRegularSeason20242025!$AB$3:$AB$1315,DataRegularSeason20242025!$B$3:$B$1315, "&lt;=" &amp; AN$1, DataRegularSeason20242025!$E$3:$E$1315, $A49)</f>
        <v>10</v>
      </c>
      <c r="AO49">
        <f>SUMIFS(DataRegularSeason20242025!$AA$3:$AA$1315,DataRegularSeason20242025!$B$3:$B$1315, "&lt;=" &amp; AO$1, DataRegularSeason20242025!$D$3:$D$1315, $A49)+SUMIFS(DataRegularSeason20242025!$AB$3:$AB$1315,DataRegularSeason20242025!$B$3:$B$1315, "&lt;=" &amp; AO$1, DataRegularSeason20242025!$E$3:$E$1315, $A49)</f>
        <v>10</v>
      </c>
      <c r="AP49">
        <f>SUMIFS(DataRegularSeason20242025!$AA$3:$AA$1315,DataRegularSeason20242025!$B$3:$B$1315, "&lt;=" &amp; AP$1, DataRegularSeason20242025!$D$3:$D$1315, $A49)+SUMIFS(DataRegularSeason20242025!$AB$3:$AB$1315,DataRegularSeason20242025!$B$3:$B$1315, "&lt;=" &amp; AP$1, DataRegularSeason20242025!$E$3:$E$1315, $A49)</f>
        <v>10</v>
      </c>
      <c r="AQ49">
        <f>SUMIFS(DataRegularSeason20242025!$AA$3:$AA$1315,DataRegularSeason20242025!$B$3:$B$1315, "&lt;=" &amp; AQ$1, DataRegularSeason20242025!$D$3:$D$1315, $A49)+SUMIFS(DataRegularSeason20242025!$AB$3:$AB$1315,DataRegularSeason20242025!$B$3:$B$1315, "&lt;=" &amp; AQ$1, DataRegularSeason20242025!$E$3:$E$1315, $A49)</f>
        <v>10</v>
      </c>
      <c r="AR49">
        <f>SUMIFS(DataRegularSeason20242025!$AA$3:$AA$1315,DataRegularSeason20242025!$B$3:$B$1315, "&lt;=" &amp; AR$1, DataRegularSeason20242025!$D$3:$D$1315, $A49)+SUMIFS(DataRegularSeason20242025!$AB$3:$AB$1315,DataRegularSeason20242025!$B$3:$B$1315, "&lt;=" &amp; AR$1, DataRegularSeason20242025!$E$3:$E$1315, $A49)</f>
        <v>10</v>
      </c>
      <c r="AS49">
        <f>SUMIFS(DataRegularSeason20242025!$AA$3:$AA$1315,DataRegularSeason20242025!$B$3:$B$1315, "&lt;=" &amp; AS$1, DataRegularSeason20242025!$D$3:$D$1315, $A49)+SUMIFS(DataRegularSeason20242025!$AB$3:$AB$1315,DataRegularSeason20242025!$B$3:$B$1315, "&lt;=" &amp; AS$1, DataRegularSeason20242025!$E$3:$E$1315, $A49)</f>
        <v>10</v>
      </c>
      <c r="AT49">
        <f>SUMIFS(DataRegularSeason20242025!$AA$3:$AA$1315,DataRegularSeason20242025!$B$3:$B$1315, "&lt;=" &amp; AT$1, DataRegularSeason20242025!$D$3:$D$1315, $A49)+SUMIFS(DataRegularSeason20242025!$AB$3:$AB$1315,DataRegularSeason20242025!$B$3:$B$1315, "&lt;=" &amp; AT$1, DataRegularSeason20242025!$E$3:$E$1315, $A49)</f>
        <v>10</v>
      </c>
      <c r="AU49">
        <f>SUMIFS(DataRegularSeason20242025!$AA$3:$AA$1315,DataRegularSeason20242025!$B$3:$B$1315, "&lt;=" &amp; AU$1, DataRegularSeason20242025!$D$3:$D$1315, $A49)+SUMIFS(DataRegularSeason20242025!$AB$3:$AB$1315,DataRegularSeason20242025!$B$3:$B$1315, "&lt;=" &amp; AU$1, DataRegularSeason20242025!$E$3:$E$1315, $A49)</f>
        <v>10</v>
      </c>
      <c r="AV49">
        <f>SUMIFS(DataRegularSeason20242025!$AA$3:$AA$1315,DataRegularSeason20242025!$B$3:$B$1315, "&lt;=" &amp; AV$1, DataRegularSeason20242025!$D$3:$D$1315, $A49)+SUMIFS(DataRegularSeason20242025!$AB$3:$AB$1315,DataRegularSeason20242025!$B$3:$B$1315, "&lt;=" &amp; AV$1, DataRegularSeason20242025!$E$3:$E$1315, $A49)</f>
        <v>10</v>
      </c>
      <c r="AW49">
        <f>SUMIFS(DataRegularSeason20242025!$AA$3:$AA$1315,DataRegularSeason20242025!$B$3:$B$1315, "&lt;=" &amp; AW$1, DataRegularSeason20242025!$D$3:$D$1315, $A49)+SUMIFS(DataRegularSeason20242025!$AB$3:$AB$1315,DataRegularSeason20242025!$B$3:$B$1315, "&lt;=" &amp; AW$1, DataRegularSeason20242025!$E$3:$E$1315, $A49)</f>
        <v>10</v>
      </c>
      <c r="AX49">
        <f>SUMIFS(DataRegularSeason20242025!$AA$3:$AA$1315,DataRegularSeason20242025!$B$3:$B$1315, "&lt;=" &amp; AX$1, DataRegularSeason20242025!$D$3:$D$1315, $A49)+SUMIFS(DataRegularSeason20242025!$AB$3:$AB$1315,DataRegularSeason20242025!$B$3:$B$1315, "&lt;=" &amp; AX$1, DataRegularSeason20242025!$E$3:$E$1315, $A49)</f>
        <v>10</v>
      </c>
      <c r="AY49">
        <f>SUMIFS(DataRegularSeason20242025!$AA$3:$AA$1315,DataRegularSeason20242025!$B$3:$B$1315, "&lt;=" &amp; AY$1, DataRegularSeason20242025!$D$3:$D$1315, $A49)+SUMIFS(DataRegularSeason20242025!$AB$3:$AB$1315,DataRegularSeason20242025!$B$3:$B$1315, "&lt;=" &amp; AY$1, DataRegularSeason20242025!$E$3:$E$1315, $A49)</f>
        <v>10</v>
      </c>
      <c r="AZ49">
        <f>SUMIFS(DataRegularSeason20242025!$AA$3:$AA$1315,DataRegularSeason20242025!$B$3:$B$1315, "&lt;=" &amp; AZ$1, DataRegularSeason20242025!$D$3:$D$1315, $A49)+SUMIFS(DataRegularSeason20242025!$AB$3:$AB$1315,DataRegularSeason20242025!$B$3:$B$1315, "&lt;=" &amp; AZ$1, DataRegularSeason20242025!$E$3:$E$1315, $A49)</f>
        <v>10</v>
      </c>
      <c r="BA49">
        <f>SUMIFS(DataRegularSeason20242025!$AA$3:$AA$1315,DataRegularSeason20242025!$B$3:$B$1315, "&lt;=" &amp; BA$1, DataRegularSeason20242025!$D$3:$D$1315, $A49)+SUMIFS(DataRegularSeason20242025!$AB$3:$AB$1315,DataRegularSeason20242025!$B$3:$B$1315, "&lt;=" &amp; BA$1, DataRegularSeason20242025!$E$3:$E$1315, $A49)</f>
        <v>10</v>
      </c>
      <c r="BB49">
        <f>SUMIFS(DataRegularSeason20242025!$AA$3:$AA$1315,DataRegularSeason20242025!$B$3:$B$1315, "&lt;=" &amp; BB$1, DataRegularSeason20242025!$D$3:$D$1315, $A49)+SUMIFS(DataRegularSeason20242025!$AB$3:$AB$1315,DataRegularSeason20242025!$B$3:$B$1315, "&lt;=" &amp; BB$1, DataRegularSeason20242025!$E$3:$E$1315, $A49)</f>
        <v>10</v>
      </c>
      <c r="BC49">
        <f>SUMIFS(DataRegularSeason20242025!$AA$3:$AA$1315,DataRegularSeason20242025!$B$3:$B$1315, "&lt;=" &amp; BC$1, DataRegularSeason20242025!$D$3:$D$1315, $A49)+SUMIFS(DataRegularSeason20242025!$AB$3:$AB$1315,DataRegularSeason20242025!$B$3:$B$1315, "&lt;=" &amp; BC$1, DataRegularSeason20242025!$E$3:$E$1315, $A49)</f>
        <v>10</v>
      </c>
      <c r="BD49">
        <f>SUMIFS(DataRegularSeason20242025!$AA$3:$AA$1315,DataRegularSeason20242025!$B$3:$B$1315, "&lt;=" &amp; BD$1, DataRegularSeason20242025!$D$3:$D$1315, $A49)+SUMIFS(DataRegularSeason20242025!$AB$3:$AB$1315,DataRegularSeason20242025!$B$3:$B$1315, "&lt;=" &amp; BD$1, DataRegularSeason20242025!$E$3:$E$1315, $A49)</f>
        <v>10</v>
      </c>
      <c r="BE49">
        <f>SUMIFS(DataRegularSeason20242025!$AA$3:$AA$1315,DataRegularSeason20242025!$B$3:$B$1315, "&lt;=" &amp; BE$1, DataRegularSeason20242025!$D$3:$D$1315, $A49)+SUMIFS(DataRegularSeason20242025!$AB$3:$AB$1315,DataRegularSeason20242025!$B$3:$B$1315, "&lt;=" &amp; BE$1, DataRegularSeason20242025!$E$3:$E$1315, $A49)</f>
        <v>10</v>
      </c>
      <c r="BF49">
        <f>SUMIFS(DataRegularSeason20242025!$AA$3:$AA$1315,DataRegularSeason20242025!$B$3:$B$1315, "&lt;=" &amp; BF$1, DataRegularSeason20242025!$D$3:$D$1315, $A49)+SUMIFS(DataRegularSeason20242025!$AB$3:$AB$1315,DataRegularSeason20242025!$B$3:$B$1315, "&lt;=" &amp; BF$1, DataRegularSeason20242025!$E$3:$E$1315, $A49)</f>
        <v>10</v>
      </c>
      <c r="BG49">
        <f>SUMIFS(DataRegularSeason20242025!$AA$3:$AA$1315,DataRegularSeason20242025!$B$3:$B$1315, "&lt;=" &amp; BG$1, DataRegularSeason20242025!$D$3:$D$1315, $A49)+SUMIFS(DataRegularSeason20242025!$AB$3:$AB$1315,DataRegularSeason20242025!$B$3:$B$1315, "&lt;=" &amp; BG$1, DataRegularSeason20242025!$E$3:$E$1315, $A49)</f>
        <v>10</v>
      </c>
      <c r="BH49">
        <f>SUMIFS(DataRegularSeason20242025!$AA$3:$AA$1315,DataRegularSeason20242025!$B$3:$B$1315, "&lt;=" &amp; BH$1, DataRegularSeason20242025!$D$3:$D$1315, $A49)+SUMIFS(DataRegularSeason20242025!$AB$3:$AB$1315,DataRegularSeason20242025!$B$3:$B$1315, "&lt;=" &amp; BH$1, DataRegularSeason20242025!$E$3:$E$1315, $A49)</f>
        <v>10</v>
      </c>
      <c r="BI49">
        <f>SUMIFS(DataRegularSeason20242025!$AA$3:$AA$1315,DataRegularSeason20242025!$B$3:$B$1315, "&lt;=" &amp; BI$1, DataRegularSeason20242025!$D$3:$D$1315, $A49)+SUMIFS(DataRegularSeason20242025!$AB$3:$AB$1315,DataRegularSeason20242025!$B$3:$B$1315, "&lt;=" &amp; BI$1, DataRegularSeason20242025!$E$3:$E$1315, $A49)</f>
        <v>10</v>
      </c>
      <c r="BJ49">
        <f>SUMIFS(DataRegularSeason20242025!$AA$3:$AA$1315,DataRegularSeason20242025!$B$3:$B$1315, "&lt;=" &amp; BJ$1, DataRegularSeason20242025!$D$3:$D$1315, $A49)+SUMIFS(DataRegularSeason20242025!$AB$3:$AB$1315,DataRegularSeason20242025!$B$3:$B$1315, "&lt;=" &amp; BJ$1, DataRegularSeason20242025!$E$3:$E$1315, $A49)</f>
        <v>10</v>
      </c>
      <c r="BK49">
        <f>SUMIFS(DataRegularSeason20242025!$AA$3:$AA$1315,DataRegularSeason20242025!$B$3:$B$1315, "&lt;=" &amp; BK$1, DataRegularSeason20242025!$D$3:$D$1315, $A49)+SUMIFS(DataRegularSeason20242025!$AB$3:$AB$1315,DataRegularSeason20242025!$B$3:$B$1315, "&lt;=" &amp; BK$1, DataRegularSeason20242025!$E$3:$E$1315, $A49)</f>
        <v>10</v>
      </c>
      <c r="BL49">
        <f>SUMIFS(DataRegularSeason20242025!$AA$3:$AA$1315,DataRegularSeason20242025!$B$3:$B$1315, "&lt;=" &amp; BL$1, DataRegularSeason20242025!$D$3:$D$1315, $A49)+SUMIFS(DataRegularSeason20242025!$AB$3:$AB$1315,DataRegularSeason20242025!$B$3:$B$1315, "&lt;=" &amp; BL$1, DataRegularSeason20242025!$E$3:$E$1315, $A49)</f>
        <v>10</v>
      </c>
      <c r="BM49">
        <f>SUMIFS(DataRegularSeason20242025!$AA$3:$AA$1315,DataRegularSeason20242025!$B$3:$B$1315, "&lt;=" &amp; BM$1, DataRegularSeason20242025!$D$3:$D$1315, $A49)+SUMIFS(DataRegularSeason20242025!$AB$3:$AB$1315,DataRegularSeason20242025!$B$3:$B$1315, "&lt;=" &amp; BM$1, DataRegularSeason20242025!$E$3:$E$1315, $A49)</f>
        <v>10</v>
      </c>
      <c r="BN49">
        <f>SUMIFS(DataRegularSeason20242025!$AA$3:$AA$1315,DataRegularSeason20242025!$B$3:$B$1315, "&lt;=" &amp; BN$1, DataRegularSeason20242025!$D$3:$D$1315, $A49)+SUMIFS(DataRegularSeason20242025!$AB$3:$AB$1315,DataRegularSeason20242025!$B$3:$B$1315, "&lt;=" &amp; BN$1, DataRegularSeason20242025!$E$3:$E$1315, $A49)</f>
        <v>10</v>
      </c>
      <c r="BO49">
        <f>SUMIFS(DataRegularSeason20242025!$AA$3:$AA$1315,DataRegularSeason20242025!$B$3:$B$1315, "&lt;=" &amp; BO$1, DataRegularSeason20242025!$D$3:$D$1315, $A49)+SUMIFS(DataRegularSeason20242025!$AB$3:$AB$1315,DataRegularSeason20242025!$B$3:$B$1315, "&lt;=" &amp; BO$1, DataRegularSeason20242025!$E$3:$E$1315, $A49)</f>
        <v>10</v>
      </c>
      <c r="BP49">
        <f>SUMIFS(DataRegularSeason20242025!$AA$3:$AA$1315,DataRegularSeason20242025!$B$3:$B$1315, "&lt;=" &amp; BP$1, DataRegularSeason20242025!$D$3:$D$1315, $A49)+SUMIFS(DataRegularSeason20242025!$AB$3:$AB$1315,DataRegularSeason20242025!$B$3:$B$1315, "&lt;=" &amp; BP$1, DataRegularSeason20242025!$E$3:$E$1315, $A49)</f>
        <v>10</v>
      </c>
      <c r="BQ49">
        <f>SUMIFS(DataRegularSeason20242025!$AA$3:$AA$1315,DataRegularSeason20242025!$B$3:$B$1315, "&lt;=" &amp; BQ$1, DataRegularSeason20242025!$D$3:$D$1315, $A49)+SUMIFS(DataRegularSeason20242025!$AB$3:$AB$1315,DataRegularSeason20242025!$B$3:$B$1315, "&lt;=" &amp; BQ$1, DataRegularSeason20242025!$E$3:$E$1315, $A49)</f>
        <v>10</v>
      </c>
      <c r="BR49">
        <f>SUMIFS(DataRegularSeason20242025!$AA$3:$AA$1315,DataRegularSeason20242025!$B$3:$B$1315, "&lt;=" &amp; BR$1, DataRegularSeason20242025!$D$3:$D$1315, $A49)+SUMIFS(DataRegularSeason20242025!$AB$3:$AB$1315,DataRegularSeason20242025!$B$3:$B$1315, "&lt;=" &amp; BR$1, DataRegularSeason20242025!$E$3:$E$1315, $A49)</f>
        <v>10</v>
      </c>
      <c r="BS49">
        <f>SUMIFS(DataRegularSeason20242025!$AA$3:$AA$1315,DataRegularSeason20242025!$B$3:$B$1315, "&lt;=" &amp; BS$1, DataRegularSeason20242025!$D$3:$D$1315, $A49)+SUMIFS(DataRegularSeason20242025!$AB$3:$AB$1315,DataRegularSeason20242025!$B$3:$B$1315, "&lt;=" &amp; BS$1, DataRegularSeason20242025!$E$3:$E$1315, $A49)</f>
        <v>10</v>
      </c>
      <c r="BT49">
        <f>SUMIFS(DataRegularSeason20242025!$AA$3:$AA$1315,DataRegularSeason20242025!$B$3:$B$1315, "&lt;=" &amp; BT$1, DataRegularSeason20242025!$D$3:$D$1315, $A49)+SUMIFS(DataRegularSeason20242025!$AB$3:$AB$1315,DataRegularSeason20242025!$B$3:$B$1315, "&lt;=" &amp; BT$1, DataRegularSeason20242025!$E$3:$E$1315, $A49)</f>
        <v>10</v>
      </c>
      <c r="BU49">
        <f>SUMIFS(DataRegularSeason20242025!$AA$3:$AA$1315,DataRegularSeason20242025!$B$3:$B$1315, "&lt;=" &amp; BU$1, DataRegularSeason20242025!$D$3:$D$1315, $A49)+SUMIFS(DataRegularSeason20242025!$AB$3:$AB$1315,DataRegularSeason20242025!$B$3:$B$1315, "&lt;=" &amp; BU$1, DataRegularSeason20242025!$E$3:$E$1315, $A49)</f>
        <v>10</v>
      </c>
      <c r="BV49">
        <f>SUMIFS(DataRegularSeason20242025!$AA$3:$AA$1315,DataRegularSeason20242025!$B$3:$B$1315, "&lt;=" &amp; BV$1, DataRegularSeason20242025!$D$3:$D$1315, $A49)+SUMIFS(DataRegularSeason20242025!$AB$3:$AB$1315,DataRegularSeason20242025!$B$3:$B$1315, "&lt;=" &amp; BV$1, DataRegularSeason20242025!$E$3:$E$1315, $A49)</f>
        <v>10</v>
      </c>
      <c r="BW49">
        <f>SUMIFS(DataRegularSeason20242025!$AA$3:$AA$1315,DataRegularSeason20242025!$B$3:$B$1315, "&lt;=" &amp; BW$1, DataRegularSeason20242025!$D$3:$D$1315, $A49)+SUMIFS(DataRegularSeason20242025!$AB$3:$AB$1315,DataRegularSeason20242025!$B$3:$B$1315, "&lt;=" &amp; BW$1, DataRegularSeason20242025!$E$3:$E$1315, $A49)</f>
        <v>10</v>
      </c>
      <c r="BX49">
        <f>SUMIFS(DataRegularSeason20242025!$AA$3:$AA$1315,DataRegularSeason20242025!$B$3:$B$1315, "&lt;=" &amp; BX$1, DataRegularSeason20242025!$D$3:$D$1315, $A49)+SUMIFS(DataRegularSeason20242025!$AB$3:$AB$1315,DataRegularSeason20242025!$B$3:$B$1315, "&lt;=" &amp; BX$1, DataRegularSeason20242025!$E$3:$E$1315, $A49)</f>
        <v>10</v>
      </c>
      <c r="BY49">
        <f>SUMIFS(DataRegularSeason20242025!$AA$3:$AA$1315,DataRegularSeason20242025!$B$3:$B$1315, "&lt;=" &amp; BY$1, DataRegularSeason20242025!$D$3:$D$1315, $A49)+SUMIFS(DataRegularSeason20242025!$AB$3:$AB$1315,DataRegularSeason20242025!$B$3:$B$1315, "&lt;=" &amp; BY$1, DataRegularSeason20242025!$E$3:$E$1315, $A49)</f>
        <v>10</v>
      </c>
      <c r="BZ49">
        <f>SUMIFS(DataRegularSeason20242025!$AA$3:$AA$1315,DataRegularSeason20242025!$B$3:$B$1315, "&lt;=" &amp; BZ$1, DataRegularSeason20242025!$D$3:$D$1315, $A49)+SUMIFS(DataRegularSeason20242025!$AB$3:$AB$1315,DataRegularSeason20242025!$B$3:$B$1315, "&lt;=" &amp; BZ$1, DataRegularSeason20242025!$E$3:$E$1315, $A49)</f>
        <v>10</v>
      </c>
      <c r="CA49">
        <f>SUMIFS(DataRegularSeason20242025!$AA$3:$AA$1315,DataRegularSeason20242025!$B$3:$B$1315, "&lt;=" &amp; CA$1, DataRegularSeason20242025!$D$3:$D$1315, $A49)+SUMIFS(DataRegularSeason20242025!$AB$3:$AB$1315,DataRegularSeason20242025!$B$3:$B$1315, "&lt;=" &amp; CA$1, DataRegularSeason20242025!$E$3:$E$1315, $A49)</f>
        <v>10</v>
      </c>
      <c r="CB49">
        <f>SUMIFS(DataRegularSeason20242025!$AA$3:$AA$1315,DataRegularSeason20242025!$B$3:$B$1315, "&lt;=" &amp; CB$1, DataRegularSeason20242025!$D$3:$D$1315, $A49)+SUMIFS(DataRegularSeason20242025!$AB$3:$AB$1315,DataRegularSeason20242025!$B$3:$B$1315, "&lt;=" &amp; CB$1, DataRegularSeason20242025!$E$3:$E$1315, $A49)</f>
        <v>10</v>
      </c>
      <c r="CC49">
        <f>SUMIFS(DataRegularSeason20242025!$AA$3:$AA$1315,DataRegularSeason20242025!$B$3:$B$1315, "&lt;=" &amp; CC$1, DataRegularSeason20242025!$D$3:$D$1315, $A49)+SUMIFS(DataRegularSeason20242025!$AB$3:$AB$1315,DataRegularSeason20242025!$B$3:$B$1315, "&lt;=" &amp; CC$1, DataRegularSeason20242025!$E$3:$E$1315, $A49)</f>
        <v>10</v>
      </c>
      <c r="CD49">
        <f>SUMIFS(DataRegularSeason20242025!$AA$3:$AA$1315,DataRegularSeason20242025!$B$3:$B$1315, "&lt;=" &amp; CD$1, DataRegularSeason20242025!$D$3:$D$1315, $A49)+SUMIFS(DataRegularSeason20242025!$AB$3:$AB$1315,DataRegularSeason20242025!$B$3:$B$1315, "&lt;=" &amp; CD$1, DataRegularSeason20242025!$E$3:$E$1315, $A49)</f>
        <v>10</v>
      </c>
      <c r="CE49">
        <f>SUMIFS(DataRegularSeason20242025!$AA$3:$AA$1315,DataRegularSeason20242025!$B$3:$B$1315, "&lt;=" &amp; CE$1, DataRegularSeason20242025!$D$3:$D$1315, $A49)+SUMIFS(DataRegularSeason20242025!$AB$3:$AB$1315,DataRegularSeason20242025!$B$3:$B$1315, "&lt;=" &amp; CE$1, DataRegularSeason20242025!$E$3:$E$1315, $A49)</f>
        <v>10</v>
      </c>
      <c r="CF49">
        <f>SUMIFS(DataRegularSeason20242025!$AA$3:$AA$1315,DataRegularSeason20242025!$B$3:$B$1315, "&lt;=" &amp; CF$1, DataRegularSeason20242025!$D$3:$D$1315, $A49)+SUMIFS(DataRegularSeason20242025!$AB$3:$AB$1315,DataRegularSeason20242025!$B$3:$B$1315, "&lt;=" &amp; CF$1, DataRegularSeason20242025!$E$3:$E$1315, $A49)</f>
        <v>10</v>
      </c>
      <c r="CG49">
        <f>SUMIFS(DataRegularSeason20242025!$AA$3:$AA$1315,DataRegularSeason20242025!$B$3:$B$1315, "&lt;=" &amp; CG$1, DataRegularSeason20242025!$D$3:$D$1315, $A49)+SUMIFS(DataRegularSeason20242025!$AB$3:$AB$1315,DataRegularSeason20242025!$B$3:$B$1315, "&lt;=" &amp; CG$1, DataRegularSeason20242025!$E$3:$E$1315, $A49)</f>
        <v>10</v>
      </c>
      <c r="CH49">
        <f>SUMIFS(DataRegularSeason20242025!$AA$3:$AA$1315,DataRegularSeason20242025!$B$3:$B$1315, "&lt;=" &amp; CH$1, DataRegularSeason20242025!$D$3:$D$1315, $A49)+SUMIFS(DataRegularSeason20242025!$AB$3:$AB$1315,DataRegularSeason20242025!$B$3:$B$1315, "&lt;=" &amp; CH$1, DataRegularSeason20242025!$E$3:$E$1315, $A49)</f>
        <v>10</v>
      </c>
      <c r="CI49">
        <f>SUMIFS(DataRegularSeason20242025!$AA$3:$AA$1315,DataRegularSeason20242025!$B$3:$B$1315, "&lt;=" &amp; CI$1, DataRegularSeason20242025!$D$3:$D$1315, $A49)+SUMIFS(DataRegularSeason20242025!$AB$3:$AB$1315,DataRegularSeason20242025!$B$3:$B$1315, "&lt;=" &amp; CI$1, DataRegularSeason20242025!$E$3:$E$1315, $A49)</f>
        <v>10</v>
      </c>
      <c r="CJ49">
        <f>SUMIFS(DataRegularSeason20242025!$AA$3:$AA$1315,DataRegularSeason20242025!$B$3:$B$1315, "&lt;=" &amp; CJ$1, DataRegularSeason20242025!$D$3:$D$1315, $A49)+SUMIFS(DataRegularSeason20242025!$AB$3:$AB$1315,DataRegularSeason20242025!$B$3:$B$1315, "&lt;=" &amp; CJ$1, DataRegularSeason20242025!$E$3:$E$1315, $A49)</f>
        <v>10</v>
      </c>
      <c r="CK49">
        <f>SUMIFS(DataRegularSeason20242025!$AA$3:$AA$1315,DataRegularSeason20242025!$B$3:$B$1315, "&lt;=" &amp; CK$1, DataRegularSeason20242025!$D$3:$D$1315, $A49)+SUMIFS(DataRegularSeason20242025!$AB$3:$AB$1315,DataRegularSeason20242025!$B$3:$B$1315, "&lt;=" &amp; CK$1, DataRegularSeason20242025!$E$3:$E$1315, $A49)</f>
        <v>10</v>
      </c>
      <c r="CL49">
        <f>SUMIFS(DataRegularSeason20242025!$AA$3:$AA$1315,DataRegularSeason20242025!$B$3:$B$1315, "&lt;=" &amp; CL$1, DataRegularSeason20242025!$D$3:$D$1315, $A49)+SUMIFS(DataRegularSeason20242025!$AB$3:$AB$1315,DataRegularSeason20242025!$B$3:$B$1315, "&lt;=" &amp; CL$1, DataRegularSeason20242025!$E$3:$E$1315, $A49)</f>
        <v>10</v>
      </c>
      <c r="CM49">
        <f>SUMIFS(DataRegularSeason20242025!$AA$3:$AA$1315,DataRegularSeason20242025!$B$3:$B$1315, "&lt;=" &amp; CM$1, DataRegularSeason20242025!$D$3:$D$1315, $A49)+SUMIFS(DataRegularSeason20242025!$AB$3:$AB$1315,DataRegularSeason20242025!$B$3:$B$1315, "&lt;=" &amp; CM$1, DataRegularSeason20242025!$E$3:$E$1315, $A49)</f>
        <v>10</v>
      </c>
      <c r="CN49">
        <f>SUMIFS(DataRegularSeason20242025!$AA$3:$AA$1315,DataRegularSeason20242025!$B$3:$B$1315, "&lt;=" &amp; CN$1, DataRegularSeason20242025!$D$3:$D$1315, $A49)+SUMIFS(DataRegularSeason20242025!$AB$3:$AB$1315,DataRegularSeason20242025!$B$3:$B$1315, "&lt;=" &amp; CN$1, DataRegularSeason20242025!$E$3:$E$1315, $A49)</f>
        <v>10</v>
      </c>
      <c r="CO49">
        <f>SUMIFS(DataRegularSeason20242025!$AA$3:$AA$1315,DataRegularSeason20242025!$B$3:$B$1315, "&lt;=" &amp; CO$1, DataRegularSeason20242025!$D$3:$D$1315, $A49)+SUMIFS(DataRegularSeason20242025!$AB$3:$AB$1315,DataRegularSeason20242025!$B$3:$B$1315, "&lt;=" &amp; CO$1, DataRegularSeason20242025!$E$3:$E$1315, $A49)</f>
        <v>10</v>
      </c>
      <c r="CP49">
        <f>SUMIFS(DataRegularSeason20242025!$AA$3:$AA$1315,DataRegularSeason20242025!$B$3:$B$1315, "&lt;=" &amp; CP$1, DataRegularSeason20242025!$D$3:$D$1315, $A49)+SUMIFS(DataRegularSeason20242025!$AB$3:$AB$1315,DataRegularSeason20242025!$B$3:$B$1315, "&lt;=" &amp; CP$1, DataRegularSeason20242025!$E$3:$E$1315, $A49)</f>
        <v>10</v>
      </c>
      <c r="CQ49">
        <f>SUMIFS(DataRegularSeason20242025!$AA$3:$AA$1315,DataRegularSeason20242025!$B$3:$B$1315, "&lt;=" &amp; CQ$1, DataRegularSeason20242025!$D$3:$D$1315, $A49)+SUMIFS(DataRegularSeason20242025!$AB$3:$AB$1315,DataRegularSeason20242025!$B$3:$B$1315, "&lt;=" &amp; CQ$1, DataRegularSeason20242025!$E$3:$E$1315, $A49)</f>
        <v>10</v>
      </c>
      <c r="CR49">
        <f>SUMIFS(DataRegularSeason20242025!$AA$3:$AA$1315,DataRegularSeason20242025!$B$3:$B$1315, "&lt;=" &amp; CR$1, DataRegularSeason20242025!$D$3:$D$1315, $A49)+SUMIFS(DataRegularSeason20242025!$AB$3:$AB$1315,DataRegularSeason20242025!$B$3:$B$1315, "&lt;=" &amp; CR$1, DataRegularSeason20242025!$E$3:$E$1315, $A49)</f>
        <v>10</v>
      </c>
      <c r="CS49">
        <f>SUMIFS(DataRegularSeason20242025!$AA$3:$AA$1315,DataRegularSeason20242025!$B$3:$B$1315, "&lt;=" &amp; CS$1, DataRegularSeason20242025!$D$3:$D$1315, $A49)+SUMIFS(DataRegularSeason20242025!$AB$3:$AB$1315,DataRegularSeason20242025!$B$3:$B$1315, "&lt;=" &amp; CS$1, DataRegularSeason20242025!$E$3:$E$1315, $A49)</f>
        <v>10</v>
      </c>
      <c r="CT49">
        <f>SUMIFS(DataRegularSeason20242025!$AA$3:$AA$1315,DataRegularSeason20242025!$B$3:$B$1315, "&lt;=" &amp; CT$1, DataRegularSeason20242025!$D$3:$D$1315, $A49)+SUMIFS(DataRegularSeason20242025!$AB$3:$AB$1315,DataRegularSeason20242025!$B$3:$B$1315, "&lt;=" &amp; CT$1, DataRegularSeason20242025!$E$3:$E$1315, $A49)</f>
        <v>10</v>
      </c>
      <c r="CU49">
        <f>SUMIFS(DataRegularSeason20242025!$AA$3:$AA$1315,DataRegularSeason20242025!$B$3:$B$1315, "&lt;=" &amp; CU$1, DataRegularSeason20242025!$D$3:$D$1315, $A49)+SUMIFS(DataRegularSeason20242025!$AB$3:$AB$1315,DataRegularSeason20242025!$B$3:$B$1315, "&lt;=" &amp; CU$1, DataRegularSeason20242025!$E$3:$E$1315, $A49)</f>
        <v>10</v>
      </c>
      <c r="CV49">
        <f>SUMIFS(DataRegularSeason20242025!$AA$3:$AA$1315,DataRegularSeason20242025!$B$3:$B$1315, "&lt;=" &amp; CV$1, DataRegularSeason20242025!$D$3:$D$1315, $A49)+SUMIFS(DataRegularSeason20242025!$AB$3:$AB$1315,DataRegularSeason20242025!$B$3:$B$1315, "&lt;=" &amp; CV$1, DataRegularSeason20242025!$E$3:$E$1315, $A49)</f>
        <v>10</v>
      </c>
      <c r="CW49">
        <f>SUMIFS(DataRegularSeason20242025!$AA$3:$AA$1315,DataRegularSeason20242025!$B$3:$B$1315, "&lt;=" &amp; CW$1, DataRegularSeason20242025!$D$3:$D$1315, $A49)+SUMIFS(DataRegularSeason20242025!$AB$3:$AB$1315,DataRegularSeason20242025!$B$3:$B$1315, "&lt;=" &amp; CW$1, DataRegularSeason20242025!$E$3:$E$1315, $A49)</f>
        <v>10</v>
      </c>
      <c r="CX49">
        <f>SUMIFS(DataRegularSeason20242025!$AA$3:$AA$1315,DataRegularSeason20242025!$B$3:$B$1315, "&lt;=" &amp; CX$1, DataRegularSeason20242025!$D$3:$D$1315, $A49)+SUMIFS(DataRegularSeason20242025!$AB$3:$AB$1315,DataRegularSeason20242025!$B$3:$B$1315, "&lt;=" &amp; CX$1, DataRegularSeason20242025!$E$3:$E$1315, $A49)</f>
        <v>10</v>
      </c>
      <c r="CY49">
        <f>SUMIFS(DataRegularSeason20242025!$AA$3:$AA$1315,DataRegularSeason20242025!$B$3:$B$1315, "&lt;=" &amp; CY$1, DataRegularSeason20242025!$D$3:$D$1315, $A49)+SUMIFS(DataRegularSeason20242025!$AB$3:$AB$1315,DataRegularSeason20242025!$B$3:$B$1315, "&lt;=" &amp; CY$1, DataRegularSeason20242025!$E$3:$E$1315, $A49)</f>
        <v>10</v>
      </c>
      <c r="CZ49">
        <f>SUMIFS(DataRegularSeason20242025!$AA$3:$AA$1315,DataRegularSeason20242025!$B$3:$B$1315, "&lt;=" &amp; CZ$1, DataRegularSeason20242025!$D$3:$D$1315, $A49)+SUMIFS(DataRegularSeason20242025!$AB$3:$AB$1315,DataRegularSeason20242025!$B$3:$B$1315, "&lt;=" &amp; CZ$1, DataRegularSeason20242025!$E$3:$E$1315, $A49)</f>
        <v>10</v>
      </c>
      <c r="DA49">
        <f>SUMIFS(DataRegularSeason20242025!$AA$3:$AA$1315,DataRegularSeason20242025!$B$3:$B$1315, "&lt;=" &amp; DA$1, DataRegularSeason20242025!$D$3:$D$1315, $A49)+SUMIFS(DataRegularSeason20242025!$AB$3:$AB$1315,DataRegularSeason20242025!$B$3:$B$1315, "&lt;=" &amp; DA$1, DataRegularSeason20242025!$E$3:$E$1315, $A49)</f>
        <v>10</v>
      </c>
      <c r="DB49">
        <f>SUMIFS(DataRegularSeason20242025!$AA$3:$AA$1315,DataRegularSeason20242025!$B$3:$B$1315, "&lt;=" &amp; DB$1, DataRegularSeason20242025!$D$3:$D$1315, $A49)+SUMIFS(DataRegularSeason20242025!$AB$3:$AB$1315,DataRegularSeason20242025!$B$3:$B$1315, "&lt;=" &amp; DB$1, DataRegularSeason20242025!$E$3:$E$1315, $A49)</f>
        <v>10</v>
      </c>
      <c r="DC49">
        <f>SUMIFS(DataRegularSeason20242025!$AA$3:$AA$1315,DataRegularSeason20242025!$B$3:$B$1315, "&lt;=" &amp; DC$1, DataRegularSeason20242025!$D$3:$D$1315, $A49)+SUMIFS(DataRegularSeason20242025!$AB$3:$AB$1315,DataRegularSeason20242025!$B$3:$B$1315, "&lt;=" &amp; DC$1, DataRegularSeason20242025!$E$3:$E$1315, $A49)</f>
        <v>10</v>
      </c>
      <c r="DD49">
        <f>SUMIFS(DataRegularSeason20242025!$AA$3:$AA$1315,DataRegularSeason20242025!$B$3:$B$1315, "&lt;=" &amp; DD$1, DataRegularSeason20242025!$D$3:$D$1315, $A49)+SUMIFS(DataRegularSeason20242025!$AB$3:$AB$1315,DataRegularSeason20242025!$B$3:$B$1315, "&lt;=" &amp; DD$1, DataRegularSeason20242025!$E$3:$E$1315, $A49)</f>
        <v>10</v>
      </c>
      <c r="DE49">
        <f>SUMIFS(DataRegularSeason20242025!$AA$3:$AA$1315,DataRegularSeason20242025!$B$3:$B$1315, "&lt;=" &amp; DE$1, DataRegularSeason20242025!$D$3:$D$1315, $A49)+SUMIFS(DataRegularSeason20242025!$AB$3:$AB$1315,DataRegularSeason20242025!$B$3:$B$1315, "&lt;=" &amp; DE$1, DataRegularSeason20242025!$E$3:$E$1315, $A49)</f>
        <v>10</v>
      </c>
      <c r="DF49">
        <f>SUMIFS(DataRegularSeason20242025!$AA$3:$AA$1315,DataRegularSeason20242025!$B$3:$B$1315, "&lt;=" &amp; DF$1, DataRegularSeason20242025!$D$3:$D$1315, $A49)+SUMIFS(DataRegularSeason20242025!$AB$3:$AB$1315,DataRegularSeason20242025!$B$3:$B$1315, "&lt;=" &amp; DF$1, DataRegularSeason20242025!$E$3:$E$1315, $A49)</f>
        <v>10</v>
      </c>
      <c r="DG49">
        <f>SUMIFS(DataRegularSeason20242025!$AA$3:$AA$1315,DataRegularSeason20242025!$B$3:$B$1315, "&lt;=" &amp; DG$1, DataRegularSeason20242025!$D$3:$D$1315, $A49)+SUMIFS(DataRegularSeason20242025!$AB$3:$AB$1315,DataRegularSeason20242025!$B$3:$B$1315, "&lt;=" &amp; DG$1, DataRegularSeason20242025!$E$3:$E$1315, $A49)</f>
        <v>10</v>
      </c>
      <c r="DH49">
        <f>SUMIFS(DataRegularSeason20242025!$AA$3:$AA$1315,DataRegularSeason20242025!$B$3:$B$1315, "&lt;=" &amp; DH$1, DataRegularSeason20242025!$D$3:$D$1315, $A49)+SUMIFS(DataRegularSeason20242025!$AB$3:$AB$1315,DataRegularSeason20242025!$B$3:$B$1315, "&lt;=" &amp; DH$1, DataRegularSeason20242025!$E$3:$E$1315, $A49)</f>
        <v>10</v>
      </c>
      <c r="DI49">
        <f>SUMIFS(DataRegularSeason20242025!$AA$3:$AA$1315,DataRegularSeason20242025!$B$3:$B$1315, "&lt;=" &amp; DI$1, DataRegularSeason20242025!$D$3:$D$1315, $A49)+SUMIFS(DataRegularSeason20242025!$AB$3:$AB$1315,DataRegularSeason20242025!$B$3:$B$1315, "&lt;=" &amp; DI$1, DataRegularSeason20242025!$E$3:$E$1315, $A49)</f>
        <v>10</v>
      </c>
      <c r="DJ49">
        <f>SUMIFS(DataRegularSeason20242025!$AA$3:$AA$1315,DataRegularSeason20242025!$B$3:$B$1315, "&lt;=" &amp; DJ$1, DataRegularSeason20242025!$D$3:$D$1315, $A49)+SUMIFS(DataRegularSeason20242025!$AB$3:$AB$1315,DataRegularSeason20242025!$B$3:$B$1315, "&lt;=" &amp; DJ$1, DataRegularSeason20242025!$E$3:$E$1315, $A49)</f>
        <v>10</v>
      </c>
      <c r="DK49">
        <f>SUMIFS(DataRegularSeason20242025!$AA$3:$AA$1315,DataRegularSeason20242025!$B$3:$B$1315, "&lt;=" &amp; DK$1, DataRegularSeason20242025!$D$3:$D$1315, $A49)+SUMIFS(DataRegularSeason20242025!$AB$3:$AB$1315,DataRegularSeason20242025!$B$3:$B$1315, "&lt;=" &amp; DK$1, DataRegularSeason20242025!$E$3:$E$1315, $A49)</f>
        <v>10</v>
      </c>
      <c r="DL49">
        <f>SUMIFS(DataRegularSeason20242025!$AA$3:$AA$1315,DataRegularSeason20242025!$B$3:$B$1315, "&lt;=" &amp; DL$1, DataRegularSeason20242025!$D$3:$D$1315, $A49)+SUMIFS(DataRegularSeason20242025!$AB$3:$AB$1315,DataRegularSeason20242025!$B$3:$B$1315, "&lt;=" &amp; DL$1, DataRegularSeason20242025!$E$3:$E$1315, $A49)</f>
        <v>10</v>
      </c>
      <c r="DM49">
        <f>SUMIFS(DataRegularSeason20242025!$AA$3:$AA$1315,DataRegularSeason20242025!$B$3:$B$1315, "&lt;=" &amp; DM$1, DataRegularSeason20242025!$D$3:$D$1315, $A49)+SUMIFS(DataRegularSeason20242025!$AB$3:$AB$1315,DataRegularSeason20242025!$B$3:$B$1315, "&lt;=" &amp; DM$1, DataRegularSeason20242025!$E$3:$E$1315, $A49)</f>
        <v>10</v>
      </c>
      <c r="DN49">
        <f>SUMIFS(DataRegularSeason20242025!$AA$3:$AA$1315,DataRegularSeason20242025!$B$3:$B$1315, "&lt;=" &amp; DN$1, DataRegularSeason20242025!$D$3:$D$1315, $A49)+SUMIFS(DataRegularSeason20242025!$AB$3:$AB$1315,DataRegularSeason20242025!$B$3:$B$1315, "&lt;=" &amp; DN$1, DataRegularSeason20242025!$E$3:$E$1315, $A49)</f>
        <v>10</v>
      </c>
      <c r="DO49">
        <f>SUMIFS(DataRegularSeason20242025!$AA$3:$AA$1315,DataRegularSeason20242025!$B$3:$B$1315, "&lt;=" &amp; DO$1, DataRegularSeason20242025!$D$3:$D$1315, $A49)+SUMIFS(DataRegularSeason20242025!$AB$3:$AB$1315,DataRegularSeason20242025!$B$3:$B$1315, "&lt;=" &amp; DO$1, DataRegularSeason20242025!$E$3:$E$1315, $A49)</f>
        <v>10</v>
      </c>
      <c r="DP49">
        <f>SUMIFS(DataRegularSeason20242025!$AA$3:$AA$1315,DataRegularSeason20242025!$B$3:$B$1315, "&lt;=" &amp; DP$1, DataRegularSeason20242025!$D$3:$D$1315, $A49)+SUMIFS(DataRegularSeason20242025!$AB$3:$AB$1315,DataRegularSeason20242025!$B$3:$B$1315, "&lt;=" &amp; DP$1, DataRegularSeason20242025!$E$3:$E$1315, $A49)</f>
        <v>10</v>
      </c>
      <c r="DQ49">
        <f>SUMIFS(DataRegularSeason20242025!$AA$3:$AA$1315,DataRegularSeason20242025!$B$3:$B$1315, "&lt;=" &amp; DQ$1, DataRegularSeason20242025!$D$3:$D$1315, $A49)+SUMIFS(DataRegularSeason20242025!$AB$3:$AB$1315,DataRegularSeason20242025!$B$3:$B$1315, "&lt;=" &amp; DQ$1, DataRegularSeason20242025!$E$3:$E$1315, $A49)</f>
        <v>10</v>
      </c>
      <c r="DR49">
        <f>SUMIFS(DataRegularSeason20242025!$AA$3:$AA$1315,DataRegularSeason20242025!$B$3:$B$1315, "&lt;=" &amp; DR$1, DataRegularSeason20242025!$D$3:$D$1315, $A49)+SUMIFS(DataRegularSeason20242025!$AB$3:$AB$1315,DataRegularSeason20242025!$B$3:$B$1315, "&lt;=" &amp; DR$1, DataRegularSeason20242025!$E$3:$E$1315, $A49)</f>
        <v>10</v>
      </c>
      <c r="DS49">
        <f>SUMIFS(DataRegularSeason20242025!$AA$3:$AA$1315,DataRegularSeason20242025!$B$3:$B$1315, "&lt;=" &amp; DS$1, DataRegularSeason20242025!$D$3:$D$1315, $A49)+SUMIFS(DataRegularSeason20242025!$AB$3:$AB$1315,DataRegularSeason20242025!$B$3:$B$1315, "&lt;=" &amp; DS$1, DataRegularSeason20242025!$E$3:$E$1315, $A49)</f>
        <v>10</v>
      </c>
      <c r="DT49">
        <f>SUMIFS(DataRegularSeason20242025!$AA$3:$AA$1315,DataRegularSeason20242025!$B$3:$B$1315, "&lt;=" &amp; DT$1, DataRegularSeason20242025!$D$3:$D$1315, $A49)+SUMIFS(DataRegularSeason20242025!$AB$3:$AB$1315,DataRegularSeason20242025!$B$3:$B$1315, "&lt;=" &amp; DT$1, DataRegularSeason20242025!$E$3:$E$1315, $A49)</f>
        <v>10</v>
      </c>
      <c r="DU49">
        <f>SUMIFS(DataRegularSeason20242025!$AA$3:$AA$1315,DataRegularSeason20242025!$B$3:$B$1315, "&lt;=" &amp; DU$1, DataRegularSeason20242025!$D$3:$D$1315, $A49)+SUMIFS(DataRegularSeason20242025!$AB$3:$AB$1315,DataRegularSeason20242025!$B$3:$B$1315, "&lt;=" &amp; DU$1, DataRegularSeason20242025!$E$3:$E$1315, $A49)</f>
        <v>10</v>
      </c>
      <c r="DV49">
        <f>SUMIFS(DataRegularSeason20242025!$AA$3:$AA$1315,DataRegularSeason20242025!$B$3:$B$1315, "&lt;=" &amp; DV$1, DataRegularSeason20242025!$D$3:$D$1315, $A49)+SUMIFS(DataRegularSeason20242025!$AB$3:$AB$1315,DataRegularSeason20242025!$B$3:$B$1315, "&lt;=" &amp; DV$1, DataRegularSeason20242025!$E$3:$E$1315, $A49)</f>
        <v>10</v>
      </c>
      <c r="DW49">
        <f>SUMIFS(DataRegularSeason20242025!$AA$3:$AA$1315,DataRegularSeason20242025!$B$3:$B$1315, "&lt;=" &amp; DW$1, DataRegularSeason20242025!$D$3:$D$1315, $A49)+SUMIFS(DataRegularSeason20242025!$AB$3:$AB$1315,DataRegularSeason20242025!$B$3:$B$1315, "&lt;=" &amp; DW$1, DataRegularSeason20242025!$E$3:$E$1315, $A49)</f>
        <v>10</v>
      </c>
      <c r="DX49">
        <f>SUMIFS(DataRegularSeason20242025!$AA$3:$AA$1315,DataRegularSeason20242025!$B$3:$B$1315, "&lt;=" &amp; DX$1, DataRegularSeason20242025!$D$3:$D$1315, $A49)+SUMIFS(DataRegularSeason20242025!$AB$3:$AB$1315,DataRegularSeason20242025!$B$3:$B$1315, "&lt;=" &amp; DX$1, DataRegularSeason20242025!$E$3:$E$1315, $A49)</f>
        <v>10</v>
      </c>
      <c r="DY49">
        <f>SUMIFS(DataRegularSeason20242025!$AA$3:$AA$1315,DataRegularSeason20242025!$B$3:$B$1315, "&lt;=" &amp; DY$1, DataRegularSeason20242025!$D$3:$D$1315, $A49)+SUMIFS(DataRegularSeason20242025!$AB$3:$AB$1315,DataRegularSeason20242025!$B$3:$B$1315, "&lt;=" &amp; DY$1, DataRegularSeason20242025!$E$3:$E$1315, $A49)</f>
        <v>10</v>
      </c>
      <c r="DZ49">
        <f>SUMIFS(DataRegularSeason20242025!$AA$3:$AA$1315,DataRegularSeason20242025!$B$3:$B$1315, "&lt;=" &amp; DZ$1, DataRegularSeason20242025!$D$3:$D$1315, $A49)+SUMIFS(DataRegularSeason20242025!$AB$3:$AB$1315,DataRegularSeason20242025!$B$3:$B$1315, "&lt;=" &amp; DZ$1, DataRegularSeason20242025!$E$3:$E$1315, $A49)</f>
        <v>10</v>
      </c>
      <c r="EA49">
        <f>SUMIFS(DataRegularSeason20242025!$AA$3:$AA$1315,DataRegularSeason20242025!$B$3:$B$1315, "&lt;=" &amp; EA$1, DataRegularSeason20242025!$D$3:$D$1315, $A49)+SUMIFS(DataRegularSeason20242025!$AB$3:$AB$1315,DataRegularSeason20242025!$B$3:$B$1315, "&lt;=" &amp; EA$1, DataRegularSeason20242025!$E$3:$E$1315, $A49)</f>
        <v>10</v>
      </c>
      <c r="EB49">
        <f>SUMIFS(DataRegularSeason20242025!$AA$3:$AA$1315,DataRegularSeason20242025!$B$3:$B$1315, "&lt;=" &amp; EB$1, DataRegularSeason20242025!$D$3:$D$1315, $A49)+SUMIFS(DataRegularSeason20242025!$AB$3:$AB$1315,DataRegularSeason20242025!$B$3:$B$1315, "&lt;=" &amp; EB$1, DataRegularSeason20242025!$E$3:$E$1315, $A49)</f>
        <v>10</v>
      </c>
      <c r="EC49">
        <f>SUMIFS(DataRegularSeason20242025!$AA$3:$AA$1315,DataRegularSeason20242025!$B$3:$B$1315, "&lt;=" &amp; EC$1, DataRegularSeason20242025!$D$3:$D$1315, $A49)+SUMIFS(DataRegularSeason20242025!$AB$3:$AB$1315,DataRegularSeason20242025!$B$3:$B$1315, "&lt;=" &amp; EC$1, DataRegularSeason20242025!$E$3:$E$1315, $A49)</f>
        <v>10</v>
      </c>
      <c r="ED49">
        <f>SUMIFS(DataRegularSeason20242025!$AA$3:$AA$1315,DataRegularSeason20242025!$B$3:$B$1315, "&lt;=" &amp; ED$1, DataRegularSeason20242025!$D$3:$D$1315, $A49)+SUMIFS(DataRegularSeason20242025!$AB$3:$AB$1315,DataRegularSeason20242025!$B$3:$B$1315, "&lt;=" &amp; ED$1, DataRegularSeason20242025!$E$3:$E$1315, $A49)</f>
        <v>10</v>
      </c>
      <c r="EE49">
        <f>SUMIFS(DataRegularSeason20242025!$AA$3:$AA$1315,DataRegularSeason20242025!$B$3:$B$1315, "&lt;=" &amp; EE$1, DataRegularSeason20242025!$D$3:$D$1315, $A49)+SUMIFS(DataRegularSeason20242025!$AB$3:$AB$1315,DataRegularSeason20242025!$B$3:$B$1315, "&lt;=" &amp; EE$1, DataRegularSeason20242025!$E$3:$E$1315, $A49)</f>
        <v>10</v>
      </c>
      <c r="EF49">
        <f>SUMIFS(DataRegularSeason20242025!$AA$3:$AA$1315,DataRegularSeason20242025!$B$3:$B$1315, "&lt;=" &amp; EF$1, DataRegularSeason20242025!$D$3:$D$1315, $A49)+SUMIFS(DataRegularSeason20242025!$AB$3:$AB$1315,DataRegularSeason20242025!$B$3:$B$1315, "&lt;=" &amp; EF$1, DataRegularSeason20242025!$E$3:$E$1315, $A49)</f>
        <v>10</v>
      </c>
      <c r="EG49">
        <f>SUMIFS(DataRegularSeason20242025!$AA$3:$AA$1315,DataRegularSeason20242025!$B$3:$B$1315, "&lt;=" &amp; EG$1, DataRegularSeason20242025!$D$3:$D$1315, $A49)+SUMIFS(DataRegularSeason20242025!$AB$3:$AB$1315,DataRegularSeason20242025!$B$3:$B$1315, "&lt;=" &amp; EG$1, DataRegularSeason20242025!$E$3:$E$1315, $A49)</f>
        <v>10</v>
      </c>
      <c r="EH49">
        <f>SUMIFS(DataRegularSeason20242025!$AA$3:$AA$1315,DataRegularSeason20242025!$B$3:$B$1315, "&lt;=" &amp; EH$1, DataRegularSeason20242025!$D$3:$D$1315, $A49)+SUMIFS(DataRegularSeason20242025!$AB$3:$AB$1315,DataRegularSeason20242025!$B$3:$B$1315, "&lt;=" &amp; EH$1, DataRegularSeason20242025!$E$3:$E$1315, $A49)</f>
        <v>10</v>
      </c>
      <c r="EI49">
        <f>SUMIFS(DataRegularSeason20242025!$AA$3:$AA$1315,DataRegularSeason20242025!$B$3:$B$1315, "&lt;=" &amp; EI$1, DataRegularSeason20242025!$D$3:$D$1315, $A49)+SUMIFS(DataRegularSeason20242025!$AB$3:$AB$1315,DataRegularSeason20242025!$B$3:$B$1315, "&lt;=" &amp; EI$1, DataRegularSeason20242025!$E$3:$E$1315, $A49)</f>
        <v>10</v>
      </c>
      <c r="EJ49">
        <f>SUMIFS(DataRegularSeason20242025!$AA$3:$AA$1315,DataRegularSeason20242025!$B$3:$B$1315, "&lt;=" &amp; EJ$1, DataRegularSeason20242025!$D$3:$D$1315, $A49)+SUMIFS(DataRegularSeason20242025!$AB$3:$AB$1315,DataRegularSeason20242025!$B$3:$B$1315, "&lt;=" &amp; EJ$1, DataRegularSeason20242025!$E$3:$E$1315, $A49)</f>
        <v>10</v>
      </c>
      <c r="EK49">
        <f>SUMIFS(DataRegularSeason20242025!$AA$3:$AA$1315,DataRegularSeason20242025!$B$3:$B$1315, "&lt;=" &amp; EK$1, DataRegularSeason20242025!$D$3:$D$1315, $A49)+SUMIFS(DataRegularSeason20242025!$AB$3:$AB$1315,DataRegularSeason20242025!$B$3:$B$1315, "&lt;=" &amp; EK$1, DataRegularSeason20242025!$E$3:$E$1315, $A49)</f>
        <v>10</v>
      </c>
      <c r="EL49">
        <f>SUMIFS(DataRegularSeason20242025!$AA$3:$AA$1315,DataRegularSeason20242025!$B$3:$B$1315, "&lt;=" &amp; EL$1, DataRegularSeason20242025!$D$3:$D$1315, $A49)+SUMIFS(DataRegularSeason20242025!$AB$3:$AB$1315,DataRegularSeason20242025!$B$3:$B$1315, "&lt;=" &amp; EL$1, DataRegularSeason20242025!$E$3:$E$1315, $A49)</f>
        <v>10</v>
      </c>
      <c r="EM49">
        <f>SUMIFS(DataRegularSeason20242025!$AA$3:$AA$1315,DataRegularSeason20242025!$B$3:$B$1315, "&lt;=" &amp; EM$1, DataRegularSeason20242025!$D$3:$D$1315, $A49)+SUMIFS(DataRegularSeason20242025!$AB$3:$AB$1315,DataRegularSeason20242025!$B$3:$B$1315, "&lt;=" &amp; EM$1, DataRegularSeason20242025!$E$3:$E$1315, $A49)</f>
        <v>10</v>
      </c>
      <c r="EN49">
        <f>SUMIFS(DataRegularSeason20242025!$AA$3:$AA$1315,DataRegularSeason20242025!$B$3:$B$1315, "&lt;=" &amp; EN$1, DataRegularSeason20242025!$D$3:$D$1315, $A49)+SUMIFS(DataRegularSeason20242025!$AB$3:$AB$1315,DataRegularSeason20242025!$B$3:$B$1315, "&lt;=" &amp; EN$1, DataRegularSeason20242025!$E$3:$E$1315, $A49)</f>
        <v>10</v>
      </c>
      <c r="EO49">
        <f>SUMIFS(DataRegularSeason20242025!$AA$3:$AA$1315,DataRegularSeason20242025!$B$3:$B$1315, "&lt;=" &amp; EO$1, DataRegularSeason20242025!$D$3:$D$1315, $A49)+SUMIFS(DataRegularSeason20242025!$AB$3:$AB$1315,DataRegularSeason20242025!$B$3:$B$1315, "&lt;=" &amp; EO$1, DataRegularSeason20242025!$E$3:$E$1315, $A49)</f>
        <v>10</v>
      </c>
      <c r="EP49">
        <f>SUMIFS(DataRegularSeason20242025!$AA$3:$AA$1315,DataRegularSeason20242025!$B$3:$B$1315, "&lt;=" &amp; EP$1, DataRegularSeason20242025!$D$3:$D$1315, $A49)+SUMIFS(DataRegularSeason20242025!$AB$3:$AB$1315,DataRegularSeason20242025!$B$3:$B$1315, "&lt;=" &amp; EP$1, DataRegularSeason20242025!$E$3:$E$1315, $A49)</f>
        <v>10</v>
      </c>
      <c r="EQ49">
        <f>SUMIFS(DataRegularSeason20242025!$AA$3:$AA$1315,DataRegularSeason20242025!$B$3:$B$1315, "&lt;=" &amp; EQ$1, DataRegularSeason20242025!$D$3:$D$1315, $A49)+SUMIFS(DataRegularSeason20242025!$AB$3:$AB$1315,DataRegularSeason20242025!$B$3:$B$1315, "&lt;=" &amp; EQ$1, DataRegularSeason20242025!$E$3:$E$1315, $A49)</f>
        <v>10</v>
      </c>
      <c r="ER49">
        <f>SUMIFS(DataRegularSeason20242025!$AA$3:$AA$1315,DataRegularSeason20242025!$B$3:$B$1315, "&lt;=" &amp; ER$1, DataRegularSeason20242025!$D$3:$D$1315, $A49)+SUMIFS(DataRegularSeason20242025!$AB$3:$AB$1315,DataRegularSeason20242025!$B$3:$B$1315, "&lt;=" &amp; ER$1, DataRegularSeason20242025!$E$3:$E$1315, $A49)</f>
        <v>10</v>
      </c>
      <c r="ES49">
        <f>SUMIFS(DataRegularSeason20242025!$AA$3:$AA$1315,DataRegularSeason20242025!$B$3:$B$1315, "&lt;=" &amp; ES$1, DataRegularSeason20242025!$D$3:$D$1315, $A49)+SUMIFS(DataRegularSeason20242025!$AB$3:$AB$1315,DataRegularSeason20242025!$B$3:$B$1315, "&lt;=" &amp; ES$1, DataRegularSeason20242025!$E$3:$E$1315, $A49)</f>
        <v>10</v>
      </c>
      <c r="ET49">
        <f>SUMIFS(DataRegularSeason20242025!$AA$3:$AA$1315,DataRegularSeason20242025!$B$3:$B$1315, "&lt;=" &amp; ET$1, DataRegularSeason20242025!$D$3:$D$1315, $A49)+SUMIFS(DataRegularSeason20242025!$AB$3:$AB$1315,DataRegularSeason20242025!$B$3:$B$1315, "&lt;=" &amp; ET$1, DataRegularSeason20242025!$E$3:$E$1315, $A49)</f>
        <v>10</v>
      </c>
      <c r="EU49">
        <f>SUMIFS(DataRegularSeason20242025!$AA$3:$AA$1315,DataRegularSeason20242025!$B$3:$B$1315, "&lt;=" &amp; EU$1, DataRegularSeason20242025!$D$3:$D$1315, $A49)+SUMIFS(DataRegularSeason20242025!$AB$3:$AB$1315,DataRegularSeason20242025!$B$3:$B$1315, "&lt;=" &amp; EU$1, DataRegularSeason20242025!$E$3:$E$1315, $A49)</f>
        <v>10</v>
      </c>
      <c r="EV49">
        <f>SUMIFS(DataRegularSeason20242025!$AA$3:$AA$1315,DataRegularSeason20242025!$B$3:$B$1315, "&lt;=" &amp; EV$1, DataRegularSeason20242025!$D$3:$D$1315, $A49)+SUMIFS(DataRegularSeason20242025!$AB$3:$AB$1315,DataRegularSeason20242025!$B$3:$B$1315, "&lt;=" &amp; EV$1, DataRegularSeason20242025!$E$3:$E$1315, $A49)</f>
        <v>10</v>
      </c>
      <c r="EW49">
        <f>SUMIFS(DataRegularSeason20242025!$AA$3:$AA$1315,DataRegularSeason20242025!$B$3:$B$1315, "&lt;=" &amp; EW$1, DataRegularSeason20242025!$D$3:$D$1315, $A49)+SUMIFS(DataRegularSeason20242025!$AB$3:$AB$1315,DataRegularSeason20242025!$B$3:$B$1315, "&lt;=" &amp; EW$1, DataRegularSeason20242025!$E$3:$E$1315, $A49)</f>
        <v>10</v>
      </c>
      <c r="EX49">
        <f>SUMIFS(DataRegularSeason20242025!$AA$3:$AA$1315,DataRegularSeason20242025!$B$3:$B$1315, "&lt;=" &amp; EX$1, DataRegularSeason20242025!$D$3:$D$1315, $A49)+SUMIFS(DataRegularSeason20242025!$AB$3:$AB$1315,DataRegularSeason20242025!$B$3:$B$1315, "&lt;=" &amp; EX$1, DataRegularSeason20242025!$E$3:$E$1315, $A49)</f>
        <v>10</v>
      </c>
      <c r="EY49">
        <f>SUMIFS(DataRegularSeason20242025!$AA$3:$AA$1315,DataRegularSeason20242025!$B$3:$B$1315, "&lt;=" &amp; EY$1, DataRegularSeason20242025!$D$3:$D$1315, $A49)+SUMIFS(DataRegularSeason20242025!$AB$3:$AB$1315,DataRegularSeason20242025!$B$3:$B$1315, "&lt;=" &amp; EY$1, DataRegularSeason20242025!$E$3:$E$1315, $A49)</f>
        <v>10</v>
      </c>
      <c r="EZ49">
        <f>SUMIFS(DataRegularSeason20242025!$AA$3:$AA$1315,DataRegularSeason20242025!$B$3:$B$1315, "&lt;=" &amp; EZ$1, DataRegularSeason20242025!$D$3:$D$1315, $A49)+SUMIFS(DataRegularSeason20242025!$AB$3:$AB$1315,DataRegularSeason20242025!$B$3:$B$1315, "&lt;=" &amp; EZ$1, DataRegularSeason20242025!$E$3:$E$1315, $A49)</f>
        <v>10</v>
      </c>
      <c r="FA49">
        <f>SUMIFS(DataRegularSeason20242025!$AA$3:$AA$1315,DataRegularSeason20242025!$B$3:$B$1315, "&lt;=" &amp; FA$1, DataRegularSeason20242025!$D$3:$D$1315, $A49)+SUMIFS(DataRegularSeason20242025!$AB$3:$AB$1315,DataRegularSeason20242025!$B$3:$B$1315, "&lt;=" &amp; FA$1, DataRegularSeason20242025!$E$3:$E$1315, $A49)</f>
        <v>10</v>
      </c>
      <c r="FB49">
        <f>SUMIFS(DataRegularSeason20242025!$AA$3:$AA$1315,DataRegularSeason20242025!$B$3:$B$1315, "&lt;=" &amp; FB$1, DataRegularSeason20242025!$D$3:$D$1315, $A49)+SUMIFS(DataRegularSeason20242025!$AB$3:$AB$1315,DataRegularSeason20242025!$B$3:$B$1315, "&lt;=" &amp; FB$1, DataRegularSeason20242025!$E$3:$E$1315, $A49)</f>
        <v>10</v>
      </c>
      <c r="FC49">
        <f>SUMIFS(DataRegularSeason20242025!$AA$3:$AA$1315,DataRegularSeason20242025!$B$3:$B$1315, "&lt;=" &amp; FC$1, DataRegularSeason20242025!$D$3:$D$1315, $A49)+SUMIFS(DataRegularSeason20242025!$AB$3:$AB$1315,DataRegularSeason20242025!$B$3:$B$1315, "&lt;=" &amp; FC$1, DataRegularSeason20242025!$E$3:$E$1315, $A49)</f>
        <v>10</v>
      </c>
      <c r="FD49">
        <f>SUMIFS(DataRegularSeason20242025!$AA$3:$AA$1315,DataRegularSeason20242025!$B$3:$B$1315, "&lt;=" &amp; FD$1, DataRegularSeason20242025!$D$3:$D$1315, $A49)+SUMIFS(DataRegularSeason20242025!$AB$3:$AB$1315,DataRegularSeason20242025!$B$3:$B$1315, "&lt;=" &amp; FD$1, DataRegularSeason20242025!$E$3:$E$1315, $A49)</f>
        <v>10</v>
      </c>
      <c r="FE49">
        <f>SUMIFS(DataRegularSeason20242025!$AA$3:$AA$1315,DataRegularSeason20242025!$B$3:$B$1315, "&lt;=" &amp; FE$1, DataRegularSeason20242025!$D$3:$D$1315, $A49)+SUMIFS(DataRegularSeason20242025!$AB$3:$AB$1315,DataRegularSeason20242025!$B$3:$B$1315, "&lt;=" &amp; FE$1, DataRegularSeason20242025!$E$3:$E$1315, $A49)</f>
        <v>10</v>
      </c>
      <c r="FF49">
        <f>SUMIFS(DataRegularSeason20242025!$AA$3:$AA$1315,DataRegularSeason20242025!$B$3:$B$1315, "&lt;=" &amp; FF$1, DataRegularSeason20242025!$D$3:$D$1315, $A49)+SUMIFS(DataRegularSeason20242025!$AB$3:$AB$1315,DataRegularSeason20242025!$B$3:$B$1315, "&lt;=" &amp; FF$1, DataRegularSeason20242025!$E$3:$E$1315, $A49)</f>
        <v>10</v>
      </c>
      <c r="FG49">
        <f>SUMIFS(DataRegularSeason20242025!$AA$3:$AA$1315,DataRegularSeason20242025!$B$3:$B$1315, "&lt;=" &amp; FG$1, DataRegularSeason20242025!$D$3:$D$1315, $A49)+SUMIFS(DataRegularSeason20242025!$AB$3:$AB$1315,DataRegularSeason20242025!$B$3:$B$1315, "&lt;=" &amp; FG$1, DataRegularSeason20242025!$E$3:$E$1315, $A49)</f>
        <v>10</v>
      </c>
      <c r="FH49">
        <f>SUMIFS(DataRegularSeason20242025!$AA$3:$AA$1315,DataRegularSeason20242025!$B$3:$B$1315, "&lt;=" &amp; FH$1, DataRegularSeason20242025!$D$3:$D$1315, $A49)+SUMIFS(DataRegularSeason20242025!$AB$3:$AB$1315,DataRegularSeason20242025!$B$3:$B$1315, "&lt;=" &amp; FH$1, DataRegularSeason20242025!$E$3:$E$1315, $A49)</f>
        <v>10</v>
      </c>
      <c r="FI49">
        <f>SUMIFS(DataRegularSeason20242025!$AA$3:$AA$1315,DataRegularSeason20242025!$B$3:$B$1315, "&lt;=" &amp; FI$1, DataRegularSeason20242025!$D$3:$D$1315, $A49)+SUMIFS(DataRegularSeason20242025!$AB$3:$AB$1315,DataRegularSeason20242025!$B$3:$B$1315, "&lt;=" &amp; FI$1, DataRegularSeason20242025!$E$3:$E$1315, $A49)</f>
        <v>10</v>
      </c>
      <c r="FJ49">
        <f>SUMIFS(DataRegularSeason20242025!$AA$3:$AA$1315,DataRegularSeason20242025!$B$3:$B$1315, "&lt;=" &amp; FJ$1, DataRegularSeason20242025!$D$3:$D$1315, $A49)+SUMIFS(DataRegularSeason20242025!$AB$3:$AB$1315,DataRegularSeason20242025!$B$3:$B$1315, "&lt;=" &amp; FJ$1, DataRegularSeason20242025!$E$3:$E$1315, $A49)</f>
        <v>10</v>
      </c>
      <c r="FK49">
        <f>SUMIFS(DataRegularSeason20242025!$AA$3:$AA$1315,DataRegularSeason20242025!$B$3:$B$1315, "&lt;=" &amp; FK$1, DataRegularSeason20242025!$D$3:$D$1315, $A49)+SUMIFS(DataRegularSeason20242025!$AB$3:$AB$1315,DataRegularSeason20242025!$B$3:$B$1315, "&lt;=" &amp; FK$1, DataRegularSeason20242025!$E$3:$E$1315, $A49)</f>
        <v>10</v>
      </c>
      <c r="FL49">
        <f>SUMIFS(DataRegularSeason20242025!$AA$3:$AA$1315,DataRegularSeason20242025!$B$3:$B$1315, "&lt;=" &amp; FL$1, DataRegularSeason20242025!$D$3:$D$1315, $A49)+SUMIFS(DataRegularSeason20242025!$AB$3:$AB$1315,DataRegularSeason20242025!$B$3:$B$1315, "&lt;=" &amp; FL$1, DataRegularSeason20242025!$E$3:$E$1315, $A49)</f>
        <v>10</v>
      </c>
      <c r="FM49">
        <f>SUMIFS(DataRegularSeason20242025!$AA$3:$AA$1315,DataRegularSeason20242025!$B$3:$B$1315, "&lt;=" &amp; FM$1, DataRegularSeason20242025!$D$3:$D$1315, $A49)+SUMIFS(DataRegularSeason20242025!$AB$3:$AB$1315,DataRegularSeason20242025!$B$3:$B$1315, "&lt;=" &amp; FM$1, DataRegularSeason20242025!$E$3:$E$1315, $A49)</f>
        <v>10</v>
      </c>
      <c r="FN49">
        <f>SUMIFS(DataRegularSeason20242025!$AA$3:$AA$1315,DataRegularSeason20242025!$B$3:$B$1315, "&lt;=" &amp; FN$1, DataRegularSeason20242025!$D$3:$D$1315, $A49)+SUMIFS(DataRegularSeason20242025!$AB$3:$AB$1315,DataRegularSeason20242025!$B$3:$B$1315, "&lt;=" &amp; FN$1, DataRegularSeason20242025!$E$3:$E$1315, $A49)</f>
        <v>10</v>
      </c>
      <c r="FO49">
        <f>SUMIFS(DataRegularSeason20242025!$AA$3:$AA$1315,DataRegularSeason20242025!$B$3:$B$1315, "&lt;=" &amp; FO$1, DataRegularSeason20242025!$D$3:$D$1315, $A49)+SUMIFS(DataRegularSeason20242025!$AB$3:$AB$1315,DataRegularSeason20242025!$B$3:$B$1315, "&lt;=" &amp; FO$1, DataRegularSeason20242025!$E$3:$E$1315, $A49)</f>
        <v>10</v>
      </c>
      <c r="FP49">
        <f>SUMIFS(DataRegularSeason20242025!$AA$3:$AA$1315,DataRegularSeason20242025!$B$3:$B$1315, "&lt;=" &amp; FP$1, DataRegularSeason20242025!$D$3:$D$1315, $A49)+SUMIFS(DataRegularSeason20242025!$AB$3:$AB$1315,DataRegularSeason20242025!$B$3:$B$1315, "&lt;=" &amp; FP$1, DataRegularSeason20242025!$E$3:$E$1315, $A49)</f>
        <v>10</v>
      </c>
      <c r="FQ49">
        <f>SUMIFS(DataRegularSeason20242025!$AA$3:$AA$1315,DataRegularSeason20242025!$B$3:$B$1315, "&lt;=" &amp; FQ$1, DataRegularSeason20242025!$D$3:$D$1315, $A49)+SUMIFS(DataRegularSeason20242025!$AB$3:$AB$1315,DataRegularSeason20242025!$B$3:$B$1315, "&lt;=" &amp; FQ$1, DataRegularSeason20242025!$E$3:$E$1315, $A49)</f>
        <v>10</v>
      </c>
      <c r="FR49">
        <f>SUMIFS(DataRegularSeason20242025!$AA$3:$AA$1315,DataRegularSeason20242025!$B$3:$B$1315, "&lt;=" &amp; FR$1, DataRegularSeason20242025!$D$3:$D$1315, $A49)+SUMIFS(DataRegularSeason20242025!$AB$3:$AB$1315,DataRegularSeason20242025!$B$3:$B$1315, "&lt;=" &amp; FR$1, DataRegularSeason20242025!$E$3:$E$1315, $A49)</f>
        <v>10</v>
      </c>
      <c r="FS49">
        <f>SUMIFS(DataRegularSeason20242025!$AA$3:$AA$1315,DataRegularSeason20242025!$B$3:$B$1315, "&lt;=" &amp; FS$1, DataRegularSeason20242025!$D$3:$D$1315, $A49)+SUMIFS(DataRegularSeason20242025!$AB$3:$AB$1315,DataRegularSeason20242025!$B$3:$B$1315, "&lt;=" &amp; FS$1, DataRegularSeason20242025!$E$3:$E$1315, $A49)</f>
        <v>10</v>
      </c>
      <c r="FT49">
        <f>SUMIFS(DataRegularSeason20242025!$AA$3:$AA$1315,DataRegularSeason20242025!$B$3:$B$1315, "&lt;=" &amp; FT$1, DataRegularSeason20242025!$D$3:$D$1315, $A49)+SUMIFS(DataRegularSeason20242025!$AB$3:$AB$1315,DataRegularSeason20242025!$B$3:$B$1315, "&lt;=" &amp; FT$1, DataRegularSeason20242025!$E$3:$E$1315, $A49)</f>
        <v>10</v>
      </c>
      <c r="FU49">
        <f>SUMIFS(DataRegularSeason20242025!$AA$3:$AA$1315,DataRegularSeason20242025!$B$3:$B$1315, "&lt;=" &amp; FU$1, DataRegularSeason20242025!$D$3:$D$1315, $A49)+SUMIFS(DataRegularSeason20242025!$AB$3:$AB$1315,DataRegularSeason20242025!$B$3:$B$1315, "&lt;=" &amp; FU$1, DataRegularSeason20242025!$E$3:$E$1315, $A49)</f>
        <v>10</v>
      </c>
      <c r="FV49">
        <f>SUMIFS(DataRegularSeason20242025!$AA$3:$AA$1315,DataRegularSeason20242025!$B$3:$B$1315, "&lt;=" &amp; FV$1, DataRegularSeason20242025!$D$3:$D$1315, $A49)+SUMIFS(DataRegularSeason20242025!$AB$3:$AB$1315,DataRegularSeason20242025!$B$3:$B$1315, "&lt;=" &amp; FV$1, DataRegularSeason20242025!$E$3:$E$1315, $A49)</f>
        <v>10</v>
      </c>
      <c r="FW49">
        <f>SUMIFS(DataRegularSeason20242025!$AA$3:$AA$1315,DataRegularSeason20242025!$B$3:$B$1315, "&lt;=" &amp; FW$1, DataRegularSeason20242025!$D$3:$D$1315, $A49)+SUMIFS(DataRegularSeason20242025!$AB$3:$AB$1315,DataRegularSeason20242025!$B$3:$B$1315, "&lt;=" &amp; FW$1, DataRegularSeason20242025!$E$3:$E$1315, $A49)</f>
        <v>10</v>
      </c>
      <c r="FX49">
        <f>SUMIFS(DataRegularSeason20242025!$AA$3:$AA$1315,DataRegularSeason20242025!$B$3:$B$1315, "&lt;=" &amp; FX$1, DataRegularSeason20242025!$D$3:$D$1315, $A49)+SUMIFS(DataRegularSeason20242025!$AB$3:$AB$1315,DataRegularSeason20242025!$B$3:$B$1315, "&lt;=" &amp; FX$1, DataRegularSeason20242025!$E$3:$E$1315, $A49)</f>
        <v>10</v>
      </c>
      <c r="FY49">
        <f>SUMIFS(DataRegularSeason20242025!$AA$3:$AA$1315,DataRegularSeason20242025!$B$3:$B$1315, "&lt;=" &amp; FY$1, DataRegularSeason20242025!$D$3:$D$1315, $A49)+SUMIFS(DataRegularSeason20242025!$AB$3:$AB$1315,DataRegularSeason20242025!$B$3:$B$1315, "&lt;=" &amp; FY$1, DataRegularSeason20242025!$E$3:$E$1315, $A49)</f>
        <v>10</v>
      </c>
      <c r="FZ49">
        <f>SUMIFS(DataRegularSeason20242025!$AA$3:$AA$1315,DataRegularSeason20242025!$B$3:$B$1315, "&lt;=" &amp; FZ$1, DataRegularSeason20242025!$D$3:$D$1315, $A49)+SUMIFS(DataRegularSeason20242025!$AB$3:$AB$1315,DataRegularSeason20242025!$B$3:$B$1315, "&lt;=" &amp; FZ$1, DataRegularSeason20242025!$E$3:$E$1315, $A49)</f>
        <v>10</v>
      </c>
      <c r="GA49">
        <f>SUMIFS(DataRegularSeason20242025!$AA$3:$AA$1315,DataRegularSeason20242025!$B$3:$B$1315, "&lt;=" &amp; GA$1, DataRegularSeason20242025!$D$3:$D$1315, $A49)+SUMIFS(DataRegularSeason20242025!$AB$3:$AB$1315,DataRegularSeason20242025!$B$3:$B$1315, "&lt;=" &amp; GA$1, DataRegularSeason20242025!$E$3:$E$1315, $A49)</f>
        <v>10</v>
      </c>
      <c r="GB49">
        <f>SUMIFS(DataRegularSeason20242025!$AA$3:$AA$1315,DataRegularSeason20242025!$B$3:$B$1315, "&lt;=" &amp; GB$1, DataRegularSeason20242025!$D$3:$D$1315, $A49)+SUMIFS(DataRegularSeason20242025!$AB$3:$AB$1315,DataRegularSeason20242025!$B$3:$B$1315, "&lt;=" &amp; GB$1, DataRegularSeason20242025!$E$3:$E$1315, $A49)</f>
        <v>10</v>
      </c>
      <c r="GC49">
        <f>SUMIFS(DataRegularSeason20242025!$AA$3:$AA$1315,DataRegularSeason20242025!$B$3:$B$1315, "&lt;=" &amp; GC$1, DataRegularSeason20242025!$D$3:$D$1315, $A49)+SUMIFS(DataRegularSeason20242025!$AB$3:$AB$1315,DataRegularSeason20242025!$B$3:$B$1315, "&lt;=" &amp; GC$1, DataRegularSeason20242025!$E$3:$E$1315, $A49)</f>
        <v>10</v>
      </c>
      <c r="GD49">
        <f>SUMIFS(DataRegularSeason20242025!$AA$3:$AA$1315,DataRegularSeason20242025!$B$3:$B$1315, "&lt;=" &amp; GD$1, DataRegularSeason20242025!$D$3:$D$1315, $A49)+SUMIFS(DataRegularSeason20242025!$AB$3:$AB$1315,DataRegularSeason20242025!$B$3:$B$1315, "&lt;=" &amp; GD$1, DataRegularSeason20242025!$E$3:$E$1315, $A49)</f>
        <v>10</v>
      </c>
      <c r="GE49">
        <f>SUMIFS(DataRegularSeason20242025!$AA$3:$AA$1315,DataRegularSeason20242025!$B$3:$B$1315, "&lt;=" &amp; GE$1, DataRegularSeason20242025!$D$3:$D$1315, $A49)+SUMIFS(DataRegularSeason20242025!$AB$3:$AB$1315,DataRegularSeason20242025!$B$3:$B$1315, "&lt;=" &amp; GE$1, DataRegularSeason20242025!$E$3:$E$1315, $A49)</f>
        <v>10</v>
      </c>
      <c r="GF49">
        <f>SUMIFS(DataRegularSeason20242025!$AA$3:$AA$1315,DataRegularSeason20242025!$B$3:$B$1315, "&lt;=" &amp; GF$1, DataRegularSeason20242025!$D$3:$D$1315, $A49)+SUMIFS(DataRegularSeason20242025!$AB$3:$AB$1315,DataRegularSeason20242025!$B$3:$B$1315, "&lt;=" &amp; GF$1, DataRegularSeason20242025!$E$3:$E$1315, $A49)</f>
        <v>10</v>
      </c>
      <c r="GG49">
        <f>SUMIFS(DataRegularSeason20242025!$AA$3:$AA$1315,DataRegularSeason20242025!$B$3:$B$1315, "&lt;=" &amp; GG$1, DataRegularSeason20242025!$D$3:$D$1315, $A49)+SUMIFS(DataRegularSeason20242025!$AB$3:$AB$1315,DataRegularSeason20242025!$B$3:$B$1315, "&lt;=" &amp; GG$1, DataRegularSeason20242025!$E$3:$E$1315, $A49)</f>
        <v>10</v>
      </c>
      <c r="GH49">
        <f>SUMIFS(DataRegularSeason20242025!$AA$3:$AA$1315,DataRegularSeason20242025!$B$3:$B$1315, "&lt;=" &amp; GH$1, DataRegularSeason20242025!$D$3:$D$1315, $A49)+SUMIFS(DataRegularSeason20242025!$AB$3:$AB$1315,DataRegularSeason20242025!$B$3:$B$1315, "&lt;=" &amp; GH$1, DataRegularSeason20242025!$E$3:$E$1315, $A49)</f>
        <v>10</v>
      </c>
      <c r="GI49">
        <f>SUMIFS(DataRegularSeason20242025!$AA$3:$AA$1315,DataRegularSeason20242025!$B$3:$B$1315, "&lt;=" &amp; GI$1, DataRegularSeason20242025!$D$3:$D$1315, $A49)+SUMIFS(DataRegularSeason20242025!$AB$3:$AB$1315,DataRegularSeason20242025!$B$3:$B$1315, "&lt;=" &amp; GI$1, DataRegularSeason20242025!$E$3:$E$1315, $A49)</f>
        <v>10</v>
      </c>
      <c r="GJ49">
        <f>SUMIFS(DataRegularSeason20242025!$AA$3:$AA$1315,DataRegularSeason20242025!$B$3:$B$1315, "&lt;=" &amp; GJ$1, DataRegularSeason20242025!$D$3:$D$1315, $A49)+SUMIFS(DataRegularSeason20242025!$AB$3:$AB$1315,DataRegularSeason20242025!$B$3:$B$1315, "&lt;=" &amp; GJ$1, DataRegularSeason20242025!$E$3:$E$1315, $A49)</f>
        <v>10</v>
      </c>
      <c r="GK49">
        <f>SUMIFS(DataRegularSeason20242025!$AA$3:$AA$1315,DataRegularSeason20242025!$B$3:$B$1315, "&lt;=" &amp; GK$1, DataRegularSeason20242025!$D$3:$D$1315, $A49)+SUMIFS(DataRegularSeason20242025!$AB$3:$AB$1315,DataRegularSeason20242025!$B$3:$B$1315, "&lt;=" &amp; GK$1, DataRegularSeason20242025!$E$3:$E$1315, $A49)</f>
        <v>10</v>
      </c>
      <c r="GL49">
        <f>SUMIFS(DataRegularSeason20242025!$AA$3:$AA$1315,DataRegularSeason20242025!$B$3:$B$1315, "&lt;=" &amp; GL$1, DataRegularSeason20242025!$D$3:$D$1315, $A49)+SUMIFS(DataRegularSeason20242025!$AB$3:$AB$1315,DataRegularSeason20242025!$B$3:$B$1315, "&lt;=" &amp; GL$1, DataRegularSeason20242025!$E$3:$E$1315, $A49)</f>
        <v>10</v>
      </c>
      <c r="GM49">
        <f>SUMIFS(DataRegularSeason20242025!$AA$3:$AA$1315,DataRegularSeason20242025!$B$3:$B$1315, "&lt;=" &amp; GM$1, DataRegularSeason20242025!$D$3:$D$1315, $A49)+SUMIFS(DataRegularSeason20242025!$AB$3:$AB$1315,DataRegularSeason20242025!$B$3:$B$1315, "&lt;=" &amp; GM$1, DataRegularSeason20242025!$E$3:$E$1315, $A49)</f>
        <v>10</v>
      </c>
      <c r="GN49">
        <f>SUMIFS(DataRegularSeason20242025!$AA$3:$AA$1315,DataRegularSeason20242025!$B$3:$B$1315, "&lt;=" &amp; GN$1, DataRegularSeason20242025!$D$3:$D$1315, $A49)+SUMIFS(DataRegularSeason20242025!$AB$3:$AB$1315,DataRegularSeason20242025!$B$3:$B$1315, "&lt;=" &amp; GN$1, DataRegularSeason20242025!$E$3:$E$1315, $A49)</f>
        <v>10</v>
      </c>
      <c r="GO49">
        <f>SUMIFS(DataRegularSeason20242025!$AA$3:$AA$1315,DataRegularSeason20242025!$B$3:$B$1315, "&lt;=" &amp; GO$1, DataRegularSeason20242025!$D$3:$D$1315, $A49)+SUMIFS(DataRegularSeason20242025!$AB$3:$AB$1315,DataRegularSeason20242025!$B$3:$B$1315, "&lt;=" &amp; GO$1, DataRegularSeason20242025!$E$3:$E$1315, $A49)</f>
        <v>10</v>
      </c>
      <c r="GP49">
        <f>SUMIFS(DataRegularSeason20242025!$AA$3:$AA$1315,DataRegularSeason20242025!$B$3:$B$1315, "&lt;=" &amp; GP$1, DataRegularSeason20242025!$D$3:$D$1315, $A49)+SUMIFS(DataRegularSeason20242025!$AB$3:$AB$1315,DataRegularSeason20242025!$B$3:$B$1315, "&lt;=" &amp; GP$1, DataRegularSeason20242025!$E$3:$E$1315, $A49)</f>
        <v>10</v>
      </c>
      <c r="GQ49">
        <f>SUMIFS(DataRegularSeason20242025!$AA$3:$AA$1315,DataRegularSeason20242025!$B$3:$B$1315, "&lt;=" &amp; GQ$1, DataRegularSeason20242025!$D$3:$D$1315, $A49)+SUMIFS(DataRegularSeason20242025!$AB$3:$AB$1315,DataRegularSeason20242025!$B$3:$B$1315, "&lt;=" &amp; GQ$1, DataRegularSeason20242025!$E$3:$E$1315, $A49)</f>
        <v>10</v>
      </c>
      <c r="GR49">
        <f>SUMIFS(DataRegularSeason20242025!$AA$3:$AA$1315,DataRegularSeason20242025!$B$3:$B$1315, "&lt;=" &amp; GR$1, DataRegularSeason20242025!$D$3:$D$1315, $A49)+SUMIFS(DataRegularSeason20242025!$AB$3:$AB$1315,DataRegularSeason20242025!$B$3:$B$1315, "&lt;=" &amp; GR$1, DataRegularSeason20242025!$E$3:$E$1315, $A49)</f>
        <v>10</v>
      </c>
      <c r="GS49">
        <f>SUMIFS(DataRegularSeason20242025!$AA$3:$AA$1315,DataRegularSeason20242025!$B$3:$B$1315, "&lt;=" &amp; GS$1, DataRegularSeason20242025!$D$3:$D$1315, $A49)+SUMIFS(DataRegularSeason20242025!$AB$3:$AB$1315,DataRegularSeason20242025!$B$3:$B$1315, "&lt;=" &amp; GS$1, DataRegularSeason20242025!$E$3:$E$1315, $A49)</f>
        <v>10</v>
      </c>
      <c r="GT49">
        <f>SUMIFS(DataRegularSeason20242025!$AA$3:$AA$1315,DataRegularSeason20242025!$B$3:$B$1315, "&lt;=" &amp; GT$1, DataRegularSeason20242025!$D$3:$D$1315, $A49)+SUMIFS(DataRegularSeason20242025!$AB$3:$AB$1315,DataRegularSeason20242025!$B$3:$B$1315, "&lt;=" &amp; GT$1, DataRegularSeason20242025!$E$3:$E$1315, $A49)</f>
        <v>10</v>
      </c>
      <c r="GU49">
        <f>SUMIFS(DataRegularSeason20242025!$AA$3:$AA$1315,DataRegularSeason20242025!$B$3:$B$1315, "&lt;=" &amp; GU$1, DataRegularSeason20242025!$D$3:$D$1315, $A49)+SUMIFS(DataRegularSeason20242025!$AB$3:$AB$1315,DataRegularSeason20242025!$B$3:$B$1315, "&lt;=" &amp; GU$1, DataRegularSeason20242025!$E$3:$E$1315, $A49)</f>
        <v>10</v>
      </c>
    </row>
    <row r="50" spans="1:203" x14ac:dyDescent="0.25">
      <c r="A50" t="s">
        <v>19</v>
      </c>
      <c r="B50" t="s">
        <v>91</v>
      </c>
      <c r="C50" t="s">
        <v>92</v>
      </c>
      <c r="D50">
        <f>SUMIFS(DataRegularSeason20242025!$AA$3:$AA$1315,DataRegularSeason20242025!$B$3:$B$1315, "&lt;=" &amp; D$1, DataRegularSeason20242025!$D$3:$D$1315, $A50)+SUMIFS(DataRegularSeason20242025!$AB$3:$AB$1315,DataRegularSeason20242025!$B$3:$B$1315, "&lt;=" &amp; D$1, DataRegularSeason20242025!$E$3:$E$1315, $A50)</f>
        <v>0</v>
      </c>
      <c r="E50">
        <f>SUMIFS(DataRegularSeason20242025!$AA$3:$AA$1315,DataRegularSeason20242025!$B$3:$B$1315, "&lt;=" &amp; E$1, DataRegularSeason20242025!$D$3:$D$1315, $A50)+SUMIFS(DataRegularSeason20242025!$AB$3:$AB$1315,DataRegularSeason20242025!$B$3:$B$1315, "&lt;=" &amp; E$1, DataRegularSeason20242025!$E$3:$E$1315, $A50)</f>
        <v>0</v>
      </c>
      <c r="F50">
        <f>SUMIFS(DataRegularSeason20242025!$AA$3:$AA$1315,DataRegularSeason20242025!$B$3:$B$1315, "&lt;=" &amp; F$1, DataRegularSeason20242025!$D$3:$D$1315, $A50)+SUMIFS(DataRegularSeason20242025!$AB$3:$AB$1315,DataRegularSeason20242025!$B$3:$B$1315, "&lt;=" &amp; F$1, DataRegularSeason20242025!$E$3:$E$1315, $A50)</f>
        <v>0</v>
      </c>
      <c r="G50">
        <f>SUMIFS(DataRegularSeason20242025!$AA$3:$AA$1315,DataRegularSeason20242025!$B$3:$B$1315, "&lt;=" &amp; G$1, DataRegularSeason20242025!$D$3:$D$1315, $A50)+SUMIFS(DataRegularSeason20242025!$AB$3:$AB$1315,DataRegularSeason20242025!$B$3:$B$1315, "&lt;=" &amp; G$1, DataRegularSeason20242025!$E$3:$E$1315, $A50)</f>
        <v>0</v>
      </c>
      <c r="H50">
        <f>SUMIFS(DataRegularSeason20242025!$AA$3:$AA$1315,DataRegularSeason20242025!$B$3:$B$1315, "&lt;=" &amp; H$1, DataRegularSeason20242025!$D$3:$D$1315, $A50)+SUMIFS(DataRegularSeason20242025!$AB$3:$AB$1315,DataRegularSeason20242025!$B$3:$B$1315, "&lt;=" &amp; H$1, DataRegularSeason20242025!$E$3:$E$1315, $A50)</f>
        <v>0</v>
      </c>
      <c r="I50">
        <f>SUMIFS(DataRegularSeason20242025!$AA$3:$AA$1315,DataRegularSeason20242025!$B$3:$B$1315, "&lt;=" &amp; I$1, DataRegularSeason20242025!$D$3:$D$1315, $A50)+SUMIFS(DataRegularSeason20242025!$AB$3:$AB$1315,DataRegularSeason20242025!$B$3:$B$1315, "&lt;=" &amp; I$1, DataRegularSeason20242025!$E$3:$E$1315, $A50)</f>
        <v>0</v>
      </c>
      <c r="J50">
        <f>SUMIFS(DataRegularSeason20242025!$AA$3:$AA$1315,DataRegularSeason20242025!$B$3:$B$1315, "&lt;=" &amp; J$1, DataRegularSeason20242025!$D$3:$D$1315, $A50)+SUMIFS(DataRegularSeason20242025!$AB$3:$AB$1315,DataRegularSeason20242025!$B$3:$B$1315, "&lt;=" &amp; J$1, DataRegularSeason20242025!$E$3:$E$1315, $A50)</f>
        <v>2</v>
      </c>
      <c r="K50">
        <f>SUMIFS(DataRegularSeason20242025!$AA$3:$AA$1315,DataRegularSeason20242025!$B$3:$B$1315, "&lt;=" &amp; K$1, DataRegularSeason20242025!$D$3:$D$1315, $A50)+SUMIFS(DataRegularSeason20242025!$AB$3:$AB$1315,DataRegularSeason20242025!$B$3:$B$1315, "&lt;=" &amp; K$1, DataRegularSeason20242025!$E$3:$E$1315, $A50)</f>
        <v>2</v>
      </c>
      <c r="L50">
        <f>SUMIFS(DataRegularSeason20242025!$AA$3:$AA$1315,DataRegularSeason20242025!$B$3:$B$1315, "&lt;=" &amp; L$1, DataRegularSeason20242025!$D$3:$D$1315, $A50)+SUMIFS(DataRegularSeason20242025!$AB$3:$AB$1315,DataRegularSeason20242025!$B$3:$B$1315, "&lt;=" &amp; L$1, DataRegularSeason20242025!$E$3:$E$1315, $A50)</f>
        <v>4</v>
      </c>
      <c r="M50">
        <f>SUMIFS(DataRegularSeason20242025!$AA$3:$AA$1315,DataRegularSeason20242025!$B$3:$B$1315, "&lt;=" &amp; M$1, DataRegularSeason20242025!$D$3:$D$1315, $A50)+SUMIFS(DataRegularSeason20242025!$AB$3:$AB$1315,DataRegularSeason20242025!$B$3:$B$1315, "&lt;=" &amp; M$1, DataRegularSeason20242025!$E$3:$E$1315, $A50)</f>
        <v>4</v>
      </c>
      <c r="N50">
        <f>SUMIFS(DataRegularSeason20242025!$AA$3:$AA$1315,DataRegularSeason20242025!$B$3:$B$1315, "&lt;=" &amp; N$1, DataRegularSeason20242025!$D$3:$D$1315, $A50)+SUMIFS(DataRegularSeason20242025!$AB$3:$AB$1315,DataRegularSeason20242025!$B$3:$B$1315, "&lt;=" &amp; N$1, DataRegularSeason20242025!$E$3:$E$1315, $A50)</f>
        <v>4</v>
      </c>
      <c r="O50">
        <f>SUMIFS(DataRegularSeason20242025!$AA$3:$AA$1315,DataRegularSeason20242025!$B$3:$B$1315, "&lt;=" &amp; O$1, DataRegularSeason20242025!$D$3:$D$1315, $A50)+SUMIFS(DataRegularSeason20242025!$AB$3:$AB$1315,DataRegularSeason20242025!$B$3:$B$1315, "&lt;=" &amp; O$1, DataRegularSeason20242025!$E$3:$E$1315, $A50)</f>
        <v>4</v>
      </c>
      <c r="P50">
        <f>SUMIFS(DataRegularSeason20242025!$AA$3:$AA$1315,DataRegularSeason20242025!$B$3:$B$1315, "&lt;=" &amp; P$1, DataRegularSeason20242025!$D$3:$D$1315, $A50)+SUMIFS(DataRegularSeason20242025!$AB$3:$AB$1315,DataRegularSeason20242025!$B$3:$B$1315, "&lt;=" &amp; P$1, DataRegularSeason20242025!$E$3:$E$1315, $A50)</f>
        <v>4</v>
      </c>
      <c r="Q50">
        <f>SUMIFS(DataRegularSeason20242025!$AA$3:$AA$1315,DataRegularSeason20242025!$B$3:$B$1315, "&lt;=" &amp; Q$1, DataRegularSeason20242025!$D$3:$D$1315, $A50)+SUMIFS(DataRegularSeason20242025!$AB$3:$AB$1315,DataRegularSeason20242025!$B$3:$B$1315, "&lt;=" &amp; Q$1, DataRegularSeason20242025!$E$3:$E$1315, $A50)</f>
        <v>5</v>
      </c>
      <c r="R50">
        <f>SUMIFS(DataRegularSeason20242025!$AA$3:$AA$1315,DataRegularSeason20242025!$B$3:$B$1315, "&lt;=" &amp; R$1, DataRegularSeason20242025!$D$3:$D$1315, $A50)+SUMIFS(DataRegularSeason20242025!$AB$3:$AB$1315,DataRegularSeason20242025!$B$3:$B$1315, "&lt;=" &amp; R$1, DataRegularSeason20242025!$E$3:$E$1315, $A50)</f>
        <v>5</v>
      </c>
      <c r="S50">
        <f>SUMIFS(DataRegularSeason20242025!$AA$3:$AA$1315,DataRegularSeason20242025!$B$3:$B$1315, "&lt;=" &amp; S$1, DataRegularSeason20242025!$D$3:$D$1315, $A50)+SUMIFS(DataRegularSeason20242025!$AB$3:$AB$1315,DataRegularSeason20242025!$B$3:$B$1315, "&lt;=" &amp; S$1, DataRegularSeason20242025!$E$3:$E$1315, $A50)</f>
        <v>7</v>
      </c>
      <c r="T50">
        <f>SUMIFS(DataRegularSeason20242025!$AA$3:$AA$1315,DataRegularSeason20242025!$B$3:$B$1315, "&lt;=" &amp; T$1, DataRegularSeason20242025!$D$3:$D$1315, $A50)+SUMIFS(DataRegularSeason20242025!$AB$3:$AB$1315,DataRegularSeason20242025!$B$3:$B$1315, "&lt;=" &amp; T$1, DataRegularSeason20242025!$E$3:$E$1315, $A50)</f>
        <v>7</v>
      </c>
      <c r="U50">
        <f>SUMIFS(DataRegularSeason20242025!$AA$3:$AA$1315,DataRegularSeason20242025!$B$3:$B$1315, "&lt;=" &amp; U$1, DataRegularSeason20242025!$D$3:$D$1315, $A50)+SUMIFS(DataRegularSeason20242025!$AB$3:$AB$1315,DataRegularSeason20242025!$B$3:$B$1315, "&lt;=" &amp; U$1, DataRegularSeason20242025!$E$3:$E$1315, $A50)</f>
        <v>7</v>
      </c>
      <c r="V50">
        <f>SUMIFS(DataRegularSeason20242025!$AA$3:$AA$1315,DataRegularSeason20242025!$B$3:$B$1315, "&lt;=" &amp; V$1, DataRegularSeason20242025!$D$3:$D$1315, $A50)+SUMIFS(DataRegularSeason20242025!$AB$3:$AB$1315,DataRegularSeason20242025!$B$3:$B$1315, "&lt;=" &amp; V$1, DataRegularSeason20242025!$E$3:$E$1315, $A50)</f>
        <v>7</v>
      </c>
      <c r="W50">
        <f>SUMIFS(DataRegularSeason20242025!$AA$3:$AA$1315,DataRegularSeason20242025!$B$3:$B$1315, "&lt;=" &amp; W$1, DataRegularSeason20242025!$D$3:$D$1315, $A50)+SUMIFS(DataRegularSeason20242025!$AB$3:$AB$1315,DataRegularSeason20242025!$B$3:$B$1315, "&lt;=" &amp; W$1, DataRegularSeason20242025!$E$3:$E$1315, $A50)</f>
        <v>7</v>
      </c>
      <c r="X50">
        <f>SUMIFS(DataRegularSeason20242025!$AA$3:$AA$1315,DataRegularSeason20242025!$B$3:$B$1315, "&lt;=" &amp; X$1, DataRegularSeason20242025!$D$3:$D$1315, $A50)+SUMIFS(DataRegularSeason20242025!$AB$3:$AB$1315,DataRegularSeason20242025!$B$3:$B$1315, "&lt;=" &amp; X$1, DataRegularSeason20242025!$E$3:$E$1315, $A50)</f>
        <v>7</v>
      </c>
      <c r="Y50">
        <f>SUMIFS(DataRegularSeason20242025!$AA$3:$AA$1315,DataRegularSeason20242025!$B$3:$B$1315, "&lt;=" &amp; Y$1, DataRegularSeason20242025!$D$3:$D$1315, $A50)+SUMIFS(DataRegularSeason20242025!$AB$3:$AB$1315,DataRegularSeason20242025!$B$3:$B$1315, "&lt;=" &amp; Y$1, DataRegularSeason20242025!$E$3:$E$1315, $A50)</f>
        <v>7</v>
      </c>
      <c r="Z50">
        <f>SUMIFS(DataRegularSeason20242025!$AA$3:$AA$1315,DataRegularSeason20242025!$B$3:$B$1315, "&lt;=" &amp; Z$1, DataRegularSeason20242025!$D$3:$D$1315, $A50)+SUMIFS(DataRegularSeason20242025!$AB$3:$AB$1315,DataRegularSeason20242025!$B$3:$B$1315, "&lt;=" &amp; Z$1, DataRegularSeason20242025!$E$3:$E$1315, $A50)</f>
        <v>7</v>
      </c>
      <c r="AA50">
        <f>SUMIFS(DataRegularSeason20242025!$AA$3:$AA$1315,DataRegularSeason20242025!$B$3:$B$1315, "&lt;=" &amp; AA$1, DataRegularSeason20242025!$D$3:$D$1315, $A50)+SUMIFS(DataRegularSeason20242025!$AB$3:$AB$1315,DataRegularSeason20242025!$B$3:$B$1315, "&lt;=" &amp; AA$1, DataRegularSeason20242025!$E$3:$E$1315, $A50)</f>
        <v>7</v>
      </c>
      <c r="AB50">
        <f>SUMIFS(DataRegularSeason20242025!$AA$3:$AA$1315,DataRegularSeason20242025!$B$3:$B$1315, "&lt;=" &amp; AB$1, DataRegularSeason20242025!$D$3:$D$1315, $A50)+SUMIFS(DataRegularSeason20242025!$AB$3:$AB$1315,DataRegularSeason20242025!$B$3:$B$1315, "&lt;=" &amp; AB$1, DataRegularSeason20242025!$E$3:$E$1315, $A50)</f>
        <v>7</v>
      </c>
      <c r="AC50">
        <f>SUMIFS(DataRegularSeason20242025!$AA$3:$AA$1315,DataRegularSeason20242025!$B$3:$B$1315, "&lt;=" &amp; AC$1, DataRegularSeason20242025!$D$3:$D$1315, $A50)+SUMIFS(DataRegularSeason20242025!$AB$3:$AB$1315,DataRegularSeason20242025!$B$3:$B$1315, "&lt;=" &amp; AC$1, DataRegularSeason20242025!$E$3:$E$1315, $A50)</f>
        <v>7</v>
      </c>
      <c r="AD50">
        <f>SUMIFS(DataRegularSeason20242025!$AA$3:$AA$1315,DataRegularSeason20242025!$B$3:$B$1315, "&lt;=" &amp; AD$1, DataRegularSeason20242025!$D$3:$D$1315, $A50)+SUMIFS(DataRegularSeason20242025!$AB$3:$AB$1315,DataRegularSeason20242025!$B$3:$B$1315, "&lt;=" &amp; AD$1, DataRegularSeason20242025!$E$3:$E$1315, $A50)</f>
        <v>7</v>
      </c>
      <c r="AE50">
        <f>SUMIFS(DataRegularSeason20242025!$AA$3:$AA$1315,DataRegularSeason20242025!$B$3:$B$1315, "&lt;=" &amp; AE$1, DataRegularSeason20242025!$D$3:$D$1315, $A50)+SUMIFS(DataRegularSeason20242025!$AB$3:$AB$1315,DataRegularSeason20242025!$B$3:$B$1315, "&lt;=" &amp; AE$1, DataRegularSeason20242025!$E$3:$E$1315, $A50)</f>
        <v>7</v>
      </c>
      <c r="AF50">
        <f>SUMIFS(DataRegularSeason20242025!$AA$3:$AA$1315,DataRegularSeason20242025!$B$3:$B$1315, "&lt;=" &amp; AF$1, DataRegularSeason20242025!$D$3:$D$1315, $A50)+SUMIFS(DataRegularSeason20242025!$AB$3:$AB$1315,DataRegularSeason20242025!$B$3:$B$1315, "&lt;=" &amp; AF$1, DataRegularSeason20242025!$E$3:$E$1315, $A50)</f>
        <v>7</v>
      </c>
      <c r="AG50">
        <f>SUMIFS(DataRegularSeason20242025!$AA$3:$AA$1315,DataRegularSeason20242025!$B$3:$B$1315, "&lt;=" &amp; AG$1, DataRegularSeason20242025!$D$3:$D$1315, $A50)+SUMIFS(DataRegularSeason20242025!$AB$3:$AB$1315,DataRegularSeason20242025!$B$3:$B$1315, "&lt;=" &amp; AG$1, DataRegularSeason20242025!$E$3:$E$1315, $A50)</f>
        <v>7</v>
      </c>
      <c r="AH50">
        <f>SUMIFS(DataRegularSeason20242025!$AA$3:$AA$1315,DataRegularSeason20242025!$B$3:$B$1315, "&lt;=" &amp; AH$1, DataRegularSeason20242025!$D$3:$D$1315, $A50)+SUMIFS(DataRegularSeason20242025!$AB$3:$AB$1315,DataRegularSeason20242025!$B$3:$B$1315, "&lt;=" &amp; AH$1, DataRegularSeason20242025!$E$3:$E$1315, $A50)</f>
        <v>7</v>
      </c>
      <c r="AI50">
        <f>SUMIFS(DataRegularSeason20242025!$AA$3:$AA$1315,DataRegularSeason20242025!$B$3:$B$1315, "&lt;=" &amp; AI$1, DataRegularSeason20242025!$D$3:$D$1315, $A50)+SUMIFS(DataRegularSeason20242025!$AB$3:$AB$1315,DataRegularSeason20242025!$B$3:$B$1315, "&lt;=" &amp; AI$1, DataRegularSeason20242025!$E$3:$E$1315, $A50)</f>
        <v>7</v>
      </c>
      <c r="AJ50">
        <f>SUMIFS(DataRegularSeason20242025!$AA$3:$AA$1315,DataRegularSeason20242025!$B$3:$B$1315, "&lt;=" &amp; AJ$1, DataRegularSeason20242025!$D$3:$D$1315, $A50)+SUMIFS(DataRegularSeason20242025!$AB$3:$AB$1315,DataRegularSeason20242025!$B$3:$B$1315, "&lt;=" &amp; AJ$1, DataRegularSeason20242025!$E$3:$E$1315, $A50)</f>
        <v>7</v>
      </c>
      <c r="AK50">
        <f>SUMIFS(DataRegularSeason20242025!$AA$3:$AA$1315,DataRegularSeason20242025!$B$3:$B$1315, "&lt;=" &amp; AK$1, DataRegularSeason20242025!$D$3:$D$1315, $A50)+SUMIFS(DataRegularSeason20242025!$AB$3:$AB$1315,DataRegularSeason20242025!$B$3:$B$1315, "&lt;=" &amp; AK$1, DataRegularSeason20242025!$E$3:$E$1315, $A50)</f>
        <v>7</v>
      </c>
      <c r="AL50">
        <f>SUMIFS(DataRegularSeason20242025!$AA$3:$AA$1315,DataRegularSeason20242025!$B$3:$B$1315, "&lt;=" &amp; AL$1, DataRegularSeason20242025!$D$3:$D$1315, $A50)+SUMIFS(DataRegularSeason20242025!$AB$3:$AB$1315,DataRegularSeason20242025!$B$3:$B$1315, "&lt;=" &amp; AL$1, DataRegularSeason20242025!$E$3:$E$1315, $A50)</f>
        <v>7</v>
      </c>
      <c r="AM50">
        <f>SUMIFS(DataRegularSeason20242025!$AA$3:$AA$1315,DataRegularSeason20242025!$B$3:$B$1315, "&lt;=" &amp; AM$1, DataRegularSeason20242025!$D$3:$D$1315, $A50)+SUMIFS(DataRegularSeason20242025!$AB$3:$AB$1315,DataRegularSeason20242025!$B$3:$B$1315, "&lt;=" &amp; AM$1, DataRegularSeason20242025!$E$3:$E$1315, $A50)</f>
        <v>7</v>
      </c>
      <c r="AN50">
        <f>SUMIFS(DataRegularSeason20242025!$AA$3:$AA$1315,DataRegularSeason20242025!$B$3:$B$1315, "&lt;=" &amp; AN$1, DataRegularSeason20242025!$D$3:$D$1315, $A50)+SUMIFS(DataRegularSeason20242025!$AB$3:$AB$1315,DataRegularSeason20242025!$B$3:$B$1315, "&lt;=" &amp; AN$1, DataRegularSeason20242025!$E$3:$E$1315, $A50)</f>
        <v>7</v>
      </c>
      <c r="AO50">
        <f>SUMIFS(DataRegularSeason20242025!$AA$3:$AA$1315,DataRegularSeason20242025!$B$3:$B$1315, "&lt;=" &amp; AO$1, DataRegularSeason20242025!$D$3:$D$1315, $A50)+SUMIFS(DataRegularSeason20242025!$AB$3:$AB$1315,DataRegularSeason20242025!$B$3:$B$1315, "&lt;=" &amp; AO$1, DataRegularSeason20242025!$E$3:$E$1315, $A50)</f>
        <v>7</v>
      </c>
      <c r="AP50">
        <f>SUMIFS(DataRegularSeason20242025!$AA$3:$AA$1315,DataRegularSeason20242025!$B$3:$B$1315, "&lt;=" &amp; AP$1, DataRegularSeason20242025!$D$3:$D$1315, $A50)+SUMIFS(DataRegularSeason20242025!$AB$3:$AB$1315,DataRegularSeason20242025!$B$3:$B$1315, "&lt;=" &amp; AP$1, DataRegularSeason20242025!$E$3:$E$1315, $A50)</f>
        <v>7</v>
      </c>
      <c r="AQ50">
        <f>SUMIFS(DataRegularSeason20242025!$AA$3:$AA$1315,DataRegularSeason20242025!$B$3:$B$1315, "&lt;=" &amp; AQ$1, DataRegularSeason20242025!$D$3:$D$1315, $A50)+SUMIFS(DataRegularSeason20242025!$AB$3:$AB$1315,DataRegularSeason20242025!$B$3:$B$1315, "&lt;=" &amp; AQ$1, DataRegularSeason20242025!$E$3:$E$1315, $A50)</f>
        <v>7</v>
      </c>
      <c r="AR50">
        <f>SUMIFS(DataRegularSeason20242025!$AA$3:$AA$1315,DataRegularSeason20242025!$B$3:$B$1315, "&lt;=" &amp; AR$1, DataRegularSeason20242025!$D$3:$D$1315, $A50)+SUMIFS(DataRegularSeason20242025!$AB$3:$AB$1315,DataRegularSeason20242025!$B$3:$B$1315, "&lt;=" &amp; AR$1, DataRegularSeason20242025!$E$3:$E$1315, $A50)</f>
        <v>7</v>
      </c>
      <c r="AS50">
        <f>SUMIFS(DataRegularSeason20242025!$AA$3:$AA$1315,DataRegularSeason20242025!$B$3:$B$1315, "&lt;=" &amp; AS$1, DataRegularSeason20242025!$D$3:$D$1315, $A50)+SUMIFS(DataRegularSeason20242025!$AB$3:$AB$1315,DataRegularSeason20242025!$B$3:$B$1315, "&lt;=" &amp; AS$1, DataRegularSeason20242025!$E$3:$E$1315, $A50)</f>
        <v>7</v>
      </c>
      <c r="AT50">
        <f>SUMIFS(DataRegularSeason20242025!$AA$3:$AA$1315,DataRegularSeason20242025!$B$3:$B$1315, "&lt;=" &amp; AT$1, DataRegularSeason20242025!$D$3:$D$1315, $A50)+SUMIFS(DataRegularSeason20242025!$AB$3:$AB$1315,DataRegularSeason20242025!$B$3:$B$1315, "&lt;=" &amp; AT$1, DataRegularSeason20242025!$E$3:$E$1315, $A50)</f>
        <v>7</v>
      </c>
      <c r="AU50">
        <f>SUMIFS(DataRegularSeason20242025!$AA$3:$AA$1315,DataRegularSeason20242025!$B$3:$B$1315, "&lt;=" &amp; AU$1, DataRegularSeason20242025!$D$3:$D$1315, $A50)+SUMIFS(DataRegularSeason20242025!$AB$3:$AB$1315,DataRegularSeason20242025!$B$3:$B$1315, "&lt;=" &amp; AU$1, DataRegularSeason20242025!$E$3:$E$1315, $A50)</f>
        <v>7</v>
      </c>
      <c r="AV50">
        <f>SUMIFS(DataRegularSeason20242025!$AA$3:$AA$1315,DataRegularSeason20242025!$B$3:$B$1315, "&lt;=" &amp; AV$1, DataRegularSeason20242025!$D$3:$D$1315, $A50)+SUMIFS(DataRegularSeason20242025!$AB$3:$AB$1315,DataRegularSeason20242025!$B$3:$B$1315, "&lt;=" &amp; AV$1, DataRegularSeason20242025!$E$3:$E$1315, $A50)</f>
        <v>7</v>
      </c>
      <c r="AW50">
        <f>SUMIFS(DataRegularSeason20242025!$AA$3:$AA$1315,DataRegularSeason20242025!$B$3:$B$1315, "&lt;=" &amp; AW$1, DataRegularSeason20242025!$D$3:$D$1315, $A50)+SUMIFS(DataRegularSeason20242025!$AB$3:$AB$1315,DataRegularSeason20242025!$B$3:$B$1315, "&lt;=" &amp; AW$1, DataRegularSeason20242025!$E$3:$E$1315, $A50)</f>
        <v>7</v>
      </c>
      <c r="AX50">
        <f>SUMIFS(DataRegularSeason20242025!$AA$3:$AA$1315,DataRegularSeason20242025!$B$3:$B$1315, "&lt;=" &amp; AX$1, DataRegularSeason20242025!$D$3:$D$1315, $A50)+SUMIFS(DataRegularSeason20242025!$AB$3:$AB$1315,DataRegularSeason20242025!$B$3:$B$1315, "&lt;=" &amp; AX$1, DataRegularSeason20242025!$E$3:$E$1315, $A50)</f>
        <v>7</v>
      </c>
      <c r="AY50">
        <f>SUMIFS(DataRegularSeason20242025!$AA$3:$AA$1315,DataRegularSeason20242025!$B$3:$B$1315, "&lt;=" &amp; AY$1, DataRegularSeason20242025!$D$3:$D$1315, $A50)+SUMIFS(DataRegularSeason20242025!$AB$3:$AB$1315,DataRegularSeason20242025!$B$3:$B$1315, "&lt;=" &amp; AY$1, DataRegularSeason20242025!$E$3:$E$1315, $A50)</f>
        <v>7</v>
      </c>
      <c r="AZ50">
        <f>SUMIFS(DataRegularSeason20242025!$AA$3:$AA$1315,DataRegularSeason20242025!$B$3:$B$1315, "&lt;=" &amp; AZ$1, DataRegularSeason20242025!$D$3:$D$1315, $A50)+SUMIFS(DataRegularSeason20242025!$AB$3:$AB$1315,DataRegularSeason20242025!$B$3:$B$1315, "&lt;=" &amp; AZ$1, DataRegularSeason20242025!$E$3:$E$1315, $A50)</f>
        <v>7</v>
      </c>
      <c r="BA50">
        <f>SUMIFS(DataRegularSeason20242025!$AA$3:$AA$1315,DataRegularSeason20242025!$B$3:$B$1315, "&lt;=" &amp; BA$1, DataRegularSeason20242025!$D$3:$D$1315, $A50)+SUMIFS(DataRegularSeason20242025!$AB$3:$AB$1315,DataRegularSeason20242025!$B$3:$B$1315, "&lt;=" &amp; BA$1, DataRegularSeason20242025!$E$3:$E$1315, $A50)</f>
        <v>7</v>
      </c>
      <c r="BB50">
        <f>SUMIFS(DataRegularSeason20242025!$AA$3:$AA$1315,DataRegularSeason20242025!$B$3:$B$1315, "&lt;=" &amp; BB$1, DataRegularSeason20242025!$D$3:$D$1315, $A50)+SUMIFS(DataRegularSeason20242025!$AB$3:$AB$1315,DataRegularSeason20242025!$B$3:$B$1315, "&lt;=" &amp; BB$1, DataRegularSeason20242025!$E$3:$E$1315, $A50)</f>
        <v>7</v>
      </c>
      <c r="BC50">
        <f>SUMIFS(DataRegularSeason20242025!$AA$3:$AA$1315,DataRegularSeason20242025!$B$3:$B$1315, "&lt;=" &amp; BC$1, DataRegularSeason20242025!$D$3:$D$1315, $A50)+SUMIFS(DataRegularSeason20242025!$AB$3:$AB$1315,DataRegularSeason20242025!$B$3:$B$1315, "&lt;=" &amp; BC$1, DataRegularSeason20242025!$E$3:$E$1315, $A50)</f>
        <v>7</v>
      </c>
      <c r="BD50">
        <f>SUMIFS(DataRegularSeason20242025!$AA$3:$AA$1315,DataRegularSeason20242025!$B$3:$B$1315, "&lt;=" &amp; BD$1, DataRegularSeason20242025!$D$3:$D$1315, $A50)+SUMIFS(DataRegularSeason20242025!$AB$3:$AB$1315,DataRegularSeason20242025!$B$3:$B$1315, "&lt;=" &amp; BD$1, DataRegularSeason20242025!$E$3:$E$1315, $A50)</f>
        <v>7</v>
      </c>
      <c r="BE50">
        <f>SUMIFS(DataRegularSeason20242025!$AA$3:$AA$1315,DataRegularSeason20242025!$B$3:$B$1315, "&lt;=" &amp; BE$1, DataRegularSeason20242025!$D$3:$D$1315, $A50)+SUMIFS(DataRegularSeason20242025!$AB$3:$AB$1315,DataRegularSeason20242025!$B$3:$B$1315, "&lt;=" &amp; BE$1, DataRegularSeason20242025!$E$3:$E$1315, $A50)</f>
        <v>7</v>
      </c>
      <c r="BF50">
        <f>SUMIFS(DataRegularSeason20242025!$AA$3:$AA$1315,DataRegularSeason20242025!$B$3:$B$1315, "&lt;=" &amp; BF$1, DataRegularSeason20242025!$D$3:$D$1315, $A50)+SUMIFS(DataRegularSeason20242025!$AB$3:$AB$1315,DataRegularSeason20242025!$B$3:$B$1315, "&lt;=" &amp; BF$1, DataRegularSeason20242025!$E$3:$E$1315, $A50)</f>
        <v>7</v>
      </c>
      <c r="BG50">
        <f>SUMIFS(DataRegularSeason20242025!$AA$3:$AA$1315,DataRegularSeason20242025!$B$3:$B$1315, "&lt;=" &amp; BG$1, DataRegularSeason20242025!$D$3:$D$1315, $A50)+SUMIFS(DataRegularSeason20242025!$AB$3:$AB$1315,DataRegularSeason20242025!$B$3:$B$1315, "&lt;=" &amp; BG$1, DataRegularSeason20242025!$E$3:$E$1315, $A50)</f>
        <v>7</v>
      </c>
      <c r="BH50">
        <f>SUMIFS(DataRegularSeason20242025!$AA$3:$AA$1315,DataRegularSeason20242025!$B$3:$B$1315, "&lt;=" &amp; BH$1, DataRegularSeason20242025!$D$3:$D$1315, $A50)+SUMIFS(DataRegularSeason20242025!$AB$3:$AB$1315,DataRegularSeason20242025!$B$3:$B$1315, "&lt;=" &amp; BH$1, DataRegularSeason20242025!$E$3:$E$1315, $A50)</f>
        <v>7</v>
      </c>
      <c r="BI50">
        <f>SUMIFS(DataRegularSeason20242025!$AA$3:$AA$1315,DataRegularSeason20242025!$B$3:$B$1315, "&lt;=" &amp; BI$1, DataRegularSeason20242025!$D$3:$D$1315, $A50)+SUMIFS(DataRegularSeason20242025!$AB$3:$AB$1315,DataRegularSeason20242025!$B$3:$B$1315, "&lt;=" &amp; BI$1, DataRegularSeason20242025!$E$3:$E$1315, $A50)</f>
        <v>7</v>
      </c>
      <c r="BJ50">
        <f>SUMIFS(DataRegularSeason20242025!$AA$3:$AA$1315,DataRegularSeason20242025!$B$3:$B$1315, "&lt;=" &amp; BJ$1, DataRegularSeason20242025!$D$3:$D$1315, $A50)+SUMIFS(DataRegularSeason20242025!$AB$3:$AB$1315,DataRegularSeason20242025!$B$3:$B$1315, "&lt;=" &amp; BJ$1, DataRegularSeason20242025!$E$3:$E$1315, $A50)</f>
        <v>7</v>
      </c>
      <c r="BK50">
        <f>SUMIFS(DataRegularSeason20242025!$AA$3:$AA$1315,DataRegularSeason20242025!$B$3:$B$1315, "&lt;=" &amp; BK$1, DataRegularSeason20242025!$D$3:$D$1315, $A50)+SUMIFS(DataRegularSeason20242025!$AB$3:$AB$1315,DataRegularSeason20242025!$B$3:$B$1315, "&lt;=" &amp; BK$1, DataRegularSeason20242025!$E$3:$E$1315, $A50)</f>
        <v>7</v>
      </c>
      <c r="BL50">
        <f>SUMIFS(DataRegularSeason20242025!$AA$3:$AA$1315,DataRegularSeason20242025!$B$3:$B$1315, "&lt;=" &amp; BL$1, DataRegularSeason20242025!$D$3:$D$1315, $A50)+SUMIFS(DataRegularSeason20242025!$AB$3:$AB$1315,DataRegularSeason20242025!$B$3:$B$1315, "&lt;=" &amp; BL$1, DataRegularSeason20242025!$E$3:$E$1315, $A50)</f>
        <v>7</v>
      </c>
      <c r="BM50">
        <f>SUMIFS(DataRegularSeason20242025!$AA$3:$AA$1315,DataRegularSeason20242025!$B$3:$B$1315, "&lt;=" &amp; BM$1, DataRegularSeason20242025!$D$3:$D$1315, $A50)+SUMIFS(DataRegularSeason20242025!$AB$3:$AB$1315,DataRegularSeason20242025!$B$3:$B$1315, "&lt;=" &amp; BM$1, DataRegularSeason20242025!$E$3:$E$1315, $A50)</f>
        <v>7</v>
      </c>
      <c r="BN50">
        <f>SUMIFS(DataRegularSeason20242025!$AA$3:$AA$1315,DataRegularSeason20242025!$B$3:$B$1315, "&lt;=" &amp; BN$1, DataRegularSeason20242025!$D$3:$D$1315, $A50)+SUMIFS(DataRegularSeason20242025!$AB$3:$AB$1315,DataRegularSeason20242025!$B$3:$B$1315, "&lt;=" &amp; BN$1, DataRegularSeason20242025!$E$3:$E$1315, $A50)</f>
        <v>7</v>
      </c>
      <c r="BO50">
        <f>SUMIFS(DataRegularSeason20242025!$AA$3:$AA$1315,DataRegularSeason20242025!$B$3:$B$1315, "&lt;=" &amp; BO$1, DataRegularSeason20242025!$D$3:$D$1315, $A50)+SUMIFS(DataRegularSeason20242025!$AB$3:$AB$1315,DataRegularSeason20242025!$B$3:$B$1315, "&lt;=" &amp; BO$1, DataRegularSeason20242025!$E$3:$E$1315, $A50)</f>
        <v>7</v>
      </c>
      <c r="BP50">
        <f>SUMIFS(DataRegularSeason20242025!$AA$3:$AA$1315,DataRegularSeason20242025!$B$3:$B$1315, "&lt;=" &amp; BP$1, DataRegularSeason20242025!$D$3:$D$1315, $A50)+SUMIFS(DataRegularSeason20242025!$AB$3:$AB$1315,DataRegularSeason20242025!$B$3:$B$1315, "&lt;=" &amp; BP$1, DataRegularSeason20242025!$E$3:$E$1315, $A50)</f>
        <v>7</v>
      </c>
      <c r="BQ50">
        <f>SUMIFS(DataRegularSeason20242025!$AA$3:$AA$1315,DataRegularSeason20242025!$B$3:$B$1315, "&lt;=" &amp; BQ$1, DataRegularSeason20242025!$D$3:$D$1315, $A50)+SUMIFS(DataRegularSeason20242025!$AB$3:$AB$1315,DataRegularSeason20242025!$B$3:$B$1315, "&lt;=" &amp; BQ$1, DataRegularSeason20242025!$E$3:$E$1315, $A50)</f>
        <v>7</v>
      </c>
      <c r="BR50">
        <f>SUMIFS(DataRegularSeason20242025!$AA$3:$AA$1315,DataRegularSeason20242025!$B$3:$B$1315, "&lt;=" &amp; BR$1, DataRegularSeason20242025!$D$3:$D$1315, $A50)+SUMIFS(DataRegularSeason20242025!$AB$3:$AB$1315,DataRegularSeason20242025!$B$3:$B$1315, "&lt;=" &amp; BR$1, DataRegularSeason20242025!$E$3:$E$1315, $A50)</f>
        <v>7</v>
      </c>
      <c r="BS50">
        <f>SUMIFS(DataRegularSeason20242025!$AA$3:$AA$1315,DataRegularSeason20242025!$B$3:$B$1315, "&lt;=" &amp; BS$1, DataRegularSeason20242025!$D$3:$D$1315, $A50)+SUMIFS(DataRegularSeason20242025!$AB$3:$AB$1315,DataRegularSeason20242025!$B$3:$B$1315, "&lt;=" &amp; BS$1, DataRegularSeason20242025!$E$3:$E$1315, $A50)</f>
        <v>7</v>
      </c>
      <c r="BT50">
        <f>SUMIFS(DataRegularSeason20242025!$AA$3:$AA$1315,DataRegularSeason20242025!$B$3:$B$1315, "&lt;=" &amp; BT$1, DataRegularSeason20242025!$D$3:$D$1315, $A50)+SUMIFS(DataRegularSeason20242025!$AB$3:$AB$1315,DataRegularSeason20242025!$B$3:$B$1315, "&lt;=" &amp; BT$1, DataRegularSeason20242025!$E$3:$E$1315, $A50)</f>
        <v>7</v>
      </c>
      <c r="BU50">
        <f>SUMIFS(DataRegularSeason20242025!$AA$3:$AA$1315,DataRegularSeason20242025!$B$3:$B$1315, "&lt;=" &amp; BU$1, DataRegularSeason20242025!$D$3:$D$1315, $A50)+SUMIFS(DataRegularSeason20242025!$AB$3:$AB$1315,DataRegularSeason20242025!$B$3:$B$1315, "&lt;=" &amp; BU$1, DataRegularSeason20242025!$E$3:$E$1315, $A50)</f>
        <v>7</v>
      </c>
      <c r="BV50">
        <f>SUMIFS(DataRegularSeason20242025!$AA$3:$AA$1315,DataRegularSeason20242025!$B$3:$B$1315, "&lt;=" &amp; BV$1, DataRegularSeason20242025!$D$3:$D$1315, $A50)+SUMIFS(DataRegularSeason20242025!$AB$3:$AB$1315,DataRegularSeason20242025!$B$3:$B$1315, "&lt;=" &amp; BV$1, DataRegularSeason20242025!$E$3:$E$1315, $A50)</f>
        <v>7</v>
      </c>
      <c r="BW50">
        <f>SUMIFS(DataRegularSeason20242025!$AA$3:$AA$1315,DataRegularSeason20242025!$B$3:$B$1315, "&lt;=" &amp; BW$1, DataRegularSeason20242025!$D$3:$D$1315, $A50)+SUMIFS(DataRegularSeason20242025!$AB$3:$AB$1315,DataRegularSeason20242025!$B$3:$B$1315, "&lt;=" &amp; BW$1, DataRegularSeason20242025!$E$3:$E$1315, $A50)</f>
        <v>7</v>
      </c>
      <c r="BX50">
        <f>SUMIFS(DataRegularSeason20242025!$AA$3:$AA$1315,DataRegularSeason20242025!$B$3:$B$1315, "&lt;=" &amp; BX$1, DataRegularSeason20242025!$D$3:$D$1315, $A50)+SUMIFS(DataRegularSeason20242025!$AB$3:$AB$1315,DataRegularSeason20242025!$B$3:$B$1315, "&lt;=" &amp; BX$1, DataRegularSeason20242025!$E$3:$E$1315, $A50)</f>
        <v>7</v>
      </c>
      <c r="BY50">
        <f>SUMIFS(DataRegularSeason20242025!$AA$3:$AA$1315,DataRegularSeason20242025!$B$3:$B$1315, "&lt;=" &amp; BY$1, DataRegularSeason20242025!$D$3:$D$1315, $A50)+SUMIFS(DataRegularSeason20242025!$AB$3:$AB$1315,DataRegularSeason20242025!$B$3:$B$1315, "&lt;=" &amp; BY$1, DataRegularSeason20242025!$E$3:$E$1315, $A50)</f>
        <v>7</v>
      </c>
      <c r="BZ50">
        <f>SUMIFS(DataRegularSeason20242025!$AA$3:$AA$1315,DataRegularSeason20242025!$B$3:$B$1315, "&lt;=" &amp; BZ$1, DataRegularSeason20242025!$D$3:$D$1315, $A50)+SUMIFS(DataRegularSeason20242025!$AB$3:$AB$1315,DataRegularSeason20242025!$B$3:$B$1315, "&lt;=" &amp; BZ$1, DataRegularSeason20242025!$E$3:$E$1315, $A50)</f>
        <v>7</v>
      </c>
      <c r="CA50">
        <f>SUMIFS(DataRegularSeason20242025!$AA$3:$AA$1315,DataRegularSeason20242025!$B$3:$B$1315, "&lt;=" &amp; CA$1, DataRegularSeason20242025!$D$3:$D$1315, $A50)+SUMIFS(DataRegularSeason20242025!$AB$3:$AB$1315,DataRegularSeason20242025!$B$3:$B$1315, "&lt;=" &amp; CA$1, DataRegularSeason20242025!$E$3:$E$1315, $A50)</f>
        <v>7</v>
      </c>
      <c r="CB50">
        <f>SUMIFS(DataRegularSeason20242025!$AA$3:$AA$1315,DataRegularSeason20242025!$B$3:$B$1315, "&lt;=" &amp; CB$1, DataRegularSeason20242025!$D$3:$D$1315, $A50)+SUMIFS(DataRegularSeason20242025!$AB$3:$AB$1315,DataRegularSeason20242025!$B$3:$B$1315, "&lt;=" &amp; CB$1, DataRegularSeason20242025!$E$3:$E$1315, $A50)</f>
        <v>7</v>
      </c>
      <c r="CC50">
        <f>SUMIFS(DataRegularSeason20242025!$AA$3:$AA$1315,DataRegularSeason20242025!$B$3:$B$1315, "&lt;=" &amp; CC$1, DataRegularSeason20242025!$D$3:$D$1315, $A50)+SUMIFS(DataRegularSeason20242025!$AB$3:$AB$1315,DataRegularSeason20242025!$B$3:$B$1315, "&lt;=" &amp; CC$1, DataRegularSeason20242025!$E$3:$E$1315, $A50)</f>
        <v>7</v>
      </c>
      <c r="CD50">
        <f>SUMIFS(DataRegularSeason20242025!$AA$3:$AA$1315,DataRegularSeason20242025!$B$3:$B$1315, "&lt;=" &amp; CD$1, DataRegularSeason20242025!$D$3:$D$1315, $A50)+SUMIFS(DataRegularSeason20242025!$AB$3:$AB$1315,DataRegularSeason20242025!$B$3:$B$1315, "&lt;=" &amp; CD$1, DataRegularSeason20242025!$E$3:$E$1315, $A50)</f>
        <v>7</v>
      </c>
      <c r="CE50">
        <f>SUMIFS(DataRegularSeason20242025!$AA$3:$AA$1315,DataRegularSeason20242025!$B$3:$B$1315, "&lt;=" &amp; CE$1, DataRegularSeason20242025!$D$3:$D$1315, $A50)+SUMIFS(DataRegularSeason20242025!$AB$3:$AB$1315,DataRegularSeason20242025!$B$3:$B$1315, "&lt;=" &amp; CE$1, DataRegularSeason20242025!$E$3:$E$1315, $A50)</f>
        <v>7</v>
      </c>
      <c r="CF50">
        <f>SUMIFS(DataRegularSeason20242025!$AA$3:$AA$1315,DataRegularSeason20242025!$B$3:$B$1315, "&lt;=" &amp; CF$1, DataRegularSeason20242025!$D$3:$D$1315, $A50)+SUMIFS(DataRegularSeason20242025!$AB$3:$AB$1315,DataRegularSeason20242025!$B$3:$B$1315, "&lt;=" &amp; CF$1, DataRegularSeason20242025!$E$3:$E$1315, $A50)</f>
        <v>7</v>
      </c>
      <c r="CG50">
        <f>SUMIFS(DataRegularSeason20242025!$AA$3:$AA$1315,DataRegularSeason20242025!$B$3:$B$1315, "&lt;=" &amp; CG$1, DataRegularSeason20242025!$D$3:$D$1315, $A50)+SUMIFS(DataRegularSeason20242025!$AB$3:$AB$1315,DataRegularSeason20242025!$B$3:$B$1315, "&lt;=" &amp; CG$1, DataRegularSeason20242025!$E$3:$E$1315, $A50)</f>
        <v>7</v>
      </c>
      <c r="CH50">
        <f>SUMIFS(DataRegularSeason20242025!$AA$3:$AA$1315,DataRegularSeason20242025!$B$3:$B$1315, "&lt;=" &amp; CH$1, DataRegularSeason20242025!$D$3:$D$1315, $A50)+SUMIFS(DataRegularSeason20242025!$AB$3:$AB$1315,DataRegularSeason20242025!$B$3:$B$1315, "&lt;=" &amp; CH$1, DataRegularSeason20242025!$E$3:$E$1315, $A50)</f>
        <v>7</v>
      </c>
      <c r="CI50">
        <f>SUMIFS(DataRegularSeason20242025!$AA$3:$AA$1315,DataRegularSeason20242025!$B$3:$B$1315, "&lt;=" &amp; CI$1, DataRegularSeason20242025!$D$3:$D$1315, $A50)+SUMIFS(DataRegularSeason20242025!$AB$3:$AB$1315,DataRegularSeason20242025!$B$3:$B$1315, "&lt;=" &amp; CI$1, DataRegularSeason20242025!$E$3:$E$1315, $A50)</f>
        <v>7</v>
      </c>
      <c r="CJ50">
        <f>SUMIFS(DataRegularSeason20242025!$AA$3:$AA$1315,DataRegularSeason20242025!$B$3:$B$1315, "&lt;=" &amp; CJ$1, DataRegularSeason20242025!$D$3:$D$1315, $A50)+SUMIFS(DataRegularSeason20242025!$AB$3:$AB$1315,DataRegularSeason20242025!$B$3:$B$1315, "&lt;=" &amp; CJ$1, DataRegularSeason20242025!$E$3:$E$1315, $A50)</f>
        <v>7</v>
      </c>
      <c r="CK50">
        <f>SUMIFS(DataRegularSeason20242025!$AA$3:$AA$1315,DataRegularSeason20242025!$B$3:$B$1315, "&lt;=" &amp; CK$1, DataRegularSeason20242025!$D$3:$D$1315, $A50)+SUMIFS(DataRegularSeason20242025!$AB$3:$AB$1315,DataRegularSeason20242025!$B$3:$B$1315, "&lt;=" &amp; CK$1, DataRegularSeason20242025!$E$3:$E$1315, $A50)</f>
        <v>7</v>
      </c>
      <c r="CL50">
        <f>SUMIFS(DataRegularSeason20242025!$AA$3:$AA$1315,DataRegularSeason20242025!$B$3:$B$1315, "&lt;=" &amp; CL$1, DataRegularSeason20242025!$D$3:$D$1315, $A50)+SUMIFS(DataRegularSeason20242025!$AB$3:$AB$1315,DataRegularSeason20242025!$B$3:$B$1315, "&lt;=" &amp; CL$1, DataRegularSeason20242025!$E$3:$E$1315, $A50)</f>
        <v>7</v>
      </c>
      <c r="CM50">
        <f>SUMIFS(DataRegularSeason20242025!$AA$3:$AA$1315,DataRegularSeason20242025!$B$3:$B$1315, "&lt;=" &amp; CM$1, DataRegularSeason20242025!$D$3:$D$1315, $A50)+SUMIFS(DataRegularSeason20242025!$AB$3:$AB$1315,DataRegularSeason20242025!$B$3:$B$1315, "&lt;=" &amp; CM$1, DataRegularSeason20242025!$E$3:$E$1315, $A50)</f>
        <v>7</v>
      </c>
      <c r="CN50">
        <f>SUMIFS(DataRegularSeason20242025!$AA$3:$AA$1315,DataRegularSeason20242025!$B$3:$B$1315, "&lt;=" &amp; CN$1, DataRegularSeason20242025!$D$3:$D$1315, $A50)+SUMIFS(DataRegularSeason20242025!$AB$3:$AB$1315,DataRegularSeason20242025!$B$3:$B$1315, "&lt;=" &amp; CN$1, DataRegularSeason20242025!$E$3:$E$1315, $A50)</f>
        <v>7</v>
      </c>
      <c r="CO50">
        <f>SUMIFS(DataRegularSeason20242025!$AA$3:$AA$1315,DataRegularSeason20242025!$B$3:$B$1315, "&lt;=" &amp; CO$1, DataRegularSeason20242025!$D$3:$D$1315, $A50)+SUMIFS(DataRegularSeason20242025!$AB$3:$AB$1315,DataRegularSeason20242025!$B$3:$B$1315, "&lt;=" &amp; CO$1, DataRegularSeason20242025!$E$3:$E$1315, $A50)</f>
        <v>7</v>
      </c>
      <c r="CP50">
        <f>SUMIFS(DataRegularSeason20242025!$AA$3:$AA$1315,DataRegularSeason20242025!$B$3:$B$1315, "&lt;=" &amp; CP$1, DataRegularSeason20242025!$D$3:$D$1315, $A50)+SUMIFS(DataRegularSeason20242025!$AB$3:$AB$1315,DataRegularSeason20242025!$B$3:$B$1315, "&lt;=" &amp; CP$1, DataRegularSeason20242025!$E$3:$E$1315, $A50)</f>
        <v>7</v>
      </c>
      <c r="CQ50">
        <f>SUMIFS(DataRegularSeason20242025!$AA$3:$AA$1315,DataRegularSeason20242025!$B$3:$B$1315, "&lt;=" &amp; CQ$1, DataRegularSeason20242025!$D$3:$D$1315, $A50)+SUMIFS(DataRegularSeason20242025!$AB$3:$AB$1315,DataRegularSeason20242025!$B$3:$B$1315, "&lt;=" &amp; CQ$1, DataRegularSeason20242025!$E$3:$E$1315, $A50)</f>
        <v>7</v>
      </c>
      <c r="CR50">
        <f>SUMIFS(DataRegularSeason20242025!$AA$3:$AA$1315,DataRegularSeason20242025!$B$3:$B$1315, "&lt;=" &amp; CR$1, DataRegularSeason20242025!$D$3:$D$1315, $A50)+SUMIFS(DataRegularSeason20242025!$AB$3:$AB$1315,DataRegularSeason20242025!$B$3:$B$1315, "&lt;=" &amp; CR$1, DataRegularSeason20242025!$E$3:$E$1315, $A50)</f>
        <v>7</v>
      </c>
      <c r="CS50">
        <f>SUMIFS(DataRegularSeason20242025!$AA$3:$AA$1315,DataRegularSeason20242025!$B$3:$B$1315, "&lt;=" &amp; CS$1, DataRegularSeason20242025!$D$3:$D$1315, $A50)+SUMIFS(DataRegularSeason20242025!$AB$3:$AB$1315,DataRegularSeason20242025!$B$3:$B$1315, "&lt;=" &amp; CS$1, DataRegularSeason20242025!$E$3:$E$1315, $A50)</f>
        <v>7</v>
      </c>
      <c r="CT50">
        <f>SUMIFS(DataRegularSeason20242025!$AA$3:$AA$1315,DataRegularSeason20242025!$B$3:$B$1315, "&lt;=" &amp; CT$1, DataRegularSeason20242025!$D$3:$D$1315, $A50)+SUMIFS(DataRegularSeason20242025!$AB$3:$AB$1315,DataRegularSeason20242025!$B$3:$B$1315, "&lt;=" &amp; CT$1, DataRegularSeason20242025!$E$3:$E$1315, $A50)</f>
        <v>7</v>
      </c>
      <c r="CU50">
        <f>SUMIFS(DataRegularSeason20242025!$AA$3:$AA$1315,DataRegularSeason20242025!$B$3:$B$1315, "&lt;=" &amp; CU$1, DataRegularSeason20242025!$D$3:$D$1315, $A50)+SUMIFS(DataRegularSeason20242025!$AB$3:$AB$1315,DataRegularSeason20242025!$B$3:$B$1315, "&lt;=" &amp; CU$1, DataRegularSeason20242025!$E$3:$E$1315, $A50)</f>
        <v>7</v>
      </c>
      <c r="CV50">
        <f>SUMIFS(DataRegularSeason20242025!$AA$3:$AA$1315,DataRegularSeason20242025!$B$3:$B$1315, "&lt;=" &amp; CV$1, DataRegularSeason20242025!$D$3:$D$1315, $A50)+SUMIFS(DataRegularSeason20242025!$AB$3:$AB$1315,DataRegularSeason20242025!$B$3:$B$1315, "&lt;=" &amp; CV$1, DataRegularSeason20242025!$E$3:$E$1315, $A50)</f>
        <v>7</v>
      </c>
      <c r="CW50">
        <f>SUMIFS(DataRegularSeason20242025!$AA$3:$AA$1315,DataRegularSeason20242025!$B$3:$B$1315, "&lt;=" &amp; CW$1, DataRegularSeason20242025!$D$3:$D$1315, $A50)+SUMIFS(DataRegularSeason20242025!$AB$3:$AB$1315,DataRegularSeason20242025!$B$3:$B$1315, "&lt;=" &amp; CW$1, DataRegularSeason20242025!$E$3:$E$1315, $A50)</f>
        <v>7</v>
      </c>
      <c r="CX50">
        <f>SUMIFS(DataRegularSeason20242025!$AA$3:$AA$1315,DataRegularSeason20242025!$B$3:$B$1315, "&lt;=" &amp; CX$1, DataRegularSeason20242025!$D$3:$D$1315, $A50)+SUMIFS(DataRegularSeason20242025!$AB$3:$AB$1315,DataRegularSeason20242025!$B$3:$B$1315, "&lt;=" &amp; CX$1, DataRegularSeason20242025!$E$3:$E$1315, $A50)</f>
        <v>7</v>
      </c>
      <c r="CY50">
        <f>SUMIFS(DataRegularSeason20242025!$AA$3:$AA$1315,DataRegularSeason20242025!$B$3:$B$1315, "&lt;=" &amp; CY$1, DataRegularSeason20242025!$D$3:$D$1315, $A50)+SUMIFS(DataRegularSeason20242025!$AB$3:$AB$1315,DataRegularSeason20242025!$B$3:$B$1315, "&lt;=" &amp; CY$1, DataRegularSeason20242025!$E$3:$E$1315, $A50)</f>
        <v>7</v>
      </c>
      <c r="CZ50">
        <f>SUMIFS(DataRegularSeason20242025!$AA$3:$AA$1315,DataRegularSeason20242025!$B$3:$B$1315, "&lt;=" &amp; CZ$1, DataRegularSeason20242025!$D$3:$D$1315, $A50)+SUMIFS(DataRegularSeason20242025!$AB$3:$AB$1315,DataRegularSeason20242025!$B$3:$B$1315, "&lt;=" &amp; CZ$1, DataRegularSeason20242025!$E$3:$E$1315, $A50)</f>
        <v>7</v>
      </c>
      <c r="DA50">
        <f>SUMIFS(DataRegularSeason20242025!$AA$3:$AA$1315,DataRegularSeason20242025!$B$3:$B$1315, "&lt;=" &amp; DA$1, DataRegularSeason20242025!$D$3:$D$1315, $A50)+SUMIFS(DataRegularSeason20242025!$AB$3:$AB$1315,DataRegularSeason20242025!$B$3:$B$1315, "&lt;=" &amp; DA$1, DataRegularSeason20242025!$E$3:$E$1315, $A50)</f>
        <v>7</v>
      </c>
      <c r="DB50">
        <f>SUMIFS(DataRegularSeason20242025!$AA$3:$AA$1315,DataRegularSeason20242025!$B$3:$B$1315, "&lt;=" &amp; DB$1, DataRegularSeason20242025!$D$3:$D$1315, $A50)+SUMIFS(DataRegularSeason20242025!$AB$3:$AB$1315,DataRegularSeason20242025!$B$3:$B$1315, "&lt;=" &amp; DB$1, DataRegularSeason20242025!$E$3:$E$1315, $A50)</f>
        <v>7</v>
      </c>
      <c r="DC50">
        <f>SUMIFS(DataRegularSeason20242025!$AA$3:$AA$1315,DataRegularSeason20242025!$B$3:$B$1315, "&lt;=" &amp; DC$1, DataRegularSeason20242025!$D$3:$D$1315, $A50)+SUMIFS(DataRegularSeason20242025!$AB$3:$AB$1315,DataRegularSeason20242025!$B$3:$B$1315, "&lt;=" &amp; DC$1, DataRegularSeason20242025!$E$3:$E$1315, $A50)</f>
        <v>7</v>
      </c>
      <c r="DD50">
        <f>SUMIFS(DataRegularSeason20242025!$AA$3:$AA$1315,DataRegularSeason20242025!$B$3:$B$1315, "&lt;=" &amp; DD$1, DataRegularSeason20242025!$D$3:$D$1315, $A50)+SUMIFS(DataRegularSeason20242025!$AB$3:$AB$1315,DataRegularSeason20242025!$B$3:$B$1315, "&lt;=" &amp; DD$1, DataRegularSeason20242025!$E$3:$E$1315, $A50)</f>
        <v>7</v>
      </c>
      <c r="DE50">
        <f>SUMIFS(DataRegularSeason20242025!$AA$3:$AA$1315,DataRegularSeason20242025!$B$3:$B$1315, "&lt;=" &amp; DE$1, DataRegularSeason20242025!$D$3:$D$1315, $A50)+SUMIFS(DataRegularSeason20242025!$AB$3:$AB$1315,DataRegularSeason20242025!$B$3:$B$1315, "&lt;=" &amp; DE$1, DataRegularSeason20242025!$E$3:$E$1315, $A50)</f>
        <v>7</v>
      </c>
      <c r="DF50">
        <f>SUMIFS(DataRegularSeason20242025!$AA$3:$AA$1315,DataRegularSeason20242025!$B$3:$B$1315, "&lt;=" &amp; DF$1, DataRegularSeason20242025!$D$3:$D$1315, $A50)+SUMIFS(DataRegularSeason20242025!$AB$3:$AB$1315,DataRegularSeason20242025!$B$3:$B$1315, "&lt;=" &amp; DF$1, DataRegularSeason20242025!$E$3:$E$1315, $A50)</f>
        <v>7</v>
      </c>
      <c r="DG50">
        <f>SUMIFS(DataRegularSeason20242025!$AA$3:$AA$1315,DataRegularSeason20242025!$B$3:$B$1315, "&lt;=" &amp; DG$1, DataRegularSeason20242025!$D$3:$D$1315, $A50)+SUMIFS(DataRegularSeason20242025!$AB$3:$AB$1315,DataRegularSeason20242025!$B$3:$B$1315, "&lt;=" &amp; DG$1, DataRegularSeason20242025!$E$3:$E$1315, $A50)</f>
        <v>7</v>
      </c>
      <c r="DH50">
        <f>SUMIFS(DataRegularSeason20242025!$AA$3:$AA$1315,DataRegularSeason20242025!$B$3:$B$1315, "&lt;=" &amp; DH$1, DataRegularSeason20242025!$D$3:$D$1315, $A50)+SUMIFS(DataRegularSeason20242025!$AB$3:$AB$1315,DataRegularSeason20242025!$B$3:$B$1315, "&lt;=" &amp; DH$1, DataRegularSeason20242025!$E$3:$E$1315, $A50)</f>
        <v>7</v>
      </c>
      <c r="DI50">
        <f>SUMIFS(DataRegularSeason20242025!$AA$3:$AA$1315,DataRegularSeason20242025!$B$3:$B$1315, "&lt;=" &amp; DI$1, DataRegularSeason20242025!$D$3:$D$1315, $A50)+SUMIFS(DataRegularSeason20242025!$AB$3:$AB$1315,DataRegularSeason20242025!$B$3:$B$1315, "&lt;=" &amp; DI$1, DataRegularSeason20242025!$E$3:$E$1315, $A50)</f>
        <v>7</v>
      </c>
      <c r="DJ50">
        <f>SUMIFS(DataRegularSeason20242025!$AA$3:$AA$1315,DataRegularSeason20242025!$B$3:$B$1315, "&lt;=" &amp; DJ$1, DataRegularSeason20242025!$D$3:$D$1315, $A50)+SUMIFS(DataRegularSeason20242025!$AB$3:$AB$1315,DataRegularSeason20242025!$B$3:$B$1315, "&lt;=" &amp; DJ$1, DataRegularSeason20242025!$E$3:$E$1315, $A50)</f>
        <v>7</v>
      </c>
      <c r="DK50">
        <f>SUMIFS(DataRegularSeason20242025!$AA$3:$AA$1315,DataRegularSeason20242025!$B$3:$B$1315, "&lt;=" &amp; DK$1, DataRegularSeason20242025!$D$3:$D$1315, $A50)+SUMIFS(DataRegularSeason20242025!$AB$3:$AB$1315,DataRegularSeason20242025!$B$3:$B$1315, "&lt;=" &amp; DK$1, DataRegularSeason20242025!$E$3:$E$1315, $A50)</f>
        <v>7</v>
      </c>
      <c r="DL50">
        <f>SUMIFS(DataRegularSeason20242025!$AA$3:$AA$1315,DataRegularSeason20242025!$B$3:$B$1315, "&lt;=" &amp; DL$1, DataRegularSeason20242025!$D$3:$D$1315, $A50)+SUMIFS(DataRegularSeason20242025!$AB$3:$AB$1315,DataRegularSeason20242025!$B$3:$B$1315, "&lt;=" &amp; DL$1, DataRegularSeason20242025!$E$3:$E$1315, $A50)</f>
        <v>7</v>
      </c>
      <c r="DM50">
        <f>SUMIFS(DataRegularSeason20242025!$AA$3:$AA$1315,DataRegularSeason20242025!$B$3:$B$1315, "&lt;=" &amp; DM$1, DataRegularSeason20242025!$D$3:$D$1315, $A50)+SUMIFS(DataRegularSeason20242025!$AB$3:$AB$1315,DataRegularSeason20242025!$B$3:$B$1315, "&lt;=" &amp; DM$1, DataRegularSeason20242025!$E$3:$E$1315, $A50)</f>
        <v>7</v>
      </c>
      <c r="DN50">
        <f>SUMIFS(DataRegularSeason20242025!$AA$3:$AA$1315,DataRegularSeason20242025!$B$3:$B$1315, "&lt;=" &amp; DN$1, DataRegularSeason20242025!$D$3:$D$1315, $A50)+SUMIFS(DataRegularSeason20242025!$AB$3:$AB$1315,DataRegularSeason20242025!$B$3:$B$1315, "&lt;=" &amp; DN$1, DataRegularSeason20242025!$E$3:$E$1315, $A50)</f>
        <v>7</v>
      </c>
      <c r="DO50">
        <f>SUMIFS(DataRegularSeason20242025!$AA$3:$AA$1315,DataRegularSeason20242025!$B$3:$B$1315, "&lt;=" &amp; DO$1, DataRegularSeason20242025!$D$3:$D$1315, $A50)+SUMIFS(DataRegularSeason20242025!$AB$3:$AB$1315,DataRegularSeason20242025!$B$3:$B$1315, "&lt;=" &amp; DO$1, DataRegularSeason20242025!$E$3:$E$1315, $A50)</f>
        <v>7</v>
      </c>
      <c r="DP50">
        <f>SUMIFS(DataRegularSeason20242025!$AA$3:$AA$1315,DataRegularSeason20242025!$B$3:$B$1315, "&lt;=" &amp; DP$1, DataRegularSeason20242025!$D$3:$D$1315, $A50)+SUMIFS(DataRegularSeason20242025!$AB$3:$AB$1315,DataRegularSeason20242025!$B$3:$B$1315, "&lt;=" &amp; DP$1, DataRegularSeason20242025!$E$3:$E$1315, $A50)</f>
        <v>7</v>
      </c>
      <c r="DQ50">
        <f>SUMIFS(DataRegularSeason20242025!$AA$3:$AA$1315,DataRegularSeason20242025!$B$3:$B$1315, "&lt;=" &amp; DQ$1, DataRegularSeason20242025!$D$3:$D$1315, $A50)+SUMIFS(DataRegularSeason20242025!$AB$3:$AB$1315,DataRegularSeason20242025!$B$3:$B$1315, "&lt;=" &amp; DQ$1, DataRegularSeason20242025!$E$3:$E$1315, $A50)</f>
        <v>7</v>
      </c>
      <c r="DR50">
        <f>SUMIFS(DataRegularSeason20242025!$AA$3:$AA$1315,DataRegularSeason20242025!$B$3:$B$1315, "&lt;=" &amp; DR$1, DataRegularSeason20242025!$D$3:$D$1315, $A50)+SUMIFS(DataRegularSeason20242025!$AB$3:$AB$1315,DataRegularSeason20242025!$B$3:$B$1315, "&lt;=" &amp; DR$1, DataRegularSeason20242025!$E$3:$E$1315, $A50)</f>
        <v>7</v>
      </c>
      <c r="DS50">
        <f>SUMIFS(DataRegularSeason20242025!$AA$3:$AA$1315,DataRegularSeason20242025!$B$3:$B$1315, "&lt;=" &amp; DS$1, DataRegularSeason20242025!$D$3:$D$1315, $A50)+SUMIFS(DataRegularSeason20242025!$AB$3:$AB$1315,DataRegularSeason20242025!$B$3:$B$1315, "&lt;=" &amp; DS$1, DataRegularSeason20242025!$E$3:$E$1315, $A50)</f>
        <v>7</v>
      </c>
      <c r="DT50">
        <f>SUMIFS(DataRegularSeason20242025!$AA$3:$AA$1315,DataRegularSeason20242025!$B$3:$B$1315, "&lt;=" &amp; DT$1, DataRegularSeason20242025!$D$3:$D$1315, $A50)+SUMIFS(DataRegularSeason20242025!$AB$3:$AB$1315,DataRegularSeason20242025!$B$3:$B$1315, "&lt;=" &amp; DT$1, DataRegularSeason20242025!$E$3:$E$1315, $A50)</f>
        <v>7</v>
      </c>
      <c r="DU50">
        <f>SUMIFS(DataRegularSeason20242025!$AA$3:$AA$1315,DataRegularSeason20242025!$B$3:$B$1315, "&lt;=" &amp; DU$1, DataRegularSeason20242025!$D$3:$D$1315, $A50)+SUMIFS(DataRegularSeason20242025!$AB$3:$AB$1315,DataRegularSeason20242025!$B$3:$B$1315, "&lt;=" &amp; DU$1, DataRegularSeason20242025!$E$3:$E$1315, $A50)</f>
        <v>7</v>
      </c>
      <c r="DV50">
        <f>SUMIFS(DataRegularSeason20242025!$AA$3:$AA$1315,DataRegularSeason20242025!$B$3:$B$1315, "&lt;=" &amp; DV$1, DataRegularSeason20242025!$D$3:$D$1315, $A50)+SUMIFS(DataRegularSeason20242025!$AB$3:$AB$1315,DataRegularSeason20242025!$B$3:$B$1315, "&lt;=" &amp; DV$1, DataRegularSeason20242025!$E$3:$E$1315, $A50)</f>
        <v>7</v>
      </c>
      <c r="DW50">
        <f>SUMIFS(DataRegularSeason20242025!$AA$3:$AA$1315,DataRegularSeason20242025!$B$3:$B$1315, "&lt;=" &amp; DW$1, DataRegularSeason20242025!$D$3:$D$1315, $A50)+SUMIFS(DataRegularSeason20242025!$AB$3:$AB$1315,DataRegularSeason20242025!$B$3:$B$1315, "&lt;=" &amp; DW$1, DataRegularSeason20242025!$E$3:$E$1315, $A50)</f>
        <v>7</v>
      </c>
      <c r="DX50">
        <f>SUMIFS(DataRegularSeason20242025!$AA$3:$AA$1315,DataRegularSeason20242025!$B$3:$B$1315, "&lt;=" &amp; DX$1, DataRegularSeason20242025!$D$3:$D$1315, $A50)+SUMIFS(DataRegularSeason20242025!$AB$3:$AB$1315,DataRegularSeason20242025!$B$3:$B$1315, "&lt;=" &amp; DX$1, DataRegularSeason20242025!$E$3:$E$1315, $A50)</f>
        <v>7</v>
      </c>
      <c r="DY50">
        <f>SUMIFS(DataRegularSeason20242025!$AA$3:$AA$1315,DataRegularSeason20242025!$B$3:$B$1315, "&lt;=" &amp; DY$1, DataRegularSeason20242025!$D$3:$D$1315, $A50)+SUMIFS(DataRegularSeason20242025!$AB$3:$AB$1315,DataRegularSeason20242025!$B$3:$B$1315, "&lt;=" &amp; DY$1, DataRegularSeason20242025!$E$3:$E$1315, $A50)</f>
        <v>7</v>
      </c>
      <c r="DZ50">
        <f>SUMIFS(DataRegularSeason20242025!$AA$3:$AA$1315,DataRegularSeason20242025!$B$3:$B$1315, "&lt;=" &amp; DZ$1, DataRegularSeason20242025!$D$3:$D$1315, $A50)+SUMIFS(DataRegularSeason20242025!$AB$3:$AB$1315,DataRegularSeason20242025!$B$3:$B$1315, "&lt;=" &amp; DZ$1, DataRegularSeason20242025!$E$3:$E$1315, $A50)</f>
        <v>7</v>
      </c>
      <c r="EA50">
        <f>SUMIFS(DataRegularSeason20242025!$AA$3:$AA$1315,DataRegularSeason20242025!$B$3:$B$1315, "&lt;=" &amp; EA$1, DataRegularSeason20242025!$D$3:$D$1315, $A50)+SUMIFS(DataRegularSeason20242025!$AB$3:$AB$1315,DataRegularSeason20242025!$B$3:$B$1315, "&lt;=" &amp; EA$1, DataRegularSeason20242025!$E$3:$E$1315, $A50)</f>
        <v>7</v>
      </c>
      <c r="EB50">
        <f>SUMIFS(DataRegularSeason20242025!$AA$3:$AA$1315,DataRegularSeason20242025!$B$3:$B$1315, "&lt;=" &amp; EB$1, DataRegularSeason20242025!$D$3:$D$1315, $A50)+SUMIFS(DataRegularSeason20242025!$AB$3:$AB$1315,DataRegularSeason20242025!$B$3:$B$1315, "&lt;=" &amp; EB$1, DataRegularSeason20242025!$E$3:$E$1315, $A50)</f>
        <v>7</v>
      </c>
      <c r="EC50">
        <f>SUMIFS(DataRegularSeason20242025!$AA$3:$AA$1315,DataRegularSeason20242025!$B$3:$B$1315, "&lt;=" &amp; EC$1, DataRegularSeason20242025!$D$3:$D$1315, $A50)+SUMIFS(DataRegularSeason20242025!$AB$3:$AB$1315,DataRegularSeason20242025!$B$3:$B$1315, "&lt;=" &amp; EC$1, DataRegularSeason20242025!$E$3:$E$1315, $A50)</f>
        <v>7</v>
      </c>
      <c r="ED50">
        <f>SUMIFS(DataRegularSeason20242025!$AA$3:$AA$1315,DataRegularSeason20242025!$B$3:$B$1315, "&lt;=" &amp; ED$1, DataRegularSeason20242025!$D$3:$D$1315, $A50)+SUMIFS(DataRegularSeason20242025!$AB$3:$AB$1315,DataRegularSeason20242025!$B$3:$B$1315, "&lt;=" &amp; ED$1, DataRegularSeason20242025!$E$3:$E$1315, $A50)</f>
        <v>7</v>
      </c>
      <c r="EE50">
        <f>SUMIFS(DataRegularSeason20242025!$AA$3:$AA$1315,DataRegularSeason20242025!$B$3:$B$1315, "&lt;=" &amp; EE$1, DataRegularSeason20242025!$D$3:$D$1315, $A50)+SUMIFS(DataRegularSeason20242025!$AB$3:$AB$1315,DataRegularSeason20242025!$B$3:$B$1315, "&lt;=" &amp; EE$1, DataRegularSeason20242025!$E$3:$E$1315, $A50)</f>
        <v>7</v>
      </c>
      <c r="EF50">
        <f>SUMIFS(DataRegularSeason20242025!$AA$3:$AA$1315,DataRegularSeason20242025!$B$3:$B$1315, "&lt;=" &amp; EF$1, DataRegularSeason20242025!$D$3:$D$1315, $A50)+SUMIFS(DataRegularSeason20242025!$AB$3:$AB$1315,DataRegularSeason20242025!$B$3:$B$1315, "&lt;=" &amp; EF$1, DataRegularSeason20242025!$E$3:$E$1315, $A50)</f>
        <v>7</v>
      </c>
      <c r="EG50">
        <f>SUMIFS(DataRegularSeason20242025!$AA$3:$AA$1315,DataRegularSeason20242025!$B$3:$B$1315, "&lt;=" &amp; EG$1, DataRegularSeason20242025!$D$3:$D$1315, $A50)+SUMIFS(DataRegularSeason20242025!$AB$3:$AB$1315,DataRegularSeason20242025!$B$3:$B$1315, "&lt;=" &amp; EG$1, DataRegularSeason20242025!$E$3:$E$1315, $A50)</f>
        <v>7</v>
      </c>
      <c r="EH50">
        <f>SUMIFS(DataRegularSeason20242025!$AA$3:$AA$1315,DataRegularSeason20242025!$B$3:$B$1315, "&lt;=" &amp; EH$1, DataRegularSeason20242025!$D$3:$D$1315, $A50)+SUMIFS(DataRegularSeason20242025!$AB$3:$AB$1315,DataRegularSeason20242025!$B$3:$B$1315, "&lt;=" &amp; EH$1, DataRegularSeason20242025!$E$3:$E$1315, $A50)</f>
        <v>7</v>
      </c>
      <c r="EI50">
        <f>SUMIFS(DataRegularSeason20242025!$AA$3:$AA$1315,DataRegularSeason20242025!$B$3:$B$1315, "&lt;=" &amp; EI$1, DataRegularSeason20242025!$D$3:$D$1315, $A50)+SUMIFS(DataRegularSeason20242025!$AB$3:$AB$1315,DataRegularSeason20242025!$B$3:$B$1315, "&lt;=" &amp; EI$1, DataRegularSeason20242025!$E$3:$E$1315, $A50)</f>
        <v>7</v>
      </c>
      <c r="EJ50">
        <f>SUMIFS(DataRegularSeason20242025!$AA$3:$AA$1315,DataRegularSeason20242025!$B$3:$B$1315, "&lt;=" &amp; EJ$1, DataRegularSeason20242025!$D$3:$D$1315, $A50)+SUMIFS(DataRegularSeason20242025!$AB$3:$AB$1315,DataRegularSeason20242025!$B$3:$B$1315, "&lt;=" &amp; EJ$1, DataRegularSeason20242025!$E$3:$E$1315, $A50)</f>
        <v>7</v>
      </c>
      <c r="EK50">
        <f>SUMIFS(DataRegularSeason20242025!$AA$3:$AA$1315,DataRegularSeason20242025!$B$3:$B$1315, "&lt;=" &amp; EK$1, DataRegularSeason20242025!$D$3:$D$1315, $A50)+SUMIFS(DataRegularSeason20242025!$AB$3:$AB$1315,DataRegularSeason20242025!$B$3:$B$1315, "&lt;=" &amp; EK$1, DataRegularSeason20242025!$E$3:$E$1315, $A50)</f>
        <v>7</v>
      </c>
      <c r="EL50">
        <f>SUMIFS(DataRegularSeason20242025!$AA$3:$AA$1315,DataRegularSeason20242025!$B$3:$B$1315, "&lt;=" &amp; EL$1, DataRegularSeason20242025!$D$3:$D$1315, $A50)+SUMIFS(DataRegularSeason20242025!$AB$3:$AB$1315,DataRegularSeason20242025!$B$3:$B$1315, "&lt;=" &amp; EL$1, DataRegularSeason20242025!$E$3:$E$1315, $A50)</f>
        <v>7</v>
      </c>
      <c r="EM50">
        <f>SUMIFS(DataRegularSeason20242025!$AA$3:$AA$1315,DataRegularSeason20242025!$B$3:$B$1315, "&lt;=" &amp; EM$1, DataRegularSeason20242025!$D$3:$D$1315, $A50)+SUMIFS(DataRegularSeason20242025!$AB$3:$AB$1315,DataRegularSeason20242025!$B$3:$B$1315, "&lt;=" &amp; EM$1, DataRegularSeason20242025!$E$3:$E$1315, $A50)</f>
        <v>7</v>
      </c>
      <c r="EN50">
        <f>SUMIFS(DataRegularSeason20242025!$AA$3:$AA$1315,DataRegularSeason20242025!$B$3:$B$1315, "&lt;=" &amp; EN$1, DataRegularSeason20242025!$D$3:$D$1315, $A50)+SUMIFS(DataRegularSeason20242025!$AB$3:$AB$1315,DataRegularSeason20242025!$B$3:$B$1315, "&lt;=" &amp; EN$1, DataRegularSeason20242025!$E$3:$E$1315, $A50)</f>
        <v>7</v>
      </c>
      <c r="EO50">
        <f>SUMIFS(DataRegularSeason20242025!$AA$3:$AA$1315,DataRegularSeason20242025!$B$3:$B$1315, "&lt;=" &amp; EO$1, DataRegularSeason20242025!$D$3:$D$1315, $A50)+SUMIFS(DataRegularSeason20242025!$AB$3:$AB$1315,DataRegularSeason20242025!$B$3:$B$1315, "&lt;=" &amp; EO$1, DataRegularSeason20242025!$E$3:$E$1315, $A50)</f>
        <v>7</v>
      </c>
      <c r="EP50">
        <f>SUMIFS(DataRegularSeason20242025!$AA$3:$AA$1315,DataRegularSeason20242025!$B$3:$B$1315, "&lt;=" &amp; EP$1, DataRegularSeason20242025!$D$3:$D$1315, $A50)+SUMIFS(DataRegularSeason20242025!$AB$3:$AB$1315,DataRegularSeason20242025!$B$3:$B$1315, "&lt;=" &amp; EP$1, DataRegularSeason20242025!$E$3:$E$1315, $A50)</f>
        <v>7</v>
      </c>
      <c r="EQ50">
        <f>SUMIFS(DataRegularSeason20242025!$AA$3:$AA$1315,DataRegularSeason20242025!$B$3:$B$1315, "&lt;=" &amp; EQ$1, DataRegularSeason20242025!$D$3:$D$1315, $A50)+SUMIFS(DataRegularSeason20242025!$AB$3:$AB$1315,DataRegularSeason20242025!$B$3:$B$1315, "&lt;=" &amp; EQ$1, DataRegularSeason20242025!$E$3:$E$1315, $A50)</f>
        <v>7</v>
      </c>
      <c r="ER50">
        <f>SUMIFS(DataRegularSeason20242025!$AA$3:$AA$1315,DataRegularSeason20242025!$B$3:$B$1315, "&lt;=" &amp; ER$1, DataRegularSeason20242025!$D$3:$D$1315, $A50)+SUMIFS(DataRegularSeason20242025!$AB$3:$AB$1315,DataRegularSeason20242025!$B$3:$B$1315, "&lt;=" &amp; ER$1, DataRegularSeason20242025!$E$3:$E$1315, $A50)</f>
        <v>7</v>
      </c>
      <c r="ES50">
        <f>SUMIFS(DataRegularSeason20242025!$AA$3:$AA$1315,DataRegularSeason20242025!$B$3:$B$1315, "&lt;=" &amp; ES$1, DataRegularSeason20242025!$D$3:$D$1315, $A50)+SUMIFS(DataRegularSeason20242025!$AB$3:$AB$1315,DataRegularSeason20242025!$B$3:$B$1315, "&lt;=" &amp; ES$1, DataRegularSeason20242025!$E$3:$E$1315, $A50)</f>
        <v>7</v>
      </c>
      <c r="ET50">
        <f>SUMIFS(DataRegularSeason20242025!$AA$3:$AA$1315,DataRegularSeason20242025!$B$3:$B$1315, "&lt;=" &amp; ET$1, DataRegularSeason20242025!$D$3:$D$1315, $A50)+SUMIFS(DataRegularSeason20242025!$AB$3:$AB$1315,DataRegularSeason20242025!$B$3:$B$1315, "&lt;=" &amp; ET$1, DataRegularSeason20242025!$E$3:$E$1315, $A50)</f>
        <v>7</v>
      </c>
      <c r="EU50">
        <f>SUMIFS(DataRegularSeason20242025!$AA$3:$AA$1315,DataRegularSeason20242025!$B$3:$B$1315, "&lt;=" &amp; EU$1, DataRegularSeason20242025!$D$3:$D$1315, $A50)+SUMIFS(DataRegularSeason20242025!$AB$3:$AB$1315,DataRegularSeason20242025!$B$3:$B$1315, "&lt;=" &amp; EU$1, DataRegularSeason20242025!$E$3:$E$1315, $A50)</f>
        <v>7</v>
      </c>
      <c r="EV50">
        <f>SUMIFS(DataRegularSeason20242025!$AA$3:$AA$1315,DataRegularSeason20242025!$B$3:$B$1315, "&lt;=" &amp; EV$1, DataRegularSeason20242025!$D$3:$D$1315, $A50)+SUMIFS(DataRegularSeason20242025!$AB$3:$AB$1315,DataRegularSeason20242025!$B$3:$B$1315, "&lt;=" &amp; EV$1, DataRegularSeason20242025!$E$3:$E$1315, $A50)</f>
        <v>7</v>
      </c>
      <c r="EW50">
        <f>SUMIFS(DataRegularSeason20242025!$AA$3:$AA$1315,DataRegularSeason20242025!$B$3:$B$1315, "&lt;=" &amp; EW$1, DataRegularSeason20242025!$D$3:$D$1315, $A50)+SUMIFS(DataRegularSeason20242025!$AB$3:$AB$1315,DataRegularSeason20242025!$B$3:$B$1315, "&lt;=" &amp; EW$1, DataRegularSeason20242025!$E$3:$E$1315, $A50)</f>
        <v>7</v>
      </c>
      <c r="EX50">
        <f>SUMIFS(DataRegularSeason20242025!$AA$3:$AA$1315,DataRegularSeason20242025!$B$3:$B$1315, "&lt;=" &amp; EX$1, DataRegularSeason20242025!$D$3:$D$1315, $A50)+SUMIFS(DataRegularSeason20242025!$AB$3:$AB$1315,DataRegularSeason20242025!$B$3:$B$1315, "&lt;=" &amp; EX$1, DataRegularSeason20242025!$E$3:$E$1315, $A50)</f>
        <v>7</v>
      </c>
      <c r="EY50">
        <f>SUMIFS(DataRegularSeason20242025!$AA$3:$AA$1315,DataRegularSeason20242025!$B$3:$B$1315, "&lt;=" &amp; EY$1, DataRegularSeason20242025!$D$3:$D$1315, $A50)+SUMIFS(DataRegularSeason20242025!$AB$3:$AB$1315,DataRegularSeason20242025!$B$3:$B$1315, "&lt;=" &amp; EY$1, DataRegularSeason20242025!$E$3:$E$1315, $A50)</f>
        <v>7</v>
      </c>
      <c r="EZ50">
        <f>SUMIFS(DataRegularSeason20242025!$AA$3:$AA$1315,DataRegularSeason20242025!$B$3:$B$1315, "&lt;=" &amp; EZ$1, DataRegularSeason20242025!$D$3:$D$1315, $A50)+SUMIFS(DataRegularSeason20242025!$AB$3:$AB$1315,DataRegularSeason20242025!$B$3:$B$1315, "&lt;=" &amp; EZ$1, DataRegularSeason20242025!$E$3:$E$1315, $A50)</f>
        <v>7</v>
      </c>
      <c r="FA50">
        <f>SUMIFS(DataRegularSeason20242025!$AA$3:$AA$1315,DataRegularSeason20242025!$B$3:$B$1315, "&lt;=" &amp; FA$1, DataRegularSeason20242025!$D$3:$D$1315, $A50)+SUMIFS(DataRegularSeason20242025!$AB$3:$AB$1315,DataRegularSeason20242025!$B$3:$B$1315, "&lt;=" &amp; FA$1, DataRegularSeason20242025!$E$3:$E$1315, $A50)</f>
        <v>7</v>
      </c>
      <c r="FB50">
        <f>SUMIFS(DataRegularSeason20242025!$AA$3:$AA$1315,DataRegularSeason20242025!$B$3:$B$1315, "&lt;=" &amp; FB$1, DataRegularSeason20242025!$D$3:$D$1315, $A50)+SUMIFS(DataRegularSeason20242025!$AB$3:$AB$1315,DataRegularSeason20242025!$B$3:$B$1315, "&lt;=" &amp; FB$1, DataRegularSeason20242025!$E$3:$E$1315, $A50)</f>
        <v>7</v>
      </c>
      <c r="FC50">
        <f>SUMIFS(DataRegularSeason20242025!$AA$3:$AA$1315,DataRegularSeason20242025!$B$3:$B$1315, "&lt;=" &amp; FC$1, DataRegularSeason20242025!$D$3:$D$1315, $A50)+SUMIFS(DataRegularSeason20242025!$AB$3:$AB$1315,DataRegularSeason20242025!$B$3:$B$1315, "&lt;=" &amp; FC$1, DataRegularSeason20242025!$E$3:$E$1315, $A50)</f>
        <v>7</v>
      </c>
      <c r="FD50">
        <f>SUMIFS(DataRegularSeason20242025!$AA$3:$AA$1315,DataRegularSeason20242025!$B$3:$B$1315, "&lt;=" &amp; FD$1, DataRegularSeason20242025!$D$3:$D$1315, $A50)+SUMIFS(DataRegularSeason20242025!$AB$3:$AB$1315,DataRegularSeason20242025!$B$3:$B$1315, "&lt;=" &amp; FD$1, DataRegularSeason20242025!$E$3:$E$1315, $A50)</f>
        <v>7</v>
      </c>
      <c r="FE50">
        <f>SUMIFS(DataRegularSeason20242025!$AA$3:$AA$1315,DataRegularSeason20242025!$B$3:$B$1315, "&lt;=" &amp; FE$1, DataRegularSeason20242025!$D$3:$D$1315, $A50)+SUMIFS(DataRegularSeason20242025!$AB$3:$AB$1315,DataRegularSeason20242025!$B$3:$B$1315, "&lt;=" &amp; FE$1, DataRegularSeason20242025!$E$3:$E$1315, $A50)</f>
        <v>7</v>
      </c>
      <c r="FF50">
        <f>SUMIFS(DataRegularSeason20242025!$AA$3:$AA$1315,DataRegularSeason20242025!$B$3:$B$1315, "&lt;=" &amp; FF$1, DataRegularSeason20242025!$D$3:$D$1315, $A50)+SUMIFS(DataRegularSeason20242025!$AB$3:$AB$1315,DataRegularSeason20242025!$B$3:$B$1315, "&lt;=" &amp; FF$1, DataRegularSeason20242025!$E$3:$E$1315, $A50)</f>
        <v>7</v>
      </c>
      <c r="FG50">
        <f>SUMIFS(DataRegularSeason20242025!$AA$3:$AA$1315,DataRegularSeason20242025!$B$3:$B$1315, "&lt;=" &amp; FG$1, DataRegularSeason20242025!$D$3:$D$1315, $A50)+SUMIFS(DataRegularSeason20242025!$AB$3:$AB$1315,DataRegularSeason20242025!$B$3:$B$1315, "&lt;=" &amp; FG$1, DataRegularSeason20242025!$E$3:$E$1315, $A50)</f>
        <v>7</v>
      </c>
      <c r="FH50">
        <f>SUMIFS(DataRegularSeason20242025!$AA$3:$AA$1315,DataRegularSeason20242025!$B$3:$B$1315, "&lt;=" &amp; FH$1, DataRegularSeason20242025!$D$3:$D$1315, $A50)+SUMIFS(DataRegularSeason20242025!$AB$3:$AB$1315,DataRegularSeason20242025!$B$3:$B$1315, "&lt;=" &amp; FH$1, DataRegularSeason20242025!$E$3:$E$1315, $A50)</f>
        <v>7</v>
      </c>
      <c r="FI50">
        <f>SUMIFS(DataRegularSeason20242025!$AA$3:$AA$1315,DataRegularSeason20242025!$B$3:$B$1315, "&lt;=" &amp; FI$1, DataRegularSeason20242025!$D$3:$D$1315, $A50)+SUMIFS(DataRegularSeason20242025!$AB$3:$AB$1315,DataRegularSeason20242025!$B$3:$B$1315, "&lt;=" &amp; FI$1, DataRegularSeason20242025!$E$3:$E$1315, $A50)</f>
        <v>7</v>
      </c>
      <c r="FJ50">
        <f>SUMIFS(DataRegularSeason20242025!$AA$3:$AA$1315,DataRegularSeason20242025!$B$3:$B$1315, "&lt;=" &amp; FJ$1, DataRegularSeason20242025!$D$3:$D$1315, $A50)+SUMIFS(DataRegularSeason20242025!$AB$3:$AB$1315,DataRegularSeason20242025!$B$3:$B$1315, "&lt;=" &amp; FJ$1, DataRegularSeason20242025!$E$3:$E$1315, $A50)</f>
        <v>7</v>
      </c>
      <c r="FK50">
        <f>SUMIFS(DataRegularSeason20242025!$AA$3:$AA$1315,DataRegularSeason20242025!$B$3:$B$1315, "&lt;=" &amp; FK$1, DataRegularSeason20242025!$D$3:$D$1315, $A50)+SUMIFS(DataRegularSeason20242025!$AB$3:$AB$1315,DataRegularSeason20242025!$B$3:$B$1315, "&lt;=" &amp; FK$1, DataRegularSeason20242025!$E$3:$E$1315, $A50)</f>
        <v>7</v>
      </c>
      <c r="FL50">
        <f>SUMIFS(DataRegularSeason20242025!$AA$3:$AA$1315,DataRegularSeason20242025!$B$3:$B$1315, "&lt;=" &amp; FL$1, DataRegularSeason20242025!$D$3:$D$1315, $A50)+SUMIFS(DataRegularSeason20242025!$AB$3:$AB$1315,DataRegularSeason20242025!$B$3:$B$1315, "&lt;=" &amp; FL$1, DataRegularSeason20242025!$E$3:$E$1315, $A50)</f>
        <v>7</v>
      </c>
      <c r="FM50">
        <f>SUMIFS(DataRegularSeason20242025!$AA$3:$AA$1315,DataRegularSeason20242025!$B$3:$B$1315, "&lt;=" &amp; FM$1, DataRegularSeason20242025!$D$3:$D$1315, $A50)+SUMIFS(DataRegularSeason20242025!$AB$3:$AB$1315,DataRegularSeason20242025!$B$3:$B$1315, "&lt;=" &amp; FM$1, DataRegularSeason20242025!$E$3:$E$1315, $A50)</f>
        <v>7</v>
      </c>
      <c r="FN50">
        <f>SUMIFS(DataRegularSeason20242025!$AA$3:$AA$1315,DataRegularSeason20242025!$B$3:$B$1315, "&lt;=" &amp; FN$1, DataRegularSeason20242025!$D$3:$D$1315, $A50)+SUMIFS(DataRegularSeason20242025!$AB$3:$AB$1315,DataRegularSeason20242025!$B$3:$B$1315, "&lt;=" &amp; FN$1, DataRegularSeason20242025!$E$3:$E$1315, $A50)</f>
        <v>7</v>
      </c>
      <c r="FO50">
        <f>SUMIFS(DataRegularSeason20242025!$AA$3:$AA$1315,DataRegularSeason20242025!$B$3:$B$1315, "&lt;=" &amp; FO$1, DataRegularSeason20242025!$D$3:$D$1315, $A50)+SUMIFS(DataRegularSeason20242025!$AB$3:$AB$1315,DataRegularSeason20242025!$B$3:$B$1315, "&lt;=" &amp; FO$1, DataRegularSeason20242025!$E$3:$E$1315, $A50)</f>
        <v>7</v>
      </c>
      <c r="FP50">
        <f>SUMIFS(DataRegularSeason20242025!$AA$3:$AA$1315,DataRegularSeason20242025!$B$3:$B$1315, "&lt;=" &amp; FP$1, DataRegularSeason20242025!$D$3:$D$1315, $A50)+SUMIFS(DataRegularSeason20242025!$AB$3:$AB$1315,DataRegularSeason20242025!$B$3:$B$1315, "&lt;=" &amp; FP$1, DataRegularSeason20242025!$E$3:$E$1315, $A50)</f>
        <v>7</v>
      </c>
      <c r="FQ50">
        <f>SUMIFS(DataRegularSeason20242025!$AA$3:$AA$1315,DataRegularSeason20242025!$B$3:$B$1315, "&lt;=" &amp; FQ$1, DataRegularSeason20242025!$D$3:$D$1315, $A50)+SUMIFS(DataRegularSeason20242025!$AB$3:$AB$1315,DataRegularSeason20242025!$B$3:$B$1315, "&lt;=" &amp; FQ$1, DataRegularSeason20242025!$E$3:$E$1315, $A50)</f>
        <v>7</v>
      </c>
      <c r="FR50">
        <f>SUMIFS(DataRegularSeason20242025!$AA$3:$AA$1315,DataRegularSeason20242025!$B$3:$B$1315, "&lt;=" &amp; FR$1, DataRegularSeason20242025!$D$3:$D$1315, $A50)+SUMIFS(DataRegularSeason20242025!$AB$3:$AB$1315,DataRegularSeason20242025!$B$3:$B$1315, "&lt;=" &amp; FR$1, DataRegularSeason20242025!$E$3:$E$1315, $A50)</f>
        <v>7</v>
      </c>
      <c r="FS50">
        <f>SUMIFS(DataRegularSeason20242025!$AA$3:$AA$1315,DataRegularSeason20242025!$B$3:$B$1315, "&lt;=" &amp; FS$1, DataRegularSeason20242025!$D$3:$D$1315, $A50)+SUMIFS(DataRegularSeason20242025!$AB$3:$AB$1315,DataRegularSeason20242025!$B$3:$B$1315, "&lt;=" &amp; FS$1, DataRegularSeason20242025!$E$3:$E$1315, $A50)</f>
        <v>7</v>
      </c>
      <c r="FT50">
        <f>SUMIFS(DataRegularSeason20242025!$AA$3:$AA$1315,DataRegularSeason20242025!$B$3:$B$1315, "&lt;=" &amp; FT$1, DataRegularSeason20242025!$D$3:$D$1315, $A50)+SUMIFS(DataRegularSeason20242025!$AB$3:$AB$1315,DataRegularSeason20242025!$B$3:$B$1315, "&lt;=" &amp; FT$1, DataRegularSeason20242025!$E$3:$E$1315, $A50)</f>
        <v>7</v>
      </c>
      <c r="FU50">
        <f>SUMIFS(DataRegularSeason20242025!$AA$3:$AA$1315,DataRegularSeason20242025!$B$3:$B$1315, "&lt;=" &amp; FU$1, DataRegularSeason20242025!$D$3:$D$1315, $A50)+SUMIFS(DataRegularSeason20242025!$AB$3:$AB$1315,DataRegularSeason20242025!$B$3:$B$1315, "&lt;=" &amp; FU$1, DataRegularSeason20242025!$E$3:$E$1315, $A50)</f>
        <v>7</v>
      </c>
      <c r="FV50">
        <f>SUMIFS(DataRegularSeason20242025!$AA$3:$AA$1315,DataRegularSeason20242025!$B$3:$B$1315, "&lt;=" &amp; FV$1, DataRegularSeason20242025!$D$3:$D$1315, $A50)+SUMIFS(DataRegularSeason20242025!$AB$3:$AB$1315,DataRegularSeason20242025!$B$3:$B$1315, "&lt;=" &amp; FV$1, DataRegularSeason20242025!$E$3:$E$1315, $A50)</f>
        <v>7</v>
      </c>
      <c r="FW50">
        <f>SUMIFS(DataRegularSeason20242025!$AA$3:$AA$1315,DataRegularSeason20242025!$B$3:$B$1315, "&lt;=" &amp; FW$1, DataRegularSeason20242025!$D$3:$D$1315, $A50)+SUMIFS(DataRegularSeason20242025!$AB$3:$AB$1315,DataRegularSeason20242025!$B$3:$B$1315, "&lt;=" &amp; FW$1, DataRegularSeason20242025!$E$3:$E$1315, $A50)</f>
        <v>7</v>
      </c>
      <c r="FX50">
        <f>SUMIFS(DataRegularSeason20242025!$AA$3:$AA$1315,DataRegularSeason20242025!$B$3:$B$1315, "&lt;=" &amp; FX$1, DataRegularSeason20242025!$D$3:$D$1315, $A50)+SUMIFS(DataRegularSeason20242025!$AB$3:$AB$1315,DataRegularSeason20242025!$B$3:$B$1315, "&lt;=" &amp; FX$1, DataRegularSeason20242025!$E$3:$E$1315, $A50)</f>
        <v>7</v>
      </c>
      <c r="FY50">
        <f>SUMIFS(DataRegularSeason20242025!$AA$3:$AA$1315,DataRegularSeason20242025!$B$3:$B$1315, "&lt;=" &amp; FY$1, DataRegularSeason20242025!$D$3:$D$1315, $A50)+SUMIFS(DataRegularSeason20242025!$AB$3:$AB$1315,DataRegularSeason20242025!$B$3:$B$1315, "&lt;=" &amp; FY$1, DataRegularSeason20242025!$E$3:$E$1315, $A50)</f>
        <v>7</v>
      </c>
      <c r="FZ50">
        <f>SUMIFS(DataRegularSeason20242025!$AA$3:$AA$1315,DataRegularSeason20242025!$B$3:$B$1315, "&lt;=" &amp; FZ$1, DataRegularSeason20242025!$D$3:$D$1315, $A50)+SUMIFS(DataRegularSeason20242025!$AB$3:$AB$1315,DataRegularSeason20242025!$B$3:$B$1315, "&lt;=" &amp; FZ$1, DataRegularSeason20242025!$E$3:$E$1315, $A50)</f>
        <v>7</v>
      </c>
      <c r="GA50">
        <f>SUMIFS(DataRegularSeason20242025!$AA$3:$AA$1315,DataRegularSeason20242025!$B$3:$B$1315, "&lt;=" &amp; GA$1, DataRegularSeason20242025!$D$3:$D$1315, $A50)+SUMIFS(DataRegularSeason20242025!$AB$3:$AB$1315,DataRegularSeason20242025!$B$3:$B$1315, "&lt;=" &amp; GA$1, DataRegularSeason20242025!$E$3:$E$1315, $A50)</f>
        <v>7</v>
      </c>
      <c r="GB50">
        <f>SUMIFS(DataRegularSeason20242025!$AA$3:$AA$1315,DataRegularSeason20242025!$B$3:$B$1315, "&lt;=" &amp; GB$1, DataRegularSeason20242025!$D$3:$D$1315, $A50)+SUMIFS(DataRegularSeason20242025!$AB$3:$AB$1315,DataRegularSeason20242025!$B$3:$B$1315, "&lt;=" &amp; GB$1, DataRegularSeason20242025!$E$3:$E$1315, $A50)</f>
        <v>7</v>
      </c>
      <c r="GC50">
        <f>SUMIFS(DataRegularSeason20242025!$AA$3:$AA$1315,DataRegularSeason20242025!$B$3:$B$1315, "&lt;=" &amp; GC$1, DataRegularSeason20242025!$D$3:$D$1315, $A50)+SUMIFS(DataRegularSeason20242025!$AB$3:$AB$1315,DataRegularSeason20242025!$B$3:$B$1315, "&lt;=" &amp; GC$1, DataRegularSeason20242025!$E$3:$E$1315, $A50)</f>
        <v>7</v>
      </c>
      <c r="GD50">
        <f>SUMIFS(DataRegularSeason20242025!$AA$3:$AA$1315,DataRegularSeason20242025!$B$3:$B$1315, "&lt;=" &amp; GD$1, DataRegularSeason20242025!$D$3:$D$1315, $A50)+SUMIFS(DataRegularSeason20242025!$AB$3:$AB$1315,DataRegularSeason20242025!$B$3:$B$1315, "&lt;=" &amp; GD$1, DataRegularSeason20242025!$E$3:$E$1315, $A50)</f>
        <v>7</v>
      </c>
      <c r="GE50">
        <f>SUMIFS(DataRegularSeason20242025!$AA$3:$AA$1315,DataRegularSeason20242025!$B$3:$B$1315, "&lt;=" &amp; GE$1, DataRegularSeason20242025!$D$3:$D$1315, $A50)+SUMIFS(DataRegularSeason20242025!$AB$3:$AB$1315,DataRegularSeason20242025!$B$3:$B$1315, "&lt;=" &amp; GE$1, DataRegularSeason20242025!$E$3:$E$1315, $A50)</f>
        <v>7</v>
      </c>
      <c r="GF50">
        <f>SUMIFS(DataRegularSeason20242025!$AA$3:$AA$1315,DataRegularSeason20242025!$B$3:$B$1315, "&lt;=" &amp; GF$1, DataRegularSeason20242025!$D$3:$D$1315, $A50)+SUMIFS(DataRegularSeason20242025!$AB$3:$AB$1315,DataRegularSeason20242025!$B$3:$B$1315, "&lt;=" &amp; GF$1, DataRegularSeason20242025!$E$3:$E$1315, $A50)</f>
        <v>7</v>
      </c>
      <c r="GG50">
        <f>SUMIFS(DataRegularSeason20242025!$AA$3:$AA$1315,DataRegularSeason20242025!$B$3:$B$1315, "&lt;=" &amp; GG$1, DataRegularSeason20242025!$D$3:$D$1315, $A50)+SUMIFS(DataRegularSeason20242025!$AB$3:$AB$1315,DataRegularSeason20242025!$B$3:$B$1315, "&lt;=" &amp; GG$1, DataRegularSeason20242025!$E$3:$E$1315, $A50)</f>
        <v>7</v>
      </c>
      <c r="GH50">
        <f>SUMIFS(DataRegularSeason20242025!$AA$3:$AA$1315,DataRegularSeason20242025!$B$3:$B$1315, "&lt;=" &amp; GH$1, DataRegularSeason20242025!$D$3:$D$1315, $A50)+SUMIFS(DataRegularSeason20242025!$AB$3:$AB$1315,DataRegularSeason20242025!$B$3:$B$1315, "&lt;=" &amp; GH$1, DataRegularSeason20242025!$E$3:$E$1315, $A50)</f>
        <v>7</v>
      </c>
      <c r="GI50">
        <f>SUMIFS(DataRegularSeason20242025!$AA$3:$AA$1315,DataRegularSeason20242025!$B$3:$B$1315, "&lt;=" &amp; GI$1, DataRegularSeason20242025!$D$3:$D$1315, $A50)+SUMIFS(DataRegularSeason20242025!$AB$3:$AB$1315,DataRegularSeason20242025!$B$3:$B$1315, "&lt;=" &amp; GI$1, DataRegularSeason20242025!$E$3:$E$1315, $A50)</f>
        <v>7</v>
      </c>
      <c r="GJ50">
        <f>SUMIFS(DataRegularSeason20242025!$AA$3:$AA$1315,DataRegularSeason20242025!$B$3:$B$1315, "&lt;=" &amp; GJ$1, DataRegularSeason20242025!$D$3:$D$1315, $A50)+SUMIFS(DataRegularSeason20242025!$AB$3:$AB$1315,DataRegularSeason20242025!$B$3:$B$1315, "&lt;=" &amp; GJ$1, DataRegularSeason20242025!$E$3:$E$1315, $A50)</f>
        <v>7</v>
      </c>
      <c r="GK50">
        <f>SUMIFS(DataRegularSeason20242025!$AA$3:$AA$1315,DataRegularSeason20242025!$B$3:$B$1315, "&lt;=" &amp; GK$1, DataRegularSeason20242025!$D$3:$D$1315, $A50)+SUMIFS(DataRegularSeason20242025!$AB$3:$AB$1315,DataRegularSeason20242025!$B$3:$B$1315, "&lt;=" &amp; GK$1, DataRegularSeason20242025!$E$3:$E$1315, $A50)</f>
        <v>7</v>
      </c>
      <c r="GL50">
        <f>SUMIFS(DataRegularSeason20242025!$AA$3:$AA$1315,DataRegularSeason20242025!$B$3:$B$1315, "&lt;=" &amp; GL$1, DataRegularSeason20242025!$D$3:$D$1315, $A50)+SUMIFS(DataRegularSeason20242025!$AB$3:$AB$1315,DataRegularSeason20242025!$B$3:$B$1315, "&lt;=" &amp; GL$1, DataRegularSeason20242025!$E$3:$E$1315, $A50)</f>
        <v>7</v>
      </c>
      <c r="GM50">
        <f>SUMIFS(DataRegularSeason20242025!$AA$3:$AA$1315,DataRegularSeason20242025!$B$3:$B$1315, "&lt;=" &amp; GM$1, DataRegularSeason20242025!$D$3:$D$1315, $A50)+SUMIFS(DataRegularSeason20242025!$AB$3:$AB$1315,DataRegularSeason20242025!$B$3:$B$1315, "&lt;=" &amp; GM$1, DataRegularSeason20242025!$E$3:$E$1315, $A50)</f>
        <v>7</v>
      </c>
      <c r="GN50">
        <f>SUMIFS(DataRegularSeason20242025!$AA$3:$AA$1315,DataRegularSeason20242025!$B$3:$B$1315, "&lt;=" &amp; GN$1, DataRegularSeason20242025!$D$3:$D$1315, $A50)+SUMIFS(DataRegularSeason20242025!$AB$3:$AB$1315,DataRegularSeason20242025!$B$3:$B$1315, "&lt;=" &amp; GN$1, DataRegularSeason20242025!$E$3:$E$1315, $A50)</f>
        <v>7</v>
      </c>
      <c r="GO50">
        <f>SUMIFS(DataRegularSeason20242025!$AA$3:$AA$1315,DataRegularSeason20242025!$B$3:$B$1315, "&lt;=" &amp; GO$1, DataRegularSeason20242025!$D$3:$D$1315, $A50)+SUMIFS(DataRegularSeason20242025!$AB$3:$AB$1315,DataRegularSeason20242025!$B$3:$B$1315, "&lt;=" &amp; GO$1, DataRegularSeason20242025!$E$3:$E$1315, $A50)</f>
        <v>7</v>
      </c>
      <c r="GP50">
        <f>SUMIFS(DataRegularSeason20242025!$AA$3:$AA$1315,DataRegularSeason20242025!$B$3:$B$1315, "&lt;=" &amp; GP$1, DataRegularSeason20242025!$D$3:$D$1315, $A50)+SUMIFS(DataRegularSeason20242025!$AB$3:$AB$1315,DataRegularSeason20242025!$B$3:$B$1315, "&lt;=" &amp; GP$1, DataRegularSeason20242025!$E$3:$E$1315, $A50)</f>
        <v>7</v>
      </c>
      <c r="GQ50">
        <f>SUMIFS(DataRegularSeason20242025!$AA$3:$AA$1315,DataRegularSeason20242025!$B$3:$B$1315, "&lt;=" &amp; GQ$1, DataRegularSeason20242025!$D$3:$D$1315, $A50)+SUMIFS(DataRegularSeason20242025!$AB$3:$AB$1315,DataRegularSeason20242025!$B$3:$B$1315, "&lt;=" &amp; GQ$1, DataRegularSeason20242025!$E$3:$E$1315, $A50)</f>
        <v>7</v>
      </c>
      <c r="GR50">
        <f>SUMIFS(DataRegularSeason20242025!$AA$3:$AA$1315,DataRegularSeason20242025!$B$3:$B$1315, "&lt;=" &amp; GR$1, DataRegularSeason20242025!$D$3:$D$1315, $A50)+SUMIFS(DataRegularSeason20242025!$AB$3:$AB$1315,DataRegularSeason20242025!$B$3:$B$1315, "&lt;=" &amp; GR$1, DataRegularSeason20242025!$E$3:$E$1315, $A50)</f>
        <v>7</v>
      </c>
      <c r="GS50">
        <f>SUMIFS(DataRegularSeason20242025!$AA$3:$AA$1315,DataRegularSeason20242025!$B$3:$B$1315, "&lt;=" &amp; GS$1, DataRegularSeason20242025!$D$3:$D$1315, $A50)+SUMIFS(DataRegularSeason20242025!$AB$3:$AB$1315,DataRegularSeason20242025!$B$3:$B$1315, "&lt;=" &amp; GS$1, DataRegularSeason20242025!$E$3:$E$1315, $A50)</f>
        <v>7</v>
      </c>
      <c r="GT50">
        <f>SUMIFS(DataRegularSeason20242025!$AA$3:$AA$1315,DataRegularSeason20242025!$B$3:$B$1315, "&lt;=" &amp; GT$1, DataRegularSeason20242025!$D$3:$D$1315, $A50)+SUMIFS(DataRegularSeason20242025!$AB$3:$AB$1315,DataRegularSeason20242025!$B$3:$B$1315, "&lt;=" &amp; GT$1, DataRegularSeason20242025!$E$3:$E$1315, $A50)</f>
        <v>7</v>
      </c>
      <c r="GU50">
        <f>SUMIFS(DataRegularSeason20242025!$AA$3:$AA$1315,DataRegularSeason20242025!$B$3:$B$1315, "&lt;=" &amp; GU$1, DataRegularSeason20242025!$D$3:$D$1315, $A50)+SUMIFS(DataRegularSeason20242025!$AB$3:$AB$1315,DataRegularSeason20242025!$B$3:$B$1315, "&lt;=" &amp; GU$1, DataRegularSeason20242025!$E$3:$E$1315, $A50)</f>
        <v>7</v>
      </c>
    </row>
    <row r="51" spans="1:203" x14ac:dyDescent="0.25">
      <c r="A51" t="s">
        <v>42</v>
      </c>
      <c r="B51" t="s">
        <v>91</v>
      </c>
      <c r="C51" t="s">
        <v>92</v>
      </c>
      <c r="D51">
        <f>SUMIFS(DataRegularSeason20242025!$AA$3:$AA$1315,DataRegularSeason20242025!$B$3:$B$1315, "&lt;=" &amp; D$1, DataRegularSeason20242025!$D$3:$D$1315, $A51)+SUMIFS(DataRegularSeason20242025!$AB$3:$AB$1315,DataRegularSeason20242025!$B$3:$B$1315, "&lt;=" &amp; D$1, DataRegularSeason20242025!$E$3:$E$1315, $A51)</f>
        <v>0</v>
      </c>
      <c r="E51">
        <f>SUMIFS(DataRegularSeason20242025!$AA$3:$AA$1315,DataRegularSeason20242025!$B$3:$B$1315, "&lt;=" &amp; E$1, DataRegularSeason20242025!$D$3:$D$1315, $A51)+SUMIFS(DataRegularSeason20242025!$AB$3:$AB$1315,DataRegularSeason20242025!$B$3:$B$1315, "&lt;=" &amp; E$1, DataRegularSeason20242025!$E$3:$E$1315, $A51)</f>
        <v>0</v>
      </c>
      <c r="F51">
        <f>SUMIFS(DataRegularSeason20242025!$AA$3:$AA$1315,DataRegularSeason20242025!$B$3:$B$1315, "&lt;=" &amp; F$1, DataRegularSeason20242025!$D$3:$D$1315, $A51)+SUMIFS(DataRegularSeason20242025!$AB$3:$AB$1315,DataRegularSeason20242025!$B$3:$B$1315, "&lt;=" &amp; F$1, DataRegularSeason20242025!$E$3:$E$1315, $A51)</f>
        <v>0</v>
      </c>
      <c r="G51">
        <f>SUMIFS(DataRegularSeason20242025!$AA$3:$AA$1315,DataRegularSeason20242025!$B$3:$B$1315, "&lt;=" &amp; G$1, DataRegularSeason20242025!$D$3:$D$1315, $A51)+SUMIFS(DataRegularSeason20242025!$AB$3:$AB$1315,DataRegularSeason20242025!$B$3:$B$1315, "&lt;=" &amp; G$1, DataRegularSeason20242025!$E$3:$E$1315, $A51)</f>
        <v>0</v>
      </c>
      <c r="H51">
        <f>SUMIFS(DataRegularSeason20242025!$AA$3:$AA$1315,DataRegularSeason20242025!$B$3:$B$1315, "&lt;=" &amp; H$1, DataRegularSeason20242025!$D$3:$D$1315, $A51)+SUMIFS(DataRegularSeason20242025!$AB$3:$AB$1315,DataRegularSeason20242025!$B$3:$B$1315, "&lt;=" &amp; H$1, DataRegularSeason20242025!$E$3:$E$1315, $A51)</f>
        <v>0</v>
      </c>
      <c r="I51">
        <f>SUMIFS(DataRegularSeason20242025!$AA$3:$AA$1315,DataRegularSeason20242025!$B$3:$B$1315, "&lt;=" &amp; I$1, DataRegularSeason20242025!$D$3:$D$1315, $A51)+SUMIFS(DataRegularSeason20242025!$AB$3:$AB$1315,DataRegularSeason20242025!$B$3:$B$1315, "&lt;=" &amp; I$1, DataRegularSeason20242025!$E$3:$E$1315, $A51)</f>
        <v>0</v>
      </c>
      <c r="J51">
        <f>SUMIFS(DataRegularSeason20242025!$AA$3:$AA$1315,DataRegularSeason20242025!$B$3:$B$1315, "&lt;=" &amp; J$1, DataRegularSeason20242025!$D$3:$D$1315, $A51)+SUMIFS(DataRegularSeason20242025!$AB$3:$AB$1315,DataRegularSeason20242025!$B$3:$B$1315, "&lt;=" &amp; J$1, DataRegularSeason20242025!$E$3:$E$1315, $A51)</f>
        <v>0</v>
      </c>
      <c r="K51">
        <f>SUMIFS(DataRegularSeason20242025!$AA$3:$AA$1315,DataRegularSeason20242025!$B$3:$B$1315, "&lt;=" &amp; K$1, DataRegularSeason20242025!$D$3:$D$1315, $A51)+SUMIFS(DataRegularSeason20242025!$AB$3:$AB$1315,DataRegularSeason20242025!$B$3:$B$1315, "&lt;=" &amp; K$1, DataRegularSeason20242025!$E$3:$E$1315, $A51)</f>
        <v>0</v>
      </c>
      <c r="L51">
        <f>SUMIFS(DataRegularSeason20242025!$AA$3:$AA$1315,DataRegularSeason20242025!$B$3:$B$1315, "&lt;=" &amp; L$1, DataRegularSeason20242025!$D$3:$D$1315, $A51)+SUMIFS(DataRegularSeason20242025!$AB$3:$AB$1315,DataRegularSeason20242025!$B$3:$B$1315, "&lt;=" &amp; L$1, DataRegularSeason20242025!$E$3:$E$1315, $A51)</f>
        <v>1</v>
      </c>
      <c r="M51">
        <f>SUMIFS(DataRegularSeason20242025!$AA$3:$AA$1315,DataRegularSeason20242025!$B$3:$B$1315, "&lt;=" &amp; M$1, DataRegularSeason20242025!$D$3:$D$1315, $A51)+SUMIFS(DataRegularSeason20242025!$AB$3:$AB$1315,DataRegularSeason20242025!$B$3:$B$1315, "&lt;=" &amp; M$1, DataRegularSeason20242025!$E$3:$E$1315, $A51)</f>
        <v>1</v>
      </c>
      <c r="N51">
        <f>SUMIFS(DataRegularSeason20242025!$AA$3:$AA$1315,DataRegularSeason20242025!$B$3:$B$1315, "&lt;=" &amp; N$1, DataRegularSeason20242025!$D$3:$D$1315, $A51)+SUMIFS(DataRegularSeason20242025!$AB$3:$AB$1315,DataRegularSeason20242025!$B$3:$B$1315, "&lt;=" &amp; N$1, DataRegularSeason20242025!$E$3:$E$1315, $A51)</f>
        <v>3</v>
      </c>
      <c r="O51">
        <f>SUMIFS(DataRegularSeason20242025!$AA$3:$AA$1315,DataRegularSeason20242025!$B$3:$B$1315, "&lt;=" &amp; O$1, DataRegularSeason20242025!$D$3:$D$1315, $A51)+SUMIFS(DataRegularSeason20242025!$AB$3:$AB$1315,DataRegularSeason20242025!$B$3:$B$1315, "&lt;=" &amp; O$1, DataRegularSeason20242025!$E$3:$E$1315, $A51)</f>
        <v>3</v>
      </c>
      <c r="P51">
        <f>SUMIFS(DataRegularSeason20242025!$AA$3:$AA$1315,DataRegularSeason20242025!$B$3:$B$1315, "&lt;=" &amp; P$1, DataRegularSeason20242025!$D$3:$D$1315, $A51)+SUMIFS(DataRegularSeason20242025!$AB$3:$AB$1315,DataRegularSeason20242025!$B$3:$B$1315, "&lt;=" &amp; P$1, DataRegularSeason20242025!$E$3:$E$1315, $A51)</f>
        <v>3</v>
      </c>
      <c r="Q51">
        <f>SUMIFS(DataRegularSeason20242025!$AA$3:$AA$1315,DataRegularSeason20242025!$B$3:$B$1315, "&lt;=" &amp; Q$1, DataRegularSeason20242025!$D$3:$D$1315, $A51)+SUMIFS(DataRegularSeason20242025!$AB$3:$AB$1315,DataRegularSeason20242025!$B$3:$B$1315, "&lt;=" &amp; Q$1, DataRegularSeason20242025!$E$3:$E$1315, $A51)</f>
        <v>3</v>
      </c>
      <c r="R51">
        <f>SUMIFS(DataRegularSeason20242025!$AA$3:$AA$1315,DataRegularSeason20242025!$B$3:$B$1315, "&lt;=" &amp; R$1, DataRegularSeason20242025!$D$3:$D$1315, $A51)+SUMIFS(DataRegularSeason20242025!$AB$3:$AB$1315,DataRegularSeason20242025!$B$3:$B$1315, "&lt;=" &amp; R$1, DataRegularSeason20242025!$E$3:$E$1315, $A51)</f>
        <v>3</v>
      </c>
      <c r="S51">
        <f>SUMIFS(DataRegularSeason20242025!$AA$3:$AA$1315,DataRegularSeason20242025!$B$3:$B$1315, "&lt;=" &amp; S$1, DataRegularSeason20242025!$D$3:$D$1315, $A51)+SUMIFS(DataRegularSeason20242025!$AB$3:$AB$1315,DataRegularSeason20242025!$B$3:$B$1315, "&lt;=" &amp; S$1, DataRegularSeason20242025!$E$3:$E$1315, $A51)</f>
        <v>5</v>
      </c>
      <c r="T51">
        <f>SUMIFS(DataRegularSeason20242025!$AA$3:$AA$1315,DataRegularSeason20242025!$B$3:$B$1315, "&lt;=" &amp; T$1, DataRegularSeason20242025!$D$3:$D$1315, $A51)+SUMIFS(DataRegularSeason20242025!$AB$3:$AB$1315,DataRegularSeason20242025!$B$3:$B$1315, "&lt;=" &amp; T$1, DataRegularSeason20242025!$E$3:$E$1315, $A51)</f>
        <v>5</v>
      </c>
      <c r="U51">
        <f>SUMIFS(DataRegularSeason20242025!$AA$3:$AA$1315,DataRegularSeason20242025!$B$3:$B$1315, "&lt;=" &amp; U$1, DataRegularSeason20242025!$D$3:$D$1315, $A51)+SUMIFS(DataRegularSeason20242025!$AB$3:$AB$1315,DataRegularSeason20242025!$B$3:$B$1315, "&lt;=" &amp; U$1, DataRegularSeason20242025!$E$3:$E$1315, $A51)</f>
        <v>7</v>
      </c>
      <c r="V51">
        <f>SUMIFS(DataRegularSeason20242025!$AA$3:$AA$1315,DataRegularSeason20242025!$B$3:$B$1315, "&lt;=" &amp; V$1, DataRegularSeason20242025!$D$3:$D$1315, $A51)+SUMIFS(DataRegularSeason20242025!$AB$3:$AB$1315,DataRegularSeason20242025!$B$3:$B$1315, "&lt;=" &amp; V$1, DataRegularSeason20242025!$E$3:$E$1315, $A51)</f>
        <v>7</v>
      </c>
      <c r="W51">
        <f>SUMIFS(DataRegularSeason20242025!$AA$3:$AA$1315,DataRegularSeason20242025!$B$3:$B$1315, "&lt;=" &amp; W$1, DataRegularSeason20242025!$D$3:$D$1315, $A51)+SUMIFS(DataRegularSeason20242025!$AB$3:$AB$1315,DataRegularSeason20242025!$B$3:$B$1315, "&lt;=" &amp; W$1, DataRegularSeason20242025!$E$3:$E$1315, $A51)</f>
        <v>7</v>
      </c>
      <c r="X51">
        <f>SUMIFS(DataRegularSeason20242025!$AA$3:$AA$1315,DataRegularSeason20242025!$B$3:$B$1315, "&lt;=" &amp; X$1, DataRegularSeason20242025!$D$3:$D$1315, $A51)+SUMIFS(DataRegularSeason20242025!$AB$3:$AB$1315,DataRegularSeason20242025!$B$3:$B$1315, "&lt;=" &amp; X$1, DataRegularSeason20242025!$E$3:$E$1315, $A51)</f>
        <v>7</v>
      </c>
      <c r="Y51">
        <f>SUMIFS(DataRegularSeason20242025!$AA$3:$AA$1315,DataRegularSeason20242025!$B$3:$B$1315, "&lt;=" &amp; Y$1, DataRegularSeason20242025!$D$3:$D$1315, $A51)+SUMIFS(DataRegularSeason20242025!$AB$3:$AB$1315,DataRegularSeason20242025!$B$3:$B$1315, "&lt;=" &amp; Y$1, DataRegularSeason20242025!$E$3:$E$1315, $A51)</f>
        <v>7</v>
      </c>
      <c r="Z51">
        <f>SUMIFS(DataRegularSeason20242025!$AA$3:$AA$1315,DataRegularSeason20242025!$B$3:$B$1315, "&lt;=" &amp; Z$1, DataRegularSeason20242025!$D$3:$D$1315, $A51)+SUMIFS(DataRegularSeason20242025!$AB$3:$AB$1315,DataRegularSeason20242025!$B$3:$B$1315, "&lt;=" &amp; Z$1, DataRegularSeason20242025!$E$3:$E$1315, $A51)</f>
        <v>7</v>
      </c>
      <c r="AA51">
        <f>SUMIFS(DataRegularSeason20242025!$AA$3:$AA$1315,DataRegularSeason20242025!$B$3:$B$1315, "&lt;=" &amp; AA$1, DataRegularSeason20242025!$D$3:$D$1315, $A51)+SUMIFS(DataRegularSeason20242025!$AB$3:$AB$1315,DataRegularSeason20242025!$B$3:$B$1315, "&lt;=" &amp; AA$1, DataRegularSeason20242025!$E$3:$E$1315, $A51)</f>
        <v>7</v>
      </c>
      <c r="AB51">
        <f>SUMIFS(DataRegularSeason20242025!$AA$3:$AA$1315,DataRegularSeason20242025!$B$3:$B$1315, "&lt;=" &amp; AB$1, DataRegularSeason20242025!$D$3:$D$1315, $A51)+SUMIFS(DataRegularSeason20242025!$AB$3:$AB$1315,DataRegularSeason20242025!$B$3:$B$1315, "&lt;=" &amp; AB$1, DataRegularSeason20242025!$E$3:$E$1315, $A51)</f>
        <v>7</v>
      </c>
      <c r="AC51">
        <f>SUMIFS(DataRegularSeason20242025!$AA$3:$AA$1315,DataRegularSeason20242025!$B$3:$B$1315, "&lt;=" &amp; AC$1, DataRegularSeason20242025!$D$3:$D$1315, $A51)+SUMIFS(DataRegularSeason20242025!$AB$3:$AB$1315,DataRegularSeason20242025!$B$3:$B$1315, "&lt;=" &amp; AC$1, DataRegularSeason20242025!$E$3:$E$1315, $A51)</f>
        <v>7</v>
      </c>
      <c r="AD51">
        <f>SUMIFS(DataRegularSeason20242025!$AA$3:$AA$1315,DataRegularSeason20242025!$B$3:$B$1315, "&lt;=" &amp; AD$1, DataRegularSeason20242025!$D$3:$D$1315, $A51)+SUMIFS(DataRegularSeason20242025!$AB$3:$AB$1315,DataRegularSeason20242025!$B$3:$B$1315, "&lt;=" &amp; AD$1, DataRegularSeason20242025!$E$3:$E$1315, $A51)</f>
        <v>7</v>
      </c>
      <c r="AE51">
        <f>SUMIFS(DataRegularSeason20242025!$AA$3:$AA$1315,DataRegularSeason20242025!$B$3:$B$1315, "&lt;=" &amp; AE$1, DataRegularSeason20242025!$D$3:$D$1315, $A51)+SUMIFS(DataRegularSeason20242025!$AB$3:$AB$1315,DataRegularSeason20242025!$B$3:$B$1315, "&lt;=" &amp; AE$1, DataRegularSeason20242025!$E$3:$E$1315, $A51)</f>
        <v>7</v>
      </c>
      <c r="AF51">
        <f>SUMIFS(DataRegularSeason20242025!$AA$3:$AA$1315,DataRegularSeason20242025!$B$3:$B$1315, "&lt;=" &amp; AF$1, DataRegularSeason20242025!$D$3:$D$1315, $A51)+SUMIFS(DataRegularSeason20242025!$AB$3:$AB$1315,DataRegularSeason20242025!$B$3:$B$1315, "&lt;=" &amp; AF$1, DataRegularSeason20242025!$E$3:$E$1315, $A51)</f>
        <v>7</v>
      </c>
      <c r="AG51">
        <f>SUMIFS(DataRegularSeason20242025!$AA$3:$AA$1315,DataRegularSeason20242025!$B$3:$B$1315, "&lt;=" &amp; AG$1, DataRegularSeason20242025!$D$3:$D$1315, $A51)+SUMIFS(DataRegularSeason20242025!$AB$3:$AB$1315,DataRegularSeason20242025!$B$3:$B$1315, "&lt;=" &amp; AG$1, DataRegularSeason20242025!$E$3:$E$1315, $A51)</f>
        <v>7</v>
      </c>
      <c r="AH51">
        <f>SUMIFS(DataRegularSeason20242025!$AA$3:$AA$1315,DataRegularSeason20242025!$B$3:$B$1315, "&lt;=" &amp; AH$1, DataRegularSeason20242025!$D$3:$D$1315, $A51)+SUMIFS(DataRegularSeason20242025!$AB$3:$AB$1315,DataRegularSeason20242025!$B$3:$B$1315, "&lt;=" &amp; AH$1, DataRegularSeason20242025!$E$3:$E$1315, $A51)</f>
        <v>7</v>
      </c>
      <c r="AI51">
        <f>SUMIFS(DataRegularSeason20242025!$AA$3:$AA$1315,DataRegularSeason20242025!$B$3:$B$1315, "&lt;=" &amp; AI$1, DataRegularSeason20242025!$D$3:$D$1315, $A51)+SUMIFS(DataRegularSeason20242025!$AB$3:$AB$1315,DataRegularSeason20242025!$B$3:$B$1315, "&lt;=" &amp; AI$1, DataRegularSeason20242025!$E$3:$E$1315, $A51)</f>
        <v>7</v>
      </c>
      <c r="AJ51">
        <f>SUMIFS(DataRegularSeason20242025!$AA$3:$AA$1315,DataRegularSeason20242025!$B$3:$B$1315, "&lt;=" &amp; AJ$1, DataRegularSeason20242025!$D$3:$D$1315, $A51)+SUMIFS(DataRegularSeason20242025!$AB$3:$AB$1315,DataRegularSeason20242025!$B$3:$B$1315, "&lt;=" &amp; AJ$1, DataRegularSeason20242025!$E$3:$E$1315, $A51)</f>
        <v>7</v>
      </c>
      <c r="AK51">
        <f>SUMIFS(DataRegularSeason20242025!$AA$3:$AA$1315,DataRegularSeason20242025!$B$3:$B$1315, "&lt;=" &amp; AK$1, DataRegularSeason20242025!$D$3:$D$1315, $A51)+SUMIFS(DataRegularSeason20242025!$AB$3:$AB$1315,DataRegularSeason20242025!$B$3:$B$1315, "&lt;=" &amp; AK$1, DataRegularSeason20242025!$E$3:$E$1315, $A51)</f>
        <v>7</v>
      </c>
      <c r="AL51">
        <f>SUMIFS(DataRegularSeason20242025!$AA$3:$AA$1315,DataRegularSeason20242025!$B$3:$B$1315, "&lt;=" &amp; AL$1, DataRegularSeason20242025!$D$3:$D$1315, $A51)+SUMIFS(DataRegularSeason20242025!$AB$3:$AB$1315,DataRegularSeason20242025!$B$3:$B$1315, "&lt;=" &amp; AL$1, DataRegularSeason20242025!$E$3:$E$1315, $A51)</f>
        <v>7</v>
      </c>
      <c r="AM51">
        <f>SUMIFS(DataRegularSeason20242025!$AA$3:$AA$1315,DataRegularSeason20242025!$B$3:$B$1315, "&lt;=" &amp; AM$1, DataRegularSeason20242025!$D$3:$D$1315, $A51)+SUMIFS(DataRegularSeason20242025!$AB$3:$AB$1315,DataRegularSeason20242025!$B$3:$B$1315, "&lt;=" &amp; AM$1, DataRegularSeason20242025!$E$3:$E$1315, $A51)</f>
        <v>7</v>
      </c>
      <c r="AN51">
        <f>SUMIFS(DataRegularSeason20242025!$AA$3:$AA$1315,DataRegularSeason20242025!$B$3:$B$1315, "&lt;=" &amp; AN$1, DataRegularSeason20242025!$D$3:$D$1315, $A51)+SUMIFS(DataRegularSeason20242025!$AB$3:$AB$1315,DataRegularSeason20242025!$B$3:$B$1315, "&lt;=" &amp; AN$1, DataRegularSeason20242025!$E$3:$E$1315, $A51)</f>
        <v>7</v>
      </c>
      <c r="AO51">
        <f>SUMIFS(DataRegularSeason20242025!$AA$3:$AA$1315,DataRegularSeason20242025!$B$3:$B$1315, "&lt;=" &amp; AO$1, DataRegularSeason20242025!$D$3:$D$1315, $A51)+SUMIFS(DataRegularSeason20242025!$AB$3:$AB$1315,DataRegularSeason20242025!$B$3:$B$1315, "&lt;=" &amp; AO$1, DataRegularSeason20242025!$E$3:$E$1315, $A51)</f>
        <v>7</v>
      </c>
      <c r="AP51">
        <f>SUMIFS(DataRegularSeason20242025!$AA$3:$AA$1315,DataRegularSeason20242025!$B$3:$B$1315, "&lt;=" &amp; AP$1, DataRegularSeason20242025!$D$3:$D$1315, $A51)+SUMIFS(DataRegularSeason20242025!$AB$3:$AB$1315,DataRegularSeason20242025!$B$3:$B$1315, "&lt;=" &amp; AP$1, DataRegularSeason20242025!$E$3:$E$1315, $A51)</f>
        <v>7</v>
      </c>
      <c r="AQ51">
        <f>SUMIFS(DataRegularSeason20242025!$AA$3:$AA$1315,DataRegularSeason20242025!$B$3:$B$1315, "&lt;=" &amp; AQ$1, DataRegularSeason20242025!$D$3:$D$1315, $A51)+SUMIFS(DataRegularSeason20242025!$AB$3:$AB$1315,DataRegularSeason20242025!$B$3:$B$1315, "&lt;=" &amp; AQ$1, DataRegularSeason20242025!$E$3:$E$1315, $A51)</f>
        <v>7</v>
      </c>
      <c r="AR51">
        <f>SUMIFS(DataRegularSeason20242025!$AA$3:$AA$1315,DataRegularSeason20242025!$B$3:$B$1315, "&lt;=" &amp; AR$1, DataRegularSeason20242025!$D$3:$D$1315, $A51)+SUMIFS(DataRegularSeason20242025!$AB$3:$AB$1315,DataRegularSeason20242025!$B$3:$B$1315, "&lt;=" &amp; AR$1, DataRegularSeason20242025!$E$3:$E$1315, $A51)</f>
        <v>7</v>
      </c>
      <c r="AS51">
        <f>SUMIFS(DataRegularSeason20242025!$AA$3:$AA$1315,DataRegularSeason20242025!$B$3:$B$1315, "&lt;=" &amp; AS$1, DataRegularSeason20242025!$D$3:$D$1315, $A51)+SUMIFS(DataRegularSeason20242025!$AB$3:$AB$1315,DataRegularSeason20242025!$B$3:$B$1315, "&lt;=" &amp; AS$1, DataRegularSeason20242025!$E$3:$E$1315, $A51)</f>
        <v>7</v>
      </c>
      <c r="AT51">
        <f>SUMIFS(DataRegularSeason20242025!$AA$3:$AA$1315,DataRegularSeason20242025!$B$3:$B$1315, "&lt;=" &amp; AT$1, DataRegularSeason20242025!$D$3:$D$1315, $A51)+SUMIFS(DataRegularSeason20242025!$AB$3:$AB$1315,DataRegularSeason20242025!$B$3:$B$1315, "&lt;=" &amp; AT$1, DataRegularSeason20242025!$E$3:$E$1315, $A51)</f>
        <v>7</v>
      </c>
      <c r="AU51">
        <f>SUMIFS(DataRegularSeason20242025!$AA$3:$AA$1315,DataRegularSeason20242025!$B$3:$B$1315, "&lt;=" &amp; AU$1, DataRegularSeason20242025!$D$3:$D$1315, $A51)+SUMIFS(DataRegularSeason20242025!$AB$3:$AB$1315,DataRegularSeason20242025!$B$3:$B$1315, "&lt;=" &amp; AU$1, DataRegularSeason20242025!$E$3:$E$1315, $A51)</f>
        <v>7</v>
      </c>
      <c r="AV51">
        <f>SUMIFS(DataRegularSeason20242025!$AA$3:$AA$1315,DataRegularSeason20242025!$B$3:$B$1315, "&lt;=" &amp; AV$1, DataRegularSeason20242025!$D$3:$D$1315, $A51)+SUMIFS(DataRegularSeason20242025!$AB$3:$AB$1315,DataRegularSeason20242025!$B$3:$B$1315, "&lt;=" &amp; AV$1, DataRegularSeason20242025!$E$3:$E$1315, $A51)</f>
        <v>7</v>
      </c>
      <c r="AW51">
        <f>SUMIFS(DataRegularSeason20242025!$AA$3:$AA$1315,DataRegularSeason20242025!$B$3:$B$1315, "&lt;=" &amp; AW$1, DataRegularSeason20242025!$D$3:$D$1315, $A51)+SUMIFS(DataRegularSeason20242025!$AB$3:$AB$1315,DataRegularSeason20242025!$B$3:$B$1315, "&lt;=" &amp; AW$1, DataRegularSeason20242025!$E$3:$E$1315, $A51)</f>
        <v>7</v>
      </c>
      <c r="AX51">
        <f>SUMIFS(DataRegularSeason20242025!$AA$3:$AA$1315,DataRegularSeason20242025!$B$3:$B$1315, "&lt;=" &amp; AX$1, DataRegularSeason20242025!$D$3:$D$1315, $A51)+SUMIFS(DataRegularSeason20242025!$AB$3:$AB$1315,DataRegularSeason20242025!$B$3:$B$1315, "&lt;=" &amp; AX$1, DataRegularSeason20242025!$E$3:$E$1315, $A51)</f>
        <v>7</v>
      </c>
      <c r="AY51">
        <f>SUMIFS(DataRegularSeason20242025!$AA$3:$AA$1315,DataRegularSeason20242025!$B$3:$B$1315, "&lt;=" &amp; AY$1, DataRegularSeason20242025!$D$3:$D$1315, $A51)+SUMIFS(DataRegularSeason20242025!$AB$3:$AB$1315,DataRegularSeason20242025!$B$3:$B$1315, "&lt;=" &amp; AY$1, DataRegularSeason20242025!$E$3:$E$1315, $A51)</f>
        <v>7</v>
      </c>
      <c r="AZ51">
        <f>SUMIFS(DataRegularSeason20242025!$AA$3:$AA$1315,DataRegularSeason20242025!$B$3:$B$1315, "&lt;=" &amp; AZ$1, DataRegularSeason20242025!$D$3:$D$1315, $A51)+SUMIFS(DataRegularSeason20242025!$AB$3:$AB$1315,DataRegularSeason20242025!$B$3:$B$1315, "&lt;=" &amp; AZ$1, DataRegularSeason20242025!$E$3:$E$1315, $A51)</f>
        <v>7</v>
      </c>
      <c r="BA51">
        <f>SUMIFS(DataRegularSeason20242025!$AA$3:$AA$1315,DataRegularSeason20242025!$B$3:$B$1315, "&lt;=" &amp; BA$1, DataRegularSeason20242025!$D$3:$D$1315, $A51)+SUMIFS(DataRegularSeason20242025!$AB$3:$AB$1315,DataRegularSeason20242025!$B$3:$B$1315, "&lt;=" &amp; BA$1, DataRegularSeason20242025!$E$3:$E$1315, $A51)</f>
        <v>7</v>
      </c>
      <c r="BB51">
        <f>SUMIFS(DataRegularSeason20242025!$AA$3:$AA$1315,DataRegularSeason20242025!$B$3:$B$1315, "&lt;=" &amp; BB$1, DataRegularSeason20242025!$D$3:$D$1315, $A51)+SUMIFS(DataRegularSeason20242025!$AB$3:$AB$1315,DataRegularSeason20242025!$B$3:$B$1315, "&lt;=" &amp; BB$1, DataRegularSeason20242025!$E$3:$E$1315, $A51)</f>
        <v>7</v>
      </c>
      <c r="BC51">
        <f>SUMIFS(DataRegularSeason20242025!$AA$3:$AA$1315,DataRegularSeason20242025!$B$3:$B$1315, "&lt;=" &amp; BC$1, DataRegularSeason20242025!$D$3:$D$1315, $A51)+SUMIFS(DataRegularSeason20242025!$AB$3:$AB$1315,DataRegularSeason20242025!$B$3:$B$1315, "&lt;=" &amp; BC$1, DataRegularSeason20242025!$E$3:$E$1315, $A51)</f>
        <v>7</v>
      </c>
      <c r="BD51">
        <f>SUMIFS(DataRegularSeason20242025!$AA$3:$AA$1315,DataRegularSeason20242025!$B$3:$B$1315, "&lt;=" &amp; BD$1, DataRegularSeason20242025!$D$3:$D$1315, $A51)+SUMIFS(DataRegularSeason20242025!$AB$3:$AB$1315,DataRegularSeason20242025!$B$3:$B$1315, "&lt;=" &amp; BD$1, DataRegularSeason20242025!$E$3:$E$1315, $A51)</f>
        <v>7</v>
      </c>
      <c r="BE51">
        <f>SUMIFS(DataRegularSeason20242025!$AA$3:$AA$1315,DataRegularSeason20242025!$B$3:$B$1315, "&lt;=" &amp; BE$1, DataRegularSeason20242025!$D$3:$D$1315, $A51)+SUMIFS(DataRegularSeason20242025!$AB$3:$AB$1315,DataRegularSeason20242025!$B$3:$B$1315, "&lt;=" &amp; BE$1, DataRegularSeason20242025!$E$3:$E$1315, $A51)</f>
        <v>7</v>
      </c>
      <c r="BF51">
        <f>SUMIFS(DataRegularSeason20242025!$AA$3:$AA$1315,DataRegularSeason20242025!$B$3:$B$1315, "&lt;=" &amp; BF$1, DataRegularSeason20242025!$D$3:$D$1315, $A51)+SUMIFS(DataRegularSeason20242025!$AB$3:$AB$1315,DataRegularSeason20242025!$B$3:$B$1315, "&lt;=" &amp; BF$1, DataRegularSeason20242025!$E$3:$E$1315, $A51)</f>
        <v>7</v>
      </c>
      <c r="BG51">
        <f>SUMIFS(DataRegularSeason20242025!$AA$3:$AA$1315,DataRegularSeason20242025!$B$3:$B$1315, "&lt;=" &amp; BG$1, DataRegularSeason20242025!$D$3:$D$1315, $A51)+SUMIFS(DataRegularSeason20242025!$AB$3:$AB$1315,DataRegularSeason20242025!$B$3:$B$1315, "&lt;=" &amp; BG$1, DataRegularSeason20242025!$E$3:$E$1315, $A51)</f>
        <v>7</v>
      </c>
      <c r="BH51">
        <f>SUMIFS(DataRegularSeason20242025!$AA$3:$AA$1315,DataRegularSeason20242025!$B$3:$B$1315, "&lt;=" &amp; BH$1, DataRegularSeason20242025!$D$3:$D$1315, $A51)+SUMIFS(DataRegularSeason20242025!$AB$3:$AB$1315,DataRegularSeason20242025!$B$3:$B$1315, "&lt;=" &amp; BH$1, DataRegularSeason20242025!$E$3:$E$1315, $A51)</f>
        <v>7</v>
      </c>
      <c r="BI51">
        <f>SUMIFS(DataRegularSeason20242025!$AA$3:$AA$1315,DataRegularSeason20242025!$B$3:$B$1315, "&lt;=" &amp; BI$1, DataRegularSeason20242025!$D$3:$D$1315, $A51)+SUMIFS(DataRegularSeason20242025!$AB$3:$AB$1315,DataRegularSeason20242025!$B$3:$B$1315, "&lt;=" &amp; BI$1, DataRegularSeason20242025!$E$3:$E$1315, $A51)</f>
        <v>7</v>
      </c>
      <c r="BJ51">
        <f>SUMIFS(DataRegularSeason20242025!$AA$3:$AA$1315,DataRegularSeason20242025!$B$3:$B$1315, "&lt;=" &amp; BJ$1, DataRegularSeason20242025!$D$3:$D$1315, $A51)+SUMIFS(DataRegularSeason20242025!$AB$3:$AB$1315,DataRegularSeason20242025!$B$3:$B$1315, "&lt;=" &amp; BJ$1, DataRegularSeason20242025!$E$3:$E$1315, $A51)</f>
        <v>7</v>
      </c>
      <c r="BK51">
        <f>SUMIFS(DataRegularSeason20242025!$AA$3:$AA$1315,DataRegularSeason20242025!$B$3:$B$1315, "&lt;=" &amp; BK$1, DataRegularSeason20242025!$D$3:$D$1315, $A51)+SUMIFS(DataRegularSeason20242025!$AB$3:$AB$1315,DataRegularSeason20242025!$B$3:$B$1315, "&lt;=" &amp; BK$1, DataRegularSeason20242025!$E$3:$E$1315, $A51)</f>
        <v>7</v>
      </c>
      <c r="BL51">
        <f>SUMIFS(DataRegularSeason20242025!$AA$3:$AA$1315,DataRegularSeason20242025!$B$3:$B$1315, "&lt;=" &amp; BL$1, DataRegularSeason20242025!$D$3:$D$1315, $A51)+SUMIFS(DataRegularSeason20242025!$AB$3:$AB$1315,DataRegularSeason20242025!$B$3:$B$1315, "&lt;=" &amp; BL$1, DataRegularSeason20242025!$E$3:$E$1315, $A51)</f>
        <v>7</v>
      </c>
      <c r="BM51">
        <f>SUMIFS(DataRegularSeason20242025!$AA$3:$AA$1315,DataRegularSeason20242025!$B$3:$B$1315, "&lt;=" &amp; BM$1, DataRegularSeason20242025!$D$3:$D$1315, $A51)+SUMIFS(DataRegularSeason20242025!$AB$3:$AB$1315,DataRegularSeason20242025!$B$3:$B$1315, "&lt;=" &amp; BM$1, DataRegularSeason20242025!$E$3:$E$1315, $A51)</f>
        <v>7</v>
      </c>
      <c r="BN51">
        <f>SUMIFS(DataRegularSeason20242025!$AA$3:$AA$1315,DataRegularSeason20242025!$B$3:$B$1315, "&lt;=" &amp; BN$1, DataRegularSeason20242025!$D$3:$D$1315, $A51)+SUMIFS(DataRegularSeason20242025!$AB$3:$AB$1315,DataRegularSeason20242025!$B$3:$B$1315, "&lt;=" &amp; BN$1, DataRegularSeason20242025!$E$3:$E$1315, $A51)</f>
        <v>7</v>
      </c>
      <c r="BO51">
        <f>SUMIFS(DataRegularSeason20242025!$AA$3:$AA$1315,DataRegularSeason20242025!$B$3:$B$1315, "&lt;=" &amp; BO$1, DataRegularSeason20242025!$D$3:$D$1315, $A51)+SUMIFS(DataRegularSeason20242025!$AB$3:$AB$1315,DataRegularSeason20242025!$B$3:$B$1315, "&lt;=" &amp; BO$1, DataRegularSeason20242025!$E$3:$E$1315, $A51)</f>
        <v>7</v>
      </c>
      <c r="BP51">
        <f>SUMIFS(DataRegularSeason20242025!$AA$3:$AA$1315,DataRegularSeason20242025!$B$3:$B$1315, "&lt;=" &amp; BP$1, DataRegularSeason20242025!$D$3:$D$1315, $A51)+SUMIFS(DataRegularSeason20242025!$AB$3:$AB$1315,DataRegularSeason20242025!$B$3:$B$1315, "&lt;=" &amp; BP$1, DataRegularSeason20242025!$E$3:$E$1315, $A51)</f>
        <v>7</v>
      </c>
      <c r="BQ51">
        <f>SUMIFS(DataRegularSeason20242025!$AA$3:$AA$1315,DataRegularSeason20242025!$B$3:$B$1315, "&lt;=" &amp; BQ$1, DataRegularSeason20242025!$D$3:$D$1315, $A51)+SUMIFS(DataRegularSeason20242025!$AB$3:$AB$1315,DataRegularSeason20242025!$B$3:$B$1315, "&lt;=" &amp; BQ$1, DataRegularSeason20242025!$E$3:$E$1315, $A51)</f>
        <v>7</v>
      </c>
      <c r="BR51">
        <f>SUMIFS(DataRegularSeason20242025!$AA$3:$AA$1315,DataRegularSeason20242025!$B$3:$B$1315, "&lt;=" &amp; BR$1, DataRegularSeason20242025!$D$3:$D$1315, $A51)+SUMIFS(DataRegularSeason20242025!$AB$3:$AB$1315,DataRegularSeason20242025!$B$3:$B$1315, "&lt;=" &amp; BR$1, DataRegularSeason20242025!$E$3:$E$1315, $A51)</f>
        <v>7</v>
      </c>
      <c r="BS51">
        <f>SUMIFS(DataRegularSeason20242025!$AA$3:$AA$1315,DataRegularSeason20242025!$B$3:$B$1315, "&lt;=" &amp; BS$1, DataRegularSeason20242025!$D$3:$D$1315, $A51)+SUMIFS(DataRegularSeason20242025!$AB$3:$AB$1315,DataRegularSeason20242025!$B$3:$B$1315, "&lt;=" &amp; BS$1, DataRegularSeason20242025!$E$3:$E$1315, $A51)</f>
        <v>7</v>
      </c>
      <c r="BT51">
        <f>SUMIFS(DataRegularSeason20242025!$AA$3:$AA$1315,DataRegularSeason20242025!$B$3:$B$1315, "&lt;=" &amp; BT$1, DataRegularSeason20242025!$D$3:$D$1315, $A51)+SUMIFS(DataRegularSeason20242025!$AB$3:$AB$1315,DataRegularSeason20242025!$B$3:$B$1315, "&lt;=" &amp; BT$1, DataRegularSeason20242025!$E$3:$E$1315, $A51)</f>
        <v>7</v>
      </c>
      <c r="BU51">
        <f>SUMIFS(DataRegularSeason20242025!$AA$3:$AA$1315,DataRegularSeason20242025!$B$3:$B$1315, "&lt;=" &amp; BU$1, DataRegularSeason20242025!$D$3:$D$1315, $A51)+SUMIFS(DataRegularSeason20242025!$AB$3:$AB$1315,DataRegularSeason20242025!$B$3:$B$1315, "&lt;=" &amp; BU$1, DataRegularSeason20242025!$E$3:$E$1315, $A51)</f>
        <v>7</v>
      </c>
      <c r="BV51">
        <f>SUMIFS(DataRegularSeason20242025!$AA$3:$AA$1315,DataRegularSeason20242025!$B$3:$B$1315, "&lt;=" &amp; BV$1, DataRegularSeason20242025!$D$3:$D$1315, $A51)+SUMIFS(DataRegularSeason20242025!$AB$3:$AB$1315,DataRegularSeason20242025!$B$3:$B$1315, "&lt;=" &amp; BV$1, DataRegularSeason20242025!$E$3:$E$1315, $A51)</f>
        <v>7</v>
      </c>
      <c r="BW51">
        <f>SUMIFS(DataRegularSeason20242025!$AA$3:$AA$1315,DataRegularSeason20242025!$B$3:$B$1315, "&lt;=" &amp; BW$1, DataRegularSeason20242025!$D$3:$D$1315, $A51)+SUMIFS(DataRegularSeason20242025!$AB$3:$AB$1315,DataRegularSeason20242025!$B$3:$B$1315, "&lt;=" &amp; BW$1, DataRegularSeason20242025!$E$3:$E$1315, $A51)</f>
        <v>7</v>
      </c>
      <c r="BX51">
        <f>SUMIFS(DataRegularSeason20242025!$AA$3:$AA$1315,DataRegularSeason20242025!$B$3:$B$1315, "&lt;=" &amp; BX$1, DataRegularSeason20242025!$D$3:$D$1315, $A51)+SUMIFS(DataRegularSeason20242025!$AB$3:$AB$1315,DataRegularSeason20242025!$B$3:$B$1315, "&lt;=" &amp; BX$1, DataRegularSeason20242025!$E$3:$E$1315, $A51)</f>
        <v>7</v>
      </c>
      <c r="BY51">
        <f>SUMIFS(DataRegularSeason20242025!$AA$3:$AA$1315,DataRegularSeason20242025!$B$3:$B$1315, "&lt;=" &amp; BY$1, DataRegularSeason20242025!$D$3:$D$1315, $A51)+SUMIFS(DataRegularSeason20242025!$AB$3:$AB$1315,DataRegularSeason20242025!$B$3:$B$1315, "&lt;=" &amp; BY$1, DataRegularSeason20242025!$E$3:$E$1315, $A51)</f>
        <v>7</v>
      </c>
      <c r="BZ51">
        <f>SUMIFS(DataRegularSeason20242025!$AA$3:$AA$1315,DataRegularSeason20242025!$B$3:$B$1315, "&lt;=" &amp; BZ$1, DataRegularSeason20242025!$D$3:$D$1315, $A51)+SUMIFS(DataRegularSeason20242025!$AB$3:$AB$1315,DataRegularSeason20242025!$B$3:$B$1315, "&lt;=" &amp; BZ$1, DataRegularSeason20242025!$E$3:$E$1315, $A51)</f>
        <v>7</v>
      </c>
      <c r="CA51">
        <f>SUMIFS(DataRegularSeason20242025!$AA$3:$AA$1315,DataRegularSeason20242025!$B$3:$B$1315, "&lt;=" &amp; CA$1, DataRegularSeason20242025!$D$3:$D$1315, $A51)+SUMIFS(DataRegularSeason20242025!$AB$3:$AB$1315,DataRegularSeason20242025!$B$3:$B$1315, "&lt;=" &amp; CA$1, DataRegularSeason20242025!$E$3:$E$1315, $A51)</f>
        <v>7</v>
      </c>
      <c r="CB51">
        <f>SUMIFS(DataRegularSeason20242025!$AA$3:$AA$1315,DataRegularSeason20242025!$B$3:$B$1315, "&lt;=" &amp; CB$1, DataRegularSeason20242025!$D$3:$D$1315, $A51)+SUMIFS(DataRegularSeason20242025!$AB$3:$AB$1315,DataRegularSeason20242025!$B$3:$B$1315, "&lt;=" &amp; CB$1, DataRegularSeason20242025!$E$3:$E$1315, $A51)</f>
        <v>7</v>
      </c>
      <c r="CC51">
        <f>SUMIFS(DataRegularSeason20242025!$AA$3:$AA$1315,DataRegularSeason20242025!$B$3:$B$1315, "&lt;=" &amp; CC$1, DataRegularSeason20242025!$D$3:$D$1315, $A51)+SUMIFS(DataRegularSeason20242025!$AB$3:$AB$1315,DataRegularSeason20242025!$B$3:$B$1315, "&lt;=" &amp; CC$1, DataRegularSeason20242025!$E$3:$E$1315, $A51)</f>
        <v>7</v>
      </c>
      <c r="CD51">
        <f>SUMIFS(DataRegularSeason20242025!$AA$3:$AA$1315,DataRegularSeason20242025!$B$3:$B$1315, "&lt;=" &amp; CD$1, DataRegularSeason20242025!$D$3:$D$1315, $A51)+SUMIFS(DataRegularSeason20242025!$AB$3:$AB$1315,DataRegularSeason20242025!$B$3:$B$1315, "&lt;=" &amp; CD$1, DataRegularSeason20242025!$E$3:$E$1315, $A51)</f>
        <v>7</v>
      </c>
      <c r="CE51">
        <f>SUMIFS(DataRegularSeason20242025!$AA$3:$AA$1315,DataRegularSeason20242025!$B$3:$B$1315, "&lt;=" &amp; CE$1, DataRegularSeason20242025!$D$3:$D$1315, $A51)+SUMIFS(DataRegularSeason20242025!$AB$3:$AB$1315,DataRegularSeason20242025!$B$3:$B$1315, "&lt;=" &amp; CE$1, DataRegularSeason20242025!$E$3:$E$1315, $A51)</f>
        <v>7</v>
      </c>
      <c r="CF51">
        <f>SUMIFS(DataRegularSeason20242025!$AA$3:$AA$1315,DataRegularSeason20242025!$B$3:$B$1315, "&lt;=" &amp; CF$1, DataRegularSeason20242025!$D$3:$D$1315, $A51)+SUMIFS(DataRegularSeason20242025!$AB$3:$AB$1315,DataRegularSeason20242025!$B$3:$B$1315, "&lt;=" &amp; CF$1, DataRegularSeason20242025!$E$3:$E$1315, $A51)</f>
        <v>7</v>
      </c>
      <c r="CG51">
        <f>SUMIFS(DataRegularSeason20242025!$AA$3:$AA$1315,DataRegularSeason20242025!$B$3:$B$1315, "&lt;=" &amp; CG$1, DataRegularSeason20242025!$D$3:$D$1315, $A51)+SUMIFS(DataRegularSeason20242025!$AB$3:$AB$1315,DataRegularSeason20242025!$B$3:$B$1315, "&lt;=" &amp; CG$1, DataRegularSeason20242025!$E$3:$E$1315, $A51)</f>
        <v>7</v>
      </c>
      <c r="CH51">
        <f>SUMIFS(DataRegularSeason20242025!$AA$3:$AA$1315,DataRegularSeason20242025!$B$3:$B$1315, "&lt;=" &amp; CH$1, DataRegularSeason20242025!$D$3:$D$1315, $A51)+SUMIFS(DataRegularSeason20242025!$AB$3:$AB$1315,DataRegularSeason20242025!$B$3:$B$1315, "&lt;=" &amp; CH$1, DataRegularSeason20242025!$E$3:$E$1315, $A51)</f>
        <v>7</v>
      </c>
      <c r="CI51">
        <f>SUMIFS(DataRegularSeason20242025!$AA$3:$AA$1315,DataRegularSeason20242025!$B$3:$B$1315, "&lt;=" &amp; CI$1, DataRegularSeason20242025!$D$3:$D$1315, $A51)+SUMIFS(DataRegularSeason20242025!$AB$3:$AB$1315,DataRegularSeason20242025!$B$3:$B$1315, "&lt;=" &amp; CI$1, DataRegularSeason20242025!$E$3:$E$1315, $A51)</f>
        <v>7</v>
      </c>
      <c r="CJ51">
        <f>SUMIFS(DataRegularSeason20242025!$AA$3:$AA$1315,DataRegularSeason20242025!$B$3:$B$1315, "&lt;=" &amp; CJ$1, DataRegularSeason20242025!$D$3:$D$1315, $A51)+SUMIFS(DataRegularSeason20242025!$AB$3:$AB$1315,DataRegularSeason20242025!$B$3:$B$1315, "&lt;=" &amp; CJ$1, DataRegularSeason20242025!$E$3:$E$1315, $A51)</f>
        <v>7</v>
      </c>
      <c r="CK51">
        <f>SUMIFS(DataRegularSeason20242025!$AA$3:$AA$1315,DataRegularSeason20242025!$B$3:$B$1315, "&lt;=" &amp; CK$1, DataRegularSeason20242025!$D$3:$D$1315, $A51)+SUMIFS(DataRegularSeason20242025!$AB$3:$AB$1315,DataRegularSeason20242025!$B$3:$B$1315, "&lt;=" &amp; CK$1, DataRegularSeason20242025!$E$3:$E$1315, $A51)</f>
        <v>7</v>
      </c>
      <c r="CL51">
        <f>SUMIFS(DataRegularSeason20242025!$AA$3:$AA$1315,DataRegularSeason20242025!$B$3:$B$1315, "&lt;=" &amp; CL$1, DataRegularSeason20242025!$D$3:$D$1315, $A51)+SUMIFS(DataRegularSeason20242025!$AB$3:$AB$1315,DataRegularSeason20242025!$B$3:$B$1315, "&lt;=" &amp; CL$1, DataRegularSeason20242025!$E$3:$E$1315, $A51)</f>
        <v>7</v>
      </c>
      <c r="CM51">
        <f>SUMIFS(DataRegularSeason20242025!$AA$3:$AA$1315,DataRegularSeason20242025!$B$3:$B$1315, "&lt;=" &amp; CM$1, DataRegularSeason20242025!$D$3:$D$1315, $A51)+SUMIFS(DataRegularSeason20242025!$AB$3:$AB$1315,DataRegularSeason20242025!$B$3:$B$1315, "&lt;=" &amp; CM$1, DataRegularSeason20242025!$E$3:$E$1315, $A51)</f>
        <v>7</v>
      </c>
      <c r="CN51">
        <f>SUMIFS(DataRegularSeason20242025!$AA$3:$AA$1315,DataRegularSeason20242025!$B$3:$B$1315, "&lt;=" &amp; CN$1, DataRegularSeason20242025!$D$3:$D$1315, $A51)+SUMIFS(DataRegularSeason20242025!$AB$3:$AB$1315,DataRegularSeason20242025!$B$3:$B$1315, "&lt;=" &amp; CN$1, DataRegularSeason20242025!$E$3:$E$1315, $A51)</f>
        <v>7</v>
      </c>
      <c r="CO51">
        <f>SUMIFS(DataRegularSeason20242025!$AA$3:$AA$1315,DataRegularSeason20242025!$B$3:$B$1315, "&lt;=" &amp; CO$1, DataRegularSeason20242025!$D$3:$D$1315, $A51)+SUMIFS(DataRegularSeason20242025!$AB$3:$AB$1315,DataRegularSeason20242025!$B$3:$B$1315, "&lt;=" &amp; CO$1, DataRegularSeason20242025!$E$3:$E$1315, $A51)</f>
        <v>7</v>
      </c>
      <c r="CP51">
        <f>SUMIFS(DataRegularSeason20242025!$AA$3:$AA$1315,DataRegularSeason20242025!$B$3:$B$1315, "&lt;=" &amp; CP$1, DataRegularSeason20242025!$D$3:$D$1315, $A51)+SUMIFS(DataRegularSeason20242025!$AB$3:$AB$1315,DataRegularSeason20242025!$B$3:$B$1315, "&lt;=" &amp; CP$1, DataRegularSeason20242025!$E$3:$E$1315, $A51)</f>
        <v>7</v>
      </c>
      <c r="CQ51">
        <f>SUMIFS(DataRegularSeason20242025!$AA$3:$AA$1315,DataRegularSeason20242025!$B$3:$B$1315, "&lt;=" &amp; CQ$1, DataRegularSeason20242025!$D$3:$D$1315, $A51)+SUMIFS(DataRegularSeason20242025!$AB$3:$AB$1315,DataRegularSeason20242025!$B$3:$B$1315, "&lt;=" &amp; CQ$1, DataRegularSeason20242025!$E$3:$E$1315, $A51)</f>
        <v>7</v>
      </c>
      <c r="CR51">
        <f>SUMIFS(DataRegularSeason20242025!$AA$3:$AA$1315,DataRegularSeason20242025!$B$3:$B$1315, "&lt;=" &amp; CR$1, DataRegularSeason20242025!$D$3:$D$1315, $A51)+SUMIFS(DataRegularSeason20242025!$AB$3:$AB$1315,DataRegularSeason20242025!$B$3:$B$1315, "&lt;=" &amp; CR$1, DataRegularSeason20242025!$E$3:$E$1315, $A51)</f>
        <v>7</v>
      </c>
      <c r="CS51">
        <f>SUMIFS(DataRegularSeason20242025!$AA$3:$AA$1315,DataRegularSeason20242025!$B$3:$B$1315, "&lt;=" &amp; CS$1, DataRegularSeason20242025!$D$3:$D$1315, $A51)+SUMIFS(DataRegularSeason20242025!$AB$3:$AB$1315,DataRegularSeason20242025!$B$3:$B$1315, "&lt;=" &amp; CS$1, DataRegularSeason20242025!$E$3:$E$1315, $A51)</f>
        <v>7</v>
      </c>
      <c r="CT51">
        <f>SUMIFS(DataRegularSeason20242025!$AA$3:$AA$1315,DataRegularSeason20242025!$B$3:$B$1315, "&lt;=" &amp; CT$1, DataRegularSeason20242025!$D$3:$D$1315, $A51)+SUMIFS(DataRegularSeason20242025!$AB$3:$AB$1315,DataRegularSeason20242025!$B$3:$B$1315, "&lt;=" &amp; CT$1, DataRegularSeason20242025!$E$3:$E$1315, $A51)</f>
        <v>7</v>
      </c>
      <c r="CU51">
        <f>SUMIFS(DataRegularSeason20242025!$AA$3:$AA$1315,DataRegularSeason20242025!$B$3:$B$1315, "&lt;=" &amp; CU$1, DataRegularSeason20242025!$D$3:$D$1315, $A51)+SUMIFS(DataRegularSeason20242025!$AB$3:$AB$1315,DataRegularSeason20242025!$B$3:$B$1315, "&lt;=" &amp; CU$1, DataRegularSeason20242025!$E$3:$E$1315, $A51)</f>
        <v>7</v>
      </c>
      <c r="CV51">
        <f>SUMIFS(DataRegularSeason20242025!$AA$3:$AA$1315,DataRegularSeason20242025!$B$3:$B$1315, "&lt;=" &amp; CV$1, DataRegularSeason20242025!$D$3:$D$1315, $A51)+SUMIFS(DataRegularSeason20242025!$AB$3:$AB$1315,DataRegularSeason20242025!$B$3:$B$1315, "&lt;=" &amp; CV$1, DataRegularSeason20242025!$E$3:$E$1315, $A51)</f>
        <v>7</v>
      </c>
      <c r="CW51">
        <f>SUMIFS(DataRegularSeason20242025!$AA$3:$AA$1315,DataRegularSeason20242025!$B$3:$B$1315, "&lt;=" &amp; CW$1, DataRegularSeason20242025!$D$3:$D$1315, $A51)+SUMIFS(DataRegularSeason20242025!$AB$3:$AB$1315,DataRegularSeason20242025!$B$3:$B$1315, "&lt;=" &amp; CW$1, DataRegularSeason20242025!$E$3:$E$1315, $A51)</f>
        <v>7</v>
      </c>
      <c r="CX51">
        <f>SUMIFS(DataRegularSeason20242025!$AA$3:$AA$1315,DataRegularSeason20242025!$B$3:$B$1315, "&lt;=" &amp; CX$1, DataRegularSeason20242025!$D$3:$D$1315, $A51)+SUMIFS(DataRegularSeason20242025!$AB$3:$AB$1315,DataRegularSeason20242025!$B$3:$B$1315, "&lt;=" &amp; CX$1, DataRegularSeason20242025!$E$3:$E$1315, $A51)</f>
        <v>7</v>
      </c>
      <c r="CY51">
        <f>SUMIFS(DataRegularSeason20242025!$AA$3:$AA$1315,DataRegularSeason20242025!$B$3:$B$1315, "&lt;=" &amp; CY$1, DataRegularSeason20242025!$D$3:$D$1315, $A51)+SUMIFS(DataRegularSeason20242025!$AB$3:$AB$1315,DataRegularSeason20242025!$B$3:$B$1315, "&lt;=" &amp; CY$1, DataRegularSeason20242025!$E$3:$E$1315, $A51)</f>
        <v>7</v>
      </c>
      <c r="CZ51">
        <f>SUMIFS(DataRegularSeason20242025!$AA$3:$AA$1315,DataRegularSeason20242025!$B$3:$B$1315, "&lt;=" &amp; CZ$1, DataRegularSeason20242025!$D$3:$D$1315, $A51)+SUMIFS(DataRegularSeason20242025!$AB$3:$AB$1315,DataRegularSeason20242025!$B$3:$B$1315, "&lt;=" &amp; CZ$1, DataRegularSeason20242025!$E$3:$E$1315, $A51)</f>
        <v>7</v>
      </c>
      <c r="DA51">
        <f>SUMIFS(DataRegularSeason20242025!$AA$3:$AA$1315,DataRegularSeason20242025!$B$3:$B$1315, "&lt;=" &amp; DA$1, DataRegularSeason20242025!$D$3:$D$1315, $A51)+SUMIFS(DataRegularSeason20242025!$AB$3:$AB$1315,DataRegularSeason20242025!$B$3:$B$1315, "&lt;=" &amp; DA$1, DataRegularSeason20242025!$E$3:$E$1315, $A51)</f>
        <v>7</v>
      </c>
      <c r="DB51">
        <f>SUMIFS(DataRegularSeason20242025!$AA$3:$AA$1315,DataRegularSeason20242025!$B$3:$B$1315, "&lt;=" &amp; DB$1, DataRegularSeason20242025!$D$3:$D$1315, $A51)+SUMIFS(DataRegularSeason20242025!$AB$3:$AB$1315,DataRegularSeason20242025!$B$3:$B$1315, "&lt;=" &amp; DB$1, DataRegularSeason20242025!$E$3:$E$1315, $A51)</f>
        <v>7</v>
      </c>
      <c r="DC51">
        <f>SUMIFS(DataRegularSeason20242025!$AA$3:$AA$1315,DataRegularSeason20242025!$B$3:$B$1315, "&lt;=" &amp; DC$1, DataRegularSeason20242025!$D$3:$D$1315, $A51)+SUMIFS(DataRegularSeason20242025!$AB$3:$AB$1315,DataRegularSeason20242025!$B$3:$B$1315, "&lt;=" &amp; DC$1, DataRegularSeason20242025!$E$3:$E$1315, $A51)</f>
        <v>7</v>
      </c>
      <c r="DD51">
        <f>SUMIFS(DataRegularSeason20242025!$AA$3:$AA$1315,DataRegularSeason20242025!$B$3:$B$1315, "&lt;=" &amp; DD$1, DataRegularSeason20242025!$D$3:$D$1315, $A51)+SUMIFS(DataRegularSeason20242025!$AB$3:$AB$1315,DataRegularSeason20242025!$B$3:$B$1315, "&lt;=" &amp; DD$1, DataRegularSeason20242025!$E$3:$E$1315, $A51)</f>
        <v>7</v>
      </c>
      <c r="DE51">
        <f>SUMIFS(DataRegularSeason20242025!$AA$3:$AA$1315,DataRegularSeason20242025!$B$3:$B$1315, "&lt;=" &amp; DE$1, DataRegularSeason20242025!$D$3:$D$1315, $A51)+SUMIFS(DataRegularSeason20242025!$AB$3:$AB$1315,DataRegularSeason20242025!$B$3:$B$1315, "&lt;=" &amp; DE$1, DataRegularSeason20242025!$E$3:$E$1315, $A51)</f>
        <v>7</v>
      </c>
      <c r="DF51">
        <f>SUMIFS(DataRegularSeason20242025!$AA$3:$AA$1315,DataRegularSeason20242025!$B$3:$B$1315, "&lt;=" &amp; DF$1, DataRegularSeason20242025!$D$3:$D$1315, $A51)+SUMIFS(DataRegularSeason20242025!$AB$3:$AB$1315,DataRegularSeason20242025!$B$3:$B$1315, "&lt;=" &amp; DF$1, DataRegularSeason20242025!$E$3:$E$1315, $A51)</f>
        <v>7</v>
      </c>
      <c r="DG51">
        <f>SUMIFS(DataRegularSeason20242025!$AA$3:$AA$1315,DataRegularSeason20242025!$B$3:$B$1315, "&lt;=" &amp; DG$1, DataRegularSeason20242025!$D$3:$D$1315, $A51)+SUMIFS(DataRegularSeason20242025!$AB$3:$AB$1315,DataRegularSeason20242025!$B$3:$B$1315, "&lt;=" &amp; DG$1, DataRegularSeason20242025!$E$3:$E$1315, $A51)</f>
        <v>7</v>
      </c>
      <c r="DH51">
        <f>SUMIFS(DataRegularSeason20242025!$AA$3:$AA$1315,DataRegularSeason20242025!$B$3:$B$1315, "&lt;=" &amp; DH$1, DataRegularSeason20242025!$D$3:$D$1315, $A51)+SUMIFS(DataRegularSeason20242025!$AB$3:$AB$1315,DataRegularSeason20242025!$B$3:$B$1315, "&lt;=" &amp; DH$1, DataRegularSeason20242025!$E$3:$E$1315, $A51)</f>
        <v>7</v>
      </c>
      <c r="DI51">
        <f>SUMIFS(DataRegularSeason20242025!$AA$3:$AA$1315,DataRegularSeason20242025!$B$3:$B$1315, "&lt;=" &amp; DI$1, DataRegularSeason20242025!$D$3:$D$1315, $A51)+SUMIFS(DataRegularSeason20242025!$AB$3:$AB$1315,DataRegularSeason20242025!$B$3:$B$1315, "&lt;=" &amp; DI$1, DataRegularSeason20242025!$E$3:$E$1315, $A51)</f>
        <v>7</v>
      </c>
      <c r="DJ51">
        <f>SUMIFS(DataRegularSeason20242025!$AA$3:$AA$1315,DataRegularSeason20242025!$B$3:$B$1315, "&lt;=" &amp; DJ$1, DataRegularSeason20242025!$D$3:$D$1315, $A51)+SUMIFS(DataRegularSeason20242025!$AB$3:$AB$1315,DataRegularSeason20242025!$B$3:$B$1315, "&lt;=" &amp; DJ$1, DataRegularSeason20242025!$E$3:$E$1315, $A51)</f>
        <v>7</v>
      </c>
      <c r="DK51">
        <f>SUMIFS(DataRegularSeason20242025!$AA$3:$AA$1315,DataRegularSeason20242025!$B$3:$B$1315, "&lt;=" &amp; DK$1, DataRegularSeason20242025!$D$3:$D$1315, $A51)+SUMIFS(DataRegularSeason20242025!$AB$3:$AB$1315,DataRegularSeason20242025!$B$3:$B$1315, "&lt;=" &amp; DK$1, DataRegularSeason20242025!$E$3:$E$1315, $A51)</f>
        <v>7</v>
      </c>
      <c r="DL51">
        <f>SUMIFS(DataRegularSeason20242025!$AA$3:$AA$1315,DataRegularSeason20242025!$B$3:$B$1315, "&lt;=" &amp; DL$1, DataRegularSeason20242025!$D$3:$D$1315, $A51)+SUMIFS(DataRegularSeason20242025!$AB$3:$AB$1315,DataRegularSeason20242025!$B$3:$B$1315, "&lt;=" &amp; DL$1, DataRegularSeason20242025!$E$3:$E$1315, $A51)</f>
        <v>7</v>
      </c>
      <c r="DM51">
        <f>SUMIFS(DataRegularSeason20242025!$AA$3:$AA$1315,DataRegularSeason20242025!$B$3:$B$1315, "&lt;=" &amp; DM$1, DataRegularSeason20242025!$D$3:$D$1315, $A51)+SUMIFS(DataRegularSeason20242025!$AB$3:$AB$1315,DataRegularSeason20242025!$B$3:$B$1315, "&lt;=" &amp; DM$1, DataRegularSeason20242025!$E$3:$E$1315, $A51)</f>
        <v>7</v>
      </c>
      <c r="DN51">
        <f>SUMIFS(DataRegularSeason20242025!$AA$3:$AA$1315,DataRegularSeason20242025!$B$3:$B$1315, "&lt;=" &amp; DN$1, DataRegularSeason20242025!$D$3:$D$1315, $A51)+SUMIFS(DataRegularSeason20242025!$AB$3:$AB$1315,DataRegularSeason20242025!$B$3:$B$1315, "&lt;=" &amp; DN$1, DataRegularSeason20242025!$E$3:$E$1315, $A51)</f>
        <v>7</v>
      </c>
      <c r="DO51">
        <f>SUMIFS(DataRegularSeason20242025!$AA$3:$AA$1315,DataRegularSeason20242025!$B$3:$B$1315, "&lt;=" &amp; DO$1, DataRegularSeason20242025!$D$3:$D$1315, $A51)+SUMIFS(DataRegularSeason20242025!$AB$3:$AB$1315,DataRegularSeason20242025!$B$3:$B$1315, "&lt;=" &amp; DO$1, DataRegularSeason20242025!$E$3:$E$1315, $A51)</f>
        <v>7</v>
      </c>
      <c r="DP51">
        <f>SUMIFS(DataRegularSeason20242025!$AA$3:$AA$1315,DataRegularSeason20242025!$B$3:$B$1315, "&lt;=" &amp; DP$1, DataRegularSeason20242025!$D$3:$D$1315, $A51)+SUMIFS(DataRegularSeason20242025!$AB$3:$AB$1315,DataRegularSeason20242025!$B$3:$B$1315, "&lt;=" &amp; DP$1, DataRegularSeason20242025!$E$3:$E$1315, $A51)</f>
        <v>7</v>
      </c>
      <c r="DQ51">
        <f>SUMIFS(DataRegularSeason20242025!$AA$3:$AA$1315,DataRegularSeason20242025!$B$3:$B$1315, "&lt;=" &amp; DQ$1, DataRegularSeason20242025!$D$3:$D$1315, $A51)+SUMIFS(DataRegularSeason20242025!$AB$3:$AB$1315,DataRegularSeason20242025!$B$3:$B$1315, "&lt;=" &amp; DQ$1, DataRegularSeason20242025!$E$3:$E$1315, $A51)</f>
        <v>7</v>
      </c>
      <c r="DR51">
        <f>SUMIFS(DataRegularSeason20242025!$AA$3:$AA$1315,DataRegularSeason20242025!$B$3:$B$1315, "&lt;=" &amp; DR$1, DataRegularSeason20242025!$D$3:$D$1315, $A51)+SUMIFS(DataRegularSeason20242025!$AB$3:$AB$1315,DataRegularSeason20242025!$B$3:$B$1315, "&lt;=" &amp; DR$1, DataRegularSeason20242025!$E$3:$E$1315, $A51)</f>
        <v>7</v>
      </c>
      <c r="DS51">
        <f>SUMIFS(DataRegularSeason20242025!$AA$3:$AA$1315,DataRegularSeason20242025!$B$3:$B$1315, "&lt;=" &amp; DS$1, DataRegularSeason20242025!$D$3:$D$1315, $A51)+SUMIFS(DataRegularSeason20242025!$AB$3:$AB$1315,DataRegularSeason20242025!$B$3:$B$1315, "&lt;=" &amp; DS$1, DataRegularSeason20242025!$E$3:$E$1315, $A51)</f>
        <v>7</v>
      </c>
      <c r="DT51">
        <f>SUMIFS(DataRegularSeason20242025!$AA$3:$AA$1315,DataRegularSeason20242025!$B$3:$B$1315, "&lt;=" &amp; DT$1, DataRegularSeason20242025!$D$3:$D$1315, $A51)+SUMIFS(DataRegularSeason20242025!$AB$3:$AB$1315,DataRegularSeason20242025!$B$3:$B$1315, "&lt;=" &amp; DT$1, DataRegularSeason20242025!$E$3:$E$1315, $A51)</f>
        <v>7</v>
      </c>
      <c r="DU51">
        <f>SUMIFS(DataRegularSeason20242025!$AA$3:$AA$1315,DataRegularSeason20242025!$B$3:$B$1315, "&lt;=" &amp; DU$1, DataRegularSeason20242025!$D$3:$D$1315, $A51)+SUMIFS(DataRegularSeason20242025!$AB$3:$AB$1315,DataRegularSeason20242025!$B$3:$B$1315, "&lt;=" &amp; DU$1, DataRegularSeason20242025!$E$3:$E$1315, $A51)</f>
        <v>7</v>
      </c>
      <c r="DV51">
        <f>SUMIFS(DataRegularSeason20242025!$AA$3:$AA$1315,DataRegularSeason20242025!$B$3:$B$1315, "&lt;=" &amp; DV$1, DataRegularSeason20242025!$D$3:$D$1315, $A51)+SUMIFS(DataRegularSeason20242025!$AB$3:$AB$1315,DataRegularSeason20242025!$B$3:$B$1315, "&lt;=" &amp; DV$1, DataRegularSeason20242025!$E$3:$E$1315, $A51)</f>
        <v>7</v>
      </c>
      <c r="DW51">
        <f>SUMIFS(DataRegularSeason20242025!$AA$3:$AA$1315,DataRegularSeason20242025!$B$3:$B$1315, "&lt;=" &amp; DW$1, DataRegularSeason20242025!$D$3:$D$1315, $A51)+SUMIFS(DataRegularSeason20242025!$AB$3:$AB$1315,DataRegularSeason20242025!$B$3:$B$1315, "&lt;=" &amp; DW$1, DataRegularSeason20242025!$E$3:$E$1315, $A51)</f>
        <v>7</v>
      </c>
      <c r="DX51">
        <f>SUMIFS(DataRegularSeason20242025!$AA$3:$AA$1315,DataRegularSeason20242025!$B$3:$B$1315, "&lt;=" &amp; DX$1, DataRegularSeason20242025!$D$3:$D$1315, $A51)+SUMIFS(DataRegularSeason20242025!$AB$3:$AB$1315,DataRegularSeason20242025!$B$3:$B$1315, "&lt;=" &amp; DX$1, DataRegularSeason20242025!$E$3:$E$1315, $A51)</f>
        <v>7</v>
      </c>
      <c r="DY51">
        <f>SUMIFS(DataRegularSeason20242025!$AA$3:$AA$1315,DataRegularSeason20242025!$B$3:$B$1315, "&lt;=" &amp; DY$1, DataRegularSeason20242025!$D$3:$D$1315, $A51)+SUMIFS(DataRegularSeason20242025!$AB$3:$AB$1315,DataRegularSeason20242025!$B$3:$B$1315, "&lt;=" &amp; DY$1, DataRegularSeason20242025!$E$3:$E$1315, $A51)</f>
        <v>7</v>
      </c>
      <c r="DZ51">
        <f>SUMIFS(DataRegularSeason20242025!$AA$3:$AA$1315,DataRegularSeason20242025!$B$3:$B$1315, "&lt;=" &amp; DZ$1, DataRegularSeason20242025!$D$3:$D$1315, $A51)+SUMIFS(DataRegularSeason20242025!$AB$3:$AB$1315,DataRegularSeason20242025!$B$3:$B$1315, "&lt;=" &amp; DZ$1, DataRegularSeason20242025!$E$3:$E$1315, $A51)</f>
        <v>7</v>
      </c>
      <c r="EA51">
        <f>SUMIFS(DataRegularSeason20242025!$AA$3:$AA$1315,DataRegularSeason20242025!$B$3:$B$1315, "&lt;=" &amp; EA$1, DataRegularSeason20242025!$D$3:$D$1315, $A51)+SUMIFS(DataRegularSeason20242025!$AB$3:$AB$1315,DataRegularSeason20242025!$B$3:$B$1315, "&lt;=" &amp; EA$1, DataRegularSeason20242025!$E$3:$E$1315, $A51)</f>
        <v>7</v>
      </c>
      <c r="EB51">
        <f>SUMIFS(DataRegularSeason20242025!$AA$3:$AA$1315,DataRegularSeason20242025!$B$3:$B$1315, "&lt;=" &amp; EB$1, DataRegularSeason20242025!$D$3:$D$1315, $A51)+SUMIFS(DataRegularSeason20242025!$AB$3:$AB$1315,DataRegularSeason20242025!$B$3:$B$1315, "&lt;=" &amp; EB$1, DataRegularSeason20242025!$E$3:$E$1315, $A51)</f>
        <v>7</v>
      </c>
      <c r="EC51">
        <f>SUMIFS(DataRegularSeason20242025!$AA$3:$AA$1315,DataRegularSeason20242025!$B$3:$B$1315, "&lt;=" &amp; EC$1, DataRegularSeason20242025!$D$3:$D$1315, $A51)+SUMIFS(DataRegularSeason20242025!$AB$3:$AB$1315,DataRegularSeason20242025!$B$3:$B$1315, "&lt;=" &amp; EC$1, DataRegularSeason20242025!$E$3:$E$1315, $A51)</f>
        <v>7</v>
      </c>
      <c r="ED51">
        <f>SUMIFS(DataRegularSeason20242025!$AA$3:$AA$1315,DataRegularSeason20242025!$B$3:$B$1315, "&lt;=" &amp; ED$1, DataRegularSeason20242025!$D$3:$D$1315, $A51)+SUMIFS(DataRegularSeason20242025!$AB$3:$AB$1315,DataRegularSeason20242025!$B$3:$B$1315, "&lt;=" &amp; ED$1, DataRegularSeason20242025!$E$3:$E$1315, $A51)</f>
        <v>7</v>
      </c>
      <c r="EE51">
        <f>SUMIFS(DataRegularSeason20242025!$AA$3:$AA$1315,DataRegularSeason20242025!$B$3:$B$1315, "&lt;=" &amp; EE$1, DataRegularSeason20242025!$D$3:$D$1315, $A51)+SUMIFS(DataRegularSeason20242025!$AB$3:$AB$1315,DataRegularSeason20242025!$B$3:$B$1315, "&lt;=" &amp; EE$1, DataRegularSeason20242025!$E$3:$E$1315, $A51)</f>
        <v>7</v>
      </c>
      <c r="EF51">
        <f>SUMIFS(DataRegularSeason20242025!$AA$3:$AA$1315,DataRegularSeason20242025!$B$3:$B$1315, "&lt;=" &amp; EF$1, DataRegularSeason20242025!$D$3:$D$1315, $A51)+SUMIFS(DataRegularSeason20242025!$AB$3:$AB$1315,DataRegularSeason20242025!$B$3:$B$1315, "&lt;=" &amp; EF$1, DataRegularSeason20242025!$E$3:$E$1315, $A51)</f>
        <v>7</v>
      </c>
      <c r="EG51">
        <f>SUMIFS(DataRegularSeason20242025!$AA$3:$AA$1315,DataRegularSeason20242025!$B$3:$B$1315, "&lt;=" &amp; EG$1, DataRegularSeason20242025!$D$3:$D$1315, $A51)+SUMIFS(DataRegularSeason20242025!$AB$3:$AB$1315,DataRegularSeason20242025!$B$3:$B$1315, "&lt;=" &amp; EG$1, DataRegularSeason20242025!$E$3:$E$1315, $A51)</f>
        <v>7</v>
      </c>
      <c r="EH51">
        <f>SUMIFS(DataRegularSeason20242025!$AA$3:$AA$1315,DataRegularSeason20242025!$B$3:$B$1315, "&lt;=" &amp; EH$1, DataRegularSeason20242025!$D$3:$D$1315, $A51)+SUMIFS(DataRegularSeason20242025!$AB$3:$AB$1315,DataRegularSeason20242025!$B$3:$B$1315, "&lt;=" &amp; EH$1, DataRegularSeason20242025!$E$3:$E$1315, $A51)</f>
        <v>7</v>
      </c>
      <c r="EI51">
        <f>SUMIFS(DataRegularSeason20242025!$AA$3:$AA$1315,DataRegularSeason20242025!$B$3:$B$1315, "&lt;=" &amp; EI$1, DataRegularSeason20242025!$D$3:$D$1315, $A51)+SUMIFS(DataRegularSeason20242025!$AB$3:$AB$1315,DataRegularSeason20242025!$B$3:$B$1315, "&lt;=" &amp; EI$1, DataRegularSeason20242025!$E$3:$E$1315, $A51)</f>
        <v>7</v>
      </c>
      <c r="EJ51">
        <f>SUMIFS(DataRegularSeason20242025!$AA$3:$AA$1315,DataRegularSeason20242025!$B$3:$B$1315, "&lt;=" &amp; EJ$1, DataRegularSeason20242025!$D$3:$D$1315, $A51)+SUMIFS(DataRegularSeason20242025!$AB$3:$AB$1315,DataRegularSeason20242025!$B$3:$B$1315, "&lt;=" &amp; EJ$1, DataRegularSeason20242025!$E$3:$E$1315, $A51)</f>
        <v>7</v>
      </c>
      <c r="EK51">
        <f>SUMIFS(DataRegularSeason20242025!$AA$3:$AA$1315,DataRegularSeason20242025!$B$3:$B$1315, "&lt;=" &amp; EK$1, DataRegularSeason20242025!$D$3:$D$1315, $A51)+SUMIFS(DataRegularSeason20242025!$AB$3:$AB$1315,DataRegularSeason20242025!$B$3:$B$1315, "&lt;=" &amp; EK$1, DataRegularSeason20242025!$E$3:$E$1315, $A51)</f>
        <v>7</v>
      </c>
      <c r="EL51">
        <f>SUMIFS(DataRegularSeason20242025!$AA$3:$AA$1315,DataRegularSeason20242025!$B$3:$B$1315, "&lt;=" &amp; EL$1, DataRegularSeason20242025!$D$3:$D$1315, $A51)+SUMIFS(DataRegularSeason20242025!$AB$3:$AB$1315,DataRegularSeason20242025!$B$3:$B$1315, "&lt;=" &amp; EL$1, DataRegularSeason20242025!$E$3:$E$1315, $A51)</f>
        <v>7</v>
      </c>
      <c r="EM51">
        <f>SUMIFS(DataRegularSeason20242025!$AA$3:$AA$1315,DataRegularSeason20242025!$B$3:$B$1315, "&lt;=" &amp; EM$1, DataRegularSeason20242025!$D$3:$D$1315, $A51)+SUMIFS(DataRegularSeason20242025!$AB$3:$AB$1315,DataRegularSeason20242025!$B$3:$B$1315, "&lt;=" &amp; EM$1, DataRegularSeason20242025!$E$3:$E$1315, $A51)</f>
        <v>7</v>
      </c>
      <c r="EN51">
        <f>SUMIFS(DataRegularSeason20242025!$AA$3:$AA$1315,DataRegularSeason20242025!$B$3:$B$1315, "&lt;=" &amp; EN$1, DataRegularSeason20242025!$D$3:$D$1315, $A51)+SUMIFS(DataRegularSeason20242025!$AB$3:$AB$1315,DataRegularSeason20242025!$B$3:$B$1315, "&lt;=" &amp; EN$1, DataRegularSeason20242025!$E$3:$E$1315, $A51)</f>
        <v>7</v>
      </c>
      <c r="EO51">
        <f>SUMIFS(DataRegularSeason20242025!$AA$3:$AA$1315,DataRegularSeason20242025!$B$3:$B$1315, "&lt;=" &amp; EO$1, DataRegularSeason20242025!$D$3:$D$1315, $A51)+SUMIFS(DataRegularSeason20242025!$AB$3:$AB$1315,DataRegularSeason20242025!$B$3:$B$1315, "&lt;=" &amp; EO$1, DataRegularSeason20242025!$E$3:$E$1315, $A51)</f>
        <v>7</v>
      </c>
      <c r="EP51">
        <f>SUMIFS(DataRegularSeason20242025!$AA$3:$AA$1315,DataRegularSeason20242025!$B$3:$B$1315, "&lt;=" &amp; EP$1, DataRegularSeason20242025!$D$3:$D$1315, $A51)+SUMIFS(DataRegularSeason20242025!$AB$3:$AB$1315,DataRegularSeason20242025!$B$3:$B$1315, "&lt;=" &amp; EP$1, DataRegularSeason20242025!$E$3:$E$1315, $A51)</f>
        <v>7</v>
      </c>
      <c r="EQ51">
        <f>SUMIFS(DataRegularSeason20242025!$AA$3:$AA$1315,DataRegularSeason20242025!$B$3:$B$1315, "&lt;=" &amp; EQ$1, DataRegularSeason20242025!$D$3:$D$1315, $A51)+SUMIFS(DataRegularSeason20242025!$AB$3:$AB$1315,DataRegularSeason20242025!$B$3:$B$1315, "&lt;=" &amp; EQ$1, DataRegularSeason20242025!$E$3:$E$1315, $A51)</f>
        <v>7</v>
      </c>
      <c r="ER51">
        <f>SUMIFS(DataRegularSeason20242025!$AA$3:$AA$1315,DataRegularSeason20242025!$B$3:$B$1315, "&lt;=" &amp; ER$1, DataRegularSeason20242025!$D$3:$D$1315, $A51)+SUMIFS(DataRegularSeason20242025!$AB$3:$AB$1315,DataRegularSeason20242025!$B$3:$B$1315, "&lt;=" &amp; ER$1, DataRegularSeason20242025!$E$3:$E$1315, $A51)</f>
        <v>7</v>
      </c>
      <c r="ES51">
        <f>SUMIFS(DataRegularSeason20242025!$AA$3:$AA$1315,DataRegularSeason20242025!$B$3:$B$1315, "&lt;=" &amp; ES$1, DataRegularSeason20242025!$D$3:$D$1315, $A51)+SUMIFS(DataRegularSeason20242025!$AB$3:$AB$1315,DataRegularSeason20242025!$B$3:$B$1315, "&lt;=" &amp; ES$1, DataRegularSeason20242025!$E$3:$E$1315, $A51)</f>
        <v>7</v>
      </c>
      <c r="ET51">
        <f>SUMIFS(DataRegularSeason20242025!$AA$3:$AA$1315,DataRegularSeason20242025!$B$3:$B$1315, "&lt;=" &amp; ET$1, DataRegularSeason20242025!$D$3:$D$1315, $A51)+SUMIFS(DataRegularSeason20242025!$AB$3:$AB$1315,DataRegularSeason20242025!$B$3:$B$1315, "&lt;=" &amp; ET$1, DataRegularSeason20242025!$E$3:$E$1315, $A51)</f>
        <v>7</v>
      </c>
      <c r="EU51">
        <f>SUMIFS(DataRegularSeason20242025!$AA$3:$AA$1315,DataRegularSeason20242025!$B$3:$B$1315, "&lt;=" &amp; EU$1, DataRegularSeason20242025!$D$3:$D$1315, $A51)+SUMIFS(DataRegularSeason20242025!$AB$3:$AB$1315,DataRegularSeason20242025!$B$3:$B$1315, "&lt;=" &amp; EU$1, DataRegularSeason20242025!$E$3:$E$1315, $A51)</f>
        <v>7</v>
      </c>
      <c r="EV51">
        <f>SUMIFS(DataRegularSeason20242025!$AA$3:$AA$1315,DataRegularSeason20242025!$B$3:$B$1315, "&lt;=" &amp; EV$1, DataRegularSeason20242025!$D$3:$D$1315, $A51)+SUMIFS(DataRegularSeason20242025!$AB$3:$AB$1315,DataRegularSeason20242025!$B$3:$B$1315, "&lt;=" &amp; EV$1, DataRegularSeason20242025!$E$3:$E$1315, $A51)</f>
        <v>7</v>
      </c>
      <c r="EW51">
        <f>SUMIFS(DataRegularSeason20242025!$AA$3:$AA$1315,DataRegularSeason20242025!$B$3:$B$1315, "&lt;=" &amp; EW$1, DataRegularSeason20242025!$D$3:$D$1315, $A51)+SUMIFS(DataRegularSeason20242025!$AB$3:$AB$1315,DataRegularSeason20242025!$B$3:$B$1315, "&lt;=" &amp; EW$1, DataRegularSeason20242025!$E$3:$E$1315, $A51)</f>
        <v>7</v>
      </c>
      <c r="EX51">
        <f>SUMIFS(DataRegularSeason20242025!$AA$3:$AA$1315,DataRegularSeason20242025!$B$3:$B$1315, "&lt;=" &amp; EX$1, DataRegularSeason20242025!$D$3:$D$1315, $A51)+SUMIFS(DataRegularSeason20242025!$AB$3:$AB$1315,DataRegularSeason20242025!$B$3:$B$1315, "&lt;=" &amp; EX$1, DataRegularSeason20242025!$E$3:$E$1315, $A51)</f>
        <v>7</v>
      </c>
      <c r="EY51">
        <f>SUMIFS(DataRegularSeason20242025!$AA$3:$AA$1315,DataRegularSeason20242025!$B$3:$B$1315, "&lt;=" &amp; EY$1, DataRegularSeason20242025!$D$3:$D$1315, $A51)+SUMIFS(DataRegularSeason20242025!$AB$3:$AB$1315,DataRegularSeason20242025!$B$3:$B$1315, "&lt;=" &amp; EY$1, DataRegularSeason20242025!$E$3:$E$1315, $A51)</f>
        <v>7</v>
      </c>
      <c r="EZ51">
        <f>SUMIFS(DataRegularSeason20242025!$AA$3:$AA$1315,DataRegularSeason20242025!$B$3:$B$1315, "&lt;=" &amp; EZ$1, DataRegularSeason20242025!$D$3:$D$1315, $A51)+SUMIFS(DataRegularSeason20242025!$AB$3:$AB$1315,DataRegularSeason20242025!$B$3:$B$1315, "&lt;=" &amp; EZ$1, DataRegularSeason20242025!$E$3:$E$1315, $A51)</f>
        <v>7</v>
      </c>
      <c r="FA51">
        <f>SUMIFS(DataRegularSeason20242025!$AA$3:$AA$1315,DataRegularSeason20242025!$B$3:$B$1315, "&lt;=" &amp; FA$1, DataRegularSeason20242025!$D$3:$D$1315, $A51)+SUMIFS(DataRegularSeason20242025!$AB$3:$AB$1315,DataRegularSeason20242025!$B$3:$B$1315, "&lt;=" &amp; FA$1, DataRegularSeason20242025!$E$3:$E$1315, $A51)</f>
        <v>7</v>
      </c>
      <c r="FB51">
        <f>SUMIFS(DataRegularSeason20242025!$AA$3:$AA$1315,DataRegularSeason20242025!$B$3:$B$1315, "&lt;=" &amp; FB$1, DataRegularSeason20242025!$D$3:$D$1315, $A51)+SUMIFS(DataRegularSeason20242025!$AB$3:$AB$1315,DataRegularSeason20242025!$B$3:$B$1315, "&lt;=" &amp; FB$1, DataRegularSeason20242025!$E$3:$E$1315, $A51)</f>
        <v>7</v>
      </c>
      <c r="FC51">
        <f>SUMIFS(DataRegularSeason20242025!$AA$3:$AA$1315,DataRegularSeason20242025!$B$3:$B$1315, "&lt;=" &amp; FC$1, DataRegularSeason20242025!$D$3:$D$1315, $A51)+SUMIFS(DataRegularSeason20242025!$AB$3:$AB$1315,DataRegularSeason20242025!$B$3:$B$1315, "&lt;=" &amp; FC$1, DataRegularSeason20242025!$E$3:$E$1315, $A51)</f>
        <v>7</v>
      </c>
      <c r="FD51">
        <f>SUMIFS(DataRegularSeason20242025!$AA$3:$AA$1315,DataRegularSeason20242025!$B$3:$B$1315, "&lt;=" &amp; FD$1, DataRegularSeason20242025!$D$3:$D$1315, $A51)+SUMIFS(DataRegularSeason20242025!$AB$3:$AB$1315,DataRegularSeason20242025!$B$3:$B$1315, "&lt;=" &amp; FD$1, DataRegularSeason20242025!$E$3:$E$1315, $A51)</f>
        <v>7</v>
      </c>
      <c r="FE51">
        <f>SUMIFS(DataRegularSeason20242025!$AA$3:$AA$1315,DataRegularSeason20242025!$B$3:$B$1315, "&lt;=" &amp; FE$1, DataRegularSeason20242025!$D$3:$D$1315, $A51)+SUMIFS(DataRegularSeason20242025!$AB$3:$AB$1315,DataRegularSeason20242025!$B$3:$B$1315, "&lt;=" &amp; FE$1, DataRegularSeason20242025!$E$3:$E$1315, $A51)</f>
        <v>7</v>
      </c>
      <c r="FF51">
        <f>SUMIFS(DataRegularSeason20242025!$AA$3:$AA$1315,DataRegularSeason20242025!$B$3:$B$1315, "&lt;=" &amp; FF$1, DataRegularSeason20242025!$D$3:$D$1315, $A51)+SUMIFS(DataRegularSeason20242025!$AB$3:$AB$1315,DataRegularSeason20242025!$B$3:$B$1315, "&lt;=" &amp; FF$1, DataRegularSeason20242025!$E$3:$E$1315, $A51)</f>
        <v>7</v>
      </c>
      <c r="FG51">
        <f>SUMIFS(DataRegularSeason20242025!$AA$3:$AA$1315,DataRegularSeason20242025!$B$3:$B$1315, "&lt;=" &amp; FG$1, DataRegularSeason20242025!$D$3:$D$1315, $A51)+SUMIFS(DataRegularSeason20242025!$AB$3:$AB$1315,DataRegularSeason20242025!$B$3:$B$1315, "&lt;=" &amp; FG$1, DataRegularSeason20242025!$E$3:$E$1315, $A51)</f>
        <v>7</v>
      </c>
      <c r="FH51">
        <f>SUMIFS(DataRegularSeason20242025!$AA$3:$AA$1315,DataRegularSeason20242025!$B$3:$B$1315, "&lt;=" &amp; FH$1, DataRegularSeason20242025!$D$3:$D$1315, $A51)+SUMIFS(DataRegularSeason20242025!$AB$3:$AB$1315,DataRegularSeason20242025!$B$3:$B$1315, "&lt;=" &amp; FH$1, DataRegularSeason20242025!$E$3:$E$1315, $A51)</f>
        <v>7</v>
      </c>
      <c r="FI51">
        <f>SUMIFS(DataRegularSeason20242025!$AA$3:$AA$1315,DataRegularSeason20242025!$B$3:$B$1315, "&lt;=" &amp; FI$1, DataRegularSeason20242025!$D$3:$D$1315, $A51)+SUMIFS(DataRegularSeason20242025!$AB$3:$AB$1315,DataRegularSeason20242025!$B$3:$B$1315, "&lt;=" &amp; FI$1, DataRegularSeason20242025!$E$3:$E$1315, $A51)</f>
        <v>7</v>
      </c>
      <c r="FJ51">
        <f>SUMIFS(DataRegularSeason20242025!$AA$3:$AA$1315,DataRegularSeason20242025!$B$3:$B$1315, "&lt;=" &amp; FJ$1, DataRegularSeason20242025!$D$3:$D$1315, $A51)+SUMIFS(DataRegularSeason20242025!$AB$3:$AB$1315,DataRegularSeason20242025!$B$3:$B$1315, "&lt;=" &amp; FJ$1, DataRegularSeason20242025!$E$3:$E$1315, $A51)</f>
        <v>7</v>
      </c>
      <c r="FK51">
        <f>SUMIFS(DataRegularSeason20242025!$AA$3:$AA$1315,DataRegularSeason20242025!$B$3:$B$1315, "&lt;=" &amp; FK$1, DataRegularSeason20242025!$D$3:$D$1315, $A51)+SUMIFS(DataRegularSeason20242025!$AB$3:$AB$1315,DataRegularSeason20242025!$B$3:$B$1315, "&lt;=" &amp; FK$1, DataRegularSeason20242025!$E$3:$E$1315, $A51)</f>
        <v>7</v>
      </c>
      <c r="FL51">
        <f>SUMIFS(DataRegularSeason20242025!$AA$3:$AA$1315,DataRegularSeason20242025!$B$3:$B$1315, "&lt;=" &amp; FL$1, DataRegularSeason20242025!$D$3:$D$1315, $A51)+SUMIFS(DataRegularSeason20242025!$AB$3:$AB$1315,DataRegularSeason20242025!$B$3:$B$1315, "&lt;=" &amp; FL$1, DataRegularSeason20242025!$E$3:$E$1315, $A51)</f>
        <v>7</v>
      </c>
      <c r="FM51">
        <f>SUMIFS(DataRegularSeason20242025!$AA$3:$AA$1315,DataRegularSeason20242025!$B$3:$B$1315, "&lt;=" &amp; FM$1, DataRegularSeason20242025!$D$3:$D$1315, $A51)+SUMIFS(DataRegularSeason20242025!$AB$3:$AB$1315,DataRegularSeason20242025!$B$3:$B$1315, "&lt;=" &amp; FM$1, DataRegularSeason20242025!$E$3:$E$1315, $A51)</f>
        <v>7</v>
      </c>
      <c r="FN51">
        <f>SUMIFS(DataRegularSeason20242025!$AA$3:$AA$1315,DataRegularSeason20242025!$B$3:$B$1315, "&lt;=" &amp; FN$1, DataRegularSeason20242025!$D$3:$D$1315, $A51)+SUMIFS(DataRegularSeason20242025!$AB$3:$AB$1315,DataRegularSeason20242025!$B$3:$B$1315, "&lt;=" &amp; FN$1, DataRegularSeason20242025!$E$3:$E$1315, $A51)</f>
        <v>7</v>
      </c>
      <c r="FO51">
        <f>SUMIFS(DataRegularSeason20242025!$AA$3:$AA$1315,DataRegularSeason20242025!$B$3:$B$1315, "&lt;=" &amp; FO$1, DataRegularSeason20242025!$D$3:$D$1315, $A51)+SUMIFS(DataRegularSeason20242025!$AB$3:$AB$1315,DataRegularSeason20242025!$B$3:$B$1315, "&lt;=" &amp; FO$1, DataRegularSeason20242025!$E$3:$E$1315, $A51)</f>
        <v>7</v>
      </c>
      <c r="FP51">
        <f>SUMIFS(DataRegularSeason20242025!$AA$3:$AA$1315,DataRegularSeason20242025!$B$3:$B$1315, "&lt;=" &amp; FP$1, DataRegularSeason20242025!$D$3:$D$1315, $A51)+SUMIFS(DataRegularSeason20242025!$AB$3:$AB$1315,DataRegularSeason20242025!$B$3:$B$1315, "&lt;=" &amp; FP$1, DataRegularSeason20242025!$E$3:$E$1315, $A51)</f>
        <v>7</v>
      </c>
      <c r="FQ51">
        <f>SUMIFS(DataRegularSeason20242025!$AA$3:$AA$1315,DataRegularSeason20242025!$B$3:$B$1315, "&lt;=" &amp; FQ$1, DataRegularSeason20242025!$D$3:$D$1315, $A51)+SUMIFS(DataRegularSeason20242025!$AB$3:$AB$1315,DataRegularSeason20242025!$B$3:$B$1315, "&lt;=" &amp; FQ$1, DataRegularSeason20242025!$E$3:$E$1315, $A51)</f>
        <v>7</v>
      </c>
      <c r="FR51">
        <f>SUMIFS(DataRegularSeason20242025!$AA$3:$AA$1315,DataRegularSeason20242025!$B$3:$B$1315, "&lt;=" &amp; FR$1, DataRegularSeason20242025!$D$3:$D$1315, $A51)+SUMIFS(DataRegularSeason20242025!$AB$3:$AB$1315,DataRegularSeason20242025!$B$3:$B$1315, "&lt;=" &amp; FR$1, DataRegularSeason20242025!$E$3:$E$1315, $A51)</f>
        <v>7</v>
      </c>
      <c r="FS51">
        <f>SUMIFS(DataRegularSeason20242025!$AA$3:$AA$1315,DataRegularSeason20242025!$B$3:$B$1315, "&lt;=" &amp; FS$1, DataRegularSeason20242025!$D$3:$D$1315, $A51)+SUMIFS(DataRegularSeason20242025!$AB$3:$AB$1315,DataRegularSeason20242025!$B$3:$B$1315, "&lt;=" &amp; FS$1, DataRegularSeason20242025!$E$3:$E$1315, $A51)</f>
        <v>7</v>
      </c>
      <c r="FT51">
        <f>SUMIFS(DataRegularSeason20242025!$AA$3:$AA$1315,DataRegularSeason20242025!$B$3:$B$1315, "&lt;=" &amp; FT$1, DataRegularSeason20242025!$D$3:$D$1315, $A51)+SUMIFS(DataRegularSeason20242025!$AB$3:$AB$1315,DataRegularSeason20242025!$B$3:$B$1315, "&lt;=" &amp; FT$1, DataRegularSeason20242025!$E$3:$E$1315, $A51)</f>
        <v>7</v>
      </c>
      <c r="FU51">
        <f>SUMIFS(DataRegularSeason20242025!$AA$3:$AA$1315,DataRegularSeason20242025!$B$3:$B$1315, "&lt;=" &amp; FU$1, DataRegularSeason20242025!$D$3:$D$1315, $A51)+SUMIFS(DataRegularSeason20242025!$AB$3:$AB$1315,DataRegularSeason20242025!$B$3:$B$1315, "&lt;=" &amp; FU$1, DataRegularSeason20242025!$E$3:$E$1315, $A51)</f>
        <v>7</v>
      </c>
      <c r="FV51">
        <f>SUMIFS(DataRegularSeason20242025!$AA$3:$AA$1315,DataRegularSeason20242025!$B$3:$B$1315, "&lt;=" &amp; FV$1, DataRegularSeason20242025!$D$3:$D$1315, $A51)+SUMIFS(DataRegularSeason20242025!$AB$3:$AB$1315,DataRegularSeason20242025!$B$3:$B$1315, "&lt;=" &amp; FV$1, DataRegularSeason20242025!$E$3:$E$1315, $A51)</f>
        <v>7</v>
      </c>
      <c r="FW51">
        <f>SUMIFS(DataRegularSeason20242025!$AA$3:$AA$1315,DataRegularSeason20242025!$B$3:$B$1315, "&lt;=" &amp; FW$1, DataRegularSeason20242025!$D$3:$D$1315, $A51)+SUMIFS(DataRegularSeason20242025!$AB$3:$AB$1315,DataRegularSeason20242025!$B$3:$B$1315, "&lt;=" &amp; FW$1, DataRegularSeason20242025!$E$3:$E$1315, $A51)</f>
        <v>7</v>
      </c>
      <c r="FX51">
        <f>SUMIFS(DataRegularSeason20242025!$AA$3:$AA$1315,DataRegularSeason20242025!$B$3:$B$1315, "&lt;=" &amp; FX$1, DataRegularSeason20242025!$D$3:$D$1315, $A51)+SUMIFS(DataRegularSeason20242025!$AB$3:$AB$1315,DataRegularSeason20242025!$B$3:$B$1315, "&lt;=" &amp; FX$1, DataRegularSeason20242025!$E$3:$E$1315, $A51)</f>
        <v>7</v>
      </c>
      <c r="FY51">
        <f>SUMIFS(DataRegularSeason20242025!$AA$3:$AA$1315,DataRegularSeason20242025!$B$3:$B$1315, "&lt;=" &amp; FY$1, DataRegularSeason20242025!$D$3:$D$1315, $A51)+SUMIFS(DataRegularSeason20242025!$AB$3:$AB$1315,DataRegularSeason20242025!$B$3:$B$1315, "&lt;=" &amp; FY$1, DataRegularSeason20242025!$E$3:$E$1315, $A51)</f>
        <v>7</v>
      </c>
      <c r="FZ51">
        <f>SUMIFS(DataRegularSeason20242025!$AA$3:$AA$1315,DataRegularSeason20242025!$B$3:$B$1315, "&lt;=" &amp; FZ$1, DataRegularSeason20242025!$D$3:$D$1315, $A51)+SUMIFS(DataRegularSeason20242025!$AB$3:$AB$1315,DataRegularSeason20242025!$B$3:$B$1315, "&lt;=" &amp; FZ$1, DataRegularSeason20242025!$E$3:$E$1315, $A51)</f>
        <v>7</v>
      </c>
      <c r="GA51">
        <f>SUMIFS(DataRegularSeason20242025!$AA$3:$AA$1315,DataRegularSeason20242025!$B$3:$B$1315, "&lt;=" &amp; GA$1, DataRegularSeason20242025!$D$3:$D$1315, $A51)+SUMIFS(DataRegularSeason20242025!$AB$3:$AB$1315,DataRegularSeason20242025!$B$3:$B$1315, "&lt;=" &amp; GA$1, DataRegularSeason20242025!$E$3:$E$1315, $A51)</f>
        <v>7</v>
      </c>
      <c r="GB51">
        <f>SUMIFS(DataRegularSeason20242025!$AA$3:$AA$1315,DataRegularSeason20242025!$B$3:$B$1315, "&lt;=" &amp; GB$1, DataRegularSeason20242025!$D$3:$D$1315, $A51)+SUMIFS(DataRegularSeason20242025!$AB$3:$AB$1315,DataRegularSeason20242025!$B$3:$B$1315, "&lt;=" &amp; GB$1, DataRegularSeason20242025!$E$3:$E$1315, $A51)</f>
        <v>7</v>
      </c>
      <c r="GC51">
        <f>SUMIFS(DataRegularSeason20242025!$AA$3:$AA$1315,DataRegularSeason20242025!$B$3:$B$1315, "&lt;=" &amp; GC$1, DataRegularSeason20242025!$D$3:$D$1315, $A51)+SUMIFS(DataRegularSeason20242025!$AB$3:$AB$1315,DataRegularSeason20242025!$B$3:$B$1315, "&lt;=" &amp; GC$1, DataRegularSeason20242025!$E$3:$E$1315, $A51)</f>
        <v>7</v>
      </c>
      <c r="GD51">
        <f>SUMIFS(DataRegularSeason20242025!$AA$3:$AA$1315,DataRegularSeason20242025!$B$3:$B$1315, "&lt;=" &amp; GD$1, DataRegularSeason20242025!$D$3:$D$1315, $A51)+SUMIFS(DataRegularSeason20242025!$AB$3:$AB$1315,DataRegularSeason20242025!$B$3:$B$1315, "&lt;=" &amp; GD$1, DataRegularSeason20242025!$E$3:$E$1315, $A51)</f>
        <v>7</v>
      </c>
      <c r="GE51">
        <f>SUMIFS(DataRegularSeason20242025!$AA$3:$AA$1315,DataRegularSeason20242025!$B$3:$B$1315, "&lt;=" &amp; GE$1, DataRegularSeason20242025!$D$3:$D$1315, $A51)+SUMIFS(DataRegularSeason20242025!$AB$3:$AB$1315,DataRegularSeason20242025!$B$3:$B$1315, "&lt;=" &amp; GE$1, DataRegularSeason20242025!$E$3:$E$1315, $A51)</f>
        <v>7</v>
      </c>
      <c r="GF51">
        <f>SUMIFS(DataRegularSeason20242025!$AA$3:$AA$1315,DataRegularSeason20242025!$B$3:$B$1315, "&lt;=" &amp; GF$1, DataRegularSeason20242025!$D$3:$D$1315, $A51)+SUMIFS(DataRegularSeason20242025!$AB$3:$AB$1315,DataRegularSeason20242025!$B$3:$B$1315, "&lt;=" &amp; GF$1, DataRegularSeason20242025!$E$3:$E$1315, $A51)</f>
        <v>7</v>
      </c>
      <c r="GG51">
        <f>SUMIFS(DataRegularSeason20242025!$AA$3:$AA$1315,DataRegularSeason20242025!$B$3:$B$1315, "&lt;=" &amp; GG$1, DataRegularSeason20242025!$D$3:$D$1315, $A51)+SUMIFS(DataRegularSeason20242025!$AB$3:$AB$1315,DataRegularSeason20242025!$B$3:$B$1315, "&lt;=" &amp; GG$1, DataRegularSeason20242025!$E$3:$E$1315, $A51)</f>
        <v>7</v>
      </c>
      <c r="GH51">
        <f>SUMIFS(DataRegularSeason20242025!$AA$3:$AA$1315,DataRegularSeason20242025!$B$3:$B$1315, "&lt;=" &amp; GH$1, DataRegularSeason20242025!$D$3:$D$1315, $A51)+SUMIFS(DataRegularSeason20242025!$AB$3:$AB$1315,DataRegularSeason20242025!$B$3:$B$1315, "&lt;=" &amp; GH$1, DataRegularSeason20242025!$E$3:$E$1315, $A51)</f>
        <v>7</v>
      </c>
      <c r="GI51">
        <f>SUMIFS(DataRegularSeason20242025!$AA$3:$AA$1315,DataRegularSeason20242025!$B$3:$B$1315, "&lt;=" &amp; GI$1, DataRegularSeason20242025!$D$3:$D$1315, $A51)+SUMIFS(DataRegularSeason20242025!$AB$3:$AB$1315,DataRegularSeason20242025!$B$3:$B$1315, "&lt;=" &amp; GI$1, DataRegularSeason20242025!$E$3:$E$1315, $A51)</f>
        <v>7</v>
      </c>
      <c r="GJ51">
        <f>SUMIFS(DataRegularSeason20242025!$AA$3:$AA$1315,DataRegularSeason20242025!$B$3:$B$1315, "&lt;=" &amp; GJ$1, DataRegularSeason20242025!$D$3:$D$1315, $A51)+SUMIFS(DataRegularSeason20242025!$AB$3:$AB$1315,DataRegularSeason20242025!$B$3:$B$1315, "&lt;=" &amp; GJ$1, DataRegularSeason20242025!$E$3:$E$1315, $A51)</f>
        <v>7</v>
      </c>
      <c r="GK51">
        <f>SUMIFS(DataRegularSeason20242025!$AA$3:$AA$1315,DataRegularSeason20242025!$B$3:$B$1315, "&lt;=" &amp; GK$1, DataRegularSeason20242025!$D$3:$D$1315, $A51)+SUMIFS(DataRegularSeason20242025!$AB$3:$AB$1315,DataRegularSeason20242025!$B$3:$B$1315, "&lt;=" &amp; GK$1, DataRegularSeason20242025!$E$3:$E$1315, $A51)</f>
        <v>7</v>
      </c>
      <c r="GL51">
        <f>SUMIFS(DataRegularSeason20242025!$AA$3:$AA$1315,DataRegularSeason20242025!$B$3:$B$1315, "&lt;=" &amp; GL$1, DataRegularSeason20242025!$D$3:$D$1315, $A51)+SUMIFS(DataRegularSeason20242025!$AB$3:$AB$1315,DataRegularSeason20242025!$B$3:$B$1315, "&lt;=" &amp; GL$1, DataRegularSeason20242025!$E$3:$E$1315, $A51)</f>
        <v>7</v>
      </c>
      <c r="GM51">
        <f>SUMIFS(DataRegularSeason20242025!$AA$3:$AA$1315,DataRegularSeason20242025!$B$3:$B$1315, "&lt;=" &amp; GM$1, DataRegularSeason20242025!$D$3:$D$1315, $A51)+SUMIFS(DataRegularSeason20242025!$AB$3:$AB$1315,DataRegularSeason20242025!$B$3:$B$1315, "&lt;=" &amp; GM$1, DataRegularSeason20242025!$E$3:$E$1315, $A51)</f>
        <v>7</v>
      </c>
      <c r="GN51">
        <f>SUMIFS(DataRegularSeason20242025!$AA$3:$AA$1315,DataRegularSeason20242025!$B$3:$B$1315, "&lt;=" &amp; GN$1, DataRegularSeason20242025!$D$3:$D$1315, $A51)+SUMIFS(DataRegularSeason20242025!$AB$3:$AB$1315,DataRegularSeason20242025!$B$3:$B$1315, "&lt;=" &amp; GN$1, DataRegularSeason20242025!$E$3:$E$1315, $A51)</f>
        <v>7</v>
      </c>
      <c r="GO51">
        <f>SUMIFS(DataRegularSeason20242025!$AA$3:$AA$1315,DataRegularSeason20242025!$B$3:$B$1315, "&lt;=" &amp; GO$1, DataRegularSeason20242025!$D$3:$D$1315, $A51)+SUMIFS(DataRegularSeason20242025!$AB$3:$AB$1315,DataRegularSeason20242025!$B$3:$B$1315, "&lt;=" &amp; GO$1, DataRegularSeason20242025!$E$3:$E$1315, $A51)</f>
        <v>7</v>
      </c>
      <c r="GP51">
        <f>SUMIFS(DataRegularSeason20242025!$AA$3:$AA$1315,DataRegularSeason20242025!$B$3:$B$1315, "&lt;=" &amp; GP$1, DataRegularSeason20242025!$D$3:$D$1315, $A51)+SUMIFS(DataRegularSeason20242025!$AB$3:$AB$1315,DataRegularSeason20242025!$B$3:$B$1315, "&lt;=" &amp; GP$1, DataRegularSeason20242025!$E$3:$E$1315, $A51)</f>
        <v>7</v>
      </c>
      <c r="GQ51">
        <f>SUMIFS(DataRegularSeason20242025!$AA$3:$AA$1315,DataRegularSeason20242025!$B$3:$B$1315, "&lt;=" &amp; GQ$1, DataRegularSeason20242025!$D$3:$D$1315, $A51)+SUMIFS(DataRegularSeason20242025!$AB$3:$AB$1315,DataRegularSeason20242025!$B$3:$B$1315, "&lt;=" &amp; GQ$1, DataRegularSeason20242025!$E$3:$E$1315, $A51)</f>
        <v>7</v>
      </c>
      <c r="GR51">
        <f>SUMIFS(DataRegularSeason20242025!$AA$3:$AA$1315,DataRegularSeason20242025!$B$3:$B$1315, "&lt;=" &amp; GR$1, DataRegularSeason20242025!$D$3:$D$1315, $A51)+SUMIFS(DataRegularSeason20242025!$AB$3:$AB$1315,DataRegularSeason20242025!$B$3:$B$1315, "&lt;=" &amp; GR$1, DataRegularSeason20242025!$E$3:$E$1315, $A51)</f>
        <v>7</v>
      </c>
      <c r="GS51">
        <f>SUMIFS(DataRegularSeason20242025!$AA$3:$AA$1315,DataRegularSeason20242025!$B$3:$B$1315, "&lt;=" &amp; GS$1, DataRegularSeason20242025!$D$3:$D$1315, $A51)+SUMIFS(DataRegularSeason20242025!$AB$3:$AB$1315,DataRegularSeason20242025!$B$3:$B$1315, "&lt;=" &amp; GS$1, DataRegularSeason20242025!$E$3:$E$1315, $A51)</f>
        <v>7</v>
      </c>
      <c r="GT51">
        <f>SUMIFS(DataRegularSeason20242025!$AA$3:$AA$1315,DataRegularSeason20242025!$B$3:$B$1315, "&lt;=" &amp; GT$1, DataRegularSeason20242025!$D$3:$D$1315, $A51)+SUMIFS(DataRegularSeason20242025!$AB$3:$AB$1315,DataRegularSeason20242025!$B$3:$B$1315, "&lt;=" &amp; GT$1, DataRegularSeason20242025!$E$3:$E$1315, $A51)</f>
        <v>7</v>
      </c>
      <c r="GU51">
        <f>SUMIFS(DataRegularSeason20242025!$AA$3:$AA$1315,DataRegularSeason20242025!$B$3:$B$1315, "&lt;=" &amp; GU$1, DataRegularSeason20242025!$D$3:$D$1315, $A51)+SUMIFS(DataRegularSeason20242025!$AB$3:$AB$1315,DataRegularSeason20242025!$B$3:$B$1315, "&lt;=" &amp; GU$1, DataRegularSeason20242025!$E$3:$E$1315, $A51)</f>
        <v>7</v>
      </c>
    </row>
    <row r="52" spans="1:203" x14ac:dyDescent="0.25">
      <c r="A52" t="s">
        <v>32</v>
      </c>
      <c r="B52" t="s">
        <v>91</v>
      </c>
      <c r="C52" t="s">
        <v>92</v>
      </c>
      <c r="D52">
        <f>SUMIFS(DataRegularSeason20242025!$AA$3:$AA$1315,DataRegularSeason20242025!$B$3:$B$1315, "&lt;=" &amp; D$1, DataRegularSeason20242025!$D$3:$D$1315, $A52)+SUMIFS(DataRegularSeason20242025!$AB$3:$AB$1315,DataRegularSeason20242025!$B$3:$B$1315, "&lt;=" &amp; D$1, DataRegularSeason20242025!$E$3:$E$1315, $A52)</f>
        <v>0</v>
      </c>
      <c r="E52">
        <f>SUMIFS(DataRegularSeason20242025!$AA$3:$AA$1315,DataRegularSeason20242025!$B$3:$B$1315, "&lt;=" &amp; E$1, DataRegularSeason20242025!$D$3:$D$1315, $A52)+SUMIFS(DataRegularSeason20242025!$AB$3:$AB$1315,DataRegularSeason20242025!$B$3:$B$1315, "&lt;=" &amp; E$1, DataRegularSeason20242025!$E$3:$E$1315, $A52)</f>
        <v>0</v>
      </c>
      <c r="F52">
        <f>SUMIFS(DataRegularSeason20242025!$AA$3:$AA$1315,DataRegularSeason20242025!$B$3:$B$1315, "&lt;=" &amp; F$1, DataRegularSeason20242025!$D$3:$D$1315, $A52)+SUMIFS(DataRegularSeason20242025!$AB$3:$AB$1315,DataRegularSeason20242025!$B$3:$B$1315, "&lt;=" &amp; F$1, DataRegularSeason20242025!$E$3:$E$1315, $A52)</f>
        <v>0</v>
      </c>
      <c r="G52">
        <f>SUMIFS(DataRegularSeason20242025!$AA$3:$AA$1315,DataRegularSeason20242025!$B$3:$B$1315, "&lt;=" &amp; G$1, DataRegularSeason20242025!$D$3:$D$1315, $A52)+SUMIFS(DataRegularSeason20242025!$AB$3:$AB$1315,DataRegularSeason20242025!$B$3:$B$1315, "&lt;=" &amp; G$1, DataRegularSeason20242025!$E$3:$E$1315, $A52)</f>
        <v>0</v>
      </c>
      <c r="H52">
        <f>SUMIFS(DataRegularSeason20242025!$AA$3:$AA$1315,DataRegularSeason20242025!$B$3:$B$1315, "&lt;=" &amp; H$1, DataRegularSeason20242025!$D$3:$D$1315, $A52)+SUMIFS(DataRegularSeason20242025!$AB$3:$AB$1315,DataRegularSeason20242025!$B$3:$B$1315, "&lt;=" &amp; H$1, DataRegularSeason20242025!$E$3:$E$1315, $A52)</f>
        <v>0</v>
      </c>
      <c r="I52">
        <f>SUMIFS(DataRegularSeason20242025!$AA$3:$AA$1315,DataRegularSeason20242025!$B$3:$B$1315, "&lt;=" &amp; I$1, DataRegularSeason20242025!$D$3:$D$1315, $A52)+SUMIFS(DataRegularSeason20242025!$AB$3:$AB$1315,DataRegularSeason20242025!$B$3:$B$1315, "&lt;=" &amp; I$1, DataRegularSeason20242025!$E$3:$E$1315, $A52)</f>
        <v>0</v>
      </c>
      <c r="J52">
        <f>SUMIFS(DataRegularSeason20242025!$AA$3:$AA$1315,DataRegularSeason20242025!$B$3:$B$1315, "&lt;=" &amp; J$1, DataRegularSeason20242025!$D$3:$D$1315, $A52)+SUMIFS(DataRegularSeason20242025!$AB$3:$AB$1315,DataRegularSeason20242025!$B$3:$B$1315, "&lt;=" &amp; J$1, DataRegularSeason20242025!$E$3:$E$1315, $A52)</f>
        <v>0</v>
      </c>
      <c r="K52">
        <f>SUMIFS(DataRegularSeason20242025!$AA$3:$AA$1315,DataRegularSeason20242025!$B$3:$B$1315, "&lt;=" &amp; K$1, DataRegularSeason20242025!$D$3:$D$1315, $A52)+SUMIFS(DataRegularSeason20242025!$AB$3:$AB$1315,DataRegularSeason20242025!$B$3:$B$1315, "&lt;=" &amp; K$1, DataRegularSeason20242025!$E$3:$E$1315, $A52)</f>
        <v>0</v>
      </c>
      <c r="L52">
        <f>SUMIFS(DataRegularSeason20242025!$AA$3:$AA$1315,DataRegularSeason20242025!$B$3:$B$1315, "&lt;=" &amp; L$1, DataRegularSeason20242025!$D$3:$D$1315, $A52)+SUMIFS(DataRegularSeason20242025!$AB$3:$AB$1315,DataRegularSeason20242025!$B$3:$B$1315, "&lt;=" &amp; L$1, DataRegularSeason20242025!$E$3:$E$1315, $A52)</f>
        <v>0</v>
      </c>
      <c r="M52">
        <f>SUMIFS(DataRegularSeason20242025!$AA$3:$AA$1315,DataRegularSeason20242025!$B$3:$B$1315, "&lt;=" &amp; M$1, DataRegularSeason20242025!$D$3:$D$1315, $A52)+SUMIFS(DataRegularSeason20242025!$AB$3:$AB$1315,DataRegularSeason20242025!$B$3:$B$1315, "&lt;=" &amp; M$1, DataRegularSeason20242025!$E$3:$E$1315, $A52)</f>
        <v>0</v>
      </c>
      <c r="N52">
        <f>SUMIFS(DataRegularSeason20242025!$AA$3:$AA$1315,DataRegularSeason20242025!$B$3:$B$1315, "&lt;=" &amp; N$1, DataRegularSeason20242025!$D$3:$D$1315, $A52)+SUMIFS(DataRegularSeason20242025!$AB$3:$AB$1315,DataRegularSeason20242025!$B$3:$B$1315, "&lt;=" &amp; N$1, DataRegularSeason20242025!$E$3:$E$1315, $A52)</f>
        <v>0</v>
      </c>
      <c r="O52">
        <f>SUMIFS(DataRegularSeason20242025!$AA$3:$AA$1315,DataRegularSeason20242025!$B$3:$B$1315, "&lt;=" &amp; O$1, DataRegularSeason20242025!$D$3:$D$1315, $A52)+SUMIFS(DataRegularSeason20242025!$AB$3:$AB$1315,DataRegularSeason20242025!$B$3:$B$1315, "&lt;=" &amp; O$1, DataRegularSeason20242025!$E$3:$E$1315, $A52)</f>
        <v>0</v>
      </c>
      <c r="P52">
        <f>SUMIFS(DataRegularSeason20242025!$AA$3:$AA$1315,DataRegularSeason20242025!$B$3:$B$1315, "&lt;=" &amp; P$1, DataRegularSeason20242025!$D$3:$D$1315, $A52)+SUMIFS(DataRegularSeason20242025!$AB$3:$AB$1315,DataRegularSeason20242025!$B$3:$B$1315, "&lt;=" &amp; P$1, DataRegularSeason20242025!$E$3:$E$1315, $A52)</f>
        <v>0</v>
      </c>
      <c r="Q52">
        <f>SUMIFS(DataRegularSeason20242025!$AA$3:$AA$1315,DataRegularSeason20242025!$B$3:$B$1315, "&lt;=" &amp; Q$1, DataRegularSeason20242025!$D$3:$D$1315, $A52)+SUMIFS(DataRegularSeason20242025!$AB$3:$AB$1315,DataRegularSeason20242025!$B$3:$B$1315, "&lt;=" &amp; Q$1, DataRegularSeason20242025!$E$3:$E$1315, $A52)</f>
        <v>2</v>
      </c>
      <c r="R52">
        <f>SUMIFS(DataRegularSeason20242025!$AA$3:$AA$1315,DataRegularSeason20242025!$B$3:$B$1315, "&lt;=" &amp; R$1, DataRegularSeason20242025!$D$3:$D$1315, $A52)+SUMIFS(DataRegularSeason20242025!$AB$3:$AB$1315,DataRegularSeason20242025!$B$3:$B$1315, "&lt;=" &amp; R$1, DataRegularSeason20242025!$E$3:$E$1315, $A52)</f>
        <v>2</v>
      </c>
      <c r="S52">
        <f>SUMIFS(DataRegularSeason20242025!$AA$3:$AA$1315,DataRegularSeason20242025!$B$3:$B$1315, "&lt;=" &amp; S$1, DataRegularSeason20242025!$D$3:$D$1315, $A52)+SUMIFS(DataRegularSeason20242025!$AB$3:$AB$1315,DataRegularSeason20242025!$B$3:$B$1315, "&lt;=" &amp; S$1, DataRegularSeason20242025!$E$3:$E$1315, $A52)</f>
        <v>4</v>
      </c>
      <c r="T52">
        <f>SUMIFS(DataRegularSeason20242025!$AA$3:$AA$1315,DataRegularSeason20242025!$B$3:$B$1315, "&lt;=" &amp; T$1, DataRegularSeason20242025!$D$3:$D$1315, $A52)+SUMIFS(DataRegularSeason20242025!$AB$3:$AB$1315,DataRegularSeason20242025!$B$3:$B$1315, "&lt;=" &amp; T$1, DataRegularSeason20242025!$E$3:$E$1315, $A52)</f>
        <v>4</v>
      </c>
      <c r="U52">
        <f>SUMIFS(DataRegularSeason20242025!$AA$3:$AA$1315,DataRegularSeason20242025!$B$3:$B$1315, "&lt;=" &amp; U$1, DataRegularSeason20242025!$D$3:$D$1315, $A52)+SUMIFS(DataRegularSeason20242025!$AB$3:$AB$1315,DataRegularSeason20242025!$B$3:$B$1315, "&lt;=" &amp; U$1, DataRegularSeason20242025!$E$3:$E$1315, $A52)</f>
        <v>4</v>
      </c>
      <c r="V52">
        <f>SUMIFS(DataRegularSeason20242025!$AA$3:$AA$1315,DataRegularSeason20242025!$B$3:$B$1315, "&lt;=" &amp; V$1, DataRegularSeason20242025!$D$3:$D$1315, $A52)+SUMIFS(DataRegularSeason20242025!$AB$3:$AB$1315,DataRegularSeason20242025!$B$3:$B$1315, "&lt;=" &amp; V$1, DataRegularSeason20242025!$E$3:$E$1315, $A52)</f>
        <v>6</v>
      </c>
      <c r="W52">
        <f>SUMIFS(DataRegularSeason20242025!$AA$3:$AA$1315,DataRegularSeason20242025!$B$3:$B$1315, "&lt;=" &amp; W$1, DataRegularSeason20242025!$D$3:$D$1315, $A52)+SUMIFS(DataRegularSeason20242025!$AB$3:$AB$1315,DataRegularSeason20242025!$B$3:$B$1315, "&lt;=" &amp; W$1, DataRegularSeason20242025!$E$3:$E$1315, $A52)</f>
        <v>6</v>
      </c>
      <c r="X52">
        <f>SUMIFS(DataRegularSeason20242025!$AA$3:$AA$1315,DataRegularSeason20242025!$B$3:$B$1315, "&lt;=" &amp; X$1, DataRegularSeason20242025!$D$3:$D$1315, $A52)+SUMIFS(DataRegularSeason20242025!$AB$3:$AB$1315,DataRegularSeason20242025!$B$3:$B$1315, "&lt;=" &amp; X$1, DataRegularSeason20242025!$E$3:$E$1315, $A52)</f>
        <v>6</v>
      </c>
      <c r="Y52">
        <f>SUMIFS(DataRegularSeason20242025!$AA$3:$AA$1315,DataRegularSeason20242025!$B$3:$B$1315, "&lt;=" &amp; Y$1, DataRegularSeason20242025!$D$3:$D$1315, $A52)+SUMIFS(DataRegularSeason20242025!$AB$3:$AB$1315,DataRegularSeason20242025!$B$3:$B$1315, "&lt;=" &amp; Y$1, DataRegularSeason20242025!$E$3:$E$1315, $A52)</f>
        <v>6</v>
      </c>
      <c r="Z52">
        <f>SUMIFS(DataRegularSeason20242025!$AA$3:$AA$1315,DataRegularSeason20242025!$B$3:$B$1315, "&lt;=" &amp; Z$1, DataRegularSeason20242025!$D$3:$D$1315, $A52)+SUMIFS(DataRegularSeason20242025!$AB$3:$AB$1315,DataRegularSeason20242025!$B$3:$B$1315, "&lt;=" &amp; Z$1, DataRegularSeason20242025!$E$3:$E$1315, $A52)</f>
        <v>6</v>
      </c>
      <c r="AA52">
        <f>SUMIFS(DataRegularSeason20242025!$AA$3:$AA$1315,DataRegularSeason20242025!$B$3:$B$1315, "&lt;=" &amp; AA$1, DataRegularSeason20242025!$D$3:$D$1315, $A52)+SUMIFS(DataRegularSeason20242025!$AB$3:$AB$1315,DataRegularSeason20242025!$B$3:$B$1315, "&lt;=" &amp; AA$1, DataRegularSeason20242025!$E$3:$E$1315, $A52)</f>
        <v>6</v>
      </c>
      <c r="AB52">
        <f>SUMIFS(DataRegularSeason20242025!$AA$3:$AA$1315,DataRegularSeason20242025!$B$3:$B$1315, "&lt;=" &amp; AB$1, DataRegularSeason20242025!$D$3:$D$1315, $A52)+SUMIFS(DataRegularSeason20242025!$AB$3:$AB$1315,DataRegularSeason20242025!$B$3:$B$1315, "&lt;=" &amp; AB$1, DataRegularSeason20242025!$E$3:$E$1315, $A52)</f>
        <v>6</v>
      </c>
      <c r="AC52">
        <f>SUMIFS(DataRegularSeason20242025!$AA$3:$AA$1315,DataRegularSeason20242025!$B$3:$B$1315, "&lt;=" &amp; AC$1, DataRegularSeason20242025!$D$3:$D$1315, $A52)+SUMIFS(DataRegularSeason20242025!$AB$3:$AB$1315,DataRegularSeason20242025!$B$3:$B$1315, "&lt;=" &amp; AC$1, DataRegularSeason20242025!$E$3:$E$1315, $A52)</f>
        <v>6</v>
      </c>
      <c r="AD52">
        <f>SUMIFS(DataRegularSeason20242025!$AA$3:$AA$1315,DataRegularSeason20242025!$B$3:$B$1315, "&lt;=" &amp; AD$1, DataRegularSeason20242025!$D$3:$D$1315, $A52)+SUMIFS(DataRegularSeason20242025!$AB$3:$AB$1315,DataRegularSeason20242025!$B$3:$B$1315, "&lt;=" &amp; AD$1, DataRegularSeason20242025!$E$3:$E$1315, $A52)</f>
        <v>6</v>
      </c>
      <c r="AE52">
        <f>SUMIFS(DataRegularSeason20242025!$AA$3:$AA$1315,DataRegularSeason20242025!$B$3:$B$1315, "&lt;=" &amp; AE$1, DataRegularSeason20242025!$D$3:$D$1315, $A52)+SUMIFS(DataRegularSeason20242025!$AB$3:$AB$1315,DataRegularSeason20242025!$B$3:$B$1315, "&lt;=" &amp; AE$1, DataRegularSeason20242025!$E$3:$E$1315, $A52)</f>
        <v>6</v>
      </c>
      <c r="AF52">
        <f>SUMIFS(DataRegularSeason20242025!$AA$3:$AA$1315,DataRegularSeason20242025!$B$3:$B$1315, "&lt;=" &amp; AF$1, DataRegularSeason20242025!$D$3:$D$1315, $A52)+SUMIFS(DataRegularSeason20242025!$AB$3:$AB$1315,DataRegularSeason20242025!$B$3:$B$1315, "&lt;=" &amp; AF$1, DataRegularSeason20242025!$E$3:$E$1315, $A52)</f>
        <v>6</v>
      </c>
      <c r="AG52">
        <f>SUMIFS(DataRegularSeason20242025!$AA$3:$AA$1315,DataRegularSeason20242025!$B$3:$B$1315, "&lt;=" &amp; AG$1, DataRegularSeason20242025!$D$3:$D$1315, $A52)+SUMIFS(DataRegularSeason20242025!$AB$3:$AB$1315,DataRegularSeason20242025!$B$3:$B$1315, "&lt;=" &amp; AG$1, DataRegularSeason20242025!$E$3:$E$1315, $A52)</f>
        <v>6</v>
      </c>
      <c r="AH52">
        <f>SUMIFS(DataRegularSeason20242025!$AA$3:$AA$1315,DataRegularSeason20242025!$B$3:$B$1315, "&lt;=" &amp; AH$1, DataRegularSeason20242025!$D$3:$D$1315, $A52)+SUMIFS(DataRegularSeason20242025!$AB$3:$AB$1315,DataRegularSeason20242025!$B$3:$B$1315, "&lt;=" &amp; AH$1, DataRegularSeason20242025!$E$3:$E$1315, $A52)</f>
        <v>6</v>
      </c>
      <c r="AI52">
        <f>SUMIFS(DataRegularSeason20242025!$AA$3:$AA$1315,DataRegularSeason20242025!$B$3:$B$1315, "&lt;=" &amp; AI$1, DataRegularSeason20242025!$D$3:$D$1315, $A52)+SUMIFS(DataRegularSeason20242025!$AB$3:$AB$1315,DataRegularSeason20242025!$B$3:$B$1315, "&lt;=" &amp; AI$1, DataRegularSeason20242025!$E$3:$E$1315, $A52)</f>
        <v>6</v>
      </c>
      <c r="AJ52">
        <f>SUMIFS(DataRegularSeason20242025!$AA$3:$AA$1315,DataRegularSeason20242025!$B$3:$B$1315, "&lt;=" &amp; AJ$1, DataRegularSeason20242025!$D$3:$D$1315, $A52)+SUMIFS(DataRegularSeason20242025!$AB$3:$AB$1315,DataRegularSeason20242025!$B$3:$B$1315, "&lt;=" &amp; AJ$1, DataRegularSeason20242025!$E$3:$E$1315, $A52)</f>
        <v>6</v>
      </c>
      <c r="AK52">
        <f>SUMIFS(DataRegularSeason20242025!$AA$3:$AA$1315,DataRegularSeason20242025!$B$3:$B$1315, "&lt;=" &amp; AK$1, DataRegularSeason20242025!$D$3:$D$1315, $A52)+SUMIFS(DataRegularSeason20242025!$AB$3:$AB$1315,DataRegularSeason20242025!$B$3:$B$1315, "&lt;=" &amp; AK$1, DataRegularSeason20242025!$E$3:$E$1315, $A52)</f>
        <v>6</v>
      </c>
      <c r="AL52">
        <f>SUMIFS(DataRegularSeason20242025!$AA$3:$AA$1315,DataRegularSeason20242025!$B$3:$B$1315, "&lt;=" &amp; AL$1, DataRegularSeason20242025!$D$3:$D$1315, $A52)+SUMIFS(DataRegularSeason20242025!$AB$3:$AB$1315,DataRegularSeason20242025!$B$3:$B$1315, "&lt;=" &amp; AL$1, DataRegularSeason20242025!$E$3:$E$1315, $A52)</f>
        <v>6</v>
      </c>
      <c r="AM52">
        <f>SUMIFS(DataRegularSeason20242025!$AA$3:$AA$1315,DataRegularSeason20242025!$B$3:$B$1315, "&lt;=" &amp; AM$1, DataRegularSeason20242025!$D$3:$D$1315, $A52)+SUMIFS(DataRegularSeason20242025!$AB$3:$AB$1315,DataRegularSeason20242025!$B$3:$B$1315, "&lt;=" &amp; AM$1, DataRegularSeason20242025!$E$3:$E$1315, $A52)</f>
        <v>6</v>
      </c>
      <c r="AN52">
        <f>SUMIFS(DataRegularSeason20242025!$AA$3:$AA$1315,DataRegularSeason20242025!$B$3:$B$1315, "&lt;=" &amp; AN$1, DataRegularSeason20242025!$D$3:$D$1315, $A52)+SUMIFS(DataRegularSeason20242025!$AB$3:$AB$1315,DataRegularSeason20242025!$B$3:$B$1315, "&lt;=" &amp; AN$1, DataRegularSeason20242025!$E$3:$E$1315, $A52)</f>
        <v>6</v>
      </c>
      <c r="AO52">
        <f>SUMIFS(DataRegularSeason20242025!$AA$3:$AA$1315,DataRegularSeason20242025!$B$3:$B$1315, "&lt;=" &amp; AO$1, DataRegularSeason20242025!$D$3:$D$1315, $A52)+SUMIFS(DataRegularSeason20242025!$AB$3:$AB$1315,DataRegularSeason20242025!$B$3:$B$1315, "&lt;=" &amp; AO$1, DataRegularSeason20242025!$E$3:$E$1315, $A52)</f>
        <v>6</v>
      </c>
      <c r="AP52">
        <f>SUMIFS(DataRegularSeason20242025!$AA$3:$AA$1315,DataRegularSeason20242025!$B$3:$B$1315, "&lt;=" &amp; AP$1, DataRegularSeason20242025!$D$3:$D$1315, $A52)+SUMIFS(DataRegularSeason20242025!$AB$3:$AB$1315,DataRegularSeason20242025!$B$3:$B$1315, "&lt;=" &amp; AP$1, DataRegularSeason20242025!$E$3:$E$1315, $A52)</f>
        <v>6</v>
      </c>
      <c r="AQ52">
        <f>SUMIFS(DataRegularSeason20242025!$AA$3:$AA$1315,DataRegularSeason20242025!$B$3:$B$1315, "&lt;=" &amp; AQ$1, DataRegularSeason20242025!$D$3:$D$1315, $A52)+SUMIFS(DataRegularSeason20242025!$AB$3:$AB$1315,DataRegularSeason20242025!$B$3:$B$1315, "&lt;=" &amp; AQ$1, DataRegularSeason20242025!$E$3:$E$1315, $A52)</f>
        <v>6</v>
      </c>
      <c r="AR52">
        <f>SUMIFS(DataRegularSeason20242025!$AA$3:$AA$1315,DataRegularSeason20242025!$B$3:$B$1315, "&lt;=" &amp; AR$1, DataRegularSeason20242025!$D$3:$D$1315, $A52)+SUMIFS(DataRegularSeason20242025!$AB$3:$AB$1315,DataRegularSeason20242025!$B$3:$B$1315, "&lt;=" &amp; AR$1, DataRegularSeason20242025!$E$3:$E$1315, $A52)</f>
        <v>6</v>
      </c>
      <c r="AS52">
        <f>SUMIFS(DataRegularSeason20242025!$AA$3:$AA$1315,DataRegularSeason20242025!$B$3:$B$1315, "&lt;=" &amp; AS$1, DataRegularSeason20242025!$D$3:$D$1315, $A52)+SUMIFS(DataRegularSeason20242025!$AB$3:$AB$1315,DataRegularSeason20242025!$B$3:$B$1315, "&lt;=" &amp; AS$1, DataRegularSeason20242025!$E$3:$E$1315, $A52)</f>
        <v>6</v>
      </c>
      <c r="AT52">
        <f>SUMIFS(DataRegularSeason20242025!$AA$3:$AA$1315,DataRegularSeason20242025!$B$3:$B$1315, "&lt;=" &amp; AT$1, DataRegularSeason20242025!$D$3:$D$1315, $A52)+SUMIFS(DataRegularSeason20242025!$AB$3:$AB$1315,DataRegularSeason20242025!$B$3:$B$1315, "&lt;=" &amp; AT$1, DataRegularSeason20242025!$E$3:$E$1315, $A52)</f>
        <v>6</v>
      </c>
      <c r="AU52">
        <f>SUMIFS(DataRegularSeason20242025!$AA$3:$AA$1315,DataRegularSeason20242025!$B$3:$B$1315, "&lt;=" &amp; AU$1, DataRegularSeason20242025!$D$3:$D$1315, $A52)+SUMIFS(DataRegularSeason20242025!$AB$3:$AB$1315,DataRegularSeason20242025!$B$3:$B$1315, "&lt;=" &amp; AU$1, DataRegularSeason20242025!$E$3:$E$1315, $A52)</f>
        <v>6</v>
      </c>
      <c r="AV52">
        <f>SUMIFS(DataRegularSeason20242025!$AA$3:$AA$1315,DataRegularSeason20242025!$B$3:$B$1315, "&lt;=" &amp; AV$1, DataRegularSeason20242025!$D$3:$D$1315, $A52)+SUMIFS(DataRegularSeason20242025!$AB$3:$AB$1315,DataRegularSeason20242025!$B$3:$B$1315, "&lt;=" &amp; AV$1, DataRegularSeason20242025!$E$3:$E$1315, $A52)</f>
        <v>6</v>
      </c>
      <c r="AW52">
        <f>SUMIFS(DataRegularSeason20242025!$AA$3:$AA$1315,DataRegularSeason20242025!$B$3:$B$1315, "&lt;=" &amp; AW$1, DataRegularSeason20242025!$D$3:$D$1315, $A52)+SUMIFS(DataRegularSeason20242025!$AB$3:$AB$1315,DataRegularSeason20242025!$B$3:$B$1315, "&lt;=" &amp; AW$1, DataRegularSeason20242025!$E$3:$E$1315, $A52)</f>
        <v>6</v>
      </c>
      <c r="AX52">
        <f>SUMIFS(DataRegularSeason20242025!$AA$3:$AA$1315,DataRegularSeason20242025!$B$3:$B$1315, "&lt;=" &amp; AX$1, DataRegularSeason20242025!$D$3:$D$1315, $A52)+SUMIFS(DataRegularSeason20242025!$AB$3:$AB$1315,DataRegularSeason20242025!$B$3:$B$1315, "&lt;=" &amp; AX$1, DataRegularSeason20242025!$E$3:$E$1315, $A52)</f>
        <v>6</v>
      </c>
      <c r="AY52">
        <f>SUMIFS(DataRegularSeason20242025!$AA$3:$AA$1315,DataRegularSeason20242025!$B$3:$B$1315, "&lt;=" &amp; AY$1, DataRegularSeason20242025!$D$3:$D$1315, $A52)+SUMIFS(DataRegularSeason20242025!$AB$3:$AB$1315,DataRegularSeason20242025!$B$3:$B$1315, "&lt;=" &amp; AY$1, DataRegularSeason20242025!$E$3:$E$1315, $A52)</f>
        <v>6</v>
      </c>
      <c r="AZ52">
        <f>SUMIFS(DataRegularSeason20242025!$AA$3:$AA$1315,DataRegularSeason20242025!$B$3:$B$1315, "&lt;=" &amp; AZ$1, DataRegularSeason20242025!$D$3:$D$1315, $A52)+SUMIFS(DataRegularSeason20242025!$AB$3:$AB$1315,DataRegularSeason20242025!$B$3:$B$1315, "&lt;=" &amp; AZ$1, DataRegularSeason20242025!$E$3:$E$1315, $A52)</f>
        <v>6</v>
      </c>
      <c r="BA52">
        <f>SUMIFS(DataRegularSeason20242025!$AA$3:$AA$1315,DataRegularSeason20242025!$B$3:$B$1315, "&lt;=" &amp; BA$1, DataRegularSeason20242025!$D$3:$D$1315, $A52)+SUMIFS(DataRegularSeason20242025!$AB$3:$AB$1315,DataRegularSeason20242025!$B$3:$B$1315, "&lt;=" &amp; BA$1, DataRegularSeason20242025!$E$3:$E$1315, $A52)</f>
        <v>6</v>
      </c>
      <c r="BB52">
        <f>SUMIFS(DataRegularSeason20242025!$AA$3:$AA$1315,DataRegularSeason20242025!$B$3:$B$1315, "&lt;=" &amp; BB$1, DataRegularSeason20242025!$D$3:$D$1315, $A52)+SUMIFS(DataRegularSeason20242025!$AB$3:$AB$1315,DataRegularSeason20242025!$B$3:$B$1315, "&lt;=" &amp; BB$1, DataRegularSeason20242025!$E$3:$E$1315, $A52)</f>
        <v>6</v>
      </c>
      <c r="BC52">
        <f>SUMIFS(DataRegularSeason20242025!$AA$3:$AA$1315,DataRegularSeason20242025!$B$3:$B$1315, "&lt;=" &amp; BC$1, DataRegularSeason20242025!$D$3:$D$1315, $A52)+SUMIFS(DataRegularSeason20242025!$AB$3:$AB$1315,DataRegularSeason20242025!$B$3:$B$1315, "&lt;=" &amp; BC$1, DataRegularSeason20242025!$E$3:$E$1315, $A52)</f>
        <v>6</v>
      </c>
      <c r="BD52">
        <f>SUMIFS(DataRegularSeason20242025!$AA$3:$AA$1315,DataRegularSeason20242025!$B$3:$B$1315, "&lt;=" &amp; BD$1, DataRegularSeason20242025!$D$3:$D$1315, $A52)+SUMIFS(DataRegularSeason20242025!$AB$3:$AB$1315,DataRegularSeason20242025!$B$3:$B$1315, "&lt;=" &amp; BD$1, DataRegularSeason20242025!$E$3:$E$1315, $A52)</f>
        <v>6</v>
      </c>
      <c r="BE52">
        <f>SUMIFS(DataRegularSeason20242025!$AA$3:$AA$1315,DataRegularSeason20242025!$B$3:$B$1315, "&lt;=" &amp; BE$1, DataRegularSeason20242025!$D$3:$D$1315, $A52)+SUMIFS(DataRegularSeason20242025!$AB$3:$AB$1315,DataRegularSeason20242025!$B$3:$B$1315, "&lt;=" &amp; BE$1, DataRegularSeason20242025!$E$3:$E$1315, $A52)</f>
        <v>6</v>
      </c>
      <c r="BF52">
        <f>SUMIFS(DataRegularSeason20242025!$AA$3:$AA$1315,DataRegularSeason20242025!$B$3:$B$1315, "&lt;=" &amp; BF$1, DataRegularSeason20242025!$D$3:$D$1315, $A52)+SUMIFS(DataRegularSeason20242025!$AB$3:$AB$1315,DataRegularSeason20242025!$B$3:$B$1315, "&lt;=" &amp; BF$1, DataRegularSeason20242025!$E$3:$E$1315, $A52)</f>
        <v>6</v>
      </c>
      <c r="BG52">
        <f>SUMIFS(DataRegularSeason20242025!$AA$3:$AA$1315,DataRegularSeason20242025!$B$3:$B$1315, "&lt;=" &amp; BG$1, DataRegularSeason20242025!$D$3:$D$1315, $A52)+SUMIFS(DataRegularSeason20242025!$AB$3:$AB$1315,DataRegularSeason20242025!$B$3:$B$1315, "&lt;=" &amp; BG$1, DataRegularSeason20242025!$E$3:$E$1315, $A52)</f>
        <v>6</v>
      </c>
      <c r="BH52">
        <f>SUMIFS(DataRegularSeason20242025!$AA$3:$AA$1315,DataRegularSeason20242025!$B$3:$B$1315, "&lt;=" &amp; BH$1, DataRegularSeason20242025!$D$3:$D$1315, $A52)+SUMIFS(DataRegularSeason20242025!$AB$3:$AB$1315,DataRegularSeason20242025!$B$3:$B$1315, "&lt;=" &amp; BH$1, DataRegularSeason20242025!$E$3:$E$1315, $A52)</f>
        <v>6</v>
      </c>
      <c r="BI52">
        <f>SUMIFS(DataRegularSeason20242025!$AA$3:$AA$1315,DataRegularSeason20242025!$B$3:$B$1315, "&lt;=" &amp; BI$1, DataRegularSeason20242025!$D$3:$D$1315, $A52)+SUMIFS(DataRegularSeason20242025!$AB$3:$AB$1315,DataRegularSeason20242025!$B$3:$B$1315, "&lt;=" &amp; BI$1, DataRegularSeason20242025!$E$3:$E$1315, $A52)</f>
        <v>6</v>
      </c>
      <c r="BJ52">
        <f>SUMIFS(DataRegularSeason20242025!$AA$3:$AA$1315,DataRegularSeason20242025!$B$3:$B$1315, "&lt;=" &amp; BJ$1, DataRegularSeason20242025!$D$3:$D$1315, $A52)+SUMIFS(DataRegularSeason20242025!$AB$3:$AB$1315,DataRegularSeason20242025!$B$3:$B$1315, "&lt;=" &amp; BJ$1, DataRegularSeason20242025!$E$3:$E$1315, $A52)</f>
        <v>6</v>
      </c>
      <c r="BK52">
        <f>SUMIFS(DataRegularSeason20242025!$AA$3:$AA$1315,DataRegularSeason20242025!$B$3:$B$1315, "&lt;=" &amp; BK$1, DataRegularSeason20242025!$D$3:$D$1315, $A52)+SUMIFS(DataRegularSeason20242025!$AB$3:$AB$1315,DataRegularSeason20242025!$B$3:$B$1315, "&lt;=" &amp; BK$1, DataRegularSeason20242025!$E$3:$E$1315, $A52)</f>
        <v>6</v>
      </c>
      <c r="BL52">
        <f>SUMIFS(DataRegularSeason20242025!$AA$3:$AA$1315,DataRegularSeason20242025!$B$3:$B$1315, "&lt;=" &amp; BL$1, DataRegularSeason20242025!$D$3:$D$1315, $A52)+SUMIFS(DataRegularSeason20242025!$AB$3:$AB$1315,DataRegularSeason20242025!$B$3:$B$1315, "&lt;=" &amp; BL$1, DataRegularSeason20242025!$E$3:$E$1315, $A52)</f>
        <v>6</v>
      </c>
      <c r="BM52">
        <f>SUMIFS(DataRegularSeason20242025!$AA$3:$AA$1315,DataRegularSeason20242025!$B$3:$B$1315, "&lt;=" &amp; BM$1, DataRegularSeason20242025!$D$3:$D$1315, $A52)+SUMIFS(DataRegularSeason20242025!$AB$3:$AB$1315,DataRegularSeason20242025!$B$3:$B$1315, "&lt;=" &amp; BM$1, DataRegularSeason20242025!$E$3:$E$1315, $A52)</f>
        <v>6</v>
      </c>
      <c r="BN52">
        <f>SUMIFS(DataRegularSeason20242025!$AA$3:$AA$1315,DataRegularSeason20242025!$B$3:$B$1315, "&lt;=" &amp; BN$1, DataRegularSeason20242025!$D$3:$D$1315, $A52)+SUMIFS(DataRegularSeason20242025!$AB$3:$AB$1315,DataRegularSeason20242025!$B$3:$B$1315, "&lt;=" &amp; BN$1, DataRegularSeason20242025!$E$3:$E$1315, $A52)</f>
        <v>6</v>
      </c>
      <c r="BO52">
        <f>SUMIFS(DataRegularSeason20242025!$AA$3:$AA$1315,DataRegularSeason20242025!$B$3:$B$1315, "&lt;=" &amp; BO$1, DataRegularSeason20242025!$D$3:$D$1315, $A52)+SUMIFS(DataRegularSeason20242025!$AB$3:$AB$1315,DataRegularSeason20242025!$B$3:$B$1315, "&lt;=" &amp; BO$1, DataRegularSeason20242025!$E$3:$E$1315, $A52)</f>
        <v>6</v>
      </c>
      <c r="BP52">
        <f>SUMIFS(DataRegularSeason20242025!$AA$3:$AA$1315,DataRegularSeason20242025!$B$3:$B$1315, "&lt;=" &amp; BP$1, DataRegularSeason20242025!$D$3:$D$1315, $A52)+SUMIFS(DataRegularSeason20242025!$AB$3:$AB$1315,DataRegularSeason20242025!$B$3:$B$1315, "&lt;=" &amp; BP$1, DataRegularSeason20242025!$E$3:$E$1315, $A52)</f>
        <v>6</v>
      </c>
      <c r="BQ52">
        <f>SUMIFS(DataRegularSeason20242025!$AA$3:$AA$1315,DataRegularSeason20242025!$B$3:$B$1315, "&lt;=" &amp; BQ$1, DataRegularSeason20242025!$D$3:$D$1315, $A52)+SUMIFS(DataRegularSeason20242025!$AB$3:$AB$1315,DataRegularSeason20242025!$B$3:$B$1315, "&lt;=" &amp; BQ$1, DataRegularSeason20242025!$E$3:$E$1315, $A52)</f>
        <v>6</v>
      </c>
      <c r="BR52">
        <f>SUMIFS(DataRegularSeason20242025!$AA$3:$AA$1315,DataRegularSeason20242025!$B$3:$B$1315, "&lt;=" &amp; BR$1, DataRegularSeason20242025!$D$3:$D$1315, $A52)+SUMIFS(DataRegularSeason20242025!$AB$3:$AB$1315,DataRegularSeason20242025!$B$3:$B$1315, "&lt;=" &amp; BR$1, DataRegularSeason20242025!$E$3:$E$1315, $A52)</f>
        <v>6</v>
      </c>
      <c r="BS52">
        <f>SUMIFS(DataRegularSeason20242025!$AA$3:$AA$1315,DataRegularSeason20242025!$B$3:$B$1315, "&lt;=" &amp; BS$1, DataRegularSeason20242025!$D$3:$D$1315, $A52)+SUMIFS(DataRegularSeason20242025!$AB$3:$AB$1315,DataRegularSeason20242025!$B$3:$B$1315, "&lt;=" &amp; BS$1, DataRegularSeason20242025!$E$3:$E$1315, $A52)</f>
        <v>6</v>
      </c>
      <c r="BT52">
        <f>SUMIFS(DataRegularSeason20242025!$AA$3:$AA$1315,DataRegularSeason20242025!$B$3:$B$1315, "&lt;=" &amp; BT$1, DataRegularSeason20242025!$D$3:$D$1315, $A52)+SUMIFS(DataRegularSeason20242025!$AB$3:$AB$1315,DataRegularSeason20242025!$B$3:$B$1315, "&lt;=" &amp; BT$1, DataRegularSeason20242025!$E$3:$E$1315, $A52)</f>
        <v>6</v>
      </c>
      <c r="BU52">
        <f>SUMIFS(DataRegularSeason20242025!$AA$3:$AA$1315,DataRegularSeason20242025!$B$3:$B$1315, "&lt;=" &amp; BU$1, DataRegularSeason20242025!$D$3:$D$1315, $A52)+SUMIFS(DataRegularSeason20242025!$AB$3:$AB$1315,DataRegularSeason20242025!$B$3:$B$1315, "&lt;=" &amp; BU$1, DataRegularSeason20242025!$E$3:$E$1315, $A52)</f>
        <v>6</v>
      </c>
      <c r="BV52">
        <f>SUMIFS(DataRegularSeason20242025!$AA$3:$AA$1315,DataRegularSeason20242025!$B$3:$B$1315, "&lt;=" &amp; BV$1, DataRegularSeason20242025!$D$3:$D$1315, $A52)+SUMIFS(DataRegularSeason20242025!$AB$3:$AB$1315,DataRegularSeason20242025!$B$3:$B$1315, "&lt;=" &amp; BV$1, DataRegularSeason20242025!$E$3:$E$1315, $A52)</f>
        <v>6</v>
      </c>
      <c r="BW52">
        <f>SUMIFS(DataRegularSeason20242025!$AA$3:$AA$1315,DataRegularSeason20242025!$B$3:$B$1315, "&lt;=" &amp; BW$1, DataRegularSeason20242025!$D$3:$D$1315, $A52)+SUMIFS(DataRegularSeason20242025!$AB$3:$AB$1315,DataRegularSeason20242025!$B$3:$B$1315, "&lt;=" &amp; BW$1, DataRegularSeason20242025!$E$3:$E$1315, $A52)</f>
        <v>6</v>
      </c>
      <c r="BX52">
        <f>SUMIFS(DataRegularSeason20242025!$AA$3:$AA$1315,DataRegularSeason20242025!$B$3:$B$1315, "&lt;=" &amp; BX$1, DataRegularSeason20242025!$D$3:$D$1315, $A52)+SUMIFS(DataRegularSeason20242025!$AB$3:$AB$1315,DataRegularSeason20242025!$B$3:$B$1315, "&lt;=" &amp; BX$1, DataRegularSeason20242025!$E$3:$E$1315, $A52)</f>
        <v>6</v>
      </c>
      <c r="BY52">
        <f>SUMIFS(DataRegularSeason20242025!$AA$3:$AA$1315,DataRegularSeason20242025!$B$3:$B$1315, "&lt;=" &amp; BY$1, DataRegularSeason20242025!$D$3:$D$1315, $A52)+SUMIFS(DataRegularSeason20242025!$AB$3:$AB$1315,DataRegularSeason20242025!$B$3:$B$1315, "&lt;=" &amp; BY$1, DataRegularSeason20242025!$E$3:$E$1315, $A52)</f>
        <v>6</v>
      </c>
      <c r="BZ52">
        <f>SUMIFS(DataRegularSeason20242025!$AA$3:$AA$1315,DataRegularSeason20242025!$B$3:$B$1315, "&lt;=" &amp; BZ$1, DataRegularSeason20242025!$D$3:$D$1315, $A52)+SUMIFS(DataRegularSeason20242025!$AB$3:$AB$1315,DataRegularSeason20242025!$B$3:$B$1315, "&lt;=" &amp; BZ$1, DataRegularSeason20242025!$E$3:$E$1315, $A52)</f>
        <v>6</v>
      </c>
      <c r="CA52">
        <f>SUMIFS(DataRegularSeason20242025!$AA$3:$AA$1315,DataRegularSeason20242025!$B$3:$B$1315, "&lt;=" &amp; CA$1, DataRegularSeason20242025!$D$3:$D$1315, $A52)+SUMIFS(DataRegularSeason20242025!$AB$3:$AB$1315,DataRegularSeason20242025!$B$3:$B$1315, "&lt;=" &amp; CA$1, DataRegularSeason20242025!$E$3:$E$1315, $A52)</f>
        <v>6</v>
      </c>
      <c r="CB52">
        <f>SUMIFS(DataRegularSeason20242025!$AA$3:$AA$1315,DataRegularSeason20242025!$B$3:$B$1315, "&lt;=" &amp; CB$1, DataRegularSeason20242025!$D$3:$D$1315, $A52)+SUMIFS(DataRegularSeason20242025!$AB$3:$AB$1315,DataRegularSeason20242025!$B$3:$B$1315, "&lt;=" &amp; CB$1, DataRegularSeason20242025!$E$3:$E$1315, $A52)</f>
        <v>6</v>
      </c>
      <c r="CC52">
        <f>SUMIFS(DataRegularSeason20242025!$AA$3:$AA$1315,DataRegularSeason20242025!$B$3:$B$1315, "&lt;=" &amp; CC$1, DataRegularSeason20242025!$D$3:$D$1315, $A52)+SUMIFS(DataRegularSeason20242025!$AB$3:$AB$1315,DataRegularSeason20242025!$B$3:$B$1315, "&lt;=" &amp; CC$1, DataRegularSeason20242025!$E$3:$E$1315, $A52)</f>
        <v>6</v>
      </c>
      <c r="CD52">
        <f>SUMIFS(DataRegularSeason20242025!$AA$3:$AA$1315,DataRegularSeason20242025!$B$3:$B$1315, "&lt;=" &amp; CD$1, DataRegularSeason20242025!$D$3:$D$1315, $A52)+SUMIFS(DataRegularSeason20242025!$AB$3:$AB$1315,DataRegularSeason20242025!$B$3:$B$1315, "&lt;=" &amp; CD$1, DataRegularSeason20242025!$E$3:$E$1315, $A52)</f>
        <v>6</v>
      </c>
      <c r="CE52">
        <f>SUMIFS(DataRegularSeason20242025!$AA$3:$AA$1315,DataRegularSeason20242025!$B$3:$B$1315, "&lt;=" &amp; CE$1, DataRegularSeason20242025!$D$3:$D$1315, $A52)+SUMIFS(DataRegularSeason20242025!$AB$3:$AB$1315,DataRegularSeason20242025!$B$3:$B$1315, "&lt;=" &amp; CE$1, DataRegularSeason20242025!$E$3:$E$1315, $A52)</f>
        <v>6</v>
      </c>
      <c r="CF52">
        <f>SUMIFS(DataRegularSeason20242025!$AA$3:$AA$1315,DataRegularSeason20242025!$B$3:$B$1315, "&lt;=" &amp; CF$1, DataRegularSeason20242025!$D$3:$D$1315, $A52)+SUMIFS(DataRegularSeason20242025!$AB$3:$AB$1315,DataRegularSeason20242025!$B$3:$B$1315, "&lt;=" &amp; CF$1, DataRegularSeason20242025!$E$3:$E$1315, $A52)</f>
        <v>6</v>
      </c>
      <c r="CG52">
        <f>SUMIFS(DataRegularSeason20242025!$AA$3:$AA$1315,DataRegularSeason20242025!$B$3:$B$1315, "&lt;=" &amp; CG$1, DataRegularSeason20242025!$D$3:$D$1315, $A52)+SUMIFS(DataRegularSeason20242025!$AB$3:$AB$1315,DataRegularSeason20242025!$B$3:$B$1315, "&lt;=" &amp; CG$1, DataRegularSeason20242025!$E$3:$E$1315, $A52)</f>
        <v>6</v>
      </c>
      <c r="CH52">
        <f>SUMIFS(DataRegularSeason20242025!$AA$3:$AA$1315,DataRegularSeason20242025!$B$3:$B$1315, "&lt;=" &amp; CH$1, DataRegularSeason20242025!$D$3:$D$1315, $A52)+SUMIFS(DataRegularSeason20242025!$AB$3:$AB$1315,DataRegularSeason20242025!$B$3:$B$1315, "&lt;=" &amp; CH$1, DataRegularSeason20242025!$E$3:$E$1315, $A52)</f>
        <v>6</v>
      </c>
      <c r="CI52">
        <f>SUMIFS(DataRegularSeason20242025!$AA$3:$AA$1315,DataRegularSeason20242025!$B$3:$B$1315, "&lt;=" &amp; CI$1, DataRegularSeason20242025!$D$3:$D$1315, $A52)+SUMIFS(DataRegularSeason20242025!$AB$3:$AB$1315,DataRegularSeason20242025!$B$3:$B$1315, "&lt;=" &amp; CI$1, DataRegularSeason20242025!$E$3:$E$1315, $A52)</f>
        <v>6</v>
      </c>
      <c r="CJ52">
        <f>SUMIFS(DataRegularSeason20242025!$AA$3:$AA$1315,DataRegularSeason20242025!$B$3:$B$1315, "&lt;=" &amp; CJ$1, DataRegularSeason20242025!$D$3:$D$1315, $A52)+SUMIFS(DataRegularSeason20242025!$AB$3:$AB$1315,DataRegularSeason20242025!$B$3:$B$1315, "&lt;=" &amp; CJ$1, DataRegularSeason20242025!$E$3:$E$1315, $A52)</f>
        <v>6</v>
      </c>
      <c r="CK52">
        <f>SUMIFS(DataRegularSeason20242025!$AA$3:$AA$1315,DataRegularSeason20242025!$B$3:$B$1315, "&lt;=" &amp; CK$1, DataRegularSeason20242025!$D$3:$D$1315, $A52)+SUMIFS(DataRegularSeason20242025!$AB$3:$AB$1315,DataRegularSeason20242025!$B$3:$B$1315, "&lt;=" &amp; CK$1, DataRegularSeason20242025!$E$3:$E$1315, $A52)</f>
        <v>6</v>
      </c>
      <c r="CL52">
        <f>SUMIFS(DataRegularSeason20242025!$AA$3:$AA$1315,DataRegularSeason20242025!$B$3:$B$1315, "&lt;=" &amp; CL$1, DataRegularSeason20242025!$D$3:$D$1315, $A52)+SUMIFS(DataRegularSeason20242025!$AB$3:$AB$1315,DataRegularSeason20242025!$B$3:$B$1315, "&lt;=" &amp; CL$1, DataRegularSeason20242025!$E$3:$E$1315, $A52)</f>
        <v>6</v>
      </c>
      <c r="CM52">
        <f>SUMIFS(DataRegularSeason20242025!$AA$3:$AA$1315,DataRegularSeason20242025!$B$3:$B$1315, "&lt;=" &amp; CM$1, DataRegularSeason20242025!$D$3:$D$1315, $A52)+SUMIFS(DataRegularSeason20242025!$AB$3:$AB$1315,DataRegularSeason20242025!$B$3:$B$1315, "&lt;=" &amp; CM$1, DataRegularSeason20242025!$E$3:$E$1315, $A52)</f>
        <v>6</v>
      </c>
      <c r="CN52">
        <f>SUMIFS(DataRegularSeason20242025!$AA$3:$AA$1315,DataRegularSeason20242025!$B$3:$B$1315, "&lt;=" &amp; CN$1, DataRegularSeason20242025!$D$3:$D$1315, $A52)+SUMIFS(DataRegularSeason20242025!$AB$3:$AB$1315,DataRegularSeason20242025!$B$3:$B$1315, "&lt;=" &amp; CN$1, DataRegularSeason20242025!$E$3:$E$1315, $A52)</f>
        <v>6</v>
      </c>
      <c r="CO52">
        <f>SUMIFS(DataRegularSeason20242025!$AA$3:$AA$1315,DataRegularSeason20242025!$B$3:$B$1315, "&lt;=" &amp; CO$1, DataRegularSeason20242025!$D$3:$D$1315, $A52)+SUMIFS(DataRegularSeason20242025!$AB$3:$AB$1315,DataRegularSeason20242025!$B$3:$B$1315, "&lt;=" &amp; CO$1, DataRegularSeason20242025!$E$3:$E$1315, $A52)</f>
        <v>6</v>
      </c>
      <c r="CP52">
        <f>SUMIFS(DataRegularSeason20242025!$AA$3:$AA$1315,DataRegularSeason20242025!$B$3:$B$1315, "&lt;=" &amp; CP$1, DataRegularSeason20242025!$D$3:$D$1315, $A52)+SUMIFS(DataRegularSeason20242025!$AB$3:$AB$1315,DataRegularSeason20242025!$B$3:$B$1315, "&lt;=" &amp; CP$1, DataRegularSeason20242025!$E$3:$E$1315, $A52)</f>
        <v>6</v>
      </c>
      <c r="CQ52">
        <f>SUMIFS(DataRegularSeason20242025!$AA$3:$AA$1315,DataRegularSeason20242025!$B$3:$B$1315, "&lt;=" &amp; CQ$1, DataRegularSeason20242025!$D$3:$D$1315, $A52)+SUMIFS(DataRegularSeason20242025!$AB$3:$AB$1315,DataRegularSeason20242025!$B$3:$B$1315, "&lt;=" &amp; CQ$1, DataRegularSeason20242025!$E$3:$E$1315, $A52)</f>
        <v>6</v>
      </c>
      <c r="CR52">
        <f>SUMIFS(DataRegularSeason20242025!$AA$3:$AA$1315,DataRegularSeason20242025!$B$3:$B$1315, "&lt;=" &amp; CR$1, DataRegularSeason20242025!$D$3:$D$1315, $A52)+SUMIFS(DataRegularSeason20242025!$AB$3:$AB$1315,DataRegularSeason20242025!$B$3:$B$1315, "&lt;=" &amp; CR$1, DataRegularSeason20242025!$E$3:$E$1315, $A52)</f>
        <v>6</v>
      </c>
      <c r="CS52">
        <f>SUMIFS(DataRegularSeason20242025!$AA$3:$AA$1315,DataRegularSeason20242025!$B$3:$B$1315, "&lt;=" &amp; CS$1, DataRegularSeason20242025!$D$3:$D$1315, $A52)+SUMIFS(DataRegularSeason20242025!$AB$3:$AB$1315,DataRegularSeason20242025!$B$3:$B$1315, "&lt;=" &amp; CS$1, DataRegularSeason20242025!$E$3:$E$1315, $A52)</f>
        <v>6</v>
      </c>
      <c r="CT52">
        <f>SUMIFS(DataRegularSeason20242025!$AA$3:$AA$1315,DataRegularSeason20242025!$B$3:$B$1315, "&lt;=" &amp; CT$1, DataRegularSeason20242025!$D$3:$D$1315, $A52)+SUMIFS(DataRegularSeason20242025!$AB$3:$AB$1315,DataRegularSeason20242025!$B$3:$B$1315, "&lt;=" &amp; CT$1, DataRegularSeason20242025!$E$3:$E$1315, $A52)</f>
        <v>6</v>
      </c>
      <c r="CU52">
        <f>SUMIFS(DataRegularSeason20242025!$AA$3:$AA$1315,DataRegularSeason20242025!$B$3:$B$1315, "&lt;=" &amp; CU$1, DataRegularSeason20242025!$D$3:$D$1315, $A52)+SUMIFS(DataRegularSeason20242025!$AB$3:$AB$1315,DataRegularSeason20242025!$B$3:$B$1315, "&lt;=" &amp; CU$1, DataRegularSeason20242025!$E$3:$E$1315, $A52)</f>
        <v>6</v>
      </c>
      <c r="CV52">
        <f>SUMIFS(DataRegularSeason20242025!$AA$3:$AA$1315,DataRegularSeason20242025!$B$3:$B$1315, "&lt;=" &amp; CV$1, DataRegularSeason20242025!$D$3:$D$1315, $A52)+SUMIFS(DataRegularSeason20242025!$AB$3:$AB$1315,DataRegularSeason20242025!$B$3:$B$1315, "&lt;=" &amp; CV$1, DataRegularSeason20242025!$E$3:$E$1315, $A52)</f>
        <v>6</v>
      </c>
      <c r="CW52">
        <f>SUMIFS(DataRegularSeason20242025!$AA$3:$AA$1315,DataRegularSeason20242025!$B$3:$B$1315, "&lt;=" &amp; CW$1, DataRegularSeason20242025!$D$3:$D$1315, $A52)+SUMIFS(DataRegularSeason20242025!$AB$3:$AB$1315,DataRegularSeason20242025!$B$3:$B$1315, "&lt;=" &amp; CW$1, DataRegularSeason20242025!$E$3:$E$1315, $A52)</f>
        <v>6</v>
      </c>
      <c r="CX52">
        <f>SUMIFS(DataRegularSeason20242025!$AA$3:$AA$1315,DataRegularSeason20242025!$B$3:$B$1315, "&lt;=" &amp; CX$1, DataRegularSeason20242025!$D$3:$D$1315, $A52)+SUMIFS(DataRegularSeason20242025!$AB$3:$AB$1315,DataRegularSeason20242025!$B$3:$B$1315, "&lt;=" &amp; CX$1, DataRegularSeason20242025!$E$3:$E$1315, $A52)</f>
        <v>6</v>
      </c>
      <c r="CY52">
        <f>SUMIFS(DataRegularSeason20242025!$AA$3:$AA$1315,DataRegularSeason20242025!$B$3:$B$1315, "&lt;=" &amp; CY$1, DataRegularSeason20242025!$D$3:$D$1315, $A52)+SUMIFS(DataRegularSeason20242025!$AB$3:$AB$1315,DataRegularSeason20242025!$B$3:$B$1315, "&lt;=" &amp; CY$1, DataRegularSeason20242025!$E$3:$E$1315, $A52)</f>
        <v>6</v>
      </c>
      <c r="CZ52">
        <f>SUMIFS(DataRegularSeason20242025!$AA$3:$AA$1315,DataRegularSeason20242025!$B$3:$B$1315, "&lt;=" &amp; CZ$1, DataRegularSeason20242025!$D$3:$D$1315, $A52)+SUMIFS(DataRegularSeason20242025!$AB$3:$AB$1315,DataRegularSeason20242025!$B$3:$B$1315, "&lt;=" &amp; CZ$1, DataRegularSeason20242025!$E$3:$E$1315, $A52)</f>
        <v>6</v>
      </c>
      <c r="DA52">
        <f>SUMIFS(DataRegularSeason20242025!$AA$3:$AA$1315,DataRegularSeason20242025!$B$3:$B$1315, "&lt;=" &amp; DA$1, DataRegularSeason20242025!$D$3:$D$1315, $A52)+SUMIFS(DataRegularSeason20242025!$AB$3:$AB$1315,DataRegularSeason20242025!$B$3:$B$1315, "&lt;=" &amp; DA$1, DataRegularSeason20242025!$E$3:$E$1315, $A52)</f>
        <v>6</v>
      </c>
      <c r="DB52">
        <f>SUMIFS(DataRegularSeason20242025!$AA$3:$AA$1315,DataRegularSeason20242025!$B$3:$B$1315, "&lt;=" &amp; DB$1, DataRegularSeason20242025!$D$3:$D$1315, $A52)+SUMIFS(DataRegularSeason20242025!$AB$3:$AB$1315,DataRegularSeason20242025!$B$3:$B$1315, "&lt;=" &amp; DB$1, DataRegularSeason20242025!$E$3:$E$1315, $A52)</f>
        <v>6</v>
      </c>
      <c r="DC52">
        <f>SUMIFS(DataRegularSeason20242025!$AA$3:$AA$1315,DataRegularSeason20242025!$B$3:$B$1315, "&lt;=" &amp; DC$1, DataRegularSeason20242025!$D$3:$D$1315, $A52)+SUMIFS(DataRegularSeason20242025!$AB$3:$AB$1315,DataRegularSeason20242025!$B$3:$B$1315, "&lt;=" &amp; DC$1, DataRegularSeason20242025!$E$3:$E$1315, $A52)</f>
        <v>6</v>
      </c>
      <c r="DD52">
        <f>SUMIFS(DataRegularSeason20242025!$AA$3:$AA$1315,DataRegularSeason20242025!$B$3:$B$1315, "&lt;=" &amp; DD$1, DataRegularSeason20242025!$D$3:$D$1315, $A52)+SUMIFS(DataRegularSeason20242025!$AB$3:$AB$1315,DataRegularSeason20242025!$B$3:$B$1315, "&lt;=" &amp; DD$1, DataRegularSeason20242025!$E$3:$E$1315, $A52)</f>
        <v>6</v>
      </c>
      <c r="DE52">
        <f>SUMIFS(DataRegularSeason20242025!$AA$3:$AA$1315,DataRegularSeason20242025!$B$3:$B$1315, "&lt;=" &amp; DE$1, DataRegularSeason20242025!$D$3:$D$1315, $A52)+SUMIFS(DataRegularSeason20242025!$AB$3:$AB$1315,DataRegularSeason20242025!$B$3:$B$1315, "&lt;=" &amp; DE$1, DataRegularSeason20242025!$E$3:$E$1315, $A52)</f>
        <v>6</v>
      </c>
      <c r="DF52">
        <f>SUMIFS(DataRegularSeason20242025!$AA$3:$AA$1315,DataRegularSeason20242025!$B$3:$B$1315, "&lt;=" &amp; DF$1, DataRegularSeason20242025!$D$3:$D$1315, $A52)+SUMIFS(DataRegularSeason20242025!$AB$3:$AB$1315,DataRegularSeason20242025!$B$3:$B$1315, "&lt;=" &amp; DF$1, DataRegularSeason20242025!$E$3:$E$1315, $A52)</f>
        <v>6</v>
      </c>
      <c r="DG52">
        <f>SUMIFS(DataRegularSeason20242025!$AA$3:$AA$1315,DataRegularSeason20242025!$B$3:$B$1315, "&lt;=" &amp; DG$1, DataRegularSeason20242025!$D$3:$D$1315, $A52)+SUMIFS(DataRegularSeason20242025!$AB$3:$AB$1315,DataRegularSeason20242025!$B$3:$B$1315, "&lt;=" &amp; DG$1, DataRegularSeason20242025!$E$3:$E$1315, $A52)</f>
        <v>6</v>
      </c>
      <c r="DH52">
        <f>SUMIFS(DataRegularSeason20242025!$AA$3:$AA$1315,DataRegularSeason20242025!$B$3:$B$1315, "&lt;=" &amp; DH$1, DataRegularSeason20242025!$D$3:$D$1315, $A52)+SUMIFS(DataRegularSeason20242025!$AB$3:$AB$1315,DataRegularSeason20242025!$B$3:$B$1315, "&lt;=" &amp; DH$1, DataRegularSeason20242025!$E$3:$E$1315, $A52)</f>
        <v>6</v>
      </c>
      <c r="DI52">
        <f>SUMIFS(DataRegularSeason20242025!$AA$3:$AA$1315,DataRegularSeason20242025!$B$3:$B$1315, "&lt;=" &amp; DI$1, DataRegularSeason20242025!$D$3:$D$1315, $A52)+SUMIFS(DataRegularSeason20242025!$AB$3:$AB$1315,DataRegularSeason20242025!$B$3:$B$1315, "&lt;=" &amp; DI$1, DataRegularSeason20242025!$E$3:$E$1315, $A52)</f>
        <v>6</v>
      </c>
      <c r="DJ52">
        <f>SUMIFS(DataRegularSeason20242025!$AA$3:$AA$1315,DataRegularSeason20242025!$B$3:$B$1315, "&lt;=" &amp; DJ$1, DataRegularSeason20242025!$D$3:$D$1315, $A52)+SUMIFS(DataRegularSeason20242025!$AB$3:$AB$1315,DataRegularSeason20242025!$B$3:$B$1315, "&lt;=" &amp; DJ$1, DataRegularSeason20242025!$E$3:$E$1315, $A52)</f>
        <v>6</v>
      </c>
      <c r="DK52">
        <f>SUMIFS(DataRegularSeason20242025!$AA$3:$AA$1315,DataRegularSeason20242025!$B$3:$B$1315, "&lt;=" &amp; DK$1, DataRegularSeason20242025!$D$3:$D$1315, $A52)+SUMIFS(DataRegularSeason20242025!$AB$3:$AB$1315,DataRegularSeason20242025!$B$3:$B$1315, "&lt;=" &amp; DK$1, DataRegularSeason20242025!$E$3:$E$1315, $A52)</f>
        <v>6</v>
      </c>
      <c r="DL52">
        <f>SUMIFS(DataRegularSeason20242025!$AA$3:$AA$1315,DataRegularSeason20242025!$B$3:$B$1315, "&lt;=" &amp; DL$1, DataRegularSeason20242025!$D$3:$D$1315, $A52)+SUMIFS(DataRegularSeason20242025!$AB$3:$AB$1315,DataRegularSeason20242025!$B$3:$B$1315, "&lt;=" &amp; DL$1, DataRegularSeason20242025!$E$3:$E$1315, $A52)</f>
        <v>6</v>
      </c>
      <c r="DM52">
        <f>SUMIFS(DataRegularSeason20242025!$AA$3:$AA$1315,DataRegularSeason20242025!$B$3:$B$1315, "&lt;=" &amp; DM$1, DataRegularSeason20242025!$D$3:$D$1315, $A52)+SUMIFS(DataRegularSeason20242025!$AB$3:$AB$1315,DataRegularSeason20242025!$B$3:$B$1315, "&lt;=" &amp; DM$1, DataRegularSeason20242025!$E$3:$E$1315, $A52)</f>
        <v>6</v>
      </c>
      <c r="DN52">
        <f>SUMIFS(DataRegularSeason20242025!$AA$3:$AA$1315,DataRegularSeason20242025!$B$3:$B$1315, "&lt;=" &amp; DN$1, DataRegularSeason20242025!$D$3:$D$1315, $A52)+SUMIFS(DataRegularSeason20242025!$AB$3:$AB$1315,DataRegularSeason20242025!$B$3:$B$1315, "&lt;=" &amp; DN$1, DataRegularSeason20242025!$E$3:$E$1315, $A52)</f>
        <v>6</v>
      </c>
      <c r="DO52">
        <f>SUMIFS(DataRegularSeason20242025!$AA$3:$AA$1315,DataRegularSeason20242025!$B$3:$B$1315, "&lt;=" &amp; DO$1, DataRegularSeason20242025!$D$3:$D$1315, $A52)+SUMIFS(DataRegularSeason20242025!$AB$3:$AB$1315,DataRegularSeason20242025!$B$3:$B$1315, "&lt;=" &amp; DO$1, DataRegularSeason20242025!$E$3:$E$1315, $A52)</f>
        <v>6</v>
      </c>
      <c r="DP52">
        <f>SUMIFS(DataRegularSeason20242025!$AA$3:$AA$1315,DataRegularSeason20242025!$B$3:$B$1315, "&lt;=" &amp; DP$1, DataRegularSeason20242025!$D$3:$D$1315, $A52)+SUMIFS(DataRegularSeason20242025!$AB$3:$AB$1315,DataRegularSeason20242025!$B$3:$B$1315, "&lt;=" &amp; DP$1, DataRegularSeason20242025!$E$3:$E$1315, $A52)</f>
        <v>6</v>
      </c>
      <c r="DQ52">
        <f>SUMIFS(DataRegularSeason20242025!$AA$3:$AA$1315,DataRegularSeason20242025!$B$3:$B$1315, "&lt;=" &amp; DQ$1, DataRegularSeason20242025!$D$3:$D$1315, $A52)+SUMIFS(DataRegularSeason20242025!$AB$3:$AB$1315,DataRegularSeason20242025!$B$3:$B$1315, "&lt;=" &amp; DQ$1, DataRegularSeason20242025!$E$3:$E$1315, $A52)</f>
        <v>6</v>
      </c>
      <c r="DR52">
        <f>SUMIFS(DataRegularSeason20242025!$AA$3:$AA$1315,DataRegularSeason20242025!$B$3:$B$1315, "&lt;=" &amp; DR$1, DataRegularSeason20242025!$D$3:$D$1315, $A52)+SUMIFS(DataRegularSeason20242025!$AB$3:$AB$1315,DataRegularSeason20242025!$B$3:$B$1315, "&lt;=" &amp; DR$1, DataRegularSeason20242025!$E$3:$E$1315, $A52)</f>
        <v>6</v>
      </c>
      <c r="DS52">
        <f>SUMIFS(DataRegularSeason20242025!$AA$3:$AA$1315,DataRegularSeason20242025!$B$3:$B$1315, "&lt;=" &amp; DS$1, DataRegularSeason20242025!$D$3:$D$1315, $A52)+SUMIFS(DataRegularSeason20242025!$AB$3:$AB$1315,DataRegularSeason20242025!$B$3:$B$1315, "&lt;=" &amp; DS$1, DataRegularSeason20242025!$E$3:$E$1315, $A52)</f>
        <v>6</v>
      </c>
      <c r="DT52">
        <f>SUMIFS(DataRegularSeason20242025!$AA$3:$AA$1315,DataRegularSeason20242025!$B$3:$B$1315, "&lt;=" &amp; DT$1, DataRegularSeason20242025!$D$3:$D$1315, $A52)+SUMIFS(DataRegularSeason20242025!$AB$3:$AB$1315,DataRegularSeason20242025!$B$3:$B$1315, "&lt;=" &amp; DT$1, DataRegularSeason20242025!$E$3:$E$1315, $A52)</f>
        <v>6</v>
      </c>
      <c r="DU52">
        <f>SUMIFS(DataRegularSeason20242025!$AA$3:$AA$1315,DataRegularSeason20242025!$B$3:$B$1315, "&lt;=" &amp; DU$1, DataRegularSeason20242025!$D$3:$D$1315, $A52)+SUMIFS(DataRegularSeason20242025!$AB$3:$AB$1315,DataRegularSeason20242025!$B$3:$B$1315, "&lt;=" &amp; DU$1, DataRegularSeason20242025!$E$3:$E$1315, $A52)</f>
        <v>6</v>
      </c>
      <c r="DV52">
        <f>SUMIFS(DataRegularSeason20242025!$AA$3:$AA$1315,DataRegularSeason20242025!$B$3:$B$1315, "&lt;=" &amp; DV$1, DataRegularSeason20242025!$D$3:$D$1315, $A52)+SUMIFS(DataRegularSeason20242025!$AB$3:$AB$1315,DataRegularSeason20242025!$B$3:$B$1315, "&lt;=" &amp; DV$1, DataRegularSeason20242025!$E$3:$E$1315, $A52)</f>
        <v>6</v>
      </c>
      <c r="DW52">
        <f>SUMIFS(DataRegularSeason20242025!$AA$3:$AA$1315,DataRegularSeason20242025!$B$3:$B$1315, "&lt;=" &amp; DW$1, DataRegularSeason20242025!$D$3:$D$1315, $A52)+SUMIFS(DataRegularSeason20242025!$AB$3:$AB$1315,DataRegularSeason20242025!$B$3:$B$1315, "&lt;=" &amp; DW$1, DataRegularSeason20242025!$E$3:$E$1315, $A52)</f>
        <v>6</v>
      </c>
      <c r="DX52">
        <f>SUMIFS(DataRegularSeason20242025!$AA$3:$AA$1315,DataRegularSeason20242025!$B$3:$B$1315, "&lt;=" &amp; DX$1, DataRegularSeason20242025!$D$3:$D$1315, $A52)+SUMIFS(DataRegularSeason20242025!$AB$3:$AB$1315,DataRegularSeason20242025!$B$3:$B$1315, "&lt;=" &amp; DX$1, DataRegularSeason20242025!$E$3:$E$1315, $A52)</f>
        <v>6</v>
      </c>
      <c r="DY52">
        <f>SUMIFS(DataRegularSeason20242025!$AA$3:$AA$1315,DataRegularSeason20242025!$B$3:$B$1315, "&lt;=" &amp; DY$1, DataRegularSeason20242025!$D$3:$D$1315, $A52)+SUMIFS(DataRegularSeason20242025!$AB$3:$AB$1315,DataRegularSeason20242025!$B$3:$B$1315, "&lt;=" &amp; DY$1, DataRegularSeason20242025!$E$3:$E$1315, $A52)</f>
        <v>6</v>
      </c>
      <c r="DZ52">
        <f>SUMIFS(DataRegularSeason20242025!$AA$3:$AA$1315,DataRegularSeason20242025!$B$3:$B$1315, "&lt;=" &amp; DZ$1, DataRegularSeason20242025!$D$3:$D$1315, $A52)+SUMIFS(DataRegularSeason20242025!$AB$3:$AB$1315,DataRegularSeason20242025!$B$3:$B$1315, "&lt;=" &amp; DZ$1, DataRegularSeason20242025!$E$3:$E$1315, $A52)</f>
        <v>6</v>
      </c>
      <c r="EA52">
        <f>SUMIFS(DataRegularSeason20242025!$AA$3:$AA$1315,DataRegularSeason20242025!$B$3:$B$1315, "&lt;=" &amp; EA$1, DataRegularSeason20242025!$D$3:$D$1315, $A52)+SUMIFS(DataRegularSeason20242025!$AB$3:$AB$1315,DataRegularSeason20242025!$B$3:$B$1315, "&lt;=" &amp; EA$1, DataRegularSeason20242025!$E$3:$E$1315, $A52)</f>
        <v>6</v>
      </c>
      <c r="EB52">
        <f>SUMIFS(DataRegularSeason20242025!$AA$3:$AA$1315,DataRegularSeason20242025!$B$3:$B$1315, "&lt;=" &amp; EB$1, DataRegularSeason20242025!$D$3:$D$1315, $A52)+SUMIFS(DataRegularSeason20242025!$AB$3:$AB$1315,DataRegularSeason20242025!$B$3:$B$1315, "&lt;=" &amp; EB$1, DataRegularSeason20242025!$E$3:$E$1315, $A52)</f>
        <v>6</v>
      </c>
      <c r="EC52">
        <f>SUMIFS(DataRegularSeason20242025!$AA$3:$AA$1315,DataRegularSeason20242025!$B$3:$B$1315, "&lt;=" &amp; EC$1, DataRegularSeason20242025!$D$3:$D$1315, $A52)+SUMIFS(DataRegularSeason20242025!$AB$3:$AB$1315,DataRegularSeason20242025!$B$3:$B$1315, "&lt;=" &amp; EC$1, DataRegularSeason20242025!$E$3:$E$1315, $A52)</f>
        <v>6</v>
      </c>
      <c r="ED52">
        <f>SUMIFS(DataRegularSeason20242025!$AA$3:$AA$1315,DataRegularSeason20242025!$B$3:$B$1315, "&lt;=" &amp; ED$1, DataRegularSeason20242025!$D$3:$D$1315, $A52)+SUMIFS(DataRegularSeason20242025!$AB$3:$AB$1315,DataRegularSeason20242025!$B$3:$B$1315, "&lt;=" &amp; ED$1, DataRegularSeason20242025!$E$3:$E$1315, $A52)</f>
        <v>6</v>
      </c>
      <c r="EE52">
        <f>SUMIFS(DataRegularSeason20242025!$AA$3:$AA$1315,DataRegularSeason20242025!$B$3:$B$1315, "&lt;=" &amp; EE$1, DataRegularSeason20242025!$D$3:$D$1315, $A52)+SUMIFS(DataRegularSeason20242025!$AB$3:$AB$1315,DataRegularSeason20242025!$B$3:$B$1315, "&lt;=" &amp; EE$1, DataRegularSeason20242025!$E$3:$E$1315, $A52)</f>
        <v>6</v>
      </c>
      <c r="EF52">
        <f>SUMIFS(DataRegularSeason20242025!$AA$3:$AA$1315,DataRegularSeason20242025!$B$3:$B$1315, "&lt;=" &amp; EF$1, DataRegularSeason20242025!$D$3:$D$1315, $A52)+SUMIFS(DataRegularSeason20242025!$AB$3:$AB$1315,DataRegularSeason20242025!$B$3:$B$1315, "&lt;=" &amp; EF$1, DataRegularSeason20242025!$E$3:$E$1315, $A52)</f>
        <v>6</v>
      </c>
      <c r="EG52">
        <f>SUMIFS(DataRegularSeason20242025!$AA$3:$AA$1315,DataRegularSeason20242025!$B$3:$B$1315, "&lt;=" &amp; EG$1, DataRegularSeason20242025!$D$3:$D$1315, $A52)+SUMIFS(DataRegularSeason20242025!$AB$3:$AB$1315,DataRegularSeason20242025!$B$3:$B$1315, "&lt;=" &amp; EG$1, DataRegularSeason20242025!$E$3:$E$1315, $A52)</f>
        <v>6</v>
      </c>
      <c r="EH52">
        <f>SUMIFS(DataRegularSeason20242025!$AA$3:$AA$1315,DataRegularSeason20242025!$B$3:$B$1315, "&lt;=" &amp; EH$1, DataRegularSeason20242025!$D$3:$D$1315, $A52)+SUMIFS(DataRegularSeason20242025!$AB$3:$AB$1315,DataRegularSeason20242025!$B$3:$B$1315, "&lt;=" &amp; EH$1, DataRegularSeason20242025!$E$3:$E$1315, $A52)</f>
        <v>6</v>
      </c>
      <c r="EI52">
        <f>SUMIFS(DataRegularSeason20242025!$AA$3:$AA$1315,DataRegularSeason20242025!$B$3:$B$1315, "&lt;=" &amp; EI$1, DataRegularSeason20242025!$D$3:$D$1315, $A52)+SUMIFS(DataRegularSeason20242025!$AB$3:$AB$1315,DataRegularSeason20242025!$B$3:$B$1315, "&lt;=" &amp; EI$1, DataRegularSeason20242025!$E$3:$E$1315, $A52)</f>
        <v>6</v>
      </c>
      <c r="EJ52">
        <f>SUMIFS(DataRegularSeason20242025!$AA$3:$AA$1315,DataRegularSeason20242025!$B$3:$B$1315, "&lt;=" &amp; EJ$1, DataRegularSeason20242025!$D$3:$D$1315, $A52)+SUMIFS(DataRegularSeason20242025!$AB$3:$AB$1315,DataRegularSeason20242025!$B$3:$B$1315, "&lt;=" &amp; EJ$1, DataRegularSeason20242025!$E$3:$E$1315, $A52)</f>
        <v>6</v>
      </c>
      <c r="EK52">
        <f>SUMIFS(DataRegularSeason20242025!$AA$3:$AA$1315,DataRegularSeason20242025!$B$3:$B$1315, "&lt;=" &amp; EK$1, DataRegularSeason20242025!$D$3:$D$1315, $A52)+SUMIFS(DataRegularSeason20242025!$AB$3:$AB$1315,DataRegularSeason20242025!$B$3:$B$1315, "&lt;=" &amp; EK$1, DataRegularSeason20242025!$E$3:$E$1315, $A52)</f>
        <v>6</v>
      </c>
      <c r="EL52">
        <f>SUMIFS(DataRegularSeason20242025!$AA$3:$AA$1315,DataRegularSeason20242025!$B$3:$B$1315, "&lt;=" &amp; EL$1, DataRegularSeason20242025!$D$3:$D$1315, $A52)+SUMIFS(DataRegularSeason20242025!$AB$3:$AB$1315,DataRegularSeason20242025!$B$3:$B$1315, "&lt;=" &amp; EL$1, DataRegularSeason20242025!$E$3:$E$1315, $A52)</f>
        <v>6</v>
      </c>
      <c r="EM52">
        <f>SUMIFS(DataRegularSeason20242025!$AA$3:$AA$1315,DataRegularSeason20242025!$B$3:$B$1315, "&lt;=" &amp; EM$1, DataRegularSeason20242025!$D$3:$D$1315, $A52)+SUMIFS(DataRegularSeason20242025!$AB$3:$AB$1315,DataRegularSeason20242025!$B$3:$B$1315, "&lt;=" &amp; EM$1, DataRegularSeason20242025!$E$3:$E$1315, $A52)</f>
        <v>6</v>
      </c>
      <c r="EN52">
        <f>SUMIFS(DataRegularSeason20242025!$AA$3:$AA$1315,DataRegularSeason20242025!$B$3:$B$1315, "&lt;=" &amp; EN$1, DataRegularSeason20242025!$D$3:$D$1315, $A52)+SUMIFS(DataRegularSeason20242025!$AB$3:$AB$1315,DataRegularSeason20242025!$B$3:$B$1315, "&lt;=" &amp; EN$1, DataRegularSeason20242025!$E$3:$E$1315, $A52)</f>
        <v>6</v>
      </c>
      <c r="EO52">
        <f>SUMIFS(DataRegularSeason20242025!$AA$3:$AA$1315,DataRegularSeason20242025!$B$3:$B$1315, "&lt;=" &amp; EO$1, DataRegularSeason20242025!$D$3:$D$1315, $A52)+SUMIFS(DataRegularSeason20242025!$AB$3:$AB$1315,DataRegularSeason20242025!$B$3:$B$1315, "&lt;=" &amp; EO$1, DataRegularSeason20242025!$E$3:$E$1315, $A52)</f>
        <v>6</v>
      </c>
      <c r="EP52">
        <f>SUMIFS(DataRegularSeason20242025!$AA$3:$AA$1315,DataRegularSeason20242025!$B$3:$B$1315, "&lt;=" &amp; EP$1, DataRegularSeason20242025!$D$3:$D$1315, $A52)+SUMIFS(DataRegularSeason20242025!$AB$3:$AB$1315,DataRegularSeason20242025!$B$3:$B$1315, "&lt;=" &amp; EP$1, DataRegularSeason20242025!$E$3:$E$1315, $A52)</f>
        <v>6</v>
      </c>
      <c r="EQ52">
        <f>SUMIFS(DataRegularSeason20242025!$AA$3:$AA$1315,DataRegularSeason20242025!$B$3:$B$1315, "&lt;=" &amp; EQ$1, DataRegularSeason20242025!$D$3:$D$1315, $A52)+SUMIFS(DataRegularSeason20242025!$AB$3:$AB$1315,DataRegularSeason20242025!$B$3:$B$1315, "&lt;=" &amp; EQ$1, DataRegularSeason20242025!$E$3:$E$1315, $A52)</f>
        <v>6</v>
      </c>
      <c r="ER52">
        <f>SUMIFS(DataRegularSeason20242025!$AA$3:$AA$1315,DataRegularSeason20242025!$B$3:$B$1315, "&lt;=" &amp; ER$1, DataRegularSeason20242025!$D$3:$D$1315, $A52)+SUMIFS(DataRegularSeason20242025!$AB$3:$AB$1315,DataRegularSeason20242025!$B$3:$B$1315, "&lt;=" &amp; ER$1, DataRegularSeason20242025!$E$3:$E$1315, $A52)</f>
        <v>6</v>
      </c>
      <c r="ES52">
        <f>SUMIFS(DataRegularSeason20242025!$AA$3:$AA$1315,DataRegularSeason20242025!$B$3:$B$1315, "&lt;=" &amp; ES$1, DataRegularSeason20242025!$D$3:$D$1315, $A52)+SUMIFS(DataRegularSeason20242025!$AB$3:$AB$1315,DataRegularSeason20242025!$B$3:$B$1315, "&lt;=" &amp; ES$1, DataRegularSeason20242025!$E$3:$E$1315, $A52)</f>
        <v>6</v>
      </c>
      <c r="ET52">
        <f>SUMIFS(DataRegularSeason20242025!$AA$3:$AA$1315,DataRegularSeason20242025!$B$3:$B$1315, "&lt;=" &amp; ET$1, DataRegularSeason20242025!$D$3:$D$1315, $A52)+SUMIFS(DataRegularSeason20242025!$AB$3:$AB$1315,DataRegularSeason20242025!$B$3:$B$1315, "&lt;=" &amp; ET$1, DataRegularSeason20242025!$E$3:$E$1315, $A52)</f>
        <v>6</v>
      </c>
      <c r="EU52">
        <f>SUMIFS(DataRegularSeason20242025!$AA$3:$AA$1315,DataRegularSeason20242025!$B$3:$B$1315, "&lt;=" &amp; EU$1, DataRegularSeason20242025!$D$3:$D$1315, $A52)+SUMIFS(DataRegularSeason20242025!$AB$3:$AB$1315,DataRegularSeason20242025!$B$3:$B$1315, "&lt;=" &amp; EU$1, DataRegularSeason20242025!$E$3:$E$1315, $A52)</f>
        <v>6</v>
      </c>
      <c r="EV52">
        <f>SUMIFS(DataRegularSeason20242025!$AA$3:$AA$1315,DataRegularSeason20242025!$B$3:$B$1315, "&lt;=" &amp; EV$1, DataRegularSeason20242025!$D$3:$D$1315, $A52)+SUMIFS(DataRegularSeason20242025!$AB$3:$AB$1315,DataRegularSeason20242025!$B$3:$B$1315, "&lt;=" &amp; EV$1, DataRegularSeason20242025!$E$3:$E$1315, $A52)</f>
        <v>6</v>
      </c>
      <c r="EW52">
        <f>SUMIFS(DataRegularSeason20242025!$AA$3:$AA$1315,DataRegularSeason20242025!$B$3:$B$1315, "&lt;=" &amp; EW$1, DataRegularSeason20242025!$D$3:$D$1315, $A52)+SUMIFS(DataRegularSeason20242025!$AB$3:$AB$1315,DataRegularSeason20242025!$B$3:$B$1315, "&lt;=" &amp; EW$1, DataRegularSeason20242025!$E$3:$E$1315, $A52)</f>
        <v>6</v>
      </c>
      <c r="EX52">
        <f>SUMIFS(DataRegularSeason20242025!$AA$3:$AA$1315,DataRegularSeason20242025!$B$3:$B$1315, "&lt;=" &amp; EX$1, DataRegularSeason20242025!$D$3:$D$1315, $A52)+SUMIFS(DataRegularSeason20242025!$AB$3:$AB$1315,DataRegularSeason20242025!$B$3:$B$1315, "&lt;=" &amp; EX$1, DataRegularSeason20242025!$E$3:$E$1315, $A52)</f>
        <v>6</v>
      </c>
      <c r="EY52">
        <f>SUMIFS(DataRegularSeason20242025!$AA$3:$AA$1315,DataRegularSeason20242025!$B$3:$B$1315, "&lt;=" &amp; EY$1, DataRegularSeason20242025!$D$3:$D$1315, $A52)+SUMIFS(DataRegularSeason20242025!$AB$3:$AB$1315,DataRegularSeason20242025!$B$3:$B$1315, "&lt;=" &amp; EY$1, DataRegularSeason20242025!$E$3:$E$1315, $A52)</f>
        <v>6</v>
      </c>
      <c r="EZ52">
        <f>SUMIFS(DataRegularSeason20242025!$AA$3:$AA$1315,DataRegularSeason20242025!$B$3:$B$1315, "&lt;=" &amp; EZ$1, DataRegularSeason20242025!$D$3:$D$1315, $A52)+SUMIFS(DataRegularSeason20242025!$AB$3:$AB$1315,DataRegularSeason20242025!$B$3:$B$1315, "&lt;=" &amp; EZ$1, DataRegularSeason20242025!$E$3:$E$1315, $A52)</f>
        <v>6</v>
      </c>
      <c r="FA52">
        <f>SUMIFS(DataRegularSeason20242025!$AA$3:$AA$1315,DataRegularSeason20242025!$B$3:$B$1315, "&lt;=" &amp; FA$1, DataRegularSeason20242025!$D$3:$D$1315, $A52)+SUMIFS(DataRegularSeason20242025!$AB$3:$AB$1315,DataRegularSeason20242025!$B$3:$B$1315, "&lt;=" &amp; FA$1, DataRegularSeason20242025!$E$3:$E$1315, $A52)</f>
        <v>6</v>
      </c>
      <c r="FB52">
        <f>SUMIFS(DataRegularSeason20242025!$AA$3:$AA$1315,DataRegularSeason20242025!$B$3:$B$1315, "&lt;=" &amp; FB$1, DataRegularSeason20242025!$D$3:$D$1315, $A52)+SUMIFS(DataRegularSeason20242025!$AB$3:$AB$1315,DataRegularSeason20242025!$B$3:$B$1315, "&lt;=" &amp; FB$1, DataRegularSeason20242025!$E$3:$E$1315, $A52)</f>
        <v>6</v>
      </c>
      <c r="FC52">
        <f>SUMIFS(DataRegularSeason20242025!$AA$3:$AA$1315,DataRegularSeason20242025!$B$3:$B$1315, "&lt;=" &amp; FC$1, DataRegularSeason20242025!$D$3:$D$1315, $A52)+SUMIFS(DataRegularSeason20242025!$AB$3:$AB$1315,DataRegularSeason20242025!$B$3:$B$1315, "&lt;=" &amp; FC$1, DataRegularSeason20242025!$E$3:$E$1315, $A52)</f>
        <v>6</v>
      </c>
      <c r="FD52">
        <f>SUMIFS(DataRegularSeason20242025!$AA$3:$AA$1315,DataRegularSeason20242025!$B$3:$B$1315, "&lt;=" &amp; FD$1, DataRegularSeason20242025!$D$3:$D$1315, $A52)+SUMIFS(DataRegularSeason20242025!$AB$3:$AB$1315,DataRegularSeason20242025!$B$3:$B$1315, "&lt;=" &amp; FD$1, DataRegularSeason20242025!$E$3:$E$1315, $A52)</f>
        <v>6</v>
      </c>
      <c r="FE52">
        <f>SUMIFS(DataRegularSeason20242025!$AA$3:$AA$1315,DataRegularSeason20242025!$B$3:$B$1315, "&lt;=" &amp; FE$1, DataRegularSeason20242025!$D$3:$D$1315, $A52)+SUMIFS(DataRegularSeason20242025!$AB$3:$AB$1315,DataRegularSeason20242025!$B$3:$B$1315, "&lt;=" &amp; FE$1, DataRegularSeason20242025!$E$3:$E$1315, $A52)</f>
        <v>6</v>
      </c>
      <c r="FF52">
        <f>SUMIFS(DataRegularSeason20242025!$AA$3:$AA$1315,DataRegularSeason20242025!$B$3:$B$1315, "&lt;=" &amp; FF$1, DataRegularSeason20242025!$D$3:$D$1315, $A52)+SUMIFS(DataRegularSeason20242025!$AB$3:$AB$1315,DataRegularSeason20242025!$B$3:$B$1315, "&lt;=" &amp; FF$1, DataRegularSeason20242025!$E$3:$E$1315, $A52)</f>
        <v>6</v>
      </c>
      <c r="FG52">
        <f>SUMIFS(DataRegularSeason20242025!$AA$3:$AA$1315,DataRegularSeason20242025!$B$3:$B$1315, "&lt;=" &amp; FG$1, DataRegularSeason20242025!$D$3:$D$1315, $A52)+SUMIFS(DataRegularSeason20242025!$AB$3:$AB$1315,DataRegularSeason20242025!$B$3:$B$1315, "&lt;=" &amp; FG$1, DataRegularSeason20242025!$E$3:$E$1315, $A52)</f>
        <v>6</v>
      </c>
      <c r="FH52">
        <f>SUMIFS(DataRegularSeason20242025!$AA$3:$AA$1315,DataRegularSeason20242025!$B$3:$B$1315, "&lt;=" &amp; FH$1, DataRegularSeason20242025!$D$3:$D$1315, $A52)+SUMIFS(DataRegularSeason20242025!$AB$3:$AB$1315,DataRegularSeason20242025!$B$3:$B$1315, "&lt;=" &amp; FH$1, DataRegularSeason20242025!$E$3:$E$1315, $A52)</f>
        <v>6</v>
      </c>
      <c r="FI52">
        <f>SUMIFS(DataRegularSeason20242025!$AA$3:$AA$1315,DataRegularSeason20242025!$B$3:$B$1315, "&lt;=" &amp; FI$1, DataRegularSeason20242025!$D$3:$D$1315, $A52)+SUMIFS(DataRegularSeason20242025!$AB$3:$AB$1315,DataRegularSeason20242025!$B$3:$B$1315, "&lt;=" &amp; FI$1, DataRegularSeason20242025!$E$3:$E$1315, $A52)</f>
        <v>6</v>
      </c>
      <c r="FJ52">
        <f>SUMIFS(DataRegularSeason20242025!$AA$3:$AA$1315,DataRegularSeason20242025!$B$3:$B$1315, "&lt;=" &amp; FJ$1, DataRegularSeason20242025!$D$3:$D$1315, $A52)+SUMIFS(DataRegularSeason20242025!$AB$3:$AB$1315,DataRegularSeason20242025!$B$3:$B$1315, "&lt;=" &amp; FJ$1, DataRegularSeason20242025!$E$3:$E$1315, $A52)</f>
        <v>6</v>
      </c>
      <c r="FK52">
        <f>SUMIFS(DataRegularSeason20242025!$AA$3:$AA$1315,DataRegularSeason20242025!$B$3:$B$1315, "&lt;=" &amp; FK$1, DataRegularSeason20242025!$D$3:$D$1315, $A52)+SUMIFS(DataRegularSeason20242025!$AB$3:$AB$1315,DataRegularSeason20242025!$B$3:$B$1315, "&lt;=" &amp; FK$1, DataRegularSeason20242025!$E$3:$E$1315, $A52)</f>
        <v>6</v>
      </c>
      <c r="FL52">
        <f>SUMIFS(DataRegularSeason20242025!$AA$3:$AA$1315,DataRegularSeason20242025!$B$3:$B$1315, "&lt;=" &amp; FL$1, DataRegularSeason20242025!$D$3:$D$1315, $A52)+SUMIFS(DataRegularSeason20242025!$AB$3:$AB$1315,DataRegularSeason20242025!$B$3:$B$1315, "&lt;=" &amp; FL$1, DataRegularSeason20242025!$E$3:$E$1315, $A52)</f>
        <v>6</v>
      </c>
      <c r="FM52">
        <f>SUMIFS(DataRegularSeason20242025!$AA$3:$AA$1315,DataRegularSeason20242025!$B$3:$B$1315, "&lt;=" &amp; FM$1, DataRegularSeason20242025!$D$3:$D$1315, $A52)+SUMIFS(DataRegularSeason20242025!$AB$3:$AB$1315,DataRegularSeason20242025!$B$3:$B$1315, "&lt;=" &amp; FM$1, DataRegularSeason20242025!$E$3:$E$1315, $A52)</f>
        <v>6</v>
      </c>
      <c r="FN52">
        <f>SUMIFS(DataRegularSeason20242025!$AA$3:$AA$1315,DataRegularSeason20242025!$B$3:$B$1315, "&lt;=" &amp; FN$1, DataRegularSeason20242025!$D$3:$D$1315, $A52)+SUMIFS(DataRegularSeason20242025!$AB$3:$AB$1315,DataRegularSeason20242025!$B$3:$B$1315, "&lt;=" &amp; FN$1, DataRegularSeason20242025!$E$3:$E$1315, $A52)</f>
        <v>6</v>
      </c>
      <c r="FO52">
        <f>SUMIFS(DataRegularSeason20242025!$AA$3:$AA$1315,DataRegularSeason20242025!$B$3:$B$1315, "&lt;=" &amp; FO$1, DataRegularSeason20242025!$D$3:$D$1315, $A52)+SUMIFS(DataRegularSeason20242025!$AB$3:$AB$1315,DataRegularSeason20242025!$B$3:$B$1315, "&lt;=" &amp; FO$1, DataRegularSeason20242025!$E$3:$E$1315, $A52)</f>
        <v>6</v>
      </c>
      <c r="FP52">
        <f>SUMIFS(DataRegularSeason20242025!$AA$3:$AA$1315,DataRegularSeason20242025!$B$3:$B$1315, "&lt;=" &amp; FP$1, DataRegularSeason20242025!$D$3:$D$1315, $A52)+SUMIFS(DataRegularSeason20242025!$AB$3:$AB$1315,DataRegularSeason20242025!$B$3:$B$1315, "&lt;=" &amp; FP$1, DataRegularSeason20242025!$E$3:$E$1315, $A52)</f>
        <v>6</v>
      </c>
      <c r="FQ52">
        <f>SUMIFS(DataRegularSeason20242025!$AA$3:$AA$1315,DataRegularSeason20242025!$B$3:$B$1315, "&lt;=" &amp; FQ$1, DataRegularSeason20242025!$D$3:$D$1315, $A52)+SUMIFS(DataRegularSeason20242025!$AB$3:$AB$1315,DataRegularSeason20242025!$B$3:$B$1315, "&lt;=" &amp; FQ$1, DataRegularSeason20242025!$E$3:$E$1315, $A52)</f>
        <v>6</v>
      </c>
      <c r="FR52">
        <f>SUMIFS(DataRegularSeason20242025!$AA$3:$AA$1315,DataRegularSeason20242025!$B$3:$B$1315, "&lt;=" &amp; FR$1, DataRegularSeason20242025!$D$3:$D$1315, $A52)+SUMIFS(DataRegularSeason20242025!$AB$3:$AB$1315,DataRegularSeason20242025!$B$3:$B$1315, "&lt;=" &amp; FR$1, DataRegularSeason20242025!$E$3:$E$1315, $A52)</f>
        <v>6</v>
      </c>
      <c r="FS52">
        <f>SUMIFS(DataRegularSeason20242025!$AA$3:$AA$1315,DataRegularSeason20242025!$B$3:$B$1315, "&lt;=" &amp; FS$1, DataRegularSeason20242025!$D$3:$D$1315, $A52)+SUMIFS(DataRegularSeason20242025!$AB$3:$AB$1315,DataRegularSeason20242025!$B$3:$B$1315, "&lt;=" &amp; FS$1, DataRegularSeason20242025!$E$3:$E$1315, $A52)</f>
        <v>6</v>
      </c>
      <c r="FT52">
        <f>SUMIFS(DataRegularSeason20242025!$AA$3:$AA$1315,DataRegularSeason20242025!$B$3:$B$1315, "&lt;=" &amp; FT$1, DataRegularSeason20242025!$D$3:$D$1315, $A52)+SUMIFS(DataRegularSeason20242025!$AB$3:$AB$1315,DataRegularSeason20242025!$B$3:$B$1315, "&lt;=" &amp; FT$1, DataRegularSeason20242025!$E$3:$E$1315, $A52)</f>
        <v>6</v>
      </c>
      <c r="FU52">
        <f>SUMIFS(DataRegularSeason20242025!$AA$3:$AA$1315,DataRegularSeason20242025!$B$3:$B$1315, "&lt;=" &amp; FU$1, DataRegularSeason20242025!$D$3:$D$1315, $A52)+SUMIFS(DataRegularSeason20242025!$AB$3:$AB$1315,DataRegularSeason20242025!$B$3:$B$1315, "&lt;=" &amp; FU$1, DataRegularSeason20242025!$E$3:$E$1315, $A52)</f>
        <v>6</v>
      </c>
      <c r="FV52">
        <f>SUMIFS(DataRegularSeason20242025!$AA$3:$AA$1315,DataRegularSeason20242025!$B$3:$B$1315, "&lt;=" &amp; FV$1, DataRegularSeason20242025!$D$3:$D$1315, $A52)+SUMIFS(DataRegularSeason20242025!$AB$3:$AB$1315,DataRegularSeason20242025!$B$3:$B$1315, "&lt;=" &amp; FV$1, DataRegularSeason20242025!$E$3:$E$1315, $A52)</f>
        <v>6</v>
      </c>
      <c r="FW52">
        <f>SUMIFS(DataRegularSeason20242025!$AA$3:$AA$1315,DataRegularSeason20242025!$B$3:$B$1315, "&lt;=" &amp; FW$1, DataRegularSeason20242025!$D$3:$D$1315, $A52)+SUMIFS(DataRegularSeason20242025!$AB$3:$AB$1315,DataRegularSeason20242025!$B$3:$B$1315, "&lt;=" &amp; FW$1, DataRegularSeason20242025!$E$3:$E$1315, $A52)</f>
        <v>6</v>
      </c>
      <c r="FX52">
        <f>SUMIFS(DataRegularSeason20242025!$AA$3:$AA$1315,DataRegularSeason20242025!$B$3:$B$1315, "&lt;=" &amp; FX$1, DataRegularSeason20242025!$D$3:$D$1315, $A52)+SUMIFS(DataRegularSeason20242025!$AB$3:$AB$1315,DataRegularSeason20242025!$B$3:$B$1315, "&lt;=" &amp; FX$1, DataRegularSeason20242025!$E$3:$E$1315, $A52)</f>
        <v>6</v>
      </c>
      <c r="FY52">
        <f>SUMIFS(DataRegularSeason20242025!$AA$3:$AA$1315,DataRegularSeason20242025!$B$3:$B$1315, "&lt;=" &amp; FY$1, DataRegularSeason20242025!$D$3:$D$1315, $A52)+SUMIFS(DataRegularSeason20242025!$AB$3:$AB$1315,DataRegularSeason20242025!$B$3:$B$1315, "&lt;=" &amp; FY$1, DataRegularSeason20242025!$E$3:$E$1315, $A52)</f>
        <v>6</v>
      </c>
      <c r="FZ52">
        <f>SUMIFS(DataRegularSeason20242025!$AA$3:$AA$1315,DataRegularSeason20242025!$B$3:$B$1315, "&lt;=" &amp; FZ$1, DataRegularSeason20242025!$D$3:$D$1315, $A52)+SUMIFS(DataRegularSeason20242025!$AB$3:$AB$1315,DataRegularSeason20242025!$B$3:$B$1315, "&lt;=" &amp; FZ$1, DataRegularSeason20242025!$E$3:$E$1315, $A52)</f>
        <v>6</v>
      </c>
      <c r="GA52">
        <f>SUMIFS(DataRegularSeason20242025!$AA$3:$AA$1315,DataRegularSeason20242025!$B$3:$B$1315, "&lt;=" &amp; GA$1, DataRegularSeason20242025!$D$3:$D$1315, $A52)+SUMIFS(DataRegularSeason20242025!$AB$3:$AB$1315,DataRegularSeason20242025!$B$3:$B$1315, "&lt;=" &amp; GA$1, DataRegularSeason20242025!$E$3:$E$1315, $A52)</f>
        <v>6</v>
      </c>
      <c r="GB52">
        <f>SUMIFS(DataRegularSeason20242025!$AA$3:$AA$1315,DataRegularSeason20242025!$B$3:$B$1315, "&lt;=" &amp; GB$1, DataRegularSeason20242025!$D$3:$D$1315, $A52)+SUMIFS(DataRegularSeason20242025!$AB$3:$AB$1315,DataRegularSeason20242025!$B$3:$B$1315, "&lt;=" &amp; GB$1, DataRegularSeason20242025!$E$3:$E$1315, $A52)</f>
        <v>6</v>
      </c>
      <c r="GC52">
        <f>SUMIFS(DataRegularSeason20242025!$AA$3:$AA$1315,DataRegularSeason20242025!$B$3:$B$1315, "&lt;=" &amp; GC$1, DataRegularSeason20242025!$D$3:$D$1315, $A52)+SUMIFS(DataRegularSeason20242025!$AB$3:$AB$1315,DataRegularSeason20242025!$B$3:$B$1315, "&lt;=" &amp; GC$1, DataRegularSeason20242025!$E$3:$E$1315, $A52)</f>
        <v>6</v>
      </c>
      <c r="GD52">
        <f>SUMIFS(DataRegularSeason20242025!$AA$3:$AA$1315,DataRegularSeason20242025!$B$3:$B$1315, "&lt;=" &amp; GD$1, DataRegularSeason20242025!$D$3:$D$1315, $A52)+SUMIFS(DataRegularSeason20242025!$AB$3:$AB$1315,DataRegularSeason20242025!$B$3:$B$1315, "&lt;=" &amp; GD$1, DataRegularSeason20242025!$E$3:$E$1315, $A52)</f>
        <v>6</v>
      </c>
      <c r="GE52">
        <f>SUMIFS(DataRegularSeason20242025!$AA$3:$AA$1315,DataRegularSeason20242025!$B$3:$B$1315, "&lt;=" &amp; GE$1, DataRegularSeason20242025!$D$3:$D$1315, $A52)+SUMIFS(DataRegularSeason20242025!$AB$3:$AB$1315,DataRegularSeason20242025!$B$3:$B$1315, "&lt;=" &amp; GE$1, DataRegularSeason20242025!$E$3:$E$1315, $A52)</f>
        <v>6</v>
      </c>
      <c r="GF52">
        <f>SUMIFS(DataRegularSeason20242025!$AA$3:$AA$1315,DataRegularSeason20242025!$B$3:$B$1315, "&lt;=" &amp; GF$1, DataRegularSeason20242025!$D$3:$D$1315, $A52)+SUMIFS(DataRegularSeason20242025!$AB$3:$AB$1315,DataRegularSeason20242025!$B$3:$B$1315, "&lt;=" &amp; GF$1, DataRegularSeason20242025!$E$3:$E$1315, $A52)</f>
        <v>6</v>
      </c>
      <c r="GG52">
        <f>SUMIFS(DataRegularSeason20242025!$AA$3:$AA$1315,DataRegularSeason20242025!$B$3:$B$1315, "&lt;=" &amp; GG$1, DataRegularSeason20242025!$D$3:$D$1315, $A52)+SUMIFS(DataRegularSeason20242025!$AB$3:$AB$1315,DataRegularSeason20242025!$B$3:$B$1315, "&lt;=" &amp; GG$1, DataRegularSeason20242025!$E$3:$E$1315, $A52)</f>
        <v>6</v>
      </c>
      <c r="GH52">
        <f>SUMIFS(DataRegularSeason20242025!$AA$3:$AA$1315,DataRegularSeason20242025!$B$3:$B$1315, "&lt;=" &amp; GH$1, DataRegularSeason20242025!$D$3:$D$1315, $A52)+SUMIFS(DataRegularSeason20242025!$AB$3:$AB$1315,DataRegularSeason20242025!$B$3:$B$1315, "&lt;=" &amp; GH$1, DataRegularSeason20242025!$E$3:$E$1315, $A52)</f>
        <v>6</v>
      </c>
      <c r="GI52">
        <f>SUMIFS(DataRegularSeason20242025!$AA$3:$AA$1315,DataRegularSeason20242025!$B$3:$B$1315, "&lt;=" &amp; GI$1, DataRegularSeason20242025!$D$3:$D$1315, $A52)+SUMIFS(DataRegularSeason20242025!$AB$3:$AB$1315,DataRegularSeason20242025!$B$3:$B$1315, "&lt;=" &amp; GI$1, DataRegularSeason20242025!$E$3:$E$1315, $A52)</f>
        <v>6</v>
      </c>
      <c r="GJ52">
        <f>SUMIFS(DataRegularSeason20242025!$AA$3:$AA$1315,DataRegularSeason20242025!$B$3:$B$1315, "&lt;=" &amp; GJ$1, DataRegularSeason20242025!$D$3:$D$1315, $A52)+SUMIFS(DataRegularSeason20242025!$AB$3:$AB$1315,DataRegularSeason20242025!$B$3:$B$1315, "&lt;=" &amp; GJ$1, DataRegularSeason20242025!$E$3:$E$1315, $A52)</f>
        <v>6</v>
      </c>
      <c r="GK52">
        <f>SUMIFS(DataRegularSeason20242025!$AA$3:$AA$1315,DataRegularSeason20242025!$B$3:$B$1315, "&lt;=" &amp; GK$1, DataRegularSeason20242025!$D$3:$D$1315, $A52)+SUMIFS(DataRegularSeason20242025!$AB$3:$AB$1315,DataRegularSeason20242025!$B$3:$B$1315, "&lt;=" &amp; GK$1, DataRegularSeason20242025!$E$3:$E$1315, $A52)</f>
        <v>6</v>
      </c>
      <c r="GL52">
        <f>SUMIFS(DataRegularSeason20242025!$AA$3:$AA$1315,DataRegularSeason20242025!$B$3:$B$1315, "&lt;=" &amp; GL$1, DataRegularSeason20242025!$D$3:$D$1315, $A52)+SUMIFS(DataRegularSeason20242025!$AB$3:$AB$1315,DataRegularSeason20242025!$B$3:$B$1315, "&lt;=" &amp; GL$1, DataRegularSeason20242025!$E$3:$E$1315, $A52)</f>
        <v>6</v>
      </c>
      <c r="GM52">
        <f>SUMIFS(DataRegularSeason20242025!$AA$3:$AA$1315,DataRegularSeason20242025!$B$3:$B$1315, "&lt;=" &amp; GM$1, DataRegularSeason20242025!$D$3:$D$1315, $A52)+SUMIFS(DataRegularSeason20242025!$AB$3:$AB$1315,DataRegularSeason20242025!$B$3:$B$1315, "&lt;=" &amp; GM$1, DataRegularSeason20242025!$E$3:$E$1315, $A52)</f>
        <v>6</v>
      </c>
      <c r="GN52">
        <f>SUMIFS(DataRegularSeason20242025!$AA$3:$AA$1315,DataRegularSeason20242025!$B$3:$B$1315, "&lt;=" &amp; GN$1, DataRegularSeason20242025!$D$3:$D$1315, $A52)+SUMIFS(DataRegularSeason20242025!$AB$3:$AB$1315,DataRegularSeason20242025!$B$3:$B$1315, "&lt;=" &amp; GN$1, DataRegularSeason20242025!$E$3:$E$1315, $A52)</f>
        <v>6</v>
      </c>
      <c r="GO52">
        <f>SUMIFS(DataRegularSeason20242025!$AA$3:$AA$1315,DataRegularSeason20242025!$B$3:$B$1315, "&lt;=" &amp; GO$1, DataRegularSeason20242025!$D$3:$D$1315, $A52)+SUMIFS(DataRegularSeason20242025!$AB$3:$AB$1315,DataRegularSeason20242025!$B$3:$B$1315, "&lt;=" &amp; GO$1, DataRegularSeason20242025!$E$3:$E$1315, $A52)</f>
        <v>6</v>
      </c>
      <c r="GP52">
        <f>SUMIFS(DataRegularSeason20242025!$AA$3:$AA$1315,DataRegularSeason20242025!$B$3:$B$1315, "&lt;=" &amp; GP$1, DataRegularSeason20242025!$D$3:$D$1315, $A52)+SUMIFS(DataRegularSeason20242025!$AB$3:$AB$1315,DataRegularSeason20242025!$B$3:$B$1315, "&lt;=" &amp; GP$1, DataRegularSeason20242025!$E$3:$E$1315, $A52)</f>
        <v>6</v>
      </c>
      <c r="GQ52">
        <f>SUMIFS(DataRegularSeason20242025!$AA$3:$AA$1315,DataRegularSeason20242025!$B$3:$B$1315, "&lt;=" &amp; GQ$1, DataRegularSeason20242025!$D$3:$D$1315, $A52)+SUMIFS(DataRegularSeason20242025!$AB$3:$AB$1315,DataRegularSeason20242025!$B$3:$B$1315, "&lt;=" &amp; GQ$1, DataRegularSeason20242025!$E$3:$E$1315, $A52)</f>
        <v>6</v>
      </c>
      <c r="GR52">
        <f>SUMIFS(DataRegularSeason20242025!$AA$3:$AA$1315,DataRegularSeason20242025!$B$3:$B$1315, "&lt;=" &amp; GR$1, DataRegularSeason20242025!$D$3:$D$1315, $A52)+SUMIFS(DataRegularSeason20242025!$AB$3:$AB$1315,DataRegularSeason20242025!$B$3:$B$1315, "&lt;=" &amp; GR$1, DataRegularSeason20242025!$E$3:$E$1315, $A52)</f>
        <v>6</v>
      </c>
      <c r="GS52">
        <f>SUMIFS(DataRegularSeason20242025!$AA$3:$AA$1315,DataRegularSeason20242025!$B$3:$B$1315, "&lt;=" &amp; GS$1, DataRegularSeason20242025!$D$3:$D$1315, $A52)+SUMIFS(DataRegularSeason20242025!$AB$3:$AB$1315,DataRegularSeason20242025!$B$3:$B$1315, "&lt;=" &amp; GS$1, DataRegularSeason20242025!$E$3:$E$1315, $A52)</f>
        <v>6</v>
      </c>
      <c r="GT52">
        <f>SUMIFS(DataRegularSeason20242025!$AA$3:$AA$1315,DataRegularSeason20242025!$B$3:$B$1315, "&lt;=" &amp; GT$1, DataRegularSeason20242025!$D$3:$D$1315, $A52)+SUMIFS(DataRegularSeason20242025!$AB$3:$AB$1315,DataRegularSeason20242025!$B$3:$B$1315, "&lt;=" &amp; GT$1, DataRegularSeason20242025!$E$3:$E$1315, $A52)</f>
        <v>6</v>
      </c>
      <c r="GU52">
        <f>SUMIFS(DataRegularSeason20242025!$AA$3:$AA$1315,DataRegularSeason20242025!$B$3:$B$1315, "&lt;=" &amp; GU$1, DataRegularSeason20242025!$D$3:$D$1315, $A52)+SUMIFS(DataRegularSeason20242025!$AB$3:$AB$1315,DataRegularSeason20242025!$B$3:$B$1315, "&lt;=" &amp; GU$1, DataRegularSeason20242025!$E$3:$E$1315, $A52)</f>
        <v>6</v>
      </c>
    </row>
    <row r="53" spans="1:203" x14ac:dyDescent="0.25">
      <c r="A53" t="s">
        <v>35</v>
      </c>
      <c r="B53" t="s">
        <v>91</v>
      </c>
      <c r="C53" t="s">
        <v>92</v>
      </c>
      <c r="D53">
        <f>SUMIFS(DataRegularSeason20242025!$AA$3:$AA$1315,DataRegularSeason20242025!$B$3:$B$1315, "&lt;=" &amp; D$1, DataRegularSeason20242025!$D$3:$D$1315, $A53)+SUMIFS(DataRegularSeason20242025!$AB$3:$AB$1315,DataRegularSeason20242025!$B$3:$B$1315, "&lt;=" &amp; D$1, DataRegularSeason20242025!$E$3:$E$1315, $A53)</f>
        <v>0</v>
      </c>
      <c r="E53">
        <f>SUMIFS(DataRegularSeason20242025!$AA$3:$AA$1315,DataRegularSeason20242025!$B$3:$B$1315, "&lt;=" &amp; E$1, DataRegularSeason20242025!$D$3:$D$1315, $A53)+SUMIFS(DataRegularSeason20242025!$AB$3:$AB$1315,DataRegularSeason20242025!$B$3:$B$1315, "&lt;=" &amp; E$1, DataRegularSeason20242025!$E$3:$E$1315, $A53)</f>
        <v>0</v>
      </c>
      <c r="F53">
        <f>SUMIFS(DataRegularSeason20242025!$AA$3:$AA$1315,DataRegularSeason20242025!$B$3:$B$1315, "&lt;=" &amp; F$1, DataRegularSeason20242025!$D$3:$D$1315, $A53)+SUMIFS(DataRegularSeason20242025!$AB$3:$AB$1315,DataRegularSeason20242025!$B$3:$B$1315, "&lt;=" &amp; F$1, DataRegularSeason20242025!$E$3:$E$1315, $A53)</f>
        <v>0</v>
      </c>
      <c r="G53">
        <f>SUMIFS(DataRegularSeason20242025!$AA$3:$AA$1315,DataRegularSeason20242025!$B$3:$B$1315, "&lt;=" &amp; G$1, DataRegularSeason20242025!$D$3:$D$1315, $A53)+SUMIFS(DataRegularSeason20242025!$AB$3:$AB$1315,DataRegularSeason20242025!$B$3:$B$1315, "&lt;=" &amp; G$1, DataRegularSeason20242025!$E$3:$E$1315, $A53)</f>
        <v>0</v>
      </c>
      <c r="H53">
        <f>SUMIFS(DataRegularSeason20242025!$AA$3:$AA$1315,DataRegularSeason20242025!$B$3:$B$1315, "&lt;=" &amp; H$1, DataRegularSeason20242025!$D$3:$D$1315, $A53)+SUMIFS(DataRegularSeason20242025!$AB$3:$AB$1315,DataRegularSeason20242025!$B$3:$B$1315, "&lt;=" &amp; H$1, DataRegularSeason20242025!$E$3:$E$1315, $A53)</f>
        <v>0</v>
      </c>
      <c r="I53">
        <f>SUMIFS(DataRegularSeason20242025!$AA$3:$AA$1315,DataRegularSeason20242025!$B$3:$B$1315, "&lt;=" &amp; I$1, DataRegularSeason20242025!$D$3:$D$1315, $A53)+SUMIFS(DataRegularSeason20242025!$AB$3:$AB$1315,DataRegularSeason20242025!$B$3:$B$1315, "&lt;=" &amp; I$1, DataRegularSeason20242025!$E$3:$E$1315, $A53)</f>
        <v>0</v>
      </c>
      <c r="J53">
        <f>SUMIFS(DataRegularSeason20242025!$AA$3:$AA$1315,DataRegularSeason20242025!$B$3:$B$1315, "&lt;=" &amp; J$1, DataRegularSeason20242025!$D$3:$D$1315, $A53)+SUMIFS(DataRegularSeason20242025!$AB$3:$AB$1315,DataRegularSeason20242025!$B$3:$B$1315, "&lt;=" &amp; J$1, DataRegularSeason20242025!$E$3:$E$1315, $A53)</f>
        <v>0</v>
      </c>
      <c r="K53">
        <f>SUMIFS(DataRegularSeason20242025!$AA$3:$AA$1315,DataRegularSeason20242025!$B$3:$B$1315, "&lt;=" &amp; K$1, DataRegularSeason20242025!$D$3:$D$1315, $A53)+SUMIFS(DataRegularSeason20242025!$AB$3:$AB$1315,DataRegularSeason20242025!$B$3:$B$1315, "&lt;=" &amp; K$1, DataRegularSeason20242025!$E$3:$E$1315, $A53)</f>
        <v>0</v>
      </c>
      <c r="L53">
        <f>SUMIFS(DataRegularSeason20242025!$AA$3:$AA$1315,DataRegularSeason20242025!$B$3:$B$1315, "&lt;=" &amp; L$1, DataRegularSeason20242025!$D$3:$D$1315, $A53)+SUMIFS(DataRegularSeason20242025!$AB$3:$AB$1315,DataRegularSeason20242025!$B$3:$B$1315, "&lt;=" &amp; L$1, DataRegularSeason20242025!$E$3:$E$1315, $A53)</f>
        <v>2</v>
      </c>
      <c r="M53">
        <f>SUMIFS(DataRegularSeason20242025!$AA$3:$AA$1315,DataRegularSeason20242025!$B$3:$B$1315, "&lt;=" &amp; M$1, DataRegularSeason20242025!$D$3:$D$1315, $A53)+SUMIFS(DataRegularSeason20242025!$AB$3:$AB$1315,DataRegularSeason20242025!$B$3:$B$1315, "&lt;=" &amp; M$1, DataRegularSeason20242025!$E$3:$E$1315, $A53)</f>
        <v>2</v>
      </c>
      <c r="N53">
        <f>SUMIFS(DataRegularSeason20242025!$AA$3:$AA$1315,DataRegularSeason20242025!$B$3:$B$1315, "&lt;=" &amp; N$1, DataRegularSeason20242025!$D$3:$D$1315, $A53)+SUMIFS(DataRegularSeason20242025!$AB$3:$AB$1315,DataRegularSeason20242025!$B$3:$B$1315, "&lt;=" &amp; N$1, DataRegularSeason20242025!$E$3:$E$1315, $A53)</f>
        <v>2</v>
      </c>
      <c r="O53">
        <f>SUMIFS(DataRegularSeason20242025!$AA$3:$AA$1315,DataRegularSeason20242025!$B$3:$B$1315, "&lt;=" &amp; O$1, DataRegularSeason20242025!$D$3:$D$1315, $A53)+SUMIFS(DataRegularSeason20242025!$AB$3:$AB$1315,DataRegularSeason20242025!$B$3:$B$1315, "&lt;=" &amp; O$1, DataRegularSeason20242025!$E$3:$E$1315, $A53)</f>
        <v>2</v>
      </c>
      <c r="P53">
        <f>SUMIFS(DataRegularSeason20242025!$AA$3:$AA$1315,DataRegularSeason20242025!$B$3:$B$1315, "&lt;=" &amp; P$1, DataRegularSeason20242025!$D$3:$D$1315, $A53)+SUMIFS(DataRegularSeason20242025!$AB$3:$AB$1315,DataRegularSeason20242025!$B$3:$B$1315, "&lt;=" &amp; P$1, DataRegularSeason20242025!$E$3:$E$1315, $A53)</f>
        <v>2</v>
      </c>
      <c r="Q53">
        <f>SUMIFS(DataRegularSeason20242025!$AA$3:$AA$1315,DataRegularSeason20242025!$B$3:$B$1315, "&lt;=" &amp; Q$1, DataRegularSeason20242025!$D$3:$D$1315, $A53)+SUMIFS(DataRegularSeason20242025!$AB$3:$AB$1315,DataRegularSeason20242025!$B$3:$B$1315, "&lt;=" &amp; Q$1, DataRegularSeason20242025!$E$3:$E$1315, $A53)</f>
        <v>2</v>
      </c>
      <c r="R53">
        <f>SUMIFS(DataRegularSeason20242025!$AA$3:$AA$1315,DataRegularSeason20242025!$B$3:$B$1315, "&lt;=" &amp; R$1, DataRegularSeason20242025!$D$3:$D$1315, $A53)+SUMIFS(DataRegularSeason20242025!$AB$3:$AB$1315,DataRegularSeason20242025!$B$3:$B$1315, "&lt;=" &amp; R$1, DataRegularSeason20242025!$E$3:$E$1315, $A53)</f>
        <v>2</v>
      </c>
      <c r="S53">
        <f>SUMIFS(DataRegularSeason20242025!$AA$3:$AA$1315,DataRegularSeason20242025!$B$3:$B$1315, "&lt;=" &amp; S$1, DataRegularSeason20242025!$D$3:$D$1315, $A53)+SUMIFS(DataRegularSeason20242025!$AB$3:$AB$1315,DataRegularSeason20242025!$B$3:$B$1315, "&lt;=" &amp; S$1, DataRegularSeason20242025!$E$3:$E$1315, $A53)</f>
        <v>4</v>
      </c>
      <c r="T53">
        <f>SUMIFS(DataRegularSeason20242025!$AA$3:$AA$1315,DataRegularSeason20242025!$B$3:$B$1315, "&lt;=" &amp; T$1, DataRegularSeason20242025!$D$3:$D$1315, $A53)+SUMIFS(DataRegularSeason20242025!$AB$3:$AB$1315,DataRegularSeason20242025!$B$3:$B$1315, "&lt;=" &amp; T$1, DataRegularSeason20242025!$E$3:$E$1315, $A53)</f>
        <v>4</v>
      </c>
      <c r="U53">
        <f>SUMIFS(DataRegularSeason20242025!$AA$3:$AA$1315,DataRegularSeason20242025!$B$3:$B$1315, "&lt;=" &amp; U$1, DataRegularSeason20242025!$D$3:$D$1315, $A53)+SUMIFS(DataRegularSeason20242025!$AB$3:$AB$1315,DataRegularSeason20242025!$B$3:$B$1315, "&lt;=" &amp; U$1, DataRegularSeason20242025!$E$3:$E$1315, $A53)</f>
        <v>4</v>
      </c>
      <c r="V53">
        <f>SUMIFS(DataRegularSeason20242025!$AA$3:$AA$1315,DataRegularSeason20242025!$B$3:$B$1315, "&lt;=" &amp; V$1, DataRegularSeason20242025!$D$3:$D$1315, $A53)+SUMIFS(DataRegularSeason20242025!$AB$3:$AB$1315,DataRegularSeason20242025!$B$3:$B$1315, "&lt;=" &amp; V$1, DataRegularSeason20242025!$E$3:$E$1315, $A53)</f>
        <v>6</v>
      </c>
      <c r="W53">
        <f>SUMIFS(DataRegularSeason20242025!$AA$3:$AA$1315,DataRegularSeason20242025!$B$3:$B$1315, "&lt;=" &amp; W$1, DataRegularSeason20242025!$D$3:$D$1315, $A53)+SUMIFS(DataRegularSeason20242025!$AB$3:$AB$1315,DataRegularSeason20242025!$B$3:$B$1315, "&lt;=" &amp; W$1, DataRegularSeason20242025!$E$3:$E$1315, $A53)</f>
        <v>6</v>
      </c>
      <c r="X53">
        <f>SUMIFS(DataRegularSeason20242025!$AA$3:$AA$1315,DataRegularSeason20242025!$B$3:$B$1315, "&lt;=" &amp; X$1, DataRegularSeason20242025!$D$3:$D$1315, $A53)+SUMIFS(DataRegularSeason20242025!$AB$3:$AB$1315,DataRegularSeason20242025!$B$3:$B$1315, "&lt;=" &amp; X$1, DataRegularSeason20242025!$E$3:$E$1315, $A53)</f>
        <v>6</v>
      </c>
      <c r="Y53">
        <f>SUMIFS(DataRegularSeason20242025!$AA$3:$AA$1315,DataRegularSeason20242025!$B$3:$B$1315, "&lt;=" &amp; Y$1, DataRegularSeason20242025!$D$3:$D$1315, $A53)+SUMIFS(DataRegularSeason20242025!$AB$3:$AB$1315,DataRegularSeason20242025!$B$3:$B$1315, "&lt;=" &amp; Y$1, DataRegularSeason20242025!$E$3:$E$1315, $A53)</f>
        <v>6</v>
      </c>
      <c r="Z53">
        <f>SUMIFS(DataRegularSeason20242025!$AA$3:$AA$1315,DataRegularSeason20242025!$B$3:$B$1315, "&lt;=" &amp; Z$1, DataRegularSeason20242025!$D$3:$D$1315, $A53)+SUMIFS(DataRegularSeason20242025!$AB$3:$AB$1315,DataRegularSeason20242025!$B$3:$B$1315, "&lt;=" &amp; Z$1, DataRegularSeason20242025!$E$3:$E$1315, $A53)</f>
        <v>6</v>
      </c>
      <c r="AA53">
        <f>SUMIFS(DataRegularSeason20242025!$AA$3:$AA$1315,DataRegularSeason20242025!$B$3:$B$1315, "&lt;=" &amp; AA$1, DataRegularSeason20242025!$D$3:$D$1315, $A53)+SUMIFS(DataRegularSeason20242025!$AB$3:$AB$1315,DataRegularSeason20242025!$B$3:$B$1315, "&lt;=" &amp; AA$1, DataRegularSeason20242025!$E$3:$E$1315, $A53)</f>
        <v>6</v>
      </c>
      <c r="AB53">
        <f>SUMIFS(DataRegularSeason20242025!$AA$3:$AA$1315,DataRegularSeason20242025!$B$3:$B$1315, "&lt;=" &amp; AB$1, DataRegularSeason20242025!$D$3:$D$1315, $A53)+SUMIFS(DataRegularSeason20242025!$AB$3:$AB$1315,DataRegularSeason20242025!$B$3:$B$1315, "&lt;=" &amp; AB$1, DataRegularSeason20242025!$E$3:$E$1315, $A53)</f>
        <v>6</v>
      </c>
      <c r="AC53">
        <f>SUMIFS(DataRegularSeason20242025!$AA$3:$AA$1315,DataRegularSeason20242025!$B$3:$B$1315, "&lt;=" &amp; AC$1, DataRegularSeason20242025!$D$3:$D$1315, $A53)+SUMIFS(DataRegularSeason20242025!$AB$3:$AB$1315,DataRegularSeason20242025!$B$3:$B$1315, "&lt;=" &amp; AC$1, DataRegularSeason20242025!$E$3:$E$1315, $A53)</f>
        <v>6</v>
      </c>
      <c r="AD53">
        <f>SUMIFS(DataRegularSeason20242025!$AA$3:$AA$1315,DataRegularSeason20242025!$B$3:$B$1315, "&lt;=" &amp; AD$1, DataRegularSeason20242025!$D$3:$D$1315, $A53)+SUMIFS(DataRegularSeason20242025!$AB$3:$AB$1315,DataRegularSeason20242025!$B$3:$B$1315, "&lt;=" &amp; AD$1, DataRegularSeason20242025!$E$3:$E$1315, $A53)</f>
        <v>6</v>
      </c>
      <c r="AE53">
        <f>SUMIFS(DataRegularSeason20242025!$AA$3:$AA$1315,DataRegularSeason20242025!$B$3:$B$1315, "&lt;=" &amp; AE$1, DataRegularSeason20242025!$D$3:$D$1315, $A53)+SUMIFS(DataRegularSeason20242025!$AB$3:$AB$1315,DataRegularSeason20242025!$B$3:$B$1315, "&lt;=" &amp; AE$1, DataRegularSeason20242025!$E$3:$E$1315, $A53)</f>
        <v>6</v>
      </c>
      <c r="AF53">
        <f>SUMIFS(DataRegularSeason20242025!$AA$3:$AA$1315,DataRegularSeason20242025!$B$3:$B$1315, "&lt;=" &amp; AF$1, DataRegularSeason20242025!$D$3:$D$1315, $A53)+SUMIFS(DataRegularSeason20242025!$AB$3:$AB$1315,DataRegularSeason20242025!$B$3:$B$1315, "&lt;=" &amp; AF$1, DataRegularSeason20242025!$E$3:$E$1315, $A53)</f>
        <v>6</v>
      </c>
      <c r="AG53">
        <f>SUMIFS(DataRegularSeason20242025!$AA$3:$AA$1315,DataRegularSeason20242025!$B$3:$B$1315, "&lt;=" &amp; AG$1, DataRegularSeason20242025!$D$3:$D$1315, $A53)+SUMIFS(DataRegularSeason20242025!$AB$3:$AB$1315,DataRegularSeason20242025!$B$3:$B$1315, "&lt;=" &amp; AG$1, DataRegularSeason20242025!$E$3:$E$1315, $A53)</f>
        <v>6</v>
      </c>
      <c r="AH53">
        <f>SUMIFS(DataRegularSeason20242025!$AA$3:$AA$1315,DataRegularSeason20242025!$B$3:$B$1315, "&lt;=" &amp; AH$1, DataRegularSeason20242025!$D$3:$D$1315, $A53)+SUMIFS(DataRegularSeason20242025!$AB$3:$AB$1315,DataRegularSeason20242025!$B$3:$B$1315, "&lt;=" &amp; AH$1, DataRegularSeason20242025!$E$3:$E$1315, $A53)</f>
        <v>6</v>
      </c>
      <c r="AI53">
        <f>SUMIFS(DataRegularSeason20242025!$AA$3:$AA$1315,DataRegularSeason20242025!$B$3:$B$1315, "&lt;=" &amp; AI$1, DataRegularSeason20242025!$D$3:$D$1315, $A53)+SUMIFS(DataRegularSeason20242025!$AB$3:$AB$1315,DataRegularSeason20242025!$B$3:$B$1315, "&lt;=" &amp; AI$1, DataRegularSeason20242025!$E$3:$E$1315, $A53)</f>
        <v>6</v>
      </c>
      <c r="AJ53">
        <f>SUMIFS(DataRegularSeason20242025!$AA$3:$AA$1315,DataRegularSeason20242025!$B$3:$B$1315, "&lt;=" &amp; AJ$1, DataRegularSeason20242025!$D$3:$D$1315, $A53)+SUMIFS(DataRegularSeason20242025!$AB$3:$AB$1315,DataRegularSeason20242025!$B$3:$B$1315, "&lt;=" &amp; AJ$1, DataRegularSeason20242025!$E$3:$E$1315, $A53)</f>
        <v>6</v>
      </c>
      <c r="AK53">
        <f>SUMIFS(DataRegularSeason20242025!$AA$3:$AA$1315,DataRegularSeason20242025!$B$3:$B$1315, "&lt;=" &amp; AK$1, DataRegularSeason20242025!$D$3:$D$1315, $A53)+SUMIFS(DataRegularSeason20242025!$AB$3:$AB$1315,DataRegularSeason20242025!$B$3:$B$1315, "&lt;=" &amp; AK$1, DataRegularSeason20242025!$E$3:$E$1315, $A53)</f>
        <v>6</v>
      </c>
      <c r="AL53">
        <f>SUMIFS(DataRegularSeason20242025!$AA$3:$AA$1315,DataRegularSeason20242025!$B$3:$B$1315, "&lt;=" &amp; AL$1, DataRegularSeason20242025!$D$3:$D$1315, $A53)+SUMIFS(DataRegularSeason20242025!$AB$3:$AB$1315,DataRegularSeason20242025!$B$3:$B$1315, "&lt;=" &amp; AL$1, DataRegularSeason20242025!$E$3:$E$1315, $A53)</f>
        <v>6</v>
      </c>
      <c r="AM53">
        <f>SUMIFS(DataRegularSeason20242025!$AA$3:$AA$1315,DataRegularSeason20242025!$B$3:$B$1315, "&lt;=" &amp; AM$1, DataRegularSeason20242025!$D$3:$D$1315, $A53)+SUMIFS(DataRegularSeason20242025!$AB$3:$AB$1315,DataRegularSeason20242025!$B$3:$B$1315, "&lt;=" &amp; AM$1, DataRegularSeason20242025!$E$3:$E$1315, $A53)</f>
        <v>6</v>
      </c>
      <c r="AN53">
        <f>SUMIFS(DataRegularSeason20242025!$AA$3:$AA$1315,DataRegularSeason20242025!$B$3:$B$1315, "&lt;=" &amp; AN$1, DataRegularSeason20242025!$D$3:$D$1315, $A53)+SUMIFS(DataRegularSeason20242025!$AB$3:$AB$1315,DataRegularSeason20242025!$B$3:$B$1315, "&lt;=" &amp; AN$1, DataRegularSeason20242025!$E$3:$E$1315, $A53)</f>
        <v>6</v>
      </c>
      <c r="AO53">
        <f>SUMIFS(DataRegularSeason20242025!$AA$3:$AA$1315,DataRegularSeason20242025!$B$3:$B$1315, "&lt;=" &amp; AO$1, DataRegularSeason20242025!$D$3:$D$1315, $A53)+SUMIFS(DataRegularSeason20242025!$AB$3:$AB$1315,DataRegularSeason20242025!$B$3:$B$1315, "&lt;=" &amp; AO$1, DataRegularSeason20242025!$E$3:$E$1315, $A53)</f>
        <v>6</v>
      </c>
      <c r="AP53">
        <f>SUMIFS(DataRegularSeason20242025!$AA$3:$AA$1315,DataRegularSeason20242025!$B$3:$B$1315, "&lt;=" &amp; AP$1, DataRegularSeason20242025!$D$3:$D$1315, $A53)+SUMIFS(DataRegularSeason20242025!$AB$3:$AB$1315,DataRegularSeason20242025!$B$3:$B$1315, "&lt;=" &amp; AP$1, DataRegularSeason20242025!$E$3:$E$1315, $A53)</f>
        <v>6</v>
      </c>
      <c r="AQ53">
        <f>SUMIFS(DataRegularSeason20242025!$AA$3:$AA$1315,DataRegularSeason20242025!$B$3:$B$1315, "&lt;=" &amp; AQ$1, DataRegularSeason20242025!$D$3:$D$1315, $A53)+SUMIFS(DataRegularSeason20242025!$AB$3:$AB$1315,DataRegularSeason20242025!$B$3:$B$1315, "&lt;=" &amp; AQ$1, DataRegularSeason20242025!$E$3:$E$1315, $A53)</f>
        <v>6</v>
      </c>
      <c r="AR53">
        <f>SUMIFS(DataRegularSeason20242025!$AA$3:$AA$1315,DataRegularSeason20242025!$B$3:$B$1315, "&lt;=" &amp; AR$1, DataRegularSeason20242025!$D$3:$D$1315, $A53)+SUMIFS(DataRegularSeason20242025!$AB$3:$AB$1315,DataRegularSeason20242025!$B$3:$B$1315, "&lt;=" &amp; AR$1, DataRegularSeason20242025!$E$3:$E$1315, $A53)</f>
        <v>6</v>
      </c>
      <c r="AS53">
        <f>SUMIFS(DataRegularSeason20242025!$AA$3:$AA$1315,DataRegularSeason20242025!$B$3:$B$1315, "&lt;=" &amp; AS$1, DataRegularSeason20242025!$D$3:$D$1315, $A53)+SUMIFS(DataRegularSeason20242025!$AB$3:$AB$1315,DataRegularSeason20242025!$B$3:$B$1315, "&lt;=" &amp; AS$1, DataRegularSeason20242025!$E$3:$E$1315, $A53)</f>
        <v>6</v>
      </c>
      <c r="AT53">
        <f>SUMIFS(DataRegularSeason20242025!$AA$3:$AA$1315,DataRegularSeason20242025!$B$3:$B$1315, "&lt;=" &amp; AT$1, DataRegularSeason20242025!$D$3:$D$1315, $A53)+SUMIFS(DataRegularSeason20242025!$AB$3:$AB$1315,DataRegularSeason20242025!$B$3:$B$1315, "&lt;=" &amp; AT$1, DataRegularSeason20242025!$E$3:$E$1315, $A53)</f>
        <v>6</v>
      </c>
      <c r="AU53">
        <f>SUMIFS(DataRegularSeason20242025!$AA$3:$AA$1315,DataRegularSeason20242025!$B$3:$B$1315, "&lt;=" &amp; AU$1, DataRegularSeason20242025!$D$3:$D$1315, $A53)+SUMIFS(DataRegularSeason20242025!$AB$3:$AB$1315,DataRegularSeason20242025!$B$3:$B$1315, "&lt;=" &amp; AU$1, DataRegularSeason20242025!$E$3:$E$1315, $A53)</f>
        <v>6</v>
      </c>
      <c r="AV53">
        <f>SUMIFS(DataRegularSeason20242025!$AA$3:$AA$1315,DataRegularSeason20242025!$B$3:$B$1315, "&lt;=" &amp; AV$1, DataRegularSeason20242025!$D$3:$D$1315, $A53)+SUMIFS(DataRegularSeason20242025!$AB$3:$AB$1315,DataRegularSeason20242025!$B$3:$B$1315, "&lt;=" &amp; AV$1, DataRegularSeason20242025!$E$3:$E$1315, $A53)</f>
        <v>6</v>
      </c>
      <c r="AW53">
        <f>SUMIFS(DataRegularSeason20242025!$AA$3:$AA$1315,DataRegularSeason20242025!$B$3:$B$1315, "&lt;=" &amp; AW$1, DataRegularSeason20242025!$D$3:$D$1315, $A53)+SUMIFS(DataRegularSeason20242025!$AB$3:$AB$1315,DataRegularSeason20242025!$B$3:$B$1315, "&lt;=" &amp; AW$1, DataRegularSeason20242025!$E$3:$E$1315, $A53)</f>
        <v>6</v>
      </c>
      <c r="AX53">
        <f>SUMIFS(DataRegularSeason20242025!$AA$3:$AA$1315,DataRegularSeason20242025!$B$3:$B$1315, "&lt;=" &amp; AX$1, DataRegularSeason20242025!$D$3:$D$1315, $A53)+SUMIFS(DataRegularSeason20242025!$AB$3:$AB$1315,DataRegularSeason20242025!$B$3:$B$1315, "&lt;=" &amp; AX$1, DataRegularSeason20242025!$E$3:$E$1315, $A53)</f>
        <v>6</v>
      </c>
      <c r="AY53">
        <f>SUMIFS(DataRegularSeason20242025!$AA$3:$AA$1315,DataRegularSeason20242025!$B$3:$B$1315, "&lt;=" &amp; AY$1, DataRegularSeason20242025!$D$3:$D$1315, $A53)+SUMIFS(DataRegularSeason20242025!$AB$3:$AB$1315,DataRegularSeason20242025!$B$3:$B$1315, "&lt;=" &amp; AY$1, DataRegularSeason20242025!$E$3:$E$1315, $A53)</f>
        <v>6</v>
      </c>
      <c r="AZ53">
        <f>SUMIFS(DataRegularSeason20242025!$AA$3:$AA$1315,DataRegularSeason20242025!$B$3:$B$1315, "&lt;=" &amp; AZ$1, DataRegularSeason20242025!$D$3:$D$1315, $A53)+SUMIFS(DataRegularSeason20242025!$AB$3:$AB$1315,DataRegularSeason20242025!$B$3:$B$1315, "&lt;=" &amp; AZ$1, DataRegularSeason20242025!$E$3:$E$1315, $A53)</f>
        <v>6</v>
      </c>
      <c r="BA53">
        <f>SUMIFS(DataRegularSeason20242025!$AA$3:$AA$1315,DataRegularSeason20242025!$B$3:$B$1315, "&lt;=" &amp; BA$1, DataRegularSeason20242025!$D$3:$D$1315, $A53)+SUMIFS(DataRegularSeason20242025!$AB$3:$AB$1315,DataRegularSeason20242025!$B$3:$B$1315, "&lt;=" &amp; BA$1, DataRegularSeason20242025!$E$3:$E$1315, $A53)</f>
        <v>6</v>
      </c>
      <c r="BB53">
        <f>SUMIFS(DataRegularSeason20242025!$AA$3:$AA$1315,DataRegularSeason20242025!$B$3:$B$1315, "&lt;=" &amp; BB$1, DataRegularSeason20242025!$D$3:$D$1315, $A53)+SUMIFS(DataRegularSeason20242025!$AB$3:$AB$1315,DataRegularSeason20242025!$B$3:$B$1315, "&lt;=" &amp; BB$1, DataRegularSeason20242025!$E$3:$E$1315, $A53)</f>
        <v>6</v>
      </c>
      <c r="BC53">
        <f>SUMIFS(DataRegularSeason20242025!$AA$3:$AA$1315,DataRegularSeason20242025!$B$3:$B$1315, "&lt;=" &amp; BC$1, DataRegularSeason20242025!$D$3:$D$1315, $A53)+SUMIFS(DataRegularSeason20242025!$AB$3:$AB$1315,DataRegularSeason20242025!$B$3:$B$1315, "&lt;=" &amp; BC$1, DataRegularSeason20242025!$E$3:$E$1315, $A53)</f>
        <v>6</v>
      </c>
      <c r="BD53">
        <f>SUMIFS(DataRegularSeason20242025!$AA$3:$AA$1315,DataRegularSeason20242025!$B$3:$B$1315, "&lt;=" &amp; BD$1, DataRegularSeason20242025!$D$3:$D$1315, $A53)+SUMIFS(DataRegularSeason20242025!$AB$3:$AB$1315,DataRegularSeason20242025!$B$3:$B$1315, "&lt;=" &amp; BD$1, DataRegularSeason20242025!$E$3:$E$1315, $A53)</f>
        <v>6</v>
      </c>
      <c r="BE53">
        <f>SUMIFS(DataRegularSeason20242025!$AA$3:$AA$1315,DataRegularSeason20242025!$B$3:$B$1315, "&lt;=" &amp; BE$1, DataRegularSeason20242025!$D$3:$D$1315, $A53)+SUMIFS(DataRegularSeason20242025!$AB$3:$AB$1315,DataRegularSeason20242025!$B$3:$B$1315, "&lt;=" &amp; BE$1, DataRegularSeason20242025!$E$3:$E$1315, $A53)</f>
        <v>6</v>
      </c>
      <c r="BF53">
        <f>SUMIFS(DataRegularSeason20242025!$AA$3:$AA$1315,DataRegularSeason20242025!$B$3:$B$1315, "&lt;=" &amp; BF$1, DataRegularSeason20242025!$D$3:$D$1315, $A53)+SUMIFS(DataRegularSeason20242025!$AB$3:$AB$1315,DataRegularSeason20242025!$B$3:$B$1315, "&lt;=" &amp; BF$1, DataRegularSeason20242025!$E$3:$E$1315, $A53)</f>
        <v>6</v>
      </c>
      <c r="BG53">
        <f>SUMIFS(DataRegularSeason20242025!$AA$3:$AA$1315,DataRegularSeason20242025!$B$3:$B$1315, "&lt;=" &amp; BG$1, DataRegularSeason20242025!$D$3:$D$1315, $A53)+SUMIFS(DataRegularSeason20242025!$AB$3:$AB$1315,DataRegularSeason20242025!$B$3:$B$1315, "&lt;=" &amp; BG$1, DataRegularSeason20242025!$E$3:$E$1315, $A53)</f>
        <v>6</v>
      </c>
      <c r="BH53">
        <f>SUMIFS(DataRegularSeason20242025!$AA$3:$AA$1315,DataRegularSeason20242025!$B$3:$B$1315, "&lt;=" &amp; BH$1, DataRegularSeason20242025!$D$3:$D$1315, $A53)+SUMIFS(DataRegularSeason20242025!$AB$3:$AB$1315,DataRegularSeason20242025!$B$3:$B$1315, "&lt;=" &amp; BH$1, DataRegularSeason20242025!$E$3:$E$1315, $A53)</f>
        <v>6</v>
      </c>
      <c r="BI53">
        <f>SUMIFS(DataRegularSeason20242025!$AA$3:$AA$1315,DataRegularSeason20242025!$B$3:$B$1315, "&lt;=" &amp; BI$1, DataRegularSeason20242025!$D$3:$D$1315, $A53)+SUMIFS(DataRegularSeason20242025!$AB$3:$AB$1315,DataRegularSeason20242025!$B$3:$B$1315, "&lt;=" &amp; BI$1, DataRegularSeason20242025!$E$3:$E$1315, $A53)</f>
        <v>6</v>
      </c>
      <c r="BJ53">
        <f>SUMIFS(DataRegularSeason20242025!$AA$3:$AA$1315,DataRegularSeason20242025!$B$3:$B$1315, "&lt;=" &amp; BJ$1, DataRegularSeason20242025!$D$3:$D$1315, $A53)+SUMIFS(DataRegularSeason20242025!$AB$3:$AB$1315,DataRegularSeason20242025!$B$3:$B$1315, "&lt;=" &amp; BJ$1, DataRegularSeason20242025!$E$3:$E$1315, $A53)</f>
        <v>6</v>
      </c>
      <c r="BK53">
        <f>SUMIFS(DataRegularSeason20242025!$AA$3:$AA$1315,DataRegularSeason20242025!$B$3:$B$1315, "&lt;=" &amp; BK$1, DataRegularSeason20242025!$D$3:$D$1315, $A53)+SUMIFS(DataRegularSeason20242025!$AB$3:$AB$1315,DataRegularSeason20242025!$B$3:$B$1315, "&lt;=" &amp; BK$1, DataRegularSeason20242025!$E$3:$E$1315, $A53)</f>
        <v>6</v>
      </c>
      <c r="BL53">
        <f>SUMIFS(DataRegularSeason20242025!$AA$3:$AA$1315,DataRegularSeason20242025!$B$3:$B$1315, "&lt;=" &amp; BL$1, DataRegularSeason20242025!$D$3:$D$1315, $A53)+SUMIFS(DataRegularSeason20242025!$AB$3:$AB$1315,DataRegularSeason20242025!$B$3:$B$1315, "&lt;=" &amp; BL$1, DataRegularSeason20242025!$E$3:$E$1315, $A53)</f>
        <v>6</v>
      </c>
      <c r="BM53">
        <f>SUMIFS(DataRegularSeason20242025!$AA$3:$AA$1315,DataRegularSeason20242025!$B$3:$B$1315, "&lt;=" &amp; BM$1, DataRegularSeason20242025!$D$3:$D$1315, $A53)+SUMIFS(DataRegularSeason20242025!$AB$3:$AB$1315,DataRegularSeason20242025!$B$3:$B$1315, "&lt;=" &amp; BM$1, DataRegularSeason20242025!$E$3:$E$1315, $A53)</f>
        <v>6</v>
      </c>
      <c r="BN53">
        <f>SUMIFS(DataRegularSeason20242025!$AA$3:$AA$1315,DataRegularSeason20242025!$B$3:$B$1315, "&lt;=" &amp; BN$1, DataRegularSeason20242025!$D$3:$D$1315, $A53)+SUMIFS(DataRegularSeason20242025!$AB$3:$AB$1315,DataRegularSeason20242025!$B$3:$B$1315, "&lt;=" &amp; BN$1, DataRegularSeason20242025!$E$3:$E$1315, $A53)</f>
        <v>6</v>
      </c>
      <c r="BO53">
        <f>SUMIFS(DataRegularSeason20242025!$AA$3:$AA$1315,DataRegularSeason20242025!$B$3:$B$1315, "&lt;=" &amp; BO$1, DataRegularSeason20242025!$D$3:$D$1315, $A53)+SUMIFS(DataRegularSeason20242025!$AB$3:$AB$1315,DataRegularSeason20242025!$B$3:$B$1315, "&lt;=" &amp; BO$1, DataRegularSeason20242025!$E$3:$E$1315, $A53)</f>
        <v>6</v>
      </c>
      <c r="BP53">
        <f>SUMIFS(DataRegularSeason20242025!$AA$3:$AA$1315,DataRegularSeason20242025!$B$3:$B$1315, "&lt;=" &amp; BP$1, DataRegularSeason20242025!$D$3:$D$1315, $A53)+SUMIFS(DataRegularSeason20242025!$AB$3:$AB$1315,DataRegularSeason20242025!$B$3:$B$1315, "&lt;=" &amp; BP$1, DataRegularSeason20242025!$E$3:$E$1315, $A53)</f>
        <v>6</v>
      </c>
      <c r="BQ53">
        <f>SUMIFS(DataRegularSeason20242025!$AA$3:$AA$1315,DataRegularSeason20242025!$B$3:$B$1315, "&lt;=" &amp; BQ$1, DataRegularSeason20242025!$D$3:$D$1315, $A53)+SUMIFS(DataRegularSeason20242025!$AB$3:$AB$1315,DataRegularSeason20242025!$B$3:$B$1315, "&lt;=" &amp; BQ$1, DataRegularSeason20242025!$E$3:$E$1315, $A53)</f>
        <v>6</v>
      </c>
      <c r="BR53">
        <f>SUMIFS(DataRegularSeason20242025!$AA$3:$AA$1315,DataRegularSeason20242025!$B$3:$B$1315, "&lt;=" &amp; BR$1, DataRegularSeason20242025!$D$3:$D$1315, $A53)+SUMIFS(DataRegularSeason20242025!$AB$3:$AB$1315,DataRegularSeason20242025!$B$3:$B$1315, "&lt;=" &amp; BR$1, DataRegularSeason20242025!$E$3:$E$1315, $A53)</f>
        <v>6</v>
      </c>
      <c r="BS53">
        <f>SUMIFS(DataRegularSeason20242025!$AA$3:$AA$1315,DataRegularSeason20242025!$B$3:$B$1315, "&lt;=" &amp; BS$1, DataRegularSeason20242025!$D$3:$D$1315, $A53)+SUMIFS(DataRegularSeason20242025!$AB$3:$AB$1315,DataRegularSeason20242025!$B$3:$B$1315, "&lt;=" &amp; BS$1, DataRegularSeason20242025!$E$3:$E$1315, $A53)</f>
        <v>6</v>
      </c>
      <c r="BT53">
        <f>SUMIFS(DataRegularSeason20242025!$AA$3:$AA$1315,DataRegularSeason20242025!$B$3:$B$1315, "&lt;=" &amp; BT$1, DataRegularSeason20242025!$D$3:$D$1315, $A53)+SUMIFS(DataRegularSeason20242025!$AB$3:$AB$1315,DataRegularSeason20242025!$B$3:$B$1315, "&lt;=" &amp; BT$1, DataRegularSeason20242025!$E$3:$E$1315, $A53)</f>
        <v>6</v>
      </c>
      <c r="BU53">
        <f>SUMIFS(DataRegularSeason20242025!$AA$3:$AA$1315,DataRegularSeason20242025!$B$3:$B$1315, "&lt;=" &amp; BU$1, DataRegularSeason20242025!$D$3:$D$1315, $A53)+SUMIFS(DataRegularSeason20242025!$AB$3:$AB$1315,DataRegularSeason20242025!$B$3:$B$1315, "&lt;=" &amp; BU$1, DataRegularSeason20242025!$E$3:$E$1315, $A53)</f>
        <v>6</v>
      </c>
      <c r="BV53">
        <f>SUMIFS(DataRegularSeason20242025!$AA$3:$AA$1315,DataRegularSeason20242025!$B$3:$B$1315, "&lt;=" &amp; BV$1, DataRegularSeason20242025!$D$3:$D$1315, $A53)+SUMIFS(DataRegularSeason20242025!$AB$3:$AB$1315,DataRegularSeason20242025!$B$3:$B$1315, "&lt;=" &amp; BV$1, DataRegularSeason20242025!$E$3:$E$1315, $A53)</f>
        <v>6</v>
      </c>
      <c r="BW53">
        <f>SUMIFS(DataRegularSeason20242025!$AA$3:$AA$1315,DataRegularSeason20242025!$B$3:$B$1315, "&lt;=" &amp; BW$1, DataRegularSeason20242025!$D$3:$D$1315, $A53)+SUMIFS(DataRegularSeason20242025!$AB$3:$AB$1315,DataRegularSeason20242025!$B$3:$B$1315, "&lt;=" &amp; BW$1, DataRegularSeason20242025!$E$3:$E$1315, $A53)</f>
        <v>6</v>
      </c>
      <c r="BX53">
        <f>SUMIFS(DataRegularSeason20242025!$AA$3:$AA$1315,DataRegularSeason20242025!$B$3:$B$1315, "&lt;=" &amp; BX$1, DataRegularSeason20242025!$D$3:$D$1315, $A53)+SUMIFS(DataRegularSeason20242025!$AB$3:$AB$1315,DataRegularSeason20242025!$B$3:$B$1315, "&lt;=" &amp; BX$1, DataRegularSeason20242025!$E$3:$E$1315, $A53)</f>
        <v>6</v>
      </c>
      <c r="BY53">
        <f>SUMIFS(DataRegularSeason20242025!$AA$3:$AA$1315,DataRegularSeason20242025!$B$3:$B$1315, "&lt;=" &amp; BY$1, DataRegularSeason20242025!$D$3:$D$1315, $A53)+SUMIFS(DataRegularSeason20242025!$AB$3:$AB$1315,DataRegularSeason20242025!$B$3:$B$1315, "&lt;=" &amp; BY$1, DataRegularSeason20242025!$E$3:$E$1315, $A53)</f>
        <v>6</v>
      </c>
      <c r="BZ53">
        <f>SUMIFS(DataRegularSeason20242025!$AA$3:$AA$1315,DataRegularSeason20242025!$B$3:$B$1315, "&lt;=" &amp; BZ$1, DataRegularSeason20242025!$D$3:$D$1315, $A53)+SUMIFS(DataRegularSeason20242025!$AB$3:$AB$1315,DataRegularSeason20242025!$B$3:$B$1315, "&lt;=" &amp; BZ$1, DataRegularSeason20242025!$E$3:$E$1315, $A53)</f>
        <v>6</v>
      </c>
      <c r="CA53">
        <f>SUMIFS(DataRegularSeason20242025!$AA$3:$AA$1315,DataRegularSeason20242025!$B$3:$B$1315, "&lt;=" &amp; CA$1, DataRegularSeason20242025!$D$3:$D$1315, $A53)+SUMIFS(DataRegularSeason20242025!$AB$3:$AB$1315,DataRegularSeason20242025!$B$3:$B$1315, "&lt;=" &amp; CA$1, DataRegularSeason20242025!$E$3:$E$1315, $A53)</f>
        <v>6</v>
      </c>
      <c r="CB53">
        <f>SUMIFS(DataRegularSeason20242025!$AA$3:$AA$1315,DataRegularSeason20242025!$B$3:$B$1315, "&lt;=" &amp; CB$1, DataRegularSeason20242025!$D$3:$D$1315, $A53)+SUMIFS(DataRegularSeason20242025!$AB$3:$AB$1315,DataRegularSeason20242025!$B$3:$B$1315, "&lt;=" &amp; CB$1, DataRegularSeason20242025!$E$3:$E$1315, $A53)</f>
        <v>6</v>
      </c>
      <c r="CC53">
        <f>SUMIFS(DataRegularSeason20242025!$AA$3:$AA$1315,DataRegularSeason20242025!$B$3:$B$1315, "&lt;=" &amp; CC$1, DataRegularSeason20242025!$D$3:$D$1315, $A53)+SUMIFS(DataRegularSeason20242025!$AB$3:$AB$1315,DataRegularSeason20242025!$B$3:$B$1315, "&lt;=" &amp; CC$1, DataRegularSeason20242025!$E$3:$E$1315, $A53)</f>
        <v>6</v>
      </c>
      <c r="CD53">
        <f>SUMIFS(DataRegularSeason20242025!$AA$3:$AA$1315,DataRegularSeason20242025!$B$3:$B$1315, "&lt;=" &amp; CD$1, DataRegularSeason20242025!$D$3:$D$1315, $A53)+SUMIFS(DataRegularSeason20242025!$AB$3:$AB$1315,DataRegularSeason20242025!$B$3:$B$1315, "&lt;=" &amp; CD$1, DataRegularSeason20242025!$E$3:$E$1315, $A53)</f>
        <v>6</v>
      </c>
      <c r="CE53">
        <f>SUMIFS(DataRegularSeason20242025!$AA$3:$AA$1315,DataRegularSeason20242025!$B$3:$B$1315, "&lt;=" &amp; CE$1, DataRegularSeason20242025!$D$3:$D$1315, $A53)+SUMIFS(DataRegularSeason20242025!$AB$3:$AB$1315,DataRegularSeason20242025!$B$3:$B$1315, "&lt;=" &amp; CE$1, DataRegularSeason20242025!$E$3:$E$1315, $A53)</f>
        <v>6</v>
      </c>
      <c r="CF53">
        <f>SUMIFS(DataRegularSeason20242025!$AA$3:$AA$1315,DataRegularSeason20242025!$B$3:$B$1315, "&lt;=" &amp; CF$1, DataRegularSeason20242025!$D$3:$D$1315, $A53)+SUMIFS(DataRegularSeason20242025!$AB$3:$AB$1315,DataRegularSeason20242025!$B$3:$B$1315, "&lt;=" &amp; CF$1, DataRegularSeason20242025!$E$3:$E$1315, $A53)</f>
        <v>6</v>
      </c>
      <c r="CG53">
        <f>SUMIFS(DataRegularSeason20242025!$AA$3:$AA$1315,DataRegularSeason20242025!$B$3:$B$1315, "&lt;=" &amp; CG$1, DataRegularSeason20242025!$D$3:$D$1315, $A53)+SUMIFS(DataRegularSeason20242025!$AB$3:$AB$1315,DataRegularSeason20242025!$B$3:$B$1315, "&lt;=" &amp; CG$1, DataRegularSeason20242025!$E$3:$E$1315, $A53)</f>
        <v>6</v>
      </c>
      <c r="CH53">
        <f>SUMIFS(DataRegularSeason20242025!$AA$3:$AA$1315,DataRegularSeason20242025!$B$3:$B$1315, "&lt;=" &amp; CH$1, DataRegularSeason20242025!$D$3:$D$1315, $A53)+SUMIFS(DataRegularSeason20242025!$AB$3:$AB$1315,DataRegularSeason20242025!$B$3:$B$1315, "&lt;=" &amp; CH$1, DataRegularSeason20242025!$E$3:$E$1315, $A53)</f>
        <v>6</v>
      </c>
      <c r="CI53">
        <f>SUMIFS(DataRegularSeason20242025!$AA$3:$AA$1315,DataRegularSeason20242025!$B$3:$B$1315, "&lt;=" &amp; CI$1, DataRegularSeason20242025!$D$3:$D$1315, $A53)+SUMIFS(DataRegularSeason20242025!$AB$3:$AB$1315,DataRegularSeason20242025!$B$3:$B$1315, "&lt;=" &amp; CI$1, DataRegularSeason20242025!$E$3:$E$1315, $A53)</f>
        <v>6</v>
      </c>
      <c r="CJ53">
        <f>SUMIFS(DataRegularSeason20242025!$AA$3:$AA$1315,DataRegularSeason20242025!$B$3:$B$1315, "&lt;=" &amp; CJ$1, DataRegularSeason20242025!$D$3:$D$1315, $A53)+SUMIFS(DataRegularSeason20242025!$AB$3:$AB$1315,DataRegularSeason20242025!$B$3:$B$1315, "&lt;=" &amp; CJ$1, DataRegularSeason20242025!$E$3:$E$1315, $A53)</f>
        <v>6</v>
      </c>
      <c r="CK53">
        <f>SUMIFS(DataRegularSeason20242025!$AA$3:$AA$1315,DataRegularSeason20242025!$B$3:$B$1315, "&lt;=" &amp; CK$1, DataRegularSeason20242025!$D$3:$D$1315, $A53)+SUMIFS(DataRegularSeason20242025!$AB$3:$AB$1315,DataRegularSeason20242025!$B$3:$B$1315, "&lt;=" &amp; CK$1, DataRegularSeason20242025!$E$3:$E$1315, $A53)</f>
        <v>6</v>
      </c>
      <c r="CL53">
        <f>SUMIFS(DataRegularSeason20242025!$AA$3:$AA$1315,DataRegularSeason20242025!$B$3:$B$1315, "&lt;=" &amp; CL$1, DataRegularSeason20242025!$D$3:$D$1315, $A53)+SUMIFS(DataRegularSeason20242025!$AB$3:$AB$1315,DataRegularSeason20242025!$B$3:$B$1315, "&lt;=" &amp; CL$1, DataRegularSeason20242025!$E$3:$E$1315, $A53)</f>
        <v>6</v>
      </c>
      <c r="CM53">
        <f>SUMIFS(DataRegularSeason20242025!$AA$3:$AA$1315,DataRegularSeason20242025!$B$3:$B$1315, "&lt;=" &amp; CM$1, DataRegularSeason20242025!$D$3:$D$1315, $A53)+SUMIFS(DataRegularSeason20242025!$AB$3:$AB$1315,DataRegularSeason20242025!$B$3:$B$1315, "&lt;=" &amp; CM$1, DataRegularSeason20242025!$E$3:$E$1315, $A53)</f>
        <v>6</v>
      </c>
      <c r="CN53">
        <f>SUMIFS(DataRegularSeason20242025!$AA$3:$AA$1315,DataRegularSeason20242025!$B$3:$B$1315, "&lt;=" &amp; CN$1, DataRegularSeason20242025!$D$3:$D$1315, $A53)+SUMIFS(DataRegularSeason20242025!$AB$3:$AB$1315,DataRegularSeason20242025!$B$3:$B$1315, "&lt;=" &amp; CN$1, DataRegularSeason20242025!$E$3:$E$1315, $A53)</f>
        <v>6</v>
      </c>
      <c r="CO53">
        <f>SUMIFS(DataRegularSeason20242025!$AA$3:$AA$1315,DataRegularSeason20242025!$B$3:$B$1315, "&lt;=" &amp; CO$1, DataRegularSeason20242025!$D$3:$D$1315, $A53)+SUMIFS(DataRegularSeason20242025!$AB$3:$AB$1315,DataRegularSeason20242025!$B$3:$B$1315, "&lt;=" &amp; CO$1, DataRegularSeason20242025!$E$3:$E$1315, $A53)</f>
        <v>6</v>
      </c>
      <c r="CP53">
        <f>SUMIFS(DataRegularSeason20242025!$AA$3:$AA$1315,DataRegularSeason20242025!$B$3:$B$1315, "&lt;=" &amp; CP$1, DataRegularSeason20242025!$D$3:$D$1315, $A53)+SUMIFS(DataRegularSeason20242025!$AB$3:$AB$1315,DataRegularSeason20242025!$B$3:$B$1315, "&lt;=" &amp; CP$1, DataRegularSeason20242025!$E$3:$E$1315, $A53)</f>
        <v>6</v>
      </c>
      <c r="CQ53">
        <f>SUMIFS(DataRegularSeason20242025!$AA$3:$AA$1315,DataRegularSeason20242025!$B$3:$B$1315, "&lt;=" &amp; CQ$1, DataRegularSeason20242025!$D$3:$D$1315, $A53)+SUMIFS(DataRegularSeason20242025!$AB$3:$AB$1315,DataRegularSeason20242025!$B$3:$B$1315, "&lt;=" &amp; CQ$1, DataRegularSeason20242025!$E$3:$E$1315, $A53)</f>
        <v>6</v>
      </c>
      <c r="CR53">
        <f>SUMIFS(DataRegularSeason20242025!$AA$3:$AA$1315,DataRegularSeason20242025!$B$3:$B$1315, "&lt;=" &amp; CR$1, DataRegularSeason20242025!$D$3:$D$1315, $A53)+SUMIFS(DataRegularSeason20242025!$AB$3:$AB$1315,DataRegularSeason20242025!$B$3:$B$1315, "&lt;=" &amp; CR$1, DataRegularSeason20242025!$E$3:$E$1315, $A53)</f>
        <v>6</v>
      </c>
      <c r="CS53">
        <f>SUMIFS(DataRegularSeason20242025!$AA$3:$AA$1315,DataRegularSeason20242025!$B$3:$B$1315, "&lt;=" &amp; CS$1, DataRegularSeason20242025!$D$3:$D$1315, $A53)+SUMIFS(DataRegularSeason20242025!$AB$3:$AB$1315,DataRegularSeason20242025!$B$3:$B$1315, "&lt;=" &amp; CS$1, DataRegularSeason20242025!$E$3:$E$1315, $A53)</f>
        <v>6</v>
      </c>
      <c r="CT53">
        <f>SUMIFS(DataRegularSeason20242025!$AA$3:$AA$1315,DataRegularSeason20242025!$B$3:$B$1315, "&lt;=" &amp; CT$1, DataRegularSeason20242025!$D$3:$D$1315, $A53)+SUMIFS(DataRegularSeason20242025!$AB$3:$AB$1315,DataRegularSeason20242025!$B$3:$B$1315, "&lt;=" &amp; CT$1, DataRegularSeason20242025!$E$3:$E$1315, $A53)</f>
        <v>6</v>
      </c>
      <c r="CU53">
        <f>SUMIFS(DataRegularSeason20242025!$AA$3:$AA$1315,DataRegularSeason20242025!$B$3:$B$1315, "&lt;=" &amp; CU$1, DataRegularSeason20242025!$D$3:$D$1315, $A53)+SUMIFS(DataRegularSeason20242025!$AB$3:$AB$1315,DataRegularSeason20242025!$B$3:$B$1315, "&lt;=" &amp; CU$1, DataRegularSeason20242025!$E$3:$E$1315, $A53)</f>
        <v>6</v>
      </c>
      <c r="CV53">
        <f>SUMIFS(DataRegularSeason20242025!$AA$3:$AA$1315,DataRegularSeason20242025!$B$3:$B$1315, "&lt;=" &amp; CV$1, DataRegularSeason20242025!$D$3:$D$1315, $A53)+SUMIFS(DataRegularSeason20242025!$AB$3:$AB$1315,DataRegularSeason20242025!$B$3:$B$1315, "&lt;=" &amp; CV$1, DataRegularSeason20242025!$E$3:$E$1315, $A53)</f>
        <v>6</v>
      </c>
      <c r="CW53">
        <f>SUMIFS(DataRegularSeason20242025!$AA$3:$AA$1315,DataRegularSeason20242025!$B$3:$B$1315, "&lt;=" &amp; CW$1, DataRegularSeason20242025!$D$3:$D$1315, $A53)+SUMIFS(DataRegularSeason20242025!$AB$3:$AB$1315,DataRegularSeason20242025!$B$3:$B$1315, "&lt;=" &amp; CW$1, DataRegularSeason20242025!$E$3:$E$1315, $A53)</f>
        <v>6</v>
      </c>
      <c r="CX53">
        <f>SUMIFS(DataRegularSeason20242025!$AA$3:$AA$1315,DataRegularSeason20242025!$B$3:$B$1315, "&lt;=" &amp; CX$1, DataRegularSeason20242025!$D$3:$D$1315, $A53)+SUMIFS(DataRegularSeason20242025!$AB$3:$AB$1315,DataRegularSeason20242025!$B$3:$B$1315, "&lt;=" &amp; CX$1, DataRegularSeason20242025!$E$3:$E$1315, $A53)</f>
        <v>6</v>
      </c>
      <c r="CY53">
        <f>SUMIFS(DataRegularSeason20242025!$AA$3:$AA$1315,DataRegularSeason20242025!$B$3:$B$1315, "&lt;=" &amp; CY$1, DataRegularSeason20242025!$D$3:$D$1315, $A53)+SUMIFS(DataRegularSeason20242025!$AB$3:$AB$1315,DataRegularSeason20242025!$B$3:$B$1315, "&lt;=" &amp; CY$1, DataRegularSeason20242025!$E$3:$E$1315, $A53)</f>
        <v>6</v>
      </c>
      <c r="CZ53">
        <f>SUMIFS(DataRegularSeason20242025!$AA$3:$AA$1315,DataRegularSeason20242025!$B$3:$B$1315, "&lt;=" &amp; CZ$1, DataRegularSeason20242025!$D$3:$D$1315, $A53)+SUMIFS(DataRegularSeason20242025!$AB$3:$AB$1315,DataRegularSeason20242025!$B$3:$B$1315, "&lt;=" &amp; CZ$1, DataRegularSeason20242025!$E$3:$E$1315, $A53)</f>
        <v>6</v>
      </c>
      <c r="DA53">
        <f>SUMIFS(DataRegularSeason20242025!$AA$3:$AA$1315,DataRegularSeason20242025!$B$3:$B$1315, "&lt;=" &amp; DA$1, DataRegularSeason20242025!$D$3:$D$1315, $A53)+SUMIFS(DataRegularSeason20242025!$AB$3:$AB$1315,DataRegularSeason20242025!$B$3:$B$1315, "&lt;=" &amp; DA$1, DataRegularSeason20242025!$E$3:$E$1315, $A53)</f>
        <v>6</v>
      </c>
      <c r="DB53">
        <f>SUMIFS(DataRegularSeason20242025!$AA$3:$AA$1315,DataRegularSeason20242025!$B$3:$B$1315, "&lt;=" &amp; DB$1, DataRegularSeason20242025!$D$3:$D$1315, $A53)+SUMIFS(DataRegularSeason20242025!$AB$3:$AB$1315,DataRegularSeason20242025!$B$3:$B$1315, "&lt;=" &amp; DB$1, DataRegularSeason20242025!$E$3:$E$1315, $A53)</f>
        <v>6</v>
      </c>
      <c r="DC53">
        <f>SUMIFS(DataRegularSeason20242025!$AA$3:$AA$1315,DataRegularSeason20242025!$B$3:$B$1315, "&lt;=" &amp; DC$1, DataRegularSeason20242025!$D$3:$D$1315, $A53)+SUMIFS(DataRegularSeason20242025!$AB$3:$AB$1315,DataRegularSeason20242025!$B$3:$B$1315, "&lt;=" &amp; DC$1, DataRegularSeason20242025!$E$3:$E$1315, $A53)</f>
        <v>6</v>
      </c>
      <c r="DD53">
        <f>SUMIFS(DataRegularSeason20242025!$AA$3:$AA$1315,DataRegularSeason20242025!$B$3:$B$1315, "&lt;=" &amp; DD$1, DataRegularSeason20242025!$D$3:$D$1315, $A53)+SUMIFS(DataRegularSeason20242025!$AB$3:$AB$1315,DataRegularSeason20242025!$B$3:$B$1315, "&lt;=" &amp; DD$1, DataRegularSeason20242025!$E$3:$E$1315, $A53)</f>
        <v>6</v>
      </c>
      <c r="DE53">
        <f>SUMIFS(DataRegularSeason20242025!$AA$3:$AA$1315,DataRegularSeason20242025!$B$3:$B$1315, "&lt;=" &amp; DE$1, DataRegularSeason20242025!$D$3:$D$1315, $A53)+SUMIFS(DataRegularSeason20242025!$AB$3:$AB$1315,DataRegularSeason20242025!$B$3:$B$1315, "&lt;=" &amp; DE$1, DataRegularSeason20242025!$E$3:$E$1315, $A53)</f>
        <v>6</v>
      </c>
      <c r="DF53">
        <f>SUMIFS(DataRegularSeason20242025!$AA$3:$AA$1315,DataRegularSeason20242025!$B$3:$B$1315, "&lt;=" &amp; DF$1, DataRegularSeason20242025!$D$3:$D$1315, $A53)+SUMIFS(DataRegularSeason20242025!$AB$3:$AB$1315,DataRegularSeason20242025!$B$3:$B$1315, "&lt;=" &amp; DF$1, DataRegularSeason20242025!$E$3:$E$1315, $A53)</f>
        <v>6</v>
      </c>
      <c r="DG53">
        <f>SUMIFS(DataRegularSeason20242025!$AA$3:$AA$1315,DataRegularSeason20242025!$B$3:$B$1315, "&lt;=" &amp; DG$1, DataRegularSeason20242025!$D$3:$D$1315, $A53)+SUMIFS(DataRegularSeason20242025!$AB$3:$AB$1315,DataRegularSeason20242025!$B$3:$B$1315, "&lt;=" &amp; DG$1, DataRegularSeason20242025!$E$3:$E$1315, $A53)</f>
        <v>6</v>
      </c>
      <c r="DH53">
        <f>SUMIFS(DataRegularSeason20242025!$AA$3:$AA$1315,DataRegularSeason20242025!$B$3:$B$1315, "&lt;=" &amp; DH$1, DataRegularSeason20242025!$D$3:$D$1315, $A53)+SUMIFS(DataRegularSeason20242025!$AB$3:$AB$1315,DataRegularSeason20242025!$B$3:$B$1315, "&lt;=" &amp; DH$1, DataRegularSeason20242025!$E$3:$E$1315, $A53)</f>
        <v>6</v>
      </c>
      <c r="DI53">
        <f>SUMIFS(DataRegularSeason20242025!$AA$3:$AA$1315,DataRegularSeason20242025!$B$3:$B$1315, "&lt;=" &amp; DI$1, DataRegularSeason20242025!$D$3:$D$1315, $A53)+SUMIFS(DataRegularSeason20242025!$AB$3:$AB$1315,DataRegularSeason20242025!$B$3:$B$1315, "&lt;=" &amp; DI$1, DataRegularSeason20242025!$E$3:$E$1315, $A53)</f>
        <v>6</v>
      </c>
      <c r="DJ53">
        <f>SUMIFS(DataRegularSeason20242025!$AA$3:$AA$1315,DataRegularSeason20242025!$B$3:$B$1315, "&lt;=" &amp; DJ$1, DataRegularSeason20242025!$D$3:$D$1315, $A53)+SUMIFS(DataRegularSeason20242025!$AB$3:$AB$1315,DataRegularSeason20242025!$B$3:$B$1315, "&lt;=" &amp; DJ$1, DataRegularSeason20242025!$E$3:$E$1315, $A53)</f>
        <v>6</v>
      </c>
      <c r="DK53">
        <f>SUMIFS(DataRegularSeason20242025!$AA$3:$AA$1315,DataRegularSeason20242025!$B$3:$B$1315, "&lt;=" &amp; DK$1, DataRegularSeason20242025!$D$3:$D$1315, $A53)+SUMIFS(DataRegularSeason20242025!$AB$3:$AB$1315,DataRegularSeason20242025!$B$3:$B$1315, "&lt;=" &amp; DK$1, DataRegularSeason20242025!$E$3:$E$1315, $A53)</f>
        <v>6</v>
      </c>
      <c r="DL53">
        <f>SUMIFS(DataRegularSeason20242025!$AA$3:$AA$1315,DataRegularSeason20242025!$B$3:$B$1315, "&lt;=" &amp; DL$1, DataRegularSeason20242025!$D$3:$D$1315, $A53)+SUMIFS(DataRegularSeason20242025!$AB$3:$AB$1315,DataRegularSeason20242025!$B$3:$B$1315, "&lt;=" &amp; DL$1, DataRegularSeason20242025!$E$3:$E$1315, $A53)</f>
        <v>6</v>
      </c>
      <c r="DM53">
        <f>SUMIFS(DataRegularSeason20242025!$AA$3:$AA$1315,DataRegularSeason20242025!$B$3:$B$1315, "&lt;=" &amp; DM$1, DataRegularSeason20242025!$D$3:$D$1315, $A53)+SUMIFS(DataRegularSeason20242025!$AB$3:$AB$1315,DataRegularSeason20242025!$B$3:$B$1315, "&lt;=" &amp; DM$1, DataRegularSeason20242025!$E$3:$E$1315, $A53)</f>
        <v>6</v>
      </c>
      <c r="DN53">
        <f>SUMIFS(DataRegularSeason20242025!$AA$3:$AA$1315,DataRegularSeason20242025!$B$3:$B$1315, "&lt;=" &amp; DN$1, DataRegularSeason20242025!$D$3:$D$1315, $A53)+SUMIFS(DataRegularSeason20242025!$AB$3:$AB$1315,DataRegularSeason20242025!$B$3:$B$1315, "&lt;=" &amp; DN$1, DataRegularSeason20242025!$E$3:$E$1315, $A53)</f>
        <v>6</v>
      </c>
      <c r="DO53">
        <f>SUMIFS(DataRegularSeason20242025!$AA$3:$AA$1315,DataRegularSeason20242025!$B$3:$B$1315, "&lt;=" &amp; DO$1, DataRegularSeason20242025!$D$3:$D$1315, $A53)+SUMIFS(DataRegularSeason20242025!$AB$3:$AB$1315,DataRegularSeason20242025!$B$3:$B$1315, "&lt;=" &amp; DO$1, DataRegularSeason20242025!$E$3:$E$1315, $A53)</f>
        <v>6</v>
      </c>
      <c r="DP53">
        <f>SUMIFS(DataRegularSeason20242025!$AA$3:$AA$1315,DataRegularSeason20242025!$B$3:$B$1315, "&lt;=" &amp; DP$1, DataRegularSeason20242025!$D$3:$D$1315, $A53)+SUMIFS(DataRegularSeason20242025!$AB$3:$AB$1315,DataRegularSeason20242025!$B$3:$B$1315, "&lt;=" &amp; DP$1, DataRegularSeason20242025!$E$3:$E$1315, $A53)</f>
        <v>6</v>
      </c>
      <c r="DQ53">
        <f>SUMIFS(DataRegularSeason20242025!$AA$3:$AA$1315,DataRegularSeason20242025!$B$3:$B$1315, "&lt;=" &amp; DQ$1, DataRegularSeason20242025!$D$3:$D$1315, $A53)+SUMIFS(DataRegularSeason20242025!$AB$3:$AB$1315,DataRegularSeason20242025!$B$3:$B$1315, "&lt;=" &amp; DQ$1, DataRegularSeason20242025!$E$3:$E$1315, $A53)</f>
        <v>6</v>
      </c>
      <c r="DR53">
        <f>SUMIFS(DataRegularSeason20242025!$AA$3:$AA$1315,DataRegularSeason20242025!$B$3:$B$1315, "&lt;=" &amp; DR$1, DataRegularSeason20242025!$D$3:$D$1315, $A53)+SUMIFS(DataRegularSeason20242025!$AB$3:$AB$1315,DataRegularSeason20242025!$B$3:$B$1315, "&lt;=" &amp; DR$1, DataRegularSeason20242025!$E$3:$E$1315, $A53)</f>
        <v>6</v>
      </c>
      <c r="DS53">
        <f>SUMIFS(DataRegularSeason20242025!$AA$3:$AA$1315,DataRegularSeason20242025!$B$3:$B$1315, "&lt;=" &amp; DS$1, DataRegularSeason20242025!$D$3:$D$1315, $A53)+SUMIFS(DataRegularSeason20242025!$AB$3:$AB$1315,DataRegularSeason20242025!$B$3:$B$1315, "&lt;=" &amp; DS$1, DataRegularSeason20242025!$E$3:$E$1315, $A53)</f>
        <v>6</v>
      </c>
      <c r="DT53">
        <f>SUMIFS(DataRegularSeason20242025!$AA$3:$AA$1315,DataRegularSeason20242025!$B$3:$B$1315, "&lt;=" &amp; DT$1, DataRegularSeason20242025!$D$3:$D$1315, $A53)+SUMIFS(DataRegularSeason20242025!$AB$3:$AB$1315,DataRegularSeason20242025!$B$3:$B$1315, "&lt;=" &amp; DT$1, DataRegularSeason20242025!$E$3:$E$1315, $A53)</f>
        <v>6</v>
      </c>
      <c r="DU53">
        <f>SUMIFS(DataRegularSeason20242025!$AA$3:$AA$1315,DataRegularSeason20242025!$B$3:$B$1315, "&lt;=" &amp; DU$1, DataRegularSeason20242025!$D$3:$D$1315, $A53)+SUMIFS(DataRegularSeason20242025!$AB$3:$AB$1315,DataRegularSeason20242025!$B$3:$B$1315, "&lt;=" &amp; DU$1, DataRegularSeason20242025!$E$3:$E$1315, $A53)</f>
        <v>6</v>
      </c>
      <c r="DV53">
        <f>SUMIFS(DataRegularSeason20242025!$AA$3:$AA$1315,DataRegularSeason20242025!$B$3:$B$1315, "&lt;=" &amp; DV$1, DataRegularSeason20242025!$D$3:$D$1315, $A53)+SUMIFS(DataRegularSeason20242025!$AB$3:$AB$1315,DataRegularSeason20242025!$B$3:$B$1315, "&lt;=" &amp; DV$1, DataRegularSeason20242025!$E$3:$E$1315, $A53)</f>
        <v>6</v>
      </c>
      <c r="DW53">
        <f>SUMIFS(DataRegularSeason20242025!$AA$3:$AA$1315,DataRegularSeason20242025!$B$3:$B$1315, "&lt;=" &amp; DW$1, DataRegularSeason20242025!$D$3:$D$1315, $A53)+SUMIFS(DataRegularSeason20242025!$AB$3:$AB$1315,DataRegularSeason20242025!$B$3:$B$1315, "&lt;=" &amp; DW$1, DataRegularSeason20242025!$E$3:$E$1315, $A53)</f>
        <v>6</v>
      </c>
      <c r="DX53">
        <f>SUMIFS(DataRegularSeason20242025!$AA$3:$AA$1315,DataRegularSeason20242025!$B$3:$B$1315, "&lt;=" &amp; DX$1, DataRegularSeason20242025!$D$3:$D$1315, $A53)+SUMIFS(DataRegularSeason20242025!$AB$3:$AB$1315,DataRegularSeason20242025!$B$3:$B$1315, "&lt;=" &amp; DX$1, DataRegularSeason20242025!$E$3:$E$1315, $A53)</f>
        <v>6</v>
      </c>
      <c r="DY53">
        <f>SUMIFS(DataRegularSeason20242025!$AA$3:$AA$1315,DataRegularSeason20242025!$B$3:$B$1315, "&lt;=" &amp; DY$1, DataRegularSeason20242025!$D$3:$D$1315, $A53)+SUMIFS(DataRegularSeason20242025!$AB$3:$AB$1315,DataRegularSeason20242025!$B$3:$B$1315, "&lt;=" &amp; DY$1, DataRegularSeason20242025!$E$3:$E$1315, $A53)</f>
        <v>6</v>
      </c>
      <c r="DZ53">
        <f>SUMIFS(DataRegularSeason20242025!$AA$3:$AA$1315,DataRegularSeason20242025!$B$3:$B$1315, "&lt;=" &amp; DZ$1, DataRegularSeason20242025!$D$3:$D$1315, $A53)+SUMIFS(DataRegularSeason20242025!$AB$3:$AB$1315,DataRegularSeason20242025!$B$3:$B$1315, "&lt;=" &amp; DZ$1, DataRegularSeason20242025!$E$3:$E$1315, $A53)</f>
        <v>6</v>
      </c>
      <c r="EA53">
        <f>SUMIFS(DataRegularSeason20242025!$AA$3:$AA$1315,DataRegularSeason20242025!$B$3:$B$1315, "&lt;=" &amp; EA$1, DataRegularSeason20242025!$D$3:$D$1315, $A53)+SUMIFS(DataRegularSeason20242025!$AB$3:$AB$1315,DataRegularSeason20242025!$B$3:$B$1315, "&lt;=" &amp; EA$1, DataRegularSeason20242025!$E$3:$E$1315, $A53)</f>
        <v>6</v>
      </c>
      <c r="EB53">
        <f>SUMIFS(DataRegularSeason20242025!$AA$3:$AA$1315,DataRegularSeason20242025!$B$3:$B$1315, "&lt;=" &amp; EB$1, DataRegularSeason20242025!$D$3:$D$1315, $A53)+SUMIFS(DataRegularSeason20242025!$AB$3:$AB$1315,DataRegularSeason20242025!$B$3:$B$1315, "&lt;=" &amp; EB$1, DataRegularSeason20242025!$E$3:$E$1315, $A53)</f>
        <v>6</v>
      </c>
      <c r="EC53">
        <f>SUMIFS(DataRegularSeason20242025!$AA$3:$AA$1315,DataRegularSeason20242025!$B$3:$B$1315, "&lt;=" &amp; EC$1, DataRegularSeason20242025!$D$3:$D$1315, $A53)+SUMIFS(DataRegularSeason20242025!$AB$3:$AB$1315,DataRegularSeason20242025!$B$3:$B$1315, "&lt;=" &amp; EC$1, DataRegularSeason20242025!$E$3:$E$1315, $A53)</f>
        <v>6</v>
      </c>
      <c r="ED53">
        <f>SUMIFS(DataRegularSeason20242025!$AA$3:$AA$1315,DataRegularSeason20242025!$B$3:$B$1315, "&lt;=" &amp; ED$1, DataRegularSeason20242025!$D$3:$D$1315, $A53)+SUMIFS(DataRegularSeason20242025!$AB$3:$AB$1315,DataRegularSeason20242025!$B$3:$B$1315, "&lt;=" &amp; ED$1, DataRegularSeason20242025!$E$3:$E$1315, $A53)</f>
        <v>6</v>
      </c>
      <c r="EE53">
        <f>SUMIFS(DataRegularSeason20242025!$AA$3:$AA$1315,DataRegularSeason20242025!$B$3:$B$1315, "&lt;=" &amp; EE$1, DataRegularSeason20242025!$D$3:$D$1315, $A53)+SUMIFS(DataRegularSeason20242025!$AB$3:$AB$1315,DataRegularSeason20242025!$B$3:$B$1315, "&lt;=" &amp; EE$1, DataRegularSeason20242025!$E$3:$E$1315, $A53)</f>
        <v>6</v>
      </c>
      <c r="EF53">
        <f>SUMIFS(DataRegularSeason20242025!$AA$3:$AA$1315,DataRegularSeason20242025!$B$3:$B$1315, "&lt;=" &amp; EF$1, DataRegularSeason20242025!$D$3:$D$1315, $A53)+SUMIFS(DataRegularSeason20242025!$AB$3:$AB$1315,DataRegularSeason20242025!$B$3:$B$1315, "&lt;=" &amp; EF$1, DataRegularSeason20242025!$E$3:$E$1315, $A53)</f>
        <v>6</v>
      </c>
      <c r="EG53">
        <f>SUMIFS(DataRegularSeason20242025!$AA$3:$AA$1315,DataRegularSeason20242025!$B$3:$B$1315, "&lt;=" &amp; EG$1, DataRegularSeason20242025!$D$3:$D$1315, $A53)+SUMIFS(DataRegularSeason20242025!$AB$3:$AB$1315,DataRegularSeason20242025!$B$3:$B$1315, "&lt;=" &amp; EG$1, DataRegularSeason20242025!$E$3:$E$1315, $A53)</f>
        <v>6</v>
      </c>
      <c r="EH53">
        <f>SUMIFS(DataRegularSeason20242025!$AA$3:$AA$1315,DataRegularSeason20242025!$B$3:$B$1315, "&lt;=" &amp; EH$1, DataRegularSeason20242025!$D$3:$D$1315, $A53)+SUMIFS(DataRegularSeason20242025!$AB$3:$AB$1315,DataRegularSeason20242025!$B$3:$B$1315, "&lt;=" &amp; EH$1, DataRegularSeason20242025!$E$3:$E$1315, $A53)</f>
        <v>6</v>
      </c>
      <c r="EI53">
        <f>SUMIFS(DataRegularSeason20242025!$AA$3:$AA$1315,DataRegularSeason20242025!$B$3:$B$1315, "&lt;=" &amp; EI$1, DataRegularSeason20242025!$D$3:$D$1315, $A53)+SUMIFS(DataRegularSeason20242025!$AB$3:$AB$1315,DataRegularSeason20242025!$B$3:$B$1315, "&lt;=" &amp; EI$1, DataRegularSeason20242025!$E$3:$E$1315, $A53)</f>
        <v>6</v>
      </c>
      <c r="EJ53">
        <f>SUMIFS(DataRegularSeason20242025!$AA$3:$AA$1315,DataRegularSeason20242025!$B$3:$B$1315, "&lt;=" &amp; EJ$1, DataRegularSeason20242025!$D$3:$D$1315, $A53)+SUMIFS(DataRegularSeason20242025!$AB$3:$AB$1315,DataRegularSeason20242025!$B$3:$B$1315, "&lt;=" &amp; EJ$1, DataRegularSeason20242025!$E$3:$E$1315, $A53)</f>
        <v>6</v>
      </c>
      <c r="EK53">
        <f>SUMIFS(DataRegularSeason20242025!$AA$3:$AA$1315,DataRegularSeason20242025!$B$3:$B$1315, "&lt;=" &amp; EK$1, DataRegularSeason20242025!$D$3:$D$1315, $A53)+SUMIFS(DataRegularSeason20242025!$AB$3:$AB$1315,DataRegularSeason20242025!$B$3:$B$1315, "&lt;=" &amp; EK$1, DataRegularSeason20242025!$E$3:$E$1315, $A53)</f>
        <v>6</v>
      </c>
      <c r="EL53">
        <f>SUMIFS(DataRegularSeason20242025!$AA$3:$AA$1315,DataRegularSeason20242025!$B$3:$B$1315, "&lt;=" &amp; EL$1, DataRegularSeason20242025!$D$3:$D$1315, $A53)+SUMIFS(DataRegularSeason20242025!$AB$3:$AB$1315,DataRegularSeason20242025!$B$3:$B$1315, "&lt;=" &amp; EL$1, DataRegularSeason20242025!$E$3:$E$1315, $A53)</f>
        <v>6</v>
      </c>
      <c r="EM53">
        <f>SUMIFS(DataRegularSeason20242025!$AA$3:$AA$1315,DataRegularSeason20242025!$B$3:$B$1315, "&lt;=" &amp; EM$1, DataRegularSeason20242025!$D$3:$D$1315, $A53)+SUMIFS(DataRegularSeason20242025!$AB$3:$AB$1315,DataRegularSeason20242025!$B$3:$B$1315, "&lt;=" &amp; EM$1, DataRegularSeason20242025!$E$3:$E$1315, $A53)</f>
        <v>6</v>
      </c>
      <c r="EN53">
        <f>SUMIFS(DataRegularSeason20242025!$AA$3:$AA$1315,DataRegularSeason20242025!$B$3:$B$1315, "&lt;=" &amp; EN$1, DataRegularSeason20242025!$D$3:$D$1315, $A53)+SUMIFS(DataRegularSeason20242025!$AB$3:$AB$1315,DataRegularSeason20242025!$B$3:$B$1315, "&lt;=" &amp; EN$1, DataRegularSeason20242025!$E$3:$E$1315, $A53)</f>
        <v>6</v>
      </c>
      <c r="EO53">
        <f>SUMIFS(DataRegularSeason20242025!$AA$3:$AA$1315,DataRegularSeason20242025!$B$3:$B$1315, "&lt;=" &amp; EO$1, DataRegularSeason20242025!$D$3:$D$1315, $A53)+SUMIFS(DataRegularSeason20242025!$AB$3:$AB$1315,DataRegularSeason20242025!$B$3:$B$1315, "&lt;=" &amp; EO$1, DataRegularSeason20242025!$E$3:$E$1315, $A53)</f>
        <v>6</v>
      </c>
      <c r="EP53">
        <f>SUMIFS(DataRegularSeason20242025!$AA$3:$AA$1315,DataRegularSeason20242025!$B$3:$B$1315, "&lt;=" &amp; EP$1, DataRegularSeason20242025!$D$3:$D$1315, $A53)+SUMIFS(DataRegularSeason20242025!$AB$3:$AB$1315,DataRegularSeason20242025!$B$3:$B$1315, "&lt;=" &amp; EP$1, DataRegularSeason20242025!$E$3:$E$1315, $A53)</f>
        <v>6</v>
      </c>
      <c r="EQ53">
        <f>SUMIFS(DataRegularSeason20242025!$AA$3:$AA$1315,DataRegularSeason20242025!$B$3:$B$1315, "&lt;=" &amp; EQ$1, DataRegularSeason20242025!$D$3:$D$1315, $A53)+SUMIFS(DataRegularSeason20242025!$AB$3:$AB$1315,DataRegularSeason20242025!$B$3:$B$1315, "&lt;=" &amp; EQ$1, DataRegularSeason20242025!$E$3:$E$1315, $A53)</f>
        <v>6</v>
      </c>
      <c r="ER53">
        <f>SUMIFS(DataRegularSeason20242025!$AA$3:$AA$1315,DataRegularSeason20242025!$B$3:$B$1315, "&lt;=" &amp; ER$1, DataRegularSeason20242025!$D$3:$D$1315, $A53)+SUMIFS(DataRegularSeason20242025!$AB$3:$AB$1315,DataRegularSeason20242025!$B$3:$B$1315, "&lt;=" &amp; ER$1, DataRegularSeason20242025!$E$3:$E$1315, $A53)</f>
        <v>6</v>
      </c>
      <c r="ES53">
        <f>SUMIFS(DataRegularSeason20242025!$AA$3:$AA$1315,DataRegularSeason20242025!$B$3:$B$1315, "&lt;=" &amp; ES$1, DataRegularSeason20242025!$D$3:$D$1315, $A53)+SUMIFS(DataRegularSeason20242025!$AB$3:$AB$1315,DataRegularSeason20242025!$B$3:$B$1315, "&lt;=" &amp; ES$1, DataRegularSeason20242025!$E$3:$E$1315, $A53)</f>
        <v>6</v>
      </c>
      <c r="ET53">
        <f>SUMIFS(DataRegularSeason20242025!$AA$3:$AA$1315,DataRegularSeason20242025!$B$3:$B$1315, "&lt;=" &amp; ET$1, DataRegularSeason20242025!$D$3:$D$1315, $A53)+SUMIFS(DataRegularSeason20242025!$AB$3:$AB$1315,DataRegularSeason20242025!$B$3:$B$1315, "&lt;=" &amp; ET$1, DataRegularSeason20242025!$E$3:$E$1315, $A53)</f>
        <v>6</v>
      </c>
      <c r="EU53">
        <f>SUMIFS(DataRegularSeason20242025!$AA$3:$AA$1315,DataRegularSeason20242025!$B$3:$B$1315, "&lt;=" &amp; EU$1, DataRegularSeason20242025!$D$3:$D$1315, $A53)+SUMIFS(DataRegularSeason20242025!$AB$3:$AB$1315,DataRegularSeason20242025!$B$3:$B$1315, "&lt;=" &amp; EU$1, DataRegularSeason20242025!$E$3:$E$1315, $A53)</f>
        <v>6</v>
      </c>
      <c r="EV53">
        <f>SUMIFS(DataRegularSeason20242025!$AA$3:$AA$1315,DataRegularSeason20242025!$B$3:$B$1315, "&lt;=" &amp; EV$1, DataRegularSeason20242025!$D$3:$D$1315, $A53)+SUMIFS(DataRegularSeason20242025!$AB$3:$AB$1315,DataRegularSeason20242025!$B$3:$B$1315, "&lt;=" &amp; EV$1, DataRegularSeason20242025!$E$3:$E$1315, $A53)</f>
        <v>6</v>
      </c>
      <c r="EW53">
        <f>SUMIFS(DataRegularSeason20242025!$AA$3:$AA$1315,DataRegularSeason20242025!$B$3:$B$1315, "&lt;=" &amp; EW$1, DataRegularSeason20242025!$D$3:$D$1315, $A53)+SUMIFS(DataRegularSeason20242025!$AB$3:$AB$1315,DataRegularSeason20242025!$B$3:$B$1315, "&lt;=" &amp; EW$1, DataRegularSeason20242025!$E$3:$E$1315, $A53)</f>
        <v>6</v>
      </c>
      <c r="EX53">
        <f>SUMIFS(DataRegularSeason20242025!$AA$3:$AA$1315,DataRegularSeason20242025!$B$3:$B$1315, "&lt;=" &amp; EX$1, DataRegularSeason20242025!$D$3:$D$1315, $A53)+SUMIFS(DataRegularSeason20242025!$AB$3:$AB$1315,DataRegularSeason20242025!$B$3:$B$1315, "&lt;=" &amp; EX$1, DataRegularSeason20242025!$E$3:$E$1315, $A53)</f>
        <v>6</v>
      </c>
      <c r="EY53">
        <f>SUMIFS(DataRegularSeason20242025!$AA$3:$AA$1315,DataRegularSeason20242025!$B$3:$B$1315, "&lt;=" &amp; EY$1, DataRegularSeason20242025!$D$3:$D$1315, $A53)+SUMIFS(DataRegularSeason20242025!$AB$3:$AB$1315,DataRegularSeason20242025!$B$3:$B$1315, "&lt;=" &amp; EY$1, DataRegularSeason20242025!$E$3:$E$1315, $A53)</f>
        <v>6</v>
      </c>
      <c r="EZ53">
        <f>SUMIFS(DataRegularSeason20242025!$AA$3:$AA$1315,DataRegularSeason20242025!$B$3:$B$1315, "&lt;=" &amp; EZ$1, DataRegularSeason20242025!$D$3:$D$1315, $A53)+SUMIFS(DataRegularSeason20242025!$AB$3:$AB$1315,DataRegularSeason20242025!$B$3:$B$1315, "&lt;=" &amp; EZ$1, DataRegularSeason20242025!$E$3:$E$1315, $A53)</f>
        <v>6</v>
      </c>
      <c r="FA53">
        <f>SUMIFS(DataRegularSeason20242025!$AA$3:$AA$1315,DataRegularSeason20242025!$B$3:$B$1315, "&lt;=" &amp; FA$1, DataRegularSeason20242025!$D$3:$D$1315, $A53)+SUMIFS(DataRegularSeason20242025!$AB$3:$AB$1315,DataRegularSeason20242025!$B$3:$B$1315, "&lt;=" &amp; FA$1, DataRegularSeason20242025!$E$3:$E$1315, $A53)</f>
        <v>6</v>
      </c>
      <c r="FB53">
        <f>SUMIFS(DataRegularSeason20242025!$AA$3:$AA$1315,DataRegularSeason20242025!$B$3:$B$1315, "&lt;=" &amp; FB$1, DataRegularSeason20242025!$D$3:$D$1315, $A53)+SUMIFS(DataRegularSeason20242025!$AB$3:$AB$1315,DataRegularSeason20242025!$B$3:$B$1315, "&lt;=" &amp; FB$1, DataRegularSeason20242025!$E$3:$E$1315, $A53)</f>
        <v>6</v>
      </c>
      <c r="FC53">
        <f>SUMIFS(DataRegularSeason20242025!$AA$3:$AA$1315,DataRegularSeason20242025!$B$3:$B$1315, "&lt;=" &amp; FC$1, DataRegularSeason20242025!$D$3:$D$1315, $A53)+SUMIFS(DataRegularSeason20242025!$AB$3:$AB$1315,DataRegularSeason20242025!$B$3:$B$1315, "&lt;=" &amp; FC$1, DataRegularSeason20242025!$E$3:$E$1315, $A53)</f>
        <v>6</v>
      </c>
      <c r="FD53">
        <f>SUMIFS(DataRegularSeason20242025!$AA$3:$AA$1315,DataRegularSeason20242025!$B$3:$B$1315, "&lt;=" &amp; FD$1, DataRegularSeason20242025!$D$3:$D$1315, $A53)+SUMIFS(DataRegularSeason20242025!$AB$3:$AB$1315,DataRegularSeason20242025!$B$3:$B$1315, "&lt;=" &amp; FD$1, DataRegularSeason20242025!$E$3:$E$1315, $A53)</f>
        <v>6</v>
      </c>
      <c r="FE53">
        <f>SUMIFS(DataRegularSeason20242025!$AA$3:$AA$1315,DataRegularSeason20242025!$B$3:$B$1315, "&lt;=" &amp; FE$1, DataRegularSeason20242025!$D$3:$D$1315, $A53)+SUMIFS(DataRegularSeason20242025!$AB$3:$AB$1315,DataRegularSeason20242025!$B$3:$B$1315, "&lt;=" &amp; FE$1, DataRegularSeason20242025!$E$3:$E$1315, $A53)</f>
        <v>6</v>
      </c>
      <c r="FF53">
        <f>SUMIFS(DataRegularSeason20242025!$AA$3:$AA$1315,DataRegularSeason20242025!$B$3:$B$1315, "&lt;=" &amp; FF$1, DataRegularSeason20242025!$D$3:$D$1315, $A53)+SUMIFS(DataRegularSeason20242025!$AB$3:$AB$1315,DataRegularSeason20242025!$B$3:$B$1315, "&lt;=" &amp; FF$1, DataRegularSeason20242025!$E$3:$E$1315, $A53)</f>
        <v>6</v>
      </c>
      <c r="FG53">
        <f>SUMIFS(DataRegularSeason20242025!$AA$3:$AA$1315,DataRegularSeason20242025!$B$3:$B$1315, "&lt;=" &amp; FG$1, DataRegularSeason20242025!$D$3:$D$1315, $A53)+SUMIFS(DataRegularSeason20242025!$AB$3:$AB$1315,DataRegularSeason20242025!$B$3:$B$1315, "&lt;=" &amp; FG$1, DataRegularSeason20242025!$E$3:$E$1315, $A53)</f>
        <v>6</v>
      </c>
      <c r="FH53">
        <f>SUMIFS(DataRegularSeason20242025!$AA$3:$AA$1315,DataRegularSeason20242025!$B$3:$B$1315, "&lt;=" &amp; FH$1, DataRegularSeason20242025!$D$3:$D$1315, $A53)+SUMIFS(DataRegularSeason20242025!$AB$3:$AB$1315,DataRegularSeason20242025!$B$3:$B$1315, "&lt;=" &amp; FH$1, DataRegularSeason20242025!$E$3:$E$1315, $A53)</f>
        <v>6</v>
      </c>
      <c r="FI53">
        <f>SUMIFS(DataRegularSeason20242025!$AA$3:$AA$1315,DataRegularSeason20242025!$B$3:$B$1315, "&lt;=" &amp; FI$1, DataRegularSeason20242025!$D$3:$D$1315, $A53)+SUMIFS(DataRegularSeason20242025!$AB$3:$AB$1315,DataRegularSeason20242025!$B$3:$B$1315, "&lt;=" &amp; FI$1, DataRegularSeason20242025!$E$3:$E$1315, $A53)</f>
        <v>6</v>
      </c>
      <c r="FJ53">
        <f>SUMIFS(DataRegularSeason20242025!$AA$3:$AA$1315,DataRegularSeason20242025!$B$3:$B$1315, "&lt;=" &amp; FJ$1, DataRegularSeason20242025!$D$3:$D$1315, $A53)+SUMIFS(DataRegularSeason20242025!$AB$3:$AB$1315,DataRegularSeason20242025!$B$3:$B$1315, "&lt;=" &amp; FJ$1, DataRegularSeason20242025!$E$3:$E$1315, $A53)</f>
        <v>6</v>
      </c>
      <c r="FK53">
        <f>SUMIFS(DataRegularSeason20242025!$AA$3:$AA$1315,DataRegularSeason20242025!$B$3:$B$1315, "&lt;=" &amp; FK$1, DataRegularSeason20242025!$D$3:$D$1315, $A53)+SUMIFS(DataRegularSeason20242025!$AB$3:$AB$1315,DataRegularSeason20242025!$B$3:$B$1315, "&lt;=" &amp; FK$1, DataRegularSeason20242025!$E$3:$E$1315, $A53)</f>
        <v>6</v>
      </c>
      <c r="FL53">
        <f>SUMIFS(DataRegularSeason20242025!$AA$3:$AA$1315,DataRegularSeason20242025!$B$3:$B$1315, "&lt;=" &amp; FL$1, DataRegularSeason20242025!$D$3:$D$1315, $A53)+SUMIFS(DataRegularSeason20242025!$AB$3:$AB$1315,DataRegularSeason20242025!$B$3:$B$1315, "&lt;=" &amp; FL$1, DataRegularSeason20242025!$E$3:$E$1315, $A53)</f>
        <v>6</v>
      </c>
      <c r="FM53">
        <f>SUMIFS(DataRegularSeason20242025!$AA$3:$AA$1315,DataRegularSeason20242025!$B$3:$B$1315, "&lt;=" &amp; FM$1, DataRegularSeason20242025!$D$3:$D$1315, $A53)+SUMIFS(DataRegularSeason20242025!$AB$3:$AB$1315,DataRegularSeason20242025!$B$3:$B$1315, "&lt;=" &amp; FM$1, DataRegularSeason20242025!$E$3:$E$1315, $A53)</f>
        <v>6</v>
      </c>
      <c r="FN53">
        <f>SUMIFS(DataRegularSeason20242025!$AA$3:$AA$1315,DataRegularSeason20242025!$B$3:$B$1315, "&lt;=" &amp; FN$1, DataRegularSeason20242025!$D$3:$D$1315, $A53)+SUMIFS(DataRegularSeason20242025!$AB$3:$AB$1315,DataRegularSeason20242025!$B$3:$B$1315, "&lt;=" &amp; FN$1, DataRegularSeason20242025!$E$3:$E$1315, $A53)</f>
        <v>6</v>
      </c>
      <c r="FO53">
        <f>SUMIFS(DataRegularSeason20242025!$AA$3:$AA$1315,DataRegularSeason20242025!$B$3:$B$1315, "&lt;=" &amp; FO$1, DataRegularSeason20242025!$D$3:$D$1315, $A53)+SUMIFS(DataRegularSeason20242025!$AB$3:$AB$1315,DataRegularSeason20242025!$B$3:$B$1315, "&lt;=" &amp; FO$1, DataRegularSeason20242025!$E$3:$E$1315, $A53)</f>
        <v>6</v>
      </c>
      <c r="FP53">
        <f>SUMIFS(DataRegularSeason20242025!$AA$3:$AA$1315,DataRegularSeason20242025!$B$3:$B$1315, "&lt;=" &amp; FP$1, DataRegularSeason20242025!$D$3:$D$1315, $A53)+SUMIFS(DataRegularSeason20242025!$AB$3:$AB$1315,DataRegularSeason20242025!$B$3:$B$1315, "&lt;=" &amp; FP$1, DataRegularSeason20242025!$E$3:$E$1315, $A53)</f>
        <v>6</v>
      </c>
      <c r="FQ53">
        <f>SUMIFS(DataRegularSeason20242025!$AA$3:$AA$1315,DataRegularSeason20242025!$B$3:$B$1315, "&lt;=" &amp; FQ$1, DataRegularSeason20242025!$D$3:$D$1315, $A53)+SUMIFS(DataRegularSeason20242025!$AB$3:$AB$1315,DataRegularSeason20242025!$B$3:$B$1315, "&lt;=" &amp; FQ$1, DataRegularSeason20242025!$E$3:$E$1315, $A53)</f>
        <v>6</v>
      </c>
      <c r="FR53">
        <f>SUMIFS(DataRegularSeason20242025!$AA$3:$AA$1315,DataRegularSeason20242025!$B$3:$B$1315, "&lt;=" &amp; FR$1, DataRegularSeason20242025!$D$3:$D$1315, $A53)+SUMIFS(DataRegularSeason20242025!$AB$3:$AB$1315,DataRegularSeason20242025!$B$3:$B$1315, "&lt;=" &amp; FR$1, DataRegularSeason20242025!$E$3:$E$1315, $A53)</f>
        <v>6</v>
      </c>
      <c r="FS53">
        <f>SUMIFS(DataRegularSeason20242025!$AA$3:$AA$1315,DataRegularSeason20242025!$B$3:$B$1315, "&lt;=" &amp; FS$1, DataRegularSeason20242025!$D$3:$D$1315, $A53)+SUMIFS(DataRegularSeason20242025!$AB$3:$AB$1315,DataRegularSeason20242025!$B$3:$B$1315, "&lt;=" &amp; FS$1, DataRegularSeason20242025!$E$3:$E$1315, $A53)</f>
        <v>6</v>
      </c>
      <c r="FT53">
        <f>SUMIFS(DataRegularSeason20242025!$AA$3:$AA$1315,DataRegularSeason20242025!$B$3:$B$1315, "&lt;=" &amp; FT$1, DataRegularSeason20242025!$D$3:$D$1315, $A53)+SUMIFS(DataRegularSeason20242025!$AB$3:$AB$1315,DataRegularSeason20242025!$B$3:$B$1315, "&lt;=" &amp; FT$1, DataRegularSeason20242025!$E$3:$E$1315, $A53)</f>
        <v>6</v>
      </c>
      <c r="FU53">
        <f>SUMIFS(DataRegularSeason20242025!$AA$3:$AA$1315,DataRegularSeason20242025!$B$3:$B$1315, "&lt;=" &amp; FU$1, DataRegularSeason20242025!$D$3:$D$1315, $A53)+SUMIFS(DataRegularSeason20242025!$AB$3:$AB$1315,DataRegularSeason20242025!$B$3:$B$1315, "&lt;=" &amp; FU$1, DataRegularSeason20242025!$E$3:$E$1315, $A53)</f>
        <v>6</v>
      </c>
      <c r="FV53">
        <f>SUMIFS(DataRegularSeason20242025!$AA$3:$AA$1315,DataRegularSeason20242025!$B$3:$B$1315, "&lt;=" &amp; FV$1, DataRegularSeason20242025!$D$3:$D$1315, $A53)+SUMIFS(DataRegularSeason20242025!$AB$3:$AB$1315,DataRegularSeason20242025!$B$3:$B$1315, "&lt;=" &amp; FV$1, DataRegularSeason20242025!$E$3:$E$1315, $A53)</f>
        <v>6</v>
      </c>
      <c r="FW53">
        <f>SUMIFS(DataRegularSeason20242025!$AA$3:$AA$1315,DataRegularSeason20242025!$B$3:$B$1315, "&lt;=" &amp; FW$1, DataRegularSeason20242025!$D$3:$D$1315, $A53)+SUMIFS(DataRegularSeason20242025!$AB$3:$AB$1315,DataRegularSeason20242025!$B$3:$B$1315, "&lt;=" &amp; FW$1, DataRegularSeason20242025!$E$3:$E$1315, $A53)</f>
        <v>6</v>
      </c>
      <c r="FX53">
        <f>SUMIFS(DataRegularSeason20242025!$AA$3:$AA$1315,DataRegularSeason20242025!$B$3:$B$1315, "&lt;=" &amp; FX$1, DataRegularSeason20242025!$D$3:$D$1315, $A53)+SUMIFS(DataRegularSeason20242025!$AB$3:$AB$1315,DataRegularSeason20242025!$B$3:$B$1315, "&lt;=" &amp; FX$1, DataRegularSeason20242025!$E$3:$E$1315, $A53)</f>
        <v>6</v>
      </c>
      <c r="FY53">
        <f>SUMIFS(DataRegularSeason20242025!$AA$3:$AA$1315,DataRegularSeason20242025!$B$3:$B$1315, "&lt;=" &amp; FY$1, DataRegularSeason20242025!$D$3:$D$1315, $A53)+SUMIFS(DataRegularSeason20242025!$AB$3:$AB$1315,DataRegularSeason20242025!$B$3:$B$1315, "&lt;=" &amp; FY$1, DataRegularSeason20242025!$E$3:$E$1315, $A53)</f>
        <v>6</v>
      </c>
      <c r="FZ53">
        <f>SUMIFS(DataRegularSeason20242025!$AA$3:$AA$1315,DataRegularSeason20242025!$B$3:$B$1315, "&lt;=" &amp; FZ$1, DataRegularSeason20242025!$D$3:$D$1315, $A53)+SUMIFS(DataRegularSeason20242025!$AB$3:$AB$1315,DataRegularSeason20242025!$B$3:$B$1315, "&lt;=" &amp; FZ$1, DataRegularSeason20242025!$E$3:$E$1315, $A53)</f>
        <v>6</v>
      </c>
      <c r="GA53">
        <f>SUMIFS(DataRegularSeason20242025!$AA$3:$AA$1315,DataRegularSeason20242025!$B$3:$B$1315, "&lt;=" &amp; GA$1, DataRegularSeason20242025!$D$3:$D$1315, $A53)+SUMIFS(DataRegularSeason20242025!$AB$3:$AB$1315,DataRegularSeason20242025!$B$3:$B$1315, "&lt;=" &amp; GA$1, DataRegularSeason20242025!$E$3:$E$1315, $A53)</f>
        <v>6</v>
      </c>
      <c r="GB53">
        <f>SUMIFS(DataRegularSeason20242025!$AA$3:$AA$1315,DataRegularSeason20242025!$B$3:$B$1315, "&lt;=" &amp; GB$1, DataRegularSeason20242025!$D$3:$D$1315, $A53)+SUMIFS(DataRegularSeason20242025!$AB$3:$AB$1315,DataRegularSeason20242025!$B$3:$B$1315, "&lt;=" &amp; GB$1, DataRegularSeason20242025!$E$3:$E$1315, $A53)</f>
        <v>6</v>
      </c>
      <c r="GC53">
        <f>SUMIFS(DataRegularSeason20242025!$AA$3:$AA$1315,DataRegularSeason20242025!$B$3:$B$1315, "&lt;=" &amp; GC$1, DataRegularSeason20242025!$D$3:$D$1315, $A53)+SUMIFS(DataRegularSeason20242025!$AB$3:$AB$1315,DataRegularSeason20242025!$B$3:$B$1315, "&lt;=" &amp; GC$1, DataRegularSeason20242025!$E$3:$E$1315, $A53)</f>
        <v>6</v>
      </c>
      <c r="GD53">
        <f>SUMIFS(DataRegularSeason20242025!$AA$3:$AA$1315,DataRegularSeason20242025!$B$3:$B$1315, "&lt;=" &amp; GD$1, DataRegularSeason20242025!$D$3:$D$1315, $A53)+SUMIFS(DataRegularSeason20242025!$AB$3:$AB$1315,DataRegularSeason20242025!$B$3:$B$1315, "&lt;=" &amp; GD$1, DataRegularSeason20242025!$E$3:$E$1315, $A53)</f>
        <v>6</v>
      </c>
      <c r="GE53">
        <f>SUMIFS(DataRegularSeason20242025!$AA$3:$AA$1315,DataRegularSeason20242025!$B$3:$B$1315, "&lt;=" &amp; GE$1, DataRegularSeason20242025!$D$3:$D$1315, $A53)+SUMIFS(DataRegularSeason20242025!$AB$3:$AB$1315,DataRegularSeason20242025!$B$3:$B$1315, "&lt;=" &amp; GE$1, DataRegularSeason20242025!$E$3:$E$1315, $A53)</f>
        <v>6</v>
      </c>
      <c r="GF53">
        <f>SUMIFS(DataRegularSeason20242025!$AA$3:$AA$1315,DataRegularSeason20242025!$B$3:$B$1315, "&lt;=" &amp; GF$1, DataRegularSeason20242025!$D$3:$D$1315, $A53)+SUMIFS(DataRegularSeason20242025!$AB$3:$AB$1315,DataRegularSeason20242025!$B$3:$B$1315, "&lt;=" &amp; GF$1, DataRegularSeason20242025!$E$3:$E$1315, $A53)</f>
        <v>6</v>
      </c>
      <c r="GG53">
        <f>SUMIFS(DataRegularSeason20242025!$AA$3:$AA$1315,DataRegularSeason20242025!$B$3:$B$1315, "&lt;=" &amp; GG$1, DataRegularSeason20242025!$D$3:$D$1315, $A53)+SUMIFS(DataRegularSeason20242025!$AB$3:$AB$1315,DataRegularSeason20242025!$B$3:$B$1315, "&lt;=" &amp; GG$1, DataRegularSeason20242025!$E$3:$E$1315, $A53)</f>
        <v>6</v>
      </c>
      <c r="GH53">
        <f>SUMIFS(DataRegularSeason20242025!$AA$3:$AA$1315,DataRegularSeason20242025!$B$3:$B$1315, "&lt;=" &amp; GH$1, DataRegularSeason20242025!$D$3:$D$1315, $A53)+SUMIFS(DataRegularSeason20242025!$AB$3:$AB$1315,DataRegularSeason20242025!$B$3:$B$1315, "&lt;=" &amp; GH$1, DataRegularSeason20242025!$E$3:$E$1315, $A53)</f>
        <v>6</v>
      </c>
      <c r="GI53">
        <f>SUMIFS(DataRegularSeason20242025!$AA$3:$AA$1315,DataRegularSeason20242025!$B$3:$B$1315, "&lt;=" &amp; GI$1, DataRegularSeason20242025!$D$3:$D$1315, $A53)+SUMIFS(DataRegularSeason20242025!$AB$3:$AB$1315,DataRegularSeason20242025!$B$3:$B$1315, "&lt;=" &amp; GI$1, DataRegularSeason20242025!$E$3:$E$1315, $A53)</f>
        <v>6</v>
      </c>
      <c r="GJ53">
        <f>SUMIFS(DataRegularSeason20242025!$AA$3:$AA$1315,DataRegularSeason20242025!$B$3:$B$1315, "&lt;=" &amp; GJ$1, DataRegularSeason20242025!$D$3:$D$1315, $A53)+SUMIFS(DataRegularSeason20242025!$AB$3:$AB$1315,DataRegularSeason20242025!$B$3:$B$1315, "&lt;=" &amp; GJ$1, DataRegularSeason20242025!$E$3:$E$1315, $A53)</f>
        <v>6</v>
      </c>
      <c r="GK53">
        <f>SUMIFS(DataRegularSeason20242025!$AA$3:$AA$1315,DataRegularSeason20242025!$B$3:$B$1315, "&lt;=" &amp; GK$1, DataRegularSeason20242025!$D$3:$D$1315, $A53)+SUMIFS(DataRegularSeason20242025!$AB$3:$AB$1315,DataRegularSeason20242025!$B$3:$B$1315, "&lt;=" &amp; GK$1, DataRegularSeason20242025!$E$3:$E$1315, $A53)</f>
        <v>6</v>
      </c>
      <c r="GL53">
        <f>SUMIFS(DataRegularSeason20242025!$AA$3:$AA$1315,DataRegularSeason20242025!$B$3:$B$1315, "&lt;=" &amp; GL$1, DataRegularSeason20242025!$D$3:$D$1315, $A53)+SUMIFS(DataRegularSeason20242025!$AB$3:$AB$1315,DataRegularSeason20242025!$B$3:$B$1315, "&lt;=" &amp; GL$1, DataRegularSeason20242025!$E$3:$E$1315, $A53)</f>
        <v>6</v>
      </c>
      <c r="GM53">
        <f>SUMIFS(DataRegularSeason20242025!$AA$3:$AA$1315,DataRegularSeason20242025!$B$3:$B$1315, "&lt;=" &amp; GM$1, DataRegularSeason20242025!$D$3:$D$1315, $A53)+SUMIFS(DataRegularSeason20242025!$AB$3:$AB$1315,DataRegularSeason20242025!$B$3:$B$1315, "&lt;=" &amp; GM$1, DataRegularSeason20242025!$E$3:$E$1315, $A53)</f>
        <v>6</v>
      </c>
      <c r="GN53">
        <f>SUMIFS(DataRegularSeason20242025!$AA$3:$AA$1315,DataRegularSeason20242025!$B$3:$B$1315, "&lt;=" &amp; GN$1, DataRegularSeason20242025!$D$3:$D$1315, $A53)+SUMIFS(DataRegularSeason20242025!$AB$3:$AB$1315,DataRegularSeason20242025!$B$3:$B$1315, "&lt;=" &amp; GN$1, DataRegularSeason20242025!$E$3:$E$1315, $A53)</f>
        <v>6</v>
      </c>
      <c r="GO53">
        <f>SUMIFS(DataRegularSeason20242025!$AA$3:$AA$1315,DataRegularSeason20242025!$B$3:$B$1315, "&lt;=" &amp; GO$1, DataRegularSeason20242025!$D$3:$D$1315, $A53)+SUMIFS(DataRegularSeason20242025!$AB$3:$AB$1315,DataRegularSeason20242025!$B$3:$B$1315, "&lt;=" &amp; GO$1, DataRegularSeason20242025!$E$3:$E$1315, $A53)</f>
        <v>6</v>
      </c>
      <c r="GP53">
        <f>SUMIFS(DataRegularSeason20242025!$AA$3:$AA$1315,DataRegularSeason20242025!$B$3:$B$1315, "&lt;=" &amp; GP$1, DataRegularSeason20242025!$D$3:$D$1315, $A53)+SUMIFS(DataRegularSeason20242025!$AB$3:$AB$1315,DataRegularSeason20242025!$B$3:$B$1315, "&lt;=" &amp; GP$1, DataRegularSeason20242025!$E$3:$E$1315, $A53)</f>
        <v>6</v>
      </c>
      <c r="GQ53">
        <f>SUMIFS(DataRegularSeason20242025!$AA$3:$AA$1315,DataRegularSeason20242025!$B$3:$B$1315, "&lt;=" &amp; GQ$1, DataRegularSeason20242025!$D$3:$D$1315, $A53)+SUMIFS(DataRegularSeason20242025!$AB$3:$AB$1315,DataRegularSeason20242025!$B$3:$B$1315, "&lt;=" &amp; GQ$1, DataRegularSeason20242025!$E$3:$E$1315, $A53)</f>
        <v>6</v>
      </c>
      <c r="GR53">
        <f>SUMIFS(DataRegularSeason20242025!$AA$3:$AA$1315,DataRegularSeason20242025!$B$3:$B$1315, "&lt;=" &amp; GR$1, DataRegularSeason20242025!$D$3:$D$1315, $A53)+SUMIFS(DataRegularSeason20242025!$AB$3:$AB$1315,DataRegularSeason20242025!$B$3:$B$1315, "&lt;=" &amp; GR$1, DataRegularSeason20242025!$E$3:$E$1315, $A53)</f>
        <v>6</v>
      </c>
      <c r="GS53">
        <f>SUMIFS(DataRegularSeason20242025!$AA$3:$AA$1315,DataRegularSeason20242025!$B$3:$B$1315, "&lt;=" &amp; GS$1, DataRegularSeason20242025!$D$3:$D$1315, $A53)+SUMIFS(DataRegularSeason20242025!$AB$3:$AB$1315,DataRegularSeason20242025!$B$3:$B$1315, "&lt;=" &amp; GS$1, DataRegularSeason20242025!$E$3:$E$1315, $A53)</f>
        <v>6</v>
      </c>
      <c r="GT53">
        <f>SUMIFS(DataRegularSeason20242025!$AA$3:$AA$1315,DataRegularSeason20242025!$B$3:$B$1315, "&lt;=" &amp; GT$1, DataRegularSeason20242025!$D$3:$D$1315, $A53)+SUMIFS(DataRegularSeason20242025!$AB$3:$AB$1315,DataRegularSeason20242025!$B$3:$B$1315, "&lt;=" &amp; GT$1, DataRegularSeason20242025!$E$3:$E$1315, $A53)</f>
        <v>6</v>
      </c>
      <c r="GU53">
        <f>SUMIFS(DataRegularSeason20242025!$AA$3:$AA$1315,DataRegularSeason20242025!$B$3:$B$1315, "&lt;=" &amp; GU$1, DataRegularSeason20242025!$D$3:$D$1315, $A53)+SUMIFS(DataRegularSeason20242025!$AB$3:$AB$1315,DataRegularSeason20242025!$B$3:$B$1315, "&lt;=" &amp; GU$1, DataRegularSeason20242025!$E$3:$E$1315, $A53)</f>
        <v>6</v>
      </c>
    </row>
    <row r="54" spans="1:203" x14ac:dyDescent="0.25">
      <c r="A54" t="s">
        <v>25</v>
      </c>
      <c r="B54" t="s">
        <v>90</v>
      </c>
      <c r="C54" t="s">
        <v>88</v>
      </c>
      <c r="D54">
        <f>SUMIFS(DataRegularSeason20242025!$AA$3:$AA$1315,DataRegularSeason20242025!$B$3:$B$1315, "&lt;=" &amp; D$1, DataRegularSeason20242025!$D$3:$D$1315, $A54)+SUMIFS(DataRegularSeason20242025!$AB$3:$AB$1315,DataRegularSeason20242025!$B$3:$B$1315, "&lt;=" &amp; D$1, DataRegularSeason20242025!$E$3:$E$1315, $A54)</f>
        <v>0</v>
      </c>
      <c r="E54">
        <f>SUMIFS(DataRegularSeason20242025!$AA$3:$AA$1315,DataRegularSeason20242025!$B$3:$B$1315, "&lt;=" &amp; E$1, DataRegularSeason20242025!$D$3:$D$1315, $A54)+SUMIFS(DataRegularSeason20242025!$AB$3:$AB$1315,DataRegularSeason20242025!$B$3:$B$1315, "&lt;=" &amp; E$1, DataRegularSeason20242025!$E$3:$E$1315, $A54)</f>
        <v>0</v>
      </c>
      <c r="F54">
        <f>SUMIFS(DataRegularSeason20242025!$AA$3:$AA$1315,DataRegularSeason20242025!$B$3:$B$1315, "&lt;=" &amp; F$1, DataRegularSeason20242025!$D$3:$D$1315, $A54)+SUMIFS(DataRegularSeason20242025!$AB$3:$AB$1315,DataRegularSeason20242025!$B$3:$B$1315, "&lt;=" &amp; F$1, DataRegularSeason20242025!$E$3:$E$1315, $A54)</f>
        <v>0</v>
      </c>
      <c r="G54">
        <f>SUMIFS(DataRegularSeason20242025!$AA$3:$AA$1315,DataRegularSeason20242025!$B$3:$B$1315, "&lt;=" &amp; G$1, DataRegularSeason20242025!$D$3:$D$1315, $A54)+SUMIFS(DataRegularSeason20242025!$AB$3:$AB$1315,DataRegularSeason20242025!$B$3:$B$1315, "&lt;=" &amp; G$1, DataRegularSeason20242025!$E$3:$E$1315, $A54)</f>
        <v>0</v>
      </c>
      <c r="H54">
        <f>SUMIFS(DataRegularSeason20242025!$AA$3:$AA$1315,DataRegularSeason20242025!$B$3:$B$1315, "&lt;=" &amp; H$1, DataRegularSeason20242025!$D$3:$D$1315, $A54)+SUMIFS(DataRegularSeason20242025!$AB$3:$AB$1315,DataRegularSeason20242025!$B$3:$B$1315, "&lt;=" &amp; H$1, DataRegularSeason20242025!$E$3:$E$1315, $A54)</f>
        <v>2</v>
      </c>
      <c r="I54">
        <f>SUMIFS(DataRegularSeason20242025!$AA$3:$AA$1315,DataRegularSeason20242025!$B$3:$B$1315, "&lt;=" &amp; I$1, DataRegularSeason20242025!$D$3:$D$1315, $A54)+SUMIFS(DataRegularSeason20242025!$AB$3:$AB$1315,DataRegularSeason20242025!$B$3:$B$1315, "&lt;=" &amp; I$1, DataRegularSeason20242025!$E$3:$E$1315, $A54)</f>
        <v>2</v>
      </c>
      <c r="J54">
        <f>SUMIFS(DataRegularSeason20242025!$AA$3:$AA$1315,DataRegularSeason20242025!$B$3:$B$1315, "&lt;=" &amp; J$1, DataRegularSeason20242025!$D$3:$D$1315, $A54)+SUMIFS(DataRegularSeason20242025!$AB$3:$AB$1315,DataRegularSeason20242025!$B$3:$B$1315, "&lt;=" &amp; J$1, DataRegularSeason20242025!$E$3:$E$1315, $A54)</f>
        <v>4</v>
      </c>
      <c r="K54">
        <f>SUMIFS(DataRegularSeason20242025!$AA$3:$AA$1315,DataRegularSeason20242025!$B$3:$B$1315, "&lt;=" &amp; K$1, DataRegularSeason20242025!$D$3:$D$1315, $A54)+SUMIFS(DataRegularSeason20242025!$AB$3:$AB$1315,DataRegularSeason20242025!$B$3:$B$1315, "&lt;=" &amp; K$1, DataRegularSeason20242025!$E$3:$E$1315, $A54)</f>
        <v>4</v>
      </c>
      <c r="L54">
        <f>SUMIFS(DataRegularSeason20242025!$AA$3:$AA$1315,DataRegularSeason20242025!$B$3:$B$1315, "&lt;=" &amp; L$1, DataRegularSeason20242025!$D$3:$D$1315, $A54)+SUMIFS(DataRegularSeason20242025!$AB$3:$AB$1315,DataRegularSeason20242025!$B$3:$B$1315, "&lt;=" &amp; L$1, DataRegularSeason20242025!$E$3:$E$1315, $A54)</f>
        <v>5</v>
      </c>
      <c r="M54">
        <f>SUMIFS(DataRegularSeason20242025!$AA$3:$AA$1315,DataRegularSeason20242025!$B$3:$B$1315, "&lt;=" &amp; M$1, DataRegularSeason20242025!$D$3:$D$1315, $A54)+SUMIFS(DataRegularSeason20242025!$AB$3:$AB$1315,DataRegularSeason20242025!$B$3:$B$1315, "&lt;=" &amp; M$1, DataRegularSeason20242025!$E$3:$E$1315, $A54)</f>
        <v>5</v>
      </c>
      <c r="N54">
        <f>SUMIFS(DataRegularSeason20242025!$AA$3:$AA$1315,DataRegularSeason20242025!$B$3:$B$1315, "&lt;=" &amp; N$1, DataRegularSeason20242025!$D$3:$D$1315, $A54)+SUMIFS(DataRegularSeason20242025!$AB$3:$AB$1315,DataRegularSeason20242025!$B$3:$B$1315, "&lt;=" &amp; N$1, DataRegularSeason20242025!$E$3:$E$1315, $A54)</f>
        <v>7</v>
      </c>
      <c r="O54">
        <f>SUMIFS(DataRegularSeason20242025!$AA$3:$AA$1315,DataRegularSeason20242025!$B$3:$B$1315, "&lt;=" &amp; O$1, DataRegularSeason20242025!$D$3:$D$1315, $A54)+SUMIFS(DataRegularSeason20242025!$AB$3:$AB$1315,DataRegularSeason20242025!$B$3:$B$1315, "&lt;=" &amp; O$1, DataRegularSeason20242025!$E$3:$E$1315, $A54)</f>
        <v>7</v>
      </c>
      <c r="P54">
        <f>SUMIFS(DataRegularSeason20242025!$AA$3:$AA$1315,DataRegularSeason20242025!$B$3:$B$1315, "&lt;=" &amp; P$1, DataRegularSeason20242025!$D$3:$D$1315, $A54)+SUMIFS(DataRegularSeason20242025!$AB$3:$AB$1315,DataRegularSeason20242025!$B$3:$B$1315, "&lt;=" &amp; P$1, DataRegularSeason20242025!$E$3:$E$1315, $A54)</f>
        <v>7</v>
      </c>
      <c r="Q54">
        <f>SUMIFS(DataRegularSeason20242025!$AA$3:$AA$1315,DataRegularSeason20242025!$B$3:$B$1315, "&lt;=" &amp; Q$1, DataRegularSeason20242025!$D$3:$D$1315, $A54)+SUMIFS(DataRegularSeason20242025!$AB$3:$AB$1315,DataRegularSeason20242025!$B$3:$B$1315, "&lt;=" &amp; Q$1, DataRegularSeason20242025!$E$3:$E$1315, $A54)</f>
        <v>9</v>
      </c>
      <c r="R54">
        <f>SUMIFS(DataRegularSeason20242025!$AA$3:$AA$1315,DataRegularSeason20242025!$B$3:$B$1315, "&lt;=" &amp; R$1, DataRegularSeason20242025!$D$3:$D$1315, $A54)+SUMIFS(DataRegularSeason20242025!$AB$3:$AB$1315,DataRegularSeason20242025!$B$3:$B$1315, "&lt;=" &amp; R$1, DataRegularSeason20242025!$E$3:$E$1315, $A54)</f>
        <v>9</v>
      </c>
      <c r="S54">
        <f>SUMIFS(DataRegularSeason20242025!$AA$3:$AA$1315,DataRegularSeason20242025!$B$3:$B$1315, "&lt;=" &amp; S$1, DataRegularSeason20242025!$D$3:$D$1315, $A54)+SUMIFS(DataRegularSeason20242025!$AB$3:$AB$1315,DataRegularSeason20242025!$B$3:$B$1315, "&lt;=" &amp; S$1, DataRegularSeason20242025!$E$3:$E$1315, $A54)</f>
        <v>11</v>
      </c>
      <c r="T54">
        <f>SUMIFS(DataRegularSeason20242025!$AA$3:$AA$1315,DataRegularSeason20242025!$B$3:$B$1315, "&lt;=" &amp; T$1, DataRegularSeason20242025!$D$3:$D$1315, $A54)+SUMIFS(DataRegularSeason20242025!$AB$3:$AB$1315,DataRegularSeason20242025!$B$3:$B$1315, "&lt;=" &amp; T$1, DataRegularSeason20242025!$E$3:$E$1315, $A54)</f>
        <v>11</v>
      </c>
      <c r="U54">
        <f>SUMIFS(DataRegularSeason20242025!$AA$3:$AA$1315,DataRegularSeason20242025!$B$3:$B$1315, "&lt;=" &amp; U$1, DataRegularSeason20242025!$D$3:$D$1315, $A54)+SUMIFS(DataRegularSeason20242025!$AB$3:$AB$1315,DataRegularSeason20242025!$B$3:$B$1315, "&lt;=" &amp; U$1, DataRegularSeason20242025!$E$3:$E$1315, $A54)</f>
        <v>11</v>
      </c>
      <c r="V54">
        <f>SUMIFS(DataRegularSeason20242025!$AA$3:$AA$1315,DataRegularSeason20242025!$B$3:$B$1315, "&lt;=" &amp; V$1, DataRegularSeason20242025!$D$3:$D$1315, $A54)+SUMIFS(DataRegularSeason20242025!$AB$3:$AB$1315,DataRegularSeason20242025!$B$3:$B$1315, "&lt;=" &amp; V$1, DataRegularSeason20242025!$E$3:$E$1315, $A54)</f>
        <v>12</v>
      </c>
      <c r="W54">
        <f>SUMIFS(DataRegularSeason20242025!$AA$3:$AA$1315,DataRegularSeason20242025!$B$3:$B$1315, "&lt;=" &amp; W$1, DataRegularSeason20242025!$D$3:$D$1315, $A54)+SUMIFS(DataRegularSeason20242025!$AB$3:$AB$1315,DataRegularSeason20242025!$B$3:$B$1315, "&lt;=" &amp; W$1, DataRegularSeason20242025!$E$3:$E$1315, $A54)</f>
        <v>12</v>
      </c>
      <c r="X54">
        <f>SUMIFS(DataRegularSeason20242025!$AA$3:$AA$1315,DataRegularSeason20242025!$B$3:$B$1315, "&lt;=" &amp; X$1, DataRegularSeason20242025!$D$3:$D$1315, $A54)+SUMIFS(DataRegularSeason20242025!$AB$3:$AB$1315,DataRegularSeason20242025!$B$3:$B$1315, "&lt;=" &amp; X$1, DataRegularSeason20242025!$E$3:$E$1315, $A54)</f>
        <v>12</v>
      </c>
      <c r="Y54">
        <f>SUMIFS(DataRegularSeason20242025!$AA$3:$AA$1315,DataRegularSeason20242025!$B$3:$B$1315, "&lt;=" &amp; Y$1, DataRegularSeason20242025!$D$3:$D$1315, $A54)+SUMIFS(DataRegularSeason20242025!$AB$3:$AB$1315,DataRegularSeason20242025!$B$3:$B$1315, "&lt;=" &amp; Y$1, DataRegularSeason20242025!$E$3:$E$1315, $A54)</f>
        <v>12</v>
      </c>
      <c r="Z54">
        <f>SUMIFS(DataRegularSeason20242025!$AA$3:$AA$1315,DataRegularSeason20242025!$B$3:$B$1315, "&lt;=" &amp; Z$1, DataRegularSeason20242025!$D$3:$D$1315, $A54)+SUMIFS(DataRegularSeason20242025!$AB$3:$AB$1315,DataRegularSeason20242025!$B$3:$B$1315, "&lt;=" &amp; Z$1, DataRegularSeason20242025!$E$3:$E$1315, $A54)</f>
        <v>12</v>
      </c>
      <c r="AA54">
        <f>SUMIFS(DataRegularSeason20242025!$AA$3:$AA$1315,DataRegularSeason20242025!$B$3:$B$1315, "&lt;=" &amp; AA$1, DataRegularSeason20242025!$D$3:$D$1315, $A54)+SUMIFS(DataRegularSeason20242025!$AB$3:$AB$1315,DataRegularSeason20242025!$B$3:$B$1315, "&lt;=" &amp; AA$1, DataRegularSeason20242025!$E$3:$E$1315, $A54)</f>
        <v>12</v>
      </c>
      <c r="AB54">
        <f>SUMIFS(DataRegularSeason20242025!$AA$3:$AA$1315,DataRegularSeason20242025!$B$3:$B$1315, "&lt;=" &amp; AB$1, DataRegularSeason20242025!$D$3:$D$1315, $A54)+SUMIFS(DataRegularSeason20242025!$AB$3:$AB$1315,DataRegularSeason20242025!$B$3:$B$1315, "&lt;=" &amp; AB$1, DataRegularSeason20242025!$E$3:$E$1315, $A54)</f>
        <v>12</v>
      </c>
      <c r="AC54">
        <f>SUMIFS(DataRegularSeason20242025!$AA$3:$AA$1315,DataRegularSeason20242025!$B$3:$B$1315, "&lt;=" &amp; AC$1, DataRegularSeason20242025!$D$3:$D$1315, $A54)+SUMIFS(DataRegularSeason20242025!$AB$3:$AB$1315,DataRegularSeason20242025!$B$3:$B$1315, "&lt;=" &amp; AC$1, DataRegularSeason20242025!$E$3:$E$1315, $A54)</f>
        <v>12</v>
      </c>
      <c r="AD54">
        <f>SUMIFS(DataRegularSeason20242025!$AA$3:$AA$1315,DataRegularSeason20242025!$B$3:$B$1315, "&lt;=" &amp; AD$1, DataRegularSeason20242025!$D$3:$D$1315, $A54)+SUMIFS(DataRegularSeason20242025!$AB$3:$AB$1315,DataRegularSeason20242025!$B$3:$B$1315, "&lt;=" &amp; AD$1, DataRegularSeason20242025!$E$3:$E$1315, $A54)</f>
        <v>12</v>
      </c>
      <c r="AE54">
        <f>SUMIFS(DataRegularSeason20242025!$AA$3:$AA$1315,DataRegularSeason20242025!$B$3:$B$1315, "&lt;=" &amp; AE$1, DataRegularSeason20242025!$D$3:$D$1315, $A54)+SUMIFS(DataRegularSeason20242025!$AB$3:$AB$1315,DataRegularSeason20242025!$B$3:$B$1315, "&lt;=" &amp; AE$1, DataRegularSeason20242025!$E$3:$E$1315, $A54)</f>
        <v>12</v>
      </c>
      <c r="AF54">
        <f>SUMIFS(DataRegularSeason20242025!$AA$3:$AA$1315,DataRegularSeason20242025!$B$3:$B$1315, "&lt;=" &amp; AF$1, DataRegularSeason20242025!$D$3:$D$1315, $A54)+SUMIFS(DataRegularSeason20242025!$AB$3:$AB$1315,DataRegularSeason20242025!$B$3:$B$1315, "&lt;=" &amp; AF$1, DataRegularSeason20242025!$E$3:$E$1315, $A54)</f>
        <v>12</v>
      </c>
      <c r="AG54">
        <f>SUMIFS(DataRegularSeason20242025!$AA$3:$AA$1315,DataRegularSeason20242025!$B$3:$B$1315, "&lt;=" &amp; AG$1, DataRegularSeason20242025!$D$3:$D$1315, $A54)+SUMIFS(DataRegularSeason20242025!$AB$3:$AB$1315,DataRegularSeason20242025!$B$3:$B$1315, "&lt;=" &amp; AG$1, DataRegularSeason20242025!$E$3:$E$1315, $A54)</f>
        <v>12</v>
      </c>
      <c r="AH54">
        <f>SUMIFS(DataRegularSeason20242025!$AA$3:$AA$1315,DataRegularSeason20242025!$B$3:$B$1315, "&lt;=" &amp; AH$1, DataRegularSeason20242025!$D$3:$D$1315, $A54)+SUMIFS(DataRegularSeason20242025!$AB$3:$AB$1315,DataRegularSeason20242025!$B$3:$B$1315, "&lt;=" &amp; AH$1, DataRegularSeason20242025!$E$3:$E$1315, $A54)</f>
        <v>12</v>
      </c>
      <c r="AI54">
        <f>SUMIFS(DataRegularSeason20242025!$AA$3:$AA$1315,DataRegularSeason20242025!$B$3:$B$1315, "&lt;=" &amp; AI$1, DataRegularSeason20242025!$D$3:$D$1315, $A54)+SUMIFS(DataRegularSeason20242025!$AB$3:$AB$1315,DataRegularSeason20242025!$B$3:$B$1315, "&lt;=" &amp; AI$1, DataRegularSeason20242025!$E$3:$E$1315, $A54)</f>
        <v>12</v>
      </c>
      <c r="AJ54">
        <f>SUMIFS(DataRegularSeason20242025!$AA$3:$AA$1315,DataRegularSeason20242025!$B$3:$B$1315, "&lt;=" &amp; AJ$1, DataRegularSeason20242025!$D$3:$D$1315, $A54)+SUMIFS(DataRegularSeason20242025!$AB$3:$AB$1315,DataRegularSeason20242025!$B$3:$B$1315, "&lt;=" &amp; AJ$1, DataRegularSeason20242025!$E$3:$E$1315, $A54)</f>
        <v>12</v>
      </c>
      <c r="AK54">
        <f>SUMIFS(DataRegularSeason20242025!$AA$3:$AA$1315,DataRegularSeason20242025!$B$3:$B$1315, "&lt;=" &amp; AK$1, DataRegularSeason20242025!$D$3:$D$1315, $A54)+SUMIFS(DataRegularSeason20242025!$AB$3:$AB$1315,DataRegularSeason20242025!$B$3:$B$1315, "&lt;=" &amp; AK$1, DataRegularSeason20242025!$E$3:$E$1315, $A54)</f>
        <v>12</v>
      </c>
      <c r="AL54">
        <f>SUMIFS(DataRegularSeason20242025!$AA$3:$AA$1315,DataRegularSeason20242025!$B$3:$B$1315, "&lt;=" &amp; AL$1, DataRegularSeason20242025!$D$3:$D$1315, $A54)+SUMIFS(DataRegularSeason20242025!$AB$3:$AB$1315,DataRegularSeason20242025!$B$3:$B$1315, "&lt;=" &amp; AL$1, DataRegularSeason20242025!$E$3:$E$1315, $A54)</f>
        <v>12</v>
      </c>
      <c r="AM54">
        <f>SUMIFS(DataRegularSeason20242025!$AA$3:$AA$1315,DataRegularSeason20242025!$B$3:$B$1315, "&lt;=" &amp; AM$1, DataRegularSeason20242025!$D$3:$D$1315, $A54)+SUMIFS(DataRegularSeason20242025!$AB$3:$AB$1315,DataRegularSeason20242025!$B$3:$B$1315, "&lt;=" &amp; AM$1, DataRegularSeason20242025!$E$3:$E$1315, $A54)</f>
        <v>12</v>
      </c>
      <c r="AN54">
        <f>SUMIFS(DataRegularSeason20242025!$AA$3:$AA$1315,DataRegularSeason20242025!$B$3:$B$1315, "&lt;=" &amp; AN$1, DataRegularSeason20242025!$D$3:$D$1315, $A54)+SUMIFS(DataRegularSeason20242025!$AB$3:$AB$1315,DataRegularSeason20242025!$B$3:$B$1315, "&lt;=" &amp; AN$1, DataRegularSeason20242025!$E$3:$E$1315, $A54)</f>
        <v>12</v>
      </c>
      <c r="AO54">
        <f>SUMIFS(DataRegularSeason20242025!$AA$3:$AA$1315,DataRegularSeason20242025!$B$3:$B$1315, "&lt;=" &amp; AO$1, DataRegularSeason20242025!$D$3:$D$1315, $A54)+SUMIFS(DataRegularSeason20242025!$AB$3:$AB$1315,DataRegularSeason20242025!$B$3:$B$1315, "&lt;=" &amp; AO$1, DataRegularSeason20242025!$E$3:$E$1315, $A54)</f>
        <v>12</v>
      </c>
      <c r="AP54">
        <f>SUMIFS(DataRegularSeason20242025!$AA$3:$AA$1315,DataRegularSeason20242025!$B$3:$B$1315, "&lt;=" &amp; AP$1, DataRegularSeason20242025!$D$3:$D$1315, $A54)+SUMIFS(DataRegularSeason20242025!$AB$3:$AB$1315,DataRegularSeason20242025!$B$3:$B$1315, "&lt;=" &amp; AP$1, DataRegularSeason20242025!$E$3:$E$1315, $A54)</f>
        <v>12</v>
      </c>
      <c r="AQ54">
        <f>SUMIFS(DataRegularSeason20242025!$AA$3:$AA$1315,DataRegularSeason20242025!$B$3:$B$1315, "&lt;=" &amp; AQ$1, DataRegularSeason20242025!$D$3:$D$1315, $A54)+SUMIFS(DataRegularSeason20242025!$AB$3:$AB$1315,DataRegularSeason20242025!$B$3:$B$1315, "&lt;=" &amp; AQ$1, DataRegularSeason20242025!$E$3:$E$1315, $A54)</f>
        <v>12</v>
      </c>
      <c r="AR54">
        <f>SUMIFS(DataRegularSeason20242025!$AA$3:$AA$1315,DataRegularSeason20242025!$B$3:$B$1315, "&lt;=" &amp; AR$1, DataRegularSeason20242025!$D$3:$D$1315, $A54)+SUMIFS(DataRegularSeason20242025!$AB$3:$AB$1315,DataRegularSeason20242025!$B$3:$B$1315, "&lt;=" &amp; AR$1, DataRegularSeason20242025!$E$3:$E$1315, $A54)</f>
        <v>12</v>
      </c>
      <c r="AS54">
        <f>SUMIFS(DataRegularSeason20242025!$AA$3:$AA$1315,DataRegularSeason20242025!$B$3:$B$1315, "&lt;=" &amp; AS$1, DataRegularSeason20242025!$D$3:$D$1315, $A54)+SUMIFS(DataRegularSeason20242025!$AB$3:$AB$1315,DataRegularSeason20242025!$B$3:$B$1315, "&lt;=" &amp; AS$1, DataRegularSeason20242025!$E$3:$E$1315, $A54)</f>
        <v>12</v>
      </c>
      <c r="AT54">
        <f>SUMIFS(DataRegularSeason20242025!$AA$3:$AA$1315,DataRegularSeason20242025!$B$3:$B$1315, "&lt;=" &amp; AT$1, DataRegularSeason20242025!$D$3:$D$1315, $A54)+SUMIFS(DataRegularSeason20242025!$AB$3:$AB$1315,DataRegularSeason20242025!$B$3:$B$1315, "&lt;=" &amp; AT$1, DataRegularSeason20242025!$E$3:$E$1315, $A54)</f>
        <v>12</v>
      </c>
      <c r="AU54">
        <f>SUMIFS(DataRegularSeason20242025!$AA$3:$AA$1315,DataRegularSeason20242025!$B$3:$B$1315, "&lt;=" &amp; AU$1, DataRegularSeason20242025!$D$3:$D$1315, $A54)+SUMIFS(DataRegularSeason20242025!$AB$3:$AB$1315,DataRegularSeason20242025!$B$3:$B$1315, "&lt;=" &amp; AU$1, DataRegularSeason20242025!$E$3:$E$1315, $A54)</f>
        <v>12</v>
      </c>
      <c r="AV54">
        <f>SUMIFS(DataRegularSeason20242025!$AA$3:$AA$1315,DataRegularSeason20242025!$B$3:$B$1315, "&lt;=" &amp; AV$1, DataRegularSeason20242025!$D$3:$D$1315, $A54)+SUMIFS(DataRegularSeason20242025!$AB$3:$AB$1315,DataRegularSeason20242025!$B$3:$B$1315, "&lt;=" &amp; AV$1, DataRegularSeason20242025!$E$3:$E$1315, $A54)</f>
        <v>12</v>
      </c>
      <c r="AW54">
        <f>SUMIFS(DataRegularSeason20242025!$AA$3:$AA$1315,DataRegularSeason20242025!$B$3:$B$1315, "&lt;=" &amp; AW$1, DataRegularSeason20242025!$D$3:$D$1315, $A54)+SUMIFS(DataRegularSeason20242025!$AB$3:$AB$1315,DataRegularSeason20242025!$B$3:$B$1315, "&lt;=" &amp; AW$1, DataRegularSeason20242025!$E$3:$E$1315, $A54)</f>
        <v>12</v>
      </c>
      <c r="AX54">
        <f>SUMIFS(DataRegularSeason20242025!$AA$3:$AA$1315,DataRegularSeason20242025!$B$3:$B$1315, "&lt;=" &amp; AX$1, DataRegularSeason20242025!$D$3:$D$1315, $A54)+SUMIFS(DataRegularSeason20242025!$AB$3:$AB$1315,DataRegularSeason20242025!$B$3:$B$1315, "&lt;=" &amp; AX$1, DataRegularSeason20242025!$E$3:$E$1315, $A54)</f>
        <v>12</v>
      </c>
      <c r="AY54">
        <f>SUMIFS(DataRegularSeason20242025!$AA$3:$AA$1315,DataRegularSeason20242025!$B$3:$B$1315, "&lt;=" &amp; AY$1, DataRegularSeason20242025!$D$3:$D$1315, $A54)+SUMIFS(DataRegularSeason20242025!$AB$3:$AB$1315,DataRegularSeason20242025!$B$3:$B$1315, "&lt;=" &amp; AY$1, DataRegularSeason20242025!$E$3:$E$1315, $A54)</f>
        <v>12</v>
      </c>
      <c r="AZ54">
        <f>SUMIFS(DataRegularSeason20242025!$AA$3:$AA$1315,DataRegularSeason20242025!$B$3:$B$1315, "&lt;=" &amp; AZ$1, DataRegularSeason20242025!$D$3:$D$1315, $A54)+SUMIFS(DataRegularSeason20242025!$AB$3:$AB$1315,DataRegularSeason20242025!$B$3:$B$1315, "&lt;=" &amp; AZ$1, DataRegularSeason20242025!$E$3:$E$1315, $A54)</f>
        <v>12</v>
      </c>
      <c r="BA54">
        <f>SUMIFS(DataRegularSeason20242025!$AA$3:$AA$1315,DataRegularSeason20242025!$B$3:$B$1315, "&lt;=" &amp; BA$1, DataRegularSeason20242025!$D$3:$D$1315, $A54)+SUMIFS(DataRegularSeason20242025!$AB$3:$AB$1315,DataRegularSeason20242025!$B$3:$B$1315, "&lt;=" &amp; BA$1, DataRegularSeason20242025!$E$3:$E$1315, $A54)</f>
        <v>12</v>
      </c>
      <c r="BB54">
        <f>SUMIFS(DataRegularSeason20242025!$AA$3:$AA$1315,DataRegularSeason20242025!$B$3:$B$1315, "&lt;=" &amp; BB$1, DataRegularSeason20242025!$D$3:$D$1315, $A54)+SUMIFS(DataRegularSeason20242025!$AB$3:$AB$1315,DataRegularSeason20242025!$B$3:$B$1315, "&lt;=" &amp; BB$1, DataRegularSeason20242025!$E$3:$E$1315, $A54)</f>
        <v>12</v>
      </c>
      <c r="BC54">
        <f>SUMIFS(DataRegularSeason20242025!$AA$3:$AA$1315,DataRegularSeason20242025!$B$3:$B$1315, "&lt;=" &amp; BC$1, DataRegularSeason20242025!$D$3:$D$1315, $A54)+SUMIFS(DataRegularSeason20242025!$AB$3:$AB$1315,DataRegularSeason20242025!$B$3:$B$1315, "&lt;=" &amp; BC$1, DataRegularSeason20242025!$E$3:$E$1315, $A54)</f>
        <v>12</v>
      </c>
      <c r="BD54">
        <f>SUMIFS(DataRegularSeason20242025!$AA$3:$AA$1315,DataRegularSeason20242025!$B$3:$B$1315, "&lt;=" &amp; BD$1, DataRegularSeason20242025!$D$3:$D$1315, $A54)+SUMIFS(DataRegularSeason20242025!$AB$3:$AB$1315,DataRegularSeason20242025!$B$3:$B$1315, "&lt;=" &amp; BD$1, DataRegularSeason20242025!$E$3:$E$1315, $A54)</f>
        <v>12</v>
      </c>
      <c r="BE54">
        <f>SUMIFS(DataRegularSeason20242025!$AA$3:$AA$1315,DataRegularSeason20242025!$B$3:$B$1315, "&lt;=" &amp; BE$1, DataRegularSeason20242025!$D$3:$D$1315, $A54)+SUMIFS(DataRegularSeason20242025!$AB$3:$AB$1315,DataRegularSeason20242025!$B$3:$B$1315, "&lt;=" &amp; BE$1, DataRegularSeason20242025!$E$3:$E$1315, $A54)</f>
        <v>12</v>
      </c>
      <c r="BF54">
        <f>SUMIFS(DataRegularSeason20242025!$AA$3:$AA$1315,DataRegularSeason20242025!$B$3:$B$1315, "&lt;=" &amp; BF$1, DataRegularSeason20242025!$D$3:$D$1315, $A54)+SUMIFS(DataRegularSeason20242025!$AB$3:$AB$1315,DataRegularSeason20242025!$B$3:$B$1315, "&lt;=" &amp; BF$1, DataRegularSeason20242025!$E$3:$E$1315, $A54)</f>
        <v>12</v>
      </c>
      <c r="BG54">
        <f>SUMIFS(DataRegularSeason20242025!$AA$3:$AA$1315,DataRegularSeason20242025!$B$3:$B$1315, "&lt;=" &amp; BG$1, DataRegularSeason20242025!$D$3:$D$1315, $A54)+SUMIFS(DataRegularSeason20242025!$AB$3:$AB$1315,DataRegularSeason20242025!$B$3:$B$1315, "&lt;=" &amp; BG$1, DataRegularSeason20242025!$E$3:$E$1315, $A54)</f>
        <v>12</v>
      </c>
      <c r="BH54">
        <f>SUMIFS(DataRegularSeason20242025!$AA$3:$AA$1315,DataRegularSeason20242025!$B$3:$B$1315, "&lt;=" &amp; BH$1, DataRegularSeason20242025!$D$3:$D$1315, $A54)+SUMIFS(DataRegularSeason20242025!$AB$3:$AB$1315,DataRegularSeason20242025!$B$3:$B$1315, "&lt;=" &amp; BH$1, DataRegularSeason20242025!$E$3:$E$1315, $A54)</f>
        <v>12</v>
      </c>
      <c r="BI54">
        <f>SUMIFS(DataRegularSeason20242025!$AA$3:$AA$1315,DataRegularSeason20242025!$B$3:$B$1315, "&lt;=" &amp; BI$1, DataRegularSeason20242025!$D$3:$D$1315, $A54)+SUMIFS(DataRegularSeason20242025!$AB$3:$AB$1315,DataRegularSeason20242025!$B$3:$B$1315, "&lt;=" &amp; BI$1, DataRegularSeason20242025!$E$3:$E$1315, $A54)</f>
        <v>12</v>
      </c>
      <c r="BJ54">
        <f>SUMIFS(DataRegularSeason20242025!$AA$3:$AA$1315,DataRegularSeason20242025!$B$3:$B$1315, "&lt;=" &amp; BJ$1, DataRegularSeason20242025!$D$3:$D$1315, $A54)+SUMIFS(DataRegularSeason20242025!$AB$3:$AB$1315,DataRegularSeason20242025!$B$3:$B$1315, "&lt;=" &amp; BJ$1, DataRegularSeason20242025!$E$3:$E$1315, $A54)</f>
        <v>12</v>
      </c>
      <c r="BK54">
        <f>SUMIFS(DataRegularSeason20242025!$AA$3:$AA$1315,DataRegularSeason20242025!$B$3:$B$1315, "&lt;=" &amp; BK$1, DataRegularSeason20242025!$D$3:$D$1315, $A54)+SUMIFS(DataRegularSeason20242025!$AB$3:$AB$1315,DataRegularSeason20242025!$B$3:$B$1315, "&lt;=" &amp; BK$1, DataRegularSeason20242025!$E$3:$E$1315, $A54)</f>
        <v>12</v>
      </c>
      <c r="BL54">
        <f>SUMIFS(DataRegularSeason20242025!$AA$3:$AA$1315,DataRegularSeason20242025!$B$3:$B$1315, "&lt;=" &amp; BL$1, DataRegularSeason20242025!$D$3:$D$1315, $A54)+SUMIFS(DataRegularSeason20242025!$AB$3:$AB$1315,DataRegularSeason20242025!$B$3:$B$1315, "&lt;=" &amp; BL$1, DataRegularSeason20242025!$E$3:$E$1315, $A54)</f>
        <v>12</v>
      </c>
      <c r="BM54">
        <f>SUMIFS(DataRegularSeason20242025!$AA$3:$AA$1315,DataRegularSeason20242025!$B$3:$B$1315, "&lt;=" &amp; BM$1, DataRegularSeason20242025!$D$3:$D$1315, $A54)+SUMIFS(DataRegularSeason20242025!$AB$3:$AB$1315,DataRegularSeason20242025!$B$3:$B$1315, "&lt;=" &amp; BM$1, DataRegularSeason20242025!$E$3:$E$1315, $A54)</f>
        <v>12</v>
      </c>
      <c r="BN54">
        <f>SUMIFS(DataRegularSeason20242025!$AA$3:$AA$1315,DataRegularSeason20242025!$B$3:$B$1315, "&lt;=" &amp; BN$1, DataRegularSeason20242025!$D$3:$D$1315, $A54)+SUMIFS(DataRegularSeason20242025!$AB$3:$AB$1315,DataRegularSeason20242025!$B$3:$B$1315, "&lt;=" &amp; BN$1, DataRegularSeason20242025!$E$3:$E$1315, $A54)</f>
        <v>12</v>
      </c>
      <c r="BO54">
        <f>SUMIFS(DataRegularSeason20242025!$AA$3:$AA$1315,DataRegularSeason20242025!$B$3:$B$1315, "&lt;=" &amp; BO$1, DataRegularSeason20242025!$D$3:$D$1315, $A54)+SUMIFS(DataRegularSeason20242025!$AB$3:$AB$1315,DataRegularSeason20242025!$B$3:$B$1315, "&lt;=" &amp; BO$1, DataRegularSeason20242025!$E$3:$E$1315, $A54)</f>
        <v>12</v>
      </c>
      <c r="BP54">
        <f>SUMIFS(DataRegularSeason20242025!$AA$3:$AA$1315,DataRegularSeason20242025!$B$3:$B$1315, "&lt;=" &amp; BP$1, DataRegularSeason20242025!$D$3:$D$1315, $A54)+SUMIFS(DataRegularSeason20242025!$AB$3:$AB$1315,DataRegularSeason20242025!$B$3:$B$1315, "&lt;=" &amp; BP$1, DataRegularSeason20242025!$E$3:$E$1315, $A54)</f>
        <v>12</v>
      </c>
      <c r="BQ54">
        <f>SUMIFS(DataRegularSeason20242025!$AA$3:$AA$1315,DataRegularSeason20242025!$B$3:$B$1315, "&lt;=" &amp; BQ$1, DataRegularSeason20242025!$D$3:$D$1315, $A54)+SUMIFS(DataRegularSeason20242025!$AB$3:$AB$1315,DataRegularSeason20242025!$B$3:$B$1315, "&lt;=" &amp; BQ$1, DataRegularSeason20242025!$E$3:$E$1315, $A54)</f>
        <v>12</v>
      </c>
      <c r="BR54">
        <f>SUMIFS(DataRegularSeason20242025!$AA$3:$AA$1315,DataRegularSeason20242025!$B$3:$B$1315, "&lt;=" &amp; BR$1, DataRegularSeason20242025!$D$3:$D$1315, $A54)+SUMIFS(DataRegularSeason20242025!$AB$3:$AB$1315,DataRegularSeason20242025!$B$3:$B$1315, "&lt;=" &amp; BR$1, DataRegularSeason20242025!$E$3:$E$1315, $A54)</f>
        <v>12</v>
      </c>
      <c r="BS54">
        <f>SUMIFS(DataRegularSeason20242025!$AA$3:$AA$1315,DataRegularSeason20242025!$B$3:$B$1315, "&lt;=" &amp; BS$1, DataRegularSeason20242025!$D$3:$D$1315, $A54)+SUMIFS(DataRegularSeason20242025!$AB$3:$AB$1315,DataRegularSeason20242025!$B$3:$B$1315, "&lt;=" &amp; BS$1, DataRegularSeason20242025!$E$3:$E$1315, $A54)</f>
        <v>12</v>
      </c>
      <c r="BT54">
        <f>SUMIFS(DataRegularSeason20242025!$AA$3:$AA$1315,DataRegularSeason20242025!$B$3:$B$1315, "&lt;=" &amp; BT$1, DataRegularSeason20242025!$D$3:$D$1315, $A54)+SUMIFS(DataRegularSeason20242025!$AB$3:$AB$1315,DataRegularSeason20242025!$B$3:$B$1315, "&lt;=" &amp; BT$1, DataRegularSeason20242025!$E$3:$E$1315, $A54)</f>
        <v>12</v>
      </c>
      <c r="BU54">
        <f>SUMIFS(DataRegularSeason20242025!$AA$3:$AA$1315,DataRegularSeason20242025!$B$3:$B$1315, "&lt;=" &amp; BU$1, DataRegularSeason20242025!$D$3:$D$1315, $A54)+SUMIFS(DataRegularSeason20242025!$AB$3:$AB$1315,DataRegularSeason20242025!$B$3:$B$1315, "&lt;=" &amp; BU$1, DataRegularSeason20242025!$E$3:$E$1315, $A54)</f>
        <v>12</v>
      </c>
      <c r="BV54">
        <f>SUMIFS(DataRegularSeason20242025!$AA$3:$AA$1315,DataRegularSeason20242025!$B$3:$B$1315, "&lt;=" &amp; BV$1, DataRegularSeason20242025!$D$3:$D$1315, $A54)+SUMIFS(DataRegularSeason20242025!$AB$3:$AB$1315,DataRegularSeason20242025!$B$3:$B$1315, "&lt;=" &amp; BV$1, DataRegularSeason20242025!$E$3:$E$1315, $A54)</f>
        <v>12</v>
      </c>
      <c r="BW54">
        <f>SUMIFS(DataRegularSeason20242025!$AA$3:$AA$1315,DataRegularSeason20242025!$B$3:$B$1315, "&lt;=" &amp; BW$1, DataRegularSeason20242025!$D$3:$D$1315, $A54)+SUMIFS(DataRegularSeason20242025!$AB$3:$AB$1315,DataRegularSeason20242025!$B$3:$B$1315, "&lt;=" &amp; BW$1, DataRegularSeason20242025!$E$3:$E$1315, $A54)</f>
        <v>12</v>
      </c>
      <c r="BX54">
        <f>SUMIFS(DataRegularSeason20242025!$AA$3:$AA$1315,DataRegularSeason20242025!$B$3:$B$1315, "&lt;=" &amp; BX$1, DataRegularSeason20242025!$D$3:$D$1315, $A54)+SUMIFS(DataRegularSeason20242025!$AB$3:$AB$1315,DataRegularSeason20242025!$B$3:$B$1315, "&lt;=" &amp; BX$1, DataRegularSeason20242025!$E$3:$E$1315, $A54)</f>
        <v>12</v>
      </c>
      <c r="BY54">
        <f>SUMIFS(DataRegularSeason20242025!$AA$3:$AA$1315,DataRegularSeason20242025!$B$3:$B$1315, "&lt;=" &amp; BY$1, DataRegularSeason20242025!$D$3:$D$1315, $A54)+SUMIFS(DataRegularSeason20242025!$AB$3:$AB$1315,DataRegularSeason20242025!$B$3:$B$1315, "&lt;=" &amp; BY$1, DataRegularSeason20242025!$E$3:$E$1315, $A54)</f>
        <v>12</v>
      </c>
      <c r="BZ54">
        <f>SUMIFS(DataRegularSeason20242025!$AA$3:$AA$1315,DataRegularSeason20242025!$B$3:$B$1315, "&lt;=" &amp; BZ$1, DataRegularSeason20242025!$D$3:$D$1315, $A54)+SUMIFS(DataRegularSeason20242025!$AB$3:$AB$1315,DataRegularSeason20242025!$B$3:$B$1315, "&lt;=" &amp; BZ$1, DataRegularSeason20242025!$E$3:$E$1315, $A54)</f>
        <v>12</v>
      </c>
      <c r="CA54">
        <f>SUMIFS(DataRegularSeason20242025!$AA$3:$AA$1315,DataRegularSeason20242025!$B$3:$B$1315, "&lt;=" &amp; CA$1, DataRegularSeason20242025!$D$3:$D$1315, $A54)+SUMIFS(DataRegularSeason20242025!$AB$3:$AB$1315,DataRegularSeason20242025!$B$3:$B$1315, "&lt;=" &amp; CA$1, DataRegularSeason20242025!$E$3:$E$1315, $A54)</f>
        <v>12</v>
      </c>
      <c r="CB54">
        <f>SUMIFS(DataRegularSeason20242025!$AA$3:$AA$1315,DataRegularSeason20242025!$B$3:$B$1315, "&lt;=" &amp; CB$1, DataRegularSeason20242025!$D$3:$D$1315, $A54)+SUMIFS(DataRegularSeason20242025!$AB$3:$AB$1315,DataRegularSeason20242025!$B$3:$B$1315, "&lt;=" &amp; CB$1, DataRegularSeason20242025!$E$3:$E$1315, $A54)</f>
        <v>12</v>
      </c>
      <c r="CC54">
        <f>SUMIFS(DataRegularSeason20242025!$AA$3:$AA$1315,DataRegularSeason20242025!$B$3:$B$1315, "&lt;=" &amp; CC$1, DataRegularSeason20242025!$D$3:$D$1315, $A54)+SUMIFS(DataRegularSeason20242025!$AB$3:$AB$1315,DataRegularSeason20242025!$B$3:$B$1315, "&lt;=" &amp; CC$1, DataRegularSeason20242025!$E$3:$E$1315, $A54)</f>
        <v>12</v>
      </c>
      <c r="CD54">
        <f>SUMIFS(DataRegularSeason20242025!$AA$3:$AA$1315,DataRegularSeason20242025!$B$3:$B$1315, "&lt;=" &amp; CD$1, DataRegularSeason20242025!$D$3:$D$1315, $A54)+SUMIFS(DataRegularSeason20242025!$AB$3:$AB$1315,DataRegularSeason20242025!$B$3:$B$1315, "&lt;=" &amp; CD$1, DataRegularSeason20242025!$E$3:$E$1315, $A54)</f>
        <v>12</v>
      </c>
      <c r="CE54">
        <f>SUMIFS(DataRegularSeason20242025!$AA$3:$AA$1315,DataRegularSeason20242025!$B$3:$B$1315, "&lt;=" &amp; CE$1, DataRegularSeason20242025!$D$3:$D$1315, $A54)+SUMIFS(DataRegularSeason20242025!$AB$3:$AB$1315,DataRegularSeason20242025!$B$3:$B$1315, "&lt;=" &amp; CE$1, DataRegularSeason20242025!$E$3:$E$1315, $A54)</f>
        <v>12</v>
      </c>
      <c r="CF54">
        <f>SUMIFS(DataRegularSeason20242025!$AA$3:$AA$1315,DataRegularSeason20242025!$B$3:$B$1315, "&lt;=" &amp; CF$1, DataRegularSeason20242025!$D$3:$D$1315, $A54)+SUMIFS(DataRegularSeason20242025!$AB$3:$AB$1315,DataRegularSeason20242025!$B$3:$B$1315, "&lt;=" &amp; CF$1, DataRegularSeason20242025!$E$3:$E$1315, $A54)</f>
        <v>12</v>
      </c>
      <c r="CG54">
        <f>SUMIFS(DataRegularSeason20242025!$AA$3:$AA$1315,DataRegularSeason20242025!$B$3:$B$1315, "&lt;=" &amp; CG$1, DataRegularSeason20242025!$D$3:$D$1315, $A54)+SUMIFS(DataRegularSeason20242025!$AB$3:$AB$1315,DataRegularSeason20242025!$B$3:$B$1315, "&lt;=" &amp; CG$1, DataRegularSeason20242025!$E$3:$E$1315, $A54)</f>
        <v>12</v>
      </c>
      <c r="CH54">
        <f>SUMIFS(DataRegularSeason20242025!$AA$3:$AA$1315,DataRegularSeason20242025!$B$3:$B$1315, "&lt;=" &amp; CH$1, DataRegularSeason20242025!$D$3:$D$1315, $A54)+SUMIFS(DataRegularSeason20242025!$AB$3:$AB$1315,DataRegularSeason20242025!$B$3:$B$1315, "&lt;=" &amp; CH$1, DataRegularSeason20242025!$E$3:$E$1315, $A54)</f>
        <v>12</v>
      </c>
      <c r="CI54">
        <f>SUMIFS(DataRegularSeason20242025!$AA$3:$AA$1315,DataRegularSeason20242025!$B$3:$B$1315, "&lt;=" &amp; CI$1, DataRegularSeason20242025!$D$3:$D$1315, $A54)+SUMIFS(DataRegularSeason20242025!$AB$3:$AB$1315,DataRegularSeason20242025!$B$3:$B$1315, "&lt;=" &amp; CI$1, DataRegularSeason20242025!$E$3:$E$1315, $A54)</f>
        <v>12</v>
      </c>
      <c r="CJ54">
        <f>SUMIFS(DataRegularSeason20242025!$AA$3:$AA$1315,DataRegularSeason20242025!$B$3:$B$1315, "&lt;=" &amp; CJ$1, DataRegularSeason20242025!$D$3:$D$1315, $A54)+SUMIFS(DataRegularSeason20242025!$AB$3:$AB$1315,DataRegularSeason20242025!$B$3:$B$1315, "&lt;=" &amp; CJ$1, DataRegularSeason20242025!$E$3:$E$1315, $A54)</f>
        <v>12</v>
      </c>
      <c r="CK54">
        <f>SUMIFS(DataRegularSeason20242025!$AA$3:$AA$1315,DataRegularSeason20242025!$B$3:$B$1315, "&lt;=" &amp; CK$1, DataRegularSeason20242025!$D$3:$D$1315, $A54)+SUMIFS(DataRegularSeason20242025!$AB$3:$AB$1315,DataRegularSeason20242025!$B$3:$B$1315, "&lt;=" &amp; CK$1, DataRegularSeason20242025!$E$3:$E$1315, $A54)</f>
        <v>12</v>
      </c>
      <c r="CL54">
        <f>SUMIFS(DataRegularSeason20242025!$AA$3:$AA$1315,DataRegularSeason20242025!$B$3:$B$1315, "&lt;=" &amp; CL$1, DataRegularSeason20242025!$D$3:$D$1315, $A54)+SUMIFS(DataRegularSeason20242025!$AB$3:$AB$1315,DataRegularSeason20242025!$B$3:$B$1315, "&lt;=" &amp; CL$1, DataRegularSeason20242025!$E$3:$E$1315, $A54)</f>
        <v>12</v>
      </c>
      <c r="CM54">
        <f>SUMIFS(DataRegularSeason20242025!$AA$3:$AA$1315,DataRegularSeason20242025!$B$3:$B$1315, "&lt;=" &amp; CM$1, DataRegularSeason20242025!$D$3:$D$1315, $A54)+SUMIFS(DataRegularSeason20242025!$AB$3:$AB$1315,DataRegularSeason20242025!$B$3:$B$1315, "&lt;=" &amp; CM$1, DataRegularSeason20242025!$E$3:$E$1315, $A54)</f>
        <v>12</v>
      </c>
      <c r="CN54">
        <f>SUMIFS(DataRegularSeason20242025!$AA$3:$AA$1315,DataRegularSeason20242025!$B$3:$B$1315, "&lt;=" &amp; CN$1, DataRegularSeason20242025!$D$3:$D$1315, $A54)+SUMIFS(DataRegularSeason20242025!$AB$3:$AB$1315,DataRegularSeason20242025!$B$3:$B$1315, "&lt;=" &amp; CN$1, DataRegularSeason20242025!$E$3:$E$1315, $A54)</f>
        <v>12</v>
      </c>
      <c r="CO54">
        <f>SUMIFS(DataRegularSeason20242025!$AA$3:$AA$1315,DataRegularSeason20242025!$B$3:$B$1315, "&lt;=" &amp; CO$1, DataRegularSeason20242025!$D$3:$D$1315, $A54)+SUMIFS(DataRegularSeason20242025!$AB$3:$AB$1315,DataRegularSeason20242025!$B$3:$B$1315, "&lt;=" &amp; CO$1, DataRegularSeason20242025!$E$3:$E$1315, $A54)</f>
        <v>12</v>
      </c>
      <c r="CP54">
        <f>SUMIFS(DataRegularSeason20242025!$AA$3:$AA$1315,DataRegularSeason20242025!$B$3:$B$1315, "&lt;=" &amp; CP$1, DataRegularSeason20242025!$D$3:$D$1315, $A54)+SUMIFS(DataRegularSeason20242025!$AB$3:$AB$1315,DataRegularSeason20242025!$B$3:$B$1315, "&lt;=" &amp; CP$1, DataRegularSeason20242025!$E$3:$E$1315, $A54)</f>
        <v>12</v>
      </c>
      <c r="CQ54">
        <f>SUMIFS(DataRegularSeason20242025!$AA$3:$AA$1315,DataRegularSeason20242025!$B$3:$B$1315, "&lt;=" &amp; CQ$1, DataRegularSeason20242025!$D$3:$D$1315, $A54)+SUMIFS(DataRegularSeason20242025!$AB$3:$AB$1315,DataRegularSeason20242025!$B$3:$B$1315, "&lt;=" &amp; CQ$1, DataRegularSeason20242025!$E$3:$E$1315, $A54)</f>
        <v>12</v>
      </c>
      <c r="CR54">
        <f>SUMIFS(DataRegularSeason20242025!$AA$3:$AA$1315,DataRegularSeason20242025!$B$3:$B$1315, "&lt;=" &amp; CR$1, DataRegularSeason20242025!$D$3:$D$1315, $A54)+SUMIFS(DataRegularSeason20242025!$AB$3:$AB$1315,DataRegularSeason20242025!$B$3:$B$1315, "&lt;=" &amp; CR$1, DataRegularSeason20242025!$E$3:$E$1315, $A54)</f>
        <v>12</v>
      </c>
      <c r="CS54">
        <f>SUMIFS(DataRegularSeason20242025!$AA$3:$AA$1315,DataRegularSeason20242025!$B$3:$B$1315, "&lt;=" &amp; CS$1, DataRegularSeason20242025!$D$3:$D$1315, $A54)+SUMIFS(DataRegularSeason20242025!$AB$3:$AB$1315,DataRegularSeason20242025!$B$3:$B$1315, "&lt;=" &amp; CS$1, DataRegularSeason20242025!$E$3:$E$1315, $A54)</f>
        <v>12</v>
      </c>
      <c r="CT54">
        <f>SUMIFS(DataRegularSeason20242025!$AA$3:$AA$1315,DataRegularSeason20242025!$B$3:$B$1315, "&lt;=" &amp; CT$1, DataRegularSeason20242025!$D$3:$D$1315, $A54)+SUMIFS(DataRegularSeason20242025!$AB$3:$AB$1315,DataRegularSeason20242025!$B$3:$B$1315, "&lt;=" &amp; CT$1, DataRegularSeason20242025!$E$3:$E$1315, $A54)</f>
        <v>12</v>
      </c>
      <c r="CU54">
        <f>SUMIFS(DataRegularSeason20242025!$AA$3:$AA$1315,DataRegularSeason20242025!$B$3:$B$1315, "&lt;=" &amp; CU$1, DataRegularSeason20242025!$D$3:$D$1315, $A54)+SUMIFS(DataRegularSeason20242025!$AB$3:$AB$1315,DataRegularSeason20242025!$B$3:$B$1315, "&lt;=" &amp; CU$1, DataRegularSeason20242025!$E$3:$E$1315, $A54)</f>
        <v>12</v>
      </c>
      <c r="CV54">
        <f>SUMIFS(DataRegularSeason20242025!$AA$3:$AA$1315,DataRegularSeason20242025!$B$3:$B$1315, "&lt;=" &amp; CV$1, DataRegularSeason20242025!$D$3:$D$1315, $A54)+SUMIFS(DataRegularSeason20242025!$AB$3:$AB$1315,DataRegularSeason20242025!$B$3:$B$1315, "&lt;=" &amp; CV$1, DataRegularSeason20242025!$E$3:$E$1315, $A54)</f>
        <v>12</v>
      </c>
      <c r="CW54">
        <f>SUMIFS(DataRegularSeason20242025!$AA$3:$AA$1315,DataRegularSeason20242025!$B$3:$B$1315, "&lt;=" &amp; CW$1, DataRegularSeason20242025!$D$3:$D$1315, $A54)+SUMIFS(DataRegularSeason20242025!$AB$3:$AB$1315,DataRegularSeason20242025!$B$3:$B$1315, "&lt;=" &amp; CW$1, DataRegularSeason20242025!$E$3:$E$1315, $A54)</f>
        <v>12</v>
      </c>
      <c r="CX54">
        <f>SUMIFS(DataRegularSeason20242025!$AA$3:$AA$1315,DataRegularSeason20242025!$B$3:$B$1315, "&lt;=" &amp; CX$1, DataRegularSeason20242025!$D$3:$D$1315, $A54)+SUMIFS(DataRegularSeason20242025!$AB$3:$AB$1315,DataRegularSeason20242025!$B$3:$B$1315, "&lt;=" &amp; CX$1, DataRegularSeason20242025!$E$3:$E$1315, $A54)</f>
        <v>12</v>
      </c>
      <c r="CY54">
        <f>SUMIFS(DataRegularSeason20242025!$AA$3:$AA$1315,DataRegularSeason20242025!$B$3:$B$1315, "&lt;=" &amp; CY$1, DataRegularSeason20242025!$D$3:$D$1315, $A54)+SUMIFS(DataRegularSeason20242025!$AB$3:$AB$1315,DataRegularSeason20242025!$B$3:$B$1315, "&lt;=" &amp; CY$1, DataRegularSeason20242025!$E$3:$E$1315, $A54)</f>
        <v>12</v>
      </c>
      <c r="CZ54">
        <f>SUMIFS(DataRegularSeason20242025!$AA$3:$AA$1315,DataRegularSeason20242025!$B$3:$B$1315, "&lt;=" &amp; CZ$1, DataRegularSeason20242025!$D$3:$D$1315, $A54)+SUMIFS(DataRegularSeason20242025!$AB$3:$AB$1315,DataRegularSeason20242025!$B$3:$B$1315, "&lt;=" &amp; CZ$1, DataRegularSeason20242025!$E$3:$E$1315, $A54)</f>
        <v>12</v>
      </c>
      <c r="DA54">
        <f>SUMIFS(DataRegularSeason20242025!$AA$3:$AA$1315,DataRegularSeason20242025!$B$3:$B$1315, "&lt;=" &amp; DA$1, DataRegularSeason20242025!$D$3:$D$1315, $A54)+SUMIFS(DataRegularSeason20242025!$AB$3:$AB$1315,DataRegularSeason20242025!$B$3:$B$1315, "&lt;=" &amp; DA$1, DataRegularSeason20242025!$E$3:$E$1315, $A54)</f>
        <v>12</v>
      </c>
      <c r="DB54">
        <f>SUMIFS(DataRegularSeason20242025!$AA$3:$AA$1315,DataRegularSeason20242025!$B$3:$B$1315, "&lt;=" &amp; DB$1, DataRegularSeason20242025!$D$3:$D$1315, $A54)+SUMIFS(DataRegularSeason20242025!$AB$3:$AB$1315,DataRegularSeason20242025!$B$3:$B$1315, "&lt;=" &amp; DB$1, DataRegularSeason20242025!$E$3:$E$1315, $A54)</f>
        <v>12</v>
      </c>
      <c r="DC54">
        <f>SUMIFS(DataRegularSeason20242025!$AA$3:$AA$1315,DataRegularSeason20242025!$B$3:$B$1315, "&lt;=" &amp; DC$1, DataRegularSeason20242025!$D$3:$D$1315, $A54)+SUMIFS(DataRegularSeason20242025!$AB$3:$AB$1315,DataRegularSeason20242025!$B$3:$B$1315, "&lt;=" &amp; DC$1, DataRegularSeason20242025!$E$3:$E$1315, $A54)</f>
        <v>12</v>
      </c>
      <c r="DD54">
        <f>SUMIFS(DataRegularSeason20242025!$AA$3:$AA$1315,DataRegularSeason20242025!$B$3:$B$1315, "&lt;=" &amp; DD$1, DataRegularSeason20242025!$D$3:$D$1315, $A54)+SUMIFS(DataRegularSeason20242025!$AB$3:$AB$1315,DataRegularSeason20242025!$B$3:$B$1315, "&lt;=" &amp; DD$1, DataRegularSeason20242025!$E$3:$E$1315, $A54)</f>
        <v>12</v>
      </c>
      <c r="DE54">
        <f>SUMIFS(DataRegularSeason20242025!$AA$3:$AA$1315,DataRegularSeason20242025!$B$3:$B$1315, "&lt;=" &amp; DE$1, DataRegularSeason20242025!$D$3:$D$1315, $A54)+SUMIFS(DataRegularSeason20242025!$AB$3:$AB$1315,DataRegularSeason20242025!$B$3:$B$1315, "&lt;=" &amp; DE$1, DataRegularSeason20242025!$E$3:$E$1315, $A54)</f>
        <v>12</v>
      </c>
      <c r="DF54">
        <f>SUMIFS(DataRegularSeason20242025!$AA$3:$AA$1315,DataRegularSeason20242025!$B$3:$B$1315, "&lt;=" &amp; DF$1, DataRegularSeason20242025!$D$3:$D$1315, $A54)+SUMIFS(DataRegularSeason20242025!$AB$3:$AB$1315,DataRegularSeason20242025!$B$3:$B$1315, "&lt;=" &amp; DF$1, DataRegularSeason20242025!$E$3:$E$1315, $A54)</f>
        <v>12</v>
      </c>
      <c r="DG54">
        <f>SUMIFS(DataRegularSeason20242025!$AA$3:$AA$1315,DataRegularSeason20242025!$B$3:$B$1315, "&lt;=" &amp; DG$1, DataRegularSeason20242025!$D$3:$D$1315, $A54)+SUMIFS(DataRegularSeason20242025!$AB$3:$AB$1315,DataRegularSeason20242025!$B$3:$B$1315, "&lt;=" &amp; DG$1, DataRegularSeason20242025!$E$3:$E$1315, $A54)</f>
        <v>12</v>
      </c>
      <c r="DH54">
        <f>SUMIFS(DataRegularSeason20242025!$AA$3:$AA$1315,DataRegularSeason20242025!$B$3:$B$1315, "&lt;=" &amp; DH$1, DataRegularSeason20242025!$D$3:$D$1315, $A54)+SUMIFS(DataRegularSeason20242025!$AB$3:$AB$1315,DataRegularSeason20242025!$B$3:$B$1315, "&lt;=" &amp; DH$1, DataRegularSeason20242025!$E$3:$E$1315, $A54)</f>
        <v>12</v>
      </c>
      <c r="DI54">
        <f>SUMIFS(DataRegularSeason20242025!$AA$3:$AA$1315,DataRegularSeason20242025!$B$3:$B$1315, "&lt;=" &amp; DI$1, DataRegularSeason20242025!$D$3:$D$1315, $A54)+SUMIFS(DataRegularSeason20242025!$AB$3:$AB$1315,DataRegularSeason20242025!$B$3:$B$1315, "&lt;=" &amp; DI$1, DataRegularSeason20242025!$E$3:$E$1315, $A54)</f>
        <v>12</v>
      </c>
      <c r="DJ54">
        <f>SUMIFS(DataRegularSeason20242025!$AA$3:$AA$1315,DataRegularSeason20242025!$B$3:$B$1315, "&lt;=" &amp; DJ$1, DataRegularSeason20242025!$D$3:$D$1315, $A54)+SUMIFS(DataRegularSeason20242025!$AB$3:$AB$1315,DataRegularSeason20242025!$B$3:$B$1315, "&lt;=" &amp; DJ$1, DataRegularSeason20242025!$E$3:$E$1315, $A54)</f>
        <v>12</v>
      </c>
      <c r="DK54">
        <f>SUMIFS(DataRegularSeason20242025!$AA$3:$AA$1315,DataRegularSeason20242025!$B$3:$B$1315, "&lt;=" &amp; DK$1, DataRegularSeason20242025!$D$3:$D$1315, $A54)+SUMIFS(DataRegularSeason20242025!$AB$3:$AB$1315,DataRegularSeason20242025!$B$3:$B$1315, "&lt;=" &amp; DK$1, DataRegularSeason20242025!$E$3:$E$1315, $A54)</f>
        <v>12</v>
      </c>
      <c r="DL54">
        <f>SUMIFS(DataRegularSeason20242025!$AA$3:$AA$1315,DataRegularSeason20242025!$B$3:$B$1315, "&lt;=" &amp; DL$1, DataRegularSeason20242025!$D$3:$D$1315, $A54)+SUMIFS(DataRegularSeason20242025!$AB$3:$AB$1315,DataRegularSeason20242025!$B$3:$B$1315, "&lt;=" &amp; DL$1, DataRegularSeason20242025!$E$3:$E$1315, $A54)</f>
        <v>12</v>
      </c>
      <c r="DM54">
        <f>SUMIFS(DataRegularSeason20242025!$AA$3:$AA$1315,DataRegularSeason20242025!$B$3:$B$1315, "&lt;=" &amp; DM$1, DataRegularSeason20242025!$D$3:$D$1315, $A54)+SUMIFS(DataRegularSeason20242025!$AB$3:$AB$1315,DataRegularSeason20242025!$B$3:$B$1315, "&lt;=" &amp; DM$1, DataRegularSeason20242025!$E$3:$E$1315, $A54)</f>
        <v>12</v>
      </c>
      <c r="DN54">
        <f>SUMIFS(DataRegularSeason20242025!$AA$3:$AA$1315,DataRegularSeason20242025!$B$3:$B$1315, "&lt;=" &amp; DN$1, DataRegularSeason20242025!$D$3:$D$1315, $A54)+SUMIFS(DataRegularSeason20242025!$AB$3:$AB$1315,DataRegularSeason20242025!$B$3:$B$1315, "&lt;=" &amp; DN$1, DataRegularSeason20242025!$E$3:$E$1315, $A54)</f>
        <v>12</v>
      </c>
      <c r="DO54">
        <f>SUMIFS(DataRegularSeason20242025!$AA$3:$AA$1315,DataRegularSeason20242025!$B$3:$B$1315, "&lt;=" &amp; DO$1, DataRegularSeason20242025!$D$3:$D$1315, $A54)+SUMIFS(DataRegularSeason20242025!$AB$3:$AB$1315,DataRegularSeason20242025!$B$3:$B$1315, "&lt;=" &amp; DO$1, DataRegularSeason20242025!$E$3:$E$1315, $A54)</f>
        <v>12</v>
      </c>
      <c r="DP54">
        <f>SUMIFS(DataRegularSeason20242025!$AA$3:$AA$1315,DataRegularSeason20242025!$B$3:$B$1315, "&lt;=" &amp; DP$1, DataRegularSeason20242025!$D$3:$D$1315, $A54)+SUMIFS(DataRegularSeason20242025!$AB$3:$AB$1315,DataRegularSeason20242025!$B$3:$B$1315, "&lt;=" &amp; DP$1, DataRegularSeason20242025!$E$3:$E$1315, $A54)</f>
        <v>12</v>
      </c>
      <c r="DQ54">
        <f>SUMIFS(DataRegularSeason20242025!$AA$3:$AA$1315,DataRegularSeason20242025!$B$3:$B$1315, "&lt;=" &amp; DQ$1, DataRegularSeason20242025!$D$3:$D$1315, $A54)+SUMIFS(DataRegularSeason20242025!$AB$3:$AB$1315,DataRegularSeason20242025!$B$3:$B$1315, "&lt;=" &amp; DQ$1, DataRegularSeason20242025!$E$3:$E$1315, $A54)</f>
        <v>12</v>
      </c>
      <c r="DR54">
        <f>SUMIFS(DataRegularSeason20242025!$AA$3:$AA$1315,DataRegularSeason20242025!$B$3:$B$1315, "&lt;=" &amp; DR$1, DataRegularSeason20242025!$D$3:$D$1315, $A54)+SUMIFS(DataRegularSeason20242025!$AB$3:$AB$1315,DataRegularSeason20242025!$B$3:$B$1315, "&lt;=" &amp; DR$1, DataRegularSeason20242025!$E$3:$E$1315, $A54)</f>
        <v>12</v>
      </c>
      <c r="DS54">
        <f>SUMIFS(DataRegularSeason20242025!$AA$3:$AA$1315,DataRegularSeason20242025!$B$3:$B$1315, "&lt;=" &amp; DS$1, DataRegularSeason20242025!$D$3:$D$1315, $A54)+SUMIFS(DataRegularSeason20242025!$AB$3:$AB$1315,DataRegularSeason20242025!$B$3:$B$1315, "&lt;=" &amp; DS$1, DataRegularSeason20242025!$E$3:$E$1315, $A54)</f>
        <v>12</v>
      </c>
      <c r="DT54">
        <f>SUMIFS(DataRegularSeason20242025!$AA$3:$AA$1315,DataRegularSeason20242025!$B$3:$B$1315, "&lt;=" &amp; DT$1, DataRegularSeason20242025!$D$3:$D$1315, $A54)+SUMIFS(DataRegularSeason20242025!$AB$3:$AB$1315,DataRegularSeason20242025!$B$3:$B$1315, "&lt;=" &amp; DT$1, DataRegularSeason20242025!$E$3:$E$1315, $A54)</f>
        <v>12</v>
      </c>
      <c r="DU54">
        <f>SUMIFS(DataRegularSeason20242025!$AA$3:$AA$1315,DataRegularSeason20242025!$B$3:$B$1315, "&lt;=" &amp; DU$1, DataRegularSeason20242025!$D$3:$D$1315, $A54)+SUMIFS(DataRegularSeason20242025!$AB$3:$AB$1315,DataRegularSeason20242025!$B$3:$B$1315, "&lt;=" &amp; DU$1, DataRegularSeason20242025!$E$3:$E$1315, $A54)</f>
        <v>12</v>
      </c>
      <c r="DV54">
        <f>SUMIFS(DataRegularSeason20242025!$AA$3:$AA$1315,DataRegularSeason20242025!$B$3:$B$1315, "&lt;=" &amp; DV$1, DataRegularSeason20242025!$D$3:$D$1315, $A54)+SUMIFS(DataRegularSeason20242025!$AB$3:$AB$1315,DataRegularSeason20242025!$B$3:$B$1315, "&lt;=" &amp; DV$1, DataRegularSeason20242025!$E$3:$E$1315, $A54)</f>
        <v>12</v>
      </c>
      <c r="DW54">
        <f>SUMIFS(DataRegularSeason20242025!$AA$3:$AA$1315,DataRegularSeason20242025!$B$3:$B$1315, "&lt;=" &amp; DW$1, DataRegularSeason20242025!$D$3:$D$1315, $A54)+SUMIFS(DataRegularSeason20242025!$AB$3:$AB$1315,DataRegularSeason20242025!$B$3:$B$1315, "&lt;=" &amp; DW$1, DataRegularSeason20242025!$E$3:$E$1315, $A54)</f>
        <v>12</v>
      </c>
      <c r="DX54">
        <f>SUMIFS(DataRegularSeason20242025!$AA$3:$AA$1315,DataRegularSeason20242025!$B$3:$B$1315, "&lt;=" &amp; DX$1, DataRegularSeason20242025!$D$3:$D$1315, $A54)+SUMIFS(DataRegularSeason20242025!$AB$3:$AB$1315,DataRegularSeason20242025!$B$3:$B$1315, "&lt;=" &amp; DX$1, DataRegularSeason20242025!$E$3:$E$1315, $A54)</f>
        <v>12</v>
      </c>
      <c r="DY54">
        <f>SUMIFS(DataRegularSeason20242025!$AA$3:$AA$1315,DataRegularSeason20242025!$B$3:$B$1315, "&lt;=" &amp; DY$1, DataRegularSeason20242025!$D$3:$D$1315, $A54)+SUMIFS(DataRegularSeason20242025!$AB$3:$AB$1315,DataRegularSeason20242025!$B$3:$B$1315, "&lt;=" &amp; DY$1, DataRegularSeason20242025!$E$3:$E$1315, $A54)</f>
        <v>12</v>
      </c>
      <c r="DZ54">
        <f>SUMIFS(DataRegularSeason20242025!$AA$3:$AA$1315,DataRegularSeason20242025!$B$3:$B$1315, "&lt;=" &amp; DZ$1, DataRegularSeason20242025!$D$3:$D$1315, $A54)+SUMIFS(DataRegularSeason20242025!$AB$3:$AB$1315,DataRegularSeason20242025!$B$3:$B$1315, "&lt;=" &amp; DZ$1, DataRegularSeason20242025!$E$3:$E$1315, $A54)</f>
        <v>12</v>
      </c>
      <c r="EA54">
        <f>SUMIFS(DataRegularSeason20242025!$AA$3:$AA$1315,DataRegularSeason20242025!$B$3:$B$1315, "&lt;=" &amp; EA$1, DataRegularSeason20242025!$D$3:$D$1315, $A54)+SUMIFS(DataRegularSeason20242025!$AB$3:$AB$1315,DataRegularSeason20242025!$B$3:$B$1315, "&lt;=" &amp; EA$1, DataRegularSeason20242025!$E$3:$E$1315, $A54)</f>
        <v>12</v>
      </c>
      <c r="EB54">
        <f>SUMIFS(DataRegularSeason20242025!$AA$3:$AA$1315,DataRegularSeason20242025!$B$3:$B$1315, "&lt;=" &amp; EB$1, DataRegularSeason20242025!$D$3:$D$1315, $A54)+SUMIFS(DataRegularSeason20242025!$AB$3:$AB$1315,DataRegularSeason20242025!$B$3:$B$1315, "&lt;=" &amp; EB$1, DataRegularSeason20242025!$E$3:$E$1315, $A54)</f>
        <v>12</v>
      </c>
      <c r="EC54">
        <f>SUMIFS(DataRegularSeason20242025!$AA$3:$AA$1315,DataRegularSeason20242025!$B$3:$B$1315, "&lt;=" &amp; EC$1, DataRegularSeason20242025!$D$3:$D$1315, $A54)+SUMIFS(DataRegularSeason20242025!$AB$3:$AB$1315,DataRegularSeason20242025!$B$3:$B$1315, "&lt;=" &amp; EC$1, DataRegularSeason20242025!$E$3:$E$1315, $A54)</f>
        <v>12</v>
      </c>
      <c r="ED54">
        <f>SUMIFS(DataRegularSeason20242025!$AA$3:$AA$1315,DataRegularSeason20242025!$B$3:$B$1315, "&lt;=" &amp; ED$1, DataRegularSeason20242025!$D$3:$D$1315, $A54)+SUMIFS(DataRegularSeason20242025!$AB$3:$AB$1315,DataRegularSeason20242025!$B$3:$B$1315, "&lt;=" &amp; ED$1, DataRegularSeason20242025!$E$3:$E$1315, $A54)</f>
        <v>12</v>
      </c>
      <c r="EE54">
        <f>SUMIFS(DataRegularSeason20242025!$AA$3:$AA$1315,DataRegularSeason20242025!$B$3:$B$1315, "&lt;=" &amp; EE$1, DataRegularSeason20242025!$D$3:$D$1315, $A54)+SUMIFS(DataRegularSeason20242025!$AB$3:$AB$1315,DataRegularSeason20242025!$B$3:$B$1315, "&lt;=" &amp; EE$1, DataRegularSeason20242025!$E$3:$E$1315, $A54)</f>
        <v>12</v>
      </c>
      <c r="EF54">
        <f>SUMIFS(DataRegularSeason20242025!$AA$3:$AA$1315,DataRegularSeason20242025!$B$3:$B$1315, "&lt;=" &amp; EF$1, DataRegularSeason20242025!$D$3:$D$1315, $A54)+SUMIFS(DataRegularSeason20242025!$AB$3:$AB$1315,DataRegularSeason20242025!$B$3:$B$1315, "&lt;=" &amp; EF$1, DataRegularSeason20242025!$E$3:$E$1315, $A54)</f>
        <v>12</v>
      </c>
      <c r="EG54">
        <f>SUMIFS(DataRegularSeason20242025!$AA$3:$AA$1315,DataRegularSeason20242025!$B$3:$B$1315, "&lt;=" &amp; EG$1, DataRegularSeason20242025!$D$3:$D$1315, $A54)+SUMIFS(DataRegularSeason20242025!$AB$3:$AB$1315,DataRegularSeason20242025!$B$3:$B$1315, "&lt;=" &amp; EG$1, DataRegularSeason20242025!$E$3:$E$1315, $A54)</f>
        <v>12</v>
      </c>
      <c r="EH54">
        <f>SUMIFS(DataRegularSeason20242025!$AA$3:$AA$1315,DataRegularSeason20242025!$B$3:$B$1315, "&lt;=" &amp; EH$1, DataRegularSeason20242025!$D$3:$D$1315, $A54)+SUMIFS(DataRegularSeason20242025!$AB$3:$AB$1315,DataRegularSeason20242025!$B$3:$B$1315, "&lt;=" &amp; EH$1, DataRegularSeason20242025!$E$3:$E$1315, $A54)</f>
        <v>12</v>
      </c>
      <c r="EI54">
        <f>SUMIFS(DataRegularSeason20242025!$AA$3:$AA$1315,DataRegularSeason20242025!$B$3:$B$1315, "&lt;=" &amp; EI$1, DataRegularSeason20242025!$D$3:$D$1315, $A54)+SUMIFS(DataRegularSeason20242025!$AB$3:$AB$1315,DataRegularSeason20242025!$B$3:$B$1315, "&lt;=" &amp; EI$1, DataRegularSeason20242025!$E$3:$E$1315, $A54)</f>
        <v>12</v>
      </c>
      <c r="EJ54">
        <f>SUMIFS(DataRegularSeason20242025!$AA$3:$AA$1315,DataRegularSeason20242025!$B$3:$B$1315, "&lt;=" &amp; EJ$1, DataRegularSeason20242025!$D$3:$D$1315, $A54)+SUMIFS(DataRegularSeason20242025!$AB$3:$AB$1315,DataRegularSeason20242025!$B$3:$B$1315, "&lt;=" &amp; EJ$1, DataRegularSeason20242025!$E$3:$E$1315, $A54)</f>
        <v>12</v>
      </c>
      <c r="EK54">
        <f>SUMIFS(DataRegularSeason20242025!$AA$3:$AA$1315,DataRegularSeason20242025!$B$3:$B$1315, "&lt;=" &amp; EK$1, DataRegularSeason20242025!$D$3:$D$1315, $A54)+SUMIFS(DataRegularSeason20242025!$AB$3:$AB$1315,DataRegularSeason20242025!$B$3:$B$1315, "&lt;=" &amp; EK$1, DataRegularSeason20242025!$E$3:$E$1315, $A54)</f>
        <v>12</v>
      </c>
      <c r="EL54">
        <f>SUMIFS(DataRegularSeason20242025!$AA$3:$AA$1315,DataRegularSeason20242025!$B$3:$B$1315, "&lt;=" &amp; EL$1, DataRegularSeason20242025!$D$3:$D$1315, $A54)+SUMIFS(DataRegularSeason20242025!$AB$3:$AB$1315,DataRegularSeason20242025!$B$3:$B$1315, "&lt;=" &amp; EL$1, DataRegularSeason20242025!$E$3:$E$1315, $A54)</f>
        <v>12</v>
      </c>
      <c r="EM54">
        <f>SUMIFS(DataRegularSeason20242025!$AA$3:$AA$1315,DataRegularSeason20242025!$B$3:$B$1315, "&lt;=" &amp; EM$1, DataRegularSeason20242025!$D$3:$D$1315, $A54)+SUMIFS(DataRegularSeason20242025!$AB$3:$AB$1315,DataRegularSeason20242025!$B$3:$B$1315, "&lt;=" &amp; EM$1, DataRegularSeason20242025!$E$3:$E$1315, $A54)</f>
        <v>12</v>
      </c>
      <c r="EN54">
        <f>SUMIFS(DataRegularSeason20242025!$AA$3:$AA$1315,DataRegularSeason20242025!$B$3:$B$1315, "&lt;=" &amp; EN$1, DataRegularSeason20242025!$D$3:$D$1315, $A54)+SUMIFS(DataRegularSeason20242025!$AB$3:$AB$1315,DataRegularSeason20242025!$B$3:$B$1315, "&lt;=" &amp; EN$1, DataRegularSeason20242025!$E$3:$E$1315, $A54)</f>
        <v>12</v>
      </c>
      <c r="EO54">
        <f>SUMIFS(DataRegularSeason20242025!$AA$3:$AA$1315,DataRegularSeason20242025!$B$3:$B$1315, "&lt;=" &amp; EO$1, DataRegularSeason20242025!$D$3:$D$1315, $A54)+SUMIFS(DataRegularSeason20242025!$AB$3:$AB$1315,DataRegularSeason20242025!$B$3:$B$1315, "&lt;=" &amp; EO$1, DataRegularSeason20242025!$E$3:$E$1315, $A54)</f>
        <v>12</v>
      </c>
      <c r="EP54">
        <f>SUMIFS(DataRegularSeason20242025!$AA$3:$AA$1315,DataRegularSeason20242025!$B$3:$B$1315, "&lt;=" &amp; EP$1, DataRegularSeason20242025!$D$3:$D$1315, $A54)+SUMIFS(DataRegularSeason20242025!$AB$3:$AB$1315,DataRegularSeason20242025!$B$3:$B$1315, "&lt;=" &amp; EP$1, DataRegularSeason20242025!$E$3:$E$1315, $A54)</f>
        <v>12</v>
      </c>
      <c r="EQ54">
        <f>SUMIFS(DataRegularSeason20242025!$AA$3:$AA$1315,DataRegularSeason20242025!$B$3:$B$1315, "&lt;=" &amp; EQ$1, DataRegularSeason20242025!$D$3:$D$1315, $A54)+SUMIFS(DataRegularSeason20242025!$AB$3:$AB$1315,DataRegularSeason20242025!$B$3:$B$1315, "&lt;=" &amp; EQ$1, DataRegularSeason20242025!$E$3:$E$1315, $A54)</f>
        <v>12</v>
      </c>
      <c r="ER54">
        <f>SUMIFS(DataRegularSeason20242025!$AA$3:$AA$1315,DataRegularSeason20242025!$B$3:$B$1315, "&lt;=" &amp; ER$1, DataRegularSeason20242025!$D$3:$D$1315, $A54)+SUMIFS(DataRegularSeason20242025!$AB$3:$AB$1315,DataRegularSeason20242025!$B$3:$B$1315, "&lt;=" &amp; ER$1, DataRegularSeason20242025!$E$3:$E$1315, $A54)</f>
        <v>12</v>
      </c>
      <c r="ES54">
        <f>SUMIFS(DataRegularSeason20242025!$AA$3:$AA$1315,DataRegularSeason20242025!$B$3:$B$1315, "&lt;=" &amp; ES$1, DataRegularSeason20242025!$D$3:$D$1315, $A54)+SUMIFS(DataRegularSeason20242025!$AB$3:$AB$1315,DataRegularSeason20242025!$B$3:$B$1315, "&lt;=" &amp; ES$1, DataRegularSeason20242025!$E$3:$E$1315, $A54)</f>
        <v>12</v>
      </c>
      <c r="ET54">
        <f>SUMIFS(DataRegularSeason20242025!$AA$3:$AA$1315,DataRegularSeason20242025!$B$3:$B$1315, "&lt;=" &amp; ET$1, DataRegularSeason20242025!$D$3:$D$1315, $A54)+SUMIFS(DataRegularSeason20242025!$AB$3:$AB$1315,DataRegularSeason20242025!$B$3:$B$1315, "&lt;=" &amp; ET$1, DataRegularSeason20242025!$E$3:$E$1315, $A54)</f>
        <v>12</v>
      </c>
      <c r="EU54">
        <f>SUMIFS(DataRegularSeason20242025!$AA$3:$AA$1315,DataRegularSeason20242025!$B$3:$B$1315, "&lt;=" &amp; EU$1, DataRegularSeason20242025!$D$3:$D$1315, $A54)+SUMIFS(DataRegularSeason20242025!$AB$3:$AB$1315,DataRegularSeason20242025!$B$3:$B$1315, "&lt;=" &amp; EU$1, DataRegularSeason20242025!$E$3:$E$1315, $A54)</f>
        <v>12</v>
      </c>
      <c r="EV54">
        <f>SUMIFS(DataRegularSeason20242025!$AA$3:$AA$1315,DataRegularSeason20242025!$B$3:$B$1315, "&lt;=" &amp; EV$1, DataRegularSeason20242025!$D$3:$D$1315, $A54)+SUMIFS(DataRegularSeason20242025!$AB$3:$AB$1315,DataRegularSeason20242025!$B$3:$B$1315, "&lt;=" &amp; EV$1, DataRegularSeason20242025!$E$3:$E$1315, $A54)</f>
        <v>12</v>
      </c>
      <c r="EW54">
        <f>SUMIFS(DataRegularSeason20242025!$AA$3:$AA$1315,DataRegularSeason20242025!$B$3:$B$1315, "&lt;=" &amp; EW$1, DataRegularSeason20242025!$D$3:$D$1315, $A54)+SUMIFS(DataRegularSeason20242025!$AB$3:$AB$1315,DataRegularSeason20242025!$B$3:$B$1315, "&lt;=" &amp; EW$1, DataRegularSeason20242025!$E$3:$E$1315, $A54)</f>
        <v>12</v>
      </c>
      <c r="EX54">
        <f>SUMIFS(DataRegularSeason20242025!$AA$3:$AA$1315,DataRegularSeason20242025!$B$3:$B$1315, "&lt;=" &amp; EX$1, DataRegularSeason20242025!$D$3:$D$1315, $A54)+SUMIFS(DataRegularSeason20242025!$AB$3:$AB$1315,DataRegularSeason20242025!$B$3:$B$1315, "&lt;=" &amp; EX$1, DataRegularSeason20242025!$E$3:$E$1315, $A54)</f>
        <v>12</v>
      </c>
      <c r="EY54">
        <f>SUMIFS(DataRegularSeason20242025!$AA$3:$AA$1315,DataRegularSeason20242025!$B$3:$B$1315, "&lt;=" &amp; EY$1, DataRegularSeason20242025!$D$3:$D$1315, $A54)+SUMIFS(DataRegularSeason20242025!$AB$3:$AB$1315,DataRegularSeason20242025!$B$3:$B$1315, "&lt;=" &amp; EY$1, DataRegularSeason20242025!$E$3:$E$1315, $A54)</f>
        <v>12</v>
      </c>
      <c r="EZ54">
        <f>SUMIFS(DataRegularSeason20242025!$AA$3:$AA$1315,DataRegularSeason20242025!$B$3:$B$1315, "&lt;=" &amp; EZ$1, DataRegularSeason20242025!$D$3:$D$1315, $A54)+SUMIFS(DataRegularSeason20242025!$AB$3:$AB$1315,DataRegularSeason20242025!$B$3:$B$1315, "&lt;=" &amp; EZ$1, DataRegularSeason20242025!$E$3:$E$1315, $A54)</f>
        <v>12</v>
      </c>
      <c r="FA54">
        <f>SUMIFS(DataRegularSeason20242025!$AA$3:$AA$1315,DataRegularSeason20242025!$B$3:$B$1315, "&lt;=" &amp; FA$1, DataRegularSeason20242025!$D$3:$D$1315, $A54)+SUMIFS(DataRegularSeason20242025!$AB$3:$AB$1315,DataRegularSeason20242025!$B$3:$B$1315, "&lt;=" &amp; FA$1, DataRegularSeason20242025!$E$3:$E$1315, $A54)</f>
        <v>12</v>
      </c>
      <c r="FB54">
        <f>SUMIFS(DataRegularSeason20242025!$AA$3:$AA$1315,DataRegularSeason20242025!$B$3:$B$1315, "&lt;=" &amp; FB$1, DataRegularSeason20242025!$D$3:$D$1315, $A54)+SUMIFS(DataRegularSeason20242025!$AB$3:$AB$1315,DataRegularSeason20242025!$B$3:$B$1315, "&lt;=" &amp; FB$1, DataRegularSeason20242025!$E$3:$E$1315, $A54)</f>
        <v>12</v>
      </c>
      <c r="FC54">
        <f>SUMIFS(DataRegularSeason20242025!$AA$3:$AA$1315,DataRegularSeason20242025!$B$3:$B$1315, "&lt;=" &amp; FC$1, DataRegularSeason20242025!$D$3:$D$1315, $A54)+SUMIFS(DataRegularSeason20242025!$AB$3:$AB$1315,DataRegularSeason20242025!$B$3:$B$1315, "&lt;=" &amp; FC$1, DataRegularSeason20242025!$E$3:$E$1315, $A54)</f>
        <v>12</v>
      </c>
      <c r="FD54">
        <f>SUMIFS(DataRegularSeason20242025!$AA$3:$AA$1315,DataRegularSeason20242025!$B$3:$B$1315, "&lt;=" &amp; FD$1, DataRegularSeason20242025!$D$3:$D$1315, $A54)+SUMIFS(DataRegularSeason20242025!$AB$3:$AB$1315,DataRegularSeason20242025!$B$3:$B$1315, "&lt;=" &amp; FD$1, DataRegularSeason20242025!$E$3:$E$1315, $A54)</f>
        <v>12</v>
      </c>
      <c r="FE54">
        <f>SUMIFS(DataRegularSeason20242025!$AA$3:$AA$1315,DataRegularSeason20242025!$B$3:$B$1315, "&lt;=" &amp; FE$1, DataRegularSeason20242025!$D$3:$D$1315, $A54)+SUMIFS(DataRegularSeason20242025!$AB$3:$AB$1315,DataRegularSeason20242025!$B$3:$B$1315, "&lt;=" &amp; FE$1, DataRegularSeason20242025!$E$3:$E$1315, $A54)</f>
        <v>12</v>
      </c>
      <c r="FF54">
        <f>SUMIFS(DataRegularSeason20242025!$AA$3:$AA$1315,DataRegularSeason20242025!$B$3:$B$1315, "&lt;=" &amp; FF$1, DataRegularSeason20242025!$D$3:$D$1315, $A54)+SUMIFS(DataRegularSeason20242025!$AB$3:$AB$1315,DataRegularSeason20242025!$B$3:$B$1315, "&lt;=" &amp; FF$1, DataRegularSeason20242025!$E$3:$E$1315, $A54)</f>
        <v>12</v>
      </c>
      <c r="FG54">
        <f>SUMIFS(DataRegularSeason20242025!$AA$3:$AA$1315,DataRegularSeason20242025!$B$3:$B$1315, "&lt;=" &amp; FG$1, DataRegularSeason20242025!$D$3:$D$1315, $A54)+SUMIFS(DataRegularSeason20242025!$AB$3:$AB$1315,DataRegularSeason20242025!$B$3:$B$1315, "&lt;=" &amp; FG$1, DataRegularSeason20242025!$E$3:$E$1315, $A54)</f>
        <v>12</v>
      </c>
      <c r="FH54">
        <f>SUMIFS(DataRegularSeason20242025!$AA$3:$AA$1315,DataRegularSeason20242025!$B$3:$B$1315, "&lt;=" &amp; FH$1, DataRegularSeason20242025!$D$3:$D$1315, $A54)+SUMIFS(DataRegularSeason20242025!$AB$3:$AB$1315,DataRegularSeason20242025!$B$3:$B$1315, "&lt;=" &amp; FH$1, DataRegularSeason20242025!$E$3:$E$1315, $A54)</f>
        <v>12</v>
      </c>
      <c r="FI54">
        <f>SUMIFS(DataRegularSeason20242025!$AA$3:$AA$1315,DataRegularSeason20242025!$B$3:$B$1315, "&lt;=" &amp; FI$1, DataRegularSeason20242025!$D$3:$D$1315, $A54)+SUMIFS(DataRegularSeason20242025!$AB$3:$AB$1315,DataRegularSeason20242025!$B$3:$B$1315, "&lt;=" &amp; FI$1, DataRegularSeason20242025!$E$3:$E$1315, $A54)</f>
        <v>12</v>
      </c>
      <c r="FJ54">
        <f>SUMIFS(DataRegularSeason20242025!$AA$3:$AA$1315,DataRegularSeason20242025!$B$3:$B$1315, "&lt;=" &amp; FJ$1, DataRegularSeason20242025!$D$3:$D$1315, $A54)+SUMIFS(DataRegularSeason20242025!$AB$3:$AB$1315,DataRegularSeason20242025!$B$3:$B$1315, "&lt;=" &amp; FJ$1, DataRegularSeason20242025!$E$3:$E$1315, $A54)</f>
        <v>12</v>
      </c>
      <c r="FK54">
        <f>SUMIFS(DataRegularSeason20242025!$AA$3:$AA$1315,DataRegularSeason20242025!$B$3:$B$1315, "&lt;=" &amp; FK$1, DataRegularSeason20242025!$D$3:$D$1315, $A54)+SUMIFS(DataRegularSeason20242025!$AB$3:$AB$1315,DataRegularSeason20242025!$B$3:$B$1315, "&lt;=" &amp; FK$1, DataRegularSeason20242025!$E$3:$E$1315, $A54)</f>
        <v>12</v>
      </c>
      <c r="FL54">
        <f>SUMIFS(DataRegularSeason20242025!$AA$3:$AA$1315,DataRegularSeason20242025!$B$3:$B$1315, "&lt;=" &amp; FL$1, DataRegularSeason20242025!$D$3:$D$1315, $A54)+SUMIFS(DataRegularSeason20242025!$AB$3:$AB$1315,DataRegularSeason20242025!$B$3:$B$1315, "&lt;=" &amp; FL$1, DataRegularSeason20242025!$E$3:$E$1315, $A54)</f>
        <v>12</v>
      </c>
      <c r="FM54">
        <f>SUMIFS(DataRegularSeason20242025!$AA$3:$AA$1315,DataRegularSeason20242025!$B$3:$B$1315, "&lt;=" &amp; FM$1, DataRegularSeason20242025!$D$3:$D$1315, $A54)+SUMIFS(DataRegularSeason20242025!$AB$3:$AB$1315,DataRegularSeason20242025!$B$3:$B$1315, "&lt;=" &amp; FM$1, DataRegularSeason20242025!$E$3:$E$1315, $A54)</f>
        <v>12</v>
      </c>
      <c r="FN54">
        <f>SUMIFS(DataRegularSeason20242025!$AA$3:$AA$1315,DataRegularSeason20242025!$B$3:$B$1315, "&lt;=" &amp; FN$1, DataRegularSeason20242025!$D$3:$D$1315, $A54)+SUMIFS(DataRegularSeason20242025!$AB$3:$AB$1315,DataRegularSeason20242025!$B$3:$B$1315, "&lt;=" &amp; FN$1, DataRegularSeason20242025!$E$3:$E$1315, $A54)</f>
        <v>12</v>
      </c>
      <c r="FO54">
        <f>SUMIFS(DataRegularSeason20242025!$AA$3:$AA$1315,DataRegularSeason20242025!$B$3:$B$1315, "&lt;=" &amp; FO$1, DataRegularSeason20242025!$D$3:$D$1315, $A54)+SUMIFS(DataRegularSeason20242025!$AB$3:$AB$1315,DataRegularSeason20242025!$B$3:$B$1315, "&lt;=" &amp; FO$1, DataRegularSeason20242025!$E$3:$E$1315, $A54)</f>
        <v>12</v>
      </c>
      <c r="FP54">
        <f>SUMIFS(DataRegularSeason20242025!$AA$3:$AA$1315,DataRegularSeason20242025!$B$3:$B$1315, "&lt;=" &amp; FP$1, DataRegularSeason20242025!$D$3:$D$1315, $A54)+SUMIFS(DataRegularSeason20242025!$AB$3:$AB$1315,DataRegularSeason20242025!$B$3:$B$1315, "&lt;=" &amp; FP$1, DataRegularSeason20242025!$E$3:$E$1315, $A54)</f>
        <v>12</v>
      </c>
      <c r="FQ54">
        <f>SUMIFS(DataRegularSeason20242025!$AA$3:$AA$1315,DataRegularSeason20242025!$B$3:$B$1315, "&lt;=" &amp; FQ$1, DataRegularSeason20242025!$D$3:$D$1315, $A54)+SUMIFS(DataRegularSeason20242025!$AB$3:$AB$1315,DataRegularSeason20242025!$B$3:$B$1315, "&lt;=" &amp; FQ$1, DataRegularSeason20242025!$E$3:$E$1315, $A54)</f>
        <v>12</v>
      </c>
      <c r="FR54">
        <f>SUMIFS(DataRegularSeason20242025!$AA$3:$AA$1315,DataRegularSeason20242025!$B$3:$B$1315, "&lt;=" &amp; FR$1, DataRegularSeason20242025!$D$3:$D$1315, $A54)+SUMIFS(DataRegularSeason20242025!$AB$3:$AB$1315,DataRegularSeason20242025!$B$3:$B$1315, "&lt;=" &amp; FR$1, DataRegularSeason20242025!$E$3:$E$1315, $A54)</f>
        <v>12</v>
      </c>
      <c r="FS54">
        <f>SUMIFS(DataRegularSeason20242025!$AA$3:$AA$1315,DataRegularSeason20242025!$B$3:$B$1315, "&lt;=" &amp; FS$1, DataRegularSeason20242025!$D$3:$D$1315, $A54)+SUMIFS(DataRegularSeason20242025!$AB$3:$AB$1315,DataRegularSeason20242025!$B$3:$B$1315, "&lt;=" &amp; FS$1, DataRegularSeason20242025!$E$3:$E$1315, $A54)</f>
        <v>12</v>
      </c>
      <c r="FT54">
        <f>SUMIFS(DataRegularSeason20242025!$AA$3:$AA$1315,DataRegularSeason20242025!$B$3:$B$1315, "&lt;=" &amp; FT$1, DataRegularSeason20242025!$D$3:$D$1315, $A54)+SUMIFS(DataRegularSeason20242025!$AB$3:$AB$1315,DataRegularSeason20242025!$B$3:$B$1315, "&lt;=" &amp; FT$1, DataRegularSeason20242025!$E$3:$E$1315, $A54)</f>
        <v>12</v>
      </c>
      <c r="FU54">
        <f>SUMIFS(DataRegularSeason20242025!$AA$3:$AA$1315,DataRegularSeason20242025!$B$3:$B$1315, "&lt;=" &amp; FU$1, DataRegularSeason20242025!$D$3:$D$1315, $A54)+SUMIFS(DataRegularSeason20242025!$AB$3:$AB$1315,DataRegularSeason20242025!$B$3:$B$1315, "&lt;=" &amp; FU$1, DataRegularSeason20242025!$E$3:$E$1315, $A54)</f>
        <v>12</v>
      </c>
      <c r="FV54">
        <f>SUMIFS(DataRegularSeason20242025!$AA$3:$AA$1315,DataRegularSeason20242025!$B$3:$B$1315, "&lt;=" &amp; FV$1, DataRegularSeason20242025!$D$3:$D$1315, $A54)+SUMIFS(DataRegularSeason20242025!$AB$3:$AB$1315,DataRegularSeason20242025!$B$3:$B$1315, "&lt;=" &amp; FV$1, DataRegularSeason20242025!$E$3:$E$1315, $A54)</f>
        <v>12</v>
      </c>
      <c r="FW54">
        <f>SUMIFS(DataRegularSeason20242025!$AA$3:$AA$1315,DataRegularSeason20242025!$B$3:$B$1315, "&lt;=" &amp; FW$1, DataRegularSeason20242025!$D$3:$D$1315, $A54)+SUMIFS(DataRegularSeason20242025!$AB$3:$AB$1315,DataRegularSeason20242025!$B$3:$B$1315, "&lt;=" &amp; FW$1, DataRegularSeason20242025!$E$3:$E$1315, $A54)</f>
        <v>12</v>
      </c>
      <c r="FX54">
        <f>SUMIFS(DataRegularSeason20242025!$AA$3:$AA$1315,DataRegularSeason20242025!$B$3:$B$1315, "&lt;=" &amp; FX$1, DataRegularSeason20242025!$D$3:$D$1315, $A54)+SUMIFS(DataRegularSeason20242025!$AB$3:$AB$1315,DataRegularSeason20242025!$B$3:$B$1315, "&lt;=" &amp; FX$1, DataRegularSeason20242025!$E$3:$E$1315, $A54)</f>
        <v>12</v>
      </c>
      <c r="FY54">
        <f>SUMIFS(DataRegularSeason20242025!$AA$3:$AA$1315,DataRegularSeason20242025!$B$3:$B$1315, "&lt;=" &amp; FY$1, DataRegularSeason20242025!$D$3:$D$1315, $A54)+SUMIFS(DataRegularSeason20242025!$AB$3:$AB$1315,DataRegularSeason20242025!$B$3:$B$1315, "&lt;=" &amp; FY$1, DataRegularSeason20242025!$E$3:$E$1315, $A54)</f>
        <v>12</v>
      </c>
      <c r="FZ54">
        <f>SUMIFS(DataRegularSeason20242025!$AA$3:$AA$1315,DataRegularSeason20242025!$B$3:$B$1315, "&lt;=" &amp; FZ$1, DataRegularSeason20242025!$D$3:$D$1315, $A54)+SUMIFS(DataRegularSeason20242025!$AB$3:$AB$1315,DataRegularSeason20242025!$B$3:$B$1315, "&lt;=" &amp; FZ$1, DataRegularSeason20242025!$E$3:$E$1315, $A54)</f>
        <v>12</v>
      </c>
      <c r="GA54">
        <f>SUMIFS(DataRegularSeason20242025!$AA$3:$AA$1315,DataRegularSeason20242025!$B$3:$B$1315, "&lt;=" &amp; GA$1, DataRegularSeason20242025!$D$3:$D$1315, $A54)+SUMIFS(DataRegularSeason20242025!$AB$3:$AB$1315,DataRegularSeason20242025!$B$3:$B$1315, "&lt;=" &amp; GA$1, DataRegularSeason20242025!$E$3:$E$1315, $A54)</f>
        <v>12</v>
      </c>
      <c r="GB54">
        <f>SUMIFS(DataRegularSeason20242025!$AA$3:$AA$1315,DataRegularSeason20242025!$B$3:$B$1315, "&lt;=" &amp; GB$1, DataRegularSeason20242025!$D$3:$D$1315, $A54)+SUMIFS(DataRegularSeason20242025!$AB$3:$AB$1315,DataRegularSeason20242025!$B$3:$B$1315, "&lt;=" &amp; GB$1, DataRegularSeason20242025!$E$3:$E$1315, $A54)</f>
        <v>12</v>
      </c>
      <c r="GC54">
        <f>SUMIFS(DataRegularSeason20242025!$AA$3:$AA$1315,DataRegularSeason20242025!$B$3:$B$1315, "&lt;=" &amp; GC$1, DataRegularSeason20242025!$D$3:$D$1315, $A54)+SUMIFS(DataRegularSeason20242025!$AB$3:$AB$1315,DataRegularSeason20242025!$B$3:$B$1315, "&lt;=" &amp; GC$1, DataRegularSeason20242025!$E$3:$E$1315, $A54)</f>
        <v>12</v>
      </c>
      <c r="GD54">
        <f>SUMIFS(DataRegularSeason20242025!$AA$3:$AA$1315,DataRegularSeason20242025!$B$3:$B$1315, "&lt;=" &amp; GD$1, DataRegularSeason20242025!$D$3:$D$1315, $A54)+SUMIFS(DataRegularSeason20242025!$AB$3:$AB$1315,DataRegularSeason20242025!$B$3:$B$1315, "&lt;=" &amp; GD$1, DataRegularSeason20242025!$E$3:$E$1315, $A54)</f>
        <v>12</v>
      </c>
      <c r="GE54">
        <f>SUMIFS(DataRegularSeason20242025!$AA$3:$AA$1315,DataRegularSeason20242025!$B$3:$B$1315, "&lt;=" &amp; GE$1, DataRegularSeason20242025!$D$3:$D$1315, $A54)+SUMIFS(DataRegularSeason20242025!$AB$3:$AB$1315,DataRegularSeason20242025!$B$3:$B$1315, "&lt;=" &amp; GE$1, DataRegularSeason20242025!$E$3:$E$1315, $A54)</f>
        <v>12</v>
      </c>
      <c r="GF54">
        <f>SUMIFS(DataRegularSeason20242025!$AA$3:$AA$1315,DataRegularSeason20242025!$B$3:$B$1315, "&lt;=" &amp; GF$1, DataRegularSeason20242025!$D$3:$D$1315, $A54)+SUMIFS(DataRegularSeason20242025!$AB$3:$AB$1315,DataRegularSeason20242025!$B$3:$B$1315, "&lt;=" &amp; GF$1, DataRegularSeason20242025!$E$3:$E$1315, $A54)</f>
        <v>12</v>
      </c>
      <c r="GG54">
        <f>SUMIFS(DataRegularSeason20242025!$AA$3:$AA$1315,DataRegularSeason20242025!$B$3:$B$1315, "&lt;=" &amp; GG$1, DataRegularSeason20242025!$D$3:$D$1315, $A54)+SUMIFS(DataRegularSeason20242025!$AB$3:$AB$1315,DataRegularSeason20242025!$B$3:$B$1315, "&lt;=" &amp; GG$1, DataRegularSeason20242025!$E$3:$E$1315, $A54)</f>
        <v>12</v>
      </c>
      <c r="GH54">
        <f>SUMIFS(DataRegularSeason20242025!$AA$3:$AA$1315,DataRegularSeason20242025!$B$3:$B$1315, "&lt;=" &amp; GH$1, DataRegularSeason20242025!$D$3:$D$1315, $A54)+SUMIFS(DataRegularSeason20242025!$AB$3:$AB$1315,DataRegularSeason20242025!$B$3:$B$1315, "&lt;=" &amp; GH$1, DataRegularSeason20242025!$E$3:$E$1315, $A54)</f>
        <v>12</v>
      </c>
      <c r="GI54">
        <f>SUMIFS(DataRegularSeason20242025!$AA$3:$AA$1315,DataRegularSeason20242025!$B$3:$B$1315, "&lt;=" &amp; GI$1, DataRegularSeason20242025!$D$3:$D$1315, $A54)+SUMIFS(DataRegularSeason20242025!$AB$3:$AB$1315,DataRegularSeason20242025!$B$3:$B$1315, "&lt;=" &amp; GI$1, DataRegularSeason20242025!$E$3:$E$1315, $A54)</f>
        <v>12</v>
      </c>
      <c r="GJ54">
        <f>SUMIFS(DataRegularSeason20242025!$AA$3:$AA$1315,DataRegularSeason20242025!$B$3:$B$1315, "&lt;=" &amp; GJ$1, DataRegularSeason20242025!$D$3:$D$1315, $A54)+SUMIFS(DataRegularSeason20242025!$AB$3:$AB$1315,DataRegularSeason20242025!$B$3:$B$1315, "&lt;=" &amp; GJ$1, DataRegularSeason20242025!$E$3:$E$1315, $A54)</f>
        <v>12</v>
      </c>
      <c r="GK54">
        <f>SUMIFS(DataRegularSeason20242025!$AA$3:$AA$1315,DataRegularSeason20242025!$B$3:$B$1315, "&lt;=" &amp; GK$1, DataRegularSeason20242025!$D$3:$D$1315, $A54)+SUMIFS(DataRegularSeason20242025!$AB$3:$AB$1315,DataRegularSeason20242025!$B$3:$B$1315, "&lt;=" &amp; GK$1, DataRegularSeason20242025!$E$3:$E$1315, $A54)</f>
        <v>12</v>
      </c>
      <c r="GL54">
        <f>SUMIFS(DataRegularSeason20242025!$AA$3:$AA$1315,DataRegularSeason20242025!$B$3:$B$1315, "&lt;=" &amp; GL$1, DataRegularSeason20242025!$D$3:$D$1315, $A54)+SUMIFS(DataRegularSeason20242025!$AB$3:$AB$1315,DataRegularSeason20242025!$B$3:$B$1315, "&lt;=" &amp; GL$1, DataRegularSeason20242025!$E$3:$E$1315, $A54)</f>
        <v>12</v>
      </c>
      <c r="GM54">
        <f>SUMIFS(DataRegularSeason20242025!$AA$3:$AA$1315,DataRegularSeason20242025!$B$3:$B$1315, "&lt;=" &amp; GM$1, DataRegularSeason20242025!$D$3:$D$1315, $A54)+SUMIFS(DataRegularSeason20242025!$AB$3:$AB$1315,DataRegularSeason20242025!$B$3:$B$1315, "&lt;=" &amp; GM$1, DataRegularSeason20242025!$E$3:$E$1315, $A54)</f>
        <v>12</v>
      </c>
      <c r="GN54">
        <f>SUMIFS(DataRegularSeason20242025!$AA$3:$AA$1315,DataRegularSeason20242025!$B$3:$B$1315, "&lt;=" &amp; GN$1, DataRegularSeason20242025!$D$3:$D$1315, $A54)+SUMIFS(DataRegularSeason20242025!$AB$3:$AB$1315,DataRegularSeason20242025!$B$3:$B$1315, "&lt;=" &amp; GN$1, DataRegularSeason20242025!$E$3:$E$1315, $A54)</f>
        <v>12</v>
      </c>
      <c r="GO54">
        <f>SUMIFS(DataRegularSeason20242025!$AA$3:$AA$1315,DataRegularSeason20242025!$B$3:$B$1315, "&lt;=" &amp; GO$1, DataRegularSeason20242025!$D$3:$D$1315, $A54)+SUMIFS(DataRegularSeason20242025!$AB$3:$AB$1315,DataRegularSeason20242025!$B$3:$B$1315, "&lt;=" &amp; GO$1, DataRegularSeason20242025!$E$3:$E$1315, $A54)</f>
        <v>12</v>
      </c>
      <c r="GP54">
        <f>SUMIFS(DataRegularSeason20242025!$AA$3:$AA$1315,DataRegularSeason20242025!$B$3:$B$1315, "&lt;=" &amp; GP$1, DataRegularSeason20242025!$D$3:$D$1315, $A54)+SUMIFS(DataRegularSeason20242025!$AB$3:$AB$1315,DataRegularSeason20242025!$B$3:$B$1315, "&lt;=" &amp; GP$1, DataRegularSeason20242025!$E$3:$E$1315, $A54)</f>
        <v>12</v>
      </c>
      <c r="GQ54">
        <f>SUMIFS(DataRegularSeason20242025!$AA$3:$AA$1315,DataRegularSeason20242025!$B$3:$B$1315, "&lt;=" &amp; GQ$1, DataRegularSeason20242025!$D$3:$D$1315, $A54)+SUMIFS(DataRegularSeason20242025!$AB$3:$AB$1315,DataRegularSeason20242025!$B$3:$B$1315, "&lt;=" &amp; GQ$1, DataRegularSeason20242025!$E$3:$E$1315, $A54)</f>
        <v>12</v>
      </c>
      <c r="GR54">
        <f>SUMIFS(DataRegularSeason20242025!$AA$3:$AA$1315,DataRegularSeason20242025!$B$3:$B$1315, "&lt;=" &amp; GR$1, DataRegularSeason20242025!$D$3:$D$1315, $A54)+SUMIFS(DataRegularSeason20242025!$AB$3:$AB$1315,DataRegularSeason20242025!$B$3:$B$1315, "&lt;=" &amp; GR$1, DataRegularSeason20242025!$E$3:$E$1315, $A54)</f>
        <v>12</v>
      </c>
      <c r="GS54">
        <f>SUMIFS(DataRegularSeason20242025!$AA$3:$AA$1315,DataRegularSeason20242025!$B$3:$B$1315, "&lt;=" &amp; GS$1, DataRegularSeason20242025!$D$3:$D$1315, $A54)+SUMIFS(DataRegularSeason20242025!$AB$3:$AB$1315,DataRegularSeason20242025!$B$3:$B$1315, "&lt;=" &amp; GS$1, DataRegularSeason20242025!$E$3:$E$1315, $A54)</f>
        <v>12</v>
      </c>
      <c r="GT54">
        <f>SUMIFS(DataRegularSeason20242025!$AA$3:$AA$1315,DataRegularSeason20242025!$B$3:$B$1315, "&lt;=" &amp; GT$1, DataRegularSeason20242025!$D$3:$D$1315, $A54)+SUMIFS(DataRegularSeason20242025!$AB$3:$AB$1315,DataRegularSeason20242025!$B$3:$B$1315, "&lt;=" &amp; GT$1, DataRegularSeason20242025!$E$3:$E$1315, $A54)</f>
        <v>12</v>
      </c>
      <c r="GU54">
        <f>SUMIFS(DataRegularSeason20242025!$AA$3:$AA$1315,DataRegularSeason20242025!$B$3:$B$1315, "&lt;=" &amp; GU$1, DataRegularSeason20242025!$D$3:$D$1315, $A54)+SUMIFS(DataRegularSeason20242025!$AB$3:$AB$1315,DataRegularSeason20242025!$B$3:$B$1315, "&lt;=" &amp; GU$1, DataRegularSeason20242025!$E$3:$E$1315, $A54)</f>
        <v>12</v>
      </c>
    </row>
    <row r="55" spans="1:203" x14ac:dyDescent="0.25">
      <c r="A55" t="s">
        <v>21</v>
      </c>
      <c r="B55" t="s">
        <v>90</v>
      </c>
      <c r="C55" t="s">
        <v>88</v>
      </c>
      <c r="D55">
        <f>SUMIFS(DataRegularSeason20242025!$AA$3:$AA$1315,DataRegularSeason20242025!$B$3:$B$1315, "&lt;=" &amp; D$1, DataRegularSeason20242025!$D$3:$D$1315, $A55)+SUMIFS(DataRegularSeason20242025!$AB$3:$AB$1315,DataRegularSeason20242025!$B$3:$B$1315, "&lt;=" &amp; D$1, DataRegularSeason20242025!$E$3:$E$1315, $A55)</f>
        <v>0</v>
      </c>
      <c r="E55">
        <f>SUMIFS(DataRegularSeason20242025!$AA$3:$AA$1315,DataRegularSeason20242025!$B$3:$B$1315, "&lt;=" &amp; E$1, DataRegularSeason20242025!$D$3:$D$1315, $A55)+SUMIFS(DataRegularSeason20242025!$AB$3:$AB$1315,DataRegularSeason20242025!$B$3:$B$1315, "&lt;=" &amp; E$1, DataRegularSeason20242025!$E$3:$E$1315, $A55)</f>
        <v>0</v>
      </c>
      <c r="F55">
        <f>SUMIFS(DataRegularSeason20242025!$AA$3:$AA$1315,DataRegularSeason20242025!$B$3:$B$1315, "&lt;=" &amp; F$1, DataRegularSeason20242025!$D$3:$D$1315, $A55)+SUMIFS(DataRegularSeason20242025!$AB$3:$AB$1315,DataRegularSeason20242025!$B$3:$B$1315, "&lt;=" &amp; F$1, DataRegularSeason20242025!$E$3:$E$1315, $A55)</f>
        <v>0</v>
      </c>
      <c r="G55">
        <f>SUMIFS(DataRegularSeason20242025!$AA$3:$AA$1315,DataRegularSeason20242025!$B$3:$B$1315, "&lt;=" &amp; G$1, DataRegularSeason20242025!$D$3:$D$1315, $A55)+SUMIFS(DataRegularSeason20242025!$AB$3:$AB$1315,DataRegularSeason20242025!$B$3:$B$1315, "&lt;=" &amp; G$1, DataRegularSeason20242025!$E$3:$E$1315, $A55)</f>
        <v>0</v>
      </c>
      <c r="H55">
        <f>SUMIFS(DataRegularSeason20242025!$AA$3:$AA$1315,DataRegularSeason20242025!$B$3:$B$1315, "&lt;=" &amp; H$1, DataRegularSeason20242025!$D$3:$D$1315, $A55)+SUMIFS(DataRegularSeason20242025!$AB$3:$AB$1315,DataRegularSeason20242025!$B$3:$B$1315, "&lt;=" &amp; H$1, DataRegularSeason20242025!$E$3:$E$1315, $A55)</f>
        <v>0</v>
      </c>
      <c r="I55">
        <f>SUMIFS(DataRegularSeason20242025!$AA$3:$AA$1315,DataRegularSeason20242025!$B$3:$B$1315, "&lt;=" &amp; I$1, DataRegularSeason20242025!$D$3:$D$1315, $A55)+SUMIFS(DataRegularSeason20242025!$AB$3:$AB$1315,DataRegularSeason20242025!$B$3:$B$1315, "&lt;=" &amp; I$1, DataRegularSeason20242025!$E$3:$E$1315, $A55)</f>
        <v>0</v>
      </c>
      <c r="J55">
        <f>SUMIFS(DataRegularSeason20242025!$AA$3:$AA$1315,DataRegularSeason20242025!$B$3:$B$1315, "&lt;=" &amp; J$1, DataRegularSeason20242025!$D$3:$D$1315, $A55)+SUMIFS(DataRegularSeason20242025!$AB$3:$AB$1315,DataRegularSeason20242025!$B$3:$B$1315, "&lt;=" &amp; J$1, DataRegularSeason20242025!$E$3:$E$1315, $A55)</f>
        <v>0</v>
      </c>
      <c r="K55">
        <f>SUMIFS(DataRegularSeason20242025!$AA$3:$AA$1315,DataRegularSeason20242025!$B$3:$B$1315, "&lt;=" &amp; K$1, DataRegularSeason20242025!$D$3:$D$1315, $A55)+SUMIFS(DataRegularSeason20242025!$AB$3:$AB$1315,DataRegularSeason20242025!$B$3:$B$1315, "&lt;=" &amp; K$1, DataRegularSeason20242025!$E$3:$E$1315, $A55)</f>
        <v>0</v>
      </c>
      <c r="L55">
        <f>SUMIFS(DataRegularSeason20242025!$AA$3:$AA$1315,DataRegularSeason20242025!$B$3:$B$1315, "&lt;=" &amp; L$1, DataRegularSeason20242025!$D$3:$D$1315, $A55)+SUMIFS(DataRegularSeason20242025!$AB$3:$AB$1315,DataRegularSeason20242025!$B$3:$B$1315, "&lt;=" &amp; L$1, DataRegularSeason20242025!$E$3:$E$1315, $A55)</f>
        <v>2</v>
      </c>
      <c r="M55">
        <f>SUMIFS(DataRegularSeason20242025!$AA$3:$AA$1315,DataRegularSeason20242025!$B$3:$B$1315, "&lt;=" &amp; M$1, DataRegularSeason20242025!$D$3:$D$1315, $A55)+SUMIFS(DataRegularSeason20242025!$AB$3:$AB$1315,DataRegularSeason20242025!$B$3:$B$1315, "&lt;=" &amp; M$1, DataRegularSeason20242025!$E$3:$E$1315, $A55)</f>
        <v>2</v>
      </c>
      <c r="N55">
        <f>SUMIFS(DataRegularSeason20242025!$AA$3:$AA$1315,DataRegularSeason20242025!$B$3:$B$1315, "&lt;=" &amp; N$1, DataRegularSeason20242025!$D$3:$D$1315, $A55)+SUMIFS(DataRegularSeason20242025!$AB$3:$AB$1315,DataRegularSeason20242025!$B$3:$B$1315, "&lt;=" &amp; N$1, DataRegularSeason20242025!$E$3:$E$1315, $A55)</f>
        <v>4</v>
      </c>
      <c r="O55">
        <f>SUMIFS(DataRegularSeason20242025!$AA$3:$AA$1315,DataRegularSeason20242025!$B$3:$B$1315, "&lt;=" &amp; O$1, DataRegularSeason20242025!$D$3:$D$1315, $A55)+SUMIFS(DataRegularSeason20242025!$AB$3:$AB$1315,DataRegularSeason20242025!$B$3:$B$1315, "&lt;=" &amp; O$1, DataRegularSeason20242025!$E$3:$E$1315, $A55)</f>
        <v>4</v>
      </c>
      <c r="P55">
        <f>SUMIFS(DataRegularSeason20242025!$AA$3:$AA$1315,DataRegularSeason20242025!$B$3:$B$1315, "&lt;=" &amp; P$1, DataRegularSeason20242025!$D$3:$D$1315, $A55)+SUMIFS(DataRegularSeason20242025!$AB$3:$AB$1315,DataRegularSeason20242025!$B$3:$B$1315, "&lt;=" &amp; P$1, DataRegularSeason20242025!$E$3:$E$1315, $A55)</f>
        <v>4</v>
      </c>
      <c r="Q55">
        <f>SUMIFS(DataRegularSeason20242025!$AA$3:$AA$1315,DataRegularSeason20242025!$B$3:$B$1315, "&lt;=" &amp; Q$1, DataRegularSeason20242025!$D$3:$D$1315, $A55)+SUMIFS(DataRegularSeason20242025!$AB$3:$AB$1315,DataRegularSeason20242025!$B$3:$B$1315, "&lt;=" &amp; Q$1, DataRegularSeason20242025!$E$3:$E$1315, $A55)</f>
        <v>6</v>
      </c>
      <c r="R55">
        <f>SUMIFS(DataRegularSeason20242025!$AA$3:$AA$1315,DataRegularSeason20242025!$B$3:$B$1315, "&lt;=" &amp; R$1, DataRegularSeason20242025!$D$3:$D$1315, $A55)+SUMIFS(DataRegularSeason20242025!$AB$3:$AB$1315,DataRegularSeason20242025!$B$3:$B$1315, "&lt;=" &amp; R$1, DataRegularSeason20242025!$E$3:$E$1315, $A55)</f>
        <v>6</v>
      </c>
      <c r="S55">
        <f>SUMIFS(DataRegularSeason20242025!$AA$3:$AA$1315,DataRegularSeason20242025!$B$3:$B$1315, "&lt;=" &amp; S$1, DataRegularSeason20242025!$D$3:$D$1315, $A55)+SUMIFS(DataRegularSeason20242025!$AB$3:$AB$1315,DataRegularSeason20242025!$B$3:$B$1315, "&lt;=" &amp; S$1, DataRegularSeason20242025!$E$3:$E$1315, $A55)</f>
        <v>8</v>
      </c>
      <c r="T55">
        <f>SUMIFS(DataRegularSeason20242025!$AA$3:$AA$1315,DataRegularSeason20242025!$B$3:$B$1315, "&lt;=" &amp; T$1, DataRegularSeason20242025!$D$3:$D$1315, $A55)+SUMIFS(DataRegularSeason20242025!$AB$3:$AB$1315,DataRegularSeason20242025!$B$3:$B$1315, "&lt;=" &amp; T$1, DataRegularSeason20242025!$E$3:$E$1315, $A55)</f>
        <v>8</v>
      </c>
      <c r="U55">
        <f>SUMIFS(DataRegularSeason20242025!$AA$3:$AA$1315,DataRegularSeason20242025!$B$3:$B$1315, "&lt;=" &amp; U$1, DataRegularSeason20242025!$D$3:$D$1315, $A55)+SUMIFS(DataRegularSeason20242025!$AB$3:$AB$1315,DataRegularSeason20242025!$B$3:$B$1315, "&lt;=" &amp; U$1, DataRegularSeason20242025!$E$3:$E$1315, $A55)</f>
        <v>10</v>
      </c>
      <c r="V55">
        <f>SUMIFS(DataRegularSeason20242025!$AA$3:$AA$1315,DataRegularSeason20242025!$B$3:$B$1315, "&lt;=" &amp; V$1, DataRegularSeason20242025!$D$3:$D$1315, $A55)+SUMIFS(DataRegularSeason20242025!$AB$3:$AB$1315,DataRegularSeason20242025!$B$3:$B$1315, "&lt;=" &amp; V$1, DataRegularSeason20242025!$E$3:$E$1315, $A55)</f>
        <v>10</v>
      </c>
      <c r="W55">
        <f>SUMIFS(DataRegularSeason20242025!$AA$3:$AA$1315,DataRegularSeason20242025!$B$3:$B$1315, "&lt;=" &amp; W$1, DataRegularSeason20242025!$D$3:$D$1315, $A55)+SUMIFS(DataRegularSeason20242025!$AB$3:$AB$1315,DataRegularSeason20242025!$B$3:$B$1315, "&lt;=" &amp; W$1, DataRegularSeason20242025!$E$3:$E$1315, $A55)</f>
        <v>10</v>
      </c>
      <c r="X55">
        <f>SUMIFS(DataRegularSeason20242025!$AA$3:$AA$1315,DataRegularSeason20242025!$B$3:$B$1315, "&lt;=" &amp; X$1, DataRegularSeason20242025!$D$3:$D$1315, $A55)+SUMIFS(DataRegularSeason20242025!$AB$3:$AB$1315,DataRegularSeason20242025!$B$3:$B$1315, "&lt;=" &amp; X$1, DataRegularSeason20242025!$E$3:$E$1315, $A55)</f>
        <v>10</v>
      </c>
      <c r="Y55">
        <f>SUMIFS(DataRegularSeason20242025!$AA$3:$AA$1315,DataRegularSeason20242025!$B$3:$B$1315, "&lt;=" &amp; Y$1, DataRegularSeason20242025!$D$3:$D$1315, $A55)+SUMIFS(DataRegularSeason20242025!$AB$3:$AB$1315,DataRegularSeason20242025!$B$3:$B$1315, "&lt;=" &amp; Y$1, DataRegularSeason20242025!$E$3:$E$1315, $A55)</f>
        <v>10</v>
      </c>
      <c r="Z55">
        <f>SUMIFS(DataRegularSeason20242025!$AA$3:$AA$1315,DataRegularSeason20242025!$B$3:$B$1315, "&lt;=" &amp; Z$1, DataRegularSeason20242025!$D$3:$D$1315, $A55)+SUMIFS(DataRegularSeason20242025!$AB$3:$AB$1315,DataRegularSeason20242025!$B$3:$B$1315, "&lt;=" &amp; Z$1, DataRegularSeason20242025!$E$3:$E$1315, $A55)</f>
        <v>10</v>
      </c>
      <c r="AA55">
        <f>SUMIFS(DataRegularSeason20242025!$AA$3:$AA$1315,DataRegularSeason20242025!$B$3:$B$1315, "&lt;=" &amp; AA$1, DataRegularSeason20242025!$D$3:$D$1315, $A55)+SUMIFS(DataRegularSeason20242025!$AB$3:$AB$1315,DataRegularSeason20242025!$B$3:$B$1315, "&lt;=" &amp; AA$1, DataRegularSeason20242025!$E$3:$E$1315, $A55)</f>
        <v>10</v>
      </c>
      <c r="AB55">
        <f>SUMIFS(DataRegularSeason20242025!$AA$3:$AA$1315,DataRegularSeason20242025!$B$3:$B$1315, "&lt;=" &amp; AB$1, DataRegularSeason20242025!$D$3:$D$1315, $A55)+SUMIFS(DataRegularSeason20242025!$AB$3:$AB$1315,DataRegularSeason20242025!$B$3:$B$1315, "&lt;=" &amp; AB$1, DataRegularSeason20242025!$E$3:$E$1315, $A55)</f>
        <v>10</v>
      </c>
      <c r="AC55">
        <f>SUMIFS(DataRegularSeason20242025!$AA$3:$AA$1315,DataRegularSeason20242025!$B$3:$B$1315, "&lt;=" &amp; AC$1, DataRegularSeason20242025!$D$3:$D$1315, $A55)+SUMIFS(DataRegularSeason20242025!$AB$3:$AB$1315,DataRegularSeason20242025!$B$3:$B$1315, "&lt;=" &amp; AC$1, DataRegularSeason20242025!$E$3:$E$1315, $A55)</f>
        <v>10</v>
      </c>
      <c r="AD55">
        <f>SUMIFS(DataRegularSeason20242025!$AA$3:$AA$1315,DataRegularSeason20242025!$B$3:$B$1315, "&lt;=" &amp; AD$1, DataRegularSeason20242025!$D$3:$D$1315, $A55)+SUMIFS(DataRegularSeason20242025!$AB$3:$AB$1315,DataRegularSeason20242025!$B$3:$B$1315, "&lt;=" &amp; AD$1, DataRegularSeason20242025!$E$3:$E$1315, $A55)</f>
        <v>10</v>
      </c>
      <c r="AE55">
        <f>SUMIFS(DataRegularSeason20242025!$AA$3:$AA$1315,DataRegularSeason20242025!$B$3:$B$1315, "&lt;=" &amp; AE$1, DataRegularSeason20242025!$D$3:$D$1315, $A55)+SUMIFS(DataRegularSeason20242025!$AB$3:$AB$1315,DataRegularSeason20242025!$B$3:$B$1315, "&lt;=" &amp; AE$1, DataRegularSeason20242025!$E$3:$E$1315, $A55)</f>
        <v>10</v>
      </c>
      <c r="AF55">
        <f>SUMIFS(DataRegularSeason20242025!$AA$3:$AA$1315,DataRegularSeason20242025!$B$3:$B$1315, "&lt;=" &amp; AF$1, DataRegularSeason20242025!$D$3:$D$1315, $A55)+SUMIFS(DataRegularSeason20242025!$AB$3:$AB$1315,DataRegularSeason20242025!$B$3:$B$1315, "&lt;=" &amp; AF$1, DataRegularSeason20242025!$E$3:$E$1315, $A55)</f>
        <v>10</v>
      </c>
      <c r="AG55">
        <f>SUMIFS(DataRegularSeason20242025!$AA$3:$AA$1315,DataRegularSeason20242025!$B$3:$B$1315, "&lt;=" &amp; AG$1, DataRegularSeason20242025!$D$3:$D$1315, $A55)+SUMIFS(DataRegularSeason20242025!$AB$3:$AB$1315,DataRegularSeason20242025!$B$3:$B$1315, "&lt;=" &amp; AG$1, DataRegularSeason20242025!$E$3:$E$1315, $A55)</f>
        <v>10</v>
      </c>
      <c r="AH55">
        <f>SUMIFS(DataRegularSeason20242025!$AA$3:$AA$1315,DataRegularSeason20242025!$B$3:$B$1315, "&lt;=" &amp; AH$1, DataRegularSeason20242025!$D$3:$D$1315, $A55)+SUMIFS(DataRegularSeason20242025!$AB$3:$AB$1315,DataRegularSeason20242025!$B$3:$B$1315, "&lt;=" &amp; AH$1, DataRegularSeason20242025!$E$3:$E$1315, $A55)</f>
        <v>10</v>
      </c>
      <c r="AI55">
        <f>SUMIFS(DataRegularSeason20242025!$AA$3:$AA$1315,DataRegularSeason20242025!$B$3:$B$1315, "&lt;=" &amp; AI$1, DataRegularSeason20242025!$D$3:$D$1315, $A55)+SUMIFS(DataRegularSeason20242025!$AB$3:$AB$1315,DataRegularSeason20242025!$B$3:$B$1315, "&lt;=" &amp; AI$1, DataRegularSeason20242025!$E$3:$E$1315, $A55)</f>
        <v>10</v>
      </c>
      <c r="AJ55">
        <f>SUMIFS(DataRegularSeason20242025!$AA$3:$AA$1315,DataRegularSeason20242025!$B$3:$B$1315, "&lt;=" &amp; AJ$1, DataRegularSeason20242025!$D$3:$D$1315, $A55)+SUMIFS(DataRegularSeason20242025!$AB$3:$AB$1315,DataRegularSeason20242025!$B$3:$B$1315, "&lt;=" &amp; AJ$1, DataRegularSeason20242025!$E$3:$E$1315, $A55)</f>
        <v>10</v>
      </c>
      <c r="AK55">
        <f>SUMIFS(DataRegularSeason20242025!$AA$3:$AA$1315,DataRegularSeason20242025!$B$3:$B$1315, "&lt;=" &amp; AK$1, DataRegularSeason20242025!$D$3:$D$1315, $A55)+SUMIFS(DataRegularSeason20242025!$AB$3:$AB$1315,DataRegularSeason20242025!$B$3:$B$1315, "&lt;=" &amp; AK$1, DataRegularSeason20242025!$E$3:$E$1315, $A55)</f>
        <v>10</v>
      </c>
      <c r="AL55">
        <f>SUMIFS(DataRegularSeason20242025!$AA$3:$AA$1315,DataRegularSeason20242025!$B$3:$B$1315, "&lt;=" &amp; AL$1, DataRegularSeason20242025!$D$3:$D$1315, $A55)+SUMIFS(DataRegularSeason20242025!$AB$3:$AB$1315,DataRegularSeason20242025!$B$3:$B$1315, "&lt;=" &amp; AL$1, DataRegularSeason20242025!$E$3:$E$1315, $A55)</f>
        <v>10</v>
      </c>
      <c r="AM55">
        <f>SUMIFS(DataRegularSeason20242025!$AA$3:$AA$1315,DataRegularSeason20242025!$B$3:$B$1315, "&lt;=" &amp; AM$1, DataRegularSeason20242025!$D$3:$D$1315, $A55)+SUMIFS(DataRegularSeason20242025!$AB$3:$AB$1315,DataRegularSeason20242025!$B$3:$B$1315, "&lt;=" &amp; AM$1, DataRegularSeason20242025!$E$3:$E$1315, $A55)</f>
        <v>10</v>
      </c>
      <c r="AN55">
        <f>SUMIFS(DataRegularSeason20242025!$AA$3:$AA$1315,DataRegularSeason20242025!$B$3:$B$1315, "&lt;=" &amp; AN$1, DataRegularSeason20242025!$D$3:$D$1315, $A55)+SUMIFS(DataRegularSeason20242025!$AB$3:$AB$1315,DataRegularSeason20242025!$B$3:$B$1315, "&lt;=" &amp; AN$1, DataRegularSeason20242025!$E$3:$E$1315, $A55)</f>
        <v>10</v>
      </c>
      <c r="AO55">
        <f>SUMIFS(DataRegularSeason20242025!$AA$3:$AA$1315,DataRegularSeason20242025!$B$3:$B$1315, "&lt;=" &amp; AO$1, DataRegularSeason20242025!$D$3:$D$1315, $A55)+SUMIFS(DataRegularSeason20242025!$AB$3:$AB$1315,DataRegularSeason20242025!$B$3:$B$1315, "&lt;=" &amp; AO$1, DataRegularSeason20242025!$E$3:$E$1315, $A55)</f>
        <v>10</v>
      </c>
      <c r="AP55">
        <f>SUMIFS(DataRegularSeason20242025!$AA$3:$AA$1315,DataRegularSeason20242025!$B$3:$B$1315, "&lt;=" &amp; AP$1, DataRegularSeason20242025!$D$3:$D$1315, $A55)+SUMIFS(DataRegularSeason20242025!$AB$3:$AB$1315,DataRegularSeason20242025!$B$3:$B$1315, "&lt;=" &amp; AP$1, DataRegularSeason20242025!$E$3:$E$1315, $A55)</f>
        <v>10</v>
      </c>
      <c r="AQ55">
        <f>SUMIFS(DataRegularSeason20242025!$AA$3:$AA$1315,DataRegularSeason20242025!$B$3:$B$1315, "&lt;=" &amp; AQ$1, DataRegularSeason20242025!$D$3:$D$1315, $A55)+SUMIFS(DataRegularSeason20242025!$AB$3:$AB$1315,DataRegularSeason20242025!$B$3:$B$1315, "&lt;=" &amp; AQ$1, DataRegularSeason20242025!$E$3:$E$1315, $A55)</f>
        <v>10</v>
      </c>
      <c r="AR55">
        <f>SUMIFS(DataRegularSeason20242025!$AA$3:$AA$1315,DataRegularSeason20242025!$B$3:$B$1315, "&lt;=" &amp; AR$1, DataRegularSeason20242025!$D$3:$D$1315, $A55)+SUMIFS(DataRegularSeason20242025!$AB$3:$AB$1315,DataRegularSeason20242025!$B$3:$B$1315, "&lt;=" &amp; AR$1, DataRegularSeason20242025!$E$3:$E$1315, $A55)</f>
        <v>10</v>
      </c>
      <c r="AS55">
        <f>SUMIFS(DataRegularSeason20242025!$AA$3:$AA$1315,DataRegularSeason20242025!$B$3:$B$1315, "&lt;=" &amp; AS$1, DataRegularSeason20242025!$D$3:$D$1315, $A55)+SUMIFS(DataRegularSeason20242025!$AB$3:$AB$1315,DataRegularSeason20242025!$B$3:$B$1315, "&lt;=" &amp; AS$1, DataRegularSeason20242025!$E$3:$E$1315, $A55)</f>
        <v>10</v>
      </c>
      <c r="AT55">
        <f>SUMIFS(DataRegularSeason20242025!$AA$3:$AA$1315,DataRegularSeason20242025!$B$3:$B$1315, "&lt;=" &amp; AT$1, DataRegularSeason20242025!$D$3:$D$1315, $A55)+SUMIFS(DataRegularSeason20242025!$AB$3:$AB$1315,DataRegularSeason20242025!$B$3:$B$1315, "&lt;=" &amp; AT$1, DataRegularSeason20242025!$E$3:$E$1315, $A55)</f>
        <v>10</v>
      </c>
      <c r="AU55">
        <f>SUMIFS(DataRegularSeason20242025!$AA$3:$AA$1315,DataRegularSeason20242025!$B$3:$B$1315, "&lt;=" &amp; AU$1, DataRegularSeason20242025!$D$3:$D$1315, $A55)+SUMIFS(DataRegularSeason20242025!$AB$3:$AB$1315,DataRegularSeason20242025!$B$3:$B$1315, "&lt;=" &amp; AU$1, DataRegularSeason20242025!$E$3:$E$1315, $A55)</f>
        <v>10</v>
      </c>
      <c r="AV55">
        <f>SUMIFS(DataRegularSeason20242025!$AA$3:$AA$1315,DataRegularSeason20242025!$B$3:$B$1315, "&lt;=" &amp; AV$1, DataRegularSeason20242025!$D$3:$D$1315, $A55)+SUMIFS(DataRegularSeason20242025!$AB$3:$AB$1315,DataRegularSeason20242025!$B$3:$B$1315, "&lt;=" &amp; AV$1, DataRegularSeason20242025!$E$3:$E$1315, $A55)</f>
        <v>10</v>
      </c>
      <c r="AW55">
        <f>SUMIFS(DataRegularSeason20242025!$AA$3:$AA$1315,DataRegularSeason20242025!$B$3:$B$1315, "&lt;=" &amp; AW$1, DataRegularSeason20242025!$D$3:$D$1315, $A55)+SUMIFS(DataRegularSeason20242025!$AB$3:$AB$1315,DataRegularSeason20242025!$B$3:$B$1315, "&lt;=" &amp; AW$1, DataRegularSeason20242025!$E$3:$E$1315, $A55)</f>
        <v>10</v>
      </c>
      <c r="AX55">
        <f>SUMIFS(DataRegularSeason20242025!$AA$3:$AA$1315,DataRegularSeason20242025!$B$3:$B$1315, "&lt;=" &amp; AX$1, DataRegularSeason20242025!$D$3:$D$1315, $A55)+SUMIFS(DataRegularSeason20242025!$AB$3:$AB$1315,DataRegularSeason20242025!$B$3:$B$1315, "&lt;=" &amp; AX$1, DataRegularSeason20242025!$E$3:$E$1315, $A55)</f>
        <v>10</v>
      </c>
      <c r="AY55">
        <f>SUMIFS(DataRegularSeason20242025!$AA$3:$AA$1315,DataRegularSeason20242025!$B$3:$B$1315, "&lt;=" &amp; AY$1, DataRegularSeason20242025!$D$3:$D$1315, $A55)+SUMIFS(DataRegularSeason20242025!$AB$3:$AB$1315,DataRegularSeason20242025!$B$3:$B$1315, "&lt;=" &amp; AY$1, DataRegularSeason20242025!$E$3:$E$1315, $A55)</f>
        <v>10</v>
      </c>
      <c r="AZ55">
        <f>SUMIFS(DataRegularSeason20242025!$AA$3:$AA$1315,DataRegularSeason20242025!$B$3:$B$1315, "&lt;=" &amp; AZ$1, DataRegularSeason20242025!$D$3:$D$1315, $A55)+SUMIFS(DataRegularSeason20242025!$AB$3:$AB$1315,DataRegularSeason20242025!$B$3:$B$1315, "&lt;=" &amp; AZ$1, DataRegularSeason20242025!$E$3:$E$1315, $A55)</f>
        <v>10</v>
      </c>
      <c r="BA55">
        <f>SUMIFS(DataRegularSeason20242025!$AA$3:$AA$1315,DataRegularSeason20242025!$B$3:$B$1315, "&lt;=" &amp; BA$1, DataRegularSeason20242025!$D$3:$D$1315, $A55)+SUMIFS(DataRegularSeason20242025!$AB$3:$AB$1315,DataRegularSeason20242025!$B$3:$B$1315, "&lt;=" &amp; BA$1, DataRegularSeason20242025!$E$3:$E$1315, $A55)</f>
        <v>10</v>
      </c>
      <c r="BB55">
        <f>SUMIFS(DataRegularSeason20242025!$AA$3:$AA$1315,DataRegularSeason20242025!$B$3:$B$1315, "&lt;=" &amp; BB$1, DataRegularSeason20242025!$D$3:$D$1315, $A55)+SUMIFS(DataRegularSeason20242025!$AB$3:$AB$1315,DataRegularSeason20242025!$B$3:$B$1315, "&lt;=" &amp; BB$1, DataRegularSeason20242025!$E$3:$E$1315, $A55)</f>
        <v>10</v>
      </c>
      <c r="BC55">
        <f>SUMIFS(DataRegularSeason20242025!$AA$3:$AA$1315,DataRegularSeason20242025!$B$3:$B$1315, "&lt;=" &amp; BC$1, DataRegularSeason20242025!$D$3:$D$1315, $A55)+SUMIFS(DataRegularSeason20242025!$AB$3:$AB$1315,DataRegularSeason20242025!$B$3:$B$1315, "&lt;=" &amp; BC$1, DataRegularSeason20242025!$E$3:$E$1315, $A55)</f>
        <v>10</v>
      </c>
      <c r="BD55">
        <f>SUMIFS(DataRegularSeason20242025!$AA$3:$AA$1315,DataRegularSeason20242025!$B$3:$B$1315, "&lt;=" &amp; BD$1, DataRegularSeason20242025!$D$3:$D$1315, $A55)+SUMIFS(DataRegularSeason20242025!$AB$3:$AB$1315,DataRegularSeason20242025!$B$3:$B$1315, "&lt;=" &amp; BD$1, DataRegularSeason20242025!$E$3:$E$1315, $A55)</f>
        <v>10</v>
      </c>
      <c r="BE55">
        <f>SUMIFS(DataRegularSeason20242025!$AA$3:$AA$1315,DataRegularSeason20242025!$B$3:$B$1315, "&lt;=" &amp; BE$1, DataRegularSeason20242025!$D$3:$D$1315, $A55)+SUMIFS(DataRegularSeason20242025!$AB$3:$AB$1315,DataRegularSeason20242025!$B$3:$B$1315, "&lt;=" &amp; BE$1, DataRegularSeason20242025!$E$3:$E$1315, $A55)</f>
        <v>10</v>
      </c>
      <c r="BF55">
        <f>SUMIFS(DataRegularSeason20242025!$AA$3:$AA$1315,DataRegularSeason20242025!$B$3:$B$1315, "&lt;=" &amp; BF$1, DataRegularSeason20242025!$D$3:$D$1315, $A55)+SUMIFS(DataRegularSeason20242025!$AB$3:$AB$1315,DataRegularSeason20242025!$B$3:$B$1315, "&lt;=" &amp; BF$1, DataRegularSeason20242025!$E$3:$E$1315, $A55)</f>
        <v>10</v>
      </c>
      <c r="BG55">
        <f>SUMIFS(DataRegularSeason20242025!$AA$3:$AA$1315,DataRegularSeason20242025!$B$3:$B$1315, "&lt;=" &amp; BG$1, DataRegularSeason20242025!$D$3:$D$1315, $A55)+SUMIFS(DataRegularSeason20242025!$AB$3:$AB$1315,DataRegularSeason20242025!$B$3:$B$1315, "&lt;=" &amp; BG$1, DataRegularSeason20242025!$E$3:$E$1315, $A55)</f>
        <v>10</v>
      </c>
      <c r="BH55">
        <f>SUMIFS(DataRegularSeason20242025!$AA$3:$AA$1315,DataRegularSeason20242025!$B$3:$B$1315, "&lt;=" &amp; BH$1, DataRegularSeason20242025!$D$3:$D$1315, $A55)+SUMIFS(DataRegularSeason20242025!$AB$3:$AB$1315,DataRegularSeason20242025!$B$3:$B$1315, "&lt;=" &amp; BH$1, DataRegularSeason20242025!$E$3:$E$1315, $A55)</f>
        <v>10</v>
      </c>
      <c r="BI55">
        <f>SUMIFS(DataRegularSeason20242025!$AA$3:$AA$1315,DataRegularSeason20242025!$B$3:$B$1315, "&lt;=" &amp; BI$1, DataRegularSeason20242025!$D$3:$D$1315, $A55)+SUMIFS(DataRegularSeason20242025!$AB$3:$AB$1315,DataRegularSeason20242025!$B$3:$B$1315, "&lt;=" &amp; BI$1, DataRegularSeason20242025!$E$3:$E$1315, $A55)</f>
        <v>10</v>
      </c>
      <c r="BJ55">
        <f>SUMIFS(DataRegularSeason20242025!$AA$3:$AA$1315,DataRegularSeason20242025!$B$3:$B$1315, "&lt;=" &amp; BJ$1, DataRegularSeason20242025!$D$3:$D$1315, $A55)+SUMIFS(DataRegularSeason20242025!$AB$3:$AB$1315,DataRegularSeason20242025!$B$3:$B$1315, "&lt;=" &amp; BJ$1, DataRegularSeason20242025!$E$3:$E$1315, $A55)</f>
        <v>10</v>
      </c>
      <c r="BK55">
        <f>SUMIFS(DataRegularSeason20242025!$AA$3:$AA$1315,DataRegularSeason20242025!$B$3:$B$1315, "&lt;=" &amp; BK$1, DataRegularSeason20242025!$D$3:$D$1315, $A55)+SUMIFS(DataRegularSeason20242025!$AB$3:$AB$1315,DataRegularSeason20242025!$B$3:$B$1315, "&lt;=" &amp; BK$1, DataRegularSeason20242025!$E$3:$E$1315, $A55)</f>
        <v>10</v>
      </c>
      <c r="BL55">
        <f>SUMIFS(DataRegularSeason20242025!$AA$3:$AA$1315,DataRegularSeason20242025!$B$3:$B$1315, "&lt;=" &amp; BL$1, DataRegularSeason20242025!$D$3:$D$1315, $A55)+SUMIFS(DataRegularSeason20242025!$AB$3:$AB$1315,DataRegularSeason20242025!$B$3:$B$1315, "&lt;=" &amp; BL$1, DataRegularSeason20242025!$E$3:$E$1315, $A55)</f>
        <v>10</v>
      </c>
      <c r="BM55">
        <f>SUMIFS(DataRegularSeason20242025!$AA$3:$AA$1315,DataRegularSeason20242025!$B$3:$B$1315, "&lt;=" &amp; BM$1, DataRegularSeason20242025!$D$3:$D$1315, $A55)+SUMIFS(DataRegularSeason20242025!$AB$3:$AB$1315,DataRegularSeason20242025!$B$3:$B$1315, "&lt;=" &amp; BM$1, DataRegularSeason20242025!$E$3:$E$1315, $A55)</f>
        <v>10</v>
      </c>
      <c r="BN55">
        <f>SUMIFS(DataRegularSeason20242025!$AA$3:$AA$1315,DataRegularSeason20242025!$B$3:$B$1315, "&lt;=" &amp; BN$1, DataRegularSeason20242025!$D$3:$D$1315, $A55)+SUMIFS(DataRegularSeason20242025!$AB$3:$AB$1315,DataRegularSeason20242025!$B$3:$B$1315, "&lt;=" &amp; BN$1, DataRegularSeason20242025!$E$3:$E$1315, $A55)</f>
        <v>10</v>
      </c>
      <c r="BO55">
        <f>SUMIFS(DataRegularSeason20242025!$AA$3:$AA$1315,DataRegularSeason20242025!$B$3:$B$1315, "&lt;=" &amp; BO$1, DataRegularSeason20242025!$D$3:$D$1315, $A55)+SUMIFS(DataRegularSeason20242025!$AB$3:$AB$1315,DataRegularSeason20242025!$B$3:$B$1315, "&lt;=" &amp; BO$1, DataRegularSeason20242025!$E$3:$E$1315, $A55)</f>
        <v>10</v>
      </c>
      <c r="BP55">
        <f>SUMIFS(DataRegularSeason20242025!$AA$3:$AA$1315,DataRegularSeason20242025!$B$3:$B$1315, "&lt;=" &amp; BP$1, DataRegularSeason20242025!$D$3:$D$1315, $A55)+SUMIFS(DataRegularSeason20242025!$AB$3:$AB$1315,DataRegularSeason20242025!$B$3:$B$1315, "&lt;=" &amp; BP$1, DataRegularSeason20242025!$E$3:$E$1315, $A55)</f>
        <v>10</v>
      </c>
      <c r="BQ55">
        <f>SUMIFS(DataRegularSeason20242025!$AA$3:$AA$1315,DataRegularSeason20242025!$B$3:$B$1315, "&lt;=" &amp; BQ$1, DataRegularSeason20242025!$D$3:$D$1315, $A55)+SUMIFS(DataRegularSeason20242025!$AB$3:$AB$1315,DataRegularSeason20242025!$B$3:$B$1315, "&lt;=" &amp; BQ$1, DataRegularSeason20242025!$E$3:$E$1315, $A55)</f>
        <v>10</v>
      </c>
      <c r="BR55">
        <f>SUMIFS(DataRegularSeason20242025!$AA$3:$AA$1315,DataRegularSeason20242025!$B$3:$B$1315, "&lt;=" &amp; BR$1, DataRegularSeason20242025!$D$3:$D$1315, $A55)+SUMIFS(DataRegularSeason20242025!$AB$3:$AB$1315,DataRegularSeason20242025!$B$3:$B$1315, "&lt;=" &amp; BR$1, DataRegularSeason20242025!$E$3:$E$1315, $A55)</f>
        <v>10</v>
      </c>
      <c r="BS55">
        <f>SUMIFS(DataRegularSeason20242025!$AA$3:$AA$1315,DataRegularSeason20242025!$B$3:$B$1315, "&lt;=" &amp; BS$1, DataRegularSeason20242025!$D$3:$D$1315, $A55)+SUMIFS(DataRegularSeason20242025!$AB$3:$AB$1315,DataRegularSeason20242025!$B$3:$B$1315, "&lt;=" &amp; BS$1, DataRegularSeason20242025!$E$3:$E$1315, $A55)</f>
        <v>10</v>
      </c>
      <c r="BT55">
        <f>SUMIFS(DataRegularSeason20242025!$AA$3:$AA$1315,DataRegularSeason20242025!$B$3:$B$1315, "&lt;=" &amp; BT$1, DataRegularSeason20242025!$D$3:$D$1315, $A55)+SUMIFS(DataRegularSeason20242025!$AB$3:$AB$1315,DataRegularSeason20242025!$B$3:$B$1315, "&lt;=" &amp; BT$1, DataRegularSeason20242025!$E$3:$E$1315, $A55)</f>
        <v>10</v>
      </c>
      <c r="BU55">
        <f>SUMIFS(DataRegularSeason20242025!$AA$3:$AA$1315,DataRegularSeason20242025!$B$3:$B$1315, "&lt;=" &amp; BU$1, DataRegularSeason20242025!$D$3:$D$1315, $A55)+SUMIFS(DataRegularSeason20242025!$AB$3:$AB$1315,DataRegularSeason20242025!$B$3:$B$1315, "&lt;=" &amp; BU$1, DataRegularSeason20242025!$E$3:$E$1315, $A55)</f>
        <v>10</v>
      </c>
      <c r="BV55">
        <f>SUMIFS(DataRegularSeason20242025!$AA$3:$AA$1315,DataRegularSeason20242025!$B$3:$B$1315, "&lt;=" &amp; BV$1, DataRegularSeason20242025!$D$3:$D$1315, $A55)+SUMIFS(DataRegularSeason20242025!$AB$3:$AB$1315,DataRegularSeason20242025!$B$3:$B$1315, "&lt;=" &amp; BV$1, DataRegularSeason20242025!$E$3:$E$1315, $A55)</f>
        <v>10</v>
      </c>
      <c r="BW55">
        <f>SUMIFS(DataRegularSeason20242025!$AA$3:$AA$1315,DataRegularSeason20242025!$B$3:$B$1315, "&lt;=" &amp; BW$1, DataRegularSeason20242025!$D$3:$D$1315, $A55)+SUMIFS(DataRegularSeason20242025!$AB$3:$AB$1315,DataRegularSeason20242025!$B$3:$B$1315, "&lt;=" &amp; BW$1, DataRegularSeason20242025!$E$3:$E$1315, $A55)</f>
        <v>10</v>
      </c>
      <c r="BX55">
        <f>SUMIFS(DataRegularSeason20242025!$AA$3:$AA$1315,DataRegularSeason20242025!$B$3:$B$1315, "&lt;=" &amp; BX$1, DataRegularSeason20242025!$D$3:$D$1315, $A55)+SUMIFS(DataRegularSeason20242025!$AB$3:$AB$1315,DataRegularSeason20242025!$B$3:$B$1315, "&lt;=" &amp; BX$1, DataRegularSeason20242025!$E$3:$E$1315, $A55)</f>
        <v>10</v>
      </c>
      <c r="BY55">
        <f>SUMIFS(DataRegularSeason20242025!$AA$3:$AA$1315,DataRegularSeason20242025!$B$3:$B$1315, "&lt;=" &amp; BY$1, DataRegularSeason20242025!$D$3:$D$1315, $A55)+SUMIFS(DataRegularSeason20242025!$AB$3:$AB$1315,DataRegularSeason20242025!$B$3:$B$1315, "&lt;=" &amp; BY$1, DataRegularSeason20242025!$E$3:$E$1315, $A55)</f>
        <v>10</v>
      </c>
      <c r="BZ55">
        <f>SUMIFS(DataRegularSeason20242025!$AA$3:$AA$1315,DataRegularSeason20242025!$B$3:$B$1315, "&lt;=" &amp; BZ$1, DataRegularSeason20242025!$D$3:$D$1315, $A55)+SUMIFS(DataRegularSeason20242025!$AB$3:$AB$1315,DataRegularSeason20242025!$B$3:$B$1315, "&lt;=" &amp; BZ$1, DataRegularSeason20242025!$E$3:$E$1315, $A55)</f>
        <v>10</v>
      </c>
      <c r="CA55">
        <f>SUMIFS(DataRegularSeason20242025!$AA$3:$AA$1315,DataRegularSeason20242025!$B$3:$B$1315, "&lt;=" &amp; CA$1, DataRegularSeason20242025!$D$3:$D$1315, $A55)+SUMIFS(DataRegularSeason20242025!$AB$3:$AB$1315,DataRegularSeason20242025!$B$3:$B$1315, "&lt;=" &amp; CA$1, DataRegularSeason20242025!$E$3:$E$1315, $A55)</f>
        <v>10</v>
      </c>
      <c r="CB55">
        <f>SUMIFS(DataRegularSeason20242025!$AA$3:$AA$1315,DataRegularSeason20242025!$B$3:$B$1315, "&lt;=" &amp; CB$1, DataRegularSeason20242025!$D$3:$D$1315, $A55)+SUMIFS(DataRegularSeason20242025!$AB$3:$AB$1315,DataRegularSeason20242025!$B$3:$B$1315, "&lt;=" &amp; CB$1, DataRegularSeason20242025!$E$3:$E$1315, $A55)</f>
        <v>10</v>
      </c>
      <c r="CC55">
        <f>SUMIFS(DataRegularSeason20242025!$AA$3:$AA$1315,DataRegularSeason20242025!$B$3:$B$1315, "&lt;=" &amp; CC$1, DataRegularSeason20242025!$D$3:$D$1315, $A55)+SUMIFS(DataRegularSeason20242025!$AB$3:$AB$1315,DataRegularSeason20242025!$B$3:$B$1315, "&lt;=" &amp; CC$1, DataRegularSeason20242025!$E$3:$E$1315, $A55)</f>
        <v>10</v>
      </c>
      <c r="CD55">
        <f>SUMIFS(DataRegularSeason20242025!$AA$3:$AA$1315,DataRegularSeason20242025!$B$3:$B$1315, "&lt;=" &amp; CD$1, DataRegularSeason20242025!$D$3:$D$1315, $A55)+SUMIFS(DataRegularSeason20242025!$AB$3:$AB$1315,DataRegularSeason20242025!$B$3:$B$1315, "&lt;=" &amp; CD$1, DataRegularSeason20242025!$E$3:$E$1315, $A55)</f>
        <v>10</v>
      </c>
      <c r="CE55">
        <f>SUMIFS(DataRegularSeason20242025!$AA$3:$AA$1315,DataRegularSeason20242025!$B$3:$B$1315, "&lt;=" &amp; CE$1, DataRegularSeason20242025!$D$3:$D$1315, $A55)+SUMIFS(DataRegularSeason20242025!$AB$3:$AB$1315,DataRegularSeason20242025!$B$3:$B$1315, "&lt;=" &amp; CE$1, DataRegularSeason20242025!$E$3:$E$1315, $A55)</f>
        <v>10</v>
      </c>
      <c r="CF55">
        <f>SUMIFS(DataRegularSeason20242025!$AA$3:$AA$1315,DataRegularSeason20242025!$B$3:$B$1315, "&lt;=" &amp; CF$1, DataRegularSeason20242025!$D$3:$D$1315, $A55)+SUMIFS(DataRegularSeason20242025!$AB$3:$AB$1315,DataRegularSeason20242025!$B$3:$B$1315, "&lt;=" &amp; CF$1, DataRegularSeason20242025!$E$3:$E$1315, $A55)</f>
        <v>10</v>
      </c>
      <c r="CG55">
        <f>SUMIFS(DataRegularSeason20242025!$AA$3:$AA$1315,DataRegularSeason20242025!$B$3:$B$1315, "&lt;=" &amp; CG$1, DataRegularSeason20242025!$D$3:$D$1315, $A55)+SUMIFS(DataRegularSeason20242025!$AB$3:$AB$1315,DataRegularSeason20242025!$B$3:$B$1315, "&lt;=" &amp; CG$1, DataRegularSeason20242025!$E$3:$E$1315, $A55)</f>
        <v>10</v>
      </c>
      <c r="CH55">
        <f>SUMIFS(DataRegularSeason20242025!$AA$3:$AA$1315,DataRegularSeason20242025!$B$3:$B$1315, "&lt;=" &amp; CH$1, DataRegularSeason20242025!$D$3:$D$1315, $A55)+SUMIFS(DataRegularSeason20242025!$AB$3:$AB$1315,DataRegularSeason20242025!$B$3:$B$1315, "&lt;=" &amp; CH$1, DataRegularSeason20242025!$E$3:$E$1315, $A55)</f>
        <v>10</v>
      </c>
      <c r="CI55">
        <f>SUMIFS(DataRegularSeason20242025!$AA$3:$AA$1315,DataRegularSeason20242025!$B$3:$B$1315, "&lt;=" &amp; CI$1, DataRegularSeason20242025!$D$3:$D$1315, $A55)+SUMIFS(DataRegularSeason20242025!$AB$3:$AB$1315,DataRegularSeason20242025!$B$3:$B$1315, "&lt;=" &amp; CI$1, DataRegularSeason20242025!$E$3:$E$1315, $A55)</f>
        <v>10</v>
      </c>
      <c r="CJ55">
        <f>SUMIFS(DataRegularSeason20242025!$AA$3:$AA$1315,DataRegularSeason20242025!$B$3:$B$1315, "&lt;=" &amp; CJ$1, DataRegularSeason20242025!$D$3:$D$1315, $A55)+SUMIFS(DataRegularSeason20242025!$AB$3:$AB$1315,DataRegularSeason20242025!$B$3:$B$1315, "&lt;=" &amp; CJ$1, DataRegularSeason20242025!$E$3:$E$1315, $A55)</f>
        <v>10</v>
      </c>
      <c r="CK55">
        <f>SUMIFS(DataRegularSeason20242025!$AA$3:$AA$1315,DataRegularSeason20242025!$B$3:$B$1315, "&lt;=" &amp; CK$1, DataRegularSeason20242025!$D$3:$D$1315, $A55)+SUMIFS(DataRegularSeason20242025!$AB$3:$AB$1315,DataRegularSeason20242025!$B$3:$B$1315, "&lt;=" &amp; CK$1, DataRegularSeason20242025!$E$3:$E$1315, $A55)</f>
        <v>10</v>
      </c>
      <c r="CL55">
        <f>SUMIFS(DataRegularSeason20242025!$AA$3:$AA$1315,DataRegularSeason20242025!$B$3:$B$1315, "&lt;=" &amp; CL$1, DataRegularSeason20242025!$D$3:$D$1315, $A55)+SUMIFS(DataRegularSeason20242025!$AB$3:$AB$1315,DataRegularSeason20242025!$B$3:$B$1315, "&lt;=" &amp; CL$1, DataRegularSeason20242025!$E$3:$E$1315, $A55)</f>
        <v>10</v>
      </c>
      <c r="CM55">
        <f>SUMIFS(DataRegularSeason20242025!$AA$3:$AA$1315,DataRegularSeason20242025!$B$3:$B$1315, "&lt;=" &amp; CM$1, DataRegularSeason20242025!$D$3:$D$1315, $A55)+SUMIFS(DataRegularSeason20242025!$AB$3:$AB$1315,DataRegularSeason20242025!$B$3:$B$1315, "&lt;=" &amp; CM$1, DataRegularSeason20242025!$E$3:$E$1315, $A55)</f>
        <v>10</v>
      </c>
      <c r="CN55">
        <f>SUMIFS(DataRegularSeason20242025!$AA$3:$AA$1315,DataRegularSeason20242025!$B$3:$B$1315, "&lt;=" &amp; CN$1, DataRegularSeason20242025!$D$3:$D$1315, $A55)+SUMIFS(DataRegularSeason20242025!$AB$3:$AB$1315,DataRegularSeason20242025!$B$3:$B$1315, "&lt;=" &amp; CN$1, DataRegularSeason20242025!$E$3:$E$1315, $A55)</f>
        <v>10</v>
      </c>
      <c r="CO55">
        <f>SUMIFS(DataRegularSeason20242025!$AA$3:$AA$1315,DataRegularSeason20242025!$B$3:$B$1315, "&lt;=" &amp; CO$1, DataRegularSeason20242025!$D$3:$D$1315, $A55)+SUMIFS(DataRegularSeason20242025!$AB$3:$AB$1315,DataRegularSeason20242025!$B$3:$B$1315, "&lt;=" &amp; CO$1, DataRegularSeason20242025!$E$3:$E$1315, $A55)</f>
        <v>10</v>
      </c>
      <c r="CP55">
        <f>SUMIFS(DataRegularSeason20242025!$AA$3:$AA$1315,DataRegularSeason20242025!$B$3:$B$1315, "&lt;=" &amp; CP$1, DataRegularSeason20242025!$D$3:$D$1315, $A55)+SUMIFS(DataRegularSeason20242025!$AB$3:$AB$1315,DataRegularSeason20242025!$B$3:$B$1315, "&lt;=" &amp; CP$1, DataRegularSeason20242025!$E$3:$E$1315, $A55)</f>
        <v>10</v>
      </c>
      <c r="CQ55">
        <f>SUMIFS(DataRegularSeason20242025!$AA$3:$AA$1315,DataRegularSeason20242025!$B$3:$B$1315, "&lt;=" &amp; CQ$1, DataRegularSeason20242025!$D$3:$D$1315, $A55)+SUMIFS(DataRegularSeason20242025!$AB$3:$AB$1315,DataRegularSeason20242025!$B$3:$B$1315, "&lt;=" &amp; CQ$1, DataRegularSeason20242025!$E$3:$E$1315, $A55)</f>
        <v>10</v>
      </c>
      <c r="CR55">
        <f>SUMIFS(DataRegularSeason20242025!$AA$3:$AA$1315,DataRegularSeason20242025!$B$3:$B$1315, "&lt;=" &amp; CR$1, DataRegularSeason20242025!$D$3:$D$1315, $A55)+SUMIFS(DataRegularSeason20242025!$AB$3:$AB$1315,DataRegularSeason20242025!$B$3:$B$1315, "&lt;=" &amp; CR$1, DataRegularSeason20242025!$E$3:$E$1315, $A55)</f>
        <v>10</v>
      </c>
      <c r="CS55">
        <f>SUMIFS(DataRegularSeason20242025!$AA$3:$AA$1315,DataRegularSeason20242025!$B$3:$B$1315, "&lt;=" &amp; CS$1, DataRegularSeason20242025!$D$3:$D$1315, $A55)+SUMIFS(DataRegularSeason20242025!$AB$3:$AB$1315,DataRegularSeason20242025!$B$3:$B$1315, "&lt;=" &amp; CS$1, DataRegularSeason20242025!$E$3:$E$1315, $A55)</f>
        <v>10</v>
      </c>
      <c r="CT55">
        <f>SUMIFS(DataRegularSeason20242025!$AA$3:$AA$1315,DataRegularSeason20242025!$B$3:$B$1315, "&lt;=" &amp; CT$1, DataRegularSeason20242025!$D$3:$D$1315, $A55)+SUMIFS(DataRegularSeason20242025!$AB$3:$AB$1315,DataRegularSeason20242025!$B$3:$B$1315, "&lt;=" &amp; CT$1, DataRegularSeason20242025!$E$3:$E$1315, $A55)</f>
        <v>10</v>
      </c>
      <c r="CU55">
        <f>SUMIFS(DataRegularSeason20242025!$AA$3:$AA$1315,DataRegularSeason20242025!$B$3:$B$1315, "&lt;=" &amp; CU$1, DataRegularSeason20242025!$D$3:$D$1315, $A55)+SUMIFS(DataRegularSeason20242025!$AB$3:$AB$1315,DataRegularSeason20242025!$B$3:$B$1315, "&lt;=" &amp; CU$1, DataRegularSeason20242025!$E$3:$E$1315, $A55)</f>
        <v>10</v>
      </c>
      <c r="CV55">
        <f>SUMIFS(DataRegularSeason20242025!$AA$3:$AA$1315,DataRegularSeason20242025!$B$3:$B$1315, "&lt;=" &amp; CV$1, DataRegularSeason20242025!$D$3:$D$1315, $A55)+SUMIFS(DataRegularSeason20242025!$AB$3:$AB$1315,DataRegularSeason20242025!$B$3:$B$1315, "&lt;=" &amp; CV$1, DataRegularSeason20242025!$E$3:$E$1315, $A55)</f>
        <v>10</v>
      </c>
      <c r="CW55">
        <f>SUMIFS(DataRegularSeason20242025!$AA$3:$AA$1315,DataRegularSeason20242025!$B$3:$B$1315, "&lt;=" &amp; CW$1, DataRegularSeason20242025!$D$3:$D$1315, $A55)+SUMIFS(DataRegularSeason20242025!$AB$3:$AB$1315,DataRegularSeason20242025!$B$3:$B$1315, "&lt;=" &amp; CW$1, DataRegularSeason20242025!$E$3:$E$1315, $A55)</f>
        <v>10</v>
      </c>
      <c r="CX55">
        <f>SUMIFS(DataRegularSeason20242025!$AA$3:$AA$1315,DataRegularSeason20242025!$B$3:$B$1315, "&lt;=" &amp; CX$1, DataRegularSeason20242025!$D$3:$D$1315, $A55)+SUMIFS(DataRegularSeason20242025!$AB$3:$AB$1315,DataRegularSeason20242025!$B$3:$B$1315, "&lt;=" &amp; CX$1, DataRegularSeason20242025!$E$3:$E$1315, $A55)</f>
        <v>10</v>
      </c>
      <c r="CY55">
        <f>SUMIFS(DataRegularSeason20242025!$AA$3:$AA$1315,DataRegularSeason20242025!$B$3:$B$1315, "&lt;=" &amp; CY$1, DataRegularSeason20242025!$D$3:$D$1315, $A55)+SUMIFS(DataRegularSeason20242025!$AB$3:$AB$1315,DataRegularSeason20242025!$B$3:$B$1315, "&lt;=" &amp; CY$1, DataRegularSeason20242025!$E$3:$E$1315, $A55)</f>
        <v>10</v>
      </c>
      <c r="CZ55">
        <f>SUMIFS(DataRegularSeason20242025!$AA$3:$AA$1315,DataRegularSeason20242025!$B$3:$B$1315, "&lt;=" &amp; CZ$1, DataRegularSeason20242025!$D$3:$D$1315, $A55)+SUMIFS(DataRegularSeason20242025!$AB$3:$AB$1315,DataRegularSeason20242025!$B$3:$B$1315, "&lt;=" &amp; CZ$1, DataRegularSeason20242025!$E$3:$E$1315, $A55)</f>
        <v>10</v>
      </c>
      <c r="DA55">
        <f>SUMIFS(DataRegularSeason20242025!$AA$3:$AA$1315,DataRegularSeason20242025!$B$3:$B$1315, "&lt;=" &amp; DA$1, DataRegularSeason20242025!$D$3:$D$1315, $A55)+SUMIFS(DataRegularSeason20242025!$AB$3:$AB$1315,DataRegularSeason20242025!$B$3:$B$1315, "&lt;=" &amp; DA$1, DataRegularSeason20242025!$E$3:$E$1315, $A55)</f>
        <v>10</v>
      </c>
      <c r="DB55">
        <f>SUMIFS(DataRegularSeason20242025!$AA$3:$AA$1315,DataRegularSeason20242025!$B$3:$B$1315, "&lt;=" &amp; DB$1, DataRegularSeason20242025!$D$3:$D$1315, $A55)+SUMIFS(DataRegularSeason20242025!$AB$3:$AB$1315,DataRegularSeason20242025!$B$3:$B$1315, "&lt;=" &amp; DB$1, DataRegularSeason20242025!$E$3:$E$1315, $A55)</f>
        <v>10</v>
      </c>
      <c r="DC55">
        <f>SUMIFS(DataRegularSeason20242025!$AA$3:$AA$1315,DataRegularSeason20242025!$B$3:$B$1315, "&lt;=" &amp; DC$1, DataRegularSeason20242025!$D$3:$D$1315, $A55)+SUMIFS(DataRegularSeason20242025!$AB$3:$AB$1315,DataRegularSeason20242025!$B$3:$B$1315, "&lt;=" &amp; DC$1, DataRegularSeason20242025!$E$3:$E$1315, $A55)</f>
        <v>10</v>
      </c>
      <c r="DD55">
        <f>SUMIFS(DataRegularSeason20242025!$AA$3:$AA$1315,DataRegularSeason20242025!$B$3:$B$1315, "&lt;=" &amp; DD$1, DataRegularSeason20242025!$D$3:$D$1315, $A55)+SUMIFS(DataRegularSeason20242025!$AB$3:$AB$1315,DataRegularSeason20242025!$B$3:$B$1315, "&lt;=" &amp; DD$1, DataRegularSeason20242025!$E$3:$E$1315, $A55)</f>
        <v>10</v>
      </c>
      <c r="DE55">
        <f>SUMIFS(DataRegularSeason20242025!$AA$3:$AA$1315,DataRegularSeason20242025!$B$3:$B$1315, "&lt;=" &amp; DE$1, DataRegularSeason20242025!$D$3:$D$1315, $A55)+SUMIFS(DataRegularSeason20242025!$AB$3:$AB$1315,DataRegularSeason20242025!$B$3:$B$1315, "&lt;=" &amp; DE$1, DataRegularSeason20242025!$E$3:$E$1315, $A55)</f>
        <v>10</v>
      </c>
      <c r="DF55">
        <f>SUMIFS(DataRegularSeason20242025!$AA$3:$AA$1315,DataRegularSeason20242025!$B$3:$B$1315, "&lt;=" &amp; DF$1, DataRegularSeason20242025!$D$3:$D$1315, $A55)+SUMIFS(DataRegularSeason20242025!$AB$3:$AB$1315,DataRegularSeason20242025!$B$3:$B$1315, "&lt;=" &amp; DF$1, DataRegularSeason20242025!$E$3:$E$1315, $A55)</f>
        <v>10</v>
      </c>
      <c r="DG55">
        <f>SUMIFS(DataRegularSeason20242025!$AA$3:$AA$1315,DataRegularSeason20242025!$B$3:$B$1315, "&lt;=" &amp; DG$1, DataRegularSeason20242025!$D$3:$D$1315, $A55)+SUMIFS(DataRegularSeason20242025!$AB$3:$AB$1315,DataRegularSeason20242025!$B$3:$B$1315, "&lt;=" &amp; DG$1, DataRegularSeason20242025!$E$3:$E$1315, $A55)</f>
        <v>10</v>
      </c>
      <c r="DH55">
        <f>SUMIFS(DataRegularSeason20242025!$AA$3:$AA$1315,DataRegularSeason20242025!$B$3:$B$1315, "&lt;=" &amp; DH$1, DataRegularSeason20242025!$D$3:$D$1315, $A55)+SUMIFS(DataRegularSeason20242025!$AB$3:$AB$1315,DataRegularSeason20242025!$B$3:$B$1315, "&lt;=" &amp; DH$1, DataRegularSeason20242025!$E$3:$E$1315, $A55)</f>
        <v>10</v>
      </c>
      <c r="DI55">
        <f>SUMIFS(DataRegularSeason20242025!$AA$3:$AA$1315,DataRegularSeason20242025!$B$3:$B$1315, "&lt;=" &amp; DI$1, DataRegularSeason20242025!$D$3:$D$1315, $A55)+SUMIFS(DataRegularSeason20242025!$AB$3:$AB$1315,DataRegularSeason20242025!$B$3:$B$1315, "&lt;=" &amp; DI$1, DataRegularSeason20242025!$E$3:$E$1315, $A55)</f>
        <v>10</v>
      </c>
      <c r="DJ55">
        <f>SUMIFS(DataRegularSeason20242025!$AA$3:$AA$1315,DataRegularSeason20242025!$B$3:$B$1315, "&lt;=" &amp; DJ$1, DataRegularSeason20242025!$D$3:$D$1315, $A55)+SUMIFS(DataRegularSeason20242025!$AB$3:$AB$1315,DataRegularSeason20242025!$B$3:$B$1315, "&lt;=" &amp; DJ$1, DataRegularSeason20242025!$E$3:$E$1315, $A55)</f>
        <v>10</v>
      </c>
      <c r="DK55">
        <f>SUMIFS(DataRegularSeason20242025!$AA$3:$AA$1315,DataRegularSeason20242025!$B$3:$B$1315, "&lt;=" &amp; DK$1, DataRegularSeason20242025!$D$3:$D$1315, $A55)+SUMIFS(DataRegularSeason20242025!$AB$3:$AB$1315,DataRegularSeason20242025!$B$3:$B$1315, "&lt;=" &amp; DK$1, DataRegularSeason20242025!$E$3:$E$1315, $A55)</f>
        <v>10</v>
      </c>
      <c r="DL55">
        <f>SUMIFS(DataRegularSeason20242025!$AA$3:$AA$1315,DataRegularSeason20242025!$B$3:$B$1315, "&lt;=" &amp; DL$1, DataRegularSeason20242025!$D$3:$D$1315, $A55)+SUMIFS(DataRegularSeason20242025!$AB$3:$AB$1315,DataRegularSeason20242025!$B$3:$B$1315, "&lt;=" &amp; DL$1, DataRegularSeason20242025!$E$3:$E$1315, $A55)</f>
        <v>10</v>
      </c>
      <c r="DM55">
        <f>SUMIFS(DataRegularSeason20242025!$AA$3:$AA$1315,DataRegularSeason20242025!$B$3:$B$1315, "&lt;=" &amp; DM$1, DataRegularSeason20242025!$D$3:$D$1315, $A55)+SUMIFS(DataRegularSeason20242025!$AB$3:$AB$1315,DataRegularSeason20242025!$B$3:$B$1315, "&lt;=" &amp; DM$1, DataRegularSeason20242025!$E$3:$E$1315, $A55)</f>
        <v>10</v>
      </c>
      <c r="DN55">
        <f>SUMIFS(DataRegularSeason20242025!$AA$3:$AA$1315,DataRegularSeason20242025!$B$3:$B$1315, "&lt;=" &amp; DN$1, DataRegularSeason20242025!$D$3:$D$1315, $A55)+SUMIFS(DataRegularSeason20242025!$AB$3:$AB$1315,DataRegularSeason20242025!$B$3:$B$1315, "&lt;=" &amp; DN$1, DataRegularSeason20242025!$E$3:$E$1315, $A55)</f>
        <v>10</v>
      </c>
      <c r="DO55">
        <f>SUMIFS(DataRegularSeason20242025!$AA$3:$AA$1315,DataRegularSeason20242025!$B$3:$B$1315, "&lt;=" &amp; DO$1, DataRegularSeason20242025!$D$3:$D$1315, $A55)+SUMIFS(DataRegularSeason20242025!$AB$3:$AB$1315,DataRegularSeason20242025!$B$3:$B$1315, "&lt;=" &amp; DO$1, DataRegularSeason20242025!$E$3:$E$1315, $A55)</f>
        <v>10</v>
      </c>
      <c r="DP55">
        <f>SUMIFS(DataRegularSeason20242025!$AA$3:$AA$1315,DataRegularSeason20242025!$B$3:$B$1315, "&lt;=" &amp; DP$1, DataRegularSeason20242025!$D$3:$D$1315, $A55)+SUMIFS(DataRegularSeason20242025!$AB$3:$AB$1315,DataRegularSeason20242025!$B$3:$B$1315, "&lt;=" &amp; DP$1, DataRegularSeason20242025!$E$3:$E$1315, $A55)</f>
        <v>10</v>
      </c>
      <c r="DQ55">
        <f>SUMIFS(DataRegularSeason20242025!$AA$3:$AA$1315,DataRegularSeason20242025!$B$3:$B$1315, "&lt;=" &amp; DQ$1, DataRegularSeason20242025!$D$3:$D$1315, $A55)+SUMIFS(DataRegularSeason20242025!$AB$3:$AB$1315,DataRegularSeason20242025!$B$3:$B$1315, "&lt;=" &amp; DQ$1, DataRegularSeason20242025!$E$3:$E$1315, $A55)</f>
        <v>10</v>
      </c>
      <c r="DR55">
        <f>SUMIFS(DataRegularSeason20242025!$AA$3:$AA$1315,DataRegularSeason20242025!$B$3:$B$1315, "&lt;=" &amp; DR$1, DataRegularSeason20242025!$D$3:$D$1315, $A55)+SUMIFS(DataRegularSeason20242025!$AB$3:$AB$1315,DataRegularSeason20242025!$B$3:$B$1315, "&lt;=" &amp; DR$1, DataRegularSeason20242025!$E$3:$E$1315, $A55)</f>
        <v>10</v>
      </c>
      <c r="DS55">
        <f>SUMIFS(DataRegularSeason20242025!$AA$3:$AA$1315,DataRegularSeason20242025!$B$3:$B$1315, "&lt;=" &amp; DS$1, DataRegularSeason20242025!$D$3:$D$1315, $A55)+SUMIFS(DataRegularSeason20242025!$AB$3:$AB$1315,DataRegularSeason20242025!$B$3:$B$1315, "&lt;=" &amp; DS$1, DataRegularSeason20242025!$E$3:$E$1315, $A55)</f>
        <v>10</v>
      </c>
      <c r="DT55">
        <f>SUMIFS(DataRegularSeason20242025!$AA$3:$AA$1315,DataRegularSeason20242025!$B$3:$B$1315, "&lt;=" &amp; DT$1, DataRegularSeason20242025!$D$3:$D$1315, $A55)+SUMIFS(DataRegularSeason20242025!$AB$3:$AB$1315,DataRegularSeason20242025!$B$3:$B$1315, "&lt;=" &amp; DT$1, DataRegularSeason20242025!$E$3:$E$1315, $A55)</f>
        <v>10</v>
      </c>
      <c r="DU55">
        <f>SUMIFS(DataRegularSeason20242025!$AA$3:$AA$1315,DataRegularSeason20242025!$B$3:$B$1315, "&lt;=" &amp; DU$1, DataRegularSeason20242025!$D$3:$D$1315, $A55)+SUMIFS(DataRegularSeason20242025!$AB$3:$AB$1315,DataRegularSeason20242025!$B$3:$B$1315, "&lt;=" &amp; DU$1, DataRegularSeason20242025!$E$3:$E$1315, $A55)</f>
        <v>10</v>
      </c>
      <c r="DV55">
        <f>SUMIFS(DataRegularSeason20242025!$AA$3:$AA$1315,DataRegularSeason20242025!$B$3:$B$1315, "&lt;=" &amp; DV$1, DataRegularSeason20242025!$D$3:$D$1315, $A55)+SUMIFS(DataRegularSeason20242025!$AB$3:$AB$1315,DataRegularSeason20242025!$B$3:$B$1315, "&lt;=" &amp; DV$1, DataRegularSeason20242025!$E$3:$E$1315, $A55)</f>
        <v>10</v>
      </c>
      <c r="DW55">
        <f>SUMIFS(DataRegularSeason20242025!$AA$3:$AA$1315,DataRegularSeason20242025!$B$3:$B$1315, "&lt;=" &amp; DW$1, DataRegularSeason20242025!$D$3:$D$1315, $A55)+SUMIFS(DataRegularSeason20242025!$AB$3:$AB$1315,DataRegularSeason20242025!$B$3:$B$1315, "&lt;=" &amp; DW$1, DataRegularSeason20242025!$E$3:$E$1315, $A55)</f>
        <v>10</v>
      </c>
      <c r="DX55">
        <f>SUMIFS(DataRegularSeason20242025!$AA$3:$AA$1315,DataRegularSeason20242025!$B$3:$B$1315, "&lt;=" &amp; DX$1, DataRegularSeason20242025!$D$3:$D$1315, $A55)+SUMIFS(DataRegularSeason20242025!$AB$3:$AB$1315,DataRegularSeason20242025!$B$3:$B$1315, "&lt;=" &amp; DX$1, DataRegularSeason20242025!$E$3:$E$1315, $A55)</f>
        <v>10</v>
      </c>
      <c r="DY55">
        <f>SUMIFS(DataRegularSeason20242025!$AA$3:$AA$1315,DataRegularSeason20242025!$B$3:$B$1315, "&lt;=" &amp; DY$1, DataRegularSeason20242025!$D$3:$D$1315, $A55)+SUMIFS(DataRegularSeason20242025!$AB$3:$AB$1315,DataRegularSeason20242025!$B$3:$B$1315, "&lt;=" &amp; DY$1, DataRegularSeason20242025!$E$3:$E$1315, $A55)</f>
        <v>10</v>
      </c>
      <c r="DZ55">
        <f>SUMIFS(DataRegularSeason20242025!$AA$3:$AA$1315,DataRegularSeason20242025!$B$3:$B$1315, "&lt;=" &amp; DZ$1, DataRegularSeason20242025!$D$3:$D$1315, $A55)+SUMIFS(DataRegularSeason20242025!$AB$3:$AB$1315,DataRegularSeason20242025!$B$3:$B$1315, "&lt;=" &amp; DZ$1, DataRegularSeason20242025!$E$3:$E$1315, $A55)</f>
        <v>10</v>
      </c>
      <c r="EA55">
        <f>SUMIFS(DataRegularSeason20242025!$AA$3:$AA$1315,DataRegularSeason20242025!$B$3:$B$1315, "&lt;=" &amp; EA$1, DataRegularSeason20242025!$D$3:$D$1315, $A55)+SUMIFS(DataRegularSeason20242025!$AB$3:$AB$1315,DataRegularSeason20242025!$B$3:$B$1315, "&lt;=" &amp; EA$1, DataRegularSeason20242025!$E$3:$E$1315, $A55)</f>
        <v>10</v>
      </c>
      <c r="EB55">
        <f>SUMIFS(DataRegularSeason20242025!$AA$3:$AA$1315,DataRegularSeason20242025!$B$3:$B$1315, "&lt;=" &amp; EB$1, DataRegularSeason20242025!$D$3:$D$1315, $A55)+SUMIFS(DataRegularSeason20242025!$AB$3:$AB$1315,DataRegularSeason20242025!$B$3:$B$1315, "&lt;=" &amp; EB$1, DataRegularSeason20242025!$E$3:$E$1315, $A55)</f>
        <v>10</v>
      </c>
      <c r="EC55">
        <f>SUMIFS(DataRegularSeason20242025!$AA$3:$AA$1315,DataRegularSeason20242025!$B$3:$B$1315, "&lt;=" &amp; EC$1, DataRegularSeason20242025!$D$3:$D$1315, $A55)+SUMIFS(DataRegularSeason20242025!$AB$3:$AB$1315,DataRegularSeason20242025!$B$3:$B$1315, "&lt;=" &amp; EC$1, DataRegularSeason20242025!$E$3:$E$1315, $A55)</f>
        <v>10</v>
      </c>
      <c r="ED55">
        <f>SUMIFS(DataRegularSeason20242025!$AA$3:$AA$1315,DataRegularSeason20242025!$B$3:$B$1315, "&lt;=" &amp; ED$1, DataRegularSeason20242025!$D$3:$D$1315, $A55)+SUMIFS(DataRegularSeason20242025!$AB$3:$AB$1315,DataRegularSeason20242025!$B$3:$B$1315, "&lt;=" &amp; ED$1, DataRegularSeason20242025!$E$3:$E$1315, $A55)</f>
        <v>10</v>
      </c>
      <c r="EE55">
        <f>SUMIFS(DataRegularSeason20242025!$AA$3:$AA$1315,DataRegularSeason20242025!$B$3:$B$1315, "&lt;=" &amp; EE$1, DataRegularSeason20242025!$D$3:$D$1315, $A55)+SUMIFS(DataRegularSeason20242025!$AB$3:$AB$1315,DataRegularSeason20242025!$B$3:$B$1315, "&lt;=" &amp; EE$1, DataRegularSeason20242025!$E$3:$E$1315, $A55)</f>
        <v>10</v>
      </c>
      <c r="EF55">
        <f>SUMIFS(DataRegularSeason20242025!$AA$3:$AA$1315,DataRegularSeason20242025!$B$3:$B$1315, "&lt;=" &amp; EF$1, DataRegularSeason20242025!$D$3:$D$1315, $A55)+SUMIFS(DataRegularSeason20242025!$AB$3:$AB$1315,DataRegularSeason20242025!$B$3:$B$1315, "&lt;=" &amp; EF$1, DataRegularSeason20242025!$E$3:$E$1315, $A55)</f>
        <v>10</v>
      </c>
      <c r="EG55">
        <f>SUMIFS(DataRegularSeason20242025!$AA$3:$AA$1315,DataRegularSeason20242025!$B$3:$B$1315, "&lt;=" &amp; EG$1, DataRegularSeason20242025!$D$3:$D$1315, $A55)+SUMIFS(DataRegularSeason20242025!$AB$3:$AB$1315,DataRegularSeason20242025!$B$3:$B$1315, "&lt;=" &amp; EG$1, DataRegularSeason20242025!$E$3:$E$1315, $A55)</f>
        <v>10</v>
      </c>
      <c r="EH55">
        <f>SUMIFS(DataRegularSeason20242025!$AA$3:$AA$1315,DataRegularSeason20242025!$B$3:$B$1315, "&lt;=" &amp; EH$1, DataRegularSeason20242025!$D$3:$D$1315, $A55)+SUMIFS(DataRegularSeason20242025!$AB$3:$AB$1315,DataRegularSeason20242025!$B$3:$B$1315, "&lt;=" &amp; EH$1, DataRegularSeason20242025!$E$3:$E$1315, $A55)</f>
        <v>10</v>
      </c>
      <c r="EI55">
        <f>SUMIFS(DataRegularSeason20242025!$AA$3:$AA$1315,DataRegularSeason20242025!$B$3:$B$1315, "&lt;=" &amp; EI$1, DataRegularSeason20242025!$D$3:$D$1315, $A55)+SUMIFS(DataRegularSeason20242025!$AB$3:$AB$1315,DataRegularSeason20242025!$B$3:$B$1315, "&lt;=" &amp; EI$1, DataRegularSeason20242025!$E$3:$E$1315, $A55)</f>
        <v>10</v>
      </c>
      <c r="EJ55">
        <f>SUMIFS(DataRegularSeason20242025!$AA$3:$AA$1315,DataRegularSeason20242025!$B$3:$B$1315, "&lt;=" &amp; EJ$1, DataRegularSeason20242025!$D$3:$D$1315, $A55)+SUMIFS(DataRegularSeason20242025!$AB$3:$AB$1315,DataRegularSeason20242025!$B$3:$B$1315, "&lt;=" &amp; EJ$1, DataRegularSeason20242025!$E$3:$E$1315, $A55)</f>
        <v>10</v>
      </c>
      <c r="EK55">
        <f>SUMIFS(DataRegularSeason20242025!$AA$3:$AA$1315,DataRegularSeason20242025!$B$3:$B$1315, "&lt;=" &amp; EK$1, DataRegularSeason20242025!$D$3:$D$1315, $A55)+SUMIFS(DataRegularSeason20242025!$AB$3:$AB$1315,DataRegularSeason20242025!$B$3:$B$1315, "&lt;=" &amp; EK$1, DataRegularSeason20242025!$E$3:$E$1315, $A55)</f>
        <v>10</v>
      </c>
      <c r="EL55">
        <f>SUMIFS(DataRegularSeason20242025!$AA$3:$AA$1315,DataRegularSeason20242025!$B$3:$B$1315, "&lt;=" &amp; EL$1, DataRegularSeason20242025!$D$3:$D$1315, $A55)+SUMIFS(DataRegularSeason20242025!$AB$3:$AB$1315,DataRegularSeason20242025!$B$3:$B$1315, "&lt;=" &amp; EL$1, DataRegularSeason20242025!$E$3:$E$1315, $A55)</f>
        <v>10</v>
      </c>
      <c r="EM55">
        <f>SUMIFS(DataRegularSeason20242025!$AA$3:$AA$1315,DataRegularSeason20242025!$B$3:$B$1315, "&lt;=" &amp; EM$1, DataRegularSeason20242025!$D$3:$D$1315, $A55)+SUMIFS(DataRegularSeason20242025!$AB$3:$AB$1315,DataRegularSeason20242025!$B$3:$B$1315, "&lt;=" &amp; EM$1, DataRegularSeason20242025!$E$3:$E$1315, $A55)</f>
        <v>10</v>
      </c>
      <c r="EN55">
        <f>SUMIFS(DataRegularSeason20242025!$AA$3:$AA$1315,DataRegularSeason20242025!$B$3:$B$1315, "&lt;=" &amp; EN$1, DataRegularSeason20242025!$D$3:$D$1315, $A55)+SUMIFS(DataRegularSeason20242025!$AB$3:$AB$1315,DataRegularSeason20242025!$B$3:$B$1315, "&lt;=" &amp; EN$1, DataRegularSeason20242025!$E$3:$E$1315, $A55)</f>
        <v>10</v>
      </c>
      <c r="EO55">
        <f>SUMIFS(DataRegularSeason20242025!$AA$3:$AA$1315,DataRegularSeason20242025!$B$3:$B$1315, "&lt;=" &amp; EO$1, DataRegularSeason20242025!$D$3:$D$1315, $A55)+SUMIFS(DataRegularSeason20242025!$AB$3:$AB$1315,DataRegularSeason20242025!$B$3:$B$1315, "&lt;=" &amp; EO$1, DataRegularSeason20242025!$E$3:$E$1315, $A55)</f>
        <v>10</v>
      </c>
      <c r="EP55">
        <f>SUMIFS(DataRegularSeason20242025!$AA$3:$AA$1315,DataRegularSeason20242025!$B$3:$B$1315, "&lt;=" &amp; EP$1, DataRegularSeason20242025!$D$3:$D$1315, $A55)+SUMIFS(DataRegularSeason20242025!$AB$3:$AB$1315,DataRegularSeason20242025!$B$3:$B$1315, "&lt;=" &amp; EP$1, DataRegularSeason20242025!$E$3:$E$1315, $A55)</f>
        <v>10</v>
      </c>
      <c r="EQ55">
        <f>SUMIFS(DataRegularSeason20242025!$AA$3:$AA$1315,DataRegularSeason20242025!$B$3:$B$1315, "&lt;=" &amp; EQ$1, DataRegularSeason20242025!$D$3:$D$1315, $A55)+SUMIFS(DataRegularSeason20242025!$AB$3:$AB$1315,DataRegularSeason20242025!$B$3:$B$1315, "&lt;=" &amp; EQ$1, DataRegularSeason20242025!$E$3:$E$1315, $A55)</f>
        <v>10</v>
      </c>
      <c r="ER55">
        <f>SUMIFS(DataRegularSeason20242025!$AA$3:$AA$1315,DataRegularSeason20242025!$B$3:$B$1315, "&lt;=" &amp; ER$1, DataRegularSeason20242025!$D$3:$D$1315, $A55)+SUMIFS(DataRegularSeason20242025!$AB$3:$AB$1315,DataRegularSeason20242025!$B$3:$B$1315, "&lt;=" &amp; ER$1, DataRegularSeason20242025!$E$3:$E$1315, $A55)</f>
        <v>10</v>
      </c>
      <c r="ES55">
        <f>SUMIFS(DataRegularSeason20242025!$AA$3:$AA$1315,DataRegularSeason20242025!$B$3:$B$1315, "&lt;=" &amp; ES$1, DataRegularSeason20242025!$D$3:$D$1315, $A55)+SUMIFS(DataRegularSeason20242025!$AB$3:$AB$1315,DataRegularSeason20242025!$B$3:$B$1315, "&lt;=" &amp; ES$1, DataRegularSeason20242025!$E$3:$E$1315, $A55)</f>
        <v>10</v>
      </c>
      <c r="ET55">
        <f>SUMIFS(DataRegularSeason20242025!$AA$3:$AA$1315,DataRegularSeason20242025!$B$3:$B$1315, "&lt;=" &amp; ET$1, DataRegularSeason20242025!$D$3:$D$1315, $A55)+SUMIFS(DataRegularSeason20242025!$AB$3:$AB$1315,DataRegularSeason20242025!$B$3:$B$1315, "&lt;=" &amp; ET$1, DataRegularSeason20242025!$E$3:$E$1315, $A55)</f>
        <v>10</v>
      </c>
      <c r="EU55">
        <f>SUMIFS(DataRegularSeason20242025!$AA$3:$AA$1315,DataRegularSeason20242025!$B$3:$B$1315, "&lt;=" &amp; EU$1, DataRegularSeason20242025!$D$3:$D$1315, $A55)+SUMIFS(DataRegularSeason20242025!$AB$3:$AB$1315,DataRegularSeason20242025!$B$3:$B$1315, "&lt;=" &amp; EU$1, DataRegularSeason20242025!$E$3:$E$1315, $A55)</f>
        <v>10</v>
      </c>
      <c r="EV55">
        <f>SUMIFS(DataRegularSeason20242025!$AA$3:$AA$1315,DataRegularSeason20242025!$B$3:$B$1315, "&lt;=" &amp; EV$1, DataRegularSeason20242025!$D$3:$D$1315, $A55)+SUMIFS(DataRegularSeason20242025!$AB$3:$AB$1315,DataRegularSeason20242025!$B$3:$B$1315, "&lt;=" &amp; EV$1, DataRegularSeason20242025!$E$3:$E$1315, $A55)</f>
        <v>10</v>
      </c>
      <c r="EW55">
        <f>SUMIFS(DataRegularSeason20242025!$AA$3:$AA$1315,DataRegularSeason20242025!$B$3:$B$1315, "&lt;=" &amp; EW$1, DataRegularSeason20242025!$D$3:$D$1315, $A55)+SUMIFS(DataRegularSeason20242025!$AB$3:$AB$1315,DataRegularSeason20242025!$B$3:$B$1315, "&lt;=" &amp; EW$1, DataRegularSeason20242025!$E$3:$E$1315, $A55)</f>
        <v>10</v>
      </c>
      <c r="EX55">
        <f>SUMIFS(DataRegularSeason20242025!$AA$3:$AA$1315,DataRegularSeason20242025!$B$3:$B$1315, "&lt;=" &amp; EX$1, DataRegularSeason20242025!$D$3:$D$1315, $A55)+SUMIFS(DataRegularSeason20242025!$AB$3:$AB$1315,DataRegularSeason20242025!$B$3:$B$1315, "&lt;=" &amp; EX$1, DataRegularSeason20242025!$E$3:$E$1315, $A55)</f>
        <v>10</v>
      </c>
      <c r="EY55">
        <f>SUMIFS(DataRegularSeason20242025!$AA$3:$AA$1315,DataRegularSeason20242025!$B$3:$B$1315, "&lt;=" &amp; EY$1, DataRegularSeason20242025!$D$3:$D$1315, $A55)+SUMIFS(DataRegularSeason20242025!$AB$3:$AB$1315,DataRegularSeason20242025!$B$3:$B$1315, "&lt;=" &amp; EY$1, DataRegularSeason20242025!$E$3:$E$1315, $A55)</f>
        <v>10</v>
      </c>
      <c r="EZ55">
        <f>SUMIFS(DataRegularSeason20242025!$AA$3:$AA$1315,DataRegularSeason20242025!$B$3:$B$1315, "&lt;=" &amp; EZ$1, DataRegularSeason20242025!$D$3:$D$1315, $A55)+SUMIFS(DataRegularSeason20242025!$AB$3:$AB$1315,DataRegularSeason20242025!$B$3:$B$1315, "&lt;=" &amp; EZ$1, DataRegularSeason20242025!$E$3:$E$1315, $A55)</f>
        <v>10</v>
      </c>
      <c r="FA55">
        <f>SUMIFS(DataRegularSeason20242025!$AA$3:$AA$1315,DataRegularSeason20242025!$B$3:$B$1315, "&lt;=" &amp; FA$1, DataRegularSeason20242025!$D$3:$D$1315, $A55)+SUMIFS(DataRegularSeason20242025!$AB$3:$AB$1315,DataRegularSeason20242025!$B$3:$B$1315, "&lt;=" &amp; FA$1, DataRegularSeason20242025!$E$3:$E$1315, $A55)</f>
        <v>10</v>
      </c>
      <c r="FB55">
        <f>SUMIFS(DataRegularSeason20242025!$AA$3:$AA$1315,DataRegularSeason20242025!$B$3:$B$1315, "&lt;=" &amp; FB$1, DataRegularSeason20242025!$D$3:$D$1315, $A55)+SUMIFS(DataRegularSeason20242025!$AB$3:$AB$1315,DataRegularSeason20242025!$B$3:$B$1315, "&lt;=" &amp; FB$1, DataRegularSeason20242025!$E$3:$E$1315, $A55)</f>
        <v>10</v>
      </c>
      <c r="FC55">
        <f>SUMIFS(DataRegularSeason20242025!$AA$3:$AA$1315,DataRegularSeason20242025!$B$3:$B$1315, "&lt;=" &amp; FC$1, DataRegularSeason20242025!$D$3:$D$1315, $A55)+SUMIFS(DataRegularSeason20242025!$AB$3:$AB$1315,DataRegularSeason20242025!$B$3:$B$1315, "&lt;=" &amp; FC$1, DataRegularSeason20242025!$E$3:$E$1315, $A55)</f>
        <v>10</v>
      </c>
      <c r="FD55">
        <f>SUMIFS(DataRegularSeason20242025!$AA$3:$AA$1315,DataRegularSeason20242025!$B$3:$B$1315, "&lt;=" &amp; FD$1, DataRegularSeason20242025!$D$3:$D$1315, $A55)+SUMIFS(DataRegularSeason20242025!$AB$3:$AB$1315,DataRegularSeason20242025!$B$3:$B$1315, "&lt;=" &amp; FD$1, DataRegularSeason20242025!$E$3:$E$1315, $A55)</f>
        <v>10</v>
      </c>
      <c r="FE55">
        <f>SUMIFS(DataRegularSeason20242025!$AA$3:$AA$1315,DataRegularSeason20242025!$B$3:$B$1315, "&lt;=" &amp; FE$1, DataRegularSeason20242025!$D$3:$D$1315, $A55)+SUMIFS(DataRegularSeason20242025!$AB$3:$AB$1315,DataRegularSeason20242025!$B$3:$B$1315, "&lt;=" &amp; FE$1, DataRegularSeason20242025!$E$3:$E$1315, $A55)</f>
        <v>10</v>
      </c>
      <c r="FF55">
        <f>SUMIFS(DataRegularSeason20242025!$AA$3:$AA$1315,DataRegularSeason20242025!$B$3:$B$1315, "&lt;=" &amp; FF$1, DataRegularSeason20242025!$D$3:$D$1315, $A55)+SUMIFS(DataRegularSeason20242025!$AB$3:$AB$1315,DataRegularSeason20242025!$B$3:$B$1315, "&lt;=" &amp; FF$1, DataRegularSeason20242025!$E$3:$E$1315, $A55)</f>
        <v>10</v>
      </c>
      <c r="FG55">
        <f>SUMIFS(DataRegularSeason20242025!$AA$3:$AA$1315,DataRegularSeason20242025!$B$3:$B$1315, "&lt;=" &amp; FG$1, DataRegularSeason20242025!$D$3:$D$1315, $A55)+SUMIFS(DataRegularSeason20242025!$AB$3:$AB$1315,DataRegularSeason20242025!$B$3:$B$1315, "&lt;=" &amp; FG$1, DataRegularSeason20242025!$E$3:$E$1315, $A55)</f>
        <v>10</v>
      </c>
      <c r="FH55">
        <f>SUMIFS(DataRegularSeason20242025!$AA$3:$AA$1315,DataRegularSeason20242025!$B$3:$B$1315, "&lt;=" &amp; FH$1, DataRegularSeason20242025!$D$3:$D$1315, $A55)+SUMIFS(DataRegularSeason20242025!$AB$3:$AB$1315,DataRegularSeason20242025!$B$3:$B$1315, "&lt;=" &amp; FH$1, DataRegularSeason20242025!$E$3:$E$1315, $A55)</f>
        <v>10</v>
      </c>
      <c r="FI55">
        <f>SUMIFS(DataRegularSeason20242025!$AA$3:$AA$1315,DataRegularSeason20242025!$B$3:$B$1315, "&lt;=" &amp; FI$1, DataRegularSeason20242025!$D$3:$D$1315, $A55)+SUMIFS(DataRegularSeason20242025!$AB$3:$AB$1315,DataRegularSeason20242025!$B$3:$B$1315, "&lt;=" &amp; FI$1, DataRegularSeason20242025!$E$3:$E$1315, $A55)</f>
        <v>10</v>
      </c>
      <c r="FJ55">
        <f>SUMIFS(DataRegularSeason20242025!$AA$3:$AA$1315,DataRegularSeason20242025!$B$3:$B$1315, "&lt;=" &amp; FJ$1, DataRegularSeason20242025!$D$3:$D$1315, $A55)+SUMIFS(DataRegularSeason20242025!$AB$3:$AB$1315,DataRegularSeason20242025!$B$3:$B$1315, "&lt;=" &amp; FJ$1, DataRegularSeason20242025!$E$3:$E$1315, $A55)</f>
        <v>10</v>
      </c>
      <c r="FK55">
        <f>SUMIFS(DataRegularSeason20242025!$AA$3:$AA$1315,DataRegularSeason20242025!$B$3:$B$1315, "&lt;=" &amp; FK$1, DataRegularSeason20242025!$D$3:$D$1315, $A55)+SUMIFS(DataRegularSeason20242025!$AB$3:$AB$1315,DataRegularSeason20242025!$B$3:$B$1315, "&lt;=" &amp; FK$1, DataRegularSeason20242025!$E$3:$E$1315, $A55)</f>
        <v>10</v>
      </c>
      <c r="FL55">
        <f>SUMIFS(DataRegularSeason20242025!$AA$3:$AA$1315,DataRegularSeason20242025!$B$3:$B$1315, "&lt;=" &amp; FL$1, DataRegularSeason20242025!$D$3:$D$1315, $A55)+SUMIFS(DataRegularSeason20242025!$AB$3:$AB$1315,DataRegularSeason20242025!$B$3:$B$1315, "&lt;=" &amp; FL$1, DataRegularSeason20242025!$E$3:$E$1315, $A55)</f>
        <v>10</v>
      </c>
      <c r="FM55">
        <f>SUMIFS(DataRegularSeason20242025!$AA$3:$AA$1315,DataRegularSeason20242025!$B$3:$B$1315, "&lt;=" &amp; FM$1, DataRegularSeason20242025!$D$3:$D$1315, $A55)+SUMIFS(DataRegularSeason20242025!$AB$3:$AB$1315,DataRegularSeason20242025!$B$3:$B$1315, "&lt;=" &amp; FM$1, DataRegularSeason20242025!$E$3:$E$1315, $A55)</f>
        <v>10</v>
      </c>
      <c r="FN55">
        <f>SUMIFS(DataRegularSeason20242025!$AA$3:$AA$1315,DataRegularSeason20242025!$B$3:$B$1315, "&lt;=" &amp; FN$1, DataRegularSeason20242025!$D$3:$D$1315, $A55)+SUMIFS(DataRegularSeason20242025!$AB$3:$AB$1315,DataRegularSeason20242025!$B$3:$B$1315, "&lt;=" &amp; FN$1, DataRegularSeason20242025!$E$3:$E$1315, $A55)</f>
        <v>10</v>
      </c>
      <c r="FO55">
        <f>SUMIFS(DataRegularSeason20242025!$AA$3:$AA$1315,DataRegularSeason20242025!$B$3:$B$1315, "&lt;=" &amp; FO$1, DataRegularSeason20242025!$D$3:$D$1315, $A55)+SUMIFS(DataRegularSeason20242025!$AB$3:$AB$1315,DataRegularSeason20242025!$B$3:$B$1315, "&lt;=" &amp; FO$1, DataRegularSeason20242025!$E$3:$E$1315, $A55)</f>
        <v>10</v>
      </c>
      <c r="FP55">
        <f>SUMIFS(DataRegularSeason20242025!$AA$3:$AA$1315,DataRegularSeason20242025!$B$3:$B$1315, "&lt;=" &amp; FP$1, DataRegularSeason20242025!$D$3:$D$1315, $A55)+SUMIFS(DataRegularSeason20242025!$AB$3:$AB$1315,DataRegularSeason20242025!$B$3:$B$1315, "&lt;=" &amp; FP$1, DataRegularSeason20242025!$E$3:$E$1315, $A55)</f>
        <v>10</v>
      </c>
      <c r="FQ55">
        <f>SUMIFS(DataRegularSeason20242025!$AA$3:$AA$1315,DataRegularSeason20242025!$B$3:$B$1315, "&lt;=" &amp; FQ$1, DataRegularSeason20242025!$D$3:$D$1315, $A55)+SUMIFS(DataRegularSeason20242025!$AB$3:$AB$1315,DataRegularSeason20242025!$B$3:$B$1315, "&lt;=" &amp; FQ$1, DataRegularSeason20242025!$E$3:$E$1315, $A55)</f>
        <v>10</v>
      </c>
      <c r="FR55">
        <f>SUMIFS(DataRegularSeason20242025!$AA$3:$AA$1315,DataRegularSeason20242025!$B$3:$B$1315, "&lt;=" &amp; FR$1, DataRegularSeason20242025!$D$3:$D$1315, $A55)+SUMIFS(DataRegularSeason20242025!$AB$3:$AB$1315,DataRegularSeason20242025!$B$3:$B$1315, "&lt;=" &amp; FR$1, DataRegularSeason20242025!$E$3:$E$1315, $A55)</f>
        <v>10</v>
      </c>
      <c r="FS55">
        <f>SUMIFS(DataRegularSeason20242025!$AA$3:$AA$1315,DataRegularSeason20242025!$B$3:$B$1315, "&lt;=" &amp; FS$1, DataRegularSeason20242025!$D$3:$D$1315, $A55)+SUMIFS(DataRegularSeason20242025!$AB$3:$AB$1315,DataRegularSeason20242025!$B$3:$B$1315, "&lt;=" &amp; FS$1, DataRegularSeason20242025!$E$3:$E$1315, $A55)</f>
        <v>10</v>
      </c>
      <c r="FT55">
        <f>SUMIFS(DataRegularSeason20242025!$AA$3:$AA$1315,DataRegularSeason20242025!$B$3:$B$1315, "&lt;=" &amp; FT$1, DataRegularSeason20242025!$D$3:$D$1315, $A55)+SUMIFS(DataRegularSeason20242025!$AB$3:$AB$1315,DataRegularSeason20242025!$B$3:$B$1315, "&lt;=" &amp; FT$1, DataRegularSeason20242025!$E$3:$E$1315, $A55)</f>
        <v>10</v>
      </c>
      <c r="FU55">
        <f>SUMIFS(DataRegularSeason20242025!$AA$3:$AA$1315,DataRegularSeason20242025!$B$3:$B$1315, "&lt;=" &amp; FU$1, DataRegularSeason20242025!$D$3:$D$1315, $A55)+SUMIFS(DataRegularSeason20242025!$AB$3:$AB$1315,DataRegularSeason20242025!$B$3:$B$1315, "&lt;=" &amp; FU$1, DataRegularSeason20242025!$E$3:$E$1315, $A55)</f>
        <v>10</v>
      </c>
      <c r="FV55">
        <f>SUMIFS(DataRegularSeason20242025!$AA$3:$AA$1315,DataRegularSeason20242025!$B$3:$B$1315, "&lt;=" &amp; FV$1, DataRegularSeason20242025!$D$3:$D$1315, $A55)+SUMIFS(DataRegularSeason20242025!$AB$3:$AB$1315,DataRegularSeason20242025!$B$3:$B$1315, "&lt;=" &amp; FV$1, DataRegularSeason20242025!$E$3:$E$1315, $A55)</f>
        <v>10</v>
      </c>
      <c r="FW55">
        <f>SUMIFS(DataRegularSeason20242025!$AA$3:$AA$1315,DataRegularSeason20242025!$B$3:$B$1315, "&lt;=" &amp; FW$1, DataRegularSeason20242025!$D$3:$D$1315, $A55)+SUMIFS(DataRegularSeason20242025!$AB$3:$AB$1315,DataRegularSeason20242025!$B$3:$B$1315, "&lt;=" &amp; FW$1, DataRegularSeason20242025!$E$3:$E$1315, $A55)</f>
        <v>10</v>
      </c>
      <c r="FX55">
        <f>SUMIFS(DataRegularSeason20242025!$AA$3:$AA$1315,DataRegularSeason20242025!$B$3:$B$1315, "&lt;=" &amp; FX$1, DataRegularSeason20242025!$D$3:$D$1315, $A55)+SUMIFS(DataRegularSeason20242025!$AB$3:$AB$1315,DataRegularSeason20242025!$B$3:$B$1315, "&lt;=" &amp; FX$1, DataRegularSeason20242025!$E$3:$E$1315, $A55)</f>
        <v>10</v>
      </c>
      <c r="FY55">
        <f>SUMIFS(DataRegularSeason20242025!$AA$3:$AA$1315,DataRegularSeason20242025!$B$3:$B$1315, "&lt;=" &amp; FY$1, DataRegularSeason20242025!$D$3:$D$1315, $A55)+SUMIFS(DataRegularSeason20242025!$AB$3:$AB$1315,DataRegularSeason20242025!$B$3:$B$1315, "&lt;=" &amp; FY$1, DataRegularSeason20242025!$E$3:$E$1315, $A55)</f>
        <v>10</v>
      </c>
      <c r="FZ55">
        <f>SUMIFS(DataRegularSeason20242025!$AA$3:$AA$1315,DataRegularSeason20242025!$B$3:$B$1315, "&lt;=" &amp; FZ$1, DataRegularSeason20242025!$D$3:$D$1315, $A55)+SUMIFS(DataRegularSeason20242025!$AB$3:$AB$1315,DataRegularSeason20242025!$B$3:$B$1315, "&lt;=" &amp; FZ$1, DataRegularSeason20242025!$E$3:$E$1315, $A55)</f>
        <v>10</v>
      </c>
      <c r="GA55">
        <f>SUMIFS(DataRegularSeason20242025!$AA$3:$AA$1315,DataRegularSeason20242025!$B$3:$B$1315, "&lt;=" &amp; GA$1, DataRegularSeason20242025!$D$3:$D$1315, $A55)+SUMIFS(DataRegularSeason20242025!$AB$3:$AB$1315,DataRegularSeason20242025!$B$3:$B$1315, "&lt;=" &amp; GA$1, DataRegularSeason20242025!$E$3:$E$1315, $A55)</f>
        <v>10</v>
      </c>
      <c r="GB55">
        <f>SUMIFS(DataRegularSeason20242025!$AA$3:$AA$1315,DataRegularSeason20242025!$B$3:$B$1315, "&lt;=" &amp; GB$1, DataRegularSeason20242025!$D$3:$D$1315, $A55)+SUMIFS(DataRegularSeason20242025!$AB$3:$AB$1315,DataRegularSeason20242025!$B$3:$B$1315, "&lt;=" &amp; GB$1, DataRegularSeason20242025!$E$3:$E$1315, $A55)</f>
        <v>10</v>
      </c>
      <c r="GC55">
        <f>SUMIFS(DataRegularSeason20242025!$AA$3:$AA$1315,DataRegularSeason20242025!$B$3:$B$1315, "&lt;=" &amp; GC$1, DataRegularSeason20242025!$D$3:$D$1315, $A55)+SUMIFS(DataRegularSeason20242025!$AB$3:$AB$1315,DataRegularSeason20242025!$B$3:$B$1315, "&lt;=" &amp; GC$1, DataRegularSeason20242025!$E$3:$E$1315, $A55)</f>
        <v>10</v>
      </c>
      <c r="GD55">
        <f>SUMIFS(DataRegularSeason20242025!$AA$3:$AA$1315,DataRegularSeason20242025!$B$3:$B$1315, "&lt;=" &amp; GD$1, DataRegularSeason20242025!$D$3:$D$1315, $A55)+SUMIFS(DataRegularSeason20242025!$AB$3:$AB$1315,DataRegularSeason20242025!$B$3:$B$1315, "&lt;=" &amp; GD$1, DataRegularSeason20242025!$E$3:$E$1315, $A55)</f>
        <v>10</v>
      </c>
      <c r="GE55">
        <f>SUMIFS(DataRegularSeason20242025!$AA$3:$AA$1315,DataRegularSeason20242025!$B$3:$B$1315, "&lt;=" &amp; GE$1, DataRegularSeason20242025!$D$3:$D$1315, $A55)+SUMIFS(DataRegularSeason20242025!$AB$3:$AB$1315,DataRegularSeason20242025!$B$3:$B$1315, "&lt;=" &amp; GE$1, DataRegularSeason20242025!$E$3:$E$1315, $A55)</f>
        <v>10</v>
      </c>
      <c r="GF55">
        <f>SUMIFS(DataRegularSeason20242025!$AA$3:$AA$1315,DataRegularSeason20242025!$B$3:$B$1315, "&lt;=" &amp; GF$1, DataRegularSeason20242025!$D$3:$D$1315, $A55)+SUMIFS(DataRegularSeason20242025!$AB$3:$AB$1315,DataRegularSeason20242025!$B$3:$B$1315, "&lt;=" &amp; GF$1, DataRegularSeason20242025!$E$3:$E$1315, $A55)</f>
        <v>10</v>
      </c>
      <c r="GG55">
        <f>SUMIFS(DataRegularSeason20242025!$AA$3:$AA$1315,DataRegularSeason20242025!$B$3:$B$1315, "&lt;=" &amp; GG$1, DataRegularSeason20242025!$D$3:$D$1315, $A55)+SUMIFS(DataRegularSeason20242025!$AB$3:$AB$1315,DataRegularSeason20242025!$B$3:$B$1315, "&lt;=" &amp; GG$1, DataRegularSeason20242025!$E$3:$E$1315, $A55)</f>
        <v>10</v>
      </c>
      <c r="GH55">
        <f>SUMIFS(DataRegularSeason20242025!$AA$3:$AA$1315,DataRegularSeason20242025!$B$3:$B$1315, "&lt;=" &amp; GH$1, DataRegularSeason20242025!$D$3:$D$1315, $A55)+SUMIFS(DataRegularSeason20242025!$AB$3:$AB$1315,DataRegularSeason20242025!$B$3:$B$1315, "&lt;=" &amp; GH$1, DataRegularSeason20242025!$E$3:$E$1315, $A55)</f>
        <v>10</v>
      </c>
      <c r="GI55">
        <f>SUMIFS(DataRegularSeason20242025!$AA$3:$AA$1315,DataRegularSeason20242025!$B$3:$B$1315, "&lt;=" &amp; GI$1, DataRegularSeason20242025!$D$3:$D$1315, $A55)+SUMIFS(DataRegularSeason20242025!$AB$3:$AB$1315,DataRegularSeason20242025!$B$3:$B$1315, "&lt;=" &amp; GI$1, DataRegularSeason20242025!$E$3:$E$1315, $A55)</f>
        <v>10</v>
      </c>
      <c r="GJ55">
        <f>SUMIFS(DataRegularSeason20242025!$AA$3:$AA$1315,DataRegularSeason20242025!$B$3:$B$1315, "&lt;=" &amp; GJ$1, DataRegularSeason20242025!$D$3:$D$1315, $A55)+SUMIFS(DataRegularSeason20242025!$AB$3:$AB$1315,DataRegularSeason20242025!$B$3:$B$1315, "&lt;=" &amp; GJ$1, DataRegularSeason20242025!$E$3:$E$1315, $A55)</f>
        <v>10</v>
      </c>
      <c r="GK55">
        <f>SUMIFS(DataRegularSeason20242025!$AA$3:$AA$1315,DataRegularSeason20242025!$B$3:$B$1315, "&lt;=" &amp; GK$1, DataRegularSeason20242025!$D$3:$D$1315, $A55)+SUMIFS(DataRegularSeason20242025!$AB$3:$AB$1315,DataRegularSeason20242025!$B$3:$B$1315, "&lt;=" &amp; GK$1, DataRegularSeason20242025!$E$3:$E$1315, $A55)</f>
        <v>10</v>
      </c>
      <c r="GL55">
        <f>SUMIFS(DataRegularSeason20242025!$AA$3:$AA$1315,DataRegularSeason20242025!$B$3:$B$1315, "&lt;=" &amp; GL$1, DataRegularSeason20242025!$D$3:$D$1315, $A55)+SUMIFS(DataRegularSeason20242025!$AB$3:$AB$1315,DataRegularSeason20242025!$B$3:$B$1315, "&lt;=" &amp; GL$1, DataRegularSeason20242025!$E$3:$E$1315, $A55)</f>
        <v>10</v>
      </c>
      <c r="GM55">
        <f>SUMIFS(DataRegularSeason20242025!$AA$3:$AA$1315,DataRegularSeason20242025!$B$3:$B$1315, "&lt;=" &amp; GM$1, DataRegularSeason20242025!$D$3:$D$1315, $A55)+SUMIFS(DataRegularSeason20242025!$AB$3:$AB$1315,DataRegularSeason20242025!$B$3:$B$1315, "&lt;=" &amp; GM$1, DataRegularSeason20242025!$E$3:$E$1315, $A55)</f>
        <v>10</v>
      </c>
      <c r="GN55">
        <f>SUMIFS(DataRegularSeason20242025!$AA$3:$AA$1315,DataRegularSeason20242025!$B$3:$B$1315, "&lt;=" &amp; GN$1, DataRegularSeason20242025!$D$3:$D$1315, $A55)+SUMIFS(DataRegularSeason20242025!$AB$3:$AB$1315,DataRegularSeason20242025!$B$3:$B$1315, "&lt;=" &amp; GN$1, DataRegularSeason20242025!$E$3:$E$1315, $A55)</f>
        <v>10</v>
      </c>
      <c r="GO55">
        <f>SUMIFS(DataRegularSeason20242025!$AA$3:$AA$1315,DataRegularSeason20242025!$B$3:$B$1315, "&lt;=" &amp; GO$1, DataRegularSeason20242025!$D$3:$D$1315, $A55)+SUMIFS(DataRegularSeason20242025!$AB$3:$AB$1315,DataRegularSeason20242025!$B$3:$B$1315, "&lt;=" &amp; GO$1, DataRegularSeason20242025!$E$3:$E$1315, $A55)</f>
        <v>10</v>
      </c>
      <c r="GP55">
        <f>SUMIFS(DataRegularSeason20242025!$AA$3:$AA$1315,DataRegularSeason20242025!$B$3:$B$1315, "&lt;=" &amp; GP$1, DataRegularSeason20242025!$D$3:$D$1315, $A55)+SUMIFS(DataRegularSeason20242025!$AB$3:$AB$1315,DataRegularSeason20242025!$B$3:$B$1315, "&lt;=" &amp; GP$1, DataRegularSeason20242025!$E$3:$E$1315, $A55)</f>
        <v>10</v>
      </c>
      <c r="GQ55">
        <f>SUMIFS(DataRegularSeason20242025!$AA$3:$AA$1315,DataRegularSeason20242025!$B$3:$B$1315, "&lt;=" &amp; GQ$1, DataRegularSeason20242025!$D$3:$D$1315, $A55)+SUMIFS(DataRegularSeason20242025!$AB$3:$AB$1315,DataRegularSeason20242025!$B$3:$B$1315, "&lt;=" &amp; GQ$1, DataRegularSeason20242025!$E$3:$E$1315, $A55)</f>
        <v>10</v>
      </c>
      <c r="GR55">
        <f>SUMIFS(DataRegularSeason20242025!$AA$3:$AA$1315,DataRegularSeason20242025!$B$3:$B$1315, "&lt;=" &amp; GR$1, DataRegularSeason20242025!$D$3:$D$1315, $A55)+SUMIFS(DataRegularSeason20242025!$AB$3:$AB$1315,DataRegularSeason20242025!$B$3:$B$1315, "&lt;=" &amp; GR$1, DataRegularSeason20242025!$E$3:$E$1315, $A55)</f>
        <v>10</v>
      </c>
      <c r="GS55">
        <f>SUMIFS(DataRegularSeason20242025!$AA$3:$AA$1315,DataRegularSeason20242025!$B$3:$B$1315, "&lt;=" &amp; GS$1, DataRegularSeason20242025!$D$3:$D$1315, $A55)+SUMIFS(DataRegularSeason20242025!$AB$3:$AB$1315,DataRegularSeason20242025!$B$3:$B$1315, "&lt;=" &amp; GS$1, DataRegularSeason20242025!$E$3:$E$1315, $A55)</f>
        <v>10</v>
      </c>
      <c r="GT55">
        <f>SUMIFS(DataRegularSeason20242025!$AA$3:$AA$1315,DataRegularSeason20242025!$B$3:$B$1315, "&lt;=" &amp; GT$1, DataRegularSeason20242025!$D$3:$D$1315, $A55)+SUMIFS(DataRegularSeason20242025!$AB$3:$AB$1315,DataRegularSeason20242025!$B$3:$B$1315, "&lt;=" &amp; GT$1, DataRegularSeason20242025!$E$3:$E$1315, $A55)</f>
        <v>10</v>
      </c>
      <c r="GU55">
        <f>SUMIFS(DataRegularSeason20242025!$AA$3:$AA$1315,DataRegularSeason20242025!$B$3:$B$1315, "&lt;=" &amp; GU$1, DataRegularSeason20242025!$D$3:$D$1315, $A55)+SUMIFS(DataRegularSeason20242025!$AB$3:$AB$1315,DataRegularSeason20242025!$B$3:$B$1315, "&lt;=" &amp; GU$1, DataRegularSeason20242025!$E$3:$E$1315, $A55)</f>
        <v>10</v>
      </c>
    </row>
    <row r="56" spans="1:203" x14ac:dyDescent="0.25">
      <c r="A56" t="s">
        <v>33</v>
      </c>
      <c r="B56" t="s">
        <v>90</v>
      </c>
      <c r="C56" t="s">
        <v>88</v>
      </c>
      <c r="D56">
        <f>SUMIFS(DataRegularSeason20242025!$AA$3:$AA$1315,DataRegularSeason20242025!$B$3:$B$1315, "&lt;=" &amp; D$1, DataRegularSeason20242025!$D$3:$D$1315, $A56)+SUMIFS(DataRegularSeason20242025!$AB$3:$AB$1315,DataRegularSeason20242025!$B$3:$B$1315, "&lt;=" &amp; D$1, DataRegularSeason20242025!$E$3:$E$1315, $A56)</f>
        <v>0</v>
      </c>
      <c r="E56">
        <f>SUMIFS(DataRegularSeason20242025!$AA$3:$AA$1315,DataRegularSeason20242025!$B$3:$B$1315, "&lt;=" &amp; E$1, DataRegularSeason20242025!$D$3:$D$1315, $A56)+SUMIFS(DataRegularSeason20242025!$AB$3:$AB$1315,DataRegularSeason20242025!$B$3:$B$1315, "&lt;=" &amp; E$1, DataRegularSeason20242025!$E$3:$E$1315, $A56)</f>
        <v>0</v>
      </c>
      <c r="F56">
        <f>SUMIFS(DataRegularSeason20242025!$AA$3:$AA$1315,DataRegularSeason20242025!$B$3:$B$1315, "&lt;=" &amp; F$1, DataRegularSeason20242025!$D$3:$D$1315, $A56)+SUMIFS(DataRegularSeason20242025!$AB$3:$AB$1315,DataRegularSeason20242025!$B$3:$B$1315, "&lt;=" &amp; F$1, DataRegularSeason20242025!$E$3:$E$1315, $A56)</f>
        <v>0</v>
      </c>
      <c r="G56">
        <f>SUMIFS(DataRegularSeason20242025!$AA$3:$AA$1315,DataRegularSeason20242025!$B$3:$B$1315, "&lt;=" &amp; G$1, DataRegularSeason20242025!$D$3:$D$1315, $A56)+SUMIFS(DataRegularSeason20242025!$AB$3:$AB$1315,DataRegularSeason20242025!$B$3:$B$1315, "&lt;=" &amp; G$1, DataRegularSeason20242025!$E$3:$E$1315, $A56)</f>
        <v>0</v>
      </c>
      <c r="H56">
        <f>SUMIFS(DataRegularSeason20242025!$AA$3:$AA$1315,DataRegularSeason20242025!$B$3:$B$1315, "&lt;=" &amp; H$1, DataRegularSeason20242025!$D$3:$D$1315, $A56)+SUMIFS(DataRegularSeason20242025!$AB$3:$AB$1315,DataRegularSeason20242025!$B$3:$B$1315, "&lt;=" &amp; H$1, DataRegularSeason20242025!$E$3:$E$1315, $A56)</f>
        <v>0</v>
      </c>
      <c r="I56">
        <f>SUMIFS(DataRegularSeason20242025!$AA$3:$AA$1315,DataRegularSeason20242025!$B$3:$B$1315, "&lt;=" &amp; I$1, DataRegularSeason20242025!$D$3:$D$1315, $A56)+SUMIFS(DataRegularSeason20242025!$AB$3:$AB$1315,DataRegularSeason20242025!$B$3:$B$1315, "&lt;=" &amp; I$1, DataRegularSeason20242025!$E$3:$E$1315, $A56)</f>
        <v>0</v>
      </c>
      <c r="J56">
        <f>SUMIFS(DataRegularSeason20242025!$AA$3:$AA$1315,DataRegularSeason20242025!$B$3:$B$1315, "&lt;=" &amp; J$1, DataRegularSeason20242025!$D$3:$D$1315, $A56)+SUMIFS(DataRegularSeason20242025!$AB$3:$AB$1315,DataRegularSeason20242025!$B$3:$B$1315, "&lt;=" &amp; J$1, DataRegularSeason20242025!$E$3:$E$1315, $A56)</f>
        <v>2</v>
      </c>
      <c r="K56">
        <f>SUMIFS(DataRegularSeason20242025!$AA$3:$AA$1315,DataRegularSeason20242025!$B$3:$B$1315, "&lt;=" &amp; K$1, DataRegularSeason20242025!$D$3:$D$1315, $A56)+SUMIFS(DataRegularSeason20242025!$AB$3:$AB$1315,DataRegularSeason20242025!$B$3:$B$1315, "&lt;=" &amp; K$1, DataRegularSeason20242025!$E$3:$E$1315, $A56)</f>
        <v>2</v>
      </c>
      <c r="L56">
        <f>SUMIFS(DataRegularSeason20242025!$AA$3:$AA$1315,DataRegularSeason20242025!$B$3:$B$1315, "&lt;=" &amp; L$1, DataRegularSeason20242025!$D$3:$D$1315, $A56)+SUMIFS(DataRegularSeason20242025!$AB$3:$AB$1315,DataRegularSeason20242025!$B$3:$B$1315, "&lt;=" &amp; L$1, DataRegularSeason20242025!$E$3:$E$1315, $A56)</f>
        <v>4</v>
      </c>
      <c r="M56">
        <f>SUMIFS(DataRegularSeason20242025!$AA$3:$AA$1315,DataRegularSeason20242025!$B$3:$B$1315, "&lt;=" &amp; M$1, DataRegularSeason20242025!$D$3:$D$1315, $A56)+SUMIFS(DataRegularSeason20242025!$AB$3:$AB$1315,DataRegularSeason20242025!$B$3:$B$1315, "&lt;=" &amp; M$1, DataRegularSeason20242025!$E$3:$E$1315, $A56)</f>
        <v>4</v>
      </c>
      <c r="N56">
        <f>SUMIFS(DataRegularSeason20242025!$AA$3:$AA$1315,DataRegularSeason20242025!$B$3:$B$1315, "&lt;=" &amp; N$1, DataRegularSeason20242025!$D$3:$D$1315, $A56)+SUMIFS(DataRegularSeason20242025!$AB$3:$AB$1315,DataRegularSeason20242025!$B$3:$B$1315, "&lt;=" &amp; N$1, DataRegularSeason20242025!$E$3:$E$1315, $A56)</f>
        <v>4</v>
      </c>
      <c r="O56">
        <f>SUMIFS(DataRegularSeason20242025!$AA$3:$AA$1315,DataRegularSeason20242025!$B$3:$B$1315, "&lt;=" &amp; O$1, DataRegularSeason20242025!$D$3:$D$1315, $A56)+SUMIFS(DataRegularSeason20242025!$AB$3:$AB$1315,DataRegularSeason20242025!$B$3:$B$1315, "&lt;=" &amp; O$1, DataRegularSeason20242025!$E$3:$E$1315, $A56)</f>
        <v>6</v>
      </c>
      <c r="P56">
        <f>SUMIFS(DataRegularSeason20242025!$AA$3:$AA$1315,DataRegularSeason20242025!$B$3:$B$1315, "&lt;=" &amp; P$1, DataRegularSeason20242025!$D$3:$D$1315, $A56)+SUMIFS(DataRegularSeason20242025!$AB$3:$AB$1315,DataRegularSeason20242025!$B$3:$B$1315, "&lt;=" &amp; P$1, DataRegularSeason20242025!$E$3:$E$1315, $A56)</f>
        <v>6</v>
      </c>
      <c r="Q56">
        <f>SUMIFS(DataRegularSeason20242025!$AA$3:$AA$1315,DataRegularSeason20242025!$B$3:$B$1315, "&lt;=" &amp; Q$1, DataRegularSeason20242025!$D$3:$D$1315, $A56)+SUMIFS(DataRegularSeason20242025!$AB$3:$AB$1315,DataRegularSeason20242025!$B$3:$B$1315, "&lt;=" &amp; Q$1, DataRegularSeason20242025!$E$3:$E$1315, $A56)</f>
        <v>6</v>
      </c>
      <c r="R56">
        <f>SUMIFS(DataRegularSeason20242025!$AA$3:$AA$1315,DataRegularSeason20242025!$B$3:$B$1315, "&lt;=" &amp; R$1, DataRegularSeason20242025!$D$3:$D$1315, $A56)+SUMIFS(DataRegularSeason20242025!$AB$3:$AB$1315,DataRegularSeason20242025!$B$3:$B$1315, "&lt;=" &amp; R$1, DataRegularSeason20242025!$E$3:$E$1315, $A56)</f>
        <v>6</v>
      </c>
      <c r="S56">
        <f>SUMIFS(DataRegularSeason20242025!$AA$3:$AA$1315,DataRegularSeason20242025!$B$3:$B$1315, "&lt;=" &amp; S$1, DataRegularSeason20242025!$D$3:$D$1315, $A56)+SUMIFS(DataRegularSeason20242025!$AB$3:$AB$1315,DataRegularSeason20242025!$B$3:$B$1315, "&lt;=" &amp; S$1, DataRegularSeason20242025!$E$3:$E$1315, $A56)</f>
        <v>6</v>
      </c>
      <c r="T56">
        <f>SUMIFS(DataRegularSeason20242025!$AA$3:$AA$1315,DataRegularSeason20242025!$B$3:$B$1315, "&lt;=" &amp; T$1, DataRegularSeason20242025!$D$3:$D$1315, $A56)+SUMIFS(DataRegularSeason20242025!$AB$3:$AB$1315,DataRegularSeason20242025!$B$3:$B$1315, "&lt;=" &amp; T$1, DataRegularSeason20242025!$E$3:$E$1315, $A56)</f>
        <v>6</v>
      </c>
      <c r="U56">
        <f>SUMIFS(DataRegularSeason20242025!$AA$3:$AA$1315,DataRegularSeason20242025!$B$3:$B$1315, "&lt;=" &amp; U$1, DataRegularSeason20242025!$D$3:$D$1315, $A56)+SUMIFS(DataRegularSeason20242025!$AB$3:$AB$1315,DataRegularSeason20242025!$B$3:$B$1315, "&lt;=" &amp; U$1, DataRegularSeason20242025!$E$3:$E$1315, $A56)</f>
        <v>6</v>
      </c>
      <c r="V56">
        <f>SUMIFS(DataRegularSeason20242025!$AA$3:$AA$1315,DataRegularSeason20242025!$B$3:$B$1315, "&lt;=" &amp; V$1, DataRegularSeason20242025!$D$3:$D$1315, $A56)+SUMIFS(DataRegularSeason20242025!$AB$3:$AB$1315,DataRegularSeason20242025!$B$3:$B$1315, "&lt;=" &amp; V$1, DataRegularSeason20242025!$E$3:$E$1315, $A56)</f>
        <v>6</v>
      </c>
      <c r="W56">
        <f>SUMIFS(DataRegularSeason20242025!$AA$3:$AA$1315,DataRegularSeason20242025!$B$3:$B$1315, "&lt;=" &amp; W$1, DataRegularSeason20242025!$D$3:$D$1315, $A56)+SUMIFS(DataRegularSeason20242025!$AB$3:$AB$1315,DataRegularSeason20242025!$B$3:$B$1315, "&lt;=" &amp; W$1, DataRegularSeason20242025!$E$3:$E$1315, $A56)</f>
        <v>6</v>
      </c>
      <c r="X56">
        <f>SUMIFS(DataRegularSeason20242025!$AA$3:$AA$1315,DataRegularSeason20242025!$B$3:$B$1315, "&lt;=" &amp; X$1, DataRegularSeason20242025!$D$3:$D$1315, $A56)+SUMIFS(DataRegularSeason20242025!$AB$3:$AB$1315,DataRegularSeason20242025!$B$3:$B$1315, "&lt;=" &amp; X$1, DataRegularSeason20242025!$E$3:$E$1315, $A56)</f>
        <v>6</v>
      </c>
      <c r="Y56">
        <f>SUMIFS(DataRegularSeason20242025!$AA$3:$AA$1315,DataRegularSeason20242025!$B$3:$B$1315, "&lt;=" &amp; Y$1, DataRegularSeason20242025!$D$3:$D$1315, $A56)+SUMIFS(DataRegularSeason20242025!$AB$3:$AB$1315,DataRegularSeason20242025!$B$3:$B$1315, "&lt;=" &amp; Y$1, DataRegularSeason20242025!$E$3:$E$1315, $A56)</f>
        <v>6</v>
      </c>
      <c r="Z56">
        <f>SUMIFS(DataRegularSeason20242025!$AA$3:$AA$1315,DataRegularSeason20242025!$B$3:$B$1315, "&lt;=" &amp; Z$1, DataRegularSeason20242025!$D$3:$D$1315, $A56)+SUMIFS(DataRegularSeason20242025!$AB$3:$AB$1315,DataRegularSeason20242025!$B$3:$B$1315, "&lt;=" &amp; Z$1, DataRegularSeason20242025!$E$3:$E$1315, $A56)</f>
        <v>6</v>
      </c>
      <c r="AA56">
        <f>SUMIFS(DataRegularSeason20242025!$AA$3:$AA$1315,DataRegularSeason20242025!$B$3:$B$1315, "&lt;=" &amp; AA$1, DataRegularSeason20242025!$D$3:$D$1315, $A56)+SUMIFS(DataRegularSeason20242025!$AB$3:$AB$1315,DataRegularSeason20242025!$B$3:$B$1315, "&lt;=" &amp; AA$1, DataRegularSeason20242025!$E$3:$E$1315, $A56)</f>
        <v>6</v>
      </c>
      <c r="AB56">
        <f>SUMIFS(DataRegularSeason20242025!$AA$3:$AA$1315,DataRegularSeason20242025!$B$3:$B$1315, "&lt;=" &amp; AB$1, DataRegularSeason20242025!$D$3:$D$1315, $A56)+SUMIFS(DataRegularSeason20242025!$AB$3:$AB$1315,DataRegularSeason20242025!$B$3:$B$1315, "&lt;=" &amp; AB$1, DataRegularSeason20242025!$E$3:$E$1315, $A56)</f>
        <v>6</v>
      </c>
      <c r="AC56">
        <f>SUMIFS(DataRegularSeason20242025!$AA$3:$AA$1315,DataRegularSeason20242025!$B$3:$B$1315, "&lt;=" &amp; AC$1, DataRegularSeason20242025!$D$3:$D$1315, $A56)+SUMIFS(DataRegularSeason20242025!$AB$3:$AB$1315,DataRegularSeason20242025!$B$3:$B$1315, "&lt;=" &amp; AC$1, DataRegularSeason20242025!$E$3:$E$1315, $A56)</f>
        <v>6</v>
      </c>
      <c r="AD56">
        <f>SUMIFS(DataRegularSeason20242025!$AA$3:$AA$1315,DataRegularSeason20242025!$B$3:$B$1315, "&lt;=" &amp; AD$1, DataRegularSeason20242025!$D$3:$D$1315, $A56)+SUMIFS(DataRegularSeason20242025!$AB$3:$AB$1315,DataRegularSeason20242025!$B$3:$B$1315, "&lt;=" &amp; AD$1, DataRegularSeason20242025!$E$3:$E$1315, $A56)</f>
        <v>6</v>
      </c>
      <c r="AE56">
        <f>SUMIFS(DataRegularSeason20242025!$AA$3:$AA$1315,DataRegularSeason20242025!$B$3:$B$1315, "&lt;=" &amp; AE$1, DataRegularSeason20242025!$D$3:$D$1315, $A56)+SUMIFS(DataRegularSeason20242025!$AB$3:$AB$1315,DataRegularSeason20242025!$B$3:$B$1315, "&lt;=" &amp; AE$1, DataRegularSeason20242025!$E$3:$E$1315, $A56)</f>
        <v>6</v>
      </c>
      <c r="AF56">
        <f>SUMIFS(DataRegularSeason20242025!$AA$3:$AA$1315,DataRegularSeason20242025!$B$3:$B$1315, "&lt;=" &amp; AF$1, DataRegularSeason20242025!$D$3:$D$1315, $A56)+SUMIFS(DataRegularSeason20242025!$AB$3:$AB$1315,DataRegularSeason20242025!$B$3:$B$1315, "&lt;=" &amp; AF$1, DataRegularSeason20242025!$E$3:$E$1315, $A56)</f>
        <v>6</v>
      </c>
      <c r="AG56">
        <f>SUMIFS(DataRegularSeason20242025!$AA$3:$AA$1315,DataRegularSeason20242025!$B$3:$B$1315, "&lt;=" &amp; AG$1, DataRegularSeason20242025!$D$3:$D$1315, $A56)+SUMIFS(DataRegularSeason20242025!$AB$3:$AB$1315,DataRegularSeason20242025!$B$3:$B$1315, "&lt;=" &amp; AG$1, DataRegularSeason20242025!$E$3:$E$1315, $A56)</f>
        <v>6</v>
      </c>
      <c r="AH56">
        <f>SUMIFS(DataRegularSeason20242025!$AA$3:$AA$1315,DataRegularSeason20242025!$B$3:$B$1315, "&lt;=" &amp; AH$1, DataRegularSeason20242025!$D$3:$D$1315, $A56)+SUMIFS(DataRegularSeason20242025!$AB$3:$AB$1315,DataRegularSeason20242025!$B$3:$B$1315, "&lt;=" &amp; AH$1, DataRegularSeason20242025!$E$3:$E$1315, $A56)</f>
        <v>6</v>
      </c>
      <c r="AI56">
        <f>SUMIFS(DataRegularSeason20242025!$AA$3:$AA$1315,DataRegularSeason20242025!$B$3:$B$1315, "&lt;=" &amp; AI$1, DataRegularSeason20242025!$D$3:$D$1315, $A56)+SUMIFS(DataRegularSeason20242025!$AB$3:$AB$1315,DataRegularSeason20242025!$B$3:$B$1315, "&lt;=" &amp; AI$1, DataRegularSeason20242025!$E$3:$E$1315, $A56)</f>
        <v>6</v>
      </c>
      <c r="AJ56">
        <f>SUMIFS(DataRegularSeason20242025!$AA$3:$AA$1315,DataRegularSeason20242025!$B$3:$B$1315, "&lt;=" &amp; AJ$1, DataRegularSeason20242025!$D$3:$D$1315, $A56)+SUMIFS(DataRegularSeason20242025!$AB$3:$AB$1315,DataRegularSeason20242025!$B$3:$B$1315, "&lt;=" &amp; AJ$1, DataRegularSeason20242025!$E$3:$E$1315, $A56)</f>
        <v>6</v>
      </c>
      <c r="AK56">
        <f>SUMIFS(DataRegularSeason20242025!$AA$3:$AA$1315,DataRegularSeason20242025!$B$3:$B$1315, "&lt;=" &amp; AK$1, DataRegularSeason20242025!$D$3:$D$1315, $A56)+SUMIFS(DataRegularSeason20242025!$AB$3:$AB$1315,DataRegularSeason20242025!$B$3:$B$1315, "&lt;=" &amp; AK$1, DataRegularSeason20242025!$E$3:$E$1315, $A56)</f>
        <v>6</v>
      </c>
      <c r="AL56">
        <f>SUMIFS(DataRegularSeason20242025!$AA$3:$AA$1315,DataRegularSeason20242025!$B$3:$B$1315, "&lt;=" &amp; AL$1, DataRegularSeason20242025!$D$3:$D$1315, $A56)+SUMIFS(DataRegularSeason20242025!$AB$3:$AB$1315,DataRegularSeason20242025!$B$3:$B$1315, "&lt;=" &amp; AL$1, DataRegularSeason20242025!$E$3:$E$1315, $A56)</f>
        <v>6</v>
      </c>
      <c r="AM56">
        <f>SUMIFS(DataRegularSeason20242025!$AA$3:$AA$1315,DataRegularSeason20242025!$B$3:$B$1315, "&lt;=" &amp; AM$1, DataRegularSeason20242025!$D$3:$D$1315, $A56)+SUMIFS(DataRegularSeason20242025!$AB$3:$AB$1315,DataRegularSeason20242025!$B$3:$B$1315, "&lt;=" &amp; AM$1, DataRegularSeason20242025!$E$3:$E$1315, $A56)</f>
        <v>6</v>
      </c>
      <c r="AN56">
        <f>SUMIFS(DataRegularSeason20242025!$AA$3:$AA$1315,DataRegularSeason20242025!$B$3:$B$1315, "&lt;=" &amp; AN$1, DataRegularSeason20242025!$D$3:$D$1315, $A56)+SUMIFS(DataRegularSeason20242025!$AB$3:$AB$1315,DataRegularSeason20242025!$B$3:$B$1315, "&lt;=" &amp; AN$1, DataRegularSeason20242025!$E$3:$E$1315, $A56)</f>
        <v>6</v>
      </c>
      <c r="AO56">
        <f>SUMIFS(DataRegularSeason20242025!$AA$3:$AA$1315,DataRegularSeason20242025!$B$3:$B$1315, "&lt;=" &amp; AO$1, DataRegularSeason20242025!$D$3:$D$1315, $A56)+SUMIFS(DataRegularSeason20242025!$AB$3:$AB$1315,DataRegularSeason20242025!$B$3:$B$1315, "&lt;=" &amp; AO$1, DataRegularSeason20242025!$E$3:$E$1315, $A56)</f>
        <v>6</v>
      </c>
      <c r="AP56">
        <f>SUMIFS(DataRegularSeason20242025!$AA$3:$AA$1315,DataRegularSeason20242025!$B$3:$B$1315, "&lt;=" &amp; AP$1, DataRegularSeason20242025!$D$3:$D$1315, $A56)+SUMIFS(DataRegularSeason20242025!$AB$3:$AB$1315,DataRegularSeason20242025!$B$3:$B$1315, "&lt;=" &amp; AP$1, DataRegularSeason20242025!$E$3:$E$1315, $A56)</f>
        <v>6</v>
      </c>
      <c r="AQ56">
        <f>SUMIFS(DataRegularSeason20242025!$AA$3:$AA$1315,DataRegularSeason20242025!$B$3:$B$1315, "&lt;=" &amp; AQ$1, DataRegularSeason20242025!$D$3:$D$1315, $A56)+SUMIFS(DataRegularSeason20242025!$AB$3:$AB$1315,DataRegularSeason20242025!$B$3:$B$1315, "&lt;=" &amp; AQ$1, DataRegularSeason20242025!$E$3:$E$1315, $A56)</f>
        <v>6</v>
      </c>
      <c r="AR56">
        <f>SUMIFS(DataRegularSeason20242025!$AA$3:$AA$1315,DataRegularSeason20242025!$B$3:$B$1315, "&lt;=" &amp; AR$1, DataRegularSeason20242025!$D$3:$D$1315, $A56)+SUMIFS(DataRegularSeason20242025!$AB$3:$AB$1315,DataRegularSeason20242025!$B$3:$B$1315, "&lt;=" &amp; AR$1, DataRegularSeason20242025!$E$3:$E$1315, $A56)</f>
        <v>6</v>
      </c>
      <c r="AS56">
        <f>SUMIFS(DataRegularSeason20242025!$AA$3:$AA$1315,DataRegularSeason20242025!$B$3:$B$1315, "&lt;=" &amp; AS$1, DataRegularSeason20242025!$D$3:$D$1315, $A56)+SUMIFS(DataRegularSeason20242025!$AB$3:$AB$1315,DataRegularSeason20242025!$B$3:$B$1315, "&lt;=" &amp; AS$1, DataRegularSeason20242025!$E$3:$E$1315, $A56)</f>
        <v>6</v>
      </c>
      <c r="AT56">
        <f>SUMIFS(DataRegularSeason20242025!$AA$3:$AA$1315,DataRegularSeason20242025!$B$3:$B$1315, "&lt;=" &amp; AT$1, DataRegularSeason20242025!$D$3:$D$1315, $A56)+SUMIFS(DataRegularSeason20242025!$AB$3:$AB$1315,DataRegularSeason20242025!$B$3:$B$1315, "&lt;=" &amp; AT$1, DataRegularSeason20242025!$E$3:$E$1315, $A56)</f>
        <v>6</v>
      </c>
      <c r="AU56">
        <f>SUMIFS(DataRegularSeason20242025!$AA$3:$AA$1315,DataRegularSeason20242025!$B$3:$B$1315, "&lt;=" &amp; AU$1, DataRegularSeason20242025!$D$3:$D$1315, $A56)+SUMIFS(DataRegularSeason20242025!$AB$3:$AB$1315,DataRegularSeason20242025!$B$3:$B$1315, "&lt;=" &amp; AU$1, DataRegularSeason20242025!$E$3:$E$1315, $A56)</f>
        <v>6</v>
      </c>
      <c r="AV56">
        <f>SUMIFS(DataRegularSeason20242025!$AA$3:$AA$1315,DataRegularSeason20242025!$B$3:$B$1315, "&lt;=" &amp; AV$1, DataRegularSeason20242025!$D$3:$D$1315, $A56)+SUMIFS(DataRegularSeason20242025!$AB$3:$AB$1315,DataRegularSeason20242025!$B$3:$B$1315, "&lt;=" &amp; AV$1, DataRegularSeason20242025!$E$3:$E$1315, $A56)</f>
        <v>6</v>
      </c>
      <c r="AW56">
        <f>SUMIFS(DataRegularSeason20242025!$AA$3:$AA$1315,DataRegularSeason20242025!$B$3:$B$1315, "&lt;=" &amp; AW$1, DataRegularSeason20242025!$D$3:$D$1315, $A56)+SUMIFS(DataRegularSeason20242025!$AB$3:$AB$1315,DataRegularSeason20242025!$B$3:$B$1315, "&lt;=" &amp; AW$1, DataRegularSeason20242025!$E$3:$E$1315, $A56)</f>
        <v>6</v>
      </c>
      <c r="AX56">
        <f>SUMIFS(DataRegularSeason20242025!$AA$3:$AA$1315,DataRegularSeason20242025!$B$3:$B$1315, "&lt;=" &amp; AX$1, DataRegularSeason20242025!$D$3:$D$1315, $A56)+SUMIFS(DataRegularSeason20242025!$AB$3:$AB$1315,DataRegularSeason20242025!$B$3:$B$1315, "&lt;=" &amp; AX$1, DataRegularSeason20242025!$E$3:$E$1315, $A56)</f>
        <v>6</v>
      </c>
      <c r="AY56">
        <f>SUMIFS(DataRegularSeason20242025!$AA$3:$AA$1315,DataRegularSeason20242025!$B$3:$B$1315, "&lt;=" &amp; AY$1, DataRegularSeason20242025!$D$3:$D$1315, $A56)+SUMIFS(DataRegularSeason20242025!$AB$3:$AB$1315,DataRegularSeason20242025!$B$3:$B$1315, "&lt;=" &amp; AY$1, DataRegularSeason20242025!$E$3:$E$1315, $A56)</f>
        <v>6</v>
      </c>
      <c r="AZ56">
        <f>SUMIFS(DataRegularSeason20242025!$AA$3:$AA$1315,DataRegularSeason20242025!$B$3:$B$1315, "&lt;=" &amp; AZ$1, DataRegularSeason20242025!$D$3:$D$1315, $A56)+SUMIFS(DataRegularSeason20242025!$AB$3:$AB$1315,DataRegularSeason20242025!$B$3:$B$1315, "&lt;=" &amp; AZ$1, DataRegularSeason20242025!$E$3:$E$1315, $A56)</f>
        <v>6</v>
      </c>
      <c r="BA56">
        <f>SUMIFS(DataRegularSeason20242025!$AA$3:$AA$1315,DataRegularSeason20242025!$B$3:$B$1315, "&lt;=" &amp; BA$1, DataRegularSeason20242025!$D$3:$D$1315, $A56)+SUMIFS(DataRegularSeason20242025!$AB$3:$AB$1315,DataRegularSeason20242025!$B$3:$B$1315, "&lt;=" &amp; BA$1, DataRegularSeason20242025!$E$3:$E$1315, $A56)</f>
        <v>6</v>
      </c>
      <c r="BB56">
        <f>SUMIFS(DataRegularSeason20242025!$AA$3:$AA$1315,DataRegularSeason20242025!$B$3:$B$1315, "&lt;=" &amp; BB$1, DataRegularSeason20242025!$D$3:$D$1315, $A56)+SUMIFS(DataRegularSeason20242025!$AB$3:$AB$1315,DataRegularSeason20242025!$B$3:$B$1315, "&lt;=" &amp; BB$1, DataRegularSeason20242025!$E$3:$E$1315, $A56)</f>
        <v>6</v>
      </c>
      <c r="BC56">
        <f>SUMIFS(DataRegularSeason20242025!$AA$3:$AA$1315,DataRegularSeason20242025!$B$3:$B$1315, "&lt;=" &amp; BC$1, DataRegularSeason20242025!$D$3:$D$1315, $A56)+SUMIFS(DataRegularSeason20242025!$AB$3:$AB$1315,DataRegularSeason20242025!$B$3:$B$1315, "&lt;=" &amp; BC$1, DataRegularSeason20242025!$E$3:$E$1315, $A56)</f>
        <v>6</v>
      </c>
      <c r="BD56">
        <f>SUMIFS(DataRegularSeason20242025!$AA$3:$AA$1315,DataRegularSeason20242025!$B$3:$B$1315, "&lt;=" &amp; BD$1, DataRegularSeason20242025!$D$3:$D$1315, $A56)+SUMIFS(DataRegularSeason20242025!$AB$3:$AB$1315,DataRegularSeason20242025!$B$3:$B$1315, "&lt;=" &amp; BD$1, DataRegularSeason20242025!$E$3:$E$1315, $A56)</f>
        <v>6</v>
      </c>
      <c r="BE56">
        <f>SUMIFS(DataRegularSeason20242025!$AA$3:$AA$1315,DataRegularSeason20242025!$B$3:$B$1315, "&lt;=" &amp; BE$1, DataRegularSeason20242025!$D$3:$D$1315, $A56)+SUMIFS(DataRegularSeason20242025!$AB$3:$AB$1315,DataRegularSeason20242025!$B$3:$B$1315, "&lt;=" &amp; BE$1, DataRegularSeason20242025!$E$3:$E$1315, $A56)</f>
        <v>6</v>
      </c>
      <c r="BF56">
        <f>SUMIFS(DataRegularSeason20242025!$AA$3:$AA$1315,DataRegularSeason20242025!$B$3:$B$1315, "&lt;=" &amp; BF$1, DataRegularSeason20242025!$D$3:$D$1315, $A56)+SUMIFS(DataRegularSeason20242025!$AB$3:$AB$1315,DataRegularSeason20242025!$B$3:$B$1315, "&lt;=" &amp; BF$1, DataRegularSeason20242025!$E$3:$E$1315, $A56)</f>
        <v>6</v>
      </c>
      <c r="BG56">
        <f>SUMIFS(DataRegularSeason20242025!$AA$3:$AA$1315,DataRegularSeason20242025!$B$3:$B$1315, "&lt;=" &amp; BG$1, DataRegularSeason20242025!$D$3:$D$1315, $A56)+SUMIFS(DataRegularSeason20242025!$AB$3:$AB$1315,DataRegularSeason20242025!$B$3:$B$1315, "&lt;=" &amp; BG$1, DataRegularSeason20242025!$E$3:$E$1315, $A56)</f>
        <v>6</v>
      </c>
      <c r="BH56">
        <f>SUMIFS(DataRegularSeason20242025!$AA$3:$AA$1315,DataRegularSeason20242025!$B$3:$B$1315, "&lt;=" &amp; BH$1, DataRegularSeason20242025!$D$3:$D$1315, $A56)+SUMIFS(DataRegularSeason20242025!$AB$3:$AB$1315,DataRegularSeason20242025!$B$3:$B$1315, "&lt;=" &amp; BH$1, DataRegularSeason20242025!$E$3:$E$1315, $A56)</f>
        <v>6</v>
      </c>
      <c r="BI56">
        <f>SUMIFS(DataRegularSeason20242025!$AA$3:$AA$1315,DataRegularSeason20242025!$B$3:$B$1315, "&lt;=" &amp; BI$1, DataRegularSeason20242025!$D$3:$D$1315, $A56)+SUMIFS(DataRegularSeason20242025!$AB$3:$AB$1315,DataRegularSeason20242025!$B$3:$B$1315, "&lt;=" &amp; BI$1, DataRegularSeason20242025!$E$3:$E$1315, $A56)</f>
        <v>6</v>
      </c>
      <c r="BJ56">
        <f>SUMIFS(DataRegularSeason20242025!$AA$3:$AA$1315,DataRegularSeason20242025!$B$3:$B$1315, "&lt;=" &amp; BJ$1, DataRegularSeason20242025!$D$3:$D$1315, $A56)+SUMIFS(DataRegularSeason20242025!$AB$3:$AB$1315,DataRegularSeason20242025!$B$3:$B$1315, "&lt;=" &amp; BJ$1, DataRegularSeason20242025!$E$3:$E$1315, $A56)</f>
        <v>6</v>
      </c>
      <c r="BK56">
        <f>SUMIFS(DataRegularSeason20242025!$AA$3:$AA$1315,DataRegularSeason20242025!$B$3:$B$1315, "&lt;=" &amp; BK$1, DataRegularSeason20242025!$D$3:$D$1315, $A56)+SUMIFS(DataRegularSeason20242025!$AB$3:$AB$1315,DataRegularSeason20242025!$B$3:$B$1315, "&lt;=" &amp; BK$1, DataRegularSeason20242025!$E$3:$E$1315, $A56)</f>
        <v>6</v>
      </c>
      <c r="BL56">
        <f>SUMIFS(DataRegularSeason20242025!$AA$3:$AA$1315,DataRegularSeason20242025!$B$3:$B$1315, "&lt;=" &amp; BL$1, DataRegularSeason20242025!$D$3:$D$1315, $A56)+SUMIFS(DataRegularSeason20242025!$AB$3:$AB$1315,DataRegularSeason20242025!$B$3:$B$1315, "&lt;=" &amp; BL$1, DataRegularSeason20242025!$E$3:$E$1315, $A56)</f>
        <v>6</v>
      </c>
      <c r="BM56">
        <f>SUMIFS(DataRegularSeason20242025!$AA$3:$AA$1315,DataRegularSeason20242025!$B$3:$B$1315, "&lt;=" &amp; BM$1, DataRegularSeason20242025!$D$3:$D$1315, $A56)+SUMIFS(DataRegularSeason20242025!$AB$3:$AB$1315,DataRegularSeason20242025!$B$3:$B$1315, "&lt;=" &amp; BM$1, DataRegularSeason20242025!$E$3:$E$1315, $A56)</f>
        <v>6</v>
      </c>
      <c r="BN56">
        <f>SUMIFS(DataRegularSeason20242025!$AA$3:$AA$1315,DataRegularSeason20242025!$B$3:$B$1315, "&lt;=" &amp; BN$1, DataRegularSeason20242025!$D$3:$D$1315, $A56)+SUMIFS(DataRegularSeason20242025!$AB$3:$AB$1315,DataRegularSeason20242025!$B$3:$B$1315, "&lt;=" &amp; BN$1, DataRegularSeason20242025!$E$3:$E$1315, $A56)</f>
        <v>6</v>
      </c>
      <c r="BO56">
        <f>SUMIFS(DataRegularSeason20242025!$AA$3:$AA$1315,DataRegularSeason20242025!$B$3:$B$1315, "&lt;=" &amp; BO$1, DataRegularSeason20242025!$D$3:$D$1315, $A56)+SUMIFS(DataRegularSeason20242025!$AB$3:$AB$1315,DataRegularSeason20242025!$B$3:$B$1315, "&lt;=" &amp; BO$1, DataRegularSeason20242025!$E$3:$E$1315, $A56)</f>
        <v>6</v>
      </c>
      <c r="BP56">
        <f>SUMIFS(DataRegularSeason20242025!$AA$3:$AA$1315,DataRegularSeason20242025!$B$3:$B$1315, "&lt;=" &amp; BP$1, DataRegularSeason20242025!$D$3:$D$1315, $A56)+SUMIFS(DataRegularSeason20242025!$AB$3:$AB$1315,DataRegularSeason20242025!$B$3:$B$1315, "&lt;=" &amp; BP$1, DataRegularSeason20242025!$E$3:$E$1315, $A56)</f>
        <v>6</v>
      </c>
      <c r="BQ56">
        <f>SUMIFS(DataRegularSeason20242025!$AA$3:$AA$1315,DataRegularSeason20242025!$B$3:$B$1315, "&lt;=" &amp; BQ$1, DataRegularSeason20242025!$D$3:$D$1315, $A56)+SUMIFS(DataRegularSeason20242025!$AB$3:$AB$1315,DataRegularSeason20242025!$B$3:$B$1315, "&lt;=" &amp; BQ$1, DataRegularSeason20242025!$E$3:$E$1315, $A56)</f>
        <v>6</v>
      </c>
      <c r="BR56">
        <f>SUMIFS(DataRegularSeason20242025!$AA$3:$AA$1315,DataRegularSeason20242025!$B$3:$B$1315, "&lt;=" &amp; BR$1, DataRegularSeason20242025!$D$3:$D$1315, $A56)+SUMIFS(DataRegularSeason20242025!$AB$3:$AB$1315,DataRegularSeason20242025!$B$3:$B$1315, "&lt;=" &amp; BR$1, DataRegularSeason20242025!$E$3:$E$1315, $A56)</f>
        <v>6</v>
      </c>
      <c r="BS56">
        <f>SUMIFS(DataRegularSeason20242025!$AA$3:$AA$1315,DataRegularSeason20242025!$B$3:$B$1315, "&lt;=" &amp; BS$1, DataRegularSeason20242025!$D$3:$D$1315, $A56)+SUMIFS(DataRegularSeason20242025!$AB$3:$AB$1315,DataRegularSeason20242025!$B$3:$B$1315, "&lt;=" &amp; BS$1, DataRegularSeason20242025!$E$3:$E$1315, $A56)</f>
        <v>6</v>
      </c>
      <c r="BT56">
        <f>SUMIFS(DataRegularSeason20242025!$AA$3:$AA$1315,DataRegularSeason20242025!$B$3:$B$1315, "&lt;=" &amp; BT$1, DataRegularSeason20242025!$D$3:$D$1315, $A56)+SUMIFS(DataRegularSeason20242025!$AB$3:$AB$1315,DataRegularSeason20242025!$B$3:$B$1315, "&lt;=" &amp; BT$1, DataRegularSeason20242025!$E$3:$E$1315, $A56)</f>
        <v>6</v>
      </c>
      <c r="BU56">
        <f>SUMIFS(DataRegularSeason20242025!$AA$3:$AA$1315,DataRegularSeason20242025!$B$3:$B$1315, "&lt;=" &amp; BU$1, DataRegularSeason20242025!$D$3:$D$1315, $A56)+SUMIFS(DataRegularSeason20242025!$AB$3:$AB$1315,DataRegularSeason20242025!$B$3:$B$1315, "&lt;=" &amp; BU$1, DataRegularSeason20242025!$E$3:$E$1315, $A56)</f>
        <v>6</v>
      </c>
      <c r="BV56">
        <f>SUMIFS(DataRegularSeason20242025!$AA$3:$AA$1315,DataRegularSeason20242025!$B$3:$B$1315, "&lt;=" &amp; BV$1, DataRegularSeason20242025!$D$3:$D$1315, $A56)+SUMIFS(DataRegularSeason20242025!$AB$3:$AB$1315,DataRegularSeason20242025!$B$3:$B$1315, "&lt;=" &amp; BV$1, DataRegularSeason20242025!$E$3:$E$1315, $A56)</f>
        <v>6</v>
      </c>
      <c r="BW56">
        <f>SUMIFS(DataRegularSeason20242025!$AA$3:$AA$1315,DataRegularSeason20242025!$B$3:$B$1315, "&lt;=" &amp; BW$1, DataRegularSeason20242025!$D$3:$D$1315, $A56)+SUMIFS(DataRegularSeason20242025!$AB$3:$AB$1315,DataRegularSeason20242025!$B$3:$B$1315, "&lt;=" &amp; BW$1, DataRegularSeason20242025!$E$3:$E$1315, $A56)</f>
        <v>6</v>
      </c>
      <c r="BX56">
        <f>SUMIFS(DataRegularSeason20242025!$AA$3:$AA$1315,DataRegularSeason20242025!$B$3:$B$1315, "&lt;=" &amp; BX$1, DataRegularSeason20242025!$D$3:$D$1315, $A56)+SUMIFS(DataRegularSeason20242025!$AB$3:$AB$1315,DataRegularSeason20242025!$B$3:$B$1315, "&lt;=" &amp; BX$1, DataRegularSeason20242025!$E$3:$E$1315, $A56)</f>
        <v>6</v>
      </c>
      <c r="BY56">
        <f>SUMIFS(DataRegularSeason20242025!$AA$3:$AA$1315,DataRegularSeason20242025!$B$3:$B$1315, "&lt;=" &amp; BY$1, DataRegularSeason20242025!$D$3:$D$1315, $A56)+SUMIFS(DataRegularSeason20242025!$AB$3:$AB$1315,DataRegularSeason20242025!$B$3:$B$1315, "&lt;=" &amp; BY$1, DataRegularSeason20242025!$E$3:$E$1315, $A56)</f>
        <v>6</v>
      </c>
      <c r="BZ56">
        <f>SUMIFS(DataRegularSeason20242025!$AA$3:$AA$1315,DataRegularSeason20242025!$B$3:$B$1315, "&lt;=" &amp; BZ$1, DataRegularSeason20242025!$D$3:$D$1315, $A56)+SUMIFS(DataRegularSeason20242025!$AB$3:$AB$1315,DataRegularSeason20242025!$B$3:$B$1315, "&lt;=" &amp; BZ$1, DataRegularSeason20242025!$E$3:$E$1315, $A56)</f>
        <v>6</v>
      </c>
      <c r="CA56">
        <f>SUMIFS(DataRegularSeason20242025!$AA$3:$AA$1315,DataRegularSeason20242025!$B$3:$B$1315, "&lt;=" &amp; CA$1, DataRegularSeason20242025!$D$3:$D$1315, $A56)+SUMIFS(DataRegularSeason20242025!$AB$3:$AB$1315,DataRegularSeason20242025!$B$3:$B$1315, "&lt;=" &amp; CA$1, DataRegularSeason20242025!$E$3:$E$1315, $A56)</f>
        <v>6</v>
      </c>
      <c r="CB56">
        <f>SUMIFS(DataRegularSeason20242025!$AA$3:$AA$1315,DataRegularSeason20242025!$B$3:$B$1315, "&lt;=" &amp; CB$1, DataRegularSeason20242025!$D$3:$D$1315, $A56)+SUMIFS(DataRegularSeason20242025!$AB$3:$AB$1315,DataRegularSeason20242025!$B$3:$B$1315, "&lt;=" &amp; CB$1, DataRegularSeason20242025!$E$3:$E$1315, $A56)</f>
        <v>6</v>
      </c>
      <c r="CC56">
        <f>SUMIFS(DataRegularSeason20242025!$AA$3:$AA$1315,DataRegularSeason20242025!$B$3:$B$1315, "&lt;=" &amp; CC$1, DataRegularSeason20242025!$D$3:$D$1315, $A56)+SUMIFS(DataRegularSeason20242025!$AB$3:$AB$1315,DataRegularSeason20242025!$B$3:$B$1315, "&lt;=" &amp; CC$1, DataRegularSeason20242025!$E$3:$E$1315, $A56)</f>
        <v>6</v>
      </c>
      <c r="CD56">
        <f>SUMIFS(DataRegularSeason20242025!$AA$3:$AA$1315,DataRegularSeason20242025!$B$3:$B$1315, "&lt;=" &amp; CD$1, DataRegularSeason20242025!$D$3:$D$1315, $A56)+SUMIFS(DataRegularSeason20242025!$AB$3:$AB$1315,DataRegularSeason20242025!$B$3:$B$1315, "&lt;=" &amp; CD$1, DataRegularSeason20242025!$E$3:$E$1315, $A56)</f>
        <v>6</v>
      </c>
      <c r="CE56">
        <f>SUMIFS(DataRegularSeason20242025!$AA$3:$AA$1315,DataRegularSeason20242025!$B$3:$B$1315, "&lt;=" &amp; CE$1, DataRegularSeason20242025!$D$3:$D$1315, $A56)+SUMIFS(DataRegularSeason20242025!$AB$3:$AB$1315,DataRegularSeason20242025!$B$3:$B$1315, "&lt;=" &amp; CE$1, DataRegularSeason20242025!$E$3:$E$1315, $A56)</f>
        <v>6</v>
      </c>
      <c r="CF56">
        <f>SUMIFS(DataRegularSeason20242025!$AA$3:$AA$1315,DataRegularSeason20242025!$B$3:$B$1315, "&lt;=" &amp; CF$1, DataRegularSeason20242025!$D$3:$D$1315, $A56)+SUMIFS(DataRegularSeason20242025!$AB$3:$AB$1315,DataRegularSeason20242025!$B$3:$B$1315, "&lt;=" &amp; CF$1, DataRegularSeason20242025!$E$3:$E$1315, $A56)</f>
        <v>6</v>
      </c>
      <c r="CG56">
        <f>SUMIFS(DataRegularSeason20242025!$AA$3:$AA$1315,DataRegularSeason20242025!$B$3:$B$1315, "&lt;=" &amp; CG$1, DataRegularSeason20242025!$D$3:$D$1315, $A56)+SUMIFS(DataRegularSeason20242025!$AB$3:$AB$1315,DataRegularSeason20242025!$B$3:$B$1315, "&lt;=" &amp; CG$1, DataRegularSeason20242025!$E$3:$E$1315, $A56)</f>
        <v>6</v>
      </c>
      <c r="CH56">
        <f>SUMIFS(DataRegularSeason20242025!$AA$3:$AA$1315,DataRegularSeason20242025!$B$3:$B$1315, "&lt;=" &amp; CH$1, DataRegularSeason20242025!$D$3:$D$1315, $A56)+SUMIFS(DataRegularSeason20242025!$AB$3:$AB$1315,DataRegularSeason20242025!$B$3:$B$1315, "&lt;=" &amp; CH$1, DataRegularSeason20242025!$E$3:$E$1315, $A56)</f>
        <v>6</v>
      </c>
      <c r="CI56">
        <f>SUMIFS(DataRegularSeason20242025!$AA$3:$AA$1315,DataRegularSeason20242025!$B$3:$B$1315, "&lt;=" &amp; CI$1, DataRegularSeason20242025!$D$3:$D$1315, $A56)+SUMIFS(DataRegularSeason20242025!$AB$3:$AB$1315,DataRegularSeason20242025!$B$3:$B$1315, "&lt;=" &amp; CI$1, DataRegularSeason20242025!$E$3:$E$1315, $A56)</f>
        <v>6</v>
      </c>
      <c r="CJ56">
        <f>SUMIFS(DataRegularSeason20242025!$AA$3:$AA$1315,DataRegularSeason20242025!$B$3:$B$1315, "&lt;=" &amp; CJ$1, DataRegularSeason20242025!$D$3:$D$1315, $A56)+SUMIFS(DataRegularSeason20242025!$AB$3:$AB$1315,DataRegularSeason20242025!$B$3:$B$1315, "&lt;=" &amp; CJ$1, DataRegularSeason20242025!$E$3:$E$1315, $A56)</f>
        <v>6</v>
      </c>
      <c r="CK56">
        <f>SUMIFS(DataRegularSeason20242025!$AA$3:$AA$1315,DataRegularSeason20242025!$B$3:$B$1315, "&lt;=" &amp; CK$1, DataRegularSeason20242025!$D$3:$D$1315, $A56)+SUMIFS(DataRegularSeason20242025!$AB$3:$AB$1315,DataRegularSeason20242025!$B$3:$B$1315, "&lt;=" &amp; CK$1, DataRegularSeason20242025!$E$3:$E$1315, $A56)</f>
        <v>6</v>
      </c>
      <c r="CL56">
        <f>SUMIFS(DataRegularSeason20242025!$AA$3:$AA$1315,DataRegularSeason20242025!$B$3:$B$1315, "&lt;=" &amp; CL$1, DataRegularSeason20242025!$D$3:$D$1315, $A56)+SUMIFS(DataRegularSeason20242025!$AB$3:$AB$1315,DataRegularSeason20242025!$B$3:$B$1315, "&lt;=" &amp; CL$1, DataRegularSeason20242025!$E$3:$E$1315, $A56)</f>
        <v>6</v>
      </c>
      <c r="CM56">
        <f>SUMIFS(DataRegularSeason20242025!$AA$3:$AA$1315,DataRegularSeason20242025!$B$3:$B$1315, "&lt;=" &amp; CM$1, DataRegularSeason20242025!$D$3:$D$1315, $A56)+SUMIFS(DataRegularSeason20242025!$AB$3:$AB$1315,DataRegularSeason20242025!$B$3:$B$1315, "&lt;=" &amp; CM$1, DataRegularSeason20242025!$E$3:$E$1315, $A56)</f>
        <v>6</v>
      </c>
      <c r="CN56">
        <f>SUMIFS(DataRegularSeason20242025!$AA$3:$AA$1315,DataRegularSeason20242025!$B$3:$B$1315, "&lt;=" &amp; CN$1, DataRegularSeason20242025!$D$3:$D$1315, $A56)+SUMIFS(DataRegularSeason20242025!$AB$3:$AB$1315,DataRegularSeason20242025!$B$3:$B$1315, "&lt;=" &amp; CN$1, DataRegularSeason20242025!$E$3:$E$1315, $A56)</f>
        <v>6</v>
      </c>
      <c r="CO56">
        <f>SUMIFS(DataRegularSeason20242025!$AA$3:$AA$1315,DataRegularSeason20242025!$B$3:$B$1315, "&lt;=" &amp; CO$1, DataRegularSeason20242025!$D$3:$D$1315, $A56)+SUMIFS(DataRegularSeason20242025!$AB$3:$AB$1315,DataRegularSeason20242025!$B$3:$B$1315, "&lt;=" &amp; CO$1, DataRegularSeason20242025!$E$3:$E$1315, $A56)</f>
        <v>6</v>
      </c>
      <c r="CP56">
        <f>SUMIFS(DataRegularSeason20242025!$AA$3:$AA$1315,DataRegularSeason20242025!$B$3:$B$1315, "&lt;=" &amp; CP$1, DataRegularSeason20242025!$D$3:$D$1315, $A56)+SUMIFS(DataRegularSeason20242025!$AB$3:$AB$1315,DataRegularSeason20242025!$B$3:$B$1315, "&lt;=" &amp; CP$1, DataRegularSeason20242025!$E$3:$E$1315, $A56)</f>
        <v>6</v>
      </c>
      <c r="CQ56">
        <f>SUMIFS(DataRegularSeason20242025!$AA$3:$AA$1315,DataRegularSeason20242025!$B$3:$B$1315, "&lt;=" &amp; CQ$1, DataRegularSeason20242025!$D$3:$D$1315, $A56)+SUMIFS(DataRegularSeason20242025!$AB$3:$AB$1315,DataRegularSeason20242025!$B$3:$B$1315, "&lt;=" &amp; CQ$1, DataRegularSeason20242025!$E$3:$E$1315, $A56)</f>
        <v>6</v>
      </c>
      <c r="CR56">
        <f>SUMIFS(DataRegularSeason20242025!$AA$3:$AA$1315,DataRegularSeason20242025!$B$3:$B$1315, "&lt;=" &amp; CR$1, DataRegularSeason20242025!$D$3:$D$1315, $A56)+SUMIFS(DataRegularSeason20242025!$AB$3:$AB$1315,DataRegularSeason20242025!$B$3:$B$1315, "&lt;=" &amp; CR$1, DataRegularSeason20242025!$E$3:$E$1315, $A56)</f>
        <v>6</v>
      </c>
      <c r="CS56">
        <f>SUMIFS(DataRegularSeason20242025!$AA$3:$AA$1315,DataRegularSeason20242025!$B$3:$B$1315, "&lt;=" &amp; CS$1, DataRegularSeason20242025!$D$3:$D$1315, $A56)+SUMIFS(DataRegularSeason20242025!$AB$3:$AB$1315,DataRegularSeason20242025!$B$3:$B$1315, "&lt;=" &amp; CS$1, DataRegularSeason20242025!$E$3:$E$1315, $A56)</f>
        <v>6</v>
      </c>
      <c r="CT56">
        <f>SUMIFS(DataRegularSeason20242025!$AA$3:$AA$1315,DataRegularSeason20242025!$B$3:$B$1315, "&lt;=" &amp; CT$1, DataRegularSeason20242025!$D$3:$D$1315, $A56)+SUMIFS(DataRegularSeason20242025!$AB$3:$AB$1315,DataRegularSeason20242025!$B$3:$B$1315, "&lt;=" &amp; CT$1, DataRegularSeason20242025!$E$3:$E$1315, $A56)</f>
        <v>6</v>
      </c>
      <c r="CU56">
        <f>SUMIFS(DataRegularSeason20242025!$AA$3:$AA$1315,DataRegularSeason20242025!$B$3:$B$1315, "&lt;=" &amp; CU$1, DataRegularSeason20242025!$D$3:$D$1315, $A56)+SUMIFS(DataRegularSeason20242025!$AB$3:$AB$1315,DataRegularSeason20242025!$B$3:$B$1315, "&lt;=" &amp; CU$1, DataRegularSeason20242025!$E$3:$E$1315, $A56)</f>
        <v>6</v>
      </c>
      <c r="CV56">
        <f>SUMIFS(DataRegularSeason20242025!$AA$3:$AA$1315,DataRegularSeason20242025!$B$3:$B$1315, "&lt;=" &amp; CV$1, DataRegularSeason20242025!$D$3:$D$1315, $A56)+SUMIFS(DataRegularSeason20242025!$AB$3:$AB$1315,DataRegularSeason20242025!$B$3:$B$1315, "&lt;=" &amp; CV$1, DataRegularSeason20242025!$E$3:$E$1315, $A56)</f>
        <v>6</v>
      </c>
      <c r="CW56">
        <f>SUMIFS(DataRegularSeason20242025!$AA$3:$AA$1315,DataRegularSeason20242025!$B$3:$B$1315, "&lt;=" &amp; CW$1, DataRegularSeason20242025!$D$3:$D$1315, $A56)+SUMIFS(DataRegularSeason20242025!$AB$3:$AB$1315,DataRegularSeason20242025!$B$3:$B$1315, "&lt;=" &amp; CW$1, DataRegularSeason20242025!$E$3:$E$1315, $A56)</f>
        <v>6</v>
      </c>
      <c r="CX56">
        <f>SUMIFS(DataRegularSeason20242025!$AA$3:$AA$1315,DataRegularSeason20242025!$B$3:$B$1315, "&lt;=" &amp; CX$1, DataRegularSeason20242025!$D$3:$D$1315, $A56)+SUMIFS(DataRegularSeason20242025!$AB$3:$AB$1315,DataRegularSeason20242025!$B$3:$B$1315, "&lt;=" &amp; CX$1, DataRegularSeason20242025!$E$3:$E$1315, $A56)</f>
        <v>6</v>
      </c>
      <c r="CY56">
        <f>SUMIFS(DataRegularSeason20242025!$AA$3:$AA$1315,DataRegularSeason20242025!$B$3:$B$1315, "&lt;=" &amp; CY$1, DataRegularSeason20242025!$D$3:$D$1315, $A56)+SUMIFS(DataRegularSeason20242025!$AB$3:$AB$1315,DataRegularSeason20242025!$B$3:$B$1315, "&lt;=" &amp; CY$1, DataRegularSeason20242025!$E$3:$E$1315, $A56)</f>
        <v>6</v>
      </c>
      <c r="CZ56">
        <f>SUMIFS(DataRegularSeason20242025!$AA$3:$AA$1315,DataRegularSeason20242025!$B$3:$B$1315, "&lt;=" &amp; CZ$1, DataRegularSeason20242025!$D$3:$D$1315, $A56)+SUMIFS(DataRegularSeason20242025!$AB$3:$AB$1315,DataRegularSeason20242025!$B$3:$B$1315, "&lt;=" &amp; CZ$1, DataRegularSeason20242025!$E$3:$E$1315, $A56)</f>
        <v>6</v>
      </c>
      <c r="DA56">
        <f>SUMIFS(DataRegularSeason20242025!$AA$3:$AA$1315,DataRegularSeason20242025!$B$3:$B$1315, "&lt;=" &amp; DA$1, DataRegularSeason20242025!$D$3:$D$1315, $A56)+SUMIFS(DataRegularSeason20242025!$AB$3:$AB$1315,DataRegularSeason20242025!$B$3:$B$1315, "&lt;=" &amp; DA$1, DataRegularSeason20242025!$E$3:$E$1315, $A56)</f>
        <v>6</v>
      </c>
      <c r="DB56">
        <f>SUMIFS(DataRegularSeason20242025!$AA$3:$AA$1315,DataRegularSeason20242025!$B$3:$B$1315, "&lt;=" &amp; DB$1, DataRegularSeason20242025!$D$3:$D$1315, $A56)+SUMIFS(DataRegularSeason20242025!$AB$3:$AB$1315,DataRegularSeason20242025!$B$3:$B$1315, "&lt;=" &amp; DB$1, DataRegularSeason20242025!$E$3:$E$1315, $A56)</f>
        <v>6</v>
      </c>
      <c r="DC56">
        <f>SUMIFS(DataRegularSeason20242025!$AA$3:$AA$1315,DataRegularSeason20242025!$B$3:$B$1315, "&lt;=" &amp; DC$1, DataRegularSeason20242025!$D$3:$D$1315, $A56)+SUMIFS(DataRegularSeason20242025!$AB$3:$AB$1315,DataRegularSeason20242025!$B$3:$B$1315, "&lt;=" &amp; DC$1, DataRegularSeason20242025!$E$3:$E$1315, $A56)</f>
        <v>6</v>
      </c>
      <c r="DD56">
        <f>SUMIFS(DataRegularSeason20242025!$AA$3:$AA$1315,DataRegularSeason20242025!$B$3:$B$1315, "&lt;=" &amp; DD$1, DataRegularSeason20242025!$D$3:$D$1315, $A56)+SUMIFS(DataRegularSeason20242025!$AB$3:$AB$1315,DataRegularSeason20242025!$B$3:$B$1315, "&lt;=" &amp; DD$1, DataRegularSeason20242025!$E$3:$E$1315, $A56)</f>
        <v>6</v>
      </c>
      <c r="DE56">
        <f>SUMIFS(DataRegularSeason20242025!$AA$3:$AA$1315,DataRegularSeason20242025!$B$3:$B$1315, "&lt;=" &amp; DE$1, DataRegularSeason20242025!$D$3:$D$1315, $A56)+SUMIFS(DataRegularSeason20242025!$AB$3:$AB$1315,DataRegularSeason20242025!$B$3:$B$1315, "&lt;=" &amp; DE$1, DataRegularSeason20242025!$E$3:$E$1315, $A56)</f>
        <v>6</v>
      </c>
      <c r="DF56">
        <f>SUMIFS(DataRegularSeason20242025!$AA$3:$AA$1315,DataRegularSeason20242025!$B$3:$B$1315, "&lt;=" &amp; DF$1, DataRegularSeason20242025!$D$3:$D$1315, $A56)+SUMIFS(DataRegularSeason20242025!$AB$3:$AB$1315,DataRegularSeason20242025!$B$3:$B$1315, "&lt;=" &amp; DF$1, DataRegularSeason20242025!$E$3:$E$1315, $A56)</f>
        <v>6</v>
      </c>
      <c r="DG56">
        <f>SUMIFS(DataRegularSeason20242025!$AA$3:$AA$1315,DataRegularSeason20242025!$B$3:$B$1315, "&lt;=" &amp; DG$1, DataRegularSeason20242025!$D$3:$D$1315, $A56)+SUMIFS(DataRegularSeason20242025!$AB$3:$AB$1315,DataRegularSeason20242025!$B$3:$B$1315, "&lt;=" &amp; DG$1, DataRegularSeason20242025!$E$3:$E$1315, $A56)</f>
        <v>6</v>
      </c>
      <c r="DH56">
        <f>SUMIFS(DataRegularSeason20242025!$AA$3:$AA$1315,DataRegularSeason20242025!$B$3:$B$1315, "&lt;=" &amp; DH$1, DataRegularSeason20242025!$D$3:$D$1315, $A56)+SUMIFS(DataRegularSeason20242025!$AB$3:$AB$1315,DataRegularSeason20242025!$B$3:$B$1315, "&lt;=" &amp; DH$1, DataRegularSeason20242025!$E$3:$E$1315, $A56)</f>
        <v>6</v>
      </c>
      <c r="DI56">
        <f>SUMIFS(DataRegularSeason20242025!$AA$3:$AA$1315,DataRegularSeason20242025!$B$3:$B$1315, "&lt;=" &amp; DI$1, DataRegularSeason20242025!$D$3:$D$1315, $A56)+SUMIFS(DataRegularSeason20242025!$AB$3:$AB$1315,DataRegularSeason20242025!$B$3:$B$1315, "&lt;=" &amp; DI$1, DataRegularSeason20242025!$E$3:$E$1315, $A56)</f>
        <v>6</v>
      </c>
      <c r="DJ56">
        <f>SUMIFS(DataRegularSeason20242025!$AA$3:$AA$1315,DataRegularSeason20242025!$B$3:$B$1315, "&lt;=" &amp; DJ$1, DataRegularSeason20242025!$D$3:$D$1315, $A56)+SUMIFS(DataRegularSeason20242025!$AB$3:$AB$1315,DataRegularSeason20242025!$B$3:$B$1315, "&lt;=" &amp; DJ$1, DataRegularSeason20242025!$E$3:$E$1315, $A56)</f>
        <v>6</v>
      </c>
      <c r="DK56">
        <f>SUMIFS(DataRegularSeason20242025!$AA$3:$AA$1315,DataRegularSeason20242025!$B$3:$B$1315, "&lt;=" &amp; DK$1, DataRegularSeason20242025!$D$3:$D$1315, $A56)+SUMIFS(DataRegularSeason20242025!$AB$3:$AB$1315,DataRegularSeason20242025!$B$3:$B$1315, "&lt;=" &amp; DK$1, DataRegularSeason20242025!$E$3:$E$1315, $A56)</f>
        <v>6</v>
      </c>
      <c r="DL56">
        <f>SUMIFS(DataRegularSeason20242025!$AA$3:$AA$1315,DataRegularSeason20242025!$B$3:$B$1315, "&lt;=" &amp; DL$1, DataRegularSeason20242025!$D$3:$D$1315, $A56)+SUMIFS(DataRegularSeason20242025!$AB$3:$AB$1315,DataRegularSeason20242025!$B$3:$B$1315, "&lt;=" &amp; DL$1, DataRegularSeason20242025!$E$3:$E$1315, $A56)</f>
        <v>6</v>
      </c>
      <c r="DM56">
        <f>SUMIFS(DataRegularSeason20242025!$AA$3:$AA$1315,DataRegularSeason20242025!$B$3:$B$1315, "&lt;=" &amp; DM$1, DataRegularSeason20242025!$D$3:$D$1315, $A56)+SUMIFS(DataRegularSeason20242025!$AB$3:$AB$1315,DataRegularSeason20242025!$B$3:$B$1315, "&lt;=" &amp; DM$1, DataRegularSeason20242025!$E$3:$E$1315, $A56)</f>
        <v>6</v>
      </c>
      <c r="DN56">
        <f>SUMIFS(DataRegularSeason20242025!$AA$3:$AA$1315,DataRegularSeason20242025!$B$3:$B$1315, "&lt;=" &amp; DN$1, DataRegularSeason20242025!$D$3:$D$1315, $A56)+SUMIFS(DataRegularSeason20242025!$AB$3:$AB$1315,DataRegularSeason20242025!$B$3:$B$1315, "&lt;=" &amp; DN$1, DataRegularSeason20242025!$E$3:$E$1315, $A56)</f>
        <v>6</v>
      </c>
      <c r="DO56">
        <f>SUMIFS(DataRegularSeason20242025!$AA$3:$AA$1315,DataRegularSeason20242025!$B$3:$B$1315, "&lt;=" &amp; DO$1, DataRegularSeason20242025!$D$3:$D$1315, $A56)+SUMIFS(DataRegularSeason20242025!$AB$3:$AB$1315,DataRegularSeason20242025!$B$3:$B$1315, "&lt;=" &amp; DO$1, DataRegularSeason20242025!$E$3:$E$1315, $A56)</f>
        <v>6</v>
      </c>
      <c r="DP56">
        <f>SUMIFS(DataRegularSeason20242025!$AA$3:$AA$1315,DataRegularSeason20242025!$B$3:$B$1315, "&lt;=" &amp; DP$1, DataRegularSeason20242025!$D$3:$D$1315, $A56)+SUMIFS(DataRegularSeason20242025!$AB$3:$AB$1315,DataRegularSeason20242025!$B$3:$B$1315, "&lt;=" &amp; DP$1, DataRegularSeason20242025!$E$3:$E$1315, $A56)</f>
        <v>6</v>
      </c>
      <c r="DQ56">
        <f>SUMIFS(DataRegularSeason20242025!$AA$3:$AA$1315,DataRegularSeason20242025!$B$3:$B$1315, "&lt;=" &amp; DQ$1, DataRegularSeason20242025!$D$3:$D$1315, $A56)+SUMIFS(DataRegularSeason20242025!$AB$3:$AB$1315,DataRegularSeason20242025!$B$3:$B$1315, "&lt;=" &amp; DQ$1, DataRegularSeason20242025!$E$3:$E$1315, $A56)</f>
        <v>6</v>
      </c>
      <c r="DR56">
        <f>SUMIFS(DataRegularSeason20242025!$AA$3:$AA$1315,DataRegularSeason20242025!$B$3:$B$1315, "&lt;=" &amp; DR$1, DataRegularSeason20242025!$D$3:$D$1315, $A56)+SUMIFS(DataRegularSeason20242025!$AB$3:$AB$1315,DataRegularSeason20242025!$B$3:$B$1315, "&lt;=" &amp; DR$1, DataRegularSeason20242025!$E$3:$E$1315, $A56)</f>
        <v>6</v>
      </c>
      <c r="DS56">
        <f>SUMIFS(DataRegularSeason20242025!$AA$3:$AA$1315,DataRegularSeason20242025!$B$3:$B$1315, "&lt;=" &amp; DS$1, DataRegularSeason20242025!$D$3:$D$1315, $A56)+SUMIFS(DataRegularSeason20242025!$AB$3:$AB$1315,DataRegularSeason20242025!$B$3:$B$1315, "&lt;=" &amp; DS$1, DataRegularSeason20242025!$E$3:$E$1315, $A56)</f>
        <v>6</v>
      </c>
      <c r="DT56">
        <f>SUMIFS(DataRegularSeason20242025!$AA$3:$AA$1315,DataRegularSeason20242025!$B$3:$B$1315, "&lt;=" &amp; DT$1, DataRegularSeason20242025!$D$3:$D$1315, $A56)+SUMIFS(DataRegularSeason20242025!$AB$3:$AB$1315,DataRegularSeason20242025!$B$3:$B$1315, "&lt;=" &amp; DT$1, DataRegularSeason20242025!$E$3:$E$1315, $A56)</f>
        <v>6</v>
      </c>
      <c r="DU56">
        <f>SUMIFS(DataRegularSeason20242025!$AA$3:$AA$1315,DataRegularSeason20242025!$B$3:$B$1315, "&lt;=" &amp; DU$1, DataRegularSeason20242025!$D$3:$D$1315, $A56)+SUMIFS(DataRegularSeason20242025!$AB$3:$AB$1315,DataRegularSeason20242025!$B$3:$B$1315, "&lt;=" &amp; DU$1, DataRegularSeason20242025!$E$3:$E$1315, $A56)</f>
        <v>6</v>
      </c>
      <c r="DV56">
        <f>SUMIFS(DataRegularSeason20242025!$AA$3:$AA$1315,DataRegularSeason20242025!$B$3:$B$1315, "&lt;=" &amp; DV$1, DataRegularSeason20242025!$D$3:$D$1315, $A56)+SUMIFS(DataRegularSeason20242025!$AB$3:$AB$1315,DataRegularSeason20242025!$B$3:$B$1315, "&lt;=" &amp; DV$1, DataRegularSeason20242025!$E$3:$E$1315, $A56)</f>
        <v>6</v>
      </c>
      <c r="DW56">
        <f>SUMIFS(DataRegularSeason20242025!$AA$3:$AA$1315,DataRegularSeason20242025!$B$3:$B$1315, "&lt;=" &amp; DW$1, DataRegularSeason20242025!$D$3:$D$1315, $A56)+SUMIFS(DataRegularSeason20242025!$AB$3:$AB$1315,DataRegularSeason20242025!$B$3:$B$1315, "&lt;=" &amp; DW$1, DataRegularSeason20242025!$E$3:$E$1315, $A56)</f>
        <v>6</v>
      </c>
      <c r="DX56">
        <f>SUMIFS(DataRegularSeason20242025!$AA$3:$AA$1315,DataRegularSeason20242025!$B$3:$B$1315, "&lt;=" &amp; DX$1, DataRegularSeason20242025!$D$3:$D$1315, $A56)+SUMIFS(DataRegularSeason20242025!$AB$3:$AB$1315,DataRegularSeason20242025!$B$3:$B$1315, "&lt;=" &amp; DX$1, DataRegularSeason20242025!$E$3:$E$1315, $A56)</f>
        <v>6</v>
      </c>
      <c r="DY56">
        <f>SUMIFS(DataRegularSeason20242025!$AA$3:$AA$1315,DataRegularSeason20242025!$B$3:$B$1315, "&lt;=" &amp; DY$1, DataRegularSeason20242025!$D$3:$D$1315, $A56)+SUMIFS(DataRegularSeason20242025!$AB$3:$AB$1315,DataRegularSeason20242025!$B$3:$B$1315, "&lt;=" &amp; DY$1, DataRegularSeason20242025!$E$3:$E$1315, $A56)</f>
        <v>6</v>
      </c>
      <c r="DZ56">
        <f>SUMIFS(DataRegularSeason20242025!$AA$3:$AA$1315,DataRegularSeason20242025!$B$3:$B$1315, "&lt;=" &amp; DZ$1, DataRegularSeason20242025!$D$3:$D$1315, $A56)+SUMIFS(DataRegularSeason20242025!$AB$3:$AB$1315,DataRegularSeason20242025!$B$3:$B$1315, "&lt;=" &amp; DZ$1, DataRegularSeason20242025!$E$3:$E$1315, $A56)</f>
        <v>6</v>
      </c>
      <c r="EA56">
        <f>SUMIFS(DataRegularSeason20242025!$AA$3:$AA$1315,DataRegularSeason20242025!$B$3:$B$1315, "&lt;=" &amp; EA$1, DataRegularSeason20242025!$D$3:$D$1315, $A56)+SUMIFS(DataRegularSeason20242025!$AB$3:$AB$1315,DataRegularSeason20242025!$B$3:$B$1315, "&lt;=" &amp; EA$1, DataRegularSeason20242025!$E$3:$E$1315, $A56)</f>
        <v>6</v>
      </c>
      <c r="EB56">
        <f>SUMIFS(DataRegularSeason20242025!$AA$3:$AA$1315,DataRegularSeason20242025!$B$3:$B$1315, "&lt;=" &amp; EB$1, DataRegularSeason20242025!$D$3:$D$1315, $A56)+SUMIFS(DataRegularSeason20242025!$AB$3:$AB$1315,DataRegularSeason20242025!$B$3:$B$1315, "&lt;=" &amp; EB$1, DataRegularSeason20242025!$E$3:$E$1315, $A56)</f>
        <v>6</v>
      </c>
      <c r="EC56">
        <f>SUMIFS(DataRegularSeason20242025!$AA$3:$AA$1315,DataRegularSeason20242025!$B$3:$B$1315, "&lt;=" &amp; EC$1, DataRegularSeason20242025!$D$3:$D$1315, $A56)+SUMIFS(DataRegularSeason20242025!$AB$3:$AB$1315,DataRegularSeason20242025!$B$3:$B$1315, "&lt;=" &amp; EC$1, DataRegularSeason20242025!$E$3:$E$1315, $A56)</f>
        <v>6</v>
      </c>
      <c r="ED56">
        <f>SUMIFS(DataRegularSeason20242025!$AA$3:$AA$1315,DataRegularSeason20242025!$B$3:$B$1315, "&lt;=" &amp; ED$1, DataRegularSeason20242025!$D$3:$D$1315, $A56)+SUMIFS(DataRegularSeason20242025!$AB$3:$AB$1315,DataRegularSeason20242025!$B$3:$B$1315, "&lt;=" &amp; ED$1, DataRegularSeason20242025!$E$3:$E$1315, $A56)</f>
        <v>6</v>
      </c>
      <c r="EE56">
        <f>SUMIFS(DataRegularSeason20242025!$AA$3:$AA$1315,DataRegularSeason20242025!$B$3:$B$1315, "&lt;=" &amp; EE$1, DataRegularSeason20242025!$D$3:$D$1315, $A56)+SUMIFS(DataRegularSeason20242025!$AB$3:$AB$1315,DataRegularSeason20242025!$B$3:$B$1315, "&lt;=" &amp; EE$1, DataRegularSeason20242025!$E$3:$E$1315, $A56)</f>
        <v>6</v>
      </c>
      <c r="EF56">
        <f>SUMIFS(DataRegularSeason20242025!$AA$3:$AA$1315,DataRegularSeason20242025!$B$3:$B$1315, "&lt;=" &amp; EF$1, DataRegularSeason20242025!$D$3:$D$1315, $A56)+SUMIFS(DataRegularSeason20242025!$AB$3:$AB$1315,DataRegularSeason20242025!$B$3:$B$1315, "&lt;=" &amp; EF$1, DataRegularSeason20242025!$E$3:$E$1315, $A56)</f>
        <v>6</v>
      </c>
      <c r="EG56">
        <f>SUMIFS(DataRegularSeason20242025!$AA$3:$AA$1315,DataRegularSeason20242025!$B$3:$B$1315, "&lt;=" &amp; EG$1, DataRegularSeason20242025!$D$3:$D$1315, $A56)+SUMIFS(DataRegularSeason20242025!$AB$3:$AB$1315,DataRegularSeason20242025!$B$3:$B$1315, "&lt;=" &amp; EG$1, DataRegularSeason20242025!$E$3:$E$1315, $A56)</f>
        <v>6</v>
      </c>
      <c r="EH56">
        <f>SUMIFS(DataRegularSeason20242025!$AA$3:$AA$1315,DataRegularSeason20242025!$B$3:$B$1315, "&lt;=" &amp; EH$1, DataRegularSeason20242025!$D$3:$D$1315, $A56)+SUMIFS(DataRegularSeason20242025!$AB$3:$AB$1315,DataRegularSeason20242025!$B$3:$B$1315, "&lt;=" &amp; EH$1, DataRegularSeason20242025!$E$3:$E$1315, $A56)</f>
        <v>6</v>
      </c>
      <c r="EI56">
        <f>SUMIFS(DataRegularSeason20242025!$AA$3:$AA$1315,DataRegularSeason20242025!$B$3:$B$1315, "&lt;=" &amp; EI$1, DataRegularSeason20242025!$D$3:$D$1315, $A56)+SUMIFS(DataRegularSeason20242025!$AB$3:$AB$1315,DataRegularSeason20242025!$B$3:$B$1315, "&lt;=" &amp; EI$1, DataRegularSeason20242025!$E$3:$E$1315, $A56)</f>
        <v>6</v>
      </c>
      <c r="EJ56">
        <f>SUMIFS(DataRegularSeason20242025!$AA$3:$AA$1315,DataRegularSeason20242025!$B$3:$B$1315, "&lt;=" &amp; EJ$1, DataRegularSeason20242025!$D$3:$D$1315, $A56)+SUMIFS(DataRegularSeason20242025!$AB$3:$AB$1315,DataRegularSeason20242025!$B$3:$B$1315, "&lt;=" &amp; EJ$1, DataRegularSeason20242025!$E$3:$E$1315, $A56)</f>
        <v>6</v>
      </c>
      <c r="EK56">
        <f>SUMIFS(DataRegularSeason20242025!$AA$3:$AA$1315,DataRegularSeason20242025!$B$3:$B$1315, "&lt;=" &amp; EK$1, DataRegularSeason20242025!$D$3:$D$1315, $A56)+SUMIFS(DataRegularSeason20242025!$AB$3:$AB$1315,DataRegularSeason20242025!$B$3:$B$1315, "&lt;=" &amp; EK$1, DataRegularSeason20242025!$E$3:$E$1315, $A56)</f>
        <v>6</v>
      </c>
      <c r="EL56">
        <f>SUMIFS(DataRegularSeason20242025!$AA$3:$AA$1315,DataRegularSeason20242025!$B$3:$B$1315, "&lt;=" &amp; EL$1, DataRegularSeason20242025!$D$3:$D$1315, $A56)+SUMIFS(DataRegularSeason20242025!$AB$3:$AB$1315,DataRegularSeason20242025!$B$3:$B$1315, "&lt;=" &amp; EL$1, DataRegularSeason20242025!$E$3:$E$1315, $A56)</f>
        <v>6</v>
      </c>
      <c r="EM56">
        <f>SUMIFS(DataRegularSeason20242025!$AA$3:$AA$1315,DataRegularSeason20242025!$B$3:$B$1315, "&lt;=" &amp; EM$1, DataRegularSeason20242025!$D$3:$D$1315, $A56)+SUMIFS(DataRegularSeason20242025!$AB$3:$AB$1315,DataRegularSeason20242025!$B$3:$B$1315, "&lt;=" &amp; EM$1, DataRegularSeason20242025!$E$3:$E$1315, $A56)</f>
        <v>6</v>
      </c>
      <c r="EN56">
        <f>SUMIFS(DataRegularSeason20242025!$AA$3:$AA$1315,DataRegularSeason20242025!$B$3:$B$1315, "&lt;=" &amp; EN$1, DataRegularSeason20242025!$D$3:$D$1315, $A56)+SUMIFS(DataRegularSeason20242025!$AB$3:$AB$1315,DataRegularSeason20242025!$B$3:$B$1315, "&lt;=" &amp; EN$1, DataRegularSeason20242025!$E$3:$E$1315, $A56)</f>
        <v>6</v>
      </c>
      <c r="EO56">
        <f>SUMIFS(DataRegularSeason20242025!$AA$3:$AA$1315,DataRegularSeason20242025!$B$3:$B$1315, "&lt;=" &amp; EO$1, DataRegularSeason20242025!$D$3:$D$1315, $A56)+SUMIFS(DataRegularSeason20242025!$AB$3:$AB$1315,DataRegularSeason20242025!$B$3:$B$1315, "&lt;=" &amp; EO$1, DataRegularSeason20242025!$E$3:$E$1315, $A56)</f>
        <v>6</v>
      </c>
      <c r="EP56">
        <f>SUMIFS(DataRegularSeason20242025!$AA$3:$AA$1315,DataRegularSeason20242025!$B$3:$B$1315, "&lt;=" &amp; EP$1, DataRegularSeason20242025!$D$3:$D$1315, $A56)+SUMIFS(DataRegularSeason20242025!$AB$3:$AB$1315,DataRegularSeason20242025!$B$3:$B$1315, "&lt;=" &amp; EP$1, DataRegularSeason20242025!$E$3:$E$1315, $A56)</f>
        <v>6</v>
      </c>
      <c r="EQ56">
        <f>SUMIFS(DataRegularSeason20242025!$AA$3:$AA$1315,DataRegularSeason20242025!$B$3:$B$1315, "&lt;=" &amp; EQ$1, DataRegularSeason20242025!$D$3:$D$1315, $A56)+SUMIFS(DataRegularSeason20242025!$AB$3:$AB$1315,DataRegularSeason20242025!$B$3:$B$1315, "&lt;=" &amp; EQ$1, DataRegularSeason20242025!$E$3:$E$1315, $A56)</f>
        <v>6</v>
      </c>
      <c r="ER56">
        <f>SUMIFS(DataRegularSeason20242025!$AA$3:$AA$1315,DataRegularSeason20242025!$B$3:$B$1315, "&lt;=" &amp; ER$1, DataRegularSeason20242025!$D$3:$D$1315, $A56)+SUMIFS(DataRegularSeason20242025!$AB$3:$AB$1315,DataRegularSeason20242025!$B$3:$B$1315, "&lt;=" &amp; ER$1, DataRegularSeason20242025!$E$3:$E$1315, $A56)</f>
        <v>6</v>
      </c>
      <c r="ES56">
        <f>SUMIFS(DataRegularSeason20242025!$AA$3:$AA$1315,DataRegularSeason20242025!$B$3:$B$1315, "&lt;=" &amp; ES$1, DataRegularSeason20242025!$D$3:$D$1315, $A56)+SUMIFS(DataRegularSeason20242025!$AB$3:$AB$1315,DataRegularSeason20242025!$B$3:$B$1315, "&lt;=" &amp; ES$1, DataRegularSeason20242025!$E$3:$E$1315, $A56)</f>
        <v>6</v>
      </c>
      <c r="ET56">
        <f>SUMIFS(DataRegularSeason20242025!$AA$3:$AA$1315,DataRegularSeason20242025!$B$3:$B$1315, "&lt;=" &amp; ET$1, DataRegularSeason20242025!$D$3:$D$1315, $A56)+SUMIFS(DataRegularSeason20242025!$AB$3:$AB$1315,DataRegularSeason20242025!$B$3:$B$1315, "&lt;=" &amp; ET$1, DataRegularSeason20242025!$E$3:$E$1315, $A56)</f>
        <v>6</v>
      </c>
      <c r="EU56">
        <f>SUMIFS(DataRegularSeason20242025!$AA$3:$AA$1315,DataRegularSeason20242025!$B$3:$B$1315, "&lt;=" &amp; EU$1, DataRegularSeason20242025!$D$3:$D$1315, $A56)+SUMIFS(DataRegularSeason20242025!$AB$3:$AB$1315,DataRegularSeason20242025!$B$3:$B$1315, "&lt;=" &amp; EU$1, DataRegularSeason20242025!$E$3:$E$1315, $A56)</f>
        <v>6</v>
      </c>
      <c r="EV56">
        <f>SUMIFS(DataRegularSeason20242025!$AA$3:$AA$1315,DataRegularSeason20242025!$B$3:$B$1315, "&lt;=" &amp; EV$1, DataRegularSeason20242025!$D$3:$D$1315, $A56)+SUMIFS(DataRegularSeason20242025!$AB$3:$AB$1315,DataRegularSeason20242025!$B$3:$B$1315, "&lt;=" &amp; EV$1, DataRegularSeason20242025!$E$3:$E$1315, $A56)</f>
        <v>6</v>
      </c>
      <c r="EW56">
        <f>SUMIFS(DataRegularSeason20242025!$AA$3:$AA$1315,DataRegularSeason20242025!$B$3:$B$1315, "&lt;=" &amp; EW$1, DataRegularSeason20242025!$D$3:$D$1315, $A56)+SUMIFS(DataRegularSeason20242025!$AB$3:$AB$1315,DataRegularSeason20242025!$B$3:$B$1315, "&lt;=" &amp; EW$1, DataRegularSeason20242025!$E$3:$E$1315, $A56)</f>
        <v>6</v>
      </c>
      <c r="EX56">
        <f>SUMIFS(DataRegularSeason20242025!$AA$3:$AA$1315,DataRegularSeason20242025!$B$3:$B$1315, "&lt;=" &amp; EX$1, DataRegularSeason20242025!$D$3:$D$1315, $A56)+SUMIFS(DataRegularSeason20242025!$AB$3:$AB$1315,DataRegularSeason20242025!$B$3:$B$1315, "&lt;=" &amp; EX$1, DataRegularSeason20242025!$E$3:$E$1315, $A56)</f>
        <v>6</v>
      </c>
      <c r="EY56">
        <f>SUMIFS(DataRegularSeason20242025!$AA$3:$AA$1315,DataRegularSeason20242025!$B$3:$B$1315, "&lt;=" &amp; EY$1, DataRegularSeason20242025!$D$3:$D$1315, $A56)+SUMIFS(DataRegularSeason20242025!$AB$3:$AB$1315,DataRegularSeason20242025!$B$3:$B$1315, "&lt;=" &amp; EY$1, DataRegularSeason20242025!$E$3:$E$1315, $A56)</f>
        <v>6</v>
      </c>
      <c r="EZ56">
        <f>SUMIFS(DataRegularSeason20242025!$AA$3:$AA$1315,DataRegularSeason20242025!$B$3:$B$1315, "&lt;=" &amp; EZ$1, DataRegularSeason20242025!$D$3:$D$1315, $A56)+SUMIFS(DataRegularSeason20242025!$AB$3:$AB$1315,DataRegularSeason20242025!$B$3:$B$1315, "&lt;=" &amp; EZ$1, DataRegularSeason20242025!$E$3:$E$1315, $A56)</f>
        <v>6</v>
      </c>
      <c r="FA56">
        <f>SUMIFS(DataRegularSeason20242025!$AA$3:$AA$1315,DataRegularSeason20242025!$B$3:$B$1315, "&lt;=" &amp; FA$1, DataRegularSeason20242025!$D$3:$D$1315, $A56)+SUMIFS(DataRegularSeason20242025!$AB$3:$AB$1315,DataRegularSeason20242025!$B$3:$B$1315, "&lt;=" &amp; FA$1, DataRegularSeason20242025!$E$3:$E$1315, $A56)</f>
        <v>6</v>
      </c>
      <c r="FB56">
        <f>SUMIFS(DataRegularSeason20242025!$AA$3:$AA$1315,DataRegularSeason20242025!$B$3:$B$1315, "&lt;=" &amp; FB$1, DataRegularSeason20242025!$D$3:$D$1315, $A56)+SUMIFS(DataRegularSeason20242025!$AB$3:$AB$1315,DataRegularSeason20242025!$B$3:$B$1315, "&lt;=" &amp; FB$1, DataRegularSeason20242025!$E$3:$E$1315, $A56)</f>
        <v>6</v>
      </c>
      <c r="FC56">
        <f>SUMIFS(DataRegularSeason20242025!$AA$3:$AA$1315,DataRegularSeason20242025!$B$3:$B$1315, "&lt;=" &amp; FC$1, DataRegularSeason20242025!$D$3:$D$1315, $A56)+SUMIFS(DataRegularSeason20242025!$AB$3:$AB$1315,DataRegularSeason20242025!$B$3:$B$1315, "&lt;=" &amp; FC$1, DataRegularSeason20242025!$E$3:$E$1315, $A56)</f>
        <v>6</v>
      </c>
      <c r="FD56">
        <f>SUMIFS(DataRegularSeason20242025!$AA$3:$AA$1315,DataRegularSeason20242025!$B$3:$B$1315, "&lt;=" &amp; FD$1, DataRegularSeason20242025!$D$3:$D$1315, $A56)+SUMIFS(DataRegularSeason20242025!$AB$3:$AB$1315,DataRegularSeason20242025!$B$3:$B$1315, "&lt;=" &amp; FD$1, DataRegularSeason20242025!$E$3:$E$1315, $A56)</f>
        <v>6</v>
      </c>
      <c r="FE56">
        <f>SUMIFS(DataRegularSeason20242025!$AA$3:$AA$1315,DataRegularSeason20242025!$B$3:$B$1315, "&lt;=" &amp; FE$1, DataRegularSeason20242025!$D$3:$D$1315, $A56)+SUMIFS(DataRegularSeason20242025!$AB$3:$AB$1315,DataRegularSeason20242025!$B$3:$B$1315, "&lt;=" &amp; FE$1, DataRegularSeason20242025!$E$3:$E$1315, $A56)</f>
        <v>6</v>
      </c>
      <c r="FF56">
        <f>SUMIFS(DataRegularSeason20242025!$AA$3:$AA$1315,DataRegularSeason20242025!$B$3:$B$1315, "&lt;=" &amp; FF$1, DataRegularSeason20242025!$D$3:$D$1315, $A56)+SUMIFS(DataRegularSeason20242025!$AB$3:$AB$1315,DataRegularSeason20242025!$B$3:$B$1315, "&lt;=" &amp; FF$1, DataRegularSeason20242025!$E$3:$E$1315, $A56)</f>
        <v>6</v>
      </c>
      <c r="FG56">
        <f>SUMIFS(DataRegularSeason20242025!$AA$3:$AA$1315,DataRegularSeason20242025!$B$3:$B$1315, "&lt;=" &amp; FG$1, DataRegularSeason20242025!$D$3:$D$1315, $A56)+SUMIFS(DataRegularSeason20242025!$AB$3:$AB$1315,DataRegularSeason20242025!$B$3:$B$1315, "&lt;=" &amp; FG$1, DataRegularSeason20242025!$E$3:$E$1315, $A56)</f>
        <v>6</v>
      </c>
      <c r="FH56">
        <f>SUMIFS(DataRegularSeason20242025!$AA$3:$AA$1315,DataRegularSeason20242025!$B$3:$B$1315, "&lt;=" &amp; FH$1, DataRegularSeason20242025!$D$3:$D$1315, $A56)+SUMIFS(DataRegularSeason20242025!$AB$3:$AB$1315,DataRegularSeason20242025!$B$3:$B$1315, "&lt;=" &amp; FH$1, DataRegularSeason20242025!$E$3:$E$1315, $A56)</f>
        <v>6</v>
      </c>
      <c r="FI56">
        <f>SUMIFS(DataRegularSeason20242025!$AA$3:$AA$1315,DataRegularSeason20242025!$B$3:$B$1315, "&lt;=" &amp; FI$1, DataRegularSeason20242025!$D$3:$D$1315, $A56)+SUMIFS(DataRegularSeason20242025!$AB$3:$AB$1315,DataRegularSeason20242025!$B$3:$B$1315, "&lt;=" &amp; FI$1, DataRegularSeason20242025!$E$3:$E$1315, $A56)</f>
        <v>6</v>
      </c>
      <c r="FJ56">
        <f>SUMIFS(DataRegularSeason20242025!$AA$3:$AA$1315,DataRegularSeason20242025!$B$3:$B$1315, "&lt;=" &amp; FJ$1, DataRegularSeason20242025!$D$3:$D$1315, $A56)+SUMIFS(DataRegularSeason20242025!$AB$3:$AB$1315,DataRegularSeason20242025!$B$3:$B$1315, "&lt;=" &amp; FJ$1, DataRegularSeason20242025!$E$3:$E$1315, $A56)</f>
        <v>6</v>
      </c>
      <c r="FK56">
        <f>SUMIFS(DataRegularSeason20242025!$AA$3:$AA$1315,DataRegularSeason20242025!$B$3:$B$1315, "&lt;=" &amp; FK$1, DataRegularSeason20242025!$D$3:$D$1315, $A56)+SUMIFS(DataRegularSeason20242025!$AB$3:$AB$1315,DataRegularSeason20242025!$B$3:$B$1315, "&lt;=" &amp; FK$1, DataRegularSeason20242025!$E$3:$E$1315, $A56)</f>
        <v>6</v>
      </c>
      <c r="FL56">
        <f>SUMIFS(DataRegularSeason20242025!$AA$3:$AA$1315,DataRegularSeason20242025!$B$3:$B$1315, "&lt;=" &amp; FL$1, DataRegularSeason20242025!$D$3:$D$1315, $A56)+SUMIFS(DataRegularSeason20242025!$AB$3:$AB$1315,DataRegularSeason20242025!$B$3:$B$1315, "&lt;=" &amp; FL$1, DataRegularSeason20242025!$E$3:$E$1315, $A56)</f>
        <v>6</v>
      </c>
      <c r="FM56">
        <f>SUMIFS(DataRegularSeason20242025!$AA$3:$AA$1315,DataRegularSeason20242025!$B$3:$B$1315, "&lt;=" &amp; FM$1, DataRegularSeason20242025!$D$3:$D$1315, $A56)+SUMIFS(DataRegularSeason20242025!$AB$3:$AB$1315,DataRegularSeason20242025!$B$3:$B$1315, "&lt;=" &amp; FM$1, DataRegularSeason20242025!$E$3:$E$1315, $A56)</f>
        <v>6</v>
      </c>
      <c r="FN56">
        <f>SUMIFS(DataRegularSeason20242025!$AA$3:$AA$1315,DataRegularSeason20242025!$B$3:$B$1315, "&lt;=" &amp; FN$1, DataRegularSeason20242025!$D$3:$D$1315, $A56)+SUMIFS(DataRegularSeason20242025!$AB$3:$AB$1315,DataRegularSeason20242025!$B$3:$B$1315, "&lt;=" &amp; FN$1, DataRegularSeason20242025!$E$3:$E$1315, $A56)</f>
        <v>6</v>
      </c>
      <c r="FO56">
        <f>SUMIFS(DataRegularSeason20242025!$AA$3:$AA$1315,DataRegularSeason20242025!$B$3:$B$1315, "&lt;=" &amp; FO$1, DataRegularSeason20242025!$D$3:$D$1315, $A56)+SUMIFS(DataRegularSeason20242025!$AB$3:$AB$1315,DataRegularSeason20242025!$B$3:$B$1315, "&lt;=" &amp; FO$1, DataRegularSeason20242025!$E$3:$E$1315, $A56)</f>
        <v>6</v>
      </c>
      <c r="FP56">
        <f>SUMIFS(DataRegularSeason20242025!$AA$3:$AA$1315,DataRegularSeason20242025!$B$3:$B$1315, "&lt;=" &amp; FP$1, DataRegularSeason20242025!$D$3:$D$1315, $A56)+SUMIFS(DataRegularSeason20242025!$AB$3:$AB$1315,DataRegularSeason20242025!$B$3:$B$1315, "&lt;=" &amp; FP$1, DataRegularSeason20242025!$E$3:$E$1315, $A56)</f>
        <v>6</v>
      </c>
      <c r="FQ56">
        <f>SUMIFS(DataRegularSeason20242025!$AA$3:$AA$1315,DataRegularSeason20242025!$B$3:$B$1315, "&lt;=" &amp; FQ$1, DataRegularSeason20242025!$D$3:$D$1315, $A56)+SUMIFS(DataRegularSeason20242025!$AB$3:$AB$1315,DataRegularSeason20242025!$B$3:$B$1315, "&lt;=" &amp; FQ$1, DataRegularSeason20242025!$E$3:$E$1315, $A56)</f>
        <v>6</v>
      </c>
      <c r="FR56">
        <f>SUMIFS(DataRegularSeason20242025!$AA$3:$AA$1315,DataRegularSeason20242025!$B$3:$B$1315, "&lt;=" &amp; FR$1, DataRegularSeason20242025!$D$3:$D$1315, $A56)+SUMIFS(DataRegularSeason20242025!$AB$3:$AB$1315,DataRegularSeason20242025!$B$3:$B$1315, "&lt;=" &amp; FR$1, DataRegularSeason20242025!$E$3:$E$1315, $A56)</f>
        <v>6</v>
      </c>
      <c r="FS56">
        <f>SUMIFS(DataRegularSeason20242025!$AA$3:$AA$1315,DataRegularSeason20242025!$B$3:$B$1315, "&lt;=" &amp; FS$1, DataRegularSeason20242025!$D$3:$D$1315, $A56)+SUMIFS(DataRegularSeason20242025!$AB$3:$AB$1315,DataRegularSeason20242025!$B$3:$B$1315, "&lt;=" &amp; FS$1, DataRegularSeason20242025!$E$3:$E$1315, $A56)</f>
        <v>6</v>
      </c>
      <c r="FT56">
        <f>SUMIFS(DataRegularSeason20242025!$AA$3:$AA$1315,DataRegularSeason20242025!$B$3:$B$1315, "&lt;=" &amp; FT$1, DataRegularSeason20242025!$D$3:$D$1315, $A56)+SUMIFS(DataRegularSeason20242025!$AB$3:$AB$1315,DataRegularSeason20242025!$B$3:$B$1315, "&lt;=" &amp; FT$1, DataRegularSeason20242025!$E$3:$E$1315, $A56)</f>
        <v>6</v>
      </c>
      <c r="FU56">
        <f>SUMIFS(DataRegularSeason20242025!$AA$3:$AA$1315,DataRegularSeason20242025!$B$3:$B$1315, "&lt;=" &amp; FU$1, DataRegularSeason20242025!$D$3:$D$1315, $A56)+SUMIFS(DataRegularSeason20242025!$AB$3:$AB$1315,DataRegularSeason20242025!$B$3:$B$1315, "&lt;=" &amp; FU$1, DataRegularSeason20242025!$E$3:$E$1315, $A56)</f>
        <v>6</v>
      </c>
      <c r="FV56">
        <f>SUMIFS(DataRegularSeason20242025!$AA$3:$AA$1315,DataRegularSeason20242025!$B$3:$B$1315, "&lt;=" &amp; FV$1, DataRegularSeason20242025!$D$3:$D$1315, $A56)+SUMIFS(DataRegularSeason20242025!$AB$3:$AB$1315,DataRegularSeason20242025!$B$3:$B$1315, "&lt;=" &amp; FV$1, DataRegularSeason20242025!$E$3:$E$1315, $A56)</f>
        <v>6</v>
      </c>
      <c r="FW56">
        <f>SUMIFS(DataRegularSeason20242025!$AA$3:$AA$1315,DataRegularSeason20242025!$B$3:$B$1315, "&lt;=" &amp; FW$1, DataRegularSeason20242025!$D$3:$D$1315, $A56)+SUMIFS(DataRegularSeason20242025!$AB$3:$AB$1315,DataRegularSeason20242025!$B$3:$B$1315, "&lt;=" &amp; FW$1, DataRegularSeason20242025!$E$3:$E$1315, $A56)</f>
        <v>6</v>
      </c>
      <c r="FX56">
        <f>SUMIFS(DataRegularSeason20242025!$AA$3:$AA$1315,DataRegularSeason20242025!$B$3:$B$1315, "&lt;=" &amp; FX$1, DataRegularSeason20242025!$D$3:$D$1315, $A56)+SUMIFS(DataRegularSeason20242025!$AB$3:$AB$1315,DataRegularSeason20242025!$B$3:$B$1315, "&lt;=" &amp; FX$1, DataRegularSeason20242025!$E$3:$E$1315, $A56)</f>
        <v>6</v>
      </c>
      <c r="FY56">
        <f>SUMIFS(DataRegularSeason20242025!$AA$3:$AA$1315,DataRegularSeason20242025!$B$3:$B$1315, "&lt;=" &amp; FY$1, DataRegularSeason20242025!$D$3:$D$1315, $A56)+SUMIFS(DataRegularSeason20242025!$AB$3:$AB$1315,DataRegularSeason20242025!$B$3:$B$1315, "&lt;=" &amp; FY$1, DataRegularSeason20242025!$E$3:$E$1315, $A56)</f>
        <v>6</v>
      </c>
      <c r="FZ56">
        <f>SUMIFS(DataRegularSeason20242025!$AA$3:$AA$1315,DataRegularSeason20242025!$B$3:$B$1315, "&lt;=" &amp; FZ$1, DataRegularSeason20242025!$D$3:$D$1315, $A56)+SUMIFS(DataRegularSeason20242025!$AB$3:$AB$1315,DataRegularSeason20242025!$B$3:$B$1315, "&lt;=" &amp; FZ$1, DataRegularSeason20242025!$E$3:$E$1315, $A56)</f>
        <v>6</v>
      </c>
      <c r="GA56">
        <f>SUMIFS(DataRegularSeason20242025!$AA$3:$AA$1315,DataRegularSeason20242025!$B$3:$B$1315, "&lt;=" &amp; GA$1, DataRegularSeason20242025!$D$3:$D$1315, $A56)+SUMIFS(DataRegularSeason20242025!$AB$3:$AB$1315,DataRegularSeason20242025!$B$3:$B$1315, "&lt;=" &amp; GA$1, DataRegularSeason20242025!$E$3:$E$1315, $A56)</f>
        <v>6</v>
      </c>
      <c r="GB56">
        <f>SUMIFS(DataRegularSeason20242025!$AA$3:$AA$1315,DataRegularSeason20242025!$B$3:$B$1315, "&lt;=" &amp; GB$1, DataRegularSeason20242025!$D$3:$D$1315, $A56)+SUMIFS(DataRegularSeason20242025!$AB$3:$AB$1315,DataRegularSeason20242025!$B$3:$B$1315, "&lt;=" &amp; GB$1, DataRegularSeason20242025!$E$3:$E$1315, $A56)</f>
        <v>6</v>
      </c>
      <c r="GC56">
        <f>SUMIFS(DataRegularSeason20242025!$AA$3:$AA$1315,DataRegularSeason20242025!$B$3:$B$1315, "&lt;=" &amp; GC$1, DataRegularSeason20242025!$D$3:$D$1315, $A56)+SUMIFS(DataRegularSeason20242025!$AB$3:$AB$1315,DataRegularSeason20242025!$B$3:$B$1315, "&lt;=" &amp; GC$1, DataRegularSeason20242025!$E$3:$E$1315, $A56)</f>
        <v>6</v>
      </c>
      <c r="GD56">
        <f>SUMIFS(DataRegularSeason20242025!$AA$3:$AA$1315,DataRegularSeason20242025!$B$3:$B$1315, "&lt;=" &amp; GD$1, DataRegularSeason20242025!$D$3:$D$1315, $A56)+SUMIFS(DataRegularSeason20242025!$AB$3:$AB$1315,DataRegularSeason20242025!$B$3:$B$1315, "&lt;=" &amp; GD$1, DataRegularSeason20242025!$E$3:$E$1315, $A56)</f>
        <v>6</v>
      </c>
      <c r="GE56">
        <f>SUMIFS(DataRegularSeason20242025!$AA$3:$AA$1315,DataRegularSeason20242025!$B$3:$B$1315, "&lt;=" &amp; GE$1, DataRegularSeason20242025!$D$3:$D$1315, $A56)+SUMIFS(DataRegularSeason20242025!$AB$3:$AB$1315,DataRegularSeason20242025!$B$3:$B$1315, "&lt;=" &amp; GE$1, DataRegularSeason20242025!$E$3:$E$1315, $A56)</f>
        <v>6</v>
      </c>
      <c r="GF56">
        <f>SUMIFS(DataRegularSeason20242025!$AA$3:$AA$1315,DataRegularSeason20242025!$B$3:$B$1315, "&lt;=" &amp; GF$1, DataRegularSeason20242025!$D$3:$D$1315, $A56)+SUMIFS(DataRegularSeason20242025!$AB$3:$AB$1315,DataRegularSeason20242025!$B$3:$B$1315, "&lt;=" &amp; GF$1, DataRegularSeason20242025!$E$3:$E$1315, $A56)</f>
        <v>6</v>
      </c>
      <c r="GG56">
        <f>SUMIFS(DataRegularSeason20242025!$AA$3:$AA$1315,DataRegularSeason20242025!$B$3:$B$1315, "&lt;=" &amp; GG$1, DataRegularSeason20242025!$D$3:$D$1315, $A56)+SUMIFS(DataRegularSeason20242025!$AB$3:$AB$1315,DataRegularSeason20242025!$B$3:$B$1315, "&lt;=" &amp; GG$1, DataRegularSeason20242025!$E$3:$E$1315, $A56)</f>
        <v>6</v>
      </c>
      <c r="GH56">
        <f>SUMIFS(DataRegularSeason20242025!$AA$3:$AA$1315,DataRegularSeason20242025!$B$3:$B$1315, "&lt;=" &amp; GH$1, DataRegularSeason20242025!$D$3:$D$1315, $A56)+SUMIFS(DataRegularSeason20242025!$AB$3:$AB$1315,DataRegularSeason20242025!$B$3:$B$1315, "&lt;=" &amp; GH$1, DataRegularSeason20242025!$E$3:$E$1315, $A56)</f>
        <v>6</v>
      </c>
      <c r="GI56">
        <f>SUMIFS(DataRegularSeason20242025!$AA$3:$AA$1315,DataRegularSeason20242025!$B$3:$B$1315, "&lt;=" &amp; GI$1, DataRegularSeason20242025!$D$3:$D$1315, $A56)+SUMIFS(DataRegularSeason20242025!$AB$3:$AB$1315,DataRegularSeason20242025!$B$3:$B$1315, "&lt;=" &amp; GI$1, DataRegularSeason20242025!$E$3:$E$1315, $A56)</f>
        <v>6</v>
      </c>
      <c r="GJ56">
        <f>SUMIFS(DataRegularSeason20242025!$AA$3:$AA$1315,DataRegularSeason20242025!$B$3:$B$1315, "&lt;=" &amp; GJ$1, DataRegularSeason20242025!$D$3:$D$1315, $A56)+SUMIFS(DataRegularSeason20242025!$AB$3:$AB$1315,DataRegularSeason20242025!$B$3:$B$1315, "&lt;=" &amp; GJ$1, DataRegularSeason20242025!$E$3:$E$1315, $A56)</f>
        <v>6</v>
      </c>
      <c r="GK56">
        <f>SUMIFS(DataRegularSeason20242025!$AA$3:$AA$1315,DataRegularSeason20242025!$B$3:$B$1315, "&lt;=" &amp; GK$1, DataRegularSeason20242025!$D$3:$D$1315, $A56)+SUMIFS(DataRegularSeason20242025!$AB$3:$AB$1315,DataRegularSeason20242025!$B$3:$B$1315, "&lt;=" &amp; GK$1, DataRegularSeason20242025!$E$3:$E$1315, $A56)</f>
        <v>6</v>
      </c>
      <c r="GL56">
        <f>SUMIFS(DataRegularSeason20242025!$AA$3:$AA$1315,DataRegularSeason20242025!$B$3:$B$1315, "&lt;=" &amp; GL$1, DataRegularSeason20242025!$D$3:$D$1315, $A56)+SUMIFS(DataRegularSeason20242025!$AB$3:$AB$1315,DataRegularSeason20242025!$B$3:$B$1315, "&lt;=" &amp; GL$1, DataRegularSeason20242025!$E$3:$E$1315, $A56)</f>
        <v>6</v>
      </c>
      <c r="GM56">
        <f>SUMIFS(DataRegularSeason20242025!$AA$3:$AA$1315,DataRegularSeason20242025!$B$3:$B$1315, "&lt;=" &amp; GM$1, DataRegularSeason20242025!$D$3:$D$1315, $A56)+SUMIFS(DataRegularSeason20242025!$AB$3:$AB$1315,DataRegularSeason20242025!$B$3:$B$1315, "&lt;=" &amp; GM$1, DataRegularSeason20242025!$E$3:$E$1315, $A56)</f>
        <v>6</v>
      </c>
      <c r="GN56">
        <f>SUMIFS(DataRegularSeason20242025!$AA$3:$AA$1315,DataRegularSeason20242025!$B$3:$B$1315, "&lt;=" &amp; GN$1, DataRegularSeason20242025!$D$3:$D$1315, $A56)+SUMIFS(DataRegularSeason20242025!$AB$3:$AB$1315,DataRegularSeason20242025!$B$3:$B$1315, "&lt;=" &amp; GN$1, DataRegularSeason20242025!$E$3:$E$1315, $A56)</f>
        <v>6</v>
      </c>
      <c r="GO56">
        <f>SUMIFS(DataRegularSeason20242025!$AA$3:$AA$1315,DataRegularSeason20242025!$B$3:$B$1315, "&lt;=" &amp; GO$1, DataRegularSeason20242025!$D$3:$D$1315, $A56)+SUMIFS(DataRegularSeason20242025!$AB$3:$AB$1315,DataRegularSeason20242025!$B$3:$B$1315, "&lt;=" &amp; GO$1, DataRegularSeason20242025!$E$3:$E$1315, $A56)</f>
        <v>6</v>
      </c>
      <c r="GP56">
        <f>SUMIFS(DataRegularSeason20242025!$AA$3:$AA$1315,DataRegularSeason20242025!$B$3:$B$1315, "&lt;=" &amp; GP$1, DataRegularSeason20242025!$D$3:$D$1315, $A56)+SUMIFS(DataRegularSeason20242025!$AB$3:$AB$1315,DataRegularSeason20242025!$B$3:$B$1315, "&lt;=" &amp; GP$1, DataRegularSeason20242025!$E$3:$E$1315, $A56)</f>
        <v>6</v>
      </c>
      <c r="GQ56">
        <f>SUMIFS(DataRegularSeason20242025!$AA$3:$AA$1315,DataRegularSeason20242025!$B$3:$B$1315, "&lt;=" &amp; GQ$1, DataRegularSeason20242025!$D$3:$D$1315, $A56)+SUMIFS(DataRegularSeason20242025!$AB$3:$AB$1315,DataRegularSeason20242025!$B$3:$B$1315, "&lt;=" &amp; GQ$1, DataRegularSeason20242025!$E$3:$E$1315, $A56)</f>
        <v>6</v>
      </c>
      <c r="GR56">
        <f>SUMIFS(DataRegularSeason20242025!$AA$3:$AA$1315,DataRegularSeason20242025!$B$3:$B$1315, "&lt;=" &amp; GR$1, DataRegularSeason20242025!$D$3:$D$1315, $A56)+SUMIFS(DataRegularSeason20242025!$AB$3:$AB$1315,DataRegularSeason20242025!$B$3:$B$1315, "&lt;=" &amp; GR$1, DataRegularSeason20242025!$E$3:$E$1315, $A56)</f>
        <v>6</v>
      </c>
      <c r="GS56">
        <f>SUMIFS(DataRegularSeason20242025!$AA$3:$AA$1315,DataRegularSeason20242025!$B$3:$B$1315, "&lt;=" &amp; GS$1, DataRegularSeason20242025!$D$3:$D$1315, $A56)+SUMIFS(DataRegularSeason20242025!$AB$3:$AB$1315,DataRegularSeason20242025!$B$3:$B$1315, "&lt;=" &amp; GS$1, DataRegularSeason20242025!$E$3:$E$1315, $A56)</f>
        <v>6</v>
      </c>
      <c r="GT56">
        <f>SUMIFS(DataRegularSeason20242025!$AA$3:$AA$1315,DataRegularSeason20242025!$B$3:$B$1315, "&lt;=" &amp; GT$1, DataRegularSeason20242025!$D$3:$D$1315, $A56)+SUMIFS(DataRegularSeason20242025!$AB$3:$AB$1315,DataRegularSeason20242025!$B$3:$B$1315, "&lt;=" &amp; GT$1, DataRegularSeason20242025!$E$3:$E$1315, $A56)</f>
        <v>6</v>
      </c>
      <c r="GU56">
        <f>SUMIFS(DataRegularSeason20242025!$AA$3:$AA$1315,DataRegularSeason20242025!$B$3:$B$1315, "&lt;=" &amp; GU$1, DataRegularSeason20242025!$D$3:$D$1315, $A56)+SUMIFS(DataRegularSeason20242025!$AB$3:$AB$1315,DataRegularSeason20242025!$B$3:$B$1315, "&lt;=" &amp; GU$1, DataRegularSeason20242025!$E$3:$E$1315, $A56)</f>
        <v>6</v>
      </c>
    </row>
    <row r="57" spans="1:203" x14ac:dyDescent="0.25">
      <c r="A57" t="s">
        <v>12</v>
      </c>
      <c r="B57" t="s">
        <v>90</v>
      </c>
      <c r="C57" t="s">
        <v>88</v>
      </c>
      <c r="D57">
        <f>SUMIFS(DataRegularSeason20242025!$AA$3:$AA$1315,DataRegularSeason20242025!$B$3:$B$1315, "&lt;=" &amp; D$1, DataRegularSeason20242025!$D$3:$D$1315, $A57)+SUMIFS(DataRegularSeason20242025!$AB$3:$AB$1315,DataRegularSeason20242025!$B$3:$B$1315, "&lt;=" &amp; D$1, DataRegularSeason20242025!$E$3:$E$1315, $A57)</f>
        <v>0</v>
      </c>
      <c r="E57">
        <f>SUMIFS(DataRegularSeason20242025!$AA$3:$AA$1315,DataRegularSeason20242025!$B$3:$B$1315, "&lt;=" &amp; E$1, DataRegularSeason20242025!$D$3:$D$1315, $A57)+SUMIFS(DataRegularSeason20242025!$AB$3:$AB$1315,DataRegularSeason20242025!$B$3:$B$1315, "&lt;=" &amp; E$1, DataRegularSeason20242025!$E$3:$E$1315, $A57)</f>
        <v>0</v>
      </c>
      <c r="F57">
        <f>SUMIFS(DataRegularSeason20242025!$AA$3:$AA$1315,DataRegularSeason20242025!$B$3:$B$1315, "&lt;=" &amp; F$1, DataRegularSeason20242025!$D$3:$D$1315, $A57)+SUMIFS(DataRegularSeason20242025!$AB$3:$AB$1315,DataRegularSeason20242025!$B$3:$B$1315, "&lt;=" &amp; F$1, DataRegularSeason20242025!$E$3:$E$1315, $A57)</f>
        <v>0</v>
      </c>
      <c r="G57">
        <f>SUMIFS(DataRegularSeason20242025!$AA$3:$AA$1315,DataRegularSeason20242025!$B$3:$B$1315, "&lt;=" &amp; G$1, DataRegularSeason20242025!$D$3:$D$1315, $A57)+SUMIFS(DataRegularSeason20242025!$AB$3:$AB$1315,DataRegularSeason20242025!$B$3:$B$1315, "&lt;=" &amp; G$1, DataRegularSeason20242025!$E$3:$E$1315, $A57)</f>
        <v>0</v>
      </c>
      <c r="H57">
        <f>SUMIFS(DataRegularSeason20242025!$AA$3:$AA$1315,DataRegularSeason20242025!$B$3:$B$1315, "&lt;=" &amp; H$1, DataRegularSeason20242025!$D$3:$D$1315, $A57)+SUMIFS(DataRegularSeason20242025!$AB$3:$AB$1315,DataRegularSeason20242025!$B$3:$B$1315, "&lt;=" &amp; H$1, DataRegularSeason20242025!$E$3:$E$1315, $A57)</f>
        <v>0</v>
      </c>
      <c r="I57">
        <f>SUMIFS(DataRegularSeason20242025!$AA$3:$AA$1315,DataRegularSeason20242025!$B$3:$B$1315, "&lt;=" &amp; I$1, DataRegularSeason20242025!$D$3:$D$1315, $A57)+SUMIFS(DataRegularSeason20242025!$AB$3:$AB$1315,DataRegularSeason20242025!$B$3:$B$1315, "&lt;=" &amp; I$1, DataRegularSeason20242025!$E$3:$E$1315, $A57)</f>
        <v>0</v>
      </c>
      <c r="J57">
        <f>SUMIFS(DataRegularSeason20242025!$AA$3:$AA$1315,DataRegularSeason20242025!$B$3:$B$1315, "&lt;=" &amp; J$1, DataRegularSeason20242025!$D$3:$D$1315, $A57)+SUMIFS(DataRegularSeason20242025!$AB$3:$AB$1315,DataRegularSeason20242025!$B$3:$B$1315, "&lt;=" &amp; J$1, DataRegularSeason20242025!$E$3:$E$1315, $A57)</f>
        <v>0</v>
      </c>
      <c r="K57">
        <f>SUMIFS(DataRegularSeason20242025!$AA$3:$AA$1315,DataRegularSeason20242025!$B$3:$B$1315, "&lt;=" &amp; K$1, DataRegularSeason20242025!$D$3:$D$1315, $A57)+SUMIFS(DataRegularSeason20242025!$AB$3:$AB$1315,DataRegularSeason20242025!$B$3:$B$1315, "&lt;=" &amp; K$1, DataRegularSeason20242025!$E$3:$E$1315, $A57)</f>
        <v>0</v>
      </c>
      <c r="L57">
        <f>SUMIFS(DataRegularSeason20242025!$AA$3:$AA$1315,DataRegularSeason20242025!$B$3:$B$1315, "&lt;=" &amp; L$1, DataRegularSeason20242025!$D$3:$D$1315, $A57)+SUMIFS(DataRegularSeason20242025!$AB$3:$AB$1315,DataRegularSeason20242025!$B$3:$B$1315, "&lt;=" &amp; L$1, DataRegularSeason20242025!$E$3:$E$1315, $A57)</f>
        <v>2</v>
      </c>
      <c r="M57">
        <f>SUMIFS(DataRegularSeason20242025!$AA$3:$AA$1315,DataRegularSeason20242025!$B$3:$B$1315, "&lt;=" &amp; M$1, DataRegularSeason20242025!$D$3:$D$1315, $A57)+SUMIFS(DataRegularSeason20242025!$AB$3:$AB$1315,DataRegularSeason20242025!$B$3:$B$1315, "&lt;=" &amp; M$1, DataRegularSeason20242025!$E$3:$E$1315, $A57)</f>
        <v>2</v>
      </c>
      <c r="N57">
        <f>SUMIFS(DataRegularSeason20242025!$AA$3:$AA$1315,DataRegularSeason20242025!$B$3:$B$1315, "&lt;=" &amp; N$1, DataRegularSeason20242025!$D$3:$D$1315, $A57)+SUMIFS(DataRegularSeason20242025!$AB$3:$AB$1315,DataRegularSeason20242025!$B$3:$B$1315, "&lt;=" &amp; N$1, DataRegularSeason20242025!$E$3:$E$1315, $A57)</f>
        <v>4</v>
      </c>
      <c r="O57">
        <f>SUMIFS(DataRegularSeason20242025!$AA$3:$AA$1315,DataRegularSeason20242025!$B$3:$B$1315, "&lt;=" &amp; O$1, DataRegularSeason20242025!$D$3:$D$1315, $A57)+SUMIFS(DataRegularSeason20242025!$AB$3:$AB$1315,DataRegularSeason20242025!$B$3:$B$1315, "&lt;=" &amp; O$1, DataRegularSeason20242025!$E$3:$E$1315, $A57)</f>
        <v>4</v>
      </c>
      <c r="P57">
        <f>SUMIFS(DataRegularSeason20242025!$AA$3:$AA$1315,DataRegularSeason20242025!$B$3:$B$1315, "&lt;=" &amp; P$1, DataRegularSeason20242025!$D$3:$D$1315, $A57)+SUMIFS(DataRegularSeason20242025!$AB$3:$AB$1315,DataRegularSeason20242025!$B$3:$B$1315, "&lt;=" &amp; P$1, DataRegularSeason20242025!$E$3:$E$1315, $A57)</f>
        <v>4</v>
      </c>
      <c r="Q57">
        <f>SUMIFS(DataRegularSeason20242025!$AA$3:$AA$1315,DataRegularSeason20242025!$B$3:$B$1315, "&lt;=" &amp; Q$1, DataRegularSeason20242025!$D$3:$D$1315, $A57)+SUMIFS(DataRegularSeason20242025!$AB$3:$AB$1315,DataRegularSeason20242025!$B$3:$B$1315, "&lt;=" &amp; Q$1, DataRegularSeason20242025!$E$3:$E$1315, $A57)</f>
        <v>4</v>
      </c>
      <c r="R57">
        <f>SUMIFS(DataRegularSeason20242025!$AA$3:$AA$1315,DataRegularSeason20242025!$B$3:$B$1315, "&lt;=" &amp; R$1, DataRegularSeason20242025!$D$3:$D$1315, $A57)+SUMIFS(DataRegularSeason20242025!$AB$3:$AB$1315,DataRegularSeason20242025!$B$3:$B$1315, "&lt;=" &amp; R$1, DataRegularSeason20242025!$E$3:$E$1315, $A57)</f>
        <v>4</v>
      </c>
      <c r="S57">
        <f>SUMIFS(DataRegularSeason20242025!$AA$3:$AA$1315,DataRegularSeason20242025!$B$3:$B$1315, "&lt;=" &amp; S$1, DataRegularSeason20242025!$D$3:$D$1315, $A57)+SUMIFS(DataRegularSeason20242025!$AB$3:$AB$1315,DataRegularSeason20242025!$B$3:$B$1315, "&lt;=" &amp; S$1, DataRegularSeason20242025!$E$3:$E$1315, $A57)</f>
        <v>6</v>
      </c>
      <c r="T57">
        <f>SUMIFS(DataRegularSeason20242025!$AA$3:$AA$1315,DataRegularSeason20242025!$B$3:$B$1315, "&lt;=" &amp; T$1, DataRegularSeason20242025!$D$3:$D$1315, $A57)+SUMIFS(DataRegularSeason20242025!$AB$3:$AB$1315,DataRegularSeason20242025!$B$3:$B$1315, "&lt;=" &amp; T$1, DataRegularSeason20242025!$E$3:$E$1315, $A57)</f>
        <v>6</v>
      </c>
      <c r="U57">
        <f>SUMIFS(DataRegularSeason20242025!$AA$3:$AA$1315,DataRegularSeason20242025!$B$3:$B$1315, "&lt;=" &amp; U$1, DataRegularSeason20242025!$D$3:$D$1315, $A57)+SUMIFS(DataRegularSeason20242025!$AB$3:$AB$1315,DataRegularSeason20242025!$B$3:$B$1315, "&lt;=" &amp; U$1, DataRegularSeason20242025!$E$3:$E$1315, $A57)</f>
        <v>6</v>
      </c>
      <c r="V57">
        <f>SUMIFS(DataRegularSeason20242025!$AA$3:$AA$1315,DataRegularSeason20242025!$B$3:$B$1315, "&lt;=" &amp; V$1, DataRegularSeason20242025!$D$3:$D$1315, $A57)+SUMIFS(DataRegularSeason20242025!$AB$3:$AB$1315,DataRegularSeason20242025!$B$3:$B$1315, "&lt;=" &amp; V$1, DataRegularSeason20242025!$E$3:$E$1315, $A57)</f>
        <v>7</v>
      </c>
      <c r="W57">
        <f>SUMIFS(DataRegularSeason20242025!$AA$3:$AA$1315,DataRegularSeason20242025!$B$3:$B$1315, "&lt;=" &amp; W$1, DataRegularSeason20242025!$D$3:$D$1315, $A57)+SUMIFS(DataRegularSeason20242025!$AB$3:$AB$1315,DataRegularSeason20242025!$B$3:$B$1315, "&lt;=" &amp; W$1, DataRegularSeason20242025!$E$3:$E$1315, $A57)</f>
        <v>7</v>
      </c>
      <c r="X57">
        <f>SUMIFS(DataRegularSeason20242025!$AA$3:$AA$1315,DataRegularSeason20242025!$B$3:$B$1315, "&lt;=" &amp; X$1, DataRegularSeason20242025!$D$3:$D$1315, $A57)+SUMIFS(DataRegularSeason20242025!$AB$3:$AB$1315,DataRegularSeason20242025!$B$3:$B$1315, "&lt;=" &amp; X$1, DataRegularSeason20242025!$E$3:$E$1315, $A57)</f>
        <v>7</v>
      </c>
      <c r="Y57">
        <f>SUMIFS(DataRegularSeason20242025!$AA$3:$AA$1315,DataRegularSeason20242025!$B$3:$B$1315, "&lt;=" &amp; Y$1, DataRegularSeason20242025!$D$3:$D$1315, $A57)+SUMIFS(DataRegularSeason20242025!$AB$3:$AB$1315,DataRegularSeason20242025!$B$3:$B$1315, "&lt;=" &amp; Y$1, DataRegularSeason20242025!$E$3:$E$1315, $A57)</f>
        <v>7</v>
      </c>
      <c r="Z57">
        <f>SUMIFS(DataRegularSeason20242025!$AA$3:$AA$1315,DataRegularSeason20242025!$B$3:$B$1315, "&lt;=" &amp; Z$1, DataRegularSeason20242025!$D$3:$D$1315, $A57)+SUMIFS(DataRegularSeason20242025!$AB$3:$AB$1315,DataRegularSeason20242025!$B$3:$B$1315, "&lt;=" &amp; Z$1, DataRegularSeason20242025!$E$3:$E$1315, $A57)</f>
        <v>7</v>
      </c>
      <c r="AA57">
        <f>SUMIFS(DataRegularSeason20242025!$AA$3:$AA$1315,DataRegularSeason20242025!$B$3:$B$1315, "&lt;=" &amp; AA$1, DataRegularSeason20242025!$D$3:$D$1315, $A57)+SUMIFS(DataRegularSeason20242025!$AB$3:$AB$1315,DataRegularSeason20242025!$B$3:$B$1315, "&lt;=" &amp; AA$1, DataRegularSeason20242025!$E$3:$E$1315, $A57)</f>
        <v>7</v>
      </c>
      <c r="AB57">
        <f>SUMIFS(DataRegularSeason20242025!$AA$3:$AA$1315,DataRegularSeason20242025!$B$3:$B$1315, "&lt;=" &amp; AB$1, DataRegularSeason20242025!$D$3:$D$1315, $A57)+SUMIFS(DataRegularSeason20242025!$AB$3:$AB$1315,DataRegularSeason20242025!$B$3:$B$1315, "&lt;=" &amp; AB$1, DataRegularSeason20242025!$E$3:$E$1315, $A57)</f>
        <v>7</v>
      </c>
      <c r="AC57">
        <f>SUMIFS(DataRegularSeason20242025!$AA$3:$AA$1315,DataRegularSeason20242025!$B$3:$B$1315, "&lt;=" &amp; AC$1, DataRegularSeason20242025!$D$3:$D$1315, $A57)+SUMIFS(DataRegularSeason20242025!$AB$3:$AB$1315,DataRegularSeason20242025!$B$3:$B$1315, "&lt;=" &amp; AC$1, DataRegularSeason20242025!$E$3:$E$1315, $A57)</f>
        <v>7</v>
      </c>
      <c r="AD57">
        <f>SUMIFS(DataRegularSeason20242025!$AA$3:$AA$1315,DataRegularSeason20242025!$B$3:$B$1315, "&lt;=" &amp; AD$1, DataRegularSeason20242025!$D$3:$D$1315, $A57)+SUMIFS(DataRegularSeason20242025!$AB$3:$AB$1315,DataRegularSeason20242025!$B$3:$B$1315, "&lt;=" &amp; AD$1, DataRegularSeason20242025!$E$3:$E$1315, $A57)</f>
        <v>7</v>
      </c>
      <c r="AE57">
        <f>SUMIFS(DataRegularSeason20242025!$AA$3:$AA$1315,DataRegularSeason20242025!$B$3:$B$1315, "&lt;=" &amp; AE$1, DataRegularSeason20242025!$D$3:$D$1315, $A57)+SUMIFS(DataRegularSeason20242025!$AB$3:$AB$1315,DataRegularSeason20242025!$B$3:$B$1315, "&lt;=" &amp; AE$1, DataRegularSeason20242025!$E$3:$E$1315, $A57)</f>
        <v>7</v>
      </c>
      <c r="AF57">
        <f>SUMIFS(DataRegularSeason20242025!$AA$3:$AA$1315,DataRegularSeason20242025!$B$3:$B$1315, "&lt;=" &amp; AF$1, DataRegularSeason20242025!$D$3:$D$1315, $A57)+SUMIFS(DataRegularSeason20242025!$AB$3:$AB$1315,DataRegularSeason20242025!$B$3:$B$1315, "&lt;=" &amp; AF$1, DataRegularSeason20242025!$E$3:$E$1315, $A57)</f>
        <v>7</v>
      </c>
      <c r="AG57">
        <f>SUMIFS(DataRegularSeason20242025!$AA$3:$AA$1315,DataRegularSeason20242025!$B$3:$B$1315, "&lt;=" &amp; AG$1, DataRegularSeason20242025!$D$3:$D$1315, $A57)+SUMIFS(DataRegularSeason20242025!$AB$3:$AB$1315,DataRegularSeason20242025!$B$3:$B$1315, "&lt;=" &amp; AG$1, DataRegularSeason20242025!$E$3:$E$1315, $A57)</f>
        <v>7</v>
      </c>
      <c r="AH57">
        <f>SUMIFS(DataRegularSeason20242025!$AA$3:$AA$1315,DataRegularSeason20242025!$B$3:$B$1315, "&lt;=" &amp; AH$1, DataRegularSeason20242025!$D$3:$D$1315, $A57)+SUMIFS(DataRegularSeason20242025!$AB$3:$AB$1315,DataRegularSeason20242025!$B$3:$B$1315, "&lt;=" &amp; AH$1, DataRegularSeason20242025!$E$3:$E$1315, $A57)</f>
        <v>7</v>
      </c>
      <c r="AI57">
        <f>SUMIFS(DataRegularSeason20242025!$AA$3:$AA$1315,DataRegularSeason20242025!$B$3:$B$1315, "&lt;=" &amp; AI$1, DataRegularSeason20242025!$D$3:$D$1315, $A57)+SUMIFS(DataRegularSeason20242025!$AB$3:$AB$1315,DataRegularSeason20242025!$B$3:$B$1315, "&lt;=" &amp; AI$1, DataRegularSeason20242025!$E$3:$E$1315, $A57)</f>
        <v>7</v>
      </c>
      <c r="AJ57">
        <f>SUMIFS(DataRegularSeason20242025!$AA$3:$AA$1315,DataRegularSeason20242025!$B$3:$B$1315, "&lt;=" &amp; AJ$1, DataRegularSeason20242025!$D$3:$D$1315, $A57)+SUMIFS(DataRegularSeason20242025!$AB$3:$AB$1315,DataRegularSeason20242025!$B$3:$B$1315, "&lt;=" &amp; AJ$1, DataRegularSeason20242025!$E$3:$E$1315, $A57)</f>
        <v>7</v>
      </c>
      <c r="AK57">
        <f>SUMIFS(DataRegularSeason20242025!$AA$3:$AA$1315,DataRegularSeason20242025!$B$3:$B$1315, "&lt;=" &amp; AK$1, DataRegularSeason20242025!$D$3:$D$1315, $A57)+SUMIFS(DataRegularSeason20242025!$AB$3:$AB$1315,DataRegularSeason20242025!$B$3:$B$1315, "&lt;=" &amp; AK$1, DataRegularSeason20242025!$E$3:$E$1315, $A57)</f>
        <v>7</v>
      </c>
      <c r="AL57">
        <f>SUMIFS(DataRegularSeason20242025!$AA$3:$AA$1315,DataRegularSeason20242025!$B$3:$B$1315, "&lt;=" &amp; AL$1, DataRegularSeason20242025!$D$3:$D$1315, $A57)+SUMIFS(DataRegularSeason20242025!$AB$3:$AB$1315,DataRegularSeason20242025!$B$3:$B$1315, "&lt;=" &amp; AL$1, DataRegularSeason20242025!$E$3:$E$1315, $A57)</f>
        <v>7</v>
      </c>
      <c r="AM57">
        <f>SUMIFS(DataRegularSeason20242025!$AA$3:$AA$1315,DataRegularSeason20242025!$B$3:$B$1315, "&lt;=" &amp; AM$1, DataRegularSeason20242025!$D$3:$D$1315, $A57)+SUMIFS(DataRegularSeason20242025!$AB$3:$AB$1315,DataRegularSeason20242025!$B$3:$B$1315, "&lt;=" &amp; AM$1, DataRegularSeason20242025!$E$3:$E$1315, $A57)</f>
        <v>7</v>
      </c>
      <c r="AN57">
        <f>SUMIFS(DataRegularSeason20242025!$AA$3:$AA$1315,DataRegularSeason20242025!$B$3:$B$1315, "&lt;=" &amp; AN$1, DataRegularSeason20242025!$D$3:$D$1315, $A57)+SUMIFS(DataRegularSeason20242025!$AB$3:$AB$1315,DataRegularSeason20242025!$B$3:$B$1315, "&lt;=" &amp; AN$1, DataRegularSeason20242025!$E$3:$E$1315, $A57)</f>
        <v>7</v>
      </c>
      <c r="AO57">
        <f>SUMIFS(DataRegularSeason20242025!$AA$3:$AA$1315,DataRegularSeason20242025!$B$3:$B$1315, "&lt;=" &amp; AO$1, DataRegularSeason20242025!$D$3:$D$1315, $A57)+SUMIFS(DataRegularSeason20242025!$AB$3:$AB$1315,DataRegularSeason20242025!$B$3:$B$1315, "&lt;=" &amp; AO$1, DataRegularSeason20242025!$E$3:$E$1315, $A57)</f>
        <v>7</v>
      </c>
      <c r="AP57">
        <f>SUMIFS(DataRegularSeason20242025!$AA$3:$AA$1315,DataRegularSeason20242025!$B$3:$B$1315, "&lt;=" &amp; AP$1, DataRegularSeason20242025!$D$3:$D$1315, $A57)+SUMIFS(DataRegularSeason20242025!$AB$3:$AB$1315,DataRegularSeason20242025!$B$3:$B$1315, "&lt;=" &amp; AP$1, DataRegularSeason20242025!$E$3:$E$1315, $A57)</f>
        <v>7</v>
      </c>
      <c r="AQ57">
        <f>SUMIFS(DataRegularSeason20242025!$AA$3:$AA$1315,DataRegularSeason20242025!$B$3:$B$1315, "&lt;=" &amp; AQ$1, DataRegularSeason20242025!$D$3:$D$1315, $A57)+SUMIFS(DataRegularSeason20242025!$AB$3:$AB$1315,DataRegularSeason20242025!$B$3:$B$1315, "&lt;=" &amp; AQ$1, DataRegularSeason20242025!$E$3:$E$1315, $A57)</f>
        <v>7</v>
      </c>
      <c r="AR57">
        <f>SUMIFS(DataRegularSeason20242025!$AA$3:$AA$1315,DataRegularSeason20242025!$B$3:$B$1315, "&lt;=" &amp; AR$1, DataRegularSeason20242025!$D$3:$D$1315, $A57)+SUMIFS(DataRegularSeason20242025!$AB$3:$AB$1315,DataRegularSeason20242025!$B$3:$B$1315, "&lt;=" &amp; AR$1, DataRegularSeason20242025!$E$3:$E$1315, $A57)</f>
        <v>7</v>
      </c>
      <c r="AS57">
        <f>SUMIFS(DataRegularSeason20242025!$AA$3:$AA$1315,DataRegularSeason20242025!$B$3:$B$1315, "&lt;=" &amp; AS$1, DataRegularSeason20242025!$D$3:$D$1315, $A57)+SUMIFS(DataRegularSeason20242025!$AB$3:$AB$1315,DataRegularSeason20242025!$B$3:$B$1315, "&lt;=" &amp; AS$1, DataRegularSeason20242025!$E$3:$E$1315, $A57)</f>
        <v>7</v>
      </c>
      <c r="AT57">
        <f>SUMIFS(DataRegularSeason20242025!$AA$3:$AA$1315,DataRegularSeason20242025!$B$3:$B$1315, "&lt;=" &amp; AT$1, DataRegularSeason20242025!$D$3:$D$1315, $A57)+SUMIFS(DataRegularSeason20242025!$AB$3:$AB$1315,DataRegularSeason20242025!$B$3:$B$1315, "&lt;=" &amp; AT$1, DataRegularSeason20242025!$E$3:$E$1315, $A57)</f>
        <v>7</v>
      </c>
      <c r="AU57">
        <f>SUMIFS(DataRegularSeason20242025!$AA$3:$AA$1315,DataRegularSeason20242025!$B$3:$B$1315, "&lt;=" &amp; AU$1, DataRegularSeason20242025!$D$3:$D$1315, $A57)+SUMIFS(DataRegularSeason20242025!$AB$3:$AB$1315,DataRegularSeason20242025!$B$3:$B$1315, "&lt;=" &amp; AU$1, DataRegularSeason20242025!$E$3:$E$1315, $A57)</f>
        <v>7</v>
      </c>
      <c r="AV57">
        <f>SUMIFS(DataRegularSeason20242025!$AA$3:$AA$1315,DataRegularSeason20242025!$B$3:$B$1315, "&lt;=" &amp; AV$1, DataRegularSeason20242025!$D$3:$D$1315, $A57)+SUMIFS(DataRegularSeason20242025!$AB$3:$AB$1315,DataRegularSeason20242025!$B$3:$B$1315, "&lt;=" &amp; AV$1, DataRegularSeason20242025!$E$3:$E$1315, $A57)</f>
        <v>7</v>
      </c>
      <c r="AW57">
        <f>SUMIFS(DataRegularSeason20242025!$AA$3:$AA$1315,DataRegularSeason20242025!$B$3:$B$1315, "&lt;=" &amp; AW$1, DataRegularSeason20242025!$D$3:$D$1315, $A57)+SUMIFS(DataRegularSeason20242025!$AB$3:$AB$1315,DataRegularSeason20242025!$B$3:$B$1315, "&lt;=" &amp; AW$1, DataRegularSeason20242025!$E$3:$E$1315, $A57)</f>
        <v>7</v>
      </c>
      <c r="AX57">
        <f>SUMIFS(DataRegularSeason20242025!$AA$3:$AA$1315,DataRegularSeason20242025!$B$3:$B$1315, "&lt;=" &amp; AX$1, DataRegularSeason20242025!$D$3:$D$1315, $A57)+SUMIFS(DataRegularSeason20242025!$AB$3:$AB$1315,DataRegularSeason20242025!$B$3:$B$1315, "&lt;=" &amp; AX$1, DataRegularSeason20242025!$E$3:$E$1315, $A57)</f>
        <v>7</v>
      </c>
      <c r="AY57">
        <f>SUMIFS(DataRegularSeason20242025!$AA$3:$AA$1315,DataRegularSeason20242025!$B$3:$B$1315, "&lt;=" &amp; AY$1, DataRegularSeason20242025!$D$3:$D$1315, $A57)+SUMIFS(DataRegularSeason20242025!$AB$3:$AB$1315,DataRegularSeason20242025!$B$3:$B$1315, "&lt;=" &amp; AY$1, DataRegularSeason20242025!$E$3:$E$1315, $A57)</f>
        <v>7</v>
      </c>
      <c r="AZ57">
        <f>SUMIFS(DataRegularSeason20242025!$AA$3:$AA$1315,DataRegularSeason20242025!$B$3:$B$1315, "&lt;=" &amp; AZ$1, DataRegularSeason20242025!$D$3:$D$1315, $A57)+SUMIFS(DataRegularSeason20242025!$AB$3:$AB$1315,DataRegularSeason20242025!$B$3:$B$1315, "&lt;=" &amp; AZ$1, DataRegularSeason20242025!$E$3:$E$1315, $A57)</f>
        <v>7</v>
      </c>
      <c r="BA57">
        <f>SUMIFS(DataRegularSeason20242025!$AA$3:$AA$1315,DataRegularSeason20242025!$B$3:$B$1315, "&lt;=" &amp; BA$1, DataRegularSeason20242025!$D$3:$D$1315, $A57)+SUMIFS(DataRegularSeason20242025!$AB$3:$AB$1315,DataRegularSeason20242025!$B$3:$B$1315, "&lt;=" &amp; BA$1, DataRegularSeason20242025!$E$3:$E$1315, $A57)</f>
        <v>7</v>
      </c>
      <c r="BB57">
        <f>SUMIFS(DataRegularSeason20242025!$AA$3:$AA$1315,DataRegularSeason20242025!$B$3:$B$1315, "&lt;=" &amp; BB$1, DataRegularSeason20242025!$D$3:$D$1315, $A57)+SUMIFS(DataRegularSeason20242025!$AB$3:$AB$1315,DataRegularSeason20242025!$B$3:$B$1315, "&lt;=" &amp; BB$1, DataRegularSeason20242025!$E$3:$E$1315, $A57)</f>
        <v>7</v>
      </c>
      <c r="BC57">
        <f>SUMIFS(DataRegularSeason20242025!$AA$3:$AA$1315,DataRegularSeason20242025!$B$3:$B$1315, "&lt;=" &amp; BC$1, DataRegularSeason20242025!$D$3:$D$1315, $A57)+SUMIFS(DataRegularSeason20242025!$AB$3:$AB$1315,DataRegularSeason20242025!$B$3:$B$1315, "&lt;=" &amp; BC$1, DataRegularSeason20242025!$E$3:$E$1315, $A57)</f>
        <v>7</v>
      </c>
      <c r="BD57">
        <f>SUMIFS(DataRegularSeason20242025!$AA$3:$AA$1315,DataRegularSeason20242025!$B$3:$B$1315, "&lt;=" &amp; BD$1, DataRegularSeason20242025!$D$3:$D$1315, $A57)+SUMIFS(DataRegularSeason20242025!$AB$3:$AB$1315,DataRegularSeason20242025!$B$3:$B$1315, "&lt;=" &amp; BD$1, DataRegularSeason20242025!$E$3:$E$1315, $A57)</f>
        <v>7</v>
      </c>
      <c r="BE57">
        <f>SUMIFS(DataRegularSeason20242025!$AA$3:$AA$1315,DataRegularSeason20242025!$B$3:$B$1315, "&lt;=" &amp; BE$1, DataRegularSeason20242025!$D$3:$D$1315, $A57)+SUMIFS(DataRegularSeason20242025!$AB$3:$AB$1315,DataRegularSeason20242025!$B$3:$B$1315, "&lt;=" &amp; BE$1, DataRegularSeason20242025!$E$3:$E$1315, $A57)</f>
        <v>7</v>
      </c>
      <c r="BF57">
        <f>SUMIFS(DataRegularSeason20242025!$AA$3:$AA$1315,DataRegularSeason20242025!$B$3:$B$1315, "&lt;=" &amp; BF$1, DataRegularSeason20242025!$D$3:$D$1315, $A57)+SUMIFS(DataRegularSeason20242025!$AB$3:$AB$1315,DataRegularSeason20242025!$B$3:$B$1315, "&lt;=" &amp; BF$1, DataRegularSeason20242025!$E$3:$E$1315, $A57)</f>
        <v>7</v>
      </c>
      <c r="BG57">
        <f>SUMIFS(DataRegularSeason20242025!$AA$3:$AA$1315,DataRegularSeason20242025!$B$3:$B$1315, "&lt;=" &amp; BG$1, DataRegularSeason20242025!$D$3:$D$1315, $A57)+SUMIFS(DataRegularSeason20242025!$AB$3:$AB$1315,DataRegularSeason20242025!$B$3:$B$1315, "&lt;=" &amp; BG$1, DataRegularSeason20242025!$E$3:$E$1315, $A57)</f>
        <v>7</v>
      </c>
      <c r="BH57">
        <f>SUMIFS(DataRegularSeason20242025!$AA$3:$AA$1315,DataRegularSeason20242025!$B$3:$B$1315, "&lt;=" &amp; BH$1, DataRegularSeason20242025!$D$3:$D$1315, $A57)+SUMIFS(DataRegularSeason20242025!$AB$3:$AB$1315,DataRegularSeason20242025!$B$3:$B$1315, "&lt;=" &amp; BH$1, DataRegularSeason20242025!$E$3:$E$1315, $A57)</f>
        <v>7</v>
      </c>
      <c r="BI57">
        <f>SUMIFS(DataRegularSeason20242025!$AA$3:$AA$1315,DataRegularSeason20242025!$B$3:$B$1315, "&lt;=" &amp; BI$1, DataRegularSeason20242025!$D$3:$D$1315, $A57)+SUMIFS(DataRegularSeason20242025!$AB$3:$AB$1315,DataRegularSeason20242025!$B$3:$B$1315, "&lt;=" &amp; BI$1, DataRegularSeason20242025!$E$3:$E$1315, $A57)</f>
        <v>7</v>
      </c>
      <c r="BJ57">
        <f>SUMIFS(DataRegularSeason20242025!$AA$3:$AA$1315,DataRegularSeason20242025!$B$3:$B$1315, "&lt;=" &amp; BJ$1, DataRegularSeason20242025!$D$3:$D$1315, $A57)+SUMIFS(DataRegularSeason20242025!$AB$3:$AB$1315,DataRegularSeason20242025!$B$3:$B$1315, "&lt;=" &amp; BJ$1, DataRegularSeason20242025!$E$3:$E$1315, $A57)</f>
        <v>7</v>
      </c>
      <c r="BK57">
        <f>SUMIFS(DataRegularSeason20242025!$AA$3:$AA$1315,DataRegularSeason20242025!$B$3:$B$1315, "&lt;=" &amp; BK$1, DataRegularSeason20242025!$D$3:$D$1315, $A57)+SUMIFS(DataRegularSeason20242025!$AB$3:$AB$1315,DataRegularSeason20242025!$B$3:$B$1315, "&lt;=" &amp; BK$1, DataRegularSeason20242025!$E$3:$E$1315, $A57)</f>
        <v>7</v>
      </c>
      <c r="BL57">
        <f>SUMIFS(DataRegularSeason20242025!$AA$3:$AA$1315,DataRegularSeason20242025!$B$3:$B$1315, "&lt;=" &amp; BL$1, DataRegularSeason20242025!$D$3:$D$1315, $A57)+SUMIFS(DataRegularSeason20242025!$AB$3:$AB$1315,DataRegularSeason20242025!$B$3:$B$1315, "&lt;=" &amp; BL$1, DataRegularSeason20242025!$E$3:$E$1315, $A57)</f>
        <v>7</v>
      </c>
      <c r="BM57">
        <f>SUMIFS(DataRegularSeason20242025!$AA$3:$AA$1315,DataRegularSeason20242025!$B$3:$B$1315, "&lt;=" &amp; BM$1, DataRegularSeason20242025!$D$3:$D$1315, $A57)+SUMIFS(DataRegularSeason20242025!$AB$3:$AB$1315,DataRegularSeason20242025!$B$3:$B$1315, "&lt;=" &amp; BM$1, DataRegularSeason20242025!$E$3:$E$1315, $A57)</f>
        <v>7</v>
      </c>
      <c r="BN57">
        <f>SUMIFS(DataRegularSeason20242025!$AA$3:$AA$1315,DataRegularSeason20242025!$B$3:$B$1315, "&lt;=" &amp; BN$1, DataRegularSeason20242025!$D$3:$D$1315, $A57)+SUMIFS(DataRegularSeason20242025!$AB$3:$AB$1315,DataRegularSeason20242025!$B$3:$B$1315, "&lt;=" &amp; BN$1, DataRegularSeason20242025!$E$3:$E$1315, $A57)</f>
        <v>7</v>
      </c>
      <c r="BO57">
        <f>SUMIFS(DataRegularSeason20242025!$AA$3:$AA$1315,DataRegularSeason20242025!$B$3:$B$1315, "&lt;=" &amp; BO$1, DataRegularSeason20242025!$D$3:$D$1315, $A57)+SUMIFS(DataRegularSeason20242025!$AB$3:$AB$1315,DataRegularSeason20242025!$B$3:$B$1315, "&lt;=" &amp; BO$1, DataRegularSeason20242025!$E$3:$E$1315, $A57)</f>
        <v>7</v>
      </c>
      <c r="BP57">
        <f>SUMIFS(DataRegularSeason20242025!$AA$3:$AA$1315,DataRegularSeason20242025!$B$3:$B$1315, "&lt;=" &amp; BP$1, DataRegularSeason20242025!$D$3:$D$1315, $A57)+SUMIFS(DataRegularSeason20242025!$AB$3:$AB$1315,DataRegularSeason20242025!$B$3:$B$1315, "&lt;=" &amp; BP$1, DataRegularSeason20242025!$E$3:$E$1315, $A57)</f>
        <v>7</v>
      </c>
      <c r="BQ57">
        <f>SUMIFS(DataRegularSeason20242025!$AA$3:$AA$1315,DataRegularSeason20242025!$B$3:$B$1315, "&lt;=" &amp; BQ$1, DataRegularSeason20242025!$D$3:$D$1315, $A57)+SUMIFS(DataRegularSeason20242025!$AB$3:$AB$1315,DataRegularSeason20242025!$B$3:$B$1315, "&lt;=" &amp; BQ$1, DataRegularSeason20242025!$E$3:$E$1315, $A57)</f>
        <v>7</v>
      </c>
      <c r="BR57">
        <f>SUMIFS(DataRegularSeason20242025!$AA$3:$AA$1315,DataRegularSeason20242025!$B$3:$B$1315, "&lt;=" &amp; BR$1, DataRegularSeason20242025!$D$3:$D$1315, $A57)+SUMIFS(DataRegularSeason20242025!$AB$3:$AB$1315,DataRegularSeason20242025!$B$3:$B$1315, "&lt;=" &amp; BR$1, DataRegularSeason20242025!$E$3:$E$1315, $A57)</f>
        <v>7</v>
      </c>
      <c r="BS57">
        <f>SUMIFS(DataRegularSeason20242025!$AA$3:$AA$1315,DataRegularSeason20242025!$B$3:$B$1315, "&lt;=" &amp; BS$1, DataRegularSeason20242025!$D$3:$D$1315, $A57)+SUMIFS(DataRegularSeason20242025!$AB$3:$AB$1315,DataRegularSeason20242025!$B$3:$B$1315, "&lt;=" &amp; BS$1, DataRegularSeason20242025!$E$3:$E$1315, $A57)</f>
        <v>7</v>
      </c>
      <c r="BT57">
        <f>SUMIFS(DataRegularSeason20242025!$AA$3:$AA$1315,DataRegularSeason20242025!$B$3:$B$1315, "&lt;=" &amp; BT$1, DataRegularSeason20242025!$D$3:$D$1315, $A57)+SUMIFS(DataRegularSeason20242025!$AB$3:$AB$1315,DataRegularSeason20242025!$B$3:$B$1315, "&lt;=" &amp; BT$1, DataRegularSeason20242025!$E$3:$E$1315, $A57)</f>
        <v>7</v>
      </c>
      <c r="BU57">
        <f>SUMIFS(DataRegularSeason20242025!$AA$3:$AA$1315,DataRegularSeason20242025!$B$3:$B$1315, "&lt;=" &amp; BU$1, DataRegularSeason20242025!$D$3:$D$1315, $A57)+SUMIFS(DataRegularSeason20242025!$AB$3:$AB$1315,DataRegularSeason20242025!$B$3:$B$1315, "&lt;=" &amp; BU$1, DataRegularSeason20242025!$E$3:$E$1315, $A57)</f>
        <v>7</v>
      </c>
      <c r="BV57">
        <f>SUMIFS(DataRegularSeason20242025!$AA$3:$AA$1315,DataRegularSeason20242025!$B$3:$B$1315, "&lt;=" &amp; BV$1, DataRegularSeason20242025!$D$3:$D$1315, $A57)+SUMIFS(DataRegularSeason20242025!$AB$3:$AB$1315,DataRegularSeason20242025!$B$3:$B$1315, "&lt;=" &amp; BV$1, DataRegularSeason20242025!$E$3:$E$1315, $A57)</f>
        <v>7</v>
      </c>
      <c r="BW57">
        <f>SUMIFS(DataRegularSeason20242025!$AA$3:$AA$1315,DataRegularSeason20242025!$B$3:$B$1315, "&lt;=" &amp; BW$1, DataRegularSeason20242025!$D$3:$D$1315, $A57)+SUMIFS(DataRegularSeason20242025!$AB$3:$AB$1315,DataRegularSeason20242025!$B$3:$B$1315, "&lt;=" &amp; BW$1, DataRegularSeason20242025!$E$3:$E$1315, $A57)</f>
        <v>7</v>
      </c>
      <c r="BX57">
        <f>SUMIFS(DataRegularSeason20242025!$AA$3:$AA$1315,DataRegularSeason20242025!$B$3:$B$1315, "&lt;=" &amp; BX$1, DataRegularSeason20242025!$D$3:$D$1315, $A57)+SUMIFS(DataRegularSeason20242025!$AB$3:$AB$1315,DataRegularSeason20242025!$B$3:$B$1315, "&lt;=" &amp; BX$1, DataRegularSeason20242025!$E$3:$E$1315, $A57)</f>
        <v>7</v>
      </c>
      <c r="BY57">
        <f>SUMIFS(DataRegularSeason20242025!$AA$3:$AA$1315,DataRegularSeason20242025!$B$3:$B$1315, "&lt;=" &amp; BY$1, DataRegularSeason20242025!$D$3:$D$1315, $A57)+SUMIFS(DataRegularSeason20242025!$AB$3:$AB$1315,DataRegularSeason20242025!$B$3:$B$1315, "&lt;=" &amp; BY$1, DataRegularSeason20242025!$E$3:$E$1315, $A57)</f>
        <v>7</v>
      </c>
      <c r="BZ57">
        <f>SUMIFS(DataRegularSeason20242025!$AA$3:$AA$1315,DataRegularSeason20242025!$B$3:$B$1315, "&lt;=" &amp; BZ$1, DataRegularSeason20242025!$D$3:$D$1315, $A57)+SUMIFS(DataRegularSeason20242025!$AB$3:$AB$1315,DataRegularSeason20242025!$B$3:$B$1315, "&lt;=" &amp; BZ$1, DataRegularSeason20242025!$E$3:$E$1315, $A57)</f>
        <v>7</v>
      </c>
      <c r="CA57">
        <f>SUMIFS(DataRegularSeason20242025!$AA$3:$AA$1315,DataRegularSeason20242025!$B$3:$B$1315, "&lt;=" &amp; CA$1, DataRegularSeason20242025!$D$3:$D$1315, $A57)+SUMIFS(DataRegularSeason20242025!$AB$3:$AB$1315,DataRegularSeason20242025!$B$3:$B$1315, "&lt;=" &amp; CA$1, DataRegularSeason20242025!$E$3:$E$1315, $A57)</f>
        <v>7</v>
      </c>
      <c r="CB57">
        <f>SUMIFS(DataRegularSeason20242025!$AA$3:$AA$1315,DataRegularSeason20242025!$B$3:$B$1315, "&lt;=" &amp; CB$1, DataRegularSeason20242025!$D$3:$D$1315, $A57)+SUMIFS(DataRegularSeason20242025!$AB$3:$AB$1315,DataRegularSeason20242025!$B$3:$B$1315, "&lt;=" &amp; CB$1, DataRegularSeason20242025!$E$3:$E$1315, $A57)</f>
        <v>7</v>
      </c>
      <c r="CC57">
        <f>SUMIFS(DataRegularSeason20242025!$AA$3:$AA$1315,DataRegularSeason20242025!$B$3:$B$1315, "&lt;=" &amp; CC$1, DataRegularSeason20242025!$D$3:$D$1315, $A57)+SUMIFS(DataRegularSeason20242025!$AB$3:$AB$1315,DataRegularSeason20242025!$B$3:$B$1315, "&lt;=" &amp; CC$1, DataRegularSeason20242025!$E$3:$E$1315, $A57)</f>
        <v>7</v>
      </c>
      <c r="CD57">
        <f>SUMIFS(DataRegularSeason20242025!$AA$3:$AA$1315,DataRegularSeason20242025!$B$3:$B$1315, "&lt;=" &amp; CD$1, DataRegularSeason20242025!$D$3:$D$1315, $A57)+SUMIFS(DataRegularSeason20242025!$AB$3:$AB$1315,DataRegularSeason20242025!$B$3:$B$1315, "&lt;=" &amp; CD$1, DataRegularSeason20242025!$E$3:$E$1315, $A57)</f>
        <v>7</v>
      </c>
      <c r="CE57">
        <f>SUMIFS(DataRegularSeason20242025!$AA$3:$AA$1315,DataRegularSeason20242025!$B$3:$B$1315, "&lt;=" &amp; CE$1, DataRegularSeason20242025!$D$3:$D$1315, $A57)+SUMIFS(DataRegularSeason20242025!$AB$3:$AB$1315,DataRegularSeason20242025!$B$3:$B$1315, "&lt;=" &amp; CE$1, DataRegularSeason20242025!$E$3:$E$1315, $A57)</f>
        <v>7</v>
      </c>
      <c r="CF57">
        <f>SUMIFS(DataRegularSeason20242025!$AA$3:$AA$1315,DataRegularSeason20242025!$B$3:$B$1315, "&lt;=" &amp; CF$1, DataRegularSeason20242025!$D$3:$D$1315, $A57)+SUMIFS(DataRegularSeason20242025!$AB$3:$AB$1315,DataRegularSeason20242025!$B$3:$B$1315, "&lt;=" &amp; CF$1, DataRegularSeason20242025!$E$3:$E$1315, $A57)</f>
        <v>7</v>
      </c>
      <c r="CG57">
        <f>SUMIFS(DataRegularSeason20242025!$AA$3:$AA$1315,DataRegularSeason20242025!$B$3:$B$1315, "&lt;=" &amp; CG$1, DataRegularSeason20242025!$D$3:$D$1315, $A57)+SUMIFS(DataRegularSeason20242025!$AB$3:$AB$1315,DataRegularSeason20242025!$B$3:$B$1315, "&lt;=" &amp; CG$1, DataRegularSeason20242025!$E$3:$E$1315, $A57)</f>
        <v>7</v>
      </c>
      <c r="CH57">
        <f>SUMIFS(DataRegularSeason20242025!$AA$3:$AA$1315,DataRegularSeason20242025!$B$3:$B$1315, "&lt;=" &amp; CH$1, DataRegularSeason20242025!$D$3:$D$1315, $A57)+SUMIFS(DataRegularSeason20242025!$AB$3:$AB$1315,DataRegularSeason20242025!$B$3:$B$1315, "&lt;=" &amp; CH$1, DataRegularSeason20242025!$E$3:$E$1315, $A57)</f>
        <v>7</v>
      </c>
      <c r="CI57">
        <f>SUMIFS(DataRegularSeason20242025!$AA$3:$AA$1315,DataRegularSeason20242025!$B$3:$B$1315, "&lt;=" &amp; CI$1, DataRegularSeason20242025!$D$3:$D$1315, $A57)+SUMIFS(DataRegularSeason20242025!$AB$3:$AB$1315,DataRegularSeason20242025!$B$3:$B$1315, "&lt;=" &amp; CI$1, DataRegularSeason20242025!$E$3:$E$1315, $A57)</f>
        <v>7</v>
      </c>
      <c r="CJ57">
        <f>SUMIFS(DataRegularSeason20242025!$AA$3:$AA$1315,DataRegularSeason20242025!$B$3:$B$1315, "&lt;=" &amp; CJ$1, DataRegularSeason20242025!$D$3:$D$1315, $A57)+SUMIFS(DataRegularSeason20242025!$AB$3:$AB$1315,DataRegularSeason20242025!$B$3:$B$1315, "&lt;=" &amp; CJ$1, DataRegularSeason20242025!$E$3:$E$1315, $A57)</f>
        <v>7</v>
      </c>
      <c r="CK57">
        <f>SUMIFS(DataRegularSeason20242025!$AA$3:$AA$1315,DataRegularSeason20242025!$B$3:$B$1315, "&lt;=" &amp; CK$1, DataRegularSeason20242025!$D$3:$D$1315, $A57)+SUMIFS(DataRegularSeason20242025!$AB$3:$AB$1315,DataRegularSeason20242025!$B$3:$B$1315, "&lt;=" &amp; CK$1, DataRegularSeason20242025!$E$3:$E$1315, $A57)</f>
        <v>7</v>
      </c>
      <c r="CL57">
        <f>SUMIFS(DataRegularSeason20242025!$AA$3:$AA$1315,DataRegularSeason20242025!$B$3:$B$1315, "&lt;=" &amp; CL$1, DataRegularSeason20242025!$D$3:$D$1315, $A57)+SUMIFS(DataRegularSeason20242025!$AB$3:$AB$1315,DataRegularSeason20242025!$B$3:$B$1315, "&lt;=" &amp; CL$1, DataRegularSeason20242025!$E$3:$E$1315, $A57)</f>
        <v>7</v>
      </c>
      <c r="CM57">
        <f>SUMIFS(DataRegularSeason20242025!$AA$3:$AA$1315,DataRegularSeason20242025!$B$3:$B$1315, "&lt;=" &amp; CM$1, DataRegularSeason20242025!$D$3:$D$1315, $A57)+SUMIFS(DataRegularSeason20242025!$AB$3:$AB$1315,DataRegularSeason20242025!$B$3:$B$1315, "&lt;=" &amp; CM$1, DataRegularSeason20242025!$E$3:$E$1315, $A57)</f>
        <v>7</v>
      </c>
      <c r="CN57">
        <f>SUMIFS(DataRegularSeason20242025!$AA$3:$AA$1315,DataRegularSeason20242025!$B$3:$B$1315, "&lt;=" &amp; CN$1, DataRegularSeason20242025!$D$3:$D$1315, $A57)+SUMIFS(DataRegularSeason20242025!$AB$3:$AB$1315,DataRegularSeason20242025!$B$3:$B$1315, "&lt;=" &amp; CN$1, DataRegularSeason20242025!$E$3:$E$1315, $A57)</f>
        <v>7</v>
      </c>
      <c r="CO57">
        <f>SUMIFS(DataRegularSeason20242025!$AA$3:$AA$1315,DataRegularSeason20242025!$B$3:$B$1315, "&lt;=" &amp; CO$1, DataRegularSeason20242025!$D$3:$D$1315, $A57)+SUMIFS(DataRegularSeason20242025!$AB$3:$AB$1315,DataRegularSeason20242025!$B$3:$B$1315, "&lt;=" &amp; CO$1, DataRegularSeason20242025!$E$3:$E$1315, $A57)</f>
        <v>7</v>
      </c>
      <c r="CP57">
        <f>SUMIFS(DataRegularSeason20242025!$AA$3:$AA$1315,DataRegularSeason20242025!$B$3:$B$1315, "&lt;=" &amp; CP$1, DataRegularSeason20242025!$D$3:$D$1315, $A57)+SUMIFS(DataRegularSeason20242025!$AB$3:$AB$1315,DataRegularSeason20242025!$B$3:$B$1315, "&lt;=" &amp; CP$1, DataRegularSeason20242025!$E$3:$E$1315, $A57)</f>
        <v>7</v>
      </c>
      <c r="CQ57">
        <f>SUMIFS(DataRegularSeason20242025!$AA$3:$AA$1315,DataRegularSeason20242025!$B$3:$B$1315, "&lt;=" &amp; CQ$1, DataRegularSeason20242025!$D$3:$D$1315, $A57)+SUMIFS(DataRegularSeason20242025!$AB$3:$AB$1315,DataRegularSeason20242025!$B$3:$B$1315, "&lt;=" &amp; CQ$1, DataRegularSeason20242025!$E$3:$E$1315, $A57)</f>
        <v>7</v>
      </c>
      <c r="CR57">
        <f>SUMIFS(DataRegularSeason20242025!$AA$3:$AA$1315,DataRegularSeason20242025!$B$3:$B$1315, "&lt;=" &amp; CR$1, DataRegularSeason20242025!$D$3:$D$1315, $A57)+SUMIFS(DataRegularSeason20242025!$AB$3:$AB$1315,DataRegularSeason20242025!$B$3:$B$1315, "&lt;=" &amp; CR$1, DataRegularSeason20242025!$E$3:$E$1315, $A57)</f>
        <v>7</v>
      </c>
      <c r="CS57">
        <f>SUMIFS(DataRegularSeason20242025!$AA$3:$AA$1315,DataRegularSeason20242025!$B$3:$B$1315, "&lt;=" &amp; CS$1, DataRegularSeason20242025!$D$3:$D$1315, $A57)+SUMIFS(DataRegularSeason20242025!$AB$3:$AB$1315,DataRegularSeason20242025!$B$3:$B$1315, "&lt;=" &amp; CS$1, DataRegularSeason20242025!$E$3:$E$1315, $A57)</f>
        <v>7</v>
      </c>
      <c r="CT57">
        <f>SUMIFS(DataRegularSeason20242025!$AA$3:$AA$1315,DataRegularSeason20242025!$B$3:$B$1315, "&lt;=" &amp; CT$1, DataRegularSeason20242025!$D$3:$D$1315, $A57)+SUMIFS(DataRegularSeason20242025!$AB$3:$AB$1315,DataRegularSeason20242025!$B$3:$B$1315, "&lt;=" &amp; CT$1, DataRegularSeason20242025!$E$3:$E$1315, $A57)</f>
        <v>7</v>
      </c>
      <c r="CU57">
        <f>SUMIFS(DataRegularSeason20242025!$AA$3:$AA$1315,DataRegularSeason20242025!$B$3:$B$1315, "&lt;=" &amp; CU$1, DataRegularSeason20242025!$D$3:$D$1315, $A57)+SUMIFS(DataRegularSeason20242025!$AB$3:$AB$1315,DataRegularSeason20242025!$B$3:$B$1315, "&lt;=" &amp; CU$1, DataRegularSeason20242025!$E$3:$E$1315, $A57)</f>
        <v>7</v>
      </c>
      <c r="CV57">
        <f>SUMIFS(DataRegularSeason20242025!$AA$3:$AA$1315,DataRegularSeason20242025!$B$3:$B$1315, "&lt;=" &amp; CV$1, DataRegularSeason20242025!$D$3:$D$1315, $A57)+SUMIFS(DataRegularSeason20242025!$AB$3:$AB$1315,DataRegularSeason20242025!$B$3:$B$1315, "&lt;=" &amp; CV$1, DataRegularSeason20242025!$E$3:$E$1315, $A57)</f>
        <v>7</v>
      </c>
      <c r="CW57">
        <f>SUMIFS(DataRegularSeason20242025!$AA$3:$AA$1315,DataRegularSeason20242025!$B$3:$B$1315, "&lt;=" &amp; CW$1, DataRegularSeason20242025!$D$3:$D$1315, $A57)+SUMIFS(DataRegularSeason20242025!$AB$3:$AB$1315,DataRegularSeason20242025!$B$3:$B$1315, "&lt;=" &amp; CW$1, DataRegularSeason20242025!$E$3:$E$1315, $A57)</f>
        <v>7</v>
      </c>
      <c r="CX57">
        <f>SUMIFS(DataRegularSeason20242025!$AA$3:$AA$1315,DataRegularSeason20242025!$B$3:$B$1315, "&lt;=" &amp; CX$1, DataRegularSeason20242025!$D$3:$D$1315, $A57)+SUMIFS(DataRegularSeason20242025!$AB$3:$AB$1315,DataRegularSeason20242025!$B$3:$B$1315, "&lt;=" &amp; CX$1, DataRegularSeason20242025!$E$3:$E$1315, $A57)</f>
        <v>7</v>
      </c>
      <c r="CY57">
        <f>SUMIFS(DataRegularSeason20242025!$AA$3:$AA$1315,DataRegularSeason20242025!$B$3:$B$1315, "&lt;=" &amp; CY$1, DataRegularSeason20242025!$D$3:$D$1315, $A57)+SUMIFS(DataRegularSeason20242025!$AB$3:$AB$1315,DataRegularSeason20242025!$B$3:$B$1315, "&lt;=" &amp; CY$1, DataRegularSeason20242025!$E$3:$E$1315, $A57)</f>
        <v>7</v>
      </c>
      <c r="CZ57">
        <f>SUMIFS(DataRegularSeason20242025!$AA$3:$AA$1315,DataRegularSeason20242025!$B$3:$B$1315, "&lt;=" &amp; CZ$1, DataRegularSeason20242025!$D$3:$D$1315, $A57)+SUMIFS(DataRegularSeason20242025!$AB$3:$AB$1315,DataRegularSeason20242025!$B$3:$B$1315, "&lt;=" &amp; CZ$1, DataRegularSeason20242025!$E$3:$E$1315, $A57)</f>
        <v>7</v>
      </c>
      <c r="DA57">
        <f>SUMIFS(DataRegularSeason20242025!$AA$3:$AA$1315,DataRegularSeason20242025!$B$3:$B$1315, "&lt;=" &amp; DA$1, DataRegularSeason20242025!$D$3:$D$1315, $A57)+SUMIFS(DataRegularSeason20242025!$AB$3:$AB$1315,DataRegularSeason20242025!$B$3:$B$1315, "&lt;=" &amp; DA$1, DataRegularSeason20242025!$E$3:$E$1315, $A57)</f>
        <v>7</v>
      </c>
      <c r="DB57">
        <f>SUMIFS(DataRegularSeason20242025!$AA$3:$AA$1315,DataRegularSeason20242025!$B$3:$B$1315, "&lt;=" &amp; DB$1, DataRegularSeason20242025!$D$3:$D$1315, $A57)+SUMIFS(DataRegularSeason20242025!$AB$3:$AB$1315,DataRegularSeason20242025!$B$3:$B$1315, "&lt;=" &amp; DB$1, DataRegularSeason20242025!$E$3:$E$1315, $A57)</f>
        <v>7</v>
      </c>
      <c r="DC57">
        <f>SUMIFS(DataRegularSeason20242025!$AA$3:$AA$1315,DataRegularSeason20242025!$B$3:$B$1315, "&lt;=" &amp; DC$1, DataRegularSeason20242025!$D$3:$D$1315, $A57)+SUMIFS(DataRegularSeason20242025!$AB$3:$AB$1315,DataRegularSeason20242025!$B$3:$B$1315, "&lt;=" &amp; DC$1, DataRegularSeason20242025!$E$3:$E$1315, $A57)</f>
        <v>7</v>
      </c>
      <c r="DD57">
        <f>SUMIFS(DataRegularSeason20242025!$AA$3:$AA$1315,DataRegularSeason20242025!$B$3:$B$1315, "&lt;=" &amp; DD$1, DataRegularSeason20242025!$D$3:$D$1315, $A57)+SUMIFS(DataRegularSeason20242025!$AB$3:$AB$1315,DataRegularSeason20242025!$B$3:$B$1315, "&lt;=" &amp; DD$1, DataRegularSeason20242025!$E$3:$E$1315, $A57)</f>
        <v>7</v>
      </c>
      <c r="DE57">
        <f>SUMIFS(DataRegularSeason20242025!$AA$3:$AA$1315,DataRegularSeason20242025!$B$3:$B$1315, "&lt;=" &amp; DE$1, DataRegularSeason20242025!$D$3:$D$1315, $A57)+SUMIFS(DataRegularSeason20242025!$AB$3:$AB$1315,DataRegularSeason20242025!$B$3:$B$1315, "&lt;=" &amp; DE$1, DataRegularSeason20242025!$E$3:$E$1315, $A57)</f>
        <v>7</v>
      </c>
      <c r="DF57">
        <f>SUMIFS(DataRegularSeason20242025!$AA$3:$AA$1315,DataRegularSeason20242025!$B$3:$B$1315, "&lt;=" &amp; DF$1, DataRegularSeason20242025!$D$3:$D$1315, $A57)+SUMIFS(DataRegularSeason20242025!$AB$3:$AB$1315,DataRegularSeason20242025!$B$3:$B$1315, "&lt;=" &amp; DF$1, DataRegularSeason20242025!$E$3:$E$1315, $A57)</f>
        <v>7</v>
      </c>
      <c r="DG57">
        <f>SUMIFS(DataRegularSeason20242025!$AA$3:$AA$1315,DataRegularSeason20242025!$B$3:$B$1315, "&lt;=" &amp; DG$1, DataRegularSeason20242025!$D$3:$D$1315, $A57)+SUMIFS(DataRegularSeason20242025!$AB$3:$AB$1315,DataRegularSeason20242025!$B$3:$B$1315, "&lt;=" &amp; DG$1, DataRegularSeason20242025!$E$3:$E$1315, $A57)</f>
        <v>7</v>
      </c>
      <c r="DH57">
        <f>SUMIFS(DataRegularSeason20242025!$AA$3:$AA$1315,DataRegularSeason20242025!$B$3:$B$1315, "&lt;=" &amp; DH$1, DataRegularSeason20242025!$D$3:$D$1315, $A57)+SUMIFS(DataRegularSeason20242025!$AB$3:$AB$1315,DataRegularSeason20242025!$B$3:$B$1315, "&lt;=" &amp; DH$1, DataRegularSeason20242025!$E$3:$E$1315, $A57)</f>
        <v>7</v>
      </c>
      <c r="DI57">
        <f>SUMIFS(DataRegularSeason20242025!$AA$3:$AA$1315,DataRegularSeason20242025!$B$3:$B$1315, "&lt;=" &amp; DI$1, DataRegularSeason20242025!$D$3:$D$1315, $A57)+SUMIFS(DataRegularSeason20242025!$AB$3:$AB$1315,DataRegularSeason20242025!$B$3:$B$1315, "&lt;=" &amp; DI$1, DataRegularSeason20242025!$E$3:$E$1315, $A57)</f>
        <v>7</v>
      </c>
      <c r="DJ57">
        <f>SUMIFS(DataRegularSeason20242025!$AA$3:$AA$1315,DataRegularSeason20242025!$B$3:$B$1315, "&lt;=" &amp; DJ$1, DataRegularSeason20242025!$D$3:$D$1315, $A57)+SUMIFS(DataRegularSeason20242025!$AB$3:$AB$1315,DataRegularSeason20242025!$B$3:$B$1315, "&lt;=" &amp; DJ$1, DataRegularSeason20242025!$E$3:$E$1315, $A57)</f>
        <v>7</v>
      </c>
      <c r="DK57">
        <f>SUMIFS(DataRegularSeason20242025!$AA$3:$AA$1315,DataRegularSeason20242025!$B$3:$B$1315, "&lt;=" &amp; DK$1, DataRegularSeason20242025!$D$3:$D$1315, $A57)+SUMIFS(DataRegularSeason20242025!$AB$3:$AB$1315,DataRegularSeason20242025!$B$3:$B$1315, "&lt;=" &amp; DK$1, DataRegularSeason20242025!$E$3:$E$1315, $A57)</f>
        <v>7</v>
      </c>
      <c r="DL57">
        <f>SUMIFS(DataRegularSeason20242025!$AA$3:$AA$1315,DataRegularSeason20242025!$B$3:$B$1315, "&lt;=" &amp; DL$1, DataRegularSeason20242025!$D$3:$D$1315, $A57)+SUMIFS(DataRegularSeason20242025!$AB$3:$AB$1315,DataRegularSeason20242025!$B$3:$B$1315, "&lt;=" &amp; DL$1, DataRegularSeason20242025!$E$3:$E$1315, $A57)</f>
        <v>7</v>
      </c>
      <c r="DM57">
        <f>SUMIFS(DataRegularSeason20242025!$AA$3:$AA$1315,DataRegularSeason20242025!$B$3:$B$1315, "&lt;=" &amp; DM$1, DataRegularSeason20242025!$D$3:$D$1315, $A57)+SUMIFS(DataRegularSeason20242025!$AB$3:$AB$1315,DataRegularSeason20242025!$B$3:$B$1315, "&lt;=" &amp; DM$1, DataRegularSeason20242025!$E$3:$E$1315, $A57)</f>
        <v>7</v>
      </c>
      <c r="DN57">
        <f>SUMIFS(DataRegularSeason20242025!$AA$3:$AA$1315,DataRegularSeason20242025!$B$3:$B$1315, "&lt;=" &amp; DN$1, DataRegularSeason20242025!$D$3:$D$1315, $A57)+SUMIFS(DataRegularSeason20242025!$AB$3:$AB$1315,DataRegularSeason20242025!$B$3:$B$1315, "&lt;=" &amp; DN$1, DataRegularSeason20242025!$E$3:$E$1315, $A57)</f>
        <v>7</v>
      </c>
      <c r="DO57">
        <f>SUMIFS(DataRegularSeason20242025!$AA$3:$AA$1315,DataRegularSeason20242025!$B$3:$B$1315, "&lt;=" &amp; DO$1, DataRegularSeason20242025!$D$3:$D$1315, $A57)+SUMIFS(DataRegularSeason20242025!$AB$3:$AB$1315,DataRegularSeason20242025!$B$3:$B$1315, "&lt;=" &amp; DO$1, DataRegularSeason20242025!$E$3:$E$1315, $A57)</f>
        <v>7</v>
      </c>
      <c r="DP57">
        <f>SUMIFS(DataRegularSeason20242025!$AA$3:$AA$1315,DataRegularSeason20242025!$B$3:$B$1315, "&lt;=" &amp; DP$1, DataRegularSeason20242025!$D$3:$D$1315, $A57)+SUMIFS(DataRegularSeason20242025!$AB$3:$AB$1315,DataRegularSeason20242025!$B$3:$B$1315, "&lt;=" &amp; DP$1, DataRegularSeason20242025!$E$3:$E$1315, $A57)</f>
        <v>7</v>
      </c>
      <c r="DQ57">
        <f>SUMIFS(DataRegularSeason20242025!$AA$3:$AA$1315,DataRegularSeason20242025!$B$3:$B$1315, "&lt;=" &amp; DQ$1, DataRegularSeason20242025!$D$3:$D$1315, $A57)+SUMIFS(DataRegularSeason20242025!$AB$3:$AB$1315,DataRegularSeason20242025!$B$3:$B$1315, "&lt;=" &amp; DQ$1, DataRegularSeason20242025!$E$3:$E$1315, $A57)</f>
        <v>7</v>
      </c>
      <c r="DR57">
        <f>SUMIFS(DataRegularSeason20242025!$AA$3:$AA$1315,DataRegularSeason20242025!$B$3:$B$1315, "&lt;=" &amp; DR$1, DataRegularSeason20242025!$D$3:$D$1315, $A57)+SUMIFS(DataRegularSeason20242025!$AB$3:$AB$1315,DataRegularSeason20242025!$B$3:$B$1315, "&lt;=" &amp; DR$1, DataRegularSeason20242025!$E$3:$E$1315, $A57)</f>
        <v>7</v>
      </c>
      <c r="DS57">
        <f>SUMIFS(DataRegularSeason20242025!$AA$3:$AA$1315,DataRegularSeason20242025!$B$3:$B$1315, "&lt;=" &amp; DS$1, DataRegularSeason20242025!$D$3:$D$1315, $A57)+SUMIFS(DataRegularSeason20242025!$AB$3:$AB$1315,DataRegularSeason20242025!$B$3:$B$1315, "&lt;=" &amp; DS$1, DataRegularSeason20242025!$E$3:$E$1315, $A57)</f>
        <v>7</v>
      </c>
      <c r="DT57">
        <f>SUMIFS(DataRegularSeason20242025!$AA$3:$AA$1315,DataRegularSeason20242025!$B$3:$B$1315, "&lt;=" &amp; DT$1, DataRegularSeason20242025!$D$3:$D$1315, $A57)+SUMIFS(DataRegularSeason20242025!$AB$3:$AB$1315,DataRegularSeason20242025!$B$3:$B$1315, "&lt;=" &amp; DT$1, DataRegularSeason20242025!$E$3:$E$1315, $A57)</f>
        <v>7</v>
      </c>
      <c r="DU57">
        <f>SUMIFS(DataRegularSeason20242025!$AA$3:$AA$1315,DataRegularSeason20242025!$B$3:$B$1315, "&lt;=" &amp; DU$1, DataRegularSeason20242025!$D$3:$D$1315, $A57)+SUMIFS(DataRegularSeason20242025!$AB$3:$AB$1315,DataRegularSeason20242025!$B$3:$B$1315, "&lt;=" &amp; DU$1, DataRegularSeason20242025!$E$3:$E$1315, $A57)</f>
        <v>7</v>
      </c>
      <c r="DV57">
        <f>SUMIFS(DataRegularSeason20242025!$AA$3:$AA$1315,DataRegularSeason20242025!$B$3:$B$1315, "&lt;=" &amp; DV$1, DataRegularSeason20242025!$D$3:$D$1315, $A57)+SUMIFS(DataRegularSeason20242025!$AB$3:$AB$1315,DataRegularSeason20242025!$B$3:$B$1315, "&lt;=" &amp; DV$1, DataRegularSeason20242025!$E$3:$E$1315, $A57)</f>
        <v>7</v>
      </c>
      <c r="DW57">
        <f>SUMIFS(DataRegularSeason20242025!$AA$3:$AA$1315,DataRegularSeason20242025!$B$3:$B$1315, "&lt;=" &amp; DW$1, DataRegularSeason20242025!$D$3:$D$1315, $A57)+SUMIFS(DataRegularSeason20242025!$AB$3:$AB$1315,DataRegularSeason20242025!$B$3:$B$1315, "&lt;=" &amp; DW$1, DataRegularSeason20242025!$E$3:$E$1315, $A57)</f>
        <v>7</v>
      </c>
      <c r="DX57">
        <f>SUMIFS(DataRegularSeason20242025!$AA$3:$AA$1315,DataRegularSeason20242025!$B$3:$B$1315, "&lt;=" &amp; DX$1, DataRegularSeason20242025!$D$3:$D$1315, $A57)+SUMIFS(DataRegularSeason20242025!$AB$3:$AB$1315,DataRegularSeason20242025!$B$3:$B$1315, "&lt;=" &amp; DX$1, DataRegularSeason20242025!$E$3:$E$1315, $A57)</f>
        <v>7</v>
      </c>
      <c r="DY57">
        <f>SUMIFS(DataRegularSeason20242025!$AA$3:$AA$1315,DataRegularSeason20242025!$B$3:$B$1315, "&lt;=" &amp; DY$1, DataRegularSeason20242025!$D$3:$D$1315, $A57)+SUMIFS(DataRegularSeason20242025!$AB$3:$AB$1315,DataRegularSeason20242025!$B$3:$B$1315, "&lt;=" &amp; DY$1, DataRegularSeason20242025!$E$3:$E$1315, $A57)</f>
        <v>7</v>
      </c>
      <c r="DZ57">
        <f>SUMIFS(DataRegularSeason20242025!$AA$3:$AA$1315,DataRegularSeason20242025!$B$3:$B$1315, "&lt;=" &amp; DZ$1, DataRegularSeason20242025!$D$3:$D$1315, $A57)+SUMIFS(DataRegularSeason20242025!$AB$3:$AB$1315,DataRegularSeason20242025!$B$3:$B$1315, "&lt;=" &amp; DZ$1, DataRegularSeason20242025!$E$3:$E$1315, $A57)</f>
        <v>7</v>
      </c>
      <c r="EA57">
        <f>SUMIFS(DataRegularSeason20242025!$AA$3:$AA$1315,DataRegularSeason20242025!$B$3:$B$1315, "&lt;=" &amp; EA$1, DataRegularSeason20242025!$D$3:$D$1315, $A57)+SUMIFS(DataRegularSeason20242025!$AB$3:$AB$1315,DataRegularSeason20242025!$B$3:$B$1315, "&lt;=" &amp; EA$1, DataRegularSeason20242025!$E$3:$E$1315, $A57)</f>
        <v>7</v>
      </c>
      <c r="EB57">
        <f>SUMIFS(DataRegularSeason20242025!$AA$3:$AA$1315,DataRegularSeason20242025!$B$3:$B$1315, "&lt;=" &amp; EB$1, DataRegularSeason20242025!$D$3:$D$1315, $A57)+SUMIFS(DataRegularSeason20242025!$AB$3:$AB$1315,DataRegularSeason20242025!$B$3:$B$1315, "&lt;=" &amp; EB$1, DataRegularSeason20242025!$E$3:$E$1315, $A57)</f>
        <v>7</v>
      </c>
      <c r="EC57">
        <f>SUMIFS(DataRegularSeason20242025!$AA$3:$AA$1315,DataRegularSeason20242025!$B$3:$B$1315, "&lt;=" &amp; EC$1, DataRegularSeason20242025!$D$3:$D$1315, $A57)+SUMIFS(DataRegularSeason20242025!$AB$3:$AB$1315,DataRegularSeason20242025!$B$3:$B$1315, "&lt;=" &amp; EC$1, DataRegularSeason20242025!$E$3:$E$1315, $A57)</f>
        <v>7</v>
      </c>
      <c r="ED57">
        <f>SUMIFS(DataRegularSeason20242025!$AA$3:$AA$1315,DataRegularSeason20242025!$B$3:$B$1315, "&lt;=" &amp; ED$1, DataRegularSeason20242025!$D$3:$D$1315, $A57)+SUMIFS(DataRegularSeason20242025!$AB$3:$AB$1315,DataRegularSeason20242025!$B$3:$B$1315, "&lt;=" &amp; ED$1, DataRegularSeason20242025!$E$3:$E$1315, $A57)</f>
        <v>7</v>
      </c>
      <c r="EE57">
        <f>SUMIFS(DataRegularSeason20242025!$AA$3:$AA$1315,DataRegularSeason20242025!$B$3:$B$1315, "&lt;=" &amp; EE$1, DataRegularSeason20242025!$D$3:$D$1315, $A57)+SUMIFS(DataRegularSeason20242025!$AB$3:$AB$1315,DataRegularSeason20242025!$B$3:$B$1315, "&lt;=" &amp; EE$1, DataRegularSeason20242025!$E$3:$E$1315, $A57)</f>
        <v>7</v>
      </c>
      <c r="EF57">
        <f>SUMIFS(DataRegularSeason20242025!$AA$3:$AA$1315,DataRegularSeason20242025!$B$3:$B$1315, "&lt;=" &amp; EF$1, DataRegularSeason20242025!$D$3:$D$1315, $A57)+SUMIFS(DataRegularSeason20242025!$AB$3:$AB$1315,DataRegularSeason20242025!$B$3:$B$1315, "&lt;=" &amp; EF$1, DataRegularSeason20242025!$E$3:$E$1315, $A57)</f>
        <v>7</v>
      </c>
      <c r="EG57">
        <f>SUMIFS(DataRegularSeason20242025!$AA$3:$AA$1315,DataRegularSeason20242025!$B$3:$B$1315, "&lt;=" &amp; EG$1, DataRegularSeason20242025!$D$3:$D$1315, $A57)+SUMIFS(DataRegularSeason20242025!$AB$3:$AB$1315,DataRegularSeason20242025!$B$3:$B$1315, "&lt;=" &amp; EG$1, DataRegularSeason20242025!$E$3:$E$1315, $A57)</f>
        <v>7</v>
      </c>
      <c r="EH57">
        <f>SUMIFS(DataRegularSeason20242025!$AA$3:$AA$1315,DataRegularSeason20242025!$B$3:$B$1315, "&lt;=" &amp; EH$1, DataRegularSeason20242025!$D$3:$D$1315, $A57)+SUMIFS(DataRegularSeason20242025!$AB$3:$AB$1315,DataRegularSeason20242025!$B$3:$B$1315, "&lt;=" &amp; EH$1, DataRegularSeason20242025!$E$3:$E$1315, $A57)</f>
        <v>7</v>
      </c>
      <c r="EI57">
        <f>SUMIFS(DataRegularSeason20242025!$AA$3:$AA$1315,DataRegularSeason20242025!$B$3:$B$1315, "&lt;=" &amp; EI$1, DataRegularSeason20242025!$D$3:$D$1315, $A57)+SUMIFS(DataRegularSeason20242025!$AB$3:$AB$1315,DataRegularSeason20242025!$B$3:$B$1315, "&lt;=" &amp; EI$1, DataRegularSeason20242025!$E$3:$E$1315, $A57)</f>
        <v>7</v>
      </c>
      <c r="EJ57">
        <f>SUMIFS(DataRegularSeason20242025!$AA$3:$AA$1315,DataRegularSeason20242025!$B$3:$B$1315, "&lt;=" &amp; EJ$1, DataRegularSeason20242025!$D$3:$D$1315, $A57)+SUMIFS(DataRegularSeason20242025!$AB$3:$AB$1315,DataRegularSeason20242025!$B$3:$B$1315, "&lt;=" &amp; EJ$1, DataRegularSeason20242025!$E$3:$E$1315, $A57)</f>
        <v>7</v>
      </c>
      <c r="EK57">
        <f>SUMIFS(DataRegularSeason20242025!$AA$3:$AA$1315,DataRegularSeason20242025!$B$3:$B$1315, "&lt;=" &amp; EK$1, DataRegularSeason20242025!$D$3:$D$1315, $A57)+SUMIFS(DataRegularSeason20242025!$AB$3:$AB$1315,DataRegularSeason20242025!$B$3:$B$1315, "&lt;=" &amp; EK$1, DataRegularSeason20242025!$E$3:$E$1315, $A57)</f>
        <v>7</v>
      </c>
      <c r="EL57">
        <f>SUMIFS(DataRegularSeason20242025!$AA$3:$AA$1315,DataRegularSeason20242025!$B$3:$B$1315, "&lt;=" &amp; EL$1, DataRegularSeason20242025!$D$3:$D$1315, $A57)+SUMIFS(DataRegularSeason20242025!$AB$3:$AB$1315,DataRegularSeason20242025!$B$3:$B$1315, "&lt;=" &amp; EL$1, DataRegularSeason20242025!$E$3:$E$1315, $A57)</f>
        <v>7</v>
      </c>
      <c r="EM57">
        <f>SUMIFS(DataRegularSeason20242025!$AA$3:$AA$1315,DataRegularSeason20242025!$B$3:$B$1315, "&lt;=" &amp; EM$1, DataRegularSeason20242025!$D$3:$D$1315, $A57)+SUMIFS(DataRegularSeason20242025!$AB$3:$AB$1315,DataRegularSeason20242025!$B$3:$B$1315, "&lt;=" &amp; EM$1, DataRegularSeason20242025!$E$3:$E$1315, $A57)</f>
        <v>7</v>
      </c>
      <c r="EN57">
        <f>SUMIFS(DataRegularSeason20242025!$AA$3:$AA$1315,DataRegularSeason20242025!$B$3:$B$1315, "&lt;=" &amp; EN$1, DataRegularSeason20242025!$D$3:$D$1315, $A57)+SUMIFS(DataRegularSeason20242025!$AB$3:$AB$1315,DataRegularSeason20242025!$B$3:$B$1315, "&lt;=" &amp; EN$1, DataRegularSeason20242025!$E$3:$E$1315, $A57)</f>
        <v>7</v>
      </c>
      <c r="EO57">
        <f>SUMIFS(DataRegularSeason20242025!$AA$3:$AA$1315,DataRegularSeason20242025!$B$3:$B$1315, "&lt;=" &amp; EO$1, DataRegularSeason20242025!$D$3:$D$1315, $A57)+SUMIFS(DataRegularSeason20242025!$AB$3:$AB$1315,DataRegularSeason20242025!$B$3:$B$1315, "&lt;=" &amp; EO$1, DataRegularSeason20242025!$E$3:$E$1315, $A57)</f>
        <v>7</v>
      </c>
      <c r="EP57">
        <f>SUMIFS(DataRegularSeason20242025!$AA$3:$AA$1315,DataRegularSeason20242025!$B$3:$B$1315, "&lt;=" &amp; EP$1, DataRegularSeason20242025!$D$3:$D$1315, $A57)+SUMIFS(DataRegularSeason20242025!$AB$3:$AB$1315,DataRegularSeason20242025!$B$3:$B$1315, "&lt;=" &amp; EP$1, DataRegularSeason20242025!$E$3:$E$1315, $A57)</f>
        <v>7</v>
      </c>
      <c r="EQ57">
        <f>SUMIFS(DataRegularSeason20242025!$AA$3:$AA$1315,DataRegularSeason20242025!$B$3:$B$1315, "&lt;=" &amp; EQ$1, DataRegularSeason20242025!$D$3:$D$1315, $A57)+SUMIFS(DataRegularSeason20242025!$AB$3:$AB$1315,DataRegularSeason20242025!$B$3:$B$1315, "&lt;=" &amp; EQ$1, DataRegularSeason20242025!$E$3:$E$1315, $A57)</f>
        <v>7</v>
      </c>
      <c r="ER57">
        <f>SUMIFS(DataRegularSeason20242025!$AA$3:$AA$1315,DataRegularSeason20242025!$B$3:$B$1315, "&lt;=" &amp; ER$1, DataRegularSeason20242025!$D$3:$D$1315, $A57)+SUMIFS(DataRegularSeason20242025!$AB$3:$AB$1315,DataRegularSeason20242025!$B$3:$B$1315, "&lt;=" &amp; ER$1, DataRegularSeason20242025!$E$3:$E$1315, $A57)</f>
        <v>7</v>
      </c>
      <c r="ES57">
        <f>SUMIFS(DataRegularSeason20242025!$AA$3:$AA$1315,DataRegularSeason20242025!$B$3:$B$1315, "&lt;=" &amp; ES$1, DataRegularSeason20242025!$D$3:$D$1315, $A57)+SUMIFS(DataRegularSeason20242025!$AB$3:$AB$1315,DataRegularSeason20242025!$B$3:$B$1315, "&lt;=" &amp; ES$1, DataRegularSeason20242025!$E$3:$E$1315, $A57)</f>
        <v>7</v>
      </c>
      <c r="ET57">
        <f>SUMIFS(DataRegularSeason20242025!$AA$3:$AA$1315,DataRegularSeason20242025!$B$3:$B$1315, "&lt;=" &amp; ET$1, DataRegularSeason20242025!$D$3:$D$1315, $A57)+SUMIFS(DataRegularSeason20242025!$AB$3:$AB$1315,DataRegularSeason20242025!$B$3:$B$1315, "&lt;=" &amp; ET$1, DataRegularSeason20242025!$E$3:$E$1315, $A57)</f>
        <v>7</v>
      </c>
      <c r="EU57">
        <f>SUMIFS(DataRegularSeason20242025!$AA$3:$AA$1315,DataRegularSeason20242025!$B$3:$B$1315, "&lt;=" &amp; EU$1, DataRegularSeason20242025!$D$3:$D$1315, $A57)+SUMIFS(DataRegularSeason20242025!$AB$3:$AB$1315,DataRegularSeason20242025!$B$3:$B$1315, "&lt;=" &amp; EU$1, DataRegularSeason20242025!$E$3:$E$1315, $A57)</f>
        <v>7</v>
      </c>
      <c r="EV57">
        <f>SUMIFS(DataRegularSeason20242025!$AA$3:$AA$1315,DataRegularSeason20242025!$B$3:$B$1315, "&lt;=" &amp; EV$1, DataRegularSeason20242025!$D$3:$D$1315, $A57)+SUMIFS(DataRegularSeason20242025!$AB$3:$AB$1315,DataRegularSeason20242025!$B$3:$B$1315, "&lt;=" &amp; EV$1, DataRegularSeason20242025!$E$3:$E$1315, $A57)</f>
        <v>7</v>
      </c>
      <c r="EW57">
        <f>SUMIFS(DataRegularSeason20242025!$AA$3:$AA$1315,DataRegularSeason20242025!$B$3:$B$1315, "&lt;=" &amp; EW$1, DataRegularSeason20242025!$D$3:$D$1315, $A57)+SUMIFS(DataRegularSeason20242025!$AB$3:$AB$1315,DataRegularSeason20242025!$B$3:$B$1315, "&lt;=" &amp; EW$1, DataRegularSeason20242025!$E$3:$E$1315, $A57)</f>
        <v>7</v>
      </c>
      <c r="EX57">
        <f>SUMIFS(DataRegularSeason20242025!$AA$3:$AA$1315,DataRegularSeason20242025!$B$3:$B$1315, "&lt;=" &amp; EX$1, DataRegularSeason20242025!$D$3:$D$1315, $A57)+SUMIFS(DataRegularSeason20242025!$AB$3:$AB$1315,DataRegularSeason20242025!$B$3:$B$1315, "&lt;=" &amp; EX$1, DataRegularSeason20242025!$E$3:$E$1315, $A57)</f>
        <v>7</v>
      </c>
      <c r="EY57">
        <f>SUMIFS(DataRegularSeason20242025!$AA$3:$AA$1315,DataRegularSeason20242025!$B$3:$B$1315, "&lt;=" &amp; EY$1, DataRegularSeason20242025!$D$3:$D$1315, $A57)+SUMIFS(DataRegularSeason20242025!$AB$3:$AB$1315,DataRegularSeason20242025!$B$3:$B$1315, "&lt;=" &amp; EY$1, DataRegularSeason20242025!$E$3:$E$1315, $A57)</f>
        <v>7</v>
      </c>
      <c r="EZ57">
        <f>SUMIFS(DataRegularSeason20242025!$AA$3:$AA$1315,DataRegularSeason20242025!$B$3:$B$1315, "&lt;=" &amp; EZ$1, DataRegularSeason20242025!$D$3:$D$1315, $A57)+SUMIFS(DataRegularSeason20242025!$AB$3:$AB$1315,DataRegularSeason20242025!$B$3:$B$1315, "&lt;=" &amp; EZ$1, DataRegularSeason20242025!$E$3:$E$1315, $A57)</f>
        <v>7</v>
      </c>
      <c r="FA57">
        <f>SUMIFS(DataRegularSeason20242025!$AA$3:$AA$1315,DataRegularSeason20242025!$B$3:$B$1315, "&lt;=" &amp; FA$1, DataRegularSeason20242025!$D$3:$D$1315, $A57)+SUMIFS(DataRegularSeason20242025!$AB$3:$AB$1315,DataRegularSeason20242025!$B$3:$B$1315, "&lt;=" &amp; FA$1, DataRegularSeason20242025!$E$3:$E$1315, $A57)</f>
        <v>7</v>
      </c>
      <c r="FB57">
        <f>SUMIFS(DataRegularSeason20242025!$AA$3:$AA$1315,DataRegularSeason20242025!$B$3:$B$1315, "&lt;=" &amp; FB$1, DataRegularSeason20242025!$D$3:$D$1315, $A57)+SUMIFS(DataRegularSeason20242025!$AB$3:$AB$1315,DataRegularSeason20242025!$B$3:$B$1315, "&lt;=" &amp; FB$1, DataRegularSeason20242025!$E$3:$E$1315, $A57)</f>
        <v>7</v>
      </c>
      <c r="FC57">
        <f>SUMIFS(DataRegularSeason20242025!$AA$3:$AA$1315,DataRegularSeason20242025!$B$3:$B$1315, "&lt;=" &amp; FC$1, DataRegularSeason20242025!$D$3:$D$1315, $A57)+SUMIFS(DataRegularSeason20242025!$AB$3:$AB$1315,DataRegularSeason20242025!$B$3:$B$1315, "&lt;=" &amp; FC$1, DataRegularSeason20242025!$E$3:$E$1315, $A57)</f>
        <v>7</v>
      </c>
      <c r="FD57">
        <f>SUMIFS(DataRegularSeason20242025!$AA$3:$AA$1315,DataRegularSeason20242025!$B$3:$B$1315, "&lt;=" &amp; FD$1, DataRegularSeason20242025!$D$3:$D$1315, $A57)+SUMIFS(DataRegularSeason20242025!$AB$3:$AB$1315,DataRegularSeason20242025!$B$3:$B$1315, "&lt;=" &amp; FD$1, DataRegularSeason20242025!$E$3:$E$1315, $A57)</f>
        <v>7</v>
      </c>
      <c r="FE57">
        <f>SUMIFS(DataRegularSeason20242025!$AA$3:$AA$1315,DataRegularSeason20242025!$B$3:$B$1315, "&lt;=" &amp; FE$1, DataRegularSeason20242025!$D$3:$D$1315, $A57)+SUMIFS(DataRegularSeason20242025!$AB$3:$AB$1315,DataRegularSeason20242025!$B$3:$B$1315, "&lt;=" &amp; FE$1, DataRegularSeason20242025!$E$3:$E$1315, $A57)</f>
        <v>7</v>
      </c>
      <c r="FF57">
        <f>SUMIFS(DataRegularSeason20242025!$AA$3:$AA$1315,DataRegularSeason20242025!$B$3:$B$1315, "&lt;=" &amp; FF$1, DataRegularSeason20242025!$D$3:$D$1315, $A57)+SUMIFS(DataRegularSeason20242025!$AB$3:$AB$1315,DataRegularSeason20242025!$B$3:$B$1315, "&lt;=" &amp; FF$1, DataRegularSeason20242025!$E$3:$E$1315, $A57)</f>
        <v>7</v>
      </c>
      <c r="FG57">
        <f>SUMIFS(DataRegularSeason20242025!$AA$3:$AA$1315,DataRegularSeason20242025!$B$3:$B$1315, "&lt;=" &amp; FG$1, DataRegularSeason20242025!$D$3:$D$1315, $A57)+SUMIFS(DataRegularSeason20242025!$AB$3:$AB$1315,DataRegularSeason20242025!$B$3:$B$1315, "&lt;=" &amp; FG$1, DataRegularSeason20242025!$E$3:$E$1315, $A57)</f>
        <v>7</v>
      </c>
      <c r="FH57">
        <f>SUMIFS(DataRegularSeason20242025!$AA$3:$AA$1315,DataRegularSeason20242025!$B$3:$B$1315, "&lt;=" &amp; FH$1, DataRegularSeason20242025!$D$3:$D$1315, $A57)+SUMIFS(DataRegularSeason20242025!$AB$3:$AB$1315,DataRegularSeason20242025!$B$3:$B$1315, "&lt;=" &amp; FH$1, DataRegularSeason20242025!$E$3:$E$1315, $A57)</f>
        <v>7</v>
      </c>
      <c r="FI57">
        <f>SUMIFS(DataRegularSeason20242025!$AA$3:$AA$1315,DataRegularSeason20242025!$B$3:$B$1315, "&lt;=" &amp; FI$1, DataRegularSeason20242025!$D$3:$D$1315, $A57)+SUMIFS(DataRegularSeason20242025!$AB$3:$AB$1315,DataRegularSeason20242025!$B$3:$B$1315, "&lt;=" &amp; FI$1, DataRegularSeason20242025!$E$3:$E$1315, $A57)</f>
        <v>7</v>
      </c>
      <c r="FJ57">
        <f>SUMIFS(DataRegularSeason20242025!$AA$3:$AA$1315,DataRegularSeason20242025!$B$3:$B$1315, "&lt;=" &amp; FJ$1, DataRegularSeason20242025!$D$3:$D$1315, $A57)+SUMIFS(DataRegularSeason20242025!$AB$3:$AB$1315,DataRegularSeason20242025!$B$3:$B$1315, "&lt;=" &amp; FJ$1, DataRegularSeason20242025!$E$3:$E$1315, $A57)</f>
        <v>7</v>
      </c>
      <c r="FK57">
        <f>SUMIFS(DataRegularSeason20242025!$AA$3:$AA$1315,DataRegularSeason20242025!$B$3:$B$1315, "&lt;=" &amp; FK$1, DataRegularSeason20242025!$D$3:$D$1315, $A57)+SUMIFS(DataRegularSeason20242025!$AB$3:$AB$1315,DataRegularSeason20242025!$B$3:$B$1315, "&lt;=" &amp; FK$1, DataRegularSeason20242025!$E$3:$E$1315, $A57)</f>
        <v>7</v>
      </c>
      <c r="FL57">
        <f>SUMIFS(DataRegularSeason20242025!$AA$3:$AA$1315,DataRegularSeason20242025!$B$3:$B$1315, "&lt;=" &amp; FL$1, DataRegularSeason20242025!$D$3:$D$1315, $A57)+SUMIFS(DataRegularSeason20242025!$AB$3:$AB$1315,DataRegularSeason20242025!$B$3:$B$1315, "&lt;=" &amp; FL$1, DataRegularSeason20242025!$E$3:$E$1315, $A57)</f>
        <v>7</v>
      </c>
      <c r="FM57">
        <f>SUMIFS(DataRegularSeason20242025!$AA$3:$AA$1315,DataRegularSeason20242025!$B$3:$B$1315, "&lt;=" &amp; FM$1, DataRegularSeason20242025!$D$3:$D$1315, $A57)+SUMIFS(DataRegularSeason20242025!$AB$3:$AB$1315,DataRegularSeason20242025!$B$3:$B$1315, "&lt;=" &amp; FM$1, DataRegularSeason20242025!$E$3:$E$1315, $A57)</f>
        <v>7</v>
      </c>
      <c r="FN57">
        <f>SUMIFS(DataRegularSeason20242025!$AA$3:$AA$1315,DataRegularSeason20242025!$B$3:$B$1315, "&lt;=" &amp; FN$1, DataRegularSeason20242025!$D$3:$D$1315, $A57)+SUMIFS(DataRegularSeason20242025!$AB$3:$AB$1315,DataRegularSeason20242025!$B$3:$B$1315, "&lt;=" &amp; FN$1, DataRegularSeason20242025!$E$3:$E$1315, $A57)</f>
        <v>7</v>
      </c>
      <c r="FO57">
        <f>SUMIFS(DataRegularSeason20242025!$AA$3:$AA$1315,DataRegularSeason20242025!$B$3:$B$1315, "&lt;=" &amp; FO$1, DataRegularSeason20242025!$D$3:$D$1315, $A57)+SUMIFS(DataRegularSeason20242025!$AB$3:$AB$1315,DataRegularSeason20242025!$B$3:$B$1315, "&lt;=" &amp; FO$1, DataRegularSeason20242025!$E$3:$E$1315, $A57)</f>
        <v>7</v>
      </c>
      <c r="FP57">
        <f>SUMIFS(DataRegularSeason20242025!$AA$3:$AA$1315,DataRegularSeason20242025!$B$3:$B$1315, "&lt;=" &amp; FP$1, DataRegularSeason20242025!$D$3:$D$1315, $A57)+SUMIFS(DataRegularSeason20242025!$AB$3:$AB$1315,DataRegularSeason20242025!$B$3:$B$1315, "&lt;=" &amp; FP$1, DataRegularSeason20242025!$E$3:$E$1315, $A57)</f>
        <v>7</v>
      </c>
      <c r="FQ57">
        <f>SUMIFS(DataRegularSeason20242025!$AA$3:$AA$1315,DataRegularSeason20242025!$B$3:$B$1315, "&lt;=" &amp; FQ$1, DataRegularSeason20242025!$D$3:$D$1315, $A57)+SUMIFS(DataRegularSeason20242025!$AB$3:$AB$1315,DataRegularSeason20242025!$B$3:$B$1315, "&lt;=" &amp; FQ$1, DataRegularSeason20242025!$E$3:$E$1315, $A57)</f>
        <v>7</v>
      </c>
      <c r="FR57">
        <f>SUMIFS(DataRegularSeason20242025!$AA$3:$AA$1315,DataRegularSeason20242025!$B$3:$B$1315, "&lt;=" &amp; FR$1, DataRegularSeason20242025!$D$3:$D$1315, $A57)+SUMIFS(DataRegularSeason20242025!$AB$3:$AB$1315,DataRegularSeason20242025!$B$3:$B$1315, "&lt;=" &amp; FR$1, DataRegularSeason20242025!$E$3:$E$1315, $A57)</f>
        <v>7</v>
      </c>
      <c r="FS57">
        <f>SUMIFS(DataRegularSeason20242025!$AA$3:$AA$1315,DataRegularSeason20242025!$B$3:$B$1315, "&lt;=" &amp; FS$1, DataRegularSeason20242025!$D$3:$D$1315, $A57)+SUMIFS(DataRegularSeason20242025!$AB$3:$AB$1315,DataRegularSeason20242025!$B$3:$B$1315, "&lt;=" &amp; FS$1, DataRegularSeason20242025!$E$3:$E$1315, $A57)</f>
        <v>7</v>
      </c>
      <c r="FT57">
        <f>SUMIFS(DataRegularSeason20242025!$AA$3:$AA$1315,DataRegularSeason20242025!$B$3:$B$1315, "&lt;=" &amp; FT$1, DataRegularSeason20242025!$D$3:$D$1315, $A57)+SUMIFS(DataRegularSeason20242025!$AB$3:$AB$1315,DataRegularSeason20242025!$B$3:$B$1315, "&lt;=" &amp; FT$1, DataRegularSeason20242025!$E$3:$E$1315, $A57)</f>
        <v>7</v>
      </c>
      <c r="FU57">
        <f>SUMIFS(DataRegularSeason20242025!$AA$3:$AA$1315,DataRegularSeason20242025!$B$3:$B$1315, "&lt;=" &amp; FU$1, DataRegularSeason20242025!$D$3:$D$1315, $A57)+SUMIFS(DataRegularSeason20242025!$AB$3:$AB$1315,DataRegularSeason20242025!$B$3:$B$1315, "&lt;=" &amp; FU$1, DataRegularSeason20242025!$E$3:$E$1315, $A57)</f>
        <v>7</v>
      </c>
      <c r="FV57">
        <f>SUMIFS(DataRegularSeason20242025!$AA$3:$AA$1315,DataRegularSeason20242025!$B$3:$B$1315, "&lt;=" &amp; FV$1, DataRegularSeason20242025!$D$3:$D$1315, $A57)+SUMIFS(DataRegularSeason20242025!$AB$3:$AB$1315,DataRegularSeason20242025!$B$3:$B$1315, "&lt;=" &amp; FV$1, DataRegularSeason20242025!$E$3:$E$1315, $A57)</f>
        <v>7</v>
      </c>
      <c r="FW57">
        <f>SUMIFS(DataRegularSeason20242025!$AA$3:$AA$1315,DataRegularSeason20242025!$B$3:$B$1315, "&lt;=" &amp; FW$1, DataRegularSeason20242025!$D$3:$D$1315, $A57)+SUMIFS(DataRegularSeason20242025!$AB$3:$AB$1315,DataRegularSeason20242025!$B$3:$B$1315, "&lt;=" &amp; FW$1, DataRegularSeason20242025!$E$3:$E$1315, $A57)</f>
        <v>7</v>
      </c>
      <c r="FX57">
        <f>SUMIFS(DataRegularSeason20242025!$AA$3:$AA$1315,DataRegularSeason20242025!$B$3:$B$1315, "&lt;=" &amp; FX$1, DataRegularSeason20242025!$D$3:$D$1315, $A57)+SUMIFS(DataRegularSeason20242025!$AB$3:$AB$1315,DataRegularSeason20242025!$B$3:$B$1315, "&lt;=" &amp; FX$1, DataRegularSeason20242025!$E$3:$E$1315, $A57)</f>
        <v>7</v>
      </c>
      <c r="FY57">
        <f>SUMIFS(DataRegularSeason20242025!$AA$3:$AA$1315,DataRegularSeason20242025!$B$3:$B$1315, "&lt;=" &amp; FY$1, DataRegularSeason20242025!$D$3:$D$1315, $A57)+SUMIFS(DataRegularSeason20242025!$AB$3:$AB$1315,DataRegularSeason20242025!$B$3:$B$1315, "&lt;=" &amp; FY$1, DataRegularSeason20242025!$E$3:$E$1315, $A57)</f>
        <v>7</v>
      </c>
      <c r="FZ57">
        <f>SUMIFS(DataRegularSeason20242025!$AA$3:$AA$1315,DataRegularSeason20242025!$B$3:$B$1315, "&lt;=" &amp; FZ$1, DataRegularSeason20242025!$D$3:$D$1315, $A57)+SUMIFS(DataRegularSeason20242025!$AB$3:$AB$1315,DataRegularSeason20242025!$B$3:$B$1315, "&lt;=" &amp; FZ$1, DataRegularSeason20242025!$E$3:$E$1315, $A57)</f>
        <v>7</v>
      </c>
      <c r="GA57">
        <f>SUMIFS(DataRegularSeason20242025!$AA$3:$AA$1315,DataRegularSeason20242025!$B$3:$B$1315, "&lt;=" &amp; GA$1, DataRegularSeason20242025!$D$3:$D$1315, $A57)+SUMIFS(DataRegularSeason20242025!$AB$3:$AB$1315,DataRegularSeason20242025!$B$3:$B$1315, "&lt;=" &amp; GA$1, DataRegularSeason20242025!$E$3:$E$1315, $A57)</f>
        <v>7</v>
      </c>
      <c r="GB57">
        <f>SUMIFS(DataRegularSeason20242025!$AA$3:$AA$1315,DataRegularSeason20242025!$B$3:$B$1315, "&lt;=" &amp; GB$1, DataRegularSeason20242025!$D$3:$D$1315, $A57)+SUMIFS(DataRegularSeason20242025!$AB$3:$AB$1315,DataRegularSeason20242025!$B$3:$B$1315, "&lt;=" &amp; GB$1, DataRegularSeason20242025!$E$3:$E$1315, $A57)</f>
        <v>7</v>
      </c>
      <c r="GC57">
        <f>SUMIFS(DataRegularSeason20242025!$AA$3:$AA$1315,DataRegularSeason20242025!$B$3:$B$1315, "&lt;=" &amp; GC$1, DataRegularSeason20242025!$D$3:$D$1315, $A57)+SUMIFS(DataRegularSeason20242025!$AB$3:$AB$1315,DataRegularSeason20242025!$B$3:$B$1315, "&lt;=" &amp; GC$1, DataRegularSeason20242025!$E$3:$E$1315, $A57)</f>
        <v>7</v>
      </c>
      <c r="GD57">
        <f>SUMIFS(DataRegularSeason20242025!$AA$3:$AA$1315,DataRegularSeason20242025!$B$3:$B$1315, "&lt;=" &amp; GD$1, DataRegularSeason20242025!$D$3:$D$1315, $A57)+SUMIFS(DataRegularSeason20242025!$AB$3:$AB$1315,DataRegularSeason20242025!$B$3:$B$1315, "&lt;=" &amp; GD$1, DataRegularSeason20242025!$E$3:$E$1315, $A57)</f>
        <v>7</v>
      </c>
      <c r="GE57">
        <f>SUMIFS(DataRegularSeason20242025!$AA$3:$AA$1315,DataRegularSeason20242025!$B$3:$B$1315, "&lt;=" &amp; GE$1, DataRegularSeason20242025!$D$3:$D$1315, $A57)+SUMIFS(DataRegularSeason20242025!$AB$3:$AB$1315,DataRegularSeason20242025!$B$3:$B$1315, "&lt;=" &amp; GE$1, DataRegularSeason20242025!$E$3:$E$1315, $A57)</f>
        <v>7</v>
      </c>
      <c r="GF57">
        <f>SUMIFS(DataRegularSeason20242025!$AA$3:$AA$1315,DataRegularSeason20242025!$B$3:$B$1315, "&lt;=" &amp; GF$1, DataRegularSeason20242025!$D$3:$D$1315, $A57)+SUMIFS(DataRegularSeason20242025!$AB$3:$AB$1315,DataRegularSeason20242025!$B$3:$B$1315, "&lt;=" &amp; GF$1, DataRegularSeason20242025!$E$3:$E$1315, $A57)</f>
        <v>7</v>
      </c>
      <c r="GG57">
        <f>SUMIFS(DataRegularSeason20242025!$AA$3:$AA$1315,DataRegularSeason20242025!$B$3:$B$1315, "&lt;=" &amp; GG$1, DataRegularSeason20242025!$D$3:$D$1315, $A57)+SUMIFS(DataRegularSeason20242025!$AB$3:$AB$1315,DataRegularSeason20242025!$B$3:$B$1315, "&lt;=" &amp; GG$1, DataRegularSeason20242025!$E$3:$E$1315, $A57)</f>
        <v>7</v>
      </c>
      <c r="GH57">
        <f>SUMIFS(DataRegularSeason20242025!$AA$3:$AA$1315,DataRegularSeason20242025!$B$3:$B$1315, "&lt;=" &amp; GH$1, DataRegularSeason20242025!$D$3:$D$1315, $A57)+SUMIFS(DataRegularSeason20242025!$AB$3:$AB$1315,DataRegularSeason20242025!$B$3:$B$1315, "&lt;=" &amp; GH$1, DataRegularSeason20242025!$E$3:$E$1315, $A57)</f>
        <v>7</v>
      </c>
      <c r="GI57">
        <f>SUMIFS(DataRegularSeason20242025!$AA$3:$AA$1315,DataRegularSeason20242025!$B$3:$B$1315, "&lt;=" &amp; GI$1, DataRegularSeason20242025!$D$3:$D$1315, $A57)+SUMIFS(DataRegularSeason20242025!$AB$3:$AB$1315,DataRegularSeason20242025!$B$3:$B$1315, "&lt;=" &amp; GI$1, DataRegularSeason20242025!$E$3:$E$1315, $A57)</f>
        <v>7</v>
      </c>
      <c r="GJ57">
        <f>SUMIFS(DataRegularSeason20242025!$AA$3:$AA$1315,DataRegularSeason20242025!$B$3:$B$1315, "&lt;=" &amp; GJ$1, DataRegularSeason20242025!$D$3:$D$1315, $A57)+SUMIFS(DataRegularSeason20242025!$AB$3:$AB$1315,DataRegularSeason20242025!$B$3:$B$1315, "&lt;=" &amp; GJ$1, DataRegularSeason20242025!$E$3:$E$1315, $A57)</f>
        <v>7</v>
      </c>
      <c r="GK57">
        <f>SUMIFS(DataRegularSeason20242025!$AA$3:$AA$1315,DataRegularSeason20242025!$B$3:$B$1315, "&lt;=" &amp; GK$1, DataRegularSeason20242025!$D$3:$D$1315, $A57)+SUMIFS(DataRegularSeason20242025!$AB$3:$AB$1315,DataRegularSeason20242025!$B$3:$B$1315, "&lt;=" &amp; GK$1, DataRegularSeason20242025!$E$3:$E$1315, $A57)</f>
        <v>7</v>
      </c>
      <c r="GL57">
        <f>SUMIFS(DataRegularSeason20242025!$AA$3:$AA$1315,DataRegularSeason20242025!$B$3:$B$1315, "&lt;=" &amp; GL$1, DataRegularSeason20242025!$D$3:$D$1315, $A57)+SUMIFS(DataRegularSeason20242025!$AB$3:$AB$1315,DataRegularSeason20242025!$B$3:$B$1315, "&lt;=" &amp; GL$1, DataRegularSeason20242025!$E$3:$E$1315, $A57)</f>
        <v>7</v>
      </c>
      <c r="GM57">
        <f>SUMIFS(DataRegularSeason20242025!$AA$3:$AA$1315,DataRegularSeason20242025!$B$3:$B$1315, "&lt;=" &amp; GM$1, DataRegularSeason20242025!$D$3:$D$1315, $A57)+SUMIFS(DataRegularSeason20242025!$AB$3:$AB$1315,DataRegularSeason20242025!$B$3:$B$1315, "&lt;=" &amp; GM$1, DataRegularSeason20242025!$E$3:$E$1315, $A57)</f>
        <v>7</v>
      </c>
      <c r="GN57">
        <f>SUMIFS(DataRegularSeason20242025!$AA$3:$AA$1315,DataRegularSeason20242025!$B$3:$B$1315, "&lt;=" &amp; GN$1, DataRegularSeason20242025!$D$3:$D$1315, $A57)+SUMIFS(DataRegularSeason20242025!$AB$3:$AB$1315,DataRegularSeason20242025!$B$3:$B$1315, "&lt;=" &amp; GN$1, DataRegularSeason20242025!$E$3:$E$1315, $A57)</f>
        <v>7</v>
      </c>
      <c r="GO57">
        <f>SUMIFS(DataRegularSeason20242025!$AA$3:$AA$1315,DataRegularSeason20242025!$B$3:$B$1315, "&lt;=" &amp; GO$1, DataRegularSeason20242025!$D$3:$D$1315, $A57)+SUMIFS(DataRegularSeason20242025!$AB$3:$AB$1315,DataRegularSeason20242025!$B$3:$B$1315, "&lt;=" &amp; GO$1, DataRegularSeason20242025!$E$3:$E$1315, $A57)</f>
        <v>7</v>
      </c>
      <c r="GP57">
        <f>SUMIFS(DataRegularSeason20242025!$AA$3:$AA$1315,DataRegularSeason20242025!$B$3:$B$1315, "&lt;=" &amp; GP$1, DataRegularSeason20242025!$D$3:$D$1315, $A57)+SUMIFS(DataRegularSeason20242025!$AB$3:$AB$1315,DataRegularSeason20242025!$B$3:$B$1315, "&lt;=" &amp; GP$1, DataRegularSeason20242025!$E$3:$E$1315, $A57)</f>
        <v>7</v>
      </c>
      <c r="GQ57">
        <f>SUMIFS(DataRegularSeason20242025!$AA$3:$AA$1315,DataRegularSeason20242025!$B$3:$B$1315, "&lt;=" &amp; GQ$1, DataRegularSeason20242025!$D$3:$D$1315, $A57)+SUMIFS(DataRegularSeason20242025!$AB$3:$AB$1315,DataRegularSeason20242025!$B$3:$B$1315, "&lt;=" &amp; GQ$1, DataRegularSeason20242025!$E$3:$E$1315, $A57)</f>
        <v>7</v>
      </c>
      <c r="GR57">
        <f>SUMIFS(DataRegularSeason20242025!$AA$3:$AA$1315,DataRegularSeason20242025!$B$3:$B$1315, "&lt;=" &amp; GR$1, DataRegularSeason20242025!$D$3:$D$1315, $A57)+SUMIFS(DataRegularSeason20242025!$AB$3:$AB$1315,DataRegularSeason20242025!$B$3:$B$1315, "&lt;=" &amp; GR$1, DataRegularSeason20242025!$E$3:$E$1315, $A57)</f>
        <v>7</v>
      </c>
      <c r="GS57">
        <f>SUMIFS(DataRegularSeason20242025!$AA$3:$AA$1315,DataRegularSeason20242025!$B$3:$B$1315, "&lt;=" &amp; GS$1, DataRegularSeason20242025!$D$3:$D$1315, $A57)+SUMIFS(DataRegularSeason20242025!$AB$3:$AB$1315,DataRegularSeason20242025!$B$3:$B$1315, "&lt;=" &amp; GS$1, DataRegularSeason20242025!$E$3:$E$1315, $A57)</f>
        <v>7</v>
      </c>
      <c r="GT57">
        <f>SUMIFS(DataRegularSeason20242025!$AA$3:$AA$1315,DataRegularSeason20242025!$B$3:$B$1315, "&lt;=" &amp; GT$1, DataRegularSeason20242025!$D$3:$D$1315, $A57)+SUMIFS(DataRegularSeason20242025!$AB$3:$AB$1315,DataRegularSeason20242025!$B$3:$B$1315, "&lt;=" &amp; GT$1, DataRegularSeason20242025!$E$3:$E$1315, $A57)</f>
        <v>7</v>
      </c>
      <c r="GU57">
        <f>SUMIFS(DataRegularSeason20242025!$AA$3:$AA$1315,DataRegularSeason20242025!$B$3:$B$1315, "&lt;=" &amp; GU$1, DataRegularSeason20242025!$D$3:$D$1315, $A57)+SUMIFS(DataRegularSeason20242025!$AB$3:$AB$1315,DataRegularSeason20242025!$B$3:$B$1315, "&lt;=" &amp; GU$1, DataRegularSeason20242025!$E$3:$E$1315, $A57)</f>
        <v>7</v>
      </c>
    </row>
    <row r="58" spans="1:203" x14ac:dyDescent="0.25">
      <c r="A58" t="s">
        <v>14</v>
      </c>
      <c r="B58" t="s">
        <v>90</v>
      </c>
      <c r="C58" t="s">
        <v>88</v>
      </c>
      <c r="D58">
        <f>SUMIFS(DataRegularSeason20242025!$AA$3:$AA$1315,DataRegularSeason20242025!$B$3:$B$1315, "&lt;=" &amp; D$1, DataRegularSeason20242025!$D$3:$D$1315, $A58)+SUMIFS(DataRegularSeason20242025!$AB$3:$AB$1315,DataRegularSeason20242025!$B$3:$B$1315, "&lt;=" &amp; D$1, DataRegularSeason20242025!$E$3:$E$1315, $A58)</f>
        <v>0</v>
      </c>
      <c r="E58">
        <f>SUMIFS(DataRegularSeason20242025!$AA$3:$AA$1315,DataRegularSeason20242025!$B$3:$B$1315, "&lt;=" &amp; E$1, DataRegularSeason20242025!$D$3:$D$1315, $A58)+SUMIFS(DataRegularSeason20242025!$AB$3:$AB$1315,DataRegularSeason20242025!$B$3:$B$1315, "&lt;=" &amp; E$1, DataRegularSeason20242025!$E$3:$E$1315, $A58)</f>
        <v>0</v>
      </c>
      <c r="F58">
        <f>SUMIFS(DataRegularSeason20242025!$AA$3:$AA$1315,DataRegularSeason20242025!$B$3:$B$1315, "&lt;=" &amp; F$1, DataRegularSeason20242025!$D$3:$D$1315, $A58)+SUMIFS(DataRegularSeason20242025!$AB$3:$AB$1315,DataRegularSeason20242025!$B$3:$B$1315, "&lt;=" &amp; F$1, DataRegularSeason20242025!$E$3:$E$1315, $A58)</f>
        <v>0</v>
      </c>
      <c r="G58">
        <f>SUMIFS(DataRegularSeason20242025!$AA$3:$AA$1315,DataRegularSeason20242025!$B$3:$B$1315, "&lt;=" &amp; G$1, DataRegularSeason20242025!$D$3:$D$1315, $A58)+SUMIFS(DataRegularSeason20242025!$AB$3:$AB$1315,DataRegularSeason20242025!$B$3:$B$1315, "&lt;=" &amp; G$1, DataRegularSeason20242025!$E$3:$E$1315, $A58)</f>
        <v>0</v>
      </c>
      <c r="H58">
        <f>SUMIFS(DataRegularSeason20242025!$AA$3:$AA$1315,DataRegularSeason20242025!$B$3:$B$1315, "&lt;=" &amp; H$1, DataRegularSeason20242025!$D$3:$D$1315, $A58)+SUMIFS(DataRegularSeason20242025!$AB$3:$AB$1315,DataRegularSeason20242025!$B$3:$B$1315, "&lt;=" &amp; H$1, DataRegularSeason20242025!$E$3:$E$1315, $A58)</f>
        <v>0</v>
      </c>
      <c r="I58">
        <f>SUMIFS(DataRegularSeason20242025!$AA$3:$AA$1315,DataRegularSeason20242025!$B$3:$B$1315, "&lt;=" &amp; I$1, DataRegularSeason20242025!$D$3:$D$1315, $A58)+SUMIFS(DataRegularSeason20242025!$AB$3:$AB$1315,DataRegularSeason20242025!$B$3:$B$1315, "&lt;=" &amp; I$1, DataRegularSeason20242025!$E$3:$E$1315, $A58)</f>
        <v>0</v>
      </c>
      <c r="J58">
        <f>SUMIFS(DataRegularSeason20242025!$AA$3:$AA$1315,DataRegularSeason20242025!$B$3:$B$1315, "&lt;=" &amp; J$1, DataRegularSeason20242025!$D$3:$D$1315, $A58)+SUMIFS(DataRegularSeason20242025!$AB$3:$AB$1315,DataRegularSeason20242025!$B$3:$B$1315, "&lt;=" &amp; J$1, DataRegularSeason20242025!$E$3:$E$1315, $A58)</f>
        <v>0</v>
      </c>
      <c r="K58">
        <f>SUMIFS(DataRegularSeason20242025!$AA$3:$AA$1315,DataRegularSeason20242025!$B$3:$B$1315, "&lt;=" &amp; K$1, DataRegularSeason20242025!$D$3:$D$1315, $A58)+SUMIFS(DataRegularSeason20242025!$AB$3:$AB$1315,DataRegularSeason20242025!$B$3:$B$1315, "&lt;=" &amp; K$1, DataRegularSeason20242025!$E$3:$E$1315, $A58)</f>
        <v>0</v>
      </c>
      <c r="L58">
        <f>SUMIFS(DataRegularSeason20242025!$AA$3:$AA$1315,DataRegularSeason20242025!$B$3:$B$1315, "&lt;=" &amp; L$1, DataRegularSeason20242025!$D$3:$D$1315, $A58)+SUMIFS(DataRegularSeason20242025!$AB$3:$AB$1315,DataRegularSeason20242025!$B$3:$B$1315, "&lt;=" &amp; L$1, DataRegularSeason20242025!$E$3:$E$1315, $A58)</f>
        <v>2</v>
      </c>
      <c r="M58">
        <f>SUMIFS(DataRegularSeason20242025!$AA$3:$AA$1315,DataRegularSeason20242025!$B$3:$B$1315, "&lt;=" &amp; M$1, DataRegularSeason20242025!$D$3:$D$1315, $A58)+SUMIFS(DataRegularSeason20242025!$AB$3:$AB$1315,DataRegularSeason20242025!$B$3:$B$1315, "&lt;=" &amp; M$1, DataRegularSeason20242025!$E$3:$E$1315, $A58)</f>
        <v>2</v>
      </c>
      <c r="N58">
        <f>SUMIFS(DataRegularSeason20242025!$AA$3:$AA$1315,DataRegularSeason20242025!$B$3:$B$1315, "&lt;=" &amp; N$1, DataRegularSeason20242025!$D$3:$D$1315, $A58)+SUMIFS(DataRegularSeason20242025!$AB$3:$AB$1315,DataRegularSeason20242025!$B$3:$B$1315, "&lt;=" &amp; N$1, DataRegularSeason20242025!$E$3:$E$1315, $A58)</f>
        <v>2</v>
      </c>
      <c r="O58">
        <f>SUMIFS(DataRegularSeason20242025!$AA$3:$AA$1315,DataRegularSeason20242025!$B$3:$B$1315, "&lt;=" &amp; O$1, DataRegularSeason20242025!$D$3:$D$1315, $A58)+SUMIFS(DataRegularSeason20242025!$AB$3:$AB$1315,DataRegularSeason20242025!$B$3:$B$1315, "&lt;=" &amp; O$1, DataRegularSeason20242025!$E$3:$E$1315, $A58)</f>
        <v>2</v>
      </c>
      <c r="P58">
        <f>SUMIFS(DataRegularSeason20242025!$AA$3:$AA$1315,DataRegularSeason20242025!$B$3:$B$1315, "&lt;=" &amp; P$1, DataRegularSeason20242025!$D$3:$D$1315, $A58)+SUMIFS(DataRegularSeason20242025!$AB$3:$AB$1315,DataRegularSeason20242025!$B$3:$B$1315, "&lt;=" &amp; P$1, DataRegularSeason20242025!$E$3:$E$1315, $A58)</f>
        <v>4</v>
      </c>
      <c r="Q58">
        <f>SUMIFS(DataRegularSeason20242025!$AA$3:$AA$1315,DataRegularSeason20242025!$B$3:$B$1315, "&lt;=" &amp; Q$1, DataRegularSeason20242025!$D$3:$D$1315, $A58)+SUMIFS(DataRegularSeason20242025!$AB$3:$AB$1315,DataRegularSeason20242025!$B$3:$B$1315, "&lt;=" &amp; Q$1, DataRegularSeason20242025!$E$3:$E$1315, $A58)</f>
        <v>4</v>
      </c>
      <c r="R58">
        <f>SUMIFS(DataRegularSeason20242025!$AA$3:$AA$1315,DataRegularSeason20242025!$B$3:$B$1315, "&lt;=" &amp; R$1, DataRegularSeason20242025!$D$3:$D$1315, $A58)+SUMIFS(DataRegularSeason20242025!$AB$3:$AB$1315,DataRegularSeason20242025!$B$3:$B$1315, "&lt;=" &amp; R$1, DataRegularSeason20242025!$E$3:$E$1315, $A58)</f>
        <v>6</v>
      </c>
      <c r="S58">
        <f>SUMIFS(DataRegularSeason20242025!$AA$3:$AA$1315,DataRegularSeason20242025!$B$3:$B$1315, "&lt;=" &amp; S$1, DataRegularSeason20242025!$D$3:$D$1315, $A58)+SUMIFS(DataRegularSeason20242025!$AB$3:$AB$1315,DataRegularSeason20242025!$B$3:$B$1315, "&lt;=" &amp; S$1, DataRegularSeason20242025!$E$3:$E$1315, $A58)</f>
        <v>6</v>
      </c>
      <c r="T58">
        <f>SUMIFS(DataRegularSeason20242025!$AA$3:$AA$1315,DataRegularSeason20242025!$B$3:$B$1315, "&lt;=" &amp; T$1, DataRegularSeason20242025!$D$3:$D$1315, $A58)+SUMIFS(DataRegularSeason20242025!$AB$3:$AB$1315,DataRegularSeason20242025!$B$3:$B$1315, "&lt;=" &amp; T$1, DataRegularSeason20242025!$E$3:$E$1315, $A58)</f>
        <v>8</v>
      </c>
      <c r="U58">
        <f>SUMIFS(DataRegularSeason20242025!$AA$3:$AA$1315,DataRegularSeason20242025!$B$3:$B$1315, "&lt;=" &amp; U$1, DataRegularSeason20242025!$D$3:$D$1315, $A58)+SUMIFS(DataRegularSeason20242025!$AB$3:$AB$1315,DataRegularSeason20242025!$B$3:$B$1315, "&lt;=" &amp; U$1, DataRegularSeason20242025!$E$3:$E$1315, $A58)</f>
        <v>8</v>
      </c>
      <c r="V58">
        <f>SUMIFS(DataRegularSeason20242025!$AA$3:$AA$1315,DataRegularSeason20242025!$B$3:$B$1315, "&lt;=" &amp; V$1, DataRegularSeason20242025!$D$3:$D$1315, $A58)+SUMIFS(DataRegularSeason20242025!$AB$3:$AB$1315,DataRegularSeason20242025!$B$3:$B$1315, "&lt;=" &amp; V$1, DataRegularSeason20242025!$E$3:$E$1315, $A58)</f>
        <v>10</v>
      </c>
      <c r="W58">
        <f>SUMIFS(DataRegularSeason20242025!$AA$3:$AA$1315,DataRegularSeason20242025!$B$3:$B$1315, "&lt;=" &amp; W$1, DataRegularSeason20242025!$D$3:$D$1315, $A58)+SUMIFS(DataRegularSeason20242025!$AB$3:$AB$1315,DataRegularSeason20242025!$B$3:$B$1315, "&lt;=" &amp; W$1, DataRegularSeason20242025!$E$3:$E$1315, $A58)</f>
        <v>10</v>
      </c>
      <c r="X58">
        <f>SUMIFS(DataRegularSeason20242025!$AA$3:$AA$1315,DataRegularSeason20242025!$B$3:$B$1315, "&lt;=" &amp; X$1, DataRegularSeason20242025!$D$3:$D$1315, $A58)+SUMIFS(DataRegularSeason20242025!$AB$3:$AB$1315,DataRegularSeason20242025!$B$3:$B$1315, "&lt;=" &amp; X$1, DataRegularSeason20242025!$E$3:$E$1315, $A58)</f>
        <v>10</v>
      </c>
      <c r="Y58">
        <f>SUMIFS(DataRegularSeason20242025!$AA$3:$AA$1315,DataRegularSeason20242025!$B$3:$B$1315, "&lt;=" &amp; Y$1, DataRegularSeason20242025!$D$3:$D$1315, $A58)+SUMIFS(DataRegularSeason20242025!$AB$3:$AB$1315,DataRegularSeason20242025!$B$3:$B$1315, "&lt;=" &amp; Y$1, DataRegularSeason20242025!$E$3:$E$1315, $A58)</f>
        <v>10</v>
      </c>
      <c r="Z58">
        <f>SUMIFS(DataRegularSeason20242025!$AA$3:$AA$1315,DataRegularSeason20242025!$B$3:$B$1315, "&lt;=" &amp; Z$1, DataRegularSeason20242025!$D$3:$D$1315, $A58)+SUMIFS(DataRegularSeason20242025!$AB$3:$AB$1315,DataRegularSeason20242025!$B$3:$B$1315, "&lt;=" &amp; Z$1, DataRegularSeason20242025!$E$3:$E$1315, $A58)</f>
        <v>10</v>
      </c>
      <c r="AA58">
        <f>SUMIFS(DataRegularSeason20242025!$AA$3:$AA$1315,DataRegularSeason20242025!$B$3:$B$1315, "&lt;=" &amp; AA$1, DataRegularSeason20242025!$D$3:$D$1315, $A58)+SUMIFS(DataRegularSeason20242025!$AB$3:$AB$1315,DataRegularSeason20242025!$B$3:$B$1315, "&lt;=" &amp; AA$1, DataRegularSeason20242025!$E$3:$E$1315, $A58)</f>
        <v>10</v>
      </c>
      <c r="AB58">
        <f>SUMIFS(DataRegularSeason20242025!$AA$3:$AA$1315,DataRegularSeason20242025!$B$3:$B$1315, "&lt;=" &amp; AB$1, DataRegularSeason20242025!$D$3:$D$1315, $A58)+SUMIFS(DataRegularSeason20242025!$AB$3:$AB$1315,DataRegularSeason20242025!$B$3:$B$1315, "&lt;=" &amp; AB$1, DataRegularSeason20242025!$E$3:$E$1315, $A58)</f>
        <v>10</v>
      </c>
      <c r="AC58">
        <f>SUMIFS(DataRegularSeason20242025!$AA$3:$AA$1315,DataRegularSeason20242025!$B$3:$B$1315, "&lt;=" &amp; AC$1, DataRegularSeason20242025!$D$3:$D$1315, $A58)+SUMIFS(DataRegularSeason20242025!$AB$3:$AB$1315,DataRegularSeason20242025!$B$3:$B$1315, "&lt;=" &amp; AC$1, DataRegularSeason20242025!$E$3:$E$1315, $A58)</f>
        <v>10</v>
      </c>
      <c r="AD58">
        <f>SUMIFS(DataRegularSeason20242025!$AA$3:$AA$1315,DataRegularSeason20242025!$B$3:$B$1315, "&lt;=" &amp; AD$1, DataRegularSeason20242025!$D$3:$D$1315, $A58)+SUMIFS(DataRegularSeason20242025!$AB$3:$AB$1315,DataRegularSeason20242025!$B$3:$B$1315, "&lt;=" &amp; AD$1, DataRegularSeason20242025!$E$3:$E$1315, $A58)</f>
        <v>10</v>
      </c>
      <c r="AE58">
        <f>SUMIFS(DataRegularSeason20242025!$AA$3:$AA$1315,DataRegularSeason20242025!$B$3:$B$1315, "&lt;=" &amp; AE$1, DataRegularSeason20242025!$D$3:$D$1315, $A58)+SUMIFS(DataRegularSeason20242025!$AB$3:$AB$1315,DataRegularSeason20242025!$B$3:$B$1315, "&lt;=" &amp; AE$1, DataRegularSeason20242025!$E$3:$E$1315, $A58)</f>
        <v>10</v>
      </c>
      <c r="AF58">
        <f>SUMIFS(DataRegularSeason20242025!$AA$3:$AA$1315,DataRegularSeason20242025!$B$3:$B$1315, "&lt;=" &amp; AF$1, DataRegularSeason20242025!$D$3:$D$1315, $A58)+SUMIFS(DataRegularSeason20242025!$AB$3:$AB$1315,DataRegularSeason20242025!$B$3:$B$1315, "&lt;=" &amp; AF$1, DataRegularSeason20242025!$E$3:$E$1315, $A58)</f>
        <v>10</v>
      </c>
      <c r="AG58">
        <f>SUMIFS(DataRegularSeason20242025!$AA$3:$AA$1315,DataRegularSeason20242025!$B$3:$B$1315, "&lt;=" &amp; AG$1, DataRegularSeason20242025!$D$3:$D$1315, $A58)+SUMIFS(DataRegularSeason20242025!$AB$3:$AB$1315,DataRegularSeason20242025!$B$3:$B$1315, "&lt;=" &amp; AG$1, DataRegularSeason20242025!$E$3:$E$1315, $A58)</f>
        <v>10</v>
      </c>
      <c r="AH58">
        <f>SUMIFS(DataRegularSeason20242025!$AA$3:$AA$1315,DataRegularSeason20242025!$B$3:$B$1315, "&lt;=" &amp; AH$1, DataRegularSeason20242025!$D$3:$D$1315, $A58)+SUMIFS(DataRegularSeason20242025!$AB$3:$AB$1315,DataRegularSeason20242025!$B$3:$B$1315, "&lt;=" &amp; AH$1, DataRegularSeason20242025!$E$3:$E$1315, $A58)</f>
        <v>10</v>
      </c>
      <c r="AI58">
        <f>SUMIFS(DataRegularSeason20242025!$AA$3:$AA$1315,DataRegularSeason20242025!$B$3:$B$1315, "&lt;=" &amp; AI$1, DataRegularSeason20242025!$D$3:$D$1315, $A58)+SUMIFS(DataRegularSeason20242025!$AB$3:$AB$1315,DataRegularSeason20242025!$B$3:$B$1315, "&lt;=" &amp; AI$1, DataRegularSeason20242025!$E$3:$E$1315, $A58)</f>
        <v>10</v>
      </c>
      <c r="AJ58">
        <f>SUMIFS(DataRegularSeason20242025!$AA$3:$AA$1315,DataRegularSeason20242025!$B$3:$B$1315, "&lt;=" &amp; AJ$1, DataRegularSeason20242025!$D$3:$D$1315, $A58)+SUMIFS(DataRegularSeason20242025!$AB$3:$AB$1315,DataRegularSeason20242025!$B$3:$B$1315, "&lt;=" &amp; AJ$1, DataRegularSeason20242025!$E$3:$E$1315, $A58)</f>
        <v>10</v>
      </c>
      <c r="AK58">
        <f>SUMIFS(DataRegularSeason20242025!$AA$3:$AA$1315,DataRegularSeason20242025!$B$3:$B$1315, "&lt;=" &amp; AK$1, DataRegularSeason20242025!$D$3:$D$1315, $A58)+SUMIFS(DataRegularSeason20242025!$AB$3:$AB$1315,DataRegularSeason20242025!$B$3:$B$1315, "&lt;=" &amp; AK$1, DataRegularSeason20242025!$E$3:$E$1315, $A58)</f>
        <v>10</v>
      </c>
      <c r="AL58">
        <f>SUMIFS(DataRegularSeason20242025!$AA$3:$AA$1315,DataRegularSeason20242025!$B$3:$B$1315, "&lt;=" &amp; AL$1, DataRegularSeason20242025!$D$3:$D$1315, $A58)+SUMIFS(DataRegularSeason20242025!$AB$3:$AB$1315,DataRegularSeason20242025!$B$3:$B$1315, "&lt;=" &amp; AL$1, DataRegularSeason20242025!$E$3:$E$1315, $A58)</f>
        <v>10</v>
      </c>
      <c r="AM58">
        <f>SUMIFS(DataRegularSeason20242025!$AA$3:$AA$1315,DataRegularSeason20242025!$B$3:$B$1315, "&lt;=" &amp; AM$1, DataRegularSeason20242025!$D$3:$D$1315, $A58)+SUMIFS(DataRegularSeason20242025!$AB$3:$AB$1315,DataRegularSeason20242025!$B$3:$B$1315, "&lt;=" &amp; AM$1, DataRegularSeason20242025!$E$3:$E$1315, $A58)</f>
        <v>10</v>
      </c>
      <c r="AN58">
        <f>SUMIFS(DataRegularSeason20242025!$AA$3:$AA$1315,DataRegularSeason20242025!$B$3:$B$1315, "&lt;=" &amp; AN$1, DataRegularSeason20242025!$D$3:$D$1315, $A58)+SUMIFS(DataRegularSeason20242025!$AB$3:$AB$1315,DataRegularSeason20242025!$B$3:$B$1315, "&lt;=" &amp; AN$1, DataRegularSeason20242025!$E$3:$E$1315, $A58)</f>
        <v>10</v>
      </c>
      <c r="AO58">
        <f>SUMIFS(DataRegularSeason20242025!$AA$3:$AA$1315,DataRegularSeason20242025!$B$3:$B$1315, "&lt;=" &amp; AO$1, DataRegularSeason20242025!$D$3:$D$1315, $A58)+SUMIFS(DataRegularSeason20242025!$AB$3:$AB$1315,DataRegularSeason20242025!$B$3:$B$1315, "&lt;=" &amp; AO$1, DataRegularSeason20242025!$E$3:$E$1315, $A58)</f>
        <v>10</v>
      </c>
      <c r="AP58">
        <f>SUMIFS(DataRegularSeason20242025!$AA$3:$AA$1315,DataRegularSeason20242025!$B$3:$B$1315, "&lt;=" &amp; AP$1, DataRegularSeason20242025!$D$3:$D$1315, $A58)+SUMIFS(DataRegularSeason20242025!$AB$3:$AB$1315,DataRegularSeason20242025!$B$3:$B$1315, "&lt;=" &amp; AP$1, DataRegularSeason20242025!$E$3:$E$1315, $A58)</f>
        <v>10</v>
      </c>
      <c r="AQ58">
        <f>SUMIFS(DataRegularSeason20242025!$AA$3:$AA$1315,DataRegularSeason20242025!$B$3:$B$1315, "&lt;=" &amp; AQ$1, DataRegularSeason20242025!$D$3:$D$1315, $A58)+SUMIFS(DataRegularSeason20242025!$AB$3:$AB$1315,DataRegularSeason20242025!$B$3:$B$1315, "&lt;=" &amp; AQ$1, DataRegularSeason20242025!$E$3:$E$1315, $A58)</f>
        <v>10</v>
      </c>
      <c r="AR58">
        <f>SUMIFS(DataRegularSeason20242025!$AA$3:$AA$1315,DataRegularSeason20242025!$B$3:$B$1315, "&lt;=" &amp; AR$1, DataRegularSeason20242025!$D$3:$D$1315, $A58)+SUMIFS(DataRegularSeason20242025!$AB$3:$AB$1315,DataRegularSeason20242025!$B$3:$B$1315, "&lt;=" &amp; AR$1, DataRegularSeason20242025!$E$3:$E$1315, $A58)</f>
        <v>10</v>
      </c>
      <c r="AS58">
        <f>SUMIFS(DataRegularSeason20242025!$AA$3:$AA$1315,DataRegularSeason20242025!$B$3:$B$1315, "&lt;=" &amp; AS$1, DataRegularSeason20242025!$D$3:$D$1315, $A58)+SUMIFS(DataRegularSeason20242025!$AB$3:$AB$1315,DataRegularSeason20242025!$B$3:$B$1315, "&lt;=" &amp; AS$1, DataRegularSeason20242025!$E$3:$E$1315, $A58)</f>
        <v>10</v>
      </c>
      <c r="AT58">
        <f>SUMIFS(DataRegularSeason20242025!$AA$3:$AA$1315,DataRegularSeason20242025!$B$3:$B$1315, "&lt;=" &amp; AT$1, DataRegularSeason20242025!$D$3:$D$1315, $A58)+SUMIFS(DataRegularSeason20242025!$AB$3:$AB$1315,DataRegularSeason20242025!$B$3:$B$1315, "&lt;=" &amp; AT$1, DataRegularSeason20242025!$E$3:$E$1315, $A58)</f>
        <v>10</v>
      </c>
      <c r="AU58">
        <f>SUMIFS(DataRegularSeason20242025!$AA$3:$AA$1315,DataRegularSeason20242025!$B$3:$B$1315, "&lt;=" &amp; AU$1, DataRegularSeason20242025!$D$3:$D$1315, $A58)+SUMIFS(DataRegularSeason20242025!$AB$3:$AB$1315,DataRegularSeason20242025!$B$3:$B$1315, "&lt;=" &amp; AU$1, DataRegularSeason20242025!$E$3:$E$1315, $A58)</f>
        <v>10</v>
      </c>
      <c r="AV58">
        <f>SUMIFS(DataRegularSeason20242025!$AA$3:$AA$1315,DataRegularSeason20242025!$B$3:$B$1315, "&lt;=" &amp; AV$1, DataRegularSeason20242025!$D$3:$D$1315, $A58)+SUMIFS(DataRegularSeason20242025!$AB$3:$AB$1315,DataRegularSeason20242025!$B$3:$B$1315, "&lt;=" &amp; AV$1, DataRegularSeason20242025!$E$3:$E$1315, $A58)</f>
        <v>10</v>
      </c>
      <c r="AW58">
        <f>SUMIFS(DataRegularSeason20242025!$AA$3:$AA$1315,DataRegularSeason20242025!$B$3:$B$1315, "&lt;=" &amp; AW$1, DataRegularSeason20242025!$D$3:$D$1315, $A58)+SUMIFS(DataRegularSeason20242025!$AB$3:$AB$1315,DataRegularSeason20242025!$B$3:$B$1315, "&lt;=" &amp; AW$1, DataRegularSeason20242025!$E$3:$E$1315, $A58)</f>
        <v>10</v>
      </c>
      <c r="AX58">
        <f>SUMIFS(DataRegularSeason20242025!$AA$3:$AA$1315,DataRegularSeason20242025!$B$3:$B$1315, "&lt;=" &amp; AX$1, DataRegularSeason20242025!$D$3:$D$1315, $A58)+SUMIFS(DataRegularSeason20242025!$AB$3:$AB$1315,DataRegularSeason20242025!$B$3:$B$1315, "&lt;=" &amp; AX$1, DataRegularSeason20242025!$E$3:$E$1315, $A58)</f>
        <v>10</v>
      </c>
      <c r="AY58">
        <f>SUMIFS(DataRegularSeason20242025!$AA$3:$AA$1315,DataRegularSeason20242025!$B$3:$B$1315, "&lt;=" &amp; AY$1, DataRegularSeason20242025!$D$3:$D$1315, $A58)+SUMIFS(DataRegularSeason20242025!$AB$3:$AB$1315,DataRegularSeason20242025!$B$3:$B$1315, "&lt;=" &amp; AY$1, DataRegularSeason20242025!$E$3:$E$1315, $A58)</f>
        <v>10</v>
      </c>
      <c r="AZ58">
        <f>SUMIFS(DataRegularSeason20242025!$AA$3:$AA$1315,DataRegularSeason20242025!$B$3:$B$1315, "&lt;=" &amp; AZ$1, DataRegularSeason20242025!$D$3:$D$1315, $A58)+SUMIFS(DataRegularSeason20242025!$AB$3:$AB$1315,DataRegularSeason20242025!$B$3:$B$1315, "&lt;=" &amp; AZ$1, DataRegularSeason20242025!$E$3:$E$1315, $A58)</f>
        <v>10</v>
      </c>
      <c r="BA58">
        <f>SUMIFS(DataRegularSeason20242025!$AA$3:$AA$1315,DataRegularSeason20242025!$B$3:$B$1315, "&lt;=" &amp; BA$1, DataRegularSeason20242025!$D$3:$D$1315, $A58)+SUMIFS(DataRegularSeason20242025!$AB$3:$AB$1315,DataRegularSeason20242025!$B$3:$B$1315, "&lt;=" &amp; BA$1, DataRegularSeason20242025!$E$3:$E$1315, $A58)</f>
        <v>10</v>
      </c>
      <c r="BB58">
        <f>SUMIFS(DataRegularSeason20242025!$AA$3:$AA$1315,DataRegularSeason20242025!$B$3:$B$1315, "&lt;=" &amp; BB$1, DataRegularSeason20242025!$D$3:$D$1315, $A58)+SUMIFS(DataRegularSeason20242025!$AB$3:$AB$1315,DataRegularSeason20242025!$B$3:$B$1315, "&lt;=" &amp; BB$1, DataRegularSeason20242025!$E$3:$E$1315, $A58)</f>
        <v>10</v>
      </c>
      <c r="BC58">
        <f>SUMIFS(DataRegularSeason20242025!$AA$3:$AA$1315,DataRegularSeason20242025!$B$3:$B$1315, "&lt;=" &amp; BC$1, DataRegularSeason20242025!$D$3:$D$1315, $A58)+SUMIFS(DataRegularSeason20242025!$AB$3:$AB$1315,DataRegularSeason20242025!$B$3:$B$1315, "&lt;=" &amp; BC$1, DataRegularSeason20242025!$E$3:$E$1315, $A58)</f>
        <v>10</v>
      </c>
      <c r="BD58">
        <f>SUMIFS(DataRegularSeason20242025!$AA$3:$AA$1315,DataRegularSeason20242025!$B$3:$B$1315, "&lt;=" &amp; BD$1, DataRegularSeason20242025!$D$3:$D$1315, $A58)+SUMIFS(DataRegularSeason20242025!$AB$3:$AB$1315,DataRegularSeason20242025!$B$3:$B$1315, "&lt;=" &amp; BD$1, DataRegularSeason20242025!$E$3:$E$1315, $A58)</f>
        <v>10</v>
      </c>
      <c r="BE58">
        <f>SUMIFS(DataRegularSeason20242025!$AA$3:$AA$1315,DataRegularSeason20242025!$B$3:$B$1315, "&lt;=" &amp; BE$1, DataRegularSeason20242025!$D$3:$D$1315, $A58)+SUMIFS(DataRegularSeason20242025!$AB$3:$AB$1315,DataRegularSeason20242025!$B$3:$B$1315, "&lt;=" &amp; BE$1, DataRegularSeason20242025!$E$3:$E$1315, $A58)</f>
        <v>10</v>
      </c>
      <c r="BF58">
        <f>SUMIFS(DataRegularSeason20242025!$AA$3:$AA$1315,DataRegularSeason20242025!$B$3:$B$1315, "&lt;=" &amp; BF$1, DataRegularSeason20242025!$D$3:$D$1315, $A58)+SUMIFS(DataRegularSeason20242025!$AB$3:$AB$1315,DataRegularSeason20242025!$B$3:$B$1315, "&lt;=" &amp; BF$1, DataRegularSeason20242025!$E$3:$E$1315, $A58)</f>
        <v>10</v>
      </c>
      <c r="BG58">
        <f>SUMIFS(DataRegularSeason20242025!$AA$3:$AA$1315,DataRegularSeason20242025!$B$3:$B$1315, "&lt;=" &amp; BG$1, DataRegularSeason20242025!$D$3:$D$1315, $A58)+SUMIFS(DataRegularSeason20242025!$AB$3:$AB$1315,DataRegularSeason20242025!$B$3:$B$1315, "&lt;=" &amp; BG$1, DataRegularSeason20242025!$E$3:$E$1315, $A58)</f>
        <v>10</v>
      </c>
      <c r="BH58">
        <f>SUMIFS(DataRegularSeason20242025!$AA$3:$AA$1315,DataRegularSeason20242025!$B$3:$B$1315, "&lt;=" &amp; BH$1, DataRegularSeason20242025!$D$3:$D$1315, $A58)+SUMIFS(DataRegularSeason20242025!$AB$3:$AB$1315,DataRegularSeason20242025!$B$3:$B$1315, "&lt;=" &amp; BH$1, DataRegularSeason20242025!$E$3:$E$1315, $A58)</f>
        <v>10</v>
      </c>
      <c r="BI58">
        <f>SUMIFS(DataRegularSeason20242025!$AA$3:$AA$1315,DataRegularSeason20242025!$B$3:$B$1315, "&lt;=" &amp; BI$1, DataRegularSeason20242025!$D$3:$D$1315, $A58)+SUMIFS(DataRegularSeason20242025!$AB$3:$AB$1315,DataRegularSeason20242025!$B$3:$B$1315, "&lt;=" &amp; BI$1, DataRegularSeason20242025!$E$3:$E$1315, $A58)</f>
        <v>10</v>
      </c>
      <c r="BJ58">
        <f>SUMIFS(DataRegularSeason20242025!$AA$3:$AA$1315,DataRegularSeason20242025!$B$3:$B$1315, "&lt;=" &amp; BJ$1, DataRegularSeason20242025!$D$3:$D$1315, $A58)+SUMIFS(DataRegularSeason20242025!$AB$3:$AB$1315,DataRegularSeason20242025!$B$3:$B$1315, "&lt;=" &amp; BJ$1, DataRegularSeason20242025!$E$3:$E$1315, $A58)</f>
        <v>10</v>
      </c>
      <c r="BK58">
        <f>SUMIFS(DataRegularSeason20242025!$AA$3:$AA$1315,DataRegularSeason20242025!$B$3:$B$1315, "&lt;=" &amp; BK$1, DataRegularSeason20242025!$D$3:$D$1315, $A58)+SUMIFS(DataRegularSeason20242025!$AB$3:$AB$1315,DataRegularSeason20242025!$B$3:$B$1315, "&lt;=" &amp; BK$1, DataRegularSeason20242025!$E$3:$E$1315, $A58)</f>
        <v>10</v>
      </c>
      <c r="BL58">
        <f>SUMIFS(DataRegularSeason20242025!$AA$3:$AA$1315,DataRegularSeason20242025!$B$3:$B$1315, "&lt;=" &amp; BL$1, DataRegularSeason20242025!$D$3:$D$1315, $A58)+SUMIFS(DataRegularSeason20242025!$AB$3:$AB$1315,DataRegularSeason20242025!$B$3:$B$1315, "&lt;=" &amp; BL$1, DataRegularSeason20242025!$E$3:$E$1315, $A58)</f>
        <v>10</v>
      </c>
      <c r="BM58">
        <f>SUMIFS(DataRegularSeason20242025!$AA$3:$AA$1315,DataRegularSeason20242025!$B$3:$B$1315, "&lt;=" &amp; BM$1, DataRegularSeason20242025!$D$3:$D$1315, $A58)+SUMIFS(DataRegularSeason20242025!$AB$3:$AB$1315,DataRegularSeason20242025!$B$3:$B$1315, "&lt;=" &amp; BM$1, DataRegularSeason20242025!$E$3:$E$1315, $A58)</f>
        <v>10</v>
      </c>
      <c r="BN58">
        <f>SUMIFS(DataRegularSeason20242025!$AA$3:$AA$1315,DataRegularSeason20242025!$B$3:$B$1315, "&lt;=" &amp; BN$1, DataRegularSeason20242025!$D$3:$D$1315, $A58)+SUMIFS(DataRegularSeason20242025!$AB$3:$AB$1315,DataRegularSeason20242025!$B$3:$B$1315, "&lt;=" &amp; BN$1, DataRegularSeason20242025!$E$3:$E$1315, $A58)</f>
        <v>10</v>
      </c>
      <c r="BO58">
        <f>SUMIFS(DataRegularSeason20242025!$AA$3:$AA$1315,DataRegularSeason20242025!$B$3:$B$1315, "&lt;=" &amp; BO$1, DataRegularSeason20242025!$D$3:$D$1315, $A58)+SUMIFS(DataRegularSeason20242025!$AB$3:$AB$1315,DataRegularSeason20242025!$B$3:$B$1315, "&lt;=" &amp; BO$1, DataRegularSeason20242025!$E$3:$E$1315, $A58)</f>
        <v>10</v>
      </c>
      <c r="BP58">
        <f>SUMIFS(DataRegularSeason20242025!$AA$3:$AA$1315,DataRegularSeason20242025!$B$3:$B$1315, "&lt;=" &amp; BP$1, DataRegularSeason20242025!$D$3:$D$1315, $A58)+SUMIFS(DataRegularSeason20242025!$AB$3:$AB$1315,DataRegularSeason20242025!$B$3:$B$1315, "&lt;=" &amp; BP$1, DataRegularSeason20242025!$E$3:$E$1315, $A58)</f>
        <v>10</v>
      </c>
      <c r="BQ58">
        <f>SUMIFS(DataRegularSeason20242025!$AA$3:$AA$1315,DataRegularSeason20242025!$B$3:$B$1315, "&lt;=" &amp; BQ$1, DataRegularSeason20242025!$D$3:$D$1315, $A58)+SUMIFS(DataRegularSeason20242025!$AB$3:$AB$1315,DataRegularSeason20242025!$B$3:$B$1315, "&lt;=" &amp; BQ$1, DataRegularSeason20242025!$E$3:$E$1315, $A58)</f>
        <v>10</v>
      </c>
      <c r="BR58">
        <f>SUMIFS(DataRegularSeason20242025!$AA$3:$AA$1315,DataRegularSeason20242025!$B$3:$B$1315, "&lt;=" &amp; BR$1, DataRegularSeason20242025!$D$3:$D$1315, $A58)+SUMIFS(DataRegularSeason20242025!$AB$3:$AB$1315,DataRegularSeason20242025!$B$3:$B$1315, "&lt;=" &amp; BR$1, DataRegularSeason20242025!$E$3:$E$1315, $A58)</f>
        <v>10</v>
      </c>
      <c r="BS58">
        <f>SUMIFS(DataRegularSeason20242025!$AA$3:$AA$1315,DataRegularSeason20242025!$B$3:$B$1315, "&lt;=" &amp; BS$1, DataRegularSeason20242025!$D$3:$D$1315, $A58)+SUMIFS(DataRegularSeason20242025!$AB$3:$AB$1315,DataRegularSeason20242025!$B$3:$B$1315, "&lt;=" &amp; BS$1, DataRegularSeason20242025!$E$3:$E$1315, $A58)</f>
        <v>10</v>
      </c>
      <c r="BT58">
        <f>SUMIFS(DataRegularSeason20242025!$AA$3:$AA$1315,DataRegularSeason20242025!$B$3:$B$1315, "&lt;=" &amp; BT$1, DataRegularSeason20242025!$D$3:$D$1315, $A58)+SUMIFS(DataRegularSeason20242025!$AB$3:$AB$1315,DataRegularSeason20242025!$B$3:$B$1315, "&lt;=" &amp; BT$1, DataRegularSeason20242025!$E$3:$E$1315, $A58)</f>
        <v>10</v>
      </c>
      <c r="BU58">
        <f>SUMIFS(DataRegularSeason20242025!$AA$3:$AA$1315,DataRegularSeason20242025!$B$3:$B$1315, "&lt;=" &amp; BU$1, DataRegularSeason20242025!$D$3:$D$1315, $A58)+SUMIFS(DataRegularSeason20242025!$AB$3:$AB$1315,DataRegularSeason20242025!$B$3:$B$1315, "&lt;=" &amp; BU$1, DataRegularSeason20242025!$E$3:$E$1315, $A58)</f>
        <v>10</v>
      </c>
      <c r="BV58">
        <f>SUMIFS(DataRegularSeason20242025!$AA$3:$AA$1315,DataRegularSeason20242025!$B$3:$B$1315, "&lt;=" &amp; BV$1, DataRegularSeason20242025!$D$3:$D$1315, $A58)+SUMIFS(DataRegularSeason20242025!$AB$3:$AB$1315,DataRegularSeason20242025!$B$3:$B$1315, "&lt;=" &amp; BV$1, DataRegularSeason20242025!$E$3:$E$1315, $A58)</f>
        <v>10</v>
      </c>
      <c r="BW58">
        <f>SUMIFS(DataRegularSeason20242025!$AA$3:$AA$1315,DataRegularSeason20242025!$B$3:$B$1315, "&lt;=" &amp; BW$1, DataRegularSeason20242025!$D$3:$D$1315, $A58)+SUMIFS(DataRegularSeason20242025!$AB$3:$AB$1315,DataRegularSeason20242025!$B$3:$B$1315, "&lt;=" &amp; BW$1, DataRegularSeason20242025!$E$3:$E$1315, $A58)</f>
        <v>10</v>
      </c>
      <c r="BX58">
        <f>SUMIFS(DataRegularSeason20242025!$AA$3:$AA$1315,DataRegularSeason20242025!$B$3:$B$1315, "&lt;=" &amp; BX$1, DataRegularSeason20242025!$D$3:$D$1315, $A58)+SUMIFS(DataRegularSeason20242025!$AB$3:$AB$1315,DataRegularSeason20242025!$B$3:$B$1315, "&lt;=" &amp; BX$1, DataRegularSeason20242025!$E$3:$E$1315, $A58)</f>
        <v>10</v>
      </c>
      <c r="BY58">
        <f>SUMIFS(DataRegularSeason20242025!$AA$3:$AA$1315,DataRegularSeason20242025!$B$3:$B$1315, "&lt;=" &amp; BY$1, DataRegularSeason20242025!$D$3:$D$1315, $A58)+SUMIFS(DataRegularSeason20242025!$AB$3:$AB$1315,DataRegularSeason20242025!$B$3:$B$1315, "&lt;=" &amp; BY$1, DataRegularSeason20242025!$E$3:$E$1315, $A58)</f>
        <v>10</v>
      </c>
      <c r="BZ58">
        <f>SUMIFS(DataRegularSeason20242025!$AA$3:$AA$1315,DataRegularSeason20242025!$B$3:$B$1315, "&lt;=" &amp; BZ$1, DataRegularSeason20242025!$D$3:$D$1315, $A58)+SUMIFS(DataRegularSeason20242025!$AB$3:$AB$1315,DataRegularSeason20242025!$B$3:$B$1315, "&lt;=" &amp; BZ$1, DataRegularSeason20242025!$E$3:$E$1315, $A58)</f>
        <v>10</v>
      </c>
      <c r="CA58">
        <f>SUMIFS(DataRegularSeason20242025!$AA$3:$AA$1315,DataRegularSeason20242025!$B$3:$B$1315, "&lt;=" &amp; CA$1, DataRegularSeason20242025!$D$3:$D$1315, $A58)+SUMIFS(DataRegularSeason20242025!$AB$3:$AB$1315,DataRegularSeason20242025!$B$3:$B$1315, "&lt;=" &amp; CA$1, DataRegularSeason20242025!$E$3:$E$1315, $A58)</f>
        <v>10</v>
      </c>
      <c r="CB58">
        <f>SUMIFS(DataRegularSeason20242025!$AA$3:$AA$1315,DataRegularSeason20242025!$B$3:$B$1315, "&lt;=" &amp; CB$1, DataRegularSeason20242025!$D$3:$D$1315, $A58)+SUMIFS(DataRegularSeason20242025!$AB$3:$AB$1315,DataRegularSeason20242025!$B$3:$B$1315, "&lt;=" &amp; CB$1, DataRegularSeason20242025!$E$3:$E$1315, $A58)</f>
        <v>10</v>
      </c>
      <c r="CC58">
        <f>SUMIFS(DataRegularSeason20242025!$AA$3:$AA$1315,DataRegularSeason20242025!$B$3:$B$1315, "&lt;=" &amp; CC$1, DataRegularSeason20242025!$D$3:$D$1315, $A58)+SUMIFS(DataRegularSeason20242025!$AB$3:$AB$1315,DataRegularSeason20242025!$B$3:$B$1315, "&lt;=" &amp; CC$1, DataRegularSeason20242025!$E$3:$E$1315, $A58)</f>
        <v>10</v>
      </c>
      <c r="CD58">
        <f>SUMIFS(DataRegularSeason20242025!$AA$3:$AA$1315,DataRegularSeason20242025!$B$3:$B$1315, "&lt;=" &amp; CD$1, DataRegularSeason20242025!$D$3:$D$1315, $A58)+SUMIFS(DataRegularSeason20242025!$AB$3:$AB$1315,DataRegularSeason20242025!$B$3:$B$1315, "&lt;=" &amp; CD$1, DataRegularSeason20242025!$E$3:$E$1315, $A58)</f>
        <v>10</v>
      </c>
      <c r="CE58">
        <f>SUMIFS(DataRegularSeason20242025!$AA$3:$AA$1315,DataRegularSeason20242025!$B$3:$B$1315, "&lt;=" &amp; CE$1, DataRegularSeason20242025!$D$3:$D$1315, $A58)+SUMIFS(DataRegularSeason20242025!$AB$3:$AB$1315,DataRegularSeason20242025!$B$3:$B$1315, "&lt;=" &amp; CE$1, DataRegularSeason20242025!$E$3:$E$1315, $A58)</f>
        <v>10</v>
      </c>
      <c r="CF58">
        <f>SUMIFS(DataRegularSeason20242025!$AA$3:$AA$1315,DataRegularSeason20242025!$B$3:$B$1315, "&lt;=" &amp; CF$1, DataRegularSeason20242025!$D$3:$D$1315, $A58)+SUMIFS(DataRegularSeason20242025!$AB$3:$AB$1315,DataRegularSeason20242025!$B$3:$B$1315, "&lt;=" &amp; CF$1, DataRegularSeason20242025!$E$3:$E$1315, $A58)</f>
        <v>10</v>
      </c>
      <c r="CG58">
        <f>SUMIFS(DataRegularSeason20242025!$AA$3:$AA$1315,DataRegularSeason20242025!$B$3:$B$1315, "&lt;=" &amp; CG$1, DataRegularSeason20242025!$D$3:$D$1315, $A58)+SUMIFS(DataRegularSeason20242025!$AB$3:$AB$1315,DataRegularSeason20242025!$B$3:$B$1315, "&lt;=" &amp; CG$1, DataRegularSeason20242025!$E$3:$E$1315, $A58)</f>
        <v>10</v>
      </c>
      <c r="CH58">
        <f>SUMIFS(DataRegularSeason20242025!$AA$3:$AA$1315,DataRegularSeason20242025!$B$3:$B$1315, "&lt;=" &amp; CH$1, DataRegularSeason20242025!$D$3:$D$1315, $A58)+SUMIFS(DataRegularSeason20242025!$AB$3:$AB$1315,DataRegularSeason20242025!$B$3:$B$1315, "&lt;=" &amp; CH$1, DataRegularSeason20242025!$E$3:$E$1315, $A58)</f>
        <v>10</v>
      </c>
      <c r="CI58">
        <f>SUMIFS(DataRegularSeason20242025!$AA$3:$AA$1315,DataRegularSeason20242025!$B$3:$B$1315, "&lt;=" &amp; CI$1, DataRegularSeason20242025!$D$3:$D$1315, $A58)+SUMIFS(DataRegularSeason20242025!$AB$3:$AB$1315,DataRegularSeason20242025!$B$3:$B$1315, "&lt;=" &amp; CI$1, DataRegularSeason20242025!$E$3:$E$1315, $A58)</f>
        <v>10</v>
      </c>
      <c r="CJ58">
        <f>SUMIFS(DataRegularSeason20242025!$AA$3:$AA$1315,DataRegularSeason20242025!$B$3:$B$1315, "&lt;=" &amp; CJ$1, DataRegularSeason20242025!$D$3:$D$1315, $A58)+SUMIFS(DataRegularSeason20242025!$AB$3:$AB$1315,DataRegularSeason20242025!$B$3:$B$1315, "&lt;=" &amp; CJ$1, DataRegularSeason20242025!$E$3:$E$1315, $A58)</f>
        <v>10</v>
      </c>
      <c r="CK58">
        <f>SUMIFS(DataRegularSeason20242025!$AA$3:$AA$1315,DataRegularSeason20242025!$B$3:$B$1315, "&lt;=" &amp; CK$1, DataRegularSeason20242025!$D$3:$D$1315, $A58)+SUMIFS(DataRegularSeason20242025!$AB$3:$AB$1315,DataRegularSeason20242025!$B$3:$B$1315, "&lt;=" &amp; CK$1, DataRegularSeason20242025!$E$3:$E$1315, $A58)</f>
        <v>10</v>
      </c>
      <c r="CL58">
        <f>SUMIFS(DataRegularSeason20242025!$AA$3:$AA$1315,DataRegularSeason20242025!$B$3:$B$1315, "&lt;=" &amp; CL$1, DataRegularSeason20242025!$D$3:$D$1315, $A58)+SUMIFS(DataRegularSeason20242025!$AB$3:$AB$1315,DataRegularSeason20242025!$B$3:$B$1315, "&lt;=" &amp; CL$1, DataRegularSeason20242025!$E$3:$E$1315, $A58)</f>
        <v>10</v>
      </c>
      <c r="CM58">
        <f>SUMIFS(DataRegularSeason20242025!$AA$3:$AA$1315,DataRegularSeason20242025!$B$3:$B$1315, "&lt;=" &amp; CM$1, DataRegularSeason20242025!$D$3:$D$1315, $A58)+SUMIFS(DataRegularSeason20242025!$AB$3:$AB$1315,DataRegularSeason20242025!$B$3:$B$1315, "&lt;=" &amp; CM$1, DataRegularSeason20242025!$E$3:$E$1315, $A58)</f>
        <v>10</v>
      </c>
      <c r="CN58">
        <f>SUMIFS(DataRegularSeason20242025!$AA$3:$AA$1315,DataRegularSeason20242025!$B$3:$B$1315, "&lt;=" &amp; CN$1, DataRegularSeason20242025!$D$3:$D$1315, $A58)+SUMIFS(DataRegularSeason20242025!$AB$3:$AB$1315,DataRegularSeason20242025!$B$3:$B$1315, "&lt;=" &amp; CN$1, DataRegularSeason20242025!$E$3:$E$1315, $A58)</f>
        <v>10</v>
      </c>
      <c r="CO58">
        <f>SUMIFS(DataRegularSeason20242025!$AA$3:$AA$1315,DataRegularSeason20242025!$B$3:$B$1315, "&lt;=" &amp; CO$1, DataRegularSeason20242025!$D$3:$D$1315, $A58)+SUMIFS(DataRegularSeason20242025!$AB$3:$AB$1315,DataRegularSeason20242025!$B$3:$B$1315, "&lt;=" &amp; CO$1, DataRegularSeason20242025!$E$3:$E$1315, $A58)</f>
        <v>10</v>
      </c>
      <c r="CP58">
        <f>SUMIFS(DataRegularSeason20242025!$AA$3:$AA$1315,DataRegularSeason20242025!$B$3:$B$1315, "&lt;=" &amp; CP$1, DataRegularSeason20242025!$D$3:$D$1315, $A58)+SUMIFS(DataRegularSeason20242025!$AB$3:$AB$1315,DataRegularSeason20242025!$B$3:$B$1315, "&lt;=" &amp; CP$1, DataRegularSeason20242025!$E$3:$E$1315, $A58)</f>
        <v>10</v>
      </c>
      <c r="CQ58">
        <f>SUMIFS(DataRegularSeason20242025!$AA$3:$AA$1315,DataRegularSeason20242025!$B$3:$B$1315, "&lt;=" &amp; CQ$1, DataRegularSeason20242025!$D$3:$D$1315, $A58)+SUMIFS(DataRegularSeason20242025!$AB$3:$AB$1315,DataRegularSeason20242025!$B$3:$B$1315, "&lt;=" &amp; CQ$1, DataRegularSeason20242025!$E$3:$E$1315, $A58)</f>
        <v>10</v>
      </c>
      <c r="CR58">
        <f>SUMIFS(DataRegularSeason20242025!$AA$3:$AA$1315,DataRegularSeason20242025!$B$3:$B$1315, "&lt;=" &amp; CR$1, DataRegularSeason20242025!$D$3:$D$1315, $A58)+SUMIFS(DataRegularSeason20242025!$AB$3:$AB$1315,DataRegularSeason20242025!$B$3:$B$1315, "&lt;=" &amp; CR$1, DataRegularSeason20242025!$E$3:$E$1315, $A58)</f>
        <v>10</v>
      </c>
      <c r="CS58">
        <f>SUMIFS(DataRegularSeason20242025!$AA$3:$AA$1315,DataRegularSeason20242025!$B$3:$B$1315, "&lt;=" &amp; CS$1, DataRegularSeason20242025!$D$3:$D$1315, $A58)+SUMIFS(DataRegularSeason20242025!$AB$3:$AB$1315,DataRegularSeason20242025!$B$3:$B$1315, "&lt;=" &amp; CS$1, DataRegularSeason20242025!$E$3:$E$1315, $A58)</f>
        <v>10</v>
      </c>
      <c r="CT58">
        <f>SUMIFS(DataRegularSeason20242025!$AA$3:$AA$1315,DataRegularSeason20242025!$B$3:$B$1315, "&lt;=" &amp; CT$1, DataRegularSeason20242025!$D$3:$D$1315, $A58)+SUMIFS(DataRegularSeason20242025!$AB$3:$AB$1315,DataRegularSeason20242025!$B$3:$B$1315, "&lt;=" &amp; CT$1, DataRegularSeason20242025!$E$3:$E$1315, $A58)</f>
        <v>10</v>
      </c>
      <c r="CU58">
        <f>SUMIFS(DataRegularSeason20242025!$AA$3:$AA$1315,DataRegularSeason20242025!$B$3:$B$1315, "&lt;=" &amp; CU$1, DataRegularSeason20242025!$D$3:$D$1315, $A58)+SUMIFS(DataRegularSeason20242025!$AB$3:$AB$1315,DataRegularSeason20242025!$B$3:$B$1315, "&lt;=" &amp; CU$1, DataRegularSeason20242025!$E$3:$E$1315, $A58)</f>
        <v>10</v>
      </c>
      <c r="CV58">
        <f>SUMIFS(DataRegularSeason20242025!$AA$3:$AA$1315,DataRegularSeason20242025!$B$3:$B$1315, "&lt;=" &amp; CV$1, DataRegularSeason20242025!$D$3:$D$1315, $A58)+SUMIFS(DataRegularSeason20242025!$AB$3:$AB$1315,DataRegularSeason20242025!$B$3:$B$1315, "&lt;=" &amp; CV$1, DataRegularSeason20242025!$E$3:$E$1315, $A58)</f>
        <v>10</v>
      </c>
      <c r="CW58">
        <f>SUMIFS(DataRegularSeason20242025!$AA$3:$AA$1315,DataRegularSeason20242025!$B$3:$B$1315, "&lt;=" &amp; CW$1, DataRegularSeason20242025!$D$3:$D$1315, $A58)+SUMIFS(DataRegularSeason20242025!$AB$3:$AB$1315,DataRegularSeason20242025!$B$3:$B$1315, "&lt;=" &amp; CW$1, DataRegularSeason20242025!$E$3:$E$1315, $A58)</f>
        <v>10</v>
      </c>
      <c r="CX58">
        <f>SUMIFS(DataRegularSeason20242025!$AA$3:$AA$1315,DataRegularSeason20242025!$B$3:$B$1315, "&lt;=" &amp; CX$1, DataRegularSeason20242025!$D$3:$D$1315, $A58)+SUMIFS(DataRegularSeason20242025!$AB$3:$AB$1315,DataRegularSeason20242025!$B$3:$B$1315, "&lt;=" &amp; CX$1, DataRegularSeason20242025!$E$3:$E$1315, $A58)</f>
        <v>10</v>
      </c>
      <c r="CY58">
        <f>SUMIFS(DataRegularSeason20242025!$AA$3:$AA$1315,DataRegularSeason20242025!$B$3:$B$1315, "&lt;=" &amp; CY$1, DataRegularSeason20242025!$D$3:$D$1315, $A58)+SUMIFS(DataRegularSeason20242025!$AB$3:$AB$1315,DataRegularSeason20242025!$B$3:$B$1315, "&lt;=" &amp; CY$1, DataRegularSeason20242025!$E$3:$E$1315, $A58)</f>
        <v>10</v>
      </c>
      <c r="CZ58">
        <f>SUMIFS(DataRegularSeason20242025!$AA$3:$AA$1315,DataRegularSeason20242025!$B$3:$B$1315, "&lt;=" &amp; CZ$1, DataRegularSeason20242025!$D$3:$D$1315, $A58)+SUMIFS(DataRegularSeason20242025!$AB$3:$AB$1315,DataRegularSeason20242025!$B$3:$B$1315, "&lt;=" &amp; CZ$1, DataRegularSeason20242025!$E$3:$E$1315, $A58)</f>
        <v>10</v>
      </c>
      <c r="DA58">
        <f>SUMIFS(DataRegularSeason20242025!$AA$3:$AA$1315,DataRegularSeason20242025!$B$3:$B$1315, "&lt;=" &amp; DA$1, DataRegularSeason20242025!$D$3:$D$1315, $A58)+SUMIFS(DataRegularSeason20242025!$AB$3:$AB$1315,DataRegularSeason20242025!$B$3:$B$1315, "&lt;=" &amp; DA$1, DataRegularSeason20242025!$E$3:$E$1315, $A58)</f>
        <v>10</v>
      </c>
      <c r="DB58">
        <f>SUMIFS(DataRegularSeason20242025!$AA$3:$AA$1315,DataRegularSeason20242025!$B$3:$B$1315, "&lt;=" &amp; DB$1, DataRegularSeason20242025!$D$3:$D$1315, $A58)+SUMIFS(DataRegularSeason20242025!$AB$3:$AB$1315,DataRegularSeason20242025!$B$3:$B$1315, "&lt;=" &amp; DB$1, DataRegularSeason20242025!$E$3:$E$1315, $A58)</f>
        <v>10</v>
      </c>
      <c r="DC58">
        <f>SUMIFS(DataRegularSeason20242025!$AA$3:$AA$1315,DataRegularSeason20242025!$B$3:$B$1315, "&lt;=" &amp; DC$1, DataRegularSeason20242025!$D$3:$D$1315, $A58)+SUMIFS(DataRegularSeason20242025!$AB$3:$AB$1315,DataRegularSeason20242025!$B$3:$B$1315, "&lt;=" &amp; DC$1, DataRegularSeason20242025!$E$3:$E$1315, $A58)</f>
        <v>10</v>
      </c>
      <c r="DD58">
        <f>SUMIFS(DataRegularSeason20242025!$AA$3:$AA$1315,DataRegularSeason20242025!$B$3:$B$1315, "&lt;=" &amp; DD$1, DataRegularSeason20242025!$D$3:$D$1315, $A58)+SUMIFS(DataRegularSeason20242025!$AB$3:$AB$1315,DataRegularSeason20242025!$B$3:$B$1315, "&lt;=" &amp; DD$1, DataRegularSeason20242025!$E$3:$E$1315, $A58)</f>
        <v>10</v>
      </c>
      <c r="DE58">
        <f>SUMIFS(DataRegularSeason20242025!$AA$3:$AA$1315,DataRegularSeason20242025!$B$3:$B$1315, "&lt;=" &amp; DE$1, DataRegularSeason20242025!$D$3:$D$1315, $A58)+SUMIFS(DataRegularSeason20242025!$AB$3:$AB$1315,DataRegularSeason20242025!$B$3:$B$1315, "&lt;=" &amp; DE$1, DataRegularSeason20242025!$E$3:$E$1315, $A58)</f>
        <v>10</v>
      </c>
      <c r="DF58">
        <f>SUMIFS(DataRegularSeason20242025!$AA$3:$AA$1315,DataRegularSeason20242025!$B$3:$B$1315, "&lt;=" &amp; DF$1, DataRegularSeason20242025!$D$3:$D$1315, $A58)+SUMIFS(DataRegularSeason20242025!$AB$3:$AB$1315,DataRegularSeason20242025!$B$3:$B$1315, "&lt;=" &amp; DF$1, DataRegularSeason20242025!$E$3:$E$1315, $A58)</f>
        <v>10</v>
      </c>
      <c r="DG58">
        <f>SUMIFS(DataRegularSeason20242025!$AA$3:$AA$1315,DataRegularSeason20242025!$B$3:$B$1315, "&lt;=" &amp; DG$1, DataRegularSeason20242025!$D$3:$D$1315, $A58)+SUMIFS(DataRegularSeason20242025!$AB$3:$AB$1315,DataRegularSeason20242025!$B$3:$B$1315, "&lt;=" &amp; DG$1, DataRegularSeason20242025!$E$3:$E$1315, $A58)</f>
        <v>10</v>
      </c>
      <c r="DH58">
        <f>SUMIFS(DataRegularSeason20242025!$AA$3:$AA$1315,DataRegularSeason20242025!$B$3:$B$1315, "&lt;=" &amp; DH$1, DataRegularSeason20242025!$D$3:$D$1315, $A58)+SUMIFS(DataRegularSeason20242025!$AB$3:$AB$1315,DataRegularSeason20242025!$B$3:$B$1315, "&lt;=" &amp; DH$1, DataRegularSeason20242025!$E$3:$E$1315, $A58)</f>
        <v>10</v>
      </c>
      <c r="DI58">
        <f>SUMIFS(DataRegularSeason20242025!$AA$3:$AA$1315,DataRegularSeason20242025!$B$3:$B$1315, "&lt;=" &amp; DI$1, DataRegularSeason20242025!$D$3:$D$1315, $A58)+SUMIFS(DataRegularSeason20242025!$AB$3:$AB$1315,DataRegularSeason20242025!$B$3:$B$1315, "&lt;=" &amp; DI$1, DataRegularSeason20242025!$E$3:$E$1315, $A58)</f>
        <v>10</v>
      </c>
      <c r="DJ58">
        <f>SUMIFS(DataRegularSeason20242025!$AA$3:$AA$1315,DataRegularSeason20242025!$B$3:$B$1315, "&lt;=" &amp; DJ$1, DataRegularSeason20242025!$D$3:$D$1315, $A58)+SUMIFS(DataRegularSeason20242025!$AB$3:$AB$1315,DataRegularSeason20242025!$B$3:$B$1315, "&lt;=" &amp; DJ$1, DataRegularSeason20242025!$E$3:$E$1315, $A58)</f>
        <v>10</v>
      </c>
      <c r="DK58">
        <f>SUMIFS(DataRegularSeason20242025!$AA$3:$AA$1315,DataRegularSeason20242025!$B$3:$B$1315, "&lt;=" &amp; DK$1, DataRegularSeason20242025!$D$3:$D$1315, $A58)+SUMIFS(DataRegularSeason20242025!$AB$3:$AB$1315,DataRegularSeason20242025!$B$3:$B$1315, "&lt;=" &amp; DK$1, DataRegularSeason20242025!$E$3:$E$1315, $A58)</f>
        <v>10</v>
      </c>
      <c r="DL58">
        <f>SUMIFS(DataRegularSeason20242025!$AA$3:$AA$1315,DataRegularSeason20242025!$B$3:$B$1315, "&lt;=" &amp; DL$1, DataRegularSeason20242025!$D$3:$D$1315, $A58)+SUMIFS(DataRegularSeason20242025!$AB$3:$AB$1315,DataRegularSeason20242025!$B$3:$B$1315, "&lt;=" &amp; DL$1, DataRegularSeason20242025!$E$3:$E$1315, $A58)</f>
        <v>10</v>
      </c>
      <c r="DM58">
        <f>SUMIFS(DataRegularSeason20242025!$AA$3:$AA$1315,DataRegularSeason20242025!$B$3:$B$1315, "&lt;=" &amp; DM$1, DataRegularSeason20242025!$D$3:$D$1315, $A58)+SUMIFS(DataRegularSeason20242025!$AB$3:$AB$1315,DataRegularSeason20242025!$B$3:$B$1315, "&lt;=" &amp; DM$1, DataRegularSeason20242025!$E$3:$E$1315, $A58)</f>
        <v>10</v>
      </c>
      <c r="DN58">
        <f>SUMIFS(DataRegularSeason20242025!$AA$3:$AA$1315,DataRegularSeason20242025!$B$3:$B$1315, "&lt;=" &amp; DN$1, DataRegularSeason20242025!$D$3:$D$1315, $A58)+SUMIFS(DataRegularSeason20242025!$AB$3:$AB$1315,DataRegularSeason20242025!$B$3:$B$1315, "&lt;=" &amp; DN$1, DataRegularSeason20242025!$E$3:$E$1315, $A58)</f>
        <v>10</v>
      </c>
      <c r="DO58">
        <f>SUMIFS(DataRegularSeason20242025!$AA$3:$AA$1315,DataRegularSeason20242025!$B$3:$B$1315, "&lt;=" &amp; DO$1, DataRegularSeason20242025!$D$3:$D$1315, $A58)+SUMIFS(DataRegularSeason20242025!$AB$3:$AB$1315,DataRegularSeason20242025!$B$3:$B$1315, "&lt;=" &amp; DO$1, DataRegularSeason20242025!$E$3:$E$1315, $A58)</f>
        <v>10</v>
      </c>
      <c r="DP58">
        <f>SUMIFS(DataRegularSeason20242025!$AA$3:$AA$1315,DataRegularSeason20242025!$B$3:$B$1315, "&lt;=" &amp; DP$1, DataRegularSeason20242025!$D$3:$D$1315, $A58)+SUMIFS(DataRegularSeason20242025!$AB$3:$AB$1315,DataRegularSeason20242025!$B$3:$B$1315, "&lt;=" &amp; DP$1, DataRegularSeason20242025!$E$3:$E$1315, $A58)</f>
        <v>10</v>
      </c>
      <c r="DQ58">
        <f>SUMIFS(DataRegularSeason20242025!$AA$3:$AA$1315,DataRegularSeason20242025!$B$3:$B$1315, "&lt;=" &amp; DQ$1, DataRegularSeason20242025!$D$3:$D$1315, $A58)+SUMIFS(DataRegularSeason20242025!$AB$3:$AB$1315,DataRegularSeason20242025!$B$3:$B$1315, "&lt;=" &amp; DQ$1, DataRegularSeason20242025!$E$3:$E$1315, $A58)</f>
        <v>10</v>
      </c>
      <c r="DR58">
        <f>SUMIFS(DataRegularSeason20242025!$AA$3:$AA$1315,DataRegularSeason20242025!$B$3:$B$1315, "&lt;=" &amp; DR$1, DataRegularSeason20242025!$D$3:$D$1315, $A58)+SUMIFS(DataRegularSeason20242025!$AB$3:$AB$1315,DataRegularSeason20242025!$B$3:$B$1315, "&lt;=" &amp; DR$1, DataRegularSeason20242025!$E$3:$E$1315, $A58)</f>
        <v>10</v>
      </c>
      <c r="DS58">
        <f>SUMIFS(DataRegularSeason20242025!$AA$3:$AA$1315,DataRegularSeason20242025!$B$3:$B$1315, "&lt;=" &amp; DS$1, DataRegularSeason20242025!$D$3:$D$1315, $A58)+SUMIFS(DataRegularSeason20242025!$AB$3:$AB$1315,DataRegularSeason20242025!$B$3:$B$1315, "&lt;=" &amp; DS$1, DataRegularSeason20242025!$E$3:$E$1315, $A58)</f>
        <v>10</v>
      </c>
      <c r="DT58">
        <f>SUMIFS(DataRegularSeason20242025!$AA$3:$AA$1315,DataRegularSeason20242025!$B$3:$B$1315, "&lt;=" &amp; DT$1, DataRegularSeason20242025!$D$3:$D$1315, $A58)+SUMIFS(DataRegularSeason20242025!$AB$3:$AB$1315,DataRegularSeason20242025!$B$3:$B$1315, "&lt;=" &amp; DT$1, DataRegularSeason20242025!$E$3:$E$1315, $A58)</f>
        <v>10</v>
      </c>
      <c r="DU58">
        <f>SUMIFS(DataRegularSeason20242025!$AA$3:$AA$1315,DataRegularSeason20242025!$B$3:$B$1315, "&lt;=" &amp; DU$1, DataRegularSeason20242025!$D$3:$D$1315, $A58)+SUMIFS(DataRegularSeason20242025!$AB$3:$AB$1315,DataRegularSeason20242025!$B$3:$B$1315, "&lt;=" &amp; DU$1, DataRegularSeason20242025!$E$3:$E$1315, $A58)</f>
        <v>10</v>
      </c>
      <c r="DV58">
        <f>SUMIFS(DataRegularSeason20242025!$AA$3:$AA$1315,DataRegularSeason20242025!$B$3:$B$1315, "&lt;=" &amp; DV$1, DataRegularSeason20242025!$D$3:$D$1315, $A58)+SUMIFS(DataRegularSeason20242025!$AB$3:$AB$1315,DataRegularSeason20242025!$B$3:$B$1315, "&lt;=" &amp; DV$1, DataRegularSeason20242025!$E$3:$E$1315, $A58)</f>
        <v>10</v>
      </c>
      <c r="DW58">
        <f>SUMIFS(DataRegularSeason20242025!$AA$3:$AA$1315,DataRegularSeason20242025!$B$3:$B$1315, "&lt;=" &amp; DW$1, DataRegularSeason20242025!$D$3:$D$1315, $A58)+SUMIFS(DataRegularSeason20242025!$AB$3:$AB$1315,DataRegularSeason20242025!$B$3:$B$1315, "&lt;=" &amp; DW$1, DataRegularSeason20242025!$E$3:$E$1315, $A58)</f>
        <v>10</v>
      </c>
      <c r="DX58">
        <f>SUMIFS(DataRegularSeason20242025!$AA$3:$AA$1315,DataRegularSeason20242025!$B$3:$B$1315, "&lt;=" &amp; DX$1, DataRegularSeason20242025!$D$3:$D$1315, $A58)+SUMIFS(DataRegularSeason20242025!$AB$3:$AB$1315,DataRegularSeason20242025!$B$3:$B$1315, "&lt;=" &amp; DX$1, DataRegularSeason20242025!$E$3:$E$1315, $A58)</f>
        <v>10</v>
      </c>
      <c r="DY58">
        <f>SUMIFS(DataRegularSeason20242025!$AA$3:$AA$1315,DataRegularSeason20242025!$B$3:$B$1315, "&lt;=" &amp; DY$1, DataRegularSeason20242025!$D$3:$D$1315, $A58)+SUMIFS(DataRegularSeason20242025!$AB$3:$AB$1315,DataRegularSeason20242025!$B$3:$B$1315, "&lt;=" &amp; DY$1, DataRegularSeason20242025!$E$3:$E$1315, $A58)</f>
        <v>10</v>
      </c>
      <c r="DZ58">
        <f>SUMIFS(DataRegularSeason20242025!$AA$3:$AA$1315,DataRegularSeason20242025!$B$3:$B$1315, "&lt;=" &amp; DZ$1, DataRegularSeason20242025!$D$3:$D$1315, $A58)+SUMIFS(DataRegularSeason20242025!$AB$3:$AB$1315,DataRegularSeason20242025!$B$3:$B$1315, "&lt;=" &amp; DZ$1, DataRegularSeason20242025!$E$3:$E$1315, $A58)</f>
        <v>10</v>
      </c>
      <c r="EA58">
        <f>SUMIFS(DataRegularSeason20242025!$AA$3:$AA$1315,DataRegularSeason20242025!$B$3:$B$1315, "&lt;=" &amp; EA$1, DataRegularSeason20242025!$D$3:$D$1315, $A58)+SUMIFS(DataRegularSeason20242025!$AB$3:$AB$1315,DataRegularSeason20242025!$B$3:$B$1315, "&lt;=" &amp; EA$1, DataRegularSeason20242025!$E$3:$E$1315, $A58)</f>
        <v>10</v>
      </c>
      <c r="EB58">
        <f>SUMIFS(DataRegularSeason20242025!$AA$3:$AA$1315,DataRegularSeason20242025!$B$3:$B$1315, "&lt;=" &amp; EB$1, DataRegularSeason20242025!$D$3:$D$1315, $A58)+SUMIFS(DataRegularSeason20242025!$AB$3:$AB$1315,DataRegularSeason20242025!$B$3:$B$1315, "&lt;=" &amp; EB$1, DataRegularSeason20242025!$E$3:$E$1315, $A58)</f>
        <v>10</v>
      </c>
      <c r="EC58">
        <f>SUMIFS(DataRegularSeason20242025!$AA$3:$AA$1315,DataRegularSeason20242025!$B$3:$B$1315, "&lt;=" &amp; EC$1, DataRegularSeason20242025!$D$3:$D$1315, $A58)+SUMIFS(DataRegularSeason20242025!$AB$3:$AB$1315,DataRegularSeason20242025!$B$3:$B$1315, "&lt;=" &amp; EC$1, DataRegularSeason20242025!$E$3:$E$1315, $A58)</f>
        <v>10</v>
      </c>
      <c r="ED58">
        <f>SUMIFS(DataRegularSeason20242025!$AA$3:$AA$1315,DataRegularSeason20242025!$B$3:$B$1315, "&lt;=" &amp; ED$1, DataRegularSeason20242025!$D$3:$D$1315, $A58)+SUMIFS(DataRegularSeason20242025!$AB$3:$AB$1315,DataRegularSeason20242025!$B$3:$B$1315, "&lt;=" &amp; ED$1, DataRegularSeason20242025!$E$3:$E$1315, $A58)</f>
        <v>10</v>
      </c>
      <c r="EE58">
        <f>SUMIFS(DataRegularSeason20242025!$AA$3:$AA$1315,DataRegularSeason20242025!$B$3:$B$1315, "&lt;=" &amp; EE$1, DataRegularSeason20242025!$D$3:$D$1315, $A58)+SUMIFS(DataRegularSeason20242025!$AB$3:$AB$1315,DataRegularSeason20242025!$B$3:$B$1315, "&lt;=" &amp; EE$1, DataRegularSeason20242025!$E$3:$E$1315, $A58)</f>
        <v>10</v>
      </c>
      <c r="EF58">
        <f>SUMIFS(DataRegularSeason20242025!$AA$3:$AA$1315,DataRegularSeason20242025!$B$3:$B$1315, "&lt;=" &amp; EF$1, DataRegularSeason20242025!$D$3:$D$1315, $A58)+SUMIFS(DataRegularSeason20242025!$AB$3:$AB$1315,DataRegularSeason20242025!$B$3:$B$1315, "&lt;=" &amp; EF$1, DataRegularSeason20242025!$E$3:$E$1315, $A58)</f>
        <v>10</v>
      </c>
      <c r="EG58">
        <f>SUMIFS(DataRegularSeason20242025!$AA$3:$AA$1315,DataRegularSeason20242025!$B$3:$B$1315, "&lt;=" &amp; EG$1, DataRegularSeason20242025!$D$3:$D$1315, $A58)+SUMIFS(DataRegularSeason20242025!$AB$3:$AB$1315,DataRegularSeason20242025!$B$3:$B$1315, "&lt;=" &amp; EG$1, DataRegularSeason20242025!$E$3:$E$1315, $A58)</f>
        <v>10</v>
      </c>
      <c r="EH58">
        <f>SUMIFS(DataRegularSeason20242025!$AA$3:$AA$1315,DataRegularSeason20242025!$B$3:$B$1315, "&lt;=" &amp; EH$1, DataRegularSeason20242025!$D$3:$D$1315, $A58)+SUMIFS(DataRegularSeason20242025!$AB$3:$AB$1315,DataRegularSeason20242025!$B$3:$B$1315, "&lt;=" &amp; EH$1, DataRegularSeason20242025!$E$3:$E$1315, $A58)</f>
        <v>10</v>
      </c>
      <c r="EI58">
        <f>SUMIFS(DataRegularSeason20242025!$AA$3:$AA$1315,DataRegularSeason20242025!$B$3:$B$1315, "&lt;=" &amp; EI$1, DataRegularSeason20242025!$D$3:$D$1315, $A58)+SUMIFS(DataRegularSeason20242025!$AB$3:$AB$1315,DataRegularSeason20242025!$B$3:$B$1315, "&lt;=" &amp; EI$1, DataRegularSeason20242025!$E$3:$E$1315, $A58)</f>
        <v>10</v>
      </c>
      <c r="EJ58">
        <f>SUMIFS(DataRegularSeason20242025!$AA$3:$AA$1315,DataRegularSeason20242025!$B$3:$B$1315, "&lt;=" &amp; EJ$1, DataRegularSeason20242025!$D$3:$D$1315, $A58)+SUMIFS(DataRegularSeason20242025!$AB$3:$AB$1315,DataRegularSeason20242025!$B$3:$B$1315, "&lt;=" &amp; EJ$1, DataRegularSeason20242025!$E$3:$E$1315, $A58)</f>
        <v>10</v>
      </c>
      <c r="EK58">
        <f>SUMIFS(DataRegularSeason20242025!$AA$3:$AA$1315,DataRegularSeason20242025!$B$3:$B$1315, "&lt;=" &amp; EK$1, DataRegularSeason20242025!$D$3:$D$1315, $A58)+SUMIFS(DataRegularSeason20242025!$AB$3:$AB$1315,DataRegularSeason20242025!$B$3:$B$1315, "&lt;=" &amp; EK$1, DataRegularSeason20242025!$E$3:$E$1315, $A58)</f>
        <v>10</v>
      </c>
      <c r="EL58">
        <f>SUMIFS(DataRegularSeason20242025!$AA$3:$AA$1315,DataRegularSeason20242025!$B$3:$B$1315, "&lt;=" &amp; EL$1, DataRegularSeason20242025!$D$3:$D$1315, $A58)+SUMIFS(DataRegularSeason20242025!$AB$3:$AB$1315,DataRegularSeason20242025!$B$3:$B$1315, "&lt;=" &amp; EL$1, DataRegularSeason20242025!$E$3:$E$1315, $A58)</f>
        <v>10</v>
      </c>
      <c r="EM58">
        <f>SUMIFS(DataRegularSeason20242025!$AA$3:$AA$1315,DataRegularSeason20242025!$B$3:$B$1315, "&lt;=" &amp; EM$1, DataRegularSeason20242025!$D$3:$D$1315, $A58)+SUMIFS(DataRegularSeason20242025!$AB$3:$AB$1315,DataRegularSeason20242025!$B$3:$B$1315, "&lt;=" &amp; EM$1, DataRegularSeason20242025!$E$3:$E$1315, $A58)</f>
        <v>10</v>
      </c>
      <c r="EN58">
        <f>SUMIFS(DataRegularSeason20242025!$AA$3:$AA$1315,DataRegularSeason20242025!$B$3:$B$1315, "&lt;=" &amp; EN$1, DataRegularSeason20242025!$D$3:$D$1315, $A58)+SUMIFS(DataRegularSeason20242025!$AB$3:$AB$1315,DataRegularSeason20242025!$B$3:$B$1315, "&lt;=" &amp; EN$1, DataRegularSeason20242025!$E$3:$E$1315, $A58)</f>
        <v>10</v>
      </c>
      <c r="EO58">
        <f>SUMIFS(DataRegularSeason20242025!$AA$3:$AA$1315,DataRegularSeason20242025!$B$3:$B$1315, "&lt;=" &amp; EO$1, DataRegularSeason20242025!$D$3:$D$1315, $A58)+SUMIFS(DataRegularSeason20242025!$AB$3:$AB$1315,DataRegularSeason20242025!$B$3:$B$1315, "&lt;=" &amp; EO$1, DataRegularSeason20242025!$E$3:$E$1315, $A58)</f>
        <v>10</v>
      </c>
      <c r="EP58">
        <f>SUMIFS(DataRegularSeason20242025!$AA$3:$AA$1315,DataRegularSeason20242025!$B$3:$B$1315, "&lt;=" &amp; EP$1, DataRegularSeason20242025!$D$3:$D$1315, $A58)+SUMIFS(DataRegularSeason20242025!$AB$3:$AB$1315,DataRegularSeason20242025!$B$3:$B$1315, "&lt;=" &amp; EP$1, DataRegularSeason20242025!$E$3:$E$1315, $A58)</f>
        <v>10</v>
      </c>
      <c r="EQ58">
        <f>SUMIFS(DataRegularSeason20242025!$AA$3:$AA$1315,DataRegularSeason20242025!$B$3:$B$1315, "&lt;=" &amp; EQ$1, DataRegularSeason20242025!$D$3:$D$1315, $A58)+SUMIFS(DataRegularSeason20242025!$AB$3:$AB$1315,DataRegularSeason20242025!$B$3:$B$1315, "&lt;=" &amp; EQ$1, DataRegularSeason20242025!$E$3:$E$1315, $A58)</f>
        <v>10</v>
      </c>
      <c r="ER58">
        <f>SUMIFS(DataRegularSeason20242025!$AA$3:$AA$1315,DataRegularSeason20242025!$B$3:$B$1315, "&lt;=" &amp; ER$1, DataRegularSeason20242025!$D$3:$D$1315, $A58)+SUMIFS(DataRegularSeason20242025!$AB$3:$AB$1315,DataRegularSeason20242025!$B$3:$B$1315, "&lt;=" &amp; ER$1, DataRegularSeason20242025!$E$3:$E$1315, $A58)</f>
        <v>10</v>
      </c>
      <c r="ES58">
        <f>SUMIFS(DataRegularSeason20242025!$AA$3:$AA$1315,DataRegularSeason20242025!$B$3:$B$1315, "&lt;=" &amp; ES$1, DataRegularSeason20242025!$D$3:$D$1315, $A58)+SUMIFS(DataRegularSeason20242025!$AB$3:$AB$1315,DataRegularSeason20242025!$B$3:$B$1315, "&lt;=" &amp; ES$1, DataRegularSeason20242025!$E$3:$E$1315, $A58)</f>
        <v>10</v>
      </c>
      <c r="ET58">
        <f>SUMIFS(DataRegularSeason20242025!$AA$3:$AA$1315,DataRegularSeason20242025!$B$3:$B$1315, "&lt;=" &amp; ET$1, DataRegularSeason20242025!$D$3:$D$1315, $A58)+SUMIFS(DataRegularSeason20242025!$AB$3:$AB$1315,DataRegularSeason20242025!$B$3:$B$1315, "&lt;=" &amp; ET$1, DataRegularSeason20242025!$E$3:$E$1315, $A58)</f>
        <v>10</v>
      </c>
      <c r="EU58">
        <f>SUMIFS(DataRegularSeason20242025!$AA$3:$AA$1315,DataRegularSeason20242025!$B$3:$B$1315, "&lt;=" &amp; EU$1, DataRegularSeason20242025!$D$3:$D$1315, $A58)+SUMIFS(DataRegularSeason20242025!$AB$3:$AB$1315,DataRegularSeason20242025!$B$3:$B$1315, "&lt;=" &amp; EU$1, DataRegularSeason20242025!$E$3:$E$1315, $A58)</f>
        <v>10</v>
      </c>
      <c r="EV58">
        <f>SUMIFS(DataRegularSeason20242025!$AA$3:$AA$1315,DataRegularSeason20242025!$B$3:$B$1315, "&lt;=" &amp; EV$1, DataRegularSeason20242025!$D$3:$D$1315, $A58)+SUMIFS(DataRegularSeason20242025!$AB$3:$AB$1315,DataRegularSeason20242025!$B$3:$B$1315, "&lt;=" &amp; EV$1, DataRegularSeason20242025!$E$3:$E$1315, $A58)</f>
        <v>10</v>
      </c>
      <c r="EW58">
        <f>SUMIFS(DataRegularSeason20242025!$AA$3:$AA$1315,DataRegularSeason20242025!$B$3:$B$1315, "&lt;=" &amp; EW$1, DataRegularSeason20242025!$D$3:$D$1315, $A58)+SUMIFS(DataRegularSeason20242025!$AB$3:$AB$1315,DataRegularSeason20242025!$B$3:$B$1315, "&lt;=" &amp; EW$1, DataRegularSeason20242025!$E$3:$E$1315, $A58)</f>
        <v>10</v>
      </c>
      <c r="EX58">
        <f>SUMIFS(DataRegularSeason20242025!$AA$3:$AA$1315,DataRegularSeason20242025!$B$3:$B$1315, "&lt;=" &amp; EX$1, DataRegularSeason20242025!$D$3:$D$1315, $A58)+SUMIFS(DataRegularSeason20242025!$AB$3:$AB$1315,DataRegularSeason20242025!$B$3:$B$1315, "&lt;=" &amp; EX$1, DataRegularSeason20242025!$E$3:$E$1315, $A58)</f>
        <v>10</v>
      </c>
      <c r="EY58">
        <f>SUMIFS(DataRegularSeason20242025!$AA$3:$AA$1315,DataRegularSeason20242025!$B$3:$B$1315, "&lt;=" &amp; EY$1, DataRegularSeason20242025!$D$3:$D$1315, $A58)+SUMIFS(DataRegularSeason20242025!$AB$3:$AB$1315,DataRegularSeason20242025!$B$3:$B$1315, "&lt;=" &amp; EY$1, DataRegularSeason20242025!$E$3:$E$1315, $A58)</f>
        <v>10</v>
      </c>
      <c r="EZ58">
        <f>SUMIFS(DataRegularSeason20242025!$AA$3:$AA$1315,DataRegularSeason20242025!$B$3:$B$1315, "&lt;=" &amp; EZ$1, DataRegularSeason20242025!$D$3:$D$1315, $A58)+SUMIFS(DataRegularSeason20242025!$AB$3:$AB$1315,DataRegularSeason20242025!$B$3:$B$1315, "&lt;=" &amp; EZ$1, DataRegularSeason20242025!$E$3:$E$1315, $A58)</f>
        <v>10</v>
      </c>
      <c r="FA58">
        <f>SUMIFS(DataRegularSeason20242025!$AA$3:$AA$1315,DataRegularSeason20242025!$B$3:$B$1315, "&lt;=" &amp; FA$1, DataRegularSeason20242025!$D$3:$D$1315, $A58)+SUMIFS(DataRegularSeason20242025!$AB$3:$AB$1315,DataRegularSeason20242025!$B$3:$B$1315, "&lt;=" &amp; FA$1, DataRegularSeason20242025!$E$3:$E$1315, $A58)</f>
        <v>10</v>
      </c>
      <c r="FB58">
        <f>SUMIFS(DataRegularSeason20242025!$AA$3:$AA$1315,DataRegularSeason20242025!$B$3:$B$1315, "&lt;=" &amp; FB$1, DataRegularSeason20242025!$D$3:$D$1315, $A58)+SUMIFS(DataRegularSeason20242025!$AB$3:$AB$1315,DataRegularSeason20242025!$B$3:$B$1315, "&lt;=" &amp; FB$1, DataRegularSeason20242025!$E$3:$E$1315, $A58)</f>
        <v>10</v>
      </c>
      <c r="FC58">
        <f>SUMIFS(DataRegularSeason20242025!$AA$3:$AA$1315,DataRegularSeason20242025!$B$3:$B$1315, "&lt;=" &amp; FC$1, DataRegularSeason20242025!$D$3:$D$1315, $A58)+SUMIFS(DataRegularSeason20242025!$AB$3:$AB$1315,DataRegularSeason20242025!$B$3:$B$1315, "&lt;=" &amp; FC$1, DataRegularSeason20242025!$E$3:$E$1315, $A58)</f>
        <v>10</v>
      </c>
      <c r="FD58">
        <f>SUMIFS(DataRegularSeason20242025!$AA$3:$AA$1315,DataRegularSeason20242025!$B$3:$B$1315, "&lt;=" &amp; FD$1, DataRegularSeason20242025!$D$3:$D$1315, $A58)+SUMIFS(DataRegularSeason20242025!$AB$3:$AB$1315,DataRegularSeason20242025!$B$3:$B$1315, "&lt;=" &amp; FD$1, DataRegularSeason20242025!$E$3:$E$1315, $A58)</f>
        <v>10</v>
      </c>
      <c r="FE58">
        <f>SUMIFS(DataRegularSeason20242025!$AA$3:$AA$1315,DataRegularSeason20242025!$B$3:$B$1315, "&lt;=" &amp; FE$1, DataRegularSeason20242025!$D$3:$D$1315, $A58)+SUMIFS(DataRegularSeason20242025!$AB$3:$AB$1315,DataRegularSeason20242025!$B$3:$B$1315, "&lt;=" &amp; FE$1, DataRegularSeason20242025!$E$3:$E$1315, $A58)</f>
        <v>10</v>
      </c>
      <c r="FF58">
        <f>SUMIFS(DataRegularSeason20242025!$AA$3:$AA$1315,DataRegularSeason20242025!$B$3:$B$1315, "&lt;=" &amp; FF$1, DataRegularSeason20242025!$D$3:$D$1315, $A58)+SUMIFS(DataRegularSeason20242025!$AB$3:$AB$1315,DataRegularSeason20242025!$B$3:$B$1315, "&lt;=" &amp; FF$1, DataRegularSeason20242025!$E$3:$E$1315, $A58)</f>
        <v>10</v>
      </c>
      <c r="FG58">
        <f>SUMIFS(DataRegularSeason20242025!$AA$3:$AA$1315,DataRegularSeason20242025!$B$3:$B$1315, "&lt;=" &amp; FG$1, DataRegularSeason20242025!$D$3:$D$1315, $A58)+SUMIFS(DataRegularSeason20242025!$AB$3:$AB$1315,DataRegularSeason20242025!$B$3:$B$1315, "&lt;=" &amp; FG$1, DataRegularSeason20242025!$E$3:$E$1315, $A58)</f>
        <v>10</v>
      </c>
      <c r="FH58">
        <f>SUMIFS(DataRegularSeason20242025!$AA$3:$AA$1315,DataRegularSeason20242025!$B$3:$B$1315, "&lt;=" &amp; FH$1, DataRegularSeason20242025!$D$3:$D$1315, $A58)+SUMIFS(DataRegularSeason20242025!$AB$3:$AB$1315,DataRegularSeason20242025!$B$3:$B$1315, "&lt;=" &amp; FH$1, DataRegularSeason20242025!$E$3:$E$1315, $A58)</f>
        <v>10</v>
      </c>
      <c r="FI58">
        <f>SUMIFS(DataRegularSeason20242025!$AA$3:$AA$1315,DataRegularSeason20242025!$B$3:$B$1315, "&lt;=" &amp; FI$1, DataRegularSeason20242025!$D$3:$D$1315, $A58)+SUMIFS(DataRegularSeason20242025!$AB$3:$AB$1315,DataRegularSeason20242025!$B$3:$B$1315, "&lt;=" &amp; FI$1, DataRegularSeason20242025!$E$3:$E$1315, $A58)</f>
        <v>10</v>
      </c>
      <c r="FJ58">
        <f>SUMIFS(DataRegularSeason20242025!$AA$3:$AA$1315,DataRegularSeason20242025!$B$3:$B$1315, "&lt;=" &amp; FJ$1, DataRegularSeason20242025!$D$3:$D$1315, $A58)+SUMIFS(DataRegularSeason20242025!$AB$3:$AB$1315,DataRegularSeason20242025!$B$3:$B$1315, "&lt;=" &amp; FJ$1, DataRegularSeason20242025!$E$3:$E$1315, $A58)</f>
        <v>10</v>
      </c>
      <c r="FK58">
        <f>SUMIFS(DataRegularSeason20242025!$AA$3:$AA$1315,DataRegularSeason20242025!$B$3:$B$1315, "&lt;=" &amp; FK$1, DataRegularSeason20242025!$D$3:$D$1315, $A58)+SUMIFS(DataRegularSeason20242025!$AB$3:$AB$1315,DataRegularSeason20242025!$B$3:$B$1315, "&lt;=" &amp; FK$1, DataRegularSeason20242025!$E$3:$E$1315, $A58)</f>
        <v>10</v>
      </c>
      <c r="FL58">
        <f>SUMIFS(DataRegularSeason20242025!$AA$3:$AA$1315,DataRegularSeason20242025!$B$3:$B$1315, "&lt;=" &amp; FL$1, DataRegularSeason20242025!$D$3:$D$1315, $A58)+SUMIFS(DataRegularSeason20242025!$AB$3:$AB$1315,DataRegularSeason20242025!$B$3:$B$1315, "&lt;=" &amp; FL$1, DataRegularSeason20242025!$E$3:$E$1315, $A58)</f>
        <v>10</v>
      </c>
      <c r="FM58">
        <f>SUMIFS(DataRegularSeason20242025!$AA$3:$AA$1315,DataRegularSeason20242025!$B$3:$B$1315, "&lt;=" &amp; FM$1, DataRegularSeason20242025!$D$3:$D$1315, $A58)+SUMIFS(DataRegularSeason20242025!$AB$3:$AB$1315,DataRegularSeason20242025!$B$3:$B$1315, "&lt;=" &amp; FM$1, DataRegularSeason20242025!$E$3:$E$1315, $A58)</f>
        <v>10</v>
      </c>
      <c r="FN58">
        <f>SUMIFS(DataRegularSeason20242025!$AA$3:$AA$1315,DataRegularSeason20242025!$B$3:$B$1315, "&lt;=" &amp; FN$1, DataRegularSeason20242025!$D$3:$D$1315, $A58)+SUMIFS(DataRegularSeason20242025!$AB$3:$AB$1315,DataRegularSeason20242025!$B$3:$B$1315, "&lt;=" &amp; FN$1, DataRegularSeason20242025!$E$3:$E$1315, $A58)</f>
        <v>10</v>
      </c>
      <c r="FO58">
        <f>SUMIFS(DataRegularSeason20242025!$AA$3:$AA$1315,DataRegularSeason20242025!$B$3:$B$1315, "&lt;=" &amp; FO$1, DataRegularSeason20242025!$D$3:$D$1315, $A58)+SUMIFS(DataRegularSeason20242025!$AB$3:$AB$1315,DataRegularSeason20242025!$B$3:$B$1315, "&lt;=" &amp; FO$1, DataRegularSeason20242025!$E$3:$E$1315, $A58)</f>
        <v>10</v>
      </c>
      <c r="FP58">
        <f>SUMIFS(DataRegularSeason20242025!$AA$3:$AA$1315,DataRegularSeason20242025!$B$3:$B$1315, "&lt;=" &amp; FP$1, DataRegularSeason20242025!$D$3:$D$1315, $A58)+SUMIFS(DataRegularSeason20242025!$AB$3:$AB$1315,DataRegularSeason20242025!$B$3:$B$1315, "&lt;=" &amp; FP$1, DataRegularSeason20242025!$E$3:$E$1315, $A58)</f>
        <v>10</v>
      </c>
      <c r="FQ58">
        <f>SUMIFS(DataRegularSeason20242025!$AA$3:$AA$1315,DataRegularSeason20242025!$B$3:$B$1315, "&lt;=" &amp; FQ$1, DataRegularSeason20242025!$D$3:$D$1315, $A58)+SUMIFS(DataRegularSeason20242025!$AB$3:$AB$1315,DataRegularSeason20242025!$B$3:$B$1315, "&lt;=" &amp; FQ$1, DataRegularSeason20242025!$E$3:$E$1315, $A58)</f>
        <v>10</v>
      </c>
      <c r="FR58">
        <f>SUMIFS(DataRegularSeason20242025!$AA$3:$AA$1315,DataRegularSeason20242025!$B$3:$B$1315, "&lt;=" &amp; FR$1, DataRegularSeason20242025!$D$3:$D$1315, $A58)+SUMIFS(DataRegularSeason20242025!$AB$3:$AB$1315,DataRegularSeason20242025!$B$3:$B$1315, "&lt;=" &amp; FR$1, DataRegularSeason20242025!$E$3:$E$1315, $A58)</f>
        <v>10</v>
      </c>
      <c r="FS58">
        <f>SUMIFS(DataRegularSeason20242025!$AA$3:$AA$1315,DataRegularSeason20242025!$B$3:$B$1315, "&lt;=" &amp; FS$1, DataRegularSeason20242025!$D$3:$D$1315, $A58)+SUMIFS(DataRegularSeason20242025!$AB$3:$AB$1315,DataRegularSeason20242025!$B$3:$B$1315, "&lt;=" &amp; FS$1, DataRegularSeason20242025!$E$3:$E$1315, $A58)</f>
        <v>10</v>
      </c>
      <c r="FT58">
        <f>SUMIFS(DataRegularSeason20242025!$AA$3:$AA$1315,DataRegularSeason20242025!$B$3:$B$1315, "&lt;=" &amp; FT$1, DataRegularSeason20242025!$D$3:$D$1315, $A58)+SUMIFS(DataRegularSeason20242025!$AB$3:$AB$1315,DataRegularSeason20242025!$B$3:$B$1315, "&lt;=" &amp; FT$1, DataRegularSeason20242025!$E$3:$E$1315, $A58)</f>
        <v>10</v>
      </c>
      <c r="FU58">
        <f>SUMIFS(DataRegularSeason20242025!$AA$3:$AA$1315,DataRegularSeason20242025!$B$3:$B$1315, "&lt;=" &amp; FU$1, DataRegularSeason20242025!$D$3:$D$1315, $A58)+SUMIFS(DataRegularSeason20242025!$AB$3:$AB$1315,DataRegularSeason20242025!$B$3:$B$1315, "&lt;=" &amp; FU$1, DataRegularSeason20242025!$E$3:$E$1315, $A58)</f>
        <v>10</v>
      </c>
      <c r="FV58">
        <f>SUMIFS(DataRegularSeason20242025!$AA$3:$AA$1315,DataRegularSeason20242025!$B$3:$B$1315, "&lt;=" &amp; FV$1, DataRegularSeason20242025!$D$3:$D$1315, $A58)+SUMIFS(DataRegularSeason20242025!$AB$3:$AB$1315,DataRegularSeason20242025!$B$3:$B$1315, "&lt;=" &amp; FV$1, DataRegularSeason20242025!$E$3:$E$1315, $A58)</f>
        <v>10</v>
      </c>
      <c r="FW58">
        <f>SUMIFS(DataRegularSeason20242025!$AA$3:$AA$1315,DataRegularSeason20242025!$B$3:$B$1315, "&lt;=" &amp; FW$1, DataRegularSeason20242025!$D$3:$D$1315, $A58)+SUMIFS(DataRegularSeason20242025!$AB$3:$AB$1315,DataRegularSeason20242025!$B$3:$B$1315, "&lt;=" &amp; FW$1, DataRegularSeason20242025!$E$3:$E$1315, $A58)</f>
        <v>10</v>
      </c>
      <c r="FX58">
        <f>SUMIFS(DataRegularSeason20242025!$AA$3:$AA$1315,DataRegularSeason20242025!$B$3:$B$1315, "&lt;=" &amp; FX$1, DataRegularSeason20242025!$D$3:$D$1315, $A58)+SUMIFS(DataRegularSeason20242025!$AB$3:$AB$1315,DataRegularSeason20242025!$B$3:$B$1315, "&lt;=" &amp; FX$1, DataRegularSeason20242025!$E$3:$E$1315, $A58)</f>
        <v>10</v>
      </c>
      <c r="FY58">
        <f>SUMIFS(DataRegularSeason20242025!$AA$3:$AA$1315,DataRegularSeason20242025!$B$3:$B$1315, "&lt;=" &amp; FY$1, DataRegularSeason20242025!$D$3:$D$1315, $A58)+SUMIFS(DataRegularSeason20242025!$AB$3:$AB$1315,DataRegularSeason20242025!$B$3:$B$1315, "&lt;=" &amp; FY$1, DataRegularSeason20242025!$E$3:$E$1315, $A58)</f>
        <v>10</v>
      </c>
      <c r="FZ58">
        <f>SUMIFS(DataRegularSeason20242025!$AA$3:$AA$1315,DataRegularSeason20242025!$B$3:$B$1315, "&lt;=" &amp; FZ$1, DataRegularSeason20242025!$D$3:$D$1315, $A58)+SUMIFS(DataRegularSeason20242025!$AB$3:$AB$1315,DataRegularSeason20242025!$B$3:$B$1315, "&lt;=" &amp; FZ$1, DataRegularSeason20242025!$E$3:$E$1315, $A58)</f>
        <v>10</v>
      </c>
      <c r="GA58">
        <f>SUMIFS(DataRegularSeason20242025!$AA$3:$AA$1315,DataRegularSeason20242025!$B$3:$B$1315, "&lt;=" &amp; GA$1, DataRegularSeason20242025!$D$3:$D$1315, $A58)+SUMIFS(DataRegularSeason20242025!$AB$3:$AB$1315,DataRegularSeason20242025!$B$3:$B$1315, "&lt;=" &amp; GA$1, DataRegularSeason20242025!$E$3:$E$1315, $A58)</f>
        <v>10</v>
      </c>
      <c r="GB58">
        <f>SUMIFS(DataRegularSeason20242025!$AA$3:$AA$1315,DataRegularSeason20242025!$B$3:$B$1315, "&lt;=" &amp; GB$1, DataRegularSeason20242025!$D$3:$D$1315, $A58)+SUMIFS(DataRegularSeason20242025!$AB$3:$AB$1315,DataRegularSeason20242025!$B$3:$B$1315, "&lt;=" &amp; GB$1, DataRegularSeason20242025!$E$3:$E$1315, $A58)</f>
        <v>10</v>
      </c>
      <c r="GC58">
        <f>SUMIFS(DataRegularSeason20242025!$AA$3:$AA$1315,DataRegularSeason20242025!$B$3:$B$1315, "&lt;=" &amp; GC$1, DataRegularSeason20242025!$D$3:$D$1315, $A58)+SUMIFS(DataRegularSeason20242025!$AB$3:$AB$1315,DataRegularSeason20242025!$B$3:$B$1315, "&lt;=" &amp; GC$1, DataRegularSeason20242025!$E$3:$E$1315, $A58)</f>
        <v>10</v>
      </c>
      <c r="GD58">
        <f>SUMIFS(DataRegularSeason20242025!$AA$3:$AA$1315,DataRegularSeason20242025!$B$3:$B$1315, "&lt;=" &amp; GD$1, DataRegularSeason20242025!$D$3:$D$1315, $A58)+SUMIFS(DataRegularSeason20242025!$AB$3:$AB$1315,DataRegularSeason20242025!$B$3:$B$1315, "&lt;=" &amp; GD$1, DataRegularSeason20242025!$E$3:$E$1315, $A58)</f>
        <v>10</v>
      </c>
      <c r="GE58">
        <f>SUMIFS(DataRegularSeason20242025!$AA$3:$AA$1315,DataRegularSeason20242025!$B$3:$B$1315, "&lt;=" &amp; GE$1, DataRegularSeason20242025!$D$3:$D$1315, $A58)+SUMIFS(DataRegularSeason20242025!$AB$3:$AB$1315,DataRegularSeason20242025!$B$3:$B$1315, "&lt;=" &amp; GE$1, DataRegularSeason20242025!$E$3:$E$1315, $A58)</f>
        <v>10</v>
      </c>
      <c r="GF58">
        <f>SUMIFS(DataRegularSeason20242025!$AA$3:$AA$1315,DataRegularSeason20242025!$B$3:$B$1315, "&lt;=" &amp; GF$1, DataRegularSeason20242025!$D$3:$D$1315, $A58)+SUMIFS(DataRegularSeason20242025!$AB$3:$AB$1315,DataRegularSeason20242025!$B$3:$B$1315, "&lt;=" &amp; GF$1, DataRegularSeason20242025!$E$3:$E$1315, $A58)</f>
        <v>10</v>
      </c>
      <c r="GG58">
        <f>SUMIFS(DataRegularSeason20242025!$AA$3:$AA$1315,DataRegularSeason20242025!$B$3:$B$1315, "&lt;=" &amp; GG$1, DataRegularSeason20242025!$D$3:$D$1315, $A58)+SUMIFS(DataRegularSeason20242025!$AB$3:$AB$1315,DataRegularSeason20242025!$B$3:$B$1315, "&lt;=" &amp; GG$1, DataRegularSeason20242025!$E$3:$E$1315, $A58)</f>
        <v>10</v>
      </c>
      <c r="GH58">
        <f>SUMIFS(DataRegularSeason20242025!$AA$3:$AA$1315,DataRegularSeason20242025!$B$3:$B$1315, "&lt;=" &amp; GH$1, DataRegularSeason20242025!$D$3:$D$1315, $A58)+SUMIFS(DataRegularSeason20242025!$AB$3:$AB$1315,DataRegularSeason20242025!$B$3:$B$1315, "&lt;=" &amp; GH$1, DataRegularSeason20242025!$E$3:$E$1315, $A58)</f>
        <v>10</v>
      </c>
      <c r="GI58">
        <f>SUMIFS(DataRegularSeason20242025!$AA$3:$AA$1315,DataRegularSeason20242025!$B$3:$B$1315, "&lt;=" &amp; GI$1, DataRegularSeason20242025!$D$3:$D$1315, $A58)+SUMIFS(DataRegularSeason20242025!$AB$3:$AB$1315,DataRegularSeason20242025!$B$3:$B$1315, "&lt;=" &amp; GI$1, DataRegularSeason20242025!$E$3:$E$1315, $A58)</f>
        <v>10</v>
      </c>
      <c r="GJ58">
        <f>SUMIFS(DataRegularSeason20242025!$AA$3:$AA$1315,DataRegularSeason20242025!$B$3:$B$1315, "&lt;=" &amp; GJ$1, DataRegularSeason20242025!$D$3:$D$1315, $A58)+SUMIFS(DataRegularSeason20242025!$AB$3:$AB$1315,DataRegularSeason20242025!$B$3:$B$1315, "&lt;=" &amp; GJ$1, DataRegularSeason20242025!$E$3:$E$1315, $A58)</f>
        <v>10</v>
      </c>
      <c r="GK58">
        <f>SUMIFS(DataRegularSeason20242025!$AA$3:$AA$1315,DataRegularSeason20242025!$B$3:$B$1315, "&lt;=" &amp; GK$1, DataRegularSeason20242025!$D$3:$D$1315, $A58)+SUMIFS(DataRegularSeason20242025!$AB$3:$AB$1315,DataRegularSeason20242025!$B$3:$B$1315, "&lt;=" &amp; GK$1, DataRegularSeason20242025!$E$3:$E$1315, $A58)</f>
        <v>10</v>
      </c>
      <c r="GL58">
        <f>SUMIFS(DataRegularSeason20242025!$AA$3:$AA$1315,DataRegularSeason20242025!$B$3:$B$1315, "&lt;=" &amp; GL$1, DataRegularSeason20242025!$D$3:$D$1315, $A58)+SUMIFS(DataRegularSeason20242025!$AB$3:$AB$1315,DataRegularSeason20242025!$B$3:$B$1315, "&lt;=" &amp; GL$1, DataRegularSeason20242025!$E$3:$E$1315, $A58)</f>
        <v>10</v>
      </c>
      <c r="GM58">
        <f>SUMIFS(DataRegularSeason20242025!$AA$3:$AA$1315,DataRegularSeason20242025!$B$3:$B$1315, "&lt;=" &amp; GM$1, DataRegularSeason20242025!$D$3:$D$1315, $A58)+SUMIFS(DataRegularSeason20242025!$AB$3:$AB$1315,DataRegularSeason20242025!$B$3:$B$1315, "&lt;=" &amp; GM$1, DataRegularSeason20242025!$E$3:$E$1315, $A58)</f>
        <v>10</v>
      </c>
      <c r="GN58">
        <f>SUMIFS(DataRegularSeason20242025!$AA$3:$AA$1315,DataRegularSeason20242025!$B$3:$B$1315, "&lt;=" &amp; GN$1, DataRegularSeason20242025!$D$3:$D$1315, $A58)+SUMIFS(DataRegularSeason20242025!$AB$3:$AB$1315,DataRegularSeason20242025!$B$3:$B$1315, "&lt;=" &amp; GN$1, DataRegularSeason20242025!$E$3:$E$1315, $A58)</f>
        <v>10</v>
      </c>
      <c r="GO58">
        <f>SUMIFS(DataRegularSeason20242025!$AA$3:$AA$1315,DataRegularSeason20242025!$B$3:$B$1315, "&lt;=" &amp; GO$1, DataRegularSeason20242025!$D$3:$D$1315, $A58)+SUMIFS(DataRegularSeason20242025!$AB$3:$AB$1315,DataRegularSeason20242025!$B$3:$B$1315, "&lt;=" &amp; GO$1, DataRegularSeason20242025!$E$3:$E$1315, $A58)</f>
        <v>10</v>
      </c>
      <c r="GP58">
        <f>SUMIFS(DataRegularSeason20242025!$AA$3:$AA$1315,DataRegularSeason20242025!$B$3:$B$1315, "&lt;=" &amp; GP$1, DataRegularSeason20242025!$D$3:$D$1315, $A58)+SUMIFS(DataRegularSeason20242025!$AB$3:$AB$1315,DataRegularSeason20242025!$B$3:$B$1315, "&lt;=" &amp; GP$1, DataRegularSeason20242025!$E$3:$E$1315, $A58)</f>
        <v>10</v>
      </c>
      <c r="GQ58">
        <f>SUMIFS(DataRegularSeason20242025!$AA$3:$AA$1315,DataRegularSeason20242025!$B$3:$B$1315, "&lt;=" &amp; GQ$1, DataRegularSeason20242025!$D$3:$D$1315, $A58)+SUMIFS(DataRegularSeason20242025!$AB$3:$AB$1315,DataRegularSeason20242025!$B$3:$B$1315, "&lt;=" &amp; GQ$1, DataRegularSeason20242025!$E$3:$E$1315, $A58)</f>
        <v>10</v>
      </c>
      <c r="GR58">
        <f>SUMIFS(DataRegularSeason20242025!$AA$3:$AA$1315,DataRegularSeason20242025!$B$3:$B$1315, "&lt;=" &amp; GR$1, DataRegularSeason20242025!$D$3:$D$1315, $A58)+SUMIFS(DataRegularSeason20242025!$AB$3:$AB$1315,DataRegularSeason20242025!$B$3:$B$1315, "&lt;=" &amp; GR$1, DataRegularSeason20242025!$E$3:$E$1315, $A58)</f>
        <v>10</v>
      </c>
      <c r="GS58">
        <f>SUMIFS(DataRegularSeason20242025!$AA$3:$AA$1315,DataRegularSeason20242025!$B$3:$B$1315, "&lt;=" &amp; GS$1, DataRegularSeason20242025!$D$3:$D$1315, $A58)+SUMIFS(DataRegularSeason20242025!$AB$3:$AB$1315,DataRegularSeason20242025!$B$3:$B$1315, "&lt;=" &amp; GS$1, DataRegularSeason20242025!$E$3:$E$1315, $A58)</f>
        <v>10</v>
      </c>
      <c r="GT58">
        <f>SUMIFS(DataRegularSeason20242025!$AA$3:$AA$1315,DataRegularSeason20242025!$B$3:$B$1315, "&lt;=" &amp; GT$1, DataRegularSeason20242025!$D$3:$D$1315, $A58)+SUMIFS(DataRegularSeason20242025!$AB$3:$AB$1315,DataRegularSeason20242025!$B$3:$B$1315, "&lt;=" &amp; GT$1, DataRegularSeason20242025!$E$3:$E$1315, $A58)</f>
        <v>10</v>
      </c>
      <c r="GU58">
        <f>SUMIFS(DataRegularSeason20242025!$AA$3:$AA$1315,DataRegularSeason20242025!$B$3:$B$1315, "&lt;=" &amp; GU$1, DataRegularSeason20242025!$D$3:$D$1315, $A58)+SUMIFS(DataRegularSeason20242025!$AB$3:$AB$1315,DataRegularSeason20242025!$B$3:$B$1315, "&lt;=" &amp; GU$1, DataRegularSeason20242025!$E$3:$E$1315, $A58)</f>
        <v>10</v>
      </c>
    </row>
    <row r="59" spans="1:203" x14ac:dyDescent="0.25">
      <c r="A59" t="s">
        <v>34</v>
      </c>
      <c r="B59" t="s">
        <v>90</v>
      </c>
      <c r="C59" t="s">
        <v>88</v>
      </c>
      <c r="D59">
        <f>SUMIFS(DataRegularSeason20242025!$AA$3:$AA$1315,DataRegularSeason20242025!$B$3:$B$1315, "&lt;=" &amp; D$1, DataRegularSeason20242025!$D$3:$D$1315, $A59)+SUMIFS(DataRegularSeason20242025!$AB$3:$AB$1315,DataRegularSeason20242025!$B$3:$B$1315, "&lt;=" &amp; D$1, DataRegularSeason20242025!$E$3:$E$1315, $A59)</f>
        <v>0</v>
      </c>
      <c r="E59">
        <f>SUMIFS(DataRegularSeason20242025!$AA$3:$AA$1315,DataRegularSeason20242025!$B$3:$B$1315, "&lt;=" &amp; E$1, DataRegularSeason20242025!$D$3:$D$1315, $A59)+SUMIFS(DataRegularSeason20242025!$AB$3:$AB$1315,DataRegularSeason20242025!$B$3:$B$1315, "&lt;=" &amp; E$1, DataRegularSeason20242025!$E$3:$E$1315, $A59)</f>
        <v>0</v>
      </c>
      <c r="F59">
        <f>SUMIFS(DataRegularSeason20242025!$AA$3:$AA$1315,DataRegularSeason20242025!$B$3:$B$1315, "&lt;=" &amp; F$1, DataRegularSeason20242025!$D$3:$D$1315, $A59)+SUMIFS(DataRegularSeason20242025!$AB$3:$AB$1315,DataRegularSeason20242025!$B$3:$B$1315, "&lt;=" &amp; F$1, DataRegularSeason20242025!$E$3:$E$1315, $A59)</f>
        <v>0</v>
      </c>
      <c r="G59">
        <f>SUMIFS(DataRegularSeason20242025!$AA$3:$AA$1315,DataRegularSeason20242025!$B$3:$B$1315, "&lt;=" &amp; G$1, DataRegularSeason20242025!$D$3:$D$1315, $A59)+SUMIFS(DataRegularSeason20242025!$AB$3:$AB$1315,DataRegularSeason20242025!$B$3:$B$1315, "&lt;=" &amp; G$1, DataRegularSeason20242025!$E$3:$E$1315, $A59)</f>
        <v>0</v>
      </c>
      <c r="H59">
        <f>SUMIFS(DataRegularSeason20242025!$AA$3:$AA$1315,DataRegularSeason20242025!$B$3:$B$1315, "&lt;=" &amp; H$1, DataRegularSeason20242025!$D$3:$D$1315, $A59)+SUMIFS(DataRegularSeason20242025!$AB$3:$AB$1315,DataRegularSeason20242025!$B$3:$B$1315, "&lt;=" &amp; H$1, DataRegularSeason20242025!$E$3:$E$1315, $A59)</f>
        <v>0</v>
      </c>
      <c r="I59">
        <f>SUMIFS(DataRegularSeason20242025!$AA$3:$AA$1315,DataRegularSeason20242025!$B$3:$B$1315, "&lt;=" &amp; I$1, DataRegularSeason20242025!$D$3:$D$1315, $A59)+SUMIFS(DataRegularSeason20242025!$AB$3:$AB$1315,DataRegularSeason20242025!$B$3:$B$1315, "&lt;=" &amp; I$1, DataRegularSeason20242025!$E$3:$E$1315, $A59)</f>
        <v>0</v>
      </c>
      <c r="J59">
        <f>SUMIFS(DataRegularSeason20242025!$AA$3:$AA$1315,DataRegularSeason20242025!$B$3:$B$1315, "&lt;=" &amp; J$1, DataRegularSeason20242025!$D$3:$D$1315, $A59)+SUMIFS(DataRegularSeason20242025!$AB$3:$AB$1315,DataRegularSeason20242025!$B$3:$B$1315, "&lt;=" &amp; J$1, DataRegularSeason20242025!$E$3:$E$1315, $A59)</f>
        <v>2</v>
      </c>
      <c r="K59">
        <f>SUMIFS(DataRegularSeason20242025!$AA$3:$AA$1315,DataRegularSeason20242025!$B$3:$B$1315, "&lt;=" &amp; K$1, DataRegularSeason20242025!$D$3:$D$1315, $A59)+SUMIFS(DataRegularSeason20242025!$AB$3:$AB$1315,DataRegularSeason20242025!$B$3:$B$1315, "&lt;=" &amp; K$1, DataRegularSeason20242025!$E$3:$E$1315, $A59)</f>
        <v>2</v>
      </c>
      <c r="L59">
        <f>SUMIFS(DataRegularSeason20242025!$AA$3:$AA$1315,DataRegularSeason20242025!$B$3:$B$1315, "&lt;=" &amp; L$1, DataRegularSeason20242025!$D$3:$D$1315, $A59)+SUMIFS(DataRegularSeason20242025!$AB$3:$AB$1315,DataRegularSeason20242025!$B$3:$B$1315, "&lt;=" &amp; L$1, DataRegularSeason20242025!$E$3:$E$1315, $A59)</f>
        <v>3</v>
      </c>
      <c r="M59">
        <f>SUMIFS(DataRegularSeason20242025!$AA$3:$AA$1315,DataRegularSeason20242025!$B$3:$B$1315, "&lt;=" &amp; M$1, DataRegularSeason20242025!$D$3:$D$1315, $A59)+SUMIFS(DataRegularSeason20242025!$AB$3:$AB$1315,DataRegularSeason20242025!$B$3:$B$1315, "&lt;=" &amp; M$1, DataRegularSeason20242025!$E$3:$E$1315, $A59)</f>
        <v>3</v>
      </c>
      <c r="N59">
        <f>SUMIFS(DataRegularSeason20242025!$AA$3:$AA$1315,DataRegularSeason20242025!$B$3:$B$1315, "&lt;=" &amp; N$1, DataRegularSeason20242025!$D$3:$D$1315, $A59)+SUMIFS(DataRegularSeason20242025!$AB$3:$AB$1315,DataRegularSeason20242025!$B$3:$B$1315, "&lt;=" &amp; N$1, DataRegularSeason20242025!$E$3:$E$1315, $A59)</f>
        <v>5</v>
      </c>
      <c r="O59">
        <f>SUMIFS(DataRegularSeason20242025!$AA$3:$AA$1315,DataRegularSeason20242025!$B$3:$B$1315, "&lt;=" &amp; O$1, DataRegularSeason20242025!$D$3:$D$1315, $A59)+SUMIFS(DataRegularSeason20242025!$AB$3:$AB$1315,DataRegularSeason20242025!$B$3:$B$1315, "&lt;=" &amp; O$1, DataRegularSeason20242025!$E$3:$E$1315, $A59)</f>
        <v>5</v>
      </c>
      <c r="P59">
        <f>SUMIFS(DataRegularSeason20242025!$AA$3:$AA$1315,DataRegularSeason20242025!$B$3:$B$1315, "&lt;=" &amp; P$1, DataRegularSeason20242025!$D$3:$D$1315, $A59)+SUMIFS(DataRegularSeason20242025!$AB$3:$AB$1315,DataRegularSeason20242025!$B$3:$B$1315, "&lt;=" &amp; P$1, DataRegularSeason20242025!$E$3:$E$1315, $A59)</f>
        <v>5</v>
      </c>
      <c r="Q59">
        <f>SUMIFS(DataRegularSeason20242025!$AA$3:$AA$1315,DataRegularSeason20242025!$B$3:$B$1315, "&lt;=" &amp; Q$1, DataRegularSeason20242025!$D$3:$D$1315, $A59)+SUMIFS(DataRegularSeason20242025!$AB$3:$AB$1315,DataRegularSeason20242025!$B$3:$B$1315, "&lt;=" &amp; Q$1, DataRegularSeason20242025!$E$3:$E$1315, $A59)</f>
        <v>6</v>
      </c>
      <c r="R59">
        <f>SUMIFS(DataRegularSeason20242025!$AA$3:$AA$1315,DataRegularSeason20242025!$B$3:$B$1315, "&lt;=" &amp; R$1, DataRegularSeason20242025!$D$3:$D$1315, $A59)+SUMIFS(DataRegularSeason20242025!$AB$3:$AB$1315,DataRegularSeason20242025!$B$3:$B$1315, "&lt;=" &amp; R$1, DataRegularSeason20242025!$E$3:$E$1315, $A59)</f>
        <v>6</v>
      </c>
      <c r="S59">
        <f>SUMIFS(DataRegularSeason20242025!$AA$3:$AA$1315,DataRegularSeason20242025!$B$3:$B$1315, "&lt;=" &amp; S$1, DataRegularSeason20242025!$D$3:$D$1315, $A59)+SUMIFS(DataRegularSeason20242025!$AB$3:$AB$1315,DataRegularSeason20242025!$B$3:$B$1315, "&lt;=" &amp; S$1, DataRegularSeason20242025!$E$3:$E$1315, $A59)</f>
        <v>6</v>
      </c>
      <c r="T59">
        <f>SUMIFS(DataRegularSeason20242025!$AA$3:$AA$1315,DataRegularSeason20242025!$B$3:$B$1315, "&lt;=" &amp; T$1, DataRegularSeason20242025!$D$3:$D$1315, $A59)+SUMIFS(DataRegularSeason20242025!$AB$3:$AB$1315,DataRegularSeason20242025!$B$3:$B$1315, "&lt;=" &amp; T$1, DataRegularSeason20242025!$E$3:$E$1315, $A59)</f>
        <v>6</v>
      </c>
      <c r="U59">
        <f>SUMIFS(DataRegularSeason20242025!$AA$3:$AA$1315,DataRegularSeason20242025!$B$3:$B$1315, "&lt;=" &amp; U$1, DataRegularSeason20242025!$D$3:$D$1315, $A59)+SUMIFS(DataRegularSeason20242025!$AB$3:$AB$1315,DataRegularSeason20242025!$B$3:$B$1315, "&lt;=" &amp; U$1, DataRegularSeason20242025!$E$3:$E$1315, $A59)</f>
        <v>6</v>
      </c>
      <c r="V59">
        <f>SUMIFS(DataRegularSeason20242025!$AA$3:$AA$1315,DataRegularSeason20242025!$B$3:$B$1315, "&lt;=" &amp; V$1, DataRegularSeason20242025!$D$3:$D$1315, $A59)+SUMIFS(DataRegularSeason20242025!$AB$3:$AB$1315,DataRegularSeason20242025!$B$3:$B$1315, "&lt;=" &amp; V$1, DataRegularSeason20242025!$E$3:$E$1315, $A59)</f>
        <v>6</v>
      </c>
      <c r="W59">
        <f>SUMIFS(DataRegularSeason20242025!$AA$3:$AA$1315,DataRegularSeason20242025!$B$3:$B$1315, "&lt;=" &amp; W$1, DataRegularSeason20242025!$D$3:$D$1315, $A59)+SUMIFS(DataRegularSeason20242025!$AB$3:$AB$1315,DataRegularSeason20242025!$B$3:$B$1315, "&lt;=" &amp; W$1, DataRegularSeason20242025!$E$3:$E$1315, $A59)</f>
        <v>6</v>
      </c>
      <c r="X59">
        <f>SUMIFS(DataRegularSeason20242025!$AA$3:$AA$1315,DataRegularSeason20242025!$B$3:$B$1315, "&lt;=" &amp; X$1, DataRegularSeason20242025!$D$3:$D$1315, $A59)+SUMIFS(DataRegularSeason20242025!$AB$3:$AB$1315,DataRegularSeason20242025!$B$3:$B$1315, "&lt;=" &amp; X$1, DataRegularSeason20242025!$E$3:$E$1315, $A59)</f>
        <v>6</v>
      </c>
      <c r="Y59">
        <f>SUMIFS(DataRegularSeason20242025!$AA$3:$AA$1315,DataRegularSeason20242025!$B$3:$B$1315, "&lt;=" &amp; Y$1, DataRegularSeason20242025!$D$3:$D$1315, $A59)+SUMIFS(DataRegularSeason20242025!$AB$3:$AB$1315,DataRegularSeason20242025!$B$3:$B$1315, "&lt;=" &amp; Y$1, DataRegularSeason20242025!$E$3:$E$1315, $A59)</f>
        <v>6</v>
      </c>
      <c r="Z59">
        <f>SUMIFS(DataRegularSeason20242025!$AA$3:$AA$1315,DataRegularSeason20242025!$B$3:$B$1315, "&lt;=" &amp; Z$1, DataRegularSeason20242025!$D$3:$D$1315, $A59)+SUMIFS(DataRegularSeason20242025!$AB$3:$AB$1315,DataRegularSeason20242025!$B$3:$B$1315, "&lt;=" &amp; Z$1, DataRegularSeason20242025!$E$3:$E$1315, $A59)</f>
        <v>6</v>
      </c>
      <c r="AA59">
        <f>SUMIFS(DataRegularSeason20242025!$AA$3:$AA$1315,DataRegularSeason20242025!$B$3:$B$1315, "&lt;=" &amp; AA$1, DataRegularSeason20242025!$D$3:$D$1315, $A59)+SUMIFS(DataRegularSeason20242025!$AB$3:$AB$1315,DataRegularSeason20242025!$B$3:$B$1315, "&lt;=" &amp; AA$1, DataRegularSeason20242025!$E$3:$E$1315, $A59)</f>
        <v>6</v>
      </c>
      <c r="AB59">
        <f>SUMIFS(DataRegularSeason20242025!$AA$3:$AA$1315,DataRegularSeason20242025!$B$3:$B$1315, "&lt;=" &amp; AB$1, DataRegularSeason20242025!$D$3:$D$1315, $A59)+SUMIFS(DataRegularSeason20242025!$AB$3:$AB$1315,DataRegularSeason20242025!$B$3:$B$1315, "&lt;=" &amp; AB$1, DataRegularSeason20242025!$E$3:$E$1315, $A59)</f>
        <v>6</v>
      </c>
      <c r="AC59">
        <f>SUMIFS(DataRegularSeason20242025!$AA$3:$AA$1315,DataRegularSeason20242025!$B$3:$B$1315, "&lt;=" &amp; AC$1, DataRegularSeason20242025!$D$3:$D$1315, $A59)+SUMIFS(DataRegularSeason20242025!$AB$3:$AB$1315,DataRegularSeason20242025!$B$3:$B$1315, "&lt;=" &amp; AC$1, DataRegularSeason20242025!$E$3:$E$1315, $A59)</f>
        <v>6</v>
      </c>
      <c r="AD59">
        <f>SUMIFS(DataRegularSeason20242025!$AA$3:$AA$1315,DataRegularSeason20242025!$B$3:$B$1315, "&lt;=" &amp; AD$1, DataRegularSeason20242025!$D$3:$D$1315, $A59)+SUMIFS(DataRegularSeason20242025!$AB$3:$AB$1315,DataRegularSeason20242025!$B$3:$B$1315, "&lt;=" &amp; AD$1, DataRegularSeason20242025!$E$3:$E$1315, $A59)</f>
        <v>6</v>
      </c>
      <c r="AE59">
        <f>SUMIFS(DataRegularSeason20242025!$AA$3:$AA$1315,DataRegularSeason20242025!$B$3:$B$1315, "&lt;=" &amp; AE$1, DataRegularSeason20242025!$D$3:$D$1315, $A59)+SUMIFS(DataRegularSeason20242025!$AB$3:$AB$1315,DataRegularSeason20242025!$B$3:$B$1315, "&lt;=" &amp; AE$1, DataRegularSeason20242025!$E$3:$E$1315, $A59)</f>
        <v>6</v>
      </c>
      <c r="AF59">
        <f>SUMIFS(DataRegularSeason20242025!$AA$3:$AA$1315,DataRegularSeason20242025!$B$3:$B$1315, "&lt;=" &amp; AF$1, DataRegularSeason20242025!$D$3:$D$1315, $A59)+SUMIFS(DataRegularSeason20242025!$AB$3:$AB$1315,DataRegularSeason20242025!$B$3:$B$1315, "&lt;=" &amp; AF$1, DataRegularSeason20242025!$E$3:$E$1315, $A59)</f>
        <v>6</v>
      </c>
      <c r="AG59">
        <f>SUMIFS(DataRegularSeason20242025!$AA$3:$AA$1315,DataRegularSeason20242025!$B$3:$B$1315, "&lt;=" &amp; AG$1, DataRegularSeason20242025!$D$3:$D$1315, $A59)+SUMIFS(DataRegularSeason20242025!$AB$3:$AB$1315,DataRegularSeason20242025!$B$3:$B$1315, "&lt;=" &amp; AG$1, DataRegularSeason20242025!$E$3:$E$1315, $A59)</f>
        <v>6</v>
      </c>
      <c r="AH59">
        <f>SUMIFS(DataRegularSeason20242025!$AA$3:$AA$1315,DataRegularSeason20242025!$B$3:$B$1315, "&lt;=" &amp; AH$1, DataRegularSeason20242025!$D$3:$D$1315, $A59)+SUMIFS(DataRegularSeason20242025!$AB$3:$AB$1315,DataRegularSeason20242025!$B$3:$B$1315, "&lt;=" &amp; AH$1, DataRegularSeason20242025!$E$3:$E$1315, $A59)</f>
        <v>6</v>
      </c>
      <c r="AI59">
        <f>SUMIFS(DataRegularSeason20242025!$AA$3:$AA$1315,DataRegularSeason20242025!$B$3:$B$1315, "&lt;=" &amp; AI$1, DataRegularSeason20242025!$D$3:$D$1315, $A59)+SUMIFS(DataRegularSeason20242025!$AB$3:$AB$1315,DataRegularSeason20242025!$B$3:$B$1315, "&lt;=" &amp; AI$1, DataRegularSeason20242025!$E$3:$E$1315, $A59)</f>
        <v>6</v>
      </c>
      <c r="AJ59">
        <f>SUMIFS(DataRegularSeason20242025!$AA$3:$AA$1315,DataRegularSeason20242025!$B$3:$B$1315, "&lt;=" &amp; AJ$1, DataRegularSeason20242025!$D$3:$D$1315, $A59)+SUMIFS(DataRegularSeason20242025!$AB$3:$AB$1315,DataRegularSeason20242025!$B$3:$B$1315, "&lt;=" &amp; AJ$1, DataRegularSeason20242025!$E$3:$E$1315, $A59)</f>
        <v>6</v>
      </c>
      <c r="AK59">
        <f>SUMIFS(DataRegularSeason20242025!$AA$3:$AA$1315,DataRegularSeason20242025!$B$3:$B$1315, "&lt;=" &amp; AK$1, DataRegularSeason20242025!$D$3:$D$1315, $A59)+SUMIFS(DataRegularSeason20242025!$AB$3:$AB$1315,DataRegularSeason20242025!$B$3:$B$1315, "&lt;=" &amp; AK$1, DataRegularSeason20242025!$E$3:$E$1315, $A59)</f>
        <v>6</v>
      </c>
      <c r="AL59">
        <f>SUMIFS(DataRegularSeason20242025!$AA$3:$AA$1315,DataRegularSeason20242025!$B$3:$B$1315, "&lt;=" &amp; AL$1, DataRegularSeason20242025!$D$3:$D$1315, $A59)+SUMIFS(DataRegularSeason20242025!$AB$3:$AB$1315,DataRegularSeason20242025!$B$3:$B$1315, "&lt;=" &amp; AL$1, DataRegularSeason20242025!$E$3:$E$1315, $A59)</f>
        <v>6</v>
      </c>
      <c r="AM59">
        <f>SUMIFS(DataRegularSeason20242025!$AA$3:$AA$1315,DataRegularSeason20242025!$B$3:$B$1315, "&lt;=" &amp; AM$1, DataRegularSeason20242025!$D$3:$D$1315, $A59)+SUMIFS(DataRegularSeason20242025!$AB$3:$AB$1315,DataRegularSeason20242025!$B$3:$B$1315, "&lt;=" &amp; AM$1, DataRegularSeason20242025!$E$3:$E$1315, $A59)</f>
        <v>6</v>
      </c>
      <c r="AN59">
        <f>SUMIFS(DataRegularSeason20242025!$AA$3:$AA$1315,DataRegularSeason20242025!$B$3:$B$1315, "&lt;=" &amp; AN$1, DataRegularSeason20242025!$D$3:$D$1315, $A59)+SUMIFS(DataRegularSeason20242025!$AB$3:$AB$1315,DataRegularSeason20242025!$B$3:$B$1315, "&lt;=" &amp; AN$1, DataRegularSeason20242025!$E$3:$E$1315, $A59)</f>
        <v>6</v>
      </c>
      <c r="AO59">
        <f>SUMIFS(DataRegularSeason20242025!$AA$3:$AA$1315,DataRegularSeason20242025!$B$3:$B$1315, "&lt;=" &amp; AO$1, DataRegularSeason20242025!$D$3:$D$1315, $A59)+SUMIFS(DataRegularSeason20242025!$AB$3:$AB$1315,DataRegularSeason20242025!$B$3:$B$1315, "&lt;=" &amp; AO$1, DataRegularSeason20242025!$E$3:$E$1315, $A59)</f>
        <v>6</v>
      </c>
      <c r="AP59">
        <f>SUMIFS(DataRegularSeason20242025!$AA$3:$AA$1315,DataRegularSeason20242025!$B$3:$B$1315, "&lt;=" &amp; AP$1, DataRegularSeason20242025!$D$3:$D$1315, $A59)+SUMIFS(DataRegularSeason20242025!$AB$3:$AB$1315,DataRegularSeason20242025!$B$3:$B$1315, "&lt;=" &amp; AP$1, DataRegularSeason20242025!$E$3:$E$1315, $A59)</f>
        <v>6</v>
      </c>
      <c r="AQ59">
        <f>SUMIFS(DataRegularSeason20242025!$AA$3:$AA$1315,DataRegularSeason20242025!$B$3:$B$1315, "&lt;=" &amp; AQ$1, DataRegularSeason20242025!$D$3:$D$1315, $A59)+SUMIFS(DataRegularSeason20242025!$AB$3:$AB$1315,DataRegularSeason20242025!$B$3:$B$1315, "&lt;=" &amp; AQ$1, DataRegularSeason20242025!$E$3:$E$1315, $A59)</f>
        <v>6</v>
      </c>
      <c r="AR59">
        <f>SUMIFS(DataRegularSeason20242025!$AA$3:$AA$1315,DataRegularSeason20242025!$B$3:$B$1315, "&lt;=" &amp; AR$1, DataRegularSeason20242025!$D$3:$D$1315, $A59)+SUMIFS(DataRegularSeason20242025!$AB$3:$AB$1315,DataRegularSeason20242025!$B$3:$B$1315, "&lt;=" &amp; AR$1, DataRegularSeason20242025!$E$3:$E$1315, $A59)</f>
        <v>6</v>
      </c>
      <c r="AS59">
        <f>SUMIFS(DataRegularSeason20242025!$AA$3:$AA$1315,DataRegularSeason20242025!$B$3:$B$1315, "&lt;=" &amp; AS$1, DataRegularSeason20242025!$D$3:$D$1315, $A59)+SUMIFS(DataRegularSeason20242025!$AB$3:$AB$1315,DataRegularSeason20242025!$B$3:$B$1315, "&lt;=" &amp; AS$1, DataRegularSeason20242025!$E$3:$E$1315, $A59)</f>
        <v>6</v>
      </c>
      <c r="AT59">
        <f>SUMIFS(DataRegularSeason20242025!$AA$3:$AA$1315,DataRegularSeason20242025!$B$3:$B$1315, "&lt;=" &amp; AT$1, DataRegularSeason20242025!$D$3:$D$1315, $A59)+SUMIFS(DataRegularSeason20242025!$AB$3:$AB$1315,DataRegularSeason20242025!$B$3:$B$1315, "&lt;=" &amp; AT$1, DataRegularSeason20242025!$E$3:$E$1315, $A59)</f>
        <v>6</v>
      </c>
      <c r="AU59">
        <f>SUMIFS(DataRegularSeason20242025!$AA$3:$AA$1315,DataRegularSeason20242025!$B$3:$B$1315, "&lt;=" &amp; AU$1, DataRegularSeason20242025!$D$3:$D$1315, $A59)+SUMIFS(DataRegularSeason20242025!$AB$3:$AB$1315,DataRegularSeason20242025!$B$3:$B$1315, "&lt;=" &amp; AU$1, DataRegularSeason20242025!$E$3:$E$1315, $A59)</f>
        <v>6</v>
      </c>
      <c r="AV59">
        <f>SUMIFS(DataRegularSeason20242025!$AA$3:$AA$1315,DataRegularSeason20242025!$B$3:$B$1315, "&lt;=" &amp; AV$1, DataRegularSeason20242025!$D$3:$D$1315, $A59)+SUMIFS(DataRegularSeason20242025!$AB$3:$AB$1315,DataRegularSeason20242025!$B$3:$B$1315, "&lt;=" &amp; AV$1, DataRegularSeason20242025!$E$3:$E$1315, $A59)</f>
        <v>6</v>
      </c>
      <c r="AW59">
        <f>SUMIFS(DataRegularSeason20242025!$AA$3:$AA$1315,DataRegularSeason20242025!$B$3:$B$1315, "&lt;=" &amp; AW$1, DataRegularSeason20242025!$D$3:$D$1315, $A59)+SUMIFS(DataRegularSeason20242025!$AB$3:$AB$1315,DataRegularSeason20242025!$B$3:$B$1315, "&lt;=" &amp; AW$1, DataRegularSeason20242025!$E$3:$E$1315, $A59)</f>
        <v>6</v>
      </c>
      <c r="AX59">
        <f>SUMIFS(DataRegularSeason20242025!$AA$3:$AA$1315,DataRegularSeason20242025!$B$3:$B$1315, "&lt;=" &amp; AX$1, DataRegularSeason20242025!$D$3:$D$1315, $A59)+SUMIFS(DataRegularSeason20242025!$AB$3:$AB$1315,DataRegularSeason20242025!$B$3:$B$1315, "&lt;=" &amp; AX$1, DataRegularSeason20242025!$E$3:$E$1315, $A59)</f>
        <v>6</v>
      </c>
      <c r="AY59">
        <f>SUMIFS(DataRegularSeason20242025!$AA$3:$AA$1315,DataRegularSeason20242025!$B$3:$B$1315, "&lt;=" &amp; AY$1, DataRegularSeason20242025!$D$3:$D$1315, $A59)+SUMIFS(DataRegularSeason20242025!$AB$3:$AB$1315,DataRegularSeason20242025!$B$3:$B$1315, "&lt;=" &amp; AY$1, DataRegularSeason20242025!$E$3:$E$1315, $A59)</f>
        <v>6</v>
      </c>
      <c r="AZ59">
        <f>SUMIFS(DataRegularSeason20242025!$AA$3:$AA$1315,DataRegularSeason20242025!$B$3:$B$1315, "&lt;=" &amp; AZ$1, DataRegularSeason20242025!$D$3:$D$1315, $A59)+SUMIFS(DataRegularSeason20242025!$AB$3:$AB$1315,DataRegularSeason20242025!$B$3:$B$1315, "&lt;=" &amp; AZ$1, DataRegularSeason20242025!$E$3:$E$1315, $A59)</f>
        <v>6</v>
      </c>
      <c r="BA59">
        <f>SUMIFS(DataRegularSeason20242025!$AA$3:$AA$1315,DataRegularSeason20242025!$B$3:$B$1315, "&lt;=" &amp; BA$1, DataRegularSeason20242025!$D$3:$D$1315, $A59)+SUMIFS(DataRegularSeason20242025!$AB$3:$AB$1315,DataRegularSeason20242025!$B$3:$B$1315, "&lt;=" &amp; BA$1, DataRegularSeason20242025!$E$3:$E$1315, $A59)</f>
        <v>6</v>
      </c>
      <c r="BB59">
        <f>SUMIFS(DataRegularSeason20242025!$AA$3:$AA$1315,DataRegularSeason20242025!$B$3:$B$1315, "&lt;=" &amp; BB$1, DataRegularSeason20242025!$D$3:$D$1315, $A59)+SUMIFS(DataRegularSeason20242025!$AB$3:$AB$1315,DataRegularSeason20242025!$B$3:$B$1315, "&lt;=" &amp; BB$1, DataRegularSeason20242025!$E$3:$E$1315, $A59)</f>
        <v>6</v>
      </c>
      <c r="BC59">
        <f>SUMIFS(DataRegularSeason20242025!$AA$3:$AA$1315,DataRegularSeason20242025!$B$3:$B$1315, "&lt;=" &amp; BC$1, DataRegularSeason20242025!$D$3:$D$1315, $A59)+SUMIFS(DataRegularSeason20242025!$AB$3:$AB$1315,DataRegularSeason20242025!$B$3:$B$1315, "&lt;=" &amp; BC$1, DataRegularSeason20242025!$E$3:$E$1315, $A59)</f>
        <v>6</v>
      </c>
      <c r="BD59">
        <f>SUMIFS(DataRegularSeason20242025!$AA$3:$AA$1315,DataRegularSeason20242025!$B$3:$B$1315, "&lt;=" &amp; BD$1, DataRegularSeason20242025!$D$3:$D$1315, $A59)+SUMIFS(DataRegularSeason20242025!$AB$3:$AB$1315,DataRegularSeason20242025!$B$3:$B$1315, "&lt;=" &amp; BD$1, DataRegularSeason20242025!$E$3:$E$1315, $A59)</f>
        <v>6</v>
      </c>
      <c r="BE59">
        <f>SUMIFS(DataRegularSeason20242025!$AA$3:$AA$1315,DataRegularSeason20242025!$B$3:$B$1315, "&lt;=" &amp; BE$1, DataRegularSeason20242025!$D$3:$D$1315, $A59)+SUMIFS(DataRegularSeason20242025!$AB$3:$AB$1315,DataRegularSeason20242025!$B$3:$B$1315, "&lt;=" &amp; BE$1, DataRegularSeason20242025!$E$3:$E$1315, $A59)</f>
        <v>6</v>
      </c>
      <c r="BF59">
        <f>SUMIFS(DataRegularSeason20242025!$AA$3:$AA$1315,DataRegularSeason20242025!$B$3:$B$1315, "&lt;=" &amp; BF$1, DataRegularSeason20242025!$D$3:$D$1315, $A59)+SUMIFS(DataRegularSeason20242025!$AB$3:$AB$1315,DataRegularSeason20242025!$B$3:$B$1315, "&lt;=" &amp; BF$1, DataRegularSeason20242025!$E$3:$E$1315, $A59)</f>
        <v>6</v>
      </c>
      <c r="BG59">
        <f>SUMIFS(DataRegularSeason20242025!$AA$3:$AA$1315,DataRegularSeason20242025!$B$3:$B$1315, "&lt;=" &amp; BG$1, DataRegularSeason20242025!$D$3:$D$1315, $A59)+SUMIFS(DataRegularSeason20242025!$AB$3:$AB$1315,DataRegularSeason20242025!$B$3:$B$1315, "&lt;=" &amp; BG$1, DataRegularSeason20242025!$E$3:$E$1315, $A59)</f>
        <v>6</v>
      </c>
      <c r="BH59">
        <f>SUMIFS(DataRegularSeason20242025!$AA$3:$AA$1315,DataRegularSeason20242025!$B$3:$B$1315, "&lt;=" &amp; BH$1, DataRegularSeason20242025!$D$3:$D$1315, $A59)+SUMIFS(DataRegularSeason20242025!$AB$3:$AB$1315,DataRegularSeason20242025!$B$3:$B$1315, "&lt;=" &amp; BH$1, DataRegularSeason20242025!$E$3:$E$1315, $A59)</f>
        <v>6</v>
      </c>
      <c r="BI59">
        <f>SUMIFS(DataRegularSeason20242025!$AA$3:$AA$1315,DataRegularSeason20242025!$B$3:$B$1315, "&lt;=" &amp; BI$1, DataRegularSeason20242025!$D$3:$D$1315, $A59)+SUMIFS(DataRegularSeason20242025!$AB$3:$AB$1315,DataRegularSeason20242025!$B$3:$B$1315, "&lt;=" &amp; BI$1, DataRegularSeason20242025!$E$3:$E$1315, $A59)</f>
        <v>6</v>
      </c>
      <c r="BJ59">
        <f>SUMIFS(DataRegularSeason20242025!$AA$3:$AA$1315,DataRegularSeason20242025!$B$3:$B$1315, "&lt;=" &amp; BJ$1, DataRegularSeason20242025!$D$3:$D$1315, $A59)+SUMIFS(DataRegularSeason20242025!$AB$3:$AB$1315,DataRegularSeason20242025!$B$3:$B$1315, "&lt;=" &amp; BJ$1, DataRegularSeason20242025!$E$3:$E$1315, $A59)</f>
        <v>6</v>
      </c>
      <c r="BK59">
        <f>SUMIFS(DataRegularSeason20242025!$AA$3:$AA$1315,DataRegularSeason20242025!$B$3:$B$1315, "&lt;=" &amp; BK$1, DataRegularSeason20242025!$D$3:$D$1315, $A59)+SUMIFS(DataRegularSeason20242025!$AB$3:$AB$1315,DataRegularSeason20242025!$B$3:$B$1315, "&lt;=" &amp; BK$1, DataRegularSeason20242025!$E$3:$E$1315, $A59)</f>
        <v>6</v>
      </c>
      <c r="BL59">
        <f>SUMIFS(DataRegularSeason20242025!$AA$3:$AA$1315,DataRegularSeason20242025!$B$3:$B$1315, "&lt;=" &amp; BL$1, DataRegularSeason20242025!$D$3:$D$1315, $A59)+SUMIFS(DataRegularSeason20242025!$AB$3:$AB$1315,DataRegularSeason20242025!$B$3:$B$1315, "&lt;=" &amp; BL$1, DataRegularSeason20242025!$E$3:$E$1315, $A59)</f>
        <v>6</v>
      </c>
      <c r="BM59">
        <f>SUMIFS(DataRegularSeason20242025!$AA$3:$AA$1315,DataRegularSeason20242025!$B$3:$B$1315, "&lt;=" &amp; BM$1, DataRegularSeason20242025!$D$3:$D$1315, $A59)+SUMIFS(DataRegularSeason20242025!$AB$3:$AB$1315,DataRegularSeason20242025!$B$3:$B$1315, "&lt;=" &amp; BM$1, DataRegularSeason20242025!$E$3:$E$1315, $A59)</f>
        <v>6</v>
      </c>
      <c r="BN59">
        <f>SUMIFS(DataRegularSeason20242025!$AA$3:$AA$1315,DataRegularSeason20242025!$B$3:$B$1315, "&lt;=" &amp; BN$1, DataRegularSeason20242025!$D$3:$D$1315, $A59)+SUMIFS(DataRegularSeason20242025!$AB$3:$AB$1315,DataRegularSeason20242025!$B$3:$B$1315, "&lt;=" &amp; BN$1, DataRegularSeason20242025!$E$3:$E$1315, $A59)</f>
        <v>6</v>
      </c>
      <c r="BO59">
        <f>SUMIFS(DataRegularSeason20242025!$AA$3:$AA$1315,DataRegularSeason20242025!$B$3:$B$1315, "&lt;=" &amp; BO$1, DataRegularSeason20242025!$D$3:$D$1315, $A59)+SUMIFS(DataRegularSeason20242025!$AB$3:$AB$1315,DataRegularSeason20242025!$B$3:$B$1315, "&lt;=" &amp; BO$1, DataRegularSeason20242025!$E$3:$E$1315, $A59)</f>
        <v>6</v>
      </c>
      <c r="BP59">
        <f>SUMIFS(DataRegularSeason20242025!$AA$3:$AA$1315,DataRegularSeason20242025!$B$3:$B$1315, "&lt;=" &amp; BP$1, DataRegularSeason20242025!$D$3:$D$1315, $A59)+SUMIFS(DataRegularSeason20242025!$AB$3:$AB$1315,DataRegularSeason20242025!$B$3:$B$1315, "&lt;=" &amp; BP$1, DataRegularSeason20242025!$E$3:$E$1315, $A59)</f>
        <v>6</v>
      </c>
      <c r="BQ59">
        <f>SUMIFS(DataRegularSeason20242025!$AA$3:$AA$1315,DataRegularSeason20242025!$B$3:$B$1315, "&lt;=" &amp; BQ$1, DataRegularSeason20242025!$D$3:$D$1315, $A59)+SUMIFS(DataRegularSeason20242025!$AB$3:$AB$1315,DataRegularSeason20242025!$B$3:$B$1315, "&lt;=" &amp; BQ$1, DataRegularSeason20242025!$E$3:$E$1315, $A59)</f>
        <v>6</v>
      </c>
      <c r="BR59">
        <f>SUMIFS(DataRegularSeason20242025!$AA$3:$AA$1315,DataRegularSeason20242025!$B$3:$B$1315, "&lt;=" &amp; BR$1, DataRegularSeason20242025!$D$3:$D$1315, $A59)+SUMIFS(DataRegularSeason20242025!$AB$3:$AB$1315,DataRegularSeason20242025!$B$3:$B$1315, "&lt;=" &amp; BR$1, DataRegularSeason20242025!$E$3:$E$1315, $A59)</f>
        <v>6</v>
      </c>
      <c r="BS59">
        <f>SUMIFS(DataRegularSeason20242025!$AA$3:$AA$1315,DataRegularSeason20242025!$B$3:$B$1315, "&lt;=" &amp; BS$1, DataRegularSeason20242025!$D$3:$D$1315, $A59)+SUMIFS(DataRegularSeason20242025!$AB$3:$AB$1315,DataRegularSeason20242025!$B$3:$B$1315, "&lt;=" &amp; BS$1, DataRegularSeason20242025!$E$3:$E$1315, $A59)</f>
        <v>6</v>
      </c>
      <c r="BT59">
        <f>SUMIFS(DataRegularSeason20242025!$AA$3:$AA$1315,DataRegularSeason20242025!$B$3:$B$1315, "&lt;=" &amp; BT$1, DataRegularSeason20242025!$D$3:$D$1315, $A59)+SUMIFS(DataRegularSeason20242025!$AB$3:$AB$1315,DataRegularSeason20242025!$B$3:$B$1315, "&lt;=" &amp; BT$1, DataRegularSeason20242025!$E$3:$E$1315, $A59)</f>
        <v>6</v>
      </c>
      <c r="BU59">
        <f>SUMIFS(DataRegularSeason20242025!$AA$3:$AA$1315,DataRegularSeason20242025!$B$3:$B$1315, "&lt;=" &amp; BU$1, DataRegularSeason20242025!$D$3:$D$1315, $A59)+SUMIFS(DataRegularSeason20242025!$AB$3:$AB$1315,DataRegularSeason20242025!$B$3:$B$1315, "&lt;=" &amp; BU$1, DataRegularSeason20242025!$E$3:$E$1315, $A59)</f>
        <v>6</v>
      </c>
      <c r="BV59">
        <f>SUMIFS(DataRegularSeason20242025!$AA$3:$AA$1315,DataRegularSeason20242025!$B$3:$B$1315, "&lt;=" &amp; BV$1, DataRegularSeason20242025!$D$3:$D$1315, $A59)+SUMIFS(DataRegularSeason20242025!$AB$3:$AB$1315,DataRegularSeason20242025!$B$3:$B$1315, "&lt;=" &amp; BV$1, DataRegularSeason20242025!$E$3:$E$1315, $A59)</f>
        <v>6</v>
      </c>
      <c r="BW59">
        <f>SUMIFS(DataRegularSeason20242025!$AA$3:$AA$1315,DataRegularSeason20242025!$B$3:$B$1315, "&lt;=" &amp; BW$1, DataRegularSeason20242025!$D$3:$D$1315, $A59)+SUMIFS(DataRegularSeason20242025!$AB$3:$AB$1315,DataRegularSeason20242025!$B$3:$B$1315, "&lt;=" &amp; BW$1, DataRegularSeason20242025!$E$3:$E$1315, $A59)</f>
        <v>6</v>
      </c>
      <c r="BX59">
        <f>SUMIFS(DataRegularSeason20242025!$AA$3:$AA$1315,DataRegularSeason20242025!$B$3:$B$1315, "&lt;=" &amp; BX$1, DataRegularSeason20242025!$D$3:$D$1315, $A59)+SUMIFS(DataRegularSeason20242025!$AB$3:$AB$1315,DataRegularSeason20242025!$B$3:$B$1315, "&lt;=" &amp; BX$1, DataRegularSeason20242025!$E$3:$E$1315, $A59)</f>
        <v>6</v>
      </c>
      <c r="BY59">
        <f>SUMIFS(DataRegularSeason20242025!$AA$3:$AA$1315,DataRegularSeason20242025!$B$3:$B$1315, "&lt;=" &amp; BY$1, DataRegularSeason20242025!$D$3:$D$1315, $A59)+SUMIFS(DataRegularSeason20242025!$AB$3:$AB$1315,DataRegularSeason20242025!$B$3:$B$1315, "&lt;=" &amp; BY$1, DataRegularSeason20242025!$E$3:$E$1315, $A59)</f>
        <v>6</v>
      </c>
      <c r="BZ59">
        <f>SUMIFS(DataRegularSeason20242025!$AA$3:$AA$1315,DataRegularSeason20242025!$B$3:$B$1315, "&lt;=" &amp; BZ$1, DataRegularSeason20242025!$D$3:$D$1315, $A59)+SUMIFS(DataRegularSeason20242025!$AB$3:$AB$1315,DataRegularSeason20242025!$B$3:$B$1315, "&lt;=" &amp; BZ$1, DataRegularSeason20242025!$E$3:$E$1315, $A59)</f>
        <v>6</v>
      </c>
      <c r="CA59">
        <f>SUMIFS(DataRegularSeason20242025!$AA$3:$AA$1315,DataRegularSeason20242025!$B$3:$B$1315, "&lt;=" &amp; CA$1, DataRegularSeason20242025!$D$3:$D$1315, $A59)+SUMIFS(DataRegularSeason20242025!$AB$3:$AB$1315,DataRegularSeason20242025!$B$3:$B$1315, "&lt;=" &amp; CA$1, DataRegularSeason20242025!$E$3:$E$1315, $A59)</f>
        <v>6</v>
      </c>
      <c r="CB59">
        <f>SUMIFS(DataRegularSeason20242025!$AA$3:$AA$1315,DataRegularSeason20242025!$B$3:$B$1315, "&lt;=" &amp; CB$1, DataRegularSeason20242025!$D$3:$D$1315, $A59)+SUMIFS(DataRegularSeason20242025!$AB$3:$AB$1315,DataRegularSeason20242025!$B$3:$B$1315, "&lt;=" &amp; CB$1, DataRegularSeason20242025!$E$3:$E$1315, $A59)</f>
        <v>6</v>
      </c>
      <c r="CC59">
        <f>SUMIFS(DataRegularSeason20242025!$AA$3:$AA$1315,DataRegularSeason20242025!$B$3:$B$1315, "&lt;=" &amp; CC$1, DataRegularSeason20242025!$D$3:$D$1315, $A59)+SUMIFS(DataRegularSeason20242025!$AB$3:$AB$1315,DataRegularSeason20242025!$B$3:$B$1315, "&lt;=" &amp; CC$1, DataRegularSeason20242025!$E$3:$E$1315, $A59)</f>
        <v>6</v>
      </c>
      <c r="CD59">
        <f>SUMIFS(DataRegularSeason20242025!$AA$3:$AA$1315,DataRegularSeason20242025!$B$3:$B$1315, "&lt;=" &amp; CD$1, DataRegularSeason20242025!$D$3:$D$1315, $A59)+SUMIFS(DataRegularSeason20242025!$AB$3:$AB$1315,DataRegularSeason20242025!$B$3:$B$1315, "&lt;=" &amp; CD$1, DataRegularSeason20242025!$E$3:$E$1315, $A59)</f>
        <v>6</v>
      </c>
      <c r="CE59">
        <f>SUMIFS(DataRegularSeason20242025!$AA$3:$AA$1315,DataRegularSeason20242025!$B$3:$B$1315, "&lt;=" &amp; CE$1, DataRegularSeason20242025!$D$3:$D$1315, $A59)+SUMIFS(DataRegularSeason20242025!$AB$3:$AB$1315,DataRegularSeason20242025!$B$3:$B$1315, "&lt;=" &amp; CE$1, DataRegularSeason20242025!$E$3:$E$1315, $A59)</f>
        <v>6</v>
      </c>
      <c r="CF59">
        <f>SUMIFS(DataRegularSeason20242025!$AA$3:$AA$1315,DataRegularSeason20242025!$B$3:$B$1315, "&lt;=" &amp; CF$1, DataRegularSeason20242025!$D$3:$D$1315, $A59)+SUMIFS(DataRegularSeason20242025!$AB$3:$AB$1315,DataRegularSeason20242025!$B$3:$B$1315, "&lt;=" &amp; CF$1, DataRegularSeason20242025!$E$3:$E$1315, $A59)</f>
        <v>6</v>
      </c>
      <c r="CG59">
        <f>SUMIFS(DataRegularSeason20242025!$AA$3:$AA$1315,DataRegularSeason20242025!$B$3:$B$1315, "&lt;=" &amp; CG$1, DataRegularSeason20242025!$D$3:$D$1315, $A59)+SUMIFS(DataRegularSeason20242025!$AB$3:$AB$1315,DataRegularSeason20242025!$B$3:$B$1315, "&lt;=" &amp; CG$1, DataRegularSeason20242025!$E$3:$E$1315, $A59)</f>
        <v>6</v>
      </c>
      <c r="CH59">
        <f>SUMIFS(DataRegularSeason20242025!$AA$3:$AA$1315,DataRegularSeason20242025!$B$3:$B$1315, "&lt;=" &amp; CH$1, DataRegularSeason20242025!$D$3:$D$1315, $A59)+SUMIFS(DataRegularSeason20242025!$AB$3:$AB$1315,DataRegularSeason20242025!$B$3:$B$1315, "&lt;=" &amp; CH$1, DataRegularSeason20242025!$E$3:$E$1315, $A59)</f>
        <v>6</v>
      </c>
      <c r="CI59">
        <f>SUMIFS(DataRegularSeason20242025!$AA$3:$AA$1315,DataRegularSeason20242025!$B$3:$B$1315, "&lt;=" &amp; CI$1, DataRegularSeason20242025!$D$3:$D$1315, $A59)+SUMIFS(DataRegularSeason20242025!$AB$3:$AB$1315,DataRegularSeason20242025!$B$3:$B$1315, "&lt;=" &amp; CI$1, DataRegularSeason20242025!$E$3:$E$1315, $A59)</f>
        <v>6</v>
      </c>
      <c r="CJ59">
        <f>SUMIFS(DataRegularSeason20242025!$AA$3:$AA$1315,DataRegularSeason20242025!$B$3:$B$1315, "&lt;=" &amp; CJ$1, DataRegularSeason20242025!$D$3:$D$1315, $A59)+SUMIFS(DataRegularSeason20242025!$AB$3:$AB$1315,DataRegularSeason20242025!$B$3:$B$1315, "&lt;=" &amp; CJ$1, DataRegularSeason20242025!$E$3:$E$1315, $A59)</f>
        <v>6</v>
      </c>
      <c r="CK59">
        <f>SUMIFS(DataRegularSeason20242025!$AA$3:$AA$1315,DataRegularSeason20242025!$B$3:$B$1315, "&lt;=" &amp; CK$1, DataRegularSeason20242025!$D$3:$D$1315, $A59)+SUMIFS(DataRegularSeason20242025!$AB$3:$AB$1315,DataRegularSeason20242025!$B$3:$B$1315, "&lt;=" &amp; CK$1, DataRegularSeason20242025!$E$3:$E$1315, $A59)</f>
        <v>6</v>
      </c>
      <c r="CL59">
        <f>SUMIFS(DataRegularSeason20242025!$AA$3:$AA$1315,DataRegularSeason20242025!$B$3:$B$1315, "&lt;=" &amp; CL$1, DataRegularSeason20242025!$D$3:$D$1315, $A59)+SUMIFS(DataRegularSeason20242025!$AB$3:$AB$1315,DataRegularSeason20242025!$B$3:$B$1315, "&lt;=" &amp; CL$1, DataRegularSeason20242025!$E$3:$E$1315, $A59)</f>
        <v>6</v>
      </c>
      <c r="CM59">
        <f>SUMIFS(DataRegularSeason20242025!$AA$3:$AA$1315,DataRegularSeason20242025!$B$3:$B$1315, "&lt;=" &amp; CM$1, DataRegularSeason20242025!$D$3:$D$1315, $A59)+SUMIFS(DataRegularSeason20242025!$AB$3:$AB$1315,DataRegularSeason20242025!$B$3:$B$1315, "&lt;=" &amp; CM$1, DataRegularSeason20242025!$E$3:$E$1315, $A59)</f>
        <v>6</v>
      </c>
      <c r="CN59">
        <f>SUMIFS(DataRegularSeason20242025!$AA$3:$AA$1315,DataRegularSeason20242025!$B$3:$B$1315, "&lt;=" &amp; CN$1, DataRegularSeason20242025!$D$3:$D$1315, $A59)+SUMIFS(DataRegularSeason20242025!$AB$3:$AB$1315,DataRegularSeason20242025!$B$3:$B$1315, "&lt;=" &amp; CN$1, DataRegularSeason20242025!$E$3:$E$1315, $A59)</f>
        <v>6</v>
      </c>
      <c r="CO59">
        <f>SUMIFS(DataRegularSeason20242025!$AA$3:$AA$1315,DataRegularSeason20242025!$B$3:$B$1315, "&lt;=" &amp; CO$1, DataRegularSeason20242025!$D$3:$D$1315, $A59)+SUMIFS(DataRegularSeason20242025!$AB$3:$AB$1315,DataRegularSeason20242025!$B$3:$B$1315, "&lt;=" &amp; CO$1, DataRegularSeason20242025!$E$3:$E$1315, $A59)</f>
        <v>6</v>
      </c>
      <c r="CP59">
        <f>SUMIFS(DataRegularSeason20242025!$AA$3:$AA$1315,DataRegularSeason20242025!$B$3:$B$1315, "&lt;=" &amp; CP$1, DataRegularSeason20242025!$D$3:$D$1315, $A59)+SUMIFS(DataRegularSeason20242025!$AB$3:$AB$1315,DataRegularSeason20242025!$B$3:$B$1315, "&lt;=" &amp; CP$1, DataRegularSeason20242025!$E$3:$E$1315, $A59)</f>
        <v>6</v>
      </c>
      <c r="CQ59">
        <f>SUMIFS(DataRegularSeason20242025!$AA$3:$AA$1315,DataRegularSeason20242025!$B$3:$B$1315, "&lt;=" &amp; CQ$1, DataRegularSeason20242025!$D$3:$D$1315, $A59)+SUMIFS(DataRegularSeason20242025!$AB$3:$AB$1315,DataRegularSeason20242025!$B$3:$B$1315, "&lt;=" &amp; CQ$1, DataRegularSeason20242025!$E$3:$E$1315, $A59)</f>
        <v>6</v>
      </c>
      <c r="CR59">
        <f>SUMIFS(DataRegularSeason20242025!$AA$3:$AA$1315,DataRegularSeason20242025!$B$3:$B$1315, "&lt;=" &amp; CR$1, DataRegularSeason20242025!$D$3:$D$1315, $A59)+SUMIFS(DataRegularSeason20242025!$AB$3:$AB$1315,DataRegularSeason20242025!$B$3:$B$1315, "&lt;=" &amp; CR$1, DataRegularSeason20242025!$E$3:$E$1315, $A59)</f>
        <v>6</v>
      </c>
      <c r="CS59">
        <f>SUMIFS(DataRegularSeason20242025!$AA$3:$AA$1315,DataRegularSeason20242025!$B$3:$B$1315, "&lt;=" &amp; CS$1, DataRegularSeason20242025!$D$3:$D$1315, $A59)+SUMIFS(DataRegularSeason20242025!$AB$3:$AB$1315,DataRegularSeason20242025!$B$3:$B$1315, "&lt;=" &amp; CS$1, DataRegularSeason20242025!$E$3:$E$1315, $A59)</f>
        <v>6</v>
      </c>
      <c r="CT59">
        <f>SUMIFS(DataRegularSeason20242025!$AA$3:$AA$1315,DataRegularSeason20242025!$B$3:$B$1315, "&lt;=" &amp; CT$1, DataRegularSeason20242025!$D$3:$D$1315, $A59)+SUMIFS(DataRegularSeason20242025!$AB$3:$AB$1315,DataRegularSeason20242025!$B$3:$B$1315, "&lt;=" &amp; CT$1, DataRegularSeason20242025!$E$3:$E$1315, $A59)</f>
        <v>6</v>
      </c>
      <c r="CU59">
        <f>SUMIFS(DataRegularSeason20242025!$AA$3:$AA$1315,DataRegularSeason20242025!$B$3:$B$1315, "&lt;=" &amp; CU$1, DataRegularSeason20242025!$D$3:$D$1315, $A59)+SUMIFS(DataRegularSeason20242025!$AB$3:$AB$1315,DataRegularSeason20242025!$B$3:$B$1315, "&lt;=" &amp; CU$1, DataRegularSeason20242025!$E$3:$E$1315, $A59)</f>
        <v>6</v>
      </c>
      <c r="CV59">
        <f>SUMIFS(DataRegularSeason20242025!$AA$3:$AA$1315,DataRegularSeason20242025!$B$3:$B$1315, "&lt;=" &amp; CV$1, DataRegularSeason20242025!$D$3:$D$1315, $A59)+SUMIFS(DataRegularSeason20242025!$AB$3:$AB$1315,DataRegularSeason20242025!$B$3:$B$1315, "&lt;=" &amp; CV$1, DataRegularSeason20242025!$E$3:$E$1315, $A59)</f>
        <v>6</v>
      </c>
      <c r="CW59">
        <f>SUMIFS(DataRegularSeason20242025!$AA$3:$AA$1315,DataRegularSeason20242025!$B$3:$B$1315, "&lt;=" &amp; CW$1, DataRegularSeason20242025!$D$3:$D$1315, $A59)+SUMIFS(DataRegularSeason20242025!$AB$3:$AB$1315,DataRegularSeason20242025!$B$3:$B$1315, "&lt;=" &amp; CW$1, DataRegularSeason20242025!$E$3:$E$1315, $A59)</f>
        <v>6</v>
      </c>
      <c r="CX59">
        <f>SUMIFS(DataRegularSeason20242025!$AA$3:$AA$1315,DataRegularSeason20242025!$B$3:$B$1315, "&lt;=" &amp; CX$1, DataRegularSeason20242025!$D$3:$D$1315, $A59)+SUMIFS(DataRegularSeason20242025!$AB$3:$AB$1315,DataRegularSeason20242025!$B$3:$B$1315, "&lt;=" &amp; CX$1, DataRegularSeason20242025!$E$3:$E$1315, $A59)</f>
        <v>6</v>
      </c>
      <c r="CY59">
        <f>SUMIFS(DataRegularSeason20242025!$AA$3:$AA$1315,DataRegularSeason20242025!$B$3:$B$1315, "&lt;=" &amp; CY$1, DataRegularSeason20242025!$D$3:$D$1315, $A59)+SUMIFS(DataRegularSeason20242025!$AB$3:$AB$1315,DataRegularSeason20242025!$B$3:$B$1315, "&lt;=" &amp; CY$1, DataRegularSeason20242025!$E$3:$E$1315, $A59)</f>
        <v>6</v>
      </c>
      <c r="CZ59">
        <f>SUMIFS(DataRegularSeason20242025!$AA$3:$AA$1315,DataRegularSeason20242025!$B$3:$B$1315, "&lt;=" &amp; CZ$1, DataRegularSeason20242025!$D$3:$D$1315, $A59)+SUMIFS(DataRegularSeason20242025!$AB$3:$AB$1315,DataRegularSeason20242025!$B$3:$B$1315, "&lt;=" &amp; CZ$1, DataRegularSeason20242025!$E$3:$E$1315, $A59)</f>
        <v>6</v>
      </c>
      <c r="DA59">
        <f>SUMIFS(DataRegularSeason20242025!$AA$3:$AA$1315,DataRegularSeason20242025!$B$3:$B$1315, "&lt;=" &amp; DA$1, DataRegularSeason20242025!$D$3:$D$1315, $A59)+SUMIFS(DataRegularSeason20242025!$AB$3:$AB$1315,DataRegularSeason20242025!$B$3:$B$1315, "&lt;=" &amp; DA$1, DataRegularSeason20242025!$E$3:$E$1315, $A59)</f>
        <v>6</v>
      </c>
      <c r="DB59">
        <f>SUMIFS(DataRegularSeason20242025!$AA$3:$AA$1315,DataRegularSeason20242025!$B$3:$B$1315, "&lt;=" &amp; DB$1, DataRegularSeason20242025!$D$3:$D$1315, $A59)+SUMIFS(DataRegularSeason20242025!$AB$3:$AB$1315,DataRegularSeason20242025!$B$3:$B$1315, "&lt;=" &amp; DB$1, DataRegularSeason20242025!$E$3:$E$1315, $A59)</f>
        <v>6</v>
      </c>
      <c r="DC59">
        <f>SUMIFS(DataRegularSeason20242025!$AA$3:$AA$1315,DataRegularSeason20242025!$B$3:$B$1315, "&lt;=" &amp; DC$1, DataRegularSeason20242025!$D$3:$D$1315, $A59)+SUMIFS(DataRegularSeason20242025!$AB$3:$AB$1315,DataRegularSeason20242025!$B$3:$B$1315, "&lt;=" &amp; DC$1, DataRegularSeason20242025!$E$3:$E$1315, $A59)</f>
        <v>6</v>
      </c>
      <c r="DD59">
        <f>SUMIFS(DataRegularSeason20242025!$AA$3:$AA$1315,DataRegularSeason20242025!$B$3:$B$1315, "&lt;=" &amp; DD$1, DataRegularSeason20242025!$D$3:$D$1315, $A59)+SUMIFS(DataRegularSeason20242025!$AB$3:$AB$1315,DataRegularSeason20242025!$B$3:$B$1315, "&lt;=" &amp; DD$1, DataRegularSeason20242025!$E$3:$E$1315, $A59)</f>
        <v>6</v>
      </c>
      <c r="DE59">
        <f>SUMIFS(DataRegularSeason20242025!$AA$3:$AA$1315,DataRegularSeason20242025!$B$3:$B$1315, "&lt;=" &amp; DE$1, DataRegularSeason20242025!$D$3:$D$1315, $A59)+SUMIFS(DataRegularSeason20242025!$AB$3:$AB$1315,DataRegularSeason20242025!$B$3:$B$1315, "&lt;=" &amp; DE$1, DataRegularSeason20242025!$E$3:$E$1315, $A59)</f>
        <v>6</v>
      </c>
      <c r="DF59">
        <f>SUMIFS(DataRegularSeason20242025!$AA$3:$AA$1315,DataRegularSeason20242025!$B$3:$B$1315, "&lt;=" &amp; DF$1, DataRegularSeason20242025!$D$3:$D$1315, $A59)+SUMIFS(DataRegularSeason20242025!$AB$3:$AB$1315,DataRegularSeason20242025!$B$3:$B$1315, "&lt;=" &amp; DF$1, DataRegularSeason20242025!$E$3:$E$1315, $A59)</f>
        <v>6</v>
      </c>
      <c r="DG59">
        <f>SUMIFS(DataRegularSeason20242025!$AA$3:$AA$1315,DataRegularSeason20242025!$B$3:$B$1315, "&lt;=" &amp; DG$1, DataRegularSeason20242025!$D$3:$D$1315, $A59)+SUMIFS(DataRegularSeason20242025!$AB$3:$AB$1315,DataRegularSeason20242025!$B$3:$B$1315, "&lt;=" &amp; DG$1, DataRegularSeason20242025!$E$3:$E$1315, $A59)</f>
        <v>6</v>
      </c>
      <c r="DH59">
        <f>SUMIFS(DataRegularSeason20242025!$AA$3:$AA$1315,DataRegularSeason20242025!$B$3:$B$1315, "&lt;=" &amp; DH$1, DataRegularSeason20242025!$D$3:$D$1315, $A59)+SUMIFS(DataRegularSeason20242025!$AB$3:$AB$1315,DataRegularSeason20242025!$B$3:$B$1315, "&lt;=" &amp; DH$1, DataRegularSeason20242025!$E$3:$E$1315, $A59)</f>
        <v>6</v>
      </c>
      <c r="DI59">
        <f>SUMIFS(DataRegularSeason20242025!$AA$3:$AA$1315,DataRegularSeason20242025!$B$3:$B$1315, "&lt;=" &amp; DI$1, DataRegularSeason20242025!$D$3:$D$1315, $A59)+SUMIFS(DataRegularSeason20242025!$AB$3:$AB$1315,DataRegularSeason20242025!$B$3:$B$1315, "&lt;=" &amp; DI$1, DataRegularSeason20242025!$E$3:$E$1315, $A59)</f>
        <v>6</v>
      </c>
      <c r="DJ59">
        <f>SUMIFS(DataRegularSeason20242025!$AA$3:$AA$1315,DataRegularSeason20242025!$B$3:$B$1315, "&lt;=" &amp; DJ$1, DataRegularSeason20242025!$D$3:$D$1315, $A59)+SUMIFS(DataRegularSeason20242025!$AB$3:$AB$1315,DataRegularSeason20242025!$B$3:$B$1315, "&lt;=" &amp; DJ$1, DataRegularSeason20242025!$E$3:$E$1315, $A59)</f>
        <v>6</v>
      </c>
      <c r="DK59">
        <f>SUMIFS(DataRegularSeason20242025!$AA$3:$AA$1315,DataRegularSeason20242025!$B$3:$B$1315, "&lt;=" &amp; DK$1, DataRegularSeason20242025!$D$3:$D$1315, $A59)+SUMIFS(DataRegularSeason20242025!$AB$3:$AB$1315,DataRegularSeason20242025!$B$3:$B$1315, "&lt;=" &amp; DK$1, DataRegularSeason20242025!$E$3:$E$1315, $A59)</f>
        <v>6</v>
      </c>
      <c r="DL59">
        <f>SUMIFS(DataRegularSeason20242025!$AA$3:$AA$1315,DataRegularSeason20242025!$B$3:$B$1315, "&lt;=" &amp; DL$1, DataRegularSeason20242025!$D$3:$D$1315, $A59)+SUMIFS(DataRegularSeason20242025!$AB$3:$AB$1315,DataRegularSeason20242025!$B$3:$B$1315, "&lt;=" &amp; DL$1, DataRegularSeason20242025!$E$3:$E$1315, $A59)</f>
        <v>6</v>
      </c>
      <c r="DM59">
        <f>SUMIFS(DataRegularSeason20242025!$AA$3:$AA$1315,DataRegularSeason20242025!$B$3:$B$1315, "&lt;=" &amp; DM$1, DataRegularSeason20242025!$D$3:$D$1315, $A59)+SUMIFS(DataRegularSeason20242025!$AB$3:$AB$1315,DataRegularSeason20242025!$B$3:$B$1315, "&lt;=" &amp; DM$1, DataRegularSeason20242025!$E$3:$E$1315, $A59)</f>
        <v>6</v>
      </c>
      <c r="DN59">
        <f>SUMIFS(DataRegularSeason20242025!$AA$3:$AA$1315,DataRegularSeason20242025!$B$3:$B$1315, "&lt;=" &amp; DN$1, DataRegularSeason20242025!$D$3:$D$1315, $A59)+SUMIFS(DataRegularSeason20242025!$AB$3:$AB$1315,DataRegularSeason20242025!$B$3:$B$1315, "&lt;=" &amp; DN$1, DataRegularSeason20242025!$E$3:$E$1315, $A59)</f>
        <v>6</v>
      </c>
      <c r="DO59">
        <f>SUMIFS(DataRegularSeason20242025!$AA$3:$AA$1315,DataRegularSeason20242025!$B$3:$B$1315, "&lt;=" &amp; DO$1, DataRegularSeason20242025!$D$3:$D$1315, $A59)+SUMIFS(DataRegularSeason20242025!$AB$3:$AB$1315,DataRegularSeason20242025!$B$3:$B$1315, "&lt;=" &amp; DO$1, DataRegularSeason20242025!$E$3:$E$1315, $A59)</f>
        <v>6</v>
      </c>
      <c r="DP59">
        <f>SUMIFS(DataRegularSeason20242025!$AA$3:$AA$1315,DataRegularSeason20242025!$B$3:$B$1315, "&lt;=" &amp; DP$1, DataRegularSeason20242025!$D$3:$D$1315, $A59)+SUMIFS(DataRegularSeason20242025!$AB$3:$AB$1315,DataRegularSeason20242025!$B$3:$B$1315, "&lt;=" &amp; DP$1, DataRegularSeason20242025!$E$3:$E$1315, $A59)</f>
        <v>6</v>
      </c>
      <c r="DQ59">
        <f>SUMIFS(DataRegularSeason20242025!$AA$3:$AA$1315,DataRegularSeason20242025!$B$3:$B$1315, "&lt;=" &amp; DQ$1, DataRegularSeason20242025!$D$3:$D$1315, $A59)+SUMIFS(DataRegularSeason20242025!$AB$3:$AB$1315,DataRegularSeason20242025!$B$3:$B$1315, "&lt;=" &amp; DQ$1, DataRegularSeason20242025!$E$3:$E$1315, $A59)</f>
        <v>6</v>
      </c>
      <c r="DR59">
        <f>SUMIFS(DataRegularSeason20242025!$AA$3:$AA$1315,DataRegularSeason20242025!$B$3:$B$1315, "&lt;=" &amp; DR$1, DataRegularSeason20242025!$D$3:$D$1315, $A59)+SUMIFS(DataRegularSeason20242025!$AB$3:$AB$1315,DataRegularSeason20242025!$B$3:$B$1315, "&lt;=" &amp; DR$1, DataRegularSeason20242025!$E$3:$E$1315, $A59)</f>
        <v>6</v>
      </c>
      <c r="DS59">
        <f>SUMIFS(DataRegularSeason20242025!$AA$3:$AA$1315,DataRegularSeason20242025!$B$3:$B$1315, "&lt;=" &amp; DS$1, DataRegularSeason20242025!$D$3:$D$1315, $A59)+SUMIFS(DataRegularSeason20242025!$AB$3:$AB$1315,DataRegularSeason20242025!$B$3:$B$1315, "&lt;=" &amp; DS$1, DataRegularSeason20242025!$E$3:$E$1315, $A59)</f>
        <v>6</v>
      </c>
      <c r="DT59">
        <f>SUMIFS(DataRegularSeason20242025!$AA$3:$AA$1315,DataRegularSeason20242025!$B$3:$B$1315, "&lt;=" &amp; DT$1, DataRegularSeason20242025!$D$3:$D$1315, $A59)+SUMIFS(DataRegularSeason20242025!$AB$3:$AB$1315,DataRegularSeason20242025!$B$3:$B$1315, "&lt;=" &amp; DT$1, DataRegularSeason20242025!$E$3:$E$1315, $A59)</f>
        <v>6</v>
      </c>
      <c r="DU59">
        <f>SUMIFS(DataRegularSeason20242025!$AA$3:$AA$1315,DataRegularSeason20242025!$B$3:$B$1315, "&lt;=" &amp; DU$1, DataRegularSeason20242025!$D$3:$D$1315, $A59)+SUMIFS(DataRegularSeason20242025!$AB$3:$AB$1315,DataRegularSeason20242025!$B$3:$B$1315, "&lt;=" &amp; DU$1, DataRegularSeason20242025!$E$3:$E$1315, $A59)</f>
        <v>6</v>
      </c>
      <c r="DV59">
        <f>SUMIFS(DataRegularSeason20242025!$AA$3:$AA$1315,DataRegularSeason20242025!$B$3:$B$1315, "&lt;=" &amp; DV$1, DataRegularSeason20242025!$D$3:$D$1315, $A59)+SUMIFS(DataRegularSeason20242025!$AB$3:$AB$1315,DataRegularSeason20242025!$B$3:$B$1315, "&lt;=" &amp; DV$1, DataRegularSeason20242025!$E$3:$E$1315, $A59)</f>
        <v>6</v>
      </c>
      <c r="DW59">
        <f>SUMIFS(DataRegularSeason20242025!$AA$3:$AA$1315,DataRegularSeason20242025!$B$3:$B$1315, "&lt;=" &amp; DW$1, DataRegularSeason20242025!$D$3:$D$1315, $A59)+SUMIFS(DataRegularSeason20242025!$AB$3:$AB$1315,DataRegularSeason20242025!$B$3:$B$1315, "&lt;=" &amp; DW$1, DataRegularSeason20242025!$E$3:$E$1315, $A59)</f>
        <v>6</v>
      </c>
      <c r="DX59">
        <f>SUMIFS(DataRegularSeason20242025!$AA$3:$AA$1315,DataRegularSeason20242025!$B$3:$B$1315, "&lt;=" &amp; DX$1, DataRegularSeason20242025!$D$3:$D$1315, $A59)+SUMIFS(DataRegularSeason20242025!$AB$3:$AB$1315,DataRegularSeason20242025!$B$3:$B$1315, "&lt;=" &amp; DX$1, DataRegularSeason20242025!$E$3:$E$1315, $A59)</f>
        <v>6</v>
      </c>
      <c r="DY59">
        <f>SUMIFS(DataRegularSeason20242025!$AA$3:$AA$1315,DataRegularSeason20242025!$B$3:$B$1315, "&lt;=" &amp; DY$1, DataRegularSeason20242025!$D$3:$D$1315, $A59)+SUMIFS(DataRegularSeason20242025!$AB$3:$AB$1315,DataRegularSeason20242025!$B$3:$B$1315, "&lt;=" &amp; DY$1, DataRegularSeason20242025!$E$3:$E$1315, $A59)</f>
        <v>6</v>
      </c>
      <c r="DZ59">
        <f>SUMIFS(DataRegularSeason20242025!$AA$3:$AA$1315,DataRegularSeason20242025!$B$3:$B$1315, "&lt;=" &amp; DZ$1, DataRegularSeason20242025!$D$3:$D$1315, $A59)+SUMIFS(DataRegularSeason20242025!$AB$3:$AB$1315,DataRegularSeason20242025!$B$3:$B$1315, "&lt;=" &amp; DZ$1, DataRegularSeason20242025!$E$3:$E$1315, $A59)</f>
        <v>6</v>
      </c>
      <c r="EA59">
        <f>SUMIFS(DataRegularSeason20242025!$AA$3:$AA$1315,DataRegularSeason20242025!$B$3:$B$1315, "&lt;=" &amp; EA$1, DataRegularSeason20242025!$D$3:$D$1315, $A59)+SUMIFS(DataRegularSeason20242025!$AB$3:$AB$1315,DataRegularSeason20242025!$B$3:$B$1315, "&lt;=" &amp; EA$1, DataRegularSeason20242025!$E$3:$E$1315, $A59)</f>
        <v>6</v>
      </c>
      <c r="EB59">
        <f>SUMIFS(DataRegularSeason20242025!$AA$3:$AA$1315,DataRegularSeason20242025!$B$3:$B$1315, "&lt;=" &amp; EB$1, DataRegularSeason20242025!$D$3:$D$1315, $A59)+SUMIFS(DataRegularSeason20242025!$AB$3:$AB$1315,DataRegularSeason20242025!$B$3:$B$1315, "&lt;=" &amp; EB$1, DataRegularSeason20242025!$E$3:$E$1315, $A59)</f>
        <v>6</v>
      </c>
      <c r="EC59">
        <f>SUMIFS(DataRegularSeason20242025!$AA$3:$AA$1315,DataRegularSeason20242025!$B$3:$B$1315, "&lt;=" &amp; EC$1, DataRegularSeason20242025!$D$3:$D$1315, $A59)+SUMIFS(DataRegularSeason20242025!$AB$3:$AB$1315,DataRegularSeason20242025!$B$3:$B$1315, "&lt;=" &amp; EC$1, DataRegularSeason20242025!$E$3:$E$1315, $A59)</f>
        <v>6</v>
      </c>
      <c r="ED59">
        <f>SUMIFS(DataRegularSeason20242025!$AA$3:$AA$1315,DataRegularSeason20242025!$B$3:$B$1315, "&lt;=" &amp; ED$1, DataRegularSeason20242025!$D$3:$D$1315, $A59)+SUMIFS(DataRegularSeason20242025!$AB$3:$AB$1315,DataRegularSeason20242025!$B$3:$B$1315, "&lt;=" &amp; ED$1, DataRegularSeason20242025!$E$3:$E$1315, $A59)</f>
        <v>6</v>
      </c>
      <c r="EE59">
        <f>SUMIFS(DataRegularSeason20242025!$AA$3:$AA$1315,DataRegularSeason20242025!$B$3:$B$1315, "&lt;=" &amp; EE$1, DataRegularSeason20242025!$D$3:$D$1315, $A59)+SUMIFS(DataRegularSeason20242025!$AB$3:$AB$1315,DataRegularSeason20242025!$B$3:$B$1315, "&lt;=" &amp; EE$1, DataRegularSeason20242025!$E$3:$E$1315, $A59)</f>
        <v>6</v>
      </c>
      <c r="EF59">
        <f>SUMIFS(DataRegularSeason20242025!$AA$3:$AA$1315,DataRegularSeason20242025!$B$3:$B$1315, "&lt;=" &amp; EF$1, DataRegularSeason20242025!$D$3:$D$1315, $A59)+SUMIFS(DataRegularSeason20242025!$AB$3:$AB$1315,DataRegularSeason20242025!$B$3:$B$1315, "&lt;=" &amp; EF$1, DataRegularSeason20242025!$E$3:$E$1315, $A59)</f>
        <v>6</v>
      </c>
      <c r="EG59">
        <f>SUMIFS(DataRegularSeason20242025!$AA$3:$AA$1315,DataRegularSeason20242025!$B$3:$B$1315, "&lt;=" &amp; EG$1, DataRegularSeason20242025!$D$3:$D$1315, $A59)+SUMIFS(DataRegularSeason20242025!$AB$3:$AB$1315,DataRegularSeason20242025!$B$3:$B$1315, "&lt;=" &amp; EG$1, DataRegularSeason20242025!$E$3:$E$1315, $A59)</f>
        <v>6</v>
      </c>
      <c r="EH59">
        <f>SUMIFS(DataRegularSeason20242025!$AA$3:$AA$1315,DataRegularSeason20242025!$B$3:$B$1315, "&lt;=" &amp; EH$1, DataRegularSeason20242025!$D$3:$D$1315, $A59)+SUMIFS(DataRegularSeason20242025!$AB$3:$AB$1315,DataRegularSeason20242025!$B$3:$B$1315, "&lt;=" &amp; EH$1, DataRegularSeason20242025!$E$3:$E$1315, $A59)</f>
        <v>6</v>
      </c>
      <c r="EI59">
        <f>SUMIFS(DataRegularSeason20242025!$AA$3:$AA$1315,DataRegularSeason20242025!$B$3:$B$1315, "&lt;=" &amp; EI$1, DataRegularSeason20242025!$D$3:$D$1315, $A59)+SUMIFS(DataRegularSeason20242025!$AB$3:$AB$1315,DataRegularSeason20242025!$B$3:$B$1315, "&lt;=" &amp; EI$1, DataRegularSeason20242025!$E$3:$E$1315, $A59)</f>
        <v>6</v>
      </c>
      <c r="EJ59">
        <f>SUMIFS(DataRegularSeason20242025!$AA$3:$AA$1315,DataRegularSeason20242025!$B$3:$B$1315, "&lt;=" &amp; EJ$1, DataRegularSeason20242025!$D$3:$D$1315, $A59)+SUMIFS(DataRegularSeason20242025!$AB$3:$AB$1315,DataRegularSeason20242025!$B$3:$B$1315, "&lt;=" &amp; EJ$1, DataRegularSeason20242025!$E$3:$E$1315, $A59)</f>
        <v>6</v>
      </c>
      <c r="EK59">
        <f>SUMIFS(DataRegularSeason20242025!$AA$3:$AA$1315,DataRegularSeason20242025!$B$3:$B$1315, "&lt;=" &amp; EK$1, DataRegularSeason20242025!$D$3:$D$1315, $A59)+SUMIFS(DataRegularSeason20242025!$AB$3:$AB$1315,DataRegularSeason20242025!$B$3:$B$1315, "&lt;=" &amp; EK$1, DataRegularSeason20242025!$E$3:$E$1315, $A59)</f>
        <v>6</v>
      </c>
      <c r="EL59">
        <f>SUMIFS(DataRegularSeason20242025!$AA$3:$AA$1315,DataRegularSeason20242025!$B$3:$B$1315, "&lt;=" &amp; EL$1, DataRegularSeason20242025!$D$3:$D$1315, $A59)+SUMIFS(DataRegularSeason20242025!$AB$3:$AB$1315,DataRegularSeason20242025!$B$3:$B$1315, "&lt;=" &amp; EL$1, DataRegularSeason20242025!$E$3:$E$1315, $A59)</f>
        <v>6</v>
      </c>
      <c r="EM59">
        <f>SUMIFS(DataRegularSeason20242025!$AA$3:$AA$1315,DataRegularSeason20242025!$B$3:$B$1315, "&lt;=" &amp; EM$1, DataRegularSeason20242025!$D$3:$D$1315, $A59)+SUMIFS(DataRegularSeason20242025!$AB$3:$AB$1315,DataRegularSeason20242025!$B$3:$B$1315, "&lt;=" &amp; EM$1, DataRegularSeason20242025!$E$3:$E$1315, $A59)</f>
        <v>6</v>
      </c>
      <c r="EN59">
        <f>SUMIFS(DataRegularSeason20242025!$AA$3:$AA$1315,DataRegularSeason20242025!$B$3:$B$1315, "&lt;=" &amp; EN$1, DataRegularSeason20242025!$D$3:$D$1315, $A59)+SUMIFS(DataRegularSeason20242025!$AB$3:$AB$1315,DataRegularSeason20242025!$B$3:$B$1315, "&lt;=" &amp; EN$1, DataRegularSeason20242025!$E$3:$E$1315, $A59)</f>
        <v>6</v>
      </c>
      <c r="EO59">
        <f>SUMIFS(DataRegularSeason20242025!$AA$3:$AA$1315,DataRegularSeason20242025!$B$3:$B$1315, "&lt;=" &amp; EO$1, DataRegularSeason20242025!$D$3:$D$1315, $A59)+SUMIFS(DataRegularSeason20242025!$AB$3:$AB$1315,DataRegularSeason20242025!$B$3:$B$1315, "&lt;=" &amp; EO$1, DataRegularSeason20242025!$E$3:$E$1315, $A59)</f>
        <v>6</v>
      </c>
      <c r="EP59">
        <f>SUMIFS(DataRegularSeason20242025!$AA$3:$AA$1315,DataRegularSeason20242025!$B$3:$B$1315, "&lt;=" &amp; EP$1, DataRegularSeason20242025!$D$3:$D$1315, $A59)+SUMIFS(DataRegularSeason20242025!$AB$3:$AB$1315,DataRegularSeason20242025!$B$3:$B$1315, "&lt;=" &amp; EP$1, DataRegularSeason20242025!$E$3:$E$1315, $A59)</f>
        <v>6</v>
      </c>
      <c r="EQ59">
        <f>SUMIFS(DataRegularSeason20242025!$AA$3:$AA$1315,DataRegularSeason20242025!$B$3:$B$1315, "&lt;=" &amp; EQ$1, DataRegularSeason20242025!$D$3:$D$1315, $A59)+SUMIFS(DataRegularSeason20242025!$AB$3:$AB$1315,DataRegularSeason20242025!$B$3:$B$1315, "&lt;=" &amp; EQ$1, DataRegularSeason20242025!$E$3:$E$1315, $A59)</f>
        <v>6</v>
      </c>
      <c r="ER59">
        <f>SUMIFS(DataRegularSeason20242025!$AA$3:$AA$1315,DataRegularSeason20242025!$B$3:$B$1315, "&lt;=" &amp; ER$1, DataRegularSeason20242025!$D$3:$D$1315, $A59)+SUMIFS(DataRegularSeason20242025!$AB$3:$AB$1315,DataRegularSeason20242025!$B$3:$B$1315, "&lt;=" &amp; ER$1, DataRegularSeason20242025!$E$3:$E$1315, $A59)</f>
        <v>6</v>
      </c>
      <c r="ES59">
        <f>SUMIFS(DataRegularSeason20242025!$AA$3:$AA$1315,DataRegularSeason20242025!$B$3:$B$1315, "&lt;=" &amp; ES$1, DataRegularSeason20242025!$D$3:$D$1315, $A59)+SUMIFS(DataRegularSeason20242025!$AB$3:$AB$1315,DataRegularSeason20242025!$B$3:$B$1315, "&lt;=" &amp; ES$1, DataRegularSeason20242025!$E$3:$E$1315, $A59)</f>
        <v>6</v>
      </c>
      <c r="ET59">
        <f>SUMIFS(DataRegularSeason20242025!$AA$3:$AA$1315,DataRegularSeason20242025!$B$3:$B$1315, "&lt;=" &amp; ET$1, DataRegularSeason20242025!$D$3:$D$1315, $A59)+SUMIFS(DataRegularSeason20242025!$AB$3:$AB$1315,DataRegularSeason20242025!$B$3:$B$1315, "&lt;=" &amp; ET$1, DataRegularSeason20242025!$E$3:$E$1315, $A59)</f>
        <v>6</v>
      </c>
      <c r="EU59">
        <f>SUMIFS(DataRegularSeason20242025!$AA$3:$AA$1315,DataRegularSeason20242025!$B$3:$B$1315, "&lt;=" &amp; EU$1, DataRegularSeason20242025!$D$3:$D$1315, $A59)+SUMIFS(DataRegularSeason20242025!$AB$3:$AB$1315,DataRegularSeason20242025!$B$3:$B$1315, "&lt;=" &amp; EU$1, DataRegularSeason20242025!$E$3:$E$1315, $A59)</f>
        <v>6</v>
      </c>
      <c r="EV59">
        <f>SUMIFS(DataRegularSeason20242025!$AA$3:$AA$1315,DataRegularSeason20242025!$B$3:$B$1315, "&lt;=" &amp; EV$1, DataRegularSeason20242025!$D$3:$D$1315, $A59)+SUMIFS(DataRegularSeason20242025!$AB$3:$AB$1315,DataRegularSeason20242025!$B$3:$B$1315, "&lt;=" &amp; EV$1, DataRegularSeason20242025!$E$3:$E$1315, $A59)</f>
        <v>6</v>
      </c>
      <c r="EW59">
        <f>SUMIFS(DataRegularSeason20242025!$AA$3:$AA$1315,DataRegularSeason20242025!$B$3:$B$1315, "&lt;=" &amp; EW$1, DataRegularSeason20242025!$D$3:$D$1315, $A59)+SUMIFS(DataRegularSeason20242025!$AB$3:$AB$1315,DataRegularSeason20242025!$B$3:$B$1315, "&lt;=" &amp; EW$1, DataRegularSeason20242025!$E$3:$E$1315, $A59)</f>
        <v>6</v>
      </c>
      <c r="EX59">
        <f>SUMIFS(DataRegularSeason20242025!$AA$3:$AA$1315,DataRegularSeason20242025!$B$3:$B$1315, "&lt;=" &amp; EX$1, DataRegularSeason20242025!$D$3:$D$1315, $A59)+SUMIFS(DataRegularSeason20242025!$AB$3:$AB$1315,DataRegularSeason20242025!$B$3:$B$1315, "&lt;=" &amp; EX$1, DataRegularSeason20242025!$E$3:$E$1315, $A59)</f>
        <v>6</v>
      </c>
      <c r="EY59">
        <f>SUMIFS(DataRegularSeason20242025!$AA$3:$AA$1315,DataRegularSeason20242025!$B$3:$B$1315, "&lt;=" &amp; EY$1, DataRegularSeason20242025!$D$3:$D$1315, $A59)+SUMIFS(DataRegularSeason20242025!$AB$3:$AB$1315,DataRegularSeason20242025!$B$3:$B$1315, "&lt;=" &amp; EY$1, DataRegularSeason20242025!$E$3:$E$1315, $A59)</f>
        <v>6</v>
      </c>
      <c r="EZ59">
        <f>SUMIFS(DataRegularSeason20242025!$AA$3:$AA$1315,DataRegularSeason20242025!$B$3:$B$1315, "&lt;=" &amp; EZ$1, DataRegularSeason20242025!$D$3:$D$1315, $A59)+SUMIFS(DataRegularSeason20242025!$AB$3:$AB$1315,DataRegularSeason20242025!$B$3:$B$1315, "&lt;=" &amp; EZ$1, DataRegularSeason20242025!$E$3:$E$1315, $A59)</f>
        <v>6</v>
      </c>
      <c r="FA59">
        <f>SUMIFS(DataRegularSeason20242025!$AA$3:$AA$1315,DataRegularSeason20242025!$B$3:$B$1315, "&lt;=" &amp; FA$1, DataRegularSeason20242025!$D$3:$D$1315, $A59)+SUMIFS(DataRegularSeason20242025!$AB$3:$AB$1315,DataRegularSeason20242025!$B$3:$B$1315, "&lt;=" &amp; FA$1, DataRegularSeason20242025!$E$3:$E$1315, $A59)</f>
        <v>6</v>
      </c>
      <c r="FB59">
        <f>SUMIFS(DataRegularSeason20242025!$AA$3:$AA$1315,DataRegularSeason20242025!$B$3:$B$1315, "&lt;=" &amp; FB$1, DataRegularSeason20242025!$D$3:$D$1315, $A59)+SUMIFS(DataRegularSeason20242025!$AB$3:$AB$1315,DataRegularSeason20242025!$B$3:$B$1315, "&lt;=" &amp; FB$1, DataRegularSeason20242025!$E$3:$E$1315, $A59)</f>
        <v>6</v>
      </c>
      <c r="FC59">
        <f>SUMIFS(DataRegularSeason20242025!$AA$3:$AA$1315,DataRegularSeason20242025!$B$3:$B$1315, "&lt;=" &amp; FC$1, DataRegularSeason20242025!$D$3:$D$1315, $A59)+SUMIFS(DataRegularSeason20242025!$AB$3:$AB$1315,DataRegularSeason20242025!$B$3:$B$1315, "&lt;=" &amp; FC$1, DataRegularSeason20242025!$E$3:$E$1315, $A59)</f>
        <v>6</v>
      </c>
      <c r="FD59">
        <f>SUMIFS(DataRegularSeason20242025!$AA$3:$AA$1315,DataRegularSeason20242025!$B$3:$B$1315, "&lt;=" &amp; FD$1, DataRegularSeason20242025!$D$3:$D$1315, $A59)+SUMIFS(DataRegularSeason20242025!$AB$3:$AB$1315,DataRegularSeason20242025!$B$3:$B$1315, "&lt;=" &amp; FD$1, DataRegularSeason20242025!$E$3:$E$1315, $A59)</f>
        <v>6</v>
      </c>
      <c r="FE59">
        <f>SUMIFS(DataRegularSeason20242025!$AA$3:$AA$1315,DataRegularSeason20242025!$B$3:$B$1315, "&lt;=" &amp; FE$1, DataRegularSeason20242025!$D$3:$D$1315, $A59)+SUMIFS(DataRegularSeason20242025!$AB$3:$AB$1315,DataRegularSeason20242025!$B$3:$B$1315, "&lt;=" &amp; FE$1, DataRegularSeason20242025!$E$3:$E$1315, $A59)</f>
        <v>6</v>
      </c>
      <c r="FF59">
        <f>SUMIFS(DataRegularSeason20242025!$AA$3:$AA$1315,DataRegularSeason20242025!$B$3:$B$1315, "&lt;=" &amp; FF$1, DataRegularSeason20242025!$D$3:$D$1315, $A59)+SUMIFS(DataRegularSeason20242025!$AB$3:$AB$1315,DataRegularSeason20242025!$B$3:$B$1315, "&lt;=" &amp; FF$1, DataRegularSeason20242025!$E$3:$E$1315, $A59)</f>
        <v>6</v>
      </c>
      <c r="FG59">
        <f>SUMIFS(DataRegularSeason20242025!$AA$3:$AA$1315,DataRegularSeason20242025!$B$3:$B$1315, "&lt;=" &amp; FG$1, DataRegularSeason20242025!$D$3:$D$1315, $A59)+SUMIFS(DataRegularSeason20242025!$AB$3:$AB$1315,DataRegularSeason20242025!$B$3:$B$1315, "&lt;=" &amp; FG$1, DataRegularSeason20242025!$E$3:$E$1315, $A59)</f>
        <v>6</v>
      </c>
      <c r="FH59">
        <f>SUMIFS(DataRegularSeason20242025!$AA$3:$AA$1315,DataRegularSeason20242025!$B$3:$B$1315, "&lt;=" &amp; FH$1, DataRegularSeason20242025!$D$3:$D$1315, $A59)+SUMIFS(DataRegularSeason20242025!$AB$3:$AB$1315,DataRegularSeason20242025!$B$3:$B$1315, "&lt;=" &amp; FH$1, DataRegularSeason20242025!$E$3:$E$1315, $A59)</f>
        <v>6</v>
      </c>
      <c r="FI59">
        <f>SUMIFS(DataRegularSeason20242025!$AA$3:$AA$1315,DataRegularSeason20242025!$B$3:$B$1315, "&lt;=" &amp; FI$1, DataRegularSeason20242025!$D$3:$D$1315, $A59)+SUMIFS(DataRegularSeason20242025!$AB$3:$AB$1315,DataRegularSeason20242025!$B$3:$B$1315, "&lt;=" &amp; FI$1, DataRegularSeason20242025!$E$3:$E$1315, $A59)</f>
        <v>6</v>
      </c>
      <c r="FJ59">
        <f>SUMIFS(DataRegularSeason20242025!$AA$3:$AA$1315,DataRegularSeason20242025!$B$3:$B$1315, "&lt;=" &amp; FJ$1, DataRegularSeason20242025!$D$3:$D$1315, $A59)+SUMIFS(DataRegularSeason20242025!$AB$3:$AB$1315,DataRegularSeason20242025!$B$3:$B$1315, "&lt;=" &amp; FJ$1, DataRegularSeason20242025!$E$3:$E$1315, $A59)</f>
        <v>6</v>
      </c>
      <c r="FK59">
        <f>SUMIFS(DataRegularSeason20242025!$AA$3:$AA$1315,DataRegularSeason20242025!$B$3:$B$1315, "&lt;=" &amp; FK$1, DataRegularSeason20242025!$D$3:$D$1315, $A59)+SUMIFS(DataRegularSeason20242025!$AB$3:$AB$1315,DataRegularSeason20242025!$B$3:$B$1315, "&lt;=" &amp; FK$1, DataRegularSeason20242025!$E$3:$E$1315, $A59)</f>
        <v>6</v>
      </c>
      <c r="FL59">
        <f>SUMIFS(DataRegularSeason20242025!$AA$3:$AA$1315,DataRegularSeason20242025!$B$3:$B$1315, "&lt;=" &amp; FL$1, DataRegularSeason20242025!$D$3:$D$1315, $A59)+SUMIFS(DataRegularSeason20242025!$AB$3:$AB$1315,DataRegularSeason20242025!$B$3:$B$1315, "&lt;=" &amp; FL$1, DataRegularSeason20242025!$E$3:$E$1315, $A59)</f>
        <v>6</v>
      </c>
      <c r="FM59">
        <f>SUMIFS(DataRegularSeason20242025!$AA$3:$AA$1315,DataRegularSeason20242025!$B$3:$B$1315, "&lt;=" &amp; FM$1, DataRegularSeason20242025!$D$3:$D$1315, $A59)+SUMIFS(DataRegularSeason20242025!$AB$3:$AB$1315,DataRegularSeason20242025!$B$3:$B$1315, "&lt;=" &amp; FM$1, DataRegularSeason20242025!$E$3:$E$1315, $A59)</f>
        <v>6</v>
      </c>
      <c r="FN59">
        <f>SUMIFS(DataRegularSeason20242025!$AA$3:$AA$1315,DataRegularSeason20242025!$B$3:$B$1315, "&lt;=" &amp; FN$1, DataRegularSeason20242025!$D$3:$D$1315, $A59)+SUMIFS(DataRegularSeason20242025!$AB$3:$AB$1315,DataRegularSeason20242025!$B$3:$B$1315, "&lt;=" &amp; FN$1, DataRegularSeason20242025!$E$3:$E$1315, $A59)</f>
        <v>6</v>
      </c>
      <c r="FO59">
        <f>SUMIFS(DataRegularSeason20242025!$AA$3:$AA$1315,DataRegularSeason20242025!$B$3:$B$1315, "&lt;=" &amp; FO$1, DataRegularSeason20242025!$D$3:$D$1315, $A59)+SUMIFS(DataRegularSeason20242025!$AB$3:$AB$1315,DataRegularSeason20242025!$B$3:$B$1315, "&lt;=" &amp; FO$1, DataRegularSeason20242025!$E$3:$E$1315, $A59)</f>
        <v>6</v>
      </c>
      <c r="FP59">
        <f>SUMIFS(DataRegularSeason20242025!$AA$3:$AA$1315,DataRegularSeason20242025!$B$3:$B$1315, "&lt;=" &amp; FP$1, DataRegularSeason20242025!$D$3:$D$1315, $A59)+SUMIFS(DataRegularSeason20242025!$AB$3:$AB$1315,DataRegularSeason20242025!$B$3:$B$1315, "&lt;=" &amp; FP$1, DataRegularSeason20242025!$E$3:$E$1315, $A59)</f>
        <v>6</v>
      </c>
      <c r="FQ59">
        <f>SUMIFS(DataRegularSeason20242025!$AA$3:$AA$1315,DataRegularSeason20242025!$B$3:$B$1315, "&lt;=" &amp; FQ$1, DataRegularSeason20242025!$D$3:$D$1315, $A59)+SUMIFS(DataRegularSeason20242025!$AB$3:$AB$1315,DataRegularSeason20242025!$B$3:$B$1315, "&lt;=" &amp; FQ$1, DataRegularSeason20242025!$E$3:$E$1315, $A59)</f>
        <v>6</v>
      </c>
      <c r="FR59">
        <f>SUMIFS(DataRegularSeason20242025!$AA$3:$AA$1315,DataRegularSeason20242025!$B$3:$B$1315, "&lt;=" &amp; FR$1, DataRegularSeason20242025!$D$3:$D$1315, $A59)+SUMIFS(DataRegularSeason20242025!$AB$3:$AB$1315,DataRegularSeason20242025!$B$3:$B$1315, "&lt;=" &amp; FR$1, DataRegularSeason20242025!$E$3:$E$1315, $A59)</f>
        <v>6</v>
      </c>
      <c r="FS59">
        <f>SUMIFS(DataRegularSeason20242025!$AA$3:$AA$1315,DataRegularSeason20242025!$B$3:$B$1315, "&lt;=" &amp; FS$1, DataRegularSeason20242025!$D$3:$D$1315, $A59)+SUMIFS(DataRegularSeason20242025!$AB$3:$AB$1315,DataRegularSeason20242025!$B$3:$B$1315, "&lt;=" &amp; FS$1, DataRegularSeason20242025!$E$3:$E$1315, $A59)</f>
        <v>6</v>
      </c>
      <c r="FT59">
        <f>SUMIFS(DataRegularSeason20242025!$AA$3:$AA$1315,DataRegularSeason20242025!$B$3:$B$1315, "&lt;=" &amp; FT$1, DataRegularSeason20242025!$D$3:$D$1315, $A59)+SUMIFS(DataRegularSeason20242025!$AB$3:$AB$1315,DataRegularSeason20242025!$B$3:$B$1315, "&lt;=" &amp; FT$1, DataRegularSeason20242025!$E$3:$E$1315, $A59)</f>
        <v>6</v>
      </c>
      <c r="FU59">
        <f>SUMIFS(DataRegularSeason20242025!$AA$3:$AA$1315,DataRegularSeason20242025!$B$3:$B$1315, "&lt;=" &amp; FU$1, DataRegularSeason20242025!$D$3:$D$1315, $A59)+SUMIFS(DataRegularSeason20242025!$AB$3:$AB$1315,DataRegularSeason20242025!$B$3:$B$1315, "&lt;=" &amp; FU$1, DataRegularSeason20242025!$E$3:$E$1315, $A59)</f>
        <v>6</v>
      </c>
      <c r="FV59">
        <f>SUMIFS(DataRegularSeason20242025!$AA$3:$AA$1315,DataRegularSeason20242025!$B$3:$B$1315, "&lt;=" &amp; FV$1, DataRegularSeason20242025!$D$3:$D$1315, $A59)+SUMIFS(DataRegularSeason20242025!$AB$3:$AB$1315,DataRegularSeason20242025!$B$3:$B$1315, "&lt;=" &amp; FV$1, DataRegularSeason20242025!$E$3:$E$1315, $A59)</f>
        <v>6</v>
      </c>
      <c r="FW59">
        <f>SUMIFS(DataRegularSeason20242025!$AA$3:$AA$1315,DataRegularSeason20242025!$B$3:$B$1315, "&lt;=" &amp; FW$1, DataRegularSeason20242025!$D$3:$D$1315, $A59)+SUMIFS(DataRegularSeason20242025!$AB$3:$AB$1315,DataRegularSeason20242025!$B$3:$B$1315, "&lt;=" &amp; FW$1, DataRegularSeason20242025!$E$3:$E$1315, $A59)</f>
        <v>6</v>
      </c>
      <c r="FX59">
        <f>SUMIFS(DataRegularSeason20242025!$AA$3:$AA$1315,DataRegularSeason20242025!$B$3:$B$1315, "&lt;=" &amp; FX$1, DataRegularSeason20242025!$D$3:$D$1315, $A59)+SUMIFS(DataRegularSeason20242025!$AB$3:$AB$1315,DataRegularSeason20242025!$B$3:$B$1315, "&lt;=" &amp; FX$1, DataRegularSeason20242025!$E$3:$E$1315, $A59)</f>
        <v>6</v>
      </c>
      <c r="FY59">
        <f>SUMIFS(DataRegularSeason20242025!$AA$3:$AA$1315,DataRegularSeason20242025!$B$3:$B$1315, "&lt;=" &amp; FY$1, DataRegularSeason20242025!$D$3:$D$1315, $A59)+SUMIFS(DataRegularSeason20242025!$AB$3:$AB$1315,DataRegularSeason20242025!$B$3:$B$1315, "&lt;=" &amp; FY$1, DataRegularSeason20242025!$E$3:$E$1315, $A59)</f>
        <v>6</v>
      </c>
      <c r="FZ59">
        <f>SUMIFS(DataRegularSeason20242025!$AA$3:$AA$1315,DataRegularSeason20242025!$B$3:$B$1315, "&lt;=" &amp; FZ$1, DataRegularSeason20242025!$D$3:$D$1315, $A59)+SUMIFS(DataRegularSeason20242025!$AB$3:$AB$1315,DataRegularSeason20242025!$B$3:$B$1315, "&lt;=" &amp; FZ$1, DataRegularSeason20242025!$E$3:$E$1315, $A59)</f>
        <v>6</v>
      </c>
      <c r="GA59">
        <f>SUMIFS(DataRegularSeason20242025!$AA$3:$AA$1315,DataRegularSeason20242025!$B$3:$B$1315, "&lt;=" &amp; GA$1, DataRegularSeason20242025!$D$3:$D$1315, $A59)+SUMIFS(DataRegularSeason20242025!$AB$3:$AB$1315,DataRegularSeason20242025!$B$3:$B$1315, "&lt;=" &amp; GA$1, DataRegularSeason20242025!$E$3:$E$1315, $A59)</f>
        <v>6</v>
      </c>
      <c r="GB59">
        <f>SUMIFS(DataRegularSeason20242025!$AA$3:$AA$1315,DataRegularSeason20242025!$B$3:$B$1315, "&lt;=" &amp; GB$1, DataRegularSeason20242025!$D$3:$D$1315, $A59)+SUMIFS(DataRegularSeason20242025!$AB$3:$AB$1315,DataRegularSeason20242025!$B$3:$B$1315, "&lt;=" &amp; GB$1, DataRegularSeason20242025!$E$3:$E$1315, $A59)</f>
        <v>6</v>
      </c>
      <c r="GC59">
        <f>SUMIFS(DataRegularSeason20242025!$AA$3:$AA$1315,DataRegularSeason20242025!$B$3:$B$1315, "&lt;=" &amp; GC$1, DataRegularSeason20242025!$D$3:$D$1315, $A59)+SUMIFS(DataRegularSeason20242025!$AB$3:$AB$1315,DataRegularSeason20242025!$B$3:$B$1315, "&lt;=" &amp; GC$1, DataRegularSeason20242025!$E$3:$E$1315, $A59)</f>
        <v>6</v>
      </c>
      <c r="GD59">
        <f>SUMIFS(DataRegularSeason20242025!$AA$3:$AA$1315,DataRegularSeason20242025!$B$3:$B$1315, "&lt;=" &amp; GD$1, DataRegularSeason20242025!$D$3:$D$1315, $A59)+SUMIFS(DataRegularSeason20242025!$AB$3:$AB$1315,DataRegularSeason20242025!$B$3:$B$1315, "&lt;=" &amp; GD$1, DataRegularSeason20242025!$E$3:$E$1315, $A59)</f>
        <v>6</v>
      </c>
      <c r="GE59">
        <f>SUMIFS(DataRegularSeason20242025!$AA$3:$AA$1315,DataRegularSeason20242025!$B$3:$B$1315, "&lt;=" &amp; GE$1, DataRegularSeason20242025!$D$3:$D$1315, $A59)+SUMIFS(DataRegularSeason20242025!$AB$3:$AB$1315,DataRegularSeason20242025!$B$3:$B$1315, "&lt;=" &amp; GE$1, DataRegularSeason20242025!$E$3:$E$1315, $A59)</f>
        <v>6</v>
      </c>
      <c r="GF59">
        <f>SUMIFS(DataRegularSeason20242025!$AA$3:$AA$1315,DataRegularSeason20242025!$B$3:$B$1315, "&lt;=" &amp; GF$1, DataRegularSeason20242025!$D$3:$D$1315, $A59)+SUMIFS(DataRegularSeason20242025!$AB$3:$AB$1315,DataRegularSeason20242025!$B$3:$B$1315, "&lt;=" &amp; GF$1, DataRegularSeason20242025!$E$3:$E$1315, $A59)</f>
        <v>6</v>
      </c>
      <c r="GG59">
        <f>SUMIFS(DataRegularSeason20242025!$AA$3:$AA$1315,DataRegularSeason20242025!$B$3:$B$1315, "&lt;=" &amp; GG$1, DataRegularSeason20242025!$D$3:$D$1315, $A59)+SUMIFS(DataRegularSeason20242025!$AB$3:$AB$1315,DataRegularSeason20242025!$B$3:$B$1315, "&lt;=" &amp; GG$1, DataRegularSeason20242025!$E$3:$E$1315, $A59)</f>
        <v>6</v>
      </c>
      <c r="GH59">
        <f>SUMIFS(DataRegularSeason20242025!$AA$3:$AA$1315,DataRegularSeason20242025!$B$3:$B$1315, "&lt;=" &amp; GH$1, DataRegularSeason20242025!$D$3:$D$1315, $A59)+SUMIFS(DataRegularSeason20242025!$AB$3:$AB$1315,DataRegularSeason20242025!$B$3:$B$1315, "&lt;=" &amp; GH$1, DataRegularSeason20242025!$E$3:$E$1315, $A59)</f>
        <v>6</v>
      </c>
      <c r="GI59">
        <f>SUMIFS(DataRegularSeason20242025!$AA$3:$AA$1315,DataRegularSeason20242025!$B$3:$B$1315, "&lt;=" &amp; GI$1, DataRegularSeason20242025!$D$3:$D$1315, $A59)+SUMIFS(DataRegularSeason20242025!$AB$3:$AB$1315,DataRegularSeason20242025!$B$3:$B$1315, "&lt;=" &amp; GI$1, DataRegularSeason20242025!$E$3:$E$1315, $A59)</f>
        <v>6</v>
      </c>
      <c r="GJ59">
        <f>SUMIFS(DataRegularSeason20242025!$AA$3:$AA$1315,DataRegularSeason20242025!$B$3:$B$1315, "&lt;=" &amp; GJ$1, DataRegularSeason20242025!$D$3:$D$1315, $A59)+SUMIFS(DataRegularSeason20242025!$AB$3:$AB$1315,DataRegularSeason20242025!$B$3:$B$1315, "&lt;=" &amp; GJ$1, DataRegularSeason20242025!$E$3:$E$1315, $A59)</f>
        <v>6</v>
      </c>
      <c r="GK59">
        <f>SUMIFS(DataRegularSeason20242025!$AA$3:$AA$1315,DataRegularSeason20242025!$B$3:$B$1315, "&lt;=" &amp; GK$1, DataRegularSeason20242025!$D$3:$D$1315, $A59)+SUMIFS(DataRegularSeason20242025!$AB$3:$AB$1315,DataRegularSeason20242025!$B$3:$B$1315, "&lt;=" &amp; GK$1, DataRegularSeason20242025!$E$3:$E$1315, $A59)</f>
        <v>6</v>
      </c>
      <c r="GL59">
        <f>SUMIFS(DataRegularSeason20242025!$AA$3:$AA$1315,DataRegularSeason20242025!$B$3:$B$1315, "&lt;=" &amp; GL$1, DataRegularSeason20242025!$D$3:$D$1315, $A59)+SUMIFS(DataRegularSeason20242025!$AB$3:$AB$1315,DataRegularSeason20242025!$B$3:$B$1315, "&lt;=" &amp; GL$1, DataRegularSeason20242025!$E$3:$E$1315, $A59)</f>
        <v>6</v>
      </c>
      <c r="GM59">
        <f>SUMIFS(DataRegularSeason20242025!$AA$3:$AA$1315,DataRegularSeason20242025!$B$3:$B$1315, "&lt;=" &amp; GM$1, DataRegularSeason20242025!$D$3:$D$1315, $A59)+SUMIFS(DataRegularSeason20242025!$AB$3:$AB$1315,DataRegularSeason20242025!$B$3:$B$1315, "&lt;=" &amp; GM$1, DataRegularSeason20242025!$E$3:$E$1315, $A59)</f>
        <v>6</v>
      </c>
      <c r="GN59">
        <f>SUMIFS(DataRegularSeason20242025!$AA$3:$AA$1315,DataRegularSeason20242025!$B$3:$B$1315, "&lt;=" &amp; GN$1, DataRegularSeason20242025!$D$3:$D$1315, $A59)+SUMIFS(DataRegularSeason20242025!$AB$3:$AB$1315,DataRegularSeason20242025!$B$3:$B$1315, "&lt;=" &amp; GN$1, DataRegularSeason20242025!$E$3:$E$1315, $A59)</f>
        <v>6</v>
      </c>
      <c r="GO59">
        <f>SUMIFS(DataRegularSeason20242025!$AA$3:$AA$1315,DataRegularSeason20242025!$B$3:$B$1315, "&lt;=" &amp; GO$1, DataRegularSeason20242025!$D$3:$D$1315, $A59)+SUMIFS(DataRegularSeason20242025!$AB$3:$AB$1315,DataRegularSeason20242025!$B$3:$B$1315, "&lt;=" &amp; GO$1, DataRegularSeason20242025!$E$3:$E$1315, $A59)</f>
        <v>6</v>
      </c>
      <c r="GP59">
        <f>SUMIFS(DataRegularSeason20242025!$AA$3:$AA$1315,DataRegularSeason20242025!$B$3:$B$1315, "&lt;=" &amp; GP$1, DataRegularSeason20242025!$D$3:$D$1315, $A59)+SUMIFS(DataRegularSeason20242025!$AB$3:$AB$1315,DataRegularSeason20242025!$B$3:$B$1315, "&lt;=" &amp; GP$1, DataRegularSeason20242025!$E$3:$E$1315, $A59)</f>
        <v>6</v>
      </c>
      <c r="GQ59">
        <f>SUMIFS(DataRegularSeason20242025!$AA$3:$AA$1315,DataRegularSeason20242025!$B$3:$B$1315, "&lt;=" &amp; GQ$1, DataRegularSeason20242025!$D$3:$D$1315, $A59)+SUMIFS(DataRegularSeason20242025!$AB$3:$AB$1315,DataRegularSeason20242025!$B$3:$B$1315, "&lt;=" &amp; GQ$1, DataRegularSeason20242025!$E$3:$E$1315, $A59)</f>
        <v>6</v>
      </c>
      <c r="GR59">
        <f>SUMIFS(DataRegularSeason20242025!$AA$3:$AA$1315,DataRegularSeason20242025!$B$3:$B$1315, "&lt;=" &amp; GR$1, DataRegularSeason20242025!$D$3:$D$1315, $A59)+SUMIFS(DataRegularSeason20242025!$AB$3:$AB$1315,DataRegularSeason20242025!$B$3:$B$1315, "&lt;=" &amp; GR$1, DataRegularSeason20242025!$E$3:$E$1315, $A59)</f>
        <v>6</v>
      </c>
      <c r="GS59">
        <f>SUMIFS(DataRegularSeason20242025!$AA$3:$AA$1315,DataRegularSeason20242025!$B$3:$B$1315, "&lt;=" &amp; GS$1, DataRegularSeason20242025!$D$3:$D$1315, $A59)+SUMIFS(DataRegularSeason20242025!$AB$3:$AB$1315,DataRegularSeason20242025!$B$3:$B$1315, "&lt;=" &amp; GS$1, DataRegularSeason20242025!$E$3:$E$1315, $A59)</f>
        <v>6</v>
      </c>
      <c r="GT59">
        <f>SUMIFS(DataRegularSeason20242025!$AA$3:$AA$1315,DataRegularSeason20242025!$B$3:$B$1315, "&lt;=" &amp; GT$1, DataRegularSeason20242025!$D$3:$D$1315, $A59)+SUMIFS(DataRegularSeason20242025!$AB$3:$AB$1315,DataRegularSeason20242025!$B$3:$B$1315, "&lt;=" &amp; GT$1, DataRegularSeason20242025!$E$3:$E$1315, $A59)</f>
        <v>6</v>
      </c>
      <c r="GU59">
        <f>SUMIFS(DataRegularSeason20242025!$AA$3:$AA$1315,DataRegularSeason20242025!$B$3:$B$1315, "&lt;=" &amp; GU$1, DataRegularSeason20242025!$D$3:$D$1315, $A59)+SUMIFS(DataRegularSeason20242025!$AB$3:$AB$1315,DataRegularSeason20242025!$B$3:$B$1315, "&lt;=" &amp; GU$1, DataRegularSeason20242025!$E$3:$E$1315, $A59)</f>
        <v>6</v>
      </c>
    </row>
    <row r="60" spans="1:203" x14ac:dyDescent="0.25">
      <c r="A60" t="s">
        <v>16</v>
      </c>
      <c r="B60" t="s">
        <v>90</v>
      </c>
      <c r="C60" t="s">
        <v>88</v>
      </c>
      <c r="D60">
        <f>SUMIFS(DataRegularSeason20242025!$AA$3:$AA$1315,DataRegularSeason20242025!$B$3:$B$1315, "&lt;=" &amp; D$1, DataRegularSeason20242025!$D$3:$D$1315, $A60)+SUMIFS(DataRegularSeason20242025!$AB$3:$AB$1315,DataRegularSeason20242025!$B$3:$B$1315, "&lt;=" &amp; D$1, DataRegularSeason20242025!$E$3:$E$1315, $A60)</f>
        <v>0</v>
      </c>
      <c r="E60">
        <f>SUMIFS(DataRegularSeason20242025!$AA$3:$AA$1315,DataRegularSeason20242025!$B$3:$B$1315, "&lt;=" &amp; E$1, DataRegularSeason20242025!$D$3:$D$1315, $A60)+SUMIFS(DataRegularSeason20242025!$AB$3:$AB$1315,DataRegularSeason20242025!$B$3:$B$1315, "&lt;=" &amp; E$1, DataRegularSeason20242025!$E$3:$E$1315, $A60)</f>
        <v>0</v>
      </c>
      <c r="F60">
        <f>SUMIFS(DataRegularSeason20242025!$AA$3:$AA$1315,DataRegularSeason20242025!$B$3:$B$1315, "&lt;=" &amp; F$1, DataRegularSeason20242025!$D$3:$D$1315, $A60)+SUMIFS(DataRegularSeason20242025!$AB$3:$AB$1315,DataRegularSeason20242025!$B$3:$B$1315, "&lt;=" &amp; F$1, DataRegularSeason20242025!$E$3:$E$1315, $A60)</f>
        <v>0</v>
      </c>
      <c r="G60">
        <f>SUMIFS(DataRegularSeason20242025!$AA$3:$AA$1315,DataRegularSeason20242025!$B$3:$B$1315, "&lt;=" &amp; G$1, DataRegularSeason20242025!$D$3:$D$1315, $A60)+SUMIFS(DataRegularSeason20242025!$AB$3:$AB$1315,DataRegularSeason20242025!$B$3:$B$1315, "&lt;=" &amp; G$1, DataRegularSeason20242025!$E$3:$E$1315, $A60)</f>
        <v>0</v>
      </c>
      <c r="H60">
        <f>SUMIFS(DataRegularSeason20242025!$AA$3:$AA$1315,DataRegularSeason20242025!$B$3:$B$1315, "&lt;=" &amp; H$1, DataRegularSeason20242025!$D$3:$D$1315, $A60)+SUMIFS(DataRegularSeason20242025!$AB$3:$AB$1315,DataRegularSeason20242025!$B$3:$B$1315, "&lt;=" &amp; H$1, DataRegularSeason20242025!$E$3:$E$1315, $A60)</f>
        <v>0</v>
      </c>
      <c r="I60">
        <f>SUMIFS(DataRegularSeason20242025!$AA$3:$AA$1315,DataRegularSeason20242025!$B$3:$B$1315, "&lt;=" &amp; I$1, DataRegularSeason20242025!$D$3:$D$1315, $A60)+SUMIFS(DataRegularSeason20242025!$AB$3:$AB$1315,DataRegularSeason20242025!$B$3:$B$1315, "&lt;=" &amp; I$1, DataRegularSeason20242025!$E$3:$E$1315, $A60)</f>
        <v>0</v>
      </c>
      <c r="J60">
        <f>SUMIFS(DataRegularSeason20242025!$AA$3:$AA$1315,DataRegularSeason20242025!$B$3:$B$1315, "&lt;=" &amp; J$1, DataRegularSeason20242025!$D$3:$D$1315, $A60)+SUMIFS(DataRegularSeason20242025!$AB$3:$AB$1315,DataRegularSeason20242025!$B$3:$B$1315, "&lt;=" &amp; J$1, DataRegularSeason20242025!$E$3:$E$1315, $A60)</f>
        <v>1</v>
      </c>
      <c r="K60">
        <f>SUMIFS(DataRegularSeason20242025!$AA$3:$AA$1315,DataRegularSeason20242025!$B$3:$B$1315, "&lt;=" &amp; K$1, DataRegularSeason20242025!$D$3:$D$1315, $A60)+SUMIFS(DataRegularSeason20242025!$AB$3:$AB$1315,DataRegularSeason20242025!$B$3:$B$1315, "&lt;=" &amp; K$1, DataRegularSeason20242025!$E$3:$E$1315, $A60)</f>
        <v>1</v>
      </c>
      <c r="L60">
        <f>SUMIFS(DataRegularSeason20242025!$AA$3:$AA$1315,DataRegularSeason20242025!$B$3:$B$1315, "&lt;=" &amp; L$1, DataRegularSeason20242025!$D$3:$D$1315, $A60)+SUMIFS(DataRegularSeason20242025!$AB$3:$AB$1315,DataRegularSeason20242025!$B$3:$B$1315, "&lt;=" &amp; L$1, DataRegularSeason20242025!$E$3:$E$1315, $A60)</f>
        <v>1</v>
      </c>
      <c r="M60">
        <f>SUMIFS(DataRegularSeason20242025!$AA$3:$AA$1315,DataRegularSeason20242025!$B$3:$B$1315, "&lt;=" &amp; M$1, DataRegularSeason20242025!$D$3:$D$1315, $A60)+SUMIFS(DataRegularSeason20242025!$AB$3:$AB$1315,DataRegularSeason20242025!$B$3:$B$1315, "&lt;=" &amp; M$1, DataRegularSeason20242025!$E$3:$E$1315, $A60)</f>
        <v>1</v>
      </c>
      <c r="N60">
        <f>SUMIFS(DataRegularSeason20242025!$AA$3:$AA$1315,DataRegularSeason20242025!$B$3:$B$1315, "&lt;=" &amp; N$1, DataRegularSeason20242025!$D$3:$D$1315, $A60)+SUMIFS(DataRegularSeason20242025!$AB$3:$AB$1315,DataRegularSeason20242025!$B$3:$B$1315, "&lt;=" &amp; N$1, DataRegularSeason20242025!$E$3:$E$1315, $A60)</f>
        <v>3</v>
      </c>
      <c r="O60">
        <f>SUMIFS(DataRegularSeason20242025!$AA$3:$AA$1315,DataRegularSeason20242025!$B$3:$B$1315, "&lt;=" &amp; O$1, DataRegularSeason20242025!$D$3:$D$1315, $A60)+SUMIFS(DataRegularSeason20242025!$AB$3:$AB$1315,DataRegularSeason20242025!$B$3:$B$1315, "&lt;=" &amp; O$1, DataRegularSeason20242025!$E$3:$E$1315, $A60)</f>
        <v>3</v>
      </c>
      <c r="P60">
        <f>SUMIFS(DataRegularSeason20242025!$AA$3:$AA$1315,DataRegularSeason20242025!$B$3:$B$1315, "&lt;=" &amp; P$1, DataRegularSeason20242025!$D$3:$D$1315, $A60)+SUMIFS(DataRegularSeason20242025!$AB$3:$AB$1315,DataRegularSeason20242025!$B$3:$B$1315, "&lt;=" &amp; P$1, DataRegularSeason20242025!$E$3:$E$1315, $A60)</f>
        <v>5</v>
      </c>
      <c r="Q60">
        <f>SUMIFS(DataRegularSeason20242025!$AA$3:$AA$1315,DataRegularSeason20242025!$B$3:$B$1315, "&lt;=" &amp; Q$1, DataRegularSeason20242025!$D$3:$D$1315, $A60)+SUMIFS(DataRegularSeason20242025!$AB$3:$AB$1315,DataRegularSeason20242025!$B$3:$B$1315, "&lt;=" &amp; Q$1, DataRegularSeason20242025!$E$3:$E$1315, $A60)</f>
        <v>5</v>
      </c>
      <c r="R60">
        <f>SUMIFS(DataRegularSeason20242025!$AA$3:$AA$1315,DataRegularSeason20242025!$B$3:$B$1315, "&lt;=" &amp; R$1, DataRegularSeason20242025!$D$3:$D$1315, $A60)+SUMIFS(DataRegularSeason20242025!$AB$3:$AB$1315,DataRegularSeason20242025!$B$3:$B$1315, "&lt;=" &amp; R$1, DataRegularSeason20242025!$E$3:$E$1315, $A60)</f>
        <v>6</v>
      </c>
      <c r="S60">
        <f>SUMIFS(DataRegularSeason20242025!$AA$3:$AA$1315,DataRegularSeason20242025!$B$3:$B$1315, "&lt;=" &amp; S$1, DataRegularSeason20242025!$D$3:$D$1315, $A60)+SUMIFS(DataRegularSeason20242025!$AB$3:$AB$1315,DataRegularSeason20242025!$B$3:$B$1315, "&lt;=" &amp; S$1, DataRegularSeason20242025!$E$3:$E$1315, $A60)</f>
        <v>6</v>
      </c>
      <c r="T60">
        <f>SUMIFS(DataRegularSeason20242025!$AA$3:$AA$1315,DataRegularSeason20242025!$B$3:$B$1315, "&lt;=" &amp; T$1, DataRegularSeason20242025!$D$3:$D$1315, $A60)+SUMIFS(DataRegularSeason20242025!$AB$3:$AB$1315,DataRegularSeason20242025!$B$3:$B$1315, "&lt;=" &amp; T$1, DataRegularSeason20242025!$E$3:$E$1315, $A60)</f>
        <v>8</v>
      </c>
      <c r="U60">
        <f>SUMIFS(DataRegularSeason20242025!$AA$3:$AA$1315,DataRegularSeason20242025!$B$3:$B$1315, "&lt;=" &amp; U$1, DataRegularSeason20242025!$D$3:$D$1315, $A60)+SUMIFS(DataRegularSeason20242025!$AB$3:$AB$1315,DataRegularSeason20242025!$B$3:$B$1315, "&lt;=" &amp; U$1, DataRegularSeason20242025!$E$3:$E$1315, $A60)</f>
        <v>8</v>
      </c>
      <c r="V60">
        <f>SUMIFS(DataRegularSeason20242025!$AA$3:$AA$1315,DataRegularSeason20242025!$B$3:$B$1315, "&lt;=" &amp; V$1, DataRegularSeason20242025!$D$3:$D$1315, $A60)+SUMIFS(DataRegularSeason20242025!$AB$3:$AB$1315,DataRegularSeason20242025!$B$3:$B$1315, "&lt;=" &amp; V$1, DataRegularSeason20242025!$E$3:$E$1315, $A60)</f>
        <v>8</v>
      </c>
      <c r="W60">
        <f>SUMIFS(DataRegularSeason20242025!$AA$3:$AA$1315,DataRegularSeason20242025!$B$3:$B$1315, "&lt;=" &amp; W$1, DataRegularSeason20242025!$D$3:$D$1315, $A60)+SUMIFS(DataRegularSeason20242025!$AB$3:$AB$1315,DataRegularSeason20242025!$B$3:$B$1315, "&lt;=" &amp; W$1, DataRegularSeason20242025!$E$3:$E$1315, $A60)</f>
        <v>8</v>
      </c>
      <c r="X60">
        <f>SUMIFS(DataRegularSeason20242025!$AA$3:$AA$1315,DataRegularSeason20242025!$B$3:$B$1315, "&lt;=" &amp; X$1, DataRegularSeason20242025!$D$3:$D$1315, $A60)+SUMIFS(DataRegularSeason20242025!$AB$3:$AB$1315,DataRegularSeason20242025!$B$3:$B$1315, "&lt;=" &amp; X$1, DataRegularSeason20242025!$E$3:$E$1315, $A60)</f>
        <v>8</v>
      </c>
      <c r="Y60">
        <f>SUMIFS(DataRegularSeason20242025!$AA$3:$AA$1315,DataRegularSeason20242025!$B$3:$B$1315, "&lt;=" &amp; Y$1, DataRegularSeason20242025!$D$3:$D$1315, $A60)+SUMIFS(DataRegularSeason20242025!$AB$3:$AB$1315,DataRegularSeason20242025!$B$3:$B$1315, "&lt;=" &amp; Y$1, DataRegularSeason20242025!$E$3:$E$1315, $A60)</f>
        <v>8</v>
      </c>
      <c r="Z60">
        <f>SUMIFS(DataRegularSeason20242025!$AA$3:$AA$1315,DataRegularSeason20242025!$B$3:$B$1315, "&lt;=" &amp; Z$1, DataRegularSeason20242025!$D$3:$D$1315, $A60)+SUMIFS(DataRegularSeason20242025!$AB$3:$AB$1315,DataRegularSeason20242025!$B$3:$B$1315, "&lt;=" &amp; Z$1, DataRegularSeason20242025!$E$3:$E$1315, $A60)</f>
        <v>8</v>
      </c>
      <c r="AA60">
        <f>SUMIFS(DataRegularSeason20242025!$AA$3:$AA$1315,DataRegularSeason20242025!$B$3:$B$1315, "&lt;=" &amp; AA$1, DataRegularSeason20242025!$D$3:$D$1315, $A60)+SUMIFS(DataRegularSeason20242025!$AB$3:$AB$1315,DataRegularSeason20242025!$B$3:$B$1315, "&lt;=" &amp; AA$1, DataRegularSeason20242025!$E$3:$E$1315, $A60)</f>
        <v>8</v>
      </c>
      <c r="AB60">
        <f>SUMIFS(DataRegularSeason20242025!$AA$3:$AA$1315,DataRegularSeason20242025!$B$3:$B$1315, "&lt;=" &amp; AB$1, DataRegularSeason20242025!$D$3:$D$1315, $A60)+SUMIFS(DataRegularSeason20242025!$AB$3:$AB$1315,DataRegularSeason20242025!$B$3:$B$1315, "&lt;=" &amp; AB$1, DataRegularSeason20242025!$E$3:$E$1315, $A60)</f>
        <v>8</v>
      </c>
      <c r="AC60">
        <f>SUMIFS(DataRegularSeason20242025!$AA$3:$AA$1315,DataRegularSeason20242025!$B$3:$B$1315, "&lt;=" &amp; AC$1, DataRegularSeason20242025!$D$3:$D$1315, $A60)+SUMIFS(DataRegularSeason20242025!$AB$3:$AB$1315,DataRegularSeason20242025!$B$3:$B$1315, "&lt;=" &amp; AC$1, DataRegularSeason20242025!$E$3:$E$1315, $A60)</f>
        <v>8</v>
      </c>
      <c r="AD60">
        <f>SUMIFS(DataRegularSeason20242025!$AA$3:$AA$1315,DataRegularSeason20242025!$B$3:$B$1315, "&lt;=" &amp; AD$1, DataRegularSeason20242025!$D$3:$D$1315, $A60)+SUMIFS(DataRegularSeason20242025!$AB$3:$AB$1315,DataRegularSeason20242025!$B$3:$B$1315, "&lt;=" &amp; AD$1, DataRegularSeason20242025!$E$3:$E$1315, $A60)</f>
        <v>8</v>
      </c>
      <c r="AE60">
        <f>SUMIFS(DataRegularSeason20242025!$AA$3:$AA$1315,DataRegularSeason20242025!$B$3:$B$1315, "&lt;=" &amp; AE$1, DataRegularSeason20242025!$D$3:$D$1315, $A60)+SUMIFS(DataRegularSeason20242025!$AB$3:$AB$1315,DataRegularSeason20242025!$B$3:$B$1315, "&lt;=" &amp; AE$1, DataRegularSeason20242025!$E$3:$E$1315, $A60)</f>
        <v>8</v>
      </c>
      <c r="AF60">
        <f>SUMIFS(DataRegularSeason20242025!$AA$3:$AA$1315,DataRegularSeason20242025!$B$3:$B$1315, "&lt;=" &amp; AF$1, DataRegularSeason20242025!$D$3:$D$1315, $A60)+SUMIFS(DataRegularSeason20242025!$AB$3:$AB$1315,DataRegularSeason20242025!$B$3:$B$1315, "&lt;=" &amp; AF$1, DataRegularSeason20242025!$E$3:$E$1315, $A60)</f>
        <v>8</v>
      </c>
      <c r="AG60">
        <f>SUMIFS(DataRegularSeason20242025!$AA$3:$AA$1315,DataRegularSeason20242025!$B$3:$B$1315, "&lt;=" &amp; AG$1, DataRegularSeason20242025!$D$3:$D$1315, $A60)+SUMIFS(DataRegularSeason20242025!$AB$3:$AB$1315,DataRegularSeason20242025!$B$3:$B$1315, "&lt;=" &amp; AG$1, DataRegularSeason20242025!$E$3:$E$1315, $A60)</f>
        <v>8</v>
      </c>
      <c r="AH60">
        <f>SUMIFS(DataRegularSeason20242025!$AA$3:$AA$1315,DataRegularSeason20242025!$B$3:$B$1315, "&lt;=" &amp; AH$1, DataRegularSeason20242025!$D$3:$D$1315, $A60)+SUMIFS(DataRegularSeason20242025!$AB$3:$AB$1315,DataRegularSeason20242025!$B$3:$B$1315, "&lt;=" &amp; AH$1, DataRegularSeason20242025!$E$3:$E$1315, $A60)</f>
        <v>8</v>
      </c>
      <c r="AI60">
        <f>SUMIFS(DataRegularSeason20242025!$AA$3:$AA$1315,DataRegularSeason20242025!$B$3:$B$1315, "&lt;=" &amp; AI$1, DataRegularSeason20242025!$D$3:$D$1315, $A60)+SUMIFS(DataRegularSeason20242025!$AB$3:$AB$1315,DataRegularSeason20242025!$B$3:$B$1315, "&lt;=" &amp; AI$1, DataRegularSeason20242025!$E$3:$E$1315, $A60)</f>
        <v>8</v>
      </c>
      <c r="AJ60">
        <f>SUMIFS(DataRegularSeason20242025!$AA$3:$AA$1315,DataRegularSeason20242025!$B$3:$B$1315, "&lt;=" &amp; AJ$1, DataRegularSeason20242025!$D$3:$D$1315, $A60)+SUMIFS(DataRegularSeason20242025!$AB$3:$AB$1315,DataRegularSeason20242025!$B$3:$B$1315, "&lt;=" &amp; AJ$1, DataRegularSeason20242025!$E$3:$E$1315, $A60)</f>
        <v>8</v>
      </c>
      <c r="AK60">
        <f>SUMIFS(DataRegularSeason20242025!$AA$3:$AA$1315,DataRegularSeason20242025!$B$3:$B$1315, "&lt;=" &amp; AK$1, DataRegularSeason20242025!$D$3:$D$1315, $A60)+SUMIFS(DataRegularSeason20242025!$AB$3:$AB$1315,DataRegularSeason20242025!$B$3:$B$1315, "&lt;=" &amp; AK$1, DataRegularSeason20242025!$E$3:$E$1315, $A60)</f>
        <v>8</v>
      </c>
      <c r="AL60">
        <f>SUMIFS(DataRegularSeason20242025!$AA$3:$AA$1315,DataRegularSeason20242025!$B$3:$B$1315, "&lt;=" &amp; AL$1, DataRegularSeason20242025!$D$3:$D$1315, $A60)+SUMIFS(DataRegularSeason20242025!$AB$3:$AB$1315,DataRegularSeason20242025!$B$3:$B$1315, "&lt;=" &amp; AL$1, DataRegularSeason20242025!$E$3:$E$1315, $A60)</f>
        <v>8</v>
      </c>
      <c r="AM60">
        <f>SUMIFS(DataRegularSeason20242025!$AA$3:$AA$1315,DataRegularSeason20242025!$B$3:$B$1315, "&lt;=" &amp; AM$1, DataRegularSeason20242025!$D$3:$D$1315, $A60)+SUMIFS(DataRegularSeason20242025!$AB$3:$AB$1315,DataRegularSeason20242025!$B$3:$B$1315, "&lt;=" &amp; AM$1, DataRegularSeason20242025!$E$3:$E$1315, $A60)</f>
        <v>8</v>
      </c>
      <c r="AN60">
        <f>SUMIFS(DataRegularSeason20242025!$AA$3:$AA$1315,DataRegularSeason20242025!$B$3:$B$1315, "&lt;=" &amp; AN$1, DataRegularSeason20242025!$D$3:$D$1315, $A60)+SUMIFS(DataRegularSeason20242025!$AB$3:$AB$1315,DataRegularSeason20242025!$B$3:$B$1315, "&lt;=" &amp; AN$1, DataRegularSeason20242025!$E$3:$E$1315, $A60)</f>
        <v>8</v>
      </c>
      <c r="AO60">
        <f>SUMIFS(DataRegularSeason20242025!$AA$3:$AA$1315,DataRegularSeason20242025!$B$3:$B$1315, "&lt;=" &amp; AO$1, DataRegularSeason20242025!$D$3:$D$1315, $A60)+SUMIFS(DataRegularSeason20242025!$AB$3:$AB$1315,DataRegularSeason20242025!$B$3:$B$1315, "&lt;=" &amp; AO$1, DataRegularSeason20242025!$E$3:$E$1315, $A60)</f>
        <v>8</v>
      </c>
      <c r="AP60">
        <f>SUMIFS(DataRegularSeason20242025!$AA$3:$AA$1315,DataRegularSeason20242025!$B$3:$B$1315, "&lt;=" &amp; AP$1, DataRegularSeason20242025!$D$3:$D$1315, $A60)+SUMIFS(DataRegularSeason20242025!$AB$3:$AB$1315,DataRegularSeason20242025!$B$3:$B$1315, "&lt;=" &amp; AP$1, DataRegularSeason20242025!$E$3:$E$1315, $A60)</f>
        <v>8</v>
      </c>
      <c r="AQ60">
        <f>SUMIFS(DataRegularSeason20242025!$AA$3:$AA$1315,DataRegularSeason20242025!$B$3:$B$1315, "&lt;=" &amp; AQ$1, DataRegularSeason20242025!$D$3:$D$1315, $A60)+SUMIFS(DataRegularSeason20242025!$AB$3:$AB$1315,DataRegularSeason20242025!$B$3:$B$1315, "&lt;=" &amp; AQ$1, DataRegularSeason20242025!$E$3:$E$1315, $A60)</f>
        <v>8</v>
      </c>
      <c r="AR60">
        <f>SUMIFS(DataRegularSeason20242025!$AA$3:$AA$1315,DataRegularSeason20242025!$B$3:$B$1315, "&lt;=" &amp; AR$1, DataRegularSeason20242025!$D$3:$D$1315, $A60)+SUMIFS(DataRegularSeason20242025!$AB$3:$AB$1315,DataRegularSeason20242025!$B$3:$B$1315, "&lt;=" &amp; AR$1, DataRegularSeason20242025!$E$3:$E$1315, $A60)</f>
        <v>8</v>
      </c>
      <c r="AS60">
        <f>SUMIFS(DataRegularSeason20242025!$AA$3:$AA$1315,DataRegularSeason20242025!$B$3:$B$1315, "&lt;=" &amp; AS$1, DataRegularSeason20242025!$D$3:$D$1315, $A60)+SUMIFS(DataRegularSeason20242025!$AB$3:$AB$1315,DataRegularSeason20242025!$B$3:$B$1315, "&lt;=" &amp; AS$1, DataRegularSeason20242025!$E$3:$E$1315, $A60)</f>
        <v>8</v>
      </c>
      <c r="AT60">
        <f>SUMIFS(DataRegularSeason20242025!$AA$3:$AA$1315,DataRegularSeason20242025!$B$3:$B$1315, "&lt;=" &amp; AT$1, DataRegularSeason20242025!$D$3:$D$1315, $A60)+SUMIFS(DataRegularSeason20242025!$AB$3:$AB$1315,DataRegularSeason20242025!$B$3:$B$1315, "&lt;=" &amp; AT$1, DataRegularSeason20242025!$E$3:$E$1315, $A60)</f>
        <v>8</v>
      </c>
      <c r="AU60">
        <f>SUMIFS(DataRegularSeason20242025!$AA$3:$AA$1315,DataRegularSeason20242025!$B$3:$B$1315, "&lt;=" &amp; AU$1, DataRegularSeason20242025!$D$3:$D$1315, $A60)+SUMIFS(DataRegularSeason20242025!$AB$3:$AB$1315,DataRegularSeason20242025!$B$3:$B$1315, "&lt;=" &amp; AU$1, DataRegularSeason20242025!$E$3:$E$1315, $A60)</f>
        <v>8</v>
      </c>
      <c r="AV60">
        <f>SUMIFS(DataRegularSeason20242025!$AA$3:$AA$1315,DataRegularSeason20242025!$B$3:$B$1315, "&lt;=" &amp; AV$1, DataRegularSeason20242025!$D$3:$D$1315, $A60)+SUMIFS(DataRegularSeason20242025!$AB$3:$AB$1315,DataRegularSeason20242025!$B$3:$B$1315, "&lt;=" &amp; AV$1, DataRegularSeason20242025!$E$3:$E$1315, $A60)</f>
        <v>8</v>
      </c>
      <c r="AW60">
        <f>SUMIFS(DataRegularSeason20242025!$AA$3:$AA$1315,DataRegularSeason20242025!$B$3:$B$1315, "&lt;=" &amp; AW$1, DataRegularSeason20242025!$D$3:$D$1315, $A60)+SUMIFS(DataRegularSeason20242025!$AB$3:$AB$1315,DataRegularSeason20242025!$B$3:$B$1315, "&lt;=" &amp; AW$1, DataRegularSeason20242025!$E$3:$E$1315, $A60)</f>
        <v>8</v>
      </c>
      <c r="AX60">
        <f>SUMIFS(DataRegularSeason20242025!$AA$3:$AA$1315,DataRegularSeason20242025!$B$3:$B$1315, "&lt;=" &amp; AX$1, DataRegularSeason20242025!$D$3:$D$1315, $A60)+SUMIFS(DataRegularSeason20242025!$AB$3:$AB$1315,DataRegularSeason20242025!$B$3:$B$1315, "&lt;=" &amp; AX$1, DataRegularSeason20242025!$E$3:$E$1315, $A60)</f>
        <v>8</v>
      </c>
      <c r="AY60">
        <f>SUMIFS(DataRegularSeason20242025!$AA$3:$AA$1315,DataRegularSeason20242025!$B$3:$B$1315, "&lt;=" &amp; AY$1, DataRegularSeason20242025!$D$3:$D$1315, $A60)+SUMIFS(DataRegularSeason20242025!$AB$3:$AB$1315,DataRegularSeason20242025!$B$3:$B$1315, "&lt;=" &amp; AY$1, DataRegularSeason20242025!$E$3:$E$1315, $A60)</f>
        <v>8</v>
      </c>
      <c r="AZ60">
        <f>SUMIFS(DataRegularSeason20242025!$AA$3:$AA$1315,DataRegularSeason20242025!$B$3:$B$1315, "&lt;=" &amp; AZ$1, DataRegularSeason20242025!$D$3:$D$1315, $A60)+SUMIFS(DataRegularSeason20242025!$AB$3:$AB$1315,DataRegularSeason20242025!$B$3:$B$1315, "&lt;=" &amp; AZ$1, DataRegularSeason20242025!$E$3:$E$1315, $A60)</f>
        <v>8</v>
      </c>
      <c r="BA60">
        <f>SUMIFS(DataRegularSeason20242025!$AA$3:$AA$1315,DataRegularSeason20242025!$B$3:$B$1315, "&lt;=" &amp; BA$1, DataRegularSeason20242025!$D$3:$D$1315, $A60)+SUMIFS(DataRegularSeason20242025!$AB$3:$AB$1315,DataRegularSeason20242025!$B$3:$B$1315, "&lt;=" &amp; BA$1, DataRegularSeason20242025!$E$3:$E$1315, $A60)</f>
        <v>8</v>
      </c>
      <c r="BB60">
        <f>SUMIFS(DataRegularSeason20242025!$AA$3:$AA$1315,DataRegularSeason20242025!$B$3:$B$1315, "&lt;=" &amp; BB$1, DataRegularSeason20242025!$D$3:$D$1315, $A60)+SUMIFS(DataRegularSeason20242025!$AB$3:$AB$1315,DataRegularSeason20242025!$B$3:$B$1315, "&lt;=" &amp; BB$1, DataRegularSeason20242025!$E$3:$E$1315, $A60)</f>
        <v>8</v>
      </c>
      <c r="BC60">
        <f>SUMIFS(DataRegularSeason20242025!$AA$3:$AA$1315,DataRegularSeason20242025!$B$3:$B$1315, "&lt;=" &amp; BC$1, DataRegularSeason20242025!$D$3:$D$1315, $A60)+SUMIFS(DataRegularSeason20242025!$AB$3:$AB$1315,DataRegularSeason20242025!$B$3:$B$1315, "&lt;=" &amp; BC$1, DataRegularSeason20242025!$E$3:$E$1315, $A60)</f>
        <v>8</v>
      </c>
      <c r="BD60">
        <f>SUMIFS(DataRegularSeason20242025!$AA$3:$AA$1315,DataRegularSeason20242025!$B$3:$B$1315, "&lt;=" &amp; BD$1, DataRegularSeason20242025!$D$3:$D$1315, $A60)+SUMIFS(DataRegularSeason20242025!$AB$3:$AB$1315,DataRegularSeason20242025!$B$3:$B$1315, "&lt;=" &amp; BD$1, DataRegularSeason20242025!$E$3:$E$1315, $A60)</f>
        <v>8</v>
      </c>
      <c r="BE60">
        <f>SUMIFS(DataRegularSeason20242025!$AA$3:$AA$1315,DataRegularSeason20242025!$B$3:$B$1315, "&lt;=" &amp; BE$1, DataRegularSeason20242025!$D$3:$D$1315, $A60)+SUMIFS(DataRegularSeason20242025!$AB$3:$AB$1315,DataRegularSeason20242025!$B$3:$B$1315, "&lt;=" &amp; BE$1, DataRegularSeason20242025!$E$3:$E$1315, $A60)</f>
        <v>8</v>
      </c>
      <c r="BF60">
        <f>SUMIFS(DataRegularSeason20242025!$AA$3:$AA$1315,DataRegularSeason20242025!$B$3:$B$1315, "&lt;=" &amp; BF$1, DataRegularSeason20242025!$D$3:$D$1315, $A60)+SUMIFS(DataRegularSeason20242025!$AB$3:$AB$1315,DataRegularSeason20242025!$B$3:$B$1315, "&lt;=" &amp; BF$1, DataRegularSeason20242025!$E$3:$E$1315, $A60)</f>
        <v>8</v>
      </c>
      <c r="BG60">
        <f>SUMIFS(DataRegularSeason20242025!$AA$3:$AA$1315,DataRegularSeason20242025!$B$3:$B$1315, "&lt;=" &amp; BG$1, DataRegularSeason20242025!$D$3:$D$1315, $A60)+SUMIFS(DataRegularSeason20242025!$AB$3:$AB$1315,DataRegularSeason20242025!$B$3:$B$1315, "&lt;=" &amp; BG$1, DataRegularSeason20242025!$E$3:$E$1315, $A60)</f>
        <v>8</v>
      </c>
      <c r="BH60">
        <f>SUMIFS(DataRegularSeason20242025!$AA$3:$AA$1315,DataRegularSeason20242025!$B$3:$B$1315, "&lt;=" &amp; BH$1, DataRegularSeason20242025!$D$3:$D$1315, $A60)+SUMIFS(DataRegularSeason20242025!$AB$3:$AB$1315,DataRegularSeason20242025!$B$3:$B$1315, "&lt;=" &amp; BH$1, DataRegularSeason20242025!$E$3:$E$1315, $A60)</f>
        <v>8</v>
      </c>
      <c r="BI60">
        <f>SUMIFS(DataRegularSeason20242025!$AA$3:$AA$1315,DataRegularSeason20242025!$B$3:$B$1315, "&lt;=" &amp; BI$1, DataRegularSeason20242025!$D$3:$D$1315, $A60)+SUMIFS(DataRegularSeason20242025!$AB$3:$AB$1315,DataRegularSeason20242025!$B$3:$B$1315, "&lt;=" &amp; BI$1, DataRegularSeason20242025!$E$3:$E$1315, $A60)</f>
        <v>8</v>
      </c>
      <c r="BJ60">
        <f>SUMIFS(DataRegularSeason20242025!$AA$3:$AA$1315,DataRegularSeason20242025!$B$3:$B$1315, "&lt;=" &amp; BJ$1, DataRegularSeason20242025!$D$3:$D$1315, $A60)+SUMIFS(DataRegularSeason20242025!$AB$3:$AB$1315,DataRegularSeason20242025!$B$3:$B$1315, "&lt;=" &amp; BJ$1, DataRegularSeason20242025!$E$3:$E$1315, $A60)</f>
        <v>8</v>
      </c>
      <c r="BK60">
        <f>SUMIFS(DataRegularSeason20242025!$AA$3:$AA$1315,DataRegularSeason20242025!$B$3:$B$1315, "&lt;=" &amp; BK$1, DataRegularSeason20242025!$D$3:$D$1315, $A60)+SUMIFS(DataRegularSeason20242025!$AB$3:$AB$1315,DataRegularSeason20242025!$B$3:$B$1315, "&lt;=" &amp; BK$1, DataRegularSeason20242025!$E$3:$E$1315, $A60)</f>
        <v>8</v>
      </c>
      <c r="BL60">
        <f>SUMIFS(DataRegularSeason20242025!$AA$3:$AA$1315,DataRegularSeason20242025!$B$3:$B$1315, "&lt;=" &amp; BL$1, DataRegularSeason20242025!$D$3:$D$1315, $A60)+SUMIFS(DataRegularSeason20242025!$AB$3:$AB$1315,DataRegularSeason20242025!$B$3:$B$1315, "&lt;=" &amp; BL$1, DataRegularSeason20242025!$E$3:$E$1315, $A60)</f>
        <v>8</v>
      </c>
      <c r="BM60">
        <f>SUMIFS(DataRegularSeason20242025!$AA$3:$AA$1315,DataRegularSeason20242025!$B$3:$B$1315, "&lt;=" &amp; BM$1, DataRegularSeason20242025!$D$3:$D$1315, $A60)+SUMIFS(DataRegularSeason20242025!$AB$3:$AB$1315,DataRegularSeason20242025!$B$3:$B$1315, "&lt;=" &amp; BM$1, DataRegularSeason20242025!$E$3:$E$1315, $A60)</f>
        <v>8</v>
      </c>
      <c r="BN60">
        <f>SUMIFS(DataRegularSeason20242025!$AA$3:$AA$1315,DataRegularSeason20242025!$B$3:$B$1315, "&lt;=" &amp; BN$1, DataRegularSeason20242025!$D$3:$D$1315, $A60)+SUMIFS(DataRegularSeason20242025!$AB$3:$AB$1315,DataRegularSeason20242025!$B$3:$B$1315, "&lt;=" &amp; BN$1, DataRegularSeason20242025!$E$3:$E$1315, $A60)</f>
        <v>8</v>
      </c>
      <c r="BO60">
        <f>SUMIFS(DataRegularSeason20242025!$AA$3:$AA$1315,DataRegularSeason20242025!$B$3:$B$1315, "&lt;=" &amp; BO$1, DataRegularSeason20242025!$D$3:$D$1315, $A60)+SUMIFS(DataRegularSeason20242025!$AB$3:$AB$1315,DataRegularSeason20242025!$B$3:$B$1315, "&lt;=" &amp; BO$1, DataRegularSeason20242025!$E$3:$E$1315, $A60)</f>
        <v>8</v>
      </c>
      <c r="BP60">
        <f>SUMIFS(DataRegularSeason20242025!$AA$3:$AA$1315,DataRegularSeason20242025!$B$3:$B$1315, "&lt;=" &amp; BP$1, DataRegularSeason20242025!$D$3:$D$1315, $A60)+SUMIFS(DataRegularSeason20242025!$AB$3:$AB$1315,DataRegularSeason20242025!$B$3:$B$1315, "&lt;=" &amp; BP$1, DataRegularSeason20242025!$E$3:$E$1315, $A60)</f>
        <v>8</v>
      </c>
      <c r="BQ60">
        <f>SUMIFS(DataRegularSeason20242025!$AA$3:$AA$1315,DataRegularSeason20242025!$B$3:$B$1315, "&lt;=" &amp; BQ$1, DataRegularSeason20242025!$D$3:$D$1315, $A60)+SUMIFS(DataRegularSeason20242025!$AB$3:$AB$1315,DataRegularSeason20242025!$B$3:$B$1315, "&lt;=" &amp; BQ$1, DataRegularSeason20242025!$E$3:$E$1315, $A60)</f>
        <v>8</v>
      </c>
      <c r="BR60">
        <f>SUMIFS(DataRegularSeason20242025!$AA$3:$AA$1315,DataRegularSeason20242025!$B$3:$B$1315, "&lt;=" &amp; BR$1, DataRegularSeason20242025!$D$3:$D$1315, $A60)+SUMIFS(DataRegularSeason20242025!$AB$3:$AB$1315,DataRegularSeason20242025!$B$3:$B$1315, "&lt;=" &amp; BR$1, DataRegularSeason20242025!$E$3:$E$1315, $A60)</f>
        <v>8</v>
      </c>
      <c r="BS60">
        <f>SUMIFS(DataRegularSeason20242025!$AA$3:$AA$1315,DataRegularSeason20242025!$B$3:$B$1315, "&lt;=" &amp; BS$1, DataRegularSeason20242025!$D$3:$D$1315, $A60)+SUMIFS(DataRegularSeason20242025!$AB$3:$AB$1315,DataRegularSeason20242025!$B$3:$B$1315, "&lt;=" &amp; BS$1, DataRegularSeason20242025!$E$3:$E$1315, $A60)</f>
        <v>8</v>
      </c>
      <c r="BT60">
        <f>SUMIFS(DataRegularSeason20242025!$AA$3:$AA$1315,DataRegularSeason20242025!$B$3:$B$1315, "&lt;=" &amp; BT$1, DataRegularSeason20242025!$D$3:$D$1315, $A60)+SUMIFS(DataRegularSeason20242025!$AB$3:$AB$1315,DataRegularSeason20242025!$B$3:$B$1315, "&lt;=" &amp; BT$1, DataRegularSeason20242025!$E$3:$E$1315, $A60)</f>
        <v>8</v>
      </c>
      <c r="BU60">
        <f>SUMIFS(DataRegularSeason20242025!$AA$3:$AA$1315,DataRegularSeason20242025!$B$3:$B$1315, "&lt;=" &amp; BU$1, DataRegularSeason20242025!$D$3:$D$1315, $A60)+SUMIFS(DataRegularSeason20242025!$AB$3:$AB$1315,DataRegularSeason20242025!$B$3:$B$1315, "&lt;=" &amp; BU$1, DataRegularSeason20242025!$E$3:$E$1315, $A60)</f>
        <v>8</v>
      </c>
      <c r="BV60">
        <f>SUMIFS(DataRegularSeason20242025!$AA$3:$AA$1315,DataRegularSeason20242025!$B$3:$B$1315, "&lt;=" &amp; BV$1, DataRegularSeason20242025!$D$3:$D$1315, $A60)+SUMIFS(DataRegularSeason20242025!$AB$3:$AB$1315,DataRegularSeason20242025!$B$3:$B$1315, "&lt;=" &amp; BV$1, DataRegularSeason20242025!$E$3:$E$1315, $A60)</f>
        <v>8</v>
      </c>
      <c r="BW60">
        <f>SUMIFS(DataRegularSeason20242025!$AA$3:$AA$1315,DataRegularSeason20242025!$B$3:$B$1315, "&lt;=" &amp; BW$1, DataRegularSeason20242025!$D$3:$D$1315, $A60)+SUMIFS(DataRegularSeason20242025!$AB$3:$AB$1315,DataRegularSeason20242025!$B$3:$B$1315, "&lt;=" &amp; BW$1, DataRegularSeason20242025!$E$3:$E$1315, $A60)</f>
        <v>8</v>
      </c>
      <c r="BX60">
        <f>SUMIFS(DataRegularSeason20242025!$AA$3:$AA$1315,DataRegularSeason20242025!$B$3:$B$1315, "&lt;=" &amp; BX$1, DataRegularSeason20242025!$D$3:$D$1315, $A60)+SUMIFS(DataRegularSeason20242025!$AB$3:$AB$1315,DataRegularSeason20242025!$B$3:$B$1315, "&lt;=" &amp; BX$1, DataRegularSeason20242025!$E$3:$E$1315, $A60)</f>
        <v>8</v>
      </c>
      <c r="BY60">
        <f>SUMIFS(DataRegularSeason20242025!$AA$3:$AA$1315,DataRegularSeason20242025!$B$3:$B$1315, "&lt;=" &amp; BY$1, DataRegularSeason20242025!$D$3:$D$1315, $A60)+SUMIFS(DataRegularSeason20242025!$AB$3:$AB$1315,DataRegularSeason20242025!$B$3:$B$1315, "&lt;=" &amp; BY$1, DataRegularSeason20242025!$E$3:$E$1315, $A60)</f>
        <v>8</v>
      </c>
      <c r="BZ60">
        <f>SUMIFS(DataRegularSeason20242025!$AA$3:$AA$1315,DataRegularSeason20242025!$B$3:$B$1315, "&lt;=" &amp; BZ$1, DataRegularSeason20242025!$D$3:$D$1315, $A60)+SUMIFS(DataRegularSeason20242025!$AB$3:$AB$1315,DataRegularSeason20242025!$B$3:$B$1315, "&lt;=" &amp; BZ$1, DataRegularSeason20242025!$E$3:$E$1315, $A60)</f>
        <v>8</v>
      </c>
      <c r="CA60">
        <f>SUMIFS(DataRegularSeason20242025!$AA$3:$AA$1315,DataRegularSeason20242025!$B$3:$B$1315, "&lt;=" &amp; CA$1, DataRegularSeason20242025!$D$3:$D$1315, $A60)+SUMIFS(DataRegularSeason20242025!$AB$3:$AB$1315,DataRegularSeason20242025!$B$3:$B$1315, "&lt;=" &amp; CA$1, DataRegularSeason20242025!$E$3:$E$1315, $A60)</f>
        <v>8</v>
      </c>
      <c r="CB60">
        <f>SUMIFS(DataRegularSeason20242025!$AA$3:$AA$1315,DataRegularSeason20242025!$B$3:$B$1315, "&lt;=" &amp; CB$1, DataRegularSeason20242025!$D$3:$D$1315, $A60)+SUMIFS(DataRegularSeason20242025!$AB$3:$AB$1315,DataRegularSeason20242025!$B$3:$B$1315, "&lt;=" &amp; CB$1, DataRegularSeason20242025!$E$3:$E$1315, $A60)</f>
        <v>8</v>
      </c>
      <c r="CC60">
        <f>SUMIFS(DataRegularSeason20242025!$AA$3:$AA$1315,DataRegularSeason20242025!$B$3:$B$1315, "&lt;=" &amp; CC$1, DataRegularSeason20242025!$D$3:$D$1315, $A60)+SUMIFS(DataRegularSeason20242025!$AB$3:$AB$1315,DataRegularSeason20242025!$B$3:$B$1315, "&lt;=" &amp; CC$1, DataRegularSeason20242025!$E$3:$E$1315, $A60)</f>
        <v>8</v>
      </c>
      <c r="CD60">
        <f>SUMIFS(DataRegularSeason20242025!$AA$3:$AA$1315,DataRegularSeason20242025!$B$3:$B$1315, "&lt;=" &amp; CD$1, DataRegularSeason20242025!$D$3:$D$1315, $A60)+SUMIFS(DataRegularSeason20242025!$AB$3:$AB$1315,DataRegularSeason20242025!$B$3:$B$1315, "&lt;=" &amp; CD$1, DataRegularSeason20242025!$E$3:$E$1315, $A60)</f>
        <v>8</v>
      </c>
      <c r="CE60">
        <f>SUMIFS(DataRegularSeason20242025!$AA$3:$AA$1315,DataRegularSeason20242025!$B$3:$B$1315, "&lt;=" &amp; CE$1, DataRegularSeason20242025!$D$3:$D$1315, $A60)+SUMIFS(DataRegularSeason20242025!$AB$3:$AB$1315,DataRegularSeason20242025!$B$3:$B$1315, "&lt;=" &amp; CE$1, DataRegularSeason20242025!$E$3:$E$1315, $A60)</f>
        <v>8</v>
      </c>
      <c r="CF60">
        <f>SUMIFS(DataRegularSeason20242025!$AA$3:$AA$1315,DataRegularSeason20242025!$B$3:$B$1315, "&lt;=" &amp; CF$1, DataRegularSeason20242025!$D$3:$D$1315, $A60)+SUMIFS(DataRegularSeason20242025!$AB$3:$AB$1315,DataRegularSeason20242025!$B$3:$B$1315, "&lt;=" &amp; CF$1, DataRegularSeason20242025!$E$3:$E$1315, $A60)</f>
        <v>8</v>
      </c>
      <c r="CG60">
        <f>SUMIFS(DataRegularSeason20242025!$AA$3:$AA$1315,DataRegularSeason20242025!$B$3:$B$1315, "&lt;=" &amp; CG$1, DataRegularSeason20242025!$D$3:$D$1315, $A60)+SUMIFS(DataRegularSeason20242025!$AB$3:$AB$1315,DataRegularSeason20242025!$B$3:$B$1315, "&lt;=" &amp; CG$1, DataRegularSeason20242025!$E$3:$E$1315, $A60)</f>
        <v>8</v>
      </c>
      <c r="CH60">
        <f>SUMIFS(DataRegularSeason20242025!$AA$3:$AA$1315,DataRegularSeason20242025!$B$3:$B$1315, "&lt;=" &amp; CH$1, DataRegularSeason20242025!$D$3:$D$1315, $A60)+SUMIFS(DataRegularSeason20242025!$AB$3:$AB$1315,DataRegularSeason20242025!$B$3:$B$1315, "&lt;=" &amp; CH$1, DataRegularSeason20242025!$E$3:$E$1315, $A60)</f>
        <v>8</v>
      </c>
      <c r="CI60">
        <f>SUMIFS(DataRegularSeason20242025!$AA$3:$AA$1315,DataRegularSeason20242025!$B$3:$B$1315, "&lt;=" &amp; CI$1, DataRegularSeason20242025!$D$3:$D$1315, $A60)+SUMIFS(DataRegularSeason20242025!$AB$3:$AB$1315,DataRegularSeason20242025!$B$3:$B$1315, "&lt;=" &amp; CI$1, DataRegularSeason20242025!$E$3:$E$1315, $A60)</f>
        <v>8</v>
      </c>
      <c r="CJ60">
        <f>SUMIFS(DataRegularSeason20242025!$AA$3:$AA$1315,DataRegularSeason20242025!$B$3:$B$1315, "&lt;=" &amp; CJ$1, DataRegularSeason20242025!$D$3:$D$1315, $A60)+SUMIFS(DataRegularSeason20242025!$AB$3:$AB$1315,DataRegularSeason20242025!$B$3:$B$1315, "&lt;=" &amp; CJ$1, DataRegularSeason20242025!$E$3:$E$1315, $A60)</f>
        <v>8</v>
      </c>
      <c r="CK60">
        <f>SUMIFS(DataRegularSeason20242025!$AA$3:$AA$1315,DataRegularSeason20242025!$B$3:$B$1315, "&lt;=" &amp; CK$1, DataRegularSeason20242025!$D$3:$D$1315, $A60)+SUMIFS(DataRegularSeason20242025!$AB$3:$AB$1315,DataRegularSeason20242025!$B$3:$B$1315, "&lt;=" &amp; CK$1, DataRegularSeason20242025!$E$3:$E$1315, $A60)</f>
        <v>8</v>
      </c>
      <c r="CL60">
        <f>SUMIFS(DataRegularSeason20242025!$AA$3:$AA$1315,DataRegularSeason20242025!$B$3:$B$1315, "&lt;=" &amp; CL$1, DataRegularSeason20242025!$D$3:$D$1315, $A60)+SUMIFS(DataRegularSeason20242025!$AB$3:$AB$1315,DataRegularSeason20242025!$B$3:$B$1315, "&lt;=" &amp; CL$1, DataRegularSeason20242025!$E$3:$E$1315, $A60)</f>
        <v>8</v>
      </c>
      <c r="CM60">
        <f>SUMIFS(DataRegularSeason20242025!$AA$3:$AA$1315,DataRegularSeason20242025!$B$3:$B$1315, "&lt;=" &amp; CM$1, DataRegularSeason20242025!$D$3:$D$1315, $A60)+SUMIFS(DataRegularSeason20242025!$AB$3:$AB$1315,DataRegularSeason20242025!$B$3:$B$1315, "&lt;=" &amp; CM$1, DataRegularSeason20242025!$E$3:$E$1315, $A60)</f>
        <v>8</v>
      </c>
      <c r="CN60">
        <f>SUMIFS(DataRegularSeason20242025!$AA$3:$AA$1315,DataRegularSeason20242025!$B$3:$B$1315, "&lt;=" &amp; CN$1, DataRegularSeason20242025!$D$3:$D$1315, $A60)+SUMIFS(DataRegularSeason20242025!$AB$3:$AB$1315,DataRegularSeason20242025!$B$3:$B$1315, "&lt;=" &amp; CN$1, DataRegularSeason20242025!$E$3:$E$1315, $A60)</f>
        <v>8</v>
      </c>
      <c r="CO60">
        <f>SUMIFS(DataRegularSeason20242025!$AA$3:$AA$1315,DataRegularSeason20242025!$B$3:$B$1315, "&lt;=" &amp; CO$1, DataRegularSeason20242025!$D$3:$D$1315, $A60)+SUMIFS(DataRegularSeason20242025!$AB$3:$AB$1315,DataRegularSeason20242025!$B$3:$B$1315, "&lt;=" &amp; CO$1, DataRegularSeason20242025!$E$3:$E$1315, $A60)</f>
        <v>8</v>
      </c>
      <c r="CP60">
        <f>SUMIFS(DataRegularSeason20242025!$AA$3:$AA$1315,DataRegularSeason20242025!$B$3:$B$1315, "&lt;=" &amp; CP$1, DataRegularSeason20242025!$D$3:$D$1315, $A60)+SUMIFS(DataRegularSeason20242025!$AB$3:$AB$1315,DataRegularSeason20242025!$B$3:$B$1315, "&lt;=" &amp; CP$1, DataRegularSeason20242025!$E$3:$E$1315, $A60)</f>
        <v>8</v>
      </c>
      <c r="CQ60">
        <f>SUMIFS(DataRegularSeason20242025!$AA$3:$AA$1315,DataRegularSeason20242025!$B$3:$B$1315, "&lt;=" &amp; CQ$1, DataRegularSeason20242025!$D$3:$D$1315, $A60)+SUMIFS(DataRegularSeason20242025!$AB$3:$AB$1315,DataRegularSeason20242025!$B$3:$B$1315, "&lt;=" &amp; CQ$1, DataRegularSeason20242025!$E$3:$E$1315, $A60)</f>
        <v>8</v>
      </c>
      <c r="CR60">
        <f>SUMIFS(DataRegularSeason20242025!$AA$3:$AA$1315,DataRegularSeason20242025!$B$3:$B$1315, "&lt;=" &amp; CR$1, DataRegularSeason20242025!$D$3:$D$1315, $A60)+SUMIFS(DataRegularSeason20242025!$AB$3:$AB$1315,DataRegularSeason20242025!$B$3:$B$1315, "&lt;=" &amp; CR$1, DataRegularSeason20242025!$E$3:$E$1315, $A60)</f>
        <v>8</v>
      </c>
      <c r="CS60">
        <f>SUMIFS(DataRegularSeason20242025!$AA$3:$AA$1315,DataRegularSeason20242025!$B$3:$B$1315, "&lt;=" &amp; CS$1, DataRegularSeason20242025!$D$3:$D$1315, $A60)+SUMIFS(DataRegularSeason20242025!$AB$3:$AB$1315,DataRegularSeason20242025!$B$3:$B$1315, "&lt;=" &amp; CS$1, DataRegularSeason20242025!$E$3:$E$1315, $A60)</f>
        <v>8</v>
      </c>
      <c r="CT60">
        <f>SUMIFS(DataRegularSeason20242025!$AA$3:$AA$1315,DataRegularSeason20242025!$B$3:$B$1315, "&lt;=" &amp; CT$1, DataRegularSeason20242025!$D$3:$D$1315, $A60)+SUMIFS(DataRegularSeason20242025!$AB$3:$AB$1315,DataRegularSeason20242025!$B$3:$B$1315, "&lt;=" &amp; CT$1, DataRegularSeason20242025!$E$3:$E$1315, $A60)</f>
        <v>8</v>
      </c>
      <c r="CU60">
        <f>SUMIFS(DataRegularSeason20242025!$AA$3:$AA$1315,DataRegularSeason20242025!$B$3:$B$1315, "&lt;=" &amp; CU$1, DataRegularSeason20242025!$D$3:$D$1315, $A60)+SUMIFS(DataRegularSeason20242025!$AB$3:$AB$1315,DataRegularSeason20242025!$B$3:$B$1315, "&lt;=" &amp; CU$1, DataRegularSeason20242025!$E$3:$E$1315, $A60)</f>
        <v>8</v>
      </c>
      <c r="CV60">
        <f>SUMIFS(DataRegularSeason20242025!$AA$3:$AA$1315,DataRegularSeason20242025!$B$3:$B$1315, "&lt;=" &amp; CV$1, DataRegularSeason20242025!$D$3:$D$1315, $A60)+SUMIFS(DataRegularSeason20242025!$AB$3:$AB$1315,DataRegularSeason20242025!$B$3:$B$1315, "&lt;=" &amp; CV$1, DataRegularSeason20242025!$E$3:$E$1315, $A60)</f>
        <v>8</v>
      </c>
      <c r="CW60">
        <f>SUMIFS(DataRegularSeason20242025!$AA$3:$AA$1315,DataRegularSeason20242025!$B$3:$B$1315, "&lt;=" &amp; CW$1, DataRegularSeason20242025!$D$3:$D$1315, $A60)+SUMIFS(DataRegularSeason20242025!$AB$3:$AB$1315,DataRegularSeason20242025!$B$3:$B$1315, "&lt;=" &amp; CW$1, DataRegularSeason20242025!$E$3:$E$1315, $A60)</f>
        <v>8</v>
      </c>
      <c r="CX60">
        <f>SUMIFS(DataRegularSeason20242025!$AA$3:$AA$1315,DataRegularSeason20242025!$B$3:$B$1315, "&lt;=" &amp; CX$1, DataRegularSeason20242025!$D$3:$D$1315, $A60)+SUMIFS(DataRegularSeason20242025!$AB$3:$AB$1315,DataRegularSeason20242025!$B$3:$B$1315, "&lt;=" &amp; CX$1, DataRegularSeason20242025!$E$3:$E$1315, $A60)</f>
        <v>8</v>
      </c>
      <c r="CY60">
        <f>SUMIFS(DataRegularSeason20242025!$AA$3:$AA$1315,DataRegularSeason20242025!$B$3:$B$1315, "&lt;=" &amp; CY$1, DataRegularSeason20242025!$D$3:$D$1315, $A60)+SUMIFS(DataRegularSeason20242025!$AB$3:$AB$1315,DataRegularSeason20242025!$B$3:$B$1315, "&lt;=" &amp; CY$1, DataRegularSeason20242025!$E$3:$E$1315, $A60)</f>
        <v>8</v>
      </c>
      <c r="CZ60">
        <f>SUMIFS(DataRegularSeason20242025!$AA$3:$AA$1315,DataRegularSeason20242025!$B$3:$B$1315, "&lt;=" &amp; CZ$1, DataRegularSeason20242025!$D$3:$D$1315, $A60)+SUMIFS(DataRegularSeason20242025!$AB$3:$AB$1315,DataRegularSeason20242025!$B$3:$B$1315, "&lt;=" &amp; CZ$1, DataRegularSeason20242025!$E$3:$E$1315, $A60)</f>
        <v>8</v>
      </c>
      <c r="DA60">
        <f>SUMIFS(DataRegularSeason20242025!$AA$3:$AA$1315,DataRegularSeason20242025!$B$3:$B$1315, "&lt;=" &amp; DA$1, DataRegularSeason20242025!$D$3:$D$1315, $A60)+SUMIFS(DataRegularSeason20242025!$AB$3:$AB$1315,DataRegularSeason20242025!$B$3:$B$1315, "&lt;=" &amp; DA$1, DataRegularSeason20242025!$E$3:$E$1315, $A60)</f>
        <v>8</v>
      </c>
      <c r="DB60">
        <f>SUMIFS(DataRegularSeason20242025!$AA$3:$AA$1315,DataRegularSeason20242025!$B$3:$B$1315, "&lt;=" &amp; DB$1, DataRegularSeason20242025!$D$3:$D$1315, $A60)+SUMIFS(DataRegularSeason20242025!$AB$3:$AB$1315,DataRegularSeason20242025!$B$3:$B$1315, "&lt;=" &amp; DB$1, DataRegularSeason20242025!$E$3:$E$1315, $A60)</f>
        <v>8</v>
      </c>
      <c r="DC60">
        <f>SUMIFS(DataRegularSeason20242025!$AA$3:$AA$1315,DataRegularSeason20242025!$B$3:$B$1315, "&lt;=" &amp; DC$1, DataRegularSeason20242025!$D$3:$D$1315, $A60)+SUMIFS(DataRegularSeason20242025!$AB$3:$AB$1315,DataRegularSeason20242025!$B$3:$B$1315, "&lt;=" &amp; DC$1, DataRegularSeason20242025!$E$3:$E$1315, $A60)</f>
        <v>8</v>
      </c>
      <c r="DD60">
        <f>SUMIFS(DataRegularSeason20242025!$AA$3:$AA$1315,DataRegularSeason20242025!$B$3:$B$1315, "&lt;=" &amp; DD$1, DataRegularSeason20242025!$D$3:$D$1315, $A60)+SUMIFS(DataRegularSeason20242025!$AB$3:$AB$1315,DataRegularSeason20242025!$B$3:$B$1315, "&lt;=" &amp; DD$1, DataRegularSeason20242025!$E$3:$E$1315, $A60)</f>
        <v>8</v>
      </c>
      <c r="DE60">
        <f>SUMIFS(DataRegularSeason20242025!$AA$3:$AA$1315,DataRegularSeason20242025!$B$3:$B$1315, "&lt;=" &amp; DE$1, DataRegularSeason20242025!$D$3:$D$1315, $A60)+SUMIFS(DataRegularSeason20242025!$AB$3:$AB$1315,DataRegularSeason20242025!$B$3:$B$1315, "&lt;=" &amp; DE$1, DataRegularSeason20242025!$E$3:$E$1315, $A60)</f>
        <v>8</v>
      </c>
      <c r="DF60">
        <f>SUMIFS(DataRegularSeason20242025!$AA$3:$AA$1315,DataRegularSeason20242025!$B$3:$B$1315, "&lt;=" &amp; DF$1, DataRegularSeason20242025!$D$3:$D$1315, $A60)+SUMIFS(DataRegularSeason20242025!$AB$3:$AB$1315,DataRegularSeason20242025!$B$3:$B$1315, "&lt;=" &amp; DF$1, DataRegularSeason20242025!$E$3:$E$1315, $A60)</f>
        <v>8</v>
      </c>
      <c r="DG60">
        <f>SUMIFS(DataRegularSeason20242025!$AA$3:$AA$1315,DataRegularSeason20242025!$B$3:$B$1315, "&lt;=" &amp; DG$1, DataRegularSeason20242025!$D$3:$D$1315, $A60)+SUMIFS(DataRegularSeason20242025!$AB$3:$AB$1315,DataRegularSeason20242025!$B$3:$B$1315, "&lt;=" &amp; DG$1, DataRegularSeason20242025!$E$3:$E$1315, $A60)</f>
        <v>8</v>
      </c>
      <c r="DH60">
        <f>SUMIFS(DataRegularSeason20242025!$AA$3:$AA$1315,DataRegularSeason20242025!$B$3:$B$1315, "&lt;=" &amp; DH$1, DataRegularSeason20242025!$D$3:$D$1315, $A60)+SUMIFS(DataRegularSeason20242025!$AB$3:$AB$1315,DataRegularSeason20242025!$B$3:$B$1315, "&lt;=" &amp; DH$1, DataRegularSeason20242025!$E$3:$E$1315, $A60)</f>
        <v>8</v>
      </c>
      <c r="DI60">
        <f>SUMIFS(DataRegularSeason20242025!$AA$3:$AA$1315,DataRegularSeason20242025!$B$3:$B$1315, "&lt;=" &amp; DI$1, DataRegularSeason20242025!$D$3:$D$1315, $A60)+SUMIFS(DataRegularSeason20242025!$AB$3:$AB$1315,DataRegularSeason20242025!$B$3:$B$1315, "&lt;=" &amp; DI$1, DataRegularSeason20242025!$E$3:$E$1315, $A60)</f>
        <v>8</v>
      </c>
      <c r="DJ60">
        <f>SUMIFS(DataRegularSeason20242025!$AA$3:$AA$1315,DataRegularSeason20242025!$B$3:$B$1315, "&lt;=" &amp; DJ$1, DataRegularSeason20242025!$D$3:$D$1315, $A60)+SUMIFS(DataRegularSeason20242025!$AB$3:$AB$1315,DataRegularSeason20242025!$B$3:$B$1315, "&lt;=" &amp; DJ$1, DataRegularSeason20242025!$E$3:$E$1315, $A60)</f>
        <v>8</v>
      </c>
      <c r="DK60">
        <f>SUMIFS(DataRegularSeason20242025!$AA$3:$AA$1315,DataRegularSeason20242025!$B$3:$B$1315, "&lt;=" &amp; DK$1, DataRegularSeason20242025!$D$3:$D$1315, $A60)+SUMIFS(DataRegularSeason20242025!$AB$3:$AB$1315,DataRegularSeason20242025!$B$3:$B$1315, "&lt;=" &amp; DK$1, DataRegularSeason20242025!$E$3:$E$1315, $A60)</f>
        <v>8</v>
      </c>
      <c r="DL60">
        <f>SUMIFS(DataRegularSeason20242025!$AA$3:$AA$1315,DataRegularSeason20242025!$B$3:$B$1315, "&lt;=" &amp; DL$1, DataRegularSeason20242025!$D$3:$D$1315, $A60)+SUMIFS(DataRegularSeason20242025!$AB$3:$AB$1315,DataRegularSeason20242025!$B$3:$B$1315, "&lt;=" &amp; DL$1, DataRegularSeason20242025!$E$3:$E$1315, $A60)</f>
        <v>8</v>
      </c>
      <c r="DM60">
        <f>SUMIFS(DataRegularSeason20242025!$AA$3:$AA$1315,DataRegularSeason20242025!$B$3:$B$1315, "&lt;=" &amp; DM$1, DataRegularSeason20242025!$D$3:$D$1315, $A60)+SUMIFS(DataRegularSeason20242025!$AB$3:$AB$1315,DataRegularSeason20242025!$B$3:$B$1315, "&lt;=" &amp; DM$1, DataRegularSeason20242025!$E$3:$E$1315, $A60)</f>
        <v>8</v>
      </c>
      <c r="DN60">
        <f>SUMIFS(DataRegularSeason20242025!$AA$3:$AA$1315,DataRegularSeason20242025!$B$3:$B$1315, "&lt;=" &amp; DN$1, DataRegularSeason20242025!$D$3:$D$1315, $A60)+SUMIFS(DataRegularSeason20242025!$AB$3:$AB$1315,DataRegularSeason20242025!$B$3:$B$1315, "&lt;=" &amp; DN$1, DataRegularSeason20242025!$E$3:$E$1315, $A60)</f>
        <v>8</v>
      </c>
      <c r="DO60">
        <f>SUMIFS(DataRegularSeason20242025!$AA$3:$AA$1315,DataRegularSeason20242025!$B$3:$B$1315, "&lt;=" &amp; DO$1, DataRegularSeason20242025!$D$3:$D$1315, $A60)+SUMIFS(DataRegularSeason20242025!$AB$3:$AB$1315,DataRegularSeason20242025!$B$3:$B$1315, "&lt;=" &amp; DO$1, DataRegularSeason20242025!$E$3:$E$1315, $A60)</f>
        <v>8</v>
      </c>
      <c r="DP60">
        <f>SUMIFS(DataRegularSeason20242025!$AA$3:$AA$1315,DataRegularSeason20242025!$B$3:$B$1315, "&lt;=" &amp; DP$1, DataRegularSeason20242025!$D$3:$D$1315, $A60)+SUMIFS(DataRegularSeason20242025!$AB$3:$AB$1315,DataRegularSeason20242025!$B$3:$B$1315, "&lt;=" &amp; DP$1, DataRegularSeason20242025!$E$3:$E$1315, $A60)</f>
        <v>8</v>
      </c>
      <c r="DQ60">
        <f>SUMIFS(DataRegularSeason20242025!$AA$3:$AA$1315,DataRegularSeason20242025!$B$3:$B$1315, "&lt;=" &amp; DQ$1, DataRegularSeason20242025!$D$3:$D$1315, $A60)+SUMIFS(DataRegularSeason20242025!$AB$3:$AB$1315,DataRegularSeason20242025!$B$3:$B$1315, "&lt;=" &amp; DQ$1, DataRegularSeason20242025!$E$3:$E$1315, $A60)</f>
        <v>8</v>
      </c>
      <c r="DR60">
        <f>SUMIFS(DataRegularSeason20242025!$AA$3:$AA$1315,DataRegularSeason20242025!$B$3:$B$1315, "&lt;=" &amp; DR$1, DataRegularSeason20242025!$D$3:$D$1315, $A60)+SUMIFS(DataRegularSeason20242025!$AB$3:$AB$1315,DataRegularSeason20242025!$B$3:$B$1315, "&lt;=" &amp; DR$1, DataRegularSeason20242025!$E$3:$E$1315, $A60)</f>
        <v>8</v>
      </c>
      <c r="DS60">
        <f>SUMIFS(DataRegularSeason20242025!$AA$3:$AA$1315,DataRegularSeason20242025!$B$3:$B$1315, "&lt;=" &amp; DS$1, DataRegularSeason20242025!$D$3:$D$1315, $A60)+SUMIFS(DataRegularSeason20242025!$AB$3:$AB$1315,DataRegularSeason20242025!$B$3:$B$1315, "&lt;=" &amp; DS$1, DataRegularSeason20242025!$E$3:$E$1315, $A60)</f>
        <v>8</v>
      </c>
      <c r="DT60">
        <f>SUMIFS(DataRegularSeason20242025!$AA$3:$AA$1315,DataRegularSeason20242025!$B$3:$B$1315, "&lt;=" &amp; DT$1, DataRegularSeason20242025!$D$3:$D$1315, $A60)+SUMIFS(DataRegularSeason20242025!$AB$3:$AB$1315,DataRegularSeason20242025!$B$3:$B$1315, "&lt;=" &amp; DT$1, DataRegularSeason20242025!$E$3:$E$1315, $A60)</f>
        <v>8</v>
      </c>
      <c r="DU60">
        <f>SUMIFS(DataRegularSeason20242025!$AA$3:$AA$1315,DataRegularSeason20242025!$B$3:$B$1315, "&lt;=" &amp; DU$1, DataRegularSeason20242025!$D$3:$D$1315, $A60)+SUMIFS(DataRegularSeason20242025!$AB$3:$AB$1315,DataRegularSeason20242025!$B$3:$B$1315, "&lt;=" &amp; DU$1, DataRegularSeason20242025!$E$3:$E$1315, $A60)</f>
        <v>8</v>
      </c>
      <c r="DV60">
        <f>SUMIFS(DataRegularSeason20242025!$AA$3:$AA$1315,DataRegularSeason20242025!$B$3:$B$1315, "&lt;=" &amp; DV$1, DataRegularSeason20242025!$D$3:$D$1315, $A60)+SUMIFS(DataRegularSeason20242025!$AB$3:$AB$1315,DataRegularSeason20242025!$B$3:$B$1315, "&lt;=" &amp; DV$1, DataRegularSeason20242025!$E$3:$E$1315, $A60)</f>
        <v>8</v>
      </c>
      <c r="DW60">
        <f>SUMIFS(DataRegularSeason20242025!$AA$3:$AA$1315,DataRegularSeason20242025!$B$3:$B$1315, "&lt;=" &amp; DW$1, DataRegularSeason20242025!$D$3:$D$1315, $A60)+SUMIFS(DataRegularSeason20242025!$AB$3:$AB$1315,DataRegularSeason20242025!$B$3:$B$1315, "&lt;=" &amp; DW$1, DataRegularSeason20242025!$E$3:$E$1315, $A60)</f>
        <v>8</v>
      </c>
      <c r="DX60">
        <f>SUMIFS(DataRegularSeason20242025!$AA$3:$AA$1315,DataRegularSeason20242025!$B$3:$B$1315, "&lt;=" &amp; DX$1, DataRegularSeason20242025!$D$3:$D$1315, $A60)+SUMIFS(DataRegularSeason20242025!$AB$3:$AB$1315,DataRegularSeason20242025!$B$3:$B$1315, "&lt;=" &amp; DX$1, DataRegularSeason20242025!$E$3:$E$1315, $A60)</f>
        <v>8</v>
      </c>
      <c r="DY60">
        <f>SUMIFS(DataRegularSeason20242025!$AA$3:$AA$1315,DataRegularSeason20242025!$B$3:$B$1315, "&lt;=" &amp; DY$1, DataRegularSeason20242025!$D$3:$D$1315, $A60)+SUMIFS(DataRegularSeason20242025!$AB$3:$AB$1315,DataRegularSeason20242025!$B$3:$B$1315, "&lt;=" &amp; DY$1, DataRegularSeason20242025!$E$3:$E$1315, $A60)</f>
        <v>8</v>
      </c>
      <c r="DZ60">
        <f>SUMIFS(DataRegularSeason20242025!$AA$3:$AA$1315,DataRegularSeason20242025!$B$3:$B$1315, "&lt;=" &amp; DZ$1, DataRegularSeason20242025!$D$3:$D$1315, $A60)+SUMIFS(DataRegularSeason20242025!$AB$3:$AB$1315,DataRegularSeason20242025!$B$3:$B$1315, "&lt;=" &amp; DZ$1, DataRegularSeason20242025!$E$3:$E$1315, $A60)</f>
        <v>8</v>
      </c>
      <c r="EA60">
        <f>SUMIFS(DataRegularSeason20242025!$AA$3:$AA$1315,DataRegularSeason20242025!$B$3:$B$1315, "&lt;=" &amp; EA$1, DataRegularSeason20242025!$D$3:$D$1315, $A60)+SUMIFS(DataRegularSeason20242025!$AB$3:$AB$1315,DataRegularSeason20242025!$B$3:$B$1315, "&lt;=" &amp; EA$1, DataRegularSeason20242025!$E$3:$E$1315, $A60)</f>
        <v>8</v>
      </c>
      <c r="EB60">
        <f>SUMIFS(DataRegularSeason20242025!$AA$3:$AA$1315,DataRegularSeason20242025!$B$3:$B$1315, "&lt;=" &amp; EB$1, DataRegularSeason20242025!$D$3:$D$1315, $A60)+SUMIFS(DataRegularSeason20242025!$AB$3:$AB$1315,DataRegularSeason20242025!$B$3:$B$1315, "&lt;=" &amp; EB$1, DataRegularSeason20242025!$E$3:$E$1315, $A60)</f>
        <v>8</v>
      </c>
      <c r="EC60">
        <f>SUMIFS(DataRegularSeason20242025!$AA$3:$AA$1315,DataRegularSeason20242025!$B$3:$B$1315, "&lt;=" &amp; EC$1, DataRegularSeason20242025!$D$3:$D$1315, $A60)+SUMIFS(DataRegularSeason20242025!$AB$3:$AB$1315,DataRegularSeason20242025!$B$3:$B$1315, "&lt;=" &amp; EC$1, DataRegularSeason20242025!$E$3:$E$1315, $A60)</f>
        <v>8</v>
      </c>
      <c r="ED60">
        <f>SUMIFS(DataRegularSeason20242025!$AA$3:$AA$1315,DataRegularSeason20242025!$B$3:$B$1315, "&lt;=" &amp; ED$1, DataRegularSeason20242025!$D$3:$D$1315, $A60)+SUMIFS(DataRegularSeason20242025!$AB$3:$AB$1315,DataRegularSeason20242025!$B$3:$B$1315, "&lt;=" &amp; ED$1, DataRegularSeason20242025!$E$3:$E$1315, $A60)</f>
        <v>8</v>
      </c>
      <c r="EE60">
        <f>SUMIFS(DataRegularSeason20242025!$AA$3:$AA$1315,DataRegularSeason20242025!$B$3:$B$1315, "&lt;=" &amp; EE$1, DataRegularSeason20242025!$D$3:$D$1315, $A60)+SUMIFS(DataRegularSeason20242025!$AB$3:$AB$1315,DataRegularSeason20242025!$B$3:$B$1315, "&lt;=" &amp; EE$1, DataRegularSeason20242025!$E$3:$E$1315, $A60)</f>
        <v>8</v>
      </c>
      <c r="EF60">
        <f>SUMIFS(DataRegularSeason20242025!$AA$3:$AA$1315,DataRegularSeason20242025!$B$3:$B$1315, "&lt;=" &amp; EF$1, DataRegularSeason20242025!$D$3:$D$1315, $A60)+SUMIFS(DataRegularSeason20242025!$AB$3:$AB$1315,DataRegularSeason20242025!$B$3:$B$1315, "&lt;=" &amp; EF$1, DataRegularSeason20242025!$E$3:$E$1315, $A60)</f>
        <v>8</v>
      </c>
      <c r="EG60">
        <f>SUMIFS(DataRegularSeason20242025!$AA$3:$AA$1315,DataRegularSeason20242025!$B$3:$B$1315, "&lt;=" &amp; EG$1, DataRegularSeason20242025!$D$3:$D$1315, $A60)+SUMIFS(DataRegularSeason20242025!$AB$3:$AB$1315,DataRegularSeason20242025!$B$3:$B$1315, "&lt;=" &amp; EG$1, DataRegularSeason20242025!$E$3:$E$1315, $A60)</f>
        <v>8</v>
      </c>
      <c r="EH60">
        <f>SUMIFS(DataRegularSeason20242025!$AA$3:$AA$1315,DataRegularSeason20242025!$B$3:$B$1315, "&lt;=" &amp; EH$1, DataRegularSeason20242025!$D$3:$D$1315, $A60)+SUMIFS(DataRegularSeason20242025!$AB$3:$AB$1315,DataRegularSeason20242025!$B$3:$B$1315, "&lt;=" &amp; EH$1, DataRegularSeason20242025!$E$3:$E$1315, $A60)</f>
        <v>8</v>
      </c>
      <c r="EI60">
        <f>SUMIFS(DataRegularSeason20242025!$AA$3:$AA$1315,DataRegularSeason20242025!$B$3:$B$1315, "&lt;=" &amp; EI$1, DataRegularSeason20242025!$D$3:$D$1315, $A60)+SUMIFS(DataRegularSeason20242025!$AB$3:$AB$1315,DataRegularSeason20242025!$B$3:$B$1315, "&lt;=" &amp; EI$1, DataRegularSeason20242025!$E$3:$E$1315, $A60)</f>
        <v>8</v>
      </c>
      <c r="EJ60">
        <f>SUMIFS(DataRegularSeason20242025!$AA$3:$AA$1315,DataRegularSeason20242025!$B$3:$B$1315, "&lt;=" &amp; EJ$1, DataRegularSeason20242025!$D$3:$D$1315, $A60)+SUMIFS(DataRegularSeason20242025!$AB$3:$AB$1315,DataRegularSeason20242025!$B$3:$B$1315, "&lt;=" &amp; EJ$1, DataRegularSeason20242025!$E$3:$E$1315, $A60)</f>
        <v>8</v>
      </c>
      <c r="EK60">
        <f>SUMIFS(DataRegularSeason20242025!$AA$3:$AA$1315,DataRegularSeason20242025!$B$3:$B$1315, "&lt;=" &amp; EK$1, DataRegularSeason20242025!$D$3:$D$1315, $A60)+SUMIFS(DataRegularSeason20242025!$AB$3:$AB$1315,DataRegularSeason20242025!$B$3:$B$1315, "&lt;=" &amp; EK$1, DataRegularSeason20242025!$E$3:$E$1315, $A60)</f>
        <v>8</v>
      </c>
      <c r="EL60">
        <f>SUMIFS(DataRegularSeason20242025!$AA$3:$AA$1315,DataRegularSeason20242025!$B$3:$B$1315, "&lt;=" &amp; EL$1, DataRegularSeason20242025!$D$3:$D$1315, $A60)+SUMIFS(DataRegularSeason20242025!$AB$3:$AB$1315,DataRegularSeason20242025!$B$3:$B$1315, "&lt;=" &amp; EL$1, DataRegularSeason20242025!$E$3:$E$1315, $A60)</f>
        <v>8</v>
      </c>
      <c r="EM60">
        <f>SUMIFS(DataRegularSeason20242025!$AA$3:$AA$1315,DataRegularSeason20242025!$B$3:$B$1315, "&lt;=" &amp; EM$1, DataRegularSeason20242025!$D$3:$D$1315, $A60)+SUMIFS(DataRegularSeason20242025!$AB$3:$AB$1315,DataRegularSeason20242025!$B$3:$B$1315, "&lt;=" &amp; EM$1, DataRegularSeason20242025!$E$3:$E$1315, $A60)</f>
        <v>8</v>
      </c>
      <c r="EN60">
        <f>SUMIFS(DataRegularSeason20242025!$AA$3:$AA$1315,DataRegularSeason20242025!$B$3:$B$1315, "&lt;=" &amp; EN$1, DataRegularSeason20242025!$D$3:$D$1315, $A60)+SUMIFS(DataRegularSeason20242025!$AB$3:$AB$1315,DataRegularSeason20242025!$B$3:$B$1315, "&lt;=" &amp; EN$1, DataRegularSeason20242025!$E$3:$E$1315, $A60)</f>
        <v>8</v>
      </c>
      <c r="EO60">
        <f>SUMIFS(DataRegularSeason20242025!$AA$3:$AA$1315,DataRegularSeason20242025!$B$3:$B$1315, "&lt;=" &amp; EO$1, DataRegularSeason20242025!$D$3:$D$1315, $A60)+SUMIFS(DataRegularSeason20242025!$AB$3:$AB$1315,DataRegularSeason20242025!$B$3:$B$1315, "&lt;=" &amp; EO$1, DataRegularSeason20242025!$E$3:$E$1315, $A60)</f>
        <v>8</v>
      </c>
      <c r="EP60">
        <f>SUMIFS(DataRegularSeason20242025!$AA$3:$AA$1315,DataRegularSeason20242025!$B$3:$B$1315, "&lt;=" &amp; EP$1, DataRegularSeason20242025!$D$3:$D$1315, $A60)+SUMIFS(DataRegularSeason20242025!$AB$3:$AB$1315,DataRegularSeason20242025!$B$3:$B$1315, "&lt;=" &amp; EP$1, DataRegularSeason20242025!$E$3:$E$1315, $A60)</f>
        <v>8</v>
      </c>
      <c r="EQ60">
        <f>SUMIFS(DataRegularSeason20242025!$AA$3:$AA$1315,DataRegularSeason20242025!$B$3:$B$1315, "&lt;=" &amp; EQ$1, DataRegularSeason20242025!$D$3:$D$1315, $A60)+SUMIFS(DataRegularSeason20242025!$AB$3:$AB$1315,DataRegularSeason20242025!$B$3:$B$1315, "&lt;=" &amp; EQ$1, DataRegularSeason20242025!$E$3:$E$1315, $A60)</f>
        <v>8</v>
      </c>
      <c r="ER60">
        <f>SUMIFS(DataRegularSeason20242025!$AA$3:$AA$1315,DataRegularSeason20242025!$B$3:$B$1315, "&lt;=" &amp; ER$1, DataRegularSeason20242025!$D$3:$D$1315, $A60)+SUMIFS(DataRegularSeason20242025!$AB$3:$AB$1315,DataRegularSeason20242025!$B$3:$B$1315, "&lt;=" &amp; ER$1, DataRegularSeason20242025!$E$3:$E$1315, $A60)</f>
        <v>8</v>
      </c>
      <c r="ES60">
        <f>SUMIFS(DataRegularSeason20242025!$AA$3:$AA$1315,DataRegularSeason20242025!$B$3:$B$1315, "&lt;=" &amp; ES$1, DataRegularSeason20242025!$D$3:$D$1315, $A60)+SUMIFS(DataRegularSeason20242025!$AB$3:$AB$1315,DataRegularSeason20242025!$B$3:$B$1315, "&lt;=" &amp; ES$1, DataRegularSeason20242025!$E$3:$E$1315, $A60)</f>
        <v>8</v>
      </c>
      <c r="ET60">
        <f>SUMIFS(DataRegularSeason20242025!$AA$3:$AA$1315,DataRegularSeason20242025!$B$3:$B$1315, "&lt;=" &amp; ET$1, DataRegularSeason20242025!$D$3:$D$1315, $A60)+SUMIFS(DataRegularSeason20242025!$AB$3:$AB$1315,DataRegularSeason20242025!$B$3:$B$1315, "&lt;=" &amp; ET$1, DataRegularSeason20242025!$E$3:$E$1315, $A60)</f>
        <v>8</v>
      </c>
      <c r="EU60">
        <f>SUMIFS(DataRegularSeason20242025!$AA$3:$AA$1315,DataRegularSeason20242025!$B$3:$B$1315, "&lt;=" &amp; EU$1, DataRegularSeason20242025!$D$3:$D$1315, $A60)+SUMIFS(DataRegularSeason20242025!$AB$3:$AB$1315,DataRegularSeason20242025!$B$3:$B$1315, "&lt;=" &amp; EU$1, DataRegularSeason20242025!$E$3:$E$1315, $A60)</f>
        <v>8</v>
      </c>
      <c r="EV60">
        <f>SUMIFS(DataRegularSeason20242025!$AA$3:$AA$1315,DataRegularSeason20242025!$B$3:$B$1315, "&lt;=" &amp; EV$1, DataRegularSeason20242025!$D$3:$D$1315, $A60)+SUMIFS(DataRegularSeason20242025!$AB$3:$AB$1315,DataRegularSeason20242025!$B$3:$B$1315, "&lt;=" &amp; EV$1, DataRegularSeason20242025!$E$3:$E$1315, $A60)</f>
        <v>8</v>
      </c>
      <c r="EW60">
        <f>SUMIFS(DataRegularSeason20242025!$AA$3:$AA$1315,DataRegularSeason20242025!$B$3:$B$1315, "&lt;=" &amp; EW$1, DataRegularSeason20242025!$D$3:$D$1315, $A60)+SUMIFS(DataRegularSeason20242025!$AB$3:$AB$1315,DataRegularSeason20242025!$B$3:$B$1315, "&lt;=" &amp; EW$1, DataRegularSeason20242025!$E$3:$E$1315, $A60)</f>
        <v>8</v>
      </c>
      <c r="EX60">
        <f>SUMIFS(DataRegularSeason20242025!$AA$3:$AA$1315,DataRegularSeason20242025!$B$3:$B$1315, "&lt;=" &amp; EX$1, DataRegularSeason20242025!$D$3:$D$1315, $A60)+SUMIFS(DataRegularSeason20242025!$AB$3:$AB$1315,DataRegularSeason20242025!$B$3:$B$1315, "&lt;=" &amp; EX$1, DataRegularSeason20242025!$E$3:$E$1315, $A60)</f>
        <v>8</v>
      </c>
      <c r="EY60">
        <f>SUMIFS(DataRegularSeason20242025!$AA$3:$AA$1315,DataRegularSeason20242025!$B$3:$B$1315, "&lt;=" &amp; EY$1, DataRegularSeason20242025!$D$3:$D$1315, $A60)+SUMIFS(DataRegularSeason20242025!$AB$3:$AB$1315,DataRegularSeason20242025!$B$3:$B$1315, "&lt;=" &amp; EY$1, DataRegularSeason20242025!$E$3:$E$1315, $A60)</f>
        <v>8</v>
      </c>
      <c r="EZ60">
        <f>SUMIFS(DataRegularSeason20242025!$AA$3:$AA$1315,DataRegularSeason20242025!$B$3:$B$1315, "&lt;=" &amp; EZ$1, DataRegularSeason20242025!$D$3:$D$1315, $A60)+SUMIFS(DataRegularSeason20242025!$AB$3:$AB$1315,DataRegularSeason20242025!$B$3:$B$1315, "&lt;=" &amp; EZ$1, DataRegularSeason20242025!$E$3:$E$1315, $A60)</f>
        <v>8</v>
      </c>
      <c r="FA60">
        <f>SUMIFS(DataRegularSeason20242025!$AA$3:$AA$1315,DataRegularSeason20242025!$B$3:$B$1315, "&lt;=" &amp; FA$1, DataRegularSeason20242025!$D$3:$D$1315, $A60)+SUMIFS(DataRegularSeason20242025!$AB$3:$AB$1315,DataRegularSeason20242025!$B$3:$B$1315, "&lt;=" &amp; FA$1, DataRegularSeason20242025!$E$3:$E$1315, $A60)</f>
        <v>8</v>
      </c>
      <c r="FB60">
        <f>SUMIFS(DataRegularSeason20242025!$AA$3:$AA$1315,DataRegularSeason20242025!$B$3:$B$1315, "&lt;=" &amp; FB$1, DataRegularSeason20242025!$D$3:$D$1315, $A60)+SUMIFS(DataRegularSeason20242025!$AB$3:$AB$1315,DataRegularSeason20242025!$B$3:$B$1315, "&lt;=" &amp; FB$1, DataRegularSeason20242025!$E$3:$E$1315, $A60)</f>
        <v>8</v>
      </c>
      <c r="FC60">
        <f>SUMIFS(DataRegularSeason20242025!$AA$3:$AA$1315,DataRegularSeason20242025!$B$3:$B$1315, "&lt;=" &amp; FC$1, DataRegularSeason20242025!$D$3:$D$1315, $A60)+SUMIFS(DataRegularSeason20242025!$AB$3:$AB$1315,DataRegularSeason20242025!$B$3:$B$1315, "&lt;=" &amp; FC$1, DataRegularSeason20242025!$E$3:$E$1315, $A60)</f>
        <v>8</v>
      </c>
      <c r="FD60">
        <f>SUMIFS(DataRegularSeason20242025!$AA$3:$AA$1315,DataRegularSeason20242025!$B$3:$B$1315, "&lt;=" &amp; FD$1, DataRegularSeason20242025!$D$3:$D$1315, $A60)+SUMIFS(DataRegularSeason20242025!$AB$3:$AB$1315,DataRegularSeason20242025!$B$3:$B$1315, "&lt;=" &amp; FD$1, DataRegularSeason20242025!$E$3:$E$1315, $A60)</f>
        <v>8</v>
      </c>
      <c r="FE60">
        <f>SUMIFS(DataRegularSeason20242025!$AA$3:$AA$1315,DataRegularSeason20242025!$B$3:$B$1315, "&lt;=" &amp; FE$1, DataRegularSeason20242025!$D$3:$D$1315, $A60)+SUMIFS(DataRegularSeason20242025!$AB$3:$AB$1315,DataRegularSeason20242025!$B$3:$B$1315, "&lt;=" &amp; FE$1, DataRegularSeason20242025!$E$3:$E$1315, $A60)</f>
        <v>8</v>
      </c>
      <c r="FF60">
        <f>SUMIFS(DataRegularSeason20242025!$AA$3:$AA$1315,DataRegularSeason20242025!$B$3:$B$1315, "&lt;=" &amp; FF$1, DataRegularSeason20242025!$D$3:$D$1315, $A60)+SUMIFS(DataRegularSeason20242025!$AB$3:$AB$1315,DataRegularSeason20242025!$B$3:$B$1315, "&lt;=" &amp; FF$1, DataRegularSeason20242025!$E$3:$E$1315, $A60)</f>
        <v>8</v>
      </c>
      <c r="FG60">
        <f>SUMIFS(DataRegularSeason20242025!$AA$3:$AA$1315,DataRegularSeason20242025!$B$3:$B$1315, "&lt;=" &amp; FG$1, DataRegularSeason20242025!$D$3:$D$1315, $A60)+SUMIFS(DataRegularSeason20242025!$AB$3:$AB$1315,DataRegularSeason20242025!$B$3:$B$1315, "&lt;=" &amp; FG$1, DataRegularSeason20242025!$E$3:$E$1315, $A60)</f>
        <v>8</v>
      </c>
      <c r="FH60">
        <f>SUMIFS(DataRegularSeason20242025!$AA$3:$AA$1315,DataRegularSeason20242025!$B$3:$B$1315, "&lt;=" &amp; FH$1, DataRegularSeason20242025!$D$3:$D$1315, $A60)+SUMIFS(DataRegularSeason20242025!$AB$3:$AB$1315,DataRegularSeason20242025!$B$3:$B$1315, "&lt;=" &amp; FH$1, DataRegularSeason20242025!$E$3:$E$1315, $A60)</f>
        <v>8</v>
      </c>
      <c r="FI60">
        <f>SUMIFS(DataRegularSeason20242025!$AA$3:$AA$1315,DataRegularSeason20242025!$B$3:$B$1315, "&lt;=" &amp; FI$1, DataRegularSeason20242025!$D$3:$D$1315, $A60)+SUMIFS(DataRegularSeason20242025!$AB$3:$AB$1315,DataRegularSeason20242025!$B$3:$B$1315, "&lt;=" &amp; FI$1, DataRegularSeason20242025!$E$3:$E$1315, $A60)</f>
        <v>8</v>
      </c>
      <c r="FJ60">
        <f>SUMIFS(DataRegularSeason20242025!$AA$3:$AA$1315,DataRegularSeason20242025!$B$3:$B$1315, "&lt;=" &amp; FJ$1, DataRegularSeason20242025!$D$3:$D$1315, $A60)+SUMIFS(DataRegularSeason20242025!$AB$3:$AB$1315,DataRegularSeason20242025!$B$3:$B$1315, "&lt;=" &amp; FJ$1, DataRegularSeason20242025!$E$3:$E$1315, $A60)</f>
        <v>8</v>
      </c>
      <c r="FK60">
        <f>SUMIFS(DataRegularSeason20242025!$AA$3:$AA$1315,DataRegularSeason20242025!$B$3:$B$1315, "&lt;=" &amp; FK$1, DataRegularSeason20242025!$D$3:$D$1315, $A60)+SUMIFS(DataRegularSeason20242025!$AB$3:$AB$1315,DataRegularSeason20242025!$B$3:$B$1315, "&lt;=" &amp; FK$1, DataRegularSeason20242025!$E$3:$E$1315, $A60)</f>
        <v>8</v>
      </c>
      <c r="FL60">
        <f>SUMIFS(DataRegularSeason20242025!$AA$3:$AA$1315,DataRegularSeason20242025!$B$3:$B$1315, "&lt;=" &amp; FL$1, DataRegularSeason20242025!$D$3:$D$1315, $A60)+SUMIFS(DataRegularSeason20242025!$AB$3:$AB$1315,DataRegularSeason20242025!$B$3:$B$1315, "&lt;=" &amp; FL$1, DataRegularSeason20242025!$E$3:$E$1315, $A60)</f>
        <v>8</v>
      </c>
      <c r="FM60">
        <f>SUMIFS(DataRegularSeason20242025!$AA$3:$AA$1315,DataRegularSeason20242025!$B$3:$B$1315, "&lt;=" &amp; FM$1, DataRegularSeason20242025!$D$3:$D$1315, $A60)+SUMIFS(DataRegularSeason20242025!$AB$3:$AB$1315,DataRegularSeason20242025!$B$3:$B$1315, "&lt;=" &amp; FM$1, DataRegularSeason20242025!$E$3:$E$1315, $A60)</f>
        <v>8</v>
      </c>
      <c r="FN60">
        <f>SUMIFS(DataRegularSeason20242025!$AA$3:$AA$1315,DataRegularSeason20242025!$B$3:$B$1315, "&lt;=" &amp; FN$1, DataRegularSeason20242025!$D$3:$D$1315, $A60)+SUMIFS(DataRegularSeason20242025!$AB$3:$AB$1315,DataRegularSeason20242025!$B$3:$B$1315, "&lt;=" &amp; FN$1, DataRegularSeason20242025!$E$3:$E$1315, $A60)</f>
        <v>8</v>
      </c>
      <c r="FO60">
        <f>SUMIFS(DataRegularSeason20242025!$AA$3:$AA$1315,DataRegularSeason20242025!$B$3:$B$1315, "&lt;=" &amp; FO$1, DataRegularSeason20242025!$D$3:$D$1315, $A60)+SUMIFS(DataRegularSeason20242025!$AB$3:$AB$1315,DataRegularSeason20242025!$B$3:$B$1315, "&lt;=" &amp; FO$1, DataRegularSeason20242025!$E$3:$E$1315, $A60)</f>
        <v>8</v>
      </c>
      <c r="FP60">
        <f>SUMIFS(DataRegularSeason20242025!$AA$3:$AA$1315,DataRegularSeason20242025!$B$3:$B$1315, "&lt;=" &amp; FP$1, DataRegularSeason20242025!$D$3:$D$1315, $A60)+SUMIFS(DataRegularSeason20242025!$AB$3:$AB$1315,DataRegularSeason20242025!$B$3:$B$1315, "&lt;=" &amp; FP$1, DataRegularSeason20242025!$E$3:$E$1315, $A60)</f>
        <v>8</v>
      </c>
      <c r="FQ60">
        <f>SUMIFS(DataRegularSeason20242025!$AA$3:$AA$1315,DataRegularSeason20242025!$B$3:$B$1315, "&lt;=" &amp; FQ$1, DataRegularSeason20242025!$D$3:$D$1315, $A60)+SUMIFS(DataRegularSeason20242025!$AB$3:$AB$1315,DataRegularSeason20242025!$B$3:$B$1315, "&lt;=" &amp; FQ$1, DataRegularSeason20242025!$E$3:$E$1315, $A60)</f>
        <v>8</v>
      </c>
      <c r="FR60">
        <f>SUMIFS(DataRegularSeason20242025!$AA$3:$AA$1315,DataRegularSeason20242025!$B$3:$B$1315, "&lt;=" &amp; FR$1, DataRegularSeason20242025!$D$3:$D$1315, $A60)+SUMIFS(DataRegularSeason20242025!$AB$3:$AB$1315,DataRegularSeason20242025!$B$3:$B$1315, "&lt;=" &amp; FR$1, DataRegularSeason20242025!$E$3:$E$1315, $A60)</f>
        <v>8</v>
      </c>
      <c r="FS60">
        <f>SUMIFS(DataRegularSeason20242025!$AA$3:$AA$1315,DataRegularSeason20242025!$B$3:$B$1315, "&lt;=" &amp; FS$1, DataRegularSeason20242025!$D$3:$D$1315, $A60)+SUMIFS(DataRegularSeason20242025!$AB$3:$AB$1315,DataRegularSeason20242025!$B$3:$B$1315, "&lt;=" &amp; FS$1, DataRegularSeason20242025!$E$3:$E$1315, $A60)</f>
        <v>8</v>
      </c>
      <c r="FT60">
        <f>SUMIFS(DataRegularSeason20242025!$AA$3:$AA$1315,DataRegularSeason20242025!$B$3:$B$1315, "&lt;=" &amp; FT$1, DataRegularSeason20242025!$D$3:$D$1315, $A60)+SUMIFS(DataRegularSeason20242025!$AB$3:$AB$1315,DataRegularSeason20242025!$B$3:$B$1315, "&lt;=" &amp; FT$1, DataRegularSeason20242025!$E$3:$E$1315, $A60)</f>
        <v>8</v>
      </c>
      <c r="FU60">
        <f>SUMIFS(DataRegularSeason20242025!$AA$3:$AA$1315,DataRegularSeason20242025!$B$3:$B$1315, "&lt;=" &amp; FU$1, DataRegularSeason20242025!$D$3:$D$1315, $A60)+SUMIFS(DataRegularSeason20242025!$AB$3:$AB$1315,DataRegularSeason20242025!$B$3:$B$1315, "&lt;=" &amp; FU$1, DataRegularSeason20242025!$E$3:$E$1315, $A60)</f>
        <v>8</v>
      </c>
      <c r="FV60">
        <f>SUMIFS(DataRegularSeason20242025!$AA$3:$AA$1315,DataRegularSeason20242025!$B$3:$B$1315, "&lt;=" &amp; FV$1, DataRegularSeason20242025!$D$3:$D$1315, $A60)+SUMIFS(DataRegularSeason20242025!$AB$3:$AB$1315,DataRegularSeason20242025!$B$3:$B$1315, "&lt;=" &amp; FV$1, DataRegularSeason20242025!$E$3:$E$1315, $A60)</f>
        <v>8</v>
      </c>
      <c r="FW60">
        <f>SUMIFS(DataRegularSeason20242025!$AA$3:$AA$1315,DataRegularSeason20242025!$B$3:$B$1315, "&lt;=" &amp; FW$1, DataRegularSeason20242025!$D$3:$D$1315, $A60)+SUMIFS(DataRegularSeason20242025!$AB$3:$AB$1315,DataRegularSeason20242025!$B$3:$B$1315, "&lt;=" &amp; FW$1, DataRegularSeason20242025!$E$3:$E$1315, $A60)</f>
        <v>8</v>
      </c>
      <c r="FX60">
        <f>SUMIFS(DataRegularSeason20242025!$AA$3:$AA$1315,DataRegularSeason20242025!$B$3:$B$1315, "&lt;=" &amp; FX$1, DataRegularSeason20242025!$D$3:$D$1315, $A60)+SUMIFS(DataRegularSeason20242025!$AB$3:$AB$1315,DataRegularSeason20242025!$B$3:$B$1315, "&lt;=" &amp; FX$1, DataRegularSeason20242025!$E$3:$E$1315, $A60)</f>
        <v>8</v>
      </c>
      <c r="FY60">
        <f>SUMIFS(DataRegularSeason20242025!$AA$3:$AA$1315,DataRegularSeason20242025!$B$3:$B$1315, "&lt;=" &amp; FY$1, DataRegularSeason20242025!$D$3:$D$1315, $A60)+SUMIFS(DataRegularSeason20242025!$AB$3:$AB$1315,DataRegularSeason20242025!$B$3:$B$1315, "&lt;=" &amp; FY$1, DataRegularSeason20242025!$E$3:$E$1315, $A60)</f>
        <v>8</v>
      </c>
      <c r="FZ60">
        <f>SUMIFS(DataRegularSeason20242025!$AA$3:$AA$1315,DataRegularSeason20242025!$B$3:$B$1315, "&lt;=" &amp; FZ$1, DataRegularSeason20242025!$D$3:$D$1315, $A60)+SUMIFS(DataRegularSeason20242025!$AB$3:$AB$1315,DataRegularSeason20242025!$B$3:$B$1315, "&lt;=" &amp; FZ$1, DataRegularSeason20242025!$E$3:$E$1315, $A60)</f>
        <v>8</v>
      </c>
      <c r="GA60">
        <f>SUMIFS(DataRegularSeason20242025!$AA$3:$AA$1315,DataRegularSeason20242025!$B$3:$B$1315, "&lt;=" &amp; GA$1, DataRegularSeason20242025!$D$3:$D$1315, $A60)+SUMIFS(DataRegularSeason20242025!$AB$3:$AB$1315,DataRegularSeason20242025!$B$3:$B$1315, "&lt;=" &amp; GA$1, DataRegularSeason20242025!$E$3:$E$1315, $A60)</f>
        <v>8</v>
      </c>
      <c r="GB60">
        <f>SUMIFS(DataRegularSeason20242025!$AA$3:$AA$1315,DataRegularSeason20242025!$B$3:$B$1315, "&lt;=" &amp; GB$1, DataRegularSeason20242025!$D$3:$D$1315, $A60)+SUMIFS(DataRegularSeason20242025!$AB$3:$AB$1315,DataRegularSeason20242025!$B$3:$B$1315, "&lt;=" &amp; GB$1, DataRegularSeason20242025!$E$3:$E$1315, $A60)</f>
        <v>8</v>
      </c>
      <c r="GC60">
        <f>SUMIFS(DataRegularSeason20242025!$AA$3:$AA$1315,DataRegularSeason20242025!$B$3:$B$1315, "&lt;=" &amp; GC$1, DataRegularSeason20242025!$D$3:$D$1315, $A60)+SUMIFS(DataRegularSeason20242025!$AB$3:$AB$1315,DataRegularSeason20242025!$B$3:$B$1315, "&lt;=" &amp; GC$1, DataRegularSeason20242025!$E$3:$E$1315, $A60)</f>
        <v>8</v>
      </c>
      <c r="GD60">
        <f>SUMIFS(DataRegularSeason20242025!$AA$3:$AA$1315,DataRegularSeason20242025!$B$3:$B$1315, "&lt;=" &amp; GD$1, DataRegularSeason20242025!$D$3:$D$1315, $A60)+SUMIFS(DataRegularSeason20242025!$AB$3:$AB$1315,DataRegularSeason20242025!$B$3:$B$1315, "&lt;=" &amp; GD$1, DataRegularSeason20242025!$E$3:$E$1315, $A60)</f>
        <v>8</v>
      </c>
      <c r="GE60">
        <f>SUMIFS(DataRegularSeason20242025!$AA$3:$AA$1315,DataRegularSeason20242025!$B$3:$B$1315, "&lt;=" &amp; GE$1, DataRegularSeason20242025!$D$3:$D$1315, $A60)+SUMIFS(DataRegularSeason20242025!$AB$3:$AB$1315,DataRegularSeason20242025!$B$3:$B$1315, "&lt;=" &amp; GE$1, DataRegularSeason20242025!$E$3:$E$1315, $A60)</f>
        <v>8</v>
      </c>
      <c r="GF60">
        <f>SUMIFS(DataRegularSeason20242025!$AA$3:$AA$1315,DataRegularSeason20242025!$B$3:$B$1315, "&lt;=" &amp; GF$1, DataRegularSeason20242025!$D$3:$D$1315, $A60)+SUMIFS(DataRegularSeason20242025!$AB$3:$AB$1315,DataRegularSeason20242025!$B$3:$B$1315, "&lt;=" &amp; GF$1, DataRegularSeason20242025!$E$3:$E$1315, $A60)</f>
        <v>8</v>
      </c>
      <c r="GG60">
        <f>SUMIFS(DataRegularSeason20242025!$AA$3:$AA$1315,DataRegularSeason20242025!$B$3:$B$1315, "&lt;=" &amp; GG$1, DataRegularSeason20242025!$D$3:$D$1315, $A60)+SUMIFS(DataRegularSeason20242025!$AB$3:$AB$1315,DataRegularSeason20242025!$B$3:$B$1315, "&lt;=" &amp; GG$1, DataRegularSeason20242025!$E$3:$E$1315, $A60)</f>
        <v>8</v>
      </c>
      <c r="GH60">
        <f>SUMIFS(DataRegularSeason20242025!$AA$3:$AA$1315,DataRegularSeason20242025!$B$3:$B$1315, "&lt;=" &amp; GH$1, DataRegularSeason20242025!$D$3:$D$1315, $A60)+SUMIFS(DataRegularSeason20242025!$AB$3:$AB$1315,DataRegularSeason20242025!$B$3:$B$1315, "&lt;=" &amp; GH$1, DataRegularSeason20242025!$E$3:$E$1315, $A60)</f>
        <v>8</v>
      </c>
      <c r="GI60">
        <f>SUMIFS(DataRegularSeason20242025!$AA$3:$AA$1315,DataRegularSeason20242025!$B$3:$B$1315, "&lt;=" &amp; GI$1, DataRegularSeason20242025!$D$3:$D$1315, $A60)+SUMIFS(DataRegularSeason20242025!$AB$3:$AB$1315,DataRegularSeason20242025!$B$3:$B$1315, "&lt;=" &amp; GI$1, DataRegularSeason20242025!$E$3:$E$1315, $A60)</f>
        <v>8</v>
      </c>
      <c r="GJ60">
        <f>SUMIFS(DataRegularSeason20242025!$AA$3:$AA$1315,DataRegularSeason20242025!$B$3:$B$1315, "&lt;=" &amp; GJ$1, DataRegularSeason20242025!$D$3:$D$1315, $A60)+SUMIFS(DataRegularSeason20242025!$AB$3:$AB$1315,DataRegularSeason20242025!$B$3:$B$1315, "&lt;=" &amp; GJ$1, DataRegularSeason20242025!$E$3:$E$1315, $A60)</f>
        <v>8</v>
      </c>
      <c r="GK60">
        <f>SUMIFS(DataRegularSeason20242025!$AA$3:$AA$1315,DataRegularSeason20242025!$B$3:$B$1315, "&lt;=" &amp; GK$1, DataRegularSeason20242025!$D$3:$D$1315, $A60)+SUMIFS(DataRegularSeason20242025!$AB$3:$AB$1315,DataRegularSeason20242025!$B$3:$B$1315, "&lt;=" &amp; GK$1, DataRegularSeason20242025!$E$3:$E$1315, $A60)</f>
        <v>8</v>
      </c>
      <c r="GL60">
        <f>SUMIFS(DataRegularSeason20242025!$AA$3:$AA$1315,DataRegularSeason20242025!$B$3:$B$1315, "&lt;=" &amp; GL$1, DataRegularSeason20242025!$D$3:$D$1315, $A60)+SUMIFS(DataRegularSeason20242025!$AB$3:$AB$1315,DataRegularSeason20242025!$B$3:$B$1315, "&lt;=" &amp; GL$1, DataRegularSeason20242025!$E$3:$E$1315, $A60)</f>
        <v>8</v>
      </c>
      <c r="GM60">
        <f>SUMIFS(DataRegularSeason20242025!$AA$3:$AA$1315,DataRegularSeason20242025!$B$3:$B$1315, "&lt;=" &amp; GM$1, DataRegularSeason20242025!$D$3:$D$1315, $A60)+SUMIFS(DataRegularSeason20242025!$AB$3:$AB$1315,DataRegularSeason20242025!$B$3:$B$1315, "&lt;=" &amp; GM$1, DataRegularSeason20242025!$E$3:$E$1315, $A60)</f>
        <v>8</v>
      </c>
      <c r="GN60">
        <f>SUMIFS(DataRegularSeason20242025!$AA$3:$AA$1315,DataRegularSeason20242025!$B$3:$B$1315, "&lt;=" &amp; GN$1, DataRegularSeason20242025!$D$3:$D$1315, $A60)+SUMIFS(DataRegularSeason20242025!$AB$3:$AB$1315,DataRegularSeason20242025!$B$3:$B$1315, "&lt;=" &amp; GN$1, DataRegularSeason20242025!$E$3:$E$1315, $A60)</f>
        <v>8</v>
      </c>
      <c r="GO60">
        <f>SUMIFS(DataRegularSeason20242025!$AA$3:$AA$1315,DataRegularSeason20242025!$B$3:$B$1315, "&lt;=" &amp; GO$1, DataRegularSeason20242025!$D$3:$D$1315, $A60)+SUMIFS(DataRegularSeason20242025!$AB$3:$AB$1315,DataRegularSeason20242025!$B$3:$B$1315, "&lt;=" &amp; GO$1, DataRegularSeason20242025!$E$3:$E$1315, $A60)</f>
        <v>8</v>
      </c>
      <c r="GP60">
        <f>SUMIFS(DataRegularSeason20242025!$AA$3:$AA$1315,DataRegularSeason20242025!$B$3:$B$1315, "&lt;=" &amp; GP$1, DataRegularSeason20242025!$D$3:$D$1315, $A60)+SUMIFS(DataRegularSeason20242025!$AB$3:$AB$1315,DataRegularSeason20242025!$B$3:$B$1315, "&lt;=" &amp; GP$1, DataRegularSeason20242025!$E$3:$E$1315, $A60)</f>
        <v>8</v>
      </c>
      <c r="GQ60">
        <f>SUMIFS(DataRegularSeason20242025!$AA$3:$AA$1315,DataRegularSeason20242025!$B$3:$B$1315, "&lt;=" &amp; GQ$1, DataRegularSeason20242025!$D$3:$D$1315, $A60)+SUMIFS(DataRegularSeason20242025!$AB$3:$AB$1315,DataRegularSeason20242025!$B$3:$B$1315, "&lt;=" &amp; GQ$1, DataRegularSeason20242025!$E$3:$E$1315, $A60)</f>
        <v>8</v>
      </c>
      <c r="GR60">
        <f>SUMIFS(DataRegularSeason20242025!$AA$3:$AA$1315,DataRegularSeason20242025!$B$3:$B$1315, "&lt;=" &amp; GR$1, DataRegularSeason20242025!$D$3:$D$1315, $A60)+SUMIFS(DataRegularSeason20242025!$AB$3:$AB$1315,DataRegularSeason20242025!$B$3:$B$1315, "&lt;=" &amp; GR$1, DataRegularSeason20242025!$E$3:$E$1315, $A60)</f>
        <v>8</v>
      </c>
      <c r="GS60">
        <f>SUMIFS(DataRegularSeason20242025!$AA$3:$AA$1315,DataRegularSeason20242025!$B$3:$B$1315, "&lt;=" &amp; GS$1, DataRegularSeason20242025!$D$3:$D$1315, $A60)+SUMIFS(DataRegularSeason20242025!$AB$3:$AB$1315,DataRegularSeason20242025!$B$3:$B$1315, "&lt;=" &amp; GS$1, DataRegularSeason20242025!$E$3:$E$1315, $A60)</f>
        <v>8</v>
      </c>
      <c r="GT60">
        <f>SUMIFS(DataRegularSeason20242025!$AA$3:$AA$1315,DataRegularSeason20242025!$B$3:$B$1315, "&lt;=" &amp; GT$1, DataRegularSeason20242025!$D$3:$D$1315, $A60)+SUMIFS(DataRegularSeason20242025!$AB$3:$AB$1315,DataRegularSeason20242025!$B$3:$B$1315, "&lt;=" &amp; GT$1, DataRegularSeason20242025!$E$3:$E$1315, $A60)</f>
        <v>8</v>
      </c>
      <c r="GU60">
        <f>SUMIFS(DataRegularSeason20242025!$AA$3:$AA$1315,DataRegularSeason20242025!$B$3:$B$1315, "&lt;=" &amp; GU$1, DataRegularSeason20242025!$D$3:$D$1315, $A60)+SUMIFS(DataRegularSeason20242025!$AB$3:$AB$1315,DataRegularSeason20242025!$B$3:$B$1315, "&lt;=" &amp; GU$1, DataRegularSeason20242025!$E$3:$E$1315, $A60)</f>
        <v>8</v>
      </c>
    </row>
    <row r="61" spans="1:203" x14ac:dyDescent="0.25">
      <c r="A61" t="s">
        <v>36</v>
      </c>
      <c r="B61" t="s">
        <v>90</v>
      </c>
      <c r="C61" t="s">
        <v>88</v>
      </c>
      <c r="D61">
        <f>SUMIFS(DataRegularSeason20242025!$AA$3:$AA$1315,DataRegularSeason20242025!$B$3:$B$1315, "&lt;=" &amp; D$1, DataRegularSeason20242025!$D$3:$D$1315, $A61)+SUMIFS(DataRegularSeason20242025!$AB$3:$AB$1315,DataRegularSeason20242025!$B$3:$B$1315, "&lt;=" &amp; D$1, DataRegularSeason20242025!$E$3:$E$1315, $A61)</f>
        <v>0</v>
      </c>
      <c r="E61">
        <f>SUMIFS(DataRegularSeason20242025!$AA$3:$AA$1315,DataRegularSeason20242025!$B$3:$B$1315, "&lt;=" &amp; E$1, DataRegularSeason20242025!$D$3:$D$1315, $A61)+SUMIFS(DataRegularSeason20242025!$AB$3:$AB$1315,DataRegularSeason20242025!$B$3:$B$1315, "&lt;=" &amp; E$1, DataRegularSeason20242025!$E$3:$E$1315, $A61)</f>
        <v>0</v>
      </c>
      <c r="F61">
        <f>SUMIFS(DataRegularSeason20242025!$AA$3:$AA$1315,DataRegularSeason20242025!$B$3:$B$1315, "&lt;=" &amp; F$1, DataRegularSeason20242025!$D$3:$D$1315, $A61)+SUMIFS(DataRegularSeason20242025!$AB$3:$AB$1315,DataRegularSeason20242025!$B$3:$B$1315, "&lt;=" &amp; F$1, DataRegularSeason20242025!$E$3:$E$1315, $A61)</f>
        <v>0</v>
      </c>
      <c r="G61">
        <f>SUMIFS(DataRegularSeason20242025!$AA$3:$AA$1315,DataRegularSeason20242025!$B$3:$B$1315, "&lt;=" &amp; G$1, DataRegularSeason20242025!$D$3:$D$1315, $A61)+SUMIFS(DataRegularSeason20242025!$AB$3:$AB$1315,DataRegularSeason20242025!$B$3:$B$1315, "&lt;=" &amp; G$1, DataRegularSeason20242025!$E$3:$E$1315, $A61)</f>
        <v>0</v>
      </c>
      <c r="H61">
        <f>SUMIFS(DataRegularSeason20242025!$AA$3:$AA$1315,DataRegularSeason20242025!$B$3:$B$1315, "&lt;=" &amp; H$1, DataRegularSeason20242025!$D$3:$D$1315, $A61)+SUMIFS(DataRegularSeason20242025!$AB$3:$AB$1315,DataRegularSeason20242025!$B$3:$B$1315, "&lt;=" &amp; H$1, DataRegularSeason20242025!$E$3:$E$1315, $A61)</f>
        <v>0</v>
      </c>
      <c r="I61">
        <f>SUMIFS(DataRegularSeason20242025!$AA$3:$AA$1315,DataRegularSeason20242025!$B$3:$B$1315, "&lt;=" &amp; I$1, DataRegularSeason20242025!$D$3:$D$1315, $A61)+SUMIFS(DataRegularSeason20242025!$AB$3:$AB$1315,DataRegularSeason20242025!$B$3:$B$1315, "&lt;=" &amp; I$1, DataRegularSeason20242025!$E$3:$E$1315, $A61)</f>
        <v>0</v>
      </c>
      <c r="J61">
        <f>SUMIFS(DataRegularSeason20242025!$AA$3:$AA$1315,DataRegularSeason20242025!$B$3:$B$1315, "&lt;=" &amp; J$1, DataRegularSeason20242025!$D$3:$D$1315, $A61)+SUMIFS(DataRegularSeason20242025!$AB$3:$AB$1315,DataRegularSeason20242025!$B$3:$B$1315, "&lt;=" &amp; J$1, DataRegularSeason20242025!$E$3:$E$1315, $A61)</f>
        <v>2</v>
      </c>
      <c r="K61">
        <f>SUMIFS(DataRegularSeason20242025!$AA$3:$AA$1315,DataRegularSeason20242025!$B$3:$B$1315, "&lt;=" &amp; K$1, DataRegularSeason20242025!$D$3:$D$1315, $A61)+SUMIFS(DataRegularSeason20242025!$AB$3:$AB$1315,DataRegularSeason20242025!$B$3:$B$1315, "&lt;=" &amp; K$1, DataRegularSeason20242025!$E$3:$E$1315, $A61)</f>
        <v>2</v>
      </c>
      <c r="L61">
        <f>SUMIFS(DataRegularSeason20242025!$AA$3:$AA$1315,DataRegularSeason20242025!$B$3:$B$1315, "&lt;=" &amp; L$1, DataRegularSeason20242025!$D$3:$D$1315, $A61)+SUMIFS(DataRegularSeason20242025!$AB$3:$AB$1315,DataRegularSeason20242025!$B$3:$B$1315, "&lt;=" &amp; L$1, DataRegularSeason20242025!$E$3:$E$1315, $A61)</f>
        <v>2</v>
      </c>
      <c r="M61">
        <f>SUMIFS(DataRegularSeason20242025!$AA$3:$AA$1315,DataRegularSeason20242025!$B$3:$B$1315, "&lt;=" &amp; M$1, DataRegularSeason20242025!$D$3:$D$1315, $A61)+SUMIFS(DataRegularSeason20242025!$AB$3:$AB$1315,DataRegularSeason20242025!$B$3:$B$1315, "&lt;=" &amp; M$1, DataRegularSeason20242025!$E$3:$E$1315, $A61)</f>
        <v>2</v>
      </c>
      <c r="N61">
        <f>SUMIFS(DataRegularSeason20242025!$AA$3:$AA$1315,DataRegularSeason20242025!$B$3:$B$1315, "&lt;=" &amp; N$1, DataRegularSeason20242025!$D$3:$D$1315, $A61)+SUMIFS(DataRegularSeason20242025!$AB$3:$AB$1315,DataRegularSeason20242025!$B$3:$B$1315, "&lt;=" &amp; N$1, DataRegularSeason20242025!$E$3:$E$1315, $A61)</f>
        <v>4</v>
      </c>
      <c r="O61">
        <f>SUMIFS(DataRegularSeason20242025!$AA$3:$AA$1315,DataRegularSeason20242025!$B$3:$B$1315, "&lt;=" &amp; O$1, DataRegularSeason20242025!$D$3:$D$1315, $A61)+SUMIFS(DataRegularSeason20242025!$AB$3:$AB$1315,DataRegularSeason20242025!$B$3:$B$1315, "&lt;=" &amp; O$1, DataRegularSeason20242025!$E$3:$E$1315, $A61)</f>
        <v>4</v>
      </c>
      <c r="P61">
        <f>SUMIFS(DataRegularSeason20242025!$AA$3:$AA$1315,DataRegularSeason20242025!$B$3:$B$1315, "&lt;=" &amp; P$1, DataRegularSeason20242025!$D$3:$D$1315, $A61)+SUMIFS(DataRegularSeason20242025!$AB$3:$AB$1315,DataRegularSeason20242025!$B$3:$B$1315, "&lt;=" &amp; P$1, DataRegularSeason20242025!$E$3:$E$1315, $A61)</f>
        <v>4</v>
      </c>
      <c r="Q61">
        <f>SUMIFS(DataRegularSeason20242025!$AA$3:$AA$1315,DataRegularSeason20242025!$B$3:$B$1315, "&lt;=" &amp; Q$1, DataRegularSeason20242025!$D$3:$D$1315, $A61)+SUMIFS(DataRegularSeason20242025!$AB$3:$AB$1315,DataRegularSeason20242025!$B$3:$B$1315, "&lt;=" &amp; Q$1, DataRegularSeason20242025!$E$3:$E$1315, $A61)</f>
        <v>4</v>
      </c>
      <c r="R61">
        <f>SUMIFS(DataRegularSeason20242025!$AA$3:$AA$1315,DataRegularSeason20242025!$B$3:$B$1315, "&lt;=" &amp; R$1, DataRegularSeason20242025!$D$3:$D$1315, $A61)+SUMIFS(DataRegularSeason20242025!$AB$3:$AB$1315,DataRegularSeason20242025!$B$3:$B$1315, "&lt;=" &amp; R$1, DataRegularSeason20242025!$E$3:$E$1315, $A61)</f>
        <v>4</v>
      </c>
      <c r="S61">
        <f>SUMIFS(DataRegularSeason20242025!$AA$3:$AA$1315,DataRegularSeason20242025!$B$3:$B$1315, "&lt;=" &amp; S$1, DataRegularSeason20242025!$D$3:$D$1315, $A61)+SUMIFS(DataRegularSeason20242025!$AB$3:$AB$1315,DataRegularSeason20242025!$B$3:$B$1315, "&lt;=" &amp; S$1, DataRegularSeason20242025!$E$3:$E$1315, $A61)</f>
        <v>5</v>
      </c>
      <c r="T61">
        <f>SUMIFS(DataRegularSeason20242025!$AA$3:$AA$1315,DataRegularSeason20242025!$B$3:$B$1315, "&lt;=" &amp; T$1, DataRegularSeason20242025!$D$3:$D$1315, $A61)+SUMIFS(DataRegularSeason20242025!$AB$3:$AB$1315,DataRegularSeason20242025!$B$3:$B$1315, "&lt;=" &amp; T$1, DataRegularSeason20242025!$E$3:$E$1315, $A61)</f>
        <v>5</v>
      </c>
      <c r="U61">
        <f>SUMIFS(DataRegularSeason20242025!$AA$3:$AA$1315,DataRegularSeason20242025!$B$3:$B$1315, "&lt;=" &amp; U$1, DataRegularSeason20242025!$D$3:$D$1315, $A61)+SUMIFS(DataRegularSeason20242025!$AB$3:$AB$1315,DataRegularSeason20242025!$B$3:$B$1315, "&lt;=" &amp; U$1, DataRegularSeason20242025!$E$3:$E$1315, $A61)</f>
        <v>7</v>
      </c>
      <c r="V61">
        <f>SUMIFS(DataRegularSeason20242025!$AA$3:$AA$1315,DataRegularSeason20242025!$B$3:$B$1315, "&lt;=" &amp; V$1, DataRegularSeason20242025!$D$3:$D$1315, $A61)+SUMIFS(DataRegularSeason20242025!$AB$3:$AB$1315,DataRegularSeason20242025!$B$3:$B$1315, "&lt;=" &amp; V$1, DataRegularSeason20242025!$E$3:$E$1315, $A61)</f>
        <v>7</v>
      </c>
      <c r="W61">
        <f>SUMIFS(DataRegularSeason20242025!$AA$3:$AA$1315,DataRegularSeason20242025!$B$3:$B$1315, "&lt;=" &amp; W$1, DataRegularSeason20242025!$D$3:$D$1315, $A61)+SUMIFS(DataRegularSeason20242025!$AB$3:$AB$1315,DataRegularSeason20242025!$B$3:$B$1315, "&lt;=" &amp; W$1, DataRegularSeason20242025!$E$3:$E$1315, $A61)</f>
        <v>7</v>
      </c>
      <c r="X61">
        <f>SUMIFS(DataRegularSeason20242025!$AA$3:$AA$1315,DataRegularSeason20242025!$B$3:$B$1315, "&lt;=" &amp; X$1, DataRegularSeason20242025!$D$3:$D$1315, $A61)+SUMIFS(DataRegularSeason20242025!$AB$3:$AB$1315,DataRegularSeason20242025!$B$3:$B$1315, "&lt;=" &amp; X$1, DataRegularSeason20242025!$E$3:$E$1315, $A61)</f>
        <v>7</v>
      </c>
      <c r="Y61">
        <f>SUMIFS(DataRegularSeason20242025!$AA$3:$AA$1315,DataRegularSeason20242025!$B$3:$B$1315, "&lt;=" &amp; Y$1, DataRegularSeason20242025!$D$3:$D$1315, $A61)+SUMIFS(DataRegularSeason20242025!$AB$3:$AB$1315,DataRegularSeason20242025!$B$3:$B$1315, "&lt;=" &amp; Y$1, DataRegularSeason20242025!$E$3:$E$1315, $A61)</f>
        <v>7</v>
      </c>
      <c r="Z61">
        <f>SUMIFS(DataRegularSeason20242025!$AA$3:$AA$1315,DataRegularSeason20242025!$B$3:$B$1315, "&lt;=" &amp; Z$1, DataRegularSeason20242025!$D$3:$D$1315, $A61)+SUMIFS(DataRegularSeason20242025!$AB$3:$AB$1315,DataRegularSeason20242025!$B$3:$B$1315, "&lt;=" &amp; Z$1, DataRegularSeason20242025!$E$3:$E$1315, $A61)</f>
        <v>7</v>
      </c>
      <c r="AA61">
        <f>SUMIFS(DataRegularSeason20242025!$AA$3:$AA$1315,DataRegularSeason20242025!$B$3:$B$1315, "&lt;=" &amp; AA$1, DataRegularSeason20242025!$D$3:$D$1315, $A61)+SUMIFS(DataRegularSeason20242025!$AB$3:$AB$1315,DataRegularSeason20242025!$B$3:$B$1315, "&lt;=" &amp; AA$1, DataRegularSeason20242025!$E$3:$E$1315, $A61)</f>
        <v>7</v>
      </c>
      <c r="AB61">
        <f>SUMIFS(DataRegularSeason20242025!$AA$3:$AA$1315,DataRegularSeason20242025!$B$3:$B$1315, "&lt;=" &amp; AB$1, DataRegularSeason20242025!$D$3:$D$1315, $A61)+SUMIFS(DataRegularSeason20242025!$AB$3:$AB$1315,DataRegularSeason20242025!$B$3:$B$1315, "&lt;=" &amp; AB$1, DataRegularSeason20242025!$E$3:$E$1315, $A61)</f>
        <v>7</v>
      </c>
      <c r="AC61">
        <f>SUMIFS(DataRegularSeason20242025!$AA$3:$AA$1315,DataRegularSeason20242025!$B$3:$B$1315, "&lt;=" &amp; AC$1, DataRegularSeason20242025!$D$3:$D$1315, $A61)+SUMIFS(DataRegularSeason20242025!$AB$3:$AB$1315,DataRegularSeason20242025!$B$3:$B$1315, "&lt;=" &amp; AC$1, DataRegularSeason20242025!$E$3:$E$1315, $A61)</f>
        <v>7</v>
      </c>
      <c r="AD61">
        <f>SUMIFS(DataRegularSeason20242025!$AA$3:$AA$1315,DataRegularSeason20242025!$B$3:$B$1315, "&lt;=" &amp; AD$1, DataRegularSeason20242025!$D$3:$D$1315, $A61)+SUMIFS(DataRegularSeason20242025!$AB$3:$AB$1315,DataRegularSeason20242025!$B$3:$B$1315, "&lt;=" &amp; AD$1, DataRegularSeason20242025!$E$3:$E$1315, $A61)</f>
        <v>7</v>
      </c>
      <c r="AE61">
        <f>SUMIFS(DataRegularSeason20242025!$AA$3:$AA$1315,DataRegularSeason20242025!$B$3:$B$1315, "&lt;=" &amp; AE$1, DataRegularSeason20242025!$D$3:$D$1315, $A61)+SUMIFS(DataRegularSeason20242025!$AB$3:$AB$1315,DataRegularSeason20242025!$B$3:$B$1315, "&lt;=" &amp; AE$1, DataRegularSeason20242025!$E$3:$E$1315, $A61)</f>
        <v>7</v>
      </c>
      <c r="AF61">
        <f>SUMIFS(DataRegularSeason20242025!$AA$3:$AA$1315,DataRegularSeason20242025!$B$3:$B$1315, "&lt;=" &amp; AF$1, DataRegularSeason20242025!$D$3:$D$1315, $A61)+SUMIFS(DataRegularSeason20242025!$AB$3:$AB$1315,DataRegularSeason20242025!$B$3:$B$1315, "&lt;=" &amp; AF$1, DataRegularSeason20242025!$E$3:$E$1315, $A61)</f>
        <v>7</v>
      </c>
      <c r="AG61">
        <f>SUMIFS(DataRegularSeason20242025!$AA$3:$AA$1315,DataRegularSeason20242025!$B$3:$B$1315, "&lt;=" &amp; AG$1, DataRegularSeason20242025!$D$3:$D$1315, $A61)+SUMIFS(DataRegularSeason20242025!$AB$3:$AB$1315,DataRegularSeason20242025!$B$3:$B$1315, "&lt;=" &amp; AG$1, DataRegularSeason20242025!$E$3:$E$1315, $A61)</f>
        <v>7</v>
      </c>
      <c r="AH61">
        <f>SUMIFS(DataRegularSeason20242025!$AA$3:$AA$1315,DataRegularSeason20242025!$B$3:$B$1315, "&lt;=" &amp; AH$1, DataRegularSeason20242025!$D$3:$D$1315, $A61)+SUMIFS(DataRegularSeason20242025!$AB$3:$AB$1315,DataRegularSeason20242025!$B$3:$B$1315, "&lt;=" &amp; AH$1, DataRegularSeason20242025!$E$3:$E$1315, $A61)</f>
        <v>7</v>
      </c>
      <c r="AI61">
        <f>SUMIFS(DataRegularSeason20242025!$AA$3:$AA$1315,DataRegularSeason20242025!$B$3:$B$1315, "&lt;=" &amp; AI$1, DataRegularSeason20242025!$D$3:$D$1315, $A61)+SUMIFS(DataRegularSeason20242025!$AB$3:$AB$1315,DataRegularSeason20242025!$B$3:$B$1315, "&lt;=" &amp; AI$1, DataRegularSeason20242025!$E$3:$E$1315, $A61)</f>
        <v>7</v>
      </c>
      <c r="AJ61">
        <f>SUMIFS(DataRegularSeason20242025!$AA$3:$AA$1315,DataRegularSeason20242025!$B$3:$B$1315, "&lt;=" &amp; AJ$1, DataRegularSeason20242025!$D$3:$D$1315, $A61)+SUMIFS(DataRegularSeason20242025!$AB$3:$AB$1315,DataRegularSeason20242025!$B$3:$B$1315, "&lt;=" &amp; AJ$1, DataRegularSeason20242025!$E$3:$E$1315, $A61)</f>
        <v>7</v>
      </c>
      <c r="AK61">
        <f>SUMIFS(DataRegularSeason20242025!$AA$3:$AA$1315,DataRegularSeason20242025!$B$3:$B$1315, "&lt;=" &amp; AK$1, DataRegularSeason20242025!$D$3:$D$1315, $A61)+SUMIFS(DataRegularSeason20242025!$AB$3:$AB$1315,DataRegularSeason20242025!$B$3:$B$1315, "&lt;=" &amp; AK$1, DataRegularSeason20242025!$E$3:$E$1315, $A61)</f>
        <v>7</v>
      </c>
      <c r="AL61">
        <f>SUMIFS(DataRegularSeason20242025!$AA$3:$AA$1315,DataRegularSeason20242025!$B$3:$B$1315, "&lt;=" &amp; AL$1, DataRegularSeason20242025!$D$3:$D$1315, $A61)+SUMIFS(DataRegularSeason20242025!$AB$3:$AB$1315,DataRegularSeason20242025!$B$3:$B$1315, "&lt;=" &amp; AL$1, DataRegularSeason20242025!$E$3:$E$1315, $A61)</f>
        <v>7</v>
      </c>
      <c r="AM61">
        <f>SUMIFS(DataRegularSeason20242025!$AA$3:$AA$1315,DataRegularSeason20242025!$B$3:$B$1315, "&lt;=" &amp; AM$1, DataRegularSeason20242025!$D$3:$D$1315, $A61)+SUMIFS(DataRegularSeason20242025!$AB$3:$AB$1315,DataRegularSeason20242025!$B$3:$B$1315, "&lt;=" &amp; AM$1, DataRegularSeason20242025!$E$3:$E$1315, $A61)</f>
        <v>7</v>
      </c>
      <c r="AN61">
        <f>SUMIFS(DataRegularSeason20242025!$AA$3:$AA$1315,DataRegularSeason20242025!$B$3:$B$1315, "&lt;=" &amp; AN$1, DataRegularSeason20242025!$D$3:$D$1315, $A61)+SUMIFS(DataRegularSeason20242025!$AB$3:$AB$1315,DataRegularSeason20242025!$B$3:$B$1315, "&lt;=" &amp; AN$1, DataRegularSeason20242025!$E$3:$E$1315, $A61)</f>
        <v>7</v>
      </c>
      <c r="AO61">
        <f>SUMIFS(DataRegularSeason20242025!$AA$3:$AA$1315,DataRegularSeason20242025!$B$3:$B$1315, "&lt;=" &amp; AO$1, DataRegularSeason20242025!$D$3:$D$1315, $A61)+SUMIFS(DataRegularSeason20242025!$AB$3:$AB$1315,DataRegularSeason20242025!$B$3:$B$1315, "&lt;=" &amp; AO$1, DataRegularSeason20242025!$E$3:$E$1315, $A61)</f>
        <v>7</v>
      </c>
      <c r="AP61">
        <f>SUMIFS(DataRegularSeason20242025!$AA$3:$AA$1315,DataRegularSeason20242025!$B$3:$B$1315, "&lt;=" &amp; AP$1, DataRegularSeason20242025!$D$3:$D$1315, $A61)+SUMIFS(DataRegularSeason20242025!$AB$3:$AB$1315,DataRegularSeason20242025!$B$3:$B$1315, "&lt;=" &amp; AP$1, DataRegularSeason20242025!$E$3:$E$1315, $A61)</f>
        <v>7</v>
      </c>
      <c r="AQ61">
        <f>SUMIFS(DataRegularSeason20242025!$AA$3:$AA$1315,DataRegularSeason20242025!$B$3:$B$1315, "&lt;=" &amp; AQ$1, DataRegularSeason20242025!$D$3:$D$1315, $A61)+SUMIFS(DataRegularSeason20242025!$AB$3:$AB$1315,DataRegularSeason20242025!$B$3:$B$1315, "&lt;=" &amp; AQ$1, DataRegularSeason20242025!$E$3:$E$1315, $A61)</f>
        <v>7</v>
      </c>
      <c r="AR61">
        <f>SUMIFS(DataRegularSeason20242025!$AA$3:$AA$1315,DataRegularSeason20242025!$B$3:$B$1315, "&lt;=" &amp; AR$1, DataRegularSeason20242025!$D$3:$D$1315, $A61)+SUMIFS(DataRegularSeason20242025!$AB$3:$AB$1315,DataRegularSeason20242025!$B$3:$B$1315, "&lt;=" &amp; AR$1, DataRegularSeason20242025!$E$3:$E$1315, $A61)</f>
        <v>7</v>
      </c>
      <c r="AS61">
        <f>SUMIFS(DataRegularSeason20242025!$AA$3:$AA$1315,DataRegularSeason20242025!$B$3:$B$1315, "&lt;=" &amp; AS$1, DataRegularSeason20242025!$D$3:$D$1315, $A61)+SUMIFS(DataRegularSeason20242025!$AB$3:$AB$1315,DataRegularSeason20242025!$B$3:$B$1315, "&lt;=" &amp; AS$1, DataRegularSeason20242025!$E$3:$E$1315, $A61)</f>
        <v>7</v>
      </c>
      <c r="AT61">
        <f>SUMIFS(DataRegularSeason20242025!$AA$3:$AA$1315,DataRegularSeason20242025!$B$3:$B$1315, "&lt;=" &amp; AT$1, DataRegularSeason20242025!$D$3:$D$1315, $A61)+SUMIFS(DataRegularSeason20242025!$AB$3:$AB$1315,DataRegularSeason20242025!$B$3:$B$1315, "&lt;=" &amp; AT$1, DataRegularSeason20242025!$E$3:$E$1315, $A61)</f>
        <v>7</v>
      </c>
      <c r="AU61">
        <f>SUMIFS(DataRegularSeason20242025!$AA$3:$AA$1315,DataRegularSeason20242025!$B$3:$B$1315, "&lt;=" &amp; AU$1, DataRegularSeason20242025!$D$3:$D$1315, $A61)+SUMIFS(DataRegularSeason20242025!$AB$3:$AB$1315,DataRegularSeason20242025!$B$3:$B$1315, "&lt;=" &amp; AU$1, DataRegularSeason20242025!$E$3:$E$1315, $A61)</f>
        <v>7</v>
      </c>
      <c r="AV61">
        <f>SUMIFS(DataRegularSeason20242025!$AA$3:$AA$1315,DataRegularSeason20242025!$B$3:$B$1315, "&lt;=" &amp; AV$1, DataRegularSeason20242025!$D$3:$D$1315, $A61)+SUMIFS(DataRegularSeason20242025!$AB$3:$AB$1315,DataRegularSeason20242025!$B$3:$B$1315, "&lt;=" &amp; AV$1, DataRegularSeason20242025!$E$3:$E$1315, $A61)</f>
        <v>7</v>
      </c>
      <c r="AW61">
        <f>SUMIFS(DataRegularSeason20242025!$AA$3:$AA$1315,DataRegularSeason20242025!$B$3:$B$1315, "&lt;=" &amp; AW$1, DataRegularSeason20242025!$D$3:$D$1315, $A61)+SUMIFS(DataRegularSeason20242025!$AB$3:$AB$1315,DataRegularSeason20242025!$B$3:$B$1315, "&lt;=" &amp; AW$1, DataRegularSeason20242025!$E$3:$E$1315, $A61)</f>
        <v>7</v>
      </c>
      <c r="AX61">
        <f>SUMIFS(DataRegularSeason20242025!$AA$3:$AA$1315,DataRegularSeason20242025!$B$3:$B$1315, "&lt;=" &amp; AX$1, DataRegularSeason20242025!$D$3:$D$1315, $A61)+SUMIFS(DataRegularSeason20242025!$AB$3:$AB$1315,DataRegularSeason20242025!$B$3:$B$1315, "&lt;=" &amp; AX$1, DataRegularSeason20242025!$E$3:$E$1315, $A61)</f>
        <v>7</v>
      </c>
      <c r="AY61">
        <f>SUMIFS(DataRegularSeason20242025!$AA$3:$AA$1315,DataRegularSeason20242025!$B$3:$B$1315, "&lt;=" &amp; AY$1, DataRegularSeason20242025!$D$3:$D$1315, $A61)+SUMIFS(DataRegularSeason20242025!$AB$3:$AB$1315,DataRegularSeason20242025!$B$3:$B$1315, "&lt;=" &amp; AY$1, DataRegularSeason20242025!$E$3:$E$1315, $A61)</f>
        <v>7</v>
      </c>
      <c r="AZ61">
        <f>SUMIFS(DataRegularSeason20242025!$AA$3:$AA$1315,DataRegularSeason20242025!$B$3:$B$1315, "&lt;=" &amp; AZ$1, DataRegularSeason20242025!$D$3:$D$1315, $A61)+SUMIFS(DataRegularSeason20242025!$AB$3:$AB$1315,DataRegularSeason20242025!$B$3:$B$1315, "&lt;=" &amp; AZ$1, DataRegularSeason20242025!$E$3:$E$1315, $A61)</f>
        <v>7</v>
      </c>
      <c r="BA61">
        <f>SUMIFS(DataRegularSeason20242025!$AA$3:$AA$1315,DataRegularSeason20242025!$B$3:$B$1315, "&lt;=" &amp; BA$1, DataRegularSeason20242025!$D$3:$D$1315, $A61)+SUMIFS(DataRegularSeason20242025!$AB$3:$AB$1315,DataRegularSeason20242025!$B$3:$B$1315, "&lt;=" &amp; BA$1, DataRegularSeason20242025!$E$3:$E$1315, $A61)</f>
        <v>7</v>
      </c>
      <c r="BB61">
        <f>SUMIFS(DataRegularSeason20242025!$AA$3:$AA$1315,DataRegularSeason20242025!$B$3:$B$1315, "&lt;=" &amp; BB$1, DataRegularSeason20242025!$D$3:$D$1315, $A61)+SUMIFS(DataRegularSeason20242025!$AB$3:$AB$1315,DataRegularSeason20242025!$B$3:$B$1315, "&lt;=" &amp; BB$1, DataRegularSeason20242025!$E$3:$E$1315, $A61)</f>
        <v>7</v>
      </c>
      <c r="BC61">
        <f>SUMIFS(DataRegularSeason20242025!$AA$3:$AA$1315,DataRegularSeason20242025!$B$3:$B$1315, "&lt;=" &amp; BC$1, DataRegularSeason20242025!$D$3:$D$1315, $A61)+SUMIFS(DataRegularSeason20242025!$AB$3:$AB$1315,DataRegularSeason20242025!$B$3:$B$1315, "&lt;=" &amp; BC$1, DataRegularSeason20242025!$E$3:$E$1315, $A61)</f>
        <v>7</v>
      </c>
      <c r="BD61">
        <f>SUMIFS(DataRegularSeason20242025!$AA$3:$AA$1315,DataRegularSeason20242025!$B$3:$B$1315, "&lt;=" &amp; BD$1, DataRegularSeason20242025!$D$3:$D$1315, $A61)+SUMIFS(DataRegularSeason20242025!$AB$3:$AB$1315,DataRegularSeason20242025!$B$3:$B$1315, "&lt;=" &amp; BD$1, DataRegularSeason20242025!$E$3:$E$1315, $A61)</f>
        <v>7</v>
      </c>
      <c r="BE61">
        <f>SUMIFS(DataRegularSeason20242025!$AA$3:$AA$1315,DataRegularSeason20242025!$B$3:$B$1315, "&lt;=" &amp; BE$1, DataRegularSeason20242025!$D$3:$D$1315, $A61)+SUMIFS(DataRegularSeason20242025!$AB$3:$AB$1315,DataRegularSeason20242025!$B$3:$B$1315, "&lt;=" &amp; BE$1, DataRegularSeason20242025!$E$3:$E$1315, $A61)</f>
        <v>7</v>
      </c>
      <c r="BF61">
        <f>SUMIFS(DataRegularSeason20242025!$AA$3:$AA$1315,DataRegularSeason20242025!$B$3:$B$1315, "&lt;=" &amp; BF$1, DataRegularSeason20242025!$D$3:$D$1315, $A61)+SUMIFS(DataRegularSeason20242025!$AB$3:$AB$1315,DataRegularSeason20242025!$B$3:$B$1315, "&lt;=" &amp; BF$1, DataRegularSeason20242025!$E$3:$E$1315, $A61)</f>
        <v>7</v>
      </c>
      <c r="BG61">
        <f>SUMIFS(DataRegularSeason20242025!$AA$3:$AA$1315,DataRegularSeason20242025!$B$3:$B$1315, "&lt;=" &amp; BG$1, DataRegularSeason20242025!$D$3:$D$1315, $A61)+SUMIFS(DataRegularSeason20242025!$AB$3:$AB$1315,DataRegularSeason20242025!$B$3:$B$1315, "&lt;=" &amp; BG$1, DataRegularSeason20242025!$E$3:$E$1315, $A61)</f>
        <v>7</v>
      </c>
      <c r="BH61">
        <f>SUMIFS(DataRegularSeason20242025!$AA$3:$AA$1315,DataRegularSeason20242025!$B$3:$B$1315, "&lt;=" &amp; BH$1, DataRegularSeason20242025!$D$3:$D$1315, $A61)+SUMIFS(DataRegularSeason20242025!$AB$3:$AB$1315,DataRegularSeason20242025!$B$3:$B$1315, "&lt;=" &amp; BH$1, DataRegularSeason20242025!$E$3:$E$1315, $A61)</f>
        <v>7</v>
      </c>
      <c r="BI61">
        <f>SUMIFS(DataRegularSeason20242025!$AA$3:$AA$1315,DataRegularSeason20242025!$B$3:$B$1315, "&lt;=" &amp; BI$1, DataRegularSeason20242025!$D$3:$D$1315, $A61)+SUMIFS(DataRegularSeason20242025!$AB$3:$AB$1315,DataRegularSeason20242025!$B$3:$B$1315, "&lt;=" &amp; BI$1, DataRegularSeason20242025!$E$3:$E$1315, $A61)</f>
        <v>7</v>
      </c>
      <c r="BJ61">
        <f>SUMIFS(DataRegularSeason20242025!$AA$3:$AA$1315,DataRegularSeason20242025!$B$3:$B$1315, "&lt;=" &amp; BJ$1, DataRegularSeason20242025!$D$3:$D$1315, $A61)+SUMIFS(DataRegularSeason20242025!$AB$3:$AB$1315,DataRegularSeason20242025!$B$3:$B$1315, "&lt;=" &amp; BJ$1, DataRegularSeason20242025!$E$3:$E$1315, $A61)</f>
        <v>7</v>
      </c>
      <c r="BK61">
        <f>SUMIFS(DataRegularSeason20242025!$AA$3:$AA$1315,DataRegularSeason20242025!$B$3:$B$1315, "&lt;=" &amp; BK$1, DataRegularSeason20242025!$D$3:$D$1315, $A61)+SUMIFS(DataRegularSeason20242025!$AB$3:$AB$1315,DataRegularSeason20242025!$B$3:$B$1315, "&lt;=" &amp; BK$1, DataRegularSeason20242025!$E$3:$E$1315, $A61)</f>
        <v>7</v>
      </c>
      <c r="BL61">
        <f>SUMIFS(DataRegularSeason20242025!$AA$3:$AA$1315,DataRegularSeason20242025!$B$3:$B$1315, "&lt;=" &amp; BL$1, DataRegularSeason20242025!$D$3:$D$1315, $A61)+SUMIFS(DataRegularSeason20242025!$AB$3:$AB$1315,DataRegularSeason20242025!$B$3:$B$1315, "&lt;=" &amp; BL$1, DataRegularSeason20242025!$E$3:$E$1315, $A61)</f>
        <v>7</v>
      </c>
      <c r="BM61">
        <f>SUMIFS(DataRegularSeason20242025!$AA$3:$AA$1315,DataRegularSeason20242025!$B$3:$B$1315, "&lt;=" &amp; BM$1, DataRegularSeason20242025!$D$3:$D$1315, $A61)+SUMIFS(DataRegularSeason20242025!$AB$3:$AB$1315,DataRegularSeason20242025!$B$3:$B$1315, "&lt;=" &amp; BM$1, DataRegularSeason20242025!$E$3:$E$1315, $A61)</f>
        <v>7</v>
      </c>
      <c r="BN61">
        <f>SUMIFS(DataRegularSeason20242025!$AA$3:$AA$1315,DataRegularSeason20242025!$B$3:$B$1315, "&lt;=" &amp; BN$1, DataRegularSeason20242025!$D$3:$D$1315, $A61)+SUMIFS(DataRegularSeason20242025!$AB$3:$AB$1315,DataRegularSeason20242025!$B$3:$B$1315, "&lt;=" &amp; BN$1, DataRegularSeason20242025!$E$3:$E$1315, $A61)</f>
        <v>7</v>
      </c>
      <c r="BO61">
        <f>SUMIFS(DataRegularSeason20242025!$AA$3:$AA$1315,DataRegularSeason20242025!$B$3:$B$1315, "&lt;=" &amp; BO$1, DataRegularSeason20242025!$D$3:$D$1315, $A61)+SUMIFS(DataRegularSeason20242025!$AB$3:$AB$1315,DataRegularSeason20242025!$B$3:$B$1315, "&lt;=" &amp; BO$1, DataRegularSeason20242025!$E$3:$E$1315, $A61)</f>
        <v>7</v>
      </c>
      <c r="BP61">
        <f>SUMIFS(DataRegularSeason20242025!$AA$3:$AA$1315,DataRegularSeason20242025!$B$3:$B$1315, "&lt;=" &amp; BP$1, DataRegularSeason20242025!$D$3:$D$1315, $A61)+SUMIFS(DataRegularSeason20242025!$AB$3:$AB$1315,DataRegularSeason20242025!$B$3:$B$1315, "&lt;=" &amp; BP$1, DataRegularSeason20242025!$E$3:$E$1315, $A61)</f>
        <v>7</v>
      </c>
      <c r="BQ61">
        <f>SUMIFS(DataRegularSeason20242025!$AA$3:$AA$1315,DataRegularSeason20242025!$B$3:$B$1315, "&lt;=" &amp; BQ$1, DataRegularSeason20242025!$D$3:$D$1315, $A61)+SUMIFS(DataRegularSeason20242025!$AB$3:$AB$1315,DataRegularSeason20242025!$B$3:$B$1315, "&lt;=" &amp; BQ$1, DataRegularSeason20242025!$E$3:$E$1315, $A61)</f>
        <v>7</v>
      </c>
      <c r="BR61">
        <f>SUMIFS(DataRegularSeason20242025!$AA$3:$AA$1315,DataRegularSeason20242025!$B$3:$B$1315, "&lt;=" &amp; BR$1, DataRegularSeason20242025!$D$3:$D$1315, $A61)+SUMIFS(DataRegularSeason20242025!$AB$3:$AB$1315,DataRegularSeason20242025!$B$3:$B$1315, "&lt;=" &amp; BR$1, DataRegularSeason20242025!$E$3:$E$1315, $A61)</f>
        <v>7</v>
      </c>
      <c r="BS61">
        <f>SUMIFS(DataRegularSeason20242025!$AA$3:$AA$1315,DataRegularSeason20242025!$B$3:$B$1315, "&lt;=" &amp; BS$1, DataRegularSeason20242025!$D$3:$D$1315, $A61)+SUMIFS(DataRegularSeason20242025!$AB$3:$AB$1315,DataRegularSeason20242025!$B$3:$B$1315, "&lt;=" &amp; BS$1, DataRegularSeason20242025!$E$3:$E$1315, $A61)</f>
        <v>7</v>
      </c>
      <c r="BT61">
        <f>SUMIFS(DataRegularSeason20242025!$AA$3:$AA$1315,DataRegularSeason20242025!$B$3:$B$1315, "&lt;=" &amp; BT$1, DataRegularSeason20242025!$D$3:$D$1315, $A61)+SUMIFS(DataRegularSeason20242025!$AB$3:$AB$1315,DataRegularSeason20242025!$B$3:$B$1315, "&lt;=" &amp; BT$1, DataRegularSeason20242025!$E$3:$E$1315, $A61)</f>
        <v>7</v>
      </c>
      <c r="BU61">
        <f>SUMIFS(DataRegularSeason20242025!$AA$3:$AA$1315,DataRegularSeason20242025!$B$3:$B$1315, "&lt;=" &amp; BU$1, DataRegularSeason20242025!$D$3:$D$1315, $A61)+SUMIFS(DataRegularSeason20242025!$AB$3:$AB$1315,DataRegularSeason20242025!$B$3:$B$1315, "&lt;=" &amp; BU$1, DataRegularSeason20242025!$E$3:$E$1315, $A61)</f>
        <v>7</v>
      </c>
      <c r="BV61">
        <f>SUMIFS(DataRegularSeason20242025!$AA$3:$AA$1315,DataRegularSeason20242025!$B$3:$B$1315, "&lt;=" &amp; BV$1, DataRegularSeason20242025!$D$3:$D$1315, $A61)+SUMIFS(DataRegularSeason20242025!$AB$3:$AB$1315,DataRegularSeason20242025!$B$3:$B$1315, "&lt;=" &amp; BV$1, DataRegularSeason20242025!$E$3:$E$1315, $A61)</f>
        <v>7</v>
      </c>
      <c r="BW61">
        <f>SUMIFS(DataRegularSeason20242025!$AA$3:$AA$1315,DataRegularSeason20242025!$B$3:$B$1315, "&lt;=" &amp; BW$1, DataRegularSeason20242025!$D$3:$D$1315, $A61)+SUMIFS(DataRegularSeason20242025!$AB$3:$AB$1315,DataRegularSeason20242025!$B$3:$B$1315, "&lt;=" &amp; BW$1, DataRegularSeason20242025!$E$3:$E$1315, $A61)</f>
        <v>7</v>
      </c>
      <c r="BX61">
        <f>SUMIFS(DataRegularSeason20242025!$AA$3:$AA$1315,DataRegularSeason20242025!$B$3:$B$1315, "&lt;=" &amp; BX$1, DataRegularSeason20242025!$D$3:$D$1315, $A61)+SUMIFS(DataRegularSeason20242025!$AB$3:$AB$1315,DataRegularSeason20242025!$B$3:$B$1315, "&lt;=" &amp; BX$1, DataRegularSeason20242025!$E$3:$E$1315, $A61)</f>
        <v>7</v>
      </c>
      <c r="BY61">
        <f>SUMIFS(DataRegularSeason20242025!$AA$3:$AA$1315,DataRegularSeason20242025!$B$3:$B$1315, "&lt;=" &amp; BY$1, DataRegularSeason20242025!$D$3:$D$1315, $A61)+SUMIFS(DataRegularSeason20242025!$AB$3:$AB$1315,DataRegularSeason20242025!$B$3:$B$1315, "&lt;=" &amp; BY$1, DataRegularSeason20242025!$E$3:$E$1315, $A61)</f>
        <v>7</v>
      </c>
      <c r="BZ61">
        <f>SUMIFS(DataRegularSeason20242025!$AA$3:$AA$1315,DataRegularSeason20242025!$B$3:$B$1315, "&lt;=" &amp; BZ$1, DataRegularSeason20242025!$D$3:$D$1315, $A61)+SUMIFS(DataRegularSeason20242025!$AB$3:$AB$1315,DataRegularSeason20242025!$B$3:$B$1315, "&lt;=" &amp; BZ$1, DataRegularSeason20242025!$E$3:$E$1315, $A61)</f>
        <v>7</v>
      </c>
      <c r="CA61">
        <f>SUMIFS(DataRegularSeason20242025!$AA$3:$AA$1315,DataRegularSeason20242025!$B$3:$B$1315, "&lt;=" &amp; CA$1, DataRegularSeason20242025!$D$3:$D$1315, $A61)+SUMIFS(DataRegularSeason20242025!$AB$3:$AB$1315,DataRegularSeason20242025!$B$3:$B$1315, "&lt;=" &amp; CA$1, DataRegularSeason20242025!$E$3:$E$1315, $A61)</f>
        <v>7</v>
      </c>
      <c r="CB61">
        <f>SUMIFS(DataRegularSeason20242025!$AA$3:$AA$1315,DataRegularSeason20242025!$B$3:$B$1315, "&lt;=" &amp; CB$1, DataRegularSeason20242025!$D$3:$D$1315, $A61)+SUMIFS(DataRegularSeason20242025!$AB$3:$AB$1315,DataRegularSeason20242025!$B$3:$B$1315, "&lt;=" &amp; CB$1, DataRegularSeason20242025!$E$3:$E$1315, $A61)</f>
        <v>7</v>
      </c>
      <c r="CC61">
        <f>SUMIFS(DataRegularSeason20242025!$AA$3:$AA$1315,DataRegularSeason20242025!$B$3:$B$1315, "&lt;=" &amp; CC$1, DataRegularSeason20242025!$D$3:$D$1315, $A61)+SUMIFS(DataRegularSeason20242025!$AB$3:$AB$1315,DataRegularSeason20242025!$B$3:$B$1315, "&lt;=" &amp; CC$1, DataRegularSeason20242025!$E$3:$E$1315, $A61)</f>
        <v>7</v>
      </c>
      <c r="CD61">
        <f>SUMIFS(DataRegularSeason20242025!$AA$3:$AA$1315,DataRegularSeason20242025!$B$3:$B$1315, "&lt;=" &amp; CD$1, DataRegularSeason20242025!$D$3:$D$1315, $A61)+SUMIFS(DataRegularSeason20242025!$AB$3:$AB$1315,DataRegularSeason20242025!$B$3:$B$1315, "&lt;=" &amp; CD$1, DataRegularSeason20242025!$E$3:$E$1315, $A61)</f>
        <v>7</v>
      </c>
      <c r="CE61">
        <f>SUMIFS(DataRegularSeason20242025!$AA$3:$AA$1315,DataRegularSeason20242025!$B$3:$B$1315, "&lt;=" &amp; CE$1, DataRegularSeason20242025!$D$3:$D$1315, $A61)+SUMIFS(DataRegularSeason20242025!$AB$3:$AB$1315,DataRegularSeason20242025!$B$3:$B$1315, "&lt;=" &amp; CE$1, DataRegularSeason20242025!$E$3:$E$1315, $A61)</f>
        <v>7</v>
      </c>
      <c r="CF61">
        <f>SUMIFS(DataRegularSeason20242025!$AA$3:$AA$1315,DataRegularSeason20242025!$B$3:$B$1315, "&lt;=" &amp; CF$1, DataRegularSeason20242025!$D$3:$D$1315, $A61)+SUMIFS(DataRegularSeason20242025!$AB$3:$AB$1315,DataRegularSeason20242025!$B$3:$B$1315, "&lt;=" &amp; CF$1, DataRegularSeason20242025!$E$3:$E$1315, $A61)</f>
        <v>7</v>
      </c>
      <c r="CG61">
        <f>SUMIFS(DataRegularSeason20242025!$AA$3:$AA$1315,DataRegularSeason20242025!$B$3:$B$1315, "&lt;=" &amp; CG$1, DataRegularSeason20242025!$D$3:$D$1315, $A61)+SUMIFS(DataRegularSeason20242025!$AB$3:$AB$1315,DataRegularSeason20242025!$B$3:$B$1315, "&lt;=" &amp; CG$1, DataRegularSeason20242025!$E$3:$E$1315, $A61)</f>
        <v>7</v>
      </c>
      <c r="CH61">
        <f>SUMIFS(DataRegularSeason20242025!$AA$3:$AA$1315,DataRegularSeason20242025!$B$3:$B$1315, "&lt;=" &amp; CH$1, DataRegularSeason20242025!$D$3:$D$1315, $A61)+SUMIFS(DataRegularSeason20242025!$AB$3:$AB$1315,DataRegularSeason20242025!$B$3:$B$1315, "&lt;=" &amp; CH$1, DataRegularSeason20242025!$E$3:$E$1315, $A61)</f>
        <v>7</v>
      </c>
      <c r="CI61">
        <f>SUMIFS(DataRegularSeason20242025!$AA$3:$AA$1315,DataRegularSeason20242025!$B$3:$B$1315, "&lt;=" &amp; CI$1, DataRegularSeason20242025!$D$3:$D$1315, $A61)+SUMIFS(DataRegularSeason20242025!$AB$3:$AB$1315,DataRegularSeason20242025!$B$3:$B$1315, "&lt;=" &amp; CI$1, DataRegularSeason20242025!$E$3:$E$1315, $A61)</f>
        <v>7</v>
      </c>
      <c r="CJ61">
        <f>SUMIFS(DataRegularSeason20242025!$AA$3:$AA$1315,DataRegularSeason20242025!$B$3:$B$1315, "&lt;=" &amp; CJ$1, DataRegularSeason20242025!$D$3:$D$1315, $A61)+SUMIFS(DataRegularSeason20242025!$AB$3:$AB$1315,DataRegularSeason20242025!$B$3:$B$1315, "&lt;=" &amp; CJ$1, DataRegularSeason20242025!$E$3:$E$1315, $A61)</f>
        <v>7</v>
      </c>
      <c r="CK61">
        <f>SUMIFS(DataRegularSeason20242025!$AA$3:$AA$1315,DataRegularSeason20242025!$B$3:$B$1315, "&lt;=" &amp; CK$1, DataRegularSeason20242025!$D$3:$D$1315, $A61)+SUMIFS(DataRegularSeason20242025!$AB$3:$AB$1315,DataRegularSeason20242025!$B$3:$B$1315, "&lt;=" &amp; CK$1, DataRegularSeason20242025!$E$3:$E$1315, $A61)</f>
        <v>7</v>
      </c>
      <c r="CL61">
        <f>SUMIFS(DataRegularSeason20242025!$AA$3:$AA$1315,DataRegularSeason20242025!$B$3:$B$1315, "&lt;=" &amp; CL$1, DataRegularSeason20242025!$D$3:$D$1315, $A61)+SUMIFS(DataRegularSeason20242025!$AB$3:$AB$1315,DataRegularSeason20242025!$B$3:$B$1315, "&lt;=" &amp; CL$1, DataRegularSeason20242025!$E$3:$E$1315, $A61)</f>
        <v>7</v>
      </c>
      <c r="CM61">
        <f>SUMIFS(DataRegularSeason20242025!$AA$3:$AA$1315,DataRegularSeason20242025!$B$3:$B$1315, "&lt;=" &amp; CM$1, DataRegularSeason20242025!$D$3:$D$1315, $A61)+SUMIFS(DataRegularSeason20242025!$AB$3:$AB$1315,DataRegularSeason20242025!$B$3:$B$1315, "&lt;=" &amp; CM$1, DataRegularSeason20242025!$E$3:$E$1315, $A61)</f>
        <v>7</v>
      </c>
      <c r="CN61">
        <f>SUMIFS(DataRegularSeason20242025!$AA$3:$AA$1315,DataRegularSeason20242025!$B$3:$B$1315, "&lt;=" &amp; CN$1, DataRegularSeason20242025!$D$3:$D$1315, $A61)+SUMIFS(DataRegularSeason20242025!$AB$3:$AB$1315,DataRegularSeason20242025!$B$3:$B$1315, "&lt;=" &amp; CN$1, DataRegularSeason20242025!$E$3:$E$1315, $A61)</f>
        <v>7</v>
      </c>
      <c r="CO61">
        <f>SUMIFS(DataRegularSeason20242025!$AA$3:$AA$1315,DataRegularSeason20242025!$B$3:$B$1315, "&lt;=" &amp; CO$1, DataRegularSeason20242025!$D$3:$D$1315, $A61)+SUMIFS(DataRegularSeason20242025!$AB$3:$AB$1315,DataRegularSeason20242025!$B$3:$B$1315, "&lt;=" &amp; CO$1, DataRegularSeason20242025!$E$3:$E$1315, $A61)</f>
        <v>7</v>
      </c>
      <c r="CP61">
        <f>SUMIFS(DataRegularSeason20242025!$AA$3:$AA$1315,DataRegularSeason20242025!$B$3:$B$1315, "&lt;=" &amp; CP$1, DataRegularSeason20242025!$D$3:$D$1315, $A61)+SUMIFS(DataRegularSeason20242025!$AB$3:$AB$1315,DataRegularSeason20242025!$B$3:$B$1315, "&lt;=" &amp; CP$1, DataRegularSeason20242025!$E$3:$E$1315, $A61)</f>
        <v>7</v>
      </c>
      <c r="CQ61">
        <f>SUMIFS(DataRegularSeason20242025!$AA$3:$AA$1315,DataRegularSeason20242025!$B$3:$B$1315, "&lt;=" &amp; CQ$1, DataRegularSeason20242025!$D$3:$D$1315, $A61)+SUMIFS(DataRegularSeason20242025!$AB$3:$AB$1315,DataRegularSeason20242025!$B$3:$B$1315, "&lt;=" &amp; CQ$1, DataRegularSeason20242025!$E$3:$E$1315, $A61)</f>
        <v>7</v>
      </c>
      <c r="CR61">
        <f>SUMIFS(DataRegularSeason20242025!$AA$3:$AA$1315,DataRegularSeason20242025!$B$3:$B$1315, "&lt;=" &amp; CR$1, DataRegularSeason20242025!$D$3:$D$1315, $A61)+SUMIFS(DataRegularSeason20242025!$AB$3:$AB$1315,DataRegularSeason20242025!$B$3:$B$1315, "&lt;=" &amp; CR$1, DataRegularSeason20242025!$E$3:$E$1315, $A61)</f>
        <v>7</v>
      </c>
      <c r="CS61">
        <f>SUMIFS(DataRegularSeason20242025!$AA$3:$AA$1315,DataRegularSeason20242025!$B$3:$B$1315, "&lt;=" &amp; CS$1, DataRegularSeason20242025!$D$3:$D$1315, $A61)+SUMIFS(DataRegularSeason20242025!$AB$3:$AB$1315,DataRegularSeason20242025!$B$3:$B$1315, "&lt;=" &amp; CS$1, DataRegularSeason20242025!$E$3:$E$1315, $A61)</f>
        <v>7</v>
      </c>
      <c r="CT61">
        <f>SUMIFS(DataRegularSeason20242025!$AA$3:$AA$1315,DataRegularSeason20242025!$B$3:$B$1315, "&lt;=" &amp; CT$1, DataRegularSeason20242025!$D$3:$D$1315, $A61)+SUMIFS(DataRegularSeason20242025!$AB$3:$AB$1315,DataRegularSeason20242025!$B$3:$B$1315, "&lt;=" &amp; CT$1, DataRegularSeason20242025!$E$3:$E$1315, $A61)</f>
        <v>7</v>
      </c>
      <c r="CU61">
        <f>SUMIFS(DataRegularSeason20242025!$AA$3:$AA$1315,DataRegularSeason20242025!$B$3:$B$1315, "&lt;=" &amp; CU$1, DataRegularSeason20242025!$D$3:$D$1315, $A61)+SUMIFS(DataRegularSeason20242025!$AB$3:$AB$1315,DataRegularSeason20242025!$B$3:$B$1315, "&lt;=" &amp; CU$1, DataRegularSeason20242025!$E$3:$E$1315, $A61)</f>
        <v>7</v>
      </c>
      <c r="CV61">
        <f>SUMIFS(DataRegularSeason20242025!$AA$3:$AA$1315,DataRegularSeason20242025!$B$3:$B$1315, "&lt;=" &amp; CV$1, DataRegularSeason20242025!$D$3:$D$1315, $A61)+SUMIFS(DataRegularSeason20242025!$AB$3:$AB$1315,DataRegularSeason20242025!$B$3:$B$1315, "&lt;=" &amp; CV$1, DataRegularSeason20242025!$E$3:$E$1315, $A61)</f>
        <v>7</v>
      </c>
      <c r="CW61">
        <f>SUMIFS(DataRegularSeason20242025!$AA$3:$AA$1315,DataRegularSeason20242025!$B$3:$B$1315, "&lt;=" &amp; CW$1, DataRegularSeason20242025!$D$3:$D$1315, $A61)+SUMIFS(DataRegularSeason20242025!$AB$3:$AB$1315,DataRegularSeason20242025!$B$3:$B$1315, "&lt;=" &amp; CW$1, DataRegularSeason20242025!$E$3:$E$1315, $A61)</f>
        <v>7</v>
      </c>
      <c r="CX61">
        <f>SUMIFS(DataRegularSeason20242025!$AA$3:$AA$1315,DataRegularSeason20242025!$B$3:$B$1315, "&lt;=" &amp; CX$1, DataRegularSeason20242025!$D$3:$D$1315, $A61)+SUMIFS(DataRegularSeason20242025!$AB$3:$AB$1315,DataRegularSeason20242025!$B$3:$B$1315, "&lt;=" &amp; CX$1, DataRegularSeason20242025!$E$3:$E$1315, $A61)</f>
        <v>7</v>
      </c>
      <c r="CY61">
        <f>SUMIFS(DataRegularSeason20242025!$AA$3:$AA$1315,DataRegularSeason20242025!$B$3:$B$1315, "&lt;=" &amp; CY$1, DataRegularSeason20242025!$D$3:$D$1315, $A61)+SUMIFS(DataRegularSeason20242025!$AB$3:$AB$1315,DataRegularSeason20242025!$B$3:$B$1315, "&lt;=" &amp; CY$1, DataRegularSeason20242025!$E$3:$E$1315, $A61)</f>
        <v>7</v>
      </c>
      <c r="CZ61">
        <f>SUMIFS(DataRegularSeason20242025!$AA$3:$AA$1315,DataRegularSeason20242025!$B$3:$B$1315, "&lt;=" &amp; CZ$1, DataRegularSeason20242025!$D$3:$D$1315, $A61)+SUMIFS(DataRegularSeason20242025!$AB$3:$AB$1315,DataRegularSeason20242025!$B$3:$B$1315, "&lt;=" &amp; CZ$1, DataRegularSeason20242025!$E$3:$E$1315, $A61)</f>
        <v>7</v>
      </c>
      <c r="DA61">
        <f>SUMIFS(DataRegularSeason20242025!$AA$3:$AA$1315,DataRegularSeason20242025!$B$3:$B$1315, "&lt;=" &amp; DA$1, DataRegularSeason20242025!$D$3:$D$1315, $A61)+SUMIFS(DataRegularSeason20242025!$AB$3:$AB$1315,DataRegularSeason20242025!$B$3:$B$1315, "&lt;=" &amp; DA$1, DataRegularSeason20242025!$E$3:$E$1315, $A61)</f>
        <v>7</v>
      </c>
      <c r="DB61">
        <f>SUMIFS(DataRegularSeason20242025!$AA$3:$AA$1315,DataRegularSeason20242025!$B$3:$B$1315, "&lt;=" &amp; DB$1, DataRegularSeason20242025!$D$3:$D$1315, $A61)+SUMIFS(DataRegularSeason20242025!$AB$3:$AB$1315,DataRegularSeason20242025!$B$3:$B$1315, "&lt;=" &amp; DB$1, DataRegularSeason20242025!$E$3:$E$1315, $A61)</f>
        <v>7</v>
      </c>
      <c r="DC61">
        <f>SUMIFS(DataRegularSeason20242025!$AA$3:$AA$1315,DataRegularSeason20242025!$B$3:$B$1315, "&lt;=" &amp; DC$1, DataRegularSeason20242025!$D$3:$D$1315, $A61)+SUMIFS(DataRegularSeason20242025!$AB$3:$AB$1315,DataRegularSeason20242025!$B$3:$B$1315, "&lt;=" &amp; DC$1, DataRegularSeason20242025!$E$3:$E$1315, $A61)</f>
        <v>7</v>
      </c>
      <c r="DD61">
        <f>SUMIFS(DataRegularSeason20242025!$AA$3:$AA$1315,DataRegularSeason20242025!$B$3:$B$1315, "&lt;=" &amp; DD$1, DataRegularSeason20242025!$D$3:$D$1315, $A61)+SUMIFS(DataRegularSeason20242025!$AB$3:$AB$1315,DataRegularSeason20242025!$B$3:$B$1315, "&lt;=" &amp; DD$1, DataRegularSeason20242025!$E$3:$E$1315, $A61)</f>
        <v>7</v>
      </c>
      <c r="DE61">
        <f>SUMIFS(DataRegularSeason20242025!$AA$3:$AA$1315,DataRegularSeason20242025!$B$3:$B$1315, "&lt;=" &amp; DE$1, DataRegularSeason20242025!$D$3:$D$1315, $A61)+SUMIFS(DataRegularSeason20242025!$AB$3:$AB$1315,DataRegularSeason20242025!$B$3:$B$1315, "&lt;=" &amp; DE$1, DataRegularSeason20242025!$E$3:$E$1315, $A61)</f>
        <v>7</v>
      </c>
      <c r="DF61">
        <f>SUMIFS(DataRegularSeason20242025!$AA$3:$AA$1315,DataRegularSeason20242025!$B$3:$B$1315, "&lt;=" &amp; DF$1, DataRegularSeason20242025!$D$3:$D$1315, $A61)+SUMIFS(DataRegularSeason20242025!$AB$3:$AB$1315,DataRegularSeason20242025!$B$3:$B$1315, "&lt;=" &amp; DF$1, DataRegularSeason20242025!$E$3:$E$1315, $A61)</f>
        <v>7</v>
      </c>
      <c r="DG61">
        <f>SUMIFS(DataRegularSeason20242025!$AA$3:$AA$1315,DataRegularSeason20242025!$B$3:$B$1315, "&lt;=" &amp; DG$1, DataRegularSeason20242025!$D$3:$D$1315, $A61)+SUMIFS(DataRegularSeason20242025!$AB$3:$AB$1315,DataRegularSeason20242025!$B$3:$B$1315, "&lt;=" &amp; DG$1, DataRegularSeason20242025!$E$3:$E$1315, $A61)</f>
        <v>7</v>
      </c>
      <c r="DH61">
        <f>SUMIFS(DataRegularSeason20242025!$AA$3:$AA$1315,DataRegularSeason20242025!$B$3:$B$1315, "&lt;=" &amp; DH$1, DataRegularSeason20242025!$D$3:$D$1315, $A61)+SUMIFS(DataRegularSeason20242025!$AB$3:$AB$1315,DataRegularSeason20242025!$B$3:$B$1315, "&lt;=" &amp; DH$1, DataRegularSeason20242025!$E$3:$E$1315, $A61)</f>
        <v>7</v>
      </c>
      <c r="DI61">
        <f>SUMIFS(DataRegularSeason20242025!$AA$3:$AA$1315,DataRegularSeason20242025!$B$3:$B$1315, "&lt;=" &amp; DI$1, DataRegularSeason20242025!$D$3:$D$1315, $A61)+SUMIFS(DataRegularSeason20242025!$AB$3:$AB$1315,DataRegularSeason20242025!$B$3:$B$1315, "&lt;=" &amp; DI$1, DataRegularSeason20242025!$E$3:$E$1315, $A61)</f>
        <v>7</v>
      </c>
      <c r="DJ61">
        <f>SUMIFS(DataRegularSeason20242025!$AA$3:$AA$1315,DataRegularSeason20242025!$B$3:$B$1315, "&lt;=" &amp; DJ$1, DataRegularSeason20242025!$D$3:$D$1315, $A61)+SUMIFS(DataRegularSeason20242025!$AB$3:$AB$1315,DataRegularSeason20242025!$B$3:$B$1315, "&lt;=" &amp; DJ$1, DataRegularSeason20242025!$E$3:$E$1315, $A61)</f>
        <v>7</v>
      </c>
      <c r="DK61">
        <f>SUMIFS(DataRegularSeason20242025!$AA$3:$AA$1315,DataRegularSeason20242025!$B$3:$B$1315, "&lt;=" &amp; DK$1, DataRegularSeason20242025!$D$3:$D$1315, $A61)+SUMIFS(DataRegularSeason20242025!$AB$3:$AB$1315,DataRegularSeason20242025!$B$3:$B$1315, "&lt;=" &amp; DK$1, DataRegularSeason20242025!$E$3:$E$1315, $A61)</f>
        <v>7</v>
      </c>
      <c r="DL61">
        <f>SUMIFS(DataRegularSeason20242025!$AA$3:$AA$1315,DataRegularSeason20242025!$B$3:$B$1315, "&lt;=" &amp; DL$1, DataRegularSeason20242025!$D$3:$D$1315, $A61)+SUMIFS(DataRegularSeason20242025!$AB$3:$AB$1315,DataRegularSeason20242025!$B$3:$B$1315, "&lt;=" &amp; DL$1, DataRegularSeason20242025!$E$3:$E$1315, $A61)</f>
        <v>7</v>
      </c>
      <c r="DM61">
        <f>SUMIFS(DataRegularSeason20242025!$AA$3:$AA$1315,DataRegularSeason20242025!$B$3:$B$1315, "&lt;=" &amp; DM$1, DataRegularSeason20242025!$D$3:$D$1315, $A61)+SUMIFS(DataRegularSeason20242025!$AB$3:$AB$1315,DataRegularSeason20242025!$B$3:$B$1315, "&lt;=" &amp; DM$1, DataRegularSeason20242025!$E$3:$E$1315, $A61)</f>
        <v>7</v>
      </c>
      <c r="DN61">
        <f>SUMIFS(DataRegularSeason20242025!$AA$3:$AA$1315,DataRegularSeason20242025!$B$3:$B$1315, "&lt;=" &amp; DN$1, DataRegularSeason20242025!$D$3:$D$1315, $A61)+SUMIFS(DataRegularSeason20242025!$AB$3:$AB$1315,DataRegularSeason20242025!$B$3:$B$1315, "&lt;=" &amp; DN$1, DataRegularSeason20242025!$E$3:$E$1315, $A61)</f>
        <v>7</v>
      </c>
      <c r="DO61">
        <f>SUMIFS(DataRegularSeason20242025!$AA$3:$AA$1315,DataRegularSeason20242025!$B$3:$B$1315, "&lt;=" &amp; DO$1, DataRegularSeason20242025!$D$3:$D$1315, $A61)+SUMIFS(DataRegularSeason20242025!$AB$3:$AB$1315,DataRegularSeason20242025!$B$3:$B$1315, "&lt;=" &amp; DO$1, DataRegularSeason20242025!$E$3:$E$1315, $A61)</f>
        <v>7</v>
      </c>
      <c r="DP61">
        <f>SUMIFS(DataRegularSeason20242025!$AA$3:$AA$1315,DataRegularSeason20242025!$B$3:$B$1315, "&lt;=" &amp; DP$1, DataRegularSeason20242025!$D$3:$D$1315, $A61)+SUMIFS(DataRegularSeason20242025!$AB$3:$AB$1315,DataRegularSeason20242025!$B$3:$B$1315, "&lt;=" &amp; DP$1, DataRegularSeason20242025!$E$3:$E$1315, $A61)</f>
        <v>7</v>
      </c>
      <c r="DQ61">
        <f>SUMIFS(DataRegularSeason20242025!$AA$3:$AA$1315,DataRegularSeason20242025!$B$3:$B$1315, "&lt;=" &amp; DQ$1, DataRegularSeason20242025!$D$3:$D$1315, $A61)+SUMIFS(DataRegularSeason20242025!$AB$3:$AB$1315,DataRegularSeason20242025!$B$3:$B$1315, "&lt;=" &amp; DQ$1, DataRegularSeason20242025!$E$3:$E$1315, $A61)</f>
        <v>7</v>
      </c>
      <c r="DR61">
        <f>SUMIFS(DataRegularSeason20242025!$AA$3:$AA$1315,DataRegularSeason20242025!$B$3:$B$1315, "&lt;=" &amp; DR$1, DataRegularSeason20242025!$D$3:$D$1315, $A61)+SUMIFS(DataRegularSeason20242025!$AB$3:$AB$1315,DataRegularSeason20242025!$B$3:$B$1315, "&lt;=" &amp; DR$1, DataRegularSeason20242025!$E$3:$E$1315, $A61)</f>
        <v>7</v>
      </c>
      <c r="DS61">
        <f>SUMIFS(DataRegularSeason20242025!$AA$3:$AA$1315,DataRegularSeason20242025!$B$3:$B$1315, "&lt;=" &amp; DS$1, DataRegularSeason20242025!$D$3:$D$1315, $A61)+SUMIFS(DataRegularSeason20242025!$AB$3:$AB$1315,DataRegularSeason20242025!$B$3:$B$1315, "&lt;=" &amp; DS$1, DataRegularSeason20242025!$E$3:$E$1315, $A61)</f>
        <v>7</v>
      </c>
      <c r="DT61">
        <f>SUMIFS(DataRegularSeason20242025!$AA$3:$AA$1315,DataRegularSeason20242025!$B$3:$B$1315, "&lt;=" &amp; DT$1, DataRegularSeason20242025!$D$3:$D$1315, $A61)+SUMIFS(DataRegularSeason20242025!$AB$3:$AB$1315,DataRegularSeason20242025!$B$3:$B$1315, "&lt;=" &amp; DT$1, DataRegularSeason20242025!$E$3:$E$1315, $A61)</f>
        <v>7</v>
      </c>
      <c r="DU61">
        <f>SUMIFS(DataRegularSeason20242025!$AA$3:$AA$1315,DataRegularSeason20242025!$B$3:$B$1315, "&lt;=" &amp; DU$1, DataRegularSeason20242025!$D$3:$D$1315, $A61)+SUMIFS(DataRegularSeason20242025!$AB$3:$AB$1315,DataRegularSeason20242025!$B$3:$B$1315, "&lt;=" &amp; DU$1, DataRegularSeason20242025!$E$3:$E$1315, $A61)</f>
        <v>7</v>
      </c>
      <c r="DV61">
        <f>SUMIFS(DataRegularSeason20242025!$AA$3:$AA$1315,DataRegularSeason20242025!$B$3:$B$1315, "&lt;=" &amp; DV$1, DataRegularSeason20242025!$D$3:$D$1315, $A61)+SUMIFS(DataRegularSeason20242025!$AB$3:$AB$1315,DataRegularSeason20242025!$B$3:$B$1315, "&lt;=" &amp; DV$1, DataRegularSeason20242025!$E$3:$E$1315, $A61)</f>
        <v>7</v>
      </c>
      <c r="DW61">
        <f>SUMIFS(DataRegularSeason20242025!$AA$3:$AA$1315,DataRegularSeason20242025!$B$3:$B$1315, "&lt;=" &amp; DW$1, DataRegularSeason20242025!$D$3:$D$1315, $A61)+SUMIFS(DataRegularSeason20242025!$AB$3:$AB$1315,DataRegularSeason20242025!$B$3:$B$1315, "&lt;=" &amp; DW$1, DataRegularSeason20242025!$E$3:$E$1315, $A61)</f>
        <v>7</v>
      </c>
      <c r="DX61">
        <f>SUMIFS(DataRegularSeason20242025!$AA$3:$AA$1315,DataRegularSeason20242025!$B$3:$B$1315, "&lt;=" &amp; DX$1, DataRegularSeason20242025!$D$3:$D$1315, $A61)+SUMIFS(DataRegularSeason20242025!$AB$3:$AB$1315,DataRegularSeason20242025!$B$3:$B$1315, "&lt;=" &amp; DX$1, DataRegularSeason20242025!$E$3:$E$1315, $A61)</f>
        <v>7</v>
      </c>
      <c r="DY61">
        <f>SUMIFS(DataRegularSeason20242025!$AA$3:$AA$1315,DataRegularSeason20242025!$B$3:$B$1315, "&lt;=" &amp; DY$1, DataRegularSeason20242025!$D$3:$D$1315, $A61)+SUMIFS(DataRegularSeason20242025!$AB$3:$AB$1315,DataRegularSeason20242025!$B$3:$B$1315, "&lt;=" &amp; DY$1, DataRegularSeason20242025!$E$3:$E$1315, $A61)</f>
        <v>7</v>
      </c>
      <c r="DZ61">
        <f>SUMIFS(DataRegularSeason20242025!$AA$3:$AA$1315,DataRegularSeason20242025!$B$3:$B$1315, "&lt;=" &amp; DZ$1, DataRegularSeason20242025!$D$3:$D$1315, $A61)+SUMIFS(DataRegularSeason20242025!$AB$3:$AB$1315,DataRegularSeason20242025!$B$3:$B$1315, "&lt;=" &amp; DZ$1, DataRegularSeason20242025!$E$3:$E$1315, $A61)</f>
        <v>7</v>
      </c>
      <c r="EA61">
        <f>SUMIFS(DataRegularSeason20242025!$AA$3:$AA$1315,DataRegularSeason20242025!$B$3:$B$1315, "&lt;=" &amp; EA$1, DataRegularSeason20242025!$D$3:$D$1315, $A61)+SUMIFS(DataRegularSeason20242025!$AB$3:$AB$1315,DataRegularSeason20242025!$B$3:$B$1315, "&lt;=" &amp; EA$1, DataRegularSeason20242025!$E$3:$E$1315, $A61)</f>
        <v>7</v>
      </c>
      <c r="EB61">
        <f>SUMIFS(DataRegularSeason20242025!$AA$3:$AA$1315,DataRegularSeason20242025!$B$3:$B$1315, "&lt;=" &amp; EB$1, DataRegularSeason20242025!$D$3:$D$1315, $A61)+SUMIFS(DataRegularSeason20242025!$AB$3:$AB$1315,DataRegularSeason20242025!$B$3:$B$1315, "&lt;=" &amp; EB$1, DataRegularSeason20242025!$E$3:$E$1315, $A61)</f>
        <v>7</v>
      </c>
      <c r="EC61">
        <f>SUMIFS(DataRegularSeason20242025!$AA$3:$AA$1315,DataRegularSeason20242025!$B$3:$B$1315, "&lt;=" &amp; EC$1, DataRegularSeason20242025!$D$3:$D$1315, $A61)+SUMIFS(DataRegularSeason20242025!$AB$3:$AB$1315,DataRegularSeason20242025!$B$3:$B$1315, "&lt;=" &amp; EC$1, DataRegularSeason20242025!$E$3:$E$1315, $A61)</f>
        <v>7</v>
      </c>
      <c r="ED61">
        <f>SUMIFS(DataRegularSeason20242025!$AA$3:$AA$1315,DataRegularSeason20242025!$B$3:$B$1315, "&lt;=" &amp; ED$1, DataRegularSeason20242025!$D$3:$D$1315, $A61)+SUMIFS(DataRegularSeason20242025!$AB$3:$AB$1315,DataRegularSeason20242025!$B$3:$B$1315, "&lt;=" &amp; ED$1, DataRegularSeason20242025!$E$3:$E$1315, $A61)</f>
        <v>7</v>
      </c>
      <c r="EE61">
        <f>SUMIFS(DataRegularSeason20242025!$AA$3:$AA$1315,DataRegularSeason20242025!$B$3:$B$1315, "&lt;=" &amp; EE$1, DataRegularSeason20242025!$D$3:$D$1315, $A61)+SUMIFS(DataRegularSeason20242025!$AB$3:$AB$1315,DataRegularSeason20242025!$B$3:$B$1315, "&lt;=" &amp; EE$1, DataRegularSeason20242025!$E$3:$E$1315, $A61)</f>
        <v>7</v>
      </c>
      <c r="EF61">
        <f>SUMIFS(DataRegularSeason20242025!$AA$3:$AA$1315,DataRegularSeason20242025!$B$3:$B$1315, "&lt;=" &amp; EF$1, DataRegularSeason20242025!$D$3:$D$1315, $A61)+SUMIFS(DataRegularSeason20242025!$AB$3:$AB$1315,DataRegularSeason20242025!$B$3:$B$1315, "&lt;=" &amp; EF$1, DataRegularSeason20242025!$E$3:$E$1315, $A61)</f>
        <v>7</v>
      </c>
      <c r="EG61">
        <f>SUMIFS(DataRegularSeason20242025!$AA$3:$AA$1315,DataRegularSeason20242025!$B$3:$B$1315, "&lt;=" &amp; EG$1, DataRegularSeason20242025!$D$3:$D$1315, $A61)+SUMIFS(DataRegularSeason20242025!$AB$3:$AB$1315,DataRegularSeason20242025!$B$3:$B$1315, "&lt;=" &amp; EG$1, DataRegularSeason20242025!$E$3:$E$1315, $A61)</f>
        <v>7</v>
      </c>
      <c r="EH61">
        <f>SUMIFS(DataRegularSeason20242025!$AA$3:$AA$1315,DataRegularSeason20242025!$B$3:$B$1315, "&lt;=" &amp; EH$1, DataRegularSeason20242025!$D$3:$D$1315, $A61)+SUMIFS(DataRegularSeason20242025!$AB$3:$AB$1315,DataRegularSeason20242025!$B$3:$B$1315, "&lt;=" &amp; EH$1, DataRegularSeason20242025!$E$3:$E$1315, $A61)</f>
        <v>7</v>
      </c>
      <c r="EI61">
        <f>SUMIFS(DataRegularSeason20242025!$AA$3:$AA$1315,DataRegularSeason20242025!$B$3:$B$1315, "&lt;=" &amp; EI$1, DataRegularSeason20242025!$D$3:$D$1315, $A61)+SUMIFS(DataRegularSeason20242025!$AB$3:$AB$1315,DataRegularSeason20242025!$B$3:$B$1315, "&lt;=" &amp; EI$1, DataRegularSeason20242025!$E$3:$E$1315, $A61)</f>
        <v>7</v>
      </c>
      <c r="EJ61">
        <f>SUMIFS(DataRegularSeason20242025!$AA$3:$AA$1315,DataRegularSeason20242025!$B$3:$B$1315, "&lt;=" &amp; EJ$1, DataRegularSeason20242025!$D$3:$D$1315, $A61)+SUMIFS(DataRegularSeason20242025!$AB$3:$AB$1315,DataRegularSeason20242025!$B$3:$B$1315, "&lt;=" &amp; EJ$1, DataRegularSeason20242025!$E$3:$E$1315, $A61)</f>
        <v>7</v>
      </c>
      <c r="EK61">
        <f>SUMIFS(DataRegularSeason20242025!$AA$3:$AA$1315,DataRegularSeason20242025!$B$3:$B$1315, "&lt;=" &amp; EK$1, DataRegularSeason20242025!$D$3:$D$1315, $A61)+SUMIFS(DataRegularSeason20242025!$AB$3:$AB$1315,DataRegularSeason20242025!$B$3:$B$1315, "&lt;=" &amp; EK$1, DataRegularSeason20242025!$E$3:$E$1315, $A61)</f>
        <v>7</v>
      </c>
      <c r="EL61">
        <f>SUMIFS(DataRegularSeason20242025!$AA$3:$AA$1315,DataRegularSeason20242025!$B$3:$B$1315, "&lt;=" &amp; EL$1, DataRegularSeason20242025!$D$3:$D$1315, $A61)+SUMIFS(DataRegularSeason20242025!$AB$3:$AB$1315,DataRegularSeason20242025!$B$3:$B$1315, "&lt;=" &amp; EL$1, DataRegularSeason20242025!$E$3:$E$1315, $A61)</f>
        <v>7</v>
      </c>
      <c r="EM61">
        <f>SUMIFS(DataRegularSeason20242025!$AA$3:$AA$1315,DataRegularSeason20242025!$B$3:$B$1315, "&lt;=" &amp; EM$1, DataRegularSeason20242025!$D$3:$D$1315, $A61)+SUMIFS(DataRegularSeason20242025!$AB$3:$AB$1315,DataRegularSeason20242025!$B$3:$B$1315, "&lt;=" &amp; EM$1, DataRegularSeason20242025!$E$3:$E$1315, $A61)</f>
        <v>7</v>
      </c>
      <c r="EN61">
        <f>SUMIFS(DataRegularSeason20242025!$AA$3:$AA$1315,DataRegularSeason20242025!$B$3:$B$1315, "&lt;=" &amp; EN$1, DataRegularSeason20242025!$D$3:$D$1315, $A61)+SUMIFS(DataRegularSeason20242025!$AB$3:$AB$1315,DataRegularSeason20242025!$B$3:$B$1315, "&lt;=" &amp; EN$1, DataRegularSeason20242025!$E$3:$E$1315, $A61)</f>
        <v>7</v>
      </c>
      <c r="EO61">
        <f>SUMIFS(DataRegularSeason20242025!$AA$3:$AA$1315,DataRegularSeason20242025!$B$3:$B$1315, "&lt;=" &amp; EO$1, DataRegularSeason20242025!$D$3:$D$1315, $A61)+SUMIFS(DataRegularSeason20242025!$AB$3:$AB$1315,DataRegularSeason20242025!$B$3:$B$1315, "&lt;=" &amp; EO$1, DataRegularSeason20242025!$E$3:$E$1315, $A61)</f>
        <v>7</v>
      </c>
      <c r="EP61">
        <f>SUMIFS(DataRegularSeason20242025!$AA$3:$AA$1315,DataRegularSeason20242025!$B$3:$B$1315, "&lt;=" &amp; EP$1, DataRegularSeason20242025!$D$3:$D$1315, $A61)+SUMIFS(DataRegularSeason20242025!$AB$3:$AB$1315,DataRegularSeason20242025!$B$3:$B$1315, "&lt;=" &amp; EP$1, DataRegularSeason20242025!$E$3:$E$1315, $A61)</f>
        <v>7</v>
      </c>
      <c r="EQ61">
        <f>SUMIFS(DataRegularSeason20242025!$AA$3:$AA$1315,DataRegularSeason20242025!$B$3:$B$1315, "&lt;=" &amp; EQ$1, DataRegularSeason20242025!$D$3:$D$1315, $A61)+SUMIFS(DataRegularSeason20242025!$AB$3:$AB$1315,DataRegularSeason20242025!$B$3:$B$1315, "&lt;=" &amp; EQ$1, DataRegularSeason20242025!$E$3:$E$1315, $A61)</f>
        <v>7</v>
      </c>
      <c r="ER61">
        <f>SUMIFS(DataRegularSeason20242025!$AA$3:$AA$1315,DataRegularSeason20242025!$B$3:$B$1315, "&lt;=" &amp; ER$1, DataRegularSeason20242025!$D$3:$D$1315, $A61)+SUMIFS(DataRegularSeason20242025!$AB$3:$AB$1315,DataRegularSeason20242025!$B$3:$B$1315, "&lt;=" &amp; ER$1, DataRegularSeason20242025!$E$3:$E$1315, $A61)</f>
        <v>7</v>
      </c>
      <c r="ES61">
        <f>SUMIFS(DataRegularSeason20242025!$AA$3:$AA$1315,DataRegularSeason20242025!$B$3:$B$1315, "&lt;=" &amp; ES$1, DataRegularSeason20242025!$D$3:$D$1315, $A61)+SUMIFS(DataRegularSeason20242025!$AB$3:$AB$1315,DataRegularSeason20242025!$B$3:$B$1315, "&lt;=" &amp; ES$1, DataRegularSeason20242025!$E$3:$E$1315, $A61)</f>
        <v>7</v>
      </c>
      <c r="ET61">
        <f>SUMIFS(DataRegularSeason20242025!$AA$3:$AA$1315,DataRegularSeason20242025!$B$3:$B$1315, "&lt;=" &amp; ET$1, DataRegularSeason20242025!$D$3:$D$1315, $A61)+SUMIFS(DataRegularSeason20242025!$AB$3:$AB$1315,DataRegularSeason20242025!$B$3:$B$1315, "&lt;=" &amp; ET$1, DataRegularSeason20242025!$E$3:$E$1315, $A61)</f>
        <v>7</v>
      </c>
      <c r="EU61">
        <f>SUMIFS(DataRegularSeason20242025!$AA$3:$AA$1315,DataRegularSeason20242025!$B$3:$B$1315, "&lt;=" &amp; EU$1, DataRegularSeason20242025!$D$3:$D$1315, $A61)+SUMIFS(DataRegularSeason20242025!$AB$3:$AB$1315,DataRegularSeason20242025!$B$3:$B$1315, "&lt;=" &amp; EU$1, DataRegularSeason20242025!$E$3:$E$1315, $A61)</f>
        <v>7</v>
      </c>
      <c r="EV61">
        <f>SUMIFS(DataRegularSeason20242025!$AA$3:$AA$1315,DataRegularSeason20242025!$B$3:$B$1315, "&lt;=" &amp; EV$1, DataRegularSeason20242025!$D$3:$D$1315, $A61)+SUMIFS(DataRegularSeason20242025!$AB$3:$AB$1315,DataRegularSeason20242025!$B$3:$B$1315, "&lt;=" &amp; EV$1, DataRegularSeason20242025!$E$3:$E$1315, $A61)</f>
        <v>7</v>
      </c>
      <c r="EW61">
        <f>SUMIFS(DataRegularSeason20242025!$AA$3:$AA$1315,DataRegularSeason20242025!$B$3:$B$1315, "&lt;=" &amp; EW$1, DataRegularSeason20242025!$D$3:$D$1315, $A61)+SUMIFS(DataRegularSeason20242025!$AB$3:$AB$1315,DataRegularSeason20242025!$B$3:$B$1315, "&lt;=" &amp; EW$1, DataRegularSeason20242025!$E$3:$E$1315, $A61)</f>
        <v>7</v>
      </c>
      <c r="EX61">
        <f>SUMIFS(DataRegularSeason20242025!$AA$3:$AA$1315,DataRegularSeason20242025!$B$3:$B$1315, "&lt;=" &amp; EX$1, DataRegularSeason20242025!$D$3:$D$1315, $A61)+SUMIFS(DataRegularSeason20242025!$AB$3:$AB$1315,DataRegularSeason20242025!$B$3:$B$1315, "&lt;=" &amp; EX$1, DataRegularSeason20242025!$E$3:$E$1315, $A61)</f>
        <v>7</v>
      </c>
      <c r="EY61">
        <f>SUMIFS(DataRegularSeason20242025!$AA$3:$AA$1315,DataRegularSeason20242025!$B$3:$B$1315, "&lt;=" &amp; EY$1, DataRegularSeason20242025!$D$3:$D$1315, $A61)+SUMIFS(DataRegularSeason20242025!$AB$3:$AB$1315,DataRegularSeason20242025!$B$3:$B$1315, "&lt;=" &amp; EY$1, DataRegularSeason20242025!$E$3:$E$1315, $A61)</f>
        <v>7</v>
      </c>
      <c r="EZ61">
        <f>SUMIFS(DataRegularSeason20242025!$AA$3:$AA$1315,DataRegularSeason20242025!$B$3:$B$1315, "&lt;=" &amp; EZ$1, DataRegularSeason20242025!$D$3:$D$1315, $A61)+SUMIFS(DataRegularSeason20242025!$AB$3:$AB$1315,DataRegularSeason20242025!$B$3:$B$1315, "&lt;=" &amp; EZ$1, DataRegularSeason20242025!$E$3:$E$1315, $A61)</f>
        <v>7</v>
      </c>
      <c r="FA61">
        <f>SUMIFS(DataRegularSeason20242025!$AA$3:$AA$1315,DataRegularSeason20242025!$B$3:$B$1315, "&lt;=" &amp; FA$1, DataRegularSeason20242025!$D$3:$D$1315, $A61)+SUMIFS(DataRegularSeason20242025!$AB$3:$AB$1315,DataRegularSeason20242025!$B$3:$B$1315, "&lt;=" &amp; FA$1, DataRegularSeason20242025!$E$3:$E$1315, $A61)</f>
        <v>7</v>
      </c>
      <c r="FB61">
        <f>SUMIFS(DataRegularSeason20242025!$AA$3:$AA$1315,DataRegularSeason20242025!$B$3:$B$1315, "&lt;=" &amp; FB$1, DataRegularSeason20242025!$D$3:$D$1315, $A61)+SUMIFS(DataRegularSeason20242025!$AB$3:$AB$1315,DataRegularSeason20242025!$B$3:$B$1315, "&lt;=" &amp; FB$1, DataRegularSeason20242025!$E$3:$E$1315, $A61)</f>
        <v>7</v>
      </c>
      <c r="FC61">
        <f>SUMIFS(DataRegularSeason20242025!$AA$3:$AA$1315,DataRegularSeason20242025!$B$3:$B$1315, "&lt;=" &amp; FC$1, DataRegularSeason20242025!$D$3:$D$1315, $A61)+SUMIFS(DataRegularSeason20242025!$AB$3:$AB$1315,DataRegularSeason20242025!$B$3:$B$1315, "&lt;=" &amp; FC$1, DataRegularSeason20242025!$E$3:$E$1315, $A61)</f>
        <v>7</v>
      </c>
      <c r="FD61">
        <f>SUMIFS(DataRegularSeason20242025!$AA$3:$AA$1315,DataRegularSeason20242025!$B$3:$B$1315, "&lt;=" &amp; FD$1, DataRegularSeason20242025!$D$3:$D$1315, $A61)+SUMIFS(DataRegularSeason20242025!$AB$3:$AB$1315,DataRegularSeason20242025!$B$3:$B$1315, "&lt;=" &amp; FD$1, DataRegularSeason20242025!$E$3:$E$1315, $A61)</f>
        <v>7</v>
      </c>
      <c r="FE61">
        <f>SUMIFS(DataRegularSeason20242025!$AA$3:$AA$1315,DataRegularSeason20242025!$B$3:$B$1315, "&lt;=" &amp; FE$1, DataRegularSeason20242025!$D$3:$D$1315, $A61)+SUMIFS(DataRegularSeason20242025!$AB$3:$AB$1315,DataRegularSeason20242025!$B$3:$B$1315, "&lt;=" &amp; FE$1, DataRegularSeason20242025!$E$3:$E$1315, $A61)</f>
        <v>7</v>
      </c>
      <c r="FF61">
        <f>SUMIFS(DataRegularSeason20242025!$AA$3:$AA$1315,DataRegularSeason20242025!$B$3:$B$1315, "&lt;=" &amp; FF$1, DataRegularSeason20242025!$D$3:$D$1315, $A61)+SUMIFS(DataRegularSeason20242025!$AB$3:$AB$1315,DataRegularSeason20242025!$B$3:$B$1315, "&lt;=" &amp; FF$1, DataRegularSeason20242025!$E$3:$E$1315, $A61)</f>
        <v>7</v>
      </c>
      <c r="FG61">
        <f>SUMIFS(DataRegularSeason20242025!$AA$3:$AA$1315,DataRegularSeason20242025!$B$3:$B$1315, "&lt;=" &amp; FG$1, DataRegularSeason20242025!$D$3:$D$1315, $A61)+SUMIFS(DataRegularSeason20242025!$AB$3:$AB$1315,DataRegularSeason20242025!$B$3:$B$1315, "&lt;=" &amp; FG$1, DataRegularSeason20242025!$E$3:$E$1315, $A61)</f>
        <v>7</v>
      </c>
      <c r="FH61">
        <f>SUMIFS(DataRegularSeason20242025!$AA$3:$AA$1315,DataRegularSeason20242025!$B$3:$B$1315, "&lt;=" &amp; FH$1, DataRegularSeason20242025!$D$3:$D$1315, $A61)+SUMIFS(DataRegularSeason20242025!$AB$3:$AB$1315,DataRegularSeason20242025!$B$3:$B$1315, "&lt;=" &amp; FH$1, DataRegularSeason20242025!$E$3:$E$1315, $A61)</f>
        <v>7</v>
      </c>
      <c r="FI61">
        <f>SUMIFS(DataRegularSeason20242025!$AA$3:$AA$1315,DataRegularSeason20242025!$B$3:$B$1315, "&lt;=" &amp; FI$1, DataRegularSeason20242025!$D$3:$D$1315, $A61)+SUMIFS(DataRegularSeason20242025!$AB$3:$AB$1315,DataRegularSeason20242025!$B$3:$B$1315, "&lt;=" &amp; FI$1, DataRegularSeason20242025!$E$3:$E$1315, $A61)</f>
        <v>7</v>
      </c>
      <c r="FJ61">
        <f>SUMIFS(DataRegularSeason20242025!$AA$3:$AA$1315,DataRegularSeason20242025!$B$3:$B$1315, "&lt;=" &amp; FJ$1, DataRegularSeason20242025!$D$3:$D$1315, $A61)+SUMIFS(DataRegularSeason20242025!$AB$3:$AB$1315,DataRegularSeason20242025!$B$3:$B$1315, "&lt;=" &amp; FJ$1, DataRegularSeason20242025!$E$3:$E$1315, $A61)</f>
        <v>7</v>
      </c>
      <c r="FK61">
        <f>SUMIFS(DataRegularSeason20242025!$AA$3:$AA$1315,DataRegularSeason20242025!$B$3:$B$1315, "&lt;=" &amp; FK$1, DataRegularSeason20242025!$D$3:$D$1315, $A61)+SUMIFS(DataRegularSeason20242025!$AB$3:$AB$1315,DataRegularSeason20242025!$B$3:$B$1315, "&lt;=" &amp; FK$1, DataRegularSeason20242025!$E$3:$E$1315, $A61)</f>
        <v>7</v>
      </c>
      <c r="FL61">
        <f>SUMIFS(DataRegularSeason20242025!$AA$3:$AA$1315,DataRegularSeason20242025!$B$3:$B$1315, "&lt;=" &amp; FL$1, DataRegularSeason20242025!$D$3:$D$1315, $A61)+SUMIFS(DataRegularSeason20242025!$AB$3:$AB$1315,DataRegularSeason20242025!$B$3:$B$1315, "&lt;=" &amp; FL$1, DataRegularSeason20242025!$E$3:$E$1315, $A61)</f>
        <v>7</v>
      </c>
      <c r="FM61">
        <f>SUMIFS(DataRegularSeason20242025!$AA$3:$AA$1315,DataRegularSeason20242025!$B$3:$B$1315, "&lt;=" &amp; FM$1, DataRegularSeason20242025!$D$3:$D$1315, $A61)+SUMIFS(DataRegularSeason20242025!$AB$3:$AB$1315,DataRegularSeason20242025!$B$3:$B$1315, "&lt;=" &amp; FM$1, DataRegularSeason20242025!$E$3:$E$1315, $A61)</f>
        <v>7</v>
      </c>
      <c r="FN61">
        <f>SUMIFS(DataRegularSeason20242025!$AA$3:$AA$1315,DataRegularSeason20242025!$B$3:$B$1315, "&lt;=" &amp; FN$1, DataRegularSeason20242025!$D$3:$D$1315, $A61)+SUMIFS(DataRegularSeason20242025!$AB$3:$AB$1315,DataRegularSeason20242025!$B$3:$B$1315, "&lt;=" &amp; FN$1, DataRegularSeason20242025!$E$3:$E$1315, $A61)</f>
        <v>7</v>
      </c>
      <c r="FO61">
        <f>SUMIFS(DataRegularSeason20242025!$AA$3:$AA$1315,DataRegularSeason20242025!$B$3:$B$1315, "&lt;=" &amp; FO$1, DataRegularSeason20242025!$D$3:$D$1315, $A61)+SUMIFS(DataRegularSeason20242025!$AB$3:$AB$1315,DataRegularSeason20242025!$B$3:$B$1315, "&lt;=" &amp; FO$1, DataRegularSeason20242025!$E$3:$E$1315, $A61)</f>
        <v>7</v>
      </c>
      <c r="FP61">
        <f>SUMIFS(DataRegularSeason20242025!$AA$3:$AA$1315,DataRegularSeason20242025!$B$3:$B$1315, "&lt;=" &amp; FP$1, DataRegularSeason20242025!$D$3:$D$1315, $A61)+SUMIFS(DataRegularSeason20242025!$AB$3:$AB$1315,DataRegularSeason20242025!$B$3:$B$1315, "&lt;=" &amp; FP$1, DataRegularSeason20242025!$E$3:$E$1315, $A61)</f>
        <v>7</v>
      </c>
      <c r="FQ61">
        <f>SUMIFS(DataRegularSeason20242025!$AA$3:$AA$1315,DataRegularSeason20242025!$B$3:$B$1315, "&lt;=" &amp; FQ$1, DataRegularSeason20242025!$D$3:$D$1315, $A61)+SUMIFS(DataRegularSeason20242025!$AB$3:$AB$1315,DataRegularSeason20242025!$B$3:$B$1315, "&lt;=" &amp; FQ$1, DataRegularSeason20242025!$E$3:$E$1315, $A61)</f>
        <v>7</v>
      </c>
      <c r="FR61">
        <f>SUMIFS(DataRegularSeason20242025!$AA$3:$AA$1315,DataRegularSeason20242025!$B$3:$B$1315, "&lt;=" &amp; FR$1, DataRegularSeason20242025!$D$3:$D$1315, $A61)+SUMIFS(DataRegularSeason20242025!$AB$3:$AB$1315,DataRegularSeason20242025!$B$3:$B$1315, "&lt;=" &amp; FR$1, DataRegularSeason20242025!$E$3:$E$1315, $A61)</f>
        <v>7</v>
      </c>
      <c r="FS61">
        <f>SUMIFS(DataRegularSeason20242025!$AA$3:$AA$1315,DataRegularSeason20242025!$B$3:$B$1315, "&lt;=" &amp; FS$1, DataRegularSeason20242025!$D$3:$D$1315, $A61)+SUMIFS(DataRegularSeason20242025!$AB$3:$AB$1315,DataRegularSeason20242025!$B$3:$B$1315, "&lt;=" &amp; FS$1, DataRegularSeason20242025!$E$3:$E$1315, $A61)</f>
        <v>7</v>
      </c>
      <c r="FT61">
        <f>SUMIFS(DataRegularSeason20242025!$AA$3:$AA$1315,DataRegularSeason20242025!$B$3:$B$1315, "&lt;=" &amp; FT$1, DataRegularSeason20242025!$D$3:$D$1315, $A61)+SUMIFS(DataRegularSeason20242025!$AB$3:$AB$1315,DataRegularSeason20242025!$B$3:$B$1315, "&lt;=" &amp; FT$1, DataRegularSeason20242025!$E$3:$E$1315, $A61)</f>
        <v>7</v>
      </c>
      <c r="FU61">
        <f>SUMIFS(DataRegularSeason20242025!$AA$3:$AA$1315,DataRegularSeason20242025!$B$3:$B$1315, "&lt;=" &amp; FU$1, DataRegularSeason20242025!$D$3:$D$1315, $A61)+SUMIFS(DataRegularSeason20242025!$AB$3:$AB$1315,DataRegularSeason20242025!$B$3:$B$1315, "&lt;=" &amp; FU$1, DataRegularSeason20242025!$E$3:$E$1315, $A61)</f>
        <v>7</v>
      </c>
      <c r="FV61">
        <f>SUMIFS(DataRegularSeason20242025!$AA$3:$AA$1315,DataRegularSeason20242025!$B$3:$B$1315, "&lt;=" &amp; FV$1, DataRegularSeason20242025!$D$3:$D$1315, $A61)+SUMIFS(DataRegularSeason20242025!$AB$3:$AB$1315,DataRegularSeason20242025!$B$3:$B$1315, "&lt;=" &amp; FV$1, DataRegularSeason20242025!$E$3:$E$1315, $A61)</f>
        <v>7</v>
      </c>
      <c r="FW61">
        <f>SUMIFS(DataRegularSeason20242025!$AA$3:$AA$1315,DataRegularSeason20242025!$B$3:$B$1315, "&lt;=" &amp; FW$1, DataRegularSeason20242025!$D$3:$D$1315, $A61)+SUMIFS(DataRegularSeason20242025!$AB$3:$AB$1315,DataRegularSeason20242025!$B$3:$B$1315, "&lt;=" &amp; FW$1, DataRegularSeason20242025!$E$3:$E$1315, $A61)</f>
        <v>7</v>
      </c>
      <c r="FX61">
        <f>SUMIFS(DataRegularSeason20242025!$AA$3:$AA$1315,DataRegularSeason20242025!$B$3:$B$1315, "&lt;=" &amp; FX$1, DataRegularSeason20242025!$D$3:$D$1315, $A61)+SUMIFS(DataRegularSeason20242025!$AB$3:$AB$1315,DataRegularSeason20242025!$B$3:$B$1315, "&lt;=" &amp; FX$1, DataRegularSeason20242025!$E$3:$E$1315, $A61)</f>
        <v>7</v>
      </c>
      <c r="FY61">
        <f>SUMIFS(DataRegularSeason20242025!$AA$3:$AA$1315,DataRegularSeason20242025!$B$3:$B$1315, "&lt;=" &amp; FY$1, DataRegularSeason20242025!$D$3:$D$1315, $A61)+SUMIFS(DataRegularSeason20242025!$AB$3:$AB$1315,DataRegularSeason20242025!$B$3:$B$1315, "&lt;=" &amp; FY$1, DataRegularSeason20242025!$E$3:$E$1315, $A61)</f>
        <v>7</v>
      </c>
      <c r="FZ61">
        <f>SUMIFS(DataRegularSeason20242025!$AA$3:$AA$1315,DataRegularSeason20242025!$B$3:$B$1315, "&lt;=" &amp; FZ$1, DataRegularSeason20242025!$D$3:$D$1315, $A61)+SUMIFS(DataRegularSeason20242025!$AB$3:$AB$1315,DataRegularSeason20242025!$B$3:$B$1315, "&lt;=" &amp; FZ$1, DataRegularSeason20242025!$E$3:$E$1315, $A61)</f>
        <v>7</v>
      </c>
      <c r="GA61">
        <f>SUMIFS(DataRegularSeason20242025!$AA$3:$AA$1315,DataRegularSeason20242025!$B$3:$B$1315, "&lt;=" &amp; GA$1, DataRegularSeason20242025!$D$3:$D$1315, $A61)+SUMIFS(DataRegularSeason20242025!$AB$3:$AB$1315,DataRegularSeason20242025!$B$3:$B$1315, "&lt;=" &amp; GA$1, DataRegularSeason20242025!$E$3:$E$1315, $A61)</f>
        <v>7</v>
      </c>
      <c r="GB61">
        <f>SUMIFS(DataRegularSeason20242025!$AA$3:$AA$1315,DataRegularSeason20242025!$B$3:$B$1315, "&lt;=" &amp; GB$1, DataRegularSeason20242025!$D$3:$D$1315, $A61)+SUMIFS(DataRegularSeason20242025!$AB$3:$AB$1315,DataRegularSeason20242025!$B$3:$B$1315, "&lt;=" &amp; GB$1, DataRegularSeason20242025!$E$3:$E$1315, $A61)</f>
        <v>7</v>
      </c>
      <c r="GC61">
        <f>SUMIFS(DataRegularSeason20242025!$AA$3:$AA$1315,DataRegularSeason20242025!$B$3:$B$1315, "&lt;=" &amp; GC$1, DataRegularSeason20242025!$D$3:$D$1315, $A61)+SUMIFS(DataRegularSeason20242025!$AB$3:$AB$1315,DataRegularSeason20242025!$B$3:$B$1315, "&lt;=" &amp; GC$1, DataRegularSeason20242025!$E$3:$E$1315, $A61)</f>
        <v>7</v>
      </c>
      <c r="GD61">
        <f>SUMIFS(DataRegularSeason20242025!$AA$3:$AA$1315,DataRegularSeason20242025!$B$3:$B$1315, "&lt;=" &amp; GD$1, DataRegularSeason20242025!$D$3:$D$1315, $A61)+SUMIFS(DataRegularSeason20242025!$AB$3:$AB$1315,DataRegularSeason20242025!$B$3:$B$1315, "&lt;=" &amp; GD$1, DataRegularSeason20242025!$E$3:$E$1315, $A61)</f>
        <v>7</v>
      </c>
      <c r="GE61">
        <f>SUMIFS(DataRegularSeason20242025!$AA$3:$AA$1315,DataRegularSeason20242025!$B$3:$B$1315, "&lt;=" &amp; GE$1, DataRegularSeason20242025!$D$3:$D$1315, $A61)+SUMIFS(DataRegularSeason20242025!$AB$3:$AB$1315,DataRegularSeason20242025!$B$3:$B$1315, "&lt;=" &amp; GE$1, DataRegularSeason20242025!$E$3:$E$1315, $A61)</f>
        <v>7</v>
      </c>
      <c r="GF61">
        <f>SUMIFS(DataRegularSeason20242025!$AA$3:$AA$1315,DataRegularSeason20242025!$B$3:$B$1315, "&lt;=" &amp; GF$1, DataRegularSeason20242025!$D$3:$D$1315, $A61)+SUMIFS(DataRegularSeason20242025!$AB$3:$AB$1315,DataRegularSeason20242025!$B$3:$B$1315, "&lt;=" &amp; GF$1, DataRegularSeason20242025!$E$3:$E$1315, $A61)</f>
        <v>7</v>
      </c>
      <c r="GG61">
        <f>SUMIFS(DataRegularSeason20242025!$AA$3:$AA$1315,DataRegularSeason20242025!$B$3:$B$1315, "&lt;=" &amp; GG$1, DataRegularSeason20242025!$D$3:$D$1315, $A61)+SUMIFS(DataRegularSeason20242025!$AB$3:$AB$1315,DataRegularSeason20242025!$B$3:$B$1315, "&lt;=" &amp; GG$1, DataRegularSeason20242025!$E$3:$E$1315, $A61)</f>
        <v>7</v>
      </c>
      <c r="GH61">
        <f>SUMIFS(DataRegularSeason20242025!$AA$3:$AA$1315,DataRegularSeason20242025!$B$3:$B$1315, "&lt;=" &amp; GH$1, DataRegularSeason20242025!$D$3:$D$1315, $A61)+SUMIFS(DataRegularSeason20242025!$AB$3:$AB$1315,DataRegularSeason20242025!$B$3:$B$1315, "&lt;=" &amp; GH$1, DataRegularSeason20242025!$E$3:$E$1315, $A61)</f>
        <v>7</v>
      </c>
      <c r="GI61">
        <f>SUMIFS(DataRegularSeason20242025!$AA$3:$AA$1315,DataRegularSeason20242025!$B$3:$B$1315, "&lt;=" &amp; GI$1, DataRegularSeason20242025!$D$3:$D$1315, $A61)+SUMIFS(DataRegularSeason20242025!$AB$3:$AB$1315,DataRegularSeason20242025!$B$3:$B$1315, "&lt;=" &amp; GI$1, DataRegularSeason20242025!$E$3:$E$1315, $A61)</f>
        <v>7</v>
      </c>
      <c r="GJ61">
        <f>SUMIFS(DataRegularSeason20242025!$AA$3:$AA$1315,DataRegularSeason20242025!$B$3:$B$1315, "&lt;=" &amp; GJ$1, DataRegularSeason20242025!$D$3:$D$1315, $A61)+SUMIFS(DataRegularSeason20242025!$AB$3:$AB$1315,DataRegularSeason20242025!$B$3:$B$1315, "&lt;=" &amp; GJ$1, DataRegularSeason20242025!$E$3:$E$1315, $A61)</f>
        <v>7</v>
      </c>
      <c r="GK61">
        <f>SUMIFS(DataRegularSeason20242025!$AA$3:$AA$1315,DataRegularSeason20242025!$B$3:$B$1315, "&lt;=" &amp; GK$1, DataRegularSeason20242025!$D$3:$D$1315, $A61)+SUMIFS(DataRegularSeason20242025!$AB$3:$AB$1315,DataRegularSeason20242025!$B$3:$B$1315, "&lt;=" &amp; GK$1, DataRegularSeason20242025!$E$3:$E$1315, $A61)</f>
        <v>7</v>
      </c>
      <c r="GL61">
        <f>SUMIFS(DataRegularSeason20242025!$AA$3:$AA$1315,DataRegularSeason20242025!$B$3:$B$1315, "&lt;=" &amp; GL$1, DataRegularSeason20242025!$D$3:$D$1315, $A61)+SUMIFS(DataRegularSeason20242025!$AB$3:$AB$1315,DataRegularSeason20242025!$B$3:$B$1315, "&lt;=" &amp; GL$1, DataRegularSeason20242025!$E$3:$E$1315, $A61)</f>
        <v>7</v>
      </c>
      <c r="GM61">
        <f>SUMIFS(DataRegularSeason20242025!$AA$3:$AA$1315,DataRegularSeason20242025!$B$3:$B$1315, "&lt;=" &amp; GM$1, DataRegularSeason20242025!$D$3:$D$1315, $A61)+SUMIFS(DataRegularSeason20242025!$AB$3:$AB$1315,DataRegularSeason20242025!$B$3:$B$1315, "&lt;=" &amp; GM$1, DataRegularSeason20242025!$E$3:$E$1315, $A61)</f>
        <v>7</v>
      </c>
      <c r="GN61">
        <f>SUMIFS(DataRegularSeason20242025!$AA$3:$AA$1315,DataRegularSeason20242025!$B$3:$B$1315, "&lt;=" &amp; GN$1, DataRegularSeason20242025!$D$3:$D$1315, $A61)+SUMIFS(DataRegularSeason20242025!$AB$3:$AB$1315,DataRegularSeason20242025!$B$3:$B$1315, "&lt;=" &amp; GN$1, DataRegularSeason20242025!$E$3:$E$1315, $A61)</f>
        <v>7</v>
      </c>
      <c r="GO61">
        <f>SUMIFS(DataRegularSeason20242025!$AA$3:$AA$1315,DataRegularSeason20242025!$B$3:$B$1315, "&lt;=" &amp; GO$1, DataRegularSeason20242025!$D$3:$D$1315, $A61)+SUMIFS(DataRegularSeason20242025!$AB$3:$AB$1315,DataRegularSeason20242025!$B$3:$B$1315, "&lt;=" &amp; GO$1, DataRegularSeason20242025!$E$3:$E$1315, $A61)</f>
        <v>7</v>
      </c>
      <c r="GP61">
        <f>SUMIFS(DataRegularSeason20242025!$AA$3:$AA$1315,DataRegularSeason20242025!$B$3:$B$1315, "&lt;=" &amp; GP$1, DataRegularSeason20242025!$D$3:$D$1315, $A61)+SUMIFS(DataRegularSeason20242025!$AB$3:$AB$1315,DataRegularSeason20242025!$B$3:$B$1315, "&lt;=" &amp; GP$1, DataRegularSeason20242025!$E$3:$E$1315, $A61)</f>
        <v>7</v>
      </c>
      <c r="GQ61">
        <f>SUMIFS(DataRegularSeason20242025!$AA$3:$AA$1315,DataRegularSeason20242025!$B$3:$B$1315, "&lt;=" &amp; GQ$1, DataRegularSeason20242025!$D$3:$D$1315, $A61)+SUMIFS(DataRegularSeason20242025!$AB$3:$AB$1315,DataRegularSeason20242025!$B$3:$B$1315, "&lt;=" &amp; GQ$1, DataRegularSeason20242025!$E$3:$E$1315, $A61)</f>
        <v>7</v>
      </c>
      <c r="GR61">
        <f>SUMIFS(DataRegularSeason20242025!$AA$3:$AA$1315,DataRegularSeason20242025!$B$3:$B$1315, "&lt;=" &amp; GR$1, DataRegularSeason20242025!$D$3:$D$1315, $A61)+SUMIFS(DataRegularSeason20242025!$AB$3:$AB$1315,DataRegularSeason20242025!$B$3:$B$1315, "&lt;=" &amp; GR$1, DataRegularSeason20242025!$E$3:$E$1315, $A61)</f>
        <v>7</v>
      </c>
      <c r="GS61">
        <f>SUMIFS(DataRegularSeason20242025!$AA$3:$AA$1315,DataRegularSeason20242025!$B$3:$B$1315, "&lt;=" &amp; GS$1, DataRegularSeason20242025!$D$3:$D$1315, $A61)+SUMIFS(DataRegularSeason20242025!$AB$3:$AB$1315,DataRegularSeason20242025!$B$3:$B$1315, "&lt;=" &amp; GS$1, DataRegularSeason20242025!$E$3:$E$1315, $A61)</f>
        <v>7</v>
      </c>
      <c r="GT61">
        <f>SUMIFS(DataRegularSeason20242025!$AA$3:$AA$1315,DataRegularSeason20242025!$B$3:$B$1315, "&lt;=" &amp; GT$1, DataRegularSeason20242025!$D$3:$D$1315, $A61)+SUMIFS(DataRegularSeason20242025!$AB$3:$AB$1315,DataRegularSeason20242025!$B$3:$B$1315, "&lt;=" &amp; GT$1, DataRegularSeason20242025!$E$3:$E$1315, $A61)</f>
        <v>7</v>
      </c>
      <c r="GU61">
        <f>SUMIFS(DataRegularSeason20242025!$AA$3:$AA$1315,DataRegularSeason20242025!$B$3:$B$1315, "&lt;=" &amp; GU$1, DataRegularSeason20242025!$D$3:$D$1315, $A61)+SUMIFS(DataRegularSeason20242025!$AB$3:$AB$1315,DataRegularSeason20242025!$B$3:$B$1315, "&lt;=" &amp; GU$1, DataRegularSeason20242025!$E$3:$E$1315, $A61)</f>
        <v>7</v>
      </c>
    </row>
    <row r="62" spans="1:203" x14ac:dyDescent="0.25">
      <c r="A62" t="s">
        <v>26</v>
      </c>
      <c r="B62" t="s">
        <v>90</v>
      </c>
      <c r="C62" t="s">
        <v>93</v>
      </c>
      <c r="D62">
        <f>SUMIFS(DataRegularSeason20242025!$AA$3:$AA$1315,DataRegularSeason20242025!$B$3:$B$1315, "&lt;=" &amp; D$1, DataRegularSeason20242025!$D$3:$D$1315, $A62)+SUMIFS(DataRegularSeason20242025!$AB$3:$AB$1315,DataRegularSeason20242025!$B$3:$B$1315, "&lt;=" &amp; D$1, DataRegularSeason20242025!$E$3:$E$1315, $A62)</f>
        <v>0</v>
      </c>
      <c r="E62">
        <f>SUMIFS(DataRegularSeason20242025!$AA$3:$AA$1315,DataRegularSeason20242025!$B$3:$B$1315, "&lt;=" &amp; E$1, DataRegularSeason20242025!$D$3:$D$1315, $A62)+SUMIFS(DataRegularSeason20242025!$AB$3:$AB$1315,DataRegularSeason20242025!$B$3:$B$1315, "&lt;=" &amp; E$1, DataRegularSeason20242025!$E$3:$E$1315, $A62)</f>
        <v>0</v>
      </c>
      <c r="F62">
        <f>SUMIFS(DataRegularSeason20242025!$AA$3:$AA$1315,DataRegularSeason20242025!$B$3:$B$1315, "&lt;=" &amp; F$1, DataRegularSeason20242025!$D$3:$D$1315, $A62)+SUMIFS(DataRegularSeason20242025!$AB$3:$AB$1315,DataRegularSeason20242025!$B$3:$B$1315, "&lt;=" &amp; F$1, DataRegularSeason20242025!$E$3:$E$1315, $A62)</f>
        <v>0</v>
      </c>
      <c r="G62">
        <f>SUMIFS(DataRegularSeason20242025!$AA$3:$AA$1315,DataRegularSeason20242025!$B$3:$B$1315, "&lt;=" &amp; G$1, DataRegularSeason20242025!$D$3:$D$1315, $A62)+SUMIFS(DataRegularSeason20242025!$AB$3:$AB$1315,DataRegularSeason20242025!$B$3:$B$1315, "&lt;=" &amp; G$1, DataRegularSeason20242025!$E$3:$E$1315, $A62)</f>
        <v>0</v>
      </c>
      <c r="H62">
        <f>SUMIFS(DataRegularSeason20242025!$AA$3:$AA$1315,DataRegularSeason20242025!$B$3:$B$1315, "&lt;=" &amp; H$1, DataRegularSeason20242025!$D$3:$D$1315, $A62)+SUMIFS(DataRegularSeason20242025!$AB$3:$AB$1315,DataRegularSeason20242025!$B$3:$B$1315, "&lt;=" &amp; H$1, DataRegularSeason20242025!$E$3:$E$1315, $A62)</f>
        <v>0</v>
      </c>
      <c r="I62">
        <f>SUMIFS(DataRegularSeason20242025!$AA$3:$AA$1315,DataRegularSeason20242025!$B$3:$B$1315, "&lt;=" &amp; I$1, DataRegularSeason20242025!$D$3:$D$1315, $A62)+SUMIFS(DataRegularSeason20242025!$AB$3:$AB$1315,DataRegularSeason20242025!$B$3:$B$1315, "&lt;=" &amp; I$1, DataRegularSeason20242025!$E$3:$E$1315, $A62)</f>
        <v>1</v>
      </c>
      <c r="J62">
        <f>SUMIFS(DataRegularSeason20242025!$AA$3:$AA$1315,DataRegularSeason20242025!$B$3:$B$1315, "&lt;=" &amp; J$1, DataRegularSeason20242025!$D$3:$D$1315, $A62)+SUMIFS(DataRegularSeason20242025!$AB$3:$AB$1315,DataRegularSeason20242025!$B$3:$B$1315, "&lt;=" &amp; J$1, DataRegularSeason20242025!$E$3:$E$1315, $A62)</f>
        <v>3</v>
      </c>
      <c r="K62">
        <f>SUMIFS(DataRegularSeason20242025!$AA$3:$AA$1315,DataRegularSeason20242025!$B$3:$B$1315, "&lt;=" &amp; K$1, DataRegularSeason20242025!$D$3:$D$1315, $A62)+SUMIFS(DataRegularSeason20242025!$AB$3:$AB$1315,DataRegularSeason20242025!$B$3:$B$1315, "&lt;=" &amp; K$1, DataRegularSeason20242025!$E$3:$E$1315, $A62)</f>
        <v>3</v>
      </c>
      <c r="L62">
        <f>SUMIFS(DataRegularSeason20242025!$AA$3:$AA$1315,DataRegularSeason20242025!$B$3:$B$1315, "&lt;=" &amp; L$1, DataRegularSeason20242025!$D$3:$D$1315, $A62)+SUMIFS(DataRegularSeason20242025!$AB$3:$AB$1315,DataRegularSeason20242025!$B$3:$B$1315, "&lt;=" &amp; L$1, DataRegularSeason20242025!$E$3:$E$1315, $A62)</f>
        <v>4</v>
      </c>
      <c r="M62">
        <f>SUMIFS(DataRegularSeason20242025!$AA$3:$AA$1315,DataRegularSeason20242025!$B$3:$B$1315, "&lt;=" &amp; M$1, DataRegularSeason20242025!$D$3:$D$1315, $A62)+SUMIFS(DataRegularSeason20242025!$AB$3:$AB$1315,DataRegularSeason20242025!$B$3:$B$1315, "&lt;=" &amp; M$1, DataRegularSeason20242025!$E$3:$E$1315, $A62)</f>
        <v>4</v>
      </c>
      <c r="N62">
        <f>SUMIFS(DataRegularSeason20242025!$AA$3:$AA$1315,DataRegularSeason20242025!$B$3:$B$1315, "&lt;=" &amp; N$1, DataRegularSeason20242025!$D$3:$D$1315, $A62)+SUMIFS(DataRegularSeason20242025!$AB$3:$AB$1315,DataRegularSeason20242025!$B$3:$B$1315, "&lt;=" &amp; N$1, DataRegularSeason20242025!$E$3:$E$1315, $A62)</f>
        <v>4</v>
      </c>
      <c r="O62">
        <f>SUMIFS(DataRegularSeason20242025!$AA$3:$AA$1315,DataRegularSeason20242025!$B$3:$B$1315, "&lt;=" &amp; O$1, DataRegularSeason20242025!$D$3:$D$1315, $A62)+SUMIFS(DataRegularSeason20242025!$AB$3:$AB$1315,DataRegularSeason20242025!$B$3:$B$1315, "&lt;=" &amp; O$1, DataRegularSeason20242025!$E$3:$E$1315, $A62)</f>
        <v>6</v>
      </c>
      <c r="P62">
        <f>SUMIFS(DataRegularSeason20242025!$AA$3:$AA$1315,DataRegularSeason20242025!$B$3:$B$1315, "&lt;=" &amp; P$1, DataRegularSeason20242025!$D$3:$D$1315, $A62)+SUMIFS(DataRegularSeason20242025!$AB$3:$AB$1315,DataRegularSeason20242025!$B$3:$B$1315, "&lt;=" &amp; P$1, DataRegularSeason20242025!$E$3:$E$1315, $A62)</f>
        <v>6</v>
      </c>
      <c r="Q62">
        <f>SUMIFS(DataRegularSeason20242025!$AA$3:$AA$1315,DataRegularSeason20242025!$B$3:$B$1315, "&lt;=" &amp; Q$1, DataRegularSeason20242025!$D$3:$D$1315, $A62)+SUMIFS(DataRegularSeason20242025!$AB$3:$AB$1315,DataRegularSeason20242025!$B$3:$B$1315, "&lt;=" &amp; Q$1, DataRegularSeason20242025!$E$3:$E$1315, $A62)</f>
        <v>8</v>
      </c>
      <c r="R62">
        <f>SUMIFS(DataRegularSeason20242025!$AA$3:$AA$1315,DataRegularSeason20242025!$B$3:$B$1315, "&lt;=" &amp; R$1, DataRegularSeason20242025!$D$3:$D$1315, $A62)+SUMIFS(DataRegularSeason20242025!$AB$3:$AB$1315,DataRegularSeason20242025!$B$3:$B$1315, "&lt;=" &amp; R$1, DataRegularSeason20242025!$E$3:$E$1315, $A62)</f>
        <v>8</v>
      </c>
      <c r="S62">
        <f>SUMIFS(DataRegularSeason20242025!$AA$3:$AA$1315,DataRegularSeason20242025!$B$3:$B$1315, "&lt;=" &amp; S$1, DataRegularSeason20242025!$D$3:$D$1315, $A62)+SUMIFS(DataRegularSeason20242025!$AB$3:$AB$1315,DataRegularSeason20242025!$B$3:$B$1315, "&lt;=" &amp; S$1, DataRegularSeason20242025!$E$3:$E$1315, $A62)</f>
        <v>10</v>
      </c>
      <c r="T62">
        <f>SUMIFS(DataRegularSeason20242025!$AA$3:$AA$1315,DataRegularSeason20242025!$B$3:$B$1315, "&lt;=" &amp; T$1, DataRegularSeason20242025!$D$3:$D$1315, $A62)+SUMIFS(DataRegularSeason20242025!$AB$3:$AB$1315,DataRegularSeason20242025!$B$3:$B$1315, "&lt;=" &amp; T$1, DataRegularSeason20242025!$E$3:$E$1315, $A62)</f>
        <v>10</v>
      </c>
      <c r="U62">
        <f>SUMIFS(DataRegularSeason20242025!$AA$3:$AA$1315,DataRegularSeason20242025!$B$3:$B$1315, "&lt;=" &amp; U$1, DataRegularSeason20242025!$D$3:$D$1315, $A62)+SUMIFS(DataRegularSeason20242025!$AB$3:$AB$1315,DataRegularSeason20242025!$B$3:$B$1315, "&lt;=" &amp; U$1, DataRegularSeason20242025!$E$3:$E$1315, $A62)</f>
        <v>12</v>
      </c>
      <c r="V62">
        <f>SUMIFS(DataRegularSeason20242025!$AA$3:$AA$1315,DataRegularSeason20242025!$B$3:$B$1315, "&lt;=" &amp; V$1, DataRegularSeason20242025!$D$3:$D$1315, $A62)+SUMIFS(DataRegularSeason20242025!$AB$3:$AB$1315,DataRegularSeason20242025!$B$3:$B$1315, "&lt;=" &amp; V$1, DataRegularSeason20242025!$E$3:$E$1315, $A62)</f>
        <v>12</v>
      </c>
      <c r="W62">
        <f>SUMIFS(DataRegularSeason20242025!$AA$3:$AA$1315,DataRegularSeason20242025!$B$3:$B$1315, "&lt;=" &amp; W$1, DataRegularSeason20242025!$D$3:$D$1315, $A62)+SUMIFS(DataRegularSeason20242025!$AB$3:$AB$1315,DataRegularSeason20242025!$B$3:$B$1315, "&lt;=" &amp; W$1, DataRegularSeason20242025!$E$3:$E$1315, $A62)</f>
        <v>12</v>
      </c>
      <c r="X62">
        <f>SUMIFS(DataRegularSeason20242025!$AA$3:$AA$1315,DataRegularSeason20242025!$B$3:$B$1315, "&lt;=" &amp; X$1, DataRegularSeason20242025!$D$3:$D$1315, $A62)+SUMIFS(DataRegularSeason20242025!$AB$3:$AB$1315,DataRegularSeason20242025!$B$3:$B$1315, "&lt;=" &amp; X$1, DataRegularSeason20242025!$E$3:$E$1315, $A62)</f>
        <v>12</v>
      </c>
      <c r="Y62">
        <f>SUMIFS(DataRegularSeason20242025!$AA$3:$AA$1315,DataRegularSeason20242025!$B$3:$B$1315, "&lt;=" &amp; Y$1, DataRegularSeason20242025!$D$3:$D$1315, $A62)+SUMIFS(DataRegularSeason20242025!$AB$3:$AB$1315,DataRegularSeason20242025!$B$3:$B$1315, "&lt;=" &amp; Y$1, DataRegularSeason20242025!$E$3:$E$1315, $A62)</f>
        <v>12</v>
      </c>
      <c r="Z62">
        <f>SUMIFS(DataRegularSeason20242025!$AA$3:$AA$1315,DataRegularSeason20242025!$B$3:$B$1315, "&lt;=" &amp; Z$1, DataRegularSeason20242025!$D$3:$D$1315, $A62)+SUMIFS(DataRegularSeason20242025!$AB$3:$AB$1315,DataRegularSeason20242025!$B$3:$B$1315, "&lt;=" &amp; Z$1, DataRegularSeason20242025!$E$3:$E$1315, $A62)</f>
        <v>12</v>
      </c>
      <c r="AA62">
        <f>SUMIFS(DataRegularSeason20242025!$AA$3:$AA$1315,DataRegularSeason20242025!$B$3:$B$1315, "&lt;=" &amp; AA$1, DataRegularSeason20242025!$D$3:$D$1315, $A62)+SUMIFS(DataRegularSeason20242025!$AB$3:$AB$1315,DataRegularSeason20242025!$B$3:$B$1315, "&lt;=" &amp; AA$1, DataRegularSeason20242025!$E$3:$E$1315, $A62)</f>
        <v>12</v>
      </c>
      <c r="AB62">
        <f>SUMIFS(DataRegularSeason20242025!$AA$3:$AA$1315,DataRegularSeason20242025!$B$3:$B$1315, "&lt;=" &amp; AB$1, DataRegularSeason20242025!$D$3:$D$1315, $A62)+SUMIFS(DataRegularSeason20242025!$AB$3:$AB$1315,DataRegularSeason20242025!$B$3:$B$1315, "&lt;=" &amp; AB$1, DataRegularSeason20242025!$E$3:$E$1315, $A62)</f>
        <v>12</v>
      </c>
      <c r="AC62">
        <f>SUMIFS(DataRegularSeason20242025!$AA$3:$AA$1315,DataRegularSeason20242025!$B$3:$B$1315, "&lt;=" &amp; AC$1, DataRegularSeason20242025!$D$3:$D$1315, $A62)+SUMIFS(DataRegularSeason20242025!$AB$3:$AB$1315,DataRegularSeason20242025!$B$3:$B$1315, "&lt;=" &amp; AC$1, DataRegularSeason20242025!$E$3:$E$1315, $A62)</f>
        <v>12</v>
      </c>
      <c r="AD62">
        <f>SUMIFS(DataRegularSeason20242025!$AA$3:$AA$1315,DataRegularSeason20242025!$B$3:$B$1315, "&lt;=" &amp; AD$1, DataRegularSeason20242025!$D$3:$D$1315, $A62)+SUMIFS(DataRegularSeason20242025!$AB$3:$AB$1315,DataRegularSeason20242025!$B$3:$B$1315, "&lt;=" &amp; AD$1, DataRegularSeason20242025!$E$3:$E$1315, $A62)</f>
        <v>12</v>
      </c>
      <c r="AE62">
        <f>SUMIFS(DataRegularSeason20242025!$AA$3:$AA$1315,DataRegularSeason20242025!$B$3:$B$1315, "&lt;=" &amp; AE$1, DataRegularSeason20242025!$D$3:$D$1315, $A62)+SUMIFS(DataRegularSeason20242025!$AB$3:$AB$1315,DataRegularSeason20242025!$B$3:$B$1315, "&lt;=" &amp; AE$1, DataRegularSeason20242025!$E$3:$E$1315, $A62)</f>
        <v>12</v>
      </c>
      <c r="AF62">
        <f>SUMIFS(DataRegularSeason20242025!$AA$3:$AA$1315,DataRegularSeason20242025!$B$3:$B$1315, "&lt;=" &amp; AF$1, DataRegularSeason20242025!$D$3:$D$1315, $A62)+SUMIFS(DataRegularSeason20242025!$AB$3:$AB$1315,DataRegularSeason20242025!$B$3:$B$1315, "&lt;=" &amp; AF$1, DataRegularSeason20242025!$E$3:$E$1315, $A62)</f>
        <v>12</v>
      </c>
      <c r="AG62">
        <f>SUMIFS(DataRegularSeason20242025!$AA$3:$AA$1315,DataRegularSeason20242025!$B$3:$B$1315, "&lt;=" &amp; AG$1, DataRegularSeason20242025!$D$3:$D$1315, $A62)+SUMIFS(DataRegularSeason20242025!$AB$3:$AB$1315,DataRegularSeason20242025!$B$3:$B$1315, "&lt;=" &amp; AG$1, DataRegularSeason20242025!$E$3:$E$1315, $A62)</f>
        <v>12</v>
      </c>
      <c r="AH62">
        <f>SUMIFS(DataRegularSeason20242025!$AA$3:$AA$1315,DataRegularSeason20242025!$B$3:$B$1315, "&lt;=" &amp; AH$1, DataRegularSeason20242025!$D$3:$D$1315, $A62)+SUMIFS(DataRegularSeason20242025!$AB$3:$AB$1315,DataRegularSeason20242025!$B$3:$B$1315, "&lt;=" &amp; AH$1, DataRegularSeason20242025!$E$3:$E$1315, $A62)</f>
        <v>12</v>
      </c>
      <c r="AI62">
        <f>SUMIFS(DataRegularSeason20242025!$AA$3:$AA$1315,DataRegularSeason20242025!$B$3:$B$1315, "&lt;=" &amp; AI$1, DataRegularSeason20242025!$D$3:$D$1315, $A62)+SUMIFS(DataRegularSeason20242025!$AB$3:$AB$1315,DataRegularSeason20242025!$B$3:$B$1315, "&lt;=" &amp; AI$1, DataRegularSeason20242025!$E$3:$E$1315, $A62)</f>
        <v>12</v>
      </c>
      <c r="AJ62">
        <f>SUMIFS(DataRegularSeason20242025!$AA$3:$AA$1315,DataRegularSeason20242025!$B$3:$B$1315, "&lt;=" &amp; AJ$1, DataRegularSeason20242025!$D$3:$D$1315, $A62)+SUMIFS(DataRegularSeason20242025!$AB$3:$AB$1315,DataRegularSeason20242025!$B$3:$B$1315, "&lt;=" &amp; AJ$1, DataRegularSeason20242025!$E$3:$E$1315, $A62)</f>
        <v>12</v>
      </c>
      <c r="AK62">
        <f>SUMIFS(DataRegularSeason20242025!$AA$3:$AA$1315,DataRegularSeason20242025!$B$3:$B$1315, "&lt;=" &amp; AK$1, DataRegularSeason20242025!$D$3:$D$1315, $A62)+SUMIFS(DataRegularSeason20242025!$AB$3:$AB$1315,DataRegularSeason20242025!$B$3:$B$1315, "&lt;=" &amp; AK$1, DataRegularSeason20242025!$E$3:$E$1315, $A62)</f>
        <v>12</v>
      </c>
      <c r="AL62">
        <f>SUMIFS(DataRegularSeason20242025!$AA$3:$AA$1315,DataRegularSeason20242025!$B$3:$B$1315, "&lt;=" &amp; AL$1, DataRegularSeason20242025!$D$3:$D$1315, $A62)+SUMIFS(DataRegularSeason20242025!$AB$3:$AB$1315,DataRegularSeason20242025!$B$3:$B$1315, "&lt;=" &amp; AL$1, DataRegularSeason20242025!$E$3:$E$1315, $A62)</f>
        <v>12</v>
      </c>
      <c r="AM62">
        <f>SUMIFS(DataRegularSeason20242025!$AA$3:$AA$1315,DataRegularSeason20242025!$B$3:$B$1315, "&lt;=" &amp; AM$1, DataRegularSeason20242025!$D$3:$D$1315, $A62)+SUMIFS(DataRegularSeason20242025!$AB$3:$AB$1315,DataRegularSeason20242025!$B$3:$B$1315, "&lt;=" &amp; AM$1, DataRegularSeason20242025!$E$3:$E$1315, $A62)</f>
        <v>12</v>
      </c>
      <c r="AN62">
        <f>SUMIFS(DataRegularSeason20242025!$AA$3:$AA$1315,DataRegularSeason20242025!$B$3:$B$1315, "&lt;=" &amp; AN$1, DataRegularSeason20242025!$D$3:$D$1315, $A62)+SUMIFS(DataRegularSeason20242025!$AB$3:$AB$1315,DataRegularSeason20242025!$B$3:$B$1315, "&lt;=" &amp; AN$1, DataRegularSeason20242025!$E$3:$E$1315, $A62)</f>
        <v>12</v>
      </c>
      <c r="AO62">
        <f>SUMIFS(DataRegularSeason20242025!$AA$3:$AA$1315,DataRegularSeason20242025!$B$3:$B$1315, "&lt;=" &amp; AO$1, DataRegularSeason20242025!$D$3:$D$1315, $A62)+SUMIFS(DataRegularSeason20242025!$AB$3:$AB$1315,DataRegularSeason20242025!$B$3:$B$1315, "&lt;=" &amp; AO$1, DataRegularSeason20242025!$E$3:$E$1315, $A62)</f>
        <v>12</v>
      </c>
      <c r="AP62">
        <f>SUMIFS(DataRegularSeason20242025!$AA$3:$AA$1315,DataRegularSeason20242025!$B$3:$B$1315, "&lt;=" &amp; AP$1, DataRegularSeason20242025!$D$3:$D$1315, $A62)+SUMIFS(DataRegularSeason20242025!$AB$3:$AB$1315,DataRegularSeason20242025!$B$3:$B$1315, "&lt;=" &amp; AP$1, DataRegularSeason20242025!$E$3:$E$1315, $A62)</f>
        <v>12</v>
      </c>
      <c r="AQ62">
        <f>SUMIFS(DataRegularSeason20242025!$AA$3:$AA$1315,DataRegularSeason20242025!$B$3:$B$1315, "&lt;=" &amp; AQ$1, DataRegularSeason20242025!$D$3:$D$1315, $A62)+SUMIFS(DataRegularSeason20242025!$AB$3:$AB$1315,DataRegularSeason20242025!$B$3:$B$1315, "&lt;=" &amp; AQ$1, DataRegularSeason20242025!$E$3:$E$1315, $A62)</f>
        <v>12</v>
      </c>
      <c r="AR62">
        <f>SUMIFS(DataRegularSeason20242025!$AA$3:$AA$1315,DataRegularSeason20242025!$B$3:$B$1315, "&lt;=" &amp; AR$1, DataRegularSeason20242025!$D$3:$D$1315, $A62)+SUMIFS(DataRegularSeason20242025!$AB$3:$AB$1315,DataRegularSeason20242025!$B$3:$B$1315, "&lt;=" &amp; AR$1, DataRegularSeason20242025!$E$3:$E$1315, $A62)</f>
        <v>12</v>
      </c>
      <c r="AS62">
        <f>SUMIFS(DataRegularSeason20242025!$AA$3:$AA$1315,DataRegularSeason20242025!$B$3:$B$1315, "&lt;=" &amp; AS$1, DataRegularSeason20242025!$D$3:$D$1315, $A62)+SUMIFS(DataRegularSeason20242025!$AB$3:$AB$1315,DataRegularSeason20242025!$B$3:$B$1315, "&lt;=" &amp; AS$1, DataRegularSeason20242025!$E$3:$E$1315, $A62)</f>
        <v>12</v>
      </c>
      <c r="AT62">
        <f>SUMIFS(DataRegularSeason20242025!$AA$3:$AA$1315,DataRegularSeason20242025!$B$3:$B$1315, "&lt;=" &amp; AT$1, DataRegularSeason20242025!$D$3:$D$1315, $A62)+SUMIFS(DataRegularSeason20242025!$AB$3:$AB$1315,DataRegularSeason20242025!$B$3:$B$1315, "&lt;=" &amp; AT$1, DataRegularSeason20242025!$E$3:$E$1315, $A62)</f>
        <v>12</v>
      </c>
      <c r="AU62">
        <f>SUMIFS(DataRegularSeason20242025!$AA$3:$AA$1315,DataRegularSeason20242025!$B$3:$B$1315, "&lt;=" &amp; AU$1, DataRegularSeason20242025!$D$3:$D$1315, $A62)+SUMIFS(DataRegularSeason20242025!$AB$3:$AB$1315,DataRegularSeason20242025!$B$3:$B$1315, "&lt;=" &amp; AU$1, DataRegularSeason20242025!$E$3:$E$1315, $A62)</f>
        <v>12</v>
      </c>
      <c r="AV62">
        <f>SUMIFS(DataRegularSeason20242025!$AA$3:$AA$1315,DataRegularSeason20242025!$B$3:$B$1315, "&lt;=" &amp; AV$1, DataRegularSeason20242025!$D$3:$D$1315, $A62)+SUMIFS(DataRegularSeason20242025!$AB$3:$AB$1315,DataRegularSeason20242025!$B$3:$B$1315, "&lt;=" &amp; AV$1, DataRegularSeason20242025!$E$3:$E$1315, $A62)</f>
        <v>12</v>
      </c>
      <c r="AW62">
        <f>SUMIFS(DataRegularSeason20242025!$AA$3:$AA$1315,DataRegularSeason20242025!$B$3:$B$1315, "&lt;=" &amp; AW$1, DataRegularSeason20242025!$D$3:$D$1315, $A62)+SUMIFS(DataRegularSeason20242025!$AB$3:$AB$1315,DataRegularSeason20242025!$B$3:$B$1315, "&lt;=" &amp; AW$1, DataRegularSeason20242025!$E$3:$E$1315, $A62)</f>
        <v>12</v>
      </c>
      <c r="AX62">
        <f>SUMIFS(DataRegularSeason20242025!$AA$3:$AA$1315,DataRegularSeason20242025!$B$3:$B$1315, "&lt;=" &amp; AX$1, DataRegularSeason20242025!$D$3:$D$1315, $A62)+SUMIFS(DataRegularSeason20242025!$AB$3:$AB$1315,DataRegularSeason20242025!$B$3:$B$1315, "&lt;=" &amp; AX$1, DataRegularSeason20242025!$E$3:$E$1315, $A62)</f>
        <v>12</v>
      </c>
      <c r="AY62">
        <f>SUMIFS(DataRegularSeason20242025!$AA$3:$AA$1315,DataRegularSeason20242025!$B$3:$B$1315, "&lt;=" &amp; AY$1, DataRegularSeason20242025!$D$3:$D$1315, $A62)+SUMIFS(DataRegularSeason20242025!$AB$3:$AB$1315,DataRegularSeason20242025!$B$3:$B$1315, "&lt;=" &amp; AY$1, DataRegularSeason20242025!$E$3:$E$1315, $A62)</f>
        <v>12</v>
      </c>
      <c r="AZ62">
        <f>SUMIFS(DataRegularSeason20242025!$AA$3:$AA$1315,DataRegularSeason20242025!$B$3:$B$1315, "&lt;=" &amp; AZ$1, DataRegularSeason20242025!$D$3:$D$1315, $A62)+SUMIFS(DataRegularSeason20242025!$AB$3:$AB$1315,DataRegularSeason20242025!$B$3:$B$1315, "&lt;=" &amp; AZ$1, DataRegularSeason20242025!$E$3:$E$1315, $A62)</f>
        <v>12</v>
      </c>
      <c r="BA62">
        <f>SUMIFS(DataRegularSeason20242025!$AA$3:$AA$1315,DataRegularSeason20242025!$B$3:$B$1315, "&lt;=" &amp; BA$1, DataRegularSeason20242025!$D$3:$D$1315, $A62)+SUMIFS(DataRegularSeason20242025!$AB$3:$AB$1315,DataRegularSeason20242025!$B$3:$B$1315, "&lt;=" &amp; BA$1, DataRegularSeason20242025!$E$3:$E$1315, $A62)</f>
        <v>12</v>
      </c>
      <c r="BB62">
        <f>SUMIFS(DataRegularSeason20242025!$AA$3:$AA$1315,DataRegularSeason20242025!$B$3:$B$1315, "&lt;=" &amp; BB$1, DataRegularSeason20242025!$D$3:$D$1315, $A62)+SUMIFS(DataRegularSeason20242025!$AB$3:$AB$1315,DataRegularSeason20242025!$B$3:$B$1315, "&lt;=" &amp; BB$1, DataRegularSeason20242025!$E$3:$E$1315, $A62)</f>
        <v>12</v>
      </c>
      <c r="BC62">
        <f>SUMIFS(DataRegularSeason20242025!$AA$3:$AA$1315,DataRegularSeason20242025!$B$3:$B$1315, "&lt;=" &amp; BC$1, DataRegularSeason20242025!$D$3:$D$1315, $A62)+SUMIFS(DataRegularSeason20242025!$AB$3:$AB$1315,DataRegularSeason20242025!$B$3:$B$1315, "&lt;=" &amp; BC$1, DataRegularSeason20242025!$E$3:$E$1315, $A62)</f>
        <v>12</v>
      </c>
      <c r="BD62">
        <f>SUMIFS(DataRegularSeason20242025!$AA$3:$AA$1315,DataRegularSeason20242025!$B$3:$B$1315, "&lt;=" &amp; BD$1, DataRegularSeason20242025!$D$3:$D$1315, $A62)+SUMIFS(DataRegularSeason20242025!$AB$3:$AB$1315,DataRegularSeason20242025!$B$3:$B$1315, "&lt;=" &amp; BD$1, DataRegularSeason20242025!$E$3:$E$1315, $A62)</f>
        <v>12</v>
      </c>
      <c r="BE62">
        <f>SUMIFS(DataRegularSeason20242025!$AA$3:$AA$1315,DataRegularSeason20242025!$B$3:$B$1315, "&lt;=" &amp; BE$1, DataRegularSeason20242025!$D$3:$D$1315, $A62)+SUMIFS(DataRegularSeason20242025!$AB$3:$AB$1315,DataRegularSeason20242025!$B$3:$B$1315, "&lt;=" &amp; BE$1, DataRegularSeason20242025!$E$3:$E$1315, $A62)</f>
        <v>12</v>
      </c>
      <c r="BF62">
        <f>SUMIFS(DataRegularSeason20242025!$AA$3:$AA$1315,DataRegularSeason20242025!$B$3:$B$1315, "&lt;=" &amp; BF$1, DataRegularSeason20242025!$D$3:$D$1315, $A62)+SUMIFS(DataRegularSeason20242025!$AB$3:$AB$1315,DataRegularSeason20242025!$B$3:$B$1315, "&lt;=" &amp; BF$1, DataRegularSeason20242025!$E$3:$E$1315, $A62)</f>
        <v>12</v>
      </c>
      <c r="BG62">
        <f>SUMIFS(DataRegularSeason20242025!$AA$3:$AA$1315,DataRegularSeason20242025!$B$3:$B$1315, "&lt;=" &amp; BG$1, DataRegularSeason20242025!$D$3:$D$1315, $A62)+SUMIFS(DataRegularSeason20242025!$AB$3:$AB$1315,DataRegularSeason20242025!$B$3:$B$1315, "&lt;=" &amp; BG$1, DataRegularSeason20242025!$E$3:$E$1315, $A62)</f>
        <v>12</v>
      </c>
      <c r="BH62">
        <f>SUMIFS(DataRegularSeason20242025!$AA$3:$AA$1315,DataRegularSeason20242025!$B$3:$B$1315, "&lt;=" &amp; BH$1, DataRegularSeason20242025!$D$3:$D$1315, $A62)+SUMIFS(DataRegularSeason20242025!$AB$3:$AB$1315,DataRegularSeason20242025!$B$3:$B$1315, "&lt;=" &amp; BH$1, DataRegularSeason20242025!$E$3:$E$1315, $A62)</f>
        <v>12</v>
      </c>
      <c r="BI62">
        <f>SUMIFS(DataRegularSeason20242025!$AA$3:$AA$1315,DataRegularSeason20242025!$B$3:$B$1315, "&lt;=" &amp; BI$1, DataRegularSeason20242025!$D$3:$D$1315, $A62)+SUMIFS(DataRegularSeason20242025!$AB$3:$AB$1315,DataRegularSeason20242025!$B$3:$B$1315, "&lt;=" &amp; BI$1, DataRegularSeason20242025!$E$3:$E$1315, $A62)</f>
        <v>12</v>
      </c>
      <c r="BJ62">
        <f>SUMIFS(DataRegularSeason20242025!$AA$3:$AA$1315,DataRegularSeason20242025!$B$3:$B$1315, "&lt;=" &amp; BJ$1, DataRegularSeason20242025!$D$3:$D$1315, $A62)+SUMIFS(DataRegularSeason20242025!$AB$3:$AB$1315,DataRegularSeason20242025!$B$3:$B$1315, "&lt;=" &amp; BJ$1, DataRegularSeason20242025!$E$3:$E$1315, $A62)</f>
        <v>12</v>
      </c>
      <c r="BK62">
        <f>SUMIFS(DataRegularSeason20242025!$AA$3:$AA$1315,DataRegularSeason20242025!$B$3:$B$1315, "&lt;=" &amp; BK$1, DataRegularSeason20242025!$D$3:$D$1315, $A62)+SUMIFS(DataRegularSeason20242025!$AB$3:$AB$1315,DataRegularSeason20242025!$B$3:$B$1315, "&lt;=" &amp; BK$1, DataRegularSeason20242025!$E$3:$E$1315, $A62)</f>
        <v>12</v>
      </c>
      <c r="BL62">
        <f>SUMIFS(DataRegularSeason20242025!$AA$3:$AA$1315,DataRegularSeason20242025!$B$3:$B$1315, "&lt;=" &amp; BL$1, DataRegularSeason20242025!$D$3:$D$1315, $A62)+SUMIFS(DataRegularSeason20242025!$AB$3:$AB$1315,DataRegularSeason20242025!$B$3:$B$1315, "&lt;=" &amp; BL$1, DataRegularSeason20242025!$E$3:$E$1315, $A62)</f>
        <v>12</v>
      </c>
      <c r="BM62">
        <f>SUMIFS(DataRegularSeason20242025!$AA$3:$AA$1315,DataRegularSeason20242025!$B$3:$B$1315, "&lt;=" &amp; BM$1, DataRegularSeason20242025!$D$3:$D$1315, $A62)+SUMIFS(DataRegularSeason20242025!$AB$3:$AB$1315,DataRegularSeason20242025!$B$3:$B$1315, "&lt;=" &amp; BM$1, DataRegularSeason20242025!$E$3:$E$1315, $A62)</f>
        <v>12</v>
      </c>
      <c r="BN62">
        <f>SUMIFS(DataRegularSeason20242025!$AA$3:$AA$1315,DataRegularSeason20242025!$B$3:$B$1315, "&lt;=" &amp; BN$1, DataRegularSeason20242025!$D$3:$D$1315, $A62)+SUMIFS(DataRegularSeason20242025!$AB$3:$AB$1315,DataRegularSeason20242025!$B$3:$B$1315, "&lt;=" &amp; BN$1, DataRegularSeason20242025!$E$3:$E$1315, $A62)</f>
        <v>12</v>
      </c>
      <c r="BO62">
        <f>SUMIFS(DataRegularSeason20242025!$AA$3:$AA$1315,DataRegularSeason20242025!$B$3:$B$1315, "&lt;=" &amp; BO$1, DataRegularSeason20242025!$D$3:$D$1315, $A62)+SUMIFS(DataRegularSeason20242025!$AB$3:$AB$1315,DataRegularSeason20242025!$B$3:$B$1315, "&lt;=" &amp; BO$1, DataRegularSeason20242025!$E$3:$E$1315, $A62)</f>
        <v>12</v>
      </c>
      <c r="BP62">
        <f>SUMIFS(DataRegularSeason20242025!$AA$3:$AA$1315,DataRegularSeason20242025!$B$3:$B$1315, "&lt;=" &amp; BP$1, DataRegularSeason20242025!$D$3:$D$1315, $A62)+SUMIFS(DataRegularSeason20242025!$AB$3:$AB$1315,DataRegularSeason20242025!$B$3:$B$1315, "&lt;=" &amp; BP$1, DataRegularSeason20242025!$E$3:$E$1315, $A62)</f>
        <v>12</v>
      </c>
      <c r="BQ62">
        <f>SUMIFS(DataRegularSeason20242025!$AA$3:$AA$1315,DataRegularSeason20242025!$B$3:$B$1315, "&lt;=" &amp; BQ$1, DataRegularSeason20242025!$D$3:$D$1315, $A62)+SUMIFS(DataRegularSeason20242025!$AB$3:$AB$1315,DataRegularSeason20242025!$B$3:$B$1315, "&lt;=" &amp; BQ$1, DataRegularSeason20242025!$E$3:$E$1315, $A62)</f>
        <v>12</v>
      </c>
      <c r="BR62">
        <f>SUMIFS(DataRegularSeason20242025!$AA$3:$AA$1315,DataRegularSeason20242025!$B$3:$B$1315, "&lt;=" &amp; BR$1, DataRegularSeason20242025!$D$3:$D$1315, $A62)+SUMIFS(DataRegularSeason20242025!$AB$3:$AB$1315,DataRegularSeason20242025!$B$3:$B$1315, "&lt;=" &amp; BR$1, DataRegularSeason20242025!$E$3:$E$1315, $A62)</f>
        <v>12</v>
      </c>
      <c r="BS62">
        <f>SUMIFS(DataRegularSeason20242025!$AA$3:$AA$1315,DataRegularSeason20242025!$B$3:$B$1315, "&lt;=" &amp; BS$1, DataRegularSeason20242025!$D$3:$D$1315, $A62)+SUMIFS(DataRegularSeason20242025!$AB$3:$AB$1315,DataRegularSeason20242025!$B$3:$B$1315, "&lt;=" &amp; BS$1, DataRegularSeason20242025!$E$3:$E$1315, $A62)</f>
        <v>12</v>
      </c>
      <c r="BT62">
        <f>SUMIFS(DataRegularSeason20242025!$AA$3:$AA$1315,DataRegularSeason20242025!$B$3:$B$1315, "&lt;=" &amp; BT$1, DataRegularSeason20242025!$D$3:$D$1315, $A62)+SUMIFS(DataRegularSeason20242025!$AB$3:$AB$1315,DataRegularSeason20242025!$B$3:$B$1315, "&lt;=" &amp; BT$1, DataRegularSeason20242025!$E$3:$E$1315, $A62)</f>
        <v>12</v>
      </c>
      <c r="BU62">
        <f>SUMIFS(DataRegularSeason20242025!$AA$3:$AA$1315,DataRegularSeason20242025!$B$3:$B$1315, "&lt;=" &amp; BU$1, DataRegularSeason20242025!$D$3:$D$1315, $A62)+SUMIFS(DataRegularSeason20242025!$AB$3:$AB$1315,DataRegularSeason20242025!$B$3:$B$1315, "&lt;=" &amp; BU$1, DataRegularSeason20242025!$E$3:$E$1315, $A62)</f>
        <v>12</v>
      </c>
      <c r="BV62">
        <f>SUMIFS(DataRegularSeason20242025!$AA$3:$AA$1315,DataRegularSeason20242025!$B$3:$B$1315, "&lt;=" &amp; BV$1, DataRegularSeason20242025!$D$3:$D$1315, $A62)+SUMIFS(DataRegularSeason20242025!$AB$3:$AB$1315,DataRegularSeason20242025!$B$3:$B$1315, "&lt;=" &amp; BV$1, DataRegularSeason20242025!$E$3:$E$1315, $A62)</f>
        <v>12</v>
      </c>
      <c r="BW62">
        <f>SUMIFS(DataRegularSeason20242025!$AA$3:$AA$1315,DataRegularSeason20242025!$B$3:$B$1315, "&lt;=" &amp; BW$1, DataRegularSeason20242025!$D$3:$D$1315, $A62)+SUMIFS(DataRegularSeason20242025!$AB$3:$AB$1315,DataRegularSeason20242025!$B$3:$B$1315, "&lt;=" &amp; BW$1, DataRegularSeason20242025!$E$3:$E$1315, $A62)</f>
        <v>12</v>
      </c>
      <c r="BX62">
        <f>SUMIFS(DataRegularSeason20242025!$AA$3:$AA$1315,DataRegularSeason20242025!$B$3:$B$1315, "&lt;=" &amp; BX$1, DataRegularSeason20242025!$D$3:$D$1315, $A62)+SUMIFS(DataRegularSeason20242025!$AB$3:$AB$1315,DataRegularSeason20242025!$B$3:$B$1315, "&lt;=" &amp; BX$1, DataRegularSeason20242025!$E$3:$E$1315, $A62)</f>
        <v>12</v>
      </c>
      <c r="BY62">
        <f>SUMIFS(DataRegularSeason20242025!$AA$3:$AA$1315,DataRegularSeason20242025!$B$3:$B$1315, "&lt;=" &amp; BY$1, DataRegularSeason20242025!$D$3:$D$1315, $A62)+SUMIFS(DataRegularSeason20242025!$AB$3:$AB$1315,DataRegularSeason20242025!$B$3:$B$1315, "&lt;=" &amp; BY$1, DataRegularSeason20242025!$E$3:$E$1315, $A62)</f>
        <v>12</v>
      </c>
      <c r="BZ62">
        <f>SUMIFS(DataRegularSeason20242025!$AA$3:$AA$1315,DataRegularSeason20242025!$B$3:$B$1315, "&lt;=" &amp; BZ$1, DataRegularSeason20242025!$D$3:$D$1315, $A62)+SUMIFS(DataRegularSeason20242025!$AB$3:$AB$1315,DataRegularSeason20242025!$B$3:$B$1315, "&lt;=" &amp; BZ$1, DataRegularSeason20242025!$E$3:$E$1315, $A62)</f>
        <v>12</v>
      </c>
      <c r="CA62">
        <f>SUMIFS(DataRegularSeason20242025!$AA$3:$AA$1315,DataRegularSeason20242025!$B$3:$B$1315, "&lt;=" &amp; CA$1, DataRegularSeason20242025!$D$3:$D$1315, $A62)+SUMIFS(DataRegularSeason20242025!$AB$3:$AB$1315,DataRegularSeason20242025!$B$3:$B$1315, "&lt;=" &amp; CA$1, DataRegularSeason20242025!$E$3:$E$1315, $A62)</f>
        <v>12</v>
      </c>
      <c r="CB62">
        <f>SUMIFS(DataRegularSeason20242025!$AA$3:$AA$1315,DataRegularSeason20242025!$B$3:$B$1315, "&lt;=" &amp; CB$1, DataRegularSeason20242025!$D$3:$D$1315, $A62)+SUMIFS(DataRegularSeason20242025!$AB$3:$AB$1315,DataRegularSeason20242025!$B$3:$B$1315, "&lt;=" &amp; CB$1, DataRegularSeason20242025!$E$3:$E$1315, $A62)</f>
        <v>12</v>
      </c>
      <c r="CC62">
        <f>SUMIFS(DataRegularSeason20242025!$AA$3:$AA$1315,DataRegularSeason20242025!$B$3:$B$1315, "&lt;=" &amp; CC$1, DataRegularSeason20242025!$D$3:$D$1315, $A62)+SUMIFS(DataRegularSeason20242025!$AB$3:$AB$1315,DataRegularSeason20242025!$B$3:$B$1315, "&lt;=" &amp; CC$1, DataRegularSeason20242025!$E$3:$E$1315, $A62)</f>
        <v>12</v>
      </c>
      <c r="CD62">
        <f>SUMIFS(DataRegularSeason20242025!$AA$3:$AA$1315,DataRegularSeason20242025!$B$3:$B$1315, "&lt;=" &amp; CD$1, DataRegularSeason20242025!$D$3:$D$1315, $A62)+SUMIFS(DataRegularSeason20242025!$AB$3:$AB$1315,DataRegularSeason20242025!$B$3:$B$1315, "&lt;=" &amp; CD$1, DataRegularSeason20242025!$E$3:$E$1315, $A62)</f>
        <v>12</v>
      </c>
      <c r="CE62">
        <f>SUMIFS(DataRegularSeason20242025!$AA$3:$AA$1315,DataRegularSeason20242025!$B$3:$B$1315, "&lt;=" &amp; CE$1, DataRegularSeason20242025!$D$3:$D$1315, $A62)+SUMIFS(DataRegularSeason20242025!$AB$3:$AB$1315,DataRegularSeason20242025!$B$3:$B$1315, "&lt;=" &amp; CE$1, DataRegularSeason20242025!$E$3:$E$1315, $A62)</f>
        <v>12</v>
      </c>
      <c r="CF62">
        <f>SUMIFS(DataRegularSeason20242025!$AA$3:$AA$1315,DataRegularSeason20242025!$B$3:$B$1315, "&lt;=" &amp; CF$1, DataRegularSeason20242025!$D$3:$D$1315, $A62)+SUMIFS(DataRegularSeason20242025!$AB$3:$AB$1315,DataRegularSeason20242025!$B$3:$B$1315, "&lt;=" &amp; CF$1, DataRegularSeason20242025!$E$3:$E$1315, $A62)</f>
        <v>12</v>
      </c>
      <c r="CG62">
        <f>SUMIFS(DataRegularSeason20242025!$AA$3:$AA$1315,DataRegularSeason20242025!$B$3:$B$1315, "&lt;=" &amp; CG$1, DataRegularSeason20242025!$D$3:$D$1315, $A62)+SUMIFS(DataRegularSeason20242025!$AB$3:$AB$1315,DataRegularSeason20242025!$B$3:$B$1315, "&lt;=" &amp; CG$1, DataRegularSeason20242025!$E$3:$E$1315, $A62)</f>
        <v>12</v>
      </c>
      <c r="CH62">
        <f>SUMIFS(DataRegularSeason20242025!$AA$3:$AA$1315,DataRegularSeason20242025!$B$3:$B$1315, "&lt;=" &amp; CH$1, DataRegularSeason20242025!$D$3:$D$1315, $A62)+SUMIFS(DataRegularSeason20242025!$AB$3:$AB$1315,DataRegularSeason20242025!$B$3:$B$1315, "&lt;=" &amp; CH$1, DataRegularSeason20242025!$E$3:$E$1315, $A62)</f>
        <v>12</v>
      </c>
      <c r="CI62">
        <f>SUMIFS(DataRegularSeason20242025!$AA$3:$AA$1315,DataRegularSeason20242025!$B$3:$B$1315, "&lt;=" &amp; CI$1, DataRegularSeason20242025!$D$3:$D$1315, $A62)+SUMIFS(DataRegularSeason20242025!$AB$3:$AB$1315,DataRegularSeason20242025!$B$3:$B$1315, "&lt;=" &amp; CI$1, DataRegularSeason20242025!$E$3:$E$1315, $A62)</f>
        <v>12</v>
      </c>
      <c r="CJ62">
        <f>SUMIFS(DataRegularSeason20242025!$AA$3:$AA$1315,DataRegularSeason20242025!$B$3:$B$1315, "&lt;=" &amp; CJ$1, DataRegularSeason20242025!$D$3:$D$1315, $A62)+SUMIFS(DataRegularSeason20242025!$AB$3:$AB$1315,DataRegularSeason20242025!$B$3:$B$1315, "&lt;=" &amp; CJ$1, DataRegularSeason20242025!$E$3:$E$1315, $A62)</f>
        <v>12</v>
      </c>
      <c r="CK62">
        <f>SUMIFS(DataRegularSeason20242025!$AA$3:$AA$1315,DataRegularSeason20242025!$B$3:$B$1315, "&lt;=" &amp; CK$1, DataRegularSeason20242025!$D$3:$D$1315, $A62)+SUMIFS(DataRegularSeason20242025!$AB$3:$AB$1315,DataRegularSeason20242025!$B$3:$B$1315, "&lt;=" &amp; CK$1, DataRegularSeason20242025!$E$3:$E$1315, $A62)</f>
        <v>12</v>
      </c>
      <c r="CL62">
        <f>SUMIFS(DataRegularSeason20242025!$AA$3:$AA$1315,DataRegularSeason20242025!$B$3:$B$1315, "&lt;=" &amp; CL$1, DataRegularSeason20242025!$D$3:$D$1315, $A62)+SUMIFS(DataRegularSeason20242025!$AB$3:$AB$1315,DataRegularSeason20242025!$B$3:$B$1315, "&lt;=" &amp; CL$1, DataRegularSeason20242025!$E$3:$E$1315, $A62)</f>
        <v>12</v>
      </c>
      <c r="CM62">
        <f>SUMIFS(DataRegularSeason20242025!$AA$3:$AA$1315,DataRegularSeason20242025!$B$3:$B$1315, "&lt;=" &amp; CM$1, DataRegularSeason20242025!$D$3:$D$1315, $A62)+SUMIFS(DataRegularSeason20242025!$AB$3:$AB$1315,DataRegularSeason20242025!$B$3:$B$1315, "&lt;=" &amp; CM$1, DataRegularSeason20242025!$E$3:$E$1315, $A62)</f>
        <v>12</v>
      </c>
      <c r="CN62">
        <f>SUMIFS(DataRegularSeason20242025!$AA$3:$AA$1315,DataRegularSeason20242025!$B$3:$B$1315, "&lt;=" &amp; CN$1, DataRegularSeason20242025!$D$3:$D$1315, $A62)+SUMIFS(DataRegularSeason20242025!$AB$3:$AB$1315,DataRegularSeason20242025!$B$3:$B$1315, "&lt;=" &amp; CN$1, DataRegularSeason20242025!$E$3:$E$1315, $A62)</f>
        <v>12</v>
      </c>
      <c r="CO62">
        <f>SUMIFS(DataRegularSeason20242025!$AA$3:$AA$1315,DataRegularSeason20242025!$B$3:$B$1315, "&lt;=" &amp; CO$1, DataRegularSeason20242025!$D$3:$D$1315, $A62)+SUMIFS(DataRegularSeason20242025!$AB$3:$AB$1315,DataRegularSeason20242025!$B$3:$B$1315, "&lt;=" &amp; CO$1, DataRegularSeason20242025!$E$3:$E$1315, $A62)</f>
        <v>12</v>
      </c>
      <c r="CP62">
        <f>SUMIFS(DataRegularSeason20242025!$AA$3:$AA$1315,DataRegularSeason20242025!$B$3:$B$1315, "&lt;=" &amp; CP$1, DataRegularSeason20242025!$D$3:$D$1315, $A62)+SUMIFS(DataRegularSeason20242025!$AB$3:$AB$1315,DataRegularSeason20242025!$B$3:$B$1315, "&lt;=" &amp; CP$1, DataRegularSeason20242025!$E$3:$E$1315, $A62)</f>
        <v>12</v>
      </c>
      <c r="CQ62">
        <f>SUMIFS(DataRegularSeason20242025!$AA$3:$AA$1315,DataRegularSeason20242025!$B$3:$B$1315, "&lt;=" &amp; CQ$1, DataRegularSeason20242025!$D$3:$D$1315, $A62)+SUMIFS(DataRegularSeason20242025!$AB$3:$AB$1315,DataRegularSeason20242025!$B$3:$B$1315, "&lt;=" &amp; CQ$1, DataRegularSeason20242025!$E$3:$E$1315, $A62)</f>
        <v>12</v>
      </c>
      <c r="CR62">
        <f>SUMIFS(DataRegularSeason20242025!$AA$3:$AA$1315,DataRegularSeason20242025!$B$3:$B$1315, "&lt;=" &amp; CR$1, DataRegularSeason20242025!$D$3:$D$1315, $A62)+SUMIFS(DataRegularSeason20242025!$AB$3:$AB$1315,DataRegularSeason20242025!$B$3:$B$1315, "&lt;=" &amp; CR$1, DataRegularSeason20242025!$E$3:$E$1315, $A62)</f>
        <v>12</v>
      </c>
      <c r="CS62">
        <f>SUMIFS(DataRegularSeason20242025!$AA$3:$AA$1315,DataRegularSeason20242025!$B$3:$B$1315, "&lt;=" &amp; CS$1, DataRegularSeason20242025!$D$3:$D$1315, $A62)+SUMIFS(DataRegularSeason20242025!$AB$3:$AB$1315,DataRegularSeason20242025!$B$3:$B$1315, "&lt;=" &amp; CS$1, DataRegularSeason20242025!$E$3:$E$1315, $A62)</f>
        <v>12</v>
      </c>
      <c r="CT62">
        <f>SUMIFS(DataRegularSeason20242025!$AA$3:$AA$1315,DataRegularSeason20242025!$B$3:$B$1315, "&lt;=" &amp; CT$1, DataRegularSeason20242025!$D$3:$D$1315, $A62)+SUMIFS(DataRegularSeason20242025!$AB$3:$AB$1315,DataRegularSeason20242025!$B$3:$B$1315, "&lt;=" &amp; CT$1, DataRegularSeason20242025!$E$3:$E$1315, $A62)</f>
        <v>12</v>
      </c>
      <c r="CU62">
        <f>SUMIFS(DataRegularSeason20242025!$AA$3:$AA$1315,DataRegularSeason20242025!$B$3:$B$1315, "&lt;=" &amp; CU$1, DataRegularSeason20242025!$D$3:$D$1315, $A62)+SUMIFS(DataRegularSeason20242025!$AB$3:$AB$1315,DataRegularSeason20242025!$B$3:$B$1315, "&lt;=" &amp; CU$1, DataRegularSeason20242025!$E$3:$E$1315, $A62)</f>
        <v>12</v>
      </c>
      <c r="CV62">
        <f>SUMIFS(DataRegularSeason20242025!$AA$3:$AA$1315,DataRegularSeason20242025!$B$3:$B$1315, "&lt;=" &amp; CV$1, DataRegularSeason20242025!$D$3:$D$1315, $A62)+SUMIFS(DataRegularSeason20242025!$AB$3:$AB$1315,DataRegularSeason20242025!$B$3:$B$1315, "&lt;=" &amp; CV$1, DataRegularSeason20242025!$E$3:$E$1315, $A62)</f>
        <v>12</v>
      </c>
      <c r="CW62">
        <f>SUMIFS(DataRegularSeason20242025!$AA$3:$AA$1315,DataRegularSeason20242025!$B$3:$B$1315, "&lt;=" &amp; CW$1, DataRegularSeason20242025!$D$3:$D$1315, $A62)+SUMIFS(DataRegularSeason20242025!$AB$3:$AB$1315,DataRegularSeason20242025!$B$3:$B$1315, "&lt;=" &amp; CW$1, DataRegularSeason20242025!$E$3:$E$1315, $A62)</f>
        <v>12</v>
      </c>
      <c r="CX62">
        <f>SUMIFS(DataRegularSeason20242025!$AA$3:$AA$1315,DataRegularSeason20242025!$B$3:$B$1315, "&lt;=" &amp; CX$1, DataRegularSeason20242025!$D$3:$D$1315, $A62)+SUMIFS(DataRegularSeason20242025!$AB$3:$AB$1315,DataRegularSeason20242025!$B$3:$B$1315, "&lt;=" &amp; CX$1, DataRegularSeason20242025!$E$3:$E$1315, $A62)</f>
        <v>12</v>
      </c>
      <c r="CY62">
        <f>SUMIFS(DataRegularSeason20242025!$AA$3:$AA$1315,DataRegularSeason20242025!$B$3:$B$1315, "&lt;=" &amp; CY$1, DataRegularSeason20242025!$D$3:$D$1315, $A62)+SUMIFS(DataRegularSeason20242025!$AB$3:$AB$1315,DataRegularSeason20242025!$B$3:$B$1315, "&lt;=" &amp; CY$1, DataRegularSeason20242025!$E$3:$E$1315, $A62)</f>
        <v>12</v>
      </c>
      <c r="CZ62">
        <f>SUMIFS(DataRegularSeason20242025!$AA$3:$AA$1315,DataRegularSeason20242025!$B$3:$B$1315, "&lt;=" &amp; CZ$1, DataRegularSeason20242025!$D$3:$D$1315, $A62)+SUMIFS(DataRegularSeason20242025!$AB$3:$AB$1315,DataRegularSeason20242025!$B$3:$B$1315, "&lt;=" &amp; CZ$1, DataRegularSeason20242025!$E$3:$E$1315, $A62)</f>
        <v>12</v>
      </c>
      <c r="DA62">
        <f>SUMIFS(DataRegularSeason20242025!$AA$3:$AA$1315,DataRegularSeason20242025!$B$3:$B$1315, "&lt;=" &amp; DA$1, DataRegularSeason20242025!$D$3:$D$1315, $A62)+SUMIFS(DataRegularSeason20242025!$AB$3:$AB$1315,DataRegularSeason20242025!$B$3:$B$1315, "&lt;=" &amp; DA$1, DataRegularSeason20242025!$E$3:$E$1315, $A62)</f>
        <v>12</v>
      </c>
      <c r="DB62">
        <f>SUMIFS(DataRegularSeason20242025!$AA$3:$AA$1315,DataRegularSeason20242025!$B$3:$B$1315, "&lt;=" &amp; DB$1, DataRegularSeason20242025!$D$3:$D$1315, $A62)+SUMIFS(DataRegularSeason20242025!$AB$3:$AB$1315,DataRegularSeason20242025!$B$3:$B$1315, "&lt;=" &amp; DB$1, DataRegularSeason20242025!$E$3:$E$1315, $A62)</f>
        <v>12</v>
      </c>
      <c r="DC62">
        <f>SUMIFS(DataRegularSeason20242025!$AA$3:$AA$1315,DataRegularSeason20242025!$B$3:$B$1315, "&lt;=" &amp; DC$1, DataRegularSeason20242025!$D$3:$D$1315, $A62)+SUMIFS(DataRegularSeason20242025!$AB$3:$AB$1315,DataRegularSeason20242025!$B$3:$B$1315, "&lt;=" &amp; DC$1, DataRegularSeason20242025!$E$3:$E$1315, $A62)</f>
        <v>12</v>
      </c>
      <c r="DD62">
        <f>SUMIFS(DataRegularSeason20242025!$AA$3:$AA$1315,DataRegularSeason20242025!$B$3:$B$1315, "&lt;=" &amp; DD$1, DataRegularSeason20242025!$D$3:$D$1315, $A62)+SUMIFS(DataRegularSeason20242025!$AB$3:$AB$1315,DataRegularSeason20242025!$B$3:$B$1315, "&lt;=" &amp; DD$1, DataRegularSeason20242025!$E$3:$E$1315, $A62)</f>
        <v>12</v>
      </c>
      <c r="DE62">
        <f>SUMIFS(DataRegularSeason20242025!$AA$3:$AA$1315,DataRegularSeason20242025!$B$3:$B$1315, "&lt;=" &amp; DE$1, DataRegularSeason20242025!$D$3:$D$1315, $A62)+SUMIFS(DataRegularSeason20242025!$AB$3:$AB$1315,DataRegularSeason20242025!$B$3:$B$1315, "&lt;=" &amp; DE$1, DataRegularSeason20242025!$E$3:$E$1315, $A62)</f>
        <v>12</v>
      </c>
      <c r="DF62">
        <f>SUMIFS(DataRegularSeason20242025!$AA$3:$AA$1315,DataRegularSeason20242025!$B$3:$B$1315, "&lt;=" &amp; DF$1, DataRegularSeason20242025!$D$3:$D$1315, $A62)+SUMIFS(DataRegularSeason20242025!$AB$3:$AB$1315,DataRegularSeason20242025!$B$3:$B$1315, "&lt;=" &amp; DF$1, DataRegularSeason20242025!$E$3:$E$1315, $A62)</f>
        <v>12</v>
      </c>
      <c r="DG62">
        <f>SUMIFS(DataRegularSeason20242025!$AA$3:$AA$1315,DataRegularSeason20242025!$B$3:$B$1315, "&lt;=" &amp; DG$1, DataRegularSeason20242025!$D$3:$D$1315, $A62)+SUMIFS(DataRegularSeason20242025!$AB$3:$AB$1315,DataRegularSeason20242025!$B$3:$B$1315, "&lt;=" &amp; DG$1, DataRegularSeason20242025!$E$3:$E$1315, $A62)</f>
        <v>12</v>
      </c>
      <c r="DH62">
        <f>SUMIFS(DataRegularSeason20242025!$AA$3:$AA$1315,DataRegularSeason20242025!$B$3:$B$1315, "&lt;=" &amp; DH$1, DataRegularSeason20242025!$D$3:$D$1315, $A62)+SUMIFS(DataRegularSeason20242025!$AB$3:$AB$1315,DataRegularSeason20242025!$B$3:$B$1315, "&lt;=" &amp; DH$1, DataRegularSeason20242025!$E$3:$E$1315, $A62)</f>
        <v>12</v>
      </c>
      <c r="DI62">
        <f>SUMIFS(DataRegularSeason20242025!$AA$3:$AA$1315,DataRegularSeason20242025!$B$3:$B$1315, "&lt;=" &amp; DI$1, DataRegularSeason20242025!$D$3:$D$1315, $A62)+SUMIFS(DataRegularSeason20242025!$AB$3:$AB$1315,DataRegularSeason20242025!$B$3:$B$1315, "&lt;=" &amp; DI$1, DataRegularSeason20242025!$E$3:$E$1315, $A62)</f>
        <v>12</v>
      </c>
      <c r="DJ62">
        <f>SUMIFS(DataRegularSeason20242025!$AA$3:$AA$1315,DataRegularSeason20242025!$B$3:$B$1315, "&lt;=" &amp; DJ$1, DataRegularSeason20242025!$D$3:$D$1315, $A62)+SUMIFS(DataRegularSeason20242025!$AB$3:$AB$1315,DataRegularSeason20242025!$B$3:$B$1315, "&lt;=" &amp; DJ$1, DataRegularSeason20242025!$E$3:$E$1315, $A62)</f>
        <v>12</v>
      </c>
      <c r="DK62">
        <f>SUMIFS(DataRegularSeason20242025!$AA$3:$AA$1315,DataRegularSeason20242025!$B$3:$B$1315, "&lt;=" &amp; DK$1, DataRegularSeason20242025!$D$3:$D$1315, $A62)+SUMIFS(DataRegularSeason20242025!$AB$3:$AB$1315,DataRegularSeason20242025!$B$3:$B$1315, "&lt;=" &amp; DK$1, DataRegularSeason20242025!$E$3:$E$1315, $A62)</f>
        <v>12</v>
      </c>
      <c r="DL62">
        <f>SUMIFS(DataRegularSeason20242025!$AA$3:$AA$1315,DataRegularSeason20242025!$B$3:$B$1315, "&lt;=" &amp; DL$1, DataRegularSeason20242025!$D$3:$D$1315, $A62)+SUMIFS(DataRegularSeason20242025!$AB$3:$AB$1315,DataRegularSeason20242025!$B$3:$B$1315, "&lt;=" &amp; DL$1, DataRegularSeason20242025!$E$3:$E$1315, $A62)</f>
        <v>12</v>
      </c>
      <c r="DM62">
        <f>SUMIFS(DataRegularSeason20242025!$AA$3:$AA$1315,DataRegularSeason20242025!$B$3:$B$1315, "&lt;=" &amp; DM$1, DataRegularSeason20242025!$D$3:$D$1315, $A62)+SUMIFS(DataRegularSeason20242025!$AB$3:$AB$1315,DataRegularSeason20242025!$B$3:$B$1315, "&lt;=" &amp; DM$1, DataRegularSeason20242025!$E$3:$E$1315, $A62)</f>
        <v>12</v>
      </c>
      <c r="DN62">
        <f>SUMIFS(DataRegularSeason20242025!$AA$3:$AA$1315,DataRegularSeason20242025!$B$3:$B$1315, "&lt;=" &amp; DN$1, DataRegularSeason20242025!$D$3:$D$1315, $A62)+SUMIFS(DataRegularSeason20242025!$AB$3:$AB$1315,DataRegularSeason20242025!$B$3:$B$1315, "&lt;=" &amp; DN$1, DataRegularSeason20242025!$E$3:$E$1315, $A62)</f>
        <v>12</v>
      </c>
      <c r="DO62">
        <f>SUMIFS(DataRegularSeason20242025!$AA$3:$AA$1315,DataRegularSeason20242025!$B$3:$B$1315, "&lt;=" &amp; DO$1, DataRegularSeason20242025!$D$3:$D$1315, $A62)+SUMIFS(DataRegularSeason20242025!$AB$3:$AB$1315,DataRegularSeason20242025!$B$3:$B$1315, "&lt;=" &amp; DO$1, DataRegularSeason20242025!$E$3:$E$1315, $A62)</f>
        <v>12</v>
      </c>
      <c r="DP62">
        <f>SUMIFS(DataRegularSeason20242025!$AA$3:$AA$1315,DataRegularSeason20242025!$B$3:$B$1315, "&lt;=" &amp; DP$1, DataRegularSeason20242025!$D$3:$D$1315, $A62)+SUMIFS(DataRegularSeason20242025!$AB$3:$AB$1315,DataRegularSeason20242025!$B$3:$B$1315, "&lt;=" &amp; DP$1, DataRegularSeason20242025!$E$3:$E$1315, $A62)</f>
        <v>12</v>
      </c>
      <c r="DQ62">
        <f>SUMIFS(DataRegularSeason20242025!$AA$3:$AA$1315,DataRegularSeason20242025!$B$3:$B$1315, "&lt;=" &amp; DQ$1, DataRegularSeason20242025!$D$3:$D$1315, $A62)+SUMIFS(DataRegularSeason20242025!$AB$3:$AB$1315,DataRegularSeason20242025!$B$3:$B$1315, "&lt;=" &amp; DQ$1, DataRegularSeason20242025!$E$3:$E$1315, $A62)</f>
        <v>12</v>
      </c>
      <c r="DR62">
        <f>SUMIFS(DataRegularSeason20242025!$AA$3:$AA$1315,DataRegularSeason20242025!$B$3:$B$1315, "&lt;=" &amp; DR$1, DataRegularSeason20242025!$D$3:$D$1315, $A62)+SUMIFS(DataRegularSeason20242025!$AB$3:$AB$1315,DataRegularSeason20242025!$B$3:$B$1315, "&lt;=" &amp; DR$1, DataRegularSeason20242025!$E$3:$E$1315, $A62)</f>
        <v>12</v>
      </c>
      <c r="DS62">
        <f>SUMIFS(DataRegularSeason20242025!$AA$3:$AA$1315,DataRegularSeason20242025!$B$3:$B$1315, "&lt;=" &amp; DS$1, DataRegularSeason20242025!$D$3:$D$1315, $A62)+SUMIFS(DataRegularSeason20242025!$AB$3:$AB$1315,DataRegularSeason20242025!$B$3:$B$1315, "&lt;=" &amp; DS$1, DataRegularSeason20242025!$E$3:$E$1315, $A62)</f>
        <v>12</v>
      </c>
      <c r="DT62">
        <f>SUMIFS(DataRegularSeason20242025!$AA$3:$AA$1315,DataRegularSeason20242025!$B$3:$B$1315, "&lt;=" &amp; DT$1, DataRegularSeason20242025!$D$3:$D$1315, $A62)+SUMIFS(DataRegularSeason20242025!$AB$3:$AB$1315,DataRegularSeason20242025!$B$3:$B$1315, "&lt;=" &amp; DT$1, DataRegularSeason20242025!$E$3:$E$1315, $A62)</f>
        <v>12</v>
      </c>
      <c r="DU62">
        <f>SUMIFS(DataRegularSeason20242025!$AA$3:$AA$1315,DataRegularSeason20242025!$B$3:$B$1315, "&lt;=" &amp; DU$1, DataRegularSeason20242025!$D$3:$D$1315, $A62)+SUMIFS(DataRegularSeason20242025!$AB$3:$AB$1315,DataRegularSeason20242025!$B$3:$B$1315, "&lt;=" &amp; DU$1, DataRegularSeason20242025!$E$3:$E$1315, $A62)</f>
        <v>12</v>
      </c>
      <c r="DV62">
        <f>SUMIFS(DataRegularSeason20242025!$AA$3:$AA$1315,DataRegularSeason20242025!$B$3:$B$1315, "&lt;=" &amp; DV$1, DataRegularSeason20242025!$D$3:$D$1315, $A62)+SUMIFS(DataRegularSeason20242025!$AB$3:$AB$1315,DataRegularSeason20242025!$B$3:$B$1315, "&lt;=" &amp; DV$1, DataRegularSeason20242025!$E$3:$E$1315, $A62)</f>
        <v>12</v>
      </c>
      <c r="DW62">
        <f>SUMIFS(DataRegularSeason20242025!$AA$3:$AA$1315,DataRegularSeason20242025!$B$3:$B$1315, "&lt;=" &amp; DW$1, DataRegularSeason20242025!$D$3:$D$1315, $A62)+SUMIFS(DataRegularSeason20242025!$AB$3:$AB$1315,DataRegularSeason20242025!$B$3:$B$1315, "&lt;=" &amp; DW$1, DataRegularSeason20242025!$E$3:$E$1315, $A62)</f>
        <v>12</v>
      </c>
      <c r="DX62">
        <f>SUMIFS(DataRegularSeason20242025!$AA$3:$AA$1315,DataRegularSeason20242025!$B$3:$B$1315, "&lt;=" &amp; DX$1, DataRegularSeason20242025!$D$3:$D$1315, $A62)+SUMIFS(DataRegularSeason20242025!$AB$3:$AB$1315,DataRegularSeason20242025!$B$3:$B$1315, "&lt;=" &amp; DX$1, DataRegularSeason20242025!$E$3:$E$1315, $A62)</f>
        <v>12</v>
      </c>
      <c r="DY62">
        <f>SUMIFS(DataRegularSeason20242025!$AA$3:$AA$1315,DataRegularSeason20242025!$B$3:$B$1315, "&lt;=" &amp; DY$1, DataRegularSeason20242025!$D$3:$D$1315, $A62)+SUMIFS(DataRegularSeason20242025!$AB$3:$AB$1315,DataRegularSeason20242025!$B$3:$B$1315, "&lt;=" &amp; DY$1, DataRegularSeason20242025!$E$3:$E$1315, $A62)</f>
        <v>12</v>
      </c>
      <c r="DZ62">
        <f>SUMIFS(DataRegularSeason20242025!$AA$3:$AA$1315,DataRegularSeason20242025!$B$3:$B$1315, "&lt;=" &amp; DZ$1, DataRegularSeason20242025!$D$3:$D$1315, $A62)+SUMIFS(DataRegularSeason20242025!$AB$3:$AB$1315,DataRegularSeason20242025!$B$3:$B$1315, "&lt;=" &amp; DZ$1, DataRegularSeason20242025!$E$3:$E$1315, $A62)</f>
        <v>12</v>
      </c>
      <c r="EA62">
        <f>SUMIFS(DataRegularSeason20242025!$AA$3:$AA$1315,DataRegularSeason20242025!$B$3:$B$1315, "&lt;=" &amp; EA$1, DataRegularSeason20242025!$D$3:$D$1315, $A62)+SUMIFS(DataRegularSeason20242025!$AB$3:$AB$1315,DataRegularSeason20242025!$B$3:$B$1315, "&lt;=" &amp; EA$1, DataRegularSeason20242025!$E$3:$E$1315, $A62)</f>
        <v>12</v>
      </c>
      <c r="EB62">
        <f>SUMIFS(DataRegularSeason20242025!$AA$3:$AA$1315,DataRegularSeason20242025!$B$3:$B$1315, "&lt;=" &amp; EB$1, DataRegularSeason20242025!$D$3:$D$1315, $A62)+SUMIFS(DataRegularSeason20242025!$AB$3:$AB$1315,DataRegularSeason20242025!$B$3:$B$1315, "&lt;=" &amp; EB$1, DataRegularSeason20242025!$E$3:$E$1315, $A62)</f>
        <v>12</v>
      </c>
      <c r="EC62">
        <f>SUMIFS(DataRegularSeason20242025!$AA$3:$AA$1315,DataRegularSeason20242025!$B$3:$B$1315, "&lt;=" &amp; EC$1, DataRegularSeason20242025!$D$3:$D$1315, $A62)+SUMIFS(DataRegularSeason20242025!$AB$3:$AB$1315,DataRegularSeason20242025!$B$3:$B$1315, "&lt;=" &amp; EC$1, DataRegularSeason20242025!$E$3:$E$1315, $A62)</f>
        <v>12</v>
      </c>
      <c r="ED62">
        <f>SUMIFS(DataRegularSeason20242025!$AA$3:$AA$1315,DataRegularSeason20242025!$B$3:$B$1315, "&lt;=" &amp; ED$1, DataRegularSeason20242025!$D$3:$D$1315, $A62)+SUMIFS(DataRegularSeason20242025!$AB$3:$AB$1315,DataRegularSeason20242025!$B$3:$B$1315, "&lt;=" &amp; ED$1, DataRegularSeason20242025!$E$3:$E$1315, $A62)</f>
        <v>12</v>
      </c>
      <c r="EE62">
        <f>SUMIFS(DataRegularSeason20242025!$AA$3:$AA$1315,DataRegularSeason20242025!$B$3:$B$1315, "&lt;=" &amp; EE$1, DataRegularSeason20242025!$D$3:$D$1315, $A62)+SUMIFS(DataRegularSeason20242025!$AB$3:$AB$1315,DataRegularSeason20242025!$B$3:$B$1315, "&lt;=" &amp; EE$1, DataRegularSeason20242025!$E$3:$E$1315, $A62)</f>
        <v>12</v>
      </c>
      <c r="EF62">
        <f>SUMIFS(DataRegularSeason20242025!$AA$3:$AA$1315,DataRegularSeason20242025!$B$3:$B$1315, "&lt;=" &amp; EF$1, DataRegularSeason20242025!$D$3:$D$1315, $A62)+SUMIFS(DataRegularSeason20242025!$AB$3:$AB$1315,DataRegularSeason20242025!$B$3:$B$1315, "&lt;=" &amp; EF$1, DataRegularSeason20242025!$E$3:$E$1315, $A62)</f>
        <v>12</v>
      </c>
      <c r="EG62">
        <f>SUMIFS(DataRegularSeason20242025!$AA$3:$AA$1315,DataRegularSeason20242025!$B$3:$B$1315, "&lt;=" &amp; EG$1, DataRegularSeason20242025!$D$3:$D$1315, $A62)+SUMIFS(DataRegularSeason20242025!$AB$3:$AB$1315,DataRegularSeason20242025!$B$3:$B$1315, "&lt;=" &amp; EG$1, DataRegularSeason20242025!$E$3:$E$1315, $A62)</f>
        <v>12</v>
      </c>
      <c r="EH62">
        <f>SUMIFS(DataRegularSeason20242025!$AA$3:$AA$1315,DataRegularSeason20242025!$B$3:$B$1315, "&lt;=" &amp; EH$1, DataRegularSeason20242025!$D$3:$D$1315, $A62)+SUMIFS(DataRegularSeason20242025!$AB$3:$AB$1315,DataRegularSeason20242025!$B$3:$B$1315, "&lt;=" &amp; EH$1, DataRegularSeason20242025!$E$3:$E$1315, $A62)</f>
        <v>12</v>
      </c>
      <c r="EI62">
        <f>SUMIFS(DataRegularSeason20242025!$AA$3:$AA$1315,DataRegularSeason20242025!$B$3:$B$1315, "&lt;=" &amp; EI$1, DataRegularSeason20242025!$D$3:$D$1315, $A62)+SUMIFS(DataRegularSeason20242025!$AB$3:$AB$1315,DataRegularSeason20242025!$B$3:$B$1315, "&lt;=" &amp; EI$1, DataRegularSeason20242025!$E$3:$E$1315, $A62)</f>
        <v>12</v>
      </c>
      <c r="EJ62">
        <f>SUMIFS(DataRegularSeason20242025!$AA$3:$AA$1315,DataRegularSeason20242025!$B$3:$B$1315, "&lt;=" &amp; EJ$1, DataRegularSeason20242025!$D$3:$D$1315, $A62)+SUMIFS(DataRegularSeason20242025!$AB$3:$AB$1315,DataRegularSeason20242025!$B$3:$B$1315, "&lt;=" &amp; EJ$1, DataRegularSeason20242025!$E$3:$E$1315, $A62)</f>
        <v>12</v>
      </c>
      <c r="EK62">
        <f>SUMIFS(DataRegularSeason20242025!$AA$3:$AA$1315,DataRegularSeason20242025!$B$3:$B$1315, "&lt;=" &amp; EK$1, DataRegularSeason20242025!$D$3:$D$1315, $A62)+SUMIFS(DataRegularSeason20242025!$AB$3:$AB$1315,DataRegularSeason20242025!$B$3:$B$1315, "&lt;=" &amp; EK$1, DataRegularSeason20242025!$E$3:$E$1315, $A62)</f>
        <v>12</v>
      </c>
      <c r="EL62">
        <f>SUMIFS(DataRegularSeason20242025!$AA$3:$AA$1315,DataRegularSeason20242025!$B$3:$B$1315, "&lt;=" &amp; EL$1, DataRegularSeason20242025!$D$3:$D$1315, $A62)+SUMIFS(DataRegularSeason20242025!$AB$3:$AB$1315,DataRegularSeason20242025!$B$3:$B$1315, "&lt;=" &amp; EL$1, DataRegularSeason20242025!$E$3:$E$1315, $A62)</f>
        <v>12</v>
      </c>
      <c r="EM62">
        <f>SUMIFS(DataRegularSeason20242025!$AA$3:$AA$1315,DataRegularSeason20242025!$B$3:$B$1315, "&lt;=" &amp; EM$1, DataRegularSeason20242025!$D$3:$D$1315, $A62)+SUMIFS(DataRegularSeason20242025!$AB$3:$AB$1315,DataRegularSeason20242025!$B$3:$B$1315, "&lt;=" &amp; EM$1, DataRegularSeason20242025!$E$3:$E$1315, $A62)</f>
        <v>12</v>
      </c>
      <c r="EN62">
        <f>SUMIFS(DataRegularSeason20242025!$AA$3:$AA$1315,DataRegularSeason20242025!$B$3:$B$1315, "&lt;=" &amp; EN$1, DataRegularSeason20242025!$D$3:$D$1315, $A62)+SUMIFS(DataRegularSeason20242025!$AB$3:$AB$1315,DataRegularSeason20242025!$B$3:$B$1315, "&lt;=" &amp; EN$1, DataRegularSeason20242025!$E$3:$E$1315, $A62)</f>
        <v>12</v>
      </c>
      <c r="EO62">
        <f>SUMIFS(DataRegularSeason20242025!$AA$3:$AA$1315,DataRegularSeason20242025!$B$3:$B$1315, "&lt;=" &amp; EO$1, DataRegularSeason20242025!$D$3:$D$1315, $A62)+SUMIFS(DataRegularSeason20242025!$AB$3:$AB$1315,DataRegularSeason20242025!$B$3:$B$1315, "&lt;=" &amp; EO$1, DataRegularSeason20242025!$E$3:$E$1315, $A62)</f>
        <v>12</v>
      </c>
      <c r="EP62">
        <f>SUMIFS(DataRegularSeason20242025!$AA$3:$AA$1315,DataRegularSeason20242025!$B$3:$B$1315, "&lt;=" &amp; EP$1, DataRegularSeason20242025!$D$3:$D$1315, $A62)+SUMIFS(DataRegularSeason20242025!$AB$3:$AB$1315,DataRegularSeason20242025!$B$3:$B$1315, "&lt;=" &amp; EP$1, DataRegularSeason20242025!$E$3:$E$1315, $A62)</f>
        <v>12</v>
      </c>
      <c r="EQ62">
        <f>SUMIFS(DataRegularSeason20242025!$AA$3:$AA$1315,DataRegularSeason20242025!$B$3:$B$1315, "&lt;=" &amp; EQ$1, DataRegularSeason20242025!$D$3:$D$1315, $A62)+SUMIFS(DataRegularSeason20242025!$AB$3:$AB$1315,DataRegularSeason20242025!$B$3:$B$1315, "&lt;=" &amp; EQ$1, DataRegularSeason20242025!$E$3:$E$1315, $A62)</f>
        <v>12</v>
      </c>
      <c r="ER62">
        <f>SUMIFS(DataRegularSeason20242025!$AA$3:$AA$1315,DataRegularSeason20242025!$B$3:$B$1315, "&lt;=" &amp; ER$1, DataRegularSeason20242025!$D$3:$D$1315, $A62)+SUMIFS(DataRegularSeason20242025!$AB$3:$AB$1315,DataRegularSeason20242025!$B$3:$B$1315, "&lt;=" &amp; ER$1, DataRegularSeason20242025!$E$3:$E$1315, $A62)</f>
        <v>12</v>
      </c>
      <c r="ES62">
        <f>SUMIFS(DataRegularSeason20242025!$AA$3:$AA$1315,DataRegularSeason20242025!$B$3:$B$1315, "&lt;=" &amp; ES$1, DataRegularSeason20242025!$D$3:$D$1315, $A62)+SUMIFS(DataRegularSeason20242025!$AB$3:$AB$1315,DataRegularSeason20242025!$B$3:$B$1315, "&lt;=" &amp; ES$1, DataRegularSeason20242025!$E$3:$E$1315, $A62)</f>
        <v>12</v>
      </c>
      <c r="ET62">
        <f>SUMIFS(DataRegularSeason20242025!$AA$3:$AA$1315,DataRegularSeason20242025!$B$3:$B$1315, "&lt;=" &amp; ET$1, DataRegularSeason20242025!$D$3:$D$1315, $A62)+SUMIFS(DataRegularSeason20242025!$AB$3:$AB$1315,DataRegularSeason20242025!$B$3:$B$1315, "&lt;=" &amp; ET$1, DataRegularSeason20242025!$E$3:$E$1315, $A62)</f>
        <v>12</v>
      </c>
      <c r="EU62">
        <f>SUMIFS(DataRegularSeason20242025!$AA$3:$AA$1315,DataRegularSeason20242025!$B$3:$B$1315, "&lt;=" &amp; EU$1, DataRegularSeason20242025!$D$3:$D$1315, $A62)+SUMIFS(DataRegularSeason20242025!$AB$3:$AB$1315,DataRegularSeason20242025!$B$3:$B$1315, "&lt;=" &amp; EU$1, DataRegularSeason20242025!$E$3:$E$1315, $A62)</f>
        <v>12</v>
      </c>
      <c r="EV62">
        <f>SUMIFS(DataRegularSeason20242025!$AA$3:$AA$1315,DataRegularSeason20242025!$B$3:$B$1315, "&lt;=" &amp; EV$1, DataRegularSeason20242025!$D$3:$D$1315, $A62)+SUMIFS(DataRegularSeason20242025!$AB$3:$AB$1315,DataRegularSeason20242025!$B$3:$B$1315, "&lt;=" &amp; EV$1, DataRegularSeason20242025!$E$3:$E$1315, $A62)</f>
        <v>12</v>
      </c>
      <c r="EW62">
        <f>SUMIFS(DataRegularSeason20242025!$AA$3:$AA$1315,DataRegularSeason20242025!$B$3:$B$1315, "&lt;=" &amp; EW$1, DataRegularSeason20242025!$D$3:$D$1315, $A62)+SUMIFS(DataRegularSeason20242025!$AB$3:$AB$1315,DataRegularSeason20242025!$B$3:$B$1315, "&lt;=" &amp; EW$1, DataRegularSeason20242025!$E$3:$E$1315, $A62)</f>
        <v>12</v>
      </c>
      <c r="EX62">
        <f>SUMIFS(DataRegularSeason20242025!$AA$3:$AA$1315,DataRegularSeason20242025!$B$3:$B$1315, "&lt;=" &amp; EX$1, DataRegularSeason20242025!$D$3:$D$1315, $A62)+SUMIFS(DataRegularSeason20242025!$AB$3:$AB$1315,DataRegularSeason20242025!$B$3:$B$1315, "&lt;=" &amp; EX$1, DataRegularSeason20242025!$E$3:$E$1315, $A62)</f>
        <v>12</v>
      </c>
      <c r="EY62">
        <f>SUMIFS(DataRegularSeason20242025!$AA$3:$AA$1315,DataRegularSeason20242025!$B$3:$B$1315, "&lt;=" &amp; EY$1, DataRegularSeason20242025!$D$3:$D$1315, $A62)+SUMIFS(DataRegularSeason20242025!$AB$3:$AB$1315,DataRegularSeason20242025!$B$3:$B$1315, "&lt;=" &amp; EY$1, DataRegularSeason20242025!$E$3:$E$1315, $A62)</f>
        <v>12</v>
      </c>
      <c r="EZ62">
        <f>SUMIFS(DataRegularSeason20242025!$AA$3:$AA$1315,DataRegularSeason20242025!$B$3:$B$1315, "&lt;=" &amp; EZ$1, DataRegularSeason20242025!$D$3:$D$1315, $A62)+SUMIFS(DataRegularSeason20242025!$AB$3:$AB$1315,DataRegularSeason20242025!$B$3:$B$1315, "&lt;=" &amp; EZ$1, DataRegularSeason20242025!$E$3:$E$1315, $A62)</f>
        <v>12</v>
      </c>
      <c r="FA62">
        <f>SUMIFS(DataRegularSeason20242025!$AA$3:$AA$1315,DataRegularSeason20242025!$B$3:$B$1315, "&lt;=" &amp; FA$1, DataRegularSeason20242025!$D$3:$D$1315, $A62)+SUMIFS(DataRegularSeason20242025!$AB$3:$AB$1315,DataRegularSeason20242025!$B$3:$B$1315, "&lt;=" &amp; FA$1, DataRegularSeason20242025!$E$3:$E$1315, $A62)</f>
        <v>12</v>
      </c>
      <c r="FB62">
        <f>SUMIFS(DataRegularSeason20242025!$AA$3:$AA$1315,DataRegularSeason20242025!$B$3:$B$1315, "&lt;=" &amp; FB$1, DataRegularSeason20242025!$D$3:$D$1315, $A62)+SUMIFS(DataRegularSeason20242025!$AB$3:$AB$1315,DataRegularSeason20242025!$B$3:$B$1315, "&lt;=" &amp; FB$1, DataRegularSeason20242025!$E$3:$E$1315, $A62)</f>
        <v>12</v>
      </c>
      <c r="FC62">
        <f>SUMIFS(DataRegularSeason20242025!$AA$3:$AA$1315,DataRegularSeason20242025!$B$3:$B$1315, "&lt;=" &amp; FC$1, DataRegularSeason20242025!$D$3:$D$1315, $A62)+SUMIFS(DataRegularSeason20242025!$AB$3:$AB$1315,DataRegularSeason20242025!$B$3:$B$1315, "&lt;=" &amp; FC$1, DataRegularSeason20242025!$E$3:$E$1315, $A62)</f>
        <v>12</v>
      </c>
      <c r="FD62">
        <f>SUMIFS(DataRegularSeason20242025!$AA$3:$AA$1315,DataRegularSeason20242025!$B$3:$B$1315, "&lt;=" &amp; FD$1, DataRegularSeason20242025!$D$3:$D$1315, $A62)+SUMIFS(DataRegularSeason20242025!$AB$3:$AB$1315,DataRegularSeason20242025!$B$3:$B$1315, "&lt;=" &amp; FD$1, DataRegularSeason20242025!$E$3:$E$1315, $A62)</f>
        <v>12</v>
      </c>
      <c r="FE62">
        <f>SUMIFS(DataRegularSeason20242025!$AA$3:$AA$1315,DataRegularSeason20242025!$B$3:$B$1315, "&lt;=" &amp; FE$1, DataRegularSeason20242025!$D$3:$D$1315, $A62)+SUMIFS(DataRegularSeason20242025!$AB$3:$AB$1315,DataRegularSeason20242025!$B$3:$B$1315, "&lt;=" &amp; FE$1, DataRegularSeason20242025!$E$3:$E$1315, $A62)</f>
        <v>12</v>
      </c>
      <c r="FF62">
        <f>SUMIFS(DataRegularSeason20242025!$AA$3:$AA$1315,DataRegularSeason20242025!$B$3:$B$1315, "&lt;=" &amp; FF$1, DataRegularSeason20242025!$D$3:$D$1315, $A62)+SUMIFS(DataRegularSeason20242025!$AB$3:$AB$1315,DataRegularSeason20242025!$B$3:$B$1315, "&lt;=" &amp; FF$1, DataRegularSeason20242025!$E$3:$E$1315, $A62)</f>
        <v>12</v>
      </c>
      <c r="FG62">
        <f>SUMIFS(DataRegularSeason20242025!$AA$3:$AA$1315,DataRegularSeason20242025!$B$3:$B$1315, "&lt;=" &amp; FG$1, DataRegularSeason20242025!$D$3:$D$1315, $A62)+SUMIFS(DataRegularSeason20242025!$AB$3:$AB$1315,DataRegularSeason20242025!$B$3:$B$1315, "&lt;=" &amp; FG$1, DataRegularSeason20242025!$E$3:$E$1315, $A62)</f>
        <v>12</v>
      </c>
      <c r="FH62">
        <f>SUMIFS(DataRegularSeason20242025!$AA$3:$AA$1315,DataRegularSeason20242025!$B$3:$B$1315, "&lt;=" &amp; FH$1, DataRegularSeason20242025!$D$3:$D$1315, $A62)+SUMIFS(DataRegularSeason20242025!$AB$3:$AB$1315,DataRegularSeason20242025!$B$3:$B$1315, "&lt;=" &amp; FH$1, DataRegularSeason20242025!$E$3:$E$1315, $A62)</f>
        <v>12</v>
      </c>
      <c r="FI62">
        <f>SUMIFS(DataRegularSeason20242025!$AA$3:$AA$1315,DataRegularSeason20242025!$B$3:$B$1315, "&lt;=" &amp; FI$1, DataRegularSeason20242025!$D$3:$D$1315, $A62)+SUMIFS(DataRegularSeason20242025!$AB$3:$AB$1315,DataRegularSeason20242025!$B$3:$B$1315, "&lt;=" &amp; FI$1, DataRegularSeason20242025!$E$3:$E$1315, $A62)</f>
        <v>12</v>
      </c>
      <c r="FJ62">
        <f>SUMIFS(DataRegularSeason20242025!$AA$3:$AA$1315,DataRegularSeason20242025!$B$3:$B$1315, "&lt;=" &amp; FJ$1, DataRegularSeason20242025!$D$3:$D$1315, $A62)+SUMIFS(DataRegularSeason20242025!$AB$3:$AB$1315,DataRegularSeason20242025!$B$3:$B$1315, "&lt;=" &amp; FJ$1, DataRegularSeason20242025!$E$3:$E$1315, $A62)</f>
        <v>12</v>
      </c>
      <c r="FK62">
        <f>SUMIFS(DataRegularSeason20242025!$AA$3:$AA$1315,DataRegularSeason20242025!$B$3:$B$1315, "&lt;=" &amp; FK$1, DataRegularSeason20242025!$D$3:$D$1315, $A62)+SUMIFS(DataRegularSeason20242025!$AB$3:$AB$1315,DataRegularSeason20242025!$B$3:$B$1315, "&lt;=" &amp; FK$1, DataRegularSeason20242025!$E$3:$E$1315, $A62)</f>
        <v>12</v>
      </c>
      <c r="FL62">
        <f>SUMIFS(DataRegularSeason20242025!$AA$3:$AA$1315,DataRegularSeason20242025!$B$3:$B$1315, "&lt;=" &amp; FL$1, DataRegularSeason20242025!$D$3:$D$1315, $A62)+SUMIFS(DataRegularSeason20242025!$AB$3:$AB$1315,DataRegularSeason20242025!$B$3:$B$1315, "&lt;=" &amp; FL$1, DataRegularSeason20242025!$E$3:$E$1315, $A62)</f>
        <v>12</v>
      </c>
      <c r="FM62">
        <f>SUMIFS(DataRegularSeason20242025!$AA$3:$AA$1315,DataRegularSeason20242025!$B$3:$B$1315, "&lt;=" &amp; FM$1, DataRegularSeason20242025!$D$3:$D$1315, $A62)+SUMIFS(DataRegularSeason20242025!$AB$3:$AB$1315,DataRegularSeason20242025!$B$3:$B$1315, "&lt;=" &amp; FM$1, DataRegularSeason20242025!$E$3:$E$1315, $A62)</f>
        <v>12</v>
      </c>
      <c r="FN62">
        <f>SUMIFS(DataRegularSeason20242025!$AA$3:$AA$1315,DataRegularSeason20242025!$B$3:$B$1315, "&lt;=" &amp; FN$1, DataRegularSeason20242025!$D$3:$D$1315, $A62)+SUMIFS(DataRegularSeason20242025!$AB$3:$AB$1315,DataRegularSeason20242025!$B$3:$B$1315, "&lt;=" &amp; FN$1, DataRegularSeason20242025!$E$3:$E$1315, $A62)</f>
        <v>12</v>
      </c>
      <c r="FO62">
        <f>SUMIFS(DataRegularSeason20242025!$AA$3:$AA$1315,DataRegularSeason20242025!$B$3:$B$1315, "&lt;=" &amp; FO$1, DataRegularSeason20242025!$D$3:$D$1315, $A62)+SUMIFS(DataRegularSeason20242025!$AB$3:$AB$1315,DataRegularSeason20242025!$B$3:$B$1315, "&lt;=" &amp; FO$1, DataRegularSeason20242025!$E$3:$E$1315, $A62)</f>
        <v>12</v>
      </c>
      <c r="FP62">
        <f>SUMIFS(DataRegularSeason20242025!$AA$3:$AA$1315,DataRegularSeason20242025!$B$3:$B$1315, "&lt;=" &amp; FP$1, DataRegularSeason20242025!$D$3:$D$1315, $A62)+SUMIFS(DataRegularSeason20242025!$AB$3:$AB$1315,DataRegularSeason20242025!$B$3:$B$1315, "&lt;=" &amp; FP$1, DataRegularSeason20242025!$E$3:$E$1315, $A62)</f>
        <v>12</v>
      </c>
      <c r="FQ62">
        <f>SUMIFS(DataRegularSeason20242025!$AA$3:$AA$1315,DataRegularSeason20242025!$B$3:$B$1315, "&lt;=" &amp; FQ$1, DataRegularSeason20242025!$D$3:$D$1315, $A62)+SUMIFS(DataRegularSeason20242025!$AB$3:$AB$1315,DataRegularSeason20242025!$B$3:$B$1315, "&lt;=" &amp; FQ$1, DataRegularSeason20242025!$E$3:$E$1315, $A62)</f>
        <v>12</v>
      </c>
      <c r="FR62">
        <f>SUMIFS(DataRegularSeason20242025!$AA$3:$AA$1315,DataRegularSeason20242025!$B$3:$B$1315, "&lt;=" &amp; FR$1, DataRegularSeason20242025!$D$3:$D$1315, $A62)+SUMIFS(DataRegularSeason20242025!$AB$3:$AB$1315,DataRegularSeason20242025!$B$3:$B$1315, "&lt;=" &amp; FR$1, DataRegularSeason20242025!$E$3:$E$1315, $A62)</f>
        <v>12</v>
      </c>
      <c r="FS62">
        <f>SUMIFS(DataRegularSeason20242025!$AA$3:$AA$1315,DataRegularSeason20242025!$B$3:$B$1315, "&lt;=" &amp; FS$1, DataRegularSeason20242025!$D$3:$D$1315, $A62)+SUMIFS(DataRegularSeason20242025!$AB$3:$AB$1315,DataRegularSeason20242025!$B$3:$B$1315, "&lt;=" &amp; FS$1, DataRegularSeason20242025!$E$3:$E$1315, $A62)</f>
        <v>12</v>
      </c>
      <c r="FT62">
        <f>SUMIFS(DataRegularSeason20242025!$AA$3:$AA$1315,DataRegularSeason20242025!$B$3:$B$1315, "&lt;=" &amp; FT$1, DataRegularSeason20242025!$D$3:$D$1315, $A62)+SUMIFS(DataRegularSeason20242025!$AB$3:$AB$1315,DataRegularSeason20242025!$B$3:$B$1315, "&lt;=" &amp; FT$1, DataRegularSeason20242025!$E$3:$E$1315, $A62)</f>
        <v>12</v>
      </c>
      <c r="FU62">
        <f>SUMIFS(DataRegularSeason20242025!$AA$3:$AA$1315,DataRegularSeason20242025!$B$3:$B$1315, "&lt;=" &amp; FU$1, DataRegularSeason20242025!$D$3:$D$1315, $A62)+SUMIFS(DataRegularSeason20242025!$AB$3:$AB$1315,DataRegularSeason20242025!$B$3:$B$1315, "&lt;=" &amp; FU$1, DataRegularSeason20242025!$E$3:$E$1315, $A62)</f>
        <v>12</v>
      </c>
      <c r="FV62">
        <f>SUMIFS(DataRegularSeason20242025!$AA$3:$AA$1315,DataRegularSeason20242025!$B$3:$B$1315, "&lt;=" &amp; FV$1, DataRegularSeason20242025!$D$3:$D$1315, $A62)+SUMIFS(DataRegularSeason20242025!$AB$3:$AB$1315,DataRegularSeason20242025!$B$3:$B$1315, "&lt;=" &amp; FV$1, DataRegularSeason20242025!$E$3:$E$1315, $A62)</f>
        <v>12</v>
      </c>
      <c r="FW62">
        <f>SUMIFS(DataRegularSeason20242025!$AA$3:$AA$1315,DataRegularSeason20242025!$B$3:$B$1315, "&lt;=" &amp; FW$1, DataRegularSeason20242025!$D$3:$D$1315, $A62)+SUMIFS(DataRegularSeason20242025!$AB$3:$AB$1315,DataRegularSeason20242025!$B$3:$B$1315, "&lt;=" &amp; FW$1, DataRegularSeason20242025!$E$3:$E$1315, $A62)</f>
        <v>12</v>
      </c>
      <c r="FX62">
        <f>SUMIFS(DataRegularSeason20242025!$AA$3:$AA$1315,DataRegularSeason20242025!$B$3:$B$1315, "&lt;=" &amp; FX$1, DataRegularSeason20242025!$D$3:$D$1315, $A62)+SUMIFS(DataRegularSeason20242025!$AB$3:$AB$1315,DataRegularSeason20242025!$B$3:$B$1315, "&lt;=" &amp; FX$1, DataRegularSeason20242025!$E$3:$E$1315, $A62)</f>
        <v>12</v>
      </c>
      <c r="FY62">
        <f>SUMIFS(DataRegularSeason20242025!$AA$3:$AA$1315,DataRegularSeason20242025!$B$3:$B$1315, "&lt;=" &amp; FY$1, DataRegularSeason20242025!$D$3:$D$1315, $A62)+SUMIFS(DataRegularSeason20242025!$AB$3:$AB$1315,DataRegularSeason20242025!$B$3:$B$1315, "&lt;=" &amp; FY$1, DataRegularSeason20242025!$E$3:$E$1315, $A62)</f>
        <v>12</v>
      </c>
      <c r="FZ62">
        <f>SUMIFS(DataRegularSeason20242025!$AA$3:$AA$1315,DataRegularSeason20242025!$B$3:$B$1315, "&lt;=" &amp; FZ$1, DataRegularSeason20242025!$D$3:$D$1315, $A62)+SUMIFS(DataRegularSeason20242025!$AB$3:$AB$1315,DataRegularSeason20242025!$B$3:$B$1315, "&lt;=" &amp; FZ$1, DataRegularSeason20242025!$E$3:$E$1315, $A62)</f>
        <v>12</v>
      </c>
      <c r="GA62">
        <f>SUMIFS(DataRegularSeason20242025!$AA$3:$AA$1315,DataRegularSeason20242025!$B$3:$B$1315, "&lt;=" &amp; GA$1, DataRegularSeason20242025!$D$3:$D$1315, $A62)+SUMIFS(DataRegularSeason20242025!$AB$3:$AB$1315,DataRegularSeason20242025!$B$3:$B$1315, "&lt;=" &amp; GA$1, DataRegularSeason20242025!$E$3:$E$1315, $A62)</f>
        <v>12</v>
      </c>
      <c r="GB62">
        <f>SUMIFS(DataRegularSeason20242025!$AA$3:$AA$1315,DataRegularSeason20242025!$B$3:$B$1315, "&lt;=" &amp; GB$1, DataRegularSeason20242025!$D$3:$D$1315, $A62)+SUMIFS(DataRegularSeason20242025!$AB$3:$AB$1315,DataRegularSeason20242025!$B$3:$B$1315, "&lt;=" &amp; GB$1, DataRegularSeason20242025!$E$3:$E$1315, $A62)</f>
        <v>12</v>
      </c>
      <c r="GC62">
        <f>SUMIFS(DataRegularSeason20242025!$AA$3:$AA$1315,DataRegularSeason20242025!$B$3:$B$1315, "&lt;=" &amp; GC$1, DataRegularSeason20242025!$D$3:$D$1315, $A62)+SUMIFS(DataRegularSeason20242025!$AB$3:$AB$1315,DataRegularSeason20242025!$B$3:$B$1315, "&lt;=" &amp; GC$1, DataRegularSeason20242025!$E$3:$E$1315, $A62)</f>
        <v>12</v>
      </c>
      <c r="GD62">
        <f>SUMIFS(DataRegularSeason20242025!$AA$3:$AA$1315,DataRegularSeason20242025!$B$3:$B$1315, "&lt;=" &amp; GD$1, DataRegularSeason20242025!$D$3:$D$1315, $A62)+SUMIFS(DataRegularSeason20242025!$AB$3:$AB$1315,DataRegularSeason20242025!$B$3:$B$1315, "&lt;=" &amp; GD$1, DataRegularSeason20242025!$E$3:$E$1315, $A62)</f>
        <v>12</v>
      </c>
      <c r="GE62">
        <f>SUMIFS(DataRegularSeason20242025!$AA$3:$AA$1315,DataRegularSeason20242025!$B$3:$B$1315, "&lt;=" &amp; GE$1, DataRegularSeason20242025!$D$3:$D$1315, $A62)+SUMIFS(DataRegularSeason20242025!$AB$3:$AB$1315,DataRegularSeason20242025!$B$3:$B$1315, "&lt;=" &amp; GE$1, DataRegularSeason20242025!$E$3:$E$1315, $A62)</f>
        <v>12</v>
      </c>
      <c r="GF62">
        <f>SUMIFS(DataRegularSeason20242025!$AA$3:$AA$1315,DataRegularSeason20242025!$B$3:$B$1315, "&lt;=" &amp; GF$1, DataRegularSeason20242025!$D$3:$D$1315, $A62)+SUMIFS(DataRegularSeason20242025!$AB$3:$AB$1315,DataRegularSeason20242025!$B$3:$B$1315, "&lt;=" &amp; GF$1, DataRegularSeason20242025!$E$3:$E$1315, $A62)</f>
        <v>12</v>
      </c>
      <c r="GG62">
        <f>SUMIFS(DataRegularSeason20242025!$AA$3:$AA$1315,DataRegularSeason20242025!$B$3:$B$1315, "&lt;=" &amp; GG$1, DataRegularSeason20242025!$D$3:$D$1315, $A62)+SUMIFS(DataRegularSeason20242025!$AB$3:$AB$1315,DataRegularSeason20242025!$B$3:$B$1315, "&lt;=" &amp; GG$1, DataRegularSeason20242025!$E$3:$E$1315, $A62)</f>
        <v>12</v>
      </c>
      <c r="GH62">
        <f>SUMIFS(DataRegularSeason20242025!$AA$3:$AA$1315,DataRegularSeason20242025!$B$3:$B$1315, "&lt;=" &amp; GH$1, DataRegularSeason20242025!$D$3:$D$1315, $A62)+SUMIFS(DataRegularSeason20242025!$AB$3:$AB$1315,DataRegularSeason20242025!$B$3:$B$1315, "&lt;=" &amp; GH$1, DataRegularSeason20242025!$E$3:$E$1315, $A62)</f>
        <v>12</v>
      </c>
      <c r="GI62">
        <f>SUMIFS(DataRegularSeason20242025!$AA$3:$AA$1315,DataRegularSeason20242025!$B$3:$B$1315, "&lt;=" &amp; GI$1, DataRegularSeason20242025!$D$3:$D$1315, $A62)+SUMIFS(DataRegularSeason20242025!$AB$3:$AB$1315,DataRegularSeason20242025!$B$3:$B$1315, "&lt;=" &amp; GI$1, DataRegularSeason20242025!$E$3:$E$1315, $A62)</f>
        <v>12</v>
      </c>
      <c r="GJ62">
        <f>SUMIFS(DataRegularSeason20242025!$AA$3:$AA$1315,DataRegularSeason20242025!$B$3:$B$1315, "&lt;=" &amp; GJ$1, DataRegularSeason20242025!$D$3:$D$1315, $A62)+SUMIFS(DataRegularSeason20242025!$AB$3:$AB$1315,DataRegularSeason20242025!$B$3:$B$1315, "&lt;=" &amp; GJ$1, DataRegularSeason20242025!$E$3:$E$1315, $A62)</f>
        <v>12</v>
      </c>
      <c r="GK62">
        <f>SUMIFS(DataRegularSeason20242025!$AA$3:$AA$1315,DataRegularSeason20242025!$B$3:$B$1315, "&lt;=" &amp; GK$1, DataRegularSeason20242025!$D$3:$D$1315, $A62)+SUMIFS(DataRegularSeason20242025!$AB$3:$AB$1315,DataRegularSeason20242025!$B$3:$B$1315, "&lt;=" &amp; GK$1, DataRegularSeason20242025!$E$3:$E$1315, $A62)</f>
        <v>12</v>
      </c>
      <c r="GL62">
        <f>SUMIFS(DataRegularSeason20242025!$AA$3:$AA$1315,DataRegularSeason20242025!$B$3:$B$1315, "&lt;=" &amp; GL$1, DataRegularSeason20242025!$D$3:$D$1315, $A62)+SUMIFS(DataRegularSeason20242025!$AB$3:$AB$1315,DataRegularSeason20242025!$B$3:$B$1315, "&lt;=" &amp; GL$1, DataRegularSeason20242025!$E$3:$E$1315, $A62)</f>
        <v>12</v>
      </c>
      <c r="GM62">
        <f>SUMIFS(DataRegularSeason20242025!$AA$3:$AA$1315,DataRegularSeason20242025!$B$3:$B$1315, "&lt;=" &amp; GM$1, DataRegularSeason20242025!$D$3:$D$1315, $A62)+SUMIFS(DataRegularSeason20242025!$AB$3:$AB$1315,DataRegularSeason20242025!$B$3:$B$1315, "&lt;=" &amp; GM$1, DataRegularSeason20242025!$E$3:$E$1315, $A62)</f>
        <v>12</v>
      </c>
      <c r="GN62">
        <f>SUMIFS(DataRegularSeason20242025!$AA$3:$AA$1315,DataRegularSeason20242025!$B$3:$B$1315, "&lt;=" &amp; GN$1, DataRegularSeason20242025!$D$3:$D$1315, $A62)+SUMIFS(DataRegularSeason20242025!$AB$3:$AB$1315,DataRegularSeason20242025!$B$3:$B$1315, "&lt;=" &amp; GN$1, DataRegularSeason20242025!$E$3:$E$1315, $A62)</f>
        <v>12</v>
      </c>
      <c r="GO62">
        <f>SUMIFS(DataRegularSeason20242025!$AA$3:$AA$1315,DataRegularSeason20242025!$B$3:$B$1315, "&lt;=" &amp; GO$1, DataRegularSeason20242025!$D$3:$D$1315, $A62)+SUMIFS(DataRegularSeason20242025!$AB$3:$AB$1315,DataRegularSeason20242025!$B$3:$B$1315, "&lt;=" &amp; GO$1, DataRegularSeason20242025!$E$3:$E$1315, $A62)</f>
        <v>12</v>
      </c>
      <c r="GP62">
        <f>SUMIFS(DataRegularSeason20242025!$AA$3:$AA$1315,DataRegularSeason20242025!$B$3:$B$1315, "&lt;=" &amp; GP$1, DataRegularSeason20242025!$D$3:$D$1315, $A62)+SUMIFS(DataRegularSeason20242025!$AB$3:$AB$1315,DataRegularSeason20242025!$B$3:$B$1315, "&lt;=" &amp; GP$1, DataRegularSeason20242025!$E$3:$E$1315, $A62)</f>
        <v>12</v>
      </c>
      <c r="GQ62">
        <f>SUMIFS(DataRegularSeason20242025!$AA$3:$AA$1315,DataRegularSeason20242025!$B$3:$B$1315, "&lt;=" &amp; GQ$1, DataRegularSeason20242025!$D$3:$D$1315, $A62)+SUMIFS(DataRegularSeason20242025!$AB$3:$AB$1315,DataRegularSeason20242025!$B$3:$B$1315, "&lt;=" &amp; GQ$1, DataRegularSeason20242025!$E$3:$E$1315, $A62)</f>
        <v>12</v>
      </c>
      <c r="GR62">
        <f>SUMIFS(DataRegularSeason20242025!$AA$3:$AA$1315,DataRegularSeason20242025!$B$3:$B$1315, "&lt;=" &amp; GR$1, DataRegularSeason20242025!$D$3:$D$1315, $A62)+SUMIFS(DataRegularSeason20242025!$AB$3:$AB$1315,DataRegularSeason20242025!$B$3:$B$1315, "&lt;=" &amp; GR$1, DataRegularSeason20242025!$E$3:$E$1315, $A62)</f>
        <v>12</v>
      </c>
      <c r="GS62">
        <f>SUMIFS(DataRegularSeason20242025!$AA$3:$AA$1315,DataRegularSeason20242025!$B$3:$B$1315, "&lt;=" &amp; GS$1, DataRegularSeason20242025!$D$3:$D$1315, $A62)+SUMIFS(DataRegularSeason20242025!$AB$3:$AB$1315,DataRegularSeason20242025!$B$3:$B$1315, "&lt;=" &amp; GS$1, DataRegularSeason20242025!$E$3:$E$1315, $A62)</f>
        <v>12</v>
      </c>
      <c r="GT62">
        <f>SUMIFS(DataRegularSeason20242025!$AA$3:$AA$1315,DataRegularSeason20242025!$B$3:$B$1315, "&lt;=" &amp; GT$1, DataRegularSeason20242025!$D$3:$D$1315, $A62)+SUMIFS(DataRegularSeason20242025!$AB$3:$AB$1315,DataRegularSeason20242025!$B$3:$B$1315, "&lt;=" &amp; GT$1, DataRegularSeason20242025!$E$3:$E$1315, $A62)</f>
        <v>12</v>
      </c>
      <c r="GU62">
        <f>SUMIFS(DataRegularSeason20242025!$AA$3:$AA$1315,DataRegularSeason20242025!$B$3:$B$1315, "&lt;=" &amp; GU$1, DataRegularSeason20242025!$D$3:$D$1315, $A62)+SUMIFS(DataRegularSeason20242025!$AB$3:$AB$1315,DataRegularSeason20242025!$B$3:$B$1315, "&lt;=" &amp; GU$1, DataRegularSeason20242025!$E$3:$E$1315, $A62)</f>
        <v>12</v>
      </c>
    </row>
    <row r="63" spans="1:203" x14ac:dyDescent="0.25">
      <c r="A63" t="s">
        <v>24</v>
      </c>
      <c r="B63" t="s">
        <v>90</v>
      </c>
      <c r="C63" t="s">
        <v>93</v>
      </c>
      <c r="D63">
        <f>SUMIFS(DataRegularSeason20242025!$AA$3:$AA$1315,DataRegularSeason20242025!$B$3:$B$1315, "&lt;=" &amp; D$1, DataRegularSeason20242025!$D$3:$D$1315, $A63)+SUMIFS(DataRegularSeason20242025!$AB$3:$AB$1315,DataRegularSeason20242025!$B$3:$B$1315, "&lt;=" &amp; D$1, DataRegularSeason20242025!$E$3:$E$1315, $A63)</f>
        <v>0</v>
      </c>
      <c r="E63">
        <f>SUMIFS(DataRegularSeason20242025!$AA$3:$AA$1315,DataRegularSeason20242025!$B$3:$B$1315, "&lt;=" &amp; E$1, DataRegularSeason20242025!$D$3:$D$1315, $A63)+SUMIFS(DataRegularSeason20242025!$AB$3:$AB$1315,DataRegularSeason20242025!$B$3:$B$1315, "&lt;=" &amp; E$1, DataRegularSeason20242025!$E$3:$E$1315, $A63)</f>
        <v>0</v>
      </c>
      <c r="F63">
        <f>SUMIFS(DataRegularSeason20242025!$AA$3:$AA$1315,DataRegularSeason20242025!$B$3:$B$1315, "&lt;=" &amp; F$1, DataRegularSeason20242025!$D$3:$D$1315, $A63)+SUMIFS(DataRegularSeason20242025!$AB$3:$AB$1315,DataRegularSeason20242025!$B$3:$B$1315, "&lt;=" &amp; F$1, DataRegularSeason20242025!$E$3:$E$1315, $A63)</f>
        <v>0</v>
      </c>
      <c r="G63">
        <f>SUMIFS(DataRegularSeason20242025!$AA$3:$AA$1315,DataRegularSeason20242025!$B$3:$B$1315, "&lt;=" &amp; G$1, DataRegularSeason20242025!$D$3:$D$1315, $A63)+SUMIFS(DataRegularSeason20242025!$AB$3:$AB$1315,DataRegularSeason20242025!$B$3:$B$1315, "&lt;=" &amp; G$1, DataRegularSeason20242025!$E$3:$E$1315, $A63)</f>
        <v>0</v>
      </c>
      <c r="H63">
        <f>SUMIFS(DataRegularSeason20242025!$AA$3:$AA$1315,DataRegularSeason20242025!$B$3:$B$1315, "&lt;=" &amp; H$1, DataRegularSeason20242025!$D$3:$D$1315, $A63)+SUMIFS(DataRegularSeason20242025!$AB$3:$AB$1315,DataRegularSeason20242025!$B$3:$B$1315, "&lt;=" &amp; H$1, DataRegularSeason20242025!$E$3:$E$1315, $A63)</f>
        <v>0</v>
      </c>
      <c r="I63">
        <f>SUMIFS(DataRegularSeason20242025!$AA$3:$AA$1315,DataRegularSeason20242025!$B$3:$B$1315, "&lt;=" &amp; I$1, DataRegularSeason20242025!$D$3:$D$1315, $A63)+SUMIFS(DataRegularSeason20242025!$AB$3:$AB$1315,DataRegularSeason20242025!$B$3:$B$1315, "&lt;=" &amp; I$1, DataRegularSeason20242025!$E$3:$E$1315, $A63)</f>
        <v>0</v>
      </c>
      <c r="J63">
        <f>SUMIFS(DataRegularSeason20242025!$AA$3:$AA$1315,DataRegularSeason20242025!$B$3:$B$1315, "&lt;=" &amp; J$1, DataRegularSeason20242025!$D$3:$D$1315, $A63)+SUMIFS(DataRegularSeason20242025!$AB$3:$AB$1315,DataRegularSeason20242025!$B$3:$B$1315, "&lt;=" &amp; J$1, DataRegularSeason20242025!$E$3:$E$1315, $A63)</f>
        <v>2</v>
      </c>
      <c r="K63">
        <f>SUMIFS(DataRegularSeason20242025!$AA$3:$AA$1315,DataRegularSeason20242025!$B$3:$B$1315, "&lt;=" &amp; K$1, DataRegularSeason20242025!$D$3:$D$1315, $A63)+SUMIFS(DataRegularSeason20242025!$AB$3:$AB$1315,DataRegularSeason20242025!$B$3:$B$1315, "&lt;=" &amp; K$1, DataRegularSeason20242025!$E$3:$E$1315, $A63)</f>
        <v>2</v>
      </c>
      <c r="L63">
        <f>SUMIFS(DataRegularSeason20242025!$AA$3:$AA$1315,DataRegularSeason20242025!$B$3:$B$1315, "&lt;=" &amp; L$1, DataRegularSeason20242025!$D$3:$D$1315, $A63)+SUMIFS(DataRegularSeason20242025!$AB$3:$AB$1315,DataRegularSeason20242025!$B$3:$B$1315, "&lt;=" &amp; L$1, DataRegularSeason20242025!$E$3:$E$1315, $A63)</f>
        <v>2</v>
      </c>
      <c r="M63">
        <f>SUMIFS(DataRegularSeason20242025!$AA$3:$AA$1315,DataRegularSeason20242025!$B$3:$B$1315, "&lt;=" &amp; M$1, DataRegularSeason20242025!$D$3:$D$1315, $A63)+SUMIFS(DataRegularSeason20242025!$AB$3:$AB$1315,DataRegularSeason20242025!$B$3:$B$1315, "&lt;=" &amp; M$1, DataRegularSeason20242025!$E$3:$E$1315, $A63)</f>
        <v>2</v>
      </c>
      <c r="N63">
        <f>SUMIFS(DataRegularSeason20242025!$AA$3:$AA$1315,DataRegularSeason20242025!$B$3:$B$1315, "&lt;=" &amp; N$1, DataRegularSeason20242025!$D$3:$D$1315, $A63)+SUMIFS(DataRegularSeason20242025!$AB$3:$AB$1315,DataRegularSeason20242025!$B$3:$B$1315, "&lt;=" &amp; N$1, DataRegularSeason20242025!$E$3:$E$1315, $A63)</f>
        <v>2</v>
      </c>
      <c r="O63">
        <f>SUMIFS(DataRegularSeason20242025!$AA$3:$AA$1315,DataRegularSeason20242025!$B$3:$B$1315, "&lt;=" &amp; O$1, DataRegularSeason20242025!$D$3:$D$1315, $A63)+SUMIFS(DataRegularSeason20242025!$AB$3:$AB$1315,DataRegularSeason20242025!$B$3:$B$1315, "&lt;=" &amp; O$1, DataRegularSeason20242025!$E$3:$E$1315, $A63)</f>
        <v>2</v>
      </c>
      <c r="P63">
        <f>SUMIFS(DataRegularSeason20242025!$AA$3:$AA$1315,DataRegularSeason20242025!$B$3:$B$1315, "&lt;=" &amp; P$1, DataRegularSeason20242025!$D$3:$D$1315, $A63)+SUMIFS(DataRegularSeason20242025!$AB$3:$AB$1315,DataRegularSeason20242025!$B$3:$B$1315, "&lt;=" &amp; P$1, DataRegularSeason20242025!$E$3:$E$1315, $A63)</f>
        <v>2</v>
      </c>
      <c r="Q63">
        <f>SUMIFS(DataRegularSeason20242025!$AA$3:$AA$1315,DataRegularSeason20242025!$B$3:$B$1315, "&lt;=" &amp; Q$1, DataRegularSeason20242025!$D$3:$D$1315, $A63)+SUMIFS(DataRegularSeason20242025!$AB$3:$AB$1315,DataRegularSeason20242025!$B$3:$B$1315, "&lt;=" &amp; Q$1, DataRegularSeason20242025!$E$3:$E$1315, $A63)</f>
        <v>4</v>
      </c>
      <c r="R63">
        <f>SUMIFS(DataRegularSeason20242025!$AA$3:$AA$1315,DataRegularSeason20242025!$B$3:$B$1315, "&lt;=" &amp; R$1, DataRegularSeason20242025!$D$3:$D$1315, $A63)+SUMIFS(DataRegularSeason20242025!$AB$3:$AB$1315,DataRegularSeason20242025!$B$3:$B$1315, "&lt;=" &amp; R$1, DataRegularSeason20242025!$E$3:$E$1315, $A63)</f>
        <v>6</v>
      </c>
      <c r="S63">
        <f>SUMIFS(DataRegularSeason20242025!$AA$3:$AA$1315,DataRegularSeason20242025!$B$3:$B$1315, "&lt;=" &amp; S$1, DataRegularSeason20242025!$D$3:$D$1315, $A63)+SUMIFS(DataRegularSeason20242025!$AB$3:$AB$1315,DataRegularSeason20242025!$B$3:$B$1315, "&lt;=" &amp; S$1, DataRegularSeason20242025!$E$3:$E$1315, $A63)</f>
        <v>6</v>
      </c>
      <c r="T63">
        <f>SUMIFS(DataRegularSeason20242025!$AA$3:$AA$1315,DataRegularSeason20242025!$B$3:$B$1315, "&lt;=" &amp; T$1, DataRegularSeason20242025!$D$3:$D$1315, $A63)+SUMIFS(DataRegularSeason20242025!$AB$3:$AB$1315,DataRegularSeason20242025!$B$3:$B$1315, "&lt;=" &amp; T$1, DataRegularSeason20242025!$E$3:$E$1315, $A63)</f>
        <v>8</v>
      </c>
      <c r="U63">
        <f>SUMIFS(DataRegularSeason20242025!$AA$3:$AA$1315,DataRegularSeason20242025!$B$3:$B$1315, "&lt;=" &amp; U$1, DataRegularSeason20242025!$D$3:$D$1315, $A63)+SUMIFS(DataRegularSeason20242025!$AB$3:$AB$1315,DataRegularSeason20242025!$B$3:$B$1315, "&lt;=" &amp; U$1, DataRegularSeason20242025!$E$3:$E$1315, $A63)</f>
        <v>8</v>
      </c>
      <c r="V63">
        <f>SUMIFS(DataRegularSeason20242025!$AA$3:$AA$1315,DataRegularSeason20242025!$B$3:$B$1315, "&lt;=" &amp; V$1, DataRegularSeason20242025!$D$3:$D$1315, $A63)+SUMIFS(DataRegularSeason20242025!$AB$3:$AB$1315,DataRegularSeason20242025!$B$3:$B$1315, "&lt;=" &amp; V$1, DataRegularSeason20242025!$E$3:$E$1315, $A63)</f>
        <v>8</v>
      </c>
      <c r="W63">
        <f>SUMIFS(DataRegularSeason20242025!$AA$3:$AA$1315,DataRegularSeason20242025!$B$3:$B$1315, "&lt;=" &amp; W$1, DataRegularSeason20242025!$D$3:$D$1315, $A63)+SUMIFS(DataRegularSeason20242025!$AB$3:$AB$1315,DataRegularSeason20242025!$B$3:$B$1315, "&lt;=" &amp; W$1, DataRegularSeason20242025!$E$3:$E$1315, $A63)</f>
        <v>8</v>
      </c>
      <c r="X63">
        <f>SUMIFS(DataRegularSeason20242025!$AA$3:$AA$1315,DataRegularSeason20242025!$B$3:$B$1315, "&lt;=" &amp; X$1, DataRegularSeason20242025!$D$3:$D$1315, $A63)+SUMIFS(DataRegularSeason20242025!$AB$3:$AB$1315,DataRegularSeason20242025!$B$3:$B$1315, "&lt;=" &amp; X$1, DataRegularSeason20242025!$E$3:$E$1315, $A63)</f>
        <v>8</v>
      </c>
      <c r="Y63">
        <f>SUMIFS(DataRegularSeason20242025!$AA$3:$AA$1315,DataRegularSeason20242025!$B$3:$B$1315, "&lt;=" &amp; Y$1, DataRegularSeason20242025!$D$3:$D$1315, $A63)+SUMIFS(DataRegularSeason20242025!$AB$3:$AB$1315,DataRegularSeason20242025!$B$3:$B$1315, "&lt;=" &amp; Y$1, DataRegularSeason20242025!$E$3:$E$1315, $A63)</f>
        <v>8</v>
      </c>
      <c r="Z63">
        <f>SUMIFS(DataRegularSeason20242025!$AA$3:$AA$1315,DataRegularSeason20242025!$B$3:$B$1315, "&lt;=" &amp; Z$1, DataRegularSeason20242025!$D$3:$D$1315, $A63)+SUMIFS(DataRegularSeason20242025!$AB$3:$AB$1315,DataRegularSeason20242025!$B$3:$B$1315, "&lt;=" &amp; Z$1, DataRegularSeason20242025!$E$3:$E$1315, $A63)</f>
        <v>8</v>
      </c>
      <c r="AA63">
        <f>SUMIFS(DataRegularSeason20242025!$AA$3:$AA$1315,DataRegularSeason20242025!$B$3:$B$1315, "&lt;=" &amp; AA$1, DataRegularSeason20242025!$D$3:$D$1315, $A63)+SUMIFS(DataRegularSeason20242025!$AB$3:$AB$1315,DataRegularSeason20242025!$B$3:$B$1315, "&lt;=" &amp; AA$1, DataRegularSeason20242025!$E$3:$E$1315, $A63)</f>
        <v>8</v>
      </c>
      <c r="AB63">
        <f>SUMIFS(DataRegularSeason20242025!$AA$3:$AA$1315,DataRegularSeason20242025!$B$3:$B$1315, "&lt;=" &amp; AB$1, DataRegularSeason20242025!$D$3:$D$1315, $A63)+SUMIFS(DataRegularSeason20242025!$AB$3:$AB$1315,DataRegularSeason20242025!$B$3:$B$1315, "&lt;=" &amp; AB$1, DataRegularSeason20242025!$E$3:$E$1315, $A63)</f>
        <v>8</v>
      </c>
      <c r="AC63">
        <f>SUMIFS(DataRegularSeason20242025!$AA$3:$AA$1315,DataRegularSeason20242025!$B$3:$B$1315, "&lt;=" &amp; AC$1, DataRegularSeason20242025!$D$3:$D$1315, $A63)+SUMIFS(DataRegularSeason20242025!$AB$3:$AB$1315,DataRegularSeason20242025!$B$3:$B$1315, "&lt;=" &amp; AC$1, DataRegularSeason20242025!$E$3:$E$1315, $A63)</f>
        <v>8</v>
      </c>
      <c r="AD63">
        <f>SUMIFS(DataRegularSeason20242025!$AA$3:$AA$1315,DataRegularSeason20242025!$B$3:$B$1315, "&lt;=" &amp; AD$1, DataRegularSeason20242025!$D$3:$D$1315, $A63)+SUMIFS(DataRegularSeason20242025!$AB$3:$AB$1315,DataRegularSeason20242025!$B$3:$B$1315, "&lt;=" &amp; AD$1, DataRegularSeason20242025!$E$3:$E$1315, $A63)</f>
        <v>8</v>
      </c>
      <c r="AE63">
        <f>SUMIFS(DataRegularSeason20242025!$AA$3:$AA$1315,DataRegularSeason20242025!$B$3:$B$1315, "&lt;=" &amp; AE$1, DataRegularSeason20242025!$D$3:$D$1315, $A63)+SUMIFS(DataRegularSeason20242025!$AB$3:$AB$1315,DataRegularSeason20242025!$B$3:$B$1315, "&lt;=" &amp; AE$1, DataRegularSeason20242025!$E$3:$E$1315, $A63)</f>
        <v>8</v>
      </c>
      <c r="AF63">
        <f>SUMIFS(DataRegularSeason20242025!$AA$3:$AA$1315,DataRegularSeason20242025!$B$3:$B$1315, "&lt;=" &amp; AF$1, DataRegularSeason20242025!$D$3:$D$1315, $A63)+SUMIFS(DataRegularSeason20242025!$AB$3:$AB$1315,DataRegularSeason20242025!$B$3:$B$1315, "&lt;=" &amp; AF$1, DataRegularSeason20242025!$E$3:$E$1315, $A63)</f>
        <v>8</v>
      </c>
      <c r="AG63">
        <f>SUMIFS(DataRegularSeason20242025!$AA$3:$AA$1315,DataRegularSeason20242025!$B$3:$B$1315, "&lt;=" &amp; AG$1, DataRegularSeason20242025!$D$3:$D$1315, $A63)+SUMIFS(DataRegularSeason20242025!$AB$3:$AB$1315,DataRegularSeason20242025!$B$3:$B$1315, "&lt;=" &amp; AG$1, DataRegularSeason20242025!$E$3:$E$1315, $A63)</f>
        <v>8</v>
      </c>
      <c r="AH63">
        <f>SUMIFS(DataRegularSeason20242025!$AA$3:$AA$1315,DataRegularSeason20242025!$B$3:$B$1315, "&lt;=" &amp; AH$1, DataRegularSeason20242025!$D$3:$D$1315, $A63)+SUMIFS(DataRegularSeason20242025!$AB$3:$AB$1315,DataRegularSeason20242025!$B$3:$B$1315, "&lt;=" &amp; AH$1, DataRegularSeason20242025!$E$3:$E$1315, $A63)</f>
        <v>8</v>
      </c>
      <c r="AI63">
        <f>SUMIFS(DataRegularSeason20242025!$AA$3:$AA$1315,DataRegularSeason20242025!$B$3:$B$1315, "&lt;=" &amp; AI$1, DataRegularSeason20242025!$D$3:$D$1315, $A63)+SUMIFS(DataRegularSeason20242025!$AB$3:$AB$1315,DataRegularSeason20242025!$B$3:$B$1315, "&lt;=" &amp; AI$1, DataRegularSeason20242025!$E$3:$E$1315, $A63)</f>
        <v>8</v>
      </c>
      <c r="AJ63">
        <f>SUMIFS(DataRegularSeason20242025!$AA$3:$AA$1315,DataRegularSeason20242025!$B$3:$B$1315, "&lt;=" &amp; AJ$1, DataRegularSeason20242025!$D$3:$D$1315, $A63)+SUMIFS(DataRegularSeason20242025!$AB$3:$AB$1315,DataRegularSeason20242025!$B$3:$B$1315, "&lt;=" &amp; AJ$1, DataRegularSeason20242025!$E$3:$E$1315, $A63)</f>
        <v>8</v>
      </c>
      <c r="AK63">
        <f>SUMIFS(DataRegularSeason20242025!$AA$3:$AA$1315,DataRegularSeason20242025!$B$3:$B$1315, "&lt;=" &amp; AK$1, DataRegularSeason20242025!$D$3:$D$1315, $A63)+SUMIFS(DataRegularSeason20242025!$AB$3:$AB$1315,DataRegularSeason20242025!$B$3:$B$1315, "&lt;=" &amp; AK$1, DataRegularSeason20242025!$E$3:$E$1315, $A63)</f>
        <v>8</v>
      </c>
      <c r="AL63">
        <f>SUMIFS(DataRegularSeason20242025!$AA$3:$AA$1315,DataRegularSeason20242025!$B$3:$B$1315, "&lt;=" &amp; AL$1, DataRegularSeason20242025!$D$3:$D$1315, $A63)+SUMIFS(DataRegularSeason20242025!$AB$3:$AB$1315,DataRegularSeason20242025!$B$3:$B$1315, "&lt;=" &amp; AL$1, DataRegularSeason20242025!$E$3:$E$1315, $A63)</f>
        <v>8</v>
      </c>
      <c r="AM63">
        <f>SUMIFS(DataRegularSeason20242025!$AA$3:$AA$1315,DataRegularSeason20242025!$B$3:$B$1315, "&lt;=" &amp; AM$1, DataRegularSeason20242025!$D$3:$D$1315, $A63)+SUMIFS(DataRegularSeason20242025!$AB$3:$AB$1315,DataRegularSeason20242025!$B$3:$B$1315, "&lt;=" &amp; AM$1, DataRegularSeason20242025!$E$3:$E$1315, $A63)</f>
        <v>8</v>
      </c>
      <c r="AN63">
        <f>SUMIFS(DataRegularSeason20242025!$AA$3:$AA$1315,DataRegularSeason20242025!$B$3:$B$1315, "&lt;=" &amp; AN$1, DataRegularSeason20242025!$D$3:$D$1315, $A63)+SUMIFS(DataRegularSeason20242025!$AB$3:$AB$1315,DataRegularSeason20242025!$B$3:$B$1315, "&lt;=" &amp; AN$1, DataRegularSeason20242025!$E$3:$E$1315, $A63)</f>
        <v>8</v>
      </c>
      <c r="AO63">
        <f>SUMIFS(DataRegularSeason20242025!$AA$3:$AA$1315,DataRegularSeason20242025!$B$3:$B$1315, "&lt;=" &amp; AO$1, DataRegularSeason20242025!$D$3:$D$1315, $A63)+SUMIFS(DataRegularSeason20242025!$AB$3:$AB$1315,DataRegularSeason20242025!$B$3:$B$1315, "&lt;=" &amp; AO$1, DataRegularSeason20242025!$E$3:$E$1315, $A63)</f>
        <v>8</v>
      </c>
      <c r="AP63">
        <f>SUMIFS(DataRegularSeason20242025!$AA$3:$AA$1315,DataRegularSeason20242025!$B$3:$B$1315, "&lt;=" &amp; AP$1, DataRegularSeason20242025!$D$3:$D$1315, $A63)+SUMIFS(DataRegularSeason20242025!$AB$3:$AB$1315,DataRegularSeason20242025!$B$3:$B$1315, "&lt;=" &amp; AP$1, DataRegularSeason20242025!$E$3:$E$1315, $A63)</f>
        <v>8</v>
      </c>
      <c r="AQ63">
        <f>SUMIFS(DataRegularSeason20242025!$AA$3:$AA$1315,DataRegularSeason20242025!$B$3:$B$1315, "&lt;=" &amp; AQ$1, DataRegularSeason20242025!$D$3:$D$1315, $A63)+SUMIFS(DataRegularSeason20242025!$AB$3:$AB$1315,DataRegularSeason20242025!$B$3:$B$1315, "&lt;=" &amp; AQ$1, DataRegularSeason20242025!$E$3:$E$1315, $A63)</f>
        <v>8</v>
      </c>
      <c r="AR63">
        <f>SUMIFS(DataRegularSeason20242025!$AA$3:$AA$1315,DataRegularSeason20242025!$B$3:$B$1315, "&lt;=" &amp; AR$1, DataRegularSeason20242025!$D$3:$D$1315, $A63)+SUMIFS(DataRegularSeason20242025!$AB$3:$AB$1315,DataRegularSeason20242025!$B$3:$B$1315, "&lt;=" &amp; AR$1, DataRegularSeason20242025!$E$3:$E$1315, $A63)</f>
        <v>8</v>
      </c>
      <c r="AS63">
        <f>SUMIFS(DataRegularSeason20242025!$AA$3:$AA$1315,DataRegularSeason20242025!$B$3:$B$1315, "&lt;=" &amp; AS$1, DataRegularSeason20242025!$D$3:$D$1315, $A63)+SUMIFS(DataRegularSeason20242025!$AB$3:$AB$1315,DataRegularSeason20242025!$B$3:$B$1315, "&lt;=" &amp; AS$1, DataRegularSeason20242025!$E$3:$E$1315, $A63)</f>
        <v>8</v>
      </c>
      <c r="AT63">
        <f>SUMIFS(DataRegularSeason20242025!$AA$3:$AA$1315,DataRegularSeason20242025!$B$3:$B$1315, "&lt;=" &amp; AT$1, DataRegularSeason20242025!$D$3:$D$1315, $A63)+SUMIFS(DataRegularSeason20242025!$AB$3:$AB$1315,DataRegularSeason20242025!$B$3:$B$1315, "&lt;=" &amp; AT$1, DataRegularSeason20242025!$E$3:$E$1315, $A63)</f>
        <v>8</v>
      </c>
      <c r="AU63">
        <f>SUMIFS(DataRegularSeason20242025!$AA$3:$AA$1315,DataRegularSeason20242025!$B$3:$B$1315, "&lt;=" &amp; AU$1, DataRegularSeason20242025!$D$3:$D$1315, $A63)+SUMIFS(DataRegularSeason20242025!$AB$3:$AB$1315,DataRegularSeason20242025!$B$3:$B$1315, "&lt;=" &amp; AU$1, DataRegularSeason20242025!$E$3:$E$1315, $A63)</f>
        <v>8</v>
      </c>
      <c r="AV63">
        <f>SUMIFS(DataRegularSeason20242025!$AA$3:$AA$1315,DataRegularSeason20242025!$B$3:$B$1315, "&lt;=" &amp; AV$1, DataRegularSeason20242025!$D$3:$D$1315, $A63)+SUMIFS(DataRegularSeason20242025!$AB$3:$AB$1315,DataRegularSeason20242025!$B$3:$B$1315, "&lt;=" &amp; AV$1, DataRegularSeason20242025!$E$3:$E$1315, $A63)</f>
        <v>8</v>
      </c>
      <c r="AW63">
        <f>SUMIFS(DataRegularSeason20242025!$AA$3:$AA$1315,DataRegularSeason20242025!$B$3:$B$1315, "&lt;=" &amp; AW$1, DataRegularSeason20242025!$D$3:$D$1315, $A63)+SUMIFS(DataRegularSeason20242025!$AB$3:$AB$1315,DataRegularSeason20242025!$B$3:$B$1315, "&lt;=" &amp; AW$1, DataRegularSeason20242025!$E$3:$E$1315, $A63)</f>
        <v>8</v>
      </c>
      <c r="AX63">
        <f>SUMIFS(DataRegularSeason20242025!$AA$3:$AA$1315,DataRegularSeason20242025!$B$3:$B$1315, "&lt;=" &amp; AX$1, DataRegularSeason20242025!$D$3:$D$1315, $A63)+SUMIFS(DataRegularSeason20242025!$AB$3:$AB$1315,DataRegularSeason20242025!$B$3:$B$1315, "&lt;=" &amp; AX$1, DataRegularSeason20242025!$E$3:$E$1315, $A63)</f>
        <v>8</v>
      </c>
      <c r="AY63">
        <f>SUMIFS(DataRegularSeason20242025!$AA$3:$AA$1315,DataRegularSeason20242025!$B$3:$B$1315, "&lt;=" &amp; AY$1, DataRegularSeason20242025!$D$3:$D$1315, $A63)+SUMIFS(DataRegularSeason20242025!$AB$3:$AB$1315,DataRegularSeason20242025!$B$3:$B$1315, "&lt;=" &amp; AY$1, DataRegularSeason20242025!$E$3:$E$1315, $A63)</f>
        <v>8</v>
      </c>
      <c r="AZ63">
        <f>SUMIFS(DataRegularSeason20242025!$AA$3:$AA$1315,DataRegularSeason20242025!$B$3:$B$1315, "&lt;=" &amp; AZ$1, DataRegularSeason20242025!$D$3:$D$1315, $A63)+SUMIFS(DataRegularSeason20242025!$AB$3:$AB$1315,DataRegularSeason20242025!$B$3:$B$1315, "&lt;=" &amp; AZ$1, DataRegularSeason20242025!$E$3:$E$1315, $A63)</f>
        <v>8</v>
      </c>
      <c r="BA63">
        <f>SUMIFS(DataRegularSeason20242025!$AA$3:$AA$1315,DataRegularSeason20242025!$B$3:$B$1315, "&lt;=" &amp; BA$1, DataRegularSeason20242025!$D$3:$D$1315, $A63)+SUMIFS(DataRegularSeason20242025!$AB$3:$AB$1315,DataRegularSeason20242025!$B$3:$B$1315, "&lt;=" &amp; BA$1, DataRegularSeason20242025!$E$3:$E$1315, $A63)</f>
        <v>8</v>
      </c>
      <c r="BB63">
        <f>SUMIFS(DataRegularSeason20242025!$AA$3:$AA$1315,DataRegularSeason20242025!$B$3:$B$1315, "&lt;=" &amp; BB$1, DataRegularSeason20242025!$D$3:$D$1315, $A63)+SUMIFS(DataRegularSeason20242025!$AB$3:$AB$1315,DataRegularSeason20242025!$B$3:$B$1315, "&lt;=" &amp; BB$1, DataRegularSeason20242025!$E$3:$E$1315, $A63)</f>
        <v>8</v>
      </c>
      <c r="BC63">
        <f>SUMIFS(DataRegularSeason20242025!$AA$3:$AA$1315,DataRegularSeason20242025!$B$3:$B$1315, "&lt;=" &amp; BC$1, DataRegularSeason20242025!$D$3:$D$1315, $A63)+SUMIFS(DataRegularSeason20242025!$AB$3:$AB$1315,DataRegularSeason20242025!$B$3:$B$1315, "&lt;=" &amp; BC$1, DataRegularSeason20242025!$E$3:$E$1315, $A63)</f>
        <v>8</v>
      </c>
      <c r="BD63">
        <f>SUMIFS(DataRegularSeason20242025!$AA$3:$AA$1315,DataRegularSeason20242025!$B$3:$B$1315, "&lt;=" &amp; BD$1, DataRegularSeason20242025!$D$3:$D$1315, $A63)+SUMIFS(DataRegularSeason20242025!$AB$3:$AB$1315,DataRegularSeason20242025!$B$3:$B$1315, "&lt;=" &amp; BD$1, DataRegularSeason20242025!$E$3:$E$1315, $A63)</f>
        <v>8</v>
      </c>
      <c r="BE63">
        <f>SUMIFS(DataRegularSeason20242025!$AA$3:$AA$1315,DataRegularSeason20242025!$B$3:$B$1315, "&lt;=" &amp; BE$1, DataRegularSeason20242025!$D$3:$D$1315, $A63)+SUMIFS(DataRegularSeason20242025!$AB$3:$AB$1315,DataRegularSeason20242025!$B$3:$B$1315, "&lt;=" &amp; BE$1, DataRegularSeason20242025!$E$3:$E$1315, $A63)</f>
        <v>8</v>
      </c>
      <c r="BF63">
        <f>SUMIFS(DataRegularSeason20242025!$AA$3:$AA$1315,DataRegularSeason20242025!$B$3:$B$1315, "&lt;=" &amp; BF$1, DataRegularSeason20242025!$D$3:$D$1315, $A63)+SUMIFS(DataRegularSeason20242025!$AB$3:$AB$1315,DataRegularSeason20242025!$B$3:$B$1315, "&lt;=" &amp; BF$1, DataRegularSeason20242025!$E$3:$E$1315, $A63)</f>
        <v>8</v>
      </c>
      <c r="BG63">
        <f>SUMIFS(DataRegularSeason20242025!$AA$3:$AA$1315,DataRegularSeason20242025!$B$3:$B$1315, "&lt;=" &amp; BG$1, DataRegularSeason20242025!$D$3:$D$1315, $A63)+SUMIFS(DataRegularSeason20242025!$AB$3:$AB$1315,DataRegularSeason20242025!$B$3:$B$1315, "&lt;=" &amp; BG$1, DataRegularSeason20242025!$E$3:$E$1315, $A63)</f>
        <v>8</v>
      </c>
      <c r="BH63">
        <f>SUMIFS(DataRegularSeason20242025!$AA$3:$AA$1315,DataRegularSeason20242025!$B$3:$B$1315, "&lt;=" &amp; BH$1, DataRegularSeason20242025!$D$3:$D$1315, $A63)+SUMIFS(DataRegularSeason20242025!$AB$3:$AB$1315,DataRegularSeason20242025!$B$3:$B$1315, "&lt;=" &amp; BH$1, DataRegularSeason20242025!$E$3:$E$1315, $A63)</f>
        <v>8</v>
      </c>
      <c r="BI63">
        <f>SUMIFS(DataRegularSeason20242025!$AA$3:$AA$1315,DataRegularSeason20242025!$B$3:$B$1315, "&lt;=" &amp; BI$1, DataRegularSeason20242025!$D$3:$D$1315, $A63)+SUMIFS(DataRegularSeason20242025!$AB$3:$AB$1315,DataRegularSeason20242025!$B$3:$B$1315, "&lt;=" &amp; BI$1, DataRegularSeason20242025!$E$3:$E$1315, $A63)</f>
        <v>8</v>
      </c>
      <c r="BJ63">
        <f>SUMIFS(DataRegularSeason20242025!$AA$3:$AA$1315,DataRegularSeason20242025!$B$3:$B$1315, "&lt;=" &amp; BJ$1, DataRegularSeason20242025!$D$3:$D$1315, $A63)+SUMIFS(DataRegularSeason20242025!$AB$3:$AB$1315,DataRegularSeason20242025!$B$3:$B$1315, "&lt;=" &amp; BJ$1, DataRegularSeason20242025!$E$3:$E$1315, $A63)</f>
        <v>8</v>
      </c>
      <c r="BK63">
        <f>SUMIFS(DataRegularSeason20242025!$AA$3:$AA$1315,DataRegularSeason20242025!$B$3:$B$1315, "&lt;=" &amp; BK$1, DataRegularSeason20242025!$D$3:$D$1315, $A63)+SUMIFS(DataRegularSeason20242025!$AB$3:$AB$1315,DataRegularSeason20242025!$B$3:$B$1315, "&lt;=" &amp; BK$1, DataRegularSeason20242025!$E$3:$E$1315, $A63)</f>
        <v>8</v>
      </c>
      <c r="BL63">
        <f>SUMIFS(DataRegularSeason20242025!$AA$3:$AA$1315,DataRegularSeason20242025!$B$3:$B$1315, "&lt;=" &amp; BL$1, DataRegularSeason20242025!$D$3:$D$1315, $A63)+SUMIFS(DataRegularSeason20242025!$AB$3:$AB$1315,DataRegularSeason20242025!$B$3:$B$1315, "&lt;=" &amp; BL$1, DataRegularSeason20242025!$E$3:$E$1315, $A63)</f>
        <v>8</v>
      </c>
      <c r="BM63">
        <f>SUMIFS(DataRegularSeason20242025!$AA$3:$AA$1315,DataRegularSeason20242025!$B$3:$B$1315, "&lt;=" &amp; BM$1, DataRegularSeason20242025!$D$3:$D$1315, $A63)+SUMIFS(DataRegularSeason20242025!$AB$3:$AB$1315,DataRegularSeason20242025!$B$3:$B$1315, "&lt;=" &amp; BM$1, DataRegularSeason20242025!$E$3:$E$1315, $A63)</f>
        <v>8</v>
      </c>
      <c r="BN63">
        <f>SUMIFS(DataRegularSeason20242025!$AA$3:$AA$1315,DataRegularSeason20242025!$B$3:$B$1315, "&lt;=" &amp; BN$1, DataRegularSeason20242025!$D$3:$D$1315, $A63)+SUMIFS(DataRegularSeason20242025!$AB$3:$AB$1315,DataRegularSeason20242025!$B$3:$B$1315, "&lt;=" &amp; BN$1, DataRegularSeason20242025!$E$3:$E$1315, $A63)</f>
        <v>8</v>
      </c>
      <c r="BO63">
        <f>SUMIFS(DataRegularSeason20242025!$AA$3:$AA$1315,DataRegularSeason20242025!$B$3:$B$1315, "&lt;=" &amp; BO$1, DataRegularSeason20242025!$D$3:$D$1315, $A63)+SUMIFS(DataRegularSeason20242025!$AB$3:$AB$1315,DataRegularSeason20242025!$B$3:$B$1315, "&lt;=" &amp; BO$1, DataRegularSeason20242025!$E$3:$E$1315, $A63)</f>
        <v>8</v>
      </c>
      <c r="BP63">
        <f>SUMIFS(DataRegularSeason20242025!$AA$3:$AA$1315,DataRegularSeason20242025!$B$3:$B$1315, "&lt;=" &amp; BP$1, DataRegularSeason20242025!$D$3:$D$1315, $A63)+SUMIFS(DataRegularSeason20242025!$AB$3:$AB$1315,DataRegularSeason20242025!$B$3:$B$1315, "&lt;=" &amp; BP$1, DataRegularSeason20242025!$E$3:$E$1315, $A63)</f>
        <v>8</v>
      </c>
      <c r="BQ63">
        <f>SUMIFS(DataRegularSeason20242025!$AA$3:$AA$1315,DataRegularSeason20242025!$B$3:$B$1315, "&lt;=" &amp; BQ$1, DataRegularSeason20242025!$D$3:$D$1315, $A63)+SUMIFS(DataRegularSeason20242025!$AB$3:$AB$1315,DataRegularSeason20242025!$B$3:$B$1315, "&lt;=" &amp; BQ$1, DataRegularSeason20242025!$E$3:$E$1315, $A63)</f>
        <v>8</v>
      </c>
      <c r="BR63">
        <f>SUMIFS(DataRegularSeason20242025!$AA$3:$AA$1315,DataRegularSeason20242025!$B$3:$B$1315, "&lt;=" &amp; BR$1, DataRegularSeason20242025!$D$3:$D$1315, $A63)+SUMIFS(DataRegularSeason20242025!$AB$3:$AB$1315,DataRegularSeason20242025!$B$3:$B$1315, "&lt;=" &amp; BR$1, DataRegularSeason20242025!$E$3:$E$1315, $A63)</f>
        <v>8</v>
      </c>
      <c r="BS63">
        <f>SUMIFS(DataRegularSeason20242025!$AA$3:$AA$1315,DataRegularSeason20242025!$B$3:$B$1315, "&lt;=" &amp; BS$1, DataRegularSeason20242025!$D$3:$D$1315, $A63)+SUMIFS(DataRegularSeason20242025!$AB$3:$AB$1315,DataRegularSeason20242025!$B$3:$B$1315, "&lt;=" &amp; BS$1, DataRegularSeason20242025!$E$3:$E$1315, $A63)</f>
        <v>8</v>
      </c>
      <c r="BT63">
        <f>SUMIFS(DataRegularSeason20242025!$AA$3:$AA$1315,DataRegularSeason20242025!$B$3:$B$1315, "&lt;=" &amp; BT$1, DataRegularSeason20242025!$D$3:$D$1315, $A63)+SUMIFS(DataRegularSeason20242025!$AB$3:$AB$1315,DataRegularSeason20242025!$B$3:$B$1315, "&lt;=" &amp; BT$1, DataRegularSeason20242025!$E$3:$E$1315, $A63)</f>
        <v>8</v>
      </c>
      <c r="BU63">
        <f>SUMIFS(DataRegularSeason20242025!$AA$3:$AA$1315,DataRegularSeason20242025!$B$3:$B$1315, "&lt;=" &amp; BU$1, DataRegularSeason20242025!$D$3:$D$1315, $A63)+SUMIFS(DataRegularSeason20242025!$AB$3:$AB$1315,DataRegularSeason20242025!$B$3:$B$1315, "&lt;=" &amp; BU$1, DataRegularSeason20242025!$E$3:$E$1315, $A63)</f>
        <v>8</v>
      </c>
      <c r="BV63">
        <f>SUMIFS(DataRegularSeason20242025!$AA$3:$AA$1315,DataRegularSeason20242025!$B$3:$B$1315, "&lt;=" &amp; BV$1, DataRegularSeason20242025!$D$3:$D$1315, $A63)+SUMIFS(DataRegularSeason20242025!$AB$3:$AB$1315,DataRegularSeason20242025!$B$3:$B$1315, "&lt;=" &amp; BV$1, DataRegularSeason20242025!$E$3:$E$1315, $A63)</f>
        <v>8</v>
      </c>
      <c r="BW63">
        <f>SUMIFS(DataRegularSeason20242025!$AA$3:$AA$1315,DataRegularSeason20242025!$B$3:$B$1315, "&lt;=" &amp; BW$1, DataRegularSeason20242025!$D$3:$D$1315, $A63)+SUMIFS(DataRegularSeason20242025!$AB$3:$AB$1315,DataRegularSeason20242025!$B$3:$B$1315, "&lt;=" &amp; BW$1, DataRegularSeason20242025!$E$3:$E$1315, $A63)</f>
        <v>8</v>
      </c>
      <c r="BX63">
        <f>SUMIFS(DataRegularSeason20242025!$AA$3:$AA$1315,DataRegularSeason20242025!$B$3:$B$1315, "&lt;=" &amp; BX$1, DataRegularSeason20242025!$D$3:$D$1315, $A63)+SUMIFS(DataRegularSeason20242025!$AB$3:$AB$1315,DataRegularSeason20242025!$B$3:$B$1315, "&lt;=" &amp; BX$1, DataRegularSeason20242025!$E$3:$E$1315, $A63)</f>
        <v>8</v>
      </c>
      <c r="BY63">
        <f>SUMIFS(DataRegularSeason20242025!$AA$3:$AA$1315,DataRegularSeason20242025!$B$3:$B$1315, "&lt;=" &amp; BY$1, DataRegularSeason20242025!$D$3:$D$1315, $A63)+SUMIFS(DataRegularSeason20242025!$AB$3:$AB$1315,DataRegularSeason20242025!$B$3:$B$1315, "&lt;=" &amp; BY$1, DataRegularSeason20242025!$E$3:$E$1315, $A63)</f>
        <v>8</v>
      </c>
      <c r="BZ63">
        <f>SUMIFS(DataRegularSeason20242025!$AA$3:$AA$1315,DataRegularSeason20242025!$B$3:$B$1315, "&lt;=" &amp; BZ$1, DataRegularSeason20242025!$D$3:$D$1315, $A63)+SUMIFS(DataRegularSeason20242025!$AB$3:$AB$1315,DataRegularSeason20242025!$B$3:$B$1315, "&lt;=" &amp; BZ$1, DataRegularSeason20242025!$E$3:$E$1315, $A63)</f>
        <v>8</v>
      </c>
      <c r="CA63">
        <f>SUMIFS(DataRegularSeason20242025!$AA$3:$AA$1315,DataRegularSeason20242025!$B$3:$B$1315, "&lt;=" &amp; CA$1, DataRegularSeason20242025!$D$3:$D$1315, $A63)+SUMIFS(DataRegularSeason20242025!$AB$3:$AB$1315,DataRegularSeason20242025!$B$3:$B$1315, "&lt;=" &amp; CA$1, DataRegularSeason20242025!$E$3:$E$1315, $A63)</f>
        <v>8</v>
      </c>
      <c r="CB63">
        <f>SUMIFS(DataRegularSeason20242025!$AA$3:$AA$1315,DataRegularSeason20242025!$B$3:$B$1315, "&lt;=" &amp; CB$1, DataRegularSeason20242025!$D$3:$D$1315, $A63)+SUMIFS(DataRegularSeason20242025!$AB$3:$AB$1315,DataRegularSeason20242025!$B$3:$B$1315, "&lt;=" &amp; CB$1, DataRegularSeason20242025!$E$3:$E$1315, $A63)</f>
        <v>8</v>
      </c>
      <c r="CC63">
        <f>SUMIFS(DataRegularSeason20242025!$AA$3:$AA$1315,DataRegularSeason20242025!$B$3:$B$1315, "&lt;=" &amp; CC$1, DataRegularSeason20242025!$D$3:$D$1315, $A63)+SUMIFS(DataRegularSeason20242025!$AB$3:$AB$1315,DataRegularSeason20242025!$B$3:$B$1315, "&lt;=" &amp; CC$1, DataRegularSeason20242025!$E$3:$E$1315, $A63)</f>
        <v>8</v>
      </c>
      <c r="CD63">
        <f>SUMIFS(DataRegularSeason20242025!$AA$3:$AA$1315,DataRegularSeason20242025!$B$3:$B$1315, "&lt;=" &amp; CD$1, DataRegularSeason20242025!$D$3:$D$1315, $A63)+SUMIFS(DataRegularSeason20242025!$AB$3:$AB$1315,DataRegularSeason20242025!$B$3:$B$1315, "&lt;=" &amp; CD$1, DataRegularSeason20242025!$E$3:$E$1315, $A63)</f>
        <v>8</v>
      </c>
      <c r="CE63">
        <f>SUMIFS(DataRegularSeason20242025!$AA$3:$AA$1315,DataRegularSeason20242025!$B$3:$B$1315, "&lt;=" &amp; CE$1, DataRegularSeason20242025!$D$3:$D$1315, $A63)+SUMIFS(DataRegularSeason20242025!$AB$3:$AB$1315,DataRegularSeason20242025!$B$3:$B$1315, "&lt;=" &amp; CE$1, DataRegularSeason20242025!$E$3:$E$1315, $A63)</f>
        <v>8</v>
      </c>
      <c r="CF63">
        <f>SUMIFS(DataRegularSeason20242025!$AA$3:$AA$1315,DataRegularSeason20242025!$B$3:$B$1315, "&lt;=" &amp; CF$1, DataRegularSeason20242025!$D$3:$D$1315, $A63)+SUMIFS(DataRegularSeason20242025!$AB$3:$AB$1315,DataRegularSeason20242025!$B$3:$B$1315, "&lt;=" &amp; CF$1, DataRegularSeason20242025!$E$3:$E$1315, $A63)</f>
        <v>8</v>
      </c>
      <c r="CG63">
        <f>SUMIFS(DataRegularSeason20242025!$AA$3:$AA$1315,DataRegularSeason20242025!$B$3:$B$1315, "&lt;=" &amp; CG$1, DataRegularSeason20242025!$D$3:$D$1315, $A63)+SUMIFS(DataRegularSeason20242025!$AB$3:$AB$1315,DataRegularSeason20242025!$B$3:$B$1315, "&lt;=" &amp; CG$1, DataRegularSeason20242025!$E$3:$E$1315, $A63)</f>
        <v>8</v>
      </c>
      <c r="CH63">
        <f>SUMIFS(DataRegularSeason20242025!$AA$3:$AA$1315,DataRegularSeason20242025!$B$3:$B$1315, "&lt;=" &amp; CH$1, DataRegularSeason20242025!$D$3:$D$1315, $A63)+SUMIFS(DataRegularSeason20242025!$AB$3:$AB$1315,DataRegularSeason20242025!$B$3:$B$1315, "&lt;=" &amp; CH$1, DataRegularSeason20242025!$E$3:$E$1315, $A63)</f>
        <v>8</v>
      </c>
      <c r="CI63">
        <f>SUMIFS(DataRegularSeason20242025!$AA$3:$AA$1315,DataRegularSeason20242025!$B$3:$B$1315, "&lt;=" &amp; CI$1, DataRegularSeason20242025!$D$3:$D$1315, $A63)+SUMIFS(DataRegularSeason20242025!$AB$3:$AB$1315,DataRegularSeason20242025!$B$3:$B$1315, "&lt;=" &amp; CI$1, DataRegularSeason20242025!$E$3:$E$1315, $A63)</f>
        <v>8</v>
      </c>
      <c r="CJ63">
        <f>SUMIFS(DataRegularSeason20242025!$AA$3:$AA$1315,DataRegularSeason20242025!$B$3:$B$1315, "&lt;=" &amp; CJ$1, DataRegularSeason20242025!$D$3:$D$1315, $A63)+SUMIFS(DataRegularSeason20242025!$AB$3:$AB$1315,DataRegularSeason20242025!$B$3:$B$1315, "&lt;=" &amp; CJ$1, DataRegularSeason20242025!$E$3:$E$1315, $A63)</f>
        <v>8</v>
      </c>
      <c r="CK63">
        <f>SUMIFS(DataRegularSeason20242025!$AA$3:$AA$1315,DataRegularSeason20242025!$B$3:$B$1315, "&lt;=" &amp; CK$1, DataRegularSeason20242025!$D$3:$D$1315, $A63)+SUMIFS(DataRegularSeason20242025!$AB$3:$AB$1315,DataRegularSeason20242025!$B$3:$B$1315, "&lt;=" &amp; CK$1, DataRegularSeason20242025!$E$3:$E$1315, $A63)</f>
        <v>8</v>
      </c>
      <c r="CL63">
        <f>SUMIFS(DataRegularSeason20242025!$AA$3:$AA$1315,DataRegularSeason20242025!$B$3:$B$1315, "&lt;=" &amp; CL$1, DataRegularSeason20242025!$D$3:$D$1315, $A63)+SUMIFS(DataRegularSeason20242025!$AB$3:$AB$1315,DataRegularSeason20242025!$B$3:$B$1315, "&lt;=" &amp; CL$1, DataRegularSeason20242025!$E$3:$E$1315, $A63)</f>
        <v>8</v>
      </c>
      <c r="CM63">
        <f>SUMIFS(DataRegularSeason20242025!$AA$3:$AA$1315,DataRegularSeason20242025!$B$3:$B$1315, "&lt;=" &amp; CM$1, DataRegularSeason20242025!$D$3:$D$1315, $A63)+SUMIFS(DataRegularSeason20242025!$AB$3:$AB$1315,DataRegularSeason20242025!$B$3:$B$1315, "&lt;=" &amp; CM$1, DataRegularSeason20242025!$E$3:$E$1315, $A63)</f>
        <v>8</v>
      </c>
      <c r="CN63">
        <f>SUMIFS(DataRegularSeason20242025!$AA$3:$AA$1315,DataRegularSeason20242025!$B$3:$B$1315, "&lt;=" &amp; CN$1, DataRegularSeason20242025!$D$3:$D$1315, $A63)+SUMIFS(DataRegularSeason20242025!$AB$3:$AB$1315,DataRegularSeason20242025!$B$3:$B$1315, "&lt;=" &amp; CN$1, DataRegularSeason20242025!$E$3:$E$1315, $A63)</f>
        <v>8</v>
      </c>
      <c r="CO63">
        <f>SUMIFS(DataRegularSeason20242025!$AA$3:$AA$1315,DataRegularSeason20242025!$B$3:$B$1315, "&lt;=" &amp; CO$1, DataRegularSeason20242025!$D$3:$D$1315, $A63)+SUMIFS(DataRegularSeason20242025!$AB$3:$AB$1315,DataRegularSeason20242025!$B$3:$B$1315, "&lt;=" &amp; CO$1, DataRegularSeason20242025!$E$3:$E$1315, $A63)</f>
        <v>8</v>
      </c>
      <c r="CP63">
        <f>SUMIFS(DataRegularSeason20242025!$AA$3:$AA$1315,DataRegularSeason20242025!$B$3:$B$1315, "&lt;=" &amp; CP$1, DataRegularSeason20242025!$D$3:$D$1315, $A63)+SUMIFS(DataRegularSeason20242025!$AB$3:$AB$1315,DataRegularSeason20242025!$B$3:$B$1315, "&lt;=" &amp; CP$1, DataRegularSeason20242025!$E$3:$E$1315, $A63)</f>
        <v>8</v>
      </c>
      <c r="CQ63">
        <f>SUMIFS(DataRegularSeason20242025!$AA$3:$AA$1315,DataRegularSeason20242025!$B$3:$B$1315, "&lt;=" &amp; CQ$1, DataRegularSeason20242025!$D$3:$D$1315, $A63)+SUMIFS(DataRegularSeason20242025!$AB$3:$AB$1315,DataRegularSeason20242025!$B$3:$B$1315, "&lt;=" &amp; CQ$1, DataRegularSeason20242025!$E$3:$E$1315, $A63)</f>
        <v>8</v>
      </c>
      <c r="CR63">
        <f>SUMIFS(DataRegularSeason20242025!$AA$3:$AA$1315,DataRegularSeason20242025!$B$3:$B$1315, "&lt;=" &amp; CR$1, DataRegularSeason20242025!$D$3:$D$1315, $A63)+SUMIFS(DataRegularSeason20242025!$AB$3:$AB$1315,DataRegularSeason20242025!$B$3:$B$1315, "&lt;=" &amp; CR$1, DataRegularSeason20242025!$E$3:$E$1315, $A63)</f>
        <v>8</v>
      </c>
      <c r="CS63">
        <f>SUMIFS(DataRegularSeason20242025!$AA$3:$AA$1315,DataRegularSeason20242025!$B$3:$B$1315, "&lt;=" &amp; CS$1, DataRegularSeason20242025!$D$3:$D$1315, $A63)+SUMIFS(DataRegularSeason20242025!$AB$3:$AB$1315,DataRegularSeason20242025!$B$3:$B$1315, "&lt;=" &amp; CS$1, DataRegularSeason20242025!$E$3:$E$1315, $A63)</f>
        <v>8</v>
      </c>
      <c r="CT63">
        <f>SUMIFS(DataRegularSeason20242025!$AA$3:$AA$1315,DataRegularSeason20242025!$B$3:$B$1315, "&lt;=" &amp; CT$1, DataRegularSeason20242025!$D$3:$D$1315, $A63)+SUMIFS(DataRegularSeason20242025!$AB$3:$AB$1315,DataRegularSeason20242025!$B$3:$B$1315, "&lt;=" &amp; CT$1, DataRegularSeason20242025!$E$3:$E$1315, $A63)</f>
        <v>8</v>
      </c>
      <c r="CU63">
        <f>SUMIFS(DataRegularSeason20242025!$AA$3:$AA$1315,DataRegularSeason20242025!$B$3:$B$1315, "&lt;=" &amp; CU$1, DataRegularSeason20242025!$D$3:$D$1315, $A63)+SUMIFS(DataRegularSeason20242025!$AB$3:$AB$1315,DataRegularSeason20242025!$B$3:$B$1315, "&lt;=" &amp; CU$1, DataRegularSeason20242025!$E$3:$E$1315, $A63)</f>
        <v>8</v>
      </c>
      <c r="CV63">
        <f>SUMIFS(DataRegularSeason20242025!$AA$3:$AA$1315,DataRegularSeason20242025!$B$3:$B$1315, "&lt;=" &amp; CV$1, DataRegularSeason20242025!$D$3:$D$1315, $A63)+SUMIFS(DataRegularSeason20242025!$AB$3:$AB$1315,DataRegularSeason20242025!$B$3:$B$1315, "&lt;=" &amp; CV$1, DataRegularSeason20242025!$E$3:$E$1315, $A63)</f>
        <v>8</v>
      </c>
      <c r="CW63">
        <f>SUMIFS(DataRegularSeason20242025!$AA$3:$AA$1315,DataRegularSeason20242025!$B$3:$B$1315, "&lt;=" &amp; CW$1, DataRegularSeason20242025!$D$3:$D$1315, $A63)+SUMIFS(DataRegularSeason20242025!$AB$3:$AB$1315,DataRegularSeason20242025!$B$3:$B$1315, "&lt;=" &amp; CW$1, DataRegularSeason20242025!$E$3:$E$1315, $A63)</f>
        <v>8</v>
      </c>
      <c r="CX63">
        <f>SUMIFS(DataRegularSeason20242025!$AA$3:$AA$1315,DataRegularSeason20242025!$B$3:$B$1315, "&lt;=" &amp; CX$1, DataRegularSeason20242025!$D$3:$D$1315, $A63)+SUMIFS(DataRegularSeason20242025!$AB$3:$AB$1315,DataRegularSeason20242025!$B$3:$B$1315, "&lt;=" &amp; CX$1, DataRegularSeason20242025!$E$3:$E$1315, $A63)</f>
        <v>8</v>
      </c>
      <c r="CY63">
        <f>SUMIFS(DataRegularSeason20242025!$AA$3:$AA$1315,DataRegularSeason20242025!$B$3:$B$1315, "&lt;=" &amp; CY$1, DataRegularSeason20242025!$D$3:$D$1315, $A63)+SUMIFS(DataRegularSeason20242025!$AB$3:$AB$1315,DataRegularSeason20242025!$B$3:$B$1315, "&lt;=" &amp; CY$1, DataRegularSeason20242025!$E$3:$E$1315, $A63)</f>
        <v>8</v>
      </c>
      <c r="CZ63">
        <f>SUMIFS(DataRegularSeason20242025!$AA$3:$AA$1315,DataRegularSeason20242025!$B$3:$B$1315, "&lt;=" &amp; CZ$1, DataRegularSeason20242025!$D$3:$D$1315, $A63)+SUMIFS(DataRegularSeason20242025!$AB$3:$AB$1315,DataRegularSeason20242025!$B$3:$B$1315, "&lt;=" &amp; CZ$1, DataRegularSeason20242025!$E$3:$E$1315, $A63)</f>
        <v>8</v>
      </c>
      <c r="DA63">
        <f>SUMIFS(DataRegularSeason20242025!$AA$3:$AA$1315,DataRegularSeason20242025!$B$3:$B$1315, "&lt;=" &amp; DA$1, DataRegularSeason20242025!$D$3:$D$1315, $A63)+SUMIFS(DataRegularSeason20242025!$AB$3:$AB$1315,DataRegularSeason20242025!$B$3:$B$1315, "&lt;=" &amp; DA$1, DataRegularSeason20242025!$E$3:$E$1315, $A63)</f>
        <v>8</v>
      </c>
      <c r="DB63">
        <f>SUMIFS(DataRegularSeason20242025!$AA$3:$AA$1315,DataRegularSeason20242025!$B$3:$B$1315, "&lt;=" &amp; DB$1, DataRegularSeason20242025!$D$3:$D$1315, $A63)+SUMIFS(DataRegularSeason20242025!$AB$3:$AB$1315,DataRegularSeason20242025!$B$3:$B$1315, "&lt;=" &amp; DB$1, DataRegularSeason20242025!$E$3:$E$1315, $A63)</f>
        <v>8</v>
      </c>
      <c r="DC63">
        <f>SUMIFS(DataRegularSeason20242025!$AA$3:$AA$1315,DataRegularSeason20242025!$B$3:$B$1315, "&lt;=" &amp; DC$1, DataRegularSeason20242025!$D$3:$D$1315, $A63)+SUMIFS(DataRegularSeason20242025!$AB$3:$AB$1315,DataRegularSeason20242025!$B$3:$B$1315, "&lt;=" &amp; DC$1, DataRegularSeason20242025!$E$3:$E$1315, $A63)</f>
        <v>8</v>
      </c>
      <c r="DD63">
        <f>SUMIFS(DataRegularSeason20242025!$AA$3:$AA$1315,DataRegularSeason20242025!$B$3:$B$1315, "&lt;=" &amp; DD$1, DataRegularSeason20242025!$D$3:$D$1315, $A63)+SUMIFS(DataRegularSeason20242025!$AB$3:$AB$1315,DataRegularSeason20242025!$B$3:$B$1315, "&lt;=" &amp; DD$1, DataRegularSeason20242025!$E$3:$E$1315, $A63)</f>
        <v>8</v>
      </c>
      <c r="DE63">
        <f>SUMIFS(DataRegularSeason20242025!$AA$3:$AA$1315,DataRegularSeason20242025!$B$3:$B$1315, "&lt;=" &amp; DE$1, DataRegularSeason20242025!$D$3:$D$1315, $A63)+SUMIFS(DataRegularSeason20242025!$AB$3:$AB$1315,DataRegularSeason20242025!$B$3:$B$1315, "&lt;=" &amp; DE$1, DataRegularSeason20242025!$E$3:$E$1315, $A63)</f>
        <v>8</v>
      </c>
      <c r="DF63">
        <f>SUMIFS(DataRegularSeason20242025!$AA$3:$AA$1315,DataRegularSeason20242025!$B$3:$B$1315, "&lt;=" &amp; DF$1, DataRegularSeason20242025!$D$3:$D$1315, $A63)+SUMIFS(DataRegularSeason20242025!$AB$3:$AB$1315,DataRegularSeason20242025!$B$3:$B$1315, "&lt;=" &amp; DF$1, DataRegularSeason20242025!$E$3:$E$1315, $A63)</f>
        <v>8</v>
      </c>
      <c r="DG63">
        <f>SUMIFS(DataRegularSeason20242025!$AA$3:$AA$1315,DataRegularSeason20242025!$B$3:$B$1315, "&lt;=" &amp; DG$1, DataRegularSeason20242025!$D$3:$D$1315, $A63)+SUMIFS(DataRegularSeason20242025!$AB$3:$AB$1315,DataRegularSeason20242025!$B$3:$B$1315, "&lt;=" &amp; DG$1, DataRegularSeason20242025!$E$3:$E$1315, $A63)</f>
        <v>8</v>
      </c>
      <c r="DH63">
        <f>SUMIFS(DataRegularSeason20242025!$AA$3:$AA$1315,DataRegularSeason20242025!$B$3:$B$1315, "&lt;=" &amp; DH$1, DataRegularSeason20242025!$D$3:$D$1315, $A63)+SUMIFS(DataRegularSeason20242025!$AB$3:$AB$1315,DataRegularSeason20242025!$B$3:$B$1315, "&lt;=" &amp; DH$1, DataRegularSeason20242025!$E$3:$E$1315, $A63)</f>
        <v>8</v>
      </c>
      <c r="DI63">
        <f>SUMIFS(DataRegularSeason20242025!$AA$3:$AA$1315,DataRegularSeason20242025!$B$3:$B$1315, "&lt;=" &amp; DI$1, DataRegularSeason20242025!$D$3:$D$1315, $A63)+SUMIFS(DataRegularSeason20242025!$AB$3:$AB$1315,DataRegularSeason20242025!$B$3:$B$1315, "&lt;=" &amp; DI$1, DataRegularSeason20242025!$E$3:$E$1315, $A63)</f>
        <v>8</v>
      </c>
      <c r="DJ63">
        <f>SUMIFS(DataRegularSeason20242025!$AA$3:$AA$1315,DataRegularSeason20242025!$B$3:$B$1315, "&lt;=" &amp; DJ$1, DataRegularSeason20242025!$D$3:$D$1315, $A63)+SUMIFS(DataRegularSeason20242025!$AB$3:$AB$1315,DataRegularSeason20242025!$B$3:$B$1315, "&lt;=" &amp; DJ$1, DataRegularSeason20242025!$E$3:$E$1315, $A63)</f>
        <v>8</v>
      </c>
      <c r="DK63">
        <f>SUMIFS(DataRegularSeason20242025!$AA$3:$AA$1315,DataRegularSeason20242025!$B$3:$B$1315, "&lt;=" &amp; DK$1, DataRegularSeason20242025!$D$3:$D$1315, $A63)+SUMIFS(DataRegularSeason20242025!$AB$3:$AB$1315,DataRegularSeason20242025!$B$3:$B$1315, "&lt;=" &amp; DK$1, DataRegularSeason20242025!$E$3:$E$1315, $A63)</f>
        <v>8</v>
      </c>
      <c r="DL63">
        <f>SUMIFS(DataRegularSeason20242025!$AA$3:$AA$1315,DataRegularSeason20242025!$B$3:$B$1315, "&lt;=" &amp; DL$1, DataRegularSeason20242025!$D$3:$D$1315, $A63)+SUMIFS(DataRegularSeason20242025!$AB$3:$AB$1315,DataRegularSeason20242025!$B$3:$B$1315, "&lt;=" &amp; DL$1, DataRegularSeason20242025!$E$3:$E$1315, $A63)</f>
        <v>8</v>
      </c>
      <c r="DM63">
        <f>SUMIFS(DataRegularSeason20242025!$AA$3:$AA$1315,DataRegularSeason20242025!$B$3:$B$1315, "&lt;=" &amp; DM$1, DataRegularSeason20242025!$D$3:$D$1315, $A63)+SUMIFS(DataRegularSeason20242025!$AB$3:$AB$1315,DataRegularSeason20242025!$B$3:$B$1315, "&lt;=" &amp; DM$1, DataRegularSeason20242025!$E$3:$E$1315, $A63)</f>
        <v>8</v>
      </c>
      <c r="DN63">
        <f>SUMIFS(DataRegularSeason20242025!$AA$3:$AA$1315,DataRegularSeason20242025!$B$3:$B$1315, "&lt;=" &amp; DN$1, DataRegularSeason20242025!$D$3:$D$1315, $A63)+SUMIFS(DataRegularSeason20242025!$AB$3:$AB$1315,DataRegularSeason20242025!$B$3:$B$1315, "&lt;=" &amp; DN$1, DataRegularSeason20242025!$E$3:$E$1315, $A63)</f>
        <v>8</v>
      </c>
      <c r="DO63">
        <f>SUMIFS(DataRegularSeason20242025!$AA$3:$AA$1315,DataRegularSeason20242025!$B$3:$B$1315, "&lt;=" &amp; DO$1, DataRegularSeason20242025!$D$3:$D$1315, $A63)+SUMIFS(DataRegularSeason20242025!$AB$3:$AB$1315,DataRegularSeason20242025!$B$3:$B$1315, "&lt;=" &amp; DO$1, DataRegularSeason20242025!$E$3:$E$1315, $A63)</f>
        <v>8</v>
      </c>
      <c r="DP63">
        <f>SUMIFS(DataRegularSeason20242025!$AA$3:$AA$1315,DataRegularSeason20242025!$B$3:$B$1315, "&lt;=" &amp; DP$1, DataRegularSeason20242025!$D$3:$D$1315, $A63)+SUMIFS(DataRegularSeason20242025!$AB$3:$AB$1315,DataRegularSeason20242025!$B$3:$B$1315, "&lt;=" &amp; DP$1, DataRegularSeason20242025!$E$3:$E$1315, $A63)</f>
        <v>8</v>
      </c>
      <c r="DQ63">
        <f>SUMIFS(DataRegularSeason20242025!$AA$3:$AA$1315,DataRegularSeason20242025!$B$3:$B$1315, "&lt;=" &amp; DQ$1, DataRegularSeason20242025!$D$3:$D$1315, $A63)+SUMIFS(DataRegularSeason20242025!$AB$3:$AB$1315,DataRegularSeason20242025!$B$3:$B$1315, "&lt;=" &amp; DQ$1, DataRegularSeason20242025!$E$3:$E$1315, $A63)</f>
        <v>8</v>
      </c>
      <c r="DR63">
        <f>SUMIFS(DataRegularSeason20242025!$AA$3:$AA$1315,DataRegularSeason20242025!$B$3:$B$1315, "&lt;=" &amp; DR$1, DataRegularSeason20242025!$D$3:$D$1315, $A63)+SUMIFS(DataRegularSeason20242025!$AB$3:$AB$1315,DataRegularSeason20242025!$B$3:$B$1315, "&lt;=" &amp; DR$1, DataRegularSeason20242025!$E$3:$E$1315, $A63)</f>
        <v>8</v>
      </c>
      <c r="DS63">
        <f>SUMIFS(DataRegularSeason20242025!$AA$3:$AA$1315,DataRegularSeason20242025!$B$3:$B$1315, "&lt;=" &amp; DS$1, DataRegularSeason20242025!$D$3:$D$1315, $A63)+SUMIFS(DataRegularSeason20242025!$AB$3:$AB$1315,DataRegularSeason20242025!$B$3:$B$1315, "&lt;=" &amp; DS$1, DataRegularSeason20242025!$E$3:$E$1315, $A63)</f>
        <v>8</v>
      </c>
      <c r="DT63">
        <f>SUMIFS(DataRegularSeason20242025!$AA$3:$AA$1315,DataRegularSeason20242025!$B$3:$B$1315, "&lt;=" &amp; DT$1, DataRegularSeason20242025!$D$3:$D$1315, $A63)+SUMIFS(DataRegularSeason20242025!$AB$3:$AB$1315,DataRegularSeason20242025!$B$3:$B$1315, "&lt;=" &amp; DT$1, DataRegularSeason20242025!$E$3:$E$1315, $A63)</f>
        <v>8</v>
      </c>
      <c r="DU63">
        <f>SUMIFS(DataRegularSeason20242025!$AA$3:$AA$1315,DataRegularSeason20242025!$B$3:$B$1315, "&lt;=" &amp; DU$1, DataRegularSeason20242025!$D$3:$D$1315, $A63)+SUMIFS(DataRegularSeason20242025!$AB$3:$AB$1315,DataRegularSeason20242025!$B$3:$B$1315, "&lt;=" &amp; DU$1, DataRegularSeason20242025!$E$3:$E$1315, $A63)</f>
        <v>8</v>
      </c>
      <c r="DV63">
        <f>SUMIFS(DataRegularSeason20242025!$AA$3:$AA$1315,DataRegularSeason20242025!$B$3:$B$1315, "&lt;=" &amp; DV$1, DataRegularSeason20242025!$D$3:$D$1315, $A63)+SUMIFS(DataRegularSeason20242025!$AB$3:$AB$1315,DataRegularSeason20242025!$B$3:$B$1315, "&lt;=" &amp; DV$1, DataRegularSeason20242025!$E$3:$E$1315, $A63)</f>
        <v>8</v>
      </c>
      <c r="DW63">
        <f>SUMIFS(DataRegularSeason20242025!$AA$3:$AA$1315,DataRegularSeason20242025!$B$3:$B$1315, "&lt;=" &amp; DW$1, DataRegularSeason20242025!$D$3:$D$1315, $A63)+SUMIFS(DataRegularSeason20242025!$AB$3:$AB$1315,DataRegularSeason20242025!$B$3:$B$1315, "&lt;=" &amp; DW$1, DataRegularSeason20242025!$E$3:$E$1315, $A63)</f>
        <v>8</v>
      </c>
      <c r="DX63">
        <f>SUMIFS(DataRegularSeason20242025!$AA$3:$AA$1315,DataRegularSeason20242025!$B$3:$B$1315, "&lt;=" &amp; DX$1, DataRegularSeason20242025!$D$3:$D$1315, $A63)+SUMIFS(DataRegularSeason20242025!$AB$3:$AB$1315,DataRegularSeason20242025!$B$3:$B$1315, "&lt;=" &amp; DX$1, DataRegularSeason20242025!$E$3:$E$1315, $A63)</f>
        <v>8</v>
      </c>
      <c r="DY63">
        <f>SUMIFS(DataRegularSeason20242025!$AA$3:$AA$1315,DataRegularSeason20242025!$B$3:$B$1315, "&lt;=" &amp; DY$1, DataRegularSeason20242025!$D$3:$D$1315, $A63)+SUMIFS(DataRegularSeason20242025!$AB$3:$AB$1315,DataRegularSeason20242025!$B$3:$B$1315, "&lt;=" &amp; DY$1, DataRegularSeason20242025!$E$3:$E$1315, $A63)</f>
        <v>8</v>
      </c>
      <c r="DZ63">
        <f>SUMIFS(DataRegularSeason20242025!$AA$3:$AA$1315,DataRegularSeason20242025!$B$3:$B$1315, "&lt;=" &amp; DZ$1, DataRegularSeason20242025!$D$3:$D$1315, $A63)+SUMIFS(DataRegularSeason20242025!$AB$3:$AB$1315,DataRegularSeason20242025!$B$3:$B$1315, "&lt;=" &amp; DZ$1, DataRegularSeason20242025!$E$3:$E$1315, $A63)</f>
        <v>8</v>
      </c>
      <c r="EA63">
        <f>SUMIFS(DataRegularSeason20242025!$AA$3:$AA$1315,DataRegularSeason20242025!$B$3:$B$1315, "&lt;=" &amp; EA$1, DataRegularSeason20242025!$D$3:$D$1315, $A63)+SUMIFS(DataRegularSeason20242025!$AB$3:$AB$1315,DataRegularSeason20242025!$B$3:$B$1315, "&lt;=" &amp; EA$1, DataRegularSeason20242025!$E$3:$E$1315, $A63)</f>
        <v>8</v>
      </c>
      <c r="EB63">
        <f>SUMIFS(DataRegularSeason20242025!$AA$3:$AA$1315,DataRegularSeason20242025!$B$3:$B$1315, "&lt;=" &amp; EB$1, DataRegularSeason20242025!$D$3:$D$1315, $A63)+SUMIFS(DataRegularSeason20242025!$AB$3:$AB$1315,DataRegularSeason20242025!$B$3:$B$1315, "&lt;=" &amp; EB$1, DataRegularSeason20242025!$E$3:$E$1315, $A63)</f>
        <v>8</v>
      </c>
      <c r="EC63">
        <f>SUMIFS(DataRegularSeason20242025!$AA$3:$AA$1315,DataRegularSeason20242025!$B$3:$B$1315, "&lt;=" &amp; EC$1, DataRegularSeason20242025!$D$3:$D$1315, $A63)+SUMIFS(DataRegularSeason20242025!$AB$3:$AB$1315,DataRegularSeason20242025!$B$3:$B$1315, "&lt;=" &amp; EC$1, DataRegularSeason20242025!$E$3:$E$1315, $A63)</f>
        <v>8</v>
      </c>
      <c r="ED63">
        <f>SUMIFS(DataRegularSeason20242025!$AA$3:$AA$1315,DataRegularSeason20242025!$B$3:$B$1315, "&lt;=" &amp; ED$1, DataRegularSeason20242025!$D$3:$D$1315, $A63)+SUMIFS(DataRegularSeason20242025!$AB$3:$AB$1315,DataRegularSeason20242025!$B$3:$B$1315, "&lt;=" &amp; ED$1, DataRegularSeason20242025!$E$3:$E$1315, $A63)</f>
        <v>8</v>
      </c>
      <c r="EE63">
        <f>SUMIFS(DataRegularSeason20242025!$AA$3:$AA$1315,DataRegularSeason20242025!$B$3:$B$1315, "&lt;=" &amp; EE$1, DataRegularSeason20242025!$D$3:$D$1315, $A63)+SUMIFS(DataRegularSeason20242025!$AB$3:$AB$1315,DataRegularSeason20242025!$B$3:$B$1315, "&lt;=" &amp; EE$1, DataRegularSeason20242025!$E$3:$E$1315, $A63)</f>
        <v>8</v>
      </c>
      <c r="EF63">
        <f>SUMIFS(DataRegularSeason20242025!$AA$3:$AA$1315,DataRegularSeason20242025!$B$3:$B$1315, "&lt;=" &amp; EF$1, DataRegularSeason20242025!$D$3:$D$1315, $A63)+SUMIFS(DataRegularSeason20242025!$AB$3:$AB$1315,DataRegularSeason20242025!$B$3:$B$1315, "&lt;=" &amp; EF$1, DataRegularSeason20242025!$E$3:$E$1315, $A63)</f>
        <v>8</v>
      </c>
      <c r="EG63">
        <f>SUMIFS(DataRegularSeason20242025!$AA$3:$AA$1315,DataRegularSeason20242025!$B$3:$B$1315, "&lt;=" &amp; EG$1, DataRegularSeason20242025!$D$3:$D$1315, $A63)+SUMIFS(DataRegularSeason20242025!$AB$3:$AB$1315,DataRegularSeason20242025!$B$3:$B$1315, "&lt;=" &amp; EG$1, DataRegularSeason20242025!$E$3:$E$1315, $A63)</f>
        <v>8</v>
      </c>
      <c r="EH63">
        <f>SUMIFS(DataRegularSeason20242025!$AA$3:$AA$1315,DataRegularSeason20242025!$B$3:$B$1315, "&lt;=" &amp; EH$1, DataRegularSeason20242025!$D$3:$D$1315, $A63)+SUMIFS(DataRegularSeason20242025!$AB$3:$AB$1315,DataRegularSeason20242025!$B$3:$B$1315, "&lt;=" &amp; EH$1, DataRegularSeason20242025!$E$3:$E$1315, $A63)</f>
        <v>8</v>
      </c>
      <c r="EI63">
        <f>SUMIFS(DataRegularSeason20242025!$AA$3:$AA$1315,DataRegularSeason20242025!$B$3:$B$1315, "&lt;=" &amp; EI$1, DataRegularSeason20242025!$D$3:$D$1315, $A63)+SUMIFS(DataRegularSeason20242025!$AB$3:$AB$1315,DataRegularSeason20242025!$B$3:$B$1315, "&lt;=" &amp; EI$1, DataRegularSeason20242025!$E$3:$E$1315, $A63)</f>
        <v>8</v>
      </c>
      <c r="EJ63">
        <f>SUMIFS(DataRegularSeason20242025!$AA$3:$AA$1315,DataRegularSeason20242025!$B$3:$B$1315, "&lt;=" &amp; EJ$1, DataRegularSeason20242025!$D$3:$D$1315, $A63)+SUMIFS(DataRegularSeason20242025!$AB$3:$AB$1315,DataRegularSeason20242025!$B$3:$B$1315, "&lt;=" &amp; EJ$1, DataRegularSeason20242025!$E$3:$E$1315, $A63)</f>
        <v>8</v>
      </c>
      <c r="EK63">
        <f>SUMIFS(DataRegularSeason20242025!$AA$3:$AA$1315,DataRegularSeason20242025!$B$3:$B$1315, "&lt;=" &amp; EK$1, DataRegularSeason20242025!$D$3:$D$1315, $A63)+SUMIFS(DataRegularSeason20242025!$AB$3:$AB$1315,DataRegularSeason20242025!$B$3:$B$1315, "&lt;=" &amp; EK$1, DataRegularSeason20242025!$E$3:$E$1315, $A63)</f>
        <v>8</v>
      </c>
      <c r="EL63">
        <f>SUMIFS(DataRegularSeason20242025!$AA$3:$AA$1315,DataRegularSeason20242025!$B$3:$B$1315, "&lt;=" &amp; EL$1, DataRegularSeason20242025!$D$3:$D$1315, $A63)+SUMIFS(DataRegularSeason20242025!$AB$3:$AB$1315,DataRegularSeason20242025!$B$3:$B$1315, "&lt;=" &amp; EL$1, DataRegularSeason20242025!$E$3:$E$1315, $A63)</f>
        <v>8</v>
      </c>
      <c r="EM63">
        <f>SUMIFS(DataRegularSeason20242025!$AA$3:$AA$1315,DataRegularSeason20242025!$B$3:$B$1315, "&lt;=" &amp; EM$1, DataRegularSeason20242025!$D$3:$D$1315, $A63)+SUMIFS(DataRegularSeason20242025!$AB$3:$AB$1315,DataRegularSeason20242025!$B$3:$B$1315, "&lt;=" &amp; EM$1, DataRegularSeason20242025!$E$3:$E$1315, $A63)</f>
        <v>8</v>
      </c>
      <c r="EN63">
        <f>SUMIFS(DataRegularSeason20242025!$AA$3:$AA$1315,DataRegularSeason20242025!$B$3:$B$1315, "&lt;=" &amp; EN$1, DataRegularSeason20242025!$D$3:$D$1315, $A63)+SUMIFS(DataRegularSeason20242025!$AB$3:$AB$1315,DataRegularSeason20242025!$B$3:$B$1315, "&lt;=" &amp; EN$1, DataRegularSeason20242025!$E$3:$E$1315, $A63)</f>
        <v>8</v>
      </c>
      <c r="EO63">
        <f>SUMIFS(DataRegularSeason20242025!$AA$3:$AA$1315,DataRegularSeason20242025!$B$3:$B$1315, "&lt;=" &amp; EO$1, DataRegularSeason20242025!$D$3:$D$1315, $A63)+SUMIFS(DataRegularSeason20242025!$AB$3:$AB$1315,DataRegularSeason20242025!$B$3:$B$1315, "&lt;=" &amp; EO$1, DataRegularSeason20242025!$E$3:$E$1315, $A63)</f>
        <v>8</v>
      </c>
      <c r="EP63">
        <f>SUMIFS(DataRegularSeason20242025!$AA$3:$AA$1315,DataRegularSeason20242025!$B$3:$B$1315, "&lt;=" &amp; EP$1, DataRegularSeason20242025!$D$3:$D$1315, $A63)+SUMIFS(DataRegularSeason20242025!$AB$3:$AB$1315,DataRegularSeason20242025!$B$3:$B$1315, "&lt;=" &amp; EP$1, DataRegularSeason20242025!$E$3:$E$1315, $A63)</f>
        <v>8</v>
      </c>
      <c r="EQ63">
        <f>SUMIFS(DataRegularSeason20242025!$AA$3:$AA$1315,DataRegularSeason20242025!$B$3:$B$1315, "&lt;=" &amp; EQ$1, DataRegularSeason20242025!$D$3:$D$1315, $A63)+SUMIFS(DataRegularSeason20242025!$AB$3:$AB$1315,DataRegularSeason20242025!$B$3:$B$1315, "&lt;=" &amp; EQ$1, DataRegularSeason20242025!$E$3:$E$1315, $A63)</f>
        <v>8</v>
      </c>
      <c r="ER63">
        <f>SUMIFS(DataRegularSeason20242025!$AA$3:$AA$1315,DataRegularSeason20242025!$B$3:$B$1315, "&lt;=" &amp; ER$1, DataRegularSeason20242025!$D$3:$D$1315, $A63)+SUMIFS(DataRegularSeason20242025!$AB$3:$AB$1315,DataRegularSeason20242025!$B$3:$B$1315, "&lt;=" &amp; ER$1, DataRegularSeason20242025!$E$3:$E$1315, $A63)</f>
        <v>8</v>
      </c>
      <c r="ES63">
        <f>SUMIFS(DataRegularSeason20242025!$AA$3:$AA$1315,DataRegularSeason20242025!$B$3:$B$1315, "&lt;=" &amp; ES$1, DataRegularSeason20242025!$D$3:$D$1315, $A63)+SUMIFS(DataRegularSeason20242025!$AB$3:$AB$1315,DataRegularSeason20242025!$B$3:$B$1315, "&lt;=" &amp; ES$1, DataRegularSeason20242025!$E$3:$E$1315, $A63)</f>
        <v>8</v>
      </c>
      <c r="ET63">
        <f>SUMIFS(DataRegularSeason20242025!$AA$3:$AA$1315,DataRegularSeason20242025!$B$3:$B$1315, "&lt;=" &amp; ET$1, DataRegularSeason20242025!$D$3:$D$1315, $A63)+SUMIFS(DataRegularSeason20242025!$AB$3:$AB$1315,DataRegularSeason20242025!$B$3:$B$1315, "&lt;=" &amp; ET$1, DataRegularSeason20242025!$E$3:$E$1315, $A63)</f>
        <v>8</v>
      </c>
      <c r="EU63">
        <f>SUMIFS(DataRegularSeason20242025!$AA$3:$AA$1315,DataRegularSeason20242025!$B$3:$B$1315, "&lt;=" &amp; EU$1, DataRegularSeason20242025!$D$3:$D$1315, $A63)+SUMIFS(DataRegularSeason20242025!$AB$3:$AB$1315,DataRegularSeason20242025!$B$3:$B$1315, "&lt;=" &amp; EU$1, DataRegularSeason20242025!$E$3:$E$1315, $A63)</f>
        <v>8</v>
      </c>
      <c r="EV63">
        <f>SUMIFS(DataRegularSeason20242025!$AA$3:$AA$1315,DataRegularSeason20242025!$B$3:$B$1315, "&lt;=" &amp; EV$1, DataRegularSeason20242025!$D$3:$D$1315, $A63)+SUMIFS(DataRegularSeason20242025!$AB$3:$AB$1315,DataRegularSeason20242025!$B$3:$B$1315, "&lt;=" &amp; EV$1, DataRegularSeason20242025!$E$3:$E$1315, $A63)</f>
        <v>8</v>
      </c>
      <c r="EW63">
        <f>SUMIFS(DataRegularSeason20242025!$AA$3:$AA$1315,DataRegularSeason20242025!$B$3:$B$1315, "&lt;=" &amp; EW$1, DataRegularSeason20242025!$D$3:$D$1315, $A63)+SUMIFS(DataRegularSeason20242025!$AB$3:$AB$1315,DataRegularSeason20242025!$B$3:$B$1315, "&lt;=" &amp; EW$1, DataRegularSeason20242025!$E$3:$E$1315, $A63)</f>
        <v>8</v>
      </c>
      <c r="EX63">
        <f>SUMIFS(DataRegularSeason20242025!$AA$3:$AA$1315,DataRegularSeason20242025!$B$3:$B$1315, "&lt;=" &amp; EX$1, DataRegularSeason20242025!$D$3:$D$1315, $A63)+SUMIFS(DataRegularSeason20242025!$AB$3:$AB$1315,DataRegularSeason20242025!$B$3:$B$1315, "&lt;=" &amp; EX$1, DataRegularSeason20242025!$E$3:$E$1315, $A63)</f>
        <v>8</v>
      </c>
      <c r="EY63">
        <f>SUMIFS(DataRegularSeason20242025!$AA$3:$AA$1315,DataRegularSeason20242025!$B$3:$B$1315, "&lt;=" &amp; EY$1, DataRegularSeason20242025!$D$3:$D$1315, $A63)+SUMIFS(DataRegularSeason20242025!$AB$3:$AB$1315,DataRegularSeason20242025!$B$3:$B$1315, "&lt;=" &amp; EY$1, DataRegularSeason20242025!$E$3:$E$1315, $A63)</f>
        <v>8</v>
      </c>
      <c r="EZ63">
        <f>SUMIFS(DataRegularSeason20242025!$AA$3:$AA$1315,DataRegularSeason20242025!$B$3:$B$1315, "&lt;=" &amp; EZ$1, DataRegularSeason20242025!$D$3:$D$1315, $A63)+SUMIFS(DataRegularSeason20242025!$AB$3:$AB$1315,DataRegularSeason20242025!$B$3:$B$1315, "&lt;=" &amp; EZ$1, DataRegularSeason20242025!$E$3:$E$1315, $A63)</f>
        <v>8</v>
      </c>
      <c r="FA63">
        <f>SUMIFS(DataRegularSeason20242025!$AA$3:$AA$1315,DataRegularSeason20242025!$B$3:$B$1315, "&lt;=" &amp; FA$1, DataRegularSeason20242025!$D$3:$D$1315, $A63)+SUMIFS(DataRegularSeason20242025!$AB$3:$AB$1315,DataRegularSeason20242025!$B$3:$B$1315, "&lt;=" &amp; FA$1, DataRegularSeason20242025!$E$3:$E$1315, $A63)</f>
        <v>8</v>
      </c>
      <c r="FB63">
        <f>SUMIFS(DataRegularSeason20242025!$AA$3:$AA$1315,DataRegularSeason20242025!$B$3:$B$1315, "&lt;=" &amp; FB$1, DataRegularSeason20242025!$D$3:$D$1315, $A63)+SUMIFS(DataRegularSeason20242025!$AB$3:$AB$1315,DataRegularSeason20242025!$B$3:$B$1315, "&lt;=" &amp; FB$1, DataRegularSeason20242025!$E$3:$E$1315, $A63)</f>
        <v>8</v>
      </c>
      <c r="FC63">
        <f>SUMIFS(DataRegularSeason20242025!$AA$3:$AA$1315,DataRegularSeason20242025!$B$3:$B$1315, "&lt;=" &amp; FC$1, DataRegularSeason20242025!$D$3:$D$1315, $A63)+SUMIFS(DataRegularSeason20242025!$AB$3:$AB$1315,DataRegularSeason20242025!$B$3:$B$1315, "&lt;=" &amp; FC$1, DataRegularSeason20242025!$E$3:$E$1315, $A63)</f>
        <v>8</v>
      </c>
      <c r="FD63">
        <f>SUMIFS(DataRegularSeason20242025!$AA$3:$AA$1315,DataRegularSeason20242025!$B$3:$B$1315, "&lt;=" &amp; FD$1, DataRegularSeason20242025!$D$3:$D$1315, $A63)+SUMIFS(DataRegularSeason20242025!$AB$3:$AB$1315,DataRegularSeason20242025!$B$3:$B$1315, "&lt;=" &amp; FD$1, DataRegularSeason20242025!$E$3:$E$1315, $A63)</f>
        <v>8</v>
      </c>
      <c r="FE63">
        <f>SUMIFS(DataRegularSeason20242025!$AA$3:$AA$1315,DataRegularSeason20242025!$B$3:$B$1315, "&lt;=" &amp; FE$1, DataRegularSeason20242025!$D$3:$D$1315, $A63)+SUMIFS(DataRegularSeason20242025!$AB$3:$AB$1315,DataRegularSeason20242025!$B$3:$B$1315, "&lt;=" &amp; FE$1, DataRegularSeason20242025!$E$3:$E$1315, $A63)</f>
        <v>8</v>
      </c>
      <c r="FF63">
        <f>SUMIFS(DataRegularSeason20242025!$AA$3:$AA$1315,DataRegularSeason20242025!$B$3:$B$1315, "&lt;=" &amp; FF$1, DataRegularSeason20242025!$D$3:$D$1315, $A63)+SUMIFS(DataRegularSeason20242025!$AB$3:$AB$1315,DataRegularSeason20242025!$B$3:$B$1315, "&lt;=" &amp; FF$1, DataRegularSeason20242025!$E$3:$E$1315, $A63)</f>
        <v>8</v>
      </c>
      <c r="FG63">
        <f>SUMIFS(DataRegularSeason20242025!$AA$3:$AA$1315,DataRegularSeason20242025!$B$3:$B$1315, "&lt;=" &amp; FG$1, DataRegularSeason20242025!$D$3:$D$1315, $A63)+SUMIFS(DataRegularSeason20242025!$AB$3:$AB$1315,DataRegularSeason20242025!$B$3:$B$1315, "&lt;=" &amp; FG$1, DataRegularSeason20242025!$E$3:$E$1315, $A63)</f>
        <v>8</v>
      </c>
      <c r="FH63">
        <f>SUMIFS(DataRegularSeason20242025!$AA$3:$AA$1315,DataRegularSeason20242025!$B$3:$B$1315, "&lt;=" &amp; FH$1, DataRegularSeason20242025!$D$3:$D$1315, $A63)+SUMIFS(DataRegularSeason20242025!$AB$3:$AB$1315,DataRegularSeason20242025!$B$3:$B$1315, "&lt;=" &amp; FH$1, DataRegularSeason20242025!$E$3:$E$1315, $A63)</f>
        <v>8</v>
      </c>
      <c r="FI63">
        <f>SUMIFS(DataRegularSeason20242025!$AA$3:$AA$1315,DataRegularSeason20242025!$B$3:$B$1315, "&lt;=" &amp; FI$1, DataRegularSeason20242025!$D$3:$D$1315, $A63)+SUMIFS(DataRegularSeason20242025!$AB$3:$AB$1315,DataRegularSeason20242025!$B$3:$B$1315, "&lt;=" &amp; FI$1, DataRegularSeason20242025!$E$3:$E$1315, $A63)</f>
        <v>8</v>
      </c>
      <c r="FJ63">
        <f>SUMIFS(DataRegularSeason20242025!$AA$3:$AA$1315,DataRegularSeason20242025!$B$3:$B$1315, "&lt;=" &amp; FJ$1, DataRegularSeason20242025!$D$3:$D$1315, $A63)+SUMIFS(DataRegularSeason20242025!$AB$3:$AB$1315,DataRegularSeason20242025!$B$3:$B$1315, "&lt;=" &amp; FJ$1, DataRegularSeason20242025!$E$3:$E$1315, $A63)</f>
        <v>8</v>
      </c>
      <c r="FK63">
        <f>SUMIFS(DataRegularSeason20242025!$AA$3:$AA$1315,DataRegularSeason20242025!$B$3:$B$1315, "&lt;=" &amp; FK$1, DataRegularSeason20242025!$D$3:$D$1315, $A63)+SUMIFS(DataRegularSeason20242025!$AB$3:$AB$1315,DataRegularSeason20242025!$B$3:$B$1315, "&lt;=" &amp; FK$1, DataRegularSeason20242025!$E$3:$E$1315, $A63)</f>
        <v>8</v>
      </c>
      <c r="FL63">
        <f>SUMIFS(DataRegularSeason20242025!$AA$3:$AA$1315,DataRegularSeason20242025!$B$3:$B$1315, "&lt;=" &amp; FL$1, DataRegularSeason20242025!$D$3:$D$1315, $A63)+SUMIFS(DataRegularSeason20242025!$AB$3:$AB$1315,DataRegularSeason20242025!$B$3:$B$1315, "&lt;=" &amp; FL$1, DataRegularSeason20242025!$E$3:$E$1315, $A63)</f>
        <v>8</v>
      </c>
      <c r="FM63">
        <f>SUMIFS(DataRegularSeason20242025!$AA$3:$AA$1315,DataRegularSeason20242025!$B$3:$B$1315, "&lt;=" &amp; FM$1, DataRegularSeason20242025!$D$3:$D$1315, $A63)+SUMIFS(DataRegularSeason20242025!$AB$3:$AB$1315,DataRegularSeason20242025!$B$3:$B$1315, "&lt;=" &amp; FM$1, DataRegularSeason20242025!$E$3:$E$1315, $A63)</f>
        <v>8</v>
      </c>
      <c r="FN63">
        <f>SUMIFS(DataRegularSeason20242025!$AA$3:$AA$1315,DataRegularSeason20242025!$B$3:$B$1315, "&lt;=" &amp; FN$1, DataRegularSeason20242025!$D$3:$D$1315, $A63)+SUMIFS(DataRegularSeason20242025!$AB$3:$AB$1315,DataRegularSeason20242025!$B$3:$B$1315, "&lt;=" &amp; FN$1, DataRegularSeason20242025!$E$3:$E$1315, $A63)</f>
        <v>8</v>
      </c>
      <c r="FO63">
        <f>SUMIFS(DataRegularSeason20242025!$AA$3:$AA$1315,DataRegularSeason20242025!$B$3:$B$1315, "&lt;=" &amp; FO$1, DataRegularSeason20242025!$D$3:$D$1315, $A63)+SUMIFS(DataRegularSeason20242025!$AB$3:$AB$1315,DataRegularSeason20242025!$B$3:$B$1315, "&lt;=" &amp; FO$1, DataRegularSeason20242025!$E$3:$E$1315, $A63)</f>
        <v>8</v>
      </c>
      <c r="FP63">
        <f>SUMIFS(DataRegularSeason20242025!$AA$3:$AA$1315,DataRegularSeason20242025!$B$3:$B$1315, "&lt;=" &amp; FP$1, DataRegularSeason20242025!$D$3:$D$1315, $A63)+SUMIFS(DataRegularSeason20242025!$AB$3:$AB$1315,DataRegularSeason20242025!$B$3:$B$1315, "&lt;=" &amp; FP$1, DataRegularSeason20242025!$E$3:$E$1315, $A63)</f>
        <v>8</v>
      </c>
      <c r="FQ63">
        <f>SUMIFS(DataRegularSeason20242025!$AA$3:$AA$1315,DataRegularSeason20242025!$B$3:$B$1315, "&lt;=" &amp; FQ$1, DataRegularSeason20242025!$D$3:$D$1315, $A63)+SUMIFS(DataRegularSeason20242025!$AB$3:$AB$1315,DataRegularSeason20242025!$B$3:$B$1315, "&lt;=" &amp; FQ$1, DataRegularSeason20242025!$E$3:$E$1315, $A63)</f>
        <v>8</v>
      </c>
      <c r="FR63">
        <f>SUMIFS(DataRegularSeason20242025!$AA$3:$AA$1315,DataRegularSeason20242025!$B$3:$B$1315, "&lt;=" &amp; FR$1, DataRegularSeason20242025!$D$3:$D$1315, $A63)+SUMIFS(DataRegularSeason20242025!$AB$3:$AB$1315,DataRegularSeason20242025!$B$3:$B$1315, "&lt;=" &amp; FR$1, DataRegularSeason20242025!$E$3:$E$1315, $A63)</f>
        <v>8</v>
      </c>
      <c r="FS63">
        <f>SUMIFS(DataRegularSeason20242025!$AA$3:$AA$1315,DataRegularSeason20242025!$B$3:$B$1315, "&lt;=" &amp; FS$1, DataRegularSeason20242025!$D$3:$D$1315, $A63)+SUMIFS(DataRegularSeason20242025!$AB$3:$AB$1315,DataRegularSeason20242025!$B$3:$B$1315, "&lt;=" &amp; FS$1, DataRegularSeason20242025!$E$3:$E$1315, $A63)</f>
        <v>8</v>
      </c>
      <c r="FT63">
        <f>SUMIFS(DataRegularSeason20242025!$AA$3:$AA$1315,DataRegularSeason20242025!$B$3:$B$1315, "&lt;=" &amp; FT$1, DataRegularSeason20242025!$D$3:$D$1315, $A63)+SUMIFS(DataRegularSeason20242025!$AB$3:$AB$1315,DataRegularSeason20242025!$B$3:$B$1315, "&lt;=" &amp; FT$1, DataRegularSeason20242025!$E$3:$E$1315, $A63)</f>
        <v>8</v>
      </c>
      <c r="FU63">
        <f>SUMIFS(DataRegularSeason20242025!$AA$3:$AA$1315,DataRegularSeason20242025!$B$3:$B$1315, "&lt;=" &amp; FU$1, DataRegularSeason20242025!$D$3:$D$1315, $A63)+SUMIFS(DataRegularSeason20242025!$AB$3:$AB$1315,DataRegularSeason20242025!$B$3:$B$1315, "&lt;=" &amp; FU$1, DataRegularSeason20242025!$E$3:$E$1315, $A63)</f>
        <v>8</v>
      </c>
      <c r="FV63">
        <f>SUMIFS(DataRegularSeason20242025!$AA$3:$AA$1315,DataRegularSeason20242025!$B$3:$B$1315, "&lt;=" &amp; FV$1, DataRegularSeason20242025!$D$3:$D$1315, $A63)+SUMIFS(DataRegularSeason20242025!$AB$3:$AB$1315,DataRegularSeason20242025!$B$3:$B$1315, "&lt;=" &amp; FV$1, DataRegularSeason20242025!$E$3:$E$1315, $A63)</f>
        <v>8</v>
      </c>
      <c r="FW63">
        <f>SUMIFS(DataRegularSeason20242025!$AA$3:$AA$1315,DataRegularSeason20242025!$B$3:$B$1315, "&lt;=" &amp; FW$1, DataRegularSeason20242025!$D$3:$D$1315, $A63)+SUMIFS(DataRegularSeason20242025!$AB$3:$AB$1315,DataRegularSeason20242025!$B$3:$B$1315, "&lt;=" &amp; FW$1, DataRegularSeason20242025!$E$3:$E$1315, $A63)</f>
        <v>8</v>
      </c>
      <c r="FX63">
        <f>SUMIFS(DataRegularSeason20242025!$AA$3:$AA$1315,DataRegularSeason20242025!$B$3:$B$1315, "&lt;=" &amp; FX$1, DataRegularSeason20242025!$D$3:$D$1315, $A63)+SUMIFS(DataRegularSeason20242025!$AB$3:$AB$1315,DataRegularSeason20242025!$B$3:$B$1315, "&lt;=" &amp; FX$1, DataRegularSeason20242025!$E$3:$E$1315, $A63)</f>
        <v>8</v>
      </c>
      <c r="FY63">
        <f>SUMIFS(DataRegularSeason20242025!$AA$3:$AA$1315,DataRegularSeason20242025!$B$3:$B$1315, "&lt;=" &amp; FY$1, DataRegularSeason20242025!$D$3:$D$1315, $A63)+SUMIFS(DataRegularSeason20242025!$AB$3:$AB$1315,DataRegularSeason20242025!$B$3:$B$1315, "&lt;=" &amp; FY$1, DataRegularSeason20242025!$E$3:$E$1315, $A63)</f>
        <v>8</v>
      </c>
      <c r="FZ63">
        <f>SUMIFS(DataRegularSeason20242025!$AA$3:$AA$1315,DataRegularSeason20242025!$B$3:$B$1315, "&lt;=" &amp; FZ$1, DataRegularSeason20242025!$D$3:$D$1315, $A63)+SUMIFS(DataRegularSeason20242025!$AB$3:$AB$1315,DataRegularSeason20242025!$B$3:$B$1315, "&lt;=" &amp; FZ$1, DataRegularSeason20242025!$E$3:$E$1315, $A63)</f>
        <v>8</v>
      </c>
      <c r="GA63">
        <f>SUMIFS(DataRegularSeason20242025!$AA$3:$AA$1315,DataRegularSeason20242025!$B$3:$B$1315, "&lt;=" &amp; GA$1, DataRegularSeason20242025!$D$3:$D$1315, $A63)+SUMIFS(DataRegularSeason20242025!$AB$3:$AB$1315,DataRegularSeason20242025!$B$3:$B$1315, "&lt;=" &amp; GA$1, DataRegularSeason20242025!$E$3:$E$1315, $A63)</f>
        <v>8</v>
      </c>
      <c r="GB63">
        <f>SUMIFS(DataRegularSeason20242025!$AA$3:$AA$1315,DataRegularSeason20242025!$B$3:$B$1315, "&lt;=" &amp; GB$1, DataRegularSeason20242025!$D$3:$D$1315, $A63)+SUMIFS(DataRegularSeason20242025!$AB$3:$AB$1315,DataRegularSeason20242025!$B$3:$B$1315, "&lt;=" &amp; GB$1, DataRegularSeason20242025!$E$3:$E$1315, $A63)</f>
        <v>8</v>
      </c>
      <c r="GC63">
        <f>SUMIFS(DataRegularSeason20242025!$AA$3:$AA$1315,DataRegularSeason20242025!$B$3:$B$1315, "&lt;=" &amp; GC$1, DataRegularSeason20242025!$D$3:$D$1315, $A63)+SUMIFS(DataRegularSeason20242025!$AB$3:$AB$1315,DataRegularSeason20242025!$B$3:$B$1315, "&lt;=" &amp; GC$1, DataRegularSeason20242025!$E$3:$E$1315, $A63)</f>
        <v>8</v>
      </c>
      <c r="GD63">
        <f>SUMIFS(DataRegularSeason20242025!$AA$3:$AA$1315,DataRegularSeason20242025!$B$3:$B$1315, "&lt;=" &amp; GD$1, DataRegularSeason20242025!$D$3:$D$1315, $A63)+SUMIFS(DataRegularSeason20242025!$AB$3:$AB$1315,DataRegularSeason20242025!$B$3:$B$1315, "&lt;=" &amp; GD$1, DataRegularSeason20242025!$E$3:$E$1315, $A63)</f>
        <v>8</v>
      </c>
      <c r="GE63">
        <f>SUMIFS(DataRegularSeason20242025!$AA$3:$AA$1315,DataRegularSeason20242025!$B$3:$B$1315, "&lt;=" &amp; GE$1, DataRegularSeason20242025!$D$3:$D$1315, $A63)+SUMIFS(DataRegularSeason20242025!$AB$3:$AB$1315,DataRegularSeason20242025!$B$3:$B$1315, "&lt;=" &amp; GE$1, DataRegularSeason20242025!$E$3:$E$1315, $A63)</f>
        <v>8</v>
      </c>
      <c r="GF63">
        <f>SUMIFS(DataRegularSeason20242025!$AA$3:$AA$1315,DataRegularSeason20242025!$B$3:$B$1315, "&lt;=" &amp; GF$1, DataRegularSeason20242025!$D$3:$D$1315, $A63)+SUMIFS(DataRegularSeason20242025!$AB$3:$AB$1315,DataRegularSeason20242025!$B$3:$B$1315, "&lt;=" &amp; GF$1, DataRegularSeason20242025!$E$3:$E$1315, $A63)</f>
        <v>8</v>
      </c>
      <c r="GG63">
        <f>SUMIFS(DataRegularSeason20242025!$AA$3:$AA$1315,DataRegularSeason20242025!$B$3:$B$1315, "&lt;=" &amp; GG$1, DataRegularSeason20242025!$D$3:$D$1315, $A63)+SUMIFS(DataRegularSeason20242025!$AB$3:$AB$1315,DataRegularSeason20242025!$B$3:$B$1315, "&lt;=" &amp; GG$1, DataRegularSeason20242025!$E$3:$E$1315, $A63)</f>
        <v>8</v>
      </c>
      <c r="GH63">
        <f>SUMIFS(DataRegularSeason20242025!$AA$3:$AA$1315,DataRegularSeason20242025!$B$3:$B$1315, "&lt;=" &amp; GH$1, DataRegularSeason20242025!$D$3:$D$1315, $A63)+SUMIFS(DataRegularSeason20242025!$AB$3:$AB$1315,DataRegularSeason20242025!$B$3:$B$1315, "&lt;=" &amp; GH$1, DataRegularSeason20242025!$E$3:$E$1315, $A63)</f>
        <v>8</v>
      </c>
      <c r="GI63">
        <f>SUMIFS(DataRegularSeason20242025!$AA$3:$AA$1315,DataRegularSeason20242025!$B$3:$B$1315, "&lt;=" &amp; GI$1, DataRegularSeason20242025!$D$3:$D$1315, $A63)+SUMIFS(DataRegularSeason20242025!$AB$3:$AB$1315,DataRegularSeason20242025!$B$3:$B$1315, "&lt;=" &amp; GI$1, DataRegularSeason20242025!$E$3:$E$1315, $A63)</f>
        <v>8</v>
      </c>
      <c r="GJ63">
        <f>SUMIFS(DataRegularSeason20242025!$AA$3:$AA$1315,DataRegularSeason20242025!$B$3:$B$1315, "&lt;=" &amp; GJ$1, DataRegularSeason20242025!$D$3:$D$1315, $A63)+SUMIFS(DataRegularSeason20242025!$AB$3:$AB$1315,DataRegularSeason20242025!$B$3:$B$1315, "&lt;=" &amp; GJ$1, DataRegularSeason20242025!$E$3:$E$1315, $A63)</f>
        <v>8</v>
      </c>
      <c r="GK63">
        <f>SUMIFS(DataRegularSeason20242025!$AA$3:$AA$1315,DataRegularSeason20242025!$B$3:$B$1315, "&lt;=" &amp; GK$1, DataRegularSeason20242025!$D$3:$D$1315, $A63)+SUMIFS(DataRegularSeason20242025!$AB$3:$AB$1315,DataRegularSeason20242025!$B$3:$B$1315, "&lt;=" &amp; GK$1, DataRegularSeason20242025!$E$3:$E$1315, $A63)</f>
        <v>8</v>
      </c>
      <c r="GL63">
        <f>SUMIFS(DataRegularSeason20242025!$AA$3:$AA$1315,DataRegularSeason20242025!$B$3:$B$1315, "&lt;=" &amp; GL$1, DataRegularSeason20242025!$D$3:$D$1315, $A63)+SUMIFS(DataRegularSeason20242025!$AB$3:$AB$1315,DataRegularSeason20242025!$B$3:$B$1315, "&lt;=" &amp; GL$1, DataRegularSeason20242025!$E$3:$E$1315, $A63)</f>
        <v>8</v>
      </c>
      <c r="GM63">
        <f>SUMIFS(DataRegularSeason20242025!$AA$3:$AA$1315,DataRegularSeason20242025!$B$3:$B$1315, "&lt;=" &amp; GM$1, DataRegularSeason20242025!$D$3:$D$1315, $A63)+SUMIFS(DataRegularSeason20242025!$AB$3:$AB$1315,DataRegularSeason20242025!$B$3:$B$1315, "&lt;=" &amp; GM$1, DataRegularSeason20242025!$E$3:$E$1315, $A63)</f>
        <v>8</v>
      </c>
      <c r="GN63">
        <f>SUMIFS(DataRegularSeason20242025!$AA$3:$AA$1315,DataRegularSeason20242025!$B$3:$B$1315, "&lt;=" &amp; GN$1, DataRegularSeason20242025!$D$3:$D$1315, $A63)+SUMIFS(DataRegularSeason20242025!$AB$3:$AB$1315,DataRegularSeason20242025!$B$3:$B$1315, "&lt;=" &amp; GN$1, DataRegularSeason20242025!$E$3:$E$1315, $A63)</f>
        <v>8</v>
      </c>
      <c r="GO63">
        <f>SUMIFS(DataRegularSeason20242025!$AA$3:$AA$1315,DataRegularSeason20242025!$B$3:$B$1315, "&lt;=" &amp; GO$1, DataRegularSeason20242025!$D$3:$D$1315, $A63)+SUMIFS(DataRegularSeason20242025!$AB$3:$AB$1315,DataRegularSeason20242025!$B$3:$B$1315, "&lt;=" &amp; GO$1, DataRegularSeason20242025!$E$3:$E$1315, $A63)</f>
        <v>8</v>
      </c>
      <c r="GP63">
        <f>SUMIFS(DataRegularSeason20242025!$AA$3:$AA$1315,DataRegularSeason20242025!$B$3:$B$1315, "&lt;=" &amp; GP$1, DataRegularSeason20242025!$D$3:$D$1315, $A63)+SUMIFS(DataRegularSeason20242025!$AB$3:$AB$1315,DataRegularSeason20242025!$B$3:$B$1315, "&lt;=" &amp; GP$1, DataRegularSeason20242025!$E$3:$E$1315, $A63)</f>
        <v>8</v>
      </c>
      <c r="GQ63">
        <f>SUMIFS(DataRegularSeason20242025!$AA$3:$AA$1315,DataRegularSeason20242025!$B$3:$B$1315, "&lt;=" &amp; GQ$1, DataRegularSeason20242025!$D$3:$D$1315, $A63)+SUMIFS(DataRegularSeason20242025!$AB$3:$AB$1315,DataRegularSeason20242025!$B$3:$B$1315, "&lt;=" &amp; GQ$1, DataRegularSeason20242025!$E$3:$E$1315, $A63)</f>
        <v>8</v>
      </c>
      <c r="GR63">
        <f>SUMIFS(DataRegularSeason20242025!$AA$3:$AA$1315,DataRegularSeason20242025!$B$3:$B$1315, "&lt;=" &amp; GR$1, DataRegularSeason20242025!$D$3:$D$1315, $A63)+SUMIFS(DataRegularSeason20242025!$AB$3:$AB$1315,DataRegularSeason20242025!$B$3:$B$1315, "&lt;=" &amp; GR$1, DataRegularSeason20242025!$E$3:$E$1315, $A63)</f>
        <v>8</v>
      </c>
      <c r="GS63">
        <f>SUMIFS(DataRegularSeason20242025!$AA$3:$AA$1315,DataRegularSeason20242025!$B$3:$B$1315, "&lt;=" &amp; GS$1, DataRegularSeason20242025!$D$3:$D$1315, $A63)+SUMIFS(DataRegularSeason20242025!$AB$3:$AB$1315,DataRegularSeason20242025!$B$3:$B$1315, "&lt;=" &amp; GS$1, DataRegularSeason20242025!$E$3:$E$1315, $A63)</f>
        <v>8</v>
      </c>
      <c r="GT63">
        <f>SUMIFS(DataRegularSeason20242025!$AA$3:$AA$1315,DataRegularSeason20242025!$B$3:$B$1315, "&lt;=" &amp; GT$1, DataRegularSeason20242025!$D$3:$D$1315, $A63)+SUMIFS(DataRegularSeason20242025!$AB$3:$AB$1315,DataRegularSeason20242025!$B$3:$B$1315, "&lt;=" &amp; GT$1, DataRegularSeason20242025!$E$3:$E$1315, $A63)</f>
        <v>8</v>
      </c>
      <c r="GU63">
        <f>SUMIFS(DataRegularSeason20242025!$AA$3:$AA$1315,DataRegularSeason20242025!$B$3:$B$1315, "&lt;=" &amp; GU$1, DataRegularSeason20242025!$D$3:$D$1315, $A63)+SUMIFS(DataRegularSeason20242025!$AB$3:$AB$1315,DataRegularSeason20242025!$B$3:$B$1315, "&lt;=" &amp; GU$1, DataRegularSeason20242025!$E$3:$E$1315, $A63)</f>
        <v>8</v>
      </c>
    </row>
    <row r="64" spans="1:203" x14ac:dyDescent="0.25">
      <c r="A64" t="s">
        <v>11</v>
      </c>
      <c r="B64" t="s">
        <v>90</v>
      </c>
      <c r="C64" t="s">
        <v>93</v>
      </c>
      <c r="D64">
        <f>SUMIFS(DataRegularSeason20242025!$AA$3:$AA$1315,DataRegularSeason20242025!$B$3:$B$1315, "&lt;=" &amp; D$1, DataRegularSeason20242025!$D$3:$D$1315, $A64)+SUMIFS(DataRegularSeason20242025!$AB$3:$AB$1315,DataRegularSeason20242025!$B$3:$B$1315, "&lt;=" &amp; D$1, DataRegularSeason20242025!$E$3:$E$1315, $A64)</f>
        <v>0</v>
      </c>
      <c r="E64">
        <f>SUMIFS(DataRegularSeason20242025!$AA$3:$AA$1315,DataRegularSeason20242025!$B$3:$B$1315, "&lt;=" &amp; E$1, DataRegularSeason20242025!$D$3:$D$1315, $A64)+SUMIFS(DataRegularSeason20242025!$AB$3:$AB$1315,DataRegularSeason20242025!$B$3:$B$1315, "&lt;=" &amp; E$1, DataRegularSeason20242025!$E$3:$E$1315, $A64)</f>
        <v>0</v>
      </c>
      <c r="F64">
        <f>SUMIFS(DataRegularSeason20242025!$AA$3:$AA$1315,DataRegularSeason20242025!$B$3:$B$1315, "&lt;=" &amp; F$1, DataRegularSeason20242025!$D$3:$D$1315, $A64)+SUMIFS(DataRegularSeason20242025!$AB$3:$AB$1315,DataRegularSeason20242025!$B$3:$B$1315, "&lt;=" &amp; F$1, DataRegularSeason20242025!$E$3:$E$1315, $A64)</f>
        <v>0</v>
      </c>
      <c r="G64">
        <f>SUMIFS(DataRegularSeason20242025!$AA$3:$AA$1315,DataRegularSeason20242025!$B$3:$B$1315, "&lt;=" &amp; G$1, DataRegularSeason20242025!$D$3:$D$1315, $A64)+SUMIFS(DataRegularSeason20242025!$AB$3:$AB$1315,DataRegularSeason20242025!$B$3:$B$1315, "&lt;=" &amp; G$1, DataRegularSeason20242025!$E$3:$E$1315, $A64)</f>
        <v>0</v>
      </c>
      <c r="H64">
        <f>SUMIFS(DataRegularSeason20242025!$AA$3:$AA$1315,DataRegularSeason20242025!$B$3:$B$1315, "&lt;=" &amp; H$1, DataRegularSeason20242025!$D$3:$D$1315, $A64)+SUMIFS(DataRegularSeason20242025!$AB$3:$AB$1315,DataRegularSeason20242025!$B$3:$B$1315, "&lt;=" &amp; H$1, DataRegularSeason20242025!$E$3:$E$1315, $A64)</f>
        <v>0</v>
      </c>
      <c r="I64">
        <f>SUMIFS(DataRegularSeason20242025!$AA$3:$AA$1315,DataRegularSeason20242025!$B$3:$B$1315, "&lt;=" &amp; I$1, DataRegularSeason20242025!$D$3:$D$1315, $A64)+SUMIFS(DataRegularSeason20242025!$AB$3:$AB$1315,DataRegularSeason20242025!$B$3:$B$1315, "&lt;=" &amp; I$1, DataRegularSeason20242025!$E$3:$E$1315, $A64)</f>
        <v>0</v>
      </c>
      <c r="J64">
        <f>SUMIFS(DataRegularSeason20242025!$AA$3:$AA$1315,DataRegularSeason20242025!$B$3:$B$1315, "&lt;=" &amp; J$1, DataRegularSeason20242025!$D$3:$D$1315, $A64)+SUMIFS(DataRegularSeason20242025!$AB$3:$AB$1315,DataRegularSeason20242025!$B$3:$B$1315, "&lt;=" &amp; J$1, DataRegularSeason20242025!$E$3:$E$1315, $A64)</f>
        <v>2</v>
      </c>
      <c r="K64">
        <f>SUMIFS(DataRegularSeason20242025!$AA$3:$AA$1315,DataRegularSeason20242025!$B$3:$B$1315, "&lt;=" &amp; K$1, DataRegularSeason20242025!$D$3:$D$1315, $A64)+SUMIFS(DataRegularSeason20242025!$AB$3:$AB$1315,DataRegularSeason20242025!$B$3:$B$1315, "&lt;=" &amp; K$1, DataRegularSeason20242025!$E$3:$E$1315, $A64)</f>
        <v>2</v>
      </c>
      <c r="L64">
        <f>SUMIFS(DataRegularSeason20242025!$AA$3:$AA$1315,DataRegularSeason20242025!$B$3:$B$1315, "&lt;=" &amp; L$1, DataRegularSeason20242025!$D$3:$D$1315, $A64)+SUMIFS(DataRegularSeason20242025!$AB$3:$AB$1315,DataRegularSeason20242025!$B$3:$B$1315, "&lt;=" &amp; L$1, DataRegularSeason20242025!$E$3:$E$1315, $A64)</f>
        <v>4</v>
      </c>
      <c r="M64">
        <f>SUMIFS(DataRegularSeason20242025!$AA$3:$AA$1315,DataRegularSeason20242025!$B$3:$B$1315, "&lt;=" &amp; M$1, DataRegularSeason20242025!$D$3:$D$1315, $A64)+SUMIFS(DataRegularSeason20242025!$AB$3:$AB$1315,DataRegularSeason20242025!$B$3:$B$1315, "&lt;=" &amp; M$1, DataRegularSeason20242025!$E$3:$E$1315, $A64)</f>
        <v>4</v>
      </c>
      <c r="N64">
        <f>SUMIFS(DataRegularSeason20242025!$AA$3:$AA$1315,DataRegularSeason20242025!$B$3:$B$1315, "&lt;=" &amp; N$1, DataRegularSeason20242025!$D$3:$D$1315, $A64)+SUMIFS(DataRegularSeason20242025!$AB$3:$AB$1315,DataRegularSeason20242025!$B$3:$B$1315, "&lt;=" &amp; N$1, DataRegularSeason20242025!$E$3:$E$1315, $A64)</f>
        <v>4</v>
      </c>
      <c r="O64">
        <f>SUMIFS(DataRegularSeason20242025!$AA$3:$AA$1315,DataRegularSeason20242025!$B$3:$B$1315, "&lt;=" &amp; O$1, DataRegularSeason20242025!$D$3:$D$1315, $A64)+SUMIFS(DataRegularSeason20242025!$AB$3:$AB$1315,DataRegularSeason20242025!$B$3:$B$1315, "&lt;=" &amp; O$1, DataRegularSeason20242025!$E$3:$E$1315, $A64)</f>
        <v>5</v>
      </c>
      <c r="P64">
        <f>SUMIFS(DataRegularSeason20242025!$AA$3:$AA$1315,DataRegularSeason20242025!$B$3:$B$1315, "&lt;=" &amp; P$1, DataRegularSeason20242025!$D$3:$D$1315, $A64)+SUMIFS(DataRegularSeason20242025!$AB$3:$AB$1315,DataRegularSeason20242025!$B$3:$B$1315, "&lt;=" &amp; P$1, DataRegularSeason20242025!$E$3:$E$1315, $A64)</f>
        <v>5</v>
      </c>
      <c r="Q64">
        <f>SUMIFS(DataRegularSeason20242025!$AA$3:$AA$1315,DataRegularSeason20242025!$B$3:$B$1315, "&lt;=" &amp; Q$1, DataRegularSeason20242025!$D$3:$D$1315, $A64)+SUMIFS(DataRegularSeason20242025!$AB$3:$AB$1315,DataRegularSeason20242025!$B$3:$B$1315, "&lt;=" &amp; Q$1, DataRegularSeason20242025!$E$3:$E$1315, $A64)</f>
        <v>6</v>
      </c>
      <c r="R64">
        <f>SUMIFS(DataRegularSeason20242025!$AA$3:$AA$1315,DataRegularSeason20242025!$B$3:$B$1315, "&lt;=" &amp; R$1, DataRegularSeason20242025!$D$3:$D$1315, $A64)+SUMIFS(DataRegularSeason20242025!$AB$3:$AB$1315,DataRegularSeason20242025!$B$3:$B$1315, "&lt;=" &amp; R$1, DataRegularSeason20242025!$E$3:$E$1315, $A64)</f>
        <v>6</v>
      </c>
      <c r="S64">
        <f>SUMIFS(DataRegularSeason20242025!$AA$3:$AA$1315,DataRegularSeason20242025!$B$3:$B$1315, "&lt;=" &amp; S$1, DataRegularSeason20242025!$D$3:$D$1315, $A64)+SUMIFS(DataRegularSeason20242025!$AB$3:$AB$1315,DataRegularSeason20242025!$B$3:$B$1315, "&lt;=" &amp; S$1, DataRegularSeason20242025!$E$3:$E$1315, $A64)</f>
        <v>8</v>
      </c>
      <c r="T64">
        <f>SUMIFS(DataRegularSeason20242025!$AA$3:$AA$1315,DataRegularSeason20242025!$B$3:$B$1315, "&lt;=" &amp; T$1, DataRegularSeason20242025!$D$3:$D$1315, $A64)+SUMIFS(DataRegularSeason20242025!$AB$3:$AB$1315,DataRegularSeason20242025!$B$3:$B$1315, "&lt;=" &amp; T$1, DataRegularSeason20242025!$E$3:$E$1315, $A64)</f>
        <v>8</v>
      </c>
      <c r="U64">
        <f>SUMIFS(DataRegularSeason20242025!$AA$3:$AA$1315,DataRegularSeason20242025!$B$3:$B$1315, "&lt;=" &amp; U$1, DataRegularSeason20242025!$D$3:$D$1315, $A64)+SUMIFS(DataRegularSeason20242025!$AB$3:$AB$1315,DataRegularSeason20242025!$B$3:$B$1315, "&lt;=" &amp; U$1, DataRegularSeason20242025!$E$3:$E$1315, $A64)</f>
        <v>8</v>
      </c>
      <c r="V64">
        <f>SUMIFS(DataRegularSeason20242025!$AA$3:$AA$1315,DataRegularSeason20242025!$B$3:$B$1315, "&lt;=" &amp; V$1, DataRegularSeason20242025!$D$3:$D$1315, $A64)+SUMIFS(DataRegularSeason20242025!$AB$3:$AB$1315,DataRegularSeason20242025!$B$3:$B$1315, "&lt;=" &amp; V$1, DataRegularSeason20242025!$E$3:$E$1315, $A64)</f>
        <v>8</v>
      </c>
      <c r="W64">
        <f>SUMIFS(DataRegularSeason20242025!$AA$3:$AA$1315,DataRegularSeason20242025!$B$3:$B$1315, "&lt;=" &amp; W$1, DataRegularSeason20242025!$D$3:$D$1315, $A64)+SUMIFS(DataRegularSeason20242025!$AB$3:$AB$1315,DataRegularSeason20242025!$B$3:$B$1315, "&lt;=" &amp; W$1, DataRegularSeason20242025!$E$3:$E$1315, $A64)</f>
        <v>8</v>
      </c>
      <c r="X64">
        <f>SUMIFS(DataRegularSeason20242025!$AA$3:$AA$1315,DataRegularSeason20242025!$B$3:$B$1315, "&lt;=" &amp; X$1, DataRegularSeason20242025!$D$3:$D$1315, $A64)+SUMIFS(DataRegularSeason20242025!$AB$3:$AB$1315,DataRegularSeason20242025!$B$3:$B$1315, "&lt;=" &amp; X$1, DataRegularSeason20242025!$E$3:$E$1315, $A64)</f>
        <v>8</v>
      </c>
      <c r="Y64">
        <f>SUMIFS(DataRegularSeason20242025!$AA$3:$AA$1315,DataRegularSeason20242025!$B$3:$B$1315, "&lt;=" &amp; Y$1, DataRegularSeason20242025!$D$3:$D$1315, $A64)+SUMIFS(DataRegularSeason20242025!$AB$3:$AB$1315,DataRegularSeason20242025!$B$3:$B$1315, "&lt;=" &amp; Y$1, DataRegularSeason20242025!$E$3:$E$1315, $A64)</f>
        <v>8</v>
      </c>
      <c r="Z64">
        <f>SUMIFS(DataRegularSeason20242025!$AA$3:$AA$1315,DataRegularSeason20242025!$B$3:$B$1315, "&lt;=" &amp; Z$1, DataRegularSeason20242025!$D$3:$D$1315, $A64)+SUMIFS(DataRegularSeason20242025!$AB$3:$AB$1315,DataRegularSeason20242025!$B$3:$B$1315, "&lt;=" &amp; Z$1, DataRegularSeason20242025!$E$3:$E$1315, $A64)</f>
        <v>8</v>
      </c>
      <c r="AA64">
        <f>SUMIFS(DataRegularSeason20242025!$AA$3:$AA$1315,DataRegularSeason20242025!$B$3:$B$1315, "&lt;=" &amp; AA$1, DataRegularSeason20242025!$D$3:$D$1315, $A64)+SUMIFS(DataRegularSeason20242025!$AB$3:$AB$1315,DataRegularSeason20242025!$B$3:$B$1315, "&lt;=" &amp; AA$1, DataRegularSeason20242025!$E$3:$E$1315, $A64)</f>
        <v>8</v>
      </c>
      <c r="AB64">
        <f>SUMIFS(DataRegularSeason20242025!$AA$3:$AA$1315,DataRegularSeason20242025!$B$3:$B$1315, "&lt;=" &amp; AB$1, DataRegularSeason20242025!$D$3:$D$1315, $A64)+SUMIFS(DataRegularSeason20242025!$AB$3:$AB$1315,DataRegularSeason20242025!$B$3:$B$1315, "&lt;=" &amp; AB$1, DataRegularSeason20242025!$E$3:$E$1315, $A64)</f>
        <v>8</v>
      </c>
      <c r="AC64">
        <f>SUMIFS(DataRegularSeason20242025!$AA$3:$AA$1315,DataRegularSeason20242025!$B$3:$B$1315, "&lt;=" &amp; AC$1, DataRegularSeason20242025!$D$3:$D$1315, $A64)+SUMIFS(DataRegularSeason20242025!$AB$3:$AB$1315,DataRegularSeason20242025!$B$3:$B$1315, "&lt;=" &amp; AC$1, DataRegularSeason20242025!$E$3:$E$1315, $A64)</f>
        <v>8</v>
      </c>
      <c r="AD64">
        <f>SUMIFS(DataRegularSeason20242025!$AA$3:$AA$1315,DataRegularSeason20242025!$B$3:$B$1315, "&lt;=" &amp; AD$1, DataRegularSeason20242025!$D$3:$D$1315, $A64)+SUMIFS(DataRegularSeason20242025!$AB$3:$AB$1315,DataRegularSeason20242025!$B$3:$B$1315, "&lt;=" &amp; AD$1, DataRegularSeason20242025!$E$3:$E$1315, $A64)</f>
        <v>8</v>
      </c>
      <c r="AE64">
        <f>SUMIFS(DataRegularSeason20242025!$AA$3:$AA$1315,DataRegularSeason20242025!$B$3:$B$1315, "&lt;=" &amp; AE$1, DataRegularSeason20242025!$D$3:$D$1315, $A64)+SUMIFS(DataRegularSeason20242025!$AB$3:$AB$1315,DataRegularSeason20242025!$B$3:$B$1315, "&lt;=" &amp; AE$1, DataRegularSeason20242025!$E$3:$E$1315, $A64)</f>
        <v>8</v>
      </c>
      <c r="AF64">
        <f>SUMIFS(DataRegularSeason20242025!$AA$3:$AA$1315,DataRegularSeason20242025!$B$3:$B$1315, "&lt;=" &amp; AF$1, DataRegularSeason20242025!$D$3:$D$1315, $A64)+SUMIFS(DataRegularSeason20242025!$AB$3:$AB$1315,DataRegularSeason20242025!$B$3:$B$1315, "&lt;=" &amp; AF$1, DataRegularSeason20242025!$E$3:$E$1315, $A64)</f>
        <v>8</v>
      </c>
      <c r="AG64">
        <f>SUMIFS(DataRegularSeason20242025!$AA$3:$AA$1315,DataRegularSeason20242025!$B$3:$B$1315, "&lt;=" &amp; AG$1, DataRegularSeason20242025!$D$3:$D$1315, $A64)+SUMIFS(DataRegularSeason20242025!$AB$3:$AB$1315,DataRegularSeason20242025!$B$3:$B$1315, "&lt;=" &amp; AG$1, DataRegularSeason20242025!$E$3:$E$1315, $A64)</f>
        <v>8</v>
      </c>
      <c r="AH64">
        <f>SUMIFS(DataRegularSeason20242025!$AA$3:$AA$1315,DataRegularSeason20242025!$B$3:$B$1315, "&lt;=" &amp; AH$1, DataRegularSeason20242025!$D$3:$D$1315, $A64)+SUMIFS(DataRegularSeason20242025!$AB$3:$AB$1315,DataRegularSeason20242025!$B$3:$B$1315, "&lt;=" &amp; AH$1, DataRegularSeason20242025!$E$3:$E$1315, $A64)</f>
        <v>8</v>
      </c>
      <c r="AI64">
        <f>SUMIFS(DataRegularSeason20242025!$AA$3:$AA$1315,DataRegularSeason20242025!$B$3:$B$1315, "&lt;=" &amp; AI$1, DataRegularSeason20242025!$D$3:$D$1315, $A64)+SUMIFS(DataRegularSeason20242025!$AB$3:$AB$1315,DataRegularSeason20242025!$B$3:$B$1315, "&lt;=" &amp; AI$1, DataRegularSeason20242025!$E$3:$E$1315, $A64)</f>
        <v>8</v>
      </c>
      <c r="AJ64">
        <f>SUMIFS(DataRegularSeason20242025!$AA$3:$AA$1315,DataRegularSeason20242025!$B$3:$B$1315, "&lt;=" &amp; AJ$1, DataRegularSeason20242025!$D$3:$D$1315, $A64)+SUMIFS(DataRegularSeason20242025!$AB$3:$AB$1315,DataRegularSeason20242025!$B$3:$B$1315, "&lt;=" &amp; AJ$1, DataRegularSeason20242025!$E$3:$E$1315, $A64)</f>
        <v>8</v>
      </c>
      <c r="AK64">
        <f>SUMIFS(DataRegularSeason20242025!$AA$3:$AA$1315,DataRegularSeason20242025!$B$3:$B$1315, "&lt;=" &amp; AK$1, DataRegularSeason20242025!$D$3:$D$1315, $A64)+SUMIFS(DataRegularSeason20242025!$AB$3:$AB$1315,DataRegularSeason20242025!$B$3:$B$1315, "&lt;=" &amp; AK$1, DataRegularSeason20242025!$E$3:$E$1315, $A64)</f>
        <v>8</v>
      </c>
      <c r="AL64">
        <f>SUMIFS(DataRegularSeason20242025!$AA$3:$AA$1315,DataRegularSeason20242025!$B$3:$B$1315, "&lt;=" &amp; AL$1, DataRegularSeason20242025!$D$3:$D$1315, $A64)+SUMIFS(DataRegularSeason20242025!$AB$3:$AB$1315,DataRegularSeason20242025!$B$3:$B$1315, "&lt;=" &amp; AL$1, DataRegularSeason20242025!$E$3:$E$1315, $A64)</f>
        <v>8</v>
      </c>
      <c r="AM64">
        <f>SUMIFS(DataRegularSeason20242025!$AA$3:$AA$1315,DataRegularSeason20242025!$B$3:$B$1315, "&lt;=" &amp; AM$1, DataRegularSeason20242025!$D$3:$D$1315, $A64)+SUMIFS(DataRegularSeason20242025!$AB$3:$AB$1315,DataRegularSeason20242025!$B$3:$B$1315, "&lt;=" &amp; AM$1, DataRegularSeason20242025!$E$3:$E$1315, $A64)</f>
        <v>8</v>
      </c>
      <c r="AN64">
        <f>SUMIFS(DataRegularSeason20242025!$AA$3:$AA$1315,DataRegularSeason20242025!$B$3:$B$1315, "&lt;=" &amp; AN$1, DataRegularSeason20242025!$D$3:$D$1315, $A64)+SUMIFS(DataRegularSeason20242025!$AB$3:$AB$1315,DataRegularSeason20242025!$B$3:$B$1315, "&lt;=" &amp; AN$1, DataRegularSeason20242025!$E$3:$E$1315, $A64)</f>
        <v>8</v>
      </c>
      <c r="AO64">
        <f>SUMIFS(DataRegularSeason20242025!$AA$3:$AA$1315,DataRegularSeason20242025!$B$3:$B$1315, "&lt;=" &amp; AO$1, DataRegularSeason20242025!$D$3:$D$1315, $A64)+SUMIFS(DataRegularSeason20242025!$AB$3:$AB$1315,DataRegularSeason20242025!$B$3:$B$1315, "&lt;=" &amp; AO$1, DataRegularSeason20242025!$E$3:$E$1315, $A64)</f>
        <v>8</v>
      </c>
      <c r="AP64">
        <f>SUMIFS(DataRegularSeason20242025!$AA$3:$AA$1315,DataRegularSeason20242025!$B$3:$B$1315, "&lt;=" &amp; AP$1, DataRegularSeason20242025!$D$3:$D$1315, $A64)+SUMIFS(DataRegularSeason20242025!$AB$3:$AB$1315,DataRegularSeason20242025!$B$3:$B$1315, "&lt;=" &amp; AP$1, DataRegularSeason20242025!$E$3:$E$1315, $A64)</f>
        <v>8</v>
      </c>
      <c r="AQ64">
        <f>SUMIFS(DataRegularSeason20242025!$AA$3:$AA$1315,DataRegularSeason20242025!$B$3:$B$1315, "&lt;=" &amp; AQ$1, DataRegularSeason20242025!$D$3:$D$1315, $A64)+SUMIFS(DataRegularSeason20242025!$AB$3:$AB$1315,DataRegularSeason20242025!$B$3:$B$1315, "&lt;=" &amp; AQ$1, DataRegularSeason20242025!$E$3:$E$1315, $A64)</f>
        <v>8</v>
      </c>
      <c r="AR64">
        <f>SUMIFS(DataRegularSeason20242025!$AA$3:$AA$1315,DataRegularSeason20242025!$B$3:$B$1315, "&lt;=" &amp; AR$1, DataRegularSeason20242025!$D$3:$D$1315, $A64)+SUMIFS(DataRegularSeason20242025!$AB$3:$AB$1315,DataRegularSeason20242025!$B$3:$B$1315, "&lt;=" &amp; AR$1, DataRegularSeason20242025!$E$3:$E$1315, $A64)</f>
        <v>8</v>
      </c>
      <c r="AS64">
        <f>SUMIFS(DataRegularSeason20242025!$AA$3:$AA$1315,DataRegularSeason20242025!$B$3:$B$1315, "&lt;=" &amp; AS$1, DataRegularSeason20242025!$D$3:$D$1315, $A64)+SUMIFS(DataRegularSeason20242025!$AB$3:$AB$1315,DataRegularSeason20242025!$B$3:$B$1315, "&lt;=" &amp; AS$1, DataRegularSeason20242025!$E$3:$E$1315, $A64)</f>
        <v>8</v>
      </c>
      <c r="AT64">
        <f>SUMIFS(DataRegularSeason20242025!$AA$3:$AA$1315,DataRegularSeason20242025!$B$3:$B$1315, "&lt;=" &amp; AT$1, DataRegularSeason20242025!$D$3:$D$1315, $A64)+SUMIFS(DataRegularSeason20242025!$AB$3:$AB$1315,DataRegularSeason20242025!$B$3:$B$1315, "&lt;=" &amp; AT$1, DataRegularSeason20242025!$E$3:$E$1315, $A64)</f>
        <v>8</v>
      </c>
      <c r="AU64">
        <f>SUMIFS(DataRegularSeason20242025!$AA$3:$AA$1315,DataRegularSeason20242025!$B$3:$B$1315, "&lt;=" &amp; AU$1, DataRegularSeason20242025!$D$3:$D$1315, $A64)+SUMIFS(DataRegularSeason20242025!$AB$3:$AB$1315,DataRegularSeason20242025!$B$3:$B$1315, "&lt;=" &amp; AU$1, DataRegularSeason20242025!$E$3:$E$1315, $A64)</f>
        <v>8</v>
      </c>
      <c r="AV64">
        <f>SUMIFS(DataRegularSeason20242025!$AA$3:$AA$1315,DataRegularSeason20242025!$B$3:$B$1315, "&lt;=" &amp; AV$1, DataRegularSeason20242025!$D$3:$D$1315, $A64)+SUMIFS(DataRegularSeason20242025!$AB$3:$AB$1315,DataRegularSeason20242025!$B$3:$B$1315, "&lt;=" &amp; AV$1, DataRegularSeason20242025!$E$3:$E$1315, $A64)</f>
        <v>8</v>
      </c>
      <c r="AW64">
        <f>SUMIFS(DataRegularSeason20242025!$AA$3:$AA$1315,DataRegularSeason20242025!$B$3:$B$1315, "&lt;=" &amp; AW$1, DataRegularSeason20242025!$D$3:$D$1315, $A64)+SUMIFS(DataRegularSeason20242025!$AB$3:$AB$1315,DataRegularSeason20242025!$B$3:$B$1315, "&lt;=" &amp; AW$1, DataRegularSeason20242025!$E$3:$E$1315, $A64)</f>
        <v>8</v>
      </c>
      <c r="AX64">
        <f>SUMIFS(DataRegularSeason20242025!$AA$3:$AA$1315,DataRegularSeason20242025!$B$3:$B$1315, "&lt;=" &amp; AX$1, DataRegularSeason20242025!$D$3:$D$1315, $A64)+SUMIFS(DataRegularSeason20242025!$AB$3:$AB$1315,DataRegularSeason20242025!$B$3:$B$1315, "&lt;=" &amp; AX$1, DataRegularSeason20242025!$E$3:$E$1315, $A64)</f>
        <v>8</v>
      </c>
      <c r="AY64">
        <f>SUMIFS(DataRegularSeason20242025!$AA$3:$AA$1315,DataRegularSeason20242025!$B$3:$B$1315, "&lt;=" &amp; AY$1, DataRegularSeason20242025!$D$3:$D$1315, $A64)+SUMIFS(DataRegularSeason20242025!$AB$3:$AB$1315,DataRegularSeason20242025!$B$3:$B$1315, "&lt;=" &amp; AY$1, DataRegularSeason20242025!$E$3:$E$1315, $A64)</f>
        <v>8</v>
      </c>
      <c r="AZ64">
        <f>SUMIFS(DataRegularSeason20242025!$AA$3:$AA$1315,DataRegularSeason20242025!$B$3:$B$1315, "&lt;=" &amp; AZ$1, DataRegularSeason20242025!$D$3:$D$1315, $A64)+SUMIFS(DataRegularSeason20242025!$AB$3:$AB$1315,DataRegularSeason20242025!$B$3:$B$1315, "&lt;=" &amp; AZ$1, DataRegularSeason20242025!$E$3:$E$1315, $A64)</f>
        <v>8</v>
      </c>
      <c r="BA64">
        <f>SUMIFS(DataRegularSeason20242025!$AA$3:$AA$1315,DataRegularSeason20242025!$B$3:$B$1315, "&lt;=" &amp; BA$1, DataRegularSeason20242025!$D$3:$D$1315, $A64)+SUMIFS(DataRegularSeason20242025!$AB$3:$AB$1315,DataRegularSeason20242025!$B$3:$B$1315, "&lt;=" &amp; BA$1, DataRegularSeason20242025!$E$3:$E$1315, $A64)</f>
        <v>8</v>
      </c>
      <c r="BB64">
        <f>SUMIFS(DataRegularSeason20242025!$AA$3:$AA$1315,DataRegularSeason20242025!$B$3:$B$1315, "&lt;=" &amp; BB$1, DataRegularSeason20242025!$D$3:$D$1315, $A64)+SUMIFS(DataRegularSeason20242025!$AB$3:$AB$1315,DataRegularSeason20242025!$B$3:$B$1315, "&lt;=" &amp; BB$1, DataRegularSeason20242025!$E$3:$E$1315, $A64)</f>
        <v>8</v>
      </c>
      <c r="BC64">
        <f>SUMIFS(DataRegularSeason20242025!$AA$3:$AA$1315,DataRegularSeason20242025!$B$3:$B$1315, "&lt;=" &amp; BC$1, DataRegularSeason20242025!$D$3:$D$1315, $A64)+SUMIFS(DataRegularSeason20242025!$AB$3:$AB$1315,DataRegularSeason20242025!$B$3:$B$1315, "&lt;=" &amp; BC$1, DataRegularSeason20242025!$E$3:$E$1315, $A64)</f>
        <v>8</v>
      </c>
      <c r="BD64">
        <f>SUMIFS(DataRegularSeason20242025!$AA$3:$AA$1315,DataRegularSeason20242025!$B$3:$B$1315, "&lt;=" &amp; BD$1, DataRegularSeason20242025!$D$3:$D$1315, $A64)+SUMIFS(DataRegularSeason20242025!$AB$3:$AB$1315,DataRegularSeason20242025!$B$3:$B$1315, "&lt;=" &amp; BD$1, DataRegularSeason20242025!$E$3:$E$1315, $A64)</f>
        <v>8</v>
      </c>
      <c r="BE64">
        <f>SUMIFS(DataRegularSeason20242025!$AA$3:$AA$1315,DataRegularSeason20242025!$B$3:$B$1315, "&lt;=" &amp; BE$1, DataRegularSeason20242025!$D$3:$D$1315, $A64)+SUMIFS(DataRegularSeason20242025!$AB$3:$AB$1315,DataRegularSeason20242025!$B$3:$B$1315, "&lt;=" &amp; BE$1, DataRegularSeason20242025!$E$3:$E$1315, $A64)</f>
        <v>8</v>
      </c>
      <c r="BF64">
        <f>SUMIFS(DataRegularSeason20242025!$AA$3:$AA$1315,DataRegularSeason20242025!$B$3:$B$1315, "&lt;=" &amp; BF$1, DataRegularSeason20242025!$D$3:$D$1315, $A64)+SUMIFS(DataRegularSeason20242025!$AB$3:$AB$1315,DataRegularSeason20242025!$B$3:$B$1315, "&lt;=" &amp; BF$1, DataRegularSeason20242025!$E$3:$E$1315, $A64)</f>
        <v>8</v>
      </c>
      <c r="BG64">
        <f>SUMIFS(DataRegularSeason20242025!$AA$3:$AA$1315,DataRegularSeason20242025!$B$3:$B$1315, "&lt;=" &amp; BG$1, DataRegularSeason20242025!$D$3:$D$1315, $A64)+SUMIFS(DataRegularSeason20242025!$AB$3:$AB$1315,DataRegularSeason20242025!$B$3:$B$1315, "&lt;=" &amp; BG$1, DataRegularSeason20242025!$E$3:$E$1315, $A64)</f>
        <v>8</v>
      </c>
      <c r="BH64">
        <f>SUMIFS(DataRegularSeason20242025!$AA$3:$AA$1315,DataRegularSeason20242025!$B$3:$B$1315, "&lt;=" &amp; BH$1, DataRegularSeason20242025!$D$3:$D$1315, $A64)+SUMIFS(DataRegularSeason20242025!$AB$3:$AB$1315,DataRegularSeason20242025!$B$3:$B$1315, "&lt;=" &amp; BH$1, DataRegularSeason20242025!$E$3:$E$1315, $A64)</f>
        <v>8</v>
      </c>
      <c r="BI64">
        <f>SUMIFS(DataRegularSeason20242025!$AA$3:$AA$1315,DataRegularSeason20242025!$B$3:$B$1315, "&lt;=" &amp; BI$1, DataRegularSeason20242025!$D$3:$D$1315, $A64)+SUMIFS(DataRegularSeason20242025!$AB$3:$AB$1315,DataRegularSeason20242025!$B$3:$B$1315, "&lt;=" &amp; BI$1, DataRegularSeason20242025!$E$3:$E$1315, $A64)</f>
        <v>8</v>
      </c>
      <c r="BJ64">
        <f>SUMIFS(DataRegularSeason20242025!$AA$3:$AA$1315,DataRegularSeason20242025!$B$3:$B$1315, "&lt;=" &amp; BJ$1, DataRegularSeason20242025!$D$3:$D$1315, $A64)+SUMIFS(DataRegularSeason20242025!$AB$3:$AB$1315,DataRegularSeason20242025!$B$3:$B$1315, "&lt;=" &amp; BJ$1, DataRegularSeason20242025!$E$3:$E$1315, $A64)</f>
        <v>8</v>
      </c>
      <c r="BK64">
        <f>SUMIFS(DataRegularSeason20242025!$AA$3:$AA$1315,DataRegularSeason20242025!$B$3:$B$1315, "&lt;=" &amp; BK$1, DataRegularSeason20242025!$D$3:$D$1315, $A64)+SUMIFS(DataRegularSeason20242025!$AB$3:$AB$1315,DataRegularSeason20242025!$B$3:$B$1315, "&lt;=" &amp; BK$1, DataRegularSeason20242025!$E$3:$E$1315, $A64)</f>
        <v>8</v>
      </c>
      <c r="BL64">
        <f>SUMIFS(DataRegularSeason20242025!$AA$3:$AA$1315,DataRegularSeason20242025!$B$3:$B$1315, "&lt;=" &amp; BL$1, DataRegularSeason20242025!$D$3:$D$1315, $A64)+SUMIFS(DataRegularSeason20242025!$AB$3:$AB$1315,DataRegularSeason20242025!$B$3:$B$1315, "&lt;=" &amp; BL$1, DataRegularSeason20242025!$E$3:$E$1315, $A64)</f>
        <v>8</v>
      </c>
      <c r="BM64">
        <f>SUMIFS(DataRegularSeason20242025!$AA$3:$AA$1315,DataRegularSeason20242025!$B$3:$B$1315, "&lt;=" &amp; BM$1, DataRegularSeason20242025!$D$3:$D$1315, $A64)+SUMIFS(DataRegularSeason20242025!$AB$3:$AB$1315,DataRegularSeason20242025!$B$3:$B$1315, "&lt;=" &amp; BM$1, DataRegularSeason20242025!$E$3:$E$1315, $A64)</f>
        <v>8</v>
      </c>
      <c r="BN64">
        <f>SUMIFS(DataRegularSeason20242025!$AA$3:$AA$1315,DataRegularSeason20242025!$B$3:$B$1315, "&lt;=" &amp; BN$1, DataRegularSeason20242025!$D$3:$D$1315, $A64)+SUMIFS(DataRegularSeason20242025!$AB$3:$AB$1315,DataRegularSeason20242025!$B$3:$B$1315, "&lt;=" &amp; BN$1, DataRegularSeason20242025!$E$3:$E$1315, $A64)</f>
        <v>8</v>
      </c>
      <c r="BO64">
        <f>SUMIFS(DataRegularSeason20242025!$AA$3:$AA$1315,DataRegularSeason20242025!$B$3:$B$1315, "&lt;=" &amp; BO$1, DataRegularSeason20242025!$D$3:$D$1315, $A64)+SUMIFS(DataRegularSeason20242025!$AB$3:$AB$1315,DataRegularSeason20242025!$B$3:$B$1315, "&lt;=" &amp; BO$1, DataRegularSeason20242025!$E$3:$E$1315, $A64)</f>
        <v>8</v>
      </c>
      <c r="BP64">
        <f>SUMIFS(DataRegularSeason20242025!$AA$3:$AA$1315,DataRegularSeason20242025!$B$3:$B$1315, "&lt;=" &amp; BP$1, DataRegularSeason20242025!$D$3:$D$1315, $A64)+SUMIFS(DataRegularSeason20242025!$AB$3:$AB$1315,DataRegularSeason20242025!$B$3:$B$1315, "&lt;=" &amp; BP$1, DataRegularSeason20242025!$E$3:$E$1315, $A64)</f>
        <v>8</v>
      </c>
      <c r="BQ64">
        <f>SUMIFS(DataRegularSeason20242025!$AA$3:$AA$1315,DataRegularSeason20242025!$B$3:$B$1315, "&lt;=" &amp; BQ$1, DataRegularSeason20242025!$D$3:$D$1315, $A64)+SUMIFS(DataRegularSeason20242025!$AB$3:$AB$1315,DataRegularSeason20242025!$B$3:$B$1315, "&lt;=" &amp; BQ$1, DataRegularSeason20242025!$E$3:$E$1315, $A64)</f>
        <v>8</v>
      </c>
      <c r="BR64">
        <f>SUMIFS(DataRegularSeason20242025!$AA$3:$AA$1315,DataRegularSeason20242025!$B$3:$B$1315, "&lt;=" &amp; BR$1, DataRegularSeason20242025!$D$3:$D$1315, $A64)+SUMIFS(DataRegularSeason20242025!$AB$3:$AB$1315,DataRegularSeason20242025!$B$3:$B$1315, "&lt;=" &amp; BR$1, DataRegularSeason20242025!$E$3:$E$1315, $A64)</f>
        <v>8</v>
      </c>
      <c r="BS64">
        <f>SUMIFS(DataRegularSeason20242025!$AA$3:$AA$1315,DataRegularSeason20242025!$B$3:$B$1315, "&lt;=" &amp; BS$1, DataRegularSeason20242025!$D$3:$D$1315, $A64)+SUMIFS(DataRegularSeason20242025!$AB$3:$AB$1315,DataRegularSeason20242025!$B$3:$B$1315, "&lt;=" &amp; BS$1, DataRegularSeason20242025!$E$3:$E$1315, $A64)</f>
        <v>8</v>
      </c>
      <c r="BT64">
        <f>SUMIFS(DataRegularSeason20242025!$AA$3:$AA$1315,DataRegularSeason20242025!$B$3:$B$1315, "&lt;=" &amp; BT$1, DataRegularSeason20242025!$D$3:$D$1315, $A64)+SUMIFS(DataRegularSeason20242025!$AB$3:$AB$1315,DataRegularSeason20242025!$B$3:$B$1315, "&lt;=" &amp; BT$1, DataRegularSeason20242025!$E$3:$E$1315, $A64)</f>
        <v>8</v>
      </c>
      <c r="BU64">
        <f>SUMIFS(DataRegularSeason20242025!$AA$3:$AA$1315,DataRegularSeason20242025!$B$3:$B$1315, "&lt;=" &amp; BU$1, DataRegularSeason20242025!$D$3:$D$1315, $A64)+SUMIFS(DataRegularSeason20242025!$AB$3:$AB$1315,DataRegularSeason20242025!$B$3:$B$1315, "&lt;=" &amp; BU$1, DataRegularSeason20242025!$E$3:$E$1315, $A64)</f>
        <v>8</v>
      </c>
      <c r="BV64">
        <f>SUMIFS(DataRegularSeason20242025!$AA$3:$AA$1315,DataRegularSeason20242025!$B$3:$B$1315, "&lt;=" &amp; BV$1, DataRegularSeason20242025!$D$3:$D$1315, $A64)+SUMIFS(DataRegularSeason20242025!$AB$3:$AB$1315,DataRegularSeason20242025!$B$3:$B$1315, "&lt;=" &amp; BV$1, DataRegularSeason20242025!$E$3:$E$1315, $A64)</f>
        <v>8</v>
      </c>
      <c r="BW64">
        <f>SUMIFS(DataRegularSeason20242025!$AA$3:$AA$1315,DataRegularSeason20242025!$B$3:$B$1315, "&lt;=" &amp; BW$1, DataRegularSeason20242025!$D$3:$D$1315, $A64)+SUMIFS(DataRegularSeason20242025!$AB$3:$AB$1315,DataRegularSeason20242025!$B$3:$B$1315, "&lt;=" &amp; BW$1, DataRegularSeason20242025!$E$3:$E$1315, $A64)</f>
        <v>8</v>
      </c>
      <c r="BX64">
        <f>SUMIFS(DataRegularSeason20242025!$AA$3:$AA$1315,DataRegularSeason20242025!$B$3:$B$1315, "&lt;=" &amp; BX$1, DataRegularSeason20242025!$D$3:$D$1315, $A64)+SUMIFS(DataRegularSeason20242025!$AB$3:$AB$1315,DataRegularSeason20242025!$B$3:$B$1315, "&lt;=" &amp; BX$1, DataRegularSeason20242025!$E$3:$E$1315, $A64)</f>
        <v>8</v>
      </c>
      <c r="BY64">
        <f>SUMIFS(DataRegularSeason20242025!$AA$3:$AA$1315,DataRegularSeason20242025!$B$3:$B$1315, "&lt;=" &amp; BY$1, DataRegularSeason20242025!$D$3:$D$1315, $A64)+SUMIFS(DataRegularSeason20242025!$AB$3:$AB$1315,DataRegularSeason20242025!$B$3:$B$1315, "&lt;=" &amp; BY$1, DataRegularSeason20242025!$E$3:$E$1315, $A64)</f>
        <v>8</v>
      </c>
      <c r="BZ64">
        <f>SUMIFS(DataRegularSeason20242025!$AA$3:$AA$1315,DataRegularSeason20242025!$B$3:$B$1315, "&lt;=" &amp; BZ$1, DataRegularSeason20242025!$D$3:$D$1315, $A64)+SUMIFS(DataRegularSeason20242025!$AB$3:$AB$1315,DataRegularSeason20242025!$B$3:$B$1315, "&lt;=" &amp; BZ$1, DataRegularSeason20242025!$E$3:$E$1315, $A64)</f>
        <v>8</v>
      </c>
      <c r="CA64">
        <f>SUMIFS(DataRegularSeason20242025!$AA$3:$AA$1315,DataRegularSeason20242025!$B$3:$B$1315, "&lt;=" &amp; CA$1, DataRegularSeason20242025!$D$3:$D$1315, $A64)+SUMIFS(DataRegularSeason20242025!$AB$3:$AB$1315,DataRegularSeason20242025!$B$3:$B$1315, "&lt;=" &amp; CA$1, DataRegularSeason20242025!$E$3:$E$1315, $A64)</f>
        <v>8</v>
      </c>
      <c r="CB64">
        <f>SUMIFS(DataRegularSeason20242025!$AA$3:$AA$1315,DataRegularSeason20242025!$B$3:$B$1315, "&lt;=" &amp; CB$1, DataRegularSeason20242025!$D$3:$D$1315, $A64)+SUMIFS(DataRegularSeason20242025!$AB$3:$AB$1315,DataRegularSeason20242025!$B$3:$B$1315, "&lt;=" &amp; CB$1, DataRegularSeason20242025!$E$3:$E$1315, $A64)</f>
        <v>8</v>
      </c>
      <c r="CC64">
        <f>SUMIFS(DataRegularSeason20242025!$AA$3:$AA$1315,DataRegularSeason20242025!$B$3:$B$1315, "&lt;=" &amp; CC$1, DataRegularSeason20242025!$D$3:$D$1315, $A64)+SUMIFS(DataRegularSeason20242025!$AB$3:$AB$1315,DataRegularSeason20242025!$B$3:$B$1315, "&lt;=" &amp; CC$1, DataRegularSeason20242025!$E$3:$E$1315, $A64)</f>
        <v>8</v>
      </c>
      <c r="CD64">
        <f>SUMIFS(DataRegularSeason20242025!$AA$3:$AA$1315,DataRegularSeason20242025!$B$3:$B$1315, "&lt;=" &amp; CD$1, DataRegularSeason20242025!$D$3:$D$1315, $A64)+SUMIFS(DataRegularSeason20242025!$AB$3:$AB$1315,DataRegularSeason20242025!$B$3:$B$1315, "&lt;=" &amp; CD$1, DataRegularSeason20242025!$E$3:$E$1315, $A64)</f>
        <v>8</v>
      </c>
      <c r="CE64">
        <f>SUMIFS(DataRegularSeason20242025!$AA$3:$AA$1315,DataRegularSeason20242025!$B$3:$B$1315, "&lt;=" &amp; CE$1, DataRegularSeason20242025!$D$3:$D$1315, $A64)+SUMIFS(DataRegularSeason20242025!$AB$3:$AB$1315,DataRegularSeason20242025!$B$3:$B$1315, "&lt;=" &amp; CE$1, DataRegularSeason20242025!$E$3:$E$1315, $A64)</f>
        <v>8</v>
      </c>
      <c r="CF64">
        <f>SUMIFS(DataRegularSeason20242025!$AA$3:$AA$1315,DataRegularSeason20242025!$B$3:$B$1315, "&lt;=" &amp; CF$1, DataRegularSeason20242025!$D$3:$D$1315, $A64)+SUMIFS(DataRegularSeason20242025!$AB$3:$AB$1315,DataRegularSeason20242025!$B$3:$B$1315, "&lt;=" &amp; CF$1, DataRegularSeason20242025!$E$3:$E$1315, $A64)</f>
        <v>8</v>
      </c>
      <c r="CG64">
        <f>SUMIFS(DataRegularSeason20242025!$AA$3:$AA$1315,DataRegularSeason20242025!$B$3:$B$1315, "&lt;=" &amp; CG$1, DataRegularSeason20242025!$D$3:$D$1315, $A64)+SUMIFS(DataRegularSeason20242025!$AB$3:$AB$1315,DataRegularSeason20242025!$B$3:$B$1315, "&lt;=" &amp; CG$1, DataRegularSeason20242025!$E$3:$E$1315, $A64)</f>
        <v>8</v>
      </c>
      <c r="CH64">
        <f>SUMIFS(DataRegularSeason20242025!$AA$3:$AA$1315,DataRegularSeason20242025!$B$3:$B$1315, "&lt;=" &amp; CH$1, DataRegularSeason20242025!$D$3:$D$1315, $A64)+SUMIFS(DataRegularSeason20242025!$AB$3:$AB$1315,DataRegularSeason20242025!$B$3:$B$1315, "&lt;=" &amp; CH$1, DataRegularSeason20242025!$E$3:$E$1315, $A64)</f>
        <v>8</v>
      </c>
      <c r="CI64">
        <f>SUMIFS(DataRegularSeason20242025!$AA$3:$AA$1315,DataRegularSeason20242025!$B$3:$B$1315, "&lt;=" &amp; CI$1, DataRegularSeason20242025!$D$3:$D$1315, $A64)+SUMIFS(DataRegularSeason20242025!$AB$3:$AB$1315,DataRegularSeason20242025!$B$3:$B$1315, "&lt;=" &amp; CI$1, DataRegularSeason20242025!$E$3:$E$1315, $A64)</f>
        <v>8</v>
      </c>
      <c r="CJ64">
        <f>SUMIFS(DataRegularSeason20242025!$AA$3:$AA$1315,DataRegularSeason20242025!$B$3:$B$1315, "&lt;=" &amp; CJ$1, DataRegularSeason20242025!$D$3:$D$1315, $A64)+SUMIFS(DataRegularSeason20242025!$AB$3:$AB$1315,DataRegularSeason20242025!$B$3:$B$1315, "&lt;=" &amp; CJ$1, DataRegularSeason20242025!$E$3:$E$1315, $A64)</f>
        <v>8</v>
      </c>
      <c r="CK64">
        <f>SUMIFS(DataRegularSeason20242025!$AA$3:$AA$1315,DataRegularSeason20242025!$B$3:$B$1315, "&lt;=" &amp; CK$1, DataRegularSeason20242025!$D$3:$D$1315, $A64)+SUMIFS(DataRegularSeason20242025!$AB$3:$AB$1315,DataRegularSeason20242025!$B$3:$B$1315, "&lt;=" &amp; CK$1, DataRegularSeason20242025!$E$3:$E$1315, $A64)</f>
        <v>8</v>
      </c>
      <c r="CL64">
        <f>SUMIFS(DataRegularSeason20242025!$AA$3:$AA$1315,DataRegularSeason20242025!$B$3:$B$1315, "&lt;=" &amp; CL$1, DataRegularSeason20242025!$D$3:$D$1315, $A64)+SUMIFS(DataRegularSeason20242025!$AB$3:$AB$1315,DataRegularSeason20242025!$B$3:$B$1315, "&lt;=" &amp; CL$1, DataRegularSeason20242025!$E$3:$E$1315, $A64)</f>
        <v>8</v>
      </c>
      <c r="CM64">
        <f>SUMIFS(DataRegularSeason20242025!$AA$3:$AA$1315,DataRegularSeason20242025!$B$3:$B$1315, "&lt;=" &amp; CM$1, DataRegularSeason20242025!$D$3:$D$1315, $A64)+SUMIFS(DataRegularSeason20242025!$AB$3:$AB$1315,DataRegularSeason20242025!$B$3:$B$1315, "&lt;=" &amp; CM$1, DataRegularSeason20242025!$E$3:$E$1315, $A64)</f>
        <v>8</v>
      </c>
      <c r="CN64">
        <f>SUMIFS(DataRegularSeason20242025!$AA$3:$AA$1315,DataRegularSeason20242025!$B$3:$B$1315, "&lt;=" &amp; CN$1, DataRegularSeason20242025!$D$3:$D$1315, $A64)+SUMIFS(DataRegularSeason20242025!$AB$3:$AB$1315,DataRegularSeason20242025!$B$3:$B$1315, "&lt;=" &amp; CN$1, DataRegularSeason20242025!$E$3:$E$1315, $A64)</f>
        <v>8</v>
      </c>
      <c r="CO64">
        <f>SUMIFS(DataRegularSeason20242025!$AA$3:$AA$1315,DataRegularSeason20242025!$B$3:$B$1315, "&lt;=" &amp; CO$1, DataRegularSeason20242025!$D$3:$D$1315, $A64)+SUMIFS(DataRegularSeason20242025!$AB$3:$AB$1315,DataRegularSeason20242025!$B$3:$B$1315, "&lt;=" &amp; CO$1, DataRegularSeason20242025!$E$3:$E$1315, $A64)</f>
        <v>8</v>
      </c>
      <c r="CP64">
        <f>SUMIFS(DataRegularSeason20242025!$AA$3:$AA$1315,DataRegularSeason20242025!$B$3:$B$1315, "&lt;=" &amp; CP$1, DataRegularSeason20242025!$D$3:$D$1315, $A64)+SUMIFS(DataRegularSeason20242025!$AB$3:$AB$1315,DataRegularSeason20242025!$B$3:$B$1315, "&lt;=" &amp; CP$1, DataRegularSeason20242025!$E$3:$E$1315, $A64)</f>
        <v>8</v>
      </c>
      <c r="CQ64">
        <f>SUMIFS(DataRegularSeason20242025!$AA$3:$AA$1315,DataRegularSeason20242025!$B$3:$B$1315, "&lt;=" &amp; CQ$1, DataRegularSeason20242025!$D$3:$D$1315, $A64)+SUMIFS(DataRegularSeason20242025!$AB$3:$AB$1315,DataRegularSeason20242025!$B$3:$B$1315, "&lt;=" &amp; CQ$1, DataRegularSeason20242025!$E$3:$E$1315, $A64)</f>
        <v>8</v>
      </c>
      <c r="CR64">
        <f>SUMIFS(DataRegularSeason20242025!$AA$3:$AA$1315,DataRegularSeason20242025!$B$3:$B$1315, "&lt;=" &amp; CR$1, DataRegularSeason20242025!$D$3:$D$1315, $A64)+SUMIFS(DataRegularSeason20242025!$AB$3:$AB$1315,DataRegularSeason20242025!$B$3:$B$1315, "&lt;=" &amp; CR$1, DataRegularSeason20242025!$E$3:$E$1315, $A64)</f>
        <v>8</v>
      </c>
      <c r="CS64">
        <f>SUMIFS(DataRegularSeason20242025!$AA$3:$AA$1315,DataRegularSeason20242025!$B$3:$B$1315, "&lt;=" &amp; CS$1, DataRegularSeason20242025!$D$3:$D$1315, $A64)+SUMIFS(DataRegularSeason20242025!$AB$3:$AB$1315,DataRegularSeason20242025!$B$3:$B$1315, "&lt;=" &amp; CS$1, DataRegularSeason20242025!$E$3:$E$1315, $A64)</f>
        <v>8</v>
      </c>
      <c r="CT64">
        <f>SUMIFS(DataRegularSeason20242025!$AA$3:$AA$1315,DataRegularSeason20242025!$B$3:$B$1315, "&lt;=" &amp; CT$1, DataRegularSeason20242025!$D$3:$D$1315, $A64)+SUMIFS(DataRegularSeason20242025!$AB$3:$AB$1315,DataRegularSeason20242025!$B$3:$B$1315, "&lt;=" &amp; CT$1, DataRegularSeason20242025!$E$3:$E$1315, $A64)</f>
        <v>8</v>
      </c>
      <c r="CU64">
        <f>SUMIFS(DataRegularSeason20242025!$AA$3:$AA$1315,DataRegularSeason20242025!$B$3:$B$1315, "&lt;=" &amp; CU$1, DataRegularSeason20242025!$D$3:$D$1315, $A64)+SUMIFS(DataRegularSeason20242025!$AB$3:$AB$1315,DataRegularSeason20242025!$B$3:$B$1315, "&lt;=" &amp; CU$1, DataRegularSeason20242025!$E$3:$E$1315, $A64)</f>
        <v>8</v>
      </c>
      <c r="CV64">
        <f>SUMIFS(DataRegularSeason20242025!$AA$3:$AA$1315,DataRegularSeason20242025!$B$3:$B$1315, "&lt;=" &amp; CV$1, DataRegularSeason20242025!$D$3:$D$1315, $A64)+SUMIFS(DataRegularSeason20242025!$AB$3:$AB$1315,DataRegularSeason20242025!$B$3:$B$1315, "&lt;=" &amp; CV$1, DataRegularSeason20242025!$E$3:$E$1315, $A64)</f>
        <v>8</v>
      </c>
      <c r="CW64">
        <f>SUMIFS(DataRegularSeason20242025!$AA$3:$AA$1315,DataRegularSeason20242025!$B$3:$B$1315, "&lt;=" &amp; CW$1, DataRegularSeason20242025!$D$3:$D$1315, $A64)+SUMIFS(DataRegularSeason20242025!$AB$3:$AB$1315,DataRegularSeason20242025!$B$3:$B$1315, "&lt;=" &amp; CW$1, DataRegularSeason20242025!$E$3:$E$1315, $A64)</f>
        <v>8</v>
      </c>
      <c r="CX64">
        <f>SUMIFS(DataRegularSeason20242025!$AA$3:$AA$1315,DataRegularSeason20242025!$B$3:$B$1315, "&lt;=" &amp; CX$1, DataRegularSeason20242025!$D$3:$D$1315, $A64)+SUMIFS(DataRegularSeason20242025!$AB$3:$AB$1315,DataRegularSeason20242025!$B$3:$B$1315, "&lt;=" &amp; CX$1, DataRegularSeason20242025!$E$3:$E$1315, $A64)</f>
        <v>8</v>
      </c>
      <c r="CY64">
        <f>SUMIFS(DataRegularSeason20242025!$AA$3:$AA$1315,DataRegularSeason20242025!$B$3:$B$1315, "&lt;=" &amp; CY$1, DataRegularSeason20242025!$D$3:$D$1315, $A64)+SUMIFS(DataRegularSeason20242025!$AB$3:$AB$1315,DataRegularSeason20242025!$B$3:$B$1315, "&lt;=" &amp; CY$1, DataRegularSeason20242025!$E$3:$E$1315, $A64)</f>
        <v>8</v>
      </c>
      <c r="CZ64">
        <f>SUMIFS(DataRegularSeason20242025!$AA$3:$AA$1315,DataRegularSeason20242025!$B$3:$B$1315, "&lt;=" &amp; CZ$1, DataRegularSeason20242025!$D$3:$D$1315, $A64)+SUMIFS(DataRegularSeason20242025!$AB$3:$AB$1315,DataRegularSeason20242025!$B$3:$B$1315, "&lt;=" &amp; CZ$1, DataRegularSeason20242025!$E$3:$E$1315, $A64)</f>
        <v>8</v>
      </c>
      <c r="DA64">
        <f>SUMIFS(DataRegularSeason20242025!$AA$3:$AA$1315,DataRegularSeason20242025!$B$3:$B$1315, "&lt;=" &amp; DA$1, DataRegularSeason20242025!$D$3:$D$1315, $A64)+SUMIFS(DataRegularSeason20242025!$AB$3:$AB$1315,DataRegularSeason20242025!$B$3:$B$1315, "&lt;=" &amp; DA$1, DataRegularSeason20242025!$E$3:$E$1315, $A64)</f>
        <v>8</v>
      </c>
      <c r="DB64">
        <f>SUMIFS(DataRegularSeason20242025!$AA$3:$AA$1315,DataRegularSeason20242025!$B$3:$B$1315, "&lt;=" &amp; DB$1, DataRegularSeason20242025!$D$3:$D$1315, $A64)+SUMIFS(DataRegularSeason20242025!$AB$3:$AB$1315,DataRegularSeason20242025!$B$3:$B$1315, "&lt;=" &amp; DB$1, DataRegularSeason20242025!$E$3:$E$1315, $A64)</f>
        <v>8</v>
      </c>
      <c r="DC64">
        <f>SUMIFS(DataRegularSeason20242025!$AA$3:$AA$1315,DataRegularSeason20242025!$B$3:$B$1315, "&lt;=" &amp; DC$1, DataRegularSeason20242025!$D$3:$D$1315, $A64)+SUMIFS(DataRegularSeason20242025!$AB$3:$AB$1315,DataRegularSeason20242025!$B$3:$B$1315, "&lt;=" &amp; DC$1, DataRegularSeason20242025!$E$3:$E$1315, $A64)</f>
        <v>8</v>
      </c>
      <c r="DD64">
        <f>SUMIFS(DataRegularSeason20242025!$AA$3:$AA$1315,DataRegularSeason20242025!$B$3:$B$1315, "&lt;=" &amp; DD$1, DataRegularSeason20242025!$D$3:$D$1315, $A64)+SUMIFS(DataRegularSeason20242025!$AB$3:$AB$1315,DataRegularSeason20242025!$B$3:$B$1315, "&lt;=" &amp; DD$1, DataRegularSeason20242025!$E$3:$E$1315, $A64)</f>
        <v>8</v>
      </c>
      <c r="DE64">
        <f>SUMIFS(DataRegularSeason20242025!$AA$3:$AA$1315,DataRegularSeason20242025!$B$3:$B$1315, "&lt;=" &amp; DE$1, DataRegularSeason20242025!$D$3:$D$1315, $A64)+SUMIFS(DataRegularSeason20242025!$AB$3:$AB$1315,DataRegularSeason20242025!$B$3:$B$1315, "&lt;=" &amp; DE$1, DataRegularSeason20242025!$E$3:$E$1315, $A64)</f>
        <v>8</v>
      </c>
      <c r="DF64">
        <f>SUMIFS(DataRegularSeason20242025!$AA$3:$AA$1315,DataRegularSeason20242025!$B$3:$B$1315, "&lt;=" &amp; DF$1, DataRegularSeason20242025!$D$3:$D$1315, $A64)+SUMIFS(DataRegularSeason20242025!$AB$3:$AB$1315,DataRegularSeason20242025!$B$3:$B$1315, "&lt;=" &amp; DF$1, DataRegularSeason20242025!$E$3:$E$1315, $A64)</f>
        <v>8</v>
      </c>
      <c r="DG64">
        <f>SUMIFS(DataRegularSeason20242025!$AA$3:$AA$1315,DataRegularSeason20242025!$B$3:$B$1315, "&lt;=" &amp; DG$1, DataRegularSeason20242025!$D$3:$D$1315, $A64)+SUMIFS(DataRegularSeason20242025!$AB$3:$AB$1315,DataRegularSeason20242025!$B$3:$B$1315, "&lt;=" &amp; DG$1, DataRegularSeason20242025!$E$3:$E$1315, $A64)</f>
        <v>8</v>
      </c>
      <c r="DH64">
        <f>SUMIFS(DataRegularSeason20242025!$AA$3:$AA$1315,DataRegularSeason20242025!$B$3:$B$1315, "&lt;=" &amp; DH$1, DataRegularSeason20242025!$D$3:$D$1315, $A64)+SUMIFS(DataRegularSeason20242025!$AB$3:$AB$1315,DataRegularSeason20242025!$B$3:$B$1315, "&lt;=" &amp; DH$1, DataRegularSeason20242025!$E$3:$E$1315, $A64)</f>
        <v>8</v>
      </c>
      <c r="DI64">
        <f>SUMIFS(DataRegularSeason20242025!$AA$3:$AA$1315,DataRegularSeason20242025!$B$3:$B$1315, "&lt;=" &amp; DI$1, DataRegularSeason20242025!$D$3:$D$1315, $A64)+SUMIFS(DataRegularSeason20242025!$AB$3:$AB$1315,DataRegularSeason20242025!$B$3:$B$1315, "&lt;=" &amp; DI$1, DataRegularSeason20242025!$E$3:$E$1315, $A64)</f>
        <v>8</v>
      </c>
      <c r="DJ64">
        <f>SUMIFS(DataRegularSeason20242025!$AA$3:$AA$1315,DataRegularSeason20242025!$B$3:$B$1315, "&lt;=" &amp; DJ$1, DataRegularSeason20242025!$D$3:$D$1315, $A64)+SUMIFS(DataRegularSeason20242025!$AB$3:$AB$1315,DataRegularSeason20242025!$B$3:$B$1315, "&lt;=" &amp; DJ$1, DataRegularSeason20242025!$E$3:$E$1315, $A64)</f>
        <v>8</v>
      </c>
      <c r="DK64">
        <f>SUMIFS(DataRegularSeason20242025!$AA$3:$AA$1315,DataRegularSeason20242025!$B$3:$B$1315, "&lt;=" &amp; DK$1, DataRegularSeason20242025!$D$3:$D$1315, $A64)+SUMIFS(DataRegularSeason20242025!$AB$3:$AB$1315,DataRegularSeason20242025!$B$3:$B$1315, "&lt;=" &amp; DK$1, DataRegularSeason20242025!$E$3:$E$1315, $A64)</f>
        <v>8</v>
      </c>
      <c r="DL64">
        <f>SUMIFS(DataRegularSeason20242025!$AA$3:$AA$1315,DataRegularSeason20242025!$B$3:$B$1315, "&lt;=" &amp; DL$1, DataRegularSeason20242025!$D$3:$D$1315, $A64)+SUMIFS(DataRegularSeason20242025!$AB$3:$AB$1315,DataRegularSeason20242025!$B$3:$B$1315, "&lt;=" &amp; DL$1, DataRegularSeason20242025!$E$3:$E$1315, $A64)</f>
        <v>8</v>
      </c>
      <c r="DM64">
        <f>SUMIFS(DataRegularSeason20242025!$AA$3:$AA$1315,DataRegularSeason20242025!$B$3:$B$1315, "&lt;=" &amp; DM$1, DataRegularSeason20242025!$D$3:$D$1315, $A64)+SUMIFS(DataRegularSeason20242025!$AB$3:$AB$1315,DataRegularSeason20242025!$B$3:$B$1315, "&lt;=" &amp; DM$1, DataRegularSeason20242025!$E$3:$E$1315, $A64)</f>
        <v>8</v>
      </c>
      <c r="DN64">
        <f>SUMIFS(DataRegularSeason20242025!$AA$3:$AA$1315,DataRegularSeason20242025!$B$3:$B$1315, "&lt;=" &amp; DN$1, DataRegularSeason20242025!$D$3:$D$1315, $A64)+SUMIFS(DataRegularSeason20242025!$AB$3:$AB$1315,DataRegularSeason20242025!$B$3:$B$1315, "&lt;=" &amp; DN$1, DataRegularSeason20242025!$E$3:$E$1315, $A64)</f>
        <v>8</v>
      </c>
      <c r="DO64">
        <f>SUMIFS(DataRegularSeason20242025!$AA$3:$AA$1315,DataRegularSeason20242025!$B$3:$B$1315, "&lt;=" &amp; DO$1, DataRegularSeason20242025!$D$3:$D$1315, $A64)+SUMIFS(DataRegularSeason20242025!$AB$3:$AB$1315,DataRegularSeason20242025!$B$3:$B$1315, "&lt;=" &amp; DO$1, DataRegularSeason20242025!$E$3:$E$1315, $A64)</f>
        <v>8</v>
      </c>
      <c r="DP64">
        <f>SUMIFS(DataRegularSeason20242025!$AA$3:$AA$1315,DataRegularSeason20242025!$B$3:$B$1315, "&lt;=" &amp; DP$1, DataRegularSeason20242025!$D$3:$D$1315, $A64)+SUMIFS(DataRegularSeason20242025!$AB$3:$AB$1315,DataRegularSeason20242025!$B$3:$B$1315, "&lt;=" &amp; DP$1, DataRegularSeason20242025!$E$3:$E$1315, $A64)</f>
        <v>8</v>
      </c>
      <c r="DQ64">
        <f>SUMIFS(DataRegularSeason20242025!$AA$3:$AA$1315,DataRegularSeason20242025!$B$3:$B$1315, "&lt;=" &amp; DQ$1, DataRegularSeason20242025!$D$3:$D$1315, $A64)+SUMIFS(DataRegularSeason20242025!$AB$3:$AB$1315,DataRegularSeason20242025!$B$3:$B$1315, "&lt;=" &amp; DQ$1, DataRegularSeason20242025!$E$3:$E$1315, $A64)</f>
        <v>8</v>
      </c>
      <c r="DR64">
        <f>SUMIFS(DataRegularSeason20242025!$AA$3:$AA$1315,DataRegularSeason20242025!$B$3:$B$1315, "&lt;=" &amp; DR$1, DataRegularSeason20242025!$D$3:$D$1315, $A64)+SUMIFS(DataRegularSeason20242025!$AB$3:$AB$1315,DataRegularSeason20242025!$B$3:$B$1315, "&lt;=" &amp; DR$1, DataRegularSeason20242025!$E$3:$E$1315, $A64)</f>
        <v>8</v>
      </c>
      <c r="DS64">
        <f>SUMIFS(DataRegularSeason20242025!$AA$3:$AA$1315,DataRegularSeason20242025!$B$3:$B$1315, "&lt;=" &amp; DS$1, DataRegularSeason20242025!$D$3:$D$1315, $A64)+SUMIFS(DataRegularSeason20242025!$AB$3:$AB$1315,DataRegularSeason20242025!$B$3:$B$1315, "&lt;=" &amp; DS$1, DataRegularSeason20242025!$E$3:$E$1315, $A64)</f>
        <v>8</v>
      </c>
      <c r="DT64">
        <f>SUMIFS(DataRegularSeason20242025!$AA$3:$AA$1315,DataRegularSeason20242025!$B$3:$B$1315, "&lt;=" &amp; DT$1, DataRegularSeason20242025!$D$3:$D$1315, $A64)+SUMIFS(DataRegularSeason20242025!$AB$3:$AB$1315,DataRegularSeason20242025!$B$3:$B$1315, "&lt;=" &amp; DT$1, DataRegularSeason20242025!$E$3:$E$1315, $A64)</f>
        <v>8</v>
      </c>
      <c r="DU64">
        <f>SUMIFS(DataRegularSeason20242025!$AA$3:$AA$1315,DataRegularSeason20242025!$B$3:$B$1315, "&lt;=" &amp; DU$1, DataRegularSeason20242025!$D$3:$D$1315, $A64)+SUMIFS(DataRegularSeason20242025!$AB$3:$AB$1315,DataRegularSeason20242025!$B$3:$B$1315, "&lt;=" &amp; DU$1, DataRegularSeason20242025!$E$3:$E$1315, $A64)</f>
        <v>8</v>
      </c>
      <c r="DV64">
        <f>SUMIFS(DataRegularSeason20242025!$AA$3:$AA$1315,DataRegularSeason20242025!$B$3:$B$1315, "&lt;=" &amp; DV$1, DataRegularSeason20242025!$D$3:$D$1315, $A64)+SUMIFS(DataRegularSeason20242025!$AB$3:$AB$1315,DataRegularSeason20242025!$B$3:$B$1315, "&lt;=" &amp; DV$1, DataRegularSeason20242025!$E$3:$E$1315, $A64)</f>
        <v>8</v>
      </c>
      <c r="DW64">
        <f>SUMIFS(DataRegularSeason20242025!$AA$3:$AA$1315,DataRegularSeason20242025!$B$3:$B$1315, "&lt;=" &amp; DW$1, DataRegularSeason20242025!$D$3:$D$1315, $A64)+SUMIFS(DataRegularSeason20242025!$AB$3:$AB$1315,DataRegularSeason20242025!$B$3:$B$1315, "&lt;=" &amp; DW$1, DataRegularSeason20242025!$E$3:$E$1315, $A64)</f>
        <v>8</v>
      </c>
      <c r="DX64">
        <f>SUMIFS(DataRegularSeason20242025!$AA$3:$AA$1315,DataRegularSeason20242025!$B$3:$B$1315, "&lt;=" &amp; DX$1, DataRegularSeason20242025!$D$3:$D$1315, $A64)+SUMIFS(DataRegularSeason20242025!$AB$3:$AB$1315,DataRegularSeason20242025!$B$3:$B$1315, "&lt;=" &amp; DX$1, DataRegularSeason20242025!$E$3:$E$1315, $A64)</f>
        <v>8</v>
      </c>
      <c r="DY64">
        <f>SUMIFS(DataRegularSeason20242025!$AA$3:$AA$1315,DataRegularSeason20242025!$B$3:$B$1315, "&lt;=" &amp; DY$1, DataRegularSeason20242025!$D$3:$D$1315, $A64)+SUMIFS(DataRegularSeason20242025!$AB$3:$AB$1315,DataRegularSeason20242025!$B$3:$B$1315, "&lt;=" &amp; DY$1, DataRegularSeason20242025!$E$3:$E$1315, $A64)</f>
        <v>8</v>
      </c>
      <c r="DZ64">
        <f>SUMIFS(DataRegularSeason20242025!$AA$3:$AA$1315,DataRegularSeason20242025!$B$3:$B$1315, "&lt;=" &amp; DZ$1, DataRegularSeason20242025!$D$3:$D$1315, $A64)+SUMIFS(DataRegularSeason20242025!$AB$3:$AB$1315,DataRegularSeason20242025!$B$3:$B$1315, "&lt;=" &amp; DZ$1, DataRegularSeason20242025!$E$3:$E$1315, $A64)</f>
        <v>8</v>
      </c>
      <c r="EA64">
        <f>SUMIFS(DataRegularSeason20242025!$AA$3:$AA$1315,DataRegularSeason20242025!$B$3:$B$1315, "&lt;=" &amp; EA$1, DataRegularSeason20242025!$D$3:$D$1315, $A64)+SUMIFS(DataRegularSeason20242025!$AB$3:$AB$1315,DataRegularSeason20242025!$B$3:$B$1315, "&lt;=" &amp; EA$1, DataRegularSeason20242025!$E$3:$E$1315, $A64)</f>
        <v>8</v>
      </c>
      <c r="EB64">
        <f>SUMIFS(DataRegularSeason20242025!$AA$3:$AA$1315,DataRegularSeason20242025!$B$3:$B$1315, "&lt;=" &amp; EB$1, DataRegularSeason20242025!$D$3:$D$1315, $A64)+SUMIFS(DataRegularSeason20242025!$AB$3:$AB$1315,DataRegularSeason20242025!$B$3:$B$1315, "&lt;=" &amp; EB$1, DataRegularSeason20242025!$E$3:$E$1315, $A64)</f>
        <v>8</v>
      </c>
      <c r="EC64">
        <f>SUMIFS(DataRegularSeason20242025!$AA$3:$AA$1315,DataRegularSeason20242025!$B$3:$B$1315, "&lt;=" &amp; EC$1, DataRegularSeason20242025!$D$3:$D$1315, $A64)+SUMIFS(DataRegularSeason20242025!$AB$3:$AB$1315,DataRegularSeason20242025!$B$3:$B$1315, "&lt;=" &amp; EC$1, DataRegularSeason20242025!$E$3:$E$1315, $A64)</f>
        <v>8</v>
      </c>
      <c r="ED64">
        <f>SUMIFS(DataRegularSeason20242025!$AA$3:$AA$1315,DataRegularSeason20242025!$B$3:$B$1315, "&lt;=" &amp; ED$1, DataRegularSeason20242025!$D$3:$D$1315, $A64)+SUMIFS(DataRegularSeason20242025!$AB$3:$AB$1315,DataRegularSeason20242025!$B$3:$B$1315, "&lt;=" &amp; ED$1, DataRegularSeason20242025!$E$3:$E$1315, $A64)</f>
        <v>8</v>
      </c>
      <c r="EE64">
        <f>SUMIFS(DataRegularSeason20242025!$AA$3:$AA$1315,DataRegularSeason20242025!$B$3:$B$1315, "&lt;=" &amp; EE$1, DataRegularSeason20242025!$D$3:$D$1315, $A64)+SUMIFS(DataRegularSeason20242025!$AB$3:$AB$1315,DataRegularSeason20242025!$B$3:$B$1315, "&lt;=" &amp; EE$1, DataRegularSeason20242025!$E$3:$E$1315, $A64)</f>
        <v>8</v>
      </c>
      <c r="EF64">
        <f>SUMIFS(DataRegularSeason20242025!$AA$3:$AA$1315,DataRegularSeason20242025!$B$3:$B$1315, "&lt;=" &amp; EF$1, DataRegularSeason20242025!$D$3:$D$1315, $A64)+SUMIFS(DataRegularSeason20242025!$AB$3:$AB$1315,DataRegularSeason20242025!$B$3:$B$1315, "&lt;=" &amp; EF$1, DataRegularSeason20242025!$E$3:$E$1315, $A64)</f>
        <v>8</v>
      </c>
      <c r="EG64">
        <f>SUMIFS(DataRegularSeason20242025!$AA$3:$AA$1315,DataRegularSeason20242025!$B$3:$B$1315, "&lt;=" &amp; EG$1, DataRegularSeason20242025!$D$3:$D$1315, $A64)+SUMIFS(DataRegularSeason20242025!$AB$3:$AB$1315,DataRegularSeason20242025!$B$3:$B$1315, "&lt;=" &amp; EG$1, DataRegularSeason20242025!$E$3:$E$1315, $A64)</f>
        <v>8</v>
      </c>
      <c r="EH64">
        <f>SUMIFS(DataRegularSeason20242025!$AA$3:$AA$1315,DataRegularSeason20242025!$B$3:$B$1315, "&lt;=" &amp; EH$1, DataRegularSeason20242025!$D$3:$D$1315, $A64)+SUMIFS(DataRegularSeason20242025!$AB$3:$AB$1315,DataRegularSeason20242025!$B$3:$B$1315, "&lt;=" &amp; EH$1, DataRegularSeason20242025!$E$3:$E$1315, $A64)</f>
        <v>8</v>
      </c>
      <c r="EI64">
        <f>SUMIFS(DataRegularSeason20242025!$AA$3:$AA$1315,DataRegularSeason20242025!$B$3:$B$1315, "&lt;=" &amp; EI$1, DataRegularSeason20242025!$D$3:$D$1315, $A64)+SUMIFS(DataRegularSeason20242025!$AB$3:$AB$1315,DataRegularSeason20242025!$B$3:$B$1315, "&lt;=" &amp; EI$1, DataRegularSeason20242025!$E$3:$E$1315, $A64)</f>
        <v>8</v>
      </c>
      <c r="EJ64">
        <f>SUMIFS(DataRegularSeason20242025!$AA$3:$AA$1315,DataRegularSeason20242025!$B$3:$B$1315, "&lt;=" &amp; EJ$1, DataRegularSeason20242025!$D$3:$D$1315, $A64)+SUMIFS(DataRegularSeason20242025!$AB$3:$AB$1315,DataRegularSeason20242025!$B$3:$B$1315, "&lt;=" &amp; EJ$1, DataRegularSeason20242025!$E$3:$E$1315, $A64)</f>
        <v>8</v>
      </c>
      <c r="EK64">
        <f>SUMIFS(DataRegularSeason20242025!$AA$3:$AA$1315,DataRegularSeason20242025!$B$3:$B$1315, "&lt;=" &amp; EK$1, DataRegularSeason20242025!$D$3:$D$1315, $A64)+SUMIFS(DataRegularSeason20242025!$AB$3:$AB$1315,DataRegularSeason20242025!$B$3:$B$1315, "&lt;=" &amp; EK$1, DataRegularSeason20242025!$E$3:$E$1315, $A64)</f>
        <v>8</v>
      </c>
      <c r="EL64">
        <f>SUMIFS(DataRegularSeason20242025!$AA$3:$AA$1315,DataRegularSeason20242025!$B$3:$B$1315, "&lt;=" &amp; EL$1, DataRegularSeason20242025!$D$3:$D$1315, $A64)+SUMIFS(DataRegularSeason20242025!$AB$3:$AB$1315,DataRegularSeason20242025!$B$3:$B$1315, "&lt;=" &amp; EL$1, DataRegularSeason20242025!$E$3:$E$1315, $A64)</f>
        <v>8</v>
      </c>
      <c r="EM64">
        <f>SUMIFS(DataRegularSeason20242025!$AA$3:$AA$1315,DataRegularSeason20242025!$B$3:$B$1315, "&lt;=" &amp; EM$1, DataRegularSeason20242025!$D$3:$D$1315, $A64)+SUMIFS(DataRegularSeason20242025!$AB$3:$AB$1315,DataRegularSeason20242025!$B$3:$B$1315, "&lt;=" &amp; EM$1, DataRegularSeason20242025!$E$3:$E$1315, $A64)</f>
        <v>8</v>
      </c>
      <c r="EN64">
        <f>SUMIFS(DataRegularSeason20242025!$AA$3:$AA$1315,DataRegularSeason20242025!$B$3:$B$1315, "&lt;=" &amp; EN$1, DataRegularSeason20242025!$D$3:$D$1315, $A64)+SUMIFS(DataRegularSeason20242025!$AB$3:$AB$1315,DataRegularSeason20242025!$B$3:$B$1315, "&lt;=" &amp; EN$1, DataRegularSeason20242025!$E$3:$E$1315, $A64)</f>
        <v>8</v>
      </c>
      <c r="EO64">
        <f>SUMIFS(DataRegularSeason20242025!$AA$3:$AA$1315,DataRegularSeason20242025!$B$3:$B$1315, "&lt;=" &amp; EO$1, DataRegularSeason20242025!$D$3:$D$1315, $A64)+SUMIFS(DataRegularSeason20242025!$AB$3:$AB$1315,DataRegularSeason20242025!$B$3:$B$1315, "&lt;=" &amp; EO$1, DataRegularSeason20242025!$E$3:$E$1315, $A64)</f>
        <v>8</v>
      </c>
      <c r="EP64">
        <f>SUMIFS(DataRegularSeason20242025!$AA$3:$AA$1315,DataRegularSeason20242025!$B$3:$B$1315, "&lt;=" &amp; EP$1, DataRegularSeason20242025!$D$3:$D$1315, $A64)+SUMIFS(DataRegularSeason20242025!$AB$3:$AB$1315,DataRegularSeason20242025!$B$3:$B$1315, "&lt;=" &amp; EP$1, DataRegularSeason20242025!$E$3:$E$1315, $A64)</f>
        <v>8</v>
      </c>
      <c r="EQ64">
        <f>SUMIFS(DataRegularSeason20242025!$AA$3:$AA$1315,DataRegularSeason20242025!$B$3:$B$1315, "&lt;=" &amp; EQ$1, DataRegularSeason20242025!$D$3:$D$1315, $A64)+SUMIFS(DataRegularSeason20242025!$AB$3:$AB$1315,DataRegularSeason20242025!$B$3:$B$1315, "&lt;=" &amp; EQ$1, DataRegularSeason20242025!$E$3:$E$1315, $A64)</f>
        <v>8</v>
      </c>
      <c r="ER64">
        <f>SUMIFS(DataRegularSeason20242025!$AA$3:$AA$1315,DataRegularSeason20242025!$B$3:$B$1315, "&lt;=" &amp; ER$1, DataRegularSeason20242025!$D$3:$D$1315, $A64)+SUMIFS(DataRegularSeason20242025!$AB$3:$AB$1315,DataRegularSeason20242025!$B$3:$B$1315, "&lt;=" &amp; ER$1, DataRegularSeason20242025!$E$3:$E$1315, $A64)</f>
        <v>8</v>
      </c>
      <c r="ES64">
        <f>SUMIFS(DataRegularSeason20242025!$AA$3:$AA$1315,DataRegularSeason20242025!$B$3:$B$1315, "&lt;=" &amp; ES$1, DataRegularSeason20242025!$D$3:$D$1315, $A64)+SUMIFS(DataRegularSeason20242025!$AB$3:$AB$1315,DataRegularSeason20242025!$B$3:$B$1315, "&lt;=" &amp; ES$1, DataRegularSeason20242025!$E$3:$E$1315, $A64)</f>
        <v>8</v>
      </c>
      <c r="ET64">
        <f>SUMIFS(DataRegularSeason20242025!$AA$3:$AA$1315,DataRegularSeason20242025!$B$3:$B$1315, "&lt;=" &amp; ET$1, DataRegularSeason20242025!$D$3:$D$1315, $A64)+SUMIFS(DataRegularSeason20242025!$AB$3:$AB$1315,DataRegularSeason20242025!$B$3:$B$1315, "&lt;=" &amp; ET$1, DataRegularSeason20242025!$E$3:$E$1315, $A64)</f>
        <v>8</v>
      </c>
      <c r="EU64">
        <f>SUMIFS(DataRegularSeason20242025!$AA$3:$AA$1315,DataRegularSeason20242025!$B$3:$B$1315, "&lt;=" &amp; EU$1, DataRegularSeason20242025!$D$3:$D$1315, $A64)+SUMIFS(DataRegularSeason20242025!$AB$3:$AB$1315,DataRegularSeason20242025!$B$3:$B$1315, "&lt;=" &amp; EU$1, DataRegularSeason20242025!$E$3:$E$1315, $A64)</f>
        <v>8</v>
      </c>
      <c r="EV64">
        <f>SUMIFS(DataRegularSeason20242025!$AA$3:$AA$1315,DataRegularSeason20242025!$B$3:$B$1315, "&lt;=" &amp; EV$1, DataRegularSeason20242025!$D$3:$D$1315, $A64)+SUMIFS(DataRegularSeason20242025!$AB$3:$AB$1315,DataRegularSeason20242025!$B$3:$B$1315, "&lt;=" &amp; EV$1, DataRegularSeason20242025!$E$3:$E$1315, $A64)</f>
        <v>8</v>
      </c>
      <c r="EW64">
        <f>SUMIFS(DataRegularSeason20242025!$AA$3:$AA$1315,DataRegularSeason20242025!$B$3:$B$1315, "&lt;=" &amp; EW$1, DataRegularSeason20242025!$D$3:$D$1315, $A64)+SUMIFS(DataRegularSeason20242025!$AB$3:$AB$1315,DataRegularSeason20242025!$B$3:$B$1315, "&lt;=" &amp; EW$1, DataRegularSeason20242025!$E$3:$E$1315, $A64)</f>
        <v>8</v>
      </c>
      <c r="EX64">
        <f>SUMIFS(DataRegularSeason20242025!$AA$3:$AA$1315,DataRegularSeason20242025!$B$3:$B$1315, "&lt;=" &amp; EX$1, DataRegularSeason20242025!$D$3:$D$1315, $A64)+SUMIFS(DataRegularSeason20242025!$AB$3:$AB$1315,DataRegularSeason20242025!$B$3:$B$1315, "&lt;=" &amp; EX$1, DataRegularSeason20242025!$E$3:$E$1315, $A64)</f>
        <v>8</v>
      </c>
      <c r="EY64">
        <f>SUMIFS(DataRegularSeason20242025!$AA$3:$AA$1315,DataRegularSeason20242025!$B$3:$B$1315, "&lt;=" &amp; EY$1, DataRegularSeason20242025!$D$3:$D$1315, $A64)+SUMIFS(DataRegularSeason20242025!$AB$3:$AB$1315,DataRegularSeason20242025!$B$3:$B$1315, "&lt;=" &amp; EY$1, DataRegularSeason20242025!$E$3:$E$1315, $A64)</f>
        <v>8</v>
      </c>
      <c r="EZ64">
        <f>SUMIFS(DataRegularSeason20242025!$AA$3:$AA$1315,DataRegularSeason20242025!$B$3:$B$1315, "&lt;=" &amp; EZ$1, DataRegularSeason20242025!$D$3:$D$1315, $A64)+SUMIFS(DataRegularSeason20242025!$AB$3:$AB$1315,DataRegularSeason20242025!$B$3:$B$1315, "&lt;=" &amp; EZ$1, DataRegularSeason20242025!$E$3:$E$1315, $A64)</f>
        <v>8</v>
      </c>
      <c r="FA64">
        <f>SUMIFS(DataRegularSeason20242025!$AA$3:$AA$1315,DataRegularSeason20242025!$B$3:$B$1315, "&lt;=" &amp; FA$1, DataRegularSeason20242025!$D$3:$D$1315, $A64)+SUMIFS(DataRegularSeason20242025!$AB$3:$AB$1315,DataRegularSeason20242025!$B$3:$B$1315, "&lt;=" &amp; FA$1, DataRegularSeason20242025!$E$3:$E$1315, $A64)</f>
        <v>8</v>
      </c>
      <c r="FB64">
        <f>SUMIFS(DataRegularSeason20242025!$AA$3:$AA$1315,DataRegularSeason20242025!$B$3:$B$1315, "&lt;=" &amp; FB$1, DataRegularSeason20242025!$D$3:$D$1315, $A64)+SUMIFS(DataRegularSeason20242025!$AB$3:$AB$1315,DataRegularSeason20242025!$B$3:$B$1315, "&lt;=" &amp; FB$1, DataRegularSeason20242025!$E$3:$E$1315, $A64)</f>
        <v>8</v>
      </c>
      <c r="FC64">
        <f>SUMIFS(DataRegularSeason20242025!$AA$3:$AA$1315,DataRegularSeason20242025!$B$3:$B$1315, "&lt;=" &amp; FC$1, DataRegularSeason20242025!$D$3:$D$1315, $A64)+SUMIFS(DataRegularSeason20242025!$AB$3:$AB$1315,DataRegularSeason20242025!$B$3:$B$1315, "&lt;=" &amp; FC$1, DataRegularSeason20242025!$E$3:$E$1315, $A64)</f>
        <v>8</v>
      </c>
      <c r="FD64">
        <f>SUMIFS(DataRegularSeason20242025!$AA$3:$AA$1315,DataRegularSeason20242025!$B$3:$B$1315, "&lt;=" &amp; FD$1, DataRegularSeason20242025!$D$3:$D$1315, $A64)+SUMIFS(DataRegularSeason20242025!$AB$3:$AB$1315,DataRegularSeason20242025!$B$3:$B$1315, "&lt;=" &amp; FD$1, DataRegularSeason20242025!$E$3:$E$1315, $A64)</f>
        <v>8</v>
      </c>
      <c r="FE64">
        <f>SUMIFS(DataRegularSeason20242025!$AA$3:$AA$1315,DataRegularSeason20242025!$B$3:$B$1315, "&lt;=" &amp; FE$1, DataRegularSeason20242025!$D$3:$D$1315, $A64)+SUMIFS(DataRegularSeason20242025!$AB$3:$AB$1315,DataRegularSeason20242025!$B$3:$B$1315, "&lt;=" &amp; FE$1, DataRegularSeason20242025!$E$3:$E$1315, $A64)</f>
        <v>8</v>
      </c>
      <c r="FF64">
        <f>SUMIFS(DataRegularSeason20242025!$AA$3:$AA$1315,DataRegularSeason20242025!$B$3:$B$1315, "&lt;=" &amp; FF$1, DataRegularSeason20242025!$D$3:$D$1315, $A64)+SUMIFS(DataRegularSeason20242025!$AB$3:$AB$1315,DataRegularSeason20242025!$B$3:$B$1315, "&lt;=" &amp; FF$1, DataRegularSeason20242025!$E$3:$E$1315, $A64)</f>
        <v>8</v>
      </c>
      <c r="FG64">
        <f>SUMIFS(DataRegularSeason20242025!$AA$3:$AA$1315,DataRegularSeason20242025!$B$3:$B$1315, "&lt;=" &amp; FG$1, DataRegularSeason20242025!$D$3:$D$1315, $A64)+SUMIFS(DataRegularSeason20242025!$AB$3:$AB$1315,DataRegularSeason20242025!$B$3:$B$1315, "&lt;=" &amp; FG$1, DataRegularSeason20242025!$E$3:$E$1315, $A64)</f>
        <v>8</v>
      </c>
      <c r="FH64">
        <f>SUMIFS(DataRegularSeason20242025!$AA$3:$AA$1315,DataRegularSeason20242025!$B$3:$B$1315, "&lt;=" &amp; FH$1, DataRegularSeason20242025!$D$3:$D$1315, $A64)+SUMIFS(DataRegularSeason20242025!$AB$3:$AB$1315,DataRegularSeason20242025!$B$3:$B$1315, "&lt;=" &amp; FH$1, DataRegularSeason20242025!$E$3:$E$1315, $A64)</f>
        <v>8</v>
      </c>
      <c r="FI64">
        <f>SUMIFS(DataRegularSeason20242025!$AA$3:$AA$1315,DataRegularSeason20242025!$B$3:$B$1315, "&lt;=" &amp; FI$1, DataRegularSeason20242025!$D$3:$D$1315, $A64)+SUMIFS(DataRegularSeason20242025!$AB$3:$AB$1315,DataRegularSeason20242025!$B$3:$B$1315, "&lt;=" &amp; FI$1, DataRegularSeason20242025!$E$3:$E$1315, $A64)</f>
        <v>8</v>
      </c>
      <c r="FJ64">
        <f>SUMIFS(DataRegularSeason20242025!$AA$3:$AA$1315,DataRegularSeason20242025!$B$3:$B$1315, "&lt;=" &amp; FJ$1, DataRegularSeason20242025!$D$3:$D$1315, $A64)+SUMIFS(DataRegularSeason20242025!$AB$3:$AB$1315,DataRegularSeason20242025!$B$3:$B$1315, "&lt;=" &amp; FJ$1, DataRegularSeason20242025!$E$3:$E$1315, $A64)</f>
        <v>8</v>
      </c>
      <c r="FK64">
        <f>SUMIFS(DataRegularSeason20242025!$AA$3:$AA$1315,DataRegularSeason20242025!$B$3:$B$1315, "&lt;=" &amp; FK$1, DataRegularSeason20242025!$D$3:$D$1315, $A64)+SUMIFS(DataRegularSeason20242025!$AB$3:$AB$1315,DataRegularSeason20242025!$B$3:$B$1315, "&lt;=" &amp; FK$1, DataRegularSeason20242025!$E$3:$E$1315, $A64)</f>
        <v>8</v>
      </c>
      <c r="FL64">
        <f>SUMIFS(DataRegularSeason20242025!$AA$3:$AA$1315,DataRegularSeason20242025!$B$3:$B$1315, "&lt;=" &amp; FL$1, DataRegularSeason20242025!$D$3:$D$1315, $A64)+SUMIFS(DataRegularSeason20242025!$AB$3:$AB$1315,DataRegularSeason20242025!$B$3:$B$1315, "&lt;=" &amp; FL$1, DataRegularSeason20242025!$E$3:$E$1315, $A64)</f>
        <v>8</v>
      </c>
      <c r="FM64">
        <f>SUMIFS(DataRegularSeason20242025!$AA$3:$AA$1315,DataRegularSeason20242025!$B$3:$B$1315, "&lt;=" &amp; FM$1, DataRegularSeason20242025!$D$3:$D$1315, $A64)+SUMIFS(DataRegularSeason20242025!$AB$3:$AB$1315,DataRegularSeason20242025!$B$3:$B$1315, "&lt;=" &amp; FM$1, DataRegularSeason20242025!$E$3:$E$1315, $A64)</f>
        <v>8</v>
      </c>
      <c r="FN64">
        <f>SUMIFS(DataRegularSeason20242025!$AA$3:$AA$1315,DataRegularSeason20242025!$B$3:$B$1315, "&lt;=" &amp; FN$1, DataRegularSeason20242025!$D$3:$D$1315, $A64)+SUMIFS(DataRegularSeason20242025!$AB$3:$AB$1315,DataRegularSeason20242025!$B$3:$B$1315, "&lt;=" &amp; FN$1, DataRegularSeason20242025!$E$3:$E$1315, $A64)</f>
        <v>8</v>
      </c>
      <c r="FO64">
        <f>SUMIFS(DataRegularSeason20242025!$AA$3:$AA$1315,DataRegularSeason20242025!$B$3:$B$1315, "&lt;=" &amp; FO$1, DataRegularSeason20242025!$D$3:$D$1315, $A64)+SUMIFS(DataRegularSeason20242025!$AB$3:$AB$1315,DataRegularSeason20242025!$B$3:$B$1315, "&lt;=" &amp; FO$1, DataRegularSeason20242025!$E$3:$E$1315, $A64)</f>
        <v>8</v>
      </c>
      <c r="FP64">
        <f>SUMIFS(DataRegularSeason20242025!$AA$3:$AA$1315,DataRegularSeason20242025!$B$3:$B$1315, "&lt;=" &amp; FP$1, DataRegularSeason20242025!$D$3:$D$1315, $A64)+SUMIFS(DataRegularSeason20242025!$AB$3:$AB$1315,DataRegularSeason20242025!$B$3:$B$1315, "&lt;=" &amp; FP$1, DataRegularSeason20242025!$E$3:$E$1315, $A64)</f>
        <v>8</v>
      </c>
      <c r="FQ64">
        <f>SUMIFS(DataRegularSeason20242025!$AA$3:$AA$1315,DataRegularSeason20242025!$B$3:$B$1315, "&lt;=" &amp; FQ$1, DataRegularSeason20242025!$D$3:$D$1315, $A64)+SUMIFS(DataRegularSeason20242025!$AB$3:$AB$1315,DataRegularSeason20242025!$B$3:$B$1315, "&lt;=" &amp; FQ$1, DataRegularSeason20242025!$E$3:$E$1315, $A64)</f>
        <v>8</v>
      </c>
      <c r="FR64">
        <f>SUMIFS(DataRegularSeason20242025!$AA$3:$AA$1315,DataRegularSeason20242025!$B$3:$B$1315, "&lt;=" &amp; FR$1, DataRegularSeason20242025!$D$3:$D$1315, $A64)+SUMIFS(DataRegularSeason20242025!$AB$3:$AB$1315,DataRegularSeason20242025!$B$3:$B$1315, "&lt;=" &amp; FR$1, DataRegularSeason20242025!$E$3:$E$1315, $A64)</f>
        <v>8</v>
      </c>
      <c r="FS64">
        <f>SUMIFS(DataRegularSeason20242025!$AA$3:$AA$1315,DataRegularSeason20242025!$B$3:$B$1315, "&lt;=" &amp; FS$1, DataRegularSeason20242025!$D$3:$D$1315, $A64)+SUMIFS(DataRegularSeason20242025!$AB$3:$AB$1315,DataRegularSeason20242025!$B$3:$B$1315, "&lt;=" &amp; FS$1, DataRegularSeason20242025!$E$3:$E$1315, $A64)</f>
        <v>8</v>
      </c>
      <c r="FT64">
        <f>SUMIFS(DataRegularSeason20242025!$AA$3:$AA$1315,DataRegularSeason20242025!$B$3:$B$1315, "&lt;=" &amp; FT$1, DataRegularSeason20242025!$D$3:$D$1315, $A64)+SUMIFS(DataRegularSeason20242025!$AB$3:$AB$1315,DataRegularSeason20242025!$B$3:$B$1315, "&lt;=" &amp; FT$1, DataRegularSeason20242025!$E$3:$E$1315, $A64)</f>
        <v>8</v>
      </c>
      <c r="FU64">
        <f>SUMIFS(DataRegularSeason20242025!$AA$3:$AA$1315,DataRegularSeason20242025!$B$3:$B$1315, "&lt;=" &amp; FU$1, DataRegularSeason20242025!$D$3:$D$1315, $A64)+SUMIFS(DataRegularSeason20242025!$AB$3:$AB$1315,DataRegularSeason20242025!$B$3:$B$1315, "&lt;=" &amp; FU$1, DataRegularSeason20242025!$E$3:$E$1315, $A64)</f>
        <v>8</v>
      </c>
      <c r="FV64">
        <f>SUMIFS(DataRegularSeason20242025!$AA$3:$AA$1315,DataRegularSeason20242025!$B$3:$B$1315, "&lt;=" &amp; FV$1, DataRegularSeason20242025!$D$3:$D$1315, $A64)+SUMIFS(DataRegularSeason20242025!$AB$3:$AB$1315,DataRegularSeason20242025!$B$3:$B$1315, "&lt;=" &amp; FV$1, DataRegularSeason20242025!$E$3:$E$1315, $A64)</f>
        <v>8</v>
      </c>
      <c r="FW64">
        <f>SUMIFS(DataRegularSeason20242025!$AA$3:$AA$1315,DataRegularSeason20242025!$B$3:$B$1315, "&lt;=" &amp; FW$1, DataRegularSeason20242025!$D$3:$D$1315, $A64)+SUMIFS(DataRegularSeason20242025!$AB$3:$AB$1315,DataRegularSeason20242025!$B$3:$B$1315, "&lt;=" &amp; FW$1, DataRegularSeason20242025!$E$3:$E$1315, $A64)</f>
        <v>8</v>
      </c>
      <c r="FX64">
        <f>SUMIFS(DataRegularSeason20242025!$AA$3:$AA$1315,DataRegularSeason20242025!$B$3:$B$1315, "&lt;=" &amp; FX$1, DataRegularSeason20242025!$D$3:$D$1315, $A64)+SUMIFS(DataRegularSeason20242025!$AB$3:$AB$1315,DataRegularSeason20242025!$B$3:$B$1315, "&lt;=" &amp; FX$1, DataRegularSeason20242025!$E$3:$E$1315, $A64)</f>
        <v>8</v>
      </c>
      <c r="FY64">
        <f>SUMIFS(DataRegularSeason20242025!$AA$3:$AA$1315,DataRegularSeason20242025!$B$3:$B$1315, "&lt;=" &amp; FY$1, DataRegularSeason20242025!$D$3:$D$1315, $A64)+SUMIFS(DataRegularSeason20242025!$AB$3:$AB$1315,DataRegularSeason20242025!$B$3:$B$1315, "&lt;=" &amp; FY$1, DataRegularSeason20242025!$E$3:$E$1315, $A64)</f>
        <v>8</v>
      </c>
      <c r="FZ64">
        <f>SUMIFS(DataRegularSeason20242025!$AA$3:$AA$1315,DataRegularSeason20242025!$B$3:$B$1315, "&lt;=" &amp; FZ$1, DataRegularSeason20242025!$D$3:$D$1315, $A64)+SUMIFS(DataRegularSeason20242025!$AB$3:$AB$1315,DataRegularSeason20242025!$B$3:$B$1315, "&lt;=" &amp; FZ$1, DataRegularSeason20242025!$E$3:$E$1315, $A64)</f>
        <v>8</v>
      </c>
      <c r="GA64">
        <f>SUMIFS(DataRegularSeason20242025!$AA$3:$AA$1315,DataRegularSeason20242025!$B$3:$B$1315, "&lt;=" &amp; GA$1, DataRegularSeason20242025!$D$3:$D$1315, $A64)+SUMIFS(DataRegularSeason20242025!$AB$3:$AB$1315,DataRegularSeason20242025!$B$3:$B$1315, "&lt;=" &amp; GA$1, DataRegularSeason20242025!$E$3:$E$1315, $A64)</f>
        <v>8</v>
      </c>
      <c r="GB64">
        <f>SUMIFS(DataRegularSeason20242025!$AA$3:$AA$1315,DataRegularSeason20242025!$B$3:$B$1315, "&lt;=" &amp; GB$1, DataRegularSeason20242025!$D$3:$D$1315, $A64)+SUMIFS(DataRegularSeason20242025!$AB$3:$AB$1315,DataRegularSeason20242025!$B$3:$B$1315, "&lt;=" &amp; GB$1, DataRegularSeason20242025!$E$3:$E$1315, $A64)</f>
        <v>8</v>
      </c>
      <c r="GC64">
        <f>SUMIFS(DataRegularSeason20242025!$AA$3:$AA$1315,DataRegularSeason20242025!$B$3:$B$1315, "&lt;=" &amp; GC$1, DataRegularSeason20242025!$D$3:$D$1315, $A64)+SUMIFS(DataRegularSeason20242025!$AB$3:$AB$1315,DataRegularSeason20242025!$B$3:$B$1315, "&lt;=" &amp; GC$1, DataRegularSeason20242025!$E$3:$E$1315, $A64)</f>
        <v>8</v>
      </c>
      <c r="GD64">
        <f>SUMIFS(DataRegularSeason20242025!$AA$3:$AA$1315,DataRegularSeason20242025!$B$3:$B$1315, "&lt;=" &amp; GD$1, DataRegularSeason20242025!$D$3:$D$1315, $A64)+SUMIFS(DataRegularSeason20242025!$AB$3:$AB$1315,DataRegularSeason20242025!$B$3:$B$1315, "&lt;=" &amp; GD$1, DataRegularSeason20242025!$E$3:$E$1315, $A64)</f>
        <v>8</v>
      </c>
      <c r="GE64">
        <f>SUMIFS(DataRegularSeason20242025!$AA$3:$AA$1315,DataRegularSeason20242025!$B$3:$B$1315, "&lt;=" &amp; GE$1, DataRegularSeason20242025!$D$3:$D$1315, $A64)+SUMIFS(DataRegularSeason20242025!$AB$3:$AB$1315,DataRegularSeason20242025!$B$3:$B$1315, "&lt;=" &amp; GE$1, DataRegularSeason20242025!$E$3:$E$1315, $A64)</f>
        <v>8</v>
      </c>
      <c r="GF64">
        <f>SUMIFS(DataRegularSeason20242025!$AA$3:$AA$1315,DataRegularSeason20242025!$B$3:$B$1315, "&lt;=" &amp; GF$1, DataRegularSeason20242025!$D$3:$D$1315, $A64)+SUMIFS(DataRegularSeason20242025!$AB$3:$AB$1315,DataRegularSeason20242025!$B$3:$B$1315, "&lt;=" &amp; GF$1, DataRegularSeason20242025!$E$3:$E$1315, $A64)</f>
        <v>8</v>
      </c>
      <c r="GG64">
        <f>SUMIFS(DataRegularSeason20242025!$AA$3:$AA$1315,DataRegularSeason20242025!$B$3:$B$1315, "&lt;=" &amp; GG$1, DataRegularSeason20242025!$D$3:$D$1315, $A64)+SUMIFS(DataRegularSeason20242025!$AB$3:$AB$1315,DataRegularSeason20242025!$B$3:$B$1315, "&lt;=" &amp; GG$1, DataRegularSeason20242025!$E$3:$E$1315, $A64)</f>
        <v>8</v>
      </c>
      <c r="GH64">
        <f>SUMIFS(DataRegularSeason20242025!$AA$3:$AA$1315,DataRegularSeason20242025!$B$3:$B$1315, "&lt;=" &amp; GH$1, DataRegularSeason20242025!$D$3:$D$1315, $A64)+SUMIFS(DataRegularSeason20242025!$AB$3:$AB$1315,DataRegularSeason20242025!$B$3:$B$1315, "&lt;=" &amp; GH$1, DataRegularSeason20242025!$E$3:$E$1315, $A64)</f>
        <v>8</v>
      </c>
      <c r="GI64">
        <f>SUMIFS(DataRegularSeason20242025!$AA$3:$AA$1315,DataRegularSeason20242025!$B$3:$B$1315, "&lt;=" &amp; GI$1, DataRegularSeason20242025!$D$3:$D$1315, $A64)+SUMIFS(DataRegularSeason20242025!$AB$3:$AB$1315,DataRegularSeason20242025!$B$3:$B$1315, "&lt;=" &amp; GI$1, DataRegularSeason20242025!$E$3:$E$1315, $A64)</f>
        <v>8</v>
      </c>
      <c r="GJ64">
        <f>SUMIFS(DataRegularSeason20242025!$AA$3:$AA$1315,DataRegularSeason20242025!$B$3:$B$1315, "&lt;=" &amp; GJ$1, DataRegularSeason20242025!$D$3:$D$1315, $A64)+SUMIFS(DataRegularSeason20242025!$AB$3:$AB$1315,DataRegularSeason20242025!$B$3:$B$1315, "&lt;=" &amp; GJ$1, DataRegularSeason20242025!$E$3:$E$1315, $A64)</f>
        <v>8</v>
      </c>
      <c r="GK64">
        <f>SUMIFS(DataRegularSeason20242025!$AA$3:$AA$1315,DataRegularSeason20242025!$B$3:$B$1315, "&lt;=" &amp; GK$1, DataRegularSeason20242025!$D$3:$D$1315, $A64)+SUMIFS(DataRegularSeason20242025!$AB$3:$AB$1315,DataRegularSeason20242025!$B$3:$B$1315, "&lt;=" &amp; GK$1, DataRegularSeason20242025!$E$3:$E$1315, $A64)</f>
        <v>8</v>
      </c>
      <c r="GL64">
        <f>SUMIFS(DataRegularSeason20242025!$AA$3:$AA$1315,DataRegularSeason20242025!$B$3:$B$1315, "&lt;=" &amp; GL$1, DataRegularSeason20242025!$D$3:$D$1315, $A64)+SUMIFS(DataRegularSeason20242025!$AB$3:$AB$1315,DataRegularSeason20242025!$B$3:$B$1315, "&lt;=" &amp; GL$1, DataRegularSeason20242025!$E$3:$E$1315, $A64)</f>
        <v>8</v>
      </c>
      <c r="GM64">
        <f>SUMIFS(DataRegularSeason20242025!$AA$3:$AA$1315,DataRegularSeason20242025!$B$3:$B$1315, "&lt;=" &amp; GM$1, DataRegularSeason20242025!$D$3:$D$1315, $A64)+SUMIFS(DataRegularSeason20242025!$AB$3:$AB$1315,DataRegularSeason20242025!$B$3:$B$1315, "&lt;=" &amp; GM$1, DataRegularSeason20242025!$E$3:$E$1315, $A64)</f>
        <v>8</v>
      </c>
      <c r="GN64">
        <f>SUMIFS(DataRegularSeason20242025!$AA$3:$AA$1315,DataRegularSeason20242025!$B$3:$B$1315, "&lt;=" &amp; GN$1, DataRegularSeason20242025!$D$3:$D$1315, $A64)+SUMIFS(DataRegularSeason20242025!$AB$3:$AB$1315,DataRegularSeason20242025!$B$3:$B$1315, "&lt;=" &amp; GN$1, DataRegularSeason20242025!$E$3:$E$1315, $A64)</f>
        <v>8</v>
      </c>
      <c r="GO64">
        <f>SUMIFS(DataRegularSeason20242025!$AA$3:$AA$1315,DataRegularSeason20242025!$B$3:$B$1315, "&lt;=" &amp; GO$1, DataRegularSeason20242025!$D$3:$D$1315, $A64)+SUMIFS(DataRegularSeason20242025!$AB$3:$AB$1315,DataRegularSeason20242025!$B$3:$B$1315, "&lt;=" &amp; GO$1, DataRegularSeason20242025!$E$3:$E$1315, $A64)</f>
        <v>8</v>
      </c>
      <c r="GP64">
        <f>SUMIFS(DataRegularSeason20242025!$AA$3:$AA$1315,DataRegularSeason20242025!$B$3:$B$1315, "&lt;=" &amp; GP$1, DataRegularSeason20242025!$D$3:$D$1315, $A64)+SUMIFS(DataRegularSeason20242025!$AB$3:$AB$1315,DataRegularSeason20242025!$B$3:$B$1315, "&lt;=" &amp; GP$1, DataRegularSeason20242025!$E$3:$E$1315, $A64)</f>
        <v>8</v>
      </c>
      <c r="GQ64">
        <f>SUMIFS(DataRegularSeason20242025!$AA$3:$AA$1315,DataRegularSeason20242025!$B$3:$B$1315, "&lt;=" &amp; GQ$1, DataRegularSeason20242025!$D$3:$D$1315, $A64)+SUMIFS(DataRegularSeason20242025!$AB$3:$AB$1315,DataRegularSeason20242025!$B$3:$B$1315, "&lt;=" &amp; GQ$1, DataRegularSeason20242025!$E$3:$E$1315, $A64)</f>
        <v>8</v>
      </c>
      <c r="GR64">
        <f>SUMIFS(DataRegularSeason20242025!$AA$3:$AA$1315,DataRegularSeason20242025!$B$3:$B$1315, "&lt;=" &amp; GR$1, DataRegularSeason20242025!$D$3:$D$1315, $A64)+SUMIFS(DataRegularSeason20242025!$AB$3:$AB$1315,DataRegularSeason20242025!$B$3:$B$1315, "&lt;=" &amp; GR$1, DataRegularSeason20242025!$E$3:$E$1315, $A64)</f>
        <v>8</v>
      </c>
      <c r="GS64">
        <f>SUMIFS(DataRegularSeason20242025!$AA$3:$AA$1315,DataRegularSeason20242025!$B$3:$B$1315, "&lt;=" &amp; GS$1, DataRegularSeason20242025!$D$3:$D$1315, $A64)+SUMIFS(DataRegularSeason20242025!$AB$3:$AB$1315,DataRegularSeason20242025!$B$3:$B$1315, "&lt;=" &amp; GS$1, DataRegularSeason20242025!$E$3:$E$1315, $A64)</f>
        <v>8</v>
      </c>
      <c r="GT64">
        <f>SUMIFS(DataRegularSeason20242025!$AA$3:$AA$1315,DataRegularSeason20242025!$B$3:$B$1315, "&lt;=" &amp; GT$1, DataRegularSeason20242025!$D$3:$D$1315, $A64)+SUMIFS(DataRegularSeason20242025!$AB$3:$AB$1315,DataRegularSeason20242025!$B$3:$B$1315, "&lt;=" &amp; GT$1, DataRegularSeason20242025!$E$3:$E$1315, $A64)</f>
        <v>8</v>
      </c>
      <c r="GU64">
        <f>SUMIFS(DataRegularSeason20242025!$AA$3:$AA$1315,DataRegularSeason20242025!$B$3:$B$1315, "&lt;=" &amp; GU$1, DataRegularSeason20242025!$D$3:$D$1315, $A64)+SUMIFS(DataRegularSeason20242025!$AB$3:$AB$1315,DataRegularSeason20242025!$B$3:$B$1315, "&lt;=" &amp; GU$1, DataRegularSeason20242025!$E$3:$E$1315, $A64)</f>
        <v>8</v>
      </c>
    </row>
    <row r="65" spans="1:275" x14ac:dyDescent="0.25">
      <c r="A65" t="s">
        <v>22</v>
      </c>
      <c r="B65" t="s">
        <v>90</v>
      </c>
      <c r="C65" t="s">
        <v>93</v>
      </c>
      <c r="D65">
        <f>SUMIFS(DataRegularSeason20242025!$AA$3:$AA$1315,DataRegularSeason20242025!$B$3:$B$1315, "&lt;=" &amp; D$1, DataRegularSeason20242025!$D$3:$D$1315, $A65)+SUMIFS(DataRegularSeason20242025!$AB$3:$AB$1315,DataRegularSeason20242025!$B$3:$B$1315, "&lt;=" &amp; D$1, DataRegularSeason20242025!$E$3:$E$1315, $A65)</f>
        <v>0</v>
      </c>
      <c r="E65">
        <f>SUMIFS(DataRegularSeason20242025!$AA$3:$AA$1315,DataRegularSeason20242025!$B$3:$B$1315, "&lt;=" &amp; E$1, DataRegularSeason20242025!$D$3:$D$1315, $A65)+SUMIFS(DataRegularSeason20242025!$AB$3:$AB$1315,DataRegularSeason20242025!$B$3:$B$1315, "&lt;=" &amp; E$1, DataRegularSeason20242025!$E$3:$E$1315, $A65)</f>
        <v>0</v>
      </c>
      <c r="F65">
        <f>SUMIFS(DataRegularSeason20242025!$AA$3:$AA$1315,DataRegularSeason20242025!$B$3:$B$1315, "&lt;=" &amp; F$1, DataRegularSeason20242025!$D$3:$D$1315, $A65)+SUMIFS(DataRegularSeason20242025!$AB$3:$AB$1315,DataRegularSeason20242025!$B$3:$B$1315, "&lt;=" &amp; F$1, DataRegularSeason20242025!$E$3:$E$1315, $A65)</f>
        <v>0</v>
      </c>
      <c r="G65">
        <f>SUMIFS(DataRegularSeason20242025!$AA$3:$AA$1315,DataRegularSeason20242025!$B$3:$B$1315, "&lt;=" &amp; G$1, DataRegularSeason20242025!$D$3:$D$1315, $A65)+SUMIFS(DataRegularSeason20242025!$AB$3:$AB$1315,DataRegularSeason20242025!$B$3:$B$1315, "&lt;=" &amp; G$1, DataRegularSeason20242025!$E$3:$E$1315, $A65)</f>
        <v>0</v>
      </c>
      <c r="H65">
        <f>SUMIFS(DataRegularSeason20242025!$AA$3:$AA$1315,DataRegularSeason20242025!$B$3:$B$1315, "&lt;=" &amp; H$1, DataRegularSeason20242025!$D$3:$D$1315, $A65)+SUMIFS(DataRegularSeason20242025!$AB$3:$AB$1315,DataRegularSeason20242025!$B$3:$B$1315, "&lt;=" &amp; H$1, DataRegularSeason20242025!$E$3:$E$1315, $A65)</f>
        <v>0</v>
      </c>
      <c r="I65">
        <f>SUMIFS(DataRegularSeason20242025!$AA$3:$AA$1315,DataRegularSeason20242025!$B$3:$B$1315, "&lt;=" &amp; I$1, DataRegularSeason20242025!$D$3:$D$1315, $A65)+SUMIFS(DataRegularSeason20242025!$AB$3:$AB$1315,DataRegularSeason20242025!$B$3:$B$1315, "&lt;=" &amp; I$1, DataRegularSeason20242025!$E$3:$E$1315, $A65)</f>
        <v>1</v>
      </c>
      <c r="J65">
        <f>SUMIFS(DataRegularSeason20242025!$AA$3:$AA$1315,DataRegularSeason20242025!$B$3:$B$1315, "&lt;=" &amp; J$1, DataRegularSeason20242025!$D$3:$D$1315, $A65)+SUMIFS(DataRegularSeason20242025!$AB$3:$AB$1315,DataRegularSeason20242025!$B$3:$B$1315, "&lt;=" &amp; J$1, DataRegularSeason20242025!$E$3:$E$1315, $A65)</f>
        <v>1</v>
      </c>
      <c r="K65">
        <f>SUMIFS(DataRegularSeason20242025!$AA$3:$AA$1315,DataRegularSeason20242025!$B$3:$B$1315, "&lt;=" &amp; K$1, DataRegularSeason20242025!$D$3:$D$1315, $A65)+SUMIFS(DataRegularSeason20242025!$AB$3:$AB$1315,DataRegularSeason20242025!$B$3:$B$1315, "&lt;=" &amp; K$1, DataRegularSeason20242025!$E$3:$E$1315, $A65)</f>
        <v>1</v>
      </c>
      <c r="L65">
        <f>SUMIFS(DataRegularSeason20242025!$AA$3:$AA$1315,DataRegularSeason20242025!$B$3:$B$1315, "&lt;=" &amp; L$1, DataRegularSeason20242025!$D$3:$D$1315, $A65)+SUMIFS(DataRegularSeason20242025!$AB$3:$AB$1315,DataRegularSeason20242025!$B$3:$B$1315, "&lt;=" &amp; L$1, DataRegularSeason20242025!$E$3:$E$1315, $A65)</f>
        <v>3</v>
      </c>
      <c r="M65">
        <f>SUMIFS(DataRegularSeason20242025!$AA$3:$AA$1315,DataRegularSeason20242025!$B$3:$B$1315, "&lt;=" &amp; M$1, DataRegularSeason20242025!$D$3:$D$1315, $A65)+SUMIFS(DataRegularSeason20242025!$AB$3:$AB$1315,DataRegularSeason20242025!$B$3:$B$1315, "&lt;=" &amp; M$1, DataRegularSeason20242025!$E$3:$E$1315, $A65)</f>
        <v>3</v>
      </c>
      <c r="N65">
        <f>SUMIFS(DataRegularSeason20242025!$AA$3:$AA$1315,DataRegularSeason20242025!$B$3:$B$1315, "&lt;=" &amp; N$1, DataRegularSeason20242025!$D$3:$D$1315, $A65)+SUMIFS(DataRegularSeason20242025!$AB$3:$AB$1315,DataRegularSeason20242025!$B$3:$B$1315, "&lt;=" &amp; N$1, DataRegularSeason20242025!$E$3:$E$1315, $A65)</f>
        <v>3</v>
      </c>
      <c r="O65">
        <f>SUMIFS(DataRegularSeason20242025!$AA$3:$AA$1315,DataRegularSeason20242025!$B$3:$B$1315, "&lt;=" &amp; O$1, DataRegularSeason20242025!$D$3:$D$1315, $A65)+SUMIFS(DataRegularSeason20242025!$AB$3:$AB$1315,DataRegularSeason20242025!$B$3:$B$1315, "&lt;=" &amp; O$1, DataRegularSeason20242025!$E$3:$E$1315, $A65)</f>
        <v>5</v>
      </c>
      <c r="P65">
        <f>SUMIFS(DataRegularSeason20242025!$AA$3:$AA$1315,DataRegularSeason20242025!$B$3:$B$1315, "&lt;=" &amp; P$1, DataRegularSeason20242025!$D$3:$D$1315, $A65)+SUMIFS(DataRegularSeason20242025!$AB$3:$AB$1315,DataRegularSeason20242025!$B$3:$B$1315, "&lt;=" &amp; P$1, DataRegularSeason20242025!$E$3:$E$1315, $A65)</f>
        <v>5</v>
      </c>
      <c r="Q65">
        <f>SUMIFS(DataRegularSeason20242025!$AA$3:$AA$1315,DataRegularSeason20242025!$B$3:$B$1315, "&lt;=" &amp; Q$1, DataRegularSeason20242025!$D$3:$D$1315, $A65)+SUMIFS(DataRegularSeason20242025!$AB$3:$AB$1315,DataRegularSeason20242025!$B$3:$B$1315, "&lt;=" &amp; Q$1, DataRegularSeason20242025!$E$3:$E$1315, $A65)</f>
        <v>5</v>
      </c>
      <c r="R65">
        <f>SUMIFS(DataRegularSeason20242025!$AA$3:$AA$1315,DataRegularSeason20242025!$B$3:$B$1315, "&lt;=" &amp; R$1, DataRegularSeason20242025!$D$3:$D$1315, $A65)+SUMIFS(DataRegularSeason20242025!$AB$3:$AB$1315,DataRegularSeason20242025!$B$3:$B$1315, "&lt;=" &amp; R$1, DataRegularSeason20242025!$E$3:$E$1315, $A65)</f>
        <v>5</v>
      </c>
      <c r="S65">
        <f>SUMIFS(DataRegularSeason20242025!$AA$3:$AA$1315,DataRegularSeason20242025!$B$3:$B$1315, "&lt;=" &amp; S$1, DataRegularSeason20242025!$D$3:$D$1315, $A65)+SUMIFS(DataRegularSeason20242025!$AB$3:$AB$1315,DataRegularSeason20242025!$B$3:$B$1315, "&lt;=" &amp; S$1, DataRegularSeason20242025!$E$3:$E$1315, $A65)</f>
        <v>5</v>
      </c>
      <c r="T65">
        <f>SUMIFS(DataRegularSeason20242025!$AA$3:$AA$1315,DataRegularSeason20242025!$B$3:$B$1315, "&lt;=" &amp; T$1, DataRegularSeason20242025!$D$3:$D$1315, $A65)+SUMIFS(DataRegularSeason20242025!$AB$3:$AB$1315,DataRegularSeason20242025!$B$3:$B$1315, "&lt;=" &amp; T$1, DataRegularSeason20242025!$E$3:$E$1315, $A65)</f>
        <v>5</v>
      </c>
      <c r="U65">
        <f>SUMIFS(DataRegularSeason20242025!$AA$3:$AA$1315,DataRegularSeason20242025!$B$3:$B$1315, "&lt;=" &amp; U$1, DataRegularSeason20242025!$D$3:$D$1315, $A65)+SUMIFS(DataRegularSeason20242025!$AB$3:$AB$1315,DataRegularSeason20242025!$B$3:$B$1315, "&lt;=" &amp; U$1, DataRegularSeason20242025!$E$3:$E$1315, $A65)</f>
        <v>5</v>
      </c>
      <c r="V65">
        <f>SUMIFS(DataRegularSeason20242025!$AA$3:$AA$1315,DataRegularSeason20242025!$B$3:$B$1315, "&lt;=" &amp; V$1, DataRegularSeason20242025!$D$3:$D$1315, $A65)+SUMIFS(DataRegularSeason20242025!$AB$3:$AB$1315,DataRegularSeason20242025!$B$3:$B$1315, "&lt;=" &amp; V$1, DataRegularSeason20242025!$E$3:$E$1315, $A65)</f>
        <v>7</v>
      </c>
      <c r="W65">
        <f>SUMIFS(DataRegularSeason20242025!$AA$3:$AA$1315,DataRegularSeason20242025!$B$3:$B$1315, "&lt;=" &amp; W$1, DataRegularSeason20242025!$D$3:$D$1315, $A65)+SUMIFS(DataRegularSeason20242025!$AB$3:$AB$1315,DataRegularSeason20242025!$B$3:$B$1315, "&lt;=" &amp; W$1, DataRegularSeason20242025!$E$3:$E$1315, $A65)</f>
        <v>7</v>
      </c>
      <c r="X65">
        <f>SUMIFS(DataRegularSeason20242025!$AA$3:$AA$1315,DataRegularSeason20242025!$B$3:$B$1315, "&lt;=" &amp; X$1, DataRegularSeason20242025!$D$3:$D$1315, $A65)+SUMIFS(DataRegularSeason20242025!$AB$3:$AB$1315,DataRegularSeason20242025!$B$3:$B$1315, "&lt;=" &amp; X$1, DataRegularSeason20242025!$E$3:$E$1315, $A65)</f>
        <v>7</v>
      </c>
      <c r="Y65">
        <f>SUMIFS(DataRegularSeason20242025!$AA$3:$AA$1315,DataRegularSeason20242025!$B$3:$B$1315, "&lt;=" &amp; Y$1, DataRegularSeason20242025!$D$3:$D$1315, $A65)+SUMIFS(DataRegularSeason20242025!$AB$3:$AB$1315,DataRegularSeason20242025!$B$3:$B$1315, "&lt;=" &amp; Y$1, DataRegularSeason20242025!$E$3:$E$1315, $A65)</f>
        <v>7</v>
      </c>
      <c r="Z65">
        <f>SUMIFS(DataRegularSeason20242025!$AA$3:$AA$1315,DataRegularSeason20242025!$B$3:$B$1315, "&lt;=" &amp; Z$1, DataRegularSeason20242025!$D$3:$D$1315, $A65)+SUMIFS(DataRegularSeason20242025!$AB$3:$AB$1315,DataRegularSeason20242025!$B$3:$B$1315, "&lt;=" &amp; Z$1, DataRegularSeason20242025!$E$3:$E$1315, $A65)</f>
        <v>7</v>
      </c>
      <c r="AA65">
        <f>SUMIFS(DataRegularSeason20242025!$AA$3:$AA$1315,DataRegularSeason20242025!$B$3:$B$1315, "&lt;=" &amp; AA$1, DataRegularSeason20242025!$D$3:$D$1315, $A65)+SUMIFS(DataRegularSeason20242025!$AB$3:$AB$1315,DataRegularSeason20242025!$B$3:$B$1315, "&lt;=" &amp; AA$1, DataRegularSeason20242025!$E$3:$E$1315, $A65)</f>
        <v>7</v>
      </c>
      <c r="AB65">
        <f>SUMIFS(DataRegularSeason20242025!$AA$3:$AA$1315,DataRegularSeason20242025!$B$3:$B$1315, "&lt;=" &amp; AB$1, DataRegularSeason20242025!$D$3:$D$1315, $A65)+SUMIFS(DataRegularSeason20242025!$AB$3:$AB$1315,DataRegularSeason20242025!$B$3:$B$1315, "&lt;=" &amp; AB$1, DataRegularSeason20242025!$E$3:$E$1315, $A65)</f>
        <v>7</v>
      </c>
      <c r="AC65">
        <f>SUMIFS(DataRegularSeason20242025!$AA$3:$AA$1315,DataRegularSeason20242025!$B$3:$B$1315, "&lt;=" &amp; AC$1, DataRegularSeason20242025!$D$3:$D$1315, $A65)+SUMIFS(DataRegularSeason20242025!$AB$3:$AB$1315,DataRegularSeason20242025!$B$3:$B$1315, "&lt;=" &amp; AC$1, DataRegularSeason20242025!$E$3:$E$1315, $A65)</f>
        <v>7</v>
      </c>
      <c r="AD65">
        <f>SUMIFS(DataRegularSeason20242025!$AA$3:$AA$1315,DataRegularSeason20242025!$B$3:$B$1315, "&lt;=" &amp; AD$1, DataRegularSeason20242025!$D$3:$D$1315, $A65)+SUMIFS(DataRegularSeason20242025!$AB$3:$AB$1315,DataRegularSeason20242025!$B$3:$B$1315, "&lt;=" &amp; AD$1, DataRegularSeason20242025!$E$3:$E$1315, $A65)</f>
        <v>7</v>
      </c>
      <c r="AE65">
        <f>SUMIFS(DataRegularSeason20242025!$AA$3:$AA$1315,DataRegularSeason20242025!$B$3:$B$1315, "&lt;=" &amp; AE$1, DataRegularSeason20242025!$D$3:$D$1315, $A65)+SUMIFS(DataRegularSeason20242025!$AB$3:$AB$1315,DataRegularSeason20242025!$B$3:$B$1315, "&lt;=" &amp; AE$1, DataRegularSeason20242025!$E$3:$E$1315, $A65)</f>
        <v>7</v>
      </c>
      <c r="AF65">
        <f>SUMIFS(DataRegularSeason20242025!$AA$3:$AA$1315,DataRegularSeason20242025!$B$3:$B$1315, "&lt;=" &amp; AF$1, DataRegularSeason20242025!$D$3:$D$1315, $A65)+SUMIFS(DataRegularSeason20242025!$AB$3:$AB$1315,DataRegularSeason20242025!$B$3:$B$1315, "&lt;=" &amp; AF$1, DataRegularSeason20242025!$E$3:$E$1315, $A65)</f>
        <v>7</v>
      </c>
      <c r="AG65">
        <f>SUMIFS(DataRegularSeason20242025!$AA$3:$AA$1315,DataRegularSeason20242025!$B$3:$B$1315, "&lt;=" &amp; AG$1, DataRegularSeason20242025!$D$3:$D$1315, $A65)+SUMIFS(DataRegularSeason20242025!$AB$3:$AB$1315,DataRegularSeason20242025!$B$3:$B$1315, "&lt;=" &amp; AG$1, DataRegularSeason20242025!$E$3:$E$1315, $A65)</f>
        <v>7</v>
      </c>
      <c r="AH65">
        <f>SUMIFS(DataRegularSeason20242025!$AA$3:$AA$1315,DataRegularSeason20242025!$B$3:$B$1315, "&lt;=" &amp; AH$1, DataRegularSeason20242025!$D$3:$D$1315, $A65)+SUMIFS(DataRegularSeason20242025!$AB$3:$AB$1315,DataRegularSeason20242025!$B$3:$B$1315, "&lt;=" &amp; AH$1, DataRegularSeason20242025!$E$3:$E$1315, $A65)</f>
        <v>7</v>
      </c>
      <c r="AI65">
        <f>SUMIFS(DataRegularSeason20242025!$AA$3:$AA$1315,DataRegularSeason20242025!$B$3:$B$1315, "&lt;=" &amp; AI$1, DataRegularSeason20242025!$D$3:$D$1315, $A65)+SUMIFS(DataRegularSeason20242025!$AB$3:$AB$1315,DataRegularSeason20242025!$B$3:$B$1315, "&lt;=" &amp; AI$1, DataRegularSeason20242025!$E$3:$E$1315, $A65)</f>
        <v>7</v>
      </c>
      <c r="AJ65">
        <f>SUMIFS(DataRegularSeason20242025!$AA$3:$AA$1315,DataRegularSeason20242025!$B$3:$B$1315, "&lt;=" &amp; AJ$1, DataRegularSeason20242025!$D$3:$D$1315, $A65)+SUMIFS(DataRegularSeason20242025!$AB$3:$AB$1315,DataRegularSeason20242025!$B$3:$B$1315, "&lt;=" &amp; AJ$1, DataRegularSeason20242025!$E$3:$E$1315, $A65)</f>
        <v>7</v>
      </c>
      <c r="AK65">
        <f>SUMIFS(DataRegularSeason20242025!$AA$3:$AA$1315,DataRegularSeason20242025!$B$3:$B$1315, "&lt;=" &amp; AK$1, DataRegularSeason20242025!$D$3:$D$1315, $A65)+SUMIFS(DataRegularSeason20242025!$AB$3:$AB$1315,DataRegularSeason20242025!$B$3:$B$1315, "&lt;=" &amp; AK$1, DataRegularSeason20242025!$E$3:$E$1315, $A65)</f>
        <v>7</v>
      </c>
      <c r="AL65">
        <f>SUMIFS(DataRegularSeason20242025!$AA$3:$AA$1315,DataRegularSeason20242025!$B$3:$B$1315, "&lt;=" &amp; AL$1, DataRegularSeason20242025!$D$3:$D$1315, $A65)+SUMIFS(DataRegularSeason20242025!$AB$3:$AB$1315,DataRegularSeason20242025!$B$3:$B$1315, "&lt;=" &amp; AL$1, DataRegularSeason20242025!$E$3:$E$1315, $A65)</f>
        <v>7</v>
      </c>
      <c r="AM65">
        <f>SUMIFS(DataRegularSeason20242025!$AA$3:$AA$1315,DataRegularSeason20242025!$B$3:$B$1315, "&lt;=" &amp; AM$1, DataRegularSeason20242025!$D$3:$D$1315, $A65)+SUMIFS(DataRegularSeason20242025!$AB$3:$AB$1315,DataRegularSeason20242025!$B$3:$B$1315, "&lt;=" &amp; AM$1, DataRegularSeason20242025!$E$3:$E$1315, $A65)</f>
        <v>7</v>
      </c>
      <c r="AN65">
        <f>SUMIFS(DataRegularSeason20242025!$AA$3:$AA$1315,DataRegularSeason20242025!$B$3:$B$1315, "&lt;=" &amp; AN$1, DataRegularSeason20242025!$D$3:$D$1315, $A65)+SUMIFS(DataRegularSeason20242025!$AB$3:$AB$1315,DataRegularSeason20242025!$B$3:$B$1315, "&lt;=" &amp; AN$1, DataRegularSeason20242025!$E$3:$E$1315, $A65)</f>
        <v>7</v>
      </c>
      <c r="AO65">
        <f>SUMIFS(DataRegularSeason20242025!$AA$3:$AA$1315,DataRegularSeason20242025!$B$3:$B$1315, "&lt;=" &amp; AO$1, DataRegularSeason20242025!$D$3:$D$1315, $A65)+SUMIFS(DataRegularSeason20242025!$AB$3:$AB$1315,DataRegularSeason20242025!$B$3:$B$1315, "&lt;=" &amp; AO$1, DataRegularSeason20242025!$E$3:$E$1315, $A65)</f>
        <v>7</v>
      </c>
      <c r="AP65">
        <f>SUMIFS(DataRegularSeason20242025!$AA$3:$AA$1315,DataRegularSeason20242025!$B$3:$B$1315, "&lt;=" &amp; AP$1, DataRegularSeason20242025!$D$3:$D$1315, $A65)+SUMIFS(DataRegularSeason20242025!$AB$3:$AB$1315,DataRegularSeason20242025!$B$3:$B$1315, "&lt;=" &amp; AP$1, DataRegularSeason20242025!$E$3:$E$1315, $A65)</f>
        <v>7</v>
      </c>
      <c r="AQ65">
        <f>SUMIFS(DataRegularSeason20242025!$AA$3:$AA$1315,DataRegularSeason20242025!$B$3:$B$1315, "&lt;=" &amp; AQ$1, DataRegularSeason20242025!$D$3:$D$1315, $A65)+SUMIFS(DataRegularSeason20242025!$AB$3:$AB$1315,DataRegularSeason20242025!$B$3:$B$1315, "&lt;=" &amp; AQ$1, DataRegularSeason20242025!$E$3:$E$1315, $A65)</f>
        <v>7</v>
      </c>
      <c r="AR65">
        <f>SUMIFS(DataRegularSeason20242025!$AA$3:$AA$1315,DataRegularSeason20242025!$B$3:$B$1315, "&lt;=" &amp; AR$1, DataRegularSeason20242025!$D$3:$D$1315, $A65)+SUMIFS(DataRegularSeason20242025!$AB$3:$AB$1315,DataRegularSeason20242025!$B$3:$B$1315, "&lt;=" &amp; AR$1, DataRegularSeason20242025!$E$3:$E$1315, $A65)</f>
        <v>7</v>
      </c>
      <c r="AS65">
        <f>SUMIFS(DataRegularSeason20242025!$AA$3:$AA$1315,DataRegularSeason20242025!$B$3:$B$1315, "&lt;=" &amp; AS$1, DataRegularSeason20242025!$D$3:$D$1315, $A65)+SUMIFS(DataRegularSeason20242025!$AB$3:$AB$1315,DataRegularSeason20242025!$B$3:$B$1315, "&lt;=" &amp; AS$1, DataRegularSeason20242025!$E$3:$E$1315, $A65)</f>
        <v>7</v>
      </c>
      <c r="AT65">
        <f>SUMIFS(DataRegularSeason20242025!$AA$3:$AA$1315,DataRegularSeason20242025!$B$3:$B$1315, "&lt;=" &amp; AT$1, DataRegularSeason20242025!$D$3:$D$1315, $A65)+SUMIFS(DataRegularSeason20242025!$AB$3:$AB$1315,DataRegularSeason20242025!$B$3:$B$1315, "&lt;=" &amp; AT$1, DataRegularSeason20242025!$E$3:$E$1315, $A65)</f>
        <v>7</v>
      </c>
      <c r="AU65">
        <f>SUMIFS(DataRegularSeason20242025!$AA$3:$AA$1315,DataRegularSeason20242025!$B$3:$B$1315, "&lt;=" &amp; AU$1, DataRegularSeason20242025!$D$3:$D$1315, $A65)+SUMIFS(DataRegularSeason20242025!$AB$3:$AB$1315,DataRegularSeason20242025!$B$3:$B$1315, "&lt;=" &amp; AU$1, DataRegularSeason20242025!$E$3:$E$1315, $A65)</f>
        <v>7</v>
      </c>
      <c r="AV65">
        <f>SUMIFS(DataRegularSeason20242025!$AA$3:$AA$1315,DataRegularSeason20242025!$B$3:$B$1315, "&lt;=" &amp; AV$1, DataRegularSeason20242025!$D$3:$D$1315, $A65)+SUMIFS(DataRegularSeason20242025!$AB$3:$AB$1315,DataRegularSeason20242025!$B$3:$B$1315, "&lt;=" &amp; AV$1, DataRegularSeason20242025!$E$3:$E$1315, $A65)</f>
        <v>7</v>
      </c>
      <c r="AW65">
        <f>SUMIFS(DataRegularSeason20242025!$AA$3:$AA$1315,DataRegularSeason20242025!$B$3:$B$1315, "&lt;=" &amp; AW$1, DataRegularSeason20242025!$D$3:$D$1315, $A65)+SUMIFS(DataRegularSeason20242025!$AB$3:$AB$1315,DataRegularSeason20242025!$B$3:$B$1315, "&lt;=" &amp; AW$1, DataRegularSeason20242025!$E$3:$E$1315, $A65)</f>
        <v>7</v>
      </c>
      <c r="AX65">
        <f>SUMIFS(DataRegularSeason20242025!$AA$3:$AA$1315,DataRegularSeason20242025!$B$3:$B$1315, "&lt;=" &amp; AX$1, DataRegularSeason20242025!$D$3:$D$1315, $A65)+SUMIFS(DataRegularSeason20242025!$AB$3:$AB$1315,DataRegularSeason20242025!$B$3:$B$1315, "&lt;=" &amp; AX$1, DataRegularSeason20242025!$E$3:$E$1315, $A65)</f>
        <v>7</v>
      </c>
      <c r="AY65">
        <f>SUMIFS(DataRegularSeason20242025!$AA$3:$AA$1315,DataRegularSeason20242025!$B$3:$B$1315, "&lt;=" &amp; AY$1, DataRegularSeason20242025!$D$3:$D$1315, $A65)+SUMIFS(DataRegularSeason20242025!$AB$3:$AB$1315,DataRegularSeason20242025!$B$3:$B$1315, "&lt;=" &amp; AY$1, DataRegularSeason20242025!$E$3:$E$1315, $A65)</f>
        <v>7</v>
      </c>
      <c r="AZ65">
        <f>SUMIFS(DataRegularSeason20242025!$AA$3:$AA$1315,DataRegularSeason20242025!$B$3:$B$1315, "&lt;=" &amp; AZ$1, DataRegularSeason20242025!$D$3:$D$1315, $A65)+SUMIFS(DataRegularSeason20242025!$AB$3:$AB$1315,DataRegularSeason20242025!$B$3:$B$1315, "&lt;=" &amp; AZ$1, DataRegularSeason20242025!$E$3:$E$1315, $A65)</f>
        <v>7</v>
      </c>
      <c r="BA65">
        <f>SUMIFS(DataRegularSeason20242025!$AA$3:$AA$1315,DataRegularSeason20242025!$B$3:$B$1315, "&lt;=" &amp; BA$1, DataRegularSeason20242025!$D$3:$D$1315, $A65)+SUMIFS(DataRegularSeason20242025!$AB$3:$AB$1315,DataRegularSeason20242025!$B$3:$B$1315, "&lt;=" &amp; BA$1, DataRegularSeason20242025!$E$3:$E$1315, $A65)</f>
        <v>7</v>
      </c>
      <c r="BB65">
        <f>SUMIFS(DataRegularSeason20242025!$AA$3:$AA$1315,DataRegularSeason20242025!$B$3:$B$1315, "&lt;=" &amp; BB$1, DataRegularSeason20242025!$D$3:$D$1315, $A65)+SUMIFS(DataRegularSeason20242025!$AB$3:$AB$1315,DataRegularSeason20242025!$B$3:$B$1315, "&lt;=" &amp; BB$1, DataRegularSeason20242025!$E$3:$E$1315, $A65)</f>
        <v>7</v>
      </c>
      <c r="BC65">
        <f>SUMIFS(DataRegularSeason20242025!$AA$3:$AA$1315,DataRegularSeason20242025!$B$3:$B$1315, "&lt;=" &amp; BC$1, DataRegularSeason20242025!$D$3:$D$1315, $A65)+SUMIFS(DataRegularSeason20242025!$AB$3:$AB$1315,DataRegularSeason20242025!$B$3:$B$1315, "&lt;=" &amp; BC$1, DataRegularSeason20242025!$E$3:$E$1315, $A65)</f>
        <v>7</v>
      </c>
      <c r="BD65">
        <f>SUMIFS(DataRegularSeason20242025!$AA$3:$AA$1315,DataRegularSeason20242025!$B$3:$B$1315, "&lt;=" &amp; BD$1, DataRegularSeason20242025!$D$3:$D$1315, $A65)+SUMIFS(DataRegularSeason20242025!$AB$3:$AB$1315,DataRegularSeason20242025!$B$3:$B$1315, "&lt;=" &amp; BD$1, DataRegularSeason20242025!$E$3:$E$1315, $A65)</f>
        <v>7</v>
      </c>
      <c r="BE65">
        <f>SUMIFS(DataRegularSeason20242025!$AA$3:$AA$1315,DataRegularSeason20242025!$B$3:$B$1315, "&lt;=" &amp; BE$1, DataRegularSeason20242025!$D$3:$D$1315, $A65)+SUMIFS(DataRegularSeason20242025!$AB$3:$AB$1315,DataRegularSeason20242025!$B$3:$B$1315, "&lt;=" &amp; BE$1, DataRegularSeason20242025!$E$3:$E$1315, $A65)</f>
        <v>7</v>
      </c>
      <c r="BF65">
        <f>SUMIFS(DataRegularSeason20242025!$AA$3:$AA$1315,DataRegularSeason20242025!$B$3:$B$1315, "&lt;=" &amp; BF$1, DataRegularSeason20242025!$D$3:$D$1315, $A65)+SUMIFS(DataRegularSeason20242025!$AB$3:$AB$1315,DataRegularSeason20242025!$B$3:$B$1315, "&lt;=" &amp; BF$1, DataRegularSeason20242025!$E$3:$E$1315, $A65)</f>
        <v>7</v>
      </c>
      <c r="BG65">
        <f>SUMIFS(DataRegularSeason20242025!$AA$3:$AA$1315,DataRegularSeason20242025!$B$3:$B$1315, "&lt;=" &amp; BG$1, DataRegularSeason20242025!$D$3:$D$1315, $A65)+SUMIFS(DataRegularSeason20242025!$AB$3:$AB$1315,DataRegularSeason20242025!$B$3:$B$1315, "&lt;=" &amp; BG$1, DataRegularSeason20242025!$E$3:$E$1315, $A65)</f>
        <v>7</v>
      </c>
      <c r="BH65">
        <f>SUMIFS(DataRegularSeason20242025!$AA$3:$AA$1315,DataRegularSeason20242025!$B$3:$B$1315, "&lt;=" &amp; BH$1, DataRegularSeason20242025!$D$3:$D$1315, $A65)+SUMIFS(DataRegularSeason20242025!$AB$3:$AB$1315,DataRegularSeason20242025!$B$3:$B$1315, "&lt;=" &amp; BH$1, DataRegularSeason20242025!$E$3:$E$1315, $A65)</f>
        <v>7</v>
      </c>
      <c r="BI65">
        <f>SUMIFS(DataRegularSeason20242025!$AA$3:$AA$1315,DataRegularSeason20242025!$B$3:$B$1315, "&lt;=" &amp; BI$1, DataRegularSeason20242025!$D$3:$D$1315, $A65)+SUMIFS(DataRegularSeason20242025!$AB$3:$AB$1315,DataRegularSeason20242025!$B$3:$B$1315, "&lt;=" &amp; BI$1, DataRegularSeason20242025!$E$3:$E$1315, $A65)</f>
        <v>7</v>
      </c>
      <c r="BJ65">
        <f>SUMIFS(DataRegularSeason20242025!$AA$3:$AA$1315,DataRegularSeason20242025!$B$3:$B$1315, "&lt;=" &amp; BJ$1, DataRegularSeason20242025!$D$3:$D$1315, $A65)+SUMIFS(DataRegularSeason20242025!$AB$3:$AB$1315,DataRegularSeason20242025!$B$3:$B$1315, "&lt;=" &amp; BJ$1, DataRegularSeason20242025!$E$3:$E$1315, $A65)</f>
        <v>7</v>
      </c>
      <c r="BK65">
        <f>SUMIFS(DataRegularSeason20242025!$AA$3:$AA$1315,DataRegularSeason20242025!$B$3:$B$1315, "&lt;=" &amp; BK$1, DataRegularSeason20242025!$D$3:$D$1315, $A65)+SUMIFS(DataRegularSeason20242025!$AB$3:$AB$1315,DataRegularSeason20242025!$B$3:$B$1315, "&lt;=" &amp; BK$1, DataRegularSeason20242025!$E$3:$E$1315, $A65)</f>
        <v>7</v>
      </c>
      <c r="BL65">
        <f>SUMIFS(DataRegularSeason20242025!$AA$3:$AA$1315,DataRegularSeason20242025!$B$3:$B$1315, "&lt;=" &amp; BL$1, DataRegularSeason20242025!$D$3:$D$1315, $A65)+SUMIFS(DataRegularSeason20242025!$AB$3:$AB$1315,DataRegularSeason20242025!$B$3:$B$1315, "&lt;=" &amp; BL$1, DataRegularSeason20242025!$E$3:$E$1315, $A65)</f>
        <v>7</v>
      </c>
      <c r="BM65">
        <f>SUMIFS(DataRegularSeason20242025!$AA$3:$AA$1315,DataRegularSeason20242025!$B$3:$B$1315, "&lt;=" &amp; BM$1, DataRegularSeason20242025!$D$3:$D$1315, $A65)+SUMIFS(DataRegularSeason20242025!$AB$3:$AB$1315,DataRegularSeason20242025!$B$3:$B$1315, "&lt;=" &amp; BM$1, DataRegularSeason20242025!$E$3:$E$1315, $A65)</f>
        <v>7</v>
      </c>
      <c r="BN65">
        <f>SUMIFS(DataRegularSeason20242025!$AA$3:$AA$1315,DataRegularSeason20242025!$B$3:$B$1315, "&lt;=" &amp; BN$1, DataRegularSeason20242025!$D$3:$D$1315, $A65)+SUMIFS(DataRegularSeason20242025!$AB$3:$AB$1315,DataRegularSeason20242025!$B$3:$B$1315, "&lt;=" &amp; BN$1, DataRegularSeason20242025!$E$3:$E$1315, $A65)</f>
        <v>7</v>
      </c>
      <c r="BO65">
        <f>SUMIFS(DataRegularSeason20242025!$AA$3:$AA$1315,DataRegularSeason20242025!$B$3:$B$1315, "&lt;=" &amp; BO$1, DataRegularSeason20242025!$D$3:$D$1315, $A65)+SUMIFS(DataRegularSeason20242025!$AB$3:$AB$1315,DataRegularSeason20242025!$B$3:$B$1315, "&lt;=" &amp; BO$1, DataRegularSeason20242025!$E$3:$E$1315, $A65)</f>
        <v>7</v>
      </c>
      <c r="BP65">
        <f>SUMIFS(DataRegularSeason20242025!$AA$3:$AA$1315,DataRegularSeason20242025!$B$3:$B$1315, "&lt;=" &amp; BP$1, DataRegularSeason20242025!$D$3:$D$1315, $A65)+SUMIFS(DataRegularSeason20242025!$AB$3:$AB$1315,DataRegularSeason20242025!$B$3:$B$1315, "&lt;=" &amp; BP$1, DataRegularSeason20242025!$E$3:$E$1315, $A65)</f>
        <v>7</v>
      </c>
      <c r="BQ65">
        <f>SUMIFS(DataRegularSeason20242025!$AA$3:$AA$1315,DataRegularSeason20242025!$B$3:$B$1315, "&lt;=" &amp; BQ$1, DataRegularSeason20242025!$D$3:$D$1315, $A65)+SUMIFS(DataRegularSeason20242025!$AB$3:$AB$1315,DataRegularSeason20242025!$B$3:$B$1315, "&lt;=" &amp; BQ$1, DataRegularSeason20242025!$E$3:$E$1315, $A65)</f>
        <v>7</v>
      </c>
      <c r="BR65">
        <f>SUMIFS(DataRegularSeason20242025!$AA$3:$AA$1315,DataRegularSeason20242025!$B$3:$B$1315, "&lt;=" &amp; BR$1, DataRegularSeason20242025!$D$3:$D$1315, $A65)+SUMIFS(DataRegularSeason20242025!$AB$3:$AB$1315,DataRegularSeason20242025!$B$3:$B$1315, "&lt;=" &amp; BR$1, DataRegularSeason20242025!$E$3:$E$1315, $A65)</f>
        <v>7</v>
      </c>
      <c r="BS65">
        <f>SUMIFS(DataRegularSeason20242025!$AA$3:$AA$1315,DataRegularSeason20242025!$B$3:$B$1315, "&lt;=" &amp; BS$1, DataRegularSeason20242025!$D$3:$D$1315, $A65)+SUMIFS(DataRegularSeason20242025!$AB$3:$AB$1315,DataRegularSeason20242025!$B$3:$B$1315, "&lt;=" &amp; BS$1, DataRegularSeason20242025!$E$3:$E$1315, $A65)</f>
        <v>7</v>
      </c>
      <c r="BT65">
        <f>SUMIFS(DataRegularSeason20242025!$AA$3:$AA$1315,DataRegularSeason20242025!$B$3:$B$1315, "&lt;=" &amp; BT$1, DataRegularSeason20242025!$D$3:$D$1315, $A65)+SUMIFS(DataRegularSeason20242025!$AB$3:$AB$1315,DataRegularSeason20242025!$B$3:$B$1315, "&lt;=" &amp; BT$1, DataRegularSeason20242025!$E$3:$E$1315, $A65)</f>
        <v>7</v>
      </c>
      <c r="BU65">
        <f>SUMIFS(DataRegularSeason20242025!$AA$3:$AA$1315,DataRegularSeason20242025!$B$3:$B$1315, "&lt;=" &amp; BU$1, DataRegularSeason20242025!$D$3:$D$1315, $A65)+SUMIFS(DataRegularSeason20242025!$AB$3:$AB$1315,DataRegularSeason20242025!$B$3:$B$1315, "&lt;=" &amp; BU$1, DataRegularSeason20242025!$E$3:$E$1315, $A65)</f>
        <v>7</v>
      </c>
      <c r="BV65">
        <f>SUMIFS(DataRegularSeason20242025!$AA$3:$AA$1315,DataRegularSeason20242025!$B$3:$B$1315, "&lt;=" &amp; BV$1, DataRegularSeason20242025!$D$3:$D$1315, $A65)+SUMIFS(DataRegularSeason20242025!$AB$3:$AB$1315,DataRegularSeason20242025!$B$3:$B$1315, "&lt;=" &amp; BV$1, DataRegularSeason20242025!$E$3:$E$1315, $A65)</f>
        <v>7</v>
      </c>
      <c r="BW65">
        <f>SUMIFS(DataRegularSeason20242025!$AA$3:$AA$1315,DataRegularSeason20242025!$B$3:$B$1315, "&lt;=" &amp; BW$1, DataRegularSeason20242025!$D$3:$D$1315, $A65)+SUMIFS(DataRegularSeason20242025!$AB$3:$AB$1315,DataRegularSeason20242025!$B$3:$B$1315, "&lt;=" &amp; BW$1, DataRegularSeason20242025!$E$3:$E$1315, $A65)</f>
        <v>7</v>
      </c>
      <c r="BX65">
        <f>SUMIFS(DataRegularSeason20242025!$AA$3:$AA$1315,DataRegularSeason20242025!$B$3:$B$1315, "&lt;=" &amp; BX$1, DataRegularSeason20242025!$D$3:$D$1315, $A65)+SUMIFS(DataRegularSeason20242025!$AB$3:$AB$1315,DataRegularSeason20242025!$B$3:$B$1315, "&lt;=" &amp; BX$1, DataRegularSeason20242025!$E$3:$E$1315, $A65)</f>
        <v>7</v>
      </c>
      <c r="BY65">
        <f>SUMIFS(DataRegularSeason20242025!$AA$3:$AA$1315,DataRegularSeason20242025!$B$3:$B$1315, "&lt;=" &amp; BY$1, DataRegularSeason20242025!$D$3:$D$1315, $A65)+SUMIFS(DataRegularSeason20242025!$AB$3:$AB$1315,DataRegularSeason20242025!$B$3:$B$1315, "&lt;=" &amp; BY$1, DataRegularSeason20242025!$E$3:$E$1315, $A65)</f>
        <v>7</v>
      </c>
      <c r="BZ65">
        <f>SUMIFS(DataRegularSeason20242025!$AA$3:$AA$1315,DataRegularSeason20242025!$B$3:$B$1315, "&lt;=" &amp; BZ$1, DataRegularSeason20242025!$D$3:$D$1315, $A65)+SUMIFS(DataRegularSeason20242025!$AB$3:$AB$1315,DataRegularSeason20242025!$B$3:$B$1315, "&lt;=" &amp; BZ$1, DataRegularSeason20242025!$E$3:$E$1315, $A65)</f>
        <v>7</v>
      </c>
      <c r="CA65">
        <f>SUMIFS(DataRegularSeason20242025!$AA$3:$AA$1315,DataRegularSeason20242025!$B$3:$B$1315, "&lt;=" &amp; CA$1, DataRegularSeason20242025!$D$3:$D$1315, $A65)+SUMIFS(DataRegularSeason20242025!$AB$3:$AB$1315,DataRegularSeason20242025!$B$3:$B$1315, "&lt;=" &amp; CA$1, DataRegularSeason20242025!$E$3:$E$1315, $A65)</f>
        <v>7</v>
      </c>
      <c r="CB65">
        <f>SUMIFS(DataRegularSeason20242025!$AA$3:$AA$1315,DataRegularSeason20242025!$B$3:$B$1315, "&lt;=" &amp; CB$1, DataRegularSeason20242025!$D$3:$D$1315, $A65)+SUMIFS(DataRegularSeason20242025!$AB$3:$AB$1315,DataRegularSeason20242025!$B$3:$B$1315, "&lt;=" &amp; CB$1, DataRegularSeason20242025!$E$3:$E$1315, $A65)</f>
        <v>7</v>
      </c>
      <c r="CC65">
        <f>SUMIFS(DataRegularSeason20242025!$AA$3:$AA$1315,DataRegularSeason20242025!$B$3:$B$1315, "&lt;=" &amp; CC$1, DataRegularSeason20242025!$D$3:$D$1315, $A65)+SUMIFS(DataRegularSeason20242025!$AB$3:$AB$1315,DataRegularSeason20242025!$B$3:$B$1315, "&lt;=" &amp; CC$1, DataRegularSeason20242025!$E$3:$E$1315, $A65)</f>
        <v>7</v>
      </c>
      <c r="CD65">
        <f>SUMIFS(DataRegularSeason20242025!$AA$3:$AA$1315,DataRegularSeason20242025!$B$3:$B$1315, "&lt;=" &amp; CD$1, DataRegularSeason20242025!$D$3:$D$1315, $A65)+SUMIFS(DataRegularSeason20242025!$AB$3:$AB$1315,DataRegularSeason20242025!$B$3:$B$1315, "&lt;=" &amp; CD$1, DataRegularSeason20242025!$E$3:$E$1315, $A65)</f>
        <v>7</v>
      </c>
      <c r="CE65">
        <f>SUMIFS(DataRegularSeason20242025!$AA$3:$AA$1315,DataRegularSeason20242025!$B$3:$B$1315, "&lt;=" &amp; CE$1, DataRegularSeason20242025!$D$3:$D$1315, $A65)+SUMIFS(DataRegularSeason20242025!$AB$3:$AB$1315,DataRegularSeason20242025!$B$3:$B$1315, "&lt;=" &amp; CE$1, DataRegularSeason20242025!$E$3:$E$1315, $A65)</f>
        <v>7</v>
      </c>
      <c r="CF65">
        <f>SUMIFS(DataRegularSeason20242025!$AA$3:$AA$1315,DataRegularSeason20242025!$B$3:$B$1315, "&lt;=" &amp; CF$1, DataRegularSeason20242025!$D$3:$D$1315, $A65)+SUMIFS(DataRegularSeason20242025!$AB$3:$AB$1315,DataRegularSeason20242025!$B$3:$B$1315, "&lt;=" &amp; CF$1, DataRegularSeason20242025!$E$3:$E$1315, $A65)</f>
        <v>7</v>
      </c>
      <c r="CG65">
        <f>SUMIFS(DataRegularSeason20242025!$AA$3:$AA$1315,DataRegularSeason20242025!$B$3:$B$1315, "&lt;=" &amp; CG$1, DataRegularSeason20242025!$D$3:$D$1315, $A65)+SUMIFS(DataRegularSeason20242025!$AB$3:$AB$1315,DataRegularSeason20242025!$B$3:$B$1315, "&lt;=" &amp; CG$1, DataRegularSeason20242025!$E$3:$E$1315, $A65)</f>
        <v>7</v>
      </c>
      <c r="CH65">
        <f>SUMIFS(DataRegularSeason20242025!$AA$3:$AA$1315,DataRegularSeason20242025!$B$3:$B$1315, "&lt;=" &amp; CH$1, DataRegularSeason20242025!$D$3:$D$1315, $A65)+SUMIFS(DataRegularSeason20242025!$AB$3:$AB$1315,DataRegularSeason20242025!$B$3:$B$1315, "&lt;=" &amp; CH$1, DataRegularSeason20242025!$E$3:$E$1315, $A65)</f>
        <v>7</v>
      </c>
      <c r="CI65">
        <f>SUMIFS(DataRegularSeason20242025!$AA$3:$AA$1315,DataRegularSeason20242025!$B$3:$B$1315, "&lt;=" &amp; CI$1, DataRegularSeason20242025!$D$3:$D$1315, $A65)+SUMIFS(DataRegularSeason20242025!$AB$3:$AB$1315,DataRegularSeason20242025!$B$3:$B$1315, "&lt;=" &amp; CI$1, DataRegularSeason20242025!$E$3:$E$1315, $A65)</f>
        <v>7</v>
      </c>
      <c r="CJ65">
        <f>SUMIFS(DataRegularSeason20242025!$AA$3:$AA$1315,DataRegularSeason20242025!$B$3:$B$1315, "&lt;=" &amp; CJ$1, DataRegularSeason20242025!$D$3:$D$1315, $A65)+SUMIFS(DataRegularSeason20242025!$AB$3:$AB$1315,DataRegularSeason20242025!$B$3:$B$1315, "&lt;=" &amp; CJ$1, DataRegularSeason20242025!$E$3:$E$1315, $A65)</f>
        <v>7</v>
      </c>
      <c r="CK65">
        <f>SUMIFS(DataRegularSeason20242025!$AA$3:$AA$1315,DataRegularSeason20242025!$B$3:$B$1315, "&lt;=" &amp; CK$1, DataRegularSeason20242025!$D$3:$D$1315, $A65)+SUMIFS(DataRegularSeason20242025!$AB$3:$AB$1315,DataRegularSeason20242025!$B$3:$B$1315, "&lt;=" &amp; CK$1, DataRegularSeason20242025!$E$3:$E$1315, $A65)</f>
        <v>7</v>
      </c>
      <c r="CL65">
        <f>SUMIFS(DataRegularSeason20242025!$AA$3:$AA$1315,DataRegularSeason20242025!$B$3:$B$1315, "&lt;=" &amp; CL$1, DataRegularSeason20242025!$D$3:$D$1315, $A65)+SUMIFS(DataRegularSeason20242025!$AB$3:$AB$1315,DataRegularSeason20242025!$B$3:$B$1315, "&lt;=" &amp; CL$1, DataRegularSeason20242025!$E$3:$E$1315, $A65)</f>
        <v>7</v>
      </c>
      <c r="CM65">
        <f>SUMIFS(DataRegularSeason20242025!$AA$3:$AA$1315,DataRegularSeason20242025!$B$3:$B$1315, "&lt;=" &amp; CM$1, DataRegularSeason20242025!$D$3:$D$1315, $A65)+SUMIFS(DataRegularSeason20242025!$AB$3:$AB$1315,DataRegularSeason20242025!$B$3:$B$1315, "&lt;=" &amp; CM$1, DataRegularSeason20242025!$E$3:$E$1315, $A65)</f>
        <v>7</v>
      </c>
      <c r="CN65">
        <f>SUMIFS(DataRegularSeason20242025!$AA$3:$AA$1315,DataRegularSeason20242025!$B$3:$B$1315, "&lt;=" &amp; CN$1, DataRegularSeason20242025!$D$3:$D$1315, $A65)+SUMIFS(DataRegularSeason20242025!$AB$3:$AB$1315,DataRegularSeason20242025!$B$3:$B$1315, "&lt;=" &amp; CN$1, DataRegularSeason20242025!$E$3:$E$1315, $A65)</f>
        <v>7</v>
      </c>
      <c r="CO65">
        <f>SUMIFS(DataRegularSeason20242025!$AA$3:$AA$1315,DataRegularSeason20242025!$B$3:$B$1315, "&lt;=" &amp; CO$1, DataRegularSeason20242025!$D$3:$D$1315, $A65)+SUMIFS(DataRegularSeason20242025!$AB$3:$AB$1315,DataRegularSeason20242025!$B$3:$B$1315, "&lt;=" &amp; CO$1, DataRegularSeason20242025!$E$3:$E$1315, $A65)</f>
        <v>7</v>
      </c>
      <c r="CP65">
        <f>SUMIFS(DataRegularSeason20242025!$AA$3:$AA$1315,DataRegularSeason20242025!$B$3:$B$1315, "&lt;=" &amp; CP$1, DataRegularSeason20242025!$D$3:$D$1315, $A65)+SUMIFS(DataRegularSeason20242025!$AB$3:$AB$1315,DataRegularSeason20242025!$B$3:$B$1315, "&lt;=" &amp; CP$1, DataRegularSeason20242025!$E$3:$E$1315, $A65)</f>
        <v>7</v>
      </c>
      <c r="CQ65">
        <f>SUMIFS(DataRegularSeason20242025!$AA$3:$AA$1315,DataRegularSeason20242025!$B$3:$B$1315, "&lt;=" &amp; CQ$1, DataRegularSeason20242025!$D$3:$D$1315, $A65)+SUMIFS(DataRegularSeason20242025!$AB$3:$AB$1315,DataRegularSeason20242025!$B$3:$B$1315, "&lt;=" &amp; CQ$1, DataRegularSeason20242025!$E$3:$E$1315, $A65)</f>
        <v>7</v>
      </c>
      <c r="CR65">
        <f>SUMIFS(DataRegularSeason20242025!$AA$3:$AA$1315,DataRegularSeason20242025!$B$3:$B$1315, "&lt;=" &amp; CR$1, DataRegularSeason20242025!$D$3:$D$1315, $A65)+SUMIFS(DataRegularSeason20242025!$AB$3:$AB$1315,DataRegularSeason20242025!$B$3:$B$1315, "&lt;=" &amp; CR$1, DataRegularSeason20242025!$E$3:$E$1315, $A65)</f>
        <v>7</v>
      </c>
      <c r="CS65">
        <f>SUMIFS(DataRegularSeason20242025!$AA$3:$AA$1315,DataRegularSeason20242025!$B$3:$B$1315, "&lt;=" &amp; CS$1, DataRegularSeason20242025!$D$3:$D$1315, $A65)+SUMIFS(DataRegularSeason20242025!$AB$3:$AB$1315,DataRegularSeason20242025!$B$3:$B$1315, "&lt;=" &amp; CS$1, DataRegularSeason20242025!$E$3:$E$1315, $A65)</f>
        <v>7</v>
      </c>
      <c r="CT65">
        <f>SUMIFS(DataRegularSeason20242025!$AA$3:$AA$1315,DataRegularSeason20242025!$B$3:$B$1315, "&lt;=" &amp; CT$1, DataRegularSeason20242025!$D$3:$D$1315, $A65)+SUMIFS(DataRegularSeason20242025!$AB$3:$AB$1315,DataRegularSeason20242025!$B$3:$B$1315, "&lt;=" &amp; CT$1, DataRegularSeason20242025!$E$3:$E$1315, $A65)</f>
        <v>7</v>
      </c>
      <c r="CU65">
        <f>SUMIFS(DataRegularSeason20242025!$AA$3:$AA$1315,DataRegularSeason20242025!$B$3:$B$1315, "&lt;=" &amp; CU$1, DataRegularSeason20242025!$D$3:$D$1315, $A65)+SUMIFS(DataRegularSeason20242025!$AB$3:$AB$1315,DataRegularSeason20242025!$B$3:$B$1315, "&lt;=" &amp; CU$1, DataRegularSeason20242025!$E$3:$E$1315, $A65)</f>
        <v>7</v>
      </c>
      <c r="CV65">
        <f>SUMIFS(DataRegularSeason20242025!$AA$3:$AA$1315,DataRegularSeason20242025!$B$3:$B$1315, "&lt;=" &amp; CV$1, DataRegularSeason20242025!$D$3:$D$1315, $A65)+SUMIFS(DataRegularSeason20242025!$AB$3:$AB$1315,DataRegularSeason20242025!$B$3:$B$1315, "&lt;=" &amp; CV$1, DataRegularSeason20242025!$E$3:$E$1315, $A65)</f>
        <v>7</v>
      </c>
      <c r="CW65">
        <f>SUMIFS(DataRegularSeason20242025!$AA$3:$AA$1315,DataRegularSeason20242025!$B$3:$B$1315, "&lt;=" &amp; CW$1, DataRegularSeason20242025!$D$3:$D$1315, $A65)+SUMIFS(DataRegularSeason20242025!$AB$3:$AB$1315,DataRegularSeason20242025!$B$3:$B$1315, "&lt;=" &amp; CW$1, DataRegularSeason20242025!$E$3:$E$1315, $A65)</f>
        <v>7</v>
      </c>
      <c r="CX65">
        <f>SUMIFS(DataRegularSeason20242025!$AA$3:$AA$1315,DataRegularSeason20242025!$B$3:$B$1315, "&lt;=" &amp; CX$1, DataRegularSeason20242025!$D$3:$D$1315, $A65)+SUMIFS(DataRegularSeason20242025!$AB$3:$AB$1315,DataRegularSeason20242025!$B$3:$B$1315, "&lt;=" &amp; CX$1, DataRegularSeason20242025!$E$3:$E$1315, $A65)</f>
        <v>7</v>
      </c>
      <c r="CY65">
        <f>SUMIFS(DataRegularSeason20242025!$AA$3:$AA$1315,DataRegularSeason20242025!$B$3:$B$1315, "&lt;=" &amp; CY$1, DataRegularSeason20242025!$D$3:$D$1315, $A65)+SUMIFS(DataRegularSeason20242025!$AB$3:$AB$1315,DataRegularSeason20242025!$B$3:$B$1315, "&lt;=" &amp; CY$1, DataRegularSeason20242025!$E$3:$E$1315, $A65)</f>
        <v>7</v>
      </c>
      <c r="CZ65">
        <f>SUMIFS(DataRegularSeason20242025!$AA$3:$AA$1315,DataRegularSeason20242025!$B$3:$B$1315, "&lt;=" &amp; CZ$1, DataRegularSeason20242025!$D$3:$D$1315, $A65)+SUMIFS(DataRegularSeason20242025!$AB$3:$AB$1315,DataRegularSeason20242025!$B$3:$B$1315, "&lt;=" &amp; CZ$1, DataRegularSeason20242025!$E$3:$E$1315, $A65)</f>
        <v>7</v>
      </c>
      <c r="DA65">
        <f>SUMIFS(DataRegularSeason20242025!$AA$3:$AA$1315,DataRegularSeason20242025!$B$3:$B$1315, "&lt;=" &amp; DA$1, DataRegularSeason20242025!$D$3:$D$1315, $A65)+SUMIFS(DataRegularSeason20242025!$AB$3:$AB$1315,DataRegularSeason20242025!$B$3:$B$1315, "&lt;=" &amp; DA$1, DataRegularSeason20242025!$E$3:$E$1315, $A65)</f>
        <v>7</v>
      </c>
      <c r="DB65">
        <f>SUMIFS(DataRegularSeason20242025!$AA$3:$AA$1315,DataRegularSeason20242025!$B$3:$B$1315, "&lt;=" &amp; DB$1, DataRegularSeason20242025!$D$3:$D$1315, $A65)+SUMIFS(DataRegularSeason20242025!$AB$3:$AB$1315,DataRegularSeason20242025!$B$3:$B$1315, "&lt;=" &amp; DB$1, DataRegularSeason20242025!$E$3:$E$1315, $A65)</f>
        <v>7</v>
      </c>
      <c r="DC65">
        <f>SUMIFS(DataRegularSeason20242025!$AA$3:$AA$1315,DataRegularSeason20242025!$B$3:$B$1315, "&lt;=" &amp; DC$1, DataRegularSeason20242025!$D$3:$D$1315, $A65)+SUMIFS(DataRegularSeason20242025!$AB$3:$AB$1315,DataRegularSeason20242025!$B$3:$B$1315, "&lt;=" &amp; DC$1, DataRegularSeason20242025!$E$3:$E$1315, $A65)</f>
        <v>7</v>
      </c>
      <c r="DD65">
        <f>SUMIFS(DataRegularSeason20242025!$AA$3:$AA$1315,DataRegularSeason20242025!$B$3:$B$1315, "&lt;=" &amp; DD$1, DataRegularSeason20242025!$D$3:$D$1315, $A65)+SUMIFS(DataRegularSeason20242025!$AB$3:$AB$1315,DataRegularSeason20242025!$B$3:$B$1315, "&lt;=" &amp; DD$1, DataRegularSeason20242025!$E$3:$E$1315, $A65)</f>
        <v>7</v>
      </c>
      <c r="DE65">
        <f>SUMIFS(DataRegularSeason20242025!$AA$3:$AA$1315,DataRegularSeason20242025!$B$3:$B$1315, "&lt;=" &amp; DE$1, DataRegularSeason20242025!$D$3:$D$1315, $A65)+SUMIFS(DataRegularSeason20242025!$AB$3:$AB$1315,DataRegularSeason20242025!$B$3:$B$1315, "&lt;=" &amp; DE$1, DataRegularSeason20242025!$E$3:$E$1315, $A65)</f>
        <v>7</v>
      </c>
      <c r="DF65">
        <f>SUMIFS(DataRegularSeason20242025!$AA$3:$AA$1315,DataRegularSeason20242025!$B$3:$B$1315, "&lt;=" &amp; DF$1, DataRegularSeason20242025!$D$3:$D$1315, $A65)+SUMIFS(DataRegularSeason20242025!$AB$3:$AB$1315,DataRegularSeason20242025!$B$3:$B$1315, "&lt;=" &amp; DF$1, DataRegularSeason20242025!$E$3:$E$1315, $A65)</f>
        <v>7</v>
      </c>
      <c r="DG65">
        <f>SUMIFS(DataRegularSeason20242025!$AA$3:$AA$1315,DataRegularSeason20242025!$B$3:$B$1315, "&lt;=" &amp; DG$1, DataRegularSeason20242025!$D$3:$D$1315, $A65)+SUMIFS(DataRegularSeason20242025!$AB$3:$AB$1315,DataRegularSeason20242025!$B$3:$B$1315, "&lt;=" &amp; DG$1, DataRegularSeason20242025!$E$3:$E$1315, $A65)</f>
        <v>7</v>
      </c>
      <c r="DH65">
        <f>SUMIFS(DataRegularSeason20242025!$AA$3:$AA$1315,DataRegularSeason20242025!$B$3:$B$1315, "&lt;=" &amp; DH$1, DataRegularSeason20242025!$D$3:$D$1315, $A65)+SUMIFS(DataRegularSeason20242025!$AB$3:$AB$1315,DataRegularSeason20242025!$B$3:$B$1315, "&lt;=" &amp; DH$1, DataRegularSeason20242025!$E$3:$E$1315, $A65)</f>
        <v>7</v>
      </c>
      <c r="DI65">
        <f>SUMIFS(DataRegularSeason20242025!$AA$3:$AA$1315,DataRegularSeason20242025!$B$3:$B$1315, "&lt;=" &amp; DI$1, DataRegularSeason20242025!$D$3:$D$1315, $A65)+SUMIFS(DataRegularSeason20242025!$AB$3:$AB$1315,DataRegularSeason20242025!$B$3:$B$1315, "&lt;=" &amp; DI$1, DataRegularSeason20242025!$E$3:$E$1315, $A65)</f>
        <v>7</v>
      </c>
      <c r="DJ65">
        <f>SUMIFS(DataRegularSeason20242025!$AA$3:$AA$1315,DataRegularSeason20242025!$B$3:$B$1315, "&lt;=" &amp; DJ$1, DataRegularSeason20242025!$D$3:$D$1315, $A65)+SUMIFS(DataRegularSeason20242025!$AB$3:$AB$1315,DataRegularSeason20242025!$B$3:$B$1315, "&lt;=" &amp; DJ$1, DataRegularSeason20242025!$E$3:$E$1315, $A65)</f>
        <v>7</v>
      </c>
      <c r="DK65">
        <f>SUMIFS(DataRegularSeason20242025!$AA$3:$AA$1315,DataRegularSeason20242025!$B$3:$B$1315, "&lt;=" &amp; DK$1, DataRegularSeason20242025!$D$3:$D$1315, $A65)+SUMIFS(DataRegularSeason20242025!$AB$3:$AB$1315,DataRegularSeason20242025!$B$3:$B$1315, "&lt;=" &amp; DK$1, DataRegularSeason20242025!$E$3:$E$1315, $A65)</f>
        <v>7</v>
      </c>
      <c r="DL65">
        <f>SUMIFS(DataRegularSeason20242025!$AA$3:$AA$1315,DataRegularSeason20242025!$B$3:$B$1315, "&lt;=" &amp; DL$1, DataRegularSeason20242025!$D$3:$D$1315, $A65)+SUMIFS(DataRegularSeason20242025!$AB$3:$AB$1315,DataRegularSeason20242025!$B$3:$B$1315, "&lt;=" &amp; DL$1, DataRegularSeason20242025!$E$3:$E$1315, $A65)</f>
        <v>7</v>
      </c>
      <c r="DM65">
        <f>SUMIFS(DataRegularSeason20242025!$AA$3:$AA$1315,DataRegularSeason20242025!$B$3:$B$1315, "&lt;=" &amp; DM$1, DataRegularSeason20242025!$D$3:$D$1315, $A65)+SUMIFS(DataRegularSeason20242025!$AB$3:$AB$1315,DataRegularSeason20242025!$B$3:$B$1315, "&lt;=" &amp; DM$1, DataRegularSeason20242025!$E$3:$E$1315, $A65)</f>
        <v>7</v>
      </c>
      <c r="DN65">
        <f>SUMIFS(DataRegularSeason20242025!$AA$3:$AA$1315,DataRegularSeason20242025!$B$3:$B$1315, "&lt;=" &amp; DN$1, DataRegularSeason20242025!$D$3:$D$1315, $A65)+SUMIFS(DataRegularSeason20242025!$AB$3:$AB$1315,DataRegularSeason20242025!$B$3:$B$1315, "&lt;=" &amp; DN$1, DataRegularSeason20242025!$E$3:$E$1315, $A65)</f>
        <v>7</v>
      </c>
      <c r="DO65">
        <f>SUMIFS(DataRegularSeason20242025!$AA$3:$AA$1315,DataRegularSeason20242025!$B$3:$B$1315, "&lt;=" &amp; DO$1, DataRegularSeason20242025!$D$3:$D$1315, $A65)+SUMIFS(DataRegularSeason20242025!$AB$3:$AB$1315,DataRegularSeason20242025!$B$3:$B$1315, "&lt;=" &amp; DO$1, DataRegularSeason20242025!$E$3:$E$1315, $A65)</f>
        <v>7</v>
      </c>
      <c r="DP65">
        <f>SUMIFS(DataRegularSeason20242025!$AA$3:$AA$1315,DataRegularSeason20242025!$B$3:$B$1315, "&lt;=" &amp; DP$1, DataRegularSeason20242025!$D$3:$D$1315, $A65)+SUMIFS(DataRegularSeason20242025!$AB$3:$AB$1315,DataRegularSeason20242025!$B$3:$B$1315, "&lt;=" &amp; DP$1, DataRegularSeason20242025!$E$3:$E$1315, $A65)</f>
        <v>7</v>
      </c>
      <c r="DQ65">
        <f>SUMIFS(DataRegularSeason20242025!$AA$3:$AA$1315,DataRegularSeason20242025!$B$3:$B$1315, "&lt;=" &amp; DQ$1, DataRegularSeason20242025!$D$3:$D$1315, $A65)+SUMIFS(DataRegularSeason20242025!$AB$3:$AB$1315,DataRegularSeason20242025!$B$3:$B$1315, "&lt;=" &amp; DQ$1, DataRegularSeason20242025!$E$3:$E$1315, $A65)</f>
        <v>7</v>
      </c>
      <c r="DR65">
        <f>SUMIFS(DataRegularSeason20242025!$AA$3:$AA$1315,DataRegularSeason20242025!$B$3:$B$1315, "&lt;=" &amp; DR$1, DataRegularSeason20242025!$D$3:$D$1315, $A65)+SUMIFS(DataRegularSeason20242025!$AB$3:$AB$1315,DataRegularSeason20242025!$B$3:$B$1315, "&lt;=" &amp; DR$1, DataRegularSeason20242025!$E$3:$E$1315, $A65)</f>
        <v>7</v>
      </c>
      <c r="DS65">
        <f>SUMIFS(DataRegularSeason20242025!$AA$3:$AA$1315,DataRegularSeason20242025!$B$3:$B$1315, "&lt;=" &amp; DS$1, DataRegularSeason20242025!$D$3:$D$1315, $A65)+SUMIFS(DataRegularSeason20242025!$AB$3:$AB$1315,DataRegularSeason20242025!$B$3:$B$1315, "&lt;=" &amp; DS$1, DataRegularSeason20242025!$E$3:$E$1315, $A65)</f>
        <v>7</v>
      </c>
      <c r="DT65">
        <f>SUMIFS(DataRegularSeason20242025!$AA$3:$AA$1315,DataRegularSeason20242025!$B$3:$B$1315, "&lt;=" &amp; DT$1, DataRegularSeason20242025!$D$3:$D$1315, $A65)+SUMIFS(DataRegularSeason20242025!$AB$3:$AB$1315,DataRegularSeason20242025!$B$3:$B$1315, "&lt;=" &amp; DT$1, DataRegularSeason20242025!$E$3:$E$1315, $A65)</f>
        <v>7</v>
      </c>
      <c r="DU65">
        <f>SUMIFS(DataRegularSeason20242025!$AA$3:$AA$1315,DataRegularSeason20242025!$B$3:$B$1315, "&lt;=" &amp; DU$1, DataRegularSeason20242025!$D$3:$D$1315, $A65)+SUMIFS(DataRegularSeason20242025!$AB$3:$AB$1315,DataRegularSeason20242025!$B$3:$B$1315, "&lt;=" &amp; DU$1, DataRegularSeason20242025!$E$3:$E$1315, $A65)</f>
        <v>7</v>
      </c>
      <c r="DV65">
        <f>SUMIFS(DataRegularSeason20242025!$AA$3:$AA$1315,DataRegularSeason20242025!$B$3:$B$1315, "&lt;=" &amp; DV$1, DataRegularSeason20242025!$D$3:$D$1315, $A65)+SUMIFS(DataRegularSeason20242025!$AB$3:$AB$1315,DataRegularSeason20242025!$B$3:$B$1315, "&lt;=" &amp; DV$1, DataRegularSeason20242025!$E$3:$E$1315, $A65)</f>
        <v>7</v>
      </c>
      <c r="DW65">
        <f>SUMIFS(DataRegularSeason20242025!$AA$3:$AA$1315,DataRegularSeason20242025!$B$3:$B$1315, "&lt;=" &amp; DW$1, DataRegularSeason20242025!$D$3:$D$1315, $A65)+SUMIFS(DataRegularSeason20242025!$AB$3:$AB$1315,DataRegularSeason20242025!$B$3:$B$1315, "&lt;=" &amp; DW$1, DataRegularSeason20242025!$E$3:$E$1315, $A65)</f>
        <v>7</v>
      </c>
      <c r="DX65">
        <f>SUMIFS(DataRegularSeason20242025!$AA$3:$AA$1315,DataRegularSeason20242025!$B$3:$B$1315, "&lt;=" &amp; DX$1, DataRegularSeason20242025!$D$3:$D$1315, $A65)+SUMIFS(DataRegularSeason20242025!$AB$3:$AB$1315,DataRegularSeason20242025!$B$3:$B$1315, "&lt;=" &amp; DX$1, DataRegularSeason20242025!$E$3:$E$1315, $A65)</f>
        <v>7</v>
      </c>
      <c r="DY65">
        <f>SUMIFS(DataRegularSeason20242025!$AA$3:$AA$1315,DataRegularSeason20242025!$B$3:$B$1315, "&lt;=" &amp; DY$1, DataRegularSeason20242025!$D$3:$D$1315, $A65)+SUMIFS(DataRegularSeason20242025!$AB$3:$AB$1315,DataRegularSeason20242025!$B$3:$B$1315, "&lt;=" &amp; DY$1, DataRegularSeason20242025!$E$3:$E$1315, $A65)</f>
        <v>7</v>
      </c>
      <c r="DZ65">
        <f>SUMIFS(DataRegularSeason20242025!$AA$3:$AA$1315,DataRegularSeason20242025!$B$3:$B$1315, "&lt;=" &amp; DZ$1, DataRegularSeason20242025!$D$3:$D$1315, $A65)+SUMIFS(DataRegularSeason20242025!$AB$3:$AB$1315,DataRegularSeason20242025!$B$3:$B$1315, "&lt;=" &amp; DZ$1, DataRegularSeason20242025!$E$3:$E$1315, $A65)</f>
        <v>7</v>
      </c>
      <c r="EA65">
        <f>SUMIFS(DataRegularSeason20242025!$AA$3:$AA$1315,DataRegularSeason20242025!$B$3:$B$1315, "&lt;=" &amp; EA$1, DataRegularSeason20242025!$D$3:$D$1315, $A65)+SUMIFS(DataRegularSeason20242025!$AB$3:$AB$1315,DataRegularSeason20242025!$B$3:$B$1315, "&lt;=" &amp; EA$1, DataRegularSeason20242025!$E$3:$E$1315, $A65)</f>
        <v>7</v>
      </c>
      <c r="EB65">
        <f>SUMIFS(DataRegularSeason20242025!$AA$3:$AA$1315,DataRegularSeason20242025!$B$3:$B$1315, "&lt;=" &amp; EB$1, DataRegularSeason20242025!$D$3:$D$1315, $A65)+SUMIFS(DataRegularSeason20242025!$AB$3:$AB$1315,DataRegularSeason20242025!$B$3:$B$1315, "&lt;=" &amp; EB$1, DataRegularSeason20242025!$E$3:$E$1315, $A65)</f>
        <v>7</v>
      </c>
      <c r="EC65">
        <f>SUMIFS(DataRegularSeason20242025!$AA$3:$AA$1315,DataRegularSeason20242025!$B$3:$B$1315, "&lt;=" &amp; EC$1, DataRegularSeason20242025!$D$3:$D$1315, $A65)+SUMIFS(DataRegularSeason20242025!$AB$3:$AB$1315,DataRegularSeason20242025!$B$3:$B$1315, "&lt;=" &amp; EC$1, DataRegularSeason20242025!$E$3:$E$1315, $A65)</f>
        <v>7</v>
      </c>
      <c r="ED65">
        <f>SUMIFS(DataRegularSeason20242025!$AA$3:$AA$1315,DataRegularSeason20242025!$B$3:$B$1315, "&lt;=" &amp; ED$1, DataRegularSeason20242025!$D$3:$D$1315, $A65)+SUMIFS(DataRegularSeason20242025!$AB$3:$AB$1315,DataRegularSeason20242025!$B$3:$B$1315, "&lt;=" &amp; ED$1, DataRegularSeason20242025!$E$3:$E$1315, $A65)</f>
        <v>7</v>
      </c>
      <c r="EE65">
        <f>SUMIFS(DataRegularSeason20242025!$AA$3:$AA$1315,DataRegularSeason20242025!$B$3:$B$1315, "&lt;=" &amp; EE$1, DataRegularSeason20242025!$D$3:$D$1315, $A65)+SUMIFS(DataRegularSeason20242025!$AB$3:$AB$1315,DataRegularSeason20242025!$B$3:$B$1315, "&lt;=" &amp; EE$1, DataRegularSeason20242025!$E$3:$E$1315, $A65)</f>
        <v>7</v>
      </c>
      <c r="EF65">
        <f>SUMIFS(DataRegularSeason20242025!$AA$3:$AA$1315,DataRegularSeason20242025!$B$3:$B$1315, "&lt;=" &amp; EF$1, DataRegularSeason20242025!$D$3:$D$1315, $A65)+SUMIFS(DataRegularSeason20242025!$AB$3:$AB$1315,DataRegularSeason20242025!$B$3:$B$1315, "&lt;=" &amp; EF$1, DataRegularSeason20242025!$E$3:$E$1315, $A65)</f>
        <v>7</v>
      </c>
      <c r="EG65">
        <f>SUMIFS(DataRegularSeason20242025!$AA$3:$AA$1315,DataRegularSeason20242025!$B$3:$B$1315, "&lt;=" &amp; EG$1, DataRegularSeason20242025!$D$3:$D$1315, $A65)+SUMIFS(DataRegularSeason20242025!$AB$3:$AB$1315,DataRegularSeason20242025!$B$3:$B$1315, "&lt;=" &amp; EG$1, DataRegularSeason20242025!$E$3:$E$1315, $A65)</f>
        <v>7</v>
      </c>
      <c r="EH65">
        <f>SUMIFS(DataRegularSeason20242025!$AA$3:$AA$1315,DataRegularSeason20242025!$B$3:$B$1315, "&lt;=" &amp; EH$1, DataRegularSeason20242025!$D$3:$D$1315, $A65)+SUMIFS(DataRegularSeason20242025!$AB$3:$AB$1315,DataRegularSeason20242025!$B$3:$B$1315, "&lt;=" &amp; EH$1, DataRegularSeason20242025!$E$3:$E$1315, $A65)</f>
        <v>7</v>
      </c>
      <c r="EI65">
        <f>SUMIFS(DataRegularSeason20242025!$AA$3:$AA$1315,DataRegularSeason20242025!$B$3:$B$1315, "&lt;=" &amp; EI$1, DataRegularSeason20242025!$D$3:$D$1315, $A65)+SUMIFS(DataRegularSeason20242025!$AB$3:$AB$1315,DataRegularSeason20242025!$B$3:$B$1315, "&lt;=" &amp; EI$1, DataRegularSeason20242025!$E$3:$E$1315, $A65)</f>
        <v>7</v>
      </c>
      <c r="EJ65">
        <f>SUMIFS(DataRegularSeason20242025!$AA$3:$AA$1315,DataRegularSeason20242025!$B$3:$B$1315, "&lt;=" &amp; EJ$1, DataRegularSeason20242025!$D$3:$D$1315, $A65)+SUMIFS(DataRegularSeason20242025!$AB$3:$AB$1315,DataRegularSeason20242025!$B$3:$B$1315, "&lt;=" &amp; EJ$1, DataRegularSeason20242025!$E$3:$E$1315, $A65)</f>
        <v>7</v>
      </c>
      <c r="EK65">
        <f>SUMIFS(DataRegularSeason20242025!$AA$3:$AA$1315,DataRegularSeason20242025!$B$3:$B$1315, "&lt;=" &amp; EK$1, DataRegularSeason20242025!$D$3:$D$1315, $A65)+SUMIFS(DataRegularSeason20242025!$AB$3:$AB$1315,DataRegularSeason20242025!$B$3:$B$1315, "&lt;=" &amp; EK$1, DataRegularSeason20242025!$E$3:$E$1315, $A65)</f>
        <v>7</v>
      </c>
      <c r="EL65">
        <f>SUMIFS(DataRegularSeason20242025!$AA$3:$AA$1315,DataRegularSeason20242025!$B$3:$B$1315, "&lt;=" &amp; EL$1, DataRegularSeason20242025!$D$3:$D$1315, $A65)+SUMIFS(DataRegularSeason20242025!$AB$3:$AB$1315,DataRegularSeason20242025!$B$3:$B$1315, "&lt;=" &amp; EL$1, DataRegularSeason20242025!$E$3:$E$1315, $A65)</f>
        <v>7</v>
      </c>
      <c r="EM65">
        <f>SUMIFS(DataRegularSeason20242025!$AA$3:$AA$1315,DataRegularSeason20242025!$B$3:$B$1315, "&lt;=" &amp; EM$1, DataRegularSeason20242025!$D$3:$D$1315, $A65)+SUMIFS(DataRegularSeason20242025!$AB$3:$AB$1315,DataRegularSeason20242025!$B$3:$B$1315, "&lt;=" &amp; EM$1, DataRegularSeason20242025!$E$3:$E$1315, $A65)</f>
        <v>7</v>
      </c>
      <c r="EN65">
        <f>SUMIFS(DataRegularSeason20242025!$AA$3:$AA$1315,DataRegularSeason20242025!$B$3:$B$1315, "&lt;=" &amp; EN$1, DataRegularSeason20242025!$D$3:$D$1315, $A65)+SUMIFS(DataRegularSeason20242025!$AB$3:$AB$1315,DataRegularSeason20242025!$B$3:$B$1315, "&lt;=" &amp; EN$1, DataRegularSeason20242025!$E$3:$E$1315, $A65)</f>
        <v>7</v>
      </c>
      <c r="EO65">
        <f>SUMIFS(DataRegularSeason20242025!$AA$3:$AA$1315,DataRegularSeason20242025!$B$3:$B$1315, "&lt;=" &amp; EO$1, DataRegularSeason20242025!$D$3:$D$1315, $A65)+SUMIFS(DataRegularSeason20242025!$AB$3:$AB$1315,DataRegularSeason20242025!$B$3:$B$1315, "&lt;=" &amp; EO$1, DataRegularSeason20242025!$E$3:$E$1315, $A65)</f>
        <v>7</v>
      </c>
      <c r="EP65">
        <f>SUMIFS(DataRegularSeason20242025!$AA$3:$AA$1315,DataRegularSeason20242025!$B$3:$B$1315, "&lt;=" &amp; EP$1, DataRegularSeason20242025!$D$3:$D$1315, $A65)+SUMIFS(DataRegularSeason20242025!$AB$3:$AB$1315,DataRegularSeason20242025!$B$3:$B$1315, "&lt;=" &amp; EP$1, DataRegularSeason20242025!$E$3:$E$1315, $A65)</f>
        <v>7</v>
      </c>
      <c r="EQ65">
        <f>SUMIFS(DataRegularSeason20242025!$AA$3:$AA$1315,DataRegularSeason20242025!$B$3:$B$1315, "&lt;=" &amp; EQ$1, DataRegularSeason20242025!$D$3:$D$1315, $A65)+SUMIFS(DataRegularSeason20242025!$AB$3:$AB$1315,DataRegularSeason20242025!$B$3:$B$1315, "&lt;=" &amp; EQ$1, DataRegularSeason20242025!$E$3:$E$1315, $A65)</f>
        <v>7</v>
      </c>
      <c r="ER65">
        <f>SUMIFS(DataRegularSeason20242025!$AA$3:$AA$1315,DataRegularSeason20242025!$B$3:$B$1315, "&lt;=" &amp; ER$1, DataRegularSeason20242025!$D$3:$D$1315, $A65)+SUMIFS(DataRegularSeason20242025!$AB$3:$AB$1315,DataRegularSeason20242025!$B$3:$B$1315, "&lt;=" &amp; ER$1, DataRegularSeason20242025!$E$3:$E$1315, $A65)</f>
        <v>7</v>
      </c>
      <c r="ES65">
        <f>SUMIFS(DataRegularSeason20242025!$AA$3:$AA$1315,DataRegularSeason20242025!$B$3:$B$1315, "&lt;=" &amp; ES$1, DataRegularSeason20242025!$D$3:$D$1315, $A65)+SUMIFS(DataRegularSeason20242025!$AB$3:$AB$1315,DataRegularSeason20242025!$B$3:$B$1315, "&lt;=" &amp; ES$1, DataRegularSeason20242025!$E$3:$E$1315, $A65)</f>
        <v>7</v>
      </c>
      <c r="ET65">
        <f>SUMIFS(DataRegularSeason20242025!$AA$3:$AA$1315,DataRegularSeason20242025!$B$3:$B$1315, "&lt;=" &amp; ET$1, DataRegularSeason20242025!$D$3:$D$1315, $A65)+SUMIFS(DataRegularSeason20242025!$AB$3:$AB$1315,DataRegularSeason20242025!$B$3:$B$1315, "&lt;=" &amp; ET$1, DataRegularSeason20242025!$E$3:$E$1315, $A65)</f>
        <v>7</v>
      </c>
      <c r="EU65">
        <f>SUMIFS(DataRegularSeason20242025!$AA$3:$AA$1315,DataRegularSeason20242025!$B$3:$B$1315, "&lt;=" &amp; EU$1, DataRegularSeason20242025!$D$3:$D$1315, $A65)+SUMIFS(DataRegularSeason20242025!$AB$3:$AB$1315,DataRegularSeason20242025!$B$3:$B$1315, "&lt;=" &amp; EU$1, DataRegularSeason20242025!$E$3:$E$1315, $A65)</f>
        <v>7</v>
      </c>
      <c r="EV65">
        <f>SUMIFS(DataRegularSeason20242025!$AA$3:$AA$1315,DataRegularSeason20242025!$B$3:$B$1315, "&lt;=" &amp; EV$1, DataRegularSeason20242025!$D$3:$D$1315, $A65)+SUMIFS(DataRegularSeason20242025!$AB$3:$AB$1315,DataRegularSeason20242025!$B$3:$B$1315, "&lt;=" &amp; EV$1, DataRegularSeason20242025!$E$3:$E$1315, $A65)</f>
        <v>7</v>
      </c>
      <c r="EW65">
        <f>SUMIFS(DataRegularSeason20242025!$AA$3:$AA$1315,DataRegularSeason20242025!$B$3:$B$1315, "&lt;=" &amp; EW$1, DataRegularSeason20242025!$D$3:$D$1315, $A65)+SUMIFS(DataRegularSeason20242025!$AB$3:$AB$1315,DataRegularSeason20242025!$B$3:$B$1315, "&lt;=" &amp; EW$1, DataRegularSeason20242025!$E$3:$E$1315, $A65)</f>
        <v>7</v>
      </c>
      <c r="EX65">
        <f>SUMIFS(DataRegularSeason20242025!$AA$3:$AA$1315,DataRegularSeason20242025!$B$3:$B$1315, "&lt;=" &amp; EX$1, DataRegularSeason20242025!$D$3:$D$1315, $A65)+SUMIFS(DataRegularSeason20242025!$AB$3:$AB$1315,DataRegularSeason20242025!$B$3:$B$1315, "&lt;=" &amp; EX$1, DataRegularSeason20242025!$E$3:$E$1315, $A65)</f>
        <v>7</v>
      </c>
      <c r="EY65">
        <f>SUMIFS(DataRegularSeason20242025!$AA$3:$AA$1315,DataRegularSeason20242025!$B$3:$B$1315, "&lt;=" &amp; EY$1, DataRegularSeason20242025!$D$3:$D$1315, $A65)+SUMIFS(DataRegularSeason20242025!$AB$3:$AB$1315,DataRegularSeason20242025!$B$3:$B$1315, "&lt;=" &amp; EY$1, DataRegularSeason20242025!$E$3:$E$1315, $A65)</f>
        <v>7</v>
      </c>
      <c r="EZ65">
        <f>SUMIFS(DataRegularSeason20242025!$AA$3:$AA$1315,DataRegularSeason20242025!$B$3:$B$1315, "&lt;=" &amp; EZ$1, DataRegularSeason20242025!$D$3:$D$1315, $A65)+SUMIFS(DataRegularSeason20242025!$AB$3:$AB$1315,DataRegularSeason20242025!$B$3:$B$1315, "&lt;=" &amp; EZ$1, DataRegularSeason20242025!$E$3:$E$1315, $A65)</f>
        <v>7</v>
      </c>
      <c r="FA65">
        <f>SUMIFS(DataRegularSeason20242025!$AA$3:$AA$1315,DataRegularSeason20242025!$B$3:$B$1315, "&lt;=" &amp; FA$1, DataRegularSeason20242025!$D$3:$D$1315, $A65)+SUMIFS(DataRegularSeason20242025!$AB$3:$AB$1315,DataRegularSeason20242025!$B$3:$B$1315, "&lt;=" &amp; FA$1, DataRegularSeason20242025!$E$3:$E$1315, $A65)</f>
        <v>7</v>
      </c>
      <c r="FB65">
        <f>SUMIFS(DataRegularSeason20242025!$AA$3:$AA$1315,DataRegularSeason20242025!$B$3:$B$1315, "&lt;=" &amp; FB$1, DataRegularSeason20242025!$D$3:$D$1315, $A65)+SUMIFS(DataRegularSeason20242025!$AB$3:$AB$1315,DataRegularSeason20242025!$B$3:$B$1315, "&lt;=" &amp; FB$1, DataRegularSeason20242025!$E$3:$E$1315, $A65)</f>
        <v>7</v>
      </c>
      <c r="FC65">
        <f>SUMIFS(DataRegularSeason20242025!$AA$3:$AA$1315,DataRegularSeason20242025!$B$3:$B$1315, "&lt;=" &amp; FC$1, DataRegularSeason20242025!$D$3:$D$1315, $A65)+SUMIFS(DataRegularSeason20242025!$AB$3:$AB$1315,DataRegularSeason20242025!$B$3:$B$1315, "&lt;=" &amp; FC$1, DataRegularSeason20242025!$E$3:$E$1315, $A65)</f>
        <v>7</v>
      </c>
      <c r="FD65">
        <f>SUMIFS(DataRegularSeason20242025!$AA$3:$AA$1315,DataRegularSeason20242025!$B$3:$B$1315, "&lt;=" &amp; FD$1, DataRegularSeason20242025!$D$3:$D$1315, $A65)+SUMIFS(DataRegularSeason20242025!$AB$3:$AB$1315,DataRegularSeason20242025!$B$3:$B$1315, "&lt;=" &amp; FD$1, DataRegularSeason20242025!$E$3:$E$1315, $A65)</f>
        <v>7</v>
      </c>
      <c r="FE65">
        <f>SUMIFS(DataRegularSeason20242025!$AA$3:$AA$1315,DataRegularSeason20242025!$B$3:$B$1315, "&lt;=" &amp; FE$1, DataRegularSeason20242025!$D$3:$D$1315, $A65)+SUMIFS(DataRegularSeason20242025!$AB$3:$AB$1315,DataRegularSeason20242025!$B$3:$B$1315, "&lt;=" &amp; FE$1, DataRegularSeason20242025!$E$3:$E$1315, $A65)</f>
        <v>7</v>
      </c>
      <c r="FF65">
        <f>SUMIFS(DataRegularSeason20242025!$AA$3:$AA$1315,DataRegularSeason20242025!$B$3:$B$1315, "&lt;=" &amp; FF$1, DataRegularSeason20242025!$D$3:$D$1315, $A65)+SUMIFS(DataRegularSeason20242025!$AB$3:$AB$1315,DataRegularSeason20242025!$B$3:$B$1315, "&lt;=" &amp; FF$1, DataRegularSeason20242025!$E$3:$E$1315, $A65)</f>
        <v>7</v>
      </c>
      <c r="FG65">
        <f>SUMIFS(DataRegularSeason20242025!$AA$3:$AA$1315,DataRegularSeason20242025!$B$3:$B$1315, "&lt;=" &amp; FG$1, DataRegularSeason20242025!$D$3:$D$1315, $A65)+SUMIFS(DataRegularSeason20242025!$AB$3:$AB$1315,DataRegularSeason20242025!$B$3:$B$1315, "&lt;=" &amp; FG$1, DataRegularSeason20242025!$E$3:$E$1315, $A65)</f>
        <v>7</v>
      </c>
      <c r="FH65">
        <f>SUMIFS(DataRegularSeason20242025!$AA$3:$AA$1315,DataRegularSeason20242025!$B$3:$B$1315, "&lt;=" &amp; FH$1, DataRegularSeason20242025!$D$3:$D$1315, $A65)+SUMIFS(DataRegularSeason20242025!$AB$3:$AB$1315,DataRegularSeason20242025!$B$3:$B$1315, "&lt;=" &amp; FH$1, DataRegularSeason20242025!$E$3:$E$1315, $A65)</f>
        <v>7</v>
      </c>
      <c r="FI65">
        <f>SUMIFS(DataRegularSeason20242025!$AA$3:$AA$1315,DataRegularSeason20242025!$B$3:$B$1315, "&lt;=" &amp; FI$1, DataRegularSeason20242025!$D$3:$D$1315, $A65)+SUMIFS(DataRegularSeason20242025!$AB$3:$AB$1315,DataRegularSeason20242025!$B$3:$B$1315, "&lt;=" &amp; FI$1, DataRegularSeason20242025!$E$3:$E$1315, $A65)</f>
        <v>7</v>
      </c>
      <c r="FJ65">
        <f>SUMIFS(DataRegularSeason20242025!$AA$3:$AA$1315,DataRegularSeason20242025!$B$3:$B$1315, "&lt;=" &amp; FJ$1, DataRegularSeason20242025!$D$3:$D$1315, $A65)+SUMIFS(DataRegularSeason20242025!$AB$3:$AB$1315,DataRegularSeason20242025!$B$3:$B$1315, "&lt;=" &amp; FJ$1, DataRegularSeason20242025!$E$3:$E$1315, $A65)</f>
        <v>7</v>
      </c>
      <c r="FK65">
        <f>SUMIFS(DataRegularSeason20242025!$AA$3:$AA$1315,DataRegularSeason20242025!$B$3:$B$1315, "&lt;=" &amp; FK$1, DataRegularSeason20242025!$D$3:$D$1315, $A65)+SUMIFS(DataRegularSeason20242025!$AB$3:$AB$1315,DataRegularSeason20242025!$B$3:$B$1315, "&lt;=" &amp; FK$1, DataRegularSeason20242025!$E$3:$E$1315, $A65)</f>
        <v>7</v>
      </c>
      <c r="FL65">
        <f>SUMIFS(DataRegularSeason20242025!$AA$3:$AA$1315,DataRegularSeason20242025!$B$3:$B$1315, "&lt;=" &amp; FL$1, DataRegularSeason20242025!$D$3:$D$1315, $A65)+SUMIFS(DataRegularSeason20242025!$AB$3:$AB$1315,DataRegularSeason20242025!$B$3:$B$1315, "&lt;=" &amp; FL$1, DataRegularSeason20242025!$E$3:$E$1315, $A65)</f>
        <v>7</v>
      </c>
      <c r="FM65">
        <f>SUMIFS(DataRegularSeason20242025!$AA$3:$AA$1315,DataRegularSeason20242025!$B$3:$B$1315, "&lt;=" &amp; FM$1, DataRegularSeason20242025!$D$3:$D$1315, $A65)+SUMIFS(DataRegularSeason20242025!$AB$3:$AB$1315,DataRegularSeason20242025!$B$3:$B$1315, "&lt;=" &amp; FM$1, DataRegularSeason20242025!$E$3:$E$1315, $A65)</f>
        <v>7</v>
      </c>
      <c r="FN65">
        <f>SUMIFS(DataRegularSeason20242025!$AA$3:$AA$1315,DataRegularSeason20242025!$B$3:$B$1315, "&lt;=" &amp; FN$1, DataRegularSeason20242025!$D$3:$D$1315, $A65)+SUMIFS(DataRegularSeason20242025!$AB$3:$AB$1315,DataRegularSeason20242025!$B$3:$B$1315, "&lt;=" &amp; FN$1, DataRegularSeason20242025!$E$3:$E$1315, $A65)</f>
        <v>7</v>
      </c>
      <c r="FO65">
        <f>SUMIFS(DataRegularSeason20242025!$AA$3:$AA$1315,DataRegularSeason20242025!$B$3:$B$1315, "&lt;=" &amp; FO$1, DataRegularSeason20242025!$D$3:$D$1315, $A65)+SUMIFS(DataRegularSeason20242025!$AB$3:$AB$1315,DataRegularSeason20242025!$B$3:$B$1315, "&lt;=" &amp; FO$1, DataRegularSeason20242025!$E$3:$E$1315, $A65)</f>
        <v>7</v>
      </c>
      <c r="FP65">
        <f>SUMIFS(DataRegularSeason20242025!$AA$3:$AA$1315,DataRegularSeason20242025!$B$3:$B$1315, "&lt;=" &amp; FP$1, DataRegularSeason20242025!$D$3:$D$1315, $A65)+SUMIFS(DataRegularSeason20242025!$AB$3:$AB$1315,DataRegularSeason20242025!$B$3:$B$1315, "&lt;=" &amp; FP$1, DataRegularSeason20242025!$E$3:$E$1315, $A65)</f>
        <v>7</v>
      </c>
      <c r="FQ65">
        <f>SUMIFS(DataRegularSeason20242025!$AA$3:$AA$1315,DataRegularSeason20242025!$B$3:$B$1315, "&lt;=" &amp; FQ$1, DataRegularSeason20242025!$D$3:$D$1315, $A65)+SUMIFS(DataRegularSeason20242025!$AB$3:$AB$1315,DataRegularSeason20242025!$B$3:$B$1315, "&lt;=" &amp; FQ$1, DataRegularSeason20242025!$E$3:$E$1315, $A65)</f>
        <v>7</v>
      </c>
      <c r="FR65">
        <f>SUMIFS(DataRegularSeason20242025!$AA$3:$AA$1315,DataRegularSeason20242025!$B$3:$B$1315, "&lt;=" &amp; FR$1, DataRegularSeason20242025!$D$3:$D$1315, $A65)+SUMIFS(DataRegularSeason20242025!$AB$3:$AB$1315,DataRegularSeason20242025!$B$3:$B$1315, "&lt;=" &amp; FR$1, DataRegularSeason20242025!$E$3:$E$1315, $A65)</f>
        <v>7</v>
      </c>
      <c r="FS65">
        <f>SUMIFS(DataRegularSeason20242025!$AA$3:$AA$1315,DataRegularSeason20242025!$B$3:$B$1315, "&lt;=" &amp; FS$1, DataRegularSeason20242025!$D$3:$D$1315, $A65)+SUMIFS(DataRegularSeason20242025!$AB$3:$AB$1315,DataRegularSeason20242025!$B$3:$B$1315, "&lt;=" &amp; FS$1, DataRegularSeason20242025!$E$3:$E$1315, $A65)</f>
        <v>7</v>
      </c>
      <c r="FT65">
        <f>SUMIFS(DataRegularSeason20242025!$AA$3:$AA$1315,DataRegularSeason20242025!$B$3:$B$1315, "&lt;=" &amp; FT$1, DataRegularSeason20242025!$D$3:$D$1315, $A65)+SUMIFS(DataRegularSeason20242025!$AB$3:$AB$1315,DataRegularSeason20242025!$B$3:$B$1315, "&lt;=" &amp; FT$1, DataRegularSeason20242025!$E$3:$E$1315, $A65)</f>
        <v>7</v>
      </c>
      <c r="FU65">
        <f>SUMIFS(DataRegularSeason20242025!$AA$3:$AA$1315,DataRegularSeason20242025!$B$3:$B$1315, "&lt;=" &amp; FU$1, DataRegularSeason20242025!$D$3:$D$1315, $A65)+SUMIFS(DataRegularSeason20242025!$AB$3:$AB$1315,DataRegularSeason20242025!$B$3:$B$1315, "&lt;=" &amp; FU$1, DataRegularSeason20242025!$E$3:$E$1315, $A65)</f>
        <v>7</v>
      </c>
      <c r="FV65">
        <f>SUMIFS(DataRegularSeason20242025!$AA$3:$AA$1315,DataRegularSeason20242025!$B$3:$B$1315, "&lt;=" &amp; FV$1, DataRegularSeason20242025!$D$3:$D$1315, $A65)+SUMIFS(DataRegularSeason20242025!$AB$3:$AB$1315,DataRegularSeason20242025!$B$3:$B$1315, "&lt;=" &amp; FV$1, DataRegularSeason20242025!$E$3:$E$1315, $A65)</f>
        <v>7</v>
      </c>
      <c r="FW65">
        <f>SUMIFS(DataRegularSeason20242025!$AA$3:$AA$1315,DataRegularSeason20242025!$B$3:$B$1315, "&lt;=" &amp; FW$1, DataRegularSeason20242025!$D$3:$D$1315, $A65)+SUMIFS(DataRegularSeason20242025!$AB$3:$AB$1315,DataRegularSeason20242025!$B$3:$B$1315, "&lt;=" &amp; FW$1, DataRegularSeason20242025!$E$3:$E$1315, $A65)</f>
        <v>7</v>
      </c>
      <c r="FX65">
        <f>SUMIFS(DataRegularSeason20242025!$AA$3:$AA$1315,DataRegularSeason20242025!$B$3:$B$1315, "&lt;=" &amp; FX$1, DataRegularSeason20242025!$D$3:$D$1315, $A65)+SUMIFS(DataRegularSeason20242025!$AB$3:$AB$1315,DataRegularSeason20242025!$B$3:$B$1315, "&lt;=" &amp; FX$1, DataRegularSeason20242025!$E$3:$E$1315, $A65)</f>
        <v>7</v>
      </c>
      <c r="FY65">
        <f>SUMIFS(DataRegularSeason20242025!$AA$3:$AA$1315,DataRegularSeason20242025!$B$3:$B$1315, "&lt;=" &amp; FY$1, DataRegularSeason20242025!$D$3:$D$1315, $A65)+SUMIFS(DataRegularSeason20242025!$AB$3:$AB$1315,DataRegularSeason20242025!$B$3:$B$1315, "&lt;=" &amp; FY$1, DataRegularSeason20242025!$E$3:$E$1315, $A65)</f>
        <v>7</v>
      </c>
      <c r="FZ65">
        <f>SUMIFS(DataRegularSeason20242025!$AA$3:$AA$1315,DataRegularSeason20242025!$B$3:$B$1315, "&lt;=" &amp; FZ$1, DataRegularSeason20242025!$D$3:$D$1315, $A65)+SUMIFS(DataRegularSeason20242025!$AB$3:$AB$1315,DataRegularSeason20242025!$B$3:$B$1315, "&lt;=" &amp; FZ$1, DataRegularSeason20242025!$E$3:$E$1315, $A65)</f>
        <v>7</v>
      </c>
      <c r="GA65">
        <f>SUMIFS(DataRegularSeason20242025!$AA$3:$AA$1315,DataRegularSeason20242025!$B$3:$B$1315, "&lt;=" &amp; GA$1, DataRegularSeason20242025!$D$3:$D$1315, $A65)+SUMIFS(DataRegularSeason20242025!$AB$3:$AB$1315,DataRegularSeason20242025!$B$3:$B$1315, "&lt;=" &amp; GA$1, DataRegularSeason20242025!$E$3:$E$1315, $A65)</f>
        <v>7</v>
      </c>
      <c r="GB65">
        <f>SUMIFS(DataRegularSeason20242025!$AA$3:$AA$1315,DataRegularSeason20242025!$B$3:$B$1315, "&lt;=" &amp; GB$1, DataRegularSeason20242025!$D$3:$D$1315, $A65)+SUMIFS(DataRegularSeason20242025!$AB$3:$AB$1315,DataRegularSeason20242025!$B$3:$B$1315, "&lt;=" &amp; GB$1, DataRegularSeason20242025!$E$3:$E$1315, $A65)</f>
        <v>7</v>
      </c>
      <c r="GC65">
        <f>SUMIFS(DataRegularSeason20242025!$AA$3:$AA$1315,DataRegularSeason20242025!$B$3:$B$1315, "&lt;=" &amp; GC$1, DataRegularSeason20242025!$D$3:$D$1315, $A65)+SUMIFS(DataRegularSeason20242025!$AB$3:$AB$1315,DataRegularSeason20242025!$B$3:$B$1315, "&lt;=" &amp; GC$1, DataRegularSeason20242025!$E$3:$E$1315, $A65)</f>
        <v>7</v>
      </c>
      <c r="GD65">
        <f>SUMIFS(DataRegularSeason20242025!$AA$3:$AA$1315,DataRegularSeason20242025!$B$3:$B$1315, "&lt;=" &amp; GD$1, DataRegularSeason20242025!$D$3:$D$1315, $A65)+SUMIFS(DataRegularSeason20242025!$AB$3:$AB$1315,DataRegularSeason20242025!$B$3:$B$1315, "&lt;=" &amp; GD$1, DataRegularSeason20242025!$E$3:$E$1315, $A65)</f>
        <v>7</v>
      </c>
      <c r="GE65">
        <f>SUMIFS(DataRegularSeason20242025!$AA$3:$AA$1315,DataRegularSeason20242025!$B$3:$B$1315, "&lt;=" &amp; GE$1, DataRegularSeason20242025!$D$3:$D$1315, $A65)+SUMIFS(DataRegularSeason20242025!$AB$3:$AB$1315,DataRegularSeason20242025!$B$3:$B$1315, "&lt;=" &amp; GE$1, DataRegularSeason20242025!$E$3:$E$1315, $A65)</f>
        <v>7</v>
      </c>
      <c r="GF65">
        <f>SUMIFS(DataRegularSeason20242025!$AA$3:$AA$1315,DataRegularSeason20242025!$B$3:$B$1315, "&lt;=" &amp; GF$1, DataRegularSeason20242025!$D$3:$D$1315, $A65)+SUMIFS(DataRegularSeason20242025!$AB$3:$AB$1315,DataRegularSeason20242025!$B$3:$B$1315, "&lt;=" &amp; GF$1, DataRegularSeason20242025!$E$3:$E$1315, $A65)</f>
        <v>7</v>
      </c>
      <c r="GG65">
        <f>SUMIFS(DataRegularSeason20242025!$AA$3:$AA$1315,DataRegularSeason20242025!$B$3:$B$1315, "&lt;=" &amp; GG$1, DataRegularSeason20242025!$D$3:$D$1315, $A65)+SUMIFS(DataRegularSeason20242025!$AB$3:$AB$1315,DataRegularSeason20242025!$B$3:$B$1315, "&lt;=" &amp; GG$1, DataRegularSeason20242025!$E$3:$E$1315, $A65)</f>
        <v>7</v>
      </c>
      <c r="GH65">
        <f>SUMIFS(DataRegularSeason20242025!$AA$3:$AA$1315,DataRegularSeason20242025!$B$3:$B$1315, "&lt;=" &amp; GH$1, DataRegularSeason20242025!$D$3:$D$1315, $A65)+SUMIFS(DataRegularSeason20242025!$AB$3:$AB$1315,DataRegularSeason20242025!$B$3:$B$1315, "&lt;=" &amp; GH$1, DataRegularSeason20242025!$E$3:$E$1315, $A65)</f>
        <v>7</v>
      </c>
      <c r="GI65">
        <f>SUMIFS(DataRegularSeason20242025!$AA$3:$AA$1315,DataRegularSeason20242025!$B$3:$B$1315, "&lt;=" &amp; GI$1, DataRegularSeason20242025!$D$3:$D$1315, $A65)+SUMIFS(DataRegularSeason20242025!$AB$3:$AB$1315,DataRegularSeason20242025!$B$3:$B$1315, "&lt;=" &amp; GI$1, DataRegularSeason20242025!$E$3:$E$1315, $A65)</f>
        <v>7</v>
      </c>
      <c r="GJ65">
        <f>SUMIFS(DataRegularSeason20242025!$AA$3:$AA$1315,DataRegularSeason20242025!$B$3:$B$1315, "&lt;=" &amp; GJ$1, DataRegularSeason20242025!$D$3:$D$1315, $A65)+SUMIFS(DataRegularSeason20242025!$AB$3:$AB$1315,DataRegularSeason20242025!$B$3:$B$1315, "&lt;=" &amp; GJ$1, DataRegularSeason20242025!$E$3:$E$1315, $A65)</f>
        <v>7</v>
      </c>
      <c r="GK65">
        <f>SUMIFS(DataRegularSeason20242025!$AA$3:$AA$1315,DataRegularSeason20242025!$B$3:$B$1315, "&lt;=" &amp; GK$1, DataRegularSeason20242025!$D$3:$D$1315, $A65)+SUMIFS(DataRegularSeason20242025!$AB$3:$AB$1315,DataRegularSeason20242025!$B$3:$B$1315, "&lt;=" &amp; GK$1, DataRegularSeason20242025!$E$3:$E$1315, $A65)</f>
        <v>7</v>
      </c>
      <c r="GL65">
        <f>SUMIFS(DataRegularSeason20242025!$AA$3:$AA$1315,DataRegularSeason20242025!$B$3:$B$1315, "&lt;=" &amp; GL$1, DataRegularSeason20242025!$D$3:$D$1315, $A65)+SUMIFS(DataRegularSeason20242025!$AB$3:$AB$1315,DataRegularSeason20242025!$B$3:$B$1315, "&lt;=" &amp; GL$1, DataRegularSeason20242025!$E$3:$E$1315, $A65)</f>
        <v>7</v>
      </c>
      <c r="GM65">
        <f>SUMIFS(DataRegularSeason20242025!$AA$3:$AA$1315,DataRegularSeason20242025!$B$3:$B$1315, "&lt;=" &amp; GM$1, DataRegularSeason20242025!$D$3:$D$1315, $A65)+SUMIFS(DataRegularSeason20242025!$AB$3:$AB$1315,DataRegularSeason20242025!$B$3:$B$1315, "&lt;=" &amp; GM$1, DataRegularSeason20242025!$E$3:$E$1315, $A65)</f>
        <v>7</v>
      </c>
      <c r="GN65">
        <f>SUMIFS(DataRegularSeason20242025!$AA$3:$AA$1315,DataRegularSeason20242025!$B$3:$B$1315, "&lt;=" &amp; GN$1, DataRegularSeason20242025!$D$3:$D$1315, $A65)+SUMIFS(DataRegularSeason20242025!$AB$3:$AB$1315,DataRegularSeason20242025!$B$3:$B$1315, "&lt;=" &amp; GN$1, DataRegularSeason20242025!$E$3:$E$1315, $A65)</f>
        <v>7</v>
      </c>
      <c r="GO65">
        <f>SUMIFS(DataRegularSeason20242025!$AA$3:$AA$1315,DataRegularSeason20242025!$B$3:$B$1315, "&lt;=" &amp; GO$1, DataRegularSeason20242025!$D$3:$D$1315, $A65)+SUMIFS(DataRegularSeason20242025!$AB$3:$AB$1315,DataRegularSeason20242025!$B$3:$B$1315, "&lt;=" &amp; GO$1, DataRegularSeason20242025!$E$3:$E$1315, $A65)</f>
        <v>7</v>
      </c>
      <c r="GP65">
        <f>SUMIFS(DataRegularSeason20242025!$AA$3:$AA$1315,DataRegularSeason20242025!$B$3:$B$1315, "&lt;=" &amp; GP$1, DataRegularSeason20242025!$D$3:$D$1315, $A65)+SUMIFS(DataRegularSeason20242025!$AB$3:$AB$1315,DataRegularSeason20242025!$B$3:$B$1315, "&lt;=" &amp; GP$1, DataRegularSeason20242025!$E$3:$E$1315, $A65)</f>
        <v>7</v>
      </c>
      <c r="GQ65">
        <f>SUMIFS(DataRegularSeason20242025!$AA$3:$AA$1315,DataRegularSeason20242025!$B$3:$B$1315, "&lt;=" &amp; GQ$1, DataRegularSeason20242025!$D$3:$D$1315, $A65)+SUMIFS(DataRegularSeason20242025!$AB$3:$AB$1315,DataRegularSeason20242025!$B$3:$B$1315, "&lt;=" &amp; GQ$1, DataRegularSeason20242025!$E$3:$E$1315, $A65)</f>
        <v>7</v>
      </c>
      <c r="GR65">
        <f>SUMIFS(DataRegularSeason20242025!$AA$3:$AA$1315,DataRegularSeason20242025!$B$3:$B$1315, "&lt;=" &amp; GR$1, DataRegularSeason20242025!$D$3:$D$1315, $A65)+SUMIFS(DataRegularSeason20242025!$AB$3:$AB$1315,DataRegularSeason20242025!$B$3:$B$1315, "&lt;=" &amp; GR$1, DataRegularSeason20242025!$E$3:$E$1315, $A65)</f>
        <v>7</v>
      </c>
      <c r="GS65">
        <f>SUMIFS(DataRegularSeason20242025!$AA$3:$AA$1315,DataRegularSeason20242025!$B$3:$B$1315, "&lt;=" &amp; GS$1, DataRegularSeason20242025!$D$3:$D$1315, $A65)+SUMIFS(DataRegularSeason20242025!$AB$3:$AB$1315,DataRegularSeason20242025!$B$3:$B$1315, "&lt;=" &amp; GS$1, DataRegularSeason20242025!$E$3:$E$1315, $A65)</f>
        <v>7</v>
      </c>
      <c r="GT65">
        <f>SUMIFS(DataRegularSeason20242025!$AA$3:$AA$1315,DataRegularSeason20242025!$B$3:$B$1315, "&lt;=" &amp; GT$1, DataRegularSeason20242025!$D$3:$D$1315, $A65)+SUMIFS(DataRegularSeason20242025!$AB$3:$AB$1315,DataRegularSeason20242025!$B$3:$B$1315, "&lt;=" &amp; GT$1, DataRegularSeason20242025!$E$3:$E$1315, $A65)</f>
        <v>7</v>
      </c>
      <c r="GU65">
        <f>SUMIFS(DataRegularSeason20242025!$AA$3:$AA$1315,DataRegularSeason20242025!$B$3:$B$1315, "&lt;=" &amp; GU$1, DataRegularSeason20242025!$D$3:$D$1315, $A65)+SUMIFS(DataRegularSeason20242025!$AB$3:$AB$1315,DataRegularSeason20242025!$B$3:$B$1315, "&lt;=" &amp; GU$1, DataRegularSeason20242025!$E$3:$E$1315, $A65)</f>
        <v>7</v>
      </c>
    </row>
    <row r="66" spans="1:275" x14ac:dyDescent="0.25">
      <c r="A66" t="s">
        <v>27</v>
      </c>
      <c r="B66" t="s">
        <v>90</v>
      </c>
      <c r="C66" t="s">
        <v>93</v>
      </c>
      <c r="D66">
        <f>SUMIFS(DataRegularSeason20242025!$AA$3:$AA$1315,DataRegularSeason20242025!$B$3:$B$1315, "&lt;=" &amp; D$1, DataRegularSeason20242025!$D$3:$D$1315, $A66)+SUMIFS(DataRegularSeason20242025!$AB$3:$AB$1315,DataRegularSeason20242025!$B$3:$B$1315, "&lt;=" &amp; D$1, DataRegularSeason20242025!$E$3:$E$1315, $A66)</f>
        <v>0</v>
      </c>
      <c r="E66">
        <f>SUMIFS(DataRegularSeason20242025!$AA$3:$AA$1315,DataRegularSeason20242025!$B$3:$B$1315, "&lt;=" &amp; E$1, DataRegularSeason20242025!$D$3:$D$1315, $A66)+SUMIFS(DataRegularSeason20242025!$AB$3:$AB$1315,DataRegularSeason20242025!$B$3:$B$1315, "&lt;=" &amp; E$1, DataRegularSeason20242025!$E$3:$E$1315, $A66)</f>
        <v>0</v>
      </c>
      <c r="F66">
        <f>SUMIFS(DataRegularSeason20242025!$AA$3:$AA$1315,DataRegularSeason20242025!$B$3:$B$1315, "&lt;=" &amp; F$1, DataRegularSeason20242025!$D$3:$D$1315, $A66)+SUMIFS(DataRegularSeason20242025!$AB$3:$AB$1315,DataRegularSeason20242025!$B$3:$B$1315, "&lt;=" &amp; F$1, DataRegularSeason20242025!$E$3:$E$1315, $A66)</f>
        <v>0</v>
      </c>
      <c r="G66">
        <f>SUMIFS(DataRegularSeason20242025!$AA$3:$AA$1315,DataRegularSeason20242025!$B$3:$B$1315, "&lt;=" &amp; G$1, DataRegularSeason20242025!$D$3:$D$1315, $A66)+SUMIFS(DataRegularSeason20242025!$AB$3:$AB$1315,DataRegularSeason20242025!$B$3:$B$1315, "&lt;=" &amp; G$1, DataRegularSeason20242025!$E$3:$E$1315, $A66)</f>
        <v>0</v>
      </c>
      <c r="H66">
        <f>SUMIFS(DataRegularSeason20242025!$AA$3:$AA$1315,DataRegularSeason20242025!$B$3:$B$1315, "&lt;=" &amp; H$1, DataRegularSeason20242025!$D$3:$D$1315, $A66)+SUMIFS(DataRegularSeason20242025!$AB$3:$AB$1315,DataRegularSeason20242025!$B$3:$B$1315, "&lt;=" &amp; H$1, DataRegularSeason20242025!$E$3:$E$1315, $A66)</f>
        <v>0</v>
      </c>
      <c r="I66">
        <f>SUMIFS(DataRegularSeason20242025!$AA$3:$AA$1315,DataRegularSeason20242025!$B$3:$B$1315, "&lt;=" &amp; I$1, DataRegularSeason20242025!$D$3:$D$1315, $A66)+SUMIFS(DataRegularSeason20242025!$AB$3:$AB$1315,DataRegularSeason20242025!$B$3:$B$1315, "&lt;=" &amp; I$1, DataRegularSeason20242025!$E$3:$E$1315, $A66)</f>
        <v>2</v>
      </c>
      <c r="J66">
        <f>SUMIFS(DataRegularSeason20242025!$AA$3:$AA$1315,DataRegularSeason20242025!$B$3:$B$1315, "&lt;=" &amp; J$1, DataRegularSeason20242025!$D$3:$D$1315, $A66)+SUMIFS(DataRegularSeason20242025!$AB$3:$AB$1315,DataRegularSeason20242025!$B$3:$B$1315, "&lt;=" &amp; J$1, DataRegularSeason20242025!$E$3:$E$1315, $A66)</f>
        <v>2</v>
      </c>
      <c r="K66">
        <f>SUMIFS(DataRegularSeason20242025!$AA$3:$AA$1315,DataRegularSeason20242025!$B$3:$B$1315, "&lt;=" &amp; K$1, DataRegularSeason20242025!$D$3:$D$1315, $A66)+SUMIFS(DataRegularSeason20242025!$AB$3:$AB$1315,DataRegularSeason20242025!$B$3:$B$1315, "&lt;=" &amp; K$1, DataRegularSeason20242025!$E$3:$E$1315, $A66)</f>
        <v>2</v>
      </c>
      <c r="L66">
        <f>SUMIFS(DataRegularSeason20242025!$AA$3:$AA$1315,DataRegularSeason20242025!$B$3:$B$1315, "&lt;=" &amp; L$1, DataRegularSeason20242025!$D$3:$D$1315, $A66)+SUMIFS(DataRegularSeason20242025!$AB$3:$AB$1315,DataRegularSeason20242025!$B$3:$B$1315, "&lt;=" &amp; L$1, DataRegularSeason20242025!$E$3:$E$1315, $A66)</f>
        <v>2</v>
      </c>
      <c r="M66">
        <f>SUMIFS(DataRegularSeason20242025!$AA$3:$AA$1315,DataRegularSeason20242025!$B$3:$B$1315, "&lt;=" &amp; M$1, DataRegularSeason20242025!$D$3:$D$1315, $A66)+SUMIFS(DataRegularSeason20242025!$AB$3:$AB$1315,DataRegularSeason20242025!$B$3:$B$1315, "&lt;=" &amp; M$1, DataRegularSeason20242025!$E$3:$E$1315, $A66)</f>
        <v>2</v>
      </c>
      <c r="N66">
        <f>SUMIFS(DataRegularSeason20242025!$AA$3:$AA$1315,DataRegularSeason20242025!$B$3:$B$1315, "&lt;=" &amp; N$1, DataRegularSeason20242025!$D$3:$D$1315, $A66)+SUMIFS(DataRegularSeason20242025!$AB$3:$AB$1315,DataRegularSeason20242025!$B$3:$B$1315, "&lt;=" &amp; N$1, DataRegularSeason20242025!$E$3:$E$1315, $A66)</f>
        <v>3</v>
      </c>
      <c r="O66">
        <f>SUMIFS(DataRegularSeason20242025!$AA$3:$AA$1315,DataRegularSeason20242025!$B$3:$B$1315, "&lt;=" &amp; O$1, DataRegularSeason20242025!$D$3:$D$1315, $A66)+SUMIFS(DataRegularSeason20242025!$AB$3:$AB$1315,DataRegularSeason20242025!$B$3:$B$1315, "&lt;=" &amp; O$1, DataRegularSeason20242025!$E$3:$E$1315, $A66)</f>
        <v>3</v>
      </c>
      <c r="P66">
        <f>SUMIFS(DataRegularSeason20242025!$AA$3:$AA$1315,DataRegularSeason20242025!$B$3:$B$1315, "&lt;=" &amp; P$1, DataRegularSeason20242025!$D$3:$D$1315, $A66)+SUMIFS(DataRegularSeason20242025!$AB$3:$AB$1315,DataRegularSeason20242025!$B$3:$B$1315, "&lt;=" &amp; P$1, DataRegularSeason20242025!$E$3:$E$1315, $A66)</f>
        <v>3</v>
      </c>
      <c r="Q66">
        <f>SUMIFS(DataRegularSeason20242025!$AA$3:$AA$1315,DataRegularSeason20242025!$B$3:$B$1315, "&lt;=" &amp; Q$1, DataRegularSeason20242025!$D$3:$D$1315, $A66)+SUMIFS(DataRegularSeason20242025!$AB$3:$AB$1315,DataRegularSeason20242025!$B$3:$B$1315, "&lt;=" &amp; Q$1, DataRegularSeason20242025!$E$3:$E$1315, $A66)</f>
        <v>3</v>
      </c>
      <c r="R66">
        <f>SUMIFS(DataRegularSeason20242025!$AA$3:$AA$1315,DataRegularSeason20242025!$B$3:$B$1315, "&lt;=" &amp; R$1, DataRegularSeason20242025!$D$3:$D$1315, $A66)+SUMIFS(DataRegularSeason20242025!$AB$3:$AB$1315,DataRegularSeason20242025!$B$3:$B$1315, "&lt;=" &amp; R$1, DataRegularSeason20242025!$E$3:$E$1315, $A66)</f>
        <v>3</v>
      </c>
      <c r="S66">
        <f>SUMIFS(DataRegularSeason20242025!$AA$3:$AA$1315,DataRegularSeason20242025!$B$3:$B$1315, "&lt;=" &amp; S$1, DataRegularSeason20242025!$D$3:$D$1315, $A66)+SUMIFS(DataRegularSeason20242025!$AB$3:$AB$1315,DataRegularSeason20242025!$B$3:$B$1315, "&lt;=" &amp; S$1, DataRegularSeason20242025!$E$3:$E$1315, $A66)</f>
        <v>4</v>
      </c>
      <c r="T66">
        <f>SUMIFS(DataRegularSeason20242025!$AA$3:$AA$1315,DataRegularSeason20242025!$B$3:$B$1315, "&lt;=" &amp; T$1, DataRegularSeason20242025!$D$3:$D$1315, $A66)+SUMIFS(DataRegularSeason20242025!$AB$3:$AB$1315,DataRegularSeason20242025!$B$3:$B$1315, "&lt;=" &amp; T$1, DataRegularSeason20242025!$E$3:$E$1315, $A66)</f>
        <v>4</v>
      </c>
      <c r="U66">
        <f>SUMIFS(DataRegularSeason20242025!$AA$3:$AA$1315,DataRegularSeason20242025!$B$3:$B$1315, "&lt;=" &amp; U$1, DataRegularSeason20242025!$D$3:$D$1315, $A66)+SUMIFS(DataRegularSeason20242025!$AB$3:$AB$1315,DataRegularSeason20242025!$B$3:$B$1315, "&lt;=" &amp; U$1, DataRegularSeason20242025!$E$3:$E$1315, $A66)</f>
        <v>4</v>
      </c>
      <c r="V66">
        <f>SUMIFS(DataRegularSeason20242025!$AA$3:$AA$1315,DataRegularSeason20242025!$B$3:$B$1315, "&lt;=" &amp; V$1, DataRegularSeason20242025!$D$3:$D$1315, $A66)+SUMIFS(DataRegularSeason20242025!$AB$3:$AB$1315,DataRegularSeason20242025!$B$3:$B$1315, "&lt;=" &amp; V$1, DataRegularSeason20242025!$E$3:$E$1315, $A66)</f>
        <v>6</v>
      </c>
      <c r="W66">
        <f>SUMIFS(DataRegularSeason20242025!$AA$3:$AA$1315,DataRegularSeason20242025!$B$3:$B$1315, "&lt;=" &amp; W$1, DataRegularSeason20242025!$D$3:$D$1315, $A66)+SUMIFS(DataRegularSeason20242025!$AB$3:$AB$1315,DataRegularSeason20242025!$B$3:$B$1315, "&lt;=" &amp; W$1, DataRegularSeason20242025!$E$3:$E$1315, $A66)</f>
        <v>6</v>
      </c>
      <c r="X66">
        <f>SUMIFS(DataRegularSeason20242025!$AA$3:$AA$1315,DataRegularSeason20242025!$B$3:$B$1315, "&lt;=" &amp; X$1, DataRegularSeason20242025!$D$3:$D$1315, $A66)+SUMIFS(DataRegularSeason20242025!$AB$3:$AB$1315,DataRegularSeason20242025!$B$3:$B$1315, "&lt;=" &amp; X$1, DataRegularSeason20242025!$E$3:$E$1315, $A66)</f>
        <v>6</v>
      </c>
      <c r="Y66">
        <f>SUMIFS(DataRegularSeason20242025!$AA$3:$AA$1315,DataRegularSeason20242025!$B$3:$B$1315, "&lt;=" &amp; Y$1, DataRegularSeason20242025!$D$3:$D$1315, $A66)+SUMIFS(DataRegularSeason20242025!$AB$3:$AB$1315,DataRegularSeason20242025!$B$3:$B$1315, "&lt;=" &amp; Y$1, DataRegularSeason20242025!$E$3:$E$1315, $A66)</f>
        <v>6</v>
      </c>
      <c r="Z66">
        <f>SUMIFS(DataRegularSeason20242025!$AA$3:$AA$1315,DataRegularSeason20242025!$B$3:$B$1315, "&lt;=" &amp; Z$1, DataRegularSeason20242025!$D$3:$D$1315, $A66)+SUMIFS(DataRegularSeason20242025!$AB$3:$AB$1315,DataRegularSeason20242025!$B$3:$B$1315, "&lt;=" &amp; Z$1, DataRegularSeason20242025!$E$3:$E$1315, $A66)</f>
        <v>6</v>
      </c>
      <c r="AA66">
        <f>SUMIFS(DataRegularSeason20242025!$AA$3:$AA$1315,DataRegularSeason20242025!$B$3:$B$1315, "&lt;=" &amp; AA$1, DataRegularSeason20242025!$D$3:$D$1315, $A66)+SUMIFS(DataRegularSeason20242025!$AB$3:$AB$1315,DataRegularSeason20242025!$B$3:$B$1315, "&lt;=" &amp; AA$1, DataRegularSeason20242025!$E$3:$E$1315, $A66)</f>
        <v>6</v>
      </c>
      <c r="AB66">
        <f>SUMIFS(DataRegularSeason20242025!$AA$3:$AA$1315,DataRegularSeason20242025!$B$3:$B$1315, "&lt;=" &amp; AB$1, DataRegularSeason20242025!$D$3:$D$1315, $A66)+SUMIFS(DataRegularSeason20242025!$AB$3:$AB$1315,DataRegularSeason20242025!$B$3:$B$1315, "&lt;=" &amp; AB$1, DataRegularSeason20242025!$E$3:$E$1315, $A66)</f>
        <v>6</v>
      </c>
      <c r="AC66">
        <f>SUMIFS(DataRegularSeason20242025!$AA$3:$AA$1315,DataRegularSeason20242025!$B$3:$B$1315, "&lt;=" &amp; AC$1, DataRegularSeason20242025!$D$3:$D$1315, $A66)+SUMIFS(DataRegularSeason20242025!$AB$3:$AB$1315,DataRegularSeason20242025!$B$3:$B$1315, "&lt;=" &amp; AC$1, DataRegularSeason20242025!$E$3:$E$1315, $A66)</f>
        <v>6</v>
      </c>
      <c r="AD66">
        <f>SUMIFS(DataRegularSeason20242025!$AA$3:$AA$1315,DataRegularSeason20242025!$B$3:$B$1315, "&lt;=" &amp; AD$1, DataRegularSeason20242025!$D$3:$D$1315, $A66)+SUMIFS(DataRegularSeason20242025!$AB$3:$AB$1315,DataRegularSeason20242025!$B$3:$B$1315, "&lt;=" &amp; AD$1, DataRegularSeason20242025!$E$3:$E$1315, $A66)</f>
        <v>6</v>
      </c>
      <c r="AE66">
        <f>SUMIFS(DataRegularSeason20242025!$AA$3:$AA$1315,DataRegularSeason20242025!$B$3:$B$1315, "&lt;=" &amp; AE$1, DataRegularSeason20242025!$D$3:$D$1315, $A66)+SUMIFS(DataRegularSeason20242025!$AB$3:$AB$1315,DataRegularSeason20242025!$B$3:$B$1315, "&lt;=" &amp; AE$1, DataRegularSeason20242025!$E$3:$E$1315, $A66)</f>
        <v>6</v>
      </c>
      <c r="AF66">
        <f>SUMIFS(DataRegularSeason20242025!$AA$3:$AA$1315,DataRegularSeason20242025!$B$3:$B$1315, "&lt;=" &amp; AF$1, DataRegularSeason20242025!$D$3:$D$1315, $A66)+SUMIFS(DataRegularSeason20242025!$AB$3:$AB$1315,DataRegularSeason20242025!$B$3:$B$1315, "&lt;=" &amp; AF$1, DataRegularSeason20242025!$E$3:$E$1315, $A66)</f>
        <v>6</v>
      </c>
      <c r="AG66">
        <f>SUMIFS(DataRegularSeason20242025!$AA$3:$AA$1315,DataRegularSeason20242025!$B$3:$B$1315, "&lt;=" &amp; AG$1, DataRegularSeason20242025!$D$3:$D$1315, $A66)+SUMIFS(DataRegularSeason20242025!$AB$3:$AB$1315,DataRegularSeason20242025!$B$3:$B$1315, "&lt;=" &amp; AG$1, DataRegularSeason20242025!$E$3:$E$1315, $A66)</f>
        <v>6</v>
      </c>
      <c r="AH66">
        <f>SUMIFS(DataRegularSeason20242025!$AA$3:$AA$1315,DataRegularSeason20242025!$B$3:$B$1315, "&lt;=" &amp; AH$1, DataRegularSeason20242025!$D$3:$D$1315, $A66)+SUMIFS(DataRegularSeason20242025!$AB$3:$AB$1315,DataRegularSeason20242025!$B$3:$B$1315, "&lt;=" &amp; AH$1, DataRegularSeason20242025!$E$3:$E$1315, $A66)</f>
        <v>6</v>
      </c>
      <c r="AI66">
        <f>SUMIFS(DataRegularSeason20242025!$AA$3:$AA$1315,DataRegularSeason20242025!$B$3:$B$1315, "&lt;=" &amp; AI$1, DataRegularSeason20242025!$D$3:$D$1315, $A66)+SUMIFS(DataRegularSeason20242025!$AB$3:$AB$1315,DataRegularSeason20242025!$B$3:$B$1315, "&lt;=" &amp; AI$1, DataRegularSeason20242025!$E$3:$E$1315, $A66)</f>
        <v>6</v>
      </c>
      <c r="AJ66">
        <f>SUMIFS(DataRegularSeason20242025!$AA$3:$AA$1315,DataRegularSeason20242025!$B$3:$B$1315, "&lt;=" &amp; AJ$1, DataRegularSeason20242025!$D$3:$D$1315, $A66)+SUMIFS(DataRegularSeason20242025!$AB$3:$AB$1315,DataRegularSeason20242025!$B$3:$B$1315, "&lt;=" &amp; AJ$1, DataRegularSeason20242025!$E$3:$E$1315, $A66)</f>
        <v>6</v>
      </c>
      <c r="AK66">
        <f>SUMIFS(DataRegularSeason20242025!$AA$3:$AA$1315,DataRegularSeason20242025!$B$3:$B$1315, "&lt;=" &amp; AK$1, DataRegularSeason20242025!$D$3:$D$1315, $A66)+SUMIFS(DataRegularSeason20242025!$AB$3:$AB$1315,DataRegularSeason20242025!$B$3:$B$1315, "&lt;=" &amp; AK$1, DataRegularSeason20242025!$E$3:$E$1315, $A66)</f>
        <v>6</v>
      </c>
      <c r="AL66">
        <f>SUMIFS(DataRegularSeason20242025!$AA$3:$AA$1315,DataRegularSeason20242025!$B$3:$B$1315, "&lt;=" &amp; AL$1, DataRegularSeason20242025!$D$3:$D$1315, $A66)+SUMIFS(DataRegularSeason20242025!$AB$3:$AB$1315,DataRegularSeason20242025!$B$3:$B$1315, "&lt;=" &amp; AL$1, DataRegularSeason20242025!$E$3:$E$1315, $A66)</f>
        <v>6</v>
      </c>
      <c r="AM66">
        <f>SUMIFS(DataRegularSeason20242025!$AA$3:$AA$1315,DataRegularSeason20242025!$B$3:$B$1315, "&lt;=" &amp; AM$1, DataRegularSeason20242025!$D$3:$D$1315, $A66)+SUMIFS(DataRegularSeason20242025!$AB$3:$AB$1315,DataRegularSeason20242025!$B$3:$B$1315, "&lt;=" &amp; AM$1, DataRegularSeason20242025!$E$3:$E$1315, $A66)</f>
        <v>6</v>
      </c>
      <c r="AN66">
        <f>SUMIFS(DataRegularSeason20242025!$AA$3:$AA$1315,DataRegularSeason20242025!$B$3:$B$1315, "&lt;=" &amp; AN$1, DataRegularSeason20242025!$D$3:$D$1315, $A66)+SUMIFS(DataRegularSeason20242025!$AB$3:$AB$1315,DataRegularSeason20242025!$B$3:$B$1315, "&lt;=" &amp; AN$1, DataRegularSeason20242025!$E$3:$E$1315, $A66)</f>
        <v>6</v>
      </c>
      <c r="AO66">
        <f>SUMIFS(DataRegularSeason20242025!$AA$3:$AA$1315,DataRegularSeason20242025!$B$3:$B$1315, "&lt;=" &amp; AO$1, DataRegularSeason20242025!$D$3:$D$1315, $A66)+SUMIFS(DataRegularSeason20242025!$AB$3:$AB$1315,DataRegularSeason20242025!$B$3:$B$1315, "&lt;=" &amp; AO$1, DataRegularSeason20242025!$E$3:$E$1315, $A66)</f>
        <v>6</v>
      </c>
      <c r="AP66">
        <f>SUMIFS(DataRegularSeason20242025!$AA$3:$AA$1315,DataRegularSeason20242025!$B$3:$B$1315, "&lt;=" &amp; AP$1, DataRegularSeason20242025!$D$3:$D$1315, $A66)+SUMIFS(DataRegularSeason20242025!$AB$3:$AB$1315,DataRegularSeason20242025!$B$3:$B$1315, "&lt;=" &amp; AP$1, DataRegularSeason20242025!$E$3:$E$1315, $A66)</f>
        <v>6</v>
      </c>
      <c r="AQ66">
        <f>SUMIFS(DataRegularSeason20242025!$AA$3:$AA$1315,DataRegularSeason20242025!$B$3:$B$1315, "&lt;=" &amp; AQ$1, DataRegularSeason20242025!$D$3:$D$1315, $A66)+SUMIFS(DataRegularSeason20242025!$AB$3:$AB$1315,DataRegularSeason20242025!$B$3:$B$1315, "&lt;=" &amp; AQ$1, DataRegularSeason20242025!$E$3:$E$1315, $A66)</f>
        <v>6</v>
      </c>
      <c r="AR66">
        <f>SUMIFS(DataRegularSeason20242025!$AA$3:$AA$1315,DataRegularSeason20242025!$B$3:$B$1315, "&lt;=" &amp; AR$1, DataRegularSeason20242025!$D$3:$D$1315, $A66)+SUMIFS(DataRegularSeason20242025!$AB$3:$AB$1315,DataRegularSeason20242025!$B$3:$B$1315, "&lt;=" &amp; AR$1, DataRegularSeason20242025!$E$3:$E$1315, $A66)</f>
        <v>6</v>
      </c>
      <c r="AS66">
        <f>SUMIFS(DataRegularSeason20242025!$AA$3:$AA$1315,DataRegularSeason20242025!$B$3:$B$1315, "&lt;=" &amp; AS$1, DataRegularSeason20242025!$D$3:$D$1315, $A66)+SUMIFS(DataRegularSeason20242025!$AB$3:$AB$1315,DataRegularSeason20242025!$B$3:$B$1315, "&lt;=" &amp; AS$1, DataRegularSeason20242025!$E$3:$E$1315, $A66)</f>
        <v>6</v>
      </c>
      <c r="AT66">
        <f>SUMIFS(DataRegularSeason20242025!$AA$3:$AA$1315,DataRegularSeason20242025!$B$3:$B$1315, "&lt;=" &amp; AT$1, DataRegularSeason20242025!$D$3:$D$1315, $A66)+SUMIFS(DataRegularSeason20242025!$AB$3:$AB$1315,DataRegularSeason20242025!$B$3:$B$1315, "&lt;=" &amp; AT$1, DataRegularSeason20242025!$E$3:$E$1315, $A66)</f>
        <v>6</v>
      </c>
      <c r="AU66">
        <f>SUMIFS(DataRegularSeason20242025!$AA$3:$AA$1315,DataRegularSeason20242025!$B$3:$B$1315, "&lt;=" &amp; AU$1, DataRegularSeason20242025!$D$3:$D$1315, $A66)+SUMIFS(DataRegularSeason20242025!$AB$3:$AB$1315,DataRegularSeason20242025!$B$3:$B$1315, "&lt;=" &amp; AU$1, DataRegularSeason20242025!$E$3:$E$1315, $A66)</f>
        <v>6</v>
      </c>
      <c r="AV66">
        <f>SUMIFS(DataRegularSeason20242025!$AA$3:$AA$1315,DataRegularSeason20242025!$B$3:$B$1315, "&lt;=" &amp; AV$1, DataRegularSeason20242025!$D$3:$D$1315, $A66)+SUMIFS(DataRegularSeason20242025!$AB$3:$AB$1315,DataRegularSeason20242025!$B$3:$B$1315, "&lt;=" &amp; AV$1, DataRegularSeason20242025!$E$3:$E$1315, $A66)</f>
        <v>6</v>
      </c>
      <c r="AW66">
        <f>SUMIFS(DataRegularSeason20242025!$AA$3:$AA$1315,DataRegularSeason20242025!$B$3:$B$1315, "&lt;=" &amp; AW$1, DataRegularSeason20242025!$D$3:$D$1315, $A66)+SUMIFS(DataRegularSeason20242025!$AB$3:$AB$1315,DataRegularSeason20242025!$B$3:$B$1315, "&lt;=" &amp; AW$1, DataRegularSeason20242025!$E$3:$E$1315, $A66)</f>
        <v>6</v>
      </c>
      <c r="AX66">
        <f>SUMIFS(DataRegularSeason20242025!$AA$3:$AA$1315,DataRegularSeason20242025!$B$3:$B$1315, "&lt;=" &amp; AX$1, DataRegularSeason20242025!$D$3:$D$1315, $A66)+SUMIFS(DataRegularSeason20242025!$AB$3:$AB$1315,DataRegularSeason20242025!$B$3:$B$1315, "&lt;=" &amp; AX$1, DataRegularSeason20242025!$E$3:$E$1315, $A66)</f>
        <v>6</v>
      </c>
      <c r="AY66">
        <f>SUMIFS(DataRegularSeason20242025!$AA$3:$AA$1315,DataRegularSeason20242025!$B$3:$B$1315, "&lt;=" &amp; AY$1, DataRegularSeason20242025!$D$3:$D$1315, $A66)+SUMIFS(DataRegularSeason20242025!$AB$3:$AB$1315,DataRegularSeason20242025!$B$3:$B$1315, "&lt;=" &amp; AY$1, DataRegularSeason20242025!$E$3:$E$1315, $A66)</f>
        <v>6</v>
      </c>
      <c r="AZ66">
        <f>SUMIFS(DataRegularSeason20242025!$AA$3:$AA$1315,DataRegularSeason20242025!$B$3:$B$1315, "&lt;=" &amp; AZ$1, DataRegularSeason20242025!$D$3:$D$1315, $A66)+SUMIFS(DataRegularSeason20242025!$AB$3:$AB$1315,DataRegularSeason20242025!$B$3:$B$1315, "&lt;=" &amp; AZ$1, DataRegularSeason20242025!$E$3:$E$1315, $A66)</f>
        <v>6</v>
      </c>
      <c r="BA66">
        <f>SUMIFS(DataRegularSeason20242025!$AA$3:$AA$1315,DataRegularSeason20242025!$B$3:$B$1315, "&lt;=" &amp; BA$1, DataRegularSeason20242025!$D$3:$D$1315, $A66)+SUMIFS(DataRegularSeason20242025!$AB$3:$AB$1315,DataRegularSeason20242025!$B$3:$B$1315, "&lt;=" &amp; BA$1, DataRegularSeason20242025!$E$3:$E$1315, $A66)</f>
        <v>6</v>
      </c>
      <c r="BB66">
        <f>SUMIFS(DataRegularSeason20242025!$AA$3:$AA$1315,DataRegularSeason20242025!$B$3:$B$1315, "&lt;=" &amp; BB$1, DataRegularSeason20242025!$D$3:$D$1315, $A66)+SUMIFS(DataRegularSeason20242025!$AB$3:$AB$1315,DataRegularSeason20242025!$B$3:$B$1315, "&lt;=" &amp; BB$1, DataRegularSeason20242025!$E$3:$E$1315, $A66)</f>
        <v>6</v>
      </c>
      <c r="BC66">
        <f>SUMIFS(DataRegularSeason20242025!$AA$3:$AA$1315,DataRegularSeason20242025!$B$3:$B$1315, "&lt;=" &amp; BC$1, DataRegularSeason20242025!$D$3:$D$1315, $A66)+SUMIFS(DataRegularSeason20242025!$AB$3:$AB$1315,DataRegularSeason20242025!$B$3:$B$1315, "&lt;=" &amp; BC$1, DataRegularSeason20242025!$E$3:$E$1315, $A66)</f>
        <v>6</v>
      </c>
      <c r="BD66">
        <f>SUMIFS(DataRegularSeason20242025!$AA$3:$AA$1315,DataRegularSeason20242025!$B$3:$B$1315, "&lt;=" &amp; BD$1, DataRegularSeason20242025!$D$3:$D$1315, $A66)+SUMIFS(DataRegularSeason20242025!$AB$3:$AB$1315,DataRegularSeason20242025!$B$3:$B$1315, "&lt;=" &amp; BD$1, DataRegularSeason20242025!$E$3:$E$1315, $A66)</f>
        <v>6</v>
      </c>
      <c r="BE66">
        <f>SUMIFS(DataRegularSeason20242025!$AA$3:$AA$1315,DataRegularSeason20242025!$B$3:$B$1315, "&lt;=" &amp; BE$1, DataRegularSeason20242025!$D$3:$D$1315, $A66)+SUMIFS(DataRegularSeason20242025!$AB$3:$AB$1315,DataRegularSeason20242025!$B$3:$B$1315, "&lt;=" &amp; BE$1, DataRegularSeason20242025!$E$3:$E$1315, $A66)</f>
        <v>6</v>
      </c>
      <c r="BF66">
        <f>SUMIFS(DataRegularSeason20242025!$AA$3:$AA$1315,DataRegularSeason20242025!$B$3:$B$1315, "&lt;=" &amp; BF$1, DataRegularSeason20242025!$D$3:$D$1315, $A66)+SUMIFS(DataRegularSeason20242025!$AB$3:$AB$1315,DataRegularSeason20242025!$B$3:$B$1315, "&lt;=" &amp; BF$1, DataRegularSeason20242025!$E$3:$E$1315, $A66)</f>
        <v>6</v>
      </c>
      <c r="BG66">
        <f>SUMIFS(DataRegularSeason20242025!$AA$3:$AA$1315,DataRegularSeason20242025!$B$3:$B$1315, "&lt;=" &amp; BG$1, DataRegularSeason20242025!$D$3:$D$1315, $A66)+SUMIFS(DataRegularSeason20242025!$AB$3:$AB$1315,DataRegularSeason20242025!$B$3:$B$1315, "&lt;=" &amp; BG$1, DataRegularSeason20242025!$E$3:$E$1315, $A66)</f>
        <v>6</v>
      </c>
      <c r="BH66">
        <f>SUMIFS(DataRegularSeason20242025!$AA$3:$AA$1315,DataRegularSeason20242025!$B$3:$B$1315, "&lt;=" &amp; BH$1, DataRegularSeason20242025!$D$3:$D$1315, $A66)+SUMIFS(DataRegularSeason20242025!$AB$3:$AB$1315,DataRegularSeason20242025!$B$3:$B$1315, "&lt;=" &amp; BH$1, DataRegularSeason20242025!$E$3:$E$1315, $A66)</f>
        <v>6</v>
      </c>
      <c r="BI66">
        <f>SUMIFS(DataRegularSeason20242025!$AA$3:$AA$1315,DataRegularSeason20242025!$B$3:$B$1315, "&lt;=" &amp; BI$1, DataRegularSeason20242025!$D$3:$D$1315, $A66)+SUMIFS(DataRegularSeason20242025!$AB$3:$AB$1315,DataRegularSeason20242025!$B$3:$B$1315, "&lt;=" &amp; BI$1, DataRegularSeason20242025!$E$3:$E$1315, $A66)</f>
        <v>6</v>
      </c>
      <c r="BJ66">
        <f>SUMIFS(DataRegularSeason20242025!$AA$3:$AA$1315,DataRegularSeason20242025!$B$3:$B$1315, "&lt;=" &amp; BJ$1, DataRegularSeason20242025!$D$3:$D$1315, $A66)+SUMIFS(DataRegularSeason20242025!$AB$3:$AB$1315,DataRegularSeason20242025!$B$3:$B$1315, "&lt;=" &amp; BJ$1, DataRegularSeason20242025!$E$3:$E$1315, $A66)</f>
        <v>6</v>
      </c>
      <c r="BK66">
        <f>SUMIFS(DataRegularSeason20242025!$AA$3:$AA$1315,DataRegularSeason20242025!$B$3:$B$1315, "&lt;=" &amp; BK$1, DataRegularSeason20242025!$D$3:$D$1315, $A66)+SUMIFS(DataRegularSeason20242025!$AB$3:$AB$1315,DataRegularSeason20242025!$B$3:$B$1315, "&lt;=" &amp; BK$1, DataRegularSeason20242025!$E$3:$E$1315, $A66)</f>
        <v>6</v>
      </c>
      <c r="BL66">
        <f>SUMIFS(DataRegularSeason20242025!$AA$3:$AA$1315,DataRegularSeason20242025!$B$3:$B$1315, "&lt;=" &amp; BL$1, DataRegularSeason20242025!$D$3:$D$1315, $A66)+SUMIFS(DataRegularSeason20242025!$AB$3:$AB$1315,DataRegularSeason20242025!$B$3:$B$1315, "&lt;=" &amp; BL$1, DataRegularSeason20242025!$E$3:$E$1315, $A66)</f>
        <v>6</v>
      </c>
      <c r="BM66">
        <f>SUMIFS(DataRegularSeason20242025!$AA$3:$AA$1315,DataRegularSeason20242025!$B$3:$B$1315, "&lt;=" &amp; BM$1, DataRegularSeason20242025!$D$3:$D$1315, $A66)+SUMIFS(DataRegularSeason20242025!$AB$3:$AB$1315,DataRegularSeason20242025!$B$3:$B$1315, "&lt;=" &amp; BM$1, DataRegularSeason20242025!$E$3:$E$1315, $A66)</f>
        <v>6</v>
      </c>
      <c r="BN66">
        <f>SUMIFS(DataRegularSeason20242025!$AA$3:$AA$1315,DataRegularSeason20242025!$B$3:$B$1315, "&lt;=" &amp; BN$1, DataRegularSeason20242025!$D$3:$D$1315, $A66)+SUMIFS(DataRegularSeason20242025!$AB$3:$AB$1315,DataRegularSeason20242025!$B$3:$B$1315, "&lt;=" &amp; BN$1, DataRegularSeason20242025!$E$3:$E$1315, $A66)</f>
        <v>6</v>
      </c>
      <c r="BO66">
        <f>SUMIFS(DataRegularSeason20242025!$AA$3:$AA$1315,DataRegularSeason20242025!$B$3:$B$1315, "&lt;=" &amp; BO$1, DataRegularSeason20242025!$D$3:$D$1315, $A66)+SUMIFS(DataRegularSeason20242025!$AB$3:$AB$1315,DataRegularSeason20242025!$B$3:$B$1315, "&lt;=" &amp; BO$1, DataRegularSeason20242025!$E$3:$E$1315, $A66)</f>
        <v>6</v>
      </c>
      <c r="BP66">
        <f>SUMIFS(DataRegularSeason20242025!$AA$3:$AA$1315,DataRegularSeason20242025!$B$3:$B$1315, "&lt;=" &amp; BP$1, DataRegularSeason20242025!$D$3:$D$1315, $A66)+SUMIFS(DataRegularSeason20242025!$AB$3:$AB$1315,DataRegularSeason20242025!$B$3:$B$1315, "&lt;=" &amp; BP$1, DataRegularSeason20242025!$E$3:$E$1315, $A66)</f>
        <v>6</v>
      </c>
      <c r="BQ66">
        <f>SUMIFS(DataRegularSeason20242025!$AA$3:$AA$1315,DataRegularSeason20242025!$B$3:$B$1315, "&lt;=" &amp; BQ$1, DataRegularSeason20242025!$D$3:$D$1315, $A66)+SUMIFS(DataRegularSeason20242025!$AB$3:$AB$1315,DataRegularSeason20242025!$B$3:$B$1315, "&lt;=" &amp; BQ$1, DataRegularSeason20242025!$E$3:$E$1315, $A66)</f>
        <v>6</v>
      </c>
      <c r="BR66">
        <f>SUMIFS(DataRegularSeason20242025!$AA$3:$AA$1315,DataRegularSeason20242025!$B$3:$B$1315, "&lt;=" &amp; BR$1, DataRegularSeason20242025!$D$3:$D$1315, $A66)+SUMIFS(DataRegularSeason20242025!$AB$3:$AB$1315,DataRegularSeason20242025!$B$3:$B$1315, "&lt;=" &amp; BR$1, DataRegularSeason20242025!$E$3:$E$1315, $A66)</f>
        <v>6</v>
      </c>
      <c r="BS66">
        <f>SUMIFS(DataRegularSeason20242025!$AA$3:$AA$1315,DataRegularSeason20242025!$B$3:$B$1315, "&lt;=" &amp; BS$1, DataRegularSeason20242025!$D$3:$D$1315, $A66)+SUMIFS(DataRegularSeason20242025!$AB$3:$AB$1315,DataRegularSeason20242025!$B$3:$B$1315, "&lt;=" &amp; BS$1, DataRegularSeason20242025!$E$3:$E$1315, $A66)</f>
        <v>6</v>
      </c>
      <c r="BT66">
        <f>SUMIFS(DataRegularSeason20242025!$AA$3:$AA$1315,DataRegularSeason20242025!$B$3:$B$1315, "&lt;=" &amp; BT$1, DataRegularSeason20242025!$D$3:$D$1315, $A66)+SUMIFS(DataRegularSeason20242025!$AB$3:$AB$1315,DataRegularSeason20242025!$B$3:$B$1315, "&lt;=" &amp; BT$1, DataRegularSeason20242025!$E$3:$E$1315, $A66)</f>
        <v>6</v>
      </c>
      <c r="BU66">
        <f>SUMIFS(DataRegularSeason20242025!$AA$3:$AA$1315,DataRegularSeason20242025!$B$3:$B$1315, "&lt;=" &amp; BU$1, DataRegularSeason20242025!$D$3:$D$1315, $A66)+SUMIFS(DataRegularSeason20242025!$AB$3:$AB$1315,DataRegularSeason20242025!$B$3:$B$1315, "&lt;=" &amp; BU$1, DataRegularSeason20242025!$E$3:$E$1315, $A66)</f>
        <v>6</v>
      </c>
      <c r="BV66">
        <f>SUMIFS(DataRegularSeason20242025!$AA$3:$AA$1315,DataRegularSeason20242025!$B$3:$B$1315, "&lt;=" &amp; BV$1, DataRegularSeason20242025!$D$3:$D$1315, $A66)+SUMIFS(DataRegularSeason20242025!$AB$3:$AB$1315,DataRegularSeason20242025!$B$3:$B$1315, "&lt;=" &amp; BV$1, DataRegularSeason20242025!$E$3:$E$1315, $A66)</f>
        <v>6</v>
      </c>
      <c r="BW66">
        <f>SUMIFS(DataRegularSeason20242025!$AA$3:$AA$1315,DataRegularSeason20242025!$B$3:$B$1315, "&lt;=" &amp; BW$1, DataRegularSeason20242025!$D$3:$D$1315, $A66)+SUMIFS(DataRegularSeason20242025!$AB$3:$AB$1315,DataRegularSeason20242025!$B$3:$B$1315, "&lt;=" &amp; BW$1, DataRegularSeason20242025!$E$3:$E$1315, $A66)</f>
        <v>6</v>
      </c>
      <c r="BX66">
        <f>SUMIFS(DataRegularSeason20242025!$AA$3:$AA$1315,DataRegularSeason20242025!$B$3:$B$1315, "&lt;=" &amp; BX$1, DataRegularSeason20242025!$D$3:$D$1315, $A66)+SUMIFS(DataRegularSeason20242025!$AB$3:$AB$1315,DataRegularSeason20242025!$B$3:$B$1315, "&lt;=" &amp; BX$1, DataRegularSeason20242025!$E$3:$E$1315, $A66)</f>
        <v>6</v>
      </c>
      <c r="BY66">
        <f>SUMIFS(DataRegularSeason20242025!$AA$3:$AA$1315,DataRegularSeason20242025!$B$3:$B$1315, "&lt;=" &amp; BY$1, DataRegularSeason20242025!$D$3:$D$1315, $A66)+SUMIFS(DataRegularSeason20242025!$AB$3:$AB$1315,DataRegularSeason20242025!$B$3:$B$1315, "&lt;=" &amp; BY$1, DataRegularSeason20242025!$E$3:$E$1315, $A66)</f>
        <v>6</v>
      </c>
      <c r="BZ66">
        <f>SUMIFS(DataRegularSeason20242025!$AA$3:$AA$1315,DataRegularSeason20242025!$B$3:$B$1315, "&lt;=" &amp; BZ$1, DataRegularSeason20242025!$D$3:$D$1315, $A66)+SUMIFS(DataRegularSeason20242025!$AB$3:$AB$1315,DataRegularSeason20242025!$B$3:$B$1315, "&lt;=" &amp; BZ$1, DataRegularSeason20242025!$E$3:$E$1315, $A66)</f>
        <v>6</v>
      </c>
      <c r="CA66">
        <f>SUMIFS(DataRegularSeason20242025!$AA$3:$AA$1315,DataRegularSeason20242025!$B$3:$B$1315, "&lt;=" &amp; CA$1, DataRegularSeason20242025!$D$3:$D$1315, $A66)+SUMIFS(DataRegularSeason20242025!$AB$3:$AB$1315,DataRegularSeason20242025!$B$3:$B$1315, "&lt;=" &amp; CA$1, DataRegularSeason20242025!$E$3:$E$1315, $A66)</f>
        <v>6</v>
      </c>
      <c r="CB66">
        <f>SUMIFS(DataRegularSeason20242025!$AA$3:$AA$1315,DataRegularSeason20242025!$B$3:$B$1315, "&lt;=" &amp; CB$1, DataRegularSeason20242025!$D$3:$D$1315, $A66)+SUMIFS(DataRegularSeason20242025!$AB$3:$AB$1315,DataRegularSeason20242025!$B$3:$B$1315, "&lt;=" &amp; CB$1, DataRegularSeason20242025!$E$3:$E$1315, $A66)</f>
        <v>6</v>
      </c>
      <c r="CC66">
        <f>SUMIFS(DataRegularSeason20242025!$AA$3:$AA$1315,DataRegularSeason20242025!$B$3:$B$1315, "&lt;=" &amp; CC$1, DataRegularSeason20242025!$D$3:$D$1315, $A66)+SUMIFS(DataRegularSeason20242025!$AB$3:$AB$1315,DataRegularSeason20242025!$B$3:$B$1315, "&lt;=" &amp; CC$1, DataRegularSeason20242025!$E$3:$E$1315, $A66)</f>
        <v>6</v>
      </c>
      <c r="CD66">
        <f>SUMIFS(DataRegularSeason20242025!$AA$3:$AA$1315,DataRegularSeason20242025!$B$3:$B$1315, "&lt;=" &amp; CD$1, DataRegularSeason20242025!$D$3:$D$1315, $A66)+SUMIFS(DataRegularSeason20242025!$AB$3:$AB$1315,DataRegularSeason20242025!$B$3:$B$1315, "&lt;=" &amp; CD$1, DataRegularSeason20242025!$E$3:$E$1315, $A66)</f>
        <v>6</v>
      </c>
      <c r="CE66">
        <f>SUMIFS(DataRegularSeason20242025!$AA$3:$AA$1315,DataRegularSeason20242025!$B$3:$B$1315, "&lt;=" &amp; CE$1, DataRegularSeason20242025!$D$3:$D$1315, $A66)+SUMIFS(DataRegularSeason20242025!$AB$3:$AB$1315,DataRegularSeason20242025!$B$3:$B$1315, "&lt;=" &amp; CE$1, DataRegularSeason20242025!$E$3:$E$1315, $A66)</f>
        <v>6</v>
      </c>
      <c r="CF66">
        <f>SUMIFS(DataRegularSeason20242025!$AA$3:$AA$1315,DataRegularSeason20242025!$B$3:$B$1315, "&lt;=" &amp; CF$1, DataRegularSeason20242025!$D$3:$D$1315, $A66)+SUMIFS(DataRegularSeason20242025!$AB$3:$AB$1315,DataRegularSeason20242025!$B$3:$B$1315, "&lt;=" &amp; CF$1, DataRegularSeason20242025!$E$3:$E$1315, $A66)</f>
        <v>6</v>
      </c>
      <c r="CG66">
        <f>SUMIFS(DataRegularSeason20242025!$AA$3:$AA$1315,DataRegularSeason20242025!$B$3:$B$1315, "&lt;=" &amp; CG$1, DataRegularSeason20242025!$D$3:$D$1315, $A66)+SUMIFS(DataRegularSeason20242025!$AB$3:$AB$1315,DataRegularSeason20242025!$B$3:$B$1315, "&lt;=" &amp; CG$1, DataRegularSeason20242025!$E$3:$E$1315, $A66)</f>
        <v>6</v>
      </c>
      <c r="CH66">
        <f>SUMIFS(DataRegularSeason20242025!$AA$3:$AA$1315,DataRegularSeason20242025!$B$3:$B$1315, "&lt;=" &amp; CH$1, DataRegularSeason20242025!$D$3:$D$1315, $A66)+SUMIFS(DataRegularSeason20242025!$AB$3:$AB$1315,DataRegularSeason20242025!$B$3:$B$1315, "&lt;=" &amp; CH$1, DataRegularSeason20242025!$E$3:$E$1315, $A66)</f>
        <v>6</v>
      </c>
      <c r="CI66">
        <f>SUMIFS(DataRegularSeason20242025!$AA$3:$AA$1315,DataRegularSeason20242025!$B$3:$B$1315, "&lt;=" &amp; CI$1, DataRegularSeason20242025!$D$3:$D$1315, $A66)+SUMIFS(DataRegularSeason20242025!$AB$3:$AB$1315,DataRegularSeason20242025!$B$3:$B$1315, "&lt;=" &amp; CI$1, DataRegularSeason20242025!$E$3:$E$1315, $A66)</f>
        <v>6</v>
      </c>
      <c r="CJ66">
        <f>SUMIFS(DataRegularSeason20242025!$AA$3:$AA$1315,DataRegularSeason20242025!$B$3:$B$1315, "&lt;=" &amp; CJ$1, DataRegularSeason20242025!$D$3:$D$1315, $A66)+SUMIFS(DataRegularSeason20242025!$AB$3:$AB$1315,DataRegularSeason20242025!$B$3:$B$1315, "&lt;=" &amp; CJ$1, DataRegularSeason20242025!$E$3:$E$1315, $A66)</f>
        <v>6</v>
      </c>
      <c r="CK66">
        <f>SUMIFS(DataRegularSeason20242025!$AA$3:$AA$1315,DataRegularSeason20242025!$B$3:$B$1315, "&lt;=" &amp; CK$1, DataRegularSeason20242025!$D$3:$D$1315, $A66)+SUMIFS(DataRegularSeason20242025!$AB$3:$AB$1315,DataRegularSeason20242025!$B$3:$B$1315, "&lt;=" &amp; CK$1, DataRegularSeason20242025!$E$3:$E$1315, $A66)</f>
        <v>6</v>
      </c>
      <c r="CL66">
        <f>SUMIFS(DataRegularSeason20242025!$AA$3:$AA$1315,DataRegularSeason20242025!$B$3:$B$1315, "&lt;=" &amp; CL$1, DataRegularSeason20242025!$D$3:$D$1315, $A66)+SUMIFS(DataRegularSeason20242025!$AB$3:$AB$1315,DataRegularSeason20242025!$B$3:$B$1315, "&lt;=" &amp; CL$1, DataRegularSeason20242025!$E$3:$E$1315, $A66)</f>
        <v>6</v>
      </c>
      <c r="CM66">
        <f>SUMIFS(DataRegularSeason20242025!$AA$3:$AA$1315,DataRegularSeason20242025!$B$3:$B$1315, "&lt;=" &amp; CM$1, DataRegularSeason20242025!$D$3:$D$1315, $A66)+SUMIFS(DataRegularSeason20242025!$AB$3:$AB$1315,DataRegularSeason20242025!$B$3:$B$1315, "&lt;=" &amp; CM$1, DataRegularSeason20242025!$E$3:$E$1315, $A66)</f>
        <v>6</v>
      </c>
      <c r="CN66">
        <f>SUMIFS(DataRegularSeason20242025!$AA$3:$AA$1315,DataRegularSeason20242025!$B$3:$B$1315, "&lt;=" &amp; CN$1, DataRegularSeason20242025!$D$3:$D$1315, $A66)+SUMIFS(DataRegularSeason20242025!$AB$3:$AB$1315,DataRegularSeason20242025!$B$3:$B$1315, "&lt;=" &amp; CN$1, DataRegularSeason20242025!$E$3:$E$1315, $A66)</f>
        <v>6</v>
      </c>
      <c r="CO66">
        <f>SUMIFS(DataRegularSeason20242025!$AA$3:$AA$1315,DataRegularSeason20242025!$B$3:$B$1315, "&lt;=" &amp; CO$1, DataRegularSeason20242025!$D$3:$D$1315, $A66)+SUMIFS(DataRegularSeason20242025!$AB$3:$AB$1315,DataRegularSeason20242025!$B$3:$B$1315, "&lt;=" &amp; CO$1, DataRegularSeason20242025!$E$3:$E$1315, $A66)</f>
        <v>6</v>
      </c>
      <c r="CP66">
        <f>SUMIFS(DataRegularSeason20242025!$AA$3:$AA$1315,DataRegularSeason20242025!$B$3:$B$1315, "&lt;=" &amp; CP$1, DataRegularSeason20242025!$D$3:$D$1315, $A66)+SUMIFS(DataRegularSeason20242025!$AB$3:$AB$1315,DataRegularSeason20242025!$B$3:$B$1315, "&lt;=" &amp; CP$1, DataRegularSeason20242025!$E$3:$E$1315, $A66)</f>
        <v>6</v>
      </c>
      <c r="CQ66">
        <f>SUMIFS(DataRegularSeason20242025!$AA$3:$AA$1315,DataRegularSeason20242025!$B$3:$B$1315, "&lt;=" &amp; CQ$1, DataRegularSeason20242025!$D$3:$D$1315, $A66)+SUMIFS(DataRegularSeason20242025!$AB$3:$AB$1315,DataRegularSeason20242025!$B$3:$B$1315, "&lt;=" &amp; CQ$1, DataRegularSeason20242025!$E$3:$E$1315, $A66)</f>
        <v>6</v>
      </c>
      <c r="CR66">
        <f>SUMIFS(DataRegularSeason20242025!$AA$3:$AA$1315,DataRegularSeason20242025!$B$3:$B$1315, "&lt;=" &amp; CR$1, DataRegularSeason20242025!$D$3:$D$1315, $A66)+SUMIFS(DataRegularSeason20242025!$AB$3:$AB$1315,DataRegularSeason20242025!$B$3:$B$1315, "&lt;=" &amp; CR$1, DataRegularSeason20242025!$E$3:$E$1315, $A66)</f>
        <v>6</v>
      </c>
      <c r="CS66">
        <f>SUMIFS(DataRegularSeason20242025!$AA$3:$AA$1315,DataRegularSeason20242025!$B$3:$B$1315, "&lt;=" &amp; CS$1, DataRegularSeason20242025!$D$3:$D$1315, $A66)+SUMIFS(DataRegularSeason20242025!$AB$3:$AB$1315,DataRegularSeason20242025!$B$3:$B$1315, "&lt;=" &amp; CS$1, DataRegularSeason20242025!$E$3:$E$1315, $A66)</f>
        <v>6</v>
      </c>
      <c r="CT66">
        <f>SUMIFS(DataRegularSeason20242025!$AA$3:$AA$1315,DataRegularSeason20242025!$B$3:$B$1315, "&lt;=" &amp; CT$1, DataRegularSeason20242025!$D$3:$D$1315, $A66)+SUMIFS(DataRegularSeason20242025!$AB$3:$AB$1315,DataRegularSeason20242025!$B$3:$B$1315, "&lt;=" &amp; CT$1, DataRegularSeason20242025!$E$3:$E$1315, $A66)</f>
        <v>6</v>
      </c>
      <c r="CU66">
        <f>SUMIFS(DataRegularSeason20242025!$AA$3:$AA$1315,DataRegularSeason20242025!$B$3:$B$1315, "&lt;=" &amp; CU$1, DataRegularSeason20242025!$D$3:$D$1315, $A66)+SUMIFS(DataRegularSeason20242025!$AB$3:$AB$1315,DataRegularSeason20242025!$B$3:$B$1315, "&lt;=" &amp; CU$1, DataRegularSeason20242025!$E$3:$E$1315, $A66)</f>
        <v>6</v>
      </c>
      <c r="CV66">
        <f>SUMIFS(DataRegularSeason20242025!$AA$3:$AA$1315,DataRegularSeason20242025!$B$3:$B$1315, "&lt;=" &amp; CV$1, DataRegularSeason20242025!$D$3:$D$1315, $A66)+SUMIFS(DataRegularSeason20242025!$AB$3:$AB$1315,DataRegularSeason20242025!$B$3:$B$1315, "&lt;=" &amp; CV$1, DataRegularSeason20242025!$E$3:$E$1315, $A66)</f>
        <v>6</v>
      </c>
      <c r="CW66">
        <f>SUMIFS(DataRegularSeason20242025!$AA$3:$AA$1315,DataRegularSeason20242025!$B$3:$B$1315, "&lt;=" &amp; CW$1, DataRegularSeason20242025!$D$3:$D$1315, $A66)+SUMIFS(DataRegularSeason20242025!$AB$3:$AB$1315,DataRegularSeason20242025!$B$3:$B$1315, "&lt;=" &amp; CW$1, DataRegularSeason20242025!$E$3:$E$1315, $A66)</f>
        <v>6</v>
      </c>
      <c r="CX66">
        <f>SUMIFS(DataRegularSeason20242025!$AA$3:$AA$1315,DataRegularSeason20242025!$B$3:$B$1315, "&lt;=" &amp; CX$1, DataRegularSeason20242025!$D$3:$D$1315, $A66)+SUMIFS(DataRegularSeason20242025!$AB$3:$AB$1315,DataRegularSeason20242025!$B$3:$B$1315, "&lt;=" &amp; CX$1, DataRegularSeason20242025!$E$3:$E$1315, $A66)</f>
        <v>6</v>
      </c>
      <c r="CY66">
        <f>SUMIFS(DataRegularSeason20242025!$AA$3:$AA$1315,DataRegularSeason20242025!$B$3:$B$1315, "&lt;=" &amp; CY$1, DataRegularSeason20242025!$D$3:$D$1315, $A66)+SUMIFS(DataRegularSeason20242025!$AB$3:$AB$1315,DataRegularSeason20242025!$B$3:$B$1315, "&lt;=" &amp; CY$1, DataRegularSeason20242025!$E$3:$E$1315, $A66)</f>
        <v>6</v>
      </c>
      <c r="CZ66">
        <f>SUMIFS(DataRegularSeason20242025!$AA$3:$AA$1315,DataRegularSeason20242025!$B$3:$B$1315, "&lt;=" &amp; CZ$1, DataRegularSeason20242025!$D$3:$D$1315, $A66)+SUMIFS(DataRegularSeason20242025!$AB$3:$AB$1315,DataRegularSeason20242025!$B$3:$B$1315, "&lt;=" &amp; CZ$1, DataRegularSeason20242025!$E$3:$E$1315, $A66)</f>
        <v>6</v>
      </c>
      <c r="DA66">
        <f>SUMIFS(DataRegularSeason20242025!$AA$3:$AA$1315,DataRegularSeason20242025!$B$3:$B$1315, "&lt;=" &amp; DA$1, DataRegularSeason20242025!$D$3:$D$1315, $A66)+SUMIFS(DataRegularSeason20242025!$AB$3:$AB$1315,DataRegularSeason20242025!$B$3:$B$1315, "&lt;=" &amp; DA$1, DataRegularSeason20242025!$E$3:$E$1315, $A66)</f>
        <v>6</v>
      </c>
      <c r="DB66">
        <f>SUMIFS(DataRegularSeason20242025!$AA$3:$AA$1315,DataRegularSeason20242025!$B$3:$B$1315, "&lt;=" &amp; DB$1, DataRegularSeason20242025!$D$3:$D$1315, $A66)+SUMIFS(DataRegularSeason20242025!$AB$3:$AB$1315,DataRegularSeason20242025!$B$3:$B$1315, "&lt;=" &amp; DB$1, DataRegularSeason20242025!$E$3:$E$1315, $A66)</f>
        <v>6</v>
      </c>
      <c r="DC66">
        <f>SUMIFS(DataRegularSeason20242025!$AA$3:$AA$1315,DataRegularSeason20242025!$B$3:$B$1315, "&lt;=" &amp; DC$1, DataRegularSeason20242025!$D$3:$D$1315, $A66)+SUMIFS(DataRegularSeason20242025!$AB$3:$AB$1315,DataRegularSeason20242025!$B$3:$B$1315, "&lt;=" &amp; DC$1, DataRegularSeason20242025!$E$3:$E$1315, $A66)</f>
        <v>6</v>
      </c>
      <c r="DD66">
        <f>SUMIFS(DataRegularSeason20242025!$AA$3:$AA$1315,DataRegularSeason20242025!$B$3:$B$1315, "&lt;=" &amp; DD$1, DataRegularSeason20242025!$D$3:$D$1315, $A66)+SUMIFS(DataRegularSeason20242025!$AB$3:$AB$1315,DataRegularSeason20242025!$B$3:$B$1315, "&lt;=" &amp; DD$1, DataRegularSeason20242025!$E$3:$E$1315, $A66)</f>
        <v>6</v>
      </c>
      <c r="DE66">
        <f>SUMIFS(DataRegularSeason20242025!$AA$3:$AA$1315,DataRegularSeason20242025!$B$3:$B$1315, "&lt;=" &amp; DE$1, DataRegularSeason20242025!$D$3:$D$1315, $A66)+SUMIFS(DataRegularSeason20242025!$AB$3:$AB$1315,DataRegularSeason20242025!$B$3:$B$1315, "&lt;=" &amp; DE$1, DataRegularSeason20242025!$E$3:$E$1315, $A66)</f>
        <v>6</v>
      </c>
      <c r="DF66">
        <f>SUMIFS(DataRegularSeason20242025!$AA$3:$AA$1315,DataRegularSeason20242025!$B$3:$B$1315, "&lt;=" &amp; DF$1, DataRegularSeason20242025!$D$3:$D$1315, $A66)+SUMIFS(DataRegularSeason20242025!$AB$3:$AB$1315,DataRegularSeason20242025!$B$3:$B$1315, "&lt;=" &amp; DF$1, DataRegularSeason20242025!$E$3:$E$1315, $A66)</f>
        <v>6</v>
      </c>
      <c r="DG66">
        <f>SUMIFS(DataRegularSeason20242025!$AA$3:$AA$1315,DataRegularSeason20242025!$B$3:$B$1315, "&lt;=" &amp; DG$1, DataRegularSeason20242025!$D$3:$D$1315, $A66)+SUMIFS(DataRegularSeason20242025!$AB$3:$AB$1315,DataRegularSeason20242025!$B$3:$B$1315, "&lt;=" &amp; DG$1, DataRegularSeason20242025!$E$3:$E$1315, $A66)</f>
        <v>6</v>
      </c>
      <c r="DH66">
        <f>SUMIFS(DataRegularSeason20242025!$AA$3:$AA$1315,DataRegularSeason20242025!$B$3:$B$1315, "&lt;=" &amp; DH$1, DataRegularSeason20242025!$D$3:$D$1315, $A66)+SUMIFS(DataRegularSeason20242025!$AB$3:$AB$1315,DataRegularSeason20242025!$B$3:$B$1315, "&lt;=" &amp; DH$1, DataRegularSeason20242025!$E$3:$E$1315, $A66)</f>
        <v>6</v>
      </c>
      <c r="DI66">
        <f>SUMIFS(DataRegularSeason20242025!$AA$3:$AA$1315,DataRegularSeason20242025!$B$3:$B$1315, "&lt;=" &amp; DI$1, DataRegularSeason20242025!$D$3:$D$1315, $A66)+SUMIFS(DataRegularSeason20242025!$AB$3:$AB$1315,DataRegularSeason20242025!$B$3:$B$1315, "&lt;=" &amp; DI$1, DataRegularSeason20242025!$E$3:$E$1315, $A66)</f>
        <v>6</v>
      </c>
      <c r="DJ66">
        <f>SUMIFS(DataRegularSeason20242025!$AA$3:$AA$1315,DataRegularSeason20242025!$B$3:$B$1315, "&lt;=" &amp; DJ$1, DataRegularSeason20242025!$D$3:$D$1315, $A66)+SUMIFS(DataRegularSeason20242025!$AB$3:$AB$1315,DataRegularSeason20242025!$B$3:$B$1315, "&lt;=" &amp; DJ$1, DataRegularSeason20242025!$E$3:$E$1315, $A66)</f>
        <v>6</v>
      </c>
      <c r="DK66">
        <f>SUMIFS(DataRegularSeason20242025!$AA$3:$AA$1315,DataRegularSeason20242025!$B$3:$B$1315, "&lt;=" &amp; DK$1, DataRegularSeason20242025!$D$3:$D$1315, $A66)+SUMIFS(DataRegularSeason20242025!$AB$3:$AB$1315,DataRegularSeason20242025!$B$3:$B$1315, "&lt;=" &amp; DK$1, DataRegularSeason20242025!$E$3:$E$1315, $A66)</f>
        <v>6</v>
      </c>
      <c r="DL66">
        <f>SUMIFS(DataRegularSeason20242025!$AA$3:$AA$1315,DataRegularSeason20242025!$B$3:$B$1315, "&lt;=" &amp; DL$1, DataRegularSeason20242025!$D$3:$D$1315, $A66)+SUMIFS(DataRegularSeason20242025!$AB$3:$AB$1315,DataRegularSeason20242025!$B$3:$B$1315, "&lt;=" &amp; DL$1, DataRegularSeason20242025!$E$3:$E$1315, $A66)</f>
        <v>6</v>
      </c>
      <c r="DM66">
        <f>SUMIFS(DataRegularSeason20242025!$AA$3:$AA$1315,DataRegularSeason20242025!$B$3:$B$1315, "&lt;=" &amp; DM$1, DataRegularSeason20242025!$D$3:$D$1315, $A66)+SUMIFS(DataRegularSeason20242025!$AB$3:$AB$1315,DataRegularSeason20242025!$B$3:$B$1315, "&lt;=" &amp; DM$1, DataRegularSeason20242025!$E$3:$E$1315, $A66)</f>
        <v>6</v>
      </c>
      <c r="DN66">
        <f>SUMIFS(DataRegularSeason20242025!$AA$3:$AA$1315,DataRegularSeason20242025!$B$3:$B$1315, "&lt;=" &amp; DN$1, DataRegularSeason20242025!$D$3:$D$1315, $A66)+SUMIFS(DataRegularSeason20242025!$AB$3:$AB$1315,DataRegularSeason20242025!$B$3:$B$1315, "&lt;=" &amp; DN$1, DataRegularSeason20242025!$E$3:$E$1315, $A66)</f>
        <v>6</v>
      </c>
      <c r="DO66">
        <f>SUMIFS(DataRegularSeason20242025!$AA$3:$AA$1315,DataRegularSeason20242025!$B$3:$B$1315, "&lt;=" &amp; DO$1, DataRegularSeason20242025!$D$3:$D$1315, $A66)+SUMIFS(DataRegularSeason20242025!$AB$3:$AB$1315,DataRegularSeason20242025!$B$3:$B$1315, "&lt;=" &amp; DO$1, DataRegularSeason20242025!$E$3:$E$1315, $A66)</f>
        <v>6</v>
      </c>
      <c r="DP66">
        <f>SUMIFS(DataRegularSeason20242025!$AA$3:$AA$1315,DataRegularSeason20242025!$B$3:$B$1315, "&lt;=" &amp; DP$1, DataRegularSeason20242025!$D$3:$D$1315, $A66)+SUMIFS(DataRegularSeason20242025!$AB$3:$AB$1315,DataRegularSeason20242025!$B$3:$B$1315, "&lt;=" &amp; DP$1, DataRegularSeason20242025!$E$3:$E$1315, $A66)</f>
        <v>6</v>
      </c>
      <c r="DQ66">
        <f>SUMIFS(DataRegularSeason20242025!$AA$3:$AA$1315,DataRegularSeason20242025!$B$3:$B$1315, "&lt;=" &amp; DQ$1, DataRegularSeason20242025!$D$3:$D$1315, $A66)+SUMIFS(DataRegularSeason20242025!$AB$3:$AB$1315,DataRegularSeason20242025!$B$3:$B$1315, "&lt;=" &amp; DQ$1, DataRegularSeason20242025!$E$3:$E$1315, $A66)</f>
        <v>6</v>
      </c>
      <c r="DR66">
        <f>SUMIFS(DataRegularSeason20242025!$AA$3:$AA$1315,DataRegularSeason20242025!$B$3:$B$1315, "&lt;=" &amp; DR$1, DataRegularSeason20242025!$D$3:$D$1315, $A66)+SUMIFS(DataRegularSeason20242025!$AB$3:$AB$1315,DataRegularSeason20242025!$B$3:$B$1315, "&lt;=" &amp; DR$1, DataRegularSeason20242025!$E$3:$E$1315, $A66)</f>
        <v>6</v>
      </c>
      <c r="DS66">
        <f>SUMIFS(DataRegularSeason20242025!$AA$3:$AA$1315,DataRegularSeason20242025!$B$3:$B$1315, "&lt;=" &amp; DS$1, DataRegularSeason20242025!$D$3:$D$1315, $A66)+SUMIFS(DataRegularSeason20242025!$AB$3:$AB$1315,DataRegularSeason20242025!$B$3:$B$1315, "&lt;=" &amp; DS$1, DataRegularSeason20242025!$E$3:$E$1315, $A66)</f>
        <v>6</v>
      </c>
      <c r="DT66">
        <f>SUMIFS(DataRegularSeason20242025!$AA$3:$AA$1315,DataRegularSeason20242025!$B$3:$B$1315, "&lt;=" &amp; DT$1, DataRegularSeason20242025!$D$3:$D$1315, $A66)+SUMIFS(DataRegularSeason20242025!$AB$3:$AB$1315,DataRegularSeason20242025!$B$3:$B$1315, "&lt;=" &amp; DT$1, DataRegularSeason20242025!$E$3:$E$1315, $A66)</f>
        <v>6</v>
      </c>
      <c r="DU66">
        <f>SUMIFS(DataRegularSeason20242025!$AA$3:$AA$1315,DataRegularSeason20242025!$B$3:$B$1315, "&lt;=" &amp; DU$1, DataRegularSeason20242025!$D$3:$D$1315, $A66)+SUMIFS(DataRegularSeason20242025!$AB$3:$AB$1315,DataRegularSeason20242025!$B$3:$B$1315, "&lt;=" &amp; DU$1, DataRegularSeason20242025!$E$3:$E$1315, $A66)</f>
        <v>6</v>
      </c>
      <c r="DV66">
        <f>SUMIFS(DataRegularSeason20242025!$AA$3:$AA$1315,DataRegularSeason20242025!$B$3:$B$1315, "&lt;=" &amp; DV$1, DataRegularSeason20242025!$D$3:$D$1315, $A66)+SUMIFS(DataRegularSeason20242025!$AB$3:$AB$1315,DataRegularSeason20242025!$B$3:$B$1315, "&lt;=" &amp; DV$1, DataRegularSeason20242025!$E$3:$E$1315, $A66)</f>
        <v>6</v>
      </c>
      <c r="DW66">
        <f>SUMIFS(DataRegularSeason20242025!$AA$3:$AA$1315,DataRegularSeason20242025!$B$3:$B$1315, "&lt;=" &amp; DW$1, DataRegularSeason20242025!$D$3:$D$1315, $A66)+SUMIFS(DataRegularSeason20242025!$AB$3:$AB$1315,DataRegularSeason20242025!$B$3:$B$1315, "&lt;=" &amp; DW$1, DataRegularSeason20242025!$E$3:$E$1315, $A66)</f>
        <v>6</v>
      </c>
      <c r="DX66">
        <f>SUMIFS(DataRegularSeason20242025!$AA$3:$AA$1315,DataRegularSeason20242025!$B$3:$B$1315, "&lt;=" &amp; DX$1, DataRegularSeason20242025!$D$3:$D$1315, $A66)+SUMIFS(DataRegularSeason20242025!$AB$3:$AB$1315,DataRegularSeason20242025!$B$3:$B$1315, "&lt;=" &amp; DX$1, DataRegularSeason20242025!$E$3:$E$1315, $A66)</f>
        <v>6</v>
      </c>
      <c r="DY66">
        <f>SUMIFS(DataRegularSeason20242025!$AA$3:$AA$1315,DataRegularSeason20242025!$B$3:$B$1315, "&lt;=" &amp; DY$1, DataRegularSeason20242025!$D$3:$D$1315, $A66)+SUMIFS(DataRegularSeason20242025!$AB$3:$AB$1315,DataRegularSeason20242025!$B$3:$B$1315, "&lt;=" &amp; DY$1, DataRegularSeason20242025!$E$3:$E$1315, $A66)</f>
        <v>6</v>
      </c>
      <c r="DZ66">
        <f>SUMIFS(DataRegularSeason20242025!$AA$3:$AA$1315,DataRegularSeason20242025!$B$3:$B$1315, "&lt;=" &amp; DZ$1, DataRegularSeason20242025!$D$3:$D$1315, $A66)+SUMIFS(DataRegularSeason20242025!$AB$3:$AB$1315,DataRegularSeason20242025!$B$3:$B$1315, "&lt;=" &amp; DZ$1, DataRegularSeason20242025!$E$3:$E$1315, $A66)</f>
        <v>6</v>
      </c>
      <c r="EA66">
        <f>SUMIFS(DataRegularSeason20242025!$AA$3:$AA$1315,DataRegularSeason20242025!$B$3:$B$1315, "&lt;=" &amp; EA$1, DataRegularSeason20242025!$D$3:$D$1315, $A66)+SUMIFS(DataRegularSeason20242025!$AB$3:$AB$1315,DataRegularSeason20242025!$B$3:$B$1315, "&lt;=" &amp; EA$1, DataRegularSeason20242025!$E$3:$E$1315, $A66)</f>
        <v>6</v>
      </c>
      <c r="EB66">
        <f>SUMIFS(DataRegularSeason20242025!$AA$3:$AA$1315,DataRegularSeason20242025!$B$3:$B$1315, "&lt;=" &amp; EB$1, DataRegularSeason20242025!$D$3:$D$1315, $A66)+SUMIFS(DataRegularSeason20242025!$AB$3:$AB$1315,DataRegularSeason20242025!$B$3:$B$1315, "&lt;=" &amp; EB$1, DataRegularSeason20242025!$E$3:$E$1315, $A66)</f>
        <v>6</v>
      </c>
      <c r="EC66">
        <f>SUMIFS(DataRegularSeason20242025!$AA$3:$AA$1315,DataRegularSeason20242025!$B$3:$B$1315, "&lt;=" &amp; EC$1, DataRegularSeason20242025!$D$3:$D$1315, $A66)+SUMIFS(DataRegularSeason20242025!$AB$3:$AB$1315,DataRegularSeason20242025!$B$3:$B$1315, "&lt;=" &amp; EC$1, DataRegularSeason20242025!$E$3:$E$1315, $A66)</f>
        <v>6</v>
      </c>
      <c r="ED66">
        <f>SUMIFS(DataRegularSeason20242025!$AA$3:$AA$1315,DataRegularSeason20242025!$B$3:$B$1315, "&lt;=" &amp; ED$1, DataRegularSeason20242025!$D$3:$D$1315, $A66)+SUMIFS(DataRegularSeason20242025!$AB$3:$AB$1315,DataRegularSeason20242025!$B$3:$B$1315, "&lt;=" &amp; ED$1, DataRegularSeason20242025!$E$3:$E$1315, $A66)</f>
        <v>6</v>
      </c>
      <c r="EE66">
        <f>SUMIFS(DataRegularSeason20242025!$AA$3:$AA$1315,DataRegularSeason20242025!$B$3:$B$1315, "&lt;=" &amp; EE$1, DataRegularSeason20242025!$D$3:$D$1315, $A66)+SUMIFS(DataRegularSeason20242025!$AB$3:$AB$1315,DataRegularSeason20242025!$B$3:$B$1315, "&lt;=" &amp; EE$1, DataRegularSeason20242025!$E$3:$E$1315, $A66)</f>
        <v>6</v>
      </c>
      <c r="EF66">
        <f>SUMIFS(DataRegularSeason20242025!$AA$3:$AA$1315,DataRegularSeason20242025!$B$3:$B$1315, "&lt;=" &amp; EF$1, DataRegularSeason20242025!$D$3:$D$1315, $A66)+SUMIFS(DataRegularSeason20242025!$AB$3:$AB$1315,DataRegularSeason20242025!$B$3:$B$1315, "&lt;=" &amp; EF$1, DataRegularSeason20242025!$E$3:$E$1315, $A66)</f>
        <v>6</v>
      </c>
      <c r="EG66">
        <f>SUMIFS(DataRegularSeason20242025!$AA$3:$AA$1315,DataRegularSeason20242025!$B$3:$B$1315, "&lt;=" &amp; EG$1, DataRegularSeason20242025!$D$3:$D$1315, $A66)+SUMIFS(DataRegularSeason20242025!$AB$3:$AB$1315,DataRegularSeason20242025!$B$3:$B$1315, "&lt;=" &amp; EG$1, DataRegularSeason20242025!$E$3:$E$1315, $A66)</f>
        <v>6</v>
      </c>
      <c r="EH66">
        <f>SUMIFS(DataRegularSeason20242025!$AA$3:$AA$1315,DataRegularSeason20242025!$B$3:$B$1315, "&lt;=" &amp; EH$1, DataRegularSeason20242025!$D$3:$D$1315, $A66)+SUMIFS(DataRegularSeason20242025!$AB$3:$AB$1315,DataRegularSeason20242025!$B$3:$B$1315, "&lt;=" &amp; EH$1, DataRegularSeason20242025!$E$3:$E$1315, $A66)</f>
        <v>6</v>
      </c>
      <c r="EI66">
        <f>SUMIFS(DataRegularSeason20242025!$AA$3:$AA$1315,DataRegularSeason20242025!$B$3:$B$1315, "&lt;=" &amp; EI$1, DataRegularSeason20242025!$D$3:$D$1315, $A66)+SUMIFS(DataRegularSeason20242025!$AB$3:$AB$1315,DataRegularSeason20242025!$B$3:$B$1315, "&lt;=" &amp; EI$1, DataRegularSeason20242025!$E$3:$E$1315, $A66)</f>
        <v>6</v>
      </c>
      <c r="EJ66">
        <f>SUMIFS(DataRegularSeason20242025!$AA$3:$AA$1315,DataRegularSeason20242025!$B$3:$B$1315, "&lt;=" &amp; EJ$1, DataRegularSeason20242025!$D$3:$D$1315, $A66)+SUMIFS(DataRegularSeason20242025!$AB$3:$AB$1315,DataRegularSeason20242025!$B$3:$B$1315, "&lt;=" &amp; EJ$1, DataRegularSeason20242025!$E$3:$E$1315, $A66)</f>
        <v>6</v>
      </c>
      <c r="EK66">
        <f>SUMIFS(DataRegularSeason20242025!$AA$3:$AA$1315,DataRegularSeason20242025!$B$3:$B$1315, "&lt;=" &amp; EK$1, DataRegularSeason20242025!$D$3:$D$1315, $A66)+SUMIFS(DataRegularSeason20242025!$AB$3:$AB$1315,DataRegularSeason20242025!$B$3:$B$1315, "&lt;=" &amp; EK$1, DataRegularSeason20242025!$E$3:$E$1315, $A66)</f>
        <v>6</v>
      </c>
      <c r="EL66">
        <f>SUMIFS(DataRegularSeason20242025!$AA$3:$AA$1315,DataRegularSeason20242025!$B$3:$B$1315, "&lt;=" &amp; EL$1, DataRegularSeason20242025!$D$3:$D$1315, $A66)+SUMIFS(DataRegularSeason20242025!$AB$3:$AB$1315,DataRegularSeason20242025!$B$3:$B$1315, "&lt;=" &amp; EL$1, DataRegularSeason20242025!$E$3:$E$1315, $A66)</f>
        <v>6</v>
      </c>
      <c r="EM66">
        <f>SUMIFS(DataRegularSeason20242025!$AA$3:$AA$1315,DataRegularSeason20242025!$B$3:$B$1315, "&lt;=" &amp; EM$1, DataRegularSeason20242025!$D$3:$D$1315, $A66)+SUMIFS(DataRegularSeason20242025!$AB$3:$AB$1315,DataRegularSeason20242025!$B$3:$B$1315, "&lt;=" &amp; EM$1, DataRegularSeason20242025!$E$3:$E$1315, $A66)</f>
        <v>6</v>
      </c>
      <c r="EN66">
        <f>SUMIFS(DataRegularSeason20242025!$AA$3:$AA$1315,DataRegularSeason20242025!$B$3:$B$1315, "&lt;=" &amp; EN$1, DataRegularSeason20242025!$D$3:$D$1315, $A66)+SUMIFS(DataRegularSeason20242025!$AB$3:$AB$1315,DataRegularSeason20242025!$B$3:$B$1315, "&lt;=" &amp; EN$1, DataRegularSeason20242025!$E$3:$E$1315, $A66)</f>
        <v>6</v>
      </c>
      <c r="EO66">
        <f>SUMIFS(DataRegularSeason20242025!$AA$3:$AA$1315,DataRegularSeason20242025!$B$3:$B$1315, "&lt;=" &amp; EO$1, DataRegularSeason20242025!$D$3:$D$1315, $A66)+SUMIFS(DataRegularSeason20242025!$AB$3:$AB$1315,DataRegularSeason20242025!$B$3:$B$1315, "&lt;=" &amp; EO$1, DataRegularSeason20242025!$E$3:$E$1315, $A66)</f>
        <v>6</v>
      </c>
      <c r="EP66">
        <f>SUMIFS(DataRegularSeason20242025!$AA$3:$AA$1315,DataRegularSeason20242025!$B$3:$B$1315, "&lt;=" &amp; EP$1, DataRegularSeason20242025!$D$3:$D$1315, $A66)+SUMIFS(DataRegularSeason20242025!$AB$3:$AB$1315,DataRegularSeason20242025!$B$3:$B$1315, "&lt;=" &amp; EP$1, DataRegularSeason20242025!$E$3:$E$1315, $A66)</f>
        <v>6</v>
      </c>
      <c r="EQ66">
        <f>SUMIFS(DataRegularSeason20242025!$AA$3:$AA$1315,DataRegularSeason20242025!$B$3:$B$1315, "&lt;=" &amp; EQ$1, DataRegularSeason20242025!$D$3:$D$1315, $A66)+SUMIFS(DataRegularSeason20242025!$AB$3:$AB$1315,DataRegularSeason20242025!$B$3:$B$1315, "&lt;=" &amp; EQ$1, DataRegularSeason20242025!$E$3:$E$1315, $A66)</f>
        <v>6</v>
      </c>
      <c r="ER66">
        <f>SUMIFS(DataRegularSeason20242025!$AA$3:$AA$1315,DataRegularSeason20242025!$B$3:$B$1315, "&lt;=" &amp; ER$1, DataRegularSeason20242025!$D$3:$D$1315, $A66)+SUMIFS(DataRegularSeason20242025!$AB$3:$AB$1315,DataRegularSeason20242025!$B$3:$B$1315, "&lt;=" &amp; ER$1, DataRegularSeason20242025!$E$3:$E$1315, $A66)</f>
        <v>6</v>
      </c>
      <c r="ES66">
        <f>SUMIFS(DataRegularSeason20242025!$AA$3:$AA$1315,DataRegularSeason20242025!$B$3:$B$1315, "&lt;=" &amp; ES$1, DataRegularSeason20242025!$D$3:$D$1315, $A66)+SUMIFS(DataRegularSeason20242025!$AB$3:$AB$1315,DataRegularSeason20242025!$B$3:$B$1315, "&lt;=" &amp; ES$1, DataRegularSeason20242025!$E$3:$E$1315, $A66)</f>
        <v>6</v>
      </c>
      <c r="ET66">
        <f>SUMIFS(DataRegularSeason20242025!$AA$3:$AA$1315,DataRegularSeason20242025!$B$3:$B$1315, "&lt;=" &amp; ET$1, DataRegularSeason20242025!$D$3:$D$1315, $A66)+SUMIFS(DataRegularSeason20242025!$AB$3:$AB$1315,DataRegularSeason20242025!$B$3:$B$1315, "&lt;=" &amp; ET$1, DataRegularSeason20242025!$E$3:$E$1315, $A66)</f>
        <v>6</v>
      </c>
      <c r="EU66">
        <f>SUMIFS(DataRegularSeason20242025!$AA$3:$AA$1315,DataRegularSeason20242025!$B$3:$B$1315, "&lt;=" &amp; EU$1, DataRegularSeason20242025!$D$3:$D$1315, $A66)+SUMIFS(DataRegularSeason20242025!$AB$3:$AB$1315,DataRegularSeason20242025!$B$3:$B$1315, "&lt;=" &amp; EU$1, DataRegularSeason20242025!$E$3:$E$1315, $A66)</f>
        <v>6</v>
      </c>
      <c r="EV66">
        <f>SUMIFS(DataRegularSeason20242025!$AA$3:$AA$1315,DataRegularSeason20242025!$B$3:$B$1315, "&lt;=" &amp; EV$1, DataRegularSeason20242025!$D$3:$D$1315, $A66)+SUMIFS(DataRegularSeason20242025!$AB$3:$AB$1315,DataRegularSeason20242025!$B$3:$B$1315, "&lt;=" &amp; EV$1, DataRegularSeason20242025!$E$3:$E$1315, $A66)</f>
        <v>6</v>
      </c>
      <c r="EW66">
        <f>SUMIFS(DataRegularSeason20242025!$AA$3:$AA$1315,DataRegularSeason20242025!$B$3:$B$1315, "&lt;=" &amp; EW$1, DataRegularSeason20242025!$D$3:$D$1315, $A66)+SUMIFS(DataRegularSeason20242025!$AB$3:$AB$1315,DataRegularSeason20242025!$B$3:$B$1315, "&lt;=" &amp; EW$1, DataRegularSeason20242025!$E$3:$E$1315, $A66)</f>
        <v>6</v>
      </c>
      <c r="EX66">
        <f>SUMIFS(DataRegularSeason20242025!$AA$3:$AA$1315,DataRegularSeason20242025!$B$3:$B$1315, "&lt;=" &amp; EX$1, DataRegularSeason20242025!$D$3:$D$1315, $A66)+SUMIFS(DataRegularSeason20242025!$AB$3:$AB$1315,DataRegularSeason20242025!$B$3:$B$1315, "&lt;=" &amp; EX$1, DataRegularSeason20242025!$E$3:$E$1315, $A66)</f>
        <v>6</v>
      </c>
      <c r="EY66">
        <f>SUMIFS(DataRegularSeason20242025!$AA$3:$AA$1315,DataRegularSeason20242025!$B$3:$B$1315, "&lt;=" &amp; EY$1, DataRegularSeason20242025!$D$3:$D$1315, $A66)+SUMIFS(DataRegularSeason20242025!$AB$3:$AB$1315,DataRegularSeason20242025!$B$3:$B$1315, "&lt;=" &amp; EY$1, DataRegularSeason20242025!$E$3:$E$1315, $A66)</f>
        <v>6</v>
      </c>
      <c r="EZ66">
        <f>SUMIFS(DataRegularSeason20242025!$AA$3:$AA$1315,DataRegularSeason20242025!$B$3:$B$1315, "&lt;=" &amp; EZ$1, DataRegularSeason20242025!$D$3:$D$1315, $A66)+SUMIFS(DataRegularSeason20242025!$AB$3:$AB$1315,DataRegularSeason20242025!$B$3:$B$1315, "&lt;=" &amp; EZ$1, DataRegularSeason20242025!$E$3:$E$1315, $A66)</f>
        <v>6</v>
      </c>
      <c r="FA66">
        <f>SUMIFS(DataRegularSeason20242025!$AA$3:$AA$1315,DataRegularSeason20242025!$B$3:$B$1315, "&lt;=" &amp; FA$1, DataRegularSeason20242025!$D$3:$D$1315, $A66)+SUMIFS(DataRegularSeason20242025!$AB$3:$AB$1315,DataRegularSeason20242025!$B$3:$B$1315, "&lt;=" &amp; FA$1, DataRegularSeason20242025!$E$3:$E$1315, $A66)</f>
        <v>6</v>
      </c>
      <c r="FB66">
        <f>SUMIFS(DataRegularSeason20242025!$AA$3:$AA$1315,DataRegularSeason20242025!$B$3:$B$1315, "&lt;=" &amp; FB$1, DataRegularSeason20242025!$D$3:$D$1315, $A66)+SUMIFS(DataRegularSeason20242025!$AB$3:$AB$1315,DataRegularSeason20242025!$B$3:$B$1315, "&lt;=" &amp; FB$1, DataRegularSeason20242025!$E$3:$E$1315, $A66)</f>
        <v>6</v>
      </c>
      <c r="FC66">
        <f>SUMIFS(DataRegularSeason20242025!$AA$3:$AA$1315,DataRegularSeason20242025!$B$3:$B$1315, "&lt;=" &amp; FC$1, DataRegularSeason20242025!$D$3:$D$1315, $A66)+SUMIFS(DataRegularSeason20242025!$AB$3:$AB$1315,DataRegularSeason20242025!$B$3:$B$1315, "&lt;=" &amp; FC$1, DataRegularSeason20242025!$E$3:$E$1315, $A66)</f>
        <v>6</v>
      </c>
      <c r="FD66">
        <f>SUMIFS(DataRegularSeason20242025!$AA$3:$AA$1315,DataRegularSeason20242025!$B$3:$B$1315, "&lt;=" &amp; FD$1, DataRegularSeason20242025!$D$3:$D$1315, $A66)+SUMIFS(DataRegularSeason20242025!$AB$3:$AB$1315,DataRegularSeason20242025!$B$3:$B$1315, "&lt;=" &amp; FD$1, DataRegularSeason20242025!$E$3:$E$1315, $A66)</f>
        <v>6</v>
      </c>
      <c r="FE66">
        <f>SUMIFS(DataRegularSeason20242025!$AA$3:$AA$1315,DataRegularSeason20242025!$B$3:$B$1315, "&lt;=" &amp; FE$1, DataRegularSeason20242025!$D$3:$D$1315, $A66)+SUMIFS(DataRegularSeason20242025!$AB$3:$AB$1315,DataRegularSeason20242025!$B$3:$B$1315, "&lt;=" &amp; FE$1, DataRegularSeason20242025!$E$3:$E$1315, $A66)</f>
        <v>6</v>
      </c>
      <c r="FF66">
        <f>SUMIFS(DataRegularSeason20242025!$AA$3:$AA$1315,DataRegularSeason20242025!$B$3:$B$1315, "&lt;=" &amp; FF$1, DataRegularSeason20242025!$D$3:$D$1315, $A66)+SUMIFS(DataRegularSeason20242025!$AB$3:$AB$1315,DataRegularSeason20242025!$B$3:$B$1315, "&lt;=" &amp; FF$1, DataRegularSeason20242025!$E$3:$E$1315, $A66)</f>
        <v>6</v>
      </c>
      <c r="FG66">
        <f>SUMIFS(DataRegularSeason20242025!$AA$3:$AA$1315,DataRegularSeason20242025!$B$3:$B$1315, "&lt;=" &amp; FG$1, DataRegularSeason20242025!$D$3:$D$1315, $A66)+SUMIFS(DataRegularSeason20242025!$AB$3:$AB$1315,DataRegularSeason20242025!$B$3:$B$1315, "&lt;=" &amp; FG$1, DataRegularSeason20242025!$E$3:$E$1315, $A66)</f>
        <v>6</v>
      </c>
      <c r="FH66">
        <f>SUMIFS(DataRegularSeason20242025!$AA$3:$AA$1315,DataRegularSeason20242025!$B$3:$B$1315, "&lt;=" &amp; FH$1, DataRegularSeason20242025!$D$3:$D$1315, $A66)+SUMIFS(DataRegularSeason20242025!$AB$3:$AB$1315,DataRegularSeason20242025!$B$3:$B$1315, "&lt;=" &amp; FH$1, DataRegularSeason20242025!$E$3:$E$1315, $A66)</f>
        <v>6</v>
      </c>
      <c r="FI66">
        <f>SUMIFS(DataRegularSeason20242025!$AA$3:$AA$1315,DataRegularSeason20242025!$B$3:$B$1315, "&lt;=" &amp; FI$1, DataRegularSeason20242025!$D$3:$D$1315, $A66)+SUMIFS(DataRegularSeason20242025!$AB$3:$AB$1315,DataRegularSeason20242025!$B$3:$B$1315, "&lt;=" &amp; FI$1, DataRegularSeason20242025!$E$3:$E$1315, $A66)</f>
        <v>6</v>
      </c>
      <c r="FJ66">
        <f>SUMIFS(DataRegularSeason20242025!$AA$3:$AA$1315,DataRegularSeason20242025!$B$3:$B$1315, "&lt;=" &amp; FJ$1, DataRegularSeason20242025!$D$3:$D$1315, $A66)+SUMIFS(DataRegularSeason20242025!$AB$3:$AB$1315,DataRegularSeason20242025!$B$3:$B$1315, "&lt;=" &amp; FJ$1, DataRegularSeason20242025!$E$3:$E$1315, $A66)</f>
        <v>6</v>
      </c>
      <c r="FK66">
        <f>SUMIFS(DataRegularSeason20242025!$AA$3:$AA$1315,DataRegularSeason20242025!$B$3:$B$1315, "&lt;=" &amp; FK$1, DataRegularSeason20242025!$D$3:$D$1315, $A66)+SUMIFS(DataRegularSeason20242025!$AB$3:$AB$1315,DataRegularSeason20242025!$B$3:$B$1315, "&lt;=" &amp; FK$1, DataRegularSeason20242025!$E$3:$E$1315, $A66)</f>
        <v>6</v>
      </c>
      <c r="FL66">
        <f>SUMIFS(DataRegularSeason20242025!$AA$3:$AA$1315,DataRegularSeason20242025!$B$3:$B$1315, "&lt;=" &amp; FL$1, DataRegularSeason20242025!$D$3:$D$1315, $A66)+SUMIFS(DataRegularSeason20242025!$AB$3:$AB$1315,DataRegularSeason20242025!$B$3:$B$1315, "&lt;=" &amp; FL$1, DataRegularSeason20242025!$E$3:$E$1315, $A66)</f>
        <v>6</v>
      </c>
      <c r="FM66">
        <f>SUMIFS(DataRegularSeason20242025!$AA$3:$AA$1315,DataRegularSeason20242025!$B$3:$B$1315, "&lt;=" &amp; FM$1, DataRegularSeason20242025!$D$3:$D$1315, $A66)+SUMIFS(DataRegularSeason20242025!$AB$3:$AB$1315,DataRegularSeason20242025!$B$3:$B$1315, "&lt;=" &amp; FM$1, DataRegularSeason20242025!$E$3:$E$1315, $A66)</f>
        <v>6</v>
      </c>
      <c r="FN66">
        <f>SUMIFS(DataRegularSeason20242025!$AA$3:$AA$1315,DataRegularSeason20242025!$B$3:$B$1315, "&lt;=" &amp; FN$1, DataRegularSeason20242025!$D$3:$D$1315, $A66)+SUMIFS(DataRegularSeason20242025!$AB$3:$AB$1315,DataRegularSeason20242025!$B$3:$B$1315, "&lt;=" &amp; FN$1, DataRegularSeason20242025!$E$3:$E$1315, $A66)</f>
        <v>6</v>
      </c>
      <c r="FO66">
        <f>SUMIFS(DataRegularSeason20242025!$AA$3:$AA$1315,DataRegularSeason20242025!$B$3:$B$1315, "&lt;=" &amp; FO$1, DataRegularSeason20242025!$D$3:$D$1315, $A66)+SUMIFS(DataRegularSeason20242025!$AB$3:$AB$1315,DataRegularSeason20242025!$B$3:$B$1315, "&lt;=" &amp; FO$1, DataRegularSeason20242025!$E$3:$E$1315, $A66)</f>
        <v>6</v>
      </c>
      <c r="FP66">
        <f>SUMIFS(DataRegularSeason20242025!$AA$3:$AA$1315,DataRegularSeason20242025!$B$3:$B$1315, "&lt;=" &amp; FP$1, DataRegularSeason20242025!$D$3:$D$1315, $A66)+SUMIFS(DataRegularSeason20242025!$AB$3:$AB$1315,DataRegularSeason20242025!$B$3:$B$1315, "&lt;=" &amp; FP$1, DataRegularSeason20242025!$E$3:$E$1315, $A66)</f>
        <v>6</v>
      </c>
      <c r="FQ66">
        <f>SUMIFS(DataRegularSeason20242025!$AA$3:$AA$1315,DataRegularSeason20242025!$B$3:$B$1315, "&lt;=" &amp; FQ$1, DataRegularSeason20242025!$D$3:$D$1315, $A66)+SUMIFS(DataRegularSeason20242025!$AB$3:$AB$1315,DataRegularSeason20242025!$B$3:$B$1315, "&lt;=" &amp; FQ$1, DataRegularSeason20242025!$E$3:$E$1315, $A66)</f>
        <v>6</v>
      </c>
      <c r="FR66">
        <f>SUMIFS(DataRegularSeason20242025!$AA$3:$AA$1315,DataRegularSeason20242025!$B$3:$B$1315, "&lt;=" &amp; FR$1, DataRegularSeason20242025!$D$3:$D$1315, $A66)+SUMIFS(DataRegularSeason20242025!$AB$3:$AB$1315,DataRegularSeason20242025!$B$3:$B$1315, "&lt;=" &amp; FR$1, DataRegularSeason20242025!$E$3:$E$1315, $A66)</f>
        <v>6</v>
      </c>
      <c r="FS66">
        <f>SUMIFS(DataRegularSeason20242025!$AA$3:$AA$1315,DataRegularSeason20242025!$B$3:$B$1315, "&lt;=" &amp; FS$1, DataRegularSeason20242025!$D$3:$D$1315, $A66)+SUMIFS(DataRegularSeason20242025!$AB$3:$AB$1315,DataRegularSeason20242025!$B$3:$B$1315, "&lt;=" &amp; FS$1, DataRegularSeason20242025!$E$3:$E$1315, $A66)</f>
        <v>6</v>
      </c>
      <c r="FT66">
        <f>SUMIFS(DataRegularSeason20242025!$AA$3:$AA$1315,DataRegularSeason20242025!$B$3:$B$1315, "&lt;=" &amp; FT$1, DataRegularSeason20242025!$D$3:$D$1315, $A66)+SUMIFS(DataRegularSeason20242025!$AB$3:$AB$1315,DataRegularSeason20242025!$B$3:$B$1315, "&lt;=" &amp; FT$1, DataRegularSeason20242025!$E$3:$E$1315, $A66)</f>
        <v>6</v>
      </c>
      <c r="FU66">
        <f>SUMIFS(DataRegularSeason20242025!$AA$3:$AA$1315,DataRegularSeason20242025!$B$3:$B$1315, "&lt;=" &amp; FU$1, DataRegularSeason20242025!$D$3:$D$1315, $A66)+SUMIFS(DataRegularSeason20242025!$AB$3:$AB$1315,DataRegularSeason20242025!$B$3:$B$1315, "&lt;=" &amp; FU$1, DataRegularSeason20242025!$E$3:$E$1315, $A66)</f>
        <v>6</v>
      </c>
      <c r="FV66">
        <f>SUMIFS(DataRegularSeason20242025!$AA$3:$AA$1315,DataRegularSeason20242025!$B$3:$B$1315, "&lt;=" &amp; FV$1, DataRegularSeason20242025!$D$3:$D$1315, $A66)+SUMIFS(DataRegularSeason20242025!$AB$3:$AB$1315,DataRegularSeason20242025!$B$3:$B$1315, "&lt;=" &amp; FV$1, DataRegularSeason20242025!$E$3:$E$1315, $A66)</f>
        <v>6</v>
      </c>
      <c r="FW66">
        <f>SUMIFS(DataRegularSeason20242025!$AA$3:$AA$1315,DataRegularSeason20242025!$B$3:$B$1315, "&lt;=" &amp; FW$1, DataRegularSeason20242025!$D$3:$D$1315, $A66)+SUMIFS(DataRegularSeason20242025!$AB$3:$AB$1315,DataRegularSeason20242025!$B$3:$B$1315, "&lt;=" &amp; FW$1, DataRegularSeason20242025!$E$3:$E$1315, $A66)</f>
        <v>6</v>
      </c>
      <c r="FX66">
        <f>SUMIFS(DataRegularSeason20242025!$AA$3:$AA$1315,DataRegularSeason20242025!$B$3:$B$1315, "&lt;=" &amp; FX$1, DataRegularSeason20242025!$D$3:$D$1315, $A66)+SUMIFS(DataRegularSeason20242025!$AB$3:$AB$1315,DataRegularSeason20242025!$B$3:$B$1315, "&lt;=" &amp; FX$1, DataRegularSeason20242025!$E$3:$E$1315, $A66)</f>
        <v>6</v>
      </c>
      <c r="FY66">
        <f>SUMIFS(DataRegularSeason20242025!$AA$3:$AA$1315,DataRegularSeason20242025!$B$3:$B$1315, "&lt;=" &amp; FY$1, DataRegularSeason20242025!$D$3:$D$1315, $A66)+SUMIFS(DataRegularSeason20242025!$AB$3:$AB$1315,DataRegularSeason20242025!$B$3:$B$1315, "&lt;=" &amp; FY$1, DataRegularSeason20242025!$E$3:$E$1315, $A66)</f>
        <v>6</v>
      </c>
      <c r="FZ66">
        <f>SUMIFS(DataRegularSeason20242025!$AA$3:$AA$1315,DataRegularSeason20242025!$B$3:$B$1315, "&lt;=" &amp; FZ$1, DataRegularSeason20242025!$D$3:$D$1315, $A66)+SUMIFS(DataRegularSeason20242025!$AB$3:$AB$1315,DataRegularSeason20242025!$B$3:$B$1315, "&lt;=" &amp; FZ$1, DataRegularSeason20242025!$E$3:$E$1315, $A66)</f>
        <v>6</v>
      </c>
      <c r="GA66">
        <f>SUMIFS(DataRegularSeason20242025!$AA$3:$AA$1315,DataRegularSeason20242025!$B$3:$B$1315, "&lt;=" &amp; GA$1, DataRegularSeason20242025!$D$3:$D$1315, $A66)+SUMIFS(DataRegularSeason20242025!$AB$3:$AB$1315,DataRegularSeason20242025!$B$3:$B$1315, "&lt;=" &amp; GA$1, DataRegularSeason20242025!$E$3:$E$1315, $A66)</f>
        <v>6</v>
      </c>
      <c r="GB66">
        <f>SUMIFS(DataRegularSeason20242025!$AA$3:$AA$1315,DataRegularSeason20242025!$B$3:$B$1315, "&lt;=" &amp; GB$1, DataRegularSeason20242025!$D$3:$D$1315, $A66)+SUMIFS(DataRegularSeason20242025!$AB$3:$AB$1315,DataRegularSeason20242025!$B$3:$B$1315, "&lt;=" &amp; GB$1, DataRegularSeason20242025!$E$3:$E$1315, $A66)</f>
        <v>6</v>
      </c>
      <c r="GC66">
        <f>SUMIFS(DataRegularSeason20242025!$AA$3:$AA$1315,DataRegularSeason20242025!$B$3:$B$1315, "&lt;=" &amp; GC$1, DataRegularSeason20242025!$D$3:$D$1315, $A66)+SUMIFS(DataRegularSeason20242025!$AB$3:$AB$1315,DataRegularSeason20242025!$B$3:$B$1315, "&lt;=" &amp; GC$1, DataRegularSeason20242025!$E$3:$E$1315, $A66)</f>
        <v>6</v>
      </c>
      <c r="GD66">
        <f>SUMIFS(DataRegularSeason20242025!$AA$3:$AA$1315,DataRegularSeason20242025!$B$3:$B$1315, "&lt;=" &amp; GD$1, DataRegularSeason20242025!$D$3:$D$1315, $A66)+SUMIFS(DataRegularSeason20242025!$AB$3:$AB$1315,DataRegularSeason20242025!$B$3:$B$1315, "&lt;=" &amp; GD$1, DataRegularSeason20242025!$E$3:$E$1315, $A66)</f>
        <v>6</v>
      </c>
      <c r="GE66">
        <f>SUMIFS(DataRegularSeason20242025!$AA$3:$AA$1315,DataRegularSeason20242025!$B$3:$B$1315, "&lt;=" &amp; GE$1, DataRegularSeason20242025!$D$3:$D$1315, $A66)+SUMIFS(DataRegularSeason20242025!$AB$3:$AB$1315,DataRegularSeason20242025!$B$3:$B$1315, "&lt;=" &amp; GE$1, DataRegularSeason20242025!$E$3:$E$1315, $A66)</f>
        <v>6</v>
      </c>
      <c r="GF66">
        <f>SUMIFS(DataRegularSeason20242025!$AA$3:$AA$1315,DataRegularSeason20242025!$B$3:$B$1315, "&lt;=" &amp; GF$1, DataRegularSeason20242025!$D$3:$D$1315, $A66)+SUMIFS(DataRegularSeason20242025!$AB$3:$AB$1315,DataRegularSeason20242025!$B$3:$B$1315, "&lt;=" &amp; GF$1, DataRegularSeason20242025!$E$3:$E$1315, $A66)</f>
        <v>6</v>
      </c>
      <c r="GG66">
        <f>SUMIFS(DataRegularSeason20242025!$AA$3:$AA$1315,DataRegularSeason20242025!$B$3:$B$1315, "&lt;=" &amp; GG$1, DataRegularSeason20242025!$D$3:$D$1315, $A66)+SUMIFS(DataRegularSeason20242025!$AB$3:$AB$1315,DataRegularSeason20242025!$B$3:$B$1315, "&lt;=" &amp; GG$1, DataRegularSeason20242025!$E$3:$E$1315, $A66)</f>
        <v>6</v>
      </c>
      <c r="GH66">
        <f>SUMIFS(DataRegularSeason20242025!$AA$3:$AA$1315,DataRegularSeason20242025!$B$3:$B$1315, "&lt;=" &amp; GH$1, DataRegularSeason20242025!$D$3:$D$1315, $A66)+SUMIFS(DataRegularSeason20242025!$AB$3:$AB$1315,DataRegularSeason20242025!$B$3:$B$1315, "&lt;=" &amp; GH$1, DataRegularSeason20242025!$E$3:$E$1315, $A66)</f>
        <v>6</v>
      </c>
      <c r="GI66">
        <f>SUMIFS(DataRegularSeason20242025!$AA$3:$AA$1315,DataRegularSeason20242025!$B$3:$B$1315, "&lt;=" &amp; GI$1, DataRegularSeason20242025!$D$3:$D$1315, $A66)+SUMIFS(DataRegularSeason20242025!$AB$3:$AB$1315,DataRegularSeason20242025!$B$3:$B$1315, "&lt;=" &amp; GI$1, DataRegularSeason20242025!$E$3:$E$1315, $A66)</f>
        <v>6</v>
      </c>
      <c r="GJ66">
        <f>SUMIFS(DataRegularSeason20242025!$AA$3:$AA$1315,DataRegularSeason20242025!$B$3:$B$1315, "&lt;=" &amp; GJ$1, DataRegularSeason20242025!$D$3:$D$1315, $A66)+SUMIFS(DataRegularSeason20242025!$AB$3:$AB$1315,DataRegularSeason20242025!$B$3:$B$1315, "&lt;=" &amp; GJ$1, DataRegularSeason20242025!$E$3:$E$1315, $A66)</f>
        <v>6</v>
      </c>
      <c r="GK66">
        <f>SUMIFS(DataRegularSeason20242025!$AA$3:$AA$1315,DataRegularSeason20242025!$B$3:$B$1315, "&lt;=" &amp; GK$1, DataRegularSeason20242025!$D$3:$D$1315, $A66)+SUMIFS(DataRegularSeason20242025!$AB$3:$AB$1315,DataRegularSeason20242025!$B$3:$B$1315, "&lt;=" &amp; GK$1, DataRegularSeason20242025!$E$3:$E$1315, $A66)</f>
        <v>6</v>
      </c>
      <c r="GL66">
        <f>SUMIFS(DataRegularSeason20242025!$AA$3:$AA$1315,DataRegularSeason20242025!$B$3:$B$1315, "&lt;=" &amp; GL$1, DataRegularSeason20242025!$D$3:$D$1315, $A66)+SUMIFS(DataRegularSeason20242025!$AB$3:$AB$1315,DataRegularSeason20242025!$B$3:$B$1315, "&lt;=" &amp; GL$1, DataRegularSeason20242025!$E$3:$E$1315, $A66)</f>
        <v>6</v>
      </c>
      <c r="GM66">
        <f>SUMIFS(DataRegularSeason20242025!$AA$3:$AA$1315,DataRegularSeason20242025!$B$3:$B$1315, "&lt;=" &amp; GM$1, DataRegularSeason20242025!$D$3:$D$1315, $A66)+SUMIFS(DataRegularSeason20242025!$AB$3:$AB$1315,DataRegularSeason20242025!$B$3:$B$1315, "&lt;=" &amp; GM$1, DataRegularSeason20242025!$E$3:$E$1315, $A66)</f>
        <v>6</v>
      </c>
      <c r="GN66">
        <f>SUMIFS(DataRegularSeason20242025!$AA$3:$AA$1315,DataRegularSeason20242025!$B$3:$B$1315, "&lt;=" &amp; GN$1, DataRegularSeason20242025!$D$3:$D$1315, $A66)+SUMIFS(DataRegularSeason20242025!$AB$3:$AB$1315,DataRegularSeason20242025!$B$3:$B$1315, "&lt;=" &amp; GN$1, DataRegularSeason20242025!$E$3:$E$1315, $A66)</f>
        <v>6</v>
      </c>
      <c r="GO66">
        <f>SUMIFS(DataRegularSeason20242025!$AA$3:$AA$1315,DataRegularSeason20242025!$B$3:$B$1315, "&lt;=" &amp; GO$1, DataRegularSeason20242025!$D$3:$D$1315, $A66)+SUMIFS(DataRegularSeason20242025!$AB$3:$AB$1315,DataRegularSeason20242025!$B$3:$B$1315, "&lt;=" &amp; GO$1, DataRegularSeason20242025!$E$3:$E$1315, $A66)</f>
        <v>6</v>
      </c>
      <c r="GP66">
        <f>SUMIFS(DataRegularSeason20242025!$AA$3:$AA$1315,DataRegularSeason20242025!$B$3:$B$1315, "&lt;=" &amp; GP$1, DataRegularSeason20242025!$D$3:$D$1315, $A66)+SUMIFS(DataRegularSeason20242025!$AB$3:$AB$1315,DataRegularSeason20242025!$B$3:$B$1315, "&lt;=" &amp; GP$1, DataRegularSeason20242025!$E$3:$E$1315, $A66)</f>
        <v>6</v>
      </c>
      <c r="GQ66">
        <f>SUMIFS(DataRegularSeason20242025!$AA$3:$AA$1315,DataRegularSeason20242025!$B$3:$B$1315, "&lt;=" &amp; GQ$1, DataRegularSeason20242025!$D$3:$D$1315, $A66)+SUMIFS(DataRegularSeason20242025!$AB$3:$AB$1315,DataRegularSeason20242025!$B$3:$B$1315, "&lt;=" &amp; GQ$1, DataRegularSeason20242025!$E$3:$E$1315, $A66)</f>
        <v>6</v>
      </c>
      <c r="GR66">
        <f>SUMIFS(DataRegularSeason20242025!$AA$3:$AA$1315,DataRegularSeason20242025!$B$3:$B$1315, "&lt;=" &amp; GR$1, DataRegularSeason20242025!$D$3:$D$1315, $A66)+SUMIFS(DataRegularSeason20242025!$AB$3:$AB$1315,DataRegularSeason20242025!$B$3:$B$1315, "&lt;=" &amp; GR$1, DataRegularSeason20242025!$E$3:$E$1315, $A66)</f>
        <v>6</v>
      </c>
      <c r="GS66">
        <f>SUMIFS(DataRegularSeason20242025!$AA$3:$AA$1315,DataRegularSeason20242025!$B$3:$B$1315, "&lt;=" &amp; GS$1, DataRegularSeason20242025!$D$3:$D$1315, $A66)+SUMIFS(DataRegularSeason20242025!$AB$3:$AB$1315,DataRegularSeason20242025!$B$3:$B$1315, "&lt;=" &amp; GS$1, DataRegularSeason20242025!$E$3:$E$1315, $A66)</f>
        <v>6</v>
      </c>
      <c r="GT66">
        <f>SUMIFS(DataRegularSeason20242025!$AA$3:$AA$1315,DataRegularSeason20242025!$B$3:$B$1315, "&lt;=" &amp; GT$1, DataRegularSeason20242025!$D$3:$D$1315, $A66)+SUMIFS(DataRegularSeason20242025!$AB$3:$AB$1315,DataRegularSeason20242025!$B$3:$B$1315, "&lt;=" &amp; GT$1, DataRegularSeason20242025!$E$3:$E$1315, $A66)</f>
        <v>6</v>
      </c>
      <c r="GU66">
        <f>SUMIFS(DataRegularSeason20242025!$AA$3:$AA$1315,DataRegularSeason20242025!$B$3:$B$1315, "&lt;=" &amp; GU$1, DataRegularSeason20242025!$D$3:$D$1315, $A66)+SUMIFS(DataRegularSeason20242025!$AB$3:$AB$1315,DataRegularSeason20242025!$B$3:$B$1315, "&lt;=" &amp; GU$1, DataRegularSeason20242025!$E$3:$E$1315, $A66)</f>
        <v>6</v>
      </c>
    </row>
    <row r="67" spans="1:275" x14ac:dyDescent="0.25">
      <c r="A67" t="s">
        <v>44</v>
      </c>
      <c r="B67" t="s">
        <v>90</v>
      </c>
      <c r="C67" t="s">
        <v>93</v>
      </c>
      <c r="D67">
        <f>SUMIFS(DataRegularSeason20242025!$AA$3:$AA$1315,DataRegularSeason20242025!$B$3:$B$1315, "&lt;=" &amp; D$1, DataRegularSeason20242025!$D$3:$D$1315, $A67)+SUMIFS(DataRegularSeason20242025!$AB$3:$AB$1315,DataRegularSeason20242025!$B$3:$B$1315, "&lt;=" &amp; D$1, DataRegularSeason20242025!$E$3:$E$1315, $A67)</f>
        <v>0</v>
      </c>
      <c r="E67">
        <f>SUMIFS(DataRegularSeason20242025!$AA$3:$AA$1315,DataRegularSeason20242025!$B$3:$B$1315, "&lt;=" &amp; E$1, DataRegularSeason20242025!$D$3:$D$1315, $A67)+SUMIFS(DataRegularSeason20242025!$AB$3:$AB$1315,DataRegularSeason20242025!$B$3:$B$1315, "&lt;=" &amp; E$1, DataRegularSeason20242025!$E$3:$E$1315, $A67)</f>
        <v>0</v>
      </c>
      <c r="F67">
        <f>SUMIFS(DataRegularSeason20242025!$AA$3:$AA$1315,DataRegularSeason20242025!$B$3:$B$1315, "&lt;=" &amp; F$1, DataRegularSeason20242025!$D$3:$D$1315, $A67)+SUMIFS(DataRegularSeason20242025!$AB$3:$AB$1315,DataRegularSeason20242025!$B$3:$B$1315, "&lt;=" &amp; F$1, DataRegularSeason20242025!$E$3:$E$1315, $A67)</f>
        <v>0</v>
      </c>
      <c r="G67">
        <f>SUMIFS(DataRegularSeason20242025!$AA$3:$AA$1315,DataRegularSeason20242025!$B$3:$B$1315, "&lt;=" &amp; G$1, DataRegularSeason20242025!$D$3:$D$1315, $A67)+SUMIFS(DataRegularSeason20242025!$AB$3:$AB$1315,DataRegularSeason20242025!$B$3:$B$1315, "&lt;=" &amp; G$1, DataRegularSeason20242025!$E$3:$E$1315, $A67)</f>
        <v>0</v>
      </c>
      <c r="H67">
        <f>SUMIFS(DataRegularSeason20242025!$AA$3:$AA$1315,DataRegularSeason20242025!$B$3:$B$1315, "&lt;=" &amp; H$1, DataRegularSeason20242025!$D$3:$D$1315, $A67)+SUMIFS(DataRegularSeason20242025!$AB$3:$AB$1315,DataRegularSeason20242025!$B$3:$B$1315, "&lt;=" &amp; H$1, DataRegularSeason20242025!$E$3:$E$1315, $A67)</f>
        <v>0</v>
      </c>
      <c r="I67">
        <f>SUMIFS(DataRegularSeason20242025!$AA$3:$AA$1315,DataRegularSeason20242025!$B$3:$B$1315, "&lt;=" &amp; I$1, DataRegularSeason20242025!$D$3:$D$1315, $A67)+SUMIFS(DataRegularSeason20242025!$AB$3:$AB$1315,DataRegularSeason20242025!$B$3:$B$1315, "&lt;=" &amp; I$1, DataRegularSeason20242025!$E$3:$E$1315, $A67)</f>
        <v>0</v>
      </c>
      <c r="J67">
        <f>SUMIFS(DataRegularSeason20242025!$AA$3:$AA$1315,DataRegularSeason20242025!$B$3:$B$1315, "&lt;=" &amp; J$1, DataRegularSeason20242025!$D$3:$D$1315, $A67)+SUMIFS(DataRegularSeason20242025!$AB$3:$AB$1315,DataRegularSeason20242025!$B$3:$B$1315, "&lt;=" &amp; J$1, DataRegularSeason20242025!$E$3:$E$1315, $A67)</f>
        <v>0</v>
      </c>
      <c r="K67">
        <f>SUMIFS(DataRegularSeason20242025!$AA$3:$AA$1315,DataRegularSeason20242025!$B$3:$B$1315, "&lt;=" &amp; K$1, DataRegularSeason20242025!$D$3:$D$1315, $A67)+SUMIFS(DataRegularSeason20242025!$AB$3:$AB$1315,DataRegularSeason20242025!$B$3:$B$1315, "&lt;=" &amp; K$1, DataRegularSeason20242025!$E$3:$E$1315, $A67)</f>
        <v>0</v>
      </c>
      <c r="L67">
        <f>SUMIFS(DataRegularSeason20242025!$AA$3:$AA$1315,DataRegularSeason20242025!$B$3:$B$1315, "&lt;=" &amp; L$1, DataRegularSeason20242025!$D$3:$D$1315, $A67)+SUMIFS(DataRegularSeason20242025!$AB$3:$AB$1315,DataRegularSeason20242025!$B$3:$B$1315, "&lt;=" &amp; L$1, DataRegularSeason20242025!$E$3:$E$1315, $A67)</f>
        <v>2</v>
      </c>
      <c r="M67">
        <f>SUMIFS(DataRegularSeason20242025!$AA$3:$AA$1315,DataRegularSeason20242025!$B$3:$B$1315, "&lt;=" &amp; M$1, DataRegularSeason20242025!$D$3:$D$1315, $A67)+SUMIFS(DataRegularSeason20242025!$AB$3:$AB$1315,DataRegularSeason20242025!$B$3:$B$1315, "&lt;=" &amp; M$1, DataRegularSeason20242025!$E$3:$E$1315, $A67)</f>
        <v>2</v>
      </c>
      <c r="N67">
        <f>SUMIFS(DataRegularSeason20242025!$AA$3:$AA$1315,DataRegularSeason20242025!$B$3:$B$1315, "&lt;=" &amp; N$1, DataRegularSeason20242025!$D$3:$D$1315, $A67)+SUMIFS(DataRegularSeason20242025!$AB$3:$AB$1315,DataRegularSeason20242025!$B$3:$B$1315, "&lt;=" &amp; N$1, DataRegularSeason20242025!$E$3:$E$1315, $A67)</f>
        <v>2</v>
      </c>
      <c r="O67">
        <f>SUMIFS(DataRegularSeason20242025!$AA$3:$AA$1315,DataRegularSeason20242025!$B$3:$B$1315, "&lt;=" &amp; O$1, DataRegularSeason20242025!$D$3:$D$1315, $A67)+SUMIFS(DataRegularSeason20242025!$AB$3:$AB$1315,DataRegularSeason20242025!$B$3:$B$1315, "&lt;=" &amp; O$1, DataRegularSeason20242025!$E$3:$E$1315, $A67)</f>
        <v>4</v>
      </c>
      <c r="P67">
        <f>SUMIFS(DataRegularSeason20242025!$AA$3:$AA$1315,DataRegularSeason20242025!$B$3:$B$1315, "&lt;=" &amp; P$1, DataRegularSeason20242025!$D$3:$D$1315, $A67)+SUMIFS(DataRegularSeason20242025!$AB$3:$AB$1315,DataRegularSeason20242025!$B$3:$B$1315, "&lt;=" &amp; P$1, DataRegularSeason20242025!$E$3:$E$1315, $A67)</f>
        <v>4</v>
      </c>
      <c r="Q67">
        <f>SUMIFS(DataRegularSeason20242025!$AA$3:$AA$1315,DataRegularSeason20242025!$B$3:$B$1315, "&lt;=" &amp; Q$1, DataRegularSeason20242025!$D$3:$D$1315, $A67)+SUMIFS(DataRegularSeason20242025!$AB$3:$AB$1315,DataRegularSeason20242025!$B$3:$B$1315, "&lt;=" &amp; Q$1, DataRegularSeason20242025!$E$3:$E$1315, $A67)</f>
        <v>4</v>
      </c>
      <c r="R67">
        <f>SUMIFS(DataRegularSeason20242025!$AA$3:$AA$1315,DataRegularSeason20242025!$B$3:$B$1315, "&lt;=" &amp; R$1, DataRegularSeason20242025!$D$3:$D$1315, $A67)+SUMIFS(DataRegularSeason20242025!$AB$3:$AB$1315,DataRegularSeason20242025!$B$3:$B$1315, "&lt;=" &amp; R$1, DataRegularSeason20242025!$E$3:$E$1315, $A67)</f>
        <v>4</v>
      </c>
      <c r="S67">
        <f>SUMIFS(DataRegularSeason20242025!$AA$3:$AA$1315,DataRegularSeason20242025!$B$3:$B$1315, "&lt;=" &amp; S$1, DataRegularSeason20242025!$D$3:$D$1315, $A67)+SUMIFS(DataRegularSeason20242025!$AB$3:$AB$1315,DataRegularSeason20242025!$B$3:$B$1315, "&lt;=" &amp; S$1, DataRegularSeason20242025!$E$3:$E$1315, $A67)</f>
        <v>4</v>
      </c>
      <c r="T67">
        <f>SUMIFS(DataRegularSeason20242025!$AA$3:$AA$1315,DataRegularSeason20242025!$B$3:$B$1315, "&lt;=" &amp; T$1, DataRegularSeason20242025!$D$3:$D$1315, $A67)+SUMIFS(DataRegularSeason20242025!$AB$3:$AB$1315,DataRegularSeason20242025!$B$3:$B$1315, "&lt;=" &amp; T$1, DataRegularSeason20242025!$E$3:$E$1315, $A67)</f>
        <v>5</v>
      </c>
      <c r="U67">
        <f>SUMIFS(DataRegularSeason20242025!$AA$3:$AA$1315,DataRegularSeason20242025!$B$3:$B$1315, "&lt;=" &amp; U$1, DataRegularSeason20242025!$D$3:$D$1315, $A67)+SUMIFS(DataRegularSeason20242025!$AB$3:$AB$1315,DataRegularSeason20242025!$B$3:$B$1315, "&lt;=" &amp; U$1, DataRegularSeason20242025!$E$3:$E$1315, $A67)</f>
        <v>5</v>
      </c>
      <c r="V67">
        <f>SUMIFS(DataRegularSeason20242025!$AA$3:$AA$1315,DataRegularSeason20242025!$B$3:$B$1315, "&lt;=" &amp; V$1, DataRegularSeason20242025!$D$3:$D$1315, $A67)+SUMIFS(DataRegularSeason20242025!$AB$3:$AB$1315,DataRegularSeason20242025!$B$3:$B$1315, "&lt;=" &amp; V$1, DataRegularSeason20242025!$E$3:$E$1315, $A67)</f>
        <v>7</v>
      </c>
      <c r="W67">
        <f>SUMIFS(DataRegularSeason20242025!$AA$3:$AA$1315,DataRegularSeason20242025!$B$3:$B$1315, "&lt;=" &amp; W$1, DataRegularSeason20242025!$D$3:$D$1315, $A67)+SUMIFS(DataRegularSeason20242025!$AB$3:$AB$1315,DataRegularSeason20242025!$B$3:$B$1315, "&lt;=" &amp; W$1, DataRegularSeason20242025!$E$3:$E$1315, $A67)</f>
        <v>7</v>
      </c>
      <c r="X67">
        <f>SUMIFS(DataRegularSeason20242025!$AA$3:$AA$1315,DataRegularSeason20242025!$B$3:$B$1315, "&lt;=" &amp; X$1, DataRegularSeason20242025!$D$3:$D$1315, $A67)+SUMIFS(DataRegularSeason20242025!$AB$3:$AB$1315,DataRegularSeason20242025!$B$3:$B$1315, "&lt;=" &amp; X$1, DataRegularSeason20242025!$E$3:$E$1315, $A67)</f>
        <v>7</v>
      </c>
      <c r="Y67">
        <f>SUMIFS(DataRegularSeason20242025!$AA$3:$AA$1315,DataRegularSeason20242025!$B$3:$B$1315, "&lt;=" &amp; Y$1, DataRegularSeason20242025!$D$3:$D$1315, $A67)+SUMIFS(DataRegularSeason20242025!$AB$3:$AB$1315,DataRegularSeason20242025!$B$3:$B$1315, "&lt;=" &amp; Y$1, DataRegularSeason20242025!$E$3:$E$1315, $A67)</f>
        <v>7</v>
      </c>
      <c r="Z67">
        <f>SUMIFS(DataRegularSeason20242025!$AA$3:$AA$1315,DataRegularSeason20242025!$B$3:$B$1315, "&lt;=" &amp; Z$1, DataRegularSeason20242025!$D$3:$D$1315, $A67)+SUMIFS(DataRegularSeason20242025!$AB$3:$AB$1315,DataRegularSeason20242025!$B$3:$B$1315, "&lt;=" &amp; Z$1, DataRegularSeason20242025!$E$3:$E$1315, $A67)</f>
        <v>7</v>
      </c>
      <c r="AA67">
        <f>SUMIFS(DataRegularSeason20242025!$AA$3:$AA$1315,DataRegularSeason20242025!$B$3:$B$1315, "&lt;=" &amp; AA$1, DataRegularSeason20242025!$D$3:$D$1315, $A67)+SUMIFS(DataRegularSeason20242025!$AB$3:$AB$1315,DataRegularSeason20242025!$B$3:$B$1315, "&lt;=" &amp; AA$1, DataRegularSeason20242025!$E$3:$E$1315, $A67)</f>
        <v>7</v>
      </c>
      <c r="AB67">
        <f>SUMIFS(DataRegularSeason20242025!$AA$3:$AA$1315,DataRegularSeason20242025!$B$3:$B$1315, "&lt;=" &amp; AB$1, DataRegularSeason20242025!$D$3:$D$1315, $A67)+SUMIFS(DataRegularSeason20242025!$AB$3:$AB$1315,DataRegularSeason20242025!$B$3:$B$1315, "&lt;=" &amp; AB$1, DataRegularSeason20242025!$E$3:$E$1315, $A67)</f>
        <v>7</v>
      </c>
      <c r="AC67">
        <f>SUMIFS(DataRegularSeason20242025!$AA$3:$AA$1315,DataRegularSeason20242025!$B$3:$B$1315, "&lt;=" &amp; AC$1, DataRegularSeason20242025!$D$3:$D$1315, $A67)+SUMIFS(DataRegularSeason20242025!$AB$3:$AB$1315,DataRegularSeason20242025!$B$3:$B$1315, "&lt;=" &amp; AC$1, DataRegularSeason20242025!$E$3:$E$1315, $A67)</f>
        <v>7</v>
      </c>
      <c r="AD67">
        <f>SUMIFS(DataRegularSeason20242025!$AA$3:$AA$1315,DataRegularSeason20242025!$B$3:$B$1315, "&lt;=" &amp; AD$1, DataRegularSeason20242025!$D$3:$D$1315, $A67)+SUMIFS(DataRegularSeason20242025!$AB$3:$AB$1315,DataRegularSeason20242025!$B$3:$B$1315, "&lt;=" &amp; AD$1, DataRegularSeason20242025!$E$3:$E$1315, $A67)</f>
        <v>7</v>
      </c>
      <c r="AE67">
        <f>SUMIFS(DataRegularSeason20242025!$AA$3:$AA$1315,DataRegularSeason20242025!$B$3:$B$1315, "&lt;=" &amp; AE$1, DataRegularSeason20242025!$D$3:$D$1315, $A67)+SUMIFS(DataRegularSeason20242025!$AB$3:$AB$1315,DataRegularSeason20242025!$B$3:$B$1315, "&lt;=" &amp; AE$1, DataRegularSeason20242025!$E$3:$E$1315, $A67)</f>
        <v>7</v>
      </c>
      <c r="AF67">
        <f>SUMIFS(DataRegularSeason20242025!$AA$3:$AA$1315,DataRegularSeason20242025!$B$3:$B$1315, "&lt;=" &amp; AF$1, DataRegularSeason20242025!$D$3:$D$1315, $A67)+SUMIFS(DataRegularSeason20242025!$AB$3:$AB$1315,DataRegularSeason20242025!$B$3:$B$1315, "&lt;=" &amp; AF$1, DataRegularSeason20242025!$E$3:$E$1315, $A67)</f>
        <v>7</v>
      </c>
      <c r="AG67">
        <f>SUMIFS(DataRegularSeason20242025!$AA$3:$AA$1315,DataRegularSeason20242025!$B$3:$B$1315, "&lt;=" &amp; AG$1, DataRegularSeason20242025!$D$3:$D$1315, $A67)+SUMIFS(DataRegularSeason20242025!$AB$3:$AB$1315,DataRegularSeason20242025!$B$3:$B$1315, "&lt;=" &amp; AG$1, DataRegularSeason20242025!$E$3:$E$1315, $A67)</f>
        <v>7</v>
      </c>
      <c r="AH67">
        <f>SUMIFS(DataRegularSeason20242025!$AA$3:$AA$1315,DataRegularSeason20242025!$B$3:$B$1315, "&lt;=" &amp; AH$1, DataRegularSeason20242025!$D$3:$D$1315, $A67)+SUMIFS(DataRegularSeason20242025!$AB$3:$AB$1315,DataRegularSeason20242025!$B$3:$B$1315, "&lt;=" &amp; AH$1, DataRegularSeason20242025!$E$3:$E$1315, $A67)</f>
        <v>7</v>
      </c>
      <c r="AI67">
        <f>SUMIFS(DataRegularSeason20242025!$AA$3:$AA$1315,DataRegularSeason20242025!$B$3:$B$1315, "&lt;=" &amp; AI$1, DataRegularSeason20242025!$D$3:$D$1315, $A67)+SUMIFS(DataRegularSeason20242025!$AB$3:$AB$1315,DataRegularSeason20242025!$B$3:$B$1315, "&lt;=" &amp; AI$1, DataRegularSeason20242025!$E$3:$E$1315, $A67)</f>
        <v>7</v>
      </c>
      <c r="AJ67">
        <f>SUMIFS(DataRegularSeason20242025!$AA$3:$AA$1315,DataRegularSeason20242025!$B$3:$B$1315, "&lt;=" &amp; AJ$1, DataRegularSeason20242025!$D$3:$D$1315, $A67)+SUMIFS(DataRegularSeason20242025!$AB$3:$AB$1315,DataRegularSeason20242025!$B$3:$B$1315, "&lt;=" &amp; AJ$1, DataRegularSeason20242025!$E$3:$E$1315, $A67)</f>
        <v>7</v>
      </c>
      <c r="AK67">
        <f>SUMIFS(DataRegularSeason20242025!$AA$3:$AA$1315,DataRegularSeason20242025!$B$3:$B$1315, "&lt;=" &amp; AK$1, DataRegularSeason20242025!$D$3:$D$1315, $A67)+SUMIFS(DataRegularSeason20242025!$AB$3:$AB$1315,DataRegularSeason20242025!$B$3:$B$1315, "&lt;=" &amp; AK$1, DataRegularSeason20242025!$E$3:$E$1315, $A67)</f>
        <v>7</v>
      </c>
      <c r="AL67">
        <f>SUMIFS(DataRegularSeason20242025!$AA$3:$AA$1315,DataRegularSeason20242025!$B$3:$B$1315, "&lt;=" &amp; AL$1, DataRegularSeason20242025!$D$3:$D$1315, $A67)+SUMIFS(DataRegularSeason20242025!$AB$3:$AB$1315,DataRegularSeason20242025!$B$3:$B$1315, "&lt;=" &amp; AL$1, DataRegularSeason20242025!$E$3:$E$1315, $A67)</f>
        <v>7</v>
      </c>
      <c r="AM67">
        <f>SUMIFS(DataRegularSeason20242025!$AA$3:$AA$1315,DataRegularSeason20242025!$B$3:$B$1315, "&lt;=" &amp; AM$1, DataRegularSeason20242025!$D$3:$D$1315, $A67)+SUMIFS(DataRegularSeason20242025!$AB$3:$AB$1315,DataRegularSeason20242025!$B$3:$B$1315, "&lt;=" &amp; AM$1, DataRegularSeason20242025!$E$3:$E$1315, $A67)</f>
        <v>7</v>
      </c>
      <c r="AN67">
        <f>SUMIFS(DataRegularSeason20242025!$AA$3:$AA$1315,DataRegularSeason20242025!$B$3:$B$1315, "&lt;=" &amp; AN$1, DataRegularSeason20242025!$D$3:$D$1315, $A67)+SUMIFS(DataRegularSeason20242025!$AB$3:$AB$1315,DataRegularSeason20242025!$B$3:$B$1315, "&lt;=" &amp; AN$1, DataRegularSeason20242025!$E$3:$E$1315, $A67)</f>
        <v>7</v>
      </c>
      <c r="AO67">
        <f>SUMIFS(DataRegularSeason20242025!$AA$3:$AA$1315,DataRegularSeason20242025!$B$3:$B$1315, "&lt;=" &amp; AO$1, DataRegularSeason20242025!$D$3:$D$1315, $A67)+SUMIFS(DataRegularSeason20242025!$AB$3:$AB$1315,DataRegularSeason20242025!$B$3:$B$1315, "&lt;=" &amp; AO$1, DataRegularSeason20242025!$E$3:$E$1315, $A67)</f>
        <v>7</v>
      </c>
      <c r="AP67">
        <f>SUMIFS(DataRegularSeason20242025!$AA$3:$AA$1315,DataRegularSeason20242025!$B$3:$B$1315, "&lt;=" &amp; AP$1, DataRegularSeason20242025!$D$3:$D$1315, $A67)+SUMIFS(DataRegularSeason20242025!$AB$3:$AB$1315,DataRegularSeason20242025!$B$3:$B$1315, "&lt;=" &amp; AP$1, DataRegularSeason20242025!$E$3:$E$1315, $A67)</f>
        <v>7</v>
      </c>
      <c r="AQ67">
        <f>SUMIFS(DataRegularSeason20242025!$AA$3:$AA$1315,DataRegularSeason20242025!$B$3:$B$1315, "&lt;=" &amp; AQ$1, DataRegularSeason20242025!$D$3:$D$1315, $A67)+SUMIFS(DataRegularSeason20242025!$AB$3:$AB$1315,DataRegularSeason20242025!$B$3:$B$1315, "&lt;=" &amp; AQ$1, DataRegularSeason20242025!$E$3:$E$1315, $A67)</f>
        <v>7</v>
      </c>
      <c r="AR67">
        <f>SUMIFS(DataRegularSeason20242025!$AA$3:$AA$1315,DataRegularSeason20242025!$B$3:$B$1315, "&lt;=" &amp; AR$1, DataRegularSeason20242025!$D$3:$D$1315, $A67)+SUMIFS(DataRegularSeason20242025!$AB$3:$AB$1315,DataRegularSeason20242025!$B$3:$B$1315, "&lt;=" &amp; AR$1, DataRegularSeason20242025!$E$3:$E$1315, $A67)</f>
        <v>7</v>
      </c>
      <c r="AS67">
        <f>SUMIFS(DataRegularSeason20242025!$AA$3:$AA$1315,DataRegularSeason20242025!$B$3:$B$1315, "&lt;=" &amp; AS$1, DataRegularSeason20242025!$D$3:$D$1315, $A67)+SUMIFS(DataRegularSeason20242025!$AB$3:$AB$1315,DataRegularSeason20242025!$B$3:$B$1315, "&lt;=" &amp; AS$1, DataRegularSeason20242025!$E$3:$E$1315, $A67)</f>
        <v>7</v>
      </c>
      <c r="AT67">
        <f>SUMIFS(DataRegularSeason20242025!$AA$3:$AA$1315,DataRegularSeason20242025!$B$3:$B$1315, "&lt;=" &amp; AT$1, DataRegularSeason20242025!$D$3:$D$1315, $A67)+SUMIFS(DataRegularSeason20242025!$AB$3:$AB$1315,DataRegularSeason20242025!$B$3:$B$1315, "&lt;=" &amp; AT$1, DataRegularSeason20242025!$E$3:$E$1315, $A67)</f>
        <v>7</v>
      </c>
      <c r="AU67">
        <f>SUMIFS(DataRegularSeason20242025!$AA$3:$AA$1315,DataRegularSeason20242025!$B$3:$B$1315, "&lt;=" &amp; AU$1, DataRegularSeason20242025!$D$3:$D$1315, $A67)+SUMIFS(DataRegularSeason20242025!$AB$3:$AB$1315,DataRegularSeason20242025!$B$3:$B$1315, "&lt;=" &amp; AU$1, DataRegularSeason20242025!$E$3:$E$1315, $A67)</f>
        <v>7</v>
      </c>
      <c r="AV67">
        <f>SUMIFS(DataRegularSeason20242025!$AA$3:$AA$1315,DataRegularSeason20242025!$B$3:$B$1315, "&lt;=" &amp; AV$1, DataRegularSeason20242025!$D$3:$D$1315, $A67)+SUMIFS(DataRegularSeason20242025!$AB$3:$AB$1315,DataRegularSeason20242025!$B$3:$B$1315, "&lt;=" &amp; AV$1, DataRegularSeason20242025!$E$3:$E$1315, $A67)</f>
        <v>7</v>
      </c>
      <c r="AW67">
        <f>SUMIFS(DataRegularSeason20242025!$AA$3:$AA$1315,DataRegularSeason20242025!$B$3:$B$1315, "&lt;=" &amp; AW$1, DataRegularSeason20242025!$D$3:$D$1315, $A67)+SUMIFS(DataRegularSeason20242025!$AB$3:$AB$1315,DataRegularSeason20242025!$B$3:$B$1315, "&lt;=" &amp; AW$1, DataRegularSeason20242025!$E$3:$E$1315, $A67)</f>
        <v>7</v>
      </c>
      <c r="AX67">
        <f>SUMIFS(DataRegularSeason20242025!$AA$3:$AA$1315,DataRegularSeason20242025!$B$3:$B$1315, "&lt;=" &amp; AX$1, DataRegularSeason20242025!$D$3:$D$1315, $A67)+SUMIFS(DataRegularSeason20242025!$AB$3:$AB$1315,DataRegularSeason20242025!$B$3:$B$1315, "&lt;=" &amp; AX$1, DataRegularSeason20242025!$E$3:$E$1315, $A67)</f>
        <v>7</v>
      </c>
      <c r="AY67">
        <f>SUMIFS(DataRegularSeason20242025!$AA$3:$AA$1315,DataRegularSeason20242025!$B$3:$B$1315, "&lt;=" &amp; AY$1, DataRegularSeason20242025!$D$3:$D$1315, $A67)+SUMIFS(DataRegularSeason20242025!$AB$3:$AB$1315,DataRegularSeason20242025!$B$3:$B$1315, "&lt;=" &amp; AY$1, DataRegularSeason20242025!$E$3:$E$1315, $A67)</f>
        <v>7</v>
      </c>
      <c r="AZ67">
        <f>SUMIFS(DataRegularSeason20242025!$AA$3:$AA$1315,DataRegularSeason20242025!$B$3:$B$1315, "&lt;=" &amp; AZ$1, DataRegularSeason20242025!$D$3:$D$1315, $A67)+SUMIFS(DataRegularSeason20242025!$AB$3:$AB$1315,DataRegularSeason20242025!$B$3:$B$1315, "&lt;=" &amp; AZ$1, DataRegularSeason20242025!$E$3:$E$1315, $A67)</f>
        <v>7</v>
      </c>
      <c r="BA67">
        <f>SUMIFS(DataRegularSeason20242025!$AA$3:$AA$1315,DataRegularSeason20242025!$B$3:$B$1315, "&lt;=" &amp; BA$1, DataRegularSeason20242025!$D$3:$D$1315, $A67)+SUMIFS(DataRegularSeason20242025!$AB$3:$AB$1315,DataRegularSeason20242025!$B$3:$B$1315, "&lt;=" &amp; BA$1, DataRegularSeason20242025!$E$3:$E$1315, $A67)</f>
        <v>7</v>
      </c>
      <c r="BB67">
        <f>SUMIFS(DataRegularSeason20242025!$AA$3:$AA$1315,DataRegularSeason20242025!$B$3:$B$1315, "&lt;=" &amp; BB$1, DataRegularSeason20242025!$D$3:$D$1315, $A67)+SUMIFS(DataRegularSeason20242025!$AB$3:$AB$1315,DataRegularSeason20242025!$B$3:$B$1315, "&lt;=" &amp; BB$1, DataRegularSeason20242025!$E$3:$E$1315, $A67)</f>
        <v>7</v>
      </c>
      <c r="BC67">
        <f>SUMIFS(DataRegularSeason20242025!$AA$3:$AA$1315,DataRegularSeason20242025!$B$3:$B$1315, "&lt;=" &amp; BC$1, DataRegularSeason20242025!$D$3:$D$1315, $A67)+SUMIFS(DataRegularSeason20242025!$AB$3:$AB$1315,DataRegularSeason20242025!$B$3:$B$1315, "&lt;=" &amp; BC$1, DataRegularSeason20242025!$E$3:$E$1315, $A67)</f>
        <v>7</v>
      </c>
      <c r="BD67">
        <f>SUMIFS(DataRegularSeason20242025!$AA$3:$AA$1315,DataRegularSeason20242025!$B$3:$B$1315, "&lt;=" &amp; BD$1, DataRegularSeason20242025!$D$3:$D$1315, $A67)+SUMIFS(DataRegularSeason20242025!$AB$3:$AB$1315,DataRegularSeason20242025!$B$3:$B$1315, "&lt;=" &amp; BD$1, DataRegularSeason20242025!$E$3:$E$1315, $A67)</f>
        <v>7</v>
      </c>
      <c r="BE67">
        <f>SUMIFS(DataRegularSeason20242025!$AA$3:$AA$1315,DataRegularSeason20242025!$B$3:$B$1315, "&lt;=" &amp; BE$1, DataRegularSeason20242025!$D$3:$D$1315, $A67)+SUMIFS(DataRegularSeason20242025!$AB$3:$AB$1315,DataRegularSeason20242025!$B$3:$B$1315, "&lt;=" &amp; BE$1, DataRegularSeason20242025!$E$3:$E$1315, $A67)</f>
        <v>7</v>
      </c>
      <c r="BF67">
        <f>SUMIFS(DataRegularSeason20242025!$AA$3:$AA$1315,DataRegularSeason20242025!$B$3:$B$1315, "&lt;=" &amp; BF$1, DataRegularSeason20242025!$D$3:$D$1315, $A67)+SUMIFS(DataRegularSeason20242025!$AB$3:$AB$1315,DataRegularSeason20242025!$B$3:$B$1315, "&lt;=" &amp; BF$1, DataRegularSeason20242025!$E$3:$E$1315, $A67)</f>
        <v>7</v>
      </c>
      <c r="BG67">
        <f>SUMIFS(DataRegularSeason20242025!$AA$3:$AA$1315,DataRegularSeason20242025!$B$3:$B$1315, "&lt;=" &amp; BG$1, DataRegularSeason20242025!$D$3:$D$1315, $A67)+SUMIFS(DataRegularSeason20242025!$AB$3:$AB$1315,DataRegularSeason20242025!$B$3:$B$1315, "&lt;=" &amp; BG$1, DataRegularSeason20242025!$E$3:$E$1315, $A67)</f>
        <v>7</v>
      </c>
      <c r="BH67">
        <f>SUMIFS(DataRegularSeason20242025!$AA$3:$AA$1315,DataRegularSeason20242025!$B$3:$B$1315, "&lt;=" &amp; BH$1, DataRegularSeason20242025!$D$3:$D$1315, $A67)+SUMIFS(DataRegularSeason20242025!$AB$3:$AB$1315,DataRegularSeason20242025!$B$3:$B$1315, "&lt;=" &amp; BH$1, DataRegularSeason20242025!$E$3:$E$1315, $A67)</f>
        <v>7</v>
      </c>
      <c r="BI67">
        <f>SUMIFS(DataRegularSeason20242025!$AA$3:$AA$1315,DataRegularSeason20242025!$B$3:$B$1315, "&lt;=" &amp; BI$1, DataRegularSeason20242025!$D$3:$D$1315, $A67)+SUMIFS(DataRegularSeason20242025!$AB$3:$AB$1315,DataRegularSeason20242025!$B$3:$B$1315, "&lt;=" &amp; BI$1, DataRegularSeason20242025!$E$3:$E$1315, $A67)</f>
        <v>7</v>
      </c>
      <c r="BJ67">
        <f>SUMIFS(DataRegularSeason20242025!$AA$3:$AA$1315,DataRegularSeason20242025!$B$3:$B$1315, "&lt;=" &amp; BJ$1, DataRegularSeason20242025!$D$3:$D$1315, $A67)+SUMIFS(DataRegularSeason20242025!$AB$3:$AB$1315,DataRegularSeason20242025!$B$3:$B$1315, "&lt;=" &amp; BJ$1, DataRegularSeason20242025!$E$3:$E$1315, $A67)</f>
        <v>7</v>
      </c>
      <c r="BK67">
        <f>SUMIFS(DataRegularSeason20242025!$AA$3:$AA$1315,DataRegularSeason20242025!$B$3:$B$1315, "&lt;=" &amp; BK$1, DataRegularSeason20242025!$D$3:$D$1315, $A67)+SUMIFS(DataRegularSeason20242025!$AB$3:$AB$1315,DataRegularSeason20242025!$B$3:$B$1315, "&lt;=" &amp; BK$1, DataRegularSeason20242025!$E$3:$E$1315, $A67)</f>
        <v>7</v>
      </c>
      <c r="BL67">
        <f>SUMIFS(DataRegularSeason20242025!$AA$3:$AA$1315,DataRegularSeason20242025!$B$3:$B$1315, "&lt;=" &amp; BL$1, DataRegularSeason20242025!$D$3:$D$1315, $A67)+SUMIFS(DataRegularSeason20242025!$AB$3:$AB$1315,DataRegularSeason20242025!$B$3:$B$1315, "&lt;=" &amp; BL$1, DataRegularSeason20242025!$E$3:$E$1315, $A67)</f>
        <v>7</v>
      </c>
      <c r="BM67">
        <f>SUMIFS(DataRegularSeason20242025!$AA$3:$AA$1315,DataRegularSeason20242025!$B$3:$B$1315, "&lt;=" &amp; BM$1, DataRegularSeason20242025!$D$3:$D$1315, $A67)+SUMIFS(DataRegularSeason20242025!$AB$3:$AB$1315,DataRegularSeason20242025!$B$3:$B$1315, "&lt;=" &amp; BM$1, DataRegularSeason20242025!$E$3:$E$1315, $A67)</f>
        <v>7</v>
      </c>
      <c r="BN67">
        <f>SUMIFS(DataRegularSeason20242025!$AA$3:$AA$1315,DataRegularSeason20242025!$B$3:$B$1315, "&lt;=" &amp; BN$1, DataRegularSeason20242025!$D$3:$D$1315, $A67)+SUMIFS(DataRegularSeason20242025!$AB$3:$AB$1315,DataRegularSeason20242025!$B$3:$B$1315, "&lt;=" &amp; BN$1, DataRegularSeason20242025!$E$3:$E$1315, $A67)</f>
        <v>7</v>
      </c>
      <c r="BO67">
        <f>SUMIFS(DataRegularSeason20242025!$AA$3:$AA$1315,DataRegularSeason20242025!$B$3:$B$1315, "&lt;=" &amp; BO$1, DataRegularSeason20242025!$D$3:$D$1315, $A67)+SUMIFS(DataRegularSeason20242025!$AB$3:$AB$1315,DataRegularSeason20242025!$B$3:$B$1315, "&lt;=" &amp; BO$1, DataRegularSeason20242025!$E$3:$E$1315, $A67)</f>
        <v>7</v>
      </c>
      <c r="BP67">
        <f>SUMIFS(DataRegularSeason20242025!$AA$3:$AA$1315,DataRegularSeason20242025!$B$3:$B$1315, "&lt;=" &amp; BP$1, DataRegularSeason20242025!$D$3:$D$1315, $A67)+SUMIFS(DataRegularSeason20242025!$AB$3:$AB$1315,DataRegularSeason20242025!$B$3:$B$1315, "&lt;=" &amp; BP$1, DataRegularSeason20242025!$E$3:$E$1315, $A67)</f>
        <v>7</v>
      </c>
      <c r="BQ67">
        <f>SUMIFS(DataRegularSeason20242025!$AA$3:$AA$1315,DataRegularSeason20242025!$B$3:$B$1315, "&lt;=" &amp; BQ$1, DataRegularSeason20242025!$D$3:$D$1315, $A67)+SUMIFS(DataRegularSeason20242025!$AB$3:$AB$1315,DataRegularSeason20242025!$B$3:$B$1315, "&lt;=" &amp; BQ$1, DataRegularSeason20242025!$E$3:$E$1315, $A67)</f>
        <v>7</v>
      </c>
      <c r="BR67">
        <f>SUMIFS(DataRegularSeason20242025!$AA$3:$AA$1315,DataRegularSeason20242025!$B$3:$B$1315, "&lt;=" &amp; BR$1, DataRegularSeason20242025!$D$3:$D$1315, $A67)+SUMIFS(DataRegularSeason20242025!$AB$3:$AB$1315,DataRegularSeason20242025!$B$3:$B$1315, "&lt;=" &amp; BR$1, DataRegularSeason20242025!$E$3:$E$1315, $A67)</f>
        <v>7</v>
      </c>
      <c r="BS67">
        <f>SUMIFS(DataRegularSeason20242025!$AA$3:$AA$1315,DataRegularSeason20242025!$B$3:$B$1315, "&lt;=" &amp; BS$1, DataRegularSeason20242025!$D$3:$D$1315, $A67)+SUMIFS(DataRegularSeason20242025!$AB$3:$AB$1315,DataRegularSeason20242025!$B$3:$B$1315, "&lt;=" &amp; BS$1, DataRegularSeason20242025!$E$3:$E$1315, $A67)</f>
        <v>7</v>
      </c>
      <c r="BT67">
        <f>SUMIFS(DataRegularSeason20242025!$AA$3:$AA$1315,DataRegularSeason20242025!$B$3:$B$1315, "&lt;=" &amp; BT$1, DataRegularSeason20242025!$D$3:$D$1315, $A67)+SUMIFS(DataRegularSeason20242025!$AB$3:$AB$1315,DataRegularSeason20242025!$B$3:$B$1315, "&lt;=" &amp; BT$1, DataRegularSeason20242025!$E$3:$E$1315, $A67)</f>
        <v>7</v>
      </c>
      <c r="BU67">
        <f>SUMIFS(DataRegularSeason20242025!$AA$3:$AA$1315,DataRegularSeason20242025!$B$3:$B$1315, "&lt;=" &amp; BU$1, DataRegularSeason20242025!$D$3:$D$1315, $A67)+SUMIFS(DataRegularSeason20242025!$AB$3:$AB$1315,DataRegularSeason20242025!$B$3:$B$1315, "&lt;=" &amp; BU$1, DataRegularSeason20242025!$E$3:$E$1315, $A67)</f>
        <v>7</v>
      </c>
      <c r="BV67">
        <f>SUMIFS(DataRegularSeason20242025!$AA$3:$AA$1315,DataRegularSeason20242025!$B$3:$B$1315, "&lt;=" &amp; BV$1, DataRegularSeason20242025!$D$3:$D$1315, $A67)+SUMIFS(DataRegularSeason20242025!$AB$3:$AB$1315,DataRegularSeason20242025!$B$3:$B$1315, "&lt;=" &amp; BV$1, DataRegularSeason20242025!$E$3:$E$1315, $A67)</f>
        <v>7</v>
      </c>
      <c r="BW67">
        <f>SUMIFS(DataRegularSeason20242025!$AA$3:$AA$1315,DataRegularSeason20242025!$B$3:$B$1315, "&lt;=" &amp; BW$1, DataRegularSeason20242025!$D$3:$D$1315, $A67)+SUMIFS(DataRegularSeason20242025!$AB$3:$AB$1315,DataRegularSeason20242025!$B$3:$B$1315, "&lt;=" &amp; BW$1, DataRegularSeason20242025!$E$3:$E$1315, $A67)</f>
        <v>7</v>
      </c>
      <c r="BX67">
        <f>SUMIFS(DataRegularSeason20242025!$AA$3:$AA$1315,DataRegularSeason20242025!$B$3:$B$1315, "&lt;=" &amp; BX$1, DataRegularSeason20242025!$D$3:$D$1315, $A67)+SUMIFS(DataRegularSeason20242025!$AB$3:$AB$1315,DataRegularSeason20242025!$B$3:$B$1315, "&lt;=" &amp; BX$1, DataRegularSeason20242025!$E$3:$E$1315, $A67)</f>
        <v>7</v>
      </c>
      <c r="BY67">
        <f>SUMIFS(DataRegularSeason20242025!$AA$3:$AA$1315,DataRegularSeason20242025!$B$3:$B$1315, "&lt;=" &amp; BY$1, DataRegularSeason20242025!$D$3:$D$1315, $A67)+SUMIFS(DataRegularSeason20242025!$AB$3:$AB$1315,DataRegularSeason20242025!$B$3:$B$1315, "&lt;=" &amp; BY$1, DataRegularSeason20242025!$E$3:$E$1315, $A67)</f>
        <v>7</v>
      </c>
      <c r="BZ67">
        <f>SUMIFS(DataRegularSeason20242025!$AA$3:$AA$1315,DataRegularSeason20242025!$B$3:$B$1315, "&lt;=" &amp; BZ$1, DataRegularSeason20242025!$D$3:$D$1315, $A67)+SUMIFS(DataRegularSeason20242025!$AB$3:$AB$1315,DataRegularSeason20242025!$B$3:$B$1315, "&lt;=" &amp; BZ$1, DataRegularSeason20242025!$E$3:$E$1315, $A67)</f>
        <v>7</v>
      </c>
      <c r="CA67">
        <f>SUMIFS(DataRegularSeason20242025!$AA$3:$AA$1315,DataRegularSeason20242025!$B$3:$B$1315, "&lt;=" &amp; CA$1, DataRegularSeason20242025!$D$3:$D$1315, $A67)+SUMIFS(DataRegularSeason20242025!$AB$3:$AB$1315,DataRegularSeason20242025!$B$3:$B$1315, "&lt;=" &amp; CA$1, DataRegularSeason20242025!$E$3:$E$1315, $A67)</f>
        <v>7</v>
      </c>
      <c r="CB67">
        <f>SUMIFS(DataRegularSeason20242025!$AA$3:$AA$1315,DataRegularSeason20242025!$B$3:$B$1315, "&lt;=" &amp; CB$1, DataRegularSeason20242025!$D$3:$D$1315, $A67)+SUMIFS(DataRegularSeason20242025!$AB$3:$AB$1315,DataRegularSeason20242025!$B$3:$B$1315, "&lt;=" &amp; CB$1, DataRegularSeason20242025!$E$3:$E$1315, $A67)</f>
        <v>7</v>
      </c>
      <c r="CC67">
        <f>SUMIFS(DataRegularSeason20242025!$AA$3:$AA$1315,DataRegularSeason20242025!$B$3:$B$1315, "&lt;=" &amp; CC$1, DataRegularSeason20242025!$D$3:$D$1315, $A67)+SUMIFS(DataRegularSeason20242025!$AB$3:$AB$1315,DataRegularSeason20242025!$B$3:$B$1315, "&lt;=" &amp; CC$1, DataRegularSeason20242025!$E$3:$E$1315, $A67)</f>
        <v>7</v>
      </c>
      <c r="CD67">
        <f>SUMIFS(DataRegularSeason20242025!$AA$3:$AA$1315,DataRegularSeason20242025!$B$3:$B$1315, "&lt;=" &amp; CD$1, DataRegularSeason20242025!$D$3:$D$1315, $A67)+SUMIFS(DataRegularSeason20242025!$AB$3:$AB$1315,DataRegularSeason20242025!$B$3:$B$1315, "&lt;=" &amp; CD$1, DataRegularSeason20242025!$E$3:$E$1315, $A67)</f>
        <v>7</v>
      </c>
      <c r="CE67">
        <f>SUMIFS(DataRegularSeason20242025!$AA$3:$AA$1315,DataRegularSeason20242025!$B$3:$B$1315, "&lt;=" &amp; CE$1, DataRegularSeason20242025!$D$3:$D$1315, $A67)+SUMIFS(DataRegularSeason20242025!$AB$3:$AB$1315,DataRegularSeason20242025!$B$3:$B$1315, "&lt;=" &amp; CE$1, DataRegularSeason20242025!$E$3:$E$1315, $A67)</f>
        <v>7</v>
      </c>
      <c r="CF67">
        <f>SUMIFS(DataRegularSeason20242025!$AA$3:$AA$1315,DataRegularSeason20242025!$B$3:$B$1315, "&lt;=" &amp; CF$1, DataRegularSeason20242025!$D$3:$D$1315, $A67)+SUMIFS(DataRegularSeason20242025!$AB$3:$AB$1315,DataRegularSeason20242025!$B$3:$B$1315, "&lt;=" &amp; CF$1, DataRegularSeason20242025!$E$3:$E$1315, $A67)</f>
        <v>7</v>
      </c>
      <c r="CG67">
        <f>SUMIFS(DataRegularSeason20242025!$AA$3:$AA$1315,DataRegularSeason20242025!$B$3:$B$1315, "&lt;=" &amp; CG$1, DataRegularSeason20242025!$D$3:$D$1315, $A67)+SUMIFS(DataRegularSeason20242025!$AB$3:$AB$1315,DataRegularSeason20242025!$B$3:$B$1315, "&lt;=" &amp; CG$1, DataRegularSeason20242025!$E$3:$E$1315, $A67)</f>
        <v>7</v>
      </c>
      <c r="CH67">
        <f>SUMIFS(DataRegularSeason20242025!$AA$3:$AA$1315,DataRegularSeason20242025!$B$3:$B$1315, "&lt;=" &amp; CH$1, DataRegularSeason20242025!$D$3:$D$1315, $A67)+SUMIFS(DataRegularSeason20242025!$AB$3:$AB$1315,DataRegularSeason20242025!$B$3:$B$1315, "&lt;=" &amp; CH$1, DataRegularSeason20242025!$E$3:$E$1315, $A67)</f>
        <v>7</v>
      </c>
      <c r="CI67">
        <f>SUMIFS(DataRegularSeason20242025!$AA$3:$AA$1315,DataRegularSeason20242025!$B$3:$B$1315, "&lt;=" &amp; CI$1, DataRegularSeason20242025!$D$3:$D$1315, $A67)+SUMIFS(DataRegularSeason20242025!$AB$3:$AB$1315,DataRegularSeason20242025!$B$3:$B$1315, "&lt;=" &amp; CI$1, DataRegularSeason20242025!$E$3:$E$1315, $A67)</f>
        <v>7</v>
      </c>
      <c r="CJ67">
        <f>SUMIFS(DataRegularSeason20242025!$AA$3:$AA$1315,DataRegularSeason20242025!$B$3:$B$1315, "&lt;=" &amp; CJ$1, DataRegularSeason20242025!$D$3:$D$1315, $A67)+SUMIFS(DataRegularSeason20242025!$AB$3:$AB$1315,DataRegularSeason20242025!$B$3:$B$1315, "&lt;=" &amp; CJ$1, DataRegularSeason20242025!$E$3:$E$1315, $A67)</f>
        <v>7</v>
      </c>
      <c r="CK67">
        <f>SUMIFS(DataRegularSeason20242025!$AA$3:$AA$1315,DataRegularSeason20242025!$B$3:$B$1315, "&lt;=" &amp; CK$1, DataRegularSeason20242025!$D$3:$D$1315, $A67)+SUMIFS(DataRegularSeason20242025!$AB$3:$AB$1315,DataRegularSeason20242025!$B$3:$B$1315, "&lt;=" &amp; CK$1, DataRegularSeason20242025!$E$3:$E$1315, $A67)</f>
        <v>7</v>
      </c>
      <c r="CL67">
        <f>SUMIFS(DataRegularSeason20242025!$AA$3:$AA$1315,DataRegularSeason20242025!$B$3:$B$1315, "&lt;=" &amp; CL$1, DataRegularSeason20242025!$D$3:$D$1315, $A67)+SUMIFS(DataRegularSeason20242025!$AB$3:$AB$1315,DataRegularSeason20242025!$B$3:$B$1315, "&lt;=" &amp; CL$1, DataRegularSeason20242025!$E$3:$E$1315, $A67)</f>
        <v>7</v>
      </c>
      <c r="CM67">
        <f>SUMIFS(DataRegularSeason20242025!$AA$3:$AA$1315,DataRegularSeason20242025!$B$3:$B$1315, "&lt;=" &amp; CM$1, DataRegularSeason20242025!$D$3:$D$1315, $A67)+SUMIFS(DataRegularSeason20242025!$AB$3:$AB$1315,DataRegularSeason20242025!$B$3:$B$1315, "&lt;=" &amp; CM$1, DataRegularSeason20242025!$E$3:$E$1315, $A67)</f>
        <v>7</v>
      </c>
      <c r="CN67">
        <f>SUMIFS(DataRegularSeason20242025!$AA$3:$AA$1315,DataRegularSeason20242025!$B$3:$B$1315, "&lt;=" &amp; CN$1, DataRegularSeason20242025!$D$3:$D$1315, $A67)+SUMIFS(DataRegularSeason20242025!$AB$3:$AB$1315,DataRegularSeason20242025!$B$3:$B$1315, "&lt;=" &amp; CN$1, DataRegularSeason20242025!$E$3:$E$1315, $A67)</f>
        <v>7</v>
      </c>
      <c r="CO67">
        <f>SUMIFS(DataRegularSeason20242025!$AA$3:$AA$1315,DataRegularSeason20242025!$B$3:$B$1315, "&lt;=" &amp; CO$1, DataRegularSeason20242025!$D$3:$D$1315, $A67)+SUMIFS(DataRegularSeason20242025!$AB$3:$AB$1315,DataRegularSeason20242025!$B$3:$B$1315, "&lt;=" &amp; CO$1, DataRegularSeason20242025!$E$3:$E$1315, $A67)</f>
        <v>7</v>
      </c>
      <c r="CP67">
        <f>SUMIFS(DataRegularSeason20242025!$AA$3:$AA$1315,DataRegularSeason20242025!$B$3:$B$1315, "&lt;=" &amp; CP$1, DataRegularSeason20242025!$D$3:$D$1315, $A67)+SUMIFS(DataRegularSeason20242025!$AB$3:$AB$1315,DataRegularSeason20242025!$B$3:$B$1315, "&lt;=" &amp; CP$1, DataRegularSeason20242025!$E$3:$E$1315, $A67)</f>
        <v>7</v>
      </c>
      <c r="CQ67">
        <f>SUMIFS(DataRegularSeason20242025!$AA$3:$AA$1315,DataRegularSeason20242025!$B$3:$B$1315, "&lt;=" &amp; CQ$1, DataRegularSeason20242025!$D$3:$D$1315, $A67)+SUMIFS(DataRegularSeason20242025!$AB$3:$AB$1315,DataRegularSeason20242025!$B$3:$B$1315, "&lt;=" &amp; CQ$1, DataRegularSeason20242025!$E$3:$E$1315, $A67)</f>
        <v>7</v>
      </c>
      <c r="CR67">
        <f>SUMIFS(DataRegularSeason20242025!$AA$3:$AA$1315,DataRegularSeason20242025!$B$3:$B$1315, "&lt;=" &amp; CR$1, DataRegularSeason20242025!$D$3:$D$1315, $A67)+SUMIFS(DataRegularSeason20242025!$AB$3:$AB$1315,DataRegularSeason20242025!$B$3:$B$1315, "&lt;=" &amp; CR$1, DataRegularSeason20242025!$E$3:$E$1315, $A67)</f>
        <v>7</v>
      </c>
      <c r="CS67">
        <f>SUMIFS(DataRegularSeason20242025!$AA$3:$AA$1315,DataRegularSeason20242025!$B$3:$B$1315, "&lt;=" &amp; CS$1, DataRegularSeason20242025!$D$3:$D$1315, $A67)+SUMIFS(DataRegularSeason20242025!$AB$3:$AB$1315,DataRegularSeason20242025!$B$3:$B$1315, "&lt;=" &amp; CS$1, DataRegularSeason20242025!$E$3:$E$1315, $A67)</f>
        <v>7</v>
      </c>
      <c r="CT67">
        <f>SUMIFS(DataRegularSeason20242025!$AA$3:$AA$1315,DataRegularSeason20242025!$B$3:$B$1315, "&lt;=" &amp; CT$1, DataRegularSeason20242025!$D$3:$D$1315, $A67)+SUMIFS(DataRegularSeason20242025!$AB$3:$AB$1315,DataRegularSeason20242025!$B$3:$B$1315, "&lt;=" &amp; CT$1, DataRegularSeason20242025!$E$3:$E$1315, $A67)</f>
        <v>7</v>
      </c>
      <c r="CU67">
        <f>SUMIFS(DataRegularSeason20242025!$AA$3:$AA$1315,DataRegularSeason20242025!$B$3:$B$1315, "&lt;=" &amp; CU$1, DataRegularSeason20242025!$D$3:$D$1315, $A67)+SUMIFS(DataRegularSeason20242025!$AB$3:$AB$1315,DataRegularSeason20242025!$B$3:$B$1315, "&lt;=" &amp; CU$1, DataRegularSeason20242025!$E$3:$E$1315, $A67)</f>
        <v>7</v>
      </c>
      <c r="CV67">
        <f>SUMIFS(DataRegularSeason20242025!$AA$3:$AA$1315,DataRegularSeason20242025!$B$3:$B$1315, "&lt;=" &amp; CV$1, DataRegularSeason20242025!$D$3:$D$1315, $A67)+SUMIFS(DataRegularSeason20242025!$AB$3:$AB$1315,DataRegularSeason20242025!$B$3:$B$1315, "&lt;=" &amp; CV$1, DataRegularSeason20242025!$E$3:$E$1315, $A67)</f>
        <v>7</v>
      </c>
      <c r="CW67">
        <f>SUMIFS(DataRegularSeason20242025!$AA$3:$AA$1315,DataRegularSeason20242025!$B$3:$B$1315, "&lt;=" &amp; CW$1, DataRegularSeason20242025!$D$3:$D$1315, $A67)+SUMIFS(DataRegularSeason20242025!$AB$3:$AB$1315,DataRegularSeason20242025!$B$3:$B$1315, "&lt;=" &amp; CW$1, DataRegularSeason20242025!$E$3:$E$1315, $A67)</f>
        <v>7</v>
      </c>
      <c r="CX67">
        <f>SUMIFS(DataRegularSeason20242025!$AA$3:$AA$1315,DataRegularSeason20242025!$B$3:$B$1315, "&lt;=" &amp; CX$1, DataRegularSeason20242025!$D$3:$D$1315, $A67)+SUMIFS(DataRegularSeason20242025!$AB$3:$AB$1315,DataRegularSeason20242025!$B$3:$B$1315, "&lt;=" &amp; CX$1, DataRegularSeason20242025!$E$3:$E$1315, $A67)</f>
        <v>7</v>
      </c>
      <c r="CY67">
        <f>SUMIFS(DataRegularSeason20242025!$AA$3:$AA$1315,DataRegularSeason20242025!$B$3:$B$1315, "&lt;=" &amp; CY$1, DataRegularSeason20242025!$D$3:$D$1315, $A67)+SUMIFS(DataRegularSeason20242025!$AB$3:$AB$1315,DataRegularSeason20242025!$B$3:$B$1315, "&lt;=" &amp; CY$1, DataRegularSeason20242025!$E$3:$E$1315, $A67)</f>
        <v>7</v>
      </c>
      <c r="CZ67">
        <f>SUMIFS(DataRegularSeason20242025!$AA$3:$AA$1315,DataRegularSeason20242025!$B$3:$B$1315, "&lt;=" &amp; CZ$1, DataRegularSeason20242025!$D$3:$D$1315, $A67)+SUMIFS(DataRegularSeason20242025!$AB$3:$AB$1315,DataRegularSeason20242025!$B$3:$B$1315, "&lt;=" &amp; CZ$1, DataRegularSeason20242025!$E$3:$E$1315, $A67)</f>
        <v>7</v>
      </c>
      <c r="DA67">
        <f>SUMIFS(DataRegularSeason20242025!$AA$3:$AA$1315,DataRegularSeason20242025!$B$3:$B$1315, "&lt;=" &amp; DA$1, DataRegularSeason20242025!$D$3:$D$1315, $A67)+SUMIFS(DataRegularSeason20242025!$AB$3:$AB$1315,DataRegularSeason20242025!$B$3:$B$1315, "&lt;=" &amp; DA$1, DataRegularSeason20242025!$E$3:$E$1315, $A67)</f>
        <v>7</v>
      </c>
      <c r="DB67">
        <f>SUMIFS(DataRegularSeason20242025!$AA$3:$AA$1315,DataRegularSeason20242025!$B$3:$B$1315, "&lt;=" &amp; DB$1, DataRegularSeason20242025!$D$3:$D$1315, $A67)+SUMIFS(DataRegularSeason20242025!$AB$3:$AB$1315,DataRegularSeason20242025!$B$3:$B$1315, "&lt;=" &amp; DB$1, DataRegularSeason20242025!$E$3:$E$1315, $A67)</f>
        <v>7</v>
      </c>
      <c r="DC67">
        <f>SUMIFS(DataRegularSeason20242025!$AA$3:$AA$1315,DataRegularSeason20242025!$B$3:$B$1315, "&lt;=" &amp; DC$1, DataRegularSeason20242025!$D$3:$D$1315, $A67)+SUMIFS(DataRegularSeason20242025!$AB$3:$AB$1315,DataRegularSeason20242025!$B$3:$B$1315, "&lt;=" &amp; DC$1, DataRegularSeason20242025!$E$3:$E$1315, $A67)</f>
        <v>7</v>
      </c>
      <c r="DD67">
        <f>SUMIFS(DataRegularSeason20242025!$AA$3:$AA$1315,DataRegularSeason20242025!$B$3:$B$1315, "&lt;=" &amp; DD$1, DataRegularSeason20242025!$D$3:$D$1315, $A67)+SUMIFS(DataRegularSeason20242025!$AB$3:$AB$1315,DataRegularSeason20242025!$B$3:$B$1315, "&lt;=" &amp; DD$1, DataRegularSeason20242025!$E$3:$E$1315, $A67)</f>
        <v>7</v>
      </c>
      <c r="DE67">
        <f>SUMIFS(DataRegularSeason20242025!$AA$3:$AA$1315,DataRegularSeason20242025!$B$3:$B$1315, "&lt;=" &amp; DE$1, DataRegularSeason20242025!$D$3:$D$1315, $A67)+SUMIFS(DataRegularSeason20242025!$AB$3:$AB$1315,DataRegularSeason20242025!$B$3:$B$1315, "&lt;=" &amp; DE$1, DataRegularSeason20242025!$E$3:$E$1315, $A67)</f>
        <v>7</v>
      </c>
      <c r="DF67">
        <f>SUMIFS(DataRegularSeason20242025!$AA$3:$AA$1315,DataRegularSeason20242025!$B$3:$B$1315, "&lt;=" &amp; DF$1, DataRegularSeason20242025!$D$3:$D$1315, $A67)+SUMIFS(DataRegularSeason20242025!$AB$3:$AB$1315,DataRegularSeason20242025!$B$3:$B$1315, "&lt;=" &amp; DF$1, DataRegularSeason20242025!$E$3:$E$1315, $A67)</f>
        <v>7</v>
      </c>
      <c r="DG67">
        <f>SUMIFS(DataRegularSeason20242025!$AA$3:$AA$1315,DataRegularSeason20242025!$B$3:$B$1315, "&lt;=" &amp; DG$1, DataRegularSeason20242025!$D$3:$D$1315, $A67)+SUMIFS(DataRegularSeason20242025!$AB$3:$AB$1315,DataRegularSeason20242025!$B$3:$B$1315, "&lt;=" &amp; DG$1, DataRegularSeason20242025!$E$3:$E$1315, $A67)</f>
        <v>7</v>
      </c>
      <c r="DH67">
        <f>SUMIFS(DataRegularSeason20242025!$AA$3:$AA$1315,DataRegularSeason20242025!$B$3:$B$1315, "&lt;=" &amp; DH$1, DataRegularSeason20242025!$D$3:$D$1315, $A67)+SUMIFS(DataRegularSeason20242025!$AB$3:$AB$1315,DataRegularSeason20242025!$B$3:$B$1315, "&lt;=" &amp; DH$1, DataRegularSeason20242025!$E$3:$E$1315, $A67)</f>
        <v>7</v>
      </c>
      <c r="DI67">
        <f>SUMIFS(DataRegularSeason20242025!$AA$3:$AA$1315,DataRegularSeason20242025!$B$3:$B$1315, "&lt;=" &amp; DI$1, DataRegularSeason20242025!$D$3:$D$1315, $A67)+SUMIFS(DataRegularSeason20242025!$AB$3:$AB$1315,DataRegularSeason20242025!$B$3:$B$1315, "&lt;=" &amp; DI$1, DataRegularSeason20242025!$E$3:$E$1315, $A67)</f>
        <v>7</v>
      </c>
      <c r="DJ67">
        <f>SUMIFS(DataRegularSeason20242025!$AA$3:$AA$1315,DataRegularSeason20242025!$B$3:$B$1315, "&lt;=" &amp; DJ$1, DataRegularSeason20242025!$D$3:$D$1315, $A67)+SUMIFS(DataRegularSeason20242025!$AB$3:$AB$1315,DataRegularSeason20242025!$B$3:$B$1315, "&lt;=" &amp; DJ$1, DataRegularSeason20242025!$E$3:$E$1315, $A67)</f>
        <v>7</v>
      </c>
      <c r="DK67">
        <f>SUMIFS(DataRegularSeason20242025!$AA$3:$AA$1315,DataRegularSeason20242025!$B$3:$B$1315, "&lt;=" &amp; DK$1, DataRegularSeason20242025!$D$3:$D$1315, $A67)+SUMIFS(DataRegularSeason20242025!$AB$3:$AB$1315,DataRegularSeason20242025!$B$3:$B$1315, "&lt;=" &amp; DK$1, DataRegularSeason20242025!$E$3:$E$1315, $A67)</f>
        <v>7</v>
      </c>
      <c r="DL67">
        <f>SUMIFS(DataRegularSeason20242025!$AA$3:$AA$1315,DataRegularSeason20242025!$B$3:$B$1315, "&lt;=" &amp; DL$1, DataRegularSeason20242025!$D$3:$D$1315, $A67)+SUMIFS(DataRegularSeason20242025!$AB$3:$AB$1315,DataRegularSeason20242025!$B$3:$B$1315, "&lt;=" &amp; DL$1, DataRegularSeason20242025!$E$3:$E$1315, $A67)</f>
        <v>7</v>
      </c>
      <c r="DM67">
        <f>SUMIFS(DataRegularSeason20242025!$AA$3:$AA$1315,DataRegularSeason20242025!$B$3:$B$1315, "&lt;=" &amp; DM$1, DataRegularSeason20242025!$D$3:$D$1315, $A67)+SUMIFS(DataRegularSeason20242025!$AB$3:$AB$1315,DataRegularSeason20242025!$B$3:$B$1315, "&lt;=" &amp; DM$1, DataRegularSeason20242025!$E$3:$E$1315, $A67)</f>
        <v>7</v>
      </c>
      <c r="DN67">
        <f>SUMIFS(DataRegularSeason20242025!$AA$3:$AA$1315,DataRegularSeason20242025!$B$3:$B$1315, "&lt;=" &amp; DN$1, DataRegularSeason20242025!$D$3:$D$1315, $A67)+SUMIFS(DataRegularSeason20242025!$AB$3:$AB$1315,DataRegularSeason20242025!$B$3:$B$1315, "&lt;=" &amp; DN$1, DataRegularSeason20242025!$E$3:$E$1315, $A67)</f>
        <v>7</v>
      </c>
      <c r="DO67">
        <f>SUMIFS(DataRegularSeason20242025!$AA$3:$AA$1315,DataRegularSeason20242025!$B$3:$B$1315, "&lt;=" &amp; DO$1, DataRegularSeason20242025!$D$3:$D$1315, $A67)+SUMIFS(DataRegularSeason20242025!$AB$3:$AB$1315,DataRegularSeason20242025!$B$3:$B$1315, "&lt;=" &amp; DO$1, DataRegularSeason20242025!$E$3:$E$1315, $A67)</f>
        <v>7</v>
      </c>
      <c r="DP67">
        <f>SUMIFS(DataRegularSeason20242025!$AA$3:$AA$1315,DataRegularSeason20242025!$B$3:$B$1315, "&lt;=" &amp; DP$1, DataRegularSeason20242025!$D$3:$D$1315, $A67)+SUMIFS(DataRegularSeason20242025!$AB$3:$AB$1315,DataRegularSeason20242025!$B$3:$B$1315, "&lt;=" &amp; DP$1, DataRegularSeason20242025!$E$3:$E$1315, $A67)</f>
        <v>7</v>
      </c>
      <c r="DQ67">
        <f>SUMIFS(DataRegularSeason20242025!$AA$3:$AA$1315,DataRegularSeason20242025!$B$3:$B$1315, "&lt;=" &amp; DQ$1, DataRegularSeason20242025!$D$3:$D$1315, $A67)+SUMIFS(DataRegularSeason20242025!$AB$3:$AB$1315,DataRegularSeason20242025!$B$3:$B$1315, "&lt;=" &amp; DQ$1, DataRegularSeason20242025!$E$3:$E$1315, $A67)</f>
        <v>7</v>
      </c>
      <c r="DR67">
        <f>SUMIFS(DataRegularSeason20242025!$AA$3:$AA$1315,DataRegularSeason20242025!$B$3:$B$1315, "&lt;=" &amp; DR$1, DataRegularSeason20242025!$D$3:$D$1315, $A67)+SUMIFS(DataRegularSeason20242025!$AB$3:$AB$1315,DataRegularSeason20242025!$B$3:$B$1315, "&lt;=" &amp; DR$1, DataRegularSeason20242025!$E$3:$E$1315, $A67)</f>
        <v>7</v>
      </c>
      <c r="DS67">
        <f>SUMIFS(DataRegularSeason20242025!$AA$3:$AA$1315,DataRegularSeason20242025!$B$3:$B$1315, "&lt;=" &amp; DS$1, DataRegularSeason20242025!$D$3:$D$1315, $A67)+SUMIFS(DataRegularSeason20242025!$AB$3:$AB$1315,DataRegularSeason20242025!$B$3:$B$1315, "&lt;=" &amp; DS$1, DataRegularSeason20242025!$E$3:$E$1315, $A67)</f>
        <v>7</v>
      </c>
      <c r="DT67">
        <f>SUMIFS(DataRegularSeason20242025!$AA$3:$AA$1315,DataRegularSeason20242025!$B$3:$B$1315, "&lt;=" &amp; DT$1, DataRegularSeason20242025!$D$3:$D$1315, $A67)+SUMIFS(DataRegularSeason20242025!$AB$3:$AB$1315,DataRegularSeason20242025!$B$3:$B$1315, "&lt;=" &amp; DT$1, DataRegularSeason20242025!$E$3:$E$1315, $A67)</f>
        <v>7</v>
      </c>
      <c r="DU67">
        <f>SUMIFS(DataRegularSeason20242025!$AA$3:$AA$1315,DataRegularSeason20242025!$B$3:$B$1315, "&lt;=" &amp; DU$1, DataRegularSeason20242025!$D$3:$D$1315, $A67)+SUMIFS(DataRegularSeason20242025!$AB$3:$AB$1315,DataRegularSeason20242025!$B$3:$B$1315, "&lt;=" &amp; DU$1, DataRegularSeason20242025!$E$3:$E$1315, $A67)</f>
        <v>7</v>
      </c>
      <c r="DV67">
        <f>SUMIFS(DataRegularSeason20242025!$AA$3:$AA$1315,DataRegularSeason20242025!$B$3:$B$1315, "&lt;=" &amp; DV$1, DataRegularSeason20242025!$D$3:$D$1315, $A67)+SUMIFS(DataRegularSeason20242025!$AB$3:$AB$1315,DataRegularSeason20242025!$B$3:$B$1315, "&lt;=" &amp; DV$1, DataRegularSeason20242025!$E$3:$E$1315, $A67)</f>
        <v>7</v>
      </c>
      <c r="DW67">
        <f>SUMIFS(DataRegularSeason20242025!$AA$3:$AA$1315,DataRegularSeason20242025!$B$3:$B$1315, "&lt;=" &amp; DW$1, DataRegularSeason20242025!$D$3:$D$1315, $A67)+SUMIFS(DataRegularSeason20242025!$AB$3:$AB$1315,DataRegularSeason20242025!$B$3:$B$1315, "&lt;=" &amp; DW$1, DataRegularSeason20242025!$E$3:$E$1315, $A67)</f>
        <v>7</v>
      </c>
      <c r="DX67">
        <f>SUMIFS(DataRegularSeason20242025!$AA$3:$AA$1315,DataRegularSeason20242025!$B$3:$B$1315, "&lt;=" &amp; DX$1, DataRegularSeason20242025!$D$3:$D$1315, $A67)+SUMIFS(DataRegularSeason20242025!$AB$3:$AB$1315,DataRegularSeason20242025!$B$3:$B$1315, "&lt;=" &amp; DX$1, DataRegularSeason20242025!$E$3:$E$1315, $A67)</f>
        <v>7</v>
      </c>
      <c r="DY67">
        <f>SUMIFS(DataRegularSeason20242025!$AA$3:$AA$1315,DataRegularSeason20242025!$B$3:$B$1315, "&lt;=" &amp; DY$1, DataRegularSeason20242025!$D$3:$D$1315, $A67)+SUMIFS(DataRegularSeason20242025!$AB$3:$AB$1315,DataRegularSeason20242025!$B$3:$B$1315, "&lt;=" &amp; DY$1, DataRegularSeason20242025!$E$3:$E$1315, $A67)</f>
        <v>7</v>
      </c>
      <c r="DZ67">
        <f>SUMIFS(DataRegularSeason20242025!$AA$3:$AA$1315,DataRegularSeason20242025!$B$3:$B$1315, "&lt;=" &amp; DZ$1, DataRegularSeason20242025!$D$3:$D$1315, $A67)+SUMIFS(DataRegularSeason20242025!$AB$3:$AB$1315,DataRegularSeason20242025!$B$3:$B$1315, "&lt;=" &amp; DZ$1, DataRegularSeason20242025!$E$3:$E$1315, $A67)</f>
        <v>7</v>
      </c>
      <c r="EA67">
        <f>SUMIFS(DataRegularSeason20242025!$AA$3:$AA$1315,DataRegularSeason20242025!$B$3:$B$1315, "&lt;=" &amp; EA$1, DataRegularSeason20242025!$D$3:$D$1315, $A67)+SUMIFS(DataRegularSeason20242025!$AB$3:$AB$1315,DataRegularSeason20242025!$B$3:$B$1315, "&lt;=" &amp; EA$1, DataRegularSeason20242025!$E$3:$E$1315, $A67)</f>
        <v>7</v>
      </c>
      <c r="EB67">
        <f>SUMIFS(DataRegularSeason20242025!$AA$3:$AA$1315,DataRegularSeason20242025!$B$3:$B$1315, "&lt;=" &amp; EB$1, DataRegularSeason20242025!$D$3:$D$1315, $A67)+SUMIFS(DataRegularSeason20242025!$AB$3:$AB$1315,DataRegularSeason20242025!$B$3:$B$1315, "&lt;=" &amp; EB$1, DataRegularSeason20242025!$E$3:$E$1315, $A67)</f>
        <v>7</v>
      </c>
      <c r="EC67">
        <f>SUMIFS(DataRegularSeason20242025!$AA$3:$AA$1315,DataRegularSeason20242025!$B$3:$B$1315, "&lt;=" &amp; EC$1, DataRegularSeason20242025!$D$3:$D$1315, $A67)+SUMIFS(DataRegularSeason20242025!$AB$3:$AB$1315,DataRegularSeason20242025!$B$3:$B$1315, "&lt;=" &amp; EC$1, DataRegularSeason20242025!$E$3:$E$1315, $A67)</f>
        <v>7</v>
      </c>
      <c r="ED67">
        <f>SUMIFS(DataRegularSeason20242025!$AA$3:$AA$1315,DataRegularSeason20242025!$B$3:$B$1315, "&lt;=" &amp; ED$1, DataRegularSeason20242025!$D$3:$D$1315, $A67)+SUMIFS(DataRegularSeason20242025!$AB$3:$AB$1315,DataRegularSeason20242025!$B$3:$B$1315, "&lt;=" &amp; ED$1, DataRegularSeason20242025!$E$3:$E$1315, $A67)</f>
        <v>7</v>
      </c>
      <c r="EE67">
        <f>SUMIFS(DataRegularSeason20242025!$AA$3:$AA$1315,DataRegularSeason20242025!$B$3:$B$1315, "&lt;=" &amp; EE$1, DataRegularSeason20242025!$D$3:$D$1315, $A67)+SUMIFS(DataRegularSeason20242025!$AB$3:$AB$1315,DataRegularSeason20242025!$B$3:$B$1315, "&lt;=" &amp; EE$1, DataRegularSeason20242025!$E$3:$E$1315, $A67)</f>
        <v>7</v>
      </c>
      <c r="EF67">
        <f>SUMIFS(DataRegularSeason20242025!$AA$3:$AA$1315,DataRegularSeason20242025!$B$3:$B$1315, "&lt;=" &amp; EF$1, DataRegularSeason20242025!$D$3:$D$1315, $A67)+SUMIFS(DataRegularSeason20242025!$AB$3:$AB$1315,DataRegularSeason20242025!$B$3:$B$1315, "&lt;=" &amp; EF$1, DataRegularSeason20242025!$E$3:$E$1315, $A67)</f>
        <v>7</v>
      </c>
      <c r="EG67">
        <f>SUMIFS(DataRegularSeason20242025!$AA$3:$AA$1315,DataRegularSeason20242025!$B$3:$B$1315, "&lt;=" &amp; EG$1, DataRegularSeason20242025!$D$3:$D$1315, $A67)+SUMIFS(DataRegularSeason20242025!$AB$3:$AB$1315,DataRegularSeason20242025!$B$3:$B$1315, "&lt;=" &amp; EG$1, DataRegularSeason20242025!$E$3:$E$1315, $A67)</f>
        <v>7</v>
      </c>
      <c r="EH67">
        <f>SUMIFS(DataRegularSeason20242025!$AA$3:$AA$1315,DataRegularSeason20242025!$B$3:$B$1315, "&lt;=" &amp; EH$1, DataRegularSeason20242025!$D$3:$D$1315, $A67)+SUMIFS(DataRegularSeason20242025!$AB$3:$AB$1315,DataRegularSeason20242025!$B$3:$B$1315, "&lt;=" &amp; EH$1, DataRegularSeason20242025!$E$3:$E$1315, $A67)</f>
        <v>7</v>
      </c>
      <c r="EI67">
        <f>SUMIFS(DataRegularSeason20242025!$AA$3:$AA$1315,DataRegularSeason20242025!$B$3:$B$1315, "&lt;=" &amp; EI$1, DataRegularSeason20242025!$D$3:$D$1315, $A67)+SUMIFS(DataRegularSeason20242025!$AB$3:$AB$1315,DataRegularSeason20242025!$B$3:$B$1315, "&lt;=" &amp; EI$1, DataRegularSeason20242025!$E$3:$E$1315, $A67)</f>
        <v>7</v>
      </c>
      <c r="EJ67">
        <f>SUMIFS(DataRegularSeason20242025!$AA$3:$AA$1315,DataRegularSeason20242025!$B$3:$B$1315, "&lt;=" &amp; EJ$1, DataRegularSeason20242025!$D$3:$D$1315, $A67)+SUMIFS(DataRegularSeason20242025!$AB$3:$AB$1315,DataRegularSeason20242025!$B$3:$B$1315, "&lt;=" &amp; EJ$1, DataRegularSeason20242025!$E$3:$E$1315, $A67)</f>
        <v>7</v>
      </c>
      <c r="EK67">
        <f>SUMIFS(DataRegularSeason20242025!$AA$3:$AA$1315,DataRegularSeason20242025!$B$3:$B$1315, "&lt;=" &amp; EK$1, DataRegularSeason20242025!$D$3:$D$1315, $A67)+SUMIFS(DataRegularSeason20242025!$AB$3:$AB$1315,DataRegularSeason20242025!$B$3:$B$1315, "&lt;=" &amp; EK$1, DataRegularSeason20242025!$E$3:$E$1315, $A67)</f>
        <v>7</v>
      </c>
      <c r="EL67">
        <f>SUMIFS(DataRegularSeason20242025!$AA$3:$AA$1315,DataRegularSeason20242025!$B$3:$B$1315, "&lt;=" &amp; EL$1, DataRegularSeason20242025!$D$3:$D$1315, $A67)+SUMIFS(DataRegularSeason20242025!$AB$3:$AB$1315,DataRegularSeason20242025!$B$3:$B$1315, "&lt;=" &amp; EL$1, DataRegularSeason20242025!$E$3:$E$1315, $A67)</f>
        <v>7</v>
      </c>
      <c r="EM67">
        <f>SUMIFS(DataRegularSeason20242025!$AA$3:$AA$1315,DataRegularSeason20242025!$B$3:$B$1315, "&lt;=" &amp; EM$1, DataRegularSeason20242025!$D$3:$D$1315, $A67)+SUMIFS(DataRegularSeason20242025!$AB$3:$AB$1315,DataRegularSeason20242025!$B$3:$B$1315, "&lt;=" &amp; EM$1, DataRegularSeason20242025!$E$3:$E$1315, $A67)</f>
        <v>7</v>
      </c>
      <c r="EN67">
        <f>SUMIFS(DataRegularSeason20242025!$AA$3:$AA$1315,DataRegularSeason20242025!$B$3:$B$1315, "&lt;=" &amp; EN$1, DataRegularSeason20242025!$D$3:$D$1315, $A67)+SUMIFS(DataRegularSeason20242025!$AB$3:$AB$1315,DataRegularSeason20242025!$B$3:$B$1315, "&lt;=" &amp; EN$1, DataRegularSeason20242025!$E$3:$E$1315, $A67)</f>
        <v>7</v>
      </c>
      <c r="EO67">
        <f>SUMIFS(DataRegularSeason20242025!$AA$3:$AA$1315,DataRegularSeason20242025!$B$3:$B$1315, "&lt;=" &amp; EO$1, DataRegularSeason20242025!$D$3:$D$1315, $A67)+SUMIFS(DataRegularSeason20242025!$AB$3:$AB$1315,DataRegularSeason20242025!$B$3:$B$1315, "&lt;=" &amp; EO$1, DataRegularSeason20242025!$E$3:$E$1315, $A67)</f>
        <v>7</v>
      </c>
      <c r="EP67">
        <f>SUMIFS(DataRegularSeason20242025!$AA$3:$AA$1315,DataRegularSeason20242025!$B$3:$B$1315, "&lt;=" &amp; EP$1, DataRegularSeason20242025!$D$3:$D$1315, $A67)+SUMIFS(DataRegularSeason20242025!$AB$3:$AB$1315,DataRegularSeason20242025!$B$3:$B$1315, "&lt;=" &amp; EP$1, DataRegularSeason20242025!$E$3:$E$1315, $A67)</f>
        <v>7</v>
      </c>
      <c r="EQ67">
        <f>SUMIFS(DataRegularSeason20242025!$AA$3:$AA$1315,DataRegularSeason20242025!$B$3:$B$1315, "&lt;=" &amp; EQ$1, DataRegularSeason20242025!$D$3:$D$1315, $A67)+SUMIFS(DataRegularSeason20242025!$AB$3:$AB$1315,DataRegularSeason20242025!$B$3:$B$1315, "&lt;=" &amp; EQ$1, DataRegularSeason20242025!$E$3:$E$1315, $A67)</f>
        <v>7</v>
      </c>
      <c r="ER67">
        <f>SUMIFS(DataRegularSeason20242025!$AA$3:$AA$1315,DataRegularSeason20242025!$B$3:$B$1315, "&lt;=" &amp; ER$1, DataRegularSeason20242025!$D$3:$D$1315, $A67)+SUMIFS(DataRegularSeason20242025!$AB$3:$AB$1315,DataRegularSeason20242025!$B$3:$B$1315, "&lt;=" &amp; ER$1, DataRegularSeason20242025!$E$3:$E$1315, $A67)</f>
        <v>7</v>
      </c>
      <c r="ES67">
        <f>SUMIFS(DataRegularSeason20242025!$AA$3:$AA$1315,DataRegularSeason20242025!$B$3:$B$1315, "&lt;=" &amp; ES$1, DataRegularSeason20242025!$D$3:$D$1315, $A67)+SUMIFS(DataRegularSeason20242025!$AB$3:$AB$1315,DataRegularSeason20242025!$B$3:$B$1315, "&lt;=" &amp; ES$1, DataRegularSeason20242025!$E$3:$E$1315, $A67)</f>
        <v>7</v>
      </c>
      <c r="ET67">
        <f>SUMIFS(DataRegularSeason20242025!$AA$3:$AA$1315,DataRegularSeason20242025!$B$3:$B$1315, "&lt;=" &amp; ET$1, DataRegularSeason20242025!$D$3:$D$1315, $A67)+SUMIFS(DataRegularSeason20242025!$AB$3:$AB$1315,DataRegularSeason20242025!$B$3:$B$1315, "&lt;=" &amp; ET$1, DataRegularSeason20242025!$E$3:$E$1315, $A67)</f>
        <v>7</v>
      </c>
      <c r="EU67">
        <f>SUMIFS(DataRegularSeason20242025!$AA$3:$AA$1315,DataRegularSeason20242025!$B$3:$B$1315, "&lt;=" &amp; EU$1, DataRegularSeason20242025!$D$3:$D$1315, $A67)+SUMIFS(DataRegularSeason20242025!$AB$3:$AB$1315,DataRegularSeason20242025!$B$3:$B$1315, "&lt;=" &amp; EU$1, DataRegularSeason20242025!$E$3:$E$1315, $A67)</f>
        <v>7</v>
      </c>
      <c r="EV67">
        <f>SUMIFS(DataRegularSeason20242025!$AA$3:$AA$1315,DataRegularSeason20242025!$B$3:$B$1315, "&lt;=" &amp; EV$1, DataRegularSeason20242025!$D$3:$D$1315, $A67)+SUMIFS(DataRegularSeason20242025!$AB$3:$AB$1315,DataRegularSeason20242025!$B$3:$B$1315, "&lt;=" &amp; EV$1, DataRegularSeason20242025!$E$3:$E$1315, $A67)</f>
        <v>7</v>
      </c>
      <c r="EW67">
        <f>SUMIFS(DataRegularSeason20242025!$AA$3:$AA$1315,DataRegularSeason20242025!$B$3:$B$1315, "&lt;=" &amp; EW$1, DataRegularSeason20242025!$D$3:$D$1315, $A67)+SUMIFS(DataRegularSeason20242025!$AB$3:$AB$1315,DataRegularSeason20242025!$B$3:$B$1315, "&lt;=" &amp; EW$1, DataRegularSeason20242025!$E$3:$E$1315, $A67)</f>
        <v>7</v>
      </c>
      <c r="EX67">
        <f>SUMIFS(DataRegularSeason20242025!$AA$3:$AA$1315,DataRegularSeason20242025!$B$3:$B$1315, "&lt;=" &amp; EX$1, DataRegularSeason20242025!$D$3:$D$1315, $A67)+SUMIFS(DataRegularSeason20242025!$AB$3:$AB$1315,DataRegularSeason20242025!$B$3:$B$1315, "&lt;=" &amp; EX$1, DataRegularSeason20242025!$E$3:$E$1315, $A67)</f>
        <v>7</v>
      </c>
      <c r="EY67">
        <f>SUMIFS(DataRegularSeason20242025!$AA$3:$AA$1315,DataRegularSeason20242025!$B$3:$B$1315, "&lt;=" &amp; EY$1, DataRegularSeason20242025!$D$3:$D$1315, $A67)+SUMIFS(DataRegularSeason20242025!$AB$3:$AB$1315,DataRegularSeason20242025!$B$3:$B$1315, "&lt;=" &amp; EY$1, DataRegularSeason20242025!$E$3:$E$1315, $A67)</f>
        <v>7</v>
      </c>
      <c r="EZ67">
        <f>SUMIFS(DataRegularSeason20242025!$AA$3:$AA$1315,DataRegularSeason20242025!$B$3:$B$1315, "&lt;=" &amp; EZ$1, DataRegularSeason20242025!$D$3:$D$1315, $A67)+SUMIFS(DataRegularSeason20242025!$AB$3:$AB$1315,DataRegularSeason20242025!$B$3:$B$1315, "&lt;=" &amp; EZ$1, DataRegularSeason20242025!$E$3:$E$1315, $A67)</f>
        <v>7</v>
      </c>
      <c r="FA67">
        <f>SUMIFS(DataRegularSeason20242025!$AA$3:$AA$1315,DataRegularSeason20242025!$B$3:$B$1315, "&lt;=" &amp; FA$1, DataRegularSeason20242025!$D$3:$D$1315, $A67)+SUMIFS(DataRegularSeason20242025!$AB$3:$AB$1315,DataRegularSeason20242025!$B$3:$B$1315, "&lt;=" &amp; FA$1, DataRegularSeason20242025!$E$3:$E$1315, $A67)</f>
        <v>7</v>
      </c>
      <c r="FB67">
        <f>SUMIFS(DataRegularSeason20242025!$AA$3:$AA$1315,DataRegularSeason20242025!$B$3:$B$1315, "&lt;=" &amp; FB$1, DataRegularSeason20242025!$D$3:$D$1315, $A67)+SUMIFS(DataRegularSeason20242025!$AB$3:$AB$1315,DataRegularSeason20242025!$B$3:$B$1315, "&lt;=" &amp; FB$1, DataRegularSeason20242025!$E$3:$E$1315, $A67)</f>
        <v>7</v>
      </c>
      <c r="FC67">
        <f>SUMIFS(DataRegularSeason20242025!$AA$3:$AA$1315,DataRegularSeason20242025!$B$3:$B$1315, "&lt;=" &amp; FC$1, DataRegularSeason20242025!$D$3:$D$1315, $A67)+SUMIFS(DataRegularSeason20242025!$AB$3:$AB$1315,DataRegularSeason20242025!$B$3:$B$1315, "&lt;=" &amp; FC$1, DataRegularSeason20242025!$E$3:$E$1315, $A67)</f>
        <v>7</v>
      </c>
      <c r="FD67">
        <f>SUMIFS(DataRegularSeason20242025!$AA$3:$AA$1315,DataRegularSeason20242025!$B$3:$B$1315, "&lt;=" &amp; FD$1, DataRegularSeason20242025!$D$3:$D$1315, $A67)+SUMIFS(DataRegularSeason20242025!$AB$3:$AB$1315,DataRegularSeason20242025!$B$3:$B$1315, "&lt;=" &amp; FD$1, DataRegularSeason20242025!$E$3:$E$1315, $A67)</f>
        <v>7</v>
      </c>
      <c r="FE67">
        <f>SUMIFS(DataRegularSeason20242025!$AA$3:$AA$1315,DataRegularSeason20242025!$B$3:$B$1315, "&lt;=" &amp; FE$1, DataRegularSeason20242025!$D$3:$D$1315, $A67)+SUMIFS(DataRegularSeason20242025!$AB$3:$AB$1315,DataRegularSeason20242025!$B$3:$B$1315, "&lt;=" &amp; FE$1, DataRegularSeason20242025!$E$3:$E$1315, $A67)</f>
        <v>7</v>
      </c>
      <c r="FF67">
        <f>SUMIFS(DataRegularSeason20242025!$AA$3:$AA$1315,DataRegularSeason20242025!$B$3:$B$1315, "&lt;=" &amp; FF$1, DataRegularSeason20242025!$D$3:$D$1315, $A67)+SUMIFS(DataRegularSeason20242025!$AB$3:$AB$1315,DataRegularSeason20242025!$B$3:$B$1315, "&lt;=" &amp; FF$1, DataRegularSeason20242025!$E$3:$E$1315, $A67)</f>
        <v>7</v>
      </c>
      <c r="FG67">
        <f>SUMIFS(DataRegularSeason20242025!$AA$3:$AA$1315,DataRegularSeason20242025!$B$3:$B$1315, "&lt;=" &amp; FG$1, DataRegularSeason20242025!$D$3:$D$1315, $A67)+SUMIFS(DataRegularSeason20242025!$AB$3:$AB$1315,DataRegularSeason20242025!$B$3:$B$1315, "&lt;=" &amp; FG$1, DataRegularSeason20242025!$E$3:$E$1315, $A67)</f>
        <v>7</v>
      </c>
      <c r="FH67">
        <f>SUMIFS(DataRegularSeason20242025!$AA$3:$AA$1315,DataRegularSeason20242025!$B$3:$B$1315, "&lt;=" &amp; FH$1, DataRegularSeason20242025!$D$3:$D$1315, $A67)+SUMIFS(DataRegularSeason20242025!$AB$3:$AB$1315,DataRegularSeason20242025!$B$3:$B$1315, "&lt;=" &amp; FH$1, DataRegularSeason20242025!$E$3:$E$1315, $A67)</f>
        <v>7</v>
      </c>
      <c r="FI67">
        <f>SUMIFS(DataRegularSeason20242025!$AA$3:$AA$1315,DataRegularSeason20242025!$B$3:$B$1315, "&lt;=" &amp; FI$1, DataRegularSeason20242025!$D$3:$D$1315, $A67)+SUMIFS(DataRegularSeason20242025!$AB$3:$AB$1315,DataRegularSeason20242025!$B$3:$B$1315, "&lt;=" &amp; FI$1, DataRegularSeason20242025!$E$3:$E$1315, $A67)</f>
        <v>7</v>
      </c>
      <c r="FJ67">
        <f>SUMIFS(DataRegularSeason20242025!$AA$3:$AA$1315,DataRegularSeason20242025!$B$3:$B$1315, "&lt;=" &amp; FJ$1, DataRegularSeason20242025!$D$3:$D$1315, $A67)+SUMIFS(DataRegularSeason20242025!$AB$3:$AB$1315,DataRegularSeason20242025!$B$3:$B$1315, "&lt;=" &amp; FJ$1, DataRegularSeason20242025!$E$3:$E$1315, $A67)</f>
        <v>7</v>
      </c>
      <c r="FK67">
        <f>SUMIFS(DataRegularSeason20242025!$AA$3:$AA$1315,DataRegularSeason20242025!$B$3:$B$1315, "&lt;=" &amp; FK$1, DataRegularSeason20242025!$D$3:$D$1315, $A67)+SUMIFS(DataRegularSeason20242025!$AB$3:$AB$1315,DataRegularSeason20242025!$B$3:$B$1315, "&lt;=" &amp; FK$1, DataRegularSeason20242025!$E$3:$E$1315, $A67)</f>
        <v>7</v>
      </c>
      <c r="FL67">
        <f>SUMIFS(DataRegularSeason20242025!$AA$3:$AA$1315,DataRegularSeason20242025!$B$3:$B$1315, "&lt;=" &amp; FL$1, DataRegularSeason20242025!$D$3:$D$1315, $A67)+SUMIFS(DataRegularSeason20242025!$AB$3:$AB$1315,DataRegularSeason20242025!$B$3:$B$1315, "&lt;=" &amp; FL$1, DataRegularSeason20242025!$E$3:$E$1315, $A67)</f>
        <v>7</v>
      </c>
      <c r="FM67">
        <f>SUMIFS(DataRegularSeason20242025!$AA$3:$AA$1315,DataRegularSeason20242025!$B$3:$B$1315, "&lt;=" &amp; FM$1, DataRegularSeason20242025!$D$3:$D$1315, $A67)+SUMIFS(DataRegularSeason20242025!$AB$3:$AB$1315,DataRegularSeason20242025!$B$3:$B$1315, "&lt;=" &amp; FM$1, DataRegularSeason20242025!$E$3:$E$1315, $A67)</f>
        <v>7</v>
      </c>
      <c r="FN67">
        <f>SUMIFS(DataRegularSeason20242025!$AA$3:$AA$1315,DataRegularSeason20242025!$B$3:$B$1315, "&lt;=" &amp; FN$1, DataRegularSeason20242025!$D$3:$D$1315, $A67)+SUMIFS(DataRegularSeason20242025!$AB$3:$AB$1315,DataRegularSeason20242025!$B$3:$B$1315, "&lt;=" &amp; FN$1, DataRegularSeason20242025!$E$3:$E$1315, $A67)</f>
        <v>7</v>
      </c>
      <c r="FO67">
        <f>SUMIFS(DataRegularSeason20242025!$AA$3:$AA$1315,DataRegularSeason20242025!$B$3:$B$1315, "&lt;=" &amp; FO$1, DataRegularSeason20242025!$D$3:$D$1315, $A67)+SUMIFS(DataRegularSeason20242025!$AB$3:$AB$1315,DataRegularSeason20242025!$B$3:$B$1315, "&lt;=" &amp; FO$1, DataRegularSeason20242025!$E$3:$E$1315, $A67)</f>
        <v>7</v>
      </c>
      <c r="FP67">
        <f>SUMIFS(DataRegularSeason20242025!$AA$3:$AA$1315,DataRegularSeason20242025!$B$3:$B$1315, "&lt;=" &amp; FP$1, DataRegularSeason20242025!$D$3:$D$1315, $A67)+SUMIFS(DataRegularSeason20242025!$AB$3:$AB$1315,DataRegularSeason20242025!$B$3:$B$1315, "&lt;=" &amp; FP$1, DataRegularSeason20242025!$E$3:$E$1315, $A67)</f>
        <v>7</v>
      </c>
      <c r="FQ67">
        <f>SUMIFS(DataRegularSeason20242025!$AA$3:$AA$1315,DataRegularSeason20242025!$B$3:$B$1315, "&lt;=" &amp; FQ$1, DataRegularSeason20242025!$D$3:$D$1315, $A67)+SUMIFS(DataRegularSeason20242025!$AB$3:$AB$1315,DataRegularSeason20242025!$B$3:$B$1315, "&lt;=" &amp; FQ$1, DataRegularSeason20242025!$E$3:$E$1315, $A67)</f>
        <v>7</v>
      </c>
      <c r="FR67">
        <f>SUMIFS(DataRegularSeason20242025!$AA$3:$AA$1315,DataRegularSeason20242025!$B$3:$B$1315, "&lt;=" &amp; FR$1, DataRegularSeason20242025!$D$3:$D$1315, $A67)+SUMIFS(DataRegularSeason20242025!$AB$3:$AB$1315,DataRegularSeason20242025!$B$3:$B$1315, "&lt;=" &amp; FR$1, DataRegularSeason20242025!$E$3:$E$1315, $A67)</f>
        <v>7</v>
      </c>
      <c r="FS67">
        <f>SUMIFS(DataRegularSeason20242025!$AA$3:$AA$1315,DataRegularSeason20242025!$B$3:$B$1315, "&lt;=" &amp; FS$1, DataRegularSeason20242025!$D$3:$D$1315, $A67)+SUMIFS(DataRegularSeason20242025!$AB$3:$AB$1315,DataRegularSeason20242025!$B$3:$B$1315, "&lt;=" &amp; FS$1, DataRegularSeason20242025!$E$3:$E$1315, $A67)</f>
        <v>7</v>
      </c>
      <c r="FT67">
        <f>SUMIFS(DataRegularSeason20242025!$AA$3:$AA$1315,DataRegularSeason20242025!$B$3:$B$1315, "&lt;=" &amp; FT$1, DataRegularSeason20242025!$D$3:$D$1315, $A67)+SUMIFS(DataRegularSeason20242025!$AB$3:$AB$1315,DataRegularSeason20242025!$B$3:$B$1315, "&lt;=" &amp; FT$1, DataRegularSeason20242025!$E$3:$E$1315, $A67)</f>
        <v>7</v>
      </c>
      <c r="FU67">
        <f>SUMIFS(DataRegularSeason20242025!$AA$3:$AA$1315,DataRegularSeason20242025!$B$3:$B$1315, "&lt;=" &amp; FU$1, DataRegularSeason20242025!$D$3:$D$1315, $A67)+SUMIFS(DataRegularSeason20242025!$AB$3:$AB$1315,DataRegularSeason20242025!$B$3:$B$1315, "&lt;=" &amp; FU$1, DataRegularSeason20242025!$E$3:$E$1315, $A67)</f>
        <v>7</v>
      </c>
      <c r="FV67">
        <f>SUMIFS(DataRegularSeason20242025!$AA$3:$AA$1315,DataRegularSeason20242025!$B$3:$B$1315, "&lt;=" &amp; FV$1, DataRegularSeason20242025!$D$3:$D$1315, $A67)+SUMIFS(DataRegularSeason20242025!$AB$3:$AB$1315,DataRegularSeason20242025!$B$3:$B$1315, "&lt;=" &amp; FV$1, DataRegularSeason20242025!$E$3:$E$1315, $A67)</f>
        <v>7</v>
      </c>
      <c r="FW67">
        <f>SUMIFS(DataRegularSeason20242025!$AA$3:$AA$1315,DataRegularSeason20242025!$B$3:$B$1315, "&lt;=" &amp; FW$1, DataRegularSeason20242025!$D$3:$D$1315, $A67)+SUMIFS(DataRegularSeason20242025!$AB$3:$AB$1315,DataRegularSeason20242025!$B$3:$B$1315, "&lt;=" &amp; FW$1, DataRegularSeason20242025!$E$3:$E$1315, $A67)</f>
        <v>7</v>
      </c>
      <c r="FX67">
        <f>SUMIFS(DataRegularSeason20242025!$AA$3:$AA$1315,DataRegularSeason20242025!$B$3:$B$1315, "&lt;=" &amp; FX$1, DataRegularSeason20242025!$D$3:$D$1315, $A67)+SUMIFS(DataRegularSeason20242025!$AB$3:$AB$1315,DataRegularSeason20242025!$B$3:$B$1315, "&lt;=" &amp; FX$1, DataRegularSeason20242025!$E$3:$E$1315, $A67)</f>
        <v>7</v>
      </c>
      <c r="FY67">
        <f>SUMIFS(DataRegularSeason20242025!$AA$3:$AA$1315,DataRegularSeason20242025!$B$3:$B$1315, "&lt;=" &amp; FY$1, DataRegularSeason20242025!$D$3:$D$1315, $A67)+SUMIFS(DataRegularSeason20242025!$AB$3:$AB$1315,DataRegularSeason20242025!$B$3:$B$1315, "&lt;=" &amp; FY$1, DataRegularSeason20242025!$E$3:$E$1315, $A67)</f>
        <v>7</v>
      </c>
      <c r="FZ67">
        <f>SUMIFS(DataRegularSeason20242025!$AA$3:$AA$1315,DataRegularSeason20242025!$B$3:$B$1315, "&lt;=" &amp; FZ$1, DataRegularSeason20242025!$D$3:$D$1315, $A67)+SUMIFS(DataRegularSeason20242025!$AB$3:$AB$1315,DataRegularSeason20242025!$B$3:$B$1315, "&lt;=" &amp; FZ$1, DataRegularSeason20242025!$E$3:$E$1315, $A67)</f>
        <v>7</v>
      </c>
      <c r="GA67">
        <f>SUMIFS(DataRegularSeason20242025!$AA$3:$AA$1315,DataRegularSeason20242025!$B$3:$B$1315, "&lt;=" &amp; GA$1, DataRegularSeason20242025!$D$3:$D$1315, $A67)+SUMIFS(DataRegularSeason20242025!$AB$3:$AB$1315,DataRegularSeason20242025!$B$3:$B$1315, "&lt;=" &amp; GA$1, DataRegularSeason20242025!$E$3:$E$1315, $A67)</f>
        <v>7</v>
      </c>
      <c r="GB67">
        <f>SUMIFS(DataRegularSeason20242025!$AA$3:$AA$1315,DataRegularSeason20242025!$B$3:$B$1315, "&lt;=" &amp; GB$1, DataRegularSeason20242025!$D$3:$D$1315, $A67)+SUMIFS(DataRegularSeason20242025!$AB$3:$AB$1315,DataRegularSeason20242025!$B$3:$B$1315, "&lt;=" &amp; GB$1, DataRegularSeason20242025!$E$3:$E$1315, $A67)</f>
        <v>7</v>
      </c>
      <c r="GC67">
        <f>SUMIFS(DataRegularSeason20242025!$AA$3:$AA$1315,DataRegularSeason20242025!$B$3:$B$1315, "&lt;=" &amp; GC$1, DataRegularSeason20242025!$D$3:$D$1315, $A67)+SUMIFS(DataRegularSeason20242025!$AB$3:$AB$1315,DataRegularSeason20242025!$B$3:$B$1315, "&lt;=" &amp; GC$1, DataRegularSeason20242025!$E$3:$E$1315, $A67)</f>
        <v>7</v>
      </c>
      <c r="GD67">
        <f>SUMIFS(DataRegularSeason20242025!$AA$3:$AA$1315,DataRegularSeason20242025!$B$3:$B$1315, "&lt;=" &amp; GD$1, DataRegularSeason20242025!$D$3:$D$1315, $A67)+SUMIFS(DataRegularSeason20242025!$AB$3:$AB$1315,DataRegularSeason20242025!$B$3:$B$1315, "&lt;=" &amp; GD$1, DataRegularSeason20242025!$E$3:$E$1315, $A67)</f>
        <v>7</v>
      </c>
      <c r="GE67">
        <f>SUMIFS(DataRegularSeason20242025!$AA$3:$AA$1315,DataRegularSeason20242025!$B$3:$B$1315, "&lt;=" &amp; GE$1, DataRegularSeason20242025!$D$3:$D$1315, $A67)+SUMIFS(DataRegularSeason20242025!$AB$3:$AB$1315,DataRegularSeason20242025!$B$3:$B$1315, "&lt;=" &amp; GE$1, DataRegularSeason20242025!$E$3:$E$1315, $A67)</f>
        <v>7</v>
      </c>
      <c r="GF67">
        <f>SUMIFS(DataRegularSeason20242025!$AA$3:$AA$1315,DataRegularSeason20242025!$B$3:$B$1315, "&lt;=" &amp; GF$1, DataRegularSeason20242025!$D$3:$D$1315, $A67)+SUMIFS(DataRegularSeason20242025!$AB$3:$AB$1315,DataRegularSeason20242025!$B$3:$B$1315, "&lt;=" &amp; GF$1, DataRegularSeason20242025!$E$3:$E$1315, $A67)</f>
        <v>7</v>
      </c>
      <c r="GG67">
        <f>SUMIFS(DataRegularSeason20242025!$AA$3:$AA$1315,DataRegularSeason20242025!$B$3:$B$1315, "&lt;=" &amp; GG$1, DataRegularSeason20242025!$D$3:$D$1315, $A67)+SUMIFS(DataRegularSeason20242025!$AB$3:$AB$1315,DataRegularSeason20242025!$B$3:$B$1315, "&lt;=" &amp; GG$1, DataRegularSeason20242025!$E$3:$E$1315, $A67)</f>
        <v>7</v>
      </c>
      <c r="GH67">
        <f>SUMIFS(DataRegularSeason20242025!$AA$3:$AA$1315,DataRegularSeason20242025!$B$3:$B$1315, "&lt;=" &amp; GH$1, DataRegularSeason20242025!$D$3:$D$1315, $A67)+SUMIFS(DataRegularSeason20242025!$AB$3:$AB$1315,DataRegularSeason20242025!$B$3:$B$1315, "&lt;=" &amp; GH$1, DataRegularSeason20242025!$E$3:$E$1315, $A67)</f>
        <v>7</v>
      </c>
      <c r="GI67">
        <f>SUMIFS(DataRegularSeason20242025!$AA$3:$AA$1315,DataRegularSeason20242025!$B$3:$B$1315, "&lt;=" &amp; GI$1, DataRegularSeason20242025!$D$3:$D$1315, $A67)+SUMIFS(DataRegularSeason20242025!$AB$3:$AB$1315,DataRegularSeason20242025!$B$3:$B$1315, "&lt;=" &amp; GI$1, DataRegularSeason20242025!$E$3:$E$1315, $A67)</f>
        <v>7</v>
      </c>
      <c r="GJ67">
        <f>SUMIFS(DataRegularSeason20242025!$AA$3:$AA$1315,DataRegularSeason20242025!$B$3:$B$1315, "&lt;=" &amp; GJ$1, DataRegularSeason20242025!$D$3:$D$1315, $A67)+SUMIFS(DataRegularSeason20242025!$AB$3:$AB$1315,DataRegularSeason20242025!$B$3:$B$1315, "&lt;=" &amp; GJ$1, DataRegularSeason20242025!$E$3:$E$1315, $A67)</f>
        <v>7</v>
      </c>
      <c r="GK67">
        <f>SUMIFS(DataRegularSeason20242025!$AA$3:$AA$1315,DataRegularSeason20242025!$B$3:$B$1315, "&lt;=" &amp; GK$1, DataRegularSeason20242025!$D$3:$D$1315, $A67)+SUMIFS(DataRegularSeason20242025!$AB$3:$AB$1315,DataRegularSeason20242025!$B$3:$B$1315, "&lt;=" &amp; GK$1, DataRegularSeason20242025!$E$3:$E$1315, $A67)</f>
        <v>7</v>
      </c>
      <c r="GL67">
        <f>SUMIFS(DataRegularSeason20242025!$AA$3:$AA$1315,DataRegularSeason20242025!$B$3:$B$1315, "&lt;=" &amp; GL$1, DataRegularSeason20242025!$D$3:$D$1315, $A67)+SUMIFS(DataRegularSeason20242025!$AB$3:$AB$1315,DataRegularSeason20242025!$B$3:$B$1315, "&lt;=" &amp; GL$1, DataRegularSeason20242025!$E$3:$E$1315, $A67)</f>
        <v>7</v>
      </c>
      <c r="GM67">
        <f>SUMIFS(DataRegularSeason20242025!$AA$3:$AA$1315,DataRegularSeason20242025!$B$3:$B$1315, "&lt;=" &amp; GM$1, DataRegularSeason20242025!$D$3:$D$1315, $A67)+SUMIFS(DataRegularSeason20242025!$AB$3:$AB$1315,DataRegularSeason20242025!$B$3:$B$1315, "&lt;=" &amp; GM$1, DataRegularSeason20242025!$E$3:$E$1315, $A67)</f>
        <v>7</v>
      </c>
      <c r="GN67">
        <f>SUMIFS(DataRegularSeason20242025!$AA$3:$AA$1315,DataRegularSeason20242025!$B$3:$B$1315, "&lt;=" &amp; GN$1, DataRegularSeason20242025!$D$3:$D$1315, $A67)+SUMIFS(DataRegularSeason20242025!$AB$3:$AB$1315,DataRegularSeason20242025!$B$3:$B$1315, "&lt;=" &amp; GN$1, DataRegularSeason20242025!$E$3:$E$1315, $A67)</f>
        <v>7</v>
      </c>
      <c r="GO67">
        <f>SUMIFS(DataRegularSeason20242025!$AA$3:$AA$1315,DataRegularSeason20242025!$B$3:$B$1315, "&lt;=" &amp; GO$1, DataRegularSeason20242025!$D$3:$D$1315, $A67)+SUMIFS(DataRegularSeason20242025!$AB$3:$AB$1315,DataRegularSeason20242025!$B$3:$B$1315, "&lt;=" &amp; GO$1, DataRegularSeason20242025!$E$3:$E$1315, $A67)</f>
        <v>7</v>
      </c>
      <c r="GP67">
        <f>SUMIFS(DataRegularSeason20242025!$AA$3:$AA$1315,DataRegularSeason20242025!$B$3:$B$1315, "&lt;=" &amp; GP$1, DataRegularSeason20242025!$D$3:$D$1315, $A67)+SUMIFS(DataRegularSeason20242025!$AB$3:$AB$1315,DataRegularSeason20242025!$B$3:$B$1315, "&lt;=" &amp; GP$1, DataRegularSeason20242025!$E$3:$E$1315, $A67)</f>
        <v>7</v>
      </c>
      <c r="GQ67">
        <f>SUMIFS(DataRegularSeason20242025!$AA$3:$AA$1315,DataRegularSeason20242025!$B$3:$B$1315, "&lt;=" &amp; GQ$1, DataRegularSeason20242025!$D$3:$D$1315, $A67)+SUMIFS(DataRegularSeason20242025!$AB$3:$AB$1315,DataRegularSeason20242025!$B$3:$B$1315, "&lt;=" &amp; GQ$1, DataRegularSeason20242025!$E$3:$E$1315, $A67)</f>
        <v>7</v>
      </c>
      <c r="GR67">
        <f>SUMIFS(DataRegularSeason20242025!$AA$3:$AA$1315,DataRegularSeason20242025!$B$3:$B$1315, "&lt;=" &amp; GR$1, DataRegularSeason20242025!$D$3:$D$1315, $A67)+SUMIFS(DataRegularSeason20242025!$AB$3:$AB$1315,DataRegularSeason20242025!$B$3:$B$1315, "&lt;=" &amp; GR$1, DataRegularSeason20242025!$E$3:$E$1315, $A67)</f>
        <v>7</v>
      </c>
      <c r="GS67">
        <f>SUMIFS(DataRegularSeason20242025!$AA$3:$AA$1315,DataRegularSeason20242025!$B$3:$B$1315, "&lt;=" &amp; GS$1, DataRegularSeason20242025!$D$3:$D$1315, $A67)+SUMIFS(DataRegularSeason20242025!$AB$3:$AB$1315,DataRegularSeason20242025!$B$3:$B$1315, "&lt;=" &amp; GS$1, DataRegularSeason20242025!$E$3:$E$1315, $A67)</f>
        <v>7</v>
      </c>
      <c r="GT67">
        <f>SUMIFS(DataRegularSeason20242025!$AA$3:$AA$1315,DataRegularSeason20242025!$B$3:$B$1315, "&lt;=" &amp; GT$1, DataRegularSeason20242025!$D$3:$D$1315, $A67)+SUMIFS(DataRegularSeason20242025!$AB$3:$AB$1315,DataRegularSeason20242025!$B$3:$B$1315, "&lt;=" &amp; GT$1, DataRegularSeason20242025!$E$3:$E$1315, $A67)</f>
        <v>7</v>
      </c>
      <c r="GU67">
        <f>SUMIFS(DataRegularSeason20242025!$AA$3:$AA$1315,DataRegularSeason20242025!$B$3:$B$1315, "&lt;=" &amp; GU$1, DataRegularSeason20242025!$D$3:$D$1315, $A67)+SUMIFS(DataRegularSeason20242025!$AB$3:$AB$1315,DataRegularSeason20242025!$B$3:$B$1315, "&lt;=" &amp; GU$1, DataRegularSeason20242025!$E$3:$E$1315, $A67)</f>
        <v>7</v>
      </c>
    </row>
    <row r="68" spans="1:275" x14ac:dyDescent="0.25">
      <c r="A68" t="s">
        <v>23</v>
      </c>
      <c r="B68" t="s">
        <v>90</v>
      </c>
      <c r="C68" t="s">
        <v>93</v>
      </c>
      <c r="D68">
        <f>SUMIFS(DataRegularSeason20242025!$AA$3:$AA$1315,DataRegularSeason20242025!$B$3:$B$1315, "&lt;=" &amp; D$1, DataRegularSeason20242025!$D$3:$D$1315, $A68)+SUMIFS(DataRegularSeason20242025!$AB$3:$AB$1315,DataRegularSeason20242025!$B$3:$B$1315, "&lt;=" &amp; D$1, DataRegularSeason20242025!$E$3:$E$1315, $A68)</f>
        <v>0</v>
      </c>
      <c r="E68">
        <f>SUMIFS(DataRegularSeason20242025!$AA$3:$AA$1315,DataRegularSeason20242025!$B$3:$B$1315, "&lt;=" &amp; E$1, DataRegularSeason20242025!$D$3:$D$1315, $A68)+SUMIFS(DataRegularSeason20242025!$AB$3:$AB$1315,DataRegularSeason20242025!$B$3:$B$1315, "&lt;=" &amp; E$1, DataRegularSeason20242025!$E$3:$E$1315, $A68)</f>
        <v>0</v>
      </c>
      <c r="F68">
        <f>SUMIFS(DataRegularSeason20242025!$AA$3:$AA$1315,DataRegularSeason20242025!$B$3:$B$1315, "&lt;=" &amp; F$1, DataRegularSeason20242025!$D$3:$D$1315, $A68)+SUMIFS(DataRegularSeason20242025!$AB$3:$AB$1315,DataRegularSeason20242025!$B$3:$B$1315, "&lt;=" &amp; F$1, DataRegularSeason20242025!$E$3:$E$1315, $A68)</f>
        <v>0</v>
      </c>
      <c r="G68">
        <f>SUMIFS(DataRegularSeason20242025!$AA$3:$AA$1315,DataRegularSeason20242025!$B$3:$B$1315, "&lt;=" &amp; G$1, DataRegularSeason20242025!$D$3:$D$1315, $A68)+SUMIFS(DataRegularSeason20242025!$AB$3:$AB$1315,DataRegularSeason20242025!$B$3:$B$1315, "&lt;=" &amp; G$1, DataRegularSeason20242025!$E$3:$E$1315, $A68)</f>
        <v>0</v>
      </c>
      <c r="H68">
        <f>SUMIFS(DataRegularSeason20242025!$AA$3:$AA$1315,DataRegularSeason20242025!$B$3:$B$1315, "&lt;=" &amp; H$1, DataRegularSeason20242025!$D$3:$D$1315, $A68)+SUMIFS(DataRegularSeason20242025!$AB$3:$AB$1315,DataRegularSeason20242025!$B$3:$B$1315, "&lt;=" &amp; H$1, DataRegularSeason20242025!$E$3:$E$1315, $A68)</f>
        <v>0</v>
      </c>
      <c r="I68">
        <f>SUMIFS(DataRegularSeason20242025!$AA$3:$AA$1315,DataRegularSeason20242025!$B$3:$B$1315, "&lt;=" &amp; I$1, DataRegularSeason20242025!$D$3:$D$1315, $A68)+SUMIFS(DataRegularSeason20242025!$AB$3:$AB$1315,DataRegularSeason20242025!$B$3:$B$1315, "&lt;=" &amp; I$1, DataRegularSeason20242025!$E$3:$E$1315, $A68)</f>
        <v>2</v>
      </c>
      <c r="J68">
        <f>SUMIFS(DataRegularSeason20242025!$AA$3:$AA$1315,DataRegularSeason20242025!$B$3:$B$1315, "&lt;=" &amp; J$1, DataRegularSeason20242025!$D$3:$D$1315, $A68)+SUMIFS(DataRegularSeason20242025!$AB$3:$AB$1315,DataRegularSeason20242025!$B$3:$B$1315, "&lt;=" &amp; J$1, DataRegularSeason20242025!$E$3:$E$1315, $A68)</f>
        <v>2</v>
      </c>
      <c r="K68">
        <f>SUMIFS(DataRegularSeason20242025!$AA$3:$AA$1315,DataRegularSeason20242025!$B$3:$B$1315, "&lt;=" &amp; K$1, DataRegularSeason20242025!$D$3:$D$1315, $A68)+SUMIFS(DataRegularSeason20242025!$AB$3:$AB$1315,DataRegularSeason20242025!$B$3:$B$1315, "&lt;=" &amp; K$1, DataRegularSeason20242025!$E$3:$E$1315, $A68)</f>
        <v>2</v>
      </c>
      <c r="L68">
        <f>SUMIFS(DataRegularSeason20242025!$AA$3:$AA$1315,DataRegularSeason20242025!$B$3:$B$1315, "&lt;=" &amp; L$1, DataRegularSeason20242025!$D$3:$D$1315, $A68)+SUMIFS(DataRegularSeason20242025!$AB$3:$AB$1315,DataRegularSeason20242025!$B$3:$B$1315, "&lt;=" &amp; L$1, DataRegularSeason20242025!$E$3:$E$1315, $A68)</f>
        <v>2</v>
      </c>
      <c r="M68">
        <f>SUMIFS(DataRegularSeason20242025!$AA$3:$AA$1315,DataRegularSeason20242025!$B$3:$B$1315, "&lt;=" &amp; M$1, DataRegularSeason20242025!$D$3:$D$1315, $A68)+SUMIFS(DataRegularSeason20242025!$AB$3:$AB$1315,DataRegularSeason20242025!$B$3:$B$1315, "&lt;=" &amp; M$1, DataRegularSeason20242025!$E$3:$E$1315, $A68)</f>
        <v>2</v>
      </c>
      <c r="N68">
        <f>SUMIFS(DataRegularSeason20242025!$AA$3:$AA$1315,DataRegularSeason20242025!$B$3:$B$1315, "&lt;=" &amp; N$1, DataRegularSeason20242025!$D$3:$D$1315, $A68)+SUMIFS(DataRegularSeason20242025!$AB$3:$AB$1315,DataRegularSeason20242025!$B$3:$B$1315, "&lt;=" &amp; N$1, DataRegularSeason20242025!$E$3:$E$1315, $A68)</f>
        <v>2</v>
      </c>
      <c r="O68">
        <f>SUMIFS(DataRegularSeason20242025!$AA$3:$AA$1315,DataRegularSeason20242025!$B$3:$B$1315, "&lt;=" &amp; O$1, DataRegularSeason20242025!$D$3:$D$1315, $A68)+SUMIFS(DataRegularSeason20242025!$AB$3:$AB$1315,DataRegularSeason20242025!$B$3:$B$1315, "&lt;=" &amp; O$1, DataRegularSeason20242025!$E$3:$E$1315, $A68)</f>
        <v>2</v>
      </c>
      <c r="P68">
        <f>SUMIFS(DataRegularSeason20242025!$AA$3:$AA$1315,DataRegularSeason20242025!$B$3:$B$1315, "&lt;=" &amp; P$1, DataRegularSeason20242025!$D$3:$D$1315, $A68)+SUMIFS(DataRegularSeason20242025!$AB$3:$AB$1315,DataRegularSeason20242025!$B$3:$B$1315, "&lt;=" &amp; P$1, DataRegularSeason20242025!$E$3:$E$1315, $A68)</f>
        <v>2</v>
      </c>
      <c r="Q68">
        <f>SUMIFS(DataRegularSeason20242025!$AA$3:$AA$1315,DataRegularSeason20242025!$B$3:$B$1315, "&lt;=" &amp; Q$1, DataRegularSeason20242025!$D$3:$D$1315, $A68)+SUMIFS(DataRegularSeason20242025!$AB$3:$AB$1315,DataRegularSeason20242025!$B$3:$B$1315, "&lt;=" &amp; Q$1, DataRegularSeason20242025!$E$3:$E$1315, $A68)</f>
        <v>2</v>
      </c>
      <c r="R68">
        <f>SUMIFS(DataRegularSeason20242025!$AA$3:$AA$1315,DataRegularSeason20242025!$B$3:$B$1315, "&lt;=" &amp; R$1, DataRegularSeason20242025!$D$3:$D$1315, $A68)+SUMIFS(DataRegularSeason20242025!$AB$3:$AB$1315,DataRegularSeason20242025!$B$3:$B$1315, "&lt;=" &amp; R$1, DataRegularSeason20242025!$E$3:$E$1315, $A68)</f>
        <v>2</v>
      </c>
      <c r="S68">
        <f>SUMIFS(DataRegularSeason20242025!$AA$3:$AA$1315,DataRegularSeason20242025!$B$3:$B$1315, "&lt;=" &amp; S$1, DataRegularSeason20242025!$D$3:$D$1315, $A68)+SUMIFS(DataRegularSeason20242025!$AB$3:$AB$1315,DataRegularSeason20242025!$B$3:$B$1315, "&lt;=" &amp; S$1, DataRegularSeason20242025!$E$3:$E$1315, $A68)</f>
        <v>2</v>
      </c>
      <c r="T68">
        <f>SUMIFS(DataRegularSeason20242025!$AA$3:$AA$1315,DataRegularSeason20242025!$B$3:$B$1315, "&lt;=" &amp; T$1, DataRegularSeason20242025!$D$3:$D$1315, $A68)+SUMIFS(DataRegularSeason20242025!$AB$3:$AB$1315,DataRegularSeason20242025!$B$3:$B$1315, "&lt;=" &amp; T$1, DataRegularSeason20242025!$E$3:$E$1315, $A68)</f>
        <v>2</v>
      </c>
      <c r="U68">
        <f>SUMIFS(DataRegularSeason20242025!$AA$3:$AA$1315,DataRegularSeason20242025!$B$3:$B$1315, "&lt;=" &amp; U$1, DataRegularSeason20242025!$D$3:$D$1315, $A68)+SUMIFS(DataRegularSeason20242025!$AB$3:$AB$1315,DataRegularSeason20242025!$B$3:$B$1315, "&lt;=" &amp; U$1, DataRegularSeason20242025!$E$3:$E$1315, $A68)</f>
        <v>2</v>
      </c>
      <c r="V68">
        <f>SUMIFS(DataRegularSeason20242025!$AA$3:$AA$1315,DataRegularSeason20242025!$B$3:$B$1315, "&lt;=" &amp; V$1, DataRegularSeason20242025!$D$3:$D$1315, $A68)+SUMIFS(DataRegularSeason20242025!$AB$3:$AB$1315,DataRegularSeason20242025!$B$3:$B$1315, "&lt;=" &amp; V$1, DataRegularSeason20242025!$E$3:$E$1315, $A68)</f>
        <v>2</v>
      </c>
      <c r="W68">
        <f>SUMIFS(DataRegularSeason20242025!$AA$3:$AA$1315,DataRegularSeason20242025!$B$3:$B$1315, "&lt;=" &amp; W$1, DataRegularSeason20242025!$D$3:$D$1315, $A68)+SUMIFS(DataRegularSeason20242025!$AB$3:$AB$1315,DataRegularSeason20242025!$B$3:$B$1315, "&lt;=" &amp; W$1, DataRegularSeason20242025!$E$3:$E$1315, $A68)</f>
        <v>2</v>
      </c>
      <c r="X68">
        <f>SUMIFS(DataRegularSeason20242025!$AA$3:$AA$1315,DataRegularSeason20242025!$B$3:$B$1315, "&lt;=" &amp; X$1, DataRegularSeason20242025!$D$3:$D$1315, $A68)+SUMIFS(DataRegularSeason20242025!$AB$3:$AB$1315,DataRegularSeason20242025!$B$3:$B$1315, "&lt;=" &amp; X$1, DataRegularSeason20242025!$E$3:$E$1315, $A68)</f>
        <v>2</v>
      </c>
      <c r="Y68">
        <f>SUMIFS(DataRegularSeason20242025!$AA$3:$AA$1315,DataRegularSeason20242025!$B$3:$B$1315, "&lt;=" &amp; Y$1, DataRegularSeason20242025!$D$3:$D$1315, $A68)+SUMIFS(DataRegularSeason20242025!$AB$3:$AB$1315,DataRegularSeason20242025!$B$3:$B$1315, "&lt;=" &amp; Y$1, DataRegularSeason20242025!$E$3:$E$1315, $A68)</f>
        <v>2</v>
      </c>
      <c r="Z68">
        <f>SUMIFS(DataRegularSeason20242025!$AA$3:$AA$1315,DataRegularSeason20242025!$B$3:$B$1315, "&lt;=" &amp; Z$1, DataRegularSeason20242025!$D$3:$D$1315, $A68)+SUMIFS(DataRegularSeason20242025!$AB$3:$AB$1315,DataRegularSeason20242025!$B$3:$B$1315, "&lt;=" &amp; Z$1, DataRegularSeason20242025!$E$3:$E$1315, $A68)</f>
        <v>2</v>
      </c>
      <c r="AA68">
        <f>SUMIFS(DataRegularSeason20242025!$AA$3:$AA$1315,DataRegularSeason20242025!$B$3:$B$1315, "&lt;=" &amp; AA$1, DataRegularSeason20242025!$D$3:$D$1315, $A68)+SUMIFS(DataRegularSeason20242025!$AB$3:$AB$1315,DataRegularSeason20242025!$B$3:$B$1315, "&lt;=" &amp; AA$1, DataRegularSeason20242025!$E$3:$E$1315, $A68)</f>
        <v>2</v>
      </c>
      <c r="AB68">
        <f>SUMIFS(DataRegularSeason20242025!$AA$3:$AA$1315,DataRegularSeason20242025!$B$3:$B$1315, "&lt;=" &amp; AB$1, DataRegularSeason20242025!$D$3:$D$1315, $A68)+SUMIFS(DataRegularSeason20242025!$AB$3:$AB$1315,DataRegularSeason20242025!$B$3:$B$1315, "&lt;=" &amp; AB$1, DataRegularSeason20242025!$E$3:$E$1315, $A68)</f>
        <v>2</v>
      </c>
      <c r="AC68">
        <f>SUMIFS(DataRegularSeason20242025!$AA$3:$AA$1315,DataRegularSeason20242025!$B$3:$B$1315, "&lt;=" &amp; AC$1, DataRegularSeason20242025!$D$3:$D$1315, $A68)+SUMIFS(DataRegularSeason20242025!$AB$3:$AB$1315,DataRegularSeason20242025!$B$3:$B$1315, "&lt;=" &amp; AC$1, DataRegularSeason20242025!$E$3:$E$1315, $A68)</f>
        <v>2</v>
      </c>
      <c r="AD68">
        <f>SUMIFS(DataRegularSeason20242025!$AA$3:$AA$1315,DataRegularSeason20242025!$B$3:$B$1315, "&lt;=" &amp; AD$1, DataRegularSeason20242025!$D$3:$D$1315, $A68)+SUMIFS(DataRegularSeason20242025!$AB$3:$AB$1315,DataRegularSeason20242025!$B$3:$B$1315, "&lt;=" &amp; AD$1, DataRegularSeason20242025!$E$3:$E$1315, $A68)</f>
        <v>2</v>
      </c>
      <c r="AE68">
        <f>SUMIFS(DataRegularSeason20242025!$AA$3:$AA$1315,DataRegularSeason20242025!$B$3:$B$1315, "&lt;=" &amp; AE$1, DataRegularSeason20242025!$D$3:$D$1315, $A68)+SUMIFS(DataRegularSeason20242025!$AB$3:$AB$1315,DataRegularSeason20242025!$B$3:$B$1315, "&lt;=" &amp; AE$1, DataRegularSeason20242025!$E$3:$E$1315, $A68)</f>
        <v>2</v>
      </c>
      <c r="AF68">
        <f>SUMIFS(DataRegularSeason20242025!$AA$3:$AA$1315,DataRegularSeason20242025!$B$3:$B$1315, "&lt;=" &amp; AF$1, DataRegularSeason20242025!$D$3:$D$1315, $A68)+SUMIFS(DataRegularSeason20242025!$AB$3:$AB$1315,DataRegularSeason20242025!$B$3:$B$1315, "&lt;=" &amp; AF$1, DataRegularSeason20242025!$E$3:$E$1315, $A68)</f>
        <v>2</v>
      </c>
      <c r="AG68">
        <f>SUMIFS(DataRegularSeason20242025!$AA$3:$AA$1315,DataRegularSeason20242025!$B$3:$B$1315, "&lt;=" &amp; AG$1, DataRegularSeason20242025!$D$3:$D$1315, $A68)+SUMIFS(DataRegularSeason20242025!$AB$3:$AB$1315,DataRegularSeason20242025!$B$3:$B$1315, "&lt;=" &amp; AG$1, DataRegularSeason20242025!$E$3:$E$1315, $A68)</f>
        <v>2</v>
      </c>
      <c r="AH68">
        <f>SUMIFS(DataRegularSeason20242025!$AA$3:$AA$1315,DataRegularSeason20242025!$B$3:$B$1315, "&lt;=" &amp; AH$1, DataRegularSeason20242025!$D$3:$D$1315, $A68)+SUMIFS(DataRegularSeason20242025!$AB$3:$AB$1315,DataRegularSeason20242025!$B$3:$B$1315, "&lt;=" &amp; AH$1, DataRegularSeason20242025!$E$3:$E$1315, $A68)</f>
        <v>2</v>
      </c>
      <c r="AI68">
        <f>SUMIFS(DataRegularSeason20242025!$AA$3:$AA$1315,DataRegularSeason20242025!$B$3:$B$1315, "&lt;=" &amp; AI$1, DataRegularSeason20242025!$D$3:$D$1315, $A68)+SUMIFS(DataRegularSeason20242025!$AB$3:$AB$1315,DataRegularSeason20242025!$B$3:$B$1315, "&lt;=" &amp; AI$1, DataRegularSeason20242025!$E$3:$E$1315, $A68)</f>
        <v>2</v>
      </c>
      <c r="AJ68">
        <f>SUMIFS(DataRegularSeason20242025!$AA$3:$AA$1315,DataRegularSeason20242025!$B$3:$B$1315, "&lt;=" &amp; AJ$1, DataRegularSeason20242025!$D$3:$D$1315, $A68)+SUMIFS(DataRegularSeason20242025!$AB$3:$AB$1315,DataRegularSeason20242025!$B$3:$B$1315, "&lt;=" &amp; AJ$1, DataRegularSeason20242025!$E$3:$E$1315, $A68)</f>
        <v>2</v>
      </c>
      <c r="AK68">
        <f>SUMIFS(DataRegularSeason20242025!$AA$3:$AA$1315,DataRegularSeason20242025!$B$3:$B$1315, "&lt;=" &amp; AK$1, DataRegularSeason20242025!$D$3:$D$1315, $A68)+SUMIFS(DataRegularSeason20242025!$AB$3:$AB$1315,DataRegularSeason20242025!$B$3:$B$1315, "&lt;=" &amp; AK$1, DataRegularSeason20242025!$E$3:$E$1315, $A68)</f>
        <v>2</v>
      </c>
      <c r="AL68">
        <f>SUMIFS(DataRegularSeason20242025!$AA$3:$AA$1315,DataRegularSeason20242025!$B$3:$B$1315, "&lt;=" &amp; AL$1, DataRegularSeason20242025!$D$3:$D$1315, $A68)+SUMIFS(DataRegularSeason20242025!$AB$3:$AB$1315,DataRegularSeason20242025!$B$3:$B$1315, "&lt;=" &amp; AL$1, DataRegularSeason20242025!$E$3:$E$1315, $A68)</f>
        <v>2</v>
      </c>
      <c r="AM68">
        <f>SUMIFS(DataRegularSeason20242025!$AA$3:$AA$1315,DataRegularSeason20242025!$B$3:$B$1315, "&lt;=" &amp; AM$1, DataRegularSeason20242025!$D$3:$D$1315, $A68)+SUMIFS(DataRegularSeason20242025!$AB$3:$AB$1315,DataRegularSeason20242025!$B$3:$B$1315, "&lt;=" &amp; AM$1, DataRegularSeason20242025!$E$3:$E$1315, $A68)</f>
        <v>2</v>
      </c>
      <c r="AN68">
        <f>SUMIFS(DataRegularSeason20242025!$AA$3:$AA$1315,DataRegularSeason20242025!$B$3:$B$1315, "&lt;=" &amp; AN$1, DataRegularSeason20242025!$D$3:$D$1315, $A68)+SUMIFS(DataRegularSeason20242025!$AB$3:$AB$1315,DataRegularSeason20242025!$B$3:$B$1315, "&lt;=" &amp; AN$1, DataRegularSeason20242025!$E$3:$E$1315, $A68)</f>
        <v>2</v>
      </c>
      <c r="AO68">
        <f>SUMIFS(DataRegularSeason20242025!$AA$3:$AA$1315,DataRegularSeason20242025!$B$3:$B$1315, "&lt;=" &amp; AO$1, DataRegularSeason20242025!$D$3:$D$1315, $A68)+SUMIFS(DataRegularSeason20242025!$AB$3:$AB$1315,DataRegularSeason20242025!$B$3:$B$1315, "&lt;=" &amp; AO$1, DataRegularSeason20242025!$E$3:$E$1315, $A68)</f>
        <v>2</v>
      </c>
      <c r="AP68">
        <f>SUMIFS(DataRegularSeason20242025!$AA$3:$AA$1315,DataRegularSeason20242025!$B$3:$B$1315, "&lt;=" &amp; AP$1, DataRegularSeason20242025!$D$3:$D$1315, $A68)+SUMIFS(DataRegularSeason20242025!$AB$3:$AB$1315,DataRegularSeason20242025!$B$3:$B$1315, "&lt;=" &amp; AP$1, DataRegularSeason20242025!$E$3:$E$1315, $A68)</f>
        <v>2</v>
      </c>
      <c r="AQ68">
        <f>SUMIFS(DataRegularSeason20242025!$AA$3:$AA$1315,DataRegularSeason20242025!$B$3:$B$1315, "&lt;=" &amp; AQ$1, DataRegularSeason20242025!$D$3:$D$1315, $A68)+SUMIFS(DataRegularSeason20242025!$AB$3:$AB$1315,DataRegularSeason20242025!$B$3:$B$1315, "&lt;=" &amp; AQ$1, DataRegularSeason20242025!$E$3:$E$1315, $A68)</f>
        <v>2</v>
      </c>
      <c r="AR68">
        <f>SUMIFS(DataRegularSeason20242025!$AA$3:$AA$1315,DataRegularSeason20242025!$B$3:$B$1315, "&lt;=" &amp; AR$1, DataRegularSeason20242025!$D$3:$D$1315, $A68)+SUMIFS(DataRegularSeason20242025!$AB$3:$AB$1315,DataRegularSeason20242025!$B$3:$B$1315, "&lt;=" &amp; AR$1, DataRegularSeason20242025!$E$3:$E$1315, $A68)</f>
        <v>2</v>
      </c>
      <c r="AS68">
        <f>SUMIFS(DataRegularSeason20242025!$AA$3:$AA$1315,DataRegularSeason20242025!$B$3:$B$1315, "&lt;=" &amp; AS$1, DataRegularSeason20242025!$D$3:$D$1315, $A68)+SUMIFS(DataRegularSeason20242025!$AB$3:$AB$1315,DataRegularSeason20242025!$B$3:$B$1315, "&lt;=" &amp; AS$1, DataRegularSeason20242025!$E$3:$E$1315, $A68)</f>
        <v>2</v>
      </c>
      <c r="AT68">
        <f>SUMIFS(DataRegularSeason20242025!$AA$3:$AA$1315,DataRegularSeason20242025!$B$3:$B$1315, "&lt;=" &amp; AT$1, DataRegularSeason20242025!$D$3:$D$1315, $A68)+SUMIFS(DataRegularSeason20242025!$AB$3:$AB$1315,DataRegularSeason20242025!$B$3:$B$1315, "&lt;=" &amp; AT$1, DataRegularSeason20242025!$E$3:$E$1315, $A68)</f>
        <v>2</v>
      </c>
      <c r="AU68">
        <f>SUMIFS(DataRegularSeason20242025!$AA$3:$AA$1315,DataRegularSeason20242025!$B$3:$B$1315, "&lt;=" &amp; AU$1, DataRegularSeason20242025!$D$3:$D$1315, $A68)+SUMIFS(DataRegularSeason20242025!$AB$3:$AB$1315,DataRegularSeason20242025!$B$3:$B$1315, "&lt;=" &amp; AU$1, DataRegularSeason20242025!$E$3:$E$1315, $A68)</f>
        <v>2</v>
      </c>
      <c r="AV68">
        <f>SUMIFS(DataRegularSeason20242025!$AA$3:$AA$1315,DataRegularSeason20242025!$B$3:$B$1315, "&lt;=" &amp; AV$1, DataRegularSeason20242025!$D$3:$D$1315, $A68)+SUMIFS(DataRegularSeason20242025!$AB$3:$AB$1315,DataRegularSeason20242025!$B$3:$B$1315, "&lt;=" &amp; AV$1, DataRegularSeason20242025!$E$3:$E$1315, $A68)</f>
        <v>2</v>
      </c>
      <c r="AW68">
        <f>SUMIFS(DataRegularSeason20242025!$AA$3:$AA$1315,DataRegularSeason20242025!$B$3:$B$1315, "&lt;=" &amp; AW$1, DataRegularSeason20242025!$D$3:$D$1315, $A68)+SUMIFS(DataRegularSeason20242025!$AB$3:$AB$1315,DataRegularSeason20242025!$B$3:$B$1315, "&lt;=" &amp; AW$1, DataRegularSeason20242025!$E$3:$E$1315, $A68)</f>
        <v>2</v>
      </c>
      <c r="AX68">
        <f>SUMIFS(DataRegularSeason20242025!$AA$3:$AA$1315,DataRegularSeason20242025!$B$3:$B$1315, "&lt;=" &amp; AX$1, DataRegularSeason20242025!$D$3:$D$1315, $A68)+SUMIFS(DataRegularSeason20242025!$AB$3:$AB$1315,DataRegularSeason20242025!$B$3:$B$1315, "&lt;=" &amp; AX$1, DataRegularSeason20242025!$E$3:$E$1315, $A68)</f>
        <v>2</v>
      </c>
      <c r="AY68">
        <f>SUMIFS(DataRegularSeason20242025!$AA$3:$AA$1315,DataRegularSeason20242025!$B$3:$B$1315, "&lt;=" &amp; AY$1, DataRegularSeason20242025!$D$3:$D$1315, $A68)+SUMIFS(DataRegularSeason20242025!$AB$3:$AB$1315,DataRegularSeason20242025!$B$3:$B$1315, "&lt;=" &amp; AY$1, DataRegularSeason20242025!$E$3:$E$1315, $A68)</f>
        <v>2</v>
      </c>
      <c r="AZ68">
        <f>SUMIFS(DataRegularSeason20242025!$AA$3:$AA$1315,DataRegularSeason20242025!$B$3:$B$1315, "&lt;=" &amp; AZ$1, DataRegularSeason20242025!$D$3:$D$1315, $A68)+SUMIFS(DataRegularSeason20242025!$AB$3:$AB$1315,DataRegularSeason20242025!$B$3:$B$1315, "&lt;=" &amp; AZ$1, DataRegularSeason20242025!$E$3:$E$1315, $A68)</f>
        <v>2</v>
      </c>
      <c r="BA68">
        <f>SUMIFS(DataRegularSeason20242025!$AA$3:$AA$1315,DataRegularSeason20242025!$B$3:$B$1315, "&lt;=" &amp; BA$1, DataRegularSeason20242025!$D$3:$D$1315, $A68)+SUMIFS(DataRegularSeason20242025!$AB$3:$AB$1315,DataRegularSeason20242025!$B$3:$B$1315, "&lt;=" &amp; BA$1, DataRegularSeason20242025!$E$3:$E$1315, $A68)</f>
        <v>2</v>
      </c>
      <c r="BB68">
        <f>SUMIFS(DataRegularSeason20242025!$AA$3:$AA$1315,DataRegularSeason20242025!$B$3:$B$1315, "&lt;=" &amp; BB$1, DataRegularSeason20242025!$D$3:$D$1315, $A68)+SUMIFS(DataRegularSeason20242025!$AB$3:$AB$1315,DataRegularSeason20242025!$B$3:$B$1315, "&lt;=" &amp; BB$1, DataRegularSeason20242025!$E$3:$E$1315, $A68)</f>
        <v>2</v>
      </c>
      <c r="BC68">
        <f>SUMIFS(DataRegularSeason20242025!$AA$3:$AA$1315,DataRegularSeason20242025!$B$3:$B$1315, "&lt;=" &amp; BC$1, DataRegularSeason20242025!$D$3:$D$1315, $A68)+SUMIFS(DataRegularSeason20242025!$AB$3:$AB$1315,DataRegularSeason20242025!$B$3:$B$1315, "&lt;=" &amp; BC$1, DataRegularSeason20242025!$E$3:$E$1315, $A68)</f>
        <v>2</v>
      </c>
      <c r="BD68">
        <f>SUMIFS(DataRegularSeason20242025!$AA$3:$AA$1315,DataRegularSeason20242025!$B$3:$B$1315, "&lt;=" &amp; BD$1, DataRegularSeason20242025!$D$3:$D$1315, $A68)+SUMIFS(DataRegularSeason20242025!$AB$3:$AB$1315,DataRegularSeason20242025!$B$3:$B$1315, "&lt;=" &amp; BD$1, DataRegularSeason20242025!$E$3:$E$1315, $A68)</f>
        <v>2</v>
      </c>
      <c r="BE68">
        <f>SUMIFS(DataRegularSeason20242025!$AA$3:$AA$1315,DataRegularSeason20242025!$B$3:$B$1315, "&lt;=" &amp; BE$1, DataRegularSeason20242025!$D$3:$D$1315, $A68)+SUMIFS(DataRegularSeason20242025!$AB$3:$AB$1315,DataRegularSeason20242025!$B$3:$B$1315, "&lt;=" &amp; BE$1, DataRegularSeason20242025!$E$3:$E$1315, $A68)</f>
        <v>2</v>
      </c>
      <c r="BF68">
        <f>SUMIFS(DataRegularSeason20242025!$AA$3:$AA$1315,DataRegularSeason20242025!$B$3:$B$1315, "&lt;=" &amp; BF$1, DataRegularSeason20242025!$D$3:$D$1315, $A68)+SUMIFS(DataRegularSeason20242025!$AB$3:$AB$1315,DataRegularSeason20242025!$B$3:$B$1315, "&lt;=" &amp; BF$1, DataRegularSeason20242025!$E$3:$E$1315, $A68)</f>
        <v>2</v>
      </c>
      <c r="BG68">
        <f>SUMIFS(DataRegularSeason20242025!$AA$3:$AA$1315,DataRegularSeason20242025!$B$3:$B$1315, "&lt;=" &amp; BG$1, DataRegularSeason20242025!$D$3:$D$1315, $A68)+SUMIFS(DataRegularSeason20242025!$AB$3:$AB$1315,DataRegularSeason20242025!$B$3:$B$1315, "&lt;=" &amp; BG$1, DataRegularSeason20242025!$E$3:$E$1315, $A68)</f>
        <v>2</v>
      </c>
      <c r="BH68">
        <f>SUMIFS(DataRegularSeason20242025!$AA$3:$AA$1315,DataRegularSeason20242025!$B$3:$B$1315, "&lt;=" &amp; BH$1, DataRegularSeason20242025!$D$3:$D$1315, $A68)+SUMIFS(DataRegularSeason20242025!$AB$3:$AB$1315,DataRegularSeason20242025!$B$3:$B$1315, "&lt;=" &amp; BH$1, DataRegularSeason20242025!$E$3:$E$1315, $A68)</f>
        <v>2</v>
      </c>
      <c r="BI68">
        <f>SUMIFS(DataRegularSeason20242025!$AA$3:$AA$1315,DataRegularSeason20242025!$B$3:$B$1315, "&lt;=" &amp; BI$1, DataRegularSeason20242025!$D$3:$D$1315, $A68)+SUMIFS(DataRegularSeason20242025!$AB$3:$AB$1315,DataRegularSeason20242025!$B$3:$B$1315, "&lt;=" &amp; BI$1, DataRegularSeason20242025!$E$3:$E$1315, $A68)</f>
        <v>2</v>
      </c>
      <c r="BJ68">
        <f>SUMIFS(DataRegularSeason20242025!$AA$3:$AA$1315,DataRegularSeason20242025!$B$3:$B$1315, "&lt;=" &amp; BJ$1, DataRegularSeason20242025!$D$3:$D$1315, $A68)+SUMIFS(DataRegularSeason20242025!$AB$3:$AB$1315,DataRegularSeason20242025!$B$3:$B$1315, "&lt;=" &amp; BJ$1, DataRegularSeason20242025!$E$3:$E$1315, $A68)</f>
        <v>2</v>
      </c>
      <c r="BK68">
        <f>SUMIFS(DataRegularSeason20242025!$AA$3:$AA$1315,DataRegularSeason20242025!$B$3:$B$1315, "&lt;=" &amp; BK$1, DataRegularSeason20242025!$D$3:$D$1315, $A68)+SUMIFS(DataRegularSeason20242025!$AB$3:$AB$1315,DataRegularSeason20242025!$B$3:$B$1315, "&lt;=" &amp; BK$1, DataRegularSeason20242025!$E$3:$E$1315, $A68)</f>
        <v>2</v>
      </c>
      <c r="BL68">
        <f>SUMIFS(DataRegularSeason20242025!$AA$3:$AA$1315,DataRegularSeason20242025!$B$3:$B$1315, "&lt;=" &amp; BL$1, DataRegularSeason20242025!$D$3:$D$1315, $A68)+SUMIFS(DataRegularSeason20242025!$AB$3:$AB$1315,DataRegularSeason20242025!$B$3:$B$1315, "&lt;=" &amp; BL$1, DataRegularSeason20242025!$E$3:$E$1315, $A68)</f>
        <v>2</v>
      </c>
      <c r="BM68">
        <f>SUMIFS(DataRegularSeason20242025!$AA$3:$AA$1315,DataRegularSeason20242025!$B$3:$B$1315, "&lt;=" &amp; BM$1, DataRegularSeason20242025!$D$3:$D$1315, $A68)+SUMIFS(DataRegularSeason20242025!$AB$3:$AB$1315,DataRegularSeason20242025!$B$3:$B$1315, "&lt;=" &amp; BM$1, DataRegularSeason20242025!$E$3:$E$1315, $A68)</f>
        <v>2</v>
      </c>
      <c r="BN68">
        <f>SUMIFS(DataRegularSeason20242025!$AA$3:$AA$1315,DataRegularSeason20242025!$B$3:$B$1315, "&lt;=" &amp; BN$1, DataRegularSeason20242025!$D$3:$D$1315, $A68)+SUMIFS(DataRegularSeason20242025!$AB$3:$AB$1315,DataRegularSeason20242025!$B$3:$B$1315, "&lt;=" &amp; BN$1, DataRegularSeason20242025!$E$3:$E$1315, $A68)</f>
        <v>2</v>
      </c>
      <c r="BO68">
        <f>SUMIFS(DataRegularSeason20242025!$AA$3:$AA$1315,DataRegularSeason20242025!$B$3:$B$1315, "&lt;=" &amp; BO$1, DataRegularSeason20242025!$D$3:$D$1315, $A68)+SUMIFS(DataRegularSeason20242025!$AB$3:$AB$1315,DataRegularSeason20242025!$B$3:$B$1315, "&lt;=" &amp; BO$1, DataRegularSeason20242025!$E$3:$E$1315, $A68)</f>
        <v>2</v>
      </c>
      <c r="BP68">
        <f>SUMIFS(DataRegularSeason20242025!$AA$3:$AA$1315,DataRegularSeason20242025!$B$3:$B$1315, "&lt;=" &amp; BP$1, DataRegularSeason20242025!$D$3:$D$1315, $A68)+SUMIFS(DataRegularSeason20242025!$AB$3:$AB$1315,DataRegularSeason20242025!$B$3:$B$1315, "&lt;=" &amp; BP$1, DataRegularSeason20242025!$E$3:$E$1315, $A68)</f>
        <v>2</v>
      </c>
      <c r="BQ68">
        <f>SUMIFS(DataRegularSeason20242025!$AA$3:$AA$1315,DataRegularSeason20242025!$B$3:$B$1315, "&lt;=" &amp; BQ$1, DataRegularSeason20242025!$D$3:$D$1315, $A68)+SUMIFS(DataRegularSeason20242025!$AB$3:$AB$1315,DataRegularSeason20242025!$B$3:$B$1315, "&lt;=" &amp; BQ$1, DataRegularSeason20242025!$E$3:$E$1315, $A68)</f>
        <v>2</v>
      </c>
      <c r="BR68">
        <f>SUMIFS(DataRegularSeason20242025!$AA$3:$AA$1315,DataRegularSeason20242025!$B$3:$B$1315, "&lt;=" &amp; BR$1, DataRegularSeason20242025!$D$3:$D$1315, $A68)+SUMIFS(DataRegularSeason20242025!$AB$3:$AB$1315,DataRegularSeason20242025!$B$3:$B$1315, "&lt;=" &amp; BR$1, DataRegularSeason20242025!$E$3:$E$1315, $A68)</f>
        <v>2</v>
      </c>
      <c r="BS68">
        <f>SUMIFS(DataRegularSeason20242025!$AA$3:$AA$1315,DataRegularSeason20242025!$B$3:$B$1315, "&lt;=" &amp; BS$1, DataRegularSeason20242025!$D$3:$D$1315, $A68)+SUMIFS(DataRegularSeason20242025!$AB$3:$AB$1315,DataRegularSeason20242025!$B$3:$B$1315, "&lt;=" &amp; BS$1, DataRegularSeason20242025!$E$3:$E$1315, $A68)</f>
        <v>2</v>
      </c>
      <c r="BT68">
        <f>SUMIFS(DataRegularSeason20242025!$AA$3:$AA$1315,DataRegularSeason20242025!$B$3:$B$1315, "&lt;=" &amp; BT$1, DataRegularSeason20242025!$D$3:$D$1315, $A68)+SUMIFS(DataRegularSeason20242025!$AB$3:$AB$1315,DataRegularSeason20242025!$B$3:$B$1315, "&lt;=" &amp; BT$1, DataRegularSeason20242025!$E$3:$E$1315, $A68)</f>
        <v>2</v>
      </c>
      <c r="BU68">
        <f>SUMIFS(DataRegularSeason20242025!$AA$3:$AA$1315,DataRegularSeason20242025!$B$3:$B$1315, "&lt;=" &amp; BU$1, DataRegularSeason20242025!$D$3:$D$1315, $A68)+SUMIFS(DataRegularSeason20242025!$AB$3:$AB$1315,DataRegularSeason20242025!$B$3:$B$1315, "&lt;=" &amp; BU$1, DataRegularSeason20242025!$E$3:$E$1315, $A68)</f>
        <v>2</v>
      </c>
      <c r="BV68">
        <f>SUMIFS(DataRegularSeason20242025!$AA$3:$AA$1315,DataRegularSeason20242025!$B$3:$B$1315, "&lt;=" &amp; BV$1, DataRegularSeason20242025!$D$3:$D$1315, $A68)+SUMIFS(DataRegularSeason20242025!$AB$3:$AB$1315,DataRegularSeason20242025!$B$3:$B$1315, "&lt;=" &amp; BV$1, DataRegularSeason20242025!$E$3:$E$1315, $A68)</f>
        <v>2</v>
      </c>
      <c r="BW68">
        <f>SUMIFS(DataRegularSeason20242025!$AA$3:$AA$1315,DataRegularSeason20242025!$B$3:$B$1315, "&lt;=" &amp; BW$1, DataRegularSeason20242025!$D$3:$D$1315, $A68)+SUMIFS(DataRegularSeason20242025!$AB$3:$AB$1315,DataRegularSeason20242025!$B$3:$B$1315, "&lt;=" &amp; BW$1, DataRegularSeason20242025!$E$3:$E$1315, $A68)</f>
        <v>2</v>
      </c>
      <c r="BX68">
        <f>SUMIFS(DataRegularSeason20242025!$AA$3:$AA$1315,DataRegularSeason20242025!$B$3:$B$1315, "&lt;=" &amp; BX$1, DataRegularSeason20242025!$D$3:$D$1315, $A68)+SUMIFS(DataRegularSeason20242025!$AB$3:$AB$1315,DataRegularSeason20242025!$B$3:$B$1315, "&lt;=" &amp; BX$1, DataRegularSeason20242025!$E$3:$E$1315, $A68)</f>
        <v>2</v>
      </c>
      <c r="BY68">
        <f>SUMIFS(DataRegularSeason20242025!$AA$3:$AA$1315,DataRegularSeason20242025!$B$3:$B$1315, "&lt;=" &amp; BY$1, DataRegularSeason20242025!$D$3:$D$1315, $A68)+SUMIFS(DataRegularSeason20242025!$AB$3:$AB$1315,DataRegularSeason20242025!$B$3:$B$1315, "&lt;=" &amp; BY$1, DataRegularSeason20242025!$E$3:$E$1315, $A68)</f>
        <v>2</v>
      </c>
      <c r="BZ68">
        <f>SUMIFS(DataRegularSeason20242025!$AA$3:$AA$1315,DataRegularSeason20242025!$B$3:$B$1315, "&lt;=" &amp; BZ$1, DataRegularSeason20242025!$D$3:$D$1315, $A68)+SUMIFS(DataRegularSeason20242025!$AB$3:$AB$1315,DataRegularSeason20242025!$B$3:$B$1315, "&lt;=" &amp; BZ$1, DataRegularSeason20242025!$E$3:$E$1315, $A68)</f>
        <v>2</v>
      </c>
      <c r="CA68">
        <f>SUMIFS(DataRegularSeason20242025!$AA$3:$AA$1315,DataRegularSeason20242025!$B$3:$B$1315, "&lt;=" &amp; CA$1, DataRegularSeason20242025!$D$3:$D$1315, $A68)+SUMIFS(DataRegularSeason20242025!$AB$3:$AB$1315,DataRegularSeason20242025!$B$3:$B$1315, "&lt;=" &amp; CA$1, DataRegularSeason20242025!$E$3:$E$1315, $A68)</f>
        <v>2</v>
      </c>
      <c r="CB68">
        <f>SUMIFS(DataRegularSeason20242025!$AA$3:$AA$1315,DataRegularSeason20242025!$B$3:$B$1315, "&lt;=" &amp; CB$1, DataRegularSeason20242025!$D$3:$D$1315, $A68)+SUMIFS(DataRegularSeason20242025!$AB$3:$AB$1315,DataRegularSeason20242025!$B$3:$B$1315, "&lt;=" &amp; CB$1, DataRegularSeason20242025!$E$3:$E$1315, $A68)</f>
        <v>2</v>
      </c>
      <c r="CC68">
        <f>SUMIFS(DataRegularSeason20242025!$AA$3:$AA$1315,DataRegularSeason20242025!$B$3:$B$1315, "&lt;=" &amp; CC$1, DataRegularSeason20242025!$D$3:$D$1315, $A68)+SUMIFS(DataRegularSeason20242025!$AB$3:$AB$1315,DataRegularSeason20242025!$B$3:$B$1315, "&lt;=" &amp; CC$1, DataRegularSeason20242025!$E$3:$E$1315, $A68)</f>
        <v>2</v>
      </c>
      <c r="CD68">
        <f>SUMIFS(DataRegularSeason20242025!$AA$3:$AA$1315,DataRegularSeason20242025!$B$3:$B$1315, "&lt;=" &amp; CD$1, DataRegularSeason20242025!$D$3:$D$1315, $A68)+SUMIFS(DataRegularSeason20242025!$AB$3:$AB$1315,DataRegularSeason20242025!$B$3:$B$1315, "&lt;=" &amp; CD$1, DataRegularSeason20242025!$E$3:$E$1315, $A68)</f>
        <v>2</v>
      </c>
      <c r="CE68">
        <f>SUMIFS(DataRegularSeason20242025!$AA$3:$AA$1315,DataRegularSeason20242025!$B$3:$B$1315, "&lt;=" &amp; CE$1, DataRegularSeason20242025!$D$3:$D$1315, $A68)+SUMIFS(DataRegularSeason20242025!$AB$3:$AB$1315,DataRegularSeason20242025!$B$3:$B$1315, "&lt;=" &amp; CE$1, DataRegularSeason20242025!$E$3:$E$1315, $A68)</f>
        <v>2</v>
      </c>
      <c r="CF68">
        <f>SUMIFS(DataRegularSeason20242025!$AA$3:$AA$1315,DataRegularSeason20242025!$B$3:$B$1315, "&lt;=" &amp; CF$1, DataRegularSeason20242025!$D$3:$D$1315, $A68)+SUMIFS(DataRegularSeason20242025!$AB$3:$AB$1315,DataRegularSeason20242025!$B$3:$B$1315, "&lt;=" &amp; CF$1, DataRegularSeason20242025!$E$3:$E$1315, $A68)</f>
        <v>2</v>
      </c>
      <c r="CG68">
        <f>SUMIFS(DataRegularSeason20242025!$AA$3:$AA$1315,DataRegularSeason20242025!$B$3:$B$1315, "&lt;=" &amp; CG$1, DataRegularSeason20242025!$D$3:$D$1315, $A68)+SUMIFS(DataRegularSeason20242025!$AB$3:$AB$1315,DataRegularSeason20242025!$B$3:$B$1315, "&lt;=" &amp; CG$1, DataRegularSeason20242025!$E$3:$E$1315, $A68)</f>
        <v>2</v>
      </c>
      <c r="CH68">
        <f>SUMIFS(DataRegularSeason20242025!$AA$3:$AA$1315,DataRegularSeason20242025!$B$3:$B$1315, "&lt;=" &amp; CH$1, DataRegularSeason20242025!$D$3:$D$1315, $A68)+SUMIFS(DataRegularSeason20242025!$AB$3:$AB$1315,DataRegularSeason20242025!$B$3:$B$1315, "&lt;=" &amp; CH$1, DataRegularSeason20242025!$E$3:$E$1315, $A68)</f>
        <v>2</v>
      </c>
      <c r="CI68">
        <f>SUMIFS(DataRegularSeason20242025!$AA$3:$AA$1315,DataRegularSeason20242025!$B$3:$B$1315, "&lt;=" &amp; CI$1, DataRegularSeason20242025!$D$3:$D$1315, $A68)+SUMIFS(DataRegularSeason20242025!$AB$3:$AB$1315,DataRegularSeason20242025!$B$3:$B$1315, "&lt;=" &amp; CI$1, DataRegularSeason20242025!$E$3:$E$1315, $A68)</f>
        <v>2</v>
      </c>
      <c r="CJ68">
        <f>SUMIFS(DataRegularSeason20242025!$AA$3:$AA$1315,DataRegularSeason20242025!$B$3:$B$1315, "&lt;=" &amp; CJ$1, DataRegularSeason20242025!$D$3:$D$1315, $A68)+SUMIFS(DataRegularSeason20242025!$AB$3:$AB$1315,DataRegularSeason20242025!$B$3:$B$1315, "&lt;=" &amp; CJ$1, DataRegularSeason20242025!$E$3:$E$1315, $A68)</f>
        <v>2</v>
      </c>
      <c r="CK68">
        <f>SUMIFS(DataRegularSeason20242025!$AA$3:$AA$1315,DataRegularSeason20242025!$B$3:$B$1315, "&lt;=" &amp; CK$1, DataRegularSeason20242025!$D$3:$D$1315, $A68)+SUMIFS(DataRegularSeason20242025!$AB$3:$AB$1315,DataRegularSeason20242025!$B$3:$B$1315, "&lt;=" &amp; CK$1, DataRegularSeason20242025!$E$3:$E$1315, $A68)</f>
        <v>2</v>
      </c>
      <c r="CL68">
        <f>SUMIFS(DataRegularSeason20242025!$AA$3:$AA$1315,DataRegularSeason20242025!$B$3:$B$1315, "&lt;=" &amp; CL$1, DataRegularSeason20242025!$D$3:$D$1315, $A68)+SUMIFS(DataRegularSeason20242025!$AB$3:$AB$1315,DataRegularSeason20242025!$B$3:$B$1315, "&lt;=" &amp; CL$1, DataRegularSeason20242025!$E$3:$E$1315, $A68)</f>
        <v>2</v>
      </c>
      <c r="CM68">
        <f>SUMIFS(DataRegularSeason20242025!$AA$3:$AA$1315,DataRegularSeason20242025!$B$3:$B$1315, "&lt;=" &amp; CM$1, DataRegularSeason20242025!$D$3:$D$1315, $A68)+SUMIFS(DataRegularSeason20242025!$AB$3:$AB$1315,DataRegularSeason20242025!$B$3:$B$1315, "&lt;=" &amp; CM$1, DataRegularSeason20242025!$E$3:$E$1315, $A68)</f>
        <v>2</v>
      </c>
      <c r="CN68">
        <f>SUMIFS(DataRegularSeason20242025!$AA$3:$AA$1315,DataRegularSeason20242025!$B$3:$B$1315, "&lt;=" &amp; CN$1, DataRegularSeason20242025!$D$3:$D$1315, $A68)+SUMIFS(DataRegularSeason20242025!$AB$3:$AB$1315,DataRegularSeason20242025!$B$3:$B$1315, "&lt;=" &amp; CN$1, DataRegularSeason20242025!$E$3:$E$1315, $A68)</f>
        <v>2</v>
      </c>
      <c r="CO68">
        <f>SUMIFS(DataRegularSeason20242025!$AA$3:$AA$1315,DataRegularSeason20242025!$B$3:$B$1315, "&lt;=" &amp; CO$1, DataRegularSeason20242025!$D$3:$D$1315, $A68)+SUMIFS(DataRegularSeason20242025!$AB$3:$AB$1315,DataRegularSeason20242025!$B$3:$B$1315, "&lt;=" &amp; CO$1, DataRegularSeason20242025!$E$3:$E$1315, $A68)</f>
        <v>2</v>
      </c>
      <c r="CP68">
        <f>SUMIFS(DataRegularSeason20242025!$AA$3:$AA$1315,DataRegularSeason20242025!$B$3:$B$1315, "&lt;=" &amp; CP$1, DataRegularSeason20242025!$D$3:$D$1315, $A68)+SUMIFS(DataRegularSeason20242025!$AB$3:$AB$1315,DataRegularSeason20242025!$B$3:$B$1315, "&lt;=" &amp; CP$1, DataRegularSeason20242025!$E$3:$E$1315, $A68)</f>
        <v>2</v>
      </c>
      <c r="CQ68">
        <f>SUMIFS(DataRegularSeason20242025!$AA$3:$AA$1315,DataRegularSeason20242025!$B$3:$B$1315, "&lt;=" &amp; CQ$1, DataRegularSeason20242025!$D$3:$D$1315, $A68)+SUMIFS(DataRegularSeason20242025!$AB$3:$AB$1315,DataRegularSeason20242025!$B$3:$B$1315, "&lt;=" &amp; CQ$1, DataRegularSeason20242025!$E$3:$E$1315, $A68)</f>
        <v>2</v>
      </c>
      <c r="CR68">
        <f>SUMIFS(DataRegularSeason20242025!$AA$3:$AA$1315,DataRegularSeason20242025!$B$3:$B$1315, "&lt;=" &amp; CR$1, DataRegularSeason20242025!$D$3:$D$1315, $A68)+SUMIFS(DataRegularSeason20242025!$AB$3:$AB$1315,DataRegularSeason20242025!$B$3:$B$1315, "&lt;=" &amp; CR$1, DataRegularSeason20242025!$E$3:$E$1315, $A68)</f>
        <v>2</v>
      </c>
      <c r="CS68">
        <f>SUMIFS(DataRegularSeason20242025!$AA$3:$AA$1315,DataRegularSeason20242025!$B$3:$B$1315, "&lt;=" &amp; CS$1, DataRegularSeason20242025!$D$3:$D$1315, $A68)+SUMIFS(DataRegularSeason20242025!$AB$3:$AB$1315,DataRegularSeason20242025!$B$3:$B$1315, "&lt;=" &amp; CS$1, DataRegularSeason20242025!$E$3:$E$1315, $A68)</f>
        <v>2</v>
      </c>
      <c r="CT68">
        <f>SUMIFS(DataRegularSeason20242025!$AA$3:$AA$1315,DataRegularSeason20242025!$B$3:$B$1315, "&lt;=" &amp; CT$1, DataRegularSeason20242025!$D$3:$D$1315, $A68)+SUMIFS(DataRegularSeason20242025!$AB$3:$AB$1315,DataRegularSeason20242025!$B$3:$B$1315, "&lt;=" &amp; CT$1, DataRegularSeason20242025!$E$3:$E$1315, $A68)</f>
        <v>2</v>
      </c>
      <c r="CU68">
        <f>SUMIFS(DataRegularSeason20242025!$AA$3:$AA$1315,DataRegularSeason20242025!$B$3:$B$1315, "&lt;=" &amp; CU$1, DataRegularSeason20242025!$D$3:$D$1315, $A68)+SUMIFS(DataRegularSeason20242025!$AB$3:$AB$1315,DataRegularSeason20242025!$B$3:$B$1315, "&lt;=" &amp; CU$1, DataRegularSeason20242025!$E$3:$E$1315, $A68)</f>
        <v>2</v>
      </c>
      <c r="CV68">
        <f>SUMIFS(DataRegularSeason20242025!$AA$3:$AA$1315,DataRegularSeason20242025!$B$3:$B$1315, "&lt;=" &amp; CV$1, DataRegularSeason20242025!$D$3:$D$1315, $A68)+SUMIFS(DataRegularSeason20242025!$AB$3:$AB$1315,DataRegularSeason20242025!$B$3:$B$1315, "&lt;=" &amp; CV$1, DataRegularSeason20242025!$E$3:$E$1315, $A68)</f>
        <v>2</v>
      </c>
      <c r="CW68">
        <f>SUMIFS(DataRegularSeason20242025!$AA$3:$AA$1315,DataRegularSeason20242025!$B$3:$B$1315, "&lt;=" &amp; CW$1, DataRegularSeason20242025!$D$3:$D$1315, $A68)+SUMIFS(DataRegularSeason20242025!$AB$3:$AB$1315,DataRegularSeason20242025!$B$3:$B$1315, "&lt;=" &amp; CW$1, DataRegularSeason20242025!$E$3:$E$1315, $A68)</f>
        <v>2</v>
      </c>
      <c r="CX68">
        <f>SUMIFS(DataRegularSeason20242025!$AA$3:$AA$1315,DataRegularSeason20242025!$B$3:$B$1315, "&lt;=" &amp; CX$1, DataRegularSeason20242025!$D$3:$D$1315, $A68)+SUMIFS(DataRegularSeason20242025!$AB$3:$AB$1315,DataRegularSeason20242025!$B$3:$B$1315, "&lt;=" &amp; CX$1, DataRegularSeason20242025!$E$3:$E$1315, $A68)</f>
        <v>2</v>
      </c>
      <c r="CY68">
        <f>SUMIFS(DataRegularSeason20242025!$AA$3:$AA$1315,DataRegularSeason20242025!$B$3:$B$1315, "&lt;=" &amp; CY$1, DataRegularSeason20242025!$D$3:$D$1315, $A68)+SUMIFS(DataRegularSeason20242025!$AB$3:$AB$1315,DataRegularSeason20242025!$B$3:$B$1315, "&lt;=" &amp; CY$1, DataRegularSeason20242025!$E$3:$E$1315, $A68)</f>
        <v>2</v>
      </c>
      <c r="CZ68">
        <f>SUMIFS(DataRegularSeason20242025!$AA$3:$AA$1315,DataRegularSeason20242025!$B$3:$B$1315, "&lt;=" &amp; CZ$1, DataRegularSeason20242025!$D$3:$D$1315, $A68)+SUMIFS(DataRegularSeason20242025!$AB$3:$AB$1315,DataRegularSeason20242025!$B$3:$B$1315, "&lt;=" &amp; CZ$1, DataRegularSeason20242025!$E$3:$E$1315, $A68)</f>
        <v>2</v>
      </c>
      <c r="DA68">
        <f>SUMIFS(DataRegularSeason20242025!$AA$3:$AA$1315,DataRegularSeason20242025!$B$3:$B$1315, "&lt;=" &amp; DA$1, DataRegularSeason20242025!$D$3:$D$1315, $A68)+SUMIFS(DataRegularSeason20242025!$AB$3:$AB$1315,DataRegularSeason20242025!$B$3:$B$1315, "&lt;=" &amp; DA$1, DataRegularSeason20242025!$E$3:$E$1315, $A68)</f>
        <v>2</v>
      </c>
      <c r="DB68">
        <f>SUMIFS(DataRegularSeason20242025!$AA$3:$AA$1315,DataRegularSeason20242025!$B$3:$B$1315, "&lt;=" &amp; DB$1, DataRegularSeason20242025!$D$3:$D$1315, $A68)+SUMIFS(DataRegularSeason20242025!$AB$3:$AB$1315,DataRegularSeason20242025!$B$3:$B$1315, "&lt;=" &amp; DB$1, DataRegularSeason20242025!$E$3:$E$1315, $A68)</f>
        <v>2</v>
      </c>
      <c r="DC68">
        <f>SUMIFS(DataRegularSeason20242025!$AA$3:$AA$1315,DataRegularSeason20242025!$B$3:$B$1315, "&lt;=" &amp; DC$1, DataRegularSeason20242025!$D$3:$D$1315, $A68)+SUMIFS(DataRegularSeason20242025!$AB$3:$AB$1315,DataRegularSeason20242025!$B$3:$B$1315, "&lt;=" &amp; DC$1, DataRegularSeason20242025!$E$3:$E$1315, $A68)</f>
        <v>2</v>
      </c>
      <c r="DD68">
        <f>SUMIFS(DataRegularSeason20242025!$AA$3:$AA$1315,DataRegularSeason20242025!$B$3:$B$1315, "&lt;=" &amp; DD$1, DataRegularSeason20242025!$D$3:$D$1315, $A68)+SUMIFS(DataRegularSeason20242025!$AB$3:$AB$1315,DataRegularSeason20242025!$B$3:$B$1315, "&lt;=" &amp; DD$1, DataRegularSeason20242025!$E$3:$E$1315, $A68)</f>
        <v>2</v>
      </c>
      <c r="DE68">
        <f>SUMIFS(DataRegularSeason20242025!$AA$3:$AA$1315,DataRegularSeason20242025!$B$3:$B$1315, "&lt;=" &amp; DE$1, DataRegularSeason20242025!$D$3:$D$1315, $A68)+SUMIFS(DataRegularSeason20242025!$AB$3:$AB$1315,DataRegularSeason20242025!$B$3:$B$1315, "&lt;=" &amp; DE$1, DataRegularSeason20242025!$E$3:$E$1315, $A68)</f>
        <v>2</v>
      </c>
      <c r="DF68">
        <f>SUMIFS(DataRegularSeason20242025!$AA$3:$AA$1315,DataRegularSeason20242025!$B$3:$B$1315, "&lt;=" &amp; DF$1, DataRegularSeason20242025!$D$3:$D$1315, $A68)+SUMIFS(DataRegularSeason20242025!$AB$3:$AB$1315,DataRegularSeason20242025!$B$3:$B$1315, "&lt;=" &amp; DF$1, DataRegularSeason20242025!$E$3:$E$1315, $A68)</f>
        <v>2</v>
      </c>
      <c r="DG68">
        <f>SUMIFS(DataRegularSeason20242025!$AA$3:$AA$1315,DataRegularSeason20242025!$B$3:$B$1315, "&lt;=" &amp; DG$1, DataRegularSeason20242025!$D$3:$D$1315, $A68)+SUMIFS(DataRegularSeason20242025!$AB$3:$AB$1315,DataRegularSeason20242025!$B$3:$B$1315, "&lt;=" &amp; DG$1, DataRegularSeason20242025!$E$3:$E$1315, $A68)</f>
        <v>2</v>
      </c>
      <c r="DH68">
        <f>SUMIFS(DataRegularSeason20242025!$AA$3:$AA$1315,DataRegularSeason20242025!$B$3:$B$1315, "&lt;=" &amp; DH$1, DataRegularSeason20242025!$D$3:$D$1315, $A68)+SUMIFS(DataRegularSeason20242025!$AB$3:$AB$1315,DataRegularSeason20242025!$B$3:$B$1315, "&lt;=" &amp; DH$1, DataRegularSeason20242025!$E$3:$E$1315, $A68)</f>
        <v>2</v>
      </c>
      <c r="DI68">
        <f>SUMIFS(DataRegularSeason20242025!$AA$3:$AA$1315,DataRegularSeason20242025!$B$3:$B$1315, "&lt;=" &amp; DI$1, DataRegularSeason20242025!$D$3:$D$1315, $A68)+SUMIFS(DataRegularSeason20242025!$AB$3:$AB$1315,DataRegularSeason20242025!$B$3:$B$1315, "&lt;=" &amp; DI$1, DataRegularSeason20242025!$E$3:$E$1315, $A68)</f>
        <v>2</v>
      </c>
      <c r="DJ68">
        <f>SUMIFS(DataRegularSeason20242025!$AA$3:$AA$1315,DataRegularSeason20242025!$B$3:$B$1315, "&lt;=" &amp; DJ$1, DataRegularSeason20242025!$D$3:$D$1315, $A68)+SUMIFS(DataRegularSeason20242025!$AB$3:$AB$1315,DataRegularSeason20242025!$B$3:$B$1315, "&lt;=" &amp; DJ$1, DataRegularSeason20242025!$E$3:$E$1315, $A68)</f>
        <v>2</v>
      </c>
      <c r="DK68">
        <f>SUMIFS(DataRegularSeason20242025!$AA$3:$AA$1315,DataRegularSeason20242025!$B$3:$B$1315, "&lt;=" &amp; DK$1, DataRegularSeason20242025!$D$3:$D$1315, $A68)+SUMIFS(DataRegularSeason20242025!$AB$3:$AB$1315,DataRegularSeason20242025!$B$3:$B$1315, "&lt;=" &amp; DK$1, DataRegularSeason20242025!$E$3:$E$1315, $A68)</f>
        <v>2</v>
      </c>
      <c r="DL68">
        <f>SUMIFS(DataRegularSeason20242025!$AA$3:$AA$1315,DataRegularSeason20242025!$B$3:$B$1315, "&lt;=" &amp; DL$1, DataRegularSeason20242025!$D$3:$D$1315, $A68)+SUMIFS(DataRegularSeason20242025!$AB$3:$AB$1315,DataRegularSeason20242025!$B$3:$B$1315, "&lt;=" &amp; DL$1, DataRegularSeason20242025!$E$3:$E$1315, $A68)</f>
        <v>2</v>
      </c>
      <c r="DM68">
        <f>SUMIFS(DataRegularSeason20242025!$AA$3:$AA$1315,DataRegularSeason20242025!$B$3:$B$1315, "&lt;=" &amp; DM$1, DataRegularSeason20242025!$D$3:$D$1315, $A68)+SUMIFS(DataRegularSeason20242025!$AB$3:$AB$1315,DataRegularSeason20242025!$B$3:$B$1315, "&lt;=" &amp; DM$1, DataRegularSeason20242025!$E$3:$E$1315, $A68)</f>
        <v>2</v>
      </c>
      <c r="DN68">
        <f>SUMIFS(DataRegularSeason20242025!$AA$3:$AA$1315,DataRegularSeason20242025!$B$3:$B$1315, "&lt;=" &amp; DN$1, DataRegularSeason20242025!$D$3:$D$1315, $A68)+SUMIFS(DataRegularSeason20242025!$AB$3:$AB$1315,DataRegularSeason20242025!$B$3:$B$1315, "&lt;=" &amp; DN$1, DataRegularSeason20242025!$E$3:$E$1315, $A68)</f>
        <v>2</v>
      </c>
      <c r="DO68">
        <f>SUMIFS(DataRegularSeason20242025!$AA$3:$AA$1315,DataRegularSeason20242025!$B$3:$B$1315, "&lt;=" &amp; DO$1, DataRegularSeason20242025!$D$3:$D$1315, $A68)+SUMIFS(DataRegularSeason20242025!$AB$3:$AB$1315,DataRegularSeason20242025!$B$3:$B$1315, "&lt;=" &amp; DO$1, DataRegularSeason20242025!$E$3:$E$1315, $A68)</f>
        <v>2</v>
      </c>
      <c r="DP68">
        <f>SUMIFS(DataRegularSeason20242025!$AA$3:$AA$1315,DataRegularSeason20242025!$B$3:$B$1315, "&lt;=" &amp; DP$1, DataRegularSeason20242025!$D$3:$D$1315, $A68)+SUMIFS(DataRegularSeason20242025!$AB$3:$AB$1315,DataRegularSeason20242025!$B$3:$B$1315, "&lt;=" &amp; DP$1, DataRegularSeason20242025!$E$3:$E$1315, $A68)</f>
        <v>2</v>
      </c>
      <c r="DQ68">
        <f>SUMIFS(DataRegularSeason20242025!$AA$3:$AA$1315,DataRegularSeason20242025!$B$3:$B$1315, "&lt;=" &amp; DQ$1, DataRegularSeason20242025!$D$3:$D$1315, $A68)+SUMIFS(DataRegularSeason20242025!$AB$3:$AB$1315,DataRegularSeason20242025!$B$3:$B$1315, "&lt;=" &amp; DQ$1, DataRegularSeason20242025!$E$3:$E$1315, $A68)</f>
        <v>2</v>
      </c>
      <c r="DR68">
        <f>SUMIFS(DataRegularSeason20242025!$AA$3:$AA$1315,DataRegularSeason20242025!$B$3:$B$1315, "&lt;=" &amp; DR$1, DataRegularSeason20242025!$D$3:$D$1315, $A68)+SUMIFS(DataRegularSeason20242025!$AB$3:$AB$1315,DataRegularSeason20242025!$B$3:$B$1315, "&lt;=" &amp; DR$1, DataRegularSeason20242025!$E$3:$E$1315, $A68)</f>
        <v>2</v>
      </c>
      <c r="DS68">
        <f>SUMIFS(DataRegularSeason20242025!$AA$3:$AA$1315,DataRegularSeason20242025!$B$3:$B$1315, "&lt;=" &amp; DS$1, DataRegularSeason20242025!$D$3:$D$1315, $A68)+SUMIFS(DataRegularSeason20242025!$AB$3:$AB$1315,DataRegularSeason20242025!$B$3:$B$1315, "&lt;=" &amp; DS$1, DataRegularSeason20242025!$E$3:$E$1315, $A68)</f>
        <v>2</v>
      </c>
      <c r="DT68">
        <f>SUMIFS(DataRegularSeason20242025!$AA$3:$AA$1315,DataRegularSeason20242025!$B$3:$B$1315, "&lt;=" &amp; DT$1, DataRegularSeason20242025!$D$3:$D$1315, $A68)+SUMIFS(DataRegularSeason20242025!$AB$3:$AB$1315,DataRegularSeason20242025!$B$3:$B$1315, "&lt;=" &amp; DT$1, DataRegularSeason20242025!$E$3:$E$1315, $A68)</f>
        <v>2</v>
      </c>
      <c r="DU68">
        <f>SUMIFS(DataRegularSeason20242025!$AA$3:$AA$1315,DataRegularSeason20242025!$B$3:$B$1315, "&lt;=" &amp; DU$1, DataRegularSeason20242025!$D$3:$D$1315, $A68)+SUMIFS(DataRegularSeason20242025!$AB$3:$AB$1315,DataRegularSeason20242025!$B$3:$B$1315, "&lt;=" &amp; DU$1, DataRegularSeason20242025!$E$3:$E$1315, $A68)</f>
        <v>2</v>
      </c>
      <c r="DV68">
        <f>SUMIFS(DataRegularSeason20242025!$AA$3:$AA$1315,DataRegularSeason20242025!$B$3:$B$1315, "&lt;=" &amp; DV$1, DataRegularSeason20242025!$D$3:$D$1315, $A68)+SUMIFS(DataRegularSeason20242025!$AB$3:$AB$1315,DataRegularSeason20242025!$B$3:$B$1315, "&lt;=" &amp; DV$1, DataRegularSeason20242025!$E$3:$E$1315, $A68)</f>
        <v>2</v>
      </c>
      <c r="DW68">
        <f>SUMIFS(DataRegularSeason20242025!$AA$3:$AA$1315,DataRegularSeason20242025!$B$3:$B$1315, "&lt;=" &amp; DW$1, DataRegularSeason20242025!$D$3:$D$1315, $A68)+SUMIFS(DataRegularSeason20242025!$AB$3:$AB$1315,DataRegularSeason20242025!$B$3:$B$1315, "&lt;=" &amp; DW$1, DataRegularSeason20242025!$E$3:$E$1315, $A68)</f>
        <v>2</v>
      </c>
      <c r="DX68">
        <f>SUMIFS(DataRegularSeason20242025!$AA$3:$AA$1315,DataRegularSeason20242025!$B$3:$B$1315, "&lt;=" &amp; DX$1, DataRegularSeason20242025!$D$3:$D$1315, $A68)+SUMIFS(DataRegularSeason20242025!$AB$3:$AB$1315,DataRegularSeason20242025!$B$3:$B$1315, "&lt;=" &amp; DX$1, DataRegularSeason20242025!$E$3:$E$1315, $A68)</f>
        <v>2</v>
      </c>
      <c r="DY68">
        <f>SUMIFS(DataRegularSeason20242025!$AA$3:$AA$1315,DataRegularSeason20242025!$B$3:$B$1315, "&lt;=" &amp; DY$1, DataRegularSeason20242025!$D$3:$D$1315, $A68)+SUMIFS(DataRegularSeason20242025!$AB$3:$AB$1315,DataRegularSeason20242025!$B$3:$B$1315, "&lt;=" &amp; DY$1, DataRegularSeason20242025!$E$3:$E$1315, $A68)</f>
        <v>2</v>
      </c>
      <c r="DZ68">
        <f>SUMIFS(DataRegularSeason20242025!$AA$3:$AA$1315,DataRegularSeason20242025!$B$3:$B$1315, "&lt;=" &amp; DZ$1, DataRegularSeason20242025!$D$3:$D$1315, $A68)+SUMIFS(DataRegularSeason20242025!$AB$3:$AB$1315,DataRegularSeason20242025!$B$3:$B$1315, "&lt;=" &amp; DZ$1, DataRegularSeason20242025!$E$3:$E$1315, $A68)</f>
        <v>2</v>
      </c>
      <c r="EA68">
        <f>SUMIFS(DataRegularSeason20242025!$AA$3:$AA$1315,DataRegularSeason20242025!$B$3:$B$1315, "&lt;=" &amp; EA$1, DataRegularSeason20242025!$D$3:$D$1315, $A68)+SUMIFS(DataRegularSeason20242025!$AB$3:$AB$1315,DataRegularSeason20242025!$B$3:$B$1315, "&lt;=" &amp; EA$1, DataRegularSeason20242025!$E$3:$E$1315, $A68)</f>
        <v>2</v>
      </c>
      <c r="EB68">
        <f>SUMIFS(DataRegularSeason20242025!$AA$3:$AA$1315,DataRegularSeason20242025!$B$3:$B$1315, "&lt;=" &amp; EB$1, DataRegularSeason20242025!$D$3:$D$1315, $A68)+SUMIFS(DataRegularSeason20242025!$AB$3:$AB$1315,DataRegularSeason20242025!$B$3:$B$1315, "&lt;=" &amp; EB$1, DataRegularSeason20242025!$E$3:$E$1315, $A68)</f>
        <v>2</v>
      </c>
      <c r="EC68">
        <f>SUMIFS(DataRegularSeason20242025!$AA$3:$AA$1315,DataRegularSeason20242025!$B$3:$B$1315, "&lt;=" &amp; EC$1, DataRegularSeason20242025!$D$3:$D$1315, $A68)+SUMIFS(DataRegularSeason20242025!$AB$3:$AB$1315,DataRegularSeason20242025!$B$3:$B$1315, "&lt;=" &amp; EC$1, DataRegularSeason20242025!$E$3:$E$1315, $A68)</f>
        <v>2</v>
      </c>
      <c r="ED68">
        <f>SUMIFS(DataRegularSeason20242025!$AA$3:$AA$1315,DataRegularSeason20242025!$B$3:$B$1315, "&lt;=" &amp; ED$1, DataRegularSeason20242025!$D$3:$D$1315, $A68)+SUMIFS(DataRegularSeason20242025!$AB$3:$AB$1315,DataRegularSeason20242025!$B$3:$B$1315, "&lt;=" &amp; ED$1, DataRegularSeason20242025!$E$3:$E$1315, $A68)</f>
        <v>2</v>
      </c>
      <c r="EE68">
        <f>SUMIFS(DataRegularSeason20242025!$AA$3:$AA$1315,DataRegularSeason20242025!$B$3:$B$1315, "&lt;=" &amp; EE$1, DataRegularSeason20242025!$D$3:$D$1315, $A68)+SUMIFS(DataRegularSeason20242025!$AB$3:$AB$1315,DataRegularSeason20242025!$B$3:$B$1315, "&lt;=" &amp; EE$1, DataRegularSeason20242025!$E$3:$E$1315, $A68)</f>
        <v>2</v>
      </c>
      <c r="EF68">
        <f>SUMIFS(DataRegularSeason20242025!$AA$3:$AA$1315,DataRegularSeason20242025!$B$3:$B$1315, "&lt;=" &amp; EF$1, DataRegularSeason20242025!$D$3:$D$1315, $A68)+SUMIFS(DataRegularSeason20242025!$AB$3:$AB$1315,DataRegularSeason20242025!$B$3:$B$1315, "&lt;=" &amp; EF$1, DataRegularSeason20242025!$E$3:$E$1315, $A68)</f>
        <v>2</v>
      </c>
      <c r="EG68">
        <f>SUMIFS(DataRegularSeason20242025!$AA$3:$AA$1315,DataRegularSeason20242025!$B$3:$B$1315, "&lt;=" &amp; EG$1, DataRegularSeason20242025!$D$3:$D$1315, $A68)+SUMIFS(DataRegularSeason20242025!$AB$3:$AB$1315,DataRegularSeason20242025!$B$3:$B$1315, "&lt;=" &amp; EG$1, DataRegularSeason20242025!$E$3:$E$1315, $A68)</f>
        <v>2</v>
      </c>
      <c r="EH68">
        <f>SUMIFS(DataRegularSeason20242025!$AA$3:$AA$1315,DataRegularSeason20242025!$B$3:$B$1315, "&lt;=" &amp; EH$1, DataRegularSeason20242025!$D$3:$D$1315, $A68)+SUMIFS(DataRegularSeason20242025!$AB$3:$AB$1315,DataRegularSeason20242025!$B$3:$B$1315, "&lt;=" &amp; EH$1, DataRegularSeason20242025!$E$3:$E$1315, $A68)</f>
        <v>2</v>
      </c>
      <c r="EI68">
        <f>SUMIFS(DataRegularSeason20242025!$AA$3:$AA$1315,DataRegularSeason20242025!$B$3:$B$1315, "&lt;=" &amp; EI$1, DataRegularSeason20242025!$D$3:$D$1315, $A68)+SUMIFS(DataRegularSeason20242025!$AB$3:$AB$1315,DataRegularSeason20242025!$B$3:$B$1315, "&lt;=" &amp; EI$1, DataRegularSeason20242025!$E$3:$E$1315, $A68)</f>
        <v>2</v>
      </c>
      <c r="EJ68">
        <f>SUMIFS(DataRegularSeason20242025!$AA$3:$AA$1315,DataRegularSeason20242025!$B$3:$B$1315, "&lt;=" &amp; EJ$1, DataRegularSeason20242025!$D$3:$D$1315, $A68)+SUMIFS(DataRegularSeason20242025!$AB$3:$AB$1315,DataRegularSeason20242025!$B$3:$B$1315, "&lt;=" &amp; EJ$1, DataRegularSeason20242025!$E$3:$E$1315, $A68)</f>
        <v>2</v>
      </c>
      <c r="EK68">
        <f>SUMIFS(DataRegularSeason20242025!$AA$3:$AA$1315,DataRegularSeason20242025!$B$3:$B$1315, "&lt;=" &amp; EK$1, DataRegularSeason20242025!$D$3:$D$1315, $A68)+SUMIFS(DataRegularSeason20242025!$AB$3:$AB$1315,DataRegularSeason20242025!$B$3:$B$1315, "&lt;=" &amp; EK$1, DataRegularSeason20242025!$E$3:$E$1315, $A68)</f>
        <v>2</v>
      </c>
      <c r="EL68">
        <f>SUMIFS(DataRegularSeason20242025!$AA$3:$AA$1315,DataRegularSeason20242025!$B$3:$B$1315, "&lt;=" &amp; EL$1, DataRegularSeason20242025!$D$3:$D$1315, $A68)+SUMIFS(DataRegularSeason20242025!$AB$3:$AB$1315,DataRegularSeason20242025!$B$3:$B$1315, "&lt;=" &amp; EL$1, DataRegularSeason20242025!$E$3:$E$1315, $A68)</f>
        <v>2</v>
      </c>
      <c r="EM68">
        <f>SUMIFS(DataRegularSeason20242025!$AA$3:$AA$1315,DataRegularSeason20242025!$B$3:$B$1315, "&lt;=" &amp; EM$1, DataRegularSeason20242025!$D$3:$D$1315, $A68)+SUMIFS(DataRegularSeason20242025!$AB$3:$AB$1315,DataRegularSeason20242025!$B$3:$B$1315, "&lt;=" &amp; EM$1, DataRegularSeason20242025!$E$3:$E$1315, $A68)</f>
        <v>2</v>
      </c>
      <c r="EN68">
        <f>SUMIFS(DataRegularSeason20242025!$AA$3:$AA$1315,DataRegularSeason20242025!$B$3:$B$1315, "&lt;=" &amp; EN$1, DataRegularSeason20242025!$D$3:$D$1315, $A68)+SUMIFS(DataRegularSeason20242025!$AB$3:$AB$1315,DataRegularSeason20242025!$B$3:$B$1315, "&lt;=" &amp; EN$1, DataRegularSeason20242025!$E$3:$E$1315, $A68)</f>
        <v>2</v>
      </c>
      <c r="EO68">
        <f>SUMIFS(DataRegularSeason20242025!$AA$3:$AA$1315,DataRegularSeason20242025!$B$3:$B$1315, "&lt;=" &amp; EO$1, DataRegularSeason20242025!$D$3:$D$1315, $A68)+SUMIFS(DataRegularSeason20242025!$AB$3:$AB$1315,DataRegularSeason20242025!$B$3:$B$1315, "&lt;=" &amp; EO$1, DataRegularSeason20242025!$E$3:$E$1315, $A68)</f>
        <v>2</v>
      </c>
      <c r="EP68">
        <f>SUMIFS(DataRegularSeason20242025!$AA$3:$AA$1315,DataRegularSeason20242025!$B$3:$B$1315, "&lt;=" &amp; EP$1, DataRegularSeason20242025!$D$3:$D$1315, $A68)+SUMIFS(DataRegularSeason20242025!$AB$3:$AB$1315,DataRegularSeason20242025!$B$3:$B$1315, "&lt;=" &amp; EP$1, DataRegularSeason20242025!$E$3:$E$1315, $A68)</f>
        <v>2</v>
      </c>
      <c r="EQ68">
        <f>SUMIFS(DataRegularSeason20242025!$AA$3:$AA$1315,DataRegularSeason20242025!$B$3:$B$1315, "&lt;=" &amp; EQ$1, DataRegularSeason20242025!$D$3:$D$1315, $A68)+SUMIFS(DataRegularSeason20242025!$AB$3:$AB$1315,DataRegularSeason20242025!$B$3:$B$1315, "&lt;=" &amp; EQ$1, DataRegularSeason20242025!$E$3:$E$1315, $A68)</f>
        <v>2</v>
      </c>
      <c r="ER68">
        <f>SUMIFS(DataRegularSeason20242025!$AA$3:$AA$1315,DataRegularSeason20242025!$B$3:$B$1315, "&lt;=" &amp; ER$1, DataRegularSeason20242025!$D$3:$D$1315, $A68)+SUMIFS(DataRegularSeason20242025!$AB$3:$AB$1315,DataRegularSeason20242025!$B$3:$B$1315, "&lt;=" &amp; ER$1, DataRegularSeason20242025!$E$3:$E$1315, $A68)</f>
        <v>2</v>
      </c>
      <c r="ES68">
        <f>SUMIFS(DataRegularSeason20242025!$AA$3:$AA$1315,DataRegularSeason20242025!$B$3:$B$1315, "&lt;=" &amp; ES$1, DataRegularSeason20242025!$D$3:$D$1315, $A68)+SUMIFS(DataRegularSeason20242025!$AB$3:$AB$1315,DataRegularSeason20242025!$B$3:$B$1315, "&lt;=" &amp; ES$1, DataRegularSeason20242025!$E$3:$E$1315, $A68)</f>
        <v>2</v>
      </c>
      <c r="ET68">
        <f>SUMIFS(DataRegularSeason20242025!$AA$3:$AA$1315,DataRegularSeason20242025!$B$3:$B$1315, "&lt;=" &amp; ET$1, DataRegularSeason20242025!$D$3:$D$1315, $A68)+SUMIFS(DataRegularSeason20242025!$AB$3:$AB$1315,DataRegularSeason20242025!$B$3:$B$1315, "&lt;=" &amp; ET$1, DataRegularSeason20242025!$E$3:$E$1315, $A68)</f>
        <v>2</v>
      </c>
      <c r="EU68">
        <f>SUMIFS(DataRegularSeason20242025!$AA$3:$AA$1315,DataRegularSeason20242025!$B$3:$B$1315, "&lt;=" &amp; EU$1, DataRegularSeason20242025!$D$3:$D$1315, $A68)+SUMIFS(DataRegularSeason20242025!$AB$3:$AB$1315,DataRegularSeason20242025!$B$3:$B$1315, "&lt;=" &amp; EU$1, DataRegularSeason20242025!$E$3:$E$1315, $A68)</f>
        <v>2</v>
      </c>
      <c r="EV68">
        <f>SUMIFS(DataRegularSeason20242025!$AA$3:$AA$1315,DataRegularSeason20242025!$B$3:$B$1315, "&lt;=" &amp; EV$1, DataRegularSeason20242025!$D$3:$D$1315, $A68)+SUMIFS(DataRegularSeason20242025!$AB$3:$AB$1315,DataRegularSeason20242025!$B$3:$B$1315, "&lt;=" &amp; EV$1, DataRegularSeason20242025!$E$3:$E$1315, $A68)</f>
        <v>2</v>
      </c>
      <c r="EW68">
        <f>SUMIFS(DataRegularSeason20242025!$AA$3:$AA$1315,DataRegularSeason20242025!$B$3:$B$1315, "&lt;=" &amp; EW$1, DataRegularSeason20242025!$D$3:$D$1315, $A68)+SUMIFS(DataRegularSeason20242025!$AB$3:$AB$1315,DataRegularSeason20242025!$B$3:$B$1315, "&lt;=" &amp; EW$1, DataRegularSeason20242025!$E$3:$E$1315, $A68)</f>
        <v>2</v>
      </c>
      <c r="EX68">
        <f>SUMIFS(DataRegularSeason20242025!$AA$3:$AA$1315,DataRegularSeason20242025!$B$3:$B$1315, "&lt;=" &amp; EX$1, DataRegularSeason20242025!$D$3:$D$1315, $A68)+SUMIFS(DataRegularSeason20242025!$AB$3:$AB$1315,DataRegularSeason20242025!$B$3:$B$1315, "&lt;=" &amp; EX$1, DataRegularSeason20242025!$E$3:$E$1315, $A68)</f>
        <v>2</v>
      </c>
      <c r="EY68">
        <f>SUMIFS(DataRegularSeason20242025!$AA$3:$AA$1315,DataRegularSeason20242025!$B$3:$B$1315, "&lt;=" &amp; EY$1, DataRegularSeason20242025!$D$3:$D$1315, $A68)+SUMIFS(DataRegularSeason20242025!$AB$3:$AB$1315,DataRegularSeason20242025!$B$3:$B$1315, "&lt;=" &amp; EY$1, DataRegularSeason20242025!$E$3:$E$1315, $A68)</f>
        <v>2</v>
      </c>
      <c r="EZ68">
        <f>SUMIFS(DataRegularSeason20242025!$AA$3:$AA$1315,DataRegularSeason20242025!$B$3:$B$1315, "&lt;=" &amp; EZ$1, DataRegularSeason20242025!$D$3:$D$1315, $A68)+SUMIFS(DataRegularSeason20242025!$AB$3:$AB$1315,DataRegularSeason20242025!$B$3:$B$1315, "&lt;=" &amp; EZ$1, DataRegularSeason20242025!$E$3:$E$1315, $A68)</f>
        <v>2</v>
      </c>
      <c r="FA68">
        <f>SUMIFS(DataRegularSeason20242025!$AA$3:$AA$1315,DataRegularSeason20242025!$B$3:$B$1315, "&lt;=" &amp; FA$1, DataRegularSeason20242025!$D$3:$D$1315, $A68)+SUMIFS(DataRegularSeason20242025!$AB$3:$AB$1315,DataRegularSeason20242025!$B$3:$B$1315, "&lt;=" &amp; FA$1, DataRegularSeason20242025!$E$3:$E$1315, $A68)</f>
        <v>2</v>
      </c>
      <c r="FB68">
        <f>SUMIFS(DataRegularSeason20242025!$AA$3:$AA$1315,DataRegularSeason20242025!$B$3:$B$1315, "&lt;=" &amp; FB$1, DataRegularSeason20242025!$D$3:$D$1315, $A68)+SUMIFS(DataRegularSeason20242025!$AB$3:$AB$1315,DataRegularSeason20242025!$B$3:$B$1315, "&lt;=" &amp; FB$1, DataRegularSeason20242025!$E$3:$E$1315, $A68)</f>
        <v>2</v>
      </c>
      <c r="FC68">
        <f>SUMIFS(DataRegularSeason20242025!$AA$3:$AA$1315,DataRegularSeason20242025!$B$3:$B$1315, "&lt;=" &amp; FC$1, DataRegularSeason20242025!$D$3:$D$1315, $A68)+SUMIFS(DataRegularSeason20242025!$AB$3:$AB$1315,DataRegularSeason20242025!$B$3:$B$1315, "&lt;=" &amp; FC$1, DataRegularSeason20242025!$E$3:$E$1315, $A68)</f>
        <v>2</v>
      </c>
      <c r="FD68">
        <f>SUMIFS(DataRegularSeason20242025!$AA$3:$AA$1315,DataRegularSeason20242025!$B$3:$B$1315, "&lt;=" &amp; FD$1, DataRegularSeason20242025!$D$3:$D$1315, $A68)+SUMIFS(DataRegularSeason20242025!$AB$3:$AB$1315,DataRegularSeason20242025!$B$3:$B$1315, "&lt;=" &amp; FD$1, DataRegularSeason20242025!$E$3:$E$1315, $A68)</f>
        <v>2</v>
      </c>
      <c r="FE68">
        <f>SUMIFS(DataRegularSeason20242025!$AA$3:$AA$1315,DataRegularSeason20242025!$B$3:$B$1315, "&lt;=" &amp; FE$1, DataRegularSeason20242025!$D$3:$D$1315, $A68)+SUMIFS(DataRegularSeason20242025!$AB$3:$AB$1315,DataRegularSeason20242025!$B$3:$B$1315, "&lt;=" &amp; FE$1, DataRegularSeason20242025!$E$3:$E$1315, $A68)</f>
        <v>2</v>
      </c>
      <c r="FF68">
        <f>SUMIFS(DataRegularSeason20242025!$AA$3:$AA$1315,DataRegularSeason20242025!$B$3:$B$1315, "&lt;=" &amp; FF$1, DataRegularSeason20242025!$D$3:$D$1315, $A68)+SUMIFS(DataRegularSeason20242025!$AB$3:$AB$1315,DataRegularSeason20242025!$B$3:$B$1315, "&lt;=" &amp; FF$1, DataRegularSeason20242025!$E$3:$E$1315, $A68)</f>
        <v>2</v>
      </c>
      <c r="FG68">
        <f>SUMIFS(DataRegularSeason20242025!$AA$3:$AA$1315,DataRegularSeason20242025!$B$3:$B$1315, "&lt;=" &amp; FG$1, DataRegularSeason20242025!$D$3:$D$1315, $A68)+SUMIFS(DataRegularSeason20242025!$AB$3:$AB$1315,DataRegularSeason20242025!$B$3:$B$1315, "&lt;=" &amp; FG$1, DataRegularSeason20242025!$E$3:$E$1315, $A68)</f>
        <v>2</v>
      </c>
      <c r="FH68">
        <f>SUMIFS(DataRegularSeason20242025!$AA$3:$AA$1315,DataRegularSeason20242025!$B$3:$B$1315, "&lt;=" &amp; FH$1, DataRegularSeason20242025!$D$3:$D$1315, $A68)+SUMIFS(DataRegularSeason20242025!$AB$3:$AB$1315,DataRegularSeason20242025!$B$3:$B$1315, "&lt;=" &amp; FH$1, DataRegularSeason20242025!$E$3:$E$1315, $A68)</f>
        <v>2</v>
      </c>
      <c r="FI68">
        <f>SUMIFS(DataRegularSeason20242025!$AA$3:$AA$1315,DataRegularSeason20242025!$B$3:$B$1315, "&lt;=" &amp; FI$1, DataRegularSeason20242025!$D$3:$D$1315, $A68)+SUMIFS(DataRegularSeason20242025!$AB$3:$AB$1315,DataRegularSeason20242025!$B$3:$B$1315, "&lt;=" &amp; FI$1, DataRegularSeason20242025!$E$3:$E$1315, $A68)</f>
        <v>2</v>
      </c>
      <c r="FJ68">
        <f>SUMIFS(DataRegularSeason20242025!$AA$3:$AA$1315,DataRegularSeason20242025!$B$3:$B$1315, "&lt;=" &amp; FJ$1, DataRegularSeason20242025!$D$3:$D$1315, $A68)+SUMIFS(DataRegularSeason20242025!$AB$3:$AB$1315,DataRegularSeason20242025!$B$3:$B$1315, "&lt;=" &amp; FJ$1, DataRegularSeason20242025!$E$3:$E$1315, $A68)</f>
        <v>2</v>
      </c>
      <c r="FK68">
        <f>SUMIFS(DataRegularSeason20242025!$AA$3:$AA$1315,DataRegularSeason20242025!$B$3:$B$1315, "&lt;=" &amp; FK$1, DataRegularSeason20242025!$D$3:$D$1315, $A68)+SUMIFS(DataRegularSeason20242025!$AB$3:$AB$1315,DataRegularSeason20242025!$B$3:$B$1315, "&lt;=" &amp; FK$1, DataRegularSeason20242025!$E$3:$E$1315, $A68)</f>
        <v>2</v>
      </c>
      <c r="FL68">
        <f>SUMIFS(DataRegularSeason20242025!$AA$3:$AA$1315,DataRegularSeason20242025!$B$3:$B$1315, "&lt;=" &amp; FL$1, DataRegularSeason20242025!$D$3:$D$1315, $A68)+SUMIFS(DataRegularSeason20242025!$AB$3:$AB$1315,DataRegularSeason20242025!$B$3:$B$1315, "&lt;=" &amp; FL$1, DataRegularSeason20242025!$E$3:$E$1315, $A68)</f>
        <v>2</v>
      </c>
      <c r="FM68">
        <f>SUMIFS(DataRegularSeason20242025!$AA$3:$AA$1315,DataRegularSeason20242025!$B$3:$B$1315, "&lt;=" &amp; FM$1, DataRegularSeason20242025!$D$3:$D$1315, $A68)+SUMIFS(DataRegularSeason20242025!$AB$3:$AB$1315,DataRegularSeason20242025!$B$3:$B$1315, "&lt;=" &amp; FM$1, DataRegularSeason20242025!$E$3:$E$1315, $A68)</f>
        <v>2</v>
      </c>
      <c r="FN68">
        <f>SUMIFS(DataRegularSeason20242025!$AA$3:$AA$1315,DataRegularSeason20242025!$B$3:$B$1315, "&lt;=" &amp; FN$1, DataRegularSeason20242025!$D$3:$D$1315, $A68)+SUMIFS(DataRegularSeason20242025!$AB$3:$AB$1315,DataRegularSeason20242025!$B$3:$B$1315, "&lt;=" &amp; FN$1, DataRegularSeason20242025!$E$3:$E$1315, $A68)</f>
        <v>2</v>
      </c>
      <c r="FO68">
        <f>SUMIFS(DataRegularSeason20242025!$AA$3:$AA$1315,DataRegularSeason20242025!$B$3:$B$1315, "&lt;=" &amp; FO$1, DataRegularSeason20242025!$D$3:$D$1315, $A68)+SUMIFS(DataRegularSeason20242025!$AB$3:$AB$1315,DataRegularSeason20242025!$B$3:$B$1315, "&lt;=" &amp; FO$1, DataRegularSeason20242025!$E$3:$E$1315, $A68)</f>
        <v>2</v>
      </c>
      <c r="FP68">
        <f>SUMIFS(DataRegularSeason20242025!$AA$3:$AA$1315,DataRegularSeason20242025!$B$3:$B$1315, "&lt;=" &amp; FP$1, DataRegularSeason20242025!$D$3:$D$1315, $A68)+SUMIFS(DataRegularSeason20242025!$AB$3:$AB$1315,DataRegularSeason20242025!$B$3:$B$1315, "&lt;=" &amp; FP$1, DataRegularSeason20242025!$E$3:$E$1315, $A68)</f>
        <v>2</v>
      </c>
      <c r="FQ68">
        <f>SUMIFS(DataRegularSeason20242025!$AA$3:$AA$1315,DataRegularSeason20242025!$B$3:$B$1315, "&lt;=" &amp; FQ$1, DataRegularSeason20242025!$D$3:$D$1315, $A68)+SUMIFS(DataRegularSeason20242025!$AB$3:$AB$1315,DataRegularSeason20242025!$B$3:$B$1315, "&lt;=" &amp; FQ$1, DataRegularSeason20242025!$E$3:$E$1315, $A68)</f>
        <v>2</v>
      </c>
      <c r="FR68">
        <f>SUMIFS(DataRegularSeason20242025!$AA$3:$AA$1315,DataRegularSeason20242025!$B$3:$B$1315, "&lt;=" &amp; FR$1, DataRegularSeason20242025!$D$3:$D$1315, $A68)+SUMIFS(DataRegularSeason20242025!$AB$3:$AB$1315,DataRegularSeason20242025!$B$3:$B$1315, "&lt;=" &amp; FR$1, DataRegularSeason20242025!$E$3:$E$1315, $A68)</f>
        <v>2</v>
      </c>
      <c r="FS68">
        <f>SUMIFS(DataRegularSeason20242025!$AA$3:$AA$1315,DataRegularSeason20242025!$B$3:$B$1315, "&lt;=" &amp; FS$1, DataRegularSeason20242025!$D$3:$D$1315, $A68)+SUMIFS(DataRegularSeason20242025!$AB$3:$AB$1315,DataRegularSeason20242025!$B$3:$B$1315, "&lt;=" &amp; FS$1, DataRegularSeason20242025!$E$3:$E$1315, $A68)</f>
        <v>2</v>
      </c>
      <c r="FT68">
        <f>SUMIFS(DataRegularSeason20242025!$AA$3:$AA$1315,DataRegularSeason20242025!$B$3:$B$1315, "&lt;=" &amp; FT$1, DataRegularSeason20242025!$D$3:$D$1315, $A68)+SUMIFS(DataRegularSeason20242025!$AB$3:$AB$1315,DataRegularSeason20242025!$B$3:$B$1315, "&lt;=" &amp; FT$1, DataRegularSeason20242025!$E$3:$E$1315, $A68)</f>
        <v>2</v>
      </c>
      <c r="FU68">
        <f>SUMIFS(DataRegularSeason20242025!$AA$3:$AA$1315,DataRegularSeason20242025!$B$3:$B$1315, "&lt;=" &amp; FU$1, DataRegularSeason20242025!$D$3:$D$1315, $A68)+SUMIFS(DataRegularSeason20242025!$AB$3:$AB$1315,DataRegularSeason20242025!$B$3:$B$1315, "&lt;=" &amp; FU$1, DataRegularSeason20242025!$E$3:$E$1315, $A68)</f>
        <v>2</v>
      </c>
      <c r="FV68">
        <f>SUMIFS(DataRegularSeason20242025!$AA$3:$AA$1315,DataRegularSeason20242025!$B$3:$B$1315, "&lt;=" &amp; FV$1, DataRegularSeason20242025!$D$3:$D$1315, $A68)+SUMIFS(DataRegularSeason20242025!$AB$3:$AB$1315,DataRegularSeason20242025!$B$3:$B$1315, "&lt;=" &amp; FV$1, DataRegularSeason20242025!$E$3:$E$1315, $A68)</f>
        <v>2</v>
      </c>
      <c r="FW68">
        <f>SUMIFS(DataRegularSeason20242025!$AA$3:$AA$1315,DataRegularSeason20242025!$B$3:$B$1315, "&lt;=" &amp; FW$1, DataRegularSeason20242025!$D$3:$D$1315, $A68)+SUMIFS(DataRegularSeason20242025!$AB$3:$AB$1315,DataRegularSeason20242025!$B$3:$B$1315, "&lt;=" &amp; FW$1, DataRegularSeason20242025!$E$3:$E$1315, $A68)</f>
        <v>2</v>
      </c>
      <c r="FX68">
        <f>SUMIFS(DataRegularSeason20242025!$AA$3:$AA$1315,DataRegularSeason20242025!$B$3:$B$1315, "&lt;=" &amp; FX$1, DataRegularSeason20242025!$D$3:$D$1315, $A68)+SUMIFS(DataRegularSeason20242025!$AB$3:$AB$1315,DataRegularSeason20242025!$B$3:$B$1315, "&lt;=" &amp; FX$1, DataRegularSeason20242025!$E$3:$E$1315, $A68)</f>
        <v>2</v>
      </c>
      <c r="FY68">
        <f>SUMIFS(DataRegularSeason20242025!$AA$3:$AA$1315,DataRegularSeason20242025!$B$3:$B$1315, "&lt;=" &amp; FY$1, DataRegularSeason20242025!$D$3:$D$1315, $A68)+SUMIFS(DataRegularSeason20242025!$AB$3:$AB$1315,DataRegularSeason20242025!$B$3:$B$1315, "&lt;=" &amp; FY$1, DataRegularSeason20242025!$E$3:$E$1315, $A68)</f>
        <v>2</v>
      </c>
      <c r="FZ68">
        <f>SUMIFS(DataRegularSeason20242025!$AA$3:$AA$1315,DataRegularSeason20242025!$B$3:$B$1315, "&lt;=" &amp; FZ$1, DataRegularSeason20242025!$D$3:$D$1315, $A68)+SUMIFS(DataRegularSeason20242025!$AB$3:$AB$1315,DataRegularSeason20242025!$B$3:$B$1315, "&lt;=" &amp; FZ$1, DataRegularSeason20242025!$E$3:$E$1315, $A68)</f>
        <v>2</v>
      </c>
      <c r="GA68">
        <f>SUMIFS(DataRegularSeason20242025!$AA$3:$AA$1315,DataRegularSeason20242025!$B$3:$B$1315, "&lt;=" &amp; GA$1, DataRegularSeason20242025!$D$3:$D$1315, $A68)+SUMIFS(DataRegularSeason20242025!$AB$3:$AB$1315,DataRegularSeason20242025!$B$3:$B$1315, "&lt;=" &amp; GA$1, DataRegularSeason20242025!$E$3:$E$1315, $A68)</f>
        <v>2</v>
      </c>
      <c r="GB68">
        <f>SUMIFS(DataRegularSeason20242025!$AA$3:$AA$1315,DataRegularSeason20242025!$B$3:$B$1315, "&lt;=" &amp; GB$1, DataRegularSeason20242025!$D$3:$D$1315, $A68)+SUMIFS(DataRegularSeason20242025!$AB$3:$AB$1315,DataRegularSeason20242025!$B$3:$B$1315, "&lt;=" &amp; GB$1, DataRegularSeason20242025!$E$3:$E$1315, $A68)</f>
        <v>2</v>
      </c>
      <c r="GC68">
        <f>SUMIFS(DataRegularSeason20242025!$AA$3:$AA$1315,DataRegularSeason20242025!$B$3:$B$1315, "&lt;=" &amp; GC$1, DataRegularSeason20242025!$D$3:$D$1315, $A68)+SUMIFS(DataRegularSeason20242025!$AB$3:$AB$1315,DataRegularSeason20242025!$B$3:$B$1315, "&lt;=" &amp; GC$1, DataRegularSeason20242025!$E$3:$E$1315, $A68)</f>
        <v>2</v>
      </c>
      <c r="GD68">
        <f>SUMIFS(DataRegularSeason20242025!$AA$3:$AA$1315,DataRegularSeason20242025!$B$3:$B$1315, "&lt;=" &amp; GD$1, DataRegularSeason20242025!$D$3:$D$1315, $A68)+SUMIFS(DataRegularSeason20242025!$AB$3:$AB$1315,DataRegularSeason20242025!$B$3:$B$1315, "&lt;=" &amp; GD$1, DataRegularSeason20242025!$E$3:$E$1315, $A68)</f>
        <v>2</v>
      </c>
      <c r="GE68">
        <f>SUMIFS(DataRegularSeason20242025!$AA$3:$AA$1315,DataRegularSeason20242025!$B$3:$B$1315, "&lt;=" &amp; GE$1, DataRegularSeason20242025!$D$3:$D$1315, $A68)+SUMIFS(DataRegularSeason20242025!$AB$3:$AB$1315,DataRegularSeason20242025!$B$3:$B$1315, "&lt;=" &amp; GE$1, DataRegularSeason20242025!$E$3:$E$1315, $A68)</f>
        <v>2</v>
      </c>
      <c r="GF68">
        <f>SUMIFS(DataRegularSeason20242025!$AA$3:$AA$1315,DataRegularSeason20242025!$B$3:$B$1315, "&lt;=" &amp; GF$1, DataRegularSeason20242025!$D$3:$D$1315, $A68)+SUMIFS(DataRegularSeason20242025!$AB$3:$AB$1315,DataRegularSeason20242025!$B$3:$B$1315, "&lt;=" &amp; GF$1, DataRegularSeason20242025!$E$3:$E$1315, $A68)</f>
        <v>2</v>
      </c>
      <c r="GG68">
        <f>SUMIFS(DataRegularSeason20242025!$AA$3:$AA$1315,DataRegularSeason20242025!$B$3:$B$1315, "&lt;=" &amp; GG$1, DataRegularSeason20242025!$D$3:$D$1315, $A68)+SUMIFS(DataRegularSeason20242025!$AB$3:$AB$1315,DataRegularSeason20242025!$B$3:$B$1315, "&lt;=" &amp; GG$1, DataRegularSeason20242025!$E$3:$E$1315, $A68)</f>
        <v>2</v>
      </c>
      <c r="GH68">
        <f>SUMIFS(DataRegularSeason20242025!$AA$3:$AA$1315,DataRegularSeason20242025!$B$3:$B$1315, "&lt;=" &amp; GH$1, DataRegularSeason20242025!$D$3:$D$1315, $A68)+SUMIFS(DataRegularSeason20242025!$AB$3:$AB$1315,DataRegularSeason20242025!$B$3:$B$1315, "&lt;=" &amp; GH$1, DataRegularSeason20242025!$E$3:$E$1315, $A68)</f>
        <v>2</v>
      </c>
      <c r="GI68">
        <f>SUMIFS(DataRegularSeason20242025!$AA$3:$AA$1315,DataRegularSeason20242025!$B$3:$B$1315, "&lt;=" &amp; GI$1, DataRegularSeason20242025!$D$3:$D$1315, $A68)+SUMIFS(DataRegularSeason20242025!$AB$3:$AB$1315,DataRegularSeason20242025!$B$3:$B$1315, "&lt;=" &amp; GI$1, DataRegularSeason20242025!$E$3:$E$1315, $A68)</f>
        <v>2</v>
      </c>
      <c r="GJ68">
        <f>SUMIFS(DataRegularSeason20242025!$AA$3:$AA$1315,DataRegularSeason20242025!$B$3:$B$1315, "&lt;=" &amp; GJ$1, DataRegularSeason20242025!$D$3:$D$1315, $A68)+SUMIFS(DataRegularSeason20242025!$AB$3:$AB$1315,DataRegularSeason20242025!$B$3:$B$1315, "&lt;=" &amp; GJ$1, DataRegularSeason20242025!$E$3:$E$1315, $A68)</f>
        <v>2</v>
      </c>
      <c r="GK68">
        <f>SUMIFS(DataRegularSeason20242025!$AA$3:$AA$1315,DataRegularSeason20242025!$B$3:$B$1315, "&lt;=" &amp; GK$1, DataRegularSeason20242025!$D$3:$D$1315, $A68)+SUMIFS(DataRegularSeason20242025!$AB$3:$AB$1315,DataRegularSeason20242025!$B$3:$B$1315, "&lt;=" &amp; GK$1, DataRegularSeason20242025!$E$3:$E$1315, $A68)</f>
        <v>2</v>
      </c>
      <c r="GL68">
        <f>SUMIFS(DataRegularSeason20242025!$AA$3:$AA$1315,DataRegularSeason20242025!$B$3:$B$1315, "&lt;=" &amp; GL$1, DataRegularSeason20242025!$D$3:$D$1315, $A68)+SUMIFS(DataRegularSeason20242025!$AB$3:$AB$1315,DataRegularSeason20242025!$B$3:$B$1315, "&lt;=" &amp; GL$1, DataRegularSeason20242025!$E$3:$E$1315, $A68)</f>
        <v>2</v>
      </c>
      <c r="GM68">
        <f>SUMIFS(DataRegularSeason20242025!$AA$3:$AA$1315,DataRegularSeason20242025!$B$3:$B$1315, "&lt;=" &amp; GM$1, DataRegularSeason20242025!$D$3:$D$1315, $A68)+SUMIFS(DataRegularSeason20242025!$AB$3:$AB$1315,DataRegularSeason20242025!$B$3:$B$1315, "&lt;=" &amp; GM$1, DataRegularSeason20242025!$E$3:$E$1315, $A68)</f>
        <v>2</v>
      </c>
      <c r="GN68">
        <f>SUMIFS(DataRegularSeason20242025!$AA$3:$AA$1315,DataRegularSeason20242025!$B$3:$B$1315, "&lt;=" &amp; GN$1, DataRegularSeason20242025!$D$3:$D$1315, $A68)+SUMIFS(DataRegularSeason20242025!$AB$3:$AB$1315,DataRegularSeason20242025!$B$3:$B$1315, "&lt;=" &amp; GN$1, DataRegularSeason20242025!$E$3:$E$1315, $A68)</f>
        <v>2</v>
      </c>
      <c r="GO68">
        <f>SUMIFS(DataRegularSeason20242025!$AA$3:$AA$1315,DataRegularSeason20242025!$B$3:$B$1315, "&lt;=" &amp; GO$1, DataRegularSeason20242025!$D$3:$D$1315, $A68)+SUMIFS(DataRegularSeason20242025!$AB$3:$AB$1315,DataRegularSeason20242025!$B$3:$B$1315, "&lt;=" &amp; GO$1, DataRegularSeason20242025!$E$3:$E$1315, $A68)</f>
        <v>2</v>
      </c>
      <c r="GP68">
        <f>SUMIFS(DataRegularSeason20242025!$AA$3:$AA$1315,DataRegularSeason20242025!$B$3:$B$1315, "&lt;=" &amp; GP$1, DataRegularSeason20242025!$D$3:$D$1315, $A68)+SUMIFS(DataRegularSeason20242025!$AB$3:$AB$1315,DataRegularSeason20242025!$B$3:$B$1315, "&lt;=" &amp; GP$1, DataRegularSeason20242025!$E$3:$E$1315, $A68)</f>
        <v>2</v>
      </c>
      <c r="GQ68">
        <f>SUMIFS(DataRegularSeason20242025!$AA$3:$AA$1315,DataRegularSeason20242025!$B$3:$B$1315, "&lt;=" &amp; GQ$1, DataRegularSeason20242025!$D$3:$D$1315, $A68)+SUMIFS(DataRegularSeason20242025!$AB$3:$AB$1315,DataRegularSeason20242025!$B$3:$B$1315, "&lt;=" &amp; GQ$1, DataRegularSeason20242025!$E$3:$E$1315, $A68)</f>
        <v>2</v>
      </c>
      <c r="GR68">
        <f>SUMIFS(DataRegularSeason20242025!$AA$3:$AA$1315,DataRegularSeason20242025!$B$3:$B$1315, "&lt;=" &amp; GR$1, DataRegularSeason20242025!$D$3:$D$1315, $A68)+SUMIFS(DataRegularSeason20242025!$AB$3:$AB$1315,DataRegularSeason20242025!$B$3:$B$1315, "&lt;=" &amp; GR$1, DataRegularSeason20242025!$E$3:$E$1315, $A68)</f>
        <v>2</v>
      </c>
      <c r="GS68">
        <f>SUMIFS(DataRegularSeason20242025!$AA$3:$AA$1315,DataRegularSeason20242025!$B$3:$B$1315, "&lt;=" &amp; GS$1, DataRegularSeason20242025!$D$3:$D$1315, $A68)+SUMIFS(DataRegularSeason20242025!$AB$3:$AB$1315,DataRegularSeason20242025!$B$3:$B$1315, "&lt;=" &amp; GS$1, DataRegularSeason20242025!$E$3:$E$1315, $A68)</f>
        <v>2</v>
      </c>
      <c r="GT68">
        <f>SUMIFS(DataRegularSeason20242025!$AA$3:$AA$1315,DataRegularSeason20242025!$B$3:$B$1315, "&lt;=" &amp; GT$1, DataRegularSeason20242025!$D$3:$D$1315, $A68)+SUMIFS(DataRegularSeason20242025!$AB$3:$AB$1315,DataRegularSeason20242025!$B$3:$B$1315, "&lt;=" &amp; GT$1, DataRegularSeason20242025!$E$3:$E$1315, $A68)</f>
        <v>2</v>
      </c>
      <c r="GU68">
        <f>SUMIFS(DataRegularSeason20242025!$AA$3:$AA$1315,DataRegularSeason20242025!$B$3:$B$1315, "&lt;=" &amp; GU$1, DataRegularSeason20242025!$D$3:$D$1315, $A68)+SUMIFS(DataRegularSeason20242025!$AB$3:$AB$1315,DataRegularSeason20242025!$B$3:$B$1315, "&lt;=" &amp; GU$1, DataRegularSeason20242025!$E$3:$E$1315, $A68)</f>
        <v>2</v>
      </c>
    </row>
    <row r="69" spans="1:275" x14ac:dyDescent="0.25">
      <c r="A69" t="s">
        <v>37</v>
      </c>
      <c r="B69" t="s">
        <v>90</v>
      </c>
      <c r="C69" t="s">
        <v>93</v>
      </c>
      <c r="D69">
        <f>SUMIFS(DataRegularSeason20242025!$AA$3:$AA$1315,DataRegularSeason20242025!$B$3:$B$1315, "&lt;=" &amp; D$1, DataRegularSeason20242025!$D$3:$D$1315, $A69)+SUMIFS(DataRegularSeason20242025!$AB$3:$AB$1315,DataRegularSeason20242025!$B$3:$B$1315, "&lt;=" &amp; D$1, DataRegularSeason20242025!$E$3:$E$1315, $A69)</f>
        <v>0</v>
      </c>
      <c r="E69">
        <f>SUMIFS(DataRegularSeason20242025!$AA$3:$AA$1315,DataRegularSeason20242025!$B$3:$B$1315, "&lt;=" &amp; E$1, DataRegularSeason20242025!$D$3:$D$1315, $A69)+SUMIFS(DataRegularSeason20242025!$AB$3:$AB$1315,DataRegularSeason20242025!$B$3:$B$1315, "&lt;=" &amp; E$1, DataRegularSeason20242025!$E$3:$E$1315, $A69)</f>
        <v>0</v>
      </c>
      <c r="F69">
        <f>SUMIFS(DataRegularSeason20242025!$AA$3:$AA$1315,DataRegularSeason20242025!$B$3:$B$1315, "&lt;=" &amp; F$1, DataRegularSeason20242025!$D$3:$D$1315, $A69)+SUMIFS(DataRegularSeason20242025!$AB$3:$AB$1315,DataRegularSeason20242025!$B$3:$B$1315, "&lt;=" &amp; F$1, DataRegularSeason20242025!$E$3:$E$1315, $A69)</f>
        <v>0</v>
      </c>
      <c r="G69">
        <f>SUMIFS(DataRegularSeason20242025!$AA$3:$AA$1315,DataRegularSeason20242025!$B$3:$B$1315, "&lt;=" &amp; G$1, DataRegularSeason20242025!$D$3:$D$1315, $A69)+SUMIFS(DataRegularSeason20242025!$AB$3:$AB$1315,DataRegularSeason20242025!$B$3:$B$1315, "&lt;=" &amp; G$1, DataRegularSeason20242025!$E$3:$E$1315, $A69)</f>
        <v>0</v>
      </c>
      <c r="H69">
        <f>SUMIFS(DataRegularSeason20242025!$AA$3:$AA$1315,DataRegularSeason20242025!$B$3:$B$1315, "&lt;=" &amp; H$1, DataRegularSeason20242025!$D$3:$D$1315, $A69)+SUMIFS(DataRegularSeason20242025!$AB$3:$AB$1315,DataRegularSeason20242025!$B$3:$B$1315, "&lt;=" &amp; H$1, DataRegularSeason20242025!$E$3:$E$1315, $A69)</f>
        <v>0</v>
      </c>
      <c r="I69">
        <f>SUMIFS(DataRegularSeason20242025!$AA$3:$AA$1315,DataRegularSeason20242025!$B$3:$B$1315, "&lt;=" &amp; I$1, DataRegularSeason20242025!$D$3:$D$1315, $A69)+SUMIFS(DataRegularSeason20242025!$AB$3:$AB$1315,DataRegularSeason20242025!$B$3:$B$1315, "&lt;=" &amp; I$1, DataRegularSeason20242025!$E$3:$E$1315, $A69)</f>
        <v>0</v>
      </c>
      <c r="J69">
        <f>SUMIFS(DataRegularSeason20242025!$AA$3:$AA$1315,DataRegularSeason20242025!$B$3:$B$1315, "&lt;=" &amp; J$1, DataRegularSeason20242025!$D$3:$D$1315, $A69)+SUMIFS(DataRegularSeason20242025!$AB$3:$AB$1315,DataRegularSeason20242025!$B$3:$B$1315, "&lt;=" &amp; J$1, DataRegularSeason20242025!$E$3:$E$1315, $A69)</f>
        <v>1</v>
      </c>
      <c r="K69">
        <f>SUMIFS(DataRegularSeason20242025!$AA$3:$AA$1315,DataRegularSeason20242025!$B$3:$B$1315, "&lt;=" &amp; K$1, DataRegularSeason20242025!$D$3:$D$1315, $A69)+SUMIFS(DataRegularSeason20242025!$AB$3:$AB$1315,DataRegularSeason20242025!$B$3:$B$1315, "&lt;=" &amp; K$1, DataRegularSeason20242025!$E$3:$E$1315, $A69)</f>
        <v>1</v>
      </c>
      <c r="L69">
        <f>SUMIFS(DataRegularSeason20242025!$AA$3:$AA$1315,DataRegularSeason20242025!$B$3:$B$1315, "&lt;=" &amp; L$1, DataRegularSeason20242025!$D$3:$D$1315, $A69)+SUMIFS(DataRegularSeason20242025!$AB$3:$AB$1315,DataRegularSeason20242025!$B$3:$B$1315, "&lt;=" &amp; L$1, DataRegularSeason20242025!$E$3:$E$1315, $A69)</f>
        <v>2</v>
      </c>
      <c r="M69">
        <f>SUMIFS(DataRegularSeason20242025!$AA$3:$AA$1315,DataRegularSeason20242025!$B$3:$B$1315, "&lt;=" &amp; M$1, DataRegularSeason20242025!$D$3:$D$1315, $A69)+SUMIFS(DataRegularSeason20242025!$AB$3:$AB$1315,DataRegularSeason20242025!$B$3:$B$1315, "&lt;=" &amp; M$1, DataRegularSeason20242025!$E$3:$E$1315, $A69)</f>
        <v>2</v>
      </c>
      <c r="N69">
        <f>SUMIFS(DataRegularSeason20242025!$AA$3:$AA$1315,DataRegularSeason20242025!$B$3:$B$1315, "&lt;=" &amp; N$1, DataRegularSeason20242025!$D$3:$D$1315, $A69)+SUMIFS(DataRegularSeason20242025!$AB$3:$AB$1315,DataRegularSeason20242025!$B$3:$B$1315, "&lt;=" &amp; N$1, DataRegularSeason20242025!$E$3:$E$1315, $A69)</f>
        <v>2</v>
      </c>
      <c r="O69">
        <f>SUMIFS(DataRegularSeason20242025!$AA$3:$AA$1315,DataRegularSeason20242025!$B$3:$B$1315, "&lt;=" &amp; O$1, DataRegularSeason20242025!$D$3:$D$1315, $A69)+SUMIFS(DataRegularSeason20242025!$AB$3:$AB$1315,DataRegularSeason20242025!$B$3:$B$1315, "&lt;=" &amp; O$1, DataRegularSeason20242025!$E$3:$E$1315, $A69)</f>
        <v>2</v>
      </c>
      <c r="P69">
        <f>SUMIFS(DataRegularSeason20242025!$AA$3:$AA$1315,DataRegularSeason20242025!$B$3:$B$1315, "&lt;=" &amp; P$1, DataRegularSeason20242025!$D$3:$D$1315, $A69)+SUMIFS(DataRegularSeason20242025!$AB$3:$AB$1315,DataRegularSeason20242025!$B$3:$B$1315, "&lt;=" &amp; P$1, DataRegularSeason20242025!$E$3:$E$1315, $A69)</f>
        <v>2</v>
      </c>
      <c r="Q69">
        <f>SUMIFS(DataRegularSeason20242025!$AA$3:$AA$1315,DataRegularSeason20242025!$B$3:$B$1315, "&lt;=" &amp; Q$1, DataRegularSeason20242025!$D$3:$D$1315, $A69)+SUMIFS(DataRegularSeason20242025!$AB$3:$AB$1315,DataRegularSeason20242025!$B$3:$B$1315, "&lt;=" &amp; Q$1, DataRegularSeason20242025!$E$3:$E$1315, $A69)</f>
        <v>2</v>
      </c>
      <c r="R69">
        <f>SUMIFS(DataRegularSeason20242025!$AA$3:$AA$1315,DataRegularSeason20242025!$B$3:$B$1315, "&lt;=" &amp; R$1, DataRegularSeason20242025!$D$3:$D$1315, $A69)+SUMIFS(DataRegularSeason20242025!$AB$3:$AB$1315,DataRegularSeason20242025!$B$3:$B$1315, "&lt;=" &amp; R$1, DataRegularSeason20242025!$E$3:$E$1315, $A69)</f>
        <v>2</v>
      </c>
      <c r="S69">
        <f>SUMIFS(DataRegularSeason20242025!$AA$3:$AA$1315,DataRegularSeason20242025!$B$3:$B$1315, "&lt;=" &amp; S$1, DataRegularSeason20242025!$D$3:$D$1315, $A69)+SUMIFS(DataRegularSeason20242025!$AB$3:$AB$1315,DataRegularSeason20242025!$B$3:$B$1315, "&lt;=" &amp; S$1, DataRegularSeason20242025!$E$3:$E$1315, $A69)</f>
        <v>2</v>
      </c>
      <c r="T69">
        <f>SUMIFS(DataRegularSeason20242025!$AA$3:$AA$1315,DataRegularSeason20242025!$B$3:$B$1315, "&lt;=" &amp; T$1, DataRegularSeason20242025!$D$3:$D$1315, $A69)+SUMIFS(DataRegularSeason20242025!$AB$3:$AB$1315,DataRegularSeason20242025!$B$3:$B$1315, "&lt;=" &amp; T$1, DataRegularSeason20242025!$E$3:$E$1315, $A69)</f>
        <v>2</v>
      </c>
      <c r="U69">
        <f>SUMIFS(DataRegularSeason20242025!$AA$3:$AA$1315,DataRegularSeason20242025!$B$3:$B$1315, "&lt;=" &amp; U$1, DataRegularSeason20242025!$D$3:$D$1315, $A69)+SUMIFS(DataRegularSeason20242025!$AB$3:$AB$1315,DataRegularSeason20242025!$B$3:$B$1315, "&lt;=" &amp; U$1, DataRegularSeason20242025!$E$3:$E$1315, $A69)</f>
        <v>2</v>
      </c>
      <c r="V69">
        <f>SUMIFS(DataRegularSeason20242025!$AA$3:$AA$1315,DataRegularSeason20242025!$B$3:$B$1315, "&lt;=" &amp; V$1, DataRegularSeason20242025!$D$3:$D$1315, $A69)+SUMIFS(DataRegularSeason20242025!$AB$3:$AB$1315,DataRegularSeason20242025!$B$3:$B$1315, "&lt;=" &amp; V$1, DataRegularSeason20242025!$E$3:$E$1315, $A69)</f>
        <v>2</v>
      </c>
      <c r="W69">
        <f>SUMIFS(DataRegularSeason20242025!$AA$3:$AA$1315,DataRegularSeason20242025!$B$3:$B$1315, "&lt;=" &amp; W$1, DataRegularSeason20242025!$D$3:$D$1315, $A69)+SUMIFS(DataRegularSeason20242025!$AB$3:$AB$1315,DataRegularSeason20242025!$B$3:$B$1315, "&lt;=" &amp; W$1, DataRegularSeason20242025!$E$3:$E$1315, $A69)</f>
        <v>2</v>
      </c>
      <c r="X69">
        <f>SUMIFS(DataRegularSeason20242025!$AA$3:$AA$1315,DataRegularSeason20242025!$B$3:$B$1315, "&lt;=" &amp; X$1, DataRegularSeason20242025!$D$3:$D$1315, $A69)+SUMIFS(DataRegularSeason20242025!$AB$3:$AB$1315,DataRegularSeason20242025!$B$3:$B$1315, "&lt;=" &amp; X$1, DataRegularSeason20242025!$E$3:$E$1315, $A69)</f>
        <v>2</v>
      </c>
      <c r="Y69">
        <f>SUMIFS(DataRegularSeason20242025!$AA$3:$AA$1315,DataRegularSeason20242025!$B$3:$B$1315, "&lt;=" &amp; Y$1, DataRegularSeason20242025!$D$3:$D$1315, $A69)+SUMIFS(DataRegularSeason20242025!$AB$3:$AB$1315,DataRegularSeason20242025!$B$3:$B$1315, "&lt;=" &amp; Y$1, DataRegularSeason20242025!$E$3:$E$1315, $A69)</f>
        <v>2</v>
      </c>
      <c r="Z69">
        <f>SUMIFS(DataRegularSeason20242025!$AA$3:$AA$1315,DataRegularSeason20242025!$B$3:$B$1315, "&lt;=" &amp; Z$1, DataRegularSeason20242025!$D$3:$D$1315, $A69)+SUMIFS(DataRegularSeason20242025!$AB$3:$AB$1315,DataRegularSeason20242025!$B$3:$B$1315, "&lt;=" &amp; Z$1, DataRegularSeason20242025!$E$3:$E$1315, $A69)</f>
        <v>2</v>
      </c>
      <c r="AA69">
        <f>SUMIFS(DataRegularSeason20242025!$AA$3:$AA$1315,DataRegularSeason20242025!$B$3:$B$1315, "&lt;=" &amp; AA$1, DataRegularSeason20242025!$D$3:$D$1315, $A69)+SUMIFS(DataRegularSeason20242025!$AB$3:$AB$1315,DataRegularSeason20242025!$B$3:$B$1315, "&lt;=" &amp; AA$1, DataRegularSeason20242025!$E$3:$E$1315, $A69)</f>
        <v>2</v>
      </c>
      <c r="AB69">
        <f>SUMIFS(DataRegularSeason20242025!$AA$3:$AA$1315,DataRegularSeason20242025!$B$3:$B$1315, "&lt;=" &amp; AB$1, DataRegularSeason20242025!$D$3:$D$1315, $A69)+SUMIFS(DataRegularSeason20242025!$AB$3:$AB$1315,DataRegularSeason20242025!$B$3:$B$1315, "&lt;=" &amp; AB$1, DataRegularSeason20242025!$E$3:$E$1315, $A69)</f>
        <v>2</v>
      </c>
      <c r="AC69">
        <f>SUMIFS(DataRegularSeason20242025!$AA$3:$AA$1315,DataRegularSeason20242025!$B$3:$B$1315, "&lt;=" &amp; AC$1, DataRegularSeason20242025!$D$3:$D$1315, $A69)+SUMIFS(DataRegularSeason20242025!$AB$3:$AB$1315,DataRegularSeason20242025!$B$3:$B$1315, "&lt;=" &amp; AC$1, DataRegularSeason20242025!$E$3:$E$1315, $A69)</f>
        <v>2</v>
      </c>
      <c r="AD69">
        <f>SUMIFS(DataRegularSeason20242025!$AA$3:$AA$1315,DataRegularSeason20242025!$B$3:$B$1315, "&lt;=" &amp; AD$1, DataRegularSeason20242025!$D$3:$D$1315, $A69)+SUMIFS(DataRegularSeason20242025!$AB$3:$AB$1315,DataRegularSeason20242025!$B$3:$B$1315, "&lt;=" &amp; AD$1, DataRegularSeason20242025!$E$3:$E$1315, $A69)</f>
        <v>2</v>
      </c>
      <c r="AE69">
        <f>SUMIFS(DataRegularSeason20242025!$AA$3:$AA$1315,DataRegularSeason20242025!$B$3:$B$1315, "&lt;=" &amp; AE$1, DataRegularSeason20242025!$D$3:$D$1315, $A69)+SUMIFS(DataRegularSeason20242025!$AB$3:$AB$1315,DataRegularSeason20242025!$B$3:$B$1315, "&lt;=" &amp; AE$1, DataRegularSeason20242025!$E$3:$E$1315, $A69)</f>
        <v>2</v>
      </c>
      <c r="AF69">
        <f>SUMIFS(DataRegularSeason20242025!$AA$3:$AA$1315,DataRegularSeason20242025!$B$3:$B$1315, "&lt;=" &amp; AF$1, DataRegularSeason20242025!$D$3:$D$1315, $A69)+SUMIFS(DataRegularSeason20242025!$AB$3:$AB$1315,DataRegularSeason20242025!$B$3:$B$1315, "&lt;=" &amp; AF$1, DataRegularSeason20242025!$E$3:$E$1315, $A69)</f>
        <v>2</v>
      </c>
      <c r="AG69">
        <f>SUMIFS(DataRegularSeason20242025!$AA$3:$AA$1315,DataRegularSeason20242025!$B$3:$B$1315, "&lt;=" &amp; AG$1, DataRegularSeason20242025!$D$3:$D$1315, $A69)+SUMIFS(DataRegularSeason20242025!$AB$3:$AB$1315,DataRegularSeason20242025!$B$3:$B$1315, "&lt;=" &amp; AG$1, DataRegularSeason20242025!$E$3:$E$1315, $A69)</f>
        <v>2</v>
      </c>
      <c r="AH69">
        <f>SUMIFS(DataRegularSeason20242025!$AA$3:$AA$1315,DataRegularSeason20242025!$B$3:$B$1315, "&lt;=" &amp; AH$1, DataRegularSeason20242025!$D$3:$D$1315, $A69)+SUMIFS(DataRegularSeason20242025!$AB$3:$AB$1315,DataRegularSeason20242025!$B$3:$B$1315, "&lt;=" &amp; AH$1, DataRegularSeason20242025!$E$3:$E$1315, $A69)</f>
        <v>2</v>
      </c>
      <c r="AI69">
        <f>SUMIFS(DataRegularSeason20242025!$AA$3:$AA$1315,DataRegularSeason20242025!$B$3:$B$1315, "&lt;=" &amp; AI$1, DataRegularSeason20242025!$D$3:$D$1315, $A69)+SUMIFS(DataRegularSeason20242025!$AB$3:$AB$1315,DataRegularSeason20242025!$B$3:$B$1315, "&lt;=" &amp; AI$1, DataRegularSeason20242025!$E$3:$E$1315, $A69)</f>
        <v>2</v>
      </c>
      <c r="AJ69">
        <f>SUMIFS(DataRegularSeason20242025!$AA$3:$AA$1315,DataRegularSeason20242025!$B$3:$B$1315, "&lt;=" &amp; AJ$1, DataRegularSeason20242025!$D$3:$D$1315, $A69)+SUMIFS(DataRegularSeason20242025!$AB$3:$AB$1315,DataRegularSeason20242025!$B$3:$B$1315, "&lt;=" &amp; AJ$1, DataRegularSeason20242025!$E$3:$E$1315, $A69)</f>
        <v>2</v>
      </c>
      <c r="AK69">
        <f>SUMIFS(DataRegularSeason20242025!$AA$3:$AA$1315,DataRegularSeason20242025!$B$3:$B$1315, "&lt;=" &amp; AK$1, DataRegularSeason20242025!$D$3:$D$1315, $A69)+SUMIFS(DataRegularSeason20242025!$AB$3:$AB$1315,DataRegularSeason20242025!$B$3:$B$1315, "&lt;=" &amp; AK$1, DataRegularSeason20242025!$E$3:$E$1315, $A69)</f>
        <v>2</v>
      </c>
      <c r="AL69">
        <f>SUMIFS(DataRegularSeason20242025!$AA$3:$AA$1315,DataRegularSeason20242025!$B$3:$B$1315, "&lt;=" &amp; AL$1, DataRegularSeason20242025!$D$3:$D$1315, $A69)+SUMIFS(DataRegularSeason20242025!$AB$3:$AB$1315,DataRegularSeason20242025!$B$3:$B$1315, "&lt;=" &amp; AL$1, DataRegularSeason20242025!$E$3:$E$1315, $A69)</f>
        <v>2</v>
      </c>
      <c r="AM69">
        <f>SUMIFS(DataRegularSeason20242025!$AA$3:$AA$1315,DataRegularSeason20242025!$B$3:$B$1315, "&lt;=" &amp; AM$1, DataRegularSeason20242025!$D$3:$D$1315, $A69)+SUMIFS(DataRegularSeason20242025!$AB$3:$AB$1315,DataRegularSeason20242025!$B$3:$B$1315, "&lt;=" &amp; AM$1, DataRegularSeason20242025!$E$3:$E$1315, $A69)</f>
        <v>2</v>
      </c>
      <c r="AN69">
        <f>SUMIFS(DataRegularSeason20242025!$AA$3:$AA$1315,DataRegularSeason20242025!$B$3:$B$1315, "&lt;=" &amp; AN$1, DataRegularSeason20242025!$D$3:$D$1315, $A69)+SUMIFS(DataRegularSeason20242025!$AB$3:$AB$1315,DataRegularSeason20242025!$B$3:$B$1315, "&lt;=" &amp; AN$1, DataRegularSeason20242025!$E$3:$E$1315, $A69)</f>
        <v>2</v>
      </c>
      <c r="AO69">
        <f>SUMIFS(DataRegularSeason20242025!$AA$3:$AA$1315,DataRegularSeason20242025!$B$3:$B$1315, "&lt;=" &amp; AO$1, DataRegularSeason20242025!$D$3:$D$1315, $A69)+SUMIFS(DataRegularSeason20242025!$AB$3:$AB$1315,DataRegularSeason20242025!$B$3:$B$1315, "&lt;=" &amp; AO$1, DataRegularSeason20242025!$E$3:$E$1315, $A69)</f>
        <v>2</v>
      </c>
      <c r="AP69">
        <f>SUMIFS(DataRegularSeason20242025!$AA$3:$AA$1315,DataRegularSeason20242025!$B$3:$B$1315, "&lt;=" &amp; AP$1, DataRegularSeason20242025!$D$3:$D$1315, $A69)+SUMIFS(DataRegularSeason20242025!$AB$3:$AB$1315,DataRegularSeason20242025!$B$3:$B$1315, "&lt;=" &amp; AP$1, DataRegularSeason20242025!$E$3:$E$1315, $A69)</f>
        <v>2</v>
      </c>
      <c r="AQ69">
        <f>SUMIFS(DataRegularSeason20242025!$AA$3:$AA$1315,DataRegularSeason20242025!$B$3:$B$1315, "&lt;=" &amp; AQ$1, DataRegularSeason20242025!$D$3:$D$1315, $A69)+SUMIFS(DataRegularSeason20242025!$AB$3:$AB$1315,DataRegularSeason20242025!$B$3:$B$1315, "&lt;=" &amp; AQ$1, DataRegularSeason20242025!$E$3:$E$1315, $A69)</f>
        <v>2</v>
      </c>
      <c r="AR69">
        <f>SUMIFS(DataRegularSeason20242025!$AA$3:$AA$1315,DataRegularSeason20242025!$B$3:$B$1315, "&lt;=" &amp; AR$1, DataRegularSeason20242025!$D$3:$D$1315, $A69)+SUMIFS(DataRegularSeason20242025!$AB$3:$AB$1315,DataRegularSeason20242025!$B$3:$B$1315, "&lt;=" &amp; AR$1, DataRegularSeason20242025!$E$3:$E$1315, $A69)</f>
        <v>2</v>
      </c>
      <c r="AS69">
        <f>SUMIFS(DataRegularSeason20242025!$AA$3:$AA$1315,DataRegularSeason20242025!$B$3:$B$1315, "&lt;=" &amp; AS$1, DataRegularSeason20242025!$D$3:$D$1315, $A69)+SUMIFS(DataRegularSeason20242025!$AB$3:$AB$1315,DataRegularSeason20242025!$B$3:$B$1315, "&lt;=" &amp; AS$1, DataRegularSeason20242025!$E$3:$E$1315, $A69)</f>
        <v>2</v>
      </c>
      <c r="AT69">
        <f>SUMIFS(DataRegularSeason20242025!$AA$3:$AA$1315,DataRegularSeason20242025!$B$3:$B$1315, "&lt;=" &amp; AT$1, DataRegularSeason20242025!$D$3:$D$1315, $A69)+SUMIFS(DataRegularSeason20242025!$AB$3:$AB$1315,DataRegularSeason20242025!$B$3:$B$1315, "&lt;=" &amp; AT$1, DataRegularSeason20242025!$E$3:$E$1315, $A69)</f>
        <v>2</v>
      </c>
      <c r="AU69">
        <f>SUMIFS(DataRegularSeason20242025!$AA$3:$AA$1315,DataRegularSeason20242025!$B$3:$B$1315, "&lt;=" &amp; AU$1, DataRegularSeason20242025!$D$3:$D$1315, $A69)+SUMIFS(DataRegularSeason20242025!$AB$3:$AB$1315,DataRegularSeason20242025!$B$3:$B$1315, "&lt;=" &amp; AU$1, DataRegularSeason20242025!$E$3:$E$1315, $A69)</f>
        <v>2</v>
      </c>
      <c r="AV69">
        <f>SUMIFS(DataRegularSeason20242025!$AA$3:$AA$1315,DataRegularSeason20242025!$B$3:$B$1315, "&lt;=" &amp; AV$1, DataRegularSeason20242025!$D$3:$D$1315, $A69)+SUMIFS(DataRegularSeason20242025!$AB$3:$AB$1315,DataRegularSeason20242025!$B$3:$B$1315, "&lt;=" &amp; AV$1, DataRegularSeason20242025!$E$3:$E$1315, $A69)</f>
        <v>2</v>
      </c>
      <c r="AW69">
        <f>SUMIFS(DataRegularSeason20242025!$AA$3:$AA$1315,DataRegularSeason20242025!$B$3:$B$1315, "&lt;=" &amp; AW$1, DataRegularSeason20242025!$D$3:$D$1315, $A69)+SUMIFS(DataRegularSeason20242025!$AB$3:$AB$1315,DataRegularSeason20242025!$B$3:$B$1315, "&lt;=" &amp; AW$1, DataRegularSeason20242025!$E$3:$E$1315, $A69)</f>
        <v>2</v>
      </c>
      <c r="AX69">
        <f>SUMIFS(DataRegularSeason20242025!$AA$3:$AA$1315,DataRegularSeason20242025!$B$3:$B$1315, "&lt;=" &amp; AX$1, DataRegularSeason20242025!$D$3:$D$1315, $A69)+SUMIFS(DataRegularSeason20242025!$AB$3:$AB$1315,DataRegularSeason20242025!$B$3:$B$1315, "&lt;=" &amp; AX$1, DataRegularSeason20242025!$E$3:$E$1315, $A69)</f>
        <v>2</v>
      </c>
      <c r="AY69">
        <f>SUMIFS(DataRegularSeason20242025!$AA$3:$AA$1315,DataRegularSeason20242025!$B$3:$B$1315, "&lt;=" &amp; AY$1, DataRegularSeason20242025!$D$3:$D$1315, $A69)+SUMIFS(DataRegularSeason20242025!$AB$3:$AB$1315,DataRegularSeason20242025!$B$3:$B$1315, "&lt;=" &amp; AY$1, DataRegularSeason20242025!$E$3:$E$1315, $A69)</f>
        <v>2</v>
      </c>
      <c r="AZ69">
        <f>SUMIFS(DataRegularSeason20242025!$AA$3:$AA$1315,DataRegularSeason20242025!$B$3:$B$1315, "&lt;=" &amp; AZ$1, DataRegularSeason20242025!$D$3:$D$1315, $A69)+SUMIFS(DataRegularSeason20242025!$AB$3:$AB$1315,DataRegularSeason20242025!$B$3:$B$1315, "&lt;=" &amp; AZ$1, DataRegularSeason20242025!$E$3:$E$1315, $A69)</f>
        <v>2</v>
      </c>
      <c r="BA69">
        <f>SUMIFS(DataRegularSeason20242025!$AA$3:$AA$1315,DataRegularSeason20242025!$B$3:$B$1315, "&lt;=" &amp; BA$1, DataRegularSeason20242025!$D$3:$D$1315, $A69)+SUMIFS(DataRegularSeason20242025!$AB$3:$AB$1315,DataRegularSeason20242025!$B$3:$B$1315, "&lt;=" &amp; BA$1, DataRegularSeason20242025!$E$3:$E$1315, $A69)</f>
        <v>2</v>
      </c>
      <c r="BB69">
        <f>SUMIFS(DataRegularSeason20242025!$AA$3:$AA$1315,DataRegularSeason20242025!$B$3:$B$1315, "&lt;=" &amp; BB$1, DataRegularSeason20242025!$D$3:$D$1315, $A69)+SUMIFS(DataRegularSeason20242025!$AB$3:$AB$1315,DataRegularSeason20242025!$B$3:$B$1315, "&lt;=" &amp; BB$1, DataRegularSeason20242025!$E$3:$E$1315, $A69)</f>
        <v>2</v>
      </c>
      <c r="BC69">
        <f>SUMIFS(DataRegularSeason20242025!$AA$3:$AA$1315,DataRegularSeason20242025!$B$3:$B$1315, "&lt;=" &amp; BC$1, DataRegularSeason20242025!$D$3:$D$1315, $A69)+SUMIFS(DataRegularSeason20242025!$AB$3:$AB$1315,DataRegularSeason20242025!$B$3:$B$1315, "&lt;=" &amp; BC$1, DataRegularSeason20242025!$E$3:$E$1315, $A69)</f>
        <v>2</v>
      </c>
      <c r="BD69">
        <f>SUMIFS(DataRegularSeason20242025!$AA$3:$AA$1315,DataRegularSeason20242025!$B$3:$B$1315, "&lt;=" &amp; BD$1, DataRegularSeason20242025!$D$3:$D$1315, $A69)+SUMIFS(DataRegularSeason20242025!$AB$3:$AB$1315,DataRegularSeason20242025!$B$3:$B$1315, "&lt;=" &amp; BD$1, DataRegularSeason20242025!$E$3:$E$1315, $A69)</f>
        <v>2</v>
      </c>
      <c r="BE69">
        <f>SUMIFS(DataRegularSeason20242025!$AA$3:$AA$1315,DataRegularSeason20242025!$B$3:$B$1315, "&lt;=" &amp; BE$1, DataRegularSeason20242025!$D$3:$D$1315, $A69)+SUMIFS(DataRegularSeason20242025!$AB$3:$AB$1315,DataRegularSeason20242025!$B$3:$B$1315, "&lt;=" &amp; BE$1, DataRegularSeason20242025!$E$3:$E$1315, $A69)</f>
        <v>2</v>
      </c>
      <c r="BF69">
        <f>SUMIFS(DataRegularSeason20242025!$AA$3:$AA$1315,DataRegularSeason20242025!$B$3:$B$1315, "&lt;=" &amp; BF$1, DataRegularSeason20242025!$D$3:$D$1315, $A69)+SUMIFS(DataRegularSeason20242025!$AB$3:$AB$1315,DataRegularSeason20242025!$B$3:$B$1315, "&lt;=" &amp; BF$1, DataRegularSeason20242025!$E$3:$E$1315, $A69)</f>
        <v>2</v>
      </c>
      <c r="BG69">
        <f>SUMIFS(DataRegularSeason20242025!$AA$3:$AA$1315,DataRegularSeason20242025!$B$3:$B$1315, "&lt;=" &amp; BG$1, DataRegularSeason20242025!$D$3:$D$1315, $A69)+SUMIFS(DataRegularSeason20242025!$AB$3:$AB$1315,DataRegularSeason20242025!$B$3:$B$1315, "&lt;=" &amp; BG$1, DataRegularSeason20242025!$E$3:$E$1315, $A69)</f>
        <v>2</v>
      </c>
      <c r="BH69">
        <f>SUMIFS(DataRegularSeason20242025!$AA$3:$AA$1315,DataRegularSeason20242025!$B$3:$B$1315, "&lt;=" &amp; BH$1, DataRegularSeason20242025!$D$3:$D$1315, $A69)+SUMIFS(DataRegularSeason20242025!$AB$3:$AB$1315,DataRegularSeason20242025!$B$3:$B$1315, "&lt;=" &amp; BH$1, DataRegularSeason20242025!$E$3:$E$1315, $A69)</f>
        <v>2</v>
      </c>
      <c r="BI69">
        <f>SUMIFS(DataRegularSeason20242025!$AA$3:$AA$1315,DataRegularSeason20242025!$B$3:$B$1315, "&lt;=" &amp; BI$1, DataRegularSeason20242025!$D$3:$D$1315, $A69)+SUMIFS(DataRegularSeason20242025!$AB$3:$AB$1315,DataRegularSeason20242025!$B$3:$B$1315, "&lt;=" &amp; BI$1, DataRegularSeason20242025!$E$3:$E$1315, $A69)</f>
        <v>2</v>
      </c>
      <c r="BJ69">
        <f>SUMIFS(DataRegularSeason20242025!$AA$3:$AA$1315,DataRegularSeason20242025!$B$3:$B$1315, "&lt;=" &amp; BJ$1, DataRegularSeason20242025!$D$3:$D$1315, $A69)+SUMIFS(DataRegularSeason20242025!$AB$3:$AB$1315,DataRegularSeason20242025!$B$3:$B$1315, "&lt;=" &amp; BJ$1, DataRegularSeason20242025!$E$3:$E$1315, $A69)</f>
        <v>2</v>
      </c>
      <c r="BK69">
        <f>SUMIFS(DataRegularSeason20242025!$AA$3:$AA$1315,DataRegularSeason20242025!$B$3:$B$1315, "&lt;=" &amp; BK$1, DataRegularSeason20242025!$D$3:$D$1315, $A69)+SUMIFS(DataRegularSeason20242025!$AB$3:$AB$1315,DataRegularSeason20242025!$B$3:$B$1315, "&lt;=" &amp; BK$1, DataRegularSeason20242025!$E$3:$E$1315, $A69)</f>
        <v>2</v>
      </c>
      <c r="BL69">
        <f>SUMIFS(DataRegularSeason20242025!$AA$3:$AA$1315,DataRegularSeason20242025!$B$3:$B$1315, "&lt;=" &amp; BL$1, DataRegularSeason20242025!$D$3:$D$1315, $A69)+SUMIFS(DataRegularSeason20242025!$AB$3:$AB$1315,DataRegularSeason20242025!$B$3:$B$1315, "&lt;=" &amp; BL$1, DataRegularSeason20242025!$E$3:$E$1315, $A69)</f>
        <v>2</v>
      </c>
      <c r="BM69">
        <f>SUMIFS(DataRegularSeason20242025!$AA$3:$AA$1315,DataRegularSeason20242025!$B$3:$B$1315, "&lt;=" &amp; BM$1, DataRegularSeason20242025!$D$3:$D$1315, $A69)+SUMIFS(DataRegularSeason20242025!$AB$3:$AB$1315,DataRegularSeason20242025!$B$3:$B$1315, "&lt;=" &amp; BM$1, DataRegularSeason20242025!$E$3:$E$1315, $A69)</f>
        <v>2</v>
      </c>
      <c r="BN69">
        <f>SUMIFS(DataRegularSeason20242025!$AA$3:$AA$1315,DataRegularSeason20242025!$B$3:$B$1315, "&lt;=" &amp; BN$1, DataRegularSeason20242025!$D$3:$D$1315, $A69)+SUMIFS(DataRegularSeason20242025!$AB$3:$AB$1315,DataRegularSeason20242025!$B$3:$B$1315, "&lt;=" &amp; BN$1, DataRegularSeason20242025!$E$3:$E$1315, $A69)</f>
        <v>2</v>
      </c>
      <c r="BO69">
        <f>SUMIFS(DataRegularSeason20242025!$AA$3:$AA$1315,DataRegularSeason20242025!$B$3:$B$1315, "&lt;=" &amp; BO$1, DataRegularSeason20242025!$D$3:$D$1315, $A69)+SUMIFS(DataRegularSeason20242025!$AB$3:$AB$1315,DataRegularSeason20242025!$B$3:$B$1315, "&lt;=" &amp; BO$1, DataRegularSeason20242025!$E$3:$E$1315, $A69)</f>
        <v>2</v>
      </c>
      <c r="BP69">
        <f>SUMIFS(DataRegularSeason20242025!$AA$3:$AA$1315,DataRegularSeason20242025!$B$3:$B$1315, "&lt;=" &amp; BP$1, DataRegularSeason20242025!$D$3:$D$1315, $A69)+SUMIFS(DataRegularSeason20242025!$AB$3:$AB$1315,DataRegularSeason20242025!$B$3:$B$1315, "&lt;=" &amp; BP$1, DataRegularSeason20242025!$E$3:$E$1315, $A69)</f>
        <v>2</v>
      </c>
      <c r="BQ69">
        <f>SUMIFS(DataRegularSeason20242025!$AA$3:$AA$1315,DataRegularSeason20242025!$B$3:$B$1315, "&lt;=" &amp; BQ$1, DataRegularSeason20242025!$D$3:$D$1315, $A69)+SUMIFS(DataRegularSeason20242025!$AB$3:$AB$1315,DataRegularSeason20242025!$B$3:$B$1315, "&lt;=" &amp; BQ$1, DataRegularSeason20242025!$E$3:$E$1315, $A69)</f>
        <v>2</v>
      </c>
      <c r="BR69">
        <f>SUMIFS(DataRegularSeason20242025!$AA$3:$AA$1315,DataRegularSeason20242025!$B$3:$B$1315, "&lt;=" &amp; BR$1, DataRegularSeason20242025!$D$3:$D$1315, $A69)+SUMIFS(DataRegularSeason20242025!$AB$3:$AB$1315,DataRegularSeason20242025!$B$3:$B$1315, "&lt;=" &amp; BR$1, DataRegularSeason20242025!$E$3:$E$1315, $A69)</f>
        <v>2</v>
      </c>
      <c r="BS69">
        <f>SUMIFS(DataRegularSeason20242025!$AA$3:$AA$1315,DataRegularSeason20242025!$B$3:$B$1315, "&lt;=" &amp; BS$1, DataRegularSeason20242025!$D$3:$D$1315, $A69)+SUMIFS(DataRegularSeason20242025!$AB$3:$AB$1315,DataRegularSeason20242025!$B$3:$B$1315, "&lt;=" &amp; BS$1, DataRegularSeason20242025!$E$3:$E$1315, $A69)</f>
        <v>2</v>
      </c>
      <c r="BT69">
        <f>SUMIFS(DataRegularSeason20242025!$AA$3:$AA$1315,DataRegularSeason20242025!$B$3:$B$1315, "&lt;=" &amp; BT$1, DataRegularSeason20242025!$D$3:$D$1315, $A69)+SUMIFS(DataRegularSeason20242025!$AB$3:$AB$1315,DataRegularSeason20242025!$B$3:$B$1315, "&lt;=" &amp; BT$1, DataRegularSeason20242025!$E$3:$E$1315, $A69)</f>
        <v>2</v>
      </c>
      <c r="BU69">
        <f>SUMIFS(DataRegularSeason20242025!$AA$3:$AA$1315,DataRegularSeason20242025!$B$3:$B$1315, "&lt;=" &amp; BU$1, DataRegularSeason20242025!$D$3:$D$1315, $A69)+SUMIFS(DataRegularSeason20242025!$AB$3:$AB$1315,DataRegularSeason20242025!$B$3:$B$1315, "&lt;=" &amp; BU$1, DataRegularSeason20242025!$E$3:$E$1315, $A69)</f>
        <v>2</v>
      </c>
      <c r="BV69">
        <f>SUMIFS(DataRegularSeason20242025!$AA$3:$AA$1315,DataRegularSeason20242025!$B$3:$B$1315, "&lt;=" &amp; BV$1, DataRegularSeason20242025!$D$3:$D$1315, $A69)+SUMIFS(DataRegularSeason20242025!$AB$3:$AB$1315,DataRegularSeason20242025!$B$3:$B$1315, "&lt;=" &amp; BV$1, DataRegularSeason20242025!$E$3:$E$1315, $A69)</f>
        <v>2</v>
      </c>
      <c r="BW69">
        <f>SUMIFS(DataRegularSeason20242025!$AA$3:$AA$1315,DataRegularSeason20242025!$B$3:$B$1315, "&lt;=" &amp; BW$1, DataRegularSeason20242025!$D$3:$D$1315, $A69)+SUMIFS(DataRegularSeason20242025!$AB$3:$AB$1315,DataRegularSeason20242025!$B$3:$B$1315, "&lt;=" &amp; BW$1, DataRegularSeason20242025!$E$3:$E$1315, $A69)</f>
        <v>2</v>
      </c>
      <c r="BX69">
        <f>SUMIFS(DataRegularSeason20242025!$AA$3:$AA$1315,DataRegularSeason20242025!$B$3:$B$1315, "&lt;=" &amp; BX$1, DataRegularSeason20242025!$D$3:$D$1315, $A69)+SUMIFS(DataRegularSeason20242025!$AB$3:$AB$1315,DataRegularSeason20242025!$B$3:$B$1315, "&lt;=" &amp; BX$1, DataRegularSeason20242025!$E$3:$E$1315, $A69)</f>
        <v>2</v>
      </c>
      <c r="BY69">
        <f>SUMIFS(DataRegularSeason20242025!$AA$3:$AA$1315,DataRegularSeason20242025!$B$3:$B$1315, "&lt;=" &amp; BY$1, DataRegularSeason20242025!$D$3:$D$1315, $A69)+SUMIFS(DataRegularSeason20242025!$AB$3:$AB$1315,DataRegularSeason20242025!$B$3:$B$1315, "&lt;=" &amp; BY$1, DataRegularSeason20242025!$E$3:$E$1315, $A69)</f>
        <v>2</v>
      </c>
      <c r="BZ69">
        <f>SUMIFS(DataRegularSeason20242025!$AA$3:$AA$1315,DataRegularSeason20242025!$B$3:$B$1315, "&lt;=" &amp; BZ$1, DataRegularSeason20242025!$D$3:$D$1315, $A69)+SUMIFS(DataRegularSeason20242025!$AB$3:$AB$1315,DataRegularSeason20242025!$B$3:$B$1315, "&lt;=" &amp; BZ$1, DataRegularSeason20242025!$E$3:$E$1315, $A69)</f>
        <v>2</v>
      </c>
      <c r="CA69">
        <f>SUMIFS(DataRegularSeason20242025!$AA$3:$AA$1315,DataRegularSeason20242025!$B$3:$B$1315, "&lt;=" &amp; CA$1, DataRegularSeason20242025!$D$3:$D$1315, $A69)+SUMIFS(DataRegularSeason20242025!$AB$3:$AB$1315,DataRegularSeason20242025!$B$3:$B$1315, "&lt;=" &amp; CA$1, DataRegularSeason20242025!$E$3:$E$1315, $A69)</f>
        <v>2</v>
      </c>
      <c r="CB69">
        <f>SUMIFS(DataRegularSeason20242025!$AA$3:$AA$1315,DataRegularSeason20242025!$B$3:$B$1315, "&lt;=" &amp; CB$1, DataRegularSeason20242025!$D$3:$D$1315, $A69)+SUMIFS(DataRegularSeason20242025!$AB$3:$AB$1315,DataRegularSeason20242025!$B$3:$B$1315, "&lt;=" &amp; CB$1, DataRegularSeason20242025!$E$3:$E$1315, $A69)</f>
        <v>2</v>
      </c>
      <c r="CC69">
        <f>SUMIFS(DataRegularSeason20242025!$AA$3:$AA$1315,DataRegularSeason20242025!$B$3:$B$1315, "&lt;=" &amp; CC$1, DataRegularSeason20242025!$D$3:$D$1315, $A69)+SUMIFS(DataRegularSeason20242025!$AB$3:$AB$1315,DataRegularSeason20242025!$B$3:$B$1315, "&lt;=" &amp; CC$1, DataRegularSeason20242025!$E$3:$E$1315, $A69)</f>
        <v>2</v>
      </c>
      <c r="CD69">
        <f>SUMIFS(DataRegularSeason20242025!$AA$3:$AA$1315,DataRegularSeason20242025!$B$3:$B$1315, "&lt;=" &amp; CD$1, DataRegularSeason20242025!$D$3:$D$1315, $A69)+SUMIFS(DataRegularSeason20242025!$AB$3:$AB$1315,DataRegularSeason20242025!$B$3:$B$1315, "&lt;=" &amp; CD$1, DataRegularSeason20242025!$E$3:$E$1315, $A69)</f>
        <v>2</v>
      </c>
      <c r="CE69">
        <f>SUMIFS(DataRegularSeason20242025!$AA$3:$AA$1315,DataRegularSeason20242025!$B$3:$B$1315, "&lt;=" &amp; CE$1, DataRegularSeason20242025!$D$3:$D$1315, $A69)+SUMIFS(DataRegularSeason20242025!$AB$3:$AB$1315,DataRegularSeason20242025!$B$3:$B$1315, "&lt;=" &amp; CE$1, DataRegularSeason20242025!$E$3:$E$1315, $A69)</f>
        <v>2</v>
      </c>
      <c r="CF69">
        <f>SUMIFS(DataRegularSeason20242025!$AA$3:$AA$1315,DataRegularSeason20242025!$B$3:$B$1315, "&lt;=" &amp; CF$1, DataRegularSeason20242025!$D$3:$D$1315, $A69)+SUMIFS(DataRegularSeason20242025!$AB$3:$AB$1315,DataRegularSeason20242025!$B$3:$B$1315, "&lt;=" &amp; CF$1, DataRegularSeason20242025!$E$3:$E$1315, $A69)</f>
        <v>2</v>
      </c>
      <c r="CG69">
        <f>SUMIFS(DataRegularSeason20242025!$AA$3:$AA$1315,DataRegularSeason20242025!$B$3:$B$1315, "&lt;=" &amp; CG$1, DataRegularSeason20242025!$D$3:$D$1315, $A69)+SUMIFS(DataRegularSeason20242025!$AB$3:$AB$1315,DataRegularSeason20242025!$B$3:$B$1315, "&lt;=" &amp; CG$1, DataRegularSeason20242025!$E$3:$E$1315, $A69)</f>
        <v>2</v>
      </c>
      <c r="CH69">
        <f>SUMIFS(DataRegularSeason20242025!$AA$3:$AA$1315,DataRegularSeason20242025!$B$3:$B$1315, "&lt;=" &amp; CH$1, DataRegularSeason20242025!$D$3:$D$1315, $A69)+SUMIFS(DataRegularSeason20242025!$AB$3:$AB$1315,DataRegularSeason20242025!$B$3:$B$1315, "&lt;=" &amp; CH$1, DataRegularSeason20242025!$E$3:$E$1315, $A69)</f>
        <v>2</v>
      </c>
      <c r="CI69">
        <f>SUMIFS(DataRegularSeason20242025!$AA$3:$AA$1315,DataRegularSeason20242025!$B$3:$B$1315, "&lt;=" &amp; CI$1, DataRegularSeason20242025!$D$3:$D$1315, $A69)+SUMIFS(DataRegularSeason20242025!$AB$3:$AB$1315,DataRegularSeason20242025!$B$3:$B$1315, "&lt;=" &amp; CI$1, DataRegularSeason20242025!$E$3:$E$1315, $A69)</f>
        <v>2</v>
      </c>
      <c r="CJ69">
        <f>SUMIFS(DataRegularSeason20242025!$AA$3:$AA$1315,DataRegularSeason20242025!$B$3:$B$1315, "&lt;=" &amp; CJ$1, DataRegularSeason20242025!$D$3:$D$1315, $A69)+SUMIFS(DataRegularSeason20242025!$AB$3:$AB$1315,DataRegularSeason20242025!$B$3:$B$1315, "&lt;=" &amp; CJ$1, DataRegularSeason20242025!$E$3:$E$1315, $A69)</f>
        <v>2</v>
      </c>
      <c r="CK69">
        <f>SUMIFS(DataRegularSeason20242025!$AA$3:$AA$1315,DataRegularSeason20242025!$B$3:$B$1315, "&lt;=" &amp; CK$1, DataRegularSeason20242025!$D$3:$D$1315, $A69)+SUMIFS(DataRegularSeason20242025!$AB$3:$AB$1315,DataRegularSeason20242025!$B$3:$B$1315, "&lt;=" &amp; CK$1, DataRegularSeason20242025!$E$3:$E$1315, $A69)</f>
        <v>2</v>
      </c>
      <c r="CL69">
        <f>SUMIFS(DataRegularSeason20242025!$AA$3:$AA$1315,DataRegularSeason20242025!$B$3:$B$1315, "&lt;=" &amp; CL$1, DataRegularSeason20242025!$D$3:$D$1315, $A69)+SUMIFS(DataRegularSeason20242025!$AB$3:$AB$1315,DataRegularSeason20242025!$B$3:$B$1315, "&lt;=" &amp; CL$1, DataRegularSeason20242025!$E$3:$E$1315, $A69)</f>
        <v>2</v>
      </c>
      <c r="CM69">
        <f>SUMIFS(DataRegularSeason20242025!$AA$3:$AA$1315,DataRegularSeason20242025!$B$3:$B$1315, "&lt;=" &amp; CM$1, DataRegularSeason20242025!$D$3:$D$1315, $A69)+SUMIFS(DataRegularSeason20242025!$AB$3:$AB$1315,DataRegularSeason20242025!$B$3:$B$1315, "&lt;=" &amp; CM$1, DataRegularSeason20242025!$E$3:$E$1315, $A69)</f>
        <v>2</v>
      </c>
      <c r="CN69">
        <f>SUMIFS(DataRegularSeason20242025!$AA$3:$AA$1315,DataRegularSeason20242025!$B$3:$B$1315, "&lt;=" &amp; CN$1, DataRegularSeason20242025!$D$3:$D$1315, $A69)+SUMIFS(DataRegularSeason20242025!$AB$3:$AB$1315,DataRegularSeason20242025!$B$3:$B$1315, "&lt;=" &amp; CN$1, DataRegularSeason20242025!$E$3:$E$1315, $A69)</f>
        <v>2</v>
      </c>
      <c r="CO69">
        <f>SUMIFS(DataRegularSeason20242025!$AA$3:$AA$1315,DataRegularSeason20242025!$B$3:$B$1315, "&lt;=" &amp; CO$1, DataRegularSeason20242025!$D$3:$D$1315, $A69)+SUMIFS(DataRegularSeason20242025!$AB$3:$AB$1315,DataRegularSeason20242025!$B$3:$B$1315, "&lt;=" &amp; CO$1, DataRegularSeason20242025!$E$3:$E$1315, $A69)</f>
        <v>2</v>
      </c>
      <c r="CP69">
        <f>SUMIFS(DataRegularSeason20242025!$AA$3:$AA$1315,DataRegularSeason20242025!$B$3:$B$1315, "&lt;=" &amp; CP$1, DataRegularSeason20242025!$D$3:$D$1315, $A69)+SUMIFS(DataRegularSeason20242025!$AB$3:$AB$1315,DataRegularSeason20242025!$B$3:$B$1315, "&lt;=" &amp; CP$1, DataRegularSeason20242025!$E$3:$E$1315, $A69)</f>
        <v>2</v>
      </c>
      <c r="CQ69">
        <f>SUMIFS(DataRegularSeason20242025!$AA$3:$AA$1315,DataRegularSeason20242025!$B$3:$B$1315, "&lt;=" &amp; CQ$1, DataRegularSeason20242025!$D$3:$D$1315, $A69)+SUMIFS(DataRegularSeason20242025!$AB$3:$AB$1315,DataRegularSeason20242025!$B$3:$B$1315, "&lt;=" &amp; CQ$1, DataRegularSeason20242025!$E$3:$E$1315, $A69)</f>
        <v>2</v>
      </c>
      <c r="CR69">
        <f>SUMIFS(DataRegularSeason20242025!$AA$3:$AA$1315,DataRegularSeason20242025!$B$3:$B$1315, "&lt;=" &amp; CR$1, DataRegularSeason20242025!$D$3:$D$1315, $A69)+SUMIFS(DataRegularSeason20242025!$AB$3:$AB$1315,DataRegularSeason20242025!$B$3:$B$1315, "&lt;=" &amp; CR$1, DataRegularSeason20242025!$E$3:$E$1315, $A69)</f>
        <v>2</v>
      </c>
      <c r="CS69">
        <f>SUMIFS(DataRegularSeason20242025!$AA$3:$AA$1315,DataRegularSeason20242025!$B$3:$B$1315, "&lt;=" &amp; CS$1, DataRegularSeason20242025!$D$3:$D$1315, $A69)+SUMIFS(DataRegularSeason20242025!$AB$3:$AB$1315,DataRegularSeason20242025!$B$3:$B$1315, "&lt;=" &amp; CS$1, DataRegularSeason20242025!$E$3:$E$1315, $A69)</f>
        <v>2</v>
      </c>
      <c r="CT69">
        <f>SUMIFS(DataRegularSeason20242025!$AA$3:$AA$1315,DataRegularSeason20242025!$B$3:$B$1315, "&lt;=" &amp; CT$1, DataRegularSeason20242025!$D$3:$D$1315, $A69)+SUMIFS(DataRegularSeason20242025!$AB$3:$AB$1315,DataRegularSeason20242025!$B$3:$B$1315, "&lt;=" &amp; CT$1, DataRegularSeason20242025!$E$3:$E$1315, $A69)</f>
        <v>2</v>
      </c>
      <c r="CU69">
        <f>SUMIFS(DataRegularSeason20242025!$AA$3:$AA$1315,DataRegularSeason20242025!$B$3:$B$1315, "&lt;=" &amp; CU$1, DataRegularSeason20242025!$D$3:$D$1315, $A69)+SUMIFS(DataRegularSeason20242025!$AB$3:$AB$1315,DataRegularSeason20242025!$B$3:$B$1315, "&lt;=" &amp; CU$1, DataRegularSeason20242025!$E$3:$E$1315, $A69)</f>
        <v>2</v>
      </c>
      <c r="CV69">
        <f>SUMIFS(DataRegularSeason20242025!$AA$3:$AA$1315,DataRegularSeason20242025!$B$3:$B$1315, "&lt;=" &amp; CV$1, DataRegularSeason20242025!$D$3:$D$1315, $A69)+SUMIFS(DataRegularSeason20242025!$AB$3:$AB$1315,DataRegularSeason20242025!$B$3:$B$1315, "&lt;=" &amp; CV$1, DataRegularSeason20242025!$E$3:$E$1315, $A69)</f>
        <v>2</v>
      </c>
      <c r="CW69">
        <f>SUMIFS(DataRegularSeason20242025!$AA$3:$AA$1315,DataRegularSeason20242025!$B$3:$B$1315, "&lt;=" &amp; CW$1, DataRegularSeason20242025!$D$3:$D$1315, $A69)+SUMIFS(DataRegularSeason20242025!$AB$3:$AB$1315,DataRegularSeason20242025!$B$3:$B$1315, "&lt;=" &amp; CW$1, DataRegularSeason20242025!$E$3:$E$1315, $A69)</f>
        <v>2</v>
      </c>
      <c r="CX69">
        <f>SUMIFS(DataRegularSeason20242025!$AA$3:$AA$1315,DataRegularSeason20242025!$B$3:$B$1315, "&lt;=" &amp; CX$1, DataRegularSeason20242025!$D$3:$D$1315, $A69)+SUMIFS(DataRegularSeason20242025!$AB$3:$AB$1315,DataRegularSeason20242025!$B$3:$B$1315, "&lt;=" &amp; CX$1, DataRegularSeason20242025!$E$3:$E$1315, $A69)</f>
        <v>2</v>
      </c>
      <c r="CY69">
        <f>SUMIFS(DataRegularSeason20242025!$AA$3:$AA$1315,DataRegularSeason20242025!$B$3:$B$1315, "&lt;=" &amp; CY$1, DataRegularSeason20242025!$D$3:$D$1315, $A69)+SUMIFS(DataRegularSeason20242025!$AB$3:$AB$1315,DataRegularSeason20242025!$B$3:$B$1315, "&lt;=" &amp; CY$1, DataRegularSeason20242025!$E$3:$E$1315, $A69)</f>
        <v>2</v>
      </c>
      <c r="CZ69">
        <f>SUMIFS(DataRegularSeason20242025!$AA$3:$AA$1315,DataRegularSeason20242025!$B$3:$B$1315, "&lt;=" &amp; CZ$1, DataRegularSeason20242025!$D$3:$D$1315, $A69)+SUMIFS(DataRegularSeason20242025!$AB$3:$AB$1315,DataRegularSeason20242025!$B$3:$B$1315, "&lt;=" &amp; CZ$1, DataRegularSeason20242025!$E$3:$E$1315, $A69)</f>
        <v>2</v>
      </c>
      <c r="DA69">
        <f>SUMIFS(DataRegularSeason20242025!$AA$3:$AA$1315,DataRegularSeason20242025!$B$3:$B$1315, "&lt;=" &amp; DA$1, DataRegularSeason20242025!$D$3:$D$1315, $A69)+SUMIFS(DataRegularSeason20242025!$AB$3:$AB$1315,DataRegularSeason20242025!$B$3:$B$1315, "&lt;=" &amp; DA$1, DataRegularSeason20242025!$E$3:$E$1315, $A69)</f>
        <v>2</v>
      </c>
      <c r="DB69">
        <f>SUMIFS(DataRegularSeason20242025!$AA$3:$AA$1315,DataRegularSeason20242025!$B$3:$B$1315, "&lt;=" &amp; DB$1, DataRegularSeason20242025!$D$3:$D$1315, $A69)+SUMIFS(DataRegularSeason20242025!$AB$3:$AB$1315,DataRegularSeason20242025!$B$3:$B$1315, "&lt;=" &amp; DB$1, DataRegularSeason20242025!$E$3:$E$1315, $A69)</f>
        <v>2</v>
      </c>
      <c r="DC69">
        <f>SUMIFS(DataRegularSeason20242025!$AA$3:$AA$1315,DataRegularSeason20242025!$B$3:$B$1315, "&lt;=" &amp; DC$1, DataRegularSeason20242025!$D$3:$D$1315, $A69)+SUMIFS(DataRegularSeason20242025!$AB$3:$AB$1315,DataRegularSeason20242025!$B$3:$B$1315, "&lt;=" &amp; DC$1, DataRegularSeason20242025!$E$3:$E$1315, $A69)</f>
        <v>2</v>
      </c>
      <c r="DD69">
        <f>SUMIFS(DataRegularSeason20242025!$AA$3:$AA$1315,DataRegularSeason20242025!$B$3:$B$1315, "&lt;=" &amp; DD$1, DataRegularSeason20242025!$D$3:$D$1315, $A69)+SUMIFS(DataRegularSeason20242025!$AB$3:$AB$1315,DataRegularSeason20242025!$B$3:$B$1315, "&lt;=" &amp; DD$1, DataRegularSeason20242025!$E$3:$E$1315, $A69)</f>
        <v>2</v>
      </c>
      <c r="DE69">
        <f>SUMIFS(DataRegularSeason20242025!$AA$3:$AA$1315,DataRegularSeason20242025!$B$3:$B$1315, "&lt;=" &amp; DE$1, DataRegularSeason20242025!$D$3:$D$1315, $A69)+SUMIFS(DataRegularSeason20242025!$AB$3:$AB$1315,DataRegularSeason20242025!$B$3:$B$1315, "&lt;=" &amp; DE$1, DataRegularSeason20242025!$E$3:$E$1315, $A69)</f>
        <v>2</v>
      </c>
      <c r="DF69">
        <f>SUMIFS(DataRegularSeason20242025!$AA$3:$AA$1315,DataRegularSeason20242025!$B$3:$B$1315, "&lt;=" &amp; DF$1, DataRegularSeason20242025!$D$3:$D$1315, $A69)+SUMIFS(DataRegularSeason20242025!$AB$3:$AB$1315,DataRegularSeason20242025!$B$3:$B$1315, "&lt;=" &amp; DF$1, DataRegularSeason20242025!$E$3:$E$1315, $A69)</f>
        <v>2</v>
      </c>
      <c r="DG69">
        <f>SUMIFS(DataRegularSeason20242025!$AA$3:$AA$1315,DataRegularSeason20242025!$B$3:$B$1315, "&lt;=" &amp; DG$1, DataRegularSeason20242025!$D$3:$D$1315, $A69)+SUMIFS(DataRegularSeason20242025!$AB$3:$AB$1315,DataRegularSeason20242025!$B$3:$B$1315, "&lt;=" &amp; DG$1, DataRegularSeason20242025!$E$3:$E$1315, $A69)</f>
        <v>2</v>
      </c>
      <c r="DH69">
        <f>SUMIFS(DataRegularSeason20242025!$AA$3:$AA$1315,DataRegularSeason20242025!$B$3:$B$1315, "&lt;=" &amp; DH$1, DataRegularSeason20242025!$D$3:$D$1315, $A69)+SUMIFS(DataRegularSeason20242025!$AB$3:$AB$1315,DataRegularSeason20242025!$B$3:$B$1315, "&lt;=" &amp; DH$1, DataRegularSeason20242025!$E$3:$E$1315, $A69)</f>
        <v>2</v>
      </c>
      <c r="DI69">
        <f>SUMIFS(DataRegularSeason20242025!$AA$3:$AA$1315,DataRegularSeason20242025!$B$3:$B$1315, "&lt;=" &amp; DI$1, DataRegularSeason20242025!$D$3:$D$1315, $A69)+SUMIFS(DataRegularSeason20242025!$AB$3:$AB$1315,DataRegularSeason20242025!$B$3:$B$1315, "&lt;=" &amp; DI$1, DataRegularSeason20242025!$E$3:$E$1315, $A69)</f>
        <v>2</v>
      </c>
      <c r="DJ69">
        <f>SUMIFS(DataRegularSeason20242025!$AA$3:$AA$1315,DataRegularSeason20242025!$B$3:$B$1315, "&lt;=" &amp; DJ$1, DataRegularSeason20242025!$D$3:$D$1315, $A69)+SUMIFS(DataRegularSeason20242025!$AB$3:$AB$1315,DataRegularSeason20242025!$B$3:$B$1315, "&lt;=" &amp; DJ$1, DataRegularSeason20242025!$E$3:$E$1315, $A69)</f>
        <v>2</v>
      </c>
      <c r="DK69">
        <f>SUMIFS(DataRegularSeason20242025!$AA$3:$AA$1315,DataRegularSeason20242025!$B$3:$B$1315, "&lt;=" &amp; DK$1, DataRegularSeason20242025!$D$3:$D$1315, $A69)+SUMIFS(DataRegularSeason20242025!$AB$3:$AB$1315,DataRegularSeason20242025!$B$3:$B$1315, "&lt;=" &amp; DK$1, DataRegularSeason20242025!$E$3:$E$1315, $A69)</f>
        <v>2</v>
      </c>
      <c r="DL69">
        <f>SUMIFS(DataRegularSeason20242025!$AA$3:$AA$1315,DataRegularSeason20242025!$B$3:$B$1315, "&lt;=" &amp; DL$1, DataRegularSeason20242025!$D$3:$D$1315, $A69)+SUMIFS(DataRegularSeason20242025!$AB$3:$AB$1315,DataRegularSeason20242025!$B$3:$B$1315, "&lt;=" &amp; DL$1, DataRegularSeason20242025!$E$3:$E$1315, $A69)</f>
        <v>2</v>
      </c>
      <c r="DM69">
        <f>SUMIFS(DataRegularSeason20242025!$AA$3:$AA$1315,DataRegularSeason20242025!$B$3:$B$1315, "&lt;=" &amp; DM$1, DataRegularSeason20242025!$D$3:$D$1315, $A69)+SUMIFS(DataRegularSeason20242025!$AB$3:$AB$1315,DataRegularSeason20242025!$B$3:$B$1315, "&lt;=" &amp; DM$1, DataRegularSeason20242025!$E$3:$E$1315, $A69)</f>
        <v>2</v>
      </c>
      <c r="DN69">
        <f>SUMIFS(DataRegularSeason20242025!$AA$3:$AA$1315,DataRegularSeason20242025!$B$3:$B$1315, "&lt;=" &amp; DN$1, DataRegularSeason20242025!$D$3:$D$1315, $A69)+SUMIFS(DataRegularSeason20242025!$AB$3:$AB$1315,DataRegularSeason20242025!$B$3:$B$1315, "&lt;=" &amp; DN$1, DataRegularSeason20242025!$E$3:$E$1315, $A69)</f>
        <v>2</v>
      </c>
      <c r="DO69">
        <f>SUMIFS(DataRegularSeason20242025!$AA$3:$AA$1315,DataRegularSeason20242025!$B$3:$B$1315, "&lt;=" &amp; DO$1, DataRegularSeason20242025!$D$3:$D$1315, $A69)+SUMIFS(DataRegularSeason20242025!$AB$3:$AB$1315,DataRegularSeason20242025!$B$3:$B$1315, "&lt;=" &amp; DO$1, DataRegularSeason20242025!$E$3:$E$1315, $A69)</f>
        <v>2</v>
      </c>
      <c r="DP69">
        <f>SUMIFS(DataRegularSeason20242025!$AA$3:$AA$1315,DataRegularSeason20242025!$B$3:$B$1315, "&lt;=" &amp; DP$1, DataRegularSeason20242025!$D$3:$D$1315, $A69)+SUMIFS(DataRegularSeason20242025!$AB$3:$AB$1315,DataRegularSeason20242025!$B$3:$B$1315, "&lt;=" &amp; DP$1, DataRegularSeason20242025!$E$3:$E$1315, $A69)</f>
        <v>2</v>
      </c>
      <c r="DQ69">
        <f>SUMIFS(DataRegularSeason20242025!$AA$3:$AA$1315,DataRegularSeason20242025!$B$3:$B$1315, "&lt;=" &amp; DQ$1, DataRegularSeason20242025!$D$3:$D$1315, $A69)+SUMIFS(DataRegularSeason20242025!$AB$3:$AB$1315,DataRegularSeason20242025!$B$3:$B$1315, "&lt;=" &amp; DQ$1, DataRegularSeason20242025!$E$3:$E$1315, $A69)</f>
        <v>2</v>
      </c>
      <c r="DR69">
        <f>SUMIFS(DataRegularSeason20242025!$AA$3:$AA$1315,DataRegularSeason20242025!$B$3:$B$1315, "&lt;=" &amp; DR$1, DataRegularSeason20242025!$D$3:$D$1315, $A69)+SUMIFS(DataRegularSeason20242025!$AB$3:$AB$1315,DataRegularSeason20242025!$B$3:$B$1315, "&lt;=" &amp; DR$1, DataRegularSeason20242025!$E$3:$E$1315, $A69)</f>
        <v>2</v>
      </c>
      <c r="DS69">
        <f>SUMIFS(DataRegularSeason20242025!$AA$3:$AA$1315,DataRegularSeason20242025!$B$3:$B$1315, "&lt;=" &amp; DS$1, DataRegularSeason20242025!$D$3:$D$1315, $A69)+SUMIFS(DataRegularSeason20242025!$AB$3:$AB$1315,DataRegularSeason20242025!$B$3:$B$1315, "&lt;=" &amp; DS$1, DataRegularSeason20242025!$E$3:$E$1315, $A69)</f>
        <v>2</v>
      </c>
      <c r="DT69">
        <f>SUMIFS(DataRegularSeason20242025!$AA$3:$AA$1315,DataRegularSeason20242025!$B$3:$B$1315, "&lt;=" &amp; DT$1, DataRegularSeason20242025!$D$3:$D$1315, $A69)+SUMIFS(DataRegularSeason20242025!$AB$3:$AB$1315,DataRegularSeason20242025!$B$3:$B$1315, "&lt;=" &amp; DT$1, DataRegularSeason20242025!$E$3:$E$1315, $A69)</f>
        <v>2</v>
      </c>
      <c r="DU69">
        <f>SUMIFS(DataRegularSeason20242025!$AA$3:$AA$1315,DataRegularSeason20242025!$B$3:$B$1315, "&lt;=" &amp; DU$1, DataRegularSeason20242025!$D$3:$D$1315, $A69)+SUMIFS(DataRegularSeason20242025!$AB$3:$AB$1315,DataRegularSeason20242025!$B$3:$B$1315, "&lt;=" &amp; DU$1, DataRegularSeason20242025!$E$3:$E$1315, $A69)</f>
        <v>2</v>
      </c>
      <c r="DV69">
        <f>SUMIFS(DataRegularSeason20242025!$AA$3:$AA$1315,DataRegularSeason20242025!$B$3:$B$1315, "&lt;=" &amp; DV$1, DataRegularSeason20242025!$D$3:$D$1315, $A69)+SUMIFS(DataRegularSeason20242025!$AB$3:$AB$1315,DataRegularSeason20242025!$B$3:$B$1315, "&lt;=" &amp; DV$1, DataRegularSeason20242025!$E$3:$E$1315, $A69)</f>
        <v>2</v>
      </c>
      <c r="DW69">
        <f>SUMIFS(DataRegularSeason20242025!$AA$3:$AA$1315,DataRegularSeason20242025!$B$3:$B$1315, "&lt;=" &amp; DW$1, DataRegularSeason20242025!$D$3:$D$1315, $A69)+SUMIFS(DataRegularSeason20242025!$AB$3:$AB$1315,DataRegularSeason20242025!$B$3:$B$1315, "&lt;=" &amp; DW$1, DataRegularSeason20242025!$E$3:$E$1315, $A69)</f>
        <v>2</v>
      </c>
      <c r="DX69">
        <f>SUMIFS(DataRegularSeason20242025!$AA$3:$AA$1315,DataRegularSeason20242025!$B$3:$B$1315, "&lt;=" &amp; DX$1, DataRegularSeason20242025!$D$3:$D$1315, $A69)+SUMIFS(DataRegularSeason20242025!$AB$3:$AB$1315,DataRegularSeason20242025!$B$3:$B$1315, "&lt;=" &amp; DX$1, DataRegularSeason20242025!$E$3:$E$1315, $A69)</f>
        <v>2</v>
      </c>
      <c r="DY69">
        <f>SUMIFS(DataRegularSeason20242025!$AA$3:$AA$1315,DataRegularSeason20242025!$B$3:$B$1315, "&lt;=" &amp; DY$1, DataRegularSeason20242025!$D$3:$D$1315, $A69)+SUMIFS(DataRegularSeason20242025!$AB$3:$AB$1315,DataRegularSeason20242025!$B$3:$B$1315, "&lt;=" &amp; DY$1, DataRegularSeason20242025!$E$3:$E$1315, $A69)</f>
        <v>2</v>
      </c>
      <c r="DZ69">
        <f>SUMIFS(DataRegularSeason20242025!$AA$3:$AA$1315,DataRegularSeason20242025!$B$3:$B$1315, "&lt;=" &amp; DZ$1, DataRegularSeason20242025!$D$3:$D$1315, $A69)+SUMIFS(DataRegularSeason20242025!$AB$3:$AB$1315,DataRegularSeason20242025!$B$3:$B$1315, "&lt;=" &amp; DZ$1, DataRegularSeason20242025!$E$3:$E$1315, $A69)</f>
        <v>2</v>
      </c>
      <c r="EA69">
        <f>SUMIFS(DataRegularSeason20242025!$AA$3:$AA$1315,DataRegularSeason20242025!$B$3:$B$1315, "&lt;=" &amp; EA$1, DataRegularSeason20242025!$D$3:$D$1315, $A69)+SUMIFS(DataRegularSeason20242025!$AB$3:$AB$1315,DataRegularSeason20242025!$B$3:$B$1315, "&lt;=" &amp; EA$1, DataRegularSeason20242025!$E$3:$E$1315, $A69)</f>
        <v>2</v>
      </c>
      <c r="EB69">
        <f>SUMIFS(DataRegularSeason20242025!$AA$3:$AA$1315,DataRegularSeason20242025!$B$3:$B$1315, "&lt;=" &amp; EB$1, DataRegularSeason20242025!$D$3:$D$1315, $A69)+SUMIFS(DataRegularSeason20242025!$AB$3:$AB$1315,DataRegularSeason20242025!$B$3:$B$1315, "&lt;=" &amp; EB$1, DataRegularSeason20242025!$E$3:$E$1315, $A69)</f>
        <v>2</v>
      </c>
      <c r="EC69">
        <f>SUMIFS(DataRegularSeason20242025!$AA$3:$AA$1315,DataRegularSeason20242025!$B$3:$B$1315, "&lt;=" &amp; EC$1, DataRegularSeason20242025!$D$3:$D$1315, $A69)+SUMIFS(DataRegularSeason20242025!$AB$3:$AB$1315,DataRegularSeason20242025!$B$3:$B$1315, "&lt;=" &amp; EC$1, DataRegularSeason20242025!$E$3:$E$1315, $A69)</f>
        <v>2</v>
      </c>
      <c r="ED69">
        <f>SUMIFS(DataRegularSeason20242025!$AA$3:$AA$1315,DataRegularSeason20242025!$B$3:$B$1315, "&lt;=" &amp; ED$1, DataRegularSeason20242025!$D$3:$D$1315, $A69)+SUMIFS(DataRegularSeason20242025!$AB$3:$AB$1315,DataRegularSeason20242025!$B$3:$B$1315, "&lt;=" &amp; ED$1, DataRegularSeason20242025!$E$3:$E$1315, $A69)</f>
        <v>2</v>
      </c>
      <c r="EE69">
        <f>SUMIFS(DataRegularSeason20242025!$AA$3:$AA$1315,DataRegularSeason20242025!$B$3:$B$1315, "&lt;=" &amp; EE$1, DataRegularSeason20242025!$D$3:$D$1315, $A69)+SUMIFS(DataRegularSeason20242025!$AB$3:$AB$1315,DataRegularSeason20242025!$B$3:$B$1315, "&lt;=" &amp; EE$1, DataRegularSeason20242025!$E$3:$E$1315, $A69)</f>
        <v>2</v>
      </c>
      <c r="EF69">
        <f>SUMIFS(DataRegularSeason20242025!$AA$3:$AA$1315,DataRegularSeason20242025!$B$3:$B$1315, "&lt;=" &amp; EF$1, DataRegularSeason20242025!$D$3:$D$1315, $A69)+SUMIFS(DataRegularSeason20242025!$AB$3:$AB$1315,DataRegularSeason20242025!$B$3:$B$1315, "&lt;=" &amp; EF$1, DataRegularSeason20242025!$E$3:$E$1315, $A69)</f>
        <v>2</v>
      </c>
      <c r="EG69">
        <f>SUMIFS(DataRegularSeason20242025!$AA$3:$AA$1315,DataRegularSeason20242025!$B$3:$B$1315, "&lt;=" &amp; EG$1, DataRegularSeason20242025!$D$3:$D$1315, $A69)+SUMIFS(DataRegularSeason20242025!$AB$3:$AB$1315,DataRegularSeason20242025!$B$3:$B$1315, "&lt;=" &amp; EG$1, DataRegularSeason20242025!$E$3:$E$1315, $A69)</f>
        <v>2</v>
      </c>
      <c r="EH69">
        <f>SUMIFS(DataRegularSeason20242025!$AA$3:$AA$1315,DataRegularSeason20242025!$B$3:$B$1315, "&lt;=" &amp; EH$1, DataRegularSeason20242025!$D$3:$D$1315, $A69)+SUMIFS(DataRegularSeason20242025!$AB$3:$AB$1315,DataRegularSeason20242025!$B$3:$B$1315, "&lt;=" &amp; EH$1, DataRegularSeason20242025!$E$3:$E$1315, $A69)</f>
        <v>2</v>
      </c>
      <c r="EI69">
        <f>SUMIFS(DataRegularSeason20242025!$AA$3:$AA$1315,DataRegularSeason20242025!$B$3:$B$1315, "&lt;=" &amp; EI$1, DataRegularSeason20242025!$D$3:$D$1315, $A69)+SUMIFS(DataRegularSeason20242025!$AB$3:$AB$1315,DataRegularSeason20242025!$B$3:$B$1315, "&lt;=" &amp; EI$1, DataRegularSeason20242025!$E$3:$E$1315, $A69)</f>
        <v>2</v>
      </c>
      <c r="EJ69">
        <f>SUMIFS(DataRegularSeason20242025!$AA$3:$AA$1315,DataRegularSeason20242025!$B$3:$B$1315, "&lt;=" &amp; EJ$1, DataRegularSeason20242025!$D$3:$D$1315, $A69)+SUMIFS(DataRegularSeason20242025!$AB$3:$AB$1315,DataRegularSeason20242025!$B$3:$B$1315, "&lt;=" &amp; EJ$1, DataRegularSeason20242025!$E$3:$E$1315, $A69)</f>
        <v>2</v>
      </c>
      <c r="EK69">
        <f>SUMIFS(DataRegularSeason20242025!$AA$3:$AA$1315,DataRegularSeason20242025!$B$3:$B$1315, "&lt;=" &amp; EK$1, DataRegularSeason20242025!$D$3:$D$1315, $A69)+SUMIFS(DataRegularSeason20242025!$AB$3:$AB$1315,DataRegularSeason20242025!$B$3:$B$1315, "&lt;=" &amp; EK$1, DataRegularSeason20242025!$E$3:$E$1315, $A69)</f>
        <v>2</v>
      </c>
      <c r="EL69">
        <f>SUMIFS(DataRegularSeason20242025!$AA$3:$AA$1315,DataRegularSeason20242025!$B$3:$B$1315, "&lt;=" &amp; EL$1, DataRegularSeason20242025!$D$3:$D$1315, $A69)+SUMIFS(DataRegularSeason20242025!$AB$3:$AB$1315,DataRegularSeason20242025!$B$3:$B$1315, "&lt;=" &amp; EL$1, DataRegularSeason20242025!$E$3:$E$1315, $A69)</f>
        <v>2</v>
      </c>
      <c r="EM69">
        <f>SUMIFS(DataRegularSeason20242025!$AA$3:$AA$1315,DataRegularSeason20242025!$B$3:$B$1315, "&lt;=" &amp; EM$1, DataRegularSeason20242025!$D$3:$D$1315, $A69)+SUMIFS(DataRegularSeason20242025!$AB$3:$AB$1315,DataRegularSeason20242025!$B$3:$B$1315, "&lt;=" &amp; EM$1, DataRegularSeason20242025!$E$3:$E$1315, $A69)</f>
        <v>2</v>
      </c>
      <c r="EN69">
        <f>SUMIFS(DataRegularSeason20242025!$AA$3:$AA$1315,DataRegularSeason20242025!$B$3:$B$1315, "&lt;=" &amp; EN$1, DataRegularSeason20242025!$D$3:$D$1315, $A69)+SUMIFS(DataRegularSeason20242025!$AB$3:$AB$1315,DataRegularSeason20242025!$B$3:$B$1315, "&lt;=" &amp; EN$1, DataRegularSeason20242025!$E$3:$E$1315, $A69)</f>
        <v>2</v>
      </c>
      <c r="EO69">
        <f>SUMIFS(DataRegularSeason20242025!$AA$3:$AA$1315,DataRegularSeason20242025!$B$3:$B$1315, "&lt;=" &amp; EO$1, DataRegularSeason20242025!$D$3:$D$1315, $A69)+SUMIFS(DataRegularSeason20242025!$AB$3:$AB$1315,DataRegularSeason20242025!$B$3:$B$1315, "&lt;=" &amp; EO$1, DataRegularSeason20242025!$E$3:$E$1315, $A69)</f>
        <v>2</v>
      </c>
      <c r="EP69">
        <f>SUMIFS(DataRegularSeason20242025!$AA$3:$AA$1315,DataRegularSeason20242025!$B$3:$B$1315, "&lt;=" &amp; EP$1, DataRegularSeason20242025!$D$3:$D$1315, $A69)+SUMIFS(DataRegularSeason20242025!$AB$3:$AB$1315,DataRegularSeason20242025!$B$3:$B$1315, "&lt;=" &amp; EP$1, DataRegularSeason20242025!$E$3:$E$1315, $A69)</f>
        <v>2</v>
      </c>
      <c r="EQ69">
        <f>SUMIFS(DataRegularSeason20242025!$AA$3:$AA$1315,DataRegularSeason20242025!$B$3:$B$1315, "&lt;=" &amp; EQ$1, DataRegularSeason20242025!$D$3:$D$1315, $A69)+SUMIFS(DataRegularSeason20242025!$AB$3:$AB$1315,DataRegularSeason20242025!$B$3:$B$1315, "&lt;=" &amp; EQ$1, DataRegularSeason20242025!$E$3:$E$1315, $A69)</f>
        <v>2</v>
      </c>
      <c r="ER69">
        <f>SUMIFS(DataRegularSeason20242025!$AA$3:$AA$1315,DataRegularSeason20242025!$B$3:$B$1315, "&lt;=" &amp; ER$1, DataRegularSeason20242025!$D$3:$D$1315, $A69)+SUMIFS(DataRegularSeason20242025!$AB$3:$AB$1315,DataRegularSeason20242025!$B$3:$B$1315, "&lt;=" &amp; ER$1, DataRegularSeason20242025!$E$3:$E$1315, $A69)</f>
        <v>2</v>
      </c>
      <c r="ES69">
        <f>SUMIFS(DataRegularSeason20242025!$AA$3:$AA$1315,DataRegularSeason20242025!$B$3:$B$1315, "&lt;=" &amp; ES$1, DataRegularSeason20242025!$D$3:$D$1315, $A69)+SUMIFS(DataRegularSeason20242025!$AB$3:$AB$1315,DataRegularSeason20242025!$B$3:$B$1315, "&lt;=" &amp; ES$1, DataRegularSeason20242025!$E$3:$E$1315, $A69)</f>
        <v>2</v>
      </c>
      <c r="ET69">
        <f>SUMIFS(DataRegularSeason20242025!$AA$3:$AA$1315,DataRegularSeason20242025!$B$3:$B$1315, "&lt;=" &amp; ET$1, DataRegularSeason20242025!$D$3:$D$1315, $A69)+SUMIFS(DataRegularSeason20242025!$AB$3:$AB$1315,DataRegularSeason20242025!$B$3:$B$1315, "&lt;=" &amp; ET$1, DataRegularSeason20242025!$E$3:$E$1315, $A69)</f>
        <v>2</v>
      </c>
      <c r="EU69">
        <f>SUMIFS(DataRegularSeason20242025!$AA$3:$AA$1315,DataRegularSeason20242025!$B$3:$B$1315, "&lt;=" &amp; EU$1, DataRegularSeason20242025!$D$3:$D$1315, $A69)+SUMIFS(DataRegularSeason20242025!$AB$3:$AB$1315,DataRegularSeason20242025!$B$3:$B$1315, "&lt;=" &amp; EU$1, DataRegularSeason20242025!$E$3:$E$1315, $A69)</f>
        <v>2</v>
      </c>
      <c r="EV69">
        <f>SUMIFS(DataRegularSeason20242025!$AA$3:$AA$1315,DataRegularSeason20242025!$B$3:$B$1315, "&lt;=" &amp; EV$1, DataRegularSeason20242025!$D$3:$D$1315, $A69)+SUMIFS(DataRegularSeason20242025!$AB$3:$AB$1315,DataRegularSeason20242025!$B$3:$B$1315, "&lt;=" &amp; EV$1, DataRegularSeason20242025!$E$3:$E$1315, $A69)</f>
        <v>2</v>
      </c>
      <c r="EW69">
        <f>SUMIFS(DataRegularSeason20242025!$AA$3:$AA$1315,DataRegularSeason20242025!$B$3:$B$1315, "&lt;=" &amp; EW$1, DataRegularSeason20242025!$D$3:$D$1315, $A69)+SUMIFS(DataRegularSeason20242025!$AB$3:$AB$1315,DataRegularSeason20242025!$B$3:$B$1315, "&lt;=" &amp; EW$1, DataRegularSeason20242025!$E$3:$E$1315, $A69)</f>
        <v>2</v>
      </c>
      <c r="EX69">
        <f>SUMIFS(DataRegularSeason20242025!$AA$3:$AA$1315,DataRegularSeason20242025!$B$3:$B$1315, "&lt;=" &amp; EX$1, DataRegularSeason20242025!$D$3:$D$1315, $A69)+SUMIFS(DataRegularSeason20242025!$AB$3:$AB$1315,DataRegularSeason20242025!$B$3:$B$1315, "&lt;=" &amp; EX$1, DataRegularSeason20242025!$E$3:$E$1315, $A69)</f>
        <v>2</v>
      </c>
      <c r="EY69">
        <f>SUMIFS(DataRegularSeason20242025!$AA$3:$AA$1315,DataRegularSeason20242025!$B$3:$B$1315, "&lt;=" &amp; EY$1, DataRegularSeason20242025!$D$3:$D$1315, $A69)+SUMIFS(DataRegularSeason20242025!$AB$3:$AB$1315,DataRegularSeason20242025!$B$3:$B$1315, "&lt;=" &amp; EY$1, DataRegularSeason20242025!$E$3:$E$1315, $A69)</f>
        <v>2</v>
      </c>
      <c r="EZ69">
        <f>SUMIFS(DataRegularSeason20242025!$AA$3:$AA$1315,DataRegularSeason20242025!$B$3:$B$1315, "&lt;=" &amp; EZ$1, DataRegularSeason20242025!$D$3:$D$1315, $A69)+SUMIFS(DataRegularSeason20242025!$AB$3:$AB$1315,DataRegularSeason20242025!$B$3:$B$1315, "&lt;=" &amp; EZ$1, DataRegularSeason20242025!$E$3:$E$1315, $A69)</f>
        <v>2</v>
      </c>
      <c r="FA69">
        <f>SUMIFS(DataRegularSeason20242025!$AA$3:$AA$1315,DataRegularSeason20242025!$B$3:$B$1315, "&lt;=" &amp; FA$1, DataRegularSeason20242025!$D$3:$D$1315, $A69)+SUMIFS(DataRegularSeason20242025!$AB$3:$AB$1315,DataRegularSeason20242025!$B$3:$B$1315, "&lt;=" &amp; FA$1, DataRegularSeason20242025!$E$3:$E$1315, $A69)</f>
        <v>2</v>
      </c>
      <c r="FB69">
        <f>SUMIFS(DataRegularSeason20242025!$AA$3:$AA$1315,DataRegularSeason20242025!$B$3:$B$1315, "&lt;=" &amp; FB$1, DataRegularSeason20242025!$D$3:$D$1315, $A69)+SUMIFS(DataRegularSeason20242025!$AB$3:$AB$1315,DataRegularSeason20242025!$B$3:$B$1315, "&lt;=" &amp; FB$1, DataRegularSeason20242025!$E$3:$E$1315, $A69)</f>
        <v>2</v>
      </c>
      <c r="FC69">
        <f>SUMIFS(DataRegularSeason20242025!$AA$3:$AA$1315,DataRegularSeason20242025!$B$3:$B$1315, "&lt;=" &amp; FC$1, DataRegularSeason20242025!$D$3:$D$1315, $A69)+SUMIFS(DataRegularSeason20242025!$AB$3:$AB$1315,DataRegularSeason20242025!$B$3:$B$1315, "&lt;=" &amp; FC$1, DataRegularSeason20242025!$E$3:$E$1315, $A69)</f>
        <v>2</v>
      </c>
      <c r="FD69">
        <f>SUMIFS(DataRegularSeason20242025!$AA$3:$AA$1315,DataRegularSeason20242025!$B$3:$B$1315, "&lt;=" &amp; FD$1, DataRegularSeason20242025!$D$3:$D$1315, $A69)+SUMIFS(DataRegularSeason20242025!$AB$3:$AB$1315,DataRegularSeason20242025!$B$3:$B$1315, "&lt;=" &amp; FD$1, DataRegularSeason20242025!$E$3:$E$1315, $A69)</f>
        <v>2</v>
      </c>
      <c r="FE69">
        <f>SUMIFS(DataRegularSeason20242025!$AA$3:$AA$1315,DataRegularSeason20242025!$B$3:$B$1315, "&lt;=" &amp; FE$1, DataRegularSeason20242025!$D$3:$D$1315, $A69)+SUMIFS(DataRegularSeason20242025!$AB$3:$AB$1315,DataRegularSeason20242025!$B$3:$B$1315, "&lt;=" &amp; FE$1, DataRegularSeason20242025!$E$3:$E$1315, $A69)</f>
        <v>2</v>
      </c>
      <c r="FF69">
        <f>SUMIFS(DataRegularSeason20242025!$AA$3:$AA$1315,DataRegularSeason20242025!$B$3:$B$1315, "&lt;=" &amp; FF$1, DataRegularSeason20242025!$D$3:$D$1315, $A69)+SUMIFS(DataRegularSeason20242025!$AB$3:$AB$1315,DataRegularSeason20242025!$B$3:$B$1315, "&lt;=" &amp; FF$1, DataRegularSeason20242025!$E$3:$E$1315, $A69)</f>
        <v>2</v>
      </c>
      <c r="FG69">
        <f>SUMIFS(DataRegularSeason20242025!$AA$3:$AA$1315,DataRegularSeason20242025!$B$3:$B$1315, "&lt;=" &amp; FG$1, DataRegularSeason20242025!$D$3:$D$1315, $A69)+SUMIFS(DataRegularSeason20242025!$AB$3:$AB$1315,DataRegularSeason20242025!$B$3:$B$1315, "&lt;=" &amp; FG$1, DataRegularSeason20242025!$E$3:$E$1315, $A69)</f>
        <v>2</v>
      </c>
      <c r="FH69">
        <f>SUMIFS(DataRegularSeason20242025!$AA$3:$AA$1315,DataRegularSeason20242025!$B$3:$B$1315, "&lt;=" &amp; FH$1, DataRegularSeason20242025!$D$3:$D$1315, $A69)+SUMIFS(DataRegularSeason20242025!$AB$3:$AB$1315,DataRegularSeason20242025!$B$3:$B$1315, "&lt;=" &amp; FH$1, DataRegularSeason20242025!$E$3:$E$1315, $A69)</f>
        <v>2</v>
      </c>
      <c r="FI69">
        <f>SUMIFS(DataRegularSeason20242025!$AA$3:$AA$1315,DataRegularSeason20242025!$B$3:$B$1315, "&lt;=" &amp; FI$1, DataRegularSeason20242025!$D$3:$D$1315, $A69)+SUMIFS(DataRegularSeason20242025!$AB$3:$AB$1315,DataRegularSeason20242025!$B$3:$B$1315, "&lt;=" &amp; FI$1, DataRegularSeason20242025!$E$3:$E$1315, $A69)</f>
        <v>2</v>
      </c>
      <c r="FJ69">
        <f>SUMIFS(DataRegularSeason20242025!$AA$3:$AA$1315,DataRegularSeason20242025!$B$3:$B$1315, "&lt;=" &amp; FJ$1, DataRegularSeason20242025!$D$3:$D$1315, $A69)+SUMIFS(DataRegularSeason20242025!$AB$3:$AB$1315,DataRegularSeason20242025!$B$3:$B$1315, "&lt;=" &amp; FJ$1, DataRegularSeason20242025!$E$3:$E$1315, $A69)</f>
        <v>2</v>
      </c>
      <c r="FK69">
        <f>SUMIFS(DataRegularSeason20242025!$AA$3:$AA$1315,DataRegularSeason20242025!$B$3:$B$1315, "&lt;=" &amp; FK$1, DataRegularSeason20242025!$D$3:$D$1315, $A69)+SUMIFS(DataRegularSeason20242025!$AB$3:$AB$1315,DataRegularSeason20242025!$B$3:$B$1315, "&lt;=" &amp; FK$1, DataRegularSeason20242025!$E$3:$E$1315, $A69)</f>
        <v>2</v>
      </c>
      <c r="FL69">
        <f>SUMIFS(DataRegularSeason20242025!$AA$3:$AA$1315,DataRegularSeason20242025!$B$3:$B$1315, "&lt;=" &amp; FL$1, DataRegularSeason20242025!$D$3:$D$1315, $A69)+SUMIFS(DataRegularSeason20242025!$AB$3:$AB$1315,DataRegularSeason20242025!$B$3:$B$1315, "&lt;=" &amp; FL$1, DataRegularSeason20242025!$E$3:$E$1315, $A69)</f>
        <v>2</v>
      </c>
      <c r="FM69">
        <f>SUMIFS(DataRegularSeason20242025!$AA$3:$AA$1315,DataRegularSeason20242025!$B$3:$B$1315, "&lt;=" &amp; FM$1, DataRegularSeason20242025!$D$3:$D$1315, $A69)+SUMIFS(DataRegularSeason20242025!$AB$3:$AB$1315,DataRegularSeason20242025!$B$3:$B$1315, "&lt;=" &amp; FM$1, DataRegularSeason20242025!$E$3:$E$1315, $A69)</f>
        <v>2</v>
      </c>
      <c r="FN69">
        <f>SUMIFS(DataRegularSeason20242025!$AA$3:$AA$1315,DataRegularSeason20242025!$B$3:$B$1315, "&lt;=" &amp; FN$1, DataRegularSeason20242025!$D$3:$D$1315, $A69)+SUMIFS(DataRegularSeason20242025!$AB$3:$AB$1315,DataRegularSeason20242025!$B$3:$B$1315, "&lt;=" &amp; FN$1, DataRegularSeason20242025!$E$3:$E$1315, $A69)</f>
        <v>2</v>
      </c>
      <c r="FO69">
        <f>SUMIFS(DataRegularSeason20242025!$AA$3:$AA$1315,DataRegularSeason20242025!$B$3:$B$1315, "&lt;=" &amp; FO$1, DataRegularSeason20242025!$D$3:$D$1315, $A69)+SUMIFS(DataRegularSeason20242025!$AB$3:$AB$1315,DataRegularSeason20242025!$B$3:$B$1315, "&lt;=" &amp; FO$1, DataRegularSeason20242025!$E$3:$E$1315, $A69)</f>
        <v>2</v>
      </c>
      <c r="FP69">
        <f>SUMIFS(DataRegularSeason20242025!$AA$3:$AA$1315,DataRegularSeason20242025!$B$3:$B$1315, "&lt;=" &amp; FP$1, DataRegularSeason20242025!$D$3:$D$1315, $A69)+SUMIFS(DataRegularSeason20242025!$AB$3:$AB$1315,DataRegularSeason20242025!$B$3:$B$1315, "&lt;=" &amp; FP$1, DataRegularSeason20242025!$E$3:$E$1315, $A69)</f>
        <v>2</v>
      </c>
      <c r="FQ69">
        <f>SUMIFS(DataRegularSeason20242025!$AA$3:$AA$1315,DataRegularSeason20242025!$B$3:$B$1315, "&lt;=" &amp; FQ$1, DataRegularSeason20242025!$D$3:$D$1315, $A69)+SUMIFS(DataRegularSeason20242025!$AB$3:$AB$1315,DataRegularSeason20242025!$B$3:$B$1315, "&lt;=" &amp; FQ$1, DataRegularSeason20242025!$E$3:$E$1315, $A69)</f>
        <v>2</v>
      </c>
      <c r="FR69">
        <f>SUMIFS(DataRegularSeason20242025!$AA$3:$AA$1315,DataRegularSeason20242025!$B$3:$B$1315, "&lt;=" &amp; FR$1, DataRegularSeason20242025!$D$3:$D$1315, $A69)+SUMIFS(DataRegularSeason20242025!$AB$3:$AB$1315,DataRegularSeason20242025!$B$3:$B$1315, "&lt;=" &amp; FR$1, DataRegularSeason20242025!$E$3:$E$1315, $A69)</f>
        <v>2</v>
      </c>
      <c r="FS69">
        <f>SUMIFS(DataRegularSeason20242025!$AA$3:$AA$1315,DataRegularSeason20242025!$B$3:$B$1315, "&lt;=" &amp; FS$1, DataRegularSeason20242025!$D$3:$D$1315, $A69)+SUMIFS(DataRegularSeason20242025!$AB$3:$AB$1315,DataRegularSeason20242025!$B$3:$B$1315, "&lt;=" &amp; FS$1, DataRegularSeason20242025!$E$3:$E$1315, $A69)</f>
        <v>2</v>
      </c>
      <c r="FT69">
        <f>SUMIFS(DataRegularSeason20242025!$AA$3:$AA$1315,DataRegularSeason20242025!$B$3:$B$1315, "&lt;=" &amp; FT$1, DataRegularSeason20242025!$D$3:$D$1315, $A69)+SUMIFS(DataRegularSeason20242025!$AB$3:$AB$1315,DataRegularSeason20242025!$B$3:$B$1315, "&lt;=" &amp; FT$1, DataRegularSeason20242025!$E$3:$E$1315, $A69)</f>
        <v>2</v>
      </c>
      <c r="FU69">
        <f>SUMIFS(DataRegularSeason20242025!$AA$3:$AA$1315,DataRegularSeason20242025!$B$3:$B$1315, "&lt;=" &amp; FU$1, DataRegularSeason20242025!$D$3:$D$1315, $A69)+SUMIFS(DataRegularSeason20242025!$AB$3:$AB$1315,DataRegularSeason20242025!$B$3:$B$1315, "&lt;=" &amp; FU$1, DataRegularSeason20242025!$E$3:$E$1315, $A69)</f>
        <v>2</v>
      </c>
      <c r="FV69">
        <f>SUMIFS(DataRegularSeason20242025!$AA$3:$AA$1315,DataRegularSeason20242025!$B$3:$B$1315, "&lt;=" &amp; FV$1, DataRegularSeason20242025!$D$3:$D$1315, $A69)+SUMIFS(DataRegularSeason20242025!$AB$3:$AB$1315,DataRegularSeason20242025!$B$3:$B$1315, "&lt;=" &amp; FV$1, DataRegularSeason20242025!$E$3:$E$1315, $A69)</f>
        <v>2</v>
      </c>
      <c r="FW69">
        <f>SUMIFS(DataRegularSeason20242025!$AA$3:$AA$1315,DataRegularSeason20242025!$B$3:$B$1315, "&lt;=" &amp; FW$1, DataRegularSeason20242025!$D$3:$D$1315, $A69)+SUMIFS(DataRegularSeason20242025!$AB$3:$AB$1315,DataRegularSeason20242025!$B$3:$B$1315, "&lt;=" &amp; FW$1, DataRegularSeason20242025!$E$3:$E$1315, $A69)</f>
        <v>2</v>
      </c>
      <c r="FX69">
        <f>SUMIFS(DataRegularSeason20242025!$AA$3:$AA$1315,DataRegularSeason20242025!$B$3:$B$1315, "&lt;=" &amp; FX$1, DataRegularSeason20242025!$D$3:$D$1315, $A69)+SUMIFS(DataRegularSeason20242025!$AB$3:$AB$1315,DataRegularSeason20242025!$B$3:$B$1315, "&lt;=" &amp; FX$1, DataRegularSeason20242025!$E$3:$E$1315, $A69)</f>
        <v>2</v>
      </c>
      <c r="FY69">
        <f>SUMIFS(DataRegularSeason20242025!$AA$3:$AA$1315,DataRegularSeason20242025!$B$3:$B$1315, "&lt;=" &amp; FY$1, DataRegularSeason20242025!$D$3:$D$1315, $A69)+SUMIFS(DataRegularSeason20242025!$AB$3:$AB$1315,DataRegularSeason20242025!$B$3:$B$1315, "&lt;=" &amp; FY$1, DataRegularSeason20242025!$E$3:$E$1315, $A69)</f>
        <v>2</v>
      </c>
      <c r="FZ69">
        <f>SUMIFS(DataRegularSeason20242025!$AA$3:$AA$1315,DataRegularSeason20242025!$B$3:$B$1315, "&lt;=" &amp; FZ$1, DataRegularSeason20242025!$D$3:$D$1315, $A69)+SUMIFS(DataRegularSeason20242025!$AB$3:$AB$1315,DataRegularSeason20242025!$B$3:$B$1315, "&lt;=" &amp; FZ$1, DataRegularSeason20242025!$E$3:$E$1315, $A69)</f>
        <v>2</v>
      </c>
      <c r="GA69">
        <f>SUMIFS(DataRegularSeason20242025!$AA$3:$AA$1315,DataRegularSeason20242025!$B$3:$B$1315, "&lt;=" &amp; GA$1, DataRegularSeason20242025!$D$3:$D$1315, $A69)+SUMIFS(DataRegularSeason20242025!$AB$3:$AB$1315,DataRegularSeason20242025!$B$3:$B$1315, "&lt;=" &amp; GA$1, DataRegularSeason20242025!$E$3:$E$1315, $A69)</f>
        <v>2</v>
      </c>
      <c r="GB69">
        <f>SUMIFS(DataRegularSeason20242025!$AA$3:$AA$1315,DataRegularSeason20242025!$B$3:$B$1315, "&lt;=" &amp; GB$1, DataRegularSeason20242025!$D$3:$D$1315, $A69)+SUMIFS(DataRegularSeason20242025!$AB$3:$AB$1315,DataRegularSeason20242025!$B$3:$B$1315, "&lt;=" &amp; GB$1, DataRegularSeason20242025!$E$3:$E$1315, $A69)</f>
        <v>2</v>
      </c>
      <c r="GC69">
        <f>SUMIFS(DataRegularSeason20242025!$AA$3:$AA$1315,DataRegularSeason20242025!$B$3:$B$1315, "&lt;=" &amp; GC$1, DataRegularSeason20242025!$D$3:$D$1315, $A69)+SUMIFS(DataRegularSeason20242025!$AB$3:$AB$1315,DataRegularSeason20242025!$B$3:$B$1315, "&lt;=" &amp; GC$1, DataRegularSeason20242025!$E$3:$E$1315, $A69)</f>
        <v>2</v>
      </c>
      <c r="GD69">
        <f>SUMIFS(DataRegularSeason20242025!$AA$3:$AA$1315,DataRegularSeason20242025!$B$3:$B$1315, "&lt;=" &amp; GD$1, DataRegularSeason20242025!$D$3:$D$1315, $A69)+SUMIFS(DataRegularSeason20242025!$AB$3:$AB$1315,DataRegularSeason20242025!$B$3:$B$1315, "&lt;=" &amp; GD$1, DataRegularSeason20242025!$E$3:$E$1315, $A69)</f>
        <v>2</v>
      </c>
      <c r="GE69">
        <f>SUMIFS(DataRegularSeason20242025!$AA$3:$AA$1315,DataRegularSeason20242025!$B$3:$B$1315, "&lt;=" &amp; GE$1, DataRegularSeason20242025!$D$3:$D$1315, $A69)+SUMIFS(DataRegularSeason20242025!$AB$3:$AB$1315,DataRegularSeason20242025!$B$3:$B$1315, "&lt;=" &amp; GE$1, DataRegularSeason20242025!$E$3:$E$1315, $A69)</f>
        <v>2</v>
      </c>
      <c r="GF69">
        <f>SUMIFS(DataRegularSeason20242025!$AA$3:$AA$1315,DataRegularSeason20242025!$B$3:$B$1315, "&lt;=" &amp; GF$1, DataRegularSeason20242025!$D$3:$D$1315, $A69)+SUMIFS(DataRegularSeason20242025!$AB$3:$AB$1315,DataRegularSeason20242025!$B$3:$B$1315, "&lt;=" &amp; GF$1, DataRegularSeason20242025!$E$3:$E$1315, $A69)</f>
        <v>2</v>
      </c>
      <c r="GG69">
        <f>SUMIFS(DataRegularSeason20242025!$AA$3:$AA$1315,DataRegularSeason20242025!$B$3:$B$1315, "&lt;=" &amp; GG$1, DataRegularSeason20242025!$D$3:$D$1315, $A69)+SUMIFS(DataRegularSeason20242025!$AB$3:$AB$1315,DataRegularSeason20242025!$B$3:$B$1315, "&lt;=" &amp; GG$1, DataRegularSeason20242025!$E$3:$E$1315, $A69)</f>
        <v>2</v>
      </c>
      <c r="GH69">
        <f>SUMIFS(DataRegularSeason20242025!$AA$3:$AA$1315,DataRegularSeason20242025!$B$3:$B$1315, "&lt;=" &amp; GH$1, DataRegularSeason20242025!$D$3:$D$1315, $A69)+SUMIFS(DataRegularSeason20242025!$AB$3:$AB$1315,DataRegularSeason20242025!$B$3:$B$1315, "&lt;=" &amp; GH$1, DataRegularSeason20242025!$E$3:$E$1315, $A69)</f>
        <v>2</v>
      </c>
      <c r="GI69">
        <f>SUMIFS(DataRegularSeason20242025!$AA$3:$AA$1315,DataRegularSeason20242025!$B$3:$B$1315, "&lt;=" &amp; GI$1, DataRegularSeason20242025!$D$3:$D$1315, $A69)+SUMIFS(DataRegularSeason20242025!$AB$3:$AB$1315,DataRegularSeason20242025!$B$3:$B$1315, "&lt;=" &amp; GI$1, DataRegularSeason20242025!$E$3:$E$1315, $A69)</f>
        <v>2</v>
      </c>
      <c r="GJ69">
        <f>SUMIFS(DataRegularSeason20242025!$AA$3:$AA$1315,DataRegularSeason20242025!$B$3:$B$1315, "&lt;=" &amp; GJ$1, DataRegularSeason20242025!$D$3:$D$1315, $A69)+SUMIFS(DataRegularSeason20242025!$AB$3:$AB$1315,DataRegularSeason20242025!$B$3:$B$1315, "&lt;=" &amp; GJ$1, DataRegularSeason20242025!$E$3:$E$1315, $A69)</f>
        <v>2</v>
      </c>
      <c r="GK69">
        <f>SUMIFS(DataRegularSeason20242025!$AA$3:$AA$1315,DataRegularSeason20242025!$B$3:$B$1315, "&lt;=" &amp; GK$1, DataRegularSeason20242025!$D$3:$D$1315, $A69)+SUMIFS(DataRegularSeason20242025!$AB$3:$AB$1315,DataRegularSeason20242025!$B$3:$B$1315, "&lt;=" &amp; GK$1, DataRegularSeason20242025!$E$3:$E$1315, $A69)</f>
        <v>2</v>
      </c>
      <c r="GL69">
        <f>SUMIFS(DataRegularSeason20242025!$AA$3:$AA$1315,DataRegularSeason20242025!$B$3:$B$1315, "&lt;=" &amp; GL$1, DataRegularSeason20242025!$D$3:$D$1315, $A69)+SUMIFS(DataRegularSeason20242025!$AB$3:$AB$1315,DataRegularSeason20242025!$B$3:$B$1315, "&lt;=" &amp; GL$1, DataRegularSeason20242025!$E$3:$E$1315, $A69)</f>
        <v>2</v>
      </c>
      <c r="GM69">
        <f>SUMIFS(DataRegularSeason20242025!$AA$3:$AA$1315,DataRegularSeason20242025!$B$3:$B$1315, "&lt;=" &amp; GM$1, DataRegularSeason20242025!$D$3:$D$1315, $A69)+SUMIFS(DataRegularSeason20242025!$AB$3:$AB$1315,DataRegularSeason20242025!$B$3:$B$1315, "&lt;=" &amp; GM$1, DataRegularSeason20242025!$E$3:$E$1315, $A69)</f>
        <v>2</v>
      </c>
      <c r="GN69">
        <f>SUMIFS(DataRegularSeason20242025!$AA$3:$AA$1315,DataRegularSeason20242025!$B$3:$B$1315, "&lt;=" &amp; GN$1, DataRegularSeason20242025!$D$3:$D$1315, $A69)+SUMIFS(DataRegularSeason20242025!$AB$3:$AB$1315,DataRegularSeason20242025!$B$3:$B$1315, "&lt;=" &amp; GN$1, DataRegularSeason20242025!$E$3:$E$1315, $A69)</f>
        <v>2</v>
      </c>
      <c r="GO69">
        <f>SUMIFS(DataRegularSeason20242025!$AA$3:$AA$1315,DataRegularSeason20242025!$B$3:$B$1315, "&lt;=" &amp; GO$1, DataRegularSeason20242025!$D$3:$D$1315, $A69)+SUMIFS(DataRegularSeason20242025!$AB$3:$AB$1315,DataRegularSeason20242025!$B$3:$B$1315, "&lt;=" &amp; GO$1, DataRegularSeason20242025!$E$3:$E$1315, $A69)</f>
        <v>2</v>
      </c>
      <c r="GP69">
        <f>SUMIFS(DataRegularSeason20242025!$AA$3:$AA$1315,DataRegularSeason20242025!$B$3:$B$1315, "&lt;=" &amp; GP$1, DataRegularSeason20242025!$D$3:$D$1315, $A69)+SUMIFS(DataRegularSeason20242025!$AB$3:$AB$1315,DataRegularSeason20242025!$B$3:$B$1315, "&lt;=" &amp; GP$1, DataRegularSeason20242025!$E$3:$E$1315, $A69)</f>
        <v>2</v>
      </c>
      <c r="GQ69">
        <f>SUMIFS(DataRegularSeason20242025!$AA$3:$AA$1315,DataRegularSeason20242025!$B$3:$B$1315, "&lt;=" &amp; GQ$1, DataRegularSeason20242025!$D$3:$D$1315, $A69)+SUMIFS(DataRegularSeason20242025!$AB$3:$AB$1315,DataRegularSeason20242025!$B$3:$B$1315, "&lt;=" &amp; GQ$1, DataRegularSeason20242025!$E$3:$E$1315, $A69)</f>
        <v>2</v>
      </c>
      <c r="GR69">
        <f>SUMIFS(DataRegularSeason20242025!$AA$3:$AA$1315,DataRegularSeason20242025!$B$3:$B$1315, "&lt;=" &amp; GR$1, DataRegularSeason20242025!$D$3:$D$1315, $A69)+SUMIFS(DataRegularSeason20242025!$AB$3:$AB$1315,DataRegularSeason20242025!$B$3:$B$1315, "&lt;=" &amp; GR$1, DataRegularSeason20242025!$E$3:$E$1315, $A69)</f>
        <v>2</v>
      </c>
      <c r="GS69">
        <f>SUMIFS(DataRegularSeason20242025!$AA$3:$AA$1315,DataRegularSeason20242025!$B$3:$B$1315, "&lt;=" &amp; GS$1, DataRegularSeason20242025!$D$3:$D$1315, $A69)+SUMIFS(DataRegularSeason20242025!$AB$3:$AB$1315,DataRegularSeason20242025!$B$3:$B$1315, "&lt;=" &amp; GS$1, DataRegularSeason20242025!$E$3:$E$1315, $A69)</f>
        <v>2</v>
      </c>
      <c r="GT69">
        <f>SUMIFS(DataRegularSeason20242025!$AA$3:$AA$1315,DataRegularSeason20242025!$B$3:$B$1315, "&lt;=" &amp; GT$1, DataRegularSeason20242025!$D$3:$D$1315, $A69)+SUMIFS(DataRegularSeason20242025!$AB$3:$AB$1315,DataRegularSeason20242025!$B$3:$B$1315, "&lt;=" &amp; GT$1, DataRegularSeason20242025!$E$3:$E$1315, $A69)</f>
        <v>2</v>
      </c>
      <c r="GU69">
        <f>SUMIFS(DataRegularSeason20242025!$AA$3:$AA$1315,DataRegularSeason20242025!$B$3:$B$1315, "&lt;=" &amp; GU$1, DataRegularSeason20242025!$D$3:$D$1315, $A69)+SUMIFS(DataRegularSeason20242025!$AB$3:$AB$1315,DataRegularSeason20242025!$B$3:$B$1315, "&lt;=" &amp; GU$1, DataRegularSeason20242025!$E$3:$E$1315, $A69)</f>
        <v>2</v>
      </c>
    </row>
    <row r="70" spans="1:275" x14ac:dyDescent="0.25">
      <c r="A70" t="s">
        <v>436</v>
      </c>
      <c r="D70">
        <f>SUBTOTAL(101,Table46[2024-10-03])</f>
        <v>0</v>
      </c>
      <c r="E70">
        <f>SUBTOTAL(101,Table46[2024-10-04])</f>
        <v>0</v>
      </c>
      <c r="F70">
        <f>SUBTOTAL(101,Table46[2024-10-05])</f>
        <v>0</v>
      </c>
      <c r="G70">
        <f>SUBTOTAL(101,Table46[2024-10-06])</f>
        <v>0</v>
      </c>
      <c r="H70">
        <f>SUBTOTAL(101,Table46[2024-10-07])</f>
        <v>0.1875</v>
      </c>
      <c r="I70">
        <f>SUBTOTAL(101,Table46[2024-10-08])</f>
        <v>0.5</v>
      </c>
      <c r="J70">
        <f>SUBTOTAL(101,Table46[2024-10-09])</f>
        <v>1.4375</v>
      </c>
      <c r="K70">
        <f>SUBTOTAL(101,Table46[2024-10-10])</f>
        <v>1.4375</v>
      </c>
      <c r="L70">
        <f>SUBTOTAL(101,Table46[2024-10-11])</f>
        <v>2.59375</v>
      </c>
      <c r="M70">
        <f>SUBTOTAL(101,Table46[2024-10-12])</f>
        <v>2.65625</v>
      </c>
      <c r="N70">
        <f>SUBTOTAL(101,Table46[2024-10-13])</f>
        <v>3.3125</v>
      </c>
      <c r="O70">
        <f>SUBTOTAL(101,Table46[2024-10-14])</f>
        <v>3.875</v>
      </c>
      <c r="P70">
        <f>SUBTOTAL(101,Table46[2024-10-15])</f>
        <v>4.125</v>
      </c>
      <c r="Q70">
        <f>SUBTOTAL(101,Table46[2024-10-16])</f>
        <v>4.90625</v>
      </c>
      <c r="R70">
        <f>SUBTOTAL(101,Table46[2024-10-17])</f>
        <v>5.21875</v>
      </c>
      <c r="S70">
        <f>SUBTOTAL(101,Table46[2024-10-18])</f>
        <v>6.125</v>
      </c>
      <c r="T70">
        <f>SUBTOTAL(101,Table46[2024-10-19])</f>
        <v>6.40625</v>
      </c>
      <c r="U70">
        <f>SUBTOTAL(101,Table46[2024-10-20])</f>
        <v>6.71875</v>
      </c>
      <c r="V70">
        <f>SUBTOTAL(101,Table46[2024-10-21])</f>
        <v>7.4375</v>
      </c>
      <c r="W70">
        <f>SUBTOTAL(101,Table46[2024-10-22])</f>
        <v>7.4375</v>
      </c>
      <c r="X70">
        <f>SUBTOTAL(101,Table46[2024-10-23])</f>
        <v>7.4375</v>
      </c>
      <c r="Y70">
        <f>SUBTOTAL(101,Table46[2024-10-24])</f>
        <v>7.4375</v>
      </c>
      <c r="Z70">
        <f>SUBTOTAL(101,Table46[2024-10-25])</f>
        <v>7.4375</v>
      </c>
      <c r="AA70">
        <f>SUBTOTAL(101,Table46[2024-10-26])</f>
        <v>7.4375</v>
      </c>
      <c r="AB70">
        <f>SUBTOTAL(101,Table46[2024-10-27])</f>
        <v>7.4375</v>
      </c>
      <c r="AC70">
        <f>SUBTOTAL(101,Table46[2024-10-28])</f>
        <v>7.4375</v>
      </c>
      <c r="AD70">
        <f>SUBTOTAL(101,Table46[2024-10-29])</f>
        <v>7.4375</v>
      </c>
      <c r="AE70">
        <f>SUBTOTAL(101,Table46[2024-10-30])</f>
        <v>7.4375</v>
      </c>
      <c r="AF70">
        <f>SUBTOTAL(101,Table46[2024-10-31])</f>
        <v>7.4375</v>
      </c>
      <c r="AG70">
        <f>SUBTOTAL(101,Table46[2024-11-01])</f>
        <v>7.4375</v>
      </c>
      <c r="AH70">
        <f>SUBTOTAL(101,Table46[2024-11-02])</f>
        <v>7.4375</v>
      </c>
      <c r="AI70">
        <f>SUBTOTAL(101,Table46[2024-11-03])</f>
        <v>7.4375</v>
      </c>
      <c r="AJ70">
        <f>SUBTOTAL(101,Table46[2024-11-04])</f>
        <v>7.4375</v>
      </c>
      <c r="AK70">
        <f>SUBTOTAL(101,Table46[2024-11-05])</f>
        <v>7.4375</v>
      </c>
      <c r="AL70">
        <f>SUBTOTAL(101,Table46[2024-11-06])</f>
        <v>7.4375</v>
      </c>
      <c r="AM70">
        <f>SUBTOTAL(101,Table46[2024-11-07])</f>
        <v>7.4375</v>
      </c>
      <c r="AN70">
        <f>SUBTOTAL(101,Table46[2024-11-08])</f>
        <v>7.4375</v>
      </c>
      <c r="AO70">
        <f>SUBTOTAL(101,Table46[2024-11-09])</f>
        <v>7.4375</v>
      </c>
      <c r="AP70">
        <f>SUBTOTAL(101,Table46[2024-11-10])</f>
        <v>7.4375</v>
      </c>
      <c r="AQ70">
        <f>SUBTOTAL(101,Table46[2024-11-11])</f>
        <v>7.4375</v>
      </c>
      <c r="AR70">
        <f>SUBTOTAL(101,Table46[2024-11-12])</f>
        <v>7.4375</v>
      </c>
      <c r="AS70">
        <f>SUBTOTAL(101,Table46[2024-11-13])</f>
        <v>7.4375</v>
      </c>
      <c r="AT70">
        <f>SUBTOTAL(101,Table46[2024-11-14])</f>
        <v>7.4375</v>
      </c>
      <c r="AU70">
        <f>SUBTOTAL(101,Table46[2024-11-15])</f>
        <v>7.4375</v>
      </c>
      <c r="AV70">
        <f>SUBTOTAL(101,Table46[2024-11-16])</f>
        <v>7.4375</v>
      </c>
      <c r="AW70">
        <f>SUBTOTAL(101,Table46[2024-11-17])</f>
        <v>7.4375</v>
      </c>
      <c r="AX70">
        <f>SUBTOTAL(101,Table46[2024-11-18])</f>
        <v>7.4375</v>
      </c>
      <c r="AY70">
        <f>SUBTOTAL(101,Table46[2024-11-19])</f>
        <v>7.4375</v>
      </c>
      <c r="AZ70">
        <f>SUBTOTAL(101,Table46[2024-11-20])</f>
        <v>7.4375</v>
      </c>
      <c r="BA70">
        <f>SUBTOTAL(101,Table46[2024-11-21])</f>
        <v>7.4375</v>
      </c>
      <c r="BB70">
        <f>SUBTOTAL(101,Table46[2024-11-22])</f>
        <v>7.4375</v>
      </c>
      <c r="BC70">
        <f>SUBTOTAL(101,Table46[2024-11-23])</f>
        <v>7.4375</v>
      </c>
      <c r="BD70">
        <f>SUBTOTAL(101,Table46[2024-11-24])</f>
        <v>7.4375</v>
      </c>
      <c r="BE70">
        <f>SUBTOTAL(101,Table46[2024-11-25])</f>
        <v>7.4375</v>
      </c>
      <c r="BF70">
        <f>SUBTOTAL(101,Table46[2024-11-26])</f>
        <v>7.4375</v>
      </c>
      <c r="BG70">
        <f>SUBTOTAL(101,Table46[2024-11-27])</f>
        <v>7.4375</v>
      </c>
      <c r="BH70">
        <f>SUBTOTAL(101,Table46[2024-11-28])</f>
        <v>7.4375</v>
      </c>
      <c r="BI70">
        <f>SUBTOTAL(101,Table46[2024-11-29])</f>
        <v>7.4375</v>
      </c>
      <c r="BJ70">
        <f>SUBTOTAL(101,Table46[2024-11-30])</f>
        <v>7.4375</v>
      </c>
      <c r="BK70">
        <f>SUBTOTAL(101,Table46[2024-12-01])</f>
        <v>7.4375</v>
      </c>
      <c r="BL70">
        <f>SUBTOTAL(101,Table46[2024-12-02])</f>
        <v>7.4375</v>
      </c>
      <c r="BM70">
        <f>SUBTOTAL(101,Table46[2024-12-03])</f>
        <v>7.4375</v>
      </c>
      <c r="BN70">
        <f>SUBTOTAL(101,Table46[2024-12-04])</f>
        <v>7.4375</v>
      </c>
      <c r="BO70">
        <f>SUBTOTAL(101,Table46[2024-12-05])</f>
        <v>7.4375</v>
      </c>
      <c r="BP70">
        <f>SUBTOTAL(101,Table46[2024-12-06])</f>
        <v>7.4375</v>
      </c>
      <c r="BQ70">
        <f>SUBTOTAL(101,Table46[2024-12-07])</f>
        <v>7.4375</v>
      </c>
      <c r="BR70">
        <f>SUBTOTAL(101,Table46[2024-12-08])</f>
        <v>7.4375</v>
      </c>
      <c r="BS70">
        <f>SUBTOTAL(101,Table46[2024-12-09])</f>
        <v>7.4375</v>
      </c>
      <c r="BT70">
        <f>SUBTOTAL(101,Table46[2024-12-10])</f>
        <v>7.4375</v>
      </c>
      <c r="BU70">
        <f>SUBTOTAL(101,Table46[2024-12-11])</f>
        <v>7.4375</v>
      </c>
      <c r="BV70">
        <f>SUBTOTAL(101,Table46[2024-12-12])</f>
        <v>7.4375</v>
      </c>
      <c r="BW70">
        <f>SUBTOTAL(101,Table46[2024-12-13])</f>
        <v>7.4375</v>
      </c>
      <c r="BX70">
        <f>SUBTOTAL(101,Table46[2024-12-14])</f>
        <v>7.4375</v>
      </c>
      <c r="BY70">
        <f>SUBTOTAL(101,Table46[2024-12-15])</f>
        <v>7.4375</v>
      </c>
      <c r="BZ70">
        <f>SUBTOTAL(101,Table46[2024-12-16])</f>
        <v>7.4375</v>
      </c>
      <c r="CA70">
        <f>SUBTOTAL(101,Table46[2024-12-17])</f>
        <v>7.4375</v>
      </c>
      <c r="CB70">
        <f>SUBTOTAL(101,Table46[2024-12-18])</f>
        <v>7.4375</v>
      </c>
      <c r="CC70">
        <f>SUBTOTAL(101,Table46[2024-12-19])</f>
        <v>7.4375</v>
      </c>
      <c r="CD70">
        <f>SUBTOTAL(101,Table46[2024-12-20])</f>
        <v>7.4375</v>
      </c>
      <c r="CE70">
        <f>SUBTOTAL(101,Table46[2024-12-21])</f>
        <v>7.4375</v>
      </c>
      <c r="CF70">
        <f>SUBTOTAL(101,Table46[2024-12-22])</f>
        <v>7.4375</v>
      </c>
      <c r="CG70">
        <f>SUBTOTAL(101,Table46[2024-12-23])</f>
        <v>7.4375</v>
      </c>
      <c r="CH70">
        <f>SUBTOTAL(101,Table46[2024-12-24])</f>
        <v>7.4375</v>
      </c>
      <c r="CI70">
        <f>SUBTOTAL(101,Table46[2024-12-25])</f>
        <v>7.4375</v>
      </c>
      <c r="CJ70">
        <f>SUBTOTAL(101,Table46[2024-12-26])</f>
        <v>7.4375</v>
      </c>
      <c r="CK70">
        <f>SUBTOTAL(101,Table46[2024-12-27])</f>
        <v>7.4375</v>
      </c>
      <c r="CL70">
        <f>SUBTOTAL(101,Table46[2024-12-28])</f>
        <v>7.4375</v>
      </c>
      <c r="CM70">
        <f>SUBTOTAL(101,Table46[2024-12-29])</f>
        <v>7.4375</v>
      </c>
      <c r="CN70">
        <f>SUBTOTAL(101,Table46[2024-12-30])</f>
        <v>7.4375</v>
      </c>
      <c r="CO70">
        <f>SUBTOTAL(101,Table46[2024-12-31])</f>
        <v>7.4375</v>
      </c>
      <c r="CP70">
        <f>SUBTOTAL(101,Table46[2025-01-01])</f>
        <v>7.4375</v>
      </c>
      <c r="CQ70">
        <f>SUBTOTAL(101,Table46[2025-01-02])</f>
        <v>7.4375</v>
      </c>
      <c r="CR70">
        <f>SUBTOTAL(101,Table46[2025-01-03])</f>
        <v>7.4375</v>
      </c>
      <c r="CS70">
        <f>SUBTOTAL(101,Table46[2025-01-04])</f>
        <v>7.4375</v>
      </c>
      <c r="CT70">
        <f>SUBTOTAL(101,Table46[2025-01-05])</f>
        <v>7.4375</v>
      </c>
      <c r="CU70">
        <f>SUBTOTAL(101,Table46[2025-01-06])</f>
        <v>7.4375</v>
      </c>
      <c r="CV70">
        <f>SUBTOTAL(101,Table46[2025-01-07])</f>
        <v>7.4375</v>
      </c>
      <c r="CW70">
        <f>SUBTOTAL(101,Table46[2025-01-08])</f>
        <v>7.4375</v>
      </c>
      <c r="CX70">
        <f>SUBTOTAL(101,Table46[2025-01-09])</f>
        <v>7.4375</v>
      </c>
      <c r="CY70">
        <f>SUBTOTAL(101,Table46[2025-01-10])</f>
        <v>7.4375</v>
      </c>
      <c r="CZ70">
        <f>SUBTOTAL(101,Table46[2025-01-11])</f>
        <v>7.4375</v>
      </c>
      <c r="DA70">
        <f>SUBTOTAL(101,Table46[2025-01-12])</f>
        <v>7.4375</v>
      </c>
      <c r="DB70">
        <f>SUBTOTAL(101,Table46[2025-01-13])</f>
        <v>7.4375</v>
      </c>
      <c r="DC70">
        <f>SUBTOTAL(101,Table46[2025-01-14])</f>
        <v>7.4375</v>
      </c>
      <c r="DD70">
        <f>SUBTOTAL(101,Table46[2025-01-15])</f>
        <v>7.4375</v>
      </c>
      <c r="DE70">
        <f>SUBTOTAL(101,Table46[2025-01-16])</f>
        <v>7.4375</v>
      </c>
      <c r="DF70">
        <f>SUBTOTAL(101,Table46[2025-01-17])</f>
        <v>7.4375</v>
      </c>
      <c r="DG70">
        <f>SUBTOTAL(101,Table46[2025-01-18])</f>
        <v>7.4375</v>
      </c>
      <c r="DH70">
        <f>SUBTOTAL(101,Table46[2025-01-19])</f>
        <v>7.4375</v>
      </c>
      <c r="DI70">
        <f>SUBTOTAL(101,Table46[2025-01-20])</f>
        <v>7.4375</v>
      </c>
      <c r="DJ70">
        <f>SUBTOTAL(101,Table46[2025-01-21])</f>
        <v>7.4375</v>
      </c>
      <c r="DK70">
        <f>SUBTOTAL(101,Table46[2025-01-22])</f>
        <v>7.4375</v>
      </c>
      <c r="DL70">
        <f>SUBTOTAL(101,Table46[2025-01-23])</f>
        <v>7.4375</v>
      </c>
      <c r="DM70">
        <f>SUBTOTAL(101,Table46[2025-01-24])</f>
        <v>7.4375</v>
      </c>
      <c r="DN70">
        <f>SUBTOTAL(101,Table46[2025-01-25])</f>
        <v>7.4375</v>
      </c>
      <c r="DO70">
        <f>SUBTOTAL(101,Table46[2025-01-26])</f>
        <v>7.4375</v>
      </c>
      <c r="DP70">
        <f>SUBTOTAL(101,Table46[2025-01-27])</f>
        <v>7.4375</v>
      </c>
      <c r="DQ70">
        <f>SUBTOTAL(101,Table46[2025-01-28])</f>
        <v>7.4375</v>
      </c>
      <c r="DR70">
        <f>SUBTOTAL(101,Table46[2025-01-29])</f>
        <v>7.4375</v>
      </c>
      <c r="DS70">
        <f>SUBTOTAL(101,Table46[2025-01-30])</f>
        <v>7.4375</v>
      </c>
      <c r="DT70">
        <f>SUBTOTAL(101,Table46[2025-01-31])</f>
        <v>7.4375</v>
      </c>
      <c r="DU70">
        <f>SUBTOTAL(101,Table46[2025-02-01])</f>
        <v>7.4375</v>
      </c>
      <c r="DV70">
        <f>SUBTOTAL(101,Table46[2025-02-02])</f>
        <v>7.4375</v>
      </c>
      <c r="DW70">
        <f>SUBTOTAL(101,Table46[2025-02-03])</f>
        <v>7.4375</v>
      </c>
      <c r="DX70">
        <f>SUBTOTAL(101,Table46[2025-02-04])</f>
        <v>7.4375</v>
      </c>
      <c r="DY70">
        <f>SUBTOTAL(101,Table46[2025-02-05])</f>
        <v>7.4375</v>
      </c>
      <c r="DZ70">
        <f>SUBTOTAL(101,Table46[2025-02-06])</f>
        <v>7.4375</v>
      </c>
      <c r="EA70">
        <f>SUBTOTAL(101,Table46[2025-02-07])</f>
        <v>7.4375</v>
      </c>
      <c r="EB70">
        <f>SUBTOTAL(101,Table46[2025-02-08])</f>
        <v>7.4375</v>
      </c>
      <c r="EC70">
        <f>SUBTOTAL(101,Table46[2025-02-09])</f>
        <v>7.4375</v>
      </c>
      <c r="ED70">
        <f>SUBTOTAL(101,Table46[2025-02-10])</f>
        <v>7.4375</v>
      </c>
      <c r="EE70">
        <f>SUBTOTAL(101,Table46[2025-02-11])</f>
        <v>7.4375</v>
      </c>
      <c r="EF70">
        <f>SUBTOTAL(101,Table46[2025-02-12])</f>
        <v>7.4375</v>
      </c>
      <c r="EG70">
        <f>SUBTOTAL(101,Table46[2025-02-13])</f>
        <v>7.4375</v>
      </c>
      <c r="EH70">
        <f>SUBTOTAL(101,Table46[2025-02-14])</f>
        <v>7.4375</v>
      </c>
      <c r="EI70">
        <f>SUBTOTAL(101,Table46[2025-02-15])</f>
        <v>7.4375</v>
      </c>
      <c r="EJ70">
        <f>SUBTOTAL(101,Table46[2025-02-16])</f>
        <v>7.4375</v>
      </c>
      <c r="EK70">
        <f>SUBTOTAL(101,Table46[2025-02-17])</f>
        <v>7.4375</v>
      </c>
      <c r="EL70">
        <f>SUBTOTAL(101,Table46[2025-02-18])</f>
        <v>7.4375</v>
      </c>
      <c r="EM70">
        <f>SUBTOTAL(101,Table46[2025-02-19])</f>
        <v>7.4375</v>
      </c>
      <c r="EN70">
        <f>SUBTOTAL(101,Table46[2025-02-20])</f>
        <v>7.4375</v>
      </c>
      <c r="EO70">
        <f>SUBTOTAL(101,Table46[2025-02-21])</f>
        <v>7.4375</v>
      </c>
      <c r="EP70">
        <f>SUBTOTAL(101,Table46[2025-02-22])</f>
        <v>7.4375</v>
      </c>
      <c r="EQ70">
        <f>SUBTOTAL(101,Table46[2025-02-23])</f>
        <v>7.4375</v>
      </c>
      <c r="ER70">
        <f>SUBTOTAL(101,Table46[2025-02-24])</f>
        <v>7.4375</v>
      </c>
      <c r="ES70">
        <f>SUBTOTAL(101,Table46[2025-02-25])</f>
        <v>7.4375</v>
      </c>
      <c r="ET70">
        <f>SUBTOTAL(101,Table46[2025-02-26])</f>
        <v>7.4375</v>
      </c>
      <c r="EU70">
        <f>SUBTOTAL(101,Table46[2025-02-27])</f>
        <v>7.4375</v>
      </c>
      <c r="EV70">
        <f>SUBTOTAL(101,Table46[2025-02-28])</f>
        <v>7.4375</v>
      </c>
      <c r="EW70">
        <f>SUBTOTAL(101,Table46[2025-03-01])</f>
        <v>7.4375</v>
      </c>
      <c r="EX70">
        <f>SUBTOTAL(101,Table46[2025-03-02])</f>
        <v>7.4375</v>
      </c>
      <c r="EY70">
        <f>SUBTOTAL(101,Table46[2025-03-03])</f>
        <v>7.4375</v>
      </c>
      <c r="EZ70">
        <f>SUBTOTAL(101,Table46[2025-03-04])</f>
        <v>7.4375</v>
      </c>
      <c r="FA70">
        <f>SUBTOTAL(101,Table46[2025-03-05])</f>
        <v>7.4375</v>
      </c>
      <c r="FB70">
        <f>SUBTOTAL(101,Table46[2025-03-06])</f>
        <v>7.4375</v>
      </c>
      <c r="FC70">
        <f>SUBTOTAL(101,Table46[2025-03-07])</f>
        <v>7.4375</v>
      </c>
      <c r="FD70">
        <f>SUBTOTAL(101,Table46[2025-03-08])</f>
        <v>7.4375</v>
      </c>
      <c r="FE70">
        <f>SUBTOTAL(101,Table46[2025-03-09])</f>
        <v>7.4375</v>
      </c>
      <c r="FF70">
        <f>SUBTOTAL(101,Table46[2025-03-10])</f>
        <v>7.4375</v>
      </c>
      <c r="FG70">
        <f>SUBTOTAL(101,Table46[2025-03-11])</f>
        <v>7.4375</v>
      </c>
      <c r="FH70">
        <f>SUBTOTAL(101,Table46[2025-03-12])</f>
        <v>7.4375</v>
      </c>
      <c r="FI70">
        <f>SUBTOTAL(101,Table46[2025-03-13])</f>
        <v>7.4375</v>
      </c>
      <c r="FJ70">
        <f>SUBTOTAL(101,Table46[2025-03-14])</f>
        <v>7.4375</v>
      </c>
      <c r="FK70">
        <f>SUBTOTAL(101,Table46[2025-03-15])</f>
        <v>7.4375</v>
      </c>
      <c r="FL70">
        <f>SUBTOTAL(101,Table46[2025-03-16])</f>
        <v>7.4375</v>
      </c>
      <c r="FM70">
        <f>SUBTOTAL(101,Table46[2025-03-17])</f>
        <v>7.4375</v>
      </c>
      <c r="FN70">
        <f>SUBTOTAL(101,Table46[2025-03-18])</f>
        <v>7.4375</v>
      </c>
      <c r="FO70">
        <f>SUBTOTAL(101,Table46[2025-03-19])</f>
        <v>7.4375</v>
      </c>
      <c r="FP70">
        <f>SUBTOTAL(101,Table46[2025-03-20])</f>
        <v>7.4375</v>
      </c>
      <c r="FQ70">
        <f>SUBTOTAL(101,Table46[2025-03-21])</f>
        <v>7.4375</v>
      </c>
      <c r="FR70">
        <f>SUBTOTAL(101,Table46[2025-03-22])</f>
        <v>7.4375</v>
      </c>
      <c r="FS70">
        <f>SUBTOTAL(101,Table46[2025-03-23])</f>
        <v>7.4375</v>
      </c>
      <c r="FT70">
        <f>SUBTOTAL(101,Table46[2025-03-24])</f>
        <v>7.4375</v>
      </c>
      <c r="FU70">
        <f>SUBTOTAL(101,Table46[2025-03-25])</f>
        <v>7.4375</v>
      </c>
      <c r="FV70">
        <f>SUBTOTAL(101,Table46[2025-03-26])</f>
        <v>7.4375</v>
      </c>
      <c r="FW70">
        <f>SUBTOTAL(101,Table46[2025-03-27])</f>
        <v>7.4375</v>
      </c>
      <c r="FX70">
        <f>SUBTOTAL(101,Table46[2025-03-28])</f>
        <v>7.4375</v>
      </c>
      <c r="FY70">
        <f>SUBTOTAL(101,Table46[2025-03-29])</f>
        <v>7.4375</v>
      </c>
      <c r="FZ70">
        <f>SUBTOTAL(101,Table46[2025-03-30])</f>
        <v>7.4375</v>
      </c>
      <c r="GA70">
        <f>SUBTOTAL(101,Table46[2025-03-31])</f>
        <v>7.4375</v>
      </c>
      <c r="GB70">
        <f>SUBTOTAL(101,Table46[2025-04-01])</f>
        <v>7.4375</v>
      </c>
      <c r="GC70">
        <f>SUBTOTAL(101,Table46[2025-04-02])</f>
        <v>7.4375</v>
      </c>
      <c r="GD70">
        <f>SUBTOTAL(101,Table46[2025-04-03])</f>
        <v>7.4375</v>
      </c>
      <c r="GE70">
        <f>SUBTOTAL(101,Table46[2025-04-04])</f>
        <v>7.4375</v>
      </c>
      <c r="GF70">
        <f>SUBTOTAL(101,Table46[2025-04-05])</f>
        <v>7.4375</v>
      </c>
      <c r="GG70">
        <f>SUBTOTAL(101,Table46[2025-04-06])</f>
        <v>7.4375</v>
      </c>
      <c r="GH70">
        <f>SUBTOTAL(101,Table46[2025-04-07])</f>
        <v>7.4375</v>
      </c>
      <c r="GI70">
        <f>SUBTOTAL(101,Table46[2025-04-08])</f>
        <v>7.4375</v>
      </c>
      <c r="GJ70">
        <f>SUBTOTAL(101,Table46[2025-04-09])</f>
        <v>7.4375</v>
      </c>
      <c r="GK70">
        <f>SUBTOTAL(101,Table46[2025-04-10])</f>
        <v>7.4375</v>
      </c>
      <c r="GL70">
        <f>SUBTOTAL(101,Table46[2025-04-11])</f>
        <v>7.4375</v>
      </c>
      <c r="GM70">
        <f>SUBTOTAL(101,Table46[2025-04-12])</f>
        <v>7.4375</v>
      </c>
      <c r="GN70">
        <f>SUBTOTAL(101,Table46[2025-04-13])</f>
        <v>7.4375</v>
      </c>
      <c r="GO70">
        <f>SUBTOTAL(101,Table46[2025-04-14])</f>
        <v>7.4375</v>
      </c>
      <c r="GP70">
        <f>SUBTOTAL(101,Table46[2025-04-15])</f>
        <v>7.4375</v>
      </c>
      <c r="GQ70">
        <f>SUBTOTAL(101,Table46[2025-04-16])</f>
        <v>7.4375</v>
      </c>
      <c r="GR70">
        <f>SUBTOTAL(101,Table46[2025-04-17])</f>
        <v>7.4375</v>
      </c>
      <c r="GS70">
        <f>SUBTOTAL(101,Table46[2025-04-18])</f>
        <v>7.4375</v>
      </c>
      <c r="GT70">
        <f>SUBTOTAL(101,Table46[2025-04-19])</f>
        <v>7.4375</v>
      </c>
      <c r="GU70">
        <f>SUBTOTAL(101,Table46[2025-04-20])</f>
        <v>7.4375</v>
      </c>
      <c r="JO70">
        <f>SUBTOTAL(103,Table46[2025-07-01])</f>
        <v>0</v>
      </c>
    </row>
  </sheetData>
  <phoneticPr fontId="1" type="noConversion"/>
  <conditionalFormatting sqref="D2:D33">
    <cfRule type="colorScale" priority="4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8:D69">
    <cfRule type="colorScale" priority="2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GU33">
    <cfRule type="colorScale" priority="4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8:GU69">
    <cfRule type="colorScale" priority="2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:E33">
    <cfRule type="colorScale" priority="4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8:E69">
    <cfRule type="colorScale" priority="1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33">
    <cfRule type="colorScale" priority="3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38:F69">
    <cfRule type="colorScale" priority="1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33">
    <cfRule type="colorScale" priority="3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8:G69">
    <cfRule type="colorScale" priority="1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33">
    <cfRule type="colorScale" priority="3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8:H69">
    <cfRule type="colorScale" priority="1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33">
    <cfRule type="colorScale" priority="3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38:I69">
    <cfRule type="colorScale" priority="1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33">
    <cfRule type="colorScale" priority="3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8:J69">
    <cfRule type="colorScale" priority="1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33">
    <cfRule type="colorScale" priority="3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8:K69">
    <cfRule type="colorScale" priority="1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33">
    <cfRule type="colorScale" priority="3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38:L69">
    <cfRule type="colorScale" priority="1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:M33">
    <cfRule type="colorScale" priority="3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38:M69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33">
    <cfRule type="colorScale" priority="3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8:N69">
    <cfRule type="colorScale" priority="1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33">
    <cfRule type="colorScale" priority="3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38:O69">
    <cfRule type="colorScale" priority="1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33">
    <cfRule type="colorScale" priority="3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38:P69">
    <cfRule type="colorScale" priority="1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33">
    <cfRule type="colorScale" priority="3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8:Q69">
    <cfRule type="colorScale" priority="1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33">
    <cfRule type="colorScale" priority="3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38:R69">
    <cfRule type="colorScale" priority="1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33">
    <cfRule type="colorScale" priority="3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38:S69">
    <cfRule type="colorScale" priority="1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33">
    <cfRule type="colorScale" priority="3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38:T69">
    <cfRule type="colorScale" priority="1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33">
    <cfRule type="colorScale" priority="3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38:U69">
    <cfRule type="colorScale" priority="1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33">
    <cfRule type="colorScale" priority="3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8:V69">
    <cfRule type="colorScale" priority="1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33">
    <cfRule type="colorScale" priority="3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38:W69">
    <cfRule type="colorScale" priority="1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:X33">
    <cfRule type="colorScale" priority="3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38:X69">
    <cfRule type="colorScale" priority="1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33">
    <cfRule type="colorScale" priority="3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38:Y69">
    <cfRule type="colorScale" priority="1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:Z33">
    <cfRule type="colorScale" priority="3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38:Z69">
    <cfRule type="colorScale" priority="1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33">
    <cfRule type="colorScale" priority="3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38:AA69">
    <cfRule type="colorScale" priority="1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:AB33">
    <cfRule type="colorScale" priority="3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38:AB69">
    <cfRule type="colorScale" priority="1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33">
    <cfRule type="colorScale" priority="3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38:AC69">
    <cfRule type="colorScale" priority="1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33">
    <cfRule type="colorScale" priority="3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8:AD69">
    <cfRule type="colorScale" priority="1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33">
    <cfRule type="colorScale" priority="3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8:AE69">
    <cfRule type="colorScale" priority="1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33">
    <cfRule type="colorScale" priority="3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38:AF69">
    <cfRule type="colorScale" priority="1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33">
    <cfRule type="colorScale" priority="3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38:AG69">
    <cfRule type="colorScale" priority="1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:AH33">
    <cfRule type="colorScale" priority="3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38:AH69">
    <cfRule type="colorScale" priority="1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:AI33">
    <cfRule type="colorScale" priority="3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38:AI69">
    <cfRule type="colorScale" priority="1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2:AJ33">
    <cfRule type="colorScale" priority="3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38:AJ69">
    <cfRule type="colorScale" priority="1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2:AK33">
    <cfRule type="colorScale" priority="3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38:AK69">
    <cfRule type="colorScale" priority="1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:AL33">
    <cfRule type="colorScale" priority="3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38:AL69">
    <cfRule type="colorScale" priority="1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2:AM33">
    <cfRule type="colorScale" priority="3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38:AM69">
    <cfRule type="colorScale" priority="1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2:AN33">
    <cfRule type="colorScale" priority="3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38:AN69">
    <cfRule type="colorScale" priority="1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:AO33">
    <cfRule type="colorScale" priority="3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8:AO69">
    <cfRule type="colorScale" priority="1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2:AP33">
    <cfRule type="colorScale" priority="3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38:AP69">
    <cfRule type="colorScale" priority="1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2:AQ33">
    <cfRule type="colorScale" priority="3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38:AQ69">
    <cfRule type="colorScale" priority="1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2:AR33">
    <cfRule type="colorScale" priority="3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38:AR69">
    <cfRule type="colorScale" priority="1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2:AS33">
    <cfRule type="colorScale" priority="3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38:AS69">
    <cfRule type="colorScale" priority="1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2:AT33">
    <cfRule type="colorScale" priority="3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38:AT69">
    <cfRule type="colorScale" priority="1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2:AU33">
    <cfRule type="colorScale" priority="3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38:AU69">
    <cfRule type="colorScale" priority="1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2:AV33">
    <cfRule type="colorScale" priority="3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38:AV69">
    <cfRule type="colorScale" priority="1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2:AW33">
    <cfRule type="colorScale" priority="3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38:AW69">
    <cfRule type="colorScale" priority="1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2:AX33">
    <cfRule type="colorScale" priority="3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38:AX69">
    <cfRule type="colorScale" priority="1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2:AY33">
    <cfRule type="colorScale" priority="3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38:AY69">
    <cfRule type="colorScale" priority="1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2:AZ33">
    <cfRule type="colorScale" priority="3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38:AZ69">
    <cfRule type="colorScale" priority="1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2:BA33">
    <cfRule type="colorScale" priority="3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38:BA69">
    <cfRule type="colorScale" priority="1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2:BB33">
    <cfRule type="colorScale" priority="3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38:BB69">
    <cfRule type="colorScale" priority="1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C2:BC33">
    <cfRule type="colorScale" priority="3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C38:BC69">
    <cfRule type="colorScale" priority="1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2:BD33">
    <cfRule type="colorScale" priority="3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38:BD69">
    <cfRule type="colorScale" priority="1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2:BE33">
    <cfRule type="colorScale" priority="3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38:BE69">
    <cfRule type="colorScale" priority="1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2:BF33">
    <cfRule type="colorScale" priority="3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38:BF69">
    <cfRule type="colorScale" priority="1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2:BG33">
    <cfRule type="colorScale" priority="3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38:BG69">
    <cfRule type="colorScale" priority="1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2:BH33">
    <cfRule type="colorScale" priority="3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38:BH69">
    <cfRule type="colorScale" priority="1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2:BI33">
    <cfRule type="colorScale" priority="3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38:BI69">
    <cfRule type="colorScale" priority="1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2:BJ33">
    <cfRule type="colorScale" priority="3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38:BJ69">
    <cfRule type="colorScale" priority="1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2:BK33">
    <cfRule type="colorScale" priority="3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38:BK69">
    <cfRule type="colorScale" priority="1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2:BL33">
    <cfRule type="colorScale" priority="3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38:BL69">
    <cfRule type="colorScale" priority="1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2:BM33">
    <cfRule type="colorScale" priority="3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38:BM69">
    <cfRule type="colorScale" priority="1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2:BN33">
    <cfRule type="colorScale" priority="3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38:BN69">
    <cfRule type="colorScale" priority="1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2:BO33">
    <cfRule type="colorScale" priority="3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38:BO69">
    <cfRule type="colorScale" priority="1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2:BP33">
    <cfRule type="colorScale" priority="3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38:BP69">
    <cfRule type="colorScale" priority="1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2:BQ33">
    <cfRule type="colorScale" priority="3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38:BQ69">
    <cfRule type="colorScale" priority="1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2:BR33">
    <cfRule type="colorScale" priority="3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38:BR69">
    <cfRule type="colorScale" priority="1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2:BS33">
    <cfRule type="colorScale" priority="3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38:BS69">
    <cfRule type="colorScale" priority="1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T2:BT33">
    <cfRule type="colorScale" priority="3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T38:BT69">
    <cfRule type="colorScale" priority="1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U2:BU33">
    <cfRule type="colorScale" priority="3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U38:BU69">
    <cfRule type="colorScale" priority="1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2:BV33">
    <cfRule type="colorScale" priority="3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38:BV69">
    <cfRule type="colorScale" priority="1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W2:BW33">
    <cfRule type="colorScale" priority="3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W38:BW69">
    <cfRule type="colorScale" priority="1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X2:BX33">
    <cfRule type="colorScale" priority="3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X38:BX69">
    <cfRule type="colorScale" priority="1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Y2:BY33">
    <cfRule type="colorScale" priority="3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Y38:BY69">
    <cfRule type="colorScale" priority="1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Z2:BZ33">
    <cfRule type="colorScale" priority="3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Z38:BZ69">
    <cfRule type="colorScale" priority="1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2:CA33">
    <cfRule type="colorScale" priority="3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38:CA69">
    <cfRule type="colorScale" priority="1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2:CB33">
    <cfRule type="colorScale" priority="3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38:CB69">
    <cfRule type="colorScale" priority="1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2:CC33">
    <cfRule type="colorScale" priority="3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38:CC69">
    <cfRule type="colorScale" priority="1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2:CD33">
    <cfRule type="colorScale" priority="3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38:CD69">
    <cfRule type="colorScale" priority="1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E2:CE33">
    <cfRule type="colorScale" priority="3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E38:CE69">
    <cfRule type="colorScale" priority="1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2:CF33">
    <cfRule type="colorScale" priority="3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38:CF69">
    <cfRule type="colorScale" priority="1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2:CG33">
    <cfRule type="colorScale" priority="3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38:CG69">
    <cfRule type="colorScale" priority="1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2:CH33">
    <cfRule type="colorScale" priority="3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38:CH69">
    <cfRule type="colorScale" priority="1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I2:CI33">
    <cfRule type="colorScale" priority="3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I38:CI69">
    <cfRule type="colorScale" priority="1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2:CJ33">
    <cfRule type="colorScale" priority="3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38:CJ69">
    <cfRule type="colorScale" priority="1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2:CK33">
    <cfRule type="colorScale" priority="3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38:CK69">
    <cfRule type="colorScale" priority="1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2:CL33">
    <cfRule type="colorScale" priority="3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38:CL69">
    <cfRule type="colorScale" priority="1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2:CM33">
    <cfRule type="colorScale" priority="3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38:CM69">
    <cfRule type="colorScale" priority="1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2:CN33">
    <cfRule type="colorScale" priority="3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38:CN69">
    <cfRule type="colorScale" priority="1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2:CO33">
    <cfRule type="colorScale" priority="3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38:CO69">
    <cfRule type="colorScale" priority="1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2:CP33">
    <cfRule type="colorScale" priority="3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38:CP69">
    <cfRule type="colorScale" priority="1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2:CQ33">
    <cfRule type="colorScale" priority="3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38:CQ69">
    <cfRule type="colorScale" priority="1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2:CR33">
    <cfRule type="colorScale" priority="3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38:CR69"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2:CS33">
    <cfRule type="colorScale" priority="3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38:CS69">
    <cfRule type="colorScale" priority="1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2:CT33">
    <cfRule type="colorScale" priority="3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38:CT69">
    <cfRule type="colorScale" priority="1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2:CU33">
    <cfRule type="colorScale" priority="3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38:CU69">
    <cfRule type="colorScale" priority="1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2:CV33">
    <cfRule type="colorScale" priority="3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38:CV69"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2:CW33">
    <cfRule type="colorScale" priority="3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38:CW69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2:CX33">
    <cfRule type="colorScale" priority="3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38:CX69"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2:CY33">
    <cfRule type="colorScale" priority="3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38:CY69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2:CZ33">
    <cfRule type="colorScale" priority="3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38:CZ69">
    <cfRule type="colorScale" priority="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2:DA33">
    <cfRule type="colorScale" priority="3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38:DA69">
    <cfRule type="colorScale" priority="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B2:DB33">
    <cfRule type="colorScale" priority="2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B38:DB69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C2:DC33">
    <cfRule type="colorScale" priority="2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C38:DC69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D2:DD33">
    <cfRule type="colorScale" priority="2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D38:DD69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E2:DE33">
    <cfRule type="colorScale" priority="2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E38:DE69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F2:DF33">
    <cfRule type="colorScale" priority="2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F38:DF69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2:DG33">
    <cfRule type="colorScale" priority="2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38:DG69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2:DH33">
    <cfRule type="colorScale" priority="2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38:DH69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2:DI33">
    <cfRule type="colorScale" priority="2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38:DI69">
    <cfRule type="colorScale" priority="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2:DJ33">
    <cfRule type="colorScale" priority="2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38:DJ69">
    <cfRule type="colorScale" priority="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K2:DK33">
    <cfRule type="colorScale" priority="2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K38:DK69">
    <cfRule type="colorScale" priority="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2:DL33">
    <cfRule type="colorScale" priority="2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38:DL69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2:DM33">
    <cfRule type="colorScale" priority="2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38:DM69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2:DN33">
    <cfRule type="colorScale" priority="2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38:DN69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2:DO33">
    <cfRule type="colorScale" priority="2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38:DO69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2:DP33">
    <cfRule type="colorScale" priority="2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38:DP69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2:DQ33">
    <cfRule type="colorScale" priority="2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38:DQ69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2:DR33">
    <cfRule type="colorScale" priority="2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38:DR69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2:DS33">
    <cfRule type="colorScale" priority="2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38:DS69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2:DT33">
    <cfRule type="colorScale" priority="2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38:DT69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2:DU33">
    <cfRule type="colorScale" priority="2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38:DU69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2:DV33">
    <cfRule type="colorScale" priority="2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38:DV69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2:DW33">
    <cfRule type="colorScale" priority="2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38:DW69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X2:DX33">
    <cfRule type="colorScale" priority="2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X38:DX69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Y2:DY33">
    <cfRule type="colorScale" priority="2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Y38:DY69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Z2:DZ33">
    <cfRule type="colorScale" priority="2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Z38:DZ69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A2:EA33">
    <cfRule type="colorScale" priority="2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A38:EA69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B2:EB33">
    <cfRule type="colorScale" priority="2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B38:EB69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C2:EC33">
    <cfRule type="colorScale" priority="2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C38:EC69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D2:ED33">
    <cfRule type="colorScale" priority="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D38:ED69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E2:EE33">
    <cfRule type="colorScale" priority="2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E38:EE69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F2:EF33">
    <cfRule type="colorScale" priority="2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F38:EF69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G2:EG33">
    <cfRule type="colorScale" priority="2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G38:EG69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H2:EH33">
    <cfRule type="colorScale" priority="2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H38:EH69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I2:EI33">
    <cfRule type="colorScale" priority="2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I38:EI69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J2:EJ33">
    <cfRule type="colorScale" priority="2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J38:EJ69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K2:EK33">
    <cfRule type="colorScale" priority="2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K38:EK69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L2:EL33">
    <cfRule type="colorScale" priority="2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L38:EL69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M2:EM33">
    <cfRule type="colorScale" priority="2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M38:EM69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N2:EN33">
    <cfRule type="colorScale" priority="2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N38:EN69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O2:EO33">
    <cfRule type="colorScale" priority="2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O38:EO69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P2:EP33">
    <cfRule type="colorScale" priority="2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P38:EP69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Q2:EQ33">
    <cfRule type="colorScale" priority="2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Q38:EQ69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R2:ER33">
    <cfRule type="colorScale" priority="2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R38:ER69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S2:ES33">
    <cfRule type="colorScale" priority="2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S38:ES69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T2:ET33">
    <cfRule type="colorScale" priority="2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T38:ET69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U2:EU33">
    <cfRule type="colorScale" priority="2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U38:EU69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V2:EV33">
    <cfRule type="colorScale" priority="2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V38:EV69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W2:EW33">
    <cfRule type="colorScale" priority="2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W38:EW69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X2:EX33">
    <cfRule type="colorScale" priority="2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X38:EX69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Y2:EY33">
    <cfRule type="colorScale" priority="2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Y38:EY69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Z2:EZ33">
    <cfRule type="colorScale" priority="2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Z38:EZ69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A2:FA33">
    <cfRule type="colorScale" priority="2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A38:FA69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B2:FB33">
    <cfRule type="colorScale" priority="2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B38:FB69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C2:FC33">
    <cfRule type="colorScale" priority="2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C38:FC69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D2:FD33">
    <cfRule type="colorScale" priority="2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D38:FD69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E2:FE33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E38:FE69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F2:FF33">
    <cfRule type="colorScale" priority="2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F38:FF69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G2:FG33">
    <cfRule type="colorScale" priority="2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G38:FG69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H2:FH33">
    <cfRule type="colorScale" priority="2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H38:FH69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I2:FI33">
    <cfRule type="colorScale" priority="2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I38:FI69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J2:FJ33">
    <cfRule type="colorScale" priority="2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J38:FJ69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K2:FK33">
    <cfRule type="colorScale" priority="2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K38:FK69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L2:FL33">
    <cfRule type="colorScale" priority="2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L38:FL69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M2:FM33">
    <cfRule type="colorScale" priority="2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M38:FM69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N2:FN33">
    <cfRule type="colorScale" priority="2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N38:FN69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O2:FO33">
    <cfRule type="colorScale" priority="2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O38:FO69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P2:FP33">
    <cfRule type="colorScale" priority="2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P38:FP69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Q2:FQ33">
    <cfRule type="colorScale" priority="2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Q38:FQ69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R2:FR33">
    <cfRule type="colorScale" priority="2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R38:FR69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S2:FS33">
    <cfRule type="colorScale" priority="2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S38:FS69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T2:FT33">
    <cfRule type="colorScale" priority="2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T38:FT69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U2:FV33">
    <cfRule type="colorScale" priority="2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U38:FV69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V2:FV33">
    <cfRule type="colorScale" priority="2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V38:FV69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W2:FW33">
    <cfRule type="colorScale" priority="2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W38:FW69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X2:FX33">
    <cfRule type="colorScale" priority="2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X38:FX69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Y2:FY33">
    <cfRule type="colorScale" priority="2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Y38:FY69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Z2:FZ33">
    <cfRule type="colorScale" priority="2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Z38:FZ69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A2:GA33">
    <cfRule type="colorScale" priority="2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A38:GA69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B2:GB33">
    <cfRule type="colorScale" priority="2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B38:GB69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C2:GC33">
    <cfRule type="colorScale" priority="2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C38:GC69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D2:GD33">
    <cfRule type="colorScale" priority="2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D38:GD69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E2:GE33">
    <cfRule type="colorScale" priority="2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E38:GE69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F2:GF33">
    <cfRule type="colorScale" priority="2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F38:GF6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G2:GG33">
    <cfRule type="colorScale" priority="2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G38:GG69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H2:GH33">
    <cfRule type="colorScale" priority="2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H38:GH69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I2:GI33">
    <cfRule type="colorScale" priority="2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I38:GI69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J2:GJ33">
    <cfRule type="colorScale" priority="2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J38:GJ69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K2:GK33">
    <cfRule type="colorScale" priority="2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K38:GK69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L2:GL33">
    <cfRule type="colorScale" priority="2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L38:GL69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M2:GM33">
    <cfRule type="colorScale" priority="2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M38:GM6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N2:GN33">
    <cfRule type="colorScale" priority="2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N38:GN6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O2:GO33">
    <cfRule type="colorScale" priority="2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O38:GO69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P2:GP33">
    <cfRule type="colorScale" priority="2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P38:GP6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Q2:GQ33">
    <cfRule type="colorScale" priority="2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Q38:GQ6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R2:GR33">
    <cfRule type="colorScale" priority="2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R38:GR6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S2:GS33">
    <cfRule type="colorScale" priority="2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S38:GS6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T2:GT33">
    <cfRule type="colorScale" priority="2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T38:GT6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U2:GU33">
    <cfRule type="colorScale" priority="2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U38:GU6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99BFB-AFA5-4147-B494-002B5B21FC62}">
  <dimension ref="A1:BP67"/>
  <sheetViews>
    <sheetView workbookViewId="0">
      <selection activeCell="AY57" sqref="AY57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2.7109375" bestFit="1" customWidth="1"/>
    <col min="68" max="68" width="2.85546875" bestFit="1" customWidth="1"/>
  </cols>
  <sheetData>
    <row r="1" spans="1:68" ht="9.9499999999999993" customHeight="1" x14ac:dyDescent="0.25">
      <c r="A1" s="27" t="s">
        <v>75</v>
      </c>
      <c r="B1" s="28"/>
      <c r="C1" s="168" t="s">
        <v>44</v>
      </c>
      <c r="D1" s="169"/>
      <c r="E1" s="168" t="s">
        <v>15</v>
      </c>
      <c r="F1" s="169"/>
      <c r="G1" s="168" t="s">
        <v>28</v>
      </c>
      <c r="H1" s="169"/>
      <c r="I1" s="168" t="s">
        <v>41</v>
      </c>
      <c r="J1" s="169"/>
      <c r="K1" s="168" t="s">
        <v>35</v>
      </c>
      <c r="L1" s="169"/>
      <c r="M1" s="168" t="s">
        <v>23</v>
      </c>
      <c r="N1" s="169"/>
      <c r="O1" s="168" t="s">
        <v>16</v>
      </c>
      <c r="P1" s="169"/>
      <c r="Q1" s="168" t="s">
        <v>25</v>
      </c>
      <c r="R1" s="169"/>
      <c r="S1" s="168" t="s">
        <v>33</v>
      </c>
      <c r="T1" s="169"/>
      <c r="U1" s="168" t="s">
        <v>30</v>
      </c>
      <c r="V1" s="169"/>
      <c r="W1" s="168" t="s">
        <v>22</v>
      </c>
      <c r="X1" s="169"/>
      <c r="Y1" s="168" t="s">
        <v>13</v>
      </c>
      <c r="Z1" s="169"/>
      <c r="AA1" s="168" t="s">
        <v>27</v>
      </c>
      <c r="AB1" s="169"/>
      <c r="AC1" s="168" t="s">
        <v>36</v>
      </c>
      <c r="AD1" s="169"/>
      <c r="AE1" s="168" t="s">
        <v>18</v>
      </c>
      <c r="AF1" s="169"/>
      <c r="AG1" s="168" t="s">
        <v>31</v>
      </c>
      <c r="AH1" s="169"/>
      <c r="AI1" s="168" t="s">
        <v>34</v>
      </c>
      <c r="AJ1" s="169"/>
      <c r="AK1" s="168" t="s">
        <v>32</v>
      </c>
      <c r="AL1" s="169"/>
      <c r="AM1" s="168" t="s">
        <v>19</v>
      </c>
      <c r="AN1" s="169"/>
      <c r="AO1" s="168" t="s">
        <v>29</v>
      </c>
      <c r="AP1" s="169"/>
      <c r="AQ1" s="168" t="s">
        <v>42</v>
      </c>
      <c r="AR1" s="169"/>
      <c r="AS1" s="168" t="s">
        <v>20</v>
      </c>
      <c r="AT1" s="169"/>
      <c r="AU1" s="168" t="s">
        <v>11</v>
      </c>
      <c r="AV1" s="169"/>
      <c r="AW1" s="168" t="s">
        <v>37</v>
      </c>
      <c r="AX1" s="169"/>
      <c r="AY1" s="168" t="s">
        <v>12</v>
      </c>
      <c r="AZ1" s="169"/>
      <c r="BA1" s="168" t="s">
        <v>40</v>
      </c>
      <c r="BB1" s="169"/>
      <c r="BC1" s="168" t="s">
        <v>17</v>
      </c>
      <c r="BD1" s="169"/>
      <c r="BE1" s="168" t="s">
        <v>14</v>
      </c>
      <c r="BF1" s="168"/>
      <c r="BG1" s="170" t="s">
        <v>24</v>
      </c>
      <c r="BH1" s="171"/>
      <c r="BI1" s="168" t="s">
        <v>26</v>
      </c>
      <c r="BJ1" s="169"/>
      <c r="BK1" s="168" t="s">
        <v>21</v>
      </c>
      <c r="BL1" s="169"/>
      <c r="BM1" s="168" t="s">
        <v>43</v>
      </c>
      <c r="BN1" s="169"/>
      <c r="BO1" s="30"/>
      <c r="BP1" s="29" t="s">
        <v>57</v>
      </c>
    </row>
    <row r="2" spans="1:68" ht="9.9499999999999993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32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32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32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</row>
    <row r="3" spans="1:68" ht="9.9499999999999993" customHeight="1" x14ac:dyDescent="0.25">
      <c r="A3" s="166" t="s">
        <v>44</v>
      </c>
      <c r="B3" s="28" t="s">
        <v>74</v>
      </c>
      <c r="C3" s="35"/>
      <c r="D3" s="36"/>
      <c r="E3" s="35"/>
      <c r="F3" s="28">
        <f>COUNTIFS(DataRegularSeason20242025!$E$2:$E$1315,TotalTeamGames20242025!E$1,DataRegularSeason20242025!$D$2:$D$1315,TotalTeamGames20242025!$A3)</f>
        <v>1</v>
      </c>
      <c r="G3" s="35"/>
      <c r="H3" s="28">
        <f>COUNTIFS(DataRegularSeason20242025!$E$2:$E$1315,TotalTeamGames20242025!G$1,DataRegularSeason20242025!$D$2:$D$1315,TotalTeamGames20242025!$A3)</f>
        <v>1</v>
      </c>
      <c r="I3" s="35"/>
      <c r="J3" s="28">
        <f>COUNTIFS(DataRegularSeason20242025!$E$2:$E$1315,TotalTeamGames20242025!I$1,DataRegularSeason20242025!$D$2:$D$1315,TotalTeamGames20242025!$A3)</f>
        <v>1</v>
      </c>
      <c r="K3" s="35"/>
      <c r="L3" s="28">
        <f>COUNTIFS(DataRegularSeason20242025!$E$2:$E$1315,TotalTeamGames20242025!K$1,DataRegularSeason20242025!$D$2:$D$1315,TotalTeamGames20242025!$A3)</f>
        <v>1</v>
      </c>
      <c r="M3" s="35"/>
      <c r="N3" s="28">
        <f>COUNTIFS(DataRegularSeason20242025!$E$2:$E$1315,TotalTeamGames20242025!M$1,DataRegularSeason20242025!$D$2:$D$1315,TotalTeamGames20242025!$A3)</f>
        <v>2</v>
      </c>
      <c r="O3" s="35"/>
      <c r="P3" s="28">
        <f>COUNTIFS(DataRegularSeason20242025!$E$2:$E$1315,TotalTeamGames20242025!O$1,DataRegularSeason20242025!$D$2:$D$1315,TotalTeamGames20242025!$A3)</f>
        <v>2</v>
      </c>
      <c r="Q3" s="35"/>
      <c r="R3" s="28">
        <f>COUNTIFS(DataRegularSeason20242025!$E$2:$E$1315,TotalTeamGames20242025!Q$1,DataRegularSeason20242025!$D$2:$D$1315,TotalTeamGames20242025!$A3)</f>
        <v>2</v>
      </c>
      <c r="S3" s="35"/>
      <c r="T3" s="28">
        <f>COUNTIFS(DataRegularSeason20242025!$E$2:$E$1315,TotalTeamGames20242025!S$1,DataRegularSeason20242025!$D$2:$D$1315,TotalTeamGames20242025!$A3)</f>
        <v>1</v>
      </c>
      <c r="U3" s="35"/>
      <c r="V3" s="28">
        <f>COUNTIFS(DataRegularSeason20242025!$E$2:$E$1315,TotalTeamGames20242025!U$1,DataRegularSeason20242025!$D$2:$D$1315,TotalTeamGames20242025!$A3)</f>
        <v>1</v>
      </c>
      <c r="W3" s="35"/>
      <c r="X3" s="28">
        <f>COUNTIFS(DataRegularSeason20242025!$E$2:$E$1315,TotalTeamGames20242025!W$1,DataRegularSeason20242025!$D$2:$D$1315,TotalTeamGames20242025!$A3)</f>
        <v>2</v>
      </c>
      <c r="Y3" s="35"/>
      <c r="Z3" s="28">
        <f>COUNTIFS(DataRegularSeason20242025!$E$2:$E$1315,TotalTeamGames20242025!Y$1,DataRegularSeason20242025!$D$2:$D$1315,TotalTeamGames20242025!$A3)</f>
        <v>1</v>
      </c>
      <c r="AA3" s="35"/>
      <c r="AB3" s="28">
        <f>COUNTIFS(DataRegularSeason20242025!$E$2:$E$1315,TotalTeamGames20242025!AA$1,DataRegularSeason20242025!$D$2:$D$1315,TotalTeamGames20242025!$A3)</f>
        <v>2</v>
      </c>
      <c r="AC3" s="35"/>
      <c r="AD3" s="28">
        <f>COUNTIFS(DataRegularSeason20242025!$E$2:$E$1315,TotalTeamGames20242025!AC$1,DataRegularSeason20242025!$D$2:$D$1315,TotalTeamGames20242025!$A3)</f>
        <v>2</v>
      </c>
      <c r="AE3" s="35"/>
      <c r="AF3" s="28">
        <f>COUNTIFS(DataRegularSeason20242025!$E$2:$E$1315,TotalTeamGames20242025!AE$1,DataRegularSeason20242025!$D$2:$D$1315,TotalTeamGames20242025!$A3)</f>
        <v>1</v>
      </c>
      <c r="AG3" s="35"/>
      <c r="AH3" s="28">
        <f>COUNTIFS(DataRegularSeason20242025!$E$2:$E$1315,TotalTeamGames20242025!AG$1,DataRegularSeason20242025!$D$2:$D$1315,TotalTeamGames20242025!$A3)</f>
        <v>1</v>
      </c>
      <c r="AI3" s="35"/>
      <c r="AJ3" s="28">
        <f>COUNTIFS(DataRegularSeason20242025!$E$2:$E$1315,TotalTeamGames20242025!AI$1,DataRegularSeason20242025!$D$2:$D$1315,TotalTeamGames20242025!$A3)</f>
        <v>2</v>
      </c>
      <c r="AK3" s="35"/>
      <c r="AL3" s="28">
        <f>COUNTIFS(DataRegularSeason20242025!$E$2:$E$1315,TotalTeamGames20242025!AK$1,DataRegularSeason20242025!$D$2:$D$1315,TotalTeamGames20242025!$A3)</f>
        <v>1</v>
      </c>
      <c r="AM3" s="35"/>
      <c r="AN3" s="28">
        <f>COUNTIFS(DataRegularSeason20242025!$E$2:$E$1315,TotalTeamGames20242025!AM$1,DataRegularSeason20242025!$D$2:$D$1315,TotalTeamGames20242025!$A3)</f>
        <v>1</v>
      </c>
      <c r="AO3" s="35"/>
      <c r="AP3" s="28">
        <f>COUNTIFS(DataRegularSeason20242025!$E$2:$E$1315,TotalTeamGames20242025!AO$1,DataRegularSeason20242025!$D$2:$D$1315,TotalTeamGames20242025!$A3)</f>
        <v>1</v>
      </c>
      <c r="AQ3" s="35"/>
      <c r="AR3" s="28">
        <f>COUNTIFS(DataRegularSeason20242025!$E$2:$E$1315,TotalTeamGames20242025!AQ$1,DataRegularSeason20242025!$D$2:$D$1315,TotalTeamGames20242025!$A3)</f>
        <v>1</v>
      </c>
      <c r="AS3" s="35"/>
      <c r="AT3" s="28">
        <f>COUNTIFS(DataRegularSeason20242025!$E$2:$E$1315,TotalTeamGames20242025!AS$1,DataRegularSeason20242025!$D$2:$D$1315,TotalTeamGames20242025!$A3)</f>
        <v>1</v>
      </c>
      <c r="AU3" s="35"/>
      <c r="AV3" s="28">
        <f>COUNTIFS(DataRegularSeason20242025!$E$2:$E$1315,TotalTeamGames20242025!AU$1,DataRegularSeason20242025!$D$2:$D$1315,TotalTeamGames20242025!$A3)</f>
        <v>2</v>
      </c>
      <c r="AW3" s="35"/>
      <c r="AX3" s="28">
        <f>COUNTIFS(DataRegularSeason20242025!$E$2:$E$1315,TotalTeamGames20242025!AW$1,DataRegularSeason20242025!$D$2:$D$1315,TotalTeamGames20242025!$A3)</f>
        <v>2</v>
      </c>
      <c r="AY3" s="35"/>
      <c r="AZ3" s="28">
        <f>COUNTIFS(DataRegularSeason20242025!$E$2:$E$1315,TotalTeamGames20242025!AY$1,DataRegularSeason20242025!$D$2:$D$1315,TotalTeamGames20242025!$A3)</f>
        <v>1</v>
      </c>
      <c r="BA3" s="35"/>
      <c r="BB3" s="28">
        <f>COUNTIFS(DataRegularSeason20242025!$E$2:$E$1315,TotalTeamGames20242025!BA$1,DataRegularSeason20242025!$D$2:$D$1315,TotalTeamGames20242025!$A3)</f>
        <v>1</v>
      </c>
      <c r="BC3" s="35"/>
      <c r="BD3" s="28">
        <f>COUNTIFS(DataRegularSeason20242025!$E$2:$E$1315,TotalTeamGames20242025!BC$1,DataRegularSeason20242025!$D$2:$D$1315,TotalTeamGames20242025!$A3)</f>
        <v>1</v>
      </c>
      <c r="BE3" s="35"/>
      <c r="BF3" s="27">
        <f>COUNTIFS(DataRegularSeason20242025!$E$2:$E$1315,TotalTeamGames20242025!BE$1,DataRegularSeason20242025!$D$2:$D$1315,TotalTeamGames20242025!$A3)</f>
        <v>1</v>
      </c>
      <c r="BG3" s="40"/>
      <c r="BH3" s="28">
        <f>COUNTIFS(DataRegularSeason20242025!$E$2:$E$1315,TotalTeamGames20242025!BG$1,DataRegularSeason20242025!$D$2:$D$1315,TotalTeamGames20242025!$A3)</f>
        <v>2</v>
      </c>
      <c r="BI3" s="35"/>
      <c r="BJ3" s="28">
        <f>COUNTIFS(DataRegularSeason20242025!$E$2:$E$1315,TotalTeamGames20242025!BI$1,DataRegularSeason20242025!$D$2:$D$1315,TotalTeamGames20242025!$A3)</f>
        <v>1</v>
      </c>
      <c r="BK3" s="35"/>
      <c r="BL3" s="28">
        <f>COUNTIFS(DataRegularSeason20242025!$E$2:$E$1315,TotalTeamGames20242025!BK$1,DataRegularSeason20242025!$D$2:$D$1315,TotalTeamGames20242025!$A3)</f>
        <v>1</v>
      </c>
      <c r="BM3" s="35"/>
      <c r="BN3" s="28">
        <f>COUNTIFS(DataRegularSeason20242025!$E$2:$E$1315,TotalTeamGames20242025!BM$1,DataRegularSeason20242025!$D$2:$D$1315,TotalTeamGames20242025!$A3)</f>
        <v>1</v>
      </c>
      <c r="BO3" s="30">
        <f>SUM(C3:BN3)</f>
        <v>41</v>
      </c>
      <c r="BP3" s="165">
        <f>BO3+BO4</f>
        <v>82</v>
      </c>
    </row>
    <row r="4" spans="1:68" ht="9.9499999999999993" customHeight="1" x14ac:dyDescent="0.25">
      <c r="A4" s="167"/>
      <c r="B4" s="32" t="s">
        <v>73</v>
      </c>
      <c r="C4" s="38"/>
      <c r="D4" s="39"/>
      <c r="E4" s="31">
        <f>COUNTIFS(DataRegularSeason20242025!$D$2:$D$1315,TotalTeamGames20242025!E$1,DataRegularSeason20242025!$E$2:$E$1315,TotalTeamGames20242025!$A3)</f>
        <v>1</v>
      </c>
      <c r="F4" s="39"/>
      <c r="G4" s="31">
        <f>COUNTIFS(DataRegularSeason20242025!$D$2:$D$1315,TotalTeamGames20242025!G$1,DataRegularSeason20242025!$E$2:$E$1315,TotalTeamGames20242025!$A3)</f>
        <v>1</v>
      </c>
      <c r="H4" s="39"/>
      <c r="I4" s="31">
        <f>COUNTIFS(DataRegularSeason20242025!$D$2:$D$1315,TotalTeamGames20242025!I$1,DataRegularSeason20242025!$E$2:$E$1315,TotalTeamGames20242025!$A3)</f>
        <v>1</v>
      </c>
      <c r="J4" s="39"/>
      <c r="K4" s="31">
        <f>COUNTIFS(DataRegularSeason20242025!$D$2:$D$1315,TotalTeamGames20242025!K$1,DataRegularSeason20242025!$E$2:$E$1315,TotalTeamGames20242025!$A3)</f>
        <v>1</v>
      </c>
      <c r="L4" s="39"/>
      <c r="M4" s="31">
        <f>COUNTIFS(DataRegularSeason20242025!$D$2:$D$1315,TotalTeamGames20242025!M$1,DataRegularSeason20242025!$E$2:$E$1315,TotalTeamGames20242025!$A3)</f>
        <v>2</v>
      </c>
      <c r="N4" s="39"/>
      <c r="O4" s="31">
        <f>COUNTIFS(DataRegularSeason20242025!$D$2:$D$1315,TotalTeamGames20242025!O$1,DataRegularSeason20242025!$E$2:$E$1315,TotalTeamGames20242025!$A3)</f>
        <v>1</v>
      </c>
      <c r="P4" s="39"/>
      <c r="Q4" s="31">
        <f>COUNTIFS(DataRegularSeason20242025!$D$2:$D$1315,TotalTeamGames20242025!Q$1,DataRegularSeason20242025!$E$2:$E$1315,TotalTeamGames20242025!$A3)</f>
        <v>1</v>
      </c>
      <c r="R4" s="39"/>
      <c r="S4" s="31">
        <f>COUNTIFS(DataRegularSeason20242025!$D$2:$D$1315,TotalTeamGames20242025!S$1,DataRegularSeason20242025!$E$2:$E$1315,TotalTeamGames20242025!$A3)</f>
        <v>2</v>
      </c>
      <c r="T4" s="39"/>
      <c r="U4" s="31">
        <f>COUNTIFS(DataRegularSeason20242025!$D$2:$D$1315,TotalTeamGames20242025!U$1,DataRegularSeason20242025!$E$2:$E$1315,TotalTeamGames20242025!$A3)</f>
        <v>1</v>
      </c>
      <c r="V4" s="39"/>
      <c r="W4" s="31">
        <f>COUNTIFS(DataRegularSeason20242025!$D$2:$D$1315,TotalTeamGames20242025!W$1,DataRegularSeason20242025!$E$2:$E$1315,TotalTeamGames20242025!$A3)</f>
        <v>1</v>
      </c>
      <c r="X4" s="39"/>
      <c r="Y4" s="31">
        <f>COUNTIFS(DataRegularSeason20242025!$D$2:$D$1315,TotalTeamGames20242025!Y$1,DataRegularSeason20242025!$E$2:$E$1315,TotalTeamGames20242025!$A3)</f>
        <v>1</v>
      </c>
      <c r="Z4" s="39"/>
      <c r="AA4" s="31">
        <f>COUNTIFS(DataRegularSeason20242025!$D$2:$D$1315,TotalTeamGames20242025!AA$1,DataRegularSeason20242025!$E$2:$E$1315,TotalTeamGames20242025!$A3)</f>
        <v>2</v>
      </c>
      <c r="AB4" s="39"/>
      <c r="AC4" s="31">
        <f>COUNTIFS(DataRegularSeason20242025!$D$2:$D$1315,TotalTeamGames20242025!AC$1,DataRegularSeason20242025!$E$2:$E$1315,TotalTeamGames20242025!$A3)</f>
        <v>1</v>
      </c>
      <c r="AD4" s="39"/>
      <c r="AE4" s="31">
        <f>COUNTIFS(DataRegularSeason20242025!$D$2:$D$1315,TotalTeamGames20242025!AE$1,DataRegularSeason20242025!$E$2:$E$1315,TotalTeamGames20242025!$A3)</f>
        <v>1</v>
      </c>
      <c r="AF4" s="39"/>
      <c r="AG4" s="31">
        <f>COUNTIFS(DataRegularSeason20242025!$D$2:$D$1315,TotalTeamGames20242025!AG$1,DataRegularSeason20242025!$E$2:$E$1315,TotalTeamGames20242025!$A3)</f>
        <v>1</v>
      </c>
      <c r="AH4" s="39"/>
      <c r="AI4" s="31">
        <f>COUNTIFS(DataRegularSeason20242025!$D$2:$D$1315,TotalTeamGames20242025!AI$1,DataRegularSeason20242025!$E$2:$E$1315,TotalTeamGames20242025!$A3)</f>
        <v>1</v>
      </c>
      <c r="AJ4" s="39"/>
      <c r="AK4" s="31">
        <f>COUNTIFS(DataRegularSeason20242025!$D$2:$D$1315,TotalTeamGames20242025!AK$1,DataRegularSeason20242025!$E$2:$E$1315,TotalTeamGames20242025!$A3)</f>
        <v>1</v>
      </c>
      <c r="AL4" s="39"/>
      <c r="AM4" s="31">
        <f>COUNTIFS(DataRegularSeason20242025!$D$2:$D$1315,TotalTeamGames20242025!AM$1,DataRegularSeason20242025!$E$2:$E$1315,TotalTeamGames20242025!$A3)</f>
        <v>1</v>
      </c>
      <c r="AN4" s="39"/>
      <c r="AO4" s="31">
        <f>COUNTIFS(DataRegularSeason20242025!$D$2:$D$1315,TotalTeamGames20242025!AO$1,DataRegularSeason20242025!$E$2:$E$1315,TotalTeamGames20242025!$A3)</f>
        <v>1</v>
      </c>
      <c r="AP4" s="39"/>
      <c r="AQ4" s="31">
        <f>COUNTIFS(DataRegularSeason20242025!$D$2:$D$1315,TotalTeamGames20242025!AQ$1,DataRegularSeason20242025!$E$2:$E$1315,TotalTeamGames20242025!$A3)</f>
        <v>1</v>
      </c>
      <c r="AR4" s="39"/>
      <c r="AS4" s="31">
        <f>COUNTIFS(DataRegularSeason20242025!$D$2:$D$1315,TotalTeamGames20242025!AS$1,DataRegularSeason20242025!$E$2:$E$1315,TotalTeamGames20242025!$A3)</f>
        <v>1</v>
      </c>
      <c r="AT4" s="39"/>
      <c r="AU4" s="31">
        <f>COUNTIFS(DataRegularSeason20242025!$D$2:$D$1315,TotalTeamGames20242025!AU$1,DataRegularSeason20242025!$E$2:$E$1315,TotalTeamGames20242025!$A3)</f>
        <v>2</v>
      </c>
      <c r="AV4" s="39"/>
      <c r="AW4" s="31">
        <f>COUNTIFS(DataRegularSeason20242025!$D$2:$D$1315,TotalTeamGames20242025!AW$1,DataRegularSeason20242025!$E$2:$E$1315,TotalTeamGames20242025!$A3)</f>
        <v>2</v>
      </c>
      <c r="AX4" s="39"/>
      <c r="AY4" s="31">
        <f>COUNTIFS(DataRegularSeason20242025!$D$2:$D$1315,TotalTeamGames20242025!AY$1,DataRegularSeason20242025!$E$2:$E$1315,TotalTeamGames20242025!$A3)</f>
        <v>2</v>
      </c>
      <c r="AZ4" s="39"/>
      <c r="BA4" s="31">
        <f>COUNTIFS(DataRegularSeason20242025!$D$2:$D$1315,TotalTeamGames20242025!BA$1,DataRegularSeason20242025!$E$2:$E$1315,TotalTeamGames20242025!$A3)</f>
        <v>1</v>
      </c>
      <c r="BB4" s="39"/>
      <c r="BC4" s="31">
        <f>COUNTIFS(DataRegularSeason20242025!$D$2:$D$1315,TotalTeamGames20242025!BC$1,DataRegularSeason20242025!$E$2:$E$1315,TotalTeamGames20242025!$A3)</f>
        <v>1</v>
      </c>
      <c r="BD4" s="39"/>
      <c r="BE4" s="31">
        <f>COUNTIFS(DataRegularSeason20242025!$D$2:$D$1315,TotalTeamGames20242025!BE$1,DataRegularSeason20242025!$E$2:$E$1315,TotalTeamGames20242025!$A3)</f>
        <v>2</v>
      </c>
      <c r="BF4" s="38"/>
      <c r="BG4" s="33">
        <f>COUNTIFS(DataRegularSeason20242025!$D$2:$D$1315,TotalTeamGames20242025!BG$1,DataRegularSeason20242025!$E$2:$E$1315,TotalTeamGames20242025!$A3)</f>
        <v>2</v>
      </c>
      <c r="BH4" s="39"/>
      <c r="BI4" s="31">
        <f>COUNTIFS(DataRegularSeason20242025!$D$2:$D$1315,TotalTeamGames20242025!BI$1,DataRegularSeason20242025!$E$2:$E$1315,TotalTeamGames20242025!$A3)</f>
        <v>2</v>
      </c>
      <c r="BJ4" s="39"/>
      <c r="BK4" s="31">
        <f>COUNTIFS(DataRegularSeason20242025!$D$2:$D$1315,TotalTeamGames20242025!BK$1,DataRegularSeason20242025!$E$2:$E$1315,TotalTeamGames20242025!$A3)</f>
        <v>2</v>
      </c>
      <c r="BL4" s="39"/>
      <c r="BM4" s="31">
        <f>COUNTIFS(DataRegularSeason20242025!$D$2:$D$1315,TotalTeamGames20242025!BM$1,DataRegularSeason20242025!$E$2:$E$1315,TotalTeamGames20242025!$A3)</f>
        <v>1</v>
      </c>
      <c r="BN4" s="39"/>
      <c r="BO4" s="34">
        <f>SUM(C4:BN4)</f>
        <v>41</v>
      </c>
      <c r="BP4" s="165"/>
    </row>
    <row r="5" spans="1:68" ht="9.9499999999999993" customHeight="1" x14ac:dyDescent="0.25">
      <c r="A5" s="166" t="s">
        <v>15</v>
      </c>
      <c r="B5" s="28" t="s">
        <v>74</v>
      </c>
      <c r="C5" s="35"/>
      <c r="D5" s="28">
        <f>COUNTIFS(DataRegularSeason20242025!$E$2:$E$1315,TotalTeamGames20242025!C$1,DataRegularSeason20242025!$D$2:$D$1315,TotalTeamGames20242025!$A5)</f>
        <v>1</v>
      </c>
      <c r="E5" s="35"/>
      <c r="F5" s="36"/>
      <c r="G5" s="35"/>
      <c r="H5" s="28">
        <f>COUNTIFS(DataRegularSeason20242025!$E$2:$E$1315,TotalTeamGames20242025!G$1,DataRegularSeason20242025!$D$2:$D$1315,TotalTeamGames20242025!$A5)</f>
        <v>2</v>
      </c>
      <c r="I5" s="35"/>
      <c r="J5" s="28">
        <f>COUNTIFS(DataRegularSeason20242025!$E$2:$E$1315,TotalTeamGames20242025!I$1,DataRegularSeason20242025!$D$2:$D$1315,TotalTeamGames20242025!$A5)</f>
        <v>1</v>
      </c>
      <c r="K5" s="35"/>
      <c r="L5" s="28">
        <f>COUNTIFS(DataRegularSeason20242025!$E$2:$E$1315,TotalTeamGames20242025!K$1,DataRegularSeason20242025!$D$2:$D$1315,TotalTeamGames20242025!$A5)</f>
        <v>2</v>
      </c>
      <c r="M5" s="35"/>
      <c r="N5" s="28">
        <f>COUNTIFS(DataRegularSeason20242025!$E$2:$E$1315,TotalTeamGames20242025!M$1,DataRegularSeason20242025!$D$2:$D$1315,TotalTeamGames20242025!$A5)</f>
        <v>1</v>
      </c>
      <c r="O5" s="35"/>
      <c r="P5" s="28">
        <f>COUNTIFS(DataRegularSeason20242025!$E$2:$E$1315,TotalTeamGames20242025!O$1,DataRegularSeason20242025!$D$2:$D$1315,TotalTeamGames20242025!$A5)</f>
        <v>1</v>
      </c>
      <c r="Q5" s="35"/>
      <c r="R5" s="28">
        <f>COUNTIFS(DataRegularSeason20242025!$E$2:$E$1315,TotalTeamGames20242025!Q$1,DataRegularSeason20242025!$D$2:$D$1315,TotalTeamGames20242025!$A5)</f>
        <v>1</v>
      </c>
      <c r="S5" s="35"/>
      <c r="T5" s="28">
        <f>COUNTIFS(DataRegularSeason20242025!$E$2:$E$1315,TotalTeamGames20242025!S$1,DataRegularSeason20242025!$D$2:$D$1315,TotalTeamGames20242025!$A5)</f>
        <v>1</v>
      </c>
      <c r="U5" s="35"/>
      <c r="V5" s="28">
        <f>COUNTIFS(DataRegularSeason20242025!$E$2:$E$1315,TotalTeamGames20242025!U$1,DataRegularSeason20242025!$D$2:$D$1315,TotalTeamGames20242025!$A5)</f>
        <v>2</v>
      </c>
      <c r="W5" s="35"/>
      <c r="X5" s="28">
        <f>COUNTIFS(DataRegularSeason20242025!$E$2:$E$1315,TotalTeamGames20242025!W$1,DataRegularSeason20242025!$D$2:$D$1315,TotalTeamGames20242025!$A5)</f>
        <v>1</v>
      </c>
      <c r="Y5" s="35"/>
      <c r="Z5" s="28">
        <f>COUNTIFS(DataRegularSeason20242025!$E$2:$E$1315,TotalTeamGames20242025!Y$1,DataRegularSeason20242025!$D$2:$D$1315,TotalTeamGames20242025!$A5)</f>
        <v>2</v>
      </c>
      <c r="AA5" s="35"/>
      <c r="AB5" s="28">
        <f>COUNTIFS(DataRegularSeason20242025!$E$2:$E$1315,TotalTeamGames20242025!AA$1,DataRegularSeason20242025!$D$2:$D$1315,TotalTeamGames20242025!$A5)</f>
        <v>1</v>
      </c>
      <c r="AC5" s="35"/>
      <c r="AD5" s="28">
        <f>COUNTIFS(DataRegularSeason20242025!$E$2:$E$1315,TotalTeamGames20242025!AC$1,DataRegularSeason20242025!$D$2:$D$1315,TotalTeamGames20242025!$A5)</f>
        <v>1</v>
      </c>
      <c r="AE5" s="35"/>
      <c r="AF5" s="28">
        <f>COUNTIFS(DataRegularSeason20242025!$E$2:$E$1315,TotalTeamGames20242025!AE$1,DataRegularSeason20242025!$D$2:$D$1315,TotalTeamGames20242025!$A5)</f>
        <v>2</v>
      </c>
      <c r="AG5" s="35"/>
      <c r="AH5" s="28">
        <f>COUNTIFS(DataRegularSeason20242025!$E$2:$E$1315,TotalTeamGames20242025!AG$1,DataRegularSeason20242025!$D$2:$D$1315,TotalTeamGames20242025!$A5)</f>
        <v>1</v>
      </c>
      <c r="AI5" s="35"/>
      <c r="AJ5" s="28">
        <f>COUNTIFS(DataRegularSeason20242025!$E$2:$E$1315,TotalTeamGames20242025!AI$1,DataRegularSeason20242025!$D$2:$D$1315,TotalTeamGames20242025!$A5)</f>
        <v>1</v>
      </c>
      <c r="AK5" s="35"/>
      <c r="AL5" s="28">
        <f>COUNTIFS(DataRegularSeason20242025!$E$2:$E$1315,TotalTeamGames20242025!AK$1,DataRegularSeason20242025!$D$2:$D$1315,TotalTeamGames20242025!$A5)</f>
        <v>2</v>
      </c>
      <c r="AM5" s="35"/>
      <c r="AN5" s="28">
        <f>COUNTIFS(DataRegularSeason20242025!$E$2:$E$1315,TotalTeamGames20242025!AM$1,DataRegularSeason20242025!$D$2:$D$1315,TotalTeamGames20242025!$A5)</f>
        <v>1</v>
      </c>
      <c r="AO5" s="35"/>
      <c r="AP5" s="28">
        <f>COUNTIFS(DataRegularSeason20242025!$E$2:$E$1315,TotalTeamGames20242025!AO$1,DataRegularSeason20242025!$D$2:$D$1315,TotalTeamGames20242025!$A5)</f>
        <v>2</v>
      </c>
      <c r="AQ5" s="35"/>
      <c r="AR5" s="28">
        <f>COUNTIFS(DataRegularSeason20242025!$E$2:$E$1315,TotalTeamGames20242025!AQ$1,DataRegularSeason20242025!$D$2:$D$1315,TotalTeamGames20242025!$A5)</f>
        <v>2</v>
      </c>
      <c r="AS5" s="35"/>
      <c r="AT5" s="28">
        <f>COUNTIFS(DataRegularSeason20242025!$E$2:$E$1315,TotalTeamGames20242025!AS$1,DataRegularSeason20242025!$D$2:$D$1315,TotalTeamGames20242025!$A5)</f>
        <v>1</v>
      </c>
      <c r="AU5" s="35"/>
      <c r="AV5" s="28">
        <f>COUNTIFS(DataRegularSeason20242025!$E$2:$E$1315,TotalTeamGames20242025!AU$1,DataRegularSeason20242025!$D$2:$D$1315,TotalTeamGames20242025!$A5)</f>
        <v>1</v>
      </c>
      <c r="AW5" s="35"/>
      <c r="AX5" s="28">
        <f>COUNTIFS(DataRegularSeason20242025!$E$2:$E$1315,TotalTeamGames20242025!AW$1,DataRegularSeason20242025!$D$2:$D$1315,TotalTeamGames20242025!$A5)</f>
        <v>1</v>
      </c>
      <c r="AY5" s="35"/>
      <c r="AZ5" s="28">
        <f>COUNTIFS(DataRegularSeason20242025!$E$2:$E$1315,TotalTeamGames20242025!AY$1,DataRegularSeason20242025!$D$2:$D$1315,TotalTeamGames20242025!$A5)</f>
        <v>1</v>
      </c>
      <c r="BA5" s="35"/>
      <c r="BB5" s="28">
        <f>COUNTIFS(DataRegularSeason20242025!$E$2:$E$1315,TotalTeamGames20242025!BA$1,DataRegularSeason20242025!$D$2:$D$1315,TotalTeamGames20242025!$A5)</f>
        <v>2</v>
      </c>
      <c r="BC5" s="35"/>
      <c r="BD5" s="28">
        <f>COUNTIFS(DataRegularSeason20242025!$E$2:$E$1315,TotalTeamGames20242025!BC$1,DataRegularSeason20242025!$D$2:$D$1315,TotalTeamGames20242025!$A5)</f>
        <v>1</v>
      </c>
      <c r="BE5" s="35"/>
      <c r="BF5" s="27">
        <f>COUNTIFS(DataRegularSeason20242025!$E$2:$E$1315,TotalTeamGames20242025!BE$1,DataRegularSeason20242025!$D$2:$D$1315,TotalTeamGames20242025!$A5)</f>
        <v>1</v>
      </c>
      <c r="BG5" s="40"/>
      <c r="BH5" s="28">
        <f>COUNTIFS(DataRegularSeason20242025!$E$2:$E$1315,TotalTeamGames20242025!BG$1,DataRegularSeason20242025!$D$2:$D$1315,TotalTeamGames20242025!$A5)</f>
        <v>1</v>
      </c>
      <c r="BI5" s="35"/>
      <c r="BJ5" s="28">
        <f>COUNTIFS(DataRegularSeason20242025!$E$2:$E$1315,TotalTeamGames20242025!BI$1,DataRegularSeason20242025!$D$2:$D$1315,TotalTeamGames20242025!$A5)</f>
        <v>1</v>
      </c>
      <c r="BK5" s="35"/>
      <c r="BL5" s="28">
        <f>COUNTIFS(DataRegularSeason20242025!$E$2:$E$1315,TotalTeamGames20242025!BK$1,DataRegularSeason20242025!$D$2:$D$1315,TotalTeamGames20242025!$A5)</f>
        <v>1</v>
      </c>
      <c r="BM5" s="35"/>
      <c r="BN5" s="28">
        <f>COUNTIFS(DataRegularSeason20242025!$E$2:$E$1315,TotalTeamGames20242025!BM$1,DataRegularSeason20242025!$D$2:$D$1315,TotalTeamGames20242025!$A5)</f>
        <v>2</v>
      </c>
      <c r="BO5" s="30">
        <f t="shared" ref="BO5:BO66" si="0">SUM(C5:BN5)</f>
        <v>41</v>
      </c>
      <c r="BP5" s="165">
        <f t="shared" ref="BP5" si="1">BO5+BO6</f>
        <v>82</v>
      </c>
    </row>
    <row r="6" spans="1:68" ht="9.9499999999999993" customHeight="1" x14ac:dyDescent="0.25">
      <c r="A6" s="167"/>
      <c r="B6" s="32" t="s">
        <v>73</v>
      </c>
      <c r="C6" s="31">
        <f>COUNTIFS(DataRegularSeason20242025!$D$2:$D$1315,TotalTeamGames20242025!C$1,DataRegularSeason20242025!$E$2:$E$1315,TotalTeamGames20242025!$A5)</f>
        <v>1</v>
      </c>
      <c r="D6" s="39"/>
      <c r="E6" s="38"/>
      <c r="F6" s="39"/>
      <c r="G6" s="31">
        <f>COUNTIFS(DataRegularSeason20242025!$D$2:$D$1315,TotalTeamGames20242025!G$1,DataRegularSeason20242025!$E$2:$E$1315,TotalTeamGames20242025!$A5)</f>
        <v>2</v>
      </c>
      <c r="H6" s="39"/>
      <c r="I6" s="31">
        <f>COUNTIFS(DataRegularSeason20242025!$D$2:$D$1315,TotalTeamGames20242025!I$1,DataRegularSeason20242025!$E$2:$E$1315,TotalTeamGames20242025!$A5)</f>
        <v>2</v>
      </c>
      <c r="J6" s="39"/>
      <c r="K6" s="31">
        <f>COUNTIFS(DataRegularSeason20242025!$D$2:$D$1315,TotalTeamGames20242025!K$1,DataRegularSeason20242025!$E$2:$E$1315,TotalTeamGames20242025!$A5)</f>
        <v>1</v>
      </c>
      <c r="L6" s="39"/>
      <c r="M6" s="31">
        <f>COUNTIFS(DataRegularSeason20242025!$D$2:$D$1315,TotalTeamGames20242025!M$1,DataRegularSeason20242025!$E$2:$E$1315,TotalTeamGames20242025!$A5)</f>
        <v>1</v>
      </c>
      <c r="N6" s="39"/>
      <c r="O6" s="31">
        <f>COUNTIFS(DataRegularSeason20242025!$D$2:$D$1315,TotalTeamGames20242025!O$1,DataRegularSeason20242025!$E$2:$E$1315,TotalTeamGames20242025!$A5)</f>
        <v>1</v>
      </c>
      <c r="P6" s="39"/>
      <c r="Q6" s="31">
        <f>COUNTIFS(DataRegularSeason20242025!$D$2:$D$1315,TotalTeamGames20242025!Q$1,DataRegularSeason20242025!$E$2:$E$1315,TotalTeamGames20242025!$A5)</f>
        <v>1</v>
      </c>
      <c r="R6" s="39"/>
      <c r="S6" s="31">
        <f>COUNTIFS(DataRegularSeason20242025!$D$2:$D$1315,TotalTeamGames20242025!S$1,DataRegularSeason20242025!$E$2:$E$1315,TotalTeamGames20242025!$A5)</f>
        <v>1</v>
      </c>
      <c r="T6" s="39"/>
      <c r="U6" s="31">
        <f>COUNTIFS(DataRegularSeason20242025!$D$2:$D$1315,TotalTeamGames20242025!U$1,DataRegularSeason20242025!$E$2:$E$1315,TotalTeamGames20242025!$A5)</f>
        <v>2</v>
      </c>
      <c r="V6" s="39"/>
      <c r="W6" s="31">
        <f>COUNTIFS(DataRegularSeason20242025!$D$2:$D$1315,TotalTeamGames20242025!W$1,DataRegularSeason20242025!$E$2:$E$1315,TotalTeamGames20242025!$A5)</f>
        <v>1</v>
      </c>
      <c r="X6" s="39"/>
      <c r="Y6" s="31">
        <f>COUNTIFS(DataRegularSeason20242025!$D$2:$D$1315,TotalTeamGames20242025!Y$1,DataRegularSeason20242025!$E$2:$E$1315,TotalTeamGames20242025!$A5)</f>
        <v>1</v>
      </c>
      <c r="Z6" s="39"/>
      <c r="AA6" s="31">
        <f>COUNTIFS(DataRegularSeason20242025!$D$2:$D$1315,TotalTeamGames20242025!AA$1,DataRegularSeason20242025!$E$2:$E$1315,TotalTeamGames20242025!$A5)</f>
        <v>1</v>
      </c>
      <c r="AB6" s="39"/>
      <c r="AC6" s="31">
        <f>COUNTIFS(DataRegularSeason20242025!$D$2:$D$1315,TotalTeamGames20242025!AC$1,DataRegularSeason20242025!$E$2:$E$1315,TotalTeamGames20242025!$A5)</f>
        <v>1</v>
      </c>
      <c r="AD6" s="39"/>
      <c r="AE6" s="31">
        <f>COUNTIFS(DataRegularSeason20242025!$D$2:$D$1315,TotalTeamGames20242025!AE$1,DataRegularSeason20242025!$E$2:$E$1315,TotalTeamGames20242025!$A5)</f>
        <v>2</v>
      </c>
      <c r="AF6" s="39"/>
      <c r="AG6" s="31">
        <f>COUNTIFS(DataRegularSeason20242025!$D$2:$D$1315,TotalTeamGames20242025!AG$1,DataRegularSeason20242025!$E$2:$E$1315,TotalTeamGames20242025!$A5)</f>
        <v>2</v>
      </c>
      <c r="AH6" s="39"/>
      <c r="AI6" s="31">
        <f>COUNTIFS(DataRegularSeason20242025!$D$2:$D$1315,TotalTeamGames20242025!AI$1,DataRegularSeason20242025!$E$2:$E$1315,TotalTeamGames20242025!$A5)</f>
        <v>1</v>
      </c>
      <c r="AJ6" s="39"/>
      <c r="AK6" s="31">
        <f>COUNTIFS(DataRegularSeason20242025!$D$2:$D$1315,TotalTeamGames20242025!AK$1,DataRegularSeason20242025!$E$2:$E$1315,TotalTeamGames20242025!$A5)</f>
        <v>1</v>
      </c>
      <c r="AL6" s="39"/>
      <c r="AM6" s="31">
        <f>COUNTIFS(DataRegularSeason20242025!$D$2:$D$1315,TotalTeamGames20242025!AM$1,DataRegularSeason20242025!$E$2:$E$1315,TotalTeamGames20242025!$A5)</f>
        <v>2</v>
      </c>
      <c r="AN6" s="39"/>
      <c r="AO6" s="31">
        <f>COUNTIFS(DataRegularSeason20242025!$D$2:$D$1315,TotalTeamGames20242025!AO$1,DataRegularSeason20242025!$E$2:$E$1315,TotalTeamGames20242025!$A5)</f>
        <v>2</v>
      </c>
      <c r="AP6" s="39"/>
      <c r="AQ6" s="31">
        <f>COUNTIFS(DataRegularSeason20242025!$D$2:$D$1315,TotalTeamGames20242025!AQ$1,DataRegularSeason20242025!$E$2:$E$1315,TotalTeamGames20242025!$A5)</f>
        <v>1</v>
      </c>
      <c r="AR6" s="39"/>
      <c r="AS6" s="31">
        <f>COUNTIFS(DataRegularSeason20242025!$D$2:$D$1315,TotalTeamGames20242025!AS$1,DataRegularSeason20242025!$E$2:$E$1315,TotalTeamGames20242025!$A5)</f>
        <v>2</v>
      </c>
      <c r="AT6" s="39"/>
      <c r="AU6" s="31">
        <f>COUNTIFS(DataRegularSeason20242025!$D$2:$D$1315,TotalTeamGames20242025!AU$1,DataRegularSeason20242025!$E$2:$E$1315,TotalTeamGames20242025!$A5)</f>
        <v>1</v>
      </c>
      <c r="AV6" s="39"/>
      <c r="AW6" s="31">
        <f>COUNTIFS(DataRegularSeason20242025!$D$2:$D$1315,TotalTeamGames20242025!AW$1,DataRegularSeason20242025!$E$2:$E$1315,TotalTeamGames20242025!$A5)</f>
        <v>1</v>
      </c>
      <c r="AX6" s="39"/>
      <c r="AY6" s="31">
        <f>COUNTIFS(DataRegularSeason20242025!$D$2:$D$1315,TotalTeamGames20242025!AY$1,DataRegularSeason20242025!$E$2:$E$1315,TotalTeamGames20242025!$A5)</f>
        <v>1</v>
      </c>
      <c r="AZ6" s="39"/>
      <c r="BA6" s="31">
        <f>COUNTIFS(DataRegularSeason20242025!$D$2:$D$1315,TotalTeamGames20242025!BA$1,DataRegularSeason20242025!$E$2:$E$1315,TotalTeamGames20242025!$A5)</f>
        <v>2</v>
      </c>
      <c r="BB6" s="39"/>
      <c r="BC6" s="31">
        <f>COUNTIFS(DataRegularSeason20242025!$D$2:$D$1315,TotalTeamGames20242025!BC$1,DataRegularSeason20242025!$E$2:$E$1315,TotalTeamGames20242025!$A5)</f>
        <v>2</v>
      </c>
      <c r="BD6" s="39"/>
      <c r="BE6" s="31">
        <f>COUNTIFS(DataRegularSeason20242025!$D$2:$D$1315,TotalTeamGames20242025!BE$1,DataRegularSeason20242025!$E$2:$E$1315,TotalTeamGames20242025!$A5)</f>
        <v>1</v>
      </c>
      <c r="BF6" s="38"/>
      <c r="BG6" s="33">
        <f>COUNTIFS(DataRegularSeason20242025!$D$2:$D$1315,TotalTeamGames20242025!BG$1,DataRegularSeason20242025!$E$2:$E$1315,TotalTeamGames20242025!$A5)</f>
        <v>1</v>
      </c>
      <c r="BH6" s="39"/>
      <c r="BI6" s="31">
        <f>COUNTIFS(DataRegularSeason20242025!$D$2:$D$1315,TotalTeamGames20242025!BI$1,DataRegularSeason20242025!$E$2:$E$1315,TotalTeamGames20242025!$A5)</f>
        <v>1</v>
      </c>
      <c r="BJ6" s="39"/>
      <c r="BK6" s="31">
        <f>COUNTIFS(DataRegularSeason20242025!$D$2:$D$1315,TotalTeamGames20242025!BK$1,DataRegularSeason20242025!$E$2:$E$1315,TotalTeamGames20242025!$A5)</f>
        <v>1</v>
      </c>
      <c r="BL6" s="39"/>
      <c r="BM6" s="31">
        <f>COUNTIFS(DataRegularSeason20242025!$D$2:$D$1315,TotalTeamGames20242025!BM$1,DataRegularSeason20242025!$E$2:$E$1315,TotalTeamGames20242025!$A5)</f>
        <v>1</v>
      </c>
      <c r="BN6" s="39"/>
      <c r="BO6" s="34">
        <f t="shared" si="0"/>
        <v>41</v>
      </c>
      <c r="BP6" s="165"/>
    </row>
    <row r="7" spans="1:68" ht="9.9499999999999993" customHeight="1" x14ac:dyDescent="0.25">
      <c r="A7" s="166" t="s">
        <v>28</v>
      </c>
      <c r="B7" s="28" t="s">
        <v>74</v>
      </c>
      <c r="C7" s="35"/>
      <c r="D7" s="28">
        <f>COUNTIFS(DataRegularSeason20242025!$E$2:$E$1315,TotalTeamGames20242025!C$1,DataRegularSeason20242025!$D$2:$D$1315,TotalTeamGames20242025!$A7)</f>
        <v>1</v>
      </c>
      <c r="E7" s="35"/>
      <c r="F7" s="28">
        <f>COUNTIFS(DataRegularSeason20242025!$E$2:$E$1315,TotalTeamGames20242025!E$1,DataRegularSeason20242025!$D$2:$D$1315,TotalTeamGames20242025!$A7)</f>
        <v>2</v>
      </c>
      <c r="G7" s="35"/>
      <c r="H7" s="36"/>
      <c r="I7" s="35"/>
      <c r="J7" s="28">
        <f>COUNTIFS(DataRegularSeason20242025!$E$2:$E$1315,TotalTeamGames20242025!I$1,DataRegularSeason20242025!$D$2:$D$1315,TotalTeamGames20242025!$A7)</f>
        <v>2</v>
      </c>
      <c r="K7" s="35"/>
      <c r="L7" s="28">
        <f>COUNTIFS(DataRegularSeason20242025!$E$2:$E$1315,TotalTeamGames20242025!K$1,DataRegularSeason20242025!$D$2:$D$1315,TotalTeamGames20242025!$A7)</f>
        <v>1</v>
      </c>
      <c r="M7" s="35"/>
      <c r="N7" s="28">
        <f>COUNTIFS(DataRegularSeason20242025!$E$2:$E$1315,TotalTeamGames20242025!M$1,DataRegularSeason20242025!$D$2:$D$1315,TotalTeamGames20242025!$A7)</f>
        <v>1</v>
      </c>
      <c r="O7" s="35"/>
      <c r="P7" s="28">
        <f>COUNTIFS(DataRegularSeason20242025!$E$2:$E$1315,TotalTeamGames20242025!O$1,DataRegularSeason20242025!$D$2:$D$1315,TotalTeamGames20242025!$A7)</f>
        <v>1</v>
      </c>
      <c r="Q7" s="35"/>
      <c r="R7" s="28">
        <f>COUNTIFS(DataRegularSeason20242025!$E$2:$E$1315,TotalTeamGames20242025!Q$1,DataRegularSeason20242025!$D$2:$D$1315,TotalTeamGames20242025!$A7)</f>
        <v>1</v>
      </c>
      <c r="S7" s="35"/>
      <c r="T7" s="28">
        <f>COUNTIFS(DataRegularSeason20242025!$E$2:$E$1315,TotalTeamGames20242025!S$1,DataRegularSeason20242025!$D$2:$D$1315,TotalTeamGames20242025!$A7)</f>
        <v>1</v>
      </c>
      <c r="U7" s="35"/>
      <c r="V7" s="28">
        <f>COUNTIFS(DataRegularSeason20242025!$E$2:$E$1315,TotalTeamGames20242025!U$1,DataRegularSeason20242025!$D$2:$D$1315,TotalTeamGames20242025!$A7)</f>
        <v>1</v>
      </c>
      <c r="W7" s="35"/>
      <c r="X7" s="28">
        <f>COUNTIFS(DataRegularSeason20242025!$E$2:$E$1315,TotalTeamGames20242025!W$1,DataRegularSeason20242025!$D$2:$D$1315,TotalTeamGames20242025!$A7)</f>
        <v>1</v>
      </c>
      <c r="Y7" s="35"/>
      <c r="Z7" s="28">
        <f>COUNTIFS(DataRegularSeason20242025!$E$2:$E$1315,TotalTeamGames20242025!Y$1,DataRegularSeason20242025!$D$2:$D$1315,TotalTeamGames20242025!$A7)</f>
        <v>2</v>
      </c>
      <c r="AA7" s="35"/>
      <c r="AB7" s="28">
        <f>COUNTIFS(DataRegularSeason20242025!$E$2:$E$1315,TotalTeamGames20242025!AA$1,DataRegularSeason20242025!$D$2:$D$1315,TotalTeamGames20242025!$A7)</f>
        <v>1</v>
      </c>
      <c r="AC7" s="35"/>
      <c r="AD7" s="28">
        <f>COUNTIFS(DataRegularSeason20242025!$E$2:$E$1315,TotalTeamGames20242025!AC$1,DataRegularSeason20242025!$D$2:$D$1315,TotalTeamGames20242025!$A7)</f>
        <v>1</v>
      </c>
      <c r="AE7" s="35"/>
      <c r="AF7" s="28">
        <f>COUNTIFS(DataRegularSeason20242025!$E$2:$E$1315,TotalTeamGames20242025!AE$1,DataRegularSeason20242025!$D$2:$D$1315,TotalTeamGames20242025!$A7)</f>
        <v>2</v>
      </c>
      <c r="AG7" s="35"/>
      <c r="AH7" s="28">
        <f>COUNTIFS(DataRegularSeason20242025!$E$2:$E$1315,TotalTeamGames20242025!AG$1,DataRegularSeason20242025!$D$2:$D$1315,TotalTeamGames20242025!$A7)</f>
        <v>2</v>
      </c>
      <c r="AI7" s="35"/>
      <c r="AJ7" s="28">
        <f>COUNTIFS(DataRegularSeason20242025!$E$2:$E$1315,TotalTeamGames20242025!AI$1,DataRegularSeason20242025!$D$2:$D$1315,TotalTeamGames20242025!$A7)</f>
        <v>1</v>
      </c>
      <c r="AK7" s="35"/>
      <c r="AL7" s="28">
        <f>COUNTIFS(DataRegularSeason20242025!$E$2:$E$1315,TotalTeamGames20242025!AK$1,DataRegularSeason20242025!$D$2:$D$1315,TotalTeamGames20242025!$A7)</f>
        <v>1</v>
      </c>
      <c r="AM7" s="35"/>
      <c r="AN7" s="28">
        <f>COUNTIFS(DataRegularSeason20242025!$E$2:$E$1315,TotalTeamGames20242025!AM$1,DataRegularSeason20242025!$D$2:$D$1315,TotalTeamGames20242025!$A7)</f>
        <v>2</v>
      </c>
      <c r="AO7" s="35"/>
      <c r="AP7" s="28">
        <f>COUNTIFS(DataRegularSeason20242025!$E$2:$E$1315,TotalTeamGames20242025!AO$1,DataRegularSeason20242025!$D$2:$D$1315,TotalTeamGames20242025!$A7)</f>
        <v>2</v>
      </c>
      <c r="AQ7" s="35"/>
      <c r="AR7" s="28">
        <f>COUNTIFS(DataRegularSeason20242025!$E$2:$E$1315,TotalTeamGames20242025!AQ$1,DataRegularSeason20242025!$D$2:$D$1315,TotalTeamGames20242025!$A7)</f>
        <v>1</v>
      </c>
      <c r="AS7" s="35"/>
      <c r="AT7" s="28">
        <f>COUNTIFS(DataRegularSeason20242025!$E$2:$E$1315,TotalTeamGames20242025!AS$1,DataRegularSeason20242025!$D$2:$D$1315,TotalTeamGames20242025!$A7)</f>
        <v>2</v>
      </c>
      <c r="AU7" s="35"/>
      <c r="AV7" s="28">
        <f>COUNTIFS(DataRegularSeason20242025!$E$2:$E$1315,TotalTeamGames20242025!AU$1,DataRegularSeason20242025!$D$2:$D$1315,TotalTeamGames20242025!$A7)</f>
        <v>1</v>
      </c>
      <c r="AW7" s="35"/>
      <c r="AX7" s="28">
        <f>COUNTIFS(DataRegularSeason20242025!$E$2:$E$1315,TotalTeamGames20242025!AW$1,DataRegularSeason20242025!$D$2:$D$1315,TotalTeamGames20242025!$A7)</f>
        <v>1</v>
      </c>
      <c r="AY7" s="35"/>
      <c r="AZ7" s="28">
        <f>COUNTIFS(DataRegularSeason20242025!$E$2:$E$1315,TotalTeamGames20242025!AY$1,DataRegularSeason20242025!$D$2:$D$1315,TotalTeamGames20242025!$A7)</f>
        <v>1</v>
      </c>
      <c r="BA7" s="35"/>
      <c r="BB7" s="28">
        <f>COUNTIFS(DataRegularSeason20242025!$E$2:$E$1315,TotalTeamGames20242025!BA$1,DataRegularSeason20242025!$D$2:$D$1315,TotalTeamGames20242025!$A7)</f>
        <v>2</v>
      </c>
      <c r="BC7" s="35"/>
      <c r="BD7" s="28">
        <f>COUNTIFS(DataRegularSeason20242025!$E$2:$E$1315,TotalTeamGames20242025!BC$1,DataRegularSeason20242025!$D$2:$D$1315,TotalTeamGames20242025!$A7)</f>
        <v>2</v>
      </c>
      <c r="BE7" s="35"/>
      <c r="BF7" s="27">
        <f>COUNTIFS(DataRegularSeason20242025!$E$2:$E$1315,TotalTeamGames20242025!BE$1,DataRegularSeason20242025!$D$2:$D$1315,TotalTeamGames20242025!$A7)</f>
        <v>1</v>
      </c>
      <c r="BG7" s="40"/>
      <c r="BH7" s="28">
        <f>COUNTIFS(DataRegularSeason20242025!$E$2:$E$1315,TotalTeamGames20242025!BG$1,DataRegularSeason20242025!$D$2:$D$1315,TotalTeamGames20242025!$A7)</f>
        <v>1</v>
      </c>
      <c r="BI7" s="35"/>
      <c r="BJ7" s="28">
        <f>COUNTIFS(DataRegularSeason20242025!$E$2:$E$1315,TotalTeamGames20242025!BI$1,DataRegularSeason20242025!$D$2:$D$1315,TotalTeamGames20242025!$A7)</f>
        <v>1</v>
      </c>
      <c r="BK7" s="35"/>
      <c r="BL7" s="28">
        <f>COUNTIFS(DataRegularSeason20242025!$E$2:$E$1315,TotalTeamGames20242025!BK$1,DataRegularSeason20242025!$D$2:$D$1315,TotalTeamGames20242025!$A7)</f>
        <v>1</v>
      </c>
      <c r="BM7" s="35"/>
      <c r="BN7" s="28">
        <f>COUNTIFS(DataRegularSeason20242025!$E$2:$E$1315,TotalTeamGames20242025!BM$1,DataRegularSeason20242025!$D$2:$D$1315,TotalTeamGames20242025!$A7)</f>
        <v>1</v>
      </c>
      <c r="BO7" s="30">
        <f t="shared" si="0"/>
        <v>41</v>
      </c>
      <c r="BP7" s="165">
        <f t="shared" ref="BP7" si="2">BO7+BO8</f>
        <v>82</v>
      </c>
    </row>
    <row r="8" spans="1:68" ht="9.9499999999999993" customHeight="1" x14ac:dyDescent="0.25">
      <c r="A8" s="167"/>
      <c r="B8" s="32" t="s">
        <v>73</v>
      </c>
      <c r="C8" s="31">
        <f>COUNTIFS(DataRegularSeason20242025!$D$2:$D$1315,TotalTeamGames20242025!C$1,DataRegularSeason20242025!$E$2:$E$1315,TotalTeamGames20242025!$A7)</f>
        <v>1</v>
      </c>
      <c r="D8" s="39"/>
      <c r="E8" s="31">
        <f>COUNTIFS(DataRegularSeason20242025!$D$2:$D$1315,TotalTeamGames20242025!E$1,DataRegularSeason20242025!$E$2:$E$1315,TotalTeamGames20242025!$A7)</f>
        <v>2</v>
      </c>
      <c r="F8" s="39"/>
      <c r="G8" s="38"/>
      <c r="H8" s="39"/>
      <c r="I8" s="31">
        <f>COUNTIFS(DataRegularSeason20242025!$D$2:$D$1315,TotalTeamGames20242025!I$1,DataRegularSeason20242025!$E$2:$E$1315,TotalTeamGames20242025!$A7)</f>
        <v>1</v>
      </c>
      <c r="J8" s="39"/>
      <c r="K8" s="31">
        <f>COUNTIFS(DataRegularSeason20242025!$D$2:$D$1315,TotalTeamGames20242025!K$1,DataRegularSeason20242025!$E$2:$E$1315,TotalTeamGames20242025!$A7)</f>
        <v>2</v>
      </c>
      <c r="L8" s="39"/>
      <c r="M8" s="31">
        <f>COUNTIFS(DataRegularSeason20242025!$D$2:$D$1315,TotalTeamGames20242025!M$1,DataRegularSeason20242025!$E$2:$E$1315,TotalTeamGames20242025!$A7)</f>
        <v>1</v>
      </c>
      <c r="N8" s="39"/>
      <c r="O8" s="31">
        <f>COUNTIFS(DataRegularSeason20242025!$D$2:$D$1315,TotalTeamGames20242025!O$1,DataRegularSeason20242025!$E$2:$E$1315,TotalTeamGames20242025!$A7)</f>
        <v>1</v>
      </c>
      <c r="P8" s="39"/>
      <c r="Q8" s="31">
        <f>COUNTIFS(DataRegularSeason20242025!$D$2:$D$1315,TotalTeamGames20242025!Q$1,DataRegularSeason20242025!$E$2:$E$1315,TotalTeamGames20242025!$A7)</f>
        <v>1</v>
      </c>
      <c r="R8" s="39"/>
      <c r="S8" s="31">
        <f>COUNTIFS(DataRegularSeason20242025!$D$2:$D$1315,TotalTeamGames20242025!S$1,DataRegularSeason20242025!$E$2:$E$1315,TotalTeamGames20242025!$A7)</f>
        <v>1</v>
      </c>
      <c r="T8" s="39"/>
      <c r="U8" s="31">
        <f>COUNTIFS(DataRegularSeason20242025!$D$2:$D$1315,TotalTeamGames20242025!U$1,DataRegularSeason20242025!$E$2:$E$1315,TotalTeamGames20242025!$A7)</f>
        <v>2</v>
      </c>
      <c r="V8" s="39"/>
      <c r="W8" s="31">
        <f>COUNTIFS(DataRegularSeason20242025!$D$2:$D$1315,TotalTeamGames20242025!W$1,DataRegularSeason20242025!$E$2:$E$1315,TotalTeamGames20242025!$A7)</f>
        <v>1</v>
      </c>
      <c r="X8" s="39"/>
      <c r="Y8" s="31">
        <f>COUNTIFS(DataRegularSeason20242025!$D$2:$D$1315,TotalTeamGames20242025!Y$1,DataRegularSeason20242025!$E$2:$E$1315,TotalTeamGames20242025!$A7)</f>
        <v>2</v>
      </c>
      <c r="Z8" s="39"/>
      <c r="AA8" s="31">
        <f>COUNTIFS(DataRegularSeason20242025!$D$2:$D$1315,TotalTeamGames20242025!AA$1,DataRegularSeason20242025!$E$2:$E$1315,TotalTeamGames20242025!$A7)</f>
        <v>1</v>
      </c>
      <c r="AB8" s="39"/>
      <c r="AC8" s="31">
        <f>COUNTIFS(DataRegularSeason20242025!$D$2:$D$1315,TotalTeamGames20242025!AC$1,DataRegularSeason20242025!$E$2:$E$1315,TotalTeamGames20242025!$A7)</f>
        <v>1</v>
      </c>
      <c r="AD8" s="39"/>
      <c r="AE8" s="31">
        <f>COUNTIFS(DataRegularSeason20242025!$D$2:$D$1315,TotalTeamGames20242025!AE$1,DataRegularSeason20242025!$E$2:$E$1315,TotalTeamGames20242025!$A7)</f>
        <v>2</v>
      </c>
      <c r="AF8" s="39"/>
      <c r="AG8" s="31">
        <f>COUNTIFS(DataRegularSeason20242025!$D$2:$D$1315,TotalTeamGames20242025!AG$1,DataRegularSeason20242025!$E$2:$E$1315,TotalTeamGames20242025!$A7)</f>
        <v>1</v>
      </c>
      <c r="AH8" s="39"/>
      <c r="AI8" s="31">
        <f>COUNTIFS(DataRegularSeason20242025!$D$2:$D$1315,TotalTeamGames20242025!AI$1,DataRegularSeason20242025!$E$2:$E$1315,TotalTeamGames20242025!$A7)</f>
        <v>1</v>
      </c>
      <c r="AJ8" s="39"/>
      <c r="AK8" s="31">
        <f>COUNTIFS(DataRegularSeason20242025!$D$2:$D$1315,TotalTeamGames20242025!AK$1,DataRegularSeason20242025!$E$2:$E$1315,TotalTeamGames20242025!$A7)</f>
        <v>2</v>
      </c>
      <c r="AL8" s="39"/>
      <c r="AM8" s="31">
        <f>COUNTIFS(DataRegularSeason20242025!$D$2:$D$1315,TotalTeamGames20242025!AM$1,DataRegularSeason20242025!$E$2:$E$1315,TotalTeamGames20242025!$A7)</f>
        <v>1</v>
      </c>
      <c r="AN8" s="39"/>
      <c r="AO8" s="31">
        <f>COUNTIFS(DataRegularSeason20242025!$D$2:$D$1315,TotalTeamGames20242025!AO$1,DataRegularSeason20242025!$E$2:$E$1315,TotalTeamGames20242025!$A7)</f>
        <v>1</v>
      </c>
      <c r="AP8" s="39"/>
      <c r="AQ8" s="31">
        <f>COUNTIFS(DataRegularSeason20242025!$D$2:$D$1315,TotalTeamGames20242025!AQ$1,DataRegularSeason20242025!$E$2:$E$1315,TotalTeamGames20242025!$A7)</f>
        <v>2</v>
      </c>
      <c r="AR8" s="39"/>
      <c r="AS8" s="31">
        <f>COUNTIFS(DataRegularSeason20242025!$D$2:$D$1315,TotalTeamGames20242025!AS$1,DataRegularSeason20242025!$E$2:$E$1315,TotalTeamGames20242025!$A7)</f>
        <v>1</v>
      </c>
      <c r="AT8" s="39"/>
      <c r="AU8" s="31">
        <f>COUNTIFS(DataRegularSeason20242025!$D$2:$D$1315,TotalTeamGames20242025!AU$1,DataRegularSeason20242025!$E$2:$E$1315,TotalTeamGames20242025!$A7)</f>
        <v>1</v>
      </c>
      <c r="AV8" s="39"/>
      <c r="AW8" s="31">
        <f>COUNTIFS(DataRegularSeason20242025!$D$2:$D$1315,TotalTeamGames20242025!AW$1,DataRegularSeason20242025!$E$2:$E$1315,TotalTeamGames20242025!$A7)</f>
        <v>1</v>
      </c>
      <c r="AX8" s="39"/>
      <c r="AY8" s="31">
        <f>COUNTIFS(DataRegularSeason20242025!$D$2:$D$1315,TotalTeamGames20242025!AY$1,DataRegularSeason20242025!$E$2:$E$1315,TotalTeamGames20242025!$A7)</f>
        <v>1</v>
      </c>
      <c r="AZ8" s="39"/>
      <c r="BA8" s="31">
        <f>COUNTIFS(DataRegularSeason20242025!$D$2:$D$1315,TotalTeamGames20242025!BA$1,DataRegularSeason20242025!$E$2:$E$1315,TotalTeamGames20242025!$A7)</f>
        <v>2</v>
      </c>
      <c r="BB8" s="39"/>
      <c r="BC8" s="31">
        <f>COUNTIFS(DataRegularSeason20242025!$D$2:$D$1315,TotalTeamGames20242025!BC$1,DataRegularSeason20242025!$E$2:$E$1315,TotalTeamGames20242025!$A7)</f>
        <v>2</v>
      </c>
      <c r="BD8" s="39"/>
      <c r="BE8" s="31">
        <f>COUNTIFS(DataRegularSeason20242025!$D$2:$D$1315,TotalTeamGames20242025!BE$1,DataRegularSeason20242025!$E$2:$E$1315,TotalTeamGames20242025!$A7)</f>
        <v>1</v>
      </c>
      <c r="BF8" s="38"/>
      <c r="BG8" s="33">
        <f>COUNTIFS(DataRegularSeason20242025!$D$2:$D$1315,TotalTeamGames20242025!BG$1,DataRegularSeason20242025!$E$2:$E$1315,TotalTeamGames20242025!$A7)</f>
        <v>1</v>
      </c>
      <c r="BH8" s="39"/>
      <c r="BI8" s="31">
        <f>COUNTIFS(DataRegularSeason20242025!$D$2:$D$1315,TotalTeamGames20242025!BI$1,DataRegularSeason20242025!$E$2:$E$1315,TotalTeamGames20242025!$A7)</f>
        <v>1</v>
      </c>
      <c r="BJ8" s="39"/>
      <c r="BK8" s="31">
        <f>COUNTIFS(DataRegularSeason20242025!$D$2:$D$1315,TotalTeamGames20242025!BK$1,DataRegularSeason20242025!$E$2:$E$1315,TotalTeamGames20242025!$A7)</f>
        <v>1</v>
      </c>
      <c r="BL8" s="39"/>
      <c r="BM8" s="31">
        <f>COUNTIFS(DataRegularSeason20242025!$D$2:$D$1315,TotalTeamGames20242025!BM$1,DataRegularSeason20242025!$E$2:$E$1315,TotalTeamGames20242025!$A7)</f>
        <v>2</v>
      </c>
      <c r="BN8" s="39"/>
      <c r="BO8" s="34">
        <f t="shared" si="0"/>
        <v>41</v>
      </c>
      <c r="BP8" s="165"/>
    </row>
    <row r="9" spans="1:68" ht="9.9499999999999993" customHeight="1" x14ac:dyDescent="0.25">
      <c r="A9" s="166" t="s">
        <v>41</v>
      </c>
      <c r="B9" s="28" t="s">
        <v>74</v>
      </c>
      <c r="C9" s="35"/>
      <c r="D9" s="28">
        <f>COUNTIFS(DataRegularSeason20242025!$E$2:$E$1315,TotalTeamGames20242025!C$1,DataRegularSeason20242025!$D$2:$D$1315,TotalTeamGames20242025!$A9)</f>
        <v>1</v>
      </c>
      <c r="E9" s="35"/>
      <c r="F9" s="28">
        <f>COUNTIFS(DataRegularSeason20242025!$E$2:$E$1315,TotalTeamGames20242025!E$1,DataRegularSeason20242025!$D$2:$D$1315,TotalTeamGames20242025!$A9)</f>
        <v>2</v>
      </c>
      <c r="G9" s="35"/>
      <c r="H9" s="28">
        <f>COUNTIFS(DataRegularSeason20242025!$E$2:$E$1315,TotalTeamGames20242025!G$1,DataRegularSeason20242025!$D$2:$D$1315,TotalTeamGames20242025!$A9)</f>
        <v>1</v>
      </c>
      <c r="I9" s="35"/>
      <c r="J9" s="36"/>
      <c r="K9" s="35"/>
      <c r="L9" s="28">
        <f>COUNTIFS(DataRegularSeason20242025!$E$2:$E$1315,TotalTeamGames20242025!K$1,DataRegularSeason20242025!$D$2:$D$1315,TotalTeamGames20242025!$A9)</f>
        <v>2</v>
      </c>
      <c r="M9" s="35"/>
      <c r="N9" s="28">
        <f>COUNTIFS(DataRegularSeason20242025!$E$2:$E$1315,TotalTeamGames20242025!M$1,DataRegularSeason20242025!$D$2:$D$1315,TotalTeamGames20242025!$A9)</f>
        <v>1</v>
      </c>
      <c r="O9" s="35"/>
      <c r="P9" s="28">
        <f>COUNTIFS(DataRegularSeason20242025!$E$2:$E$1315,TotalTeamGames20242025!O$1,DataRegularSeason20242025!$D$2:$D$1315,TotalTeamGames20242025!$A9)</f>
        <v>1</v>
      </c>
      <c r="Q9" s="35"/>
      <c r="R9" s="28">
        <f>COUNTIFS(DataRegularSeason20242025!$E$2:$E$1315,TotalTeamGames20242025!Q$1,DataRegularSeason20242025!$D$2:$D$1315,TotalTeamGames20242025!$A9)</f>
        <v>1</v>
      </c>
      <c r="S9" s="35"/>
      <c r="T9" s="28">
        <f>COUNTIFS(DataRegularSeason20242025!$E$2:$E$1315,TotalTeamGames20242025!S$1,DataRegularSeason20242025!$D$2:$D$1315,TotalTeamGames20242025!$A9)</f>
        <v>1</v>
      </c>
      <c r="U9" s="35"/>
      <c r="V9" s="28">
        <f>COUNTIFS(DataRegularSeason20242025!$E$2:$E$1315,TotalTeamGames20242025!U$1,DataRegularSeason20242025!$D$2:$D$1315,TotalTeamGames20242025!$A9)</f>
        <v>1</v>
      </c>
      <c r="W9" s="35"/>
      <c r="X9" s="28">
        <f>COUNTIFS(DataRegularSeason20242025!$E$2:$E$1315,TotalTeamGames20242025!W$1,DataRegularSeason20242025!$D$2:$D$1315,TotalTeamGames20242025!$A9)</f>
        <v>1</v>
      </c>
      <c r="Y9" s="35"/>
      <c r="Z9" s="28">
        <f>COUNTIFS(DataRegularSeason20242025!$E$2:$E$1315,TotalTeamGames20242025!Y$1,DataRegularSeason20242025!$D$2:$D$1315,TotalTeamGames20242025!$A9)</f>
        <v>1</v>
      </c>
      <c r="AA9" s="35"/>
      <c r="AB9" s="28">
        <f>COUNTIFS(DataRegularSeason20242025!$E$2:$E$1315,TotalTeamGames20242025!AA$1,DataRegularSeason20242025!$D$2:$D$1315,TotalTeamGames20242025!$A9)</f>
        <v>1</v>
      </c>
      <c r="AC9" s="35"/>
      <c r="AD9" s="28">
        <f>COUNTIFS(DataRegularSeason20242025!$E$2:$E$1315,TotalTeamGames20242025!AC$1,DataRegularSeason20242025!$D$2:$D$1315,TotalTeamGames20242025!$A9)</f>
        <v>1</v>
      </c>
      <c r="AE9" s="35"/>
      <c r="AF9" s="28">
        <f>COUNTIFS(DataRegularSeason20242025!$E$2:$E$1315,TotalTeamGames20242025!AE$1,DataRegularSeason20242025!$D$2:$D$1315,TotalTeamGames20242025!$A9)</f>
        <v>1</v>
      </c>
      <c r="AG9" s="35"/>
      <c r="AH9" s="28">
        <f>COUNTIFS(DataRegularSeason20242025!$E$2:$E$1315,TotalTeamGames20242025!AG$1,DataRegularSeason20242025!$D$2:$D$1315,TotalTeamGames20242025!$A9)</f>
        <v>2</v>
      </c>
      <c r="AI9" s="35"/>
      <c r="AJ9" s="28">
        <f>COUNTIFS(DataRegularSeason20242025!$E$2:$E$1315,TotalTeamGames20242025!AI$1,DataRegularSeason20242025!$D$2:$D$1315,TotalTeamGames20242025!$A9)</f>
        <v>1</v>
      </c>
      <c r="AK9" s="35"/>
      <c r="AL9" s="28">
        <f>COUNTIFS(DataRegularSeason20242025!$E$2:$E$1315,TotalTeamGames20242025!AK$1,DataRegularSeason20242025!$D$2:$D$1315,TotalTeamGames20242025!$A9)</f>
        <v>1</v>
      </c>
      <c r="AM9" s="35"/>
      <c r="AN9" s="28">
        <f>COUNTIFS(DataRegularSeason20242025!$E$2:$E$1315,TotalTeamGames20242025!AM$1,DataRegularSeason20242025!$D$2:$D$1315,TotalTeamGames20242025!$A9)</f>
        <v>2</v>
      </c>
      <c r="AO9" s="35"/>
      <c r="AP9" s="28">
        <f>COUNTIFS(DataRegularSeason20242025!$E$2:$E$1315,TotalTeamGames20242025!AO$1,DataRegularSeason20242025!$D$2:$D$1315,TotalTeamGames20242025!$A9)</f>
        <v>2</v>
      </c>
      <c r="AQ9" s="35"/>
      <c r="AR9" s="28">
        <f>COUNTIFS(DataRegularSeason20242025!$E$2:$E$1315,TotalTeamGames20242025!AQ$1,DataRegularSeason20242025!$D$2:$D$1315,TotalTeamGames20242025!$A9)</f>
        <v>2</v>
      </c>
      <c r="AS9" s="35"/>
      <c r="AT9" s="28">
        <f>COUNTIFS(DataRegularSeason20242025!$E$2:$E$1315,TotalTeamGames20242025!AS$1,DataRegularSeason20242025!$D$2:$D$1315,TotalTeamGames20242025!$A9)</f>
        <v>2</v>
      </c>
      <c r="AU9" s="35"/>
      <c r="AV9" s="28">
        <f>COUNTIFS(DataRegularSeason20242025!$E$2:$E$1315,TotalTeamGames20242025!AU$1,DataRegularSeason20242025!$D$2:$D$1315,TotalTeamGames20242025!$A9)</f>
        <v>1</v>
      </c>
      <c r="AW9" s="35"/>
      <c r="AX9" s="28">
        <f>COUNTIFS(DataRegularSeason20242025!$E$2:$E$1315,TotalTeamGames20242025!AW$1,DataRegularSeason20242025!$D$2:$D$1315,TotalTeamGames20242025!$A9)</f>
        <v>1</v>
      </c>
      <c r="AY9" s="35"/>
      <c r="AZ9" s="28">
        <f>COUNTIFS(DataRegularSeason20242025!$E$2:$E$1315,TotalTeamGames20242025!AY$1,DataRegularSeason20242025!$D$2:$D$1315,TotalTeamGames20242025!$A9)</f>
        <v>1</v>
      </c>
      <c r="BA9" s="35"/>
      <c r="BB9" s="28">
        <f>COUNTIFS(DataRegularSeason20242025!$E$2:$E$1315,TotalTeamGames20242025!BA$1,DataRegularSeason20242025!$D$2:$D$1315,TotalTeamGames20242025!$A9)</f>
        <v>2</v>
      </c>
      <c r="BC9" s="35"/>
      <c r="BD9" s="28">
        <f>COUNTIFS(DataRegularSeason20242025!$E$2:$E$1315,TotalTeamGames20242025!BC$1,DataRegularSeason20242025!$D$2:$D$1315,TotalTeamGames20242025!$A9)</f>
        <v>2</v>
      </c>
      <c r="BE9" s="35"/>
      <c r="BF9" s="27">
        <f>COUNTIFS(DataRegularSeason20242025!$E$2:$E$1315,TotalTeamGames20242025!BE$1,DataRegularSeason20242025!$D$2:$D$1315,TotalTeamGames20242025!$A9)</f>
        <v>1</v>
      </c>
      <c r="BG9" s="40"/>
      <c r="BH9" s="28">
        <f>COUNTIFS(DataRegularSeason20242025!$E$2:$E$1315,TotalTeamGames20242025!BG$1,DataRegularSeason20242025!$D$2:$D$1315,TotalTeamGames20242025!$A9)</f>
        <v>1</v>
      </c>
      <c r="BI9" s="35"/>
      <c r="BJ9" s="28">
        <f>COUNTIFS(DataRegularSeason20242025!$E$2:$E$1315,TotalTeamGames20242025!BI$1,DataRegularSeason20242025!$D$2:$D$1315,TotalTeamGames20242025!$A9)</f>
        <v>1</v>
      </c>
      <c r="BK9" s="35"/>
      <c r="BL9" s="28">
        <f>COUNTIFS(DataRegularSeason20242025!$E$2:$E$1315,TotalTeamGames20242025!BK$1,DataRegularSeason20242025!$D$2:$D$1315,TotalTeamGames20242025!$A9)</f>
        <v>1</v>
      </c>
      <c r="BM9" s="35"/>
      <c r="BN9" s="28">
        <f>COUNTIFS(DataRegularSeason20242025!$E$2:$E$1315,TotalTeamGames20242025!BM$1,DataRegularSeason20242025!$D$2:$D$1315,TotalTeamGames20242025!$A9)</f>
        <v>2</v>
      </c>
      <c r="BO9" s="30">
        <f t="shared" si="0"/>
        <v>41</v>
      </c>
      <c r="BP9" s="165">
        <f t="shared" ref="BP9" si="3">BO9+BO10</f>
        <v>82</v>
      </c>
    </row>
    <row r="10" spans="1:68" ht="9.9499999999999993" customHeight="1" x14ac:dyDescent="0.25">
      <c r="A10" s="167"/>
      <c r="B10" s="32" t="s">
        <v>73</v>
      </c>
      <c r="C10" s="31">
        <f>COUNTIFS(DataRegularSeason20242025!$D$2:$D$1315,TotalTeamGames20242025!C$1,DataRegularSeason20242025!$E$2:$E$1315,TotalTeamGames20242025!$A9)</f>
        <v>1</v>
      </c>
      <c r="D10" s="39"/>
      <c r="E10" s="31">
        <f>COUNTIFS(DataRegularSeason20242025!$D$2:$D$1315,TotalTeamGames20242025!E$1,DataRegularSeason20242025!$E$2:$E$1315,TotalTeamGames20242025!$A9)</f>
        <v>1</v>
      </c>
      <c r="F10" s="39"/>
      <c r="G10" s="31">
        <f>COUNTIFS(DataRegularSeason20242025!$D$2:$D$1315,TotalTeamGames20242025!G$1,DataRegularSeason20242025!$E$2:$E$1315,TotalTeamGames20242025!$A9)</f>
        <v>2</v>
      </c>
      <c r="H10" s="39"/>
      <c r="I10" s="38"/>
      <c r="J10" s="39"/>
      <c r="K10" s="31">
        <f>COUNTIFS(DataRegularSeason20242025!$D$2:$D$1315,TotalTeamGames20242025!K$1,DataRegularSeason20242025!$E$2:$E$1315,TotalTeamGames20242025!$A9)</f>
        <v>2</v>
      </c>
      <c r="L10" s="39"/>
      <c r="M10" s="31">
        <f>COUNTIFS(DataRegularSeason20242025!$D$2:$D$1315,TotalTeamGames20242025!M$1,DataRegularSeason20242025!$E$2:$E$1315,TotalTeamGames20242025!$A9)</f>
        <v>1</v>
      </c>
      <c r="N10" s="39"/>
      <c r="O10" s="31">
        <f>COUNTIFS(DataRegularSeason20242025!$D$2:$D$1315,TotalTeamGames20242025!O$1,DataRegularSeason20242025!$E$2:$E$1315,TotalTeamGames20242025!$A9)</f>
        <v>1</v>
      </c>
      <c r="P10" s="39"/>
      <c r="Q10" s="31">
        <f>COUNTIFS(DataRegularSeason20242025!$D$2:$D$1315,TotalTeamGames20242025!Q$1,DataRegularSeason20242025!$E$2:$E$1315,TotalTeamGames20242025!$A9)</f>
        <v>1</v>
      </c>
      <c r="R10" s="39"/>
      <c r="S10" s="31">
        <f>COUNTIFS(DataRegularSeason20242025!$D$2:$D$1315,TotalTeamGames20242025!S$1,DataRegularSeason20242025!$E$2:$E$1315,TotalTeamGames20242025!$A9)</f>
        <v>1</v>
      </c>
      <c r="T10" s="39"/>
      <c r="U10" s="31">
        <f>COUNTIFS(DataRegularSeason20242025!$D$2:$D$1315,TotalTeamGames20242025!U$1,DataRegularSeason20242025!$E$2:$E$1315,TotalTeamGames20242025!$A9)</f>
        <v>2</v>
      </c>
      <c r="V10" s="39"/>
      <c r="W10" s="31">
        <f>COUNTIFS(DataRegularSeason20242025!$D$2:$D$1315,TotalTeamGames20242025!W$1,DataRegularSeason20242025!$E$2:$E$1315,TotalTeamGames20242025!$A9)</f>
        <v>1</v>
      </c>
      <c r="X10" s="39"/>
      <c r="Y10" s="31">
        <f>COUNTIFS(DataRegularSeason20242025!$D$2:$D$1315,TotalTeamGames20242025!Y$1,DataRegularSeason20242025!$E$2:$E$1315,TotalTeamGames20242025!$A9)</f>
        <v>2</v>
      </c>
      <c r="Z10" s="39"/>
      <c r="AA10" s="31">
        <f>COUNTIFS(DataRegularSeason20242025!$D$2:$D$1315,TotalTeamGames20242025!AA$1,DataRegularSeason20242025!$E$2:$E$1315,TotalTeamGames20242025!$A9)</f>
        <v>1</v>
      </c>
      <c r="AB10" s="39"/>
      <c r="AC10" s="31">
        <f>COUNTIFS(DataRegularSeason20242025!$D$2:$D$1315,TotalTeamGames20242025!AC$1,DataRegularSeason20242025!$E$2:$E$1315,TotalTeamGames20242025!$A9)</f>
        <v>1</v>
      </c>
      <c r="AD10" s="39"/>
      <c r="AE10" s="31">
        <f>COUNTIFS(DataRegularSeason20242025!$D$2:$D$1315,TotalTeamGames20242025!AE$1,DataRegularSeason20242025!$E$2:$E$1315,TotalTeamGames20242025!$A9)</f>
        <v>2</v>
      </c>
      <c r="AF10" s="39"/>
      <c r="AG10" s="31">
        <f>COUNTIFS(DataRegularSeason20242025!$D$2:$D$1315,TotalTeamGames20242025!AG$1,DataRegularSeason20242025!$E$2:$E$1315,TotalTeamGames20242025!$A9)</f>
        <v>2</v>
      </c>
      <c r="AH10" s="39"/>
      <c r="AI10" s="31">
        <f>COUNTIFS(DataRegularSeason20242025!$D$2:$D$1315,TotalTeamGames20242025!AI$1,DataRegularSeason20242025!$E$2:$E$1315,TotalTeamGames20242025!$A9)</f>
        <v>1</v>
      </c>
      <c r="AJ10" s="39"/>
      <c r="AK10" s="31">
        <f>COUNTIFS(DataRegularSeason20242025!$D$2:$D$1315,TotalTeamGames20242025!AK$1,DataRegularSeason20242025!$E$2:$E$1315,TotalTeamGames20242025!$A9)</f>
        <v>2</v>
      </c>
      <c r="AL10" s="39"/>
      <c r="AM10" s="31">
        <f>COUNTIFS(DataRegularSeason20242025!$D$2:$D$1315,TotalTeamGames20242025!AM$1,DataRegularSeason20242025!$E$2:$E$1315,TotalTeamGames20242025!$A9)</f>
        <v>2</v>
      </c>
      <c r="AN10" s="39"/>
      <c r="AO10" s="31">
        <f>COUNTIFS(DataRegularSeason20242025!$D$2:$D$1315,TotalTeamGames20242025!AO$1,DataRegularSeason20242025!$E$2:$E$1315,TotalTeamGames20242025!$A9)</f>
        <v>1</v>
      </c>
      <c r="AP10" s="39"/>
      <c r="AQ10" s="31">
        <f>COUNTIFS(DataRegularSeason20242025!$D$2:$D$1315,TotalTeamGames20242025!AQ$1,DataRegularSeason20242025!$E$2:$E$1315,TotalTeamGames20242025!$A9)</f>
        <v>2</v>
      </c>
      <c r="AR10" s="39"/>
      <c r="AS10" s="31">
        <f>COUNTIFS(DataRegularSeason20242025!$D$2:$D$1315,TotalTeamGames20242025!AS$1,DataRegularSeason20242025!$E$2:$E$1315,TotalTeamGames20242025!$A9)</f>
        <v>2</v>
      </c>
      <c r="AT10" s="39"/>
      <c r="AU10" s="31">
        <f>COUNTIFS(DataRegularSeason20242025!$D$2:$D$1315,TotalTeamGames20242025!AU$1,DataRegularSeason20242025!$E$2:$E$1315,TotalTeamGames20242025!$A9)</f>
        <v>1</v>
      </c>
      <c r="AV10" s="39"/>
      <c r="AW10" s="31">
        <f>COUNTIFS(DataRegularSeason20242025!$D$2:$D$1315,TotalTeamGames20242025!AW$1,DataRegularSeason20242025!$E$2:$E$1315,TotalTeamGames20242025!$A9)</f>
        <v>1</v>
      </c>
      <c r="AX10" s="39"/>
      <c r="AY10" s="31">
        <f>COUNTIFS(DataRegularSeason20242025!$D$2:$D$1315,TotalTeamGames20242025!AY$1,DataRegularSeason20242025!$E$2:$E$1315,TotalTeamGames20242025!$A9)</f>
        <v>1</v>
      </c>
      <c r="AZ10" s="39"/>
      <c r="BA10" s="31">
        <f>COUNTIFS(DataRegularSeason20242025!$D$2:$D$1315,TotalTeamGames20242025!BA$1,DataRegularSeason20242025!$E$2:$E$1315,TotalTeamGames20242025!$A9)</f>
        <v>1</v>
      </c>
      <c r="BB10" s="39"/>
      <c r="BC10" s="31">
        <f>COUNTIFS(DataRegularSeason20242025!$D$2:$D$1315,TotalTeamGames20242025!BC$1,DataRegularSeason20242025!$E$2:$E$1315,TotalTeamGames20242025!$A9)</f>
        <v>1</v>
      </c>
      <c r="BD10" s="39"/>
      <c r="BE10" s="31">
        <f>COUNTIFS(DataRegularSeason20242025!$D$2:$D$1315,TotalTeamGames20242025!BE$1,DataRegularSeason20242025!$E$2:$E$1315,TotalTeamGames20242025!$A9)</f>
        <v>1</v>
      </c>
      <c r="BF10" s="38"/>
      <c r="BG10" s="33">
        <f>COUNTIFS(DataRegularSeason20242025!$D$2:$D$1315,TotalTeamGames20242025!BG$1,DataRegularSeason20242025!$E$2:$E$1315,TotalTeamGames20242025!$A9)</f>
        <v>1</v>
      </c>
      <c r="BH10" s="39"/>
      <c r="BI10" s="31">
        <f>COUNTIFS(DataRegularSeason20242025!$D$2:$D$1315,TotalTeamGames20242025!BI$1,DataRegularSeason20242025!$E$2:$E$1315,TotalTeamGames20242025!$A9)</f>
        <v>1</v>
      </c>
      <c r="BJ10" s="39"/>
      <c r="BK10" s="31">
        <f>COUNTIFS(DataRegularSeason20242025!$D$2:$D$1315,TotalTeamGames20242025!BK$1,DataRegularSeason20242025!$E$2:$E$1315,TotalTeamGames20242025!$A9)</f>
        <v>1</v>
      </c>
      <c r="BL10" s="39"/>
      <c r="BM10" s="31">
        <f>COUNTIFS(DataRegularSeason20242025!$D$2:$D$1315,TotalTeamGames20242025!BM$1,DataRegularSeason20242025!$E$2:$E$1315,TotalTeamGames20242025!$A9)</f>
        <v>1</v>
      </c>
      <c r="BN10" s="39"/>
      <c r="BO10" s="34">
        <f t="shared" si="0"/>
        <v>41</v>
      </c>
      <c r="BP10" s="165"/>
    </row>
    <row r="11" spans="1:68" ht="9.9499999999999993" customHeight="1" x14ac:dyDescent="0.25">
      <c r="A11" s="166" t="s">
        <v>35</v>
      </c>
      <c r="B11" s="28" t="s">
        <v>74</v>
      </c>
      <c r="C11" s="35"/>
      <c r="D11" s="28">
        <f>COUNTIFS(DataRegularSeason20242025!$E$2:$E$1315,TotalTeamGames20242025!C$1,DataRegularSeason20242025!$D$2:$D$1315,TotalTeamGames20242025!$A11)</f>
        <v>1</v>
      </c>
      <c r="E11" s="35"/>
      <c r="F11" s="28">
        <f>COUNTIFS(DataRegularSeason20242025!$E$2:$E$1315,TotalTeamGames20242025!E$1,DataRegularSeason20242025!$D$2:$D$1315,TotalTeamGames20242025!$A11)</f>
        <v>1</v>
      </c>
      <c r="G11" s="35"/>
      <c r="H11" s="28">
        <f>COUNTIFS(DataRegularSeason20242025!$E$2:$E$1315,TotalTeamGames20242025!G$1,DataRegularSeason20242025!$D$2:$D$1315,TotalTeamGames20242025!$A11)</f>
        <v>2</v>
      </c>
      <c r="I11" s="35"/>
      <c r="J11" s="28">
        <f>COUNTIFS(DataRegularSeason20242025!$E$2:$E$1315,TotalTeamGames20242025!I$1,DataRegularSeason20242025!$D$2:$D$1315,TotalTeamGames20242025!$A11)</f>
        <v>2</v>
      </c>
      <c r="K11" s="35"/>
      <c r="L11" s="36"/>
      <c r="M11" s="35"/>
      <c r="N11" s="28">
        <f>COUNTIFS(DataRegularSeason20242025!$E$2:$E$1315,TotalTeamGames20242025!M$1,DataRegularSeason20242025!$D$2:$D$1315,TotalTeamGames20242025!$A11)</f>
        <v>1</v>
      </c>
      <c r="O11" s="35"/>
      <c r="P11" s="28">
        <f>COUNTIFS(DataRegularSeason20242025!$E$2:$E$1315,TotalTeamGames20242025!O$1,DataRegularSeason20242025!$D$2:$D$1315,TotalTeamGames20242025!$A11)</f>
        <v>1</v>
      </c>
      <c r="Q11" s="35"/>
      <c r="R11" s="28">
        <f>COUNTIFS(DataRegularSeason20242025!$E$2:$E$1315,TotalTeamGames20242025!Q$1,DataRegularSeason20242025!$D$2:$D$1315,TotalTeamGames20242025!$A11)</f>
        <v>1</v>
      </c>
      <c r="S11" s="35"/>
      <c r="T11" s="28">
        <f>COUNTIFS(DataRegularSeason20242025!$E$2:$E$1315,TotalTeamGames20242025!S$1,DataRegularSeason20242025!$D$2:$D$1315,TotalTeamGames20242025!$A11)</f>
        <v>1</v>
      </c>
      <c r="U11" s="35"/>
      <c r="V11" s="28">
        <f>COUNTIFS(DataRegularSeason20242025!$E$2:$E$1315,TotalTeamGames20242025!U$1,DataRegularSeason20242025!$D$2:$D$1315,TotalTeamGames20242025!$A11)</f>
        <v>2</v>
      </c>
      <c r="W11" s="35"/>
      <c r="X11" s="28">
        <f>COUNTIFS(DataRegularSeason20242025!$E$2:$E$1315,TotalTeamGames20242025!W$1,DataRegularSeason20242025!$D$2:$D$1315,TotalTeamGames20242025!$A11)</f>
        <v>1</v>
      </c>
      <c r="Y11" s="35"/>
      <c r="Z11" s="28">
        <f>COUNTIFS(DataRegularSeason20242025!$E$2:$E$1315,TotalTeamGames20242025!Y$1,DataRegularSeason20242025!$D$2:$D$1315,TotalTeamGames20242025!$A11)</f>
        <v>2</v>
      </c>
      <c r="AA11" s="35"/>
      <c r="AB11" s="28">
        <f>COUNTIFS(DataRegularSeason20242025!$E$2:$E$1315,TotalTeamGames20242025!AA$1,DataRegularSeason20242025!$D$2:$D$1315,TotalTeamGames20242025!$A11)</f>
        <v>1</v>
      </c>
      <c r="AC11" s="35"/>
      <c r="AD11" s="28">
        <f>COUNTIFS(DataRegularSeason20242025!$E$2:$E$1315,TotalTeamGames20242025!AC$1,DataRegularSeason20242025!$D$2:$D$1315,TotalTeamGames20242025!$A11)</f>
        <v>1</v>
      </c>
      <c r="AE11" s="35"/>
      <c r="AF11" s="28">
        <f>COUNTIFS(DataRegularSeason20242025!$E$2:$E$1315,TotalTeamGames20242025!AE$1,DataRegularSeason20242025!$D$2:$D$1315,TotalTeamGames20242025!$A11)</f>
        <v>2</v>
      </c>
      <c r="AG11" s="35"/>
      <c r="AH11" s="28">
        <f>COUNTIFS(DataRegularSeason20242025!$E$2:$E$1315,TotalTeamGames20242025!AG$1,DataRegularSeason20242025!$D$2:$D$1315,TotalTeamGames20242025!$A11)</f>
        <v>2</v>
      </c>
      <c r="AI11" s="35"/>
      <c r="AJ11" s="28">
        <f>COUNTIFS(DataRegularSeason20242025!$E$2:$E$1315,TotalTeamGames20242025!AI$1,DataRegularSeason20242025!$D$2:$D$1315,TotalTeamGames20242025!$A11)</f>
        <v>1</v>
      </c>
      <c r="AK11" s="35"/>
      <c r="AL11" s="28">
        <f>COUNTIFS(DataRegularSeason20242025!$E$2:$E$1315,TotalTeamGames20242025!AK$1,DataRegularSeason20242025!$D$2:$D$1315,TotalTeamGames20242025!$A11)</f>
        <v>2</v>
      </c>
      <c r="AM11" s="35"/>
      <c r="AN11" s="28">
        <f>COUNTIFS(DataRegularSeason20242025!$E$2:$E$1315,TotalTeamGames20242025!AM$1,DataRegularSeason20242025!$D$2:$D$1315,TotalTeamGames20242025!$A11)</f>
        <v>1</v>
      </c>
      <c r="AO11" s="35"/>
      <c r="AP11" s="28">
        <f>COUNTIFS(DataRegularSeason20242025!$E$2:$E$1315,TotalTeamGames20242025!AO$1,DataRegularSeason20242025!$D$2:$D$1315,TotalTeamGames20242025!$A11)</f>
        <v>1</v>
      </c>
      <c r="AQ11" s="35"/>
      <c r="AR11" s="28">
        <f>COUNTIFS(DataRegularSeason20242025!$E$2:$E$1315,TotalTeamGames20242025!AQ$1,DataRegularSeason20242025!$D$2:$D$1315,TotalTeamGames20242025!$A11)</f>
        <v>2</v>
      </c>
      <c r="AS11" s="35"/>
      <c r="AT11" s="28">
        <f>COUNTIFS(DataRegularSeason20242025!$E$2:$E$1315,TotalTeamGames20242025!AS$1,DataRegularSeason20242025!$D$2:$D$1315,TotalTeamGames20242025!$A11)</f>
        <v>2</v>
      </c>
      <c r="AU11" s="35"/>
      <c r="AV11" s="28">
        <f>COUNTIFS(DataRegularSeason20242025!$E$2:$E$1315,TotalTeamGames20242025!AU$1,DataRegularSeason20242025!$D$2:$D$1315,TotalTeamGames20242025!$A11)</f>
        <v>1</v>
      </c>
      <c r="AW11" s="35"/>
      <c r="AX11" s="28">
        <f>COUNTIFS(DataRegularSeason20242025!$E$2:$E$1315,TotalTeamGames20242025!AW$1,DataRegularSeason20242025!$D$2:$D$1315,TotalTeamGames20242025!$A11)</f>
        <v>1</v>
      </c>
      <c r="AY11" s="35"/>
      <c r="AZ11" s="28">
        <f>COUNTIFS(DataRegularSeason20242025!$E$2:$E$1315,TotalTeamGames20242025!AY$1,DataRegularSeason20242025!$D$2:$D$1315,TotalTeamGames20242025!$A11)</f>
        <v>1</v>
      </c>
      <c r="BA11" s="35"/>
      <c r="BB11" s="28">
        <f>COUNTIFS(DataRegularSeason20242025!$E$2:$E$1315,TotalTeamGames20242025!BA$1,DataRegularSeason20242025!$D$2:$D$1315,TotalTeamGames20242025!$A11)</f>
        <v>1</v>
      </c>
      <c r="BC11" s="35"/>
      <c r="BD11" s="28">
        <f>COUNTIFS(DataRegularSeason20242025!$E$2:$E$1315,TotalTeamGames20242025!BC$1,DataRegularSeason20242025!$D$2:$D$1315,TotalTeamGames20242025!$A11)</f>
        <v>1</v>
      </c>
      <c r="BE11" s="35"/>
      <c r="BF11" s="27">
        <f>COUNTIFS(DataRegularSeason20242025!$E$2:$E$1315,TotalTeamGames20242025!BE$1,DataRegularSeason20242025!$D$2:$D$1315,TotalTeamGames20242025!$A11)</f>
        <v>1</v>
      </c>
      <c r="BG11" s="40"/>
      <c r="BH11" s="28">
        <f>COUNTIFS(DataRegularSeason20242025!$E$2:$E$1315,TotalTeamGames20242025!BG$1,DataRegularSeason20242025!$D$2:$D$1315,TotalTeamGames20242025!$A11)</f>
        <v>1</v>
      </c>
      <c r="BI11" s="35"/>
      <c r="BJ11" s="28">
        <f>COUNTIFS(DataRegularSeason20242025!$E$2:$E$1315,TotalTeamGames20242025!BI$1,DataRegularSeason20242025!$D$2:$D$1315,TotalTeamGames20242025!$A11)</f>
        <v>1</v>
      </c>
      <c r="BK11" s="35"/>
      <c r="BL11" s="28">
        <f>COUNTIFS(DataRegularSeason20242025!$E$2:$E$1315,TotalTeamGames20242025!BK$1,DataRegularSeason20242025!$D$2:$D$1315,TotalTeamGames20242025!$A11)</f>
        <v>1</v>
      </c>
      <c r="BM11" s="35"/>
      <c r="BN11" s="28">
        <f>COUNTIFS(DataRegularSeason20242025!$E$2:$E$1315,TotalTeamGames20242025!BM$1,DataRegularSeason20242025!$D$2:$D$1315,TotalTeamGames20242025!$A11)</f>
        <v>2</v>
      </c>
      <c r="BO11" s="30">
        <f t="shared" si="0"/>
        <v>41</v>
      </c>
      <c r="BP11" s="165">
        <f t="shared" ref="BP11" si="4">BO11+BO12</f>
        <v>82</v>
      </c>
    </row>
    <row r="12" spans="1:68" ht="9.9499999999999993" customHeight="1" x14ac:dyDescent="0.25">
      <c r="A12" s="167"/>
      <c r="B12" s="32" t="s">
        <v>73</v>
      </c>
      <c r="C12" s="31">
        <f>COUNTIFS(DataRegularSeason20242025!$D$2:$D$1315,TotalTeamGames20242025!C$1,DataRegularSeason20242025!$E$2:$E$1315,TotalTeamGames20242025!$A11)</f>
        <v>1</v>
      </c>
      <c r="D12" s="39"/>
      <c r="E12" s="31">
        <f>COUNTIFS(DataRegularSeason20242025!$D$2:$D$1315,TotalTeamGames20242025!E$1,DataRegularSeason20242025!$E$2:$E$1315,TotalTeamGames20242025!$A11)</f>
        <v>2</v>
      </c>
      <c r="F12" s="39"/>
      <c r="G12" s="31">
        <f>COUNTIFS(DataRegularSeason20242025!$D$2:$D$1315,TotalTeamGames20242025!G$1,DataRegularSeason20242025!$E$2:$E$1315,TotalTeamGames20242025!$A11)</f>
        <v>1</v>
      </c>
      <c r="H12" s="39"/>
      <c r="I12" s="31">
        <f>COUNTIFS(DataRegularSeason20242025!$D$2:$D$1315,TotalTeamGames20242025!I$1,DataRegularSeason20242025!$E$2:$E$1315,TotalTeamGames20242025!$A11)</f>
        <v>2</v>
      </c>
      <c r="J12" s="39"/>
      <c r="K12" s="38"/>
      <c r="L12" s="39"/>
      <c r="M12" s="31">
        <f>COUNTIFS(DataRegularSeason20242025!$D$2:$D$1315,TotalTeamGames20242025!M$1,DataRegularSeason20242025!$E$2:$E$1315,TotalTeamGames20242025!$A11)</f>
        <v>1</v>
      </c>
      <c r="N12" s="39"/>
      <c r="O12" s="31">
        <f>COUNTIFS(DataRegularSeason20242025!$D$2:$D$1315,TotalTeamGames20242025!O$1,DataRegularSeason20242025!$E$2:$E$1315,TotalTeamGames20242025!$A11)</f>
        <v>1</v>
      </c>
      <c r="P12" s="39"/>
      <c r="Q12" s="31">
        <f>COUNTIFS(DataRegularSeason20242025!$D$2:$D$1315,TotalTeamGames20242025!Q$1,DataRegularSeason20242025!$E$2:$E$1315,TotalTeamGames20242025!$A11)</f>
        <v>1</v>
      </c>
      <c r="R12" s="39"/>
      <c r="S12" s="31">
        <f>COUNTIFS(DataRegularSeason20242025!$D$2:$D$1315,TotalTeamGames20242025!S$1,DataRegularSeason20242025!$E$2:$E$1315,TotalTeamGames20242025!$A11)</f>
        <v>1</v>
      </c>
      <c r="T12" s="39"/>
      <c r="U12" s="31">
        <f>COUNTIFS(DataRegularSeason20242025!$D$2:$D$1315,TotalTeamGames20242025!U$1,DataRegularSeason20242025!$E$2:$E$1315,TotalTeamGames20242025!$A11)</f>
        <v>1</v>
      </c>
      <c r="V12" s="39"/>
      <c r="W12" s="31">
        <f>COUNTIFS(DataRegularSeason20242025!$D$2:$D$1315,TotalTeamGames20242025!W$1,DataRegularSeason20242025!$E$2:$E$1315,TotalTeamGames20242025!$A11)</f>
        <v>1</v>
      </c>
      <c r="X12" s="39"/>
      <c r="Y12" s="31">
        <f>COUNTIFS(DataRegularSeason20242025!$D$2:$D$1315,TotalTeamGames20242025!Y$1,DataRegularSeason20242025!$E$2:$E$1315,TotalTeamGames20242025!$A11)</f>
        <v>1</v>
      </c>
      <c r="Z12" s="39"/>
      <c r="AA12" s="31">
        <f>COUNTIFS(DataRegularSeason20242025!$D$2:$D$1315,TotalTeamGames20242025!AA$1,DataRegularSeason20242025!$E$2:$E$1315,TotalTeamGames20242025!$A11)</f>
        <v>1</v>
      </c>
      <c r="AB12" s="39"/>
      <c r="AC12" s="31">
        <f>COUNTIFS(DataRegularSeason20242025!$D$2:$D$1315,TotalTeamGames20242025!AC$1,DataRegularSeason20242025!$E$2:$E$1315,TotalTeamGames20242025!$A11)</f>
        <v>1</v>
      </c>
      <c r="AD12" s="39"/>
      <c r="AE12" s="31">
        <f>COUNTIFS(DataRegularSeason20242025!$D$2:$D$1315,TotalTeamGames20242025!AE$1,DataRegularSeason20242025!$E$2:$E$1315,TotalTeamGames20242025!$A11)</f>
        <v>1</v>
      </c>
      <c r="AF12" s="39"/>
      <c r="AG12" s="31">
        <f>COUNTIFS(DataRegularSeason20242025!$D$2:$D$1315,TotalTeamGames20242025!AG$1,DataRegularSeason20242025!$E$2:$E$1315,TotalTeamGames20242025!$A11)</f>
        <v>2</v>
      </c>
      <c r="AH12" s="39"/>
      <c r="AI12" s="31">
        <f>COUNTIFS(DataRegularSeason20242025!$D$2:$D$1315,TotalTeamGames20242025!AI$1,DataRegularSeason20242025!$E$2:$E$1315,TotalTeamGames20242025!$A11)</f>
        <v>1</v>
      </c>
      <c r="AJ12" s="39"/>
      <c r="AK12" s="31">
        <f>COUNTIFS(DataRegularSeason20242025!$D$2:$D$1315,TotalTeamGames20242025!AK$1,DataRegularSeason20242025!$E$2:$E$1315,TotalTeamGames20242025!$A11)</f>
        <v>2</v>
      </c>
      <c r="AL12" s="39"/>
      <c r="AM12" s="31">
        <f>COUNTIFS(DataRegularSeason20242025!$D$2:$D$1315,TotalTeamGames20242025!AM$1,DataRegularSeason20242025!$E$2:$E$1315,TotalTeamGames20242025!$A11)</f>
        <v>2</v>
      </c>
      <c r="AN12" s="39"/>
      <c r="AO12" s="31">
        <f>COUNTIFS(DataRegularSeason20242025!$D$2:$D$1315,TotalTeamGames20242025!AO$1,DataRegularSeason20242025!$E$2:$E$1315,TotalTeamGames20242025!$A11)</f>
        <v>2</v>
      </c>
      <c r="AP12" s="39"/>
      <c r="AQ12" s="31">
        <f>COUNTIFS(DataRegularSeason20242025!$D$2:$D$1315,TotalTeamGames20242025!AQ$1,DataRegularSeason20242025!$E$2:$E$1315,TotalTeamGames20242025!$A11)</f>
        <v>1</v>
      </c>
      <c r="AR12" s="39"/>
      <c r="AS12" s="31">
        <f>COUNTIFS(DataRegularSeason20242025!$D$2:$D$1315,TotalTeamGames20242025!AS$1,DataRegularSeason20242025!$E$2:$E$1315,TotalTeamGames20242025!$A11)</f>
        <v>2</v>
      </c>
      <c r="AT12" s="39"/>
      <c r="AU12" s="31">
        <f>COUNTIFS(DataRegularSeason20242025!$D$2:$D$1315,TotalTeamGames20242025!AU$1,DataRegularSeason20242025!$E$2:$E$1315,TotalTeamGames20242025!$A11)</f>
        <v>1</v>
      </c>
      <c r="AV12" s="39"/>
      <c r="AW12" s="31">
        <f>COUNTIFS(DataRegularSeason20242025!$D$2:$D$1315,TotalTeamGames20242025!AW$1,DataRegularSeason20242025!$E$2:$E$1315,TotalTeamGames20242025!$A11)</f>
        <v>1</v>
      </c>
      <c r="AX12" s="39"/>
      <c r="AY12" s="31">
        <f>COUNTIFS(DataRegularSeason20242025!$D$2:$D$1315,TotalTeamGames20242025!AY$1,DataRegularSeason20242025!$E$2:$E$1315,TotalTeamGames20242025!$A11)</f>
        <v>1</v>
      </c>
      <c r="AZ12" s="39"/>
      <c r="BA12" s="31">
        <f>COUNTIFS(DataRegularSeason20242025!$D$2:$D$1315,TotalTeamGames20242025!BA$1,DataRegularSeason20242025!$E$2:$E$1315,TotalTeamGames20242025!$A11)</f>
        <v>2</v>
      </c>
      <c r="BB12" s="39"/>
      <c r="BC12" s="31">
        <f>COUNTIFS(DataRegularSeason20242025!$D$2:$D$1315,TotalTeamGames20242025!BC$1,DataRegularSeason20242025!$E$2:$E$1315,TotalTeamGames20242025!$A11)</f>
        <v>2</v>
      </c>
      <c r="BD12" s="39"/>
      <c r="BE12" s="31">
        <f>COUNTIFS(DataRegularSeason20242025!$D$2:$D$1315,TotalTeamGames20242025!BE$1,DataRegularSeason20242025!$E$2:$E$1315,TotalTeamGames20242025!$A11)</f>
        <v>1</v>
      </c>
      <c r="BF12" s="38"/>
      <c r="BG12" s="33">
        <f>COUNTIFS(DataRegularSeason20242025!$D$2:$D$1315,TotalTeamGames20242025!BG$1,DataRegularSeason20242025!$E$2:$E$1315,TotalTeamGames20242025!$A11)</f>
        <v>1</v>
      </c>
      <c r="BH12" s="39"/>
      <c r="BI12" s="31">
        <f>COUNTIFS(DataRegularSeason20242025!$D$2:$D$1315,TotalTeamGames20242025!BI$1,DataRegularSeason20242025!$E$2:$E$1315,TotalTeamGames20242025!$A11)</f>
        <v>1</v>
      </c>
      <c r="BJ12" s="39"/>
      <c r="BK12" s="31">
        <f>COUNTIFS(DataRegularSeason20242025!$D$2:$D$1315,TotalTeamGames20242025!BK$1,DataRegularSeason20242025!$E$2:$E$1315,TotalTeamGames20242025!$A11)</f>
        <v>1</v>
      </c>
      <c r="BL12" s="39"/>
      <c r="BM12" s="31">
        <f>COUNTIFS(DataRegularSeason20242025!$D$2:$D$1315,TotalTeamGames20242025!BM$1,DataRegularSeason20242025!$E$2:$E$1315,TotalTeamGames20242025!$A11)</f>
        <v>2</v>
      </c>
      <c r="BN12" s="39"/>
      <c r="BO12" s="34">
        <f t="shared" si="0"/>
        <v>41</v>
      </c>
      <c r="BP12" s="165"/>
    </row>
    <row r="13" spans="1:68" ht="9.9499999999999993" customHeight="1" x14ac:dyDescent="0.25">
      <c r="A13" s="166" t="s">
        <v>23</v>
      </c>
      <c r="B13" s="28" t="s">
        <v>74</v>
      </c>
      <c r="C13" s="35"/>
      <c r="D13" s="28">
        <f>COUNTIFS(DataRegularSeason20242025!$E$2:$E$1315,TotalTeamGames20242025!C$1,DataRegularSeason20242025!$D$2:$D$1315,TotalTeamGames20242025!$A13)</f>
        <v>2</v>
      </c>
      <c r="E13" s="35"/>
      <c r="F13" s="28">
        <f>COUNTIFS(DataRegularSeason20242025!$E$2:$E$1315,TotalTeamGames20242025!E$1,DataRegularSeason20242025!$D$2:$D$1315,TotalTeamGames20242025!$A13)</f>
        <v>1</v>
      </c>
      <c r="G13" s="35"/>
      <c r="H13" s="28">
        <f>COUNTIFS(DataRegularSeason20242025!$E$2:$E$1315,TotalTeamGames20242025!G$1,DataRegularSeason20242025!$D$2:$D$1315,TotalTeamGames20242025!$A13)</f>
        <v>1</v>
      </c>
      <c r="I13" s="35"/>
      <c r="J13" s="28">
        <f>COUNTIFS(DataRegularSeason20242025!$E$2:$E$1315,TotalTeamGames20242025!I$1,DataRegularSeason20242025!$D$2:$D$1315,TotalTeamGames20242025!$A13)</f>
        <v>1</v>
      </c>
      <c r="K13" s="35"/>
      <c r="L13" s="28">
        <f>COUNTIFS(DataRegularSeason20242025!$E$2:$E$1315,TotalTeamGames20242025!K$1,DataRegularSeason20242025!$D$2:$D$1315,TotalTeamGames20242025!$A13)</f>
        <v>1</v>
      </c>
      <c r="M13" s="35"/>
      <c r="N13" s="36"/>
      <c r="O13" s="35"/>
      <c r="P13" s="28">
        <f>COUNTIFS(DataRegularSeason20242025!$E$2:$E$1315,TotalTeamGames20242025!O$1,DataRegularSeason20242025!$D$2:$D$1315,TotalTeamGames20242025!$A13)</f>
        <v>2</v>
      </c>
      <c r="Q13" s="35"/>
      <c r="R13" s="28">
        <f>COUNTIFS(DataRegularSeason20242025!$E$2:$E$1315,TotalTeamGames20242025!Q$1,DataRegularSeason20242025!$D$2:$D$1315,TotalTeamGames20242025!$A13)</f>
        <v>2</v>
      </c>
      <c r="S13" s="35"/>
      <c r="T13" s="28">
        <f>COUNTIFS(DataRegularSeason20242025!$E$2:$E$1315,TotalTeamGames20242025!S$1,DataRegularSeason20242025!$D$2:$D$1315,TotalTeamGames20242025!$A13)</f>
        <v>1</v>
      </c>
      <c r="U13" s="35"/>
      <c r="V13" s="28">
        <f>COUNTIFS(DataRegularSeason20242025!$E$2:$E$1315,TotalTeamGames20242025!U$1,DataRegularSeason20242025!$D$2:$D$1315,TotalTeamGames20242025!$A13)</f>
        <v>1</v>
      </c>
      <c r="W13" s="35"/>
      <c r="X13" s="28">
        <f>COUNTIFS(DataRegularSeason20242025!$E$2:$E$1315,TotalTeamGames20242025!W$1,DataRegularSeason20242025!$D$2:$D$1315,TotalTeamGames20242025!$A13)</f>
        <v>2</v>
      </c>
      <c r="Y13" s="35"/>
      <c r="Z13" s="28">
        <f>COUNTIFS(DataRegularSeason20242025!$E$2:$E$1315,TotalTeamGames20242025!Y$1,DataRegularSeason20242025!$D$2:$D$1315,TotalTeamGames20242025!$A13)</f>
        <v>1</v>
      </c>
      <c r="AA13" s="35"/>
      <c r="AB13" s="28">
        <f>COUNTIFS(DataRegularSeason20242025!$E$2:$E$1315,TotalTeamGames20242025!AA$1,DataRegularSeason20242025!$D$2:$D$1315,TotalTeamGames20242025!$A13)</f>
        <v>2</v>
      </c>
      <c r="AC13" s="35"/>
      <c r="AD13" s="28">
        <f>COUNTIFS(DataRegularSeason20242025!$E$2:$E$1315,TotalTeamGames20242025!AC$1,DataRegularSeason20242025!$D$2:$D$1315,TotalTeamGames20242025!$A13)</f>
        <v>2</v>
      </c>
      <c r="AE13" s="35"/>
      <c r="AF13" s="28">
        <f>COUNTIFS(DataRegularSeason20242025!$E$2:$E$1315,TotalTeamGames20242025!AE$1,DataRegularSeason20242025!$D$2:$D$1315,TotalTeamGames20242025!$A13)</f>
        <v>1</v>
      </c>
      <c r="AG13" s="35"/>
      <c r="AH13" s="28">
        <f>COUNTIFS(DataRegularSeason20242025!$E$2:$E$1315,TotalTeamGames20242025!AG$1,DataRegularSeason20242025!$D$2:$D$1315,TotalTeamGames20242025!$A13)</f>
        <v>1</v>
      </c>
      <c r="AI13" s="35"/>
      <c r="AJ13" s="28">
        <f>COUNTIFS(DataRegularSeason20242025!$E$2:$E$1315,TotalTeamGames20242025!AI$1,DataRegularSeason20242025!$D$2:$D$1315,TotalTeamGames20242025!$A13)</f>
        <v>2</v>
      </c>
      <c r="AK13" s="35"/>
      <c r="AL13" s="28">
        <f>COUNTIFS(DataRegularSeason20242025!$E$2:$E$1315,TotalTeamGames20242025!AK$1,DataRegularSeason20242025!$D$2:$D$1315,TotalTeamGames20242025!$A13)</f>
        <v>1</v>
      </c>
      <c r="AM13" s="35"/>
      <c r="AN13" s="28">
        <f>COUNTIFS(DataRegularSeason20242025!$E$2:$E$1315,TotalTeamGames20242025!AM$1,DataRegularSeason20242025!$D$2:$D$1315,TotalTeamGames20242025!$A13)</f>
        <v>1</v>
      </c>
      <c r="AO13" s="35"/>
      <c r="AP13" s="28">
        <f>COUNTIFS(DataRegularSeason20242025!$E$2:$E$1315,TotalTeamGames20242025!AO$1,DataRegularSeason20242025!$D$2:$D$1315,TotalTeamGames20242025!$A13)</f>
        <v>1</v>
      </c>
      <c r="AQ13" s="35"/>
      <c r="AR13" s="28">
        <f>COUNTIFS(DataRegularSeason20242025!$E$2:$E$1315,TotalTeamGames20242025!AQ$1,DataRegularSeason20242025!$D$2:$D$1315,TotalTeamGames20242025!$A13)</f>
        <v>1</v>
      </c>
      <c r="AS13" s="35"/>
      <c r="AT13" s="28">
        <f>COUNTIFS(DataRegularSeason20242025!$E$2:$E$1315,TotalTeamGames20242025!AS$1,DataRegularSeason20242025!$D$2:$D$1315,TotalTeamGames20242025!$A13)</f>
        <v>1</v>
      </c>
      <c r="AU13" s="35"/>
      <c r="AV13" s="28">
        <f>COUNTIFS(DataRegularSeason20242025!$E$2:$E$1315,TotalTeamGames20242025!AU$1,DataRegularSeason20242025!$D$2:$D$1315,TotalTeamGames20242025!$A13)</f>
        <v>1</v>
      </c>
      <c r="AW13" s="35"/>
      <c r="AX13" s="28">
        <f>COUNTIFS(DataRegularSeason20242025!$E$2:$E$1315,TotalTeamGames20242025!AW$1,DataRegularSeason20242025!$D$2:$D$1315,TotalTeamGames20242025!$A13)</f>
        <v>2</v>
      </c>
      <c r="AY13" s="35"/>
      <c r="AZ13" s="28">
        <f>COUNTIFS(DataRegularSeason20242025!$E$2:$E$1315,TotalTeamGames20242025!AY$1,DataRegularSeason20242025!$D$2:$D$1315,TotalTeamGames20242025!$A13)</f>
        <v>1</v>
      </c>
      <c r="BA13" s="35"/>
      <c r="BB13" s="28">
        <f>COUNTIFS(DataRegularSeason20242025!$E$2:$E$1315,TotalTeamGames20242025!BA$1,DataRegularSeason20242025!$D$2:$D$1315,TotalTeamGames20242025!$A13)</f>
        <v>1</v>
      </c>
      <c r="BC13" s="35"/>
      <c r="BD13" s="28">
        <f>COUNTIFS(DataRegularSeason20242025!$E$2:$E$1315,TotalTeamGames20242025!BC$1,DataRegularSeason20242025!$D$2:$D$1315,TotalTeamGames20242025!$A13)</f>
        <v>1</v>
      </c>
      <c r="BE13" s="35"/>
      <c r="BF13" s="27">
        <f>COUNTIFS(DataRegularSeason20242025!$E$2:$E$1315,TotalTeamGames20242025!BE$1,DataRegularSeason20242025!$D$2:$D$1315,TotalTeamGames20242025!$A13)</f>
        <v>1</v>
      </c>
      <c r="BG13" s="40"/>
      <c r="BH13" s="28">
        <f>COUNTIFS(DataRegularSeason20242025!$E$2:$E$1315,TotalTeamGames20242025!BG$1,DataRegularSeason20242025!$D$2:$D$1315,TotalTeamGames20242025!$A13)</f>
        <v>2</v>
      </c>
      <c r="BI13" s="35"/>
      <c r="BJ13" s="28">
        <f>COUNTIFS(DataRegularSeason20242025!$E$2:$E$1315,TotalTeamGames20242025!BI$1,DataRegularSeason20242025!$D$2:$D$1315,TotalTeamGames20242025!$A13)</f>
        <v>2</v>
      </c>
      <c r="BK13" s="35"/>
      <c r="BL13" s="28">
        <f>COUNTIFS(DataRegularSeason20242025!$E$2:$E$1315,TotalTeamGames20242025!BK$1,DataRegularSeason20242025!$D$2:$D$1315,TotalTeamGames20242025!$A13)</f>
        <v>1</v>
      </c>
      <c r="BM13" s="35"/>
      <c r="BN13" s="28">
        <f>COUNTIFS(DataRegularSeason20242025!$E$2:$E$1315,TotalTeamGames20242025!BM$1,DataRegularSeason20242025!$D$2:$D$1315,TotalTeamGames20242025!$A13)</f>
        <v>1</v>
      </c>
      <c r="BO13" s="30">
        <f t="shared" si="0"/>
        <v>41</v>
      </c>
      <c r="BP13" s="165">
        <f t="shared" ref="BP13" si="5">BO13+BO14</f>
        <v>82</v>
      </c>
    </row>
    <row r="14" spans="1:68" ht="9.9499999999999993" customHeight="1" x14ac:dyDescent="0.25">
      <c r="A14" s="167"/>
      <c r="B14" s="32" t="s">
        <v>73</v>
      </c>
      <c r="C14" s="31">
        <f>COUNTIFS(DataRegularSeason20242025!$D$2:$D$1315,TotalTeamGames20242025!C$1,DataRegularSeason20242025!$E$2:$E$1315,TotalTeamGames20242025!$A13)</f>
        <v>2</v>
      </c>
      <c r="D14" s="39"/>
      <c r="E14" s="31">
        <f>COUNTIFS(DataRegularSeason20242025!$D$2:$D$1315,TotalTeamGames20242025!E$1,DataRegularSeason20242025!$E$2:$E$1315,TotalTeamGames20242025!$A13)</f>
        <v>1</v>
      </c>
      <c r="F14" s="39"/>
      <c r="G14" s="31">
        <f>COUNTIFS(DataRegularSeason20242025!$D$2:$D$1315,TotalTeamGames20242025!G$1,DataRegularSeason20242025!$E$2:$E$1315,TotalTeamGames20242025!$A13)</f>
        <v>1</v>
      </c>
      <c r="H14" s="39"/>
      <c r="I14" s="31">
        <f>COUNTIFS(DataRegularSeason20242025!$D$2:$D$1315,TotalTeamGames20242025!I$1,DataRegularSeason20242025!$E$2:$E$1315,TotalTeamGames20242025!$A13)</f>
        <v>1</v>
      </c>
      <c r="J14" s="39"/>
      <c r="K14" s="31">
        <f>COUNTIFS(DataRegularSeason20242025!$D$2:$D$1315,TotalTeamGames20242025!K$1,DataRegularSeason20242025!$E$2:$E$1315,TotalTeamGames20242025!$A13)</f>
        <v>1</v>
      </c>
      <c r="L14" s="39"/>
      <c r="M14" s="38"/>
      <c r="N14" s="39"/>
      <c r="O14" s="31">
        <f>COUNTIFS(DataRegularSeason20242025!$D$2:$D$1315,TotalTeamGames20242025!O$1,DataRegularSeason20242025!$E$2:$E$1315,TotalTeamGames20242025!$A13)</f>
        <v>1</v>
      </c>
      <c r="P14" s="39"/>
      <c r="Q14" s="31">
        <f>COUNTIFS(DataRegularSeason20242025!$D$2:$D$1315,TotalTeamGames20242025!Q$1,DataRegularSeason20242025!$E$2:$E$1315,TotalTeamGames20242025!$A13)</f>
        <v>1</v>
      </c>
      <c r="R14" s="39"/>
      <c r="S14" s="31">
        <f>COUNTIFS(DataRegularSeason20242025!$D$2:$D$1315,TotalTeamGames20242025!S$1,DataRegularSeason20242025!$E$2:$E$1315,TotalTeamGames20242025!$A13)</f>
        <v>2</v>
      </c>
      <c r="T14" s="39"/>
      <c r="U14" s="31">
        <f>COUNTIFS(DataRegularSeason20242025!$D$2:$D$1315,TotalTeamGames20242025!U$1,DataRegularSeason20242025!$E$2:$E$1315,TotalTeamGames20242025!$A13)</f>
        <v>1</v>
      </c>
      <c r="V14" s="39"/>
      <c r="W14" s="31">
        <f>COUNTIFS(DataRegularSeason20242025!$D$2:$D$1315,TotalTeamGames20242025!W$1,DataRegularSeason20242025!$E$2:$E$1315,TotalTeamGames20242025!$A13)</f>
        <v>2</v>
      </c>
      <c r="X14" s="39"/>
      <c r="Y14" s="31">
        <f>COUNTIFS(DataRegularSeason20242025!$D$2:$D$1315,TotalTeamGames20242025!Y$1,DataRegularSeason20242025!$E$2:$E$1315,TotalTeamGames20242025!$A13)</f>
        <v>1</v>
      </c>
      <c r="Z14" s="39"/>
      <c r="AA14" s="31">
        <f>COUNTIFS(DataRegularSeason20242025!$D$2:$D$1315,TotalTeamGames20242025!AA$1,DataRegularSeason20242025!$E$2:$E$1315,TotalTeamGames20242025!$A13)</f>
        <v>2</v>
      </c>
      <c r="AB14" s="39"/>
      <c r="AC14" s="31">
        <f>COUNTIFS(DataRegularSeason20242025!$D$2:$D$1315,TotalTeamGames20242025!AC$1,DataRegularSeason20242025!$E$2:$E$1315,TotalTeamGames20242025!$A13)</f>
        <v>1</v>
      </c>
      <c r="AD14" s="39"/>
      <c r="AE14" s="31">
        <f>COUNTIFS(DataRegularSeason20242025!$D$2:$D$1315,TotalTeamGames20242025!AE$1,DataRegularSeason20242025!$E$2:$E$1315,TotalTeamGames20242025!$A13)</f>
        <v>1</v>
      </c>
      <c r="AF14" s="39"/>
      <c r="AG14" s="31">
        <f>COUNTIFS(DataRegularSeason20242025!$D$2:$D$1315,TotalTeamGames20242025!AG$1,DataRegularSeason20242025!$E$2:$E$1315,TotalTeamGames20242025!$A13)</f>
        <v>1</v>
      </c>
      <c r="AH14" s="39"/>
      <c r="AI14" s="31">
        <f>COUNTIFS(DataRegularSeason20242025!$D$2:$D$1315,TotalTeamGames20242025!AI$1,DataRegularSeason20242025!$E$2:$E$1315,TotalTeamGames20242025!$A13)</f>
        <v>1</v>
      </c>
      <c r="AJ14" s="39"/>
      <c r="AK14" s="31">
        <f>COUNTIFS(DataRegularSeason20242025!$D$2:$D$1315,TotalTeamGames20242025!AK$1,DataRegularSeason20242025!$E$2:$E$1315,TotalTeamGames20242025!$A13)</f>
        <v>1</v>
      </c>
      <c r="AL14" s="39"/>
      <c r="AM14" s="31">
        <f>COUNTIFS(DataRegularSeason20242025!$D$2:$D$1315,TotalTeamGames20242025!AM$1,DataRegularSeason20242025!$E$2:$E$1315,TotalTeamGames20242025!$A13)</f>
        <v>1</v>
      </c>
      <c r="AN14" s="39"/>
      <c r="AO14" s="31">
        <f>COUNTIFS(DataRegularSeason20242025!$D$2:$D$1315,TotalTeamGames20242025!AO$1,DataRegularSeason20242025!$E$2:$E$1315,TotalTeamGames20242025!$A13)</f>
        <v>1</v>
      </c>
      <c r="AP14" s="39"/>
      <c r="AQ14" s="31">
        <f>COUNTIFS(DataRegularSeason20242025!$D$2:$D$1315,TotalTeamGames20242025!AQ$1,DataRegularSeason20242025!$E$2:$E$1315,TotalTeamGames20242025!$A13)</f>
        <v>1</v>
      </c>
      <c r="AR14" s="39"/>
      <c r="AS14" s="31">
        <f>COUNTIFS(DataRegularSeason20242025!$D$2:$D$1315,TotalTeamGames20242025!AS$1,DataRegularSeason20242025!$E$2:$E$1315,TotalTeamGames20242025!$A13)</f>
        <v>1</v>
      </c>
      <c r="AT14" s="39"/>
      <c r="AU14" s="31">
        <f>COUNTIFS(DataRegularSeason20242025!$D$2:$D$1315,TotalTeamGames20242025!AU$1,DataRegularSeason20242025!$E$2:$E$1315,TotalTeamGames20242025!$A13)</f>
        <v>2</v>
      </c>
      <c r="AV14" s="39"/>
      <c r="AW14" s="31">
        <f>COUNTIFS(DataRegularSeason20242025!$D$2:$D$1315,TotalTeamGames20242025!AW$1,DataRegularSeason20242025!$E$2:$E$1315,TotalTeamGames20242025!$A13)</f>
        <v>2</v>
      </c>
      <c r="AX14" s="39"/>
      <c r="AY14" s="31">
        <f>COUNTIFS(DataRegularSeason20242025!$D$2:$D$1315,TotalTeamGames20242025!AY$1,DataRegularSeason20242025!$E$2:$E$1315,TotalTeamGames20242025!$A13)</f>
        <v>2</v>
      </c>
      <c r="AZ14" s="39"/>
      <c r="BA14" s="31">
        <f>COUNTIFS(DataRegularSeason20242025!$D$2:$D$1315,TotalTeamGames20242025!BA$1,DataRegularSeason20242025!$E$2:$E$1315,TotalTeamGames20242025!$A13)</f>
        <v>1</v>
      </c>
      <c r="BB14" s="39"/>
      <c r="BC14" s="31">
        <f>COUNTIFS(DataRegularSeason20242025!$D$2:$D$1315,TotalTeamGames20242025!BC$1,DataRegularSeason20242025!$E$2:$E$1315,TotalTeamGames20242025!$A13)</f>
        <v>1</v>
      </c>
      <c r="BD14" s="39"/>
      <c r="BE14" s="31">
        <f>COUNTIFS(DataRegularSeason20242025!$D$2:$D$1315,TotalTeamGames20242025!BE$1,DataRegularSeason20242025!$E$2:$E$1315,TotalTeamGames20242025!$A13)</f>
        <v>2</v>
      </c>
      <c r="BF14" s="38"/>
      <c r="BG14" s="33">
        <f>COUNTIFS(DataRegularSeason20242025!$D$2:$D$1315,TotalTeamGames20242025!BG$1,DataRegularSeason20242025!$E$2:$E$1315,TotalTeamGames20242025!$A13)</f>
        <v>1</v>
      </c>
      <c r="BH14" s="39"/>
      <c r="BI14" s="31">
        <f>COUNTIFS(DataRegularSeason20242025!$D$2:$D$1315,TotalTeamGames20242025!BI$1,DataRegularSeason20242025!$E$2:$E$1315,TotalTeamGames20242025!$A13)</f>
        <v>2</v>
      </c>
      <c r="BJ14" s="39"/>
      <c r="BK14" s="31">
        <f>COUNTIFS(DataRegularSeason20242025!$D$2:$D$1315,TotalTeamGames20242025!BK$1,DataRegularSeason20242025!$E$2:$E$1315,TotalTeamGames20242025!$A13)</f>
        <v>2</v>
      </c>
      <c r="BL14" s="39"/>
      <c r="BM14" s="31">
        <f>COUNTIFS(DataRegularSeason20242025!$D$2:$D$1315,TotalTeamGames20242025!BM$1,DataRegularSeason20242025!$E$2:$E$1315,TotalTeamGames20242025!$A13)</f>
        <v>1</v>
      </c>
      <c r="BN14" s="39"/>
      <c r="BO14" s="34">
        <f t="shared" si="0"/>
        <v>41</v>
      </c>
      <c r="BP14" s="165"/>
    </row>
    <row r="15" spans="1:68" ht="9.9499999999999993" customHeight="1" x14ac:dyDescent="0.25">
      <c r="A15" s="166" t="s">
        <v>16</v>
      </c>
      <c r="B15" s="28" t="s">
        <v>74</v>
      </c>
      <c r="C15" s="35"/>
      <c r="D15" s="28">
        <f>COUNTIFS(DataRegularSeason20242025!$E$2:$E$1315,TotalTeamGames20242025!C$1,DataRegularSeason20242025!$D$2:$D$1315,TotalTeamGames20242025!$A15)</f>
        <v>1</v>
      </c>
      <c r="E15" s="35"/>
      <c r="F15" s="28">
        <f>COUNTIFS(DataRegularSeason20242025!$E$2:$E$1315,TotalTeamGames20242025!E$1,DataRegularSeason20242025!$D$2:$D$1315,TotalTeamGames20242025!$A15)</f>
        <v>1</v>
      </c>
      <c r="G15" s="35"/>
      <c r="H15" s="28">
        <f>COUNTIFS(DataRegularSeason20242025!$E$2:$E$1315,TotalTeamGames20242025!G$1,DataRegularSeason20242025!$D$2:$D$1315,TotalTeamGames20242025!$A15)</f>
        <v>1</v>
      </c>
      <c r="I15" s="35"/>
      <c r="J15" s="28">
        <f>COUNTIFS(DataRegularSeason20242025!$E$2:$E$1315,TotalTeamGames20242025!I$1,DataRegularSeason20242025!$D$2:$D$1315,TotalTeamGames20242025!$A15)</f>
        <v>1</v>
      </c>
      <c r="K15" s="35"/>
      <c r="L15" s="28">
        <f>COUNTIFS(DataRegularSeason20242025!$E$2:$E$1315,TotalTeamGames20242025!K$1,DataRegularSeason20242025!$D$2:$D$1315,TotalTeamGames20242025!$A15)</f>
        <v>1</v>
      </c>
      <c r="M15" s="35"/>
      <c r="N15" s="28">
        <f>COUNTIFS(DataRegularSeason20242025!$E$2:$E$1315,TotalTeamGames20242025!M$1,DataRegularSeason20242025!$D$2:$D$1315,TotalTeamGames20242025!$A15)</f>
        <v>1</v>
      </c>
      <c r="O15" s="35"/>
      <c r="P15" s="36"/>
      <c r="Q15" s="35"/>
      <c r="R15" s="28">
        <f>COUNTIFS(DataRegularSeason20242025!$E$2:$E$1315,TotalTeamGames20242025!Q$1,DataRegularSeason20242025!$D$2:$D$1315,TotalTeamGames20242025!$A15)</f>
        <v>1</v>
      </c>
      <c r="S15" s="35"/>
      <c r="T15" s="28">
        <f>COUNTIFS(DataRegularSeason20242025!$E$2:$E$1315,TotalTeamGames20242025!S$1,DataRegularSeason20242025!$D$2:$D$1315,TotalTeamGames20242025!$A15)</f>
        <v>2</v>
      </c>
      <c r="U15" s="35"/>
      <c r="V15" s="28">
        <f>COUNTIFS(DataRegularSeason20242025!$E$2:$E$1315,TotalTeamGames20242025!U$1,DataRegularSeason20242025!$D$2:$D$1315,TotalTeamGames20242025!$A15)</f>
        <v>1</v>
      </c>
      <c r="W15" s="35"/>
      <c r="X15" s="28">
        <f>COUNTIFS(DataRegularSeason20242025!$E$2:$E$1315,TotalTeamGames20242025!W$1,DataRegularSeason20242025!$D$2:$D$1315,TotalTeamGames20242025!$A15)</f>
        <v>2</v>
      </c>
      <c r="Y15" s="35"/>
      <c r="Z15" s="28">
        <f>COUNTIFS(DataRegularSeason20242025!$E$2:$E$1315,TotalTeamGames20242025!Y$1,DataRegularSeason20242025!$D$2:$D$1315,TotalTeamGames20242025!$A15)</f>
        <v>1</v>
      </c>
      <c r="AA15" s="35"/>
      <c r="AB15" s="28">
        <f>COUNTIFS(DataRegularSeason20242025!$E$2:$E$1315,TotalTeamGames20242025!AA$1,DataRegularSeason20242025!$D$2:$D$1315,TotalTeamGames20242025!$A15)</f>
        <v>2</v>
      </c>
      <c r="AC15" s="35"/>
      <c r="AD15" s="28">
        <f>COUNTIFS(DataRegularSeason20242025!$E$2:$E$1315,TotalTeamGames20242025!AC$1,DataRegularSeason20242025!$D$2:$D$1315,TotalTeamGames20242025!$A15)</f>
        <v>2</v>
      </c>
      <c r="AE15" s="35"/>
      <c r="AF15" s="28">
        <f>COUNTIFS(DataRegularSeason20242025!$E$2:$E$1315,TotalTeamGames20242025!AE$1,DataRegularSeason20242025!$D$2:$D$1315,TotalTeamGames20242025!$A15)</f>
        <v>1</v>
      </c>
      <c r="AG15" s="35"/>
      <c r="AH15" s="28">
        <f>COUNTIFS(DataRegularSeason20242025!$E$2:$E$1315,TotalTeamGames20242025!AG$1,DataRegularSeason20242025!$D$2:$D$1315,TotalTeamGames20242025!$A15)</f>
        <v>1</v>
      </c>
      <c r="AI15" s="35"/>
      <c r="AJ15" s="28">
        <f>COUNTIFS(DataRegularSeason20242025!$E$2:$E$1315,TotalTeamGames20242025!AI$1,DataRegularSeason20242025!$D$2:$D$1315,TotalTeamGames20242025!$A15)</f>
        <v>2</v>
      </c>
      <c r="AK15" s="35"/>
      <c r="AL15" s="28">
        <f>COUNTIFS(DataRegularSeason20242025!$E$2:$E$1315,TotalTeamGames20242025!AK$1,DataRegularSeason20242025!$D$2:$D$1315,TotalTeamGames20242025!$A15)</f>
        <v>1</v>
      </c>
      <c r="AM15" s="35"/>
      <c r="AN15" s="28">
        <f>COUNTIFS(DataRegularSeason20242025!$E$2:$E$1315,TotalTeamGames20242025!AM$1,DataRegularSeason20242025!$D$2:$D$1315,TotalTeamGames20242025!$A15)</f>
        <v>1</v>
      </c>
      <c r="AO15" s="35"/>
      <c r="AP15" s="28">
        <f>COUNTIFS(DataRegularSeason20242025!$E$2:$E$1315,TotalTeamGames20242025!AO$1,DataRegularSeason20242025!$D$2:$D$1315,TotalTeamGames20242025!$A15)</f>
        <v>1</v>
      </c>
      <c r="AQ15" s="35"/>
      <c r="AR15" s="28">
        <f>COUNTIFS(DataRegularSeason20242025!$E$2:$E$1315,TotalTeamGames20242025!AQ$1,DataRegularSeason20242025!$D$2:$D$1315,TotalTeamGames20242025!$A15)</f>
        <v>1</v>
      </c>
      <c r="AS15" s="35"/>
      <c r="AT15" s="28">
        <f>COUNTIFS(DataRegularSeason20242025!$E$2:$E$1315,TotalTeamGames20242025!AS$1,DataRegularSeason20242025!$D$2:$D$1315,TotalTeamGames20242025!$A15)</f>
        <v>1</v>
      </c>
      <c r="AU15" s="35"/>
      <c r="AV15" s="28">
        <f>COUNTIFS(DataRegularSeason20242025!$E$2:$E$1315,TotalTeamGames20242025!AU$1,DataRegularSeason20242025!$D$2:$D$1315,TotalTeamGames20242025!$A15)</f>
        <v>2</v>
      </c>
      <c r="AW15" s="35"/>
      <c r="AX15" s="28">
        <f>COUNTIFS(DataRegularSeason20242025!$E$2:$E$1315,TotalTeamGames20242025!AW$1,DataRegularSeason20242025!$D$2:$D$1315,TotalTeamGames20242025!$A15)</f>
        <v>1</v>
      </c>
      <c r="AY15" s="35"/>
      <c r="AZ15" s="28">
        <f>COUNTIFS(DataRegularSeason20242025!$E$2:$E$1315,TotalTeamGames20242025!AY$1,DataRegularSeason20242025!$D$2:$D$1315,TotalTeamGames20242025!$A15)</f>
        <v>2</v>
      </c>
      <c r="BA15" s="35"/>
      <c r="BB15" s="28">
        <f>COUNTIFS(DataRegularSeason20242025!$E$2:$E$1315,TotalTeamGames20242025!BA$1,DataRegularSeason20242025!$D$2:$D$1315,TotalTeamGames20242025!$A15)</f>
        <v>1</v>
      </c>
      <c r="BC15" s="35"/>
      <c r="BD15" s="28">
        <f>COUNTIFS(DataRegularSeason20242025!$E$2:$E$1315,TotalTeamGames20242025!BC$1,DataRegularSeason20242025!$D$2:$D$1315,TotalTeamGames20242025!$A15)</f>
        <v>1</v>
      </c>
      <c r="BE15" s="35"/>
      <c r="BF15" s="27">
        <f>COUNTIFS(DataRegularSeason20242025!$E$2:$E$1315,TotalTeamGames20242025!BE$1,DataRegularSeason20242025!$D$2:$D$1315,TotalTeamGames20242025!$A15)</f>
        <v>2</v>
      </c>
      <c r="BG15" s="40"/>
      <c r="BH15" s="28">
        <f>COUNTIFS(DataRegularSeason20242025!$E$2:$E$1315,TotalTeamGames20242025!BG$1,DataRegularSeason20242025!$D$2:$D$1315,TotalTeamGames20242025!$A15)</f>
        <v>1</v>
      </c>
      <c r="BI15" s="35"/>
      <c r="BJ15" s="28">
        <f>COUNTIFS(DataRegularSeason20242025!$E$2:$E$1315,TotalTeamGames20242025!BI$1,DataRegularSeason20242025!$D$2:$D$1315,TotalTeamGames20242025!$A15)</f>
        <v>2</v>
      </c>
      <c r="BK15" s="35"/>
      <c r="BL15" s="28">
        <f>COUNTIFS(DataRegularSeason20242025!$E$2:$E$1315,TotalTeamGames20242025!BK$1,DataRegularSeason20242025!$D$2:$D$1315,TotalTeamGames20242025!$A15)</f>
        <v>2</v>
      </c>
      <c r="BM15" s="35"/>
      <c r="BN15" s="28">
        <f>COUNTIFS(DataRegularSeason20242025!$E$2:$E$1315,TotalTeamGames20242025!BM$1,DataRegularSeason20242025!$D$2:$D$1315,TotalTeamGames20242025!$A15)</f>
        <v>1</v>
      </c>
      <c r="BO15" s="30">
        <f t="shared" si="0"/>
        <v>41</v>
      </c>
      <c r="BP15" s="165">
        <f t="shared" ref="BP15" si="6">BO15+BO16</f>
        <v>82</v>
      </c>
    </row>
    <row r="16" spans="1:68" ht="9.9499999999999993" customHeight="1" x14ac:dyDescent="0.25">
      <c r="A16" s="167"/>
      <c r="B16" s="32" t="s">
        <v>73</v>
      </c>
      <c r="C16" s="31">
        <f>COUNTIFS(DataRegularSeason20242025!$D$2:$D$1315,TotalTeamGames20242025!C$1,DataRegularSeason20242025!$E$2:$E$1315,TotalTeamGames20242025!$A15)</f>
        <v>2</v>
      </c>
      <c r="D16" s="39"/>
      <c r="E16" s="31">
        <f>COUNTIFS(DataRegularSeason20242025!$D$2:$D$1315,TotalTeamGames20242025!E$1,DataRegularSeason20242025!$E$2:$E$1315,TotalTeamGames20242025!$A15)</f>
        <v>1</v>
      </c>
      <c r="F16" s="39"/>
      <c r="G16" s="31">
        <f>COUNTIFS(DataRegularSeason20242025!$D$2:$D$1315,TotalTeamGames20242025!G$1,DataRegularSeason20242025!$E$2:$E$1315,TotalTeamGames20242025!$A15)</f>
        <v>1</v>
      </c>
      <c r="H16" s="39"/>
      <c r="I16" s="31">
        <f>COUNTIFS(DataRegularSeason20242025!$D$2:$D$1315,TotalTeamGames20242025!I$1,DataRegularSeason20242025!$E$2:$E$1315,TotalTeamGames20242025!$A15)</f>
        <v>1</v>
      </c>
      <c r="J16" s="39"/>
      <c r="K16" s="31">
        <f>COUNTIFS(DataRegularSeason20242025!$D$2:$D$1315,TotalTeamGames20242025!K$1,DataRegularSeason20242025!$E$2:$E$1315,TotalTeamGames20242025!$A15)</f>
        <v>1</v>
      </c>
      <c r="L16" s="39"/>
      <c r="M16" s="31">
        <f>COUNTIFS(DataRegularSeason20242025!$D$2:$D$1315,TotalTeamGames20242025!M$1,DataRegularSeason20242025!$E$2:$E$1315,TotalTeamGames20242025!$A15)</f>
        <v>2</v>
      </c>
      <c r="N16" s="39"/>
      <c r="O16" s="38"/>
      <c r="P16" s="39"/>
      <c r="Q16" s="31">
        <f>COUNTIFS(DataRegularSeason20242025!$D$2:$D$1315,TotalTeamGames20242025!Q$1,DataRegularSeason20242025!$E$2:$E$1315,TotalTeamGames20242025!$A15)</f>
        <v>2</v>
      </c>
      <c r="R16" s="39"/>
      <c r="S16" s="31">
        <f>COUNTIFS(DataRegularSeason20242025!$D$2:$D$1315,TotalTeamGames20242025!S$1,DataRegularSeason20242025!$E$2:$E$1315,TotalTeamGames20242025!$A15)</f>
        <v>1</v>
      </c>
      <c r="T16" s="39"/>
      <c r="U16" s="31">
        <f>COUNTIFS(DataRegularSeason20242025!$D$2:$D$1315,TotalTeamGames20242025!U$1,DataRegularSeason20242025!$E$2:$E$1315,TotalTeamGames20242025!$A15)</f>
        <v>1</v>
      </c>
      <c r="V16" s="39"/>
      <c r="W16" s="31">
        <f>COUNTIFS(DataRegularSeason20242025!$D$2:$D$1315,TotalTeamGames20242025!W$1,DataRegularSeason20242025!$E$2:$E$1315,TotalTeamGames20242025!$A15)</f>
        <v>1</v>
      </c>
      <c r="X16" s="39"/>
      <c r="Y16" s="31">
        <f>COUNTIFS(DataRegularSeason20242025!$D$2:$D$1315,TotalTeamGames20242025!Y$1,DataRegularSeason20242025!$E$2:$E$1315,TotalTeamGames20242025!$A15)</f>
        <v>1</v>
      </c>
      <c r="Z16" s="39"/>
      <c r="AA16" s="31">
        <f>COUNTIFS(DataRegularSeason20242025!$D$2:$D$1315,TotalTeamGames20242025!AA$1,DataRegularSeason20242025!$E$2:$E$1315,TotalTeamGames20242025!$A15)</f>
        <v>1</v>
      </c>
      <c r="AB16" s="39"/>
      <c r="AC16" s="31">
        <f>COUNTIFS(DataRegularSeason20242025!$D$2:$D$1315,TotalTeamGames20242025!AC$1,DataRegularSeason20242025!$E$2:$E$1315,TotalTeamGames20242025!$A15)</f>
        <v>2</v>
      </c>
      <c r="AD16" s="39"/>
      <c r="AE16" s="31">
        <f>COUNTIFS(DataRegularSeason20242025!$D$2:$D$1315,TotalTeamGames20242025!AE$1,DataRegularSeason20242025!$E$2:$E$1315,TotalTeamGames20242025!$A15)</f>
        <v>1</v>
      </c>
      <c r="AF16" s="39"/>
      <c r="AG16" s="31">
        <f>COUNTIFS(DataRegularSeason20242025!$D$2:$D$1315,TotalTeamGames20242025!AG$1,DataRegularSeason20242025!$E$2:$E$1315,TotalTeamGames20242025!$A15)</f>
        <v>1</v>
      </c>
      <c r="AH16" s="39"/>
      <c r="AI16" s="31">
        <f>COUNTIFS(DataRegularSeason20242025!$D$2:$D$1315,TotalTeamGames20242025!AI$1,DataRegularSeason20242025!$E$2:$E$1315,TotalTeamGames20242025!$A15)</f>
        <v>2</v>
      </c>
      <c r="AJ16" s="39"/>
      <c r="AK16" s="31">
        <f>COUNTIFS(DataRegularSeason20242025!$D$2:$D$1315,TotalTeamGames20242025!AK$1,DataRegularSeason20242025!$E$2:$E$1315,TotalTeamGames20242025!$A15)</f>
        <v>1</v>
      </c>
      <c r="AL16" s="39"/>
      <c r="AM16" s="31">
        <f>COUNTIFS(DataRegularSeason20242025!$D$2:$D$1315,TotalTeamGames20242025!AM$1,DataRegularSeason20242025!$E$2:$E$1315,TotalTeamGames20242025!$A15)</f>
        <v>1</v>
      </c>
      <c r="AN16" s="39"/>
      <c r="AO16" s="31">
        <f>COUNTIFS(DataRegularSeason20242025!$D$2:$D$1315,TotalTeamGames20242025!AO$1,DataRegularSeason20242025!$E$2:$E$1315,TotalTeamGames20242025!$A15)</f>
        <v>1</v>
      </c>
      <c r="AP16" s="39"/>
      <c r="AQ16" s="31">
        <f>COUNTIFS(DataRegularSeason20242025!$D$2:$D$1315,TotalTeamGames20242025!AQ$1,DataRegularSeason20242025!$E$2:$E$1315,TotalTeamGames20242025!$A15)</f>
        <v>1</v>
      </c>
      <c r="AR16" s="39"/>
      <c r="AS16" s="31">
        <f>COUNTIFS(DataRegularSeason20242025!$D$2:$D$1315,TotalTeamGames20242025!AS$1,DataRegularSeason20242025!$E$2:$E$1315,TotalTeamGames20242025!$A15)</f>
        <v>1</v>
      </c>
      <c r="AT16" s="39"/>
      <c r="AU16" s="31">
        <f>COUNTIFS(DataRegularSeason20242025!$D$2:$D$1315,TotalTeamGames20242025!AU$1,DataRegularSeason20242025!$E$2:$E$1315,TotalTeamGames20242025!$A15)</f>
        <v>1</v>
      </c>
      <c r="AV16" s="39"/>
      <c r="AW16" s="31">
        <f>COUNTIFS(DataRegularSeason20242025!$D$2:$D$1315,TotalTeamGames20242025!AW$1,DataRegularSeason20242025!$E$2:$E$1315,TotalTeamGames20242025!$A15)</f>
        <v>2</v>
      </c>
      <c r="AX16" s="39"/>
      <c r="AY16" s="31">
        <f>COUNTIFS(DataRegularSeason20242025!$D$2:$D$1315,TotalTeamGames20242025!AY$1,DataRegularSeason20242025!$E$2:$E$1315,TotalTeamGames20242025!$A15)</f>
        <v>2</v>
      </c>
      <c r="AZ16" s="39"/>
      <c r="BA16" s="31">
        <f>COUNTIFS(DataRegularSeason20242025!$D$2:$D$1315,TotalTeamGames20242025!BA$1,DataRegularSeason20242025!$E$2:$E$1315,TotalTeamGames20242025!$A15)</f>
        <v>1</v>
      </c>
      <c r="BB16" s="39"/>
      <c r="BC16" s="31">
        <f>COUNTIFS(DataRegularSeason20242025!$D$2:$D$1315,TotalTeamGames20242025!BC$1,DataRegularSeason20242025!$E$2:$E$1315,TotalTeamGames20242025!$A15)</f>
        <v>1</v>
      </c>
      <c r="BD16" s="39"/>
      <c r="BE16" s="31">
        <f>COUNTIFS(DataRegularSeason20242025!$D$2:$D$1315,TotalTeamGames20242025!BE$1,DataRegularSeason20242025!$E$2:$E$1315,TotalTeamGames20242025!$A15)</f>
        <v>2</v>
      </c>
      <c r="BF16" s="38"/>
      <c r="BG16" s="33">
        <f>COUNTIFS(DataRegularSeason20242025!$D$2:$D$1315,TotalTeamGames20242025!BG$1,DataRegularSeason20242025!$E$2:$E$1315,TotalTeamGames20242025!$A15)</f>
        <v>2</v>
      </c>
      <c r="BH16" s="39"/>
      <c r="BI16" s="31">
        <f>COUNTIFS(DataRegularSeason20242025!$D$2:$D$1315,TotalTeamGames20242025!BI$1,DataRegularSeason20242025!$E$2:$E$1315,TotalTeamGames20242025!$A15)</f>
        <v>1</v>
      </c>
      <c r="BJ16" s="39"/>
      <c r="BK16" s="31">
        <f>COUNTIFS(DataRegularSeason20242025!$D$2:$D$1315,TotalTeamGames20242025!BK$1,DataRegularSeason20242025!$E$2:$E$1315,TotalTeamGames20242025!$A15)</f>
        <v>2</v>
      </c>
      <c r="BL16" s="39"/>
      <c r="BM16" s="31">
        <f>COUNTIFS(DataRegularSeason20242025!$D$2:$D$1315,TotalTeamGames20242025!BM$1,DataRegularSeason20242025!$E$2:$E$1315,TotalTeamGames20242025!$A15)</f>
        <v>1</v>
      </c>
      <c r="BN16" s="39"/>
      <c r="BO16" s="34">
        <f t="shared" si="0"/>
        <v>41</v>
      </c>
      <c r="BP16" s="165"/>
    </row>
    <row r="17" spans="1:68" ht="9.9499999999999993" customHeight="1" x14ac:dyDescent="0.25">
      <c r="A17" s="166" t="s">
        <v>25</v>
      </c>
      <c r="B17" s="28" t="s">
        <v>74</v>
      </c>
      <c r="C17" s="35"/>
      <c r="D17" s="28">
        <f>COUNTIFS(DataRegularSeason20242025!$E$2:$E$1315,TotalTeamGames20242025!C$1,DataRegularSeason20242025!$D$2:$D$1315,TotalTeamGames20242025!$A17)</f>
        <v>1</v>
      </c>
      <c r="E17" s="35"/>
      <c r="F17" s="28">
        <f>COUNTIFS(DataRegularSeason20242025!$E$2:$E$1315,TotalTeamGames20242025!E$1,DataRegularSeason20242025!$D$2:$D$1315,TotalTeamGames20242025!$A17)</f>
        <v>1</v>
      </c>
      <c r="G17" s="35"/>
      <c r="H17" s="28">
        <f>COUNTIFS(DataRegularSeason20242025!$E$2:$E$1315,TotalTeamGames20242025!G$1,DataRegularSeason20242025!$D$2:$D$1315,TotalTeamGames20242025!$A17)</f>
        <v>1</v>
      </c>
      <c r="I17" s="35"/>
      <c r="J17" s="28">
        <f>COUNTIFS(DataRegularSeason20242025!$E$2:$E$1315,TotalTeamGames20242025!I$1,DataRegularSeason20242025!$D$2:$D$1315,TotalTeamGames20242025!$A17)</f>
        <v>1</v>
      </c>
      <c r="K17" s="35"/>
      <c r="L17" s="28">
        <f>COUNTIFS(DataRegularSeason20242025!$E$2:$E$1315,TotalTeamGames20242025!K$1,DataRegularSeason20242025!$D$2:$D$1315,TotalTeamGames20242025!$A17)</f>
        <v>1</v>
      </c>
      <c r="M17" s="35"/>
      <c r="N17" s="28">
        <f>COUNTIFS(DataRegularSeason20242025!$E$2:$E$1315,TotalTeamGames20242025!M$1,DataRegularSeason20242025!$D$2:$D$1315,TotalTeamGames20242025!$A17)</f>
        <v>1</v>
      </c>
      <c r="O17" s="35"/>
      <c r="P17" s="28">
        <f>COUNTIFS(DataRegularSeason20242025!$E$2:$E$1315,TotalTeamGames20242025!O$1,DataRegularSeason20242025!$D$2:$D$1315,TotalTeamGames20242025!$A17)</f>
        <v>2</v>
      </c>
      <c r="Q17" s="35"/>
      <c r="R17" s="36"/>
      <c r="S17" s="35"/>
      <c r="T17" s="28">
        <f>COUNTIFS(DataRegularSeason20242025!$E$2:$E$1315,TotalTeamGames20242025!S$1,DataRegularSeason20242025!$D$2:$D$1315,TotalTeamGames20242025!$A17)</f>
        <v>2</v>
      </c>
      <c r="U17" s="35"/>
      <c r="V17" s="28">
        <f>COUNTIFS(DataRegularSeason20242025!$E$2:$E$1315,TotalTeamGames20242025!U$1,DataRegularSeason20242025!$D$2:$D$1315,TotalTeamGames20242025!$A17)</f>
        <v>1</v>
      </c>
      <c r="W17" s="35"/>
      <c r="X17" s="28">
        <f>COUNTIFS(DataRegularSeason20242025!$E$2:$E$1315,TotalTeamGames20242025!W$1,DataRegularSeason20242025!$D$2:$D$1315,TotalTeamGames20242025!$A17)</f>
        <v>2</v>
      </c>
      <c r="Y17" s="35"/>
      <c r="Z17" s="28">
        <f>COUNTIFS(DataRegularSeason20242025!$E$2:$E$1315,TotalTeamGames20242025!Y$1,DataRegularSeason20242025!$D$2:$D$1315,TotalTeamGames20242025!$A17)</f>
        <v>1</v>
      </c>
      <c r="AA17" s="35"/>
      <c r="AB17" s="28">
        <f>COUNTIFS(DataRegularSeason20242025!$E$2:$E$1315,TotalTeamGames20242025!AA$1,DataRegularSeason20242025!$D$2:$D$1315,TotalTeamGames20242025!$A17)</f>
        <v>2</v>
      </c>
      <c r="AC17" s="35"/>
      <c r="AD17" s="28">
        <f>COUNTIFS(DataRegularSeason20242025!$E$2:$E$1315,TotalTeamGames20242025!AC$1,DataRegularSeason20242025!$D$2:$D$1315,TotalTeamGames20242025!$A17)</f>
        <v>2</v>
      </c>
      <c r="AE17" s="35"/>
      <c r="AF17" s="28">
        <f>COUNTIFS(DataRegularSeason20242025!$E$2:$E$1315,TotalTeamGames20242025!AE$1,DataRegularSeason20242025!$D$2:$D$1315,TotalTeamGames20242025!$A17)</f>
        <v>1</v>
      </c>
      <c r="AG17" s="35"/>
      <c r="AH17" s="28">
        <f>COUNTIFS(DataRegularSeason20242025!$E$2:$E$1315,TotalTeamGames20242025!AG$1,DataRegularSeason20242025!$D$2:$D$1315,TotalTeamGames20242025!$A17)</f>
        <v>1</v>
      </c>
      <c r="AI17" s="35"/>
      <c r="AJ17" s="28">
        <f>COUNTIFS(DataRegularSeason20242025!$E$2:$E$1315,TotalTeamGames20242025!AI$1,DataRegularSeason20242025!$D$2:$D$1315,TotalTeamGames20242025!$A17)</f>
        <v>2</v>
      </c>
      <c r="AK17" s="35"/>
      <c r="AL17" s="28">
        <f>COUNTIFS(DataRegularSeason20242025!$E$2:$E$1315,TotalTeamGames20242025!AK$1,DataRegularSeason20242025!$D$2:$D$1315,TotalTeamGames20242025!$A17)</f>
        <v>1</v>
      </c>
      <c r="AM17" s="35"/>
      <c r="AN17" s="28">
        <f>COUNTIFS(DataRegularSeason20242025!$E$2:$E$1315,TotalTeamGames20242025!AM$1,DataRegularSeason20242025!$D$2:$D$1315,TotalTeamGames20242025!$A17)</f>
        <v>1</v>
      </c>
      <c r="AO17" s="35"/>
      <c r="AP17" s="28">
        <f>COUNTIFS(DataRegularSeason20242025!$E$2:$E$1315,TotalTeamGames20242025!AO$1,DataRegularSeason20242025!$D$2:$D$1315,TotalTeamGames20242025!$A17)</f>
        <v>1</v>
      </c>
      <c r="AQ17" s="35"/>
      <c r="AR17" s="28">
        <f>COUNTIFS(DataRegularSeason20242025!$E$2:$E$1315,TotalTeamGames20242025!AQ$1,DataRegularSeason20242025!$D$2:$D$1315,TotalTeamGames20242025!$A17)</f>
        <v>1</v>
      </c>
      <c r="AS17" s="35"/>
      <c r="AT17" s="28">
        <f>COUNTIFS(DataRegularSeason20242025!$E$2:$E$1315,TotalTeamGames20242025!AS$1,DataRegularSeason20242025!$D$2:$D$1315,TotalTeamGames20242025!$A17)</f>
        <v>1</v>
      </c>
      <c r="AU17" s="35"/>
      <c r="AV17" s="28">
        <f>COUNTIFS(DataRegularSeason20242025!$E$2:$E$1315,TotalTeamGames20242025!AU$1,DataRegularSeason20242025!$D$2:$D$1315,TotalTeamGames20242025!$A17)</f>
        <v>2</v>
      </c>
      <c r="AW17" s="35"/>
      <c r="AX17" s="28">
        <f>COUNTIFS(DataRegularSeason20242025!$E$2:$E$1315,TotalTeamGames20242025!AW$1,DataRegularSeason20242025!$D$2:$D$1315,TotalTeamGames20242025!$A17)</f>
        <v>1</v>
      </c>
      <c r="AY17" s="35"/>
      <c r="AZ17" s="28">
        <f>COUNTIFS(DataRegularSeason20242025!$E$2:$E$1315,TotalTeamGames20242025!AY$1,DataRegularSeason20242025!$D$2:$D$1315,TotalTeamGames20242025!$A17)</f>
        <v>1</v>
      </c>
      <c r="BA17" s="35"/>
      <c r="BB17" s="28">
        <f>COUNTIFS(DataRegularSeason20242025!$E$2:$E$1315,TotalTeamGames20242025!BA$1,DataRegularSeason20242025!$D$2:$D$1315,TotalTeamGames20242025!$A17)</f>
        <v>1</v>
      </c>
      <c r="BC17" s="35"/>
      <c r="BD17" s="28">
        <f>COUNTIFS(DataRegularSeason20242025!$E$2:$E$1315,TotalTeamGames20242025!BC$1,DataRegularSeason20242025!$D$2:$D$1315,TotalTeamGames20242025!$A17)</f>
        <v>1</v>
      </c>
      <c r="BE17" s="35"/>
      <c r="BF17" s="27">
        <f>COUNTIFS(DataRegularSeason20242025!$E$2:$E$1315,TotalTeamGames20242025!BE$1,DataRegularSeason20242025!$D$2:$D$1315,TotalTeamGames20242025!$A17)</f>
        <v>2</v>
      </c>
      <c r="BG17" s="40"/>
      <c r="BH17" s="28">
        <f>COUNTIFS(DataRegularSeason20242025!$E$2:$E$1315,TotalTeamGames20242025!BG$1,DataRegularSeason20242025!$D$2:$D$1315,TotalTeamGames20242025!$A17)</f>
        <v>1</v>
      </c>
      <c r="BI17" s="35"/>
      <c r="BJ17" s="28">
        <f>COUNTIFS(DataRegularSeason20242025!$E$2:$E$1315,TotalTeamGames20242025!BI$1,DataRegularSeason20242025!$D$2:$D$1315,TotalTeamGames20242025!$A17)</f>
        <v>2</v>
      </c>
      <c r="BK17" s="35"/>
      <c r="BL17" s="28">
        <f>COUNTIFS(DataRegularSeason20242025!$E$2:$E$1315,TotalTeamGames20242025!BK$1,DataRegularSeason20242025!$D$2:$D$1315,TotalTeamGames20242025!$A17)</f>
        <v>2</v>
      </c>
      <c r="BM17" s="35"/>
      <c r="BN17" s="28">
        <f>COUNTIFS(DataRegularSeason20242025!$E$2:$E$1315,TotalTeamGames20242025!BM$1,DataRegularSeason20242025!$D$2:$D$1315,TotalTeamGames20242025!$A17)</f>
        <v>1</v>
      </c>
      <c r="BO17" s="30">
        <f t="shared" si="0"/>
        <v>41</v>
      </c>
      <c r="BP17" s="165">
        <f t="shared" ref="BP17" si="7">BO17+BO18</f>
        <v>82</v>
      </c>
    </row>
    <row r="18" spans="1:68" ht="9.9499999999999993" customHeight="1" x14ac:dyDescent="0.25">
      <c r="A18" s="167"/>
      <c r="B18" s="32" t="s">
        <v>73</v>
      </c>
      <c r="C18" s="31">
        <f>COUNTIFS(DataRegularSeason20242025!$D$2:$D$1315,TotalTeamGames20242025!C$1,DataRegularSeason20242025!$E$2:$E$1315,TotalTeamGames20242025!$A17)</f>
        <v>2</v>
      </c>
      <c r="D18" s="39"/>
      <c r="E18" s="31">
        <f>COUNTIFS(DataRegularSeason20242025!$D$2:$D$1315,TotalTeamGames20242025!E$1,DataRegularSeason20242025!$E$2:$E$1315,TotalTeamGames20242025!$A17)</f>
        <v>1</v>
      </c>
      <c r="F18" s="39"/>
      <c r="G18" s="31">
        <f>COUNTIFS(DataRegularSeason20242025!$D$2:$D$1315,TotalTeamGames20242025!G$1,DataRegularSeason20242025!$E$2:$E$1315,TotalTeamGames20242025!$A17)</f>
        <v>1</v>
      </c>
      <c r="H18" s="39"/>
      <c r="I18" s="31">
        <f>COUNTIFS(DataRegularSeason20242025!$D$2:$D$1315,TotalTeamGames20242025!I$1,DataRegularSeason20242025!$E$2:$E$1315,TotalTeamGames20242025!$A17)</f>
        <v>1</v>
      </c>
      <c r="J18" s="39"/>
      <c r="K18" s="31">
        <f>COUNTIFS(DataRegularSeason20242025!$D$2:$D$1315,TotalTeamGames20242025!K$1,DataRegularSeason20242025!$E$2:$E$1315,TotalTeamGames20242025!$A17)</f>
        <v>1</v>
      </c>
      <c r="L18" s="39"/>
      <c r="M18" s="31">
        <f>COUNTIFS(DataRegularSeason20242025!$D$2:$D$1315,TotalTeamGames20242025!M$1,DataRegularSeason20242025!$E$2:$E$1315,TotalTeamGames20242025!$A17)</f>
        <v>2</v>
      </c>
      <c r="N18" s="39"/>
      <c r="O18" s="31">
        <f>COUNTIFS(DataRegularSeason20242025!$D$2:$D$1315,TotalTeamGames20242025!O$1,DataRegularSeason20242025!$E$2:$E$1315,TotalTeamGames20242025!$A17)</f>
        <v>1</v>
      </c>
      <c r="P18" s="39"/>
      <c r="Q18" s="38"/>
      <c r="R18" s="39"/>
      <c r="S18" s="31">
        <f>COUNTIFS(DataRegularSeason20242025!$D$2:$D$1315,TotalTeamGames20242025!S$1,DataRegularSeason20242025!$E$2:$E$1315,TotalTeamGames20242025!$A17)</f>
        <v>2</v>
      </c>
      <c r="T18" s="39"/>
      <c r="U18" s="31">
        <f>COUNTIFS(DataRegularSeason20242025!$D$2:$D$1315,TotalTeamGames20242025!U$1,DataRegularSeason20242025!$E$2:$E$1315,TotalTeamGames20242025!$A17)</f>
        <v>1</v>
      </c>
      <c r="V18" s="39"/>
      <c r="W18" s="31">
        <f>COUNTIFS(DataRegularSeason20242025!$D$2:$D$1315,TotalTeamGames20242025!W$1,DataRegularSeason20242025!$E$2:$E$1315,TotalTeamGames20242025!$A17)</f>
        <v>1</v>
      </c>
      <c r="X18" s="39"/>
      <c r="Y18" s="31">
        <f>COUNTIFS(DataRegularSeason20242025!$D$2:$D$1315,TotalTeamGames20242025!Y$1,DataRegularSeason20242025!$E$2:$E$1315,TotalTeamGames20242025!$A17)</f>
        <v>1</v>
      </c>
      <c r="Z18" s="39"/>
      <c r="AA18" s="31">
        <f>COUNTIFS(DataRegularSeason20242025!$D$2:$D$1315,TotalTeamGames20242025!AA$1,DataRegularSeason20242025!$E$2:$E$1315,TotalTeamGames20242025!$A17)</f>
        <v>1</v>
      </c>
      <c r="AB18" s="39"/>
      <c r="AC18" s="31">
        <f>COUNTIFS(DataRegularSeason20242025!$D$2:$D$1315,TotalTeamGames20242025!AC$1,DataRegularSeason20242025!$E$2:$E$1315,TotalTeamGames20242025!$A17)</f>
        <v>2</v>
      </c>
      <c r="AD18" s="39"/>
      <c r="AE18" s="31">
        <f>COUNTIFS(DataRegularSeason20242025!$D$2:$D$1315,TotalTeamGames20242025!AE$1,DataRegularSeason20242025!$E$2:$E$1315,TotalTeamGames20242025!$A17)</f>
        <v>1</v>
      </c>
      <c r="AF18" s="39"/>
      <c r="AG18" s="31">
        <f>COUNTIFS(DataRegularSeason20242025!$D$2:$D$1315,TotalTeamGames20242025!AG$1,DataRegularSeason20242025!$E$2:$E$1315,TotalTeamGames20242025!$A17)</f>
        <v>1</v>
      </c>
      <c r="AH18" s="39"/>
      <c r="AI18" s="31">
        <f>COUNTIFS(DataRegularSeason20242025!$D$2:$D$1315,TotalTeamGames20242025!AI$1,DataRegularSeason20242025!$E$2:$E$1315,TotalTeamGames20242025!$A17)</f>
        <v>2</v>
      </c>
      <c r="AJ18" s="39"/>
      <c r="AK18" s="31">
        <f>COUNTIFS(DataRegularSeason20242025!$D$2:$D$1315,TotalTeamGames20242025!AK$1,DataRegularSeason20242025!$E$2:$E$1315,TotalTeamGames20242025!$A17)</f>
        <v>1</v>
      </c>
      <c r="AL18" s="39"/>
      <c r="AM18" s="31">
        <f>COUNTIFS(DataRegularSeason20242025!$D$2:$D$1315,TotalTeamGames20242025!AM$1,DataRegularSeason20242025!$E$2:$E$1315,TotalTeamGames20242025!$A17)</f>
        <v>1</v>
      </c>
      <c r="AN18" s="39"/>
      <c r="AO18" s="31">
        <f>COUNTIFS(DataRegularSeason20242025!$D$2:$D$1315,TotalTeamGames20242025!AO$1,DataRegularSeason20242025!$E$2:$E$1315,TotalTeamGames20242025!$A17)</f>
        <v>1</v>
      </c>
      <c r="AP18" s="39"/>
      <c r="AQ18" s="31">
        <f>COUNTIFS(DataRegularSeason20242025!$D$2:$D$1315,TotalTeamGames20242025!AQ$1,DataRegularSeason20242025!$E$2:$E$1315,TotalTeamGames20242025!$A17)</f>
        <v>1</v>
      </c>
      <c r="AR18" s="39"/>
      <c r="AS18" s="31">
        <f>COUNTIFS(DataRegularSeason20242025!$D$2:$D$1315,TotalTeamGames20242025!AS$1,DataRegularSeason20242025!$E$2:$E$1315,TotalTeamGames20242025!$A17)</f>
        <v>1</v>
      </c>
      <c r="AT18" s="39"/>
      <c r="AU18" s="31">
        <f>COUNTIFS(DataRegularSeason20242025!$D$2:$D$1315,TotalTeamGames20242025!AU$1,DataRegularSeason20242025!$E$2:$E$1315,TotalTeamGames20242025!$A17)</f>
        <v>1</v>
      </c>
      <c r="AV18" s="39"/>
      <c r="AW18" s="31">
        <f>COUNTIFS(DataRegularSeason20242025!$D$2:$D$1315,TotalTeamGames20242025!AW$1,DataRegularSeason20242025!$E$2:$E$1315,TotalTeamGames20242025!$A17)</f>
        <v>2</v>
      </c>
      <c r="AX18" s="39"/>
      <c r="AY18" s="31">
        <f>COUNTIFS(DataRegularSeason20242025!$D$2:$D$1315,TotalTeamGames20242025!AY$1,DataRegularSeason20242025!$E$2:$E$1315,TotalTeamGames20242025!$A17)</f>
        <v>2</v>
      </c>
      <c r="AZ18" s="39"/>
      <c r="BA18" s="31">
        <f>COUNTIFS(DataRegularSeason20242025!$D$2:$D$1315,TotalTeamGames20242025!BA$1,DataRegularSeason20242025!$E$2:$E$1315,TotalTeamGames20242025!$A17)</f>
        <v>1</v>
      </c>
      <c r="BB18" s="39"/>
      <c r="BC18" s="31">
        <f>COUNTIFS(DataRegularSeason20242025!$D$2:$D$1315,TotalTeamGames20242025!BC$1,DataRegularSeason20242025!$E$2:$E$1315,TotalTeamGames20242025!$A17)</f>
        <v>1</v>
      </c>
      <c r="BD18" s="39"/>
      <c r="BE18" s="31">
        <f>COUNTIFS(DataRegularSeason20242025!$D$2:$D$1315,TotalTeamGames20242025!BE$1,DataRegularSeason20242025!$E$2:$E$1315,TotalTeamGames20242025!$A17)</f>
        <v>2</v>
      </c>
      <c r="BF18" s="38"/>
      <c r="BG18" s="33">
        <f>COUNTIFS(DataRegularSeason20242025!$D$2:$D$1315,TotalTeamGames20242025!BG$1,DataRegularSeason20242025!$E$2:$E$1315,TotalTeamGames20242025!$A17)</f>
        <v>2</v>
      </c>
      <c r="BH18" s="39"/>
      <c r="BI18" s="31">
        <f>COUNTIFS(DataRegularSeason20242025!$D$2:$D$1315,TotalTeamGames20242025!BI$1,DataRegularSeason20242025!$E$2:$E$1315,TotalTeamGames20242025!$A17)</f>
        <v>1</v>
      </c>
      <c r="BJ18" s="39"/>
      <c r="BK18" s="31">
        <f>COUNTIFS(DataRegularSeason20242025!$D$2:$D$1315,TotalTeamGames20242025!BK$1,DataRegularSeason20242025!$E$2:$E$1315,TotalTeamGames20242025!$A17)</f>
        <v>2</v>
      </c>
      <c r="BL18" s="39"/>
      <c r="BM18" s="31">
        <f>COUNTIFS(DataRegularSeason20242025!$D$2:$D$1315,TotalTeamGames20242025!BM$1,DataRegularSeason20242025!$E$2:$E$1315,TotalTeamGames20242025!$A17)</f>
        <v>1</v>
      </c>
      <c r="BN18" s="39"/>
      <c r="BO18" s="34">
        <f t="shared" si="0"/>
        <v>41</v>
      </c>
      <c r="BP18" s="165"/>
    </row>
    <row r="19" spans="1:68" ht="9.9499999999999993" customHeight="1" x14ac:dyDescent="0.25">
      <c r="A19" s="166" t="s">
        <v>33</v>
      </c>
      <c r="B19" s="28" t="s">
        <v>74</v>
      </c>
      <c r="C19" s="35"/>
      <c r="D19" s="28">
        <f>COUNTIFS(DataRegularSeason20242025!$E$2:$E$1315,TotalTeamGames20242025!C$1,DataRegularSeason20242025!$D$2:$D$1315,TotalTeamGames20242025!$A19)</f>
        <v>2</v>
      </c>
      <c r="E19" s="35"/>
      <c r="F19" s="28">
        <f>COUNTIFS(DataRegularSeason20242025!$E$2:$E$1315,TotalTeamGames20242025!E$1,DataRegularSeason20242025!$D$2:$D$1315,TotalTeamGames20242025!$A19)</f>
        <v>1</v>
      </c>
      <c r="G19" s="35"/>
      <c r="H19" s="28">
        <f>COUNTIFS(DataRegularSeason20242025!$E$2:$E$1315,TotalTeamGames20242025!G$1,DataRegularSeason20242025!$D$2:$D$1315,TotalTeamGames20242025!$A19)</f>
        <v>1</v>
      </c>
      <c r="I19" s="35"/>
      <c r="J19" s="28">
        <f>COUNTIFS(DataRegularSeason20242025!$E$2:$E$1315,TotalTeamGames20242025!I$1,DataRegularSeason20242025!$D$2:$D$1315,TotalTeamGames20242025!$A19)</f>
        <v>1</v>
      </c>
      <c r="K19" s="35"/>
      <c r="L19" s="28">
        <f>COUNTIFS(DataRegularSeason20242025!$E$2:$E$1315,TotalTeamGames20242025!K$1,DataRegularSeason20242025!$D$2:$D$1315,TotalTeamGames20242025!$A19)</f>
        <v>1</v>
      </c>
      <c r="M19" s="35"/>
      <c r="N19" s="28">
        <f>COUNTIFS(DataRegularSeason20242025!$E$2:$E$1315,TotalTeamGames20242025!M$1,DataRegularSeason20242025!$D$2:$D$1315,TotalTeamGames20242025!$A19)</f>
        <v>2</v>
      </c>
      <c r="O19" s="35"/>
      <c r="P19" s="28">
        <f>COUNTIFS(DataRegularSeason20242025!$E$2:$E$1315,TotalTeamGames20242025!O$1,DataRegularSeason20242025!$D$2:$D$1315,TotalTeamGames20242025!$A19)</f>
        <v>1</v>
      </c>
      <c r="Q19" s="35"/>
      <c r="R19" s="28">
        <f>COUNTIFS(DataRegularSeason20242025!$E$2:$E$1315,TotalTeamGames20242025!Q$1,DataRegularSeason20242025!$D$2:$D$1315,TotalTeamGames20242025!$A19)</f>
        <v>2</v>
      </c>
      <c r="S19" s="35"/>
      <c r="T19" s="36"/>
      <c r="U19" s="35"/>
      <c r="V19" s="28">
        <f>COUNTIFS(DataRegularSeason20242025!$E$2:$E$1315,TotalTeamGames20242025!U$1,DataRegularSeason20242025!$D$2:$D$1315,TotalTeamGames20242025!$A19)</f>
        <v>1</v>
      </c>
      <c r="W19" s="35"/>
      <c r="X19" s="28">
        <f>COUNTIFS(DataRegularSeason20242025!$E$2:$E$1315,TotalTeamGames20242025!W$1,DataRegularSeason20242025!$D$2:$D$1315,TotalTeamGames20242025!$A19)</f>
        <v>1</v>
      </c>
      <c r="Y19" s="35"/>
      <c r="Z19" s="28">
        <f>COUNTIFS(DataRegularSeason20242025!$E$2:$E$1315,TotalTeamGames20242025!Y$1,DataRegularSeason20242025!$D$2:$D$1315,TotalTeamGames20242025!$A19)</f>
        <v>1</v>
      </c>
      <c r="AA19" s="35"/>
      <c r="AB19" s="28">
        <f>COUNTIFS(DataRegularSeason20242025!$E$2:$E$1315,TotalTeamGames20242025!AA$1,DataRegularSeason20242025!$D$2:$D$1315,TotalTeamGames20242025!$A19)</f>
        <v>1</v>
      </c>
      <c r="AC19" s="35"/>
      <c r="AD19" s="28">
        <f>COUNTIFS(DataRegularSeason20242025!$E$2:$E$1315,TotalTeamGames20242025!AC$1,DataRegularSeason20242025!$D$2:$D$1315,TotalTeamGames20242025!$A19)</f>
        <v>2</v>
      </c>
      <c r="AE19" s="35"/>
      <c r="AF19" s="28">
        <f>COUNTIFS(DataRegularSeason20242025!$E$2:$E$1315,TotalTeamGames20242025!AE$1,DataRegularSeason20242025!$D$2:$D$1315,TotalTeamGames20242025!$A19)</f>
        <v>1</v>
      </c>
      <c r="AG19" s="35"/>
      <c r="AH19" s="28">
        <f>COUNTIFS(DataRegularSeason20242025!$E$2:$E$1315,TotalTeamGames20242025!AG$1,DataRegularSeason20242025!$D$2:$D$1315,TotalTeamGames20242025!$A19)</f>
        <v>1</v>
      </c>
      <c r="AI19" s="35"/>
      <c r="AJ19" s="28">
        <f>COUNTIFS(DataRegularSeason20242025!$E$2:$E$1315,TotalTeamGames20242025!AI$1,DataRegularSeason20242025!$D$2:$D$1315,TotalTeamGames20242025!$A19)</f>
        <v>2</v>
      </c>
      <c r="AK19" s="35"/>
      <c r="AL19" s="28">
        <f>COUNTIFS(DataRegularSeason20242025!$E$2:$E$1315,TotalTeamGames20242025!AK$1,DataRegularSeason20242025!$D$2:$D$1315,TotalTeamGames20242025!$A19)</f>
        <v>1</v>
      </c>
      <c r="AM19" s="35"/>
      <c r="AN19" s="28">
        <f>COUNTIFS(DataRegularSeason20242025!$E$2:$E$1315,TotalTeamGames20242025!AM$1,DataRegularSeason20242025!$D$2:$D$1315,TotalTeamGames20242025!$A19)</f>
        <v>1</v>
      </c>
      <c r="AO19" s="35"/>
      <c r="AP19" s="28">
        <f>COUNTIFS(DataRegularSeason20242025!$E$2:$E$1315,TotalTeamGames20242025!AO$1,DataRegularSeason20242025!$D$2:$D$1315,TotalTeamGames20242025!$A19)</f>
        <v>1</v>
      </c>
      <c r="AQ19" s="35"/>
      <c r="AR19" s="28">
        <f>COUNTIFS(DataRegularSeason20242025!$E$2:$E$1315,TotalTeamGames20242025!AQ$1,DataRegularSeason20242025!$D$2:$D$1315,TotalTeamGames20242025!$A19)</f>
        <v>1</v>
      </c>
      <c r="AS19" s="35"/>
      <c r="AT19" s="28">
        <f>COUNTIFS(DataRegularSeason20242025!$E$2:$E$1315,TotalTeamGames20242025!AS$1,DataRegularSeason20242025!$D$2:$D$1315,TotalTeamGames20242025!$A19)</f>
        <v>1</v>
      </c>
      <c r="AU19" s="35"/>
      <c r="AV19" s="28">
        <f>COUNTIFS(DataRegularSeason20242025!$E$2:$E$1315,TotalTeamGames20242025!AU$1,DataRegularSeason20242025!$D$2:$D$1315,TotalTeamGames20242025!$A19)</f>
        <v>1</v>
      </c>
      <c r="AW19" s="35"/>
      <c r="AX19" s="28">
        <f>COUNTIFS(DataRegularSeason20242025!$E$2:$E$1315,TotalTeamGames20242025!AW$1,DataRegularSeason20242025!$D$2:$D$1315,TotalTeamGames20242025!$A19)</f>
        <v>2</v>
      </c>
      <c r="AY19" s="35"/>
      <c r="AZ19" s="28">
        <f>COUNTIFS(DataRegularSeason20242025!$E$2:$E$1315,TotalTeamGames20242025!AY$1,DataRegularSeason20242025!$D$2:$D$1315,TotalTeamGames20242025!$A19)</f>
        <v>2</v>
      </c>
      <c r="BA19" s="35"/>
      <c r="BB19" s="28">
        <f>COUNTIFS(DataRegularSeason20242025!$E$2:$E$1315,TotalTeamGames20242025!BA$1,DataRegularSeason20242025!$D$2:$D$1315,TotalTeamGames20242025!$A19)</f>
        <v>1</v>
      </c>
      <c r="BC19" s="35"/>
      <c r="BD19" s="28">
        <f>COUNTIFS(DataRegularSeason20242025!$E$2:$E$1315,TotalTeamGames20242025!BC$1,DataRegularSeason20242025!$D$2:$D$1315,TotalTeamGames20242025!$A19)</f>
        <v>1</v>
      </c>
      <c r="BE19" s="35"/>
      <c r="BF19" s="27">
        <f>COUNTIFS(DataRegularSeason20242025!$E$2:$E$1315,TotalTeamGames20242025!BE$1,DataRegularSeason20242025!$D$2:$D$1315,TotalTeamGames20242025!$A19)</f>
        <v>2</v>
      </c>
      <c r="BG19" s="40"/>
      <c r="BH19" s="28">
        <f>COUNTIFS(DataRegularSeason20242025!$E$2:$E$1315,TotalTeamGames20242025!BG$1,DataRegularSeason20242025!$D$2:$D$1315,TotalTeamGames20242025!$A19)</f>
        <v>2</v>
      </c>
      <c r="BI19" s="35"/>
      <c r="BJ19" s="28">
        <f>COUNTIFS(DataRegularSeason20242025!$E$2:$E$1315,TotalTeamGames20242025!BI$1,DataRegularSeason20242025!$D$2:$D$1315,TotalTeamGames20242025!$A19)</f>
        <v>1</v>
      </c>
      <c r="BK19" s="35"/>
      <c r="BL19" s="28">
        <f>COUNTIFS(DataRegularSeason20242025!$E$2:$E$1315,TotalTeamGames20242025!BK$1,DataRegularSeason20242025!$D$2:$D$1315,TotalTeamGames20242025!$A19)</f>
        <v>2</v>
      </c>
      <c r="BM19" s="35"/>
      <c r="BN19" s="28">
        <f>COUNTIFS(DataRegularSeason20242025!$E$2:$E$1315,TotalTeamGames20242025!BM$1,DataRegularSeason20242025!$D$2:$D$1315,TotalTeamGames20242025!$A19)</f>
        <v>1</v>
      </c>
      <c r="BO19" s="30">
        <f t="shared" si="0"/>
        <v>41</v>
      </c>
      <c r="BP19" s="165">
        <f t="shared" ref="BP19" si="8">BO19+BO20</f>
        <v>82</v>
      </c>
    </row>
    <row r="20" spans="1:68" ht="9.9499999999999993" customHeight="1" x14ac:dyDescent="0.25">
      <c r="A20" s="167"/>
      <c r="B20" s="32" t="s">
        <v>73</v>
      </c>
      <c r="C20" s="31">
        <f>COUNTIFS(DataRegularSeason20242025!$D$2:$D$1315,TotalTeamGames20242025!C$1,DataRegularSeason20242025!$E$2:$E$1315,TotalTeamGames20242025!$A19)</f>
        <v>1</v>
      </c>
      <c r="D20" s="39"/>
      <c r="E20" s="31">
        <f>COUNTIFS(DataRegularSeason20242025!$D$2:$D$1315,TotalTeamGames20242025!E$1,DataRegularSeason20242025!$E$2:$E$1315,TotalTeamGames20242025!$A19)</f>
        <v>1</v>
      </c>
      <c r="F20" s="39"/>
      <c r="G20" s="31">
        <f>COUNTIFS(DataRegularSeason20242025!$D$2:$D$1315,TotalTeamGames20242025!G$1,DataRegularSeason20242025!$E$2:$E$1315,TotalTeamGames20242025!$A19)</f>
        <v>1</v>
      </c>
      <c r="H20" s="39"/>
      <c r="I20" s="31">
        <f>COUNTIFS(DataRegularSeason20242025!$D$2:$D$1315,TotalTeamGames20242025!I$1,DataRegularSeason20242025!$E$2:$E$1315,TotalTeamGames20242025!$A19)</f>
        <v>1</v>
      </c>
      <c r="J20" s="39"/>
      <c r="K20" s="31">
        <f>COUNTIFS(DataRegularSeason20242025!$D$2:$D$1315,TotalTeamGames20242025!K$1,DataRegularSeason20242025!$E$2:$E$1315,TotalTeamGames20242025!$A19)</f>
        <v>1</v>
      </c>
      <c r="L20" s="39"/>
      <c r="M20" s="31">
        <f>COUNTIFS(DataRegularSeason20242025!$D$2:$D$1315,TotalTeamGames20242025!M$1,DataRegularSeason20242025!$E$2:$E$1315,TotalTeamGames20242025!$A19)</f>
        <v>1</v>
      </c>
      <c r="N20" s="39"/>
      <c r="O20" s="31">
        <f>COUNTIFS(DataRegularSeason20242025!$D$2:$D$1315,TotalTeamGames20242025!O$1,DataRegularSeason20242025!$E$2:$E$1315,TotalTeamGames20242025!$A19)</f>
        <v>2</v>
      </c>
      <c r="P20" s="39"/>
      <c r="Q20" s="31">
        <f>COUNTIFS(DataRegularSeason20242025!$D$2:$D$1315,TotalTeamGames20242025!Q$1,DataRegularSeason20242025!$E$2:$E$1315,TotalTeamGames20242025!$A19)</f>
        <v>2</v>
      </c>
      <c r="R20" s="39"/>
      <c r="S20" s="38"/>
      <c r="T20" s="39"/>
      <c r="U20" s="31">
        <f>COUNTIFS(DataRegularSeason20242025!$D$2:$D$1315,TotalTeamGames20242025!U$1,DataRegularSeason20242025!$E$2:$E$1315,TotalTeamGames20242025!$A19)</f>
        <v>1</v>
      </c>
      <c r="V20" s="39"/>
      <c r="W20" s="31">
        <f>COUNTIFS(DataRegularSeason20242025!$D$2:$D$1315,TotalTeamGames20242025!W$1,DataRegularSeason20242025!$E$2:$E$1315,TotalTeamGames20242025!$A19)</f>
        <v>2</v>
      </c>
      <c r="X20" s="39"/>
      <c r="Y20" s="31">
        <f>COUNTIFS(DataRegularSeason20242025!$D$2:$D$1315,TotalTeamGames20242025!Y$1,DataRegularSeason20242025!$E$2:$E$1315,TotalTeamGames20242025!$A19)</f>
        <v>1</v>
      </c>
      <c r="Z20" s="39"/>
      <c r="AA20" s="31">
        <f>COUNTIFS(DataRegularSeason20242025!$D$2:$D$1315,TotalTeamGames20242025!AA$1,DataRegularSeason20242025!$E$2:$E$1315,TotalTeamGames20242025!$A19)</f>
        <v>2</v>
      </c>
      <c r="AB20" s="39"/>
      <c r="AC20" s="31">
        <f>COUNTIFS(DataRegularSeason20242025!$D$2:$D$1315,TotalTeamGames20242025!AC$1,DataRegularSeason20242025!$E$2:$E$1315,TotalTeamGames20242025!$A19)</f>
        <v>2</v>
      </c>
      <c r="AD20" s="39"/>
      <c r="AE20" s="31">
        <f>COUNTIFS(DataRegularSeason20242025!$D$2:$D$1315,TotalTeamGames20242025!AE$1,DataRegularSeason20242025!$E$2:$E$1315,TotalTeamGames20242025!$A19)</f>
        <v>1</v>
      </c>
      <c r="AF20" s="39"/>
      <c r="AG20" s="31">
        <f>COUNTIFS(DataRegularSeason20242025!$D$2:$D$1315,TotalTeamGames20242025!AG$1,DataRegularSeason20242025!$E$2:$E$1315,TotalTeamGames20242025!$A19)</f>
        <v>1</v>
      </c>
      <c r="AH20" s="39"/>
      <c r="AI20" s="31">
        <f>COUNTIFS(DataRegularSeason20242025!$D$2:$D$1315,TotalTeamGames20242025!AI$1,DataRegularSeason20242025!$E$2:$E$1315,TotalTeamGames20242025!$A19)</f>
        <v>1</v>
      </c>
      <c r="AJ20" s="39"/>
      <c r="AK20" s="31">
        <f>COUNTIFS(DataRegularSeason20242025!$D$2:$D$1315,TotalTeamGames20242025!AK$1,DataRegularSeason20242025!$E$2:$E$1315,TotalTeamGames20242025!$A19)</f>
        <v>1</v>
      </c>
      <c r="AL20" s="39"/>
      <c r="AM20" s="31">
        <f>COUNTIFS(DataRegularSeason20242025!$D$2:$D$1315,TotalTeamGames20242025!AM$1,DataRegularSeason20242025!$E$2:$E$1315,TotalTeamGames20242025!$A19)</f>
        <v>1</v>
      </c>
      <c r="AN20" s="39"/>
      <c r="AO20" s="31">
        <f>COUNTIFS(DataRegularSeason20242025!$D$2:$D$1315,TotalTeamGames20242025!AO$1,DataRegularSeason20242025!$E$2:$E$1315,TotalTeamGames20242025!$A19)</f>
        <v>1</v>
      </c>
      <c r="AP20" s="39"/>
      <c r="AQ20" s="31">
        <f>COUNTIFS(DataRegularSeason20242025!$D$2:$D$1315,TotalTeamGames20242025!AQ$1,DataRegularSeason20242025!$E$2:$E$1315,TotalTeamGames20242025!$A19)</f>
        <v>1</v>
      </c>
      <c r="AR20" s="39"/>
      <c r="AS20" s="31">
        <f>COUNTIFS(DataRegularSeason20242025!$D$2:$D$1315,TotalTeamGames20242025!AS$1,DataRegularSeason20242025!$E$2:$E$1315,TotalTeamGames20242025!$A19)</f>
        <v>1</v>
      </c>
      <c r="AT20" s="39"/>
      <c r="AU20" s="31">
        <f>COUNTIFS(DataRegularSeason20242025!$D$2:$D$1315,TotalTeamGames20242025!AU$1,DataRegularSeason20242025!$E$2:$E$1315,TotalTeamGames20242025!$A19)</f>
        <v>2</v>
      </c>
      <c r="AV20" s="39"/>
      <c r="AW20" s="31">
        <f>COUNTIFS(DataRegularSeason20242025!$D$2:$D$1315,TotalTeamGames20242025!AW$1,DataRegularSeason20242025!$E$2:$E$1315,TotalTeamGames20242025!$A19)</f>
        <v>1</v>
      </c>
      <c r="AX20" s="39"/>
      <c r="AY20" s="31">
        <f>COUNTIFS(DataRegularSeason20242025!$D$2:$D$1315,TotalTeamGames20242025!AY$1,DataRegularSeason20242025!$E$2:$E$1315,TotalTeamGames20242025!$A19)</f>
        <v>2</v>
      </c>
      <c r="AZ20" s="39"/>
      <c r="BA20" s="31">
        <f>COUNTIFS(DataRegularSeason20242025!$D$2:$D$1315,TotalTeamGames20242025!BA$1,DataRegularSeason20242025!$E$2:$E$1315,TotalTeamGames20242025!$A19)</f>
        <v>1</v>
      </c>
      <c r="BB20" s="39"/>
      <c r="BC20" s="31">
        <f>COUNTIFS(DataRegularSeason20242025!$D$2:$D$1315,TotalTeamGames20242025!BC$1,DataRegularSeason20242025!$E$2:$E$1315,TotalTeamGames20242025!$A19)</f>
        <v>1</v>
      </c>
      <c r="BD20" s="39"/>
      <c r="BE20" s="31">
        <f>COUNTIFS(DataRegularSeason20242025!$D$2:$D$1315,TotalTeamGames20242025!BE$1,DataRegularSeason20242025!$E$2:$E$1315,TotalTeamGames20242025!$A19)</f>
        <v>2</v>
      </c>
      <c r="BF20" s="38"/>
      <c r="BG20" s="33">
        <f>COUNTIFS(DataRegularSeason20242025!$D$2:$D$1315,TotalTeamGames20242025!BG$1,DataRegularSeason20242025!$E$2:$E$1315,TotalTeamGames20242025!$A19)</f>
        <v>1</v>
      </c>
      <c r="BH20" s="39"/>
      <c r="BI20" s="31">
        <f>COUNTIFS(DataRegularSeason20242025!$D$2:$D$1315,TotalTeamGames20242025!BI$1,DataRegularSeason20242025!$E$2:$E$1315,TotalTeamGames20242025!$A19)</f>
        <v>2</v>
      </c>
      <c r="BJ20" s="39"/>
      <c r="BK20" s="31">
        <f>COUNTIFS(DataRegularSeason20242025!$D$2:$D$1315,TotalTeamGames20242025!BK$1,DataRegularSeason20242025!$E$2:$E$1315,TotalTeamGames20242025!$A19)</f>
        <v>2</v>
      </c>
      <c r="BL20" s="39"/>
      <c r="BM20" s="31">
        <f>COUNTIFS(DataRegularSeason20242025!$D$2:$D$1315,TotalTeamGames20242025!BM$1,DataRegularSeason20242025!$E$2:$E$1315,TotalTeamGames20242025!$A19)</f>
        <v>1</v>
      </c>
      <c r="BN20" s="39"/>
      <c r="BO20" s="34">
        <f t="shared" si="0"/>
        <v>41</v>
      </c>
      <c r="BP20" s="165"/>
    </row>
    <row r="21" spans="1:68" ht="9.9499999999999993" customHeight="1" x14ac:dyDescent="0.25">
      <c r="A21" s="166" t="s">
        <v>30</v>
      </c>
      <c r="B21" s="28" t="s">
        <v>74</v>
      </c>
      <c r="C21" s="35"/>
      <c r="D21" s="28">
        <f>COUNTIFS(DataRegularSeason20242025!$E$2:$E$1315,TotalTeamGames20242025!C$1,DataRegularSeason20242025!$D$2:$D$1315,TotalTeamGames20242025!$A21)</f>
        <v>1</v>
      </c>
      <c r="E21" s="35"/>
      <c r="F21" s="28">
        <f>COUNTIFS(DataRegularSeason20242025!$E$2:$E$1315,TotalTeamGames20242025!E$1,DataRegularSeason20242025!$D$2:$D$1315,TotalTeamGames20242025!$A21)</f>
        <v>2</v>
      </c>
      <c r="G21" s="35"/>
      <c r="H21" s="28">
        <f>COUNTIFS(DataRegularSeason20242025!$E$2:$E$1315,TotalTeamGames20242025!G$1,DataRegularSeason20242025!$D$2:$D$1315,TotalTeamGames20242025!$A21)</f>
        <v>2</v>
      </c>
      <c r="I21" s="35"/>
      <c r="J21" s="28">
        <f>COUNTIFS(DataRegularSeason20242025!$E$2:$E$1315,TotalTeamGames20242025!I$1,DataRegularSeason20242025!$D$2:$D$1315,TotalTeamGames20242025!$A21)</f>
        <v>2</v>
      </c>
      <c r="K21" s="35"/>
      <c r="L21" s="28">
        <f>COUNTIFS(DataRegularSeason20242025!$E$2:$E$1315,TotalTeamGames20242025!K$1,DataRegularSeason20242025!$D$2:$D$1315,TotalTeamGames20242025!$A21)</f>
        <v>1</v>
      </c>
      <c r="M21" s="35"/>
      <c r="N21" s="28">
        <f>COUNTIFS(DataRegularSeason20242025!$E$2:$E$1315,TotalTeamGames20242025!M$1,DataRegularSeason20242025!$D$2:$D$1315,TotalTeamGames20242025!$A21)</f>
        <v>1</v>
      </c>
      <c r="O21" s="35"/>
      <c r="P21" s="28">
        <f>COUNTIFS(DataRegularSeason20242025!$E$2:$E$1315,TotalTeamGames20242025!O$1,DataRegularSeason20242025!$D$2:$D$1315,TotalTeamGames20242025!$A21)</f>
        <v>1</v>
      </c>
      <c r="Q21" s="35"/>
      <c r="R21" s="28">
        <f>COUNTIFS(DataRegularSeason20242025!$E$2:$E$1315,TotalTeamGames20242025!Q$1,DataRegularSeason20242025!$D$2:$D$1315,TotalTeamGames20242025!$A21)</f>
        <v>1</v>
      </c>
      <c r="S21" s="35"/>
      <c r="T21" s="28">
        <f>COUNTIFS(DataRegularSeason20242025!$E$2:$E$1315,TotalTeamGames20242025!S$1,DataRegularSeason20242025!$D$2:$D$1315,TotalTeamGames20242025!$A21)</f>
        <v>1</v>
      </c>
      <c r="U21" s="35"/>
      <c r="V21" s="36"/>
      <c r="W21" s="35"/>
      <c r="X21" s="28">
        <f>COUNTIFS(DataRegularSeason20242025!$E$2:$E$1315,TotalTeamGames20242025!W$1,DataRegularSeason20242025!$D$2:$D$1315,TotalTeamGames20242025!$A21)</f>
        <v>1</v>
      </c>
      <c r="Y21" s="35"/>
      <c r="Z21" s="28">
        <f>COUNTIFS(DataRegularSeason20242025!$E$2:$E$1315,TotalTeamGames20242025!Y$1,DataRegularSeason20242025!$D$2:$D$1315,TotalTeamGames20242025!$A21)</f>
        <v>2</v>
      </c>
      <c r="AA21" s="35"/>
      <c r="AB21" s="28">
        <f>COUNTIFS(DataRegularSeason20242025!$E$2:$E$1315,TotalTeamGames20242025!AA$1,DataRegularSeason20242025!$D$2:$D$1315,TotalTeamGames20242025!$A21)</f>
        <v>1</v>
      </c>
      <c r="AC21" s="35"/>
      <c r="AD21" s="28">
        <f>COUNTIFS(DataRegularSeason20242025!$E$2:$E$1315,TotalTeamGames20242025!AC$1,DataRegularSeason20242025!$D$2:$D$1315,TotalTeamGames20242025!$A21)</f>
        <v>1</v>
      </c>
      <c r="AE21" s="35"/>
      <c r="AF21" s="28">
        <f>COUNTIFS(DataRegularSeason20242025!$E$2:$E$1315,TotalTeamGames20242025!AE$1,DataRegularSeason20242025!$D$2:$D$1315,TotalTeamGames20242025!$A21)</f>
        <v>1</v>
      </c>
      <c r="AG21" s="35"/>
      <c r="AH21" s="28">
        <f>COUNTIFS(DataRegularSeason20242025!$E$2:$E$1315,TotalTeamGames20242025!AG$1,DataRegularSeason20242025!$D$2:$D$1315,TotalTeamGames20242025!$A21)</f>
        <v>2</v>
      </c>
      <c r="AI21" s="35"/>
      <c r="AJ21" s="28">
        <f>COUNTIFS(DataRegularSeason20242025!$E$2:$E$1315,TotalTeamGames20242025!AI$1,DataRegularSeason20242025!$D$2:$D$1315,TotalTeamGames20242025!$A21)</f>
        <v>1</v>
      </c>
      <c r="AK21" s="35"/>
      <c r="AL21" s="28">
        <f>COUNTIFS(DataRegularSeason20242025!$E$2:$E$1315,TotalTeamGames20242025!AK$1,DataRegularSeason20242025!$D$2:$D$1315,TotalTeamGames20242025!$A21)</f>
        <v>1</v>
      </c>
      <c r="AM21" s="35"/>
      <c r="AN21" s="28">
        <f>COUNTIFS(DataRegularSeason20242025!$E$2:$E$1315,TotalTeamGames20242025!AM$1,DataRegularSeason20242025!$D$2:$D$1315,TotalTeamGames20242025!$A21)</f>
        <v>2</v>
      </c>
      <c r="AO21" s="35"/>
      <c r="AP21" s="28">
        <f>COUNTIFS(DataRegularSeason20242025!$E$2:$E$1315,TotalTeamGames20242025!AO$1,DataRegularSeason20242025!$D$2:$D$1315,TotalTeamGames20242025!$A21)</f>
        <v>2</v>
      </c>
      <c r="AQ21" s="35"/>
      <c r="AR21" s="28">
        <f>COUNTIFS(DataRegularSeason20242025!$E$2:$E$1315,TotalTeamGames20242025!AQ$1,DataRegularSeason20242025!$D$2:$D$1315,TotalTeamGames20242025!$A21)</f>
        <v>1</v>
      </c>
      <c r="AS21" s="35"/>
      <c r="AT21" s="28">
        <f>COUNTIFS(DataRegularSeason20242025!$E$2:$E$1315,TotalTeamGames20242025!AS$1,DataRegularSeason20242025!$D$2:$D$1315,TotalTeamGames20242025!$A21)</f>
        <v>2</v>
      </c>
      <c r="AU21" s="35"/>
      <c r="AV21" s="28">
        <f>COUNTIFS(DataRegularSeason20242025!$E$2:$E$1315,TotalTeamGames20242025!AU$1,DataRegularSeason20242025!$D$2:$D$1315,TotalTeamGames20242025!$A21)</f>
        <v>1</v>
      </c>
      <c r="AW21" s="35"/>
      <c r="AX21" s="28">
        <f>COUNTIFS(DataRegularSeason20242025!$E$2:$E$1315,TotalTeamGames20242025!AW$1,DataRegularSeason20242025!$D$2:$D$1315,TotalTeamGames20242025!$A21)</f>
        <v>1</v>
      </c>
      <c r="AY21" s="35"/>
      <c r="AZ21" s="28">
        <f>COUNTIFS(DataRegularSeason20242025!$E$2:$E$1315,TotalTeamGames20242025!AY$1,DataRegularSeason20242025!$D$2:$D$1315,TotalTeamGames20242025!$A21)</f>
        <v>1</v>
      </c>
      <c r="BA21" s="35"/>
      <c r="BB21" s="28">
        <f>COUNTIFS(DataRegularSeason20242025!$E$2:$E$1315,TotalTeamGames20242025!BA$1,DataRegularSeason20242025!$D$2:$D$1315,TotalTeamGames20242025!$A21)</f>
        <v>2</v>
      </c>
      <c r="BC21" s="35"/>
      <c r="BD21" s="28">
        <f>COUNTIFS(DataRegularSeason20242025!$E$2:$E$1315,TotalTeamGames20242025!BC$1,DataRegularSeason20242025!$D$2:$D$1315,TotalTeamGames20242025!$A21)</f>
        <v>2</v>
      </c>
      <c r="BE21" s="35"/>
      <c r="BF21" s="27">
        <f>COUNTIFS(DataRegularSeason20242025!$E$2:$E$1315,TotalTeamGames20242025!BE$1,DataRegularSeason20242025!$D$2:$D$1315,TotalTeamGames20242025!$A21)</f>
        <v>1</v>
      </c>
      <c r="BG21" s="40"/>
      <c r="BH21" s="28">
        <f>COUNTIFS(DataRegularSeason20242025!$E$2:$E$1315,TotalTeamGames20242025!BG$1,DataRegularSeason20242025!$D$2:$D$1315,TotalTeamGames20242025!$A21)</f>
        <v>1</v>
      </c>
      <c r="BI21" s="35"/>
      <c r="BJ21" s="28">
        <f>COUNTIFS(DataRegularSeason20242025!$E$2:$E$1315,TotalTeamGames20242025!BI$1,DataRegularSeason20242025!$D$2:$D$1315,TotalTeamGames20242025!$A21)</f>
        <v>1</v>
      </c>
      <c r="BK21" s="35"/>
      <c r="BL21" s="28">
        <f>COUNTIFS(DataRegularSeason20242025!$E$2:$E$1315,TotalTeamGames20242025!BK$1,DataRegularSeason20242025!$D$2:$D$1315,TotalTeamGames20242025!$A21)</f>
        <v>1</v>
      </c>
      <c r="BM21" s="35"/>
      <c r="BN21" s="28">
        <f>COUNTIFS(DataRegularSeason20242025!$E$2:$E$1315,TotalTeamGames20242025!BM$1,DataRegularSeason20242025!$D$2:$D$1315,TotalTeamGames20242025!$A21)</f>
        <v>1</v>
      </c>
      <c r="BO21" s="30">
        <f t="shared" si="0"/>
        <v>41</v>
      </c>
      <c r="BP21" s="165">
        <f t="shared" ref="BP21" si="9">BO21+BO22</f>
        <v>82</v>
      </c>
    </row>
    <row r="22" spans="1:68" ht="9.9499999999999993" customHeight="1" x14ac:dyDescent="0.25">
      <c r="A22" s="167"/>
      <c r="B22" s="32" t="s">
        <v>73</v>
      </c>
      <c r="C22" s="31">
        <f>COUNTIFS(DataRegularSeason20242025!$D$2:$D$1315,TotalTeamGames20242025!C$1,DataRegularSeason20242025!$E$2:$E$1315,TotalTeamGames20242025!$A21)</f>
        <v>1</v>
      </c>
      <c r="D22" s="39"/>
      <c r="E22" s="31">
        <f>COUNTIFS(DataRegularSeason20242025!$D$2:$D$1315,TotalTeamGames20242025!E$1,DataRegularSeason20242025!$E$2:$E$1315,TotalTeamGames20242025!$A21)</f>
        <v>2</v>
      </c>
      <c r="F22" s="39"/>
      <c r="G22" s="31">
        <f>COUNTIFS(DataRegularSeason20242025!$D$2:$D$1315,TotalTeamGames20242025!G$1,DataRegularSeason20242025!$E$2:$E$1315,TotalTeamGames20242025!$A21)</f>
        <v>1</v>
      </c>
      <c r="H22" s="39"/>
      <c r="I22" s="31">
        <f>COUNTIFS(DataRegularSeason20242025!$D$2:$D$1315,TotalTeamGames20242025!I$1,DataRegularSeason20242025!$E$2:$E$1315,TotalTeamGames20242025!$A21)</f>
        <v>1</v>
      </c>
      <c r="J22" s="39"/>
      <c r="K22" s="31">
        <f>COUNTIFS(DataRegularSeason20242025!$D$2:$D$1315,TotalTeamGames20242025!K$1,DataRegularSeason20242025!$E$2:$E$1315,TotalTeamGames20242025!$A21)</f>
        <v>2</v>
      </c>
      <c r="L22" s="39"/>
      <c r="M22" s="31">
        <f>COUNTIFS(DataRegularSeason20242025!$D$2:$D$1315,TotalTeamGames20242025!M$1,DataRegularSeason20242025!$E$2:$E$1315,TotalTeamGames20242025!$A21)</f>
        <v>1</v>
      </c>
      <c r="N22" s="39"/>
      <c r="O22" s="31">
        <f>COUNTIFS(DataRegularSeason20242025!$D$2:$D$1315,TotalTeamGames20242025!O$1,DataRegularSeason20242025!$E$2:$E$1315,TotalTeamGames20242025!$A21)</f>
        <v>1</v>
      </c>
      <c r="P22" s="39"/>
      <c r="Q22" s="31">
        <f>COUNTIFS(DataRegularSeason20242025!$D$2:$D$1315,TotalTeamGames20242025!Q$1,DataRegularSeason20242025!$E$2:$E$1315,TotalTeamGames20242025!$A21)</f>
        <v>1</v>
      </c>
      <c r="R22" s="39"/>
      <c r="S22" s="31">
        <f>COUNTIFS(DataRegularSeason20242025!$D$2:$D$1315,TotalTeamGames20242025!S$1,DataRegularSeason20242025!$E$2:$E$1315,TotalTeamGames20242025!$A21)</f>
        <v>1</v>
      </c>
      <c r="T22" s="39"/>
      <c r="U22" s="38"/>
      <c r="V22" s="39"/>
      <c r="W22" s="31">
        <f>COUNTIFS(DataRegularSeason20242025!$D$2:$D$1315,TotalTeamGames20242025!W$1,DataRegularSeason20242025!$E$2:$E$1315,TotalTeamGames20242025!$A21)</f>
        <v>1</v>
      </c>
      <c r="X22" s="39"/>
      <c r="Y22" s="31">
        <f>COUNTIFS(DataRegularSeason20242025!$D$2:$D$1315,TotalTeamGames20242025!Y$1,DataRegularSeason20242025!$E$2:$E$1315,TotalTeamGames20242025!$A21)</f>
        <v>2</v>
      </c>
      <c r="Z22" s="39"/>
      <c r="AA22" s="31">
        <f>COUNTIFS(DataRegularSeason20242025!$D$2:$D$1315,TotalTeamGames20242025!AA$1,DataRegularSeason20242025!$E$2:$E$1315,TotalTeamGames20242025!$A21)</f>
        <v>1</v>
      </c>
      <c r="AB22" s="39"/>
      <c r="AC22" s="31">
        <f>COUNTIFS(DataRegularSeason20242025!$D$2:$D$1315,TotalTeamGames20242025!AC$1,DataRegularSeason20242025!$E$2:$E$1315,TotalTeamGames20242025!$A21)</f>
        <v>1</v>
      </c>
      <c r="AD22" s="39"/>
      <c r="AE22" s="31">
        <f>COUNTIFS(DataRegularSeason20242025!$D$2:$D$1315,TotalTeamGames20242025!AE$1,DataRegularSeason20242025!$E$2:$E$1315,TotalTeamGames20242025!$A21)</f>
        <v>2</v>
      </c>
      <c r="AF22" s="39"/>
      <c r="AG22" s="31">
        <f>COUNTIFS(DataRegularSeason20242025!$D$2:$D$1315,TotalTeamGames20242025!AG$1,DataRegularSeason20242025!$E$2:$E$1315,TotalTeamGames20242025!$A21)</f>
        <v>1</v>
      </c>
      <c r="AH22" s="39"/>
      <c r="AI22" s="31">
        <f>COUNTIFS(DataRegularSeason20242025!$D$2:$D$1315,TotalTeamGames20242025!AI$1,DataRegularSeason20242025!$E$2:$E$1315,TotalTeamGames20242025!$A21)</f>
        <v>1</v>
      </c>
      <c r="AJ22" s="39"/>
      <c r="AK22" s="31">
        <f>COUNTIFS(DataRegularSeason20242025!$D$2:$D$1315,TotalTeamGames20242025!AK$1,DataRegularSeason20242025!$E$2:$E$1315,TotalTeamGames20242025!$A21)</f>
        <v>2</v>
      </c>
      <c r="AL22" s="39"/>
      <c r="AM22" s="31">
        <f>COUNTIFS(DataRegularSeason20242025!$D$2:$D$1315,TotalTeamGames20242025!AM$1,DataRegularSeason20242025!$E$2:$E$1315,TotalTeamGames20242025!$A21)</f>
        <v>1</v>
      </c>
      <c r="AN22" s="39"/>
      <c r="AO22" s="31">
        <f>COUNTIFS(DataRegularSeason20242025!$D$2:$D$1315,TotalTeamGames20242025!AO$1,DataRegularSeason20242025!$E$2:$E$1315,TotalTeamGames20242025!$A21)</f>
        <v>2</v>
      </c>
      <c r="AP22" s="39"/>
      <c r="AQ22" s="31">
        <f>COUNTIFS(DataRegularSeason20242025!$D$2:$D$1315,TotalTeamGames20242025!AQ$1,DataRegularSeason20242025!$E$2:$E$1315,TotalTeamGames20242025!$A21)</f>
        <v>2</v>
      </c>
      <c r="AR22" s="39"/>
      <c r="AS22" s="31">
        <f>COUNTIFS(DataRegularSeason20242025!$D$2:$D$1315,TotalTeamGames20242025!AS$1,DataRegularSeason20242025!$E$2:$E$1315,TotalTeamGames20242025!$A21)</f>
        <v>1</v>
      </c>
      <c r="AT22" s="39"/>
      <c r="AU22" s="31">
        <f>COUNTIFS(DataRegularSeason20242025!$D$2:$D$1315,TotalTeamGames20242025!AU$1,DataRegularSeason20242025!$E$2:$E$1315,TotalTeamGames20242025!$A21)</f>
        <v>1</v>
      </c>
      <c r="AV22" s="39"/>
      <c r="AW22" s="31">
        <f>COUNTIFS(DataRegularSeason20242025!$D$2:$D$1315,TotalTeamGames20242025!AW$1,DataRegularSeason20242025!$E$2:$E$1315,TotalTeamGames20242025!$A21)</f>
        <v>1</v>
      </c>
      <c r="AX22" s="39"/>
      <c r="AY22" s="31">
        <f>COUNTIFS(DataRegularSeason20242025!$D$2:$D$1315,TotalTeamGames20242025!AY$1,DataRegularSeason20242025!$E$2:$E$1315,TotalTeamGames20242025!$A21)</f>
        <v>1</v>
      </c>
      <c r="AZ22" s="39"/>
      <c r="BA22" s="31">
        <f>COUNTIFS(DataRegularSeason20242025!$D$2:$D$1315,TotalTeamGames20242025!BA$1,DataRegularSeason20242025!$E$2:$E$1315,TotalTeamGames20242025!$A21)</f>
        <v>2</v>
      </c>
      <c r="BB22" s="39"/>
      <c r="BC22" s="31">
        <f>COUNTIFS(DataRegularSeason20242025!$D$2:$D$1315,TotalTeamGames20242025!BC$1,DataRegularSeason20242025!$E$2:$E$1315,TotalTeamGames20242025!$A21)</f>
        <v>2</v>
      </c>
      <c r="BD22" s="39"/>
      <c r="BE22" s="31">
        <f>COUNTIFS(DataRegularSeason20242025!$D$2:$D$1315,TotalTeamGames20242025!BE$1,DataRegularSeason20242025!$E$2:$E$1315,TotalTeamGames20242025!$A21)</f>
        <v>1</v>
      </c>
      <c r="BF22" s="38"/>
      <c r="BG22" s="33">
        <f>COUNTIFS(DataRegularSeason20242025!$D$2:$D$1315,TotalTeamGames20242025!BG$1,DataRegularSeason20242025!$E$2:$E$1315,TotalTeamGames20242025!$A21)</f>
        <v>1</v>
      </c>
      <c r="BH22" s="39"/>
      <c r="BI22" s="31">
        <f>COUNTIFS(DataRegularSeason20242025!$D$2:$D$1315,TotalTeamGames20242025!BI$1,DataRegularSeason20242025!$E$2:$E$1315,TotalTeamGames20242025!$A21)</f>
        <v>1</v>
      </c>
      <c r="BJ22" s="39"/>
      <c r="BK22" s="31">
        <f>COUNTIFS(DataRegularSeason20242025!$D$2:$D$1315,TotalTeamGames20242025!BK$1,DataRegularSeason20242025!$E$2:$E$1315,TotalTeamGames20242025!$A21)</f>
        <v>1</v>
      </c>
      <c r="BL22" s="39"/>
      <c r="BM22" s="31">
        <f>COUNTIFS(DataRegularSeason20242025!$D$2:$D$1315,TotalTeamGames20242025!BM$1,DataRegularSeason20242025!$E$2:$E$1315,TotalTeamGames20242025!$A21)</f>
        <v>2</v>
      </c>
      <c r="BN22" s="39"/>
      <c r="BO22" s="34">
        <f t="shared" si="0"/>
        <v>41</v>
      </c>
      <c r="BP22" s="165"/>
    </row>
    <row r="23" spans="1:68" ht="9.9499999999999993" customHeight="1" x14ac:dyDescent="0.25">
      <c r="A23" s="166" t="s">
        <v>22</v>
      </c>
      <c r="B23" s="28" t="s">
        <v>74</v>
      </c>
      <c r="C23" s="35"/>
      <c r="D23" s="28">
        <f>COUNTIFS(DataRegularSeason20242025!$E$2:$E$1315,TotalTeamGames20242025!C$1,DataRegularSeason20242025!$D$2:$D$1315,TotalTeamGames20242025!$A23)</f>
        <v>1</v>
      </c>
      <c r="E23" s="35"/>
      <c r="F23" s="28">
        <f>COUNTIFS(DataRegularSeason20242025!$E$2:$E$1315,TotalTeamGames20242025!E$1,DataRegularSeason20242025!$D$2:$D$1315,TotalTeamGames20242025!$A23)</f>
        <v>1</v>
      </c>
      <c r="G23" s="35"/>
      <c r="H23" s="28">
        <f>COUNTIFS(DataRegularSeason20242025!$E$2:$E$1315,TotalTeamGames20242025!G$1,DataRegularSeason20242025!$D$2:$D$1315,TotalTeamGames20242025!$A23)</f>
        <v>1</v>
      </c>
      <c r="I23" s="35"/>
      <c r="J23" s="28">
        <f>COUNTIFS(DataRegularSeason20242025!$E$2:$E$1315,TotalTeamGames20242025!I$1,DataRegularSeason20242025!$D$2:$D$1315,TotalTeamGames20242025!$A23)</f>
        <v>1</v>
      </c>
      <c r="K23" s="35"/>
      <c r="L23" s="28">
        <f>COUNTIFS(DataRegularSeason20242025!$E$2:$E$1315,TotalTeamGames20242025!K$1,DataRegularSeason20242025!$D$2:$D$1315,TotalTeamGames20242025!$A23)</f>
        <v>1</v>
      </c>
      <c r="M23" s="35"/>
      <c r="N23" s="28">
        <f>COUNTIFS(DataRegularSeason20242025!$E$2:$E$1315,TotalTeamGames20242025!M$1,DataRegularSeason20242025!$D$2:$D$1315,TotalTeamGames20242025!$A23)</f>
        <v>2</v>
      </c>
      <c r="O23" s="35"/>
      <c r="P23" s="28">
        <f>COUNTIFS(DataRegularSeason20242025!$E$2:$E$1315,TotalTeamGames20242025!O$1,DataRegularSeason20242025!$D$2:$D$1315,TotalTeamGames20242025!$A23)</f>
        <v>1</v>
      </c>
      <c r="Q23" s="35"/>
      <c r="R23" s="28">
        <f>COUNTIFS(DataRegularSeason20242025!$E$2:$E$1315,TotalTeamGames20242025!Q$1,DataRegularSeason20242025!$D$2:$D$1315,TotalTeamGames20242025!$A23)</f>
        <v>1</v>
      </c>
      <c r="S23" s="35"/>
      <c r="T23" s="28">
        <f>COUNTIFS(DataRegularSeason20242025!$E$2:$E$1315,TotalTeamGames20242025!S$1,DataRegularSeason20242025!$D$2:$D$1315,TotalTeamGames20242025!$A23)</f>
        <v>2</v>
      </c>
      <c r="U23" s="35"/>
      <c r="V23" s="28">
        <f>COUNTIFS(DataRegularSeason20242025!$E$2:$E$1315,TotalTeamGames20242025!U$1,DataRegularSeason20242025!$D$2:$D$1315,TotalTeamGames20242025!$A23)</f>
        <v>1</v>
      </c>
      <c r="W23" s="35"/>
      <c r="X23" s="36"/>
      <c r="Y23" s="35"/>
      <c r="Z23" s="28">
        <f>COUNTIFS(DataRegularSeason20242025!$E$2:$E$1315,TotalTeamGames20242025!Y$1,DataRegularSeason20242025!$D$2:$D$1315,TotalTeamGames20242025!$A23)</f>
        <v>1</v>
      </c>
      <c r="AA23" s="35"/>
      <c r="AB23" s="28">
        <f>COUNTIFS(DataRegularSeason20242025!$E$2:$E$1315,TotalTeamGames20242025!AA$1,DataRegularSeason20242025!$D$2:$D$1315,TotalTeamGames20242025!$A23)</f>
        <v>2</v>
      </c>
      <c r="AC23" s="35"/>
      <c r="AD23" s="28">
        <f>COUNTIFS(DataRegularSeason20242025!$E$2:$E$1315,TotalTeamGames20242025!AC$1,DataRegularSeason20242025!$D$2:$D$1315,TotalTeamGames20242025!$A23)</f>
        <v>1</v>
      </c>
      <c r="AE23" s="35"/>
      <c r="AF23" s="28">
        <f>COUNTIFS(DataRegularSeason20242025!$E$2:$E$1315,TotalTeamGames20242025!AE$1,DataRegularSeason20242025!$D$2:$D$1315,TotalTeamGames20242025!$A23)</f>
        <v>1</v>
      </c>
      <c r="AG23" s="35"/>
      <c r="AH23" s="28">
        <f>COUNTIFS(DataRegularSeason20242025!$E$2:$E$1315,TotalTeamGames20242025!AG$1,DataRegularSeason20242025!$D$2:$D$1315,TotalTeamGames20242025!$A23)</f>
        <v>1</v>
      </c>
      <c r="AI23" s="35"/>
      <c r="AJ23" s="28">
        <f>COUNTIFS(DataRegularSeason20242025!$E$2:$E$1315,TotalTeamGames20242025!AI$1,DataRegularSeason20242025!$D$2:$D$1315,TotalTeamGames20242025!$A23)</f>
        <v>1</v>
      </c>
      <c r="AK23" s="35"/>
      <c r="AL23" s="28">
        <f>COUNTIFS(DataRegularSeason20242025!$E$2:$E$1315,TotalTeamGames20242025!AK$1,DataRegularSeason20242025!$D$2:$D$1315,TotalTeamGames20242025!$A23)</f>
        <v>1</v>
      </c>
      <c r="AM23" s="35"/>
      <c r="AN23" s="28">
        <f>COUNTIFS(DataRegularSeason20242025!$E$2:$E$1315,TotalTeamGames20242025!AM$1,DataRegularSeason20242025!$D$2:$D$1315,TotalTeamGames20242025!$A23)</f>
        <v>1</v>
      </c>
      <c r="AO23" s="35"/>
      <c r="AP23" s="28">
        <f>COUNTIFS(DataRegularSeason20242025!$E$2:$E$1315,TotalTeamGames20242025!AO$1,DataRegularSeason20242025!$D$2:$D$1315,TotalTeamGames20242025!$A23)</f>
        <v>1</v>
      </c>
      <c r="AQ23" s="35"/>
      <c r="AR23" s="28">
        <f>COUNTIFS(DataRegularSeason20242025!$E$2:$E$1315,TotalTeamGames20242025!AQ$1,DataRegularSeason20242025!$D$2:$D$1315,TotalTeamGames20242025!$A23)</f>
        <v>1</v>
      </c>
      <c r="AS23" s="35"/>
      <c r="AT23" s="28">
        <f>COUNTIFS(DataRegularSeason20242025!$E$2:$E$1315,TotalTeamGames20242025!AS$1,DataRegularSeason20242025!$D$2:$D$1315,TotalTeamGames20242025!$A23)</f>
        <v>1</v>
      </c>
      <c r="AU23" s="35"/>
      <c r="AV23" s="28">
        <f>COUNTIFS(DataRegularSeason20242025!$E$2:$E$1315,TotalTeamGames20242025!AU$1,DataRegularSeason20242025!$D$2:$D$1315,TotalTeamGames20242025!$A23)</f>
        <v>2</v>
      </c>
      <c r="AW23" s="35"/>
      <c r="AX23" s="28">
        <f>COUNTIFS(DataRegularSeason20242025!$E$2:$E$1315,TotalTeamGames20242025!AW$1,DataRegularSeason20242025!$D$2:$D$1315,TotalTeamGames20242025!$A23)</f>
        <v>2</v>
      </c>
      <c r="AY23" s="35"/>
      <c r="AZ23" s="28">
        <f>COUNTIFS(DataRegularSeason20242025!$E$2:$E$1315,TotalTeamGames20242025!AY$1,DataRegularSeason20242025!$D$2:$D$1315,TotalTeamGames20242025!$A23)</f>
        <v>2</v>
      </c>
      <c r="BA23" s="35"/>
      <c r="BB23" s="28">
        <f>COUNTIFS(DataRegularSeason20242025!$E$2:$E$1315,TotalTeamGames20242025!BA$1,DataRegularSeason20242025!$D$2:$D$1315,TotalTeamGames20242025!$A23)</f>
        <v>1</v>
      </c>
      <c r="BC23" s="35"/>
      <c r="BD23" s="28">
        <f>COUNTIFS(DataRegularSeason20242025!$E$2:$E$1315,TotalTeamGames20242025!BC$1,DataRegularSeason20242025!$D$2:$D$1315,TotalTeamGames20242025!$A23)</f>
        <v>1</v>
      </c>
      <c r="BE23" s="35"/>
      <c r="BF23" s="27">
        <f>COUNTIFS(DataRegularSeason20242025!$E$2:$E$1315,TotalTeamGames20242025!BE$1,DataRegularSeason20242025!$D$2:$D$1315,TotalTeamGames20242025!$A23)</f>
        <v>2</v>
      </c>
      <c r="BG23" s="40"/>
      <c r="BH23" s="28">
        <f>COUNTIFS(DataRegularSeason20242025!$E$2:$E$1315,TotalTeamGames20242025!BG$1,DataRegularSeason20242025!$D$2:$D$1315,TotalTeamGames20242025!$A23)</f>
        <v>2</v>
      </c>
      <c r="BI23" s="35"/>
      <c r="BJ23" s="28">
        <f>COUNTIFS(DataRegularSeason20242025!$E$2:$E$1315,TotalTeamGames20242025!BI$1,DataRegularSeason20242025!$D$2:$D$1315,TotalTeamGames20242025!$A23)</f>
        <v>2</v>
      </c>
      <c r="BK23" s="35"/>
      <c r="BL23" s="28">
        <f>COUNTIFS(DataRegularSeason20242025!$E$2:$E$1315,TotalTeamGames20242025!BK$1,DataRegularSeason20242025!$D$2:$D$1315,TotalTeamGames20242025!$A23)</f>
        <v>2</v>
      </c>
      <c r="BM23" s="35"/>
      <c r="BN23" s="28">
        <f>COUNTIFS(DataRegularSeason20242025!$E$2:$E$1315,TotalTeamGames20242025!BM$1,DataRegularSeason20242025!$D$2:$D$1315,TotalTeamGames20242025!$A23)</f>
        <v>1</v>
      </c>
      <c r="BO23" s="30">
        <f t="shared" si="0"/>
        <v>41</v>
      </c>
      <c r="BP23" s="165">
        <f t="shared" ref="BP23" si="10">BO23+BO24</f>
        <v>82</v>
      </c>
    </row>
    <row r="24" spans="1:68" ht="9.9499999999999993" customHeight="1" x14ac:dyDescent="0.25">
      <c r="A24" s="167"/>
      <c r="B24" s="32" t="s">
        <v>73</v>
      </c>
      <c r="C24" s="31">
        <f>COUNTIFS(DataRegularSeason20242025!$D$2:$D$1315,TotalTeamGames20242025!C$1,DataRegularSeason20242025!$E$2:$E$1315,TotalTeamGames20242025!$A23)</f>
        <v>2</v>
      </c>
      <c r="D24" s="39"/>
      <c r="E24" s="31">
        <f>COUNTIFS(DataRegularSeason20242025!$D$2:$D$1315,TotalTeamGames20242025!E$1,DataRegularSeason20242025!$E$2:$E$1315,TotalTeamGames20242025!$A23)</f>
        <v>1</v>
      </c>
      <c r="F24" s="39"/>
      <c r="G24" s="31">
        <f>COUNTIFS(DataRegularSeason20242025!$D$2:$D$1315,TotalTeamGames20242025!G$1,DataRegularSeason20242025!$E$2:$E$1315,TotalTeamGames20242025!$A23)</f>
        <v>1</v>
      </c>
      <c r="H24" s="39"/>
      <c r="I24" s="31">
        <f>COUNTIFS(DataRegularSeason20242025!$D$2:$D$1315,TotalTeamGames20242025!I$1,DataRegularSeason20242025!$E$2:$E$1315,TotalTeamGames20242025!$A23)</f>
        <v>1</v>
      </c>
      <c r="J24" s="39"/>
      <c r="K24" s="31">
        <f>COUNTIFS(DataRegularSeason20242025!$D$2:$D$1315,TotalTeamGames20242025!K$1,DataRegularSeason20242025!$E$2:$E$1315,TotalTeamGames20242025!$A23)</f>
        <v>1</v>
      </c>
      <c r="L24" s="39"/>
      <c r="M24" s="31">
        <f>COUNTIFS(DataRegularSeason20242025!$D$2:$D$1315,TotalTeamGames20242025!M$1,DataRegularSeason20242025!$E$2:$E$1315,TotalTeamGames20242025!$A23)</f>
        <v>2</v>
      </c>
      <c r="N24" s="39"/>
      <c r="O24" s="31">
        <f>COUNTIFS(DataRegularSeason20242025!$D$2:$D$1315,TotalTeamGames20242025!O$1,DataRegularSeason20242025!$E$2:$E$1315,TotalTeamGames20242025!$A23)</f>
        <v>2</v>
      </c>
      <c r="P24" s="39"/>
      <c r="Q24" s="31">
        <f>COUNTIFS(DataRegularSeason20242025!$D$2:$D$1315,TotalTeamGames20242025!Q$1,DataRegularSeason20242025!$E$2:$E$1315,TotalTeamGames20242025!$A23)</f>
        <v>2</v>
      </c>
      <c r="R24" s="39"/>
      <c r="S24" s="31">
        <f>COUNTIFS(DataRegularSeason20242025!$D$2:$D$1315,TotalTeamGames20242025!S$1,DataRegularSeason20242025!$E$2:$E$1315,TotalTeamGames20242025!$A23)</f>
        <v>1</v>
      </c>
      <c r="T24" s="39"/>
      <c r="U24" s="31">
        <f>COUNTIFS(DataRegularSeason20242025!$D$2:$D$1315,TotalTeamGames20242025!U$1,DataRegularSeason20242025!$E$2:$E$1315,TotalTeamGames20242025!$A23)</f>
        <v>1</v>
      </c>
      <c r="V24" s="39"/>
      <c r="W24" s="38"/>
      <c r="X24" s="39"/>
      <c r="Y24" s="31">
        <f>COUNTIFS(DataRegularSeason20242025!$D$2:$D$1315,TotalTeamGames20242025!Y$1,DataRegularSeason20242025!$E$2:$E$1315,TotalTeamGames20242025!$A23)</f>
        <v>1</v>
      </c>
      <c r="Z24" s="39"/>
      <c r="AA24" s="31">
        <f>COUNTIFS(DataRegularSeason20242025!$D$2:$D$1315,TotalTeamGames20242025!AA$1,DataRegularSeason20242025!$E$2:$E$1315,TotalTeamGames20242025!$A23)</f>
        <v>1</v>
      </c>
      <c r="AB24" s="39"/>
      <c r="AC24" s="31">
        <f>COUNTIFS(DataRegularSeason20242025!$D$2:$D$1315,TotalTeamGames20242025!AC$1,DataRegularSeason20242025!$E$2:$E$1315,TotalTeamGames20242025!$A23)</f>
        <v>2</v>
      </c>
      <c r="AD24" s="39"/>
      <c r="AE24" s="31">
        <f>COUNTIFS(DataRegularSeason20242025!$D$2:$D$1315,TotalTeamGames20242025!AE$1,DataRegularSeason20242025!$E$2:$E$1315,TotalTeamGames20242025!$A23)</f>
        <v>1</v>
      </c>
      <c r="AF24" s="39"/>
      <c r="AG24" s="31">
        <f>COUNTIFS(DataRegularSeason20242025!$D$2:$D$1315,TotalTeamGames20242025!AG$1,DataRegularSeason20242025!$E$2:$E$1315,TotalTeamGames20242025!$A23)</f>
        <v>1</v>
      </c>
      <c r="AH24" s="39"/>
      <c r="AI24" s="31">
        <f>COUNTIFS(DataRegularSeason20242025!$D$2:$D$1315,TotalTeamGames20242025!AI$1,DataRegularSeason20242025!$E$2:$E$1315,TotalTeamGames20242025!$A23)</f>
        <v>2</v>
      </c>
      <c r="AJ24" s="39"/>
      <c r="AK24" s="31">
        <f>COUNTIFS(DataRegularSeason20242025!$D$2:$D$1315,TotalTeamGames20242025!AK$1,DataRegularSeason20242025!$E$2:$E$1315,TotalTeamGames20242025!$A23)</f>
        <v>1</v>
      </c>
      <c r="AL24" s="39"/>
      <c r="AM24" s="31">
        <f>COUNTIFS(DataRegularSeason20242025!$D$2:$D$1315,TotalTeamGames20242025!AM$1,DataRegularSeason20242025!$E$2:$E$1315,TotalTeamGames20242025!$A23)</f>
        <v>1</v>
      </c>
      <c r="AN24" s="39"/>
      <c r="AO24" s="31">
        <f>COUNTIFS(DataRegularSeason20242025!$D$2:$D$1315,TotalTeamGames20242025!AO$1,DataRegularSeason20242025!$E$2:$E$1315,TotalTeamGames20242025!$A23)</f>
        <v>1</v>
      </c>
      <c r="AP24" s="39"/>
      <c r="AQ24" s="31">
        <f>COUNTIFS(DataRegularSeason20242025!$D$2:$D$1315,TotalTeamGames20242025!AQ$1,DataRegularSeason20242025!$E$2:$E$1315,TotalTeamGames20242025!$A23)</f>
        <v>1</v>
      </c>
      <c r="AR24" s="39"/>
      <c r="AS24" s="31">
        <f>COUNTIFS(DataRegularSeason20242025!$D$2:$D$1315,TotalTeamGames20242025!AS$1,DataRegularSeason20242025!$E$2:$E$1315,TotalTeamGames20242025!$A23)</f>
        <v>1</v>
      </c>
      <c r="AT24" s="39"/>
      <c r="AU24" s="31">
        <f>COUNTIFS(DataRegularSeason20242025!$D$2:$D$1315,TotalTeamGames20242025!AU$1,DataRegularSeason20242025!$E$2:$E$1315,TotalTeamGames20242025!$A23)</f>
        <v>2</v>
      </c>
      <c r="AV24" s="39"/>
      <c r="AW24" s="31">
        <f>COUNTIFS(DataRegularSeason20242025!$D$2:$D$1315,TotalTeamGames20242025!AW$1,DataRegularSeason20242025!$E$2:$E$1315,TotalTeamGames20242025!$A23)</f>
        <v>2</v>
      </c>
      <c r="AX24" s="39"/>
      <c r="AY24" s="31">
        <f>COUNTIFS(DataRegularSeason20242025!$D$2:$D$1315,TotalTeamGames20242025!AY$1,DataRegularSeason20242025!$E$2:$E$1315,TotalTeamGames20242025!$A23)</f>
        <v>1</v>
      </c>
      <c r="AZ24" s="39"/>
      <c r="BA24" s="31">
        <f>COUNTIFS(DataRegularSeason20242025!$D$2:$D$1315,TotalTeamGames20242025!BA$1,DataRegularSeason20242025!$E$2:$E$1315,TotalTeamGames20242025!$A23)</f>
        <v>1</v>
      </c>
      <c r="BB24" s="39"/>
      <c r="BC24" s="31">
        <f>COUNTIFS(DataRegularSeason20242025!$D$2:$D$1315,TotalTeamGames20242025!BC$1,DataRegularSeason20242025!$E$2:$E$1315,TotalTeamGames20242025!$A23)</f>
        <v>1</v>
      </c>
      <c r="BD24" s="39"/>
      <c r="BE24" s="31">
        <f>COUNTIFS(DataRegularSeason20242025!$D$2:$D$1315,TotalTeamGames20242025!BE$1,DataRegularSeason20242025!$E$2:$E$1315,TotalTeamGames20242025!$A23)</f>
        <v>1</v>
      </c>
      <c r="BF24" s="38"/>
      <c r="BG24" s="33">
        <f>COUNTIFS(DataRegularSeason20242025!$D$2:$D$1315,TotalTeamGames20242025!BG$1,DataRegularSeason20242025!$E$2:$E$1315,TotalTeamGames20242025!$A23)</f>
        <v>2</v>
      </c>
      <c r="BH24" s="39"/>
      <c r="BI24" s="31">
        <f>COUNTIFS(DataRegularSeason20242025!$D$2:$D$1315,TotalTeamGames20242025!BI$1,DataRegularSeason20242025!$E$2:$E$1315,TotalTeamGames20242025!$A23)</f>
        <v>2</v>
      </c>
      <c r="BJ24" s="39"/>
      <c r="BK24" s="31">
        <f>COUNTIFS(DataRegularSeason20242025!$D$2:$D$1315,TotalTeamGames20242025!BK$1,DataRegularSeason20242025!$E$2:$E$1315,TotalTeamGames20242025!$A23)</f>
        <v>1</v>
      </c>
      <c r="BL24" s="39"/>
      <c r="BM24" s="31">
        <f>COUNTIFS(DataRegularSeason20242025!$D$2:$D$1315,TotalTeamGames20242025!BM$1,DataRegularSeason20242025!$E$2:$E$1315,TotalTeamGames20242025!$A23)</f>
        <v>1</v>
      </c>
      <c r="BN24" s="39"/>
      <c r="BO24" s="34">
        <f t="shared" si="0"/>
        <v>41</v>
      </c>
      <c r="BP24" s="165"/>
    </row>
    <row r="25" spans="1:68" ht="9.9499999999999993" customHeight="1" x14ac:dyDescent="0.25">
      <c r="A25" s="166" t="s">
        <v>13</v>
      </c>
      <c r="B25" s="28" t="s">
        <v>74</v>
      </c>
      <c r="C25" s="35"/>
      <c r="D25" s="28">
        <f>COUNTIFS(DataRegularSeason20242025!$E$2:$E$1315,TotalTeamGames20242025!C$1,DataRegularSeason20242025!$D$2:$D$1315,TotalTeamGames20242025!$A25)</f>
        <v>1</v>
      </c>
      <c r="E25" s="35"/>
      <c r="F25" s="28">
        <f>COUNTIFS(DataRegularSeason20242025!$E$2:$E$1315,TotalTeamGames20242025!E$1,DataRegularSeason20242025!$D$2:$D$1315,TotalTeamGames20242025!$A25)</f>
        <v>1</v>
      </c>
      <c r="G25" s="35"/>
      <c r="H25" s="28">
        <f>COUNTIFS(DataRegularSeason20242025!$E$2:$E$1315,TotalTeamGames20242025!G$1,DataRegularSeason20242025!$D$2:$D$1315,TotalTeamGames20242025!$A25)</f>
        <v>2</v>
      </c>
      <c r="I25" s="35"/>
      <c r="J25" s="28">
        <f>COUNTIFS(DataRegularSeason20242025!$E$2:$E$1315,TotalTeamGames20242025!I$1,DataRegularSeason20242025!$D$2:$D$1315,TotalTeamGames20242025!$A25)</f>
        <v>2</v>
      </c>
      <c r="K25" s="35"/>
      <c r="L25" s="28">
        <f>COUNTIFS(DataRegularSeason20242025!$E$2:$E$1315,TotalTeamGames20242025!K$1,DataRegularSeason20242025!$D$2:$D$1315,TotalTeamGames20242025!$A25)</f>
        <v>1</v>
      </c>
      <c r="M25" s="35"/>
      <c r="N25" s="28">
        <f>COUNTIFS(DataRegularSeason20242025!$E$2:$E$1315,TotalTeamGames20242025!M$1,DataRegularSeason20242025!$D$2:$D$1315,TotalTeamGames20242025!$A25)</f>
        <v>1</v>
      </c>
      <c r="O25" s="35"/>
      <c r="P25" s="28">
        <f>COUNTIFS(DataRegularSeason20242025!$E$2:$E$1315,TotalTeamGames20242025!O$1,DataRegularSeason20242025!$D$2:$D$1315,TotalTeamGames20242025!$A25)</f>
        <v>1</v>
      </c>
      <c r="Q25" s="35"/>
      <c r="R25" s="28">
        <f>COUNTIFS(DataRegularSeason20242025!$E$2:$E$1315,TotalTeamGames20242025!Q$1,DataRegularSeason20242025!$D$2:$D$1315,TotalTeamGames20242025!$A25)</f>
        <v>1</v>
      </c>
      <c r="S25" s="35"/>
      <c r="T25" s="28">
        <f>COUNTIFS(DataRegularSeason20242025!$E$2:$E$1315,TotalTeamGames20242025!S$1,DataRegularSeason20242025!$D$2:$D$1315,TotalTeamGames20242025!$A25)</f>
        <v>1</v>
      </c>
      <c r="U25" s="35"/>
      <c r="V25" s="28">
        <f>COUNTIFS(DataRegularSeason20242025!$E$2:$E$1315,TotalTeamGames20242025!U$1,DataRegularSeason20242025!$D$2:$D$1315,TotalTeamGames20242025!$A25)</f>
        <v>2</v>
      </c>
      <c r="W25" s="35"/>
      <c r="X25" s="28">
        <f>COUNTIFS(DataRegularSeason20242025!$E$2:$E$1315,TotalTeamGames20242025!W$1,DataRegularSeason20242025!$D$2:$D$1315,TotalTeamGames20242025!$A25)</f>
        <v>1</v>
      </c>
      <c r="Y25" s="35"/>
      <c r="Z25" s="36"/>
      <c r="AA25" s="35"/>
      <c r="AB25" s="28">
        <f>COUNTIFS(DataRegularSeason20242025!$E$2:$E$1315,TotalTeamGames20242025!AA$1,DataRegularSeason20242025!$D$2:$D$1315,TotalTeamGames20242025!$A25)</f>
        <v>1</v>
      </c>
      <c r="AC25" s="35"/>
      <c r="AD25" s="28">
        <f>COUNTIFS(DataRegularSeason20242025!$E$2:$E$1315,TotalTeamGames20242025!AC$1,DataRegularSeason20242025!$D$2:$D$1315,TotalTeamGames20242025!$A25)</f>
        <v>1</v>
      </c>
      <c r="AE25" s="35"/>
      <c r="AF25" s="28">
        <f>COUNTIFS(DataRegularSeason20242025!$E$2:$E$1315,TotalTeamGames20242025!AE$1,DataRegularSeason20242025!$D$2:$D$1315,TotalTeamGames20242025!$A25)</f>
        <v>2</v>
      </c>
      <c r="AG25" s="35"/>
      <c r="AH25" s="28">
        <f>COUNTIFS(DataRegularSeason20242025!$E$2:$E$1315,TotalTeamGames20242025!AG$1,DataRegularSeason20242025!$D$2:$D$1315,TotalTeamGames20242025!$A25)</f>
        <v>2</v>
      </c>
      <c r="AI25" s="35"/>
      <c r="AJ25" s="28">
        <f>COUNTIFS(DataRegularSeason20242025!$E$2:$E$1315,TotalTeamGames20242025!AI$1,DataRegularSeason20242025!$D$2:$D$1315,TotalTeamGames20242025!$A25)</f>
        <v>1</v>
      </c>
      <c r="AK25" s="35"/>
      <c r="AL25" s="28">
        <f>COUNTIFS(DataRegularSeason20242025!$E$2:$E$1315,TotalTeamGames20242025!AK$1,DataRegularSeason20242025!$D$2:$D$1315,TotalTeamGames20242025!$A25)</f>
        <v>2</v>
      </c>
      <c r="AM25" s="35"/>
      <c r="AN25" s="28">
        <f>COUNTIFS(DataRegularSeason20242025!$E$2:$E$1315,TotalTeamGames20242025!AM$1,DataRegularSeason20242025!$D$2:$D$1315,TotalTeamGames20242025!$A25)</f>
        <v>1</v>
      </c>
      <c r="AO25" s="35"/>
      <c r="AP25" s="28">
        <f>COUNTIFS(DataRegularSeason20242025!$E$2:$E$1315,TotalTeamGames20242025!AO$1,DataRegularSeason20242025!$D$2:$D$1315,TotalTeamGames20242025!$A25)</f>
        <v>2</v>
      </c>
      <c r="AQ25" s="35"/>
      <c r="AR25" s="28">
        <f>COUNTIFS(DataRegularSeason20242025!$E$2:$E$1315,TotalTeamGames20242025!AQ$1,DataRegularSeason20242025!$D$2:$D$1315,TotalTeamGames20242025!$A25)</f>
        <v>1</v>
      </c>
      <c r="AS25" s="35"/>
      <c r="AT25" s="28">
        <f>COUNTIFS(DataRegularSeason20242025!$E$2:$E$1315,TotalTeamGames20242025!AS$1,DataRegularSeason20242025!$D$2:$D$1315,TotalTeamGames20242025!$A25)</f>
        <v>2</v>
      </c>
      <c r="AU25" s="35"/>
      <c r="AV25" s="28">
        <f>COUNTIFS(DataRegularSeason20242025!$E$2:$E$1315,TotalTeamGames20242025!AU$1,DataRegularSeason20242025!$D$2:$D$1315,TotalTeamGames20242025!$A25)</f>
        <v>1</v>
      </c>
      <c r="AW25" s="35"/>
      <c r="AX25" s="28">
        <f>COUNTIFS(DataRegularSeason20242025!$E$2:$E$1315,TotalTeamGames20242025!AW$1,DataRegularSeason20242025!$D$2:$D$1315,TotalTeamGames20242025!$A25)</f>
        <v>1</v>
      </c>
      <c r="AY25" s="35"/>
      <c r="AZ25" s="28">
        <f>COUNTIFS(DataRegularSeason20242025!$E$2:$E$1315,TotalTeamGames20242025!AY$1,DataRegularSeason20242025!$D$2:$D$1315,TotalTeamGames20242025!$A25)</f>
        <v>1</v>
      </c>
      <c r="BA25" s="35"/>
      <c r="BB25" s="28">
        <f>COUNTIFS(DataRegularSeason20242025!$E$2:$E$1315,TotalTeamGames20242025!BA$1,DataRegularSeason20242025!$D$2:$D$1315,TotalTeamGames20242025!$A25)</f>
        <v>2</v>
      </c>
      <c r="BC25" s="35"/>
      <c r="BD25" s="28">
        <f>COUNTIFS(DataRegularSeason20242025!$E$2:$E$1315,TotalTeamGames20242025!BC$1,DataRegularSeason20242025!$D$2:$D$1315,TotalTeamGames20242025!$A25)</f>
        <v>2</v>
      </c>
      <c r="BE25" s="35"/>
      <c r="BF25" s="27">
        <f>COUNTIFS(DataRegularSeason20242025!$E$2:$E$1315,TotalTeamGames20242025!BE$1,DataRegularSeason20242025!$D$2:$D$1315,TotalTeamGames20242025!$A25)</f>
        <v>1</v>
      </c>
      <c r="BG25" s="40"/>
      <c r="BH25" s="28">
        <f>COUNTIFS(DataRegularSeason20242025!$E$2:$E$1315,TotalTeamGames20242025!BG$1,DataRegularSeason20242025!$D$2:$D$1315,TotalTeamGames20242025!$A25)</f>
        <v>1</v>
      </c>
      <c r="BI25" s="35"/>
      <c r="BJ25" s="28">
        <f>COUNTIFS(DataRegularSeason20242025!$E$2:$E$1315,TotalTeamGames20242025!BI$1,DataRegularSeason20242025!$D$2:$D$1315,TotalTeamGames20242025!$A25)</f>
        <v>1</v>
      </c>
      <c r="BK25" s="35"/>
      <c r="BL25" s="28">
        <f>COUNTIFS(DataRegularSeason20242025!$E$2:$E$1315,TotalTeamGames20242025!BK$1,DataRegularSeason20242025!$D$2:$D$1315,TotalTeamGames20242025!$A25)</f>
        <v>1</v>
      </c>
      <c r="BM25" s="35"/>
      <c r="BN25" s="28">
        <f>COUNTIFS(DataRegularSeason20242025!$E$2:$E$1315,TotalTeamGames20242025!BM$1,DataRegularSeason20242025!$D$2:$D$1315,TotalTeamGames20242025!$A25)</f>
        <v>1</v>
      </c>
      <c r="BO25" s="30">
        <f t="shared" si="0"/>
        <v>41</v>
      </c>
      <c r="BP25" s="165">
        <f t="shared" ref="BP25" si="11">BO25+BO26</f>
        <v>82</v>
      </c>
    </row>
    <row r="26" spans="1:68" ht="9.9499999999999993" customHeight="1" x14ac:dyDescent="0.25">
      <c r="A26" s="167"/>
      <c r="B26" s="32" t="s">
        <v>73</v>
      </c>
      <c r="C26" s="31">
        <f>COUNTIFS(DataRegularSeason20242025!$D$2:$D$1315,TotalTeamGames20242025!C$1,DataRegularSeason20242025!$E$2:$E$1315,TotalTeamGames20242025!$A25)</f>
        <v>1</v>
      </c>
      <c r="D26" s="39"/>
      <c r="E26" s="31">
        <f>COUNTIFS(DataRegularSeason20242025!$D$2:$D$1315,TotalTeamGames20242025!E$1,DataRegularSeason20242025!$E$2:$E$1315,TotalTeamGames20242025!$A25)</f>
        <v>2</v>
      </c>
      <c r="F26" s="39"/>
      <c r="G26" s="31">
        <f>COUNTIFS(DataRegularSeason20242025!$D$2:$D$1315,TotalTeamGames20242025!G$1,DataRegularSeason20242025!$E$2:$E$1315,TotalTeamGames20242025!$A25)</f>
        <v>2</v>
      </c>
      <c r="H26" s="39"/>
      <c r="I26" s="31">
        <f>COUNTIFS(DataRegularSeason20242025!$D$2:$D$1315,TotalTeamGames20242025!I$1,DataRegularSeason20242025!$E$2:$E$1315,TotalTeamGames20242025!$A25)</f>
        <v>1</v>
      </c>
      <c r="J26" s="39"/>
      <c r="K26" s="31">
        <f>COUNTIFS(DataRegularSeason20242025!$D$2:$D$1315,TotalTeamGames20242025!K$1,DataRegularSeason20242025!$E$2:$E$1315,TotalTeamGames20242025!$A25)</f>
        <v>2</v>
      </c>
      <c r="L26" s="39"/>
      <c r="M26" s="31">
        <f>COUNTIFS(DataRegularSeason20242025!$D$2:$D$1315,TotalTeamGames20242025!M$1,DataRegularSeason20242025!$E$2:$E$1315,TotalTeamGames20242025!$A25)</f>
        <v>1</v>
      </c>
      <c r="N26" s="39"/>
      <c r="O26" s="31">
        <f>COUNTIFS(DataRegularSeason20242025!$D$2:$D$1315,TotalTeamGames20242025!O$1,DataRegularSeason20242025!$E$2:$E$1315,TotalTeamGames20242025!$A25)</f>
        <v>1</v>
      </c>
      <c r="P26" s="39"/>
      <c r="Q26" s="31">
        <f>COUNTIFS(DataRegularSeason20242025!$D$2:$D$1315,TotalTeamGames20242025!Q$1,DataRegularSeason20242025!$E$2:$E$1315,TotalTeamGames20242025!$A25)</f>
        <v>1</v>
      </c>
      <c r="R26" s="39"/>
      <c r="S26" s="31">
        <f>COUNTIFS(DataRegularSeason20242025!$D$2:$D$1315,TotalTeamGames20242025!S$1,DataRegularSeason20242025!$E$2:$E$1315,TotalTeamGames20242025!$A25)</f>
        <v>1</v>
      </c>
      <c r="T26" s="39"/>
      <c r="U26" s="31">
        <f>COUNTIFS(DataRegularSeason20242025!$D$2:$D$1315,TotalTeamGames20242025!U$1,DataRegularSeason20242025!$E$2:$E$1315,TotalTeamGames20242025!$A25)</f>
        <v>2</v>
      </c>
      <c r="V26" s="39"/>
      <c r="W26" s="31">
        <f>COUNTIFS(DataRegularSeason20242025!$D$2:$D$1315,TotalTeamGames20242025!W$1,DataRegularSeason20242025!$E$2:$E$1315,TotalTeamGames20242025!$A25)</f>
        <v>1</v>
      </c>
      <c r="X26" s="39"/>
      <c r="Y26" s="38"/>
      <c r="Z26" s="39"/>
      <c r="AA26" s="31">
        <f>COUNTIFS(DataRegularSeason20242025!$D$2:$D$1315,TotalTeamGames20242025!AA$1,DataRegularSeason20242025!$E$2:$E$1315,TotalTeamGames20242025!$A25)</f>
        <v>1</v>
      </c>
      <c r="AB26" s="39"/>
      <c r="AC26" s="31">
        <f>COUNTIFS(DataRegularSeason20242025!$D$2:$D$1315,TotalTeamGames20242025!AC$1,DataRegularSeason20242025!$E$2:$E$1315,TotalTeamGames20242025!$A25)</f>
        <v>1</v>
      </c>
      <c r="AD26" s="39"/>
      <c r="AE26" s="31">
        <f>COUNTIFS(DataRegularSeason20242025!$D$2:$D$1315,TotalTeamGames20242025!AE$1,DataRegularSeason20242025!$E$2:$E$1315,TotalTeamGames20242025!$A25)</f>
        <v>1</v>
      </c>
      <c r="AF26" s="39"/>
      <c r="AG26" s="31">
        <f>COUNTIFS(DataRegularSeason20242025!$D$2:$D$1315,TotalTeamGames20242025!AG$1,DataRegularSeason20242025!$E$2:$E$1315,TotalTeamGames20242025!$A25)</f>
        <v>1</v>
      </c>
      <c r="AH26" s="39"/>
      <c r="AI26" s="31">
        <f>COUNTIFS(DataRegularSeason20242025!$D$2:$D$1315,TotalTeamGames20242025!AI$1,DataRegularSeason20242025!$E$2:$E$1315,TotalTeamGames20242025!$A25)</f>
        <v>1</v>
      </c>
      <c r="AJ26" s="39"/>
      <c r="AK26" s="31">
        <f>COUNTIFS(DataRegularSeason20242025!$D$2:$D$1315,TotalTeamGames20242025!AK$1,DataRegularSeason20242025!$E$2:$E$1315,TotalTeamGames20242025!$A25)</f>
        <v>1</v>
      </c>
      <c r="AL26" s="39"/>
      <c r="AM26" s="31">
        <f>COUNTIFS(DataRegularSeason20242025!$D$2:$D$1315,TotalTeamGames20242025!AM$1,DataRegularSeason20242025!$E$2:$E$1315,TotalTeamGames20242025!$A25)</f>
        <v>2</v>
      </c>
      <c r="AN26" s="39"/>
      <c r="AO26" s="31">
        <f>COUNTIFS(DataRegularSeason20242025!$D$2:$D$1315,TotalTeamGames20242025!AO$1,DataRegularSeason20242025!$E$2:$E$1315,TotalTeamGames20242025!$A25)</f>
        <v>2</v>
      </c>
      <c r="AP26" s="39"/>
      <c r="AQ26" s="31">
        <f>COUNTIFS(DataRegularSeason20242025!$D$2:$D$1315,TotalTeamGames20242025!AQ$1,DataRegularSeason20242025!$E$2:$E$1315,TotalTeamGames20242025!$A25)</f>
        <v>2</v>
      </c>
      <c r="AR26" s="39"/>
      <c r="AS26" s="31">
        <f>COUNTIFS(DataRegularSeason20242025!$D$2:$D$1315,TotalTeamGames20242025!AS$1,DataRegularSeason20242025!$E$2:$E$1315,TotalTeamGames20242025!$A25)</f>
        <v>1</v>
      </c>
      <c r="AT26" s="39"/>
      <c r="AU26" s="31">
        <f>COUNTIFS(DataRegularSeason20242025!$D$2:$D$1315,TotalTeamGames20242025!AU$1,DataRegularSeason20242025!$E$2:$E$1315,TotalTeamGames20242025!$A25)</f>
        <v>1</v>
      </c>
      <c r="AV26" s="39"/>
      <c r="AW26" s="31">
        <f>COUNTIFS(DataRegularSeason20242025!$D$2:$D$1315,TotalTeamGames20242025!AW$1,DataRegularSeason20242025!$E$2:$E$1315,TotalTeamGames20242025!$A25)</f>
        <v>1</v>
      </c>
      <c r="AX26" s="39"/>
      <c r="AY26" s="31">
        <f>COUNTIFS(DataRegularSeason20242025!$D$2:$D$1315,TotalTeamGames20242025!AY$1,DataRegularSeason20242025!$E$2:$E$1315,TotalTeamGames20242025!$A25)</f>
        <v>1</v>
      </c>
      <c r="AZ26" s="39"/>
      <c r="BA26" s="31">
        <f>COUNTIFS(DataRegularSeason20242025!$D$2:$D$1315,TotalTeamGames20242025!BA$1,DataRegularSeason20242025!$E$2:$E$1315,TotalTeamGames20242025!$A25)</f>
        <v>2</v>
      </c>
      <c r="BB26" s="39"/>
      <c r="BC26" s="31">
        <f>COUNTIFS(DataRegularSeason20242025!$D$2:$D$1315,TotalTeamGames20242025!BC$1,DataRegularSeason20242025!$E$2:$E$1315,TotalTeamGames20242025!$A25)</f>
        <v>2</v>
      </c>
      <c r="BD26" s="39"/>
      <c r="BE26" s="31">
        <f>COUNTIFS(DataRegularSeason20242025!$D$2:$D$1315,TotalTeamGames20242025!BE$1,DataRegularSeason20242025!$E$2:$E$1315,TotalTeamGames20242025!$A25)</f>
        <v>1</v>
      </c>
      <c r="BF26" s="38"/>
      <c r="BG26" s="33">
        <f>COUNTIFS(DataRegularSeason20242025!$D$2:$D$1315,TotalTeamGames20242025!BG$1,DataRegularSeason20242025!$E$2:$E$1315,TotalTeamGames20242025!$A25)</f>
        <v>1</v>
      </c>
      <c r="BH26" s="39"/>
      <c r="BI26" s="31">
        <f>COUNTIFS(DataRegularSeason20242025!$D$2:$D$1315,TotalTeamGames20242025!BI$1,DataRegularSeason20242025!$E$2:$E$1315,TotalTeamGames20242025!$A25)</f>
        <v>1</v>
      </c>
      <c r="BJ26" s="39"/>
      <c r="BK26" s="31">
        <f>COUNTIFS(DataRegularSeason20242025!$D$2:$D$1315,TotalTeamGames20242025!BK$1,DataRegularSeason20242025!$E$2:$E$1315,TotalTeamGames20242025!$A25)</f>
        <v>1</v>
      </c>
      <c r="BL26" s="39"/>
      <c r="BM26" s="31">
        <f>COUNTIFS(DataRegularSeason20242025!$D$2:$D$1315,TotalTeamGames20242025!BM$1,DataRegularSeason20242025!$E$2:$E$1315,TotalTeamGames20242025!$A25)</f>
        <v>2</v>
      </c>
      <c r="BN26" s="39"/>
      <c r="BO26" s="34">
        <f t="shared" si="0"/>
        <v>41</v>
      </c>
      <c r="BP26" s="165"/>
    </row>
    <row r="27" spans="1:68" ht="9.9499999999999993" customHeight="1" x14ac:dyDescent="0.25">
      <c r="A27" s="166" t="s">
        <v>27</v>
      </c>
      <c r="B27" s="28" t="s">
        <v>74</v>
      </c>
      <c r="C27" s="35"/>
      <c r="D27" s="28">
        <f>COUNTIFS(DataRegularSeason20242025!$E$2:$E$1315,TotalTeamGames20242025!C$1,DataRegularSeason20242025!$D$2:$D$1315,TotalTeamGames20242025!$A27)</f>
        <v>2</v>
      </c>
      <c r="E27" s="35"/>
      <c r="F27" s="28">
        <f>COUNTIFS(DataRegularSeason20242025!$E$2:$E$1315,TotalTeamGames20242025!E$1,DataRegularSeason20242025!$D$2:$D$1315,TotalTeamGames20242025!$A27)</f>
        <v>1</v>
      </c>
      <c r="G27" s="35"/>
      <c r="H27" s="28">
        <f>COUNTIFS(DataRegularSeason20242025!$E$2:$E$1315,TotalTeamGames20242025!G$1,DataRegularSeason20242025!$D$2:$D$1315,TotalTeamGames20242025!$A27)</f>
        <v>1</v>
      </c>
      <c r="I27" s="35"/>
      <c r="J27" s="28">
        <f>COUNTIFS(DataRegularSeason20242025!$E$2:$E$1315,TotalTeamGames20242025!I$1,DataRegularSeason20242025!$D$2:$D$1315,TotalTeamGames20242025!$A27)</f>
        <v>1</v>
      </c>
      <c r="K27" s="35"/>
      <c r="L27" s="28">
        <f>COUNTIFS(DataRegularSeason20242025!$E$2:$E$1315,TotalTeamGames20242025!K$1,DataRegularSeason20242025!$D$2:$D$1315,TotalTeamGames20242025!$A27)</f>
        <v>1</v>
      </c>
      <c r="M27" s="35"/>
      <c r="N27" s="28">
        <f>COUNTIFS(DataRegularSeason20242025!$E$2:$E$1315,TotalTeamGames20242025!M$1,DataRegularSeason20242025!$D$2:$D$1315,TotalTeamGames20242025!$A27)</f>
        <v>2</v>
      </c>
      <c r="O27" s="35"/>
      <c r="P27" s="28">
        <f>COUNTIFS(DataRegularSeason20242025!$E$2:$E$1315,TotalTeamGames20242025!O$1,DataRegularSeason20242025!$D$2:$D$1315,TotalTeamGames20242025!$A27)</f>
        <v>1</v>
      </c>
      <c r="Q27" s="35"/>
      <c r="R27" s="28">
        <f>COUNTIFS(DataRegularSeason20242025!$E$2:$E$1315,TotalTeamGames20242025!Q$1,DataRegularSeason20242025!$D$2:$D$1315,TotalTeamGames20242025!$A27)</f>
        <v>1</v>
      </c>
      <c r="S27" s="35"/>
      <c r="T27" s="28">
        <f>COUNTIFS(DataRegularSeason20242025!$E$2:$E$1315,TotalTeamGames20242025!S$1,DataRegularSeason20242025!$D$2:$D$1315,TotalTeamGames20242025!$A27)</f>
        <v>2</v>
      </c>
      <c r="U27" s="35"/>
      <c r="V27" s="28">
        <f>COUNTIFS(DataRegularSeason20242025!$E$2:$E$1315,TotalTeamGames20242025!U$1,DataRegularSeason20242025!$D$2:$D$1315,TotalTeamGames20242025!$A27)</f>
        <v>1</v>
      </c>
      <c r="W27" s="35"/>
      <c r="X27" s="28">
        <f>COUNTIFS(DataRegularSeason20242025!$E$2:$E$1315,TotalTeamGames20242025!W$1,DataRegularSeason20242025!$D$2:$D$1315,TotalTeamGames20242025!$A27)</f>
        <v>1</v>
      </c>
      <c r="Y27" s="35"/>
      <c r="Z27" s="28">
        <f>COUNTIFS(DataRegularSeason20242025!$E$2:$E$1315,TotalTeamGames20242025!Y$1,DataRegularSeason20242025!$D$2:$D$1315,TotalTeamGames20242025!$A27)</f>
        <v>1</v>
      </c>
      <c r="AA27" s="35"/>
      <c r="AB27" s="36"/>
      <c r="AC27" s="35"/>
      <c r="AD27" s="28">
        <f>COUNTIFS(DataRegularSeason20242025!$E$2:$E$1315,TotalTeamGames20242025!AC$1,DataRegularSeason20242025!$D$2:$D$1315,TotalTeamGames20242025!$A27)</f>
        <v>1</v>
      </c>
      <c r="AE27" s="35"/>
      <c r="AF27" s="28">
        <f>COUNTIFS(DataRegularSeason20242025!$E$2:$E$1315,TotalTeamGames20242025!AE$1,DataRegularSeason20242025!$D$2:$D$1315,TotalTeamGames20242025!$A27)</f>
        <v>1</v>
      </c>
      <c r="AG27" s="35"/>
      <c r="AH27" s="28">
        <f>COUNTIFS(DataRegularSeason20242025!$E$2:$E$1315,TotalTeamGames20242025!AG$1,DataRegularSeason20242025!$D$2:$D$1315,TotalTeamGames20242025!$A27)</f>
        <v>1</v>
      </c>
      <c r="AI27" s="35"/>
      <c r="AJ27" s="28">
        <f>COUNTIFS(DataRegularSeason20242025!$E$2:$E$1315,TotalTeamGames20242025!AI$1,DataRegularSeason20242025!$D$2:$D$1315,TotalTeamGames20242025!$A27)</f>
        <v>1</v>
      </c>
      <c r="AK27" s="35"/>
      <c r="AL27" s="28">
        <f>COUNTIFS(DataRegularSeason20242025!$E$2:$E$1315,TotalTeamGames20242025!AK$1,DataRegularSeason20242025!$D$2:$D$1315,TotalTeamGames20242025!$A27)</f>
        <v>1</v>
      </c>
      <c r="AM27" s="35"/>
      <c r="AN27" s="28">
        <f>COUNTIFS(DataRegularSeason20242025!$E$2:$E$1315,TotalTeamGames20242025!AM$1,DataRegularSeason20242025!$D$2:$D$1315,TotalTeamGames20242025!$A27)</f>
        <v>1</v>
      </c>
      <c r="AO27" s="35"/>
      <c r="AP27" s="28">
        <f>COUNTIFS(DataRegularSeason20242025!$E$2:$E$1315,TotalTeamGames20242025!AO$1,DataRegularSeason20242025!$D$2:$D$1315,TotalTeamGames20242025!$A27)</f>
        <v>1</v>
      </c>
      <c r="AQ27" s="35"/>
      <c r="AR27" s="28">
        <f>COUNTIFS(DataRegularSeason20242025!$E$2:$E$1315,TotalTeamGames20242025!AQ$1,DataRegularSeason20242025!$D$2:$D$1315,TotalTeamGames20242025!$A27)</f>
        <v>1</v>
      </c>
      <c r="AS27" s="35"/>
      <c r="AT27" s="28">
        <f>COUNTIFS(DataRegularSeason20242025!$E$2:$E$1315,TotalTeamGames20242025!AS$1,DataRegularSeason20242025!$D$2:$D$1315,TotalTeamGames20242025!$A27)</f>
        <v>1</v>
      </c>
      <c r="AU27" s="35"/>
      <c r="AV27" s="28">
        <f>COUNTIFS(DataRegularSeason20242025!$E$2:$E$1315,TotalTeamGames20242025!AU$1,DataRegularSeason20242025!$D$2:$D$1315,TotalTeamGames20242025!$A27)</f>
        <v>2</v>
      </c>
      <c r="AW27" s="35"/>
      <c r="AX27" s="28">
        <f>COUNTIFS(DataRegularSeason20242025!$E$2:$E$1315,TotalTeamGames20242025!AW$1,DataRegularSeason20242025!$D$2:$D$1315,TotalTeamGames20242025!$A27)</f>
        <v>2</v>
      </c>
      <c r="AY27" s="35"/>
      <c r="AZ27" s="28">
        <f>COUNTIFS(DataRegularSeason20242025!$E$2:$E$1315,TotalTeamGames20242025!AY$1,DataRegularSeason20242025!$D$2:$D$1315,TotalTeamGames20242025!$A27)</f>
        <v>2</v>
      </c>
      <c r="BA27" s="35"/>
      <c r="BB27" s="28">
        <f>COUNTIFS(DataRegularSeason20242025!$E$2:$E$1315,TotalTeamGames20242025!BA$1,DataRegularSeason20242025!$D$2:$D$1315,TotalTeamGames20242025!$A27)</f>
        <v>1</v>
      </c>
      <c r="BC27" s="35"/>
      <c r="BD27" s="28">
        <f>COUNTIFS(DataRegularSeason20242025!$E$2:$E$1315,TotalTeamGames20242025!BC$1,DataRegularSeason20242025!$D$2:$D$1315,TotalTeamGames20242025!$A27)</f>
        <v>1</v>
      </c>
      <c r="BE27" s="35"/>
      <c r="BF27" s="27">
        <f>COUNTIFS(DataRegularSeason20242025!$E$2:$E$1315,TotalTeamGames20242025!BE$1,DataRegularSeason20242025!$D$2:$D$1315,TotalTeamGames20242025!$A27)</f>
        <v>2</v>
      </c>
      <c r="BG27" s="40"/>
      <c r="BH27" s="28">
        <f>COUNTIFS(DataRegularSeason20242025!$E$2:$E$1315,TotalTeamGames20242025!BG$1,DataRegularSeason20242025!$D$2:$D$1315,TotalTeamGames20242025!$A27)</f>
        <v>2</v>
      </c>
      <c r="BI27" s="35"/>
      <c r="BJ27" s="28">
        <f>COUNTIFS(DataRegularSeason20242025!$E$2:$E$1315,TotalTeamGames20242025!BI$1,DataRegularSeason20242025!$D$2:$D$1315,TotalTeamGames20242025!$A27)</f>
        <v>2</v>
      </c>
      <c r="BK27" s="35"/>
      <c r="BL27" s="28">
        <f>COUNTIFS(DataRegularSeason20242025!$E$2:$E$1315,TotalTeamGames20242025!BK$1,DataRegularSeason20242025!$D$2:$D$1315,TotalTeamGames20242025!$A27)</f>
        <v>2</v>
      </c>
      <c r="BM27" s="35"/>
      <c r="BN27" s="28">
        <f>COUNTIFS(DataRegularSeason20242025!$E$2:$E$1315,TotalTeamGames20242025!BM$1,DataRegularSeason20242025!$D$2:$D$1315,TotalTeamGames20242025!$A27)</f>
        <v>1</v>
      </c>
      <c r="BO27" s="30">
        <f t="shared" si="0"/>
        <v>41</v>
      </c>
      <c r="BP27" s="165">
        <f t="shared" ref="BP27" si="12">BO27+BO28</f>
        <v>82</v>
      </c>
    </row>
    <row r="28" spans="1:68" ht="9.9499999999999993" customHeight="1" x14ac:dyDescent="0.25">
      <c r="A28" s="167"/>
      <c r="B28" s="32" t="s">
        <v>73</v>
      </c>
      <c r="C28" s="31">
        <f>COUNTIFS(DataRegularSeason20242025!$D$2:$D$1315,TotalTeamGames20242025!C$1,DataRegularSeason20242025!$E$2:$E$1315,TotalTeamGames20242025!$A27)</f>
        <v>2</v>
      </c>
      <c r="D28" s="39"/>
      <c r="E28" s="31">
        <f>COUNTIFS(DataRegularSeason20242025!$D$2:$D$1315,TotalTeamGames20242025!E$1,DataRegularSeason20242025!$E$2:$E$1315,TotalTeamGames20242025!$A27)</f>
        <v>1</v>
      </c>
      <c r="F28" s="39"/>
      <c r="G28" s="31">
        <f>COUNTIFS(DataRegularSeason20242025!$D$2:$D$1315,TotalTeamGames20242025!G$1,DataRegularSeason20242025!$E$2:$E$1315,TotalTeamGames20242025!$A27)</f>
        <v>1</v>
      </c>
      <c r="H28" s="39"/>
      <c r="I28" s="31">
        <f>COUNTIFS(DataRegularSeason20242025!$D$2:$D$1315,TotalTeamGames20242025!I$1,DataRegularSeason20242025!$E$2:$E$1315,TotalTeamGames20242025!$A27)</f>
        <v>1</v>
      </c>
      <c r="J28" s="39"/>
      <c r="K28" s="31">
        <f>COUNTIFS(DataRegularSeason20242025!$D$2:$D$1315,TotalTeamGames20242025!K$1,DataRegularSeason20242025!$E$2:$E$1315,TotalTeamGames20242025!$A27)</f>
        <v>1</v>
      </c>
      <c r="L28" s="39"/>
      <c r="M28" s="31">
        <f>COUNTIFS(DataRegularSeason20242025!$D$2:$D$1315,TotalTeamGames20242025!M$1,DataRegularSeason20242025!$E$2:$E$1315,TotalTeamGames20242025!$A27)</f>
        <v>2</v>
      </c>
      <c r="N28" s="39"/>
      <c r="O28" s="31">
        <f>COUNTIFS(DataRegularSeason20242025!$D$2:$D$1315,TotalTeamGames20242025!O$1,DataRegularSeason20242025!$E$2:$E$1315,TotalTeamGames20242025!$A27)</f>
        <v>2</v>
      </c>
      <c r="P28" s="39"/>
      <c r="Q28" s="31">
        <f>COUNTIFS(DataRegularSeason20242025!$D$2:$D$1315,TotalTeamGames20242025!Q$1,DataRegularSeason20242025!$E$2:$E$1315,TotalTeamGames20242025!$A27)</f>
        <v>2</v>
      </c>
      <c r="R28" s="39"/>
      <c r="S28" s="31">
        <f>COUNTIFS(DataRegularSeason20242025!$D$2:$D$1315,TotalTeamGames20242025!S$1,DataRegularSeason20242025!$E$2:$E$1315,TotalTeamGames20242025!$A27)</f>
        <v>1</v>
      </c>
      <c r="T28" s="39"/>
      <c r="U28" s="31">
        <f>COUNTIFS(DataRegularSeason20242025!$D$2:$D$1315,TotalTeamGames20242025!U$1,DataRegularSeason20242025!$E$2:$E$1315,TotalTeamGames20242025!$A27)</f>
        <v>1</v>
      </c>
      <c r="V28" s="39"/>
      <c r="W28" s="31">
        <f>COUNTIFS(DataRegularSeason20242025!$D$2:$D$1315,TotalTeamGames20242025!W$1,DataRegularSeason20242025!$E$2:$E$1315,TotalTeamGames20242025!$A27)</f>
        <v>2</v>
      </c>
      <c r="X28" s="39"/>
      <c r="Y28" s="31">
        <f>COUNTIFS(DataRegularSeason20242025!$D$2:$D$1315,TotalTeamGames20242025!Y$1,DataRegularSeason20242025!$E$2:$E$1315,TotalTeamGames20242025!$A27)</f>
        <v>1</v>
      </c>
      <c r="Z28" s="39"/>
      <c r="AA28" s="38"/>
      <c r="AB28" s="39"/>
      <c r="AC28" s="31">
        <f>COUNTIFS(DataRegularSeason20242025!$D$2:$D$1315,TotalTeamGames20242025!AC$1,DataRegularSeason20242025!$E$2:$E$1315,TotalTeamGames20242025!$A27)</f>
        <v>2</v>
      </c>
      <c r="AD28" s="39"/>
      <c r="AE28" s="31">
        <f>COUNTIFS(DataRegularSeason20242025!$D$2:$D$1315,TotalTeamGames20242025!AE$1,DataRegularSeason20242025!$E$2:$E$1315,TotalTeamGames20242025!$A27)</f>
        <v>1</v>
      </c>
      <c r="AF28" s="39"/>
      <c r="AG28" s="31">
        <f>COUNTIFS(DataRegularSeason20242025!$D$2:$D$1315,TotalTeamGames20242025!AG$1,DataRegularSeason20242025!$E$2:$E$1315,TotalTeamGames20242025!$A27)</f>
        <v>1</v>
      </c>
      <c r="AH28" s="39"/>
      <c r="AI28" s="31">
        <f>COUNTIFS(DataRegularSeason20242025!$D$2:$D$1315,TotalTeamGames20242025!AI$1,DataRegularSeason20242025!$E$2:$E$1315,TotalTeamGames20242025!$A27)</f>
        <v>2</v>
      </c>
      <c r="AJ28" s="39"/>
      <c r="AK28" s="31">
        <f>COUNTIFS(DataRegularSeason20242025!$D$2:$D$1315,TotalTeamGames20242025!AK$1,DataRegularSeason20242025!$E$2:$E$1315,TotalTeamGames20242025!$A27)</f>
        <v>1</v>
      </c>
      <c r="AL28" s="39"/>
      <c r="AM28" s="31">
        <f>COUNTIFS(DataRegularSeason20242025!$D$2:$D$1315,TotalTeamGames20242025!AM$1,DataRegularSeason20242025!$E$2:$E$1315,TotalTeamGames20242025!$A27)</f>
        <v>1</v>
      </c>
      <c r="AN28" s="39"/>
      <c r="AO28" s="31">
        <f>COUNTIFS(DataRegularSeason20242025!$D$2:$D$1315,TotalTeamGames20242025!AO$1,DataRegularSeason20242025!$E$2:$E$1315,TotalTeamGames20242025!$A27)</f>
        <v>1</v>
      </c>
      <c r="AP28" s="39"/>
      <c r="AQ28" s="31">
        <f>COUNTIFS(DataRegularSeason20242025!$D$2:$D$1315,TotalTeamGames20242025!AQ$1,DataRegularSeason20242025!$E$2:$E$1315,TotalTeamGames20242025!$A27)</f>
        <v>1</v>
      </c>
      <c r="AR28" s="39"/>
      <c r="AS28" s="31">
        <f>COUNTIFS(DataRegularSeason20242025!$D$2:$D$1315,TotalTeamGames20242025!AS$1,DataRegularSeason20242025!$E$2:$E$1315,TotalTeamGames20242025!$A27)</f>
        <v>1</v>
      </c>
      <c r="AT28" s="39"/>
      <c r="AU28" s="31">
        <f>COUNTIFS(DataRegularSeason20242025!$D$2:$D$1315,TotalTeamGames20242025!AU$1,DataRegularSeason20242025!$E$2:$E$1315,TotalTeamGames20242025!$A27)</f>
        <v>2</v>
      </c>
      <c r="AV28" s="39"/>
      <c r="AW28" s="31">
        <f>COUNTIFS(DataRegularSeason20242025!$D$2:$D$1315,TotalTeamGames20242025!AW$1,DataRegularSeason20242025!$E$2:$E$1315,TotalTeamGames20242025!$A27)</f>
        <v>1</v>
      </c>
      <c r="AX28" s="39"/>
      <c r="AY28" s="31">
        <f>COUNTIFS(DataRegularSeason20242025!$D$2:$D$1315,TotalTeamGames20242025!AY$1,DataRegularSeason20242025!$E$2:$E$1315,TotalTeamGames20242025!$A27)</f>
        <v>1</v>
      </c>
      <c r="AZ28" s="39"/>
      <c r="BA28" s="31">
        <f>COUNTIFS(DataRegularSeason20242025!$D$2:$D$1315,TotalTeamGames20242025!BA$1,DataRegularSeason20242025!$E$2:$E$1315,TotalTeamGames20242025!$A27)</f>
        <v>1</v>
      </c>
      <c r="BB28" s="39"/>
      <c r="BC28" s="31">
        <f>COUNTIFS(DataRegularSeason20242025!$D$2:$D$1315,TotalTeamGames20242025!BC$1,DataRegularSeason20242025!$E$2:$E$1315,TotalTeamGames20242025!$A27)</f>
        <v>1</v>
      </c>
      <c r="BD28" s="39"/>
      <c r="BE28" s="31">
        <f>COUNTIFS(DataRegularSeason20242025!$D$2:$D$1315,TotalTeamGames20242025!BE$1,DataRegularSeason20242025!$E$2:$E$1315,TotalTeamGames20242025!$A27)</f>
        <v>1</v>
      </c>
      <c r="BF28" s="38"/>
      <c r="BG28" s="33">
        <f>COUNTIFS(DataRegularSeason20242025!$D$2:$D$1315,TotalTeamGames20242025!BG$1,DataRegularSeason20242025!$E$2:$E$1315,TotalTeamGames20242025!$A27)</f>
        <v>2</v>
      </c>
      <c r="BH28" s="39"/>
      <c r="BI28" s="31">
        <f>COUNTIFS(DataRegularSeason20242025!$D$2:$D$1315,TotalTeamGames20242025!BI$1,DataRegularSeason20242025!$E$2:$E$1315,TotalTeamGames20242025!$A27)</f>
        <v>2</v>
      </c>
      <c r="BJ28" s="39"/>
      <c r="BK28" s="31">
        <f>COUNTIFS(DataRegularSeason20242025!$D$2:$D$1315,TotalTeamGames20242025!BK$1,DataRegularSeason20242025!$E$2:$E$1315,TotalTeamGames20242025!$A27)</f>
        <v>1</v>
      </c>
      <c r="BL28" s="39"/>
      <c r="BM28" s="31">
        <f>COUNTIFS(DataRegularSeason20242025!$D$2:$D$1315,TotalTeamGames20242025!BM$1,DataRegularSeason20242025!$E$2:$E$1315,TotalTeamGames20242025!$A27)</f>
        <v>1</v>
      </c>
      <c r="BN28" s="39"/>
      <c r="BO28" s="34">
        <f t="shared" si="0"/>
        <v>41</v>
      </c>
      <c r="BP28" s="165"/>
    </row>
    <row r="29" spans="1:68" ht="9.9499999999999993" customHeight="1" x14ac:dyDescent="0.25">
      <c r="A29" s="166" t="s">
        <v>36</v>
      </c>
      <c r="B29" s="28" t="s">
        <v>74</v>
      </c>
      <c r="C29" s="35"/>
      <c r="D29" s="28">
        <f>COUNTIFS(DataRegularSeason20242025!$E$2:$E$1315,TotalTeamGames20242025!C$1,DataRegularSeason20242025!$D$2:$D$1315,TotalTeamGames20242025!$A29)</f>
        <v>1</v>
      </c>
      <c r="E29" s="35"/>
      <c r="F29" s="28">
        <f>COUNTIFS(DataRegularSeason20242025!$E$2:$E$1315,TotalTeamGames20242025!E$1,DataRegularSeason20242025!$D$2:$D$1315,TotalTeamGames20242025!$A29)</f>
        <v>1</v>
      </c>
      <c r="G29" s="35"/>
      <c r="H29" s="28">
        <f>COUNTIFS(DataRegularSeason20242025!$E$2:$E$1315,TotalTeamGames20242025!G$1,DataRegularSeason20242025!$D$2:$D$1315,TotalTeamGames20242025!$A29)</f>
        <v>1</v>
      </c>
      <c r="I29" s="35"/>
      <c r="J29" s="28">
        <f>COUNTIFS(DataRegularSeason20242025!$E$2:$E$1315,TotalTeamGames20242025!I$1,DataRegularSeason20242025!$D$2:$D$1315,TotalTeamGames20242025!$A29)</f>
        <v>1</v>
      </c>
      <c r="K29" s="35"/>
      <c r="L29" s="28">
        <f>COUNTIFS(DataRegularSeason20242025!$E$2:$E$1315,TotalTeamGames20242025!K$1,DataRegularSeason20242025!$D$2:$D$1315,TotalTeamGames20242025!$A29)</f>
        <v>1</v>
      </c>
      <c r="M29" s="35"/>
      <c r="N29" s="28">
        <f>COUNTIFS(DataRegularSeason20242025!$E$2:$E$1315,TotalTeamGames20242025!M$1,DataRegularSeason20242025!$D$2:$D$1315,TotalTeamGames20242025!$A29)</f>
        <v>1</v>
      </c>
      <c r="O29" s="35"/>
      <c r="P29" s="28">
        <f>COUNTIFS(DataRegularSeason20242025!$E$2:$E$1315,TotalTeamGames20242025!O$1,DataRegularSeason20242025!$D$2:$D$1315,TotalTeamGames20242025!$A29)</f>
        <v>2</v>
      </c>
      <c r="Q29" s="35"/>
      <c r="R29" s="28">
        <f>COUNTIFS(DataRegularSeason20242025!$E$2:$E$1315,TotalTeamGames20242025!Q$1,DataRegularSeason20242025!$D$2:$D$1315,TotalTeamGames20242025!$A29)</f>
        <v>2</v>
      </c>
      <c r="S29" s="35"/>
      <c r="T29" s="28">
        <f>COUNTIFS(DataRegularSeason20242025!$E$2:$E$1315,TotalTeamGames20242025!S$1,DataRegularSeason20242025!$D$2:$D$1315,TotalTeamGames20242025!$A29)</f>
        <v>2</v>
      </c>
      <c r="U29" s="35"/>
      <c r="V29" s="28">
        <f>COUNTIFS(DataRegularSeason20242025!$E$2:$E$1315,TotalTeamGames20242025!U$1,DataRegularSeason20242025!$D$2:$D$1315,TotalTeamGames20242025!$A29)</f>
        <v>1</v>
      </c>
      <c r="W29" s="35"/>
      <c r="X29" s="28">
        <f>COUNTIFS(DataRegularSeason20242025!$E$2:$E$1315,TotalTeamGames20242025!W$1,DataRegularSeason20242025!$D$2:$D$1315,TotalTeamGames20242025!$A29)</f>
        <v>2</v>
      </c>
      <c r="Y29" s="35"/>
      <c r="Z29" s="28">
        <f>COUNTIFS(DataRegularSeason20242025!$E$2:$E$1315,TotalTeamGames20242025!Y$1,DataRegularSeason20242025!$D$2:$D$1315,TotalTeamGames20242025!$A29)</f>
        <v>1</v>
      </c>
      <c r="AA29" s="35"/>
      <c r="AB29" s="28">
        <f>COUNTIFS(DataRegularSeason20242025!$E$2:$E$1315,TotalTeamGames20242025!AA$1,DataRegularSeason20242025!$D$2:$D$1315,TotalTeamGames20242025!$A29)</f>
        <v>2</v>
      </c>
      <c r="AC29" s="35"/>
      <c r="AD29" s="36"/>
      <c r="AE29" s="35"/>
      <c r="AF29" s="28">
        <f>COUNTIFS(DataRegularSeason20242025!$E$2:$E$1315,TotalTeamGames20242025!AE$1,DataRegularSeason20242025!$D$2:$D$1315,TotalTeamGames20242025!$A29)</f>
        <v>1</v>
      </c>
      <c r="AG29" s="35"/>
      <c r="AH29" s="28">
        <f>COUNTIFS(DataRegularSeason20242025!$E$2:$E$1315,TotalTeamGames20242025!AG$1,DataRegularSeason20242025!$D$2:$D$1315,TotalTeamGames20242025!$A29)</f>
        <v>1</v>
      </c>
      <c r="AI29" s="35"/>
      <c r="AJ29" s="28">
        <f>COUNTIFS(DataRegularSeason20242025!$E$2:$E$1315,TotalTeamGames20242025!AI$1,DataRegularSeason20242025!$D$2:$D$1315,TotalTeamGames20242025!$A29)</f>
        <v>2</v>
      </c>
      <c r="AK29" s="35"/>
      <c r="AL29" s="28">
        <f>COUNTIFS(DataRegularSeason20242025!$E$2:$E$1315,TotalTeamGames20242025!AK$1,DataRegularSeason20242025!$D$2:$D$1315,TotalTeamGames20242025!$A29)</f>
        <v>1</v>
      </c>
      <c r="AM29" s="35"/>
      <c r="AN29" s="28">
        <f>COUNTIFS(DataRegularSeason20242025!$E$2:$E$1315,TotalTeamGames20242025!AM$1,DataRegularSeason20242025!$D$2:$D$1315,TotalTeamGames20242025!$A29)</f>
        <v>1</v>
      </c>
      <c r="AO29" s="35"/>
      <c r="AP29" s="28">
        <f>COUNTIFS(DataRegularSeason20242025!$E$2:$E$1315,TotalTeamGames20242025!AO$1,DataRegularSeason20242025!$D$2:$D$1315,TotalTeamGames20242025!$A29)</f>
        <v>1</v>
      </c>
      <c r="AQ29" s="35"/>
      <c r="AR29" s="28">
        <f>COUNTIFS(DataRegularSeason20242025!$E$2:$E$1315,TotalTeamGames20242025!AQ$1,DataRegularSeason20242025!$D$2:$D$1315,TotalTeamGames20242025!$A29)</f>
        <v>1</v>
      </c>
      <c r="AS29" s="35"/>
      <c r="AT29" s="28">
        <f>COUNTIFS(DataRegularSeason20242025!$E$2:$E$1315,TotalTeamGames20242025!AS$1,DataRegularSeason20242025!$D$2:$D$1315,TotalTeamGames20242025!$A29)</f>
        <v>1</v>
      </c>
      <c r="AU29" s="35"/>
      <c r="AV29" s="28">
        <f>COUNTIFS(DataRegularSeason20242025!$E$2:$E$1315,TotalTeamGames20242025!AU$1,DataRegularSeason20242025!$D$2:$D$1315,TotalTeamGames20242025!$A29)</f>
        <v>2</v>
      </c>
      <c r="AW29" s="35"/>
      <c r="AX29" s="28">
        <f>COUNTIFS(DataRegularSeason20242025!$E$2:$E$1315,TotalTeamGames20242025!AW$1,DataRegularSeason20242025!$D$2:$D$1315,TotalTeamGames20242025!$A29)</f>
        <v>1</v>
      </c>
      <c r="AY29" s="35"/>
      <c r="AZ29" s="28">
        <f>COUNTIFS(DataRegularSeason20242025!$E$2:$E$1315,TotalTeamGames20242025!AY$1,DataRegularSeason20242025!$D$2:$D$1315,TotalTeamGames20242025!$A29)</f>
        <v>2</v>
      </c>
      <c r="BA29" s="35"/>
      <c r="BB29" s="28">
        <f>COUNTIFS(DataRegularSeason20242025!$E$2:$E$1315,TotalTeamGames20242025!BA$1,DataRegularSeason20242025!$D$2:$D$1315,TotalTeamGames20242025!$A29)</f>
        <v>1</v>
      </c>
      <c r="BC29" s="35"/>
      <c r="BD29" s="28">
        <f>COUNTIFS(DataRegularSeason20242025!$E$2:$E$1315,TotalTeamGames20242025!BC$1,DataRegularSeason20242025!$D$2:$D$1315,TotalTeamGames20242025!$A29)</f>
        <v>1</v>
      </c>
      <c r="BE29" s="35"/>
      <c r="BF29" s="27">
        <f>COUNTIFS(DataRegularSeason20242025!$E$2:$E$1315,TotalTeamGames20242025!BE$1,DataRegularSeason20242025!$D$2:$D$1315,TotalTeamGames20242025!$A29)</f>
        <v>1</v>
      </c>
      <c r="BG29" s="40"/>
      <c r="BH29" s="28">
        <f>COUNTIFS(DataRegularSeason20242025!$E$2:$E$1315,TotalTeamGames20242025!BG$1,DataRegularSeason20242025!$D$2:$D$1315,TotalTeamGames20242025!$A29)</f>
        <v>1</v>
      </c>
      <c r="BI29" s="35"/>
      <c r="BJ29" s="28">
        <f>COUNTIFS(DataRegularSeason20242025!$E$2:$E$1315,TotalTeamGames20242025!BI$1,DataRegularSeason20242025!$D$2:$D$1315,TotalTeamGames20242025!$A29)</f>
        <v>2</v>
      </c>
      <c r="BK29" s="35"/>
      <c r="BL29" s="28">
        <f>COUNTIFS(DataRegularSeason20242025!$E$2:$E$1315,TotalTeamGames20242025!BK$1,DataRegularSeason20242025!$D$2:$D$1315,TotalTeamGames20242025!$A29)</f>
        <v>2</v>
      </c>
      <c r="BM29" s="35"/>
      <c r="BN29" s="28">
        <f>COUNTIFS(DataRegularSeason20242025!$E$2:$E$1315,TotalTeamGames20242025!BM$1,DataRegularSeason20242025!$D$2:$D$1315,TotalTeamGames20242025!$A29)</f>
        <v>1</v>
      </c>
      <c r="BO29" s="30">
        <f t="shared" si="0"/>
        <v>41</v>
      </c>
      <c r="BP29" s="165">
        <f t="shared" ref="BP29" si="13">BO29+BO30</f>
        <v>82</v>
      </c>
    </row>
    <row r="30" spans="1:68" ht="9.9499999999999993" customHeight="1" x14ac:dyDescent="0.25">
      <c r="A30" s="167"/>
      <c r="B30" s="32" t="s">
        <v>73</v>
      </c>
      <c r="C30" s="31">
        <f>COUNTIFS(DataRegularSeason20242025!$D$2:$D$1315,TotalTeamGames20242025!C$1,DataRegularSeason20242025!$E$2:$E$1315,TotalTeamGames20242025!$A29)</f>
        <v>2</v>
      </c>
      <c r="D30" s="39"/>
      <c r="E30" s="31">
        <f>COUNTIFS(DataRegularSeason20242025!$D$2:$D$1315,TotalTeamGames20242025!E$1,DataRegularSeason20242025!$E$2:$E$1315,TotalTeamGames20242025!$A29)</f>
        <v>1</v>
      </c>
      <c r="F30" s="39"/>
      <c r="G30" s="31">
        <f>COUNTIFS(DataRegularSeason20242025!$D$2:$D$1315,TotalTeamGames20242025!G$1,DataRegularSeason20242025!$E$2:$E$1315,TotalTeamGames20242025!$A29)</f>
        <v>1</v>
      </c>
      <c r="H30" s="39"/>
      <c r="I30" s="31">
        <f>COUNTIFS(DataRegularSeason20242025!$D$2:$D$1315,TotalTeamGames20242025!I$1,DataRegularSeason20242025!$E$2:$E$1315,TotalTeamGames20242025!$A29)</f>
        <v>1</v>
      </c>
      <c r="J30" s="39"/>
      <c r="K30" s="31">
        <f>COUNTIFS(DataRegularSeason20242025!$D$2:$D$1315,TotalTeamGames20242025!K$1,DataRegularSeason20242025!$E$2:$E$1315,TotalTeamGames20242025!$A29)</f>
        <v>1</v>
      </c>
      <c r="L30" s="39"/>
      <c r="M30" s="31">
        <f>COUNTIFS(DataRegularSeason20242025!$D$2:$D$1315,TotalTeamGames20242025!M$1,DataRegularSeason20242025!$E$2:$E$1315,TotalTeamGames20242025!$A29)</f>
        <v>2</v>
      </c>
      <c r="N30" s="39"/>
      <c r="O30" s="31">
        <f>COUNTIFS(DataRegularSeason20242025!$D$2:$D$1315,TotalTeamGames20242025!O$1,DataRegularSeason20242025!$E$2:$E$1315,TotalTeamGames20242025!$A29)</f>
        <v>2</v>
      </c>
      <c r="P30" s="39"/>
      <c r="Q30" s="31">
        <f>COUNTIFS(DataRegularSeason20242025!$D$2:$D$1315,TotalTeamGames20242025!Q$1,DataRegularSeason20242025!$E$2:$E$1315,TotalTeamGames20242025!$A29)</f>
        <v>2</v>
      </c>
      <c r="R30" s="39"/>
      <c r="S30" s="31">
        <f>COUNTIFS(DataRegularSeason20242025!$D$2:$D$1315,TotalTeamGames20242025!S$1,DataRegularSeason20242025!$E$2:$E$1315,TotalTeamGames20242025!$A29)</f>
        <v>2</v>
      </c>
      <c r="T30" s="39"/>
      <c r="U30" s="31">
        <f>COUNTIFS(DataRegularSeason20242025!$D$2:$D$1315,TotalTeamGames20242025!U$1,DataRegularSeason20242025!$E$2:$E$1315,TotalTeamGames20242025!$A29)</f>
        <v>1</v>
      </c>
      <c r="V30" s="39"/>
      <c r="W30" s="31">
        <f>COUNTIFS(DataRegularSeason20242025!$D$2:$D$1315,TotalTeamGames20242025!W$1,DataRegularSeason20242025!$E$2:$E$1315,TotalTeamGames20242025!$A29)</f>
        <v>1</v>
      </c>
      <c r="X30" s="39"/>
      <c r="Y30" s="31">
        <f>COUNTIFS(DataRegularSeason20242025!$D$2:$D$1315,TotalTeamGames20242025!Y$1,DataRegularSeason20242025!$E$2:$E$1315,TotalTeamGames20242025!$A29)</f>
        <v>1</v>
      </c>
      <c r="Z30" s="39"/>
      <c r="AA30" s="31">
        <f>COUNTIFS(DataRegularSeason20242025!$D$2:$D$1315,TotalTeamGames20242025!AA$1,DataRegularSeason20242025!$E$2:$E$1315,TotalTeamGames20242025!$A29)</f>
        <v>1</v>
      </c>
      <c r="AB30" s="39"/>
      <c r="AC30" s="38"/>
      <c r="AD30" s="39"/>
      <c r="AE30" s="31">
        <f>COUNTIFS(DataRegularSeason20242025!$D$2:$D$1315,TotalTeamGames20242025!AE$1,DataRegularSeason20242025!$E$2:$E$1315,TotalTeamGames20242025!$A29)</f>
        <v>1</v>
      </c>
      <c r="AF30" s="39"/>
      <c r="AG30" s="31">
        <f>COUNTIFS(DataRegularSeason20242025!$D$2:$D$1315,TotalTeamGames20242025!AG$1,DataRegularSeason20242025!$E$2:$E$1315,TotalTeamGames20242025!$A29)</f>
        <v>1</v>
      </c>
      <c r="AH30" s="39"/>
      <c r="AI30" s="31">
        <f>COUNTIFS(DataRegularSeason20242025!$D$2:$D$1315,TotalTeamGames20242025!AI$1,DataRegularSeason20242025!$E$2:$E$1315,TotalTeamGames20242025!$A29)</f>
        <v>2</v>
      </c>
      <c r="AJ30" s="39"/>
      <c r="AK30" s="31">
        <f>COUNTIFS(DataRegularSeason20242025!$D$2:$D$1315,TotalTeamGames20242025!AK$1,DataRegularSeason20242025!$E$2:$E$1315,TotalTeamGames20242025!$A29)</f>
        <v>1</v>
      </c>
      <c r="AL30" s="39"/>
      <c r="AM30" s="31">
        <f>COUNTIFS(DataRegularSeason20242025!$D$2:$D$1315,TotalTeamGames20242025!AM$1,DataRegularSeason20242025!$E$2:$E$1315,TotalTeamGames20242025!$A29)</f>
        <v>1</v>
      </c>
      <c r="AN30" s="39"/>
      <c r="AO30" s="31">
        <f>COUNTIFS(DataRegularSeason20242025!$D$2:$D$1315,TotalTeamGames20242025!AO$1,DataRegularSeason20242025!$E$2:$E$1315,TotalTeamGames20242025!$A29)</f>
        <v>1</v>
      </c>
      <c r="AP30" s="39"/>
      <c r="AQ30" s="31">
        <f>COUNTIFS(DataRegularSeason20242025!$D$2:$D$1315,TotalTeamGames20242025!AQ$1,DataRegularSeason20242025!$E$2:$E$1315,TotalTeamGames20242025!$A29)</f>
        <v>1</v>
      </c>
      <c r="AR30" s="39"/>
      <c r="AS30" s="31">
        <f>COUNTIFS(DataRegularSeason20242025!$D$2:$D$1315,TotalTeamGames20242025!AS$1,DataRegularSeason20242025!$E$2:$E$1315,TotalTeamGames20242025!$A29)</f>
        <v>1</v>
      </c>
      <c r="AT30" s="39"/>
      <c r="AU30" s="31">
        <f>COUNTIFS(DataRegularSeason20242025!$D$2:$D$1315,TotalTeamGames20242025!AU$1,DataRegularSeason20242025!$E$2:$E$1315,TotalTeamGames20242025!$A29)</f>
        <v>1</v>
      </c>
      <c r="AV30" s="39"/>
      <c r="AW30" s="31">
        <f>COUNTIFS(DataRegularSeason20242025!$D$2:$D$1315,TotalTeamGames20242025!AW$1,DataRegularSeason20242025!$E$2:$E$1315,TotalTeamGames20242025!$A29)</f>
        <v>2</v>
      </c>
      <c r="AX30" s="39"/>
      <c r="AY30" s="31">
        <f>COUNTIFS(DataRegularSeason20242025!$D$2:$D$1315,TotalTeamGames20242025!AY$1,DataRegularSeason20242025!$E$2:$E$1315,TotalTeamGames20242025!$A29)</f>
        <v>1</v>
      </c>
      <c r="AZ30" s="39"/>
      <c r="BA30" s="31">
        <f>COUNTIFS(DataRegularSeason20242025!$D$2:$D$1315,TotalTeamGames20242025!BA$1,DataRegularSeason20242025!$E$2:$E$1315,TotalTeamGames20242025!$A29)</f>
        <v>1</v>
      </c>
      <c r="BB30" s="39"/>
      <c r="BC30" s="31">
        <f>COUNTIFS(DataRegularSeason20242025!$D$2:$D$1315,TotalTeamGames20242025!BC$1,DataRegularSeason20242025!$E$2:$E$1315,TotalTeamGames20242025!$A29)</f>
        <v>1</v>
      </c>
      <c r="BD30" s="39"/>
      <c r="BE30" s="31">
        <f>COUNTIFS(DataRegularSeason20242025!$D$2:$D$1315,TotalTeamGames20242025!BE$1,DataRegularSeason20242025!$E$2:$E$1315,TotalTeamGames20242025!$A29)</f>
        <v>2</v>
      </c>
      <c r="BF30" s="38"/>
      <c r="BG30" s="33">
        <f>COUNTIFS(DataRegularSeason20242025!$D$2:$D$1315,TotalTeamGames20242025!BG$1,DataRegularSeason20242025!$E$2:$E$1315,TotalTeamGames20242025!$A29)</f>
        <v>2</v>
      </c>
      <c r="BH30" s="39"/>
      <c r="BI30" s="31">
        <f>COUNTIFS(DataRegularSeason20242025!$D$2:$D$1315,TotalTeamGames20242025!BI$1,DataRegularSeason20242025!$E$2:$E$1315,TotalTeamGames20242025!$A29)</f>
        <v>1</v>
      </c>
      <c r="BJ30" s="39"/>
      <c r="BK30" s="31">
        <f>COUNTIFS(DataRegularSeason20242025!$D$2:$D$1315,TotalTeamGames20242025!BK$1,DataRegularSeason20242025!$E$2:$E$1315,TotalTeamGames20242025!$A29)</f>
        <v>2</v>
      </c>
      <c r="BL30" s="39"/>
      <c r="BM30" s="31">
        <f>COUNTIFS(DataRegularSeason20242025!$D$2:$D$1315,TotalTeamGames20242025!BM$1,DataRegularSeason20242025!$E$2:$E$1315,TotalTeamGames20242025!$A29)</f>
        <v>1</v>
      </c>
      <c r="BN30" s="39"/>
      <c r="BO30" s="34">
        <f t="shared" si="0"/>
        <v>41</v>
      </c>
      <c r="BP30" s="165"/>
    </row>
    <row r="31" spans="1:68" ht="9.9499999999999993" customHeight="1" x14ac:dyDescent="0.25">
      <c r="A31" s="166" t="s">
        <v>18</v>
      </c>
      <c r="B31" s="28" t="s">
        <v>74</v>
      </c>
      <c r="C31" s="35"/>
      <c r="D31" s="28">
        <f>COUNTIFS(DataRegularSeason20242025!$E$2:$E$1315,TotalTeamGames20242025!C$1,DataRegularSeason20242025!$D$2:$D$1315,TotalTeamGames20242025!$A31)</f>
        <v>1</v>
      </c>
      <c r="E31" s="35"/>
      <c r="F31" s="28">
        <f>COUNTIFS(DataRegularSeason20242025!$E$2:$E$1315,TotalTeamGames20242025!E$1,DataRegularSeason20242025!$D$2:$D$1315,TotalTeamGames20242025!$A31)</f>
        <v>2</v>
      </c>
      <c r="G31" s="35"/>
      <c r="H31" s="28">
        <f>COUNTIFS(DataRegularSeason20242025!$E$2:$E$1315,TotalTeamGames20242025!G$1,DataRegularSeason20242025!$D$2:$D$1315,TotalTeamGames20242025!$A31)</f>
        <v>2</v>
      </c>
      <c r="I31" s="35"/>
      <c r="J31" s="28">
        <f>COUNTIFS(DataRegularSeason20242025!$E$2:$E$1315,TotalTeamGames20242025!I$1,DataRegularSeason20242025!$D$2:$D$1315,TotalTeamGames20242025!$A31)</f>
        <v>2</v>
      </c>
      <c r="K31" s="35"/>
      <c r="L31" s="28">
        <f>COUNTIFS(DataRegularSeason20242025!$E$2:$E$1315,TotalTeamGames20242025!K$1,DataRegularSeason20242025!$D$2:$D$1315,TotalTeamGames20242025!$A31)</f>
        <v>1</v>
      </c>
      <c r="M31" s="35"/>
      <c r="N31" s="28">
        <f>COUNTIFS(DataRegularSeason20242025!$E$2:$E$1315,TotalTeamGames20242025!M$1,DataRegularSeason20242025!$D$2:$D$1315,TotalTeamGames20242025!$A31)</f>
        <v>1</v>
      </c>
      <c r="O31" s="35"/>
      <c r="P31" s="28">
        <f>COUNTIFS(DataRegularSeason20242025!$E$2:$E$1315,TotalTeamGames20242025!O$1,DataRegularSeason20242025!$D$2:$D$1315,TotalTeamGames20242025!$A31)</f>
        <v>1</v>
      </c>
      <c r="Q31" s="35"/>
      <c r="R31" s="28">
        <f>COUNTIFS(DataRegularSeason20242025!$E$2:$E$1315,TotalTeamGames20242025!Q$1,DataRegularSeason20242025!$D$2:$D$1315,TotalTeamGames20242025!$A31)</f>
        <v>1</v>
      </c>
      <c r="S31" s="35"/>
      <c r="T31" s="28">
        <f>COUNTIFS(DataRegularSeason20242025!$E$2:$E$1315,TotalTeamGames20242025!S$1,DataRegularSeason20242025!$D$2:$D$1315,TotalTeamGames20242025!$A31)</f>
        <v>1</v>
      </c>
      <c r="U31" s="35"/>
      <c r="V31" s="28">
        <f>COUNTIFS(DataRegularSeason20242025!$E$2:$E$1315,TotalTeamGames20242025!U$1,DataRegularSeason20242025!$D$2:$D$1315,TotalTeamGames20242025!$A31)</f>
        <v>2</v>
      </c>
      <c r="W31" s="35"/>
      <c r="X31" s="28">
        <f>COUNTIFS(DataRegularSeason20242025!$E$2:$E$1315,TotalTeamGames20242025!W$1,DataRegularSeason20242025!$D$2:$D$1315,TotalTeamGames20242025!$A31)</f>
        <v>1</v>
      </c>
      <c r="Y31" s="35"/>
      <c r="Z31" s="28">
        <f>COUNTIFS(DataRegularSeason20242025!$E$2:$E$1315,TotalTeamGames20242025!Y$1,DataRegularSeason20242025!$D$2:$D$1315,TotalTeamGames20242025!$A31)</f>
        <v>1</v>
      </c>
      <c r="AA31" s="35"/>
      <c r="AB31" s="28">
        <f>COUNTIFS(DataRegularSeason20242025!$E$2:$E$1315,TotalTeamGames20242025!AA$1,DataRegularSeason20242025!$D$2:$D$1315,TotalTeamGames20242025!$A31)</f>
        <v>1</v>
      </c>
      <c r="AC31" s="35"/>
      <c r="AD31" s="28">
        <f>COUNTIFS(DataRegularSeason20242025!$E$2:$E$1315,TotalTeamGames20242025!AC$1,DataRegularSeason20242025!$D$2:$D$1315,TotalTeamGames20242025!$A31)</f>
        <v>1</v>
      </c>
      <c r="AE31" s="35"/>
      <c r="AF31" s="36"/>
      <c r="AG31" s="35"/>
      <c r="AH31" s="28">
        <f>COUNTIFS(DataRegularSeason20242025!$E$2:$E$1315,TotalTeamGames20242025!AG$1,DataRegularSeason20242025!$D$2:$D$1315,TotalTeamGames20242025!$A31)</f>
        <v>2</v>
      </c>
      <c r="AI31" s="35"/>
      <c r="AJ31" s="28">
        <f>COUNTIFS(DataRegularSeason20242025!$E$2:$E$1315,TotalTeamGames20242025!AI$1,DataRegularSeason20242025!$D$2:$D$1315,TotalTeamGames20242025!$A31)</f>
        <v>1</v>
      </c>
      <c r="AK31" s="35"/>
      <c r="AL31" s="28">
        <f>COUNTIFS(DataRegularSeason20242025!$E$2:$E$1315,TotalTeamGames20242025!AK$1,DataRegularSeason20242025!$D$2:$D$1315,TotalTeamGames20242025!$A31)</f>
        <v>1</v>
      </c>
      <c r="AM31" s="35"/>
      <c r="AN31" s="28">
        <f>COUNTIFS(DataRegularSeason20242025!$E$2:$E$1315,TotalTeamGames20242025!AM$1,DataRegularSeason20242025!$D$2:$D$1315,TotalTeamGames20242025!$A31)</f>
        <v>2</v>
      </c>
      <c r="AO31" s="35"/>
      <c r="AP31" s="28">
        <f>COUNTIFS(DataRegularSeason20242025!$E$2:$E$1315,TotalTeamGames20242025!AO$1,DataRegularSeason20242025!$D$2:$D$1315,TotalTeamGames20242025!$A31)</f>
        <v>2</v>
      </c>
      <c r="AQ31" s="35"/>
      <c r="AR31" s="28">
        <f>COUNTIFS(DataRegularSeason20242025!$E$2:$E$1315,TotalTeamGames20242025!AQ$1,DataRegularSeason20242025!$D$2:$D$1315,TotalTeamGames20242025!$A31)</f>
        <v>1</v>
      </c>
      <c r="AS31" s="35"/>
      <c r="AT31" s="28">
        <f>COUNTIFS(DataRegularSeason20242025!$E$2:$E$1315,TotalTeamGames20242025!AS$1,DataRegularSeason20242025!$D$2:$D$1315,TotalTeamGames20242025!$A31)</f>
        <v>2</v>
      </c>
      <c r="AU31" s="35"/>
      <c r="AV31" s="28">
        <f>COUNTIFS(DataRegularSeason20242025!$E$2:$E$1315,TotalTeamGames20242025!AU$1,DataRegularSeason20242025!$D$2:$D$1315,TotalTeamGames20242025!$A31)</f>
        <v>1</v>
      </c>
      <c r="AW31" s="35"/>
      <c r="AX31" s="28">
        <f>COUNTIFS(DataRegularSeason20242025!$E$2:$E$1315,TotalTeamGames20242025!AW$1,DataRegularSeason20242025!$D$2:$D$1315,TotalTeamGames20242025!$A31)</f>
        <v>1</v>
      </c>
      <c r="AY31" s="35"/>
      <c r="AZ31" s="28">
        <f>COUNTIFS(DataRegularSeason20242025!$E$2:$E$1315,TotalTeamGames20242025!AY$1,DataRegularSeason20242025!$D$2:$D$1315,TotalTeamGames20242025!$A31)</f>
        <v>1</v>
      </c>
      <c r="BA31" s="35"/>
      <c r="BB31" s="28">
        <f>COUNTIFS(DataRegularSeason20242025!$E$2:$E$1315,TotalTeamGames20242025!BA$1,DataRegularSeason20242025!$D$2:$D$1315,TotalTeamGames20242025!$A31)</f>
        <v>2</v>
      </c>
      <c r="BC31" s="35"/>
      <c r="BD31" s="28">
        <f>COUNTIFS(DataRegularSeason20242025!$E$2:$E$1315,TotalTeamGames20242025!BC$1,DataRegularSeason20242025!$D$2:$D$1315,TotalTeamGames20242025!$A31)</f>
        <v>2</v>
      </c>
      <c r="BE31" s="35"/>
      <c r="BF31" s="27">
        <f>COUNTIFS(DataRegularSeason20242025!$E$2:$E$1315,TotalTeamGames20242025!BE$1,DataRegularSeason20242025!$D$2:$D$1315,TotalTeamGames20242025!$A31)</f>
        <v>1</v>
      </c>
      <c r="BG31" s="40"/>
      <c r="BH31" s="28">
        <f>COUNTIFS(DataRegularSeason20242025!$E$2:$E$1315,TotalTeamGames20242025!BG$1,DataRegularSeason20242025!$D$2:$D$1315,TotalTeamGames20242025!$A31)</f>
        <v>1</v>
      </c>
      <c r="BI31" s="35"/>
      <c r="BJ31" s="28">
        <f>COUNTIFS(DataRegularSeason20242025!$E$2:$E$1315,TotalTeamGames20242025!BI$1,DataRegularSeason20242025!$D$2:$D$1315,TotalTeamGames20242025!$A31)</f>
        <v>1</v>
      </c>
      <c r="BK31" s="35"/>
      <c r="BL31" s="28">
        <f>COUNTIFS(DataRegularSeason20242025!$E$2:$E$1315,TotalTeamGames20242025!BK$1,DataRegularSeason20242025!$D$2:$D$1315,TotalTeamGames20242025!$A31)</f>
        <v>1</v>
      </c>
      <c r="BM31" s="35"/>
      <c r="BN31" s="28">
        <f>COUNTIFS(DataRegularSeason20242025!$E$2:$E$1315,TotalTeamGames20242025!BM$1,DataRegularSeason20242025!$D$2:$D$1315,TotalTeamGames20242025!$A31)</f>
        <v>1</v>
      </c>
      <c r="BO31" s="30">
        <f t="shared" si="0"/>
        <v>41</v>
      </c>
      <c r="BP31" s="165">
        <f t="shared" ref="BP31" si="14">BO31+BO32</f>
        <v>82</v>
      </c>
    </row>
    <row r="32" spans="1:68" ht="9.9499999999999993" customHeight="1" x14ac:dyDescent="0.25">
      <c r="A32" s="167"/>
      <c r="B32" s="32" t="s">
        <v>73</v>
      </c>
      <c r="C32" s="31">
        <f>COUNTIFS(DataRegularSeason20242025!$D$2:$D$1315,TotalTeamGames20242025!C$1,DataRegularSeason20242025!$E$2:$E$1315,TotalTeamGames20242025!$A31)</f>
        <v>1</v>
      </c>
      <c r="D32" s="39"/>
      <c r="E32" s="31">
        <f>COUNTIFS(DataRegularSeason20242025!$D$2:$D$1315,TotalTeamGames20242025!E$1,DataRegularSeason20242025!$E$2:$E$1315,TotalTeamGames20242025!$A31)</f>
        <v>2</v>
      </c>
      <c r="F32" s="39"/>
      <c r="G32" s="31">
        <f>COUNTIFS(DataRegularSeason20242025!$D$2:$D$1315,TotalTeamGames20242025!G$1,DataRegularSeason20242025!$E$2:$E$1315,TotalTeamGames20242025!$A31)</f>
        <v>2</v>
      </c>
      <c r="H32" s="39"/>
      <c r="I32" s="31">
        <f>COUNTIFS(DataRegularSeason20242025!$D$2:$D$1315,TotalTeamGames20242025!I$1,DataRegularSeason20242025!$E$2:$E$1315,TotalTeamGames20242025!$A31)</f>
        <v>1</v>
      </c>
      <c r="J32" s="39"/>
      <c r="K32" s="31">
        <f>COUNTIFS(DataRegularSeason20242025!$D$2:$D$1315,TotalTeamGames20242025!K$1,DataRegularSeason20242025!$E$2:$E$1315,TotalTeamGames20242025!$A31)</f>
        <v>2</v>
      </c>
      <c r="L32" s="39"/>
      <c r="M32" s="31">
        <f>COUNTIFS(DataRegularSeason20242025!$D$2:$D$1315,TotalTeamGames20242025!M$1,DataRegularSeason20242025!$E$2:$E$1315,TotalTeamGames20242025!$A31)</f>
        <v>1</v>
      </c>
      <c r="N32" s="39"/>
      <c r="O32" s="31">
        <f>COUNTIFS(DataRegularSeason20242025!$D$2:$D$1315,TotalTeamGames20242025!O$1,DataRegularSeason20242025!$E$2:$E$1315,TotalTeamGames20242025!$A31)</f>
        <v>1</v>
      </c>
      <c r="P32" s="39"/>
      <c r="Q32" s="31">
        <f>COUNTIFS(DataRegularSeason20242025!$D$2:$D$1315,TotalTeamGames20242025!Q$1,DataRegularSeason20242025!$E$2:$E$1315,TotalTeamGames20242025!$A31)</f>
        <v>1</v>
      </c>
      <c r="R32" s="39"/>
      <c r="S32" s="31">
        <f>COUNTIFS(DataRegularSeason20242025!$D$2:$D$1315,TotalTeamGames20242025!S$1,DataRegularSeason20242025!$E$2:$E$1315,TotalTeamGames20242025!$A31)</f>
        <v>1</v>
      </c>
      <c r="T32" s="39"/>
      <c r="U32" s="31">
        <f>COUNTIFS(DataRegularSeason20242025!$D$2:$D$1315,TotalTeamGames20242025!U$1,DataRegularSeason20242025!$E$2:$E$1315,TotalTeamGames20242025!$A31)</f>
        <v>1</v>
      </c>
      <c r="V32" s="39"/>
      <c r="W32" s="31">
        <f>COUNTIFS(DataRegularSeason20242025!$D$2:$D$1315,TotalTeamGames20242025!W$1,DataRegularSeason20242025!$E$2:$E$1315,TotalTeamGames20242025!$A31)</f>
        <v>1</v>
      </c>
      <c r="X32" s="39"/>
      <c r="Y32" s="31">
        <f>COUNTIFS(DataRegularSeason20242025!$D$2:$D$1315,TotalTeamGames20242025!Y$1,DataRegularSeason20242025!$E$2:$E$1315,TotalTeamGames20242025!$A31)</f>
        <v>2</v>
      </c>
      <c r="Z32" s="39"/>
      <c r="AA32" s="31">
        <f>COUNTIFS(DataRegularSeason20242025!$D$2:$D$1315,TotalTeamGames20242025!AA$1,DataRegularSeason20242025!$E$2:$E$1315,TotalTeamGames20242025!$A31)</f>
        <v>1</v>
      </c>
      <c r="AB32" s="39"/>
      <c r="AC32" s="31">
        <f>COUNTIFS(DataRegularSeason20242025!$D$2:$D$1315,TotalTeamGames20242025!AC$1,DataRegularSeason20242025!$E$2:$E$1315,TotalTeamGames20242025!$A31)</f>
        <v>1</v>
      </c>
      <c r="AD32" s="39"/>
      <c r="AE32" s="38"/>
      <c r="AF32" s="39"/>
      <c r="AG32" s="31">
        <f>COUNTIFS(DataRegularSeason20242025!$D$2:$D$1315,TotalTeamGames20242025!AG$1,DataRegularSeason20242025!$E$2:$E$1315,TotalTeamGames20242025!$A31)</f>
        <v>1</v>
      </c>
      <c r="AH32" s="39"/>
      <c r="AI32" s="31">
        <f>COUNTIFS(DataRegularSeason20242025!$D$2:$D$1315,TotalTeamGames20242025!AI$1,DataRegularSeason20242025!$E$2:$E$1315,TotalTeamGames20242025!$A31)</f>
        <v>1</v>
      </c>
      <c r="AJ32" s="39"/>
      <c r="AK32" s="31">
        <f>COUNTIFS(DataRegularSeason20242025!$D$2:$D$1315,TotalTeamGames20242025!AK$1,DataRegularSeason20242025!$E$2:$E$1315,TotalTeamGames20242025!$A31)</f>
        <v>2</v>
      </c>
      <c r="AL32" s="39"/>
      <c r="AM32" s="31">
        <f>COUNTIFS(DataRegularSeason20242025!$D$2:$D$1315,TotalTeamGames20242025!AM$1,DataRegularSeason20242025!$E$2:$E$1315,TotalTeamGames20242025!$A31)</f>
        <v>1</v>
      </c>
      <c r="AN32" s="39"/>
      <c r="AO32" s="31">
        <f>COUNTIFS(DataRegularSeason20242025!$D$2:$D$1315,TotalTeamGames20242025!AO$1,DataRegularSeason20242025!$E$2:$E$1315,TotalTeamGames20242025!$A31)</f>
        <v>2</v>
      </c>
      <c r="AP32" s="39"/>
      <c r="AQ32" s="31">
        <f>COUNTIFS(DataRegularSeason20242025!$D$2:$D$1315,TotalTeamGames20242025!AQ$1,DataRegularSeason20242025!$E$2:$E$1315,TotalTeamGames20242025!$A31)</f>
        <v>2</v>
      </c>
      <c r="AR32" s="39"/>
      <c r="AS32" s="31">
        <f>COUNTIFS(DataRegularSeason20242025!$D$2:$D$1315,TotalTeamGames20242025!AS$1,DataRegularSeason20242025!$E$2:$E$1315,TotalTeamGames20242025!$A31)</f>
        <v>1</v>
      </c>
      <c r="AT32" s="39"/>
      <c r="AU32" s="31">
        <f>COUNTIFS(DataRegularSeason20242025!$D$2:$D$1315,TotalTeamGames20242025!AU$1,DataRegularSeason20242025!$E$2:$E$1315,TotalTeamGames20242025!$A31)</f>
        <v>1</v>
      </c>
      <c r="AV32" s="39"/>
      <c r="AW32" s="31">
        <f>COUNTIFS(DataRegularSeason20242025!$D$2:$D$1315,TotalTeamGames20242025!AW$1,DataRegularSeason20242025!$E$2:$E$1315,TotalTeamGames20242025!$A31)</f>
        <v>1</v>
      </c>
      <c r="AX32" s="39"/>
      <c r="AY32" s="31">
        <f>COUNTIFS(DataRegularSeason20242025!$D$2:$D$1315,TotalTeamGames20242025!AY$1,DataRegularSeason20242025!$E$2:$E$1315,TotalTeamGames20242025!$A31)</f>
        <v>1</v>
      </c>
      <c r="AZ32" s="39"/>
      <c r="BA32" s="31">
        <f>COUNTIFS(DataRegularSeason20242025!$D$2:$D$1315,TotalTeamGames20242025!BA$1,DataRegularSeason20242025!$E$2:$E$1315,TotalTeamGames20242025!$A31)</f>
        <v>2</v>
      </c>
      <c r="BB32" s="39"/>
      <c r="BC32" s="31">
        <f>COUNTIFS(DataRegularSeason20242025!$D$2:$D$1315,TotalTeamGames20242025!BC$1,DataRegularSeason20242025!$E$2:$E$1315,TotalTeamGames20242025!$A31)</f>
        <v>2</v>
      </c>
      <c r="BD32" s="39"/>
      <c r="BE32" s="31">
        <f>COUNTIFS(DataRegularSeason20242025!$D$2:$D$1315,TotalTeamGames20242025!BE$1,DataRegularSeason20242025!$E$2:$E$1315,TotalTeamGames20242025!$A31)</f>
        <v>1</v>
      </c>
      <c r="BF32" s="38"/>
      <c r="BG32" s="33">
        <f>COUNTIFS(DataRegularSeason20242025!$D$2:$D$1315,TotalTeamGames20242025!BG$1,DataRegularSeason20242025!$E$2:$E$1315,TotalTeamGames20242025!$A31)</f>
        <v>1</v>
      </c>
      <c r="BH32" s="39"/>
      <c r="BI32" s="31">
        <f>COUNTIFS(DataRegularSeason20242025!$D$2:$D$1315,TotalTeamGames20242025!BI$1,DataRegularSeason20242025!$E$2:$E$1315,TotalTeamGames20242025!$A31)</f>
        <v>1</v>
      </c>
      <c r="BJ32" s="39"/>
      <c r="BK32" s="31">
        <f>COUNTIFS(DataRegularSeason20242025!$D$2:$D$1315,TotalTeamGames20242025!BK$1,DataRegularSeason20242025!$E$2:$E$1315,TotalTeamGames20242025!$A31)</f>
        <v>1</v>
      </c>
      <c r="BL32" s="39"/>
      <c r="BM32" s="31">
        <f>COUNTIFS(DataRegularSeason20242025!$D$2:$D$1315,TotalTeamGames20242025!BM$1,DataRegularSeason20242025!$E$2:$E$1315,TotalTeamGames20242025!$A31)</f>
        <v>2</v>
      </c>
      <c r="BN32" s="39"/>
      <c r="BO32" s="34">
        <f t="shared" si="0"/>
        <v>41</v>
      </c>
      <c r="BP32" s="165"/>
    </row>
    <row r="33" spans="1:68" ht="9.9499999999999993" customHeight="1" x14ac:dyDescent="0.25">
      <c r="A33" s="166" t="s">
        <v>31</v>
      </c>
      <c r="B33" s="28" t="s">
        <v>74</v>
      </c>
      <c r="C33" s="35"/>
      <c r="D33" s="28">
        <f>COUNTIFS(DataRegularSeason20242025!$E$2:$E$1315,TotalTeamGames20242025!C$1,DataRegularSeason20242025!$D$2:$D$1315,TotalTeamGames20242025!$A33)</f>
        <v>1</v>
      </c>
      <c r="E33" s="35"/>
      <c r="F33" s="28">
        <f>COUNTIFS(DataRegularSeason20242025!$E$2:$E$1315,TotalTeamGames20242025!E$1,DataRegularSeason20242025!$D$2:$D$1315,TotalTeamGames20242025!$A33)</f>
        <v>2</v>
      </c>
      <c r="G33" s="35"/>
      <c r="H33" s="28">
        <f>COUNTIFS(DataRegularSeason20242025!$E$2:$E$1315,TotalTeamGames20242025!G$1,DataRegularSeason20242025!$D$2:$D$1315,TotalTeamGames20242025!$A33)</f>
        <v>1</v>
      </c>
      <c r="I33" s="35"/>
      <c r="J33" s="28">
        <f>COUNTIFS(DataRegularSeason20242025!$E$2:$E$1315,TotalTeamGames20242025!I$1,DataRegularSeason20242025!$D$2:$D$1315,TotalTeamGames20242025!$A33)</f>
        <v>2</v>
      </c>
      <c r="K33" s="35"/>
      <c r="L33" s="28">
        <f>COUNTIFS(DataRegularSeason20242025!$E$2:$E$1315,TotalTeamGames20242025!K$1,DataRegularSeason20242025!$D$2:$D$1315,TotalTeamGames20242025!$A33)</f>
        <v>2</v>
      </c>
      <c r="M33" s="35"/>
      <c r="N33" s="28">
        <f>COUNTIFS(DataRegularSeason20242025!$E$2:$E$1315,TotalTeamGames20242025!M$1,DataRegularSeason20242025!$D$2:$D$1315,TotalTeamGames20242025!$A33)</f>
        <v>1</v>
      </c>
      <c r="O33" s="35"/>
      <c r="P33" s="28">
        <f>COUNTIFS(DataRegularSeason20242025!$E$2:$E$1315,TotalTeamGames20242025!O$1,DataRegularSeason20242025!$D$2:$D$1315,TotalTeamGames20242025!$A33)</f>
        <v>1</v>
      </c>
      <c r="Q33" s="35"/>
      <c r="R33" s="28">
        <f>COUNTIFS(DataRegularSeason20242025!$E$2:$E$1315,TotalTeamGames20242025!Q$1,DataRegularSeason20242025!$D$2:$D$1315,TotalTeamGames20242025!$A33)</f>
        <v>1</v>
      </c>
      <c r="S33" s="35"/>
      <c r="T33" s="28">
        <f>COUNTIFS(DataRegularSeason20242025!$E$2:$E$1315,TotalTeamGames20242025!S$1,DataRegularSeason20242025!$D$2:$D$1315,TotalTeamGames20242025!$A33)</f>
        <v>1</v>
      </c>
      <c r="U33" s="35"/>
      <c r="V33" s="28">
        <f>COUNTIFS(DataRegularSeason20242025!$E$2:$E$1315,TotalTeamGames20242025!U$1,DataRegularSeason20242025!$D$2:$D$1315,TotalTeamGames20242025!$A33)</f>
        <v>1</v>
      </c>
      <c r="W33" s="35"/>
      <c r="X33" s="28">
        <f>COUNTIFS(DataRegularSeason20242025!$E$2:$E$1315,TotalTeamGames20242025!W$1,DataRegularSeason20242025!$D$2:$D$1315,TotalTeamGames20242025!$A33)</f>
        <v>1</v>
      </c>
      <c r="Y33" s="35"/>
      <c r="Z33" s="28">
        <f>COUNTIFS(DataRegularSeason20242025!$E$2:$E$1315,TotalTeamGames20242025!Y$1,DataRegularSeason20242025!$D$2:$D$1315,TotalTeamGames20242025!$A33)</f>
        <v>1</v>
      </c>
      <c r="AA33" s="35"/>
      <c r="AB33" s="28">
        <f>COUNTIFS(DataRegularSeason20242025!$E$2:$E$1315,TotalTeamGames20242025!AA$1,DataRegularSeason20242025!$D$2:$D$1315,TotalTeamGames20242025!$A33)</f>
        <v>1</v>
      </c>
      <c r="AC33" s="35"/>
      <c r="AD33" s="28">
        <f>COUNTIFS(DataRegularSeason20242025!$E$2:$E$1315,TotalTeamGames20242025!AC$1,DataRegularSeason20242025!$D$2:$D$1315,TotalTeamGames20242025!$A33)</f>
        <v>1</v>
      </c>
      <c r="AE33" s="35"/>
      <c r="AF33" s="28">
        <f>COUNTIFS(DataRegularSeason20242025!$E$2:$E$1315,TotalTeamGames20242025!AE$1,DataRegularSeason20242025!$D$2:$D$1315,TotalTeamGames20242025!$A33)</f>
        <v>1</v>
      </c>
      <c r="AG33" s="35"/>
      <c r="AH33" s="36"/>
      <c r="AI33" s="35"/>
      <c r="AJ33" s="28">
        <f>COUNTIFS(DataRegularSeason20242025!$E$2:$E$1315,TotalTeamGames20242025!AI$1,DataRegularSeason20242025!$D$2:$D$1315,TotalTeamGames20242025!$A33)</f>
        <v>1</v>
      </c>
      <c r="AK33" s="35"/>
      <c r="AL33" s="28">
        <f>COUNTIFS(DataRegularSeason20242025!$E$2:$E$1315,TotalTeamGames20242025!AK$1,DataRegularSeason20242025!$D$2:$D$1315,TotalTeamGames20242025!$A33)</f>
        <v>2</v>
      </c>
      <c r="AM33" s="35"/>
      <c r="AN33" s="28">
        <f>COUNTIFS(DataRegularSeason20242025!$E$2:$E$1315,TotalTeamGames20242025!AM$1,DataRegularSeason20242025!$D$2:$D$1315,TotalTeamGames20242025!$A33)</f>
        <v>2</v>
      </c>
      <c r="AO33" s="35"/>
      <c r="AP33" s="28">
        <f>COUNTIFS(DataRegularSeason20242025!$E$2:$E$1315,TotalTeamGames20242025!AO$1,DataRegularSeason20242025!$D$2:$D$1315,TotalTeamGames20242025!$A33)</f>
        <v>2</v>
      </c>
      <c r="AQ33" s="35"/>
      <c r="AR33" s="28">
        <f>COUNTIFS(DataRegularSeason20242025!$E$2:$E$1315,TotalTeamGames20242025!AQ$1,DataRegularSeason20242025!$D$2:$D$1315,TotalTeamGames20242025!$A33)</f>
        <v>1</v>
      </c>
      <c r="AS33" s="35"/>
      <c r="AT33" s="28">
        <f>COUNTIFS(DataRegularSeason20242025!$E$2:$E$1315,TotalTeamGames20242025!AS$1,DataRegularSeason20242025!$D$2:$D$1315,TotalTeamGames20242025!$A33)</f>
        <v>2</v>
      </c>
      <c r="AU33" s="35"/>
      <c r="AV33" s="28">
        <f>COUNTIFS(DataRegularSeason20242025!$E$2:$E$1315,TotalTeamGames20242025!AU$1,DataRegularSeason20242025!$D$2:$D$1315,TotalTeamGames20242025!$A33)</f>
        <v>1</v>
      </c>
      <c r="AW33" s="35"/>
      <c r="AX33" s="28">
        <f>COUNTIFS(DataRegularSeason20242025!$E$2:$E$1315,TotalTeamGames20242025!AW$1,DataRegularSeason20242025!$D$2:$D$1315,TotalTeamGames20242025!$A33)</f>
        <v>1</v>
      </c>
      <c r="AY33" s="35"/>
      <c r="AZ33" s="28">
        <f>COUNTIFS(DataRegularSeason20242025!$E$2:$E$1315,TotalTeamGames20242025!AY$1,DataRegularSeason20242025!$D$2:$D$1315,TotalTeamGames20242025!$A33)</f>
        <v>1</v>
      </c>
      <c r="BA33" s="35"/>
      <c r="BB33" s="28">
        <f>COUNTIFS(DataRegularSeason20242025!$E$2:$E$1315,TotalTeamGames20242025!BA$1,DataRegularSeason20242025!$D$2:$D$1315,TotalTeamGames20242025!$A33)</f>
        <v>2</v>
      </c>
      <c r="BC33" s="35"/>
      <c r="BD33" s="28">
        <f>COUNTIFS(DataRegularSeason20242025!$E$2:$E$1315,TotalTeamGames20242025!BC$1,DataRegularSeason20242025!$D$2:$D$1315,TotalTeamGames20242025!$A33)</f>
        <v>2</v>
      </c>
      <c r="BE33" s="35"/>
      <c r="BF33" s="27">
        <f>COUNTIFS(DataRegularSeason20242025!$E$2:$E$1315,TotalTeamGames20242025!BE$1,DataRegularSeason20242025!$D$2:$D$1315,TotalTeamGames20242025!$A33)</f>
        <v>1</v>
      </c>
      <c r="BG33" s="40"/>
      <c r="BH33" s="28">
        <f>COUNTIFS(DataRegularSeason20242025!$E$2:$E$1315,TotalTeamGames20242025!BG$1,DataRegularSeason20242025!$D$2:$D$1315,TotalTeamGames20242025!$A33)</f>
        <v>1</v>
      </c>
      <c r="BI33" s="35"/>
      <c r="BJ33" s="28">
        <f>COUNTIFS(DataRegularSeason20242025!$E$2:$E$1315,TotalTeamGames20242025!BI$1,DataRegularSeason20242025!$D$2:$D$1315,TotalTeamGames20242025!$A33)</f>
        <v>1</v>
      </c>
      <c r="BK33" s="35"/>
      <c r="BL33" s="28">
        <f>COUNTIFS(DataRegularSeason20242025!$E$2:$E$1315,TotalTeamGames20242025!BK$1,DataRegularSeason20242025!$D$2:$D$1315,TotalTeamGames20242025!$A33)</f>
        <v>1</v>
      </c>
      <c r="BM33" s="35"/>
      <c r="BN33" s="28">
        <f>COUNTIFS(DataRegularSeason20242025!$E$2:$E$1315,TotalTeamGames20242025!BM$1,DataRegularSeason20242025!$D$2:$D$1315,TotalTeamGames20242025!$A33)</f>
        <v>2</v>
      </c>
      <c r="BO33" s="30">
        <f t="shared" si="0"/>
        <v>41</v>
      </c>
      <c r="BP33" s="165">
        <f t="shared" ref="BP33" si="15">BO33+BO34</f>
        <v>82</v>
      </c>
    </row>
    <row r="34" spans="1:68" ht="9.9499999999999993" customHeight="1" x14ac:dyDescent="0.25">
      <c r="A34" s="167"/>
      <c r="B34" s="32" t="s">
        <v>73</v>
      </c>
      <c r="C34" s="31">
        <f>COUNTIFS(DataRegularSeason20242025!$D$2:$D$1315,TotalTeamGames20242025!C$1,DataRegularSeason20242025!$E$2:$E$1315,TotalTeamGames20242025!$A33)</f>
        <v>1</v>
      </c>
      <c r="D34" s="39"/>
      <c r="E34" s="31">
        <f>COUNTIFS(DataRegularSeason20242025!$D$2:$D$1315,TotalTeamGames20242025!E$1,DataRegularSeason20242025!$E$2:$E$1315,TotalTeamGames20242025!$A33)</f>
        <v>1</v>
      </c>
      <c r="F34" s="39"/>
      <c r="G34" s="31">
        <f>COUNTIFS(DataRegularSeason20242025!$D$2:$D$1315,TotalTeamGames20242025!G$1,DataRegularSeason20242025!$E$2:$E$1315,TotalTeamGames20242025!$A33)</f>
        <v>2</v>
      </c>
      <c r="H34" s="39"/>
      <c r="I34" s="31">
        <f>COUNTIFS(DataRegularSeason20242025!$D$2:$D$1315,TotalTeamGames20242025!I$1,DataRegularSeason20242025!$E$2:$E$1315,TotalTeamGames20242025!$A33)</f>
        <v>2</v>
      </c>
      <c r="J34" s="39"/>
      <c r="K34" s="31">
        <f>COUNTIFS(DataRegularSeason20242025!$D$2:$D$1315,TotalTeamGames20242025!K$1,DataRegularSeason20242025!$E$2:$E$1315,TotalTeamGames20242025!$A33)</f>
        <v>2</v>
      </c>
      <c r="L34" s="39"/>
      <c r="M34" s="31">
        <f>COUNTIFS(DataRegularSeason20242025!$D$2:$D$1315,TotalTeamGames20242025!M$1,DataRegularSeason20242025!$E$2:$E$1315,TotalTeamGames20242025!$A33)</f>
        <v>1</v>
      </c>
      <c r="N34" s="39"/>
      <c r="O34" s="31">
        <f>COUNTIFS(DataRegularSeason20242025!$D$2:$D$1315,TotalTeamGames20242025!O$1,DataRegularSeason20242025!$E$2:$E$1315,TotalTeamGames20242025!$A33)</f>
        <v>1</v>
      </c>
      <c r="P34" s="39"/>
      <c r="Q34" s="31">
        <f>COUNTIFS(DataRegularSeason20242025!$D$2:$D$1315,TotalTeamGames20242025!Q$1,DataRegularSeason20242025!$E$2:$E$1315,TotalTeamGames20242025!$A33)</f>
        <v>1</v>
      </c>
      <c r="R34" s="39"/>
      <c r="S34" s="31">
        <f>COUNTIFS(DataRegularSeason20242025!$D$2:$D$1315,TotalTeamGames20242025!S$1,DataRegularSeason20242025!$E$2:$E$1315,TotalTeamGames20242025!$A33)</f>
        <v>1</v>
      </c>
      <c r="T34" s="39"/>
      <c r="U34" s="31">
        <f>COUNTIFS(DataRegularSeason20242025!$D$2:$D$1315,TotalTeamGames20242025!U$1,DataRegularSeason20242025!$E$2:$E$1315,TotalTeamGames20242025!$A33)</f>
        <v>2</v>
      </c>
      <c r="V34" s="39"/>
      <c r="W34" s="31">
        <f>COUNTIFS(DataRegularSeason20242025!$D$2:$D$1315,TotalTeamGames20242025!W$1,DataRegularSeason20242025!$E$2:$E$1315,TotalTeamGames20242025!$A33)</f>
        <v>1</v>
      </c>
      <c r="X34" s="39"/>
      <c r="Y34" s="31">
        <f>COUNTIFS(DataRegularSeason20242025!$D$2:$D$1315,TotalTeamGames20242025!Y$1,DataRegularSeason20242025!$E$2:$E$1315,TotalTeamGames20242025!$A33)</f>
        <v>2</v>
      </c>
      <c r="Z34" s="39"/>
      <c r="AA34" s="31">
        <f>COUNTIFS(DataRegularSeason20242025!$D$2:$D$1315,TotalTeamGames20242025!AA$1,DataRegularSeason20242025!$E$2:$E$1315,TotalTeamGames20242025!$A33)</f>
        <v>1</v>
      </c>
      <c r="AB34" s="39"/>
      <c r="AC34" s="31">
        <f>COUNTIFS(DataRegularSeason20242025!$D$2:$D$1315,TotalTeamGames20242025!AC$1,DataRegularSeason20242025!$E$2:$E$1315,TotalTeamGames20242025!$A33)</f>
        <v>1</v>
      </c>
      <c r="AD34" s="39"/>
      <c r="AE34" s="31">
        <f>COUNTIFS(DataRegularSeason20242025!$D$2:$D$1315,TotalTeamGames20242025!AE$1,DataRegularSeason20242025!$E$2:$E$1315,TotalTeamGames20242025!$A33)</f>
        <v>2</v>
      </c>
      <c r="AF34" s="39"/>
      <c r="AG34" s="38"/>
      <c r="AH34" s="39"/>
      <c r="AI34" s="31">
        <f>COUNTIFS(DataRegularSeason20242025!$D$2:$D$1315,TotalTeamGames20242025!AI$1,DataRegularSeason20242025!$E$2:$E$1315,TotalTeamGames20242025!$A33)</f>
        <v>1</v>
      </c>
      <c r="AJ34" s="39"/>
      <c r="AK34" s="31">
        <f>COUNTIFS(DataRegularSeason20242025!$D$2:$D$1315,TotalTeamGames20242025!AK$1,DataRegularSeason20242025!$E$2:$E$1315,TotalTeamGames20242025!$A33)</f>
        <v>2</v>
      </c>
      <c r="AL34" s="39"/>
      <c r="AM34" s="31">
        <f>COUNTIFS(DataRegularSeason20242025!$D$2:$D$1315,TotalTeamGames20242025!AM$1,DataRegularSeason20242025!$E$2:$E$1315,TotalTeamGames20242025!$A33)</f>
        <v>1</v>
      </c>
      <c r="AN34" s="39"/>
      <c r="AO34" s="31">
        <f>COUNTIFS(DataRegularSeason20242025!$D$2:$D$1315,TotalTeamGames20242025!AO$1,DataRegularSeason20242025!$E$2:$E$1315,TotalTeamGames20242025!$A33)</f>
        <v>1</v>
      </c>
      <c r="AP34" s="39"/>
      <c r="AQ34" s="31">
        <f>COUNTIFS(DataRegularSeason20242025!$D$2:$D$1315,TotalTeamGames20242025!AQ$1,DataRegularSeason20242025!$E$2:$E$1315,TotalTeamGames20242025!$A33)</f>
        <v>2</v>
      </c>
      <c r="AR34" s="39"/>
      <c r="AS34" s="31">
        <f>COUNTIFS(DataRegularSeason20242025!$D$2:$D$1315,TotalTeamGames20242025!AS$1,DataRegularSeason20242025!$E$2:$E$1315,TotalTeamGames20242025!$A33)</f>
        <v>2</v>
      </c>
      <c r="AT34" s="39"/>
      <c r="AU34" s="31">
        <f>COUNTIFS(DataRegularSeason20242025!$D$2:$D$1315,TotalTeamGames20242025!AU$1,DataRegularSeason20242025!$E$2:$E$1315,TotalTeamGames20242025!$A33)</f>
        <v>1</v>
      </c>
      <c r="AV34" s="39"/>
      <c r="AW34" s="31">
        <f>COUNTIFS(DataRegularSeason20242025!$D$2:$D$1315,TotalTeamGames20242025!AW$1,DataRegularSeason20242025!$E$2:$E$1315,TotalTeamGames20242025!$A33)</f>
        <v>1</v>
      </c>
      <c r="AX34" s="39"/>
      <c r="AY34" s="31">
        <f>COUNTIFS(DataRegularSeason20242025!$D$2:$D$1315,TotalTeamGames20242025!AY$1,DataRegularSeason20242025!$E$2:$E$1315,TotalTeamGames20242025!$A33)</f>
        <v>1</v>
      </c>
      <c r="AZ34" s="39"/>
      <c r="BA34" s="31">
        <f>COUNTIFS(DataRegularSeason20242025!$D$2:$D$1315,TotalTeamGames20242025!BA$1,DataRegularSeason20242025!$E$2:$E$1315,TotalTeamGames20242025!$A33)</f>
        <v>1</v>
      </c>
      <c r="BB34" s="39"/>
      <c r="BC34" s="31">
        <f>COUNTIFS(DataRegularSeason20242025!$D$2:$D$1315,TotalTeamGames20242025!BC$1,DataRegularSeason20242025!$E$2:$E$1315,TotalTeamGames20242025!$A33)</f>
        <v>1</v>
      </c>
      <c r="BD34" s="39"/>
      <c r="BE34" s="31">
        <f>COUNTIFS(DataRegularSeason20242025!$D$2:$D$1315,TotalTeamGames20242025!BE$1,DataRegularSeason20242025!$E$2:$E$1315,TotalTeamGames20242025!$A33)</f>
        <v>1</v>
      </c>
      <c r="BF34" s="38"/>
      <c r="BG34" s="33">
        <f>COUNTIFS(DataRegularSeason20242025!$D$2:$D$1315,TotalTeamGames20242025!BG$1,DataRegularSeason20242025!$E$2:$E$1315,TotalTeamGames20242025!$A33)</f>
        <v>1</v>
      </c>
      <c r="BH34" s="39"/>
      <c r="BI34" s="31">
        <f>COUNTIFS(DataRegularSeason20242025!$D$2:$D$1315,TotalTeamGames20242025!BI$1,DataRegularSeason20242025!$E$2:$E$1315,TotalTeamGames20242025!$A33)</f>
        <v>1</v>
      </c>
      <c r="BJ34" s="39"/>
      <c r="BK34" s="31">
        <f>COUNTIFS(DataRegularSeason20242025!$D$2:$D$1315,TotalTeamGames20242025!BK$1,DataRegularSeason20242025!$E$2:$E$1315,TotalTeamGames20242025!$A33)</f>
        <v>1</v>
      </c>
      <c r="BL34" s="39"/>
      <c r="BM34" s="31">
        <f>COUNTIFS(DataRegularSeason20242025!$D$2:$D$1315,TotalTeamGames20242025!BM$1,DataRegularSeason20242025!$E$2:$E$1315,TotalTeamGames20242025!$A33)</f>
        <v>2</v>
      </c>
      <c r="BN34" s="39"/>
      <c r="BO34" s="34">
        <f t="shared" si="0"/>
        <v>41</v>
      </c>
      <c r="BP34" s="165"/>
    </row>
    <row r="35" spans="1:68" ht="9.9499999999999993" customHeight="1" x14ac:dyDescent="0.25">
      <c r="A35" s="166" t="s">
        <v>34</v>
      </c>
      <c r="B35" s="28" t="s">
        <v>74</v>
      </c>
      <c r="C35" s="35"/>
      <c r="D35" s="28">
        <f>COUNTIFS(DataRegularSeason20242025!$E$2:$E$1315,TotalTeamGames20242025!C$1,DataRegularSeason20242025!$D$2:$D$1315,TotalTeamGames20242025!$A35)</f>
        <v>1</v>
      </c>
      <c r="E35" s="35"/>
      <c r="F35" s="28">
        <f>COUNTIFS(DataRegularSeason20242025!$E$2:$E$1315,TotalTeamGames20242025!E$1,DataRegularSeason20242025!$D$2:$D$1315,TotalTeamGames20242025!$A35)</f>
        <v>1</v>
      </c>
      <c r="G35" s="35"/>
      <c r="H35" s="28">
        <f>COUNTIFS(DataRegularSeason20242025!$E$2:$E$1315,TotalTeamGames20242025!G$1,DataRegularSeason20242025!$D$2:$D$1315,TotalTeamGames20242025!$A35)</f>
        <v>1</v>
      </c>
      <c r="I35" s="35"/>
      <c r="J35" s="28">
        <f>COUNTIFS(DataRegularSeason20242025!$E$2:$E$1315,TotalTeamGames20242025!I$1,DataRegularSeason20242025!$D$2:$D$1315,TotalTeamGames20242025!$A35)</f>
        <v>1</v>
      </c>
      <c r="K35" s="35"/>
      <c r="L35" s="28">
        <f>COUNTIFS(DataRegularSeason20242025!$E$2:$E$1315,TotalTeamGames20242025!K$1,DataRegularSeason20242025!$D$2:$D$1315,TotalTeamGames20242025!$A35)</f>
        <v>1</v>
      </c>
      <c r="M35" s="35"/>
      <c r="N35" s="28">
        <f>COUNTIFS(DataRegularSeason20242025!$E$2:$E$1315,TotalTeamGames20242025!M$1,DataRegularSeason20242025!$D$2:$D$1315,TotalTeamGames20242025!$A35)</f>
        <v>1</v>
      </c>
      <c r="O35" s="35"/>
      <c r="P35" s="28">
        <f>COUNTIFS(DataRegularSeason20242025!$E$2:$E$1315,TotalTeamGames20242025!O$1,DataRegularSeason20242025!$D$2:$D$1315,TotalTeamGames20242025!$A35)</f>
        <v>2</v>
      </c>
      <c r="Q35" s="35"/>
      <c r="R35" s="28">
        <f>COUNTIFS(DataRegularSeason20242025!$E$2:$E$1315,TotalTeamGames20242025!Q$1,DataRegularSeason20242025!$D$2:$D$1315,TotalTeamGames20242025!$A35)</f>
        <v>2</v>
      </c>
      <c r="S35" s="35"/>
      <c r="T35" s="28">
        <f>COUNTIFS(DataRegularSeason20242025!$E$2:$E$1315,TotalTeamGames20242025!S$1,DataRegularSeason20242025!$D$2:$D$1315,TotalTeamGames20242025!$A35)</f>
        <v>1</v>
      </c>
      <c r="U35" s="35"/>
      <c r="V35" s="28">
        <f>COUNTIFS(DataRegularSeason20242025!$E$2:$E$1315,TotalTeamGames20242025!U$1,DataRegularSeason20242025!$D$2:$D$1315,TotalTeamGames20242025!$A35)</f>
        <v>1</v>
      </c>
      <c r="W35" s="35"/>
      <c r="X35" s="28">
        <f>COUNTIFS(DataRegularSeason20242025!$E$2:$E$1315,TotalTeamGames20242025!W$1,DataRegularSeason20242025!$D$2:$D$1315,TotalTeamGames20242025!$A35)</f>
        <v>2</v>
      </c>
      <c r="Y35" s="35"/>
      <c r="Z35" s="28">
        <f>COUNTIFS(DataRegularSeason20242025!$E$2:$E$1315,TotalTeamGames20242025!Y$1,DataRegularSeason20242025!$D$2:$D$1315,TotalTeamGames20242025!$A35)</f>
        <v>1</v>
      </c>
      <c r="AA35" s="35"/>
      <c r="AB35" s="28">
        <f>COUNTIFS(DataRegularSeason20242025!$E$2:$E$1315,TotalTeamGames20242025!AA$1,DataRegularSeason20242025!$D$2:$D$1315,TotalTeamGames20242025!$A35)</f>
        <v>2</v>
      </c>
      <c r="AC35" s="35"/>
      <c r="AD35" s="28">
        <f>COUNTIFS(DataRegularSeason20242025!$E$2:$E$1315,TotalTeamGames20242025!AC$1,DataRegularSeason20242025!$D$2:$D$1315,TotalTeamGames20242025!$A35)</f>
        <v>2</v>
      </c>
      <c r="AE35" s="35"/>
      <c r="AF35" s="28">
        <f>COUNTIFS(DataRegularSeason20242025!$E$2:$E$1315,TotalTeamGames20242025!AE$1,DataRegularSeason20242025!$D$2:$D$1315,TotalTeamGames20242025!$A35)</f>
        <v>1</v>
      </c>
      <c r="AG35" s="35"/>
      <c r="AH35" s="28">
        <f>COUNTIFS(DataRegularSeason20242025!$E$2:$E$1315,TotalTeamGames20242025!AG$1,DataRegularSeason20242025!$D$2:$D$1315,TotalTeamGames20242025!$A35)</f>
        <v>1</v>
      </c>
      <c r="AI35" s="35"/>
      <c r="AJ35" s="36"/>
      <c r="AK35" s="35"/>
      <c r="AL35" s="28">
        <f>COUNTIFS(DataRegularSeason20242025!$E$2:$E$1315,TotalTeamGames20242025!AK$1,DataRegularSeason20242025!$D$2:$D$1315,TotalTeamGames20242025!$A35)</f>
        <v>1</v>
      </c>
      <c r="AM35" s="35"/>
      <c r="AN35" s="28">
        <f>COUNTIFS(DataRegularSeason20242025!$E$2:$E$1315,TotalTeamGames20242025!AM$1,DataRegularSeason20242025!$D$2:$D$1315,TotalTeamGames20242025!$A35)</f>
        <v>1</v>
      </c>
      <c r="AO35" s="35"/>
      <c r="AP35" s="28">
        <f>COUNTIFS(DataRegularSeason20242025!$E$2:$E$1315,TotalTeamGames20242025!AO$1,DataRegularSeason20242025!$D$2:$D$1315,TotalTeamGames20242025!$A35)</f>
        <v>1</v>
      </c>
      <c r="AQ35" s="35"/>
      <c r="AR35" s="28">
        <f>COUNTIFS(DataRegularSeason20242025!$E$2:$E$1315,TotalTeamGames20242025!AQ$1,DataRegularSeason20242025!$D$2:$D$1315,TotalTeamGames20242025!$A35)</f>
        <v>1</v>
      </c>
      <c r="AS35" s="35"/>
      <c r="AT35" s="28">
        <f>COUNTIFS(DataRegularSeason20242025!$E$2:$E$1315,TotalTeamGames20242025!AS$1,DataRegularSeason20242025!$D$2:$D$1315,TotalTeamGames20242025!$A35)</f>
        <v>1</v>
      </c>
      <c r="AU35" s="35"/>
      <c r="AV35" s="28">
        <f>COUNTIFS(DataRegularSeason20242025!$E$2:$E$1315,TotalTeamGames20242025!AU$1,DataRegularSeason20242025!$D$2:$D$1315,TotalTeamGames20242025!$A35)</f>
        <v>2</v>
      </c>
      <c r="AW35" s="35"/>
      <c r="AX35" s="28">
        <f>COUNTIFS(DataRegularSeason20242025!$E$2:$E$1315,TotalTeamGames20242025!AW$1,DataRegularSeason20242025!$D$2:$D$1315,TotalTeamGames20242025!$A35)</f>
        <v>1</v>
      </c>
      <c r="AY35" s="35"/>
      <c r="AZ35" s="28">
        <f>COUNTIFS(DataRegularSeason20242025!$E$2:$E$1315,TotalTeamGames20242025!AY$1,DataRegularSeason20242025!$D$2:$D$1315,TotalTeamGames20242025!$A35)</f>
        <v>2</v>
      </c>
      <c r="BA35" s="35"/>
      <c r="BB35" s="28">
        <f>COUNTIFS(DataRegularSeason20242025!$E$2:$E$1315,TotalTeamGames20242025!BA$1,DataRegularSeason20242025!$D$2:$D$1315,TotalTeamGames20242025!$A35)</f>
        <v>1</v>
      </c>
      <c r="BC35" s="35"/>
      <c r="BD35" s="28">
        <f>COUNTIFS(DataRegularSeason20242025!$E$2:$E$1315,TotalTeamGames20242025!BC$1,DataRegularSeason20242025!$D$2:$D$1315,TotalTeamGames20242025!$A35)</f>
        <v>1</v>
      </c>
      <c r="BE35" s="35"/>
      <c r="BF35" s="27">
        <f>COUNTIFS(DataRegularSeason20242025!$E$2:$E$1315,TotalTeamGames20242025!BE$1,DataRegularSeason20242025!$D$2:$D$1315,TotalTeamGames20242025!$A35)</f>
        <v>2</v>
      </c>
      <c r="BG35" s="40"/>
      <c r="BH35" s="28">
        <f>COUNTIFS(DataRegularSeason20242025!$E$2:$E$1315,TotalTeamGames20242025!BG$1,DataRegularSeason20242025!$D$2:$D$1315,TotalTeamGames20242025!$A35)</f>
        <v>1</v>
      </c>
      <c r="BI35" s="35"/>
      <c r="BJ35" s="28">
        <f>COUNTIFS(DataRegularSeason20242025!$E$2:$E$1315,TotalTeamGames20242025!BI$1,DataRegularSeason20242025!$D$2:$D$1315,TotalTeamGames20242025!$A35)</f>
        <v>2</v>
      </c>
      <c r="BK35" s="35"/>
      <c r="BL35" s="28">
        <f>COUNTIFS(DataRegularSeason20242025!$E$2:$E$1315,TotalTeamGames20242025!BK$1,DataRegularSeason20242025!$D$2:$D$1315,TotalTeamGames20242025!$A35)</f>
        <v>2</v>
      </c>
      <c r="BM35" s="35"/>
      <c r="BN35" s="28">
        <f>COUNTIFS(DataRegularSeason20242025!$E$2:$E$1315,TotalTeamGames20242025!BM$1,DataRegularSeason20242025!$D$2:$D$1315,TotalTeamGames20242025!$A35)</f>
        <v>1</v>
      </c>
      <c r="BO35" s="30">
        <f t="shared" si="0"/>
        <v>41</v>
      </c>
      <c r="BP35" s="165">
        <f t="shared" ref="BP35" si="16">BO35+BO36</f>
        <v>82</v>
      </c>
    </row>
    <row r="36" spans="1:68" ht="9.9499999999999993" customHeight="1" x14ac:dyDescent="0.25">
      <c r="A36" s="167"/>
      <c r="B36" s="32" t="s">
        <v>73</v>
      </c>
      <c r="C36" s="31">
        <f>COUNTIFS(DataRegularSeason20242025!$D$2:$D$1315,TotalTeamGames20242025!C$1,DataRegularSeason20242025!$E$2:$E$1315,TotalTeamGames20242025!$A35)</f>
        <v>2</v>
      </c>
      <c r="D36" s="39"/>
      <c r="E36" s="31">
        <f>COUNTIFS(DataRegularSeason20242025!$D$2:$D$1315,TotalTeamGames20242025!E$1,DataRegularSeason20242025!$E$2:$E$1315,TotalTeamGames20242025!$A35)</f>
        <v>1</v>
      </c>
      <c r="F36" s="39"/>
      <c r="G36" s="31">
        <f>COUNTIFS(DataRegularSeason20242025!$D$2:$D$1315,TotalTeamGames20242025!G$1,DataRegularSeason20242025!$E$2:$E$1315,TotalTeamGames20242025!$A35)</f>
        <v>1</v>
      </c>
      <c r="H36" s="39"/>
      <c r="I36" s="31">
        <f>COUNTIFS(DataRegularSeason20242025!$D$2:$D$1315,TotalTeamGames20242025!I$1,DataRegularSeason20242025!$E$2:$E$1315,TotalTeamGames20242025!$A35)</f>
        <v>1</v>
      </c>
      <c r="J36" s="39"/>
      <c r="K36" s="31">
        <f>COUNTIFS(DataRegularSeason20242025!$D$2:$D$1315,TotalTeamGames20242025!K$1,DataRegularSeason20242025!$E$2:$E$1315,TotalTeamGames20242025!$A35)</f>
        <v>1</v>
      </c>
      <c r="L36" s="39"/>
      <c r="M36" s="31">
        <f>COUNTIFS(DataRegularSeason20242025!$D$2:$D$1315,TotalTeamGames20242025!M$1,DataRegularSeason20242025!$E$2:$E$1315,TotalTeamGames20242025!$A35)</f>
        <v>2</v>
      </c>
      <c r="N36" s="39"/>
      <c r="O36" s="31">
        <f>COUNTIFS(DataRegularSeason20242025!$D$2:$D$1315,TotalTeamGames20242025!O$1,DataRegularSeason20242025!$E$2:$E$1315,TotalTeamGames20242025!$A35)</f>
        <v>2</v>
      </c>
      <c r="P36" s="39"/>
      <c r="Q36" s="31">
        <f>COUNTIFS(DataRegularSeason20242025!$D$2:$D$1315,TotalTeamGames20242025!Q$1,DataRegularSeason20242025!$E$2:$E$1315,TotalTeamGames20242025!$A35)</f>
        <v>2</v>
      </c>
      <c r="R36" s="39"/>
      <c r="S36" s="31">
        <f>COUNTIFS(DataRegularSeason20242025!$D$2:$D$1315,TotalTeamGames20242025!S$1,DataRegularSeason20242025!$E$2:$E$1315,TotalTeamGames20242025!$A35)</f>
        <v>2</v>
      </c>
      <c r="T36" s="39"/>
      <c r="U36" s="31">
        <f>COUNTIFS(DataRegularSeason20242025!$D$2:$D$1315,TotalTeamGames20242025!U$1,DataRegularSeason20242025!$E$2:$E$1315,TotalTeamGames20242025!$A35)</f>
        <v>1</v>
      </c>
      <c r="V36" s="39"/>
      <c r="W36" s="31">
        <f>COUNTIFS(DataRegularSeason20242025!$D$2:$D$1315,TotalTeamGames20242025!W$1,DataRegularSeason20242025!$E$2:$E$1315,TotalTeamGames20242025!$A35)</f>
        <v>1</v>
      </c>
      <c r="X36" s="39"/>
      <c r="Y36" s="31">
        <f>COUNTIFS(DataRegularSeason20242025!$D$2:$D$1315,TotalTeamGames20242025!Y$1,DataRegularSeason20242025!$E$2:$E$1315,TotalTeamGames20242025!$A35)</f>
        <v>1</v>
      </c>
      <c r="Z36" s="39"/>
      <c r="AA36" s="31">
        <f>COUNTIFS(DataRegularSeason20242025!$D$2:$D$1315,TotalTeamGames20242025!AA$1,DataRegularSeason20242025!$E$2:$E$1315,TotalTeamGames20242025!$A35)</f>
        <v>1</v>
      </c>
      <c r="AB36" s="39"/>
      <c r="AC36" s="31">
        <f>COUNTIFS(DataRegularSeason20242025!$D$2:$D$1315,TotalTeamGames20242025!AC$1,DataRegularSeason20242025!$E$2:$E$1315,TotalTeamGames20242025!$A35)</f>
        <v>2</v>
      </c>
      <c r="AD36" s="39"/>
      <c r="AE36" s="31">
        <f>COUNTIFS(DataRegularSeason20242025!$D$2:$D$1315,TotalTeamGames20242025!AE$1,DataRegularSeason20242025!$E$2:$E$1315,TotalTeamGames20242025!$A35)</f>
        <v>1</v>
      </c>
      <c r="AF36" s="39"/>
      <c r="AG36" s="31">
        <f>COUNTIFS(DataRegularSeason20242025!$D$2:$D$1315,TotalTeamGames20242025!AG$1,DataRegularSeason20242025!$E$2:$E$1315,TotalTeamGames20242025!$A35)</f>
        <v>1</v>
      </c>
      <c r="AH36" s="39"/>
      <c r="AI36" s="38"/>
      <c r="AJ36" s="39"/>
      <c r="AK36" s="31">
        <f>COUNTIFS(DataRegularSeason20242025!$D$2:$D$1315,TotalTeamGames20242025!AK$1,DataRegularSeason20242025!$E$2:$E$1315,TotalTeamGames20242025!$A35)</f>
        <v>1</v>
      </c>
      <c r="AL36" s="39"/>
      <c r="AM36" s="31">
        <f>COUNTIFS(DataRegularSeason20242025!$D$2:$D$1315,TotalTeamGames20242025!AM$1,DataRegularSeason20242025!$E$2:$E$1315,TotalTeamGames20242025!$A35)</f>
        <v>1</v>
      </c>
      <c r="AN36" s="39"/>
      <c r="AO36" s="31">
        <f>COUNTIFS(DataRegularSeason20242025!$D$2:$D$1315,TotalTeamGames20242025!AO$1,DataRegularSeason20242025!$E$2:$E$1315,TotalTeamGames20242025!$A35)</f>
        <v>1</v>
      </c>
      <c r="AP36" s="39"/>
      <c r="AQ36" s="31">
        <f>COUNTIFS(DataRegularSeason20242025!$D$2:$D$1315,TotalTeamGames20242025!AQ$1,DataRegularSeason20242025!$E$2:$E$1315,TotalTeamGames20242025!$A35)</f>
        <v>1</v>
      </c>
      <c r="AR36" s="39"/>
      <c r="AS36" s="31">
        <f>COUNTIFS(DataRegularSeason20242025!$D$2:$D$1315,TotalTeamGames20242025!AS$1,DataRegularSeason20242025!$E$2:$E$1315,TotalTeamGames20242025!$A35)</f>
        <v>1</v>
      </c>
      <c r="AT36" s="39"/>
      <c r="AU36" s="31">
        <f>COUNTIFS(DataRegularSeason20242025!$D$2:$D$1315,TotalTeamGames20242025!AU$1,DataRegularSeason20242025!$E$2:$E$1315,TotalTeamGames20242025!$A35)</f>
        <v>1</v>
      </c>
      <c r="AV36" s="39"/>
      <c r="AW36" s="31">
        <f>COUNTIFS(DataRegularSeason20242025!$D$2:$D$1315,TotalTeamGames20242025!AW$1,DataRegularSeason20242025!$E$2:$E$1315,TotalTeamGames20242025!$A35)</f>
        <v>2</v>
      </c>
      <c r="AX36" s="39"/>
      <c r="AY36" s="31">
        <f>COUNTIFS(DataRegularSeason20242025!$D$2:$D$1315,TotalTeamGames20242025!AY$1,DataRegularSeason20242025!$E$2:$E$1315,TotalTeamGames20242025!$A35)</f>
        <v>2</v>
      </c>
      <c r="AZ36" s="39"/>
      <c r="BA36" s="31">
        <f>COUNTIFS(DataRegularSeason20242025!$D$2:$D$1315,TotalTeamGames20242025!BA$1,DataRegularSeason20242025!$E$2:$E$1315,TotalTeamGames20242025!$A35)</f>
        <v>1</v>
      </c>
      <c r="BB36" s="39"/>
      <c r="BC36" s="31">
        <f>COUNTIFS(DataRegularSeason20242025!$D$2:$D$1315,TotalTeamGames20242025!BC$1,DataRegularSeason20242025!$E$2:$E$1315,TotalTeamGames20242025!$A35)</f>
        <v>1</v>
      </c>
      <c r="BD36" s="39"/>
      <c r="BE36" s="31">
        <f>COUNTIFS(DataRegularSeason20242025!$D$2:$D$1315,TotalTeamGames20242025!BE$1,DataRegularSeason20242025!$E$2:$E$1315,TotalTeamGames20242025!$A35)</f>
        <v>2</v>
      </c>
      <c r="BF36" s="38"/>
      <c r="BG36" s="33">
        <f>COUNTIFS(DataRegularSeason20242025!$D$2:$D$1315,TotalTeamGames20242025!BG$1,DataRegularSeason20242025!$E$2:$E$1315,TotalTeamGames20242025!$A35)</f>
        <v>2</v>
      </c>
      <c r="BH36" s="39"/>
      <c r="BI36" s="31">
        <f>COUNTIFS(DataRegularSeason20242025!$D$2:$D$1315,TotalTeamGames20242025!BI$1,DataRegularSeason20242025!$E$2:$E$1315,TotalTeamGames20242025!$A35)</f>
        <v>1</v>
      </c>
      <c r="BJ36" s="39"/>
      <c r="BK36" s="31">
        <f>COUNTIFS(DataRegularSeason20242025!$D$2:$D$1315,TotalTeamGames20242025!BK$1,DataRegularSeason20242025!$E$2:$E$1315,TotalTeamGames20242025!$A35)</f>
        <v>1</v>
      </c>
      <c r="BL36" s="39"/>
      <c r="BM36" s="31">
        <f>COUNTIFS(DataRegularSeason20242025!$D$2:$D$1315,TotalTeamGames20242025!BM$1,DataRegularSeason20242025!$E$2:$E$1315,TotalTeamGames20242025!$A35)</f>
        <v>1</v>
      </c>
      <c r="BN36" s="39"/>
      <c r="BO36" s="34">
        <f t="shared" si="0"/>
        <v>41</v>
      </c>
      <c r="BP36" s="165"/>
    </row>
    <row r="37" spans="1:68" ht="9.9499999999999993" customHeight="1" x14ac:dyDescent="0.25">
      <c r="A37" s="166" t="s">
        <v>32</v>
      </c>
      <c r="B37" s="28" t="s">
        <v>74</v>
      </c>
      <c r="C37" s="35"/>
      <c r="D37" s="28">
        <f>COUNTIFS(DataRegularSeason20242025!$E$2:$E$1315,TotalTeamGames20242025!C$1,DataRegularSeason20242025!$D$2:$D$1315,TotalTeamGames20242025!$A37)</f>
        <v>1</v>
      </c>
      <c r="E37" s="35"/>
      <c r="F37" s="28">
        <f>COUNTIFS(DataRegularSeason20242025!$E$2:$E$1315,TotalTeamGames20242025!E$1,DataRegularSeason20242025!$D$2:$D$1315,TotalTeamGames20242025!$A37)</f>
        <v>1</v>
      </c>
      <c r="G37" s="35"/>
      <c r="H37" s="28">
        <f>COUNTIFS(DataRegularSeason20242025!$E$2:$E$1315,TotalTeamGames20242025!G$1,DataRegularSeason20242025!$D$2:$D$1315,TotalTeamGames20242025!$A37)</f>
        <v>2</v>
      </c>
      <c r="I37" s="35"/>
      <c r="J37" s="28">
        <f>COUNTIFS(DataRegularSeason20242025!$E$2:$E$1315,TotalTeamGames20242025!I$1,DataRegularSeason20242025!$D$2:$D$1315,TotalTeamGames20242025!$A37)</f>
        <v>2</v>
      </c>
      <c r="K37" s="35"/>
      <c r="L37" s="28">
        <f>COUNTIFS(DataRegularSeason20242025!$E$2:$E$1315,TotalTeamGames20242025!K$1,DataRegularSeason20242025!$D$2:$D$1315,TotalTeamGames20242025!$A37)</f>
        <v>2</v>
      </c>
      <c r="M37" s="35"/>
      <c r="N37" s="28">
        <f>COUNTIFS(DataRegularSeason20242025!$E$2:$E$1315,TotalTeamGames20242025!M$1,DataRegularSeason20242025!$D$2:$D$1315,TotalTeamGames20242025!$A37)</f>
        <v>1</v>
      </c>
      <c r="O37" s="35"/>
      <c r="P37" s="28">
        <f>COUNTIFS(DataRegularSeason20242025!$E$2:$E$1315,TotalTeamGames20242025!O$1,DataRegularSeason20242025!$D$2:$D$1315,TotalTeamGames20242025!$A37)</f>
        <v>1</v>
      </c>
      <c r="Q37" s="35"/>
      <c r="R37" s="28">
        <f>COUNTIFS(DataRegularSeason20242025!$E$2:$E$1315,TotalTeamGames20242025!Q$1,DataRegularSeason20242025!$D$2:$D$1315,TotalTeamGames20242025!$A37)</f>
        <v>1</v>
      </c>
      <c r="S37" s="35"/>
      <c r="T37" s="28">
        <f>COUNTIFS(DataRegularSeason20242025!$E$2:$E$1315,TotalTeamGames20242025!S$1,DataRegularSeason20242025!$D$2:$D$1315,TotalTeamGames20242025!$A37)</f>
        <v>1</v>
      </c>
      <c r="U37" s="35"/>
      <c r="V37" s="28">
        <f>COUNTIFS(DataRegularSeason20242025!$E$2:$E$1315,TotalTeamGames20242025!U$1,DataRegularSeason20242025!$D$2:$D$1315,TotalTeamGames20242025!$A37)</f>
        <v>2</v>
      </c>
      <c r="W37" s="35"/>
      <c r="X37" s="28">
        <f>COUNTIFS(DataRegularSeason20242025!$E$2:$E$1315,TotalTeamGames20242025!W$1,DataRegularSeason20242025!$D$2:$D$1315,TotalTeamGames20242025!$A37)</f>
        <v>1</v>
      </c>
      <c r="Y37" s="35"/>
      <c r="Z37" s="28">
        <f>COUNTIFS(DataRegularSeason20242025!$E$2:$E$1315,TotalTeamGames20242025!Y$1,DataRegularSeason20242025!$D$2:$D$1315,TotalTeamGames20242025!$A37)</f>
        <v>1</v>
      </c>
      <c r="AA37" s="35"/>
      <c r="AB37" s="28">
        <f>COUNTIFS(DataRegularSeason20242025!$E$2:$E$1315,TotalTeamGames20242025!AA$1,DataRegularSeason20242025!$D$2:$D$1315,TotalTeamGames20242025!$A37)</f>
        <v>1</v>
      </c>
      <c r="AC37" s="35"/>
      <c r="AD37" s="28">
        <f>COUNTIFS(DataRegularSeason20242025!$E$2:$E$1315,TotalTeamGames20242025!AC$1,DataRegularSeason20242025!$D$2:$D$1315,TotalTeamGames20242025!$A37)</f>
        <v>1</v>
      </c>
      <c r="AE37" s="35"/>
      <c r="AF37" s="28">
        <f>COUNTIFS(DataRegularSeason20242025!$E$2:$E$1315,TotalTeamGames20242025!AE$1,DataRegularSeason20242025!$D$2:$D$1315,TotalTeamGames20242025!$A37)</f>
        <v>2</v>
      </c>
      <c r="AG37" s="35"/>
      <c r="AH37" s="28">
        <f>COUNTIFS(DataRegularSeason20242025!$E$2:$E$1315,TotalTeamGames20242025!AG$1,DataRegularSeason20242025!$D$2:$D$1315,TotalTeamGames20242025!$A37)</f>
        <v>2</v>
      </c>
      <c r="AI37" s="35"/>
      <c r="AJ37" s="28">
        <f>COUNTIFS(DataRegularSeason20242025!$E$2:$E$1315,TotalTeamGames20242025!AI$1,DataRegularSeason20242025!$D$2:$D$1315,TotalTeamGames20242025!$A37)</f>
        <v>1</v>
      </c>
      <c r="AK37" s="35"/>
      <c r="AL37" s="36"/>
      <c r="AM37" s="35"/>
      <c r="AN37" s="28">
        <f>COUNTIFS(DataRegularSeason20242025!$E$2:$E$1315,TotalTeamGames20242025!AM$1,DataRegularSeason20242025!$D$2:$D$1315,TotalTeamGames20242025!$A37)</f>
        <v>2</v>
      </c>
      <c r="AO37" s="35"/>
      <c r="AP37" s="28">
        <f>COUNTIFS(DataRegularSeason20242025!$E$2:$E$1315,TotalTeamGames20242025!AO$1,DataRegularSeason20242025!$D$2:$D$1315,TotalTeamGames20242025!$A37)</f>
        <v>2</v>
      </c>
      <c r="AQ37" s="35"/>
      <c r="AR37" s="28">
        <f>COUNTIFS(DataRegularSeason20242025!$E$2:$E$1315,TotalTeamGames20242025!AQ$1,DataRegularSeason20242025!$D$2:$D$1315,TotalTeamGames20242025!$A37)</f>
        <v>2</v>
      </c>
      <c r="AS37" s="35"/>
      <c r="AT37" s="28">
        <f>COUNTIFS(DataRegularSeason20242025!$E$2:$E$1315,TotalTeamGames20242025!AS$1,DataRegularSeason20242025!$D$2:$D$1315,TotalTeamGames20242025!$A37)</f>
        <v>1</v>
      </c>
      <c r="AU37" s="35"/>
      <c r="AV37" s="28">
        <f>COUNTIFS(DataRegularSeason20242025!$E$2:$E$1315,TotalTeamGames20242025!AU$1,DataRegularSeason20242025!$D$2:$D$1315,TotalTeamGames20242025!$A37)</f>
        <v>1</v>
      </c>
      <c r="AW37" s="35"/>
      <c r="AX37" s="28">
        <f>COUNTIFS(DataRegularSeason20242025!$E$2:$E$1315,TotalTeamGames20242025!AW$1,DataRegularSeason20242025!$D$2:$D$1315,TotalTeamGames20242025!$A37)</f>
        <v>1</v>
      </c>
      <c r="AY37" s="35"/>
      <c r="AZ37" s="28">
        <f>COUNTIFS(DataRegularSeason20242025!$E$2:$E$1315,TotalTeamGames20242025!AY$1,DataRegularSeason20242025!$D$2:$D$1315,TotalTeamGames20242025!$A37)</f>
        <v>1</v>
      </c>
      <c r="BA37" s="35"/>
      <c r="BB37" s="28">
        <f>COUNTIFS(DataRegularSeason20242025!$E$2:$E$1315,TotalTeamGames20242025!BA$1,DataRegularSeason20242025!$D$2:$D$1315,TotalTeamGames20242025!$A37)</f>
        <v>1</v>
      </c>
      <c r="BC37" s="35"/>
      <c r="BD37" s="28">
        <f>COUNTIFS(DataRegularSeason20242025!$E$2:$E$1315,TotalTeamGames20242025!BC$1,DataRegularSeason20242025!$D$2:$D$1315,TotalTeamGames20242025!$A37)</f>
        <v>1</v>
      </c>
      <c r="BE37" s="35"/>
      <c r="BF37" s="27">
        <f>COUNTIFS(DataRegularSeason20242025!$E$2:$E$1315,TotalTeamGames20242025!BE$1,DataRegularSeason20242025!$D$2:$D$1315,TotalTeamGames20242025!$A37)</f>
        <v>1</v>
      </c>
      <c r="BG37" s="40"/>
      <c r="BH37" s="28">
        <f>COUNTIFS(DataRegularSeason20242025!$E$2:$E$1315,TotalTeamGames20242025!BG$1,DataRegularSeason20242025!$D$2:$D$1315,TotalTeamGames20242025!$A37)</f>
        <v>1</v>
      </c>
      <c r="BI37" s="35"/>
      <c r="BJ37" s="28">
        <f>COUNTIFS(DataRegularSeason20242025!$E$2:$E$1315,TotalTeamGames20242025!BI$1,DataRegularSeason20242025!$D$2:$D$1315,TotalTeamGames20242025!$A37)</f>
        <v>1</v>
      </c>
      <c r="BK37" s="35"/>
      <c r="BL37" s="28">
        <f>COUNTIFS(DataRegularSeason20242025!$E$2:$E$1315,TotalTeamGames20242025!BK$1,DataRegularSeason20242025!$D$2:$D$1315,TotalTeamGames20242025!$A37)</f>
        <v>1</v>
      </c>
      <c r="BM37" s="35"/>
      <c r="BN37" s="28">
        <f>COUNTIFS(DataRegularSeason20242025!$E$2:$E$1315,TotalTeamGames20242025!BM$1,DataRegularSeason20242025!$D$2:$D$1315,TotalTeamGames20242025!$A37)</f>
        <v>2</v>
      </c>
      <c r="BO37" s="30">
        <f t="shared" si="0"/>
        <v>41</v>
      </c>
      <c r="BP37" s="165">
        <f t="shared" ref="BP37" si="17">BO37+BO38</f>
        <v>82</v>
      </c>
    </row>
    <row r="38" spans="1:68" ht="9.9499999999999993" customHeight="1" x14ac:dyDescent="0.25">
      <c r="A38" s="167"/>
      <c r="B38" s="32" t="s">
        <v>73</v>
      </c>
      <c r="C38" s="31">
        <f>COUNTIFS(DataRegularSeason20242025!$D$2:$D$1315,TotalTeamGames20242025!C$1,DataRegularSeason20242025!$E$2:$E$1315,TotalTeamGames20242025!$A37)</f>
        <v>1</v>
      </c>
      <c r="D38" s="39"/>
      <c r="E38" s="31">
        <f>COUNTIFS(DataRegularSeason20242025!$D$2:$D$1315,TotalTeamGames20242025!E$1,DataRegularSeason20242025!$E$2:$E$1315,TotalTeamGames20242025!$A37)</f>
        <v>2</v>
      </c>
      <c r="F38" s="39"/>
      <c r="G38" s="31">
        <f>COUNTIFS(DataRegularSeason20242025!$D$2:$D$1315,TotalTeamGames20242025!G$1,DataRegularSeason20242025!$E$2:$E$1315,TotalTeamGames20242025!$A37)</f>
        <v>1</v>
      </c>
      <c r="H38" s="39"/>
      <c r="I38" s="31">
        <f>COUNTIFS(DataRegularSeason20242025!$D$2:$D$1315,TotalTeamGames20242025!I$1,DataRegularSeason20242025!$E$2:$E$1315,TotalTeamGames20242025!$A37)</f>
        <v>1</v>
      </c>
      <c r="J38" s="39"/>
      <c r="K38" s="31">
        <f>COUNTIFS(DataRegularSeason20242025!$D$2:$D$1315,TotalTeamGames20242025!K$1,DataRegularSeason20242025!$E$2:$E$1315,TotalTeamGames20242025!$A37)</f>
        <v>2</v>
      </c>
      <c r="L38" s="39"/>
      <c r="M38" s="31">
        <f>COUNTIFS(DataRegularSeason20242025!$D$2:$D$1315,TotalTeamGames20242025!M$1,DataRegularSeason20242025!$E$2:$E$1315,TotalTeamGames20242025!$A37)</f>
        <v>1</v>
      </c>
      <c r="N38" s="39"/>
      <c r="O38" s="31">
        <f>COUNTIFS(DataRegularSeason20242025!$D$2:$D$1315,TotalTeamGames20242025!O$1,DataRegularSeason20242025!$E$2:$E$1315,TotalTeamGames20242025!$A37)</f>
        <v>1</v>
      </c>
      <c r="P38" s="39"/>
      <c r="Q38" s="31">
        <f>COUNTIFS(DataRegularSeason20242025!$D$2:$D$1315,TotalTeamGames20242025!Q$1,DataRegularSeason20242025!$E$2:$E$1315,TotalTeamGames20242025!$A37)</f>
        <v>1</v>
      </c>
      <c r="R38" s="39"/>
      <c r="S38" s="31">
        <f>COUNTIFS(DataRegularSeason20242025!$D$2:$D$1315,TotalTeamGames20242025!S$1,DataRegularSeason20242025!$E$2:$E$1315,TotalTeamGames20242025!$A37)</f>
        <v>1</v>
      </c>
      <c r="T38" s="39"/>
      <c r="U38" s="31">
        <f>COUNTIFS(DataRegularSeason20242025!$D$2:$D$1315,TotalTeamGames20242025!U$1,DataRegularSeason20242025!$E$2:$E$1315,TotalTeamGames20242025!$A37)</f>
        <v>1</v>
      </c>
      <c r="V38" s="39"/>
      <c r="W38" s="31">
        <f>COUNTIFS(DataRegularSeason20242025!$D$2:$D$1315,TotalTeamGames20242025!W$1,DataRegularSeason20242025!$E$2:$E$1315,TotalTeamGames20242025!$A37)</f>
        <v>1</v>
      </c>
      <c r="X38" s="39"/>
      <c r="Y38" s="31">
        <f>COUNTIFS(DataRegularSeason20242025!$D$2:$D$1315,TotalTeamGames20242025!Y$1,DataRegularSeason20242025!$E$2:$E$1315,TotalTeamGames20242025!$A37)</f>
        <v>2</v>
      </c>
      <c r="Z38" s="39"/>
      <c r="AA38" s="31">
        <f>COUNTIFS(DataRegularSeason20242025!$D$2:$D$1315,TotalTeamGames20242025!AA$1,DataRegularSeason20242025!$E$2:$E$1315,TotalTeamGames20242025!$A37)</f>
        <v>1</v>
      </c>
      <c r="AB38" s="39"/>
      <c r="AC38" s="31">
        <f>COUNTIFS(DataRegularSeason20242025!$D$2:$D$1315,TotalTeamGames20242025!AC$1,DataRegularSeason20242025!$E$2:$E$1315,TotalTeamGames20242025!$A37)</f>
        <v>1</v>
      </c>
      <c r="AD38" s="39"/>
      <c r="AE38" s="31">
        <f>COUNTIFS(DataRegularSeason20242025!$D$2:$D$1315,TotalTeamGames20242025!AE$1,DataRegularSeason20242025!$E$2:$E$1315,TotalTeamGames20242025!$A37)</f>
        <v>1</v>
      </c>
      <c r="AF38" s="39"/>
      <c r="AG38" s="31">
        <f>COUNTIFS(DataRegularSeason20242025!$D$2:$D$1315,TotalTeamGames20242025!AG$1,DataRegularSeason20242025!$E$2:$E$1315,TotalTeamGames20242025!$A37)</f>
        <v>2</v>
      </c>
      <c r="AH38" s="39"/>
      <c r="AI38" s="31">
        <f>COUNTIFS(DataRegularSeason20242025!$D$2:$D$1315,TotalTeamGames20242025!AI$1,DataRegularSeason20242025!$E$2:$E$1315,TotalTeamGames20242025!$A37)</f>
        <v>1</v>
      </c>
      <c r="AJ38" s="39"/>
      <c r="AK38" s="38"/>
      <c r="AL38" s="39"/>
      <c r="AM38" s="31">
        <f>COUNTIFS(DataRegularSeason20242025!$D$2:$D$1315,TotalTeamGames20242025!AM$1,DataRegularSeason20242025!$E$2:$E$1315,TotalTeamGames20242025!$A37)</f>
        <v>2</v>
      </c>
      <c r="AN38" s="39"/>
      <c r="AO38" s="31">
        <f>COUNTIFS(DataRegularSeason20242025!$D$2:$D$1315,TotalTeamGames20242025!AO$1,DataRegularSeason20242025!$E$2:$E$1315,TotalTeamGames20242025!$A37)</f>
        <v>1</v>
      </c>
      <c r="AP38" s="39"/>
      <c r="AQ38" s="31">
        <f>COUNTIFS(DataRegularSeason20242025!$D$2:$D$1315,TotalTeamGames20242025!AQ$1,DataRegularSeason20242025!$E$2:$E$1315,TotalTeamGames20242025!$A37)</f>
        <v>2</v>
      </c>
      <c r="AR38" s="39"/>
      <c r="AS38" s="31">
        <f>COUNTIFS(DataRegularSeason20242025!$D$2:$D$1315,TotalTeamGames20242025!AS$1,DataRegularSeason20242025!$E$2:$E$1315,TotalTeamGames20242025!$A37)</f>
        <v>2</v>
      </c>
      <c r="AT38" s="39"/>
      <c r="AU38" s="31">
        <f>COUNTIFS(DataRegularSeason20242025!$D$2:$D$1315,TotalTeamGames20242025!AU$1,DataRegularSeason20242025!$E$2:$E$1315,TotalTeamGames20242025!$A37)</f>
        <v>1</v>
      </c>
      <c r="AV38" s="39"/>
      <c r="AW38" s="31">
        <f>COUNTIFS(DataRegularSeason20242025!$D$2:$D$1315,TotalTeamGames20242025!AW$1,DataRegularSeason20242025!$E$2:$E$1315,TotalTeamGames20242025!$A37)</f>
        <v>1</v>
      </c>
      <c r="AX38" s="39"/>
      <c r="AY38" s="31">
        <f>COUNTIFS(DataRegularSeason20242025!$D$2:$D$1315,TotalTeamGames20242025!AY$1,DataRegularSeason20242025!$E$2:$E$1315,TotalTeamGames20242025!$A37)</f>
        <v>1</v>
      </c>
      <c r="AZ38" s="39"/>
      <c r="BA38" s="31">
        <f>COUNTIFS(DataRegularSeason20242025!$D$2:$D$1315,TotalTeamGames20242025!BA$1,DataRegularSeason20242025!$E$2:$E$1315,TotalTeamGames20242025!$A37)</f>
        <v>2</v>
      </c>
      <c r="BB38" s="39"/>
      <c r="BC38" s="31">
        <f>COUNTIFS(DataRegularSeason20242025!$D$2:$D$1315,TotalTeamGames20242025!BC$1,DataRegularSeason20242025!$E$2:$E$1315,TotalTeamGames20242025!$A37)</f>
        <v>2</v>
      </c>
      <c r="BD38" s="39"/>
      <c r="BE38" s="31">
        <f>COUNTIFS(DataRegularSeason20242025!$D$2:$D$1315,TotalTeamGames20242025!BE$1,DataRegularSeason20242025!$E$2:$E$1315,TotalTeamGames20242025!$A37)</f>
        <v>1</v>
      </c>
      <c r="BF38" s="38"/>
      <c r="BG38" s="33">
        <f>COUNTIFS(DataRegularSeason20242025!$D$2:$D$1315,TotalTeamGames20242025!BG$1,DataRegularSeason20242025!$E$2:$E$1315,TotalTeamGames20242025!$A37)</f>
        <v>1</v>
      </c>
      <c r="BH38" s="39"/>
      <c r="BI38" s="31">
        <f>COUNTIFS(DataRegularSeason20242025!$D$2:$D$1315,TotalTeamGames20242025!BI$1,DataRegularSeason20242025!$E$2:$E$1315,TotalTeamGames20242025!$A37)</f>
        <v>1</v>
      </c>
      <c r="BJ38" s="39"/>
      <c r="BK38" s="31">
        <f>COUNTIFS(DataRegularSeason20242025!$D$2:$D$1315,TotalTeamGames20242025!BK$1,DataRegularSeason20242025!$E$2:$E$1315,TotalTeamGames20242025!$A37)</f>
        <v>1</v>
      </c>
      <c r="BL38" s="39"/>
      <c r="BM38" s="31">
        <f>COUNTIFS(DataRegularSeason20242025!$D$2:$D$1315,TotalTeamGames20242025!BM$1,DataRegularSeason20242025!$E$2:$E$1315,TotalTeamGames20242025!$A37)</f>
        <v>2</v>
      </c>
      <c r="BN38" s="39"/>
      <c r="BO38" s="34">
        <f t="shared" si="0"/>
        <v>41</v>
      </c>
      <c r="BP38" s="165"/>
    </row>
    <row r="39" spans="1:68" ht="9.9499999999999993" customHeight="1" x14ac:dyDescent="0.25">
      <c r="A39" s="166" t="s">
        <v>19</v>
      </c>
      <c r="B39" s="28" t="s">
        <v>74</v>
      </c>
      <c r="C39" s="35"/>
      <c r="D39" s="28">
        <f>COUNTIFS(DataRegularSeason20242025!$E$2:$E$1315,TotalTeamGames20242025!C$1,DataRegularSeason20242025!$D$2:$D$1315,TotalTeamGames20242025!$A39)</f>
        <v>1</v>
      </c>
      <c r="E39" s="35"/>
      <c r="F39" s="28">
        <f>COUNTIFS(DataRegularSeason20242025!$E$2:$E$1315,TotalTeamGames20242025!E$1,DataRegularSeason20242025!$D$2:$D$1315,TotalTeamGames20242025!$A39)</f>
        <v>2</v>
      </c>
      <c r="G39" s="35"/>
      <c r="H39" s="28">
        <f>COUNTIFS(DataRegularSeason20242025!$E$2:$E$1315,TotalTeamGames20242025!G$1,DataRegularSeason20242025!$D$2:$D$1315,TotalTeamGames20242025!$A39)</f>
        <v>1</v>
      </c>
      <c r="I39" s="35"/>
      <c r="J39" s="28">
        <f>COUNTIFS(DataRegularSeason20242025!$E$2:$E$1315,TotalTeamGames20242025!I$1,DataRegularSeason20242025!$D$2:$D$1315,TotalTeamGames20242025!$A39)</f>
        <v>2</v>
      </c>
      <c r="K39" s="35"/>
      <c r="L39" s="28">
        <f>COUNTIFS(DataRegularSeason20242025!$E$2:$E$1315,TotalTeamGames20242025!K$1,DataRegularSeason20242025!$D$2:$D$1315,TotalTeamGames20242025!$A39)</f>
        <v>2</v>
      </c>
      <c r="M39" s="35"/>
      <c r="N39" s="28">
        <f>COUNTIFS(DataRegularSeason20242025!$E$2:$E$1315,TotalTeamGames20242025!M$1,DataRegularSeason20242025!$D$2:$D$1315,TotalTeamGames20242025!$A39)</f>
        <v>1</v>
      </c>
      <c r="O39" s="35"/>
      <c r="P39" s="28">
        <f>COUNTIFS(DataRegularSeason20242025!$E$2:$E$1315,TotalTeamGames20242025!O$1,DataRegularSeason20242025!$D$2:$D$1315,TotalTeamGames20242025!$A39)</f>
        <v>1</v>
      </c>
      <c r="Q39" s="35"/>
      <c r="R39" s="28">
        <f>COUNTIFS(DataRegularSeason20242025!$E$2:$E$1315,TotalTeamGames20242025!Q$1,DataRegularSeason20242025!$D$2:$D$1315,TotalTeamGames20242025!$A39)</f>
        <v>1</v>
      </c>
      <c r="S39" s="35"/>
      <c r="T39" s="28">
        <f>COUNTIFS(DataRegularSeason20242025!$E$2:$E$1315,TotalTeamGames20242025!S$1,DataRegularSeason20242025!$D$2:$D$1315,TotalTeamGames20242025!$A39)</f>
        <v>1</v>
      </c>
      <c r="U39" s="35"/>
      <c r="V39" s="28">
        <f>COUNTIFS(DataRegularSeason20242025!$E$2:$E$1315,TotalTeamGames20242025!U$1,DataRegularSeason20242025!$D$2:$D$1315,TotalTeamGames20242025!$A39)</f>
        <v>1</v>
      </c>
      <c r="W39" s="35"/>
      <c r="X39" s="28">
        <f>COUNTIFS(DataRegularSeason20242025!$E$2:$E$1315,TotalTeamGames20242025!W$1,DataRegularSeason20242025!$D$2:$D$1315,TotalTeamGames20242025!$A39)</f>
        <v>1</v>
      </c>
      <c r="Y39" s="35"/>
      <c r="Z39" s="28">
        <f>COUNTIFS(DataRegularSeason20242025!$E$2:$E$1315,TotalTeamGames20242025!Y$1,DataRegularSeason20242025!$D$2:$D$1315,TotalTeamGames20242025!$A39)</f>
        <v>2</v>
      </c>
      <c r="AA39" s="35"/>
      <c r="AB39" s="28">
        <f>COUNTIFS(DataRegularSeason20242025!$E$2:$E$1315,TotalTeamGames20242025!AA$1,DataRegularSeason20242025!$D$2:$D$1315,TotalTeamGames20242025!$A39)</f>
        <v>1</v>
      </c>
      <c r="AC39" s="35"/>
      <c r="AD39" s="28">
        <f>COUNTIFS(DataRegularSeason20242025!$E$2:$E$1315,TotalTeamGames20242025!AC$1,DataRegularSeason20242025!$D$2:$D$1315,TotalTeamGames20242025!$A39)</f>
        <v>1</v>
      </c>
      <c r="AE39" s="35"/>
      <c r="AF39" s="28">
        <f>COUNTIFS(DataRegularSeason20242025!$E$2:$E$1315,TotalTeamGames20242025!AE$1,DataRegularSeason20242025!$D$2:$D$1315,TotalTeamGames20242025!$A39)</f>
        <v>1</v>
      </c>
      <c r="AG39" s="35"/>
      <c r="AH39" s="28">
        <f>COUNTIFS(DataRegularSeason20242025!$E$2:$E$1315,TotalTeamGames20242025!AG$1,DataRegularSeason20242025!$D$2:$D$1315,TotalTeamGames20242025!$A39)</f>
        <v>1</v>
      </c>
      <c r="AI39" s="35"/>
      <c r="AJ39" s="28">
        <f>COUNTIFS(DataRegularSeason20242025!$E$2:$E$1315,TotalTeamGames20242025!AI$1,DataRegularSeason20242025!$D$2:$D$1315,TotalTeamGames20242025!$A39)</f>
        <v>1</v>
      </c>
      <c r="AK39" s="35"/>
      <c r="AL39" s="28">
        <f>COUNTIFS(DataRegularSeason20242025!$E$2:$E$1315,TotalTeamGames20242025!AK$1,DataRegularSeason20242025!$D$2:$D$1315,TotalTeamGames20242025!$A39)</f>
        <v>2</v>
      </c>
      <c r="AM39" s="35"/>
      <c r="AN39" s="36"/>
      <c r="AO39" s="35"/>
      <c r="AP39" s="28">
        <f>COUNTIFS(DataRegularSeason20242025!$E$2:$E$1315,TotalTeamGames20242025!AO$1,DataRegularSeason20242025!$D$2:$D$1315,TotalTeamGames20242025!$A39)</f>
        <v>1</v>
      </c>
      <c r="AQ39" s="35"/>
      <c r="AR39" s="28">
        <f>COUNTIFS(DataRegularSeason20242025!$E$2:$E$1315,TotalTeamGames20242025!AQ$1,DataRegularSeason20242025!$D$2:$D$1315,TotalTeamGames20242025!$A39)</f>
        <v>2</v>
      </c>
      <c r="AS39" s="35"/>
      <c r="AT39" s="28">
        <f>COUNTIFS(DataRegularSeason20242025!$E$2:$E$1315,TotalTeamGames20242025!AS$1,DataRegularSeason20242025!$D$2:$D$1315,TotalTeamGames20242025!$A39)</f>
        <v>2</v>
      </c>
      <c r="AU39" s="35"/>
      <c r="AV39" s="28">
        <f>COUNTIFS(DataRegularSeason20242025!$E$2:$E$1315,TotalTeamGames20242025!AU$1,DataRegularSeason20242025!$D$2:$D$1315,TotalTeamGames20242025!$A39)</f>
        <v>1</v>
      </c>
      <c r="AW39" s="35"/>
      <c r="AX39" s="28">
        <f>COUNTIFS(DataRegularSeason20242025!$E$2:$E$1315,TotalTeamGames20242025!AW$1,DataRegularSeason20242025!$D$2:$D$1315,TotalTeamGames20242025!$A39)</f>
        <v>1</v>
      </c>
      <c r="AY39" s="35"/>
      <c r="AZ39" s="28">
        <f>COUNTIFS(DataRegularSeason20242025!$E$2:$E$1315,TotalTeamGames20242025!AY$1,DataRegularSeason20242025!$D$2:$D$1315,TotalTeamGames20242025!$A39)</f>
        <v>1</v>
      </c>
      <c r="BA39" s="35"/>
      <c r="BB39" s="28">
        <f>COUNTIFS(DataRegularSeason20242025!$E$2:$E$1315,TotalTeamGames20242025!BA$1,DataRegularSeason20242025!$D$2:$D$1315,TotalTeamGames20242025!$A39)</f>
        <v>2</v>
      </c>
      <c r="BC39" s="35"/>
      <c r="BD39" s="28">
        <f>COUNTIFS(DataRegularSeason20242025!$E$2:$E$1315,TotalTeamGames20242025!BC$1,DataRegularSeason20242025!$D$2:$D$1315,TotalTeamGames20242025!$A39)</f>
        <v>2</v>
      </c>
      <c r="BE39" s="35"/>
      <c r="BF39" s="27">
        <f>COUNTIFS(DataRegularSeason20242025!$E$2:$E$1315,TotalTeamGames20242025!BE$1,DataRegularSeason20242025!$D$2:$D$1315,TotalTeamGames20242025!$A39)</f>
        <v>1</v>
      </c>
      <c r="BG39" s="40"/>
      <c r="BH39" s="28">
        <f>COUNTIFS(DataRegularSeason20242025!$E$2:$E$1315,TotalTeamGames20242025!BG$1,DataRegularSeason20242025!$D$2:$D$1315,TotalTeamGames20242025!$A39)</f>
        <v>1</v>
      </c>
      <c r="BI39" s="35"/>
      <c r="BJ39" s="28">
        <f>COUNTIFS(DataRegularSeason20242025!$E$2:$E$1315,TotalTeamGames20242025!BI$1,DataRegularSeason20242025!$D$2:$D$1315,TotalTeamGames20242025!$A39)</f>
        <v>1</v>
      </c>
      <c r="BK39" s="35"/>
      <c r="BL39" s="28">
        <f>COUNTIFS(DataRegularSeason20242025!$E$2:$E$1315,TotalTeamGames20242025!BK$1,DataRegularSeason20242025!$D$2:$D$1315,TotalTeamGames20242025!$A39)</f>
        <v>1</v>
      </c>
      <c r="BM39" s="35"/>
      <c r="BN39" s="28">
        <f>COUNTIFS(DataRegularSeason20242025!$E$2:$E$1315,TotalTeamGames20242025!BM$1,DataRegularSeason20242025!$D$2:$D$1315,TotalTeamGames20242025!$A39)</f>
        <v>2</v>
      </c>
      <c r="BO39" s="30">
        <f t="shared" si="0"/>
        <v>41</v>
      </c>
      <c r="BP39" s="165">
        <f t="shared" ref="BP39" si="18">BO39+BO40</f>
        <v>82</v>
      </c>
    </row>
    <row r="40" spans="1:68" ht="9.9499999999999993" customHeight="1" x14ac:dyDescent="0.25">
      <c r="A40" s="167"/>
      <c r="B40" s="32" t="s">
        <v>73</v>
      </c>
      <c r="C40" s="31">
        <f>COUNTIFS(DataRegularSeason20242025!$D$2:$D$1315,TotalTeamGames20242025!C$1,DataRegularSeason20242025!$E$2:$E$1315,TotalTeamGames20242025!$A39)</f>
        <v>1</v>
      </c>
      <c r="D40" s="39"/>
      <c r="E40" s="31">
        <f>COUNTIFS(DataRegularSeason20242025!$D$2:$D$1315,TotalTeamGames20242025!E$1,DataRegularSeason20242025!$E$2:$E$1315,TotalTeamGames20242025!$A39)</f>
        <v>1</v>
      </c>
      <c r="F40" s="39"/>
      <c r="G40" s="31">
        <f>COUNTIFS(DataRegularSeason20242025!$D$2:$D$1315,TotalTeamGames20242025!G$1,DataRegularSeason20242025!$E$2:$E$1315,TotalTeamGames20242025!$A39)</f>
        <v>2</v>
      </c>
      <c r="H40" s="39"/>
      <c r="I40" s="31">
        <f>COUNTIFS(DataRegularSeason20242025!$D$2:$D$1315,TotalTeamGames20242025!I$1,DataRegularSeason20242025!$E$2:$E$1315,TotalTeamGames20242025!$A39)</f>
        <v>2</v>
      </c>
      <c r="J40" s="39"/>
      <c r="K40" s="31">
        <f>COUNTIFS(DataRegularSeason20242025!$D$2:$D$1315,TotalTeamGames20242025!K$1,DataRegularSeason20242025!$E$2:$E$1315,TotalTeamGames20242025!$A39)</f>
        <v>1</v>
      </c>
      <c r="L40" s="39"/>
      <c r="M40" s="31">
        <f>COUNTIFS(DataRegularSeason20242025!$D$2:$D$1315,TotalTeamGames20242025!M$1,DataRegularSeason20242025!$E$2:$E$1315,TotalTeamGames20242025!$A39)</f>
        <v>1</v>
      </c>
      <c r="N40" s="39"/>
      <c r="O40" s="31">
        <f>COUNTIFS(DataRegularSeason20242025!$D$2:$D$1315,TotalTeamGames20242025!O$1,DataRegularSeason20242025!$E$2:$E$1315,TotalTeamGames20242025!$A39)</f>
        <v>1</v>
      </c>
      <c r="P40" s="39"/>
      <c r="Q40" s="31">
        <f>COUNTIFS(DataRegularSeason20242025!$D$2:$D$1315,TotalTeamGames20242025!Q$1,DataRegularSeason20242025!$E$2:$E$1315,TotalTeamGames20242025!$A39)</f>
        <v>1</v>
      </c>
      <c r="R40" s="39"/>
      <c r="S40" s="31">
        <f>COUNTIFS(DataRegularSeason20242025!$D$2:$D$1315,TotalTeamGames20242025!S$1,DataRegularSeason20242025!$E$2:$E$1315,TotalTeamGames20242025!$A39)</f>
        <v>1</v>
      </c>
      <c r="T40" s="39"/>
      <c r="U40" s="31">
        <f>COUNTIFS(DataRegularSeason20242025!$D$2:$D$1315,TotalTeamGames20242025!U$1,DataRegularSeason20242025!$E$2:$E$1315,TotalTeamGames20242025!$A39)</f>
        <v>2</v>
      </c>
      <c r="V40" s="39"/>
      <c r="W40" s="31">
        <f>COUNTIFS(DataRegularSeason20242025!$D$2:$D$1315,TotalTeamGames20242025!W$1,DataRegularSeason20242025!$E$2:$E$1315,TotalTeamGames20242025!$A39)</f>
        <v>1</v>
      </c>
      <c r="X40" s="39"/>
      <c r="Y40" s="31">
        <f>COUNTIFS(DataRegularSeason20242025!$D$2:$D$1315,TotalTeamGames20242025!Y$1,DataRegularSeason20242025!$E$2:$E$1315,TotalTeamGames20242025!$A39)</f>
        <v>1</v>
      </c>
      <c r="Z40" s="39"/>
      <c r="AA40" s="31">
        <f>COUNTIFS(DataRegularSeason20242025!$D$2:$D$1315,TotalTeamGames20242025!AA$1,DataRegularSeason20242025!$E$2:$E$1315,TotalTeamGames20242025!$A39)</f>
        <v>1</v>
      </c>
      <c r="AB40" s="39"/>
      <c r="AC40" s="31">
        <f>COUNTIFS(DataRegularSeason20242025!$D$2:$D$1315,TotalTeamGames20242025!AC$1,DataRegularSeason20242025!$E$2:$E$1315,TotalTeamGames20242025!$A39)</f>
        <v>1</v>
      </c>
      <c r="AD40" s="39"/>
      <c r="AE40" s="31">
        <f>COUNTIFS(DataRegularSeason20242025!$D$2:$D$1315,TotalTeamGames20242025!AE$1,DataRegularSeason20242025!$E$2:$E$1315,TotalTeamGames20242025!$A39)</f>
        <v>2</v>
      </c>
      <c r="AF40" s="39"/>
      <c r="AG40" s="31">
        <f>COUNTIFS(DataRegularSeason20242025!$D$2:$D$1315,TotalTeamGames20242025!AG$1,DataRegularSeason20242025!$E$2:$E$1315,TotalTeamGames20242025!$A39)</f>
        <v>2</v>
      </c>
      <c r="AH40" s="39"/>
      <c r="AI40" s="31">
        <f>COUNTIFS(DataRegularSeason20242025!$D$2:$D$1315,TotalTeamGames20242025!AI$1,DataRegularSeason20242025!$E$2:$E$1315,TotalTeamGames20242025!$A39)</f>
        <v>1</v>
      </c>
      <c r="AJ40" s="39"/>
      <c r="AK40" s="31">
        <f>COUNTIFS(DataRegularSeason20242025!$D$2:$D$1315,TotalTeamGames20242025!AK$1,DataRegularSeason20242025!$E$2:$E$1315,TotalTeamGames20242025!$A39)</f>
        <v>2</v>
      </c>
      <c r="AL40" s="39"/>
      <c r="AM40" s="38"/>
      <c r="AN40" s="39"/>
      <c r="AO40" s="31">
        <f>COUNTIFS(DataRegularSeason20242025!$D$2:$D$1315,TotalTeamGames20242025!AO$1,DataRegularSeason20242025!$E$2:$E$1315,TotalTeamGames20242025!$A39)</f>
        <v>2</v>
      </c>
      <c r="AP40" s="39"/>
      <c r="AQ40" s="31">
        <f>COUNTIFS(DataRegularSeason20242025!$D$2:$D$1315,TotalTeamGames20242025!AQ$1,DataRegularSeason20242025!$E$2:$E$1315,TotalTeamGames20242025!$A39)</f>
        <v>2</v>
      </c>
      <c r="AR40" s="39"/>
      <c r="AS40" s="31">
        <f>COUNTIFS(DataRegularSeason20242025!$D$2:$D$1315,TotalTeamGames20242025!AS$1,DataRegularSeason20242025!$E$2:$E$1315,TotalTeamGames20242025!$A39)</f>
        <v>2</v>
      </c>
      <c r="AT40" s="39"/>
      <c r="AU40" s="31">
        <f>COUNTIFS(DataRegularSeason20242025!$D$2:$D$1315,TotalTeamGames20242025!AU$1,DataRegularSeason20242025!$E$2:$E$1315,TotalTeamGames20242025!$A39)</f>
        <v>1</v>
      </c>
      <c r="AV40" s="39"/>
      <c r="AW40" s="31">
        <f>COUNTIFS(DataRegularSeason20242025!$D$2:$D$1315,TotalTeamGames20242025!AW$1,DataRegularSeason20242025!$E$2:$E$1315,TotalTeamGames20242025!$A39)</f>
        <v>1</v>
      </c>
      <c r="AX40" s="39"/>
      <c r="AY40" s="31">
        <f>COUNTIFS(DataRegularSeason20242025!$D$2:$D$1315,TotalTeamGames20242025!AY$1,DataRegularSeason20242025!$E$2:$E$1315,TotalTeamGames20242025!$A39)</f>
        <v>1</v>
      </c>
      <c r="AZ40" s="39"/>
      <c r="BA40" s="31">
        <f>COUNTIFS(DataRegularSeason20242025!$D$2:$D$1315,TotalTeamGames20242025!BA$1,DataRegularSeason20242025!$E$2:$E$1315,TotalTeamGames20242025!$A39)</f>
        <v>1</v>
      </c>
      <c r="BB40" s="39"/>
      <c r="BC40" s="31">
        <f>COUNTIFS(DataRegularSeason20242025!$D$2:$D$1315,TotalTeamGames20242025!BC$1,DataRegularSeason20242025!$E$2:$E$1315,TotalTeamGames20242025!$A39)</f>
        <v>1</v>
      </c>
      <c r="BD40" s="39"/>
      <c r="BE40" s="31">
        <f>COUNTIFS(DataRegularSeason20242025!$D$2:$D$1315,TotalTeamGames20242025!BE$1,DataRegularSeason20242025!$E$2:$E$1315,TotalTeamGames20242025!$A39)</f>
        <v>1</v>
      </c>
      <c r="BF40" s="38"/>
      <c r="BG40" s="33">
        <f>COUNTIFS(DataRegularSeason20242025!$D$2:$D$1315,TotalTeamGames20242025!BG$1,DataRegularSeason20242025!$E$2:$E$1315,TotalTeamGames20242025!$A39)</f>
        <v>1</v>
      </c>
      <c r="BH40" s="39"/>
      <c r="BI40" s="31">
        <f>COUNTIFS(DataRegularSeason20242025!$D$2:$D$1315,TotalTeamGames20242025!BI$1,DataRegularSeason20242025!$E$2:$E$1315,TotalTeamGames20242025!$A39)</f>
        <v>1</v>
      </c>
      <c r="BJ40" s="39"/>
      <c r="BK40" s="31">
        <f>COUNTIFS(DataRegularSeason20242025!$D$2:$D$1315,TotalTeamGames20242025!BK$1,DataRegularSeason20242025!$E$2:$E$1315,TotalTeamGames20242025!$A39)</f>
        <v>1</v>
      </c>
      <c r="BL40" s="39"/>
      <c r="BM40" s="31">
        <f>COUNTIFS(DataRegularSeason20242025!$D$2:$D$1315,TotalTeamGames20242025!BM$1,DataRegularSeason20242025!$E$2:$E$1315,TotalTeamGames20242025!$A39)</f>
        <v>2</v>
      </c>
      <c r="BN40" s="39"/>
      <c r="BO40" s="34">
        <f t="shared" si="0"/>
        <v>41</v>
      </c>
      <c r="BP40" s="165"/>
    </row>
    <row r="41" spans="1:68" ht="9.9499999999999993" customHeight="1" x14ac:dyDescent="0.25">
      <c r="A41" s="166" t="s">
        <v>29</v>
      </c>
      <c r="B41" s="28" t="s">
        <v>74</v>
      </c>
      <c r="C41" s="35"/>
      <c r="D41" s="28">
        <f>COUNTIFS(DataRegularSeason20242025!$E$2:$E$1315,TotalTeamGames20242025!C$1,DataRegularSeason20242025!$D$2:$D$1315,TotalTeamGames20242025!$A41)</f>
        <v>1</v>
      </c>
      <c r="E41" s="35"/>
      <c r="F41" s="28">
        <f>COUNTIFS(DataRegularSeason20242025!$E$2:$E$1315,TotalTeamGames20242025!E$1,DataRegularSeason20242025!$D$2:$D$1315,TotalTeamGames20242025!$A41)</f>
        <v>2</v>
      </c>
      <c r="G41" s="35"/>
      <c r="H41" s="28">
        <f>COUNTIFS(DataRegularSeason20242025!$E$2:$E$1315,TotalTeamGames20242025!G$1,DataRegularSeason20242025!$D$2:$D$1315,TotalTeamGames20242025!$A41)</f>
        <v>1</v>
      </c>
      <c r="I41" s="35"/>
      <c r="J41" s="28">
        <f>COUNTIFS(DataRegularSeason20242025!$E$2:$E$1315,TotalTeamGames20242025!I$1,DataRegularSeason20242025!$D$2:$D$1315,TotalTeamGames20242025!$A41)</f>
        <v>1</v>
      </c>
      <c r="K41" s="35"/>
      <c r="L41" s="28">
        <f>COUNTIFS(DataRegularSeason20242025!$E$2:$E$1315,TotalTeamGames20242025!K$1,DataRegularSeason20242025!$D$2:$D$1315,TotalTeamGames20242025!$A41)</f>
        <v>2</v>
      </c>
      <c r="M41" s="35"/>
      <c r="N41" s="28">
        <f>COUNTIFS(DataRegularSeason20242025!$E$2:$E$1315,TotalTeamGames20242025!M$1,DataRegularSeason20242025!$D$2:$D$1315,TotalTeamGames20242025!$A41)</f>
        <v>1</v>
      </c>
      <c r="O41" s="35"/>
      <c r="P41" s="28">
        <f>COUNTIFS(DataRegularSeason20242025!$E$2:$E$1315,TotalTeamGames20242025!O$1,DataRegularSeason20242025!$D$2:$D$1315,TotalTeamGames20242025!$A41)</f>
        <v>1</v>
      </c>
      <c r="Q41" s="35"/>
      <c r="R41" s="28">
        <f>COUNTIFS(DataRegularSeason20242025!$E$2:$E$1315,TotalTeamGames20242025!Q$1,DataRegularSeason20242025!$D$2:$D$1315,TotalTeamGames20242025!$A41)</f>
        <v>1</v>
      </c>
      <c r="S41" s="35"/>
      <c r="T41" s="28">
        <f>COUNTIFS(DataRegularSeason20242025!$E$2:$E$1315,TotalTeamGames20242025!S$1,DataRegularSeason20242025!$D$2:$D$1315,TotalTeamGames20242025!$A41)</f>
        <v>1</v>
      </c>
      <c r="U41" s="35"/>
      <c r="V41" s="28">
        <f>COUNTIFS(DataRegularSeason20242025!$E$2:$E$1315,TotalTeamGames20242025!U$1,DataRegularSeason20242025!$D$2:$D$1315,TotalTeamGames20242025!$A41)</f>
        <v>2</v>
      </c>
      <c r="W41" s="35"/>
      <c r="X41" s="28">
        <f>COUNTIFS(DataRegularSeason20242025!$E$2:$E$1315,TotalTeamGames20242025!W$1,DataRegularSeason20242025!$D$2:$D$1315,TotalTeamGames20242025!$A41)</f>
        <v>1</v>
      </c>
      <c r="Y41" s="35"/>
      <c r="Z41" s="28">
        <f>COUNTIFS(DataRegularSeason20242025!$E$2:$E$1315,TotalTeamGames20242025!Y$1,DataRegularSeason20242025!$D$2:$D$1315,TotalTeamGames20242025!$A41)</f>
        <v>2</v>
      </c>
      <c r="AA41" s="35"/>
      <c r="AB41" s="28">
        <f>COUNTIFS(DataRegularSeason20242025!$E$2:$E$1315,TotalTeamGames20242025!AA$1,DataRegularSeason20242025!$D$2:$D$1315,TotalTeamGames20242025!$A41)</f>
        <v>1</v>
      </c>
      <c r="AC41" s="35"/>
      <c r="AD41" s="28">
        <f>COUNTIFS(DataRegularSeason20242025!$E$2:$E$1315,TotalTeamGames20242025!AC$1,DataRegularSeason20242025!$D$2:$D$1315,TotalTeamGames20242025!$A41)</f>
        <v>1</v>
      </c>
      <c r="AE41" s="35"/>
      <c r="AF41" s="28">
        <f>COUNTIFS(DataRegularSeason20242025!$E$2:$E$1315,TotalTeamGames20242025!AE$1,DataRegularSeason20242025!$D$2:$D$1315,TotalTeamGames20242025!$A41)</f>
        <v>2</v>
      </c>
      <c r="AG41" s="35"/>
      <c r="AH41" s="28">
        <f>COUNTIFS(DataRegularSeason20242025!$E$2:$E$1315,TotalTeamGames20242025!AG$1,DataRegularSeason20242025!$D$2:$D$1315,TotalTeamGames20242025!$A41)</f>
        <v>1</v>
      </c>
      <c r="AI41" s="35"/>
      <c r="AJ41" s="28">
        <f>COUNTIFS(DataRegularSeason20242025!$E$2:$E$1315,TotalTeamGames20242025!AI$1,DataRegularSeason20242025!$D$2:$D$1315,TotalTeamGames20242025!$A41)</f>
        <v>1</v>
      </c>
      <c r="AK41" s="35"/>
      <c r="AL41" s="28">
        <f>COUNTIFS(DataRegularSeason20242025!$E$2:$E$1315,TotalTeamGames20242025!AK$1,DataRegularSeason20242025!$D$2:$D$1315,TotalTeamGames20242025!$A41)</f>
        <v>1</v>
      </c>
      <c r="AM41" s="35"/>
      <c r="AN41" s="28">
        <f>COUNTIFS(DataRegularSeason20242025!$E$2:$E$1315,TotalTeamGames20242025!AM$1,DataRegularSeason20242025!$D$2:$D$1315,TotalTeamGames20242025!$A41)</f>
        <v>2</v>
      </c>
      <c r="AO41" s="35"/>
      <c r="AP41" s="36"/>
      <c r="AQ41" s="35"/>
      <c r="AR41" s="28">
        <f>COUNTIFS(DataRegularSeason20242025!$E$2:$E$1315,TotalTeamGames20242025!AQ$1,DataRegularSeason20242025!$D$2:$D$1315,TotalTeamGames20242025!$A41)</f>
        <v>2</v>
      </c>
      <c r="AS41" s="35"/>
      <c r="AT41" s="28">
        <f>COUNTIFS(DataRegularSeason20242025!$E$2:$E$1315,TotalTeamGames20242025!AS$1,DataRegularSeason20242025!$D$2:$D$1315,TotalTeamGames20242025!$A41)</f>
        <v>1</v>
      </c>
      <c r="AU41" s="35"/>
      <c r="AV41" s="28">
        <f>COUNTIFS(DataRegularSeason20242025!$E$2:$E$1315,TotalTeamGames20242025!AU$1,DataRegularSeason20242025!$D$2:$D$1315,TotalTeamGames20242025!$A41)</f>
        <v>1</v>
      </c>
      <c r="AW41" s="35"/>
      <c r="AX41" s="28">
        <f>COUNTIFS(DataRegularSeason20242025!$E$2:$E$1315,TotalTeamGames20242025!AW$1,DataRegularSeason20242025!$D$2:$D$1315,TotalTeamGames20242025!$A41)</f>
        <v>1</v>
      </c>
      <c r="AY41" s="35"/>
      <c r="AZ41" s="28">
        <f>COUNTIFS(DataRegularSeason20242025!$E$2:$E$1315,TotalTeamGames20242025!AY$1,DataRegularSeason20242025!$D$2:$D$1315,TotalTeamGames20242025!$A41)</f>
        <v>1</v>
      </c>
      <c r="BA41" s="35"/>
      <c r="BB41" s="28">
        <f>COUNTIFS(DataRegularSeason20242025!$E$2:$E$1315,TotalTeamGames20242025!BA$1,DataRegularSeason20242025!$D$2:$D$1315,TotalTeamGames20242025!$A41)</f>
        <v>2</v>
      </c>
      <c r="BC41" s="35"/>
      <c r="BD41" s="28">
        <f>COUNTIFS(DataRegularSeason20242025!$E$2:$E$1315,TotalTeamGames20242025!BC$1,DataRegularSeason20242025!$D$2:$D$1315,TotalTeamGames20242025!$A41)</f>
        <v>2</v>
      </c>
      <c r="BE41" s="35"/>
      <c r="BF41" s="27">
        <f>COUNTIFS(DataRegularSeason20242025!$E$2:$E$1315,TotalTeamGames20242025!BE$1,DataRegularSeason20242025!$D$2:$D$1315,TotalTeamGames20242025!$A41)</f>
        <v>1</v>
      </c>
      <c r="BG41" s="40"/>
      <c r="BH41" s="28">
        <f>COUNTIFS(DataRegularSeason20242025!$E$2:$E$1315,TotalTeamGames20242025!BG$1,DataRegularSeason20242025!$D$2:$D$1315,TotalTeamGames20242025!$A41)</f>
        <v>1</v>
      </c>
      <c r="BI41" s="35"/>
      <c r="BJ41" s="28">
        <f>COUNTIFS(DataRegularSeason20242025!$E$2:$E$1315,TotalTeamGames20242025!BI$1,DataRegularSeason20242025!$D$2:$D$1315,TotalTeamGames20242025!$A41)</f>
        <v>1</v>
      </c>
      <c r="BK41" s="35"/>
      <c r="BL41" s="28">
        <f>COUNTIFS(DataRegularSeason20242025!$E$2:$E$1315,TotalTeamGames20242025!BK$1,DataRegularSeason20242025!$D$2:$D$1315,TotalTeamGames20242025!$A41)</f>
        <v>1</v>
      </c>
      <c r="BM41" s="35"/>
      <c r="BN41" s="28">
        <f>COUNTIFS(DataRegularSeason20242025!$E$2:$E$1315,TotalTeamGames20242025!BM$1,DataRegularSeason20242025!$D$2:$D$1315,TotalTeamGames20242025!$A41)</f>
        <v>2</v>
      </c>
      <c r="BO41" s="30">
        <f t="shared" si="0"/>
        <v>41</v>
      </c>
      <c r="BP41" s="165">
        <f t="shared" ref="BP41" si="19">BO41+BO42</f>
        <v>82</v>
      </c>
    </row>
    <row r="42" spans="1:68" ht="9.9499999999999993" customHeight="1" x14ac:dyDescent="0.25">
      <c r="A42" s="167"/>
      <c r="B42" s="32" t="s">
        <v>73</v>
      </c>
      <c r="C42" s="31">
        <f>COUNTIFS(DataRegularSeason20242025!$D$2:$D$1315,TotalTeamGames20242025!C$1,DataRegularSeason20242025!$E$2:$E$1315,TotalTeamGames20242025!$A41)</f>
        <v>1</v>
      </c>
      <c r="D42" s="39"/>
      <c r="E42" s="31">
        <f>COUNTIFS(DataRegularSeason20242025!$D$2:$D$1315,TotalTeamGames20242025!E$1,DataRegularSeason20242025!$E$2:$E$1315,TotalTeamGames20242025!$A41)</f>
        <v>2</v>
      </c>
      <c r="F42" s="39"/>
      <c r="G42" s="31">
        <f>COUNTIFS(DataRegularSeason20242025!$D$2:$D$1315,TotalTeamGames20242025!G$1,DataRegularSeason20242025!$E$2:$E$1315,TotalTeamGames20242025!$A41)</f>
        <v>2</v>
      </c>
      <c r="H42" s="39"/>
      <c r="I42" s="31">
        <f>COUNTIFS(DataRegularSeason20242025!$D$2:$D$1315,TotalTeamGames20242025!I$1,DataRegularSeason20242025!$E$2:$E$1315,TotalTeamGames20242025!$A41)</f>
        <v>2</v>
      </c>
      <c r="J42" s="39"/>
      <c r="K42" s="31">
        <f>COUNTIFS(DataRegularSeason20242025!$D$2:$D$1315,TotalTeamGames20242025!K$1,DataRegularSeason20242025!$E$2:$E$1315,TotalTeamGames20242025!$A41)</f>
        <v>1</v>
      </c>
      <c r="L42" s="39"/>
      <c r="M42" s="31">
        <f>COUNTIFS(DataRegularSeason20242025!$D$2:$D$1315,TotalTeamGames20242025!M$1,DataRegularSeason20242025!$E$2:$E$1315,TotalTeamGames20242025!$A41)</f>
        <v>1</v>
      </c>
      <c r="N42" s="39"/>
      <c r="O42" s="31">
        <f>COUNTIFS(DataRegularSeason20242025!$D$2:$D$1315,TotalTeamGames20242025!O$1,DataRegularSeason20242025!$E$2:$E$1315,TotalTeamGames20242025!$A41)</f>
        <v>1</v>
      </c>
      <c r="P42" s="39"/>
      <c r="Q42" s="31">
        <f>COUNTIFS(DataRegularSeason20242025!$D$2:$D$1315,TotalTeamGames20242025!Q$1,DataRegularSeason20242025!$E$2:$E$1315,TotalTeamGames20242025!$A41)</f>
        <v>1</v>
      </c>
      <c r="R42" s="39"/>
      <c r="S42" s="31">
        <f>COUNTIFS(DataRegularSeason20242025!$D$2:$D$1315,TotalTeamGames20242025!S$1,DataRegularSeason20242025!$E$2:$E$1315,TotalTeamGames20242025!$A41)</f>
        <v>1</v>
      </c>
      <c r="T42" s="39"/>
      <c r="U42" s="31">
        <f>COUNTIFS(DataRegularSeason20242025!$D$2:$D$1315,TotalTeamGames20242025!U$1,DataRegularSeason20242025!$E$2:$E$1315,TotalTeamGames20242025!$A41)</f>
        <v>2</v>
      </c>
      <c r="V42" s="39"/>
      <c r="W42" s="31">
        <f>COUNTIFS(DataRegularSeason20242025!$D$2:$D$1315,TotalTeamGames20242025!W$1,DataRegularSeason20242025!$E$2:$E$1315,TotalTeamGames20242025!$A41)</f>
        <v>1</v>
      </c>
      <c r="X42" s="39"/>
      <c r="Y42" s="31">
        <f>COUNTIFS(DataRegularSeason20242025!$D$2:$D$1315,TotalTeamGames20242025!Y$1,DataRegularSeason20242025!$E$2:$E$1315,TotalTeamGames20242025!$A41)</f>
        <v>2</v>
      </c>
      <c r="Z42" s="39"/>
      <c r="AA42" s="31">
        <f>COUNTIFS(DataRegularSeason20242025!$D$2:$D$1315,TotalTeamGames20242025!AA$1,DataRegularSeason20242025!$E$2:$E$1315,TotalTeamGames20242025!$A41)</f>
        <v>1</v>
      </c>
      <c r="AB42" s="39"/>
      <c r="AC42" s="31">
        <f>COUNTIFS(DataRegularSeason20242025!$D$2:$D$1315,TotalTeamGames20242025!AC$1,DataRegularSeason20242025!$E$2:$E$1315,TotalTeamGames20242025!$A41)</f>
        <v>1</v>
      </c>
      <c r="AD42" s="39"/>
      <c r="AE42" s="31">
        <f>COUNTIFS(DataRegularSeason20242025!$D$2:$D$1315,TotalTeamGames20242025!AE$1,DataRegularSeason20242025!$E$2:$E$1315,TotalTeamGames20242025!$A41)</f>
        <v>2</v>
      </c>
      <c r="AF42" s="39"/>
      <c r="AG42" s="31">
        <f>COUNTIFS(DataRegularSeason20242025!$D$2:$D$1315,TotalTeamGames20242025!AG$1,DataRegularSeason20242025!$E$2:$E$1315,TotalTeamGames20242025!$A41)</f>
        <v>2</v>
      </c>
      <c r="AH42" s="39"/>
      <c r="AI42" s="31">
        <f>COUNTIFS(DataRegularSeason20242025!$D$2:$D$1315,TotalTeamGames20242025!AI$1,DataRegularSeason20242025!$E$2:$E$1315,TotalTeamGames20242025!$A41)</f>
        <v>1</v>
      </c>
      <c r="AJ42" s="39"/>
      <c r="AK42" s="31">
        <f>COUNTIFS(DataRegularSeason20242025!$D$2:$D$1315,TotalTeamGames20242025!AK$1,DataRegularSeason20242025!$E$2:$E$1315,TotalTeamGames20242025!$A41)</f>
        <v>2</v>
      </c>
      <c r="AL42" s="39"/>
      <c r="AM42" s="31">
        <f>COUNTIFS(DataRegularSeason20242025!$D$2:$D$1315,TotalTeamGames20242025!AM$1,DataRegularSeason20242025!$E$2:$E$1315,TotalTeamGames20242025!$A41)</f>
        <v>1</v>
      </c>
      <c r="AN42" s="39"/>
      <c r="AO42" s="38"/>
      <c r="AP42" s="39"/>
      <c r="AQ42" s="31">
        <f>COUNTIFS(DataRegularSeason20242025!$D$2:$D$1315,TotalTeamGames20242025!AQ$1,DataRegularSeason20242025!$E$2:$E$1315,TotalTeamGames20242025!$A41)</f>
        <v>1</v>
      </c>
      <c r="AR42" s="39"/>
      <c r="AS42" s="31">
        <f>COUNTIFS(DataRegularSeason20242025!$D$2:$D$1315,TotalTeamGames20242025!AS$1,DataRegularSeason20242025!$E$2:$E$1315,TotalTeamGames20242025!$A41)</f>
        <v>2</v>
      </c>
      <c r="AT42" s="39"/>
      <c r="AU42" s="31">
        <f>COUNTIFS(DataRegularSeason20242025!$D$2:$D$1315,TotalTeamGames20242025!AU$1,DataRegularSeason20242025!$E$2:$E$1315,TotalTeamGames20242025!$A41)</f>
        <v>1</v>
      </c>
      <c r="AV42" s="39"/>
      <c r="AW42" s="31">
        <f>COUNTIFS(DataRegularSeason20242025!$D$2:$D$1315,TotalTeamGames20242025!AW$1,DataRegularSeason20242025!$E$2:$E$1315,TotalTeamGames20242025!$A41)</f>
        <v>1</v>
      </c>
      <c r="AX42" s="39"/>
      <c r="AY42" s="31">
        <f>COUNTIFS(DataRegularSeason20242025!$D$2:$D$1315,TotalTeamGames20242025!AY$1,DataRegularSeason20242025!$E$2:$E$1315,TotalTeamGames20242025!$A41)</f>
        <v>1</v>
      </c>
      <c r="AZ42" s="39"/>
      <c r="BA42" s="31">
        <f>COUNTIFS(DataRegularSeason20242025!$D$2:$D$1315,TotalTeamGames20242025!BA$1,DataRegularSeason20242025!$E$2:$E$1315,TotalTeamGames20242025!$A41)</f>
        <v>1</v>
      </c>
      <c r="BB42" s="39"/>
      <c r="BC42" s="31">
        <f>COUNTIFS(DataRegularSeason20242025!$D$2:$D$1315,TotalTeamGames20242025!BC$1,DataRegularSeason20242025!$E$2:$E$1315,TotalTeamGames20242025!$A41)</f>
        <v>2</v>
      </c>
      <c r="BD42" s="39"/>
      <c r="BE42" s="31">
        <f>COUNTIFS(DataRegularSeason20242025!$D$2:$D$1315,TotalTeamGames20242025!BE$1,DataRegularSeason20242025!$E$2:$E$1315,TotalTeamGames20242025!$A41)</f>
        <v>1</v>
      </c>
      <c r="BF42" s="38"/>
      <c r="BG42" s="33">
        <f>COUNTIFS(DataRegularSeason20242025!$D$2:$D$1315,TotalTeamGames20242025!BG$1,DataRegularSeason20242025!$E$2:$E$1315,TotalTeamGames20242025!$A41)</f>
        <v>1</v>
      </c>
      <c r="BH42" s="39"/>
      <c r="BI42" s="31">
        <f>COUNTIFS(DataRegularSeason20242025!$D$2:$D$1315,TotalTeamGames20242025!BI$1,DataRegularSeason20242025!$E$2:$E$1315,TotalTeamGames20242025!$A41)</f>
        <v>1</v>
      </c>
      <c r="BJ42" s="39"/>
      <c r="BK42" s="31">
        <f>COUNTIFS(DataRegularSeason20242025!$D$2:$D$1315,TotalTeamGames20242025!BK$1,DataRegularSeason20242025!$E$2:$E$1315,TotalTeamGames20242025!$A41)</f>
        <v>1</v>
      </c>
      <c r="BL42" s="39"/>
      <c r="BM42" s="31">
        <f>COUNTIFS(DataRegularSeason20242025!$D$2:$D$1315,TotalTeamGames20242025!BM$1,DataRegularSeason20242025!$E$2:$E$1315,TotalTeamGames20242025!$A41)</f>
        <v>1</v>
      </c>
      <c r="BN42" s="39"/>
      <c r="BO42" s="34">
        <f t="shared" si="0"/>
        <v>41</v>
      </c>
      <c r="BP42" s="165"/>
    </row>
    <row r="43" spans="1:68" ht="9.9499999999999993" customHeight="1" x14ac:dyDescent="0.25">
      <c r="A43" s="166" t="s">
        <v>42</v>
      </c>
      <c r="B43" s="28" t="s">
        <v>74</v>
      </c>
      <c r="C43" s="35"/>
      <c r="D43" s="28">
        <f>COUNTIFS(DataRegularSeason20242025!$E$2:$E$1315,TotalTeamGames20242025!C$1,DataRegularSeason20242025!$D$2:$D$1315,TotalTeamGames20242025!$A43)</f>
        <v>1</v>
      </c>
      <c r="E43" s="35"/>
      <c r="F43" s="28">
        <f>COUNTIFS(DataRegularSeason20242025!$E$2:$E$1315,TotalTeamGames20242025!E$1,DataRegularSeason20242025!$D$2:$D$1315,TotalTeamGames20242025!$A43)</f>
        <v>1</v>
      </c>
      <c r="G43" s="35"/>
      <c r="H43" s="28">
        <f>COUNTIFS(DataRegularSeason20242025!$E$2:$E$1315,TotalTeamGames20242025!G$1,DataRegularSeason20242025!$D$2:$D$1315,TotalTeamGames20242025!$A43)</f>
        <v>2</v>
      </c>
      <c r="I43" s="35"/>
      <c r="J43" s="28">
        <f>COUNTIFS(DataRegularSeason20242025!$E$2:$E$1315,TotalTeamGames20242025!I$1,DataRegularSeason20242025!$D$2:$D$1315,TotalTeamGames20242025!$A43)</f>
        <v>2</v>
      </c>
      <c r="K43" s="35"/>
      <c r="L43" s="28">
        <f>COUNTIFS(DataRegularSeason20242025!$E$2:$E$1315,TotalTeamGames20242025!K$1,DataRegularSeason20242025!$D$2:$D$1315,TotalTeamGames20242025!$A43)</f>
        <v>1</v>
      </c>
      <c r="M43" s="35"/>
      <c r="N43" s="28">
        <f>COUNTIFS(DataRegularSeason20242025!$E$2:$E$1315,TotalTeamGames20242025!M$1,DataRegularSeason20242025!$D$2:$D$1315,TotalTeamGames20242025!$A43)</f>
        <v>1</v>
      </c>
      <c r="O43" s="35"/>
      <c r="P43" s="28">
        <f>COUNTIFS(DataRegularSeason20242025!$E$2:$E$1315,TotalTeamGames20242025!O$1,DataRegularSeason20242025!$D$2:$D$1315,TotalTeamGames20242025!$A43)</f>
        <v>1</v>
      </c>
      <c r="Q43" s="35"/>
      <c r="R43" s="28">
        <f>COUNTIFS(DataRegularSeason20242025!$E$2:$E$1315,TotalTeamGames20242025!Q$1,DataRegularSeason20242025!$D$2:$D$1315,TotalTeamGames20242025!$A43)</f>
        <v>1</v>
      </c>
      <c r="S43" s="35"/>
      <c r="T43" s="28">
        <f>COUNTIFS(DataRegularSeason20242025!$E$2:$E$1315,TotalTeamGames20242025!S$1,DataRegularSeason20242025!$D$2:$D$1315,TotalTeamGames20242025!$A43)</f>
        <v>1</v>
      </c>
      <c r="U43" s="35"/>
      <c r="V43" s="28">
        <f>COUNTIFS(DataRegularSeason20242025!$E$2:$E$1315,TotalTeamGames20242025!U$1,DataRegularSeason20242025!$D$2:$D$1315,TotalTeamGames20242025!$A43)</f>
        <v>2</v>
      </c>
      <c r="W43" s="35"/>
      <c r="X43" s="28">
        <f>COUNTIFS(DataRegularSeason20242025!$E$2:$E$1315,TotalTeamGames20242025!W$1,DataRegularSeason20242025!$D$2:$D$1315,TotalTeamGames20242025!$A43)</f>
        <v>1</v>
      </c>
      <c r="Y43" s="35"/>
      <c r="Z43" s="28">
        <f>COUNTIFS(DataRegularSeason20242025!$E$2:$E$1315,TotalTeamGames20242025!Y$1,DataRegularSeason20242025!$D$2:$D$1315,TotalTeamGames20242025!$A43)</f>
        <v>2</v>
      </c>
      <c r="AA43" s="35"/>
      <c r="AB43" s="28">
        <f>COUNTIFS(DataRegularSeason20242025!$E$2:$E$1315,TotalTeamGames20242025!AA$1,DataRegularSeason20242025!$D$2:$D$1315,TotalTeamGames20242025!$A43)</f>
        <v>1</v>
      </c>
      <c r="AC43" s="35"/>
      <c r="AD43" s="28">
        <f>COUNTIFS(DataRegularSeason20242025!$E$2:$E$1315,TotalTeamGames20242025!AC$1,DataRegularSeason20242025!$D$2:$D$1315,TotalTeamGames20242025!$A43)</f>
        <v>1</v>
      </c>
      <c r="AE43" s="35"/>
      <c r="AF43" s="28">
        <f>COUNTIFS(DataRegularSeason20242025!$E$2:$E$1315,TotalTeamGames20242025!AE$1,DataRegularSeason20242025!$D$2:$D$1315,TotalTeamGames20242025!$A43)</f>
        <v>2</v>
      </c>
      <c r="AG43" s="35"/>
      <c r="AH43" s="28">
        <f>COUNTIFS(DataRegularSeason20242025!$E$2:$E$1315,TotalTeamGames20242025!AG$1,DataRegularSeason20242025!$D$2:$D$1315,TotalTeamGames20242025!$A43)</f>
        <v>2</v>
      </c>
      <c r="AI43" s="35"/>
      <c r="AJ43" s="28">
        <f>COUNTIFS(DataRegularSeason20242025!$E$2:$E$1315,TotalTeamGames20242025!AI$1,DataRegularSeason20242025!$D$2:$D$1315,TotalTeamGames20242025!$A43)</f>
        <v>1</v>
      </c>
      <c r="AK43" s="35"/>
      <c r="AL43" s="28">
        <f>COUNTIFS(DataRegularSeason20242025!$E$2:$E$1315,TotalTeamGames20242025!AK$1,DataRegularSeason20242025!$D$2:$D$1315,TotalTeamGames20242025!$A43)</f>
        <v>2</v>
      </c>
      <c r="AM43" s="35"/>
      <c r="AN43" s="28">
        <f>COUNTIFS(DataRegularSeason20242025!$E$2:$E$1315,TotalTeamGames20242025!AM$1,DataRegularSeason20242025!$D$2:$D$1315,TotalTeamGames20242025!$A43)</f>
        <v>2</v>
      </c>
      <c r="AO43" s="35"/>
      <c r="AP43" s="28">
        <f>COUNTIFS(DataRegularSeason20242025!$E$2:$E$1315,TotalTeamGames20242025!AO$1,DataRegularSeason20242025!$D$2:$D$1315,TotalTeamGames20242025!$A43)</f>
        <v>1</v>
      </c>
      <c r="AQ43" s="35"/>
      <c r="AR43" s="36"/>
      <c r="AS43" s="35"/>
      <c r="AT43" s="28">
        <f>COUNTIFS(DataRegularSeason20242025!$E$2:$E$1315,TotalTeamGames20242025!AS$1,DataRegularSeason20242025!$D$2:$D$1315,TotalTeamGames20242025!$A43)</f>
        <v>2</v>
      </c>
      <c r="AU43" s="35"/>
      <c r="AV43" s="28">
        <f>COUNTIFS(DataRegularSeason20242025!$E$2:$E$1315,TotalTeamGames20242025!AU$1,DataRegularSeason20242025!$D$2:$D$1315,TotalTeamGames20242025!$A43)</f>
        <v>1</v>
      </c>
      <c r="AW43" s="35"/>
      <c r="AX43" s="28">
        <f>COUNTIFS(DataRegularSeason20242025!$E$2:$E$1315,TotalTeamGames20242025!AW$1,DataRegularSeason20242025!$D$2:$D$1315,TotalTeamGames20242025!$A43)</f>
        <v>1</v>
      </c>
      <c r="AY43" s="35"/>
      <c r="AZ43" s="28">
        <f>COUNTIFS(DataRegularSeason20242025!$E$2:$E$1315,TotalTeamGames20242025!AY$1,DataRegularSeason20242025!$D$2:$D$1315,TotalTeamGames20242025!$A43)</f>
        <v>1</v>
      </c>
      <c r="BA43" s="35"/>
      <c r="BB43" s="28">
        <f>COUNTIFS(DataRegularSeason20242025!$E$2:$E$1315,TotalTeamGames20242025!BA$1,DataRegularSeason20242025!$D$2:$D$1315,TotalTeamGames20242025!$A43)</f>
        <v>1</v>
      </c>
      <c r="BC43" s="35"/>
      <c r="BD43" s="28">
        <f>COUNTIFS(DataRegularSeason20242025!$E$2:$E$1315,TotalTeamGames20242025!BC$1,DataRegularSeason20242025!$D$2:$D$1315,TotalTeamGames20242025!$A43)</f>
        <v>1</v>
      </c>
      <c r="BE43" s="35"/>
      <c r="BF43" s="27">
        <f>COUNTIFS(DataRegularSeason20242025!$E$2:$E$1315,TotalTeamGames20242025!BE$1,DataRegularSeason20242025!$D$2:$D$1315,TotalTeamGames20242025!$A43)</f>
        <v>1</v>
      </c>
      <c r="BG43" s="40"/>
      <c r="BH43" s="28">
        <f>COUNTIFS(DataRegularSeason20242025!$E$2:$E$1315,TotalTeamGames20242025!BG$1,DataRegularSeason20242025!$D$2:$D$1315,TotalTeamGames20242025!$A43)</f>
        <v>1</v>
      </c>
      <c r="BI43" s="35"/>
      <c r="BJ43" s="28">
        <f>COUNTIFS(DataRegularSeason20242025!$E$2:$E$1315,TotalTeamGames20242025!BI$1,DataRegularSeason20242025!$D$2:$D$1315,TotalTeamGames20242025!$A43)</f>
        <v>1</v>
      </c>
      <c r="BK43" s="35"/>
      <c r="BL43" s="28">
        <f>COUNTIFS(DataRegularSeason20242025!$E$2:$E$1315,TotalTeamGames20242025!BK$1,DataRegularSeason20242025!$D$2:$D$1315,TotalTeamGames20242025!$A43)</f>
        <v>1</v>
      </c>
      <c r="BM43" s="35"/>
      <c r="BN43" s="28">
        <f>COUNTIFS(DataRegularSeason20242025!$E$2:$E$1315,TotalTeamGames20242025!BM$1,DataRegularSeason20242025!$D$2:$D$1315,TotalTeamGames20242025!$A43)</f>
        <v>2</v>
      </c>
      <c r="BO43" s="30">
        <f t="shared" si="0"/>
        <v>41</v>
      </c>
      <c r="BP43" s="165">
        <f t="shared" ref="BP43" si="20">BO43+BO44</f>
        <v>82</v>
      </c>
    </row>
    <row r="44" spans="1:68" ht="9.9499999999999993" customHeight="1" x14ac:dyDescent="0.25">
      <c r="A44" s="167"/>
      <c r="B44" s="32" t="s">
        <v>73</v>
      </c>
      <c r="C44" s="31">
        <f>COUNTIFS(DataRegularSeason20242025!$D$2:$D$1315,TotalTeamGames20242025!C$1,DataRegularSeason20242025!$E$2:$E$1315,TotalTeamGames20242025!$A43)</f>
        <v>1</v>
      </c>
      <c r="D44" s="39"/>
      <c r="E44" s="31">
        <f>COUNTIFS(DataRegularSeason20242025!$D$2:$D$1315,TotalTeamGames20242025!E$1,DataRegularSeason20242025!$E$2:$E$1315,TotalTeamGames20242025!$A43)</f>
        <v>2</v>
      </c>
      <c r="F44" s="39"/>
      <c r="G44" s="31">
        <f>COUNTIFS(DataRegularSeason20242025!$D$2:$D$1315,TotalTeamGames20242025!G$1,DataRegularSeason20242025!$E$2:$E$1315,TotalTeamGames20242025!$A43)</f>
        <v>1</v>
      </c>
      <c r="H44" s="39"/>
      <c r="I44" s="31">
        <f>COUNTIFS(DataRegularSeason20242025!$D$2:$D$1315,TotalTeamGames20242025!I$1,DataRegularSeason20242025!$E$2:$E$1315,TotalTeamGames20242025!$A43)</f>
        <v>2</v>
      </c>
      <c r="J44" s="39"/>
      <c r="K44" s="31">
        <f>COUNTIFS(DataRegularSeason20242025!$D$2:$D$1315,TotalTeamGames20242025!K$1,DataRegularSeason20242025!$E$2:$E$1315,TotalTeamGames20242025!$A43)</f>
        <v>2</v>
      </c>
      <c r="L44" s="39"/>
      <c r="M44" s="31">
        <f>COUNTIFS(DataRegularSeason20242025!$D$2:$D$1315,TotalTeamGames20242025!M$1,DataRegularSeason20242025!$E$2:$E$1315,TotalTeamGames20242025!$A43)</f>
        <v>1</v>
      </c>
      <c r="N44" s="39"/>
      <c r="O44" s="31">
        <f>COUNTIFS(DataRegularSeason20242025!$D$2:$D$1315,TotalTeamGames20242025!O$1,DataRegularSeason20242025!$E$2:$E$1315,TotalTeamGames20242025!$A43)</f>
        <v>1</v>
      </c>
      <c r="P44" s="39"/>
      <c r="Q44" s="31">
        <f>COUNTIFS(DataRegularSeason20242025!$D$2:$D$1315,TotalTeamGames20242025!Q$1,DataRegularSeason20242025!$E$2:$E$1315,TotalTeamGames20242025!$A43)</f>
        <v>1</v>
      </c>
      <c r="R44" s="39"/>
      <c r="S44" s="31">
        <f>COUNTIFS(DataRegularSeason20242025!$D$2:$D$1315,TotalTeamGames20242025!S$1,DataRegularSeason20242025!$E$2:$E$1315,TotalTeamGames20242025!$A43)</f>
        <v>1</v>
      </c>
      <c r="T44" s="39"/>
      <c r="U44" s="31">
        <f>COUNTIFS(DataRegularSeason20242025!$D$2:$D$1315,TotalTeamGames20242025!U$1,DataRegularSeason20242025!$E$2:$E$1315,TotalTeamGames20242025!$A43)</f>
        <v>1</v>
      </c>
      <c r="V44" s="39"/>
      <c r="W44" s="31">
        <f>COUNTIFS(DataRegularSeason20242025!$D$2:$D$1315,TotalTeamGames20242025!W$1,DataRegularSeason20242025!$E$2:$E$1315,TotalTeamGames20242025!$A43)</f>
        <v>1</v>
      </c>
      <c r="X44" s="39"/>
      <c r="Y44" s="31">
        <f>COUNTIFS(DataRegularSeason20242025!$D$2:$D$1315,TotalTeamGames20242025!Y$1,DataRegularSeason20242025!$E$2:$E$1315,TotalTeamGames20242025!$A43)</f>
        <v>1</v>
      </c>
      <c r="Z44" s="39"/>
      <c r="AA44" s="31">
        <f>COUNTIFS(DataRegularSeason20242025!$D$2:$D$1315,TotalTeamGames20242025!AA$1,DataRegularSeason20242025!$E$2:$E$1315,TotalTeamGames20242025!$A43)</f>
        <v>1</v>
      </c>
      <c r="AB44" s="39"/>
      <c r="AC44" s="31">
        <f>COUNTIFS(DataRegularSeason20242025!$D$2:$D$1315,TotalTeamGames20242025!AC$1,DataRegularSeason20242025!$E$2:$E$1315,TotalTeamGames20242025!$A43)</f>
        <v>1</v>
      </c>
      <c r="AD44" s="39"/>
      <c r="AE44" s="31">
        <f>COUNTIFS(DataRegularSeason20242025!$D$2:$D$1315,TotalTeamGames20242025!AE$1,DataRegularSeason20242025!$E$2:$E$1315,TotalTeamGames20242025!$A43)</f>
        <v>1</v>
      </c>
      <c r="AF44" s="39"/>
      <c r="AG44" s="31">
        <f>COUNTIFS(DataRegularSeason20242025!$D$2:$D$1315,TotalTeamGames20242025!AG$1,DataRegularSeason20242025!$E$2:$E$1315,TotalTeamGames20242025!$A43)</f>
        <v>1</v>
      </c>
      <c r="AH44" s="39"/>
      <c r="AI44" s="31">
        <f>COUNTIFS(DataRegularSeason20242025!$D$2:$D$1315,TotalTeamGames20242025!AI$1,DataRegularSeason20242025!$E$2:$E$1315,TotalTeamGames20242025!$A43)</f>
        <v>1</v>
      </c>
      <c r="AJ44" s="39"/>
      <c r="AK44" s="31">
        <f>COUNTIFS(DataRegularSeason20242025!$D$2:$D$1315,TotalTeamGames20242025!AK$1,DataRegularSeason20242025!$E$2:$E$1315,TotalTeamGames20242025!$A43)</f>
        <v>2</v>
      </c>
      <c r="AL44" s="39"/>
      <c r="AM44" s="31">
        <f>COUNTIFS(DataRegularSeason20242025!$D$2:$D$1315,TotalTeamGames20242025!AM$1,DataRegularSeason20242025!$E$2:$E$1315,TotalTeamGames20242025!$A43)</f>
        <v>2</v>
      </c>
      <c r="AN44" s="39"/>
      <c r="AO44" s="31">
        <f>COUNTIFS(DataRegularSeason20242025!$D$2:$D$1315,TotalTeamGames20242025!AO$1,DataRegularSeason20242025!$E$2:$E$1315,TotalTeamGames20242025!$A43)</f>
        <v>2</v>
      </c>
      <c r="AP44" s="39"/>
      <c r="AQ44" s="38"/>
      <c r="AR44" s="39"/>
      <c r="AS44" s="31">
        <f>COUNTIFS(DataRegularSeason20242025!$D$2:$D$1315,TotalTeamGames20242025!AS$1,DataRegularSeason20242025!$E$2:$E$1315,TotalTeamGames20242025!$A43)</f>
        <v>2</v>
      </c>
      <c r="AT44" s="39"/>
      <c r="AU44" s="31">
        <f>COUNTIFS(DataRegularSeason20242025!$D$2:$D$1315,TotalTeamGames20242025!AU$1,DataRegularSeason20242025!$E$2:$E$1315,TotalTeamGames20242025!$A43)</f>
        <v>1</v>
      </c>
      <c r="AV44" s="39"/>
      <c r="AW44" s="31">
        <f>COUNTIFS(DataRegularSeason20242025!$D$2:$D$1315,TotalTeamGames20242025!AW$1,DataRegularSeason20242025!$E$2:$E$1315,TotalTeamGames20242025!$A43)</f>
        <v>1</v>
      </c>
      <c r="AX44" s="39"/>
      <c r="AY44" s="31">
        <f>COUNTIFS(DataRegularSeason20242025!$D$2:$D$1315,TotalTeamGames20242025!AY$1,DataRegularSeason20242025!$E$2:$E$1315,TotalTeamGames20242025!$A43)</f>
        <v>1</v>
      </c>
      <c r="AZ44" s="39"/>
      <c r="BA44" s="31">
        <f>COUNTIFS(DataRegularSeason20242025!$D$2:$D$1315,TotalTeamGames20242025!BA$1,DataRegularSeason20242025!$E$2:$E$1315,TotalTeamGames20242025!$A43)</f>
        <v>2</v>
      </c>
      <c r="BB44" s="39"/>
      <c r="BC44" s="31">
        <f>COUNTIFS(DataRegularSeason20242025!$D$2:$D$1315,TotalTeamGames20242025!BC$1,DataRegularSeason20242025!$E$2:$E$1315,TotalTeamGames20242025!$A43)</f>
        <v>2</v>
      </c>
      <c r="BD44" s="39"/>
      <c r="BE44" s="31">
        <f>COUNTIFS(DataRegularSeason20242025!$D$2:$D$1315,TotalTeamGames20242025!BE$1,DataRegularSeason20242025!$E$2:$E$1315,TotalTeamGames20242025!$A43)</f>
        <v>1</v>
      </c>
      <c r="BF44" s="38"/>
      <c r="BG44" s="33">
        <f>COUNTIFS(DataRegularSeason20242025!$D$2:$D$1315,TotalTeamGames20242025!BG$1,DataRegularSeason20242025!$E$2:$E$1315,TotalTeamGames20242025!$A43)</f>
        <v>1</v>
      </c>
      <c r="BH44" s="39"/>
      <c r="BI44" s="31">
        <f>COUNTIFS(DataRegularSeason20242025!$D$2:$D$1315,TotalTeamGames20242025!BI$1,DataRegularSeason20242025!$E$2:$E$1315,TotalTeamGames20242025!$A43)</f>
        <v>1</v>
      </c>
      <c r="BJ44" s="39"/>
      <c r="BK44" s="31">
        <f>COUNTIFS(DataRegularSeason20242025!$D$2:$D$1315,TotalTeamGames20242025!BK$1,DataRegularSeason20242025!$E$2:$E$1315,TotalTeamGames20242025!$A43)</f>
        <v>1</v>
      </c>
      <c r="BL44" s="39"/>
      <c r="BM44" s="31">
        <f>COUNTIFS(DataRegularSeason20242025!$D$2:$D$1315,TotalTeamGames20242025!BM$1,DataRegularSeason20242025!$E$2:$E$1315,TotalTeamGames20242025!$A43)</f>
        <v>2</v>
      </c>
      <c r="BN44" s="39"/>
      <c r="BO44" s="34">
        <f t="shared" si="0"/>
        <v>41</v>
      </c>
      <c r="BP44" s="165"/>
    </row>
    <row r="45" spans="1:68" ht="9.9499999999999993" customHeight="1" x14ac:dyDescent="0.25">
      <c r="A45" s="166" t="s">
        <v>20</v>
      </c>
      <c r="B45" s="28" t="s">
        <v>74</v>
      </c>
      <c r="C45" s="35"/>
      <c r="D45" s="28">
        <f>COUNTIFS(DataRegularSeason20242025!$E$2:$E$1315,TotalTeamGames20242025!C$1,DataRegularSeason20242025!$D$2:$D$1315,TotalTeamGames20242025!$A45)</f>
        <v>1</v>
      </c>
      <c r="E45" s="35"/>
      <c r="F45" s="28">
        <f>COUNTIFS(DataRegularSeason20242025!$E$2:$E$1315,TotalTeamGames20242025!E$1,DataRegularSeason20242025!$D$2:$D$1315,TotalTeamGames20242025!$A45)</f>
        <v>2</v>
      </c>
      <c r="G45" s="35"/>
      <c r="H45" s="28">
        <f>COUNTIFS(DataRegularSeason20242025!$E$2:$E$1315,TotalTeamGames20242025!G$1,DataRegularSeason20242025!$D$2:$D$1315,TotalTeamGames20242025!$A45)</f>
        <v>1</v>
      </c>
      <c r="I45" s="35"/>
      <c r="J45" s="28">
        <f>COUNTIFS(DataRegularSeason20242025!$E$2:$E$1315,TotalTeamGames20242025!I$1,DataRegularSeason20242025!$D$2:$D$1315,TotalTeamGames20242025!$A45)</f>
        <v>2</v>
      </c>
      <c r="K45" s="35"/>
      <c r="L45" s="28">
        <f>COUNTIFS(DataRegularSeason20242025!$E$2:$E$1315,TotalTeamGames20242025!K$1,DataRegularSeason20242025!$D$2:$D$1315,TotalTeamGames20242025!$A45)</f>
        <v>2</v>
      </c>
      <c r="M45" s="35"/>
      <c r="N45" s="28">
        <f>COUNTIFS(DataRegularSeason20242025!$E$2:$E$1315,TotalTeamGames20242025!M$1,DataRegularSeason20242025!$D$2:$D$1315,TotalTeamGames20242025!$A45)</f>
        <v>1</v>
      </c>
      <c r="O45" s="35"/>
      <c r="P45" s="28">
        <f>COUNTIFS(DataRegularSeason20242025!$E$2:$E$1315,TotalTeamGames20242025!O$1,DataRegularSeason20242025!$D$2:$D$1315,TotalTeamGames20242025!$A45)</f>
        <v>1</v>
      </c>
      <c r="Q45" s="35"/>
      <c r="R45" s="28">
        <f>COUNTIFS(DataRegularSeason20242025!$E$2:$E$1315,TotalTeamGames20242025!Q$1,DataRegularSeason20242025!$D$2:$D$1315,TotalTeamGames20242025!$A45)</f>
        <v>1</v>
      </c>
      <c r="S45" s="35"/>
      <c r="T45" s="28">
        <f>COUNTIFS(DataRegularSeason20242025!$E$2:$E$1315,TotalTeamGames20242025!S$1,DataRegularSeason20242025!$D$2:$D$1315,TotalTeamGames20242025!$A45)</f>
        <v>1</v>
      </c>
      <c r="U45" s="35"/>
      <c r="V45" s="28">
        <f>COUNTIFS(DataRegularSeason20242025!$E$2:$E$1315,TotalTeamGames20242025!U$1,DataRegularSeason20242025!$D$2:$D$1315,TotalTeamGames20242025!$A45)</f>
        <v>1</v>
      </c>
      <c r="W45" s="35"/>
      <c r="X45" s="28">
        <f>COUNTIFS(DataRegularSeason20242025!$E$2:$E$1315,TotalTeamGames20242025!W$1,DataRegularSeason20242025!$D$2:$D$1315,TotalTeamGames20242025!$A45)</f>
        <v>1</v>
      </c>
      <c r="Y45" s="35"/>
      <c r="Z45" s="28">
        <f>COUNTIFS(DataRegularSeason20242025!$E$2:$E$1315,TotalTeamGames20242025!Y$1,DataRegularSeason20242025!$D$2:$D$1315,TotalTeamGames20242025!$A45)</f>
        <v>1</v>
      </c>
      <c r="AA45" s="35"/>
      <c r="AB45" s="28">
        <f>COUNTIFS(DataRegularSeason20242025!$E$2:$E$1315,TotalTeamGames20242025!AA$1,DataRegularSeason20242025!$D$2:$D$1315,TotalTeamGames20242025!$A45)</f>
        <v>1</v>
      </c>
      <c r="AC45" s="35"/>
      <c r="AD45" s="28">
        <f>COUNTIFS(DataRegularSeason20242025!$E$2:$E$1315,TotalTeamGames20242025!AC$1,DataRegularSeason20242025!$D$2:$D$1315,TotalTeamGames20242025!$A45)</f>
        <v>1</v>
      </c>
      <c r="AE45" s="35"/>
      <c r="AF45" s="28">
        <f>COUNTIFS(DataRegularSeason20242025!$E$2:$E$1315,TotalTeamGames20242025!AE$1,DataRegularSeason20242025!$D$2:$D$1315,TotalTeamGames20242025!$A45)</f>
        <v>1</v>
      </c>
      <c r="AG45" s="35"/>
      <c r="AH45" s="28">
        <f>COUNTIFS(DataRegularSeason20242025!$E$2:$E$1315,TotalTeamGames20242025!AG$1,DataRegularSeason20242025!$D$2:$D$1315,TotalTeamGames20242025!$A45)</f>
        <v>2</v>
      </c>
      <c r="AI45" s="35"/>
      <c r="AJ45" s="28">
        <f>COUNTIFS(DataRegularSeason20242025!$E$2:$E$1315,TotalTeamGames20242025!AI$1,DataRegularSeason20242025!$D$2:$D$1315,TotalTeamGames20242025!$A45)</f>
        <v>1</v>
      </c>
      <c r="AK45" s="35"/>
      <c r="AL45" s="28">
        <f>COUNTIFS(DataRegularSeason20242025!$E$2:$E$1315,TotalTeamGames20242025!AK$1,DataRegularSeason20242025!$D$2:$D$1315,TotalTeamGames20242025!$A45)</f>
        <v>2</v>
      </c>
      <c r="AM45" s="35"/>
      <c r="AN45" s="28">
        <f>COUNTIFS(DataRegularSeason20242025!$E$2:$E$1315,TotalTeamGames20242025!AM$1,DataRegularSeason20242025!$D$2:$D$1315,TotalTeamGames20242025!$A45)</f>
        <v>2</v>
      </c>
      <c r="AO45" s="35"/>
      <c r="AP45" s="28">
        <f>COUNTIFS(DataRegularSeason20242025!$E$2:$E$1315,TotalTeamGames20242025!AO$1,DataRegularSeason20242025!$D$2:$D$1315,TotalTeamGames20242025!$A45)</f>
        <v>2</v>
      </c>
      <c r="AQ45" s="35"/>
      <c r="AR45" s="28">
        <f>COUNTIFS(DataRegularSeason20242025!$E$2:$E$1315,TotalTeamGames20242025!AQ$1,DataRegularSeason20242025!$D$2:$D$1315,TotalTeamGames20242025!$A45)</f>
        <v>2</v>
      </c>
      <c r="AS45" s="35"/>
      <c r="AT45" s="36"/>
      <c r="AU45" s="35"/>
      <c r="AV45" s="28">
        <f>COUNTIFS(DataRegularSeason20242025!$E$2:$E$1315,TotalTeamGames20242025!AU$1,DataRegularSeason20242025!$D$2:$D$1315,TotalTeamGames20242025!$A45)</f>
        <v>1</v>
      </c>
      <c r="AW45" s="35"/>
      <c r="AX45" s="28">
        <f>COUNTIFS(DataRegularSeason20242025!$E$2:$E$1315,TotalTeamGames20242025!AW$1,DataRegularSeason20242025!$D$2:$D$1315,TotalTeamGames20242025!$A45)</f>
        <v>1</v>
      </c>
      <c r="AY45" s="35"/>
      <c r="AZ45" s="28">
        <f>COUNTIFS(DataRegularSeason20242025!$E$2:$E$1315,TotalTeamGames20242025!AY$1,DataRegularSeason20242025!$D$2:$D$1315,TotalTeamGames20242025!$A45)</f>
        <v>1</v>
      </c>
      <c r="BA45" s="35"/>
      <c r="BB45" s="28">
        <f>COUNTIFS(DataRegularSeason20242025!$E$2:$E$1315,TotalTeamGames20242025!BA$1,DataRegularSeason20242025!$D$2:$D$1315,TotalTeamGames20242025!$A45)</f>
        <v>2</v>
      </c>
      <c r="BC45" s="35"/>
      <c r="BD45" s="28">
        <f>COUNTIFS(DataRegularSeason20242025!$E$2:$E$1315,TotalTeamGames20242025!BC$1,DataRegularSeason20242025!$D$2:$D$1315,TotalTeamGames20242025!$A45)</f>
        <v>2</v>
      </c>
      <c r="BE45" s="35"/>
      <c r="BF45" s="27">
        <f>COUNTIFS(DataRegularSeason20242025!$E$2:$E$1315,TotalTeamGames20242025!BE$1,DataRegularSeason20242025!$D$2:$D$1315,TotalTeamGames20242025!$A45)</f>
        <v>1</v>
      </c>
      <c r="BG45" s="40"/>
      <c r="BH45" s="28">
        <f>COUNTIFS(DataRegularSeason20242025!$E$2:$E$1315,TotalTeamGames20242025!BG$1,DataRegularSeason20242025!$D$2:$D$1315,TotalTeamGames20242025!$A45)</f>
        <v>1</v>
      </c>
      <c r="BI45" s="35"/>
      <c r="BJ45" s="28">
        <f>COUNTIFS(DataRegularSeason20242025!$E$2:$E$1315,TotalTeamGames20242025!BI$1,DataRegularSeason20242025!$D$2:$D$1315,TotalTeamGames20242025!$A45)</f>
        <v>1</v>
      </c>
      <c r="BK45" s="35"/>
      <c r="BL45" s="28">
        <f>COUNTIFS(DataRegularSeason20242025!$E$2:$E$1315,TotalTeamGames20242025!BK$1,DataRegularSeason20242025!$D$2:$D$1315,TotalTeamGames20242025!$A45)</f>
        <v>1</v>
      </c>
      <c r="BM45" s="35"/>
      <c r="BN45" s="28">
        <f>COUNTIFS(DataRegularSeason20242025!$E$2:$E$1315,TotalTeamGames20242025!BM$1,DataRegularSeason20242025!$D$2:$D$1315,TotalTeamGames20242025!$A45)</f>
        <v>1</v>
      </c>
      <c r="BO45" s="30">
        <f t="shared" si="0"/>
        <v>41</v>
      </c>
      <c r="BP45" s="165">
        <f t="shared" ref="BP45" si="21">BO45+BO46</f>
        <v>82</v>
      </c>
    </row>
    <row r="46" spans="1:68" ht="9.9499999999999993" customHeight="1" x14ac:dyDescent="0.25">
      <c r="A46" s="167"/>
      <c r="B46" s="32" t="s">
        <v>73</v>
      </c>
      <c r="C46" s="31">
        <f>COUNTIFS(DataRegularSeason20242025!$D$2:$D$1315,TotalTeamGames20242025!C$1,DataRegularSeason20242025!$E$2:$E$1315,TotalTeamGames20242025!$A45)</f>
        <v>1</v>
      </c>
      <c r="D46" s="39"/>
      <c r="E46" s="31">
        <f>COUNTIFS(DataRegularSeason20242025!$D$2:$D$1315,TotalTeamGames20242025!E$1,DataRegularSeason20242025!$E$2:$E$1315,TotalTeamGames20242025!$A45)</f>
        <v>1</v>
      </c>
      <c r="F46" s="39"/>
      <c r="G46" s="31">
        <f>COUNTIFS(DataRegularSeason20242025!$D$2:$D$1315,TotalTeamGames20242025!G$1,DataRegularSeason20242025!$E$2:$E$1315,TotalTeamGames20242025!$A45)</f>
        <v>2</v>
      </c>
      <c r="H46" s="39"/>
      <c r="I46" s="31">
        <f>COUNTIFS(DataRegularSeason20242025!$D$2:$D$1315,TotalTeamGames20242025!I$1,DataRegularSeason20242025!$E$2:$E$1315,TotalTeamGames20242025!$A45)</f>
        <v>2</v>
      </c>
      <c r="J46" s="39"/>
      <c r="K46" s="31">
        <f>COUNTIFS(DataRegularSeason20242025!$D$2:$D$1315,TotalTeamGames20242025!K$1,DataRegularSeason20242025!$E$2:$E$1315,TotalTeamGames20242025!$A45)</f>
        <v>2</v>
      </c>
      <c r="L46" s="39"/>
      <c r="M46" s="31">
        <f>COUNTIFS(DataRegularSeason20242025!$D$2:$D$1315,TotalTeamGames20242025!M$1,DataRegularSeason20242025!$E$2:$E$1315,TotalTeamGames20242025!$A45)</f>
        <v>1</v>
      </c>
      <c r="N46" s="39"/>
      <c r="O46" s="31">
        <f>COUNTIFS(DataRegularSeason20242025!$D$2:$D$1315,TotalTeamGames20242025!O$1,DataRegularSeason20242025!$E$2:$E$1315,TotalTeamGames20242025!$A45)</f>
        <v>1</v>
      </c>
      <c r="P46" s="39"/>
      <c r="Q46" s="31">
        <f>COUNTIFS(DataRegularSeason20242025!$D$2:$D$1315,TotalTeamGames20242025!Q$1,DataRegularSeason20242025!$E$2:$E$1315,TotalTeamGames20242025!$A45)</f>
        <v>1</v>
      </c>
      <c r="R46" s="39"/>
      <c r="S46" s="31">
        <f>COUNTIFS(DataRegularSeason20242025!$D$2:$D$1315,TotalTeamGames20242025!S$1,DataRegularSeason20242025!$E$2:$E$1315,TotalTeamGames20242025!$A45)</f>
        <v>1</v>
      </c>
      <c r="T46" s="39"/>
      <c r="U46" s="31">
        <f>COUNTIFS(DataRegularSeason20242025!$D$2:$D$1315,TotalTeamGames20242025!U$1,DataRegularSeason20242025!$E$2:$E$1315,TotalTeamGames20242025!$A45)</f>
        <v>2</v>
      </c>
      <c r="V46" s="39"/>
      <c r="W46" s="31">
        <f>COUNTIFS(DataRegularSeason20242025!$D$2:$D$1315,TotalTeamGames20242025!W$1,DataRegularSeason20242025!$E$2:$E$1315,TotalTeamGames20242025!$A45)</f>
        <v>1</v>
      </c>
      <c r="X46" s="39"/>
      <c r="Y46" s="31">
        <f>COUNTIFS(DataRegularSeason20242025!$D$2:$D$1315,TotalTeamGames20242025!Y$1,DataRegularSeason20242025!$E$2:$E$1315,TotalTeamGames20242025!$A45)</f>
        <v>2</v>
      </c>
      <c r="Z46" s="39"/>
      <c r="AA46" s="31">
        <f>COUNTIFS(DataRegularSeason20242025!$D$2:$D$1315,TotalTeamGames20242025!AA$1,DataRegularSeason20242025!$E$2:$E$1315,TotalTeamGames20242025!$A45)</f>
        <v>1</v>
      </c>
      <c r="AB46" s="39"/>
      <c r="AC46" s="31">
        <f>COUNTIFS(DataRegularSeason20242025!$D$2:$D$1315,TotalTeamGames20242025!AC$1,DataRegularSeason20242025!$E$2:$E$1315,TotalTeamGames20242025!$A45)</f>
        <v>1</v>
      </c>
      <c r="AD46" s="39"/>
      <c r="AE46" s="31">
        <f>COUNTIFS(DataRegularSeason20242025!$D$2:$D$1315,TotalTeamGames20242025!AE$1,DataRegularSeason20242025!$E$2:$E$1315,TotalTeamGames20242025!$A45)</f>
        <v>2</v>
      </c>
      <c r="AF46" s="39"/>
      <c r="AG46" s="31">
        <f>COUNTIFS(DataRegularSeason20242025!$D$2:$D$1315,TotalTeamGames20242025!AG$1,DataRegularSeason20242025!$E$2:$E$1315,TotalTeamGames20242025!$A45)</f>
        <v>2</v>
      </c>
      <c r="AH46" s="39"/>
      <c r="AI46" s="31">
        <f>COUNTIFS(DataRegularSeason20242025!$D$2:$D$1315,TotalTeamGames20242025!AI$1,DataRegularSeason20242025!$E$2:$E$1315,TotalTeamGames20242025!$A45)</f>
        <v>1</v>
      </c>
      <c r="AJ46" s="39"/>
      <c r="AK46" s="31">
        <f>COUNTIFS(DataRegularSeason20242025!$D$2:$D$1315,TotalTeamGames20242025!AK$1,DataRegularSeason20242025!$E$2:$E$1315,TotalTeamGames20242025!$A45)</f>
        <v>1</v>
      </c>
      <c r="AL46" s="39"/>
      <c r="AM46" s="31">
        <f>COUNTIFS(DataRegularSeason20242025!$D$2:$D$1315,TotalTeamGames20242025!AM$1,DataRegularSeason20242025!$E$2:$E$1315,TotalTeamGames20242025!$A45)</f>
        <v>2</v>
      </c>
      <c r="AN46" s="39"/>
      <c r="AO46" s="31">
        <f>COUNTIFS(DataRegularSeason20242025!$D$2:$D$1315,TotalTeamGames20242025!AO$1,DataRegularSeason20242025!$E$2:$E$1315,TotalTeamGames20242025!$A45)</f>
        <v>1</v>
      </c>
      <c r="AP46" s="39"/>
      <c r="AQ46" s="31">
        <f>COUNTIFS(DataRegularSeason20242025!$D$2:$D$1315,TotalTeamGames20242025!AQ$1,DataRegularSeason20242025!$E$2:$E$1315,TotalTeamGames20242025!$A45)</f>
        <v>2</v>
      </c>
      <c r="AR46" s="39"/>
      <c r="AS46" s="38"/>
      <c r="AT46" s="39"/>
      <c r="AU46" s="31">
        <f>COUNTIFS(DataRegularSeason20242025!$D$2:$D$1315,TotalTeamGames20242025!AU$1,DataRegularSeason20242025!$E$2:$E$1315,TotalTeamGames20242025!$A45)</f>
        <v>1</v>
      </c>
      <c r="AV46" s="39"/>
      <c r="AW46" s="31">
        <f>COUNTIFS(DataRegularSeason20242025!$D$2:$D$1315,TotalTeamGames20242025!AW$1,DataRegularSeason20242025!$E$2:$E$1315,TotalTeamGames20242025!$A45)</f>
        <v>1</v>
      </c>
      <c r="AX46" s="39"/>
      <c r="AY46" s="31">
        <f>COUNTIFS(DataRegularSeason20242025!$D$2:$D$1315,TotalTeamGames20242025!AY$1,DataRegularSeason20242025!$E$2:$E$1315,TotalTeamGames20242025!$A45)</f>
        <v>1</v>
      </c>
      <c r="AZ46" s="39"/>
      <c r="BA46" s="31">
        <f>COUNTIFS(DataRegularSeason20242025!$D$2:$D$1315,TotalTeamGames20242025!BA$1,DataRegularSeason20242025!$E$2:$E$1315,TotalTeamGames20242025!$A45)</f>
        <v>1</v>
      </c>
      <c r="BB46" s="39"/>
      <c r="BC46" s="31">
        <f>COUNTIFS(DataRegularSeason20242025!$D$2:$D$1315,TotalTeamGames20242025!BC$1,DataRegularSeason20242025!$E$2:$E$1315,TotalTeamGames20242025!$A45)</f>
        <v>1</v>
      </c>
      <c r="BD46" s="39"/>
      <c r="BE46" s="31">
        <f>COUNTIFS(DataRegularSeason20242025!$D$2:$D$1315,TotalTeamGames20242025!BE$1,DataRegularSeason20242025!$E$2:$E$1315,TotalTeamGames20242025!$A45)</f>
        <v>1</v>
      </c>
      <c r="BF46" s="38"/>
      <c r="BG46" s="33">
        <f>COUNTIFS(DataRegularSeason20242025!$D$2:$D$1315,TotalTeamGames20242025!BG$1,DataRegularSeason20242025!$E$2:$E$1315,TotalTeamGames20242025!$A45)</f>
        <v>1</v>
      </c>
      <c r="BH46" s="39"/>
      <c r="BI46" s="31">
        <f>COUNTIFS(DataRegularSeason20242025!$D$2:$D$1315,TotalTeamGames20242025!BI$1,DataRegularSeason20242025!$E$2:$E$1315,TotalTeamGames20242025!$A45)</f>
        <v>1</v>
      </c>
      <c r="BJ46" s="39"/>
      <c r="BK46" s="31">
        <f>COUNTIFS(DataRegularSeason20242025!$D$2:$D$1315,TotalTeamGames20242025!BK$1,DataRegularSeason20242025!$E$2:$E$1315,TotalTeamGames20242025!$A45)</f>
        <v>1</v>
      </c>
      <c r="BL46" s="39"/>
      <c r="BM46" s="31">
        <f>COUNTIFS(DataRegularSeason20242025!$D$2:$D$1315,TotalTeamGames20242025!BM$1,DataRegularSeason20242025!$E$2:$E$1315,TotalTeamGames20242025!$A45)</f>
        <v>2</v>
      </c>
      <c r="BN46" s="39"/>
      <c r="BO46" s="34">
        <f t="shared" si="0"/>
        <v>41</v>
      </c>
      <c r="BP46" s="165"/>
    </row>
    <row r="47" spans="1:68" ht="9.9499999999999993" customHeight="1" x14ac:dyDescent="0.25">
      <c r="A47" s="166" t="s">
        <v>11</v>
      </c>
      <c r="B47" s="28" t="s">
        <v>74</v>
      </c>
      <c r="C47" s="35"/>
      <c r="D47" s="28">
        <f>COUNTIFS(DataRegularSeason20242025!$E$2:$E$1315,TotalTeamGames20242025!C$1,DataRegularSeason20242025!$D$2:$D$1315,TotalTeamGames20242025!$A47)</f>
        <v>2</v>
      </c>
      <c r="E47" s="35"/>
      <c r="F47" s="28">
        <f>COUNTIFS(DataRegularSeason20242025!$E$2:$E$1315,TotalTeamGames20242025!E$1,DataRegularSeason20242025!$D$2:$D$1315,TotalTeamGames20242025!$A47)</f>
        <v>1</v>
      </c>
      <c r="G47" s="35"/>
      <c r="H47" s="28">
        <f>COUNTIFS(DataRegularSeason20242025!$E$2:$E$1315,TotalTeamGames20242025!G$1,DataRegularSeason20242025!$D$2:$D$1315,TotalTeamGames20242025!$A47)</f>
        <v>1</v>
      </c>
      <c r="I47" s="35"/>
      <c r="J47" s="28">
        <f>COUNTIFS(DataRegularSeason20242025!$E$2:$E$1315,TotalTeamGames20242025!I$1,DataRegularSeason20242025!$D$2:$D$1315,TotalTeamGames20242025!$A47)</f>
        <v>1</v>
      </c>
      <c r="K47" s="35"/>
      <c r="L47" s="28">
        <f>COUNTIFS(DataRegularSeason20242025!$E$2:$E$1315,TotalTeamGames20242025!K$1,DataRegularSeason20242025!$D$2:$D$1315,TotalTeamGames20242025!$A47)</f>
        <v>1</v>
      </c>
      <c r="M47" s="35"/>
      <c r="N47" s="28">
        <f>COUNTIFS(DataRegularSeason20242025!$E$2:$E$1315,TotalTeamGames20242025!M$1,DataRegularSeason20242025!$D$2:$D$1315,TotalTeamGames20242025!$A47)</f>
        <v>2</v>
      </c>
      <c r="O47" s="35"/>
      <c r="P47" s="28">
        <f>COUNTIFS(DataRegularSeason20242025!$E$2:$E$1315,TotalTeamGames20242025!O$1,DataRegularSeason20242025!$D$2:$D$1315,TotalTeamGames20242025!$A47)</f>
        <v>1</v>
      </c>
      <c r="Q47" s="35"/>
      <c r="R47" s="28">
        <f>COUNTIFS(DataRegularSeason20242025!$E$2:$E$1315,TotalTeamGames20242025!Q$1,DataRegularSeason20242025!$D$2:$D$1315,TotalTeamGames20242025!$A47)</f>
        <v>1</v>
      </c>
      <c r="S47" s="35"/>
      <c r="T47" s="28">
        <f>COUNTIFS(DataRegularSeason20242025!$E$2:$E$1315,TotalTeamGames20242025!S$1,DataRegularSeason20242025!$D$2:$D$1315,TotalTeamGames20242025!$A47)</f>
        <v>2</v>
      </c>
      <c r="U47" s="35"/>
      <c r="V47" s="28">
        <f>COUNTIFS(DataRegularSeason20242025!$E$2:$E$1315,TotalTeamGames20242025!U$1,DataRegularSeason20242025!$D$2:$D$1315,TotalTeamGames20242025!$A47)</f>
        <v>1</v>
      </c>
      <c r="W47" s="35"/>
      <c r="X47" s="28">
        <f>COUNTIFS(DataRegularSeason20242025!$E$2:$E$1315,TotalTeamGames20242025!W$1,DataRegularSeason20242025!$D$2:$D$1315,TotalTeamGames20242025!$A47)</f>
        <v>2</v>
      </c>
      <c r="Y47" s="35"/>
      <c r="Z47" s="28">
        <f>COUNTIFS(DataRegularSeason20242025!$E$2:$E$1315,TotalTeamGames20242025!Y$1,DataRegularSeason20242025!$D$2:$D$1315,TotalTeamGames20242025!$A47)</f>
        <v>1</v>
      </c>
      <c r="AA47" s="35"/>
      <c r="AB47" s="28">
        <f>COUNTIFS(DataRegularSeason20242025!$E$2:$E$1315,TotalTeamGames20242025!AA$1,DataRegularSeason20242025!$D$2:$D$1315,TotalTeamGames20242025!$A47)</f>
        <v>2</v>
      </c>
      <c r="AC47" s="35"/>
      <c r="AD47" s="28">
        <f>COUNTIFS(DataRegularSeason20242025!$E$2:$E$1315,TotalTeamGames20242025!AC$1,DataRegularSeason20242025!$D$2:$D$1315,TotalTeamGames20242025!$A47)</f>
        <v>1</v>
      </c>
      <c r="AE47" s="35"/>
      <c r="AF47" s="28">
        <f>COUNTIFS(DataRegularSeason20242025!$E$2:$E$1315,TotalTeamGames20242025!AE$1,DataRegularSeason20242025!$D$2:$D$1315,TotalTeamGames20242025!$A47)</f>
        <v>1</v>
      </c>
      <c r="AG47" s="35"/>
      <c r="AH47" s="28">
        <f>COUNTIFS(DataRegularSeason20242025!$E$2:$E$1315,TotalTeamGames20242025!AG$1,DataRegularSeason20242025!$D$2:$D$1315,TotalTeamGames20242025!$A47)</f>
        <v>1</v>
      </c>
      <c r="AI47" s="35"/>
      <c r="AJ47" s="28">
        <f>COUNTIFS(DataRegularSeason20242025!$E$2:$E$1315,TotalTeamGames20242025!AI$1,DataRegularSeason20242025!$D$2:$D$1315,TotalTeamGames20242025!$A47)</f>
        <v>1</v>
      </c>
      <c r="AK47" s="35"/>
      <c r="AL47" s="28">
        <f>COUNTIFS(DataRegularSeason20242025!$E$2:$E$1315,TotalTeamGames20242025!AK$1,DataRegularSeason20242025!$D$2:$D$1315,TotalTeamGames20242025!$A47)</f>
        <v>1</v>
      </c>
      <c r="AM47" s="35"/>
      <c r="AN47" s="28">
        <f>COUNTIFS(DataRegularSeason20242025!$E$2:$E$1315,TotalTeamGames20242025!AM$1,DataRegularSeason20242025!$D$2:$D$1315,TotalTeamGames20242025!$A47)</f>
        <v>1</v>
      </c>
      <c r="AO47" s="35"/>
      <c r="AP47" s="28">
        <f>COUNTIFS(DataRegularSeason20242025!$E$2:$E$1315,TotalTeamGames20242025!AO$1,DataRegularSeason20242025!$D$2:$D$1315,TotalTeamGames20242025!$A47)</f>
        <v>1</v>
      </c>
      <c r="AQ47" s="35"/>
      <c r="AR47" s="28">
        <f>COUNTIFS(DataRegularSeason20242025!$E$2:$E$1315,TotalTeamGames20242025!AQ$1,DataRegularSeason20242025!$D$2:$D$1315,TotalTeamGames20242025!$A47)</f>
        <v>1</v>
      </c>
      <c r="AS47" s="35"/>
      <c r="AT47" s="28">
        <f>COUNTIFS(DataRegularSeason20242025!$E$2:$E$1315,TotalTeamGames20242025!AS$1,DataRegularSeason20242025!$D$2:$D$1315,TotalTeamGames20242025!$A47)</f>
        <v>1</v>
      </c>
      <c r="AU47" s="35"/>
      <c r="AV47" s="36"/>
      <c r="AW47" s="35"/>
      <c r="AX47" s="28">
        <f>COUNTIFS(DataRegularSeason20242025!$E$2:$E$1315,TotalTeamGames20242025!AW$1,DataRegularSeason20242025!$D$2:$D$1315,TotalTeamGames20242025!$A47)</f>
        <v>1</v>
      </c>
      <c r="AY47" s="35"/>
      <c r="AZ47" s="28">
        <f>COUNTIFS(DataRegularSeason20242025!$E$2:$E$1315,TotalTeamGames20242025!AY$1,DataRegularSeason20242025!$D$2:$D$1315,TotalTeamGames20242025!$A47)</f>
        <v>2</v>
      </c>
      <c r="BA47" s="35"/>
      <c r="BB47" s="28">
        <f>COUNTIFS(DataRegularSeason20242025!$E$2:$E$1315,TotalTeamGames20242025!BA$1,DataRegularSeason20242025!$D$2:$D$1315,TotalTeamGames20242025!$A47)</f>
        <v>1</v>
      </c>
      <c r="BC47" s="35"/>
      <c r="BD47" s="28">
        <f>COUNTIFS(DataRegularSeason20242025!$E$2:$E$1315,TotalTeamGames20242025!BC$1,DataRegularSeason20242025!$D$2:$D$1315,TotalTeamGames20242025!$A47)</f>
        <v>1</v>
      </c>
      <c r="BE47" s="35"/>
      <c r="BF47" s="27">
        <f>COUNTIFS(DataRegularSeason20242025!$E$2:$E$1315,TotalTeamGames20242025!BE$1,DataRegularSeason20242025!$D$2:$D$1315,TotalTeamGames20242025!$A47)</f>
        <v>2</v>
      </c>
      <c r="BG47" s="40"/>
      <c r="BH47" s="28">
        <f>COUNTIFS(DataRegularSeason20242025!$E$2:$E$1315,TotalTeamGames20242025!BG$1,DataRegularSeason20242025!$D$2:$D$1315,TotalTeamGames20242025!$A47)</f>
        <v>2</v>
      </c>
      <c r="BI47" s="35"/>
      <c r="BJ47" s="28">
        <f>COUNTIFS(DataRegularSeason20242025!$E$2:$E$1315,TotalTeamGames20242025!BI$1,DataRegularSeason20242025!$D$2:$D$1315,TotalTeamGames20242025!$A47)</f>
        <v>2</v>
      </c>
      <c r="BK47" s="35"/>
      <c r="BL47" s="28">
        <f>COUNTIFS(DataRegularSeason20242025!$E$2:$E$1315,TotalTeamGames20242025!BK$1,DataRegularSeason20242025!$D$2:$D$1315,TotalTeamGames20242025!$A47)</f>
        <v>2</v>
      </c>
      <c r="BM47" s="35"/>
      <c r="BN47" s="28">
        <f>COUNTIFS(DataRegularSeason20242025!$E$2:$E$1315,TotalTeamGames20242025!BM$1,DataRegularSeason20242025!$D$2:$D$1315,TotalTeamGames20242025!$A47)</f>
        <v>1</v>
      </c>
      <c r="BO47" s="30">
        <f t="shared" si="0"/>
        <v>41</v>
      </c>
      <c r="BP47" s="165">
        <f t="shared" ref="BP47" si="22">BO47+BO48</f>
        <v>82</v>
      </c>
    </row>
    <row r="48" spans="1:68" ht="9.9499999999999993" customHeight="1" x14ac:dyDescent="0.25">
      <c r="A48" s="167"/>
      <c r="B48" s="32" t="s">
        <v>73</v>
      </c>
      <c r="C48" s="31">
        <f>COUNTIFS(DataRegularSeason20242025!$D$2:$D$1315,TotalTeamGames20242025!C$1,DataRegularSeason20242025!$E$2:$E$1315,TotalTeamGames20242025!$A47)</f>
        <v>2</v>
      </c>
      <c r="D48" s="39"/>
      <c r="E48" s="31">
        <f>COUNTIFS(DataRegularSeason20242025!$D$2:$D$1315,TotalTeamGames20242025!E$1,DataRegularSeason20242025!$E$2:$E$1315,TotalTeamGames20242025!$A47)</f>
        <v>1</v>
      </c>
      <c r="F48" s="39"/>
      <c r="G48" s="31">
        <f>COUNTIFS(DataRegularSeason20242025!$D$2:$D$1315,TotalTeamGames20242025!G$1,DataRegularSeason20242025!$E$2:$E$1315,TotalTeamGames20242025!$A47)</f>
        <v>1</v>
      </c>
      <c r="H48" s="39"/>
      <c r="I48" s="31">
        <f>COUNTIFS(DataRegularSeason20242025!$D$2:$D$1315,TotalTeamGames20242025!I$1,DataRegularSeason20242025!$E$2:$E$1315,TotalTeamGames20242025!$A47)</f>
        <v>1</v>
      </c>
      <c r="J48" s="39"/>
      <c r="K48" s="31">
        <f>COUNTIFS(DataRegularSeason20242025!$D$2:$D$1315,TotalTeamGames20242025!K$1,DataRegularSeason20242025!$E$2:$E$1315,TotalTeamGames20242025!$A47)</f>
        <v>1</v>
      </c>
      <c r="L48" s="39"/>
      <c r="M48" s="31">
        <f>COUNTIFS(DataRegularSeason20242025!$D$2:$D$1315,TotalTeamGames20242025!M$1,DataRegularSeason20242025!$E$2:$E$1315,TotalTeamGames20242025!$A47)</f>
        <v>1</v>
      </c>
      <c r="N48" s="39"/>
      <c r="O48" s="31">
        <f>COUNTIFS(DataRegularSeason20242025!$D$2:$D$1315,TotalTeamGames20242025!O$1,DataRegularSeason20242025!$E$2:$E$1315,TotalTeamGames20242025!$A47)</f>
        <v>2</v>
      </c>
      <c r="P48" s="39"/>
      <c r="Q48" s="31">
        <f>COUNTIFS(DataRegularSeason20242025!$D$2:$D$1315,TotalTeamGames20242025!Q$1,DataRegularSeason20242025!$E$2:$E$1315,TotalTeamGames20242025!$A47)</f>
        <v>2</v>
      </c>
      <c r="R48" s="39"/>
      <c r="S48" s="31">
        <f>COUNTIFS(DataRegularSeason20242025!$D$2:$D$1315,TotalTeamGames20242025!S$1,DataRegularSeason20242025!$E$2:$E$1315,TotalTeamGames20242025!$A47)</f>
        <v>1</v>
      </c>
      <c r="T48" s="39"/>
      <c r="U48" s="31">
        <f>COUNTIFS(DataRegularSeason20242025!$D$2:$D$1315,TotalTeamGames20242025!U$1,DataRegularSeason20242025!$E$2:$E$1315,TotalTeamGames20242025!$A47)</f>
        <v>1</v>
      </c>
      <c r="V48" s="39"/>
      <c r="W48" s="31">
        <f>COUNTIFS(DataRegularSeason20242025!$D$2:$D$1315,TotalTeamGames20242025!W$1,DataRegularSeason20242025!$E$2:$E$1315,TotalTeamGames20242025!$A47)</f>
        <v>2</v>
      </c>
      <c r="X48" s="39"/>
      <c r="Y48" s="31">
        <f>COUNTIFS(DataRegularSeason20242025!$D$2:$D$1315,TotalTeamGames20242025!Y$1,DataRegularSeason20242025!$E$2:$E$1315,TotalTeamGames20242025!$A47)</f>
        <v>1</v>
      </c>
      <c r="Z48" s="39"/>
      <c r="AA48" s="31">
        <f>COUNTIFS(DataRegularSeason20242025!$D$2:$D$1315,TotalTeamGames20242025!AA$1,DataRegularSeason20242025!$E$2:$E$1315,TotalTeamGames20242025!$A47)</f>
        <v>2</v>
      </c>
      <c r="AB48" s="39"/>
      <c r="AC48" s="31">
        <f>COUNTIFS(DataRegularSeason20242025!$D$2:$D$1315,TotalTeamGames20242025!AC$1,DataRegularSeason20242025!$E$2:$E$1315,TotalTeamGames20242025!$A47)</f>
        <v>2</v>
      </c>
      <c r="AD48" s="39"/>
      <c r="AE48" s="31">
        <f>COUNTIFS(DataRegularSeason20242025!$D$2:$D$1315,TotalTeamGames20242025!AE$1,DataRegularSeason20242025!$E$2:$E$1315,TotalTeamGames20242025!$A47)</f>
        <v>1</v>
      </c>
      <c r="AF48" s="39"/>
      <c r="AG48" s="31">
        <f>COUNTIFS(DataRegularSeason20242025!$D$2:$D$1315,TotalTeamGames20242025!AG$1,DataRegularSeason20242025!$E$2:$E$1315,TotalTeamGames20242025!$A47)</f>
        <v>1</v>
      </c>
      <c r="AH48" s="39"/>
      <c r="AI48" s="31">
        <f>COUNTIFS(DataRegularSeason20242025!$D$2:$D$1315,TotalTeamGames20242025!AI$1,DataRegularSeason20242025!$E$2:$E$1315,TotalTeamGames20242025!$A47)</f>
        <v>2</v>
      </c>
      <c r="AJ48" s="39"/>
      <c r="AK48" s="31">
        <f>COUNTIFS(DataRegularSeason20242025!$D$2:$D$1315,TotalTeamGames20242025!AK$1,DataRegularSeason20242025!$E$2:$E$1315,TotalTeamGames20242025!$A47)</f>
        <v>1</v>
      </c>
      <c r="AL48" s="39"/>
      <c r="AM48" s="31">
        <f>COUNTIFS(DataRegularSeason20242025!$D$2:$D$1315,TotalTeamGames20242025!AM$1,DataRegularSeason20242025!$E$2:$E$1315,TotalTeamGames20242025!$A47)</f>
        <v>1</v>
      </c>
      <c r="AN48" s="39"/>
      <c r="AO48" s="31">
        <f>COUNTIFS(DataRegularSeason20242025!$D$2:$D$1315,TotalTeamGames20242025!AO$1,DataRegularSeason20242025!$E$2:$E$1315,TotalTeamGames20242025!$A47)</f>
        <v>1</v>
      </c>
      <c r="AP48" s="39"/>
      <c r="AQ48" s="31">
        <f>COUNTIFS(DataRegularSeason20242025!$D$2:$D$1315,TotalTeamGames20242025!AQ$1,DataRegularSeason20242025!$E$2:$E$1315,TotalTeamGames20242025!$A47)</f>
        <v>1</v>
      </c>
      <c r="AR48" s="39"/>
      <c r="AS48" s="31">
        <f>COUNTIFS(DataRegularSeason20242025!$D$2:$D$1315,TotalTeamGames20242025!AS$1,DataRegularSeason20242025!$E$2:$E$1315,TotalTeamGames20242025!$A47)</f>
        <v>1</v>
      </c>
      <c r="AT48" s="39"/>
      <c r="AU48" s="38"/>
      <c r="AV48" s="39"/>
      <c r="AW48" s="31">
        <f>COUNTIFS(DataRegularSeason20242025!$D$2:$D$1315,TotalTeamGames20242025!AW$1,DataRegularSeason20242025!$E$2:$E$1315,TotalTeamGames20242025!$A47)</f>
        <v>2</v>
      </c>
      <c r="AX48" s="39"/>
      <c r="AY48" s="31">
        <f>COUNTIFS(DataRegularSeason20242025!$D$2:$D$1315,TotalTeamGames20242025!AY$1,DataRegularSeason20242025!$E$2:$E$1315,TotalTeamGames20242025!$A47)</f>
        <v>1</v>
      </c>
      <c r="AZ48" s="39"/>
      <c r="BA48" s="31">
        <f>COUNTIFS(DataRegularSeason20242025!$D$2:$D$1315,TotalTeamGames20242025!BA$1,DataRegularSeason20242025!$E$2:$E$1315,TotalTeamGames20242025!$A47)</f>
        <v>1</v>
      </c>
      <c r="BB48" s="39"/>
      <c r="BC48" s="31">
        <f>COUNTIFS(DataRegularSeason20242025!$D$2:$D$1315,TotalTeamGames20242025!BC$1,DataRegularSeason20242025!$E$2:$E$1315,TotalTeamGames20242025!$A47)</f>
        <v>1</v>
      </c>
      <c r="BD48" s="39"/>
      <c r="BE48" s="31">
        <f>COUNTIFS(DataRegularSeason20242025!$D$2:$D$1315,TotalTeamGames20242025!BE$1,DataRegularSeason20242025!$E$2:$E$1315,TotalTeamGames20242025!$A47)</f>
        <v>1</v>
      </c>
      <c r="BF48" s="38"/>
      <c r="BG48" s="33">
        <f>COUNTIFS(DataRegularSeason20242025!$D$2:$D$1315,TotalTeamGames20242025!BG$1,DataRegularSeason20242025!$E$2:$E$1315,TotalTeamGames20242025!$A47)</f>
        <v>2</v>
      </c>
      <c r="BH48" s="39"/>
      <c r="BI48" s="31">
        <f>COUNTIFS(DataRegularSeason20242025!$D$2:$D$1315,TotalTeamGames20242025!BI$1,DataRegularSeason20242025!$E$2:$E$1315,TotalTeamGames20242025!$A47)</f>
        <v>2</v>
      </c>
      <c r="BJ48" s="39"/>
      <c r="BK48" s="31">
        <f>COUNTIFS(DataRegularSeason20242025!$D$2:$D$1315,TotalTeamGames20242025!BK$1,DataRegularSeason20242025!$E$2:$E$1315,TotalTeamGames20242025!$A47)</f>
        <v>1</v>
      </c>
      <c r="BL48" s="39"/>
      <c r="BM48" s="31">
        <f>COUNTIFS(DataRegularSeason20242025!$D$2:$D$1315,TotalTeamGames20242025!BM$1,DataRegularSeason20242025!$E$2:$E$1315,TotalTeamGames20242025!$A47)</f>
        <v>1</v>
      </c>
      <c r="BN48" s="39"/>
      <c r="BO48" s="34">
        <f t="shared" si="0"/>
        <v>41</v>
      </c>
      <c r="BP48" s="165"/>
    </row>
    <row r="49" spans="1:68" ht="9.9499999999999993" customHeight="1" x14ac:dyDescent="0.25">
      <c r="A49" s="166" t="s">
        <v>37</v>
      </c>
      <c r="B49" s="28" t="s">
        <v>74</v>
      </c>
      <c r="C49" s="35"/>
      <c r="D49" s="28">
        <f>COUNTIFS(DataRegularSeason20242025!$E$2:$E$1315,TotalTeamGames20242025!C$1,DataRegularSeason20242025!$D$2:$D$1315,TotalTeamGames20242025!$A49)</f>
        <v>2</v>
      </c>
      <c r="E49" s="35"/>
      <c r="F49" s="28">
        <f>COUNTIFS(DataRegularSeason20242025!$E$2:$E$1315,TotalTeamGames20242025!E$1,DataRegularSeason20242025!$D$2:$D$1315,TotalTeamGames20242025!$A49)</f>
        <v>1</v>
      </c>
      <c r="G49" s="35"/>
      <c r="H49" s="28">
        <f>COUNTIFS(DataRegularSeason20242025!$E$2:$E$1315,TotalTeamGames20242025!G$1,DataRegularSeason20242025!$D$2:$D$1315,TotalTeamGames20242025!$A49)</f>
        <v>1</v>
      </c>
      <c r="I49" s="35"/>
      <c r="J49" s="28">
        <f>COUNTIFS(DataRegularSeason20242025!$E$2:$E$1315,TotalTeamGames20242025!I$1,DataRegularSeason20242025!$D$2:$D$1315,TotalTeamGames20242025!$A49)</f>
        <v>1</v>
      </c>
      <c r="K49" s="35"/>
      <c r="L49" s="28">
        <f>COUNTIFS(DataRegularSeason20242025!$E$2:$E$1315,TotalTeamGames20242025!K$1,DataRegularSeason20242025!$D$2:$D$1315,TotalTeamGames20242025!$A49)</f>
        <v>1</v>
      </c>
      <c r="M49" s="35"/>
      <c r="N49" s="28">
        <f>COUNTIFS(DataRegularSeason20242025!$E$2:$E$1315,TotalTeamGames20242025!M$1,DataRegularSeason20242025!$D$2:$D$1315,TotalTeamGames20242025!$A49)</f>
        <v>2</v>
      </c>
      <c r="O49" s="35"/>
      <c r="P49" s="28">
        <f>COUNTIFS(DataRegularSeason20242025!$E$2:$E$1315,TotalTeamGames20242025!O$1,DataRegularSeason20242025!$D$2:$D$1315,TotalTeamGames20242025!$A49)</f>
        <v>2</v>
      </c>
      <c r="Q49" s="35"/>
      <c r="R49" s="28">
        <f>COUNTIFS(DataRegularSeason20242025!$E$2:$E$1315,TotalTeamGames20242025!Q$1,DataRegularSeason20242025!$D$2:$D$1315,TotalTeamGames20242025!$A49)</f>
        <v>2</v>
      </c>
      <c r="S49" s="35"/>
      <c r="T49" s="28">
        <f>COUNTIFS(DataRegularSeason20242025!$E$2:$E$1315,TotalTeamGames20242025!S$1,DataRegularSeason20242025!$D$2:$D$1315,TotalTeamGames20242025!$A49)</f>
        <v>1</v>
      </c>
      <c r="U49" s="35"/>
      <c r="V49" s="28">
        <f>COUNTIFS(DataRegularSeason20242025!$E$2:$E$1315,TotalTeamGames20242025!U$1,DataRegularSeason20242025!$D$2:$D$1315,TotalTeamGames20242025!$A49)</f>
        <v>1</v>
      </c>
      <c r="W49" s="35"/>
      <c r="X49" s="28">
        <f>COUNTIFS(DataRegularSeason20242025!$E$2:$E$1315,TotalTeamGames20242025!W$1,DataRegularSeason20242025!$D$2:$D$1315,TotalTeamGames20242025!$A49)</f>
        <v>2</v>
      </c>
      <c r="Y49" s="35"/>
      <c r="Z49" s="28">
        <f>COUNTIFS(DataRegularSeason20242025!$E$2:$E$1315,TotalTeamGames20242025!Y$1,DataRegularSeason20242025!$D$2:$D$1315,TotalTeamGames20242025!$A49)</f>
        <v>1</v>
      </c>
      <c r="AA49" s="35"/>
      <c r="AB49" s="28">
        <f>COUNTIFS(DataRegularSeason20242025!$E$2:$E$1315,TotalTeamGames20242025!AA$1,DataRegularSeason20242025!$D$2:$D$1315,TotalTeamGames20242025!$A49)</f>
        <v>1</v>
      </c>
      <c r="AC49" s="35"/>
      <c r="AD49" s="28">
        <f>COUNTIFS(DataRegularSeason20242025!$E$2:$E$1315,TotalTeamGames20242025!AC$1,DataRegularSeason20242025!$D$2:$D$1315,TotalTeamGames20242025!$A49)</f>
        <v>2</v>
      </c>
      <c r="AE49" s="35"/>
      <c r="AF49" s="28">
        <f>COUNTIFS(DataRegularSeason20242025!$E$2:$E$1315,TotalTeamGames20242025!AE$1,DataRegularSeason20242025!$D$2:$D$1315,TotalTeamGames20242025!$A49)</f>
        <v>1</v>
      </c>
      <c r="AG49" s="35"/>
      <c r="AH49" s="28">
        <f>COUNTIFS(DataRegularSeason20242025!$E$2:$E$1315,TotalTeamGames20242025!AG$1,DataRegularSeason20242025!$D$2:$D$1315,TotalTeamGames20242025!$A49)</f>
        <v>1</v>
      </c>
      <c r="AI49" s="35"/>
      <c r="AJ49" s="28">
        <f>COUNTIFS(DataRegularSeason20242025!$E$2:$E$1315,TotalTeamGames20242025!AI$1,DataRegularSeason20242025!$D$2:$D$1315,TotalTeamGames20242025!$A49)</f>
        <v>2</v>
      </c>
      <c r="AK49" s="35"/>
      <c r="AL49" s="28">
        <f>COUNTIFS(DataRegularSeason20242025!$E$2:$E$1315,TotalTeamGames20242025!AK$1,DataRegularSeason20242025!$D$2:$D$1315,TotalTeamGames20242025!$A49)</f>
        <v>1</v>
      </c>
      <c r="AM49" s="35"/>
      <c r="AN49" s="28">
        <f>COUNTIFS(DataRegularSeason20242025!$E$2:$E$1315,TotalTeamGames20242025!AM$1,DataRegularSeason20242025!$D$2:$D$1315,TotalTeamGames20242025!$A49)</f>
        <v>1</v>
      </c>
      <c r="AO49" s="35"/>
      <c r="AP49" s="28">
        <f>COUNTIFS(DataRegularSeason20242025!$E$2:$E$1315,TotalTeamGames20242025!AO$1,DataRegularSeason20242025!$D$2:$D$1315,TotalTeamGames20242025!$A49)</f>
        <v>1</v>
      </c>
      <c r="AQ49" s="35"/>
      <c r="AR49" s="28">
        <f>COUNTIFS(DataRegularSeason20242025!$E$2:$E$1315,TotalTeamGames20242025!AQ$1,DataRegularSeason20242025!$D$2:$D$1315,TotalTeamGames20242025!$A49)</f>
        <v>1</v>
      </c>
      <c r="AS49" s="35"/>
      <c r="AT49" s="28">
        <f>COUNTIFS(DataRegularSeason20242025!$E$2:$E$1315,TotalTeamGames20242025!AS$1,DataRegularSeason20242025!$D$2:$D$1315,TotalTeamGames20242025!$A49)</f>
        <v>1</v>
      </c>
      <c r="AU49" s="35"/>
      <c r="AV49" s="28">
        <f>COUNTIFS(DataRegularSeason20242025!$E$2:$E$1315,TotalTeamGames20242025!AU$1,DataRegularSeason20242025!$D$2:$D$1315,TotalTeamGames20242025!$A49)</f>
        <v>2</v>
      </c>
      <c r="AW49" s="35"/>
      <c r="AX49" s="36"/>
      <c r="AY49" s="35"/>
      <c r="AZ49" s="28">
        <f>COUNTIFS(DataRegularSeason20242025!$E$2:$E$1315,TotalTeamGames20242025!AY$1,DataRegularSeason20242025!$D$2:$D$1315,TotalTeamGames20242025!$A49)</f>
        <v>1</v>
      </c>
      <c r="BA49" s="35"/>
      <c r="BB49" s="28">
        <f>COUNTIFS(DataRegularSeason20242025!$E$2:$E$1315,TotalTeamGames20242025!BA$1,DataRegularSeason20242025!$D$2:$D$1315,TotalTeamGames20242025!$A49)</f>
        <v>1</v>
      </c>
      <c r="BC49" s="35"/>
      <c r="BD49" s="28">
        <f>COUNTIFS(DataRegularSeason20242025!$E$2:$E$1315,TotalTeamGames20242025!BC$1,DataRegularSeason20242025!$D$2:$D$1315,TotalTeamGames20242025!$A49)</f>
        <v>1</v>
      </c>
      <c r="BE49" s="35"/>
      <c r="BF49" s="27">
        <f>COUNTIFS(DataRegularSeason20242025!$E$2:$E$1315,TotalTeamGames20242025!BE$1,DataRegularSeason20242025!$D$2:$D$1315,TotalTeamGames20242025!$A49)</f>
        <v>1</v>
      </c>
      <c r="BG49" s="40"/>
      <c r="BH49" s="28">
        <f>COUNTIFS(DataRegularSeason20242025!$E$2:$E$1315,TotalTeamGames20242025!BG$1,DataRegularSeason20242025!$D$2:$D$1315,TotalTeamGames20242025!$A49)</f>
        <v>2</v>
      </c>
      <c r="BI49" s="35"/>
      <c r="BJ49" s="28">
        <f>COUNTIFS(DataRegularSeason20242025!$E$2:$E$1315,TotalTeamGames20242025!BI$1,DataRegularSeason20242025!$D$2:$D$1315,TotalTeamGames20242025!$A49)</f>
        <v>2</v>
      </c>
      <c r="BK49" s="35"/>
      <c r="BL49" s="28">
        <f>COUNTIFS(DataRegularSeason20242025!$E$2:$E$1315,TotalTeamGames20242025!BK$1,DataRegularSeason20242025!$D$2:$D$1315,TotalTeamGames20242025!$A49)</f>
        <v>1</v>
      </c>
      <c r="BM49" s="35"/>
      <c r="BN49" s="28">
        <f>COUNTIFS(DataRegularSeason20242025!$E$2:$E$1315,TotalTeamGames20242025!BM$1,DataRegularSeason20242025!$D$2:$D$1315,TotalTeamGames20242025!$A49)</f>
        <v>1</v>
      </c>
      <c r="BO49" s="30">
        <f t="shared" si="0"/>
        <v>41</v>
      </c>
      <c r="BP49" s="165">
        <f t="shared" ref="BP49" si="23">BO49+BO50</f>
        <v>82</v>
      </c>
    </row>
    <row r="50" spans="1:68" ht="9.9499999999999993" customHeight="1" x14ac:dyDescent="0.25">
      <c r="A50" s="167"/>
      <c r="B50" s="32" t="s">
        <v>73</v>
      </c>
      <c r="C50" s="31">
        <f>COUNTIFS(DataRegularSeason20242025!$D$2:$D$1315,TotalTeamGames20242025!C$1,DataRegularSeason20242025!$E$2:$E$1315,TotalTeamGames20242025!$A49)</f>
        <v>2</v>
      </c>
      <c r="D50" s="39"/>
      <c r="E50" s="31">
        <f>COUNTIFS(DataRegularSeason20242025!$D$2:$D$1315,TotalTeamGames20242025!E$1,DataRegularSeason20242025!$E$2:$E$1315,TotalTeamGames20242025!$A49)</f>
        <v>1</v>
      </c>
      <c r="F50" s="39"/>
      <c r="G50" s="31">
        <f>COUNTIFS(DataRegularSeason20242025!$D$2:$D$1315,TotalTeamGames20242025!G$1,DataRegularSeason20242025!$E$2:$E$1315,TotalTeamGames20242025!$A49)</f>
        <v>1</v>
      </c>
      <c r="H50" s="39"/>
      <c r="I50" s="31">
        <f>COUNTIFS(DataRegularSeason20242025!$D$2:$D$1315,TotalTeamGames20242025!I$1,DataRegularSeason20242025!$E$2:$E$1315,TotalTeamGames20242025!$A49)</f>
        <v>1</v>
      </c>
      <c r="J50" s="39"/>
      <c r="K50" s="31">
        <f>COUNTIFS(DataRegularSeason20242025!$D$2:$D$1315,TotalTeamGames20242025!K$1,DataRegularSeason20242025!$E$2:$E$1315,TotalTeamGames20242025!$A49)</f>
        <v>1</v>
      </c>
      <c r="L50" s="39"/>
      <c r="M50" s="31">
        <f>COUNTIFS(DataRegularSeason20242025!$D$2:$D$1315,TotalTeamGames20242025!M$1,DataRegularSeason20242025!$E$2:$E$1315,TotalTeamGames20242025!$A49)</f>
        <v>2</v>
      </c>
      <c r="N50" s="39"/>
      <c r="O50" s="31">
        <f>COUNTIFS(DataRegularSeason20242025!$D$2:$D$1315,TotalTeamGames20242025!O$1,DataRegularSeason20242025!$E$2:$E$1315,TotalTeamGames20242025!$A49)</f>
        <v>1</v>
      </c>
      <c r="P50" s="39"/>
      <c r="Q50" s="31">
        <f>COUNTIFS(DataRegularSeason20242025!$D$2:$D$1315,TotalTeamGames20242025!Q$1,DataRegularSeason20242025!$E$2:$E$1315,TotalTeamGames20242025!$A49)</f>
        <v>1</v>
      </c>
      <c r="R50" s="39"/>
      <c r="S50" s="31">
        <f>COUNTIFS(DataRegularSeason20242025!$D$2:$D$1315,TotalTeamGames20242025!S$1,DataRegularSeason20242025!$E$2:$E$1315,TotalTeamGames20242025!$A49)</f>
        <v>2</v>
      </c>
      <c r="T50" s="39"/>
      <c r="U50" s="31">
        <f>COUNTIFS(DataRegularSeason20242025!$D$2:$D$1315,TotalTeamGames20242025!U$1,DataRegularSeason20242025!$E$2:$E$1315,TotalTeamGames20242025!$A49)</f>
        <v>1</v>
      </c>
      <c r="V50" s="39"/>
      <c r="W50" s="31">
        <f>COUNTIFS(DataRegularSeason20242025!$D$2:$D$1315,TotalTeamGames20242025!W$1,DataRegularSeason20242025!$E$2:$E$1315,TotalTeamGames20242025!$A49)</f>
        <v>2</v>
      </c>
      <c r="X50" s="39"/>
      <c r="Y50" s="31">
        <f>COUNTIFS(DataRegularSeason20242025!$D$2:$D$1315,TotalTeamGames20242025!Y$1,DataRegularSeason20242025!$E$2:$E$1315,TotalTeamGames20242025!$A49)</f>
        <v>1</v>
      </c>
      <c r="Z50" s="39"/>
      <c r="AA50" s="31">
        <f>COUNTIFS(DataRegularSeason20242025!$D$2:$D$1315,TotalTeamGames20242025!AA$1,DataRegularSeason20242025!$E$2:$E$1315,TotalTeamGames20242025!$A49)</f>
        <v>2</v>
      </c>
      <c r="AB50" s="39"/>
      <c r="AC50" s="31">
        <f>COUNTIFS(DataRegularSeason20242025!$D$2:$D$1315,TotalTeamGames20242025!AC$1,DataRegularSeason20242025!$E$2:$E$1315,TotalTeamGames20242025!$A49)</f>
        <v>1</v>
      </c>
      <c r="AD50" s="39"/>
      <c r="AE50" s="31">
        <f>COUNTIFS(DataRegularSeason20242025!$D$2:$D$1315,TotalTeamGames20242025!AE$1,DataRegularSeason20242025!$E$2:$E$1315,TotalTeamGames20242025!$A49)</f>
        <v>1</v>
      </c>
      <c r="AF50" s="39"/>
      <c r="AG50" s="31">
        <f>COUNTIFS(DataRegularSeason20242025!$D$2:$D$1315,TotalTeamGames20242025!AG$1,DataRegularSeason20242025!$E$2:$E$1315,TotalTeamGames20242025!$A49)</f>
        <v>1</v>
      </c>
      <c r="AH50" s="39"/>
      <c r="AI50" s="31">
        <f>COUNTIFS(DataRegularSeason20242025!$D$2:$D$1315,TotalTeamGames20242025!AI$1,DataRegularSeason20242025!$E$2:$E$1315,TotalTeamGames20242025!$A49)</f>
        <v>1</v>
      </c>
      <c r="AJ50" s="39"/>
      <c r="AK50" s="31">
        <f>COUNTIFS(DataRegularSeason20242025!$D$2:$D$1315,TotalTeamGames20242025!AK$1,DataRegularSeason20242025!$E$2:$E$1315,TotalTeamGames20242025!$A49)</f>
        <v>1</v>
      </c>
      <c r="AL50" s="39"/>
      <c r="AM50" s="31">
        <f>COUNTIFS(DataRegularSeason20242025!$D$2:$D$1315,TotalTeamGames20242025!AM$1,DataRegularSeason20242025!$E$2:$E$1315,TotalTeamGames20242025!$A49)</f>
        <v>1</v>
      </c>
      <c r="AN50" s="39"/>
      <c r="AO50" s="31">
        <f>COUNTIFS(DataRegularSeason20242025!$D$2:$D$1315,TotalTeamGames20242025!AO$1,DataRegularSeason20242025!$E$2:$E$1315,TotalTeamGames20242025!$A49)</f>
        <v>1</v>
      </c>
      <c r="AP50" s="39"/>
      <c r="AQ50" s="31">
        <f>COUNTIFS(DataRegularSeason20242025!$D$2:$D$1315,TotalTeamGames20242025!AQ$1,DataRegularSeason20242025!$E$2:$E$1315,TotalTeamGames20242025!$A49)</f>
        <v>1</v>
      </c>
      <c r="AR50" s="39"/>
      <c r="AS50" s="31">
        <f>COUNTIFS(DataRegularSeason20242025!$D$2:$D$1315,TotalTeamGames20242025!AS$1,DataRegularSeason20242025!$E$2:$E$1315,TotalTeamGames20242025!$A49)</f>
        <v>1</v>
      </c>
      <c r="AT50" s="39"/>
      <c r="AU50" s="31">
        <f>COUNTIFS(DataRegularSeason20242025!$D$2:$D$1315,TotalTeamGames20242025!AU$1,DataRegularSeason20242025!$E$2:$E$1315,TotalTeamGames20242025!$A49)</f>
        <v>1</v>
      </c>
      <c r="AV50" s="39"/>
      <c r="AW50" s="38"/>
      <c r="AX50" s="39"/>
      <c r="AY50" s="31">
        <f>COUNTIFS(DataRegularSeason20242025!$D$2:$D$1315,TotalTeamGames20242025!AY$1,DataRegularSeason20242025!$E$2:$E$1315,TotalTeamGames20242025!$A49)</f>
        <v>2</v>
      </c>
      <c r="AZ50" s="39"/>
      <c r="BA50" s="31">
        <f>COUNTIFS(DataRegularSeason20242025!$D$2:$D$1315,TotalTeamGames20242025!BA$1,DataRegularSeason20242025!$E$2:$E$1315,TotalTeamGames20242025!$A49)</f>
        <v>1</v>
      </c>
      <c r="BB50" s="39"/>
      <c r="BC50" s="31">
        <f>COUNTIFS(DataRegularSeason20242025!$D$2:$D$1315,TotalTeamGames20242025!BC$1,DataRegularSeason20242025!$E$2:$E$1315,TotalTeamGames20242025!$A49)</f>
        <v>1</v>
      </c>
      <c r="BD50" s="39"/>
      <c r="BE50" s="31">
        <f>COUNTIFS(DataRegularSeason20242025!$D$2:$D$1315,TotalTeamGames20242025!BE$1,DataRegularSeason20242025!$E$2:$E$1315,TotalTeamGames20242025!$A49)</f>
        <v>2</v>
      </c>
      <c r="BF50" s="38"/>
      <c r="BG50" s="33">
        <f>COUNTIFS(DataRegularSeason20242025!$D$2:$D$1315,TotalTeamGames20242025!BG$1,DataRegularSeason20242025!$E$2:$E$1315,TotalTeamGames20242025!$A49)</f>
        <v>2</v>
      </c>
      <c r="BH50" s="39"/>
      <c r="BI50" s="31">
        <f>COUNTIFS(DataRegularSeason20242025!$D$2:$D$1315,TotalTeamGames20242025!BI$1,DataRegularSeason20242025!$E$2:$E$1315,TotalTeamGames20242025!$A49)</f>
        <v>2</v>
      </c>
      <c r="BJ50" s="39"/>
      <c r="BK50" s="31">
        <f>COUNTIFS(DataRegularSeason20242025!$D$2:$D$1315,TotalTeamGames20242025!BK$1,DataRegularSeason20242025!$E$2:$E$1315,TotalTeamGames20242025!$A49)</f>
        <v>2</v>
      </c>
      <c r="BL50" s="39"/>
      <c r="BM50" s="31">
        <f>COUNTIFS(DataRegularSeason20242025!$D$2:$D$1315,TotalTeamGames20242025!BM$1,DataRegularSeason20242025!$E$2:$E$1315,TotalTeamGames20242025!$A49)</f>
        <v>1</v>
      </c>
      <c r="BN50" s="39"/>
      <c r="BO50" s="34">
        <f t="shared" si="0"/>
        <v>41</v>
      </c>
      <c r="BP50" s="165"/>
    </row>
    <row r="51" spans="1:68" ht="9.9499999999999993" customHeight="1" x14ac:dyDescent="0.25">
      <c r="A51" s="166" t="s">
        <v>12</v>
      </c>
      <c r="B51" s="28" t="s">
        <v>74</v>
      </c>
      <c r="C51" s="35"/>
      <c r="D51" s="28">
        <f>COUNTIFS(DataRegularSeason20242025!$E$2:$E$1315,TotalTeamGames20242025!C$1,DataRegularSeason20242025!$D$2:$D$1315,TotalTeamGames20242025!$A51)</f>
        <v>2</v>
      </c>
      <c r="E51" s="35"/>
      <c r="F51" s="28">
        <f>COUNTIFS(DataRegularSeason20242025!$E$2:$E$1315,TotalTeamGames20242025!E$1,DataRegularSeason20242025!$D$2:$D$1315,TotalTeamGames20242025!$A51)</f>
        <v>1</v>
      </c>
      <c r="G51" s="35"/>
      <c r="H51" s="28">
        <f>COUNTIFS(DataRegularSeason20242025!$E$2:$E$1315,TotalTeamGames20242025!G$1,DataRegularSeason20242025!$D$2:$D$1315,TotalTeamGames20242025!$A51)</f>
        <v>1</v>
      </c>
      <c r="I51" s="35"/>
      <c r="J51" s="28">
        <f>COUNTIFS(DataRegularSeason20242025!$E$2:$E$1315,TotalTeamGames20242025!I$1,DataRegularSeason20242025!$D$2:$D$1315,TotalTeamGames20242025!$A51)</f>
        <v>1</v>
      </c>
      <c r="K51" s="35"/>
      <c r="L51" s="28">
        <f>COUNTIFS(DataRegularSeason20242025!$E$2:$E$1315,TotalTeamGames20242025!K$1,DataRegularSeason20242025!$D$2:$D$1315,TotalTeamGames20242025!$A51)</f>
        <v>1</v>
      </c>
      <c r="M51" s="35"/>
      <c r="N51" s="28">
        <f>COUNTIFS(DataRegularSeason20242025!$E$2:$E$1315,TotalTeamGames20242025!M$1,DataRegularSeason20242025!$D$2:$D$1315,TotalTeamGames20242025!$A51)</f>
        <v>2</v>
      </c>
      <c r="O51" s="35"/>
      <c r="P51" s="28">
        <f>COUNTIFS(DataRegularSeason20242025!$E$2:$E$1315,TotalTeamGames20242025!O$1,DataRegularSeason20242025!$D$2:$D$1315,TotalTeamGames20242025!$A51)</f>
        <v>2</v>
      </c>
      <c r="Q51" s="35"/>
      <c r="R51" s="28">
        <f>COUNTIFS(DataRegularSeason20242025!$E$2:$E$1315,TotalTeamGames20242025!Q$1,DataRegularSeason20242025!$D$2:$D$1315,TotalTeamGames20242025!$A51)</f>
        <v>2</v>
      </c>
      <c r="S51" s="35"/>
      <c r="T51" s="28">
        <f>COUNTIFS(DataRegularSeason20242025!$E$2:$E$1315,TotalTeamGames20242025!S$1,DataRegularSeason20242025!$D$2:$D$1315,TotalTeamGames20242025!$A51)</f>
        <v>2</v>
      </c>
      <c r="U51" s="35"/>
      <c r="V51" s="28">
        <f>COUNTIFS(DataRegularSeason20242025!$E$2:$E$1315,TotalTeamGames20242025!U$1,DataRegularSeason20242025!$D$2:$D$1315,TotalTeamGames20242025!$A51)</f>
        <v>1</v>
      </c>
      <c r="W51" s="35"/>
      <c r="X51" s="28">
        <f>COUNTIFS(DataRegularSeason20242025!$E$2:$E$1315,TotalTeamGames20242025!W$1,DataRegularSeason20242025!$D$2:$D$1315,TotalTeamGames20242025!$A51)</f>
        <v>1</v>
      </c>
      <c r="Y51" s="35"/>
      <c r="Z51" s="28">
        <f>COUNTIFS(DataRegularSeason20242025!$E$2:$E$1315,TotalTeamGames20242025!Y$1,DataRegularSeason20242025!$D$2:$D$1315,TotalTeamGames20242025!$A51)</f>
        <v>1</v>
      </c>
      <c r="AA51" s="35"/>
      <c r="AB51" s="28">
        <f>COUNTIFS(DataRegularSeason20242025!$E$2:$E$1315,TotalTeamGames20242025!AA$1,DataRegularSeason20242025!$D$2:$D$1315,TotalTeamGames20242025!$A51)</f>
        <v>1</v>
      </c>
      <c r="AC51" s="35"/>
      <c r="AD51" s="28">
        <f>COUNTIFS(DataRegularSeason20242025!$E$2:$E$1315,TotalTeamGames20242025!AC$1,DataRegularSeason20242025!$D$2:$D$1315,TotalTeamGames20242025!$A51)</f>
        <v>1</v>
      </c>
      <c r="AE51" s="35"/>
      <c r="AF51" s="28">
        <f>COUNTIFS(DataRegularSeason20242025!$E$2:$E$1315,TotalTeamGames20242025!AE$1,DataRegularSeason20242025!$D$2:$D$1315,TotalTeamGames20242025!$A51)</f>
        <v>1</v>
      </c>
      <c r="AG51" s="35"/>
      <c r="AH51" s="28">
        <f>COUNTIFS(DataRegularSeason20242025!$E$2:$E$1315,TotalTeamGames20242025!AG$1,DataRegularSeason20242025!$D$2:$D$1315,TotalTeamGames20242025!$A51)</f>
        <v>1</v>
      </c>
      <c r="AI51" s="35"/>
      <c r="AJ51" s="28">
        <f>COUNTIFS(DataRegularSeason20242025!$E$2:$E$1315,TotalTeamGames20242025!AI$1,DataRegularSeason20242025!$D$2:$D$1315,TotalTeamGames20242025!$A51)</f>
        <v>2</v>
      </c>
      <c r="AK51" s="35"/>
      <c r="AL51" s="28">
        <f>COUNTIFS(DataRegularSeason20242025!$E$2:$E$1315,TotalTeamGames20242025!AK$1,DataRegularSeason20242025!$D$2:$D$1315,TotalTeamGames20242025!$A51)</f>
        <v>1</v>
      </c>
      <c r="AM51" s="35"/>
      <c r="AN51" s="28">
        <f>COUNTIFS(DataRegularSeason20242025!$E$2:$E$1315,TotalTeamGames20242025!AM$1,DataRegularSeason20242025!$D$2:$D$1315,TotalTeamGames20242025!$A51)</f>
        <v>1</v>
      </c>
      <c r="AO51" s="35"/>
      <c r="AP51" s="28">
        <f>COUNTIFS(DataRegularSeason20242025!$E$2:$E$1315,TotalTeamGames20242025!AO$1,DataRegularSeason20242025!$D$2:$D$1315,TotalTeamGames20242025!$A51)</f>
        <v>1</v>
      </c>
      <c r="AQ51" s="35"/>
      <c r="AR51" s="28">
        <f>COUNTIFS(DataRegularSeason20242025!$E$2:$E$1315,TotalTeamGames20242025!AQ$1,DataRegularSeason20242025!$D$2:$D$1315,TotalTeamGames20242025!$A51)</f>
        <v>1</v>
      </c>
      <c r="AS51" s="35"/>
      <c r="AT51" s="28">
        <f>COUNTIFS(DataRegularSeason20242025!$E$2:$E$1315,TotalTeamGames20242025!AS$1,DataRegularSeason20242025!$D$2:$D$1315,TotalTeamGames20242025!$A51)</f>
        <v>1</v>
      </c>
      <c r="AU51" s="35"/>
      <c r="AV51" s="28">
        <f>COUNTIFS(DataRegularSeason20242025!$E$2:$E$1315,TotalTeamGames20242025!AU$1,DataRegularSeason20242025!$D$2:$D$1315,TotalTeamGames20242025!$A51)</f>
        <v>1</v>
      </c>
      <c r="AW51" s="35"/>
      <c r="AX51" s="28">
        <f>COUNTIFS(DataRegularSeason20242025!$E$2:$E$1315,TotalTeamGames20242025!AW$1,DataRegularSeason20242025!$D$2:$D$1315,TotalTeamGames20242025!$A51)</f>
        <v>2</v>
      </c>
      <c r="AY51" s="35"/>
      <c r="AZ51" s="36"/>
      <c r="BA51" s="35"/>
      <c r="BB51" s="28">
        <f>COUNTIFS(DataRegularSeason20242025!$E$2:$E$1315,TotalTeamGames20242025!BA$1,DataRegularSeason20242025!$D$2:$D$1315,TotalTeamGames20242025!$A51)</f>
        <v>1</v>
      </c>
      <c r="BC51" s="35"/>
      <c r="BD51" s="28">
        <f>COUNTIFS(DataRegularSeason20242025!$E$2:$E$1315,TotalTeamGames20242025!BC$1,DataRegularSeason20242025!$D$2:$D$1315,TotalTeamGames20242025!$A51)</f>
        <v>1</v>
      </c>
      <c r="BE51" s="35"/>
      <c r="BF51" s="27">
        <f>COUNTIFS(DataRegularSeason20242025!$E$2:$E$1315,TotalTeamGames20242025!BE$1,DataRegularSeason20242025!$D$2:$D$1315,TotalTeamGames20242025!$A51)</f>
        <v>2</v>
      </c>
      <c r="BG51" s="40"/>
      <c r="BH51" s="28">
        <f>COUNTIFS(DataRegularSeason20242025!$E$2:$E$1315,TotalTeamGames20242025!BG$1,DataRegularSeason20242025!$D$2:$D$1315,TotalTeamGames20242025!$A51)</f>
        <v>2</v>
      </c>
      <c r="BI51" s="35"/>
      <c r="BJ51" s="28">
        <f>COUNTIFS(DataRegularSeason20242025!$E$2:$E$1315,TotalTeamGames20242025!BI$1,DataRegularSeason20242025!$D$2:$D$1315,TotalTeamGames20242025!$A51)</f>
        <v>1</v>
      </c>
      <c r="BK51" s="35"/>
      <c r="BL51" s="28">
        <f>COUNTIFS(DataRegularSeason20242025!$E$2:$E$1315,TotalTeamGames20242025!BK$1,DataRegularSeason20242025!$D$2:$D$1315,TotalTeamGames20242025!$A51)</f>
        <v>2</v>
      </c>
      <c r="BM51" s="35"/>
      <c r="BN51" s="28">
        <f>COUNTIFS(DataRegularSeason20242025!$E$2:$E$1315,TotalTeamGames20242025!BM$1,DataRegularSeason20242025!$D$2:$D$1315,TotalTeamGames20242025!$A51)</f>
        <v>1</v>
      </c>
      <c r="BO51" s="30">
        <f t="shared" si="0"/>
        <v>41</v>
      </c>
      <c r="BP51" s="165">
        <f t="shared" ref="BP51" si="24">BO51+BO52</f>
        <v>82</v>
      </c>
    </row>
    <row r="52" spans="1:68" ht="9.9499999999999993" customHeight="1" x14ac:dyDescent="0.25">
      <c r="A52" s="167"/>
      <c r="B52" s="32" t="s">
        <v>73</v>
      </c>
      <c r="C52" s="31">
        <f>COUNTIFS(DataRegularSeason20242025!$D$2:$D$1315,TotalTeamGames20242025!C$1,DataRegularSeason20242025!$E$2:$E$1315,TotalTeamGames20242025!$A51)</f>
        <v>1</v>
      </c>
      <c r="D52" s="39"/>
      <c r="E52" s="31">
        <f>COUNTIFS(DataRegularSeason20242025!$D$2:$D$1315,TotalTeamGames20242025!E$1,DataRegularSeason20242025!$E$2:$E$1315,TotalTeamGames20242025!$A51)</f>
        <v>1</v>
      </c>
      <c r="F52" s="39"/>
      <c r="G52" s="31">
        <f>COUNTIFS(DataRegularSeason20242025!$D$2:$D$1315,TotalTeamGames20242025!G$1,DataRegularSeason20242025!$E$2:$E$1315,TotalTeamGames20242025!$A51)</f>
        <v>1</v>
      </c>
      <c r="H52" s="39"/>
      <c r="I52" s="31">
        <f>COUNTIFS(DataRegularSeason20242025!$D$2:$D$1315,TotalTeamGames20242025!I$1,DataRegularSeason20242025!$E$2:$E$1315,TotalTeamGames20242025!$A51)</f>
        <v>1</v>
      </c>
      <c r="J52" s="39"/>
      <c r="K52" s="31">
        <f>COUNTIFS(DataRegularSeason20242025!$D$2:$D$1315,TotalTeamGames20242025!K$1,DataRegularSeason20242025!$E$2:$E$1315,TotalTeamGames20242025!$A51)</f>
        <v>1</v>
      </c>
      <c r="L52" s="39"/>
      <c r="M52" s="31">
        <f>COUNTIFS(DataRegularSeason20242025!$D$2:$D$1315,TotalTeamGames20242025!M$1,DataRegularSeason20242025!$E$2:$E$1315,TotalTeamGames20242025!$A51)</f>
        <v>1</v>
      </c>
      <c r="N52" s="39"/>
      <c r="O52" s="31">
        <f>COUNTIFS(DataRegularSeason20242025!$D$2:$D$1315,TotalTeamGames20242025!O$1,DataRegularSeason20242025!$E$2:$E$1315,TotalTeamGames20242025!$A51)</f>
        <v>2</v>
      </c>
      <c r="P52" s="39"/>
      <c r="Q52" s="31">
        <f>COUNTIFS(DataRegularSeason20242025!$D$2:$D$1315,TotalTeamGames20242025!Q$1,DataRegularSeason20242025!$E$2:$E$1315,TotalTeamGames20242025!$A51)</f>
        <v>1</v>
      </c>
      <c r="R52" s="39"/>
      <c r="S52" s="31">
        <f>COUNTIFS(DataRegularSeason20242025!$D$2:$D$1315,TotalTeamGames20242025!S$1,DataRegularSeason20242025!$E$2:$E$1315,TotalTeamGames20242025!$A51)</f>
        <v>2</v>
      </c>
      <c r="T52" s="39"/>
      <c r="U52" s="31">
        <f>COUNTIFS(DataRegularSeason20242025!$D$2:$D$1315,TotalTeamGames20242025!U$1,DataRegularSeason20242025!$E$2:$E$1315,TotalTeamGames20242025!$A51)</f>
        <v>1</v>
      </c>
      <c r="V52" s="39"/>
      <c r="W52" s="31">
        <f>COUNTIFS(DataRegularSeason20242025!$D$2:$D$1315,TotalTeamGames20242025!W$1,DataRegularSeason20242025!$E$2:$E$1315,TotalTeamGames20242025!$A51)</f>
        <v>2</v>
      </c>
      <c r="X52" s="39"/>
      <c r="Y52" s="31">
        <f>COUNTIFS(DataRegularSeason20242025!$D$2:$D$1315,TotalTeamGames20242025!Y$1,DataRegularSeason20242025!$E$2:$E$1315,TotalTeamGames20242025!$A51)</f>
        <v>1</v>
      </c>
      <c r="Z52" s="39"/>
      <c r="AA52" s="31">
        <f>COUNTIFS(DataRegularSeason20242025!$D$2:$D$1315,TotalTeamGames20242025!AA$1,DataRegularSeason20242025!$E$2:$E$1315,TotalTeamGames20242025!$A51)</f>
        <v>2</v>
      </c>
      <c r="AB52" s="39"/>
      <c r="AC52" s="31">
        <f>COUNTIFS(DataRegularSeason20242025!$D$2:$D$1315,TotalTeamGames20242025!AC$1,DataRegularSeason20242025!$E$2:$E$1315,TotalTeamGames20242025!$A51)</f>
        <v>2</v>
      </c>
      <c r="AD52" s="39"/>
      <c r="AE52" s="31">
        <f>COUNTIFS(DataRegularSeason20242025!$D$2:$D$1315,TotalTeamGames20242025!AE$1,DataRegularSeason20242025!$E$2:$E$1315,TotalTeamGames20242025!$A51)</f>
        <v>1</v>
      </c>
      <c r="AF52" s="39"/>
      <c r="AG52" s="31">
        <f>COUNTIFS(DataRegularSeason20242025!$D$2:$D$1315,TotalTeamGames20242025!AG$1,DataRegularSeason20242025!$E$2:$E$1315,TotalTeamGames20242025!$A51)</f>
        <v>1</v>
      </c>
      <c r="AH52" s="39"/>
      <c r="AI52" s="31">
        <f>COUNTIFS(DataRegularSeason20242025!$D$2:$D$1315,TotalTeamGames20242025!AI$1,DataRegularSeason20242025!$E$2:$E$1315,TotalTeamGames20242025!$A51)</f>
        <v>2</v>
      </c>
      <c r="AJ52" s="39"/>
      <c r="AK52" s="31">
        <f>COUNTIFS(DataRegularSeason20242025!$D$2:$D$1315,TotalTeamGames20242025!AK$1,DataRegularSeason20242025!$E$2:$E$1315,TotalTeamGames20242025!$A51)</f>
        <v>1</v>
      </c>
      <c r="AL52" s="39"/>
      <c r="AM52" s="31">
        <f>COUNTIFS(DataRegularSeason20242025!$D$2:$D$1315,TotalTeamGames20242025!AM$1,DataRegularSeason20242025!$E$2:$E$1315,TotalTeamGames20242025!$A51)</f>
        <v>1</v>
      </c>
      <c r="AN52" s="39"/>
      <c r="AO52" s="31">
        <f>COUNTIFS(DataRegularSeason20242025!$D$2:$D$1315,TotalTeamGames20242025!AO$1,DataRegularSeason20242025!$E$2:$E$1315,TotalTeamGames20242025!$A51)</f>
        <v>1</v>
      </c>
      <c r="AP52" s="39"/>
      <c r="AQ52" s="31">
        <f>COUNTIFS(DataRegularSeason20242025!$D$2:$D$1315,TotalTeamGames20242025!AQ$1,DataRegularSeason20242025!$E$2:$E$1315,TotalTeamGames20242025!$A51)</f>
        <v>1</v>
      </c>
      <c r="AR52" s="39"/>
      <c r="AS52" s="31">
        <f>COUNTIFS(DataRegularSeason20242025!$D$2:$D$1315,TotalTeamGames20242025!AS$1,DataRegularSeason20242025!$E$2:$E$1315,TotalTeamGames20242025!$A51)</f>
        <v>1</v>
      </c>
      <c r="AT52" s="39"/>
      <c r="AU52" s="31">
        <f>COUNTIFS(DataRegularSeason20242025!$D$2:$D$1315,TotalTeamGames20242025!AU$1,DataRegularSeason20242025!$E$2:$E$1315,TotalTeamGames20242025!$A51)</f>
        <v>2</v>
      </c>
      <c r="AV52" s="39"/>
      <c r="AW52" s="31">
        <f>COUNTIFS(DataRegularSeason20242025!$D$2:$D$1315,TotalTeamGames20242025!AW$1,DataRegularSeason20242025!$E$2:$E$1315,TotalTeamGames20242025!$A51)</f>
        <v>1</v>
      </c>
      <c r="AX52" s="39"/>
      <c r="AY52" s="38"/>
      <c r="AZ52" s="39"/>
      <c r="BA52" s="31">
        <f>COUNTIFS(DataRegularSeason20242025!$D$2:$D$1315,TotalTeamGames20242025!BA$1,DataRegularSeason20242025!$E$2:$E$1315,TotalTeamGames20242025!$A51)</f>
        <v>1</v>
      </c>
      <c r="BB52" s="39"/>
      <c r="BC52" s="31">
        <f>COUNTIFS(DataRegularSeason20242025!$D$2:$D$1315,TotalTeamGames20242025!BC$1,DataRegularSeason20242025!$E$2:$E$1315,TotalTeamGames20242025!$A51)</f>
        <v>1</v>
      </c>
      <c r="BD52" s="39"/>
      <c r="BE52" s="31">
        <f>COUNTIFS(DataRegularSeason20242025!$D$2:$D$1315,TotalTeamGames20242025!BE$1,DataRegularSeason20242025!$E$2:$E$1315,TotalTeamGames20242025!$A51)</f>
        <v>2</v>
      </c>
      <c r="BF52" s="38"/>
      <c r="BG52" s="33">
        <f>COUNTIFS(DataRegularSeason20242025!$D$2:$D$1315,TotalTeamGames20242025!BG$1,DataRegularSeason20242025!$E$2:$E$1315,TotalTeamGames20242025!$A51)</f>
        <v>1</v>
      </c>
      <c r="BH52" s="39"/>
      <c r="BI52" s="31">
        <f>COUNTIFS(DataRegularSeason20242025!$D$2:$D$1315,TotalTeamGames20242025!BI$1,DataRegularSeason20242025!$E$2:$E$1315,TotalTeamGames20242025!$A51)</f>
        <v>2</v>
      </c>
      <c r="BJ52" s="39"/>
      <c r="BK52" s="31">
        <f>COUNTIFS(DataRegularSeason20242025!$D$2:$D$1315,TotalTeamGames20242025!BK$1,DataRegularSeason20242025!$E$2:$E$1315,TotalTeamGames20242025!$A51)</f>
        <v>2</v>
      </c>
      <c r="BL52" s="39"/>
      <c r="BM52" s="31">
        <f>COUNTIFS(DataRegularSeason20242025!$D$2:$D$1315,TotalTeamGames20242025!BM$1,DataRegularSeason20242025!$E$2:$E$1315,TotalTeamGames20242025!$A51)</f>
        <v>1</v>
      </c>
      <c r="BN52" s="39"/>
      <c r="BO52" s="34">
        <f t="shared" si="0"/>
        <v>41</v>
      </c>
      <c r="BP52" s="165"/>
    </row>
    <row r="53" spans="1:68" ht="9.9499999999999993" customHeight="1" x14ac:dyDescent="0.25">
      <c r="A53" s="166" t="s">
        <v>40</v>
      </c>
      <c r="B53" s="28" t="s">
        <v>74</v>
      </c>
      <c r="C53" s="35"/>
      <c r="D53" s="28">
        <f>COUNTIFS(DataRegularSeason20242025!$E$2:$E$1315,TotalTeamGames20242025!C$1,DataRegularSeason20242025!$D$2:$D$1315,TotalTeamGames20242025!$A53)</f>
        <v>1</v>
      </c>
      <c r="E53" s="35"/>
      <c r="F53" s="28">
        <f>COUNTIFS(DataRegularSeason20242025!$E$2:$E$1315,TotalTeamGames20242025!E$1,DataRegularSeason20242025!$D$2:$D$1315,TotalTeamGames20242025!$A53)</f>
        <v>2</v>
      </c>
      <c r="G53" s="35"/>
      <c r="H53" s="28">
        <f>COUNTIFS(DataRegularSeason20242025!$E$2:$E$1315,TotalTeamGames20242025!G$1,DataRegularSeason20242025!$D$2:$D$1315,TotalTeamGames20242025!$A53)</f>
        <v>2</v>
      </c>
      <c r="I53" s="35"/>
      <c r="J53" s="28">
        <f>COUNTIFS(DataRegularSeason20242025!$E$2:$E$1315,TotalTeamGames20242025!I$1,DataRegularSeason20242025!$D$2:$D$1315,TotalTeamGames20242025!$A53)</f>
        <v>1</v>
      </c>
      <c r="K53" s="35"/>
      <c r="L53" s="28">
        <f>COUNTIFS(DataRegularSeason20242025!$E$2:$E$1315,TotalTeamGames20242025!K$1,DataRegularSeason20242025!$D$2:$D$1315,TotalTeamGames20242025!$A53)</f>
        <v>2</v>
      </c>
      <c r="M53" s="35"/>
      <c r="N53" s="28">
        <f>COUNTIFS(DataRegularSeason20242025!$E$2:$E$1315,TotalTeamGames20242025!M$1,DataRegularSeason20242025!$D$2:$D$1315,TotalTeamGames20242025!$A53)</f>
        <v>1</v>
      </c>
      <c r="O53" s="35"/>
      <c r="P53" s="28">
        <f>COUNTIFS(DataRegularSeason20242025!$E$2:$E$1315,TotalTeamGames20242025!O$1,DataRegularSeason20242025!$D$2:$D$1315,TotalTeamGames20242025!$A53)</f>
        <v>1</v>
      </c>
      <c r="Q53" s="35"/>
      <c r="R53" s="28">
        <f>COUNTIFS(DataRegularSeason20242025!$E$2:$E$1315,TotalTeamGames20242025!Q$1,DataRegularSeason20242025!$D$2:$D$1315,TotalTeamGames20242025!$A53)</f>
        <v>1</v>
      </c>
      <c r="S53" s="35"/>
      <c r="T53" s="28">
        <f>COUNTIFS(DataRegularSeason20242025!$E$2:$E$1315,TotalTeamGames20242025!S$1,DataRegularSeason20242025!$D$2:$D$1315,TotalTeamGames20242025!$A53)</f>
        <v>1</v>
      </c>
      <c r="U53" s="35"/>
      <c r="V53" s="28">
        <f>COUNTIFS(DataRegularSeason20242025!$E$2:$E$1315,TotalTeamGames20242025!U$1,DataRegularSeason20242025!$D$2:$D$1315,TotalTeamGames20242025!$A53)</f>
        <v>2</v>
      </c>
      <c r="W53" s="35"/>
      <c r="X53" s="28">
        <f>COUNTIFS(DataRegularSeason20242025!$E$2:$E$1315,TotalTeamGames20242025!W$1,DataRegularSeason20242025!$D$2:$D$1315,TotalTeamGames20242025!$A53)</f>
        <v>1</v>
      </c>
      <c r="Y53" s="35"/>
      <c r="Z53" s="28">
        <f>COUNTIFS(DataRegularSeason20242025!$E$2:$E$1315,TotalTeamGames20242025!Y$1,DataRegularSeason20242025!$D$2:$D$1315,TotalTeamGames20242025!$A53)</f>
        <v>2</v>
      </c>
      <c r="AA53" s="35"/>
      <c r="AB53" s="28">
        <f>COUNTIFS(DataRegularSeason20242025!$E$2:$E$1315,TotalTeamGames20242025!AA$1,DataRegularSeason20242025!$D$2:$D$1315,TotalTeamGames20242025!$A53)</f>
        <v>1</v>
      </c>
      <c r="AC53" s="35"/>
      <c r="AD53" s="28">
        <f>COUNTIFS(DataRegularSeason20242025!$E$2:$E$1315,TotalTeamGames20242025!AC$1,DataRegularSeason20242025!$D$2:$D$1315,TotalTeamGames20242025!$A53)</f>
        <v>1</v>
      </c>
      <c r="AE53" s="35"/>
      <c r="AF53" s="28">
        <f>COUNTIFS(DataRegularSeason20242025!$E$2:$E$1315,TotalTeamGames20242025!AE$1,DataRegularSeason20242025!$D$2:$D$1315,TotalTeamGames20242025!$A53)</f>
        <v>2</v>
      </c>
      <c r="AG53" s="35"/>
      <c r="AH53" s="28">
        <f>COUNTIFS(DataRegularSeason20242025!$E$2:$E$1315,TotalTeamGames20242025!AG$1,DataRegularSeason20242025!$D$2:$D$1315,TotalTeamGames20242025!$A53)</f>
        <v>1</v>
      </c>
      <c r="AI53" s="35"/>
      <c r="AJ53" s="28">
        <f>COUNTIFS(DataRegularSeason20242025!$E$2:$E$1315,TotalTeamGames20242025!AI$1,DataRegularSeason20242025!$D$2:$D$1315,TotalTeamGames20242025!$A53)</f>
        <v>1</v>
      </c>
      <c r="AK53" s="35"/>
      <c r="AL53" s="28">
        <f>COUNTIFS(DataRegularSeason20242025!$E$2:$E$1315,TotalTeamGames20242025!AK$1,DataRegularSeason20242025!$D$2:$D$1315,TotalTeamGames20242025!$A53)</f>
        <v>2</v>
      </c>
      <c r="AM53" s="35"/>
      <c r="AN53" s="28">
        <f>COUNTIFS(DataRegularSeason20242025!$E$2:$E$1315,TotalTeamGames20242025!AM$1,DataRegularSeason20242025!$D$2:$D$1315,TotalTeamGames20242025!$A53)</f>
        <v>1</v>
      </c>
      <c r="AO53" s="35"/>
      <c r="AP53" s="28">
        <f>COUNTIFS(DataRegularSeason20242025!$E$2:$E$1315,TotalTeamGames20242025!AO$1,DataRegularSeason20242025!$D$2:$D$1315,TotalTeamGames20242025!$A53)</f>
        <v>1</v>
      </c>
      <c r="AQ53" s="35"/>
      <c r="AR53" s="28">
        <f>COUNTIFS(DataRegularSeason20242025!$E$2:$E$1315,TotalTeamGames20242025!AQ$1,DataRegularSeason20242025!$D$2:$D$1315,TotalTeamGames20242025!$A53)</f>
        <v>2</v>
      </c>
      <c r="AS53" s="35"/>
      <c r="AT53" s="28">
        <f>COUNTIFS(DataRegularSeason20242025!$E$2:$E$1315,TotalTeamGames20242025!AS$1,DataRegularSeason20242025!$D$2:$D$1315,TotalTeamGames20242025!$A53)</f>
        <v>1</v>
      </c>
      <c r="AU53" s="35"/>
      <c r="AV53" s="28">
        <f>COUNTIFS(DataRegularSeason20242025!$E$2:$E$1315,TotalTeamGames20242025!AU$1,DataRegularSeason20242025!$D$2:$D$1315,TotalTeamGames20242025!$A53)</f>
        <v>1</v>
      </c>
      <c r="AW53" s="35"/>
      <c r="AX53" s="28">
        <f>COUNTIFS(DataRegularSeason20242025!$E$2:$E$1315,TotalTeamGames20242025!AW$1,DataRegularSeason20242025!$D$2:$D$1315,TotalTeamGames20242025!$A53)</f>
        <v>1</v>
      </c>
      <c r="AY53" s="35"/>
      <c r="AZ53" s="28">
        <f>COUNTIFS(DataRegularSeason20242025!$E$2:$E$1315,TotalTeamGames20242025!AY$1,DataRegularSeason20242025!$D$2:$D$1315,TotalTeamGames20242025!$A53)</f>
        <v>1</v>
      </c>
      <c r="BA53" s="35"/>
      <c r="BB53" s="36"/>
      <c r="BC53" s="35"/>
      <c r="BD53" s="28">
        <f>COUNTIFS(DataRegularSeason20242025!$E$2:$E$1315,TotalTeamGames20242025!BC$1,DataRegularSeason20242025!$D$2:$D$1315,TotalTeamGames20242025!$A53)</f>
        <v>2</v>
      </c>
      <c r="BE53" s="35"/>
      <c r="BF53" s="27">
        <f>COUNTIFS(DataRegularSeason20242025!$E$2:$E$1315,TotalTeamGames20242025!BE$1,DataRegularSeason20242025!$D$2:$D$1315,TotalTeamGames20242025!$A53)</f>
        <v>1</v>
      </c>
      <c r="BG53" s="40"/>
      <c r="BH53" s="28">
        <f>COUNTIFS(DataRegularSeason20242025!$E$2:$E$1315,TotalTeamGames20242025!BG$1,DataRegularSeason20242025!$D$2:$D$1315,TotalTeamGames20242025!$A53)</f>
        <v>1</v>
      </c>
      <c r="BI53" s="35"/>
      <c r="BJ53" s="28">
        <f>COUNTIFS(DataRegularSeason20242025!$E$2:$E$1315,TotalTeamGames20242025!BI$1,DataRegularSeason20242025!$D$2:$D$1315,TotalTeamGames20242025!$A53)</f>
        <v>1</v>
      </c>
      <c r="BK53" s="35"/>
      <c r="BL53" s="28">
        <f>COUNTIFS(DataRegularSeason20242025!$E$2:$E$1315,TotalTeamGames20242025!BK$1,DataRegularSeason20242025!$D$2:$D$1315,TotalTeamGames20242025!$A53)</f>
        <v>1</v>
      </c>
      <c r="BM53" s="35"/>
      <c r="BN53" s="28">
        <f>COUNTIFS(DataRegularSeason20242025!$E$2:$E$1315,TotalTeamGames20242025!BM$1,DataRegularSeason20242025!$D$2:$D$1315,TotalTeamGames20242025!$A53)</f>
        <v>2</v>
      </c>
      <c r="BO53" s="30">
        <f t="shared" si="0"/>
        <v>41</v>
      </c>
      <c r="BP53" s="165">
        <f t="shared" ref="BP53" si="25">BO53+BO54</f>
        <v>82</v>
      </c>
    </row>
    <row r="54" spans="1:68" ht="9.9499999999999993" customHeight="1" x14ac:dyDescent="0.25">
      <c r="A54" s="167"/>
      <c r="B54" s="32" t="s">
        <v>73</v>
      </c>
      <c r="C54" s="31">
        <f>COUNTIFS(DataRegularSeason20242025!$D$2:$D$1315,TotalTeamGames20242025!C$1,DataRegularSeason20242025!$E$2:$E$1315,TotalTeamGames20242025!$A53)</f>
        <v>1</v>
      </c>
      <c r="D54" s="39"/>
      <c r="E54" s="31">
        <f>COUNTIFS(DataRegularSeason20242025!$D$2:$D$1315,TotalTeamGames20242025!E$1,DataRegularSeason20242025!$E$2:$E$1315,TotalTeamGames20242025!$A53)</f>
        <v>2</v>
      </c>
      <c r="F54" s="39"/>
      <c r="G54" s="31">
        <f>COUNTIFS(DataRegularSeason20242025!$D$2:$D$1315,TotalTeamGames20242025!G$1,DataRegularSeason20242025!$E$2:$E$1315,TotalTeamGames20242025!$A53)</f>
        <v>2</v>
      </c>
      <c r="H54" s="39"/>
      <c r="I54" s="31">
        <f>COUNTIFS(DataRegularSeason20242025!$D$2:$D$1315,TotalTeamGames20242025!I$1,DataRegularSeason20242025!$E$2:$E$1315,TotalTeamGames20242025!$A53)</f>
        <v>2</v>
      </c>
      <c r="J54" s="39"/>
      <c r="K54" s="31">
        <f>COUNTIFS(DataRegularSeason20242025!$D$2:$D$1315,TotalTeamGames20242025!K$1,DataRegularSeason20242025!$E$2:$E$1315,TotalTeamGames20242025!$A53)</f>
        <v>1</v>
      </c>
      <c r="L54" s="39"/>
      <c r="M54" s="31">
        <f>COUNTIFS(DataRegularSeason20242025!$D$2:$D$1315,TotalTeamGames20242025!M$1,DataRegularSeason20242025!$E$2:$E$1315,TotalTeamGames20242025!$A53)</f>
        <v>1</v>
      </c>
      <c r="N54" s="39"/>
      <c r="O54" s="31">
        <f>COUNTIFS(DataRegularSeason20242025!$D$2:$D$1315,TotalTeamGames20242025!O$1,DataRegularSeason20242025!$E$2:$E$1315,TotalTeamGames20242025!$A53)</f>
        <v>1</v>
      </c>
      <c r="P54" s="39"/>
      <c r="Q54" s="31">
        <f>COUNTIFS(DataRegularSeason20242025!$D$2:$D$1315,TotalTeamGames20242025!Q$1,DataRegularSeason20242025!$E$2:$E$1315,TotalTeamGames20242025!$A53)</f>
        <v>1</v>
      </c>
      <c r="R54" s="39"/>
      <c r="S54" s="31">
        <f>COUNTIFS(DataRegularSeason20242025!$D$2:$D$1315,TotalTeamGames20242025!S$1,DataRegularSeason20242025!$E$2:$E$1315,TotalTeamGames20242025!$A53)</f>
        <v>1</v>
      </c>
      <c r="T54" s="39"/>
      <c r="U54" s="31">
        <f>COUNTIFS(DataRegularSeason20242025!$D$2:$D$1315,TotalTeamGames20242025!U$1,DataRegularSeason20242025!$E$2:$E$1315,TotalTeamGames20242025!$A53)</f>
        <v>2</v>
      </c>
      <c r="V54" s="39"/>
      <c r="W54" s="31">
        <f>COUNTIFS(DataRegularSeason20242025!$D$2:$D$1315,TotalTeamGames20242025!W$1,DataRegularSeason20242025!$E$2:$E$1315,TotalTeamGames20242025!$A53)</f>
        <v>1</v>
      </c>
      <c r="X54" s="39"/>
      <c r="Y54" s="31">
        <f>COUNTIFS(DataRegularSeason20242025!$D$2:$D$1315,TotalTeamGames20242025!Y$1,DataRegularSeason20242025!$E$2:$E$1315,TotalTeamGames20242025!$A53)</f>
        <v>2</v>
      </c>
      <c r="Z54" s="39"/>
      <c r="AA54" s="31">
        <f>COUNTIFS(DataRegularSeason20242025!$D$2:$D$1315,TotalTeamGames20242025!AA$1,DataRegularSeason20242025!$E$2:$E$1315,TotalTeamGames20242025!$A53)</f>
        <v>1</v>
      </c>
      <c r="AB54" s="39"/>
      <c r="AC54" s="31">
        <f>COUNTIFS(DataRegularSeason20242025!$D$2:$D$1315,TotalTeamGames20242025!AC$1,DataRegularSeason20242025!$E$2:$E$1315,TotalTeamGames20242025!$A53)</f>
        <v>1</v>
      </c>
      <c r="AD54" s="39"/>
      <c r="AE54" s="31">
        <f>COUNTIFS(DataRegularSeason20242025!$D$2:$D$1315,TotalTeamGames20242025!AE$1,DataRegularSeason20242025!$E$2:$E$1315,TotalTeamGames20242025!$A53)</f>
        <v>2</v>
      </c>
      <c r="AF54" s="39"/>
      <c r="AG54" s="31">
        <f>COUNTIFS(DataRegularSeason20242025!$D$2:$D$1315,TotalTeamGames20242025!AG$1,DataRegularSeason20242025!$E$2:$E$1315,TotalTeamGames20242025!$A53)</f>
        <v>2</v>
      </c>
      <c r="AH54" s="39"/>
      <c r="AI54" s="31">
        <f>COUNTIFS(DataRegularSeason20242025!$D$2:$D$1315,TotalTeamGames20242025!AI$1,DataRegularSeason20242025!$E$2:$E$1315,TotalTeamGames20242025!$A53)</f>
        <v>1</v>
      </c>
      <c r="AJ54" s="39"/>
      <c r="AK54" s="31">
        <f>COUNTIFS(DataRegularSeason20242025!$D$2:$D$1315,TotalTeamGames20242025!AK$1,DataRegularSeason20242025!$E$2:$E$1315,TotalTeamGames20242025!$A53)</f>
        <v>1</v>
      </c>
      <c r="AL54" s="39"/>
      <c r="AM54" s="31">
        <f>COUNTIFS(DataRegularSeason20242025!$D$2:$D$1315,TotalTeamGames20242025!AM$1,DataRegularSeason20242025!$E$2:$E$1315,TotalTeamGames20242025!$A53)</f>
        <v>2</v>
      </c>
      <c r="AN54" s="39"/>
      <c r="AO54" s="31">
        <f>COUNTIFS(DataRegularSeason20242025!$D$2:$D$1315,TotalTeamGames20242025!AO$1,DataRegularSeason20242025!$E$2:$E$1315,TotalTeamGames20242025!$A53)</f>
        <v>2</v>
      </c>
      <c r="AP54" s="39"/>
      <c r="AQ54" s="31">
        <f>COUNTIFS(DataRegularSeason20242025!$D$2:$D$1315,TotalTeamGames20242025!AQ$1,DataRegularSeason20242025!$E$2:$E$1315,TotalTeamGames20242025!$A53)</f>
        <v>1</v>
      </c>
      <c r="AR54" s="39"/>
      <c r="AS54" s="31">
        <f>COUNTIFS(DataRegularSeason20242025!$D$2:$D$1315,TotalTeamGames20242025!AS$1,DataRegularSeason20242025!$E$2:$E$1315,TotalTeamGames20242025!$A53)</f>
        <v>2</v>
      </c>
      <c r="AT54" s="39"/>
      <c r="AU54" s="31">
        <f>COUNTIFS(DataRegularSeason20242025!$D$2:$D$1315,TotalTeamGames20242025!AU$1,DataRegularSeason20242025!$E$2:$E$1315,TotalTeamGames20242025!$A53)</f>
        <v>1</v>
      </c>
      <c r="AV54" s="39"/>
      <c r="AW54" s="31">
        <f>COUNTIFS(DataRegularSeason20242025!$D$2:$D$1315,TotalTeamGames20242025!AW$1,DataRegularSeason20242025!$E$2:$E$1315,TotalTeamGames20242025!$A53)</f>
        <v>1</v>
      </c>
      <c r="AX54" s="39"/>
      <c r="AY54" s="31">
        <f>COUNTIFS(DataRegularSeason20242025!$D$2:$D$1315,TotalTeamGames20242025!AY$1,DataRegularSeason20242025!$E$2:$E$1315,TotalTeamGames20242025!$A53)</f>
        <v>1</v>
      </c>
      <c r="AZ54" s="39"/>
      <c r="BA54" s="38"/>
      <c r="BB54" s="39"/>
      <c r="BC54" s="31">
        <f>COUNTIFS(DataRegularSeason20242025!$D$2:$D$1315,TotalTeamGames20242025!BC$1,DataRegularSeason20242025!$E$2:$E$1315,TotalTeamGames20242025!$A53)</f>
        <v>1</v>
      </c>
      <c r="BD54" s="39"/>
      <c r="BE54" s="31">
        <f>COUNTIFS(DataRegularSeason20242025!$D$2:$D$1315,TotalTeamGames20242025!BE$1,DataRegularSeason20242025!$E$2:$E$1315,TotalTeamGames20242025!$A53)</f>
        <v>1</v>
      </c>
      <c r="BF54" s="38"/>
      <c r="BG54" s="33">
        <f>COUNTIFS(DataRegularSeason20242025!$D$2:$D$1315,TotalTeamGames20242025!BG$1,DataRegularSeason20242025!$E$2:$E$1315,TotalTeamGames20242025!$A53)</f>
        <v>1</v>
      </c>
      <c r="BH54" s="39"/>
      <c r="BI54" s="31">
        <f>COUNTIFS(DataRegularSeason20242025!$D$2:$D$1315,TotalTeamGames20242025!BI$1,DataRegularSeason20242025!$E$2:$E$1315,TotalTeamGames20242025!$A53)</f>
        <v>1</v>
      </c>
      <c r="BJ54" s="39"/>
      <c r="BK54" s="31">
        <f>COUNTIFS(DataRegularSeason20242025!$D$2:$D$1315,TotalTeamGames20242025!BK$1,DataRegularSeason20242025!$E$2:$E$1315,TotalTeamGames20242025!$A53)</f>
        <v>1</v>
      </c>
      <c r="BL54" s="39"/>
      <c r="BM54" s="31">
        <f>COUNTIFS(DataRegularSeason20242025!$D$2:$D$1315,TotalTeamGames20242025!BM$1,DataRegularSeason20242025!$E$2:$E$1315,TotalTeamGames20242025!$A53)</f>
        <v>1</v>
      </c>
      <c r="BN54" s="39"/>
      <c r="BO54" s="34">
        <f t="shared" si="0"/>
        <v>41</v>
      </c>
      <c r="BP54" s="165"/>
    </row>
    <row r="55" spans="1:68" ht="9.9499999999999993" customHeight="1" x14ac:dyDescent="0.25">
      <c r="A55" s="166" t="s">
        <v>17</v>
      </c>
      <c r="B55" s="28" t="s">
        <v>74</v>
      </c>
      <c r="C55" s="35"/>
      <c r="D55" s="28">
        <f>COUNTIFS(DataRegularSeason20242025!$E$2:$E$1315,TotalTeamGames20242025!C$1,DataRegularSeason20242025!$D$2:$D$1315,TotalTeamGames20242025!$A55)</f>
        <v>1</v>
      </c>
      <c r="E55" s="35"/>
      <c r="F55" s="28">
        <f>COUNTIFS(DataRegularSeason20242025!$E$2:$E$1315,TotalTeamGames20242025!E$1,DataRegularSeason20242025!$D$2:$D$1315,TotalTeamGames20242025!$A55)</f>
        <v>2</v>
      </c>
      <c r="G55" s="35"/>
      <c r="H55" s="28">
        <f>COUNTIFS(DataRegularSeason20242025!$E$2:$E$1315,TotalTeamGames20242025!G$1,DataRegularSeason20242025!$D$2:$D$1315,TotalTeamGames20242025!$A55)</f>
        <v>2</v>
      </c>
      <c r="I55" s="35"/>
      <c r="J55" s="28">
        <f>COUNTIFS(DataRegularSeason20242025!$E$2:$E$1315,TotalTeamGames20242025!I$1,DataRegularSeason20242025!$D$2:$D$1315,TotalTeamGames20242025!$A55)</f>
        <v>1</v>
      </c>
      <c r="K55" s="35"/>
      <c r="L55" s="28">
        <f>COUNTIFS(DataRegularSeason20242025!$E$2:$E$1315,TotalTeamGames20242025!K$1,DataRegularSeason20242025!$D$2:$D$1315,TotalTeamGames20242025!$A55)</f>
        <v>2</v>
      </c>
      <c r="M55" s="35"/>
      <c r="N55" s="28">
        <f>COUNTIFS(DataRegularSeason20242025!$E$2:$E$1315,TotalTeamGames20242025!M$1,DataRegularSeason20242025!$D$2:$D$1315,TotalTeamGames20242025!$A55)</f>
        <v>1</v>
      </c>
      <c r="O55" s="35"/>
      <c r="P55" s="28">
        <f>COUNTIFS(DataRegularSeason20242025!$E$2:$E$1315,TotalTeamGames20242025!O$1,DataRegularSeason20242025!$D$2:$D$1315,TotalTeamGames20242025!$A55)</f>
        <v>1</v>
      </c>
      <c r="Q55" s="35"/>
      <c r="R55" s="28">
        <f>COUNTIFS(DataRegularSeason20242025!$E$2:$E$1315,TotalTeamGames20242025!Q$1,DataRegularSeason20242025!$D$2:$D$1315,TotalTeamGames20242025!$A55)</f>
        <v>1</v>
      </c>
      <c r="S55" s="35"/>
      <c r="T55" s="28">
        <f>COUNTIFS(DataRegularSeason20242025!$E$2:$E$1315,TotalTeamGames20242025!S$1,DataRegularSeason20242025!$D$2:$D$1315,TotalTeamGames20242025!$A55)</f>
        <v>1</v>
      </c>
      <c r="U55" s="35"/>
      <c r="V55" s="28">
        <f>COUNTIFS(DataRegularSeason20242025!$E$2:$E$1315,TotalTeamGames20242025!U$1,DataRegularSeason20242025!$D$2:$D$1315,TotalTeamGames20242025!$A55)</f>
        <v>2</v>
      </c>
      <c r="W55" s="35"/>
      <c r="X55" s="28">
        <f>COUNTIFS(DataRegularSeason20242025!$E$2:$E$1315,TotalTeamGames20242025!W$1,DataRegularSeason20242025!$D$2:$D$1315,TotalTeamGames20242025!$A55)</f>
        <v>1</v>
      </c>
      <c r="Y55" s="35"/>
      <c r="Z55" s="28">
        <f>COUNTIFS(DataRegularSeason20242025!$E$2:$E$1315,TotalTeamGames20242025!Y$1,DataRegularSeason20242025!$D$2:$D$1315,TotalTeamGames20242025!$A55)</f>
        <v>2</v>
      </c>
      <c r="AA55" s="35"/>
      <c r="AB55" s="28">
        <f>COUNTIFS(DataRegularSeason20242025!$E$2:$E$1315,TotalTeamGames20242025!AA$1,DataRegularSeason20242025!$D$2:$D$1315,TotalTeamGames20242025!$A55)</f>
        <v>1</v>
      </c>
      <c r="AC55" s="35"/>
      <c r="AD55" s="28">
        <f>COUNTIFS(DataRegularSeason20242025!$E$2:$E$1315,TotalTeamGames20242025!AC$1,DataRegularSeason20242025!$D$2:$D$1315,TotalTeamGames20242025!$A55)</f>
        <v>1</v>
      </c>
      <c r="AE55" s="35"/>
      <c r="AF55" s="28">
        <f>COUNTIFS(DataRegularSeason20242025!$E$2:$E$1315,TotalTeamGames20242025!AE$1,DataRegularSeason20242025!$D$2:$D$1315,TotalTeamGames20242025!$A55)</f>
        <v>2</v>
      </c>
      <c r="AG55" s="35"/>
      <c r="AH55" s="28">
        <f>COUNTIFS(DataRegularSeason20242025!$E$2:$E$1315,TotalTeamGames20242025!AG$1,DataRegularSeason20242025!$D$2:$D$1315,TotalTeamGames20242025!$A55)</f>
        <v>1</v>
      </c>
      <c r="AI55" s="35"/>
      <c r="AJ55" s="28">
        <f>COUNTIFS(DataRegularSeason20242025!$E$2:$E$1315,TotalTeamGames20242025!AI$1,DataRegularSeason20242025!$D$2:$D$1315,TotalTeamGames20242025!$A55)</f>
        <v>1</v>
      </c>
      <c r="AK55" s="35"/>
      <c r="AL55" s="28">
        <f>COUNTIFS(DataRegularSeason20242025!$E$2:$E$1315,TotalTeamGames20242025!AK$1,DataRegularSeason20242025!$D$2:$D$1315,TotalTeamGames20242025!$A55)</f>
        <v>2</v>
      </c>
      <c r="AM55" s="35"/>
      <c r="AN55" s="28">
        <f>COUNTIFS(DataRegularSeason20242025!$E$2:$E$1315,TotalTeamGames20242025!AM$1,DataRegularSeason20242025!$D$2:$D$1315,TotalTeamGames20242025!$A55)</f>
        <v>1</v>
      </c>
      <c r="AO55" s="35"/>
      <c r="AP55" s="28">
        <f>COUNTIFS(DataRegularSeason20242025!$E$2:$E$1315,TotalTeamGames20242025!AO$1,DataRegularSeason20242025!$D$2:$D$1315,TotalTeamGames20242025!$A55)</f>
        <v>2</v>
      </c>
      <c r="AQ55" s="35"/>
      <c r="AR55" s="28">
        <f>COUNTIFS(DataRegularSeason20242025!$E$2:$E$1315,TotalTeamGames20242025!AQ$1,DataRegularSeason20242025!$D$2:$D$1315,TotalTeamGames20242025!$A55)</f>
        <v>2</v>
      </c>
      <c r="AS55" s="35"/>
      <c r="AT55" s="28">
        <f>COUNTIFS(DataRegularSeason20242025!$E$2:$E$1315,TotalTeamGames20242025!AS$1,DataRegularSeason20242025!$D$2:$D$1315,TotalTeamGames20242025!$A55)</f>
        <v>1</v>
      </c>
      <c r="AU55" s="35"/>
      <c r="AV55" s="28">
        <f>COUNTIFS(DataRegularSeason20242025!$E$2:$E$1315,TotalTeamGames20242025!AU$1,DataRegularSeason20242025!$D$2:$D$1315,TotalTeamGames20242025!$A55)</f>
        <v>1</v>
      </c>
      <c r="AW55" s="35"/>
      <c r="AX55" s="28">
        <f>COUNTIFS(DataRegularSeason20242025!$E$2:$E$1315,TotalTeamGames20242025!AW$1,DataRegularSeason20242025!$D$2:$D$1315,TotalTeamGames20242025!$A55)</f>
        <v>1</v>
      </c>
      <c r="AY55" s="35"/>
      <c r="AZ55" s="28">
        <f>COUNTIFS(DataRegularSeason20242025!$E$2:$E$1315,TotalTeamGames20242025!AY$1,DataRegularSeason20242025!$D$2:$D$1315,TotalTeamGames20242025!$A55)</f>
        <v>1</v>
      </c>
      <c r="BA55" s="35"/>
      <c r="BB55" s="28">
        <f>COUNTIFS(DataRegularSeason20242025!$E$2:$E$1315,TotalTeamGames20242025!BA$1,DataRegularSeason20242025!$D$2:$D$1315,TotalTeamGames20242025!$A55)</f>
        <v>1</v>
      </c>
      <c r="BC55" s="35"/>
      <c r="BD55" s="36"/>
      <c r="BE55" s="35"/>
      <c r="BF55" s="27">
        <f>COUNTIFS(DataRegularSeason20242025!$E$2:$E$1315,TotalTeamGames20242025!BE$1,DataRegularSeason20242025!$D$2:$D$1315,TotalTeamGames20242025!$A55)</f>
        <v>1</v>
      </c>
      <c r="BG55" s="40"/>
      <c r="BH55" s="28">
        <f>COUNTIFS(DataRegularSeason20242025!$E$2:$E$1315,TotalTeamGames20242025!BG$1,DataRegularSeason20242025!$D$2:$D$1315,TotalTeamGames20242025!$A55)</f>
        <v>1</v>
      </c>
      <c r="BI55" s="35"/>
      <c r="BJ55" s="28">
        <f>COUNTIFS(DataRegularSeason20242025!$E$2:$E$1315,TotalTeamGames20242025!BI$1,DataRegularSeason20242025!$D$2:$D$1315,TotalTeamGames20242025!$A55)</f>
        <v>1</v>
      </c>
      <c r="BK55" s="35"/>
      <c r="BL55" s="28">
        <f>COUNTIFS(DataRegularSeason20242025!$E$2:$E$1315,TotalTeamGames20242025!BK$1,DataRegularSeason20242025!$D$2:$D$1315,TotalTeamGames20242025!$A55)</f>
        <v>1</v>
      </c>
      <c r="BM55" s="35"/>
      <c r="BN55" s="28">
        <f>COUNTIFS(DataRegularSeason20242025!$E$2:$E$1315,TotalTeamGames20242025!BM$1,DataRegularSeason20242025!$D$2:$D$1315,TotalTeamGames20242025!$A55)</f>
        <v>2</v>
      </c>
      <c r="BO55" s="30">
        <f t="shared" si="0"/>
        <v>41</v>
      </c>
      <c r="BP55" s="165">
        <f t="shared" ref="BP55" si="26">BO55+BO56</f>
        <v>82</v>
      </c>
    </row>
    <row r="56" spans="1:68" ht="9.9499999999999993" customHeight="1" x14ac:dyDescent="0.25">
      <c r="A56" s="167"/>
      <c r="B56" s="32" t="s">
        <v>73</v>
      </c>
      <c r="C56" s="31">
        <f>COUNTIFS(DataRegularSeason20242025!$D$2:$D$1315,TotalTeamGames20242025!C$1,DataRegularSeason20242025!$E$2:$E$1315,TotalTeamGames20242025!$A55)</f>
        <v>1</v>
      </c>
      <c r="D56" s="39"/>
      <c r="E56" s="31">
        <f>COUNTIFS(DataRegularSeason20242025!$D$2:$D$1315,TotalTeamGames20242025!E$1,DataRegularSeason20242025!$E$2:$E$1315,TotalTeamGames20242025!$A55)</f>
        <v>1</v>
      </c>
      <c r="F56" s="39"/>
      <c r="G56" s="31">
        <f>COUNTIFS(DataRegularSeason20242025!$D$2:$D$1315,TotalTeamGames20242025!G$1,DataRegularSeason20242025!$E$2:$E$1315,TotalTeamGames20242025!$A55)</f>
        <v>2</v>
      </c>
      <c r="H56" s="39"/>
      <c r="I56" s="31">
        <f>COUNTIFS(DataRegularSeason20242025!$D$2:$D$1315,TotalTeamGames20242025!I$1,DataRegularSeason20242025!$E$2:$E$1315,TotalTeamGames20242025!$A55)</f>
        <v>2</v>
      </c>
      <c r="J56" s="39"/>
      <c r="K56" s="31">
        <f>COUNTIFS(DataRegularSeason20242025!$D$2:$D$1315,TotalTeamGames20242025!K$1,DataRegularSeason20242025!$E$2:$E$1315,TotalTeamGames20242025!$A55)</f>
        <v>1</v>
      </c>
      <c r="L56" s="39"/>
      <c r="M56" s="31">
        <f>COUNTIFS(DataRegularSeason20242025!$D$2:$D$1315,TotalTeamGames20242025!M$1,DataRegularSeason20242025!$E$2:$E$1315,TotalTeamGames20242025!$A55)</f>
        <v>1</v>
      </c>
      <c r="N56" s="39"/>
      <c r="O56" s="31">
        <f>COUNTIFS(DataRegularSeason20242025!$D$2:$D$1315,TotalTeamGames20242025!O$1,DataRegularSeason20242025!$E$2:$E$1315,TotalTeamGames20242025!$A55)</f>
        <v>1</v>
      </c>
      <c r="P56" s="39"/>
      <c r="Q56" s="31">
        <f>COUNTIFS(DataRegularSeason20242025!$D$2:$D$1315,TotalTeamGames20242025!Q$1,DataRegularSeason20242025!$E$2:$E$1315,TotalTeamGames20242025!$A55)</f>
        <v>1</v>
      </c>
      <c r="R56" s="39"/>
      <c r="S56" s="31">
        <f>COUNTIFS(DataRegularSeason20242025!$D$2:$D$1315,TotalTeamGames20242025!S$1,DataRegularSeason20242025!$E$2:$E$1315,TotalTeamGames20242025!$A55)</f>
        <v>1</v>
      </c>
      <c r="T56" s="39"/>
      <c r="U56" s="31">
        <f>COUNTIFS(DataRegularSeason20242025!$D$2:$D$1315,TotalTeamGames20242025!U$1,DataRegularSeason20242025!$E$2:$E$1315,TotalTeamGames20242025!$A55)</f>
        <v>2</v>
      </c>
      <c r="V56" s="39"/>
      <c r="W56" s="31">
        <f>COUNTIFS(DataRegularSeason20242025!$D$2:$D$1315,TotalTeamGames20242025!W$1,DataRegularSeason20242025!$E$2:$E$1315,TotalTeamGames20242025!$A55)</f>
        <v>1</v>
      </c>
      <c r="X56" s="39"/>
      <c r="Y56" s="31">
        <f>COUNTIFS(DataRegularSeason20242025!$D$2:$D$1315,TotalTeamGames20242025!Y$1,DataRegularSeason20242025!$E$2:$E$1315,TotalTeamGames20242025!$A55)</f>
        <v>2</v>
      </c>
      <c r="Z56" s="39"/>
      <c r="AA56" s="31">
        <f>COUNTIFS(DataRegularSeason20242025!$D$2:$D$1315,TotalTeamGames20242025!AA$1,DataRegularSeason20242025!$E$2:$E$1315,TotalTeamGames20242025!$A55)</f>
        <v>1</v>
      </c>
      <c r="AB56" s="39"/>
      <c r="AC56" s="31">
        <f>COUNTIFS(DataRegularSeason20242025!$D$2:$D$1315,TotalTeamGames20242025!AC$1,DataRegularSeason20242025!$E$2:$E$1315,TotalTeamGames20242025!$A55)</f>
        <v>1</v>
      </c>
      <c r="AD56" s="39"/>
      <c r="AE56" s="31">
        <f>COUNTIFS(DataRegularSeason20242025!$D$2:$D$1315,TotalTeamGames20242025!AE$1,DataRegularSeason20242025!$E$2:$E$1315,TotalTeamGames20242025!$A55)</f>
        <v>2</v>
      </c>
      <c r="AF56" s="39"/>
      <c r="AG56" s="31">
        <f>COUNTIFS(DataRegularSeason20242025!$D$2:$D$1315,TotalTeamGames20242025!AG$1,DataRegularSeason20242025!$E$2:$E$1315,TotalTeamGames20242025!$A55)</f>
        <v>2</v>
      </c>
      <c r="AH56" s="39"/>
      <c r="AI56" s="31">
        <f>COUNTIFS(DataRegularSeason20242025!$D$2:$D$1315,TotalTeamGames20242025!AI$1,DataRegularSeason20242025!$E$2:$E$1315,TotalTeamGames20242025!$A55)</f>
        <v>1</v>
      </c>
      <c r="AJ56" s="39"/>
      <c r="AK56" s="31">
        <f>COUNTIFS(DataRegularSeason20242025!$D$2:$D$1315,TotalTeamGames20242025!AK$1,DataRegularSeason20242025!$E$2:$E$1315,TotalTeamGames20242025!$A55)</f>
        <v>1</v>
      </c>
      <c r="AL56" s="39"/>
      <c r="AM56" s="31">
        <f>COUNTIFS(DataRegularSeason20242025!$D$2:$D$1315,TotalTeamGames20242025!AM$1,DataRegularSeason20242025!$E$2:$E$1315,TotalTeamGames20242025!$A55)</f>
        <v>2</v>
      </c>
      <c r="AN56" s="39"/>
      <c r="AO56" s="31">
        <f>COUNTIFS(DataRegularSeason20242025!$D$2:$D$1315,TotalTeamGames20242025!AO$1,DataRegularSeason20242025!$E$2:$E$1315,TotalTeamGames20242025!$A55)</f>
        <v>2</v>
      </c>
      <c r="AP56" s="39"/>
      <c r="AQ56" s="31">
        <f>COUNTIFS(DataRegularSeason20242025!$D$2:$D$1315,TotalTeamGames20242025!AQ$1,DataRegularSeason20242025!$E$2:$E$1315,TotalTeamGames20242025!$A55)</f>
        <v>1</v>
      </c>
      <c r="AR56" s="39"/>
      <c r="AS56" s="31">
        <f>COUNTIFS(DataRegularSeason20242025!$D$2:$D$1315,TotalTeamGames20242025!AS$1,DataRegularSeason20242025!$E$2:$E$1315,TotalTeamGames20242025!$A55)</f>
        <v>2</v>
      </c>
      <c r="AT56" s="39"/>
      <c r="AU56" s="31">
        <f>COUNTIFS(DataRegularSeason20242025!$D$2:$D$1315,TotalTeamGames20242025!AU$1,DataRegularSeason20242025!$E$2:$E$1315,TotalTeamGames20242025!$A55)</f>
        <v>1</v>
      </c>
      <c r="AV56" s="39"/>
      <c r="AW56" s="31">
        <f>COUNTIFS(DataRegularSeason20242025!$D$2:$D$1315,TotalTeamGames20242025!AW$1,DataRegularSeason20242025!$E$2:$E$1315,TotalTeamGames20242025!$A55)</f>
        <v>1</v>
      </c>
      <c r="AX56" s="39"/>
      <c r="AY56" s="31">
        <f>COUNTIFS(DataRegularSeason20242025!$D$2:$D$1315,TotalTeamGames20242025!AY$1,DataRegularSeason20242025!$E$2:$E$1315,TotalTeamGames20242025!$A55)</f>
        <v>1</v>
      </c>
      <c r="AZ56" s="39"/>
      <c r="BA56" s="31">
        <f>COUNTIFS(DataRegularSeason20242025!$D$2:$D$1315,TotalTeamGames20242025!BA$1,DataRegularSeason20242025!$E$2:$E$1315,TotalTeamGames20242025!$A55)</f>
        <v>2</v>
      </c>
      <c r="BB56" s="39"/>
      <c r="BC56" s="38"/>
      <c r="BD56" s="39"/>
      <c r="BE56" s="31">
        <f>COUNTIFS(DataRegularSeason20242025!$D$2:$D$1315,TotalTeamGames20242025!BE$1,DataRegularSeason20242025!$E$2:$E$1315,TotalTeamGames20242025!$A55)</f>
        <v>1</v>
      </c>
      <c r="BF56" s="38"/>
      <c r="BG56" s="33">
        <f>COUNTIFS(DataRegularSeason20242025!$D$2:$D$1315,TotalTeamGames20242025!BG$1,DataRegularSeason20242025!$E$2:$E$1315,TotalTeamGames20242025!$A55)</f>
        <v>1</v>
      </c>
      <c r="BH56" s="39"/>
      <c r="BI56" s="31">
        <f>COUNTIFS(DataRegularSeason20242025!$D$2:$D$1315,TotalTeamGames20242025!BI$1,DataRegularSeason20242025!$E$2:$E$1315,TotalTeamGames20242025!$A55)</f>
        <v>1</v>
      </c>
      <c r="BJ56" s="39"/>
      <c r="BK56" s="31">
        <f>COUNTIFS(DataRegularSeason20242025!$D$2:$D$1315,TotalTeamGames20242025!BK$1,DataRegularSeason20242025!$E$2:$E$1315,TotalTeamGames20242025!$A55)</f>
        <v>1</v>
      </c>
      <c r="BL56" s="39"/>
      <c r="BM56" s="31">
        <f>COUNTIFS(DataRegularSeason20242025!$D$2:$D$1315,TotalTeamGames20242025!BM$1,DataRegularSeason20242025!$E$2:$E$1315,TotalTeamGames20242025!$A55)</f>
        <v>1</v>
      </c>
      <c r="BN56" s="39"/>
      <c r="BO56" s="34">
        <f t="shared" si="0"/>
        <v>41</v>
      </c>
      <c r="BP56" s="165"/>
    </row>
    <row r="57" spans="1:68" ht="9.9499999999999993" customHeight="1" x14ac:dyDescent="0.25">
      <c r="A57" s="166" t="s">
        <v>14</v>
      </c>
      <c r="B57" s="28" t="s">
        <v>74</v>
      </c>
      <c r="C57" s="35"/>
      <c r="D57" s="28">
        <f>COUNTIFS(DataRegularSeason20242025!$E$2:$E$1315,TotalTeamGames20242025!C$1,DataRegularSeason20242025!$D$2:$D$1315,TotalTeamGames20242025!$A57)</f>
        <v>2</v>
      </c>
      <c r="E57" s="35"/>
      <c r="F57" s="28">
        <f>COUNTIFS(DataRegularSeason20242025!$E$2:$E$1315,TotalTeamGames20242025!E$1,DataRegularSeason20242025!$D$2:$D$1315,TotalTeamGames20242025!$A57)</f>
        <v>1</v>
      </c>
      <c r="G57" s="35"/>
      <c r="H57" s="28">
        <f>COUNTIFS(DataRegularSeason20242025!$E$2:$E$1315,TotalTeamGames20242025!G$1,DataRegularSeason20242025!$D$2:$D$1315,TotalTeamGames20242025!$A57)</f>
        <v>1</v>
      </c>
      <c r="I57" s="35"/>
      <c r="J57" s="28">
        <f>COUNTIFS(DataRegularSeason20242025!$E$2:$E$1315,TotalTeamGames20242025!I$1,DataRegularSeason20242025!$D$2:$D$1315,TotalTeamGames20242025!$A57)</f>
        <v>1</v>
      </c>
      <c r="K57" s="35"/>
      <c r="L57" s="28">
        <f>COUNTIFS(DataRegularSeason20242025!$E$2:$E$1315,TotalTeamGames20242025!K$1,DataRegularSeason20242025!$D$2:$D$1315,TotalTeamGames20242025!$A57)</f>
        <v>1</v>
      </c>
      <c r="M57" s="35"/>
      <c r="N57" s="28">
        <f>COUNTIFS(DataRegularSeason20242025!$E$2:$E$1315,TotalTeamGames20242025!M$1,DataRegularSeason20242025!$D$2:$D$1315,TotalTeamGames20242025!$A57)</f>
        <v>2</v>
      </c>
      <c r="O57" s="35"/>
      <c r="P57" s="28">
        <f>COUNTIFS(DataRegularSeason20242025!$E$2:$E$1315,TotalTeamGames20242025!O$1,DataRegularSeason20242025!$D$2:$D$1315,TotalTeamGames20242025!$A57)</f>
        <v>2</v>
      </c>
      <c r="Q57" s="35"/>
      <c r="R57" s="28">
        <f>COUNTIFS(DataRegularSeason20242025!$E$2:$E$1315,TotalTeamGames20242025!Q$1,DataRegularSeason20242025!$D$2:$D$1315,TotalTeamGames20242025!$A57)</f>
        <v>2</v>
      </c>
      <c r="S57" s="35"/>
      <c r="T57" s="28">
        <f>COUNTIFS(DataRegularSeason20242025!$E$2:$E$1315,TotalTeamGames20242025!S$1,DataRegularSeason20242025!$D$2:$D$1315,TotalTeamGames20242025!$A57)</f>
        <v>2</v>
      </c>
      <c r="U57" s="35"/>
      <c r="V57" s="28">
        <f>COUNTIFS(DataRegularSeason20242025!$E$2:$E$1315,TotalTeamGames20242025!U$1,DataRegularSeason20242025!$D$2:$D$1315,TotalTeamGames20242025!$A57)</f>
        <v>1</v>
      </c>
      <c r="W57" s="35"/>
      <c r="X57" s="28">
        <f>COUNTIFS(DataRegularSeason20242025!$E$2:$E$1315,TotalTeamGames20242025!W$1,DataRegularSeason20242025!$D$2:$D$1315,TotalTeamGames20242025!$A57)</f>
        <v>1</v>
      </c>
      <c r="Y57" s="35"/>
      <c r="Z57" s="28">
        <f>COUNTIFS(DataRegularSeason20242025!$E$2:$E$1315,TotalTeamGames20242025!Y$1,DataRegularSeason20242025!$D$2:$D$1315,TotalTeamGames20242025!$A57)</f>
        <v>1</v>
      </c>
      <c r="AA57" s="35"/>
      <c r="AB57" s="28">
        <f>COUNTIFS(DataRegularSeason20242025!$E$2:$E$1315,TotalTeamGames20242025!AA$1,DataRegularSeason20242025!$D$2:$D$1315,TotalTeamGames20242025!$A57)</f>
        <v>1</v>
      </c>
      <c r="AC57" s="35"/>
      <c r="AD57" s="28">
        <f>COUNTIFS(DataRegularSeason20242025!$E$2:$E$1315,TotalTeamGames20242025!AC$1,DataRegularSeason20242025!$D$2:$D$1315,TotalTeamGames20242025!$A57)</f>
        <v>2</v>
      </c>
      <c r="AE57" s="35"/>
      <c r="AF57" s="28">
        <f>COUNTIFS(DataRegularSeason20242025!$E$2:$E$1315,TotalTeamGames20242025!AE$1,DataRegularSeason20242025!$D$2:$D$1315,TotalTeamGames20242025!$A57)</f>
        <v>1</v>
      </c>
      <c r="AG57" s="35"/>
      <c r="AH57" s="28">
        <f>COUNTIFS(DataRegularSeason20242025!$E$2:$E$1315,TotalTeamGames20242025!AG$1,DataRegularSeason20242025!$D$2:$D$1315,TotalTeamGames20242025!$A57)</f>
        <v>1</v>
      </c>
      <c r="AI57" s="35"/>
      <c r="AJ57" s="28">
        <f>COUNTIFS(DataRegularSeason20242025!$E$2:$E$1315,TotalTeamGames20242025!AI$1,DataRegularSeason20242025!$D$2:$D$1315,TotalTeamGames20242025!$A57)</f>
        <v>2</v>
      </c>
      <c r="AK57" s="35"/>
      <c r="AL57" s="28">
        <f>COUNTIFS(DataRegularSeason20242025!$E$2:$E$1315,TotalTeamGames20242025!AK$1,DataRegularSeason20242025!$D$2:$D$1315,TotalTeamGames20242025!$A57)</f>
        <v>1</v>
      </c>
      <c r="AM57" s="35"/>
      <c r="AN57" s="28">
        <f>COUNTIFS(DataRegularSeason20242025!$E$2:$E$1315,TotalTeamGames20242025!AM$1,DataRegularSeason20242025!$D$2:$D$1315,TotalTeamGames20242025!$A57)</f>
        <v>1</v>
      </c>
      <c r="AO57" s="35"/>
      <c r="AP57" s="28">
        <f>COUNTIFS(DataRegularSeason20242025!$E$2:$E$1315,TotalTeamGames20242025!AO$1,DataRegularSeason20242025!$D$2:$D$1315,TotalTeamGames20242025!$A57)</f>
        <v>1</v>
      </c>
      <c r="AQ57" s="35"/>
      <c r="AR57" s="28">
        <f>COUNTIFS(DataRegularSeason20242025!$E$2:$E$1315,TotalTeamGames20242025!AQ$1,DataRegularSeason20242025!$D$2:$D$1315,TotalTeamGames20242025!$A57)</f>
        <v>1</v>
      </c>
      <c r="AS57" s="35"/>
      <c r="AT57" s="28">
        <f>COUNTIFS(DataRegularSeason20242025!$E$2:$E$1315,TotalTeamGames20242025!AS$1,DataRegularSeason20242025!$D$2:$D$1315,TotalTeamGames20242025!$A57)</f>
        <v>1</v>
      </c>
      <c r="AU57" s="35"/>
      <c r="AV57" s="28">
        <f>COUNTIFS(DataRegularSeason20242025!$E$2:$E$1315,TotalTeamGames20242025!AU$1,DataRegularSeason20242025!$D$2:$D$1315,TotalTeamGames20242025!$A57)</f>
        <v>1</v>
      </c>
      <c r="AW57" s="35"/>
      <c r="AX57" s="28">
        <f>COUNTIFS(DataRegularSeason20242025!$E$2:$E$1315,TotalTeamGames20242025!AW$1,DataRegularSeason20242025!$D$2:$D$1315,TotalTeamGames20242025!$A57)</f>
        <v>2</v>
      </c>
      <c r="AY57" s="35"/>
      <c r="AZ57" s="28">
        <f>COUNTIFS(DataRegularSeason20242025!$E$2:$E$1315,TotalTeamGames20242025!AY$1,DataRegularSeason20242025!$D$2:$D$1315,TotalTeamGames20242025!$A57)</f>
        <v>2</v>
      </c>
      <c r="BA57" s="35"/>
      <c r="BB57" s="28">
        <f>COUNTIFS(DataRegularSeason20242025!$E$2:$E$1315,TotalTeamGames20242025!BA$1,DataRegularSeason20242025!$D$2:$D$1315,TotalTeamGames20242025!$A57)</f>
        <v>1</v>
      </c>
      <c r="BC57" s="35"/>
      <c r="BD57" s="28">
        <f>COUNTIFS(DataRegularSeason20242025!$E$2:$E$1315,TotalTeamGames20242025!BC$1,DataRegularSeason20242025!$D$2:$D$1315,TotalTeamGames20242025!$A57)</f>
        <v>1</v>
      </c>
      <c r="BE57" s="35"/>
      <c r="BF57" s="35"/>
      <c r="BG57" s="40"/>
      <c r="BH57" s="28">
        <f>COUNTIFS(DataRegularSeason20242025!$E$2:$E$1315,TotalTeamGames20242025!BG$1,DataRegularSeason20242025!$D$2:$D$1315,TotalTeamGames20242025!$A57)</f>
        <v>2</v>
      </c>
      <c r="BI57" s="35"/>
      <c r="BJ57" s="28">
        <f>COUNTIFS(DataRegularSeason20242025!$E$2:$E$1315,TotalTeamGames20242025!BI$1,DataRegularSeason20242025!$D$2:$D$1315,TotalTeamGames20242025!$A57)</f>
        <v>1</v>
      </c>
      <c r="BK57" s="35"/>
      <c r="BL57" s="28">
        <f>COUNTIFS(DataRegularSeason20242025!$E$2:$E$1315,TotalTeamGames20242025!BK$1,DataRegularSeason20242025!$D$2:$D$1315,TotalTeamGames20242025!$A57)</f>
        <v>1</v>
      </c>
      <c r="BM57" s="35"/>
      <c r="BN57" s="28">
        <f>COUNTIFS(DataRegularSeason20242025!$E$2:$E$1315,TotalTeamGames20242025!BM$1,DataRegularSeason20242025!$D$2:$D$1315,TotalTeamGames20242025!$A57)</f>
        <v>1</v>
      </c>
      <c r="BO57" s="30">
        <f t="shared" si="0"/>
        <v>41</v>
      </c>
      <c r="BP57" s="165">
        <f t="shared" ref="BP57" si="27">BO57+BO58</f>
        <v>82</v>
      </c>
    </row>
    <row r="58" spans="1:68" ht="9.9499999999999993" customHeight="1" x14ac:dyDescent="0.25">
      <c r="A58" s="167"/>
      <c r="B58" s="32" t="s">
        <v>73</v>
      </c>
      <c r="C58" s="31">
        <f>COUNTIFS(DataRegularSeason20242025!$D$2:$D$1315,TotalTeamGames20242025!C$1,DataRegularSeason20242025!$E$2:$E$1315,TotalTeamGames20242025!$A57)</f>
        <v>1</v>
      </c>
      <c r="D58" s="39"/>
      <c r="E58" s="31">
        <f>COUNTIFS(DataRegularSeason20242025!$D$2:$D$1315,TotalTeamGames20242025!E$1,DataRegularSeason20242025!$E$2:$E$1315,TotalTeamGames20242025!$A57)</f>
        <v>1</v>
      </c>
      <c r="F58" s="39"/>
      <c r="G58" s="31">
        <f>COUNTIFS(DataRegularSeason20242025!$D$2:$D$1315,TotalTeamGames20242025!G$1,DataRegularSeason20242025!$E$2:$E$1315,TotalTeamGames20242025!$A57)</f>
        <v>1</v>
      </c>
      <c r="H58" s="39"/>
      <c r="I58" s="31">
        <f>COUNTIFS(DataRegularSeason20242025!$D$2:$D$1315,TotalTeamGames20242025!I$1,DataRegularSeason20242025!$E$2:$E$1315,TotalTeamGames20242025!$A57)</f>
        <v>1</v>
      </c>
      <c r="J58" s="39"/>
      <c r="K58" s="31">
        <f>COUNTIFS(DataRegularSeason20242025!$D$2:$D$1315,TotalTeamGames20242025!K$1,DataRegularSeason20242025!$E$2:$E$1315,TotalTeamGames20242025!$A57)</f>
        <v>1</v>
      </c>
      <c r="L58" s="39"/>
      <c r="M58" s="31">
        <f>COUNTIFS(DataRegularSeason20242025!$D$2:$D$1315,TotalTeamGames20242025!M$1,DataRegularSeason20242025!$E$2:$E$1315,TotalTeamGames20242025!$A57)</f>
        <v>1</v>
      </c>
      <c r="N58" s="39"/>
      <c r="O58" s="31">
        <f>COUNTIFS(DataRegularSeason20242025!$D$2:$D$1315,TotalTeamGames20242025!O$1,DataRegularSeason20242025!$E$2:$E$1315,TotalTeamGames20242025!$A57)</f>
        <v>2</v>
      </c>
      <c r="P58" s="39"/>
      <c r="Q58" s="31">
        <f>COUNTIFS(DataRegularSeason20242025!$D$2:$D$1315,TotalTeamGames20242025!Q$1,DataRegularSeason20242025!$E$2:$E$1315,TotalTeamGames20242025!$A57)</f>
        <v>2</v>
      </c>
      <c r="R58" s="39"/>
      <c r="S58" s="31">
        <f>COUNTIFS(DataRegularSeason20242025!$D$2:$D$1315,TotalTeamGames20242025!S$1,DataRegularSeason20242025!$E$2:$E$1315,TotalTeamGames20242025!$A57)</f>
        <v>2</v>
      </c>
      <c r="T58" s="39"/>
      <c r="U58" s="31">
        <f>COUNTIFS(DataRegularSeason20242025!$D$2:$D$1315,TotalTeamGames20242025!U$1,DataRegularSeason20242025!$E$2:$E$1315,TotalTeamGames20242025!$A57)</f>
        <v>1</v>
      </c>
      <c r="V58" s="39"/>
      <c r="W58" s="31">
        <f>COUNTIFS(DataRegularSeason20242025!$D$2:$D$1315,TotalTeamGames20242025!W$1,DataRegularSeason20242025!$E$2:$E$1315,TotalTeamGames20242025!$A57)</f>
        <v>2</v>
      </c>
      <c r="X58" s="39"/>
      <c r="Y58" s="31">
        <f>COUNTIFS(DataRegularSeason20242025!$D$2:$D$1315,TotalTeamGames20242025!Y$1,DataRegularSeason20242025!$E$2:$E$1315,TotalTeamGames20242025!$A57)</f>
        <v>1</v>
      </c>
      <c r="Z58" s="39"/>
      <c r="AA58" s="31">
        <f>COUNTIFS(DataRegularSeason20242025!$D$2:$D$1315,TotalTeamGames20242025!AA$1,DataRegularSeason20242025!$E$2:$E$1315,TotalTeamGames20242025!$A57)</f>
        <v>2</v>
      </c>
      <c r="AB58" s="39"/>
      <c r="AC58" s="31">
        <f>COUNTIFS(DataRegularSeason20242025!$D$2:$D$1315,TotalTeamGames20242025!AC$1,DataRegularSeason20242025!$E$2:$E$1315,TotalTeamGames20242025!$A57)</f>
        <v>1</v>
      </c>
      <c r="AD58" s="39"/>
      <c r="AE58" s="31">
        <f>COUNTIFS(DataRegularSeason20242025!$D$2:$D$1315,TotalTeamGames20242025!AE$1,DataRegularSeason20242025!$E$2:$E$1315,TotalTeamGames20242025!$A57)</f>
        <v>1</v>
      </c>
      <c r="AF58" s="39"/>
      <c r="AG58" s="31">
        <f>COUNTIFS(DataRegularSeason20242025!$D$2:$D$1315,TotalTeamGames20242025!AG$1,DataRegularSeason20242025!$E$2:$E$1315,TotalTeamGames20242025!$A57)</f>
        <v>1</v>
      </c>
      <c r="AH58" s="39"/>
      <c r="AI58" s="31">
        <f>COUNTIFS(DataRegularSeason20242025!$D$2:$D$1315,TotalTeamGames20242025!AI$1,DataRegularSeason20242025!$E$2:$E$1315,TotalTeamGames20242025!$A57)</f>
        <v>2</v>
      </c>
      <c r="AJ58" s="39"/>
      <c r="AK58" s="31">
        <f>COUNTIFS(DataRegularSeason20242025!$D$2:$D$1315,TotalTeamGames20242025!AK$1,DataRegularSeason20242025!$E$2:$E$1315,TotalTeamGames20242025!$A57)</f>
        <v>1</v>
      </c>
      <c r="AL58" s="39"/>
      <c r="AM58" s="31">
        <f>COUNTIFS(DataRegularSeason20242025!$D$2:$D$1315,TotalTeamGames20242025!AM$1,DataRegularSeason20242025!$E$2:$E$1315,TotalTeamGames20242025!$A57)</f>
        <v>1</v>
      </c>
      <c r="AN58" s="39"/>
      <c r="AO58" s="31">
        <f>COUNTIFS(DataRegularSeason20242025!$D$2:$D$1315,TotalTeamGames20242025!AO$1,DataRegularSeason20242025!$E$2:$E$1315,TotalTeamGames20242025!$A57)</f>
        <v>1</v>
      </c>
      <c r="AP58" s="39"/>
      <c r="AQ58" s="31">
        <f>COUNTIFS(DataRegularSeason20242025!$D$2:$D$1315,TotalTeamGames20242025!AQ$1,DataRegularSeason20242025!$E$2:$E$1315,TotalTeamGames20242025!$A57)</f>
        <v>1</v>
      </c>
      <c r="AR58" s="39"/>
      <c r="AS58" s="31">
        <f>COUNTIFS(DataRegularSeason20242025!$D$2:$D$1315,TotalTeamGames20242025!AS$1,DataRegularSeason20242025!$E$2:$E$1315,TotalTeamGames20242025!$A57)</f>
        <v>1</v>
      </c>
      <c r="AT58" s="39"/>
      <c r="AU58" s="31">
        <f>COUNTIFS(DataRegularSeason20242025!$D$2:$D$1315,TotalTeamGames20242025!AU$1,DataRegularSeason20242025!$E$2:$E$1315,TotalTeamGames20242025!$A57)</f>
        <v>2</v>
      </c>
      <c r="AV58" s="39"/>
      <c r="AW58" s="31">
        <f>COUNTIFS(DataRegularSeason20242025!$D$2:$D$1315,TotalTeamGames20242025!AW$1,DataRegularSeason20242025!$E$2:$E$1315,TotalTeamGames20242025!$A57)</f>
        <v>1</v>
      </c>
      <c r="AX58" s="39"/>
      <c r="AY58" s="31">
        <f>COUNTIFS(DataRegularSeason20242025!$D$2:$D$1315,TotalTeamGames20242025!AY$1,DataRegularSeason20242025!$E$2:$E$1315,TotalTeamGames20242025!$A57)</f>
        <v>2</v>
      </c>
      <c r="AZ58" s="39"/>
      <c r="BA58" s="31">
        <f>COUNTIFS(DataRegularSeason20242025!$D$2:$D$1315,TotalTeamGames20242025!BA$1,DataRegularSeason20242025!$E$2:$E$1315,TotalTeamGames20242025!$A57)</f>
        <v>1</v>
      </c>
      <c r="BB58" s="39"/>
      <c r="BC58" s="31">
        <f>COUNTIFS(DataRegularSeason20242025!$D$2:$D$1315,TotalTeamGames20242025!BC$1,DataRegularSeason20242025!$E$2:$E$1315,TotalTeamGames20242025!$A57)</f>
        <v>1</v>
      </c>
      <c r="BD58" s="39"/>
      <c r="BE58" s="38"/>
      <c r="BF58" s="38"/>
      <c r="BG58" s="33">
        <f>COUNTIFS(DataRegularSeason20242025!$D$2:$D$1315,TotalTeamGames20242025!BG$1,DataRegularSeason20242025!$E$2:$E$1315,TotalTeamGames20242025!$A57)</f>
        <v>1</v>
      </c>
      <c r="BH58" s="39"/>
      <c r="BI58" s="31">
        <f>COUNTIFS(DataRegularSeason20242025!$D$2:$D$1315,TotalTeamGames20242025!BI$1,DataRegularSeason20242025!$E$2:$E$1315,TotalTeamGames20242025!$A57)</f>
        <v>2</v>
      </c>
      <c r="BJ58" s="39"/>
      <c r="BK58" s="31">
        <f>COUNTIFS(DataRegularSeason20242025!$D$2:$D$1315,TotalTeamGames20242025!BK$1,DataRegularSeason20242025!$E$2:$E$1315,TotalTeamGames20242025!$A57)</f>
        <v>2</v>
      </c>
      <c r="BL58" s="39"/>
      <c r="BM58" s="31">
        <f>COUNTIFS(DataRegularSeason20242025!$D$2:$D$1315,TotalTeamGames20242025!BM$1,DataRegularSeason20242025!$E$2:$E$1315,TotalTeamGames20242025!$A57)</f>
        <v>1</v>
      </c>
      <c r="BN58" s="39"/>
      <c r="BO58" s="34">
        <f t="shared" si="0"/>
        <v>41</v>
      </c>
      <c r="BP58" s="165"/>
    </row>
    <row r="59" spans="1:68" ht="9.9499999999999993" customHeight="1" x14ac:dyDescent="0.25">
      <c r="A59" s="166" t="s">
        <v>24</v>
      </c>
      <c r="B59" s="28" t="s">
        <v>74</v>
      </c>
      <c r="C59" s="35"/>
      <c r="D59" s="28">
        <f>COUNTIFS(DataRegularSeason20242025!$E$2:$E$1315,TotalTeamGames20242025!C$1,DataRegularSeason20242025!$D$2:$D$1315,TotalTeamGames20242025!$A59)</f>
        <v>2</v>
      </c>
      <c r="E59" s="35"/>
      <c r="F59" s="28">
        <f>COUNTIFS(DataRegularSeason20242025!$E$2:$E$1315,TotalTeamGames20242025!E$1,DataRegularSeason20242025!$D$2:$D$1315,TotalTeamGames20242025!$A59)</f>
        <v>1</v>
      </c>
      <c r="G59" s="35"/>
      <c r="H59" s="28">
        <f>COUNTIFS(DataRegularSeason20242025!$E$2:$E$1315,TotalTeamGames20242025!G$1,DataRegularSeason20242025!$D$2:$D$1315,TotalTeamGames20242025!$A59)</f>
        <v>1</v>
      </c>
      <c r="I59" s="35"/>
      <c r="J59" s="28">
        <f>COUNTIFS(DataRegularSeason20242025!$E$2:$E$1315,TotalTeamGames20242025!I$1,DataRegularSeason20242025!$D$2:$D$1315,TotalTeamGames20242025!$A59)</f>
        <v>1</v>
      </c>
      <c r="K59" s="35"/>
      <c r="L59" s="28">
        <f>COUNTIFS(DataRegularSeason20242025!$E$2:$E$1315,TotalTeamGames20242025!K$1,DataRegularSeason20242025!$D$2:$D$1315,TotalTeamGames20242025!$A59)</f>
        <v>1</v>
      </c>
      <c r="M59" s="35"/>
      <c r="N59" s="28">
        <f>COUNTIFS(DataRegularSeason20242025!$E$2:$E$1315,TotalTeamGames20242025!M$1,DataRegularSeason20242025!$D$2:$D$1315,TotalTeamGames20242025!$A59)</f>
        <v>1</v>
      </c>
      <c r="O59" s="35"/>
      <c r="P59" s="28">
        <f>COUNTIFS(DataRegularSeason20242025!$E$2:$E$1315,TotalTeamGames20242025!O$1,DataRegularSeason20242025!$D$2:$D$1315,TotalTeamGames20242025!$A59)</f>
        <v>2</v>
      </c>
      <c r="Q59" s="35"/>
      <c r="R59" s="28">
        <f>COUNTIFS(DataRegularSeason20242025!$E$2:$E$1315,TotalTeamGames20242025!Q$1,DataRegularSeason20242025!$D$2:$D$1315,TotalTeamGames20242025!$A59)</f>
        <v>2</v>
      </c>
      <c r="S59" s="35"/>
      <c r="T59" s="28">
        <f>COUNTIFS(DataRegularSeason20242025!$E$2:$E$1315,TotalTeamGames20242025!S$1,DataRegularSeason20242025!$D$2:$D$1315,TotalTeamGames20242025!$A59)</f>
        <v>1</v>
      </c>
      <c r="U59" s="35"/>
      <c r="V59" s="28">
        <f>COUNTIFS(DataRegularSeason20242025!$E$2:$E$1315,TotalTeamGames20242025!U$1,DataRegularSeason20242025!$D$2:$D$1315,TotalTeamGames20242025!$A59)</f>
        <v>1</v>
      </c>
      <c r="W59" s="35"/>
      <c r="X59" s="28">
        <f>COUNTIFS(DataRegularSeason20242025!$E$2:$E$1315,TotalTeamGames20242025!W$1,DataRegularSeason20242025!$D$2:$D$1315,TotalTeamGames20242025!$A59)</f>
        <v>2</v>
      </c>
      <c r="Y59" s="35"/>
      <c r="Z59" s="28">
        <f>COUNTIFS(DataRegularSeason20242025!$E$2:$E$1315,TotalTeamGames20242025!Y$1,DataRegularSeason20242025!$D$2:$D$1315,TotalTeamGames20242025!$A59)</f>
        <v>1</v>
      </c>
      <c r="AA59" s="35"/>
      <c r="AB59" s="28">
        <f>COUNTIFS(DataRegularSeason20242025!$E$2:$E$1315,TotalTeamGames20242025!AA$1,DataRegularSeason20242025!$D$2:$D$1315,TotalTeamGames20242025!$A59)</f>
        <v>2</v>
      </c>
      <c r="AC59" s="35"/>
      <c r="AD59" s="28">
        <f>COUNTIFS(DataRegularSeason20242025!$E$2:$E$1315,TotalTeamGames20242025!AC$1,DataRegularSeason20242025!$D$2:$D$1315,TotalTeamGames20242025!$A59)</f>
        <v>2</v>
      </c>
      <c r="AE59" s="35"/>
      <c r="AF59" s="28">
        <f>COUNTIFS(DataRegularSeason20242025!$E$2:$E$1315,TotalTeamGames20242025!AE$1,DataRegularSeason20242025!$D$2:$D$1315,TotalTeamGames20242025!$A59)</f>
        <v>1</v>
      </c>
      <c r="AG59" s="35"/>
      <c r="AH59" s="28">
        <f>COUNTIFS(DataRegularSeason20242025!$E$2:$E$1315,TotalTeamGames20242025!AG$1,DataRegularSeason20242025!$D$2:$D$1315,TotalTeamGames20242025!$A59)</f>
        <v>1</v>
      </c>
      <c r="AI59" s="35"/>
      <c r="AJ59" s="28">
        <f>COUNTIFS(DataRegularSeason20242025!$E$2:$E$1315,TotalTeamGames20242025!AI$1,DataRegularSeason20242025!$D$2:$D$1315,TotalTeamGames20242025!$A59)</f>
        <v>2</v>
      </c>
      <c r="AK59" s="35"/>
      <c r="AL59" s="28">
        <f>COUNTIFS(DataRegularSeason20242025!$E$2:$E$1315,TotalTeamGames20242025!AK$1,DataRegularSeason20242025!$D$2:$D$1315,TotalTeamGames20242025!$A59)</f>
        <v>1</v>
      </c>
      <c r="AM59" s="35"/>
      <c r="AN59" s="28">
        <f>COUNTIFS(DataRegularSeason20242025!$E$2:$E$1315,TotalTeamGames20242025!AM$1,DataRegularSeason20242025!$D$2:$D$1315,TotalTeamGames20242025!$A59)</f>
        <v>1</v>
      </c>
      <c r="AO59" s="35"/>
      <c r="AP59" s="28">
        <f>COUNTIFS(DataRegularSeason20242025!$E$2:$E$1315,TotalTeamGames20242025!AO$1,DataRegularSeason20242025!$D$2:$D$1315,TotalTeamGames20242025!$A59)</f>
        <v>1</v>
      </c>
      <c r="AQ59" s="35"/>
      <c r="AR59" s="28">
        <f>COUNTIFS(DataRegularSeason20242025!$E$2:$E$1315,TotalTeamGames20242025!AQ$1,DataRegularSeason20242025!$D$2:$D$1315,TotalTeamGames20242025!$A59)</f>
        <v>1</v>
      </c>
      <c r="AS59" s="35"/>
      <c r="AT59" s="28">
        <f>COUNTIFS(DataRegularSeason20242025!$E$2:$E$1315,TotalTeamGames20242025!AS$1,DataRegularSeason20242025!$D$2:$D$1315,TotalTeamGames20242025!$A59)</f>
        <v>1</v>
      </c>
      <c r="AU59" s="35"/>
      <c r="AV59" s="28">
        <f>COUNTIFS(DataRegularSeason20242025!$E$2:$E$1315,TotalTeamGames20242025!AU$1,DataRegularSeason20242025!$D$2:$D$1315,TotalTeamGames20242025!$A59)</f>
        <v>2</v>
      </c>
      <c r="AW59" s="35"/>
      <c r="AX59" s="28">
        <f>COUNTIFS(DataRegularSeason20242025!$E$2:$E$1315,TotalTeamGames20242025!AW$1,DataRegularSeason20242025!$D$2:$D$1315,TotalTeamGames20242025!$A59)</f>
        <v>2</v>
      </c>
      <c r="AY59" s="35"/>
      <c r="AZ59" s="28">
        <f>COUNTIFS(DataRegularSeason20242025!$E$2:$E$1315,TotalTeamGames20242025!AY$1,DataRegularSeason20242025!$D$2:$D$1315,TotalTeamGames20242025!$A59)</f>
        <v>1</v>
      </c>
      <c r="BA59" s="35"/>
      <c r="BB59" s="28">
        <f>COUNTIFS(DataRegularSeason20242025!$E$2:$E$1315,TotalTeamGames20242025!BA$1,DataRegularSeason20242025!$D$2:$D$1315,TotalTeamGames20242025!$A59)</f>
        <v>1</v>
      </c>
      <c r="BC59" s="35"/>
      <c r="BD59" s="28">
        <f>COUNTIFS(DataRegularSeason20242025!$E$2:$E$1315,TotalTeamGames20242025!BC$1,DataRegularSeason20242025!$D$2:$D$1315,TotalTeamGames20242025!$A59)</f>
        <v>1</v>
      </c>
      <c r="BE59" s="35"/>
      <c r="BF59" s="27">
        <f>COUNTIFS(DataRegularSeason20242025!$E$2:$E$1315,TotalTeamGames20242025!BE$1,DataRegularSeason20242025!$D$2:$D$1315,TotalTeamGames20242025!$A59)</f>
        <v>1</v>
      </c>
      <c r="BG59" s="40"/>
      <c r="BH59" s="36"/>
      <c r="BI59" s="35"/>
      <c r="BJ59" s="28">
        <f>COUNTIFS(DataRegularSeason20242025!$E$2:$E$1315,TotalTeamGames20242025!BI$1,DataRegularSeason20242025!$D$2:$D$1315,TotalTeamGames20242025!$A59)</f>
        <v>2</v>
      </c>
      <c r="BK59" s="35"/>
      <c r="BL59" s="28">
        <f>COUNTIFS(DataRegularSeason20242025!$E$2:$E$1315,TotalTeamGames20242025!BK$1,DataRegularSeason20242025!$D$2:$D$1315,TotalTeamGames20242025!$A59)</f>
        <v>1</v>
      </c>
      <c r="BM59" s="35"/>
      <c r="BN59" s="28">
        <f>COUNTIFS(DataRegularSeason20242025!$E$2:$E$1315,TotalTeamGames20242025!BM$1,DataRegularSeason20242025!$D$2:$D$1315,TotalTeamGames20242025!$A59)</f>
        <v>1</v>
      </c>
      <c r="BO59" s="30">
        <f t="shared" si="0"/>
        <v>41</v>
      </c>
      <c r="BP59" s="165">
        <f t="shared" ref="BP59" si="28">BO59+BO60</f>
        <v>82</v>
      </c>
    </row>
    <row r="60" spans="1:68" ht="9.9499999999999993" customHeight="1" x14ac:dyDescent="0.25">
      <c r="A60" s="167"/>
      <c r="B60" s="32" t="s">
        <v>73</v>
      </c>
      <c r="C60" s="31">
        <f>COUNTIFS(DataRegularSeason20242025!$D$2:$D$1315,TotalTeamGames20242025!C$1,DataRegularSeason20242025!$E$2:$E$1315,TotalTeamGames20242025!$A59)</f>
        <v>2</v>
      </c>
      <c r="D60" s="39"/>
      <c r="E60" s="31">
        <f>COUNTIFS(DataRegularSeason20242025!$D$2:$D$1315,TotalTeamGames20242025!E$1,DataRegularSeason20242025!$E$2:$E$1315,TotalTeamGames20242025!$A59)</f>
        <v>1</v>
      </c>
      <c r="F60" s="39"/>
      <c r="G60" s="31">
        <f>COUNTIFS(DataRegularSeason20242025!$D$2:$D$1315,TotalTeamGames20242025!G$1,DataRegularSeason20242025!$E$2:$E$1315,TotalTeamGames20242025!$A59)</f>
        <v>1</v>
      </c>
      <c r="H60" s="39"/>
      <c r="I60" s="31">
        <f>COUNTIFS(DataRegularSeason20242025!$D$2:$D$1315,TotalTeamGames20242025!I$1,DataRegularSeason20242025!$E$2:$E$1315,TotalTeamGames20242025!$A59)</f>
        <v>1</v>
      </c>
      <c r="J60" s="39"/>
      <c r="K60" s="31">
        <f>COUNTIFS(DataRegularSeason20242025!$D$2:$D$1315,TotalTeamGames20242025!K$1,DataRegularSeason20242025!$E$2:$E$1315,TotalTeamGames20242025!$A59)</f>
        <v>1</v>
      </c>
      <c r="L60" s="39"/>
      <c r="M60" s="31">
        <f>COUNTIFS(DataRegularSeason20242025!$D$2:$D$1315,TotalTeamGames20242025!M$1,DataRegularSeason20242025!$E$2:$E$1315,TotalTeamGames20242025!$A59)</f>
        <v>2</v>
      </c>
      <c r="N60" s="39"/>
      <c r="O60" s="31">
        <f>COUNTIFS(DataRegularSeason20242025!$D$2:$D$1315,TotalTeamGames20242025!O$1,DataRegularSeason20242025!$E$2:$E$1315,TotalTeamGames20242025!$A59)</f>
        <v>1</v>
      </c>
      <c r="P60" s="39"/>
      <c r="Q60" s="31">
        <f>COUNTIFS(DataRegularSeason20242025!$D$2:$D$1315,TotalTeamGames20242025!Q$1,DataRegularSeason20242025!$E$2:$E$1315,TotalTeamGames20242025!$A59)</f>
        <v>1</v>
      </c>
      <c r="R60" s="39"/>
      <c r="S60" s="31">
        <f>COUNTIFS(DataRegularSeason20242025!$D$2:$D$1315,TotalTeamGames20242025!S$1,DataRegularSeason20242025!$E$2:$E$1315,TotalTeamGames20242025!$A59)</f>
        <v>2</v>
      </c>
      <c r="T60" s="39"/>
      <c r="U60" s="31">
        <f>COUNTIFS(DataRegularSeason20242025!$D$2:$D$1315,TotalTeamGames20242025!U$1,DataRegularSeason20242025!$E$2:$E$1315,TotalTeamGames20242025!$A59)</f>
        <v>1</v>
      </c>
      <c r="V60" s="39"/>
      <c r="W60" s="31">
        <f>COUNTIFS(DataRegularSeason20242025!$D$2:$D$1315,TotalTeamGames20242025!W$1,DataRegularSeason20242025!$E$2:$E$1315,TotalTeamGames20242025!$A59)</f>
        <v>2</v>
      </c>
      <c r="X60" s="39"/>
      <c r="Y60" s="31">
        <f>COUNTIFS(DataRegularSeason20242025!$D$2:$D$1315,TotalTeamGames20242025!Y$1,DataRegularSeason20242025!$E$2:$E$1315,TotalTeamGames20242025!$A59)</f>
        <v>1</v>
      </c>
      <c r="Z60" s="39"/>
      <c r="AA60" s="31">
        <f>COUNTIFS(DataRegularSeason20242025!$D$2:$D$1315,TotalTeamGames20242025!AA$1,DataRegularSeason20242025!$E$2:$E$1315,TotalTeamGames20242025!$A59)</f>
        <v>2</v>
      </c>
      <c r="AB60" s="39"/>
      <c r="AC60" s="31">
        <f>COUNTIFS(DataRegularSeason20242025!$D$2:$D$1315,TotalTeamGames20242025!AC$1,DataRegularSeason20242025!$E$2:$E$1315,TotalTeamGames20242025!$A59)</f>
        <v>1</v>
      </c>
      <c r="AD60" s="39"/>
      <c r="AE60" s="31">
        <f>COUNTIFS(DataRegularSeason20242025!$D$2:$D$1315,TotalTeamGames20242025!AE$1,DataRegularSeason20242025!$E$2:$E$1315,TotalTeamGames20242025!$A59)</f>
        <v>1</v>
      </c>
      <c r="AF60" s="39"/>
      <c r="AG60" s="31">
        <f>COUNTIFS(DataRegularSeason20242025!$D$2:$D$1315,TotalTeamGames20242025!AG$1,DataRegularSeason20242025!$E$2:$E$1315,TotalTeamGames20242025!$A59)</f>
        <v>1</v>
      </c>
      <c r="AH60" s="39"/>
      <c r="AI60" s="31">
        <f>COUNTIFS(DataRegularSeason20242025!$D$2:$D$1315,TotalTeamGames20242025!AI$1,DataRegularSeason20242025!$E$2:$E$1315,TotalTeamGames20242025!$A59)</f>
        <v>1</v>
      </c>
      <c r="AJ60" s="39"/>
      <c r="AK60" s="31">
        <f>COUNTIFS(DataRegularSeason20242025!$D$2:$D$1315,TotalTeamGames20242025!AK$1,DataRegularSeason20242025!$E$2:$E$1315,TotalTeamGames20242025!$A59)</f>
        <v>1</v>
      </c>
      <c r="AL60" s="39"/>
      <c r="AM60" s="31">
        <f>COUNTIFS(DataRegularSeason20242025!$D$2:$D$1315,TotalTeamGames20242025!AM$1,DataRegularSeason20242025!$E$2:$E$1315,TotalTeamGames20242025!$A59)</f>
        <v>1</v>
      </c>
      <c r="AN60" s="39"/>
      <c r="AO60" s="31">
        <f>COUNTIFS(DataRegularSeason20242025!$D$2:$D$1315,TotalTeamGames20242025!AO$1,DataRegularSeason20242025!$E$2:$E$1315,TotalTeamGames20242025!$A59)</f>
        <v>1</v>
      </c>
      <c r="AP60" s="39"/>
      <c r="AQ60" s="31">
        <f>COUNTIFS(DataRegularSeason20242025!$D$2:$D$1315,TotalTeamGames20242025!AQ$1,DataRegularSeason20242025!$E$2:$E$1315,TotalTeamGames20242025!$A59)</f>
        <v>1</v>
      </c>
      <c r="AR60" s="39"/>
      <c r="AS60" s="31">
        <f>COUNTIFS(DataRegularSeason20242025!$D$2:$D$1315,TotalTeamGames20242025!AS$1,DataRegularSeason20242025!$E$2:$E$1315,TotalTeamGames20242025!$A59)</f>
        <v>1</v>
      </c>
      <c r="AT60" s="39"/>
      <c r="AU60" s="31">
        <f>COUNTIFS(DataRegularSeason20242025!$D$2:$D$1315,TotalTeamGames20242025!AU$1,DataRegularSeason20242025!$E$2:$E$1315,TotalTeamGames20242025!$A59)</f>
        <v>2</v>
      </c>
      <c r="AV60" s="39"/>
      <c r="AW60" s="31">
        <f>COUNTIFS(DataRegularSeason20242025!$D$2:$D$1315,TotalTeamGames20242025!AW$1,DataRegularSeason20242025!$E$2:$E$1315,TotalTeamGames20242025!$A59)</f>
        <v>2</v>
      </c>
      <c r="AX60" s="39"/>
      <c r="AY60" s="31">
        <f>COUNTIFS(DataRegularSeason20242025!$D$2:$D$1315,TotalTeamGames20242025!AY$1,DataRegularSeason20242025!$E$2:$E$1315,TotalTeamGames20242025!$A59)</f>
        <v>2</v>
      </c>
      <c r="AZ60" s="39"/>
      <c r="BA60" s="31">
        <f>COUNTIFS(DataRegularSeason20242025!$D$2:$D$1315,TotalTeamGames20242025!BA$1,DataRegularSeason20242025!$E$2:$E$1315,TotalTeamGames20242025!$A59)</f>
        <v>1</v>
      </c>
      <c r="BB60" s="39"/>
      <c r="BC60" s="31">
        <f>COUNTIFS(DataRegularSeason20242025!$D$2:$D$1315,TotalTeamGames20242025!BC$1,DataRegularSeason20242025!$E$2:$E$1315,TotalTeamGames20242025!$A59)</f>
        <v>1</v>
      </c>
      <c r="BD60" s="39"/>
      <c r="BE60" s="31">
        <f>COUNTIFS(DataRegularSeason20242025!$D$2:$D$1315,TotalTeamGames20242025!BE$1,DataRegularSeason20242025!$E$2:$E$1315,TotalTeamGames20242025!$A59)</f>
        <v>2</v>
      </c>
      <c r="BF60" s="38"/>
      <c r="BG60" s="41"/>
      <c r="BH60" s="39"/>
      <c r="BI60" s="31">
        <f>COUNTIFS(DataRegularSeason20242025!$D$2:$D$1315,TotalTeamGames20242025!BI$1,DataRegularSeason20242025!$E$2:$E$1315,TotalTeamGames20242025!$A59)</f>
        <v>1</v>
      </c>
      <c r="BJ60" s="39"/>
      <c r="BK60" s="31">
        <f>COUNTIFS(DataRegularSeason20242025!$D$2:$D$1315,TotalTeamGames20242025!BK$1,DataRegularSeason20242025!$E$2:$E$1315,TotalTeamGames20242025!$A59)</f>
        <v>2</v>
      </c>
      <c r="BL60" s="39"/>
      <c r="BM60" s="31">
        <f>COUNTIFS(DataRegularSeason20242025!$D$2:$D$1315,TotalTeamGames20242025!BM$1,DataRegularSeason20242025!$E$2:$E$1315,TotalTeamGames20242025!$A59)</f>
        <v>1</v>
      </c>
      <c r="BN60" s="39"/>
      <c r="BO60" s="34">
        <f t="shared" si="0"/>
        <v>41</v>
      </c>
      <c r="BP60" s="165"/>
    </row>
    <row r="61" spans="1:68" ht="9.9499999999999993" customHeight="1" x14ac:dyDescent="0.25">
      <c r="A61" s="166" t="s">
        <v>26</v>
      </c>
      <c r="B61" s="28" t="s">
        <v>74</v>
      </c>
      <c r="C61" s="35"/>
      <c r="D61" s="28">
        <f>COUNTIFS(DataRegularSeason20242025!$E$2:$E$1315,TotalTeamGames20242025!C$1,DataRegularSeason20242025!$D$2:$D$1315,TotalTeamGames20242025!$A61)</f>
        <v>2</v>
      </c>
      <c r="E61" s="35"/>
      <c r="F61" s="28">
        <f>COUNTIFS(DataRegularSeason20242025!$E$2:$E$1315,TotalTeamGames20242025!E$1,DataRegularSeason20242025!$D$2:$D$1315,TotalTeamGames20242025!$A61)</f>
        <v>1</v>
      </c>
      <c r="G61" s="35"/>
      <c r="H61" s="28">
        <f>COUNTIFS(DataRegularSeason20242025!$E$2:$E$1315,TotalTeamGames20242025!G$1,DataRegularSeason20242025!$D$2:$D$1315,TotalTeamGames20242025!$A61)</f>
        <v>1</v>
      </c>
      <c r="I61" s="35"/>
      <c r="J61" s="28">
        <f>COUNTIFS(DataRegularSeason20242025!$E$2:$E$1315,TotalTeamGames20242025!I$1,DataRegularSeason20242025!$D$2:$D$1315,TotalTeamGames20242025!$A61)</f>
        <v>1</v>
      </c>
      <c r="K61" s="35"/>
      <c r="L61" s="28">
        <f>COUNTIFS(DataRegularSeason20242025!$E$2:$E$1315,TotalTeamGames20242025!K$1,DataRegularSeason20242025!$D$2:$D$1315,TotalTeamGames20242025!$A61)</f>
        <v>1</v>
      </c>
      <c r="M61" s="35"/>
      <c r="N61" s="28">
        <f>COUNTIFS(DataRegularSeason20242025!$E$2:$E$1315,TotalTeamGames20242025!M$1,DataRegularSeason20242025!$D$2:$D$1315,TotalTeamGames20242025!$A61)</f>
        <v>2</v>
      </c>
      <c r="O61" s="35"/>
      <c r="P61" s="28">
        <f>COUNTIFS(DataRegularSeason20242025!$E$2:$E$1315,TotalTeamGames20242025!O$1,DataRegularSeason20242025!$D$2:$D$1315,TotalTeamGames20242025!$A61)</f>
        <v>1</v>
      </c>
      <c r="Q61" s="35"/>
      <c r="R61" s="28">
        <f>COUNTIFS(DataRegularSeason20242025!$E$2:$E$1315,TotalTeamGames20242025!Q$1,DataRegularSeason20242025!$D$2:$D$1315,TotalTeamGames20242025!$A61)</f>
        <v>1</v>
      </c>
      <c r="S61" s="35"/>
      <c r="T61" s="28">
        <f>COUNTIFS(DataRegularSeason20242025!$E$2:$E$1315,TotalTeamGames20242025!S$1,DataRegularSeason20242025!$D$2:$D$1315,TotalTeamGames20242025!$A61)</f>
        <v>2</v>
      </c>
      <c r="U61" s="35"/>
      <c r="V61" s="28">
        <f>COUNTIFS(DataRegularSeason20242025!$E$2:$E$1315,TotalTeamGames20242025!U$1,DataRegularSeason20242025!$D$2:$D$1315,TotalTeamGames20242025!$A61)</f>
        <v>1</v>
      </c>
      <c r="W61" s="35"/>
      <c r="X61" s="28">
        <f>COUNTIFS(DataRegularSeason20242025!$E$2:$E$1315,TotalTeamGames20242025!W$1,DataRegularSeason20242025!$D$2:$D$1315,TotalTeamGames20242025!$A61)</f>
        <v>2</v>
      </c>
      <c r="Y61" s="35"/>
      <c r="Z61" s="28">
        <f>COUNTIFS(DataRegularSeason20242025!$E$2:$E$1315,TotalTeamGames20242025!Y$1,DataRegularSeason20242025!$D$2:$D$1315,TotalTeamGames20242025!$A61)</f>
        <v>1</v>
      </c>
      <c r="AA61" s="35"/>
      <c r="AB61" s="28">
        <f>COUNTIFS(DataRegularSeason20242025!$E$2:$E$1315,TotalTeamGames20242025!AA$1,DataRegularSeason20242025!$D$2:$D$1315,TotalTeamGames20242025!$A61)</f>
        <v>2</v>
      </c>
      <c r="AC61" s="35"/>
      <c r="AD61" s="28">
        <f>COUNTIFS(DataRegularSeason20242025!$E$2:$E$1315,TotalTeamGames20242025!AC$1,DataRegularSeason20242025!$D$2:$D$1315,TotalTeamGames20242025!$A61)</f>
        <v>1</v>
      </c>
      <c r="AE61" s="35"/>
      <c r="AF61" s="28">
        <f>COUNTIFS(DataRegularSeason20242025!$E$2:$E$1315,TotalTeamGames20242025!AE$1,DataRegularSeason20242025!$D$2:$D$1315,TotalTeamGames20242025!$A61)</f>
        <v>1</v>
      </c>
      <c r="AG61" s="35"/>
      <c r="AH61" s="28">
        <f>COUNTIFS(DataRegularSeason20242025!$E$2:$E$1315,TotalTeamGames20242025!AG$1,DataRegularSeason20242025!$D$2:$D$1315,TotalTeamGames20242025!$A61)</f>
        <v>1</v>
      </c>
      <c r="AI61" s="35"/>
      <c r="AJ61" s="28">
        <f>COUNTIFS(DataRegularSeason20242025!$E$2:$E$1315,TotalTeamGames20242025!AI$1,DataRegularSeason20242025!$D$2:$D$1315,TotalTeamGames20242025!$A61)</f>
        <v>1</v>
      </c>
      <c r="AK61" s="35"/>
      <c r="AL61" s="28">
        <f>COUNTIFS(DataRegularSeason20242025!$E$2:$E$1315,TotalTeamGames20242025!AK$1,DataRegularSeason20242025!$D$2:$D$1315,TotalTeamGames20242025!$A61)</f>
        <v>1</v>
      </c>
      <c r="AM61" s="35"/>
      <c r="AN61" s="28">
        <f>COUNTIFS(DataRegularSeason20242025!$E$2:$E$1315,TotalTeamGames20242025!AM$1,DataRegularSeason20242025!$D$2:$D$1315,TotalTeamGames20242025!$A61)</f>
        <v>1</v>
      </c>
      <c r="AO61" s="35"/>
      <c r="AP61" s="28">
        <f>COUNTIFS(DataRegularSeason20242025!$E$2:$E$1315,TotalTeamGames20242025!AO$1,DataRegularSeason20242025!$D$2:$D$1315,TotalTeamGames20242025!$A61)</f>
        <v>1</v>
      </c>
      <c r="AQ61" s="35"/>
      <c r="AR61" s="28">
        <f>COUNTIFS(DataRegularSeason20242025!$E$2:$E$1315,TotalTeamGames20242025!AQ$1,DataRegularSeason20242025!$D$2:$D$1315,TotalTeamGames20242025!$A61)</f>
        <v>1</v>
      </c>
      <c r="AS61" s="35"/>
      <c r="AT61" s="28">
        <f>COUNTIFS(DataRegularSeason20242025!$E$2:$E$1315,TotalTeamGames20242025!AS$1,DataRegularSeason20242025!$D$2:$D$1315,TotalTeamGames20242025!$A61)</f>
        <v>1</v>
      </c>
      <c r="AU61" s="35"/>
      <c r="AV61" s="28">
        <f>COUNTIFS(DataRegularSeason20242025!$E$2:$E$1315,TotalTeamGames20242025!AU$1,DataRegularSeason20242025!$D$2:$D$1315,TotalTeamGames20242025!$A61)</f>
        <v>2</v>
      </c>
      <c r="AW61" s="35"/>
      <c r="AX61" s="28">
        <f>COUNTIFS(DataRegularSeason20242025!$E$2:$E$1315,TotalTeamGames20242025!AW$1,DataRegularSeason20242025!$D$2:$D$1315,TotalTeamGames20242025!$A61)</f>
        <v>2</v>
      </c>
      <c r="AY61" s="35"/>
      <c r="AZ61" s="28">
        <f>COUNTIFS(DataRegularSeason20242025!$E$2:$E$1315,TotalTeamGames20242025!AY$1,DataRegularSeason20242025!$D$2:$D$1315,TotalTeamGames20242025!$A61)</f>
        <v>2</v>
      </c>
      <c r="BA61" s="35"/>
      <c r="BB61" s="28">
        <f>COUNTIFS(DataRegularSeason20242025!$E$2:$E$1315,TotalTeamGames20242025!BA$1,DataRegularSeason20242025!$D$2:$D$1315,TotalTeamGames20242025!$A61)</f>
        <v>1</v>
      </c>
      <c r="BC61" s="35"/>
      <c r="BD61" s="28">
        <f>COUNTIFS(DataRegularSeason20242025!$E$2:$E$1315,TotalTeamGames20242025!BC$1,DataRegularSeason20242025!$D$2:$D$1315,TotalTeamGames20242025!$A61)</f>
        <v>1</v>
      </c>
      <c r="BE61" s="35"/>
      <c r="BF61" s="27">
        <f>COUNTIFS(DataRegularSeason20242025!$E$2:$E$1315,TotalTeamGames20242025!BE$1,DataRegularSeason20242025!$D$2:$D$1315,TotalTeamGames20242025!$A61)</f>
        <v>2</v>
      </c>
      <c r="BG61" s="40"/>
      <c r="BH61" s="28">
        <f>COUNTIFS(DataRegularSeason20242025!$E$2:$E$1315,TotalTeamGames20242025!BG$1,DataRegularSeason20242025!$D$2:$D$1315,TotalTeamGames20242025!$A61)</f>
        <v>1</v>
      </c>
      <c r="BI61" s="35"/>
      <c r="BJ61" s="36"/>
      <c r="BK61" s="35"/>
      <c r="BL61" s="28">
        <f>COUNTIFS(DataRegularSeason20242025!$E$2:$E$1315,TotalTeamGames20242025!BK$1,DataRegularSeason20242025!$D$2:$D$1315,TotalTeamGames20242025!$A61)</f>
        <v>2</v>
      </c>
      <c r="BM61" s="35"/>
      <c r="BN61" s="28">
        <f>COUNTIFS(DataRegularSeason20242025!$E$2:$E$1315,TotalTeamGames20242025!BM$1,DataRegularSeason20242025!$D$2:$D$1315,TotalTeamGames20242025!$A61)</f>
        <v>1</v>
      </c>
      <c r="BO61" s="30">
        <f t="shared" si="0"/>
        <v>41</v>
      </c>
      <c r="BP61" s="165">
        <f t="shared" ref="BP61" si="29">BO61+BO62</f>
        <v>82</v>
      </c>
    </row>
    <row r="62" spans="1:68" ht="9.9499999999999993" customHeight="1" x14ac:dyDescent="0.25">
      <c r="A62" s="167"/>
      <c r="B62" s="32" t="s">
        <v>73</v>
      </c>
      <c r="C62" s="31">
        <f>COUNTIFS(DataRegularSeason20242025!$D$2:$D$1315,TotalTeamGames20242025!C$1,DataRegularSeason20242025!$E$2:$E$1315,TotalTeamGames20242025!$A61)</f>
        <v>1</v>
      </c>
      <c r="D62" s="39"/>
      <c r="E62" s="31">
        <f>COUNTIFS(DataRegularSeason20242025!$D$2:$D$1315,TotalTeamGames20242025!E$1,DataRegularSeason20242025!$E$2:$E$1315,TotalTeamGames20242025!$A61)</f>
        <v>1</v>
      </c>
      <c r="F62" s="39"/>
      <c r="G62" s="31">
        <f>COUNTIFS(DataRegularSeason20242025!$D$2:$D$1315,TotalTeamGames20242025!G$1,DataRegularSeason20242025!$E$2:$E$1315,TotalTeamGames20242025!$A61)</f>
        <v>1</v>
      </c>
      <c r="H62" s="39"/>
      <c r="I62" s="31">
        <f>COUNTIFS(DataRegularSeason20242025!$D$2:$D$1315,TotalTeamGames20242025!I$1,DataRegularSeason20242025!$E$2:$E$1315,TotalTeamGames20242025!$A61)</f>
        <v>1</v>
      </c>
      <c r="J62" s="39"/>
      <c r="K62" s="31">
        <f>COUNTIFS(DataRegularSeason20242025!$D$2:$D$1315,TotalTeamGames20242025!K$1,DataRegularSeason20242025!$E$2:$E$1315,TotalTeamGames20242025!$A61)</f>
        <v>1</v>
      </c>
      <c r="L62" s="39"/>
      <c r="M62" s="31">
        <f>COUNTIFS(DataRegularSeason20242025!$D$2:$D$1315,TotalTeamGames20242025!M$1,DataRegularSeason20242025!$E$2:$E$1315,TotalTeamGames20242025!$A61)</f>
        <v>2</v>
      </c>
      <c r="N62" s="39"/>
      <c r="O62" s="31">
        <f>COUNTIFS(DataRegularSeason20242025!$D$2:$D$1315,TotalTeamGames20242025!O$1,DataRegularSeason20242025!$E$2:$E$1315,TotalTeamGames20242025!$A61)</f>
        <v>2</v>
      </c>
      <c r="P62" s="39"/>
      <c r="Q62" s="31">
        <f>COUNTIFS(DataRegularSeason20242025!$D$2:$D$1315,TotalTeamGames20242025!Q$1,DataRegularSeason20242025!$E$2:$E$1315,TotalTeamGames20242025!$A61)</f>
        <v>2</v>
      </c>
      <c r="R62" s="39"/>
      <c r="S62" s="31">
        <f>COUNTIFS(DataRegularSeason20242025!$D$2:$D$1315,TotalTeamGames20242025!S$1,DataRegularSeason20242025!$E$2:$E$1315,TotalTeamGames20242025!$A61)</f>
        <v>1</v>
      </c>
      <c r="T62" s="39"/>
      <c r="U62" s="31">
        <f>COUNTIFS(DataRegularSeason20242025!$D$2:$D$1315,TotalTeamGames20242025!U$1,DataRegularSeason20242025!$E$2:$E$1315,TotalTeamGames20242025!$A61)</f>
        <v>1</v>
      </c>
      <c r="V62" s="39"/>
      <c r="W62" s="31">
        <f>COUNTIFS(DataRegularSeason20242025!$D$2:$D$1315,TotalTeamGames20242025!W$1,DataRegularSeason20242025!$E$2:$E$1315,TotalTeamGames20242025!$A61)</f>
        <v>2</v>
      </c>
      <c r="X62" s="39"/>
      <c r="Y62" s="31">
        <f>COUNTIFS(DataRegularSeason20242025!$D$2:$D$1315,TotalTeamGames20242025!Y$1,DataRegularSeason20242025!$E$2:$E$1315,TotalTeamGames20242025!$A61)</f>
        <v>1</v>
      </c>
      <c r="Z62" s="39"/>
      <c r="AA62" s="31">
        <f>COUNTIFS(DataRegularSeason20242025!$D$2:$D$1315,TotalTeamGames20242025!AA$1,DataRegularSeason20242025!$E$2:$E$1315,TotalTeamGames20242025!$A61)</f>
        <v>2</v>
      </c>
      <c r="AB62" s="39"/>
      <c r="AC62" s="31">
        <f>COUNTIFS(DataRegularSeason20242025!$D$2:$D$1315,TotalTeamGames20242025!AC$1,DataRegularSeason20242025!$E$2:$E$1315,TotalTeamGames20242025!$A61)</f>
        <v>2</v>
      </c>
      <c r="AD62" s="39"/>
      <c r="AE62" s="31">
        <f>COUNTIFS(DataRegularSeason20242025!$D$2:$D$1315,TotalTeamGames20242025!AE$1,DataRegularSeason20242025!$E$2:$E$1315,TotalTeamGames20242025!$A61)</f>
        <v>1</v>
      </c>
      <c r="AF62" s="39"/>
      <c r="AG62" s="31">
        <f>COUNTIFS(DataRegularSeason20242025!$D$2:$D$1315,TotalTeamGames20242025!AG$1,DataRegularSeason20242025!$E$2:$E$1315,TotalTeamGames20242025!$A61)</f>
        <v>1</v>
      </c>
      <c r="AH62" s="39"/>
      <c r="AI62" s="31">
        <f>COUNTIFS(DataRegularSeason20242025!$D$2:$D$1315,TotalTeamGames20242025!AI$1,DataRegularSeason20242025!$E$2:$E$1315,TotalTeamGames20242025!$A61)</f>
        <v>2</v>
      </c>
      <c r="AJ62" s="39"/>
      <c r="AK62" s="31">
        <f>COUNTIFS(DataRegularSeason20242025!$D$2:$D$1315,TotalTeamGames20242025!AK$1,DataRegularSeason20242025!$E$2:$E$1315,TotalTeamGames20242025!$A61)</f>
        <v>1</v>
      </c>
      <c r="AL62" s="39"/>
      <c r="AM62" s="31">
        <f>COUNTIFS(DataRegularSeason20242025!$D$2:$D$1315,TotalTeamGames20242025!AM$1,DataRegularSeason20242025!$E$2:$E$1315,TotalTeamGames20242025!$A61)</f>
        <v>1</v>
      </c>
      <c r="AN62" s="39"/>
      <c r="AO62" s="31">
        <f>COUNTIFS(DataRegularSeason20242025!$D$2:$D$1315,TotalTeamGames20242025!AO$1,DataRegularSeason20242025!$E$2:$E$1315,TotalTeamGames20242025!$A61)</f>
        <v>1</v>
      </c>
      <c r="AP62" s="39"/>
      <c r="AQ62" s="31">
        <f>COUNTIFS(DataRegularSeason20242025!$D$2:$D$1315,TotalTeamGames20242025!AQ$1,DataRegularSeason20242025!$E$2:$E$1315,TotalTeamGames20242025!$A61)</f>
        <v>1</v>
      </c>
      <c r="AR62" s="39"/>
      <c r="AS62" s="31">
        <f>COUNTIFS(DataRegularSeason20242025!$D$2:$D$1315,TotalTeamGames20242025!AS$1,DataRegularSeason20242025!$E$2:$E$1315,TotalTeamGames20242025!$A61)</f>
        <v>1</v>
      </c>
      <c r="AT62" s="39"/>
      <c r="AU62" s="31">
        <f>COUNTIFS(DataRegularSeason20242025!$D$2:$D$1315,TotalTeamGames20242025!AU$1,DataRegularSeason20242025!$E$2:$E$1315,TotalTeamGames20242025!$A61)</f>
        <v>2</v>
      </c>
      <c r="AV62" s="39"/>
      <c r="AW62" s="31">
        <f>COUNTIFS(DataRegularSeason20242025!$D$2:$D$1315,TotalTeamGames20242025!AW$1,DataRegularSeason20242025!$E$2:$E$1315,TotalTeamGames20242025!$A61)</f>
        <v>2</v>
      </c>
      <c r="AX62" s="39"/>
      <c r="AY62" s="31">
        <f>COUNTIFS(DataRegularSeason20242025!$D$2:$D$1315,TotalTeamGames20242025!AY$1,DataRegularSeason20242025!$E$2:$E$1315,TotalTeamGames20242025!$A61)</f>
        <v>1</v>
      </c>
      <c r="AZ62" s="39"/>
      <c r="BA62" s="31">
        <f>COUNTIFS(DataRegularSeason20242025!$D$2:$D$1315,TotalTeamGames20242025!BA$1,DataRegularSeason20242025!$E$2:$E$1315,TotalTeamGames20242025!$A61)</f>
        <v>1</v>
      </c>
      <c r="BB62" s="39"/>
      <c r="BC62" s="31">
        <f>COUNTIFS(DataRegularSeason20242025!$D$2:$D$1315,TotalTeamGames20242025!BC$1,DataRegularSeason20242025!$E$2:$E$1315,TotalTeamGames20242025!$A61)</f>
        <v>1</v>
      </c>
      <c r="BD62" s="39"/>
      <c r="BE62" s="31">
        <f>COUNTIFS(DataRegularSeason20242025!$D$2:$D$1315,TotalTeamGames20242025!BE$1,DataRegularSeason20242025!$E$2:$E$1315,TotalTeamGames20242025!$A61)</f>
        <v>1</v>
      </c>
      <c r="BF62" s="38"/>
      <c r="BG62" s="33">
        <f>COUNTIFS(DataRegularSeason20242025!$D$2:$D$1315,TotalTeamGames20242025!BG$1,DataRegularSeason20242025!$E$2:$E$1315,TotalTeamGames20242025!$A61)</f>
        <v>2</v>
      </c>
      <c r="BH62" s="39"/>
      <c r="BI62" s="38"/>
      <c r="BJ62" s="39"/>
      <c r="BK62" s="31">
        <f>COUNTIFS(DataRegularSeason20242025!$D$2:$D$1315,TotalTeamGames20242025!BK$1,DataRegularSeason20242025!$E$2:$E$1315,TotalTeamGames20242025!$A61)</f>
        <v>1</v>
      </c>
      <c r="BL62" s="39"/>
      <c r="BM62" s="31">
        <f>COUNTIFS(DataRegularSeason20242025!$D$2:$D$1315,TotalTeamGames20242025!BM$1,DataRegularSeason20242025!$E$2:$E$1315,TotalTeamGames20242025!$A61)</f>
        <v>1</v>
      </c>
      <c r="BN62" s="39"/>
      <c r="BO62" s="34">
        <f t="shared" si="0"/>
        <v>41</v>
      </c>
      <c r="BP62" s="165"/>
    </row>
    <row r="63" spans="1:68" ht="9.9499999999999993" customHeight="1" x14ac:dyDescent="0.25">
      <c r="A63" s="166" t="s">
        <v>21</v>
      </c>
      <c r="B63" s="28" t="s">
        <v>74</v>
      </c>
      <c r="C63" s="35"/>
      <c r="D63" s="28">
        <f>COUNTIFS(DataRegularSeason20242025!$E$2:$E$1315,TotalTeamGames20242025!C$1,DataRegularSeason20242025!$D$2:$D$1315,TotalTeamGames20242025!$A63)</f>
        <v>2</v>
      </c>
      <c r="E63" s="35"/>
      <c r="F63" s="28">
        <f>COUNTIFS(DataRegularSeason20242025!$E$2:$E$1315,TotalTeamGames20242025!E$1,DataRegularSeason20242025!$D$2:$D$1315,TotalTeamGames20242025!$A63)</f>
        <v>1</v>
      </c>
      <c r="G63" s="35"/>
      <c r="H63" s="28">
        <f>COUNTIFS(DataRegularSeason20242025!$E$2:$E$1315,TotalTeamGames20242025!G$1,DataRegularSeason20242025!$D$2:$D$1315,TotalTeamGames20242025!$A63)</f>
        <v>1</v>
      </c>
      <c r="I63" s="35"/>
      <c r="J63" s="28">
        <f>COUNTIFS(DataRegularSeason20242025!$E$2:$E$1315,TotalTeamGames20242025!I$1,DataRegularSeason20242025!$D$2:$D$1315,TotalTeamGames20242025!$A63)</f>
        <v>1</v>
      </c>
      <c r="K63" s="35"/>
      <c r="L63" s="28">
        <f>COUNTIFS(DataRegularSeason20242025!$E$2:$E$1315,TotalTeamGames20242025!K$1,DataRegularSeason20242025!$D$2:$D$1315,TotalTeamGames20242025!$A63)</f>
        <v>1</v>
      </c>
      <c r="M63" s="35"/>
      <c r="N63" s="28">
        <f>COUNTIFS(DataRegularSeason20242025!$E$2:$E$1315,TotalTeamGames20242025!M$1,DataRegularSeason20242025!$D$2:$D$1315,TotalTeamGames20242025!$A63)</f>
        <v>2</v>
      </c>
      <c r="O63" s="35"/>
      <c r="P63" s="28">
        <f>COUNTIFS(DataRegularSeason20242025!$E$2:$E$1315,TotalTeamGames20242025!O$1,DataRegularSeason20242025!$D$2:$D$1315,TotalTeamGames20242025!$A63)</f>
        <v>2</v>
      </c>
      <c r="Q63" s="35"/>
      <c r="R63" s="28">
        <f>COUNTIFS(DataRegularSeason20242025!$E$2:$E$1315,TotalTeamGames20242025!Q$1,DataRegularSeason20242025!$D$2:$D$1315,TotalTeamGames20242025!$A63)</f>
        <v>2</v>
      </c>
      <c r="S63" s="35"/>
      <c r="T63" s="28">
        <f>COUNTIFS(DataRegularSeason20242025!$E$2:$E$1315,TotalTeamGames20242025!S$1,DataRegularSeason20242025!$D$2:$D$1315,TotalTeamGames20242025!$A63)</f>
        <v>2</v>
      </c>
      <c r="U63" s="35"/>
      <c r="V63" s="28">
        <f>COUNTIFS(DataRegularSeason20242025!$E$2:$E$1315,TotalTeamGames20242025!U$1,DataRegularSeason20242025!$D$2:$D$1315,TotalTeamGames20242025!$A63)</f>
        <v>1</v>
      </c>
      <c r="W63" s="35"/>
      <c r="X63" s="28">
        <f>COUNTIFS(DataRegularSeason20242025!$E$2:$E$1315,TotalTeamGames20242025!W$1,DataRegularSeason20242025!$D$2:$D$1315,TotalTeamGames20242025!$A63)</f>
        <v>1</v>
      </c>
      <c r="Y63" s="35"/>
      <c r="Z63" s="28">
        <f>COUNTIFS(DataRegularSeason20242025!$E$2:$E$1315,TotalTeamGames20242025!Y$1,DataRegularSeason20242025!$D$2:$D$1315,TotalTeamGames20242025!$A63)</f>
        <v>1</v>
      </c>
      <c r="AA63" s="35"/>
      <c r="AB63" s="28">
        <f>COUNTIFS(DataRegularSeason20242025!$E$2:$E$1315,TotalTeamGames20242025!AA$1,DataRegularSeason20242025!$D$2:$D$1315,TotalTeamGames20242025!$A63)</f>
        <v>1</v>
      </c>
      <c r="AC63" s="35"/>
      <c r="AD63" s="28">
        <f>COUNTIFS(DataRegularSeason20242025!$E$2:$E$1315,TotalTeamGames20242025!AC$1,DataRegularSeason20242025!$D$2:$D$1315,TotalTeamGames20242025!$A63)</f>
        <v>2</v>
      </c>
      <c r="AE63" s="35"/>
      <c r="AF63" s="28">
        <f>COUNTIFS(DataRegularSeason20242025!$E$2:$E$1315,TotalTeamGames20242025!AE$1,DataRegularSeason20242025!$D$2:$D$1315,TotalTeamGames20242025!$A63)</f>
        <v>1</v>
      </c>
      <c r="AG63" s="35"/>
      <c r="AH63" s="28">
        <f>COUNTIFS(DataRegularSeason20242025!$E$2:$E$1315,TotalTeamGames20242025!AG$1,DataRegularSeason20242025!$D$2:$D$1315,TotalTeamGames20242025!$A63)</f>
        <v>1</v>
      </c>
      <c r="AI63" s="35"/>
      <c r="AJ63" s="28">
        <f>COUNTIFS(DataRegularSeason20242025!$E$2:$E$1315,TotalTeamGames20242025!AI$1,DataRegularSeason20242025!$D$2:$D$1315,TotalTeamGames20242025!$A63)</f>
        <v>1</v>
      </c>
      <c r="AK63" s="35"/>
      <c r="AL63" s="28">
        <f>COUNTIFS(DataRegularSeason20242025!$E$2:$E$1315,TotalTeamGames20242025!AK$1,DataRegularSeason20242025!$D$2:$D$1315,TotalTeamGames20242025!$A63)</f>
        <v>1</v>
      </c>
      <c r="AM63" s="35"/>
      <c r="AN63" s="28">
        <f>COUNTIFS(DataRegularSeason20242025!$E$2:$E$1315,TotalTeamGames20242025!AM$1,DataRegularSeason20242025!$D$2:$D$1315,TotalTeamGames20242025!$A63)</f>
        <v>1</v>
      </c>
      <c r="AO63" s="35"/>
      <c r="AP63" s="28">
        <f>COUNTIFS(DataRegularSeason20242025!$E$2:$E$1315,TotalTeamGames20242025!AO$1,DataRegularSeason20242025!$D$2:$D$1315,TotalTeamGames20242025!$A63)</f>
        <v>1</v>
      </c>
      <c r="AQ63" s="35"/>
      <c r="AR63" s="28">
        <f>COUNTIFS(DataRegularSeason20242025!$E$2:$E$1315,TotalTeamGames20242025!AQ$1,DataRegularSeason20242025!$D$2:$D$1315,TotalTeamGames20242025!$A63)</f>
        <v>1</v>
      </c>
      <c r="AS63" s="35"/>
      <c r="AT63" s="28">
        <f>COUNTIFS(DataRegularSeason20242025!$E$2:$E$1315,TotalTeamGames20242025!AS$1,DataRegularSeason20242025!$D$2:$D$1315,TotalTeamGames20242025!$A63)</f>
        <v>1</v>
      </c>
      <c r="AU63" s="35"/>
      <c r="AV63" s="28">
        <f>COUNTIFS(DataRegularSeason20242025!$E$2:$E$1315,TotalTeamGames20242025!AU$1,DataRegularSeason20242025!$D$2:$D$1315,TotalTeamGames20242025!$A63)</f>
        <v>1</v>
      </c>
      <c r="AW63" s="35"/>
      <c r="AX63" s="28">
        <f>COUNTIFS(DataRegularSeason20242025!$E$2:$E$1315,TotalTeamGames20242025!AW$1,DataRegularSeason20242025!$D$2:$D$1315,TotalTeamGames20242025!$A63)</f>
        <v>2</v>
      </c>
      <c r="AY63" s="35"/>
      <c r="AZ63" s="28">
        <f>COUNTIFS(DataRegularSeason20242025!$E$2:$E$1315,TotalTeamGames20242025!AY$1,DataRegularSeason20242025!$D$2:$D$1315,TotalTeamGames20242025!$A63)</f>
        <v>2</v>
      </c>
      <c r="BA63" s="35"/>
      <c r="BB63" s="28">
        <f>COUNTIFS(DataRegularSeason20242025!$E$2:$E$1315,TotalTeamGames20242025!BA$1,DataRegularSeason20242025!$D$2:$D$1315,TotalTeamGames20242025!$A63)</f>
        <v>1</v>
      </c>
      <c r="BC63" s="35"/>
      <c r="BD63" s="28">
        <f>COUNTIFS(DataRegularSeason20242025!$E$2:$E$1315,TotalTeamGames20242025!BC$1,DataRegularSeason20242025!$D$2:$D$1315,TotalTeamGames20242025!$A63)</f>
        <v>1</v>
      </c>
      <c r="BE63" s="35"/>
      <c r="BF63" s="27">
        <f>COUNTIFS(DataRegularSeason20242025!$E$2:$E$1315,TotalTeamGames20242025!BE$1,DataRegularSeason20242025!$D$2:$D$1315,TotalTeamGames20242025!$A63)</f>
        <v>2</v>
      </c>
      <c r="BG63" s="40"/>
      <c r="BH63" s="28">
        <f>COUNTIFS(DataRegularSeason20242025!$E$2:$E$1315,TotalTeamGames20242025!BG$1,DataRegularSeason20242025!$D$2:$D$1315,TotalTeamGames20242025!$A63)</f>
        <v>2</v>
      </c>
      <c r="BI63" s="35"/>
      <c r="BJ63" s="28">
        <f>COUNTIFS(DataRegularSeason20242025!$E$2:$E$1315,TotalTeamGames20242025!BI$1,DataRegularSeason20242025!$D$2:$D$1315,TotalTeamGames20242025!$A63)</f>
        <v>1</v>
      </c>
      <c r="BK63" s="35"/>
      <c r="BL63" s="36"/>
      <c r="BM63" s="35"/>
      <c r="BN63" s="28">
        <f>COUNTIFS(DataRegularSeason20242025!$E$2:$E$1315,TotalTeamGames20242025!BM$1,DataRegularSeason20242025!$D$2:$D$1315,TotalTeamGames20242025!$A63)</f>
        <v>1</v>
      </c>
      <c r="BO63" s="30">
        <f t="shared" si="0"/>
        <v>41</v>
      </c>
      <c r="BP63" s="165">
        <f t="shared" ref="BP63" si="30">BO63+BO64</f>
        <v>82</v>
      </c>
    </row>
    <row r="64" spans="1:68" ht="9.9499999999999993" customHeight="1" x14ac:dyDescent="0.25">
      <c r="A64" s="167"/>
      <c r="B64" s="32" t="s">
        <v>73</v>
      </c>
      <c r="C64" s="31">
        <f>COUNTIFS(DataRegularSeason20242025!$D$2:$D$1315,TotalTeamGames20242025!C$1,DataRegularSeason20242025!$E$2:$E$1315,TotalTeamGames20242025!$A63)</f>
        <v>1</v>
      </c>
      <c r="D64" s="39"/>
      <c r="E64" s="31">
        <f>COUNTIFS(DataRegularSeason20242025!$D$2:$D$1315,TotalTeamGames20242025!E$1,DataRegularSeason20242025!$E$2:$E$1315,TotalTeamGames20242025!$A63)</f>
        <v>1</v>
      </c>
      <c r="F64" s="39"/>
      <c r="G64" s="31">
        <f>COUNTIFS(DataRegularSeason20242025!$D$2:$D$1315,TotalTeamGames20242025!G$1,DataRegularSeason20242025!$E$2:$E$1315,TotalTeamGames20242025!$A63)</f>
        <v>1</v>
      </c>
      <c r="H64" s="39"/>
      <c r="I64" s="31">
        <f>COUNTIFS(DataRegularSeason20242025!$D$2:$D$1315,TotalTeamGames20242025!I$1,DataRegularSeason20242025!$E$2:$E$1315,TotalTeamGames20242025!$A63)</f>
        <v>1</v>
      </c>
      <c r="J64" s="39"/>
      <c r="K64" s="31">
        <f>COUNTIFS(DataRegularSeason20242025!$D$2:$D$1315,TotalTeamGames20242025!K$1,DataRegularSeason20242025!$E$2:$E$1315,TotalTeamGames20242025!$A63)</f>
        <v>1</v>
      </c>
      <c r="L64" s="39"/>
      <c r="M64" s="31">
        <f>COUNTIFS(DataRegularSeason20242025!$D$2:$D$1315,TotalTeamGames20242025!M$1,DataRegularSeason20242025!$E$2:$E$1315,TotalTeamGames20242025!$A63)</f>
        <v>1</v>
      </c>
      <c r="N64" s="39"/>
      <c r="O64" s="31">
        <f>COUNTIFS(DataRegularSeason20242025!$D$2:$D$1315,TotalTeamGames20242025!O$1,DataRegularSeason20242025!$E$2:$E$1315,TotalTeamGames20242025!$A63)</f>
        <v>2</v>
      </c>
      <c r="P64" s="39"/>
      <c r="Q64" s="31">
        <f>COUNTIFS(DataRegularSeason20242025!$D$2:$D$1315,TotalTeamGames20242025!Q$1,DataRegularSeason20242025!$E$2:$E$1315,TotalTeamGames20242025!$A63)</f>
        <v>2</v>
      </c>
      <c r="R64" s="39"/>
      <c r="S64" s="31">
        <f>COUNTIFS(DataRegularSeason20242025!$D$2:$D$1315,TotalTeamGames20242025!S$1,DataRegularSeason20242025!$E$2:$E$1315,TotalTeamGames20242025!$A63)</f>
        <v>2</v>
      </c>
      <c r="T64" s="39"/>
      <c r="U64" s="31">
        <f>COUNTIFS(DataRegularSeason20242025!$D$2:$D$1315,TotalTeamGames20242025!U$1,DataRegularSeason20242025!$E$2:$E$1315,TotalTeamGames20242025!$A63)</f>
        <v>1</v>
      </c>
      <c r="V64" s="39"/>
      <c r="W64" s="31">
        <f>COUNTIFS(DataRegularSeason20242025!$D$2:$D$1315,TotalTeamGames20242025!W$1,DataRegularSeason20242025!$E$2:$E$1315,TotalTeamGames20242025!$A63)</f>
        <v>2</v>
      </c>
      <c r="X64" s="39"/>
      <c r="Y64" s="31">
        <f>COUNTIFS(DataRegularSeason20242025!$D$2:$D$1315,TotalTeamGames20242025!Y$1,DataRegularSeason20242025!$E$2:$E$1315,TotalTeamGames20242025!$A63)</f>
        <v>1</v>
      </c>
      <c r="Z64" s="39"/>
      <c r="AA64" s="31">
        <f>COUNTIFS(DataRegularSeason20242025!$D$2:$D$1315,TotalTeamGames20242025!AA$1,DataRegularSeason20242025!$E$2:$E$1315,TotalTeamGames20242025!$A63)</f>
        <v>2</v>
      </c>
      <c r="AB64" s="39"/>
      <c r="AC64" s="31">
        <f>COUNTIFS(DataRegularSeason20242025!$D$2:$D$1315,TotalTeamGames20242025!AC$1,DataRegularSeason20242025!$E$2:$E$1315,TotalTeamGames20242025!$A63)</f>
        <v>2</v>
      </c>
      <c r="AD64" s="39"/>
      <c r="AE64" s="31">
        <f>COUNTIFS(DataRegularSeason20242025!$D$2:$D$1315,TotalTeamGames20242025!AE$1,DataRegularSeason20242025!$E$2:$E$1315,TotalTeamGames20242025!$A63)</f>
        <v>1</v>
      </c>
      <c r="AF64" s="39"/>
      <c r="AG64" s="31">
        <f>COUNTIFS(DataRegularSeason20242025!$D$2:$D$1315,TotalTeamGames20242025!AG$1,DataRegularSeason20242025!$E$2:$E$1315,TotalTeamGames20242025!$A63)</f>
        <v>1</v>
      </c>
      <c r="AH64" s="39"/>
      <c r="AI64" s="31">
        <f>COUNTIFS(DataRegularSeason20242025!$D$2:$D$1315,TotalTeamGames20242025!AI$1,DataRegularSeason20242025!$E$2:$E$1315,TotalTeamGames20242025!$A63)</f>
        <v>2</v>
      </c>
      <c r="AJ64" s="39"/>
      <c r="AK64" s="31">
        <f>COUNTIFS(DataRegularSeason20242025!$D$2:$D$1315,TotalTeamGames20242025!AK$1,DataRegularSeason20242025!$E$2:$E$1315,TotalTeamGames20242025!$A63)</f>
        <v>1</v>
      </c>
      <c r="AL64" s="39"/>
      <c r="AM64" s="31">
        <f>COUNTIFS(DataRegularSeason20242025!$D$2:$D$1315,TotalTeamGames20242025!AM$1,DataRegularSeason20242025!$E$2:$E$1315,TotalTeamGames20242025!$A63)</f>
        <v>1</v>
      </c>
      <c r="AN64" s="39"/>
      <c r="AO64" s="31">
        <f>COUNTIFS(DataRegularSeason20242025!$D$2:$D$1315,TotalTeamGames20242025!AO$1,DataRegularSeason20242025!$E$2:$E$1315,TotalTeamGames20242025!$A63)</f>
        <v>1</v>
      </c>
      <c r="AP64" s="39"/>
      <c r="AQ64" s="31">
        <f>COUNTIFS(DataRegularSeason20242025!$D$2:$D$1315,TotalTeamGames20242025!AQ$1,DataRegularSeason20242025!$E$2:$E$1315,TotalTeamGames20242025!$A63)</f>
        <v>1</v>
      </c>
      <c r="AR64" s="39"/>
      <c r="AS64" s="31">
        <f>COUNTIFS(DataRegularSeason20242025!$D$2:$D$1315,TotalTeamGames20242025!AS$1,DataRegularSeason20242025!$E$2:$E$1315,TotalTeamGames20242025!$A63)</f>
        <v>1</v>
      </c>
      <c r="AT64" s="39"/>
      <c r="AU64" s="31">
        <f>COUNTIFS(DataRegularSeason20242025!$D$2:$D$1315,TotalTeamGames20242025!AU$1,DataRegularSeason20242025!$E$2:$E$1315,TotalTeamGames20242025!$A63)</f>
        <v>2</v>
      </c>
      <c r="AV64" s="39"/>
      <c r="AW64" s="31">
        <f>COUNTIFS(DataRegularSeason20242025!$D$2:$D$1315,TotalTeamGames20242025!AW$1,DataRegularSeason20242025!$E$2:$E$1315,TotalTeamGames20242025!$A63)</f>
        <v>1</v>
      </c>
      <c r="AX64" s="39"/>
      <c r="AY64" s="31">
        <f>COUNTIFS(DataRegularSeason20242025!$D$2:$D$1315,TotalTeamGames20242025!AY$1,DataRegularSeason20242025!$E$2:$E$1315,TotalTeamGames20242025!$A63)</f>
        <v>2</v>
      </c>
      <c r="AZ64" s="39"/>
      <c r="BA64" s="31">
        <f>COUNTIFS(DataRegularSeason20242025!$D$2:$D$1315,TotalTeamGames20242025!BA$1,DataRegularSeason20242025!$E$2:$E$1315,TotalTeamGames20242025!$A63)</f>
        <v>1</v>
      </c>
      <c r="BB64" s="39"/>
      <c r="BC64" s="31">
        <f>COUNTIFS(DataRegularSeason20242025!$D$2:$D$1315,TotalTeamGames20242025!BC$1,DataRegularSeason20242025!$E$2:$E$1315,TotalTeamGames20242025!$A63)</f>
        <v>1</v>
      </c>
      <c r="BD64" s="39"/>
      <c r="BE64" s="31">
        <f>COUNTIFS(DataRegularSeason20242025!$D$2:$D$1315,TotalTeamGames20242025!BE$1,DataRegularSeason20242025!$E$2:$E$1315,TotalTeamGames20242025!$A63)</f>
        <v>1</v>
      </c>
      <c r="BF64" s="38"/>
      <c r="BG64" s="33">
        <f>COUNTIFS(DataRegularSeason20242025!$D$2:$D$1315,TotalTeamGames20242025!BG$1,DataRegularSeason20242025!$E$2:$E$1315,TotalTeamGames20242025!$A63)</f>
        <v>1</v>
      </c>
      <c r="BH64" s="39"/>
      <c r="BI64" s="31">
        <f>COUNTIFS(DataRegularSeason20242025!$D$2:$D$1315,TotalTeamGames20242025!BI$1,DataRegularSeason20242025!$E$2:$E$1315,TotalTeamGames20242025!$A63)</f>
        <v>2</v>
      </c>
      <c r="BJ64" s="39"/>
      <c r="BK64" s="38"/>
      <c r="BL64" s="39"/>
      <c r="BM64" s="31">
        <f>COUNTIFS(DataRegularSeason20242025!$D$2:$D$1315,TotalTeamGames20242025!BM$1,DataRegularSeason20242025!$E$2:$E$1315,TotalTeamGames20242025!$A63)</f>
        <v>1</v>
      </c>
      <c r="BN64" s="39"/>
      <c r="BO64" s="34">
        <f t="shared" si="0"/>
        <v>41</v>
      </c>
      <c r="BP64" s="165"/>
    </row>
    <row r="65" spans="1:68" ht="9.9499999999999993" customHeight="1" x14ac:dyDescent="0.25">
      <c r="A65" s="166" t="s">
        <v>43</v>
      </c>
      <c r="B65" s="28" t="s">
        <v>74</v>
      </c>
      <c r="C65" s="35"/>
      <c r="D65" s="28">
        <f>COUNTIFS(DataRegularSeason20242025!$E$2:$E$1315,TotalTeamGames20242025!C$1,DataRegularSeason20242025!$D$2:$D$1315,TotalTeamGames20242025!$A65)</f>
        <v>1</v>
      </c>
      <c r="E65" s="35"/>
      <c r="F65" s="28">
        <f>COUNTIFS(DataRegularSeason20242025!$E$2:$E$1315,TotalTeamGames20242025!E$1,DataRegularSeason20242025!$D$2:$D$1315,TotalTeamGames20242025!$A65)</f>
        <v>1</v>
      </c>
      <c r="G65" s="35"/>
      <c r="H65" s="28">
        <f>COUNTIFS(DataRegularSeason20242025!$E$2:$E$1315,TotalTeamGames20242025!G$1,DataRegularSeason20242025!$D$2:$D$1315,TotalTeamGames20242025!$A65)</f>
        <v>2</v>
      </c>
      <c r="I65" s="35"/>
      <c r="J65" s="28">
        <f>COUNTIFS(DataRegularSeason20242025!$E$2:$E$1315,TotalTeamGames20242025!I$1,DataRegularSeason20242025!$D$2:$D$1315,TotalTeamGames20242025!$A65)</f>
        <v>1</v>
      </c>
      <c r="K65" s="35"/>
      <c r="L65" s="28">
        <f>COUNTIFS(DataRegularSeason20242025!$E$2:$E$1315,TotalTeamGames20242025!K$1,DataRegularSeason20242025!$D$2:$D$1315,TotalTeamGames20242025!$A65)</f>
        <v>2</v>
      </c>
      <c r="M65" s="35"/>
      <c r="N65" s="28">
        <f>COUNTIFS(DataRegularSeason20242025!$E$2:$E$1315,TotalTeamGames20242025!M$1,DataRegularSeason20242025!$D$2:$D$1315,TotalTeamGames20242025!$A65)</f>
        <v>1</v>
      </c>
      <c r="O65" s="35"/>
      <c r="P65" s="28">
        <f>COUNTIFS(DataRegularSeason20242025!$E$2:$E$1315,TotalTeamGames20242025!O$1,DataRegularSeason20242025!$D$2:$D$1315,TotalTeamGames20242025!$A65)</f>
        <v>1</v>
      </c>
      <c r="Q65" s="35"/>
      <c r="R65" s="28">
        <f>COUNTIFS(DataRegularSeason20242025!$E$2:$E$1315,TotalTeamGames20242025!Q$1,DataRegularSeason20242025!$D$2:$D$1315,TotalTeamGames20242025!$A65)</f>
        <v>1</v>
      </c>
      <c r="S65" s="35"/>
      <c r="T65" s="28">
        <f>COUNTIFS(DataRegularSeason20242025!$E$2:$E$1315,TotalTeamGames20242025!S$1,DataRegularSeason20242025!$D$2:$D$1315,TotalTeamGames20242025!$A65)</f>
        <v>1</v>
      </c>
      <c r="U65" s="35"/>
      <c r="V65" s="28">
        <f>COUNTIFS(DataRegularSeason20242025!$E$2:$E$1315,TotalTeamGames20242025!U$1,DataRegularSeason20242025!$D$2:$D$1315,TotalTeamGames20242025!$A65)</f>
        <v>2</v>
      </c>
      <c r="W65" s="35"/>
      <c r="X65" s="28">
        <f>COUNTIFS(DataRegularSeason20242025!$E$2:$E$1315,TotalTeamGames20242025!W$1,DataRegularSeason20242025!$D$2:$D$1315,TotalTeamGames20242025!$A65)</f>
        <v>1</v>
      </c>
      <c r="Y65" s="35"/>
      <c r="Z65" s="28">
        <f>COUNTIFS(DataRegularSeason20242025!$E$2:$E$1315,TotalTeamGames20242025!Y$1,DataRegularSeason20242025!$D$2:$D$1315,TotalTeamGames20242025!$A65)</f>
        <v>2</v>
      </c>
      <c r="AA65" s="35"/>
      <c r="AB65" s="28">
        <f>COUNTIFS(DataRegularSeason20242025!$E$2:$E$1315,TotalTeamGames20242025!AA$1,DataRegularSeason20242025!$D$2:$D$1315,TotalTeamGames20242025!$A65)</f>
        <v>1</v>
      </c>
      <c r="AC65" s="35"/>
      <c r="AD65" s="28">
        <f>COUNTIFS(DataRegularSeason20242025!$E$2:$E$1315,TotalTeamGames20242025!AC$1,DataRegularSeason20242025!$D$2:$D$1315,TotalTeamGames20242025!$A65)</f>
        <v>1</v>
      </c>
      <c r="AE65" s="35"/>
      <c r="AF65" s="28">
        <f>COUNTIFS(DataRegularSeason20242025!$E$2:$E$1315,TotalTeamGames20242025!AE$1,DataRegularSeason20242025!$D$2:$D$1315,TotalTeamGames20242025!$A65)</f>
        <v>2</v>
      </c>
      <c r="AG65" s="35"/>
      <c r="AH65" s="28">
        <f>COUNTIFS(DataRegularSeason20242025!$E$2:$E$1315,TotalTeamGames20242025!AG$1,DataRegularSeason20242025!$D$2:$D$1315,TotalTeamGames20242025!$A65)</f>
        <v>2</v>
      </c>
      <c r="AI65" s="35"/>
      <c r="AJ65" s="28">
        <f>COUNTIFS(DataRegularSeason20242025!$E$2:$E$1315,TotalTeamGames20242025!AI$1,DataRegularSeason20242025!$D$2:$D$1315,TotalTeamGames20242025!$A65)</f>
        <v>1</v>
      </c>
      <c r="AK65" s="35"/>
      <c r="AL65" s="28">
        <f>COUNTIFS(DataRegularSeason20242025!$E$2:$E$1315,TotalTeamGames20242025!AK$1,DataRegularSeason20242025!$D$2:$D$1315,TotalTeamGames20242025!$A65)</f>
        <v>2</v>
      </c>
      <c r="AM65" s="35"/>
      <c r="AN65" s="28">
        <f>COUNTIFS(DataRegularSeason20242025!$E$2:$E$1315,TotalTeamGames20242025!AM$1,DataRegularSeason20242025!$D$2:$D$1315,TotalTeamGames20242025!$A65)</f>
        <v>2</v>
      </c>
      <c r="AO65" s="35"/>
      <c r="AP65" s="28">
        <f>COUNTIFS(DataRegularSeason20242025!$E$2:$E$1315,TotalTeamGames20242025!AO$1,DataRegularSeason20242025!$D$2:$D$1315,TotalTeamGames20242025!$A65)</f>
        <v>1</v>
      </c>
      <c r="AQ65" s="35"/>
      <c r="AR65" s="28">
        <f>COUNTIFS(DataRegularSeason20242025!$E$2:$E$1315,TotalTeamGames20242025!AQ$1,DataRegularSeason20242025!$D$2:$D$1315,TotalTeamGames20242025!$A65)</f>
        <v>2</v>
      </c>
      <c r="AS65" s="35"/>
      <c r="AT65" s="28">
        <f>COUNTIFS(DataRegularSeason20242025!$E$2:$E$1315,TotalTeamGames20242025!AS$1,DataRegularSeason20242025!$D$2:$D$1315,TotalTeamGames20242025!$A65)</f>
        <v>2</v>
      </c>
      <c r="AU65" s="35"/>
      <c r="AV65" s="28">
        <f>COUNTIFS(DataRegularSeason20242025!$E$2:$E$1315,TotalTeamGames20242025!AU$1,DataRegularSeason20242025!$D$2:$D$1315,TotalTeamGames20242025!$A65)</f>
        <v>1</v>
      </c>
      <c r="AW65" s="35"/>
      <c r="AX65" s="28">
        <f>COUNTIFS(DataRegularSeason20242025!$E$2:$E$1315,TotalTeamGames20242025!AW$1,DataRegularSeason20242025!$D$2:$D$1315,TotalTeamGames20242025!$A65)</f>
        <v>1</v>
      </c>
      <c r="AY65" s="35"/>
      <c r="AZ65" s="28">
        <f>COUNTIFS(DataRegularSeason20242025!$E$2:$E$1315,TotalTeamGames20242025!AY$1,DataRegularSeason20242025!$D$2:$D$1315,TotalTeamGames20242025!$A65)</f>
        <v>1</v>
      </c>
      <c r="BA65" s="35"/>
      <c r="BB65" s="28">
        <f>COUNTIFS(DataRegularSeason20242025!$E$2:$E$1315,TotalTeamGames20242025!BA$1,DataRegularSeason20242025!$D$2:$D$1315,TotalTeamGames20242025!$A65)</f>
        <v>1</v>
      </c>
      <c r="BC65" s="35"/>
      <c r="BD65" s="28">
        <f>COUNTIFS(DataRegularSeason20242025!$E$2:$E$1315,TotalTeamGames20242025!BC$1,DataRegularSeason20242025!$D$2:$D$1315,TotalTeamGames20242025!$A65)</f>
        <v>1</v>
      </c>
      <c r="BE65" s="35"/>
      <c r="BF65" s="27">
        <f>COUNTIFS(DataRegularSeason20242025!$E$2:$E$1315,TotalTeamGames20242025!BE$1,DataRegularSeason20242025!$D$2:$D$1315,TotalTeamGames20242025!$A65)</f>
        <v>1</v>
      </c>
      <c r="BG65" s="40"/>
      <c r="BH65" s="28">
        <f>COUNTIFS(DataRegularSeason20242025!$E$2:$E$1315,TotalTeamGames20242025!BG$1,DataRegularSeason20242025!$D$2:$D$1315,TotalTeamGames20242025!$A65)</f>
        <v>1</v>
      </c>
      <c r="BI65" s="35"/>
      <c r="BJ65" s="28">
        <f>COUNTIFS(DataRegularSeason20242025!$E$2:$E$1315,TotalTeamGames20242025!BI$1,DataRegularSeason20242025!$D$2:$D$1315,TotalTeamGames20242025!$A65)</f>
        <v>1</v>
      </c>
      <c r="BK65" s="35"/>
      <c r="BL65" s="28">
        <f>COUNTIFS(DataRegularSeason20242025!$E$2:$E$1315,TotalTeamGames20242025!BK$1,DataRegularSeason20242025!$D$2:$D$1315,TotalTeamGames20242025!$A65)</f>
        <v>1</v>
      </c>
      <c r="BM65" s="35"/>
      <c r="BN65" s="36"/>
      <c r="BO65" s="30">
        <f t="shared" si="0"/>
        <v>41</v>
      </c>
      <c r="BP65" s="165">
        <f t="shared" ref="BP65" si="31">BO65+BO66</f>
        <v>82</v>
      </c>
    </row>
    <row r="66" spans="1:68" ht="9.9499999999999993" customHeight="1" x14ac:dyDescent="0.25">
      <c r="A66" s="167"/>
      <c r="B66" s="32" t="s">
        <v>73</v>
      </c>
      <c r="C66" s="31">
        <f>COUNTIFS(DataRegularSeason20242025!$D$2:$D$1315,TotalTeamGames20242025!C$1,DataRegularSeason20242025!$E$2:$E$1315,TotalTeamGames20242025!$A65)</f>
        <v>1</v>
      </c>
      <c r="D66" s="39"/>
      <c r="E66" s="31">
        <f>COUNTIFS(DataRegularSeason20242025!$D$2:$D$1315,TotalTeamGames20242025!E$1,DataRegularSeason20242025!$E$2:$E$1315,TotalTeamGames20242025!$A65)</f>
        <v>2</v>
      </c>
      <c r="F66" s="39"/>
      <c r="G66" s="31">
        <f>COUNTIFS(DataRegularSeason20242025!$D$2:$D$1315,TotalTeamGames20242025!G$1,DataRegularSeason20242025!$E$2:$E$1315,TotalTeamGames20242025!$A65)</f>
        <v>1</v>
      </c>
      <c r="H66" s="39"/>
      <c r="I66" s="31">
        <f>COUNTIFS(DataRegularSeason20242025!$D$2:$D$1315,TotalTeamGames20242025!I$1,DataRegularSeason20242025!$E$2:$E$1315,TotalTeamGames20242025!$A65)</f>
        <v>2</v>
      </c>
      <c r="J66" s="39"/>
      <c r="K66" s="31">
        <f>COUNTIFS(DataRegularSeason20242025!$D$2:$D$1315,TotalTeamGames20242025!K$1,DataRegularSeason20242025!$E$2:$E$1315,TotalTeamGames20242025!$A65)</f>
        <v>2</v>
      </c>
      <c r="L66" s="39"/>
      <c r="M66" s="31">
        <f>COUNTIFS(DataRegularSeason20242025!$D$2:$D$1315,TotalTeamGames20242025!M$1,DataRegularSeason20242025!$E$2:$E$1315,TotalTeamGames20242025!$A65)</f>
        <v>1</v>
      </c>
      <c r="N66" s="39"/>
      <c r="O66" s="31">
        <f>COUNTIFS(DataRegularSeason20242025!$D$2:$D$1315,TotalTeamGames20242025!O$1,DataRegularSeason20242025!$E$2:$E$1315,TotalTeamGames20242025!$A65)</f>
        <v>1</v>
      </c>
      <c r="P66" s="39"/>
      <c r="Q66" s="31">
        <f>COUNTIFS(DataRegularSeason20242025!$D$2:$D$1315,TotalTeamGames20242025!Q$1,DataRegularSeason20242025!$E$2:$E$1315,TotalTeamGames20242025!$A65)</f>
        <v>1</v>
      </c>
      <c r="R66" s="39"/>
      <c r="S66" s="31">
        <f>COUNTIFS(DataRegularSeason20242025!$D$2:$D$1315,TotalTeamGames20242025!S$1,DataRegularSeason20242025!$E$2:$E$1315,TotalTeamGames20242025!$A65)</f>
        <v>1</v>
      </c>
      <c r="T66" s="39"/>
      <c r="U66" s="31">
        <f>COUNTIFS(DataRegularSeason20242025!$D$2:$D$1315,TotalTeamGames20242025!U$1,DataRegularSeason20242025!$E$2:$E$1315,TotalTeamGames20242025!$A65)</f>
        <v>1</v>
      </c>
      <c r="V66" s="39"/>
      <c r="W66" s="31">
        <f>COUNTIFS(DataRegularSeason20242025!$D$2:$D$1315,TotalTeamGames20242025!W$1,DataRegularSeason20242025!$E$2:$E$1315,TotalTeamGames20242025!$A65)</f>
        <v>1</v>
      </c>
      <c r="X66" s="39"/>
      <c r="Y66" s="31">
        <f>COUNTIFS(DataRegularSeason20242025!$D$2:$D$1315,TotalTeamGames20242025!Y$1,DataRegularSeason20242025!$E$2:$E$1315,TotalTeamGames20242025!$A65)</f>
        <v>1</v>
      </c>
      <c r="Z66" s="39"/>
      <c r="AA66" s="31">
        <f>COUNTIFS(DataRegularSeason20242025!$D$2:$D$1315,TotalTeamGames20242025!AA$1,DataRegularSeason20242025!$E$2:$E$1315,TotalTeamGames20242025!$A65)</f>
        <v>1</v>
      </c>
      <c r="AB66" s="39"/>
      <c r="AC66" s="31">
        <f>COUNTIFS(DataRegularSeason20242025!$D$2:$D$1315,TotalTeamGames20242025!AC$1,DataRegularSeason20242025!$E$2:$E$1315,TotalTeamGames20242025!$A65)</f>
        <v>1</v>
      </c>
      <c r="AD66" s="39"/>
      <c r="AE66" s="31">
        <f>COUNTIFS(DataRegularSeason20242025!$D$2:$D$1315,TotalTeamGames20242025!AE$1,DataRegularSeason20242025!$E$2:$E$1315,TotalTeamGames20242025!$A65)</f>
        <v>1</v>
      </c>
      <c r="AF66" s="39"/>
      <c r="AG66" s="31">
        <f>COUNTIFS(DataRegularSeason20242025!$D$2:$D$1315,TotalTeamGames20242025!AG$1,DataRegularSeason20242025!$E$2:$E$1315,TotalTeamGames20242025!$A65)</f>
        <v>2</v>
      </c>
      <c r="AH66" s="39"/>
      <c r="AI66" s="31">
        <f>COUNTIFS(DataRegularSeason20242025!$D$2:$D$1315,TotalTeamGames20242025!AI$1,DataRegularSeason20242025!$E$2:$E$1315,TotalTeamGames20242025!$A65)</f>
        <v>1</v>
      </c>
      <c r="AJ66" s="39"/>
      <c r="AK66" s="31">
        <f>COUNTIFS(DataRegularSeason20242025!$D$2:$D$1315,TotalTeamGames20242025!AK$1,DataRegularSeason20242025!$E$2:$E$1315,TotalTeamGames20242025!$A65)</f>
        <v>2</v>
      </c>
      <c r="AL66" s="39"/>
      <c r="AM66" s="31">
        <f>COUNTIFS(DataRegularSeason20242025!$D$2:$D$1315,TotalTeamGames20242025!AM$1,DataRegularSeason20242025!$E$2:$E$1315,TotalTeamGames20242025!$A65)</f>
        <v>2</v>
      </c>
      <c r="AN66" s="39"/>
      <c r="AO66" s="31">
        <f>COUNTIFS(DataRegularSeason20242025!$D$2:$D$1315,TotalTeamGames20242025!AO$1,DataRegularSeason20242025!$E$2:$E$1315,TotalTeamGames20242025!$A65)</f>
        <v>2</v>
      </c>
      <c r="AP66" s="39"/>
      <c r="AQ66" s="31">
        <f>COUNTIFS(DataRegularSeason20242025!$D$2:$D$1315,TotalTeamGames20242025!AQ$1,DataRegularSeason20242025!$E$2:$E$1315,TotalTeamGames20242025!$A65)</f>
        <v>2</v>
      </c>
      <c r="AR66" s="39"/>
      <c r="AS66" s="31">
        <f>COUNTIFS(DataRegularSeason20242025!$D$2:$D$1315,TotalTeamGames20242025!AS$1,DataRegularSeason20242025!$E$2:$E$1315,TotalTeamGames20242025!$A65)</f>
        <v>1</v>
      </c>
      <c r="AT66" s="39"/>
      <c r="AU66" s="31">
        <f>COUNTIFS(DataRegularSeason20242025!$D$2:$D$1315,TotalTeamGames20242025!AU$1,DataRegularSeason20242025!$E$2:$E$1315,TotalTeamGames20242025!$A65)</f>
        <v>1</v>
      </c>
      <c r="AV66" s="39"/>
      <c r="AW66" s="31">
        <f>COUNTIFS(DataRegularSeason20242025!$D$2:$D$1315,TotalTeamGames20242025!AW$1,DataRegularSeason20242025!$E$2:$E$1315,TotalTeamGames20242025!$A65)</f>
        <v>1</v>
      </c>
      <c r="AX66" s="39"/>
      <c r="AY66" s="31">
        <f>COUNTIFS(DataRegularSeason20242025!$D$2:$D$1315,TotalTeamGames20242025!AY$1,DataRegularSeason20242025!$E$2:$E$1315,TotalTeamGames20242025!$A65)</f>
        <v>1</v>
      </c>
      <c r="AZ66" s="39"/>
      <c r="BA66" s="31">
        <f>COUNTIFS(DataRegularSeason20242025!$D$2:$D$1315,TotalTeamGames20242025!BA$1,DataRegularSeason20242025!$E$2:$E$1315,TotalTeamGames20242025!$A65)</f>
        <v>2</v>
      </c>
      <c r="BB66" s="39"/>
      <c r="BC66" s="31">
        <f>COUNTIFS(DataRegularSeason20242025!$D$2:$D$1315,TotalTeamGames20242025!BC$1,DataRegularSeason20242025!$E$2:$E$1315,TotalTeamGames20242025!$A65)</f>
        <v>2</v>
      </c>
      <c r="BD66" s="39"/>
      <c r="BE66" s="31">
        <f>COUNTIFS(DataRegularSeason20242025!$D$2:$D$1315,TotalTeamGames20242025!BE$1,DataRegularSeason20242025!$E$2:$E$1315,TotalTeamGames20242025!$A65)</f>
        <v>1</v>
      </c>
      <c r="BF66" s="38"/>
      <c r="BG66" s="33">
        <f>COUNTIFS(DataRegularSeason20242025!$D$2:$D$1315,TotalTeamGames20242025!BG$1,DataRegularSeason20242025!$E$2:$E$1315,TotalTeamGames20242025!$A65)</f>
        <v>1</v>
      </c>
      <c r="BH66" s="39"/>
      <c r="BI66" s="31">
        <f>COUNTIFS(DataRegularSeason20242025!$D$2:$D$1315,TotalTeamGames20242025!BI$1,DataRegularSeason20242025!$E$2:$E$1315,TotalTeamGames20242025!$A65)</f>
        <v>1</v>
      </c>
      <c r="BJ66" s="39"/>
      <c r="BK66" s="31">
        <f>COUNTIFS(DataRegularSeason20242025!$D$2:$D$1315,TotalTeamGames20242025!BK$1,DataRegularSeason20242025!$E$2:$E$1315,TotalTeamGames20242025!$A65)</f>
        <v>1</v>
      </c>
      <c r="BL66" s="39"/>
      <c r="BM66" s="38"/>
      <c r="BN66" s="39"/>
      <c r="BO66" s="34">
        <f t="shared" si="0"/>
        <v>41</v>
      </c>
      <c r="BP66" s="165"/>
    </row>
    <row r="67" spans="1:68" x14ac:dyDescent="0.25">
      <c r="B67" s="9"/>
    </row>
  </sheetData>
  <mergeCells count="96">
    <mergeCell ref="Y1:Z1"/>
    <mergeCell ref="C1:D1"/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W1:X1"/>
    <mergeCell ref="AS1:AT1"/>
    <mergeCell ref="AU1:AV1"/>
    <mergeCell ref="AW1:AX1"/>
    <mergeCell ref="AA1:AB1"/>
    <mergeCell ref="AC1:AD1"/>
    <mergeCell ref="AE1:AF1"/>
    <mergeCell ref="AG1:AH1"/>
    <mergeCell ref="AI1:AJ1"/>
    <mergeCell ref="AK1:AL1"/>
    <mergeCell ref="A21:A22"/>
    <mergeCell ref="BK1:BL1"/>
    <mergeCell ref="BM1:BN1"/>
    <mergeCell ref="A3:A4"/>
    <mergeCell ref="A5:A6"/>
    <mergeCell ref="A7:A8"/>
    <mergeCell ref="A9:A10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11:A12"/>
    <mergeCell ref="A13:A14"/>
    <mergeCell ref="A15:A16"/>
    <mergeCell ref="A17:A18"/>
    <mergeCell ref="A19:A20"/>
    <mergeCell ref="BP13:BP14"/>
    <mergeCell ref="A47:A48"/>
    <mergeCell ref="A49:A50"/>
    <mergeCell ref="A51:A52"/>
    <mergeCell ref="A53:A54"/>
    <mergeCell ref="A35:A36"/>
    <mergeCell ref="A37:A38"/>
    <mergeCell ref="A39:A40"/>
    <mergeCell ref="A41:A42"/>
    <mergeCell ref="A43:A44"/>
    <mergeCell ref="A45:A46"/>
    <mergeCell ref="A23:A24"/>
    <mergeCell ref="A25:A26"/>
    <mergeCell ref="A27:A28"/>
    <mergeCell ref="A29:A30"/>
    <mergeCell ref="A31:A32"/>
    <mergeCell ref="BP3:BP4"/>
    <mergeCell ref="BP5:BP6"/>
    <mergeCell ref="BP7:BP8"/>
    <mergeCell ref="BP9:BP10"/>
    <mergeCell ref="BP11:BP12"/>
    <mergeCell ref="BP25:BP26"/>
    <mergeCell ref="A59:A60"/>
    <mergeCell ref="A61:A62"/>
    <mergeCell ref="A63:A64"/>
    <mergeCell ref="A65:A66"/>
    <mergeCell ref="A55:A56"/>
    <mergeCell ref="A57:A58"/>
    <mergeCell ref="A33:A34"/>
    <mergeCell ref="BP49:BP50"/>
    <mergeCell ref="BP27:BP28"/>
    <mergeCell ref="BP29:BP30"/>
    <mergeCell ref="BP31:BP32"/>
    <mergeCell ref="BP33:BP34"/>
    <mergeCell ref="BP35:BP36"/>
    <mergeCell ref="BP37:BP38"/>
    <mergeCell ref="BP39:BP40"/>
    <mergeCell ref="BP15:BP16"/>
    <mergeCell ref="BP17:BP18"/>
    <mergeCell ref="BP19:BP20"/>
    <mergeCell ref="BP21:BP22"/>
    <mergeCell ref="BP23:BP24"/>
    <mergeCell ref="BP41:BP42"/>
    <mergeCell ref="BP43:BP44"/>
    <mergeCell ref="BP45:BP46"/>
    <mergeCell ref="BP47:BP48"/>
    <mergeCell ref="BP63:BP64"/>
    <mergeCell ref="BP65:BP66"/>
    <mergeCell ref="BP51:BP52"/>
    <mergeCell ref="BP53:BP54"/>
    <mergeCell ref="BP55:BP56"/>
    <mergeCell ref="BP57:BP58"/>
    <mergeCell ref="BP59:BP60"/>
    <mergeCell ref="BP61:BP62"/>
  </mergeCells>
  <conditionalFormatting sqref="C3:BN66">
    <cfRule type="colorScale" priority="1">
      <colorScale>
        <cfvo type="num" val="0"/>
        <cfvo type="num" val="1"/>
        <cfvo type="num" val="2"/>
        <color rgb="FFFCFCFF"/>
        <color theme="9" tint="0.59999389629810485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EACA1-5B43-494C-A9A8-A8CEB2BC2715}">
  <dimension ref="A1:BQ68"/>
  <sheetViews>
    <sheetView topLeftCell="A13" zoomScaleNormal="100" workbookViewId="0">
      <selection activeCell="BP39" sqref="BP39:BP40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3.140625" customWidth="1"/>
    <col min="68" max="69" width="9.140625" bestFit="1" customWidth="1"/>
  </cols>
  <sheetData>
    <row r="1" spans="1:69" ht="9.9499999999999993" customHeight="1" x14ac:dyDescent="0.25">
      <c r="A1" s="27" t="s">
        <v>75</v>
      </c>
      <c r="B1" s="28"/>
      <c r="C1" s="168" t="s">
        <v>44</v>
      </c>
      <c r="D1" s="169"/>
      <c r="E1" s="168" t="s">
        <v>15</v>
      </c>
      <c r="F1" s="169"/>
      <c r="G1" s="168" t="s">
        <v>28</v>
      </c>
      <c r="H1" s="169"/>
      <c r="I1" s="168" t="s">
        <v>41</v>
      </c>
      <c r="J1" s="169"/>
      <c r="K1" s="168" t="s">
        <v>35</v>
      </c>
      <c r="L1" s="169"/>
      <c r="M1" s="168" t="s">
        <v>23</v>
      </c>
      <c r="N1" s="169"/>
      <c r="O1" s="168" t="s">
        <v>16</v>
      </c>
      <c r="P1" s="169"/>
      <c r="Q1" s="168" t="s">
        <v>25</v>
      </c>
      <c r="R1" s="169"/>
      <c r="S1" s="168" t="s">
        <v>33</v>
      </c>
      <c r="T1" s="169"/>
      <c r="U1" s="168" t="s">
        <v>30</v>
      </c>
      <c r="V1" s="169"/>
      <c r="W1" s="168" t="s">
        <v>22</v>
      </c>
      <c r="X1" s="169"/>
      <c r="Y1" s="168" t="s">
        <v>13</v>
      </c>
      <c r="Z1" s="169"/>
      <c r="AA1" s="168" t="s">
        <v>27</v>
      </c>
      <c r="AB1" s="169"/>
      <c r="AC1" s="168" t="s">
        <v>36</v>
      </c>
      <c r="AD1" s="169"/>
      <c r="AE1" s="168" t="s">
        <v>18</v>
      </c>
      <c r="AF1" s="169"/>
      <c r="AG1" s="168" t="s">
        <v>31</v>
      </c>
      <c r="AH1" s="169"/>
      <c r="AI1" s="168" t="s">
        <v>34</v>
      </c>
      <c r="AJ1" s="169"/>
      <c r="AK1" s="168" t="s">
        <v>32</v>
      </c>
      <c r="AL1" s="169"/>
      <c r="AM1" s="168" t="s">
        <v>19</v>
      </c>
      <c r="AN1" s="169"/>
      <c r="AO1" s="168" t="s">
        <v>29</v>
      </c>
      <c r="AP1" s="169"/>
      <c r="AQ1" s="168" t="s">
        <v>42</v>
      </c>
      <c r="AR1" s="169"/>
      <c r="AS1" s="168" t="s">
        <v>20</v>
      </c>
      <c r="AT1" s="169"/>
      <c r="AU1" s="168" t="s">
        <v>11</v>
      </c>
      <c r="AV1" s="169"/>
      <c r="AW1" s="168" t="s">
        <v>37</v>
      </c>
      <c r="AX1" s="169"/>
      <c r="AY1" s="168" t="s">
        <v>12</v>
      </c>
      <c r="AZ1" s="169"/>
      <c r="BA1" s="168" t="s">
        <v>40</v>
      </c>
      <c r="BB1" s="169"/>
      <c r="BC1" s="168" t="s">
        <v>17</v>
      </c>
      <c r="BD1" s="169"/>
      <c r="BE1" s="168" t="s">
        <v>14</v>
      </c>
      <c r="BF1" s="168"/>
      <c r="BG1" s="170" t="s">
        <v>24</v>
      </c>
      <c r="BH1" s="171"/>
      <c r="BI1" s="168" t="s">
        <v>26</v>
      </c>
      <c r="BJ1" s="169"/>
      <c r="BK1" s="168" t="s">
        <v>21</v>
      </c>
      <c r="BL1" s="169"/>
      <c r="BM1" s="168" t="s">
        <v>43</v>
      </c>
      <c r="BN1" s="169"/>
      <c r="BO1" s="30"/>
      <c r="BP1" s="29" t="s">
        <v>57</v>
      </c>
      <c r="BQ1" s="27" t="s">
        <v>78</v>
      </c>
    </row>
    <row r="2" spans="1:69" ht="9.9499999999999993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32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32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32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  <c r="BQ2" s="27"/>
    </row>
    <row r="3" spans="1:69" ht="9.9499999999999993" customHeight="1" x14ac:dyDescent="0.25">
      <c r="A3" s="172" t="s">
        <v>44</v>
      </c>
      <c r="B3" s="28" t="s">
        <v>74</v>
      </c>
      <c r="C3" s="35"/>
      <c r="D3" s="36"/>
      <c r="E3" s="35"/>
      <c r="F3" s="28">
        <f>COUNTIFS(DataRegularSeason20242025!$E$2:$E$1315,TotalTeamGames20242025!E$1,DataRegularSeason20242025!$D$2:$D$1315,TotalTeamGames20242025!$A3,DataRegularSeason20242025!$N$2:$N$1315,1)</f>
        <v>0</v>
      </c>
      <c r="G3" s="35"/>
      <c r="H3" s="28">
        <f>COUNTIFS(DataRegularSeason20242025!$E$2:$E$1315,TotalTeamGames20242025!G$1,DataRegularSeason20242025!$D$2:$D$1315,TotalTeamGames20242025!$A3,DataRegularSeason20242025!$N$2:$N$1315,1)</f>
        <v>0</v>
      </c>
      <c r="I3" s="35"/>
      <c r="J3" s="28">
        <f>COUNTIFS(DataRegularSeason20242025!$E$2:$E$1315,TotalTeamGames20242025!I$1,DataRegularSeason20242025!$D$2:$D$1315,TotalTeamGames20242025!$A3,DataRegularSeason20242025!$N$2:$N$1315,1)</f>
        <v>0</v>
      </c>
      <c r="K3" s="35"/>
      <c r="L3" s="28">
        <f>COUNTIFS(DataRegularSeason20242025!$E$2:$E$1315,TotalTeamGames20242025!K$1,DataRegularSeason20242025!$D$2:$D$1315,TotalTeamGames20242025!$A3,DataRegularSeason20242025!$N$2:$N$1315,1)</f>
        <v>0</v>
      </c>
      <c r="M3" s="35"/>
      <c r="N3" s="28">
        <f>COUNTIFS(DataRegularSeason20242025!$E$2:$E$1315,TotalTeamGames20242025!M$1,DataRegularSeason20242025!$D$2:$D$1315,TotalTeamGames20242025!$A3,DataRegularSeason20242025!$N$2:$N$1315,1)</f>
        <v>0</v>
      </c>
      <c r="O3" s="35"/>
      <c r="P3" s="28">
        <f>COUNTIFS(DataRegularSeason20242025!$E$2:$E$1315,TotalTeamGames20242025!O$1,DataRegularSeason20242025!$D$2:$D$1315,TotalTeamGames20242025!$A3,DataRegularSeason20242025!$N$2:$N$1315,1)</f>
        <v>1</v>
      </c>
      <c r="Q3" s="35"/>
      <c r="R3" s="28">
        <f>COUNTIFS(DataRegularSeason20242025!$E$2:$E$1315,TotalTeamGames20242025!Q$1,DataRegularSeason20242025!$D$2:$D$1315,TotalTeamGames20242025!$A3,DataRegularSeason20242025!$N$2:$N$1315,1)</f>
        <v>0</v>
      </c>
      <c r="S3" s="35"/>
      <c r="T3" s="28">
        <f>COUNTIFS(DataRegularSeason20242025!$E$2:$E$1315,TotalTeamGames20242025!S$1,DataRegularSeason20242025!$D$2:$D$1315,TotalTeamGames20242025!$A3,DataRegularSeason20242025!$N$2:$N$1315,1)</f>
        <v>0</v>
      </c>
      <c r="U3" s="35"/>
      <c r="V3" s="28">
        <f>COUNTIFS(DataRegularSeason20242025!$E$2:$E$1315,TotalTeamGames20242025!U$1,DataRegularSeason20242025!$D$2:$D$1315,TotalTeamGames20242025!$A3,DataRegularSeason20242025!$N$2:$N$1315,1)</f>
        <v>0</v>
      </c>
      <c r="W3" s="35"/>
      <c r="X3" s="28">
        <f>COUNTIFS(DataRegularSeason20242025!$E$2:$E$1315,TotalTeamGames20242025!W$1,DataRegularSeason20242025!$D$2:$D$1315,TotalTeamGames20242025!$A3,DataRegularSeason20242025!$N$2:$N$1315,1)</f>
        <v>0</v>
      </c>
      <c r="Y3" s="35"/>
      <c r="Z3" s="28">
        <f>COUNTIFS(DataRegularSeason20242025!$E$2:$E$1315,TotalTeamGames20242025!Y$1,DataRegularSeason20242025!$D$2:$D$1315,TotalTeamGames20242025!$A3,DataRegularSeason20242025!$N$2:$N$1315,1)</f>
        <v>0</v>
      </c>
      <c r="AA3" s="35"/>
      <c r="AB3" s="28">
        <f>COUNTIFS(DataRegularSeason20242025!$E$2:$E$1315,TotalTeamGames20242025!AA$1,DataRegularSeason20242025!$D$2:$D$1315,TotalTeamGames20242025!$A3,DataRegularSeason20242025!$N$2:$N$1315,1)</f>
        <v>0</v>
      </c>
      <c r="AC3" s="35"/>
      <c r="AD3" s="28">
        <f>COUNTIFS(DataRegularSeason20242025!$E$2:$E$1315,TotalTeamGames20242025!AC$1,DataRegularSeason20242025!$D$2:$D$1315,TotalTeamGames20242025!$A3,DataRegularSeason20242025!$N$2:$N$1315,1)</f>
        <v>0</v>
      </c>
      <c r="AE3" s="35"/>
      <c r="AF3" s="28">
        <f>COUNTIFS(DataRegularSeason20242025!$E$2:$E$1315,TotalTeamGames20242025!AE$1,DataRegularSeason20242025!$D$2:$D$1315,TotalTeamGames20242025!$A3,DataRegularSeason20242025!$N$2:$N$1315,1)</f>
        <v>0</v>
      </c>
      <c r="AG3" s="35"/>
      <c r="AH3" s="28">
        <f>COUNTIFS(DataRegularSeason20242025!$E$2:$E$1315,TotalTeamGames20242025!AG$1,DataRegularSeason20242025!$D$2:$D$1315,TotalTeamGames20242025!$A3,DataRegularSeason20242025!$N$2:$N$1315,1)</f>
        <v>0</v>
      </c>
      <c r="AI3" s="35"/>
      <c r="AJ3" s="28">
        <f>COUNTIFS(DataRegularSeason20242025!$E$2:$E$1315,TotalTeamGames20242025!AI$1,DataRegularSeason20242025!$D$2:$D$1315,TotalTeamGames20242025!$A3,DataRegularSeason20242025!$N$2:$N$1315,1)</f>
        <v>1</v>
      </c>
      <c r="AK3" s="35"/>
      <c r="AL3" s="28">
        <f>COUNTIFS(DataRegularSeason20242025!$E$2:$E$1315,TotalTeamGames20242025!AK$1,DataRegularSeason20242025!$D$2:$D$1315,TotalTeamGames20242025!$A3,DataRegularSeason20242025!$N$2:$N$1315,1)</f>
        <v>0</v>
      </c>
      <c r="AM3" s="35"/>
      <c r="AN3" s="28">
        <f>COUNTIFS(DataRegularSeason20242025!$E$2:$E$1315,TotalTeamGames20242025!AM$1,DataRegularSeason20242025!$D$2:$D$1315,TotalTeamGames20242025!$A3,DataRegularSeason20242025!$N$2:$N$1315,1)</f>
        <v>0</v>
      </c>
      <c r="AO3" s="35"/>
      <c r="AP3" s="28">
        <f>COUNTIFS(DataRegularSeason20242025!$E$2:$E$1315,TotalTeamGames20242025!AO$1,DataRegularSeason20242025!$D$2:$D$1315,TotalTeamGames20242025!$A3,DataRegularSeason20242025!$N$2:$N$1315,1)</f>
        <v>0</v>
      </c>
      <c r="AQ3" s="35"/>
      <c r="AR3" s="28">
        <f>COUNTIFS(DataRegularSeason20242025!$E$2:$E$1315,TotalTeamGames20242025!AQ$1,DataRegularSeason20242025!$D$2:$D$1315,TotalTeamGames20242025!$A3,DataRegularSeason20242025!$N$2:$N$1315,1)</f>
        <v>0</v>
      </c>
      <c r="AS3" s="35"/>
      <c r="AT3" s="28">
        <f>COUNTIFS(DataRegularSeason20242025!$E$2:$E$1315,TotalTeamGames20242025!AS$1,DataRegularSeason20242025!$D$2:$D$1315,TotalTeamGames20242025!$A3,DataRegularSeason20242025!$N$2:$N$1315,1)</f>
        <v>0</v>
      </c>
      <c r="AU3" s="35"/>
      <c r="AV3" s="28">
        <f>COUNTIFS(DataRegularSeason20242025!$E$2:$E$1315,TotalTeamGames20242025!AU$1,DataRegularSeason20242025!$D$2:$D$1315,TotalTeamGames20242025!$A3,DataRegularSeason20242025!$N$2:$N$1315,1)</f>
        <v>1</v>
      </c>
      <c r="AW3" s="35"/>
      <c r="AX3" s="28">
        <f>COUNTIFS(DataRegularSeason20242025!$E$2:$E$1315,TotalTeamGames20242025!AW$1,DataRegularSeason20242025!$D$2:$D$1315,TotalTeamGames20242025!$A3,DataRegularSeason20242025!$N$2:$N$1315,1)</f>
        <v>1</v>
      </c>
      <c r="AY3" s="35"/>
      <c r="AZ3" s="28">
        <f>COUNTIFS(DataRegularSeason20242025!$E$2:$E$1315,TotalTeamGames20242025!AY$1,DataRegularSeason20242025!$D$2:$D$1315,TotalTeamGames20242025!$A3,DataRegularSeason20242025!$N$2:$N$1315,1)</f>
        <v>0</v>
      </c>
      <c r="BA3" s="35"/>
      <c r="BB3" s="28">
        <f>COUNTIFS(DataRegularSeason20242025!$E$2:$E$1315,TotalTeamGames20242025!BA$1,DataRegularSeason20242025!$D$2:$D$1315,TotalTeamGames20242025!$A3,DataRegularSeason20242025!$N$2:$N$1315,1)</f>
        <v>0</v>
      </c>
      <c r="BC3" s="35"/>
      <c r="BD3" s="28">
        <f>COUNTIFS(DataRegularSeason20242025!$E$2:$E$1315,TotalTeamGames20242025!BC$1,DataRegularSeason20242025!$D$2:$D$1315,TotalTeamGames20242025!$A3,DataRegularSeason20242025!$N$2:$N$1315,1)</f>
        <v>0</v>
      </c>
      <c r="BE3" s="35"/>
      <c r="BF3" s="28">
        <f>COUNTIFS(DataRegularSeason20242025!$E$2:$E$1315,TotalTeamGames20242025!BE$1,DataRegularSeason20242025!$D$2:$D$1315,TotalTeamGames20242025!$A3,DataRegularSeason20242025!$N$2:$N$1315,1)</f>
        <v>0</v>
      </c>
      <c r="BG3" s="35"/>
      <c r="BH3" s="28">
        <f>COUNTIFS(DataRegularSeason20242025!$E$2:$E$1315,TotalTeamGames20242025!BG$1,DataRegularSeason20242025!$D$2:$D$1315,TotalTeamGames20242025!$A3,DataRegularSeason20242025!$N$2:$N$1315,1)</f>
        <v>0</v>
      </c>
      <c r="BI3" s="35"/>
      <c r="BJ3" s="28">
        <f>COUNTIFS(DataRegularSeason20242025!$E$2:$E$1315,TotalTeamGames20242025!BI$1,DataRegularSeason20242025!$D$2:$D$1315,TotalTeamGames20242025!$A3,DataRegularSeason20242025!$N$2:$N$1315,1)</f>
        <v>0</v>
      </c>
      <c r="BK3" s="35"/>
      <c r="BL3" s="28">
        <f>COUNTIFS(DataRegularSeason20242025!$E$2:$E$1315,TotalTeamGames20242025!BK$1,DataRegularSeason20242025!$D$2:$D$1315,TotalTeamGames20242025!$A3,DataRegularSeason20242025!$N$2:$N$1315,1)</f>
        <v>0</v>
      </c>
      <c r="BM3" s="35"/>
      <c r="BN3" s="28">
        <f>COUNTIFS(DataRegularSeason20242025!$E$2:$E$1315,TotalTeamGames20242025!BM$1,DataRegularSeason20242025!$D$2:$D$1315,TotalTeamGames20242025!$A3,DataRegularSeason20242025!$N$2:$N$1315,1)</f>
        <v>0</v>
      </c>
      <c r="BO3" s="30">
        <f>SUM(C3:BN3)</f>
        <v>4</v>
      </c>
      <c r="BP3" s="165">
        <f>BO3+BO4</f>
        <v>6</v>
      </c>
      <c r="BQ3" s="166">
        <f>82-BP3</f>
        <v>76</v>
      </c>
    </row>
    <row r="4" spans="1:69" ht="9.9499999999999993" customHeight="1" x14ac:dyDescent="0.25">
      <c r="A4" s="167"/>
      <c r="B4" s="32" t="s">
        <v>73</v>
      </c>
      <c r="C4" s="38"/>
      <c r="D4" s="39"/>
      <c r="E4" s="38">
        <f>COUNTIFS(DataRegularSeason20242025!$D$2:$D$1315,TotalTeamGames20242025!E$1,DataRegularSeason20242025!$E$2:$E$1315,TotalTeamGames20242025!$A3,DataRegularSeason20242025!$N$2:$N$1315,1)</f>
        <v>0</v>
      </c>
      <c r="F4" s="39"/>
      <c r="G4" s="38">
        <f>COUNTIFS(DataRegularSeason20242025!$D$2:$D$1315,TotalTeamGames20242025!G$1,DataRegularSeason20242025!$E$2:$E$1315,TotalTeamGames20242025!$A3,DataRegularSeason20242025!$N$2:$N$1315,1)</f>
        <v>0</v>
      </c>
      <c r="H4" s="39"/>
      <c r="I4" s="38">
        <f>COUNTIFS(DataRegularSeason20242025!$D$2:$D$1315,TotalTeamGames20242025!I$1,DataRegularSeason20242025!$E$2:$E$1315,TotalTeamGames20242025!$A3,DataRegularSeason20242025!$N$2:$N$1315,1)</f>
        <v>1</v>
      </c>
      <c r="J4" s="39"/>
      <c r="K4" s="38">
        <f>COUNTIFS(DataRegularSeason20242025!$D$2:$D$1315,TotalTeamGames20242025!K$1,DataRegularSeason20242025!$E$2:$E$1315,TotalTeamGames20242025!$A3,DataRegularSeason20242025!$N$2:$N$1315,1)</f>
        <v>0</v>
      </c>
      <c r="L4" s="39"/>
      <c r="M4" s="38">
        <f>COUNTIFS(DataRegularSeason20242025!$D$2:$D$1315,TotalTeamGames20242025!M$1,DataRegularSeason20242025!$E$2:$E$1315,TotalTeamGames20242025!$A3,DataRegularSeason20242025!$N$2:$N$1315,1)</f>
        <v>0</v>
      </c>
      <c r="N4" s="39"/>
      <c r="O4" s="38">
        <f>COUNTIFS(DataRegularSeason20242025!$D$2:$D$1315,TotalTeamGames20242025!O$1,DataRegularSeason20242025!$E$2:$E$1315,TotalTeamGames20242025!$A3,DataRegularSeason20242025!$N$2:$N$1315,1)</f>
        <v>0</v>
      </c>
      <c r="P4" s="39"/>
      <c r="Q4" s="38">
        <f>COUNTIFS(DataRegularSeason20242025!$D$2:$D$1315,TotalTeamGames20242025!Q$1,DataRegularSeason20242025!$E$2:$E$1315,TotalTeamGames20242025!$A3,DataRegularSeason20242025!$N$2:$N$1315,1)</f>
        <v>0</v>
      </c>
      <c r="R4" s="39"/>
      <c r="S4" s="38">
        <f>COUNTIFS(DataRegularSeason20242025!$D$2:$D$1315,TotalTeamGames20242025!S$1,DataRegularSeason20242025!$E$2:$E$1315,TotalTeamGames20242025!$A3,DataRegularSeason20242025!$N$2:$N$1315,1)</f>
        <v>0</v>
      </c>
      <c r="T4" s="39"/>
      <c r="U4" s="38">
        <f>COUNTIFS(DataRegularSeason20242025!$D$2:$D$1315,TotalTeamGames20242025!U$1,DataRegularSeason20242025!$E$2:$E$1315,TotalTeamGames20242025!$A3,DataRegularSeason20242025!$N$2:$N$1315,1)</f>
        <v>0</v>
      </c>
      <c r="V4" s="39"/>
      <c r="W4" s="38">
        <f>COUNTIFS(DataRegularSeason20242025!$D$2:$D$1315,TotalTeamGames20242025!W$1,DataRegularSeason20242025!$E$2:$E$1315,TotalTeamGames20242025!$A3,DataRegularSeason20242025!$N$2:$N$1315,1)</f>
        <v>0</v>
      </c>
      <c r="X4" s="39"/>
      <c r="Y4" s="38">
        <f>COUNTIFS(DataRegularSeason20242025!$D$2:$D$1315,TotalTeamGames20242025!Y$1,DataRegularSeason20242025!$E$2:$E$1315,TotalTeamGames20242025!$A3,DataRegularSeason20242025!$N$2:$N$1315,1)</f>
        <v>0</v>
      </c>
      <c r="Z4" s="39"/>
      <c r="AA4" s="38">
        <f>COUNTIFS(DataRegularSeason20242025!$D$2:$D$1315,TotalTeamGames20242025!AA$1,DataRegularSeason20242025!$E$2:$E$1315,TotalTeamGames20242025!$A3,DataRegularSeason20242025!$N$2:$N$1315,1)</f>
        <v>0</v>
      </c>
      <c r="AB4" s="39"/>
      <c r="AC4" s="38">
        <f>COUNTIFS(DataRegularSeason20242025!$D$2:$D$1315,TotalTeamGames20242025!AC$1,DataRegularSeason20242025!$E$2:$E$1315,TotalTeamGames20242025!$A3,DataRegularSeason20242025!$N$2:$N$1315,1)</f>
        <v>0</v>
      </c>
      <c r="AD4" s="39"/>
      <c r="AE4" s="38">
        <f>COUNTIFS(DataRegularSeason20242025!$D$2:$D$1315,TotalTeamGames20242025!AE$1,DataRegularSeason20242025!$E$2:$E$1315,TotalTeamGames20242025!$A3,DataRegularSeason20242025!$N$2:$N$1315,1)</f>
        <v>0</v>
      </c>
      <c r="AF4" s="39"/>
      <c r="AG4" s="38">
        <f>COUNTIFS(DataRegularSeason20242025!$D$2:$D$1315,TotalTeamGames20242025!AG$1,DataRegularSeason20242025!$E$2:$E$1315,TotalTeamGames20242025!$A3,DataRegularSeason20242025!$N$2:$N$1315,1)</f>
        <v>0</v>
      </c>
      <c r="AH4" s="39"/>
      <c r="AI4" s="38">
        <f>COUNTIFS(DataRegularSeason20242025!$D$2:$D$1315,TotalTeamGames20242025!AI$1,DataRegularSeason20242025!$E$2:$E$1315,TotalTeamGames20242025!$A3,DataRegularSeason20242025!$N$2:$N$1315,1)</f>
        <v>0</v>
      </c>
      <c r="AJ4" s="39"/>
      <c r="AK4" s="38">
        <f>COUNTIFS(DataRegularSeason20242025!$D$2:$D$1315,TotalTeamGames20242025!AK$1,DataRegularSeason20242025!$E$2:$E$1315,TotalTeamGames20242025!$A3,DataRegularSeason20242025!$N$2:$N$1315,1)</f>
        <v>0</v>
      </c>
      <c r="AL4" s="39"/>
      <c r="AM4" s="38">
        <f>COUNTIFS(DataRegularSeason20242025!$D$2:$D$1315,TotalTeamGames20242025!AM$1,DataRegularSeason20242025!$E$2:$E$1315,TotalTeamGames20242025!$A3,DataRegularSeason20242025!$N$2:$N$1315,1)</f>
        <v>0</v>
      </c>
      <c r="AN4" s="39"/>
      <c r="AO4" s="38">
        <f>COUNTIFS(DataRegularSeason20242025!$D$2:$D$1315,TotalTeamGames20242025!AO$1,DataRegularSeason20242025!$E$2:$E$1315,TotalTeamGames20242025!$A3,DataRegularSeason20242025!$N$2:$N$1315,1)</f>
        <v>0</v>
      </c>
      <c r="AP4" s="39"/>
      <c r="AQ4" s="38">
        <f>COUNTIFS(DataRegularSeason20242025!$D$2:$D$1315,TotalTeamGames20242025!AQ$1,DataRegularSeason20242025!$E$2:$E$1315,TotalTeamGames20242025!$A3,DataRegularSeason20242025!$N$2:$N$1315,1)</f>
        <v>0</v>
      </c>
      <c r="AR4" s="39"/>
      <c r="AS4" s="38">
        <f>COUNTIFS(DataRegularSeason20242025!$D$2:$D$1315,TotalTeamGames20242025!AS$1,DataRegularSeason20242025!$E$2:$E$1315,TotalTeamGames20242025!$A3,DataRegularSeason20242025!$N$2:$N$1315,1)</f>
        <v>1</v>
      </c>
      <c r="AT4" s="39"/>
      <c r="AU4" s="38">
        <f>COUNTIFS(DataRegularSeason20242025!$D$2:$D$1315,TotalTeamGames20242025!AU$1,DataRegularSeason20242025!$E$2:$E$1315,TotalTeamGames20242025!$A3,DataRegularSeason20242025!$N$2:$N$1315,1)</f>
        <v>0</v>
      </c>
      <c r="AV4" s="39"/>
      <c r="AW4" s="38">
        <f>COUNTIFS(DataRegularSeason20242025!$D$2:$D$1315,TotalTeamGames20242025!AW$1,DataRegularSeason20242025!$E$2:$E$1315,TotalTeamGames20242025!$A3,DataRegularSeason20242025!$N$2:$N$1315,1)</f>
        <v>0</v>
      </c>
      <c r="AX4" s="39"/>
      <c r="AY4" s="38">
        <f>COUNTIFS(DataRegularSeason20242025!$D$2:$D$1315,TotalTeamGames20242025!AY$1,DataRegularSeason20242025!$E$2:$E$1315,TotalTeamGames20242025!$A3,DataRegularSeason20242025!$N$2:$N$1315,1)</f>
        <v>0</v>
      </c>
      <c r="AZ4" s="39"/>
      <c r="BA4" s="38">
        <f>COUNTIFS(DataRegularSeason20242025!$D$2:$D$1315,TotalTeamGames20242025!BA$1,DataRegularSeason20242025!$E$2:$E$1315,TotalTeamGames20242025!$A3,DataRegularSeason20242025!$N$2:$N$1315,1)</f>
        <v>0</v>
      </c>
      <c r="BB4" s="39"/>
      <c r="BC4" s="38">
        <f>COUNTIFS(DataRegularSeason20242025!$D$2:$D$1315,TotalTeamGames20242025!BC$1,DataRegularSeason20242025!$E$2:$E$1315,TotalTeamGames20242025!$A3,DataRegularSeason20242025!$N$2:$N$1315,1)</f>
        <v>0</v>
      </c>
      <c r="BD4" s="39"/>
      <c r="BE4" s="38">
        <f>COUNTIFS(DataRegularSeason20242025!$D$2:$D$1315,TotalTeamGames20242025!BE$1,DataRegularSeason20242025!$E$2:$E$1315,TotalTeamGames20242025!$A3,DataRegularSeason20242025!$N$2:$N$1315,1)</f>
        <v>0</v>
      </c>
      <c r="BF4" s="39"/>
      <c r="BG4" s="38">
        <f>COUNTIFS(DataRegularSeason20242025!$D$2:$D$1315,TotalTeamGames20242025!BG$1,DataRegularSeason20242025!$E$2:$E$1315,TotalTeamGames20242025!$A3,DataRegularSeason20242025!$N$2:$N$1315,1)</f>
        <v>0</v>
      </c>
      <c r="BH4" s="39"/>
      <c r="BI4" s="38">
        <f>COUNTIFS(DataRegularSeason20242025!$D$2:$D$1315,TotalTeamGames20242025!BI$1,DataRegularSeason20242025!$E$2:$E$1315,TotalTeamGames20242025!$A3,DataRegularSeason20242025!$N$2:$N$1315,1)</f>
        <v>0</v>
      </c>
      <c r="BJ4" s="39"/>
      <c r="BK4" s="38">
        <f>COUNTIFS(DataRegularSeason20242025!$D$2:$D$1315,TotalTeamGames20242025!BK$1,DataRegularSeason20242025!$E$2:$E$1315,TotalTeamGames20242025!$A3,DataRegularSeason20242025!$N$2:$N$1315,1)</f>
        <v>0</v>
      </c>
      <c r="BL4" s="39"/>
      <c r="BM4" s="38">
        <f>COUNTIFS(DataRegularSeason20242025!$D$2:$D$1315,TotalTeamGames20242025!BM$1,DataRegularSeason20242025!$E$2:$E$1315,TotalTeamGames20242025!$A3,DataRegularSeason20242025!$N$2:$N$1315,1)</f>
        <v>0</v>
      </c>
      <c r="BN4" s="39"/>
      <c r="BO4" s="34">
        <f>SUM(C4:BN4)</f>
        <v>2</v>
      </c>
      <c r="BP4" s="165"/>
      <c r="BQ4" s="166"/>
    </row>
    <row r="5" spans="1:69" ht="9.9499999999999993" customHeight="1" x14ac:dyDescent="0.25">
      <c r="A5" s="172" t="s">
        <v>15</v>
      </c>
      <c r="B5" s="28" t="s">
        <v>74</v>
      </c>
      <c r="C5" s="35"/>
      <c r="D5" s="28">
        <f>COUNTIFS(DataRegularSeason20242025!$E$2:$E$1315,TotalTeamGames20242025!C$1,DataRegularSeason20242025!$D$2:$D$1315,TotalTeamGames20242025!$A5,DataRegularSeason20242025!$N$2:$N$1315,1)</f>
        <v>0</v>
      </c>
      <c r="E5" s="35"/>
      <c r="F5" s="36"/>
      <c r="G5" s="35"/>
      <c r="H5" s="28">
        <f>COUNTIFS(DataRegularSeason20242025!$E$2:$E$1315,TotalTeamGames20242025!G$1,DataRegularSeason20242025!$D$2:$D$1315,TotalTeamGames20242025!$A5,DataRegularSeason20242025!$N$2:$N$1315,1)</f>
        <v>0</v>
      </c>
      <c r="I5" s="35"/>
      <c r="J5" s="28">
        <f>COUNTIFS(DataRegularSeason20242025!$E$2:$E$1315,TotalTeamGames20242025!I$1,DataRegularSeason20242025!$D$2:$D$1315,TotalTeamGames20242025!$A5,DataRegularSeason20242025!$N$2:$N$1315,1)</f>
        <v>0</v>
      </c>
      <c r="K5" s="35"/>
      <c r="L5" s="28">
        <f>COUNTIFS(DataRegularSeason20242025!$E$2:$E$1315,TotalTeamGames20242025!K$1,DataRegularSeason20242025!$D$2:$D$1315,TotalTeamGames20242025!$A5,DataRegularSeason20242025!$N$2:$N$1315,1)</f>
        <v>0</v>
      </c>
      <c r="M5" s="35"/>
      <c r="N5" s="28">
        <f>COUNTIFS(DataRegularSeason20242025!$E$2:$E$1315,TotalTeamGames20242025!M$1,DataRegularSeason20242025!$D$2:$D$1315,TotalTeamGames20242025!$A5,DataRegularSeason20242025!$N$2:$N$1315,1)</f>
        <v>0</v>
      </c>
      <c r="O5" s="35"/>
      <c r="P5" s="28">
        <f>COUNTIFS(DataRegularSeason20242025!$E$2:$E$1315,TotalTeamGames20242025!O$1,DataRegularSeason20242025!$D$2:$D$1315,TotalTeamGames20242025!$A5,DataRegularSeason20242025!$N$2:$N$1315,1)</f>
        <v>0</v>
      </c>
      <c r="Q5" s="35"/>
      <c r="R5" s="28">
        <f>COUNTIFS(DataRegularSeason20242025!$E$2:$E$1315,TotalTeamGames20242025!Q$1,DataRegularSeason20242025!$D$2:$D$1315,TotalTeamGames20242025!$A5,DataRegularSeason20242025!$N$2:$N$1315,1)</f>
        <v>1</v>
      </c>
      <c r="S5" s="35"/>
      <c r="T5" s="28">
        <f>COUNTIFS(DataRegularSeason20242025!$E$2:$E$1315,TotalTeamGames20242025!S$1,DataRegularSeason20242025!$D$2:$D$1315,TotalTeamGames20242025!$A5,DataRegularSeason20242025!$N$2:$N$1315,1)</f>
        <v>0</v>
      </c>
      <c r="U5" s="35"/>
      <c r="V5" s="28">
        <f>COUNTIFS(DataRegularSeason20242025!$E$2:$E$1315,TotalTeamGames20242025!U$1,DataRegularSeason20242025!$D$2:$D$1315,TotalTeamGames20242025!$A5,DataRegularSeason20242025!$N$2:$N$1315,1)</f>
        <v>0</v>
      </c>
      <c r="W5" s="35"/>
      <c r="X5" s="28">
        <f>COUNTIFS(DataRegularSeason20242025!$E$2:$E$1315,TotalTeamGames20242025!W$1,DataRegularSeason20242025!$D$2:$D$1315,TotalTeamGames20242025!$A5,DataRegularSeason20242025!$N$2:$N$1315,1)</f>
        <v>0</v>
      </c>
      <c r="Y5" s="35"/>
      <c r="Z5" s="28">
        <f>COUNTIFS(DataRegularSeason20242025!$E$2:$E$1315,TotalTeamGames20242025!Y$1,DataRegularSeason20242025!$D$2:$D$1315,TotalTeamGames20242025!$A5,DataRegularSeason20242025!$N$2:$N$1315,1)</f>
        <v>0</v>
      </c>
      <c r="AA5" s="35"/>
      <c r="AB5" s="28">
        <f>COUNTIFS(DataRegularSeason20242025!$E$2:$E$1315,TotalTeamGames20242025!AA$1,DataRegularSeason20242025!$D$2:$D$1315,TotalTeamGames20242025!$A5,DataRegularSeason20242025!$N$2:$N$1315,1)</f>
        <v>0</v>
      </c>
      <c r="AC5" s="35"/>
      <c r="AD5" s="28">
        <f>COUNTIFS(DataRegularSeason20242025!$E$2:$E$1315,TotalTeamGames20242025!AC$1,DataRegularSeason20242025!$D$2:$D$1315,TotalTeamGames20242025!$A5,DataRegularSeason20242025!$N$2:$N$1315,1)</f>
        <v>0</v>
      </c>
      <c r="AE5" s="35"/>
      <c r="AF5" s="28">
        <f>COUNTIFS(DataRegularSeason20242025!$E$2:$E$1315,TotalTeamGames20242025!AE$1,DataRegularSeason20242025!$D$2:$D$1315,TotalTeamGames20242025!$A5,DataRegularSeason20242025!$N$2:$N$1315,1)</f>
        <v>0</v>
      </c>
      <c r="AG5" s="35"/>
      <c r="AH5" s="28">
        <f>COUNTIFS(DataRegularSeason20242025!$E$2:$E$1315,TotalTeamGames20242025!AG$1,DataRegularSeason20242025!$D$2:$D$1315,TotalTeamGames20242025!$A5,DataRegularSeason20242025!$N$2:$N$1315,1)</f>
        <v>0</v>
      </c>
      <c r="AI5" s="35"/>
      <c r="AJ5" s="28">
        <f>COUNTIFS(DataRegularSeason20242025!$E$2:$E$1315,TotalTeamGames20242025!AI$1,DataRegularSeason20242025!$D$2:$D$1315,TotalTeamGames20242025!$A5,DataRegularSeason20242025!$N$2:$N$1315,1)</f>
        <v>0</v>
      </c>
      <c r="AK5" s="35"/>
      <c r="AL5" s="28">
        <f>COUNTIFS(DataRegularSeason20242025!$E$2:$E$1315,TotalTeamGames20242025!AK$1,DataRegularSeason20242025!$D$2:$D$1315,TotalTeamGames20242025!$A5,DataRegularSeason20242025!$N$2:$N$1315,1)</f>
        <v>0</v>
      </c>
      <c r="AM5" s="35"/>
      <c r="AN5" s="28">
        <f>COUNTIFS(DataRegularSeason20242025!$E$2:$E$1315,TotalTeamGames20242025!AM$1,DataRegularSeason20242025!$D$2:$D$1315,TotalTeamGames20242025!$A5,DataRegularSeason20242025!$N$2:$N$1315,1)</f>
        <v>0</v>
      </c>
      <c r="AO5" s="35"/>
      <c r="AP5" s="28">
        <f>COUNTIFS(DataRegularSeason20242025!$E$2:$E$1315,TotalTeamGames20242025!AO$1,DataRegularSeason20242025!$D$2:$D$1315,TotalTeamGames20242025!$A5,DataRegularSeason20242025!$N$2:$N$1315,1)</f>
        <v>0</v>
      </c>
      <c r="AQ5" s="35"/>
      <c r="AR5" s="28">
        <f>COUNTIFS(DataRegularSeason20242025!$E$2:$E$1315,TotalTeamGames20242025!AQ$1,DataRegularSeason20242025!$D$2:$D$1315,TotalTeamGames20242025!$A5,DataRegularSeason20242025!$N$2:$N$1315,1)</f>
        <v>0</v>
      </c>
      <c r="AS5" s="35"/>
      <c r="AT5" s="28">
        <f>COUNTIFS(DataRegularSeason20242025!$E$2:$E$1315,TotalTeamGames20242025!AS$1,DataRegularSeason20242025!$D$2:$D$1315,TotalTeamGames20242025!$A5,DataRegularSeason20242025!$N$2:$N$1315,1)</f>
        <v>0</v>
      </c>
      <c r="AU5" s="35"/>
      <c r="AV5" s="28">
        <f>COUNTIFS(DataRegularSeason20242025!$E$2:$E$1315,TotalTeamGames20242025!AU$1,DataRegularSeason20242025!$D$2:$D$1315,TotalTeamGames20242025!$A5,DataRegularSeason20242025!$N$2:$N$1315,1)</f>
        <v>0</v>
      </c>
      <c r="AW5" s="35"/>
      <c r="AX5" s="28">
        <f>COUNTIFS(DataRegularSeason20242025!$E$2:$E$1315,TotalTeamGames20242025!AW$1,DataRegularSeason20242025!$D$2:$D$1315,TotalTeamGames20242025!$A5,DataRegularSeason20242025!$N$2:$N$1315,1)</f>
        <v>0</v>
      </c>
      <c r="AY5" s="35"/>
      <c r="AZ5" s="28">
        <f>COUNTIFS(DataRegularSeason20242025!$E$2:$E$1315,TotalTeamGames20242025!AY$1,DataRegularSeason20242025!$D$2:$D$1315,TotalTeamGames20242025!$A5,DataRegularSeason20242025!$N$2:$N$1315,1)</f>
        <v>0</v>
      </c>
      <c r="BA5" s="35"/>
      <c r="BB5" s="28">
        <f>COUNTIFS(DataRegularSeason20242025!$E$2:$E$1315,TotalTeamGames20242025!BA$1,DataRegularSeason20242025!$D$2:$D$1315,TotalTeamGames20242025!$A5,DataRegularSeason20242025!$N$2:$N$1315,1)</f>
        <v>0</v>
      </c>
      <c r="BC5" s="35"/>
      <c r="BD5" s="28">
        <f>COUNTIFS(DataRegularSeason20242025!$E$2:$E$1315,TotalTeamGames20242025!BC$1,DataRegularSeason20242025!$D$2:$D$1315,TotalTeamGames20242025!$A5,DataRegularSeason20242025!$N$2:$N$1315,1)</f>
        <v>0</v>
      </c>
      <c r="BE5" s="35"/>
      <c r="BF5" s="28">
        <f>COUNTIFS(DataRegularSeason20242025!$E$2:$E$1315,TotalTeamGames20242025!BE$1,DataRegularSeason20242025!$D$2:$D$1315,TotalTeamGames20242025!$A5,DataRegularSeason20242025!$N$2:$N$1315,1)</f>
        <v>1</v>
      </c>
      <c r="BG5" s="35"/>
      <c r="BH5" s="28">
        <f>COUNTIFS(DataRegularSeason20242025!$E$2:$E$1315,TotalTeamGames20242025!BG$1,DataRegularSeason20242025!$D$2:$D$1315,TotalTeamGames20242025!$A5,DataRegularSeason20242025!$N$2:$N$1315,1)</f>
        <v>0</v>
      </c>
      <c r="BI5" s="35"/>
      <c r="BJ5" s="28">
        <f>COUNTIFS(DataRegularSeason20242025!$E$2:$E$1315,TotalTeamGames20242025!BI$1,DataRegularSeason20242025!$D$2:$D$1315,TotalTeamGames20242025!$A5,DataRegularSeason20242025!$N$2:$N$1315,1)</f>
        <v>1</v>
      </c>
      <c r="BK5" s="35"/>
      <c r="BL5" s="28">
        <f>COUNTIFS(DataRegularSeason20242025!$E$2:$E$1315,TotalTeamGames20242025!BK$1,DataRegularSeason20242025!$D$2:$D$1315,TotalTeamGames20242025!$A5,DataRegularSeason20242025!$N$2:$N$1315,1)</f>
        <v>0</v>
      </c>
      <c r="BM5" s="35"/>
      <c r="BN5" s="28">
        <f>COUNTIFS(DataRegularSeason20242025!$E$2:$E$1315,TotalTeamGames20242025!BM$1,DataRegularSeason20242025!$D$2:$D$1315,TotalTeamGames20242025!$A5,DataRegularSeason20242025!$N$2:$N$1315,1)</f>
        <v>1</v>
      </c>
      <c r="BO5" s="30">
        <f t="shared" ref="BO5:BO66" si="0">SUM(C5:BN5)</f>
        <v>4</v>
      </c>
      <c r="BP5" s="165">
        <f t="shared" ref="BP5" si="1">BO5+BO6</f>
        <v>8</v>
      </c>
      <c r="BQ5" s="166">
        <f t="shared" ref="BQ5" si="2">82-BP5</f>
        <v>74</v>
      </c>
    </row>
    <row r="6" spans="1:69" ht="9.9499999999999993" customHeight="1" x14ac:dyDescent="0.25">
      <c r="A6" s="167"/>
      <c r="B6" s="32" t="s">
        <v>73</v>
      </c>
      <c r="C6" s="38">
        <f>COUNTIFS(DataRegularSeason20242025!$D$2:$D$1315,TotalTeamGames20242025!C$1,DataRegularSeason20242025!$E$2:$E$1315,TotalTeamGames20242025!$A5,DataRegularSeason20242025!$N$2:$N$1315,1)</f>
        <v>0</v>
      </c>
      <c r="D6" s="39"/>
      <c r="E6" s="38"/>
      <c r="F6" s="39"/>
      <c r="G6" s="38">
        <f>COUNTIFS(DataRegularSeason20242025!$D$2:$D$1315,TotalTeamGames20242025!G$1,DataRegularSeason20242025!$E$2:$E$1315,TotalTeamGames20242025!$A5,DataRegularSeason20242025!$N$2:$N$1315,1)</f>
        <v>1</v>
      </c>
      <c r="H6" s="39"/>
      <c r="I6" s="38">
        <f>COUNTIFS(DataRegularSeason20242025!$D$2:$D$1315,TotalTeamGames20242025!I$1,DataRegularSeason20242025!$E$2:$E$1315,TotalTeamGames20242025!$A5,DataRegularSeason20242025!$N$2:$N$1315,1)</f>
        <v>0</v>
      </c>
      <c r="J6" s="39"/>
      <c r="K6" s="38">
        <f>COUNTIFS(DataRegularSeason20242025!$D$2:$D$1315,TotalTeamGames20242025!K$1,DataRegularSeason20242025!$E$2:$E$1315,TotalTeamGames20242025!$A5,DataRegularSeason20242025!$N$2:$N$1315,1)</f>
        <v>0</v>
      </c>
      <c r="L6" s="39"/>
      <c r="M6" s="38">
        <f>COUNTIFS(DataRegularSeason20242025!$D$2:$D$1315,TotalTeamGames20242025!M$1,DataRegularSeason20242025!$E$2:$E$1315,TotalTeamGames20242025!$A5,DataRegularSeason20242025!$N$2:$N$1315,1)</f>
        <v>0</v>
      </c>
      <c r="N6" s="39"/>
      <c r="O6" s="38">
        <f>COUNTIFS(DataRegularSeason20242025!$D$2:$D$1315,TotalTeamGames20242025!O$1,DataRegularSeason20242025!$E$2:$E$1315,TotalTeamGames20242025!$A5,DataRegularSeason20242025!$N$2:$N$1315,1)</f>
        <v>1</v>
      </c>
      <c r="P6" s="39"/>
      <c r="Q6" s="38">
        <f>COUNTIFS(DataRegularSeason20242025!$D$2:$D$1315,TotalTeamGames20242025!Q$1,DataRegularSeason20242025!$E$2:$E$1315,TotalTeamGames20242025!$A5,DataRegularSeason20242025!$N$2:$N$1315,1)</f>
        <v>0</v>
      </c>
      <c r="R6" s="39"/>
      <c r="S6" s="38">
        <f>COUNTIFS(DataRegularSeason20242025!$D$2:$D$1315,TotalTeamGames20242025!S$1,DataRegularSeason20242025!$E$2:$E$1315,TotalTeamGames20242025!$A5,DataRegularSeason20242025!$N$2:$N$1315,1)</f>
        <v>0</v>
      </c>
      <c r="T6" s="39"/>
      <c r="U6" s="38">
        <f>COUNTIFS(DataRegularSeason20242025!$D$2:$D$1315,TotalTeamGames20242025!U$1,DataRegularSeason20242025!$E$2:$E$1315,TotalTeamGames20242025!$A5,DataRegularSeason20242025!$N$2:$N$1315,1)</f>
        <v>0</v>
      </c>
      <c r="V6" s="39"/>
      <c r="W6" s="38">
        <f>COUNTIFS(DataRegularSeason20242025!$D$2:$D$1315,TotalTeamGames20242025!W$1,DataRegularSeason20242025!$E$2:$E$1315,TotalTeamGames20242025!$A5,DataRegularSeason20242025!$N$2:$N$1315,1)</f>
        <v>0</v>
      </c>
      <c r="X6" s="39"/>
      <c r="Y6" s="38">
        <f>COUNTIFS(DataRegularSeason20242025!$D$2:$D$1315,TotalTeamGames20242025!Y$1,DataRegularSeason20242025!$E$2:$E$1315,TotalTeamGames20242025!$A5,DataRegularSeason20242025!$N$2:$N$1315,1)</f>
        <v>1</v>
      </c>
      <c r="Z6" s="39"/>
      <c r="AA6" s="38">
        <f>COUNTIFS(DataRegularSeason20242025!$D$2:$D$1315,TotalTeamGames20242025!AA$1,DataRegularSeason20242025!$E$2:$E$1315,TotalTeamGames20242025!$A5,DataRegularSeason20242025!$N$2:$N$1315,1)</f>
        <v>0</v>
      </c>
      <c r="AB6" s="39"/>
      <c r="AC6" s="38">
        <f>COUNTIFS(DataRegularSeason20242025!$D$2:$D$1315,TotalTeamGames20242025!AC$1,DataRegularSeason20242025!$E$2:$E$1315,TotalTeamGames20242025!$A5,DataRegularSeason20242025!$N$2:$N$1315,1)</f>
        <v>0</v>
      </c>
      <c r="AD6" s="39"/>
      <c r="AE6" s="38">
        <f>COUNTIFS(DataRegularSeason20242025!$D$2:$D$1315,TotalTeamGames20242025!AE$1,DataRegularSeason20242025!$E$2:$E$1315,TotalTeamGames20242025!$A5,DataRegularSeason20242025!$N$2:$N$1315,1)</f>
        <v>0</v>
      </c>
      <c r="AF6" s="39"/>
      <c r="AG6" s="38">
        <f>COUNTIFS(DataRegularSeason20242025!$D$2:$D$1315,TotalTeamGames20242025!AG$1,DataRegularSeason20242025!$E$2:$E$1315,TotalTeamGames20242025!$A5,DataRegularSeason20242025!$N$2:$N$1315,1)</f>
        <v>0</v>
      </c>
      <c r="AH6" s="39"/>
      <c r="AI6" s="38">
        <f>COUNTIFS(DataRegularSeason20242025!$D$2:$D$1315,TotalTeamGames20242025!AI$1,DataRegularSeason20242025!$E$2:$E$1315,TotalTeamGames20242025!$A5,DataRegularSeason20242025!$N$2:$N$1315,1)</f>
        <v>0</v>
      </c>
      <c r="AJ6" s="39"/>
      <c r="AK6" s="38">
        <f>COUNTIFS(DataRegularSeason20242025!$D$2:$D$1315,TotalTeamGames20242025!AK$1,DataRegularSeason20242025!$E$2:$E$1315,TotalTeamGames20242025!$A5,DataRegularSeason20242025!$N$2:$N$1315,1)</f>
        <v>0</v>
      </c>
      <c r="AL6" s="39"/>
      <c r="AM6" s="38">
        <f>COUNTIFS(DataRegularSeason20242025!$D$2:$D$1315,TotalTeamGames20242025!AM$1,DataRegularSeason20242025!$E$2:$E$1315,TotalTeamGames20242025!$A5,DataRegularSeason20242025!$N$2:$N$1315,1)</f>
        <v>0</v>
      </c>
      <c r="AN6" s="39"/>
      <c r="AO6" s="38">
        <f>COUNTIFS(DataRegularSeason20242025!$D$2:$D$1315,TotalTeamGames20242025!AO$1,DataRegularSeason20242025!$E$2:$E$1315,TotalTeamGames20242025!$A5,DataRegularSeason20242025!$N$2:$N$1315,1)</f>
        <v>0</v>
      </c>
      <c r="AP6" s="39"/>
      <c r="AQ6" s="38">
        <f>COUNTIFS(DataRegularSeason20242025!$D$2:$D$1315,TotalTeamGames20242025!AQ$1,DataRegularSeason20242025!$E$2:$E$1315,TotalTeamGames20242025!$A5,DataRegularSeason20242025!$N$2:$N$1315,1)</f>
        <v>0</v>
      </c>
      <c r="AR6" s="39"/>
      <c r="AS6" s="38">
        <f>COUNTIFS(DataRegularSeason20242025!$D$2:$D$1315,TotalTeamGames20242025!AS$1,DataRegularSeason20242025!$E$2:$E$1315,TotalTeamGames20242025!$A5,DataRegularSeason20242025!$N$2:$N$1315,1)</f>
        <v>0</v>
      </c>
      <c r="AT6" s="39"/>
      <c r="AU6" s="38">
        <f>COUNTIFS(DataRegularSeason20242025!$D$2:$D$1315,TotalTeamGames20242025!AU$1,DataRegularSeason20242025!$E$2:$E$1315,TotalTeamGames20242025!$A5,DataRegularSeason20242025!$N$2:$N$1315,1)</f>
        <v>0</v>
      </c>
      <c r="AV6" s="39"/>
      <c r="AW6" s="38">
        <f>COUNTIFS(DataRegularSeason20242025!$D$2:$D$1315,TotalTeamGames20242025!AW$1,DataRegularSeason20242025!$E$2:$E$1315,TotalTeamGames20242025!$A5,DataRegularSeason20242025!$N$2:$N$1315,1)</f>
        <v>0</v>
      </c>
      <c r="AX6" s="39"/>
      <c r="AY6" s="38">
        <f>COUNTIFS(DataRegularSeason20242025!$D$2:$D$1315,TotalTeamGames20242025!AY$1,DataRegularSeason20242025!$E$2:$E$1315,TotalTeamGames20242025!$A5,DataRegularSeason20242025!$N$2:$N$1315,1)</f>
        <v>0</v>
      </c>
      <c r="AZ6" s="39"/>
      <c r="BA6" s="38">
        <f>COUNTIFS(DataRegularSeason20242025!$D$2:$D$1315,TotalTeamGames20242025!BA$1,DataRegularSeason20242025!$E$2:$E$1315,TotalTeamGames20242025!$A5,DataRegularSeason20242025!$N$2:$N$1315,1)</f>
        <v>1</v>
      </c>
      <c r="BB6" s="39"/>
      <c r="BC6" s="38">
        <f>COUNTIFS(DataRegularSeason20242025!$D$2:$D$1315,TotalTeamGames20242025!BC$1,DataRegularSeason20242025!$E$2:$E$1315,TotalTeamGames20242025!$A5,DataRegularSeason20242025!$N$2:$N$1315,1)</f>
        <v>0</v>
      </c>
      <c r="BD6" s="39"/>
      <c r="BE6" s="38">
        <f>COUNTIFS(DataRegularSeason20242025!$D$2:$D$1315,TotalTeamGames20242025!BE$1,DataRegularSeason20242025!$E$2:$E$1315,TotalTeamGames20242025!$A5,DataRegularSeason20242025!$N$2:$N$1315,1)</f>
        <v>0</v>
      </c>
      <c r="BF6" s="39"/>
      <c r="BG6" s="38">
        <f>COUNTIFS(DataRegularSeason20242025!$D$2:$D$1315,TotalTeamGames20242025!BG$1,DataRegularSeason20242025!$E$2:$E$1315,TotalTeamGames20242025!$A5,DataRegularSeason20242025!$N$2:$N$1315,1)</f>
        <v>0</v>
      </c>
      <c r="BH6" s="39"/>
      <c r="BI6" s="38">
        <f>COUNTIFS(DataRegularSeason20242025!$D$2:$D$1315,TotalTeamGames20242025!BI$1,DataRegularSeason20242025!$E$2:$E$1315,TotalTeamGames20242025!$A5,DataRegularSeason20242025!$N$2:$N$1315,1)</f>
        <v>0</v>
      </c>
      <c r="BJ6" s="39"/>
      <c r="BK6" s="38">
        <f>COUNTIFS(DataRegularSeason20242025!$D$2:$D$1315,TotalTeamGames20242025!BK$1,DataRegularSeason20242025!$E$2:$E$1315,TotalTeamGames20242025!$A5,DataRegularSeason20242025!$N$2:$N$1315,1)</f>
        <v>0</v>
      </c>
      <c r="BL6" s="39"/>
      <c r="BM6" s="38">
        <f>COUNTIFS(DataRegularSeason20242025!$D$2:$D$1315,TotalTeamGames20242025!BM$1,DataRegularSeason20242025!$E$2:$E$1315,TotalTeamGames20242025!$A5,DataRegularSeason20242025!$N$2:$N$1315,1)</f>
        <v>0</v>
      </c>
      <c r="BN6" s="39"/>
      <c r="BO6" s="34">
        <f t="shared" si="0"/>
        <v>4</v>
      </c>
      <c r="BP6" s="165"/>
      <c r="BQ6" s="166"/>
    </row>
    <row r="7" spans="1:69" ht="9.9499999999999993" customHeight="1" x14ac:dyDescent="0.25">
      <c r="A7" s="172" t="s">
        <v>28</v>
      </c>
      <c r="B7" s="28" t="s">
        <v>74</v>
      </c>
      <c r="C7" s="35"/>
      <c r="D7" s="28">
        <f>COUNTIFS(DataRegularSeason20242025!$E$2:$E$1315,TotalTeamGames20242025!C$1,DataRegularSeason20242025!$D$2:$D$1315,TotalTeamGames20242025!$A7,DataRegularSeason20242025!$N$2:$N$1315,1)</f>
        <v>0</v>
      </c>
      <c r="E7" s="35"/>
      <c r="F7" s="28">
        <f>COUNTIFS(DataRegularSeason20242025!$E$2:$E$1315,TotalTeamGames20242025!E$1,DataRegularSeason20242025!$D$2:$D$1315,TotalTeamGames20242025!$A7,DataRegularSeason20242025!$N$2:$N$1315,1)</f>
        <v>1</v>
      </c>
      <c r="G7" s="35"/>
      <c r="H7" s="36"/>
      <c r="I7" s="35"/>
      <c r="J7" s="28">
        <f>COUNTIFS(DataRegularSeason20242025!$E$2:$E$1315,TotalTeamGames20242025!I$1,DataRegularSeason20242025!$D$2:$D$1315,TotalTeamGames20242025!$A7,DataRegularSeason20242025!$N$2:$N$1315,1)</f>
        <v>0</v>
      </c>
      <c r="K7" s="35"/>
      <c r="L7" s="28">
        <f>COUNTIFS(DataRegularSeason20242025!$E$2:$E$1315,TotalTeamGames20242025!K$1,DataRegularSeason20242025!$D$2:$D$1315,TotalTeamGames20242025!$A7,DataRegularSeason20242025!$N$2:$N$1315,1)</f>
        <v>0</v>
      </c>
      <c r="M7" s="35"/>
      <c r="N7" s="28">
        <f>COUNTIFS(DataRegularSeason20242025!$E$2:$E$1315,TotalTeamGames20242025!M$1,DataRegularSeason20242025!$D$2:$D$1315,TotalTeamGames20242025!$A7,DataRegularSeason20242025!$N$2:$N$1315,1)</f>
        <v>0</v>
      </c>
      <c r="O7" s="35"/>
      <c r="P7" s="28">
        <f>COUNTIFS(DataRegularSeason20242025!$E$2:$E$1315,TotalTeamGames20242025!O$1,DataRegularSeason20242025!$D$2:$D$1315,TotalTeamGames20242025!$A7,DataRegularSeason20242025!$N$2:$N$1315,1)</f>
        <v>0</v>
      </c>
      <c r="Q7" s="35"/>
      <c r="R7" s="28">
        <f>COUNTIFS(DataRegularSeason20242025!$E$2:$E$1315,TotalTeamGames20242025!Q$1,DataRegularSeason20242025!$D$2:$D$1315,TotalTeamGames20242025!$A7,DataRegularSeason20242025!$N$2:$N$1315,1)</f>
        <v>0</v>
      </c>
      <c r="S7" s="35"/>
      <c r="T7" s="28">
        <f>COUNTIFS(DataRegularSeason20242025!$E$2:$E$1315,TotalTeamGames20242025!S$1,DataRegularSeason20242025!$D$2:$D$1315,TotalTeamGames20242025!$A7,DataRegularSeason20242025!$N$2:$N$1315,1)</f>
        <v>0</v>
      </c>
      <c r="U7" s="35"/>
      <c r="V7" s="28">
        <f>COUNTIFS(DataRegularSeason20242025!$E$2:$E$1315,TotalTeamGames20242025!U$1,DataRegularSeason20242025!$D$2:$D$1315,TotalTeamGames20242025!$A7,DataRegularSeason20242025!$N$2:$N$1315,1)</f>
        <v>0</v>
      </c>
      <c r="W7" s="35"/>
      <c r="X7" s="28">
        <f>COUNTIFS(DataRegularSeason20242025!$E$2:$E$1315,TotalTeamGames20242025!W$1,DataRegularSeason20242025!$D$2:$D$1315,TotalTeamGames20242025!$A7,DataRegularSeason20242025!$N$2:$N$1315,1)</f>
        <v>0</v>
      </c>
      <c r="Y7" s="35"/>
      <c r="Z7" s="28">
        <f>COUNTIFS(DataRegularSeason20242025!$E$2:$E$1315,TotalTeamGames20242025!Y$1,DataRegularSeason20242025!$D$2:$D$1315,TotalTeamGames20242025!$A7,DataRegularSeason20242025!$N$2:$N$1315,1)</f>
        <v>0</v>
      </c>
      <c r="AA7" s="35"/>
      <c r="AB7" s="28">
        <f>COUNTIFS(DataRegularSeason20242025!$E$2:$E$1315,TotalTeamGames20242025!AA$1,DataRegularSeason20242025!$D$2:$D$1315,TotalTeamGames20242025!$A7,DataRegularSeason20242025!$N$2:$N$1315,1)</f>
        <v>0</v>
      </c>
      <c r="AC7" s="35"/>
      <c r="AD7" s="28">
        <f>COUNTIFS(DataRegularSeason20242025!$E$2:$E$1315,TotalTeamGames20242025!AC$1,DataRegularSeason20242025!$D$2:$D$1315,TotalTeamGames20242025!$A7,DataRegularSeason20242025!$N$2:$N$1315,1)</f>
        <v>0</v>
      </c>
      <c r="AE7" s="35"/>
      <c r="AF7" s="28">
        <f>COUNTIFS(DataRegularSeason20242025!$E$2:$E$1315,TotalTeamGames20242025!AE$1,DataRegularSeason20242025!$D$2:$D$1315,TotalTeamGames20242025!$A7,DataRegularSeason20242025!$N$2:$N$1315,1)</f>
        <v>1</v>
      </c>
      <c r="AG7" s="35"/>
      <c r="AH7" s="28">
        <f>COUNTIFS(DataRegularSeason20242025!$E$2:$E$1315,TotalTeamGames20242025!AG$1,DataRegularSeason20242025!$D$2:$D$1315,TotalTeamGames20242025!$A7,DataRegularSeason20242025!$N$2:$N$1315,1)</f>
        <v>0</v>
      </c>
      <c r="AI7" s="35"/>
      <c r="AJ7" s="28">
        <f>COUNTIFS(DataRegularSeason20242025!$E$2:$E$1315,TotalTeamGames20242025!AI$1,DataRegularSeason20242025!$D$2:$D$1315,TotalTeamGames20242025!$A7,DataRegularSeason20242025!$N$2:$N$1315,1)</f>
        <v>0</v>
      </c>
      <c r="AK7" s="35"/>
      <c r="AL7" s="28">
        <f>COUNTIFS(DataRegularSeason20242025!$E$2:$E$1315,TotalTeamGames20242025!AK$1,DataRegularSeason20242025!$D$2:$D$1315,TotalTeamGames20242025!$A7,DataRegularSeason20242025!$N$2:$N$1315,1)</f>
        <v>0</v>
      </c>
      <c r="AM7" s="35"/>
      <c r="AN7" s="28">
        <f>COUNTIFS(DataRegularSeason20242025!$E$2:$E$1315,TotalTeamGames20242025!AM$1,DataRegularSeason20242025!$D$2:$D$1315,TotalTeamGames20242025!$A7,DataRegularSeason20242025!$N$2:$N$1315,1)</f>
        <v>0</v>
      </c>
      <c r="AO7" s="35"/>
      <c r="AP7" s="28">
        <f>COUNTIFS(DataRegularSeason20242025!$E$2:$E$1315,TotalTeamGames20242025!AO$1,DataRegularSeason20242025!$D$2:$D$1315,TotalTeamGames20242025!$A7,DataRegularSeason20242025!$N$2:$N$1315,1)</f>
        <v>0</v>
      </c>
      <c r="AQ7" s="35"/>
      <c r="AR7" s="28">
        <f>COUNTIFS(DataRegularSeason20242025!$E$2:$E$1315,TotalTeamGames20242025!AQ$1,DataRegularSeason20242025!$D$2:$D$1315,TotalTeamGames20242025!$A7,DataRegularSeason20242025!$N$2:$N$1315,1)</f>
        <v>0</v>
      </c>
      <c r="AS7" s="35"/>
      <c r="AT7" s="28">
        <f>COUNTIFS(DataRegularSeason20242025!$E$2:$E$1315,TotalTeamGames20242025!AS$1,DataRegularSeason20242025!$D$2:$D$1315,TotalTeamGames20242025!$A7,DataRegularSeason20242025!$N$2:$N$1315,1)</f>
        <v>0</v>
      </c>
      <c r="AU7" s="35"/>
      <c r="AV7" s="28">
        <f>COUNTIFS(DataRegularSeason20242025!$E$2:$E$1315,TotalTeamGames20242025!AU$1,DataRegularSeason20242025!$D$2:$D$1315,TotalTeamGames20242025!$A7,DataRegularSeason20242025!$N$2:$N$1315,1)</f>
        <v>0</v>
      </c>
      <c r="AW7" s="35"/>
      <c r="AX7" s="28">
        <f>COUNTIFS(DataRegularSeason20242025!$E$2:$E$1315,TotalTeamGames20242025!AW$1,DataRegularSeason20242025!$D$2:$D$1315,TotalTeamGames20242025!$A7,DataRegularSeason20242025!$N$2:$N$1315,1)</f>
        <v>0</v>
      </c>
      <c r="AY7" s="35"/>
      <c r="AZ7" s="28">
        <f>COUNTIFS(DataRegularSeason20242025!$E$2:$E$1315,TotalTeamGames20242025!AY$1,DataRegularSeason20242025!$D$2:$D$1315,TotalTeamGames20242025!$A7,DataRegularSeason20242025!$N$2:$N$1315,1)</f>
        <v>0</v>
      </c>
      <c r="BA7" s="35"/>
      <c r="BB7" s="28">
        <f>COUNTIFS(DataRegularSeason20242025!$E$2:$E$1315,TotalTeamGames20242025!BA$1,DataRegularSeason20242025!$D$2:$D$1315,TotalTeamGames20242025!$A7,DataRegularSeason20242025!$N$2:$N$1315,1)</f>
        <v>0</v>
      </c>
      <c r="BC7" s="35"/>
      <c r="BD7" s="28">
        <f>COUNTIFS(DataRegularSeason20242025!$E$2:$E$1315,TotalTeamGames20242025!BC$1,DataRegularSeason20242025!$D$2:$D$1315,TotalTeamGames20242025!$A7,DataRegularSeason20242025!$N$2:$N$1315,1)</f>
        <v>0</v>
      </c>
      <c r="BE7" s="35"/>
      <c r="BF7" s="28">
        <f>COUNTIFS(DataRegularSeason20242025!$E$2:$E$1315,TotalTeamGames20242025!BE$1,DataRegularSeason20242025!$D$2:$D$1315,TotalTeamGames20242025!$A7,DataRegularSeason20242025!$N$2:$N$1315,1)</f>
        <v>0</v>
      </c>
      <c r="BG7" s="35"/>
      <c r="BH7" s="28">
        <f>COUNTIFS(DataRegularSeason20242025!$E$2:$E$1315,TotalTeamGames20242025!BG$1,DataRegularSeason20242025!$D$2:$D$1315,TotalTeamGames20242025!$A7,DataRegularSeason20242025!$N$2:$N$1315,1)</f>
        <v>0</v>
      </c>
      <c r="BI7" s="35"/>
      <c r="BJ7" s="28">
        <f>COUNTIFS(DataRegularSeason20242025!$E$2:$E$1315,TotalTeamGames20242025!BI$1,DataRegularSeason20242025!$D$2:$D$1315,TotalTeamGames20242025!$A7,DataRegularSeason20242025!$N$2:$N$1315,1)</f>
        <v>0</v>
      </c>
      <c r="BK7" s="35"/>
      <c r="BL7" s="28">
        <f>COUNTIFS(DataRegularSeason20242025!$E$2:$E$1315,TotalTeamGames20242025!BK$1,DataRegularSeason20242025!$D$2:$D$1315,TotalTeamGames20242025!$A7,DataRegularSeason20242025!$N$2:$N$1315,1)</f>
        <v>0</v>
      </c>
      <c r="BM7" s="35"/>
      <c r="BN7" s="28">
        <f>COUNTIFS(DataRegularSeason20242025!$E$2:$E$1315,TotalTeamGames20242025!BM$1,DataRegularSeason20242025!$D$2:$D$1315,TotalTeamGames20242025!$A7,DataRegularSeason20242025!$N$2:$N$1315,1)</f>
        <v>0</v>
      </c>
      <c r="BO7" s="30">
        <f t="shared" si="0"/>
        <v>2</v>
      </c>
      <c r="BP7" s="165">
        <f t="shared" ref="BP7" si="3">BO7+BO8</f>
        <v>6</v>
      </c>
      <c r="BQ7" s="166">
        <f t="shared" ref="BQ7" si="4">82-BP7</f>
        <v>76</v>
      </c>
    </row>
    <row r="8" spans="1:69" ht="9.9499999999999993" customHeight="1" x14ac:dyDescent="0.25">
      <c r="A8" s="167"/>
      <c r="B8" s="32" t="s">
        <v>73</v>
      </c>
      <c r="C8" s="38">
        <f>COUNTIFS(DataRegularSeason20242025!$D$2:$D$1315,TotalTeamGames20242025!C$1,DataRegularSeason20242025!$E$2:$E$1315,TotalTeamGames20242025!$A7,DataRegularSeason20242025!$N$2:$N$1315,1)</f>
        <v>0</v>
      </c>
      <c r="D8" s="39"/>
      <c r="E8" s="38">
        <f>COUNTIFS(DataRegularSeason20242025!$D$2:$D$1315,TotalTeamGames20242025!E$1,DataRegularSeason20242025!$E$2:$E$1315,TotalTeamGames20242025!$A7,DataRegularSeason20242025!$N$2:$N$1315,1)</f>
        <v>0</v>
      </c>
      <c r="F8" s="39"/>
      <c r="G8" s="38"/>
      <c r="H8" s="39"/>
      <c r="I8" s="38">
        <f>COUNTIFS(DataRegularSeason20242025!$D$2:$D$1315,TotalTeamGames20242025!I$1,DataRegularSeason20242025!$E$2:$E$1315,TotalTeamGames20242025!$A7,DataRegularSeason20242025!$N$2:$N$1315,1)</f>
        <v>0</v>
      </c>
      <c r="J8" s="39"/>
      <c r="K8" s="38">
        <f>COUNTIFS(DataRegularSeason20242025!$D$2:$D$1315,TotalTeamGames20242025!K$1,DataRegularSeason20242025!$E$2:$E$1315,TotalTeamGames20242025!$A7,DataRegularSeason20242025!$N$2:$N$1315,1)</f>
        <v>0</v>
      </c>
      <c r="L8" s="39"/>
      <c r="M8" s="38">
        <f>COUNTIFS(DataRegularSeason20242025!$D$2:$D$1315,TotalTeamGames20242025!M$1,DataRegularSeason20242025!$E$2:$E$1315,TotalTeamGames20242025!$A7,DataRegularSeason20242025!$N$2:$N$1315,1)</f>
        <v>0</v>
      </c>
      <c r="N8" s="39"/>
      <c r="O8" s="38">
        <f>COUNTIFS(DataRegularSeason20242025!$D$2:$D$1315,TotalTeamGames20242025!O$1,DataRegularSeason20242025!$E$2:$E$1315,TotalTeamGames20242025!$A7,DataRegularSeason20242025!$N$2:$N$1315,1)</f>
        <v>0</v>
      </c>
      <c r="P8" s="39"/>
      <c r="Q8" s="38">
        <f>COUNTIFS(DataRegularSeason20242025!$D$2:$D$1315,TotalTeamGames20242025!Q$1,DataRegularSeason20242025!$E$2:$E$1315,TotalTeamGames20242025!$A7,DataRegularSeason20242025!$N$2:$N$1315,1)</f>
        <v>1</v>
      </c>
      <c r="R8" s="39"/>
      <c r="S8" s="38">
        <f>COUNTIFS(DataRegularSeason20242025!$D$2:$D$1315,TotalTeamGames20242025!S$1,DataRegularSeason20242025!$E$2:$E$1315,TotalTeamGames20242025!$A7,DataRegularSeason20242025!$N$2:$N$1315,1)</f>
        <v>0</v>
      </c>
      <c r="T8" s="39"/>
      <c r="U8" s="38">
        <f>COUNTIFS(DataRegularSeason20242025!$D$2:$D$1315,TotalTeamGames20242025!U$1,DataRegularSeason20242025!$E$2:$E$1315,TotalTeamGames20242025!$A7,DataRegularSeason20242025!$N$2:$N$1315,1)</f>
        <v>0</v>
      </c>
      <c r="V8" s="39"/>
      <c r="W8" s="38">
        <f>COUNTIFS(DataRegularSeason20242025!$D$2:$D$1315,TotalTeamGames20242025!W$1,DataRegularSeason20242025!$E$2:$E$1315,TotalTeamGames20242025!$A7,DataRegularSeason20242025!$N$2:$N$1315,1)</f>
        <v>0</v>
      </c>
      <c r="X8" s="39"/>
      <c r="Y8" s="38">
        <f>COUNTIFS(DataRegularSeason20242025!$D$2:$D$1315,TotalTeamGames20242025!Y$1,DataRegularSeason20242025!$E$2:$E$1315,TotalTeamGames20242025!$A7,DataRegularSeason20242025!$N$2:$N$1315,1)</f>
        <v>1</v>
      </c>
      <c r="Z8" s="39"/>
      <c r="AA8" s="38">
        <f>COUNTIFS(DataRegularSeason20242025!$D$2:$D$1315,TotalTeamGames20242025!AA$1,DataRegularSeason20242025!$E$2:$E$1315,TotalTeamGames20242025!$A7,DataRegularSeason20242025!$N$2:$N$1315,1)</f>
        <v>0</v>
      </c>
      <c r="AB8" s="39"/>
      <c r="AC8" s="38">
        <f>COUNTIFS(DataRegularSeason20242025!$D$2:$D$1315,TotalTeamGames20242025!AC$1,DataRegularSeason20242025!$E$2:$E$1315,TotalTeamGames20242025!$A7,DataRegularSeason20242025!$N$2:$N$1315,1)</f>
        <v>0</v>
      </c>
      <c r="AD8" s="39"/>
      <c r="AE8" s="38">
        <f>COUNTIFS(DataRegularSeason20242025!$D$2:$D$1315,TotalTeamGames20242025!AE$1,DataRegularSeason20242025!$E$2:$E$1315,TotalTeamGames20242025!$A7,DataRegularSeason20242025!$N$2:$N$1315,1)</f>
        <v>0</v>
      </c>
      <c r="AF8" s="39"/>
      <c r="AG8" s="38">
        <f>COUNTIFS(DataRegularSeason20242025!$D$2:$D$1315,TotalTeamGames20242025!AG$1,DataRegularSeason20242025!$E$2:$E$1315,TotalTeamGames20242025!$A7,DataRegularSeason20242025!$N$2:$N$1315,1)</f>
        <v>0</v>
      </c>
      <c r="AH8" s="39"/>
      <c r="AI8" s="38">
        <f>COUNTIFS(DataRegularSeason20242025!$D$2:$D$1315,TotalTeamGames20242025!AI$1,DataRegularSeason20242025!$E$2:$E$1315,TotalTeamGames20242025!$A7,DataRegularSeason20242025!$N$2:$N$1315,1)</f>
        <v>0</v>
      </c>
      <c r="AJ8" s="39"/>
      <c r="AK8" s="38">
        <f>COUNTIFS(DataRegularSeason20242025!$D$2:$D$1315,TotalTeamGames20242025!AK$1,DataRegularSeason20242025!$E$2:$E$1315,TotalTeamGames20242025!$A7,DataRegularSeason20242025!$N$2:$N$1315,1)</f>
        <v>0</v>
      </c>
      <c r="AL8" s="39"/>
      <c r="AM8" s="38">
        <f>COUNTIFS(DataRegularSeason20242025!$D$2:$D$1315,TotalTeamGames20242025!AM$1,DataRegularSeason20242025!$E$2:$E$1315,TotalTeamGames20242025!$A7,DataRegularSeason20242025!$N$2:$N$1315,1)</f>
        <v>1</v>
      </c>
      <c r="AN8" s="39"/>
      <c r="AO8" s="38">
        <f>COUNTIFS(DataRegularSeason20242025!$D$2:$D$1315,TotalTeamGames20242025!AO$1,DataRegularSeason20242025!$E$2:$E$1315,TotalTeamGames20242025!$A7,DataRegularSeason20242025!$N$2:$N$1315,1)</f>
        <v>1</v>
      </c>
      <c r="AP8" s="39"/>
      <c r="AQ8" s="38">
        <f>COUNTIFS(DataRegularSeason20242025!$D$2:$D$1315,TotalTeamGames20242025!AQ$1,DataRegularSeason20242025!$E$2:$E$1315,TotalTeamGames20242025!$A7,DataRegularSeason20242025!$N$2:$N$1315,1)</f>
        <v>0</v>
      </c>
      <c r="AR8" s="39"/>
      <c r="AS8" s="38">
        <f>COUNTIFS(DataRegularSeason20242025!$D$2:$D$1315,TotalTeamGames20242025!AS$1,DataRegularSeason20242025!$E$2:$E$1315,TotalTeamGames20242025!$A7,DataRegularSeason20242025!$N$2:$N$1315,1)</f>
        <v>0</v>
      </c>
      <c r="AT8" s="39"/>
      <c r="AU8" s="38">
        <f>COUNTIFS(DataRegularSeason20242025!$D$2:$D$1315,TotalTeamGames20242025!AU$1,DataRegularSeason20242025!$E$2:$E$1315,TotalTeamGames20242025!$A7,DataRegularSeason20242025!$N$2:$N$1315,1)</f>
        <v>0</v>
      </c>
      <c r="AV8" s="39"/>
      <c r="AW8" s="38">
        <f>COUNTIFS(DataRegularSeason20242025!$D$2:$D$1315,TotalTeamGames20242025!AW$1,DataRegularSeason20242025!$E$2:$E$1315,TotalTeamGames20242025!$A7,DataRegularSeason20242025!$N$2:$N$1315,1)</f>
        <v>0</v>
      </c>
      <c r="AX8" s="39"/>
      <c r="AY8" s="38">
        <f>COUNTIFS(DataRegularSeason20242025!$D$2:$D$1315,TotalTeamGames20242025!AY$1,DataRegularSeason20242025!$E$2:$E$1315,TotalTeamGames20242025!$A7,DataRegularSeason20242025!$N$2:$N$1315,1)</f>
        <v>0</v>
      </c>
      <c r="AZ8" s="39"/>
      <c r="BA8" s="38">
        <f>COUNTIFS(DataRegularSeason20242025!$D$2:$D$1315,TotalTeamGames20242025!BA$1,DataRegularSeason20242025!$E$2:$E$1315,TotalTeamGames20242025!$A7,DataRegularSeason20242025!$N$2:$N$1315,1)</f>
        <v>0</v>
      </c>
      <c r="BB8" s="39"/>
      <c r="BC8" s="38">
        <f>COUNTIFS(DataRegularSeason20242025!$D$2:$D$1315,TotalTeamGames20242025!BC$1,DataRegularSeason20242025!$E$2:$E$1315,TotalTeamGames20242025!$A7,DataRegularSeason20242025!$N$2:$N$1315,1)</f>
        <v>0</v>
      </c>
      <c r="BD8" s="39"/>
      <c r="BE8" s="38">
        <f>COUNTIFS(DataRegularSeason20242025!$D$2:$D$1315,TotalTeamGames20242025!BE$1,DataRegularSeason20242025!$E$2:$E$1315,TotalTeamGames20242025!$A7,DataRegularSeason20242025!$N$2:$N$1315,1)</f>
        <v>0</v>
      </c>
      <c r="BF8" s="39"/>
      <c r="BG8" s="38">
        <f>COUNTIFS(DataRegularSeason20242025!$D$2:$D$1315,TotalTeamGames20242025!BG$1,DataRegularSeason20242025!$E$2:$E$1315,TotalTeamGames20242025!$A7,DataRegularSeason20242025!$N$2:$N$1315,1)</f>
        <v>0</v>
      </c>
      <c r="BH8" s="39"/>
      <c r="BI8" s="38">
        <f>COUNTIFS(DataRegularSeason20242025!$D$2:$D$1315,TotalTeamGames20242025!BI$1,DataRegularSeason20242025!$E$2:$E$1315,TotalTeamGames20242025!$A7,DataRegularSeason20242025!$N$2:$N$1315,1)</f>
        <v>0</v>
      </c>
      <c r="BJ8" s="39"/>
      <c r="BK8" s="38">
        <f>COUNTIFS(DataRegularSeason20242025!$D$2:$D$1315,TotalTeamGames20242025!BK$1,DataRegularSeason20242025!$E$2:$E$1315,TotalTeamGames20242025!$A7,DataRegularSeason20242025!$N$2:$N$1315,1)</f>
        <v>0</v>
      </c>
      <c r="BL8" s="39"/>
      <c r="BM8" s="38">
        <f>COUNTIFS(DataRegularSeason20242025!$D$2:$D$1315,TotalTeamGames20242025!BM$1,DataRegularSeason20242025!$E$2:$E$1315,TotalTeamGames20242025!$A7,DataRegularSeason20242025!$N$2:$N$1315,1)</f>
        <v>0</v>
      </c>
      <c r="BN8" s="39"/>
      <c r="BO8" s="34">
        <f t="shared" si="0"/>
        <v>4</v>
      </c>
      <c r="BP8" s="165"/>
      <c r="BQ8" s="166"/>
    </row>
    <row r="9" spans="1:69" ht="9.9499999999999993" customHeight="1" x14ac:dyDescent="0.25">
      <c r="A9" s="172" t="s">
        <v>41</v>
      </c>
      <c r="B9" s="28" t="s">
        <v>74</v>
      </c>
      <c r="C9" s="35"/>
      <c r="D9" s="28">
        <f>COUNTIFS(DataRegularSeason20242025!$E$2:$E$1315,TotalTeamGames20242025!C$1,DataRegularSeason20242025!$D$2:$D$1315,TotalTeamGames20242025!$A9,DataRegularSeason20242025!$N$2:$N$1315,1)</f>
        <v>1</v>
      </c>
      <c r="E9" s="35"/>
      <c r="F9" s="28">
        <f>COUNTIFS(DataRegularSeason20242025!$E$2:$E$1315,TotalTeamGames20242025!E$1,DataRegularSeason20242025!$D$2:$D$1315,TotalTeamGames20242025!$A9,DataRegularSeason20242025!$N$2:$N$1315,1)</f>
        <v>0</v>
      </c>
      <c r="G9" s="35"/>
      <c r="H9" s="28">
        <f>COUNTIFS(DataRegularSeason20242025!$E$2:$E$1315,TotalTeamGames20242025!G$1,DataRegularSeason20242025!$D$2:$D$1315,TotalTeamGames20242025!$A9,DataRegularSeason20242025!$N$2:$N$1315,1)</f>
        <v>0</v>
      </c>
      <c r="I9" s="35"/>
      <c r="J9" s="36"/>
      <c r="K9" s="35"/>
      <c r="L9" s="28">
        <f>COUNTIFS(DataRegularSeason20242025!$E$2:$E$1315,TotalTeamGames20242025!K$1,DataRegularSeason20242025!$D$2:$D$1315,TotalTeamGames20242025!$A9,DataRegularSeason20242025!$N$2:$N$1315,1)</f>
        <v>0</v>
      </c>
      <c r="M9" s="35"/>
      <c r="N9" s="28">
        <f>COUNTIFS(DataRegularSeason20242025!$E$2:$E$1315,TotalTeamGames20242025!M$1,DataRegularSeason20242025!$D$2:$D$1315,TotalTeamGames20242025!$A9,DataRegularSeason20242025!$N$2:$N$1315,1)</f>
        <v>0</v>
      </c>
      <c r="O9" s="35"/>
      <c r="P9" s="28">
        <f>COUNTIFS(DataRegularSeason20242025!$E$2:$E$1315,TotalTeamGames20242025!O$1,DataRegularSeason20242025!$D$2:$D$1315,TotalTeamGames20242025!$A9,DataRegularSeason20242025!$N$2:$N$1315,1)</f>
        <v>0</v>
      </c>
      <c r="Q9" s="35"/>
      <c r="R9" s="28">
        <f>COUNTIFS(DataRegularSeason20242025!$E$2:$E$1315,TotalTeamGames20242025!Q$1,DataRegularSeason20242025!$D$2:$D$1315,TotalTeamGames20242025!$A9,DataRegularSeason20242025!$N$2:$N$1315,1)</f>
        <v>0</v>
      </c>
      <c r="S9" s="35"/>
      <c r="T9" s="28">
        <f>COUNTIFS(DataRegularSeason20242025!$E$2:$E$1315,TotalTeamGames20242025!S$1,DataRegularSeason20242025!$D$2:$D$1315,TotalTeamGames20242025!$A9,DataRegularSeason20242025!$N$2:$N$1315,1)</f>
        <v>0</v>
      </c>
      <c r="U9" s="35"/>
      <c r="V9" s="28">
        <f>COUNTIFS(DataRegularSeason20242025!$E$2:$E$1315,TotalTeamGames20242025!U$1,DataRegularSeason20242025!$D$2:$D$1315,TotalTeamGames20242025!$A9,DataRegularSeason20242025!$N$2:$N$1315,1)</f>
        <v>0</v>
      </c>
      <c r="W9" s="35"/>
      <c r="X9" s="28">
        <f>COUNTIFS(DataRegularSeason20242025!$E$2:$E$1315,TotalTeamGames20242025!W$1,DataRegularSeason20242025!$D$2:$D$1315,TotalTeamGames20242025!$A9,DataRegularSeason20242025!$N$2:$N$1315,1)</f>
        <v>0</v>
      </c>
      <c r="Y9" s="35"/>
      <c r="Z9" s="28">
        <f>COUNTIFS(DataRegularSeason20242025!$E$2:$E$1315,TotalTeamGames20242025!Y$1,DataRegularSeason20242025!$D$2:$D$1315,TotalTeamGames20242025!$A9,DataRegularSeason20242025!$N$2:$N$1315,1)</f>
        <v>0</v>
      </c>
      <c r="AA9" s="35"/>
      <c r="AB9" s="28">
        <f>COUNTIFS(DataRegularSeason20242025!$E$2:$E$1315,TotalTeamGames20242025!AA$1,DataRegularSeason20242025!$D$2:$D$1315,TotalTeamGames20242025!$A9,DataRegularSeason20242025!$N$2:$N$1315,1)</f>
        <v>1</v>
      </c>
      <c r="AC9" s="35"/>
      <c r="AD9" s="28">
        <f>COUNTIFS(DataRegularSeason20242025!$E$2:$E$1315,TotalTeamGames20242025!AC$1,DataRegularSeason20242025!$D$2:$D$1315,TotalTeamGames20242025!$A9,DataRegularSeason20242025!$N$2:$N$1315,1)</f>
        <v>0</v>
      </c>
      <c r="AE9" s="35"/>
      <c r="AF9" s="28">
        <f>COUNTIFS(DataRegularSeason20242025!$E$2:$E$1315,TotalTeamGames20242025!AE$1,DataRegularSeason20242025!$D$2:$D$1315,TotalTeamGames20242025!$A9,DataRegularSeason20242025!$N$2:$N$1315,1)</f>
        <v>0</v>
      </c>
      <c r="AG9" s="35"/>
      <c r="AH9" s="28">
        <f>COUNTIFS(DataRegularSeason20242025!$E$2:$E$1315,TotalTeamGames20242025!AG$1,DataRegularSeason20242025!$D$2:$D$1315,TotalTeamGames20242025!$A9,DataRegularSeason20242025!$N$2:$N$1315,1)</f>
        <v>0</v>
      </c>
      <c r="AI9" s="35"/>
      <c r="AJ9" s="28">
        <f>COUNTIFS(DataRegularSeason20242025!$E$2:$E$1315,TotalTeamGames20242025!AI$1,DataRegularSeason20242025!$D$2:$D$1315,TotalTeamGames20242025!$A9,DataRegularSeason20242025!$N$2:$N$1315,1)</f>
        <v>0</v>
      </c>
      <c r="AK9" s="35"/>
      <c r="AL9" s="28">
        <f>COUNTIFS(DataRegularSeason20242025!$E$2:$E$1315,TotalTeamGames20242025!AK$1,DataRegularSeason20242025!$D$2:$D$1315,TotalTeamGames20242025!$A9,DataRegularSeason20242025!$N$2:$N$1315,1)</f>
        <v>0</v>
      </c>
      <c r="AM9" s="35"/>
      <c r="AN9" s="28">
        <f>COUNTIFS(DataRegularSeason20242025!$E$2:$E$1315,TotalTeamGames20242025!AM$1,DataRegularSeason20242025!$D$2:$D$1315,TotalTeamGames20242025!$A9,DataRegularSeason20242025!$N$2:$N$1315,1)</f>
        <v>0</v>
      </c>
      <c r="AO9" s="35"/>
      <c r="AP9" s="28">
        <f>COUNTIFS(DataRegularSeason20242025!$E$2:$E$1315,TotalTeamGames20242025!AO$1,DataRegularSeason20242025!$D$2:$D$1315,TotalTeamGames20242025!$A9,DataRegularSeason20242025!$N$2:$N$1315,1)</f>
        <v>0</v>
      </c>
      <c r="AQ9" s="35"/>
      <c r="AR9" s="28">
        <f>COUNTIFS(DataRegularSeason20242025!$E$2:$E$1315,TotalTeamGames20242025!AQ$1,DataRegularSeason20242025!$D$2:$D$1315,TotalTeamGames20242025!$A9,DataRegularSeason20242025!$N$2:$N$1315,1)</f>
        <v>0</v>
      </c>
      <c r="AS9" s="35"/>
      <c r="AT9" s="28">
        <f>COUNTIFS(DataRegularSeason20242025!$E$2:$E$1315,TotalTeamGames20242025!AS$1,DataRegularSeason20242025!$D$2:$D$1315,TotalTeamGames20242025!$A9,DataRegularSeason20242025!$N$2:$N$1315,1)</f>
        <v>0</v>
      </c>
      <c r="AU9" s="35"/>
      <c r="AV9" s="28">
        <f>COUNTIFS(DataRegularSeason20242025!$E$2:$E$1315,TotalTeamGames20242025!AU$1,DataRegularSeason20242025!$D$2:$D$1315,TotalTeamGames20242025!$A9,DataRegularSeason20242025!$N$2:$N$1315,1)</f>
        <v>0</v>
      </c>
      <c r="AW9" s="35"/>
      <c r="AX9" s="28">
        <f>COUNTIFS(DataRegularSeason20242025!$E$2:$E$1315,TotalTeamGames20242025!AW$1,DataRegularSeason20242025!$D$2:$D$1315,TotalTeamGames20242025!$A9,DataRegularSeason20242025!$N$2:$N$1315,1)</f>
        <v>1</v>
      </c>
      <c r="AY9" s="35"/>
      <c r="AZ9" s="28">
        <f>COUNTIFS(DataRegularSeason20242025!$E$2:$E$1315,TotalTeamGames20242025!AY$1,DataRegularSeason20242025!$D$2:$D$1315,TotalTeamGames20242025!$A9,DataRegularSeason20242025!$N$2:$N$1315,1)</f>
        <v>0</v>
      </c>
      <c r="BA9" s="35"/>
      <c r="BB9" s="28">
        <f>COUNTIFS(DataRegularSeason20242025!$E$2:$E$1315,TotalTeamGames20242025!BA$1,DataRegularSeason20242025!$D$2:$D$1315,TotalTeamGames20242025!$A9,DataRegularSeason20242025!$N$2:$N$1315,1)</f>
        <v>0</v>
      </c>
      <c r="BC9" s="35"/>
      <c r="BD9" s="28">
        <f>COUNTIFS(DataRegularSeason20242025!$E$2:$E$1315,TotalTeamGames20242025!BC$1,DataRegularSeason20242025!$D$2:$D$1315,TotalTeamGames20242025!$A9,DataRegularSeason20242025!$N$2:$N$1315,1)</f>
        <v>0</v>
      </c>
      <c r="BE9" s="35"/>
      <c r="BF9" s="28">
        <f>COUNTIFS(DataRegularSeason20242025!$E$2:$E$1315,TotalTeamGames20242025!BE$1,DataRegularSeason20242025!$D$2:$D$1315,TotalTeamGames20242025!$A9,DataRegularSeason20242025!$N$2:$N$1315,1)</f>
        <v>0</v>
      </c>
      <c r="BG9" s="35"/>
      <c r="BH9" s="28">
        <f>COUNTIFS(DataRegularSeason20242025!$E$2:$E$1315,TotalTeamGames20242025!BG$1,DataRegularSeason20242025!$D$2:$D$1315,TotalTeamGames20242025!$A9,DataRegularSeason20242025!$N$2:$N$1315,1)</f>
        <v>0</v>
      </c>
      <c r="BI9" s="35"/>
      <c r="BJ9" s="28">
        <f>COUNTIFS(DataRegularSeason20242025!$E$2:$E$1315,TotalTeamGames20242025!BI$1,DataRegularSeason20242025!$D$2:$D$1315,TotalTeamGames20242025!$A9,DataRegularSeason20242025!$N$2:$N$1315,1)</f>
        <v>1</v>
      </c>
      <c r="BK9" s="35"/>
      <c r="BL9" s="28">
        <f>COUNTIFS(DataRegularSeason20242025!$E$2:$E$1315,TotalTeamGames20242025!BK$1,DataRegularSeason20242025!$D$2:$D$1315,TotalTeamGames20242025!$A9,DataRegularSeason20242025!$N$2:$N$1315,1)</f>
        <v>0</v>
      </c>
      <c r="BM9" s="35"/>
      <c r="BN9" s="28">
        <f>COUNTIFS(DataRegularSeason20242025!$E$2:$E$1315,TotalTeamGames20242025!BM$1,DataRegularSeason20242025!$D$2:$D$1315,TotalTeamGames20242025!$A9,DataRegularSeason20242025!$N$2:$N$1315,1)</f>
        <v>0</v>
      </c>
      <c r="BO9" s="30">
        <f t="shared" si="0"/>
        <v>4</v>
      </c>
      <c r="BP9" s="165">
        <f t="shared" ref="BP9" si="5">BO9+BO10</f>
        <v>6</v>
      </c>
      <c r="BQ9" s="166">
        <f t="shared" ref="BQ9" si="6">82-BP9</f>
        <v>76</v>
      </c>
    </row>
    <row r="10" spans="1:69" ht="9.9499999999999993" customHeight="1" x14ac:dyDescent="0.25">
      <c r="A10" s="167"/>
      <c r="B10" s="32" t="s">
        <v>73</v>
      </c>
      <c r="C10" s="38">
        <f>COUNTIFS(DataRegularSeason20242025!$D$2:$D$1315,TotalTeamGames20242025!C$1,DataRegularSeason20242025!$E$2:$E$1315,TotalTeamGames20242025!$A9,DataRegularSeason20242025!$N$2:$N$1315,1)</f>
        <v>0</v>
      </c>
      <c r="D10" s="39"/>
      <c r="E10" s="38">
        <f>COUNTIFS(DataRegularSeason20242025!$D$2:$D$1315,TotalTeamGames20242025!E$1,DataRegularSeason20242025!$E$2:$E$1315,TotalTeamGames20242025!$A9,DataRegularSeason20242025!$N$2:$N$1315,1)</f>
        <v>0</v>
      </c>
      <c r="F10" s="39"/>
      <c r="G10" s="38">
        <f>COUNTIFS(DataRegularSeason20242025!$D$2:$D$1315,TotalTeamGames20242025!G$1,DataRegularSeason20242025!$E$2:$E$1315,TotalTeamGames20242025!$A9,DataRegularSeason20242025!$N$2:$N$1315,1)</f>
        <v>0</v>
      </c>
      <c r="H10" s="39"/>
      <c r="I10" s="38"/>
      <c r="J10" s="39"/>
      <c r="K10" s="38">
        <f>COUNTIFS(DataRegularSeason20242025!$D$2:$D$1315,TotalTeamGames20242025!K$1,DataRegularSeason20242025!$E$2:$E$1315,TotalTeamGames20242025!$A9,DataRegularSeason20242025!$N$2:$N$1315,1)</f>
        <v>0</v>
      </c>
      <c r="L10" s="39"/>
      <c r="M10" s="38">
        <f>COUNTIFS(DataRegularSeason20242025!$D$2:$D$1315,TotalTeamGames20242025!M$1,DataRegularSeason20242025!$E$2:$E$1315,TotalTeamGames20242025!$A9,DataRegularSeason20242025!$N$2:$N$1315,1)</f>
        <v>0</v>
      </c>
      <c r="N10" s="39"/>
      <c r="O10" s="38">
        <f>COUNTIFS(DataRegularSeason20242025!$D$2:$D$1315,TotalTeamGames20242025!O$1,DataRegularSeason20242025!$E$2:$E$1315,TotalTeamGames20242025!$A9,DataRegularSeason20242025!$N$2:$N$1315,1)</f>
        <v>0</v>
      </c>
      <c r="P10" s="39"/>
      <c r="Q10" s="38">
        <f>COUNTIFS(DataRegularSeason20242025!$D$2:$D$1315,TotalTeamGames20242025!Q$1,DataRegularSeason20242025!$E$2:$E$1315,TotalTeamGames20242025!$A9,DataRegularSeason20242025!$N$2:$N$1315,1)</f>
        <v>0</v>
      </c>
      <c r="R10" s="39"/>
      <c r="S10" s="38">
        <f>COUNTIFS(DataRegularSeason20242025!$D$2:$D$1315,TotalTeamGames20242025!S$1,DataRegularSeason20242025!$E$2:$E$1315,TotalTeamGames20242025!$A9,DataRegularSeason20242025!$N$2:$N$1315,1)</f>
        <v>0</v>
      </c>
      <c r="T10" s="39"/>
      <c r="U10" s="38">
        <f>COUNTIFS(DataRegularSeason20242025!$D$2:$D$1315,TotalTeamGames20242025!U$1,DataRegularSeason20242025!$E$2:$E$1315,TotalTeamGames20242025!$A9,DataRegularSeason20242025!$N$2:$N$1315,1)</f>
        <v>0</v>
      </c>
      <c r="V10" s="39"/>
      <c r="W10" s="38">
        <f>COUNTIFS(DataRegularSeason20242025!$D$2:$D$1315,TotalTeamGames20242025!W$1,DataRegularSeason20242025!$E$2:$E$1315,TotalTeamGames20242025!$A9,DataRegularSeason20242025!$N$2:$N$1315,1)</f>
        <v>0</v>
      </c>
      <c r="X10" s="39"/>
      <c r="Y10" s="38">
        <f>COUNTIFS(DataRegularSeason20242025!$D$2:$D$1315,TotalTeamGames20242025!Y$1,DataRegularSeason20242025!$E$2:$E$1315,TotalTeamGames20242025!$A9,DataRegularSeason20242025!$N$2:$N$1315,1)</f>
        <v>0</v>
      </c>
      <c r="Z10" s="39"/>
      <c r="AA10" s="38">
        <f>COUNTIFS(DataRegularSeason20242025!$D$2:$D$1315,TotalTeamGames20242025!AA$1,DataRegularSeason20242025!$E$2:$E$1315,TotalTeamGames20242025!$A9,DataRegularSeason20242025!$N$2:$N$1315,1)</f>
        <v>0</v>
      </c>
      <c r="AB10" s="39"/>
      <c r="AC10" s="38">
        <f>COUNTIFS(DataRegularSeason20242025!$D$2:$D$1315,TotalTeamGames20242025!AC$1,DataRegularSeason20242025!$E$2:$E$1315,TotalTeamGames20242025!$A9,DataRegularSeason20242025!$N$2:$N$1315,1)</f>
        <v>0</v>
      </c>
      <c r="AD10" s="39"/>
      <c r="AE10" s="38">
        <f>COUNTIFS(DataRegularSeason20242025!$D$2:$D$1315,TotalTeamGames20242025!AE$1,DataRegularSeason20242025!$E$2:$E$1315,TotalTeamGames20242025!$A9,DataRegularSeason20242025!$N$2:$N$1315,1)</f>
        <v>0</v>
      </c>
      <c r="AF10" s="39"/>
      <c r="AG10" s="38">
        <f>COUNTIFS(DataRegularSeason20242025!$D$2:$D$1315,TotalTeamGames20242025!AG$1,DataRegularSeason20242025!$E$2:$E$1315,TotalTeamGames20242025!$A9,DataRegularSeason20242025!$N$2:$N$1315,1)</f>
        <v>1</v>
      </c>
      <c r="AH10" s="39"/>
      <c r="AI10" s="38">
        <f>COUNTIFS(DataRegularSeason20242025!$D$2:$D$1315,TotalTeamGames20242025!AI$1,DataRegularSeason20242025!$E$2:$E$1315,TotalTeamGames20242025!$A9,DataRegularSeason20242025!$N$2:$N$1315,1)</f>
        <v>0</v>
      </c>
      <c r="AJ10" s="39"/>
      <c r="AK10" s="38">
        <f>COUNTIFS(DataRegularSeason20242025!$D$2:$D$1315,TotalTeamGames20242025!AK$1,DataRegularSeason20242025!$E$2:$E$1315,TotalTeamGames20242025!$A9,DataRegularSeason20242025!$N$2:$N$1315,1)</f>
        <v>0</v>
      </c>
      <c r="AL10" s="39"/>
      <c r="AM10" s="38">
        <f>COUNTIFS(DataRegularSeason20242025!$D$2:$D$1315,TotalTeamGames20242025!AM$1,DataRegularSeason20242025!$E$2:$E$1315,TotalTeamGames20242025!$A9,DataRegularSeason20242025!$N$2:$N$1315,1)</f>
        <v>0</v>
      </c>
      <c r="AN10" s="39"/>
      <c r="AO10" s="38">
        <f>COUNTIFS(DataRegularSeason20242025!$D$2:$D$1315,TotalTeamGames20242025!AO$1,DataRegularSeason20242025!$E$2:$E$1315,TotalTeamGames20242025!$A9,DataRegularSeason20242025!$N$2:$N$1315,1)</f>
        <v>0</v>
      </c>
      <c r="AP10" s="39"/>
      <c r="AQ10" s="38">
        <f>COUNTIFS(DataRegularSeason20242025!$D$2:$D$1315,TotalTeamGames20242025!AQ$1,DataRegularSeason20242025!$E$2:$E$1315,TotalTeamGames20242025!$A9,DataRegularSeason20242025!$N$2:$N$1315,1)</f>
        <v>1</v>
      </c>
      <c r="AR10" s="39"/>
      <c r="AS10" s="38">
        <f>COUNTIFS(DataRegularSeason20242025!$D$2:$D$1315,TotalTeamGames20242025!AS$1,DataRegularSeason20242025!$E$2:$E$1315,TotalTeamGames20242025!$A9,DataRegularSeason20242025!$N$2:$N$1315,1)</f>
        <v>0</v>
      </c>
      <c r="AT10" s="39"/>
      <c r="AU10" s="38">
        <f>COUNTIFS(DataRegularSeason20242025!$D$2:$D$1315,TotalTeamGames20242025!AU$1,DataRegularSeason20242025!$E$2:$E$1315,TotalTeamGames20242025!$A9,DataRegularSeason20242025!$N$2:$N$1315,1)</f>
        <v>0</v>
      </c>
      <c r="AV10" s="39"/>
      <c r="AW10" s="38">
        <f>COUNTIFS(DataRegularSeason20242025!$D$2:$D$1315,TotalTeamGames20242025!AW$1,DataRegularSeason20242025!$E$2:$E$1315,TotalTeamGames20242025!$A9,DataRegularSeason20242025!$N$2:$N$1315,1)</f>
        <v>0</v>
      </c>
      <c r="AX10" s="39"/>
      <c r="AY10" s="38">
        <f>COUNTIFS(DataRegularSeason20242025!$D$2:$D$1315,TotalTeamGames20242025!AY$1,DataRegularSeason20242025!$E$2:$E$1315,TotalTeamGames20242025!$A9,DataRegularSeason20242025!$N$2:$N$1315,1)</f>
        <v>0</v>
      </c>
      <c r="AZ10" s="39"/>
      <c r="BA10" s="38">
        <f>COUNTIFS(DataRegularSeason20242025!$D$2:$D$1315,TotalTeamGames20242025!BA$1,DataRegularSeason20242025!$E$2:$E$1315,TotalTeamGames20242025!$A9,DataRegularSeason20242025!$N$2:$N$1315,1)</f>
        <v>0</v>
      </c>
      <c r="BB10" s="39"/>
      <c r="BC10" s="38">
        <f>COUNTIFS(DataRegularSeason20242025!$D$2:$D$1315,TotalTeamGames20242025!BC$1,DataRegularSeason20242025!$E$2:$E$1315,TotalTeamGames20242025!$A9,DataRegularSeason20242025!$N$2:$N$1315,1)</f>
        <v>0</v>
      </c>
      <c r="BD10" s="39"/>
      <c r="BE10" s="38">
        <f>COUNTIFS(DataRegularSeason20242025!$D$2:$D$1315,TotalTeamGames20242025!BE$1,DataRegularSeason20242025!$E$2:$E$1315,TotalTeamGames20242025!$A9,DataRegularSeason20242025!$N$2:$N$1315,1)</f>
        <v>0</v>
      </c>
      <c r="BF10" s="39"/>
      <c r="BG10" s="38">
        <f>COUNTIFS(DataRegularSeason20242025!$D$2:$D$1315,TotalTeamGames20242025!BG$1,DataRegularSeason20242025!$E$2:$E$1315,TotalTeamGames20242025!$A9,DataRegularSeason20242025!$N$2:$N$1315,1)</f>
        <v>0</v>
      </c>
      <c r="BH10" s="39"/>
      <c r="BI10" s="38">
        <f>COUNTIFS(DataRegularSeason20242025!$D$2:$D$1315,TotalTeamGames20242025!BI$1,DataRegularSeason20242025!$E$2:$E$1315,TotalTeamGames20242025!$A9,DataRegularSeason20242025!$N$2:$N$1315,1)</f>
        <v>0</v>
      </c>
      <c r="BJ10" s="39"/>
      <c r="BK10" s="38">
        <f>COUNTIFS(DataRegularSeason20242025!$D$2:$D$1315,TotalTeamGames20242025!BK$1,DataRegularSeason20242025!$E$2:$E$1315,TotalTeamGames20242025!$A9,DataRegularSeason20242025!$N$2:$N$1315,1)</f>
        <v>0</v>
      </c>
      <c r="BL10" s="39"/>
      <c r="BM10" s="38">
        <f>COUNTIFS(DataRegularSeason20242025!$D$2:$D$1315,TotalTeamGames20242025!BM$1,DataRegularSeason20242025!$E$2:$E$1315,TotalTeamGames20242025!$A9,DataRegularSeason20242025!$N$2:$N$1315,1)</f>
        <v>0</v>
      </c>
      <c r="BN10" s="39"/>
      <c r="BO10" s="34">
        <f t="shared" si="0"/>
        <v>2</v>
      </c>
      <c r="BP10" s="165"/>
      <c r="BQ10" s="166"/>
    </row>
    <row r="11" spans="1:69" ht="9.9499999999999993" customHeight="1" x14ac:dyDescent="0.25">
      <c r="A11" s="172" t="s">
        <v>35</v>
      </c>
      <c r="B11" s="28" t="s">
        <v>74</v>
      </c>
      <c r="C11" s="35"/>
      <c r="D11" s="28">
        <f>COUNTIFS(DataRegularSeason20242025!$E$2:$E$1315,TotalTeamGames20242025!C$1,DataRegularSeason20242025!$D$2:$D$1315,TotalTeamGames20242025!$A11,DataRegularSeason20242025!$N$2:$N$1315,1)</f>
        <v>0</v>
      </c>
      <c r="E11" s="35"/>
      <c r="F11" s="28">
        <f>COUNTIFS(DataRegularSeason20242025!$E$2:$E$1315,TotalTeamGames20242025!E$1,DataRegularSeason20242025!$D$2:$D$1315,TotalTeamGames20242025!$A11,DataRegularSeason20242025!$N$2:$N$1315,1)</f>
        <v>0</v>
      </c>
      <c r="G11" s="35"/>
      <c r="H11" s="28">
        <f>COUNTIFS(DataRegularSeason20242025!$E$2:$E$1315,TotalTeamGames20242025!G$1,DataRegularSeason20242025!$D$2:$D$1315,TotalTeamGames20242025!$A11,DataRegularSeason20242025!$N$2:$N$1315,1)</f>
        <v>0</v>
      </c>
      <c r="I11" s="35"/>
      <c r="J11" s="28">
        <f>COUNTIFS(DataRegularSeason20242025!$E$2:$E$1315,TotalTeamGames20242025!I$1,DataRegularSeason20242025!$D$2:$D$1315,TotalTeamGames20242025!$A11,DataRegularSeason20242025!$N$2:$N$1315,1)</f>
        <v>0</v>
      </c>
      <c r="K11" s="35"/>
      <c r="L11" s="36"/>
      <c r="M11" s="35"/>
      <c r="N11" s="28">
        <f>COUNTIFS(DataRegularSeason20242025!$E$2:$E$1315,TotalTeamGames20242025!M$1,DataRegularSeason20242025!$D$2:$D$1315,TotalTeamGames20242025!$A11,DataRegularSeason20242025!$N$2:$N$1315,1)</f>
        <v>0</v>
      </c>
      <c r="O11" s="35"/>
      <c r="P11" s="28">
        <f>COUNTIFS(DataRegularSeason20242025!$E$2:$E$1315,TotalTeamGames20242025!O$1,DataRegularSeason20242025!$D$2:$D$1315,TotalTeamGames20242025!$A11,DataRegularSeason20242025!$N$2:$N$1315,1)</f>
        <v>0</v>
      </c>
      <c r="Q11" s="35"/>
      <c r="R11" s="28">
        <f>COUNTIFS(DataRegularSeason20242025!$E$2:$E$1315,TotalTeamGames20242025!Q$1,DataRegularSeason20242025!$D$2:$D$1315,TotalTeamGames20242025!$A11,DataRegularSeason20242025!$N$2:$N$1315,1)</f>
        <v>0</v>
      </c>
      <c r="S11" s="35"/>
      <c r="T11" s="28">
        <f>COUNTIFS(DataRegularSeason20242025!$E$2:$E$1315,TotalTeamGames20242025!S$1,DataRegularSeason20242025!$D$2:$D$1315,TotalTeamGames20242025!$A11,DataRegularSeason20242025!$N$2:$N$1315,1)</f>
        <v>1</v>
      </c>
      <c r="U11" s="35"/>
      <c r="V11" s="28">
        <f>COUNTIFS(DataRegularSeason20242025!$E$2:$E$1315,TotalTeamGames20242025!U$1,DataRegularSeason20242025!$D$2:$D$1315,TotalTeamGames20242025!$A11,DataRegularSeason20242025!$N$2:$N$1315,1)</f>
        <v>0</v>
      </c>
      <c r="W11" s="35"/>
      <c r="X11" s="28">
        <f>COUNTIFS(DataRegularSeason20242025!$E$2:$E$1315,TotalTeamGames20242025!W$1,DataRegularSeason20242025!$D$2:$D$1315,TotalTeamGames20242025!$A11,DataRegularSeason20242025!$N$2:$N$1315,1)</f>
        <v>0</v>
      </c>
      <c r="Y11" s="35"/>
      <c r="Z11" s="28">
        <f>COUNTIFS(DataRegularSeason20242025!$E$2:$E$1315,TotalTeamGames20242025!Y$1,DataRegularSeason20242025!$D$2:$D$1315,TotalTeamGames20242025!$A11,DataRegularSeason20242025!$N$2:$N$1315,1)</f>
        <v>0</v>
      </c>
      <c r="AA11" s="35"/>
      <c r="AB11" s="28">
        <f>COUNTIFS(DataRegularSeason20242025!$E$2:$E$1315,TotalTeamGames20242025!AA$1,DataRegularSeason20242025!$D$2:$D$1315,TotalTeamGames20242025!$A11,DataRegularSeason20242025!$N$2:$N$1315,1)</f>
        <v>0</v>
      </c>
      <c r="AC11" s="35"/>
      <c r="AD11" s="28">
        <f>COUNTIFS(DataRegularSeason20242025!$E$2:$E$1315,TotalTeamGames20242025!AC$1,DataRegularSeason20242025!$D$2:$D$1315,TotalTeamGames20242025!$A11,DataRegularSeason20242025!$N$2:$N$1315,1)</f>
        <v>1</v>
      </c>
      <c r="AE11" s="35"/>
      <c r="AF11" s="28">
        <f>COUNTIFS(DataRegularSeason20242025!$E$2:$E$1315,TotalTeamGames20242025!AE$1,DataRegularSeason20242025!$D$2:$D$1315,TotalTeamGames20242025!$A11,DataRegularSeason20242025!$N$2:$N$1315,1)</f>
        <v>0</v>
      </c>
      <c r="AG11" s="35"/>
      <c r="AH11" s="28">
        <f>COUNTIFS(DataRegularSeason20242025!$E$2:$E$1315,TotalTeamGames20242025!AG$1,DataRegularSeason20242025!$D$2:$D$1315,TotalTeamGames20242025!$A11,DataRegularSeason20242025!$N$2:$N$1315,1)</f>
        <v>0</v>
      </c>
      <c r="AI11" s="35"/>
      <c r="AJ11" s="28">
        <f>COUNTIFS(DataRegularSeason20242025!$E$2:$E$1315,TotalTeamGames20242025!AI$1,DataRegularSeason20242025!$D$2:$D$1315,TotalTeamGames20242025!$A11,DataRegularSeason20242025!$N$2:$N$1315,1)</f>
        <v>1</v>
      </c>
      <c r="AK11" s="35"/>
      <c r="AL11" s="28">
        <f>COUNTIFS(DataRegularSeason20242025!$E$2:$E$1315,TotalTeamGames20242025!AK$1,DataRegularSeason20242025!$D$2:$D$1315,TotalTeamGames20242025!$A11,DataRegularSeason20242025!$N$2:$N$1315,1)</f>
        <v>0</v>
      </c>
      <c r="AM11" s="35"/>
      <c r="AN11" s="28">
        <f>COUNTIFS(DataRegularSeason20242025!$E$2:$E$1315,TotalTeamGames20242025!AM$1,DataRegularSeason20242025!$D$2:$D$1315,TotalTeamGames20242025!$A11,DataRegularSeason20242025!$N$2:$N$1315,1)</f>
        <v>0</v>
      </c>
      <c r="AO11" s="35"/>
      <c r="AP11" s="28">
        <f>COUNTIFS(DataRegularSeason20242025!$E$2:$E$1315,TotalTeamGames20242025!AO$1,DataRegularSeason20242025!$D$2:$D$1315,TotalTeamGames20242025!$A11,DataRegularSeason20242025!$N$2:$N$1315,1)</f>
        <v>0</v>
      </c>
      <c r="AQ11" s="35"/>
      <c r="AR11" s="28">
        <f>COUNTIFS(DataRegularSeason20242025!$E$2:$E$1315,TotalTeamGames20242025!AQ$1,DataRegularSeason20242025!$D$2:$D$1315,TotalTeamGames20242025!$A11,DataRegularSeason20242025!$N$2:$N$1315,1)</f>
        <v>0</v>
      </c>
      <c r="AS11" s="35"/>
      <c r="AT11" s="28">
        <f>COUNTIFS(DataRegularSeason20242025!$E$2:$E$1315,TotalTeamGames20242025!AS$1,DataRegularSeason20242025!$D$2:$D$1315,TotalTeamGames20242025!$A11,DataRegularSeason20242025!$N$2:$N$1315,1)</f>
        <v>0</v>
      </c>
      <c r="AU11" s="35"/>
      <c r="AV11" s="28">
        <f>COUNTIFS(DataRegularSeason20242025!$E$2:$E$1315,TotalTeamGames20242025!AU$1,DataRegularSeason20242025!$D$2:$D$1315,TotalTeamGames20242025!$A11,DataRegularSeason20242025!$N$2:$N$1315,1)</f>
        <v>0</v>
      </c>
      <c r="AW11" s="35"/>
      <c r="AX11" s="28">
        <f>COUNTIFS(DataRegularSeason20242025!$E$2:$E$1315,TotalTeamGames20242025!AW$1,DataRegularSeason20242025!$D$2:$D$1315,TotalTeamGames20242025!$A11,DataRegularSeason20242025!$N$2:$N$1315,1)</f>
        <v>0</v>
      </c>
      <c r="AY11" s="35"/>
      <c r="AZ11" s="28">
        <f>COUNTIFS(DataRegularSeason20242025!$E$2:$E$1315,TotalTeamGames20242025!AY$1,DataRegularSeason20242025!$D$2:$D$1315,TotalTeamGames20242025!$A11,DataRegularSeason20242025!$N$2:$N$1315,1)</f>
        <v>0</v>
      </c>
      <c r="BA11" s="35"/>
      <c r="BB11" s="28">
        <f>COUNTIFS(DataRegularSeason20242025!$E$2:$E$1315,TotalTeamGames20242025!BA$1,DataRegularSeason20242025!$D$2:$D$1315,TotalTeamGames20242025!$A11,DataRegularSeason20242025!$N$2:$N$1315,1)</f>
        <v>0</v>
      </c>
      <c r="BC11" s="35"/>
      <c r="BD11" s="28">
        <f>COUNTIFS(DataRegularSeason20242025!$E$2:$E$1315,TotalTeamGames20242025!BC$1,DataRegularSeason20242025!$D$2:$D$1315,TotalTeamGames20242025!$A11,DataRegularSeason20242025!$N$2:$N$1315,1)</f>
        <v>0</v>
      </c>
      <c r="BE11" s="35"/>
      <c r="BF11" s="28">
        <f>COUNTIFS(DataRegularSeason20242025!$E$2:$E$1315,TotalTeamGames20242025!BE$1,DataRegularSeason20242025!$D$2:$D$1315,TotalTeamGames20242025!$A11,DataRegularSeason20242025!$N$2:$N$1315,1)</f>
        <v>0</v>
      </c>
      <c r="BG11" s="35"/>
      <c r="BH11" s="28">
        <f>COUNTIFS(DataRegularSeason20242025!$E$2:$E$1315,TotalTeamGames20242025!BG$1,DataRegularSeason20242025!$D$2:$D$1315,TotalTeamGames20242025!$A11,DataRegularSeason20242025!$N$2:$N$1315,1)</f>
        <v>0</v>
      </c>
      <c r="BI11" s="35"/>
      <c r="BJ11" s="28">
        <f>COUNTIFS(DataRegularSeason20242025!$E$2:$E$1315,TotalTeamGames20242025!BI$1,DataRegularSeason20242025!$D$2:$D$1315,TotalTeamGames20242025!$A11,DataRegularSeason20242025!$N$2:$N$1315,1)</f>
        <v>0</v>
      </c>
      <c r="BK11" s="35"/>
      <c r="BL11" s="28">
        <f>COUNTIFS(DataRegularSeason20242025!$E$2:$E$1315,TotalTeamGames20242025!BK$1,DataRegularSeason20242025!$D$2:$D$1315,TotalTeamGames20242025!$A11,DataRegularSeason20242025!$N$2:$N$1315,1)</f>
        <v>0</v>
      </c>
      <c r="BM11" s="35"/>
      <c r="BN11" s="28">
        <f>COUNTIFS(DataRegularSeason20242025!$E$2:$E$1315,TotalTeamGames20242025!BM$1,DataRegularSeason20242025!$D$2:$D$1315,TotalTeamGames20242025!$A11,DataRegularSeason20242025!$N$2:$N$1315,1)</f>
        <v>0</v>
      </c>
      <c r="BO11" s="30">
        <f t="shared" si="0"/>
        <v>3</v>
      </c>
      <c r="BP11" s="165">
        <f t="shared" ref="BP11" si="7">BO11+BO12</f>
        <v>6</v>
      </c>
      <c r="BQ11" s="166">
        <f t="shared" ref="BQ11" si="8">82-BP11</f>
        <v>76</v>
      </c>
    </row>
    <row r="12" spans="1:69" ht="9.9499999999999993" customHeight="1" x14ac:dyDescent="0.25">
      <c r="A12" s="167"/>
      <c r="B12" s="32" t="s">
        <v>73</v>
      </c>
      <c r="C12" s="38">
        <f>COUNTIFS(DataRegularSeason20242025!$D$2:$D$1315,TotalTeamGames20242025!C$1,DataRegularSeason20242025!$E$2:$E$1315,TotalTeamGames20242025!$A11,DataRegularSeason20242025!$N$2:$N$1315,1)</f>
        <v>0</v>
      </c>
      <c r="D12" s="39"/>
      <c r="E12" s="38">
        <f>COUNTIFS(DataRegularSeason20242025!$D$2:$D$1315,TotalTeamGames20242025!E$1,DataRegularSeason20242025!$E$2:$E$1315,TotalTeamGames20242025!$A11,DataRegularSeason20242025!$N$2:$N$1315,1)</f>
        <v>0</v>
      </c>
      <c r="F12" s="39"/>
      <c r="G12" s="38">
        <f>COUNTIFS(DataRegularSeason20242025!$D$2:$D$1315,TotalTeamGames20242025!G$1,DataRegularSeason20242025!$E$2:$E$1315,TotalTeamGames20242025!$A11,DataRegularSeason20242025!$N$2:$N$1315,1)</f>
        <v>0</v>
      </c>
      <c r="H12" s="39"/>
      <c r="I12" s="38">
        <f>COUNTIFS(DataRegularSeason20242025!$D$2:$D$1315,TotalTeamGames20242025!I$1,DataRegularSeason20242025!$E$2:$E$1315,TotalTeamGames20242025!$A11,DataRegularSeason20242025!$N$2:$N$1315,1)</f>
        <v>0</v>
      </c>
      <c r="J12" s="39"/>
      <c r="K12" s="38"/>
      <c r="L12" s="39"/>
      <c r="M12" s="38">
        <f>COUNTIFS(DataRegularSeason20242025!$D$2:$D$1315,TotalTeamGames20242025!M$1,DataRegularSeason20242025!$E$2:$E$1315,TotalTeamGames20242025!$A11,DataRegularSeason20242025!$N$2:$N$1315,1)</f>
        <v>0</v>
      </c>
      <c r="N12" s="39"/>
      <c r="O12" s="38">
        <f>COUNTIFS(DataRegularSeason20242025!$D$2:$D$1315,TotalTeamGames20242025!O$1,DataRegularSeason20242025!$E$2:$E$1315,TotalTeamGames20242025!$A11,DataRegularSeason20242025!$N$2:$N$1315,1)</f>
        <v>0</v>
      </c>
      <c r="P12" s="39"/>
      <c r="Q12" s="38">
        <f>COUNTIFS(DataRegularSeason20242025!$D$2:$D$1315,TotalTeamGames20242025!Q$1,DataRegularSeason20242025!$E$2:$E$1315,TotalTeamGames20242025!$A11,DataRegularSeason20242025!$N$2:$N$1315,1)</f>
        <v>1</v>
      </c>
      <c r="R12" s="39"/>
      <c r="S12" s="38">
        <f>COUNTIFS(DataRegularSeason20242025!$D$2:$D$1315,TotalTeamGames20242025!S$1,DataRegularSeason20242025!$E$2:$E$1315,TotalTeamGames20242025!$A11,DataRegularSeason20242025!$N$2:$N$1315,1)</f>
        <v>0</v>
      </c>
      <c r="T12" s="39"/>
      <c r="U12" s="38">
        <f>COUNTIFS(DataRegularSeason20242025!$D$2:$D$1315,TotalTeamGames20242025!U$1,DataRegularSeason20242025!$E$2:$E$1315,TotalTeamGames20242025!$A11,DataRegularSeason20242025!$N$2:$N$1315,1)</f>
        <v>0</v>
      </c>
      <c r="V12" s="39"/>
      <c r="W12" s="38">
        <f>COUNTIFS(DataRegularSeason20242025!$D$2:$D$1315,TotalTeamGames20242025!W$1,DataRegularSeason20242025!$E$2:$E$1315,TotalTeamGames20242025!$A11,DataRegularSeason20242025!$N$2:$N$1315,1)</f>
        <v>0</v>
      </c>
      <c r="X12" s="39"/>
      <c r="Y12" s="38">
        <f>COUNTIFS(DataRegularSeason20242025!$D$2:$D$1315,TotalTeamGames20242025!Y$1,DataRegularSeason20242025!$E$2:$E$1315,TotalTeamGames20242025!$A11,DataRegularSeason20242025!$N$2:$N$1315,1)</f>
        <v>0</v>
      </c>
      <c r="Z12" s="39"/>
      <c r="AA12" s="38">
        <f>COUNTIFS(DataRegularSeason20242025!$D$2:$D$1315,TotalTeamGames20242025!AA$1,DataRegularSeason20242025!$E$2:$E$1315,TotalTeamGames20242025!$A11,DataRegularSeason20242025!$N$2:$N$1315,1)</f>
        <v>0</v>
      </c>
      <c r="AB12" s="39"/>
      <c r="AC12" s="38">
        <f>COUNTIFS(DataRegularSeason20242025!$D$2:$D$1315,TotalTeamGames20242025!AC$1,DataRegularSeason20242025!$E$2:$E$1315,TotalTeamGames20242025!$A11,DataRegularSeason20242025!$N$2:$N$1315,1)</f>
        <v>0</v>
      </c>
      <c r="AD12" s="39"/>
      <c r="AE12" s="38">
        <f>COUNTIFS(DataRegularSeason20242025!$D$2:$D$1315,TotalTeamGames20242025!AE$1,DataRegularSeason20242025!$E$2:$E$1315,TotalTeamGames20242025!$A11,DataRegularSeason20242025!$N$2:$N$1315,1)</f>
        <v>0</v>
      </c>
      <c r="AF12" s="39"/>
      <c r="AG12" s="38">
        <f>COUNTIFS(DataRegularSeason20242025!$D$2:$D$1315,TotalTeamGames20242025!AG$1,DataRegularSeason20242025!$E$2:$E$1315,TotalTeamGames20242025!$A11,DataRegularSeason20242025!$N$2:$N$1315,1)</f>
        <v>1</v>
      </c>
      <c r="AH12" s="39"/>
      <c r="AI12" s="38">
        <f>COUNTIFS(DataRegularSeason20242025!$D$2:$D$1315,TotalTeamGames20242025!AI$1,DataRegularSeason20242025!$E$2:$E$1315,TotalTeamGames20242025!$A11,DataRegularSeason20242025!$N$2:$N$1315,1)</f>
        <v>0</v>
      </c>
      <c r="AJ12" s="39"/>
      <c r="AK12" s="38">
        <f>COUNTIFS(DataRegularSeason20242025!$D$2:$D$1315,TotalTeamGames20242025!AK$1,DataRegularSeason20242025!$E$2:$E$1315,TotalTeamGames20242025!$A11,DataRegularSeason20242025!$N$2:$N$1315,1)</f>
        <v>0</v>
      </c>
      <c r="AL12" s="39"/>
      <c r="AM12" s="38">
        <f>COUNTIFS(DataRegularSeason20242025!$D$2:$D$1315,TotalTeamGames20242025!AM$1,DataRegularSeason20242025!$E$2:$E$1315,TotalTeamGames20242025!$A11,DataRegularSeason20242025!$N$2:$N$1315,1)</f>
        <v>0</v>
      </c>
      <c r="AN12" s="39"/>
      <c r="AO12" s="38">
        <f>COUNTIFS(DataRegularSeason20242025!$D$2:$D$1315,TotalTeamGames20242025!AO$1,DataRegularSeason20242025!$E$2:$E$1315,TotalTeamGames20242025!$A11,DataRegularSeason20242025!$N$2:$N$1315,1)</f>
        <v>0</v>
      </c>
      <c r="AP12" s="39"/>
      <c r="AQ12" s="38">
        <f>COUNTIFS(DataRegularSeason20242025!$D$2:$D$1315,TotalTeamGames20242025!AQ$1,DataRegularSeason20242025!$E$2:$E$1315,TotalTeamGames20242025!$A11,DataRegularSeason20242025!$N$2:$N$1315,1)</f>
        <v>0</v>
      </c>
      <c r="AR12" s="39"/>
      <c r="AS12" s="38">
        <f>COUNTIFS(DataRegularSeason20242025!$D$2:$D$1315,TotalTeamGames20242025!AS$1,DataRegularSeason20242025!$E$2:$E$1315,TotalTeamGames20242025!$A11,DataRegularSeason20242025!$N$2:$N$1315,1)</f>
        <v>0</v>
      </c>
      <c r="AT12" s="39"/>
      <c r="AU12" s="38">
        <f>COUNTIFS(DataRegularSeason20242025!$D$2:$D$1315,TotalTeamGames20242025!AU$1,DataRegularSeason20242025!$E$2:$E$1315,TotalTeamGames20242025!$A11,DataRegularSeason20242025!$N$2:$N$1315,1)</f>
        <v>0</v>
      </c>
      <c r="AV12" s="39"/>
      <c r="AW12" s="38">
        <f>COUNTIFS(DataRegularSeason20242025!$D$2:$D$1315,TotalTeamGames20242025!AW$1,DataRegularSeason20242025!$E$2:$E$1315,TotalTeamGames20242025!$A11,DataRegularSeason20242025!$N$2:$N$1315,1)</f>
        <v>0</v>
      </c>
      <c r="AX12" s="39"/>
      <c r="AY12" s="38">
        <f>COUNTIFS(DataRegularSeason20242025!$D$2:$D$1315,TotalTeamGames20242025!AY$1,DataRegularSeason20242025!$E$2:$E$1315,TotalTeamGames20242025!$A11,DataRegularSeason20242025!$N$2:$N$1315,1)</f>
        <v>0</v>
      </c>
      <c r="AZ12" s="39"/>
      <c r="BA12" s="38">
        <f>COUNTIFS(DataRegularSeason20242025!$D$2:$D$1315,TotalTeamGames20242025!BA$1,DataRegularSeason20242025!$E$2:$E$1315,TotalTeamGames20242025!$A11,DataRegularSeason20242025!$N$2:$N$1315,1)</f>
        <v>1</v>
      </c>
      <c r="BB12" s="39"/>
      <c r="BC12" s="38">
        <f>COUNTIFS(DataRegularSeason20242025!$D$2:$D$1315,TotalTeamGames20242025!BC$1,DataRegularSeason20242025!$E$2:$E$1315,TotalTeamGames20242025!$A11,DataRegularSeason20242025!$N$2:$N$1315,1)</f>
        <v>0</v>
      </c>
      <c r="BD12" s="39"/>
      <c r="BE12" s="38">
        <f>COUNTIFS(DataRegularSeason20242025!$D$2:$D$1315,TotalTeamGames20242025!BE$1,DataRegularSeason20242025!$E$2:$E$1315,TotalTeamGames20242025!$A11,DataRegularSeason20242025!$N$2:$N$1315,1)</f>
        <v>0</v>
      </c>
      <c r="BF12" s="39"/>
      <c r="BG12" s="38">
        <f>COUNTIFS(DataRegularSeason20242025!$D$2:$D$1315,TotalTeamGames20242025!BG$1,DataRegularSeason20242025!$E$2:$E$1315,TotalTeamGames20242025!$A11,DataRegularSeason20242025!$N$2:$N$1315,1)</f>
        <v>0</v>
      </c>
      <c r="BH12" s="39"/>
      <c r="BI12" s="38">
        <f>COUNTIFS(DataRegularSeason20242025!$D$2:$D$1315,TotalTeamGames20242025!BI$1,DataRegularSeason20242025!$E$2:$E$1315,TotalTeamGames20242025!$A11,DataRegularSeason20242025!$N$2:$N$1315,1)</f>
        <v>0</v>
      </c>
      <c r="BJ12" s="39"/>
      <c r="BK12" s="38">
        <f>COUNTIFS(DataRegularSeason20242025!$D$2:$D$1315,TotalTeamGames20242025!BK$1,DataRegularSeason20242025!$E$2:$E$1315,TotalTeamGames20242025!$A11,DataRegularSeason20242025!$N$2:$N$1315,1)</f>
        <v>0</v>
      </c>
      <c r="BL12" s="39"/>
      <c r="BM12" s="38">
        <f>COUNTIFS(DataRegularSeason20242025!$D$2:$D$1315,TotalTeamGames20242025!BM$1,DataRegularSeason20242025!$E$2:$E$1315,TotalTeamGames20242025!$A11,DataRegularSeason20242025!$N$2:$N$1315,1)</f>
        <v>0</v>
      </c>
      <c r="BN12" s="39"/>
      <c r="BO12" s="34">
        <f t="shared" si="0"/>
        <v>3</v>
      </c>
      <c r="BP12" s="165"/>
      <c r="BQ12" s="166"/>
    </row>
    <row r="13" spans="1:69" ht="9.9499999999999993" customHeight="1" x14ac:dyDescent="0.25">
      <c r="A13" s="172" t="s">
        <v>23</v>
      </c>
      <c r="B13" s="28" t="s">
        <v>74</v>
      </c>
      <c r="C13" s="35"/>
      <c r="D13" s="28">
        <f>COUNTIFS(DataRegularSeason20242025!$E$2:$E$1315,TotalTeamGames20242025!C$1,DataRegularSeason20242025!$D$2:$D$1315,TotalTeamGames20242025!$A13,DataRegularSeason20242025!$N$2:$N$1315,1)</f>
        <v>0</v>
      </c>
      <c r="E13" s="35"/>
      <c r="F13" s="28">
        <f>COUNTIFS(DataRegularSeason20242025!$E$2:$E$1315,TotalTeamGames20242025!E$1,DataRegularSeason20242025!$D$2:$D$1315,TotalTeamGames20242025!$A13,DataRegularSeason20242025!$N$2:$N$1315,1)</f>
        <v>0</v>
      </c>
      <c r="G13" s="35"/>
      <c r="H13" s="28">
        <f>COUNTIFS(DataRegularSeason20242025!$E$2:$E$1315,TotalTeamGames20242025!G$1,DataRegularSeason20242025!$D$2:$D$1315,TotalTeamGames20242025!$A13,DataRegularSeason20242025!$N$2:$N$1315,1)</f>
        <v>0</v>
      </c>
      <c r="I13" s="35"/>
      <c r="J13" s="28">
        <f>COUNTIFS(DataRegularSeason20242025!$E$2:$E$1315,TotalTeamGames20242025!I$1,DataRegularSeason20242025!$D$2:$D$1315,TotalTeamGames20242025!$A13,DataRegularSeason20242025!$N$2:$N$1315,1)</f>
        <v>0</v>
      </c>
      <c r="K13" s="35"/>
      <c r="L13" s="28">
        <f>COUNTIFS(DataRegularSeason20242025!$E$2:$E$1315,TotalTeamGames20242025!K$1,DataRegularSeason20242025!$D$2:$D$1315,TotalTeamGames20242025!$A13,DataRegularSeason20242025!$N$2:$N$1315,1)</f>
        <v>0</v>
      </c>
      <c r="M13" s="35"/>
      <c r="N13" s="36"/>
      <c r="O13" s="35"/>
      <c r="P13" s="28">
        <f>COUNTIFS(DataRegularSeason20242025!$E$2:$E$1315,TotalTeamGames20242025!O$1,DataRegularSeason20242025!$D$2:$D$1315,TotalTeamGames20242025!$A13,DataRegularSeason20242025!$N$2:$N$1315,1)</f>
        <v>0</v>
      </c>
      <c r="Q13" s="35"/>
      <c r="R13" s="28">
        <f>COUNTIFS(DataRegularSeason20242025!$E$2:$E$1315,TotalTeamGames20242025!Q$1,DataRegularSeason20242025!$D$2:$D$1315,TotalTeamGames20242025!$A13,DataRegularSeason20242025!$N$2:$N$1315,1)</f>
        <v>0</v>
      </c>
      <c r="S13" s="35"/>
      <c r="T13" s="28">
        <f>COUNTIFS(DataRegularSeason20242025!$E$2:$E$1315,TotalTeamGames20242025!S$1,DataRegularSeason20242025!$D$2:$D$1315,TotalTeamGames20242025!$A13,DataRegularSeason20242025!$N$2:$N$1315,1)</f>
        <v>0</v>
      </c>
      <c r="U13" s="35"/>
      <c r="V13" s="28">
        <f>COUNTIFS(DataRegularSeason20242025!$E$2:$E$1315,TotalTeamGames20242025!U$1,DataRegularSeason20242025!$D$2:$D$1315,TotalTeamGames20242025!$A13,DataRegularSeason20242025!$N$2:$N$1315,1)</f>
        <v>0</v>
      </c>
      <c r="W13" s="35"/>
      <c r="X13" s="28">
        <f>COUNTIFS(DataRegularSeason20242025!$E$2:$E$1315,TotalTeamGames20242025!W$1,DataRegularSeason20242025!$D$2:$D$1315,TotalTeamGames20242025!$A13,DataRegularSeason20242025!$N$2:$N$1315,1)</f>
        <v>1</v>
      </c>
      <c r="Y13" s="35"/>
      <c r="Z13" s="28">
        <f>COUNTIFS(DataRegularSeason20242025!$E$2:$E$1315,TotalTeamGames20242025!Y$1,DataRegularSeason20242025!$D$2:$D$1315,TotalTeamGames20242025!$A13,DataRegularSeason20242025!$N$2:$N$1315,1)</f>
        <v>0</v>
      </c>
      <c r="AA13" s="35"/>
      <c r="AB13" s="28">
        <f>COUNTIFS(DataRegularSeason20242025!$E$2:$E$1315,TotalTeamGames20242025!AA$1,DataRegularSeason20242025!$D$2:$D$1315,TotalTeamGames20242025!$A13,DataRegularSeason20242025!$N$2:$N$1315,1)</f>
        <v>0</v>
      </c>
      <c r="AC13" s="35"/>
      <c r="AD13" s="28">
        <f>COUNTIFS(DataRegularSeason20242025!$E$2:$E$1315,TotalTeamGames20242025!AC$1,DataRegularSeason20242025!$D$2:$D$1315,TotalTeamGames20242025!$A13,DataRegularSeason20242025!$N$2:$N$1315,1)</f>
        <v>0</v>
      </c>
      <c r="AE13" s="35"/>
      <c r="AF13" s="28">
        <f>COUNTIFS(DataRegularSeason20242025!$E$2:$E$1315,TotalTeamGames20242025!AE$1,DataRegularSeason20242025!$D$2:$D$1315,TotalTeamGames20242025!$A13,DataRegularSeason20242025!$N$2:$N$1315,1)</f>
        <v>0</v>
      </c>
      <c r="AG13" s="35"/>
      <c r="AH13" s="28">
        <f>COUNTIFS(DataRegularSeason20242025!$E$2:$E$1315,TotalTeamGames20242025!AG$1,DataRegularSeason20242025!$D$2:$D$1315,TotalTeamGames20242025!$A13,DataRegularSeason20242025!$N$2:$N$1315,1)</f>
        <v>0</v>
      </c>
      <c r="AI13" s="35"/>
      <c r="AJ13" s="28">
        <f>COUNTIFS(DataRegularSeason20242025!$E$2:$E$1315,TotalTeamGames20242025!AI$1,DataRegularSeason20242025!$D$2:$D$1315,TotalTeamGames20242025!$A13,DataRegularSeason20242025!$N$2:$N$1315,1)</f>
        <v>0</v>
      </c>
      <c r="AK13" s="35"/>
      <c r="AL13" s="28">
        <f>COUNTIFS(DataRegularSeason20242025!$E$2:$E$1315,TotalTeamGames20242025!AK$1,DataRegularSeason20242025!$D$2:$D$1315,TotalTeamGames20242025!$A13,DataRegularSeason20242025!$N$2:$N$1315,1)</f>
        <v>0</v>
      </c>
      <c r="AM13" s="35"/>
      <c r="AN13" s="28">
        <f>COUNTIFS(DataRegularSeason20242025!$E$2:$E$1315,TotalTeamGames20242025!AM$1,DataRegularSeason20242025!$D$2:$D$1315,TotalTeamGames20242025!$A13,DataRegularSeason20242025!$N$2:$N$1315,1)</f>
        <v>0</v>
      </c>
      <c r="AO13" s="35"/>
      <c r="AP13" s="28">
        <f>COUNTIFS(DataRegularSeason20242025!$E$2:$E$1315,TotalTeamGames20242025!AO$1,DataRegularSeason20242025!$D$2:$D$1315,TotalTeamGames20242025!$A13,DataRegularSeason20242025!$N$2:$N$1315,1)</f>
        <v>0</v>
      </c>
      <c r="AQ13" s="35"/>
      <c r="AR13" s="28">
        <f>COUNTIFS(DataRegularSeason20242025!$E$2:$E$1315,TotalTeamGames20242025!AQ$1,DataRegularSeason20242025!$D$2:$D$1315,TotalTeamGames20242025!$A13,DataRegularSeason20242025!$N$2:$N$1315,1)</f>
        <v>0</v>
      </c>
      <c r="AS13" s="35"/>
      <c r="AT13" s="28">
        <f>COUNTIFS(DataRegularSeason20242025!$E$2:$E$1315,TotalTeamGames20242025!AS$1,DataRegularSeason20242025!$D$2:$D$1315,TotalTeamGames20242025!$A13,DataRegularSeason20242025!$N$2:$N$1315,1)</f>
        <v>0</v>
      </c>
      <c r="AU13" s="35"/>
      <c r="AV13" s="28">
        <f>COUNTIFS(DataRegularSeason20242025!$E$2:$E$1315,TotalTeamGames20242025!AU$1,DataRegularSeason20242025!$D$2:$D$1315,TotalTeamGames20242025!$A13,DataRegularSeason20242025!$N$2:$N$1315,1)</f>
        <v>0</v>
      </c>
      <c r="AW13" s="35"/>
      <c r="AX13" s="28">
        <f>COUNTIFS(DataRegularSeason20242025!$E$2:$E$1315,TotalTeamGames20242025!AW$1,DataRegularSeason20242025!$D$2:$D$1315,TotalTeamGames20242025!$A13,DataRegularSeason20242025!$N$2:$N$1315,1)</f>
        <v>0</v>
      </c>
      <c r="AY13" s="35"/>
      <c r="AZ13" s="28">
        <f>COUNTIFS(DataRegularSeason20242025!$E$2:$E$1315,TotalTeamGames20242025!AY$1,DataRegularSeason20242025!$D$2:$D$1315,TotalTeamGames20242025!$A13,DataRegularSeason20242025!$N$2:$N$1315,1)</f>
        <v>0</v>
      </c>
      <c r="BA13" s="35"/>
      <c r="BB13" s="28">
        <f>COUNTIFS(DataRegularSeason20242025!$E$2:$E$1315,TotalTeamGames20242025!BA$1,DataRegularSeason20242025!$D$2:$D$1315,TotalTeamGames20242025!$A13,DataRegularSeason20242025!$N$2:$N$1315,1)</f>
        <v>0</v>
      </c>
      <c r="BC13" s="35"/>
      <c r="BD13" s="28">
        <f>COUNTIFS(DataRegularSeason20242025!$E$2:$E$1315,TotalTeamGames20242025!BC$1,DataRegularSeason20242025!$D$2:$D$1315,TotalTeamGames20242025!$A13,DataRegularSeason20242025!$N$2:$N$1315,1)</f>
        <v>0</v>
      </c>
      <c r="BE13" s="35"/>
      <c r="BF13" s="28">
        <f>COUNTIFS(DataRegularSeason20242025!$E$2:$E$1315,TotalTeamGames20242025!BE$1,DataRegularSeason20242025!$D$2:$D$1315,TotalTeamGames20242025!$A13,DataRegularSeason20242025!$N$2:$N$1315,1)</f>
        <v>1</v>
      </c>
      <c r="BG13" s="35"/>
      <c r="BH13" s="28">
        <f>COUNTIFS(DataRegularSeason20242025!$E$2:$E$1315,TotalTeamGames20242025!BG$1,DataRegularSeason20242025!$D$2:$D$1315,TotalTeamGames20242025!$A13,DataRegularSeason20242025!$N$2:$N$1315,1)</f>
        <v>1</v>
      </c>
      <c r="BI13" s="35"/>
      <c r="BJ13" s="28">
        <f>COUNTIFS(DataRegularSeason20242025!$E$2:$E$1315,TotalTeamGames20242025!BI$1,DataRegularSeason20242025!$D$2:$D$1315,TotalTeamGames20242025!$A13,DataRegularSeason20242025!$N$2:$N$1315,1)</f>
        <v>1</v>
      </c>
      <c r="BK13" s="35"/>
      <c r="BL13" s="28">
        <f>COUNTIFS(DataRegularSeason20242025!$E$2:$E$1315,TotalTeamGames20242025!BK$1,DataRegularSeason20242025!$D$2:$D$1315,TotalTeamGames20242025!$A13,DataRegularSeason20242025!$N$2:$N$1315,1)</f>
        <v>0</v>
      </c>
      <c r="BM13" s="35"/>
      <c r="BN13" s="28">
        <f>COUNTIFS(DataRegularSeason20242025!$E$2:$E$1315,TotalTeamGames20242025!BM$1,DataRegularSeason20242025!$D$2:$D$1315,TotalTeamGames20242025!$A13,DataRegularSeason20242025!$N$2:$N$1315,1)</f>
        <v>0</v>
      </c>
      <c r="BO13" s="30">
        <f t="shared" si="0"/>
        <v>4</v>
      </c>
      <c r="BP13" s="165">
        <f t="shared" ref="BP13" si="9">BO13+BO14</f>
        <v>7</v>
      </c>
      <c r="BQ13" s="166">
        <f t="shared" ref="BQ13" si="10">82-BP13</f>
        <v>75</v>
      </c>
    </row>
    <row r="14" spans="1:69" ht="9.9499999999999993" customHeight="1" x14ac:dyDescent="0.25">
      <c r="A14" s="167"/>
      <c r="B14" s="32" t="s">
        <v>73</v>
      </c>
      <c r="C14" s="38">
        <f>COUNTIFS(DataRegularSeason20242025!$D$2:$D$1315,TotalTeamGames20242025!C$1,DataRegularSeason20242025!$E$2:$E$1315,TotalTeamGames20242025!$A13,DataRegularSeason20242025!$N$2:$N$1315,1)</f>
        <v>0</v>
      </c>
      <c r="D14" s="39"/>
      <c r="E14" s="38">
        <f>COUNTIFS(DataRegularSeason20242025!$D$2:$D$1315,TotalTeamGames20242025!E$1,DataRegularSeason20242025!$E$2:$E$1315,TotalTeamGames20242025!$A13,DataRegularSeason20242025!$N$2:$N$1315,1)</f>
        <v>0</v>
      </c>
      <c r="F14" s="39"/>
      <c r="G14" s="38">
        <f>COUNTIFS(DataRegularSeason20242025!$D$2:$D$1315,TotalTeamGames20242025!G$1,DataRegularSeason20242025!$E$2:$E$1315,TotalTeamGames20242025!$A13,DataRegularSeason20242025!$N$2:$N$1315,1)</f>
        <v>0</v>
      </c>
      <c r="H14" s="39"/>
      <c r="I14" s="38">
        <f>COUNTIFS(DataRegularSeason20242025!$D$2:$D$1315,TotalTeamGames20242025!I$1,DataRegularSeason20242025!$E$2:$E$1315,TotalTeamGames20242025!$A13,DataRegularSeason20242025!$N$2:$N$1315,1)</f>
        <v>0</v>
      </c>
      <c r="J14" s="39"/>
      <c r="K14" s="38">
        <f>COUNTIFS(DataRegularSeason20242025!$D$2:$D$1315,TotalTeamGames20242025!K$1,DataRegularSeason20242025!$E$2:$E$1315,TotalTeamGames20242025!$A13,DataRegularSeason20242025!$N$2:$N$1315,1)</f>
        <v>0</v>
      </c>
      <c r="L14" s="39"/>
      <c r="M14" s="38"/>
      <c r="N14" s="39"/>
      <c r="O14" s="38">
        <f>COUNTIFS(DataRegularSeason20242025!$D$2:$D$1315,TotalTeamGames20242025!O$1,DataRegularSeason20242025!$E$2:$E$1315,TotalTeamGames20242025!$A13,DataRegularSeason20242025!$N$2:$N$1315,1)</f>
        <v>0</v>
      </c>
      <c r="P14" s="39"/>
      <c r="Q14" s="38">
        <f>COUNTIFS(DataRegularSeason20242025!$D$2:$D$1315,TotalTeamGames20242025!Q$1,DataRegularSeason20242025!$E$2:$E$1315,TotalTeamGames20242025!$A13,DataRegularSeason20242025!$N$2:$N$1315,1)</f>
        <v>0</v>
      </c>
      <c r="R14" s="39"/>
      <c r="S14" s="38">
        <f>COUNTIFS(DataRegularSeason20242025!$D$2:$D$1315,TotalTeamGames20242025!S$1,DataRegularSeason20242025!$E$2:$E$1315,TotalTeamGames20242025!$A13,DataRegularSeason20242025!$N$2:$N$1315,1)</f>
        <v>0</v>
      </c>
      <c r="T14" s="39"/>
      <c r="U14" s="38">
        <f>COUNTIFS(DataRegularSeason20242025!$D$2:$D$1315,TotalTeamGames20242025!U$1,DataRegularSeason20242025!$E$2:$E$1315,TotalTeamGames20242025!$A13,DataRegularSeason20242025!$N$2:$N$1315,1)</f>
        <v>0</v>
      </c>
      <c r="V14" s="39"/>
      <c r="W14" s="38">
        <f>COUNTIFS(DataRegularSeason20242025!$D$2:$D$1315,TotalTeamGames20242025!W$1,DataRegularSeason20242025!$E$2:$E$1315,TotalTeamGames20242025!$A13,DataRegularSeason20242025!$N$2:$N$1315,1)</f>
        <v>0</v>
      </c>
      <c r="X14" s="39"/>
      <c r="Y14" s="38">
        <f>COUNTIFS(DataRegularSeason20242025!$D$2:$D$1315,TotalTeamGames20242025!Y$1,DataRegularSeason20242025!$E$2:$E$1315,TotalTeamGames20242025!$A13,DataRegularSeason20242025!$N$2:$N$1315,1)</f>
        <v>0</v>
      </c>
      <c r="Z14" s="39"/>
      <c r="AA14" s="38">
        <f>COUNTIFS(DataRegularSeason20242025!$D$2:$D$1315,TotalTeamGames20242025!AA$1,DataRegularSeason20242025!$E$2:$E$1315,TotalTeamGames20242025!$A13,DataRegularSeason20242025!$N$2:$N$1315,1)</f>
        <v>0</v>
      </c>
      <c r="AB14" s="39"/>
      <c r="AC14" s="38">
        <f>COUNTIFS(DataRegularSeason20242025!$D$2:$D$1315,TotalTeamGames20242025!AC$1,DataRegularSeason20242025!$E$2:$E$1315,TotalTeamGames20242025!$A13,DataRegularSeason20242025!$N$2:$N$1315,1)</f>
        <v>0</v>
      </c>
      <c r="AD14" s="39"/>
      <c r="AE14" s="38">
        <f>COUNTIFS(DataRegularSeason20242025!$D$2:$D$1315,TotalTeamGames20242025!AE$1,DataRegularSeason20242025!$E$2:$E$1315,TotalTeamGames20242025!$A13,DataRegularSeason20242025!$N$2:$N$1315,1)</f>
        <v>0</v>
      </c>
      <c r="AF14" s="39"/>
      <c r="AG14" s="38">
        <f>COUNTIFS(DataRegularSeason20242025!$D$2:$D$1315,TotalTeamGames20242025!AG$1,DataRegularSeason20242025!$E$2:$E$1315,TotalTeamGames20242025!$A13,DataRegularSeason20242025!$N$2:$N$1315,1)</f>
        <v>0</v>
      </c>
      <c r="AH14" s="39"/>
      <c r="AI14" s="38">
        <f>COUNTIFS(DataRegularSeason20242025!$D$2:$D$1315,TotalTeamGames20242025!AI$1,DataRegularSeason20242025!$E$2:$E$1315,TotalTeamGames20242025!$A13,DataRegularSeason20242025!$N$2:$N$1315,1)</f>
        <v>0</v>
      </c>
      <c r="AJ14" s="39"/>
      <c r="AK14" s="38">
        <f>COUNTIFS(DataRegularSeason20242025!$D$2:$D$1315,TotalTeamGames20242025!AK$1,DataRegularSeason20242025!$E$2:$E$1315,TotalTeamGames20242025!$A13,DataRegularSeason20242025!$N$2:$N$1315,1)</f>
        <v>0</v>
      </c>
      <c r="AL14" s="39"/>
      <c r="AM14" s="38">
        <f>COUNTIFS(DataRegularSeason20242025!$D$2:$D$1315,TotalTeamGames20242025!AM$1,DataRegularSeason20242025!$E$2:$E$1315,TotalTeamGames20242025!$A13,DataRegularSeason20242025!$N$2:$N$1315,1)</f>
        <v>0</v>
      </c>
      <c r="AN14" s="39"/>
      <c r="AO14" s="38">
        <f>COUNTIFS(DataRegularSeason20242025!$D$2:$D$1315,TotalTeamGames20242025!AO$1,DataRegularSeason20242025!$E$2:$E$1315,TotalTeamGames20242025!$A13,DataRegularSeason20242025!$N$2:$N$1315,1)</f>
        <v>0</v>
      </c>
      <c r="AP14" s="39"/>
      <c r="AQ14" s="38">
        <f>COUNTIFS(DataRegularSeason20242025!$D$2:$D$1315,TotalTeamGames20242025!AQ$1,DataRegularSeason20242025!$E$2:$E$1315,TotalTeamGames20242025!$A13,DataRegularSeason20242025!$N$2:$N$1315,1)</f>
        <v>0</v>
      </c>
      <c r="AR14" s="39"/>
      <c r="AS14" s="38">
        <f>COUNTIFS(DataRegularSeason20242025!$D$2:$D$1315,TotalTeamGames20242025!AS$1,DataRegularSeason20242025!$E$2:$E$1315,TotalTeamGames20242025!$A13,DataRegularSeason20242025!$N$2:$N$1315,1)</f>
        <v>0</v>
      </c>
      <c r="AT14" s="39"/>
      <c r="AU14" s="38">
        <f>COUNTIFS(DataRegularSeason20242025!$D$2:$D$1315,TotalTeamGames20242025!AU$1,DataRegularSeason20242025!$E$2:$E$1315,TotalTeamGames20242025!$A13,DataRegularSeason20242025!$N$2:$N$1315,1)</f>
        <v>0</v>
      </c>
      <c r="AV14" s="39"/>
      <c r="AW14" s="38">
        <f>COUNTIFS(DataRegularSeason20242025!$D$2:$D$1315,TotalTeamGames20242025!AW$1,DataRegularSeason20242025!$E$2:$E$1315,TotalTeamGames20242025!$A13,DataRegularSeason20242025!$N$2:$N$1315,1)</f>
        <v>0</v>
      </c>
      <c r="AX14" s="39"/>
      <c r="AY14" s="38">
        <f>COUNTIFS(DataRegularSeason20242025!$D$2:$D$1315,TotalTeamGames20242025!AY$1,DataRegularSeason20242025!$E$2:$E$1315,TotalTeamGames20242025!$A13,DataRegularSeason20242025!$N$2:$N$1315,1)</f>
        <v>1</v>
      </c>
      <c r="AZ14" s="39"/>
      <c r="BA14" s="38">
        <f>COUNTIFS(DataRegularSeason20242025!$D$2:$D$1315,TotalTeamGames20242025!BA$1,DataRegularSeason20242025!$E$2:$E$1315,TotalTeamGames20242025!$A13,DataRegularSeason20242025!$N$2:$N$1315,1)</f>
        <v>0</v>
      </c>
      <c r="BB14" s="39"/>
      <c r="BC14" s="38">
        <f>COUNTIFS(DataRegularSeason20242025!$D$2:$D$1315,TotalTeamGames20242025!BC$1,DataRegularSeason20242025!$E$2:$E$1315,TotalTeamGames20242025!$A13,DataRegularSeason20242025!$N$2:$N$1315,1)</f>
        <v>0</v>
      </c>
      <c r="BD14" s="39"/>
      <c r="BE14" s="38">
        <f>COUNTIFS(DataRegularSeason20242025!$D$2:$D$1315,TotalTeamGames20242025!BE$1,DataRegularSeason20242025!$E$2:$E$1315,TotalTeamGames20242025!$A13,DataRegularSeason20242025!$N$2:$N$1315,1)</f>
        <v>0</v>
      </c>
      <c r="BF14" s="39"/>
      <c r="BG14" s="38">
        <f>COUNTIFS(DataRegularSeason20242025!$D$2:$D$1315,TotalTeamGames20242025!BG$1,DataRegularSeason20242025!$E$2:$E$1315,TotalTeamGames20242025!$A13,DataRegularSeason20242025!$N$2:$N$1315,1)</f>
        <v>0</v>
      </c>
      <c r="BH14" s="39"/>
      <c r="BI14" s="38">
        <f>COUNTIFS(DataRegularSeason20242025!$D$2:$D$1315,TotalTeamGames20242025!BI$1,DataRegularSeason20242025!$E$2:$E$1315,TotalTeamGames20242025!$A13,DataRegularSeason20242025!$N$2:$N$1315,1)</f>
        <v>1</v>
      </c>
      <c r="BJ14" s="39"/>
      <c r="BK14" s="38">
        <f>COUNTIFS(DataRegularSeason20242025!$D$2:$D$1315,TotalTeamGames20242025!BK$1,DataRegularSeason20242025!$E$2:$E$1315,TotalTeamGames20242025!$A13,DataRegularSeason20242025!$N$2:$N$1315,1)</f>
        <v>1</v>
      </c>
      <c r="BL14" s="39"/>
      <c r="BM14" s="38">
        <f>COUNTIFS(DataRegularSeason20242025!$D$2:$D$1315,TotalTeamGames20242025!BM$1,DataRegularSeason20242025!$E$2:$E$1315,TotalTeamGames20242025!$A13,DataRegularSeason20242025!$N$2:$N$1315,1)</f>
        <v>0</v>
      </c>
      <c r="BN14" s="39"/>
      <c r="BO14" s="34">
        <f t="shared" si="0"/>
        <v>3</v>
      </c>
      <c r="BP14" s="165"/>
      <c r="BQ14" s="166"/>
    </row>
    <row r="15" spans="1:69" ht="9.9499999999999993" customHeight="1" x14ac:dyDescent="0.25">
      <c r="A15" s="172" t="s">
        <v>16</v>
      </c>
      <c r="B15" s="28" t="s">
        <v>74</v>
      </c>
      <c r="C15" s="35"/>
      <c r="D15" s="28">
        <f>COUNTIFS(DataRegularSeason20242025!$E$2:$E$1315,TotalTeamGames20242025!C$1,DataRegularSeason20242025!$D$2:$D$1315,TotalTeamGames20242025!$A15,DataRegularSeason20242025!$N$2:$N$1315,1)</f>
        <v>0</v>
      </c>
      <c r="E15" s="35"/>
      <c r="F15" s="28">
        <f>COUNTIFS(DataRegularSeason20242025!$E$2:$E$1315,TotalTeamGames20242025!E$1,DataRegularSeason20242025!$D$2:$D$1315,TotalTeamGames20242025!$A15,DataRegularSeason20242025!$N$2:$N$1315,1)</f>
        <v>1</v>
      </c>
      <c r="G15" s="35"/>
      <c r="H15" s="28">
        <f>COUNTIFS(DataRegularSeason20242025!$E$2:$E$1315,TotalTeamGames20242025!G$1,DataRegularSeason20242025!$D$2:$D$1315,TotalTeamGames20242025!$A15,DataRegularSeason20242025!$N$2:$N$1315,1)</f>
        <v>0</v>
      </c>
      <c r="I15" s="35"/>
      <c r="J15" s="28">
        <f>COUNTIFS(DataRegularSeason20242025!$E$2:$E$1315,TotalTeamGames20242025!I$1,DataRegularSeason20242025!$D$2:$D$1315,TotalTeamGames20242025!$A15,DataRegularSeason20242025!$N$2:$N$1315,1)</f>
        <v>0</v>
      </c>
      <c r="K15" s="35"/>
      <c r="L15" s="28">
        <f>COUNTIFS(DataRegularSeason20242025!$E$2:$E$1315,TotalTeamGames20242025!K$1,DataRegularSeason20242025!$D$2:$D$1315,TotalTeamGames20242025!$A15,DataRegularSeason20242025!$N$2:$N$1315,1)</f>
        <v>0</v>
      </c>
      <c r="M15" s="35"/>
      <c r="N15" s="28">
        <f>COUNTIFS(DataRegularSeason20242025!$E$2:$E$1315,TotalTeamGames20242025!M$1,DataRegularSeason20242025!$D$2:$D$1315,TotalTeamGames20242025!$A15,DataRegularSeason20242025!$N$2:$N$1315,1)</f>
        <v>0</v>
      </c>
      <c r="O15" s="35"/>
      <c r="P15" s="36"/>
      <c r="Q15" s="35"/>
      <c r="R15" s="28">
        <f>COUNTIFS(DataRegularSeason20242025!$E$2:$E$1315,TotalTeamGames20242025!Q$1,DataRegularSeason20242025!$D$2:$D$1315,TotalTeamGames20242025!$A15,DataRegularSeason20242025!$N$2:$N$1315,1)</f>
        <v>0</v>
      </c>
      <c r="S15" s="35"/>
      <c r="T15" s="28">
        <f>COUNTIFS(DataRegularSeason20242025!$E$2:$E$1315,TotalTeamGames20242025!S$1,DataRegularSeason20242025!$D$2:$D$1315,TotalTeamGames20242025!$A15,DataRegularSeason20242025!$N$2:$N$1315,1)</f>
        <v>0</v>
      </c>
      <c r="U15" s="35"/>
      <c r="V15" s="28">
        <f>COUNTIFS(DataRegularSeason20242025!$E$2:$E$1315,TotalTeamGames20242025!U$1,DataRegularSeason20242025!$D$2:$D$1315,TotalTeamGames20242025!$A15,DataRegularSeason20242025!$N$2:$N$1315,1)</f>
        <v>0</v>
      </c>
      <c r="W15" s="35"/>
      <c r="X15" s="28">
        <f>COUNTIFS(DataRegularSeason20242025!$E$2:$E$1315,TotalTeamGames20242025!W$1,DataRegularSeason20242025!$D$2:$D$1315,TotalTeamGames20242025!$A15,DataRegularSeason20242025!$N$2:$N$1315,1)</f>
        <v>0</v>
      </c>
      <c r="Y15" s="35"/>
      <c r="Z15" s="28">
        <f>COUNTIFS(DataRegularSeason20242025!$E$2:$E$1315,TotalTeamGames20242025!Y$1,DataRegularSeason20242025!$D$2:$D$1315,TotalTeamGames20242025!$A15,DataRegularSeason20242025!$N$2:$N$1315,1)</f>
        <v>1</v>
      </c>
      <c r="AA15" s="35"/>
      <c r="AB15" s="28">
        <f>COUNTIFS(DataRegularSeason20242025!$E$2:$E$1315,TotalTeamGames20242025!AA$1,DataRegularSeason20242025!$D$2:$D$1315,TotalTeamGames20242025!$A15,DataRegularSeason20242025!$N$2:$N$1315,1)</f>
        <v>0</v>
      </c>
      <c r="AC15" s="35"/>
      <c r="AD15" s="28">
        <f>COUNTIFS(DataRegularSeason20242025!$E$2:$E$1315,TotalTeamGames20242025!AC$1,DataRegularSeason20242025!$D$2:$D$1315,TotalTeamGames20242025!$A15,DataRegularSeason20242025!$N$2:$N$1315,1)</f>
        <v>0</v>
      </c>
      <c r="AE15" s="35"/>
      <c r="AF15" s="28">
        <f>COUNTIFS(DataRegularSeason20242025!$E$2:$E$1315,TotalTeamGames20242025!AE$1,DataRegularSeason20242025!$D$2:$D$1315,TotalTeamGames20242025!$A15,DataRegularSeason20242025!$N$2:$N$1315,1)</f>
        <v>0</v>
      </c>
      <c r="AG15" s="35"/>
      <c r="AH15" s="28">
        <f>COUNTIFS(DataRegularSeason20242025!$E$2:$E$1315,TotalTeamGames20242025!AG$1,DataRegularSeason20242025!$D$2:$D$1315,TotalTeamGames20242025!$A15,DataRegularSeason20242025!$N$2:$N$1315,1)</f>
        <v>0</v>
      </c>
      <c r="AI15" s="35"/>
      <c r="AJ15" s="28">
        <f>COUNTIFS(DataRegularSeason20242025!$E$2:$E$1315,TotalTeamGames20242025!AI$1,DataRegularSeason20242025!$D$2:$D$1315,TotalTeamGames20242025!$A15,DataRegularSeason20242025!$N$2:$N$1315,1)</f>
        <v>0</v>
      </c>
      <c r="AK15" s="35"/>
      <c r="AL15" s="28">
        <f>COUNTIFS(DataRegularSeason20242025!$E$2:$E$1315,TotalTeamGames20242025!AK$1,DataRegularSeason20242025!$D$2:$D$1315,TotalTeamGames20242025!$A15,DataRegularSeason20242025!$N$2:$N$1315,1)</f>
        <v>0</v>
      </c>
      <c r="AM15" s="35"/>
      <c r="AN15" s="28">
        <f>COUNTIFS(DataRegularSeason20242025!$E$2:$E$1315,TotalTeamGames20242025!AM$1,DataRegularSeason20242025!$D$2:$D$1315,TotalTeamGames20242025!$A15,DataRegularSeason20242025!$N$2:$N$1315,1)</f>
        <v>0</v>
      </c>
      <c r="AO15" s="35"/>
      <c r="AP15" s="28">
        <f>COUNTIFS(DataRegularSeason20242025!$E$2:$E$1315,TotalTeamGames20242025!AO$1,DataRegularSeason20242025!$D$2:$D$1315,TotalTeamGames20242025!$A15,DataRegularSeason20242025!$N$2:$N$1315,1)</f>
        <v>0</v>
      </c>
      <c r="AQ15" s="35"/>
      <c r="AR15" s="28">
        <f>COUNTIFS(DataRegularSeason20242025!$E$2:$E$1315,TotalTeamGames20242025!AQ$1,DataRegularSeason20242025!$D$2:$D$1315,TotalTeamGames20242025!$A15,DataRegularSeason20242025!$N$2:$N$1315,1)</f>
        <v>0</v>
      </c>
      <c r="AS15" s="35"/>
      <c r="AT15" s="28">
        <f>COUNTIFS(DataRegularSeason20242025!$E$2:$E$1315,TotalTeamGames20242025!AS$1,DataRegularSeason20242025!$D$2:$D$1315,TotalTeamGames20242025!$A15,DataRegularSeason20242025!$N$2:$N$1315,1)</f>
        <v>0</v>
      </c>
      <c r="AU15" s="35"/>
      <c r="AV15" s="28">
        <f>COUNTIFS(DataRegularSeason20242025!$E$2:$E$1315,TotalTeamGames20242025!AU$1,DataRegularSeason20242025!$D$2:$D$1315,TotalTeamGames20242025!$A15,DataRegularSeason20242025!$N$2:$N$1315,1)</f>
        <v>0</v>
      </c>
      <c r="AW15" s="35"/>
      <c r="AX15" s="28">
        <f>COUNTIFS(DataRegularSeason20242025!$E$2:$E$1315,TotalTeamGames20242025!AW$1,DataRegularSeason20242025!$D$2:$D$1315,TotalTeamGames20242025!$A15,DataRegularSeason20242025!$N$2:$N$1315,1)</f>
        <v>0</v>
      </c>
      <c r="AY15" s="35"/>
      <c r="AZ15" s="28">
        <f>COUNTIFS(DataRegularSeason20242025!$E$2:$E$1315,TotalTeamGames20242025!AY$1,DataRegularSeason20242025!$D$2:$D$1315,TotalTeamGames20242025!$A15,DataRegularSeason20242025!$N$2:$N$1315,1)</f>
        <v>1</v>
      </c>
      <c r="BA15" s="35"/>
      <c r="BB15" s="28">
        <f>COUNTIFS(DataRegularSeason20242025!$E$2:$E$1315,TotalTeamGames20242025!BA$1,DataRegularSeason20242025!$D$2:$D$1315,TotalTeamGames20242025!$A15,DataRegularSeason20242025!$N$2:$N$1315,1)</f>
        <v>0</v>
      </c>
      <c r="BC15" s="35"/>
      <c r="BD15" s="28">
        <f>COUNTIFS(DataRegularSeason20242025!$E$2:$E$1315,TotalTeamGames20242025!BC$1,DataRegularSeason20242025!$D$2:$D$1315,TotalTeamGames20242025!$A15,DataRegularSeason20242025!$N$2:$N$1315,1)</f>
        <v>0</v>
      </c>
      <c r="BE15" s="35"/>
      <c r="BF15" s="28">
        <f>COUNTIFS(DataRegularSeason20242025!$E$2:$E$1315,TotalTeamGames20242025!BE$1,DataRegularSeason20242025!$D$2:$D$1315,TotalTeamGames20242025!$A15,DataRegularSeason20242025!$N$2:$N$1315,1)</f>
        <v>0</v>
      </c>
      <c r="BG15" s="35"/>
      <c r="BH15" s="28">
        <f>COUNTIFS(DataRegularSeason20242025!$E$2:$E$1315,TotalTeamGames20242025!BG$1,DataRegularSeason20242025!$D$2:$D$1315,TotalTeamGames20242025!$A15,DataRegularSeason20242025!$N$2:$N$1315,1)</f>
        <v>0</v>
      </c>
      <c r="BI15" s="35"/>
      <c r="BJ15" s="28">
        <f>COUNTIFS(DataRegularSeason20242025!$E$2:$E$1315,TotalTeamGames20242025!BI$1,DataRegularSeason20242025!$D$2:$D$1315,TotalTeamGames20242025!$A15,DataRegularSeason20242025!$N$2:$N$1315,1)</f>
        <v>0</v>
      </c>
      <c r="BK15" s="35"/>
      <c r="BL15" s="28">
        <f>COUNTIFS(DataRegularSeason20242025!$E$2:$E$1315,TotalTeamGames20242025!BK$1,DataRegularSeason20242025!$D$2:$D$1315,TotalTeamGames20242025!$A15,DataRegularSeason20242025!$N$2:$N$1315,1)</f>
        <v>0</v>
      </c>
      <c r="BM15" s="35"/>
      <c r="BN15" s="28">
        <f>COUNTIFS(DataRegularSeason20242025!$E$2:$E$1315,TotalTeamGames20242025!BM$1,DataRegularSeason20242025!$D$2:$D$1315,TotalTeamGames20242025!$A15,DataRegularSeason20242025!$N$2:$N$1315,1)</f>
        <v>0</v>
      </c>
      <c r="BO15" s="30">
        <f t="shared" si="0"/>
        <v>3</v>
      </c>
      <c r="BP15" s="165">
        <f t="shared" ref="BP15" si="11">BO15+BO16</f>
        <v>7</v>
      </c>
      <c r="BQ15" s="166">
        <f t="shared" ref="BQ15" si="12">82-BP15</f>
        <v>75</v>
      </c>
    </row>
    <row r="16" spans="1:69" ht="9.9499999999999993" customHeight="1" x14ac:dyDescent="0.25">
      <c r="A16" s="167"/>
      <c r="B16" s="32" t="s">
        <v>73</v>
      </c>
      <c r="C16" s="38">
        <f>COUNTIFS(DataRegularSeason20242025!$D$2:$D$1315,TotalTeamGames20242025!C$1,DataRegularSeason20242025!$E$2:$E$1315,TotalTeamGames20242025!$A15,DataRegularSeason20242025!$N$2:$N$1315,1)</f>
        <v>1</v>
      </c>
      <c r="D16" s="39"/>
      <c r="E16" s="38">
        <f>COUNTIFS(DataRegularSeason20242025!$D$2:$D$1315,TotalTeamGames20242025!E$1,DataRegularSeason20242025!$E$2:$E$1315,TotalTeamGames20242025!$A15,DataRegularSeason20242025!$N$2:$N$1315,1)</f>
        <v>0</v>
      </c>
      <c r="F16" s="39"/>
      <c r="G16" s="38">
        <f>COUNTIFS(DataRegularSeason20242025!$D$2:$D$1315,TotalTeamGames20242025!G$1,DataRegularSeason20242025!$E$2:$E$1315,TotalTeamGames20242025!$A15,DataRegularSeason20242025!$N$2:$N$1315,1)</f>
        <v>0</v>
      </c>
      <c r="H16" s="39"/>
      <c r="I16" s="38">
        <f>COUNTIFS(DataRegularSeason20242025!$D$2:$D$1315,TotalTeamGames20242025!I$1,DataRegularSeason20242025!$E$2:$E$1315,TotalTeamGames20242025!$A15,DataRegularSeason20242025!$N$2:$N$1315,1)</f>
        <v>0</v>
      </c>
      <c r="J16" s="39"/>
      <c r="K16" s="38">
        <f>COUNTIFS(DataRegularSeason20242025!$D$2:$D$1315,TotalTeamGames20242025!K$1,DataRegularSeason20242025!$E$2:$E$1315,TotalTeamGames20242025!$A15,DataRegularSeason20242025!$N$2:$N$1315,1)</f>
        <v>0</v>
      </c>
      <c r="L16" s="39"/>
      <c r="M16" s="38">
        <f>COUNTIFS(DataRegularSeason20242025!$D$2:$D$1315,TotalTeamGames20242025!M$1,DataRegularSeason20242025!$E$2:$E$1315,TotalTeamGames20242025!$A15,DataRegularSeason20242025!$N$2:$N$1315,1)</f>
        <v>0</v>
      </c>
      <c r="N16" s="39"/>
      <c r="O16" s="38"/>
      <c r="P16" s="39"/>
      <c r="Q16" s="38">
        <f>COUNTIFS(DataRegularSeason20242025!$D$2:$D$1315,TotalTeamGames20242025!Q$1,DataRegularSeason20242025!$E$2:$E$1315,TotalTeamGames20242025!$A15,DataRegularSeason20242025!$N$2:$N$1315,1)</f>
        <v>0</v>
      </c>
      <c r="R16" s="39"/>
      <c r="S16" s="38">
        <f>COUNTIFS(DataRegularSeason20242025!$D$2:$D$1315,TotalTeamGames20242025!S$1,DataRegularSeason20242025!$E$2:$E$1315,TotalTeamGames20242025!$A15,DataRegularSeason20242025!$N$2:$N$1315,1)</f>
        <v>0</v>
      </c>
      <c r="T16" s="39"/>
      <c r="U16" s="38">
        <f>COUNTIFS(DataRegularSeason20242025!$D$2:$D$1315,TotalTeamGames20242025!U$1,DataRegularSeason20242025!$E$2:$E$1315,TotalTeamGames20242025!$A15,DataRegularSeason20242025!$N$2:$N$1315,1)</f>
        <v>0</v>
      </c>
      <c r="V16" s="39"/>
      <c r="W16" s="38">
        <f>COUNTIFS(DataRegularSeason20242025!$D$2:$D$1315,TotalTeamGames20242025!W$1,DataRegularSeason20242025!$E$2:$E$1315,TotalTeamGames20242025!$A15,DataRegularSeason20242025!$N$2:$N$1315,1)</f>
        <v>0</v>
      </c>
      <c r="X16" s="39"/>
      <c r="Y16" s="38">
        <f>COUNTIFS(DataRegularSeason20242025!$D$2:$D$1315,TotalTeamGames20242025!Y$1,DataRegularSeason20242025!$E$2:$E$1315,TotalTeamGames20242025!$A15,DataRegularSeason20242025!$N$2:$N$1315,1)</f>
        <v>0</v>
      </c>
      <c r="Z16" s="39"/>
      <c r="AA16" s="38">
        <f>COUNTIFS(DataRegularSeason20242025!$D$2:$D$1315,TotalTeamGames20242025!AA$1,DataRegularSeason20242025!$E$2:$E$1315,TotalTeamGames20242025!$A15,DataRegularSeason20242025!$N$2:$N$1315,1)</f>
        <v>0</v>
      </c>
      <c r="AB16" s="39"/>
      <c r="AC16" s="38">
        <f>COUNTIFS(DataRegularSeason20242025!$D$2:$D$1315,TotalTeamGames20242025!AC$1,DataRegularSeason20242025!$E$2:$E$1315,TotalTeamGames20242025!$A15,DataRegularSeason20242025!$N$2:$N$1315,1)</f>
        <v>0</v>
      </c>
      <c r="AD16" s="39"/>
      <c r="AE16" s="38">
        <f>COUNTIFS(DataRegularSeason20242025!$D$2:$D$1315,TotalTeamGames20242025!AE$1,DataRegularSeason20242025!$E$2:$E$1315,TotalTeamGames20242025!$A15,DataRegularSeason20242025!$N$2:$N$1315,1)</f>
        <v>1</v>
      </c>
      <c r="AF16" s="39"/>
      <c r="AG16" s="38">
        <f>COUNTIFS(DataRegularSeason20242025!$D$2:$D$1315,TotalTeamGames20242025!AG$1,DataRegularSeason20242025!$E$2:$E$1315,TotalTeamGames20242025!$A15,DataRegularSeason20242025!$N$2:$N$1315,1)</f>
        <v>0</v>
      </c>
      <c r="AH16" s="39"/>
      <c r="AI16" s="38">
        <f>COUNTIFS(DataRegularSeason20242025!$D$2:$D$1315,TotalTeamGames20242025!AI$1,DataRegularSeason20242025!$E$2:$E$1315,TotalTeamGames20242025!$A15,DataRegularSeason20242025!$N$2:$N$1315,1)</f>
        <v>0</v>
      </c>
      <c r="AJ16" s="39"/>
      <c r="AK16" s="38">
        <f>COUNTIFS(DataRegularSeason20242025!$D$2:$D$1315,TotalTeamGames20242025!AK$1,DataRegularSeason20242025!$E$2:$E$1315,TotalTeamGames20242025!$A15,DataRegularSeason20242025!$N$2:$N$1315,1)</f>
        <v>0</v>
      </c>
      <c r="AL16" s="39"/>
      <c r="AM16" s="38">
        <f>COUNTIFS(DataRegularSeason20242025!$D$2:$D$1315,TotalTeamGames20242025!AM$1,DataRegularSeason20242025!$E$2:$E$1315,TotalTeamGames20242025!$A15,DataRegularSeason20242025!$N$2:$N$1315,1)</f>
        <v>0</v>
      </c>
      <c r="AN16" s="39"/>
      <c r="AO16" s="38">
        <f>COUNTIFS(DataRegularSeason20242025!$D$2:$D$1315,TotalTeamGames20242025!AO$1,DataRegularSeason20242025!$E$2:$E$1315,TotalTeamGames20242025!$A15,DataRegularSeason20242025!$N$2:$N$1315,1)</f>
        <v>0</v>
      </c>
      <c r="AP16" s="39"/>
      <c r="AQ16" s="38">
        <f>COUNTIFS(DataRegularSeason20242025!$D$2:$D$1315,TotalTeamGames20242025!AQ$1,DataRegularSeason20242025!$E$2:$E$1315,TotalTeamGames20242025!$A15,DataRegularSeason20242025!$N$2:$N$1315,1)</f>
        <v>0</v>
      </c>
      <c r="AR16" s="39"/>
      <c r="AS16" s="38">
        <f>COUNTIFS(DataRegularSeason20242025!$D$2:$D$1315,TotalTeamGames20242025!AS$1,DataRegularSeason20242025!$E$2:$E$1315,TotalTeamGames20242025!$A15,DataRegularSeason20242025!$N$2:$N$1315,1)</f>
        <v>0</v>
      </c>
      <c r="AT16" s="39"/>
      <c r="AU16" s="38">
        <f>COUNTIFS(DataRegularSeason20242025!$D$2:$D$1315,TotalTeamGames20242025!AU$1,DataRegularSeason20242025!$E$2:$E$1315,TotalTeamGames20242025!$A15,DataRegularSeason20242025!$N$2:$N$1315,1)</f>
        <v>0</v>
      </c>
      <c r="AV16" s="39"/>
      <c r="AW16" s="38">
        <f>COUNTIFS(DataRegularSeason20242025!$D$2:$D$1315,TotalTeamGames20242025!AW$1,DataRegularSeason20242025!$E$2:$E$1315,TotalTeamGames20242025!$A15,DataRegularSeason20242025!$N$2:$N$1315,1)</f>
        <v>0</v>
      </c>
      <c r="AX16" s="39"/>
      <c r="AY16" s="38">
        <f>COUNTIFS(DataRegularSeason20242025!$D$2:$D$1315,TotalTeamGames20242025!AY$1,DataRegularSeason20242025!$E$2:$E$1315,TotalTeamGames20242025!$A15,DataRegularSeason20242025!$N$2:$N$1315,1)</f>
        <v>0</v>
      </c>
      <c r="AZ16" s="39"/>
      <c r="BA16" s="38">
        <f>COUNTIFS(DataRegularSeason20242025!$D$2:$D$1315,TotalTeamGames20242025!BA$1,DataRegularSeason20242025!$E$2:$E$1315,TotalTeamGames20242025!$A15,DataRegularSeason20242025!$N$2:$N$1315,1)</f>
        <v>0</v>
      </c>
      <c r="BB16" s="39"/>
      <c r="BC16" s="38">
        <f>COUNTIFS(DataRegularSeason20242025!$D$2:$D$1315,TotalTeamGames20242025!BC$1,DataRegularSeason20242025!$E$2:$E$1315,TotalTeamGames20242025!$A15,DataRegularSeason20242025!$N$2:$N$1315,1)</f>
        <v>0</v>
      </c>
      <c r="BD16" s="39"/>
      <c r="BE16" s="38">
        <f>COUNTIFS(DataRegularSeason20242025!$D$2:$D$1315,TotalTeamGames20242025!BE$1,DataRegularSeason20242025!$E$2:$E$1315,TotalTeamGames20242025!$A15,DataRegularSeason20242025!$N$2:$N$1315,1)</f>
        <v>1</v>
      </c>
      <c r="BF16" s="39"/>
      <c r="BG16" s="38">
        <f>COUNTIFS(DataRegularSeason20242025!$D$2:$D$1315,TotalTeamGames20242025!BG$1,DataRegularSeason20242025!$E$2:$E$1315,TotalTeamGames20242025!$A15,DataRegularSeason20242025!$N$2:$N$1315,1)</f>
        <v>1</v>
      </c>
      <c r="BH16" s="39"/>
      <c r="BI16" s="38">
        <f>COUNTIFS(DataRegularSeason20242025!$D$2:$D$1315,TotalTeamGames20242025!BI$1,DataRegularSeason20242025!$E$2:$E$1315,TotalTeamGames20242025!$A15,DataRegularSeason20242025!$N$2:$N$1315,1)</f>
        <v>0</v>
      </c>
      <c r="BJ16" s="39"/>
      <c r="BK16" s="38">
        <f>COUNTIFS(DataRegularSeason20242025!$D$2:$D$1315,TotalTeamGames20242025!BK$1,DataRegularSeason20242025!$E$2:$E$1315,TotalTeamGames20242025!$A15,DataRegularSeason20242025!$N$2:$N$1315,1)</f>
        <v>0</v>
      </c>
      <c r="BL16" s="39"/>
      <c r="BM16" s="38">
        <f>COUNTIFS(DataRegularSeason20242025!$D$2:$D$1315,TotalTeamGames20242025!BM$1,DataRegularSeason20242025!$E$2:$E$1315,TotalTeamGames20242025!$A15,DataRegularSeason20242025!$N$2:$N$1315,1)</f>
        <v>0</v>
      </c>
      <c r="BN16" s="39"/>
      <c r="BO16" s="34">
        <f t="shared" si="0"/>
        <v>4</v>
      </c>
      <c r="BP16" s="165"/>
      <c r="BQ16" s="166"/>
    </row>
    <row r="17" spans="1:69" ht="9.9499999999999993" customHeight="1" x14ac:dyDescent="0.25">
      <c r="A17" s="172" t="s">
        <v>25</v>
      </c>
      <c r="B17" s="28" t="s">
        <v>74</v>
      </c>
      <c r="C17" s="35"/>
      <c r="D17" s="28">
        <f>COUNTIFS(DataRegularSeason20242025!$E$2:$E$1315,TotalTeamGames20242025!C$1,DataRegularSeason20242025!$D$2:$D$1315,TotalTeamGames20242025!$A17,DataRegularSeason20242025!$N$2:$N$1315,1)</f>
        <v>0</v>
      </c>
      <c r="E17" s="35"/>
      <c r="F17" s="28">
        <f>COUNTIFS(DataRegularSeason20242025!$E$2:$E$1315,TotalTeamGames20242025!E$1,DataRegularSeason20242025!$D$2:$D$1315,TotalTeamGames20242025!$A17,DataRegularSeason20242025!$N$2:$N$1315,1)</f>
        <v>0</v>
      </c>
      <c r="G17" s="35"/>
      <c r="H17" s="28">
        <f>COUNTIFS(DataRegularSeason20242025!$E$2:$E$1315,TotalTeamGames20242025!G$1,DataRegularSeason20242025!$D$2:$D$1315,TotalTeamGames20242025!$A17,DataRegularSeason20242025!$N$2:$N$1315,1)</f>
        <v>1</v>
      </c>
      <c r="I17" s="35"/>
      <c r="J17" s="28">
        <f>COUNTIFS(DataRegularSeason20242025!$E$2:$E$1315,TotalTeamGames20242025!I$1,DataRegularSeason20242025!$D$2:$D$1315,TotalTeamGames20242025!$A17,DataRegularSeason20242025!$N$2:$N$1315,1)</f>
        <v>0</v>
      </c>
      <c r="K17" s="35"/>
      <c r="L17" s="28">
        <f>COUNTIFS(DataRegularSeason20242025!$E$2:$E$1315,TotalTeamGames20242025!K$1,DataRegularSeason20242025!$D$2:$D$1315,TotalTeamGames20242025!$A17,DataRegularSeason20242025!$N$2:$N$1315,1)</f>
        <v>1</v>
      </c>
      <c r="M17" s="35"/>
      <c r="N17" s="28">
        <f>COUNTIFS(DataRegularSeason20242025!$E$2:$E$1315,TotalTeamGames20242025!M$1,DataRegularSeason20242025!$D$2:$D$1315,TotalTeamGames20242025!$A17,DataRegularSeason20242025!$N$2:$N$1315,1)</f>
        <v>0</v>
      </c>
      <c r="O17" s="35"/>
      <c r="P17" s="28">
        <f>COUNTIFS(DataRegularSeason20242025!$E$2:$E$1315,TotalTeamGames20242025!O$1,DataRegularSeason20242025!$D$2:$D$1315,TotalTeamGames20242025!$A17,DataRegularSeason20242025!$N$2:$N$1315,1)</f>
        <v>0</v>
      </c>
      <c r="Q17" s="35"/>
      <c r="R17" s="36"/>
      <c r="S17" s="35"/>
      <c r="T17" s="28">
        <f>COUNTIFS(DataRegularSeason20242025!$E$2:$E$1315,TotalTeamGames20242025!S$1,DataRegularSeason20242025!$D$2:$D$1315,TotalTeamGames20242025!$A17,DataRegularSeason20242025!$N$2:$N$1315,1)</f>
        <v>0</v>
      </c>
      <c r="U17" s="35"/>
      <c r="V17" s="28">
        <f>COUNTIFS(DataRegularSeason20242025!$E$2:$E$1315,TotalTeamGames20242025!U$1,DataRegularSeason20242025!$D$2:$D$1315,TotalTeamGames20242025!$A17,DataRegularSeason20242025!$N$2:$N$1315,1)</f>
        <v>0</v>
      </c>
      <c r="W17" s="35"/>
      <c r="X17" s="28">
        <f>COUNTIFS(DataRegularSeason20242025!$E$2:$E$1315,TotalTeamGames20242025!W$1,DataRegularSeason20242025!$D$2:$D$1315,TotalTeamGames20242025!$A17,DataRegularSeason20242025!$N$2:$N$1315,1)</f>
        <v>0</v>
      </c>
      <c r="Y17" s="35"/>
      <c r="Z17" s="28">
        <f>COUNTIFS(DataRegularSeason20242025!$E$2:$E$1315,TotalTeamGames20242025!Y$1,DataRegularSeason20242025!$D$2:$D$1315,TotalTeamGames20242025!$A17,DataRegularSeason20242025!$N$2:$N$1315,1)</f>
        <v>0</v>
      </c>
      <c r="AA17" s="35"/>
      <c r="AB17" s="28">
        <f>COUNTIFS(DataRegularSeason20242025!$E$2:$E$1315,TotalTeamGames20242025!AA$1,DataRegularSeason20242025!$D$2:$D$1315,TotalTeamGames20242025!$A17,DataRegularSeason20242025!$N$2:$N$1315,1)</f>
        <v>1</v>
      </c>
      <c r="AC17" s="35"/>
      <c r="AD17" s="28">
        <f>COUNTIFS(DataRegularSeason20242025!$E$2:$E$1315,TotalTeamGames20242025!AC$1,DataRegularSeason20242025!$D$2:$D$1315,TotalTeamGames20242025!$A17,DataRegularSeason20242025!$N$2:$N$1315,1)</f>
        <v>0</v>
      </c>
      <c r="AE17" s="35"/>
      <c r="AF17" s="28">
        <f>COUNTIFS(DataRegularSeason20242025!$E$2:$E$1315,TotalTeamGames20242025!AE$1,DataRegularSeason20242025!$D$2:$D$1315,TotalTeamGames20242025!$A17,DataRegularSeason20242025!$N$2:$N$1315,1)</f>
        <v>0</v>
      </c>
      <c r="AG17" s="35"/>
      <c r="AH17" s="28">
        <f>COUNTIFS(DataRegularSeason20242025!$E$2:$E$1315,TotalTeamGames20242025!AG$1,DataRegularSeason20242025!$D$2:$D$1315,TotalTeamGames20242025!$A17,DataRegularSeason20242025!$N$2:$N$1315,1)</f>
        <v>0</v>
      </c>
      <c r="AI17" s="35"/>
      <c r="AJ17" s="28">
        <f>COUNTIFS(DataRegularSeason20242025!$E$2:$E$1315,TotalTeamGames20242025!AI$1,DataRegularSeason20242025!$D$2:$D$1315,TotalTeamGames20242025!$A17,DataRegularSeason20242025!$N$2:$N$1315,1)</f>
        <v>0</v>
      </c>
      <c r="AK17" s="35"/>
      <c r="AL17" s="28">
        <f>COUNTIFS(DataRegularSeason20242025!$E$2:$E$1315,TotalTeamGames20242025!AK$1,DataRegularSeason20242025!$D$2:$D$1315,TotalTeamGames20242025!$A17,DataRegularSeason20242025!$N$2:$N$1315,1)</f>
        <v>0</v>
      </c>
      <c r="AM17" s="35"/>
      <c r="AN17" s="28">
        <f>COUNTIFS(DataRegularSeason20242025!$E$2:$E$1315,TotalTeamGames20242025!AM$1,DataRegularSeason20242025!$D$2:$D$1315,TotalTeamGames20242025!$A17,DataRegularSeason20242025!$N$2:$N$1315,1)</f>
        <v>0</v>
      </c>
      <c r="AO17" s="35"/>
      <c r="AP17" s="28">
        <f>COUNTIFS(DataRegularSeason20242025!$E$2:$E$1315,TotalTeamGames20242025!AO$1,DataRegularSeason20242025!$D$2:$D$1315,TotalTeamGames20242025!$A17,DataRegularSeason20242025!$N$2:$N$1315,1)</f>
        <v>0</v>
      </c>
      <c r="AQ17" s="35"/>
      <c r="AR17" s="28">
        <f>COUNTIFS(DataRegularSeason20242025!$E$2:$E$1315,TotalTeamGames20242025!AQ$1,DataRegularSeason20242025!$D$2:$D$1315,TotalTeamGames20242025!$A17,DataRegularSeason20242025!$N$2:$N$1315,1)</f>
        <v>0</v>
      </c>
      <c r="AS17" s="35"/>
      <c r="AT17" s="28">
        <f>COUNTIFS(DataRegularSeason20242025!$E$2:$E$1315,TotalTeamGames20242025!AS$1,DataRegularSeason20242025!$D$2:$D$1315,TotalTeamGames20242025!$A17,DataRegularSeason20242025!$N$2:$N$1315,1)</f>
        <v>0</v>
      </c>
      <c r="AU17" s="35"/>
      <c r="AV17" s="28">
        <f>COUNTIFS(DataRegularSeason20242025!$E$2:$E$1315,TotalTeamGames20242025!AU$1,DataRegularSeason20242025!$D$2:$D$1315,TotalTeamGames20242025!$A17,DataRegularSeason20242025!$N$2:$N$1315,1)</f>
        <v>0</v>
      </c>
      <c r="AW17" s="35"/>
      <c r="AX17" s="28">
        <f>COUNTIFS(DataRegularSeason20242025!$E$2:$E$1315,TotalTeamGames20242025!AW$1,DataRegularSeason20242025!$D$2:$D$1315,TotalTeamGames20242025!$A17,DataRegularSeason20242025!$N$2:$N$1315,1)</f>
        <v>0</v>
      </c>
      <c r="AY17" s="35"/>
      <c r="AZ17" s="28">
        <f>COUNTIFS(DataRegularSeason20242025!$E$2:$E$1315,TotalTeamGames20242025!AY$1,DataRegularSeason20242025!$D$2:$D$1315,TotalTeamGames20242025!$A17,DataRegularSeason20242025!$N$2:$N$1315,1)</f>
        <v>0</v>
      </c>
      <c r="BA17" s="35"/>
      <c r="BB17" s="28">
        <f>COUNTIFS(DataRegularSeason20242025!$E$2:$E$1315,TotalTeamGames20242025!BA$1,DataRegularSeason20242025!$D$2:$D$1315,TotalTeamGames20242025!$A17,DataRegularSeason20242025!$N$2:$N$1315,1)</f>
        <v>0</v>
      </c>
      <c r="BC17" s="35"/>
      <c r="BD17" s="28">
        <f>COUNTIFS(DataRegularSeason20242025!$E$2:$E$1315,TotalTeamGames20242025!BC$1,DataRegularSeason20242025!$D$2:$D$1315,TotalTeamGames20242025!$A17,DataRegularSeason20242025!$N$2:$N$1315,1)</f>
        <v>0</v>
      </c>
      <c r="BE17" s="35"/>
      <c r="BF17" s="28">
        <f>COUNTIFS(DataRegularSeason20242025!$E$2:$E$1315,TotalTeamGames20242025!BE$1,DataRegularSeason20242025!$D$2:$D$1315,TotalTeamGames20242025!$A17,DataRegularSeason20242025!$N$2:$N$1315,1)</f>
        <v>1</v>
      </c>
      <c r="BG17" s="35"/>
      <c r="BH17" s="28">
        <f>COUNTIFS(DataRegularSeason20242025!$E$2:$E$1315,TotalTeamGames20242025!BG$1,DataRegularSeason20242025!$D$2:$D$1315,TotalTeamGames20242025!$A17,DataRegularSeason20242025!$N$2:$N$1315,1)</f>
        <v>0</v>
      </c>
      <c r="BI17" s="35"/>
      <c r="BJ17" s="28">
        <f>COUNTIFS(DataRegularSeason20242025!$E$2:$E$1315,TotalTeamGames20242025!BI$1,DataRegularSeason20242025!$D$2:$D$1315,TotalTeamGames20242025!$A17,DataRegularSeason20242025!$N$2:$N$1315,1)</f>
        <v>0</v>
      </c>
      <c r="BK17" s="35"/>
      <c r="BL17" s="28">
        <f>COUNTIFS(DataRegularSeason20242025!$E$2:$E$1315,TotalTeamGames20242025!BK$1,DataRegularSeason20242025!$D$2:$D$1315,TotalTeamGames20242025!$A17,DataRegularSeason20242025!$N$2:$N$1315,1)</f>
        <v>0</v>
      </c>
      <c r="BM17" s="35"/>
      <c r="BN17" s="28">
        <f>COUNTIFS(DataRegularSeason20242025!$E$2:$E$1315,TotalTeamGames20242025!BM$1,DataRegularSeason20242025!$D$2:$D$1315,TotalTeamGames20242025!$A17,DataRegularSeason20242025!$N$2:$N$1315,1)</f>
        <v>0</v>
      </c>
      <c r="BO17" s="30">
        <f t="shared" si="0"/>
        <v>4</v>
      </c>
      <c r="BP17" s="165">
        <f t="shared" ref="BP17" si="13">BO17+BO18</f>
        <v>7</v>
      </c>
      <c r="BQ17" s="166">
        <f t="shared" ref="BQ17" si="14">82-BP17</f>
        <v>75</v>
      </c>
    </row>
    <row r="18" spans="1:69" ht="9.9499999999999993" customHeight="1" x14ac:dyDescent="0.25">
      <c r="A18" s="167"/>
      <c r="B18" s="32" t="s">
        <v>73</v>
      </c>
      <c r="C18" s="38">
        <f>COUNTIFS(DataRegularSeason20242025!$D$2:$D$1315,TotalTeamGames20242025!C$1,DataRegularSeason20242025!$E$2:$E$1315,TotalTeamGames20242025!$A17,DataRegularSeason20242025!$N$2:$N$1315,1)</f>
        <v>0</v>
      </c>
      <c r="D18" s="39"/>
      <c r="E18" s="38">
        <f>COUNTIFS(DataRegularSeason20242025!$D$2:$D$1315,TotalTeamGames20242025!E$1,DataRegularSeason20242025!$E$2:$E$1315,TotalTeamGames20242025!$A17,DataRegularSeason20242025!$N$2:$N$1315,1)</f>
        <v>1</v>
      </c>
      <c r="F18" s="39"/>
      <c r="G18" s="38">
        <f>COUNTIFS(DataRegularSeason20242025!$D$2:$D$1315,TotalTeamGames20242025!G$1,DataRegularSeason20242025!$E$2:$E$1315,TotalTeamGames20242025!$A17,DataRegularSeason20242025!$N$2:$N$1315,1)</f>
        <v>0</v>
      </c>
      <c r="H18" s="39"/>
      <c r="I18" s="38">
        <f>COUNTIFS(DataRegularSeason20242025!$D$2:$D$1315,TotalTeamGames20242025!I$1,DataRegularSeason20242025!$E$2:$E$1315,TotalTeamGames20242025!$A17,DataRegularSeason20242025!$N$2:$N$1315,1)</f>
        <v>0</v>
      </c>
      <c r="J18" s="39"/>
      <c r="K18" s="38">
        <f>COUNTIFS(DataRegularSeason20242025!$D$2:$D$1315,TotalTeamGames20242025!K$1,DataRegularSeason20242025!$E$2:$E$1315,TotalTeamGames20242025!$A17,DataRegularSeason20242025!$N$2:$N$1315,1)</f>
        <v>0</v>
      </c>
      <c r="L18" s="39"/>
      <c r="M18" s="38">
        <f>COUNTIFS(DataRegularSeason20242025!$D$2:$D$1315,TotalTeamGames20242025!M$1,DataRegularSeason20242025!$E$2:$E$1315,TotalTeamGames20242025!$A17,DataRegularSeason20242025!$N$2:$N$1315,1)</f>
        <v>0</v>
      </c>
      <c r="N18" s="39"/>
      <c r="O18" s="38">
        <f>COUNTIFS(DataRegularSeason20242025!$D$2:$D$1315,TotalTeamGames20242025!O$1,DataRegularSeason20242025!$E$2:$E$1315,TotalTeamGames20242025!$A17,DataRegularSeason20242025!$N$2:$N$1315,1)</f>
        <v>0</v>
      </c>
      <c r="P18" s="39"/>
      <c r="Q18" s="38"/>
      <c r="R18" s="39"/>
      <c r="S18" s="38">
        <f>COUNTIFS(DataRegularSeason20242025!$D$2:$D$1315,TotalTeamGames20242025!S$1,DataRegularSeason20242025!$E$2:$E$1315,TotalTeamGames20242025!$A17,DataRegularSeason20242025!$N$2:$N$1315,1)</f>
        <v>1</v>
      </c>
      <c r="T18" s="39"/>
      <c r="U18" s="38">
        <f>COUNTIFS(DataRegularSeason20242025!$D$2:$D$1315,TotalTeamGames20242025!U$1,DataRegularSeason20242025!$E$2:$E$1315,TotalTeamGames20242025!$A17,DataRegularSeason20242025!$N$2:$N$1315,1)</f>
        <v>0</v>
      </c>
      <c r="V18" s="39"/>
      <c r="W18" s="38">
        <f>COUNTIFS(DataRegularSeason20242025!$D$2:$D$1315,TotalTeamGames20242025!W$1,DataRegularSeason20242025!$E$2:$E$1315,TotalTeamGames20242025!$A17,DataRegularSeason20242025!$N$2:$N$1315,1)</f>
        <v>0</v>
      </c>
      <c r="X18" s="39"/>
      <c r="Y18" s="38">
        <f>COUNTIFS(DataRegularSeason20242025!$D$2:$D$1315,TotalTeamGames20242025!Y$1,DataRegularSeason20242025!$E$2:$E$1315,TotalTeamGames20242025!$A17,DataRegularSeason20242025!$N$2:$N$1315,1)</f>
        <v>0</v>
      </c>
      <c r="Z18" s="39"/>
      <c r="AA18" s="38">
        <f>COUNTIFS(DataRegularSeason20242025!$D$2:$D$1315,TotalTeamGames20242025!AA$1,DataRegularSeason20242025!$E$2:$E$1315,TotalTeamGames20242025!$A17,DataRegularSeason20242025!$N$2:$N$1315,1)</f>
        <v>0</v>
      </c>
      <c r="AB18" s="39"/>
      <c r="AC18" s="38">
        <f>COUNTIFS(DataRegularSeason20242025!$D$2:$D$1315,TotalTeamGames20242025!AC$1,DataRegularSeason20242025!$E$2:$E$1315,TotalTeamGames20242025!$A17,DataRegularSeason20242025!$N$2:$N$1315,1)</f>
        <v>0</v>
      </c>
      <c r="AD18" s="39"/>
      <c r="AE18" s="38">
        <f>COUNTIFS(DataRegularSeason20242025!$D$2:$D$1315,TotalTeamGames20242025!AE$1,DataRegularSeason20242025!$E$2:$E$1315,TotalTeamGames20242025!$A17,DataRegularSeason20242025!$N$2:$N$1315,1)</f>
        <v>0</v>
      </c>
      <c r="AF18" s="39"/>
      <c r="AG18" s="38">
        <f>COUNTIFS(DataRegularSeason20242025!$D$2:$D$1315,TotalTeamGames20242025!AG$1,DataRegularSeason20242025!$E$2:$E$1315,TotalTeamGames20242025!$A17,DataRegularSeason20242025!$N$2:$N$1315,1)</f>
        <v>0</v>
      </c>
      <c r="AH18" s="39"/>
      <c r="AI18" s="38">
        <f>COUNTIFS(DataRegularSeason20242025!$D$2:$D$1315,TotalTeamGames20242025!AI$1,DataRegularSeason20242025!$E$2:$E$1315,TotalTeamGames20242025!$A17,DataRegularSeason20242025!$N$2:$N$1315,1)</f>
        <v>0</v>
      </c>
      <c r="AJ18" s="39"/>
      <c r="AK18" s="38">
        <f>COUNTIFS(DataRegularSeason20242025!$D$2:$D$1315,TotalTeamGames20242025!AK$1,DataRegularSeason20242025!$E$2:$E$1315,TotalTeamGames20242025!$A17,DataRegularSeason20242025!$N$2:$N$1315,1)</f>
        <v>0</v>
      </c>
      <c r="AL18" s="39"/>
      <c r="AM18" s="38">
        <f>COUNTIFS(DataRegularSeason20242025!$D$2:$D$1315,TotalTeamGames20242025!AM$1,DataRegularSeason20242025!$E$2:$E$1315,TotalTeamGames20242025!$A17,DataRegularSeason20242025!$N$2:$N$1315,1)</f>
        <v>0</v>
      </c>
      <c r="AN18" s="39"/>
      <c r="AO18" s="38">
        <f>COUNTIFS(DataRegularSeason20242025!$D$2:$D$1315,TotalTeamGames20242025!AO$1,DataRegularSeason20242025!$E$2:$E$1315,TotalTeamGames20242025!$A17,DataRegularSeason20242025!$N$2:$N$1315,1)</f>
        <v>0</v>
      </c>
      <c r="AP18" s="39"/>
      <c r="AQ18" s="38">
        <f>COUNTIFS(DataRegularSeason20242025!$D$2:$D$1315,TotalTeamGames20242025!AQ$1,DataRegularSeason20242025!$E$2:$E$1315,TotalTeamGames20242025!$A17,DataRegularSeason20242025!$N$2:$N$1315,1)</f>
        <v>0</v>
      </c>
      <c r="AR18" s="39"/>
      <c r="AS18" s="38">
        <f>COUNTIFS(DataRegularSeason20242025!$D$2:$D$1315,TotalTeamGames20242025!AS$1,DataRegularSeason20242025!$E$2:$E$1315,TotalTeamGames20242025!$A17,DataRegularSeason20242025!$N$2:$N$1315,1)</f>
        <v>0</v>
      </c>
      <c r="AT18" s="39"/>
      <c r="AU18" s="38">
        <f>COUNTIFS(DataRegularSeason20242025!$D$2:$D$1315,TotalTeamGames20242025!AU$1,DataRegularSeason20242025!$E$2:$E$1315,TotalTeamGames20242025!$A17,DataRegularSeason20242025!$N$2:$N$1315,1)</f>
        <v>0</v>
      </c>
      <c r="AV18" s="39"/>
      <c r="AW18" s="38">
        <f>COUNTIFS(DataRegularSeason20242025!$D$2:$D$1315,TotalTeamGames20242025!AW$1,DataRegularSeason20242025!$E$2:$E$1315,TotalTeamGames20242025!$A17,DataRegularSeason20242025!$N$2:$N$1315,1)</f>
        <v>0</v>
      </c>
      <c r="AX18" s="39"/>
      <c r="AY18" s="38">
        <f>COUNTIFS(DataRegularSeason20242025!$D$2:$D$1315,TotalTeamGames20242025!AY$1,DataRegularSeason20242025!$E$2:$E$1315,TotalTeamGames20242025!$A17,DataRegularSeason20242025!$N$2:$N$1315,1)</f>
        <v>0</v>
      </c>
      <c r="AZ18" s="39"/>
      <c r="BA18" s="38">
        <f>COUNTIFS(DataRegularSeason20242025!$D$2:$D$1315,TotalTeamGames20242025!BA$1,DataRegularSeason20242025!$E$2:$E$1315,TotalTeamGames20242025!$A17,DataRegularSeason20242025!$N$2:$N$1315,1)</f>
        <v>0</v>
      </c>
      <c r="BB18" s="39"/>
      <c r="BC18" s="38">
        <f>COUNTIFS(DataRegularSeason20242025!$D$2:$D$1315,TotalTeamGames20242025!BC$1,DataRegularSeason20242025!$E$2:$E$1315,TotalTeamGames20242025!$A17,DataRegularSeason20242025!$N$2:$N$1315,1)</f>
        <v>0</v>
      </c>
      <c r="BD18" s="39"/>
      <c r="BE18" s="38">
        <f>COUNTIFS(DataRegularSeason20242025!$D$2:$D$1315,TotalTeamGames20242025!BE$1,DataRegularSeason20242025!$E$2:$E$1315,TotalTeamGames20242025!$A17,DataRegularSeason20242025!$N$2:$N$1315,1)</f>
        <v>1</v>
      </c>
      <c r="BF18" s="39"/>
      <c r="BG18" s="38">
        <f>COUNTIFS(DataRegularSeason20242025!$D$2:$D$1315,TotalTeamGames20242025!BG$1,DataRegularSeason20242025!$E$2:$E$1315,TotalTeamGames20242025!$A17,DataRegularSeason20242025!$N$2:$N$1315,1)</f>
        <v>0</v>
      </c>
      <c r="BH18" s="39"/>
      <c r="BI18" s="38">
        <f>COUNTIFS(DataRegularSeason20242025!$D$2:$D$1315,TotalTeamGames20242025!BI$1,DataRegularSeason20242025!$E$2:$E$1315,TotalTeamGames20242025!$A17,DataRegularSeason20242025!$N$2:$N$1315,1)</f>
        <v>0</v>
      </c>
      <c r="BJ18" s="39"/>
      <c r="BK18" s="38">
        <f>COUNTIFS(DataRegularSeason20242025!$D$2:$D$1315,TotalTeamGames20242025!BK$1,DataRegularSeason20242025!$E$2:$E$1315,TotalTeamGames20242025!$A17,DataRegularSeason20242025!$N$2:$N$1315,1)</f>
        <v>0</v>
      </c>
      <c r="BL18" s="39"/>
      <c r="BM18" s="38">
        <f>COUNTIFS(DataRegularSeason20242025!$D$2:$D$1315,TotalTeamGames20242025!BM$1,DataRegularSeason20242025!$E$2:$E$1315,TotalTeamGames20242025!$A17,DataRegularSeason20242025!$N$2:$N$1315,1)</f>
        <v>0</v>
      </c>
      <c r="BN18" s="39"/>
      <c r="BO18" s="34">
        <f t="shared" si="0"/>
        <v>3</v>
      </c>
      <c r="BP18" s="165"/>
      <c r="BQ18" s="166"/>
    </row>
    <row r="19" spans="1:69" ht="9.9499999999999993" customHeight="1" x14ac:dyDescent="0.25">
      <c r="A19" s="172" t="s">
        <v>33</v>
      </c>
      <c r="B19" s="28" t="s">
        <v>74</v>
      </c>
      <c r="C19" s="35"/>
      <c r="D19" s="28">
        <f>COUNTIFS(DataRegularSeason20242025!$E$2:$E$1315,TotalTeamGames20242025!C$1,DataRegularSeason20242025!$D$2:$D$1315,TotalTeamGames20242025!$A19,DataRegularSeason20242025!$N$2:$N$1315,1)</f>
        <v>0</v>
      </c>
      <c r="E19" s="35"/>
      <c r="F19" s="28">
        <f>COUNTIFS(DataRegularSeason20242025!$E$2:$E$1315,TotalTeamGames20242025!E$1,DataRegularSeason20242025!$D$2:$D$1315,TotalTeamGames20242025!$A19,DataRegularSeason20242025!$N$2:$N$1315,1)</f>
        <v>0</v>
      </c>
      <c r="G19" s="35"/>
      <c r="H19" s="28">
        <f>COUNTIFS(DataRegularSeason20242025!$E$2:$E$1315,TotalTeamGames20242025!G$1,DataRegularSeason20242025!$D$2:$D$1315,TotalTeamGames20242025!$A19,DataRegularSeason20242025!$N$2:$N$1315,1)</f>
        <v>0</v>
      </c>
      <c r="I19" s="35"/>
      <c r="J19" s="28">
        <f>COUNTIFS(DataRegularSeason20242025!$E$2:$E$1315,TotalTeamGames20242025!I$1,DataRegularSeason20242025!$D$2:$D$1315,TotalTeamGames20242025!$A19,DataRegularSeason20242025!$N$2:$N$1315,1)</f>
        <v>0</v>
      </c>
      <c r="K19" s="35"/>
      <c r="L19" s="28">
        <f>COUNTIFS(DataRegularSeason20242025!$E$2:$E$1315,TotalTeamGames20242025!K$1,DataRegularSeason20242025!$D$2:$D$1315,TotalTeamGames20242025!$A19,DataRegularSeason20242025!$N$2:$N$1315,1)</f>
        <v>0</v>
      </c>
      <c r="M19" s="35"/>
      <c r="N19" s="28">
        <f>COUNTIFS(DataRegularSeason20242025!$E$2:$E$1315,TotalTeamGames20242025!M$1,DataRegularSeason20242025!$D$2:$D$1315,TotalTeamGames20242025!$A19,DataRegularSeason20242025!$N$2:$N$1315,1)</f>
        <v>0</v>
      </c>
      <c r="O19" s="35"/>
      <c r="P19" s="28">
        <f>COUNTIFS(DataRegularSeason20242025!$E$2:$E$1315,TotalTeamGames20242025!O$1,DataRegularSeason20242025!$D$2:$D$1315,TotalTeamGames20242025!$A19,DataRegularSeason20242025!$N$2:$N$1315,1)</f>
        <v>0</v>
      </c>
      <c r="Q19" s="35"/>
      <c r="R19" s="28">
        <f>COUNTIFS(DataRegularSeason20242025!$E$2:$E$1315,TotalTeamGames20242025!Q$1,DataRegularSeason20242025!$D$2:$D$1315,TotalTeamGames20242025!$A19,DataRegularSeason20242025!$N$2:$N$1315,1)</f>
        <v>1</v>
      </c>
      <c r="S19" s="35"/>
      <c r="T19" s="36"/>
      <c r="U19" s="35"/>
      <c r="V19" s="28">
        <f>COUNTIFS(DataRegularSeason20242025!$E$2:$E$1315,TotalTeamGames20242025!U$1,DataRegularSeason20242025!$D$2:$D$1315,TotalTeamGames20242025!$A19,DataRegularSeason20242025!$N$2:$N$1315,1)</f>
        <v>0</v>
      </c>
      <c r="W19" s="35"/>
      <c r="X19" s="28">
        <f>COUNTIFS(DataRegularSeason20242025!$E$2:$E$1315,TotalTeamGames20242025!W$1,DataRegularSeason20242025!$D$2:$D$1315,TotalTeamGames20242025!$A19,DataRegularSeason20242025!$N$2:$N$1315,1)</f>
        <v>0</v>
      </c>
      <c r="Y19" s="35"/>
      <c r="Z19" s="28">
        <f>COUNTIFS(DataRegularSeason20242025!$E$2:$E$1315,TotalTeamGames20242025!Y$1,DataRegularSeason20242025!$D$2:$D$1315,TotalTeamGames20242025!$A19,DataRegularSeason20242025!$N$2:$N$1315,1)</f>
        <v>0</v>
      </c>
      <c r="AA19" s="35"/>
      <c r="AB19" s="28">
        <f>COUNTIFS(DataRegularSeason20242025!$E$2:$E$1315,TotalTeamGames20242025!AA$1,DataRegularSeason20242025!$D$2:$D$1315,TotalTeamGames20242025!$A19,DataRegularSeason20242025!$N$2:$N$1315,1)</f>
        <v>0</v>
      </c>
      <c r="AC19" s="35"/>
      <c r="AD19" s="28">
        <f>COUNTIFS(DataRegularSeason20242025!$E$2:$E$1315,TotalTeamGames20242025!AC$1,DataRegularSeason20242025!$D$2:$D$1315,TotalTeamGames20242025!$A19,DataRegularSeason20242025!$N$2:$N$1315,1)</f>
        <v>0</v>
      </c>
      <c r="AE19" s="35"/>
      <c r="AF19" s="28">
        <f>COUNTIFS(DataRegularSeason20242025!$E$2:$E$1315,TotalTeamGames20242025!AE$1,DataRegularSeason20242025!$D$2:$D$1315,TotalTeamGames20242025!$A19,DataRegularSeason20242025!$N$2:$N$1315,1)</f>
        <v>0</v>
      </c>
      <c r="AG19" s="35"/>
      <c r="AH19" s="28">
        <f>COUNTIFS(DataRegularSeason20242025!$E$2:$E$1315,TotalTeamGames20242025!AG$1,DataRegularSeason20242025!$D$2:$D$1315,TotalTeamGames20242025!$A19,DataRegularSeason20242025!$N$2:$N$1315,1)</f>
        <v>0</v>
      </c>
      <c r="AI19" s="35"/>
      <c r="AJ19" s="28">
        <f>COUNTIFS(DataRegularSeason20242025!$E$2:$E$1315,TotalTeamGames20242025!AI$1,DataRegularSeason20242025!$D$2:$D$1315,TotalTeamGames20242025!$A19,DataRegularSeason20242025!$N$2:$N$1315,1)</f>
        <v>0</v>
      </c>
      <c r="AK19" s="35"/>
      <c r="AL19" s="28">
        <f>COUNTIFS(DataRegularSeason20242025!$E$2:$E$1315,TotalTeamGames20242025!AK$1,DataRegularSeason20242025!$D$2:$D$1315,TotalTeamGames20242025!$A19,DataRegularSeason20242025!$N$2:$N$1315,1)</f>
        <v>0</v>
      </c>
      <c r="AM19" s="35"/>
      <c r="AN19" s="28">
        <f>COUNTIFS(DataRegularSeason20242025!$E$2:$E$1315,TotalTeamGames20242025!AM$1,DataRegularSeason20242025!$D$2:$D$1315,TotalTeamGames20242025!$A19,DataRegularSeason20242025!$N$2:$N$1315,1)</f>
        <v>0</v>
      </c>
      <c r="AO19" s="35"/>
      <c r="AP19" s="28">
        <f>COUNTIFS(DataRegularSeason20242025!$E$2:$E$1315,TotalTeamGames20242025!AO$1,DataRegularSeason20242025!$D$2:$D$1315,TotalTeamGames20242025!$A19,DataRegularSeason20242025!$N$2:$N$1315,1)</f>
        <v>0</v>
      </c>
      <c r="AQ19" s="35"/>
      <c r="AR19" s="28">
        <f>COUNTIFS(DataRegularSeason20242025!$E$2:$E$1315,TotalTeamGames20242025!AQ$1,DataRegularSeason20242025!$D$2:$D$1315,TotalTeamGames20242025!$A19,DataRegularSeason20242025!$N$2:$N$1315,1)</f>
        <v>0</v>
      </c>
      <c r="AS19" s="35"/>
      <c r="AT19" s="28">
        <f>COUNTIFS(DataRegularSeason20242025!$E$2:$E$1315,TotalTeamGames20242025!AS$1,DataRegularSeason20242025!$D$2:$D$1315,TotalTeamGames20242025!$A19,DataRegularSeason20242025!$N$2:$N$1315,1)</f>
        <v>0</v>
      </c>
      <c r="AU19" s="35"/>
      <c r="AV19" s="28">
        <f>COUNTIFS(DataRegularSeason20242025!$E$2:$E$1315,TotalTeamGames20242025!AU$1,DataRegularSeason20242025!$D$2:$D$1315,TotalTeamGames20242025!$A19,DataRegularSeason20242025!$N$2:$N$1315,1)</f>
        <v>0</v>
      </c>
      <c r="AW19" s="35"/>
      <c r="AX19" s="28">
        <f>COUNTIFS(DataRegularSeason20242025!$E$2:$E$1315,TotalTeamGames20242025!AW$1,DataRegularSeason20242025!$D$2:$D$1315,TotalTeamGames20242025!$A19,DataRegularSeason20242025!$N$2:$N$1315,1)</f>
        <v>0</v>
      </c>
      <c r="AY19" s="35"/>
      <c r="AZ19" s="28">
        <f>COUNTIFS(DataRegularSeason20242025!$E$2:$E$1315,TotalTeamGames20242025!AY$1,DataRegularSeason20242025!$D$2:$D$1315,TotalTeamGames20242025!$A19,DataRegularSeason20242025!$N$2:$N$1315,1)</f>
        <v>1</v>
      </c>
      <c r="BA19" s="35"/>
      <c r="BB19" s="28">
        <f>COUNTIFS(DataRegularSeason20242025!$E$2:$E$1315,TotalTeamGames20242025!BA$1,DataRegularSeason20242025!$D$2:$D$1315,TotalTeamGames20242025!$A19,DataRegularSeason20242025!$N$2:$N$1315,1)</f>
        <v>0</v>
      </c>
      <c r="BC19" s="35"/>
      <c r="BD19" s="28">
        <f>COUNTIFS(DataRegularSeason20242025!$E$2:$E$1315,TotalTeamGames20242025!BC$1,DataRegularSeason20242025!$D$2:$D$1315,TotalTeamGames20242025!$A19,DataRegularSeason20242025!$N$2:$N$1315,1)</f>
        <v>0</v>
      </c>
      <c r="BE19" s="35"/>
      <c r="BF19" s="28">
        <f>COUNTIFS(DataRegularSeason20242025!$E$2:$E$1315,TotalTeamGames20242025!BE$1,DataRegularSeason20242025!$D$2:$D$1315,TotalTeamGames20242025!$A19,DataRegularSeason20242025!$N$2:$N$1315,1)</f>
        <v>0</v>
      </c>
      <c r="BG19" s="35"/>
      <c r="BH19" s="28">
        <f>COUNTIFS(DataRegularSeason20242025!$E$2:$E$1315,TotalTeamGames20242025!BG$1,DataRegularSeason20242025!$D$2:$D$1315,TotalTeamGames20242025!$A19,DataRegularSeason20242025!$N$2:$N$1315,1)</f>
        <v>0</v>
      </c>
      <c r="BI19" s="35"/>
      <c r="BJ19" s="28">
        <f>COUNTIFS(DataRegularSeason20242025!$E$2:$E$1315,TotalTeamGames20242025!BI$1,DataRegularSeason20242025!$D$2:$D$1315,TotalTeamGames20242025!$A19,DataRegularSeason20242025!$N$2:$N$1315,1)</f>
        <v>0</v>
      </c>
      <c r="BK19" s="35"/>
      <c r="BL19" s="28">
        <f>COUNTIFS(DataRegularSeason20242025!$E$2:$E$1315,TotalTeamGames20242025!BK$1,DataRegularSeason20242025!$D$2:$D$1315,TotalTeamGames20242025!$A19,DataRegularSeason20242025!$N$2:$N$1315,1)</f>
        <v>1</v>
      </c>
      <c r="BM19" s="35"/>
      <c r="BN19" s="28">
        <f>COUNTIFS(DataRegularSeason20242025!$E$2:$E$1315,TotalTeamGames20242025!BM$1,DataRegularSeason20242025!$D$2:$D$1315,TotalTeamGames20242025!$A19,DataRegularSeason20242025!$N$2:$N$1315,1)</f>
        <v>0</v>
      </c>
      <c r="BO19" s="30">
        <f t="shared" si="0"/>
        <v>3</v>
      </c>
      <c r="BP19" s="165">
        <f t="shared" ref="BP19" si="15">BO19+BO20</f>
        <v>6</v>
      </c>
      <c r="BQ19" s="166">
        <f t="shared" ref="BQ19" si="16">82-BP19</f>
        <v>76</v>
      </c>
    </row>
    <row r="20" spans="1:69" ht="9.9499999999999993" customHeight="1" x14ac:dyDescent="0.25">
      <c r="A20" s="167"/>
      <c r="B20" s="32" t="s">
        <v>73</v>
      </c>
      <c r="C20" s="38">
        <f>COUNTIFS(DataRegularSeason20242025!$D$2:$D$1315,TotalTeamGames20242025!C$1,DataRegularSeason20242025!$E$2:$E$1315,TotalTeamGames20242025!$A19,DataRegularSeason20242025!$N$2:$N$1315,1)</f>
        <v>0</v>
      </c>
      <c r="D20" s="39"/>
      <c r="E20" s="38">
        <f>COUNTIFS(DataRegularSeason20242025!$D$2:$D$1315,TotalTeamGames20242025!E$1,DataRegularSeason20242025!$E$2:$E$1315,TotalTeamGames20242025!$A19,DataRegularSeason20242025!$N$2:$N$1315,1)</f>
        <v>0</v>
      </c>
      <c r="F20" s="39"/>
      <c r="G20" s="38">
        <f>COUNTIFS(DataRegularSeason20242025!$D$2:$D$1315,TotalTeamGames20242025!G$1,DataRegularSeason20242025!$E$2:$E$1315,TotalTeamGames20242025!$A19,DataRegularSeason20242025!$N$2:$N$1315,1)</f>
        <v>0</v>
      </c>
      <c r="H20" s="39"/>
      <c r="I20" s="38">
        <f>COUNTIFS(DataRegularSeason20242025!$D$2:$D$1315,TotalTeamGames20242025!I$1,DataRegularSeason20242025!$E$2:$E$1315,TotalTeamGames20242025!$A19,DataRegularSeason20242025!$N$2:$N$1315,1)</f>
        <v>0</v>
      </c>
      <c r="J20" s="39"/>
      <c r="K20" s="38">
        <f>COUNTIFS(DataRegularSeason20242025!$D$2:$D$1315,TotalTeamGames20242025!K$1,DataRegularSeason20242025!$E$2:$E$1315,TotalTeamGames20242025!$A19,DataRegularSeason20242025!$N$2:$N$1315,1)</f>
        <v>1</v>
      </c>
      <c r="L20" s="39"/>
      <c r="M20" s="38">
        <f>COUNTIFS(DataRegularSeason20242025!$D$2:$D$1315,TotalTeamGames20242025!M$1,DataRegularSeason20242025!$E$2:$E$1315,TotalTeamGames20242025!$A19,DataRegularSeason20242025!$N$2:$N$1315,1)</f>
        <v>0</v>
      </c>
      <c r="N20" s="39"/>
      <c r="O20" s="38">
        <f>COUNTIFS(DataRegularSeason20242025!$D$2:$D$1315,TotalTeamGames20242025!O$1,DataRegularSeason20242025!$E$2:$E$1315,TotalTeamGames20242025!$A19,DataRegularSeason20242025!$N$2:$N$1315,1)</f>
        <v>0</v>
      </c>
      <c r="P20" s="39"/>
      <c r="Q20" s="38">
        <f>COUNTIFS(DataRegularSeason20242025!$D$2:$D$1315,TotalTeamGames20242025!Q$1,DataRegularSeason20242025!$E$2:$E$1315,TotalTeamGames20242025!$A19,DataRegularSeason20242025!$N$2:$N$1315,1)</f>
        <v>0</v>
      </c>
      <c r="R20" s="39"/>
      <c r="S20" s="38"/>
      <c r="T20" s="39"/>
      <c r="U20" s="38">
        <f>COUNTIFS(DataRegularSeason20242025!$D$2:$D$1315,TotalTeamGames20242025!U$1,DataRegularSeason20242025!$E$2:$E$1315,TotalTeamGames20242025!$A19,DataRegularSeason20242025!$N$2:$N$1315,1)</f>
        <v>0</v>
      </c>
      <c r="V20" s="39"/>
      <c r="W20" s="38">
        <f>COUNTIFS(DataRegularSeason20242025!$D$2:$D$1315,TotalTeamGames20242025!W$1,DataRegularSeason20242025!$E$2:$E$1315,TotalTeamGames20242025!$A19,DataRegularSeason20242025!$N$2:$N$1315,1)</f>
        <v>0</v>
      </c>
      <c r="X20" s="39"/>
      <c r="Y20" s="38">
        <f>COUNTIFS(DataRegularSeason20242025!$D$2:$D$1315,TotalTeamGames20242025!Y$1,DataRegularSeason20242025!$E$2:$E$1315,TotalTeamGames20242025!$A19,DataRegularSeason20242025!$N$2:$N$1315,1)</f>
        <v>0</v>
      </c>
      <c r="Z20" s="39"/>
      <c r="AA20" s="38">
        <f>COUNTIFS(DataRegularSeason20242025!$D$2:$D$1315,TotalTeamGames20242025!AA$1,DataRegularSeason20242025!$E$2:$E$1315,TotalTeamGames20242025!$A19,DataRegularSeason20242025!$N$2:$N$1315,1)</f>
        <v>0</v>
      </c>
      <c r="AB20" s="39"/>
      <c r="AC20" s="38">
        <f>COUNTIFS(DataRegularSeason20242025!$D$2:$D$1315,TotalTeamGames20242025!AC$1,DataRegularSeason20242025!$E$2:$E$1315,TotalTeamGames20242025!$A19,DataRegularSeason20242025!$N$2:$N$1315,1)</f>
        <v>1</v>
      </c>
      <c r="AD20" s="39"/>
      <c r="AE20" s="38">
        <f>COUNTIFS(DataRegularSeason20242025!$D$2:$D$1315,TotalTeamGames20242025!AE$1,DataRegularSeason20242025!$E$2:$E$1315,TotalTeamGames20242025!$A19,DataRegularSeason20242025!$N$2:$N$1315,1)</f>
        <v>0</v>
      </c>
      <c r="AF20" s="39"/>
      <c r="AG20" s="38">
        <f>COUNTIFS(DataRegularSeason20242025!$D$2:$D$1315,TotalTeamGames20242025!AG$1,DataRegularSeason20242025!$E$2:$E$1315,TotalTeamGames20242025!$A19,DataRegularSeason20242025!$N$2:$N$1315,1)</f>
        <v>0</v>
      </c>
      <c r="AH20" s="39"/>
      <c r="AI20" s="38">
        <f>COUNTIFS(DataRegularSeason20242025!$D$2:$D$1315,TotalTeamGames20242025!AI$1,DataRegularSeason20242025!$E$2:$E$1315,TotalTeamGames20242025!$A19,DataRegularSeason20242025!$N$2:$N$1315,1)</f>
        <v>0</v>
      </c>
      <c r="AJ20" s="39"/>
      <c r="AK20" s="38">
        <f>COUNTIFS(DataRegularSeason20242025!$D$2:$D$1315,TotalTeamGames20242025!AK$1,DataRegularSeason20242025!$E$2:$E$1315,TotalTeamGames20242025!$A19,DataRegularSeason20242025!$N$2:$N$1315,1)</f>
        <v>0</v>
      </c>
      <c r="AL20" s="39"/>
      <c r="AM20" s="38">
        <f>COUNTIFS(DataRegularSeason20242025!$D$2:$D$1315,TotalTeamGames20242025!AM$1,DataRegularSeason20242025!$E$2:$E$1315,TotalTeamGames20242025!$A19,DataRegularSeason20242025!$N$2:$N$1315,1)</f>
        <v>0</v>
      </c>
      <c r="AN20" s="39"/>
      <c r="AO20" s="38">
        <f>COUNTIFS(DataRegularSeason20242025!$D$2:$D$1315,TotalTeamGames20242025!AO$1,DataRegularSeason20242025!$E$2:$E$1315,TotalTeamGames20242025!$A19,DataRegularSeason20242025!$N$2:$N$1315,1)</f>
        <v>0</v>
      </c>
      <c r="AP20" s="39"/>
      <c r="AQ20" s="38">
        <f>COUNTIFS(DataRegularSeason20242025!$D$2:$D$1315,TotalTeamGames20242025!AQ$1,DataRegularSeason20242025!$E$2:$E$1315,TotalTeamGames20242025!$A19,DataRegularSeason20242025!$N$2:$N$1315,1)</f>
        <v>0</v>
      </c>
      <c r="AR20" s="39"/>
      <c r="AS20" s="38">
        <f>COUNTIFS(DataRegularSeason20242025!$D$2:$D$1315,TotalTeamGames20242025!AS$1,DataRegularSeason20242025!$E$2:$E$1315,TotalTeamGames20242025!$A19,DataRegularSeason20242025!$N$2:$N$1315,1)</f>
        <v>0</v>
      </c>
      <c r="AT20" s="39"/>
      <c r="AU20" s="38">
        <f>COUNTIFS(DataRegularSeason20242025!$D$2:$D$1315,TotalTeamGames20242025!AU$1,DataRegularSeason20242025!$E$2:$E$1315,TotalTeamGames20242025!$A19,DataRegularSeason20242025!$N$2:$N$1315,1)</f>
        <v>0</v>
      </c>
      <c r="AV20" s="39"/>
      <c r="AW20" s="38">
        <f>COUNTIFS(DataRegularSeason20242025!$D$2:$D$1315,TotalTeamGames20242025!AW$1,DataRegularSeason20242025!$E$2:$E$1315,TotalTeamGames20242025!$A19,DataRegularSeason20242025!$N$2:$N$1315,1)</f>
        <v>0</v>
      </c>
      <c r="AX20" s="39"/>
      <c r="AY20" s="38">
        <f>COUNTIFS(DataRegularSeason20242025!$D$2:$D$1315,TotalTeamGames20242025!AY$1,DataRegularSeason20242025!$E$2:$E$1315,TotalTeamGames20242025!$A19,DataRegularSeason20242025!$N$2:$N$1315,1)</f>
        <v>0</v>
      </c>
      <c r="AZ20" s="39"/>
      <c r="BA20" s="38">
        <f>COUNTIFS(DataRegularSeason20242025!$D$2:$D$1315,TotalTeamGames20242025!BA$1,DataRegularSeason20242025!$E$2:$E$1315,TotalTeamGames20242025!$A19,DataRegularSeason20242025!$N$2:$N$1315,1)</f>
        <v>0</v>
      </c>
      <c r="BB20" s="39"/>
      <c r="BC20" s="38">
        <f>COUNTIFS(DataRegularSeason20242025!$D$2:$D$1315,TotalTeamGames20242025!BC$1,DataRegularSeason20242025!$E$2:$E$1315,TotalTeamGames20242025!$A19,DataRegularSeason20242025!$N$2:$N$1315,1)</f>
        <v>0</v>
      </c>
      <c r="BD20" s="39"/>
      <c r="BE20" s="38">
        <f>COUNTIFS(DataRegularSeason20242025!$D$2:$D$1315,TotalTeamGames20242025!BE$1,DataRegularSeason20242025!$E$2:$E$1315,TotalTeamGames20242025!$A19,DataRegularSeason20242025!$N$2:$N$1315,1)</f>
        <v>0</v>
      </c>
      <c r="BF20" s="39"/>
      <c r="BG20" s="38">
        <f>COUNTIFS(DataRegularSeason20242025!$D$2:$D$1315,TotalTeamGames20242025!BG$1,DataRegularSeason20242025!$E$2:$E$1315,TotalTeamGames20242025!$A19,DataRegularSeason20242025!$N$2:$N$1315,1)</f>
        <v>1</v>
      </c>
      <c r="BH20" s="39"/>
      <c r="BI20" s="38">
        <f>COUNTIFS(DataRegularSeason20242025!$D$2:$D$1315,TotalTeamGames20242025!BI$1,DataRegularSeason20242025!$E$2:$E$1315,TotalTeamGames20242025!$A19,DataRegularSeason20242025!$N$2:$N$1315,1)</f>
        <v>0</v>
      </c>
      <c r="BJ20" s="39"/>
      <c r="BK20" s="38">
        <f>COUNTIFS(DataRegularSeason20242025!$D$2:$D$1315,TotalTeamGames20242025!BK$1,DataRegularSeason20242025!$E$2:$E$1315,TotalTeamGames20242025!$A19,DataRegularSeason20242025!$N$2:$N$1315,1)</f>
        <v>0</v>
      </c>
      <c r="BL20" s="39"/>
      <c r="BM20" s="38">
        <f>COUNTIFS(DataRegularSeason20242025!$D$2:$D$1315,TotalTeamGames20242025!BM$1,DataRegularSeason20242025!$E$2:$E$1315,TotalTeamGames20242025!$A19,DataRegularSeason20242025!$N$2:$N$1315,1)</f>
        <v>0</v>
      </c>
      <c r="BN20" s="39"/>
      <c r="BO20" s="34">
        <f t="shared" si="0"/>
        <v>3</v>
      </c>
      <c r="BP20" s="165"/>
      <c r="BQ20" s="166"/>
    </row>
    <row r="21" spans="1:69" ht="9.9499999999999993" customHeight="1" x14ac:dyDescent="0.25">
      <c r="A21" s="172" t="s">
        <v>30</v>
      </c>
      <c r="B21" s="28" t="s">
        <v>74</v>
      </c>
      <c r="C21" s="35"/>
      <c r="D21" s="28">
        <f>COUNTIFS(DataRegularSeason20242025!$E$2:$E$1315,TotalTeamGames20242025!C$1,DataRegularSeason20242025!$D$2:$D$1315,TotalTeamGames20242025!$A21,DataRegularSeason20242025!$N$2:$N$1315,1)</f>
        <v>0</v>
      </c>
      <c r="E21" s="35"/>
      <c r="F21" s="28">
        <f>COUNTIFS(DataRegularSeason20242025!$E$2:$E$1315,TotalTeamGames20242025!E$1,DataRegularSeason20242025!$D$2:$D$1315,TotalTeamGames20242025!$A21,DataRegularSeason20242025!$N$2:$N$1315,1)</f>
        <v>0</v>
      </c>
      <c r="G21" s="35"/>
      <c r="H21" s="28">
        <f>COUNTIFS(DataRegularSeason20242025!$E$2:$E$1315,TotalTeamGames20242025!G$1,DataRegularSeason20242025!$D$2:$D$1315,TotalTeamGames20242025!$A21,DataRegularSeason20242025!$N$2:$N$1315,1)</f>
        <v>0</v>
      </c>
      <c r="I21" s="35"/>
      <c r="J21" s="28">
        <f>COUNTIFS(DataRegularSeason20242025!$E$2:$E$1315,TotalTeamGames20242025!I$1,DataRegularSeason20242025!$D$2:$D$1315,TotalTeamGames20242025!$A21,DataRegularSeason20242025!$N$2:$N$1315,1)</f>
        <v>0</v>
      </c>
      <c r="K21" s="35"/>
      <c r="L21" s="28">
        <f>COUNTIFS(DataRegularSeason20242025!$E$2:$E$1315,TotalTeamGames20242025!K$1,DataRegularSeason20242025!$D$2:$D$1315,TotalTeamGames20242025!$A21,DataRegularSeason20242025!$N$2:$N$1315,1)</f>
        <v>0</v>
      </c>
      <c r="M21" s="35"/>
      <c r="N21" s="28">
        <f>COUNTIFS(DataRegularSeason20242025!$E$2:$E$1315,TotalTeamGames20242025!M$1,DataRegularSeason20242025!$D$2:$D$1315,TotalTeamGames20242025!$A21,DataRegularSeason20242025!$N$2:$N$1315,1)</f>
        <v>0</v>
      </c>
      <c r="O21" s="35"/>
      <c r="P21" s="28">
        <f>COUNTIFS(DataRegularSeason20242025!$E$2:$E$1315,TotalTeamGames20242025!O$1,DataRegularSeason20242025!$D$2:$D$1315,TotalTeamGames20242025!$A21,DataRegularSeason20242025!$N$2:$N$1315,1)</f>
        <v>0</v>
      </c>
      <c r="Q21" s="35"/>
      <c r="R21" s="28">
        <f>COUNTIFS(DataRegularSeason20242025!$E$2:$E$1315,TotalTeamGames20242025!Q$1,DataRegularSeason20242025!$D$2:$D$1315,TotalTeamGames20242025!$A21,DataRegularSeason20242025!$N$2:$N$1315,1)</f>
        <v>0</v>
      </c>
      <c r="S21" s="35"/>
      <c r="T21" s="28">
        <f>COUNTIFS(DataRegularSeason20242025!$E$2:$E$1315,TotalTeamGames20242025!S$1,DataRegularSeason20242025!$D$2:$D$1315,TotalTeamGames20242025!$A21,DataRegularSeason20242025!$N$2:$N$1315,1)</f>
        <v>0</v>
      </c>
      <c r="U21" s="35"/>
      <c r="V21" s="36"/>
      <c r="W21" s="35"/>
      <c r="X21" s="28">
        <f>COUNTIFS(DataRegularSeason20242025!$E$2:$E$1315,TotalTeamGames20242025!W$1,DataRegularSeason20242025!$D$2:$D$1315,TotalTeamGames20242025!$A21,DataRegularSeason20242025!$N$2:$N$1315,1)</f>
        <v>0</v>
      </c>
      <c r="Y21" s="35"/>
      <c r="Z21" s="28">
        <f>COUNTIFS(DataRegularSeason20242025!$E$2:$E$1315,TotalTeamGames20242025!Y$1,DataRegularSeason20242025!$D$2:$D$1315,TotalTeamGames20242025!$A21,DataRegularSeason20242025!$N$2:$N$1315,1)</f>
        <v>0</v>
      </c>
      <c r="AA21" s="35"/>
      <c r="AB21" s="28">
        <f>COUNTIFS(DataRegularSeason20242025!$E$2:$E$1315,TotalTeamGames20242025!AA$1,DataRegularSeason20242025!$D$2:$D$1315,TotalTeamGames20242025!$A21,DataRegularSeason20242025!$N$2:$N$1315,1)</f>
        <v>0</v>
      </c>
      <c r="AC21" s="35"/>
      <c r="AD21" s="28">
        <f>COUNTIFS(DataRegularSeason20242025!$E$2:$E$1315,TotalTeamGames20242025!AC$1,DataRegularSeason20242025!$D$2:$D$1315,TotalTeamGames20242025!$A21,DataRegularSeason20242025!$N$2:$N$1315,1)</f>
        <v>0</v>
      </c>
      <c r="AE21" s="35"/>
      <c r="AF21" s="28">
        <f>COUNTIFS(DataRegularSeason20242025!$E$2:$E$1315,TotalTeamGames20242025!AE$1,DataRegularSeason20242025!$D$2:$D$1315,TotalTeamGames20242025!$A21,DataRegularSeason20242025!$N$2:$N$1315,1)</f>
        <v>0</v>
      </c>
      <c r="AG21" s="35"/>
      <c r="AH21" s="28">
        <f>COUNTIFS(DataRegularSeason20242025!$E$2:$E$1315,TotalTeamGames20242025!AG$1,DataRegularSeason20242025!$D$2:$D$1315,TotalTeamGames20242025!$A21,DataRegularSeason20242025!$N$2:$N$1315,1)</f>
        <v>0</v>
      </c>
      <c r="AI21" s="35"/>
      <c r="AJ21" s="28">
        <f>COUNTIFS(DataRegularSeason20242025!$E$2:$E$1315,TotalTeamGames20242025!AI$1,DataRegularSeason20242025!$D$2:$D$1315,TotalTeamGames20242025!$A21,DataRegularSeason20242025!$N$2:$N$1315,1)</f>
        <v>0</v>
      </c>
      <c r="AK21" s="35"/>
      <c r="AL21" s="28">
        <f>COUNTIFS(DataRegularSeason20242025!$E$2:$E$1315,TotalTeamGames20242025!AK$1,DataRegularSeason20242025!$D$2:$D$1315,TotalTeamGames20242025!$A21,DataRegularSeason20242025!$N$2:$N$1315,1)</f>
        <v>0</v>
      </c>
      <c r="AM21" s="35"/>
      <c r="AN21" s="28">
        <f>COUNTIFS(DataRegularSeason20242025!$E$2:$E$1315,TotalTeamGames20242025!AM$1,DataRegularSeason20242025!$D$2:$D$1315,TotalTeamGames20242025!$A21,DataRegularSeason20242025!$N$2:$N$1315,1)</f>
        <v>0</v>
      </c>
      <c r="AO21" s="35"/>
      <c r="AP21" s="28">
        <f>COUNTIFS(DataRegularSeason20242025!$E$2:$E$1315,TotalTeamGames20242025!AO$1,DataRegularSeason20242025!$D$2:$D$1315,TotalTeamGames20242025!$A21,DataRegularSeason20242025!$N$2:$N$1315,1)</f>
        <v>0</v>
      </c>
      <c r="AQ21" s="35"/>
      <c r="AR21" s="28">
        <f>COUNTIFS(DataRegularSeason20242025!$E$2:$E$1315,TotalTeamGames20242025!AQ$1,DataRegularSeason20242025!$D$2:$D$1315,TotalTeamGames20242025!$A21,DataRegularSeason20242025!$N$2:$N$1315,1)</f>
        <v>0</v>
      </c>
      <c r="AS21" s="35"/>
      <c r="AT21" s="28">
        <f>COUNTIFS(DataRegularSeason20242025!$E$2:$E$1315,TotalTeamGames20242025!AS$1,DataRegularSeason20242025!$D$2:$D$1315,TotalTeamGames20242025!$A21,DataRegularSeason20242025!$N$2:$N$1315,1)</f>
        <v>0</v>
      </c>
      <c r="AU21" s="35"/>
      <c r="AV21" s="28">
        <f>COUNTIFS(DataRegularSeason20242025!$E$2:$E$1315,TotalTeamGames20242025!AU$1,DataRegularSeason20242025!$D$2:$D$1315,TotalTeamGames20242025!$A21,DataRegularSeason20242025!$N$2:$N$1315,1)</f>
        <v>0</v>
      </c>
      <c r="AW21" s="35"/>
      <c r="AX21" s="28">
        <f>COUNTIFS(DataRegularSeason20242025!$E$2:$E$1315,TotalTeamGames20242025!AW$1,DataRegularSeason20242025!$D$2:$D$1315,TotalTeamGames20242025!$A21,DataRegularSeason20242025!$N$2:$N$1315,1)</f>
        <v>0</v>
      </c>
      <c r="AY21" s="35"/>
      <c r="AZ21" s="28">
        <f>COUNTIFS(DataRegularSeason20242025!$E$2:$E$1315,TotalTeamGames20242025!AY$1,DataRegularSeason20242025!$D$2:$D$1315,TotalTeamGames20242025!$A21,DataRegularSeason20242025!$N$2:$N$1315,1)</f>
        <v>0</v>
      </c>
      <c r="BA21" s="35"/>
      <c r="BB21" s="28">
        <f>COUNTIFS(DataRegularSeason20242025!$E$2:$E$1315,TotalTeamGames20242025!BA$1,DataRegularSeason20242025!$D$2:$D$1315,TotalTeamGames20242025!$A21,DataRegularSeason20242025!$N$2:$N$1315,1)</f>
        <v>0</v>
      </c>
      <c r="BC21" s="35"/>
      <c r="BD21" s="28">
        <f>COUNTIFS(DataRegularSeason20242025!$E$2:$E$1315,TotalTeamGames20242025!BC$1,DataRegularSeason20242025!$D$2:$D$1315,TotalTeamGames20242025!$A21,DataRegularSeason20242025!$N$2:$N$1315,1)</f>
        <v>1</v>
      </c>
      <c r="BE21" s="35"/>
      <c r="BF21" s="28">
        <f>COUNTIFS(DataRegularSeason20242025!$E$2:$E$1315,TotalTeamGames20242025!BE$1,DataRegularSeason20242025!$D$2:$D$1315,TotalTeamGames20242025!$A21,DataRegularSeason20242025!$N$2:$N$1315,1)</f>
        <v>0</v>
      </c>
      <c r="BG21" s="35"/>
      <c r="BH21" s="28">
        <f>COUNTIFS(DataRegularSeason20242025!$E$2:$E$1315,TotalTeamGames20242025!BG$1,DataRegularSeason20242025!$D$2:$D$1315,TotalTeamGames20242025!$A21,DataRegularSeason20242025!$N$2:$N$1315,1)</f>
        <v>0</v>
      </c>
      <c r="BI21" s="35"/>
      <c r="BJ21" s="28">
        <f>COUNTIFS(DataRegularSeason20242025!$E$2:$E$1315,TotalTeamGames20242025!BI$1,DataRegularSeason20242025!$D$2:$D$1315,TotalTeamGames20242025!$A21,DataRegularSeason20242025!$N$2:$N$1315,1)</f>
        <v>0</v>
      </c>
      <c r="BK21" s="35"/>
      <c r="BL21" s="28">
        <f>COUNTIFS(DataRegularSeason20242025!$E$2:$E$1315,TotalTeamGames20242025!BK$1,DataRegularSeason20242025!$D$2:$D$1315,TotalTeamGames20242025!$A21,DataRegularSeason20242025!$N$2:$N$1315,1)</f>
        <v>0</v>
      </c>
      <c r="BM21" s="35"/>
      <c r="BN21" s="28">
        <f>COUNTIFS(DataRegularSeason20242025!$E$2:$E$1315,TotalTeamGames20242025!BM$1,DataRegularSeason20242025!$D$2:$D$1315,TotalTeamGames20242025!$A21,DataRegularSeason20242025!$N$2:$N$1315,1)</f>
        <v>0</v>
      </c>
      <c r="BO21" s="30">
        <f t="shared" si="0"/>
        <v>1</v>
      </c>
      <c r="BP21" s="165">
        <f t="shared" ref="BP21" si="17">BO21+BO22</f>
        <v>6</v>
      </c>
      <c r="BQ21" s="166">
        <f t="shared" ref="BQ21" si="18">82-BP21</f>
        <v>76</v>
      </c>
    </row>
    <row r="22" spans="1:69" ht="9.9499999999999993" customHeight="1" x14ac:dyDescent="0.25">
      <c r="A22" s="167"/>
      <c r="B22" s="32" t="s">
        <v>73</v>
      </c>
      <c r="C22" s="38">
        <f>COUNTIFS(DataRegularSeason20242025!$D$2:$D$1315,TotalTeamGames20242025!C$1,DataRegularSeason20242025!$E$2:$E$1315,TotalTeamGames20242025!$A21,DataRegularSeason20242025!$N$2:$N$1315,1)</f>
        <v>0</v>
      </c>
      <c r="D22" s="39"/>
      <c r="E22" s="38">
        <f>COUNTIFS(DataRegularSeason20242025!$D$2:$D$1315,TotalTeamGames20242025!E$1,DataRegularSeason20242025!$E$2:$E$1315,TotalTeamGames20242025!$A21,DataRegularSeason20242025!$N$2:$N$1315,1)</f>
        <v>0</v>
      </c>
      <c r="F22" s="39"/>
      <c r="G22" s="38">
        <f>COUNTIFS(DataRegularSeason20242025!$D$2:$D$1315,TotalTeamGames20242025!G$1,DataRegularSeason20242025!$E$2:$E$1315,TotalTeamGames20242025!$A21,DataRegularSeason20242025!$N$2:$N$1315,1)</f>
        <v>0</v>
      </c>
      <c r="H22" s="39"/>
      <c r="I22" s="38">
        <f>COUNTIFS(DataRegularSeason20242025!$D$2:$D$1315,TotalTeamGames20242025!I$1,DataRegularSeason20242025!$E$2:$E$1315,TotalTeamGames20242025!$A21,DataRegularSeason20242025!$N$2:$N$1315,1)</f>
        <v>0</v>
      </c>
      <c r="J22" s="39"/>
      <c r="K22" s="38">
        <f>COUNTIFS(DataRegularSeason20242025!$D$2:$D$1315,TotalTeamGames20242025!K$1,DataRegularSeason20242025!$E$2:$E$1315,TotalTeamGames20242025!$A21,DataRegularSeason20242025!$N$2:$N$1315,1)</f>
        <v>0</v>
      </c>
      <c r="L22" s="39"/>
      <c r="M22" s="38">
        <f>COUNTIFS(DataRegularSeason20242025!$D$2:$D$1315,TotalTeamGames20242025!M$1,DataRegularSeason20242025!$E$2:$E$1315,TotalTeamGames20242025!$A21,DataRegularSeason20242025!$N$2:$N$1315,1)</f>
        <v>0</v>
      </c>
      <c r="N22" s="39"/>
      <c r="O22" s="38">
        <f>COUNTIFS(DataRegularSeason20242025!$D$2:$D$1315,TotalTeamGames20242025!O$1,DataRegularSeason20242025!$E$2:$E$1315,TotalTeamGames20242025!$A21,DataRegularSeason20242025!$N$2:$N$1315,1)</f>
        <v>0</v>
      </c>
      <c r="P22" s="39"/>
      <c r="Q22" s="38">
        <f>COUNTIFS(DataRegularSeason20242025!$D$2:$D$1315,TotalTeamGames20242025!Q$1,DataRegularSeason20242025!$E$2:$E$1315,TotalTeamGames20242025!$A21,DataRegularSeason20242025!$N$2:$N$1315,1)</f>
        <v>0</v>
      </c>
      <c r="R22" s="39"/>
      <c r="S22" s="38">
        <f>COUNTIFS(DataRegularSeason20242025!$D$2:$D$1315,TotalTeamGames20242025!S$1,DataRegularSeason20242025!$E$2:$E$1315,TotalTeamGames20242025!$A21,DataRegularSeason20242025!$N$2:$N$1315,1)</f>
        <v>0</v>
      </c>
      <c r="T22" s="39"/>
      <c r="U22" s="38"/>
      <c r="V22" s="39"/>
      <c r="W22" s="38">
        <f>COUNTIFS(DataRegularSeason20242025!$D$2:$D$1315,TotalTeamGames20242025!W$1,DataRegularSeason20242025!$E$2:$E$1315,TotalTeamGames20242025!$A21,DataRegularSeason20242025!$N$2:$N$1315,1)</f>
        <v>1</v>
      </c>
      <c r="X22" s="39"/>
      <c r="Y22" s="38">
        <f>COUNTIFS(DataRegularSeason20242025!$D$2:$D$1315,TotalTeamGames20242025!Y$1,DataRegularSeason20242025!$E$2:$E$1315,TotalTeamGames20242025!$A21,DataRegularSeason20242025!$N$2:$N$1315,1)</f>
        <v>1</v>
      </c>
      <c r="Z22" s="39"/>
      <c r="AA22" s="38">
        <f>COUNTIFS(DataRegularSeason20242025!$D$2:$D$1315,TotalTeamGames20242025!AA$1,DataRegularSeason20242025!$E$2:$E$1315,TotalTeamGames20242025!$A21,DataRegularSeason20242025!$N$2:$N$1315,1)</f>
        <v>0</v>
      </c>
      <c r="AB22" s="39"/>
      <c r="AC22" s="38">
        <f>COUNTIFS(DataRegularSeason20242025!$D$2:$D$1315,TotalTeamGames20242025!AC$1,DataRegularSeason20242025!$E$2:$E$1315,TotalTeamGames20242025!$A21,DataRegularSeason20242025!$N$2:$N$1315,1)</f>
        <v>0</v>
      </c>
      <c r="AD22" s="39"/>
      <c r="AE22" s="38">
        <f>COUNTIFS(DataRegularSeason20242025!$D$2:$D$1315,TotalTeamGames20242025!AE$1,DataRegularSeason20242025!$E$2:$E$1315,TotalTeamGames20242025!$A21,DataRegularSeason20242025!$N$2:$N$1315,1)</f>
        <v>1</v>
      </c>
      <c r="AF22" s="39"/>
      <c r="AG22" s="38">
        <f>COUNTIFS(DataRegularSeason20242025!$D$2:$D$1315,TotalTeamGames20242025!AG$1,DataRegularSeason20242025!$E$2:$E$1315,TotalTeamGames20242025!$A21,DataRegularSeason20242025!$N$2:$N$1315,1)</f>
        <v>0</v>
      </c>
      <c r="AH22" s="39"/>
      <c r="AI22" s="38">
        <f>COUNTIFS(DataRegularSeason20242025!$D$2:$D$1315,TotalTeamGames20242025!AI$1,DataRegularSeason20242025!$E$2:$E$1315,TotalTeamGames20242025!$A21,DataRegularSeason20242025!$N$2:$N$1315,1)</f>
        <v>0</v>
      </c>
      <c r="AJ22" s="39"/>
      <c r="AK22" s="38">
        <f>COUNTIFS(DataRegularSeason20242025!$D$2:$D$1315,TotalTeamGames20242025!AK$1,DataRegularSeason20242025!$E$2:$E$1315,TotalTeamGames20242025!$A21,DataRegularSeason20242025!$N$2:$N$1315,1)</f>
        <v>0</v>
      </c>
      <c r="AL22" s="39"/>
      <c r="AM22" s="38">
        <f>COUNTIFS(DataRegularSeason20242025!$D$2:$D$1315,TotalTeamGames20242025!AM$1,DataRegularSeason20242025!$E$2:$E$1315,TotalTeamGames20242025!$A21,DataRegularSeason20242025!$N$2:$N$1315,1)</f>
        <v>0</v>
      </c>
      <c r="AN22" s="39"/>
      <c r="AO22" s="38">
        <f>COUNTIFS(DataRegularSeason20242025!$D$2:$D$1315,TotalTeamGames20242025!AO$1,DataRegularSeason20242025!$E$2:$E$1315,TotalTeamGames20242025!$A21,DataRegularSeason20242025!$N$2:$N$1315,1)</f>
        <v>0</v>
      </c>
      <c r="AP22" s="39"/>
      <c r="AQ22" s="38">
        <f>COUNTIFS(DataRegularSeason20242025!$D$2:$D$1315,TotalTeamGames20242025!AQ$1,DataRegularSeason20242025!$E$2:$E$1315,TotalTeamGames20242025!$A21,DataRegularSeason20242025!$N$2:$N$1315,1)</f>
        <v>0</v>
      </c>
      <c r="AR22" s="39"/>
      <c r="AS22" s="38">
        <f>COUNTIFS(DataRegularSeason20242025!$D$2:$D$1315,TotalTeamGames20242025!AS$1,DataRegularSeason20242025!$E$2:$E$1315,TotalTeamGames20242025!$A21,DataRegularSeason20242025!$N$2:$N$1315,1)</f>
        <v>0</v>
      </c>
      <c r="AT22" s="39"/>
      <c r="AU22" s="38">
        <f>COUNTIFS(DataRegularSeason20242025!$D$2:$D$1315,TotalTeamGames20242025!AU$1,DataRegularSeason20242025!$E$2:$E$1315,TotalTeamGames20242025!$A21,DataRegularSeason20242025!$N$2:$N$1315,1)</f>
        <v>0</v>
      </c>
      <c r="AV22" s="39"/>
      <c r="AW22" s="38">
        <f>COUNTIFS(DataRegularSeason20242025!$D$2:$D$1315,TotalTeamGames20242025!AW$1,DataRegularSeason20242025!$E$2:$E$1315,TotalTeamGames20242025!$A21,DataRegularSeason20242025!$N$2:$N$1315,1)</f>
        <v>0</v>
      </c>
      <c r="AX22" s="39"/>
      <c r="AY22" s="38">
        <f>COUNTIFS(DataRegularSeason20242025!$D$2:$D$1315,TotalTeamGames20242025!AY$1,DataRegularSeason20242025!$E$2:$E$1315,TotalTeamGames20242025!$A21,DataRegularSeason20242025!$N$2:$N$1315,1)</f>
        <v>0</v>
      </c>
      <c r="AZ22" s="39"/>
      <c r="BA22" s="38">
        <f>COUNTIFS(DataRegularSeason20242025!$D$2:$D$1315,TotalTeamGames20242025!BA$1,DataRegularSeason20242025!$E$2:$E$1315,TotalTeamGames20242025!$A21,DataRegularSeason20242025!$N$2:$N$1315,1)</f>
        <v>1</v>
      </c>
      <c r="BB22" s="39"/>
      <c r="BC22" s="38">
        <f>COUNTIFS(DataRegularSeason20242025!$D$2:$D$1315,TotalTeamGames20242025!BC$1,DataRegularSeason20242025!$E$2:$E$1315,TotalTeamGames20242025!$A21,DataRegularSeason20242025!$N$2:$N$1315,1)</f>
        <v>1</v>
      </c>
      <c r="BD22" s="39"/>
      <c r="BE22" s="38">
        <f>COUNTIFS(DataRegularSeason20242025!$D$2:$D$1315,TotalTeamGames20242025!BE$1,DataRegularSeason20242025!$E$2:$E$1315,TotalTeamGames20242025!$A21,DataRegularSeason20242025!$N$2:$N$1315,1)</f>
        <v>0</v>
      </c>
      <c r="BF22" s="39"/>
      <c r="BG22" s="38">
        <f>COUNTIFS(DataRegularSeason20242025!$D$2:$D$1315,TotalTeamGames20242025!BG$1,DataRegularSeason20242025!$E$2:$E$1315,TotalTeamGames20242025!$A21,DataRegularSeason20242025!$N$2:$N$1315,1)</f>
        <v>0</v>
      </c>
      <c r="BH22" s="39"/>
      <c r="BI22" s="38">
        <f>COUNTIFS(DataRegularSeason20242025!$D$2:$D$1315,TotalTeamGames20242025!BI$1,DataRegularSeason20242025!$E$2:$E$1315,TotalTeamGames20242025!$A21,DataRegularSeason20242025!$N$2:$N$1315,1)</f>
        <v>0</v>
      </c>
      <c r="BJ22" s="39"/>
      <c r="BK22" s="38">
        <f>COUNTIFS(DataRegularSeason20242025!$D$2:$D$1315,TotalTeamGames20242025!BK$1,DataRegularSeason20242025!$E$2:$E$1315,TotalTeamGames20242025!$A21,DataRegularSeason20242025!$N$2:$N$1315,1)</f>
        <v>0</v>
      </c>
      <c r="BL22" s="39"/>
      <c r="BM22" s="38">
        <f>COUNTIFS(DataRegularSeason20242025!$D$2:$D$1315,TotalTeamGames20242025!BM$1,DataRegularSeason20242025!$E$2:$E$1315,TotalTeamGames20242025!$A21,DataRegularSeason20242025!$N$2:$N$1315,1)</f>
        <v>0</v>
      </c>
      <c r="BN22" s="39"/>
      <c r="BO22" s="34">
        <f t="shared" si="0"/>
        <v>5</v>
      </c>
      <c r="BP22" s="165"/>
      <c r="BQ22" s="166"/>
    </row>
    <row r="23" spans="1:69" ht="9.9499999999999993" customHeight="1" x14ac:dyDescent="0.25">
      <c r="A23" s="172" t="s">
        <v>22</v>
      </c>
      <c r="B23" s="28" t="s">
        <v>74</v>
      </c>
      <c r="C23" s="35"/>
      <c r="D23" s="28">
        <f>COUNTIFS(DataRegularSeason20242025!$E$2:$E$1315,TotalTeamGames20242025!C$1,DataRegularSeason20242025!$D$2:$D$1315,TotalTeamGames20242025!$A23,DataRegularSeason20242025!$N$2:$N$1315,1)</f>
        <v>0</v>
      </c>
      <c r="E23" s="35"/>
      <c r="F23" s="28">
        <f>COUNTIFS(DataRegularSeason20242025!$E$2:$E$1315,TotalTeamGames20242025!E$1,DataRegularSeason20242025!$D$2:$D$1315,TotalTeamGames20242025!$A23,DataRegularSeason20242025!$N$2:$N$1315,1)</f>
        <v>0</v>
      </c>
      <c r="G23" s="35"/>
      <c r="H23" s="28">
        <f>COUNTIFS(DataRegularSeason20242025!$E$2:$E$1315,TotalTeamGames20242025!G$1,DataRegularSeason20242025!$D$2:$D$1315,TotalTeamGames20242025!$A23,DataRegularSeason20242025!$N$2:$N$1315,1)</f>
        <v>0</v>
      </c>
      <c r="I23" s="35"/>
      <c r="J23" s="28">
        <f>COUNTIFS(DataRegularSeason20242025!$E$2:$E$1315,TotalTeamGames20242025!I$1,DataRegularSeason20242025!$D$2:$D$1315,TotalTeamGames20242025!$A23,DataRegularSeason20242025!$N$2:$N$1315,1)</f>
        <v>0</v>
      </c>
      <c r="K23" s="35"/>
      <c r="L23" s="28">
        <f>COUNTIFS(DataRegularSeason20242025!$E$2:$E$1315,TotalTeamGames20242025!K$1,DataRegularSeason20242025!$D$2:$D$1315,TotalTeamGames20242025!$A23,DataRegularSeason20242025!$N$2:$N$1315,1)</f>
        <v>0</v>
      </c>
      <c r="M23" s="35"/>
      <c r="N23" s="28">
        <f>COUNTIFS(DataRegularSeason20242025!$E$2:$E$1315,TotalTeamGames20242025!M$1,DataRegularSeason20242025!$D$2:$D$1315,TotalTeamGames20242025!$A23,DataRegularSeason20242025!$N$2:$N$1315,1)</f>
        <v>0</v>
      </c>
      <c r="O23" s="35"/>
      <c r="P23" s="28">
        <f>COUNTIFS(DataRegularSeason20242025!$E$2:$E$1315,TotalTeamGames20242025!O$1,DataRegularSeason20242025!$D$2:$D$1315,TotalTeamGames20242025!$A23,DataRegularSeason20242025!$N$2:$N$1315,1)</f>
        <v>0</v>
      </c>
      <c r="Q23" s="35"/>
      <c r="R23" s="28">
        <f>COUNTIFS(DataRegularSeason20242025!$E$2:$E$1315,TotalTeamGames20242025!Q$1,DataRegularSeason20242025!$D$2:$D$1315,TotalTeamGames20242025!$A23,DataRegularSeason20242025!$N$2:$N$1315,1)</f>
        <v>0</v>
      </c>
      <c r="S23" s="35"/>
      <c r="T23" s="28">
        <f>COUNTIFS(DataRegularSeason20242025!$E$2:$E$1315,TotalTeamGames20242025!S$1,DataRegularSeason20242025!$D$2:$D$1315,TotalTeamGames20242025!$A23,DataRegularSeason20242025!$N$2:$N$1315,1)</f>
        <v>0</v>
      </c>
      <c r="U23" s="35"/>
      <c r="V23" s="28">
        <f>COUNTIFS(DataRegularSeason20242025!$E$2:$E$1315,TotalTeamGames20242025!U$1,DataRegularSeason20242025!$D$2:$D$1315,TotalTeamGames20242025!$A23,DataRegularSeason20242025!$N$2:$N$1315,1)</f>
        <v>1</v>
      </c>
      <c r="W23" s="35"/>
      <c r="X23" s="36"/>
      <c r="Y23" s="35"/>
      <c r="Z23" s="28">
        <f>COUNTIFS(DataRegularSeason20242025!$E$2:$E$1315,TotalTeamGames20242025!Y$1,DataRegularSeason20242025!$D$2:$D$1315,TotalTeamGames20242025!$A23,DataRegularSeason20242025!$N$2:$N$1315,1)</f>
        <v>0</v>
      </c>
      <c r="AA23" s="35"/>
      <c r="AB23" s="28">
        <f>COUNTIFS(DataRegularSeason20242025!$E$2:$E$1315,TotalTeamGames20242025!AA$1,DataRegularSeason20242025!$D$2:$D$1315,TotalTeamGames20242025!$A23,DataRegularSeason20242025!$N$2:$N$1315,1)</f>
        <v>0</v>
      </c>
      <c r="AC23" s="35"/>
      <c r="AD23" s="28">
        <f>COUNTIFS(DataRegularSeason20242025!$E$2:$E$1315,TotalTeamGames20242025!AC$1,DataRegularSeason20242025!$D$2:$D$1315,TotalTeamGames20242025!$A23,DataRegularSeason20242025!$N$2:$N$1315,1)</f>
        <v>0</v>
      </c>
      <c r="AE23" s="35"/>
      <c r="AF23" s="28">
        <f>COUNTIFS(DataRegularSeason20242025!$E$2:$E$1315,TotalTeamGames20242025!AE$1,DataRegularSeason20242025!$D$2:$D$1315,TotalTeamGames20242025!$A23,DataRegularSeason20242025!$N$2:$N$1315,1)</f>
        <v>0</v>
      </c>
      <c r="AG23" s="35"/>
      <c r="AH23" s="28">
        <f>COUNTIFS(DataRegularSeason20242025!$E$2:$E$1315,TotalTeamGames20242025!AG$1,DataRegularSeason20242025!$D$2:$D$1315,TotalTeamGames20242025!$A23,DataRegularSeason20242025!$N$2:$N$1315,1)</f>
        <v>1</v>
      </c>
      <c r="AI23" s="35"/>
      <c r="AJ23" s="28">
        <f>COUNTIFS(DataRegularSeason20242025!$E$2:$E$1315,TotalTeamGames20242025!AI$1,DataRegularSeason20242025!$D$2:$D$1315,TotalTeamGames20242025!$A23,DataRegularSeason20242025!$N$2:$N$1315,1)</f>
        <v>0</v>
      </c>
      <c r="AK23" s="35"/>
      <c r="AL23" s="28">
        <f>COUNTIFS(DataRegularSeason20242025!$E$2:$E$1315,TotalTeamGames20242025!AK$1,DataRegularSeason20242025!$D$2:$D$1315,TotalTeamGames20242025!$A23,DataRegularSeason20242025!$N$2:$N$1315,1)</f>
        <v>1</v>
      </c>
      <c r="AM23" s="35"/>
      <c r="AN23" s="28">
        <f>COUNTIFS(DataRegularSeason20242025!$E$2:$E$1315,TotalTeamGames20242025!AM$1,DataRegularSeason20242025!$D$2:$D$1315,TotalTeamGames20242025!$A23,DataRegularSeason20242025!$N$2:$N$1315,1)</f>
        <v>1</v>
      </c>
      <c r="AO23" s="35"/>
      <c r="AP23" s="28">
        <f>COUNTIFS(DataRegularSeason20242025!$E$2:$E$1315,TotalTeamGames20242025!AO$1,DataRegularSeason20242025!$D$2:$D$1315,TotalTeamGames20242025!$A23,DataRegularSeason20242025!$N$2:$N$1315,1)</f>
        <v>1</v>
      </c>
      <c r="AQ23" s="35"/>
      <c r="AR23" s="28">
        <f>COUNTIFS(DataRegularSeason20242025!$E$2:$E$1315,TotalTeamGames20242025!AQ$1,DataRegularSeason20242025!$D$2:$D$1315,TotalTeamGames20242025!$A23,DataRegularSeason20242025!$N$2:$N$1315,1)</f>
        <v>0</v>
      </c>
      <c r="AS23" s="35"/>
      <c r="AT23" s="28">
        <f>COUNTIFS(DataRegularSeason20242025!$E$2:$E$1315,TotalTeamGames20242025!AS$1,DataRegularSeason20242025!$D$2:$D$1315,TotalTeamGames20242025!$A23,DataRegularSeason20242025!$N$2:$N$1315,1)</f>
        <v>0</v>
      </c>
      <c r="AU23" s="35"/>
      <c r="AV23" s="28">
        <f>COUNTIFS(DataRegularSeason20242025!$E$2:$E$1315,TotalTeamGames20242025!AU$1,DataRegularSeason20242025!$D$2:$D$1315,TotalTeamGames20242025!$A23,DataRegularSeason20242025!$N$2:$N$1315,1)</f>
        <v>0</v>
      </c>
      <c r="AW23" s="35"/>
      <c r="AX23" s="28">
        <f>COUNTIFS(DataRegularSeason20242025!$E$2:$E$1315,TotalTeamGames20242025!AW$1,DataRegularSeason20242025!$D$2:$D$1315,TotalTeamGames20242025!$A23,DataRegularSeason20242025!$N$2:$N$1315,1)</f>
        <v>0</v>
      </c>
      <c r="AY23" s="35"/>
      <c r="AZ23" s="28">
        <f>COUNTIFS(DataRegularSeason20242025!$E$2:$E$1315,TotalTeamGames20242025!AY$1,DataRegularSeason20242025!$D$2:$D$1315,TotalTeamGames20242025!$A23,DataRegularSeason20242025!$N$2:$N$1315,1)</f>
        <v>0</v>
      </c>
      <c r="BA23" s="35"/>
      <c r="BB23" s="28">
        <f>COUNTIFS(DataRegularSeason20242025!$E$2:$E$1315,TotalTeamGames20242025!BA$1,DataRegularSeason20242025!$D$2:$D$1315,TotalTeamGames20242025!$A23,DataRegularSeason20242025!$N$2:$N$1315,1)</f>
        <v>0</v>
      </c>
      <c r="BC23" s="35"/>
      <c r="BD23" s="28">
        <f>COUNTIFS(DataRegularSeason20242025!$E$2:$E$1315,TotalTeamGames20242025!BC$1,DataRegularSeason20242025!$D$2:$D$1315,TotalTeamGames20242025!$A23,DataRegularSeason20242025!$N$2:$N$1315,1)</f>
        <v>0</v>
      </c>
      <c r="BE23" s="35"/>
      <c r="BF23" s="28">
        <f>COUNTIFS(DataRegularSeason20242025!$E$2:$E$1315,TotalTeamGames20242025!BE$1,DataRegularSeason20242025!$D$2:$D$1315,TotalTeamGames20242025!$A23,DataRegularSeason20242025!$N$2:$N$1315,1)</f>
        <v>0</v>
      </c>
      <c r="BG23" s="35"/>
      <c r="BH23" s="28">
        <f>COUNTIFS(DataRegularSeason20242025!$E$2:$E$1315,TotalTeamGames20242025!BG$1,DataRegularSeason20242025!$D$2:$D$1315,TotalTeamGames20242025!$A23,DataRegularSeason20242025!$N$2:$N$1315,1)</f>
        <v>0</v>
      </c>
      <c r="BI23" s="35"/>
      <c r="BJ23" s="28">
        <f>COUNTIFS(DataRegularSeason20242025!$E$2:$E$1315,TotalTeamGames20242025!BI$1,DataRegularSeason20242025!$D$2:$D$1315,TotalTeamGames20242025!$A23,DataRegularSeason20242025!$N$2:$N$1315,1)</f>
        <v>0</v>
      </c>
      <c r="BK23" s="35"/>
      <c r="BL23" s="28">
        <f>COUNTIFS(DataRegularSeason20242025!$E$2:$E$1315,TotalTeamGames20242025!BK$1,DataRegularSeason20242025!$D$2:$D$1315,TotalTeamGames20242025!$A23,DataRegularSeason20242025!$N$2:$N$1315,1)</f>
        <v>0</v>
      </c>
      <c r="BM23" s="35"/>
      <c r="BN23" s="28">
        <f>COUNTIFS(DataRegularSeason20242025!$E$2:$E$1315,TotalTeamGames20242025!BM$1,DataRegularSeason20242025!$D$2:$D$1315,TotalTeamGames20242025!$A23,DataRegularSeason20242025!$N$2:$N$1315,1)</f>
        <v>0</v>
      </c>
      <c r="BO23" s="30">
        <f t="shared" si="0"/>
        <v>5</v>
      </c>
      <c r="BP23" s="165">
        <f t="shared" ref="BP23" si="19">BO23+BO24</f>
        <v>7</v>
      </c>
      <c r="BQ23" s="166">
        <f t="shared" ref="BQ23" si="20">82-BP23</f>
        <v>75</v>
      </c>
    </row>
    <row r="24" spans="1:69" ht="9.9499999999999993" customHeight="1" x14ac:dyDescent="0.25">
      <c r="A24" s="167"/>
      <c r="B24" s="32" t="s">
        <v>73</v>
      </c>
      <c r="C24" s="38">
        <f>COUNTIFS(DataRegularSeason20242025!$D$2:$D$1315,TotalTeamGames20242025!C$1,DataRegularSeason20242025!$E$2:$E$1315,TotalTeamGames20242025!$A23,DataRegularSeason20242025!$N$2:$N$1315,1)</f>
        <v>0</v>
      </c>
      <c r="D24" s="39"/>
      <c r="E24" s="38">
        <f>COUNTIFS(DataRegularSeason20242025!$D$2:$D$1315,TotalTeamGames20242025!E$1,DataRegularSeason20242025!$E$2:$E$1315,TotalTeamGames20242025!$A23,DataRegularSeason20242025!$N$2:$N$1315,1)</f>
        <v>0</v>
      </c>
      <c r="F24" s="39"/>
      <c r="G24" s="38">
        <f>COUNTIFS(DataRegularSeason20242025!$D$2:$D$1315,TotalTeamGames20242025!G$1,DataRegularSeason20242025!$E$2:$E$1315,TotalTeamGames20242025!$A23,DataRegularSeason20242025!$N$2:$N$1315,1)</f>
        <v>0</v>
      </c>
      <c r="H24" s="39"/>
      <c r="I24" s="38">
        <f>COUNTIFS(DataRegularSeason20242025!$D$2:$D$1315,TotalTeamGames20242025!I$1,DataRegularSeason20242025!$E$2:$E$1315,TotalTeamGames20242025!$A23,DataRegularSeason20242025!$N$2:$N$1315,1)</f>
        <v>0</v>
      </c>
      <c r="J24" s="39"/>
      <c r="K24" s="38">
        <f>COUNTIFS(DataRegularSeason20242025!$D$2:$D$1315,TotalTeamGames20242025!K$1,DataRegularSeason20242025!$E$2:$E$1315,TotalTeamGames20242025!$A23,DataRegularSeason20242025!$N$2:$N$1315,1)</f>
        <v>0</v>
      </c>
      <c r="L24" s="39"/>
      <c r="M24" s="38">
        <f>COUNTIFS(DataRegularSeason20242025!$D$2:$D$1315,TotalTeamGames20242025!M$1,DataRegularSeason20242025!$E$2:$E$1315,TotalTeamGames20242025!$A23,DataRegularSeason20242025!$N$2:$N$1315,1)</f>
        <v>1</v>
      </c>
      <c r="N24" s="39"/>
      <c r="O24" s="38">
        <f>COUNTIFS(DataRegularSeason20242025!$D$2:$D$1315,TotalTeamGames20242025!O$1,DataRegularSeason20242025!$E$2:$E$1315,TotalTeamGames20242025!$A23,DataRegularSeason20242025!$N$2:$N$1315,1)</f>
        <v>0</v>
      </c>
      <c r="P24" s="39"/>
      <c r="Q24" s="38">
        <f>COUNTIFS(DataRegularSeason20242025!$D$2:$D$1315,TotalTeamGames20242025!Q$1,DataRegularSeason20242025!$E$2:$E$1315,TotalTeamGames20242025!$A23,DataRegularSeason20242025!$N$2:$N$1315,1)</f>
        <v>0</v>
      </c>
      <c r="R24" s="39"/>
      <c r="S24" s="38">
        <f>COUNTIFS(DataRegularSeason20242025!$D$2:$D$1315,TotalTeamGames20242025!S$1,DataRegularSeason20242025!$E$2:$E$1315,TotalTeamGames20242025!$A23,DataRegularSeason20242025!$N$2:$N$1315,1)</f>
        <v>0</v>
      </c>
      <c r="T24" s="39"/>
      <c r="U24" s="38">
        <f>COUNTIFS(DataRegularSeason20242025!$D$2:$D$1315,TotalTeamGames20242025!U$1,DataRegularSeason20242025!$E$2:$E$1315,TotalTeamGames20242025!$A23,DataRegularSeason20242025!$N$2:$N$1315,1)</f>
        <v>0</v>
      </c>
      <c r="V24" s="39"/>
      <c r="W24" s="38"/>
      <c r="X24" s="39"/>
      <c r="Y24" s="38">
        <f>COUNTIFS(DataRegularSeason20242025!$D$2:$D$1315,TotalTeamGames20242025!Y$1,DataRegularSeason20242025!$E$2:$E$1315,TotalTeamGames20242025!$A23,DataRegularSeason20242025!$N$2:$N$1315,1)</f>
        <v>0</v>
      </c>
      <c r="Z24" s="39"/>
      <c r="AA24" s="38">
        <f>COUNTIFS(DataRegularSeason20242025!$D$2:$D$1315,TotalTeamGames20242025!AA$1,DataRegularSeason20242025!$E$2:$E$1315,TotalTeamGames20242025!$A23,DataRegularSeason20242025!$N$2:$N$1315,1)</f>
        <v>0</v>
      </c>
      <c r="AB24" s="39"/>
      <c r="AC24" s="38">
        <f>COUNTIFS(DataRegularSeason20242025!$D$2:$D$1315,TotalTeamGames20242025!AC$1,DataRegularSeason20242025!$E$2:$E$1315,TotalTeamGames20242025!$A23,DataRegularSeason20242025!$N$2:$N$1315,1)</f>
        <v>0</v>
      </c>
      <c r="AD24" s="39"/>
      <c r="AE24" s="38">
        <f>COUNTIFS(DataRegularSeason20242025!$D$2:$D$1315,TotalTeamGames20242025!AE$1,DataRegularSeason20242025!$E$2:$E$1315,TotalTeamGames20242025!$A23,DataRegularSeason20242025!$N$2:$N$1315,1)</f>
        <v>0</v>
      </c>
      <c r="AF24" s="39"/>
      <c r="AG24" s="38">
        <f>COUNTIFS(DataRegularSeason20242025!$D$2:$D$1315,TotalTeamGames20242025!AG$1,DataRegularSeason20242025!$E$2:$E$1315,TotalTeamGames20242025!$A23,DataRegularSeason20242025!$N$2:$N$1315,1)</f>
        <v>0</v>
      </c>
      <c r="AH24" s="39"/>
      <c r="AI24" s="38">
        <f>COUNTIFS(DataRegularSeason20242025!$D$2:$D$1315,TotalTeamGames20242025!AI$1,DataRegularSeason20242025!$E$2:$E$1315,TotalTeamGames20242025!$A23,DataRegularSeason20242025!$N$2:$N$1315,1)</f>
        <v>0</v>
      </c>
      <c r="AJ24" s="39"/>
      <c r="AK24" s="38">
        <f>COUNTIFS(DataRegularSeason20242025!$D$2:$D$1315,TotalTeamGames20242025!AK$1,DataRegularSeason20242025!$E$2:$E$1315,TotalTeamGames20242025!$A23,DataRegularSeason20242025!$N$2:$N$1315,1)</f>
        <v>0</v>
      </c>
      <c r="AL24" s="39"/>
      <c r="AM24" s="38">
        <f>COUNTIFS(DataRegularSeason20242025!$D$2:$D$1315,TotalTeamGames20242025!AM$1,DataRegularSeason20242025!$E$2:$E$1315,TotalTeamGames20242025!$A23,DataRegularSeason20242025!$N$2:$N$1315,1)</f>
        <v>0</v>
      </c>
      <c r="AN24" s="39"/>
      <c r="AO24" s="38">
        <f>COUNTIFS(DataRegularSeason20242025!$D$2:$D$1315,TotalTeamGames20242025!AO$1,DataRegularSeason20242025!$E$2:$E$1315,TotalTeamGames20242025!$A23,DataRegularSeason20242025!$N$2:$N$1315,1)</f>
        <v>0</v>
      </c>
      <c r="AP24" s="39"/>
      <c r="AQ24" s="38">
        <f>COUNTIFS(DataRegularSeason20242025!$D$2:$D$1315,TotalTeamGames20242025!AQ$1,DataRegularSeason20242025!$E$2:$E$1315,TotalTeamGames20242025!$A23,DataRegularSeason20242025!$N$2:$N$1315,1)</f>
        <v>0</v>
      </c>
      <c r="AR24" s="39"/>
      <c r="AS24" s="38">
        <f>COUNTIFS(DataRegularSeason20242025!$D$2:$D$1315,TotalTeamGames20242025!AS$1,DataRegularSeason20242025!$E$2:$E$1315,TotalTeamGames20242025!$A23,DataRegularSeason20242025!$N$2:$N$1315,1)</f>
        <v>0</v>
      </c>
      <c r="AT24" s="39"/>
      <c r="AU24" s="38">
        <f>COUNTIFS(DataRegularSeason20242025!$D$2:$D$1315,TotalTeamGames20242025!AU$1,DataRegularSeason20242025!$E$2:$E$1315,TotalTeamGames20242025!$A23,DataRegularSeason20242025!$N$2:$N$1315,1)</f>
        <v>0</v>
      </c>
      <c r="AV24" s="39"/>
      <c r="AW24" s="38">
        <f>COUNTIFS(DataRegularSeason20242025!$D$2:$D$1315,TotalTeamGames20242025!AW$1,DataRegularSeason20242025!$E$2:$E$1315,TotalTeamGames20242025!$A23,DataRegularSeason20242025!$N$2:$N$1315,1)</f>
        <v>0</v>
      </c>
      <c r="AX24" s="39"/>
      <c r="AY24" s="38">
        <f>COUNTIFS(DataRegularSeason20242025!$D$2:$D$1315,TotalTeamGames20242025!AY$1,DataRegularSeason20242025!$E$2:$E$1315,TotalTeamGames20242025!$A23,DataRegularSeason20242025!$N$2:$N$1315,1)</f>
        <v>0</v>
      </c>
      <c r="AZ24" s="39"/>
      <c r="BA24" s="38">
        <f>COUNTIFS(DataRegularSeason20242025!$D$2:$D$1315,TotalTeamGames20242025!BA$1,DataRegularSeason20242025!$E$2:$E$1315,TotalTeamGames20242025!$A23,DataRegularSeason20242025!$N$2:$N$1315,1)</f>
        <v>0</v>
      </c>
      <c r="BB24" s="39"/>
      <c r="BC24" s="38">
        <f>COUNTIFS(DataRegularSeason20242025!$D$2:$D$1315,TotalTeamGames20242025!BC$1,DataRegularSeason20242025!$E$2:$E$1315,TotalTeamGames20242025!$A23,DataRegularSeason20242025!$N$2:$N$1315,1)</f>
        <v>0</v>
      </c>
      <c r="BD24" s="39"/>
      <c r="BE24" s="38">
        <f>COUNTIFS(DataRegularSeason20242025!$D$2:$D$1315,TotalTeamGames20242025!BE$1,DataRegularSeason20242025!$E$2:$E$1315,TotalTeamGames20242025!$A23,DataRegularSeason20242025!$N$2:$N$1315,1)</f>
        <v>0</v>
      </c>
      <c r="BF24" s="39"/>
      <c r="BG24" s="38">
        <f>COUNTIFS(DataRegularSeason20242025!$D$2:$D$1315,TotalTeamGames20242025!BG$1,DataRegularSeason20242025!$E$2:$E$1315,TotalTeamGames20242025!$A23,DataRegularSeason20242025!$N$2:$N$1315,1)</f>
        <v>1</v>
      </c>
      <c r="BH24" s="39"/>
      <c r="BI24" s="38">
        <f>COUNTIFS(DataRegularSeason20242025!$D$2:$D$1315,TotalTeamGames20242025!BI$1,DataRegularSeason20242025!$E$2:$E$1315,TotalTeamGames20242025!$A23,DataRegularSeason20242025!$N$2:$N$1315,1)</f>
        <v>0</v>
      </c>
      <c r="BJ24" s="39"/>
      <c r="BK24" s="38">
        <f>COUNTIFS(DataRegularSeason20242025!$D$2:$D$1315,TotalTeamGames20242025!BK$1,DataRegularSeason20242025!$E$2:$E$1315,TotalTeamGames20242025!$A23,DataRegularSeason20242025!$N$2:$N$1315,1)</f>
        <v>0</v>
      </c>
      <c r="BL24" s="39"/>
      <c r="BM24" s="38">
        <f>COUNTIFS(DataRegularSeason20242025!$D$2:$D$1315,TotalTeamGames20242025!BM$1,DataRegularSeason20242025!$E$2:$E$1315,TotalTeamGames20242025!$A23,DataRegularSeason20242025!$N$2:$N$1315,1)</f>
        <v>0</v>
      </c>
      <c r="BN24" s="39"/>
      <c r="BO24" s="34">
        <f t="shared" si="0"/>
        <v>2</v>
      </c>
      <c r="BP24" s="165"/>
      <c r="BQ24" s="166"/>
    </row>
    <row r="25" spans="1:69" ht="9.9499999999999993" customHeight="1" x14ac:dyDescent="0.25">
      <c r="A25" s="172" t="s">
        <v>13</v>
      </c>
      <c r="B25" s="28" t="s">
        <v>74</v>
      </c>
      <c r="C25" s="35"/>
      <c r="D25" s="28">
        <f>COUNTIFS(DataRegularSeason20242025!$E$2:$E$1315,TotalTeamGames20242025!C$1,DataRegularSeason20242025!$D$2:$D$1315,TotalTeamGames20242025!$A25,DataRegularSeason20242025!$N$2:$N$1315,1)</f>
        <v>0</v>
      </c>
      <c r="E25" s="35"/>
      <c r="F25" s="28">
        <f>COUNTIFS(DataRegularSeason20242025!$E$2:$E$1315,TotalTeamGames20242025!E$1,DataRegularSeason20242025!$D$2:$D$1315,TotalTeamGames20242025!$A25,DataRegularSeason20242025!$N$2:$N$1315,1)</f>
        <v>1</v>
      </c>
      <c r="G25" s="35"/>
      <c r="H25" s="28">
        <f>COUNTIFS(DataRegularSeason20242025!$E$2:$E$1315,TotalTeamGames20242025!G$1,DataRegularSeason20242025!$D$2:$D$1315,TotalTeamGames20242025!$A25,DataRegularSeason20242025!$N$2:$N$1315,1)</f>
        <v>1</v>
      </c>
      <c r="I25" s="35"/>
      <c r="J25" s="28">
        <f>COUNTIFS(DataRegularSeason20242025!$E$2:$E$1315,TotalTeamGames20242025!I$1,DataRegularSeason20242025!$D$2:$D$1315,TotalTeamGames20242025!$A25,DataRegularSeason20242025!$N$2:$N$1315,1)</f>
        <v>0</v>
      </c>
      <c r="K25" s="35"/>
      <c r="L25" s="28">
        <f>COUNTIFS(DataRegularSeason20242025!$E$2:$E$1315,TotalTeamGames20242025!K$1,DataRegularSeason20242025!$D$2:$D$1315,TotalTeamGames20242025!$A25,DataRegularSeason20242025!$N$2:$N$1315,1)</f>
        <v>0</v>
      </c>
      <c r="M25" s="35"/>
      <c r="N25" s="28">
        <f>COUNTIFS(DataRegularSeason20242025!$E$2:$E$1315,TotalTeamGames20242025!M$1,DataRegularSeason20242025!$D$2:$D$1315,TotalTeamGames20242025!$A25,DataRegularSeason20242025!$N$2:$N$1315,1)</f>
        <v>0</v>
      </c>
      <c r="O25" s="35"/>
      <c r="P25" s="28">
        <f>COUNTIFS(DataRegularSeason20242025!$E$2:$E$1315,TotalTeamGames20242025!O$1,DataRegularSeason20242025!$D$2:$D$1315,TotalTeamGames20242025!$A25,DataRegularSeason20242025!$N$2:$N$1315,1)</f>
        <v>0</v>
      </c>
      <c r="Q25" s="35"/>
      <c r="R25" s="28">
        <f>COUNTIFS(DataRegularSeason20242025!$E$2:$E$1315,TotalTeamGames20242025!Q$1,DataRegularSeason20242025!$D$2:$D$1315,TotalTeamGames20242025!$A25,DataRegularSeason20242025!$N$2:$N$1315,1)</f>
        <v>0</v>
      </c>
      <c r="S25" s="35"/>
      <c r="T25" s="28">
        <f>COUNTIFS(DataRegularSeason20242025!$E$2:$E$1315,TotalTeamGames20242025!S$1,DataRegularSeason20242025!$D$2:$D$1315,TotalTeamGames20242025!$A25,DataRegularSeason20242025!$N$2:$N$1315,1)</f>
        <v>0</v>
      </c>
      <c r="U25" s="35"/>
      <c r="V25" s="28">
        <f>COUNTIFS(DataRegularSeason20242025!$E$2:$E$1315,TotalTeamGames20242025!U$1,DataRegularSeason20242025!$D$2:$D$1315,TotalTeamGames20242025!$A25,DataRegularSeason20242025!$N$2:$N$1315,1)</f>
        <v>1</v>
      </c>
      <c r="W25" s="35"/>
      <c r="X25" s="28">
        <f>COUNTIFS(DataRegularSeason20242025!$E$2:$E$1315,TotalTeamGames20242025!W$1,DataRegularSeason20242025!$D$2:$D$1315,TotalTeamGames20242025!$A25,DataRegularSeason20242025!$N$2:$N$1315,1)</f>
        <v>0</v>
      </c>
      <c r="Y25" s="35"/>
      <c r="Z25" s="36"/>
      <c r="AA25" s="35"/>
      <c r="AB25" s="28">
        <f>COUNTIFS(DataRegularSeason20242025!$E$2:$E$1315,TotalTeamGames20242025!AA$1,DataRegularSeason20242025!$D$2:$D$1315,TotalTeamGames20242025!$A25,DataRegularSeason20242025!$N$2:$N$1315,1)</f>
        <v>0</v>
      </c>
      <c r="AC25" s="35"/>
      <c r="AD25" s="28">
        <f>COUNTIFS(DataRegularSeason20242025!$E$2:$E$1315,TotalTeamGames20242025!AC$1,DataRegularSeason20242025!$D$2:$D$1315,TotalTeamGames20242025!$A25,DataRegularSeason20242025!$N$2:$N$1315,1)</f>
        <v>0</v>
      </c>
      <c r="AE25" s="35"/>
      <c r="AF25" s="28">
        <f>COUNTIFS(DataRegularSeason20242025!$E$2:$E$1315,TotalTeamGames20242025!AE$1,DataRegularSeason20242025!$D$2:$D$1315,TotalTeamGames20242025!$A25,DataRegularSeason20242025!$N$2:$N$1315,1)</f>
        <v>0</v>
      </c>
      <c r="AG25" s="35"/>
      <c r="AH25" s="28">
        <f>COUNTIFS(DataRegularSeason20242025!$E$2:$E$1315,TotalTeamGames20242025!AG$1,DataRegularSeason20242025!$D$2:$D$1315,TotalTeamGames20242025!$A25,DataRegularSeason20242025!$N$2:$N$1315,1)</f>
        <v>1</v>
      </c>
      <c r="AI25" s="35"/>
      <c r="AJ25" s="28">
        <f>COUNTIFS(DataRegularSeason20242025!$E$2:$E$1315,TotalTeamGames20242025!AI$1,DataRegularSeason20242025!$D$2:$D$1315,TotalTeamGames20242025!$A25,DataRegularSeason20242025!$N$2:$N$1315,1)</f>
        <v>0</v>
      </c>
      <c r="AK25" s="35"/>
      <c r="AL25" s="28">
        <f>COUNTIFS(DataRegularSeason20242025!$E$2:$E$1315,TotalTeamGames20242025!AK$1,DataRegularSeason20242025!$D$2:$D$1315,TotalTeamGames20242025!$A25,DataRegularSeason20242025!$N$2:$N$1315,1)</f>
        <v>0</v>
      </c>
      <c r="AM25" s="35"/>
      <c r="AN25" s="28">
        <f>COUNTIFS(DataRegularSeason20242025!$E$2:$E$1315,TotalTeamGames20242025!AM$1,DataRegularSeason20242025!$D$2:$D$1315,TotalTeamGames20242025!$A25,DataRegularSeason20242025!$N$2:$N$1315,1)</f>
        <v>0</v>
      </c>
      <c r="AO25" s="35"/>
      <c r="AP25" s="28">
        <f>COUNTIFS(DataRegularSeason20242025!$E$2:$E$1315,TotalTeamGames20242025!AO$1,DataRegularSeason20242025!$D$2:$D$1315,TotalTeamGames20242025!$A25,DataRegularSeason20242025!$N$2:$N$1315,1)</f>
        <v>0</v>
      </c>
      <c r="AQ25" s="35"/>
      <c r="AR25" s="28">
        <f>COUNTIFS(DataRegularSeason20242025!$E$2:$E$1315,TotalTeamGames20242025!AQ$1,DataRegularSeason20242025!$D$2:$D$1315,TotalTeamGames20242025!$A25,DataRegularSeason20242025!$N$2:$N$1315,1)</f>
        <v>1</v>
      </c>
      <c r="AS25" s="35"/>
      <c r="AT25" s="28">
        <f>COUNTIFS(DataRegularSeason20242025!$E$2:$E$1315,TotalTeamGames20242025!AS$1,DataRegularSeason20242025!$D$2:$D$1315,TotalTeamGames20242025!$A25,DataRegularSeason20242025!$N$2:$N$1315,1)</f>
        <v>0</v>
      </c>
      <c r="AU25" s="35"/>
      <c r="AV25" s="28">
        <f>COUNTIFS(DataRegularSeason20242025!$E$2:$E$1315,TotalTeamGames20242025!AU$1,DataRegularSeason20242025!$D$2:$D$1315,TotalTeamGames20242025!$A25,DataRegularSeason20242025!$N$2:$N$1315,1)</f>
        <v>0</v>
      </c>
      <c r="AW25" s="35"/>
      <c r="AX25" s="28">
        <f>COUNTIFS(DataRegularSeason20242025!$E$2:$E$1315,TotalTeamGames20242025!AW$1,DataRegularSeason20242025!$D$2:$D$1315,TotalTeamGames20242025!$A25,DataRegularSeason20242025!$N$2:$N$1315,1)</f>
        <v>0</v>
      </c>
      <c r="AY25" s="35"/>
      <c r="AZ25" s="28">
        <f>COUNTIFS(DataRegularSeason20242025!$E$2:$E$1315,TotalTeamGames20242025!AY$1,DataRegularSeason20242025!$D$2:$D$1315,TotalTeamGames20242025!$A25,DataRegularSeason20242025!$N$2:$N$1315,1)</f>
        <v>0</v>
      </c>
      <c r="BA25" s="35"/>
      <c r="BB25" s="28">
        <f>COUNTIFS(DataRegularSeason20242025!$E$2:$E$1315,TotalTeamGames20242025!BA$1,DataRegularSeason20242025!$D$2:$D$1315,TotalTeamGames20242025!$A25,DataRegularSeason20242025!$N$2:$N$1315,1)</f>
        <v>0</v>
      </c>
      <c r="BC25" s="35"/>
      <c r="BD25" s="28">
        <f>COUNTIFS(DataRegularSeason20242025!$E$2:$E$1315,TotalTeamGames20242025!BC$1,DataRegularSeason20242025!$D$2:$D$1315,TotalTeamGames20242025!$A25,DataRegularSeason20242025!$N$2:$N$1315,1)</f>
        <v>0</v>
      </c>
      <c r="BE25" s="35"/>
      <c r="BF25" s="28">
        <f>COUNTIFS(DataRegularSeason20242025!$E$2:$E$1315,TotalTeamGames20242025!BE$1,DataRegularSeason20242025!$D$2:$D$1315,TotalTeamGames20242025!$A25,DataRegularSeason20242025!$N$2:$N$1315,1)</f>
        <v>0</v>
      </c>
      <c r="BG25" s="35"/>
      <c r="BH25" s="28">
        <f>COUNTIFS(DataRegularSeason20242025!$E$2:$E$1315,TotalTeamGames20242025!BG$1,DataRegularSeason20242025!$D$2:$D$1315,TotalTeamGames20242025!$A25,DataRegularSeason20242025!$N$2:$N$1315,1)</f>
        <v>0</v>
      </c>
      <c r="BI25" s="35"/>
      <c r="BJ25" s="28">
        <f>COUNTIFS(DataRegularSeason20242025!$E$2:$E$1315,TotalTeamGames20242025!BI$1,DataRegularSeason20242025!$D$2:$D$1315,TotalTeamGames20242025!$A25,DataRegularSeason20242025!$N$2:$N$1315,1)</f>
        <v>0</v>
      </c>
      <c r="BK25" s="35"/>
      <c r="BL25" s="28">
        <f>COUNTIFS(DataRegularSeason20242025!$E$2:$E$1315,TotalTeamGames20242025!BK$1,DataRegularSeason20242025!$D$2:$D$1315,TotalTeamGames20242025!$A25,DataRegularSeason20242025!$N$2:$N$1315,1)</f>
        <v>0</v>
      </c>
      <c r="BM25" s="35"/>
      <c r="BN25" s="28">
        <f>COUNTIFS(DataRegularSeason20242025!$E$2:$E$1315,TotalTeamGames20242025!BM$1,DataRegularSeason20242025!$D$2:$D$1315,TotalTeamGames20242025!$A25,DataRegularSeason20242025!$N$2:$N$1315,1)</f>
        <v>0</v>
      </c>
      <c r="BO25" s="30">
        <f t="shared" si="0"/>
        <v>5</v>
      </c>
      <c r="BP25" s="165">
        <f t="shared" ref="BP25" si="21">BO25+BO26</f>
        <v>8</v>
      </c>
      <c r="BQ25" s="166">
        <f t="shared" ref="BQ25" si="22">82-BP25</f>
        <v>74</v>
      </c>
    </row>
    <row r="26" spans="1:69" ht="9.9499999999999993" customHeight="1" x14ac:dyDescent="0.25">
      <c r="A26" s="167"/>
      <c r="B26" s="32" t="s">
        <v>73</v>
      </c>
      <c r="C26" s="38">
        <f>COUNTIFS(DataRegularSeason20242025!$D$2:$D$1315,TotalTeamGames20242025!C$1,DataRegularSeason20242025!$E$2:$E$1315,TotalTeamGames20242025!$A25,DataRegularSeason20242025!$N$2:$N$1315,1)</f>
        <v>0</v>
      </c>
      <c r="D26" s="39"/>
      <c r="E26" s="38">
        <f>COUNTIFS(DataRegularSeason20242025!$D$2:$D$1315,TotalTeamGames20242025!E$1,DataRegularSeason20242025!$E$2:$E$1315,TotalTeamGames20242025!$A25,DataRegularSeason20242025!$N$2:$N$1315,1)</f>
        <v>0</v>
      </c>
      <c r="F26" s="39"/>
      <c r="G26" s="38">
        <f>COUNTIFS(DataRegularSeason20242025!$D$2:$D$1315,TotalTeamGames20242025!G$1,DataRegularSeason20242025!$E$2:$E$1315,TotalTeamGames20242025!$A25,DataRegularSeason20242025!$N$2:$N$1315,1)</f>
        <v>0</v>
      </c>
      <c r="H26" s="39"/>
      <c r="I26" s="38">
        <f>COUNTIFS(DataRegularSeason20242025!$D$2:$D$1315,TotalTeamGames20242025!I$1,DataRegularSeason20242025!$E$2:$E$1315,TotalTeamGames20242025!$A25,DataRegularSeason20242025!$N$2:$N$1315,1)</f>
        <v>0</v>
      </c>
      <c r="J26" s="39"/>
      <c r="K26" s="38">
        <f>COUNTIFS(DataRegularSeason20242025!$D$2:$D$1315,TotalTeamGames20242025!K$1,DataRegularSeason20242025!$E$2:$E$1315,TotalTeamGames20242025!$A25,DataRegularSeason20242025!$N$2:$N$1315,1)</f>
        <v>0</v>
      </c>
      <c r="L26" s="39"/>
      <c r="M26" s="38">
        <f>COUNTIFS(DataRegularSeason20242025!$D$2:$D$1315,TotalTeamGames20242025!M$1,DataRegularSeason20242025!$E$2:$E$1315,TotalTeamGames20242025!$A25,DataRegularSeason20242025!$N$2:$N$1315,1)</f>
        <v>0</v>
      </c>
      <c r="N26" s="39"/>
      <c r="O26" s="38">
        <f>COUNTIFS(DataRegularSeason20242025!$D$2:$D$1315,TotalTeamGames20242025!O$1,DataRegularSeason20242025!$E$2:$E$1315,TotalTeamGames20242025!$A25,DataRegularSeason20242025!$N$2:$N$1315,1)</f>
        <v>1</v>
      </c>
      <c r="P26" s="39"/>
      <c r="Q26" s="38">
        <f>COUNTIFS(DataRegularSeason20242025!$D$2:$D$1315,TotalTeamGames20242025!Q$1,DataRegularSeason20242025!$E$2:$E$1315,TotalTeamGames20242025!$A25,DataRegularSeason20242025!$N$2:$N$1315,1)</f>
        <v>0</v>
      </c>
      <c r="R26" s="39"/>
      <c r="S26" s="38">
        <f>COUNTIFS(DataRegularSeason20242025!$D$2:$D$1315,TotalTeamGames20242025!S$1,DataRegularSeason20242025!$E$2:$E$1315,TotalTeamGames20242025!$A25,DataRegularSeason20242025!$N$2:$N$1315,1)</f>
        <v>0</v>
      </c>
      <c r="T26" s="39"/>
      <c r="U26" s="38">
        <f>COUNTIFS(DataRegularSeason20242025!$D$2:$D$1315,TotalTeamGames20242025!U$1,DataRegularSeason20242025!$E$2:$E$1315,TotalTeamGames20242025!$A25,DataRegularSeason20242025!$N$2:$N$1315,1)</f>
        <v>0</v>
      </c>
      <c r="V26" s="39"/>
      <c r="W26" s="38">
        <f>COUNTIFS(DataRegularSeason20242025!$D$2:$D$1315,TotalTeamGames20242025!W$1,DataRegularSeason20242025!$E$2:$E$1315,TotalTeamGames20242025!$A25,DataRegularSeason20242025!$N$2:$N$1315,1)</f>
        <v>0</v>
      </c>
      <c r="X26" s="39"/>
      <c r="Y26" s="38"/>
      <c r="Z26" s="39"/>
      <c r="AA26" s="38">
        <f>COUNTIFS(DataRegularSeason20242025!$D$2:$D$1315,TotalTeamGames20242025!AA$1,DataRegularSeason20242025!$E$2:$E$1315,TotalTeamGames20242025!$A25,DataRegularSeason20242025!$N$2:$N$1315,1)</f>
        <v>0</v>
      </c>
      <c r="AB26" s="39"/>
      <c r="AC26" s="38">
        <f>COUNTIFS(DataRegularSeason20242025!$D$2:$D$1315,TotalTeamGames20242025!AC$1,DataRegularSeason20242025!$E$2:$E$1315,TotalTeamGames20242025!$A25,DataRegularSeason20242025!$N$2:$N$1315,1)</f>
        <v>0</v>
      </c>
      <c r="AD26" s="39"/>
      <c r="AE26" s="38">
        <f>COUNTIFS(DataRegularSeason20242025!$D$2:$D$1315,TotalTeamGames20242025!AE$1,DataRegularSeason20242025!$E$2:$E$1315,TotalTeamGames20242025!$A25,DataRegularSeason20242025!$N$2:$N$1315,1)</f>
        <v>0</v>
      </c>
      <c r="AF26" s="39"/>
      <c r="AG26" s="38">
        <f>COUNTIFS(DataRegularSeason20242025!$D$2:$D$1315,TotalTeamGames20242025!AG$1,DataRegularSeason20242025!$E$2:$E$1315,TotalTeamGames20242025!$A25,DataRegularSeason20242025!$N$2:$N$1315,1)</f>
        <v>0</v>
      </c>
      <c r="AH26" s="39"/>
      <c r="AI26" s="38">
        <f>COUNTIFS(DataRegularSeason20242025!$D$2:$D$1315,TotalTeamGames20242025!AI$1,DataRegularSeason20242025!$E$2:$E$1315,TotalTeamGames20242025!$A25,DataRegularSeason20242025!$N$2:$N$1315,1)</f>
        <v>0</v>
      </c>
      <c r="AJ26" s="39"/>
      <c r="AK26" s="38">
        <f>COUNTIFS(DataRegularSeason20242025!$D$2:$D$1315,TotalTeamGames20242025!AK$1,DataRegularSeason20242025!$E$2:$E$1315,TotalTeamGames20242025!$A25,DataRegularSeason20242025!$N$2:$N$1315,1)</f>
        <v>0</v>
      </c>
      <c r="AL26" s="39"/>
      <c r="AM26" s="38">
        <f>COUNTIFS(DataRegularSeason20242025!$D$2:$D$1315,TotalTeamGames20242025!AM$1,DataRegularSeason20242025!$E$2:$E$1315,TotalTeamGames20242025!$A25,DataRegularSeason20242025!$N$2:$N$1315,1)</f>
        <v>0</v>
      </c>
      <c r="AN26" s="39"/>
      <c r="AO26" s="38">
        <f>COUNTIFS(DataRegularSeason20242025!$D$2:$D$1315,TotalTeamGames20242025!AO$1,DataRegularSeason20242025!$E$2:$E$1315,TotalTeamGames20242025!$A25,DataRegularSeason20242025!$N$2:$N$1315,1)</f>
        <v>1</v>
      </c>
      <c r="AP26" s="39"/>
      <c r="AQ26" s="38">
        <f>COUNTIFS(DataRegularSeason20242025!$D$2:$D$1315,TotalTeamGames20242025!AQ$1,DataRegularSeason20242025!$E$2:$E$1315,TotalTeamGames20242025!$A25,DataRegularSeason20242025!$N$2:$N$1315,1)</f>
        <v>1</v>
      </c>
      <c r="AR26" s="39"/>
      <c r="AS26" s="38">
        <f>COUNTIFS(DataRegularSeason20242025!$D$2:$D$1315,TotalTeamGames20242025!AS$1,DataRegularSeason20242025!$E$2:$E$1315,TotalTeamGames20242025!$A25,DataRegularSeason20242025!$N$2:$N$1315,1)</f>
        <v>0</v>
      </c>
      <c r="AT26" s="39"/>
      <c r="AU26" s="38">
        <f>COUNTIFS(DataRegularSeason20242025!$D$2:$D$1315,TotalTeamGames20242025!AU$1,DataRegularSeason20242025!$E$2:$E$1315,TotalTeamGames20242025!$A25,DataRegularSeason20242025!$N$2:$N$1315,1)</f>
        <v>0</v>
      </c>
      <c r="AV26" s="39"/>
      <c r="AW26" s="38">
        <f>COUNTIFS(DataRegularSeason20242025!$D$2:$D$1315,TotalTeamGames20242025!AW$1,DataRegularSeason20242025!$E$2:$E$1315,TotalTeamGames20242025!$A25,DataRegularSeason20242025!$N$2:$N$1315,1)</f>
        <v>0</v>
      </c>
      <c r="AX26" s="39"/>
      <c r="AY26" s="38">
        <f>COUNTIFS(DataRegularSeason20242025!$D$2:$D$1315,TotalTeamGames20242025!AY$1,DataRegularSeason20242025!$E$2:$E$1315,TotalTeamGames20242025!$A25,DataRegularSeason20242025!$N$2:$N$1315,1)</f>
        <v>0</v>
      </c>
      <c r="AZ26" s="39"/>
      <c r="BA26" s="38">
        <f>COUNTIFS(DataRegularSeason20242025!$D$2:$D$1315,TotalTeamGames20242025!BA$1,DataRegularSeason20242025!$E$2:$E$1315,TotalTeamGames20242025!$A25,DataRegularSeason20242025!$N$2:$N$1315,1)</f>
        <v>0</v>
      </c>
      <c r="BB26" s="39"/>
      <c r="BC26" s="38">
        <f>COUNTIFS(DataRegularSeason20242025!$D$2:$D$1315,TotalTeamGames20242025!BC$1,DataRegularSeason20242025!$E$2:$E$1315,TotalTeamGames20242025!$A25,DataRegularSeason20242025!$N$2:$N$1315,1)</f>
        <v>0</v>
      </c>
      <c r="BD26" s="39"/>
      <c r="BE26" s="38">
        <f>COUNTIFS(DataRegularSeason20242025!$D$2:$D$1315,TotalTeamGames20242025!BE$1,DataRegularSeason20242025!$E$2:$E$1315,TotalTeamGames20242025!$A25,DataRegularSeason20242025!$N$2:$N$1315,1)</f>
        <v>0</v>
      </c>
      <c r="BF26" s="39"/>
      <c r="BG26" s="38">
        <f>COUNTIFS(DataRegularSeason20242025!$D$2:$D$1315,TotalTeamGames20242025!BG$1,DataRegularSeason20242025!$E$2:$E$1315,TotalTeamGames20242025!$A25,DataRegularSeason20242025!$N$2:$N$1315,1)</f>
        <v>0</v>
      </c>
      <c r="BH26" s="39"/>
      <c r="BI26" s="38">
        <f>COUNTIFS(DataRegularSeason20242025!$D$2:$D$1315,TotalTeamGames20242025!BI$1,DataRegularSeason20242025!$E$2:$E$1315,TotalTeamGames20242025!$A25,DataRegularSeason20242025!$N$2:$N$1315,1)</f>
        <v>0</v>
      </c>
      <c r="BJ26" s="39"/>
      <c r="BK26" s="38">
        <f>COUNTIFS(DataRegularSeason20242025!$D$2:$D$1315,TotalTeamGames20242025!BK$1,DataRegularSeason20242025!$E$2:$E$1315,TotalTeamGames20242025!$A25,DataRegularSeason20242025!$N$2:$N$1315,1)</f>
        <v>0</v>
      </c>
      <c r="BL26" s="39"/>
      <c r="BM26" s="38">
        <f>COUNTIFS(DataRegularSeason20242025!$D$2:$D$1315,TotalTeamGames20242025!BM$1,DataRegularSeason20242025!$E$2:$E$1315,TotalTeamGames20242025!$A25,DataRegularSeason20242025!$N$2:$N$1315,1)</f>
        <v>0</v>
      </c>
      <c r="BN26" s="39"/>
      <c r="BO26" s="34">
        <f t="shared" si="0"/>
        <v>3</v>
      </c>
      <c r="BP26" s="165"/>
      <c r="BQ26" s="166"/>
    </row>
    <row r="27" spans="1:69" ht="9.9499999999999993" customHeight="1" x14ac:dyDescent="0.25">
      <c r="A27" s="172" t="s">
        <v>27</v>
      </c>
      <c r="B27" s="28" t="s">
        <v>74</v>
      </c>
      <c r="C27" s="35"/>
      <c r="D27" s="28">
        <f>COUNTIFS(DataRegularSeason20242025!$E$2:$E$1315,TotalTeamGames20242025!C$1,DataRegularSeason20242025!$D$2:$D$1315,TotalTeamGames20242025!$A27,DataRegularSeason20242025!$N$2:$N$1315,1)</f>
        <v>0</v>
      </c>
      <c r="E27" s="35"/>
      <c r="F27" s="28">
        <f>COUNTIFS(DataRegularSeason20242025!$E$2:$E$1315,TotalTeamGames20242025!E$1,DataRegularSeason20242025!$D$2:$D$1315,TotalTeamGames20242025!$A27,DataRegularSeason20242025!$N$2:$N$1315,1)</f>
        <v>0</v>
      </c>
      <c r="G27" s="35"/>
      <c r="H27" s="28">
        <f>COUNTIFS(DataRegularSeason20242025!$E$2:$E$1315,TotalTeamGames20242025!G$1,DataRegularSeason20242025!$D$2:$D$1315,TotalTeamGames20242025!$A27,DataRegularSeason20242025!$N$2:$N$1315,1)</f>
        <v>0</v>
      </c>
      <c r="I27" s="35"/>
      <c r="J27" s="28">
        <f>COUNTIFS(DataRegularSeason20242025!$E$2:$E$1315,TotalTeamGames20242025!I$1,DataRegularSeason20242025!$D$2:$D$1315,TotalTeamGames20242025!$A27,DataRegularSeason20242025!$N$2:$N$1315,1)</f>
        <v>0</v>
      </c>
      <c r="K27" s="35"/>
      <c r="L27" s="28">
        <f>COUNTIFS(DataRegularSeason20242025!$E$2:$E$1315,TotalTeamGames20242025!K$1,DataRegularSeason20242025!$D$2:$D$1315,TotalTeamGames20242025!$A27,DataRegularSeason20242025!$N$2:$N$1315,1)</f>
        <v>0</v>
      </c>
      <c r="M27" s="35"/>
      <c r="N27" s="28">
        <f>COUNTIFS(DataRegularSeason20242025!$E$2:$E$1315,TotalTeamGames20242025!M$1,DataRegularSeason20242025!$D$2:$D$1315,TotalTeamGames20242025!$A27,DataRegularSeason20242025!$N$2:$N$1315,1)</f>
        <v>0</v>
      </c>
      <c r="O27" s="35"/>
      <c r="P27" s="28">
        <f>COUNTIFS(DataRegularSeason20242025!$E$2:$E$1315,TotalTeamGames20242025!O$1,DataRegularSeason20242025!$D$2:$D$1315,TotalTeamGames20242025!$A27,DataRegularSeason20242025!$N$2:$N$1315,1)</f>
        <v>0</v>
      </c>
      <c r="Q27" s="35"/>
      <c r="R27" s="28">
        <f>COUNTIFS(DataRegularSeason20242025!$E$2:$E$1315,TotalTeamGames20242025!Q$1,DataRegularSeason20242025!$D$2:$D$1315,TotalTeamGames20242025!$A27,DataRegularSeason20242025!$N$2:$N$1315,1)</f>
        <v>0</v>
      </c>
      <c r="S27" s="35"/>
      <c r="T27" s="28">
        <f>COUNTIFS(DataRegularSeason20242025!$E$2:$E$1315,TotalTeamGames20242025!S$1,DataRegularSeason20242025!$D$2:$D$1315,TotalTeamGames20242025!$A27,DataRegularSeason20242025!$N$2:$N$1315,1)</f>
        <v>0</v>
      </c>
      <c r="U27" s="35"/>
      <c r="V27" s="28">
        <f>COUNTIFS(DataRegularSeason20242025!$E$2:$E$1315,TotalTeamGames20242025!U$1,DataRegularSeason20242025!$D$2:$D$1315,TotalTeamGames20242025!$A27,DataRegularSeason20242025!$N$2:$N$1315,1)</f>
        <v>0</v>
      </c>
      <c r="W27" s="35"/>
      <c r="X27" s="28">
        <f>COUNTIFS(DataRegularSeason20242025!$E$2:$E$1315,TotalTeamGames20242025!W$1,DataRegularSeason20242025!$D$2:$D$1315,TotalTeamGames20242025!$A27,DataRegularSeason20242025!$N$2:$N$1315,1)</f>
        <v>0</v>
      </c>
      <c r="Y27" s="35"/>
      <c r="Z27" s="28">
        <f>COUNTIFS(DataRegularSeason20242025!$E$2:$E$1315,TotalTeamGames20242025!Y$1,DataRegularSeason20242025!$D$2:$D$1315,TotalTeamGames20242025!$A27,DataRegularSeason20242025!$N$2:$N$1315,1)</f>
        <v>0</v>
      </c>
      <c r="AA27" s="35"/>
      <c r="AB27" s="36"/>
      <c r="AC27" s="35"/>
      <c r="AD27" s="28">
        <f>COUNTIFS(DataRegularSeason20242025!$E$2:$E$1315,TotalTeamGames20242025!AC$1,DataRegularSeason20242025!$D$2:$D$1315,TotalTeamGames20242025!$A27,DataRegularSeason20242025!$N$2:$N$1315,1)</f>
        <v>1</v>
      </c>
      <c r="AE27" s="35"/>
      <c r="AF27" s="28">
        <f>COUNTIFS(DataRegularSeason20242025!$E$2:$E$1315,TotalTeamGames20242025!AE$1,DataRegularSeason20242025!$D$2:$D$1315,TotalTeamGames20242025!$A27,DataRegularSeason20242025!$N$2:$N$1315,1)</f>
        <v>0</v>
      </c>
      <c r="AG27" s="35"/>
      <c r="AH27" s="28">
        <f>COUNTIFS(DataRegularSeason20242025!$E$2:$E$1315,TotalTeamGames20242025!AG$1,DataRegularSeason20242025!$D$2:$D$1315,TotalTeamGames20242025!$A27,DataRegularSeason20242025!$N$2:$N$1315,1)</f>
        <v>0</v>
      </c>
      <c r="AI27" s="35"/>
      <c r="AJ27" s="28">
        <f>COUNTIFS(DataRegularSeason20242025!$E$2:$E$1315,TotalTeamGames20242025!AI$1,DataRegularSeason20242025!$D$2:$D$1315,TotalTeamGames20242025!$A27,DataRegularSeason20242025!$N$2:$N$1315,1)</f>
        <v>0</v>
      </c>
      <c r="AK27" s="35"/>
      <c r="AL27" s="28">
        <f>COUNTIFS(DataRegularSeason20242025!$E$2:$E$1315,TotalTeamGames20242025!AK$1,DataRegularSeason20242025!$D$2:$D$1315,TotalTeamGames20242025!$A27,DataRegularSeason20242025!$N$2:$N$1315,1)</f>
        <v>0</v>
      </c>
      <c r="AM27" s="35"/>
      <c r="AN27" s="28">
        <f>COUNTIFS(DataRegularSeason20242025!$E$2:$E$1315,TotalTeamGames20242025!AM$1,DataRegularSeason20242025!$D$2:$D$1315,TotalTeamGames20242025!$A27,DataRegularSeason20242025!$N$2:$N$1315,1)</f>
        <v>0</v>
      </c>
      <c r="AO27" s="35"/>
      <c r="AP27" s="28">
        <f>COUNTIFS(DataRegularSeason20242025!$E$2:$E$1315,TotalTeamGames20242025!AO$1,DataRegularSeason20242025!$D$2:$D$1315,TotalTeamGames20242025!$A27,DataRegularSeason20242025!$N$2:$N$1315,1)</f>
        <v>0</v>
      </c>
      <c r="AQ27" s="35"/>
      <c r="AR27" s="28">
        <f>COUNTIFS(DataRegularSeason20242025!$E$2:$E$1315,TotalTeamGames20242025!AQ$1,DataRegularSeason20242025!$D$2:$D$1315,TotalTeamGames20242025!$A27,DataRegularSeason20242025!$N$2:$N$1315,1)</f>
        <v>0</v>
      </c>
      <c r="AS27" s="35"/>
      <c r="AT27" s="28">
        <f>COUNTIFS(DataRegularSeason20242025!$E$2:$E$1315,TotalTeamGames20242025!AS$1,DataRegularSeason20242025!$D$2:$D$1315,TotalTeamGames20242025!$A27,DataRegularSeason20242025!$N$2:$N$1315,1)</f>
        <v>0</v>
      </c>
      <c r="AU27" s="35"/>
      <c r="AV27" s="28">
        <f>COUNTIFS(DataRegularSeason20242025!$E$2:$E$1315,TotalTeamGames20242025!AU$1,DataRegularSeason20242025!$D$2:$D$1315,TotalTeamGames20242025!$A27,DataRegularSeason20242025!$N$2:$N$1315,1)</f>
        <v>0</v>
      </c>
      <c r="AW27" s="35"/>
      <c r="AX27" s="28">
        <f>COUNTIFS(DataRegularSeason20242025!$E$2:$E$1315,TotalTeamGames20242025!AW$1,DataRegularSeason20242025!$D$2:$D$1315,TotalTeamGames20242025!$A27,DataRegularSeason20242025!$N$2:$N$1315,1)</f>
        <v>0</v>
      </c>
      <c r="AY27" s="35"/>
      <c r="AZ27" s="28">
        <f>COUNTIFS(DataRegularSeason20242025!$E$2:$E$1315,TotalTeamGames20242025!AY$1,DataRegularSeason20242025!$D$2:$D$1315,TotalTeamGames20242025!$A27,DataRegularSeason20242025!$N$2:$N$1315,1)</f>
        <v>1</v>
      </c>
      <c r="BA27" s="35"/>
      <c r="BB27" s="28">
        <f>COUNTIFS(DataRegularSeason20242025!$E$2:$E$1315,TotalTeamGames20242025!BA$1,DataRegularSeason20242025!$D$2:$D$1315,TotalTeamGames20242025!$A27,DataRegularSeason20242025!$N$2:$N$1315,1)</f>
        <v>0</v>
      </c>
      <c r="BC27" s="35"/>
      <c r="BD27" s="28">
        <f>COUNTIFS(DataRegularSeason20242025!$E$2:$E$1315,TotalTeamGames20242025!BC$1,DataRegularSeason20242025!$D$2:$D$1315,TotalTeamGames20242025!$A27,DataRegularSeason20242025!$N$2:$N$1315,1)</f>
        <v>0</v>
      </c>
      <c r="BE27" s="35"/>
      <c r="BF27" s="28">
        <f>COUNTIFS(DataRegularSeason20242025!$E$2:$E$1315,TotalTeamGames20242025!BE$1,DataRegularSeason20242025!$D$2:$D$1315,TotalTeamGames20242025!$A27,DataRegularSeason20242025!$N$2:$N$1315,1)</f>
        <v>0</v>
      </c>
      <c r="BG27" s="35"/>
      <c r="BH27" s="28">
        <f>COUNTIFS(DataRegularSeason20242025!$E$2:$E$1315,TotalTeamGames20242025!BG$1,DataRegularSeason20242025!$D$2:$D$1315,TotalTeamGames20242025!$A27,DataRegularSeason20242025!$N$2:$N$1315,1)</f>
        <v>0</v>
      </c>
      <c r="BI27" s="35"/>
      <c r="BJ27" s="28">
        <f>COUNTIFS(DataRegularSeason20242025!$E$2:$E$1315,TotalTeamGames20242025!BI$1,DataRegularSeason20242025!$D$2:$D$1315,TotalTeamGames20242025!$A27,DataRegularSeason20242025!$N$2:$N$1315,1)</f>
        <v>1</v>
      </c>
      <c r="BK27" s="35"/>
      <c r="BL27" s="28">
        <f>COUNTIFS(DataRegularSeason20242025!$E$2:$E$1315,TotalTeamGames20242025!BK$1,DataRegularSeason20242025!$D$2:$D$1315,TotalTeamGames20242025!$A27,DataRegularSeason20242025!$N$2:$N$1315,1)</f>
        <v>1</v>
      </c>
      <c r="BM27" s="35"/>
      <c r="BN27" s="28">
        <f>COUNTIFS(DataRegularSeason20242025!$E$2:$E$1315,TotalTeamGames20242025!BM$1,DataRegularSeason20242025!$D$2:$D$1315,TotalTeamGames20242025!$A27,DataRegularSeason20242025!$N$2:$N$1315,1)</f>
        <v>0</v>
      </c>
      <c r="BO27" s="30">
        <f t="shared" si="0"/>
        <v>4</v>
      </c>
      <c r="BP27" s="165">
        <f t="shared" ref="BP27" si="23">BO27+BO28</f>
        <v>7</v>
      </c>
      <c r="BQ27" s="166">
        <f t="shared" ref="BQ27" si="24">82-BP27</f>
        <v>75</v>
      </c>
    </row>
    <row r="28" spans="1:69" ht="9.9499999999999993" customHeight="1" x14ac:dyDescent="0.25">
      <c r="A28" s="167"/>
      <c r="B28" s="32" t="s">
        <v>73</v>
      </c>
      <c r="C28" s="38">
        <f>COUNTIFS(DataRegularSeason20242025!$D$2:$D$1315,TotalTeamGames20242025!C$1,DataRegularSeason20242025!$E$2:$E$1315,TotalTeamGames20242025!$A27,DataRegularSeason20242025!$N$2:$N$1315,1)</f>
        <v>0</v>
      </c>
      <c r="D28" s="39"/>
      <c r="E28" s="38">
        <f>COUNTIFS(DataRegularSeason20242025!$D$2:$D$1315,TotalTeamGames20242025!E$1,DataRegularSeason20242025!$E$2:$E$1315,TotalTeamGames20242025!$A27,DataRegularSeason20242025!$N$2:$N$1315,1)</f>
        <v>0</v>
      </c>
      <c r="F28" s="39"/>
      <c r="G28" s="38">
        <f>COUNTIFS(DataRegularSeason20242025!$D$2:$D$1315,TotalTeamGames20242025!G$1,DataRegularSeason20242025!$E$2:$E$1315,TotalTeamGames20242025!$A27,DataRegularSeason20242025!$N$2:$N$1315,1)</f>
        <v>0</v>
      </c>
      <c r="H28" s="39"/>
      <c r="I28" s="38">
        <f>COUNTIFS(DataRegularSeason20242025!$D$2:$D$1315,TotalTeamGames20242025!I$1,DataRegularSeason20242025!$E$2:$E$1315,TotalTeamGames20242025!$A27,DataRegularSeason20242025!$N$2:$N$1315,1)</f>
        <v>1</v>
      </c>
      <c r="J28" s="39"/>
      <c r="K28" s="38">
        <f>COUNTIFS(DataRegularSeason20242025!$D$2:$D$1315,TotalTeamGames20242025!K$1,DataRegularSeason20242025!$E$2:$E$1315,TotalTeamGames20242025!$A27,DataRegularSeason20242025!$N$2:$N$1315,1)</f>
        <v>0</v>
      </c>
      <c r="L28" s="39"/>
      <c r="M28" s="38">
        <f>COUNTIFS(DataRegularSeason20242025!$D$2:$D$1315,TotalTeamGames20242025!M$1,DataRegularSeason20242025!$E$2:$E$1315,TotalTeamGames20242025!$A27,DataRegularSeason20242025!$N$2:$N$1315,1)</f>
        <v>0</v>
      </c>
      <c r="N28" s="39"/>
      <c r="O28" s="38">
        <f>COUNTIFS(DataRegularSeason20242025!$D$2:$D$1315,TotalTeamGames20242025!O$1,DataRegularSeason20242025!$E$2:$E$1315,TotalTeamGames20242025!$A27,DataRegularSeason20242025!$N$2:$N$1315,1)</f>
        <v>0</v>
      </c>
      <c r="P28" s="39"/>
      <c r="Q28" s="38">
        <f>COUNTIFS(DataRegularSeason20242025!$D$2:$D$1315,TotalTeamGames20242025!Q$1,DataRegularSeason20242025!$E$2:$E$1315,TotalTeamGames20242025!$A27,DataRegularSeason20242025!$N$2:$N$1315,1)</f>
        <v>1</v>
      </c>
      <c r="R28" s="39"/>
      <c r="S28" s="38">
        <f>COUNTIFS(DataRegularSeason20242025!$D$2:$D$1315,TotalTeamGames20242025!S$1,DataRegularSeason20242025!$E$2:$E$1315,TotalTeamGames20242025!$A27,DataRegularSeason20242025!$N$2:$N$1315,1)</f>
        <v>0</v>
      </c>
      <c r="T28" s="39"/>
      <c r="U28" s="38">
        <f>COUNTIFS(DataRegularSeason20242025!$D$2:$D$1315,TotalTeamGames20242025!U$1,DataRegularSeason20242025!$E$2:$E$1315,TotalTeamGames20242025!$A27,DataRegularSeason20242025!$N$2:$N$1315,1)</f>
        <v>0</v>
      </c>
      <c r="V28" s="39"/>
      <c r="W28" s="38">
        <f>COUNTIFS(DataRegularSeason20242025!$D$2:$D$1315,TotalTeamGames20242025!W$1,DataRegularSeason20242025!$E$2:$E$1315,TotalTeamGames20242025!$A27,DataRegularSeason20242025!$N$2:$N$1315,1)</f>
        <v>0</v>
      </c>
      <c r="X28" s="39"/>
      <c r="Y28" s="38">
        <f>COUNTIFS(DataRegularSeason20242025!$D$2:$D$1315,TotalTeamGames20242025!Y$1,DataRegularSeason20242025!$E$2:$E$1315,TotalTeamGames20242025!$A27,DataRegularSeason20242025!$N$2:$N$1315,1)</f>
        <v>0</v>
      </c>
      <c r="Z28" s="39"/>
      <c r="AA28" s="38"/>
      <c r="AB28" s="39"/>
      <c r="AC28" s="38">
        <f>COUNTIFS(DataRegularSeason20242025!$D$2:$D$1315,TotalTeamGames20242025!AC$1,DataRegularSeason20242025!$E$2:$E$1315,TotalTeamGames20242025!$A27,DataRegularSeason20242025!$N$2:$N$1315,1)</f>
        <v>0</v>
      </c>
      <c r="AD28" s="39"/>
      <c r="AE28" s="38">
        <f>COUNTIFS(DataRegularSeason20242025!$D$2:$D$1315,TotalTeamGames20242025!AE$1,DataRegularSeason20242025!$E$2:$E$1315,TotalTeamGames20242025!$A27,DataRegularSeason20242025!$N$2:$N$1315,1)</f>
        <v>0</v>
      </c>
      <c r="AF28" s="39"/>
      <c r="AG28" s="38">
        <f>COUNTIFS(DataRegularSeason20242025!$D$2:$D$1315,TotalTeamGames20242025!AG$1,DataRegularSeason20242025!$E$2:$E$1315,TotalTeamGames20242025!$A27,DataRegularSeason20242025!$N$2:$N$1315,1)</f>
        <v>0</v>
      </c>
      <c r="AH28" s="39"/>
      <c r="AI28" s="38">
        <f>COUNTIFS(DataRegularSeason20242025!$D$2:$D$1315,TotalTeamGames20242025!AI$1,DataRegularSeason20242025!$E$2:$E$1315,TotalTeamGames20242025!$A27,DataRegularSeason20242025!$N$2:$N$1315,1)</f>
        <v>0</v>
      </c>
      <c r="AJ28" s="39"/>
      <c r="AK28" s="38">
        <f>COUNTIFS(DataRegularSeason20242025!$D$2:$D$1315,TotalTeamGames20242025!AK$1,DataRegularSeason20242025!$E$2:$E$1315,TotalTeamGames20242025!$A27,DataRegularSeason20242025!$N$2:$N$1315,1)</f>
        <v>0</v>
      </c>
      <c r="AL28" s="39"/>
      <c r="AM28" s="38">
        <f>COUNTIFS(DataRegularSeason20242025!$D$2:$D$1315,TotalTeamGames20242025!AM$1,DataRegularSeason20242025!$E$2:$E$1315,TotalTeamGames20242025!$A27,DataRegularSeason20242025!$N$2:$N$1315,1)</f>
        <v>0</v>
      </c>
      <c r="AN28" s="39"/>
      <c r="AO28" s="38">
        <f>COUNTIFS(DataRegularSeason20242025!$D$2:$D$1315,TotalTeamGames20242025!AO$1,DataRegularSeason20242025!$E$2:$E$1315,TotalTeamGames20242025!$A27,DataRegularSeason20242025!$N$2:$N$1315,1)</f>
        <v>0</v>
      </c>
      <c r="AP28" s="39"/>
      <c r="AQ28" s="38">
        <f>COUNTIFS(DataRegularSeason20242025!$D$2:$D$1315,TotalTeamGames20242025!AQ$1,DataRegularSeason20242025!$E$2:$E$1315,TotalTeamGames20242025!$A27,DataRegularSeason20242025!$N$2:$N$1315,1)</f>
        <v>0</v>
      </c>
      <c r="AR28" s="39"/>
      <c r="AS28" s="38">
        <f>COUNTIFS(DataRegularSeason20242025!$D$2:$D$1315,TotalTeamGames20242025!AS$1,DataRegularSeason20242025!$E$2:$E$1315,TotalTeamGames20242025!$A27,DataRegularSeason20242025!$N$2:$N$1315,1)</f>
        <v>1</v>
      </c>
      <c r="AT28" s="39"/>
      <c r="AU28" s="38">
        <f>COUNTIFS(DataRegularSeason20242025!$D$2:$D$1315,TotalTeamGames20242025!AU$1,DataRegularSeason20242025!$E$2:$E$1315,TotalTeamGames20242025!$A27,DataRegularSeason20242025!$N$2:$N$1315,1)</f>
        <v>0</v>
      </c>
      <c r="AV28" s="39"/>
      <c r="AW28" s="38">
        <f>COUNTIFS(DataRegularSeason20242025!$D$2:$D$1315,TotalTeamGames20242025!AW$1,DataRegularSeason20242025!$E$2:$E$1315,TotalTeamGames20242025!$A27,DataRegularSeason20242025!$N$2:$N$1315,1)</f>
        <v>0</v>
      </c>
      <c r="AX28" s="39"/>
      <c r="AY28" s="38">
        <f>COUNTIFS(DataRegularSeason20242025!$D$2:$D$1315,TotalTeamGames20242025!AY$1,DataRegularSeason20242025!$E$2:$E$1315,TotalTeamGames20242025!$A27,DataRegularSeason20242025!$N$2:$N$1315,1)</f>
        <v>0</v>
      </c>
      <c r="AZ28" s="39"/>
      <c r="BA28" s="38">
        <f>COUNTIFS(DataRegularSeason20242025!$D$2:$D$1315,TotalTeamGames20242025!BA$1,DataRegularSeason20242025!$E$2:$E$1315,TotalTeamGames20242025!$A27,DataRegularSeason20242025!$N$2:$N$1315,1)</f>
        <v>0</v>
      </c>
      <c r="BB28" s="39"/>
      <c r="BC28" s="38">
        <f>COUNTIFS(DataRegularSeason20242025!$D$2:$D$1315,TotalTeamGames20242025!BC$1,DataRegularSeason20242025!$E$2:$E$1315,TotalTeamGames20242025!$A27,DataRegularSeason20242025!$N$2:$N$1315,1)</f>
        <v>0</v>
      </c>
      <c r="BD28" s="39"/>
      <c r="BE28" s="38">
        <f>COUNTIFS(DataRegularSeason20242025!$D$2:$D$1315,TotalTeamGames20242025!BE$1,DataRegularSeason20242025!$E$2:$E$1315,TotalTeamGames20242025!$A27,DataRegularSeason20242025!$N$2:$N$1315,1)</f>
        <v>0</v>
      </c>
      <c r="BF28" s="39"/>
      <c r="BG28" s="38">
        <f>COUNTIFS(DataRegularSeason20242025!$D$2:$D$1315,TotalTeamGames20242025!BG$1,DataRegularSeason20242025!$E$2:$E$1315,TotalTeamGames20242025!$A27,DataRegularSeason20242025!$N$2:$N$1315,1)</f>
        <v>0</v>
      </c>
      <c r="BH28" s="39"/>
      <c r="BI28" s="38">
        <f>COUNTIFS(DataRegularSeason20242025!$D$2:$D$1315,TotalTeamGames20242025!BI$1,DataRegularSeason20242025!$E$2:$E$1315,TotalTeamGames20242025!$A27,DataRegularSeason20242025!$N$2:$N$1315,1)</f>
        <v>0</v>
      </c>
      <c r="BJ28" s="39"/>
      <c r="BK28" s="38">
        <f>COUNTIFS(DataRegularSeason20242025!$D$2:$D$1315,TotalTeamGames20242025!BK$1,DataRegularSeason20242025!$E$2:$E$1315,TotalTeamGames20242025!$A27,DataRegularSeason20242025!$N$2:$N$1315,1)</f>
        <v>0</v>
      </c>
      <c r="BL28" s="39"/>
      <c r="BM28" s="38">
        <f>COUNTIFS(DataRegularSeason20242025!$D$2:$D$1315,TotalTeamGames20242025!BM$1,DataRegularSeason20242025!$E$2:$E$1315,TotalTeamGames20242025!$A27,DataRegularSeason20242025!$N$2:$N$1315,1)</f>
        <v>0</v>
      </c>
      <c r="BN28" s="39"/>
      <c r="BO28" s="34">
        <f t="shared" si="0"/>
        <v>3</v>
      </c>
      <c r="BP28" s="165"/>
      <c r="BQ28" s="166"/>
    </row>
    <row r="29" spans="1:69" ht="9.9499999999999993" customHeight="1" x14ac:dyDescent="0.25">
      <c r="A29" s="172" t="s">
        <v>36</v>
      </c>
      <c r="B29" s="28" t="s">
        <v>74</v>
      </c>
      <c r="C29" s="35"/>
      <c r="D29" s="28">
        <f>COUNTIFS(DataRegularSeason20242025!$E$2:$E$1315,TotalTeamGames20242025!C$1,DataRegularSeason20242025!$D$2:$D$1315,TotalTeamGames20242025!$A29,DataRegularSeason20242025!$N$2:$N$1315,1)</f>
        <v>0</v>
      </c>
      <c r="E29" s="35"/>
      <c r="F29" s="28">
        <f>COUNTIFS(DataRegularSeason20242025!$E$2:$E$1315,TotalTeamGames20242025!E$1,DataRegularSeason20242025!$D$2:$D$1315,TotalTeamGames20242025!$A29,DataRegularSeason20242025!$N$2:$N$1315,1)</f>
        <v>0</v>
      </c>
      <c r="G29" s="35"/>
      <c r="H29" s="28">
        <f>COUNTIFS(DataRegularSeason20242025!$E$2:$E$1315,TotalTeamGames20242025!G$1,DataRegularSeason20242025!$D$2:$D$1315,TotalTeamGames20242025!$A29,DataRegularSeason20242025!$N$2:$N$1315,1)</f>
        <v>0</v>
      </c>
      <c r="I29" s="35"/>
      <c r="J29" s="28">
        <f>COUNTIFS(DataRegularSeason20242025!$E$2:$E$1315,TotalTeamGames20242025!I$1,DataRegularSeason20242025!$D$2:$D$1315,TotalTeamGames20242025!$A29,DataRegularSeason20242025!$N$2:$N$1315,1)</f>
        <v>0</v>
      </c>
      <c r="K29" s="35"/>
      <c r="L29" s="28">
        <f>COUNTIFS(DataRegularSeason20242025!$E$2:$E$1315,TotalTeamGames20242025!K$1,DataRegularSeason20242025!$D$2:$D$1315,TotalTeamGames20242025!$A29,DataRegularSeason20242025!$N$2:$N$1315,1)</f>
        <v>0</v>
      </c>
      <c r="M29" s="35"/>
      <c r="N29" s="28">
        <f>COUNTIFS(DataRegularSeason20242025!$E$2:$E$1315,TotalTeamGames20242025!M$1,DataRegularSeason20242025!$D$2:$D$1315,TotalTeamGames20242025!$A29,DataRegularSeason20242025!$N$2:$N$1315,1)</f>
        <v>0</v>
      </c>
      <c r="O29" s="35"/>
      <c r="P29" s="28">
        <f>COUNTIFS(DataRegularSeason20242025!$E$2:$E$1315,TotalTeamGames20242025!O$1,DataRegularSeason20242025!$D$2:$D$1315,TotalTeamGames20242025!$A29,DataRegularSeason20242025!$N$2:$N$1315,1)</f>
        <v>0</v>
      </c>
      <c r="Q29" s="35"/>
      <c r="R29" s="28">
        <f>COUNTIFS(DataRegularSeason20242025!$E$2:$E$1315,TotalTeamGames20242025!Q$1,DataRegularSeason20242025!$D$2:$D$1315,TotalTeamGames20242025!$A29,DataRegularSeason20242025!$N$2:$N$1315,1)</f>
        <v>0</v>
      </c>
      <c r="S29" s="35"/>
      <c r="T29" s="28">
        <f>COUNTIFS(DataRegularSeason20242025!$E$2:$E$1315,TotalTeamGames20242025!S$1,DataRegularSeason20242025!$D$2:$D$1315,TotalTeamGames20242025!$A29,DataRegularSeason20242025!$N$2:$N$1315,1)</f>
        <v>1</v>
      </c>
      <c r="U29" s="35"/>
      <c r="V29" s="28">
        <f>COUNTIFS(DataRegularSeason20242025!$E$2:$E$1315,TotalTeamGames20242025!U$1,DataRegularSeason20242025!$D$2:$D$1315,TotalTeamGames20242025!$A29,DataRegularSeason20242025!$N$2:$N$1315,1)</f>
        <v>0</v>
      </c>
      <c r="W29" s="35"/>
      <c r="X29" s="28">
        <f>COUNTIFS(DataRegularSeason20242025!$E$2:$E$1315,TotalTeamGames20242025!W$1,DataRegularSeason20242025!$D$2:$D$1315,TotalTeamGames20242025!$A29,DataRegularSeason20242025!$N$2:$N$1315,1)</f>
        <v>0</v>
      </c>
      <c r="Y29" s="35"/>
      <c r="Z29" s="28">
        <f>COUNTIFS(DataRegularSeason20242025!$E$2:$E$1315,TotalTeamGames20242025!Y$1,DataRegularSeason20242025!$D$2:$D$1315,TotalTeamGames20242025!$A29,DataRegularSeason20242025!$N$2:$N$1315,1)</f>
        <v>0</v>
      </c>
      <c r="AA29" s="35"/>
      <c r="AB29" s="28">
        <f>COUNTIFS(DataRegularSeason20242025!$E$2:$E$1315,TotalTeamGames20242025!AA$1,DataRegularSeason20242025!$D$2:$D$1315,TotalTeamGames20242025!$A29,DataRegularSeason20242025!$N$2:$N$1315,1)</f>
        <v>0</v>
      </c>
      <c r="AC29" s="35"/>
      <c r="AD29" s="36"/>
      <c r="AE29" s="35"/>
      <c r="AF29" s="28">
        <f>COUNTIFS(DataRegularSeason20242025!$E$2:$E$1315,TotalTeamGames20242025!AE$1,DataRegularSeason20242025!$D$2:$D$1315,TotalTeamGames20242025!$A29,DataRegularSeason20242025!$N$2:$N$1315,1)</f>
        <v>0</v>
      </c>
      <c r="AG29" s="35"/>
      <c r="AH29" s="28">
        <f>COUNTIFS(DataRegularSeason20242025!$E$2:$E$1315,TotalTeamGames20242025!AG$1,DataRegularSeason20242025!$D$2:$D$1315,TotalTeamGames20242025!$A29,DataRegularSeason20242025!$N$2:$N$1315,1)</f>
        <v>0</v>
      </c>
      <c r="AI29" s="35"/>
      <c r="AJ29" s="28">
        <f>COUNTIFS(DataRegularSeason20242025!$E$2:$E$1315,TotalTeamGames20242025!AI$1,DataRegularSeason20242025!$D$2:$D$1315,TotalTeamGames20242025!$A29,DataRegularSeason20242025!$N$2:$N$1315,1)</f>
        <v>0</v>
      </c>
      <c r="AK29" s="35"/>
      <c r="AL29" s="28">
        <f>COUNTIFS(DataRegularSeason20242025!$E$2:$E$1315,TotalTeamGames20242025!AK$1,DataRegularSeason20242025!$D$2:$D$1315,TotalTeamGames20242025!$A29,DataRegularSeason20242025!$N$2:$N$1315,1)</f>
        <v>0</v>
      </c>
      <c r="AM29" s="35"/>
      <c r="AN29" s="28">
        <f>COUNTIFS(DataRegularSeason20242025!$E$2:$E$1315,TotalTeamGames20242025!AM$1,DataRegularSeason20242025!$D$2:$D$1315,TotalTeamGames20242025!$A29,DataRegularSeason20242025!$N$2:$N$1315,1)</f>
        <v>1</v>
      </c>
      <c r="AO29" s="35"/>
      <c r="AP29" s="28">
        <f>COUNTIFS(DataRegularSeason20242025!$E$2:$E$1315,TotalTeamGames20242025!AO$1,DataRegularSeason20242025!$D$2:$D$1315,TotalTeamGames20242025!$A29,DataRegularSeason20242025!$N$2:$N$1315,1)</f>
        <v>0</v>
      </c>
      <c r="AQ29" s="35"/>
      <c r="AR29" s="28">
        <f>COUNTIFS(DataRegularSeason20242025!$E$2:$E$1315,TotalTeamGames20242025!AQ$1,DataRegularSeason20242025!$D$2:$D$1315,TotalTeamGames20242025!$A29,DataRegularSeason20242025!$N$2:$N$1315,1)</f>
        <v>1</v>
      </c>
      <c r="AS29" s="35"/>
      <c r="AT29" s="28">
        <f>COUNTIFS(DataRegularSeason20242025!$E$2:$E$1315,TotalTeamGames20242025!AS$1,DataRegularSeason20242025!$D$2:$D$1315,TotalTeamGames20242025!$A29,DataRegularSeason20242025!$N$2:$N$1315,1)</f>
        <v>0</v>
      </c>
      <c r="AU29" s="35"/>
      <c r="AV29" s="28">
        <f>COUNTIFS(DataRegularSeason20242025!$E$2:$E$1315,TotalTeamGames20242025!AU$1,DataRegularSeason20242025!$D$2:$D$1315,TotalTeamGames20242025!$A29,DataRegularSeason20242025!$N$2:$N$1315,1)</f>
        <v>0</v>
      </c>
      <c r="AW29" s="35"/>
      <c r="AX29" s="28">
        <f>COUNTIFS(DataRegularSeason20242025!$E$2:$E$1315,TotalTeamGames20242025!AW$1,DataRegularSeason20242025!$D$2:$D$1315,TotalTeamGames20242025!$A29,DataRegularSeason20242025!$N$2:$N$1315,1)</f>
        <v>0</v>
      </c>
      <c r="AY29" s="35"/>
      <c r="AZ29" s="28">
        <f>COUNTIFS(DataRegularSeason20242025!$E$2:$E$1315,TotalTeamGames20242025!AY$1,DataRegularSeason20242025!$D$2:$D$1315,TotalTeamGames20242025!$A29,DataRegularSeason20242025!$N$2:$N$1315,1)</f>
        <v>1</v>
      </c>
      <c r="BA29" s="35"/>
      <c r="BB29" s="28">
        <f>COUNTIFS(DataRegularSeason20242025!$E$2:$E$1315,TotalTeamGames20242025!BA$1,DataRegularSeason20242025!$D$2:$D$1315,TotalTeamGames20242025!$A29,DataRegularSeason20242025!$N$2:$N$1315,1)</f>
        <v>0</v>
      </c>
      <c r="BC29" s="35"/>
      <c r="BD29" s="28">
        <f>COUNTIFS(DataRegularSeason20242025!$E$2:$E$1315,TotalTeamGames20242025!BC$1,DataRegularSeason20242025!$D$2:$D$1315,TotalTeamGames20242025!$A29,DataRegularSeason20242025!$N$2:$N$1315,1)</f>
        <v>0</v>
      </c>
      <c r="BE29" s="35"/>
      <c r="BF29" s="28">
        <f>COUNTIFS(DataRegularSeason20242025!$E$2:$E$1315,TotalTeamGames20242025!BE$1,DataRegularSeason20242025!$D$2:$D$1315,TotalTeamGames20242025!$A29,DataRegularSeason20242025!$N$2:$N$1315,1)</f>
        <v>0</v>
      </c>
      <c r="BG29" s="35"/>
      <c r="BH29" s="28">
        <f>COUNTIFS(DataRegularSeason20242025!$E$2:$E$1315,TotalTeamGames20242025!BG$1,DataRegularSeason20242025!$D$2:$D$1315,TotalTeamGames20242025!$A29,DataRegularSeason20242025!$N$2:$N$1315,1)</f>
        <v>0</v>
      </c>
      <c r="BI29" s="35"/>
      <c r="BJ29" s="28">
        <f>COUNTIFS(DataRegularSeason20242025!$E$2:$E$1315,TotalTeamGames20242025!BI$1,DataRegularSeason20242025!$D$2:$D$1315,TotalTeamGames20242025!$A29,DataRegularSeason20242025!$N$2:$N$1315,1)</f>
        <v>0</v>
      </c>
      <c r="BK29" s="35"/>
      <c r="BL29" s="28">
        <f>COUNTIFS(DataRegularSeason20242025!$E$2:$E$1315,TotalTeamGames20242025!BK$1,DataRegularSeason20242025!$D$2:$D$1315,TotalTeamGames20242025!$A29,DataRegularSeason20242025!$N$2:$N$1315,1)</f>
        <v>0</v>
      </c>
      <c r="BM29" s="35"/>
      <c r="BN29" s="28">
        <f>COUNTIFS(DataRegularSeason20242025!$E$2:$E$1315,TotalTeamGames20242025!BM$1,DataRegularSeason20242025!$D$2:$D$1315,TotalTeamGames20242025!$A29,DataRegularSeason20242025!$N$2:$N$1315,1)</f>
        <v>1</v>
      </c>
      <c r="BO29" s="30">
        <f t="shared" si="0"/>
        <v>5</v>
      </c>
      <c r="BP29" s="165">
        <f t="shared" ref="BP29" si="25">BO29+BO30</f>
        <v>7</v>
      </c>
      <c r="BQ29" s="166">
        <f t="shared" ref="BQ29" si="26">82-BP29</f>
        <v>75</v>
      </c>
    </row>
    <row r="30" spans="1:69" ht="9.9499999999999993" customHeight="1" x14ac:dyDescent="0.25">
      <c r="A30" s="167"/>
      <c r="B30" s="32" t="s">
        <v>73</v>
      </c>
      <c r="C30" s="38">
        <f>COUNTIFS(DataRegularSeason20242025!$D$2:$D$1315,TotalTeamGames20242025!C$1,DataRegularSeason20242025!$E$2:$E$1315,TotalTeamGames20242025!$A29,DataRegularSeason20242025!$N$2:$N$1315,1)</f>
        <v>0</v>
      </c>
      <c r="D30" s="39"/>
      <c r="E30" s="38">
        <f>COUNTIFS(DataRegularSeason20242025!$D$2:$D$1315,TotalTeamGames20242025!E$1,DataRegularSeason20242025!$E$2:$E$1315,TotalTeamGames20242025!$A29,DataRegularSeason20242025!$N$2:$N$1315,1)</f>
        <v>0</v>
      </c>
      <c r="F30" s="39"/>
      <c r="G30" s="38">
        <f>COUNTIFS(DataRegularSeason20242025!$D$2:$D$1315,TotalTeamGames20242025!G$1,DataRegularSeason20242025!$E$2:$E$1315,TotalTeamGames20242025!$A29,DataRegularSeason20242025!$N$2:$N$1315,1)</f>
        <v>0</v>
      </c>
      <c r="H30" s="39"/>
      <c r="I30" s="38">
        <f>COUNTIFS(DataRegularSeason20242025!$D$2:$D$1315,TotalTeamGames20242025!I$1,DataRegularSeason20242025!$E$2:$E$1315,TotalTeamGames20242025!$A29,DataRegularSeason20242025!$N$2:$N$1315,1)</f>
        <v>0</v>
      </c>
      <c r="J30" s="39"/>
      <c r="K30" s="38">
        <f>COUNTIFS(DataRegularSeason20242025!$D$2:$D$1315,TotalTeamGames20242025!K$1,DataRegularSeason20242025!$E$2:$E$1315,TotalTeamGames20242025!$A29,DataRegularSeason20242025!$N$2:$N$1315,1)</f>
        <v>1</v>
      </c>
      <c r="L30" s="39"/>
      <c r="M30" s="38">
        <f>COUNTIFS(DataRegularSeason20242025!$D$2:$D$1315,TotalTeamGames20242025!M$1,DataRegularSeason20242025!$E$2:$E$1315,TotalTeamGames20242025!$A29,DataRegularSeason20242025!$N$2:$N$1315,1)</f>
        <v>0</v>
      </c>
      <c r="N30" s="39"/>
      <c r="O30" s="38">
        <f>COUNTIFS(DataRegularSeason20242025!$D$2:$D$1315,TotalTeamGames20242025!O$1,DataRegularSeason20242025!$E$2:$E$1315,TotalTeamGames20242025!$A29,DataRegularSeason20242025!$N$2:$N$1315,1)</f>
        <v>0</v>
      </c>
      <c r="P30" s="39"/>
      <c r="Q30" s="38">
        <f>COUNTIFS(DataRegularSeason20242025!$D$2:$D$1315,TotalTeamGames20242025!Q$1,DataRegularSeason20242025!$E$2:$E$1315,TotalTeamGames20242025!$A29,DataRegularSeason20242025!$N$2:$N$1315,1)</f>
        <v>0</v>
      </c>
      <c r="R30" s="39"/>
      <c r="S30" s="38">
        <f>COUNTIFS(DataRegularSeason20242025!$D$2:$D$1315,TotalTeamGames20242025!S$1,DataRegularSeason20242025!$E$2:$E$1315,TotalTeamGames20242025!$A29,DataRegularSeason20242025!$N$2:$N$1315,1)</f>
        <v>0</v>
      </c>
      <c r="T30" s="39"/>
      <c r="U30" s="38">
        <f>COUNTIFS(DataRegularSeason20242025!$D$2:$D$1315,TotalTeamGames20242025!U$1,DataRegularSeason20242025!$E$2:$E$1315,TotalTeamGames20242025!$A29,DataRegularSeason20242025!$N$2:$N$1315,1)</f>
        <v>0</v>
      </c>
      <c r="V30" s="39"/>
      <c r="W30" s="38">
        <f>COUNTIFS(DataRegularSeason20242025!$D$2:$D$1315,TotalTeamGames20242025!W$1,DataRegularSeason20242025!$E$2:$E$1315,TotalTeamGames20242025!$A29,DataRegularSeason20242025!$N$2:$N$1315,1)</f>
        <v>0</v>
      </c>
      <c r="X30" s="39"/>
      <c r="Y30" s="38">
        <f>COUNTIFS(DataRegularSeason20242025!$D$2:$D$1315,TotalTeamGames20242025!Y$1,DataRegularSeason20242025!$E$2:$E$1315,TotalTeamGames20242025!$A29,DataRegularSeason20242025!$N$2:$N$1315,1)</f>
        <v>0</v>
      </c>
      <c r="Z30" s="39"/>
      <c r="AA30" s="38">
        <f>COUNTIFS(DataRegularSeason20242025!$D$2:$D$1315,TotalTeamGames20242025!AA$1,DataRegularSeason20242025!$E$2:$E$1315,TotalTeamGames20242025!$A29,DataRegularSeason20242025!$N$2:$N$1315,1)</f>
        <v>1</v>
      </c>
      <c r="AB30" s="39"/>
      <c r="AC30" s="38"/>
      <c r="AD30" s="39"/>
      <c r="AE30" s="38">
        <f>COUNTIFS(DataRegularSeason20242025!$D$2:$D$1315,TotalTeamGames20242025!AE$1,DataRegularSeason20242025!$E$2:$E$1315,TotalTeamGames20242025!$A29,DataRegularSeason20242025!$N$2:$N$1315,1)</f>
        <v>0</v>
      </c>
      <c r="AF30" s="39"/>
      <c r="AG30" s="38">
        <f>COUNTIFS(DataRegularSeason20242025!$D$2:$D$1315,TotalTeamGames20242025!AG$1,DataRegularSeason20242025!$E$2:$E$1315,TotalTeamGames20242025!$A29,DataRegularSeason20242025!$N$2:$N$1315,1)</f>
        <v>0</v>
      </c>
      <c r="AH30" s="39"/>
      <c r="AI30" s="38">
        <f>COUNTIFS(DataRegularSeason20242025!$D$2:$D$1315,TotalTeamGames20242025!AI$1,DataRegularSeason20242025!$E$2:$E$1315,TotalTeamGames20242025!$A29,DataRegularSeason20242025!$N$2:$N$1315,1)</f>
        <v>0</v>
      </c>
      <c r="AJ30" s="39"/>
      <c r="AK30" s="38">
        <f>COUNTIFS(DataRegularSeason20242025!$D$2:$D$1315,TotalTeamGames20242025!AK$1,DataRegularSeason20242025!$E$2:$E$1315,TotalTeamGames20242025!$A29,DataRegularSeason20242025!$N$2:$N$1315,1)</f>
        <v>0</v>
      </c>
      <c r="AL30" s="39"/>
      <c r="AM30" s="38">
        <f>COUNTIFS(DataRegularSeason20242025!$D$2:$D$1315,TotalTeamGames20242025!AM$1,DataRegularSeason20242025!$E$2:$E$1315,TotalTeamGames20242025!$A29,DataRegularSeason20242025!$N$2:$N$1315,1)</f>
        <v>0</v>
      </c>
      <c r="AN30" s="39"/>
      <c r="AO30" s="38">
        <f>COUNTIFS(DataRegularSeason20242025!$D$2:$D$1315,TotalTeamGames20242025!AO$1,DataRegularSeason20242025!$E$2:$E$1315,TotalTeamGames20242025!$A29,DataRegularSeason20242025!$N$2:$N$1315,1)</f>
        <v>0</v>
      </c>
      <c r="AP30" s="39"/>
      <c r="AQ30" s="38">
        <f>COUNTIFS(DataRegularSeason20242025!$D$2:$D$1315,TotalTeamGames20242025!AQ$1,DataRegularSeason20242025!$E$2:$E$1315,TotalTeamGames20242025!$A29,DataRegularSeason20242025!$N$2:$N$1315,1)</f>
        <v>0</v>
      </c>
      <c r="AR30" s="39"/>
      <c r="AS30" s="38">
        <f>COUNTIFS(DataRegularSeason20242025!$D$2:$D$1315,TotalTeamGames20242025!AS$1,DataRegularSeason20242025!$E$2:$E$1315,TotalTeamGames20242025!$A29,DataRegularSeason20242025!$N$2:$N$1315,1)</f>
        <v>0</v>
      </c>
      <c r="AT30" s="39"/>
      <c r="AU30" s="38">
        <f>COUNTIFS(DataRegularSeason20242025!$D$2:$D$1315,TotalTeamGames20242025!AU$1,DataRegularSeason20242025!$E$2:$E$1315,TotalTeamGames20242025!$A29,DataRegularSeason20242025!$N$2:$N$1315,1)</f>
        <v>0</v>
      </c>
      <c r="AV30" s="39"/>
      <c r="AW30" s="38">
        <f>COUNTIFS(DataRegularSeason20242025!$D$2:$D$1315,TotalTeamGames20242025!AW$1,DataRegularSeason20242025!$E$2:$E$1315,TotalTeamGames20242025!$A29,DataRegularSeason20242025!$N$2:$N$1315,1)</f>
        <v>0</v>
      </c>
      <c r="AX30" s="39"/>
      <c r="AY30" s="38">
        <f>COUNTIFS(DataRegularSeason20242025!$D$2:$D$1315,TotalTeamGames20242025!AY$1,DataRegularSeason20242025!$E$2:$E$1315,TotalTeamGames20242025!$A29,DataRegularSeason20242025!$N$2:$N$1315,1)</f>
        <v>0</v>
      </c>
      <c r="AZ30" s="39"/>
      <c r="BA30" s="38">
        <f>COUNTIFS(DataRegularSeason20242025!$D$2:$D$1315,TotalTeamGames20242025!BA$1,DataRegularSeason20242025!$E$2:$E$1315,TotalTeamGames20242025!$A29,DataRegularSeason20242025!$N$2:$N$1315,1)</f>
        <v>0</v>
      </c>
      <c r="BB30" s="39"/>
      <c r="BC30" s="38">
        <f>COUNTIFS(DataRegularSeason20242025!$D$2:$D$1315,TotalTeamGames20242025!BC$1,DataRegularSeason20242025!$E$2:$E$1315,TotalTeamGames20242025!$A29,DataRegularSeason20242025!$N$2:$N$1315,1)</f>
        <v>0</v>
      </c>
      <c r="BD30" s="39"/>
      <c r="BE30" s="38">
        <f>COUNTIFS(DataRegularSeason20242025!$D$2:$D$1315,TotalTeamGames20242025!BE$1,DataRegularSeason20242025!$E$2:$E$1315,TotalTeamGames20242025!$A29,DataRegularSeason20242025!$N$2:$N$1315,1)</f>
        <v>0</v>
      </c>
      <c r="BF30" s="39"/>
      <c r="BG30" s="38">
        <f>COUNTIFS(DataRegularSeason20242025!$D$2:$D$1315,TotalTeamGames20242025!BG$1,DataRegularSeason20242025!$E$2:$E$1315,TotalTeamGames20242025!$A29,DataRegularSeason20242025!$N$2:$N$1315,1)</f>
        <v>0</v>
      </c>
      <c r="BH30" s="39"/>
      <c r="BI30" s="38">
        <f>COUNTIFS(DataRegularSeason20242025!$D$2:$D$1315,TotalTeamGames20242025!BI$1,DataRegularSeason20242025!$E$2:$E$1315,TotalTeamGames20242025!$A29,DataRegularSeason20242025!$N$2:$N$1315,1)</f>
        <v>0</v>
      </c>
      <c r="BJ30" s="39"/>
      <c r="BK30" s="38">
        <f>COUNTIFS(DataRegularSeason20242025!$D$2:$D$1315,TotalTeamGames20242025!BK$1,DataRegularSeason20242025!$E$2:$E$1315,TotalTeamGames20242025!$A29,DataRegularSeason20242025!$N$2:$N$1315,1)</f>
        <v>0</v>
      </c>
      <c r="BL30" s="39"/>
      <c r="BM30" s="38">
        <f>COUNTIFS(DataRegularSeason20242025!$D$2:$D$1315,TotalTeamGames20242025!BM$1,DataRegularSeason20242025!$E$2:$E$1315,TotalTeamGames20242025!$A29,DataRegularSeason20242025!$N$2:$N$1315,1)</f>
        <v>0</v>
      </c>
      <c r="BN30" s="39"/>
      <c r="BO30" s="34">
        <f t="shared" si="0"/>
        <v>2</v>
      </c>
      <c r="BP30" s="165"/>
      <c r="BQ30" s="166"/>
    </row>
    <row r="31" spans="1:69" ht="9.9499999999999993" customHeight="1" x14ac:dyDescent="0.25">
      <c r="A31" s="172" t="s">
        <v>18</v>
      </c>
      <c r="B31" s="28" t="s">
        <v>74</v>
      </c>
      <c r="C31" s="35"/>
      <c r="D31" s="28">
        <f>COUNTIFS(DataRegularSeason20242025!$E$2:$E$1315,TotalTeamGames20242025!C$1,DataRegularSeason20242025!$D$2:$D$1315,TotalTeamGames20242025!$A31,DataRegularSeason20242025!$N$2:$N$1315,1)</f>
        <v>0</v>
      </c>
      <c r="E31" s="35"/>
      <c r="F31" s="28">
        <f>COUNTIFS(DataRegularSeason20242025!$E$2:$E$1315,TotalTeamGames20242025!E$1,DataRegularSeason20242025!$D$2:$D$1315,TotalTeamGames20242025!$A31,DataRegularSeason20242025!$N$2:$N$1315,1)</f>
        <v>0</v>
      </c>
      <c r="G31" s="35"/>
      <c r="H31" s="28">
        <f>COUNTIFS(DataRegularSeason20242025!$E$2:$E$1315,TotalTeamGames20242025!G$1,DataRegularSeason20242025!$D$2:$D$1315,TotalTeamGames20242025!$A31,DataRegularSeason20242025!$N$2:$N$1315,1)</f>
        <v>0</v>
      </c>
      <c r="I31" s="35"/>
      <c r="J31" s="28">
        <f>COUNTIFS(DataRegularSeason20242025!$E$2:$E$1315,TotalTeamGames20242025!I$1,DataRegularSeason20242025!$D$2:$D$1315,TotalTeamGames20242025!$A31,DataRegularSeason20242025!$N$2:$N$1315,1)</f>
        <v>0</v>
      </c>
      <c r="K31" s="35"/>
      <c r="L31" s="28">
        <f>COUNTIFS(DataRegularSeason20242025!$E$2:$E$1315,TotalTeamGames20242025!K$1,DataRegularSeason20242025!$D$2:$D$1315,TotalTeamGames20242025!$A31,DataRegularSeason20242025!$N$2:$N$1315,1)</f>
        <v>0</v>
      </c>
      <c r="M31" s="35"/>
      <c r="N31" s="28">
        <f>COUNTIFS(DataRegularSeason20242025!$E$2:$E$1315,TotalTeamGames20242025!M$1,DataRegularSeason20242025!$D$2:$D$1315,TotalTeamGames20242025!$A31,DataRegularSeason20242025!$N$2:$N$1315,1)</f>
        <v>0</v>
      </c>
      <c r="O31" s="35"/>
      <c r="P31" s="28">
        <f>COUNTIFS(DataRegularSeason20242025!$E$2:$E$1315,TotalTeamGames20242025!O$1,DataRegularSeason20242025!$D$2:$D$1315,TotalTeamGames20242025!$A31,DataRegularSeason20242025!$N$2:$N$1315,1)</f>
        <v>1</v>
      </c>
      <c r="Q31" s="35"/>
      <c r="R31" s="28">
        <f>COUNTIFS(DataRegularSeason20242025!$E$2:$E$1315,TotalTeamGames20242025!Q$1,DataRegularSeason20242025!$D$2:$D$1315,TotalTeamGames20242025!$A31,DataRegularSeason20242025!$N$2:$N$1315,1)</f>
        <v>0</v>
      </c>
      <c r="S31" s="35"/>
      <c r="T31" s="28">
        <f>COUNTIFS(DataRegularSeason20242025!$E$2:$E$1315,TotalTeamGames20242025!S$1,DataRegularSeason20242025!$D$2:$D$1315,TotalTeamGames20242025!$A31,DataRegularSeason20242025!$N$2:$N$1315,1)</f>
        <v>0</v>
      </c>
      <c r="U31" s="35"/>
      <c r="V31" s="28">
        <f>COUNTIFS(DataRegularSeason20242025!$E$2:$E$1315,TotalTeamGames20242025!U$1,DataRegularSeason20242025!$D$2:$D$1315,TotalTeamGames20242025!$A31,DataRegularSeason20242025!$N$2:$N$1315,1)</f>
        <v>1</v>
      </c>
      <c r="W31" s="35"/>
      <c r="X31" s="28">
        <f>COUNTIFS(DataRegularSeason20242025!$E$2:$E$1315,TotalTeamGames20242025!W$1,DataRegularSeason20242025!$D$2:$D$1315,TotalTeamGames20242025!$A31,DataRegularSeason20242025!$N$2:$N$1315,1)</f>
        <v>0</v>
      </c>
      <c r="Y31" s="35"/>
      <c r="Z31" s="28">
        <f>COUNTIFS(DataRegularSeason20242025!$E$2:$E$1315,TotalTeamGames20242025!Y$1,DataRegularSeason20242025!$D$2:$D$1315,TotalTeamGames20242025!$A31,DataRegularSeason20242025!$N$2:$N$1315,1)</f>
        <v>0</v>
      </c>
      <c r="AA31" s="35"/>
      <c r="AB31" s="28">
        <f>COUNTIFS(DataRegularSeason20242025!$E$2:$E$1315,TotalTeamGames20242025!AA$1,DataRegularSeason20242025!$D$2:$D$1315,TotalTeamGames20242025!$A31,DataRegularSeason20242025!$N$2:$N$1315,1)</f>
        <v>0</v>
      </c>
      <c r="AC31" s="35"/>
      <c r="AD31" s="28">
        <f>COUNTIFS(DataRegularSeason20242025!$E$2:$E$1315,TotalTeamGames20242025!AC$1,DataRegularSeason20242025!$D$2:$D$1315,TotalTeamGames20242025!$A31,DataRegularSeason20242025!$N$2:$N$1315,1)</f>
        <v>0</v>
      </c>
      <c r="AE31" s="35"/>
      <c r="AF31" s="36"/>
      <c r="AG31" s="35"/>
      <c r="AH31" s="28">
        <f>COUNTIFS(DataRegularSeason20242025!$E$2:$E$1315,TotalTeamGames20242025!AG$1,DataRegularSeason20242025!$D$2:$D$1315,TotalTeamGames20242025!$A31,DataRegularSeason20242025!$N$2:$N$1315,1)</f>
        <v>0</v>
      </c>
      <c r="AI31" s="35"/>
      <c r="AJ31" s="28">
        <f>COUNTIFS(DataRegularSeason20242025!$E$2:$E$1315,TotalTeamGames20242025!AI$1,DataRegularSeason20242025!$D$2:$D$1315,TotalTeamGames20242025!$A31,DataRegularSeason20242025!$N$2:$N$1315,1)</f>
        <v>0</v>
      </c>
      <c r="AK31" s="35"/>
      <c r="AL31" s="28">
        <f>COUNTIFS(DataRegularSeason20242025!$E$2:$E$1315,TotalTeamGames20242025!AK$1,DataRegularSeason20242025!$D$2:$D$1315,TotalTeamGames20242025!$A31,DataRegularSeason20242025!$N$2:$N$1315,1)</f>
        <v>0</v>
      </c>
      <c r="AM31" s="35"/>
      <c r="AN31" s="28">
        <f>COUNTIFS(DataRegularSeason20242025!$E$2:$E$1315,TotalTeamGames20242025!AM$1,DataRegularSeason20242025!$D$2:$D$1315,TotalTeamGames20242025!$A31,DataRegularSeason20242025!$N$2:$N$1315,1)</f>
        <v>0</v>
      </c>
      <c r="AO31" s="35"/>
      <c r="AP31" s="28">
        <f>COUNTIFS(DataRegularSeason20242025!$E$2:$E$1315,TotalTeamGames20242025!AO$1,DataRegularSeason20242025!$D$2:$D$1315,TotalTeamGames20242025!$A31,DataRegularSeason20242025!$N$2:$N$1315,1)</f>
        <v>0</v>
      </c>
      <c r="AQ31" s="35"/>
      <c r="AR31" s="28">
        <f>COUNTIFS(DataRegularSeason20242025!$E$2:$E$1315,TotalTeamGames20242025!AQ$1,DataRegularSeason20242025!$D$2:$D$1315,TotalTeamGames20242025!$A31,DataRegularSeason20242025!$N$2:$N$1315,1)</f>
        <v>0</v>
      </c>
      <c r="AS31" s="35"/>
      <c r="AT31" s="28">
        <f>COUNTIFS(DataRegularSeason20242025!$E$2:$E$1315,TotalTeamGames20242025!AS$1,DataRegularSeason20242025!$D$2:$D$1315,TotalTeamGames20242025!$A31,DataRegularSeason20242025!$N$2:$N$1315,1)</f>
        <v>0</v>
      </c>
      <c r="AU31" s="35"/>
      <c r="AV31" s="28">
        <f>COUNTIFS(DataRegularSeason20242025!$E$2:$E$1315,TotalTeamGames20242025!AU$1,DataRegularSeason20242025!$D$2:$D$1315,TotalTeamGames20242025!$A31,DataRegularSeason20242025!$N$2:$N$1315,1)</f>
        <v>0</v>
      </c>
      <c r="AW31" s="35"/>
      <c r="AX31" s="28">
        <f>COUNTIFS(DataRegularSeason20242025!$E$2:$E$1315,TotalTeamGames20242025!AW$1,DataRegularSeason20242025!$D$2:$D$1315,TotalTeamGames20242025!$A31,DataRegularSeason20242025!$N$2:$N$1315,1)</f>
        <v>0</v>
      </c>
      <c r="AY31" s="35"/>
      <c r="AZ31" s="28">
        <f>COUNTIFS(DataRegularSeason20242025!$E$2:$E$1315,TotalTeamGames20242025!AY$1,DataRegularSeason20242025!$D$2:$D$1315,TotalTeamGames20242025!$A31,DataRegularSeason20242025!$N$2:$N$1315,1)</f>
        <v>0</v>
      </c>
      <c r="BA31" s="35"/>
      <c r="BB31" s="28">
        <f>COUNTIFS(DataRegularSeason20242025!$E$2:$E$1315,TotalTeamGames20242025!BA$1,DataRegularSeason20242025!$D$2:$D$1315,TotalTeamGames20242025!$A31,DataRegularSeason20242025!$N$2:$N$1315,1)</f>
        <v>0</v>
      </c>
      <c r="BC31" s="35"/>
      <c r="BD31" s="28">
        <f>COUNTIFS(DataRegularSeason20242025!$E$2:$E$1315,TotalTeamGames20242025!BC$1,DataRegularSeason20242025!$D$2:$D$1315,TotalTeamGames20242025!$A31,DataRegularSeason20242025!$N$2:$N$1315,1)</f>
        <v>1</v>
      </c>
      <c r="BE31" s="35"/>
      <c r="BF31" s="28">
        <f>COUNTIFS(DataRegularSeason20242025!$E$2:$E$1315,TotalTeamGames20242025!BE$1,DataRegularSeason20242025!$D$2:$D$1315,TotalTeamGames20242025!$A31,DataRegularSeason20242025!$N$2:$N$1315,1)</f>
        <v>0</v>
      </c>
      <c r="BG31" s="35"/>
      <c r="BH31" s="28">
        <f>COUNTIFS(DataRegularSeason20242025!$E$2:$E$1315,TotalTeamGames20242025!BG$1,DataRegularSeason20242025!$D$2:$D$1315,TotalTeamGames20242025!$A31,DataRegularSeason20242025!$N$2:$N$1315,1)</f>
        <v>0</v>
      </c>
      <c r="BI31" s="35"/>
      <c r="BJ31" s="28">
        <f>COUNTIFS(DataRegularSeason20242025!$E$2:$E$1315,TotalTeamGames20242025!BI$1,DataRegularSeason20242025!$D$2:$D$1315,TotalTeamGames20242025!$A31,DataRegularSeason20242025!$N$2:$N$1315,1)</f>
        <v>0</v>
      </c>
      <c r="BK31" s="35"/>
      <c r="BL31" s="28">
        <f>COUNTIFS(DataRegularSeason20242025!$E$2:$E$1315,TotalTeamGames20242025!BK$1,DataRegularSeason20242025!$D$2:$D$1315,TotalTeamGames20242025!$A31,DataRegularSeason20242025!$N$2:$N$1315,1)</f>
        <v>0</v>
      </c>
      <c r="BM31" s="35"/>
      <c r="BN31" s="28">
        <f>COUNTIFS(DataRegularSeason20242025!$E$2:$E$1315,TotalTeamGames20242025!BM$1,DataRegularSeason20242025!$D$2:$D$1315,TotalTeamGames20242025!$A31,DataRegularSeason20242025!$N$2:$N$1315,1)</f>
        <v>0</v>
      </c>
      <c r="BO31" s="30">
        <f t="shared" si="0"/>
        <v>3</v>
      </c>
      <c r="BP31" s="165">
        <f t="shared" ref="BP31" si="27">BO31+BO32</f>
        <v>7</v>
      </c>
      <c r="BQ31" s="166">
        <f t="shared" ref="BQ31" si="28">82-BP31</f>
        <v>75</v>
      </c>
    </row>
    <row r="32" spans="1:69" ht="9.9499999999999993" customHeight="1" x14ac:dyDescent="0.25">
      <c r="A32" s="167"/>
      <c r="B32" s="32" t="s">
        <v>73</v>
      </c>
      <c r="C32" s="38">
        <f>COUNTIFS(DataRegularSeason20242025!$D$2:$D$1315,TotalTeamGames20242025!C$1,DataRegularSeason20242025!$E$2:$E$1315,TotalTeamGames20242025!$A31,DataRegularSeason20242025!$N$2:$N$1315,1)</f>
        <v>0</v>
      </c>
      <c r="D32" s="39"/>
      <c r="E32" s="38">
        <f>COUNTIFS(DataRegularSeason20242025!$D$2:$D$1315,TotalTeamGames20242025!E$1,DataRegularSeason20242025!$E$2:$E$1315,TotalTeamGames20242025!$A31,DataRegularSeason20242025!$N$2:$N$1315,1)</f>
        <v>0</v>
      </c>
      <c r="F32" s="39"/>
      <c r="G32" s="38">
        <f>COUNTIFS(DataRegularSeason20242025!$D$2:$D$1315,TotalTeamGames20242025!G$1,DataRegularSeason20242025!$E$2:$E$1315,TotalTeamGames20242025!$A31,DataRegularSeason20242025!$N$2:$N$1315,1)</f>
        <v>1</v>
      </c>
      <c r="H32" s="39"/>
      <c r="I32" s="38">
        <f>COUNTIFS(DataRegularSeason20242025!$D$2:$D$1315,TotalTeamGames20242025!I$1,DataRegularSeason20242025!$E$2:$E$1315,TotalTeamGames20242025!$A31,DataRegularSeason20242025!$N$2:$N$1315,1)</f>
        <v>0</v>
      </c>
      <c r="J32" s="39"/>
      <c r="K32" s="38">
        <f>COUNTIFS(DataRegularSeason20242025!$D$2:$D$1315,TotalTeamGames20242025!K$1,DataRegularSeason20242025!$E$2:$E$1315,TotalTeamGames20242025!$A31,DataRegularSeason20242025!$N$2:$N$1315,1)</f>
        <v>0</v>
      </c>
      <c r="L32" s="39"/>
      <c r="M32" s="38">
        <f>COUNTIFS(DataRegularSeason20242025!$D$2:$D$1315,TotalTeamGames20242025!M$1,DataRegularSeason20242025!$E$2:$E$1315,TotalTeamGames20242025!$A31,DataRegularSeason20242025!$N$2:$N$1315,1)</f>
        <v>0</v>
      </c>
      <c r="N32" s="39"/>
      <c r="O32" s="38">
        <f>COUNTIFS(DataRegularSeason20242025!$D$2:$D$1315,TotalTeamGames20242025!O$1,DataRegularSeason20242025!$E$2:$E$1315,TotalTeamGames20242025!$A31,DataRegularSeason20242025!$N$2:$N$1315,1)</f>
        <v>0</v>
      </c>
      <c r="P32" s="39"/>
      <c r="Q32" s="38">
        <f>COUNTIFS(DataRegularSeason20242025!$D$2:$D$1315,TotalTeamGames20242025!Q$1,DataRegularSeason20242025!$E$2:$E$1315,TotalTeamGames20242025!$A31,DataRegularSeason20242025!$N$2:$N$1315,1)</f>
        <v>0</v>
      </c>
      <c r="R32" s="39"/>
      <c r="S32" s="38">
        <f>COUNTIFS(DataRegularSeason20242025!$D$2:$D$1315,TotalTeamGames20242025!S$1,DataRegularSeason20242025!$E$2:$E$1315,TotalTeamGames20242025!$A31,DataRegularSeason20242025!$N$2:$N$1315,1)</f>
        <v>0</v>
      </c>
      <c r="T32" s="39"/>
      <c r="U32" s="38">
        <f>COUNTIFS(DataRegularSeason20242025!$D$2:$D$1315,TotalTeamGames20242025!U$1,DataRegularSeason20242025!$E$2:$E$1315,TotalTeamGames20242025!$A31,DataRegularSeason20242025!$N$2:$N$1315,1)</f>
        <v>0</v>
      </c>
      <c r="V32" s="39"/>
      <c r="W32" s="38">
        <f>COUNTIFS(DataRegularSeason20242025!$D$2:$D$1315,TotalTeamGames20242025!W$1,DataRegularSeason20242025!$E$2:$E$1315,TotalTeamGames20242025!$A31,DataRegularSeason20242025!$N$2:$N$1315,1)</f>
        <v>0</v>
      </c>
      <c r="X32" s="39"/>
      <c r="Y32" s="38">
        <f>COUNTIFS(DataRegularSeason20242025!$D$2:$D$1315,TotalTeamGames20242025!Y$1,DataRegularSeason20242025!$E$2:$E$1315,TotalTeamGames20242025!$A31,DataRegularSeason20242025!$N$2:$N$1315,1)</f>
        <v>0</v>
      </c>
      <c r="Z32" s="39"/>
      <c r="AA32" s="38">
        <f>COUNTIFS(DataRegularSeason20242025!$D$2:$D$1315,TotalTeamGames20242025!AA$1,DataRegularSeason20242025!$E$2:$E$1315,TotalTeamGames20242025!$A31,DataRegularSeason20242025!$N$2:$N$1315,1)</f>
        <v>0</v>
      </c>
      <c r="AB32" s="39"/>
      <c r="AC32" s="38">
        <f>COUNTIFS(DataRegularSeason20242025!$D$2:$D$1315,TotalTeamGames20242025!AC$1,DataRegularSeason20242025!$E$2:$E$1315,TotalTeamGames20242025!$A31,DataRegularSeason20242025!$N$2:$N$1315,1)</f>
        <v>0</v>
      </c>
      <c r="AD32" s="39"/>
      <c r="AE32" s="38"/>
      <c r="AF32" s="39"/>
      <c r="AG32" s="38">
        <f>COUNTIFS(DataRegularSeason20242025!$D$2:$D$1315,TotalTeamGames20242025!AG$1,DataRegularSeason20242025!$E$2:$E$1315,TotalTeamGames20242025!$A31,DataRegularSeason20242025!$N$2:$N$1315,1)</f>
        <v>0</v>
      </c>
      <c r="AH32" s="39"/>
      <c r="AI32" s="38">
        <f>COUNTIFS(DataRegularSeason20242025!$D$2:$D$1315,TotalTeamGames20242025!AI$1,DataRegularSeason20242025!$E$2:$E$1315,TotalTeamGames20242025!$A31,DataRegularSeason20242025!$N$2:$N$1315,1)</f>
        <v>1</v>
      </c>
      <c r="AJ32" s="39"/>
      <c r="AK32" s="38">
        <f>COUNTIFS(DataRegularSeason20242025!$D$2:$D$1315,TotalTeamGames20242025!AK$1,DataRegularSeason20242025!$E$2:$E$1315,TotalTeamGames20242025!$A31,DataRegularSeason20242025!$N$2:$N$1315,1)</f>
        <v>0</v>
      </c>
      <c r="AL32" s="39"/>
      <c r="AM32" s="38">
        <f>COUNTIFS(DataRegularSeason20242025!$D$2:$D$1315,TotalTeamGames20242025!AM$1,DataRegularSeason20242025!$E$2:$E$1315,TotalTeamGames20242025!$A31,DataRegularSeason20242025!$N$2:$N$1315,1)</f>
        <v>1</v>
      </c>
      <c r="AN32" s="39"/>
      <c r="AO32" s="38">
        <f>COUNTIFS(DataRegularSeason20242025!$D$2:$D$1315,TotalTeamGames20242025!AO$1,DataRegularSeason20242025!$E$2:$E$1315,TotalTeamGames20242025!$A31,DataRegularSeason20242025!$N$2:$N$1315,1)</f>
        <v>0</v>
      </c>
      <c r="AP32" s="39"/>
      <c r="AQ32" s="38">
        <f>COUNTIFS(DataRegularSeason20242025!$D$2:$D$1315,TotalTeamGames20242025!AQ$1,DataRegularSeason20242025!$E$2:$E$1315,TotalTeamGames20242025!$A31,DataRegularSeason20242025!$N$2:$N$1315,1)</f>
        <v>0</v>
      </c>
      <c r="AR32" s="39"/>
      <c r="AS32" s="38">
        <f>COUNTIFS(DataRegularSeason20242025!$D$2:$D$1315,TotalTeamGames20242025!AS$1,DataRegularSeason20242025!$E$2:$E$1315,TotalTeamGames20242025!$A31,DataRegularSeason20242025!$N$2:$N$1315,1)</f>
        <v>0</v>
      </c>
      <c r="AT32" s="39"/>
      <c r="AU32" s="38">
        <f>COUNTIFS(DataRegularSeason20242025!$D$2:$D$1315,TotalTeamGames20242025!AU$1,DataRegularSeason20242025!$E$2:$E$1315,TotalTeamGames20242025!$A31,DataRegularSeason20242025!$N$2:$N$1315,1)</f>
        <v>1</v>
      </c>
      <c r="AV32" s="39"/>
      <c r="AW32" s="38">
        <f>COUNTIFS(DataRegularSeason20242025!$D$2:$D$1315,TotalTeamGames20242025!AW$1,DataRegularSeason20242025!$E$2:$E$1315,TotalTeamGames20242025!$A31,DataRegularSeason20242025!$N$2:$N$1315,1)</f>
        <v>0</v>
      </c>
      <c r="AX32" s="39"/>
      <c r="AY32" s="38">
        <f>COUNTIFS(DataRegularSeason20242025!$D$2:$D$1315,TotalTeamGames20242025!AY$1,DataRegularSeason20242025!$E$2:$E$1315,TotalTeamGames20242025!$A31,DataRegularSeason20242025!$N$2:$N$1315,1)</f>
        <v>0</v>
      </c>
      <c r="AZ32" s="39"/>
      <c r="BA32" s="38">
        <f>COUNTIFS(DataRegularSeason20242025!$D$2:$D$1315,TotalTeamGames20242025!BA$1,DataRegularSeason20242025!$E$2:$E$1315,TotalTeamGames20242025!$A31,DataRegularSeason20242025!$N$2:$N$1315,1)</f>
        <v>0</v>
      </c>
      <c r="BB32" s="39"/>
      <c r="BC32" s="38">
        <f>COUNTIFS(DataRegularSeason20242025!$D$2:$D$1315,TotalTeamGames20242025!BC$1,DataRegularSeason20242025!$E$2:$E$1315,TotalTeamGames20242025!$A31,DataRegularSeason20242025!$N$2:$N$1315,1)</f>
        <v>0</v>
      </c>
      <c r="BD32" s="39"/>
      <c r="BE32" s="38">
        <f>COUNTIFS(DataRegularSeason20242025!$D$2:$D$1315,TotalTeamGames20242025!BE$1,DataRegularSeason20242025!$E$2:$E$1315,TotalTeamGames20242025!$A31,DataRegularSeason20242025!$N$2:$N$1315,1)</f>
        <v>0</v>
      </c>
      <c r="BF32" s="39"/>
      <c r="BG32" s="38">
        <f>COUNTIFS(DataRegularSeason20242025!$D$2:$D$1315,TotalTeamGames20242025!BG$1,DataRegularSeason20242025!$E$2:$E$1315,TotalTeamGames20242025!$A31,DataRegularSeason20242025!$N$2:$N$1315,1)</f>
        <v>0</v>
      </c>
      <c r="BH32" s="39"/>
      <c r="BI32" s="38">
        <f>COUNTIFS(DataRegularSeason20242025!$D$2:$D$1315,TotalTeamGames20242025!BI$1,DataRegularSeason20242025!$E$2:$E$1315,TotalTeamGames20242025!$A31,DataRegularSeason20242025!$N$2:$N$1315,1)</f>
        <v>0</v>
      </c>
      <c r="BJ32" s="39"/>
      <c r="BK32" s="38">
        <f>COUNTIFS(DataRegularSeason20242025!$D$2:$D$1315,TotalTeamGames20242025!BK$1,DataRegularSeason20242025!$E$2:$E$1315,TotalTeamGames20242025!$A31,DataRegularSeason20242025!$N$2:$N$1315,1)</f>
        <v>0</v>
      </c>
      <c r="BL32" s="39"/>
      <c r="BM32" s="38">
        <f>COUNTIFS(DataRegularSeason20242025!$D$2:$D$1315,TotalTeamGames20242025!BM$1,DataRegularSeason20242025!$E$2:$E$1315,TotalTeamGames20242025!$A31,DataRegularSeason20242025!$N$2:$N$1315,1)</f>
        <v>0</v>
      </c>
      <c r="BN32" s="39"/>
      <c r="BO32" s="34">
        <f t="shared" si="0"/>
        <v>4</v>
      </c>
      <c r="BP32" s="165"/>
      <c r="BQ32" s="166"/>
    </row>
    <row r="33" spans="1:69" ht="9.9499999999999993" customHeight="1" x14ac:dyDescent="0.25">
      <c r="A33" s="172" t="s">
        <v>31</v>
      </c>
      <c r="B33" s="28" t="s">
        <v>74</v>
      </c>
      <c r="C33" s="35"/>
      <c r="D33" s="28">
        <f>COUNTIFS(DataRegularSeason20242025!$E$2:$E$1315,TotalTeamGames20242025!C$1,DataRegularSeason20242025!$D$2:$D$1315,TotalTeamGames20242025!$A33,DataRegularSeason20242025!$N$2:$N$1315,1)</f>
        <v>0</v>
      </c>
      <c r="E33" s="35"/>
      <c r="F33" s="28">
        <f>COUNTIFS(DataRegularSeason20242025!$E$2:$E$1315,TotalTeamGames20242025!E$1,DataRegularSeason20242025!$D$2:$D$1315,TotalTeamGames20242025!$A33,DataRegularSeason20242025!$N$2:$N$1315,1)</f>
        <v>0</v>
      </c>
      <c r="G33" s="35"/>
      <c r="H33" s="28">
        <f>COUNTIFS(DataRegularSeason20242025!$E$2:$E$1315,TotalTeamGames20242025!G$1,DataRegularSeason20242025!$D$2:$D$1315,TotalTeamGames20242025!$A33,DataRegularSeason20242025!$N$2:$N$1315,1)</f>
        <v>0</v>
      </c>
      <c r="I33" s="35"/>
      <c r="J33" s="28">
        <f>COUNTIFS(DataRegularSeason20242025!$E$2:$E$1315,TotalTeamGames20242025!I$1,DataRegularSeason20242025!$D$2:$D$1315,TotalTeamGames20242025!$A33,DataRegularSeason20242025!$N$2:$N$1315,1)</f>
        <v>1</v>
      </c>
      <c r="K33" s="35"/>
      <c r="L33" s="28">
        <f>COUNTIFS(DataRegularSeason20242025!$E$2:$E$1315,TotalTeamGames20242025!K$1,DataRegularSeason20242025!$D$2:$D$1315,TotalTeamGames20242025!$A33,DataRegularSeason20242025!$N$2:$N$1315,1)</f>
        <v>1</v>
      </c>
      <c r="M33" s="35"/>
      <c r="N33" s="28">
        <f>COUNTIFS(DataRegularSeason20242025!$E$2:$E$1315,TotalTeamGames20242025!M$1,DataRegularSeason20242025!$D$2:$D$1315,TotalTeamGames20242025!$A33,DataRegularSeason20242025!$N$2:$N$1315,1)</f>
        <v>0</v>
      </c>
      <c r="O33" s="35"/>
      <c r="P33" s="28">
        <f>COUNTIFS(DataRegularSeason20242025!$E$2:$E$1315,TotalTeamGames20242025!O$1,DataRegularSeason20242025!$D$2:$D$1315,TotalTeamGames20242025!$A33,DataRegularSeason20242025!$N$2:$N$1315,1)</f>
        <v>0</v>
      </c>
      <c r="Q33" s="35"/>
      <c r="R33" s="28">
        <f>COUNTIFS(DataRegularSeason20242025!$E$2:$E$1315,TotalTeamGames20242025!Q$1,DataRegularSeason20242025!$D$2:$D$1315,TotalTeamGames20242025!$A33,DataRegularSeason20242025!$N$2:$N$1315,1)</f>
        <v>0</v>
      </c>
      <c r="S33" s="35"/>
      <c r="T33" s="28">
        <f>COUNTIFS(DataRegularSeason20242025!$E$2:$E$1315,TotalTeamGames20242025!S$1,DataRegularSeason20242025!$D$2:$D$1315,TotalTeamGames20242025!$A33,DataRegularSeason20242025!$N$2:$N$1315,1)</f>
        <v>0</v>
      </c>
      <c r="U33" s="35"/>
      <c r="V33" s="28">
        <f>COUNTIFS(DataRegularSeason20242025!$E$2:$E$1315,TotalTeamGames20242025!U$1,DataRegularSeason20242025!$D$2:$D$1315,TotalTeamGames20242025!$A33,DataRegularSeason20242025!$N$2:$N$1315,1)</f>
        <v>0</v>
      </c>
      <c r="W33" s="35"/>
      <c r="X33" s="28">
        <f>COUNTIFS(DataRegularSeason20242025!$E$2:$E$1315,TotalTeamGames20242025!W$1,DataRegularSeason20242025!$D$2:$D$1315,TotalTeamGames20242025!$A33,DataRegularSeason20242025!$N$2:$N$1315,1)</f>
        <v>0</v>
      </c>
      <c r="Y33" s="35"/>
      <c r="Z33" s="28">
        <f>COUNTIFS(DataRegularSeason20242025!$E$2:$E$1315,TotalTeamGames20242025!Y$1,DataRegularSeason20242025!$D$2:$D$1315,TotalTeamGames20242025!$A33,DataRegularSeason20242025!$N$2:$N$1315,1)</f>
        <v>0</v>
      </c>
      <c r="AA33" s="35"/>
      <c r="AB33" s="28">
        <f>COUNTIFS(DataRegularSeason20242025!$E$2:$E$1315,TotalTeamGames20242025!AA$1,DataRegularSeason20242025!$D$2:$D$1315,TotalTeamGames20242025!$A33,DataRegularSeason20242025!$N$2:$N$1315,1)</f>
        <v>0</v>
      </c>
      <c r="AC33" s="35"/>
      <c r="AD33" s="28">
        <f>COUNTIFS(DataRegularSeason20242025!$E$2:$E$1315,TotalTeamGames20242025!AC$1,DataRegularSeason20242025!$D$2:$D$1315,TotalTeamGames20242025!$A33,DataRegularSeason20242025!$N$2:$N$1315,1)</f>
        <v>0</v>
      </c>
      <c r="AE33" s="35"/>
      <c r="AF33" s="28">
        <f>COUNTIFS(DataRegularSeason20242025!$E$2:$E$1315,TotalTeamGames20242025!AE$1,DataRegularSeason20242025!$D$2:$D$1315,TotalTeamGames20242025!$A33,DataRegularSeason20242025!$N$2:$N$1315,1)</f>
        <v>0</v>
      </c>
      <c r="AG33" s="35"/>
      <c r="AH33" s="36"/>
      <c r="AI33" s="35"/>
      <c r="AJ33" s="28">
        <f>COUNTIFS(DataRegularSeason20242025!$E$2:$E$1315,TotalTeamGames20242025!AI$1,DataRegularSeason20242025!$D$2:$D$1315,TotalTeamGames20242025!$A33,DataRegularSeason20242025!$N$2:$N$1315,1)</f>
        <v>0</v>
      </c>
      <c r="AK33" s="35"/>
      <c r="AL33" s="28">
        <f>COUNTIFS(DataRegularSeason20242025!$E$2:$E$1315,TotalTeamGames20242025!AK$1,DataRegularSeason20242025!$D$2:$D$1315,TotalTeamGames20242025!$A33,DataRegularSeason20242025!$N$2:$N$1315,1)</f>
        <v>0</v>
      </c>
      <c r="AM33" s="35"/>
      <c r="AN33" s="28">
        <f>COUNTIFS(DataRegularSeason20242025!$E$2:$E$1315,TotalTeamGames20242025!AM$1,DataRegularSeason20242025!$D$2:$D$1315,TotalTeamGames20242025!$A33,DataRegularSeason20242025!$N$2:$N$1315,1)</f>
        <v>0</v>
      </c>
      <c r="AO33" s="35"/>
      <c r="AP33" s="28">
        <f>COUNTIFS(DataRegularSeason20242025!$E$2:$E$1315,TotalTeamGames20242025!AO$1,DataRegularSeason20242025!$D$2:$D$1315,TotalTeamGames20242025!$A33,DataRegularSeason20242025!$N$2:$N$1315,1)</f>
        <v>0</v>
      </c>
      <c r="AQ33" s="35"/>
      <c r="AR33" s="28">
        <f>COUNTIFS(DataRegularSeason20242025!$E$2:$E$1315,TotalTeamGames20242025!AQ$1,DataRegularSeason20242025!$D$2:$D$1315,TotalTeamGames20242025!$A33,DataRegularSeason20242025!$N$2:$N$1315,1)</f>
        <v>0</v>
      </c>
      <c r="AS33" s="35"/>
      <c r="AT33" s="28">
        <f>COUNTIFS(DataRegularSeason20242025!$E$2:$E$1315,TotalTeamGames20242025!AS$1,DataRegularSeason20242025!$D$2:$D$1315,TotalTeamGames20242025!$A33,DataRegularSeason20242025!$N$2:$N$1315,1)</f>
        <v>0</v>
      </c>
      <c r="AU33" s="35"/>
      <c r="AV33" s="28">
        <f>COUNTIFS(DataRegularSeason20242025!$E$2:$E$1315,TotalTeamGames20242025!AU$1,DataRegularSeason20242025!$D$2:$D$1315,TotalTeamGames20242025!$A33,DataRegularSeason20242025!$N$2:$N$1315,1)</f>
        <v>0</v>
      </c>
      <c r="AW33" s="35"/>
      <c r="AX33" s="28">
        <f>COUNTIFS(DataRegularSeason20242025!$E$2:$E$1315,TotalTeamGames20242025!AW$1,DataRegularSeason20242025!$D$2:$D$1315,TotalTeamGames20242025!$A33,DataRegularSeason20242025!$N$2:$N$1315,1)</f>
        <v>0</v>
      </c>
      <c r="AY33" s="35"/>
      <c r="AZ33" s="28">
        <f>COUNTIFS(DataRegularSeason20242025!$E$2:$E$1315,TotalTeamGames20242025!AY$1,DataRegularSeason20242025!$D$2:$D$1315,TotalTeamGames20242025!$A33,DataRegularSeason20242025!$N$2:$N$1315,1)</f>
        <v>0</v>
      </c>
      <c r="BA33" s="35"/>
      <c r="BB33" s="28">
        <f>COUNTIFS(DataRegularSeason20242025!$E$2:$E$1315,TotalTeamGames20242025!BA$1,DataRegularSeason20242025!$D$2:$D$1315,TotalTeamGames20242025!$A33,DataRegularSeason20242025!$N$2:$N$1315,1)</f>
        <v>1</v>
      </c>
      <c r="BC33" s="35"/>
      <c r="BD33" s="28">
        <f>COUNTIFS(DataRegularSeason20242025!$E$2:$E$1315,TotalTeamGames20242025!BC$1,DataRegularSeason20242025!$D$2:$D$1315,TotalTeamGames20242025!$A33,DataRegularSeason20242025!$N$2:$N$1315,1)</f>
        <v>1</v>
      </c>
      <c r="BE33" s="35"/>
      <c r="BF33" s="28">
        <f>COUNTIFS(DataRegularSeason20242025!$E$2:$E$1315,TotalTeamGames20242025!BE$1,DataRegularSeason20242025!$D$2:$D$1315,TotalTeamGames20242025!$A33,DataRegularSeason20242025!$N$2:$N$1315,1)</f>
        <v>0</v>
      </c>
      <c r="BG33" s="35"/>
      <c r="BH33" s="28">
        <f>COUNTIFS(DataRegularSeason20242025!$E$2:$E$1315,TotalTeamGames20242025!BG$1,DataRegularSeason20242025!$D$2:$D$1315,TotalTeamGames20242025!$A33,DataRegularSeason20242025!$N$2:$N$1315,1)</f>
        <v>0</v>
      </c>
      <c r="BI33" s="35"/>
      <c r="BJ33" s="28">
        <f>COUNTIFS(DataRegularSeason20242025!$E$2:$E$1315,TotalTeamGames20242025!BI$1,DataRegularSeason20242025!$D$2:$D$1315,TotalTeamGames20242025!$A33,DataRegularSeason20242025!$N$2:$N$1315,1)</f>
        <v>0</v>
      </c>
      <c r="BK33" s="35"/>
      <c r="BL33" s="28">
        <f>COUNTIFS(DataRegularSeason20242025!$E$2:$E$1315,TotalTeamGames20242025!BK$1,DataRegularSeason20242025!$D$2:$D$1315,TotalTeamGames20242025!$A33,DataRegularSeason20242025!$N$2:$N$1315,1)</f>
        <v>0</v>
      </c>
      <c r="BM33" s="35"/>
      <c r="BN33" s="28">
        <f>COUNTIFS(DataRegularSeason20242025!$E$2:$E$1315,TotalTeamGames20242025!BM$1,DataRegularSeason20242025!$D$2:$D$1315,TotalTeamGames20242025!$A33,DataRegularSeason20242025!$N$2:$N$1315,1)</f>
        <v>0</v>
      </c>
      <c r="BO33" s="30">
        <f t="shared" si="0"/>
        <v>4</v>
      </c>
      <c r="BP33" s="165">
        <f t="shared" ref="BP33" si="29">BO33+BO34</f>
        <v>6</v>
      </c>
      <c r="BQ33" s="166">
        <f t="shared" ref="BQ33" si="30">82-BP33</f>
        <v>76</v>
      </c>
    </row>
    <row r="34" spans="1:69" ht="9.9499999999999993" customHeight="1" x14ac:dyDescent="0.25">
      <c r="A34" s="167"/>
      <c r="B34" s="32" t="s">
        <v>73</v>
      </c>
      <c r="C34" s="38">
        <f>COUNTIFS(DataRegularSeason20242025!$D$2:$D$1315,TotalTeamGames20242025!C$1,DataRegularSeason20242025!$E$2:$E$1315,TotalTeamGames20242025!$A33,DataRegularSeason20242025!$N$2:$N$1315,1)</f>
        <v>0</v>
      </c>
      <c r="D34" s="39"/>
      <c r="E34" s="38">
        <f>COUNTIFS(DataRegularSeason20242025!$D$2:$D$1315,TotalTeamGames20242025!E$1,DataRegularSeason20242025!$E$2:$E$1315,TotalTeamGames20242025!$A33,DataRegularSeason20242025!$N$2:$N$1315,1)</f>
        <v>0</v>
      </c>
      <c r="F34" s="39"/>
      <c r="G34" s="38">
        <f>COUNTIFS(DataRegularSeason20242025!$D$2:$D$1315,TotalTeamGames20242025!G$1,DataRegularSeason20242025!$E$2:$E$1315,TotalTeamGames20242025!$A33,DataRegularSeason20242025!$N$2:$N$1315,1)</f>
        <v>0</v>
      </c>
      <c r="H34" s="39"/>
      <c r="I34" s="38">
        <f>COUNTIFS(DataRegularSeason20242025!$D$2:$D$1315,TotalTeamGames20242025!I$1,DataRegularSeason20242025!$E$2:$E$1315,TotalTeamGames20242025!$A33,DataRegularSeason20242025!$N$2:$N$1315,1)</f>
        <v>0</v>
      </c>
      <c r="J34" s="39"/>
      <c r="K34" s="38">
        <f>COUNTIFS(DataRegularSeason20242025!$D$2:$D$1315,TotalTeamGames20242025!K$1,DataRegularSeason20242025!$E$2:$E$1315,TotalTeamGames20242025!$A33,DataRegularSeason20242025!$N$2:$N$1315,1)</f>
        <v>0</v>
      </c>
      <c r="L34" s="39"/>
      <c r="M34" s="38">
        <f>COUNTIFS(DataRegularSeason20242025!$D$2:$D$1315,TotalTeamGames20242025!M$1,DataRegularSeason20242025!$E$2:$E$1315,TotalTeamGames20242025!$A33,DataRegularSeason20242025!$N$2:$N$1315,1)</f>
        <v>0</v>
      </c>
      <c r="N34" s="39"/>
      <c r="O34" s="38">
        <f>COUNTIFS(DataRegularSeason20242025!$D$2:$D$1315,TotalTeamGames20242025!O$1,DataRegularSeason20242025!$E$2:$E$1315,TotalTeamGames20242025!$A33,DataRegularSeason20242025!$N$2:$N$1315,1)</f>
        <v>0</v>
      </c>
      <c r="P34" s="39"/>
      <c r="Q34" s="38">
        <f>COUNTIFS(DataRegularSeason20242025!$D$2:$D$1315,TotalTeamGames20242025!Q$1,DataRegularSeason20242025!$E$2:$E$1315,TotalTeamGames20242025!$A33,DataRegularSeason20242025!$N$2:$N$1315,1)</f>
        <v>0</v>
      </c>
      <c r="R34" s="39"/>
      <c r="S34" s="38">
        <f>COUNTIFS(DataRegularSeason20242025!$D$2:$D$1315,TotalTeamGames20242025!S$1,DataRegularSeason20242025!$E$2:$E$1315,TotalTeamGames20242025!$A33,DataRegularSeason20242025!$N$2:$N$1315,1)</f>
        <v>0</v>
      </c>
      <c r="T34" s="39"/>
      <c r="U34" s="38">
        <f>COUNTIFS(DataRegularSeason20242025!$D$2:$D$1315,TotalTeamGames20242025!U$1,DataRegularSeason20242025!$E$2:$E$1315,TotalTeamGames20242025!$A33,DataRegularSeason20242025!$N$2:$N$1315,1)</f>
        <v>0</v>
      </c>
      <c r="V34" s="39"/>
      <c r="W34" s="38">
        <f>COUNTIFS(DataRegularSeason20242025!$D$2:$D$1315,TotalTeamGames20242025!W$1,DataRegularSeason20242025!$E$2:$E$1315,TotalTeamGames20242025!$A33,DataRegularSeason20242025!$N$2:$N$1315,1)</f>
        <v>1</v>
      </c>
      <c r="X34" s="39"/>
      <c r="Y34" s="38">
        <f>COUNTIFS(DataRegularSeason20242025!$D$2:$D$1315,TotalTeamGames20242025!Y$1,DataRegularSeason20242025!$E$2:$E$1315,TotalTeamGames20242025!$A33,DataRegularSeason20242025!$N$2:$N$1315,1)</f>
        <v>1</v>
      </c>
      <c r="Z34" s="39"/>
      <c r="AA34" s="38">
        <f>COUNTIFS(DataRegularSeason20242025!$D$2:$D$1315,TotalTeamGames20242025!AA$1,DataRegularSeason20242025!$E$2:$E$1315,TotalTeamGames20242025!$A33,DataRegularSeason20242025!$N$2:$N$1315,1)</f>
        <v>0</v>
      </c>
      <c r="AB34" s="39"/>
      <c r="AC34" s="38">
        <f>COUNTIFS(DataRegularSeason20242025!$D$2:$D$1315,TotalTeamGames20242025!AC$1,DataRegularSeason20242025!$E$2:$E$1315,TotalTeamGames20242025!$A33,DataRegularSeason20242025!$N$2:$N$1315,1)</f>
        <v>0</v>
      </c>
      <c r="AD34" s="39"/>
      <c r="AE34" s="38">
        <f>COUNTIFS(DataRegularSeason20242025!$D$2:$D$1315,TotalTeamGames20242025!AE$1,DataRegularSeason20242025!$E$2:$E$1315,TotalTeamGames20242025!$A33,DataRegularSeason20242025!$N$2:$N$1315,1)</f>
        <v>0</v>
      </c>
      <c r="AF34" s="39"/>
      <c r="AG34" s="38"/>
      <c r="AH34" s="39"/>
      <c r="AI34" s="38">
        <f>COUNTIFS(DataRegularSeason20242025!$D$2:$D$1315,TotalTeamGames20242025!AI$1,DataRegularSeason20242025!$E$2:$E$1315,TotalTeamGames20242025!$A33,DataRegularSeason20242025!$N$2:$N$1315,1)</f>
        <v>0</v>
      </c>
      <c r="AJ34" s="39"/>
      <c r="AK34" s="38">
        <f>COUNTIFS(DataRegularSeason20242025!$D$2:$D$1315,TotalTeamGames20242025!AK$1,DataRegularSeason20242025!$E$2:$E$1315,TotalTeamGames20242025!$A33,DataRegularSeason20242025!$N$2:$N$1315,1)</f>
        <v>0</v>
      </c>
      <c r="AL34" s="39"/>
      <c r="AM34" s="38">
        <f>COUNTIFS(DataRegularSeason20242025!$D$2:$D$1315,TotalTeamGames20242025!AM$1,DataRegularSeason20242025!$E$2:$E$1315,TotalTeamGames20242025!$A33,DataRegularSeason20242025!$N$2:$N$1315,1)</f>
        <v>0</v>
      </c>
      <c r="AN34" s="39"/>
      <c r="AO34" s="38">
        <f>COUNTIFS(DataRegularSeason20242025!$D$2:$D$1315,TotalTeamGames20242025!AO$1,DataRegularSeason20242025!$E$2:$E$1315,TotalTeamGames20242025!$A33,DataRegularSeason20242025!$N$2:$N$1315,1)</f>
        <v>0</v>
      </c>
      <c r="AP34" s="39"/>
      <c r="AQ34" s="38">
        <f>COUNTIFS(DataRegularSeason20242025!$D$2:$D$1315,TotalTeamGames20242025!AQ$1,DataRegularSeason20242025!$E$2:$E$1315,TotalTeamGames20242025!$A33,DataRegularSeason20242025!$N$2:$N$1315,1)</f>
        <v>0</v>
      </c>
      <c r="AR34" s="39"/>
      <c r="AS34" s="38">
        <f>COUNTIFS(DataRegularSeason20242025!$D$2:$D$1315,TotalTeamGames20242025!AS$1,DataRegularSeason20242025!$E$2:$E$1315,TotalTeamGames20242025!$A33,DataRegularSeason20242025!$N$2:$N$1315,1)</f>
        <v>0</v>
      </c>
      <c r="AT34" s="39"/>
      <c r="AU34" s="38">
        <f>COUNTIFS(DataRegularSeason20242025!$D$2:$D$1315,TotalTeamGames20242025!AU$1,DataRegularSeason20242025!$E$2:$E$1315,TotalTeamGames20242025!$A33,DataRegularSeason20242025!$N$2:$N$1315,1)</f>
        <v>0</v>
      </c>
      <c r="AV34" s="39"/>
      <c r="AW34" s="38">
        <f>COUNTIFS(DataRegularSeason20242025!$D$2:$D$1315,TotalTeamGames20242025!AW$1,DataRegularSeason20242025!$E$2:$E$1315,TotalTeamGames20242025!$A33,DataRegularSeason20242025!$N$2:$N$1315,1)</f>
        <v>0</v>
      </c>
      <c r="AX34" s="39"/>
      <c r="AY34" s="38">
        <f>COUNTIFS(DataRegularSeason20242025!$D$2:$D$1315,TotalTeamGames20242025!AY$1,DataRegularSeason20242025!$E$2:$E$1315,TotalTeamGames20242025!$A33,DataRegularSeason20242025!$N$2:$N$1315,1)</f>
        <v>0</v>
      </c>
      <c r="AZ34" s="39"/>
      <c r="BA34" s="38">
        <f>COUNTIFS(DataRegularSeason20242025!$D$2:$D$1315,TotalTeamGames20242025!BA$1,DataRegularSeason20242025!$E$2:$E$1315,TotalTeamGames20242025!$A33,DataRegularSeason20242025!$N$2:$N$1315,1)</f>
        <v>0</v>
      </c>
      <c r="BB34" s="39"/>
      <c r="BC34" s="38">
        <f>COUNTIFS(DataRegularSeason20242025!$D$2:$D$1315,TotalTeamGames20242025!BC$1,DataRegularSeason20242025!$E$2:$E$1315,TotalTeamGames20242025!$A33,DataRegularSeason20242025!$N$2:$N$1315,1)</f>
        <v>0</v>
      </c>
      <c r="BD34" s="39"/>
      <c r="BE34" s="38">
        <f>COUNTIFS(DataRegularSeason20242025!$D$2:$D$1315,TotalTeamGames20242025!BE$1,DataRegularSeason20242025!$E$2:$E$1315,TotalTeamGames20242025!$A33,DataRegularSeason20242025!$N$2:$N$1315,1)</f>
        <v>0</v>
      </c>
      <c r="BF34" s="39"/>
      <c r="BG34" s="38">
        <f>COUNTIFS(DataRegularSeason20242025!$D$2:$D$1315,TotalTeamGames20242025!BG$1,DataRegularSeason20242025!$E$2:$E$1315,TotalTeamGames20242025!$A33,DataRegularSeason20242025!$N$2:$N$1315,1)</f>
        <v>0</v>
      </c>
      <c r="BH34" s="39"/>
      <c r="BI34" s="38">
        <f>COUNTIFS(DataRegularSeason20242025!$D$2:$D$1315,TotalTeamGames20242025!BI$1,DataRegularSeason20242025!$E$2:$E$1315,TotalTeamGames20242025!$A33,DataRegularSeason20242025!$N$2:$N$1315,1)</f>
        <v>0</v>
      </c>
      <c r="BJ34" s="39"/>
      <c r="BK34" s="38">
        <f>COUNTIFS(DataRegularSeason20242025!$D$2:$D$1315,TotalTeamGames20242025!BK$1,DataRegularSeason20242025!$E$2:$E$1315,TotalTeamGames20242025!$A33,DataRegularSeason20242025!$N$2:$N$1315,1)</f>
        <v>0</v>
      </c>
      <c r="BL34" s="39"/>
      <c r="BM34" s="38">
        <f>COUNTIFS(DataRegularSeason20242025!$D$2:$D$1315,TotalTeamGames20242025!BM$1,DataRegularSeason20242025!$E$2:$E$1315,TotalTeamGames20242025!$A33,DataRegularSeason20242025!$N$2:$N$1315,1)</f>
        <v>0</v>
      </c>
      <c r="BN34" s="39"/>
      <c r="BO34" s="34">
        <f t="shared" si="0"/>
        <v>2</v>
      </c>
      <c r="BP34" s="165"/>
      <c r="BQ34" s="166"/>
    </row>
    <row r="35" spans="1:69" ht="9.9499999999999993" customHeight="1" x14ac:dyDescent="0.25">
      <c r="A35" s="172" t="s">
        <v>34</v>
      </c>
      <c r="B35" s="28" t="s">
        <v>74</v>
      </c>
      <c r="C35" s="35"/>
      <c r="D35" s="28">
        <f>COUNTIFS(DataRegularSeason20242025!$E$2:$E$1315,TotalTeamGames20242025!C$1,DataRegularSeason20242025!$D$2:$D$1315,TotalTeamGames20242025!$A35,DataRegularSeason20242025!$N$2:$N$1315,1)</f>
        <v>0</v>
      </c>
      <c r="E35" s="35"/>
      <c r="F35" s="28">
        <f>COUNTIFS(DataRegularSeason20242025!$E$2:$E$1315,TotalTeamGames20242025!E$1,DataRegularSeason20242025!$D$2:$D$1315,TotalTeamGames20242025!$A35,DataRegularSeason20242025!$N$2:$N$1315,1)</f>
        <v>0</v>
      </c>
      <c r="G35" s="35"/>
      <c r="H35" s="28">
        <f>COUNTIFS(DataRegularSeason20242025!$E$2:$E$1315,TotalTeamGames20242025!G$1,DataRegularSeason20242025!$D$2:$D$1315,TotalTeamGames20242025!$A35,DataRegularSeason20242025!$N$2:$N$1315,1)</f>
        <v>0</v>
      </c>
      <c r="I35" s="35"/>
      <c r="J35" s="28">
        <f>COUNTIFS(DataRegularSeason20242025!$E$2:$E$1315,TotalTeamGames20242025!I$1,DataRegularSeason20242025!$D$2:$D$1315,TotalTeamGames20242025!$A35,DataRegularSeason20242025!$N$2:$N$1315,1)</f>
        <v>0</v>
      </c>
      <c r="K35" s="35"/>
      <c r="L35" s="28">
        <f>COUNTIFS(DataRegularSeason20242025!$E$2:$E$1315,TotalTeamGames20242025!K$1,DataRegularSeason20242025!$D$2:$D$1315,TotalTeamGames20242025!$A35,DataRegularSeason20242025!$N$2:$N$1315,1)</f>
        <v>0</v>
      </c>
      <c r="M35" s="35"/>
      <c r="N35" s="28">
        <f>COUNTIFS(DataRegularSeason20242025!$E$2:$E$1315,TotalTeamGames20242025!M$1,DataRegularSeason20242025!$D$2:$D$1315,TotalTeamGames20242025!$A35,DataRegularSeason20242025!$N$2:$N$1315,1)</f>
        <v>0</v>
      </c>
      <c r="O35" s="35"/>
      <c r="P35" s="28">
        <f>COUNTIFS(DataRegularSeason20242025!$E$2:$E$1315,TotalTeamGames20242025!O$1,DataRegularSeason20242025!$D$2:$D$1315,TotalTeamGames20242025!$A35,DataRegularSeason20242025!$N$2:$N$1315,1)</f>
        <v>0</v>
      </c>
      <c r="Q35" s="35"/>
      <c r="R35" s="28">
        <f>COUNTIFS(DataRegularSeason20242025!$E$2:$E$1315,TotalTeamGames20242025!Q$1,DataRegularSeason20242025!$D$2:$D$1315,TotalTeamGames20242025!$A35,DataRegularSeason20242025!$N$2:$N$1315,1)</f>
        <v>0</v>
      </c>
      <c r="S35" s="35"/>
      <c r="T35" s="28">
        <f>COUNTIFS(DataRegularSeason20242025!$E$2:$E$1315,TotalTeamGames20242025!S$1,DataRegularSeason20242025!$D$2:$D$1315,TotalTeamGames20242025!$A35,DataRegularSeason20242025!$N$2:$N$1315,1)</f>
        <v>0</v>
      </c>
      <c r="U35" s="35"/>
      <c r="V35" s="28">
        <f>COUNTIFS(DataRegularSeason20242025!$E$2:$E$1315,TotalTeamGames20242025!U$1,DataRegularSeason20242025!$D$2:$D$1315,TotalTeamGames20242025!$A35,DataRegularSeason20242025!$N$2:$N$1315,1)</f>
        <v>0</v>
      </c>
      <c r="W35" s="35"/>
      <c r="X35" s="28">
        <f>COUNTIFS(DataRegularSeason20242025!$E$2:$E$1315,TotalTeamGames20242025!W$1,DataRegularSeason20242025!$D$2:$D$1315,TotalTeamGames20242025!$A35,DataRegularSeason20242025!$N$2:$N$1315,1)</f>
        <v>0</v>
      </c>
      <c r="Y35" s="35"/>
      <c r="Z35" s="28">
        <f>COUNTIFS(DataRegularSeason20242025!$E$2:$E$1315,TotalTeamGames20242025!Y$1,DataRegularSeason20242025!$D$2:$D$1315,TotalTeamGames20242025!$A35,DataRegularSeason20242025!$N$2:$N$1315,1)</f>
        <v>0</v>
      </c>
      <c r="AA35" s="35"/>
      <c r="AB35" s="28">
        <f>COUNTIFS(DataRegularSeason20242025!$E$2:$E$1315,TotalTeamGames20242025!AA$1,DataRegularSeason20242025!$D$2:$D$1315,TotalTeamGames20242025!$A35,DataRegularSeason20242025!$N$2:$N$1315,1)</f>
        <v>0</v>
      </c>
      <c r="AC35" s="35"/>
      <c r="AD35" s="28">
        <f>COUNTIFS(DataRegularSeason20242025!$E$2:$E$1315,TotalTeamGames20242025!AC$1,DataRegularSeason20242025!$D$2:$D$1315,TotalTeamGames20242025!$A35,DataRegularSeason20242025!$N$2:$N$1315,1)</f>
        <v>0</v>
      </c>
      <c r="AE35" s="35"/>
      <c r="AF35" s="28">
        <f>COUNTIFS(DataRegularSeason20242025!$E$2:$E$1315,TotalTeamGames20242025!AE$1,DataRegularSeason20242025!$D$2:$D$1315,TotalTeamGames20242025!$A35,DataRegularSeason20242025!$N$2:$N$1315,1)</f>
        <v>1</v>
      </c>
      <c r="AG35" s="35"/>
      <c r="AH35" s="28">
        <f>COUNTIFS(DataRegularSeason20242025!$E$2:$E$1315,TotalTeamGames20242025!AG$1,DataRegularSeason20242025!$D$2:$D$1315,TotalTeamGames20242025!$A35,DataRegularSeason20242025!$N$2:$N$1315,1)</f>
        <v>0</v>
      </c>
      <c r="AI35" s="35"/>
      <c r="AJ35" s="36"/>
      <c r="AK35" s="35"/>
      <c r="AL35" s="28">
        <f>COUNTIFS(DataRegularSeason20242025!$E$2:$E$1315,TotalTeamGames20242025!AK$1,DataRegularSeason20242025!$D$2:$D$1315,TotalTeamGames20242025!$A35,DataRegularSeason20242025!$N$2:$N$1315,1)</f>
        <v>0</v>
      </c>
      <c r="AM35" s="35"/>
      <c r="AN35" s="28">
        <f>COUNTIFS(DataRegularSeason20242025!$E$2:$E$1315,TotalTeamGames20242025!AM$1,DataRegularSeason20242025!$D$2:$D$1315,TotalTeamGames20242025!$A35,DataRegularSeason20242025!$N$2:$N$1315,1)</f>
        <v>0</v>
      </c>
      <c r="AO35" s="35"/>
      <c r="AP35" s="28">
        <f>COUNTIFS(DataRegularSeason20242025!$E$2:$E$1315,TotalTeamGames20242025!AO$1,DataRegularSeason20242025!$D$2:$D$1315,TotalTeamGames20242025!$A35,DataRegularSeason20242025!$N$2:$N$1315,1)</f>
        <v>1</v>
      </c>
      <c r="AQ35" s="35"/>
      <c r="AR35" s="28">
        <f>COUNTIFS(DataRegularSeason20242025!$E$2:$E$1315,TotalTeamGames20242025!AQ$1,DataRegularSeason20242025!$D$2:$D$1315,TotalTeamGames20242025!$A35,DataRegularSeason20242025!$N$2:$N$1315,1)</f>
        <v>0</v>
      </c>
      <c r="AS35" s="35"/>
      <c r="AT35" s="28">
        <f>COUNTIFS(DataRegularSeason20242025!$E$2:$E$1315,TotalTeamGames20242025!AS$1,DataRegularSeason20242025!$D$2:$D$1315,TotalTeamGames20242025!$A35,DataRegularSeason20242025!$N$2:$N$1315,1)</f>
        <v>0</v>
      </c>
      <c r="AU35" s="35"/>
      <c r="AV35" s="28">
        <f>COUNTIFS(DataRegularSeason20242025!$E$2:$E$1315,TotalTeamGames20242025!AU$1,DataRegularSeason20242025!$D$2:$D$1315,TotalTeamGames20242025!$A35,DataRegularSeason20242025!$N$2:$N$1315,1)</f>
        <v>0</v>
      </c>
      <c r="AW35" s="35"/>
      <c r="AX35" s="28">
        <f>COUNTIFS(DataRegularSeason20242025!$E$2:$E$1315,TotalTeamGames20242025!AW$1,DataRegularSeason20242025!$D$2:$D$1315,TotalTeamGames20242025!$A35,DataRegularSeason20242025!$N$2:$N$1315,1)</f>
        <v>0</v>
      </c>
      <c r="AY35" s="35"/>
      <c r="AZ35" s="28">
        <f>COUNTIFS(DataRegularSeason20242025!$E$2:$E$1315,TotalTeamGames20242025!AY$1,DataRegularSeason20242025!$D$2:$D$1315,TotalTeamGames20242025!$A35,DataRegularSeason20242025!$N$2:$N$1315,1)</f>
        <v>0</v>
      </c>
      <c r="BA35" s="35"/>
      <c r="BB35" s="28">
        <f>COUNTIFS(DataRegularSeason20242025!$E$2:$E$1315,TotalTeamGames20242025!BA$1,DataRegularSeason20242025!$D$2:$D$1315,TotalTeamGames20242025!$A35,DataRegularSeason20242025!$N$2:$N$1315,1)</f>
        <v>0</v>
      </c>
      <c r="BC35" s="35"/>
      <c r="BD35" s="28">
        <f>COUNTIFS(DataRegularSeason20242025!$E$2:$E$1315,TotalTeamGames20242025!BC$1,DataRegularSeason20242025!$D$2:$D$1315,TotalTeamGames20242025!$A35,DataRegularSeason20242025!$N$2:$N$1315,1)</f>
        <v>1</v>
      </c>
      <c r="BE35" s="35"/>
      <c r="BF35" s="28">
        <f>COUNTIFS(DataRegularSeason20242025!$E$2:$E$1315,TotalTeamGames20242025!BE$1,DataRegularSeason20242025!$D$2:$D$1315,TotalTeamGames20242025!$A35,DataRegularSeason20242025!$N$2:$N$1315,1)</f>
        <v>0</v>
      </c>
      <c r="BG35" s="35"/>
      <c r="BH35" s="28">
        <f>COUNTIFS(DataRegularSeason20242025!$E$2:$E$1315,TotalTeamGames20242025!BG$1,DataRegularSeason20242025!$D$2:$D$1315,TotalTeamGames20242025!$A35,DataRegularSeason20242025!$N$2:$N$1315,1)</f>
        <v>0</v>
      </c>
      <c r="BI35" s="35"/>
      <c r="BJ35" s="28">
        <f>COUNTIFS(DataRegularSeason20242025!$E$2:$E$1315,TotalTeamGames20242025!BI$1,DataRegularSeason20242025!$D$2:$D$1315,TotalTeamGames20242025!$A35,DataRegularSeason20242025!$N$2:$N$1315,1)</f>
        <v>0</v>
      </c>
      <c r="BK35" s="35"/>
      <c r="BL35" s="28">
        <f>COUNTIFS(DataRegularSeason20242025!$E$2:$E$1315,TotalTeamGames20242025!BK$1,DataRegularSeason20242025!$D$2:$D$1315,TotalTeamGames20242025!$A35,DataRegularSeason20242025!$N$2:$N$1315,1)</f>
        <v>1</v>
      </c>
      <c r="BM35" s="35"/>
      <c r="BN35" s="28">
        <f>COUNTIFS(DataRegularSeason20242025!$E$2:$E$1315,TotalTeamGames20242025!BM$1,DataRegularSeason20242025!$D$2:$D$1315,TotalTeamGames20242025!$A35,DataRegularSeason20242025!$N$2:$N$1315,1)</f>
        <v>0</v>
      </c>
      <c r="BO35" s="30">
        <f t="shared" si="0"/>
        <v>4</v>
      </c>
      <c r="BP35" s="165">
        <f t="shared" ref="BP35" si="31">BO35+BO36</f>
        <v>7</v>
      </c>
      <c r="BQ35" s="166">
        <f t="shared" ref="BQ35" si="32">82-BP35</f>
        <v>75</v>
      </c>
    </row>
    <row r="36" spans="1:69" ht="9.9499999999999993" customHeight="1" x14ac:dyDescent="0.25">
      <c r="A36" s="167"/>
      <c r="B36" s="32" t="s">
        <v>73</v>
      </c>
      <c r="C36" s="38">
        <f>COUNTIFS(DataRegularSeason20242025!$D$2:$D$1315,TotalTeamGames20242025!C$1,DataRegularSeason20242025!$E$2:$E$1315,TotalTeamGames20242025!$A35,DataRegularSeason20242025!$N$2:$N$1315,1)</f>
        <v>1</v>
      </c>
      <c r="D36" s="39"/>
      <c r="E36" s="38">
        <f>COUNTIFS(DataRegularSeason20242025!$D$2:$D$1315,TotalTeamGames20242025!E$1,DataRegularSeason20242025!$E$2:$E$1315,TotalTeamGames20242025!$A35,DataRegularSeason20242025!$N$2:$N$1315,1)</f>
        <v>0</v>
      </c>
      <c r="F36" s="39"/>
      <c r="G36" s="38">
        <f>COUNTIFS(DataRegularSeason20242025!$D$2:$D$1315,TotalTeamGames20242025!G$1,DataRegularSeason20242025!$E$2:$E$1315,TotalTeamGames20242025!$A35,DataRegularSeason20242025!$N$2:$N$1315,1)</f>
        <v>0</v>
      </c>
      <c r="H36" s="39"/>
      <c r="I36" s="38">
        <f>COUNTIFS(DataRegularSeason20242025!$D$2:$D$1315,TotalTeamGames20242025!I$1,DataRegularSeason20242025!$E$2:$E$1315,TotalTeamGames20242025!$A35,DataRegularSeason20242025!$N$2:$N$1315,1)</f>
        <v>0</v>
      </c>
      <c r="J36" s="39"/>
      <c r="K36" s="38">
        <f>COUNTIFS(DataRegularSeason20242025!$D$2:$D$1315,TotalTeamGames20242025!K$1,DataRegularSeason20242025!$E$2:$E$1315,TotalTeamGames20242025!$A35,DataRegularSeason20242025!$N$2:$N$1315,1)</f>
        <v>1</v>
      </c>
      <c r="L36" s="39"/>
      <c r="M36" s="38">
        <f>COUNTIFS(DataRegularSeason20242025!$D$2:$D$1315,TotalTeamGames20242025!M$1,DataRegularSeason20242025!$E$2:$E$1315,TotalTeamGames20242025!$A35,DataRegularSeason20242025!$N$2:$N$1315,1)</f>
        <v>0</v>
      </c>
      <c r="N36" s="39"/>
      <c r="O36" s="38">
        <f>COUNTIFS(DataRegularSeason20242025!$D$2:$D$1315,TotalTeamGames20242025!O$1,DataRegularSeason20242025!$E$2:$E$1315,TotalTeamGames20242025!$A35,DataRegularSeason20242025!$N$2:$N$1315,1)</f>
        <v>0</v>
      </c>
      <c r="P36" s="39"/>
      <c r="Q36" s="38">
        <f>COUNTIFS(DataRegularSeason20242025!$D$2:$D$1315,TotalTeamGames20242025!Q$1,DataRegularSeason20242025!$E$2:$E$1315,TotalTeamGames20242025!$A35,DataRegularSeason20242025!$N$2:$N$1315,1)</f>
        <v>0</v>
      </c>
      <c r="R36" s="39"/>
      <c r="S36" s="38">
        <f>COUNTIFS(DataRegularSeason20242025!$D$2:$D$1315,TotalTeamGames20242025!S$1,DataRegularSeason20242025!$E$2:$E$1315,TotalTeamGames20242025!$A35,DataRegularSeason20242025!$N$2:$N$1315,1)</f>
        <v>0</v>
      </c>
      <c r="T36" s="39"/>
      <c r="U36" s="38">
        <f>COUNTIFS(DataRegularSeason20242025!$D$2:$D$1315,TotalTeamGames20242025!U$1,DataRegularSeason20242025!$E$2:$E$1315,TotalTeamGames20242025!$A35,DataRegularSeason20242025!$N$2:$N$1315,1)</f>
        <v>0</v>
      </c>
      <c r="V36" s="39"/>
      <c r="W36" s="38">
        <f>COUNTIFS(DataRegularSeason20242025!$D$2:$D$1315,TotalTeamGames20242025!W$1,DataRegularSeason20242025!$E$2:$E$1315,TotalTeamGames20242025!$A35,DataRegularSeason20242025!$N$2:$N$1315,1)</f>
        <v>0</v>
      </c>
      <c r="X36" s="39"/>
      <c r="Y36" s="38">
        <f>COUNTIFS(DataRegularSeason20242025!$D$2:$D$1315,TotalTeamGames20242025!Y$1,DataRegularSeason20242025!$E$2:$E$1315,TotalTeamGames20242025!$A35,DataRegularSeason20242025!$N$2:$N$1315,1)</f>
        <v>0</v>
      </c>
      <c r="Z36" s="39"/>
      <c r="AA36" s="38">
        <f>COUNTIFS(DataRegularSeason20242025!$D$2:$D$1315,TotalTeamGames20242025!AA$1,DataRegularSeason20242025!$E$2:$E$1315,TotalTeamGames20242025!$A35,DataRegularSeason20242025!$N$2:$N$1315,1)</f>
        <v>0</v>
      </c>
      <c r="AB36" s="39"/>
      <c r="AC36" s="38">
        <f>COUNTIFS(DataRegularSeason20242025!$D$2:$D$1315,TotalTeamGames20242025!AC$1,DataRegularSeason20242025!$E$2:$E$1315,TotalTeamGames20242025!$A35,DataRegularSeason20242025!$N$2:$N$1315,1)</f>
        <v>0</v>
      </c>
      <c r="AD36" s="39"/>
      <c r="AE36" s="38">
        <f>COUNTIFS(DataRegularSeason20242025!$D$2:$D$1315,TotalTeamGames20242025!AE$1,DataRegularSeason20242025!$E$2:$E$1315,TotalTeamGames20242025!$A35,DataRegularSeason20242025!$N$2:$N$1315,1)</f>
        <v>0</v>
      </c>
      <c r="AF36" s="39"/>
      <c r="AG36" s="38">
        <f>COUNTIFS(DataRegularSeason20242025!$D$2:$D$1315,TotalTeamGames20242025!AG$1,DataRegularSeason20242025!$E$2:$E$1315,TotalTeamGames20242025!$A35,DataRegularSeason20242025!$N$2:$N$1315,1)</f>
        <v>0</v>
      </c>
      <c r="AH36" s="39"/>
      <c r="AI36" s="38"/>
      <c r="AJ36" s="39"/>
      <c r="AK36" s="38">
        <f>COUNTIFS(DataRegularSeason20242025!$D$2:$D$1315,TotalTeamGames20242025!AK$1,DataRegularSeason20242025!$E$2:$E$1315,TotalTeamGames20242025!$A35,DataRegularSeason20242025!$N$2:$N$1315,1)</f>
        <v>0</v>
      </c>
      <c r="AL36" s="39"/>
      <c r="AM36" s="38">
        <f>COUNTIFS(DataRegularSeason20242025!$D$2:$D$1315,TotalTeamGames20242025!AM$1,DataRegularSeason20242025!$E$2:$E$1315,TotalTeamGames20242025!$A35,DataRegularSeason20242025!$N$2:$N$1315,1)</f>
        <v>0</v>
      </c>
      <c r="AN36" s="39"/>
      <c r="AO36" s="38">
        <f>COUNTIFS(DataRegularSeason20242025!$D$2:$D$1315,TotalTeamGames20242025!AO$1,DataRegularSeason20242025!$E$2:$E$1315,TotalTeamGames20242025!$A35,DataRegularSeason20242025!$N$2:$N$1315,1)</f>
        <v>0</v>
      </c>
      <c r="AP36" s="39"/>
      <c r="AQ36" s="38">
        <f>COUNTIFS(DataRegularSeason20242025!$D$2:$D$1315,TotalTeamGames20242025!AQ$1,DataRegularSeason20242025!$E$2:$E$1315,TotalTeamGames20242025!$A35,DataRegularSeason20242025!$N$2:$N$1315,1)</f>
        <v>0</v>
      </c>
      <c r="AR36" s="39"/>
      <c r="AS36" s="38">
        <f>COUNTIFS(DataRegularSeason20242025!$D$2:$D$1315,TotalTeamGames20242025!AS$1,DataRegularSeason20242025!$E$2:$E$1315,TotalTeamGames20242025!$A35,DataRegularSeason20242025!$N$2:$N$1315,1)</f>
        <v>0</v>
      </c>
      <c r="AT36" s="39"/>
      <c r="AU36" s="38">
        <f>COUNTIFS(DataRegularSeason20242025!$D$2:$D$1315,TotalTeamGames20242025!AU$1,DataRegularSeason20242025!$E$2:$E$1315,TotalTeamGames20242025!$A35,DataRegularSeason20242025!$N$2:$N$1315,1)</f>
        <v>0</v>
      </c>
      <c r="AV36" s="39"/>
      <c r="AW36" s="38">
        <f>COUNTIFS(DataRegularSeason20242025!$D$2:$D$1315,TotalTeamGames20242025!AW$1,DataRegularSeason20242025!$E$2:$E$1315,TotalTeamGames20242025!$A35,DataRegularSeason20242025!$N$2:$N$1315,1)</f>
        <v>0</v>
      </c>
      <c r="AX36" s="39"/>
      <c r="AY36" s="38">
        <f>COUNTIFS(DataRegularSeason20242025!$D$2:$D$1315,TotalTeamGames20242025!AY$1,DataRegularSeason20242025!$E$2:$E$1315,TotalTeamGames20242025!$A35,DataRegularSeason20242025!$N$2:$N$1315,1)</f>
        <v>0</v>
      </c>
      <c r="AZ36" s="39"/>
      <c r="BA36" s="38">
        <f>COUNTIFS(DataRegularSeason20242025!$D$2:$D$1315,TotalTeamGames20242025!BA$1,DataRegularSeason20242025!$E$2:$E$1315,TotalTeamGames20242025!$A35,DataRegularSeason20242025!$N$2:$N$1315,1)</f>
        <v>0</v>
      </c>
      <c r="BB36" s="39"/>
      <c r="BC36" s="38">
        <f>COUNTIFS(DataRegularSeason20242025!$D$2:$D$1315,TotalTeamGames20242025!BC$1,DataRegularSeason20242025!$E$2:$E$1315,TotalTeamGames20242025!$A35,DataRegularSeason20242025!$N$2:$N$1315,1)</f>
        <v>0</v>
      </c>
      <c r="BD36" s="39"/>
      <c r="BE36" s="38">
        <f>COUNTIFS(DataRegularSeason20242025!$D$2:$D$1315,TotalTeamGames20242025!BE$1,DataRegularSeason20242025!$E$2:$E$1315,TotalTeamGames20242025!$A35,DataRegularSeason20242025!$N$2:$N$1315,1)</f>
        <v>1</v>
      </c>
      <c r="BF36" s="39"/>
      <c r="BG36" s="38">
        <f>COUNTIFS(DataRegularSeason20242025!$D$2:$D$1315,TotalTeamGames20242025!BG$1,DataRegularSeason20242025!$E$2:$E$1315,TotalTeamGames20242025!$A35,DataRegularSeason20242025!$N$2:$N$1315,1)</f>
        <v>0</v>
      </c>
      <c r="BH36" s="39"/>
      <c r="BI36" s="38">
        <f>COUNTIFS(DataRegularSeason20242025!$D$2:$D$1315,TotalTeamGames20242025!BI$1,DataRegularSeason20242025!$E$2:$E$1315,TotalTeamGames20242025!$A35,DataRegularSeason20242025!$N$2:$N$1315,1)</f>
        <v>0</v>
      </c>
      <c r="BJ36" s="39"/>
      <c r="BK36" s="38">
        <f>COUNTIFS(DataRegularSeason20242025!$D$2:$D$1315,TotalTeamGames20242025!BK$1,DataRegularSeason20242025!$E$2:$E$1315,TotalTeamGames20242025!$A35,DataRegularSeason20242025!$N$2:$N$1315,1)</f>
        <v>0</v>
      </c>
      <c r="BL36" s="39"/>
      <c r="BM36" s="38">
        <f>COUNTIFS(DataRegularSeason20242025!$D$2:$D$1315,TotalTeamGames20242025!BM$1,DataRegularSeason20242025!$E$2:$E$1315,TotalTeamGames20242025!$A35,DataRegularSeason20242025!$N$2:$N$1315,1)</f>
        <v>0</v>
      </c>
      <c r="BN36" s="39"/>
      <c r="BO36" s="34">
        <f t="shared" si="0"/>
        <v>3</v>
      </c>
      <c r="BP36" s="165"/>
      <c r="BQ36" s="166"/>
    </row>
    <row r="37" spans="1:69" ht="9.9499999999999993" customHeight="1" x14ac:dyDescent="0.25">
      <c r="A37" s="172" t="s">
        <v>32</v>
      </c>
      <c r="B37" s="28" t="s">
        <v>74</v>
      </c>
      <c r="C37" s="35"/>
      <c r="D37" s="28">
        <f>COUNTIFS(DataRegularSeason20242025!$E$2:$E$1315,TotalTeamGames20242025!C$1,DataRegularSeason20242025!$D$2:$D$1315,TotalTeamGames20242025!$A37,DataRegularSeason20242025!$N$2:$N$1315,1)</f>
        <v>0</v>
      </c>
      <c r="E37" s="35"/>
      <c r="F37" s="28">
        <f>COUNTIFS(DataRegularSeason20242025!$E$2:$E$1315,TotalTeamGames20242025!E$1,DataRegularSeason20242025!$D$2:$D$1315,TotalTeamGames20242025!$A37,DataRegularSeason20242025!$N$2:$N$1315,1)</f>
        <v>0</v>
      </c>
      <c r="G37" s="35"/>
      <c r="H37" s="28">
        <f>COUNTIFS(DataRegularSeason20242025!$E$2:$E$1315,TotalTeamGames20242025!G$1,DataRegularSeason20242025!$D$2:$D$1315,TotalTeamGames20242025!$A37,DataRegularSeason20242025!$N$2:$N$1315,1)</f>
        <v>0</v>
      </c>
      <c r="I37" s="35"/>
      <c r="J37" s="28">
        <f>COUNTIFS(DataRegularSeason20242025!$E$2:$E$1315,TotalTeamGames20242025!I$1,DataRegularSeason20242025!$D$2:$D$1315,TotalTeamGames20242025!$A37,DataRegularSeason20242025!$N$2:$N$1315,1)</f>
        <v>0</v>
      </c>
      <c r="K37" s="35"/>
      <c r="L37" s="28">
        <f>COUNTIFS(DataRegularSeason20242025!$E$2:$E$1315,TotalTeamGames20242025!K$1,DataRegularSeason20242025!$D$2:$D$1315,TotalTeamGames20242025!$A37,DataRegularSeason20242025!$N$2:$N$1315,1)</f>
        <v>0</v>
      </c>
      <c r="M37" s="35"/>
      <c r="N37" s="28">
        <f>COUNTIFS(DataRegularSeason20242025!$E$2:$E$1315,TotalTeamGames20242025!M$1,DataRegularSeason20242025!$D$2:$D$1315,TotalTeamGames20242025!$A37,DataRegularSeason20242025!$N$2:$N$1315,1)</f>
        <v>0</v>
      </c>
      <c r="O37" s="35"/>
      <c r="P37" s="28">
        <f>COUNTIFS(DataRegularSeason20242025!$E$2:$E$1315,TotalTeamGames20242025!O$1,DataRegularSeason20242025!$D$2:$D$1315,TotalTeamGames20242025!$A37,DataRegularSeason20242025!$N$2:$N$1315,1)</f>
        <v>0</v>
      </c>
      <c r="Q37" s="35"/>
      <c r="R37" s="28">
        <f>COUNTIFS(DataRegularSeason20242025!$E$2:$E$1315,TotalTeamGames20242025!Q$1,DataRegularSeason20242025!$D$2:$D$1315,TotalTeamGames20242025!$A37,DataRegularSeason20242025!$N$2:$N$1315,1)</f>
        <v>0</v>
      </c>
      <c r="S37" s="35"/>
      <c r="T37" s="28">
        <f>COUNTIFS(DataRegularSeason20242025!$E$2:$E$1315,TotalTeamGames20242025!S$1,DataRegularSeason20242025!$D$2:$D$1315,TotalTeamGames20242025!$A37,DataRegularSeason20242025!$N$2:$N$1315,1)</f>
        <v>0</v>
      </c>
      <c r="U37" s="35"/>
      <c r="V37" s="28">
        <f>COUNTIFS(DataRegularSeason20242025!$E$2:$E$1315,TotalTeamGames20242025!U$1,DataRegularSeason20242025!$D$2:$D$1315,TotalTeamGames20242025!$A37,DataRegularSeason20242025!$N$2:$N$1315,1)</f>
        <v>0</v>
      </c>
      <c r="W37" s="35"/>
      <c r="X37" s="28">
        <f>COUNTIFS(DataRegularSeason20242025!$E$2:$E$1315,TotalTeamGames20242025!W$1,DataRegularSeason20242025!$D$2:$D$1315,TotalTeamGames20242025!$A37,DataRegularSeason20242025!$N$2:$N$1315,1)</f>
        <v>0</v>
      </c>
      <c r="Y37" s="35"/>
      <c r="Z37" s="28">
        <f>COUNTIFS(DataRegularSeason20242025!$E$2:$E$1315,TotalTeamGames20242025!Y$1,DataRegularSeason20242025!$D$2:$D$1315,TotalTeamGames20242025!$A37,DataRegularSeason20242025!$N$2:$N$1315,1)</f>
        <v>0</v>
      </c>
      <c r="AA37" s="35"/>
      <c r="AB37" s="28">
        <f>COUNTIFS(DataRegularSeason20242025!$E$2:$E$1315,TotalTeamGames20242025!AA$1,DataRegularSeason20242025!$D$2:$D$1315,TotalTeamGames20242025!$A37,DataRegularSeason20242025!$N$2:$N$1315,1)</f>
        <v>0</v>
      </c>
      <c r="AC37" s="35"/>
      <c r="AD37" s="28">
        <f>COUNTIFS(DataRegularSeason20242025!$E$2:$E$1315,TotalTeamGames20242025!AC$1,DataRegularSeason20242025!$D$2:$D$1315,TotalTeamGames20242025!$A37,DataRegularSeason20242025!$N$2:$N$1315,1)</f>
        <v>0</v>
      </c>
      <c r="AE37" s="35"/>
      <c r="AF37" s="28">
        <f>COUNTIFS(DataRegularSeason20242025!$E$2:$E$1315,TotalTeamGames20242025!AE$1,DataRegularSeason20242025!$D$2:$D$1315,TotalTeamGames20242025!$A37,DataRegularSeason20242025!$N$2:$N$1315,1)</f>
        <v>0</v>
      </c>
      <c r="AG37" s="35"/>
      <c r="AH37" s="28">
        <f>COUNTIFS(DataRegularSeason20242025!$E$2:$E$1315,TotalTeamGames20242025!AG$1,DataRegularSeason20242025!$D$2:$D$1315,TotalTeamGames20242025!$A37,DataRegularSeason20242025!$N$2:$N$1315,1)</f>
        <v>0</v>
      </c>
      <c r="AI37" s="35"/>
      <c r="AJ37" s="28">
        <f>COUNTIFS(DataRegularSeason20242025!$E$2:$E$1315,TotalTeamGames20242025!AI$1,DataRegularSeason20242025!$D$2:$D$1315,TotalTeamGames20242025!$A37,DataRegularSeason20242025!$N$2:$N$1315,1)</f>
        <v>0</v>
      </c>
      <c r="AK37" s="35"/>
      <c r="AL37" s="36"/>
      <c r="AM37" s="35"/>
      <c r="AN37" s="28">
        <f>COUNTIFS(DataRegularSeason20242025!$E$2:$E$1315,TotalTeamGames20242025!AM$1,DataRegularSeason20242025!$D$2:$D$1315,TotalTeamGames20242025!$A37,DataRegularSeason20242025!$N$2:$N$1315,1)</f>
        <v>0</v>
      </c>
      <c r="AO37" s="35"/>
      <c r="AP37" s="28">
        <f>COUNTIFS(DataRegularSeason20242025!$E$2:$E$1315,TotalTeamGames20242025!AO$1,DataRegularSeason20242025!$D$2:$D$1315,TotalTeamGames20242025!$A37,DataRegularSeason20242025!$N$2:$N$1315,1)</f>
        <v>1</v>
      </c>
      <c r="AQ37" s="35"/>
      <c r="AR37" s="28">
        <f>COUNTIFS(DataRegularSeason20242025!$E$2:$E$1315,TotalTeamGames20242025!AQ$1,DataRegularSeason20242025!$D$2:$D$1315,TotalTeamGames20242025!$A37,DataRegularSeason20242025!$N$2:$N$1315,1)</f>
        <v>0</v>
      </c>
      <c r="AS37" s="35"/>
      <c r="AT37" s="28">
        <f>COUNTIFS(DataRegularSeason20242025!$E$2:$E$1315,TotalTeamGames20242025!AS$1,DataRegularSeason20242025!$D$2:$D$1315,TotalTeamGames20242025!$A37,DataRegularSeason20242025!$N$2:$N$1315,1)</f>
        <v>1</v>
      </c>
      <c r="AU37" s="35"/>
      <c r="AV37" s="28">
        <f>COUNTIFS(DataRegularSeason20242025!$E$2:$E$1315,TotalTeamGames20242025!AU$1,DataRegularSeason20242025!$D$2:$D$1315,TotalTeamGames20242025!$A37,DataRegularSeason20242025!$N$2:$N$1315,1)</f>
        <v>0</v>
      </c>
      <c r="AW37" s="35"/>
      <c r="AX37" s="28">
        <f>COUNTIFS(DataRegularSeason20242025!$E$2:$E$1315,TotalTeamGames20242025!AW$1,DataRegularSeason20242025!$D$2:$D$1315,TotalTeamGames20242025!$A37,DataRegularSeason20242025!$N$2:$N$1315,1)</f>
        <v>0</v>
      </c>
      <c r="AY37" s="35"/>
      <c r="AZ37" s="28">
        <f>COUNTIFS(DataRegularSeason20242025!$E$2:$E$1315,TotalTeamGames20242025!AY$1,DataRegularSeason20242025!$D$2:$D$1315,TotalTeamGames20242025!$A37,DataRegularSeason20242025!$N$2:$N$1315,1)</f>
        <v>0</v>
      </c>
      <c r="BA37" s="35"/>
      <c r="BB37" s="28">
        <f>COUNTIFS(DataRegularSeason20242025!$E$2:$E$1315,TotalTeamGames20242025!BA$1,DataRegularSeason20242025!$D$2:$D$1315,TotalTeamGames20242025!$A37,DataRegularSeason20242025!$N$2:$N$1315,1)</f>
        <v>0</v>
      </c>
      <c r="BC37" s="35"/>
      <c r="BD37" s="28">
        <f>COUNTIFS(DataRegularSeason20242025!$E$2:$E$1315,TotalTeamGames20242025!BC$1,DataRegularSeason20242025!$D$2:$D$1315,TotalTeamGames20242025!$A37,DataRegularSeason20242025!$N$2:$N$1315,1)</f>
        <v>0</v>
      </c>
      <c r="BE37" s="35"/>
      <c r="BF37" s="28">
        <f>COUNTIFS(DataRegularSeason20242025!$E$2:$E$1315,TotalTeamGames20242025!BE$1,DataRegularSeason20242025!$D$2:$D$1315,TotalTeamGames20242025!$A37,DataRegularSeason20242025!$N$2:$N$1315,1)</f>
        <v>0</v>
      </c>
      <c r="BG37" s="35"/>
      <c r="BH37" s="28">
        <f>COUNTIFS(DataRegularSeason20242025!$E$2:$E$1315,TotalTeamGames20242025!BG$1,DataRegularSeason20242025!$D$2:$D$1315,TotalTeamGames20242025!$A37,DataRegularSeason20242025!$N$2:$N$1315,1)</f>
        <v>0</v>
      </c>
      <c r="BI37" s="35"/>
      <c r="BJ37" s="28">
        <f>COUNTIFS(DataRegularSeason20242025!$E$2:$E$1315,TotalTeamGames20242025!BI$1,DataRegularSeason20242025!$D$2:$D$1315,TotalTeamGames20242025!$A37,DataRegularSeason20242025!$N$2:$N$1315,1)</f>
        <v>0</v>
      </c>
      <c r="BK37" s="35"/>
      <c r="BL37" s="28">
        <f>COUNTIFS(DataRegularSeason20242025!$E$2:$E$1315,TotalTeamGames20242025!BK$1,DataRegularSeason20242025!$D$2:$D$1315,TotalTeamGames20242025!$A37,DataRegularSeason20242025!$N$2:$N$1315,1)</f>
        <v>0</v>
      </c>
      <c r="BM37" s="35"/>
      <c r="BN37" s="28">
        <f>COUNTIFS(DataRegularSeason20242025!$E$2:$E$1315,TotalTeamGames20242025!BM$1,DataRegularSeason20242025!$D$2:$D$1315,TotalTeamGames20242025!$A37,DataRegularSeason20242025!$N$2:$N$1315,1)</f>
        <v>0</v>
      </c>
      <c r="BO37" s="30">
        <f t="shared" si="0"/>
        <v>2</v>
      </c>
      <c r="BP37" s="165">
        <f t="shared" ref="BP37" si="33">BO37+BO38</f>
        <v>6</v>
      </c>
      <c r="BQ37" s="166">
        <f t="shared" ref="BQ37" si="34">82-BP37</f>
        <v>76</v>
      </c>
    </row>
    <row r="38" spans="1:69" ht="9.9499999999999993" customHeight="1" x14ac:dyDescent="0.25">
      <c r="A38" s="167"/>
      <c r="B38" s="32" t="s">
        <v>73</v>
      </c>
      <c r="C38" s="38">
        <f>COUNTIFS(DataRegularSeason20242025!$D$2:$D$1315,TotalTeamGames20242025!C$1,DataRegularSeason20242025!$E$2:$E$1315,TotalTeamGames20242025!$A37,DataRegularSeason20242025!$N$2:$N$1315,1)</f>
        <v>0</v>
      </c>
      <c r="D38" s="39"/>
      <c r="E38" s="38">
        <f>COUNTIFS(DataRegularSeason20242025!$D$2:$D$1315,TotalTeamGames20242025!E$1,DataRegularSeason20242025!$E$2:$E$1315,TotalTeamGames20242025!$A37,DataRegularSeason20242025!$N$2:$N$1315,1)</f>
        <v>0</v>
      </c>
      <c r="F38" s="39"/>
      <c r="G38" s="38">
        <f>COUNTIFS(DataRegularSeason20242025!$D$2:$D$1315,TotalTeamGames20242025!G$1,DataRegularSeason20242025!$E$2:$E$1315,TotalTeamGames20242025!$A37,DataRegularSeason20242025!$N$2:$N$1315,1)</f>
        <v>0</v>
      </c>
      <c r="H38" s="39"/>
      <c r="I38" s="38">
        <f>COUNTIFS(DataRegularSeason20242025!$D$2:$D$1315,TotalTeamGames20242025!I$1,DataRegularSeason20242025!$E$2:$E$1315,TotalTeamGames20242025!$A37,DataRegularSeason20242025!$N$2:$N$1315,1)</f>
        <v>0</v>
      </c>
      <c r="J38" s="39"/>
      <c r="K38" s="38">
        <f>COUNTIFS(DataRegularSeason20242025!$D$2:$D$1315,TotalTeamGames20242025!K$1,DataRegularSeason20242025!$E$2:$E$1315,TotalTeamGames20242025!$A37,DataRegularSeason20242025!$N$2:$N$1315,1)</f>
        <v>0</v>
      </c>
      <c r="L38" s="39"/>
      <c r="M38" s="38">
        <f>COUNTIFS(DataRegularSeason20242025!$D$2:$D$1315,TotalTeamGames20242025!M$1,DataRegularSeason20242025!$E$2:$E$1315,TotalTeamGames20242025!$A37,DataRegularSeason20242025!$N$2:$N$1315,1)</f>
        <v>0</v>
      </c>
      <c r="N38" s="39"/>
      <c r="O38" s="38">
        <f>COUNTIFS(DataRegularSeason20242025!$D$2:$D$1315,TotalTeamGames20242025!O$1,DataRegularSeason20242025!$E$2:$E$1315,TotalTeamGames20242025!$A37,DataRegularSeason20242025!$N$2:$N$1315,1)</f>
        <v>0</v>
      </c>
      <c r="P38" s="39"/>
      <c r="Q38" s="38">
        <f>COUNTIFS(DataRegularSeason20242025!$D$2:$D$1315,TotalTeamGames20242025!Q$1,DataRegularSeason20242025!$E$2:$E$1315,TotalTeamGames20242025!$A37,DataRegularSeason20242025!$N$2:$N$1315,1)</f>
        <v>0</v>
      </c>
      <c r="R38" s="39"/>
      <c r="S38" s="38">
        <f>COUNTIFS(DataRegularSeason20242025!$D$2:$D$1315,TotalTeamGames20242025!S$1,DataRegularSeason20242025!$E$2:$E$1315,TotalTeamGames20242025!$A37,DataRegularSeason20242025!$N$2:$N$1315,1)</f>
        <v>0</v>
      </c>
      <c r="T38" s="39"/>
      <c r="U38" s="38">
        <f>COUNTIFS(DataRegularSeason20242025!$D$2:$D$1315,TotalTeamGames20242025!U$1,DataRegularSeason20242025!$E$2:$E$1315,TotalTeamGames20242025!$A37,DataRegularSeason20242025!$N$2:$N$1315,1)</f>
        <v>0</v>
      </c>
      <c r="V38" s="39"/>
      <c r="W38" s="38">
        <f>COUNTIFS(DataRegularSeason20242025!$D$2:$D$1315,TotalTeamGames20242025!W$1,DataRegularSeason20242025!$E$2:$E$1315,TotalTeamGames20242025!$A37,DataRegularSeason20242025!$N$2:$N$1315,1)</f>
        <v>1</v>
      </c>
      <c r="X38" s="39"/>
      <c r="Y38" s="38">
        <f>COUNTIFS(DataRegularSeason20242025!$D$2:$D$1315,TotalTeamGames20242025!Y$1,DataRegularSeason20242025!$E$2:$E$1315,TotalTeamGames20242025!$A37,DataRegularSeason20242025!$N$2:$N$1315,1)</f>
        <v>0</v>
      </c>
      <c r="Z38" s="39"/>
      <c r="AA38" s="38">
        <f>COUNTIFS(DataRegularSeason20242025!$D$2:$D$1315,TotalTeamGames20242025!AA$1,DataRegularSeason20242025!$E$2:$E$1315,TotalTeamGames20242025!$A37,DataRegularSeason20242025!$N$2:$N$1315,1)</f>
        <v>0</v>
      </c>
      <c r="AB38" s="39"/>
      <c r="AC38" s="38">
        <f>COUNTIFS(DataRegularSeason20242025!$D$2:$D$1315,TotalTeamGames20242025!AC$1,DataRegularSeason20242025!$E$2:$E$1315,TotalTeamGames20242025!$A37,DataRegularSeason20242025!$N$2:$N$1315,1)</f>
        <v>0</v>
      </c>
      <c r="AD38" s="39"/>
      <c r="AE38" s="38">
        <f>COUNTIFS(DataRegularSeason20242025!$D$2:$D$1315,TotalTeamGames20242025!AE$1,DataRegularSeason20242025!$E$2:$E$1315,TotalTeamGames20242025!$A37,DataRegularSeason20242025!$N$2:$N$1315,1)</f>
        <v>0</v>
      </c>
      <c r="AF38" s="39"/>
      <c r="AG38" s="38">
        <f>COUNTIFS(DataRegularSeason20242025!$D$2:$D$1315,TotalTeamGames20242025!AG$1,DataRegularSeason20242025!$E$2:$E$1315,TotalTeamGames20242025!$A37,DataRegularSeason20242025!$N$2:$N$1315,1)</f>
        <v>0</v>
      </c>
      <c r="AH38" s="39"/>
      <c r="AI38" s="38">
        <f>COUNTIFS(DataRegularSeason20242025!$D$2:$D$1315,TotalTeamGames20242025!AI$1,DataRegularSeason20242025!$E$2:$E$1315,TotalTeamGames20242025!$A37,DataRegularSeason20242025!$N$2:$N$1315,1)</f>
        <v>0</v>
      </c>
      <c r="AJ38" s="39"/>
      <c r="AK38" s="38"/>
      <c r="AL38" s="39"/>
      <c r="AM38" s="38">
        <f>COUNTIFS(DataRegularSeason20242025!$D$2:$D$1315,TotalTeamGames20242025!AM$1,DataRegularSeason20242025!$E$2:$E$1315,TotalTeamGames20242025!$A37,DataRegularSeason20242025!$N$2:$N$1315,1)</f>
        <v>0</v>
      </c>
      <c r="AN38" s="39"/>
      <c r="AO38" s="38">
        <f>COUNTIFS(DataRegularSeason20242025!$D$2:$D$1315,TotalTeamGames20242025!AO$1,DataRegularSeason20242025!$E$2:$E$1315,TotalTeamGames20242025!$A37,DataRegularSeason20242025!$N$2:$N$1315,1)</f>
        <v>0</v>
      </c>
      <c r="AP38" s="39"/>
      <c r="AQ38" s="38">
        <f>COUNTIFS(DataRegularSeason20242025!$D$2:$D$1315,TotalTeamGames20242025!AQ$1,DataRegularSeason20242025!$E$2:$E$1315,TotalTeamGames20242025!$A37,DataRegularSeason20242025!$N$2:$N$1315,1)</f>
        <v>0</v>
      </c>
      <c r="AR38" s="39"/>
      <c r="AS38" s="38">
        <f>COUNTIFS(DataRegularSeason20242025!$D$2:$D$1315,TotalTeamGames20242025!AS$1,DataRegularSeason20242025!$E$2:$E$1315,TotalTeamGames20242025!$A37,DataRegularSeason20242025!$N$2:$N$1315,1)</f>
        <v>0</v>
      </c>
      <c r="AT38" s="39"/>
      <c r="AU38" s="38">
        <f>COUNTIFS(DataRegularSeason20242025!$D$2:$D$1315,TotalTeamGames20242025!AU$1,DataRegularSeason20242025!$E$2:$E$1315,TotalTeamGames20242025!$A37,DataRegularSeason20242025!$N$2:$N$1315,1)</f>
        <v>0</v>
      </c>
      <c r="AV38" s="39"/>
      <c r="AW38" s="38">
        <f>COUNTIFS(DataRegularSeason20242025!$D$2:$D$1315,TotalTeamGames20242025!AW$1,DataRegularSeason20242025!$E$2:$E$1315,TotalTeamGames20242025!$A37,DataRegularSeason20242025!$N$2:$N$1315,1)</f>
        <v>1</v>
      </c>
      <c r="AX38" s="39"/>
      <c r="AY38" s="38">
        <f>COUNTIFS(DataRegularSeason20242025!$D$2:$D$1315,TotalTeamGames20242025!AY$1,DataRegularSeason20242025!$E$2:$E$1315,TotalTeamGames20242025!$A37,DataRegularSeason20242025!$N$2:$N$1315,1)</f>
        <v>0</v>
      </c>
      <c r="AZ38" s="39"/>
      <c r="BA38" s="38">
        <f>COUNTIFS(DataRegularSeason20242025!$D$2:$D$1315,TotalTeamGames20242025!BA$1,DataRegularSeason20242025!$E$2:$E$1315,TotalTeamGames20242025!$A37,DataRegularSeason20242025!$N$2:$N$1315,1)</f>
        <v>0</v>
      </c>
      <c r="BB38" s="39"/>
      <c r="BC38" s="38">
        <f>COUNTIFS(DataRegularSeason20242025!$D$2:$D$1315,TotalTeamGames20242025!BC$1,DataRegularSeason20242025!$E$2:$E$1315,TotalTeamGames20242025!$A37,DataRegularSeason20242025!$N$2:$N$1315,1)</f>
        <v>0</v>
      </c>
      <c r="BD38" s="39"/>
      <c r="BE38" s="38">
        <f>COUNTIFS(DataRegularSeason20242025!$D$2:$D$1315,TotalTeamGames20242025!BE$1,DataRegularSeason20242025!$E$2:$E$1315,TotalTeamGames20242025!$A37,DataRegularSeason20242025!$N$2:$N$1315,1)</f>
        <v>0</v>
      </c>
      <c r="BF38" s="39"/>
      <c r="BG38" s="38">
        <f>COUNTIFS(DataRegularSeason20242025!$D$2:$D$1315,TotalTeamGames20242025!BG$1,DataRegularSeason20242025!$E$2:$E$1315,TotalTeamGames20242025!$A37,DataRegularSeason20242025!$N$2:$N$1315,1)</f>
        <v>0</v>
      </c>
      <c r="BH38" s="39"/>
      <c r="BI38" s="38">
        <f>COUNTIFS(DataRegularSeason20242025!$D$2:$D$1315,TotalTeamGames20242025!BI$1,DataRegularSeason20242025!$E$2:$E$1315,TotalTeamGames20242025!$A37,DataRegularSeason20242025!$N$2:$N$1315,1)</f>
        <v>0</v>
      </c>
      <c r="BJ38" s="39"/>
      <c r="BK38" s="38">
        <f>COUNTIFS(DataRegularSeason20242025!$D$2:$D$1315,TotalTeamGames20242025!BK$1,DataRegularSeason20242025!$E$2:$E$1315,TotalTeamGames20242025!$A37,DataRegularSeason20242025!$N$2:$N$1315,1)</f>
        <v>1</v>
      </c>
      <c r="BL38" s="39"/>
      <c r="BM38" s="38">
        <f>COUNTIFS(DataRegularSeason20242025!$D$2:$D$1315,TotalTeamGames20242025!BM$1,DataRegularSeason20242025!$E$2:$E$1315,TotalTeamGames20242025!$A37,DataRegularSeason20242025!$N$2:$N$1315,1)</f>
        <v>1</v>
      </c>
      <c r="BN38" s="39"/>
      <c r="BO38" s="34">
        <f t="shared" si="0"/>
        <v>4</v>
      </c>
      <c r="BP38" s="165"/>
      <c r="BQ38" s="166"/>
    </row>
    <row r="39" spans="1:69" ht="9.9499999999999993" customHeight="1" x14ac:dyDescent="0.25">
      <c r="A39" s="172" t="s">
        <v>19</v>
      </c>
      <c r="B39" s="28" t="s">
        <v>74</v>
      </c>
      <c r="C39" s="35"/>
      <c r="D39" s="28">
        <f>COUNTIFS(DataRegularSeason20242025!$E$2:$E$1315,TotalTeamGames20242025!C$1,DataRegularSeason20242025!$D$2:$D$1315,TotalTeamGames20242025!$A39,DataRegularSeason20242025!$N$2:$N$1315,1)</f>
        <v>0</v>
      </c>
      <c r="E39" s="35"/>
      <c r="F39" s="28">
        <f>COUNTIFS(DataRegularSeason20242025!$E$2:$E$1315,TotalTeamGames20242025!E$1,DataRegularSeason20242025!$D$2:$D$1315,TotalTeamGames20242025!$A39,DataRegularSeason20242025!$N$2:$N$1315,1)</f>
        <v>0</v>
      </c>
      <c r="G39" s="35"/>
      <c r="H39" s="28">
        <f>COUNTIFS(DataRegularSeason20242025!$E$2:$E$1315,TotalTeamGames20242025!G$1,DataRegularSeason20242025!$D$2:$D$1315,TotalTeamGames20242025!$A39,DataRegularSeason20242025!$N$2:$N$1315,1)</f>
        <v>1</v>
      </c>
      <c r="I39" s="35"/>
      <c r="J39" s="28">
        <f>COUNTIFS(DataRegularSeason20242025!$E$2:$E$1315,TotalTeamGames20242025!I$1,DataRegularSeason20242025!$D$2:$D$1315,TotalTeamGames20242025!$A39,DataRegularSeason20242025!$N$2:$N$1315,1)</f>
        <v>0</v>
      </c>
      <c r="K39" s="35"/>
      <c r="L39" s="28">
        <f>COUNTIFS(DataRegularSeason20242025!$E$2:$E$1315,TotalTeamGames20242025!K$1,DataRegularSeason20242025!$D$2:$D$1315,TotalTeamGames20242025!$A39,DataRegularSeason20242025!$N$2:$N$1315,1)</f>
        <v>0</v>
      </c>
      <c r="M39" s="35"/>
      <c r="N39" s="28">
        <f>COUNTIFS(DataRegularSeason20242025!$E$2:$E$1315,TotalTeamGames20242025!M$1,DataRegularSeason20242025!$D$2:$D$1315,TotalTeamGames20242025!$A39,DataRegularSeason20242025!$N$2:$N$1315,1)</f>
        <v>0</v>
      </c>
      <c r="O39" s="35"/>
      <c r="P39" s="28">
        <f>COUNTIFS(DataRegularSeason20242025!$E$2:$E$1315,TotalTeamGames20242025!O$1,DataRegularSeason20242025!$D$2:$D$1315,TotalTeamGames20242025!$A39,DataRegularSeason20242025!$N$2:$N$1315,1)</f>
        <v>0</v>
      </c>
      <c r="Q39" s="35"/>
      <c r="R39" s="28">
        <f>COUNTIFS(DataRegularSeason20242025!$E$2:$E$1315,TotalTeamGames20242025!Q$1,DataRegularSeason20242025!$D$2:$D$1315,TotalTeamGames20242025!$A39,DataRegularSeason20242025!$N$2:$N$1315,1)</f>
        <v>0</v>
      </c>
      <c r="S39" s="35"/>
      <c r="T39" s="28">
        <f>COUNTIFS(DataRegularSeason20242025!$E$2:$E$1315,TotalTeamGames20242025!S$1,DataRegularSeason20242025!$D$2:$D$1315,TotalTeamGames20242025!$A39,DataRegularSeason20242025!$N$2:$N$1315,1)</f>
        <v>0</v>
      </c>
      <c r="U39" s="35"/>
      <c r="V39" s="28">
        <f>COUNTIFS(DataRegularSeason20242025!$E$2:$E$1315,TotalTeamGames20242025!U$1,DataRegularSeason20242025!$D$2:$D$1315,TotalTeamGames20242025!$A39,DataRegularSeason20242025!$N$2:$N$1315,1)</f>
        <v>0</v>
      </c>
      <c r="W39" s="35"/>
      <c r="X39" s="28">
        <f>COUNTIFS(DataRegularSeason20242025!$E$2:$E$1315,TotalTeamGames20242025!W$1,DataRegularSeason20242025!$D$2:$D$1315,TotalTeamGames20242025!$A39,DataRegularSeason20242025!$N$2:$N$1315,1)</f>
        <v>0</v>
      </c>
      <c r="Y39" s="35"/>
      <c r="Z39" s="28">
        <f>COUNTIFS(DataRegularSeason20242025!$E$2:$E$1315,TotalTeamGames20242025!Y$1,DataRegularSeason20242025!$D$2:$D$1315,TotalTeamGames20242025!$A39,DataRegularSeason20242025!$N$2:$N$1315,1)</f>
        <v>0</v>
      </c>
      <c r="AA39" s="35"/>
      <c r="AB39" s="28">
        <f>COUNTIFS(DataRegularSeason20242025!$E$2:$E$1315,TotalTeamGames20242025!AA$1,DataRegularSeason20242025!$D$2:$D$1315,TotalTeamGames20242025!$A39,DataRegularSeason20242025!$N$2:$N$1315,1)</f>
        <v>0</v>
      </c>
      <c r="AC39" s="35"/>
      <c r="AD39" s="28">
        <f>COUNTIFS(DataRegularSeason20242025!$E$2:$E$1315,TotalTeamGames20242025!AC$1,DataRegularSeason20242025!$D$2:$D$1315,TotalTeamGames20242025!$A39,DataRegularSeason20242025!$N$2:$N$1315,1)</f>
        <v>0</v>
      </c>
      <c r="AE39" s="35"/>
      <c r="AF39" s="28">
        <f>COUNTIFS(DataRegularSeason20242025!$E$2:$E$1315,TotalTeamGames20242025!AE$1,DataRegularSeason20242025!$D$2:$D$1315,TotalTeamGames20242025!$A39,DataRegularSeason20242025!$N$2:$N$1315,1)</f>
        <v>1</v>
      </c>
      <c r="AG39" s="35"/>
      <c r="AH39" s="28">
        <f>COUNTIFS(DataRegularSeason20242025!$E$2:$E$1315,TotalTeamGames20242025!AG$1,DataRegularSeason20242025!$D$2:$D$1315,TotalTeamGames20242025!$A39,DataRegularSeason20242025!$N$2:$N$1315,1)</f>
        <v>0</v>
      </c>
      <c r="AI39" s="35"/>
      <c r="AJ39" s="28">
        <f>COUNTIFS(DataRegularSeason20242025!$E$2:$E$1315,TotalTeamGames20242025!AI$1,DataRegularSeason20242025!$D$2:$D$1315,TotalTeamGames20242025!$A39,DataRegularSeason20242025!$N$2:$N$1315,1)</f>
        <v>0</v>
      </c>
      <c r="AK39" s="35"/>
      <c r="AL39" s="28">
        <f>COUNTIFS(DataRegularSeason20242025!$E$2:$E$1315,TotalTeamGames20242025!AK$1,DataRegularSeason20242025!$D$2:$D$1315,TotalTeamGames20242025!$A39,DataRegularSeason20242025!$N$2:$N$1315,1)</f>
        <v>0</v>
      </c>
      <c r="AM39" s="35"/>
      <c r="AN39" s="36"/>
      <c r="AO39" s="35"/>
      <c r="AP39" s="28">
        <f>COUNTIFS(DataRegularSeason20242025!$E$2:$E$1315,TotalTeamGames20242025!AO$1,DataRegularSeason20242025!$D$2:$D$1315,TotalTeamGames20242025!$A39,DataRegularSeason20242025!$N$2:$N$1315,1)</f>
        <v>0</v>
      </c>
      <c r="AQ39" s="35"/>
      <c r="AR39" s="28">
        <f>COUNTIFS(DataRegularSeason20242025!$E$2:$E$1315,TotalTeamGames20242025!AQ$1,DataRegularSeason20242025!$D$2:$D$1315,TotalTeamGames20242025!$A39,DataRegularSeason20242025!$N$2:$N$1315,1)</f>
        <v>0</v>
      </c>
      <c r="AS39" s="35"/>
      <c r="AT39" s="28">
        <f>COUNTIFS(DataRegularSeason20242025!$E$2:$E$1315,TotalTeamGames20242025!AS$1,DataRegularSeason20242025!$D$2:$D$1315,TotalTeamGames20242025!$A39,DataRegularSeason20242025!$N$2:$N$1315,1)</f>
        <v>1</v>
      </c>
      <c r="AU39" s="35"/>
      <c r="AV39" s="28">
        <f>COUNTIFS(DataRegularSeason20242025!$E$2:$E$1315,TotalTeamGames20242025!AU$1,DataRegularSeason20242025!$D$2:$D$1315,TotalTeamGames20242025!$A39,DataRegularSeason20242025!$N$2:$N$1315,1)</f>
        <v>0</v>
      </c>
      <c r="AW39" s="35"/>
      <c r="AX39" s="28">
        <f>COUNTIFS(DataRegularSeason20242025!$E$2:$E$1315,TotalTeamGames20242025!AW$1,DataRegularSeason20242025!$D$2:$D$1315,TotalTeamGames20242025!$A39,DataRegularSeason20242025!$N$2:$N$1315,1)</f>
        <v>0</v>
      </c>
      <c r="AY39" s="35"/>
      <c r="AZ39" s="28">
        <f>COUNTIFS(DataRegularSeason20242025!$E$2:$E$1315,TotalTeamGames20242025!AY$1,DataRegularSeason20242025!$D$2:$D$1315,TotalTeamGames20242025!$A39,DataRegularSeason20242025!$N$2:$N$1315,1)</f>
        <v>0</v>
      </c>
      <c r="BA39" s="35"/>
      <c r="BB39" s="28">
        <f>COUNTIFS(DataRegularSeason20242025!$E$2:$E$1315,TotalTeamGames20242025!BA$1,DataRegularSeason20242025!$D$2:$D$1315,TotalTeamGames20242025!$A39,DataRegularSeason20242025!$N$2:$N$1315,1)</f>
        <v>0</v>
      </c>
      <c r="BC39" s="35"/>
      <c r="BD39" s="28">
        <f>COUNTIFS(DataRegularSeason20242025!$E$2:$E$1315,TotalTeamGames20242025!BC$1,DataRegularSeason20242025!$D$2:$D$1315,TotalTeamGames20242025!$A39,DataRegularSeason20242025!$N$2:$N$1315,1)</f>
        <v>1</v>
      </c>
      <c r="BE39" s="35"/>
      <c r="BF39" s="28">
        <f>COUNTIFS(DataRegularSeason20242025!$E$2:$E$1315,TotalTeamGames20242025!BE$1,DataRegularSeason20242025!$D$2:$D$1315,TotalTeamGames20242025!$A39,DataRegularSeason20242025!$N$2:$N$1315,1)</f>
        <v>0</v>
      </c>
      <c r="BG39" s="35"/>
      <c r="BH39" s="28">
        <f>COUNTIFS(DataRegularSeason20242025!$E$2:$E$1315,TotalTeamGames20242025!BG$1,DataRegularSeason20242025!$D$2:$D$1315,TotalTeamGames20242025!$A39,DataRegularSeason20242025!$N$2:$N$1315,1)</f>
        <v>0</v>
      </c>
      <c r="BI39" s="35"/>
      <c r="BJ39" s="28">
        <f>COUNTIFS(DataRegularSeason20242025!$E$2:$E$1315,TotalTeamGames20242025!BI$1,DataRegularSeason20242025!$D$2:$D$1315,TotalTeamGames20242025!$A39,DataRegularSeason20242025!$N$2:$N$1315,1)</f>
        <v>0</v>
      </c>
      <c r="BK39" s="35"/>
      <c r="BL39" s="28">
        <f>COUNTIFS(DataRegularSeason20242025!$E$2:$E$1315,TotalTeamGames20242025!BK$1,DataRegularSeason20242025!$D$2:$D$1315,TotalTeamGames20242025!$A39,DataRegularSeason20242025!$N$2:$N$1315,1)</f>
        <v>0</v>
      </c>
      <c r="BM39" s="35"/>
      <c r="BN39" s="28">
        <f>COUNTIFS(DataRegularSeason20242025!$E$2:$E$1315,TotalTeamGames20242025!BM$1,DataRegularSeason20242025!$D$2:$D$1315,TotalTeamGames20242025!$A39,DataRegularSeason20242025!$N$2:$N$1315,1)</f>
        <v>0</v>
      </c>
      <c r="BO39" s="30">
        <f t="shared" si="0"/>
        <v>4</v>
      </c>
      <c r="BP39" s="165">
        <f t="shared" ref="BP39" si="35">BO39+BO40</f>
        <v>8</v>
      </c>
      <c r="BQ39" s="166">
        <f t="shared" ref="BQ39" si="36">82-BP39</f>
        <v>74</v>
      </c>
    </row>
    <row r="40" spans="1:69" ht="9.9499999999999993" customHeight="1" x14ac:dyDescent="0.25">
      <c r="A40" s="167"/>
      <c r="B40" s="32" t="s">
        <v>73</v>
      </c>
      <c r="C40" s="38">
        <f>COUNTIFS(DataRegularSeason20242025!$D$2:$D$1315,TotalTeamGames20242025!C$1,DataRegularSeason20242025!$E$2:$E$1315,TotalTeamGames20242025!$A39,DataRegularSeason20242025!$N$2:$N$1315,1)</f>
        <v>0</v>
      </c>
      <c r="D40" s="39"/>
      <c r="E40" s="38">
        <f>COUNTIFS(DataRegularSeason20242025!$D$2:$D$1315,TotalTeamGames20242025!E$1,DataRegularSeason20242025!$E$2:$E$1315,TotalTeamGames20242025!$A39,DataRegularSeason20242025!$N$2:$N$1315,1)</f>
        <v>0</v>
      </c>
      <c r="F40" s="39"/>
      <c r="G40" s="38">
        <f>COUNTIFS(DataRegularSeason20242025!$D$2:$D$1315,TotalTeamGames20242025!G$1,DataRegularSeason20242025!$E$2:$E$1315,TotalTeamGames20242025!$A39,DataRegularSeason20242025!$N$2:$N$1315,1)</f>
        <v>0</v>
      </c>
      <c r="H40" s="39"/>
      <c r="I40" s="38">
        <f>COUNTIFS(DataRegularSeason20242025!$D$2:$D$1315,TotalTeamGames20242025!I$1,DataRegularSeason20242025!$E$2:$E$1315,TotalTeamGames20242025!$A39,DataRegularSeason20242025!$N$2:$N$1315,1)</f>
        <v>0</v>
      </c>
      <c r="J40" s="39"/>
      <c r="K40" s="38">
        <f>COUNTIFS(DataRegularSeason20242025!$D$2:$D$1315,TotalTeamGames20242025!K$1,DataRegularSeason20242025!$E$2:$E$1315,TotalTeamGames20242025!$A39,DataRegularSeason20242025!$N$2:$N$1315,1)</f>
        <v>0</v>
      </c>
      <c r="L40" s="39"/>
      <c r="M40" s="38">
        <f>COUNTIFS(DataRegularSeason20242025!$D$2:$D$1315,TotalTeamGames20242025!M$1,DataRegularSeason20242025!$E$2:$E$1315,TotalTeamGames20242025!$A39,DataRegularSeason20242025!$N$2:$N$1315,1)</f>
        <v>0</v>
      </c>
      <c r="N40" s="39"/>
      <c r="O40" s="38">
        <f>COUNTIFS(DataRegularSeason20242025!$D$2:$D$1315,TotalTeamGames20242025!O$1,DataRegularSeason20242025!$E$2:$E$1315,TotalTeamGames20242025!$A39,DataRegularSeason20242025!$N$2:$N$1315,1)</f>
        <v>0</v>
      </c>
      <c r="P40" s="39"/>
      <c r="Q40" s="38">
        <f>COUNTIFS(DataRegularSeason20242025!$D$2:$D$1315,TotalTeamGames20242025!Q$1,DataRegularSeason20242025!$E$2:$E$1315,TotalTeamGames20242025!$A39,DataRegularSeason20242025!$N$2:$N$1315,1)</f>
        <v>0</v>
      </c>
      <c r="R40" s="39"/>
      <c r="S40" s="38">
        <f>COUNTIFS(DataRegularSeason20242025!$D$2:$D$1315,TotalTeamGames20242025!S$1,DataRegularSeason20242025!$E$2:$E$1315,TotalTeamGames20242025!$A39,DataRegularSeason20242025!$N$2:$N$1315,1)</f>
        <v>0</v>
      </c>
      <c r="T40" s="39"/>
      <c r="U40" s="38">
        <f>COUNTIFS(DataRegularSeason20242025!$D$2:$D$1315,TotalTeamGames20242025!U$1,DataRegularSeason20242025!$E$2:$E$1315,TotalTeamGames20242025!$A39,DataRegularSeason20242025!$N$2:$N$1315,1)</f>
        <v>0</v>
      </c>
      <c r="V40" s="39"/>
      <c r="W40" s="38">
        <f>COUNTIFS(DataRegularSeason20242025!$D$2:$D$1315,TotalTeamGames20242025!W$1,DataRegularSeason20242025!$E$2:$E$1315,TotalTeamGames20242025!$A39,DataRegularSeason20242025!$N$2:$N$1315,1)</f>
        <v>1</v>
      </c>
      <c r="X40" s="39"/>
      <c r="Y40" s="38">
        <f>COUNTIFS(DataRegularSeason20242025!$D$2:$D$1315,TotalTeamGames20242025!Y$1,DataRegularSeason20242025!$E$2:$E$1315,TotalTeamGames20242025!$A39,DataRegularSeason20242025!$N$2:$N$1315,1)</f>
        <v>0</v>
      </c>
      <c r="Z40" s="39"/>
      <c r="AA40" s="38">
        <f>COUNTIFS(DataRegularSeason20242025!$D$2:$D$1315,TotalTeamGames20242025!AA$1,DataRegularSeason20242025!$E$2:$E$1315,TotalTeamGames20242025!$A39,DataRegularSeason20242025!$N$2:$N$1315,1)</f>
        <v>0</v>
      </c>
      <c r="AB40" s="39"/>
      <c r="AC40" s="38">
        <f>COUNTIFS(DataRegularSeason20242025!$D$2:$D$1315,TotalTeamGames20242025!AC$1,DataRegularSeason20242025!$E$2:$E$1315,TotalTeamGames20242025!$A39,DataRegularSeason20242025!$N$2:$N$1315,1)</f>
        <v>1</v>
      </c>
      <c r="AD40" s="39"/>
      <c r="AE40" s="38">
        <f>COUNTIFS(DataRegularSeason20242025!$D$2:$D$1315,TotalTeamGames20242025!AE$1,DataRegularSeason20242025!$E$2:$E$1315,TotalTeamGames20242025!$A39,DataRegularSeason20242025!$N$2:$N$1315,1)</f>
        <v>0</v>
      </c>
      <c r="AF40" s="39"/>
      <c r="AG40" s="38">
        <f>COUNTIFS(DataRegularSeason20242025!$D$2:$D$1315,TotalTeamGames20242025!AG$1,DataRegularSeason20242025!$E$2:$E$1315,TotalTeamGames20242025!$A39,DataRegularSeason20242025!$N$2:$N$1315,1)</f>
        <v>0</v>
      </c>
      <c r="AH40" s="39"/>
      <c r="AI40" s="38">
        <f>COUNTIFS(DataRegularSeason20242025!$D$2:$D$1315,TotalTeamGames20242025!AI$1,DataRegularSeason20242025!$E$2:$E$1315,TotalTeamGames20242025!$A39,DataRegularSeason20242025!$N$2:$N$1315,1)</f>
        <v>0</v>
      </c>
      <c r="AJ40" s="39"/>
      <c r="AK40" s="38">
        <f>COUNTIFS(DataRegularSeason20242025!$D$2:$D$1315,TotalTeamGames20242025!AK$1,DataRegularSeason20242025!$E$2:$E$1315,TotalTeamGames20242025!$A39,DataRegularSeason20242025!$N$2:$N$1315,1)</f>
        <v>0</v>
      </c>
      <c r="AL40" s="39"/>
      <c r="AM40" s="38"/>
      <c r="AN40" s="39"/>
      <c r="AO40" s="38">
        <f>COUNTIFS(DataRegularSeason20242025!$D$2:$D$1315,TotalTeamGames20242025!AO$1,DataRegularSeason20242025!$E$2:$E$1315,TotalTeamGames20242025!$A39,DataRegularSeason20242025!$N$2:$N$1315,1)</f>
        <v>0</v>
      </c>
      <c r="AP40" s="39"/>
      <c r="AQ40" s="38">
        <f>COUNTIFS(DataRegularSeason20242025!$D$2:$D$1315,TotalTeamGames20242025!AQ$1,DataRegularSeason20242025!$E$2:$E$1315,TotalTeamGames20242025!$A39,DataRegularSeason20242025!$N$2:$N$1315,1)</f>
        <v>0</v>
      </c>
      <c r="AR40" s="39"/>
      <c r="AS40" s="38">
        <f>COUNTIFS(DataRegularSeason20242025!$D$2:$D$1315,TotalTeamGames20242025!AS$1,DataRegularSeason20242025!$E$2:$E$1315,TotalTeamGames20242025!$A39,DataRegularSeason20242025!$N$2:$N$1315,1)</f>
        <v>1</v>
      </c>
      <c r="AT40" s="39"/>
      <c r="AU40" s="38">
        <f>COUNTIFS(DataRegularSeason20242025!$D$2:$D$1315,TotalTeamGames20242025!AU$1,DataRegularSeason20242025!$E$2:$E$1315,TotalTeamGames20242025!$A39,DataRegularSeason20242025!$N$2:$N$1315,1)</f>
        <v>0</v>
      </c>
      <c r="AV40" s="39"/>
      <c r="AW40" s="38">
        <f>COUNTIFS(DataRegularSeason20242025!$D$2:$D$1315,TotalTeamGames20242025!AW$1,DataRegularSeason20242025!$E$2:$E$1315,TotalTeamGames20242025!$A39,DataRegularSeason20242025!$N$2:$N$1315,1)</f>
        <v>0</v>
      </c>
      <c r="AX40" s="39"/>
      <c r="AY40" s="38">
        <f>COUNTIFS(DataRegularSeason20242025!$D$2:$D$1315,TotalTeamGames20242025!AY$1,DataRegularSeason20242025!$E$2:$E$1315,TotalTeamGames20242025!$A39,DataRegularSeason20242025!$N$2:$N$1315,1)</f>
        <v>0</v>
      </c>
      <c r="AZ40" s="39"/>
      <c r="BA40" s="38">
        <f>COUNTIFS(DataRegularSeason20242025!$D$2:$D$1315,TotalTeamGames20242025!BA$1,DataRegularSeason20242025!$E$2:$E$1315,TotalTeamGames20242025!$A39,DataRegularSeason20242025!$N$2:$N$1315,1)</f>
        <v>0</v>
      </c>
      <c r="BB40" s="39"/>
      <c r="BC40" s="38">
        <f>COUNTIFS(DataRegularSeason20242025!$D$2:$D$1315,TotalTeamGames20242025!BC$1,DataRegularSeason20242025!$E$2:$E$1315,TotalTeamGames20242025!$A39,DataRegularSeason20242025!$N$2:$N$1315,1)</f>
        <v>0</v>
      </c>
      <c r="BD40" s="39"/>
      <c r="BE40" s="38">
        <f>COUNTIFS(DataRegularSeason20242025!$D$2:$D$1315,TotalTeamGames20242025!BE$1,DataRegularSeason20242025!$E$2:$E$1315,TotalTeamGames20242025!$A39,DataRegularSeason20242025!$N$2:$N$1315,1)</f>
        <v>0</v>
      </c>
      <c r="BF40" s="39"/>
      <c r="BG40" s="38">
        <f>COUNTIFS(DataRegularSeason20242025!$D$2:$D$1315,TotalTeamGames20242025!BG$1,DataRegularSeason20242025!$E$2:$E$1315,TotalTeamGames20242025!$A39,DataRegularSeason20242025!$N$2:$N$1315,1)</f>
        <v>0</v>
      </c>
      <c r="BH40" s="39"/>
      <c r="BI40" s="38">
        <f>COUNTIFS(DataRegularSeason20242025!$D$2:$D$1315,TotalTeamGames20242025!BI$1,DataRegularSeason20242025!$E$2:$E$1315,TotalTeamGames20242025!$A39,DataRegularSeason20242025!$N$2:$N$1315,1)</f>
        <v>0</v>
      </c>
      <c r="BJ40" s="39"/>
      <c r="BK40" s="38">
        <f>COUNTIFS(DataRegularSeason20242025!$D$2:$D$1315,TotalTeamGames20242025!BK$1,DataRegularSeason20242025!$E$2:$E$1315,TotalTeamGames20242025!$A39,DataRegularSeason20242025!$N$2:$N$1315,1)</f>
        <v>0</v>
      </c>
      <c r="BL40" s="39"/>
      <c r="BM40" s="38">
        <f>COUNTIFS(DataRegularSeason20242025!$D$2:$D$1315,TotalTeamGames20242025!BM$1,DataRegularSeason20242025!$E$2:$E$1315,TotalTeamGames20242025!$A39,DataRegularSeason20242025!$N$2:$N$1315,1)</f>
        <v>1</v>
      </c>
      <c r="BN40" s="39"/>
      <c r="BO40" s="34">
        <f t="shared" si="0"/>
        <v>4</v>
      </c>
      <c r="BP40" s="165"/>
      <c r="BQ40" s="166"/>
    </row>
    <row r="41" spans="1:69" ht="9.9499999999999993" customHeight="1" x14ac:dyDescent="0.25">
      <c r="A41" s="172" t="s">
        <v>29</v>
      </c>
      <c r="B41" s="28" t="s">
        <v>74</v>
      </c>
      <c r="C41" s="35"/>
      <c r="D41" s="28">
        <f>COUNTIFS(DataRegularSeason20242025!$E$2:$E$1315,TotalTeamGames20242025!C$1,DataRegularSeason20242025!$D$2:$D$1315,TotalTeamGames20242025!$A41,DataRegularSeason20242025!$N$2:$N$1315,1)</f>
        <v>0</v>
      </c>
      <c r="E41" s="35"/>
      <c r="F41" s="28">
        <f>COUNTIFS(DataRegularSeason20242025!$E$2:$E$1315,TotalTeamGames20242025!E$1,DataRegularSeason20242025!$D$2:$D$1315,TotalTeamGames20242025!$A41,DataRegularSeason20242025!$N$2:$N$1315,1)</f>
        <v>0</v>
      </c>
      <c r="G41" s="35"/>
      <c r="H41" s="28">
        <f>COUNTIFS(DataRegularSeason20242025!$E$2:$E$1315,TotalTeamGames20242025!G$1,DataRegularSeason20242025!$D$2:$D$1315,TotalTeamGames20242025!$A41,DataRegularSeason20242025!$N$2:$N$1315,1)</f>
        <v>1</v>
      </c>
      <c r="I41" s="35"/>
      <c r="J41" s="28">
        <f>COUNTIFS(DataRegularSeason20242025!$E$2:$E$1315,TotalTeamGames20242025!I$1,DataRegularSeason20242025!$D$2:$D$1315,TotalTeamGames20242025!$A41,DataRegularSeason20242025!$N$2:$N$1315,1)</f>
        <v>0</v>
      </c>
      <c r="K41" s="35"/>
      <c r="L41" s="28">
        <f>COUNTIFS(DataRegularSeason20242025!$E$2:$E$1315,TotalTeamGames20242025!K$1,DataRegularSeason20242025!$D$2:$D$1315,TotalTeamGames20242025!$A41,DataRegularSeason20242025!$N$2:$N$1315,1)</f>
        <v>0</v>
      </c>
      <c r="M41" s="35"/>
      <c r="N41" s="28">
        <f>COUNTIFS(DataRegularSeason20242025!$E$2:$E$1315,TotalTeamGames20242025!M$1,DataRegularSeason20242025!$D$2:$D$1315,TotalTeamGames20242025!$A41,DataRegularSeason20242025!$N$2:$N$1315,1)</f>
        <v>0</v>
      </c>
      <c r="O41" s="35"/>
      <c r="P41" s="28">
        <f>COUNTIFS(DataRegularSeason20242025!$E$2:$E$1315,TotalTeamGames20242025!O$1,DataRegularSeason20242025!$D$2:$D$1315,TotalTeamGames20242025!$A41,DataRegularSeason20242025!$N$2:$N$1315,1)</f>
        <v>0</v>
      </c>
      <c r="Q41" s="35"/>
      <c r="R41" s="28">
        <f>COUNTIFS(DataRegularSeason20242025!$E$2:$E$1315,TotalTeamGames20242025!Q$1,DataRegularSeason20242025!$D$2:$D$1315,TotalTeamGames20242025!$A41,DataRegularSeason20242025!$N$2:$N$1315,1)</f>
        <v>0</v>
      </c>
      <c r="S41" s="35"/>
      <c r="T41" s="28">
        <f>COUNTIFS(DataRegularSeason20242025!$E$2:$E$1315,TotalTeamGames20242025!S$1,DataRegularSeason20242025!$D$2:$D$1315,TotalTeamGames20242025!$A41,DataRegularSeason20242025!$N$2:$N$1315,1)</f>
        <v>0</v>
      </c>
      <c r="U41" s="35"/>
      <c r="V41" s="28">
        <f>COUNTIFS(DataRegularSeason20242025!$E$2:$E$1315,TotalTeamGames20242025!U$1,DataRegularSeason20242025!$D$2:$D$1315,TotalTeamGames20242025!$A41,DataRegularSeason20242025!$N$2:$N$1315,1)</f>
        <v>0</v>
      </c>
      <c r="W41" s="35"/>
      <c r="X41" s="28">
        <f>COUNTIFS(DataRegularSeason20242025!$E$2:$E$1315,TotalTeamGames20242025!W$1,DataRegularSeason20242025!$D$2:$D$1315,TotalTeamGames20242025!$A41,DataRegularSeason20242025!$N$2:$N$1315,1)</f>
        <v>0</v>
      </c>
      <c r="Y41" s="35"/>
      <c r="Z41" s="28">
        <f>COUNTIFS(DataRegularSeason20242025!$E$2:$E$1315,TotalTeamGames20242025!Y$1,DataRegularSeason20242025!$D$2:$D$1315,TotalTeamGames20242025!$A41,DataRegularSeason20242025!$N$2:$N$1315,1)</f>
        <v>1</v>
      </c>
      <c r="AA41" s="35"/>
      <c r="AB41" s="28">
        <f>COUNTIFS(DataRegularSeason20242025!$E$2:$E$1315,TotalTeamGames20242025!AA$1,DataRegularSeason20242025!$D$2:$D$1315,TotalTeamGames20242025!$A41,DataRegularSeason20242025!$N$2:$N$1315,1)</f>
        <v>0</v>
      </c>
      <c r="AC41" s="35"/>
      <c r="AD41" s="28">
        <f>COUNTIFS(DataRegularSeason20242025!$E$2:$E$1315,TotalTeamGames20242025!AC$1,DataRegularSeason20242025!$D$2:$D$1315,TotalTeamGames20242025!$A41,DataRegularSeason20242025!$N$2:$N$1315,1)</f>
        <v>0</v>
      </c>
      <c r="AE41" s="35"/>
      <c r="AF41" s="28">
        <f>COUNTIFS(DataRegularSeason20242025!$E$2:$E$1315,TotalTeamGames20242025!AE$1,DataRegularSeason20242025!$D$2:$D$1315,TotalTeamGames20242025!$A41,DataRegularSeason20242025!$N$2:$N$1315,1)</f>
        <v>0</v>
      </c>
      <c r="AG41" s="35"/>
      <c r="AH41" s="28">
        <f>COUNTIFS(DataRegularSeason20242025!$E$2:$E$1315,TotalTeamGames20242025!AG$1,DataRegularSeason20242025!$D$2:$D$1315,TotalTeamGames20242025!$A41,DataRegularSeason20242025!$N$2:$N$1315,1)</f>
        <v>0</v>
      </c>
      <c r="AI41" s="35"/>
      <c r="AJ41" s="28">
        <f>COUNTIFS(DataRegularSeason20242025!$E$2:$E$1315,TotalTeamGames20242025!AI$1,DataRegularSeason20242025!$D$2:$D$1315,TotalTeamGames20242025!$A41,DataRegularSeason20242025!$N$2:$N$1315,1)</f>
        <v>0</v>
      </c>
      <c r="AK41" s="35"/>
      <c r="AL41" s="28">
        <f>COUNTIFS(DataRegularSeason20242025!$E$2:$E$1315,TotalTeamGames20242025!AK$1,DataRegularSeason20242025!$D$2:$D$1315,TotalTeamGames20242025!$A41,DataRegularSeason20242025!$N$2:$N$1315,1)</f>
        <v>0</v>
      </c>
      <c r="AM41" s="35"/>
      <c r="AN41" s="28">
        <f>COUNTIFS(DataRegularSeason20242025!$E$2:$E$1315,TotalTeamGames20242025!AM$1,DataRegularSeason20242025!$D$2:$D$1315,TotalTeamGames20242025!$A41,DataRegularSeason20242025!$N$2:$N$1315,1)</f>
        <v>0</v>
      </c>
      <c r="AO41" s="35"/>
      <c r="AP41" s="36"/>
      <c r="AQ41" s="35"/>
      <c r="AR41" s="28">
        <f>COUNTIFS(DataRegularSeason20242025!$E$2:$E$1315,TotalTeamGames20242025!AQ$1,DataRegularSeason20242025!$D$2:$D$1315,TotalTeamGames20242025!$A41,DataRegularSeason20242025!$N$2:$N$1315,1)</f>
        <v>0</v>
      </c>
      <c r="AS41" s="35"/>
      <c r="AT41" s="28">
        <f>COUNTIFS(DataRegularSeason20242025!$E$2:$E$1315,TotalTeamGames20242025!AS$1,DataRegularSeason20242025!$D$2:$D$1315,TotalTeamGames20242025!$A41,DataRegularSeason20242025!$N$2:$N$1315,1)</f>
        <v>0</v>
      </c>
      <c r="AU41" s="35"/>
      <c r="AV41" s="28">
        <f>COUNTIFS(DataRegularSeason20242025!$E$2:$E$1315,TotalTeamGames20242025!AU$1,DataRegularSeason20242025!$D$2:$D$1315,TotalTeamGames20242025!$A41,DataRegularSeason20242025!$N$2:$N$1315,1)</f>
        <v>0</v>
      </c>
      <c r="AW41" s="35"/>
      <c r="AX41" s="28">
        <f>COUNTIFS(DataRegularSeason20242025!$E$2:$E$1315,TotalTeamGames20242025!AW$1,DataRegularSeason20242025!$D$2:$D$1315,TotalTeamGames20242025!$A41,DataRegularSeason20242025!$N$2:$N$1315,1)</f>
        <v>0</v>
      </c>
      <c r="AY41" s="35"/>
      <c r="AZ41" s="28">
        <f>COUNTIFS(DataRegularSeason20242025!$E$2:$E$1315,TotalTeamGames20242025!AY$1,DataRegularSeason20242025!$D$2:$D$1315,TotalTeamGames20242025!$A41,DataRegularSeason20242025!$N$2:$N$1315,1)</f>
        <v>0</v>
      </c>
      <c r="BA41" s="35"/>
      <c r="BB41" s="28">
        <f>COUNTIFS(DataRegularSeason20242025!$E$2:$E$1315,TotalTeamGames20242025!BA$1,DataRegularSeason20242025!$D$2:$D$1315,TotalTeamGames20242025!$A41,DataRegularSeason20242025!$N$2:$N$1315,1)</f>
        <v>1</v>
      </c>
      <c r="BC41" s="35"/>
      <c r="BD41" s="28">
        <f>COUNTIFS(DataRegularSeason20242025!$E$2:$E$1315,TotalTeamGames20242025!BC$1,DataRegularSeason20242025!$D$2:$D$1315,TotalTeamGames20242025!$A41,DataRegularSeason20242025!$N$2:$N$1315,1)</f>
        <v>0</v>
      </c>
      <c r="BE41" s="35"/>
      <c r="BF41" s="28">
        <f>COUNTIFS(DataRegularSeason20242025!$E$2:$E$1315,TotalTeamGames20242025!BE$1,DataRegularSeason20242025!$D$2:$D$1315,TotalTeamGames20242025!$A41,DataRegularSeason20242025!$N$2:$N$1315,1)</f>
        <v>0</v>
      </c>
      <c r="BG41" s="35"/>
      <c r="BH41" s="28">
        <f>COUNTIFS(DataRegularSeason20242025!$E$2:$E$1315,TotalTeamGames20242025!BG$1,DataRegularSeason20242025!$D$2:$D$1315,TotalTeamGames20242025!$A41,DataRegularSeason20242025!$N$2:$N$1315,1)</f>
        <v>0</v>
      </c>
      <c r="BI41" s="35"/>
      <c r="BJ41" s="28">
        <f>COUNTIFS(DataRegularSeason20242025!$E$2:$E$1315,TotalTeamGames20242025!BI$1,DataRegularSeason20242025!$D$2:$D$1315,TotalTeamGames20242025!$A41,DataRegularSeason20242025!$N$2:$N$1315,1)</f>
        <v>0</v>
      </c>
      <c r="BK41" s="35"/>
      <c r="BL41" s="28">
        <f>COUNTIFS(DataRegularSeason20242025!$E$2:$E$1315,TotalTeamGames20242025!BK$1,DataRegularSeason20242025!$D$2:$D$1315,TotalTeamGames20242025!$A41,DataRegularSeason20242025!$N$2:$N$1315,1)</f>
        <v>0</v>
      </c>
      <c r="BM41" s="35"/>
      <c r="BN41" s="28">
        <f>COUNTIFS(DataRegularSeason20242025!$E$2:$E$1315,TotalTeamGames20242025!BM$1,DataRegularSeason20242025!$D$2:$D$1315,TotalTeamGames20242025!$A41,DataRegularSeason20242025!$N$2:$N$1315,1)</f>
        <v>0</v>
      </c>
      <c r="BO41" s="30">
        <f t="shared" si="0"/>
        <v>3</v>
      </c>
      <c r="BP41" s="165">
        <f t="shared" ref="BP41" si="37">BO41+BO42</f>
        <v>7</v>
      </c>
      <c r="BQ41" s="166">
        <f t="shared" ref="BQ41" si="38">82-BP41</f>
        <v>75</v>
      </c>
    </row>
    <row r="42" spans="1:69" ht="9.9499999999999993" customHeight="1" x14ac:dyDescent="0.25">
      <c r="A42" s="167"/>
      <c r="B42" s="32" t="s">
        <v>73</v>
      </c>
      <c r="C42" s="38">
        <f>COUNTIFS(DataRegularSeason20242025!$D$2:$D$1315,TotalTeamGames20242025!C$1,DataRegularSeason20242025!$E$2:$E$1315,TotalTeamGames20242025!$A41,DataRegularSeason20242025!$N$2:$N$1315,1)</f>
        <v>0</v>
      </c>
      <c r="D42" s="39"/>
      <c r="E42" s="38">
        <f>COUNTIFS(DataRegularSeason20242025!$D$2:$D$1315,TotalTeamGames20242025!E$1,DataRegularSeason20242025!$E$2:$E$1315,TotalTeamGames20242025!$A41,DataRegularSeason20242025!$N$2:$N$1315,1)</f>
        <v>0</v>
      </c>
      <c r="F42" s="39"/>
      <c r="G42" s="38">
        <f>COUNTIFS(DataRegularSeason20242025!$D$2:$D$1315,TotalTeamGames20242025!G$1,DataRegularSeason20242025!$E$2:$E$1315,TotalTeamGames20242025!$A41,DataRegularSeason20242025!$N$2:$N$1315,1)</f>
        <v>0</v>
      </c>
      <c r="H42" s="39"/>
      <c r="I42" s="38">
        <f>COUNTIFS(DataRegularSeason20242025!$D$2:$D$1315,TotalTeamGames20242025!I$1,DataRegularSeason20242025!$E$2:$E$1315,TotalTeamGames20242025!$A41,DataRegularSeason20242025!$N$2:$N$1315,1)</f>
        <v>0</v>
      </c>
      <c r="J42" s="39"/>
      <c r="K42" s="38">
        <f>COUNTIFS(DataRegularSeason20242025!$D$2:$D$1315,TotalTeamGames20242025!K$1,DataRegularSeason20242025!$E$2:$E$1315,TotalTeamGames20242025!$A41,DataRegularSeason20242025!$N$2:$N$1315,1)</f>
        <v>0</v>
      </c>
      <c r="L42" s="39"/>
      <c r="M42" s="38">
        <f>COUNTIFS(DataRegularSeason20242025!$D$2:$D$1315,TotalTeamGames20242025!M$1,DataRegularSeason20242025!$E$2:$E$1315,TotalTeamGames20242025!$A41,DataRegularSeason20242025!$N$2:$N$1315,1)</f>
        <v>0</v>
      </c>
      <c r="N42" s="39"/>
      <c r="O42" s="38">
        <f>COUNTIFS(DataRegularSeason20242025!$D$2:$D$1315,TotalTeamGames20242025!O$1,DataRegularSeason20242025!$E$2:$E$1315,TotalTeamGames20242025!$A41,DataRegularSeason20242025!$N$2:$N$1315,1)</f>
        <v>0</v>
      </c>
      <c r="P42" s="39"/>
      <c r="Q42" s="38">
        <f>COUNTIFS(DataRegularSeason20242025!$D$2:$D$1315,TotalTeamGames20242025!Q$1,DataRegularSeason20242025!$E$2:$E$1315,TotalTeamGames20242025!$A41,DataRegularSeason20242025!$N$2:$N$1315,1)</f>
        <v>0</v>
      </c>
      <c r="R42" s="39"/>
      <c r="S42" s="38">
        <f>COUNTIFS(DataRegularSeason20242025!$D$2:$D$1315,TotalTeamGames20242025!S$1,DataRegularSeason20242025!$E$2:$E$1315,TotalTeamGames20242025!$A41,DataRegularSeason20242025!$N$2:$N$1315,1)</f>
        <v>0</v>
      </c>
      <c r="T42" s="39"/>
      <c r="U42" s="38">
        <f>COUNTIFS(DataRegularSeason20242025!$D$2:$D$1315,TotalTeamGames20242025!U$1,DataRegularSeason20242025!$E$2:$E$1315,TotalTeamGames20242025!$A41,DataRegularSeason20242025!$N$2:$N$1315,1)</f>
        <v>0</v>
      </c>
      <c r="V42" s="39"/>
      <c r="W42" s="38">
        <f>COUNTIFS(DataRegularSeason20242025!$D$2:$D$1315,TotalTeamGames20242025!W$1,DataRegularSeason20242025!$E$2:$E$1315,TotalTeamGames20242025!$A41,DataRegularSeason20242025!$N$2:$N$1315,1)</f>
        <v>1</v>
      </c>
      <c r="X42" s="39"/>
      <c r="Y42" s="38">
        <f>COUNTIFS(DataRegularSeason20242025!$D$2:$D$1315,TotalTeamGames20242025!Y$1,DataRegularSeason20242025!$E$2:$E$1315,TotalTeamGames20242025!$A41,DataRegularSeason20242025!$N$2:$N$1315,1)</f>
        <v>0</v>
      </c>
      <c r="Z42" s="39"/>
      <c r="AA42" s="38">
        <f>COUNTIFS(DataRegularSeason20242025!$D$2:$D$1315,TotalTeamGames20242025!AA$1,DataRegularSeason20242025!$E$2:$E$1315,TotalTeamGames20242025!$A41,DataRegularSeason20242025!$N$2:$N$1315,1)</f>
        <v>0</v>
      </c>
      <c r="AB42" s="39"/>
      <c r="AC42" s="38">
        <f>COUNTIFS(DataRegularSeason20242025!$D$2:$D$1315,TotalTeamGames20242025!AC$1,DataRegularSeason20242025!$E$2:$E$1315,TotalTeamGames20242025!$A41,DataRegularSeason20242025!$N$2:$N$1315,1)</f>
        <v>0</v>
      </c>
      <c r="AD42" s="39"/>
      <c r="AE42" s="38">
        <f>COUNTIFS(DataRegularSeason20242025!$D$2:$D$1315,TotalTeamGames20242025!AE$1,DataRegularSeason20242025!$E$2:$E$1315,TotalTeamGames20242025!$A41,DataRegularSeason20242025!$N$2:$N$1315,1)</f>
        <v>0</v>
      </c>
      <c r="AF42" s="39"/>
      <c r="AG42" s="38">
        <f>COUNTIFS(DataRegularSeason20242025!$D$2:$D$1315,TotalTeamGames20242025!AG$1,DataRegularSeason20242025!$E$2:$E$1315,TotalTeamGames20242025!$A41,DataRegularSeason20242025!$N$2:$N$1315,1)</f>
        <v>0</v>
      </c>
      <c r="AH42" s="39"/>
      <c r="AI42" s="38">
        <f>COUNTIFS(DataRegularSeason20242025!$D$2:$D$1315,TotalTeamGames20242025!AI$1,DataRegularSeason20242025!$E$2:$E$1315,TotalTeamGames20242025!$A41,DataRegularSeason20242025!$N$2:$N$1315,1)</f>
        <v>1</v>
      </c>
      <c r="AJ42" s="39"/>
      <c r="AK42" s="38">
        <f>COUNTIFS(DataRegularSeason20242025!$D$2:$D$1315,TotalTeamGames20242025!AK$1,DataRegularSeason20242025!$E$2:$E$1315,TotalTeamGames20242025!$A41,DataRegularSeason20242025!$N$2:$N$1315,1)</f>
        <v>1</v>
      </c>
      <c r="AL42" s="39"/>
      <c r="AM42" s="38">
        <f>COUNTIFS(DataRegularSeason20242025!$D$2:$D$1315,TotalTeamGames20242025!AM$1,DataRegularSeason20242025!$E$2:$E$1315,TotalTeamGames20242025!$A41,DataRegularSeason20242025!$N$2:$N$1315,1)</f>
        <v>0</v>
      </c>
      <c r="AN42" s="39"/>
      <c r="AO42" s="38"/>
      <c r="AP42" s="39"/>
      <c r="AQ42" s="38">
        <f>COUNTIFS(DataRegularSeason20242025!$D$2:$D$1315,TotalTeamGames20242025!AQ$1,DataRegularSeason20242025!$E$2:$E$1315,TotalTeamGames20242025!$A41,DataRegularSeason20242025!$N$2:$N$1315,1)</f>
        <v>0</v>
      </c>
      <c r="AR42" s="39"/>
      <c r="AS42" s="38">
        <f>COUNTIFS(DataRegularSeason20242025!$D$2:$D$1315,TotalTeamGames20242025!AS$1,DataRegularSeason20242025!$E$2:$E$1315,TotalTeamGames20242025!$A41,DataRegularSeason20242025!$N$2:$N$1315,1)</f>
        <v>0</v>
      </c>
      <c r="AT42" s="39"/>
      <c r="AU42" s="38">
        <f>COUNTIFS(DataRegularSeason20242025!$D$2:$D$1315,TotalTeamGames20242025!AU$1,DataRegularSeason20242025!$E$2:$E$1315,TotalTeamGames20242025!$A41,DataRegularSeason20242025!$N$2:$N$1315,1)</f>
        <v>1</v>
      </c>
      <c r="AV42" s="39"/>
      <c r="AW42" s="38">
        <f>COUNTIFS(DataRegularSeason20242025!$D$2:$D$1315,TotalTeamGames20242025!AW$1,DataRegularSeason20242025!$E$2:$E$1315,TotalTeamGames20242025!$A41,DataRegularSeason20242025!$N$2:$N$1315,1)</f>
        <v>0</v>
      </c>
      <c r="AX42" s="39"/>
      <c r="AY42" s="38">
        <f>COUNTIFS(DataRegularSeason20242025!$D$2:$D$1315,TotalTeamGames20242025!AY$1,DataRegularSeason20242025!$E$2:$E$1315,TotalTeamGames20242025!$A41,DataRegularSeason20242025!$N$2:$N$1315,1)</f>
        <v>0</v>
      </c>
      <c r="AZ42" s="39"/>
      <c r="BA42" s="38">
        <f>COUNTIFS(DataRegularSeason20242025!$D$2:$D$1315,TotalTeamGames20242025!BA$1,DataRegularSeason20242025!$E$2:$E$1315,TotalTeamGames20242025!$A41,DataRegularSeason20242025!$N$2:$N$1315,1)</f>
        <v>0</v>
      </c>
      <c r="BB42" s="39"/>
      <c r="BC42" s="38">
        <f>COUNTIFS(DataRegularSeason20242025!$D$2:$D$1315,TotalTeamGames20242025!BC$1,DataRegularSeason20242025!$E$2:$E$1315,TotalTeamGames20242025!$A41,DataRegularSeason20242025!$N$2:$N$1315,1)</f>
        <v>0</v>
      </c>
      <c r="BD42" s="39"/>
      <c r="BE42" s="38">
        <f>COUNTIFS(DataRegularSeason20242025!$D$2:$D$1315,TotalTeamGames20242025!BE$1,DataRegularSeason20242025!$E$2:$E$1315,TotalTeamGames20242025!$A41,DataRegularSeason20242025!$N$2:$N$1315,1)</f>
        <v>0</v>
      </c>
      <c r="BF42" s="39"/>
      <c r="BG42" s="38">
        <f>COUNTIFS(DataRegularSeason20242025!$D$2:$D$1315,TotalTeamGames20242025!BG$1,DataRegularSeason20242025!$E$2:$E$1315,TotalTeamGames20242025!$A41,DataRegularSeason20242025!$N$2:$N$1315,1)</f>
        <v>0</v>
      </c>
      <c r="BH42" s="39"/>
      <c r="BI42" s="38">
        <f>COUNTIFS(DataRegularSeason20242025!$D$2:$D$1315,TotalTeamGames20242025!BI$1,DataRegularSeason20242025!$E$2:$E$1315,TotalTeamGames20242025!$A41,DataRegularSeason20242025!$N$2:$N$1315,1)</f>
        <v>0</v>
      </c>
      <c r="BJ42" s="39"/>
      <c r="BK42" s="38">
        <f>COUNTIFS(DataRegularSeason20242025!$D$2:$D$1315,TotalTeamGames20242025!BK$1,DataRegularSeason20242025!$E$2:$E$1315,TotalTeamGames20242025!$A41,DataRegularSeason20242025!$N$2:$N$1315,1)</f>
        <v>0</v>
      </c>
      <c r="BL42" s="39"/>
      <c r="BM42" s="38">
        <f>COUNTIFS(DataRegularSeason20242025!$D$2:$D$1315,TotalTeamGames20242025!BM$1,DataRegularSeason20242025!$E$2:$E$1315,TotalTeamGames20242025!$A41,DataRegularSeason20242025!$N$2:$N$1315,1)</f>
        <v>0</v>
      </c>
      <c r="BN42" s="39"/>
      <c r="BO42" s="34">
        <f t="shared" si="0"/>
        <v>4</v>
      </c>
      <c r="BP42" s="165"/>
      <c r="BQ42" s="166"/>
    </row>
    <row r="43" spans="1:69" ht="9.9499999999999993" customHeight="1" x14ac:dyDescent="0.25">
      <c r="A43" s="172" t="s">
        <v>42</v>
      </c>
      <c r="B43" s="28" t="s">
        <v>74</v>
      </c>
      <c r="C43" s="35"/>
      <c r="D43" s="28">
        <f>COUNTIFS(DataRegularSeason20242025!$E$2:$E$1315,TotalTeamGames20242025!C$1,DataRegularSeason20242025!$D$2:$D$1315,TotalTeamGames20242025!$A43,DataRegularSeason20242025!$N$2:$N$1315,1)</f>
        <v>0</v>
      </c>
      <c r="E43" s="35"/>
      <c r="F43" s="28">
        <f>COUNTIFS(DataRegularSeason20242025!$E$2:$E$1315,TotalTeamGames20242025!E$1,DataRegularSeason20242025!$D$2:$D$1315,TotalTeamGames20242025!$A43,DataRegularSeason20242025!$N$2:$N$1315,1)</f>
        <v>0</v>
      </c>
      <c r="G43" s="35"/>
      <c r="H43" s="28">
        <f>COUNTIFS(DataRegularSeason20242025!$E$2:$E$1315,TotalTeamGames20242025!G$1,DataRegularSeason20242025!$D$2:$D$1315,TotalTeamGames20242025!$A43,DataRegularSeason20242025!$N$2:$N$1315,1)</f>
        <v>0</v>
      </c>
      <c r="I43" s="35"/>
      <c r="J43" s="28">
        <f>COUNTIFS(DataRegularSeason20242025!$E$2:$E$1315,TotalTeamGames20242025!I$1,DataRegularSeason20242025!$D$2:$D$1315,TotalTeamGames20242025!$A43,DataRegularSeason20242025!$N$2:$N$1315,1)</f>
        <v>1</v>
      </c>
      <c r="K43" s="35"/>
      <c r="L43" s="28">
        <f>COUNTIFS(DataRegularSeason20242025!$E$2:$E$1315,TotalTeamGames20242025!K$1,DataRegularSeason20242025!$D$2:$D$1315,TotalTeamGames20242025!$A43,DataRegularSeason20242025!$N$2:$N$1315,1)</f>
        <v>0</v>
      </c>
      <c r="M43" s="35"/>
      <c r="N43" s="28">
        <f>COUNTIFS(DataRegularSeason20242025!$E$2:$E$1315,TotalTeamGames20242025!M$1,DataRegularSeason20242025!$D$2:$D$1315,TotalTeamGames20242025!$A43,DataRegularSeason20242025!$N$2:$N$1315,1)</f>
        <v>0</v>
      </c>
      <c r="O43" s="35"/>
      <c r="P43" s="28">
        <f>COUNTIFS(DataRegularSeason20242025!$E$2:$E$1315,TotalTeamGames20242025!O$1,DataRegularSeason20242025!$D$2:$D$1315,TotalTeamGames20242025!$A43,DataRegularSeason20242025!$N$2:$N$1315,1)</f>
        <v>0</v>
      </c>
      <c r="Q43" s="35"/>
      <c r="R43" s="28">
        <f>COUNTIFS(DataRegularSeason20242025!$E$2:$E$1315,TotalTeamGames20242025!Q$1,DataRegularSeason20242025!$D$2:$D$1315,TotalTeamGames20242025!$A43,DataRegularSeason20242025!$N$2:$N$1315,1)</f>
        <v>0</v>
      </c>
      <c r="S43" s="35"/>
      <c r="T43" s="28">
        <f>COUNTIFS(DataRegularSeason20242025!$E$2:$E$1315,TotalTeamGames20242025!S$1,DataRegularSeason20242025!$D$2:$D$1315,TotalTeamGames20242025!$A43,DataRegularSeason20242025!$N$2:$N$1315,1)</f>
        <v>0</v>
      </c>
      <c r="U43" s="35"/>
      <c r="V43" s="28">
        <f>COUNTIFS(DataRegularSeason20242025!$E$2:$E$1315,TotalTeamGames20242025!U$1,DataRegularSeason20242025!$D$2:$D$1315,TotalTeamGames20242025!$A43,DataRegularSeason20242025!$N$2:$N$1315,1)</f>
        <v>0</v>
      </c>
      <c r="W43" s="35"/>
      <c r="X43" s="28">
        <f>COUNTIFS(DataRegularSeason20242025!$E$2:$E$1315,TotalTeamGames20242025!W$1,DataRegularSeason20242025!$D$2:$D$1315,TotalTeamGames20242025!$A43,DataRegularSeason20242025!$N$2:$N$1315,1)</f>
        <v>0</v>
      </c>
      <c r="Y43" s="35"/>
      <c r="Z43" s="28">
        <f>COUNTIFS(DataRegularSeason20242025!$E$2:$E$1315,TotalTeamGames20242025!Y$1,DataRegularSeason20242025!$D$2:$D$1315,TotalTeamGames20242025!$A43,DataRegularSeason20242025!$N$2:$N$1315,1)</f>
        <v>1</v>
      </c>
      <c r="AA43" s="35"/>
      <c r="AB43" s="28">
        <f>COUNTIFS(DataRegularSeason20242025!$E$2:$E$1315,TotalTeamGames20242025!AA$1,DataRegularSeason20242025!$D$2:$D$1315,TotalTeamGames20242025!$A43,DataRegularSeason20242025!$N$2:$N$1315,1)</f>
        <v>0</v>
      </c>
      <c r="AC43" s="35"/>
      <c r="AD43" s="28">
        <f>COUNTIFS(DataRegularSeason20242025!$E$2:$E$1315,TotalTeamGames20242025!AC$1,DataRegularSeason20242025!$D$2:$D$1315,TotalTeamGames20242025!$A43,DataRegularSeason20242025!$N$2:$N$1315,1)</f>
        <v>0</v>
      </c>
      <c r="AE43" s="35"/>
      <c r="AF43" s="28">
        <f>COUNTIFS(DataRegularSeason20242025!$E$2:$E$1315,TotalTeamGames20242025!AE$1,DataRegularSeason20242025!$D$2:$D$1315,TotalTeamGames20242025!$A43,DataRegularSeason20242025!$N$2:$N$1315,1)</f>
        <v>0</v>
      </c>
      <c r="AG43" s="35"/>
      <c r="AH43" s="28">
        <f>COUNTIFS(DataRegularSeason20242025!$E$2:$E$1315,TotalTeamGames20242025!AG$1,DataRegularSeason20242025!$D$2:$D$1315,TotalTeamGames20242025!$A43,DataRegularSeason20242025!$N$2:$N$1315,1)</f>
        <v>0</v>
      </c>
      <c r="AI43" s="35"/>
      <c r="AJ43" s="28">
        <f>COUNTIFS(DataRegularSeason20242025!$E$2:$E$1315,TotalTeamGames20242025!AI$1,DataRegularSeason20242025!$D$2:$D$1315,TotalTeamGames20242025!$A43,DataRegularSeason20242025!$N$2:$N$1315,1)</f>
        <v>0</v>
      </c>
      <c r="AK43" s="35"/>
      <c r="AL43" s="28">
        <f>COUNTIFS(DataRegularSeason20242025!$E$2:$E$1315,TotalTeamGames20242025!AK$1,DataRegularSeason20242025!$D$2:$D$1315,TotalTeamGames20242025!$A43,DataRegularSeason20242025!$N$2:$N$1315,1)</f>
        <v>0</v>
      </c>
      <c r="AM43" s="35"/>
      <c r="AN43" s="28">
        <f>COUNTIFS(DataRegularSeason20242025!$E$2:$E$1315,TotalTeamGames20242025!AM$1,DataRegularSeason20242025!$D$2:$D$1315,TotalTeamGames20242025!$A43,DataRegularSeason20242025!$N$2:$N$1315,1)</f>
        <v>0</v>
      </c>
      <c r="AO43" s="35"/>
      <c r="AP43" s="28">
        <f>COUNTIFS(DataRegularSeason20242025!$E$2:$E$1315,TotalTeamGames20242025!AO$1,DataRegularSeason20242025!$D$2:$D$1315,TotalTeamGames20242025!$A43,DataRegularSeason20242025!$N$2:$N$1315,1)</f>
        <v>0</v>
      </c>
      <c r="AQ43" s="35"/>
      <c r="AR43" s="36"/>
      <c r="AS43" s="35"/>
      <c r="AT43" s="28">
        <f>COUNTIFS(DataRegularSeason20242025!$E$2:$E$1315,TotalTeamGames20242025!AS$1,DataRegularSeason20242025!$D$2:$D$1315,TotalTeamGames20242025!$A43,DataRegularSeason20242025!$N$2:$N$1315,1)</f>
        <v>0</v>
      </c>
      <c r="AU43" s="35"/>
      <c r="AV43" s="28">
        <f>COUNTIFS(DataRegularSeason20242025!$E$2:$E$1315,TotalTeamGames20242025!AU$1,DataRegularSeason20242025!$D$2:$D$1315,TotalTeamGames20242025!$A43,DataRegularSeason20242025!$N$2:$N$1315,1)</f>
        <v>0</v>
      </c>
      <c r="AW43" s="35"/>
      <c r="AX43" s="28">
        <f>COUNTIFS(DataRegularSeason20242025!$E$2:$E$1315,TotalTeamGames20242025!AW$1,DataRegularSeason20242025!$D$2:$D$1315,TotalTeamGames20242025!$A43,DataRegularSeason20242025!$N$2:$N$1315,1)</f>
        <v>0</v>
      </c>
      <c r="AY43" s="35"/>
      <c r="AZ43" s="28">
        <f>COUNTIFS(DataRegularSeason20242025!$E$2:$E$1315,TotalTeamGames20242025!AY$1,DataRegularSeason20242025!$D$2:$D$1315,TotalTeamGames20242025!$A43,DataRegularSeason20242025!$N$2:$N$1315,1)</f>
        <v>0</v>
      </c>
      <c r="BA43" s="35"/>
      <c r="BB43" s="28">
        <f>COUNTIFS(DataRegularSeason20242025!$E$2:$E$1315,TotalTeamGames20242025!BA$1,DataRegularSeason20242025!$D$2:$D$1315,TotalTeamGames20242025!$A43,DataRegularSeason20242025!$N$2:$N$1315,1)</f>
        <v>0</v>
      </c>
      <c r="BC43" s="35"/>
      <c r="BD43" s="28">
        <f>COUNTIFS(DataRegularSeason20242025!$E$2:$E$1315,TotalTeamGames20242025!BC$1,DataRegularSeason20242025!$D$2:$D$1315,TotalTeamGames20242025!$A43,DataRegularSeason20242025!$N$2:$N$1315,1)</f>
        <v>0</v>
      </c>
      <c r="BE43" s="35"/>
      <c r="BF43" s="28">
        <f>COUNTIFS(DataRegularSeason20242025!$E$2:$E$1315,TotalTeamGames20242025!BE$1,DataRegularSeason20242025!$D$2:$D$1315,TotalTeamGames20242025!$A43,DataRegularSeason20242025!$N$2:$N$1315,1)</f>
        <v>0</v>
      </c>
      <c r="BG43" s="35"/>
      <c r="BH43" s="28">
        <f>COUNTIFS(DataRegularSeason20242025!$E$2:$E$1315,TotalTeamGames20242025!BG$1,DataRegularSeason20242025!$D$2:$D$1315,TotalTeamGames20242025!$A43,DataRegularSeason20242025!$N$2:$N$1315,1)</f>
        <v>0</v>
      </c>
      <c r="BI43" s="35"/>
      <c r="BJ43" s="28">
        <f>COUNTIFS(DataRegularSeason20242025!$E$2:$E$1315,TotalTeamGames20242025!BI$1,DataRegularSeason20242025!$D$2:$D$1315,TotalTeamGames20242025!$A43,DataRegularSeason20242025!$N$2:$N$1315,1)</f>
        <v>0</v>
      </c>
      <c r="BK43" s="35"/>
      <c r="BL43" s="28">
        <f>COUNTIFS(DataRegularSeason20242025!$E$2:$E$1315,TotalTeamGames20242025!BK$1,DataRegularSeason20242025!$D$2:$D$1315,TotalTeamGames20242025!$A43,DataRegularSeason20242025!$N$2:$N$1315,1)</f>
        <v>0</v>
      </c>
      <c r="BM43" s="35"/>
      <c r="BN43" s="28">
        <f>COUNTIFS(DataRegularSeason20242025!$E$2:$E$1315,TotalTeamGames20242025!BM$1,DataRegularSeason20242025!$D$2:$D$1315,TotalTeamGames20242025!$A43,DataRegularSeason20242025!$N$2:$N$1315,1)</f>
        <v>0</v>
      </c>
      <c r="BO43" s="30">
        <f t="shared" si="0"/>
        <v>2</v>
      </c>
      <c r="BP43" s="165">
        <f t="shared" ref="BP43" si="39">BO43+BO44</f>
        <v>6</v>
      </c>
      <c r="BQ43" s="166">
        <f t="shared" ref="BQ43" si="40">82-BP43</f>
        <v>76</v>
      </c>
    </row>
    <row r="44" spans="1:69" ht="9.9499999999999993" customHeight="1" x14ac:dyDescent="0.25">
      <c r="A44" s="167"/>
      <c r="B44" s="32" t="s">
        <v>73</v>
      </c>
      <c r="C44" s="38">
        <f>COUNTIFS(DataRegularSeason20242025!$D$2:$D$1315,TotalTeamGames20242025!C$1,DataRegularSeason20242025!$E$2:$E$1315,TotalTeamGames20242025!$A43,DataRegularSeason20242025!$N$2:$N$1315,1)</f>
        <v>0</v>
      </c>
      <c r="D44" s="39"/>
      <c r="E44" s="38">
        <f>COUNTIFS(DataRegularSeason20242025!$D$2:$D$1315,TotalTeamGames20242025!E$1,DataRegularSeason20242025!$E$2:$E$1315,TotalTeamGames20242025!$A43,DataRegularSeason20242025!$N$2:$N$1315,1)</f>
        <v>0</v>
      </c>
      <c r="F44" s="39"/>
      <c r="G44" s="38">
        <f>COUNTIFS(DataRegularSeason20242025!$D$2:$D$1315,TotalTeamGames20242025!G$1,DataRegularSeason20242025!$E$2:$E$1315,TotalTeamGames20242025!$A43,DataRegularSeason20242025!$N$2:$N$1315,1)</f>
        <v>0</v>
      </c>
      <c r="H44" s="39"/>
      <c r="I44" s="38">
        <f>COUNTIFS(DataRegularSeason20242025!$D$2:$D$1315,TotalTeamGames20242025!I$1,DataRegularSeason20242025!$E$2:$E$1315,TotalTeamGames20242025!$A43,DataRegularSeason20242025!$N$2:$N$1315,1)</f>
        <v>0</v>
      </c>
      <c r="J44" s="39"/>
      <c r="K44" s="38">
        <f>COUNTIFS(DataRegularSeason20242025!$D$2:$D$1315,TotalTeamGames20242025!K$1,DataRegularSeason20242025!$E$2:$E$1315,TotalTeamGames20242025!$A43,DataRegularSeason20242025!$N$2:$N$1315,1)</f>
        <v>0</v>
      </c>
      <c r="L44" s="39"/>
      <c r="M44" s="38">
        <f>COUNTIFS(DataRegularSeason20242025!$D$2:$D$1315,TotalTeamGames20242025!M$1,DataRegularSeason20242025!$E$2:$E$1315,TotalTeamGames20242025!$A43,DataRegularSeason20242025!$N$2:$N$1315,1)</f>
        <v>0</v>
      </c>
      <c r="N44" s="39"/>
      <c r="O44" s="38">
        <f>COUNTIFS(DataRegularSeason20242025!$D$2:$D$1315,TotalTeamGames20242025!O$1,DataRegularSeason20242025!$E$2:$E$1315,TotalTeamGames20242025!$A43,DataRegularSeason20242025!$N$2:$N$1315,1)</f>
        <v>0</v>
      </c>
      <c r="P44" s="39"/>
      <c r="Q44" s="38">
        <f>COUNTIFS(DataRegularSeason20242025!$D$2:$D$1315,TotalTeamGames20242025!Q$1,DataRegularSeason20242025!$E$2:$E$1315,TotalTeamGames20242025!$A43,DataRegularSeason20242025!$N$2:$N$1315,1)</f>
        <v>0</v>
      </c>
      <c r="R44" s="39"/>
      <c r="S44" s="38">
        <f>COUNTIFS(DataRegularSeason20242025!$D$2:$D$1315,TotalTeamGames20242025!S$1,DataRegularSeason20242025!$E$2:$E$1315,TotalTeamGames20242025!$A43,DataRegularSeason20242025!$N$2:$N$1315,1)</f>
        <v>0</v>
      </c>
      <c r="T44" s="39"/>
      <c r="U44" s="38">
        <f>COUNTIFS(DataRegularSeason20242025!$D$2:$D$1315,TotalTeamGames20242025!U$1,DataRegularSeason20242025!$E$2:$E$1315,TotalTeamGames20242025!$A43,DataRegularSeason20242025!$N$2:$N$1315,1)</f>
        <v>0</v>
      </c>
      <c r="V44" s="39"/>
      <c r="W44" s="38">
        <f>COUNTIFS(DataRegularSeason20242025!$D$2:$D$1315,TotalTeamGames20242025!W$1,DataRegularSeason20242025!$E$2:$E$1315,TotalTeamGames20242025!$A43,DataRegularSeason20242025!$N$2:$N$1315,1)</f>
        <v>0</v>
      </c>
      <c r="X44" s="39"/>
      <c r="Y44" s="38">
        <f>COUNTIFS(DataRegularSeason20242025!$D$2:$D$1315,TotalTeamGames20242025!Y$1,DataRegularSeason20242025!$E$2:$E$1315,TotalTeamGames20242025!$A43,DataRegularSeason20242025!$N$2:$N$1315,1)</f>
        <v>1</v>
      </c>
      <c r="Z44" s="39"/>
      <c r="AA44" s="38">
        <f>COUNTIFS(DataRegularSeason20242025!$D$2:$D$1315,TotalTeamGames20242025!AA$1,DataRegularSeason20242025!$E$2:$E$1315,TotalTeamGames20242025!$A43,DataRegularSeason20242025!$N$2:$N$1315,1)</f>
        <v>0</v>
      </c>
      <c r="AB44" s="39"/>
      <c r="AC44" s="38">
        <f>COUNTIFS(DataRegularSeason20242025!$D$2:$D$1315,TotalTeamGames20242025!AC$1,DataRegularSeason20242025!$E$2:$E$1315,TotalTeamGames20242025!$A43,DataRegularSeason20242025!$N$2:$N$1315,1)</f>
        <v>1</v>
      </c>
      <c r="AD44" s="39"/>
      <c r="AE44" s="38">
        <f>COUNTIFS(DataRegularSeason20242025!$D$2:$D$1315,TotalTeamGames20242025!AE$1,DataRegularSeason20242025!$E$2:$E$1315,TotalTeamGames20242025!$A43,DataRegularSeason20242025!$N$2:$N$1315,1)</f>
        <v>0</v>
      </c>
      <c r="AF44" s="39"/>
      <c r="AG44" s="38">
        <f>COUNTIFS(DataRegularSeason20242025!$D$2:$D$1315,TotalTeamGames20242025!AG$1,DataRegularSeason20242025!$E$2:$E$1315,TotalTeamGames20242025!$A43,DataRegularSeason20242025!$N$2:$N$1315,1)</f>
        <v>0</v>
      </c>
      <c r="AH44" s="39"/>
      <c r="AI44" s="38">
        <f>COUNTIFS(DataRegularSeason20242025!$D$2:$D$1315,TotalTeamGames20242025!AI$1,DataRegularSeason20242025!$E$2:$E$1315,TotalTeamGames20242025!$A43,DataRegularSeason20242025!$N$2:$N$1315,1)</f>
        <v>0</v>
      </c>
      <c r="AJ44" s="39"/>
      <c r="AK44" s="38">
        <f>COUNTIFS(DataRegularSeason20242025!$D$2:$D$1315,TotalTeamGames20242025!AK$1,DataRegularSeason20242025!$E$2:$E$1315,TotalTeamGames20242025!$A43,DataRegularSeason20242025!$N$2:$N$1315,1)</f>
        <v>0</v>
      </c>
      <c r="AL44" s="39"/>
      <c r="AM44" s="38">
        <f>COUNTIFS(DataRegularSeason20242025!$D$2:$D$1315,TotalTeamGames20242025!AM$1,DataRegularSeason20242025!$E$2:$E$1315,TotalTeamGames20242025!$A43,DataRegularSeason20242025!$N$2:$N$1315,1)</f>
        <v>0</v>
      </c>
      <c r="AN44" s="39"/>
      <c r="AO44" s="38">
        <f>COUNTIFS(DataRegularSeason20242025!$D$2:$D$1315,TotalTeamGames20242025!AO$1,DataRegularSeason20242025!$E$2:$E$1315,TotalTeamGames20242025!$A43,DataRegularSeason20242025!$N$2:$N$1315,1)</f>
        <v>0</v>
      </c>
      <c r="AP44" s="39"/>
      <c r="AQ44" s="38"/>
      <c r="AR44" s="39"/>
      <c r="AS44" s="38">
        <f>COUNTIFS(DataRegularSeason20242025!$D$2:$D$1315,TotalTeamGames20242025!AS$1,DataRegularSeason20242025!$E$2:$E$1315,TotalTeamGames20242025!$A43,DataRegularSeason20242025!$N$2:$N$1315,1)</f>
        <v>0</v>
      </c>
      <c r="AT44" s="39"/>
      <c r="AU44" s="38">
        <f>COUNTIFS(DataRegularSeason20242025!$D$2:$D$1315,TotalTeamGames20242025!AU$1,DataRegularSeason20242025!$E$2:$E$1315,TotalTeamGames20242025!$A43,DataRegularSeason20242025!$N$2:$N$1315,1)</f>
        <v>1</v>
      </c>
      <c r="AV44" s="39"/>
      <c r="AW44" s="38">
        <f>COUNTIFS(DataRegularSeason20242025!$D$2:$D$1315,TotalTeamGames20242025!AW$1,DataRegularSeason20242025!$E$2:$E$1315,TotalTeamGames20242025!$A43,DataRegularSeason20242025!$N$2:$N$1315,1)</f>
        <v>0</v>
      </c>
      <c r="AX44" s="39"/>
      <c r="AY44" s="38">
        <f>COUNTIFS(DataRegularSeason20242025!$D$2:$D$1315,TotalTeamGames20242025!AY$1,DataRegularSeason20242025!$E$2:$E$1315,TotalTeamGames20242025!$A43,DataRegularSeason20242025!$N$2:$N$1315,1)</f>
        <v>0</v>
      </c>
      <c r="AZ44" s="39"/>
      <c r="BA44" s="38">
        <f>COUNTIFS(DataRegularSeason20242025!$D$2:$D$1315,TotalTeamGames20242025!BA$1,DataRegularSeason20242025!$E$2:$E$1315,TotalTeamGames20242025!$A43,DataRegularSeason20242025!$N$2:$N$1315,1)</f>
        <v>0</v>
      </c>
      <c r="BB44" s="39"/>
      <c r="BC44" s="38">
        <f>COUNTIFS(DataRegularSeason20242025!$D$2:$D$1315,TotalTeamGames20242025!BC$1,DataRegularSeason20242025!$E$2:$E$1315,TotalTeamGames20242025!$A43,DataRegularSeason20242025!$N$2:$N$1315,1)</f>
        <v>0</v>
      </c>
      <c r="BD44" s="39"/>
      <c r="BE44" s="38">
        <f>COUNTIFS(DataRegularSeason20242025!$D$2:$D$1315,TotalTeamGames20242025!BE$1,DataRegularSeason20242025!$E$2:$E$1315,TotalTeamGames20242025!$A43,DataRegularSeason20242025!$N$2:$N$1315,1)</f>
        <v>0</v>
      </c>
      <c r="BF44" s="39"/>
      <c r="BG44" s="38">
        <f>COUNTIFS(DataRegularSeason20242025!$D$2:$D$1315,TotalTeamGames20242025!BG$1,DataRegularSeason20242025!$E$2:$E$1315,TotalTeamGames20242025!$A43,DataRegularSeason20242025!$N$2:$N$1315,1)</f>
        <v>0</v>
      </c>
      <c r="BH44" s="39"/>
      <c r="BI44" s="38">
        <f>COUNTIFS(DataRegularSeason20242025!$D$2:$D$1315,TotalTeamGames20242025!BI$1,DataRegularSeason20242025!$E$2:$E$1315,TotalTeamGames20242025!$A43,DataRegularSeason20242025!$N$2:$N$1315,1)</f>
        <v>0</v>
      </c>
      <c r="BJ44" s="39"/>
      <c r="BK44" s="38">
        <f>COUNTIFS(DataRegularSeason20242025!$D$2:$D$1315,TotalTeamGames20242025!BK$1,DataRegularSeason20242025!$E$2:$E$1315,TotalTeamGames20242025!$A43,DataRegularSeason20242025!$N$2:$N$1315,1)</f>
        <v>1</v>
      </c>
      <c r="BL44" s="39"/>
      <c r="BM44" s="38">
        <f>COUNTIFS(DataRegularSeason20242025!$D$2:$D$1315,TotalTeamGames20242025!BM$1,DataRegularSeason20242025!$E$2:$E$1315,TotalTeamGames20242025!$A43,DataRegularSeason20242025!$N$2:$N$1315,1)</f>
        <v>0</v>
      </c>
      <c r="BN44" s="39"/>
      <c r="BO44" s="34">
        <f t="shared" si="0"/>
        <v>4</v>
      </c>
      <c r="BP44" s="165"/>
      <c r="BQ44" s="166"/>
    </row>
    <row r="45" spans="1:69" ht="9.9499999999999993" customHeight="1" x14ac:dyDescent="0.25">
      <c r="A45" s="172" t="s">
        <v>20</v>
      </c>
      <c r="B45" s="28" t="s">
        <v>74</v>
      </c>
      <c r="C45" s="35"/>
      <c r="D45" s="28">
        <f>COUNTIFS(DataRegularSeason20242025!$E$2:$E$1315,TotalTeamGames20242025!C$1,DataRegularSeason20242025!$D$2:$D$1315,TotalTeamGames20242025!$A45,DataRegularSeason20242025!$N$2:$N$1315,1)</f>
        <v>1</v>
      </c>
      <c r="E45" s="35"/>
      <c r="F45" s="28">
        <f>COUNTIFS(DataRegularSeason20242025!$E$2:$E$1315,TotalTeamGames20242025!E$1,DataRegularSeason20242025!$D$2:$D$1315,TotalTeamGames20242025!$A45,DataRegularSeason20242025!$N$2:$N$1315,1)</f>
        <v>0</v>
      </c>
      <c r="G45" s="35"/>
      <c r="H45" s="28">
        <f>COUNTIFS(DataRegularSeason20242025!$E$2:$E$1315,TotalTeamGames20242025!G$1,DataRegularSeason20242025!$D$2:$D$1315,TotalTeamGames20242025!$A45,DataRegularSeason20242025!$N$2:$N$1315,1)</f>
        <v>0</v>
      </c>
      <c r="I45" s="35"/>
      <c r="J45" s="28">
        <f>COUNTIFS(DataRegularSeason20242025!$E$2:$E$1315,TotalTeamGames20242025!I$1,DataRegularSeason20242025!$D$2:$D$1315,TotalTeamGames20242025!$A45,DataRegularSeason20242025!$N$2:$N$1315,1)</f>
        <v>0</v>
      </c>
      <c r="K45" s="35"/>
      <c r="L45" s="28">
        <f>COUNTIFS(DataRegularSeason20242025!$E$2:$E$1315,TotalTeamGames20242025!K$1,DataRegularSeason20242025!$D$2:$D$1315,TotalTeamGames20242025!$A45,DataRegularSeason20242025!$N$2:$N$1315,1)</f>
        <v>0</v>
      </c>
      <c r="M45" s="35"/>
      <c r="N45" s="28">
        <f>COUNTIFS(DataRegularSeason20242025!$E$2:$E$1315,TotalTeamGames20242025!M$1,DataRegularSeason20242025!$D$2:$D$1315,TotalTeamGames20242025!$A45,DataRegularSeason20242025!$N$2:$N$1315,1)</f>
        <v>0</v>
      </c>
      <c r="O45" s="35"/>
      <c r="P45" s="28">
        <f>COUNTIFS(DataRegularSeason20242025!$E$2:$E$1315,TotalTeamGames20242025!O$1,DataRegularSeason20242025!$D$2:$D$1315,TotalTeamGames20242025!$A45,DataRegularSeason20242025!$N$2:$N$1315,1)</f>
        <v>0</v>
      </c>
      <c r="Q45" s="35"/>
      <c r="R45" s="28">
        <f>COUNTIFS(DataRegularSeason20242025!$E$2:$E$1315,TotalTeamGames20242025!Q$1,DataRegularSeason20242025!$D$2:$D$1315,TotalTeamGames20242025!$A45,DataRegularSeason20242025!$N$2:$N$1315,1)</f>
        <v>0</v>
      </c>
      <c r="S45" s="35"/>
      <c r="T45" s="28">
        <f>COUNTIFS(DataRegularSeason20242025!$E$2:$E$1315,TotalTeamGames20242025!S$1,DataRegularSeason20242025!$D$2:$D$1315,TotalTeamGames20242025!$A45,DataRegularSeason20242025!$N$2:$N$1315,1)</f>
        <v>0</v>
      </c>
      <c r="U45" s="35"/>
      <c r="V45" s="28">
        <f>COUNTIFS(DataRegularSeason20242025!$E$2:$E$1315,TotalTeamGames20242025!U$1,DataRegularSeason20242025!$D$2:$D$1315,TotalTeamGames20242025!$A45,DataRegularSeason20242025!$N$2:$N$1315,1)</f>
        <v>0</v>
      </c>
      <c r="W45" s="35"/>
      <c r="X45" s="28">
        <f>COUNTIFS(DataRegularSeason20242025!$E$2:$E$1315,TotalTeamGames20242025!W$1,DataRegularSeason20242025!$D$2:$D$1315,TotalTeamGames20242025!$A45,DataRegularSeason20242025!$N$2:$N$1315,1)</f>
        <v>0</v>
      </c>
      <c r="Y45" s="35"/>
      <c r="Z45" s="28">
        <f>COUNTIFS(DataRegularSeason20242025!$E$2:$E$1315,TotalTeamGames20242025!Y$1,DataRegularSeason20242025!$D$2:$D$1315,TotalTeamGames20242025!$A45,DataRegularSeason20242025!$N$2:$N$1315,1)</f>
        <v>0</v>
      </c>
      <c r="AA45" s="35"/>
      <c r="AB45" s="28">
        <f>COUNTIFS(DataRegularSeason20242025!$E$2:$E$1315,TotalTeamGames20242025!AA$1,DataRegularSeason20242025!$D$2:$D$1315,TotalTeamGames20242025!$A45,DataRegularSeason20242025!$N$2:$N$1315,1)</f>
        <v>1</v>
      </c>
      <c r="AC45" s="35"/>
      <c r="AD45" s="28">
        <f>COUNTIFS(DataRegularSeason20242025!$E$2:$E$1315,TotalTeamGames20242025!AC$1,DataRegularSeason20242025!$D$2:$D$1315,TotalTeamGames20242025!$A45,DataRegularSeason20242025!$N$2:$N$1315,1)</f>
        <v>0</v>
      </c>
      <c r="AE45" s="35"/>
      <c r="AF45" s="28">
        <f>COUNTIFS(DataRegularSeason20242025!$E$2:$E$1315,TotalTeamGames20242025!AE$1,DataRegularSeason20242025!$D$2:$D$1315,TotalTeamGames20242025!$A45,DataRegularSeason20242025!$N$2:$N$1315,1)</f>
        <v>0</v>
      </c>
      <c r="AG45" s="35"/>
      <c r="AH45" s="28">
        <f>COUNTIFS(DataRegularSeason20242025!$E$2:$E$1315,TotalTeamGames20242025!AG$1,DataRegularSeason20242025!$D$2:$D$1315,TotalTeamGames20242025!$A45,DataRegularSeason20242025!$N$2:$N$1315,1)</f>
        <v>0</v>
      </c>
      <c r="AI45" s="35"/>
      <c r="AJ45" s="28">
        <f>COUNTIFS(DataRegularSeason20242025!$E$2:$E$1315,TotalTeamGames20242025!AI$1,DataRegularSeason20242025!$D$2:$D$1315,TotalTeamGames20242025!$A45,DataRegularSeason20242025!$N$2:$N$1315,1)</f>
        <v>0</v>
      </c>
      <c r="AK45" s="35"/>
      <c r="AL45" s="28">
        <f>COUNTIFS(DataRegularSeason20242025!$E$2:$E$1315,TotalTeamGames20242025!AK$1,DataRegularSeason20242025!$D$2:$D$1315,TotalTeamGames20242025!$A45,DataRegularSeason20242025!$N$2:$N$1315,1)</f>
        <v>0</v>
      </c>
      <c r="AM45" s="35"/>
      <c r="AN45" s="28">
        <f>COUNTIFS(DataRegularSeason20242025!$E$2:$E$1315,TotalTeamGames20242025!AM$1,DataRegularSeason20242025!$D$2:$D$1315,TotalTeamGames20242025!$A45,DataRegularSeason20242025!$N$2:$N$1315,1)</f>
        <v>1</v>
      </c>
      <c r="AO45" s="35"/>
      <c r="AP45" s="28">
        <f>COUNTIFS(DataRegularSeason20242025!$E$2:$E$1315,TotalTeamGames20242025!AO$1,DataRegularSeason20242025!$D$2:$D$1315,TotalTeamGames20242025!$A45,DataRegularSeason20242025!$N$2:$N$1315,1)</f>
        <v>0</v>
      </c>
      <c r="AQ45" s="35"/>
      <c r="AR45" s="28">
        <f>COUNTIFS(DataRegularSeason20242025!$E$2:$E$1315,TotalTeamGames20242025!AQ$1,DataRegularSeason20242025!$D$2:$D$1315,TotalTeamGames20242025!$A45,DataRegularSeason20242025!$N$2:$N$1315,1)</f>
        <v>0</v>
      </c>
      <c r="AS45" s="35"/>
      <c r="AT45" s="36"/>
      <c r="AU45" s="35"/>
      <c r="AV45" s="28">
        <f>COUNTIFS(DataRegularSeason20242025!$E$2:$E$1315,TotalTeamGames20242025!AU$1,DataRegularSeason20242025!$D$2:$D$1315,TotalTeamGames20242025!$A45,DataRegularSeason20242025!$N$2:$N$1315,1)</f>
        <v>0</v>
      </c>
      <c r="AW45" s="35"/>
      <c r="AX45" s="28">
        <f>COUNTIFS(DataRegularSeason20242025!$E$2:$E$1315,TotalTeamGames20242025!AW$1,DataRegularSeason20242025!$D$2:$D$1315,TotalTeamGames20242025!$A45,DataRegularSeason20242025!$N$2:$N$1315,1)</f>
        <v>1</v>
      </c>
      <c r="AY45" s="35"/>
      <c r="AZ45" s="28">
        <f>COUNTIFS(DataRegularSeason20242025!$E$2:$E$1315,TotalTeamGames20242025!AY$1,DataRegularSeason20242025!$D$2:$D$1315,TotalTeamGames20242025!$A45,DataRegularSeason20242025!$N$2:$N$1315,1)</f>
        <v>0</v>
      </c>
      <c r="BA45" s="35"/>
      <c r="BB45" s="28">
        <f>COUNTIFS(DataRegularSeason20242025!$E$2:$E$1315,TotalTeamGames20242025!BA$1,DataRegularSeason20242025!$D$2:$D$1315,TotalTeamGames20242025!$A45,DataRegularSeason20242025!$N$2:$N$1315,1)</f>
        <v>0</v>
      </c>
      <c r="BC45" s="35"/>
      <c r="BD45" s="28">
        <f>COUNTIFS(DataRegularSeason20242025!$E$2:$E$1315,TotalTeamGames20242025!BC$1,DataRegularSeason20242025!$D$2:$D$1315,TotalTeamGames20242025!$A45,DataRegularSeason20242025!$N$2:$N$1315,1)</f>
        <v>0</v>
      </c>
      <c r="BE45" s="35"/>
      <c r="BF45" s="28">
        <f>COUNTIFS(DataRegularSeason20242025!$E$2:$E$1315,TotalTeamGames20242025!BE$1,DataRegularSeason20242025!$D$2:$D$1315,TotalTeamGames20242025!$A45,DataRegularSeason20242025!$N$2:$N$1315,1)</f>
        <v>0</v>
      </c>
      <c r="BG45" s="35"/>
      <c r="BH45" s="28">
        <f>COUNTIFS(DataRegularSeason20242025!$E$2:$E$1315,TotalTeamGames20242025!BG$1,DataRegularSeason20242025!$D$2:$D$1315,TotalTeamGames20242025!$A45,DataRegularSeason20242025!$N$2:$N$1315,1)</f>
        <v>0</v>
      </c>
      <c r="BI45" s="35"/>
      <c r="BJ45" s="28">
        <f>COUNTIFS(DataRegularSeason20242025!$E$2:$E$1315,TotalTeamGames20242025!BI$1,DataRegularSeason20242025!$D$2:$D$1315,TotalTeamGames20242025!$A45,DataRegularSeason20242025!$N$2:$N$1315,1)</f>
        <v>0</v>
      </c>
      <c r="BK45" s="35"/>
      <c r="BL45" s="28">
        <f>COUNTIFS(DataRegularSeason20242025!$E$2:$E$1315,TotalTeamGames20242025!BK$1,DataRegularSeason20242025!$D$2:$D$1315,TotalTeamGames20242025!$A45,DataRegularSeason20242025!$N$2:$N$1315,1)</f>
        <v>0</v>
      </c>
      <c r="BM45" s="35"/>
      <c r="BN45" s="28">
        <f>COUNTIFS(DataRegularSeason20242025!$E$2:$E$1315,TotalTeamGames20242025!BM$1,DataRegularSeason20242025!$D$2:$D$1315,TotalTeamGames20242025!$A45,DataRegularSeason20242025!$N$2:$N$1315,1)</f>
        <v>0</v>
      </c>
      <c r="BO45" s="30">
        <f t="shared" si="0"/>
        <v>4</v>
      </c>
      <c r="BP45" s="165">
        <f t="shared" ref="BP45" si="41">BO45+BO46</f>
        <v>7</v>
      </c>
      <c r="BQ45" s="166">
        <f t="shared" ref="BQ45" si="42">82-BP45</f>
        <v>75</v>
      </c>
    </row>
    <row r="46" spans="1:69" ht="9.9499999999999993" customHeight="1" x14ac:dyDescent="0.25">
      <c r="A46" s="167"/>
      <c r="B46" s="32" t="s">
        <v>73</v>
      </c>
      <c r="C46" s="38">
        <f>COUNTIFS(DataRegularSeason20242025!$D$2:$D$1315,TotalTeamGames20242025!C$1,DataRegularSeason20242025!$E$2:$E$1315,TotalTeamGames20242025!$A45,DataRegularSeason20242025!$N$2:$N$1315,1)</f>
        <v>0</v>
      </c>
      <c r="D46" s="39"/>
      <c r="E46" s="38">
        <f>COUNTIFS(DataRegularSeason20242025!$D$2:$D$1315,TotalTeamGames20242025!E$1,DataRegularSeason20242025!$E$2:$E$1315,TotalTeamGames20242025!$A45,DataRegularSeason20242025!$N$2:$N$1315,1)</f>
        <v>0</v>
      </c>
      <c r="F46" s="39"/>
      <c r="G46" s="38">
        <f>COUNTIFS(DataRegularSeason20242025!$D$2:$D$1315,TotalTeamGames20242025!G$1,DataRegularSeason20242025!$E$2:$E$1315,TotalTeamGames20242025!$A45,DataRegularSeason20242025!$N$2:$N$1315,1)</f>
        <v>0</v>
      </c>
      <c r="H46" s="39"/>
      <c r="I46" s="38">
        <f>COUNTIFS(DataRegularSeason20242025!$D$2:$D$1315,TotalTeamGames20242025!I$1,DataRegularSeason20242025!$E$2:$E$1315,TotalTeamGames20242025!$A45,DataRegularSeason20242025!$N$2:$N$1315,1)</f>
        <v>0</v>
      </c>
      <c r="J46" s="39"/>
      <c r="K46" s="38">
        <f>COUNTIFS(DataRegularSeason20242025!$D$2:$D$1315,TotalTeamGames20242025!K$1,DataRegularSeason20242025!$E$2:$E$1315,TotalTeamGames20242025!$A45,DataRegularSeason20242025!$N$2:$N$1315,1)</f>
        <v>0</v>
      </c>
      <c r="L46" s="39"/>
      <c r="M46" s="38">
        <f>COUNTIFS(DataRegularSeason20242025!$D$2:$D$1315,TotalTeamGames20242025!M$1,DataRegularSeason20242025!$E$2:$E$1315,TotalTeamGames20242025!$A45,DataRegularSeason20242025!$N$2:$N$1315,1)</f>
        <v>0</v>
      </c>
      <c r="N46" s="39"/>
      <c r="O46" s="38">
        <f>COUNTIFS(DataRegularSeason20242025!$D$2:$D$1315,TotalTeamGames20242025!O$1,DataRegularSeason20242025!$E$2:$E$1315,TotalTeamGames20242025!$A45,DataRegularSeason20242025!$N$2:$N$1315,1)</f>
        <v>0</v>
      </c>
      <c r="P46" s="39"/>
      <c r="Q46" s="38">
        <f>COUNTIFS(DataRegularSeason20242025!$D$2:$D$1315,TotalTeamGames20242025!Q$1,DataRegularSeason20242025!$E$2:$E$1315,TotalTeamGames20242025!$A45,DataRegularSeason20242025!$N$2:$N$1315,1)</f>
        <v>0</v>
      </c>
      <c r="R46" s="39"/>
      <c r="S46" s="38">
        <f>COUNTIFS(DataRegularSeason20242025!$D$2:$D$1315,TotalTeamGames20242025!S$1,DataRegularSeason20242025!$E$2:$E$1315,TotalTeamGames20242025!$A45,DataRegularSeason20242025!$N$2:$N$1315,1)</f>
        <v>0</v>
      </c>
      <c r="T46" s="39"/>
      <c r="U46" s="38">
        <f>COUNTIFS(DataRegularSeason20242025!$D$2:$D$1315,TotalTeamGames20242025!U$1,DataRegularSeason20242025!$E$2:$E$1315,TotalTeamGames20242025!$A45,DataRegularSeason20242025!$N$2:$N$1315,1)</f>
        <v>0</v>
      </c>
      <c r="V46" s="39"/>
      <c r="W46" s="38">
        <f>COUNTIFS(DataRegularSeason20242025!$D$2:$D$1315,TotalTeamGames20242025!W$1,DataRegularSeason20242025!$E$2:$E$1315,TotalTeamGames20242025!$A45,DataRegularSeason20242025!$N$2:$N$1315,1)</f>
        <v>0</v>
      </c>
      <c r="X46" s="39"/>
      <c r="Y46" s="38">
        <f>COUNTIFS(DataRegularSeason20242025!$D$2:$D$1315,TotalTeamGames20242025!Y$1,DataRegularSeason20242025!$E$2:$E$1315,TotalTeamGames20242025!$A45,DataRegularSeason20242025!$N$2:$N$1315,1)</f>
        <v>0</v>
      </c>
      <c r="Z46" s="39"/>
      <c r="AA46" s="38">
        <f>COUNTIFS(DataRegularSeason20242025!$D$2:$D$1315,TotalTeamGames20242025!AA$1,DataRegularSeason20242025!$E$2:$E$1315,TotalTeamGames20242025!$A45,DataRegularSeason20242025!$N$2:$N$1315,1)</f>
        <v>0</v>
      </c>
      <c r="AB46" s="39"/>
      <c r="AC46" s="38">
        <f>COUNTIFS(DataRegularSeason20242025!$D$2:$D$1315,TotalTeamGames20242025!AC$1,DataRegularSeason20242025!$E$2:$E$1315,TotalTeamGames20242025!$A45,DataRegularSeason20242025!$N$2:$N$1315,1)</f>
        <v>0</v>
      </c>
      <c r="AD46" s="39"/>
      <c r="AE46" s="38">
        <f>COUNTIFS(DataRegularSeason20242025!$D$2:$D$1315,TotalTeamGames20242025!AE$1,DataRegularSeason20242025!$E$2:$E$1315,TotalTeamGames20242025!$A45,DataRegularSeason20242025!$N$2:$N$1315,1)</f>
        <v>0</v>
      </c>
      <c r="AF46" s="39"/>
      <c r="AG46" s="38">
        <f>COUNTIFS(DataRegularSeason20242025!$D$2:$D$1315,TotalTeamGames20242025!AG$1,DataRegularSeason20242025!$E$2:$E$1315,TotalTeamGames20242025!$A45,DataRegularSeason20242025!$N$2:$N$1315,1)</f>
        <v>0</v>
      </c>
      <c r="AH46" s="39"/>
      <c r="AI46" s="38">
        <f>COUNTIFS(DataRegularSeason20242025!$D$2:$D$1315,TotalTeamGames20242025!AI$1,DataRegularSeason20242025!$E$2:$E$1315,TotalTeamGames20242025!$A45,DataRegularSeason20242025!$N$2:$N$1315,1)</f>
        <v>0</v>
      </c>
      <c r="AJ46" s="39"/>
      <c r="AK46" s="38">
        <f>COUNTIFS(DataRegularSeason20242025!$D$2:$D$1315,TotalTeamGames20242025!AK$1,DataRegularSeason20242025!$E$2:$E$1315,TotalTeamGames20242025!$A45,DataRegularSeason20242025!$N$2:$N$1315,1)</f>
        <v>1</v>
      </c>
      <c r="AL46" s="39"/>
      <c r="AM46" s="38">
        <f>COUNTIFS(DataRegularSeason20242025!$D$2:$D$1315,TotalTeamGames20242025!AM$1,DataRegularSeason20242025!$E$2:$E$1315,TotalTeamGames20242025!$A45,DataRegularSeason20242025!$N$2:$N$1315,1)</f>
        <v>1</v>
      </c>
      <c r="AN46" s="39"/>
      <c r="AO46" s="38">
        <f>COUNTIFS(DataRegularSeason20242025!$D$2:$D$1315,TotalTeamGames20242025!AO$1,DataRegularSeason20242025!$E$2:$E$1315,TotalTeamGames20242025!$A45,DataRegularSeason20242025!$N$2:$N$1315,1)</f>
        <v>0</v>
      </c>
      <c r="AP46" s="39"/>
      <c r="AQ46" s="38">
        <f>COUNTIFS(DataRegularSeason20242025!$D$2:$D$1315,TotalTeamGames20242025!AQ$1,DataRegularSeason20242025!$E$2:$E$1315,TotalTeamGames20242025!$A45,DataRegularSeason20242025!$N$2:$N$1315,1)</f>
        <v>0</v>
      </c>
      <c r="AR46" s="39"/>
      <c r="AS46" s="38"/>
      <c r="AT46" s="39"/>
      <c r="AU46" s="38">
        <f>COUNTIFS(DataRegularSeason20242025!$D$2:$D$1315,TotalTeamGames20242025!AU$1,DataRegularSeason20242025!$E$2:$E$1315,TotalTeamGames20242025!$A45,DataRegularSeason20242025!$N$2:$N$1315,1)</f>
        <v>0</v>
      </c>
      <c r="AV46" s="39"/>
      <c r="AW46" s="38">
        <f>COUNTIFS(DataRegularSeason20242025!$D$2:$D$1315,TotalTeamGames20242025!AW$1,DataRegularSeason20242025!$E$2:$E$1315,TotalTeamGames20242025!$A45,DataRegularSeason20242025!$N$2:$N$1315,1)</f>
        <v>0</v>
      </c>
      <c r="AX46" s="39"/>
      <c r="AY46" s="38">
        <f>COUNTIFS(DataRegularSeason20242025!$D$2:$D$1315,TotalTeamGames20242025!AY$1,DataRegularSeason20242025!$E$2:$E$1315,TotalTeamGames20242025!$A45,DataRegularSeason20242025!$N$2:$N$1315,1)</f>
        <v>0</v>
      </c>
      <c r="AZ46" s="39"/>
      <c r="BA46" s="38">
        <f>COUNTIFS(DataRegularSeason20242025!$D$2:$D$1315,TotalTeamGames20242025!BA$1,DataRegularSeason20242025!$E$2:$E$1315,TotalTeamGames20242025!$A45,DataRegularSeason20242025!$N$2:$N$1315,1)</f>
        <v>0</v>
      </c>
      <c r="BB46" s="39"/>
      <c r="BC46" s="38">
        <f>COUNTIFS(DataRegularSeason20242025!$D$2:$D$1315,TotalTeamGames20242025!BC$1,DataRegularSeason20242025!$E$2:$E$1315,TotalTeamGames20242025!$A45,DataRegularSeason20242025!$N$2:$N$1315,1)</f>
        <v>0</v>
      </c>
      <c r="BD46" s="39"/>
      <c r="BE46" s="38">
        <f>COUNTIFS(DataRegularSeason20242025!$D$2:$D$1315,TotalTeamGames20242025!BE$1,DataRegularSeason20242025!$E$2:$E$1315,TotalTeamGames20242025!$A45,DataRegularSeason20242025!$N$2:$N$1315,1)</f>
        <v>0</v>
      </c>
      <c r="BF46" s="39"/>
      <c r="BG46" s="38">
        <f>COUNTIFS(DataRegularSeason20242025!$D$2:$D$1315,TotalTeamGames20242025!BG$1,DataRegularSeason20242025!$E$2:$E$1315,TotalTeamGames20242025!$A45,DataRegularSeason20242025!$N$2:$N$1315,1)</f>
        <v>1</v>
      </c>
      <c r="BH46" s="39"/>
      <c r="BI46" s="38">
        <f>COUNTIFS(DataRegularSeason20242025!$D$2:$D$1315,TotalTeamGames20242025!BI$1,DataRegularSeason20242025!$E$2:$E$1315,TotalTeamGames20242025!$A45,DataRegularSeason20242025!$N$2:$N$1315,1)</f>
        <v>0</v>
      </c>
      <c r="BJ46" s="39"/>
      <c r="BK46" s="38">
        <f>COUNTIFS(DataRegularSeason20242025!$D$2:$D$1315,TotalTeamGames20242025!BK$1,DataRegularSeason20242025!$E$2:$E$1315,TotalTeamGames20242025!$A45,DataRegularSeason20242025!$N$2:$N$1315,1)</f>
        <v>0</v>
      </c>
      <c r="BL46" s="39"/>
      <c r="BM46" s="38">
        <f>COUNTIFS(DataRegularSeason20242025!$D$2:$D$1315,TotalTeamGames20242025!BM$1,DataRegularSeason20242025!$E$2:$E$1315,TotalTeamGames20242025!$A45,DataRegularSeason20242025!$N$2:$N$1315,1)</f>
        <v>0</v>
      </c>
      <c r="BN46" s="39"/>
      <c r="BO46" s="34">
        <f t="shared" si="0"/>
        <v>3</v>
      </c>
      <c r="BP46" s="165"/>
      <c r="BQ46" s="166"/>
    </row>
    <row r="47" spans="1:69" ht="9.9499999999999993" customHeight="1" x14ac:dyDescent="0.25">
      <c r="A47" s="172" t="s">
        <v>11</v>
      </c>
      <c r="B47" s="28" t="s">
        <v>74</v>
      </c>
      <c r="C47" s="35"/>
      <c r="D47" s="28">
        <f>COUNTIFS(DataRegularSeason20242025!$E$2:$E$1315,TotalTeamGames20242025!C$1,DataRegularSeason20242025!$D$2:$D$1315,TotalTeamGames20242025!$A47,DataRegularSeason20242025!$N$2:$N$1315,1)</f>
        <v>0</v>
      </c>
      <c r="E47" s="35"/>
      <c r="F47" s="28">
        <f>COUNTIFS(DataRegularSeason20242025!$E$2:$E$1315,TotalTeamGames20242025!E$1,DataRegularSeason20242025!$D$2:$D$1315,TotalTeamGames20242025!$A47,DataRegularSeason20242025!$N$2:$N$1315,1)</f>
        <v>0</v>
      </c>
      <c r="G47" s="35"/>
      <c r="H47" s="28">
        <f>COUNTIFS(DataRegularSeason20242025!$E$2:$E$1315,TotalTeamGames20242025!G$1,DataRegularSeason20242025!$D$2:$D$1315,TotalTeamGames20242025!$A47,DataRegularSeason20242025!$N$2:$N$1315,1)</f>
        <v>0</v>
      </c>
      <c r="I47" s="35"/>
      <c r="J47" s="28">
        <f>COUNTIFS(DataRegularSeason20242025!$E$2:$E$1315,TotalTeamGames20242025!I$1,DataRegularSeason20242025!$D$2:$D$1315,TotalTeamGames20242025!$A47,DataRegularSeason20242025!$N$2:$N$1315,1)</f>
        <v>0</v>
      </c>
      <c r="K47" s="35"/>
      <c r="L47" s="28">
        <f>COUNTIFS(DataRegularSeason20242025!$E$2:$E$1315,TotalTeamGames20242025!K$1,DataRegularSeason20242025!$D$2:$D$1315,TotalTeamGames20242025!$A47,DataRegularSeason20242025!$N$2:$N$1315,1)</f>
        <v>0</v>
      </c>
      <c r="M47" s="35"/>
      <c r="N47" s="28">
        <f>COUNTIFS(DataRegularSeason20242025!$E$2:$E$1315,TotalTeamGames20242025!M$1,DataRegularSeason20242025!$D$2:$D$1315,TotalTeamGames20242025!$A47,DataRegularSeason20242025!$N$2:$N$1315,1)</f>
        <v>0</v>
      </c>
      <c r="O47" s="35"/>
      <c r="P47" s="28">
        <f>COUNTIFS(DataRegularSeason20242025!$E$2:$E$1315,TotalTeamGames20242025!O$1,DataRegularSeason20242025!$D$2:$D$1315,TotalTeamGames20242025!$A47,DataRegularSeason20242025!$N$2:$N$1315,1)</f>
        <v>0</v>
      </c>
      <c r="Q47" s="35"/>
      <c r="R47" s="28">
        <f>COUNTIFS(DataRegularSeason20242025!$E$2:$E$1315,TotalTeamGames20242025!Q$1,DataRegularSeason20242025!$D$2:$D$1315,TotalTeamGames20242025!$A47,DataRegularSeason20242025!$N$2:$N$1315,1)</f>
        <v>0</v>
      </c>
      <c r="S47" s="35"/>
      <c r="T47" s="28">
        <f>COUNTIFS(DataRegularSeason20242025!$E$2:$E$1315,TotalTeamGames20242025!S$1,DataRegularSeason20242025!$D$2:$D$1315,TotalTeamGames20242025!$A47,DataRegularSeason20242025!$N$2:$N$1315,1)</f>
        <v>0</v>
      </c>
      <c r="U47" s="35"/>
      <c r="V47" s="28">
        <f>COUNTIFS(DataRegularSeason20242025!$E$2:$E$1315,TotalTeamGames20242025!U$1,DataRegularSeason20242025!$D$2:$D$1315,TotalTeamGames20242025!$A47,DataRegularSeason20242025!$N$2:$N$1315,1)</f>
        <v>0</v>
      </c>
      <c r="W47" s="35"/>
      <c r="X47" s="28">
        <f>COUNTIFS(DataRegularSeason20242025!$E$2:$E$1315,TotalTeamGames20242025!W$1,DataRegularSeason20242025!$D$2:$D$1315,TotalTeamGames20242025!$A47,DataRegularSeason20242025!$N$2:$N$1315,1)</f>
        <v>0</v>
      </c>
      <c r="Y47" s="35"/>
      <c r="Z47" s="28">
        <f>COUNTIFS(DataRegularSeason20242025!$E$2:$E$1315,TotalTeamGames20242025!Y$1,DataRegularSeason20242025!$D$2:$D$1315,TotalTeamGames20242025!$A47,DataRegularSeason20242025!$N$2:$N$1315,1)</f>
        <v>0</v>
      </c>
      <c r="AA47" s="35"/>
      <c r="AB47" s="28">
        <f>COUNTIFS(DataRegularSeason20242025!$E$2:$E$1315,TotalTeamGames20242025!AA$1,DataRegularSeason20242025!$D$2:$D$1315,TotalTeamGames20242025!$A47,DataRegularSeason20242025!$N$2:$N$1315,1)</f>
        <v>0</v>
      </c>
      <c r="AC47" s="35"/>
      <c r="AD47" s="28">
        <f>COUNTIFS(DataRegularSeason20242025!$E$2:$E$1315,TotalTeamGames20242025!AC$1,DataRegularSeason20242025!$D$2:$D$1315,TotalTeamGames20242025!$A47,DataRegularSeason20242025!$N$2:$N$1315,1)</f>
        <v>0</v>
      </c>
      <c r="AE47" s="35"/>
      <c r="AF47" s="28">
        <f>COUNTIFS(DataRegularSeason20242025!$E$2:$E$1315,TotalTeamGames20242025!AE$1,DataRegularSeason20242025!$D$2:$D$1315,TotalTeamGames20242025!$A47,DataRegularSeason20242025!$N$2:$N$1315,1)</f>
        <v>1</v>
      </c>
      <c r="AG47" s="35"/>
      <c r="AH47" s="28">
        <f>COUNTIFS(DataRegularSeason20242025!$E$2:$E$1315,TotalTeamGames20242025!AG$1,DataRegularSeason20242025!$D$2:$D$1315,TotalTeamGames20242025!$A47,DataRegularSeason20242025!$N$2:$N$1315,1)</f>
        <v>0</v>
      </c>
      <c r="AI47" s="35"/>
      <c r="AJ47" s="28">
        <f>COUNTIFS(DataRegularSeason20242025!$E$2:$E$1315,TotalTeamGames20242025!AI$1,DataRegularSeason20242025!$D$2:$D$1315,TotalTeamGames20242025!$A47,DataRegularSeason20242025!$N$2:$N$1315,1)</f>
        <v>0</v>
      </c>
      <c r="AK47" s="35"/>
      <c r="AL47" s="28">
        <f>COUNTIFS(DataRegularSeason20242025!$E$2:$E$1315,TotalTeamGames20242025!AK$1,DataRegularSeason20242025!$D$2:$D$1315,TotalTeamGames20242025!$A47,DataRegularSeason20242025!$N$2:$N$1315,1)</f>
        <v>0</v>
      </c>
      <c r="AM47" s="35"/>
      <c r="AN47" s="28">
        <f>COUNTIFS(DataRegularSeason20242025!$E$2:$E$1315,TotalTeamGames20242025!AM$1,DataRegularSeason20242025!$D$2:$D$1315,TotalTeamGames20242025!$A47,DataRegularSeason20242025!$N$2:$N$1315,1)</f>
        <v>0</v>
      </c>
      <c r="AO47" s="35"/>
      <c r="AP47" s="28">
        <f>COUNTIFS(DataRegularSeason20242025!$E$2:$E$1315,TotalTeamGames20242025!AO$1,DataRegularSeason20242025!$D$2:$D$1315,TotalTeamGames20242025!$A47,DataRegularSeason20242025!$N$2:$N$1315,1)</f>
        <v>1</v>
      </c>
      <c r="AQ47" s="35"/>
      <c r="AR47" s="28">
        <f>COUNTIFS(DataRegularSeason20242025!$E$2:$E$1315,TotalTeamGames20242025!AQ$1,DataRegularSeason20242025!$D$2:$D$1315,TotalTeamGames20242025!$A47,DataRegularSeason20242025!$N$2:$N$1315,1)</f>
        <v>1</v>
      </c>
      <c r="AS47" s="35"/>
      <c r="AT47" s="28">
        <f>COUNTIFS(DataRegularSeason20242025!$E$2:$E$1315,TotalTeamGames20242025!AS$1,DataRegularSeason20242025!$D$2:$D$1315,TotalTeamGames20242025!$A47,DataRegularSeason20242025!$N$2:$N$1315,1)</f>
        <v>0</v>
      </c>
      <c r="AU47" s="35"/>
      <c r="AV47" s="36"/>
      <c r="AW47" s="35"/>
      <c r="AX47" s="28">
        <f>COUNTIFS(DataRegularSeason20242025!$E$2:$E$1315,TotalTeamGames20242025!AW$1,DataRegularSeason20242025!$D$2:$D$1315,TotalTeamGames20242025!$A47,DataRegularSeason20242025!$N$2:$N$1315,1)</f>
        <v>0</v>
      </c>
      <c r="AY47" s="35"/>
      <c r="AZ47" s="28">
        <f>COUNTIFS(DataRegularSeason20242025!$E$2:$E$1315,TotalTeamGames20242025!AY$1,DataRegularSeason20242025!$D$2:$D$1315,TotalTeamGames20242025!$A47,DataRegularSeason20242025!$N$2:$N$1315,1)</f>
        <v>0</v>
      </c>
      <c r="BA47" s="35"/>
      <c r="BB47" s="28">
        <f>COUNTIFS(DataRegularSeason20242025!$E$2:$E$1315,TotalTeamGames20242025!BA$1,DataRegularSeason20242025!$D$2:$D$1315,TotalTeamGames20242025!$A47,DataRegularSeason20242025!$N$2:$N$1315,1)</f>
        <v>0</v>
      </c>
      <c r="BC47" s="35"/>
      <c r="BD47" s="28">
        <f>COUNTIFS(DataRegularSeason20242025!$E$2:$E$1315,TotalTeamGames20242025!BC$1,DataRegularSeason20242025!$D$2:$D$1315,TotalTeamGames20242025!$A47,DataRegularSeason20242025!$N$2:$N$1315,1)</f>
        <v>1</v>
      </c>
      <c r="BE47" s="35"/>
      <c r="BF47" s="28">
        <f>COUNTIFS(DataRegularSeason20242025!$E$2:$E$1315,TotalTeamGames20242025!BE$1,DataRegularSeason20242025!$D$2:$D$1315,TotalTeamGames20242025!$A47,DataRegularSeason20242025!$N$2:$N$1315,1)</f>
        <v>0</v>
      </c>
      <c r="BG47" s="35"/>
      <c r="BH47" s="28">
        <f>COUNTIFS(DataRegularSeason20242025!$E$2:$E$1315,TotalTeamGames20242025!BG$1,DataRegularSeason20242025!$D$2:$D$1315,TotalTeamGames20242025!$A47,DataRegularSeason20242025!$N$2:$N$1315,1)</f>
        <v>0</v>
      </c>
      <c r="BI47" s="35"/>
      <c r="BJ47" s="28">
        <f>COUNTIFS(DataRegularSeason20242025!$E$2:$E$1315,TotalTeamGames20242025!BI$1,DataRegularSeason20242025!$D$2:$D$1315,TotalTeamGames20242025!$A47,DataRegularSeason20242025!$N$2:$N$1315,1)</f>
        <v>0</v>
      </c>
      <c r="BK47" s="35"/>
      <c r="BL47" s="28">
        <f>COUNTIFS(DataRegularSeason20242025!$E$2:$E$1315,TotalTeamGames20242025!BK$1,DataRegularSeason20242025!$D$2:$D$1315,TotalTeamGames20242025!$A47,DataRegularSeason20242025!$N$2:$N$1315,1)</f>
        <v>0</v>
      </c>
      <c r="BM47" s="35"/>
      <c r="BN47" s="28">
        <f>COUNTIFS(DataRegularSeason20242025!$E$2:$E$1315,TotalTeamGames20242025!BM$1,DataRegularSeason20242025!$D$2:$D$1315,TotalTeamGames20242025!$A47,DataRegularSeason20242025!$N$2:$N$1315,1)</f>
        <v>1</v>
      </c>
      <c r="BO47" s="30">
        <f t="shared" si="0"/>
        <v>5</v>
      </c>
      <c r="BP47" s="165">
        <f t="shared" ref="BP47" si="43">BO47+BO48</f>
        <v>7</v>
      </c>
      <c r="BQ47" s="166">
        <f t="shared" ref="BQ47" si="44">82-BP47</f>
        <v>75</v>
      </c>
    </row>
    <row r="48" spans="1:69" ht="9.9499999999999993" customHeight="1" x14ac:dyDescent="0.25">
      <c r="A48" s="167"/>
      <c r="B48" s="32" t="s">
        <v>73</v>
      </c>
      <c r="C48" s="38">
        <f>COUNTIFS(DataRegularSeason20242025!$D$2:$D$1315,TotalTeamGames20242025!C$1,DataRegularSeason20242025!$E$2:$E$1315,TotalTeamGames20242025!$A47,DataRegularSeason20242025!$N$2:$N$1315,1)</f>
        <v>1</v>
      </c>
      <c r="D48" s="39"/>
      <c r="E48" s="38">
        <f>COUNTIFS(DataRegularSeason20242025!$D$2:$D$1315,TotalTeamGames20242025!E$1,DataRegularSeason20242025!$E$2:$E$1315,TotalTeamGames20242025!$A47,DataRegularSeason20242025!$N$2:$N$1315,1)</f>
        <v>0</v>
      </c>
      <c r="F48" s="39"/>
      <c r="G48" s="38">
        <f>COUNTIFS(DataRegularSeason20242025!$D$2:$D$1315,TotalTeamGames20242025!G$1,DataRegularSeason20242025!$E$2:$E$1315,TotalTeamGames20242025!$A47,DataRegularSeason20242025!$N$2:$N$1315,1)</f>
        <v>0</v>
      </c>
      <c r="H48" s="39"/>
      <c r="I48" s="38">
        <f>COUNTIFS(DataRegularSeason20242025!$D$2:$D$1315,TotalTeamGames20242025!I$1,DataRegularSeason20242025!$E$2:$E$1315,TotalTeamGames20242025!$A47,DataRegularSeason20242025!$N$2:$N$1315,1)</f>
        <v>0</v>
      </c>
      <c r="J48" s="39"/>
      <c r="K48" s="38">
        <f>COUNTIFS(DataRegularSeason20242025!$D$2:$D$1315,TotalTeamGames20242025!K$1,DataRegularSeason20242025!$E$2:$E$1315,TotalTeamGames20242025!$A47,DataRegularSeason20242025!$N$2:$N$1315,1)</f>
        <v>0</v>
      </c>
      <c r="L48" s="39"/>
      <c r="M48" s="38">
        <f>COUNTIFS(DataRegularSeason20242025!$D$2:$D$1315,TotalTeamGames20242025!M$1,DataRegularSeason20242025!$E$2:$E$1315,TotalTeamGames20242025!$A47,DataRegularSeason20242025!$N$2:$N$1315,1)</f>
        <v>0</v>
      </c>
      <c r="N48" s="39"/>
      <c r="O48" s="38">
        <f>COUNTIFS(DataRegularSeason20242025!$D$2:$D$1315,TotalTeamGames20242025!O$1,DataRegularSeason20242025!$E$2:$E$1315,TotalTeamGames20242025!$A47,DataRegularSeason20242025!$N$2:$N$1315,1)</f>
        <v>0</v>
      </c>
      <c r="P48" s="39"/>
      <c r="Q48" s="38">
        <f>COUNTIFS(DataRegularSeason20242025!$D$2:$D$1315,TotalTeamGames20242025!Q$1,DataRegularSeason20242025!$E$2:$E$1315,TotalTeamGames20242025!$A47,DataRegularSeason20242025!$N$2:$N$1315,1)</f>
        <v>0</v>
      </c>
      <c r="R48" s="39"/>
      <c r="S48" s="38">
        <f>COUNTIFS(DataRegularSeason20242025!$D$2:$D$1315,TotalTeamGames20242025!S$1,DataRegularSeason20242025!$E$2:$E$1315,TotalTeamGames20242025!$A47,DataRegularSeason20242025!$N$2:$N$1315,1)</f>
        <v>0</v>
      </c>
      <c r="T48" s="39"/>
      <c r="U48" s="38">
        <f>COUNTIFS(DataRegularSeason20242025!$D$2:$D$1315,TotalTeamGames20242025!U$1,DataRegularSeason20242025!$E$2:$E$1315,TotalTeamGames20242025!$A47,DataRegularSeason20242025!$N$2:$N$1315,1)</f>
        <v>0</v>
      </c>
      <c r="V48" s="39"/>
      <c r="W48" s="38">
        <f>COUNTIFS(DataRegularSeason20242025!$D$2:$D$1315,TotalTeamGames20242025!W$1,DataRegularSeason20242025!$E$2:$E$1315,TotalTeamGames20242025!$A47,DataRegularSeason20242025!$N$2:$N$1315,1)</f>
        <v>0</v>
      </c>
      <c r="X48" s="39"/>
      <c r="Y48" s="38">
        <f>COUNTIFS(DataRegularSeason20242025!$D$2:$D$1315,TotalTeamGames20242025!Y$1,DataRegularSeason20242025!$E$2:$E$1315,TotalTeamGames20242025!$A47,DataRegularSeason20242025!$N$2:$N$1315,1)</f>
        <v>0</v>
      </c>
      <c r="Z48" s="39"/>
      <c r="AA48" s="38">
        <f>COUNTIFS(DataRegularSeason20242025!$D$2:$D$1315,TotalTeamGames20242025!AA$1,DataRegularSeason20242025!$E$2:$E$1315,TotalTeamGames20242025!$A47,DataRegularSeason20242025!$N$2:$N$1315,1)</f>
        <v>0</v>
      </c>
      <c r="AB48" s="39"/>
      <c r="AC48" s="38">
        <f>COUNTIFS(DataRegularSeason20242025!$D$2:$D$1315,TotalTeamGames20242025!AC$1,DataRegularSeason20242025!$E$2:$E$1315,TotalTeamGames20242025!$A47,DataRegularSeason20242025!$N$2:$N$1315,1)</f>
        <v>0</v>
      </c>
      <c r="AD48" s="39"/>
      <c r="AE48" s="38">
        <f>COUNTIFS(DataRegularSeason20242025!$D$2:$D$1315,TotalTeamGames20242025!AE$1,DataRegularSeason20242025!$E$2:$E$1315,TotalTeamGames20242025!$A47,DataRegularSeason20242025!$N$2:$N$1315,1)</f>
        <v>0</v>
      </c>
      <c r="AF48" s="39"/>
      <c r="AG48" s="38">
        <f>COUNTIFS(DataRegularSeason20242025!$D$2:$D$1315,TotalTeamGames20242025!AG$1,DataRegularSeason20242025!$E$2:$E$1315,TotalTeamGames20242025!$A47,DataRegularSeason20242025!$N$2:$N$1315,1)</f>
        <v>0</v>
      </c>
      <c r="AH48" s="39"/>
      <c r="AI48" s="38">
        <f>COUNTIFS(DataRegularSeason20242025!$D$2:$D$1315,TotalTeamGames20242025!AI$1,DataRegularSeason20242025!$E$2:$E$1315,TotalTeamGames20242025!$A47,DataRegularSeason20242025!$N$2:$N$1315,1)</f>
        <v>0</v>
      </c>
      <c r="AJ48" s="39"/>
      <c r="AK48" s="38">
        <f>COUNTIFS(DataRegularSeason20242025!$D$2:$D$1315,TotalTeamGames20242025!AK$1,DataRegularSeason20242025!$E$2:$E$1315,TotalTeamGames20242025!$A47,DataRegularSeason20242025!$N$2:$N$1315,1)</f>
        <v>0</v>
      </c>
      <c r="AL48" s="39"/>
      <c r="AM48" s="38">
        <f>COUNTIFS(DataRegularSeason20242025!$D$2:$D$1315,TotalTeamGames20242025!AM$1,DataRegularSeason20242025!$E$2:$E$1315,TotalTeamGames20242025!$A47,DataRegularSeason20242025!$N$2:$N$1315,1)</f>
        <v>0</v>
      </c>
      <c r="AN48" s="39"/>
      <c r="AO48" s="38">
        <f>COUNTIFS(DataRegularSeason20242025!$D$2:$D$1315,TotalTeamGames20242025!AO$1,DataRegularSeason20242025!$E$2:$E$1315,TotalTeamGames20242025!$A47,DataRegularSeason20242025!$N$2:$N$1315,1)</f>
        <v>0</v>
      </c>
      <c r="AP48" s="39"/>
      <c r="AQ48" s="38">
        <f>COUNTIFS(DataRegularSeason20242025!$D$2:$D$1315,TotalTeamGames20242025!AQ$1,DataRegularSeason20242025!$E$2:$E$1315,TotalTeamGames20242025!$A47,DataRegularSeason20242025!$N$2:$N$1315,1)</f>
        <v>0</v>
      </c>
      <c r="AR48" s="39"/>
      <c r="AS48" s="38">
        <f>COUNTIFS(DataRegularSeason20242025!$D$2:$D$1315,TotalTeamGames20242025!AS$1,DataRegularSeason20242025!$E$2:$E$1315,TotalTeamGames20242025!$A47,DataRegularSeason20242025!$N$2:$N$1315,1)</f>
        <v>0</v>
      </c>
      <c r="AT48" s="39"/>
      <c r="AU48" s="38"/>
      <c r="AV48" s="39"/>
      <c r="AW48" s="38">
        <f>COUNTIFS(DataRegularSeason20242025!$D$2:$D$1315,TotalTeamGames20242025!AW$1,DataRegularSeason20242025!$E$2:$E$1315,TotalTeamGames20242025!$A47,DataRegularSeason20242025!$N$2:$N$1315,1)</f>
        <v>0</v>
      </c>
      <c r="AX48" s="39"/>
      <c r="AY48" s="38">
        <f>COUNTIFS(DataRegularSeason20242025!$D$2:$D$1315,TotalTeamGames20242025!AY$1,DataRegularSeason20242025!$E$2:$E$1315,TotalTeamGames20242025!$A47,DataRegularSeason20242025!$N$2:$N$1315,1)</f>
        <v>0</v>
      </c>
      <c r="AZ48" s="39"/>
      <c r="BA48" s="38">
        <f>COUNTIFS(DataRegularSeason20242025!$D$2:$D$1315,TotalTeamGames20242025!BA$1,DataRegularSeason20242025!$E$2:$E$1315,TotalTeamGames20242025!$A47,DataRegularSeason20242025!$N$2:$N$1315,1)</f>
        <v>0</v>
      </c>
      <c r="BB48" s="39"/>
      <c r="BC48" s="38">
        <f>COUNTIFS(DataRegularSeason20242025!$D$2:$D$1315,TotalTeamGames20242025!BC$1,DataRegularSeason20242025!$E$2:$E$1315,TotalTeamGames20242025!$A47,DataRegularSeason20242025!$N$2:$N$1315,1)</f>
        <v>0</v>
      </c>
      <c r="BD48" s="39"/>
      <c r="BE48" s="38">
        <f>COUNTIFS(DataRegularSeason20242025!$D$2:$D$1315,TotalTeamGames20242025!BE$1,DataRegularSeason20242025!$E$2:$E$1315,TotalTeamGames20242025!$A47,DataRegularSeason20242025!$N$2:$N$1315,1)</f>
        <v>0</v>
      </c>
      <c r="BF48" s="39"/>
      <c r="BG48" s="38">
        <f>COUNTIFS(DataRegularSeason20242025!$D$2:$D$1315,TotalTeamGames20242025!BG$1,DataRegularSeason20242025!$E$2:$E$1315,TotalTeamGames20242025!$A47,DataRegularSeason20242025!$N$2:$N$1315,1)</f>
        <v>0</v>
      </c>
      <c r="BH48" s="39"/>
      <c r="BI48" s="38">
        <f>COUNTIFS(DataRegularSeason20242025!$D$2:$D$1315,TotalTeamGames20242025!BI$1,DataRegularSeason20242025!$E$2:$E$1315,TotalTeamGames20242025!$A47,DataRegularSeason20242025!$N$2:$N$1315,1)</f>
        <v>1</v>
      </c>
      <c r="BJ48" s="39"/>
      <c r="BK48" s="38">
        <f>COUNTIFS(DataRegularSeason20242025!$D$2:$D$1315,TotalTeamGames20242025!BK$1,DataRegularSeason20242025!$E$2:$E$1315,TotalTeamGames20242025!$A47,DataRegularSeason20242025!$N$2:$N$1315,1)</f>
        <v>0</v>
      </c>
      <c r="BL48" s="39"/>
      <c r="BM48" s="38">
        <f>COUNTIFS(DataRegularSeason20242025!$D$2:$D$1315,TotalTeamGames20242025!BM$1,DataRegularSeason20242025!$E$2:$E$1315,TotalTeamGames20242025!$A47,DataRegularSeason20242025!$N$2:$N$1315,1)</f>
        <v>0</v>
      </c>
      <c r="BN48" s="39"/>
      <c r="BO48" s="34">
        <f t="shared" si="0"/>
        <v>2</v>
      </c>
      <c r="BP48" s="165"/>
      <c r="BQ48" s="166"/>
    </row>
    <row r="49" spans="1:69" ht="9.9499999999999993" customHeight="1" x14ac:dyDescent="0.25">
      <c r="A49" s="172" t="s">
        <v>37</v>
      </c>
      <c r="B49" s="28" t="s">
        <v>74</v>
      </c>
      <c r="C49" s="35"/>
      <c r="D49" s="28">
        <f>COUNTIFS(DataRegularSeason20242025!$E$2:$E$1315,TotalTeamGames20242025!C$1,DataRegularSeason20242025!$D$2:$D$1315,TotalTeamGames20242025!$A49,DataRegularSeason20242025!$N$2:$N$1315,1)</f>
        <v>0</v>
      </c>
      <c r="E49" s="35"/>
      <c r="F49" s="28">
        <f>COUNTIFS(DataRegularSeason20242025!$E$2:$E$1315,TotalTeamGames20242025!E$1,DataRegularSeason20242025!$D$2:$D$1315,TotalTeamGames20242025!$A49,DataRegularSeason20242025!$N$2:$N$1315,1)</f>
        <v>0</v>
      </c>
      <c r="G49" s="35"/>
      <c r="H49" s="28">
        <f>COUNTIFS(DataRegularSeason20242025!$E$2:$E$1315,TotalTeamGames20242025!G$1,DataRegularSeason20242025!$D$2:$D$1315,TotalTeamGames20242025!$A49,DataRegularSeason20242025!$N$2:$N$1315,1)</f>
        <v>0</v>
      </c>
      <c r="I49" s="35"/>
      <c r="J49" s="28">
        <f>COUNTIFS(DataRegularSeason20242025!$E$2:$E$1315,TotalTeamGames20242025!I$1,DataRegularSeason20242025!$D$2:$D$1315,TotalTeamGames20242025!$A49,DataRegularSeason20242025!$N$2:$N$1315,1)</f>
        <v>0</v>
      </c>
      <c r="K49" s="35"/>
      <c r="L49" s="28">
        <f>COUNTIFS(DataRegularSeason20242025!$E$2:$E$1315,TotalTeamGames20242025!K$1,DataRegularSeason20242025!$D$2:$D$1315,TotalTeamGames20242025!$A49,DataRegularSeason20242025!$N$2:$N$1315,1)</f>
        <v>0</v>
      </c>
      <c r="M49" s="35"/>
      <c r="N49" s="28">
        <f>COUNTIFS(DataRegularSeason20242025!$E$2:$E$1315,TotalTeamGames20242025!M$1,DataRegularSeason20242025!$D$2:$D$1315,TotalTeamGames20242025!$A49,DataRegularSeason20242025!$N$2:$N$1315,1)</f>
        <v>0</v>
      </c>
      <c r="O49" s="35"/>
      <c r="P49" s="28">
        <f>COUNTIFS(DataRegularSeason20242025!$E$2:$E$1315,TotalTeamGames20242025!O$1,DataRegularSeason20242025!$D$2:$D$1315,TotalTeamGames20242025!$A49,DataRegularSeason20242025!$N$2:$N$1315,1)</f>
        <v>0</v>
      </c>
      <c r="Q49" s="35"/>
      <c r="R49" s="28">
        <f>COUNTIFS(DataRegularSeason20242025!$E$2:$E$1315,TotalTeamGames20242025!Q$1,DataRegularSeason20242025!$D$2:$D$1315,TotalTeamGames20242025!$A49,DataRegularSeason20242025!$N$2:$N$1315,1)</f>
        <v>0</v>
      </c>
      <c r="S49" s="35"/>
      <c r="T49" s="28">
        <f>COUNTIFS(DataRegularSeason20242025!$E$2:$E$1315,TotalTeamGames20242025!S$1,DataRegularSeason20242025!$D$2:$D$1315,TotalTeamGames20242025!$A49,DataRegularSeason20242025!$N$2:$N$1315,1)</f>
        <v>0</v>
      </c>
      <c r="U49" s="35"/>
      <c r="V49" s="28">
        <f>COUNTIFS(DataRegularSeason20242025!$E$2:$E$1315,TotalTeamGames20242025!U$1,DataRegularSeason20242025!$D$2:$D$1315,TotalTeamGames20242025!$A49,DataRegularSeason20242025!$N$2:$N$1315,1)</f>
        <v>0</v>
      </c>
      <c r="W49" s="35"/>
      <c r="X49" s="28">
        <f>COUNTIFS(DataRegularSeason20242025!$E$2:$E$1315,TotalTeamGames20242025!W$1,DataRegularSeason20242025!$D$2:$D$1315,TotalTeamGames20242025!$A49,DataRegularSeason20242025!$N$2:$N$1315,1)</f>
        <v>0</v>
      </c>
      <c r="Y49" s="35"/>
      <c r="Z49" s="28">
        <f>COUNTIFS(DataRegularSeason20242025!$E$2:$E$1315,TotalTeamGames20242025!Y$1,DataRegularSeason20242025!$D$2:$D$1315,TotalTeamGames20242025!$A49,DataRegularSeason20242025!$N$2:$N$1315,1)</f>
        <v>0</v>
      </c>
      <c r="AA49" s="35"/>
      <c r="AB49" s="28">
        <f>COUNTIFS(DataRegularSeason20242025!$E$2:$E$1315,TotalTeamGames20242025!AA$1,DataRegularSeason20242025!$D$2:$D$1315,TotalTeamGames20242025!$A49,DataRegularSeason20242025!$N$2:$N$1315,1)</f>
        <v>0</v>
      </c>
      <c r="AC49" s="35"/>
      <c r="AD49" s="28">
        <f>COUNTIFS(DataRegularSeason20242025!$E$2:$E$1315,TotalTeamGames20242025!AC$1,DataRegularSeason20242025!$D$2:$D$1315,TotalTeamGames20242025!$A49,DataRegularSeason20242025!$N$2:$N$1315,1)</f>
        <v>0</v>
      </c>
      <c r="AE49" s="35"/>
      <c r="AF49" s="28">
        <f>COUNTIFS(DataRegularSeason20242025!$E$2:$E$1315,TotalTeamGames20242025!AE$1,DataRegularSeason20242025!$D$2:$D$1315,TotalTeamGames20242025!$A49,DataRegularSeason20242025!$N$2:$N$1315,1)</f>
        <v>0</v>
      </c>
      <c r="AG49" s="35"/>
      <c r="AH49" s="28">
        <f>COUNTIFS(DataRegularSeason20242025!$E$2:$E$1315,TotalTeamGames20242025!AG$1,DataRegularSeason20242025!$D$2:$D$1315,TotalTeamGames20242025!$A49,DataRegularSeason20242025!$N$2:$N$1315,1)</f>
        <v>0</v>
      </c>
      <c r="AI49" s="35"/>
      <c r="AJ49" s="28">
        <f>COUNTIFS(DataRegularSeason20242025!$E$2:$E$1315,TotalTeamGames20242025!AI$1,DataRegularSeason20242025!$D$2:$D$1315,TotalTeamGames20242025!$A49,DataRegularSeason20242025!$N$2:$N$1315,1)</f>
        <v>0</v>
      </c>
      <c r="AK49" s="35"/>
      <c r="AL49" s="28">
        <f>COUNTIFS(DataRegularSeason20242025!$E$2:$E$1315,TotalTeamGames20242025!AK$1,DataRegularSeason20242025!$D$2:$D$1315,TotalTeamGames20242025!$A49,DataRegularSeason20242025!$N$2:$N$1315,1)</f>
        <v>1</v>
      </c>
      <c r="AM49" s="35"/>
      <c r="AN49" s="28">
        <f>COUNTIFS(DataRegularSeason20242025!$E$2:$E$1315,TotalTeamGames20242025!AM$1,DataRegularSeason20242025!$D$2:$D$1315,TotalTeamGames20242025!$A49,DataRegularSeason20242025!$N$2:$N$1315,1)</f>
        <v>0</v>
      </c>
      <c r="AO49" s="35"/>
      <c r="AP49" s="28">
        <f>COUNTIFS(DataRegularSeason20242025!$E$2:$E$1315,TotalTeamGames20242025!AO$1,DataRegularSeason20242025!$D$2:$D$1315,TotalTeamGames20242025!$A49,DataRegularSeason20242025!$N$2:$N$1315,1)</f>
        <v>0</v>
      </c>
      <c r="AQ49" s="35"/>
      <c r="AR49" s="28">
        <f>COUNTIFS(DataRegularSeason20242025!$E$2:$E$1315,TotalTeamGames20242025!AQ$1,DataRegularSeason20242025!$D$2:$D$1315,TotalTeamGames20242025!$A49,DataRegularSeason20242025!$N$2:$N$1315,1)</f>
        <v>0</v>
      </c>
      <c r="AS49" s="35"/>
      <c r="AT49" s="28">
        <f>COUNTIFS(DataRegularSeason20242025!$E$2:$E$1315,TotalTeamGames20242025!AS$1,DataRegularSeason20242025!$D$2:$D$1315,TotalTeamGames20242025!$A49,DataRegularSeason20242025!$N$2:$N$1315,1)</f>
        <v>0</v>
      </c>
      <c r="AU49" s="35"/>
      <c r="AV49" s="28">
        <f>COUNTIFS(DataRegularSeason20242025!$E$2:$E$1315,TotalTeamGames20242025!AU$1,DataRegularSeason20242025!$D$2:$D$1315,TotalTeamGames20242025!$A49,DataRegularSeason20242025!$N$2:$N$1315,1)</f>
        <v>0</v>
      </c>
      <c r="AW49" s="35"/>
      <c r="AX49" s="36"/>
      <c r="AY49" s="35"/>
      <c r="AZ49" s="28">
        <f>COUNTIFS(DataRegularSeason20242025!$E$2:$E$1315,TotalTeamGames20242025!AY$1,DataRegularSeason20242025!$D$2:$D$1315,TotalTeamGames20242025!$A49,DataRegularSeason20242025!$N$2:$N$1315,1)</f>
        <v>0</v>
      </c>
      <c r="BA49" s="35"/>
      <c r="BB49" s="28">
        <f>COUNTIFS(DataRegularSeason20242025!$E$2:$E$1315,TotalTeamGames20242025!BA$1,DataRegularSeason20242025!$D$2:$D$1315,TotalTeamGames20242025!$A49,DataRegularSeason20242025!$N$2:$N$1315,1)</f>
        <v>0</v>
      </c>
      <c r="BC49" s="35"/>
      <c r="BD49" s="28">
        <f>COUNTIFS(DataRegularSeason20242025!$E$2:$E$1315,TotalTeamGames20242025!BC$1,DataRegularSeason20242025!$D$2:$D$1315,TotalTeamGames20242025!$A49,DataRegularSeason20242025!$N$2:$N$1315,1)</f>
        <v>0</v>
      </c>
      <c r="BE49" s="35"/>
      <c r="BF49" s="28">
        <f>COUNTIFS(DataRegularSeason20242025!$E$2:$E$1315,TotalTeamGames20242025!BE$1,DataRegularSeason20242025!$D$2:$D$1315,TotalTeamGames20242025!$A49,DataRegularSeason20242025!$N$2:$N$1315,1)</f>
        <v>1</v>
      </c>
      <c r="BG49" s="35"/>
      <c r="BH49" s="28">
        <f>COUNTIFS(DataRegularSeason20242025!$E$2:$E$1315,TotalTeamGames20242025!BG$1,DataRegularSeason20242025!$D$2:$D$1315,TotalTeamGames20242025!$A49,DataRegularSeason20242025!$N$2:$N$1315,1)</f>
        <v>0</v>
      </c>
      <c r="BI49" s="35"/>
      <c r="BJ49" s="28">
        <f>COUNTIFS(DataRegularSeason20242025!$E$2:$E$1315,TotalTeamGames20242025!BI$1,DataRegularSeason20242025!$D$2:$D$1315,TotalTeamGames20242025!$A49,DataRegularSeason20242025!$N$2:$N$1315,1)</f>
        <v>0</v>
      </c>
      <c r="BK49" s="35"/>
      <c r="BL49" s="28">
        <f>COUNTIFS(DataRegularSeason20242025!$E$2:$E$1315,TotalTeamGames20242025!BK$1,DataRegularSeason20242025!$D$2:$D$1315,TotalTeamGames20242025!$A49,DataRegularSeason20242025!$N$2:$N$1315,1)</f>
        <v>0</v>
      </c>
      <c r="BM49" s="35"/>
      <c r="BN49" s="28">
        <f>COUNTIFS(DataRegularSeason20242025!$E$2:$E$1315,TotalTeamGames20242025!BM$1,DataRegularSeason20242025!$D$2:$D$1315,TotalTeamGames20242025!$A49,DataRegularSeason20242025!$N$2:$N$1315,1)</f>
        <v>0</v>
      </c>
      <c r="BO49" s="30">
        <f t="shared" si="0"/>
        <v>2</v>
      </c>
      <c r="BP49" s="165">
        <f t="shared" ref="BP49" si="45">BO49+BO50</f>
        <v>6</v>
      </c>
      <c r="BQ49" s="166">
        <f t="shared" ref="BQ49" si="46">82-BP49</f>
        <v>76</v>
      </c>
    </row>
    <row r="50" spans="1:69" ht="9.9499999999999993" customHeight="1" x14ac:dyDescent="0.25">
      <c r="A50" s="167"/>
      <c r="B50" s="32" t="s">
        <v>73</v>
      </c>
      <c r="C50" s="38">
        <f>COUNTIFS(DataRegularSeason20242025!$D$2:$D$1315,TotalTeamGames20242025!C$1,DataRegularSeason20242025!$E$2:$E$1315,TotalTeamGames20242025!$A49,DataRegularSeason20242025!$N$2:$N$1315,1)</f>
        <v>1</v>
      </c>
      <c r="D50" s="39"/>
      <c r="E50" s="38">
        <f>COUNTIFS(DataRegularSeason20242025!$D$2:$D$1315,TotalTeamGames20242025!E$1,DataRegularSeason20242025!$E$2:$E$1315,TotalTeamGames20242025!$A49,DataRegularSeason20242025!$N$2:$N$1315,1)</f>
        <v>0</v>
      </c>
      <c r="F50" s="39"/>
      <c r="G50" s="38">
        <f>COUNTIFS(DataRegularSeason20242025!$D$2:$D$1315,TotalTeamGames20242025!G$1,DataRegularSeason20242025!$E$2:$E$1315,TotalTeamGames20242025!$A49,DataRegularSeason20242025!$N$2:$N$1315,1)</f>
        <v>0</v>
      </c>
      <c r="H50" s="39"/>
      <c r="I50" s="38">
        <f>COUNTIFS(DataRegularSeason20242025!$D$2:$D$1315,TotalTeamGames20242025!I$1,DataRegularSeason20242025!$E$2:$E$1315,TotalTeamGames20242025!$A49,DataRegularSeason20242025!$N$2:$N$1315,1)</f>
        <v>1</v>
      </c>
      <c r="J50" s="39"/>
      <c r="K50" s="38">
        <f>COUNTIFS(DataRegularSeason20242025!$D$2:$D$1315,TotalTeamGames20242025!K$1,DataRegularSeason20242025!$E$2:$E$1315,TotalTeamGames20242025!$A49,DataRegularSeason20242025!$N$2:$N$1315,1)</f>
        <v>0</v>
      </c>
      <c r="L50" s="39"/>
      <c r="M50" s="38">
        <f>COUNTIFS(DataRegularSeason20242025!$D$2:$D$1315,TotalTeamGames20242025!M$1,DataRegularSeason20242025!$E$2:$E$1315,TotalTeamGames20242025!$A49,DataRegularSeason20242025!$N$2:$N$1315,1)</f>
        <v>0</v>
      </c>
      <c r="N50" s="39"/>
      <c r="O50" s="38">
        <f>COUNTIFS(DataRegularSeason20242025!$D$2:$D$1315,TotalTeamGames20242025!O$1,DataRegularSeason20242025!$E$2:$E$1315,TotalTeamGames20242025!$A49,DataRegularSeason20242025!$N$2:$N$1315,1)</f>
        <v>0</v>
      </c>
      <c r="P50" s="39"/>
      <c r="Q50" s="38">
        <f>COUNTIFS(DataRegularSeason20242025!$D$2:$D$1315,TotalTeamGames20242025!Q$1,DataRegularSeason20242025!$E$2:$E$1315,TotalTeamGames20242025!$A49,DataRegularSeason20242025!$N$2:$N$1315,1)</f>
        <v>0</v>
      </c>
      <c r="R50" s="39"/>
      <c r="S50" s="38">
        <f>COUNTIFS(DataRegularSeason20242025!$D$2:$D$1315,TotalTeamGames20242025!S$1,DataRegularSeason20242025!$E$2:$E$1315,TotalTeamGames20242025!$A49,DataRegularSeason20242025!$N$2:$N$1315,1)</f>
        <v>0</v>
      </c>
      <c r="T50" s="39"/>
      <c r="U50" s="38">
        <f>COUNTIFS(DataRegularSeason20242025!$D$2:$D$1315,TotalTeamGames20242025!U$1,DataRegularSeason20242025!$E$2:$E$1315,TotalTeamGames20242025!$A49,DataRegularSeason20242025!$N$2:$N$1315,1)</f>
        <v>0</v>
      </c>
      <c r="V50" s="39"/>
      <c r="W50" s="38">
        <f>COUNTIFS(DataRegularSeason20242025!$D$2:$D$1315,TotalTeamGames20242025!W$1,DataRegularSeason20242025!$E$2:$E$1315,TotalTeamGames20242025!$A49,DataRegularSeason20242025!$N$2:$N$1315,1)</f>
        <v>0</v>
      </c>
      <c r="X50" s="39"/>
      <c r="Y50" s="38">
        <f>COUNTIFS(DataRegularSeason20242025!$D$2:$D$1315,TotalTeamGames20242025!Y$1,DataRegularSeason20242025!$E$2:$E$1315,TotalTeamGames20242025!$A49,DataRegularSeason20242025!$N$2:$N$1315,1)</f>
        <v>0</v>
      </c>
      <c r="Z50" s="39"/>
      <c r="AA50" s="38">
        <f>COUNTIFS(DataRegularSeason20242025!$D$2:$D$1315,TotalTeamGames20242025!AA$1,DataRegularSeason20242025!$E$2:$E$1315,TotalTeamGames20242025!$A49,DataRegularSeason20242025!$N$2:$N$1315,1)</f>
        <v>0</v>
      </c>
      <c r="AB50" s="39"/>
      <c r="AC50" s="38">
        <f>COUNTIFS(DataRegularSeason20242025!$D$2:$D$1315,TotalTeamGames20242025!AC$1,DataRegularSeason20242025!$E$2:$E$1315,TotalTeamGames20242025!$A49,DataRegularSeason20242025!$N$2:$N$1315,1)</f>
        <v>0</v>
      </c>
      <c r="AD50" s="39"/>
      <c r="AE50" s="38">
        <f>COUNTIFS(DataRegularSeason20242025!$D$2:$D$1315,TotalTeamGames20242025!AE$1,DataRegularSeason20242025!$E$2:$E$1315,TotalTeamGames20242025!$A49,DataRegularSeason20242025!$N$2:$N$1315,1)</f>
        <v>0</v>
      </c>
      <c r="AF50" s="39"/>
      <c r="AG50" s="38">
        <f>COUNTIFS(DataRegularSeason20242025!$D$2:$D$1315,TotalTeamGames20242025!AG$1,DataRegularSeason20242025!$E$2:$E$1315,TotalTeamGames20242025!$A49,DataRegularSeason20242025!$N$2:$N$1315,1)</f>
        <v>0</v>
      </c>
      <c r="AH50" s="39"/>
      <c r="AI50" s="38">
        <f>COUNTIFS(DataRegularSeason20242025!$D$2:$D$1315,TotalTeamGames20242025!AI$1,DataRegularSeason20242025!$E$2:$E$1315,TotalTeamGames20242025!$A49,DataRegularSeason20242025!$N$2:$N$1315,1)</f>
        <v>0</v>
      </c>
      <c r="AJ50" s="39"/>
      <c r="AK50" s="38">
        <f>COUNTIFS(DataRegularSeason20242025!$D$2:$D$1315,TotalTeamGames20242025!AK$1,DataRegularSeason20242025!$E$2:$E$1315,TotalTeamGames20242025!$A49,DataRegularSeason20242025!$N$2:$N$1315,1)</f>
        <v>0</v>
      </c>
      <c r="AL50" s="39"/>
      <c r="AM50" s="38">
        <f>COUNTIFS(DataRegularSeason20242025!$D$2:$D$1315,TotalTeamGames20242025!AM$1,DataRegularSeason20242025!$E$2:$E$1315,TotalTeamGames20242025!$A49,DataRegularSeason20242025!$N$2:$N$1315,1)</f>
        <v>0</v>
      </c>
      <c r="AN50" s="39"/>
      <c r="AO50" s="38">
        <f>COUNTIFS(DataRegularSeason20242025!$D$2:$D$1315,TotalTeamGames20242025!AO$1,DataRegularSeason20242025!$E$2:$E$1315,TotalTeamGames20242025!$A49,DataRegularSeason20242025!$N$2:$N$1315,1)</f>
        <v>0</v>
      </c>
      <c r="AP50" s="39"/>
      <c r="AQ50" s="38">
        <f>COUNTIFS(DataRegularSeason20242025!$D$2:$D$1315,TotalTeamGames20242025!AQ$1,DataRegularSeason20242025!$E$2:$E$1315,TotalTeamGames20242025!$A49,DataRegularSeason20242025!$N$2:$N$1315,1)</f>
        <v>0</v>
      </c>
      <c r="AR50" s="39"/>
      <c r="AS50" s="38">
        <f>COUNTIFS(DataRegularSeason20242025!$D$2:$D$1315,TotalTeamGames20242025!AS$1,DataRegularSeason20242025!$E$2:$E$1315,TotalTeamGames20242025!$A49,DataRegularSeason20242025!$N$2:$N$1315,1)</f>
        <v>1</v>
      </c>
      <c r="AT50" s="39"/>
      <c r="AU50" s="38">
        <f>COUNTIFS(DataRegularSeason20242025!$D$2:$D$1315,TotalTeamGames20242025!AU$1,DataRegularSeason20242025!$E$2:$E$1315,TotalTeamGames20242025!$A49,DataRegularSeason20242025!$N$2:$N$1315,1)</f>
        <v>0</v>
      </c>
      <c r="AV50" s="39"/>
      <c r="AW50" s="38"/>
      <c r="AX50" s="39"/>
      <c r="AY50" s="38">
        <f>COUNTIFS(DataRegularSeason20242025!$D$2:$D$1315,TotalTeamGames20242025!AY$1,DataRegularSeason20242025!$E$2:$E$1315,TotalTeamGames20242025!$A49,DataRegularSeason20242025!$N$2:$N$1315,1)</f>
        <v>0</v>
      </c>
      <c r="AZ50" s="39"/>
      <c r="BA50" s="38">
        <f>COUNTIFS(DataRegularSeason20242025!$D$2:$D$1315,TotalTeamGames20242025!BA$1,DataRegularSeason20242025!$E$2:$E$1315,TotalTeamGames20242025!$A49,DataRegularSeason20242025!$N$2:$N$1315,1)</f>
        <v>0</v>
      </c>
      <c r="BB50" s="39"/>
      <c r="BC50" s="38">
        <f>COUNTIFS(DataRegularSeason20242025!$D$2:$D$1315,TotalTeamGames20242025!BC$1,DataRegularSeason20242025!$E$2:$E$1315,TotalTeamGames20242025!$A49,DataRegularSeason20242025!$N$2:$N$1315,1)</f>
        <v>0</v>
      </c>
      <c r="BD50" s="39"/>
      <c r="BE50" s="38">
        <f>COUNTIFS(DataRegularSeason20242025!$D$2:$D$1315,TotalTeamGames20242025!BE$1,DataRegularSeason20242025!$E$2:$E$1315,TotalTeamGames20242025!$A49,DataRegularSeason20242025!$N$2:$N$1315,1)</f>
        <v>0</v>
      </c>
      <c r="BF50" s="39"/>
      <c r="BG50" s="38">
        <f>COUNTIFS(DataRegularSeason20242025!$D$2:$D$1315,TotalTeamGames20242025!BG$1,DataRegularSeason20242025!$E$2:$E$1315,TotalTeamGames20242025!$A49,DataRegularSeason20242025!$N$2:$N$1315,1)</f>
        <v>0</v>
      </c>
      <c r="BH50" s="39"/>
      <c r="BI50" s="38">
        <f>COUNTIFS(DataRegularSeason20242025!$D$2:$D$1315,TotalTeamGames20242025!BI$1,DataRegularSeason20242025!$E$2:$E$1315,TotalTeamGames20242025!$A49,DataRegularSeason20242025!$N$2:$N$1315,1)</f>
        <v>1</v>
      </c>
      <c r="BJ50" s="39"/>
      <c r="BK50" s="38">
        <f>COUNTIFS(DataRegularSeason20242025!$D$2:$D$1315,TotalTeamGames20242025!BK$1,DataRegularSeason20242025!$E$2:$E$1315,TotalTeamGames20242025!$A49,DataRegularSeason20242025!$N$2:$N$1315,1)</f>
        <v>0</v>
      </c>
      <c r="BL50" s="39"/>
      <c r="BM50" s="38">
        <f>COUNTIFS(DataRegularSeason20242025!$D$2:$D$1315,TotalTeamGames20242025!BM$1,DataRegularSeason20242025!$E$2:$E$1315,TotalTeamGames20242025!$A49,DataRegularSeason20242025!$N$2:$N$1315,1)</f>
        <v>0</v>
      </c>
      <c r="BN50" s="39"/>
      <c r="BO50" s="34">
        <f t="shared" si="0"/>
        <v>4</v>
      </c>
      <c r="BP50" s="165"/>
      <c r="BQ50" s="166"/>
    </row>
    <row r="51" spans="1:69" ht="9.9499999999999993" customHeight="1" x14ac:dyDescent="0.25">
      <c r="A51" s="172" t="s">
        <v>12</v>
      </c>
      <c r="B51" s="28" t="s">
        <v>74</v>
      </c>
      <c r="C51" s="35"/>
      <c r="D51" s="28">
        <f>COUNTIFS(DataRegularSeason20242025!$E$2:$E$1315,TotalTeamGames20242025!C$1,DataRegularSeason20242025!$D$2:$D$1315,TotalTeamGames20242025!$A51,DataRegularSeason20242025!$N$2:$N$1315,1)</f>
        <v>0</v>
      </c>
      <c r="E51" s="35"/>
      <c r="F51" s="28">
        <f>COUNTIFS(DataRegularSeason20242025!$E$2:$E$1315,TotalTeamGames20242025!E$1,DataRegularSeason20242025!$D$2:$D$1315,TotalTeamGames20242025!$A51,DataRegularSeason20242025!$N$2:$N$1315,1)</f>
        <v>0</v>
      </c>
      <c r="G51" s="35"/>
      <c r="H51" s="28">
        <f>COUNTIFS(DataRegularSeason20242025!$E$2:$E$1315,TotalTeamGames20242025!G$1,DataRegularSeason20242025!$D$2:$D$1315,TotalTeamGames20242025!$A51,DataRegularSeason20242025!$N$2:$N$1315,1)</f>
        <v>0</v>
      </c>
      <c r="I51" s="35"/>
      <c r="J51" s="28">
        <f>COUNTIFS(DataRegularSeason20242025!$E$2:$E$1315,TotalTeamGames20242025!I$1,DataRegularSeason20242025!$D$2:$D$1315,TotalTeamGames20242025!$A51,DataRegularSeason20242025!$N$2:$N$1315,1)</f>
        <v>0</v>
      </c>
      <c r="K51" s="35"/>
      <c r="L51" s="28">
        <f>COUNTIFS(DataRegularSeason20242025!$E$2:$E$1315,TotalTeamGames20242025!K$1,DataRegularSeason20242025!$D$2:$D$1315,TotalTeamGames20242025!$A51,DataRegularSeason20242025!$N$2:$N$1315,1)</f>
        <v>0</v>
      </c>
      <c r="M51" s="35"/>
      <c r="N51" s="28">
        <f>COUNTIFS(DataRegularSeason20242025!$E$2:$E$1315,TotalTeamGames20242025!M$1,DataRegularSeason20242025!$D$2:$D$1315,TotalTeamGames20242025!$A51,DataRegularSeason20242025!$N$2:$N$1315,1)</f>
        <v>1</v>
      </c>
      <c r="O51" s="35"/>
      <c r="P51" s="28">
        <f>COUNTIFS(DataRegularSeason20242025!$E$2:$E$1315,TotalTeamGames20242025!O$1,DataRegularSeason20242025!$D$2:$D$1315,TotalTeamGames20242025!$A51,DataRegularSeason20242025!$N$2:$N$1315,1)</f>
        <v>0</v>
      </c>
      <c r="Q51" s="35"/>
      <c r="R51" s="28">
        <f>COUNTIFS(DataRegularSeason20242025!$E$2:$E$1315,TotalTeamGames20242025!Q$1,DataRegularSeason20242025!$D$2:$D$1315,TotalTeamGames20242025!$A51,DataRegularSeason20242025!$N$2:$N$1315,1)</f>
        <v>0</v>
      </c>
      <c r="S51" s="35"/>
      <c r="T51" s="28">
        <f>COUNTIFS(DataRegularSeason20242025!$E$2:$E$1315,TotalTeamGames20242025!S$1,DataRegularSeason20242025!$D$2:$D$1315,TotalTeamGames20242025!$A51,DataRegularSeason20242025!$N$2:$N$1315,1)</f>
        <v>0</v>
      </c>
      <c r="U51" s="35"/>
      <c r="V51" s="28">
        <f>COUNTIFS(DataRegularSeason20242025!$E$2:$E$1315,TotalTeamGames20242025!U$1,DataRegularSeason20242025!$D$2:$D$1315,TotalTeamGames20242025!$A51,DataRegularSeason20242025!$N$2:$N$1315,1)</f>
        <v>0</v>
      </c>
      <c r="W51" s="35"/>
      <c r="X51" s="28">
        <f>COUNTIFS(DataRegularSeason20242025!$E$2:$E$1315,TotalTeamGames20242025!W$1,DataRegularSeason20242025!$D$2:$D$1315,TotalTeamGames20242025!$A51,DataRegularSeason20242025!$N$2:$N$1315,1)</f>
        <v>0</v>
      </c>
      <c r="Y51" s="35"/>
      <c r="Z51" s="28">
        <f>COUNTIFS(DataRegularSeason20242025!$E$2:$E$1315,TotalTeamGames20242025!Y$1,DataRegularSeason20242025!$D$2:$D$1315,TotalTeamGames20242025!$A51,DataRegularSeason20242025!$N$2:$N$1315,1)</f>
        <v>0</v>
      </c>
      <c r="AA51" s="35"/>
      <c r="AB51" s="28">
        <f>COUNTIFS(DataRegularSeason20242025!$E$2:$E$1315,TotalTeamGames20242025!AA$1,DataRegularSeason20242025!$D$2:$D$1315,TotalTeamGames20242025!$A51,DataRegularSeason20242025!$N$2:$N$1315,1)</f>
        <v>0</v>
      </c>
      <c r="AC51" s="35"/>
      <c r="AD51" s="28">
        <f>COUNTIFS(DataRegularSeason20242025!$E$2:$E$1315,TotalTeamGames20242025!AC$1,DataRegularSeason20242025!$D$2:$D$1315,TotalTeamGames20242025!$A51,DataRegularSeason20242025!$N$2:$N$1315,1)</f>
        <v>0</v>
      </c>
      <c r="AE51" s="35"/>
      <c r="AF51" s="28">
        <f>COUNTIFS(DataRegularSeason20242025!$E$2:$E$1315,TotalTeamGames20242025!AE$1,DataRegularSeason20242025!$D$2:$D$1315,TotalTeamGames20242025!$A51,DataRegularSeason20242025!$N$2:$N$1315,1)</f>
        <v>0</v>
      </c>
      <c r="AG51" s="35"/>
      <c r="AH51" s="28">
        <f>COUNTIFS(DataRegularSeason20242025!$E$2:$E$1315,TotalTeamGames20242025!AG$1,DataRegularSeason20242025!$D$2:$D$1315,TotalTeamGames20242025!$A51,DataRegularSeason20242025!$N$2:$N$1315,1)</f>
        <v>0</v>
      </c>
      <c r="AI51" s="35"/>
      <c r="AJ51" s="28">
        <f>COUNTIFS(DataRegularSeason20242025!$E$2:$E$1315,TotalTeamGames20242025!AI$1,DataRegularSeason20242025!$D$2:$D$1315,TotalTeamGames20242025!$A51,DataRegularSeason20242025!$N$2:$N$1315,1)</f>
        <v>0</v>
      </c>
      <c r="AK51" s="35"/>
      <c r="AL51" s="28">
        <f>COUNTIFS(DataRegularSeason20242025!$E$2:$E$1315,TotalTeamGames20242025!AK$1,DataRegularSeason20242025!$D$2:$D$1315,TotalTeamGames20242025!$A51,DataRegularSeason20242025!$N$2:$N$1315,1)</f>
        <v>0</v>
      </c>
      <c r="AM51" s="35"/>
      <c r="AN51" s="28">
        <f>COUNTIFS(DataRegularSeason20242025!$E$2:$E$1315,TotalTeamGames20242025!AM$1,DataRegularSeason20242025!$D$2:$D$1315,TotalTeamGames20242025!$A51,DataRegularSeason20242025!$N$2:$N$1315,1)</f>
        <v>0</v>
      </c>
      <c r="AO51" s="35"/>
      <c r="AP51" s="28">
        <f>COUNTIFS(DataRegularSeason20242025!$E$2:$E$1315,TotalTeamGames20242025!AO$1,DataRegularSeason20242025!$D$2:$D$1315,TotalTeamGames20242025!$A51,DataRegularSeason20242025!$N$2:$N$1315,1)</f>
        <v>0</v>
      </c>
      <c r="AQ51" s="35"/>
      <c r="AR51" s="28">
        <f>COUNTIFS(DataRegularSeason20242025!$E$2:$E$1315,TotalTeamGames20242025!AQ$1,DataRegularSeason20242025!$D$2:$D$1315,TotalTeamGames20242025!$A51,DataRegularSeason20242025!$N$2:$N$1315,1)</f>
        <v>0</v>
      </c>
      <c r="AS51" s="35"/>
      <c r="AT51" s="28">
        <f>COUNTIFS(DataRegularSeason20242025!$E$2:$E$1315,TotalTeamGames20242025!AS$1,DataRegularSeason20242025!$D$2:$D$1315,TotalTeamGames20242025!$A51,DataRegularSeason20242025!$N$2:$N$1315,1)</f>
        <v>0</v>
      </c>
      <c r="AU51" s="35"/>
      <c r="AV51" s="28">
        <f>COUNTIFS(DataRegularSeason20242025!$E$2:$E$1315,TotalTeamGames20242025!AU$1,DataRegularSeason20242025!$D$2:$D$1315,TotalTeamGames20242025!$A51,DataRegularSeason20242025!$N$2:$N$1315,1)</f>
        <v>0</v>
      </c>
      <c r="AW51" s="35"/>
      <c r="AX51" s="28">
        <f>COUNTIFS(DataRegularSeason20242025!$E$2:$E$1315,TotalTeamGames20242025!AW$1,DataRegularSeason20242025!$D$2:$D$1315,TotalTeamGames20242025!$A51,DataRegularSeason20242025!$N$2:$N$1315,1)</f>
        <v>0</v>
      </c>
      <c r="AY51" s="35"/>
      <c r="AZ51" s="36"/>
      <c r="BA51" s="35"/>
      <c r="BB51" s="28">
        <f>COUNTIFS(DataRegularSeason20242025!$E$2:$E$1315,TotalTeamGames20242025!BA$1,DataRegularSeason20242025!$D$2:$D$1315,TotalTeamGames20242025!$A51,DataRegularSeason20242025!$N$2:$N$1315,1)</f>
        <v>0</v>
      </c>
      <c r="BC51" s="35"/>
      <c r="BD51" s="28">
        <f>COUNTIFS(DataRegularSeason20242025!$E$2:$E$1315,TotalTeamGames20242025!BC$1,DataRegularSeason20242025!$D$2:$D$1315,TotalTeamGames20242025!$A51,DataRegularSeason20242025!$N$2:$N$1315,1)</f>
        <v>0</v>
      </c>
      <c r="BE51" s="35"/>
      <c r="BF51" s="28">
        <f>COUNTIFS(DataRegularSeason20242025!$E$2:$E$1315,TotalTeamGames20242025!BE$1,DataRegularSeason20242025!$D$2:$D$1315,TotalTeamGames20242025!$A51,DataRegularSeason20242025!$N$2:$N$1315,1)</f>
        <v>0</v>
      </c>
      <c r="BG51" s="35"/>
      <c r="BH51" s="28">
        <f>COUNTIFS(DataRegularSeason20242025!$E$2:$E$1315,TotalTeamGames20242025!BG$1,DataRegularSeason20242025!$D$2:$D$1315,TotalTeamGames20242025!$A51,DataRegularSeason20242025!$N$2:$N$1315,1)</f>
        <v>1</v>
      </c>
      <c r="BI51" s="35"/>
      <c r="BJ51" s="28">
        <f>COUNTIFS(DataRegularSeason20242025!$E$2:$E$1315,TotalTeamGames20242025!BI$1,DataRegularSeason20242025!$D$2:$D$1315,TotalTeamGames20242025!$A51,DataRegularSeason20242025!$N$2:$N$1315,1)</f>
        <v>0</v>
      </c>
      <c r="BK51" s="35"/>
      <c r="BL51" s="28">
        <f>COUNTIFS(DataRegularSeason20242025!$E$2:$E$1315,TotalTeamGames20242025!BK$1,DataRegularSeason20242025!$D$2:$D$1315,TotalTeamGames20242025!$A51,DataRegularSeason20242025!$N$2:$N$1315,1)</f>
        <v>0</v>
      </c>
      <c r="BM51" s="35"/>
      <c r="BN51" s="28">
        <f>COUNTIFS(DataRegularSeason20242025!$E$2:$E$1315,TotalTeamGames20242025!BM$1,DataRegularSeason20242025!$D$2:$D$1315,TotalTeamGames20242025!$A51,DataRegularSeason20242025!$N$2:$N$1315,1)</f>
        <v>0</v>
      </c>
      <c r="BO51" s="30">
        <f t="shared" si="0"/>
        <v>2</v>
      </c>
      <c r="BP51" s="165">
        <f t="shared" ref="BP51" si="47">BO51+BO52</f>
        <v>6</v>
      </c>
      <c r="BQ51" s="166">
        <f t="shared" ref="BQ51" si="48">82-BP51</f>
        <v>76</v>
      </c>
    </row>
    <row r="52" spans="1:69" ht="9.9499999999999993" customHeight="1" x14ac:dyDescent="0.25">
      <c r="A52" s="167"/>
      <c r="B52" s="32" t="s">
        <v>73</v>
      </c>
      <c r="C52" s="38">
        <f>COUNTIFS(DataRegularSeason20242025!$D$2:$D$1315,TotalTeamGames20242025!C$1,DataRegularSeason20242025!$E$2:$E$1315,TotalTeamGames20242025!$A51,DataRegularSeason20242025!$N$2:$N$1315,1)</f>
        <v>0</v>
      </c>
      <c r="D52" s="39"/>
      <c r="E52" s="38">
        <f>COUNTIFS(DataRegularSeason20242025!$D$2:$D$1315,TotalTeamGames20242025!E$1,DataRegularSeason20242025!$E$2:$E$1315,TotalTeamGames20242025!$A51,DataRegularSeason20242025!$N$2:$N$1315,1)</f>
        <v>0</v>
      </c>
      <c r="F52" s="39"/>
      <c r="G52" s="38">
        <f>COUNTIFS(DataRegularSeason20242025!$D$2:$D$1315,TotalTeamGames20242025!G$1,DataRegularSeason20242025!$E$2:$E$1315,TotalTeamGames20242025!$A51,DataRegularSeason20242025!$N$2:$N$1315,1)</f>
        <v>0</v>
      </c>
      <c r="H52" s="39"/>
      <c r="I52" s="38">
        <f>COUNTIFS(DataRegularSeason20242025!$D$2:$D$1315,TotalTeamGames20242025!I$1,DataRegularSeason20242025!$E$2:$E$1315,TotalTeamGames20242025!$A51,DataRegularSeason20242025!$N$2:$N$1315,1)</f>
        <v>0</v>
      </c>
      <c r="J52" s="39"/>
      <c r="K52" s="38">
        <f>COUNTIFS(DataRegularSeason20242025!$D$2:$D$1315,TotalTeamGames20242025!K$1,DataRegularSeason20242025!$E$2:$E$1315,TotalTeamGames20242025!$A51,DataRegularSeason20242025!$N$2:$N$1315,1)</f>
        <v>0</v>
      </c>
      <c r="L52" s="39"/>
      <c r="M52" s="38">
        <f>COUNTIFS(DataRegularSeason20242025!$D$2:$D$1315,TotalTeamGames20242025!M$1,DataRegularSeason20242025!$E$2:$E$1315,TotalTeamGames20242025!$A51,DataRegularSeason20242025!$N$2:$N$1315,1)</f>
        <v>0</v>
      </c>
      <c r="N52" s="39"/>
      <c r="O52" s="38">
        <f>COUNTIFS(DataRegularSeason20242025!$D$2:$D$1315,TotalTeamGames20242025!O$1,DataRegularSeason20242025!$E$2:$E$1315,TotalTeamGames20242025!$A51,DataRegularSeason20242025!$N$2:$N$1315,1)</f>
        <v>1</v>
      </c>
      <c r="P52" s="39"/>
      <c r="Q52" s="38">
        <f>COUNTIFS(DataRegularSeason20242025!$D$2:$D$1315,TotalTeamGames20242025!Q$1,DataRegularSeason20242025!$E$2:$E$1315,TotalTeamGames20242025!$A51,DataRegularSeason20242025!$N$2:$N$1315,1)</f>
        <v>0</v>
      </c>
      <c r="R52" s="39"/>
      <c r="S52" s="38">
        <f>COUNTIFS(DataRegularSeason20242025!$D$2:$D$1315,TotalTeamGames20242025!S$1,DataRegularSeason20242025!$E$2:$E$1315,TotalTeamGames20242025!$A51,DataRegularSeason20242025!$N$2:$N$1315,1)</f>
        <v>1</v>
      </c>
      <c r="T52" s="39"/>
      <c r="U52" s="38">
        <f>COUNTIFS(DataRegularSeason20242025!$D$2:$D$1315,TotalTeamGames20242025!U$1,DataRegularSeason20242025!$E$2:$E$1315,TotalTeamGames20242025!$A51,DataRegularSeason20242025!$N$2:$N$1315,1)</f>
        <v>0</v>
      </c>
      <c r="V52" s="39"/>
      <c r="W52" s="38">
        <f>COUNTIFS(DataRegularSeason20242025!$D$2:$D$1315,TotalTeamGames20242025!W$1,DataRegularSeason20242025!$E$2:$E$1315,TotalTeamGames20242025!$A51,DataRegularSeason20242025!$N$2:$N$1315,1)</f>
        <v>0</v>
      </c>
      <c r="X52" s="39"/>
      <c r="Y52" s="38">
        <f>COUNTIFS(DataRegularSeason20242025!$D$2:$D$1315,TotalTeamGames20242025!Y$1,DataRegularSeason20242025!$E$2:$E$1315,TotalTeamGames20242025!$A51,DataRegularSeason20242025!$N$2:$N$1315,1)</f>
        <v>0</v>
      </c>
      <c r="Z52" s="39"/>
      <c r="AA52" s="38">
        <f>COUNTIFS(DataRegularSeason20242025!$D$2:$D$1315,TotalTeamGames20242025!AA$1,DataRegularSeason20242025!$E$2:$E$1315,TotalTeamGames20242025!$A51,DataRegularSeason20242025!$N$2:$N$1315,1)</f>
        <v>1</v>
      </c>
      <c r="AB52" s="39"/>
      <c r="AC52" s="38">
        <f>COUNTIFS(DataRegularSeason20242025!$D$2:$D$1315,TotalTeamGames20242025!AC$1,DataRegularSeason20242025!$E$2:$E$1315,TotalTeamGames20242025!$A51,DataRegularSeason20242025!$N$2:$N$1315,1)</f>
        <v>1</v>
      </c>
      <c r="AD52" s="39"/>
      <c r="AE52" s="38">
        <f>COUNTIFS(DataRegularSeason20242025!$D$2:$D$1315,TotalTeamGames20242025!AE$1,DataRegularSeason20242025!$E$2:$E$1315,TotalTeamGames20242025!$A51,DataRegularSeason20242025!$N$2:$N$1315,1)</f>
        <v>0</v>
      </c>
      <c r="AF52" s="39"/>
      <c r="AG52" s="38">
        <f>COUNTIFS(DataRegularSeason20242025!$D$2:$D$1315,TotalTeamGames20242025!AG$1,DataRegularSeason20242025!$E$2:$E$1315,TotalTeamGames20242025!$A51,DataRegularSeason20242025!$N$2:$N$1315,1)</f>
        <v>0</v>
      </c>
      <c r="AH52" s="39"/>
      <c r="AI52" s="38">
        <f>COUNTIFS(DataRegularSeason20242025!$D$2:$D$1315,TotalTeamGames20242025!AI$1,DataRegularSeason20242025!$E$2:$E$1315,TotalTeamGames20242025!$A51,DataRegularSeason20242025!$N$2:$N$1315,1)</f>
        <v>0</v>
      </c>
      <c r="AJ52" s="39"/>
      <c r="AK52" s="38">
        <f>COUNTIFS(DataRegularSeason20242025!$D$2:$D$1315,TotalTeamGames20242025!AK$1,DataRegularSeason20242025!$E$2:$E$1315,TotalTeamGames20242025!$A51,DataRegularSeason20242025!$N$2:$N$1315,1)</f>
        <v>0</v>
      </c>
      <c r="AL52" s="39"/>
      <c r="AM52" s="38">
        <f>COUNTIFS(DataRegularSeason20242025!$D$2:$D$1315,TotalTeamGames20242025!AM$1,DataRegularSeason20242025!$E$2:$E$1315,TotalTeamGames20242025!$A51,DataRegularSeason20242025!$N$2:$N$1315,1)</f>
        <v>0</v>
      </c>
      <c r="AN52" s="39"/>
      <c r="AO52" s="38">
        <f>COUNTIFS(DataRegularSeason20242025!$D$2:$D$1315,TotalTeamGames20242025!AO$1,DataRegularSeason20242025!$E$2:$E$1315,TotalTeamGames20242025!$A51,DataRegularSeason20242025!$N$2:$N$1315,1)</f>
        <v>0</v>
      </c>
      <c r="AP52" s="39"/>
      <c r="AQ52" s="38">
        <f>COUNTIFS(DataRegularSeason20242025!$D$2:$D$1315,TotalTeamGames20242025!AQ$1,DataRegularSeason20242025!$E$2:$E$1315,TotalTeamGames20242025!$A51,DataRegularSeason20242025!$N$2:$N$1315,1)</f>
        <v>0</v>
      </c>
      <c r="AR52" s="39"/>
      <c r="AS52" s="38">
        <f>COUNTIFS(DataRegularSeason20242025!$D$2:$D$1315,TotalTeamGames20242025!AS$1,DataRegularSeason20242025!$E$2:$E$1315,TotalTeamGames20242025!$A51,DataRegularSeason20242025!$N$2:$N$1315,1)</f>
        <v>0</v>
      </c>
      <c r="AT52" s="39"/>
      <c r="AU52" s="38">
        <f>COUNTIFS(DataRegularSeason20242025!$D$2:$D$1315,TotalTeamGames20242025!AU$1,DataRegularSeason20242025!$E$2:$E$1315,TotalTeamGames20242025!$A51,DataRegularSeason20242025!$N$2:$N$1315,1)</f>
        <v>0</v>
      </c>
      <c r="AV52" s="39"/>
      <c r="AW52" s="38">
        <f>COUNTIFS(DataRegularSeason20242025!$D$2:$D$1315,TotalTeamGames20242025!AW$1,DataRegularSeason20242025!$E$2:$E$1315,TotalTeamGames20242025!$A51,DataRegularSeason20242025!$N$2:$N$1315,1)</f>
        <v>0</v>
      </c>
      <c r="AX52" s="39"/>
      <c r="AY52" s="38"/>
      <c r="AZ52" s="39"/>
      <c r="BA52" s="38">
        <f>COUNTIFS(DataRegularSeason20242025!$D$2:$D$1315,TotalTeamGames20242025!BA$1,DataRegularSeason20242025!$E$2:$E$1315,TotalTeamGames20242025!$A51,DataRegularSeason20242025!$N$2:$N$1315,1)</f>
        <v>0</v>
      </c>
      <c r="BB52" s="39"/>
      <c r="BC52" s="38">
        <f>COUNTIFS(DataRegularSeason20242025!$D$2:$D$1315,TotalTeamGames20242025!BC$1,DataRegularSeason20242025!$E$2:$E$1315,TotalTeamGames20242025!$A51,DataRegularSeason20242025!$N$2:$N$1315,1)</f>
        <v>0</v>
      </c>
      <c r="BD52" s="39"/>
      <c r="BE52" s="38">
        <f>COUNTIFS(DataRegularSeason20242025!$D$2:$D$1315,TotalTeamGames20242025!BE$1,DataRegularSeason20242025!$E$2:$E$1315,TotalTeamGames20242025!$A51,DataRegularSeason20242025!$N$2:$N$1315,1)</f>
        <v>0</v>
      </c>
      <c r="BF52" s="39"/>
      <c r="BG52" s="38">
        <f>COUNTIFS(DataRegularSeason20242025!$D$2:$D$1315,TotalTeamGames20242025!BG$1,DataRegularSeason20242025!$E$2:$E$1315,TotalTeamGames20242025!$A51,DataRegularSeason20242025!$N$2:$N$1315,1)</f>
        <v>0</v>
      </c>
      <c r="BH52" s="39"/>
      <c r="BI52" s="38">
        <f>COUNTIFS(DataRegularSeason20242025!$D$2:$D$1315,TotalTeamGames20242025!BI$1,DataRegularSeason20242025!$E$2:$E$1315,TotalTeamGames20242025!$A51,DataRegularSeason20242025!$N$2:$N$1315,1)</f>
        <v>0</v>
      </c>
      <c r="BJ52" s="39"/>
      <c r="BK52" s="38">
        <f>COUNTIFS(DataRegularSeason20242025!$D$2:$D$1315,TotalTeamGames20242025!BK$1,DataRegularSeason20242025!$E$2:$E$1315,TotalTeamGames20242025!$A51,DataRegularSeason20242025!$N$2:$N$1315,1)</f>
        <v>0</v>
      </c>
      <c r="BL52" s="39"/>
      <c r="BM52" s="38">
        <f>COUNTIFS(DataRegularSeason20242025!$D$2:$D$1315,TotalTeamGames20242025!BM$1,DataRegularSeason20242025!$E$2:$E$1315,TotalTeamGames20242025!$A51,DataRegularSeason20242025!$N$2:$N$1315,1)</f>
        <v>0</v>
      </c>
      <c r="BN52" s="39"/>
      <c r="BO52" s="34">
        <f t="shared" si="0"/>
        <v>4</v>
      </c>
      <c r="BP52" s="165"/>
      <c r="BQ52" s="166"/>
    </row>
    <row r="53" spans="1:69" ht="9.9499999999999993" customHeight="1" x14ac:dyDescent="0.25">
      <c r="A53" s="172" t="s">
        <v>40</v>
      </c>
      <c r="B53" s="28" t="s">
        <v>74</v>
      </c>
      <c r="C53" s="35"/>
      <c r="D53" s="28">
        <f>COUNTIFS(DataRegularSeason20242025!$E$2:$E$1315,TotalTeamGames20242025!C$1,DataRegularSeason20242025!$D$2:$D$1315,TotalTeamGames20242025!$A53,DataRegularSeason20242025!$N$2:$N$1315,1)</f>
        <v>0</v>
      </c>
      <c r="E53" s="35"/>
      <c r="F53" s="28">
        <f>COUNTIFS(DataRegularSeason20242025!$E$2:$E$1315,TotalTeamGames20242025!E$1,DataRegularSeason20242025!$D$2:$D$1315,TotalTeamGames20242025!$A53,DataRegularSeason20242025!$N$2:$N$1315,1)</f>
        <v>1</v>
      </c>
      <c r="G53" s="35"/>
      <c r="H53" s="28">
        <f>COUNTIFS(DataRegularSeason20242025!$E$2:$E$1315,TotalTeamGames20242025!G$1,DataRegularSeason20242025!$D$2:$D$1315,TotalTeamGames20242025!$A53,DataRegularSeason20242025!$N$2:$N$1315,1)</f>
        <v>0</v>
      </c>
      <c r="I53" s="35"/>
      <c r="J53" s="28">
        <f>COUNTIFS(DataRegularSeason20242025!$E$2:$E$1315,TotalTeamGames20242025!I$1,DataRegularSeason20242025!$D$2:$D$1315,TotalTeamGames20242025!$A53,DataRegularSeason20242025!$N$2:$N$1315,1)</f>
        <v>0</v>
      </c>
      <c r="K53" s="35"/>
      <c r="L53" s="28">
        <f>COUNTIFS(DataRegularSeason20242025!$E$2:$E$1315,TotalTeamGames20242025!K$1,DataRegularSeason20242025!$D$2:$D$1315,TotalTeamGames20242025!$A53,DataRegularSeason20242025!$N$2:$N$1315,1)</f>
        <v>1</v>
      </c>
      <c r="M53" s="35"/>
      <c r="N53" s="28">
        <f>COUNTIFS(DataRegularSeason20242025!$E$2:$E$1315,TotalTeamGames20242025!M$1,DataRegularSeason20242025!$D$2:$D$1315,TotalTeamGames20242025!$A53,DataRegularSeason20242025!$N$2:$N$1315,1)</f>
        <v>0</v>
      </c>
      <c r="O53" s="35"/>
      <c r="P53" s="28">
        <f>COUNTIFS(DataRegularSeason20242025!$E$2:$E$1315,TotalTeamGames20242025!O$1,DataRegularSeason20242025!$D$2:$D$1315,TotalTeamGames20242025!$A53,DataRegularSeason20242025!$N$2:$N$1315,1)</f>
        <v>0</v>
      </c>
      <c r="Q53" s="35"/>
      <c r="R53" s="28">
        <f>COUNTIFS(DataRegularSeason20242025!$E$2:$E$1315,TotalTeamGames20242025!Q$1,DataRegularSeason20242025!$D$2:$D$1315,TotalTeamGames20242025!$A53,DataRegularSeason20242025!$N$2:$N$1315,1)</f>
        <v>0</v>
      </c>
      <c r="S53" s="35"/>
      <c r="T53" s="28">
        <f>COUNTIFS(DataRegularSeason20242025!$E$2:$E$1315,TotalTeamGames20242025!S$1,DataRegularSeason20242025!$D$2:$D$1315,TotalTeamGames20242025!$A53,DataRegularSeason20242025!$N$2:$N$1315,1)</f>
        <v>0</v>
      </c>
      <c r="U53" s="35"/>
      <c r="V53" s="28">
        <f>COUNTIFS(DataRegularSeason20242025!$E$2:$E$1315,TotalTeamGames20242025!U$1,DataRegularSeason20242025!$D$2:$D$1315,TotalTeamGames20242025!$A53,DataRegularSeason20242025!$N$2:$N$1315,1)</f>
        <v>1</v>
      </c>
      <c r="W53" s="35"/>
      <c r="X53" s="28">
        <f>COUNTIFS(DataRegularSeason20242025!$E$2:$E$1315,TotalTeamGames20242025!W$1,DataRegularSeason20242025!$D$2:$D$1315,TotalTeamGames20242025!$A53,DataRegularSeason20242025!$N$2:$N$1315,1)</f>
        <v>0</v>
      </c>
      <c r="Y53" s="35"/>
      <c r="Z53" s="28">
        <f>COUNTIFS(DataRegularSeason20242025!$E$2:$E$1315,TotalTeamGames20242025!Y$1,DataRegularSeason20242025!$D$2:$D$1315,TotalTeamGames20242025!$A53,DataRegularSeason20242025!$N$2:$N$1315,1)</f>
        <v>0</v>
      </c>
      <c r="AA53" s="35"/>
      <c r="AB53" s="28">
        <f>COUNTIFS(DataRegularSeason20242025!$E$2:$E$1315,TotalTeamGames20242025!AA$1,DataRegularSeason20242025!$D$2:$D$1315,TotalTeamGames20242025!$A53,DataRegularSeason20242025!$N$2:$N$1315,1)</f>
        <v>0</v>
      </c>
      <c r="AC53" s="35"/>
      <c r="AD53" s="28">
        <f>COUNTIFS(DataRegularSeason20242025!$E$2:$E$1315,TotalTeamGames20242025!AC$1,DataRegularSeason20242025!$D$2:$D$1315,TotalTeamGames20242025!$A53,DataRegularSeason20242025!$N$2:$N$1315,1)</f>
        <v>0</v>
      </c>
      <c r="AE53" s="35"/>
      <c r="AF53" s="28">
        <f>COUNTIFS(DataRegularSeason20242025!$E$2:$E$1315,TotalTeamGames20242025!AE$1,DataRegularSeason20242025!$D$2:$D$1315,TotalTeamGames20242025!$A53,DataRegularSeason20242025!$N$2:$N$1315,1)</f>
        <v>0</v>
      </c>
      <c r="AG53" s="35"/>
      <c r="AH53" s="28">
        <f>COUNTIFS(DataRegularSeason20242025!$E$2:$E$1315,TotalTeamGames20242025!AG$1,DataRegularSeason20242025!$D$2:$D$1315,TotalTeamGames20242025!$A53,DataRegularSeason20242025!$N$2:$N$1315,1)</f>
        <v>0</v>
      </c>
      <c r="AI53" s="35"/>
      <c r="AJ53" s="28">
        <f>COUNTIFS(DataRegularSeason20242025!$E$2:$E$1315,TotalTeamGames20242025!AI$1,DataRegularSeason20242025!$D$2:$D$1315,TotalTeamGames20242025!$A53,DataRegularSeason20242025!$N$2:$N$1315,1)</f>
        <v>0</v>
      </c>
      <c r="AK53" s="35"/>
      <c r="AL53" s="28">
        <f>COUNTIFS(DataRegularSeason20242025!$E$2:$E$1315,TotalTeamGames20242025!AK$1,DataRegularSeason20242025!$D$2:$D$1315,TotalTeamGames20242025!$A53,DataRegularSeason20242025!$N$2:$N$1315,1)</f>
        <v>0</v>
      </c>
      <c r="AM53" s="35"/>
      <c r="AN53" s="28">
        <f>COUNTIFS(DataRegularSeason20242025!$E$2:$E$1315,TotalTeamGames20242025!AM$1,DataRegularSeason20242025!$D$2:$D$1315,TotalTeamGames20242025!$A53,DataRegularSeason20242025!$N$2:$N$1315,1)</f>
        <v>0</v>
      </c>
      <c r="AO53" s="35"/>
      <c r="AP53" s="28">
        <f>COUNTIFS(DataRegularSeason20242025!$E$2:$E$1315,TotalTeamGames20242025!AO$1,DataRegularSeason20242025!$D$2:$D$1315,TotalTeamGames20242025!$A53,DataRegularSeason20242025!$N$2:$N$1315,1)</f>
        <v>0</v>
      </c>
      <c r="AQ53" s="35"/>
      <c r="AR53" s="28">
        <f>COUNTIFS(DataRegularSeason20242025!$E$2:$E$1315,TotalTeamGames20242025!AQ$1,DataRegularSeason20242025!$D$2:$D$1315,TotalTeamGames20242025!$A53,DataRegularSeason20242025!$N$2:$N$1315,1)</f>
        <v>0</v>
      </c>
      <c r="AS53" s="35"/>
      <c r="AT53" s="28">
        <f>COUNTIFS(DataRegularSeason20242025!$E$2:$E$1315,TotalTeamGames20242025!AS$1,DataRegularSeason20242025!$D$2:$D$1315,TotalTeamGames20242025!$A53,DataRegularSeason20242025!$N$2:$N$1315,1)</f>
        <v>0</v>
      </c>
      <c r="AU53" s="35"/>
      <c r="AV53" s="28">
        <f>COUNTIFS(DataRegularSeason20242025!$E$2:$E$1315,TotalTeamGames20242025!AU$1,DataRegularSeason20242025!$D$2:$D$1315,TotalTeamGames20242025!$A53,DataRegularSeason20242025!$N$2:$N$1315,1)</f>
        <v>0</v>
      </c>
      <c r="AW53" s="35"/>
      <c r="AX53" s="28">
        <f>COUNTIFS(DataRegularSeason20242025!$E$2:$E$1315,TotalTeamGames20242025!AW$1,DataRegularSeason20242025!$D$2:$D$1315,TotalTeamGames20242025!$A53,DataRegularSeason20242025!$N$2:$N$1315,1)</f>
        <v>0</v>
      </c>
      <c r="AY53" s="35"/>
      <c r="AZ53" s="28">
        <f>COUNTIFS(DataRegularSeason20242025!$E$2:$E$1315,TotalTeamGames20242025!AY$1,DataRegularSeason20242025!$D$2:$D$1315,TotalTeamGames20242025!$A53,DataRegularSeason20242025!$N$2:$N$1315,1)</f>
        <v>0</v>
      </c>
      <c r="BA53" s="35"/>
      <c r="BB53" s="36"/>
      <c r="BC53" s="35"/>
      <c r="BD53" s="28">
        <f>COUNTIFS(DataRegularSeason20242025!$E$2:$E$1315,TotalTeamGames20242025!BC$1,DataRegularSeason20242025!$D$2:$D$1315,TotalTeamGames20242025!$A53,DataRegularSeason20242025!$N$2:$N$1315,1)</f>
        <v>0</v>
      </c>
      <c r="BE53" s="35"/>
      <c r="BF53" s="28">
        <f>COUNTIFS(DataRegularSeason20242025!$E$2:$E$1315,TotalTeamGames20242025!BE$1,DataRegularSeason20242025!$D$2:$D$1315,TotalTeamGames20242025!$A53,DataRegularSeason20242025!$N$2:$N$1315,1)</f>
        <v>0</v>
      </c>
      <c r="BG53" s="35"/>
      <c r="BH53" s="28">
        <f>COUNTIFS(DataRegularSeason20242025!$E$2:$E$1315,TotalTeamGames20242025!BG$1,DataRegularSeason20242025!$D$2:$D$1315,TotalTeamGames20242025!$A53,DataRegularSeason20242025!$N$2:$N$1315,1)</f>
        <v>0</v>
      </c>
      <c r="BI53" s="35"/>
      <c r="BJ53" s="28">
        <f>COUNTIFS(DataRegularSeason20242025!$E$2:$E$1315,TotalTeamGames20242025!BI$1,DataRegularSeason20242025!$D$2:$D$1315,TotalTeamGames20242025!$A53,DataRegularSeason20242025!$N$2:$N$1315,1)</f>
        <v>0</v>
      </c>
      <c r="BK53" s="35"/>
      <c r="BL53" s="28">
        <f>COUNTIFS(DataRegularSeason20242025!$E$2:$E$1315,TotalTeamGames20242025!BK$1,DataRegularSeason20242025!$D$2:$D$1315,TotalTeamGames20242025!$A53,DataRegularSeason20242025!$N$2:$N$1315,1)</f>
        <v>0</v>
      </c>
      <c r="BM53" s="35"/>
      <c r="BN53" s="28">
        <f>COUNTIFS(DataRegularSeason20242025!$E$2:$E$1315,TotalTeamGames20242025!BM$1,DataRegularSeason20242025!$D$2:$D$1315,TotalTeamGames20242025!$A53,DataRegularSeason20242025!$N$2:$N$1315,1)</f>
        <v>1</v>
      </c>
      <c r="BO53" s="30">
        <f t="shared" si="0"/>
        <v>4</v>
      </c>
      <c r="BP53" s="165">
        <f t="shared" ref="BP53" si="49">BO53+BO54</f>
        <v>6</v>
      </c>
      <c r="BQ53" s="166">
        <f t="shared" ref="BQ53" si="50">82-BP53</f>
        <v>76</v>
      </c>
    </row>
    <row r="54" spans="1:69" ht="9.9499999999999993" customHeight="1" x14ac:dyDescent="0.25">
      <c r="A54" s="167"/>
      <c r="B54" s="32" t="s">
        <v>73</v>
      </c>
      <c r="C54" s="38">
        <f>COUNTIFS(DataRegularSeason20242025!$D$2:$D$1315,TotalTeamGames20242025!C$1,DataRegularSeason20242025!$E$2:$E$1315,TotalTeamGames20242025!$A53,DataRegularSeason20242025!$N$2:$N$1315,1)</f>
        <v>0</v>
      </c>
      <c r="D54" s="39"/>
      <c r="E54" s="38">
        <f>COUNTIFS(DataRegularSeason20242025!$D$2:$D$1315,TotalTeamGames20242025!E$1,DataRegularSeason20242025!$E$2:$E$1315,TotalTeamGames20242025!$A53,DataRegularSeason20242025!$N$2:$N$1315,1)</f>
        <v>0</v>
      </c>
      <c r="F54" s="39"/>
      <c r="G54" s="38">
        <f>COUNTIFS(DataRegularSeason20242025!$D$2:$D$1315,TotalTeamGames20242025!G$1,DataRegularSeason20242025!$E$2:$E$1315,TotalTeamGames20242025!$A53,DataRegularSeason20242025!$N$2:$N$1315,1)</f>
        <v>0</v>
      </c>
      <c r="H54" s="39"/>
      <c r="I54" s="38">
        <f>COUNTIFS(DataRegularSeason20242025!$D$2:$D$1315,TotalTeamGames20242025!I$1,DataRegularSeason20242025!$E$2:$E$1315,TotalTeamGames20242025!$A53,DataRegularSeason20242025!$N$2:$N$1315,1)</f>
        <v>0</v>
      </c>
      <c r="J54" s="39"/>
      <c r="K54" s="38">
        <f>COUNTIFS(DataRegularSeason20242025!$D$2:$D$1315,TotalTeamGames20242025!K$1,DataRegularSeason20242025!$E$2:$E$1315,TotalTeamGames20242025!$A53,DataRegularSeason20242025!$N$2:$N$1315,1)</f>
        <v>0</v>
      </c>
      <c r="L54" s="39"/>
      <c r="M54" s="38">
        <f>COUNTIFS(DataRegularSeason20242025!$D$2:$D$1315,TotalTeamGames20242025!M$1,DataRegularSeason20242025!$E$2:$E$1315,TotalTeamGames20242025!$A53,DataRegularSeason20242025!$N$2:$N$1315,1)</f>
        <v>0</v>
      </c>
      <c r="N54" s="39"/>
      <c r="O54" s="38">
        <f>COUNTIFS(DataRegularSeason20242025!$D$2:$D$1315,TotalTeamGames20242025!O$1,DataRegularSeason20242025!$E$2:$E$1315,TotalTeamGames20242025!$A53,DataRegularSeason20242025!$N$2:$N$1315,1)</f>
        <v>0</v>
      </c>
      <c r="P54" s="39"/>
      <c r="Q54" s="38">
        <f>COUNTIFS(DataRegularSeason20242025!$D$2:$D$1315,TotalTeamGames20242025!Q$1,DataRegularSeason20242025!$E$2:$E$1315,TotalTeamGames20242025!$A53,DataRegularSeason20242025!$N$2:$N$1315,1)</f>
        <v>0</v>
      </c>
      <c r="R54" s="39"/>
      <c r="S54" s="38">
        <f>COUNTIFS(DataRegularSeason20242025!$D$2:$D$1315,TotalTeamGames20242025!S$1,DataRegularSeason20242025!$E$2:$E$1315,TotalTeamGames20242025!$A53,DataRegularSeason20242025!$N$2:$N$1315,1)</f>
        <v>0</v>
      </c>
      <c r="T54" s="39"/>
      <c r="U54" s="38">
        <f>COUNTIFS(DataRegularSeason20242025!$D$2:$D$1315,TotalTeamGames20242025!U$1,DataRegularSeason20242025!$E$2:$E$1315,TotalTeamGames20242025!$A53,DataRegularSeason20242025!$N$2:$N$1315,1)</f>
        <v>0</v>
      </c>
      <c r="V54" s="39"/>
      <c r="W54" s="38">
        <f>COUNTIFS(DataRegularSeason20242025!$D$2:$D$1315,TotalTeamGames20242025!W$1,DataRegularSeason20242025!$E$2:$E$1315,TotalTeamGames20242025!$A53,DataRegularSeason20242025!$N$2:$N$1315,1)</f>
        <v>0</v>
      </c>
      <c r="X54" s="39"/>
      <c r="Y54" s="38">
        <f>COUNTIFS(DataRegularSeason20242025!$D$2:$D$1315,TotalTeamGames20242025!Y$1,DataRegularSeason20242025!$E$2:$E$1315,TotalTeamGames20242025!$A53,DataRegularSeason20242025!$N$2:$N$1315,1)</f>
        <v>0</v>
      </c>
      <c r="Z54" s="39"/>
      <c r="AA54" s="38">
        <f>COUNTIFS(DataRegularSeason20242025!$D$2:$D$1315,TotalTeamGames20242025!AA$1,DataRegularSeason20242025!$E$2:$E$1315,TotalTeamGames20242025!$A53,DataRegularSeason20242025!$N$2:$N$1315,1)</f>
        <v>0</v>
      </c>
      <c r="AB54" s="39"/>
      <c r="AC54" s="38">
        <f>COUNTIFS(DataRegularSeason20242025!$D$2:$D$1315,TotalTeamGames20242025!AC$1,DataRegularSeason20242025!$E$2:$E$1315,TotalTeamGames20242025!$A53,DataRegularSeason20242025!$N$2:$N$1315,1)</f>
        <v>0</v>
      </c>
      <c r="AD54" s="39"/>
      <c r="AE54" s="38">
        <f>COUNTIFS(DataRegularSeason20242025!$D$2:$D$1315,TotalTeamGames20242025!AE$1,DataRegularSeason20242025!$E$2:$E$1315,TotalTeamGames20242025!$A53,DataRegularSeason20242025!$N$2:$N$1315,1)</f>
        <v>0</v>
      </c>
      <c r="AF54" s="39"/>
      <c r="AG54" s="38">
        <f>COUNTIFS(DataRegularSeason20242025!$D$2:$D$1315,TotalTeamGames20242025!AG$1,DataRegularSeason20242025!$E$2:$E$1315,TotalTeamGames20242025!$A53,DataRegularSeason20242025!$N$2:$N$1315,1)</f>
        <v>1</v>
      </c>
      <c r="AH54" s="39"/>
      <c r="AI54" s="38">
        <f>COUNTIFS(DataRegularSeason20242025!$D$2:$D$1315,TotalTeamGames20242025!AI$1,DataRegularSeason20242025!$E$2:$E$1315,TotalTeamGames20242025!$A53,DataRegularSeason20242025!$N$2:$N$1315,1)</f>
        <v>0</v>
      </c>
      <c r="AJ54" s="39"/>
      <c r="AK54" s="38">
        <f>COUNTIFS(DataRegularSeason20242025!$D$2:$D$1315,TotalTeamGames20242025!AK$1,DataRegularSeason20242025!$E$2:$E$1315,TotalTeamGames20242025!$A53,DataRegularSeason20242025!$N$2:$N$1315,1)</f>
        <v>0</v>
      </c>
      <c r="AL54" s="39"/>
      <c r="AM54" s="38">
        <f>COUNTIFS(DataRegularSeason20242025!$D$2:$D$1315,TotalTeamGames20242025!AM$1,DataRegularSeason20242025!$E$2:$E$1315,TotalTeamGames20242025!$A53,DataRegularSeason20242025!$N$2:$N$1315,1)</f>
        <v>0</v>
      </c>
      <c r="AN54" s="39"/>
      <c r="AO54" s="38">
        <f>COUNTIFS(DataRegularSeason20242025!$D$2:$D$1315,TotalTeamGames20242025!AO$1,DataRegularSeason20242025!$E$2:$E$1315,TotalTeamGames20242025!$A53,DataRegularSeason20242025!$N$2:$N$1315,1)</f>
        <v>1</v>
      </c>
      <c r="AP54" s="39"/>
      <c r="AQ54" s="38">
        <f>COUNTIFS(DataRegularSeason20242025!$D$2:$D$1315,TotalTeamGames20242025!AQ$1,DataRegularSeason20242025!$E$2:$E$1315,TotalTeamGames20242025!$A53,DataRegularSeason20242025!$N$2:$N$1315,1)</f>
        <v>0</v>
      </c>
      <c r="AR54" s="39"/>
      <c r="AS54" s="38">
        <f>COUNTIFS(DataRegularSeason20242025!$D$2:$D$1315,TotalTeamGames20242025!AS$1,DataRegularSeason20242025!$E$2:$E$1315,TotalTeamGames20242025!$A53,DataRegularSeason20242025!$N$2:$N$1315,1)</f>
        <v>0</v>
      </c>
      <c r="AT54" s="39"/>
      <c r="AU54" s="38">
        <f>COUNTIFS(DataRegularSeason20242025!$D$2:$D$1315,TotalTeamGames20242025!AU$1,DataRegularSeason20242025!$E$2:$E$1315,TotalTeamGames20242025!$A53,DataRegularSeason20242025!$N$2:$N$1315,1)</f>
        <v>0</v>
      </c>
      <c r="AV54" s="39"/>
      <c r="AW54" s="38">
        <f>COUNTIFS(DataRegularSeason20242025!$D$2:$D$1315,TotalTeamGames20242025!AW$1,DataRegularSeason20242025!$E$2:$E$1315,TotalTeamGames20242025!$A53,DataRegularSeason20242025!$N$2:$N$1315,1)</f>
        <v>0</v>
      </c>
      <c r="AX54" s="39"/>
      <c r="AY54" s="38">
        <f>COUNTIFS(DataRegularSeason20242025!$D$2:$D$1315,TotalTeamGames20242025!AY$1,DataRegularSeason20242025!$E$2:$E$1315,TotalTeamGames20242025!$A53,DataRegularSeason20242025!$N$2:$N$1315,1)</f>
        <v>0</v>
      </c>
      <c r="AZ54" s="39"/>
      <c r="BA54" s="38"/>
      <c r="BB54" s="39"/>
      <c r="BC54" s="38">
        <f>COUNTIFS(DataRegularSeason20242025!$D$2:$D$1315,TotalTeamGames20242025!BC$1,DataRegularSeason20242025!$E$2:$E$1315,TotalTeamGames20242025!$A53,DataRegularSeason20242025!$N$2:$N$1315,1)</f>
        <v>0</v>
      </c>
      <c r="BD54" s="39"/>
      <c r="BE54" s="38">
        <f>COUNTIFS(DataRegularSeason20242025!$D$2:$D$1315,TotalTeamGames20242025!BE$1,DataRegularSeason20242025!$E$2:$E$1315,TotalTeamGames20242025!$A53,DataRegularSeason20242025!$N$2:$N$1315,1)</f>
        <v>0</v>
      </c>
      <c r="BF54" s="39"/>
      <c r="BG54" s="38">
        <f>COUNTIFS(DataRegularSeason20242025!$D$2:$D$1315,TotalTeamGames20242025!BG$1,DataRegularSeason20242025!$E$2:$E$1315,TotalTeamGames20242025!$A53,DataRegularSeason20242025!$N$2:$N$1315,1)</f>
        <v>0</v>
      </c>
      <c r="BH54" s="39"/>
      <c r="BI54" s="38">
        <f>COUNTIFS(DataRegularSeason20242025!$D$2:$D$1315,TotalTeamGames20242025!BI$1,DataRegularSeason20242025!$E$2:$E$1315,TotalTeamGames20242025!$A53,DataRegularSeason20242025!$N$2:$N$1315,1)</f>
        <v>0</v>
      </c>
      <c r="BJ54" s="39"/>
      <c r="BK54" s="38">
        <f>COUNTIFS(DataRegularSeason20242025!$D$2:$D$1315,TotalTeamGames20242025!BK$1,DataRegularSeason20242025!$E$2:$E$1315,TotalTeamGames20242025!$A53,DataRegularSeason20242025!$N$2:$N$1315,1)</f>
        <v>0</v>
      </c>
      <c r="BL54" s="39"/>
      <c r="BM54" s="38">
        <f>COUNTIFS(DataRegularSeason20242025!$D$2:$D$1315,TotalTeamGames20242025!BM$1,DataRegularSeason20242025!$E$2:$E$1315,TotalTeamGames20242025!$A53,DataRegularSeason20242025!$N$2:$N$1315,1)</f>
        <v>0</v>
      </c>
      <c r="BN54" s="39"/>
      <c r="BO54" s="34">
        <f t="shared" si="0"/>
        <v>2</v>
      </c>
      <c r="BP54" s="165"/>
      <c r="BQ54" s="166"/>
    </row>
    <row r="55" spans="1:69" ht="9.9499999999999993" customHeight="1" x14ac:dyDescent="0.25">
      <c r="A55" s="172" t="s">
        <v>17</v>
      </c>
      <c r="B55" s="28" t="s">
        <v>74</v>
      </c>
      <c r="C55" s="35"/>
      <c r="D55" s="28">
        <f>COUNTIFS(DataRegularSeason20242025!$E$2:$E$1315,TotalTeamGames20242025!C$1,DataRegularSeason20242025!$D$2:$D$1315,TotalTeamGames20242025!$A55,DataRegularSeason20242025!$N$2:$N$1315,1)</f>
        <v>0</v>
      </c>
      <c r="E55" s="35"/>
      <c r="F55" s="28">
        <f>COUNTIFS(DataRegularSeason20242025!$E$2:$E$1315,TotalTeamGames20242025!E$1,DataRegularSeason20242025!$D$2:$D$1315,TotalTeamGames20242025!$A55,DataRegularSeason20242025!$N$2:$N$1315,1)</f>
        <v>0</v>
      </c>
      <c r="G55" s="35"/>
      <c r="H55" s="28">
        <f>COUNTIFS(DataRegularSeason20242025!$E$2:$E$1315,TotalTeamGames20242025!G$1,DataRegularSeason20242025!$D$2:$D$1315,TotalTeamGames20242025!$A55,DataRegularSeason20242025!$N$2:$N$1315,1)</f>
        <v>0</v>
      </c>
      <c r="I55" s="35"/>
      <c r="J55" s="28">
        <f>COUNTIFS(DataRegularSeason20242025!$E$2:$E$1315,TotalTeamGames20242025!I$1,DataRegularSeason20242025!$D$2:$D$1315,TotalTeamGames20242025!$A55,DataRegularSeason20242025!$N$2:$N$1315,1)</f>
        <v>0</v>
      </c>
      <c r="K55" s="35"/>
      <c r="L55" s="28">
        <f>COUNTIFS(DataRegularSeason20242025!$E$2:$E$1315,TotalTeamGames20242025!K$1,DataRegularSeason20242025!$D$2:$D$1315,TotalTeamGames20242025!$A55,DataRegularSeason20242025!$N$2:$N$1315,1)</f>
        <v>0</v>
      </c>
      <c r="M55" s="35"/>
      <c r="N55" s="28">
        <f>COUNTIFS(DataRegularSeason20242025!$E$2:$E$1315,TotalTeamGames20242025!M$1,DataRegularSeason20242025!$D$2:$D$1315,TotalTeamGames20242025!$A55,DataRegularSeason20242025!$N$2:$N$1315,1)</f>
        <v>0</v>
      </c>
      <c r="O55" s="35"/>
      <c r="P55" s="28">
        <f>COUNTIFS(DataRegularSeason20242025!$E$2:$E$1315,TotalTeamGames20242025!O$1,DataRegularSeason20242025!$D$2:$D$1315,TotalTeamGames20242025!$A55,DataRegularSeason20242025!$N$2:$N$1315,1)</f>
        <v>0</v>
      </c>
      <c r="Q55" s="35"/>
      <c r="R55" s="28">
        <f>COUNTIFS(DataRegularSeason20242025!$E$2:$E$1315,TotalTeamGames20242025!Q$1,DataRegularSeason20242025!$D$2:$D$1315,TotalTeamGames20242025!$A55,DataRegularSeason20242025!$N$2:$N$1315,1)</f>
        <v>0</v>
      </c>
      <c r="S55" s="35"/>
      <c r="T55" s="28">
        <f>COUNTIFS(DataRegularSeason20242025!$E$2:$E$1315,TotalTeamGames20242025!S$1,DataRegularSeason20242025!$D$2:$D$1315,TotalTeamGames20242025!$A55,DataRegularSeason20242025!$N$2:$N$1315,1)</f>
        <v>0</v>
      </c>
      <c r="U55" s="35"/>
      <c r="V55" s="28">
        <f>COUNTIFS(DataRegularSeason20242025!$E$2:$E$1315,TotalTeamGames20242025!U$1,DataRegularSeason20242025!$D$2:$D$1315,TotalTeamGames20242025!$A55,DataRegularSeason20242025!$N$2:$N$1315,1)</f>
        <v>1</v>
      </c>
      <c r="W55" s="35"/>
      <c r="X55" s="28">
        <f>COUNTIFS(DataRegularSeason20242025!$E$2:$E$1315,TotalTeamGames20242025!W$1,DataRegularSeason20242025!$D$2:$D$1315,TotalTeamGames20242025!$A55,DataRegularSeason20242025!$N$2:$N$1315,1)</f>
        <v>0</v>
      </c>
      <c r="Y55" s="35"/>
      <c r="Z55" s="28">
        <f>COUNTIFS(DataRegularSeason20242025!$E$2:$E$1315,TotalTeamGames20242025!Y$1,DataRegularSeason20242025!$D$2:$D$1315,TotalTeamGames20242025!$A55,DataRegularSeason20242025!$N$2:$N$1315,1)</f>
        <v>0</v>
      </c>
      <c r="AA55" s="35"/>
      <c r="AB55" s="28">
        <f>COUNTIFS(DataRegularSeason20242025!$E$2:$E$1315,TotalTeamGames20242025!AA$1,DataRegularSeason20242025!$D$2:$D$1315,TotalTeamGames20242025!$A55,DataRegularSeason20242025!$N$2:$N$1315,1)</f>
        <v>0</v>
      </c>
      <c r="AC55" s="35"/>
      <c r="AD55" s="28">
        <f>COUNTIFS(DataRegularSeason20242025!$E$2:$E$1315,TotalTeamGames20242025!AC$1,DataRegularSeason20242025!$D$2:$D$1315,TotalTeamGames20242025!$A55,DataRegularSeason20242025!$N$2:$N$1315,1)</f>
        <v>0</v>
      </c>
      <c r="AE55" s="35"/>
      <c r="AF55" s="28">
        <f>COUNTIFS(DataRegularSeason20242025!$E$2:$E$1315,TotalTeamGames20242025!AE$1,DataRegularSeason20242025!$D$2:$D$1315,TotalTeamGames20242025!$A55,DataRegularSeason20242025!$N$2:$N$1315,1)</f>
        <v>0</v>
      </c>
      <c r="AG55" s="35"/>
      <c r="AH55" s="28">
        <f>COUNTIFS(DataRegularSeason20242025!$E$2:$E$1315,TotalTeamGames20242025!AG$1,DataRegularSeason20242025!$D$2:$D$1315,TotalTeamGames20242025!$A55,DataRegularSeason20242025!$N$2:$N$1315,1)</f>
        <v>0</v>
      </c>
      <c r="AI55" s="35"/>
      <c r="AJ55" s="28">
        <f>COUNTIFS(DataRegularSeason20242025!$E$2:$E$1315,TotalTeamGames20242025!AI$1,DataRegularSeason20242025!$D$2:$D$1315,TotalTeamGames20242025!$A55,DataRegularSeason20242025!$N$2:$N$1315,1)</f>
        <v>0</v>
      </c>
      <c r="AK55" s="35"/>
      <c r="AL55" s="28">
        <f>COUNTIFS(DataRegularSeason20242025!$E$2:$E$1315,TotalTeamGames20242025!AK$1,DataRegularSeason20242025!$D$2:$D$1315,TotalTeamGames20242025!$A55,DataRegularSeason20242025!$N$2:$N$1315,1)</f>
        <v>0</v>
      </c>
      <c r="AM55" s="35"/>
      <c r="AN55" s="28">
        <f>COUNTIFS(DataRegularSeason20242025!$E$2:$E$1315,TotalTeamGames20242025!AM$1,DataRegularSeason20242025!$D$2:$D$1315,TotalTeamGames20242025!$A55,DataRegularSeason20242025!$N$2:$N$1315,1)</f>
        <v>0</v>
      </c>
      <c r="AO55" s="35"/>
      <c r="AP55" s="28">
        <f>COUNTIFS(DataRegularSeason20242025!$E$2:$E$1315,TotalTeamGames20242025!AO$1,DataRegularSeason20242025!$D$2:$D$1315,TotalTeamGames20242025!$A55,DataRegularSeason20242025!$N$2:$N$1315,1)</f>
        <v>0</v>
      </c>
      <c r="AQ55" s="35"/>
      <c r="AR55" s="28">
        <f>COUNTIFS(DataRegularSeason20242025!$E$2:$E$1315,TotalTeamGames20242025!AQ$1,DataRegularSeason20242025!$D$2:$D$1315,TotalTeamGames20242025!$A55,DataRegularSeason20242025!$N$2:$N$1315,1)</f>
        <v>0</v>
      </c>
      <c r="AS55" s="35"/>
      <c r="AT55" s="28">
        <f>COUNTIFS(DataRegularSeason20242025!$E$2:$E$1315,TotalTeamGames20242025!AS$1,DataRegularSeason20242025!$D$2:$D$1315,TotalTeamGames20242025!$A55,DataRegularSeason20242025!$N$2:$N$1315,1)</f>
        <v>0</v>
      </c>
      <c r="AU55" s="35"/>
      <c r="AV55" s="28">
        <f>COUNTIFS(DataRegularSeason20242025!$E$2:$E$1315,TotalTeamGames20242025!AU$1,DataRegularSeason20242025!$D$2:$D$1315,TotalTeamGames20242025!$A55,DataRegularSeason20242025!$N$2:$N$1315,1)</f>
        <v>0</v>
      </c>
      <c r="AW55" s="35"/>
      <c r="AX55" s="28">
        <f>COUNTIFS(DataRegularSeason20242025!$E$2:$E$1315,TotalTeamGames20242025!AW$1,DataRegularSeason20242025!$D$2:$D$1315,TotalTeamGames20242025!$A55,DataRegularSeason20242025!$N$2:$N$1315,1)</f>
        <v>0</v>
      </c>
      <c r="AY55" s="35"/>
      <c r="AZ55" s="28">
        <f>COUNTIFS(DataRegularSeason20242025!$E$2:$E$1315,TotalTeamGames20242025!AY$1,DataRegularSeason20242025!$D$2:$D$1315,TotalTeamGames20242025!$A55,DataRegularSeason20242025!$N$2:$N$1315,1)</f>
        <v>0</v>
      </c>
      <c r="BA55" s="35"/>
      <c r="BB55" s="28">
        <f>COUNTIFS(DataRegularSeason20242025!$E$2:$E$1315,TotalTeamGames20242025!BA$1,DataRegularSeason20242025!$D$2:$D$1315,TotalTeamGames20242025!$A55,DataRegularSeason20242025!$N$2:$N$1315,1)</f>
        <v>0</v>
      </c>
      <c r="BC55" s="35"/>
      <c r="BD55" s="36"/>
      <c r="BE55" s="35"/>
      <c r="BF55" s="28">
        <f>COUNTIFS(DataRegularSeason20242025!$E$2:$E$1315,TotalTeamGames20242025!BE$1,DataRegularSeason20242025!$D$2:$D$1315,TotalTeamGames20242025!$A55,DataRegularSeason20242025!$N$2:$N$1315,1)</f>
        <v>0</v>
      </c>
      <c r="BG55" s="35"/>
      <c r="BH55" s="28">
        <f>COUNTIFS(DataRegularSeason20242025!$E$2:$E$1315,TotalTeamGames20242025!BG$1,DataRegularSeason20242025!$D$2:$D$1315,TotalTeamGames20242025!$A55,DataRegularSeason20242025!$N$2:$N$1315,1)</f>
        <v>0</v>
      </c>
      <c r="BI55" s="35"/>
      <c r="BJ55" s="28">
        <f>COUNTIFS(DataRegularSeason20242025!$E$2:$E$1315,TotalTeamGames20242025!BI$1,DataRegularSeason20242025!$D$2:$D$1315,TotalTeamGames20242025!$A55,DataRegularSeason20242025!$N$2:$N$1315,1)</f>
        <v>0</v>
      </c>
      <c r="BK55" s="35"/>
      <c r="BL55" s="28">
        <f>COUNTIFS(DataRegularSeason20242025!$E$2:$E$1315,TotalTeamGames20242025!BK$1,DataRegularSeason20242025!$D$2:$D$1315,TotalTeamGames20242025!$A55,DataRegularSeason20242025!$N$2:$N$1315,1)</f>
        <v>0</v>
      </c>
      <c r="BM55" s="35"/>
      <c r="BN55" s="28">
        <f>COUNTIFS(DataRegularSeason20242025!$E$2:$E$1315,TotalTeamGames20242025!BM$1,DataRegularSeason20242025!$D$2:$D$1315,TotalTeamGames20242025!$A55,DataRegularSeason20242025!$N$2:$N$1315,1)</f>
        <v>0</v>
      </c>
      <c r="BO55" s="30">
        <f t="shared" si="0"/>
        <v>1</v>
      </c>
      <c r="BP55" s="165">
        <f t="shared" ref="BP55" si="51">BO55+BO56</f>
        <v>7</v>
      </c>
      <c r="BQ55" s="166">
        <f t="shared" ref="BQ55" si="52">82-BP55</f>
        <v>75</v>
      </c>
    </row>
    <row r="56" spans="1:69" ht="9.9499999999999993" customHeight="1" x14ac:dyDescent="0.25">
      <c r="A56" s="167"/>
      <c r="B56" s="32" t="s">
        <v>73</v>
      </c>
      <c r="C56" s="38">
        <f>COUNTIFS(DataRegularSeason20242025!$D$2:$D$1315,TotalTeamGames20242025!C$1,DataRegularSeason20242025!$E$2:$E$1315,TotalTeamGames20242025!$A55,DataRegularSeason20242025!$N$2:$N$1315,1)</f>
        <v>0</v>
      </c>
      <c r="D56" s="39"/>
      <c r="E56" s="38">
        <f>COUNTIFS(DataRegularSeason20242025!$D$2:$D$1315,TotalTeamGames20242025!E$1,DataRegularSeason20242025!$E$2:$E$1315,TotalTeamGames20242025!$A55,DataRegularSeason20242025!$N$2:$N$1315,1)</f>
        <v>0</v>
      </c>
      <c r="F56" s="39"/>
      <c r="G56" s="38">
        <f>COUNTIFS(DataRegularSeason20242025!$D$2:$D$1315,TotalTeamGames20242025!G$1,DataRegularSeason20242025!$E$2:$E$1315,TotalTeamGames20242025!$A55,DataRegularSeason20242025!$N$2:$N$1315,1)</f>
        <v>0</v>
      </c>
      <c r="H56" s="39"/>
      <c r="I56" s="38">
        <f>COUNTIFS(DataRegularSeason20242025!$D$2:$D$1315,TotalTeamGames20242025!I$1,DataRegularSeason20242025!$E$2:$E$1315,TotalTeamGames20242025!$A55,DataRegularSeason20242025!$N$2:$N$1315,1)</f>
        <v>0</v>
      </c>
      <c r="J56" s="39"/>
      <c r="K56" s="38">
        <f>COUNTIFS(DataRegularSeason20242025!$D$2:$D$1315,TotalTeamGames20242025!K$1,DataRegularSeason20242025!$E$2:$E$1315,TotalTeamGames20242025!$A55,DataRegularSeason20242025!$N$2:$N$1315,1)</f>
        <v>0</v>
      </c>
      <c r="L56" s="39"/>
      <c r="M56" s="38">
        <f>COUNTIFS(DataRegularSeason20242025!$D$2:$D$1315,TotalTeamGames20242025!M$1,DataRegularSeason20242025!$E$2:$E$1315,TotalTeamGames20242025!$A55,DataRegularSeason20242025!$N$2:$N$1315,1)</f>
        <v>0</v>
      </c>
      <c r="N56" s="39"/>
      <c r="O56" s="38">
        <f>COUNTIFS(DataRegularSeason20242025!$D$2:$D$1315,TotalTeamGames20242025!O$1,DataRegularSeason20242025!$E$2:$E$1315,TotalTeamGames20242025!$A55,DataRegularSeason20242025!$N$2:$N$1315,1)</f>
        <v>0</v>
      </c>
      <c r="P56" s="39"/>
      <c r="Q56" s="38">
        <f>COUNTIFS(DataRegularSeason20242025!$D$2:$D$1315,TotalTeamGames20242025!Q$1,DataRegularSeason20242025!$E$2:$E$1315,TotalTeamGames20242025!$A55,DataRegularSeason20242025!$N$2:$N$1315,1)</f>
        <v>0</v>
      </c>
      <c r="R56" s="39"/>
      <c r="S56" s="38">
        <f>COUNTIFS(DataRegularSeason20242025!$D$2:$D$1315,TotalTeamGames20242025!S$1,DataRegularSeason20242025!$E$2:$E$1315,TotalTeamGames20242025!$A55,DataRegularSeason20242025!$N$2:$N$1315,1)</f>
        <v>0</v>
      </c>
      <c r="T56" s="39"/>
      <c r="U56" s="38">
        <f>COUNTIFS(DataRegularSeason20242025!$D$2:$D$1315,TotalTeamGames20242025!U$1,DataRegularSeason20242025!$E$2:$E$1315,TotalTeamGames20242025!$A55,DataRegularSeason20242025!$N$2:$N$1315,1)</f>
        <v>1</v>
      </c>
      <c r="V56" s="39"/>
      <c r="W56" s="38">
        <f>COUNTIFS(DataRegularSeason20242025!$D$2:$D$1315,TotalTeamGames20242025!W$1,DataRegularSeason20242025!$E$2:$E$1315,TotalTeamGames20242025!$A55,DataRegularSeason20242025!$N$2:$N$1315,1)</f>
        <v>0</v>
      </c>
      <c r="X56" s="39"/>
      <c r="Y56" s="38">
        <f>COUNTIFS(DataRegularSeason20242025!$D$2:$D$1315,TotalTeamGames20242025!Y$1,DataRegularSeason20242025!$E$2:$E$1315,TotalTeamGames20242025!$A55,DataRegularSeason20242025!$N$2:$N$1315,1)</f>
        <v>0</v>
      </c>
      <c r="Z56" s="39"/>
      <c r="AA56" s="38">
        <f>COUNTIFS(DataRegularSeason20242025!$D$2:$D$1315,TotalTeamGames20242025!AA$1,DataRegularSeason20242025!$E$2:$E$1315,TotalTeamGames20242025!$A55,DataRegularSeason20242025!$N$2:$N$1315,1)</f>
        <v>0</v>
      </c>
      <c r="AB56" s="39"/>
      <c r="AC56" s="38">
        <f>COUNTIFS(DataRegularSeason20242025!$D$2:$D$1315,TotalTeamGames20242025!AC$1,DataRegularSeason20242025!$E$2:$E$1315,TotalTeamGames20242025!$A55,DataRegularSeason20242025!$N$2:$N$1315,1)</f>
        <v>0</v>
      </c>
      <c r="AD56" s="39"/>
      <c r="AE56" s="38">
        <f>COUNTIFS(DataRegularSeason20242025!$D$2:$D$1315,TotalTeamGames20242025!AE$1,DataRegularSeason20242025!$E$2:$E$1315,TotalTeamGames20242025!$A55,DataRegularSeason20242025!$N$2:$N$1315,1)</f>
        <v>1</v>
      </c>
      <c r="AF56" s="39"/>
      <c r="AG56" s="38">
        <f>COUNTIFS(DataRegularSeason20242025!$D$2:$D$1315,TotalTeamGames20242025!AG$1,DataRegularSeason20242025!$E$2:$E$1315,TotalTeamGames20242025!$A55,DataRegularSeason20242025!$N$2:$N$1315,1)</f>
        <v>1</v>
      </c>
      <c r="AH56" s="39"/>
      <c r="AI56" s="38">
        <f>COUNTIFS(DataRegularSeason20242025!$D$2:$D$1315,TotalTeamGames20242025!AI$1,DataRegularSeason20242025!$E$2:$E$1315,TotalTeamGames20242025!$A55,DataRegularSeason20242025!$N$2:$N$1315,1)</f>
        <v>1</v>
      </c>
      <c r="AJ56" s="39"/>
      <c r="AK56" s="38">
        <f>COUNTIFS(DataRegularSeason20242025!$D$2:$D$1315,TotalTeamGames20242025!AK$1,DataRegularSeason20242025!$E$2:$E$1315,TotalTeamGames20242025!$A55,DataRegularSeason20242025!$N$2:$N$1315,1)</f>
        <v>0</v>
      </c>
      <c r="AL56" s="39"/>
      <c r="AM56" s="38">
        <f>COUNTIFS(DataRegularSeason20242025!$D$2:$D$1315,TotalTeamGames20242025!AM$1,DataRegularSeason20242025!$E$2:$E$1315,TotalTeamGames20242025!$A55,DataRegularSeason20242025!$N$2:$N$1315,1)</f>
        <v>1</v>
      </c>
      <c r="AN56" s="39"/>
      <c r="AO56" s="38">
        <f>COUNTIFS(DataRegularSeason20242025!$D$2:$D$1315,TotalTeamGames20242025!AO$1,DataRegularSeason20242025!$E$2:$E$1315,TotalTeamGames20242025!$A55,DataRegularSeason20242025!$N$2:$N$1315,1)</f>
        <v>0</v>
      </c>
      <c r="AP56" s="39"/>
      <c r="AQ56" s="38">
        <f>COUNTIFS(DataRegularSeason20242025!$D$2:$D$1315,TotalTeamGames20242025!AQ$1,DataRegularSeason20242025!$E$2:$E$1315,TotalTeamGames20242025!$A55,DataRegularSeason20242025!$N$2:$N$1315,1)</f>
        <v>0</v>
      </c>
      <c r="AR56" s="39"/>
      <c r="AS56" s="38">
        <f>COUNTIFS(DataRegularSeason20242025!$D$2:$D$1315,TotalTeamGames20242025!AS$1,DataRegularSeason20242025!$E$2:$E$1315,TotalTeamGames20242025!$A55,DataRegularSeason20242025!$N$2:$N$1315,1)</f>
        <v>0</v>
      </c>
      <c r="AT56" s="39"/>
      <c r="AU56" s="38">
        <f>COUNTIFS(DataRegularSeason20242025!$D$2:$D$1315,TotalTeamGames20242025!AU$1,DataRegularSeason20242025!$E$2:$E$1315,TotalTeamGames20242025!$A55,DataRegularSeason20242025!$N$2:$N$1315,1)</f>
        <v>1</v>
      </c>
      <c r="AV56" s="39"/>
      <c r="AW56" s="38">
        <f>COUNTIFS(DataRegularSeason20242025!$D$2:$D$1315,TotalTeamGames20242025!AW$1,DataRegularSeason20242025!$E$2:$E$1315,TotalTeamGames20242025!$A55,DataRegularSeason20242025!$N$2:$N$1315,1)</f>
        <v>0</v>
      </c>
      <c r="AX56" s="39"/>
      <c r="AY56" s="38">
        <f>COUNTIFS(DataRegularSeason20242025!$D$2:$D$1315,TotalTeamGames20242025!AY$1,DataRegularSeason20242025!$E$2:$E$1315,TotalTeamGames20242025!$A55,DataRegularSeason20242025!$N$2:$N$1315,1)</f>
        <v>0</v>
      </c>
      <c r="AZ56" s="39"/>
      <c r="BA56" s="38">
        <f>COUNTIFS(DataRegularSeason20242025!$D$2:$D$1315,TotalTeamGames20242025!BA$1,DataRegularSeason20242025!$E$2:$E$1315,TotalTeamGames20242025!$A55,DataRegularSeason20242025!$N$2:$N$1315,1)</f>
        <v>0</v>
      </c>
      <c r="BB56" s="39"/>
      <c r="BC56" s="38"/>
      <c r="BD56" s="39"/>
      <c r="BE56" s="38">
        <f>COUNTIFS(DataRegularSeason20242025!$D$2:$D$1315,TotalTeamGames20242025!BE$1,DataRegularSeason20242025!$E$2:$E$1315,TotalTeamGames20242025!$A55,DataRegularSeason20242025!$N$2:$N$1315,1)</f>
        <v>0</v>
      </c>
      <c r="BF56" s="39"/>
      <c r="BG56" s="38">
        <f>COUNTIFS(DataRegularSeason20242025!$D$2:$D$1315,TotalTeamGames20242025!BG$1,DataRegularSeason20242025!$E$2:$E$1315,TotalTeamGames20242025!$A55,DataRegularSeason20242025!$N$2:$N$1315,1)</f>
        <v>0</v>
      </c>
      <c r="BH56" s="39"/>
      <c r="BI56" s="38">
        <f>COUNTIFS(DataRegularSeason20242025!$D$2:$D$1315,TotalTeamGames20242025!BI$1,DataRegularSeason20242025!$E$2:$E$1315,TotalTeamGames20242025!$A55,DataRegularSeason20242025!$N$2:$N$1315,1)</f>
        <v>0</v>
      </c>
      <c r="BJ56" s="39"/>
      <c r="BK56" s="38">
        <f>COUNTIFS(DataRegularSeason20242025!$D$2:$D$1315,TotalTeamGames20242025!BK$1,DataRegularSeason20242025!$E$2:$E$1315,TotalTeamGames20242025!$A55,DataRegularSeason20242025!$N$2:$N$1315,1)</f>
        <v>0</v>
      </c>
      <c r="BL56" s="39"/>
      <c r="BM56" s="38">
        <f>COUNTIFS(DataRegularSeason20242025!$D$2:$D$1315,TotalTeamGames20242025!BM$1,DataRegularSeason20242025!$E$2:$E$1315,TotalTeamGames20242025!$A55,DataRegularSeason20242025!$N$2:$N$1315,1)</f>
        <v>0</v>
      </c>
      <c r="BN56" s="39"/>
      <c r="BO56" s="34">
        <f t="shared" si="0"/>
        <v>6</v>
      </c>
      <c r="BP56" s="165"/>
      <c r="BQ56" s="166"/>
    </row>
    <row r="57" spans="1:69" ht="9.9499999999999993" customHeight="1" x14ac:dyDescent="0.25">
      <c r="A57" s="172" t="s">
        <v>14</v>
      </c>
      <c r="B57" s="28" t="s">
        <v>74</v>
      </c>
      <c r="C57" s="35"/>
      <c r="D57" s="28">
        <f>COUNTIFS(DataRegularSeason20242025!$E$2:$E$1315,TotalTeamGames20242025!C$1,DataRegularSeason20242025!$D$2:$D$1315,TotalTeamGames20242025!$A57,DataRegularSeason20242025!$N$2:$N$1315,1)</f>
        <v>0</v>
      </c>
      <c r="E57" s="35"/>
      <c r="F57" s="28">
        <f>COUNTIFS(DataRegularSeason20242025!$E$2:$E$1315,TotalTeamGames20242025!E$1,DataRegularSeason20242025!$D$2:$D$1315,TotalTeamGames20242025!$A57,DataRegularSeason20242025!$N$2:$N$1315,1)</f>
        <v>0</v>
      </c>
      <c r="G57" s="35"/>
      <c r="H57" s="28">
        <f>COUNTIFS(DataRegularSeason20242025!$E$2:$E$1315,TotalTeamGames20242025!G$1,DataRegularSeason20242025!$D$2:$D$1315,TotalTeamGames20242025!$A57,DataRegularSeason20242025!$N$2:$N$1315,1)</f>
        <v>0</v>
      </c>
      <c r="I57" s="35"/>
      <c r="J57" s="28">
        <f>COUNTIFS(DataRegularSeason20242025!$E$2:$E$1315,TotalTeamGames20242025!I$1,DataRegularSeason20242025!$D$2:$D$1315,TotalTeamGames20242025!$A57,DataRegularSeason20242025!$N$2:$N$1315,1)</f>
        <v>0</v>
      </c>
      <c r="K57" s="35"/>
      <c r="L57" s="28">
        <f>COUNTIFS(DataRegularSeason20242025!$E$2:$E$1315,TotalTeamGames20242025!K$1,DataRegularSeason20242025!$D$2:$D$1315,TotalTeamGames20242025!$A57,DataRegularSeason20242025!$N$2:$N$1315,1)</f>
        <v>0</v>
      </c>
      <c r="M57" s="35"/>
      <c r="N57" s="28">
        <f>COUNTIFS(DataRegularSeason20242025!$E$2:$E$1315,TotalTeamGames20242025!M$1,DataRegularSeason20242025!$D$2:$D$1315,TotalTeamGames20242025!$A57,DataRegularSeason20242025!$N$2:$N$1315,1)</f>
        <v>0</v>
      </c>
      <c r="O57" s="35"/>
      <c r="P57" s="28">
        <f>COUNTIFS(DataRegularSeason20242025!$E$2:$E$1315,TotalTeamGames20242025!O$1,DataRegularSeason20242025!$D$2:$D$1315,TotalTeamGames20242025!$A57,DataRegularSeason20242025!$N$2:$N$1315,1)</f>
        <v>1</v>
      </c>
      <c r="Q57" s="35"/>
      <c r="R57" s="28">
        <f>COUNTIFS(DataRegularSeason20242025!$E$2:$E$1315,TotalTeamGames20242025!Q$1,DataRegularSeason20242025!$D$2:$D$1315,TotalTeamGames20242025!$A57,DataRegularSeason20242025!$N$2:$N$1315,1)</f>
        <v>1</v>
      </c>
      <c r="S57" s="35"/>
      <c r="T57" s="28">
        <f>COUNTIFS(DataRegularSeason20242025!$E$2:$E$1315,TotalTeamGames20242025!S$1,DataRegularSeason20242025!$D$2:$D$1315,TotalTeamGames20242025!$A57,DataRegularSeason20242025!$N$2:$N$1315,1)</f>
        <v>0</v>
      </c>
      <c r="U57" s="35"/>
      <c r="V57" s="28">
        <f>COUNTIFS(DataRegularSeason20242025!$E$2:$E$1315,TotalTeamGames20242025!U$1,DataRegularSeason20242025!$D$2:$D$1315,TotalTeamGames20242025!$A57,DataRegularSeason20242025!$N$2:$N$1315,1)</f>
        <v>0</v>
      </c>
      <c r="W57" s="35"/>
      <c r="X57" s="28">
        <f>COUNTIFS(DataRegularSeason20242025!$E$2:$E$1315,TotalTeamGames20242025!W$1,DataRegularSeason20242025!$D$2:$D$1315,TotalTeamGames20242025!$A57,DataRegularSeason20242025!$N$2:$N$1315,1)</f>
        <v>0</v>
      </c>
      <c r="Y57" s="35"/>
      <c r="Z57" s="28">
        <f>COUNTIFS(DataRegularSeason20242025!$E$2:$E$1315,TotalTeamGames20242025!Y$1,DataRegularSeason20242025!$D$2:$D$1315,TotalTeamGames20242025!$A57,DataRegularSeason20242025!$N$2:$N$1315,1)</f>
        <v>0</v>
      </c>
      <c r="AA57" s="35"/>
      <c r="AB57" s="28">
        <f>COUNTIFS(DataRegularSeason20242025!$E$2:$E$1315,TotalTeamGames20242025!AA$1,DataRegularSeason20242025!$D$2:$D$1315,TotalTeamGames20242025!$A57,DataRegularSeason20242025!$N$2:$N$1315,1)</f>
        <v>0</v>
      </c>
      <c r="AC57" s="35"/>
      <c r="AD57" s="28">
        <f>COUNTIFS(DataRegularSeason20242025!$E$2:$E$1315,TotalTeamGames20242025!AC$1,DataRegularSeason20242025!$D$2:$D$1315,TotalTeamGames20242025!$A57,DataRegularSeason20242025!$N$2:$N$1315,1)</f>
        <v>0</v>
      </c>
      <c r="AE57" s="35"/>
      <c r="AF57" s="28">
        <f>COUNTIFS(DataRegularSeason20242025!$E$2:$E$1315,TotalTeamGames20242025!AE$1,DataRegularSeason20242025!$D$2:$D$1315,TotalTeamGames20242025!$A57,DataRegularSeason20242025!$N$2:$N$1315,1)</f>
        <v>0</v>
      </c>
      <c r="AG57" s="35"/>
      <c r="AH57" s="28">
        <f>COUNTIFS(DataRegularSeason20242025!$E$2:$E$1315,TotalTeamGames20242025!AG$1,DataRegularSeason20242025!$D$2:$D$1315,TotalTeamGames20242025!$A57,DataRegularSeason20242025!$N$2:$N$1315,1)</f>
        <v>0</v>
      </c>
      <c r="AI57" s="35"/>
      <c r="AJ57" s="28">
        <f>COUNTIFS(DataRegularSeason20242025!$E$2:$E$1315,TotalTeamGames20242025!AI$1,DataRegularSeason20242025!$D$2:$D$1315,TotalTeamGames20242025!$A57,DataRegularSeason20242025!$N$2:$N$1315,1)</f>
        <v>1</v>
      </c>
      <c r="AK57" s="35"/>
      <c r="AL57" s="28">
        <f>COUNTIFS(DataRegularSeason20242025!$E$2:$E$1315,TotalTeamGames20242025!AK$1,DataRegularSeason20242025!$D$2:$D$1315,TotalTeamGames20242025!$A57,DataRegularSeason20242025!$N$2:$N$1315,1)</f>
        <v>0</v>
      </c>
      <c r="AM57" s="35"/>
      <c r="AN57" s="28">
        <f>COUNTIFS(DataRegularSeason20242025!$E$2:$E$1315,TotalTeamGames20242025!AM$1,DataRegularSeason20242025!$D$2:$D$1315,TotalTeamGames20242025!$A57,DataRegularSeason20242025!$N$2:$N$1315,1)</f>
        <v>0</v>
      </c>
      <c r="AO57" s="35"/>
      <c r="AP57" s="28">
        <f>COUNTIFS(DataRegularSeason20242025!$E$2:$E$1315,TotalTeamGames20242025!AO$1,DataRegularSeason20242025!$D$2:$D$1315,TotalTeamGames20242025!$A57,DataRegularSeason20242025!$N$2:$N$1315,1)</f>
        <v>0</v>
      </c>
      <c r="AQ57" s="35"/>
      <c r="AR57" s="28">
        <f>COUNTIFS(DataRegularSeason20242025!$E$2:$E$1315,TotalTeamGames20242025!AQ$1,DataRegularSeason20242025!$D$2:$D$1315,TotalTeamGames20242025!$A57,DataRegularSeason20242025!$N$2:$N$1315,1)</f>
        <v>0</v>
      </c>
      <c r="AS57" s="35"/>
      <c r="AT57" s="28">
        <f>COUNTIFS(DataRegularSeason20242025!$E$2:$E$1315,TotalTeamGames20242025!AS$1,DataRegularSeason20242025!$D$2:$D$1315,TotalTeamGames20242025!$A57,DataRegularSeason20242025!$N$2:$N$1315,1)</f>
        <v>0</v>
      </c>
      <c r="AU57" s="35"/>
      <c r="AV57" s="28">
        <f>COUNTIFS(DataRegularSeason20242025!$E$2:$E$1315,TotalTeamGames20242025!AU$1,DataRegularSeason20242025!$D$2:$D$1315,TotalTeamGames20242025!$A57,DataRegularSeason20242025!$N$2:$N$1315,1)</f>
        <v>0</v>
      </c>
      <c r="AW57" s="35"/>
      <c r="AX57" s="28">
        <f>COUNTIFS(DataRegularSeason20242025!$E$2:$E$1315,TotalTeamGames20242025!AW$1,DataRegularSeason20242025!$D$2:$D$1315,TotalTeamGames20242025!$A57,DataRegularSeason20242025!$N$2:$N$1315,1)</f>
        <v>0</v>
      </c>
      <c r="AY57" s="35"/>
      <c r="AZ57" s="28">
        <f>COUNTIFS(DataRegularSeason20242025!$E$2:$E$1315,TotalTeamGames20242025!AY$1,DataRegularSeason20242025!$D$2:$D$1315,TotalTeamGames20242025!$A57,DataRegularSeason20242025!$N$2:$N$1315,1)</f>
        <v>0</v>
      </c>
      <c r="BA57" s="35"/>
      <c r="BB57" s="28">
        <f>COUNTIFS(DataRegularSeason20242025!$E$2:$E$1315,TotalTeamGames20242025!BA$1,DataRegularSeason20242025!$D$2:$D$1315,TotalTeamGames20242025!$A57,DataRegularSeason20242025!$N$2:$N$1315,1)</f>
        <v>0</v>
      </c>
      <c r="BC57" s="35"/>
      <c r="BD57" s="28">
        <f>COUNTIFS(DataRegularSeason20242025!$E$2:$E$1315,TotalTeamGames20242025!BC$1,DataRegularSeason20242025!$D$2:$D$1315,TotalTeamGames20242025!$A57,DataRegularSeason20242025!$N$2:$N$1315,1)</f>
        <v>0</v>
      </c>
      <c r="BE57" s="35"/>
      <c r="BF57" s="36"/>
      <c r="BG57" s="35"/>
      <c r="BH57" s="28">
        <f>COUNTIFS(DataRegularSeason20242025!$E$2:$E$1315,TotalTeamGames20242025!BG$1,DataRegularSeason20242025!$D$2:$D$1315,TotalTeamGames20242025!$A57,DataRegularSeason20242025!$N$2:$N$1315,1)</f>
        <v>0</v>
      </c>
      <c r="BI57" s="35"/>
      <c r="BJ57" s="28">
        <f>COUNTIFS(DataRegularSeason20242025!$E$2:$E$1315,TotalTeamGames20242025!BI$1,DataRegularSeason20242025!$D$2:$D$1315,TotalTeamGames20242025!$A57,DataRegularSeason20242025!$N$2:$N$1315,1)</f>
        <v>0</v>
      </c>
      <c r="BK57" s="35"/>
      <c r="BL57" s="28">
        <f>COUNTIFS(DataRegularSeason20242025!$E$2:$E$1315,TotalTeamGames20242025!BK$1,DataRegularSeason20242025!$D$2:$D$1315,TotalTeamGames20242025!$A57,DataRegularSeason20242025!$N$2:$N$1315,1)</f>
        <v>0</v>
      </c>
      <c r="BM57" s="35"/>
      <c r="BN57" s="28">
        <f>COUNTIFS(DataRegularSeason20242025!$E$2:$E$1315,TotalTeamGames20242025!BM$1,DataRegularSeason20242025!$D$2:$D$1315,TotalTeamGames20242025!$A57,DataRegularSeason20242025!$N$2:$N$1315,1)</f>
        <v>0</v>
      </c>
      <c r="BO57" s="30">
        <f t="shared" si="0"/>
        <v>3</v>
      </c>
      <c r="BP57" s="165">
        <f t="shared" ref="BP57" si="53">BO57+BO58</f>
        <v>7</v>
      </c>
      <c r="BQ57" s="166">
        <f t="shared" ref="BQ57" si="54">82-BP57</f>
        <v>75</v>
      </c>
    </row>
    <row r="58" spans="1:69" ht="9.9499999999999993" customHeight="1" x14ac:dyDescent="0.25">
      <c r="A58" s="167"/>
      <c r="B58" s="32" t="s">
        <v>73</v>
      </c>
      <c r="C58" s="38">
        <f>COUNTIFS(DataRegularSeason20242025!$D$2:$D$1315,TotalTeamGames20242025!C$1,DataRegularSeason20242025!$E$2:$E$1315,TotalTeamGames20242025!$A57,DataRegularSeason20242025!$N$2:$N$1315,1)</f>
        <v>0</v>
      </c>
      <c r="D58" s="39"/>
      <c r="E58" s="38">
        <f>COUNTIFS(DataRegularSeason20242025!$D$2:$D$1315,TotalTeamGames20242025!E$1,DataRegularSeason20242025!$E$2:$E$1315,TotalTeamGames20242025!$A57,DataRegularSeason20242025!$N$2:$N$1315,1)</f>
        <v>1</v>
      </c>
      <c r="F58" s="39"/>
      <c r="G58" s="38">
        <f>COUNTIFS(DataRegularSeason20242025!$D$2:$D$1315,TotalTeamGames20242025!G$1,DataRegularSeason20242025!$E$2:$E$1315,TotalTeamGames20242025!$A57,DataRegularSeason20242025!$N$2:$N$1315,1)</f>
        <v>0</v>
      </c>
      <c r="H58" s="39"/>
      <c r="I58" s="38">
        <f>COUNTIFS(DataRegularSeason20242025!$D$2:$D$1315,TotalTeamGames20242025!I$1,DataRegularSeason20242025!$E$2:$E$1315,TotalTeamGames20242025!$A57,DataRegularSeason20242025!$N$2:$N$1315,1)</f>
        <v>0</v>
      </c>
      <c r="J58" s="39"/>
      <c r="K58" s="38">
        <f>COUNTIFS(DataRegularSeason20242025!$D$2:$D$1315,TotalTeamGames20242025!K$1,DataRegularSeason20242025!$E$2:$E$1315,TotalTeamGames20242025!$A57,DataRegularSeason20242025!$N$2:$N$1315,1)</f>
        <v>0</v>
      </c>
      <c r="L58" s="39"/>
      <c r="M58" s="38">
        <f>COUNTIFS(DataRegularSeason20242025!$D$2:$D$1315,TotalTeamGames20242025!M$1,DataRegularSeason20242025!$E$2:$E$1315,TotalTeamGames20242025!$A57,DataRegularSeason20242025!$N$2:$N$1315,1)</f>
        <v>1</v>
      </c>
      <c r="N58" s="39"/>
      <c r="O58" s="38">
        <f>COUNTIFS(DataRegularSeason20242025!$D$2:$D$1315,TotalTeamGames20242025!O$1,DataRegularSeason20242025!$E$2:$E$1315,TotalTeamGames20242025!$A57,DataRegularSeason20242025!$N$2:$N$1315,1)</f>
        <v>0</v>
      </c>
      <c r="P58" s="39"/>
      <c r="Q58" s="38">
        <f>COUNTIFS(DataRegularSeason20242025!$D$2:$D$1315,TotalTeamGames20242025!Q$1,DataRegularSeason20242025!$E$2:$E$1315,TotalTeamGames20242025!$A57,DataRegularSeason20242025!$N$2:$N$1315,1)</f>
        <v>1</v>
      </c>
      <c r="R58" s="39"/>
      <c r="S58" s="38">
        <f>COUNTIFS(DataRegularSeason20242025!$D$2:$D$1315,TotalTeamGames20242025!S$1,DataRegularSeason20242025!$E$2:$E$1315,TotalTeamGames20242025!$A57,DataRegularSeason20242025!$N$2:$N$1315,1)</f>
        <v>0</v>
      </c>
      <c r="T58" s="39"/>
      <c r="U58" s="38">
        <f>COUNTIFS(DataRegularSeason20242025!$D$2:$D$1315,TotalTeamGames20242025!U$1,DataRegularSeason20242025!$E$2:$E$1315,TotalTeamGames20242025!$A57,DataRegularSeason20242025!$N$2:$N$1315,1)</f>
        <v>0</v>
      </c>
      <c r="V58" s="39"/>
      <c r="W58" s="38">
        <f>COUNTIFS(DataRegularSeason20242025!$D$2:$D$1315,TotalTeamGames20242025!W$1,DataRegularSeason20242025!$E$2:$E$1315,TotalTeamGames20242025!$A57,DataRegularSeason20242025!$N$2:$N$1315,1)</f>
        <v>0</v>
      </c>
      <c r="X58" s="39"/>
      <c r="Y58" s="38">
        <f>COUNTIFS(DataRegularSeason20242025!$D$2:$D$1315,TotalTeamGames20242025!Y$1,DataRegularSeason20242025!$E$2:$E$1315,TotalTeamGames20242025!$A57,DataRegularSeason20242025!$N$2:$N$1315,1)</f>
        <v>0</v>
      </c>
      <c r="Z58" s="39"/>
      <c r="AA58" s="38">
        <f>COUNTIFS(DataRegularSeason20242025!$D$2:$D$1315,TotalTeamGames20242025!AA$1,DataRegularSeason20242025!$E$2:$E$1315,TotalTeamGames20242025!$A57,DataRegularSeason20242025!$N$2:$N$1315,1)</f>
        <v>0</v>
      </c>
      <c r="AB58" s="39"/>
      <c r="AC58" s="38">
        <f>COUNTIFS(DataRegularSeason20242025!$D$2:$D$1315,TotalTeamGames20242025!AC$1,DataRegularSeason20242025!$E$2:$E$1315,TotalTeamGames20242025!$A57,DataRegularSeason20242025!$N$2:$N$1315,1)</f>
        <v>0</v>
      </c>
      <c r="AD58" s="39"/>
      <c r="AE58" s="38">
        <f>COUNTIFS(DataRegularSeason20242025!$D$2:$D$1315,TotalTeamGames20242025!AE$1,DataRegularSeason20242025!$E$2:$E$1315,TotalTeamGames20242025!$A57,DataRegularSeason20242025!$N$2:$N$1315,1)</f>
        <v>0</v>
      </c>
      <c r="AF58" s="39"/>
      <c r="AG58" s="38">
        <f>COUNTIFS(DataRegularSeason20242025!$D$2:$D$1315,TotalTeamGames20242025!AG$1,DataRegularSeason20242025!$E$2:$E$1315,TotalTeamGames20242025!$A57,DataRegularSeason20242025!$N$2:$N$1315,1)</f>
        <v>0</v>
      </c>
      <c r="AH58" s="39"/>
      <c r="AI58" s="38">
        <f>COUNTIFS(DataRegularSeason20242025!$D$2:$D$1315,TotalTeamGames20242025!AI$1,DataRegularSeason20242025!$E$2:$E$1315,TotalTeamGames20242025!$A57,DataRegularSeason20242025!$N$2:$N$1315,1)</f>
        <v>0</v>
      </c>
      <c r="AJ58" s="39"/>
      <c r="AK58" s="38">
        <f>COUNTIFS(DataRegularSeason20242025!$D$2:$D$1315,TotalTeamGames20242025!AK$1,DataRegularSeason20242025!$E$2:$E$1315,TotalTeamGames20242025!$A57,DataRegularSeason20242025!$N$2:$N$1315,1)</f>
        <v>0</v>
      </c>
      <c r="AL58" s="39"/>
      <c r="AM58" s="38">
        <f>COUNTIFS(DataRegularSeason20242025!$D$2:$D$1315,TotalTeamGames20242025!AM$1,DataRegularSeason20242025!$E$2:$E$1315,TotalTeamGames20242025!$A57,DataRegularSeason20242025!$N$2:$N$1315,1)</f>
        <v>0</v>
      </c>
      <c r="AN58" s="39"/>
      <c r="AO58" s="38">
        <f>COUNTIFS(DataRegularSeason20242025!$D$2:$D$1315,TotalTeamGames20242025!AO$1,DataRegularSeason20242025!$E$2:$E$1315,TotalTeamGames20242025!$A57,DataRegularSeason20242025!$N$2:$N$1315,1)</f>
        <v>0</v>
      </c>
      <c r="AP58" s="39"/>
      <c r="AQ58" s="38">
        <f>COUNTIFS(DataRegularSeason20242025!$D$2:$D$1315,TotalTeamGames20242025!AQ$1,DataRegularSeason20242025!$E$2:$E$1315,TotalTeamGames20242025!$A57,DataRegularSeason20242025!$N$2:$N$1315,1)</f>
        <v>0</v>
      </c>
      <c r="AR58" s="39"/>
      <c r="AS58" s="38">
        <f>COUNTIFS(DataRegularSeason20242025!$D$2:$D$1315,TotalTeamGames20242025!AS$1,DataRegularSeason20242025!$E$2:$E$1315,TotalTeamGames20242025!$A57,DataRegularSeason20242025!$N$2:$N$1315,1)</f>
        <v>0</v>
      </c>
      <c r="AT58" s="39"/>
      <c r="AU58" s="38">
        <f>COUNTIFS(DataRegularSeason20242025!$D$2:$D$1315,TotalTeamGames20242025!AU$1,DataRegularSeason20242025!$E$2:$E$1315,TotalTeamGames20242025!$A57,DataRegularSeason20242025!$N$2:$N$1315,1)</f>
        <v>0</v>
      </c>
      <c r="AV58" s="39"/>
      <c r="AW58" s="38">
        <f>COUNTIFS(DataRegularSeason20242025!$D$2:$D$1315,TotalTeamGames20242025!AW$1,DataRegularSeason20242025!$E$2:$E$1315,TotalTeamGames20242025!$A57,DataRegularSeason20242025!$N$2:$N$1315,1)</f>
        <v>1</v>
      </c>
      <c r="AX58" s="39"/>
      <c r="AY58" s="38">
        <f>COUNTIFS(DataRegularSeason20242025!$D$2:$D$1315,TotalTeamGames20242025!AY$1,DataRegularSeason20242025!$E$2:$E$1315,TotalTeamGames20242025!$A57,DataRegularSeason20242025!$N$2:$N$1315,1)</f>
        <v>0</v>
      </c>
      <c r="AZ58" s="39"/>
      <c r="BA58" s="38">
        <f>COUNTIFS(DataRegularSeason20242025!$D$2:$D$1315,TotalTeamGames20242025!BA$1,DataRegularSeason20242025!$E$2:$E$1315,TotalTeamGames20242025!$A57,DataRegularSeason20242025!$N$2:$N$1315,1)</f>
        <v>0</v>
      </c>
      <c r="BB58" s="39"/>
      <c r="BC58" s="38">
        <f>COUNTIFS(DataRegularSeason20242025!$D$2:$D$1315,TotalTeamGames20242025!BC$1,DataRegularSeason20242025!$E$2:$E$1315,TotalTeamGames20242025!$A57,DataRegularSeason20242025!$N$2:$N$1315,1)</f>
        <v>0</v>
      </c>
      <c r="BD58" s="39"/>
      <c r="BE58" s="38"/>
      <c r="BF58" s="39"/>
      <c r="BG58" s="38">
        <f>COUNTIFS(DataRegularSeason20242025!$D$2:$D$1315,TotalTeamGames20242025!BG$1,DataRegularSeason20242025!$E$2:$E$1315,TotalTeamGames20242025!$A57,DataRegularSeason20242025!$N$2:$N$1315,1)</f>
        <v>0</v>
      </c>
      <c r="BH58" s="39"/>
      <c r="BI58" s="38">
        <f>COUNTIFS(DataRegularSeason20242025!$D$2:$D$1315,TotalTeamGames20242025!BI$1,DataRegularSeason20242025!$E$2:$E$1315,TotalTeamGames20242025!$A57,DataRegularSeason20242025!$N$2:$N$1315,1)</f>
        <v>0</v>
      </c>
      <c r="BJ58" s="39"/>
      <c r="BK58" s="38">
        <f>COUNTIFS(DataRegularSeason20242025!$D$2:$D$1315,TotalTeamGames20242025!BK$1,DataRegularSeason20242025!$E$2:$E$1315,TotalTeamGames20242025!$A57,DataRegularSeason20242025!$N$2:$N$1315,1)</f>
        <v>0</v>
      </c>
      <c r="BL58" s="39"/>
      <c r="BM58" s="38">
        <f>COUNTIFS(DataRegularSeason20242025!$D$2:$D$1315,TotalTeamGames20242025!BM$1,DataRegularSeason20242025!$E$2:$E$1315,TotalTeamGames20242025!$A57,DataRegularSeason20242025!$N$2:$N$1315,1)</f>
        <v>0</v>
      </c>
      <c r="BN58" s="39"/>
      <c r="BO58" s="34">
        <f t="shared" si="0"/>
        <v>4</v>
      </c>
      <c r="BP58" s="165"/>
      <c r="BQ58" s="166"/>
    </row>
    <row r="59" spans="1:69" ht="9.9499999999999993" customHeight="1" x14ac:dyDescent="0.25">
      <c r="A59" s="172" t="s">
        <v>24</v>
      </c>
      <c r="B59" s="28" t="s">
        <v>74</v>
      </c>
      <c r="C59" s="35"/>
      <c r="D59" s="28">
        <f>COUNTIFS(DataRegularSeason20242025!$E$2:$E$1315,TotalTeamGames20242025!C$1,DataRegularSeason20242025!$D$2:$D$1315,TotalTeamGames20242025!$A59,DataRegularSeason20242025!$N$2:$N$1315,1)</f>
        <v>0</v>
      </c>
      <c r="E59" s="35"/>
      <c r="F59" s="28">
        <f>COUNTIFS(DataRegularSeason20242025!$E$2:$E$1315,TotalTeamGames20242025!E$1,DataRegularSeason20242025!$D$2:$D$1315,TotalTeamGames20242025!$A59,DataRegularSeason20242025!$N$2:$N$1315,1)</f>
        <v>0</v>
      </c>
      <c r="G59" s="35"/>
      <c r="H59" s="28">
        <f>COUNTIFS(DataRegularSeason20242025!$E$2:$E$1315,TotalTeamGames20242025!G$1,DataRegularSeason20242025!$D$2:$D$1315,TotalTeamGames20242025!$A59,DataRegularSeason20242025!$N$2:$N$1315,1)</f>
        <v>0</v>
      </c>
      <c r="I59" s="35"/>
      <c r="J59" s="28">
        <f>COUNTIFS(DataRegularSeason20242025!$E$2:$E$1315,TotalTeamGames20242025!I$1,DataRegularSeason20242025!$D$2:$D$1315,TotalTeamGames20242025!$A59,DataRegularSeason20242025!$N$2:$N$1315,1)</f>
        <v>0</v>
      </c>
      <c r="K59" s="35"/>
      <c r="L59" s="28">
        <f>COUNTIFS(DataRegularSeason20242025!$E$2:$E$1315,TotalTeamGames20242025!K$1,DataRegularSeason20242025!$D$2:$D$1315,TotalTeamGames20242025!$A59,DataRegularSeason20242025!$N$2:$N$1315,1)</f>
        <v>0</v>
      </c>
      <c r="M59" s="35"/>
      <c r="N59" s="28">
        <f>COUNTIFS(DataRegularSeason20242025!$E$2:$E$1315,TotalTeamGames20242025!M$1,DataRegularSeason20242025!$D$2:$D$1315,TotalTeamGames20242025!$A59,DataRegularSeason20242025!$N$2:$N$1315,1)</f>
        <v>0</v>
      </c>
      <c r="O59" s="35"/>
      <c r="P59" s="28">
        <f>COUNTIFS(DataRegularSeason20242025!$E$2:$E$1315,TotalTeamGames20242025!O$1,DataRegularSeason20242025!$D$2:$D$1315,TotalTeamGames20242025!$A59,DataRegularSeason20242025!$N$2:$N$1315,1)</f>
        <v>1</v>
      </c>
      <c r="Q59" s="35"/>
      <c r="R59" s="28">
        <f>COUNTIFS(DataRegularSeason20242025!$E$2:$E$1315,TotalTeamGames20242025!Q$1,DataRegularSeason20242025!$D$2:$D$1315,TotalTeamGames20242025!$A59,DataRegularSeason20242025!$N$2:$N$1315,1)</f>
        <v>0</v>
      </c>
      <c r="S59" s="35"/>
      <c r="T59" s="28">
        <f>COUNTIFS(DataRegularSeason20242025!$E$2:$E$1315,TotalTeamGames20242025!S$1,DataRegularSeason20242025!$D$2:$D$1315,TotalTeamGames20242025!$A59,DataRegularSeason20242025!$N$2:$N$1315,1)</f>
        <v>1</v>
      </c>
      <c r="U59" s="35"/>
      <c r="V59" s="28">
        <f>COUNTIFS(DataRegularSeason20242025!$E$2:$E$1315,TotalTeamGames20242025!U$1,DataRegularSeason20242025!$D$2:$D$1315,TotalTeamGames20242025!$A59,DataRegularSeason20242025!$N$2:$N$1315,1)</f>
        <v>0</v>
      </c>
      <c r="W59" s="35"/>
      <c r="X59" s="28">
        <f>COUNTIFS(DataRegularSeason20242025!$E$2:$E$1315,TotalTeamGames20242025!W$1,DataRegularSeason20242025!$D$2:$D$1315,TotalTeamGames20242025!$A59,DataRegularSeason20242025!$N$2:$N$1315,1)</f>
        <v>1</v>
      </c>
      <c r="Y59" s="35"/>
      <c r="Z59" s="28">
        <f>COUNTIFS(DataRegularSeason20242025!$E$2:$E$1315,TotalTeamGames20242025!Y$1,DataRegularSeason20242025!$D$2:$D$1315,TotalTeamGames20242025!$A59,DataRegularSeason20242025!$N$2:$N$1315,1)</f>
        <v>0</v>
      </c>
      <c r="AA59" s="35"/>
      <c r="AB59" s="28">
        <f>COUNTIFS(DataRegularSeason20242025!$E$2:$E$1315,TotalTeamGames20242025!AA$1,DataRegularSeason20242025!$D$2:$D$1315,TotalTeamGames20242025!$A59,DataRegularSeason20242025!$N$2:$N$1315,1)</f>
        <v>0</v>
      </c>
      <c r="AC59" s="35"/>
      <c r="AD59" s="28">
        <f>COUNTIFS(DataRegularSeason20242025!$E$2:$E$1315,TotalTeamGames20242025!AC$1,DataRegularSeason20242025!$D$2:$D$1315,TotalTeamGames20242025!$A59,DataRegularSeason20242025!$N$2:$N$1315,1)</f>
        <v>0</v>
      </c>
      <c r="AE59" s="35"/>
      <c r="AF59" s="28">
        <f>COUNTIFS(DataRegularSeason20242025!$E$2:$E$1315,TotalTeamGames20242025!AE$1,DataRegularSeason20242025!$D$2:$D$1315,TotalTeamGames20242025!$A59,DataRegularSeason20242025!$N$2:$N$1315,1)</f>
        <v>0</v>
      </c>
      <c r="AG59" s="35"/>
      <c r="AH59" s="28">
        <f>COUNTIFS(DataRegularSeason20242025!$E$2:$E$1315,TotalTeamGames20242025!AG$1,DataRegularSeason20242025!$D$2:$D$1315,TotalTeamGames20242025!$A59,DataRegularSeason20242025!$N$2:$N$1315,1)</f>
        <v>0</v>
      </c>
      <c r="AI59" s="35"/>
      <c r="AJ59" s="28">
        <f>COUNTIFS(DataRegularSeason20242025!$E$2:$E$1315,TotalTeamGames20242025!AI$1,DataRegularSeason20242025!$D$2:$D$1315,TotalTeamGames20242025!$A59,DataRegularSeason20242025!$N$2:$N$1315,1)</f>
        <v>0</v>
      </c>
      <c r="AK59" s="35"/>
      <c r="AL59" s="28">
        <f>COUNTIFS(DataRegularSeason20242025!$E$2:$E$1315,TotalTeamGames20242025!AK$1,DataRegularSeason20242025!$D$2:$D$1315,TotalTeamGames20242025!$A59,DataRegularSeason20242025!$N$2:$N$1315,1)</f>
        <v>0</v>
      </c>
      <c r="AM59" s="35"/>
      <c r="AN59" s="28">
        <f>COUNTIFS(DataRegularSeason20242025!$E$2:$E$1315,TotalTeamGames20242025!AM$1,DataRegularSeason20242025!$D$2:$D$1315,TotalTeamGames20242025!$A59,DataRegularSeason20242025!$N$2:$N$1315,1)</f>
        <v>0</v>
      </c>
      <c r="AO59" s="35"/>
      <c r="AP59" s="28">
        <f>COUNTIFS(DataRegularSeason20242025!$E$2:$E$1315,TotalTeamGames20242025!AO$1,DataRegularSeason20242025!$D$2:$D$1315,TotalTeamGames20242025!$A59,DataRegularSeason20242025!$N$2:$N$1315,1)</f>
        <v>0</v>
      </c>
      <c r="AQ59" s="35"/>
      <c r="AR59" s="28">
        <f>COUNTIFS(DataRegularSeason20242025!$E$2:$E$1315,TotalTeamGames20242025!AQ$1,DataRegularSeason20242025!$D$2:$D$1315,TotalTeamGames20242025!$A59,DataRegularSeason20242025!$N$2:$N$1315,1)</f>
        <v>0</v>
      </c>
      <c r="AS59" s="35"/>
      <c r="AT59" s="28">
        <f>COUNTIFS(DataRegularSeason20242025!$E$2:$E$1315,TotalTeamGames20242025!AS$1,DataRegularSeason20242025!$D$2:$D$1315,TotalTeamGames20242025!$A59,DataRegularSeason20242025!$N$2:$N$1315,1)</f>
        <v>1</v>
      </c>
      <c r="AU59" s="35"/>
      <c r="AV59" s="28">
        <f>COUNTIFS(DataRegularSeason20242025!$E$2:$E$1315,TotalTeamGames20242025!AU$1,DataRegularSeason20242025!$D$2:$D$1315,TotalTeamGames20242025!$A59,DataRegularSeason20242025!$N$2:$N$1315,1)</f>
        <v>0</v>
      </c>
      <c r="AW59" s="35"/>
      <c r="AX59" s="28">
        <f>COUNTIFS(DataRegularSeason20242025!$E$2:$E$1315,TotalTeamGames20242025!AW$1,DataRegularSeason20242025!$D$2:$D$1315,TotalTeamGames20242025!$A59,DataRegularSeason20242025!$N$2:$N$1315,1)</f>
        <v>0</v>
      </c>
      <c r="AY59" s="35"/>
      <c r="AZ59" s="28">
        <f>COUNTIFS(DataRegularSeason20242025!$E$2:$E$1315,TotalTeamGames20242025!AY$1,DataRegularSeason20242025!$D$2:$D$1315,TotalTeamGames20242025!$A59,DataRegularSeason20242025!$N$2:$N$1315,1)</f>
        <v>0</v>
      </c>
      <c r="BA59" s="35"/>
      <c r="BB59" s="28">
        <f>COUNTIFS(DataRegularSeason20242025!$E$2:$E$1315,TotalTeamGames20242025!BA$1,DataRegularSeason20242025!$D$2:$D$1315,TotalTeamGames20242025!$A59,DataRegularSeason20242025!$N$2:$N$1315,1)</f>
        <v>0</v>
      </c>
      <c r="BC59" s="35"/>
      <c r="BD59" s="28">
        <f>COUNTIFS(DataRegularSeason20242025!$E$2:$E$1315,TotalTeamGames20242025!BC$1,DataRegularSeason20242025!$D$2:$D$1315,TotalTeamGames20242025!$A59,DataRegularSeason20242025!$N$2:$N$1315,1)</f>
        <v>0</v>
      </c>
      <c r="BE59" s="35"/>
      <c r="BF59" s="28">
        <f>COUNTIFS(DataRegularSeason20242025!$E$2:$E$1315,TotalTeamGames20242025!BE$1,DataRegularSeason20242025!$D$2:$D$1315,TotalTeamGames20242025!$A59,DataRegularSeason20242025!$N$2:$N$1315,1)</f>
        <v>0</v>
      </c>
      <c r="BG59" s="35"/>
      <c r="BH59" s="36"/>
      <c r="BI59" s="35"/>
      <c r="BJ59" s="28">
        <f>COUNTIFS(DataRegularSeason20242025!$E$2:$E$1315,TotalTeamGames20242025!BI$1,DataRegularSeason20242025!$D$2:$D$1315,TotalTeamGames20242025!$A59,DataRegularSeason20242025!$N$2:$N$1315,1)</f>
        <v>0</v>
      </c>
      <c r="BK59" s="35"/>
      <c r="BL59" s="28">
        <f>COUNTIFS(DataRegularSeason20242025!$E$2:$E$1315,TotalTeamGames20242025!BK$1,DataRegularSeason20242025!$D$2:$D$1315,TotalTeamGames20242025!$A59,DataRegularSeason20242025!$N$2:$N$1315,1)</f>
        <v>0</v>
      </c>
      <c r="BM59" s="35"/>
      <c r="BN59" s="28">
        <f>COUNTIFS(DataRegularSeason20242025!$E$2:$E$1315,TotalTeamGames20242025!BM$1,DataRegularSeason20242025!$D$2:$D$1315,TotalTeamGames20242025!$A59,DataRegularSeason20242025!$N$2:$N$1315,1)</f>
        <v>1</v>
      </c>
      <c r="BO59" s="30">
        <f t="shared" si="0"/>
        <v>5</v>
      </c>
      <c r="BP59" s="165">
        <f t="shared" ref="BP59" si="55">BO59+BO60</f>
        <v>7</v>
      </c>
      <c r="BQ59" s="166">
        <f t="shared" ref="BQ59" si="56">82-BP59</f>
        <v>75</v>
      </c>
    </row>
    <row r="60" spans="1:69" ht="9.9499999999999993" customHeight="1" x14ac:dyDescent="0.25">
      <c r="A60" s="167"/>
      <c r="B60" s="32" t="s">
        <v>73</v>
      </c>
      <c r="C60" s="38">
        <f>COUNTIFS(DataRegularSeason20242025!$D$2:$D$1315,TotalTeamGames20242025!C$1,DataRegularSeason20242025!$E$2:$E$1315,TotalTeamGames20242025!$A59,DataRegularSeason20242025!$N$2:$N$1315,1)</f>
        <v>0</v>
      </c>
      <c r="D60" s="39"/>
      <c r="E60" s="38">
        <f>COUNTIFS(DataRegularSeason20242025!$D$2:$D$1315,TotalTeamGames20242025!E$1,DataRegularSeason20242025!$E$2:$E$1315,TotalTeamGames20242025!$A59,DataRegularSeason20242025!$N$2:$N$1315,1)</f>
        <v>0</v>
      </c>
      <c r="F60" s="39"/>
      <c r="G60" s="38">
        <f>COUNTIFS(DataRegularSeason20242025!$D$2:$D$1315,TotalTeamGames20242025!G$1,DataRegularSeason20242025!$E$2:$E$1315,TotalTeamGames20242025!$A59,DataRegularSeason20242025!$N$2:$N$1315,1)</f>
        <v>0</v>
      </c>
      <c r="H60" s="39"/>
      <c r="I60" s="38">
        <f>COUNTIFS(DataRegularSeason20242025!$D$2:$D$1315,TotalTeamGames20242025!I$1,DataRegularSeason20242025!$E$2:$E$1315,TotalTeamGames20242025!$A59,DataRegularSeason20242025!$N$2:$N$1315,1)</f>
        <v>0</v>
      </c>
      <c r="J60" s="39"/>
      <c r="K60" s="38">
        <f>COUNTIFS(DataRegularSeason20242025!$D$2:$D$1315,TotalTeamGames20242025!K$1,DataRegularSeason20242025!$E$2:$E$1315,TotalTeamGames20242025!$A59,DataRegularSeason20242025!$N$2:$N$1315,1)</f>
        <v>0</v>
      </c>
      <c r="L60" s="39"/>
      <c r="M60" s="38">
        <f>COUNTIFS(DataRegularSeason20242025!$D$2:$D$1315,TotalTeamGames20242025!M$1,DataRegularSeason20242025!$E$2:$E$1315,TotalTeamGames20242025!$A59,DataRegularSeason20242025!$N$2:$N$1315,1)</f>
        <v>1</v>
      </c>
      <c r="N60" s="39"/>
      <c r="O60" s="38">
        <f>COUNTIFS(DataRegularSeason20242025!$D$2:$D$1315,TotalTeamGames20242025!O$1,DataRegularSeason20242025!$E$2:$E$1315,TotalTeamGames20242025!$A59,DataRegularSeason20242025!$N$2:$N$1315,1)</f>
        <v>0</v>
      </c>
      <c r="P60" s="39"/>
      <c r="Q60" s="38">
        <f>COUNTIFS(DataRegularSeason20242025!$D$2:$D$1315,TotalTeamGames20242025!Q$1,DataRegularSeason20242025!$E$2:$E$1315,TotalTeamGames20242025!$A59,DataRegularSeason20242025!$N$2:$N$1315,1)</f>
        <v>0</v>
      </c>
      <c r="R60" s="39"/>
      <c r="S60" s="38">
        <f>COUNTIFS(DataRegularSeason20242025!$D$2:$D$1315,TotalTeamGames20242025!S$1,DataRegularSeason20242025!$E$2:$E$1315,TotalTeamGames20242025!$A59,DataRegularSeason20242025!$N$2:$N$1315,1)</f>
        <v>0</v>
      </c>
      <c r="T60" s="39"/>
      <c r="U60" s="38">
        <f>COUNTIFS(DataRegularSeason20242025!$D$2:$D$1315,TotalTeamGames20242025!U$1,DataRegularSeason20242025!$E$2:$E$1315,TotalTeamGames20242025!$A59,DataRegularSeason20242025!$N$2:$N$1315,1)</f>
        <v>0</v>
      </c>
      <c r="V60" s="39"/>
      <c r="W60" s="38">
        <f>COUNTIFS(DataRegularSeason20242025!$D$2:$D$1315,TotalTeamGames20242025!W$1,DataRegularSeason20242025!$E$2:$E$1315,TotalTeamGames20242025!$A59,DataRegularSeason20242025!$N$2:$N$1315,1)</f>
        <v>0</v>
      </c>
      <c r="X60" s="39"/>
      <c r="Y60" s="38">
        <f>COUNTIFS(DataRegularSeason20242025!$D$2:$D$1315,TotalTeamGames20242025!Y$1,DataRegularSeason20242025!$E$2:$E$1315,TotalTeamGames20242025!$A59,DataRegularSeason20242025!$N$2:$N$1315,1)</f>
        <v>0</v>
      </c>
      <c r="Z60" s="39"/>
      <c r="AA60" s="38">
        <f>COUNTIFS(DataRegularSeason20242025!$D$2:$D$1315,TotalTeamGames20242025!AA$1,DataRegularSeason20242025!$E$2:$E$1315,TotalTeamGames20242025!$A59,DataRegularSeason20242025!$N$2:$N$1315,1)</f>
        <v>0</v>
      </c>
      <c r="AB60" s="39"/>
      <c r="AC60" s="38">
        <f>COUNTIFS(DataRegularSeason20242025!$D$2:$D$1315,TotalTeamGames20242025!AC$1,DataRegularSeason20242025!$E$2:$E$1315,TotalTeamGames20242025!$A59,DataRegularSeason20242025!$N$2:$N$1315,1)</f>
        <v>0</v>
      </c>
      <c r="AD60" s="39"/>
      <c r="AE60" s="38">
        <f>COUNTIFS(DataRegularSeason20242025!$D$2:$D$1315,TotalTeamGames20242025!AE$1,DataRegularSeason20242025!$E$2:$E$1315,TotalTeamGames20242025!$A59,DataRegularSeason20242025!$N$2:$N$1315,1)</f>
        <v>0</v>
      </c>
      <c r="AF60" s="39"/>
      <c r="AG60" s="38">
        <f>COUNTIFS(DataRegularSeason20242025!$D$2:$D$1315,TotalTeamGames20242025!AG$1,DataRegularSeason20242025!$E$2:$E$1315,TotalTeamGames20242025!$A59,DataRegularSeason20242025!$N$2:$N$1315,1)</f>
        <v>0</v>
      </c>
      <c r="AH60" s="39"/>
      <c r="AI60" s="38">
        <f>COUNTIFS(DataRegularSeason20242025!$D$2:$D$1315,TotalTeamGames20242025!AI$1,DataRegularSeason20242025!$E$2:$E$1315,TotalTeamGames20242025!$A59,DataRegularSeason20242025!$N$2:$N$1315,1)</f>
        <v>0</v>
      </c>
      <c r="AJ60" s="39"/>
      <c r="AK60" s="38">
        <f>COUNTIFS(DataRegularSeason20242025!$D$2:$D$1315,TotalTeamGames20242025!AK$1,DataRegularSeason20242025!$E$2:$E$1315,TotalTeamGames20242025!$A59,DataRegularSeason20242025!$N$2:$N$1315,1)</f>
        <v>0</v>
      </c>
      <c r="AL60" s="39"/>
      <c r="AM60" s="38">
        <f>COUNTIFS(DataRegularSeason20242025!$D$2:$D$1315,TotalTeamGames20242025!AM$1,DataRegularSeason20242025!$E$2:$E$1315,TotalTeamGames20242025!$A59,DataRegularSeason20242025!$N$2:$N$1315,1)</f>
        <v>0</v>
      </c>
      <c r="AN60" s="39"/>
      <c r="AO60" s="38">
        <f>COUNTIFS(DataRegularSeason20242025!$D$2:$D$1315,TotalTeamGames20242025!AO$1,DataRegularSeason20242025!$E$2:$E$1315,TotalTeamGames20242025!$A59,DataRegularSeason20242025!$N$2:$N$1315,1)</f>
        <v>0</v>
      </c>
      <c r="AP60" s="39"/>
      <c r="AQ60" s="38">
        <f>COUNTIFS(DataRegularSeason20242025!$D$2:$D$1315,TotalTeamGames20242025!AQ$1,DataRegularSeason20242025!$E$2:$E$1315,TotalTeamGames20242025!$A59,DataRegularSeason20242025!$N$2:$N$1315,1)</f>
        <v>0</v>
      </c>
      <c r="AR60" s="39"/>
      <c r="AS60" s="38">
        <f>COUNTIFS(DataRegularSeason20242025!$D$2:$D$1315,TotalTeamGames20242025!AS$1,DataRegularSeason20242025!$E$2:$E$1315,TotalTeamGames20242025!$A59,DataRegularSeason20242025!$N$2:$N$1315,1)</f>
        <v>0</v>
      </c>
      <c r="AT60" s="39"/>
      <c r="AU60" s="38">
        <f>COUNTIFS(DataRegularSeason20242025!$D$2:$D$1315,TotalTeamGames20242025!AU$1,DataRegularSeason20242025!$E$2:$E$1315,TotalTeamGames20242025!$A59,DataRegularSeason20242025!$N$2:$N$1315,1)</f>
        <v>0</v>
      </c>
      <c r="AV60" s="39"/>
      <c r="AW60" s="38">
        <f>COUNTIFS(DataRegularSeason20242025!$D$2:$D$1315,TotalTeamGames20242025!AW$1,DataRegularSeason20242025!$E$2:$E$1315,TotalTeamGames20242025!$A59,DataRegularSeason20242025!$N$2:$N$1315,1)</f>
        <v>0</v>
      </c>
      <c r="AX60" s="39"/>
      <c r="AY60" s="38">
        <f>COUNTIFS(DataRegularSeason20242025!$D$2:$D$1315,TotalTeamGames20242025!AY$1,DataRegularSeason20242025!$E$2:$E$1315,TotalTeamGames20242025!$A59,DataRegularSeason20242025!$N$2:$N$1315,1)</f>
        <v>1</v>
      </c>
      <c r="AZ60" s="39"/>
      <c r="BA60" s="38">
        <f>COUNTIFS(DataRegularSeason20242025!$D$2:$D$1315,TotalTeamGames20242025!BA$1,DataRegularSeason20242025!$E$2:$E$1315,TotalTeamGames20242025!$A59,DataRegularSeason20242025!$N$2:$N$1315,1)</f>
        <v>0</v>
      </c>
      <c r="BB60" s="39"/>
      <c r="BC60" s="38">
        <f>COUNTIFS(DataRegularSeason20242025!$D$2:$D$1315,TotalTeamGames20242025!BC$1,DataRegularSeason20242025!$E$2:$E$1315,TotalTeamGames20242025!$A59,DataRegularSeason20242025!$N$2:$N$1315,1)</f>
        <v>0</v>
      </c>
      <c r="BD60" s="39"/>
      <c r="BE60" s="38">
        <f>COUNTIFS(DataRegularSeason20242025!$D$2:$D$1315,TotalTeamGames20242025!BE$1,DataRegularSeason20242025!$E$2:$E$1315,TotalTeamGames20242025!$A59,DataRegularSeason20242025!$N$2:$N$1315,1)</f>
        <v>0</v>
      </c>
      <c r="BF60" s="39"/>
      <c r="BG60" s="38"/>
      <c r="BH60" s="39"/>
      <c r="BI60" s="38">
        <f>COUNTIFS(DataRegularSeason20242025!$D$2:$D$1315,TotalTeamGames20242025!BI$1,DataRegularSeason20242025!$E$2:$E$1315,TotalTeamGames20242025!$A59,DataRegularSeason20242025!$N$2:$N$1315,1)</f>
        <v>0</v>
      </c>
      <c r="BJ60" s="39"/>
      <c r="BK60" s="38">
        <f>COUNTIFS(DataRegularSeason20242025!$D$2:$D$1315,TotalTeamGames20242025!BK$1,DataRegularSeason20242025!$E$2:$E$1315,TotalTeamGames20242025!$A59,DataRegularSeason20242025!$N$2:$N$1315,1)</f>
        <v>0</v>
      </c>
      <c r="BL60" s="39"/>
      <c r="BM60" s="38">
        <f>COUNTIFS(DataRegularSeason20242025!$D$2:$D$1315,TotalTeamGames20242025!BM$1,DataRegularSeason20242025!$E$2:$E$1315,TotalTeamGames20242025!$A59,DataRegularSeason20242025!$N$2:$N$1315,1)</f>
        <v>0</v>
      </c>
      <c r="BN60" s="39"/>
      <c r="BO60" s="34">
        <f t="shared" si="0"/>
        <v>2</v>
      </c>
      <c r="BP60" s="165"/>
      <c r="BQ60" s="166"/>
    </row>
    <row r="61" spans="1:69" ht="9.9499999999999993" customHeight="1" x14ac:dyDescent="0.25">
      <c r="A61" s="172" t="s">
        <v>26</v>
      </c>
      <c r="B61" s="28" t="s">
        <v>74</v>
      </c>
      <c r="C61" s="35"/>
      <c r="D61" s="28">
        <f>COUNTIFS(DataRegularSeason20242025!$E$2:$E$1315,TotalTeamGames20242025!C$1,DataRegularSeason20242025!$D$2:$D$1315,TotalTeamGames20242025!$A61,DataRegularSeason20242025!$N$2:$N$1315,1)</f>
        <v>0</v>
      </c>
      <c r="E61" s="35"/>
      <c r="F61" s="28">
        <f>COUNTIFS(DataRegularSeason20242025!$E$2:$E$1315,TotalTeamGames20242025!E$1,DataRegularSeason20242025!$D$2:$D$1315,TotalTeamGames20242025!$A61,DataRegularSeason20242025!$N$2:$N$1315,1)</f>
        <v>0</v>
      </c>
      <c r="G61" s="35"/>
      <c r="H61" s="28">
        <f>COUNTIFS(DataRegularSeason20242025!$E$2:$E$1315,TotalTeamGames20242025!G$1,DataRegularSeason20242025!$D$2:$D$1315,TotalTeamGames20242025!$A61,DataRegularSeason20242025!$N$2:$N$1315,1)</f>
        <v>0</v>
      </c>
      <c r="I61" s="35"/>
      <c r="J61" s="28">
        <f>COUNTIFS(DataRegularSeason20242025!$E$2:$E$1315,TotalTeamGames20242025!I$1,DataRegularSeason20242025!$D$2:$D$1315,TotalTeamGames20242025!$A61,DataRegularSeason20242025!$N$2:$N$1315,1)</f>
        <v>0</v>
      </c>
      <c r="K61" s="35"/>
      <c r="L61" s="28">
        <f>COUNTIFS(DataRegularSeason20242025!$E$2:$E$1315,TotalTeamGames20242025!K$1,DataRegularSeason20242025!$D$2:$D$1315,TotalTeamGames20242025!$A61,DataRegularSeason20242025!$N$2:$N$1315,1)</f>
        <v>0</v>
      </c>
      <c r="M61" s="35"/>
      <c r="N61" s="28">
        <f>COUNTIFS(DataRegularSeason20242025!$E$2:$E$1315,TotalTeamGames20242025!M$1,DataRegularSeason20242025!$D$2:$D$1315,TotalTeamGames20242025!$A61,DataRegularSeason20242025!$N$2:$N$1315,1)</f>
        <v>1</v>
      </c>
      <c r="O61" s="35"/>
      <c r="P61" s="28">
        <f>COUNTIFS(DataRegularSeason20242025!$E$2:$E$1315,TotalTeamGames20242025!O$1,DataRegularSeason20242025!$D$2:$D$1315,TotalTeamGames20242025!$A61,DataRegularSeason20242025!$N$2:$N$1315,1)</f>
        <v>0</v>
      </c>
      <c r="Q61" s="35"/>
      <c r="R61" s="28">
        <f>COUNTIFS(DataRegularSeason20242025!$E$2:$E$1315,TotalTeamGames20242025!Q$1,DataRegularSeason20242025!$D$2:$D$1315,TotalTeamGames20242025!$A61,DataRegularSeason20242025!$N$2:$N$1315,1)</f>
        <v>0</v>
      </c>
      <c r="S61" s="35"/>
      <c r="T61" s="28">
        <f>COUNTIFS(DataRegularSeason20242025!$E$2:$E$1315,TotalTeamGames20242025!S$1,DataRegularSeason20242025!$D$2:$D$1315,TotalTeamGames20242025!$A61,DataRegularSeason20242025!$N$2:$N$1315,1)</f>
        <v>0</v>
      </c>
      <c r="U61" s="35"/>
      <c r="V61" s="28">
        <f>COUNTIFS(DataRegularSeason20242025!$E$2:$E$1315,TotalTeamGames20242025!U$1,DataRegularSeason20242025!$D$2:$D$1315,TotalTeamGames20242025!$A61,DataRegularSeason20242025!$N$2:$N$1315,1)</f>
        <v>0</v>
      </c>
      <c r="W61" s="35"/>
      <c r="X61" s="28">
        <f>COUNTIFS(DataRegularSeason20242025!$E$2:$E$1315,TotalTeamGames20242025!W$1,DataRegularSeason20242025!$D$2:$D$1315,TotalTeamGames20242025!$A61,DataRegularSeason20242025!$N$2:$N$1315,1)</f>
        <v>0</v>
      </c>
      <c r="Y61" s="35"/>
      <c r="Z61" s="28">
        <f>COUNTIFS(DataRegularSeason20242025!$E$2:$E$1315,TotalTeamGames20242025!Y$1,DataRegularSeason20242025!$D$2:$D$1315,TotalTeamGames20242025!$A61,DataRegularSeason20242025!$N$2:$N$1315,1)</f>
        <v>0</v>
      </c>
      <c r="AA61" s="35"/>
      <c r="AB61" s="28">
        <f>COUNTIFS(DataRegularSeason20242025!$E$2:$E$1315,TotalTeamGames20242025!AA$1,DataRegularSeason20242025!$D$2:$D$1315,TotalTeamGames20242025!$A61,DataRegularSeason20242025!$N$2:$N$1315,1)</f>
        <v>0</v>
      </c>
      <c r="AC61" s="35"/>
      <c r="AD61" s="28">
        <f>COUNTIFS(DataRegularSeason20242025!$E$2:$E$1315,TotalTeamGames20242025!AC$1,DataRegularSeason20242025!$D$2:$D$1315,TotalTeamGames20242025!$A61,DataRegularSeason20242025!$N$2:$N$1315,1)</f>
        <v>0</v>
      </c>
      <c r="AE61" s="35"/>
      <c r="AF61" s="28">
        <f>COUNTIFS(DataRegularSeason20242025!$E$2:$E$1315,TotalTeamGames20242025!AE$1,DataRegularSeason20242025!$D$2:$D$1315,TotalTeamGames20242025!$A61,DataRegularSeason20242025!$N$2:$N$1315,1)</f>
        <v>0</v>
      </c>
      <c r="AG61" s="35"/>
      <c r="AH61" s="28">
        <f>COUNTIFS(DataRegularSeason20242025!$E$2:$E$1315,TotalTeamGames20242025!AG$1,DataRegularSeason20242025!$D$2:$D$1315,TotalTeamGames20242025!$A61,DataRegularSeason20242025!$N$2:$N$1315,1)</f>
        <v>0</v>
      </c>
      <c r="AI61" s="35"/>
      <c r="AJ61" s="28">
        <f>COUNTIFS(DataRegularSeason20242025!$E$2:$E$1315,TotalTeamGames20242025!AI$1,DataRegularSeason20242025!$D$2:$D$1315,TotalTeamGames20242025!$A61,DataRegularSeason20242025!$N$2:$N$1315,1)</f>
        <v>0</v>
      </c>
      <c r="AK61" s="35"/>
      <c r="AL61" s="28">
        <f>COUNTIFS(DataRegularSeason20242025!$E$2:$E$1315,TotalTeamGames20242025!AK$1,DataRegularSeason20242025!$D$2:$D$1315,TotalTeamGames20242025!$A61,DataRegularSeason20242025!$N$2:$N$1315,1)</f>
        <v>0</v>
      </c>
      <c r="AM61" s="35"/>
      <c r="AN61" s="28">
        <f>COUNTIFS(DataRegularSeason20242025!$E$2:$E$1315,TotalTeamGames20242025!AM$1,DataRegularSeason20242025!$D$2:$D$1315,TotalTeamGames20242025!$A61,DataRegularSeason20242025!$N$2:$N$1315,1)</f>
        <v>0</v>
      </c>
      <c r="AO61" s="35"/>
      <c r="AP61" s="28">
        <f>COUNTIFS(DataRegularSeason20242025!$E$2:$E$1315,TotalTeamGames20242025!AO$1,DataRegularSeason20242025!$D$2:$D$1315,TotalTeamGames20242025!$A61,DataRegularSeason20242025!$N$2:$N$1315,1)</f>
        <v>0</v>
      </c>
      <c r="AQ61" s="35"/>
      <c r="AR61" s="28">
        <f>COUNTIFS(DataRegularSeason20242025!$E$2:$E$1315,TotalTeamGames20242025!AQ$1,DataRegularSeason20242025!$D$2:$D$1315,TotalTeamGames20242025!$A61,DataRegularSeason20242025!$N$2:$N$1315,1)</f>
        <v>0</v>
      </c>
      <c r="AS61" s="35"/>
      <c r="AT61" s="28">
        <f>COUNTIFS(DataRegularSeason20242025!$E$2:$E$1315,TotalTeamGames20242025!AS$1,DataRegularSeason20242025!$D$2:$D$1315,TotalTeamGames20242025!$A61,DataRegularSeason20242025!$N$2:$N$1315,1)</f>
        <v>0</v>
      </c>
      <c r="AU61" s="35"/>
      <c r="AV61" s="28">
        <f>COUNTIFS(DataRegularSeason20242025!$E$2:$E$1315,TotalTeamGames20242025!AU$1,DataRegularSeason20242025!$D$2:$D$1315,TotalTeamGames20242025!$A61,DataRegularSeason20242025!$N$2:$N$1315,1)</f>
        <v>1</v>
      </c>
      <c r="AW61" s="35"/>
      <c r="AX61" s="28">
        <f>COUNTIFS(DataRegularSeason20242025!$E$2:$E$1315,TotalTeamGames20242025!AW$1,DataRegularSeason20242025!$D$2:$D$1315,TotalTeamGames20242025!$A61,DataRegularSeason20242025!$N$2:$N$1315,1)</f>
        <v>1</v>
      </c>
      <c r="AY61" s="35"/>
      <c r="AZ61" s="28">
        <f>COUNTIFS(DataRegularSeason20242025!$E$2:$E$1315,TotalTeamGames20242025!AY$1,DataRegularSeason20242025!$D$2:$D$1315,TotalTeamGames20242025!$A61,DataRegularSeason20242025!$N$2:$N$1315,1)</f>
        <v>0</v>
      </c>
      <c r="BA61" s="35"/>
      <c r="BB61" s="28">
        <f>COUNTIFS(DataRegularSeason20242025!$E$2:$E$1315,TotalTeamGames20242025!BA$1,DataRegularSeason20242025!$D$2:$D$1315,TotalTeamGames20242025!$A61,DataRegularSeason20242025!$N$2:$N$1315,1)</f>
        <v>0</v>
      </c>
      <c r="BC61" s="35"/>
      <c r="BD61" s="28">
        <f>COUNTIFS(DataRegularSeason20242025!$E$2:$E$1315,TotalTeamGames20242025!BC$1,DataRegularSeason20242025!$D$2:$D$1315,TotalTeamGames20242025!$A61,DataRegularSeason20242025!$N$2:$N$1315,1)</f>
        <v>0</v>
      </c>
      <c r="BE61" s="35"/>
      <c r="BF61" s="28">
        <f>COUNTIFS(DataRegularSeason20242025!$E$2:$E$1315,TotalTeamGames20242025!BE$1,DataRegularSeason20242025!$D$2:$D$1315,TotalTeamGames20242025!$A61,DataRegularSeason20242025!$N$2:$N$1315,1)</f>
        <v>0</v>
      </c>
      <c r="BG61" s="35"/>
      <c r="BH61" s="28">
        <f>COUNTIFS(DataRegularSeason20242025!$E$2:$E$1315,TotalTeamGames20242025!BG$1,DataRegularSeason20242025!$D$2:$D$1315,TotalTeamGames20242025!$A61,DataRegularSeason20242025!$N$2:$N$1315,1)</f>
        <v>0</v>
      </c>
      <c r="BI61" s="35"/>
      <c r="BJ61" s="36"/>
      <c r="BK61" s="35"/>
      <c r="BL61" s="28">
        <f>COUNTIFS(DataRegularSeason20242025!$E$2:$E$1315,TotalTeamGames20242025!BK$1,DataRegularSeason20242025!$D$2:$D$1315,TotalTeamGames20242025!$A61,DataRegularSeason20242025!$N$2:$N$1315,1)</f>
        <v>0</v>
      </c>
      <c r="BM61" s="35"/>
      <c r="BN61" s="28">
        <f>COUNTIFS(DataRegularSeason20242025!$E$2:$E$1315,TotalTeamGames20242025!BM$1,DataRegularSeason20242025!$D$2:$D$1315,TotalTeamGames20242025!$A61,DataRegularSeason20242025!$N$2:$N$1315,1)</f>
        <v>0</v>
      </c>
      <c r="BO61" s="30">
        <f t="shared" si="0"/>
        <v>3</v>
      </c>
      <c r="BP61" s="165">
        <f t="shared" ref="BP61" si="57">BO61+BO62</f>
        <v>7</v>
      </c>
      <c r="BQ61" s="166">
        <f t="shared" ref="BQ61" si="58">82-BP61</f>
        <v>75</v>
      </c>
    </row>
    <row r="62" spans="1:69" ht="9.9499999999999993" customHeight="1" x14ac:dyDescent="0.25">
      <c r="A62" s="167"/>
      <c r="B62" s="32" t="s">
        <v>73</v>
      </c>
      <c r="C62" s="38">
        <f>COUNTIFS(DataRegularSeason20242025!$D$2:$D$1315,TotalTeamGames20242025!C$1,DataRegularSeason20242025!$E$2:$E$1315,TotalTeamGames20242025!$A61,DataRegularSeason20242025!$N$2:$N$1315,1)</f>
        <v>0</v>
      </c>
      <c r="D62" s="39"/>
      <c r="E62" s="38">
        <f>COUNTIFS(DataRegularSeason20242025!$D$2:$D$1315,TotalTeamGames20242025!E$1,DataRegularSeason20242025!$E$2:$E$1315,TotalTeamGames20242025!$A61,DataRegularSeason20242025!$N$2:$N$1315,1)</f>
        <v>1</v>
      </c>
      <c r="F62" s="39"/>
      <c r="G62" s="38">
        <f>COUNTIFS(DataRegularSeason20242025!$D$2:$D$1315,TotalTeamGames20242025!G$1,DataRegularSeason20242025!$E$2:$E$1315,TotalTeamGames20242025!$A61,DataRegularSeason20242025!$N$2:$N$1315,1)</f>
        <v>0</v>
      </c>
      <c r="H62" s="39"/>
      <c r="I62" s="38">
        <f>COUNTIFS(DataRegularSeason20242025!$D$2:$D$1315,TotalTeamGames20242025!I$1,DataRegularSeason20242025!$E$2:$E$1315,TotalTeamGames20242025!$A61,DataRegularSeason20242025!$N$2:$N$1315,1)</f>
        <v>1</v>
      </c>
      <c r="J62" s="39"/>
      <c r="K62" s="38">
        <f>COUNTIFS(DataRegularSeason20242025!$D$2:$D$1315,TotalTeamGames20242025!K$1,DataRegularSeason20242025!$E$2:$E$1315,TotalTeamGames20242025!$A61,DataRegularSeason20242025!$N$2:$N$1315,1)</f>
        <v>0</v>
      </c>
      <c r="L62" s="39"/>
      <c r="M62" s="38">
        <f>COUNTIFS(DataRegularSeason20242025!$D$2:$D$1315,TotalTeamGames20242025!M$1,DataRegularSeason20242025!$E$2:$E$1315,TotalTeamGames20242025!$A61,DataRegularSeason20242025!$N$2:$N$1315,1)</f>
        <v>1</v>
      </c>
      <c r="N62" s="39"/>
      <c r="O62" s="38">
        <f>COUNTIFS(DataRegularSeason20242025!$D$2:$D$1315,TotalTeamGames20242025!O$1,DataRegularSeason20242025!$E$2:$E$1315,TotalTeamGames20242025!$A61,DataRegularSeason20242025!$N$2:$N$1315,1)</f>
        <v>0</v>
      </c>
      <c r="P62" s="39"/>
      <c r="Q62" s="38">
        <f>COUNTIFS(DataRegularSeason20242025!$D$2:$D$1315,TotalTeamGames20242025!Q$1,DataRegularSeason20242025!$E$2:$E$1315,TotalTeamGames20242025!$A61,DataRegularSeason20242025!$N$2:$N$1315,1)</f>
        <v>0</v>
      </c>
      <c r="R62" s="39"/>
      <c r="S62" s="38">
        <f>COUNTIFS(DataRegularSeason20242025!$D$2:$D$1315,TotalTeamGames20242025!S$1,DataRegularSeason20242025!$E$2:$E$1315,TotalTeamGames20242025!$A61,DataRegularSeason20242025!$N$2:$N$1315,1)</f>
        <v>0</v>
      </c>
      <c r="T62" s="39"/>
      <c r="U62" s="38">
        <f>COUNTIFS(DataRegularSeason20242025!$D$2:$D$1315,TotalTeamGames20242025!U$1,DataRegularSeason20242025!$E$2:$E$1315,TotalTeamGames20242025!$A61,DataRegularSeason20242025!$N$2:$N$1315,1)</f>
        <v>0</v>
      </c>
      <c r="V62" s="39"/>
      <c r="W62" s="38">
        <f>COUNTIFS(DataRegularSeason20242025!$D$2:$D$1315,TotalTeamGames20242025!W$1,DataRegularSeason20242025!$E$2:$E$1315,TotalTeamGames20242025!$A61,DataRegularSeason20242025!$N$2:$N$1315,1)</f>
        <v>0</v>
      </c>
      <c r="X62" s="39"/>
      <c r="Y62" s="38">
        <f>COUNTIFS(DataRegularSeason20242025!$D$2:$D$1315,TotalTeamGames20242025!Y$1,DataRegularSeason20242025!$E$2:$E$1315,TotalTeamGames20242025!$A61,DataRegularSeason20242025!$N$2:$N$1315,1)</f>
        <v>0</v>
      </c>
      <c r="Z62" s="39"/>
      <c r="AA62" s="38">
        <f>COUNTIFS(DataRegularSeason20242025!$D$2:$D$1315,TotalTeamGames20242025!AA$1,DataRegularSeason20242025!$E$2:$E$1315,TotalTeamGames20242025!$A61,DataRegularSeason20242025!$N$2:$N$1315,1)</f>
        <v>1</v>
      </c>
      <c r="AB62" s="39"/>
      <c r="AC62" s="38">
        <f>COUNTIFS(DataRegularSeason20242025!$D$2:$D$1315,TotalTeamGames20242025!AC$1,DataRegularSeason20242025!$E$2:$E$1315,TotalTeamGames20242025!$A61,DataRegularSeason20242025!$N$2:$N$1315,1)</f>
        <v>0</v>
      </c>
      <c r="AD62" s="39"/>
      <c r="AE62" s="38">
        <f>COUNTIFS(DataRegularSeason20242025!$D$2:$D$1315,TotalTeamGames20242025!AE$1,DataRegularSeason20242025!$E$2:$E$1315,TotalTeamGames20242025!$A61,DataRegularSeason20242025!$N$2:$N$1315,1)</f>
        <v>0</v>
      </c>
      <c r="AF62" s="39"/>
      <c r="AG62" s="38">
        <f>COUNTIFS(DataRegularSeason20242025!$D$2:$D$1315,TotalTeamGames20242025!AG$1,DataRegularSeason20242025!$E$2:$E$1315,TotalTeamGames20242025!$A61,DataRegularSeason20242025!$N$2:$N$1315,1)</f>
        <v>0</v>
      </c>
      <c r="AH62" s="39"/>
      <c r="AI62" s="38">
        <f>COUNTIFS(DataRegularSeason20242025!$D$2:$D$1315,TotalTeamGames20242025!AI$1,DataRegularSeason20242025!$E$2:$E$1315,TotalTeamGames20242025!$A61,DataRegularSeason20242025!$N$2:$N$1315,1)</f>
        <v>0</v>
      </c>
      <c r="AJ62" s="39"/>
      <c r="AK62" s="38">
        <f>COUNTIFS(DataRegularSeason20242025!$D$2:$D$1315,TotalTeamGames20242025!AK$1,DataRegularSeason20242025!$E$2:$E$1315,TotalTeamGames20242025!$A61,DataRegularSeason20242025!$N$2:$N$1315,1)</f>
        <v>0</v>
      </c>
      <c r="AL62" s="39"/>
      <c r="AM62" s="38">
        <f>COUNTIFS(DataRegularSeason20242025!$D$2:$D$1315,TotalTeamGames20242025!AM$1,DataRegularSeason20242025!$E$2:$E$1315,TotalTeamGames20242025!$A61,DataRegularSeason20242025!$N$2:$N$1315,1)</f>
        <v>0</v>
      </c>
      <c r="AN62" s="39"/>
      <c r="AO62" s="38">
        <f>COUNTIFS(DataRegularSeason20242025!$D$2:$D$1315,TotalTeamGames20242025!AO$1,DataRegularSeason20242025!$E$2:$E$1315,TotalTeamGames20242025!$A61,DataRegularSeason20242025!$N$2:$N$1315,1)</f>
        <v>0</v>
      </c>
      <c r="AP62" s="39"/>
      <c r="AQ62" s="38">
        <f>COUNTIFS(DataRegularSeason20242025!$D$2:$D$1315,TotalTeamGames20242025!AQ$1,DataRegularSeason20242025!$E$2:$E$1315,TotalTeamGames20242025!$A61,DataRegularSeason20242025!$N$2:$N$1315,1)</f>
        <v>0</v>
      </c>
      <c r="AR62" s="39"/>
      <c r="AS62" s="38">
        <f>COUNTIFS(DataRegularSeason20242025!$D$2:$D$1315,TotalTeamGames20242025!AS$1,DataRegularSeason20242025!$E$2:$E$1315,TotalTeamGames20242025!$A61,DataRegularSeason20242025!$N$2:$N$1315,1)</f>
        <v>0</v>
      </c>
      <c r="AT62" s="39"/>
      <c r="AU62" s="38">
        <f>COUNTIFS(DataRegularSeason20242025!$D$2:$D$1315,TotalTeamGames20242025!AU$1,DataRegularSeason20242025!$E$2:$E$1315,TotalTeamGames20242025!$A61,DataRegularSeason20242025!$N$2:$N$1315,1)</f>
        <v>0</v>
      </c>
      <c r="AV62" s="39"/>
      <c r="AW62" s="38">
        <f>COUNTIFS(DataRegularSeason20242025!$D$2:$D$1315,TotalTeamGames20242025!AW$1,DataRegularSeason20242025!$E$2:$E$1315,TotalTeamGames20242025!$A61,DataRegularSeason20242025!$N$2:$N$1315,1)</f>
        <v>0</v>
      </c>
      <c r="AX62" s="39"/>
      <c r="AY62" s="38">
        <f>COUNTIFS(DataRegularSeason20242025!$D$2:$D$1315,TotalTeamGames20242025!AY$1,DataRegularSeason20242025!$E$2:$E$1315,TotalTeamGames20242025!$A61,DataRegularSeason20242025!$N$2:$N$1315,1)</f>
        <v>0</v>
      </c>
      <c r="AZ62" s="39"/>
      <c r="BA62" s="38">
        <f>COUNTIFS(DataRegularSeason20242025!$D$2:$D$1315,TotalTeamGames20242025!BA$1,DataRegularSeason20242025!$E$2:$E$1315,TotalTeamGames20242025!$A61,DataRegularSeason20242025!$N$2:$N$1315,1)</f>
        <v>0</v>
      </c>
      <c r="BB62" s="39"/>
      <c r="BC62" s="38">
        <f>COUNTIFS(DataRegularSeason20242025!$D$2:$D$1315,TotalTeamGames20242025!BC$1,DataRegularSeason20242025!$E$2:$E$1315,TotalTeamGames20242025!$A61,DataRegularSeason20242025!$N$2:$N$1315,1)</f>
        <v>0</v>
      </c>
      <c r="BD62" s="39"/>
      <c r="BE62" s="38">
        <f>COUNTIFS(DataRegularSeason20242025!$D$2:$D$1315,TotalTeamGames20242025!BE$1,DataRegularSeason20242025!$E$2:$E$1315,TotalTeamGames20242025!$A61,DataRegularSeason20242025!$N$2:$N$1315,1)</f>
        <v>0</v>
      </c>
      <c r="BF62" s="39"/>
      <c r="BG62" s="38">
        <f>COUNTIFS(DataRegularSeason20242025!$D$2:$D$1315,TotalTeamGames20242025!BG$1,DataRegularSeason20242025!$E$2:$E$1315,TotalTeamGames20242025!$A61,DataRegularSeason20242025!$N$2:$N$1315,1)</f>
        <v>0</v>
      </c>
      <c r="BH62" s="39"/>
      <c r="BI62" s="38"/>
      <c r="BJ62" s="39"/>
      <c r="BK62" s="38">
        <f>COUNTIFS(DataRegularSeason20242025!$D$2:$D$1315,TotalTeamGames20242025!BK$1,DataRegularSeason20242025!$E$2:$E$1315,TotalTeamGames20242025!$A61,DataRegularSeason20242025!$N$2:$N$1315,1)</f>
        <v>0</v>
      </c>
      <c r="BL62" s="39"/>
      <c r="BM62" s="38">
        <f>COUNTIFS(DataRegularSeason20242025!$D$2:$D$1315,TotalTeamGames20242025!BM$1,DataRegularSeason20242025!$E$2:$E$1315,TotalTeamGames20242025!$A61,DataRegularSeason20242025!$N$2:$N$1315,1)</f>
        <v>0</v>
      </c>
      <c r="BN62" s="39"/>
      <c r="BO62" s="34">
        <f t="shared" si="0"/>
        <v>4</v>
      </c>
      <c r="BP62" s="165"/>
      <c r="BQ62" s="166"/>
    </row>
    <row r="63" spans="1:69" ht="9.9499999999999993" customHeight="1" x14ac:dyDescent="0.25">
      <c r="A63" s="172" t="s">
        <v>21</v>
      </c>
      <c r="B63" s="28" t="s">
        <v>74</v>
      </c>
      <c r="C63" s="35"/>
      <c r="D63" s="28">
        <f>COUNTIFS(DataRegularSeason20242025!$E$2:$E$1315,TotalTeamGames20242025!C$1,DataRegularSeason20242025!$D$2:$D$1315,TotalTeamGames20242025!$A63,DataRegularSeason20242025!$N$2:$N$1315,1)</f>
        <v>0</v>
      </c>
      <c r="E63" s="35"/>
      <c r="F63" s="28">
        <f>COUNTIFS(DataRegularSeason20242025!$E$2:$E$1315,TotalTeamGames20242025!E$1,DataRegularSeason20242025!$D$2:$D$1315,TotalTeamGames20242025!$A63,DataRegularSeason20242025!$N$2:$N$1315,1)</f>
        <v>0</v>
      </c>
      <c r="G63" s="35"/>
      <c r="H63" s="28">
        <f>COUNTIFS(DataRegularSeason20242025!$E$2:$E$1315,TotalTeamGames20242025!G$1,DataRegularSeason20242025!$D$2:$D$1315,TotalTeamGames20242025!$A63,DataRegularSeason20242025!$N$2:$N$1315,1)</f>
        <v>0</v>
      </c>
      <c r="I63" s="35"/>
      <c r="J63" s="28">
        <f>COUNTIFS(DataRegularSeason20242025!$E$2:$E$1315,TotalTeamGames20242025!I$1,DataRegularSeason20242025!$D$2:$D$1315,TotalTeamGames20242025!$A63,DataRegularSeason20242025!$N$2:$N$1315,1)</f>
        <v>0</v>
      </c>
      <c r="K63" s="35"/>
      <c r="L63" s="28">
        <f>COUNTIFS(DataRegularSeason20242025!$E$2:$E$1315,TotalTeamGames20242025!K$1,DataRegularSeason20242025!$D$2:$D$1315,TotalTeamGames20242025!$A63,DataRegularSeason20242025!$N$2:$N$1315,1)</f>
        <v>0</v>
      </c>
      <c r="M63" s="35"/>
      <c r="N63" s="28">
        <f>COUNTIFS(DataRegularSeason20242025!$E$2:$E$1315,TotalTeamGames20242025!M$1,DataRegularSeason20242025!$D$2:$D$1315,TotalTeamGames20242025!$A63,DataRegularSeason20242025!$N$2:$N$1315,1)</f>
        <v>1</v>
      </c>
      <c r="O63" s="35"/>
      <c r="P63" s="28">
        <f>COUNTIFS(DataRegularSeason20242025!$E$2:$E$1315,TotalTeamGames20242025!O$1,DataRegularSeason20242025!$D$2:$D$1315,TotalTeamGames20242025!$A63,DataRegularSeason20242025!$N$2:$N$1315,1)</f>
        <v>0</v>
      </c>
      <c r="Q63" s="35"/>
      <c r="R63" s="28">
        <f>COUNTIFS(DataRegularSeason20242025!$E$2:$E$1315,TotalTeamGames20242025!Q$1,DataRegularSeason20242025!$D$2:$D$1315,TotalTeamGames20242025!$A63,DataRegularSeason20242025!$N$2:$N$1315,1)</f>
        <v>0</v>
      </c>
      <c r="S63" s="35"/>
      <c r="T63" s="28">
        <f>COUNTIFS(DataRegularSeason20242025!$E$2:$E$1315,TotalTeamGames20242025!S$1,DataRegularSeason20242025!$D$2:$D$1315,TotalTeamGames20242025!$A63,DataRegularSeason20242025!$N$2:$N$1315,1)</f>
        <v>0</v>
      </c>
      <c r="U63" s="35"/>
      <c r="V63" s="28">
        <f>COUNTIFS(DataRegularSeason20242025!$E$2:$E$1315,TotalTeamGames20242025!U$1,DataRegularSeason20242025!$D$2:$D$1315,TotalTeamGames20242025!$A63,DataRegularSeason20242025!$N$2:$N$1315,1)</f>
        <v>0</v>
      </c>
      <c r="W63" s="35"/>
      <c r="X63" s="28">
        <f>COUNTIFS(DataRegularSeason20242025!$E$2:$E$1315,TotalTeamGames20242025!W$1,DataRegularSeason20242025!$D$2:$D$1315,TotalTeamGames20242025!$A63,DataRegularSeason20242025!$N$2:$N$1315,1)</f>
        <v>0</v>
      </c>
      <c r="Y63" s="35"/>
      <c r="Z63" s="28">
        <f>COUNTIFS(DataRegularSeason20242025!$E$2:$E$1315,TotalTeamGames20242025!Y$1,DataRegularSeason20242025!$D$2:$D$1315,TotalTeamGames20242025!$A63,DataRegularSeason20242025!$N$2:$N$1315,1)</f>
        <v>0</v>
      </c>
      <c r="AA63" s="35"/>
      <c r="AB63" s="28">
        <f>COUNTIFS(DataRegularSeason20242025!$E$2:$E$1315,TotalTeamGames20242025!AA$1,DataRegularSeason20242025!$D$2:$D$1315,TotalTeamGames20242025!$A63,DataRegularSeason20242025!$N$2:$N$1315,1)</f>
        <v>0</v>
      </c>
      <c r="AC63" s="35"/>
      <c r="AD63" s="28">
        <f>COUNTIFS(DataRegularSeason20242025!$E$2:$E$1315,TotalTeamGames20242025!AC$1,DataRegularSeason20242025!$D$2:$D$1315,TotalTeamGames20242025!$A63,DataRegularSeason20242025!$N$2:$N$1315,1)</f>
        <v>0</v>
      </c>
      <c r="AE63" s="35"/>
      <c r="AF63" s="28">
        <f>COUNTIFS(DataRegularSeason20242025!$E$2:$E$1315,TotalTeamGames20242025!AE$1,DataRegularSeason20242025!$D$2:$D$1315,TotalTeamGames20242025!$A63,DataRegularSeason20242025!$N$2:$N$1315,1)</f>
        <v>0</v>
      </c>
      <c r="AG63" s="35"/>
      <c r="AH63" s="28">
        <f>COUNTIFS(DataRegularSeason20242025!$E$2:$E$1315,TotalTeamGames20242025!AG$1,DataRegularSeason20242025!$D$2:$D$1315,TotalTeamGames20242025!$A63,DataRegularSeason20242025!$N$2:$N$1315,1)</f>
        <v>0</v>
      </c>
      <c r="AI63" s="35"/>
      <c r="AJ63" s="28">
        <f>COUNTIFS(DataRegularSeason20242025!$E$2:$E$1315,TotalTeamGames20242025!AI$1,DataRegularSeason20242025!$D$2:$D$1315,TotalTeamGames20242025!$A63,DataRegularSeason20242025!$N$2:$N$1315,1)</f>
        <v>0</v>
      </c>
      <c r="AK63" s="35"/>
      <c r="AL63" s="28">
        <f>COUNTIFS(DataRegularSeason20242025!$E$2:$E$1315,TotalTeamGames20242025!AK$1,DataRegularSeason20242025!$D$2:$D$1315,TotalTeamGames20242025!$A63,DataRegularSeason20242025!$N$2:$N$1315,1)</f>
        <v>1</v>
      </c>
      <c r="AM63" s="35"/>
      <c r="AN63" s="28">
        <f>COUNTIFS(DataRegularSeason20242025!$E$2:$E$1315,TotalTeamGames20242025!AM$1,DataRegularSeason20242025!$D$2:$D$1315,TotalTeamGames20242025!$A63,DataRegularSeason20242025!$N$2:$N$1315,1)</f>
        <v>0</v>
      </c>
      <c r="AO63" s="35"/>
      <c r="AP63" s="28">
        <f>COUNTIFS(DataRegularSeason20242025!$E$2:$E$1315,TotalTeamGames20242025!AO$1,DataRegularSeason20242025!$D$2:$D$1315,TotalTeamGames20242025!$A63,DataRegularSeason20242025!$N$2:$N$1315,1)</f>
        <v>0</v>
      </c>
      <c r="AQ63" s="35"/>
      <c r="AR63" s="28">
        <f>COUNTIFS(DataRegularSeason20242025!$E$2:$E$1315,TotalTeamGames20242025!AQ$1,DataRegularSeason20242025!$D$2:$D$1315,TotalTeamGames20242025!$A63,DataRegularSeason20242025!$N$2:$N$1315,1)</f>
        <v>1</v>
      </c>
      <c r="AS63" s="35"/>
      <c r="AT63" s="28">
        <f>COUNTIFS(DataRegularSeason20242025!$E$2:$E$1315,TotalTeamGames20242025!AS$1,DataRegularSeason20242025!$D$2:$D$1315,TotalTeamGames20242025!$A63,DataRegularSeason20242025!$N$2:$N$1315,1)</f>
        <v>0</v>
      </c>
      <c r="AU63" s="35"/>
      <c r="AV63" s="28">
        <f>COUNTIFS(DataRegularSeason20242025!$E$2:$E$1315,TotalTeamGames20242025!AU$1,DataRegularSeason20242025!$D$2:$D$1315,TotalTeamGames20242025!$A63,DataRegularSeason20242025!$N$2:$N$1315,1)</f>
        <v>0</v>
      </c>
      <c r="AW63" s="35"/>
      <c r="AX63" s="28">
        <f>COUNTIFS(DataRegularSeason20242025!$E$2:$E$1315,TotalTeamGames20242025!AW$1,DataRegularSeason20242025!$D$2:$D$1315,TotalTeamGames20242025!$A63,DataRegularSeason20242025!$N$2:$N$1315,1)</f>
        <v>0</v>
      </c>
      <c r="AY63" s="35"/>
      <c r="AZ63" s="28">
        <f>COUNTIFS(DataRegularSeason20242025!$E$2:$E$1315,TotalTeamGames20242025!AY$1,DataRegularSeason20242025!$D$2:$D$1315,TotalTeamGames20242025!$A63,DataRegularSeason20242025!$N$2:$N$1315,1)</f>
        <v>0</v>
      </c>
      <c r="BA63" s="35"/>
      <c r="BB63" s="28">
        <f>COUNTIFS(DataRegularSeason20242025!$E$2:$E$1315,TotalTeamGames20242025!BA$1,DataRegularSeason20242025!$D$2:$D$1315,TotalTeamGames20242025!$A63,DataRegularSeason20242025!$N$2:$N$1315,1)</f>
        <v>0</v>
      </c>
      <c r="BC63" s="35"/>
      <c r="BD63" s="28">
        <f>COUNTIFS(DataRegularSeason20242025!$E$2:$E$1315,TotalTeamGames20242025!BC$1,DataRegularSeason20242025!$D$2:$D$1315,TotalTeamGames20242025!$A63,DataRegularSeason20242025!$N$2:$N$1315,1)</f>
        <v>0</v>
      </c>
      <c r="BE63" s="35"/>
      <c r="BF63" s="28">
        <f>COUNTIFS(DataRegularSeason20242025!$E$2:$E$1315,TotalTeamGames20242025!BE$1,DataRegularSeason20242025!$D$2:$D$1315,TotalTeamGames20242025!$A63,DataRegularSeason20242025!$N$2:$N$1315,1)</f>
        <v>0</v>
      </c>
      <c r="BG63" s="35"/>
      <c r="BH63" s="28">
        <f>COUNTIFS(DataRegularSeason20242025!$E$2:$E$1315,TotalTeamGames20242025!BG$1,DataRegularSeason20242025!$D$2:$D$1315,TotalTeamGames20242025!$A63,DataRegularSeason20242025!$N$2:$N$1315,1)</f>
        <v>0</v>
      </c>
      <c r="BI63" s="35"/>
      <c r="BJ63" s="28">
        <f>COUNTIFS(DataRegularSeason20242025!$E$2:$E$1315,TotalTeamGames20242025!BI$1,DataRegularSeason20242025!$D$2:$D$1315,TotalTeamGames20242025!$A63,DataRegularSeason20242025!$N$2:$N$1315,1)</f>
        <v>0</v>
      </c>
      <c r="BK63" s="35"/>
      <c r="BL63" s="36"/>
      <c r="BM63" s="35"/>
      <c r="BN63" s="28">
        <f>COUNTIFS(DataRegularSeason20242025!$E$2:$E$1315,TotalTeamGames20242025!BM$1,DataRegularSeason20242025!$D$2:$D$1315,TotalTeamGames20242025!$A63,DataRegularSeason20242025!$N$2:$N$1315,1)</f>
        <v>0</v>
      </c>
      <c r="BO63" s="30">
        <f t="shared" si="0"/>
        <v>3</v>
      </c>
      <c r="BP63" s="165">
        <f t="shared" ref="BP63" si="59">BO63+BO64</f>
        <v>6</v>
      </c>
      <c r="BQ63" s="166">
        <f t="shared" ref="BQ63" si="60">82-BP63</f>
        <v>76</v>
      </c>
    </row>
    <row r="64" spans="1:69" ht="9.9499999999999993" customHeight="1" x14ac:dyDescent="0.25">
      <c r="A64" s="167"/>
      <c r="B64" s="32" t="s">
        <v>73</v>
      </c>
      <c r="C64" s="38">
        <f>COUNTIFS(DataRegularSeason20242025!$D$2:$D$1315,TotalTeamGames20242025!C$1,DataRegularSeason20242025!$E$2:$E$1315,TotalTeamGames20242025!$A63,DataRegularSeason20242025!$N$2:$N$1315,1)</f>
        <v>0</v>
      </c>
      <c r="D64" s="39"/>
      <c r="E64" s="38">
        <f>COUNTIFS(DataRegularSeason20242025!$D$2:$D$1315,TotalTeamGames20242025!E$1,DataRegularSeason20242025!$E$2:$E$1315,TotalTeamGames20242025!$A63,DataRegularSeason20242025!$N$2:$N$1315,1)</f>
        <v>0</v>
      </c>
      <c r="F64" s="39"/>
      <c r="G64" s="38">
        <f>COUNTIFS(DataRegularSeason20242025!$D$2:$D$1315,TotalTeamGames20242025!G$1,DataRegularSeason20242025!$E$2:$E$1315,TotalTeamGames20242025!$A63,DataRegularSeason20242025!$N$2:$N$1315,1)</f>
        <v>0</v>
      </c>
      <c r="H64" s="39"/>
      <c r="I64" s="38">
        <f>COUNTIFS(DataRegularSeason20242025!$D$2:$D$1315,TotalTeamGames20242025!I$1,DataRegularSeason20242025!$E$2:$E$1315,TotalTeamGames20242025!$A63,DataRegularSeason20242025!$N$2:$N$1315,1)</f>
        <v>0</v>
      </c>
      <c r="J64" s="39"/>
      <c r="K64" s="38">
        <f>COUNTIFS(DataRegularSeason20242025!$D$2:$D$1315,TotalTeamGames20242025!K$1,DataRegularSeason20242025!$E$2:$E$1315,TotalTeamGames20242025!$A63,DataRegularSeason20242025!$N$2:$N$1315,1)</f>
        <v>0</v>
      </c>
      <c r="L64" s="39"/>
      <c r="M64" s="38">
        <f>COUNTIFS(DataRegularSeason20242025!$D$2:$D$1315,TotalTeamGames20242025!M$1,DataRegularSeason20242025!$E$2:$E$1315,TotalTeamGames20242025!$A63,DataRegularSeason20242025!$N$2:$N$1315,1)</f>
        <v>0</v>
      </c>
      <c r="N64" s="39"/>
      <c r="O64" s="38">
        <f>COUNTIFS(DataRegularSeason20242025!$D$2:$D$1315,TotalTeamGames20242025!O$1,DataRegularSeason20242025!$E$2:$E$1315,TotalTeamGames20242025!$A63,DataRegularSeason20242025!$N$2:$N$1315,1)</f>
        <v>0</v>
      </c>
      <c r="P64" s="39"/>
      <c r="Q64" s="38">
        <f>COUNTIFS(DataRegularSeason20242025!$D$2:$D$1315,TotalTeamGames20242025!Q$1,DataRegularSeason20242025!$E$2:$E$1315,TotalTeamGames20242025!$A63,DataRegularSeason20242025!$N$2:$N$1315,1)</f>
        <v>0</v>
      </c>
      <c r="R64" s="39"/>
      <c r="S64" s="38">
        <f>COUNTIFS(DataRegularSeason20242025!$D$2:$D$1315,TotalTeamGames20242025!S$1,DataRegularSeason20242025!$E$2:$E$1315,TotalTeamGames20242025!$A63,DataRegularSeason20242025!$N$2:$N$1315,1)</f>
        <v>1</v>
      </c>
      <c r="T64" s="39"/>
      <c r="U64" s="38">
        <f>COUNTIFS(DataRegularSeason20242025!$D$2:$D$1315,TotalTeamGames20242025!U$1,DataRegularSeason20242025!$E$2:$E$1315,TotalTeamGames20242025!$A63,DataRegularSeason20242025!$N$2:$N$1315,1)</f>
        <v>0</v>
      </c>
      <c r="V64" s="39"/>
      <c r="W64" s="38">
        <f>COUNTIFS(DataRegularSeason20242025!$D$2:$D$1315,TotalTeamGames20242025!W$1,DataRegularSeason20242025!$E$2:$E$1315,TotalTeamGames20242025!$A63,DataRegularSeason20242025!$N$2:$N$1315,1)</f>
        <v>0</v>
      </c>
      <c r="X64" s="39"/>
      <c r="Y64" s="38">
        <f>COUNTIFS(DataRegularSeason20242025!$D$2:$D$1315,TotalTeamGames20242025!Y$1,DataRegularSeason20242025!$E$2:$E$1315,TotalTeamGames20242025!$A63,DataRegularSeason20242025!$N$2:$N$1315,1)</f>
        <v>0</v>
      </c>
      <c r="Z64" s="39"/>
      <c r="AA64" s="38">
        <f>COUNTIFS(DataRegularSeason20242025!$D$2:$D$1315,TotalTeamGames20242025!AA$1,DataRegularSeason20242025!$E$2:$E$1315,TotalTeamGames20242025!$A63,DataRegularSeason20242025!$N$2:$N$1315,1)</f>
        <v>1</v>
      </c>
      <c r="AB64" s="39"/>
      <c r="AC64" s="38">
        <f>COUNTIFS(DataRegularSeason20242025!$D$2:$D$1315,TotalTeamGames20242025!AC$1,DataRegularSeason20242025!$E$2:$E$1315,TotalTeamGames20242025!$A63,DataRegularSeason20242025!$N$2:$N$1315,1)</f>
        <v>0</v>
      </c>
      <c r="AD64" s="39"/>
      <c r="AE64" s="38">
        <f>COUNTIFS(DataRegularSeason20242025!$D$2:$D$1315,TotalTeamGames20242025!AE$1,DataRegularSeason20242025!$E$2:$E$1315,TotalTeamGames20242025!$A63,DataRegularSeason20242025!$N$2:$N$1315,1)</f>
        <v>0</v>
      </c>
      <c r="AF64" s="39"/>
      <c r="AG64" s="38">
        <f>COUNTIFS(DataRegularSeason20242025!$D$2:$D$1315,TotalTeamGames20242025!AG$1,DataRegularSeason20242025!$E$2:$E$1315,TotalTeamGames20242025!$A63,DataRegularSeason20242025!$N$2:$N$1315,1)</f>
        <v>0</v>
      </c>
      <c r="AH64" s="39"/>
      <c r="AI64" s="38">
        <f>COUNTIFS(DataRegularSeason20242025!$D$2:$D$1315,TotalTeamGames20242025!AI$1,DataRegularSeason20242025!$E$2:$E$1315,TotalTeamGames20242025!$A63,DataRegularSeason20242025!$N$2:$N$1315,1)</f>
        <v>1</v>
      </c>
      <c r="AJ64" s="39"/>
      <c r="AK64" s="38">
        <f>COUNTIFS(DataRegularSeason20242025!$D$2:$D$1315,TotalTeamGames20242025!AK$1,DataRegularSeason20242025!$E$2:$E$1315,TotalTeamGames20242025!$A63,DataRegularSeason20242025!$N$2:$N$1315,1)</f>
        <v>0</v>
      </c>
      <c r="AL64" s="39"/>
      <c r="AM64" s="38">
        <f>COUNTIFS(DataRegularSeason20242025!$D$2:$D$1315,TotalTeamGames20242025!AM$1,DataRegularSeason20242025!$E$2:$E$1315,TotalTeamGames20242025!$A63,DataRegularSeason20242025!$N$2:$N$1315,1)</f>
        <v>0</v>
      </c>
      <c r="AN64" s="39"/>
      <c r="AO64" s="38">
        <f>COUNTIFS(DataRegularSeason20242025!$D$2:$D$1315,TotalTeamGames20242025!AO$1,DataRegularSeason20242025!$E$2:$E$1315,TotalTeamGames20242025!$A63,DataRegularSeason20242025!$N$2:$N$1315,1)</f>
        <v>0</v>
      </c>
      <c r="AP64" s="39"/>
      <c r="AQ64" s="38">
        <f>COUNTIFS(DataRegularSeason20242025!$D$2:$D$1315,TotalTeamGames20242025!AQ$1,DataRegularSeason20242025!$E$2:$E$1315,TotalTeamGames20242025!$A63,DataRegularSeason20242025!$N$2:$N$1315,1)</f>
        <v>0</v>
      </c>
      <c r="AR64" s="39"/>
      <c r="AS64" s="38">
        <f>COUNTIFS(DataRegularSeason20242025!$D$2:$D$1315,TotalTeamGames20242025!AS$1,DataRegularSeason20242025!$E$2:$E$1315,TotalTeamGames20242025!$A63,DataRegularSeason20242025!$N$2:$N$1315,1)</f>
        <v>0</v>
      </c>
      <c r="AT64" s="39"/>
      <c r="AU64" s="38">
        <f>COUNTIFS(DataRegularSeason20242025!$D$2:$D$1315,TotalTeamGames20242025!AU$1,DataRegularSeason20242025!$E$2:$E$1315,TotalTeamGames20242025!$A63,DataRegularSeason20242025!$N$2:$N$1315,1)</f>
        <v>0</v>
      </c>
      <c r="AV64" s="39"/>
      <c r="AW64" s="38">
        <f>COUNTIFS(DataRegularSeason20242025!$D$2:$D$1315,TotalTeamGames20242025!AW$1,DataRegularSeason20242025!$E$2:$E$1315,TotalTeamGames20242025!$A63,DataRegularSeason20242025!$N$2:$N$1315,1)</f>
        <v>0</v>
      </c>
      <c r="AX64" s="39"/>
      <c r="AY64" s="38">
        <f>COUNTIFS(DataRegularSeason20242025!$D$2:$D$1315,TotalTeamGames20242025!AY$1,DataRegularSeason20242025!$E$2:$E$1315,TotalTeamGames20242025!$A63,DataRegularSeason20242025!$N$2:$N$1315,1)</f>
        <v>0</v>
      </c>
      <c r="AZ64" s="39"/>
      <c r="BA64" s="38">
        <f>COUNTIFS(DataRegularSeason20242025!$D$2:$D$1315,TotalTeamGames20242025!BA$1,DataRegularSeason20242025!$E$2:$E$1315,TotalTeamGames20242025!$A63,DataRegularSeason20242025!$N$2:$N$1315,1)</f>
        <v>0</v>
      </c>
      <c r="BB64" s="39"/>
      <c r="BC64" s="38">
        <f>COUNTIFS(DataRegularSeason20242025!$D$2:$D$1315,TotalTeamGames20242025!BC$1,DataRegularSeason20242025!$E$2:$E$1315,TotalTeamGames20242025!$A63,DataRegularSeason20242025!$N$2:$N$1315,1)</f>
        <v>0</v>
      </c>
      <c r="BD64" s="39"/>
      <c r="BE64" s="38">
        <f>COUNTIFS(DataRegularSeason20242025!$D$2:$D$1315,TotalTeamGames20242025!BE$1,DataRegularSeason20242025!$E$2:$E$1315,TotalTeamGames20242025!$A63,DataRegularSeason20242025!$N$2:$N$1315,1)</f>
        <v>0</v>
      </c>
      <c r="BF64" s="39"/>
      <c r="BG64" s="38">
        <f>COUNTIFS(DataRegularSeason20242025!$D$2:$D$1315,TotalTeamGames20242025!BG$1,DataRegularSeason20242025!$E$2:$E$1315,TotalTeamGames20242025!$A63,DataRegularSeason20242025!$N$2:$N$1315,1)</f>
        <v>0</v>
      </c>
      <c r="BH64" s="39"/>
      <c r="BI64" s="38">
        <f>COUNTIFS(DataRegularSeason20242025!$D$2:$D$1315,TotalTeamGames20242025!BI$1,DataRegularSeason20242025!$E$2:$E$1315,TotalTeamGames20242025!$A63,DataRegularSeason20242025!$N$2:$N$1315,1)</f>
        <v>0</v>
      </c>
      <c r="BJ64" s="39"/>
      <c r="BK64" s="38"/>
      <c r="BL64" s="39"/>
      <c r="BM64" s="38">
        <f>COUNTIFS(DataRegularSeason20242025!$D$2:$D$1315,TotalTeamGames20242025!BM$1,DataRegularSeason20242025!$E$2:$E$1315,TotalTeamGames20242025!$A63,DataRegularSeason20242025!$N$2:$N$1315,1)</f>
        <v>0</v>
      </c>
      <c r="BN64" s="39"/>
      <c r="BO64" s="34">
        <f t="shared" si="0"/>
        <v>3</v>
      </c>
      <c r="BP64" s="165"/>
      <c r="BQ64" s="166"/>
    </row>
    <row r="65" spans="1:69" ht="9.9499999999999993" customHeight="1" x14ac:dyDescent="0.25">
      <c r="A65" s="172" t="s">
        <v>43</v>
      </c>
      <c r="B65" s="28" t="s">
        <v>74</v>
      </c>
      <c r="C65" s="35"/>
      <c r="D65" s="28">
        <f>COUNTIFS(DataRegularSeason20242025!$E$2:$E$1315,TotalTeamGames20242025!C$1,DataRegularSeason20242025!$D$2:$D$1315,TotalTeamGames20242025!$A65,DataRegularSeason20242025!$N$2:$N$1315,1)</f>
        <v>0</v>
      </c>
      <c r="E65" s="35"/>
      <c r="F65" s="28">
        <f>COUNTIFS(DataRegularSeason20242025!$E$2:$E$1315,TotalTeamGames20242025!E$1,DataRegularSeason20242025!$D$2:$D$1315,TotalTeamGames20242025!$A65,DataRegularSeason20242025!$N$2:$N$1315,1)</f>
        <v>0</v>
      </c>
      <c r="G65" s="35"/>
      <c r="H65" s="28">
        <f>COUNTIFS(DataRegularSeason20242025!$E$2:$E$1315,TotalTeamGames20242025!G$1,DataRegularSeason20242025!$D$2:$D$1315,TotalTeamGames20242025!$A65,DataRegularSeason20242025!$N$2:$N$1315,1)</f>
        <v>0</v>
      </c>
      <c r="I65" s="35"/>
      <c r="J65" s="28">
        <f>COUNTIFS(DataRegularSeason20242025!$E$2:$E$1315,TotalTeamGames20242025!I$1,DataRegularSeason20242025!$D$2:$D$1315,TotalTeamGames20242025!$A65,DataRegularSeason20242025!$N$2:$N$1315,1)</f>
        <v>0</v>
      </c>
      <c r="K65" s="35"/>
      <c r="L65" s="28">
        <f>COUNTIFS(DataRegularSeason20242025!$E$2:$E$1315,TotalTeamGames20242025!K$1,DataRegularSeason20242025!$D$2:$D$1315,TotalTeamGames20242025!$A65,DataRegularSeason20242025!$N$2:$N$1315,1)</f>
        <v>0</v>
      </c>
      <c r="M65" s="35"/>
      <c r="N65" s="28">
        <f>COUNTIFS(DataRegularSeason20242025!$E$2:$E$1315,TotalTeamGames20242025!M$1,DataRegularSeason20242025!$D$2:$D$1315,TotalTeamGames20242025!$A65,DataRegularSeason20242025!$N$2:$N$1315,1)</f>
        <v>0</v>
      </c>
      <c r="O65" s="35"/>
      <c r="P65" s="28">
        <f>COUNTIFS(DataRegularSeason20242025!$E$2:$E$1315,TotalTeamGames20242025!O$1,DataRegularSeason20242025!$D$2:$D$1315,TotalTeamGames20242025!$A65,DataRegularSeason20242025!$N$2:$N$1315,1)</f>
        <v>0</v>
      </c>
      <c r="Q65" s="35"/>
      <c r="R65" s="28">
        <f>COUNTIFS(DataRegularSeason20242025!$E$2:$E$1315,TotalTeamGames20242025!Q$1,DataRegularSeason20242025!$D$2:$D$1315,TotalTeamGames20242025!$A65,DataRegularSeason20242025!$N$2:$N$1315,1)</f>
        <v>0</v>
      </c>
      <c r="S65" s="35"/>
      <c r="T65" s="28">
        <f>COUNTIFS(DataRegularSeason20242025!$E$2:$E$1315,TotalTeamGames20242025!S$1,DataRegularSeason20242025!$D$2:$D$1315,TotalTeamGames20242025!$A65,DataRegularSeason20242025!$N$2:$N$1315,1)</f>
        <v>0</v>
      </c>
      <c r="U65" s="35"/>
      <c r="V65" s="28">
        <f>COUNTIFS(DataRegularSeason20242025!$E$2:$E$1315,TotalTeamGames20242025!U$1,DataRegularSeason20242025!$D$2:$D$1315,TotalTeamGames20242025!$A65,DataRegularSeason20242025!$N$2:$N$1315,1)</f>
        <v>0</v>
      </c>
      <c r="W65" s="35"/>
      <c r="X65" s="28">
        <f>COUNTIFS(DataRegularSeason20242025!$E$2:$E$1315,TotalTeamGames20242025!W$1,DataRegularSeason20242025!$D$2:$D$1315,TotalTeamGames20242025!$A65,DataRegularSeason20242025!$N$2:$N$1315,1)</f>
        <v>0</v>
      </c>
      <c r="Y65" s="35"/>
      <c r="Z65" s="28">
        <f>COUNTIFS(DataRegularSeason20242025!$E$2:$E$1315,TotalTeamGames20242025!Y$1,DataRegularSeason20242025!$D$2:$D$1315,TotalTeamGames20242025!$A65,DataRegularSeason20242025!$N$2:$N$1315,1)</f>
        <v>0</v>
      </c>
      <c r="AA65" s="35"/>
      <c r="AB65" s="28">
        <f>COUNTIFS(DataRegularSeason20242025!$E$2:$E$1315,TotalTeamGames20242025!AA$1,DataRegularSeason20242025!$D$2:$D$1315,TotalTeamGames20242025!$A65,DataRegularSeason20242025!$N$2:$N$1315,1)</f>
        <v>0</v>
      </c>
      <c r="AC65" s="35"/>
      <c r="AD65" s="28">
        <f>COUNTIFS(DataRegularSeason20242025!$E$2:$E$1315,TotalTeamGames20242025!AC$1,DataRegularSeason20242025!$D$2:$D$1315,TotalTeamGames20242025!$A65,DataRegularSeason20242025!$N$2:$N$1315,1)</f>
        <v>0</v>
      </c>
      <c r="AE65" s="35"/>
      <c r="AF65" s="28">
        <f>COUNTIFS(DataRegularSeason20242025!$E$2:$E$1315,TotalTeamGames20242025!AE$1,DataRegularSeason20242025!$D$2:$D$1315,TotalTeamGames20242025!$A65,DataRegularSeason20242025!$N$2:$N$1315,1)</f>
        <v>0</v>
      </c>
      <c r="AG65" s="35"/>
      <c r="AH65" s="28">
        <f>COUNTIFS(DataRegularSeason20242025!$E$2:$E$1315,TotalTeamGames20242025!AG$1,DataRegularSeason20242025!$D$2:$D$1315,TotalTeamGames20242025!$A65,DataRegularSeason20242025!$N$2:$N$1315,1)</f>
        <v>0</v>
      </c>
      <c r="AI65" s="35"/>
      <c r="AJ65" s="28">
        <f>COUNTIFS(DataRegularSeason20242025!$E$2:$E$1315,TotalTeamGames20242025!AI$1,DataRegularSeason20242025!$D$2:$D$1315,TotalTeamGames20242025!$A65,DataRegularSeason20242025!$N$2:$N$1315,1)</f>
        <v>0</v>
      </c>
      <c r="AK65" s="35"/>
      <c r="AL65" s="28">
        <f>COUNTIFS(DataRegularSeason20242025!$E$2:$E$1315,TotalTeamGames20242025!AK$1,DataRegularSeason20242025!$D$2:$D$1315,TotalTeamGames20242025!$A65,DataRegularSeason20242025!$N$2:$N$1315,1)</f>
        <v>1</v>
      </c>
      <c r="AM65" s="35"/>
      <c r="AN65" s="28">
        <f>COUNTIFS(DataRegularSeason20242025!$E$2:$E$1315,TotalTeamGames20242025!AM$1,DataRegularSeason20242025!$D$2:$D$1315,TotalTeamGames20242025!$A65,DataRegularSeason20242025!$N$2:$N$1315,1)</f>
        <v>1</v>
      </c>
      <c r="AO65" s="35"/>
      <c r="AP65" s="28">
        <f>COUNTIFS(DataRegularSeason20242025!$E$2:$E$1315,TotalTeamGames20242025!AO$1,DataRegularSeason20242025!$D$2:$D$1315,TotalTeamGames20242025!$A65,DataRegularSeason20242025!$N$2:$N$1315,1)</f>
        <v>0</v>
      </c>
      <c r="AQ65" s="35"/>
      <c r="AR65" s="28">
        <f>COUNTIFS(DataRegularSeason20242025!$E$2:$E$1315,TotalTeamGames20242025!AQ$1,DataRegularSeason20242025!$D$2:$D$1315,TotalTeamGames20242025!$A65,DataRegularSeason20242025!$N$2:$N$1315,1)</f>
        <v>0</v>
      </c>
      <c r="AS65" s="35"/>
      <c r="AT65" s="28">
        <f>COUNTIFS(DataRegularSeason20242025!$E$2:$E$1315,TotalTeamGames20242025!AS$1,DataRegularSeason20242025!$D$2:$D$1315,TotalTeamGames20242025!$A65,DataRegularSeason20242025!$N$2:$N$1315,1)</f>
        <v>0</v>
      </c>
      <c r="AU65" s="35"/>
      <c r="AV65" s="28">
        <f>COUNTIFS(DataRegularSeason20242025!$E$2:$E$1315,TotalTeamGames20242025!AU$1,DataRegularSeason20242025!$D$2:$D$1315,TotalTeamGames20242025!$A65,DataRegularSeason20242025!$N$2:$N$1315,1)</f>
        <v>0</v>
      </c>
      <c r="AW65" s="35"/>
      <c r="AX65" s="28">
        <f>COUNTIFS(DataRegularSeason20242025!$E$2:$E$1315,TotalTeamGames20242025!AW$1,DataRegularSeason20242025!$D$2:$D$1315,TotalTeamGames20242025!$A65,DataRegularSeason20242025!$N$2:$N$1315,1)</f>
        <v>0</v>
      </c>
      <c r="AY65" s="35"/>
      <c r="AZ65" s="28">
        <f>COUNTIFS(DataRegularSeason20242025!$E$2:$E$1315,TotalTeamGames20242025!AY$1,DataRegularSeason20242025!$D$2:$D$1315,TotalTeamGames20242025!$A65,DataRegularSeason20242025!$N$2:$N$1315,1)</f>
        <v>0</v>
      </c>
      <c r="BA65" s="35"/>
      <c r="BB65" s="28">
        <f>COUNTIFS(DataRegularSeason20242025!$E$2:$E$1315,TotalTeamGames20242025!BA$1,DataRegularSeason20242025!$D$2:$D$1315,TotalTeamGames20242025!$A65,DataRegularSeason20242025!$N$2:$N$1315,1)</f>
        <v>0</v>
      </c>
      <c r="BC65" s="35"/>
      <c r="BD65" s="28">
        <f>COUNTIFS(DataRegularSeason20242025!$E$2:$E$1315,TotalTeamGames20242025!BC$1,DataRegularSeason20242025!$D$2:$D$1315,TotalTeamGames20242025!$A65,DataRegularSeason20242025!$N$2:$N$1315,1)</f>
        <v>0</v>
      </c>
      <c r="BE65" s="35"/>
      <c r="BF65" s="28">
        <f>COUNTIFS(DataRegularSeason20242025!$E$2:$E$1315,TotalTeamGames20242025!BE$1,DataRegularSeason20242025!$D$2:$D$1315,TotalTeamGames20242025!$A65,DataRegularSeason20242025!$N$2:$N$1315,1)</f>
        <v>0</v>
      </c>
      <c r="BG65" s="35"/>
      <c r="BH65" s="28">
        <f>COUNTIFS(DataRegularSeason20242025!$E$2:$E$1315,TotalTeamGames20242025!BG$1,DataRegularSeason20242025!$D$2:$D$1315,TotalTeamGames20242025!$A65,DataRegularSeason20242025!$N$2:$N$1315,1)</f>
        <v>0</v>
      </c>
      <c r="BI65" s="35"/>
      <c r="BJ65" s="28">
        <f>COUNTIFS(DataRegularSeason20242025!$E$2:$E$1315,TotalTeamGames20242025!BI$1,DataRegularSeason20242025!$D$2:$D$1315,TotalTeamGames20242025!$A65,DataRegularSeason20242025!$N$2:$N$1315,1)</f>
        <v>0</v>
      </c>
      <c r="BK65" s="35"/>
      <c r="BL65" s="28">
        <f>COUNTIFS(DataRegularSeason20242025!$E$2:$E$1315,TotalTeamGames20242025!BK$1,DataRegularSeason20242025!$D$2:$D$1315,TotalTeamGames20242025!$A65,DataRegularSeason20242025!$N$2:$N$1315,1)</f>
        <v>0</v>
      </c>
      <c r="BM65" s="35"/>
      <c r="BN65" s="36"/>
      <c r="BO65" s="30">
        <f t="shared" si="0"/>
        <v>2</v>
      </c>
      <c r="BP65" s="165">
        <f t="shared" ref="BP65" si="61">BO65+BO66</f>
        <v>7</v>
      </c>
      <c r="BQ65" s="166">
        <f t="shared" ref="BQ65" si="62">82-BP65</f>
        <v>75</v>
      </c>
    </row>
    <row r="66" spans="1:69" ht="9.9499999999999993" customHeight="1" x14ac:dyDescent="0.25">
      <c r="A66" s="167"/>
      <c r="B66" s="32" t="s">
        <v>73</v>
      </c>
      <c r="C66" s="38">
        <f>COUNTIFS(DataRegularSeason20242025!$D$2:$D$1315,TotalTeamGames20242025!C$1,DataRegularSeason20242025!$E$2:$E$1315,TotalTeamGames20242025!$A65,DataRegularSeason20242025!$N$2:$N$1315,1)</f>
        <v>0</v>
      </c>
      <c r="D66" s="39"/>
      <c r="E66" s="38">
        <f>COUNTIFS(DataRegularSeason20242025!$D$2:$D$1315,TotalTeamGames20242025!E$1,DataRegularSeason20242025!$E$2:$E$1315,TotalTeamGames20242025!$A65,DataRegularSeason20242025!$N$2:$N$1315,1)</f>
        <v>1</v>
      </c>
      <c r="F66" s="39"/>
      <c r="G66" s="38">
        <f>COUNTIFS(DataRegularSeason20242025!$D$2:$D$1315,TotalTeamGames20242025!G$1,DataRegularSeason20242025!$E$2:$E$1315,TotalTeamGames20242025!$A65,DataRegularSeason20242025!$N$2:$N$1315,1)</f>
        <v>0</v>
      </c>
      <c r="H66" s="39"/>
      <c r="I66" s="38">
        <f>COUNTIFS(DataRegularSeason20242025!$D$2:$D$1315,TotalTeamGames20242025!I$1,DataRegularSeason20242025!$E$2:$E$1315,TotalTeamGames20242025!$A65,DataRegularSeason20242025!$N$2:$N$1315,1)</f>
        <v>0</v>
      </c>
      <c r="J66" s="39"/>
      <c r="K66" s="38">
        <f>COUNTIFS(DataRegularSeason20242025!$D$2:$D$1315,TotalTeamGames20242025!K$1,DataRegularSeason20242025!$E$2:$E$1315,TotalTeamGames20242025!$A65,DataRegularSeason20242025!$N$2:$N$1315,1)</f>
        <v>0</v>
      </c>
      <c r="L66" s="39"/>
      <c r="M66" s="38">
        <f>COUNTIFS(DataRegularSeason20242025!$D$2:$D$1315,TotalTeamGames20242025!M$1,DataRegularSeason20242025!$E$2:$E$1315,TotalTeamGames20242025!$A65,DataRegularSeason20242025!$N$2:$N$1315,1)</f>
        <v>0</v>
      </c>
      <c r="N66" s="39"/>
      <c r="O66" s="38">
        <f>COUNTIFS(DataRegularSeason20242025!$D$2:$D$1315,TotalTeamGames20242025!O$1,DataRegularSeason20242025!$E$2:$E$1315,TotalTeamGames20242025!$A65,DataRegularSeason20242025!$N$2:$N$1315,1)</f>
        <v>0</v>
      </c>
      <c r="P66" s="39"/>
      <c r="Q66" s="38">
        <f>COUNTIFS(DataRegularSeason20242025!$D$2:$D$1315,TotalTeamGames20242025!Q$1,DataRegularSeason20242025!$E$2:$E$1315,TotalTeamGames20242025!$A65,DataRegularSeason20242025!$N$2:$N$1315,1)</f>
        <v>0</v>
      </c>
      <c r="R66" s="39"/>
      <c r="S66" s="38">
        <f>COUNTIFS(DataRegularSeason20242025!$D$2:$D$1315,TotalTeamGames20242025!S$1,DataRegularSeason20242025!$E$2:$E$1315,TotalTeamGames20242025!$A65,DataRegularSeason20242025!$N$2:$N$1315,1)</f>
        <v>0</v>
      </c>
      <c r="T66" s="39"/>
      <c r="U66" s="38">
        <f>COUNTIFS(DataRegularSeason20242025!$D$2:$D$1315,TotalTeamGames20242025!U$1,DataRegularSeason20242025!$E$2:$E$1315,TotalTeamGames20242025!$A65,DataRegularSeason20242025!$N$2:$N$1315,1)</f>
        <v>0</v>
      </c>
      <c r="V66" s="39"/>
      <c r="W66" s="38">
        <f>COUNTIFS(DataRegularSeason20242025!$D$2:$D$1315,TotalTeamGames20242025!W$1,DataRegularSeason20242025!$E$2:$E$1315,TotalTeamGames20242025!$A65,DataRegularSeason20242025!$N$2:$N$1315,1)</f>
        <v>0</v>
      </c>
      <c r="X66" s="39"/>
      <c r="Y66" s="38">
        <f>COUNTIFS(DataRegularSeason20242025!$D$2:$D$1315,TotalTeamGames20242025!Y$1,DataRegularSeason20242025!$E$2:$E$1315,TotalTeamGames20242025!$A65,DataRegularSeason20242025!$N$2:$N$1315,1)</f>
        <v>0</v>
      </c>
      <c r="Z66" s="39"/>
      <c r="AA66" s="38">
        <f>COUNTIFS(DataRegularSeason20242025!$D$2:$D$1315,TotalTeamGames20242025!AA$1,DataRegularSeason20242025!$E$2:$E$1315,TotalTeamGames20242025!$A65,DataRegularSeason20242025!$N$2:$N$1315,1)</f>
        <v>0</v>
      </c>
      <c r="AB66" s="39"/>
      <c r="AC66" s="38">
        <f>COUNTIFS(DataRegularSeason20242025!$D$2:$D$1315,TotalTeamGames20242025!AC$1,DataRegularSeason20242025!$E$2:$E$1315,TotalTeamGames20242025!$A65,DataRegularSeason20242025!$N$2:$N$1315,1)</f>
        <v>1</v>
      </c>
      <c r="AD66" s="39"/>
      <c r="AE66" s="38">
        <f>COUNTIFS(DataRegularSeason20242025!$D$2:$D$1315,TotalTeamGames20242025!AE$1,DataRegularSeason20242025!$E$2:$E$1315,TotalTeamGames20242025!$A65,DataRegularSeason20242025!$N$2:$N$1315,1)</f>
        <v>0</v>
      </c>
      <c r="AF66" s="39"/>
      <c r="AG66" s="38">
        <f>COUNTIFS(DataRegularSeason20242025!$D$2:$D$1315,TotalTeamGames20242025!AG$1,DataRegularSeason20242025!$E$2:$E$1315,TotalTeamGames20242025!$A65,DataRegularSeason20242025!$N$2:$N$1315,1)</f>
        <v>0</v>
      </c>
      <c r="AH66" s="39"/>
      <c r="AI66" s="38">
        <f>COUNTIFS(DataRegularSeason20242025!$D$2:$D$1315,TotalTeamGames20242025!AI$1,DataRegularSeason20242025!$E$2:$E$1315,TotalTeamGames20242025!$A65,DataRegularSeason20242025!$N$2:$N$1315,1)</f>
        <v>0</v>
      </c>
      <c r="AJ66" s="39"/>
      <c r="AK66" s="38">
        <f>COUNTIFS(DataRegularSeason20242025!$D$2:$D$1315,TotalTeamGames20242025!AK$1,DataRegularSeason20242025!$E$2:$E$1315,TotalTeamGames20242025!$A65,DataRegularSeason20242025!$N$2:$N$1315,1)</f>
        <v>0</v>
      </c>
      <c r="AL66" s="39"/>
      <c r="AM66" s="38">
        <f>COUNTIFS(DataRegularSeason20242025!$D$2:$D$1315,TotalTeamGames20242025!AM$1,DataRegularSeason20242025!$E$2:$E$1315,TotalTeamGames20242025!$A65,DataRegularSeason20242025!$N$2:$N$1315,1)</f>
        <v>0</v>
      </c>
      <c r="AN66" s="39"/>
      <c r="AO66" s="38">
        <f>COUNTIFS(DataRegularSeason20242025!$D$2:$D$1315,TotalTeamGames20242025!AO$1,DataRegularSeason20242025!$E$2:$E$1315,TotalTeamGames20242025!$A65,DataRegularSeason20242025!$N$2:$N$1315,1)</f>
        <v>0</v>
      </c>
      <c r="AP66" s="39"/>
      <c r="AQ66" s="38">
        <f>COUNTIFS(DataRegularSeason20242025!$D$2:$D$1315,TotalTeamGames20242025!AQ$1,DataRegularSeason20242025!$E$2:$E$1315,TotalTeamGames20242025!$A65,DataRegularSeason20242025!$N$2:$N$1315,1)</f>
        <v>0</v>
      </c>
      <c r="AR66" s="39"/>
      <c r="AS66" s="38">
        <f>COUNTIFS(DataRegularSeason20242025!$D$2:$D$1315,TotalTeamGames20242025!AS$1,DataRegularSeason20242025!$E$2:$E$1315,TotalTeamGames20242025!$A65,DataRegularSeason20242025!$N$2:$N$1315,1)</f>
        <v>0</v>
      </c>
      <c r="AT66" s="39"/>
      <c r="AU66" s="38">
        <f>COUNTIFS(DataRegularSeason20242025!$D$2:$D$1315,TotalTeamGames20242025!AU$1,DataRegularSeason20242025!$E$2:$E$1315,TotalTeamGames20242025!$A65,DataRegularSeason20242025!$N$2:$N$1315,1)</f>
        <v>1</v>
      </c>
      <c r="AV66" s="39"/>
      <c r="AW66" s="38">
        <f>COUNTIFS(DataRegularSeason20242025!$D$2:$D$1315,TotalTeamGames20242025!AW$1,DataRegularSeason20242025!$E$2:$E$1315,TotalTeamGames20242025!$A65,DataRegularSeason20242025!$N$2:$N$1315,1)</f>
        <v>0</v>
      </c>
      <c r="AX66" s="39"/>
      <c r="AY66" s="38">
        <f>COUNTIFS(DataRegularSeason20242025!$D$2:$D$1315,TotalTeamGames20242025!AY$1,DataRegularSeason20242025!$E$2:$E$1315,TotalTeamGames20242025!$A65,DataRegularSeason20242025!$N$2:$N$1315,1)</f>
        <v>0</v>
      </c>
      <c r="AZ66" s="39"/>
      <c r="BA66" s="38">
        <f>COUNTIFS(DataRegularSeason20242025!$D$2:$D$1315,TotalTeamGames20242025!BA$1,DataRegularSeason20242025!$E$2:$E$1315,TotalTeamGames20242025!$A65,DataRegularSeason20242025!$N$2:$N$1315,1)</f>
        <v>1</v>
      </c>
      <c r="BB66" s="39"/>
      <c r="BC66" s="38">
        <f>COUNTIFS(DataRegularSeason20242025!$D$2:$D$1315,TotalTeamGames20242025!BC$1,DataRegularSeason20242025!$E$2:$E$1315,TotalTeamGames20242025!$A65,DataRegularSeason20242025!$N$2:$N$1315,1)</f>
        <v>0</v>
      </c>
      <c r="BD66" s="39"/>
      <c r="BE66" s="38">
        <f>COUNTIFS(DataRegularSeason20242025!$D$2:$D$1315,TotalTeamGames20242025!BE$1,DataRegularSeason20242025!$E$2:$E$1315,TotalTeamGames20242025!$A65,DataRegularSeason20242025!$N$2:$N$1315,1)</f>
        <v>0</v>
      </c>
      <c r="BF66" s="39"/>
      <c r="BG66" s="38">
        <f>COUNTIFS(DataRegularSeason20242025!$D$2:$D$1315,TotalTeamGames20242025!BG$1,DataRegularSeason20242025!$E$2:$E$1315,TotalTeamGames20242025!$A65,DataRegularSeason20242025!$N$2:$N$1315,1)</f>
        <v>1</v>
      </c>
      <c r="BH66" s="39"/>
      <c r="BI66" s="38">
        <f>COUNTIFS(DataRegularSeason20242025!$D$2:$D$1315,TotalTeamGames20242025!BI$1,DataRegularSeason20242025!$E$2:$E$1315,TotalTeamGames20242025!$A65,DataRegularSeason20242025!$N$2:$N$1315,1)</f>
        <v>0</v>
      </c>
      <c r="BJ66" s="39"/>
      <c r="BK66" s="38">
        <f>COUNTIFS(DataRegularSeason20242025!$D$2:$D$1315,TotalTeamGames20242025!BK$1,DataRegularSeason20242025!$E$2:$E$1315,TotalTeamGames20242025!$A65,DataRegularSeason20242025!$N$2:$N$1315,1)</f>
        <v>0</v>
      </c>
      <c r="BL66" s="39"/>
      <c r="BM66" s="38"/>
      <c r="BN66" s="39"/>
      <c r="BO66" s="34">
        <f t="shared" si="0"/>
        <v>5</v>
      </c>
      <c r="BP66" s="165"/>
      <c r="BQ66" s="166"/>
    </row>
    <row r="67" spans="1:69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>
        <f>SUM(BP3:BP66)/2</f>
        <v>107</v>
      </c>
      <c r="BQ67" s="27">
        <f>SUM(BQ3:BQ66)/2</f>
        <v>1205</v>
      </c>
    </row>
    <row r="68" spans="1:69" x14ac:dyDescent="0.25">
      <c r="BP68" s="43">
        <f>2*BP67/SUM(BP3:BQ66)</f>
        <v>8.1554878048780491E-2</v>
      </c>
      <c r="BQ68" s="43">
        <f>2*BQ67/SUM(BP3:BQ66)</f>
        <v>0.91844512195121952</v>
      </c>
    </row>
  </sheetData>
  <mergeCells count="128">
    <mergeCell ref="C1:D1"/>
    <mergeCell ref="E1:F1"/>
    <mergeCell ref="G1:H1"/>
    <mergeCell ref="I1:J1"/>
    <mergeCell ref="K1:L1"/>
    <mergeCell ref="M1:N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  <mergeCell ref="A7:A8"/>
    <mergeCell ref="BP7:BP8"/>
    <mergeCell ref="A9:A10"/>
    <mergeCell ref="BP9:BP10"/>
    <mergeCell ref="A11:A12"/>
    <mergeCell ref="BP11:BP12"/>
    <mergeCell ref="BK1:BL1"/>
    <mergeCell ref="BM1:BN1"/>
    <mergeCell ref="A3:A4"/>
    <mergeCell ref="BP3:BP4"/>
    <mergeCell ref="A5:A6"/>
    <mergeCell ref="BP5:BP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AU1:AV1"/>
    <mergeCell ref="AW1:AX1"/>
    <mergeCell ref="A19:A20"/>
    <mergeCell ref="BP19:BP20"/>
    <mergeCell ref="A21:A22"/>
    <mergeCell ref="BP21:BP22"/>
    <mergeCell ref="A23:A24"/>
    <mergeCell ref="BP23:BP24"/>
    <mergeCell ref="A13:A14"/>
    <mergeCell ref="BP13:BP14"/>
    <mergeCell ref="A15:A16"/>
    <mergeCell ref="BP15:BP16"/>
    <mergeCell ref="A17:A18"/>
    <mergeCell ref="BP17:BP18"/>
    <mergeCell ref="A33:A34"/>
    <mergeCell ref="BP33:BP34"/>
    <mergeCell ref="A35:A36"/>
    <mergeCell ref="BP35:BP36"/>
    <mergeCell ref="A25:A26"/>
    <mergeCell ref="BP25:BP26"/>
    <mergeCell ref="A27:A28"/>
    <mergeCell ref="BP27:BP28"/>
    <mergeCell ref="A29:A30"/>
    <mergeCell ref="BP29:BP30"/>
    <mergeCell ref="A65:A66"/>
    <mergeCell ref="BP65:BP66"/>
    <mergeCell ref="A55:A56"/>
    <mergeCell ref="BP55:BP56"/>
    <mergeCell ref="A57:A58"/>
    <mergeCell ref="BP57:BP58"/>
    <mergeCell ref="A59:A60"/>
    <mergeCell ref="BP59:BP60"/>
    <mergeCell ref="A49:A50"/>
    <mergeCell ref="BP49:BP50"/>
    <mergeCell ref="A51:A52"/>
    <mergeCell ref="BP51:BP52"/>
    <mergeCell ref="A53:A54"/>
    <mergeCell ref="BP53:BP54"/>
    <mergeCell ref="BQ3:BQ4"/>
    <mergeCell ref="BQ5:BQ6"/>
    <mergeCell ref="BQ7:BQ8"/>
    <mergeCell ref="BQ9:BQ10"/>
    <mergeCell ref="BQ11:BQ12"/>
    <mergeCell ref="BQ13:BQ14"/>
    <mergeCell ref="A61:A62"/>
    <mergeCell ref="BP61:BP62"/>
    <mergeCell ref="A63:A64"/>
    <mergeCell ref="BP63:BP64"/>
    <mergeCell ref="A43:A44"/>
    <mergeCell ref="BP43:BP44"/>
    <mergeCell ref="A45:A46"/>
    <mergeCell ref="BP45:BP46"/>
    <mergeCell ref="A47:A48"/>
    <mergeCell ref="BP47:BP48"/>
    <mergeCell ref="A37:A38"/>
    <mergeCell ref="BP37:BP38"/>
    <mergeCell ref="A39:A40"/>
    <mergeCell ref="BP39:BP40"/>
    <mergeCell ref="A41:A42"/>
    <mergeCell ref="BP41:BP42"/>
    <mergeCell ref="A31:A32"/>
    <mergeCell ref="BP31:BP32"/>
    <mergeCell ref="BQ27:BQ28"/>
    <mergeCell ref="BQ29:BQ30"/>
    <mergeCell ref="BQ31:BQ32"/>
    <mergeCell ref="BQ33:BQ34"/>
    <mergeCell ref="BQ35:BQ36"/>
    <mergeCell ref="BQ37:BQ38"/>
    <mergeCell ref="BQ15:BQ16"/>
    <mergeCell ref="BQ17:BQ18"/>
    <mergeCell ref="BQ19:BQ20"/>
    <mergeCell ref="BQ21:BQ22"/>
    <mergeCell ref="BQ23:BQ24"/>
    <mergeCell ref="BQ25:BQ26"/>
    <mergeCell ref="BQ63:BQ64"/>
    <mergeCell ref="BQ65:BQ66"/>
    <mergeCell ref="BQ51:BQ52"/>
    <mergeCell ref="BQ53:BQ54"/>
    <mergeCell ref="BQ55:BQ56"/>
    <mergeCell ref="BQ57:BQ58"/>
    <mergeCell ref="BQ59:BQ60"/>
    <mergeCell ref="BQ61:BQ62"/>
    <mergeCell ref="BQ39:BQ40"/>
    <mergeCell ref="BQ41:BQ42"/>
    <mergeCell ref="BQ43:BQ44"/>
    <mergeCell ref="BQ45:BQ46"/>
    <mergeCell ref="BQ47:BQ48"/>
    <mergeCell ref="BQ49:BQ50"/>
  </mergeCells>
  <conditionalFormatting sqref="C3:BN66">
    <cfRule type="colorScale" priority="1">
      <colorScale>
        <cfvo type="num" val="0"/>
        <cfvo type="num" val="1"/>
        <cfvo type="num" val="2"/>
        <color rgb="FFFCFCFF"/>
        <color theme="9" tint="0.59999389629810485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79054-E608-4267-9610-EADCA25B69C0}">
  <dimension ref="A1:BR68"/>
  <sheetViews>
    <sheetView workbookViewId="0">
      <selection activeCell="BN56" sqref="BN56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3" customWidth="1"/>
    <col min="68" max="68" width="10.140625" bestFit="1" customWidth="1"/>
    <col min="69" max="69" width="9.140625" bestFit="1" customWidth="1"/>
    <col min="70" max="70" width="10.140625" bestFit="1" customWidth="1"/>
  </cols>
  <sheetData>
    <row r="1" spans="1:70" ht="9.9499999999999993" customHeight="1" x14ac:dyDescent="0.25">
      <c r="A1" s="27" t="s">
        <v>75</v>
      </c>
      <c r="B1" s="28"/>
      <c r="C1" s="168" t="s">
        <v>44</v>
      </c>
      <c r="D1" s="169"/>
      <c r="E1" s="168" t="s">
        <v>23</v>
      </c>
      <c r="F1" s="169"/>
      <c r="G1" s="168" t="s">
        <v>22</v>
      </c>
      <c r="H1" s="169"/>
      <c r="I1" s="168" t="s">
        <v>27</v>
      </c>
      <c r="J1" s="169"/>
      <c r="K1" s="168" t="s">
        <v>11</v>
      </c>
      <c r="L1" s="169"/>
      <c r="M1" s="168" t="s">
        <v>37</v>
      </c>
      <c r="N1" s="169"/>
      <c r="O1" s="168" t="s">
        <v>24</v>
      </c>
      <c r="P1" s="169"/>
      <c r="Q1" s="168" t="s">
        <v>26</v>
      </c>
      <c r="R1" s="176"/>
      <c r="S1" s="168" t="s">
        <v>16</v>
      </c>
      <c r="T1" s="169"/>
      <c r="U1" s="168" t="s">
        <v>25</v>
      </c>
      <c r="V1" s="169"/>
      <c r="W1" s="168" t="s">
        <v>33</v>
      </c>
      <c r="X1" s="169"/>
      <c r="Y1" s="168" t="s">
        <v>36</v>
      </c>
      <c r="Z1" s="169"/>
      <c r="AA1" s="168" t="s">
        <v>34</v>
      </c>
      <c r="AB1" s="169"/>
      <c r="AC1" s="168" t="s">
        <v>12</v>
      </c>
      <c r="AD1" s="169"/>
      <c r="AE1" s="168" t="s">
        <v>14</v>
      </c>
      <c r="AF1" s="169"/>
      <c r="AG1" s="177" t="s">
        <v>21</v>
      </c>
      <c r="AH1" s="176"/>
      <c r="AI1" s="168" t="s">
        <v>41</v>
      </c>
      <c r="AJ1" s="169"/>
      <c r="AK1" s="168" t="s">
        <v>35</v>
      </c>
      <c r="AL1" s="169"/>
      <c r="AM1" s="168" t="s">
        <v>31</v>
      </c>
      <c r="AN1" s="169"/>
      <c r="AO1" s="168" t="s">
        <v>32</v>
      </c>
      <c r="AP1" s="169"/>
      <c r="AQ1" s="168" t="s">
        <v>19</v>
      </c>
      <c r="AR1" s="169"/>
      <c r="AS1" s="168" t="s">
        <v>42</v>
      </c>
      <c r="AT1" s="169"/>
      <c r="AU1" s="168" t="s">
        <v>20</v>
      </c>
      <c r="AV1" s="169"/>
      <c r="AW1" s="168" t="s">
        <v>43</v>
      </c>
      <c r="AX1" s="176"/>
      <c r="AY1" s="168" t="s">
        <v>15</v>
      </c>
      <c r="AZ1" s="169"/>
      <c r="BA1" s="168" t="s">
        <v>28</v>
      </c>
      <c r="BB1" s="169"/>
      <c r="BC1" s="168" t="s">
        <v>30</v>
      </c>
      <c r="BD1" s="169"/>
      <c r="BE1" s="168" t="s">
        <v>13</v>
      </c>
      <c r="BF1" s="168"/>
      <c r="BG1" s="170" t="s">
        <v>18</v>
      </c>
      <c r="BH1" s="171"/>
      <c r="BI1" s="168" t="s">
        <v>29</v>
      </c>
      <c r="BJ1" s="169"/>
      <c r="BK1" s="168" t="s">
        <v>40</v>
      </c>
      <c r="BL1" s="169"/>
      <c r="BM1" s="168" t="s">
        <v>17</v>
      </c>
      <c r="BN1" s="169"/>
      <c r="BO1" s="30"/>
      <c r="BP1" s="29" t="s">
        <v>57</v>
      </c>
      <c r="BQ1" s="27" t="s">
        <v>78</v>
      </c>
    </row>
    <row r="2" spans="1:70" ht="9.9499999999999993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45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45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45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  <c r="BQ2" s="27"/>
    </row>
    <row r="3" spans="1:70" ht="9.9499999999999993" customHeight="1" x14ac:dyDescent="0.25">
      <c r="A3" s="172" t="s">
        <v>44</v>
      </c>
      <c r="B3" s="28" t="s">
        <v>74</v>
      </c>
      <c r="C3" s="35"/>
      <c r="D3" s="36"/>
      <c r="E3" s="35"/>
      <c r="F3" s="28">
        <f>COUNTIFS(DataRegularSeason20242025!$E$2:$E$1315,E$1,DataRegularSeason20242025!$D$2:$D$1315,$A3,DataRegularSeason20242025!$N$2:$N$1315,1)</f>
        <v>0</v>
      </c>
      <c r="G3" s="35"/>
      <c r="H3" s="28">
        <f>COUNTIFS(DataRegularSeason20242025!$E$2:$E$1315,G$1,DataRegularSeason20242025!$D$2:$D$1315,$A3,DataRegularSeason20242025!$N$2:$N$1315,1)</f>
        <v>0</v>
      </c>
      <c r="I3" s="35"/>
      <c r="J3" s="28">
        <f>COUNTIFS(DataRegularSeason20242025!$E$2:$E$1315,I$1,DataRegularSeason20242025!$D$2:$D$1315,$A3,DataRegularSeason20242025!$N$2:$N$1315,1)</f>
        <v>0</v>
      </c>
      <c r="K3" s="35"/>
      <c r="L3" s="28">
        <f>COUNTIFS(DataRegularSeason20242025!$E$2:$E$1315,K$1,DataRegularSeason20242025!$D$2:$D$1315,$A3,DataRegularSeason20242025!$N$2:$N$1315,1)</f>
        <v>1</v>
      </c>
      <c r="M3" s="35"/>
      <c r="N3" s="28">
        <f>COUNTIFS(DataRegularSeason20242025!$E$2:$E$1315,M$1,DataRegularSeason20242025!$D$2:$D$1315,$A3,DataRegularSeason20242025!$N$2:$N$1315,1)</f>
        <v>1</v>
      </c>
      <c r="O3" s="35"/>
      <c r="P3" s="28">
        <f>COUNTIFS(DataRegularSeason20242025!$E$2:$E$1315,O$1,DataRegularSeason20242025!$D$2:$D$1315,$A3,DataRegularSeason20242025!$N$2:$N$1315,1)</f>
        <v>0</v>
      </c>
      <c r="Q3" s="35"/>
      <c r="R3" s="55">
        <f>COUNTIFS(DataRegularSeason20242025!$E$2:$E$1315,Q$1,DataRegularSeason20242025!$D$2:$D$1315,$A3,DataRegularSeason20242025!$N$2:$N$1315,1)</f>
        <v>0</v>
      </c>
      <c r="S3" s="35"/>
      <c r="T3" s="28">
        <f>COUNTIFS(DataRegularSeason20242025!$E$2:$E$1315,S$1,DataRegularSeason20242025!$D$2:$D$1315,$A3,DataRegularSeason20242025!$N$2:$N$1315,1)</f>
        <v>1</v>
      </c>
      <c r="U3" s="35"/>
      <c r="V3" s="28">
        <f>COUNTIFS(DataRegularSeason20242025!$E$2:$E$1315,U$1,DataRegularSeason20242025!$D$2:$D$1315,$A3,DataRegularSeason20242025!$N$2:$N$1315,1)</f>
        <v>0</v>
      </c>
      <c r="W3" s="35"/>
      <c r="X3" s="28">
        <f>COUNTIFS(DataRegularSeason20242025!$E$2:$E$1315,W$1,DataRegularSeason20242025!$D$2:$D$1315,$A3,DataRegularSeason20242025!$N$2:$N$1315,1)</f>
        <v>0</v>
      </c>
      <c r="Y3" s="35"/>
      <c r="Z3" s="28">
        <f>COUNTIFS(DataRegularSeason20242025!$E$2:$E$1315,Y$1,DataRegularSeason20242025!$D$2:$D$1315,$A3,DataRegularSeason20242025!$N$2:$N$1315,1)</f>
        <v>0</v>
      </c>
      <c r="AA3" s="35"/>
      <c r="AB3" s="28">
        <f>COUNTIFS(DataRegularSeason20242025!$E$2:$E$1315,AA$1,DataRegularSeason20242025!$D$2:$D$1315,$A3,DataRegularSeason20242025!$N$2:$N$1315,1)</f>
        <v>1</v>
      </c>
      <c r="AC3" s="35"/>
      <c r="AD3" s="28">
        <f>COUNTIFS(DataRegularSeason20242025!$E$2:$E$1315,AC$1,DataRegularSeason20242025!$D$2:$D$1315,$A3,DataRegularSeason20242025!$N$2:$N$1315,1)</f>
        <v>0</v>
      </c>
      <c r="AE3" s="35"/>
      <c r="AF3" s="28">
        <f>COUNTIFS(DataRegularSeason20242025!$E$2:$E$1315,AE$1,DataRegularSeason20242025!$D$2:$D$1315,$A3,DataRegularSeason20242025!$N$2:$N$1315,1)</f>
        <v>0</v>
      </c>
      <c r="AG3" s="35"/>
      <c r="AH3" s="46">
        <f>COUNTIFS(DataRegularSeason20242025!$E$2:$E$1315,AG$1,DataRegularSeason20242025!$D$2:$D$1315,$A3,DataRegularSeason20242025!$N$2:$N$1315,1)</f>
        <v>0</v>
      </c>
      <c r="AI3" s="35"/>
      <c r="AJ3" s="28">
        <f>COUNTIFS(DataRegularSeason20242025!$E$2:$E$1315,AI$1,DataRegularSeason20242025!$D$2:$D$1315,$A3,DataRegularSeason20242025!$N$2:$N$1315,1)</f>
        <v>0</v>
      </c>
      <c r="AK3" s="35"/>
      <c r="AL3" s="28">
        <f>COUNTIFS(DataRegularSeason20242025!$E$2:$E$1315,AK$1,DataRegularSeason20242025!$D$2:$D$1315,$A3,DataRegularSeason20242025!$N$2:$N$1315,1)</f>
        <v>0</v>
      </c>
      <c r="AM3" s="35"/>
      <c r="AN3" s="28">
        <f>COUNTIFS(DataRegularSeason20242025!$E$2:$E$1315,AM$1,DataRegularSeason20242025!$D$2:$D$1315,$A3,DataRegularSeason20242025!$N$2:$N$1315,1)</f>
        <v>0</v>
      </c>
      <c r="AO3" s="35"/>
      <c r="AP3" s="28">
        <f>COUNTIFS(DataRegularSeason20242025!$E$2:$E$1315,AO$1,DataRegularSeason20242025!$D$2:$D$1315,$A3,DataRegularSeason20242025!$N$2:$N$1315,1)</f>
        <v>0</v>
      </c>
      <c r="AQ3" s="35"/>
      <c r="AR3" s="28">
        <f>COUNTIFS(DataRegularSeason20242025!$E$2:$E$1315,AQ$1,DataRegularSeason20242025!$D$2:$D$1315,$A3,DataRegularSeason20242025!$N$2:$N$1315,1)</f>
        <v>0</v>
      </c>
      <c r="AS3" s="35"/>
      <c r="AT3" s="28">
        <f>COUNTIFS(DataRegularSeason20242025!$E$2:$E$1315,AS$1,DataRegularSeason20242025!$D$2:$D$1315,$A3,DataRegularSeason20242025!$N$2:$N$1315,1)</f>
        <v>0</v>
      </c>
      <c r="AU3" s="35"/>
      <c r="AV3" s="28">
        <f>COUNTIFS(DataRegularSeason20242025!$E$2:$E$1315,AU$1,DataRegularSeason20242025!$D$2:$D$1315,$A3,DataRegularSeason20242025!$N$2:$N$1315,1)</f>
        <v>0</v>
      </c>
      <c r="AW3" s="35"/>
      <c r="AX3" s="46">
        <f>COUNTIFS(DataRegularSeason20242025!$E$2:$E$1315,AW$1,DataRegularSeason20242025!$D$2:$D$1315,$A3,DataRegularSeason20242025!$N$2:$N$1315,1)</f>
        <v>0</v>
      </c>
      <c r="AY3" s="35"/>
      <c r="AZ3" s="28">
        <f>COUNTIFS(DataRegularSeason20242025!$E$2:$E$1315,AY$1,DataRegularSeason20242025!$D$2:$D$1315,$A3,DataRegularSeason20242025!$N$2:$N$1315,1)</f>
        <v>0</v>
      </c>
      <c r="BA3" s="35"/>
      <c r="BB3" s="28">
        <f>COUNTIFS(DataRegularSeason20242025!$E$2:$E$1315,BA$1,DataRegularSeason20242025!$D$2:$D$1315,$A3,DataRegularSeason20242025!$N$2:$N$1315,1)</f>
        <v>0</v>
      </c>
      <c r="BC3" s="35"/>
      <c r="BD3" s="28">
        <f>COUNTIFS(DataRegularSeason20242025!$E$2:$E$1315,BC$1,DataRegularSeason20242025!$D$2:$D$1315,$A3,DataRegularSeason20242025!$N$2:$N$1315,1)</f>
        <v>0</v>
      </c>
      <c r="BE3" s="35"/>
      <c r="BF3" s="28">
        <f>COUNTIFS(DataRegularSeason20242025!$E$2:$E$1315,BE$1,DataRegularSeason20242025!$D$2:$D$1315,$A3,DataRegularSeason20242025!$N$2:$N$1315,1)</f>
        <v>0</v>
      </c>
      <c r="BG3" s="35"/>
      <c r="BH3" s="28">
        <f>COUNTIFS(DataRegularSeason20242025!$E$2:$E$1315,BG$1,DataRegularSeason20242025!$D$2:$D$1315,$A3,DataRegularSeason20242025!$N$2:$N$1315,1)</f>
        <v>0</v>
      </c>
      <c r="BI3" s="35"/>
      <c r="BJ3" s="28">
        <f>COUNTIFS(DataRegularSeason20242025!$E$2:$E$1315,BI$1,DataRegularSeason20242025!$D$2:$D$1315,$A3,DataRegularSeason20242025!$N$2:$N$1315,1)</f>
        <v>0</v>
      </c>
      <c r="BK3" s="35"/>
      <c r="BL3" s="28">
        <f>COUNTIFS(DataRegularSeason20242025!$E$2:$E$1315,BK$1,DataRegularSeason20242025!$D$2:$D$1315,$A3,DataRegularSeason20242025!$N$2:$N$1315,1)</f>
        <v>0</v>
      </c>
      <c r="BM3" s="35"/>
      <c r="BN3" s="28">
        <f>COUNTIFS(DataRegularSeason20242025!$E$2:$E$1315,BM$1,DataRegularSeason20242025!$D$2:$D$1315,$A3,DataRegularSeason20242025!$N$2:$N$1315,1)</f>
        <v>0</v>
      </c>
      <c r="BO3" s="30">
        <f>SUM(C3:BN3)</f>
        <v>4</v>
      </c>
      <c r="BP3" s="165">
        <f>BO3+BO4</f>
        <v>6</v>
      </c>
      <c r="BQ3" s="166">
        <f>82-BP3</f>
        <v>76</v>
      </c>
      <c r="BR3" s="173">
        <f t="shared" ref="BR3" si="0">BP3/(BP3+BQ3)</f>
        <v>7.3170731707317069E-2</v>
      </c>
    </row>
    <row r="4" spans="1:70" ht="9.9499999999999993" customHeight="1" x14ac:dyDescent="0.25">
      <c r="A4" s="167"/>
      <c r="B4" s="32" t="s">
        <v>73</v>
      </c>
      <c r="C4" s="38"/>
      <c r="D4" s="39"/>
      <c r="E4" s="38">
        <f>COUNTIFS(DataRegularSeason20242025!$D$2:$D$1315,E$1,DataRegularSeason20242025!$E$2:$E$1315,$A3,DataRegularSeason20242025!$N$2:$N$1315,1)</f>
        <v>0</v>
      </c>
      <c r="F4" s="39"/>
      <c r="G4" s="38">
        <f>COUNTIFS(DataRegularSeason20242025!$D$2:$D$1315,G$1,DataRegularSeason20242025!$E$2:$E$1315,$A3,DataRegularSeason20242025!$N$2:$N$1315,1)</f>
        <v>0</v>
      </c>
      <c r="H4" s="39"/>
      <c r="I4" s="38">
        <f>COUNTIFS(DataRegularSeason20242025!$D$2:$D$1315,I$1,DataRegularSeason20242025!$E$2:$E$1315,$A3,DataRegularSeason20242025!$N$2:$N$1315,1)</f>
        <v>0</v>
      </c>
      <c r="J4" s="39"/>
      <c r="K4" s="38">
        <f>COUNTIFS(DataRegularSeason20242025!$D$2:$D$1315,K$1,DataRegularSeason20242025!$E$2:$E$1315,$A3,DataRegularSeason20242025!$N$2:$N$1315,1)</f>
        <v>0</v>
      </c>
      <c r="L4" s="39"/>
      <c r="M4" s="38">
        <f>COUNTIFS(DataRegularSeason20242025!$D$2:$D$1315,M$1,DataRegularSeason20242025!$E$2:$E$1315,$A3,DataRegularSeason20242025!$N$2:$N$1315,1)</f>
        <v>0</v>
      </c>
      <c r="N4" s="39"/>
      <c r="O4" s="38">
        <f>COUNTIFS(DataRegularSeason20242025!$D$2:$D$1315,O$1,DataRegularSeason20242025!$E$2:$E$1315,$A3,DataRegularSeason20242025!$N$2:$N$1315,1)</f>
        <v>0</v>
      </c>
      <c r="P4" s="39"/>
      <c r="Q4" s="38">
        <f>COUNTIFS(DataRegularSeason20242025!$D$2:$D$1315,Q$1,DataRegularSeason20242025!$E$2:$E$1315,$A3,DataRegularSeason20242025!$N$2:$N$1315,1)</f>
        <v>0</v>
      </c>
      <c r="R4" s="47"/>
      <c r="S4" s="38">
        <f>COUNTIFS(DataRegularSeason20242025!$D$2:$D$1315,S$1,DataRegularSeason20242025!$E$2:$E$1315,$A3,DataRegularSeason20242025!$N$2:$N$1315,1)</f>
        <v>0</v>
      </c>
      <c r="T4" s="39"/>
      <c r="U4" s="38">
        <f>COUNTIFS(DataRegularSeason20242025!$D$2:$D$1315,U$1,DataRegularSeason20242025!$E$2:$E$1315,$A3,DataRegularSeason20242025!$N$2:$N$1315,1)</f>
        <v>0</v>
      </c>
      <c r="V4" s="39"/>
      <c r="W4" s="38">
        <f>COUNTIFS(DataRegularSeason20242025!$D$2:$D$1315,W$1,DataRegularSeason20242025!$E$2:$E$1315,$A3,DataRegularSeason20242025!$N$2:$N$1315,1)</f>
        <v>0</v>
      </c>
      <c r="X4" s="39"/>
      <c r="Y4" s="38">
        <f>COUNTIFS(DataRegularSeason20242025!$D$2:$D$1315,Y$1,DataRegularSeason20242025!$E$2:$E$1315,$A3,DataRegularSeason20242025!$N$2:$N$1315,1)</f>
        <v>0</v>
      </c>
      <c r="Z4" s="39"/>
      <c r="AA4" s="38">
        <f>COUNTIFS(DataRegularSeason20242025!$D$2:$D$1315,AA$1,DataRegularSeason20242025!$E$2:$E$1315,$A3,DataRegularSeason20242025!$N$2:$N$1315,1)</f>
        <v>0</v>
      </c>
      <c r="AB4" s="39"/>
      <c r="AC4" s="38">
        <f>COUNTIFS(DataRegularSeason20242025!$D$2:$D$1315,AC$1,DataRegularSeason20242025!$E$2:$E$1315,$A3,DataRegularSeason20242025!$N$2:$N$1315,1)</f>
        <v>0</v>
      </c>
      <c r="AD4" s="39"/>
      <c r="AE4" s="38">
        <f>COUNTIFS(DataRegularSeason20242025!$D$2:$D$1315,AE$1,DataRegularSeason20242025!$E$2:$E$1315,$A3,DataRegularSeason20242025!$N$2:$N$1315,1)</f>
        <v>0</v>
      </c>
      <c r="AF4" s="39"/>
      <c r="AG4" s="38">
        <f>COUNTIFS(DataRegularSeason20242025!$D$2:$D$1315,AG$1,DataRegularSeason20242025!$E$2:$E$1315,$A3,DataRegularSeason20242025!$N$2:$N$1315,1)</f>
        <v>0</v>
      </c>
      <c r="AH4" s="47"/>
      <c r="AI4" s="38">
        <f>COUNTIFS(DataRegularSeason20242025!$D$2:$D$1315,AI$1,DataRegularSeason20242025!$E$2:$E$1315,$A3,DataRegularSeason20242025!$N$2:$N$1315,1)</f>
        <v>1</v>
      </c>
      <c r="AJ4" s="39"/>
      <c r="AK4" s="38">
        <f>COUNTIFS(DataRegularSeason20242025!$D$2:$D$1315,AK$1,DataRegularSeason20242025!$E$2:$E$1315,$A3,DataRegularSeason20242025!$N$2:$N$1315,1)</f>
        <v>0</v>
      </c>
      <c r="AL4" s="39"/>
      <c r="AM4" s="38">
        <f>COUNTIFS(DataRegularSeason20242025!$D$2:$D$1315,AM$1,DataRegularSeason20242025!$E$2:$E$1315,$A3,DataRegularSeason20242025!$N$2:$N$1315,1)</f>
        <v>0</v>
      </c>
      <c r="AN4" s="39"/>
      <c r="AO4" s="38">
        <f>COUNTIFS(DataRegularSeason20242025!$D$2:$D$1315,AO$1,DataRegularSeason20242025!$E$2:$E$1315,$A3,DataRegularSeason20242025!$N$2:$N$1315,1)</f>
        <v>0</v>
      </c>
      <c r="AP4" s="39"/>
      <c r="AQ4" s="38">
        <f>COUNTIFS(DataRegularSeason20242025!$D$2:$D$1315,AQ$1,DataRegularSeason20242025!$E$2:$E$1315,$A3,DataRegularSeason20242025!$N$2:$N$1315,1)</f>
        <v>0</v>
      </c>
      <c r="AR4" s="39"/>
      <c r="AS4" s="38">
        <f>COUNTIFS(DataRegularSeason20242025!$D$2:$D$1315,AS$1,DataRegularSeason20242025!$E$2:$E$1315,$A3,DataRegularSeason20242025!$N$2:$N$1315,1)</f>
        <v>0</v>
      </c>
      <c r="AT4" s="39"/>
      <c r="AU4" s="38">
        <f>COUNTIFS(DataRegularSeason20242025!$D$2:$D$1315,AU$1,DataRegularSeason20242025!$E$2:$E$1315,$A3,DataRegularSeason20242025!$N$2:$N$1315,1)</f>
        <v>1</v>
      </c>
      <c r="AV4" s="39"/>
      <c r="AW4" s="38">
        <f>COUNTIFS(DataRegularSeason20242025!$D$2:$D$1315,AW$1,DataRegularSeason20242025!$E$2:$E$1315,$A3,DataRegularSeason20242025!$N$2:$N$1315,1)</f>
        <v>0</v>
      </c>
      <c r="AX4" s="47"/>
      <c r="AY4" s="38">
        <f>COUNTIFS(DataRegularSeason20242025!$D$2:$D$1315,AY$1,DataRegularSeason20242025!$E$2:$E$1315,$A3,DataRegularSeason20242025!$N$2:$N$1315,1)</f>
        <v>0</v>
      </c>
      <c r="AZ4" s="39"/>
      <c r="BA4" s="38">
        <f>COUNTIFS(DataRegularSeason20242025!$D$2:$D$1315,BA$1,DataRegularSeason20242025!$E$2:$E$1315,$A3,DataRegularSeason20242025!$N$2:$N$1315,1)</f>
        <v>0</v>
      </c>
      <c r="BB4" s="39"/>
      <c r="BC4" s="38">
        <f>COUNTIFS(DataRegularSeason20242025!$D$2:$D$1315,BC$1,DataRegularSeason20242025!$E$2:$E$1315,$A3,DataRegularSeason20242025!$N$2:$N$1315,1)</f>
        <v>0</v>
      </c>
      <c r="BD4" s="39"/>
      <c r="BE4" s="38">
        <f>COUNTIFS(DataRegularSeason20242025!$D$2:$D$1315,BE$1,DataRegularSeason20242025!$E$2:$E$1315,$A3,DataRegularSeason20242025!$N$2:$N$1315,1)</f>
        <v>0</v>
      </c>
      <c r="BF4" s="39"/>
      <c r="BG4" s="38">
        <f>COUNTIFS(DataRegularSeason20242025!$D$2:$D$1315,BG$1,DataRegularSeason20242025!$E$2:$E$1315,$A3,DataRegularSeason20242025!$N$2:$N$1315,1)</f>
        <v>0</v>
      </c>
      <c r="BH4" s="39"/>
      <c r="BI4" s="38">
        <f>COUNTIFS(DataRegularSeason20242025!$D$2:$D$1315,BI$1,DataRegularSeason20242025!$E$2:$E$1315,$A3,DataRegularSeason20242025!$N$2:$N$1315,1)</f>
        <v>0</v>
      </c>
      <c r="BJ4" s="39"/>
      <c r="BK4" s="38">
        <f>COUNTIFS(DataRegularSeason20242025!$D$2:$D$1315,BK$1,DataRegularSeason20242025!$E$2:$E$1315,$A3,DataRegularSeason20242025!$N$2:$N$1315,1)</f>
        <v>0</v>
      </c>
      <c r="BL4" s="39"/>
      <c r="BM4" s="38">
        <f>COUNTIFS(DataRegularSeason20242025!$D$2:$D$1315,BM$1,DataRegularSeason20242025!$E$2:$E$1315,$A3,DataRegularSeason20242025!$N$2:$N$1315,1)</f>
        <v>0</v>
      </c>
      <c r="BN4" s="39"/>
      <c r="BO4" s="34">
        <f>SUM(C4:BN4)</f>
        <v>2</v>
      </c>
      <c r="BP4" s="165"/>
      <c r="BQ4" s="166"/>
      <c r="BR4" s="173"/>
    </row>
    <row r="5" spans="1:70" ht="9.9499999999999993" customHeight="1" x14ac:dyDescent="0.25">
      <c r="A5" s="172" t="s">
        <v>23</v>
      </c>
      <c r="B5" s="28" t="s">
        <v>74</v>
      </c>
      <c r="C5" s="35"/>
      <c r="D5" s="28">
        <f>COUNTIFS(DataRegularSeason20242025!$E$2:$E$1315,C$1,DataRegularSeason20242025!$D$2:$D$1315,$A5,DataRegularSeason20242025!$N$2:$N$1315,1)</f>
        <v>0</v>
      </c>
      <c r="E5" s="35"/>
      <c r="F5" s="36"/>
      <c r="G5" s="35"/>
      <c r="H5" s="28">
        <f>COUNTIFS(DataRegularSeason20242025!$E$2:$E$1315,G$1,DataRegularSeason20242025!$D$2:$D$1315,$A5,DataRegularSeason20242025!$N$2:$N$1315,1)</f>
        <v>1</v>
      </c>
      <c r="I5" s="35"/>
      <c r="J5" s="28">
        <f>COUNTIFS(DataRegularSeason20242025!$E$2:$E$1315,I$1,DataRegularSeason20242025!$D$2:$D$1315,$A5,DataRegularSeason20242025!$N$2:$N$1315,1)</f>
        <v>0</v>
      </c>
      <c r="K5" s="35"/>
      <c r="L5" s="28">
        <f>COUNTIFS(DataRegularSeason20242025!$E$2:$E$1315,K$1,DataRegularSeason20242025!$D$2:$D$1315,$A5,DataRegularSeason20242025!$N$2:$N$1315,1)</f>
        <v>0</v>
      </c>
      <c r="M5" s="35"/>
      <c r="N5" s="28">
        <f>COUNTIFS(DataRegularSeason20242025!$E$2:$E$1315,M$1,DataRegularSeason20242025!$D$2:$D$1315,$A5,DataRegularSeason20242025!$N$2:$N$1315,1)</f>
        <v>0</v>
      </c>
      <c r="O5" s="35"/>
      <c r="P5" s="28">
        <f>COUNTIFS(DataRegularSeason20242025!$E$2:$E$1315,O$1,DataRegularSeason20242025!$D$2:$D$1315,$A5,DataRegularSeason20242025!$N$2:$N$1315,1)</f>
        <v>1</v>
      </c>
      <c r="Q5" s="35"/>
      <c r="R5" s="46">
        <f>COUNTIFS(DataRegularSeason20242025!$E$2:$E$1315,Q$1,DataRegularSeason20242025!$D$2:$D$1315,$A5,DataRegularSeason20242025!$N$2:$N$1315,1)</f>
        <v>1</v>
      </c>
      <c r="S5" s="35"/>
      <c r="T5" s="28">
        <f>COUNTIFS(DataRegularSeason20242025!$E$2:$E$1315,S$1,DataRegularSeason20242025!$D$2:$D$1315,$A5,DataRegularSeason20242025!$N$2:$N$1315,1)</f>
        <v>0</v>
      </c>
      <c r="U5" s="35"/>
      <c r="V5" s="28">
        <f>COUNTIFS(DataRegularSeason20242025!$E$2:$E$1315,U$1,DataRegularSeason20242025!$D$2:$D$1315,$A5,DataRegularSeason20242025!$N$2:$N$1315,1)</f>
        <v>0</v>
      </c>
      <c r="W5" s="35"/>
      <c r="X5" s="28">
        <f>COUNTIFS(DataRegularSeason20242025!$E$2:$E$1315,W$1,DataRegularSeason20242025!$D$2:$D$1315,$A5,DataRegularSeason20242025!$N$2:$N$1315,1)</f>
        <v>0</v>
      </c>
      <c r="Y5" s="35"/>
      <c r="Z5" s="28">
        <f>COUNTIFS(DataRegularSeason20242025!$E$2:$E$1315,Y$1,DataRegularSeason20242025!$D$2:$D$1315,$A5,DataRegularSeason20242025!$N$2:$N$1315,1)</f>
        <v>0</v>
      </c>
      <c r="AA5" s="35"/>
      <c r="AB5" s="28">
        <f>COUNTIFS(DataRegularSeason20242025!$E$2:$E$1315,AA$1,DataRegularSeason20242025!$D$2:$D$1315,$A5,DataRegularSeason20242025!$N$2:$N$1315,1)</f>
        <v>0</v>
      </c>
      <c r="AC5" s="35"/>
      <c r="AD5" s="28">
        <f>COUNTIFS(DataRegularSeason20242025!$E$2:$E$1315,AC$1,DataRegularSeason20242025!$D$2:$D$1315,$A5,DataRegularSeason20242025!$N$2:$N$1315,1)</f>
        <v>0</v>
      </c>
      <c r="AE5" s="35"/>
      <c r="AF5" s="28">
        <f>COUNTIFS(DataRegularSeason20242025!$E$2:$E$1315,AE$1,DataRegularSeason20242025!$D$2:$D$1315,$A5,DataRegularSeason20242025!$N$2:$N$1315,1)</f>
        <v>1</v>
      </c>
      <c r="AG5" s="35"/>
      <c r="AH5" s="46">
        <f>COUNTIFS(DataRegularSeason20242025!$E$2:$E$1315,AG$1,DataRegularSeason20242025!$D$2:$D$1315,$A5,DataRegularSeason20242025!$N$2:$N$1315,1)</f>
        <v>0</v>
      </c>
      <c r="AI5" s="35"/>
      <c r="AJ5" s="28">
        <f>COUNTIFS(DataRegularSeason20242025!$E$2:$E$1315,AI$1,DataRegularSeason20242025!$D$2:$D$1315,$A5,DataRegularSeason20242025!$N$2:$N$1315,1)</f>
        <v>0</v>
      </c>
      <c r="AK5" s="35"/>
      <c r="AL5" s="28">
        <f>COUNTIFS(DataRegularSeason20242025!$E$2:$E$1315,AK$1,DataRegularSeason20242025!$D$2:$D$1315,$A5,DataRegularSeason20242025!$N$2:$N$1315,1)</f>
        <v>0</v>
      </c>
      <c r="AM5" s="35"/>
      <c r="AN5" s="28">
        <f>COUNTIFS(DataRegularSeason20242025!$E$2:$E$1315,AM$1,DataRegularSeason20242025!$D$2:$D$1315,$A5,DataRegularSeason20242025!$N$2:$N$1315,1)</f>
        <v>0</v>
      </c>
      <c r="AO5" s="35"/>
      <c r="AP5" s="28">
        <f>COUNTIFS(DataRegularSeason20242025!$E$2:$E$1315,AO$1,DataRegularSeason20242025!$D$2:$D$1315,$A5,DataRegularSeason20242025!$N$2:$N$1315,1)</f>
        <v>0</v>
      </c>
      <c r="AQ5" s="35"/>
      <c r="AR5" s="28">
        <f>COUNTIFS(DataRegularSeason20242025!$E$2:$E$1315,AQ$1,DataRegularSeason20242025!$D$2:$D$1315,$A5,DataRegularSeason20242025!$N$2:$N$1315,1)</f>
        <v>0</v>
      </c>
      <c r="AS5" s="35"/>
      <c r="AT5" s="28">
        <f>COUNTIFS(DataRegularSeason20242025!$E$2:$E$1315,AS$1,DataRegularSeason20242025!$D$2:$D$1315,$A5,DataRegularSeason20242025!$N$2:$N$1315,1)</f>
        <v>0</v>
      </c>
      <c r="AU5" s="35"/>
      <c r="AV5" s="28">
        <f>COUNTIFS(DataRegularSeason20242025!$E$2:$E$1315,AU$1,DataRegularSeason20242025!$D$2:$D$1315,$A5,DataRegularSeason20242025!$N$2:$N$1315,1)</f>
        <v>0</v>
      </c>
      <c r="AW5" s="35"/>
      <c r="AX5" s="46">
        <f>COUNTIFS(DataRegularSeason20242025!$E$2:$E$1315,AW$1,DataRegularSeason20242025!$D$2:$D$1315,$A5,DataRegularSeason20242025!$N$2:$N$1315,1)</f>
        <v>0</v>
      </c>
      <c r="AY5" s="35"/>
      <c r="AZ5" s="28">
        <f>COUNTIFS(DataRegularSeason20242025!$E$2:$E$1315,AY$1,DataRegularSeason20242025!$D$2:$D$1315,$A5,DataRegularSeason20242025!$N$2:$N$1315,1)</f>
        <v>0</v>
      </c>
      <c r="BA5" s="35"/>
      <c r="BB5" s="28">
        <f>COUNTIFS(DataRegularSeason20242025!$E$2:$E$1315,BA$1,DataRegularSeason20242025!$D$2:$D$1315,$A5,DataRegularSeason20242025!$N$2:$N$1315,1)</f>
        <v>0</v>
      </c>
      <c r="BC5" s="35"/>
      <c r="BD5" s="28">
        <f>COUNTIFS(DataRegularSeason20242025!$E$2:$E$1315,BC$1,DataRegularSeason20242025!$D$2:$D$1315,$A5,DataRegularSeason20242025!$N$2:$N$1315,1)</f>
        <v>0</v>
      </c>
      <c r="BE5" s="35"/>
      <c r="BF5" s="28">
        <f>COUNTIFS(DataRegularSeason20242025!$E$2:$E$1315,BE$1,DataRegularSeason20242025!$D$2:$D$1315,$A5,DataRegularSeason20242025!$N$2:$N$1315,1)</f>
        <v>0</v>
      </c>
      <c r="BG5" s="35"/>
      <c r="BH5" s="28">
        <f>COUNTIFS(DataRegularSeason20242025!$E$2:$E$1315,BG$1,DataRegularSeason20242025!$D$2:$D$1315,$A5,DataRegularSeason20242025!$N$2:$N$1315,1)</f>
        <v>0</v>
      </c>
      <c r="BI5" s="35"/>
      <c r="BJ5" s="28">
        <f>COUNTIFS(DataRegularSeason20242025!$E$2:$E$1315,BI$1,DataRegularSeason20242025!$D$2:$D$1315,$A5,DataRegularSeason20242025!$N$2:$N$1315,1)</f>
        <v>0</v>
      </c>
      <c r="BK5" s="35"/>
      <c r="BL5" s="28">
        <f>COUNTIFS(DataRegularSeason20242025!$E$2:$E$1315,BK$1,DataRegularSeason20242025!$D$2:$D$1315,$A5,DataRegularSeason20242025!$N$2:$N$1315,1)</f>
        <v>0</v>
      </c>
      <c r="BM5" s="35"/>
      <c r="BN5" s="28">
        <f>COUNTIFS(DataRegularSeason20242025!$E$2:$E$1315,BM$1,DataRegularSeason20242025!$D$2:$D$1315,$A5,DataRegularSeason20242025!$N$2:$N$1315,1)</f>
        <v>0</v>
      </c>
      <c r="BO5" s="30">
        <f t="shared" ref="BO5:BO66" si="1">SUM(C5:BN5)</f>
        <v>4</v>
      </c>
      <c r="BP5" s="165">
        <f t="shared" ref="BP5" si="2">BO5+BO6</f>
        <v>7</v>
      </c>
      <c r="BQ5" s="166">
        <f t="shared" ref="BQ5" si="3">82-BP5</f>
        <v>75</v>
      </c>
      <c r="BR5" s="173">
        <f t="shared" ref="BR5" si="4">BP5/(BP5+BQ5)</f>
        <v>8.5365853658536592E-2</v>
      </c>
    </row>
    <row r="6" spans="1:70" ht="9.9499999999999993" customHeight="1" x14ac:dyDescent="0.25">
      <c r="A6" s="167"/>
      <c r="B6" s="32" t="s">
        <v>73</v>
      </c>
      <c r="C6" s="38">
        <f>COUNTIFS(DataRegularSeason20242025!$D$2:$D$1315,C$1,DataRegularSeason20242025!$E$2:$E$1315,$A5,DataRegularSeason20242025!$N$2:$N$1315,1)</f>
        <v>0</v>
      </c>
      <c r="D6" s="39"/>
      <c r="E6" s="38"/>
      <c r="F6" s="39"/>
      <c r="G6" s="38">
        <f>COUNTIFS(DataRegularSeason20242025!$D$2:$D$1315,G$1,DataRegularSeason20242025!$E$2:$E$1315,$A5,DataRegularSeason20242025!$N$2:$N$1315,1)</f>
        <v>0</v>
      </c>
      <c r="H6" s="39"/>
      <c r="I6" s="38">
        <f>COUNTIFS(DataRegularSeason20242025!$D$2:$D$1315,I$1,DataRegularSeason20242025!$E$2:$E$1315,$A5,DataRegularSeason20242025!$N$2:$N$1315,1)</f>
        <v>0</v>
      </c>
      <c r="J6" s="39"/>
      <c r="K6" s="38">
        <f>COUNTIFS(DataRegularSeason20242025!$D$2:$D$1315,K$1,DataRegularSeason20242025!$E$2:$E$1315,$A5,DataRegularSeason20242025!$N$2:$N$1315,1)</f>
        <v>0</v>
      </c>
      <c r="L6" s="39"/>
      <c r="M6" s="38">
        <f>COUNTIFS(DataRegularSeason20242025!$D$2:$D$1315,M$1,DataRegularSeason20242025!$E$2:$E$1315,$A5,DataRegularSeason20242025!$N$2:$N$1315,1)</f>
        <v>0</v>
      </c>
      <c r="N6" s="39"/>
      <c r="O6" s="38">
        <f>COUNTIFS(DataRegularSeason20242025!$D$2:$D$1315,O$1,DataRegularSeason20242025!$E$2:$E$1315,$A5,DataRegularSeason20242025!$N$2:$N$1315,1)</f>
        <v>0</v>
      </c>
      <c r="P6" s="39"/>
      <c r="Q6" s="38">
        <f>COUNTIFS(DataRegularSeason20242025!$D$2:$D$1315,Q$1,DataRegularSeason20242025!$E$2:$E$1315,$A5,DataRegularSeason20242025!$N$2:$N$1315,1)</f>
        <v>1</v>
      </c>
      <c r="R6" s="47"/>
      <c r="S6" s="38">
        <f>COUNTIFS(DataRegularSeason20242025!$D$2:$D$1315,S$1,DataRegularSeason20242025!$E$2:$E$1315,$A5,DataRegularSeason20242025!$N$2:$N$1315,1)</f>
        <v>0</v>
      </c>
      <c r="T6" s="39"/>
      <c r="U6" s="38">
        <f>COUNTIFS(DataRegularSeason20242025!$D$2:$D$1315,U$1,DataRegularSeason20242025!$E$2:$E$1315,$A5,DataRegularSeason20242025!$N$2:$N$1315,1)</f>
        <v>0</v>
      </c>
      <c r="V6" s="39"/>
      <c r="W6" s="38">
        <f>COUNTIFS(DataRegularSeason20242025!$D$2:$D$1315,W$1,DataRegularSeason20242025!$E$2:$E$1315,$A5,DataRegularSeason20242025!$N$2:$N$1315,1)</f>
        <v>0</v>
      </c>
      <c r="X6" s="39"/>
      <c r="Y6" s="38">
        <f>COUNTIFS(DataRegularSeason20242025!$D$2:$D$1315,Y$1,DataRegularSeason20242025!$E$2:$E$1315,$A5,DataRegularSeason20242025!$N$2:$N$1315,1)</f>
        <v>0</v>
      </c>
      <c r="Z6" s="39"/>
      <c r="AA6" s="38">
        <f>COUNTIFS(DataRegularSeason20242025!$D$2:$D$1315,AA$1,DataRegularSeason20242025!$E$2:$E$1315,$A5,DataRegularSeason20242025!$N$2:$N$1315,1)</f>
        <v>0</v>
      </c>
      <c r="AB6" s="39"/>
      <c r="AC6" s="38">
        <f>COUNTIFS(DataRegularSeason20242025!$D$2:$D$1315,AC$1,DataRegularSeason20242025!$E$2:$E$1315,$A5,DataRegularSeason20242025!$N$2:$N$1315,1)</f>
        <v>1</v>
      </c>
      <c r="AD6" s="39"/>
      <c r="AE6" s="38">
        <f>COUNTIFS(DataRegularSeason20242025!$D$2:$D$1315,AE$1,DataRegularSeason20242025!$E$2:$E$1315,$A5,DataRegularSeason20242025!$N$2:$N$1315,1)</f>
        <v>0</v>
      </c>
      <c r="AF6" s="39"/>
      <c r="AG6" s="38">
        <f>COUNTIFS(DataRegularSeason20242025!$D$2:$D$1315,AG$1,DataRegularSeason20242025!$E$2:$E$1315,$A5,DataRegularSeason20242025!$N$2:$N$1315,1)</f>
        <v>1</v>
      </c>
      <c r="AH6" s="47"/>
      <c r="AI6" s="38">
        <f>COUNTIFS(DataRegularSeason20242025!$D$2:$D$1315,AI$1,DataRegularSeason20242025!$E$2:$E$1315,$A5,DataRegularSeason20242025!$N$2:$N$1315,1)</f>
        <v>0</v>
      </c>
      <c r="AJ6" s="39"/>
      <c r="AK6" s="38">
        <f>COUNTIFS(DataRegularSeason20242025!$D$2:$D$1315,AK$1,DataRegularSeason20242025!$E$2:$E$1315,$A5,DataRegularSeason20242025!$N$2:$N$1315,1)</f>
        <v>0</v>
      </c>
      <c r="AL6" s="39"/>
      <c r="AM6" s="38">
        <f>COUNTIFS(DataRegularSeason20242025!$D$2:$D$1315,AM$1,DataRegularSeason20242025!$E$2:$E$1315,$A5,DataRegularSeason20242025!$N$2:$N$1315,1)</f>
        <v>0</v>
      </c>
      <c r="AN6" s="39"/>
      <c r="AO6" s="38">
        <f>COUNTIFS(DataRegularSeason20242025!$D$2:$D$1315,AO$1,DataRegularSeason20242025!$E$2:$E$1315,$A5,DataRegularSeason20242025!$N$2:$N$1315,1)</f>
        <v>0</v>
      </c>
      <c r="AP6" s="39"/>
      <c r="AQ6" s="38">
        <f>COUNTIFS(DataRegularSeason20242025!$D$2:$D$1315,AQ$1,DataRegularSeason20242025!$E$2:$E$1315,$A5,DataRegularSeason20242025!$N$2:$N$1315,1)</f>
        <v>0</v>
      </c>
      <c r="AR6" s="39"/>
      <c r="AS6" s="38">
        <f>COUNTIFS(DataRegularSeason20242025!$D$2:$D$1315,AS$1,DataRegularSeason20242025!$E$2:$E$1315,$A5,DataRegularSeason20242025!$N$2:$N$1315,1)</f>
        <v>0</v>
      </c>
      <c r="AT6" s="39"/>
      <c r="AU6" s="38">
        <f>COUNTIFS(DataRegularSeason20242025!$D$2:$D$1315,AU$1,DataRegularSeason20242025!$E$2:$E$1315,$A5,DataRegularSeason20242025!$N$2:$N$1315,1)</f>
        <v>0</v>
      </c>
      <c r="AV6" s="39"/>
      <c r="AW6" s="38">
        <f>COUNTIFS(DataRegularSeason20242025!$D$2:$D$1315,AW$1,DataRegularSeason20242025!$E$2:$E$1315,$A5,DataRegularSeason20242025!$N$2:$N$1315,1)</f>
        <v>0</v>
      </c>
      <c r="AX6" s="47"/>
      <c r="AY6" s="38">
        <f>COUNTIFS(DataRegularSeason20242025!$D$2:$D$1315,AY$1,DataRegularSeason20242025!$E$2:$E$1315,$A5,DataRegularSeason20242025!$N$2:$N$1315,1)</f>
        <v>0</v>
      </c>
      <c r="AZ6" s="39"/>
      <c r="BA6" s="38">
        <f>COUNTIFS(DataRegularSeason20242025!$D$2:$D$1315,BA$1,DataRegularSeason20242025!$E$2:$E$1315,$A5,DataRegularSeason20242025!$N$2:$N$1315,1)</f>
        <v>0</v>
      </c>
      <c r="BB6" s="39"/>
      <c r="BC6" s="38">
        <f>COUNTIFS(DataRegularSeason20242025!$D$2:$D$1315,BC$1,DataRegularSeason20242025!$E$2:$E$1315,$A5,DataRegularSeason20242025!$N$2:$N$1315,1)</f>
        <v>0</v>
      </c>
      <c r="BD6" s="39"/>
      <c r="BE6" s="38">
        <f>COUNTIFS(DataRegularSeason20242025!$D$2:$D$1315,BE$1,DataRegularSeason20242025!$E$2:$E$1315,$A5,DataRegularSeason20242025!$N$2:$N$1315,1)</f>
        <v>0</v>
      </c>
      <c r="BF6" s="39"/>
      <c r="BG6" s="38">
        <f>COUNTIFS(DataRegularSeason20242025!$D$2:$D$1315,BG$1,DataRegularSeason20242025!$E$2:$E$1315,$A5,DataRegularSeason20242025!$N$2:$N$1315,1)</f>
        <v>0</v>
      </c>
      <c r="BH6" s="39"/>
      <c r="BI6" s="38">
        <f>COUNTIFS(DataRegularSeason20242025!$D$2:$D$1315,BI$1,DataRegularSeason20242025!$E$2:$E$1315,$A5,DataRegularSeason20242025!$N$2:$N$1315,1)</f>
        <v>0</v>
      </c>
      <c r="BJ6" s="39"/>
      <c r="BK6" s="38">
        <f>COUNTIFS(DataRegularSeason20242025!$D$2:$D$1315,BK$1,DataRegularSeason20242025!$E$2:$E$1315,$A5,DataRegularSeason20242025!$N$2:$N$1315,1)</f>
        <v>0</v>
      </c>
      <c r="BL6" s="39"/>
      <c r="BM6" s="38">
        <f>COUNTIFS(DataRegularSeason20242025!$D$2:$D$1315,BM$1,DataRegularSeason20242025!$E$2:$E$1315,$A5,DataRegularSeason20242025!$N$2:$N$1315,1)</f>
        <v>0</v>
      </c>
      <c r="BN6" s="39"/>
      <c r="BO6" s="34">
        <f t="shared" si="1"/>
        <v>3</v>
      </c>
      <c r="BP6" s="165"/>
      <c r="BQ6" s="166"/>
      <c r="BR6" s="173"/>
    </row>
    <row r="7" spans="1:70" ht="9.9499999999999993" customHeight="1" x14ac:dyDescent="0.25">
      <c r="A7" s="172" t="s">
        <v>22</v>
      </c>
      <c r="B7" s="28" t="s">
        <v>74</v>
      </c>
      <c r="C7" s="35"/>
      <c r="D7" s="28">
        <f>COUNTIFS(DataRegularSeason20242025!$E$2:$E$1315,C$1,DataRegularSeason20242025!$D$2:$D$1315,$A7,DataRegularSeason20242025!$N$2:$N$1315,1)</f>
        <v>0</v>
      </c>
      <c r="E7" s="35"/>
      <c r="F7" s="28">
        <f>COUNTIFS(DataRegularSeason20242025!$E$2:$E$1315,E$1,DataRegularSeason20242025!$D$2:$D$1315,$A7,DataRegularSeason20242025!$N$2:$N$1315,1)</f>
        <v>0</v>
      </c>
      <c r="G7" s="35"/>
      <c r="H7" s="36"/>
      <c r="I7" s="35"/>
      <c r="J7" s="28">
        <f>COUNTIFS(DataRegularSeason20242025!$E$2:$E$1315,I$1,DataRegularSeason20242025!$D$2:$D$1315,$A7,DataRegularSeason20242025!$N$2:$N$1315,1)</f>
        <v>0</v>
      </c>
      <c r="K7" s="35"/>
      <c r="L7" s="28">
        <f>COUNTIFS(DataRegularSeason20242025!$E$2:$E$1315,K$1,DataRegularSeason20242025!$D$2:$D$1315,$A7,DataRegularSeason20242025!$N$2:$N$1315,1)</f>
        <v>0</v>
      </c>
      <c r="M7" s="35"/>
      <c r="N7" s="28">
        <f>COUNTIFS(DataRegularSeason20242025!$E$2:$E$1315,M$1,DataRegularSeason20242025!$D$2:$D$1315,$A7,DataRegularSeason20242025!$N$2:$N$1315,1)</f>
        <v>0</v>
      </c>
      <c r="O7" s="35"/>
      <c r="P7" s="28">
        <f>COUNTIFS(DataRegularSeason20242025!$E$2:$E$1315,O$1,DataRegularSeason20242025!$D$2:$D$1315,$A7,DataRegularSeason20242025!$N$2:$N$1315,1)</f>
        <v>0</v>
      </c>
      <c r="Q7" s="35"/>
      <c r="R7" s="46">
        <f>COUNTIFS(DataRegularSeason20242025!$E$2:$E$1315,Q$1,DataRegularSeason20242025!$D$2:$D$1315,$A7,DataRegularSeason20242025!$N$2:$N$1315,1)</f>
        <v>0</v>
      </c>
      <c r="S7" s="35"/>
      <c r="T7" s="28">
        <f>COUNTIFS(DataRegularSeason20242025!$E$2:$E$1315,S$1,DataRegularSeason20242025!$D$2:$D$1315,$A7,DataRegularSeason20242025!$N$2:$N$1315,1)</f>
        <v>0</v>
      </c>
      <c r="U7" s="35"/>
      <c r="V7" s="28">
        <f>COUNTIFS(DataRegularSeason20242025!$E$2:$E$1315,U$1,DataRegularSeason20242025!$D$2:$D$1315,$A7,DataRegularSeason20242025!$N$2:$N$1315,1)</f>
        <v>0</v>
      </c>
      <c r="W7" s="35"/>
      <c r="X7" s="28">
        <f>COUNTIFS(DataRegularSeason20242025!$E$2:$E$1315,W$1,DataRegularSeason20242025!$D$2:$D$1315,$A7,DataRegularSeason20242025!$N$2:$N$1315,1)</f>
        <v>0</v>
      </c>
      <c r="Y7" s="35"/>
      <c r="Z7" s="28">
        <f>COUNTIFS(DataRegularSeason20242025!$E$2:$E$1315,Y$1,DataRegularSeason20242025!$D$2:$D$1315,$A7,DataRegularSeason20242025!$N$2:$N$1315,1)</f>
        <v>0</v>
      </c>
      <c r="AA7" s="35"/>
      <c r="AB7" s="28">
        <f>COUNTIFS(DataRegularSeason20242025!$E$2:$E$1315,AA$1,DataRegularSeason20242025!$D$2:$D$1315,$A7,DataRegularSeason20242025!$N$2:$N$1315,1)</f>
        <v>0</v>
      </c>
      <c r="AC7" s="35"/>
      <c r="AD7" s="28">
        <f>COUNTIFS(DataRegularSeason20242025!$E$2:$E$1315,AC$1,DataRegularSeason20242025!$D$2:$D$1315,$A7,DataRegularSeason20242025!$N$2:$N$1315,1)</f>
        <v>0</v>
      </c>
      <c r="AE7" s="35"/>
      <c r="AF7" s="28">
        <f>COUNTIFS(DataRegularSeason20242025!$E$2:$E$1315,AE$1,DataRegularSeason20242025!$D$2:$D$1315,$A7,DataRegularSeason20242025!$N$2:$N$1315,1)</f>
        <v>0</v>
      </c>
      <c r="AG7" s="35"/>
      <c r="AH7" s="46">
        <f>COUNTIFS(DataRegularSeason20242025!$E$2:$E$1315,AG$1,DataRegularSeason20242025!$D$2:$D$1315,$A7,DataRegularSeason20242025!$N$2:$N$1315,1)</f>
        <v>0</v>
      </c>
      <c r="AI7" s="35"/>
      <c r="AJ7" s="28">
        <f>COUNTIFS(DataRegularSeason20242025!$E$2:$E$1315,AI$1,DataRegularSeason20242025!$D$2:$D$1315,$A7,DataRegularSeason20242025!$N$2:$N$1315,1)</f>
        <v>0</v>
      </c>
      <c r="AK7" s="35"/>
      <c r="AL7" s="28">
        <f>COUNTIFS(DataRegularSeason20242025!$E$2:$E$1315,AK$1,DataRegularSeason20242025!$D$2:$D$1315,$A7,DataRegularSeason20242025!$N$2:$N$1315,1)</f>
        <v>0</v>
      </c>
      <c r="AM7" s="35"/>
      <c r="AN7" s="28">
        <f>COUNTIFS(DataRegularSeason20242025!$E$2:$E$1315,AM$1,DataRegularSeason20242025!$D$2:$D$1315,$A7,DataRegularSeason20242025!$N$2:$N$1315,1)</f>
        <v>1</v>
      </c>
      <c r="AO7" s="35"/>
      <c r="AP7" s="28">
        <f>COUNTIFS(DataRegularSeason20242025!$E$2:$E$1315,AO$1,DataRegularSeason20242025!$D$2:$D$1315,$A7,DataRegularSeason20242025!$N$2:$N$1315,1)</f>
        <v>1</v>
      </c>
      <c r="AQ7" s="35"/>
      <c r="AR7" s="28">
        <f>COUNTIFS(DataRegularSeason20242025!$E$2:$E$1315,AQ$1,DataRegularSeason20242025!$D$2:$D$1315,$A7,DataRegularSeason20242025!$N$2:$N$1315,1)</f>
        <v>1</v>
      </c>
      <c r="AS7" s="35"/>
      <c r="AT7" s="28">
        <f>COUNTIFS(DataRegularSeason20242025!$E$2:$E$1315,AS$1,DataRegularSeason20242025!$D$2:$D$1315,$A7,DataRegularSeason20242025!$N$2:$N$1315,1)</f>
        <v>0</v>
      </c>
      <c r="AU7" s="35"/>
      <c r="AV7" s="28">
        <f>COUNTIFS(DataRegularSeason20242025!$E$2:$E$1315,AU$1,DataRegularSeason20242025!$D$2:$D$1315,$A7,DataRegularSeason20242025!$N$2:$N$1315,1)</f>
        <v>0</v>
      </c>
      <c r="AW7" s="35"/>
      <c r="AX7" s="46">
        <f>COUNTIFS(DataRegularSeason20242025!$E$2:$E$1315,AW$1,DataRegularSeason20242025!$D$2:$D$1315,$A7,DataRegularSeason20242025!$N$2:$N$1315,1)</f>
        <v>0</v>
      </c>
      <c r="AY7" s="35"/>
      <c r="AZ7" s="28">
        <f>COUNTIFS(DataRegularSeason20242025!$E$2:$E$1315,AY$1,DataRegularSeason20242025!$D$2:$D$1315,$A7,DataRegularSeason20242025!$N$2:$N$1315,1)</f>
        <v>0</v>
      </c>
      <c r="BA7" s="35"/>
      <c r="BB7" s="28">
        <f>COUNTIFS(DataRegularSeason20242025!$E$2:$E$1315,BA$1,DataRegularSeason20242025!$D$2:$D$1315,$A7,DataRegularSeason20242025!$N$2:$N$1315,1)</f>
        <v>0</v>
      </c>
      <c r="BC7" s="35"/>
      <c r="BD7" s="28">
        <f>COUNTIFS(DataRegularSeason20242025!$E$2:$E$1315,BC$1,DataRegularSeason20242025!$D$2:$D$1315,$A7,DataRegularSeason20242025!$N$2:$N$1315,1)</f>
        <v>1</v>
      </c>
      <c r="BE7" s="35"/>
      <c r="BF7" s="28">
        <f>COUNTIFS(DataRegularSeason20242025!$E$2:$E$1315,BE$1,DataRegularSeason20242025!$D$2:$D$1315,$A7,DataRegularSeason20242025!$N$2:$N$1315,1)</f>
        <v>0</v>
      </c>
      <c r="BG7" s="35"/>
      <c r="BH7" s="28">
        <f>COUNTIFS(DataRegularSeason20242025!$E$2:$E$1315,BG$1,DataRegularSeason20242025!$D$2:$D$1315,$A7,DataRegularSeason20242025!$N$2:$N$1315,1)</f>
        <v>0</v>
      </c>
      <c r="BI7" s="35"/>
      <c r="BJ7" s="28">
        <f>COUNTIFS(DataRegularSeason20242025!$E$2:$E$1315,BI$1,DataRegularSeason20242025!$D$2:$D$1315,$A7,DataRegularSeason20242025!$N$2:$N$1315,1)</f>
        <v>1</v>
      </c>
      <c r="BK7" s="35"/>
      <c r="BL7" s="28">
        <f>COUNTIFS(DataRegularSeason20242025!$E$2:$E$1315,BK$1,DataRegularSeason20242025!$D$2:$D$1315,$A7,DataRegularSeason20242025!$N$2:$N$1315,1)</f>
        <v>0</v>
      </c>
      <c r="BM7" s="35"/>
      <c r="BN7" s="28">
        <f>COUNTIFS(DataRegularSeason20242025!$E$2:$E$1315,BM$1,DataRegularSeason20242025!$D$2:$D$1315,$A7,DataRegularSeason20242025!$N$2:$N$1315,1)</f>
        <v>0</v>
      </c>
      <c r="BO7" s="30">
        <f t="shared" si="1"/>
        <v>5</v>
      </c>
      <c r="BP7" s="165">
        <f t="shared" ref="BP7" si="5">BO7+BO8</f>
        <v>7</v>
      </c>
      <c r="BQ7" s="166">
        <f t="shared" ref="BQ7" si="6">82-BP7</f>
        <v>75</v>
      </c>
      <c r="BR7" s="173">
        <f t="shared" ref="BR7" si="7">BP7/(BP7+BQ7)</f>
        <v>8.5365853658536592E-2</v>
      </c>
    </row>
    <row r="8" spans="1:70" ht="9.9499999999999993" customHeight="1" x14ac:dyDescent="0.25">
      <c r="A8" s="167"/>
      <c r="B8" s="32" t="s">
        <v>73</v>
      </c>
      <c r="C8" s="38">
        <f>COUNTIFS(DataRegularSeason20242025!$D$2:$D$1315,C$1,DataRegularSeason20242025!$E$2:$E$1315,$A7,DataRegularSeason20242025!$N$2:$N$1315,1)</f>
        <v>0</v>
      </c>
      <c r="D8" s="39"/>
      <c r="E8" s="38">
        <f>COUNTIFS(DataRegularSeason20242025!$D$2:$D$1315,E$1,DataRegularSeason20242025!$E$2:$E$1315,$A7,DataRegularSeason20242025!$N$2:$N$1315,1)</f>
        <v>1</v>
      </c>
      <c r="F8" s="39"/>
      <c r="G8" s="38"/>
      <c r="H8" s="39"/>
      <c r="I8" s="38">
        <f>COUNTIFS(DataRegularSeason20242025!$D$2:$D$1315,I$1,DataRegularSeason20242025!$E$2:$E$1315,$A7,DataRegularSeason20242025!$N$2:$N$1315,1)</f>
        <v>0</v>
      </c>
      <c r="J8" s="39"/>
      <c r="K8" s="38">
        <f>COUNTIFS(DataRegularSeason20242025!$D$2:$D$1315,K$1,DataRegularSeason20242025!$E$2:$E$1315,$A7,DataRegularSeason20242025!$N$2:$N$1315,1)</f>
        <v>0</v>
      </c>
      <c r="L8" s="39"/>
      <c r="M8" s="38">
        <f>COUNTIFS(DataRegularSeason20242025!$D$2:$D$1315,M$1,DataRegularSeason20242025!$E$2:$E$1315,$A7,DataRegularSeason20242025!$N$2:$N$1315,1)</f>
        <v>0</v>
      </c>
      <c r="N8" s="39"/>
      <c r="O8" s="38">
        <f>COUNTIFS(DataRegularSeason20242025!$D$2:$D$1315,O$1,DataRegularSeason20242025!$E$2:$E$1315,$A7,DataRegularSeason20242025!$N$2:$N$1315,1)</f>
        <v>1</v>
      </c>
      <c r="P8" s="39"/>
      <c r="Q8" s="38">
        <f>COUNTIFS(DataRegularSeason20242025!$D$2:$D$1315,Q$1,DataRegularSeason20242025!$E$2:$E$1315,$A7,DataRegularSeason20242025!$N$2:$N$1315,1)</f>
        <v>0</v>
      </c>
      <c r="R8" s="47"/>
      <c r="S8" s="38">
        <f>COUNTIFS(DataRegularSeason20242025!$D$2:$D$1315,S$1,DataRegularSeason20242025!$E$2:$E$1315,$A7,DataRegularSeason20242025!$N$2:$N$1315,1)</f>
        <v>0</v>
      </c>
      <c r="T8" s="39"/>
      <c r="U8" s="38">
        <f>COUNTIFS(DataRegularSeason20242025!$D$2:$D$1315,U$1,DataRegularSeason20242025!$E$2:$E$1315,$A7,DataRegularSeason20242025!$N$2:$N$1315,1)</f>
        <v>0</v>
      </c>
      <c r="V8" s="39"/>
      <c r="W8" s="38">
        <f>COUNTIFS(DataRegularSeason20242025!$D$2:$D$1315,W$1,DataRegularSeason20242025!$E$2:$E$1315,$A7,DataRegularSeason20242025!$N$2:$N$1315,1)</f>
        <v>0</v>
      </c>
      <c r="X8" s="39"/>
      <c r="Y8" s="38">
        <f>COUNTIFS(DataRegularSeason20242025!$D$2:$D$1315,Y$1,DataRegularSeason20242025!$E$2:$E$1315,$A7,DataRegularSeason20242025!$N$2:$N$1315,1)</f>
        <v>0</v>
      </c>
      <c r="Z8" s="39"/>
      <c r="AA8" s="38">
        <f>COUNTIFS(DataRegularSeason20242025!$D$2:$D$1315,AA$1,DataRegularSeason20242025!$E$2:$E$1315,$A7,DataRegularSeason20242025!$N$2:$N$1315,1)</f>
        <v>0</v>
      </c>
      <c r="AB8" s="39"/>
      <c r="AC8" s="38">
        <f>COUNTIFS(DataRegularSeason20242025!$D$2:$D$1315,AC$1,DataRegularSeason20242025!$E$2:$E$1315,$A7,DataRegularSeason20242025!$N$2:$N$1315,1)</f>
        <v>0</v>
      </c>
      <c r="AD8" s="39"/>
      <c r="AE8" s="38">
        <f>COUNTIFS(DataRegularSeason20242025!$D$2:$D$1315,AE$1,DataRegularSeason20242025!$E$2:$E$1315,$A7,DataRegularSeason20242025!$N$2:$N$1315,1)</f>
        <v>0</v>
      </c>
      <c r="AF8" s="39"/>
      <c r="AG8" s="38">
        <f>COUNTIFS(DataRegularSeason20242025!$D$2:$D$1315,AG$1,DataRegularSeason20242025!$E$2:$E$1315,$A7,DataRegularSeason20242025!$N$2:$N$1315,1)</f>
        <v>0</v>
      </c>
      <c r="AH8" s="47"/>
      <c r="AI8" s="38">
        <f>COUNTIFS(DataRegularSeason20242025!$D$2:$D$1315,AI$1,DataRegularSeason20242025!$E$2:$E$1315,$A7,DataRegularSeason20242025!$N$2:$N$1315,1)</f>
        <v>0</v>
      </c>
      <c r="AJ8" s="39"/>
      <c r="AK8" s="38">
        <f>COUNTIFS(DataRegularSeason20242025!$D$2:$D$1315,AK$1,DataRegularSeason20242025!$E$2:$E$1315,$A7,DataRegularSeason20242025!$N$2:$N$1315,1)</f>
        <v>0</v>
      </c>
      <c r="AL8" s="39"/>
      <c r="AM8" s="38">
        <f>COUNTIFS(DataRegularSeason20242025!$D$2:$D$1315,AM$1,DataRegularSeason20242025!$E$2:$E$1315,$A7,DataRegularSeason20242025!$N$2:$N$1315,1)</f>
        <v>0</v>
      </c>
      <c r="AN8" s="39"/>
      <c r="AO8" s="38">
        <f>COUNTIFS(DataRegularSeason20242025!$D$2:$D$1315,AO$1,DataRegularSeason20242025!$E$2:$E$1315,$A7,DataRegularSeason20242025!$N$2:$N$1315,1)</f>
        <v>0</v>
      </c>
      <c r="AP8" s="39"/>
      <c r="AQ8" s="38">
        <f>COUNTIFS(DataRegularSeason20242025!$D$2:$D$1315,AQ$1,DataRegularSeason20242025!$E$2:$E$1315,$A7,DataRegularSeason20242025!$N$2:$N$1315,1)</f>
        <v>0</v>
      </c>
      <c r="AR8" s="39"/>
      <c r="AS8" s="38">
        <f>COUNTIFS(DataRegularSeason20242025!$D$2:$D$1315,AS$1,DataRegularSeason20242025!$E$2:$E$1315,$A7,DataRegularSeason20242025!$N$2:$N$1315,1)</f>
        <v>0</v>
      </c>
      <c r="AT8" s="39"/>
      <c r="AU8" s="38">
        <f>COUNTIFS(DataRegularSeason20242025!$D$2:$D$1315,AU$1,DataRegularSeason20242025!$E$2:$E$1315,$A7,DataRegularSeason20242025!$N$2:$N$1315,1)</f>
        <v>0</v>
      </c>
      <c r="AV8" s="39"/>
      <c r="AW8" s="38">
        <f>COUNTIFS(DataRegularSeason20242025!$D$2:$D$1315,AW$1,DataRegularSeason20242025!$E$2:$E$1315,$A7,DataRegularSeason20242025!$N$2:$N$1315,1)</f>
        <v>0</v>
      </c>
      <c r="AX8" s="47"/>
      <c r="AY8" s="38">
        <f>COUNTIFS(DataRegularSeason20242025!$D$2:$D$1315,AY$1,DataRegularSeason20242025!$E$2:$E$1315,$A7,DataRegularSeason20242025!$N$2:$N$1315,1)</f>
        <v>0</v>
      </c>
      <c r="AZ8" s="39"/>
      <c r="BA8" s="38">
        <f>COUNTIFS(DataRegularSeason20242025!$D$2:$D$1315,BA$1,DataRegularSeason20242025!$E$2:$E$1315,$A7,DataRegularSeason20242025!$N$2:$N$1315,1)</f>
        <v>0</v>
      </c>
      <c r="BB8" s="39"/>
      <c r="BC8" s="38">
        <f>COUNTIFS(DataRegularSeason20242025!$D$2:$D$1315,BC$1,DataRegularSeason20242025!$E$2:$E$1315,$A7,DataRegularSeason20242025!$N$2:$N$1315,1)</f>
        <v>0</v>
      </c>
      <c r="BD8" s="39"/>
      <c r="BE8" s="38">
        <f>COUNTIFS(DataRegularSeason20242025!$D$2:$D$1315,BE$1,DataRegularSeason20242025!$E$2:$E$1315,$A7,DataRegularSeason20242025!$N$2:$N$1315,1)</f>
        <v>0</v>
      </c>
      <c r="BF8" s="39"/>
      <c r="BG8" s="38">
        <f>COUNTIFS(DataRegularSeason20242025!$D$2:$D$1315,BG$1,DataRegularSeason20242025!$E$2:$E$1315,$A7,DataRegularSeason20242025!$N$2:$N$1315,1)</f>
        <v>0</v>
      </c>
      <c r="BH8" s="39"/>
      <c r="BI8" s="38">
        <f>COUNTIFS(DataRegularSeason20242025!$D$2:$D$1315,BI$1,DataRegularSeason20242025!$E$2:$E$1315,$A7,DataRegularSeason20242025!$N$2:$N$1315,1)</f>
        <v>0</v>
      </c>
      <c r="BJ8" s="39"/>
      <c r="BK8" s="38">
        <f>COUNTIFS(DataRegularSeason20242025!$D$2:$D$1315,BK$1,DataRegularSeason20242025!$E$2:$E$1315,$A7,DataRegularSeason20242025!$N$2:$N$1315,1)</f>
        <v>0</v>
      </c>
      <c r="BL8" s="39"/>
      <c r="BM8" s="38">
        <f>COUNTIFS(DataRegularSeason20242025!$D$2:$D$1315,BM$1,DataRegularSeason20242025!$E$2:$E$1315,$A7,DataRegularSeason20242025!$N$2:$N$1315,1)</f>
        <v>0</v>
      </c>
      <c r="BN8" s="39"/>
      <c r="BO8" s="34">
        <f t="shared" si="1"/>
        <v>2</v>
      </c>
      <c r="BP8" s="165"/>
      <c r="BQ8" s="166"/>
      <c r="BR8" s="173"/>
    </row>
    <row r="9" spans="1:70" ht="9.9499999999999993" customHeight="1" x14ac:dyDescent="0.25">
      <c r="A9" s="172" t="s">
        <v>27</v>
      </c>
      <c r="B9" s="28" t="s">
        <v>74</v>
      </c>
      <c r="C9" s="35"/>
      <c r="D9" s="28">
        <f>COUNTIFS(DataRegularSeason20242025!$E$2:$E$1315,C$1,DataRegularSeason20242025!$D$2:$D$1315,$A9,DataRegularSeason20242025!$N$2:$N$1315,1)</f>
        <v>0</v>
      </c>
      <c r="E9" s="35"/>
      <c r="F9" s="28">
        <f>COUNTIFS(DataRegularSeason20242025!$E$2:$E$1315,E$1,DataRegularSeason20242025!$D$2:$D$1315,$A9,DataRegularSeason20242025!$N$2:$N$1315,1)</f>
        <v>0</v>
      </c>
      <c r="G9" s="35"/>
      <c r="H9" s="28">
        <f>COUNTIFS(DataRegularSeason20242025!$E$2:$E$1315,G$1,DataRegularSeason20242025!$D$2:$D$1315,$A9,DataRegularSeason20242025!$N$2:$N$1315,1)</f>
        <v>0</v>
      </c>
      <c r="I9" s="35"/>
      <c r="J9" s="36"/>
      <c r="K9" s="35"/>
      <c r="L9" s="28">
        <f>COUNTIFS(DataRegularSeason20242025!$E$2:$E$1315,K$1,DataRegularSeason20242025!$D$2:$D$1315,$A9,DataRegularSeason20242025!$N$2:$N$1315,1)</f>
        <v>0</v>
      </c>
      <c r="M9" s="35"/>
      <c r="N9" s="28">
        <f>COUNTIFS(DataRegularSeason20242025!$E$2:$E$1315,M$1,DataRegularSeason20242025!$D$2:$D$1315,$A9,DataRegularSeason20242025!$N$2:$N$1315,1)</f>
        <v>0</v>
      </c>
      <c r="O9" s="35"/>
      <c r="P9" s="28">
        <f>COUNTIFS(DataRegularSeason20242025!$E$2:$E$1315,O$1,DataRegularSeason20242025!$D$2:$D$1315,$A9,DataRegularSeason20242025!$N$2:$N$1315,1)</f>
        <v>0</v>
      </c>
      <c r="Q9" s="35"/>
      <c r="R9" s="46">
        <f>COUNTIFS(DataRegularSeason20242025!$E$2:$E$1315,Q$1,DataRegularSeason20242025!$D$2:$D$1315,$A9,DataRegularSeason20242025!$N$2:$N$1315,1)</f>
        <v>1</v>
      </c>
      <c r="S9" s="35"/>
      <c r="T9" s="28">
        <f>COUNTIFS(DataRegularSeason20242025!$E$2:$E$1315,S$1,DataRegularSeason20242025!$D$2:$D$1315,$A9,DataRegularSeason20242025!$N$2:$N$1315,1)</f>
        <v>0</v>
      </c>
      <c r="U9" s="35"/>
      <c r="V9" s="28">
        <f>COUNTIFS(DataRegularSeason20242025!$E$2:$E$1315,U$1,DataRegularSeason20242025!$D$2:$D$1315,$A9,DataRegularSeason20242025!$N$2:$N$1315,1)</f>
        <v>0</v>
      </c>
      <c r="W9" s="35"/>
      <c r="X9" s="28">
        <f>COUNTIFS(DataRegularSeason20242025!$E$2:$E$1315,W$1,DataRegularSeason20242025!$D$2:$D$1315,$A9,DataRegularSeason20242025!$N$2:$N$1315,1)</f>
        <v>0</v>
      </c>
      <c r="Y9" s="35"/>
      <c r="Z9" s="28">
        <f>COUNTIFS(DataRegularSeason20242025!$E$2:$E$1315,Y$1,DataRegularSeason20242025!$D$2:$D$1315,$A9,DataRegularSeason20242025!$N$2:$N$1315,1)</f>
        <v>1</v>
      </c>
      <c r="AA9" s="35"/>
      <c r="AB9" s="28">
        <f>COUNTIFS(DataRegularSeason20242025!$E$2:$E$1315,AA$1,DataRegularSeason20242025!$D$2:$D$1315,$A9,DataRegularSeason20242025!$N$2:$N$1315,1)</f>
        <v>0</v>
      </c>
      <c r="AC9" s="35"/>
      <c r="AD9" s="28">
        <f>COUNTIFS(DataRegularSeason20242025!$E$2:$E$1315,AC$1,DataRegularSeason20242025!$D$2:$D$1315,$A9,DataRegularSeason20242025!$N$2:$N$1315,1)</f>
        <v>1</v>
      </c>
      <c r="AE9" s="35"/>
      <c r="AF9" s="28">
        <f>COUNTIFS(DataRegularSeason20242025!$E$2:$E$1315,AE$1,DataRegularSeason20242025!$D$2:$D$1315,$A9,DataRegularSeason20242025!$N$2:$N$1315,1)</f>
        <v>0</v>
      </c>
      <c r="AG9" s="35"/>
      <c r="AH9" s="46">
        <f>COUNTIFS(DataRegularSeason20242025!$E$2:$E$1315,AG$1,DataRegularSeason20242025!$D$2:$D$1315,$A9,DataRegularSeason20242025!$N$2:$N$1315,1)</f>
        <v>1</v>
      </c>
      <c r="AI9" s="35"/>
      <c r="AJ9" s="28">
        <f>COUNTIFS(DataRegularSeason20242025!$E$2:$E$1315,AI$1,DataRegularSeason20242025!$D$2:$D$1315,$A9,DataRegularSeason20242025!$N$2:$N$1315,1)</f>
        <v>0</v>
      </c>
      <c r="AK9" s="35"/>
      <c r="AL9" s="28">
        <f>COUNTIFS(DataRegularSeason20242025!$E$2:$E$1315,AK$1,DataRegularSeason20242025!$D$2:$D$1315,$A9,DataRegularSeason20242025!$N$2:$N$1315,1)</f>
        <v>0</v>
      </c>
      <c r="AM9" s="35"/>
      <c r="AN9" s="28">
        <f>COUNTIFS(DataRegularSeason20242025!$E$2:$E$1315,AM$1,DataRegularSeason20242025!$D$2:$D$1315,$A9,DataRegularSeason20242025!$N$2:$N$1315,1)</f>
        <v>0</v>
      </c>
      <c r="AO9" s="35"/>
      <c r="AP9" s="28">
        <f>COUNTIFS(DataRegularSeason20242025!$E$2:$E$1315,AO$1,DataRegularSeason20242025!$D$2:$D$1315,$A9,DataRegularSeason20242025!$N$2:$N$1315,1)</f>
        <v>0</v>
      </c>
      <c r="AQ9" s="35"/>
      <c r="AR9" s="28">
        <f>COUNTIFS(DataRegularSeason20242025!$E$2:$E$1315,AQ$1,DataRegularSeason20242025!$D$2:$D$1315,$A9,DataRegularSeason20242025!$N$2:$N$1315,1)</f>
        <v>0</v>
      </c>
      <c r="AS9" s="35"/>
      <c r="AT9" s="28">
        <f>COUNTIFS(DataRegularSeason20242025!$E$2:$E$1315,AS$1,DataRegularSeason20242025!$D$2:$D$1315,$A9,DataRegularSeason20242025!$N$2:$N$1315,1)</f>
        <v>0</v>
      </c>
      <c r="AU9" s="35"/>
      <c r="AV9" s="28">
        <f>COUNTIFS(DataRegularSeason20242025!$E$2:$E$1315,AU$1,DataRegularSeason20242025!$D$2:$D$1315,$A9,DataRegularSeason20242025!$N$2:$N$1315,1)</f>
        <v>0</v>
      </c>
      <c r="AW9" s="35"/>
      <c r="AX9" s="46">
        <f>COUNTIFS(DataRegularSeason20242025!$E$2:$E$1315,AW$1,DataRegularSeason20242025!$D$2:$D$1315,$A9,DataRegularSeason20242025!$N$2:$N$1315,1)</f>
        <v>0</v>
      </c>
      <c r="AY9" s="35"/>
      <c r="AZ9" s="28">
        <f>COUNTIFS(DataRegularSeason20242025!$E$2:$E$1315,AY$1,DataRegularSeason20242025!$D$2:$D$1315,$A9,DataRegularSeason20242025!$N$2:$N$1315,1)</f>
        <v>0</v>
      </c>
      <c r="BA9" s="35"/>
      <c r="BB9" s="28">
        <f>COUNTIFS(DataRegularSeason20242025!$E$2:$E$1315,BA$1,DataRegularSeason20242025!$D$2:$D$1315,$A9,DataRegularSeason20242025!$N$2:$N$1315,1)</f>
        <v>0</v>
      </c>
      <c r="BC9" s="35"/>
      <c r="BD9" s="28">
        <f>COUNTIFS(DataRegularSeason20242025!$E$2:$E$1315,BC$1,DataRegularSeason20242025!$D$2:$D$1315,$A9,DataRegularSeason20242025!$N$2:$N$1315,1)</f>
        <v>0</v>
      </c>
      <c r="BE9" s="35"/>
      <c r="BF9" s="28">
        <f>COUNTIFS(DataRegularSeason20242025!$E$2:$E$1315,BE$1,DataRegularSeason20242025!$D$2:$D$1315,$A9,DataRegularSeason20242025!$N$2:$N$1315,1)</f>
        <v>0</v>
      </c>
      <c r="BG9" s="35"/>
      <c r="BH9" s="28">
        <f>COUNTIFS(DataRegularSeason20242025!$E$2:$E$1315,BG$1,DataRegularSeason20242025!$D$2:$D$1315,$A9,DataRegularSeason20242025!$N$2:$N$1315,1)</f>
        <v>0</v>
      </c>
      <c r="BI9" s="35"/>
      <c r="BJ9" s="28">
        <f>COUNTIFS(DataRegularSeason20242025!$E$2:$E$1315,BI$1,DataRegularSeason20242025!$D$2:$D$1315,$A9,DataRegularSeason20242025!$N$2:$N$1315,1)</f>
        <v>0</v>
      </c>
      <c r="BK9" s="35"/>
      <c r="BL9" s="28">
        <f>COUNTIFS(DataRegularSeason20242025!$E$2:$E$1315,BK$1,DataRegularSeason20242025!$D$2:$D$1315,$A9,DataRegularSeason20242025!$N$2:$N$1315,1)</f>
        <v>0</v>
      </c>
      <c r="BM9" s="35"/>
      <c r="BN9" s="28">
        <f>COUNTIFS(DataRegularSeason20242025!$E$2:$E$1315,BM$1,DataRegularSeason20242025!$D$2:$D$1315,$A9,DataRegularSeason20242025!$N$2:$N$1315,1)</f>
        <v>0</v>
      </c>
      <c r="BO9" s="30">
        <f t="shared" si="1"/>
        <v>4</v>
      </c>
      <c r="BP9" s="165">
        <f t="shared" ref="BP9" si="8">BO9+BO10</f>
        <v>7</v>
      </c>
      <c r="BQ9" s="166">
        <f t="shared" ref="BQ9" si="9">82-BP9</f>
        <v>75</v>
      </c>
      <c r="BR9" s="173">
        <f t="shared" ref="BR9" si="10">BP9/(BP9+BQ9)</f>
        <v>8.5365853658536592E-2</v>
      </c>
    </row>
    <row r="10" spans="1:70" ht="9.9499999999999993" customHeight="1" x14ac:dyDescent="0.25">
      <c r="A10" s="167"/>
      <c r="B10" s="32" t="s">
        <v>73</v>
      </c>
      <c r="C10" s="38">
        <f>COUNTIFS(DataRegularSeason20242025!$D$2:$D$1315,C$1,DataRegularSeason20242025!$E$2:$E$1315,$A9,DataRegularSeason20242025!$N$2:$N$1315,1)</f>
        <v>0</v>
      </c>
      <c r="D10" s="39"/>
      <c r="E10" s="38">
        <f>COUNTIFS(DataRegularSeason20242025!$D$2:$D$1315,E$1,DataRegularSeason20242025!$E$2:$E$1315,$A9,DataRegularSeason20242025!$N$2:$N$1315,1)</f>
        <v>0</v>
      </c>
      <c r="F10" s="39"/>
      <c r="G10" s="38">
        <f>COUNTIFS(DataRegularSeason20242025!$D$2:$D$1315,G$1,DataRegularSeason20242025!$E$2:$E$1315,$A9,DataRegularSeason20242025!$N$2:$N$1315,1)</f>
        <v>0</v>
      </c>
      <c r="H10" s="39"/>
      <c r="I10" s="38"/>
      <c r="J10" s="39"/>
      <c r="K10" s="38">
        <f>COUNTIFS(DataRegularSeason20242025!$D$2:$D$1315,K$1,DataRegularSeason20242025!$E$2:$E$1315,$A9,DataRegularSeason20242025!$N$2:$N$1315,1)</f>
        <v>0</v>
      </c>
      <c r="L10" s="39"/>
      <c r="M10" s="38">
        <f>COUNTIFS(DataRegularSeason20242025!$D$2:$D$1315,M$1,DataRegularSeason20242025!$E$2:$E$1315,$A9,DataRegularSeason20242025!$N$2:$N$1315,1)</f>
        <v>0</v>
      </c>
      <c r="N10" s="39"/>
      <c r="O10" s="38">
        <f>COUNTIFS(DataRegularSeason20242025!$D$2:$D$1315,O$1,DataRegularSeason20242025!$E$2:$E$1315,$A9,DataRegularSeason20242025!$N$2:$N$1315,1)</f>
        <v>0</v>
      </c>
      <c r="P10" s="39"/>
      <c r="Q10" s="38">
        <f>COUNTIFS(DataRegularSeason20242025!$D$2:$D$1315,Q$1,DataRegularSeason20242025!$E$2:$E$1315,$A9,DataRegularSeason20242025!$N$2:$N$1315,1)</f>
        <v>0</v>
      </c>
      <c r="R10" s="47"/>
      <c r="S10" s="38">
        <f>COUNTIFS(DataRegularSeason20242025!$D$2:$D$1315,S$1,DataRegularSeason20242025!$E$2:$E$1315,$A9,DataRegularSeason20242025!$N$2:$N$1315,1)</f>
        <v>0</v>
      </c>
      <c r="T10" s="39"/>
      <c r="U10" s="38">
        <f>COUNTIFS(DataRegularSeason20242025!$D$2:$D$1315,U$1,DataRegularSeason20242025!$E$2:$E$1315,$A9,DataRegularSeason20242025!$N$2:$N$1315,1)</f>
        <v>1</v>
      </c>
      <c r="V10" s="39"/>
      <c r="W10" s="38">
        <f>COUNTIFS(DataRegularSeason20242025!$D$2:$D$1315,W$1,DataRegularSeason20242025!$E$2:$E$1315,$A9,DataRegularSeason20242025!$N$2:$N$1315,1)</f>
        <v>0</v>
      </c>
      <c r="X10" s="39"/>
      <c r="Y10" s="38">
        <f>COUNTIFS(DataRegularSeason20242025!$D$2:$D$1315,Y$1,DataRegularSeason20242025!$E$2:$E$1315,$A9,DataRegularSeason20242025!$N$2:$N$1315,1)</f>
        <v>0</v>
      </c>
      <c r="Z10" s="39"/>
      <c r="AA10" s="38">
        <f>COUNTIFS(DataRegularSeason20242025!$D$2:$D$1315,AA$1,DataRegularSeason20242025!$E$2:$E$1315,$A9,DataRegularSeason20242025!$N$2:$N$1315,1)</f>
        <v>0</v>
      </c>
      <c r="AB10" s="39"/>
      <c r="AC10" s="38">
        <f>COUNTIFS(DataRegularSeason20242025!$D$2:$D$1315,AC$1,DataRegularSeason20242025!$E$2:$E$1315,$A9,DataRegularSeason20242025!$N$2:$N$1315,1)</f>
        <v>0</v>
      </c>
      <c r="AD10" s="39"/>
      <c r="AE10" s="38">
        <f>COUNTIFS(DataRegularSeason20242025!$D$2:$D$1315,AE$1,DataRegularSeason20242025!$E$2:$E$1315,$A9,DataRegularSeason20242025!$N$2:$N$1315,1)</f>
        <v>0</v>
      </c>
      <c r="AF10" s="39"/>
      <c r="AG10" s="38">
        <f>COUNTIFS(DataRegularSeason20242025!$D$2:$D$1315,AG$1,DataRegularSeason20242025!$E$2:$E$1315,$A9,DataRegularSeason20242025!$N$2:$N$1315,1)</f>
        <v>0</v>
      </c>
      <c r="AH10" s="47"/>
      <c r="AI10" s="38">
        <f>COUNTIFS(DataRegularSeason20242025!$D$2:$D$1315,AI$1,DataRegularSeason20242025!$E$2:$E$1315,$A9,DataRegularSeason20242025!$N$2:$N$1315,1)</f>
        <v>1</v>
      </c>
      <c r="AJ10" s="39"/>
      <c r="AK10" s="38">
        <f>COUNTIFS(DataRegularSeason20242025!$D$2:$D$1315,AK$1,DataRegularSeason20242025!$E$2:$E$1315,$A9,DataRegularSeason20242025!$N$2:$N$1315,1)</f>
        <v>0</v>
      </c>
      <c r="AL10" s="39"/>
      <c r="AM10" s="38">
        <f>COUNTIFS(DataRegularSeason20242025!$D$2:$D$1315,AM$1,DataRegularSeason20242025!$E$2:$E$1315,$A9,DataRegularSeason20242025!$N$2:$N$1315,1)</f>
        <v>0</v>
      </c>
      <c r="AN10" s="39"/>
      <c r="AO10" s="38">
        <f>COUNTIFS(DataRegularSeason20242025!$D$2:$D$1315,AO$1,DataRegularSeason20242025!$E$2:$E$1315,$A9,DataRegularSeason20242025!$N$2:$N$1315,1)</f>
        <v>0</v>
      </c>
      <c r="AP10" s="39"/>
      <c r="AQ10" s="38">
        <f>COUNTIFS(DataRegularSeason20242025!$D$2:$D$1315,AQ$1,DataRegularSeason20242025!$E$2:$E$1315,$A9,DataRegularSeason20242025!$N$2:$N$1315,1)</f>
        <v>0</v>
      </c>
      <c r="AR10" s="39"/>
      <c r="AS10" s="38">
        <f>COUNTIFS(DataRegularSeason20242025!$D$2:$D$1315,AS$1,DataRegularSeason20242025!$E$2:$E$1315,$A9,DataRegularSeason20242025!$N$2:$N$1315,1)</f>
        <v>0</v>
      </c>
      <c r="AT10" s="39"/>
      <c r="AU10" s="38">
        <f>COUNTIFS(DataRegularSeason20242025!$D$2:$D$1315,AU$1,DataRegularSeason20242025!$E$2:$E$1315,$A9,DataRegularSeason20242025!$N$2:$N$1315,1)</f>
        <v>1</v>
      </c>
      <c r="AV10" s="39"/>
      <c r="AW10" s="38">
        <f>COUNTIFS(DataRegularSeason20242025!$D$2:$D$1315,AW$1,DataRegularSeason20242025!$E$2:$E$1315,$A9,DataRegularSeason20242025!$N$2:$N$1315,1)</f>
        <v>0</v>
      </c>
      <c r="AX10" s="47"/>
      <c r="AY10" s="38">
        <f>COUNTIFS(DataRegularSeason20242025!$D$2:$D$1315,AY$1,DataRegularSeason20242025!$E$2:$E$1315,$A9,DataRegularSeason20242025!$N$2:$N$1315,1)</f>
        <v>0</v>
      </c>
      <c r="AZ10" s="39"/>
      <c r="BA10" s="38">
        <f>COUNTIFS(DataRegularSeason20242025!$D$2:$D$1315,BA$1,DataRegularSeason20242025!$E$2:$E$1315,$A9,DataRegularSeason20242025!$N$2:$N$1315,1)</f>
        <v>0</v>
      </c>
      <c r="BB10" s="39"/>
      <c r="BC10" s="38">
        <f>COUNTIFS(DataRegularSeason20242025!$D$2:$D$1315,BC$1,DataRegularSeason20242025!$E$2:$E$1315,$A9,DataRegularSeason20242025!$N$2:$N$1315,1)</f>
        <v>0</v>
      </c>
      <c r="BD10" s="39"/>
      <c r="BE10" s="38">
        <f>COUNTIFS(DataRegularSeason20242025!$D$2:$D$1315,BE$1,DataRegularSeason20242025!$E$2:$E$1315,$A9,DataRegularSeason20242025!$N$2:$N$1315,1)</f>
        <v>0</v>
      </c>
      <c r="BF10" s="39"/>
      <c r="BG10" s="38">
        <f>COUNTIFS(DataRegularSeason20242025!$D$2:$D$1315,BG$1,DataRegularSeason20242025!$E$2:$E$1315,$A9,DataRegularSeason20242025!$N$2:$N$1315,1)</f>
        <v>0</v>
      </c>
      <c r="BH10" s="39"/>
      <c r="BI10" s="38">
        <f>COUNTIFS(DataRegularSeason20242025!$D$2:$D$1315,BI$1,DataRegularSeason20242025!$E$2:$E$1315,$A9,DataRegularSeason20242025!$N$2:$N$1315,1)</f>
        <v>0</v>
      </c>
      <c r="BJ10" s="39"/>
      <c r="BK10" s="38">
        <f>COUNTIFS(DataRegularSeason20242025!$D$2:$D$1315,BK$1,DataRegularSeason20242025!$E$2:$E$1315,$A9,DataRegularSeason20242025!$N$2:$N$1315,1)</f>
        <v>0</v>
      </c>
      <c r="BL10" s="39"/>
      <c r="BM10" s="38">
        <f>COUNTIFS(DataRegularSeason20242025!$D$2:$D$1315,BM$1,DataRegularSeason20242025!$E$2:$E$1315,$A9,DataRegularSeason20242025!$N$2:$N$1315,1)</f>
        <v>0</v>
      </c>
      <c r="BN10" s="39"/>
      <c r="BO10" s="34">
        <f t="shared" si="1"/>
        <v>3</v>
      </c>
      <c r="BP10" s="165"/>
      <c r="BQ10" s="166"/>
      <c r="BR10" s="173"/>
    </row>
    <row r="11" spans="1:70" ht="9.9499999999999993" customHeight="1" x14ac:dyDescent="0.25">
      <c r="A11" s="172" t="s">
        <v>11</v>
      </c>
      <c r="B11" s="28" t="s">
        <v>74</v>
      </c>
      <c r="C11" s="35"/>
      <c r="D11" s="28">
        <f>COUNTIFS(DataRegularSeason20242025!$E$2:$E$1315,C$1,DataRegularSeason20242025!$D$2:$D$1315,$A11,DataRegularSeason20242025!$N$2:$N$1315,1)</f>
        <v>0</v>
      </c>
      <c r="E11" s="35"/>
      <c r="F11" s="28">
        <f>COUNTIFS(DataRegularSeason20242025!$E$2:$E$1315,E$1,DataRegularSeason20242025!$D$2:$D$1315,$A11,DataRegularSeason20242025!$N$2:$N$1315,1)</f>
        <v>0</v>
      </c>
      <c r="G11" s="35"/>
      <c r="H11" s="28">
        <f>COUNTIFS(DataRegularSeason20242025!$E$2:$E$1315,G$1,DataRegularSeason20242025!$D$2:$D$1315,$A11,DataRegularSeason20242025!$N$2:$N$1315,1)</f>
        <v>0</v>
      </c>
      <c r="I11" s="35"/>
      <c r="J11" s="28">
        <f>COUNTIFS(DataRegularSeason20242025!$E$2:$E$1315,I$1,DataRegularSeason20242025!$D$2:$D$1315,$A11,DataRegularSeason20242025!$N$2:$N$1315,1)</f>
        <v>0</v>
      </c>
      <c r="K11" s="35"/>
      <c r="L11" s="36"/>
      <c r="M11" s="35"/>
      <c r="N11" s="28">
        <f>COUNTIFS(DataRegularSeason20242025!$E$2:$E$1315,M$1,DataRegularSeason20242025!$D$2:$D$1315,$A11,DataRegularSeason20242025!$N$2:$N$1315,1)</f>
        <v>0</v>
      </c>
      <c r="O11" s="35"/>
      <c r="P11" s="28">
        <f>COUNTIFS(DataRegularSeason20242025!$E$2:$E$1315,O$1,DataRegularSeason20242025!$D$2:$D$1315,$A11,DataRegularSeason20242025!$N$2:$N$1315,1)</f>
        <v>0</v>
      </c>
      <c r="Q11" s="35"/>
      <c r="R11" s="46">
        <f>COUNTIFS(DataRegularSeason20242025!$E$2:$E$1315,Q$1,DataRegularSeason20242025!$D$2:$D$1315,$A11,DataRegularSeason20242025!$N$2:$N$1315,1)</f>
        <v>0</v>
      </c>
      <c r="S11" s="35"/>
      <c r="T11" s="28">
        <f>COUNTIFS(DataRegularSeason20242025!$E$2:$E$1315,S$1,DataRegularSeason20242025!$D$2:$D$1315,$A11,DataRegularSeason20242025!$N$2:$N$1315,1)</f>
        <v>0</v>
      </c>
      <c r="U11" s="35"/>
      <c r="V11" s="28">
        <f>COUNTIFS(DataRegularSeason20242025!$E$2:$E$1315,U$1,DataRegularSeason20242025!$D$2:$D$1315,$A11,DataRegularSeason20242025!$N$2:$N$1315,1)</f>
        <v>0</v>
      </c>
      <c r="W11" s="35"/>
      <c r="X11" s="28">
        <f>COUNTIFS(DataRegularSeason20242025!$E$2:$E$1315,W$1,DataRegularSeason20242025!$D$2:$D$1315,$A11,DataRegularSeason20242025!$N$2:$N$1315,1)</f>
        <v>0</v>
      </c>
      <c r="Y11" s="35"/>
      <c r="Z11" s="28">
        <f>COUNTIFS(DataRegularSeason20242025!$E$2:$E$1315,Y$1,DataRegularSeason20242025!$D$2:$D$1315,$A11,DataRegularSeason20242025!$N$2:$N$1315,1)</f>
        <v>0</v>
      </c>
      <c r="AA11" s="35"/>
      <c r="AB11" s="28">
        <f>COUNTIFS(DataRegularSeason20242025!$E$2:$E$1315,AA$1,DataRegularSeason20242025!$D$2:$D$1315,$A11,DataRegularSeason20242025!$N$2:$N$1315,1)</f>
        <v>0</v>
      </c>
      <c r="AC11" s="35"/>
      <c r="AD11" s="28">
        <f>COUNTIFS(DataRegularSeason20242025!$E$2:$E$1315,AC$1,DataRegularSeason20242025!$D$2:$D$1315,$A11,DataRegularSeason20242025!$N$2:$N$1315,1)</f>
        <v>0</v>
      </c>
      <c r="AE11" s="35"/>
      <c r="AF11" s="28">
        <f>COUNTIFS(DataRegularSeason20242025!$E$2:$E$1315,AE$1,DataRegularSeason20242025!$D$2:$D$1315,$A11,DataRegularSeason20242025!$N$2:$N$1315,1)</f>
        <v>0</v>
      </c>
      <c r="AG11" s="35"/>
      <c r="AH11" s="46">
        <f>COUNTIFS(DataRegularSeason20242025!$E$2:$E$1315,AG$1,DataRegularSeason20242025!$D$2:$D$1315,$A11,DataRegularSeason20242025!$N$2:$N$1315,1)</f>
        <v>0</v>
      </c>
      <c r="AI11" s="35"/>
      <c r="AJ11" s="28">
        <f>COUNTIFS(DataRegularSeason20242025!$E$2:$E$1315,AI$1,DataRegularSeason20242025!$D$2:$D$1315,$A11,DataRegularSeason20242025!$N$2:$N$1315,1)</f>
        <v>0</v>
      </c>
      <c r="AK11" s="35"/>
      <c r="AL11" s="28">
        <f>COUNTIFS(DataRegularSeason20242025!$E$2:$E$1315,AK$1,DataRegularSeason20242025!$D$2:$D$1315,$A11,DataRegularSeason20242025!$N$2:$N$1315,1)</f>
        <v>0</v>
      </c>
      <c r="AM11" s="35"/>
      <c r="AN11" s="28">
        <f>COUNTIFS(DataRegularSeason20242025!$E$2:$E$1315,AM$1,DataRegularSeason20242025!$D$2:$D$1315,$A11,DataRegularSeason20242025!$N$2:$N$1315,1)</f>
        <v>0</v>
      </c>
      <c r="AO11" s="35"/>
      <c r="AP11" s="28">
        <f>COUNTIFS(DataRegularSeason20242025!$E$2:$E$1315,AO$1,DataRegularSeason20242025!$D$2:$D$1315,$A11,DataRegularSeason20242025!$N$2:$N$1315,1)</f>
        <v>0</v>
      </c>
      <c r="AQ11" s="35"/>
      <c r="AR11" s="28">
        <f>COUNTIFS(DataRegularSeason20242025!$E$2:$E$1315,AQ$1,DataRegularSeason20242025!$D$2:$D$1315,$A11,DataRegularSeason20242025!$N$2:$N$1315,1)</f>
        <v>0</v>
      </c>
      <c r="AS11" s="35"/>
      <c r="AT11" s="28">
        <f>COUNTIFS(DataRegularSeason20242025!$E$2:$E$1315,AS$1,DataRegularSeason20242025!$D$2:$D$1315,$A11,DataRegularSeason20242025!$N$2:$N$1315,1)</f>
        <v>1</v>
      </c>
      <c r="AU11" s="35"/>
      <c r="AV11" s="28">
        <f>COUNTIFS(DataRegularSeason20242025!$E$2:$E$1315,AU$1,DataRegularSeason20242025!$D$2:$D$1315,$A11,DataRegularSeason20242025!$N$2:$N$1315,1)</f>
        <v>0</v>
      </c>
      <c r="AW11" s="35"/>
      <c r="AX11" s="46">
        <f>COUNTIFS(DataRegularSeason20242025!$E$2:$E$1315,AW$1,DataRegularSeason20242025!$D$2:$D$1315,$A11,DataRegularSeason20242025!$N$2:$N$1315,1)</f>
        <v>1</v>
      </c>
      <c r="AY11" s="35"/>
      <c r="AZ11" s="28">
        <f>COUNTIFS(DataRegularSeason20242025!$E$2:$E$1315,AY$1,DataRegularSeason20242025!$D$2:$D$1315,$A11,DataRegularSeason20242025!$N$2:$N$1315,1)</f>
        <v>0</v>
      </c>
      <c r="BA11" s="35"/>
      <c r="BB11" s="28">
        <f>COUNTIFS(DataRegularSeason20242025!$E$2:$E$1315,BA$1,DataRegularSeason20242025!$D$2:$D$1315,$A11,DataRegularSeason20242025!$N$2:$N$1315,1)</f>
        <v>0</v>
      </c>
      <c r="BC11" s="35"/>
      <c r="BD11" s="28">
        <f>COUNTIFS(DataRegularSeason20242025!$E$2:$E$1315,BC$1,DataRegularSeason20242025!$D$2:$D$1315,$A11,DataRegularSeason20242025!$N$2:$N$1315,1)</f>
        <v>0</v>
      </c>
      <c r="BE11" s="35"/>
      <c r="BF11" s="28">
        <f>COUNTIFS(DataRegularSeason20242025!$E$2:$E$1315,BE$1,DataRegularSeason20242025!$D$2:$D$1315,$A11,DataRegularSeason20242025!$N$2:$N$1315,1)</f>
        <v>0</v>
      </c>
      <c r="BG11" s="35"/>
      <c r="BH11" s="28">
        <f>COUNTIFS(DataRegularSeason20242025!$E$2:$E$1315,BG$1,DataRegularSeason20242025!$D$2:$D$1315,$A11,DataRegularSeason20242025!$N$2:$N$1315,1)</f>
        <v>1</v>
      </c>
      <c r="BI11" s="35"/>
      <c r="BJ11" s="28">
        <f>COUNTIFS(DataRegularSeason20242025!$E$2:$E$1315,BI$1,DataRegularSeason20242025!$D$2:$D$1315,$A11,DataRegularSeason20242025!$N$2:$N$1315,1)</f>
        <v>1</v>
      </c>
      <c r="BK11" s="35"/>
      <c r="BL11" s="28">
        <f>COUNTIFS(DataRegularSeason20242025!$E$2:$E$1315,BK$1,DataRegularSeason20242025!$D$2:$D$1315,$A11,DataRegularSeason20242025!$N$2:$N$1315,1)</f>
        <v>0</v>
      </c>
      <c r="BM11" s="35"/>
      <c r="BN11" s="28">
        <f>COUNTIFS(DataRegularSeason20242025!$E$2:$E$1315,BM$1,DataRegularSeason20242025!$D$2:$D$1315,$A11,DataRegularSeason20242025!$N$2:$N$1315,1)</f>
        <v>1</v>
      </c>
      <c r="BO11" s="30">
        <f t="shared" si="1"/>
        <v>5</v>
      </c>
      <c r="BP11" s="165">
        <f t="shared" ref="BP11" si="11">BO11+BO12</f>
        <v>7</v>
      </c>
      <c r="BQ11" s="166">
        <f t="shared" ref="BQ11" si="12">82-BP11</f>
        <v>75</v>
      </c>
      <c r="BR11" s="173">
        <f t="shared" ref="BR11" si="13">BP11/(BP11+BQ11)</f>
        <v>8.5365853658536592E-2</v>
      </c>
    </row>
    <row r="12" spans="1:70" ht="9.9499999999999993" customHeight="1" x14ac:dyDescent="0.25">
      <c r="A12" s="167"/>
      <c r="B12" s="32" t="s">
        <v>73</v>
      </c>
      <c r="C12" s="38">
        <f>COUNTIFS(DataRegularSeason20242025!$D$2:$D$1315,C$1,DataRegularSeason20242025!$E$2:$E$1315,$A11,DataRegularSeason20242025!$N$2:$N$1315,1)</f>
        <v>1</v>
      </c>
      <c r="D12" s="39"/>
      <c r="E12" s="38">
        <f>COUNTIFS(DataRegularSeason20242025!$D$2:$D$1315,E$1,DataRegularSeason20242025!$E$2:$E$1315,$A11,DataRegularSeason20242025!$N$2:$N$1315,1)</f>
        <v>0</v>
      </c>
      <c r="F12" s="39"/>
      <c r="G12" s="38">
        <f>COUNTIFS(DataRegularSeason20242025!$D$2:$D$1315,G$1,DataRegularSeason20242025!$E$2:$E$1315,$A11,DataRegularSeason20242025!$N$2:$N$1315,1)</f>
        <v>0</v>
      </c>
      <c r="H12" s="39"/>
      <c r="I12" s="38">
        <f>COUNTIFS(DataRegularSeason20242025!$D$2:$D$1315,I$1,DataRegularSeason20242025!$E$2:$E$1315,$A11,DataRegularSeason20242025!$N$2:$N$1315,1)</f>
        <v>0</v>
      </c>
      <c r="J12" s="39"/>
      <c r="K12" s="38"/>
      <c r="L12" s="39"/>
      <c r="M12" s="38">
        <f>COUNTIFS(DataRegularSeason20242025!$D$2:$D$1315,M$1,DataRegularSeason20242025!$E$2:$E$1315,$A11,DataRegularSeason20242025!$N$2:$N$1315,1)</f>
        <v>0</v>
      </c>
      <c r="N12" s="39"/>
      <c r="O12" s="38">
        <f>COUNTIFS(DataRegularSeason20242025!$D$2:$D$1315,O$1,DataRegularSeason20242025!$E$2:$E$1315,$A11,DataRegularSeason20242025!$N$2:$N$1315,1)</f>
        <v>0</v>
      </c>
      <c r="P12" s="39"/>
      <c r="Q12" s="38">
        <f>COUNTIFS(DataRegularSeason20242025!$D$2:$D$1315,Q$1,DataRegularSeason20242025!$E$2:$E$1315,$A11,DataRegularSeason20242025!$N$2:$N$1315,1)</f>
        <v>1</v>
      </c>
      <c r="R12" s="47"/>
      <c r="S12" s="38">
        <f>COUNTIFS(DataRegularSeason20242025!$D$2:$D$1315,S$1,DataRegularSeason20242025!$E$2:$E$1315,$A11,DataRegularSeason20242025!$N$2:$N$1315,1)</f>
        <v>0</v>
      </c>
      <c r="T12" s="39"/>
      <c r="U12" s="38">
        <f>COUNTIFS(DataRegularSeason20242025!$D$2:$D$1315,U$1,DataRegularSeason20242025!$E$2:$E$1315,$A11,DataRegularSeason20242025!$N$2:$N$1315,1)</f>
        <v>0</v>
      </c>
      <c r="V12" s="39"/>
      <c r="W12" s="38">
        <f>COUNTIFS(DataRegularSeason20242025!$D$2:$D$1315,W$1,DataRegularSeason20242025!$E$2:$E$1315,$A11,DataRegularSeason20242025!$N$2:$N$1315,1)</f>
        <v>0</v>
      </c>
      <c r="X12" s="39"/>
      <c r="Y12" s="38">
        <f>COUNTIFS(DataRegularSeason20242025!$D$2:$D$1315,Y$1,DataRegularSeason20242025!$E$2:$E$1315,$A11,DataRegularSeason20242025!$N$2:$N$1315,1)</f>
        <v>0</v>
      </c>
      <c r="Z12" s="39"/>
      <c r="AA12" s="38">
        <f>COUNTIFS(DataRegularSeason20242025!$D$2:$D$1315,AA$1,DataRegularSeason20242025!$E$2:$E$1315,$A11,DataRegularSeason20242025!$N$2:$N$1315,1)</f>
        <v>0</v>
      </c>
      <c r="AB12" s="39"/>
      <c r="AC12" s="38">
        <f>COUNTIFS(DataRegularSeason20242025!$D$2:$D$1315,AC$1,DataRegularSeason20242025!$E$2:$E$1315,$A11,DataRegularSeason20242025!$N$2:$N$1315,1)</f>
        <v>0</v>
      </c>
      <c r="AD12" s="39"/>
      <c r="AE12" s="38">
        <f>COUNTIFS(DataRegularSeason20242025!$D$2:$D$1315,AE$1,DataRegularSeason20242025!$E$2:$E$1315,$A11,DataRegularSeason20242025!$N$2:$N$1315,1)</f>
        <v>0</v>
      </c>
      <c r="AF12" s="39"/>
      <c r="AG12" s="38">
        <f>COUNTIFS(DataRegularSeason20242025!$D$2:$D$1315,AG$1,DataRegularSeason20242025!$E$2:$E$1315,$A11,DataRegularSeason20242025!$N$2:$N$1315,1)</f>
        <v>0</v>
      </c>
      <c r="AH12" s="47"/>
      <c r="AI12" s="38">
        <f>COUNTIFS(DataRegularSeason20242025!$D$2:$D$1315,AI$1,DataRegularSeason20242025!$E$2:$E$1315,$A11,DataRegularSeason20242025!$N$2:$N$1315,1)</f>
        <v>0</v>
      </c>
      <c r="AJ12" s="39"/>
      <c r="AK12" s="38">
        <f>COUNTIFS(DataRegularSeason20242025!$D$2:$D$1315,AK$1,DataRegularSeason20242025!$E$2:$E$1315,$A11,DataRegularSeason20242025!$N$2:$N$1315,1)</f>
        <v>0</v>
      </c>
      <c r="AL12" s="39"/>
      <c r="AM12" s="38">
        <f>COUNTIFS(DataRegularSeason20242025!$D$2:$D$1315,AM$1,DataRegularSeason20242025!$E$2:$E$1315,$A11,DataRegularSeason20242025!$N$2:$N$1315,1)</f>
        <v>0</v>
      </c>
      <c r="AN12" s="39"/>
      <c r="AO12" s="38">
        <f>COUNTIFS(DataRegularSeason20242025!$D$2:$D$1315,AO$1,DataRegularSeason20242025!$E$2:$E$1315,$A11,DataRegularSeason20242025!$N$2:$N$1315,1)</f>
        <v>0</v>
      </c>
      <c r="AP12" s="39"/>
      <c r="AQ12" s="38">
        <f>COUNTIFS(DataRegularSeason20242025!$D$2:$D$1315,AQ$1,DataRegularSeason20242025!$E$2:$E$1315,$A11,DataRegularSeason20242025!$N$2:$N$1315,1)</f>
        <v>0</v>
      </c>
      <c r="AR12" s="39"/>
      <c r="AS12" s="38">
        <f>COUNTIFS(DataRegularSeason20242025!$D$2:$D$1315,AS$1,DataRegularSeason20242025!$E$2:$E$1315,$A11,DataRegularSeason20242025!$N$2:$N$1315,1)</f>
        <v>0</v>
      </c>
      <c r="AT12" s="39"/>
      <c r="AU12" s="38">
        <f>COUNTIFS(DataRegularSeason20242025!$D$2:$D$1315,AU$1,DataRegularSeason20242025!$E$2:$E$1315,$A11,DataRegularSeason20242025!$N$2:$N$1315,1)</f>
        <v>0</v>
      </c>
      <c r="AV12" s="39"/>
      <c r="AW12" s="38">
        <f>COUNTIFS(DataRegularSeason20242025!$D$2:$D$1315,AW$1,DataRegularSeason20242025!$E$2:$E$1315,$A11,DataRegularSeason20242025!$N$2:$N$1315,1)</f>
        <v>0</v>
      </c>
      <c r="AX12" s="47"/>
      <c r="AY12" s="38">
        <f>COUNTIFS(DataRegularSeason20242025!$D$2:$D$1315,AY$1,DataRegularSeason20242025!$E$2:$E$1315,$A11,DataRegularSeason20242025!$N$2:$N$1315,1)</f>
        <v>0</v>
      </c>
      <c r="AZ12" s="39"/>
      <c r="BA12" s="38">
        <f>COUNTIFS(DataRegularSeason20242025!$D$2:$D$1315,BA$1,DataRegularSeason20242025!$E$2:$E$1315,$A11,DataRegularSeason20242025!$N$2:$N$1315,1)</f>
        <v>0</v>
      </c>
      <c r="BB12" s="39"/>
      <c r="BC12" s="38">
        <f>COUNTIFS(DataRegularSeason20242025!$D$2:$D$1315,BC$1,DataRegularSeason20242025!$E$2:$E$1315,$A11,DataRegularSeason20242025!$N$2:$N$1315,1)</f>
        <v>0</v>
      </c>
      <c r="BD12" s="39"/>
      <c r="BE12" s="38">
        <f>COUNTIFS(DataRegularSeason20242025!$D$2:$D$1315,BE$1,DataRegularSeason20242025!$E$2:$E$1315,$A11,DataRegularSeason20242025!$N$2:$N$1315,1)</f>
        <v>0</v>
      </c>
      <c r="BF12" s="39"/>
      <c r="BG12" s="38">
        <f>COUNTIFS(DataRegularSeason20242025!$D$2:$D$1315,BG$1,DataRegularSeason20242025!$E$2:$E$1315,$A11,DataRegularSeason20242025!$N$2:$N$1315,1)</f>
        <v>0</v>
      </c>
      <c r="BH12" s="39"/>
      <c r="BI12" s="38">
        <f>COUNTIFS(DataRegularSeason20242025!$D$2:$D$1315,BI$1,DataRegularSeason20242025!$E$2:$E$1315,$A11,DataRegularSeason20242025!$N$2:$N$1315,1)</f>
        <v>0</v>
      </c>
      <c r="BJ12" s="39"/>
      <c r="BK12" s="38">
        <f>COUNTIFS(DataRegularSeason20242025!$D$2:$D$1315,BK$1,DataRegularSeason20242025!$E$2:$E$1315,$A11,DataRegularSeason20242025!$N$2:$N$1315,1)</f>
        <v>0</v>
      </c>
      <c r="BL12" s="39"/>
      <c r="BM12" s="38">
        <f>COUNTIFS(DataRegularSeason20242025!$D$2:$D$1315,BM$1,DataRegularSeason20242025!$E$2:$E$1315,$A11,DataRegularSeason20242025!$N$2:$N$1315,1)</f>
        <v>0</v>
      </c>
      <c r="BN12" s="39"/>
      <c r="BO12" s="34">
        <f t="shared" si="1"/>
        <v>2</v>
      </c>
      <c r="BP12" s="165"/>
      <c r="BQ12" s="166"/>
      <c r="BR12" s="173"/>
    </row>
    <row r="13" spans="1:70" ht="9.9499999999999993" customHeight="1" x14ac:dyDescent="0.25">
      <c r="A13" s="172" t="s">
        <v>37</v>
      </c>
      <c r="B13" s="28" t="s">
        <v>74</v>
      </c>
      <c r="C13" s="35"/>
      <c r="D13" s="28">
        <f>COUNTIFS(DataRegularSeason20242025!$E$2:$E$1315,C$1,DataRegularSeason20242025!$D$2:$D$1315,$A13,DataRegularSeason20242025!$N$2:$N$1315,1)</f>
        <v>0</v>
      </c>
      <c r="E13" s="35"/>
      <c r="F13" s="28">
        <f>COUNTIFS(DataRegularSeason20242025!$E$2:$E$1315,E$1,DataRegularSeason20242025!$D$2:$D$1315,$A13,DataRegularSeason20242025!$N$2:$N$1315,1)</f>
        <v>0</v>
      </c>
      <c r="G13" s="35"/>
      <c r="H13" s="28">
        <f>COUNTIFS(DataRegularSeason20242025!$E$2:$E$1315,G$1,DataRegularSeason20242025!$D$2:$D$1315,$A13,DataRegularSeason20242025!$N$2:$N$1315,1)</f>
        <v>0</v>
      </c>
      <c r="I13" s="35"/>
      <c r="J13" s="28">
        <f>COUNTIFS(DataRegularSeason20242025!$E$2:$E$1315,I$1,DataRegularSeason20242025!$D$2:$D$1315,$A13,DataRegularSeason20242025!$N$2:$N$1315,1)</f>
        <v>0</v>
      </c>
      <c r="K13" s="35"/>
      <c r="L13" s="28">
        <f>COUNTIFS(DataRegularSeason20242025!$E$2:$E$1315,K$1,DataRegularSeason20242025!$D$2:$D$1315,$A13,DataRegularSeason20242025!$N$2:$N$1315,1)</f>
        <v>0</v>
      </c>
      <c r="M13" s="35"/>
      <c r="N13" s="36"/>
      <c r="O13" s="35"/>
      <c r="P13" s="28">
        <f>COUNTIFS(DataRegularSeason20242025!$E$2:$E$1315,O$1,DataRegularSeason20242025!$D$2:$D$1315,$A13,DataRegularSeason20242025!$N$2:$N$1315,1)</f>
        <v>0</v>
      </c>
      <c r="Q13" s="35"/>
      <c r="R13" s="46">
        <f>COUNTIFS(DataRegularSeason20242025!$E$2:$E$1315,Q$1,DataRegularSeason20242025!$D$2:$D$1315,$A13,DataRegularSeason20242025!$N$2:$N$1315,1)</f>
        <v>0</v>
      </c>
      <c r="S13" s="35"/>
      <c r="T13" s="28">
        <f>COUNTIFS(DataRegularSeason20242025!$E$2:$E$1315,S$1,DataRegularSeason20242025!$D$2:$D$1315,$A13,DataRegularSeason20242025!$N$2:$N$1315,1)</f>
        <v>0</v>
      </c>
      <c r="U13" s="35"/>
      <c r="V13" s="28">
        <f>COUNTIFS(DataRegularSeason20242025!$E$2:$E$1315,U$1,DataRegularSeason20242025!$D$2:$D$1315,$A13,DataRegularSeason20242025!$N$2:$N$1315,1)</f>
        <v>0</v>
      </c>
      <c r="W13" s="35"/>
      <c r="X13" s="28">
        <f>COUNTIFS(DataRegularSeason20242025!$E$2:$E$1315,W$1,DataRegularSeason20242025!$D$2:$D$1315,$A13,DataRegularSeason20242025!$N$2:$N$1315,1)</f>
        <v>0</v>
      </c>
      <c r="Y13" s="35"/>
      <c r="Z13" s="28">
        <f>COUNTIFS(DataRegularSeason20242025!$E$2:$E$1315,Y$1,DataRegularSeason20242025!$D$2:$D$1315,$A13,DataRegularSeason20242025!$N$2:$N$1315,1)</f>
        <v>0</v>
      </c>
      <c r="AA13" s="35"/>
      <c r="AB13" s="28">
        <f>COUNTIFS(DataRegularSeason20242025!$E$2:$E$1315,AA$1,DataRegularSeason20242025!$D$2:$D$1315,$A13,DataRegularSeason20242025!$N$2:$N$1315,1)</f>
        <v>0</v>
      </c>
      <c r="AC13" s="35"/>
      <c r="AD13" s="28">
        <f>COUNTIFS(DataRegularSeason20242025!$E$2:$E$1315,AC$1,DataRegularSeason20242025!$D$2:$D$1315,$A13,DataRegularSeason20242025!$N$2:$N$1315,1)</f>
        <v>0</v>
      </c>
      <c r="AE13" s="35"/>
      <c r="AF13" s="28">
        <f>COUNTIFS(DataRegularSeason20242025!$E$2:$E$1315,AE$1,DataRegularSeason20242025!$D$2:$D$1315,$A13,DataRegularSeason20242025!$N$2:$N$1315,1)</f>
        <v>1</v>
      </c>
      <c r="AG13" s="35"/>
      <c r="AH13" s="46">
        <f>COUNTIFS(DataRegularSeason20242025!$E$2:$E$1315,AG$1,DataRegularSeason20242025!$D$2:$D$1315,$A13,DataRegularSeason20242025!$N$2:$N$1315,1)</f>
        <v>0</v>
      </c>
      <c r="AI13" s="35"/>
      <c r="AJ13" s="28">
        <f>COUNTIFS(DataRegularSeason20242025!$E$2:$E$1315,AI$1,DataRegularSeason20242025!$D$2:$D$1315,$A13,DataRegularSeason20242025!$N$2:$N$1315,1)</f>
        <v>0</v>
      </c>
      <c r="AK13" s="35"/>
      <c r="AL13" s="28">
        <f>COUNTIFS(DataRegularSeason20242025!$E$2:$E$1315,AK$1,DataRegularSeason20242025!$D$2:$D$1315,$A13,DataRegularSeason20242025!$N$2:$N$1315,1)</f>
        <v>0</v>
      </c>
      <c r="AM13" s="35"/>
      <c r="AN13" s="28">
        <f>COUNTIFS(DataRegularSeason20242025!$E$2:$E$1315,AM$1,DataRegularSeason20242025!$D$2:$D$1315,$A13,DataRegularSeason20242025!$N$2:$N$1315,1)</f>
        <v>0</v>
      </c>
      <c r="AO13" s="35"/>
      <c r="AP13" s="28">
        <f>COUNTIFS(DataRegularSeason20242025!$E$2:$E$1315,AO$1,DataRegularSeason20242025!$D$2:$D$1315,$A13,DataRegularSeason20242025!$N$2:$N$1315,1)</f>
        <v>1</v>
      </c>
      <c r="AQ13" s="35"/>
      <c r="AR13" s="28">
        <f>COUNTIFS(DataRegularSeason20242025!$E$2:$E$1315,AQ$1,DataRegularSeason20242025!$D$2:$D$1315,$A13,DataRegularSeason20242025!$N$2:$N$1315,1)</f>
        <v>0</v>
      </c>
      <c r="AS13" s="35"/>
      <c r="AT13" s="28">
        <f>COUNTIFS(DataRegularSeason20242025!$E$2:$E$1315,AS$1,DataRegularSeason20242025!$D$2:$D$1315,$A13,DataRegularSeason20242025!$N$2:$N$1315,1)</f>
        <v>0</v>
      </c>
      <c r="AU13" s="35"/>
      <c r="AV13" s="28">
        <f>COUNTIFS(DataRegularSeason20242025!$E$2:$E$1315,AU$1,DataRegularSeason20242025!$D$2:$D$1315,$A13,DataRegularSeason20242025!$N$2:$N$1315,1)</f>
        <v>0</v>
      </c>
      <c r="AW13" s="35"/>
      <c r="AX13" s="46">
        <f>COUNTIFS(DataRegularSeason20242025!$E$2:$E$1315,AW$1,DataRegularSeason20242025!$D$2:$D$1315,$A13,DataRegularSeason20242025!$N$2:$N$1315,1)</f>
        <v>0</v>
      </c>
      <c r="AY13" s="35"/>
      <c r="AZ13" s="28">
        <f>COUNTIFS(DataRegularSeason20242025!$E$2:$E$1315,AY$1,DataRegularSeason20242025!$D$2:$D$1315,$A13,DataRegularSeason20242025!$N$2:$N$1315,1)</f>
        <v>0</v>
      </c>
      <c r="BA13" s="35"/>
      <c r="BB13" s="28">
        <f>COUNTIFS(DataRegularSeason20242025!$E$2:$E$1315,BA$1,DataRegularSeason20242025!$D$2:$D$1315,$A13,DataRegularSeason20242025!$N$2:$N$1315,1)</f>
        <v>0</v>
      </c>
      <c r="BC13" s="35"/>
      <c r="BD13" s="28">
        <f>COUNTIFS(DataRegularSeason20242025!$E$2:$E$1315,BC$1,DataRegularSeason20242025!$D$2:$D$1315,$A13,DataRegularSeason20242025!$N$2:$N$1315,1)</f>
        <v>0</v>
      </c>
      <c r="BE13" s="35"/>
      <c r="BF13" s="28">
        <f>COUNTIFS(DataRegularSeason20242025!$E$2:$E$1315,BE$1,DataRegularSeason20242025!$D$2:$D$1315,$A13,DataRegularSeason20242025!$N$2:$N$1315,1)</f>
        <v>0</v>
      </c>
      <c r="BG13" s="35"/>
      <c r="BH13" s="28">
        <f>COUNTIFS(DataRegularSeason20242025!$E$2:$E$1315,BG$1,DataRegularSeason20242025!$D$2:$D$1315,$A13,DataRegularSeason20242025!$N$2:$N$1315,1)</f>
        <v>0</v>
      </c>
      <c r="BI13" s="35"/>
      <c r="BJ13" s="28">
        <f>COUNTIFS(DataRegularSeason20242025!$E$2:$E$1315,BI$1,DataRegularSeason20242025!$D$2:$D$1315,$A13,DataRegularSeason20242025!$N$2:$N$1315,1)</f>
        <v>0</v>
      </c>
      <c r="BK13" s="35"/>
      <c r="BL13" s="28">
        <f>COUNTIFS(DataRegularSeason20242025!$E$2:$E$1315,BK$1,DataRegularSeason20242025!$D$2:$D$1315,$A13,DataRegularSeason20242025!$N$2:$N$1315,1)</f>
        <v>0</v>
      </c>
      <c r="BM13" s="35"/>
      <c r="BN13" s="28">
        <f>COUNTIFS(DataRegularSeason20242025!$E$2:$E$1315,BM$1,DataRegularSeason20242025!$D$2:$D$1315,$A13,DataRegularSeason20242025!$N$2:$N$1315,1)</f>
        <v>0</v>
      </c>
      <c r="BO13" s="30">
        <f t="shared" si="1"/>
        <v>2</v>
      </c>
      <c r="BP13" s="165">
        <f t="shared" ref="BP13" si="14">BO13+BO14</f>
        <v>6</v>
      </c>
      <c r="BQ13" s="166">
        <f t="shared" ref="BQ13" si="15">82-BP13</f>
        <v>76</v>
      </c>
      <c r="BR13" s="173">
        <f t="shared" ref="BR13" si="16">BP13/(BP13+BQ13)</f>
        <v>7.3170731707317069E-2</v>
      </c>
    </row>
    <row r="14" spans="1:70" ht="9.9499999999999993" customHeight="1" x14ac:dyDescent="0.25">
      <c r="A14" s="167"/>
      <c r="B14" s="32" t="s">
        <v>73</v>
      </c>
      <c r="C14" s="38">
        <f>COUNTIFS(DataRegularSeason20242025!$D$2:$D$1315,C$1,DataRegularSeason20242025!$E$2:$E$1315,$A13,DataRegularSeason20242025!$N$2:$N$1315,1)</f>
        <v>1</v>
      </c>
      <c r="D14" s="39"/>
      <c r="E14" s="38">
        <f>COUNTIFS(DataRegularSeason20242025!$D$2:$D$1315,E$1,DataRegularSeason20242025!$E$2:$E$1315,$A13,DataRegularSeason20242025!$N$2:$N$1315,1)</f>
        <v>0</v>
      </c>
      <c r="F14" s="39"/>
      <c r="G14" s="38">
        <f>COUNTIFS(DataRegularSeason20242025!$D$2:$D$1315,G$1,DataRegularSeason20242025!$E$2:$E$1315,$A13,DataRegularSeason20242025!$N$2:$N$1315,1)</f>
        <v>0</v>
      </c>
      <c r="H14" s="39"/>
      <c r="I14" s="38">
        <f>COUNTIFS(DataRegularSeason20242025!$D$2:$D$1315,I$1,DataRegularSeason20242025!$E$2:$E$1315,$A13,DataRegularSeason20242025!$N$2:$N$1315,1)</f>
        <v>0</v>
      </c>
      <c r="J14" s="39"/>
      <c r="K14" s="38">
        <f>COUNTIFS(DataRegularSeason20242025!$D$2:$D$1315,K$1,DataRegularSeason20242025!$E$2:$E$1315,$A13,DataRegularSeason20242025!$N$2:$N$1315,1)</f>
        <v>0</v>
      </c>
      <c r="L14" s="39"/>
      <c r="M14" s="38"/>
      <c r="N14" s="39"/>
      <c r="O14" s="38">
        <f>COUNTIFS(DataRegularSeason20242025!$D$2:$D$1315,O$1,DataRegularSeason20242025!$E$2:$E$1315,$A13,DataRegularSeason20242025!$N$2:$N$1315,1)</f>
        <v>0</v>
      </c>
      <c r="P14" s="39"/>
      <c r="Q14" s="38">
        <f>COUNTIFS(DataRegularSeason20242025!$D$2:$D$1315,Q$1,DataRegularSeason20242025!$E$2:$E$1315,$A13,DataRegularSeason20242025!$N$2:$N$1315,1)</f>
        <v>1</v>
      </c>
      <c r="R14" s="47"/>
      <c r="S14" s="38">
        <f>COUNTIFS(DataRegularSeason20242025!$D$2:$D$1315,S$1,DataRegularSeason20242025!$E$2:$E$1315,$A13,DataRegularSeason20242025!$N$2:$N$1315,1)</f>
        <v>0</v>
      </c>
      <c r="T14" s="39"/>
      <c r="U14" s="38">
        <f>COUNTIFS(DataRegularSeason20242025!$D$2:$D$1315,U$1,DataRegularSeason20242025!$E$2:$E$1315,$A13,DataRegularSeason20242025!$N$2:$N$1315,1)</f>
        <v>0</v>
      </c>
      <c r="V14" s="39"/>
      <c r="W14" s="38">
        <f>COUNTIFS(DataRegularSeason20242025!$D$2:$D$1315,W$1,DataRegularSeason20242025!$E$2:$E$1315,$A13,DataRegularSeason20242025!$N$2:$N$1315,1)</f>
        <v>0</v>
      </c>
      <c r="X14" s="39"/>
      <c r="Y14" s="38">
        <f>COUNTIFS(DataRegularSeason20242025!$D$2:$D$1315,Y$1,DataRegularSeason20242025!$E$2:$E$1315,$A13,DataRegularSeason20242025!$N$2:$N$1315,1)</f>
        <v>0</v>
      </c>
      <c r="Z14" s="39"/>
      <c r="AA14" s="38">
        <f>COUNTIFS(DataRegularSeason20242025!$D$2:$D$1315,AA$1,DataRegularSeason20242025!$E$2:$E$1315,$A13,DataRegularSeason20242025!$N$2:$N$1315,1)</f>
        <v>0</v>
      </c>
      <c r="AB14" s="39"/>
      <c r="AC14" s="38">
        <f>COUNTIFS(DataRegularSeason20242025!$D$2:$D$1315,AC$1,DataRegularSeason20242025!$E$2:$E$1315,$A13,DataRegularSeason20242025!$N$2:$N$1315,1)</f>
        <v>0</v>
      </c>
      <c r="AD14" s="39"/>
      <c r="AE14" s="38">
        <f>COUNTIFS(DataRegularSeason20242025!$D$2:$D$1315,AE$1,DataRegularSeason20242025!$E$2:$E$1315,$A13,DataRegularSeason20242025!$N$2:$N$1315,1)</f>
        <v>0</v>
      </c>
      <c r="AF14" s="39"/>
      <c r="AG14" s="38">
        <f>COUNTIFS(DataRegularSeason20242025!$D$2:$D$1315,AG$1,DataRegularSeason20242025!$E$2:$E$1315,$A13,DataRegularSeason20242025!$N$2:$N$1315,1)</f>
        <v>0</v>
      </c>
      <c r="AH14" s="47"/>
      <c r="AI14" s="38">
        <f>COUNTIFS(DataRegularSeason20242025!$D$2:$D$1315,AI$1,DataRegularSeason20242025!$E$2:$E$1315,$A13,DataRegularSeason20242025!$N$2:$N$1315,1)</f>
        <v>1</v>
      </c>
      <c r="AJ14" s="39"/>
      <c r="AK14" s="38">
        <f>COUNTIFS(DataRegularSeason20242025!$D$2:$D$1315,AK$1,DataRegularSeason20242025!$E$2:$E$1315,$A13,DataRegularSeason20242025!$N$2:$N$1315,1)</f>
        <v>0</v>
      </c>
      <c r="AL14" s="39"/>
      <c r="AM14" s="38">
        <f>COUNTIFS(DataRegularSeason20242025!$D$2:$D$1315,AM$1,DataRegularSeason20242025!$E$2:$E$1315,$A13,DataRegularSeason20242025!$N$2:$N$1315,1)</f>
        <v>0</v>
      </c>
      <c r="AN14" s="39"/>
      <c r="AO14" s="38">
        <f>COUNTIFS(DataRegularSeason20242025!$D$2:$D$1315,AO$1,DataRegularSeason20242025!$E$2:$E$1315,$A13,DataRegularSeason20242025!$N$2:$N$1315,1)</f>
        <v>0</v>
      </c>
      <c r="AP14" s="39"/>
      <c r="AQ14" s="38">
        <f>COUNTIFS(DataRegularSeason20242025!$D$2:$D$1315,AQ$1,DataRegularSeason20242025!$E$2:$E$1315,$A13,DataRegularSeason20242025!$N$2:$N$1315,1)</f>
        <v>0</v>
      </c>
      <c r="AR14" s="39"/>
      <c r="AS14" s="38">
        <f>COUNTIFS(DataRegularSeason20242025!$D$2:$D$1315,AS$1,DataRegularSeason20242025!$E$2:$E$1315,$A13,DataRegularSeason20242025!$N$2:$N$1315,1)</f>
        <v>0</v>
      </c>
      <c r="AT14" s="39"/>
      <c r="AU14" s="38">
        <f>COUNTIFS(DataRegularSeason20242025!$D$2:$D$1315,AU$1,DataRegularSeason20242025!$E$2:$E$1315,$A13,DataRegularSeason20242025!$N$2:$N$1315,1)</f>
        <v>1</v>
      </c>
      <c r="AV14" s="39"/>
      <c r="AW14" s="38">
        <f>COUNTIFS(DataRegularSeason20242025!$D$2:$D$1315,AW$1,DataRegularSeason20242025!$E$2:$E$1315,$A13,DataRegularSeason20242025!$N$2:$N$1315,1)</f>
        <v>0</v>
      </c>
      <c r="AX14" s="47"/>
      <c r="AY14" s="38">
        <f>COUNTIFS(DataRegularSeason20242025!$D$2:$D$1315,AY$1,DataRegularSeason20242025!$E$2:$E$1315,$A13,DataRegularSeason20242025!$N$2:$N$1315,1)</f>
        <v>0</v>
      </c>
      <c r="AZ14" s="39"/>
      <c r="BA14" s="38">
        <f>COUNTIFS(DataRegularSeason20242025!$D$2:$D$1315,BA$1,DataRegularSeason20242025!$E$2:$E$1315,$A13,DataRegularSeason20242025!$N$2:$N$1315,1)</f>
        <v>0</v>
      </c>
      <c r="BB14" s="39"/>
      <c r="BC14" s="38">
        <f>COUNTIFS(DataRegularSeason20242025!$D$2:$D$1315,BC$1,DataRegularSeason20242025!$E$2:$E$1315,$A13,DataRegularSeason20242025!$N$2:$N$1315,1)</f>
        <v>0</v>
      </c>
      <c r="BD14" s="39"/>
      <c r="BE14" s="38">
        <f>COUNTIFS(DataRegularSeason20242025!$D$2:$D$1315,BE$1,DataRegularSeason20242025!$E$2:$E$1315,$A13,DataRegularSeason20242025!$N$2:$N$1315,1)</f>
        <v>0</v>
      </c>
      <c r="BF14" s="39"/>
      <c r="BG14" s="38">
        <f>COUNTIFS(DataRegularSeason20242025!$D$2:$D$1315,BG$1,DataRegularSeason20242025!$E$2:$E$1315,$A13,DataRegularSeason20242025!$N$2:$N$1315,1)</f>
        <v>0</v>
      </c>
      <c r="BH14" s="39"/>
      <c r="BI14" s="38">
        <f>COUNTIFS(DataRegularSeason20242025!$D$2:$D$1315,BI$1,DataRegularSeason20242025!$E$2:$E$1315,$A13,DataRegularSeason20242025!$N$2:$N$1315,1)</f>
        <v>0</v>
      </c>
      <c r="BJ14" s="39"/>
      <c r="BK14" s="38">
        <f>COUNTIFS(DataRegularSeason20242025!$D$2:$D$1315,BK$1,DataRegularSeason20242025!$E$2:$E$1315,$A13,DataRegularSeason20242025!$N$2:$N$1315,1)</f>
        <v>0</v>
      </c>
      <c r="BL14" s="39"/>
      <c r="BM14" s="38">
        <f>COUNTIFS(DataRegularSeason20242025!$D$2:$D$1315,BM$1,DataRegularSeason20242025!$E$2:$E$1315,$A13,DataRegularSeason20242025!$N$2:$N$1315,1)</f>
        <v>0</v>
      </c>
      <c r="BN14" s="39"/>
      <c r="BO14" s="34">
        <f t="shared" si="1"/>
        <v>4</v>
      </c>
      <c r="BP14" s="165"/>
      <c r="BQ14" s="166"/>
      <c r="BR14" s="173"/>
    </row>
    <row r="15" spans="1:70" ht="9.9499999999999993" customHeight="1" x14ac:dyDescent="0.25">
      <c r="A15" s="172" t="s">
        <v>24</v>
      </c>
      <c r="B15" s="28" t="s">
        <v>74</v>
      </c>
      <c r="C15" s="35"/>
      <c r="D15" s="28">
        <f>COUNTIFS(DataRegularSeason20242025!$E$2:$E$1315,C$1,DataRegularSeason20242025!$D$2:$D$1315,$A15,DataRegularSeason20242025!$N$2:$N$1315,1)</f>
        <v>0</v>
      </c>
      <c r="E15" s="35"/>
      <c r="F15" s="28">
        <f>COUNTIFS(DataRegularSeason20242025!$E$2:$E$1315,E$1,DataRegularSeason20242025!$D$2:$D$1315,$A15,DataRegularSeason20242025!$N$2:$N$1315,1)</f>
        <v>0</v>
      </c>
      <c r="G15" s="35"/>
      <c r="H15" s="28">
        <f>COUNTIFS(DataRegularSeason20242025!$E$2:$E$1315,G$1,DataRegularSeason20242025!$D$2:$D$1315,$A15,DataRegularSeason20242025!$N$2:$N$1315,1)</f>
        <v>1</v>
      </c>
      <c r="I15" s="35"/>
      <c r="J15" s="28">
        <f>COUNTIFS(DataRegularSeason20242025!$E$2:$E$1315,I$1,DataRegularSeason20242025!$D$2:$D$1315,$A15,DataRegularSeason20242025!$N$2:$N$1315,1)</f>
        <v>0</v>
      </c>
      <c r="K15" s="35"/>
      <c r="L15" s="28">
        <f>COUNTIFS(DataRegularSeason20242025!$E$2:$E$1315,K$1,DataRegularSeason20242025!$D$2:$D$1315,$A15,DataRegularSeason20242025!$N$2:$N$1315,1)</f>
        <v>0</v>
      </c>
      <c r="M15" s="35"/>
      <c r="N15" s="28">
        <f>COUNTIFS(DataRegularSeason20242025!$E$2:$E$1315,M$1,DataRegularSeason20242025!$D$2:$D$1315,$A15,DataRegularSeason20242025!$N$2:$N$1315,1)</f>
        <v>0</v>
      </c>
      <c r="O15" s="35"/>
      <c r="P15" s="36"/>
      <c r="Q15" s="35"/>
      <c r="R15" s="46">
        <f>COUNTIFS(DataRegularSeason20242025!$E$2:$E$1315,Q$1,DataRegularSeason20242025!$D$2:$D$1315,$A15,DataRegularSeason20242025!$N$2:$N$1315,1)</f>
        <v>0</v>
      </c>
      <c r="S15" s="35"/>
      <c r="T15" s="28">
        <f>COUNTIFS(DataRegularSeason20242025!$E$2:$E$1315,S$1,DataRegularSeason20242025!$D$2:$D$1315,$A15,DataRegularSeason20242025!$N$2:$N$1315,1)</f>
        <v>1</v>
      </c>
      <c r="U15" s="35"/>
      <c r="V15" s="28">
        <f>COUNTIFS(DataRegularSeason20242025!$E$2:$E$1315,U$1,DataRegularSeason20242025!$D$2:$D$1315,$A15,DataRegularSeason20242025!$N$2:$N$1315,1)</f>
        <v>0</v>
      </c>
      <c r="W15" s="35"/>
      <c r="X15" s="28">
        <f>COUNTIFS(DataRegularSeason20242025!$E$2:$E$1315,W$1,DataRegularSeason20242025!$D$2:$D$1315,$A15,DataRegularSeason20242025!$N$2:$N$1315,1)</f>
        <v>1</v>
      </c>
      <c r="Y15" s="35"/>
      <c r="Z15" s="28">
        <f>COUNTIFS(DataRegularSeason20242025!$E$2:$E$1315,Y$1,DataRegularSeason20242025!$D$2:$D$1315,$A15,DataRegularSeason20242025!$N$2:$N$1315,1)</f>
        <v>0</v>
      </c>
      <c r="AA15" s="35"/>
      <c r="AB15" s="28">
        <f>COUNTIFS(DataRegularSeason20242025!$E$2:$E$1315,AA$1,DataRegularSeason20242025!$D$2:$D$1315,$A15,DataRegularSeason20242025!$N$2:$N$1315,1)</f>
        <v>0</v>
      </c>
      <c r="AC15" s="35"/>
      <c r="AD15" s="28">
        <f>COUNTIFS(DataRegularSeason20242025!$E$2:$E$1315,AC$1,DataRegularSeason20242025!$D$2:$D$1315,$A15,DataRegularSeason20242025!$N$2:$N$1315,1)</f>
        <v>0</v>
      </c>
      <c r="AE15" s="35"/>
      <c r="AF15" s="28">
        <f>COUNTIFS(DataRegularSeason20242025!$E$2:$E$1315,AE$1,DataRegularSeason20242025!$D$2:$D$1315,$A15,DataRegularSeason20242025!$N$2:$N$1315,1)</f>
        <v>0</v>
      </c>
      <c r="AG15" s="35"/>
      <c r="AH15" s="46">
        <f>COUNTIFS(DataRegularSeason20242025!$E$2:$E$1315,AG$1,DataRegularSeason20242025!$D$2:$D$1315,$A15,DataRegularSeason20242025!$N$2:$N$1315,1)</f>
        <v>0</v>
      </c>
      <c r="AI15" s="35"/>
      <c r="AJ15" s="28">
        <f>COUNTIFS(DataRegularSeason20242025!$E$2:$E$1315,AI$1,DataRegularSeason20242025!$D$2:$D$1315,$A15,DataRegularSeason20242025!$N$2:$N$1315,1)</f>
        <v>0</v>
      </c>
      <c r="AK15" s="35"/>
      <c r="AL15" s="28">
        <f>COUNTIFS(DataRegularSeason20242025!$E$2:$E$1315,AK$1,DataRegularSeason20242025!$D$2:$D$1315,$A15,DataRegularSeason20242025!$N$2:$N$1315,1)</f>
        <v>0</v>
      </c>
      <c r="AM15" s="35"/>
      <c r="AN15" s="28">
        <f>COUNTIFS(DataRegularSeason20242025!$E$2:$E$1315,AM$1,DataRegularSeason20242025!$D$2:$D$1315,$A15,DataRegularSeason20242025!$N$2:$N$1315,1)</f>
        <v>0</v>
      </c>
      <c r="AO15" s="35"/>
      <c r="AP15" s="28">
        <f>COUNTIFS(DataRegularSeason20242025!$E$2:$E$1315,AO$1,DataRegularSeason20242025!$D$2:$D$1315,$A15,DataRegularSeason20242025!$N$2:$N$1315,1)</f>
        <v>0</v>
      </c>
      <c r="AQ15" s="35"/>
      <c r="AR15" s="28">
        <f>COUNTIFS(DataRegularSeason20242025!$E$2:$E$1315,AQ$1,DataRegularSeason20242025!$D$2:$D$1315,$A15,DataRegularSeason20242025!$N$2:$N$1315,1)</f>
        <v>0</v>
      </c>
      <c r="AS15" s="35"/>
      <c r="AT15" s="28">
        <f>COUNTIFS(DataRegularSeason20242025!$E$2:$E$1315,AS$1,DataRegularSeason20242025!$D$2:$D$1315,$A15,DataRegularSeason20242025!$N$2:$N$1315,1)</f>
        <v>0</v>
      </c>
      <c r="AU15" s="35"/>
      <c r="AV15" s="28">
        <f>COUNTIFS(DataRegularSeason20242025!$E$2:$E$1315,AU$1,DataRegularSeason20242025!$D$2:$D$1315,$A15,DataRegularSeason20242025!$N$2:$N$1315,1)</f>
        <v>1</v>
      </c>
      <c r="AW15" s="35"/>
      <c r="AX15" s="46">
        <f>COUNTIFS(DataRegularSeason20242025!$E$2:$E$1315,AW$1,DataRegularSeason20242025!$D$2:$D$1315,$A15,DataRegularSeason20242025!$N$2:$N$1315,1)</f>
        <v>1</v>
      </c>
      <c r="AY15" s="35"/>
      <c r="AZ15" s="28">
        <f>COUNTIFS(DataRegularSeason20242025!$E$2:$E$1315,AY$1,DataRegularSeason20242025!$D$2:$D$1315,$A15,DataRegularSeason20242025!$N$2:$N$1315,1)</f>
        <v>0</v>
      </c>
      <c r="BA15" s="35"/>
      <c r="BB15" s="28">
        <f>COUNTIFS(DataRegularSeason20242025!$E$2:$E$1315,BA$1,DataRegularSeason20242025!$D$2:$D$1315,$A15,DataRegularSeason20242025!$N$2:$N$1315,1)</f>
        <v>0</v>
      </c>
      <c r="BC15" s="35"/>
      <c r="BD15" s="28">
        <f>COUNTIFS(DataRegularSeason20242025!$E$2:$E$1315,BC$1,DataRegularSeason20242025!$D$2:$D$1315,$A15,DataRegularSeason20242025!$N$2:$N$1315,1)</f>
        <v>0</v>
      </c>
      <c r="BE15" s="35"/>
      <c r="BF15" s="28">
        <f>COUNTIFS(DataRegularSeason20242025!$E$2:$E$1315,BE$1,DataRegularSeason20242025!$D$2:$D$1315,$A15,DataRegularSeason20242025!$N$2:$N$1315,1)</f>
        <v>0</v>
      </c>
      <c r="BG15" s="35"/>
      <c r="BH15" s="28">
        <f>COUNTIFS(DataRegularSeason20242025!$E$2:$E$1315,BG$1,DataRegularSeason20242025!$D$2:$D$1315,$A15,DataRegularSeason20242025!$N$2:$N$1315,1)</f>
        <v>0</v>
      </c>
      <c r="BI15" s="35"/>
      <c r="BJ15" s="28">
        <f>COUNTIFS(DataRegularSeason20242025!$E$2:$E$1315,BI$1,DataRegularSeason20242025!$D$2:$D$1315,$A15,DataRegularSeason20242025!$N$2:$N$1315,1)</f>
        <v>0</v>
      </c>
      <c r="BK15" s="35"/>
      <c r="BL15" s="28">
        <f>COUNTIFS(DataRegularSeason20242025!$E$2:$E$1315,BK$1,DataRegularSeason20242025!$D$2:$D$1315,$A15,DataRegularSeason20242025!$N$2:$N$1315,1)</f>
        <v>0</v>
      </c>
      <c r="BM15" s="35"/>
      <c r="BN15" s="28">
        <f>COUNTIFS(DataRegularSeason20242025!$E$2:$E$1315,BM$1,DataRegularSeason20242025!$D$2:$D$1315,$A15,DataRegularSeason20242025!$N$2:$N$1315,1)</f>
        <v>0</v>
      </c>
      <c r="BO15" s="30">
        <f t="shared" si="1"/>
        <v>5</v>
      </c>
      <c r="BP15" s="165">
        <f t="shared" ref="BP15" si="17">BO15+BO16</f>
        <v>7</v>
      </c>
      <c r="BQ15" s="166">
        <f t="shared" ref="BQ15" si="18">82-BP15</f>
        <v>75</v>
      </c>
      <c r="BR15" s="173">
        <f t="shared" ref="BR15" si="19">BP15/(BP15+BQ15)</f>
        <v>8.5365853658536592E-2</v>
      </c>
    </row>
    <row r="16" spans="1:70" ht="9.9499999999999993" customHeight="1" x14ac:dyDescent="0.25">
      <c r="A16" s="167"/>
      <c r="B16" s="32" t="s">
        <v>73</v>
      </c>
      <c r="C16" s="38">
        <f>COUNTIFS(DataRegularSeason20242025!$D$2:$D$1315,C$1,DataRegularSeason20242025!$E$2:$E$1315,$A15,DataRegularSeason20242025!$N$2:$N$1315,1)</f>
        <v>0</v>
      </c>
      <c r="D16" s="39"/>
      <c r="E16" s="38">
        <f>COUNTIFS(DataRegularSeason20242025!$D$2:$D$1315,E$1,DataRegularSeason20242025!$E$2:$E$1315,$A15,DataRegularSeason20242025!$N$2:$N$1315,1)</f>
        <v>1</v>
      </c>
      <c r="F16" s="39"/>
      <c r="G16" s="38">
        <f>COUNTIFS(DataRegularSeason20242025!$D$2:$D$1315,G$1,DataRegularSeason20242025!$E$2:$E$1315,$A15,DataRegularSeason20242025!$N$2:$N$1315,1)</f>
        <v>0</v>
      </c>
      <c r="H16" s="39"/>
      <c r="I16" s="38">
        <f>COUNTIFS(DataRegularSeason20242025!$D$2:$D$1315,I$1,DataRegularSeason20242025!$E$2:$E$1315,$A15,DataRegularSeason20242025!$N$2:$N$1315,1)</f>
        <v>0</v>
      </c>
      <c r="J16" s="39"/>
      <c r="K16" s="38">
        <f>COUNTIFS(DataRegularSeason20242025!$D$2:$D$1315,K$1,DataRegularSeason20242025!$E$2:$E$1315,$A15,DataRegularSeason20242025!$N$2:$N$1315,1)</f>
        <v>0</v>
      </c>
      <c r="L16" s="39"/>
      <c r="M16" s="38">
        <f>COUNTIFS(DataRegularSeason20242025!$D$2:$D$1315,M$1,DataRegularSeason20242025!$E$2:$E$1315,$A15,DataRegularSeason20242025!$N$2:$N$1315,1)</f>
        <v>0</v>
      </c>
      <c r="N16" s="39"/>
      <c r="O16" s="38"/>
      <c r="P16" s="39"/>
      <c r="Q16" s="38">
        <f>COUNTIFS(DataRegularSeason20242025!$D$2:$D$1315,Q$1,DataRegularSeason20242025!$E$2:$E$1315,$A15,DataRegularSeason20242025!$N$2:$N$1315,1)</f>
        <v>0</v>
      </c>
      <c r="R16" s="47"/>
      <c r="S16" s="38">
        <f>COUNTIFS(DataRegularSeason20242025!$D$2:$D$1315,S$1,DataRegularSeason20242025!$E$2:$E$1315,$A15,DataRegularSeason20242025!$N$2:$N$1315,1)</f>
        <v>0</v>
      </c>
      <c r="T16" s="39"/>
      <c r="U16" s="38">
        <f>COUNTIFS(DataRegularSeason20242025!$D$2:$D$1315,U$1,DataRegularSeason20242025!$E$2:$E$1315,$A15,DataRegularSeason20242025!$N$2:$N$1315,1)</f>
        <v>0</v>
      </c>
      <c r="V16" s="39"/>
      <c r="W16" s="38">
        <f>COUNTIFS(DataRegularSeason20242025!$D$2:$D$1315,W$1,DataRegularSeason20242025!$E$2:$E$1315,$A15,DataRegularSeason20242025!$N$2:$N$1315,1)</f>
        <v>0</v>
      </c>
      <c r="X16" s="39"/>
      <c r="Y16" s="38">
        <f>COUNTIFS(DataRegularSeason20242025!$D$2:$D$1315,Y$1,DataRegularSeason20242025!$E$2:$E$1315,$A15,DataRegularSeason20242025!$N$2:$N$1315,1)</f>
        <v>0</v>
      </c>
      <c r="Z16" s="39"/>
      <c r="AA16" s="38">
        <f>COUNTIFS(DataRegularSeason20242025!$D$2:$D$1315,AA$1,DataRegularSeason20242025!$E$2:$E$1315,$A15,DataRegularSeason20242025!$N$2:$N$1315,1)</f>
        <v>0</v>
      </c>
      <c r="AB16" s="39"/>
      <c r="AC16" s="38">
        <f>COUNTIFS(DataRegularSeason20242025!$D$2:$D$1315,AC$1,DataRegularSeason20242025!$E$2:$E$1315,$A15,DataRegularSeason20242025!$N$2:$N$1315,1)</f>
        <v>1</v>
      </c>
      <c r="AD16" s="39"/>
      <c r="AE16" s="38">
        <f>COUNTIFS(DataRegularSeason20242025!$D$2:$D$1315,AE$1,DataRegularSeason20242025!$E$2:$E$1315,$A15,DataRegularSeason20242025!$N$2:$N$1315,1)</f>
        <v>0</v>
      </c>
      <c r="AF16" s="39"/>
      <c r="AG16" s="38">
        <f>COUNTIFS(DataRegularSeason20242025!$D$2:$D$1315,AG$1,DataRegularSeason20242025!$E$2:$E$1315,$A15,DataRegularSeason20242025!$N$2:$N$1315,1)</f>
        <v>0</v>
      </c>
      <c r="AH16" s="47"/>
      <c r="AI16" s="38">
        <f>COUNTIFS(DataRegularSeason20242025!$D$2:$D$1315,AI$1,DataRegularSeason20242025!$E$2:$E$1315,$A15,DataRegularSeason20242025!$N$2:$N$1315,1)</f>
        <v>0</v>
      </c>
      <c r="AJ16" s="39"/>
      <c r="AK16" s="38">
        <f>COUNTIFS(DataRegularSeason20242025!$D$2:$D$1315,AK$1,DataRegularSeason20242025!$E$2:$E$1315,$A15,DataRegularSeason20242025!$N$2:$N$1315,1)</f>
        <v>0</v>
      </c>
      <c r="AL16" s="39"/>
      <c r="AM16" s="38">
        <f>COUNTIFS(DataRegularSeason20242025!$D$2:$D$1315,AM$1,DataRegularSeason20242025!$E$2:$E$1315,$A15,DataRegularSeason20242025!$N$2:$N$1315,1)</f>
        <v>0</v>
      </c>
      <c r="AN16" s="39"/>
      <c r="AO16" s="38">
        <f>COUNTIFS(DataRegularSeason20242025!$D$2:$D$1315,AO$1,DataRegularSeason20242025!$E$2:$E$1315,$A15,DataRegularSeason20242025!$N$2:$N$1315,1)</f>
        <v>0</v>
      </c>
      <c r="AP16" s="39"/>
      <c r="AQ16" s="38">
        <f>COUNTIFS(DataRegularSeason20242025!$D$2:$D$1315,AQ$1,DataRegularSeason20242025!$E$2:$E$1315,$A15,DataRegularSeason20242025!$N$2:$N$1315,1)</f>
        <v>0</v>
      </c>
      <c r="AR16" s="39"/>
      <c r="AS16" s="38">
        <f>COUNTIFS(DataRegularSeason20242025!$D$2:$D$1315,AS$1,DataRegularSeason20242025!$E$2:$E$1315,$A15,DataRegularSeason20242025!$N$2:$N$1315,1)</f>
        <v>0</v>
      </c>
      <c r="AT16" s="39"/>
      <c r="AU16" s="38">
        <f>COUNTIFS(DataRegularSeason20242025!$D$2:$D$1315,AU$1,DataRegularSeason20242025!$E$2:$E$1315,$A15,DataRegularSeason20242025!$N$2:$N$1315,1)</f>
        <v>0</v>
      </c>
      <c r="AV16" s="39"/>
      <c r="AW16" s="38">
        <f>COUNTIFS(DataRegularSeason20242025!$D$2:$D$1315,AW$1,DataRegularSeason20242025!$E$2:$E$1315,$A15,DataRegularSeason20242025!$N$2:$N$1315,1)</f>
        <v>0</v>
      </c>
      <c r="AX16" s="47"/>
      <c r="AY16" s="38">
        <f>COUNTIFS(DataRegularSeason20242025!$D$2:$D$1315,AY$1,DataRegularSeason20242025!$E$2:$E$1315,$A15,DataRegularSeason20242025!$N$2:$N$1315,1)</f>
        <v>0</v>
      </c>
      <c r="AZ16" s="39"/>
      <c r="BA16" s="38">
        <f>COUNTIFS(DataRegularSeason20242025!$D$2:$D$1315,BA$1,DataRegularSeason20242025!$E$2:$E$1315,$A15,DataRegularSeason20242025!$N$2:$N$1315,1)</f>
        <v>0</v>
      </c>
      <c r="BB16" s="39"/>
      <c r="BC16" s="38">
        <f>COUNTIFS(DataRegularSeason20242025!$D$2:$D$1315,BC$1,DataRegularSeason20242025!$E$2:$E$1315,$A15,DataRegularSeason20242025!$N$2:$N$1315,1)</f>
        <v>0</v>
      </c>
      <c r="BD16" s="39"/>
      <c r="BE16" s="38">
        <f>COUNTIFS(DataRegularSeason20242025!$D$2:$D$1315,BE$1,DataRegularSeason20242025!$E$2:$E$1315,$A15,DataRegularSeason20242025!$N$2:$N$1315,1)</f>
        <v>0</v>
      </c>
      <c r="BF16" s="39"/>
      <c r="BG16" s="38">
        <f>COUNTIFS(DataRegularSeason20242025!$D$2:$D$1315,BG$1,DataRegularSeason20242025!$E$2:$E$1315,$A15,DataRegularSeason20242025!$N$2:$N$1315,1)</f>
        <v>0</v>
      </c>
      <c r="BH16" s="39"/>
      <c r="BI16" s="38">
        <f>COUNTIFS(DataRegularSeason20242025!$D$2:$D$1315,BI$1,DataRegularSeason20242025!$E$2:$E$1315,$A15,DataRegularSeason20242025!$N$2:$N$1315,1)</f>
        <v>0</v>
      </c>
      <c r="BJ16" s="39"/>
      <c r="BK16" s="38">
        <f>COUNTIFS(DataRegularSeason20242025!$D$2:$D$1315,BK$1,DataRegularSeason20242025!$E$2:$E$1315,$A15,DataRegularSeason20242025!$N$2:$N$1315,1)</f>
        <v>0</v>
      </c>
      <c r="BL16" s="39"/>
      <c r="BM16" s="38">
        <f>COUNTIFS(DataRegularSeason20242025!$D$2:$D$1315,BM$1,DataRegularSeason20242025!$E$2:$E$1315,$A15,DataRegularSeason20242025!$N$2:$N$1315,1)</f>
        <v>0</v>
      </c>
      <c r="BN16" s="39"/>
      <c r="BO16" s="34">
        <f t="shared" si="1"/>
        <v>2</v>
      </c>
      <c r="BP16" s="165"/>
      <c r="BQ16" s="166"/>
      <c r="BR16" s="173"/>
    </row>
    <row r="17" spans="1:70" ht="9.9499999999999993" customHeight="1" x14ac:dyDescent="0.25">
      <c r="A17" s="172" t="s">
        <v>26</v>
      </c>
      <c r="B17" s="28" t="s">
        <v>74</v>
      </c>
      <c r="C17" s="35"/>
      <c r="D17" s="28">
        <f>COUNTIFS(DataRegularSeason20242025!$E$2:$E$1315,C$1,DataRegularSeason20242025!$D$2:$D$1315,$A17,DataRegularSeason20242025!$N$2:$N$1315,1)</f>
        <v>0</v>
      </c>
      <c r="E17" s="35"/>
      <c r="F17" s="28">
        <f>COUNTIFS(DataRegularSeason20242025!$E$2:$E$1315,E$1,DataRegularSeason20242025!$D$2:$D$1315,$A17,DataRegularSeason20242025!$N$2:$N$1315,1)</f>
        <v>1</v>
      </c>
      <c r="G17" s="35"/>
      <c r="H17" s="28">
        <f>COUNTIFS(DataRegularSeason20242025!$E$2:$E$1315,G$1,DataRegularSeason20242025!$D$2:$D$1315,$A17,DataRegularSeason20242025!$N$2:$N$1315,1)</f>
        <v>0</v>
      </c>
      <c r="I17" s="35"/>
      <c r="J17" s="28">
        <f>COUNTIFS(DataRegularSeason20242025!$E$2:$E$1315,I$1,DataRegularSeason20242025!$D$2:$D$1315,$A17,DataRegularSeason20242025!$N$2:$N$1315,1)</f>
        <v>0</v>
      </c>
      <c r="K17" s="35"/>
      <c r="L17" s="28">
        <f>COUNTIFS(DataRegularSeason20242025!$E$2:$E$1315,K$1,DataRegularSeason20242025!$D$2:$D$1315,$A17,DataRegularSeason20242025!$N$2:$N$1315,1)</f>
        <v>1</v>
      </c>
      <c r="M17" s="35"/>
      <c r="N17" s="28">
        <f>COUNTIFS(DataRegularSeason20242025!$E$2:$E$1315,M$1,DataRegularSeason20242025!$D$2:$D$1315,$A17,DataRegularSeason20242025!$N$2:$N$1315,1)</f>
        <v>1</v>
      </c>
      <c r="O17" s="35"/>
      <c r="P17" s="28">
        <f>COUNTIFS(DataRegularSeason20242025!$E$2:$E$1315,O$1,DataRegularSeason20242025!$D$2:$D$1315,$A17,DataRegularSeason20242025!$N$2:$N$1315,1)</f>
        <v>0</v>
      </c>
      <c r="Q17" s="35"/>
      <c r="R17" s="48"/>
      <c r="S17" s="35"/>
      <c r="T17" s="28">
        <f>COUNTIFS(DataRegularSeason20242025!$E$2:$E$1315,S$1,DataRegularSeason20242025!$D$2:$D$1315,$A17,DataRegularSeason20242025!$N$2:$N$1315,1)</f>
        <v>0</v>
      </c>
      <c r="U17" s="35"/>
      <c r="V17" s="28">
        <f>COUNTIFS(DataRegularSeason20242025!$E$2:$E$1315,U$1,DataRegularSeason20242025!$D$2:$D$1315,$A17,DataRegularSeason20242025!$N$2:$N$1315,1)</f>
        <v>0</v>
      </c>
      <c r="W17" s="35"/>
      <c r="X17" s="28">
        <f>COUNTIFS(DataRegularSeason20242025!$E$2:$E$1315,W$1,DataRegularSeason20242025!$D$2:$D$1315,$A17,DataRegularSeason20242025!$N$2:$N$1315,1)</f>
        <v>0</v>
      </c>
      <c r="Y17" s="35"/>
      <c r="Z17" s="28">
        <f>COUNTIFS(DataRegularSeason20242025!$E$2:$E$1315,Y$1,DataRegularSeason20242025!$D$2:$D$1315,$A17,DataRegularSeason20242025!$N$2:$N$1315,1)</f>
        <v>0</v>
      </c>
      <c r="AA17" s="35"/>
      <c r="AB17" s="28">
        <f>COUNTIFS(DataRegularSeason20242025!$E$2:$E$1315,AA$1,DataRegularSeason20242025!$D$2:$D$1315,$A17,DataRegularSeason20242025!$N$2:$N$1315,1)</f>
        <v>0</v>
      </c>
      <c r="AC17" s="35"/>
      <c r="AD17" s="28">
        <f>COUNTIFS(DataRegularSeason20242025!$E$2:$E$1315,AC$1,DataRegularSeason20242025!$D$2:$D$1315,$A17,DataRegularSeason20242025!$N$2:$N$1315,1)</f>
        <v>0</v>
      </c>
      <c r="AE17" s="35"/>
      <c r="AF17" s="28">
        <f>COUNTIFS(DataRegularSeason20242025!$E$2:$E$1315,AE$1,DataRegularSeason20242025!$D$2:$D$1315,$A17,DataRegularSeason20242025!$N$2:$N$1315,1)</f>
        <v>0</v>
      </c>
      <c r="AG17" s="35"/>
      <c r="AH17" s="46">
        <f>COUNTIFS(DataRegularSeason20242025!$E$2:$E$1315,AG$1,DataRegularSeason20242025!$D$2:$D$1315,$A17,DataRegularSeason20242025!$N$2:$N$1315,1)</f>
        <v>0</v>
      </c>
      <c r="AI17" s="35"/>
      <c r="AJ17" s="28">
        <f>COUNTIFS(DataRegularSeason20242025!$E$2:$E$1315,AI$1,DataRegularSeason20242025!$D$2:$D$1315,$A17,DataRegularSeason20242025!$N$2:$N$1315,1)</f>
        <v>0</v>
      </c>
      <c r="AK17" s="35"/>
      <c r="AL17" s="28">
        <f>COUNTIFS(DataRegularSeason20242025!$E$2:$E$1315,AK$1,DataRegularSeason20242025!$D$2:$D$1315,$A17,DataRegularSeason20242025!$N$2:$N$1315,1)</f>
        <v>0</v>
      </c>
      <c r="AM17" s="35"/>
      <c r="AN17" s="28">
        <f>COUNTIFS(DataRegularSeason20242025!$E$2:$E$1315,AM$1,DataRegularSeason20242025!$D$2:$D$1315,$A17,DataRegularSeason20242025!$N$2:$N$1315,1)</f>
        <v>0</v>
      </c>
      <c r="AO17" s="35"/>
      <c r="AP17" s="28">
        <f>COUNTIFS(DataRegularSeason20242025!$E$2:$E$1315,AO$1,DataRegularSeason20242025!$D$2:$D$1315,$A17,DataRegularSeason20242025!$N$2:$N$1315,1)</f>
        <v>0</v>
      </c>
      <c r="AQ17" s="35"/>
      <c r="AR17" s="28">
        <f>COUNTIFS(DataRegularSeason20242025!$E$2:$E$1315,AQ$1,DataRegularSeason20242025!$D$2:$D$1315,$A17,DataRegularSeason20242025!$N$2:$N$1315,1)</f>
        <v>0</v>
      </c>
      <c r="AS17" s="35"/>
      <c r="AT17" s="28">
        <f>COUNTIFS(DataRegularSeason20242025!$E$2:$E$1315,AS$1,DataRegularSeason20242025!$D$2:$D$1315,$A17,DataRegularSeason20242025!$N$2:$N$1315,1)</f>
        <v>0</v>
      </c>
      <c r="AU17" s="35"/>
      <c r="AV17" s="28">
        <f>COUNTIFS(DataRegularSeason20242025!$E$2:$E$1315,AU$1,DataRegularSeason20242025!$D$2:$D$1315,$A17,DataRegularSeason20242025!$N$2:$N$1315,1)</f>
        <v>0</v>
      </c>
      <c r="AW17" s="35"/>
      <c r="AX17" s="46">
        <f>COUNTIFS(DataRegularSeason20242025!$E$2:$E$1315,AW$1,DataRegularSeason20242025!$D$2:$D$1315,$A17,DataRegularSeason20242025!$N$2:$N$1315,1)</f>
        <v>0</v>
      </c>
      <c r="AY17" s="35"/>
      <c r="AZ17" s="28">
        <f>COUNTIFS(DataRegularSeason20242025!$E$2:$E$1315,AY$1,DataRegularSeason20242025!$D$2:$D$1315,$A17,DataRegularSeason20242025!$N$2:$N$1315,1)</f>
        <v>0</v>
      </c>
      <c r="BA17" s="35"/>
      <c r="BB17" s="28">
        <f>COUNTIFS(DataRegularSeason20242025!$E$2:$E$1315,BA$1,DataRegularSeason20242025!$D$2:$D$1315,$A17,DataRegularSeason20242025!$N$2:$N$1315,1)</f>
        <v>0</v>
      </c>
      <c r="BC17" s="35"/>
      <c r="BD17" s="28">
        <f>COUNTIFS(DataRegularSeason20242025!$E$2:$E$1315,BC$1,DataRegularSeason20242025!$D$2:$D$1315,$A17,DataRegularSeason20242025!$N$2:$N$1315,1)</f>
        <v>0</v>
      </c>
      <c r="BE17" s="35"/>
      <c r="BF17" s="28">
        <f>COUNTIFS(DataRegularSeason20242025!$E$2:$E$1315,BE$1,DataRegularSeason20242025!$D$2:$D$1315,$A17,DataRegularSeason20242025!$N$2:$N$1315,1)</f>
        <v>0</v>
      </c>
      <c r="BG17" s="35"/>
      <c r="BH17" s="28">
        <f>COUNTIFS(DataRegularSeason20242025!$E$2:$E$1315,BG$1,DataRegularSeason20242025!$D$2:$D$1315,$A17,DataRegularSeason20242025!$N$2:$N$1315,1)</f>
        <v>0</v>
      </c>
      <c r="BI17" s="35"/>
      <c r="BJ17" s="28">
        <f>COUNTIFS(DataRegularSeason20242025!$E$2:$E$1315,BI$1,DataRegularSeason20242025!$D$2:$D$1315,$A17,DataRegularSeason20242025!$N$2:$N$1315,1)</f>
        <v>0</v>
      </c>
      <c r="BK17" s="35"/>
      <c r="BL17" s="28">
        <f>COUNTIFS(DataRegularSeason20242025!$E$2:$E$1315,BK$1,DataRegularSeason20242025!$D$2:$D$1315,$A17,DataRegularSeason20242025!$N$2:$N$1315,1)</f>
        <v>0</v>
      </c>
      <c r="BM17" s="35"/>
      <c r="BN17" s="28">
        <f>COUNTIFS(DataRegularSeason20242025!$E$2:$E$1315,BM$1,DataRegularSeason20242025!$D$2:$D$1315,$A17,DataRegularSeason20242025!$N$2:$N$1315,1)</f>
        <v>0</v>
      </c>
      <c r="BO17" s="30">
        <f t="shared" si="1"/>
        <v>3</v>
      </c>
      <c r="BP17" s="165">
        <f t="shared" ref="BP17" si="20">BO17+BO18</f>
        <v>7</v>
      </c>
      <c r="BQ17" s="166">
        <f t="shared" ref="BQ17" si="21">82-BP17</f>
        <v>75</v>
      </c>
      <c r="BR17" s="173">
        <f t="shared" ref="BR17" si="22">BP17/(BP17+BQ17)</f>
        <v>8.5365853658536592E-2</v>
      </c>
    </row>
    <row r="18" spans="1:70" ht="9.9499999999999993" customHeight="1" thickBot="1" x14ac:dyDescent="0.3">
      <c r="A18" s="166"/>
      <c r="B18" s="28" t="s">
        <v>73</v>
      </c>
      <c r="C18" s="49">
        <f>COUNTIFS(DataRegularSeason20242025!$D$2:$D$1315,C$1,DataRegularSeason20242025!$E$2:$E$1315,$A17,DataRegularSeason20242025!$N$2:$N$1315,1)</f>
        <v>0</v>
      </c>
      <c r="D18" s="50"/>
      <c r="E18" s="51">
        <f>COUNTIFS(DataRegularSeason20242025!$D$2:$D$1315,E$1,DataRegularSeason20242025!$E$2:$E$1315,$A17,DataRegularSeason20242025!$N$2:$N$1315,1)</f>
        <v>1</v>
      </c>
      <c r="F18" s="50"/>
      <c r="G18" s="51">
        <f>COUNTIFS(DataRegularSeason20242025!$D$2:$D$1315,G$1,DataRegularSeason20242025!$E$2:$E$1315,$A17,DataRegularSeason20242025!$N$2:$N$1315,1)</f>
        <v>0</v>
      </c>
      <c r="H18" s="50"/>
      <c r="I18" s="51">
        <f>COUNTIFS(DataRegularSeason20242025!$D$2:$D$1315,I$1,DataRegularSeason20242025!$E$2:$E$1315,$A17,DataRegularSeason20242025!$N$2:$N$1315,1)</f>
        <v>1</v>
      </c>
      <c r="J18" s="50"/>
      <c r="K18" s="51">
        <f>COUNTIFS(DataRegularSeason20242025!$D$2:$D$1315,K$1,DataRegularSeason20242025!$E$2:$E$1315,$A17,DataRegularSeason20242025!$N$2:$N$1315,1)</f>
        <v>0</v>
      </c>
      <c r="L18" s="50"/>
      <c r="M18" s="51">
        <f>COUNTIFS(DataRegularSeason20242025!$D$2:$D$1315,M$1,DataRegularSeason20242025!$E$2:$E$1315,$A17,DataRegularSeason20242025!$N$2:$N$1315,1)</f>
        <v>0</v>
      </c>
      <c r="N18" s="50"/>
      <c r="O18" s="51">
        <f>COUNTIFS(DataRegularSeason20242025!$D$2:$D$1315,O$1,DataRegularSeason20242025!$E$2:$E$1315,$A17,DataRegularSeason20242025!$N$2:$N$1315,1)</f>
        <v>0</v>
      </c>
      <c r="P18" s="50"/>
      <c r="Q18" s="51"/>
      <c r="R18" s="52"/>
      <c r="S18" s="51">
        <f>COUNTIFS(DataRegularSeason20242025!$D$2:$D$1315,S$1,DataRegularSeason20242025!$E$2:$E$1315,$A17,DataRegularSeason20242025!$N$2:$N$1315,1)</f>
        <v>0</v>
      </c>
      <c r="T18" s="50"/>
      <c r="U18" s="51">
        <f>COUNTIFS(DataRegularSeason20242025!$D$2:$D$1315,U$1,DataRegularSeason20242025!$E$2:$E$1315,$A17,DataRegularSeason20242025!$N$2:$N$1315,1)</f>
        <v>0</v>
      </c>
      <c r="V18" s="50"/>
      <c r="W18" s="51">
        <f>COUNTIFS(DataRegularSeason20242025!$D$2:$D$1315,W$1,DataRegularSeason20242025!$E$2:$E$1315,$A17,DataRegularSeason20242025!$N$2:$N$1315,1)</f>
        <v>0</v>
      </c>
      <c r="X18" s="50"/>
      <c r="Y18" s="51">
        <f>COUNTIFS(DataRegularSeason20242025!$D$2:$D$1315,Y$1,DataRegularSeason20242025!$E$2:$E$1315,$A17,DataRegularSeason20242025!$N$2:$N$1315,1)</f>
        <v>0</v>
      </c>
      <c r="Z18" s="50"/>
      <c r="AA18" s="51">
        <f>COUNTIFS(DataRegularSeason20242025!$D$2:$D$1315,AA$1,DataRegularSeason20242025!$E$2:$E$1315,$A17,DataRegularSeason20242025!$N$2:$N$1315,1)</f>
        <v>0</v>
      </c>
      <c r="AB18" s="50"/>
      <c r="AC18" s="51">
        <f>COUNTIFS(DataRegularSeason20242025!$D$2:$D$1315,AC$1,DataRegularSeason20242025!$E$2:$E$1315,$A17,DataRegularSeason20242025!$N$2:$N$1315,1)</f>
        <v>0</v>
      </c>
      <c r="AD18" s="50"/>
      <c r="AE18" s="51">
        <f>COUNTIFS(DataRegularSeason20242025!$D$2:$D$1315,AE$1,DataRegularSeason20242025!$E$2:$E$1315,$A17,DataRegularSeason20242025!$N$2:$N$1315,1)</f>
        <v>0</v>
      </c>
      <c r="AF18" s="50"/>
      <c r="AG18" s="51">
        <f>COUNTIFS(DataRegularSeason20242025!$D$2:$D$1315,AG$1,DataRegularSeason20242025!$E$2:$E$1315,$A17,DataRegularSeason20242025!$N$2:$N$1315,1)</f>
        <v>0</v>
      </c>
      <c r="AH18" s="52"/>
      <c r="AI18" s="51">
        <f>COUNTIFS(DataRegularSeason20242025!$D$2:$D$1315,AI$1,DataRegularSeason20242025!$E$2:$E$1315,$A17,DataRegularSeason20242025!$N$2:$N$1315,1)</f>
        <v>1</v>
      </c>
      <c r="AJ18" s="50"/>
      <c r="AK18" s="51">
        <f>COUNTIFS(DataRegularSeason20242025!$D$2:$D$1315,AK$1,DataRegularSeason20242025!$E$2:$E$1315,$A17,DataRegularSeason20242025!$N$2:$N$1315,1)</f>
        <v>0</v>
      </c>
      <c r="AL18" s="50"/>
      <c r="AM18" s="51">
        <f>COUNTIFS(DataRegularSeason20242025!$D$2:$D$1315,AM$1,DataRegularSeason20242025!$E$2:$E$1315,$A17,DataRegularSeason20242025!$N$2:$N$1315,1)</f>
        <v>0</v>
      </c>
      <c r="AN18" s="50"/>
      <c r="AO18" s="51">
        <f>COUNTIFS(DataRegularSeason20242025!$D$2:$D$1315,AO$1,DataRegularSeason20242025!$E$2:$E$1315,$A17,DataRegularSeason20242025!$N$2:$N$1315,1)</f>
        <v>0</v>
      </c>
      <c r="AP18" s="50"/>
      <c r="AQ18" s="51">
        <f>COUNTIFS(DataRegularSeason20242025!$D$2:$D$1315,AQ$1,DataRegularSeason20242025!$E$2:$E$1315,$A17,DataRegularSeason20242025!$N$2:$N$1315,1)</f>
        <v>0</v>
      </c>
      <c r="AR18" s="50"/>
      <c r="AS18" s="51">
        <f>COUNTIFS(DataRegularSeason20242025!$D$2:$D$1315,AS$1,DataRegularSeason20242025!$E$2:$E$1315,$A17,DataRegularSeason20242025!$N$2:$N$1315,1)</f>
        <v>0</v>
      </c>
      <c r="AT18" s="50"/>
      <c r="AU18" s="51">
        <f>COUNTIFS(DataRegularSeason20242025!$D$2:$D$1315,AU$1,DataRegularSeason20242025!$E$2:$E$1315,$A17,DataRegularSeason20242025!$N$2:$N$1315,1)</f>
        <v>0</v>
      </c>
      <c r="AV18" s="50"/>
      <c r="AW18" s="51">
        <f>COUNTIFS(DataRegularSeason20242025!$D$2:$D$1315,AW$1,DataRegularSeason20242025!$E$2:$E$1315,$A17,DataRegularSeason20242025!$N$2:$N$1315,1)</f>
        <v>0</v>
      </c>
      <c r="AX18" s="52"/>
      <c r="AY18" s="51">
        <f>COUNTIFS(DataRegularSeason20242025!$D$2:$D$1315,AY$1,DataRegularSeason20242025!$E$2:$E$1315,$A17,DataRegularSeason20242025!$N$2:$N$1315,1)</f>
        <v>1</v>
      </c>
      <c r="AZ18" s="50"/>
      <c r="BA18" s="51">
        <f>COUNTIFS(DataRegularSeason20242025!$D$2:$D$1315,BA$1,DataRegularSeason20242025!$E$2:$E$1315,$A17,DataRegularSeason20242025!$N$2:$N$1315,1)</f>
        <v>0</v>
      </c>
      <c r="BB18" s="50"/>
      <c r="BC18" s="51">
        <f>COUNTIFS(DataRegularSeason20242025!$D$2:$D$1315,BC$1,DataRegularSeason20242025!$E$2:$E$1315,$A17,DataRegularSeason20242025!$N$2:$N$1315,1)</f>
        <v>0</v>
      </c>
      <c r="BD18" s="50"/>
      <c r="BE18" s="51">
        <f>COUNTIFS(DataRegularSeason20242025!$D$2:$D$1315,BE$1,DataRegularSeason20242025!$E$2:$E$1315,$A17,DataRegularSeason20242025!$N$2:$N$1315,1)</f>
        <v>0</v>
      </c>
      <c r="BF18" s="50"/>
      <c r="BG18" s="51">
        <f>COUNTIFS(DataRegularSeason20242025!$D$2:$D$1315,BG$1,DataRegularSeason20242025!$E$2:$E$1315,$A17,DataRegularSeason20242025!$N$2:$N$1315,1)</f>
        <v>0</v>
      </c>
      <c r="BH18" s="50"/>
      <c r="BI18" s="51">
        <f>COUNTIFS(DataRegularSeason20242025!$D$2:$D$1315,BI$1,DataRegularSeason20242025!$E$2:$E$1315,$A17,DataRegularSeason20242025!$N$2:$N$1315,1)</f>
        <v>0</v>
      </c>
      <c r="BJ18" s="50"/>
      <c r="BK18" s="51">
        <f>COUNTIFS(DataRegularSeason20242025!$D$2:$D$1315,BK$1,DataRegularSeason20242025!$E$2:$E$1315,$A17,DataRegularSeason20242025!$N$2:$N$1315,1)</f>
        <v>0</v>
      </c>
      <c r="BL18" s="50"/>
      <c r="BM18" s="51">
        <f>COUNTIFS(DataRegularSeason20242025!$D$2:$D$1315,BM$1,DataRegularSeason20242025!$E$2:$E$1315,$A17,DataRegularSeason20242025!$N$2:$N$1315,1)</f>
        <v>0</v>
      </c>
      <c r="BN18" s="50"/>
      <c r="BO18" s="63">
        <f t="shared" si="1"/>
        <v>4</v>
      </c>
      <c r="BP18" s="165"/>
      <c r="BQ18" s="166"/>
      <c r="BR18" s="173"/>
    </row>
    <row r="19" spans="1:70" ht="9.9499999999999993" customHeight="1" thickTop="1" x14ac:dyDescent="0.25">
      <c r="A19" s="175" t="s">
        <v>16</v>
      </c>
      <c r="B19" s="56" t="s">
        <v>74</v>
      </c>
      <c r="C19" s="35"/>
      <c r="D19" s="28">
        <f>COUNTIFS(DataRegularSeason20242025!$E$2:$E$1315,C$1,DataRegularSeason20242025!$D$2:$D$1315,$A19,DataRegularSeason20242025!$N$2:$N$1315,1)</f>
        <v>0</v>
      </c>
      <c r="E19" s="35"/>
      <c r="F19" s="28">
        <f>COUNTIFS(DataRegularSeason20242025!$E$2:$E$1315,E$1,DataRegularSeason20242025!$D$2:$D$1315,$A19,DataRegularSeason20242025!$N$2:$N$1315,1)</f>
        <v>0</v>
      </c>
      <c r="G19" s="35"/>
      <c r="H19" s="28">
        <f>COUNTIFS(DataRegularSeason20242025!$E$2:$E$1315,G$1,DataRegularSeason20242025!$D$2:$D$1315,$A19,DataRegularSeason20242025!$N$2:$N$1315,1)</f>
        <v>0</v>
      </c>
      <c r="I19" s="35"/>
      <c r="J19" s="28">
        <f>COUNTIFS(DataRegularSeason20242025!$E$2:$E$1315,I$1,DataRegularSeason20242025!$D$2:$D$1315,$A19,DataRegularSeason20242025!$N$2:$N$1315,1)</f>
        <v>0</v>
      </c>
      <c r="K19" s="35"/>
      <c r="L19" s="28">
        <f>COUNTIFS(DataRegularSeason20242025!$E$2:$E$1315,K$1,DataRegularSeason20242025!$D$2:$D$1315,$A19,DataRegularSeason20242025!$N$2:$N$1315,1)</f>
        <v>0</v>
      </c>
      <c r="M19" s="35"/>
      <c r="N19" s="28">
        <f>COUNTIFS(DataRegularSeason20242025!$E$2:$E$1315,M$1,DataRegularSeason20242025!$D$2:$D$1315,$A19,DataRegularSeason20242025!$N$2:$N$1315,1)</f>
        <v>0</v>
      </c>
      <c r="O19" s="35"/>
      <c r="P19" s="28">
        <f>COUNTIFS(DataRegularSeason20242025!$E$2:$E$1315,O$1,DataRegularSeason20242025!$D$2:$D$1315,$A19,DataRegularSeason20242025!$N$2:$N$1315,1)</f>
        <v>0</v>
      </c>
      <c r="Q19" s="35"/>
      <c r="R19" s="54">
        <f>COUNTIFS(DataRegularSeason20242025!$E$2:$E$1315,Q$1,DataRegularSeason20242025!$D$2:$D$1315,$A19,DataRegularSeason20242025!$N$2:$N$1315,1)</f>
        <v>0</v>
      </c>
      <c r="S19" s="35"/>
      <c r="T19" s="36"/>
      <c r="U19" s="35"/>
      <c r="V19" s="28">
        <f>COUNTIFS(DataRegularSeason20242025!$E$2:$E$1315,U$1,DataRegularSeason20242025!$D$2:$D$1315,$A19,DataRegularSeason20242025!$N$2:$N$1315,1)</f>
        <v>0</v>
      </c>
      <c r="W19" s="35"/>
      <c r="X19" s="28">
        <f>COUNTIFS(DataRegularSeason20242025!$E$2:$E$1315,W$1,DataRegularSeason20242025!$D$2:$D$1315,$A19,DataRegularSeason20242025!$N$2:$N$1315,1)</f>
        <v>0</v>
      </c>
      <c r="Y19" s="35"/>
      <c r="Z19" s="28">
        <f>COUNTIFS(DataRegularSeason20242025!$E$2:$E$1315,Y$1,DataRegularSeason20242025!$D$2:$D$1315,$A19,DataRegularSeason20242025!$N$2:$N$1315,1)</f>
        <v>0</v>
      </c>
      <c r="AA19" s="35"/>
      <c r="AB19" s="28">
        <f>COUNTIFS(DataRegularSeason20242025!$E$2:$E$1315,AA$1,DataRegularSeason20242025!$D$2:$D$1315,$A19,DataRegularSeason20242025!$N$2:$N$1315,1)</f>
        <v>0</v>
      </c>
      <c r="AC19" s="35"/>
      <c r="AD19" s="28">
        <f>COUNTIFS(DataRegularSeason20242025!$E$2:$E$1315,AC$1,DataRegularSeason20242025!$D$2:$D$1315,$A19,DataRegularSeason20242025!$N$2:$N$1315,1)</f>
        <v>1</v>
      </c>
      <c r="AE19" s="35"/>
      <c r="AF19" s="28">
        <f>COUNTIFS(DataRegularSeason20242025!$E$2:$E$1315,AE$1,DataRegularSeason20242025!$D$2:$D$1315,$A19,DataRegularSeason20242025!$N$2:$N$1315,1)</f>
        <v>0</v>
      </c>
      <c r="AG19" s="35"/>
      <c r="AH19" s="46">
        <f>COUNTIFS(DataRegularSeason20242025!$E$2:$E$1315,AG$1,DataRegularSeason20242025!$D$2:$D$1315,$A19,DataRegularSeason20242025!$N$2:$N$1315,1)</f>
        <v>0</v>
      </c>
      <c r="AI19" s="35"/>
      <c r="AJ19" s="28">
        <f>COUNTIFS(DataRegularSeason20242025!$E$2:$E$1315,AI$1,DataRegularSeason20242025!$D$2:$D$1315,$A19,DataRegularSeason20242025!$N$2:$N$1315,1)</f>
        <v>0</v>
      </c>
      <c r="AK19" s="35"/>
      <c r="AL19" s="28">
        <f>COUNTIFS(DataRegularSeason20242025!$E$2:$E$1315,AK$1,DataRegularSeason20242025!$D$2:$D$1315,$A19,DataRegularSeason20242025!$N$2:$N$1315,1)</f>
        <v>0</v>
      </c>
      <c r="AM19" s="35"/>
      <c r="AN19" s="28">
        <f>COUNTIFS(DataRegularSeason20242025!$E$2:$E$1315,AM$1,DataRegularSeason20242025!$D$2:$D$1315,$A19,DataRegularSeason20242025!$N$2:$N$1315,1)</f>
        <v>0</v>
      </c>
      <c r="AO19" s="35"/>
      <c r="AP19" s="28">
        <f>COUNTIFS(DataRegularSeason20242025!$E$2:$E$1315,AO$1,DataRegularSeason20242025!$D$2:$D$1315,$A19,DataRegularSeason20242025!$N$2:$N$1315,1)</f>
        <v>0</v>
      </c>
      <c r="AQ19" s="35"/>
      <c r="AR19" s="28">
        <f>COUNTIFS(DataRegularSeason20242025!$E$2:$E$1315,AQ$1,DataRegularSeason20242025!$D$2:$D$1315,$A19,DataRegularSeason20242025!$N$2:$N$1315,1)</f>
        <v>0</v>
      </c>
      <c r="AS19" s="35"/>
      <c r="AT19" s="28">
        <f>COUNTIFS(DataRegularSeason20242025!$E$2:$E$1315,AS$1,DataRegularSeason20242025!$D$2:$D$1315,$A19,DataRegularSeason20242025!$N$2:$N$1315,1)</f>
        <v>0</v>
      </c>
      <c r="AU19" s="35"/>
      <c r="AV19" s="28">
        <f>COUNTIFS(DataRegularSeason20242025!$E$2:$E$1315,AU$1,DataRegularSeason20242025!$D$2:$D$1315,$A19,DataRegularSeason20242025!$N$2:$N$1315,1)</f>
        <v>0</v>
      </c>
      <c r="AW19" s="35"/>
      <c r="AX19" s="46">
        <f>COUNTIFS(DataRegularSeason20242025!$E$2:$E$1315,AW$1,DataRegularSeason20242025!$D$2:$D$1315,$A19,DataRegularSeason20242025!$N$2:$N$1315,1)</f>
        <v>0</v>
      </c>
      <c r="AY19" s="35"/>
      <c r="AZ19" s="28">
        <f>COUNTIFS(DataRegularSeason20242025!$E$2:$E$1315,AY$1,DataRegularSeason20242025!$D$2:$D$1315,$A19,DataRegularSeason20242025!$N$2:$N$1315,1)</f>
        <v>1</v>
      </c>
      <c r="BA19" s="35"/>
      <c r="BB19" s="28">
        <f>COUNTIFS(DataRegularSeason20242025!$E$2:$E$1315,BA$1,DataRegularSeason20242025!$D$2:$D$1315,$A19,DataRegularSeason20242025!$N$2:$N$1315,1)</f>
        <v>0</v>
      </c>
      <c r="BC19" s="35"/>
      <c r="BD19" s="28">
        <f>COUNTIFS(DataRegularSeason20242025!$E$2:$E$1315,BC$1,DataRegularSeason20242025!$D$2:$D$1315,$A19,DataRegularSeason20242025!$N$2:$N$1315,1)</f>
        <v>0</v>
      </c>
      <c r="BE19" s="35"/>
      <c r="BF19" s="28">
        <f>COUNTIFS(DataRegularSeason20242025!$E$2:$E$1315,BE$1,DataRegularSeason20242025!$D$2:$D$1315,$A19,DataRegularSeason20242025!$N$2:$N$1315,1)</f>
        <v>1</v>
      </c>
      <c r="BG19" s="35"/>
      <c r="BH19" s="28">
        <f>COUNTIFS(DataRegularSeason20242025!$E$2:$E$1315,BG$1,DataRegularSeason20242025!$D$2:$D$1315,$A19,DataRegularSeason20242025!$N$2:$N$1315,1)</f>
        <v>0</v>
      </c>
      <c r="BI19" s="35"/>
      <c r="BJ19" s="28">
        <f>COUNTIFS(DataRegularSeason20242025!$E$2:$E$1315,BI$1,DataRegularSeason20242025!$D$2:$D$1315,$A19,DataRegularSeason20242025!$N$2:$N$1315,1)</f>
        <v>0</v>
      </c>
      <c r="BK19" s="35"/>
      <c r="BL19" s="28">
        <f>COUNTIFS(DataRegularSeason20242025!$E$2:$E$1315,BK$1,DataRegularSeason20242025!$D$2:$D$1315,$A19,DataRegularSeason20242025!$N$2:$N$1315,1)</f>
        <v>0</v>
      </c>
      <c r="BM19" s="35"/>
      <c r="BN19" s="28">
        <f>COUNTIFS(DataRegularSeason20242025!$E$2:$E$1315,BM$1,DataRegularSeason20242025!$D$2:$D$1315,$A19,DataRegularSeason20242025!$N$2:$N$1315,1)</f>
        <v>0</v>
      </c>
      <c r="BO19" s="30">
        <f t="shared" si="1"/>
        <v>3</v>
      </c>
      <c r="BP19" s="165">
        <f t="shared" ref="BP19" si="23">BO19+BO20</f>
        <v>7</v>
      </c>
      <c r="BQ19" s="166">
        <f t="shared" ref="BQ19" si="24">82-BP19</f>
        <v>75</v>
      </c>
      <c r="BR19" s="173">
        <f t="shared" ref="BR19" si="25">BP19/(BP19+BQ19)</f>
        <v>8.5365853658536592E-2</v>
      </c>
    </row>
    <row r="20" spans="1:70" ht="9.9499999999999993" customHeight="1" x14ac:dyDescent="0.25">
      <c r="A20" s="167"/>
      <c r="B20" s="32" t="s">
        <v>73</v>
      </c>
      <c r="C20" s="38">
        <f>COUNTIFS(DataRegularSeason20242025!$D$2:$D$1315,C$1,DataRegularSeason20242025!$E$2:$E$1315,$A19,DataRegularSeason20242025!$N$2:$N$1315,1)</f>
        <v>1</v>
      </c>
      <c r="D20" s="39"/>
      <c r="E20" s="38">
        <f>COUNTIFS(DataRegularSeason20242025!$D$2:$D$1315,E$1,DataRegularSeason20242025!$E$2:$E$1315,$A19,DataRegularSeason20242025!$N$2:$N$1315,1)</f>
        <v>0</v>
      </c>
      <c r="F20" s="39"/>
      <c r="G20" s="38">
        <f>COUNTIFS(DataRegularSeason20242025!$D$2:$D$1315,G$1,DataRegularSeason20242025!$E$2:$E$1315,$A19,DataRegularSeason20242025!$N$2:$N$1315,1)</f>
        <v>0</v>
      </c>
      <c r="H20" s="39"/>
      <c r="I20" s="38">
        <f>COUNTIFS(DataRegularSeason20242025!$D$2:$D$1315,I$1,DataRegularSeason20242025!$E$2:$E$1315,$A19,DataRegularSeason20242025!$N$2:$N$1315,1)</f>
        <v>0</v>
      </c>
      <c r="J20" s="39"/>
      <c r="K20" s="38">
        <f>COUNTIFS(DataRegularSeason20242025!$D$2:$D$1315,K$1,DataRegularSeason20242025!$E$2:$E$1315,$A19,DataRegularSeason20242025!$N$2:$N$1315,1)</f>
        <v>0</v>
      </c>
      <c r="L20" s="39"/>
      <c r="M20" s="38">
        <f>COUNTIFS(DataRegularSeason20242025!$D$2:$D$1315,M$1,DataRegularSeason20242025!$E$2:$E$1315,$A19,DataRegularSeason20242025!$N$2:$N$1315,1)</f>
        <v>0</v>
      </c>
      <c r="N20" s="39"/>
      <c r="O20" s="38">
        <f>COUNTIFS(DataRegularSeason20242025!$D$2:$D$1315,O$1,DataRegularSeason20242025!$E$2:$E$1315,$A19,DataRegularSeason20242025!$N$2:$N$1315,1)</f>
        <v>1</v>
      </c>
      <c r="P20" s="39"/>
      <c r="Q20" s="38">
        <f>COUNTIFS(DataRegularSeason20242025!$D$2:$D$1315,Q$1,DataRegularSeason20242025!$E$2:$E$1315,$A19,DataRegularSeason20242025!$N$2:$N$1315,1)</f>
        <v>0</v>
      </c>
      <c r="R20" s="47"/>
      <c r="S20" s="38"/>
      <c r="T20" s="39"/>
      <c r="U20" s="38">
        <f>COUNTIFS(DataRegularSeason20242025!$D$2:$D$1315,U$1,DataRegularSeason20242025!$E$2:$E$1315,$A19,DataRegularSeason20242025!$N$2:$N$1315,1)</f>
        <v>0</v>
      </c>
      <c r="V20" s="39"/>
      <c r="W20" s="38">
        <f>COUNTIFS(DataRegularSeason20242025!$D$2:$D$1315,W$1,DataRegularSeason20242025!$E$2:$E$1315,$A19,DataRegularSeason20242025!$N$2:$N$1315,1)</f>
        <v>0</v>
      </c>
      <c r="X20" s="39"/>
      <c r="Y20" s="38">
        <f>COUNTIFS(DataRegularSeason20242025!$D$2:$D$1315,Y$1,DataRegularSeason20242025!$E$2:$E$1315,$A19,DataRegularSeason20242025!$N$2:$N$1315,1)</f>
        <v>0</v>
      </c>
      <c r="Z20" s="39"/>
      <c r="AA20" s="38">
        <f>COUNTIFS(DataRegularSeason20242025!$D$2:$D$1315,AA$1,DataRegularSeason20242025!$E$2:$E$1315,$A19,DataRegularSeason20242025!$N$2:$N$1315,1)</f>
        <v>0</v>
      </c>
      <c r="AB20" s="39"/>
      <c r="AC20" s="38">
        <f>COUNTIFS(DataRegularSeason20242025!$D$2:$D$1315,AC$1,DataRegularSeason20242025!$E$2:$E$1315,$A19,DataRegularSeason20242025!$N$2:$N$1315,1)</f>
        <v>0</v>
      </c>
      <c r="AD20" s="39"/>
      <c r="AE20" s="38">
        <f>COUNTIFS(DataRegularSeason20242025!$D$2:$D$1315,AE$1,DataRegularSeason20242025!$E$2:$E$1315,$A19,DataRegularSeason20242025!$N$2:$N$1315,1)</f>
        <v>1</v>
      </c>
      <c r="AF20" s="39"/>
      <c r="AG20" s="38">
        <f>COUNTIFS(DataRegularSeason20242025!$D$2:$D$1315,AG$1,DataRegularSeason20242025!$E$2:$E$1315,$A19,DataRegularSeason20242025!$N$2:$N$1315,1)</f>
        <v>0</v>
      </c>
      <c r="AH20" s="47"/>
      <c r="AI20" s="38">
        <f>COUNTIFS(DataRegularSeason20242025!$D$2:$D$1315,AI$1,DataRegularSeason20242025!$E$2:$E$1315,$A19,DataRegularSeason20242025!$N$2:$N$1315,1)</f>
        <v>0</v>
      </c>
      <c r="AJ20" s="39"/>
      <c r="AK20" s="38">
        <f>COUNTIFS(DataRegularSeason20242025!$D$2:$D$1315,AK$1,DataRegularSeason20242025!$E$2:$E$1315,$A19,DataRegularSeason20242025!$N$2:$N$1315,1)</f>
        <v>0</v>
      </c>
      <c r="AL20" s="39"/>
      <c r="AM20" s="38">
        <f>COUNTIFS(DataRegularSeason20242025!$D$2:$D$1315,AM$1,DataRegularSeason20242025!$E$2:$E$1315,$A19,DataRegularSeason20242025!$N$2:$N$1315,1)</f>
        <v>0</v>
      </c>
      <c r="AN20" s="39"/>
      <c r="AO20" s="38">
        <f>COUNTIFS(DataRegularSeason20242025!$D$2:$D$1315,AO$1,DataRegularSeason20242025!$E$2:$E$1315,$A19,DataRegularSeason20242025!$N$2:$N$1315,1)</f>
        <v>0</v>
      </c>
      <c r="AP20" s="39"/>
      <c r="AQ20" s="38">
        <f>COUNTIFS(DataRegularSeason20242025!$D$2:$D$1315,AQ$1,DataRegularSeason20242025!$E$2:$E$1315,$A19,DataRegularSeason20242025!$N$2:$N$1315,1)</f>
        <v>0</v>
      </c>
      <c r="AR20" s="39"/>
      <c r="AS20" s="38">
        <f>COUNTIFS(DataRegularSeason20242025!$D$2:$D$1315,AS$1,DataRegularSeason20242025!$E$2:$E$1315,$A19,DataRegularSeason20242025!$N$2:$N$1315,1)</f>
        <v>0</v>
      </c>
      <c r="AT20" s="39"/>
      <c r="AU20" s="38">
        <f>COUNTIFS(DataRegularSeason20242025!$D$2:$D$1315,AU$1,DataRegularSeason20242025!$E$2:$E$1315,$A19,DataRegularSeason20242025!$N$2:$N$1315,1)</f>
        <v>0</v>
      </c>
      <c r="AV20" s="39"/>
      <c r="AW20" s="38">
        <f>COUNTIFS(DataRegularSeason20242025!$D$2:$D$1315,AW$1,DataRegularSeason20242025!$E$2:$E$1315,$A19,DataRegularSeason20242025!$N$2:$N$1315,1)</f>
        <v>0</v>
      </c>
      <c r="AX20" s="47"/>
      <c r="AY20" s="38">
        <f>COUNTIFS(DataRegularSeason20242025!$D$2:$D$1315,AY$1,DataRegularSeason20242025!$E$2:$E$1315,$A19,DataRegularSeason20242025!$N$2:$N$1315,1)</f>
        <v>0</v>
      </c>
      <c r="AZ20" s="39"/>
      <c r="BA20" s="38">
        <f>COUNTIFS(DataRegularSeason20242025!$D$2:$D$1315,BA$1,DataRegularSeason20242025!$E$2:$E$1315,$A19,DataRegularSeason20242025!$N$2:$N$1315,1)</f>
        <v>0</v>
      </c>
      <c r="BB20" s="39"/>
      <c r="BC20" s="38">
        <f>COUNTIFS(DataRegularSeason20242025!$D$2:$D$1315,BC$1,DataRegularSeason20242025!$E$2:$E$1315,$A19,DataRegularSeason20242025!$N$2:$N$1315,1)</f>
        <v>0</v>
      </c>
      <c r="BD20" s="39"/>
      <c r="BE20" s="38">
        <f>COUNTIFS(DataRegularSeason20242025!$D$2:$D$1315,BE$1,DataRegularSeason20242025!$E$2:$E$1315,$A19,DataRegularSeason20242025!$N$2:$N$1315,1)</f>
        <v>0</v>
      </c>
      <c r="BF20" s="39"/>
      <c r="BG20" s="38">
        <f>COUNTIFS(DataRegularSeason20242025!$D$2:$D$1315,BG$1,DataRegularSeason20242025!$E$2:$E$1315,$A19,DataRegularSeason20242025!$N$2:$N$1315,1)</f>
        <v>1</v>
      </c>
      <c r="BH20" s="39"/>
      <c r="BI20" s="38">
        <f>COUNTIFS(DataRegularSeason20242025!$D$2:$D$1315,BI$1,DataRegularSeason20242025!$E$2:$E$1315,$A19,DataRegularSeason20242025!$N$2:$N$1315,1)</f>
        <v>0</v>
      </c>
      <c r="BJ20" s="39"/>
      <c r="BK20" s="38">
        <f>COUNTIFS(DataRegularSeason20242025!$D$2:$D$1315,BK$1,DataRegularSeason20242025!$E$2:$E$1315,$A19,DataRegularSeason20242025!$N$2:$N$1315,1)</f>
        <v>0</v>
      </c>
      <c r="BL20" s="39"/>
      <c r="BM20" s="38">
        <f>COUNTIFS(DataRegularSeason20242025!$D$2:$D$1315,BM$1,DataRegularSeason20242025!$E$2:$E$1315,$A19,DataRegularSeason20242025!$N$2:$N$1315,1)</f>
        <v>0</v>
      </c>
      <c r="BN20" s="39"/>
      <c r="BO20" s="34">
        <f t="shared" si="1"/>
        <v>4</v>
      </c>
      <c r="BP20" s="165"/>
      <c r="BQ20" s="166"/>
      <c r="BR20" s="173"/>
    </row>
    <row r="21" spans="1:70" ht="9.9499999999999993" customHeight="1" x14ac:dyDescent="0.25">
      <c r="A21" s="172" t="s">
        <v>25</v>
      </c>
      <c r="B21" s="28" t="s">
        <v>74</v>
      </c>
      <c r="C21" s="35"/>
      <c r="D21" s="28">
        <f>COUNTIFS(DataRegularSeason20242025!$E$2:$E$1315,C$1,DataRegularSeason20242025!$D$2:$D$1315,$A21,DataRegularSeason20242025!$N$2:$N$1315,1)</f>
        <v>0</v>
      </c>
      <c r="E21" s="35"/>
      <c r="F21" s="28">
        <f>COUNTIFS(DataRegularSeason20242025!$E$2:$E$1315,E$1,DataRegularSeason20242025!$D$2:$D$1315,$A21,DataRegularSeason20242025!$N$2:$N$1315,1)</f>
        <v>0</v>
      </c>
      <c r="G21" s="35"/>
      <c r="H21" s="28">
        <f>COUNTIFS(DataRegularSeason20242025!$E$2:$E$1315,G$1,DataRegularSeason20242025!$D$2:$D$1315,$A21,DataRegularSeason20242025!$N$2:$N$1315,1)</f>
        <v>0</v>
      </c>
      <c r="I21" s="35"/>
      <c r="J21" s="28">
        <f>COUNTIFS(DataRegularSeason20242025!$E$2:$E$1315,I$1,DataRegularSeason20242025!$D$2:$D$1315,$A21,DataRegularSeason20242025!$N$2:$N$1315,1)</f>
        <v>1</v>
      </c>
      <c r="K21" s="35"/>
      <c r="L21" s="28">
        <f>COUNTIFS(DataRegularSeason20242025!$E$2:$E$1315,K$1,DataRegularSeason20242025!$D$2:$D$1315,$A21,DataRegularSeason20242025!$N$2:$N$1315,1)</f>
        <v>0</v>
      </c>
      <c r="M21" s="35"/>
      <c r="N21" s="28">
        <f>COUNTIFS(DataRegularSeason20242025!$E$2:$E$1315,M$1,DataRegularSeason20242025!$D$2:$D$1315,$A21,DataRegularSeason20242025!$N$2:$N$1315,1)</f>
        <v>0</v>
      </c>
      <c r="O21" s="35"/>
      <c r="P21" s="28">
        <f>COUNTIFS(DataRegularSeason20242025!$E$2:$E$1315,O$1,DataRegularSeason20242025!$D$2:$D$1315,$A21,DataRegularSeason20242025!$N$2:$N$1315,1)</f>
        <v>0</v>
      </c>
      <c r="Q21" s="35"/>
      <c r="R21" s="46">
        <f>COUNTIFS(DataRegularSeason20242025!$E$2:$E$1315,Q$1,DataRegularSeason20242025!$D$2:$D$1315,$A21,DataRegularSeason20242025!$N$2:$N$1315,1)</f>
        <v>0</v>
      </c>
      <c r="S21" s="35"/>
      <c r="T21" s="28">
        <f>COUNTIFS(DataRegularSeason20242025!$E$2:$E$1315,S$1,DataRegularSeason20242025!$D$2:$D$1315,$A21,DataRegularSeason20242025!$N$2:$N$1315,1)</f>
        <v>0</v>
      </c>
      <c r="U21" s="35"/>
      <c r="V21" s="36"/>
      <c r="W21" s="35"/>
      <c r="X21" s="28">
        <f>COUNTIFS(DataRegularSeason20242025!$E$2:$E$1315,W$1,DataRegularSeason20242025!$D$2:$D$1315,$A21,DataRegularSeason20242025!$N$2:$N$1315,1)</f>
        <v>0</v>
      </c>
      <c r="Y21" s="35"/>
      <c r="Z21" s="28">
        <f>COUNTIFS(DataRegularSeason20242025!$E$2:$E$1315,Y$1,DataRegularSeason20242025!$D$2:$D$1315,$A21,DataRegularSeason20242025!$N$2:$N$1315,1)</f>
        <v>0</v>
      </c>
      <c r="AA21" s="35"/>
      <c r="AB21" s="28">
        <f>COUNTIFS(DataRegularSeason20242025!$E$2:$E$1315,AA$1,DataRegularSeason20242025!$D$2:$D$1315,$A21,DataRegularSeason20242025!$N$2:$N$1315,1)</f>
        <v>0</v>
      </c>
      <c r="AC21" s="35"/>
      <c r="AD21" s="28">
        <f>COUNTIFS(DataRegularSeason20242025!$E$2:$E$1315,AC$1,DataRegularSeason20242025!$D$2:$D$1315,$A21,DataRegularSeason20242025!$N$2:$N$1315,1)</f>
        <v>0</v>
      </c>
      <c r="AE21" s="35"/>
      <c r="AF21" s="28">
        <f>COUNTIFS(DataRegularSeason20242025!$E$2:$E$1315,AE$1,DataRegularSeason20242025!$D$2:$D$1315,$A21,DataRegularSeason20242025!$N$2:$N$1315,1)</f>
        <v>1</v>
      </c>
      <c r="AG21" s="35"/>
      <c r="AH21" s="46">
        <f>COUNTIFS(DataRegularSeason20242025!$E$2:$E$1315,AG$1,DataRegularSeason20242025!$D$2:$D$1315,$A21,DataRegularSeason20242025!$N$2:$N$1315,1)</f>
        <v>0</v>
      </c>
      <c r="AI21" s="35"/>
      <c r="AJ21" s="28">
        <f>COUNTIFS(DataRegularSeason20242025!$E$2:$E$1315,AI$1,DataRegularSeason20242025!$D$2:$D$1315,$A21,DataRegularSeason20242025!$N$2:$N$1315,1)</f>
        <v>0</v>
      </c>
      <c r="AK21" s="35"/>
      <c r="AL21" s="28">
        <f>COUNTIFS(DataRegularSeason20242025!$E$2:$E$1315,AK$1,DataRegularSeason20242025!$D$2:$D$1315,$A21,DataRegularSeason20242025!$N$2:$N$1315,1)</f>
        <v>1</v>
      </c>
      <c r="AM21" s="35"/>
      <c r="AN21" s="28">
        <f>COUNTIFS(DataRegularSeason20242025!$E$2:$E$1315,AM$1,DataRegularSeason20242025!$D$2:$D$1315,$A21,DataRegularSeason20242025!$N$2:$N$1315,1)</f>
        <v>0</v>
      </c>
      <c r="AO21" s="35"/>
      <c r="AP21" s="28">
        <f>COUNTIFS(DataRegularSeason20242025!$E$2:$E$1315,AO$1,DataRegularSeason20242025!$D$2:$D$1315,$A21,DataRegularSeason20242025!$N$2:$N$1315,1)</f>
        <v>0</v>
      </c>
      <c r="AQ21" s="35"/>
      <c r="AR21" s="28">
        <f>COUNTIFS(DataRegularSeason20242025!$E$2:$E$1315,AQ$1,DataRegularSeason20242025!$D$2:$D$1315,$A21,DataRegularSeason20242025!$N$2:$N$1315,1)</f>
        <v>0</v>
      </c>
      <c r="AS21" s="35"/>
      <c r="AT21" s="28">
        <f>COUNTIFS(DataRegularSeason20242025!$E$2:$E$1315,AS$1,DataRegularSeason20242025!$D$2:$D$1315,$A21,DataRegularSeason20242025!$N$2:$N$1315,1)</f>
        <v>0</v>
      </c>
      <c r="AU21" s="35"/>
      <c r="AV21" s="28">
        <f>COUNTIFS(DataRegularSeason20242025!$E$2:$E$1315,AU$1,DataRegularSeason20242025!$D$2:$D$1315,$A21,DataRegularSeason20242025!$N$2:$N$1315,1)</f>
        <v>0</v>
      </c>
      <c r="AW21" s="35"/>
      <c r="AX21" s="46">
        <f>COUNTIFS(DataRegularSeason20242025!$E$2:$E$1315,AW$1,DataRegularSeason20242025!$D$2:$D$1315,$A21,DataRegularSeason20242025!$N$2:$N$1315,1)</f>
        <v>0</v>
      </c>
      <c r="AY21" s="35"/>
      <c r="AZ21" s="28">
        <f>COUNTIFS(DataRegularSeason20242025!$E$2:$E$1315,AY$1,DataRegularSeason20242025!$D$2:$D$1315,$A21,DataRegularSeason20242025!$N$2:$N$1315,1)</f>
        <v>0</v>
      </c>
      <c r="BA21" s="35"/>
      <c r="BB21" s="28">
        <f>COUNTIFS(DataRegularSeason20242025!$E$2:$E$1315,BA$1,DataRegularSeason20242025!$D$2:$D$1315,$A21,DataRegularSeason20242025!$N$2:$N$1315,1)</f>
        <v>1</v>
      </c>
      <c r="BC21" s="35"/>
      <c r="BD21" s="28">
        <f>COUNTIFS(DataRegularSeason20242025!$E$2:$E$1315,BC$1,DataRegularSeason20242025!$D$2:$D$1315,$A21,DataRegularSeason20242025!$N$2:$N$1315,1)</f>
        <v>0</v>
      </c>
      <c r="BE21" s="35"/>
      <c r="BF21" s="28">
        <f>COUNTIFS(DataRegularSeason20242025!$E$2:$E$1315,BE$1,DataRegularSeason20242025!$D$2:$D$1315,$A21,DataRegularSeason20242025!$N$2:$N$1315,1)</f>
        <v>0</v>
      </c>
      <c r="BG21" s="35"/>
      <c r="BH21" s="28">
        <f>COUNTIFS(DataRegularSeason20242025!$E$2:$E$1315,BG$1,DataRegularSeason20242025!$D$2:$D$1315,$A21,DataRegularSeason20242025!$N$2:$N$1315,1)</f>
        <v>0</v>
      </c>
      <c r="BI21" s="35"/>
      <c r="BJ21" s="28">
        <f>COUNTIFS(DataRegularSeason20242025!$E$2:$E$1315,BI$1,DataRegularSeason20242025!$D$2:$D$1315,$A21,DataRegularSeason20242025!$N$2:$N$1315,1)</f>
        <v>0</v>
      </c>
      <c r="BK21" s="35"/>
      <c r="BL21" s="28">
        <f>COUNTIFS(DataRegularSeason20242025!$E$2:$E$1315,BK$1,DataRegularSeason20242025!$D$2:$D$1315,$A21,DataRegularSeason20242025!$N$2:$N$1315,1)</f>
        <v>0</v>
      </c>
      <c r="BM21" s="35"/>
      <c r="BN21" s="28">
        <f>COUNTIFS(DataRegularSeason20242025!$E$2:$E$1315,BM$1,DataRegularSeason20242025!$D$2:$D$1315,$A21,DataRegularSeason20242025!$N$2:$N$1315,1)</f>
        <v>0</v>
      </c>
      <c r="BO21" s="30">
        <f t="shared" si="1"/>
        <v>4</v>
      </c>
      <c r="BP21" s="165">
        <f t="shared" ref="BP21" si="26">BO21+BO22</f>
        <v>7</v>
      </c>
      <c r="BQ21" s="166">
        <f t="shared" ref="BQ21" si="27">82-BP21</f>
        <v>75</v>
      </c>
      <c r="BR21" s="173">
        <f t="shared" ref="BR21" si="28">BP21/(BP21+BQ21)</f>
        <v>8.5365853658536592E-2</v>
      </c>
    </row>
    <row r="22" spans="1:70" ht="9.9499999999999993" customHeight="1" x14ac:dyDescent="0.25">
      <c r="A22" s="167"/>
      <c r="B22" s="32" t="s">
        <v>73</v>
      </c>
      <c r="C22" s="38">
        <f>COUNTIFS(DataRegularSeason20242025!$D$2:$D$1315,C$1,DataRegularSeason20242025!$E$2:$E$1315,$A21,DataRegularSeason20242025!$N$2:$N$1315,1)</f>
        <v>0</v>
      </c>
      <c r="D22" s="39"/>
      <c r="E22" s="38">
        <f>COUNTIFS(DataRegularSeason20242025!$D$2:$D$1315,E$1,DataRegularSeason20242025!$E$2:$E$1315,$A21,DataRegularSeason20242025!$N$2:$N$1315,1)</f>
        <v>0</v>
      </c>
      <c r="F22" s="39"/>
      <c r="G22" s="38">
        <f>COUNTIFS(DataRegularSeason20242025!$D$2:$D$1315,G$1,DataRegularSeason20242025!$E$2:$E$1315,$A21,DataRegularSeason20242025!$N$2:$N$1315,1)</f>
        <v>0</v>
      </c>
      <c r="H22" s="39"/>
      <c r="I22" s="38">
        <f>COUNTIFS(DataRegularSeason20242025!$D$2:$D$1315,I$1,DataRegularSeason20242025!$E$2:$E$1315,$A21,DataRegularSeason20242025!$N$2:$N$1315,1)</f>
        <v>0</v>
      </c>
      <c r="J22" s="39"/>
      <c r="K22" s="38">
        <f>COUNTIFS(DataRegularSeason20242025!$D$2:$D$1315,K$1,DataRegularSeason20242025!$E$2:$E$1315,$A21,DataRegularSeason20242025!$N$2:$N$1315,1)</f>
        <v>0</v>
      </c>
      <c r="L22" s="39"/>
      <c r="M22" s="38">
        <f>COUNTIFS(DataRegularSeason20242025!$D$2:$D$1315,M$1,DataRegularSeason20242025!$E$2:$E$1315,$A21,DataRegularSeason20242025!$N$2:$N$1315,1)</f>
        <v>0</v>
      </c>
      <c r="N22" s="39"/>
      <c r="O22" s="38">
        <f>COUNTIFS(DataRegularSeason20242025!$D$2:$D$1315,O$1,DataRegularSeason20242025!$E$2:$E$1315,$A21,DataRegularSeason20242025!$N$2:$N$1315,1)</f>
        <v>0</v>
      </c>
      <c r="P22" s="39"/>
      <c r="Q22" s="38">
        <f>COUNTIFS(DataRegularSeason20242025!$D$2:$D$1315,Q$1,DataRegularSeason20242025!$E$2:$E$1315,$A21,DataRegularSeason20242025!$N$2:$N$1315,1)</f>
        <v>0</v>
      </c>
      <c r="R22" s="47"/>
      <c r="S22" s="38">
        <f>COUNTIFS(DataRegularSeason20242025!$D$2:$D$1315,S$1,DataRegularSeason20242025!$E$2:$E$1315,$A21,DataRegularSeason20242025!$N$2:$N$1315,1)</f>
        <v>0</v>
      </c>
      <c r="T22" s="39"/>
      <c r="U22" s="38"/>
      <c r="V22" s="39"/>
      <c r="W22" s="38">
        <f>COUNTIFS(DataRegularSeason20242025!$D$2:$D$1315,W$1,DataRegularSeason20242025!$E$2:$E$1315,$A21,DataRegularSeason20242025!$N$2:$N$1315,1)</f>
        <v>1</v>
      </c>
      <c r="X22" s="39"/>
      <c r="Y22" s="38">
        <f>COUNTIFS(DataRegularSeason20242025!$D$2:$D$1315,Y$1,DataRegularSeason20242025!$E$2:$E$1315,$A21,DataRegularSeason20242025!$N$2:$N$1315,1)</f>
        <v>0</v>
      </c>
      <c r="Z22" s="39"/>
      <c r="AA22" s="38">
        <f>COUNTIFS(DataRegularSeason20242025!$D$2:$D$1315,AA$1,DataRegularSeason20242025!$E$2:$E$1315,$A21,DataRegularSeason20242025!$N$2:$N$1315,1)</f>
        <v>0</v>
      </c>
      <c r="AB22" s="39"/>
      <c r="AC22" s="38">
        <f>COUNTIFS(DataRegularSeason20242025!$D$2:$D$1315,AC$1,DataRegularSeason20242025!$E$2:$E$1315,$A21,DataRegularSeason20242025!$N$2:$N$1315,1)</f>
        <v>0</v>
      </c>
      <c r="AD22" s="39"/>
      <c r="AE22" s="38">
        <f>COUNTIFS(DataRegularSeason20242025!$D$2:$D$1315,AE$1,DataRegularSeason20242025!$E$2:$E$1315,$A21,DataRegularSeason20242025!$N$2:$N$1315,1)</f>
        <v>1</v>
      </c>
      <c r="AF22" s="39"/>
      <c r="AG22" s="38">
        <f>COUNTIFS(DataRegularSeason20242025!$D$2:$D$1315,AG$1,DataRegularSeason20242025!$E$2:$E$1315,$A21,DataRegularSeason20242025!$N$2:$N$1315,1)</f>
        <v>0</v>
      </c>
      <c r="AH22" s="47"/>
      <c r="AI22" s="38">
        <f>COUNTIFS(DataRegularSeason20242025!$D$2:$D$1315,AI$1,DataRegularSeason20242025!$E$2:$E$1315,$A21,DataRegularSeason20242025!$N$2:$N$1315,1)</f>
        <v>0</v>
      </c>
      <c r="AJ22" s="39"/>
      <c r="AK22" s="38">
        <f>COUNTIFS(DataRegularSeason20242025!$D$2:$D$1315,AK$1,DataRegularSeason20242025!$E$2:$E$1315,$A21,DataRegularSeason20242025!$N$2:$N$1315,1)</f>
        <v>0</v>
      </c>
      <c r="AL22" s="39"/>
      <c r="AM22" s="38">
        <f>COUNTIFS(DataRegularSeason20242025!$D$2:$D$1315,AM$1,DataRegularSeason20242025!$E$2:$E$1315,$A21,DataRegularSeason20242025!$N$2:$N$1315,1)</f>
        <v>0</v>
      </c>
      <c r="AN22" s="39"/>
      <c r="AO22" s="38">
        <f>COUNTIFS(DataRegularSeason20242025!$D$2:$D$1315,AO$1,DataRegularSeason20242025!$E$2:$E$1315,$A21,DataRegularSeason20242025!$N$2:$N$1315,1)</f>
        <v>0</v>
      </c>
      <c r="AP22" s="39"/>
      <c r="AQ22" s="38">
        <f>COUNTIFS(DataRegularSeason20242025!$D$2:$D$1315,AQ$1,DataRegularSeason20242025!$E$2:$E$1315,$A21,DataRegularSeason20242025!$N$2:$N$1315,1)</f>
        <v>0</v>
      </c>
      <c r="AR22" s="39"/>
      <c r="AS22" s="38">
        <f>COUNTIFS(DataRegularSeason20242025!$D$2:$D$1315,AS$1,DataRegularSeason20242025!$E$2:$E$1315,$A21,DataRegularSeason20242025!$N$2:$N$1315,1)</f>
        <v>0</v>
      </c>
      <c r="AT22" s="39"/>
      <c r="AU22" s="38">
        <f>COUNTIFS(DataRegularSeason20242025!$D$2:$D$1315,AU$1,DataRegularSeason20242025!$E$2:$E$1315,$A21,DataRegularSeason20242025!$N$2:$N$1315,1)</f>
        <v>0</v>
      </c>
      <c r="AV22" s="39"/>
      <c r="AW22" s="38">
        <f>COUNTIFS(DataRegularSeason20242025!$D$2:$D$1315,AW$1,DataRegularSeason20242025!$E$2:$E$1315,$A21,DataRegularSeason20242025!$N$2:$N$1315,1)</f>
        <v>0</v>
      </c>
      <c r="AX22" s="47"/>
      <c r="AY22" s="38">
        <f>COUNTIFS(DataRegularSeason20242025!$D$2:$D$1315,AY$1,DataRegularSeason20242025!$E$2:$E$1315,$A21,DataRegularSeason20242025!$N$2:$N$1315,1)</f>
        <v>1</v>
      </c>
      <c r="AZ22" s="39"/>
      <c r="BA22" s="38">
        <f>COUNTIFS(DataRegularSeason20242025!$D$2:$D$1315,BA$1,DataRegularSeason20242025!$E$2:$E$1315,$A21,DataRegularSeason20242025!$N$2:$N$1315,1)</f>
        <v>0</v>
      </c>
      <c r="BB22" s="39"/>
      <c r="BC22" s="38">
        <f>COUNTIFS(DataRegularSeason20242025!$D$2:$D$1315,BC$1,DataRegularSeason20242025!$E$2:$E$1315,$A21,DataRegularSeason20242025!$N$2:$N$1315,1)</f>
        <v>0</v>
      </c>
      <c r="BD22" s="39"/>
      <c r="BE22" s="38">
        <f>COUNTIFS(DataRegularSeason20242025!$D$2:$D$1315,BE$1,DataRegularSeason20242025!$E$2:$E$1315,$A21,DataRegularSeason20242025!$N$2:$N$1315,1)</f>
        <v>0</v>
      </c>
      <c r="BF22" s="39"/>
      <c r="BG22" s="38">
        <f>COUNTIFS(DataRegularSeason20242025!$D$2:$D$1315,BG$1,DataRegularSeason20242025!$E$2:$E$1315,$A21,DataRegularSeason20242025!$N$2:$N$1315,1)</f>
        <v>0</v>
      </c>
      <c r="BH22" s="39"/>
      <c r="BI22" s="38">
        <f>COUNTIFS(DataRegularSeason20242025!$D$2:$D$1315,BI$1,DataRegularSeason20242025!$E$2:$E$1315,$A21,DataRegularSeason20242025!$N$2:$N$1315,1)</f>
        <v>0</v>
      </c>
      <c r="BJ22" s="39"/>
      <c r="BK22" s="38">
        <f>COUNTIFS(DataRegularSeason20242025!$D$2:$D$1315,BK$1,DataRegularSeason20242025!$E$2:$E$1315,$A21,DataRegularSeason20242025!$N$2:$N$1315,1)</f>
        <v>0</v>
      </c>
      <c r="BL22" s="39"/>
      <c r="BM22" s="38">
        <f>COUNTIFS(DataRegularSeason20242025!$D$2:$D$1315,BM$1,DataRegularSeason20242025!$E$2:$E$1315,$A21,DataRegularSeason20242025!$N$2:$N$1315,1)</f>
        <v>0</v>
      </c>
      <c r="BN22" s="39"/>
      <c r="BO22" s="34">
        <f t="shared" si="1"/>
        <v>3</v>
      </c>
      <c r="BP22" s="165"/>
      <c r="BQ22" s="166"/>
      <c r="BR22" s="173"/>
    </row>
    <row r="23" spans="1:70" ht="9.9499999999999993" customHeight="1" x14ac:dyDescent="0.25">
      <c r="A23" s="172" t="s">
        <v>33</v>
      </c>
      <c r="B23" s="28" t="s">
        <v>74</v>
      </c>
      <c r="C23" s="35"/>
      <c r="D23" s="28">
        <f>COUNTIFS(DataRegularSeason20242025!$E$2:$E$1315,C$1,DataRegularSeason20242025!$D$2:$D$1315,$A23,DataRegularSeason20242025!$N$2:$N$1315,1)</f>
        <v>0</v>
      </c>
      <c r="E23" s="35"/>
      <c r="F23" s="28">
        <f>COUNTIFS(DataRegularSeason20242025!$E$2:$E$1315,E$1,DataRegularSeason20242025!$D$2:$D$1315,$A23,DataRegularSeason20242025!$N$2:$N$1315,1)</f>
        <v>0</v>
      </c>
      <c r="G23" s="35"/>
      <c r="H23" s="28">
        <f>COUNTIFS(DataRegularSeason20242025!$E$2:$E$1315,G$1,DataRegularSeason20242025!$D$2:$D$1315,$A23,DataRegularSeason20242025!$N$2:$N$1315,1)</f>
        <v>0</v>
      </c>
      <c r="I23" s="35"/>
      <c r="J23" s="28">
        <f>COUNTIFS(DataRegularSeason20242025!$E$2:$E$1315,I$1,DataRegularSeason20242025!$D$2:$D$1315,$A23,DataRegularSeason20242025!$N$2:$N$1315,1)</f>
        <v>0</v>
      </c>
      <c r="K23" s="35"/>
      <c r="L23" s="28">
        <f>COUNTIFS(DataRegularSeason20242025!$E$2:$E$1315,K$1,DataRegularSeason20242025!$D$2:$D$1315,$A23,DataRegularSeason20242025!$N$2:$N$1315,1)</f>
        <v>0</v>
      </c>
      <c r="M23" s="35"/>
      <c r="N23" s="28">
        <f>COUNTIFS(DataRegularSeason20242025!$E$2:$E$1315,M$1,DataRegularSeason20242025!$D$2:$D$1315,$A23,DataRegularSeason20242025!$N$2:$N$1315,1)</f>
        <v>0</v>
      </c>
      <c r="O23" s="35"/>
      <c r="P23" s="28">
        <f>COUNTIFS(DataRegularSeason20242025!$E$2:$E$1315,O$1,DataRegularSeason20242025!$D$2:$D$1315,$A23,DataRegularSeason20242025!$N$2:$N$1315,1)</f>
        <v>0</v>
      </c>
      <c r="Q23" s="35"/>
      <c r="R23" s="46">
        <f>COUNTIFS(DataRegularSeason20242025!$E$2:$E$1315,Q$1,DataRegularSeason20242025!$D$2:$D$1315,$A23,DataRegularSeason20242025!$N$2:$N$1315,1)</f>
        <v>0</v>
      </c>
      <c r="S23" s="35"/>
      <c r="T23" s="28">
        <f>COUNTIFS(DataRegularSeason20242025!$E$2:$E$1315,S$1,DataRegularSeason20242025!$D$2:$D$1315,$A23,DataRegularSeason20242025!$N$2:$N$1315,1)</f>
        <v>0</v>
      </c>
      <c r="U23" s="35"/>
      <c r="V23" s="28">
        <f>COUNTIFS(DataRegularSeason20242025!$E$2:$E$1315,U$1,DataRegularSeason20242025!$D$2:$D$1315,$A23,DataRegularSeason20242025!$N$2:$N$1315,1)</f>
        <v>1</v>
      </c>
      <c r="W23" s="35"/>
      <c r="X23" s="36"/>
      <c r="Y23" s="35"/>
      <c r="Z23" s="28">
        <f>COUNTIFS(DataRegularSeason20242025!$E$2:$E$1315,Y$1,DataRegularSeason20242025!$D$2:$D$1315,$A23,DataRegularSeason20242025!$N$2:$N$1315,1)</f>
        <v>0</v>
      </c>
      <c r="AA23" s="35"/>
      <c r="AB23" s="28">
        <f>COUNTIFS(DataRegularSeason20242025!$E$2:$E$1315,AA$1,DataRegularSeason20242025!$D$2:$D$1315,$A23,DataRegularSeason20242025!$N$2:$N$1315,1)</f>
        <v>0</v>
      </c>
      <c r="AC23" s="35"/>
      <c r="AD23" s="28">
        <f>COUNTIFS(DataRegularSeason20242025!$E$2:$E$1315,AC$1,DataRegularSeason20242025!$D$2:$D$1315,$A23,DataRegularSeason20242025!$N$2:$N$1315,1)</f>
        <v>1</v>
      </c>
      <c r="AE23" s="35"/>
      <c r="AF23" s="28">
        <f>COUNTIFS(DataRegularSeason20242025!$E$2:$E$1315,AE$1,DataRegularSeason20242025!$D$2:$D$1315,$A23,DataRegularSeason20242025!$N$2:$N$1315,1)</f>
        <v>0</v>
      </c>
      <c r="AG23" s="35"/>
      <c r="AH23" s="46">
        <f>COUNTIFS(DataRegularSeason20242025!$E$2:$E$1315,AG$1,DataRegularSeason20242025!$D$2:$D$1315,$A23,DataRegularSeason20242025!$N$2:$N$1315,1)</f>
        <v>1</v>
      </c>
      <c r="AI23" s="35"/>
      <c r="AJ23" s="28">
        <f>COUNTIFS(DataRegularSeason20242025!$E$2:$E$1315,AI$1,DataRegularSeason20242025!$D$2:$D$1315,$A23,DataRegularSeason20242025!$N$2:$N$1315,1)</f>
        <v>0</v>
      </c>
      <c r="AK23" s="35"/>
      <c r="AL23" s="28">
        <f>COUNTIFS(DataRegularSeason20242025!$E$2:$E$1315,AK$1,DataRegularSeason20242025!$D$2:$D$1315,$A23,DataRegularSeason20242025!$N$2:$N$1315,1)</f>
        <v>0</v>
      </c>
      <c r="AM23" s="35"/>
      <c r="AN23" s="28">
        <f>COUNTIFS(DataRegularSeason20242025!$E$2:$E$1315,AM$1,DataRegularSeason20242025!$D$2:$D$1315,$A23,DataRegularSeason20242025!$N$2:$N$1315,1)</f>
        <v>0</v>
      </c>
      <c r="AO23" s="35"/>
      <c r="AP23" s="28">
        <f>COUNTIFS(DataRegularSeason20242025!$E$2:$E$1315,AO$1,DataRegularSeason20242025!$D$2:$D$1315,$A23,DataRegularSeason20242025!$N$2:$N$1315,1)</f>
        <v>0</v>
      </c>
      <c r="AQ23" s="35"/>
      <c r="AR23" s="28">
        <f>COUNTIFS(DataRegularSeason20242025!$E$2:$E$1315,AQ$1,DataRegularSeason20242025!$D$2:$D$1315,$A23,DataRegularSeason20242025!$N$2:$N$1315,1)</f>
        <v>0</v>
      </c>
      <c r="AS23" s="35"/>
      <c r="AT23" s="28">
        <f>COUNTIFS(DataRegularSeason20242025!$E$2:$E$1315,AS$1,DataRegularSeason20242025!$D$2:$D$1315,$A23,DataRegularSeason20242025!$N$2:$N$1315,1)</f>
        <v>0</v>
      </c>
      <c r="AU23" s="35"/>
      <c r="AV23" s="28">
        <f>COUNTIFS(DataRegularSeason20242025!$E$2:$E$1315,AU$1,DataRegularSeason20242025!$D$2:$D$1315,$A23,DataRegularSeason20242025!$N$2:$N$1315,1)</f>
        <v>0</v>
      </c>
      <c r="AW23" s="35"/>
      <c r="AX23" s="46">
        <f>COUNTIFS(DataRegularSeason20242025!$E$2:$E$1315,AW$1,DataRegularSeason20242025!$D$2:$D$1315,$A23,DataRegularSeason20242025!$N$2:$N$1315,1)</f>
        <v>0</v>
      </c>
      <c r="AY23" s="35"/>
      <c r="AZ23" s="28">
        <f>COUNTIFS(DataRegularSeason20242025!$E$2:$E$1315,AY$1,DataRegularSeason20242025!$D$2:$D$1315,$A23,DataRegularSeason20242025!$N$2:$N$1315,1)</f>
        <v>0</v>
      </c>
      <c r="BA23" s="35"/>
      <c r="BB23" s="28">
        <f>COUNTIFS(DataRegularSeason20242025!$E$2:$E$1315,BA$1,DataRegularSeason20242025!$D$2:$D$1315,$A23,DataRegularSeason20242025!$N$2:$N$1315,1)</f>
        <v>0</v>
      </c>
      <c r="BC23" s="35"/>
      <c r="BD23" s="28">
        <f>COUNTIFS(DataRegularSeason20242025!$E$2:$E$1315,BC$1,DataRegularSeason20242025!$D$2:$D$1315,$A23,DataRegularSeason20242025!$N$2:$N$1315,1)</f>
        <v>0</v>
      </c>
      <c r="BE23" s="35"/>
      <c r="BF23" s="28">
        <f>COUNTIFS(DataRegularSeason20242025!$E$2:$E$1315,BE$1,DataRegularSeason20242025!$D$2:$D$1315,$A23,DataRegularSeason20242025!$N$2:$N$1315,1)</f>
        <v>0</v>
      </c>
      <c r="BG23" s="35"/>
      <c r="BH23" s="28">
        <f>COUNTIFS(DataRegularSeason20242025!$E$2:$E$1315,BG$1,DataRegularSeason20242025!$D$2:$D$1315,$A23,DataRegularSeason20242025!$N$2:$N$1315,1)</f>
        <v>0</v>
      </c>
      <c r="BI23" s="35"/>
      <c r="BJ23" s="28">
        <f>COUNTIFS(DataRegularSeason20242025!$E$2:$E$1315,BI$1,DataRegularSeason20242025!$D$2:$D$1315,$A23,DataRegularSeason20242025!$N$2:$N$1315,1)</f>
        <v>0</v>
      </c>
      <c r="BK23" s="35"/>
      <c r="BL23" s="28">
        <f>COUNTIFS(DataRegularSeason20242025!$E$2:$E$1315,BK$1,DataRegularSeason20242025!$D$2:$D$1315,$A23,DataRegularSeason20242025!$N$2:$N$1315,1)</f>
        <v>0</v>
      </c>
      <c r="BM23" s="35"/>
      <c r="BN23" s="28">
        <f>COUNTIFS(DataRegularSeason20242025!$E$2:$E$1315,BM$1,DataRegularSeason20242025!$D$2:$D$1315,$A23,DataRegularSeason20242025!$N$2:$N$1315,1)</f>
        <v>0</v>
      </c>
      <c r="BO23" s="30">
        <f t="shared" si="1"/>
        <v>3</v>
      </c>
      <c r="BP23" s="165">
        <f t="shared" ref="BP23" si="29">BO23+BO24</f>
        <v>6</v>
      </c>
      <c r="BQ23" s="166">
        <f t="shared" ref="BQ23" si="30">82-BP23</f>
        <v>76</v>
      </c>
      <c r="BR23" s="173">
        <f t="shared" ref="BR23" si="31">BP23/(BP23+BQ23)</f>
        <v>7.3170731707317069E-2</v>
      </c>
    </row>
    <row r="24" spans="1:70" ht="9.9499999999999993" customHeight="1" x14ac:dyDescent="0.25">
      <c r="A24" s="167"/>
      <c r="B24" s="32" t="s">
        <v>73</v>
      </c>
      <c r="C24" s="38">
        <f>COUNTIFS(DataRegularSeason20242025!$D$2:$D$1315,C$1,DataRegularSeason20242025!$E$2:$E$1315,$A23,DataRegularSeason20242025!$N$2:$N$1315,1)</f>
        <v>0</v>
      </c>
      <c r="D24" s="39"/>
      <c r="E24" s="38">
        <f>COUNTIFS(DataRegularSeason20242025!$D$2:$D$1315,E$1,DataRegularSeason20242025!$E$2:$E$1315,$A23,DataRegularSeason20242025!$N$2:$N$1315,1)</f>
        <v>0</v>
      </c>
      <c r="F24" s="39"/>
      <c r="G24" s="38">
        <f>COUNTIFS(DataRegularSeason20242025!$D$2:$D$1315,G$1,DataRegularSeason20242025!$E$2:$E$1315,$A23,DataRegularSeason20242025!$N$2:$N$1315,1)</f>
        <v>0</v>
      </c>
      <c r="H24" s="39"/>
      <c r="I24" s="38">
        <f>COUNTIFS(DataRegularSeason20242025!$D$2:$D$1315,I$1,DataRegularSeason20242025!$E$2:$E$1315,$A23,DataRegularSeason20242025!$N$2:$N$1315,1)</f>
        <v>0</v>
      </c>
      <c r="J24" s="39"/>
      <c r="K24" s="38">
        <f>COUNTIFS(DataRegularSeason20242025!$D$2:$D$1315,K$1,DataRegularSeason20242025!$E$2:$E$1315,$A23,DataRegularSeason20242025!$N$2:$N$1315,1)</f>
        <v>0</v>
      </c>
      <c r="L24" s="39"/>
      <c r="M24" s="38">
        <f>COUNTIFS(DataRegularSeason20242025!$D$2:$D$1315,M$1,DataRegularSeason20242025!$E$2:$E$1315,$A23,DataRegularSeason20242025!$N$2:$N$1315,1)</f>
        <v>0</v>
      </c>
      <c r="N24" s="39"/>
      <c r="O24" s="38">
        <f>COUNTIFS(DataRegularSeason20242025!$D$2:$D$1315,O$1,DataRegularSeason20242025!$E$2:$E$1315,$A23,DataRegularSeason20242025!$N$2:$N$1315,1)</f>
        <v>1</v>
      </c>
      <c r="P24" s="39"/>
      <c r="Q24" s="38">
        <f>COUNTIFS(DataRegularSeason20242025!$D$2:$D$1315,Q$1,DataRegularSeason20242025!$E$2:$E$1315,$A23,DataRegularSeason20242025!$N$2:$N$1315,1)</f>
        <v>0</v>
      </c>
      <c r="R24" s="47"/>
      <c r="S24" s="38">
        <f>COUNTIFS(DataRegularSeason20242025!$D$2:$D$1315,S$1,DataRegularSeason20242025!$E$2:$E$1315,$A23,DataRegularSeason20242025!$N$2:$N$1315,1)</f>
        <v>0</v>
      </c>
      <c r="T24" s="39"/>
      <c r="U24" s="38">
        <f>COUNTIFS(DataRegularSeason20242025!$D$2:$D$1315,U$1,DataRegularSeason20242025!$E$2:$E$1315,$A23,DataRegularSeason20242025!$N$2:$N$1315,1)</f>
        <v>0</v>
      </c>
      <c r="V24" s="39"/>
      <c r="W24" s="38"/>
      <c r="X24" s="39"/>
      <c r="Y24" s="38">
        <f>COUNTIFS(DataRegularSeason20242025!$D$2:$D$1315,Y$1,DataRegularSeason20242025!$E$2:$E$1315,$A23,DataRegularSeason20242025!$N$2:$N$1315,1)</f>
        <v>1</v>
      </c>
      <c r="Z24" s="39"/>
      <c r="AA24" s="38">
        <f>COUNTIFS(DataRegularSeason20242025!$D$2:$D$1315,AA$1,DataRegularSeason20242025!$E$2:$E$1315,$A23,DataRegularSeason20242025!$N$2:$N$1315,1)</f>
        <v>0</v>
      </c>
      <c r="AB24" s="39"/>
      <c r="AC24" s="38">
        <f>COUNTIFS(DataRegularSeason20242025!$D$2:$D$1315,AC$1,DataRegularSeason20242025!$E$2:$E$1315,$A23,DataRegularSeason20242025!$N$2:$N$1315,1)</f>
        <v>0</v>
      </c>
      <c r="AD24" s="39"/>
      <c r="AE24" s="38">
        <f>COUNTIFS(DataRegularSeason20242025!$D$2:$D$1315,AE$1,DataRegularSeason20242025!$E$2:$E$1315,$A23,DataRegularSeason20242025!$N$2:$N$1315,1)</f>
        <v>0</v>
      </c>
      <c r="AF24" s="39"/>
      <c r="AG24" s="38">
        <f>COUNTIFS(DataRegularSeason20242025!$D$2:$D$1315,AG$1,DataRegularSeason20242025!$E$2:$E$1315,$A23,DataRegularSeason20242025!$N$2:$N$1315,1)</f>
        <v>0</v>
      </c>
      <c r="AH24" s="47"/>
      <c r="AI24" s="38">
        <f>COUNTIFS(DataRegularSeason20242025!$D$2:$D$1315,AI$1,DataRegularSeason20242025!$E$2:$E$1315,$A23,DataRegularSeason20242025!$N$2:$N$1315,1)</f>
        <v>0</v>
      </c>
      <c r="AJ24" s="39"/>
      <c r="AK24" s="38">
        <f>COUNTIFS(DataRegularSeason20242025!$D$2:$D$1315,AK$1,DataRegularSeason20242025!$E$2:$E$1315,$A23,DataRegularSeason20242025!$N$2:$N$1315,1)</f>
        <v>1</v>
      </c>
      <c r="AL24" s="39"/>
      <c r="AM24" s="38">
        <f>COUNTIFS(DataRegularSeason20242025!$D$2:$D$1315,AM$1,DataRegularSeason20242025!$E$2:$E$1315,$A23,DataRegularSeason20242025!$N$2:$N$1315,1)</f>
        <v>0</v>
      </c>
      <c r="AN24" s="39"/>
      <c r="AO24" s="38">
        <f>COUNTIFS(DataRegularSeason20242025!$D$2:$D$1315,AO$1,DataRegularSeason20242025!$E$2:$E$1315,$A23,DataRegularSeason20242025!$N$2:$N$1315,1)</f>
        <v>0</v>
      </c>
      <c r="AP24" s="39"/>
      <c r="AQ24" s="38">
        <f>COUNTIFS(DataRegularSeason20242025!$D$2:$D$1315,AQ$1,DataRegularSeason20242025!$E$2:$E$1315,$A23,DataRegularSeason20242025!$N$2:$N$1315,1)</f>
        <v>0</v>
      </c>
      <c r="AR24" s="39"/>
      <c r="AS24" s="38">
        <f>COUNTIFS(DataRegularSeason20242025!$D$2:$D$1315,AS$1,DataRegularSeason20242025!$E$2:$E$1315,$A23,DataRegularSeason20242025!$N$2:$N$1315,1)</f>
        <v>0</v>
      </c>
      <c r="AT24" s="39"/>
      <c r="AU24" s="38">
        <f>COUNTIFS(DataRegularSeason20242025!$D$2:$D$1315,AU$1,DataRegularSeason20242025!$E$2:$E$1315,$A23,DataRegularSeason20242025!$N$2:$N$1315,1)</f>
        <v>0</v>
      </c>
      <c r="AV24" s="39"/>
      <c r="AW24" s="38">
        <f>COUNTIFS(DataRegularSeason20242025!$D$2:$D$1315,AW$1,DataRegularSeason20242025!$E$2:$E$1315,$A23,DataRegularSeason20242025!$N$2:$N$1315,1)</f>
        <v>0</v>
      </c>
      <c r="AX24" s="47"/>
      <c r="AY24" s="38">
        <f>COUNTIFS(DataRegularSeason20242025!$D$2:$D$1315,AY$1,DataRegularSeason20242025!$E$2:$E$1315,$A23,DataRegularSeason20242025!$N$2:$N$1315,1)</f>
        <v>0</v>
      </c>
      <c r="AZ24" s="39"/>
      <c r="BA24" s="38">
        <f>COUNTIFS(DataRegularSeason20242025!$D$2:$D$1315,BA$1,DataRegularSeason20242025!$E$2:$E$1315,$A23,DataRegularSeason20242025!$N$2:$N$1315,1)</f>
        <v>0</v>
      </c>
      <c r="BB24" s="39"/>
      <c r="BC24" s="38">
        <f>COUNTIFS(DataRegularSeason20242025!$D$2:$D$1315,BC$1,DataRegularSeason20242025!$E$2:$E$1315,$A23,DataRegularSeason20242025!$N$2:$N$1315,1)</f>
        <v>0</v>
      </c>
      <c r="BD24" s="39"/>
      <c r="BE24" s="38">
        <f>COUNTIFS(DataRegularSeason20242025!$D$2:$D$1315,BE$1,DataRegularSeason20242025!$E$2:$E$1315,$A23,DataRegularSeason20242025!$N$2:$N$1315,1)</f>
        <v>0</v>
      </c>
      <c r="BF24" s="39"/>
      <c r="BG24" s="38">
        <f>COUNTIFS(DataRegularSeason20242025!$D$2:$D$1315,BG$1,DataRegularSeason20242025!$E$2:$E$1315,$A23,DataRegularSeason20242025!$N$2:$N$1315,1)</f>
        <v>0</v>
      </c>
      <c r="BH24" s="39"/>
      <c r="BI24" s="38">
        <f>COUNTIFS(DataRegularSeason20242025!$D$2:$D$1315,BI$1,DataRegularSeason20242025!$E$2:$E$1315,$A23,DataRegularSeason20242025!$N$2:$N$1315,1)</f>
        <v>0</v>
      </c>
      <c r="BJ24" s="39"/>
      <c r="BK24" s="38">
        <f>COUNTIFS(DataRegularSeason20242025!$D$2:$D$1315,BK$1,DataRegularSeason20242025!$E$2:$E$1315,$A23,DataRegularSeason20242025!$N$2:$N$1315,1)</f>
        <v>0</v>
      </c>
      <c r="BL24" s="39"/>
      <c r="BM24" s="38">
        <f>COUNTIFS(DataRegularSeason20242025!$D$2:$D$1315,BM$1,DataRegularSeason20242025!$E$2:$E$1315,$A23,DataRegularSeason20242025!$N$2:$N$1315,1)</f>
        <v>0</v>
      </c>
      <c r="BN24" s="39"/>
      <c r="BO24" s="34">
        <f t="shared" si="1"/>
        <v>3</v>
      </c>
      <c r="BP24" s="165"/>
      <c r="BQ24" s="166"/>
      <c r="BR24" s="173"/>
    </row>
    <row r="25" spans="1:70" ht="9.9499999999999993" customHeight="1" x14ac:dyDescent="0.25">
      <c r="A25" s="172" t="s">
        <v>36</v>
      </c>
      <c r="B25" s="28" t="s">
        <v>74</v>
      </c>
      <c r="C25" s="35"/>
      <c r="D25" s="28">
        <f>COUNTIFS(DataRegularSeason20242025!$E$2:$E$1315,C$1,DataRegularSeason20242025!$D$2:$D$1315,$A25,DataRegularSeason20242025!$N$2:$N$1315,1)</f>
        <v>0</v>
      </c>
      <c r="E25" s="35"/>
      <c r="F25" s="28">
        <f>COUNTIFS(DataRegularSeason20242025!$E$2:$E$1315,E$1,DataRegularSeason20242025!$D$2:$D$1315,$A25,DataRegularSeason20242025!$N$2:$N$1315,1)</f>
        <v>0</v>
      </c>
      <c r="G25" s="35"/>
      <c r="H25" s="28">
        <f>COUNTIFS(DataRegularSeason20242025!$E$2:$E$1315,G$1,DataRegularSeason20242025!$D$2:$D$1315,$A25,DataRegularSeason20242025!$N$2:$N$1315,1)</f>
        <v>0</v>
      </c>
      <c r="I25" s="35"/>
      <c r="J25" s="28">
        <f>COUNTIFS(DataRegularSeason20242025!$E$2:$E$1315,I$1,DataRegularSeason20242025!$D$2:$D$1315,$A25,DataRegularSeason20242025!$N$2:$N$1315,1)</f>
        <v>0</v>
      </c>
      <c r="K25" s="35"/>
      <c r="L25" s="28">
        <f>COUNTIFS(DataRegularSeason20242025!$E$2:$E$1315,K$1,DataRegularSeason20242025!$D$2:$D$1315,$A25,DataRegularSeason20242025!$N$2:$N$1315,1)</f>
        <v>0</v>
      </c>
      <c r="M25" s="35"/>
      <c r="N25" s="28">
        <f>COUNTIFS(DataRegularSeason20242025!$E$2:$E$1315,M$1,DataRegularSeason20242025!$D$2:$D$1315,$A25,DataRegularSeason20242025!$N$2:$N$1315,1)</f>
        <v>0</v>
      </c>
      <c r="O25" s="35"/>
      <c r="P25" s="28">
        <f>COUNTIFS(DataRegularSeason20242025!$E$2:$E$1315,O$1,DataRegularSeason20242025!$D$2:$D$1315,$A25,DataRegularSeason20242025!$N$2:$N$1315,1)</f>
        <v>0</v>
      </c>
      <c r="Q25" s="35"/>
      <c r="R25" s="46">
        <f>COUNTIFS(DataRegularSeason20242025!$E$2:$E$1315,Q$1,DataRegularSeason20242025!$D$2:$D$1315,$A25,DataRegularSeason20242025!$N$2:$N$1315,1)</f>
        <v>0</v>
      </c>
      <c r="S25" s="35"/>
      <c r="T25" s="28">
        <f>COUNTIFS(DataRegularSeason20242025!$E$2:$E$1315,S$1,DataRegularSeason20242025!$D$2:$D$1315,$A25,DataRegularSeason20242025!$N$2:$N$1315,1)</f>
        <v>0</v>
      </c>
      <c r="U25" s="35"/>
      <c r="V25" s="28">
        <f>COUNTIFS(DataRegularSeason20242025!$E$2:$E$1315,U$1,DataRegularSeason20242025!$D$2:$D$1315,$A25,DataRegularSeason20242025!$N$2:$N$1315,1)</f>
        <v>0</v>
      </c>
      <c r="W25" s="35"/>
      <c r="X25" s="28">
        <f>COUNTIFS(DataRegularSeason20242025!$E$2:$E$1315,W$1,DataRegularSeason20242025!$D$2:$D$1315,$A25,DataRegularSeason20242025!$N$2:$N$1315,1)</f>
        <v>1</v>
      </c>
      <c r="Y25" s="35"/>
      <c r="Z25" s="36"/>
      <c r="AA25" s="35"/>
      <c r="AB25" s="28">
        <f>COUNTIFS(DataRegularSeason20242025!$E$2:$E$1315,AA$1,DataRegularSeason20242025!$D$2:$D$1315,$A25,DataRegularSeason20242025!$N$2:$N$1315,1)</f>
        <v>0</v>
      </c>
      <c r="AC25" s="35"/>
      <c r="AD25" s="28">
        <f>COUNTIFS(DataRegularSeason20242025!$E$2:$E$1315,AC$1,DataRegularSeason20242025!$D$2:$D$1315,$A25,DataRegularSeason20242025!$N$2:$N$1315,1)</f>
        <v>1</v>
      </c>
      <c r="AE25" s="35"/>
      <c r="AF25" s="28">
        <f>COUNTIFS(DataRegularSeason20242025!$E$2:$E$1315,AE$1,DataRegularSeason20242025!$D$2:$D$1315,$A25,DataRegularSeason20242025!$N$2:$N$1315,1)</f>
        <v>0</v>
      </c>
      <c r="AG25" s="35"/>
      <c r="AH25" s="46">
        <f>COUNTIFS(DataRegularSeason20242025!$E$2:$E$1315,AG$1,DataRegularSeason20242025!$D$2:$D$1315,$A25,DataRegularSeason20242025!$N$2:$N$1315,1)</f>
        <v>0</v>
      </c>
      <c r="AI25" s="35"/>
      <c r="AJ25" s="28">
        <f>COUNTIFS(DataRegularSeason20242025!$E$2:$E$1315,AI$1,DataRegularSeason20242025!$D$2:$D$1315,$A25,DataRegularSeason20242025!$N$2:$N$1315,1)</f>
        <v>0</v>
      </c>
      <c r="AK25" s="35"/>
      <c r="AL25" s="28">
        <f>COUNTIFS(DataRegularSeason20242025!$E$2:$E$1315,AK$1,DataRegularSeason20242025!$D$2:$D$1315,$A25,DataRegularSeason20242025!$N$2:$N$1315,1)</f>
        <v>0</v>
      </c>
      <c r="AM25" s="35"/>
      <c r="AN25" s="28">
        <f>COUNTIFS(DataRegularSeason20242025!$E$2:$E$1315,AM$1,DataRegularSeason20242025!$D$2:$D$1315,$A25,DataRegularSeason20242025!$N$2:$N$1315,1)</f>
        <v>0</v>
      </c>
      <c r="AO25" s="35"/>
      <c r="AP25" s="28">
        <f>COUNTIFS(DataRegularSeason20242025!$E$2:$E$1315,AO$1,DataRegularSeason20242025!$D$2:$D$1315,$A25,DataRegularSeason20242025!$N$2:$N$1315,1)</f>
        <v>0</v>
      </c>
      <c r="AQ25" s="35"/>
      <c r="AR25" s="28">
        <f>COUNTIFS(DataRegularSeason20242025!$E$2:$E$1315,AQ$1,DataRegularSeason20242025!$D$2:$D$1315,$A25,DataRegularSeason20242025!$N$2:$N$1315,1)</f>
        <v>1</v>
      </c>
      <c r="AS25" s="35"/>
      <c r="AT25" s="28">
        <f>COUNTIFS(DataRegularSeason20242025!$E$2:$E$1315,AS$1,DataRegularSeason20242025!$D$2:$D$1315,$A25,DataRegularSeason20242025!$N$2:$N$1315,1)</f>
        <v>1</v>
      </c>
      <c r="AU25" s="35"/>
      <c r="AV25" s="28">
        <f>COUNTIFS(DataRegularSeason20242025!$E$2:$E$1315,AU$1,DataRegularSeason20242025!$D$2:$D$1315,$A25,DataRegularSeason20242025!$N$2:$N$1315,1)</f>
        <v>0</v>
      </c>
      <c r="AW25" s="35"/>
      <c r="AX25" s="46">
        <f>COUNTIFS(DataRegularSeason20242025!$E$2:$E$1315,AW$1,DataRegularSeason20242025!$D$2:$D$1315,$A25,DataRegularSeason20242025!$N$2:$N$1315,1)</f>
        <v>1</v>
      </c>
      <c r="AY25" s="35"/>
      <c r="AZ25" s="28">
        <f>COUNTIFS(DataRegularSeason20242025!$E$2:$E$1315,AY$1,DataRegularSeason20242025!$D$2:$D$1315,$A25,DataRegularSeason20242025!$N$2:$N$1315,1)</f>
        <v>0</v>
      </c>
      <c r="BA25" s="35"/>
      <c r="BB25" s="28">
        <f>COUNTIFS(DataRegularSeason20242025!$E$2:$E$1315,BA$1,DataRegularSeason20242025!$D$2:$D$1315,$A25,DataRegularSeason20242025!$N$2:$N$1315,1)</f>
        <v>0</v>
      </c>
      <c r="BC25" s="35"/>
      <c r="BD25" s="28">
        <f>COUNTIFS(DataRegularSeason20242025!$E$2:$E$1315,BC$1,DataRegularSeason20242025!$D$2:$D$1315,$A25,DataRegularSeason20242025!$N$2:$N$1315,1)</f>
        <v>0</v>
      </c>
      <c r="BE25" s="35"/>
      <c r="BF25" s="28">
        <f>COUNTIFS(DataRegularSeason20242025!$E$2:$E$1315,BE$1,DataRegularSeason20242025!$D$2:$D$1315,$A25,DataRegularSeason20242025!$N$2:$N$1315,1)</f>
        <v>0</v>
      </c>
      <c r="BG25" s="35"/>
      <c r="BH25" s="28">
        <f>COUNTIFS(DataRegularSeason20242025!$E$2:$E$1315,BG$1,DataRegularSeason20242025!$D$2:$D$1315,$A25,DataRegularSeason20242025!$N$2:$N$1315,1)</f>
        <v>0</v>
      </c>
      <c r="BI25" s="35"/>
      <c r="BJ25" s="28">
        <f>COUNTIFS(DataRegularSeason20242025!$E$2:$E$1315,BI$1,DataRegularSeason20242025!$D$2:$D$1315,$A25,DataRegularSeason20242025!$N$2:$N$1315,1)</f>
        <v>0</v>
      </c>
      <c r="BK25" s="35"/>
      <c r="BL25" s="28">
        <f>COUNTIFS(DataRegularSeason20242025!$E$2:$E$1315,BK$1,DataRegularSeason20242025!$D$2:$D$1315,$A25,DataRegularSeason20242025!$N$2:$N$1315,1)</f>
        <v>0</v>
      </c>
      <c r="BM25" s="35"/>
      <c r="BN25" s="28">
        <f>COUNTIFS(DataRegularSeason20242025!$E$2:$E$1315,BM$1,DataRegularSeason20242025!$D$2:$D$1315,$A25,DataRegularSeason20242025!$N$2:$N$1315,1)</f>
        <v>0</v>
      </c>
      <c r="BO25" s="30">
        <f t="shared" si="1"/>
        <v>5</v>
      </c>
      <c r="BP25" s="165">
        <f t="shared" ref="BP25" si="32">BO25+BO26</f>
        <v>7</v>
      </c>
      <c r="BQ25" s="166">
        <f t="shared" ref="BQ25" si="33">82-BP25</f>
        <v>75</v>
      </c>
      <c r="BR25" s="173">
        <f t="shared" ref="BR25" si="34">BP25/(BP25+BQ25)</f>
        <v>8.5365853658536592E-2</v>
      </c>
    </row>
    <row r="26" spans="1:70" ht="9.9499999999999993" customHeight="1" x14ac:dyDescent="0.25">
      <c r="A26" s="167"/>
      <c r="B26" s="32" t="s">
        <v>73</v>
      </c>
      <c r="C26" s="38">
        <f>COUNTIFS(DataRegularSeason20242025!$D$2:$D$1315,C$1,DataRegularSeason20242025!$E$2:$E$1315,$A25,DataRegularSeason20242025!$N$2:$N$1315,1)</f>
        <v>0</v>
      </c>
      <c r="D26" s="39"/>
      <c r="E26" s="38">
        <f>COUNTIFS(DataRegularSeason20242025!$D$2:$D$1315,E$1,DataRegularSeason20242025!$E$2:$E$1315,$A25,DataRegularSeason20242025!$N$2:$N$1315,1)</f>
        <v>0</v>
      </c>
      <c r="F26" s="39"/>
      <c r="G26" s="38">
        <f>COUNTIFS(DataRegularSeason20242025!$D$2:$D$1315,G$1,DataRegularSeason20242025!$E$2:$E$1315,$A25,DataRegularSeason20242025!$N$2:$N$1315,1)</f>
        <v>0</v>
      </c>
      <c r="H26" s="39"/>
      <c r="I26" s="38">
        <f>COUNTIFS(DataRegularSeason20242025!$D$2:$D$1315,I$1,DataRegularSeason20242025!$E$2:$E$1315,$A25,DataRegularSeason20242025!$N$2:$N$1315,1)</f>
        <v>1</v>
      </c>
      <c r="J26" s="39"/>
      <c r="K26" s="38">
        <f>COUNTIFS(DataRegularSeason20242025!$D$2:$D$1315,K$1,DataRegularSeason20242025!$E$2:$E$1315,$A25,DataRegularSeason20242025!$N$2:$N$1315,1)</f>
        <v>0</v>
      </c>
      <c r="L26" s="39"/>
      <c r="M26" s="38">
        <f>COUNTIFS(DataRegularSeason20242025!$D$2:$D$1315,M$1,DataRegularSeason20242025!$E$2:$E$1315,$A25,DataRegularSeason20242025!$N$2:$N$1315,1)</f>
        <v>0</v>
      </c>
      <c r="N26" s="39"/>
      <c r="O26" s="38">
        <f>COUNTIFS(DataRegularSeason20242025!$D$2:$D$1315,O$1,DataRegularSeason20242025!$E$2:$E$1315,$A25,DataRegularSeason20242025!$N$2:$N$1315,1)</f>
        <v>0</v>
      </c>
      <c r="P26" s="39"/>
      <c r="Q26" s="38">
        <f>COUNTIFS(DataRegularSeason20242025!$D$2:$D$1315,Q$1,DataRegularSeason20242025!$E$2:$E$1315,$A25,DataRegularSeason20242025!$N$2:$N$1315,1)</f>
        <v>0</v>
      </c>
      <c r="R26" s="47"/>
      <c r="S26" s="38">
        <f>COUNTIFS(DataRegularSeason20242025!$D$2:$D$1315,S$1,DataRegularSeason20242025!$E$2:$E$1315,$A25,DataRegularSeason20242025!$N$2:$N$1315,1)</f>
        <v>0</v>
      </c>
      <c r="T26" s="39"/>
      <c r="U26" s="38">
        <f>COUNTIFS(DataRegularSeason20242025!$D$2:$D$1315,U$1,DataRegularSeason20242025!$E$2:$E$1315,$A25,DataRegularSeason20242025!$N$2:$N$1315,1)</f>
        <v>0</v>
      </c>
      <c r="V26" s="39"/>
      <c r="W26" s="38">
        <f>COUNTIFS(DataRegularSeason20242025!$D$2:$D$1315,W$1,DataRegularSeason20242025!$E$2:$E$1315,$A25,DataRegularSeason20242025!$N$2:$N$1315,1)</f>
        <v>0</v>
      </c>
      <c r="X26" s="39"/>
      <c r="Y26" s="38"/>
      <c r="Z26" s="39"/>
      <c r="AA26" s="38">
        <f>COUNTIFS(DataRegularSeason20242025!$D$2:$D$1315,AA$1,DataRegularSeason20242025!$E$2:$E$1315,$A25,DataRegularSeason20242025!$N$2:$N$1315,1)</f>
        <v>0</v>
      </c>
      <c r="AB26" s="39"/>
      <c r="AC26" s="38">
        <f>COUNTIFS(DataRegularSeason20242025!$D$2:$D$1315,AC$1,DataRegularSeason20242025!$E$2:$E$1315,$A25,DataRegularSeason20242025!$N$2:$N$1315,1)</f>
        <v>0</v>
      </c>
      <c r="AD26" s="39"/>
      <c r="AE26" s="38">
        <f>COUNTIFS(DataRegularSeason20242025!$D$2:$D$1315,AE$1,DataRegularSeason20242025!$E$2:$E$1315,$A25,DataRegularSeason20242025!$N$2:$N$1315,1)</f>
        <v>0</v>
      </c>
      <c r="AF26" s="39"/>
      <c r="AG26" s="38">
        <f>COUNTIFS(DataRegularSeason20242025!$D$2:$D$1315,AG$1,DataRegularSeason20242025!$E$2:$E$1315,$A25,DataRegularSeason20242025!$N$2:$N$1315,1)</f>
        <v>0</v>
      </c>
      <c r="AH26" s="47"/>
      <c r="AI26" s="38">
        <f>COUNTIFS(DataRegularSeason20242025!$D$2:$D$1315,AI$1,DataRegularSeason20242025!$E$2:$E$1315,$A25,DataRegularSeason20242025!$N$2:$N$1315,1)</f>
        <v>0</v>
      </c>
      <c r="AJ26" s="39"/>
      <c r="AK26" s="38">
        <f>COUNTIFS(DataRegularSeason20242025!$D$2:$D$1315,AK$1,DataRegularSeason20242025!$E$2:$E$1315,$A25,DataRegularSeason20242025!$N$2:$N$1315,1)</f>
        <v>1</v>
      </c>
      <c r="AL26" s="39"/>
      <c r="AM26" s="38">
        <f>COUNTIFS(DataRegularSeason20242025!$D$2:$D$1315,AM$1,DataRegularSeason20242025!$E$2:$E$1315,$A25,DataRegularSeason20242025!$N$2:$N$1315,1)</f>
        <v>0</v>
      </c>
      <c r="AN26" s="39"/>
      <c r="AO26" s="38">
        <f>COUNTIFS(DataRegularSeason20242025!$D$2:$D$1315,AO$1,DataRegularSeason20242025!$E$2:$E$1315,$A25,DataRegularSeason20242025!$N$2:$N$1315,1)</f>
        <v>0</v>
      </c>
      <c r="AP26" s="39"/>
      <c r="AQ26" s="38">
        <f>COUNTIFS(DataRegularSeason20242025!$D$2:$D$1315,AQ$1,DataRegularSeason20242025!$E$2:$E$1315,$A25,DataRegularSeason20242025!$N$2:$N$1315,1)</f>
        <v>0</v>
      </c>
      <c r="AR26" s="39"/>
      <c r="AS26" s="38">
        <f>COUNTIFS(DataRegularSeason20242025!$D$2:$D$1315,AS$1,DataRegularSeason20242025!$E$2:$E$1315,$A25,DataRegularSeason20242025!$N$2:$N$1315,1)</f>
        <v>0</v>
      </c>
      <c r="AT26" s="39"/>
      <c r="AU26" s="38">
        <f>COUNTIFS(DataRegularSeason20242025!$D$2:$D$1315,AU$1,DataRegularSeason20242025!$E$2:$E$1315,$A25,DataRegularSeason20242025!$N$2:$N$1315,1)</f>
        <v>0</v>
      </c>
      <c r="AV26" s="39"/>
      <c r="AW26" s="38">
        <f>COUNTIFS(DataRegularSeason20242025!$D$2:$D$1315,AW$1,DataRegularSeason20242025!$E$2:$E$1315,$A25,DataRegularSeason20242025!$N$2:$N$1315,1)</f>
        <v>0</v>
      </c>
      <c r="AX26" s="47"/>
      <c r="AY26" s="38">
        <f>COUNTIFS(DataRegularSeason20242025!$D$2:$D$1315,AY$1,DataRegularSeason20242025!$E$2:$E$1315,$A25,DataRegularSeason20242025!$N$2:$N$1315,1)</f>
        <v>0</v>
      </c>
      <c r="AZ26" s="39"/>
      <c r="BA26" s="38">
        <f>COUNTIFS(DataRegularSeason20242025!$D$2:$D$1315,BA$1,DataRegularSeason20242025!$E$2:$E$1315,$A25,DataRegularSeason20242025!$N$2:$N$1315,1)</f>
        <v>0</v>
      </c>
      <c r="BB26" s="39"/>
      <c r="BC26" s="38">
        <f>COUNTIFS(DataRegularSeason20242025!$D$2:$D$1315,BC$1,DataRegularSeason20242025!$E$2:$E$1315,$A25,DataRegularSeason20242025!$N$2:$N$1315,1)</f>
        <v>0</v>
      </c>
      <c r="BD26" s="39"/>
      <c r="BE26" s="38">
        <f>COUNTIFS(DataRegularSeason20242025!$D$2:$D$1315,BE$1,DataRegularSeason20242025!$E$2:$E$1315,$A25,DataRegularSeason20242025!$N$2:$N$1315,1)</f>
        <v>0</v>
      </c>
      <c r="BF26" s="39"/>
      <c r="BG26" s="38">
        <f>COUNTIFS(DataRegularSeason20242025!$D$2:$D$1315,BG$1,DataRegularSeason20242025!$E$2:$E$1315,$A25,DataRegularSeason20242025!$N$2:$N$1315,1)</f>
        <v>0</v>
      </c>
      <c r="BH26" s="39"/>
      <c r="BI26" s="38">
        <f>COUNTIFS(DataRegularSeason20242025!$D$2:$D$1315,BI$1,DataRegularSeason20242025!$E$2:$E$1315,$A25,DataRegularSeason20242025!$N$2:$N$1315,1)</f>
        <v>0</v>
      </c>
      <c r="BJ26" s="39"/>
      <c r="BK26" s="38">
        <f>COUNTIFS(DataRegularSeason20242025!$D$2:$D$1315,BK$1,DataRegularSeason20242025!$E$2:$E$1315,$A25,DataRegularSeason20242025!$N$2:$N$1315,1)</f>
        <v>0</v>
      </c>
      <c r="BL26" s="39"/>
      <c r="BM26" s="38">
        <f>COUNTIFS(DataRegularSeason20242025!$D$2:$D$1315,BM$1,DataRegularSeason20242025!$E$2:$E$1315,$A25,DataRegularSeason20242025!$N$2:$N$1315,1)</f>
        <v>0</v>
      </c>
      <c r="BN26" s="39"/>
      <c r="BO26" s="34">
        <f t="shared" si="1"/>
        <v>2</v>
      </c>
      <c r="BP26" s="165"/>
      <c r="BQ26" s="166"/>
      <c r="BR26" s="173"/>
    </row>
    <row r="27" spans="1:70" ht="9.9499999999999993" customHeight="1" x14ac:dyDescent="0.25">
      <c r="A27" s="172" t="s">
        <v>34</v>
      </c>
      <c r="B27" s="28" t="s">
        <v>74</v>
      </c>
      <c r="C27" s="35"/>
      <c r="D27" s="28">
        <f>COUNTIFS(DataRegularSeason20242025!$E$2:$E$1315,C$1,DataRegularSeason20242025!$D$2:$D$1315,$A27,DataRegularSeason20242025!$N$2:$N$1315,1)</f>
        <v>0</v>
      </c>
      <c r="E27" s="35"/>
      <c r="F27" s="28">
        <f>COUNTIFS(DataRegularSeason20242025!$E$2:$E$1315,E$1,DataRegularSeason20242025!$D$2:$D$1315,$A27,DataRegularSeason20242025!$N$2:$N$1315,1)</f>
        <v>0</v>
      </c>
      <c r="G27" s="35"/>
      <c r="H27" s="28">
        <f>COUNTIFS(DataRegularSeason20242025!$E$2:$E$1315,G$1,DataRegularSeason20242025!$D$2:$D$1315,$A27,DataRegularSeason20242025!$N$2:$N$1315,1)</f>
        <v>0</v>
      </c>
      <c r="I27" s="35"/>
      <c r="J27" s="28">
        <f>COUNTIFS(DataRegularSeason20242025!$E$2:$E$1315,I$1,DataRegularSeason20242025!$D$2:$D$1315,$A27,DataRegularSeason20242025!$N$2:$N$1315,1)</f>
        <v>0</v>
      </c>
      <c r="K27" s="35"/>
      <c r="L27" s="28">
        <f>COUNTIFS(DataRegularSeason20242025!$E$2:$E$1315,K$1,DataRegularSeason20242025!$D$2:$D$1315,$A27,DataRegularSeason20242025!$N$2:$N$1315,1)</f>
        <v>0</v>
      </c>
      <c r="M27" s="35"/>
      <c r="N27" s="28">
        <f>COUNTIFS(DataRegularSeason20242025!$E$2:$E$1315,M$1,DataRegularSeason20242025!$D$2:$D$1315,$A27,DataRegularSeason20242025!$N$2:$N$1315,1)</f>
        <v>0</v>
      </c>
      <c r="O27" s="35"/>
      <c r="P27" s="28">
        <f>COUNTIFS(DataRegularSeason20242025!$E$2:$E$1315,O$1,DataRegularSeason20242025!$D$2:$D$1315,$A27,DataRegularSeason20242025!$N$2:$N$1315,1)</f>
        <v>0</v>
      </c>
      <c r="Q27" s="35"/>
      <c r="R27" s="46">
        <f>COUNTIFS(DataRegularSeason20242025!$E$2:$E$1315,Q$1,DataRegularSeason20242025!$D$2:$D$1315,$A27,DataRegularSeason20242025!$N$2:$N$1315,1)</f>
        <v>0</v>
      </c>
      <c r="S27" s="35"/>
      <c r="T27" s="28">
        <f>COUNTIFS(DataRegularSeason20242025!$E$2:$E$1315,S$1,DataRegularSeason20242025!$D$2:$D$1315,$A27,DataRegularSeason20242025!$N$2:$N$1315,1)</f>
        <v>0</v>
      </c>
      <c r="U27" s="35"/>
      <c r="V27" s="28">
        <f>COUNTIFS(DataRegularSeason20242025!$E$2:$E$1315,U$1,DataRegularSeason20242025!$D$2:$D$1315,$A27,DataRegularSeason20242025!$N$2:$N$1315,1)</f>
        <v>0</v>
      </c>
      <c r="W27" s="35"/>
      <c r="X27" s="28">
        <f>COUNTIFS(DataRegularSeason20242025!$E$2:$E$1315,W$1,DataRegularSeason20242025!$D$2:$D$1315,$A27,DataRegularSeason20242025!$N$2:$N$1315,1)</f>
        <v>0</v>
      </c>
      <c r="Y27" s="35"/>
      <c r="Z27" s="28">
        <f>COUNTIFS(DataRegularSeason20242025!$E$2:$E$1315,Y$1,DataRegularSeason20242025!$D$2:$D$1315,$A27,DataRegularSeason20242025!$N$2:$N$1315,1)</f>
        <v>0</v>
      </c>
      <c r="AA27" s="35"/>
      <c r="AB27" s="36"/>
      <c r="AC27" s="35"/>
      <c r="AD27" s="28">
        <f>COUNTIFS(DataRegularSeason20242025!$E$2:$E$1315,AC$1,DataRegularSeason20242025!$D$2:$D$1315,$A27,DataRegularSeason20242025!$N$2:$N$1315,1)</f>
        <v>0</v>
      </c>
      <c r="AE27" s="35"/>
      <c r="AF27" s="28">
        <f>COUNTIFS(DataRegularSeason20242025!$E$2:$E$1315,AE$1,DataRegularSeason20242025!$D$2:$D$1315,$A27,DataRegularSeason20242025!$N$2:$N$1315,1)</f>
        <v>0</v>
      </c>
      <c r="AG27" s="35"/>
      <c r="AH27" s="46">
        <f>COUNTIFS(DataRegularSeason20242025!$E$2:$E$1315,AG$1,DataRegularSeason20242025!$D$2:$D$1315,$A27,DataRegularSeason20242025!$N$2:$N$1315,1)</f>
        <v>1</v>
      </c>
      <c r="AI27" s="35"/>
      <c r="AJ27" s="28">
        <f>COUNTIFS(DataRegularSeason20242025!$E$2:$E$1315,AI$1,DataRegularSeason20242025!$D$2:$D$1315,$A27,DataRegularSeason20242025!$N$2:$N$1315,1)</f>
        <v>0</v>
      </c>
      <c r="AK27" s="35"/>
      <c r="AL27" s="28">
        <f>COUNTIFS(DataRegularSeason20242025!$E$2:$E$1315,AK$1,DataRegularSeason20242025!$D$2:$D$1315,$A27,DataRegularSeason20242025!$N$2:$N$1315,1)</f>
        <v>0</v>
      </c>
      <c r="AM27" s="35"/>
      <c r="AN27" s="28">
        <f>COUNTIFS(DataRegularSeason20242025!$E$2:$E$1315,AM$1,DataRegularSeason20242025!$D$2:$D$1315,$A27,DataRegularSeason20242025!$N$2:$N$1315,1)</f>
        <v>0</v>
      </c>
      <c r="AO27" s="35"/>
      <c r="AP27" s="28">
        <f>COUNTIFS(DataRegularSeason20242025!$E$2:$E$1315,AO$1,DataRegularSeason20242025!$D$2:$D$1315,$A27,DataRegularSeason20242025!$N$2:$N$1315,1)</f>
        <v>0</v>
      </c>
      <c r="AQ27" s="35"/>
      <c r="AR27" s="28">
        <f>COUNTIFS(DataRegularSeason20242025!$E$2:$E$1315,AQ$1,DataRegularSeason20242025!$D$2:$D$1315,$A27,DataRegularSeason20242025!$N$2:$N$1315,1)</f>
        <v>0</v>
      </c>
      <c r="AS27" s="35"/>
      <c r="AT27" s="28">
        <f>COUNTIFS(DataRegularSeason20242025!$E$2:$E$1315,AS$1,DataRegularSeason20242025!$D$2:$D$1315,$A27,DataRegularSeason20242025!$N$2:$N$1315,1)</f>
        <v>0</v>
      </c>
      <c r="AU27" s="35"/>
      <c r="AV27" s="28">
        <f>COUNTIFS(DataRegularSeason20242025!$E$2:$E$1315,AU$1,DataRegularSeason20242025!$D$2:$D$1315,$A27,DataRegularSeason20242025!$N$2:$N$1315,1)</f>
        <v>0</v>
      </c>
      <c r="AW27" s="35"/>
      <c r="AX27" s="46">
        <f>COUNTIFS(DataRegularSeason20242025!$E$2:$E$1315,AW$1,DataRegularSeason20242025!$D$2:$D$1315,$A27,DataRegularSeason20242025!$N$2:$N$1315,1)</f>
        <v>0</v>
      </c>
      <c r="AY27" s="35"/>
      <c r="AZ27" s="28">
        <f>COUNTIFS(DataRegularSeason20242025!$E$2:$E$1315,AY$1,DataRegularSeason20242025!$D$2:$D$1315,$A27,DataRegularSeason20242025!$N$2:$N$1315,1)</f>
        <v>0</v>
      </c>
      <c r="BA27" s="35"/>
      <c r="BB27" s="28">
        <f>COUNTIFS(DataRegularSeason20242025!$E$2:$E$1315,BA$1,DataRegularSeason20242025!$D$2:$D$1315,$A27,DataRegularSeason20242025!$N$2:$N$1315,1)</f>
        <v>0</v>
      </c>
      <c r="BC27" s="35"/>
      <c r="BD27" s="28">
        <f>COUNTIFS(DataRegularSeason20242025!$E$2:$E$1315,BC$1,DataRegularSeason20242025!$D$2:$D$1315,$A27,DataRegularSeason20242025!$N$2:$N$1315,1)</f>
        <v>0</v>
      </c>
      <c r="BE27" s="35"/>
      <c r="BF27" s="28">
        <f>COUNTIFS(DataRegularSeason20242025!$E$2:$E$1315,BE$1,DataRegularSeason20242025!$D$2:$D$1315,$A27,DataRegularSeason20242025!$N$2:$N$1315,1)</f>
        <v>0</v>
      </c>
      <c r="BG27" s="35"/>
      <c r="BH27" s="28">
        <f>COUNTIFS(DataRegularSeason20242025!$E$2:$E$1315,BG$1,DataRegularSeason20242025!$D$2:$D$1315,$A27,DataRegularSeason20242025!$N$2:$N$1315,1)</f>
        <v>1</v>
      </c>
      <c r="BI27" s="35"/>
      <c r="BJ27" s="28">
        <f>COUNTIFS(DataRegularSeason20242025!$E$2:$E$1315,BI$1,DataRegularSeason20242025!$D$2:$D$1315,$A27,DataRegularSeason20242025!$N$2:$N$1315,1)</f>
        <v>1</v>
      </c>
      <c r="BK27" s="35"/>
      <c r="BL27" s="28">
        <f>COUNTIFS(DataRegularSeason20242025!$E$2:$E$1315,BK$1,DataRegularSeason20242025!$D$2:$D$1315,$A27,DataRegularSeason20242025!$N$2:$N$1315,1)</f>
        <v>0</v>
      </c>
      <c r="BM27" s="35"/>
      <c r="BN27" s="28">
        <f>COUNTIFS(DataRegularSeason20242025!$E$2:$E$1315,BM$1,DataRegularSeason20242025!$D$2:$D$1315,$A27,DataRegularSeason20242025!$N$2:$N$1315,1)</f>
        <v>1</v>
      </c>
      <c r="BO27" s="30">
        <f t="shared" si="1"/>
        <v>4</v>
      </c>
      <c r="BP27" s="165">
        <f t="shared" ref="BP27" si="35">BO27+BO28</f>
        <v>7</v>
      </c>
      <c r="BQ27" s="166">
        <f t="shared" ref="BQ27" si="36">82-BP27</f>
        <v>75</v>
      </c>
      <c r="BR27" s="173">
        <f t="shared" ref="BR27" si="37">BP27/(BP27+BQ27)</f>
        <v>8.5365853658536592E-2</v>
      </c>
    </row>
    <row r="28" spans="1:70" ht="9.9499999999999993" customHeight="1" x14ac:dyDescent="0.25">
      <c r="A28" s="167"/>
      <c r="B28" s="32" t="s">
        <v>73</v>
      </c>
      <c r="C28" s="38">
        <f>COUNTIFS(DataRegularSeason20242025!$D$2:$D$1315,C$1,DataRegularSeason20242025!$E$2:$E$1315,$A27,DataRegularSeason20242025!$N$2:$N$1315,1)</f>
        <v>1</v>
      </c>
      <c r="D28" s="39"/>
      <c r="E28" s="38">
        <f>COUNTIFS(DataRegularSeason20242025!$D$2:$D$1315,E$1,DataRegularSeason20242025!$E$2:$E$1315,$A27,DataRegularSeason20242025!$N$2:$N$1315,1)</f>
        <v>0</v>
      </c>
      <c r="F28" s="39"/>
      <c r="G28" s="38">
        <f>COUNTIFS(DataRegularSeason20242025!$D$2:$D$1315,G$1,DataRegularSeason20242025!$E$2:$E$1315,$A27,DataRegularSeason20242025!$N$2:$N$1315,1)</f>
        <v>0</v>
      </c>
      <c r="H28" s="39"/>
      <c r="I28" s="38">
        <f>COUNTIFS(DataRegularSeason20242025!$D$2:$D$1315,I$1,DataRegularSeason20242025!$E$2:$E$1315,$A27,DataRegularSeason20242025!$N$2:$N$1315,1)</f>
        <v>0</v>
      </c>
      <c r="J28" s="39"/>
      <c r="K28" s="38">
        <f>COUNTIFS(DataRegularSeason20242025!$D$2:$D$1315,K$1,DataRegularSeason20242025!$E$2:$E$1315,$A27,DataRegularSeason20242025!$N$2:$N$1315,1)</f>
        <v>0</v>
      </c>
      <c r="L28" s="39"/>
      <c r="M28" s="38">
        <f>COUNTIFS(DataRegularSeason20242025!$D$2:$D$1315,M$1,DataRegularSeason20242025!$E$2:$E$1315,$A27,DataRegularSeason20242025!$N$2:$N$1315,1)</f>
        <v>0</v>
      </c>
      <c r="N28" s="39"/>
      <c r="O28" s="38">
        <f>COUNTIFS(DataRegularSeason20242025!$D$2:$D$1315,O$1,DataRegularSeason20242025!$E$2:$E$1315,$A27,DataRegularSeason20242025!$N$2:$N$1315,1)</f>
        <v>0</v>
      </c>
      <c r="P28" s="39"/>
      <c r="Q28" s="38">
        <f>COUNTIFS(DataRegularSeason20242025!$D$2:$D$1315,Q$1,DataRegularSeason20242025!$E$2:$E$1315,$A27,DataRegularSeason20242025!$N$2:$N$1315,1)</f>
        <v>0</v>
      </c>
      <c r="R28" s="47"/>
      <c r="S28" s="38">
        <f>COUNTIFS(DataRegularSeason20242025!$D$2:$D$1315,S$1,DataRegularSeason20242025!$E$2:$E$1315,$A27,DataRegularSeason20242025!$N$2:$N$1315,1)</f>
        <v>0</v>
      </c>
      <c r="T28" s="39"/>
      <c r="U28" s="38">
        <f>COUNTIFS(DataRegularSeason20242025!$D$2:$D$1315,U$1,DataRegularSeason20242025!$E$2:$E$1315,$A27,DataRegularSeason20242025!$N$2:$N$1315,1)</f>
        <v>0</v>
      </c>
      <c r="V28" s="39"/>
      <c r="W28" s="38">
        <f>COUNTIFS(DataRegularSeason20242025!$D$2:$D$1315,W$1,DataRegularSeason20242025!$E$2:$E$1315,$A27,DataRegularSeason20242025!$N$2:$N$1315,1)</f>
        <v>0</v>
      </c>
      <c r="X28" s="39"/>
      <c r="Y28" s="38">
        <f>COUNTIFS(DataRegularSeason20242025!$D$2:$D$1315,Y$1,DataRegularSeason20242025!$E$2:$E$1315,$A27,DataRegularSeason20242025!$N$2:$N$1315,1)</f>
        <v>0</v>
      </c>
      <c r="Z28" s="39"/>
      <c r="AA28" s="38"/>
      <c r="AB28" s="39"/>
      <c r="AC28" s="38">
        <f>COUNTIFS(DataRegularSeason20242025!$D$2:$D$1315,AC$1,DataRegularSeason20242025!$E$2:$E$1315,$A27,DataRegularSeason20242025!$N$2:$N$1315,1)</f>
        <v>0</v>
      </c>
      <c r="AD28" s="39"/>
      <c r="AE28" s="38">
        <f>COUNTIFS(DataRegularSeason20242025!$D$2:$D$1315,AE$1,DataRegularSeason20242025!$E$2:$E$1315,$A27,DataRegularSeason20242025!$N$2:$N$1315,1)</f>
        <v>1</v>
      </c>
      <c r="AF28" s="39"/>
      <c r="AG28" s="38">
        <f>COUNTIFS(DataRegularSeason20242025!$D$2:$D$1315,AG$1,DataRegularSeason20242025!$E$2:$E$1315,$A27,DataRegularSeason20242025!$N$2:$N$1315,1)</f>
        <v>0</v>
      </c>
      <c r="AH28" s="47"/>
      <c r="AI28" s="38">
        <f>COUNTIFS(DataRegularSeason20242025!$D$2:$D$1315,AI$1,DataRegularSeason20242025!$E$2:$E$1315,$A27,DataRegularSeason20242025!$N$2:$N$1315,1)</f>
        <v>0</v>
      </c>
      <c r="AJ28" s="39"/>
      <c r="AK28" s="38">
        <f>COUNTIFS(DataRegularSeason20242025!$D$2:$D$1315,AK$1,DataRegularSeason20242025!$E$2:$E$1315,$A27,DataRegularSeason20242025!$N$2:$N$1315,1)</f>
        <v>1</v>
      </c>
      <c r="AL28" s="39"/>
      <c r="AM28" s="38">
        <f>COUNTIFS(DataRegularSeason20242025!$D$2:$D$1315,AM$1,DataRegularSeason20242025!$E$2:$E$1315,$A27,DataRegularSeason20242025!$N$2:$N$1315,1)</f>
        <v>0</v>
      </c>
      <c r="AN28" s="39"/>
      <c r="AO28" s="38">
        <f>COUNTIFS(DataRegularSeason20242025!$D$2:$D$1315,AO$1,DataRegularSeason20242025!$E$2:$E$1315,$A27,DataRegularSeason20242025!$N$2:$N$1315,1)</f>
        <v>0</v>
      </c>
      <c r="AP28" s="39"/>
      <c r="AQ28" s="38">
        <f>COUNTIFS(DataRegularSeason20242025!$D$2:$D$1315,AQ$1,DataRegularSeason20242025!$E$2:$E$1315,$A27,DataRegularSeason20242025!$N$2:$N$1315,1)</f>
        <v>0</v>
      </c>
      <c r="AR28" s="39"/>
      <c r="AS28" s="38">
        <f>COUNTIFS(DataRegularSeason20242025!$D$2:$D$1315,AS$1,DataRegularSeason20242025!$E$2:$E$1315,$A27,DataRegularSeason20242025!$N$2:$N$1315,1)</f>
        <v>0</v>
      </c>
      <c r="AT28" s="39"/>
      <c r="AU28" s="38">
        <f>COUNTIFS(DataRegularSeason20242025!$D$2:$D$1315,AU$1,DataRegularSeason20242025!$E$2:$E$1315,$A27,DataRegularSeason20242025!$N$2:$N$1315,1)</f>
        <v>0</v>
      </c>
      <c r="AV28" s="39"/>
      <c r="AW28" s="38">
        <f>COUNTIFS(DataRegularSeason20242025!$D$2:$D$1315,AW$1,DataRegularSeason20242025!$E$2:$E$1315,$A27,DataRegularSeason20242025!$N$2:$N$1315,1)</f>
        <v>0</v>
      </c>
      <c r="AX28" s="47"/>
      <c r="AY28" s="38">
        <f>COUNTIFS(DataRegularSeason20242025!$D$2:$D$1315,AY$1,DataRegularSeason20242025!$E$2:$E$1315,$A27,DataRegularSeason20242025!$N$2:$N$1315,1)</f>
        <v>0</v>
      </c>
      <c r="AZ28" s="39"/>
      <c r="BA28" s="38">
        <f>COUNTIFS(DataRegularSeason20242025!$D$2:$D$1315,BA$1,DataRegularSeason20242025!$E$2:$E$1315,$A27,DataRegularSeason20242025!$N$2:$N$1315,1)</f>
        <v>0</v>
      </c>
      <c r="BB28" s="39"/>
      <c r="BC28" s="38">
        <f>COUNTIFS(DataRegularSeason20242025!$D$2:$D$1315,BC$1,DataRegularSeason20242025!$E$2:$E$1315,$A27,DataRegularSeason20242025!$N$2:$N$1315,1)</f>
        <v>0</v>
      </c>
      <c r="BD28" s="39"/>
      <c r="BE28" s="38">
        <f>COUNTIFS(DataRegularSeason20242025!$D$2:$D$1315,BE$1,DataRegularSeason20242025!$E$2:$E$1315,$A27,DataRegularSeason20242025!$N$2:$N$1315,1)</f>
        <v>0</v>
      </c>
      <c r="BF28" s="39"/>
      <c r="BG28" s="38">
        <f>COUNTIFS(DataRegularSeason20242025!$D$2:$D$1315,BG$1,DataRegularSeason20242025!$E$2:$E$1315,$A27,DataRegularSeason20242025!$N$2:$N$1315,1)</f>
        <v>0</v>
      </c>
      <c r="BH28" s="39"/>
      <c r="BI28" s="38">
        <f>COUNTIFS(DataRegularSeason20242025!$D$2:$D$1315,BI$1,DataRegularSeason20242025!$E$2:$E$1315,$A27,DataRegularSeason20242025!$N$2:$N$1315,1)</f>
        <v>0</v>
      </c>
      <c r="BJ28" s="39"/>
      <c r="BK28" s="38">
        <f>COUNTIFS(DataRegularSeason20242025!$D$2:$D$1315,BK$1,DataRegularSeason20242025!$E$2:$E$1315,$A27,DataRegularSeason20242025!$N$2:$N$1315,1)</f>
        <v>0</v>
      </c>
      <c r="BL28" s="39"/>
      <c r="BM28" s="38">
        <f>COUNTIFS(DataRegularSeason20242025!$D$2:$D$1315,BM$1,DataRegularSeason20242025!$E$2:$E$1315,$A27,DataRegularSeason20242025!$N$2:$N$1315,1)</f>
        <v>0</v>
      </c>
      <c r="BN28" s="39"/>
      <c r="BO28" s="34">
        <f t="shared" si="1"/>
        <v>3</v>
      </c>
      <c r="BP28" s="165"/>
      <c r="BQ28" s="166"/>
      <c r="BR28" s="173"/>
    </row>
    <row r="29" spans="1:70" ht="9.9499999999999993" customHeight="1" x14ac:dyDescent="0.25">
      <c r="A29" s="172" t="s">
        <v>12</v>
      </c>
      <c r="B29" s="28" t="s">
        <v>74</v>
      </c>
      <c r="C29" s="35"/>
      <c r="D29" s="28">
        <f>COUNTIFS(DataRegularSeason20242025!$E$2:$E$1315,C$1,DataRegularSeason20242025!$D$2:$D$1315,$A29,DataRegularSeason20242025!$N$2:$N$1315,1)</f>
        <v>0</v>
      </c>
      <c r="E29" s="35"/>
      <c r="F29" s="28">
        <f>COUNTIFS(DataRegularSeason20242025!$E$2:$E$1315,E$1,DataRegularSeason20242025!$D$2:$D$1315,$A29,DataRegularSeason20242025!$N$2:$N$1315,1)</f>
        <v>1</v>
      </c>
      <c r="G29" s="35"/>
      <c r="H29" s="28">
        <f>COUNTIFS(DataRegularSeason20242025!$E$2:$E$1315,G$1,DataRegularSeason20242025!$D$2:$D$1315,$A29,DataRegularSeason20242025!$N$2:$N$1315,1)</f>
        <v>0</v>
      </c>
      <c r="I29" s="35"/>
      <c r="J29" s="28">
        <f>COUNTIFS(DataRegularSeason20242025!$E$2:$E$1315,I$1,DataRegularSeason20242025!$D$2:$D$1315,$A29,DataRegularSeason20242025!$N$2:$N$1315,1)</f>
        <v>0</v>
      </c>
      <c r="K29" s="35"/>
      <c r="L29" s="28">
        <f>COUNTIFS(DataRegularSeason20242025!$E$2:$E$1315,K$1,DataRegularSeason20242025!$D$2:$D$1315,$A29,DataRegularSeason20242025!$N$2:$N$1315,1)</f>
        <v>0</v>
      </c>
      <c r="M29" s="35"/>
      <c r="N29" s="28">
        <f>COUNTIFS(DataRegularSeason20242025!$E$2:$E$1315,M$1,DataRegularSeason20242025!$D$2:$D$1315,$A29,DataRegularSeason20242025!$N$2:$N$1315,1)</f>
        <v>0</v>
      </c>
      <c r="O29" s="35"/>
      <c r="P29" s="28">
        <f>COUNTIFS(DataRegularSeason20242025!$E$2:$E$1315,O$1,DataRegularSeason20242025!$D$2:$D$1315,$A29,DataRegularSeason20242025!$N$2:$N$1315,1)</f>
        <v>1</v>
      </c>
      <c r="Q29" s="35"/>
      <c r="R29" s="46">
        <f>COUNTIFS(DataRegularSeason20242025!$E$2:$E$1315,Q$1,DataRegularSeason20242025!$D$2:$D$1315,$A29,DataRegularSeason20242025!$N$2:$N$1315,1)</f>
        <v>0</v>
      </c>
      <c r="S29" s="35"/>
      <c r="T29" s="28">
        <f>COUNTIFS(DataRegularSeason20242025!$E$2:$E$1315,S$1,DataRegularSeason20242025!$D$2:$D$1315,$A29,DataRegularSeason20242025!$N$2:$N$1315,1)</f>
        <v>0</v>
      </c>
      <c r="U29" s="35"/>
      <c r="V29" s="28">
        <f>COUNTIFS(DataRegularSeason20242025!$E$2:$E$1315,U$1,DataRegularSeason20242025!$D$2:$D$1315,$A29,DataRegularSeason20242025!$N$2:$N$1315,1)</f>
        <v>0</v>
      </c>
      <c r="W29" s="35"/>
      <c r="X29" s="28">
        <f>COUNTIFS(DataRegularSeason20242025!$E$2:$E$1315,W$1,DataRegularSeason20242025!$D$2:$D$1315,$A29,DataRegularSeason20242025!$N$2:$N$1315,1)</f>
        <v>0</v>
      </c>
      <c r="Y29" s="35"/>
      <c r="Z29" s="28">
        <f>COUNTIFS(DataRegularSeason20242025!$E$2:$E$1315,Y$1,DataRegularSeason20242025!$D$2:$D$1315,$A29,DataRegularSeason20242025!$N$2:$N$1315,1)</f>
        <v>0</v>
      </c>
      <c r="AA29" s="35"/>
      <c r="AB29" s="28">
        <f>COUNTIFS(DataRegularSeason20242025!$E$2:$E$1315,AA$1,DataRegularSeason20242025!$D$2:$D$1315,$A29,DataRegularSeason20242025!$N$2:$N$1315,1)</f>
        <v>0</v>
      </c>
      <c r="AC29" s="35"/>
      <c r="AD29" s="36"/>
      <c r="AE29" s="35"/>
      <c r="AF29" s="28">
        <f>COUNTIFS(DataRegularSeason20242025!$E$2:$E$1315,AE$1,DataRegularSeason20242025!$D$2:$D$1315,$A29,DataRegularSeason20242025!$N$2:$N$1315,1)</f>
        <v>0</v>
      </c>
      <c r="AG29" s="35"/>
      <c r="AH29" s="46">
        <f>COUNTIFS(DataRegularSeason20242025!$E$2:$E$1315,AG$1,DataRegularSeason20242025!$D$2:$D$1315,$A29,DataRegularSeason20242025!$N$2:$N$1315,1)</f>
        <v>0</v>
      </c>
      <c r="AI29" s="35"/>
      <c r="AJ29" s="28">
        <f>COUNTIFS(DataRegularSeason20242025!$E$2:$E$1315,AI$1,DataRegularSeason20242025!$D$2:$D$1315,$A29,DataRegularSeason20242025!$N$2:$N$1315,1)</f>
        <v>0</v>
      </c>
      <c r="AK29" s="35"/>
      <c r="AL29" s="28">
        <f>COUNTIFS(DataRegularSeason20242025!$E$2:$E$1315,AK$1,DataRegularSeason20242025!$D$2:$D$1315,$A29,DataRegularSeason20242025!$N$2:$N$1315,1)</f>
        <v>0</v>
      </c>
      <c r="AM29" s="35"/>
      <c r="AN29" s="28">
        <f>COUNTIFS(DataRegularSeason20242025!$E$2:$E$1315,AM$1,DataRegularSeason20242025!$D$2:$D$1315,$A29,DataRegularSeason20242025!$N$2:$N$1315,1)</f>
        <v>0</v>
      </c>
      <c r="AO29" s="35"/>
      <c r="AP29" s="28">
        <f>COUNTIFS(DataRegularSeason20242025!$E$2:$E$1315,AO$1,DataRegularSeason20242025!$D$2:$D$1315,$A29,DataRegularSeason20242025!$N$2:$N$1315,1)</f>
        <v>0</v>
      </c>
      <c r="AQ29" s="35"/>
      <c r="AR29" s="28">
        <f>COUNTIFS(DataRegularSeason20242025!$E$2:$E$1315,AQ$1,DataRegularSeason20242025!$D$2:$D$1315,$A29,DataRegularSeason20242025!$N$2:$N$1315,1)</f>
        <v>0</v>
      </c>
      <c r="AS29" s="35"/>
      <c r="AT29" s="28">
        <f>COUNTIFS(DataRegularSeason20242025!$E$2:$E$1315,AS$1,DataRegularSeason20242025!$D$2:$D$1315,$A29,DataRegularSeason20242025!$N$2:$N$1315,1)</f>
        <v>0</v>
      </c>
      <c r="AU29" s="35"/>
      <c r="AV29" s="28">
        <f>COUNTIFS(DataRegularSeason20242025!$E$2:$E$1315,AU$1,DataRegularSeason20242025!$D$2:$D$1315,$A29,DataRegularSeason20242025!$N$2:$N$1315,1)</f>
        <v>0</v>
      </c>
      <c r="AW29" s="35"/>
      <c r="AX29" s="46">
        <f>COUNTIFS(DataRegularSeason20242025!$E$2:$E$1315,AW$1,DataRegularSeason20242025!$D$2:$D$1315,$A29,DataRegularSeason20242025!$N$2:$N$1315,1)</f>
        <v>0</v>
      </c>
      <c r="AY29" s="35"/>
      <c r="AZ29" s="28">
        <f>COUNTIFS(DataRegularSeason20242025!$E$2:$E$1315,AY$1,DataRegularSeason20242025!$D$2:$D$1315,$A29,DataRegularSeason20242025!$N$2:$N$1315,1)</f>
        <v>0</v>
      </c>
      <c r="BA29" s="35"/>
      <c r="BB29" s="28">
        <f>COUNTIFS(DataRegularSeason20242025!$E$2:$E$1315,BA$1,DataRegularSeason20242025!$D$2:$D$1315,$A29,DataRegularSeason20242025!$N$2:$N$1315,1)</f>
        <v>0</v>
      </c>
      <c r="BC29" s="35"/>
      <c r="BD29" s="28">
        <f>COUNTIFS(DataRegularSeason20242025!$E$2:$E$1315,BC$1,DataRegularSeason20242025!$D$2:$D$1315,$A29,DataRegularSeason20242025!$N$2:$N$1315,1)</f>
        <v>0</v>
      </c>
      <c r="BE29" s="35"/>
      <c r="BF29" s="28">
        <f>COUNTIFS(DataRegularSeason20242025!$E$2:$E$1315,BE$1,DataRegularSeason20242025!$D$2:$D$1315,$A29,DataRegularSeason20242025!$N$2:$N$1315,1)</f>
        <v>0</v>
      </c>
      <c r="BG29" s="35"/>
      <c r="BH29" s="28">
        <f>COUNTIFS(DataRegularSeason20242025!$E$2:$E$1315,BG$1,DataRegularSeason20242025!$D$2:$D$1315,$A29,DataRegularSeason20242025!$N$2:$N$1315,1)</f>
        <v>0</v>
      </c>
      <c r="BI29" s="35"/>
      <c r="BJ29" s="28">
        <f>COUNTIFS(DataRegularSeason20242025!$E$2:$E$1315,BI$1,DataRegularSeason20242025!$D$2:$D$1315,$A29,DataRegularSeason20242025!$N$2:$N$1315,1)</f>
        <v>0</v>
      </c>
      <c r="BK29" s="35"/>
      <c r="BL29" s="28">
        <f>COUNTIFS(DataRegularSeason20242025!$E$2:$E$1315,BK$1,DataRegularSeason20242025!$D$2:$D$1315,$A29,DataRegularSeason20242025!$N$2:$N$1315,1)</f>
        <v>0</v>
      </c>
      <c r="BM29" s="35"/>
      <c r="BN29" s="28">
        <f>COUNTIFS(DataRegularSeason20242025!$E$2:$E$1315,BM$1,DataRegularSeason20242025!$D$2:$D$1315,$A29,DataRegularSeason20242025!$N$2:$N$1315,1)</f>
        <v>0</v>
      </c>
      <c r="BO29" s="30">
        <f t="shared" si="1"/>
        <v>2</v>
      </c>
      <c r="BP29" s="165">
        <f t="shared" ref="BP29" si="38">BO29+BO30</f>
        <v>6</v>
      </c>
      <c r="BQ29" s="166">
        <f t="shared" ref="BQ29" si="39">82-BP29</f>
        <v>76</v>
      </c>
      <c r="BR29" s="173">
        <f t="shared" ref="BR29" si="40">BP29/(BP29+BQ29)</f>
        <v>7.3170731707317069E-2</v>
      </c>
    </row>
    <row r="30" spans="1:70" ht="9.9499999999999993" customHeight="1" x14ac:dyDescent="0.25">
      <c r="A30" s="167"/>
      <c r="B30" s="32" t="s">
        <v>73</v>
      </c>
      <c r="C30" s="38">
        <f>COUNTIFS(DataRegularSeason20242025!$D$2:$D$1315,C$1,DataRegularSeason20242025!$E$2:$E$1315,$A29,DataRegularSeason20242025!$N$2:$N$1315,1)</f>
        <v>0</v>
      </c>
      <c r="D30" s="39"/>
      <c r="E30" s="38">
        <f>COUNTIFS(DataRegularSeason20242025!$D$2:$D$1315,E$1,DataRegularSeason20242025!$E$2:$E$1315,$A29,DataRegularSeason20242025!$N$2:$N$1315,1)</f>
        <v>0</v>
      </c>
      <c r="F30" s="39"/>
      <c r="G30" s="38">
        <f>COUNTIFS(DataRegularSeason20242025!$D$2:$D$1315,G$1,DataRegularSeason20242025!$E$2:$E$1315,$A29,DataRegularSeason20242025!$N$2:$N$1315,1)</f>
        <v>0</v>
      </c>
      <c r="H30" s="39"/>
      <c r="I30" s="38">
        <f>COUNTIFS(DataRegularSeason20242025!$D$2:$D$1315,I$1,DataRegularSeason20242025!$E$2:$E$1315,$A29,DataRegularSeason20242025!$N$2:$N$1315,1)</f>
        <v>1</v>
      </c>
      <c r="J30" s="39"/>
      <c r="K30" s="38">
        <f>COUNTIFS(DataRegularSeason20242025!$D$2:$D$1315,K$1,DataRegularSeason20242025!$E$2:$E$1315,$A29,DataRegularSeason20242025!$N$2:$N$1315,1)</f>
        <v>0</v>
      </c>
      <c r="L30" s="39"/>
      <c r="M30" s="38">
        <f>COUNTIFS(DataRegularSeason20242025!$D$2:$D$1315,M$1,DataRegularSeason20242025!$E$2:$E$1315,$A29,DataRegularSeason20242025!$N$2:$N$1315,1)</f>
        <v>0</v>
      </c>
      <c r="N30" s="39"/>
      <c r="O30" s="38">
        <f>COUNTIFS(DataRegularSeason20242025!$D$2:$D$1315,O$1,DataRegularSeason20242025!$E$2:$E$1315,$A29,DataRegularSeason20242025!$N$2:$N$1315,1)</f>
        <v>0</v>
      </c>
      <c r="P30" s="39"/>
      <c r="Q30" s="38">
        <f>COUNTIFS(DataRegularSeason20242025!$D$2:$D$1315,Q$1,DataRegularSeason20242025!$E$2:$E$1315,$A29,DataRegularSeason20242025!$N$2:$N$1315,1)</f>
        <v>0</v>
      </c>
      <c r="R30" s="47"/>
      <c r="S30" s="38">
        <f>COUNTIFS(DataRegularSeason20242025!$D$2:$D$1315,S$1,DataRegularSeason20242025!$E$2:$E$1315,$A29,DataRegularSeason20242025!$N$2:$N$1315,1)</f>
        <v>1</v>
      </c>
      <c r="T30" s="39"/>
      <c r="U30" s="38">
        <f>COUNTIFS(DataRegularSeason20242025!$D$2:$D$1315,U$1,DataRegularSeason20242025!$E$2:$E$1315,$A29,DataRegularSeason20242025!$N$2:$N$1315,1)</f>
        <v>0</v>
      </c>
      <c r="V30" s="39"/>
      <c r="W30" s="38">
        <f>COUNTIFS(DataRegularSeason20242025!$D$2:$D$1315,W$1,DataRegularSeason20242025!$E$2:$E$1315,$A29,DataRegularSeason20242025!$N$2:$N$1315,1)</f>
        <v>1</v>
      </c>
      <c r="X30" s="39"/>
      <c r="Y30" s="38">
        <f>COUNTIFS(DataRegularSeason20242025!$D$2:$D$1315,Y$1,DataRegularSeason20242025!$E$2:$E$1315,$A29,DataRegularSeason20242025!$N$2:$N$1315,1)</f>
        <v>1</v>
      </c>
      <c r="Z30" s="39"/>
      <c r="AA30" s="38">
        <f>COUNTIFS(DataRegularSeason20242025!$D$2:$D$1315,AA$1,DataRegularSeason20242025!$E$2:$E$1315,$A29,DataRegularSeason20242025!$N$2:$N$1315,1)</f>
        <v>0</v>
      </c>
      <c r="AB30" s="39"/>
      <c r="AC30" s="38"/>
      <c r="AD30" s="39"/>
      <c r="AE30" s="38">
        <f>COUNTIFS(DataRegularSeason20242025!$D$2:$D$1315,AE$1,DataRegularSeason20242025!$E$2:$E$1315,$A29,DataRegularSeason20242025!$N$2:$N$1315,1)</f>
        <v>0</v>
      </c>
      <c r="AF30" s="39"/>
      <c r="AG30" s="38">
        <f>COUNTIFS(DataRegularSeason20242025!$D$2:$D$1315,AG$1,DataRegularSeason20242025!$E$2:$E$1315,$A29,DataRegularSeason20242025!$N$2:$N$1315,1)</f>
        <v>0</v>
      </c>
      <c r="AH30" s="47"/>
      <c r="AI30" s="38">
        <f>COUNTIFS(DataRegularSeason20242025!$D$2:$D$1315,AI$1,DataRegularSeason20242025!$E$2:$E$1315,$A29,DataRegularSeason20242025!$N$2:$N$1315,1)</f>
        <v>0</v>
      </c>
      <c r="AJ30" s="39"/>
      <c r="AK30" s="38">
        <f>COUNTIFS(DataRegularSeason20242025!$D$2:$D$1315,AK$1,DataRegularSeason20242025!$E$2:$E$1315,$A29,DataRegularSeason20242025!$N$2:$N$1315,1)</f>
        <v>0</v>
      </c>
      <c r="AL30" s="39"/>
      <c r="AM30" s="38">
        <f>COUNTIFS(DataRegularSeason20242025!$D$2:$D$1315,AM$1,DataRegularSeason20242025!$E$2:$E$1315,$A29,DataRegularSeason20242025!$N$2:$N$1315,1)</f>
        <v>0</v>
      </c>
      <c r="AN30" s="39"/>
      <c r="AO30" s="38">
        <f>COUNTIFS(DataRegularSeason20242025!$D$2:$D$1315,AO$1,DataRegularSeason20242025!$E$2:$E$1315,$A29,DataRegularSeason20242025!$N$2:$N$1315,1)</f>
        <v>0</v>
      </c>
      <c r="AP30" s="39"/>
      <c r="AQ30" s="38">
        <f>COUNTIFS(DataRegularSeason20242025!$D$2:$D$1315,AQ$1,DataRegularSeason20242025!$E$2:$E$1315,$A29,DataRegularSeason20242025!$N$2:$N$1315,1)</f>
        <v>0</v>
      </c>
      <c r="AR30" s="39"/>
      <c r="AS30" s="38">
        <f>COUNTIFS(DataRegularSeason20242025!$D$2:$D$1315,AS$1,DataRegularSeason20242025!$E$2:$E$1315,$A29,DataRegularSeason20242025!$N$2:$N$1315,1)</f>
        <v>0</v>
      </c>
      <c r="AT30" s="39"/>
      <c r="AU30" s="38">
        <f>COUNTIFS(DataRegularSeason20242025!$D$2:$D$1315,AU$1,DataRegularSeason20242025!$E$2:$E$1315,$A29,DataRegularSeason20242025!$N$2:$N$1315,1)</f>
        <v>0</v>
      </c>
      <c r="AV30" s="39"/>
      <c r="AW30" s="38">
        <f>COUNTIFS(DataRegularSeason20242025!$D$2:$D$1315,AW$1,DataRegularSeason20242025!$E$2:$E$1315,$A29,DataRegularSeason20242025!$N$2:$N$1315,1)</f>
        <v>0</v>
      </c>
      <c r="AX30" s="47"/>
      <c r="AY30" s="38">
        <f>COUNTIFS(DataRegularSeason20242025!$D$2:$D$1315,AY$1,DataRegularSeason20242025!$E$2:$E$1315,$A29,DataRegularSeason20242025!$N$2:$N$1315,1)</f>
        <v>0</v>
      </c>
      <c r="AZ30" s="39"/>
      <c r="BA30" s="38">
        <f>COUNTIFS(DataRegularSeason20242025!$D$2:$D$1315,BA$1,DataRegularSeason20242025!$E$2:$E$1315,$A29,DataRegularSeason20242025!$N$2:$N$1315,1)</f>
        <v>0</v>
      </c>
      <c r="BB30" s="39"/>
      <c r="BC30" s="38">
        <f>COUNTIFS(DataRegularSeason20242025!$D$2:$D$1315,BC$1,DataRegularSeason20242025!$E$2:$E$1315,$A29,DataRegularSeason20242025!$N$2:$N$1315,1)</f>
        <v>0</v>
      </c>
      <c r="BD30" s="39"/>
      <c r="BE30" s="38">
        <f>COUNTIFS(DataRegularSeason20242025!$D$2:$D$1315,BE$1,DataRegularSeason20242025!$E$2:$E$1315,$A29,DataRegularSeason20242025!$N$2:$N$1315,1)</f>
        <v>0</v>
      </c>
      <c r="BF30" s="39"/>
      <c r="BG30" s="38">
        <f>COUNTIFS(DataRegularSeason20242025!$D$2:$D$1315,BG$1,DataRegularSeason20242025!$E$2:$E$1315,$A29,DataRegularSeason20242025!$N$2:$N$1315,1)</f>
        <v>0</v>
      </c>
      <c r="BH30" s="39"/>
      <c r="BI30" s="38">
        <f>COUNTIFS(DataRegularSeason20242025!$D$2:$D$1315,BI$1,DataRegularSeason20242025!$E$2:$E$1315,$A29,DataRegularSeason20242025!$N$2:$N$1315,1)</f>
        <v>0</v>
      </c>
      <c r="BJ30" s="39"/>
      <c r="BK30" s="38">
        <f>COUNTIFS(DataRegularSeason20242025!$D$2:$D$1315,BK$1,DataRegularSeason20242025!$E$2:$E$1315,$A29,DataRegularSeason20242025!$N$2:$N$1315,1)</f>
        <v>0</v>
      </c>
      <c r="BL30" s="39"/>
      <c r="BM30" s="38">
        <f>COUNTIFS(DataRegularSeason20242025!$D$2:$D$1315,BM$1,DataRegularSeason20242025!$E$2:$E$1315,$A29,DataRegularSeason20242025!$N$2:$N$1315,1)</f>
        <v>0</v>
      </c>
      <c r="BN30" s="39"/>
      <c r="BO30" s="34">
        <f t="shared" si="1"/>
        <v>4</v>
      </c>
      <c r="BP30" s="165"/>
      <c r="BQ30" s="166"/>
      <c r="BR30" s="173"/>
    </row>
    <row r="31" spans="1:70" ht="9.9499999999999993" customHeight="1" x14ac:dyDescent="0.25">
      <c r="A31" s="172" t="s">
        <v>14</v>
      </c>
      <c r="B31" s="28" t="s">
        <v>74</v>
      </c>
      <c r="C31" s="35"/>
      <c r="D31" s="28">
        <f>COUNTIFS(DataRegularSeason20242025!$E$2:$E$1315,C$1,DataRegularSeason20242025!$D$2:$D$1315,$A31,DataRegularSeason20242025!$N$2:$N$1315,1)</f>
        <v>0</v>
      </c>
      <c r="E31" s="35"/>
      <c r="F31" s="28">
        <f>COUNTIFS(DataRegularSeason20242025!$E$2:$E$1315,E$1,DataRegularSeason20242025!$D$2:$D$1315,$A31,DataRegularSeason20242025!$N$2:$N$1315,1)</f>
        <v>0</v>
      </c>
      <c r="G31" s="35"/>
      <c r="H31" s="28">
        <f>COUNTIFS(DataRegularSeason20242025!$E$2:$E$1315,G$1,DataRegularSeason20242025!$D$2:$D$1315,$A31,DataRegularSeason20242025!$N$2:$N$1315,1)</f>
        <v>0</v>
      </c>
      <c r="I31" s="35"/>
      <c r="J31" s="28">
        <f>COUNTIFS(DataRegularSeason20242025!$E$2:$E$1315,I$1,DataRegularSeason20242025!$D$2:$D$1315,$A31,DataRegularSeason20242025!$N$2:$N$1315,1)</f>
        <v>0</v>
      </c>
      <c r="K31" s="35"/>
      <c r="L31" s="28">
        <f>COUNTIFS(DataRegularSeason20242025!$E$2:$E$1315,K$1,DataRegularSeason20242025!$D$2:$D$1315,$A31,DataRegularSeason20242025!$N$2:$N$1315,1)</f>
        <v>0</v>
      </c>
      <c r="M31" s="35"/>
      <c r="N31" s="28">
        <f>COUNTIFS(DataRegularSeason20242025!$E$2:$E$1315,M$1,DataRegularSeason20242025!$D$2:$D$1315,$A31,DataRegularSeason20242025!$N$2:$N$1315,1)</f>
        <v>0</v>
      </c>
      <c r="O31" s="35"/>
      <c r="P31" s="28">
        <f>COUNTIFS(DataRegularSeason20242025!$E$2:$E$1315,O$1,DataRegularSeason20242025!$D$2:$D$1315,$A31,DataRegularSeason20242025!$N$2:$N$1315,1)</f>
        <v>0</v>
      </c>
      <c r="Q31" s="35"/>
      <c r="R31" s="46">
        <f>COUNTIFS(DataRegularSeason20242025!$E$2:$E$1315,Q$1,DataRegularSeason20242025!$D$2:$D$1315,$A31,DataRegularSeason20242025!$N$2:$N$1315,1)</f>
        <v>0</v>
      </c>
      <c r="S31" s="35"/>
      <c r="T31" s="28">
        <f>COUNTIFS(DataRegularSeason20242025!$E$2:$E$1315,S$1,DataRegularSeason20242025!$D$2:$D$1315,$A31,DataRegularSeason20242025!$N$2:$N$1315,1)</f>
        <v>1</v>
      </c>
      <c r="U31" s="35"/>
      <c r="V31" s="28">
        <f>COUNTIFS(DataRegularSeason20242025!$E$2:$E$1315,U$1,DataRegularSeason20242025!$D$2:$D$1315,$A31,DataRegularSeason20242025!$N$2:$N$1315,1)</f>
        <v>1</v>
      </c>
      <c r="W31" s="35"/>
      <c r="X31" s="28">
        <f>COUNTIFS(DataRegularSeason20242025!$E$2:$E$1315,W$1,DataRegularSeason20242025!$D$2:$D$1315,$A31,DataRegularSeason20242025!$N$2:$N$1315,1)</f>
        <v>0</v>
      </c>
      <c r="Y31" s="35"/>
      <c r="Z31" s="28">
        <f>COUNTIFS(DataRegularSeason20242025!$E$2:$E$1315,Y$1,DataRegularSeason20242025!$D$2:$D$1315,$A31,DataRegularSeason20242025!$N$2:$N$1315,1)</f>
        <v>0</v>
      </c>
      <c r="AA31" s="35"/>
      <c r="AB31" s="28">
        <f>COUNTIFS(DataRegularSeason20242025!$E$2:$E$1315,AA$1,DataRegularSeason20242025!$D$2:$D$1315,$A31,DataRegularSeason20242025!$N$2:$N$1315,1)</f>
        <v>1</v>
      </c>
      <c r="AC31" s="35"/>
      <c r="AD31" s="28">
        <f>COUNTIFS(DataRegularSeason20242025!$E$2:$E$1315,AC$1,DataRegularSeason20242025!$D$2:$D$1315,$A31,DataRegularSeason20242025!$N$2:$N$1315,1)</f>
        <v>0</v>
      </c>
      <c r="AE31" s="35"/>
      <c r="AF31" s="36"/>
      <c r="AG31" s="35"/>
      <c r="AH31" s="46">
        <f>COUNTIFS(DataRegularSeason20242025!$E$2:$E$1315,AG$1,DataRegularSeason20242025!$D$2:$D$1315,$A31,DataRegularSeason20242025!$N$2:$N$1315,1)</f>
        <v>0</v>
      </c>
      <c r="AI31" s="35"/>
      <c r="AJ31" s="28">
        <f>COUNTIFS(DataRegularSeason20242025!$E$2:$E$1315,AI$1,DataRegularSeason20242025!$D$2:$D$1315,$A31,DataRegularSeason20242025!$N$2:$N$1315,1)</f>
        <v>0</v>
      </c>
      <c r="AK31" s="35"/>
      <c r="AL31" s="28">
        <f>COUNTIFS(DataRegularSeason20242025!$E$2:$E$1315,AK$1,DataRegularSeason20242025!$D$2:$D$1315,$A31,DataRegularSeason20242025!$N$2:$N$1315,1)</f>
        <v>0</v>
      </c>
      <c r="AM31" s="35"/>
      <c r="AN31" s="28">
        <f>COUNTIFS(DataRegularSeason20242025!$E$2:$E$1315,AM$1,DataRegularSeason20242025!$D$2:$D$1315,$A31,DataRegularSeason20242025!$N$2:$N$1315,1)</f>
        <v>0</v>
      </c>
      <c r="AO31" s="35"/>
      <c r="AP31" s="28">
        <f>COUNTIFS(DataRegularSeason20242025!$E$2:$E$1315,AO$1,DataRegularSeason20242025!$D$2:$D$1315,$A31,DataRegularSeason20242025!$N$2:$N$1315,1)</f>
        <v>0</v>
      </c>
      <c r="AQ31" s="35"/>
      <c r="AR31" s="28">
        <f>COUNTIFS(DataRegularSeason20242025!$E$2:$E$1315,AQ$1,DataRegularSeason20242025!$D$2:$D$1315,$A31,DataRegularSeason20242025!$N$2:$N$1315,1)</f>
        <v>0</v>
      </c>
      <c r="AS31" s="35"/>
      <c r="AT31" s="28">
        <f>COUNTIFS(DataRegularSeason20242025!$E$2:$E$1315,AS$1,DataRegularSeason20242025!$D$2:$D$1315,$A31,DataRegularSeason20242025!$N$2:$N$1315,1)</f>
        <v>0</v>
      </c>
      <c r="AU31" s="35"/>
      <c r="AV31" s="28">
        <f>COUNTIFS(DataRegularSeason20242025!$E$2:$E$1315,AU$1,DataRegularSeason20242025!$D$2:$D$1315,$A31,DataRegularSeason20242025!$N$2:$N$1315,1)</f>
        <v>0</v>
      </c>
      <c r="AW31" s="35"/>
      <c r="AX31" s="46">
        <f>COUNTIFS(DataRegularSeason20242025!$E$2:$E$1315,AW$1,DataRegularSeason20242025!$D$2:$D$1315,$A31,DataRegularSeason20242025!$N$2:$N$1315,1)</f>
        <v>0</v>
      </c>
      <c r="AY31" s="35"/>
      <c r="AZ31" s="28">
        <f>COUNTIFS(DataRegularSeason20242025!$E$2:$E$1315,AY$1,DataRegularSeason20242025!$D$2:$D$1315,$A31,DataRegularSeason20242025!$N$2:$N$1315,1)</f>
        <v>0</v>
      </c>
      <c r="BA31" s="35"/>
      <c r="BB31" s="28">
        <f>COUNTIFS(DataRegularSeason20242025!$E$2:$E$1315,BA$1,DataRegularSeason20242025!$D$2:$D$1315,$A31,DataRegularSeason20242025!$N$2:$N$1315,1)</f>
        <v>0</v>
      </c>
      <c r="BC31" s="35"/>
      <c r="BD31" s="28">
        <f>COUNTIFS(DataRegularSeason20242025!$E$2:$E$1315,BC$1,DataRegularSeason20242025!$D$2:$D$1315,$A31,DataRegularSeason20242025!$N$2:$N$1315,1)</f>
        <v>0</v>
      </c>
      <c r="BE31" s="35"/>
      <c r="BF31" s="28">
        <f>COUNTIFS(DataRegularSeason20242025!$E$2:$E$1315,BE$1,DataRegularSeason20242025!$D$2:$D$1315,$A31,DataRegularSeason20242025!$N$2:$N$1315,1)</f>
        <v>0</v>
      </c>
      <c r="BG31" s="35"/>
      <c r="BH31" s="28">
        <f>COUNTIFS(DataRegularSeason20242025!$E$2:$E$1315,BG$1,DataRegularSeason20242025!$D$2:$D$1315,$A31,DataRegularSeason20242025!$N$2:$N$1315,1)</f>
        <v>0</v>
      </c>
      <c r="BI31" s="35"/>
      <c r="BJ31" s="28">
        <f>COUNTIFS(DataRegularSeason20242025!$E$2:$E$1315,BI$1,DataRegularSeason20242025!$D$2:$D$1315,$A31,DataRegularSeason20242025!$N$2:$N$1315,1)</f>
        <v>0</v>
      </c>
      <c r="BK31" s="35"/>
      <c r="BL31" s="28">
        <f>COUNTIFS(DataRegularSeason20242025!$E$2:$E$1315,BK$1,DataRegularSeason20242025!$D$2:$D$1315,$A31,DataRegularSeason20242025!$N$2:$N$1315,1)</f>
        <v>0</v>
      </c>
      <c r="BM31" s="35"/>
      <c r="BN31" s="28">
        <f>COUNTIFS(DataRegularSeason20242025!$E$2:$E$1315,BM$1,DataRegularSeason20242025!$D$2:$D$1315,$A31,DataRegularSeason20242025!$N$2:$N$1315,1)</f>
        <v>0</v>
      </c>
      <c r="BO31" s="30">
        <f t="shared" si="1"/>
        <v>3</v>
      </c>
      <c r="BP31" s="165">
        <f t="shared" ref="BP31" si="41">BO31+BO32</f>
        <v>7</v>
      </c>
      <c r="BQ31" s="166">
        <f t="shared" ref="BQ31" si="42">82-BP31</f>
        <v>75</v>
      </c>
      <c r="BR31" s="173">
        <f t="shared" ref="BR31" si="43">BP31/(BP31+BQ31)</f>
        <v>8.5365853658536592E-2</v>
      </c>
    </row>
    <row r="32" spans="1:70" ht="9.9499999999999993" customHeight="1" x14ac:dyDescent="0.25">
      <c r="A32" s="167"/>
      <c r="B32" s="32" t="s">
        <v>73</v>
      </c>
      <c r="C32" s="38">
        <f>COUNTIFS(DataRegularSeason20242025!$D$2:$D$1315,C$1,DataRegularSeason20242025!$E$2:$E$1315,$A31,DataRegularSeason20242025!$N$2:$N$1315,1)</f>
        <v>0</v>
      </c>
      <c r="D32" s="39"/>
      <c r="E32" s="38">
        <f>COUNTIFS(DataRegularSeason20242025!$D$2:$D$1315,E$1,DataRegularSeason20242025!$E$2:$E$1315,$A31,DataRegularSeason20242025!$N$2:$N$1315,1)</f>
        <v>1</v>
      </c>
      <c r="F32" s="39"/>
      <c r="G32" s="38">
        <f>COUNTIFS(DataRegularSeason20242025!$D$2:$D$1315,G$1,DataRegularSeason20242025!$E$2:$E$1315,$A31,DataRegularSeason20242025!$N$2:$N$1315,1)</f>
        <v>0</v>
      </c>
      <c r="H32" s="39"/>
      <c r="I32" s="38">
        <f>COUNTIFS(DataRegularSeason20242025!$D$2:$D$1315,I$1,DataRegularSeason20242025!$E$2:$E$1315,$A31,DataRegularSeason20242025!$N$2:$N$1315,1)</f>
        <v>0</v>
      </c>
      <c r="J32" s="39"/>
      <c r="K32" s="38">
        <f>COUNTIFS(DataRegularSeason20242025!$D$2:$D$1315,K$1,DataRegularSeason20242025!$E$2:$E$1315,$A31,DataRegularSeason20242025!$N$2:$N$1315,1)</f>
        <v>0</v>
      </c>
      <c r="L32" s="39"/>
      <c r="M32" s="38">
        <f>COUNTIFS(DataRegularSeason20242025!$D$2:$D$1315,M$1,DataRegularSeason20242025!$E$2:$E$1315,$A31,DataRegularSeason20242025!$N$2:$N$1315,1)</f>
        <v>1</v>
      </c>
      <c r="N32" s="39"/>
      <c r="O32" s="38">
        <f>COUNTIFS(DataRegularSeason20242025!$D$2:$D$1315,O$1,DataRegularSeason20242025!$E$2:$E$1315,$A31,DataRegularSeason20242025!$N$2:$N$1315,1)</f>
        <v>0</v>
      </c>
      <c r="P32" s="39"/>
      <c r="Q32" s="38">
        <f>COUNTIFS(DataRegularSeason20242025!$D$2:$D$1315,Q$1,DataRegularSeason20242025!$E$2:$E$1315,$A31,DataRegularSeason20242025!$N$2:$N$1315,1)</f>
        <v>0</v>
      </c>
      <c r="R32" s="47"/>
      <c r="S32" s="38">
        <f>COUNTIFS(DataRegularSeason20242025!$D$2:$D$1315,S$1,DataRegularSeason20242025!$E$2:$E$1315,$A31,DataRegularSeason20242025!$N$2:$N$1315,1)</f>
        <v>0</v>
      </c>
      <c r="T32" s="39"/>
      <c r="U32" s="38">
        <f>COUNTIFS(DataRegularSeason20242025!$D$2:$D$1315,U$1,DataRegularSeason20242025!$E$2:$E$1315,$A31,DataRegularSeason20242025!$N$2:$N$1315,1)</f>
        <v>1</v>
      </c>
      <c r="V32" s="39"/>
      <c r="W32" s="38">
        <f>COUNTIFS(DataRegularSeason20242025!$D$2:$D$1315,W$1,DataRegularSeason20242025!$E$2:$E$1315,$A31,DataRegularSeason20242025!$N$2:$N$1315,1)</f>
        <v>0</v>
      </c>
      <c r="X32" s="39"/>
      <c r="Y32" s="38">
        <f>COUNTIFS(DataRegularSeason20242025!$D$2:$D$1315,Y$1,DataRegularSeason20242025!$E$2:$E$1315,$A31,DataRegularSeason20242025!$N$2:$N$1315,1)</f>
        <v>0</v>
      </c>
      <c r="Z32" s="39"/>
      <c r="AA32" s="38">
        <f>COUNTIFS(DataRegularSeason20242025!$D$2:$D$1315,AA$1,DataRegularSeason20242025!$E$2:$E$1315,$A31,DataRegularSeason20242025!$N$2:$N$1315,1)</f>
        <v>0</v>
      </c>
      <c r="AB32" s="39"/>
      <c r="AC32" s="38">
        <f>COUNTIFS(DataRegularSeason20242025!$D$2:$D$1315,AC$1,DataRegularSeason20242025!$E$2:$E$1315,$A31,DataRegularSeason20242025!$N$2:$N$1315,1)</f>
        <v>0</v>
      </c>
      <c r="AD32" s="39"/>
      <c r="AE32" s="38"/>
      <c r="AF32" s="39"/>
      <c r="AG32" s="38">
        <f>COUNTIFS(DataRegularSeason20242025!$D$2:$D$1315,AG$1,DataRegularSeason20242025!$E$2:$E$1315,$A31,DataRegularSeason20242025!$N$2:$N$1315,1)</f>
        <v>0</v>
      </c>
      <c r="AH32" s="47"/>
      <c r="AI32" s="38">
        <f>COUNTIFS(DataRegularSeason20242025!$D$2:$D$1315,AI$1,DataRegularSeason20242025!$E$2:$E$1315,$A31,DataRegularSeason20242025!$N$2:$N$1315,1)</f>
        <v>0</v>
      </c>
      <c r="AJ32" s="39"/>
      <c r="AK32" s="38">
        <f>COUNTIFS(DataRegularSeason20242025!$D$2:$D$1315,AK$1,DataRegularSeason20242025!$E$2:$E$1315,$A31,DataRegularSeason20242025!$N$2:$N$1315,1)</f>
        <v>0</v>
      </c>
      <c r="AL32" s="39"/>
      <c r="AM32" s="38">
        <f>COUNTIFS(DataRegularSeason20242025!$D$2:$D$1315,AM$1,DataRegularSeason20242025!$E$2:$E$1315,$A31,DataRegularSeason20242025!$N$2:$N$1315,1)</f>
        <v>0</v>
      </c>
      <c r="AN32" s="39"/>
      <c r="AO32" s="38">
        <f>COUNTIFS(DataRegularSeason20242025!$D$2:$D$1315,AO$1,DataRegularSeason20242025!$E$2:$E$1315,$A31,DataRegularSeason20242025!$N$2:$N$1315,1)</f>
        <v>0</v>
      </c>
      <c r="AP32" s="39"/>
      <c r="AQ32" s="38">
        <f>COUNTIFS(DataRegularSeason20242025!$D$2:$D$1315,AQ$1,DataRegularSeason20242025!$E$2:$E$1315,$A31,DataRegularSeason20242025!$N$2:$N$1315,1)</f>
        <v>0</v>
      </c>
      <c r="AR32" s="39"/>
      <c r="AS32" s="38">
        <f>COUNTIFS(DataRegularSeason20242025!$D$2:$D$1315,AS$1,DataRegularSeason20242025!$E$2:$E$1315,$A31,DataRegularSeason20242025!$N$2:$N$1315,1)</f>
        <v>0</v>
      </c>
      <c r="AT32" s="39"/>
      <c r="AU32" s="38">
        <f>COUNTIFS(DataRegularSeason20242025!$D$2:$D$1315,AU$1,DataRegularSeason20242025!$E$2:$E$1315,$A31,DataRegularSeason20242025!$N$2:$N$1315,1)</f>
        <v>0</v>
      </c>
      <c r="AV32" s="39"/>
      <c r="AW32" s="38">
        <f>COUNTIFS(DataRegularSeason20242025!$D$2:$D$1315,AW$1,DataRegularSeason20242025!$E$2:$E$1315,$A31,DataRegularSeason20242025!$N$2:$N$1315,1)</f>
        <v>0</v>
      </c>
      <c r="AX32" s="47"/>
      <c r="AY32" s="38">
        <f>COUNTIFS(DataRegularSeason20242025!$D$2:$D$1315,AY$1,DataRegularSeason20242025!$E$2:$E$1315,$A31,DataRegularSeason20242025!$N$2:$N$1315,1)</f>
        <v>1</v>
      </c>
      <c r="AZ32" s="39"/>
      <c r="BA32" s="38">
        <f>COUNTIFS(DataRegularSeason20242025!$D$2:$D$1315,BA$1,DataRegularSeason20242025!$E$2:$E$1315,$A31,DataRegularSeason20242025!$N$2:$N$1315,1)</f>
        <v>0</v>
      </c>
      <c r="BB32" s="39"/>
      <c r="BC32" s="38">
        <f>COUNTIFS(DataRegularSeason20242025!$D$2:$D$1315,BC$1,DataRegularSeason20242025!$E$2:$E$1315,$A31,DataRegularSeason20242025!$N$2:$N$1315,1)</f>
        <v>0</v>
      </c>
      <c r="BD32" s="39"/>
      <c r="BE32" s="38">
        <f>COUNTIFS(DataRegularSeason20242025!$D$2:$D$1315,BE$1,DataRegularSeason20242025!$E$2:$E$1315,$A31,DataRegularSeason20242025!$N$2:$N$1315,1)</f>
        <v>0</v>
      </c>
      <c r="BF32" s="39"/>
      <c r="BG32" s="38">
        <f>COUNTIFS(DataRegularSeason20242025!$D$2:$D$1315,BG$1,DataRegularSeason20242025!$E$2:$E$1315,$A31,DataRegularSeason20242025!$N$2:$N$1315,1)</f>
        <v>0</v>
      </c>
      <c r="BH32" s="39"/>
      <c r="BI32" s="38">
        <f>COUNTIFS(DataRegularSeason20242025!$D$2:$D$1315,BI$1,DataRegularSeason20242025!$E$2:$E$1315,$A31,DataRegularSeason20242025!$N$2:$N$1315,1)</f>
        <v>0</v>
      </c>
      <c r="BJ32" s="39"/>
      <c r="BK32" s="38">
        <f>COUNTIFS(DataRegularSeason20242025!$D$2:$D$1315,BK$1,DataRegularSeason20242025!$E$2:$E$1315,$A31,DataRegularSeason20242025!$N$2:$N$1315,1)</f>
        <v>0</v>
      </c>
      <c r="BL32" s="39"/>
      <c r="BM32" s="38">
        <f>COUNTIFS(DataRegularSeason20242025!$D$2:$D$1315,BM$1,DataRegularSeason20242025!$E$2:$E$1315,$A31,DataRegularSeason20242025!$N$2:$N$1315,1)</f>
        <v>0</v>
      </c>
      <c r="BN32" s="39"/>
      <c r="BO32" s="34">
        <f t="shared" si="1"/>
        <v>4</v>
      </c>
      <c r="BP32" s="165"/>
      <c r="BQ32" s="166"/>
      <c r="BR32" s="173"/>
    </row>
    <row r="33" spans="1:70" ht="9.9499999999999993" customHeight="1" x14ac:dyDescent="0.25">
      <c r="A33" s="172" t="s">
        <v>21</v>
      </c>
      <c r="B33" s="28" t="s">
        <v>74</v>
      </c>
      <c r="C33" s="35"/>
      <c r="D33" s="28">
        <f>COUNTIFS(DataRegularSeason20242025!$E$2:$E$1315,C$1,DataRegularSeason20242025!$D$2:$D$1315,$A33,DataRegularSeason20242025!$N$2:$N$1315,1)</f>
        <v>0</v>
      </c>
      <c r="E33" s="35"/>
      <c r="F33" s="28">
        <f>COUNTIFS(DataRegularSeason20242025!$E$2:$E$1315,E$1,DataRegularSeason20242025!$D$2:$D$1315,$A33,DataRegularSeason20242025!$N$2:$N$1315,1)</f>
        <v>1</v>
      </c>
      <c r="G33" s="35"/>
      <c r="H33" s="28">
        <f>COUNTIFS(DataRegularSeason20242025!$E$2:$E$1315,G$1,DataRegularSeason20242025!$D$2:$D$1315,$A33,DataRegularSeason20242025!$N$2:$N$1315,1)</f>
        <v>0</v>
      </c>
      <c r="I33" s="35"/>
      <c r="J33" s="28">
        <f>COUNTIFS(DataRegularSeason20242025!$E$2:$E$1315,I$1,DataRegularSeason20242025!$D$2:$D$1315,$A33,DataRegularSeason20242025!$N$2:$N$1315,1)</f>
        <v>0</v>
      </c>
      <c r="K33" s="35"/>
      <c r="L33" s="28">
        <f>COUNTIFS(DataRegularSeason20242025!$E$2:$E$1315,K$1,DataRegularSeason20242025!$D$2:$D$1315,$A33,DataRegularSeason20242025!$N$2:$N$1315,1)</f>
        <v>0</v>
      </c>
      <c r="M33" s="35"/>
      <c r="N33" s="28">
        <f>COUNTIFS(DataRegularSeason20242025!$E$2:$E$1315,M$1,DataRegularSeason20242025!$D$2:$D$1315,$A33,DataRegularSeason20242025!$N$2:$N$1315,1)</f>
        <v>0</v>
      </c>
      <c r="O33" s="35"/>
      <c r="P33" s="28">
        <f>COUNTIFS(DataRegularSeason20242025!$E$2:$E$1315,O$1,DataRegularSeason20242025!$D$2:$D$1315,$A33,DataRegularSeason20242025!$N$2:$N$1315,1)</f>
        <v>0</v>
      </c>
      <c r="Q33" s="35"/>
      <c r="R33" s="46">
        <f>COUNTIFS(DataRegularSeason20242025!$E$2:$E$1315,Q$1,DataRegularSeason20242025!$D$2:$D$1315,$A33,DataRegularSeason20242025!$N$2:$N$1315,1)</f>
        <v>0</v>
      </c>
      <c r="S33" s="35"/>
      <c r="T33" s="28">
        <f>COUNTIFS(DataRegularSeason20242025!$E$2:$E$1315,S$1,DataRegularSeason20242025!$D$2:$D$1315,$A33,DataRegularSeason20242025!$N$2:$N$1315,1)</f>
        <v>0</v>
      </c>
      <c r="U33" s="35"/>
      <c r="V33" s="28">
        <f>COUNTIFS(DataRegularSeason20242025!$E$2:$E$1315,U$1,DataRegularSeason20242025!$D$2:$D$1315,$A33,DataRegularSeason20242025!$N$2:$N$1315,1)</f>
        <v>0</v>
      </c>
      <c r="W33" s="35"/>
      <c r="X33" s="28">
        <f>COUNTIFS(DataRegularSeason20242025!$E$2:$E$1315,W$1,DataRegularSeason20242025!$D$2:$D$1315,$A33,DataRegularSeason20242025!$N$2:$N$1315,1)</f>
        <v>0</v>
      </c>
      <c r="Y33" s="35"/>
      <c r="Z33" s="28">
        <f>COUNTIFS(DataRegularSeason20242025!$E$2:$E$1315,Y$1,DataRegularSeason20242025!$D$2:$D$1315,$A33,DataRegularSeason20242025!$N$2:$N$1315,1)</f>
        <v>0</v>
      </c>
      <c r="AA33" s="35"/>
      <c r="AB33" s="28">
        <f>COUNTIFS(DataRegularSeason20242025!$E$2:$E$1315,AA$1,DataRegularSeason20242025!$D$2:$D$1315,$A33,DataRegularSeason20242025!$N$2:$N$1315,1)</f>
        <v>0</v>
      </c>
      <c r="AC33" s="35"/>
      <c r="AD33" s="28">
        <f>COUNTIFS(DataRegularSeason20242025!$E$2:$E$1315,AC$1,DataRegularSeason20242025!$D$2:$D$1315,$A33,DataRegularSeason20242025!$N$2:$N$1315,1)</f>
        <v>0</v>
      </c>
      <c r="AE33" s="35"/>
      <c r="AF33" s="28">
        <f>COUNTIFS(DataRegularSeason20242025!$E$2:$E$1315,AE$1,DataRegularSeason20242025!$D$2:$D$1315,$A33,DataRegularSeason20242025!$N$2:$N$1315,1)</f>
        <v>0</v>
      </c>
      <c r="AG33" s="35"/>
      <c r="AH33" s="48"/>
      <c r="AI33" s="35"/>
      <c r="AJ33" s="28">
        <f>COUNTIFS(DataRegularSeason20242025!$E$2:$E$1315,AI$1,DataRegularSeason20242025!$D$2:$D$1315,$A33,DataRegularSeason20242025!$N$2:$N$1315,1)</f>
        <v>0</v>
      </c>
      <c r="AK33" s="35"/>
      <c r="AL33" s="28">
        <f>COUNTIFS(DataRegularSeason20242025!$E$2:$E$1315,AK$1,DataRegularSeason20242025!$D$2:$D$1315,$A33,DataRegularSeason20242025!$N$2:$N$1315,1)</f>
        <v>0</v>
      </c>
      <c r="AM33" s="35"/>
      <c r="AN33" s="28">
        <f>COUNTIFS(DataRegularSeason20242025!$E$2:$E$1315,AM$1,DataRegularSeason20242025!$D$2:$D$1315,$A33,DataRegularSeason20242025!$N$2:$N$1315,1)</f>
        <v>0</v>
      </c>
      <c r="AO33" s="35"/>
      <c r="AP33" s="28">
        <f>COUNTIFS(DataRegularSeason20242025!$E$2:$E$1315,AO$1,DataRegularSeason20242025!$D$2:$D$1315,$A33,DataRegularSeason20242025!$N$2:$N$1315,1)</f>
        <v>1</v>
      </c>
      <c r="AQ33" s="35"/>
      <c r="AR33" s="28">
        <f>COUNTIFS(DataRegularSeason20242025!$E$2:$E$1315,AQ$1,DataRegularSeason20242025!$D$2:$D$1315,$A33,DataRegularSeason20242025!$N$2:$N$1315,1)</f>
        <v>0</v>
      </c>
      <c r="AS33" s="35"/>
      <c r="AT33" s="28">
        <f>COUNTIFS(DataRegularSeason20242025!$E$2:$E$1315,AS$1,DataRegularSeason20242025!$D$2:$D$1315,$A33,DataRegularSeason20242025!$N$2:$N$1315,1)</f>
        <v>1</v>
      </c>
      <c r="AU33" s="35"/>
      <c r="AV33" s="28">
        <f>COUNTIFS(DataRegularSeason20242025!$E$2:$E$1315,AU$1,DataRegularSeason20242025!$D$2:$D$1315,$A33,DataRegularSeason20242025!$N$2:$N$1315,1)</f>
        <v>0</v>
      </c>
      <c r="AW33" s="35"/>
      <c r="AX33" s="46">
        <f>COUNTIFS(DataRegularSeason20242025!$E$2:$E$1315,AW$1,DataRegularSeason20242025!$D$2:$D$1315,$A33,DataRegularSeason20242025!$N$2:$N$1315,1)</f>
        <v>0</v>
      </c>
      <c r="AY33" s="35"/>
      <c r="AZ33" s="28">
        <f>COUNTIFS(DataRegularSeason20242025!$E$2:$E$1315,AY$1,DataRegularSeason20242025!$D$2:$D$1315,$A33,DataRegularSeason20242025!$N$2:$N$1315,1)</f>
        <v>0</v>
      </c>
      <c r="BA33" s="35"/>
      <c r="BB33" s="28">
        <f>COUNTIFS(DataRegularSeason20242025!$E$2:$E$1315,BA$1,DataRegularSeason20242025!$D$2:$D$1315,$A33,DataRegularSeason20242025!$N$2:$N$1315,1)</f>
        <v>0</v>
      </c>
      <c r="BC33" s="35"/>
      <c r="BD33" s="28">
        <f>COUNTIFS(DataRegularSeason20242025!$E$2:$E$1315,BC$1,DataRegularSeason20242025!$D$2:$D$1315,$A33,DataRegularSeason20242025!$N$2:$N$1315,1)</f>
        <v>0</v>
      </c>
      <c r="BE33" s="35"/>
      <c r="BF33" s="28">
        <f>COUNTIFS(DataRegularSeason20242025!$E$2:$E$1315,BE$1,DataRegularSeason20242025!$D$2:$D$1315,$A33,DataRegularSeason20242025!$N$2:$N$1315,1)</f>
        <v>0</v>
      </c>
      <c r="BG33" s="35"/>
      <c r="BH33" s="28">
        <f>COUNTIFS(DataRegularSeason20242025!$E$2:$E$1315,BG$1,DataRegularSeason20242025!$D$2:$D$1315,$A33,DataRegularSeason20242025!$N$2:$N$1315,1)</f>
        <v>0</v>
      </c>
      <c r="BI33" s="35"/>
      <c r="BJ33" s="28">
        <f>COUNTIFS(DataRegularSeason20242025!$E$2:$E$1315,BI$1,DataRegularSeason20242025!$D$2:$D$1315,$A33,DataRegularSeason20242025!$N$2:$N$1315,1)</f>
        <v>0</v>
      </c>
      <c r="BK33" s="35"/>
      <c r="BL33" s="28">
        <f>COUNTIFS(DataRegularSeason20242025!$E$2:$E$1315,BK$1,DataRegularSeason20242025!$D$2:$D$1315,$A33,DataRegularSeason20242025!$N$2:$N$1315,1)</f>
        <v>0</v>
      </c>
      <c r="BM33" s="35"/>
      <c r="BN33" s="28">
        <f>COUNTIFS(DataRegularSeason20242025!$E$2:$E$1315,BM$1,DataRegularSeason20242025!$D$2:$D$1315,$A33,DataRegularSeason20242025!$N$2:$N$1315,1)</f>
        <v>0</v>
      </c>
      <c r="BO33" s="30">
        <f t="shared" si="1"/>
        <v>3</v>
      </c>
      <c r="BP33" s="165">
        <f t="shared" ref="BP33" si="44">BO33+BO34</f>
        <v>6</v>
      </c>
      <c r="BQ33" s="166">
        <f t="shared" ref="BQ33" si="45">82-BP33</f>
        <v>76</v>
      </c>
      <c r="BR33" s="173">
        <f t="shared" ref="BR33" si="46">BP33/(BP33+BQ33)</f>
        <v>7.3170731707317069E-2</v>
      </c>
    </row>
    <row r="34" spans="1:70" ht="9.9499999999999993" customHeight="1" thickBot="1" x14ac:dyDescent="0.3">
      <c r="A34" s="166"/>
      <c r="B34" s="28" t="s">
        <v>73</v>
      </c>
      <c r="C34" s="49">
        <f>COUNTIFS(DataRegularSeason20242025!$D$2:$D$1315,C$1,DataRegularSeason20242025!$E$2:$E$1315,$A33,DataRegularSeason20242025!$N$2:$N$1315,1)</f>
        <v>0</v>
      </c>
      <c r="D34" s="50"/>
      <c r="E34" s="51">
        <f>COUNTIFS(DataRegularSeason20242025!$D$2:$D$1315,E$1,DataRegularSeason20242025!$E$2:$E$1315,$A33,DataRegularSeason20242025!$N$2:$N$1315,1)</f>
        <v>0</v>
      </c>
      <c r="F34" s="50"/>
      <c r="G34" s="51">
        <f>COUNTIFS(DataRegularSeason20242025!$D$2:$D$1315,G$1,DataRegularSeason20242025!$E$2:$E$1315,$A33,DataRegularSeason20242025!$N$2:$N$1315,1)</f>
        <v>0</v>
      </c>
      <c r="H34" s="50"/>
      <c r="I34" s="51">
        <f>COUNTIFS(DataRegularSeason20242025!$D$2:$D$1315,I$1,DataRegularSeason20242025!$E$2:$E$1315,$A33,DataRegularSeason20242025!$N$2:$N$1315,1)</f>
        <v>1</v>
      </c>
      <c r="J34" s="50"/>
      <c r="K34" s="51">
        <f>COUNTIFS(DataRegularSeason20242025!$D$2:$D$1315,K$1,DataRegularSeason20242025!$E$2:$E$1315,$A33,DataRegularSeason20242025!$N$2:$N$1315,1)</f>
        <v>0</v>
      </c>
      <c r="L34" s="50"/>
      <c r="M34" s="51">
        <f>COUNTIFS(DataRegularSeason20242025!$D$2:$D$1315,M$1,DataRegularSeason20242025!$E$2:$E$1315,$A33,DataRegularSeason20242025!$N$2:$N$1315,1)</f>
        <v>0</v>
      </c>
      <c r="N34" s="50"/>
      <c r="O34" s="51">
        <f>COUNTIFS(DataRegularSeason20242025!$D$2:$D$1315,O$1,DataRegularSeason20242025!$E$2:$E$1315,$A33,DataRegularSeason20242025!$N$2:$N$1315,1)</f>
        <v>0</v>
      </c>
      <c r="P34" s="50"/>
      <c r="Q34" s="51">
        <f>COUNTIFS(DataRegularSeason20242025!$D$2:$D$1315,Q$1,DataRegularSeason20242025!$E$2:$E$1315,$A33,DataRegularSeason20242025!$N$2:$N$1315,1)</f>
        <v>0</v>
      </c>
      <c r="R34" s="52"/>
      <c r="S34" s="51">
        <f>COUNTIFS(DataRegularSeason20242025!$D$2:$D$1315,S$1,DataRegularSeason20242025!$E$2:$E$1315,$A33,DataRegularSeason20242025!$N$2:$N$1315,1)</f>
        <v>0</v>
      </c>
      <c r="T34" s="50"/>
      <c r="U34" s="51">
        <f>COUNTIFS(DataRegularSeason20242025!$D$2:$D$1315,U$1,DataRegularSeason20242025!$E$2:$E$1315,$A33,DataRegularSeason20242025!$N$2:$N$1315,1)</f>
        <v>0</v>
      </c>
      <c r="V34" s="50"/>
      <c r="W34" s="51">
        <f>COUNTIFS(DataRegularSeason20242025!$D$2:$D$1315,W$1,DataRegularSeason20242025!$E$2:$E$1315,$A33,DataRegularSeason20242025!$N$2:$N$1315,1)</f>
        <v>1</v>
      </c>
      <c r="X34" s="50"/>
      <c r="Y34" s="51">
        <f>COUNTIFS(DataRegularSeason20242025!$D$2:$D$1315,Y$1,DataRegularSeason20242025!$E$2:$E$1315,$A33,DataRegularSeason20242025!$N$2:$N$1315,1)</f>
        <v>0</v>
      </c>
      <c r="Z34" s="50"/>
      <c r="AA34" s="51">
        <f>COUNTIFS(DataRegularSeason20242025!$D$2:$D$1315,AA$1,DataRegularSeason20242025!$E$2:$E$1315,$A33,DataRegularSeason20242025!$N$2:$N$1315,1)</f>
        <v>1</v>
      </c>
      <c r="AB34" s="50"/>
      <c r="AC34" s="51">
        <f>COUNTIFS(DataRegularSeason20242025!$D$2:$D$1315,AC$1,DataRegularSeason20242025!$E$2:$E$1315,$A33,DataRegularSeason20242025!$N$2:$N$1315,1)</f>
        <v>0</v>
      </c>
      <c r="AD34" s="50"/>
      <c r="AE34" s="51">
        <f>COUNTIFS(DataRegularSeason20242025!$D$2:$D$1315,AE$1,DataRegularSeason20242025!$E$2:$E$1315,$A33,DataRegularSeason20242025!$N$2:$N$1315,1)</f>
        <v>0</v>
      </c>
      <c r="AF34" s="50"/>
      <c r="AG34" s="51"/>
      <c r="AH34" s="52"/>
      <c r="AI34" s="51">
        <f>COUNTIFS(DataRegularSeason20242025!$D$2:$D$1315,AI$1,DataRegularSeason20242025!$E$2:$E$1315,$A33,DataRegularSeason20242025!$N$2:$N$1315,1)</f>
        <v>0</v>
      </c>
      <c r="AJ34" s="50"/>
      <c r="AK34" s="51">
        <f>COUNTIFS(DataRegularSeason20242025!$D$2:$D$1315,AK$1,DataRegularSeason20242025!$E$2:$E$1315,$A33,DataRegularSeason20242025!$N$2:$N$1315,1)</f>
        <v>0</v>
      </c>
      <c r="AL34" s="50"/>
      <c r="AM34" s="51">
        <f>COUNTIFS(DataRegularSeason20242025!$D$2:$D$1315,AM$1,DataRegularSeason20242025!$E$2:$E$1315,$A33,DataRegularSeason20242025!$N$2:$N$1315,1)</f>
        <v>0</v>
      </c>
      <c r="AN34" s="50"/>
      <c r="AO34" s="51">
        <f>COUNTIFS(DataRegularSeason20242025!$D$2:$D$1315,AO$1,DataRegularSeason20242025!$E$2:$E$1315,$A33,DataRegularSeason20242025!$N$2:$N$1315,1)</f>
        <v>0</v>
      </c>
      <c r="AP34" s="50"/>
      <c r="AQ34" s="51">
        <f>COUNTIFS(DataRegularSeason20242025!$D$2:$D$1315,AQ$1,DataRegularSeason20242025!$E$2:$E$1315,$A33,DataRegularSeason20242025!$N$2:$N$1315,1)</f>
        <v>0</v>
      </c>
      <c r="AR34" s="50"/>
      <c r="AS34" s="51">
        <f>COUNTIFS(DataRegularSeason20242025!$D$2:$D$1315,AS$1,DataRegularSeason20242025!$E$2:$E$1315,$A33,DataRegularSeason20242025!$N$2:$N$1315,1)</f>
        <v>0</v>
      </c>
      <c r="AT34" s="50"/>
      <c r="AU34" s="51">
        <f>COUNTIFS(DataRegularSeason20242025!$D$2:$D$1315,AU$1,DataRegularSeason20242025!$E$2:$E$1315,$A33,DataRegularSeason20242025!$N$2:$N$1315,1)</f>
        <v>0</v>
      </c>
      <c r="AV34" s="50"/>
      <c r="AW34" s="51">
        <f>COUNTIFS(DataRegularSeason20242025!$D$2:$D$1315,AW$1,DataRegularSeason20242025!$E$2:$E$1315,$A33,DataRegularSeason20242025!$N$2:$N$1315,1)</f>
        <v>0</v>
      </c>
      <c r="AX34" s="52"/>
      <c r="AY34" s="51">
        <f>COUNTIFS(DataRegularSeason20242025!$D$2:$D$1315,AY$1,DataRegularSeason20242025!$E$2:$E$1315,$A33,DataRegularSeason20242025!$N$2:$N$1315,1)</f>
        <v>0</v>
      </c>
      <c r="AZ34" s="50"/>
      <c r="BA34" s="51">
        <f>COUNTIFS(DataRegularSeason20242025!$D$2:$D$1315,BA$1,DataRegularSeason20242025!$E$2:$E$1315,$A33,DataRegularSeason20242025!$N$2:$N$1315,1)</f>
        <v>0</v>
      </c>
      <c r="BB34" s="50"/>
      <c r="BC34" s="51">
        <f>COUNTIFS(DataRegularSeason20242025!$D$2:$D$1315,BC$1,DataRegularSeason20242025!$E$2:$E$1315,$A33,DataRegularSeason20242025!$N$2:$N$1315,1)</f>
        <v>0</v>
      </c>
      <c r="BD34" s="50"/>
      <c r="BE34" s="51">
        <f>COUNTIFS(DataRegularSeason20242025!$D$2:$D$1315,BE$1,DataRegularSeason20242025!$E$2:$E$1315,$A33,DataRegularSeason20242025!$N$2:$N$1315,1)</f>
        <v>0</v>
      </c>
      <c r="BF34" s="50"/>
      <c r="BG34" s="51">
        <f>COUNTIFS(DataRegularSeason20242025!$D$2:$D$1315,BG$1,DataRegularSeason20242025!$E$2:$E$1315,$A33,DataRegularSeason20242025!$N$2:$N$1315,1)</f>
        <v>0</v>
      </c>
      <c r="BH34" s="50"/>
      <c r="BI34" s="51">
        <f>COUNTIFS(DataRegularSeason20242025!$D$2:$D$1315,BI$1,DataRegularSeason20242025!$E$2:$E$1315,$A33,DataRegularSeason20242025!$N$2:$N$1315,1)</f>
        <v>0</v>
      </c>
      <c r="BJ34" s="50"/>
      <c r="BK34" s="51">
        <f>COUNTIFS(DataRegularSeason20242025!$D$2:$D$1315,BK$1,DataRegularSeason20242025!$E$2:$E$1315,$A33,DataRegularSeason20242025!$N$2:$N$1315,1)</f>
        <v>0</v>
      </c>
      <c r="BL34" s="50"/>
      <c r="BM34" s="51">
        <f>COUNTIFS(DataRegularSeason20242025!$D$2:$D$1315,BM$1,DataRegularSeason20242025!$E$2:$E$1315,$A33,DataRegularSeason20242025!$N$2:$N$1315,1)</f>
        <v>0</v>
      </c>
      <c r="BN34" s="50"/>
      <c r="BO34" s="34">
        <f t="shared" si="1"/>
        <v>3</v>
      </c>
      <c r="BP34" s="165"/>
      <c r="BQ34" s="166"/>
      <c r="BR34" s="173"/>
    </row>
    <row r="35" spans="1:70" ht="9.9499999999999993" customHeight="1" thickTop="1" x14ac:dyDescent="0.25">
      <c r="A35" s="175" t="s">
        <v>41</v>
      </c>
      <c r="B35" s="56" t="s">
        <v>74</v>
      </c>
      <c r="C35" s="35"/>
      <c r="D35" s="28">
        <f>COUNTIFS(DataRegularSeason20242025!$E$2:$E$1315,C$1,DataRegularSeason20242025!$D$2:$D$1315,$A35,DataRegularSeason20242025!$N$2:$N$1315,1)</f>
        <v>1</v>
      </c>
      <c r="E35" s="35"/>
      <c r="F35" s="28">
        <f>COUNTIFS(DataRegularSeason20242025!$E$2:$E$1315,E$1,DataRegularSeason20242025!$D$2:$D$1315,$A35,DataRegularSeason20242025!$N$2:$N$1315,1)</f>
        <v>0</v>
      </c>
      <c r="G35" s="35"/>
      <c r="H35" s="28">
        <f>COUNTIFS(DataRegularSeason20242025!$E$2:$E$1315,G$1,DataRegularSeason20242025!$D$2:$D$1315,$A35,DataRegularSeason20242025!$N$2:$N$1315,1)</f>
        <v>0</v>
      </c>
      <c r="I35" s="35"/>
      <c r="J35" s="28">
        <f>COUNTIFS(DataRegularSeason20242025!$E$2:$E$1315,I$1,DataRegularSeason20242025!$D$2:$D$1315,$A35,DataRegularSeason20242025!$N$2:$N$1315,1)</f>
        <v>1</v>
      </c>
      <c r="K35" s="35"/>
      <c r="L35" s="28">
        <f>COUNTIFS(DataRegularSeason20242025!$E$2:$E$1315,K$1,DataRegularSeason20242025!$D$2:$D$1315,$A35,DataRegularSeason20242025!$N$2:$N$1315,1)</f>
        <v>0</v>
      </c>
      <c r="M35" s="35"/>
      <c r="N35" s="28">
        <f>COUNTIFS(DataRegularSeason20242025!$E$2:$E$1315,M$1,DataRegularSeason20242025!$D$2:$D$1315,$A35,DataRegularSeason20242025!$N$2:$N$1315,1)</f>
        <v>1</v>
      </c>
      <c r="O35" s="35"/>
      <c r="P35" s="28">
        <f>COUNTIFS(DataRegularSeason20242025!$E$2:$E$1315,O$1,DataRegularSeason20242025!$D$2:$D$1315,$A35,DataRegularSeason20242025!$N$2:$N$1315,1)</f>
        <v>0</v>
      </c>
      <c r="Q35" s="35"/>
      <c r="R35" s="46">
        <f>COUNTIFS(DataRegularSeason20242025!$E$2:$E$1315,Q$1,DataRegularSeason20242025!$D$2:$D$1315,$A35,DataRegularSeason20242025!$N$2:$N$1315,1)</f>
        <v>1</v>
      </c>
      <c r="S35" s="35"/>
      <c r="T35" s="28">
        <f>COUNTIFS(DataRegularSeason20242025!$E$2:$E$1315,S$1,DataRegularSeason20242025!$D$2:$D$1315,$A35,DataRegularSeason20242025!$N$2:$N$1315,1)</f>
        <v>0</v>
      </c>
      <c r="U35" s="35"/>
      <c r="V35" s="28">
        <f>COUNTIFS(DataRegularSeason20242025!$E$2:$E$1315,U$1,DataRegularSeason20242025!$D$2:$D$1315,$A35,DataRegularSeason20242025!$N$2:$N$1315,1)</f>
        <v>0</v>
      </c>
      <c r="W35" s="35"/>
      <c r="X35" s="28">
        <f>COUNTIFS(DataRegularSeason20242025!$E$2:$E$1315,W$1,DataRegularSeason20242025!$D$2:$D$1315,$A35,DataRegularSeason20242025!$N$2:$N$1315,1)</f>
        <v>0</v>
      </c>
      <c r="Y35" s="35"/>
      <c r="Z35" s="28">
        <f>COUNTIFS(DataRegularSeason20242025!$E$2:$E$1315,Y$1,DataRegularSeason20242025!$D$2:$D$1315,$A35,DataRegularSeason20242025!$N$2:$N$1315,1)</f>
        <v>0</v>
      </c>
      <c r="AA35" s="35"/>
      <c r="AB35" s="28">
        <f>COUNTIFS(DataRegularSeason20242025!$E$2:$E$1315,AA$1,DataRegularSeason20242025!$D$2:$D$1315,$A35,DataRegularSeason20242025!$N$2:$N$1315,1)</f>
        <v>0</v>
      </c>
      <c r="AC35" s="35"/>
      <c r="AD35" s="28">
        <f>COUNTIFS(DataRegularSeason20242025!$E$2:$E$1315,AC$1,DataRegularSeason20242025!$D$2:$D$1315,$A35,DataRegularSeason20242025!$N$2:$N$1315,1)</f>
        <v>0</v>
      </c>
      <c r="AE35" s="35"/>
      <c r="AF35" s="28">
        <f>COUNTIFS(DataRegularSeason20242025!$E$2:$E$1315,AE$1,DataRegularSeason20242025!$D$2:$D$1315,$A35,DataRegularSeason20242025!$N$2:$N$1315,1)</f>
        <v>0</v>
      </c>
      <c r="AG35" s="35"/>
      <c r="AH35" s="46">
        <f>COUNTIFS(DataRegularSeason20242025!$E$2:$E$1315,AG$1,DataRegularSeason20242025!$D$2:$D$1315,$A35,DataRegularSeason20242025!$N$2:$N$1315,1)</f>
        <v>0</v>
      </c>
      <c r="AI35" s="35"/>
      <c r="AJ35" s="36"/>
      <c r="AK35" s="35"/>
      <c r="AL35" s="28">
        <f>COUNTIFS(DataRegularSeason20242025!$E$2:$E$1315,AK$1,DataRegularSeason20242025!$D$2:$D$1315,$A35,DataRegularSeason20242025!$N$2:$N$1315,1)</f>
        <v>0</v>
      </c>
      <c r="AM35" s="35"/>
      <c r="AN35" s="28">
        <f>COUNTIFS(DataRegularSeason20242025!$E$2:$E$1315,AM$1,DataRegularSeason20242025!$D$2:$D$1315,$A35,DataRegularSeason20242025!$N$2:$N$1315,1)</f>
        <v>0</v>
      </c>
      <c r="AO35" s="35"/>
      <c r="AP35" s="28">
        <f>COUNTIFS(DataRegularSeason20242025!$E$2:$E$1315,AO$1,DataRegularSeason20242025!$D$2:$D$1315,$A35,DataRegularSeason20242025!$N$2:$N$1315,1)</f>
        <v>0</v>
      </c>
      <c r="AQ35" s="35"/>
      <c r="AR35" s="28">
        <f>COUNTIFS(DataRegularSeason20242025!$E$2:$E$1315,AQ$1,DataRegularSeason20242025!$D$2:$D$1315,$A35,DataRegularSeason20242025!$N$2:$N$1315,1)</f>
        <v>0</v>
      </c>
      <c r="AS35" s="35"/>
      <c r="AT35" s="28">
        <f>COUNTIFS(DataRegularSeason20242025!$E$2:$E$1315,AS$1,DataRegularSeason20242025!$D$2:$D$1315,$A35,DataRegularSeason20242025!$N$2:$N$1315,1)</f>
        <v>0</v>
      </c>
      <c r="AU35" s="35"/>
      <c r="AV35" s="28">
        <f>COUNTIFS(DataRegularSeason20242025!$E$2:$E$1315,AU$1,DataRegularSeason20242025!$D$2:$D$1315,$A35,DataRegularSeason20242025!$N$2:$N$1315,1)</f>
        <v>0</v>
      </c>
      <c r="AW35" s="35"/>
      <c r="AX35" s="54">
        <f>COUNTIFS(DataRegularSeason20242025!$E$2:$E$1315,AW$1,DataRegularSeason20242025!$D$2:$D$1315,$A35,DataRegularSeason20242025!$N$2:$N$1315,1)</f>
        <v>0</v>
      </c>
      <c r="AY35" s="35"/>
      <c r="AZ35" s="28">
        <f>COUNTIFS(DataRegularSeason20242025!$E$2:$E$1315,AY$1,DataRegularSeason20242025!$D$2:$D$1315,$A35,DataRegularSeason20242025!$N$2:$N$1315,1)</f>
        <v>0</v>
      </c>
      <c r="BA35" s="35"/>
      <c r="BB35" s="28">
        <f>COUNTIFS(DataRegularSeason20242025!$E$2:$E$1315,BA$1,DataRegularSeason20242025!$D$2:$D$1315,$A35,DataRegularSeason20242025!$N$2:$N$1315,1)</f>
        <v>0</v>
      </c>
      <c r="BC35" s="35"/>
      <c r="BD35" s="28">
        <f>COUNTIFS(DataRegularSeason20242025!$E$2:$E$1315,BC$1,DataRegularSeason20242025!$D$2:$D$1315,$A35,DataRegularSeason20242025!$N$2:$N$1315,1)</f>
        <v>0</v>
      </c>
      <c r="BE35" s="35"/>
      <c r="BF35" s="28">
        <f>COUNTIFS(DataRegularSeason20242025!$E$2:$E$1315,BE$1,DataRegularSeason20242025!$D$2:$D$1315,$A35,DataRegularSeason20242025!$N$2:$N$1315,1)</f>
        <v>0</v>
      </c>
      <c r="BG35" s="35"/>
      <c r="BH35" s="28">
        <f>COUNTIFS(DataRegularSeason20242025!$E$2:$E$1315,BG$1,DataRegularSeason20242025!$D$2:$D$1315,$A35,DataRegularSeason20242025!$N$2:$N$1315,1)</f>
        <v>0</v>
      </c>
      <c r="BI35" s="35"/>
      <c r="BJ35" s="28">
        <f>COUNTIFS(DataRegularSeason20242025!$E$2:$E$1315,BI$1,DataRegularSeason20242025!$D$2:$D$1315,$A35,DataRegularSeason20242025!$N$2:$N$1315,1)</f>
        <v>0</v>
      </c>
      <c r="BK35" s="35"/>
      <c r="BL35" s="28">
        <f>COUNTIFS(DataRegularSeason20242025!$E$2:$E$1315,BK$1,DataRegularSeason20242025!$D$2:$D$1315,$A35,DataRegularSeason20242025!$N$2:$N$1315,1)</f>
        <v>0</v>
      </c>
      <c r="BM35" s="35"/>
      <c r="BN35" s="28">
        <f>COUNTIFS(DataRegularSeason20242025!$E$2:$E$1315,BM$1,DataRegularSeason20242025!$D$2:$D$1315,$A35,DataRegularSeason20242025!$N$2:$N$1315,1)</f>
        <v>0</v>
      </c>
      <c r="BO35" s="30">
        <f t="shared" si="1"/>
        <v>4</v>
      </c>
      <c r="BP35" s="165">
        <f t="shared" ref="BP35" si="47">BO35+BO36</f>
        <v>6</v>
      </c>
      <c r="BQ35" s="166">
        <f t="shared" ref="BQ35" si="48">82-BP35</f>
        <v>76</v>
      </c>
      <c r="BR35" s="173">
        <f t="shared" ref="BR35" si="49">BP35/(BP35+BQ35)</f>
        <v>7.3170731707317069E-2</v>
      </c>
    </row>
    <row r="36" spans="1:70" ht="9.9499999999999993" customHeight="1" x14ac:dyDescent="0.25">
      <c r="A36" s="167"/>
      <c r="B36" s="32" t="s">
        <v>73</v>
      </c>
      <c r="C36" s="38">
        <f>COUNTIFS(DataRegularSeason20242025!$D$2:$D$1315,C$1,DataRegularSeason20242025!$E$2:$E$1315,$A35,DataRegularSeason20242025!$N$2:$N$1315,1)</f>
        <v>0</v>
      </c>
      <c r="D36" s="39"/>
      <c r="E36" s="38">
        <f>COUNTIFS(DataRegularSeason20242025!$D$2:$D$1315,E$1,DataRegularSeason20242025!$E$2:$E$1315,$A35,DataRegularSeason20242025!$N$2:$N$1315,1)</f>
        <v>0</v>
      </c>
      <c r="F36" s="39"/>
      <c r="G36" s="38">
        <f>COUNTIFS(DataRegularSeason20242025!$D$2:$D$1315,G$1,DataRegularSeason20242025!$E$2:$E$1315,$A35,DataRegularSeason20242025!$N$2:$N$1315,1)</f>
        <v>0</v>
      </c>
      <c r="H36" s="39"/>
      <c r="I36" s="38">
        <f>COUNTIFS(DataRegularSeason20242025!$D$2:$D$1315,I$1,DataRegularSeason20242025!$E$2:$E$1315,$A35,DataRegularSeason20242025!$N$2:$N$1315,1)</f>
        <v>0</v>
      </c>
      <c r="J36" s="39"/>
      <c r="K36" s="38">
        <f>COUNTIFS(DataRegularSeason20242025!$D$2:$D$1315,K$1,DataRegularSeason20242025!$E$2:$E$1315,$A35,DataRegularSeason20242025!$N$2:$N$1315,1)</f>
        <v>0</v>
      </c>
      <c r="L36" s="39"/>
      <c r="M36" s="38">
        <f>COUNTIFS(DataRegularSeason20242025!$D$2:$D$1315,M$1,DataRegularSeason20242025!$E$2:$E$1315,$A35,DataRegularSeason20242025!$N$2:$N$1315,1)</f>
        <v>0</v>
      </c>
      <c r="N36" s="39"/>
      <c r="O36" s="38">
        <f>COUNTIFS(DataRegularSeason20242025!$D$2:$D$1315,O$1,DataRegularSeason20242025!$E$2:$E$1315,$A35,DataRegularSeason20242025!$N$2:$N$1315,1)</f>
        <v>0</v>
      </c>
      <c r="P36" s="39"/>
      <c r="Q36" s="38">
        <f>COUNTIFS(DataRegularSeason20242025!$D$2:$D$1315,Q$1,DataRegularSeason20242025!$E$2:$E$1315,$A35,DataRegularSeason20242025!$N$2:$N$1315,1)</f>
        <v>0</v>
      </c>
      <c r="R36" s="47"/>
      <c r="S36" s="38">
        <f>COUNTIFS(DataRegularSeason20242025!$D$2:$D$1315,S$1,DataRegularSeason20242025!$E$2:$E$1315,$A35,DataRegularSeason20242025!$N$2:$N$1315,1)</f>
        <v>0</v>
      </c>
      <c r="T36" s="39"/>
      <c r="U36" s="38">
        <f>COUNTIFS(DataRegularSeason20242025!$D$2:$D$1315,U$1,DataRegularSeason20242025!$E$2:$E$1315,$A35,DataRegularSeason20242025!$N$2:$N$1315,1)</f>
        <v>0</v>
      </c>
      <c r="V36" s="39"/>
      <c r="W36" s="38">
        <f>COUNTIFS(DataRegularSeason20242025!$D$2:$D$1315,W$1,DataRegularSeason20242025!$E$2:$E$1315,$A35,DataRegularSeason20242025!$N$2:$N$1315,1)</f>
        <v>0</v>
      </c>
      <c r="X36" s="39"/>
      <c r="Y36" s="38">
        <f>COUNTIFS(DataRegularSeason20242025!$D$2:$D$1315,Y$1,DataRegularSeason20242025!$E$2:$E$1315,$A35,DataRegularSeason20242025!$N$2:$N$1315,1)</f>
        <v>0</v>
      </c>
      <c r="Z36" s="39"/>
      <c r="AA36" s="38">
        <f>COUNTIFS(DataRegularSeason20242025!$D$2:$D$1315,AA$1,DataRegularSeason20242025!$E$2:$E$1315,$A35,DataRegularSeason20242025!$N$2:$N$1315,1)</f>
        <v>0</v>
      </c>
      <c r="AB36" s="39"/>
      <c r="AC36" s="38">
        <f>COUNTIFS(DataRegularSeason20242025!$D$2:$D$1315,AC$1,DataRegularSeason20242025!$E$2:$E$1315,$A35,DataRegularSeason20242025!$N$2:$N$1315,1)</f>
        <v>0</v>
      </c>
      <c r="AD36" s="39"/>
      <c r="AE36" s="38">
        <f>COUNTIFS(DataRegularSeason20242025!$D$2:$D$1315,AE$1,DataRegularSeason20242025!$E$2:$E$1315,$A35,DataRegularSeason20242025!$N$2:$N$1315,1)</f>
        <v>0</v>
      </c>
      <c r="AF36" s="39"/>
      <c r="AG36" s="38">
        <f>COUNTIFS(DataRegularSeason20242025!$D$2:$D$1315,AG$1,DataRegularSeason20242025!$E$2:$E$1315,$A35,DataRegularSeason20242025!$N$2:$N$1315,1)</f>
        <v>0</v>
      </c>
      <c r="AH36" s="47"/>
      <c r="AI36" s="38"/>
      <c r="AJ36" s="39"/>
      <c r="AK36" s="38">
        <f>COUNTIFS(DataRegularSeason20242025!$D$2:$D$1315,AK$1,DataRegularSeason20242025!$E$2:$E$1315,$A35,DataRegularSeason20242025!$N$2:$N$1315,1)</f>
        <v>0</v>
      </c>
      <c r="AL36" s="39"/>
      <c r="AM36" s="38">
        <f>COUNTIFS(DataRegularSeason20242025!$D$2:$D$1315,AM$1,DataRegularSeason20242025!$E$2:$E$1315,$A35,DataRegularSeason20242025!$N$2:$N$1315,1)</f>
        <v>1</v>
      </c>
      <c r="AN36" s="39"/>
      <c r="AO36" s="38">
        <f>COUNTIFS(DataRegularSeason20242025!$D$2:$D$1315,AO$1,DataRegularSeason20242025!$E$2:$E$1315,$A35,DataRegularSeason20242025!$N$2:$N$1315,1)</f>
        <v>0</v>
      </c>
      <c r="AP36" s="39"/>
      <c r="AQ36" s="38">
        <f>COUNTIFS(DataRegularSeason20242025!$D$2:$D$1315,AQ$1,DataRegularSeason20242025!$E$2:$E$1315,$A35,DataRegularSeason20242025!$N$2:$N$1315,1)</f>
        <v>0</v>
      </c>
      <c r="AR36" s="39"/>
      <c r="AS36" s="38">
        <f>COUNTIFS(DataRegularSeason20242025!$D$2:$D$1315,AS$1,DataRegularSeason20242025!$E$2:$E$1315,$A35,DataRegularSeason20242025!$N$2:$N$1315,1)</f>
        <v>1</v>
      </c>
      <c r="AT36" s="39"/>
      <c r="AU36" s="38">
        <f>COUNTIFS(DataRegularSeason20242025!$D$2:$D$1315,AU$1,DataRegularSeason20242025!$E$2:$E$1315,$A35,DataRegularSeason20242025!$N$2:$N$1315,1)</f>
        <v>0</v>
      </c>
      <c r="AV36" s="39"/>
      <c r="AW36" s="38">
        <f>COUNTIFS(DataRegularSeason20242025!$D$2:$D$1315,AW$1,DataRegularSeason20242025!$E$2:$E$1315,$A35,DataRegularSeason20242025!$N$2:$N$1315,1)</f>
        <v>0</v>
      </c>
      <c r="AX36" s="47"/>
      <c r="AY36" s="38">
        <f>COUNTIFS(DataRegularSeason20242025!$D$2:$D$1315,AY$1,DataRegularSeason20242025!$E$2:$E$1315,$A35,DataRegularSeason20242025!$N$2:$N$1315,1)</f>
        <v>0</v>
      </c>
      <c r="AZ36" s="39"/>
      <c r="BA36" s="38">
        <f>COUNTIFS(DataRegularSeason20242025!$D$2:$D$1315,BA$1,DataRegularSeason20242025!$E$2:$E$1315,$A35,DataRegularSeason20242025!$N$2:$N$1315,1)</f>
        <v>0</v>
      </c>
      <c r="BB36" s="39"/>
      <c r="BC36" s="38">
        <f>COUNTIFS(DataRegularSeason20242025!$D$2:$D$1315,BC$1,DataRegularSeason20242025!$E$2:$E$1315,$A35,DataRegularSeason20242025!$N$2:$N$1315,1)</f>
        <v>0</v>
      </c>
      <c r="BD36" s="39"/>
      <c r="BE36" s="38">
        <f>COUNTIFS(DataRegularSeason20242025!$D$2:$D$1315,BE$1,DataRegularSeason20242025!$E$2:$E$1315,$A35,DataRegularSeason20242025!$N$2:$N$1315,1)</f>
        <v>0</v>
      </c>
      <c r="BF36" s="39"/>
      <c r="BG36" s="38">
        <f>COUNTIFS(DataRegularSeason20242025!$D$2:$D$1315,BG$1,DataRegularSeason20242025!$E$2:$E$1315,$A35,DataRegularSeason20242025!$N$2:$N$1315,1)</f>
        <v>0</v>
      </c>
      <c r="BH36" s="39"/>
      <c r="BI36" s="38">
        <f>COUNTIFS(DataRegularSeason20242025!$D$2:$D$1315,BI$1,DataRegularSeason20242025!$E$2:$E$1315,$A35,DataRegularSeason20242025!$N$2:$N$1315,1)</f>
        <v>0</v>
      </c>
      <c r="BJ36" s="39"/>
      <c r="BK36" s="38">
        <f>COUNTIFS(DataRegularSeason20242025!$D$2:$D$1315,BK$1,DataRegularSeason20242025!$E$2:$E$1315,$A35,DataRegularSeason20242025!$N$2:$N$1315,1)</f>
        <v>0</v>
      </c>
      <c r="BL36" s="39"/>
      <c r="BM36" s="38">
        <f>COUNTIFS(DataRegularSeason20242025!$D$2:$D$1315,BM$1,DataRegularSeason20242025!$E$2:$E$1315,$A35,DataRegularSeason20242025!$N$2:$N$1315,1)</f>
        <v>0</v>
      </c>
      <c r="BN36" s="39"/>
      <c r="BO36" s="34">
        <f t="shared" si="1"/>
        <v>2</v>
      </c>
      <c r="BP36" s="165"/>
      <c r="BQ36" s="166"/>
      <c r="BR36" s="173"/>
    </row>
    <row r="37" spans="1:70" ht="9.9499999999999993" customHeight="1" x14ac:dyDescent="0.25">
      <c r="A37" s="172" t="s">
        <v>35</v>
      </c>
      <c r="B37" s="28" t="s">
        <v>74</v>
      </c>
      <c r="C37" s="35"/>
      <c r="D37" s="28">
        <f>COUNTIFS(DataRegularSeason20242025!$E$2:$E$1315,C$1,DataRegularSeason20242025!$D$2:$D$1315,$A37,DataRegularSeason20242025!$N$2:$N$1315,1)</f>
        <v>0</v>
      </c>
      <c r="E37" s="35"/>
      <c r="F37" s="28">
        <f>COUNTIFS(DataRegularSeason20242025!$E$2:$E$1315,E$1,DataRegularSeason20242025!$D$2:$D$1315,$A37,DataRegularSeason20242025!$N$2:$N$1315,1)</f>
        <v>0</v>
      </c>
      <c r="G37" s="35"/>
      <c r="H37" s="28">
        <f>COUNTIFS(DataRegularSeason20242025!$E$2:$E$1315,G$1,DataRegularSeason20242025!$D$2:$D$1315,$A37,DataRegularSeason20242025!$N$2:$N$1315,1)</f>
        <v>0</v>
      </c>
      <c r="I37" s="35"/>
      <c r="J37" s="28">
        <f>COUNTIFS(DataRegularSeason20242025!$E$2:$E$1315,I$1,DataRegularSeason20242025!$D$2:$D$1315,$A37,DataRegularSeason20242025!$N$2:$N$1315,1)</f>
        <v>0</v>
      </c>
      <c r="K37" s="35"/>
      <c r="L37" s="28">
        <f>COUNTIFS(DataRegularSeason20242025!$E$2:$E$1315,K$1,DataRegularSeason20242025!$D$2:$D$1315,$A37,DataRegularSeason20242025!$N$2:$N$1315,1)</f>
        <v>0</v>
      </c>
      <c r="M37" s="35"/>
      <c r="N37" s="28">
        <f>COUNTIFS(DataRegularSeason20242025!$E$2:$E$1315,M$1,DataRegularSeason20242025!$D$2:$D$1315,$A37,DataRegularSeason20242025!$N$2:$N$1315,1)</f>
        <v>0</v>
      </c>
      <c r="O37" s="35"/>
      <c r="P37" s="28">
        <f>COUNTIFS(DataRegularSeason20242025!$E$2:$E$1315,O$1,DataRegularSeason20242025!$D$2:$D$1315,$A37,DataRegularSeason20242025!$N$2:$N$1315,1)</f>
        <v>0</v>
      </c>
      <c r="Q37" s="35"/>
      <c r="R37" s="46">
        <f>COUNTIFS(DataRegularSeason20242025!$E$2:$E$1315,Q$1,DataRegularSeason20242025!$D$2:$D$1315,$A37,DataRegularSeason20242025!$N$2:$N$1315,1)</f>
        <v>0</v>
      </c>
      <c r="S37" s="35"/>
      <c r="T37" s="28">
        <f>COUNTIFS(DataRegularSeason20242025!$E$2:$E$1315,S$1,DataRegularSeason20242025!$D$2:$D$1315,$A37,DataRegularSeason20242025!$N$2:$N$1315,1)</f>
        <v>0</v>
      </c>
      <c r="U37" s="35"/>
      <c r="V37" s="28">
        <f>COUNTIFS(DataRegularSeason20242025!$E$2:$E$1315,U$1,DataRegularSeason20242025!$D$2:$D$1315,$A37,DataRegularSeason20242025!$N$2:$N$1315,1)</f>
        <v>0</v>
      </c>
      <c r="W37" s="35"/>
      <c r="X37" s="28">
        <f>COUNTIFS(DataRegularSeason20242025!$E$2:$E$1315,W$1,DataRegularSeason20242025!$D$2:$D$1315,$A37,DataRegularSeason20242025!$N$2:$N$1315,1)</f>
        <v>1</v>
      </c>
      <c r="Y37" s="35"/>
      <c r="Z37" s="28">
        <f>COUNTIFS(DataRegularSeason20242025!$E$2:$E$1315,Y$1,DataRegularSeason20242025!$D$2:$D$1315,$A37,DataRegularSeason20242025!$N$2:$N$1315,1)</f>
        <v>1</v>
      </c>
      <c r="AA37" s="35"/>
      <c r="AB37" s="28">
        <f>COUNTIFS(DataRegularSeason20242025!$E$2:$E$1315,AA$1,DataRegularSeason20242025!$D$2:$D$1315,$A37,DataRegularSeason20242025!$N$2:$N$1315,1)</f>
        <v>1</v>
      </c>
      <c r="AC37" s="35"/>
      <c r="AD37" s="28">
        <f>COUNTIFS(DataRegularSeason20242025!$E$2:$E$1315,AC$1,DataRegularSeason20242025!$D$2:$D$1315,$A37,DataRegularSeason20242025!$N$2:$N$1315,1)</f>
        <v>0</v>
      </c>
      <c r="AE37" s="35"/>
      <c r="AF37" s="28">
        <f>COUNTIFS(DataRegularSeason20242025!$E$2:$E$1315,AE$1,DataRegularSeason20242025!$D$2:$D$1315,$A37,DataRegularSeason20242025!$N$2:$N$1315,1)</f>
        <v>0</v>
      </c>
      <c r="AG37" s="35"/>
      <c r="AH37" s="46">
        <f>COUNTIFS(DataRegularSeason20242025!$E$2:$E$1315,AG$1,DataRegularSeason20242025!$D$2:$D$1315,$A37,DataRegularSeason20242025!$N$2:$N$1315,1)</f>
        <v>0</v>
      </c>
      <c r="AI37" s="35"/>
      <c r="AJ37" s="28">
        <f>COUNTIFS(DataRegularSeason20242025!$E$2:$E$1315,AI$1,DataRegularSeason20242025!$D$2:$D$1315,$A37,DataRegularSeason20242025!$N$2:$N$1315,1)</f>
        <v>0</v>
      </c>
      <c r="AK37" s="35"/>
      <c r="AL37" s="36"/>
      <c r="AM37" s="35"/>
      <c r="AN37" s="28">
        <f>COUNTIFS(DataRegularSeason20242025!$E$2:$E$1315,AM$1,DataRegularSeason20242025!$D$2:$D$1315,$A37,DataRegularSeason20242025!$N$2:$N$1315,1)</f>
        <v>0</v>
      </c>
      <c r="AO37" s="35"/>
      <c r="AP37" s="28">
        <f>COUNTIFS(DataRegularSeason20242025!$E$2:$E$1315,AO$1,DataRegularSeason20242025!$D$2:$D$1315,$A37,DataRegularSeason20242025!$N$2:$N$1315,1)</f>
        <v>0</v>
      </c>
      <c r="AQ37" s="35"/>
      <c r="AR37" s="28">
        <f>COUNTIFS(DataRegularSeason20242025!$E$2:$E$1315,AQ$1,DataRegularSeason20242025!$D$2:$D$1315,$A37,DataRegularSeason20242025!$N$2:$N$1315,1)</f>
        <v>0</v>
      </c>
      <c r="AS37" s="35"/>
      <c r="AT37" s="28">
        <f>COUNTIFS(DataRegularSeason20242025!$E$2:$E$1315,AS$1,DataRegularSeason20242025!$D$2:$D$1315,$A37,DataRegularSeason20242025!$N$2:$N$1315,1)</f>
        <v>0</v>
      </c>
      <c r="AU37" s="35"/>
      <c r="AV37" s="28">
        <f>COUNTIFS(DataRegularSeason20242025!$E$2:$E$1315,AU$1,DataRegularSeason20242025!$D$2:$D$1315,$A37,DataRegularSeason20242025!$N$2:$N$1315,1)</f>
        <v>0</v>
      </c>
      <c r="AW37" s="35"/>
      <c r="AX37" s="46">
        <f>COUNTIFS(DataRegularSeason20242025!$E$2:$E$1315,AW$1,DataRegularSeason20242025!$D$2:$D$1315,$A37,DataRegularSeason20242025!$N$2:$N$1315,1)</f>
        <v>0</v>
      </c>
      <c r="AY37" s="35"/>
      <c r="AZ37" s="28">
        <f>COUNTIFS(DataRegularSeason20242025!$E$2:$E$1315,AY$1,DataRegularSeason20242025!$D$2:$D$1315,$A37,DataRegularSeason20242025!$N$2:$N$1315,1)</f>
        <v>0</v>
      </c>
      <c r="BA37" s="35"/>
      <c r="BB37" s="28">
        <f>COUNTIFS(DataRegularSeason20242025!$E$2:$E$1315,BA$1,DataRegularSeason20242025!$D$2:$D$1315,$A37,DataRegularSeason20242025!$N$2:$N$1315,1)</f>
        <v>0</v>
      </c>
      <c r="BC37" s="35"/>
      <c r="BD37" s="28">
        <f>COUNTIFS(DataRegularSeason20242025!$E$2:$E$1315,BC$1,DataRegularSeason20242025!$D$2:$D$1315,$A37,DataRegularSeason20242025!$N$2:$N$1315,1)</f>
        <v>0</v>
      </c>
      <c r="BE37" s="35"/>
      <c r="BF37" s="28">
        <f>COUNTIFS(DataRegularSeason20242025!$E$2:$E$1315,BE$1,DataRegularSeason20242025!$D$2:$D$1315,$A37,DataRegularSeason20242025!$N$2:$N$1315,1)</f>
        <v>0</v>
      </c>
      <c r="BG37" s="35"/>
      <c r="BH37" s="28">
        <f>COUNTIFS(DataRegularSeason20242025!$E$2:$E$1315,BG$1,DataRegularSeason20242025!$D$2:$D$1315,$A37,DataRegularSeason20242025!$N$2:$N$1315,1)</f>
        <v>0</v>
      </c>
      <c r="BI37" s="35"/>
      <c r="BJ37" s="28">
        <f>COUNTIFS(DataRegularSeason20242025!$E$2:$E$1315,BI$1,DataRegularSeason20242025!$D$2:$D$1315,$A37,DataRegularSeason20242025!$N$2:$N$1315,1)</f>
        <v>0</v>
      </c>
      <c r="BK37" s="35"/>
      <c r="BL37" s="28">
        <f>COUNTIFS(DataRegularSeason20242025!$E$2:$E$1315,BK$1,DataRegularSeason20242025!$D$2:$D$1315,$A37,DataRegularSeason20242025!$N$2:$N$1315,1)</f>
        <v>0</v>
      </c>
      <c r="BM37" s="35"/>
      <c r="BN37" s="28">
        <f>COUNTIFS(DataRegularSeason20242025!$E$2:$E$1315,BM$1,DataRegularSeason20242025!$D$2:$D$1315,$A37,DataRegularSeason20242025!$N$2:$N$1315,1)</f>
        <v>0</v>
      </c>
      <c r="BO37" s="30">
        <f t="shared" si="1"/>
        <v>3</v>
      </c>
      <c r="BP37" s="165">
        <f t="shared" ref="BP37" si="50">BO37+BO38</f>
        <v>6</v>
      </c>
      <c r="BQ37" s="166">
        <f t="shared" ref="BQ37" si="51">82-BP37</f>
        <v>76</v>
      </c>
      <c r="BR37" s="173">
        <f t="shared" ref="BR37" si="52">BP37/(BP37+BQ37)</f>
        <v>7.3170731707317069E-2</v>
      </c>
    </row>
    <row r="38" spans="1:70" ht="9.9499999999999993" customHeight="1" x14ac:dyDescent="0.25">
      <c r="A38" s="167"/>
      <c r="B38" s="32" t="s">
        <v>73</v>
      </c>
      <c r="C38" s="38">
        <f>COUNTIFS(DataRegularSeason20242025!$D$2:$D$1315,C$1,DataRegularSeason20242025!$E$2:$E$1315,$A37,DataRegularSeason20242025!$N$2:$N$1315,1)</f>
        <v>0</v>
      </c>
      <c r="D38" s="39"/>
      <c r="E38" s="38">
        <f>COUNTIFS(DataRegularSeason20242025!$D$2:$D$1315,E$1,DataRegularSeason20242025!$E$2:$E$1315,$A37,DataRegularSeason20242025!$N$2:$N$1315,1)</f>
        <v>0</v>
      </c>
      <c r="F38" s="39"/>
      <c r="G38" s="38">
        <f>COUNTIFS(DataRegularSeason20242025!$D$2:$D$1315,G$1,DataRegularSeason20242025!$E$2:$E$1315,$A37,DataRegularSeason20242025!$N$2:$N$1315,1)</f>
        <v>0</v>
      </c>
      <c r="H38" s="39"/>
      <c r="I38" s="38">
        <f>COUNTIFS(DataRegularSeason20242025!$D$2:$D$1315,I$1,DataRegularSeason20242025!$E$2:$E$1315,$A37,DataRegularSeason20242025!$N$2:$N$1315,1)</f>
        <v>0</v>
      </c>
      <c r="J38" s="39"/>
      <c r="K38" s="38">
        <f>COUNTIFS(DataRegularSeason20242025!$D$2:$D$1315,K$1,DataRegularSeason20242025!$E$2:$E$1315,$A37,DataRegularSeason20242025!$N$2:$N$1315,1)</f>
        <v>0</v>
      </c>
      <c r="L38" s="39"/>
      <c r="M38" s="38">
        <f>COUNTIFS(DataRegularSeason20242025!$D$2:$D$1315,M$1,DataRegularSeason20242025!$E$2:$E$1315,$A37,DataRegularSeason20242025!$N$2:$N$1315,1)</f>
        <v>0</v>
      </c>
      <c r="N38" s="39"/>
      <c r="O38" s="38">
        <f>COUNTIFS(DataRegularSeason20242025!$D$2:$D$1315,O$1,DataRegularSeason20242025!$E$2:$E$1315,$A37,DataRegularSeason20242025!$N$2:$N$1315,1)</f>
        <v>0</v>
      </c>
      <c r="P38" s="39"/>
      <c r="Q38" s="38">
        <f>COUNTIFS(DataRegularSeason20242025!$D$2:$D$1315,Q$1,DataRegularSeason20242025!$E$2:$E$1315,$A37,DataRegularSeason20242025!$N$2:$N$1315,1)</f>
        <v>0</v>
      </c>
      <c r="R38" s="47"/>
      <c r="S38" s="38">
        <f>COUNTIFS(DataRegularSeason20242025!$D$2:$D$1315,S$1,DataRegularSeason20242025!$E$2:$E$1315,$A37,DataRegularSeason20242025!$N$2:$N$1315,1)</f>
        <v>0</v>
      </c>
      <c r="T38" s="39"/>
      <c r="U38" s="38">
        <f>COUNTIFS(DataRegularSeason20242025!$D$2:$D$1315,U$1,DataRegularSeason20242025!$E$2:$E$1315,$A37,DataRegularSeason20242025!$N$2:$N$1315,1)</f>
        <v>1</v>
      </c>
      <c r="V38" s="39"/>
      <c r="W38" s="38">
        <f>COUNTIFS(DataRegularSeason20242025!$D$2:$D$1315,W$1,DataRegularSeason20242025!$E$2:$E$1315,$A37,DataRegularSeason20242025!$N$2:$N$1315,1)</f>
        <v>0</v>
      </c>
      <c r="X38" s="39"/>
      <c r="Y38" s="38">
        <f>COUNTIFS(DataRegularSeason20242025!$D$2:$D$1315,Y$1,DataRegularSeason20242025!$E$2:$E$1315,$A37,DataRegularSeason20242025!$N$2:$N$1315,1)</f>
        <v>0</v>
      </c>
      <c r="Z38" s="39"/>
      <c r="AA38" s="38">
        <f>COUNTIFS(DataRegularSeason20242025!$D$2:$D$1315,AA$1,DataRegularSeason20242025!$E$2:$E$1315,$A37,DataRegularSeason20242025!$N$2:$N$1315,1)</f>
        <v>0</v>
      </c>
      <c r="AB38" s="39"/>
      <c r="AC38" s="38">
        <f>COUNTIFS(DataRegularSeason20242025!$D$2:$D$1315,AC$1,DataRegularSeason20242025!$E$2:$E$1315,$A37,DataRegularSeason20242025!$N$2:$N$1315,1)</f>
        <v>0</v>
      </c>
      <c r="AD38" s="39"/>
      <c r="AE38" s="38">
        <f>COUNTIFS(DataRegularSeason20242025!$D$2:$D$1315,AE$1,DataRegularSeason20242025!$E$2:$E$1315,$A37,DataRegularSeason20242025!$N$2:$N$1315,1)</f>
        <v>0</v>
      </c>
      <c r="AF38" s="39"/>
      <c r="AG38" s="38">
        <f>COUNTIFS(DataRegularSeason20242025!$D$2:$D$1315,AG$1,DataRegularSeason20242025!$E$2:$E$1315,$A37,DataRegularSeason20242025!$N$2:$N$1315,1)</f>
        <v>0</v>
      </c>
      <c r="AH38" s="47"/>
      <c r="AI38" s="38">
        <f>COUNTIFS(DataRegularSeason20242025!$D$2:$D$1315,AI$1,DataRegularSeason20242025!$E$2:$E$1315,$A37,DataRegularSeason20242025!$N$2:$N$1315,1)</f>
        <v>0</v>
      </c>
      <c r="AJ38" s="39"/>
      <c r="AK38" s="38"/>
      <c r="AL38" s="39"/>
      <c r="AM38" s="38">
        <f>COUNTIFS(DataRegularSeason20242025!$D$2:$D$1315,AM$1,DataRegularSeason20242025!$E$2:$E$1315,$A37,DataRegularSeason20242025!$N$2:$N$1315,1)</f>
        <v>1</v>
      </c>
      <c r="AN38" s="39"/>
      <c r="AO38" s="38">
        <f>COUNTIFS(DataRegularSeason20242025!$D$2:$D$1315,AO$1,DataRegularSeason20242025!$E$2:$E$1315,$A37,DataRegularSeason20242025!$N$2:$N$1315,1)</f>
        <v>0</v>
      </c>
      <c r="AP38" s="39"/>
      <c r="AQ38" s="38">
        <f>COUNTIFS(DataRegularSeason20242025!$D$2:$D$1315,AQ$1,DataRegularSeason20242025!$E$2:$E$1315,$A37,DataRegularSeason20242025!$N$2:$N$1315,1)</f>
        <v>0</v>
      </c>
      <c r="AR38" s="39"/>
      <c r="AS38" s="38">
        <f>COUNTIFS(DataRegularSeason20242025!$D$2:$D$1315,AS$1,DataRegularSeason20242025!$E$2:$E$1315,$A37,DataRegularSeason20242025!$N$2:$N$1315,1)</f>
        <v>0</v>
      </c>
      <c r="AT38" s="39"/>
      <c r="AU38" s="38">
        <f>COUNTIFS(DataRegularSeason20242025!$D$2:$D$1315,AU$1,DataRegularSeason20242025!$E$2:$E$1315,$A37,DataRegularSeason20242025!$N$2:$N$1315,1)</f>
        <v>0</v>
      </c>
      <c r="AV38" s="39"/>
      <c r="AW38" s="38">
        <f>COUNTIFS(DataRegularSeason20242025!$D$2:$D$1315,AW$1,DataRegularSeason20242025!$E$2:$E$1315,$A37,DataRegularSeason20242025!$N$2:$N$1315,1)</f>
        <v>0</v>
      </c>
      <c r="AX38" s="47"/>
      <c r="AY38" s="38">
        <f>COUNTIFS(DataRegularSeason20242025!$D$2:$D$1315,AY$1,DataRegularSeason20242025!$E$2:$E$1315,$A37,DataRegularSeason20242025!$N$2:$N$1315,1)</f>
        <v>0</v>
      </c>
      <c r="AZ38" s="39"/>
      <c r="BA38" s="38">
        <f>COUNTIFS(DataRegularSeason20242025!$D$2:$D$1315,BA$1,DataRegularSeason20242025!$E$2:$E$1315,$A37,DataRegularSeason20242025!$N$2:$N$1315,1)</f>
        <v>0</v>
      </c>
      <c r="BB38" s="39"/>
      <c r="BC38" s="38">
        <f>COUNTIFS(DataRegularSeason20242025!$D$2:$D$1315,BC$1,DataRegularSeason20242025!$E$2:$E$1315,$A37,DataRegularSeason20242025!$N$2:$N$1315,1)</f>
        <v>0</v>
      </c>
      <c r="BD38" s="39"/>
      <c r="BE38" s="38">
        <f>COUNTIFS(DataRegularSeason20242025!$D$2:$D$1315,BE$1,DataRegularSeason20242025!$E$2:$E$1315,$A37,DataRegularSeason20242025!$N$2:$N$1315,1)</f>
        <v>0</v>
      </c>
      <c r="BF38" s="39"/>
      <c r="BG38" s="38">
        <f>COUNTIFS(DataRegularSeason20242025!$D$2:$D$1315,BG$1,DataRegularSeason20242025!$E$2:$E$1315,$A37,DataRegularSeason20242025!$N$2:$N$1315,1)</f>
        <v>0</v>
      </c>
      <c r="BH38" s="39"/>
      <c r="BI38" s="38">
        <f>COUNTIFS(DataRegularSeason20242025!$D$2:$D$1315,BI$1,DataRegularSeason20242025!$E$2:$E$1315,$A37,DataRegularSeason20242025!$N$2:$N$1315,1)</f>
        <v>0</v>
      </c>
      <c r="BJ38" s="39"/>
      <c r="BK38" s="38">
        <f>COUNTIFS(DataRegularSeason20242025!$D$2:$D$1315,BK$1,DataRegularSeason20242025!$E$2:$E$1315,$A37,DataRegularSeason20242025!$N$2:$N$1315,1)</f>
        <v>1</v>
      </c>
      <c r="BL38" s="39"/>
      <c r="BM38" s="38">
        <f>COUNTIFS(DataRegularSeason20242025!$D$2:$D$1315,BM$1,DataRegularSeason20242025!$E$2:$E$1315,$A37,DataRegularSeason20242025!$N$2:$N$1315,1)</f>
        <v>0</v>
      </c>
      <c r="BN38" s="39"/>
      <c r="BO38" s="34">
        <f t="shared" si="1"/>
        <v>3</v>
      </c>
      <c r="BP38" s="165"/>
      <c r="BQ38" s="166"/>
      <c r="BR38" s="173"/>
    </row>
    <row r="39" spans="1:70" ht="9.9499999999999993" customHeight="1" x14ac:dyDescent="0.25">
      <c r="A39" s="172" t="s">
        <v>31</v>
      </c>
      <c r="B39" s="28" t="s">
        <v>74</v>
      </c>
      <c r="C39" s="35"/>
      <c r="D39" s="28">
        <f>COUNTIFS(DataRegularSeason20242025!$E$2:$E$1315,C$1,DataRegularSeason20242025!$D$2:$D$1315,$A39,DataRegularSeason20242025!$N$2:$N$1315,1)</f>
        <v>0</v>
      </c>
      <c r="E39" s="35"/>
      <c r="F39" s="28">
        <f>COUNTIFS(DataRegularSeason20242025!$E$2:$E$1315,E$1,DataRegularSeason20242025!$D$2:$D$1315,$A39,DataRegularSeason20242025!$N$2:$N$1315,1)</f>
        <v>0</v>
      </c>
      <c r="G39" s="35"/>
      <c r="H39" s="28">
        <f>COUNTIFS(DataRegularSeason20242025!$E$2:$E$1315,G$1,DataRegularSeason20242025!$D$2:$D$1315,$A39,DataRegularSeason20242025!$N$2:$N$1315,1)</f>
        <v>0</v>
      </c>
      <c r="I39" s="35"/>
      <c r="J39" s="28">
        <f>COUNTIFS(DataRegularSeason20242025!$E$2:$E$1315,I$1,DataRegularSeason20242025!$D$2:$D$1315,$A39,DataRegularSeason20242025!$N$2:$N$1315,1)</f>
        <v>0</v>
      </c>
      <c r="K39" s="35"/>
      <c r="L39" s="28">
        <f>COUNTIFS(DataRegularSeason20242025!$E$2:$E$1315,K$1,DataRegularSeason20242025!$D$2:$D$1315,$A39,DataRegularSeason20242025!$N$2:$N$1315,1)</f>
        <v>0</v>
      </c>
      <c r="M39" s="35"/>
      <c r="N39" s="28">
        <f>COUNTIFS(DataRegularSeason20242025!$E$2:$E$1315,M$1,DataRegularSeason20242025!$D$2:$D$1315,$A39,DataRegularSeason20242025!$N$2:$N$1315,1)</f>
        <v>0</v>
      </c>
      <c r="O39" s="35"/>
      <c r="P39" s="28">
        <f>COUNTIFS(DataRegularSeason20242025!$E$2:$E$1315,O$1,DataRegularSeason20242025!$D$2:$D$1315,$A39,DataRegularSeason20242025!$N$2:$N$1315,1)</f>
        <v>0</v>
      </c>
      <c r="Q39" s="35"/>
      <c r="R39" s="46">
        <f>COUNTIFS(DataRegularSeason20242025!$E$2:$E$1315,Q$1,DataRegularSeason20242025!$D$2:$D$1315,$A39,DataRegularSeason20242025!$N$2:$N$1315,1)</f>
        <v>0</v>
      </c>
      <c r="S39" s="35"/>
      <c r="T39" s="28">
        <f>COUNTIFS(DataRegularSeason20242025!$E$2:$E$1315,S$1,DataRegularSeason20242025!$D$2:$D$1315,$A39,DataRegularSeason20242025!$N$2:$N$1315,1)</f>
        <v>0</v>
      </c>
      <c r="U39" s="35"/>
      <c r="V39" s="28">
        <f>COUNTIFS(DataRegularSeason20242025!$E$2:$E$1315,U$1,DataRegularSeason20242025!$D$2:$D$1315,$A39,DataRegularSeason20242025!$N$2:$N$1315,1)</f>
        <v>0</v>
      </c>
      <c r="W39" s="35"/>
      <c r="X39" s="28">
        <f>COUNTIFS(DataRegularSeason20242025!$E$2:$E$1315,W$1,DataRegularSeason20242025!$D$2:$D$1315,$A39,DataRegularSeason20242025!$N$2:$N$1315,1)</f>
        <v>0</v>
      </c>
      <c r="Y39" s="35"/>
      <c r="Z39" s="28">
        <f>COUNTIFS(DataRegularSeason20242025!$E$2:$E$1315,Y$1,DataRegularSeason20242025!$D$2:$D$1315,$A39,DataRegularSeason20242025!$N$2:$N$1315,1)</f>
        <v>0</v>
      </c>
      <c r="AA39" s="35"/>
      <c r="AB39" s="28">
        <f>COUNTIFS(DataRegularSeason20242025!$E$2:$E$1315,AA$1,DataRegularSeason20242025!$D$2:$D$1315,$A39,DataRegularSeason20242025!$N$2:$N$1315,1)</f>
        <v>0</v>
      </c>
      <c r="AC39" s="35"/>
      <c r="AD39" s="28">
        <f>COUNTIFS(DataRegularSeason20242025!$E$2:$E$1315,AC$1,DataRegularSeason20242025!$D$2:$D$1315,$A39,DataRegularSeason20242025!$N$2:$N$1315,1)</f>
        <v>0</v>
      </c>
      <c r="AE39" s="35"/>
      <c r="AF39" s="28">
        <f>COUNTIFS(DataRegularSeason20242025!$E$2:$E$1315,AE$1,DataRegularSeason20242025!$D$2:$D$1315,$A39,DataRegularSeason20242025!$N$2:$N$1315,1)</f>
        <v>0</v>
      </c>
      <c r="AG39" s="35"/>
      <c r="AH39" s="46">
        <f>COUNTIFS(DataRegularSeason20242025!$E$2:$E$1315,AG$1,DataRegularSeason20242025!$D$2:$D$1315,$A39,DataRegularSeason20242025!$N$2:$N$1315,1)</f>
        <v>0</v>
      </c>
      <c r="AI39" s="35"/>
      <c r="AJ39" s="28">
        <f>COUNTIFS(DataRegularSeason20242025!$E$2:$E$1315,AI$1,DataRegularSeason20242025!$D$2:$D$1315,$A39,DataRegularSeason20242025!$N$2:$N$1315,1)</f>
        <v>1</v>
      </c>
      <c r="AK39" s="35"/>
      <c r="AL39" s="28">
        <f>COUNTIFS(DataRegularSeason20242025!$E$2:$E$1315,AK$1,DataRegularSeason20242025!$D$2:$D$1315,$A39,DataRegularSeason20242025!$N$2:$N$1315,1)</f>
        <v>1</v>
      </c>
      <c r="AM39" s="35"/>
      <c r="AN39" s="36"/>
      <c r="AO39" s="35"/>
      <c r="AP39" s="28">
        <f>COUNTIFS(DataRegularSeason20242025!$E$2:$E$1315,AO$1,DataRegularSeason20242025!$D$2:$D$1315,$A39,DataRegularSeason20242025!$N$2:$N$1315,1)</f>
        <v>0</v>
      </c>
      <c r="AQ39" s="35"/>
      <c r="AR39" s="28">
        <f>COUNTIFS(DataRegularSeason20242025!$E$2:$E$1315,AQ$1,DataRegularSeason20242025!$D$2:$D$1315,$A39,DataRegularSeason20242025!$N$2:$N$1315,1)</f>
        <v>0</v>
      </c>
      <c r="AS39" s="35"/>
      <c r="AT39" s="28">
        <f>COUNTIFS(DataRegularSeason20242025!$E$2:$E$1315,AS$1,DataRegularSeason20242025!$D$2:$D$1315,$A39,DataRegularSeason20242025!$N$2:$N$1315,1)</f>
        <v>0</v>
      </c>
      <c r="AU39" s="35"/>
      <c r="AV39" s="28">
        <f>COUNTIFS(DataRegularSeason20242025!$E$2:$E$1315,AU$1,DataRegularSeason20242025!$D$2:$D$1315,$A39,DataRegularSeason20242025!$N$2:$N$1315,1)</f>
        <v>0</v>
      </c>
      <c r="AW39" s="35"/>
      <c r="AX39" s="46">
        <f>COUNTIFS(DataRegularSeason20242025!$E$2:$E$1315,AW$1,DataRegularSeason20242025!$D$2:$D$1315,$A39,DataRegularSeason20242025!$N$2:$N$1315,1)</f>
        <v>0</v>
      </c>
      <c r="AY39" s="35"/>
      <c r="AZ39" s="28">
        <f>COUNTIFS(DataRegularSeason20242025!$E$2:$E$1315,AY$1,DataRegularSeason20242025!$D$2:$D$1315,$A39,DataRegularSeason20242025!$N$2:$N$1315,1)</f>
        <v>0</v>
      </c>
      <c r="BA39" s="35"/>
      <c r="BB39" s="28">
        <f>COUNTIFS(DataRegularSeason20242025!$E$2:$E$1315,BA$1,DataRegularSeason20242025!$D$2:$D$1315,$A39,DataRegularSeason20242025!$N$2:$N$1315,1)</f>
        <v>0</v>
      </c>
      <c r="BC39" s="35"/>
      <c r="BD39" s="28">
        <f>COUNTIFS(DataRegularSeason20242025!$E$2:$E$1315,BC$1,DataRegularSeason20242025!$D$2:$D$1315,$A39,DataRegularSeason20242025!$N$2:$N$1315,1)</f>
        <v>0</v>
      </c>
      <c r="BE39" s="35"/>
      <c r="BF39" s="28">
        <f>COUNTIFS(DataRegularSeason20242025!$E$2:$E$1315,BE$1,DataRegularSeason20242025!$D$2:$D$1315,$A39,DataRegularSeason20242025!$N$2:$N$1315,1)</f>
        <v>0</v>
      </c>
      <c r="BG39" s="35"/>
      <c r="BH39" s="28">
        <f>COUNTIFS(DataRegularSeason20242025!$E$2:$E$1315,BG$1,DataRegularSeason20242025!$D$2:$D$1315,$A39,DataRegularSeason20242025!$N$2:$N$1315,1)</f>
        <v>0</v>
      </c>
      <c r="BI39" s="35"/>
      <c r="BJ39" s="28">
        <f>COUNTIFS(DataRegularSeason20242025!$E$2:$E$1315,BI$1,DataRegularSeason20242025!$D$2:$D$1315,$A39,DataRegularSeason20242025!$N$2:$N$1315,1)</f>
        <v>0</v>
      </c>
      <c r="BK39" s="35"/>
      <c r="BL39" s="28">
        <f>COUNTIFS(DataRegularSeason20242025!$E$2:$E$1315,BK$1,DataRegularSeason20242025!$D$2:$D$1315,$A39,DataRegularSeason20242025!$N$2:$N$1315,1)</f>
        <v>1</v>
      </c>
      <c r="BM39" s="35"/>
      <c r="BN39" s="28">
        <f>COUNTIFS(DataRegularSeason20242025!$E$2:$E$1315,BM$1,DataRegularSeason20242025!$D$2:$D$1315,$A39,DataRegularSeason20242025!$N$2:$N$1315,1)</f>
        <v>1</v>
      </c>
      <c r="BO39" s="30">
        <f t="shared" si="1"/>
        <v>4</v>
      </c>
      <c r="BP39" s="165">
        <f t="shared" ref="BP39" si="53">BO39+BO40</f>
        <v>6</v>
      </c>
      <c r="BQ39" s="166">
        <f t="shared" ref="BQ39" si="54">82-BP39</f>
        <v>76</v>
      </c>
      <c r="BR39" s="173">
        <f t="shared" ref="BR39" si="55">BP39/(BP39+BQ39)</f>
        <v>7.3170731707317069E-2</v>
      </c>
    </row>
    <row r="40" spans="1:70" ht="9.9499999999999993" customHeight="1" x14ac:dyDescent="0.25">
      <c r="A40" s="167"/>
      <c r="B40" s="32" t="s">
        <v>73</v>
      </c>
      <c r="C40" s="38">
        <f>COUNTIFS(DataRegularSeason20242025!$D$2:$D$1315,C$1,DataRegularSeason20242025!$E$2:$E$1315,$A39,DataRegularSeason20242025!$N$2:$N$1315,1)</f>
        <v>0</v>
      </c>
      <c r="D40" s="39"/>
      <c r="E40" s="38">
        <f>COUNTIFS(DataRegularSeason20242025!$D$2:$D$1315,E$1,DataRegularSeason20242025!$E$2:$E$1315,$A39,DataRegularSeason20242025!$N$2:$N$1315,1)</f>
        <v>0</v>
      </c>
      <c r="F40" s="39"/>
      <c r="G40" s="38">
        <f>COUNTIFS(DataRegularSeason20242025!$D$2:$D$1315,G$1,DataRegularSeason20242025!$E$2:$E$1315,$A39,DataRegularSeason20242025!$N$2:$N$1315,1)</f>
        <v>1</v>
      </c>
      <c r="H40" s="39"/>
      <c r="I40" s="38">
        <f>COUNTIFS(DataRegularSeason20242025!$D$2:$D$1315,I$1,DataRegularSeason20242025!$E$2:$E$1315,$A39,DataRegularSeason20242025!$N$2:$N$1315,1)</f>
        <v>0</v>
      </c>
      <c r="J40" s="39"/>
      <c r="K40" s="38">
        <f>COUNTIFS(DataRegularSeason20242025!$D$2:$D$1315,K$1,DataRegularSeason20242025!$E$2:$E$1315,$A39,DataRegularSeason20242025!$N$2:$N$1315,1)</f>
        <v>0</v>
      </c>
      <c r="L40" s="39"/>
      <c r="M40" s="38">
        <f>COUNTIFS(DataRegularSeason20242025!$D$2:$D$1315,M$1,DataRegularSeason20242025!$E$2:$E$1315,$A39,DataRegularSeason20242025!$N$2:$N$1315,1)</f>
        <v>0</v>
      </c>
      <c r="N40" s="39"/>
      <c r="O40" s="38">
        <f>COUNTIFS(DataRegularSeason20242025!$D$2:$D$1315,O$1,DataRegularSeason20242025!$E$2:$E$1315,$A39,DataRegularSeason20242025!$N$2:$N$1315,1)</f>
        <v>0</v>
      </c>
      <c r="P40" s="39"/>
      <c r="Q40" s="38">
        <f>COUNTIFS(DataRegularSeason20242025!$D$2:$D$1315,Q$1,DataRegularSeason20242025!$E$2:$E$1315,$A39,DataRegularSeason20242025!$N$2:$N$1315,1)</f>
        <v>0</v>
      </c>
      <c r="R40" s="47"/>
      <c r="S40" s="38">
        <f>COUNTIFS(DataRegularSeason20242025!$D$2:$D$1315,S$1,DataRegularSeason20242025!$E$2:$E$1315,$A39,DataRegularSeason20242025!$N$2:$N$1315,1)</f>
        <v>0</v>
      </c>
      <c r="T40" s="39"/>
      <c r="U40" s="38">
        <f>COUNTIFS(DataRegularSeason20242025!$D$2:$D$1315,U$1,DataRegularSeason20242025!$E$2:$E$1315,$A39,DataRegularSeason20242025!$N$2:$N$1315,1)</f>
        <v>0</v>
      </c>
      <c r="V40" s="39"/>
      <c r="W40" s="38">
        <f>COUNTIFS(DataRegularSeason20242025!$D$2:$D$1315,W$1,DataRegularSeason20242025!$E$2:$E$1315,$A39,DataRegularSeason20242025!$N$2:$N$1315,1)</f>
        <v>0</v>
      </c>
      <c r="X40" s="39"/>
      <c r="Y40" s="38">
        <f>COUNTIFS(DataRegularSeason20242025!$D$2:$D$1315,Y$1,DataRegularSeason20242025!$E$2:$E$1315,$A39,DataRegularSeason20242025!$N$2:$N$1315,1)</f>
        <v>0</v>
      </c>
      <c r="Z40" s="39"/>
      <c r="AA40" s="38">
        <f>COUNTIFS(DataRegularSeason20242025!$D$2:$D$1315,AA$1,DataRegularSeason20242025!$E$2:$E$1315,$A39,DataRegularSeason20242025!$N$2:$N$1315,1)</f>
        <v>0</v>
      </c>
      <c r="AB40" s="39"/>
      <c r="AC40" s="38">
        <f>COUNTIFS(DataRegularSeason20242025!$D$2:$D$1315,AC$1,DataRegularSeason20242025!$E$2:$E$1315,$A39,DataRegularSeason20242025!$N$2:$N$1315,1)</f>
        <v>0</v>
      </c>
      <c r="AD40" s="39"/>
      <c r="AE40" s="38">
        <f>COUNTIFS(DataRegularSeason20242025!$D$2:$D$1315,AE$1,DataRegularSeason20242025!$E$2:$E$1315,$A39,DataRegularSeason20242025!$N$2:$N$1315,1)</f>
        <v>0</v>
      </c>
      <c r="AF40" s="39"/>
      <c r="AG40" s="38">
        <f>COUNTIFS(DataRegularSeason20242025!$D$2:$D$1315,AG$1,DataRegularSeason20242025!$E$2:$E$1315,$A39,DataRegularSeason20242025!$N$2:$N$1315,1)</f>
        <v>0</v>
      </c>
      <c r="AH40" s="47"/>
      <c r="AI40" s="38">
        <f>COUNTIFS(DataRegularSeason20242025!$D$2:$D$1315,AI$1,DataRegularSeason20242025!$E$2:$E$1315,$A39,DataRegularSeason20242025!$N$2:$N$1315,1)</f>
        <v>0</v>
      </c>
      <c r="AJ40" s="39"/>
      <c r="AK40" s="38">
        <f>COUNTIFS(DataRegularSeason20242025!$D$2:$D$1315,AK$1,DataRegularSeason20242025!$E$2:$E$1315,$A39,DataRegularSeason20242025!$N$2:$N$1315,1)</f>
        <v>0</v>
      </c>
      <c r="AL40" s="39"/>
      <c r="AM40" s="38"/>
      <c r="AN40" s="39"/>
      <c r="AO40" s="38">
        <f>COUNTIFS(DataRegularSeason20242025!$D$2:$D$1315,AO$1,DataRegularSeason20242025!$E$2:$E$1315,$A39,DataRegularSeason20242025!$N$2:$N$1315,1)</f>
        <v>0</v>
      </c>
      <c r="AP40" s="39"/>
      <c r="AQ40" s="38">
        <f>COUNTIFS(DataRegularSeason20242025!$D$2:$D$1315,AQ$1,DataRegularSeason20242025!$E$2:$E$1315,$A39,DataRegularSeason20242025!$N$2:$N$1315,1)</f>
        <v>0</v>
      </c>
      <c r="AR40" s="39"/>
      <c r="AS40" s="38">
        <f>COUNTIFS(DataRegularSeason20242025!$D$2:$D$1315,AS$1,DataRegularSeason20242025!$E$2:$E$1315,$A39,DataRegularSeason20242025!$N$2:$N$1315,1)</f>
        <v>0</v>
      </c>
      <c r="AT40" s="39"/>
      <c r="AU40" s="38">
        <f>COUNTIFS(DataRegularSeason20242025!$D$2:$D$1315,AU$1,DataRegularSeason20242025!$E$2:$E$1315,$A39,DataRegularSeason20242025!$N$2:$N$1315,1)</f>
        <v>0</v>
      </c>
      <c r="AV40" s="39"/>
      <c r="AW40" s="38">
        <f>COUNTIFS(DataRegularSeason20242025!$D$2:$D$1315,AW$1,DataRegularSeason20242025!$E$2:$E$1315,$A39,DataRegularSeason20242025!$N$2:$N$1315,1)</f>
        <v>0</v>
      </c>
      <c r="AX40" s="47"/>
      <c r="AY40" s="38">
        <f>COUNTIFS(DataRegularSeason20242025!$D$2:$D$1315,AY$1,DataRegularSeason20242025!$E$2:$E$1315,$A39,DataRegularSeason20242025!$N$2:$N$1315,1)</f>
        <v>0</v>
      </c>
      <c r="AZ40" s="39"/>
      <c r="BA40" s="38">
        <f>COUNTIFS(DataRegularSeason20242025!$D$2:$D$1315,BA$1,DataRegularSeason20242025!$E$2:$E$1315,$A39,DataRegularSeason20242025!$N$2:$N$1315,1)</f>
        <v>0</v>
      </c>
      <c r="BB40" s="39"/>
      <c r="BC40" s="38">
        <f>COUNTIFS(DataRegularSeason20242025!$D$2:$D$1315,BC$1,DataRegularSeason20242025!$E$2:$E$1315,$A39,DataRegularSeason20242025!$N$2:$N$1315,1)</f>
        <v>0</v>
      </c>
      <c r="BD40" s="39"/>
      <c r="BE40" s="38">
        <f>COUNTIFS(DataRegularSeason20242025!$D$2:$D$1315,BE$1,DataRegularSeason20242025!$E$2:$E$1315,$A39,DataRegularSeason20242025!$N$2:$N$1315,1)</f>
        <v>1</v>
      </c>
      <c r="BF40" s="39"/>
      <c r="BG40" s="38">
        <f>COUNTIFS(DataRegularSeason20242025!$D$2:$D$1315,BG$1,DataRegularSeason20242025!$E$2:$E$1315,$A39,DataRegularSeason20242025!$N$2:$N$1315,1)</f>
        <v>0</v>
      </c>
      <c r="BH40" s="39"/>
      <c r="BI40" s="38">
        <f>COUNTIFS(DataRegularSeason20242025!$D$2:$D$1315,BI$1,DataRegularSeason20242025!$E$2:$E$1315,$A39,DataRegularSeason20242025!$N$2:$N$1315,1)</f>
        <v>0</v>
      </c>
      <c r="BJ40" s="39"/>
      <c r="BK40" s="38">
        <f>COUNTIFS(DataRegularSeason20242025!$D$2:$D$1315,BK$1,DataRegularSeason20242025!$E$2:$E$1315,$A39,DataRegularSeason20242025!$N$2:$N$1315,1)</f>
        <v>0</v>
      </c>
      <c r="BL40" s="39"/>
      <c r="BM40" s="38">
        <f>COUNTIFS(DataRegularSeason20242025!$D$2:$D$1315,BM$1,DataRegularSeason20242025!$E$2:$E$1315,$A39,DataRegularSeason20242025!$N$2:$N$1315,1)</f>
        <v>0</v>
      </c>
      <c r="BN40" s="39"/>
      <c r="BO40" s="34">
        <f t="shared" si="1"/>
        <v>2</v>
      </c>
      <c r="BP40" s="165"/>
      <c r="BQ40" s="166"/>
      <c r="BR40" s="173"/>
    </row>
    <row r="41" spans="1:70" ht="9.9499999999999993" customHeight="1" x14ac:dyDescent="0.25">
      <c r="A41" s="172" t="s">
        <v>32</v>
      </c>
      <c r="B41" s="28" t="s">
        <v>74</v>
      </c>
      <c r="C41" s="35"/>
      <c r="D41" s="28">
        <f>COUNTIFS(DataRegularSeason20242025!$E$2:$E$1315,C$1,DataRegularSeason20242025!$D$2:$D$1315,$A41,DataRegularSeason20242025!$N$2:$N$1315,1)</f>
        <v>0</v>
      </c>
      <c r="E41" s="35"/>
      <c r="F41" s="28">
        <f>COUNTIFS(DataRegularSeason20242025!$E$2:$E$1315,E$1,DataRegularSeason20242025!$D$2:$D$1315,$A41,DataRegularSeason20242025!$N$2:$N$1315,1)</f>
        <v>0</v>
      </c>
      <c r="G41" s="35"/>
      <c r="H41" s="28">
        <f>COUNTIFS(DataRegularSeason20242025!$E$2:$E$1315,G$1,DataRegularSeason20242025!$D$2:$D$1315,$A41,DataRegularSeason20242025!$N$2:$N$1315,1)</f>
        <v>0</v>
      </c>
      <c r="I41" s="35"/>
      <c r="J41" s="28">
        <f>COUNTIFS(DataRegularSeason20242025!$E$2:$E$1315,I$1,DataRegularSeason20242025!$D$2:$D$1315,$A41,DataRegularSeason20242025!$N$2:$N$1315,1)</f>
        <v>0</v>
      </c>
      <c r="K41" s="35"/>
      <c r="L41" s="28">
        <f>COUNTIFS(DataRegularSeason20242025!$E$2:$E$1315,K$1,DataRegularSeason20242025!$D$2:$D$1315,$A41,DataRegularSeason20242025!$N$2:$N$1315,1)</f>
        <v>0</v>
      </c>
      <c r="M41" s="35"/>
      <c r="N41" s="28">
        <f>COUNTIFS(DataRegularSeason20242025!$E$2:$E$1315,M$1,DataRegularSeason20242025!$D$2:$D$1315,$A41,DataRegularSeason20242025!$N$2:$N$1315,1)</f>
        <v>0</v>
      </c>
      <c r="O41" s="35"/>
      <c r="P41" s="28">
        <f>COUNTIFS(DataRegularSeason20242025!$E$2:$E$1315,O$1,DataRegularSeason20242025!$D$2:$D$1315,$A41,DataRegularSeason20242025!$N$2:$N$1315,1)</f>
        <v>0</v>
      </c>
      <c r="Q41" s="35"/>
      <c r="R41" s="46">
        <f>COUNTIFS(DataRegularSeason20242025!$E$2:$E$1315,Q$1,DataRegularSeason20242025!$D$2:$D$1315,$A41,DataRegularSeason20242025!$N$2:$N$1315,1)</f>
        <v>0</v>
      </c>
      <c r="S41" s="35"/>
      <c r="T41" s="28">
        <f>COUNTIFS(DataRegularSeason20242025!$E$2:$E$1315,S$1,DataRegularSeason20242025!$D$2:$D$1315,$A41,DataRegularSeason20242025!$N$2:$N$1315,1)</f>
        <v>0</v>
      </c>
      <c r="U41" s="35"/>
      <c r="V41" s="28">
        <f>COUNTIFS(DataRegularSeason20242025!$E$2:$E$1315,U$1,DataRegularSeason20242025!$D$2:$D$1315,$A41,DataRegularSeason20242025!$N$2:$N$1315,1)</f>
        <v>0</v>
      </c>
      <c r="W41" s="35"/>
      <c r="X41" s="28">
        <f>COUNTIFS(DataRegularSeason20242025!$E$2:$E$1315,W$1,DataRegularSeason20242025!$D$2:$D$1315,$A41,DataRegularSeason20242025!$N$2:$N$1315,1)</f>
        <v>0</v>
      </c>
      <c r="Y41" s="35"/>
      <c r="Z41" s="28">
        <f>COUNTIFS(DataRegularSeason20242025!$E$2:$E$1315,Y$1,DataRegularSeason20242025!$D$2:$D$1315,$A41,DataRegularSeason20242025!$N$2:$N$1315,1)</f>
        <v>0</v>
      </c>
      <c r="AA41" s="35"/>
      <c r="AB41" s="28">
        <f>COUNTIFS(DataRegularSeason20242025!$E$2:$E$1315,AA$1,DataRegularSeason20242025!$D$2:$D$1315,$A41,DataRegularSeason20242025!$N$2:$N$1315,1)</f>
        <v>0</v>
      </c>
      <c r="AC41" s="35"/>
      <c r="AD41" s="28">
        <f>COUNTIFS(DataRegularSeason20242025!$E$2:$E$1315,AC$1,DataRegularSeason20242025!$D$2:$D$1315,$A41,DataRegularSeason20242025!$N$2:$N$1315,1)</f>
        <v>0</v>
      </c>
      <c r="AE41" s="35"/>
      <c r="AF41" s="28">
        <f>COUNTIFS(DataRegularSeason20242025!$E$2:$E$1315,AE$1,DataRegularSeason20242025!$D$2:$D$1315,$A41,DataRegularSeason20242025!$N$2:$N$1315,1)</f>
        <v>0</v>
      </c>
      <c r="AG41" s="35"/>
      <c r="AH41" s="46">
        <f>COUNTIFS(DataRegularSeason20242025!$E$2:$E$1315,AG$1,DataRegularSeason20242025!$D$2:$D$1315,$A41,DataRegularSeason20242025!$N$2:$N$1315,1)</f>
        <v>0</v>
      </c>
      <c r="AI41" s="35"/>
      <c r="AJ41" s="28">
        <f>COUNTIFS(DataRegularSeason20242025!$E$2:$E$1315,AI$1,DataRegularSeason20242025!$D$2:$D$1315,$A41,DataRegularSeason20242025!$N$2:$N$1315,1)</f>
        <v>0</v>
      </c>
      <c r="AK41" s="35"/>
      <c r="AL41" s="28">
        <f>COUNTIFS(DataRegularSeason20242025!$E$2:$E$1315,AK$1,DataRegularSeason20242025!$D$2:$D$1315,$A41,DataRegularSeason20242025!$N$2:$N$1315,1)</f>
        <v>0</v>
      </c>
      <c r="AM41" s="35"/>
      <c r="AN41" s="28">
        <f>COUNTIFS(DataRegularSeason20242025!$E$2:$E$1315,AM$1,DataRegularSeason20242025!$D$2:$D$1315,$A41,DataRegularSeason20242025!$N$2:$N$1315,1)</f>
        <v>0</v>
      </c>
      <c r="AO41" s="35"/>
      <c r="AP41" s="36"/>
      <c r="AQ41" s="35"/>
      <c r="AR41" s="28">
        <f>COUNTIFS(DataRegularSeason20242025!$E$2:$E$1315,AQ$1,DataRegularSeason20242025!$D$2:$D$1315,$A41,DataRegularSeason20242025!$N$2:$N$1315,1)</f>
        <v>0</v>
      </c>
      <c r="AS41" s="35"/>
      <c r="AT41" s="28">
        <f>COUNTIFS(DataRegularSeason20242025!$E$2:$E$1315,AS$1,DataRegularSeason20242025!$D$2:$D$1315,$A41,DataRegularSeason20242025!$N$2:$N$1315,1)</f>
        <v>0</v>
      </c>
      <c r="AU41" s="35"/>
      <c r="AV41" s="28">
        <f>COUNTIFS(DataRegularSeason20242025!$E$2:$E$1315,AU$1,DataRegularSeason20242025!$D$2:$D$1315,$A41,DataRegularSeason20242025!$N$2:$N$1315,1)</f>
        <v>1</v>
      </c>
      <c r="AW41" s="35"/>
      <c r="AX41" s="46">
        <f>COUNTIFS(DataRegularSeason20242025!$E$2:$E$1315,AW$1,DataRegularSeason20242025!$D$2:$D$1315,$A41,DataRegularSeason20242025!$N$2:$N$1315,1)</f>
        <v>0</v>
      </c>
      <c r="AY41" s="35"/>
      <c r="AZ41" s="28">
        <f>COUNTIFS(DataRegularSeason20242025!$E$2:$E$1315,AY$1,DataRegularSeason20242025!$D$2:$D$1315,$A41,DataRegularSeason20242025!$N$2:$N$1315,1)</f>
        <v>0</v>
      </c>
      <c r="BA41" s="35"/>
      <c r="BB41" s="28">
        <f>COUNTIFS(DataRegularSeason20242025!$E$2:$E$1315,BA$1,DataRegularSeason20242025!$D$2:$D$1315,$A41,DataRegularSeason20242025!$N$2:$N$1315,1)</f>
        <v>0</v>
      </c>
      <c r="BC41" s="35"/>
      <c r="BD41" s="28">
        <f>COUNTIFS(DataRegularSeason20242025!$E$2:$E$1315,BC$1,DataRegularSeason20242025!$D$2:$D$1315,$A41,DataRegularSeason20242025!$N$2:$N$1315,1)</f>
        <v>0</v>
      </c>
      <c r="BE41" s="35"/>
      <c r="BF41" s="28">
        <f>COUNTIFS(DataRegularSeason20242025!$E$2:$E$1315,BE$1,DataRegularSeason20242025!$D$2:$D$1315,$A41,DataRegularSeason20242025!$N$2:$N$1315,1)</f>
        <v>0</v>
      </c>
      <c r="BG41" s="35"/>
      <c r="BH41" s="28">
        <f>COUNTIFS(DataRegularSeason20242025!$E$2:$E$1315,BG$1,DataRegularSeason20242025!$D$2:$D$1315,$A41,DataRegularSeason20242025!$N$2:$N$1315,1)</f>
        <v>0</v>
      </c>
      <c r="BI41" s="35"/>
      <c r="BJ41" s="28">
        <f>COUNTIFS(DataRegularSeason20242025!$E$2:$E$1315,BI$1,DataRegularSeason20242025!$D$2:$D$1315,$A41,DataRegularSeason20242025!$N$2:$N$1315,1)</f>
        <v>1</v>
      </c>
      <c r="BK41" s="35"/>
      <c r="BL41" s="28">
        <f>COUNTIFS(DataRegularSeason20242025!$E$2:$E$1315,BK$1,DataRegularSeason20242025!$D$2:$D$1315,$A41,DataRegularSeason20242025!$N$2:$N$1315,1)</f>
        <v>0</v>
      </c>
      <c r="BM41" s="35"/>
      <c r="BN41" s="28">
        <f>COUNTIFS(DataRegularSeason20242025!$E$2:$E$1315,BM$1,DataRegularSeason20242025!$D$2:$D$1315,$A41,DataRegularSeason20242025!$N$2:$N$1315,1)</f>
        <v>0</v>
      </c>
      <c r="BO41" s="30">
        <f t="shared" si="1"/>
        <v>2</v>
      </c>
      <c r="BP41" s="165">
        <f t="shared" ref="BP41" si="56">BO41+BO42</f>
        <v>6</v>
      </c>
      <c r="BQ41" s="166">
        <f t="shared" ref="BQ41" si="57">82-BP41</f>
        <v>76</v>
      </c>
      <c r="BR41" s="173">
        <f t="shared" ref="BR41" si="58">BP41/(BP41+BQ41)</f>
        <v>7.3170731707317069E-2</v>
      </c>
    </row>
    <row r="42" spans="1:70" ht="9.9499999999999993" customHeight="1" x14ac:dyDescent="0.25">
      <c r="A42" s="167"/>
      <c r="B42" s="32" t="s">
        <v>73</v>
      </c>
      <c r="C42" s="38">
        <f>COUNTIFS(DataRegularSeason20242025!$D$2:$D$1315,C$1,DataRegularSeason20242025!$E$2:$E$1315,$A41,DataRegularSeason20242025!$N$2:$N$1315,1)</f>
        <v>0</v>
      </c>
      <c r="D42" s="39"/>
      <c r="E42" s="38">
        <f>COUNTIFS(DataRegularSeason20242025!$D$2:$D$1315,E$1,DataRegularSeason20242025!$E$2:$E$1315,$A41,DataRegularSeason20242025!$N$2:$N$1315,1)</f>
        <v>0</v>
      </c>
      <c r="F42" s="39"/>
      <c r="G42" s="38">
        <f>COUNTIFS(DataRegularSeason20242025!$D$2:$D$1315,G$1,DataRegularSeason20242025!$E$2:$E$1315,$A41,DataRegularSeason20242025!$N$2:$N$1315,1)</f>
        <v>1</v>
      </c>
      <c r="H42" s="39"/>
      <c r="I42" s="38">
        <f>COUNTIFS(DataRegularSeason20242025!$D$2:$D$1315,I$1,DataRegularSeason20242025!$E$2:$E$1315,$A41,DataRegularSeason20242025!$N$2:$N$1315,1)</f>
        <v>0</v>
      </c>
      <c r="J42" s="39"/>
      <c r="K42" s="38">
        <f>COUNTIFS(DataRegularSeason20242025!$D$2:$D$1315,K$1,DataRegularSeason20242025!$E$2:$E$1315,$A41,DataRegularSeason20242025!$N$2:$N$1315,1)</f>
        <v>0</v>
      </c>
      <c r="L42" s="39"/>
      <c r="M42" s="38">
        <f>COUNTIFS(DataRegularSeason20242025!$D$2:$D$1315,M$1,DataRegularSeason20242025!$E$2:$E$1315,$A41,DataRegularSeason20242025!$N$2:$N$1315,1)</f>
        <v>1</v>
      </c>
      <c r="N42" s="39"/>
      <c r="O42" s="38">
        <f>COUNTIFS(DataRegularSeason20242025!$D$2:$D$1315,O$1,DataRegularSeason20242025!$E$2:$E$1315,$A41,DataRegularSeason20242025!$N$2:$N$1315,1)</f>
        <v>0</v>
      </c>
      <c r="P42" s="39"/>
      <c r="Q42" s="38">
        <f>COUNTIFS(DataRegularSeason20242025!$D$2:$D$1315,Q$1,DataRegularSeason20242025!$E$2:$E$1315,$A41,DataRegularSeason20242025!$N$2:$N$1315,1)</f>
        <v>0</v>
      </c>
      <c r="R42" s="47"/>
      <c r="S42" s="38">
        <f>COUNTIFS(DataRegularSeason20242025!$D$2:$D$1315,S$1,DataRegularSeason20242025!$E$2:$E$1315,$A41,DataRegularSeason20242025!$N$2:$N$1315,1)</f>
        <v>0</v>
      </c>
      <c r="T42" s="39"/>
      <c r="U42" s="38">
        <f>COUNTIFS(DataRegularSeason20242025!$D$2:$D$1315,U$1,DataRegularSeason20242025!$E$2:$E$1315,$A41,DataRegularSeason20242025!$N$2:$N$1315,1)</f>
        <v>0</v>
      </c>
      <c r="V42" s="39"/>
      <c r="W42" s="38">
        <f>COUNTIFS(DataRegularSeason20242025!$D$2:$D$1315,W$1,DataRegularSeason20242025!$E$2:$E$1315,$A41,DataRegularSeason20242025!$N$2:$N$1315,1)</f>
        <v>0</v>
      </c>
      <c r="X42" s="39"/>
      <c r="Y42" s="38">
        <f>COUNTIFS(DataRegularSeason20242025!$D$2:$D$1315,Y$1,DataRegularSeason20242025!$E$2:$E$1315,$A41,DataRegularSeason20242025!$N$2:$N$1315,1)</f>
        <v>0</v>
      </c>
      <c r="Z42" s="39"/>
      <c r="AA42" s="38">
        <f>COUNTIFS(DataRegularSeason20242025!$D$2:$D$1315,AA$1,DataRegularSeason20242025!$E$2:$E$1315,$A41,DataRegularSeason20242025!$N$2:$N$1315,1)</f>
        <v>0</v>
      </c>
      <c r="AB42" s="39"/>
      <c r="AC42" s="38">
        <f>COUNTIFS(DataRegularSeason20242025!$D$2:$D$1315,AC$1,DataRegularSeason20242025!$E$2:$E$1315,$A41,DataRegularSeason20242025!$N$2:$N$1315,1)</f>
        <v>0</v>
      </c>
      <c r="AD42" s="39"/>
      <c r="AE42" s="38">
        <f>COUNTIFS(DataRegularSeason20242025!$D$2:$D$1315,AE$1,DataRegularSeason20242025!$E$2:$E$1315,$A41,DataRegularSeason20242025!$N$2:$N$1315,1)</f>
        <v>0</v>
      </c>
      <c r="AF42" s="39"/>
      <c r="AG42" s="38">
        <f>COUNTIFS(DataRegularSeason20242025!$D$2:$D$1315,AG$1,DataRegularSeason20242025!$E$2:$E$1315,$A41,DataRegularSeason20242025!$N$2:$N$1315,1)</f>
        <v>1</v>
      </c>
      <c r="AH42" s="47"/>
      <c r="AI42" s="38">
        <f>COUNTIFS(DataRegularSeason20242025!$D$2:$D$1315,AI$1,DataRegularSeason20242025!$E$2:$E$1315,$A41,DataRegularSeason20242025!$N$2:$N$1315,1)</f>
        <v>0</v>
      </c>
      <c r="AJ42" s="39"/>
      <c r="AK42" s="38">
        <f>COUNTIFS(DataRegularSeason20242025!$D$2:$D$1315,AK$1,DataRegularSeason20242025!$E$2:$E$1315,$A41,DataRegularSeason20242025!$N$2:$N$1315,1)</f>
        <v>0</v>
      </c>
      <c r="AL42" s="39"/>
      <c r="AM42" s="38">
        <f>COUNTIFS(DataRegularSeason20242025!$D$2:$D$1315,AM$1,DataRegularSeason20242025!$E$2:$E$1315,$A41,DataRegularSeason20242025!$N$2:$N$1315,1)</f>
        <v>0</v>
      </c>
      <c r="AN42" s="39"/>
      <c r="AO42" s="38"/>
      <c r="AP42" s="39"/>
      <c r="AQ42" s="38">
        <f>COUNTIFS(DataRegularSeason20242025!$D$2:$D$1315,AQ$1,DataRegularSeason20242025!$E$2:$E$1315,$A41,DataRegularSeason20242025!$N$2:$N$1315,1)</f>
        <v>0</v>
      </c>
      <c r="AR42" s="39"/>
      <c r="AS42" s="38">
        <f>COUNTIFS(DataRegularSeason20242025!$D$2:$D$1315,AS$1,DataRegularSeason20242025!$E$2:$E$1315,$A41,DataRegularSeason20242025!$N$2:$N$1315,1)</f>
        <v>0</v>
      </c>
      <c r="AT42" s="39"/>
      <c r="AU42" s="38">
        <f>COUNTIFS(DataRegularSeason20242025!$D$2:$D$1315,AU$1,DataRegularSeason20242025!$E$2:$E$1315,$A41,DataRegularSeason20242025!$N$2:$N$1315,1)</f>
        <v>0</v>
      </c>
      <c r="AV42" s="39"/>
      <c r="AW42" s="38">
        <f>COUNTIFS(DataRegularSeason20242025!$D$2:$D$1315,AW$1,DataRegularSeason20242025!$E$2:$E$1315,$A41,DataRegularSeason20242025!$N$2:$N$1315,1)</f>
        <v>1</v>
      </c>
      <c r="AX42" s="47"/>
      <c r="AY42" s="38">
        <f>COUNTIFS(DataRegularSeason20242025!$D$2:$D$1315,AY$1,DataRegularSeason20242025!$E$2:$E$1315,$A41,DataRegularSeason20242025!$N$2:$N$1315,1)</f>
        <v>0</v>
      </c>
      <c r="AZ42" s="39"/>
      <c r="BA42" s="38">
        <f>COUNTIFS(DataRegularSeason20242025!$D$2:$D$1315,BA$1,DataRegularSeason20242025!$E$2:$E$1315,$A41,DataRegularSeason20242025!$N$2:$N$1315,1)</f>
        <v>0</v>
      </c>
      <c r="BB42" s="39"/>
      <c r="BC42" s="38">
        <f>COUNTIFS(DataRegularSeason20242025!$D$2:$D$1315,BC$1,DataRegularSeason20242025!$E$2:$E$1315,$A41,DataRegularSeason20242025!$N$2:$N$1315,1)</f>
        <v>0</v>
      </c>
      <c r="BD42" s="39"/>
      <c r="BE42" s="38">
        <f>COUNTIFS(DataRegularSeason20242025!$D$2:$D$1315,BE$1,DataRegularSeason20242025!$E$2:$E$1315,$A41,DataRegularSeason20242025!$N$2:$N$1315,1)</f>
        <v>0</v>
      </c>
      <c r="BF42" s="39"/>
      <c r="BG42" s="38">
        <f>COUNTIFS(DataRegularSeason20242025!$D$2:$D$1315,BG$1,DataRegularSeason20242025!$E$2:$E$1315,$A41,DataRegularSeason20242025!$N$2:$N$1315,1)</f>
        <v>0</v>
      </c>
      <c r="BH42" s="39"/>
      <c r="BI42" s="38">
        <f>COUNTIFS(DataRegularSeason20242025!$D$2:$D$1315,BI$1,DataRegularSeason20242025!$E$2:$E$1315,$A41,DataRegularSeason20242025!$N$2:$N$1315,1)</f>
        <v>0</v>
      </c>
      <c r="BJ42" s="39"/>
      <c r="BK42" s="38">
        <f>COUNTIFS(DataRegularSeason20242025!$D$2:$D$1315,BK$1,DataRegularSeason20242025!$E$2:$E$1315,$A41,DataRegularSeason20242025!$N$2:$N$1315,1)</f>
        <v>0</v>
      </c>
      <c r="BL42" s="39"/>
      <c r="BM42" s="38">
        <f>COUNTIFS(DataRegularSeason20242025!$D$2:$D$1315,BM$1,DataRegularSeason20242025!$E$2:$E$1315,$A41,DataRegularSeason20242025!$N$2:$N$1315,1)</f>
        <v>0</v>
      </c>
      <c r="BN42" s="39"/>
      <c r="BO42" s="34">
        <f t="shared" si="1"/>
        <v>4</v>
      </c>
      <c r="BP42" s="165"/>
      <c r="BQ42" s="166"/>
      <c r="BR42" s="173"/>
    </row>
    <row r="43" spans="1:70" ht="9.9499999999999993" customHeight="1" x14ac:dyDescent="0.25">
      <c r="A43" s="172" t="s">
        <v>19</v>
      </c>
      <c r="B43" s="28" t="s">
        <v>74</v>
      </c>
      <c r="C43" s="35"/>
      <c r="D43" s="28">
        <f>COUNTIFS(DataRegularSeason20242025!$E$2:$E$1315,C$1,DataRegularSeason20242025!$D$2:$D$1315,$A43,DataRegularSeason20242025!$N$2:$N$1315,1)</f>
        <v>0</v>
      </c>
      <c r="E43" s="35"/>
      <c r="F43" s="28">
        <f>COUNTIFS(DataRegularSeason20242025!$E$2:$E$1315,E$1,DataRegularSeason20242025!$D$2:$D$1315,$A43,DataRegularSeason20242025!$N$2:$N$1315,1)</f>
        <v>0</v>
      </c>
      <c r="G43" s="35"/>
      <c r="H43" s="28">
        <f>COUNTIFS(DataRegularSeason20242025!$E$2:$E$1315,G$1,DataRegularSeason20242025!$D$2:$D$1315,$A43,DataRegularSeason20242025!$N$2:$N$1315,1)</f>
        <v>0</v>
      </c>
      <c r="I43" s="35"/>
      <c r="J43" s="28">
        <f>COUNTIFS(DataRegularSeason20242025!$E$2:$E$1315,I$1,DataRegularSeason20242025!$D$2:$D$1315,$A43,DataRegularSeason20242025!$N$2:$N$1315,1)</f>
        <v>0</v>
      </c>
      <c r="K43" s="35"/>
      <c r="L43" s="28">
        <f>COUNTIFS(DataRegularSeason20242025!$E$2:$E$1315,K$1,DataRegularSeason20242025!$D$2:$D$1315,$A43,DataRegularSeason20242025!$N$2:$N$1315,1)</f>
        <v>0</v>
      </c>
      <c r="M43" s="35"/>
      <c r="N43" s="28">
        <f>COUNTIFS(DataRegularSeason20242025!$E$2:$E$1315,M$1,DataRegularSeason20242025!$D$2:$D$1315,$A43,DataRegularSeason20242025!$N$2:$N$1315,1)</f>
        <v>0</v>
      </c>
      <c r="O43" s="35"/>
      <c r="P43" s="28">
        <f>COUNTIFS(DataRegularSeason20242025!$E$2:$E$1315,O$1,DataRegularSeason20242025!$D$2:$D$1315,$A43,DataRegularSeason20242025!$N$2:$N$1315,1)</f>
        <v>0</v>
      </c>
      <c r="Q43" s="35"/>
      <c r="R43" s="46">
        <f>COUNTIFS(DataRegularSeason20242025!$E$2:$E$1315,Q$1,DataRegularSeason20242025!$D$2:$D$1315,$A43,DataRegularSeason20242025!$N$2:$N$1315,1)</f>
        <v>0</v>
      </c>
      <c r="S43" s="35"/>
      <c r="T43" s="28">
        <f>COUNTIFS(DataRegularSeason20242025!$E$2:$E$1315,S$1,DataRegularSeason20242025!$D$2:$D$1315,$A43,DataRegularSeason20242025!$N$2:$N$1315,1)</f>
        <v>0</v>
      </c>
      <c r="U43" s="35"/>
      <c r="V43" s="28">
        <f>COUNTIFS(DataRegularSeason20242025!$E$2:$E$1315,U$1,DataRegularSeason20242025!$D$2:$D$1315,$A43,DataRegularSeason20242025!$N$2:$N$1315,1)</f>
        <v>0</v>
      </c>
      <c r="W43" s="35"/>
      <c r="X43" s="28">
        <f>COUNTIFS(DataRegularSeason20242025!$E$2:$E$1315,W$1,DataRegularSeason20242025!$D$2:$D$1315,$A43,DataRegularSeason20242025!$N$2:$N$1315,1)</f>
        <v>0</v>
      </c>
      <c r="Y43" s="35"/>
      <c r="Z43" s="28">
        <f>COUNTIFS(DataRegularSeason20242025!$E$2:$E$1315,Y$1,DataRegularSeason20242025!$D$2:$D$1315,$A43,DataRegularSeason20242025!$N$2:$N$1315,1)</f>
        <v>0</v>
      </c>
      <c r="AA43" s="35"/>
      <c r="AB43" s="28">
        <f>COUNTIFS(DataRegularSeason20242025!$E$2:$E$1315,AA$1,DataRegularSeason20242025!$D$2:$D$1315,$A43,DataRegularSeason20242025!$N$2:$N$1315,1)</f>
        <v>0</v>
      </c>
      <c r="AC43" s="35"/>
      <c r="AD43" s="28">
        <f>COUNTIFS(DataRegularSeason20242025!$E$2:$E$1315,AC$1,DataRegularSeason20242025!$D$2:$D$1315,$A43,DataRegularSeason20242025!$N$2:$N$1315,1)</f>
        <v>0</v>
      </c>
      <c r="AE43" s="35"/>
      <c r="AF43" s="28">
        <f>COUNTIFS(DataRegularSeason20242025!$E$2:$E$1315,AE$1,DataRegularSeason20242025!$D$2:$D$1315,$A43,DataRegularSeason20242025!$N$2:$N$1315,1)</f>
        <v>0</v>
      </c>
      <c r="AG43" s="35"/>
      <c r="AH43" s="46">
        <f>COUNTIFS(DataRegularSeason20242025!$E$2:$E$1315,AG$1,DataRegularSeason20242025!$D$2:$D$1315,$A43,DataRegularSeason20242025!$N$2:$N$1315,1)</f>
        <v>0</v>
      </c>
      <c r="AI43" s="35"/>
      <c r="AJ43" s="28">
        <f>COUNTIFS(DataRegularSeason20242025!$E$2:$E$1315,AI$1,DataRegularSeason20242025!$D$2:$D$1315,$A43,DataRegularSeason20242025!$N$2:$N$1315,1)</f>
        <v>0</v>
      </c>
      <c r="AK43" s="35"/>
      <c r="AL43" s="28">
        <f>COUNTIFS(DataRegularSeason20242025!$E$2:$E$1315,AK$1,DataRegularSeason20242025!$D$2:$D$1315,$A43,DataRegularSeason20242025!$N$2:$N$1315,1)</f>
        <v>0</v>
      </c>
      <c r="AM43" s="35"/>
      <c r="AN43" s="28">
        <f>COUNTIFS(DataRegularSeason20242025!$E$2:$E$1315,AM$1,DataRegularSeason20242025!$D$2:$D$1315,$A43,DataRegularSeason20242025!$N$2:$N$1315,1)</f>
        <v>0</v>
      </c>
      <c r="AO43" s="35"/>
      <c r="AP43" s="28">
        <f>COUNTIFS(DataRegularSeason20242025!$E$2:$E$1315,AO$1,DataRegularSeason20242025!$D$2:$D$1315,$A43,DataRegularSeason20242025!$N$2:$N$1315,1)</f>
        <v>0</v>
      </c>
      <c r="AQ43" s="35"/>
      <c r="AR43" s="36"/>
      <c r="AS43" s="35"/>
      <c r="AT43" s="28">
        <f>COUNTIFS(DataRegularSeason20242025!$E$2:$E$1315,AS$1,DataRegularSeason20242025!$D$2:$D$1315,$A43,DataRegularSeason20242025!$N$2:$N$1315,1)</f>
        <v>0</v>
      </c>
      <c r="AU43" s="35"/>
      <c r="AV43" s="28">
        <f>COUNTIFS(DataRegularSeason20242025!$E$2:$E$1315,AU$1,DataRegularSeason20242025!$D$2:$D$1315,$A43,DataRegularSeason20242025!$N$2:$N$1315,1)</f>
        <v>1</v>
      </c>
      <c r="AW43" s="35"/>
      <c r="AX43" s="46">
        <f>COUNTIFS(DataRegularSeason20242025!$E$2:$E$1315,AW$1,DataRegularSeason20242025!$D$2:$D$1315,$A43,DataRegularSeason20242025!$N$2:$N$1315,1)</f>
        <v>0</v>
      </c>
      <c r="AY43" s="35"/>
      <c r="AZ43" s="28">
        <f>COUNTIFS(DataRegularSeason20242025!$E$2:$E$1315,AY$1,DataRegularSeason20242025!$D$2:$D$1315,$A43,DataRegularSeason20242025!$N$2:$N$1315,1)</f>
        <v>0</v>
      </c>
      <c r="BA43" s="35"/>
      <c r="BB43" s="28">
        <f>COUNTIFS(DataRegularSeason20242025!$E$2:$E$1315,BA$1,DataRegularSeason20242025!$D$2:$D$1315,$A43,DataRegularSeason20242025!$N$2:$N$1315,1)</f>
        <v>1</v>
      </c>
      <c r="BC43" s="35"/>
      <c r="BD43" s="28">
        <f>COUNTIFS(DataRegularSeason20242025!$E$2:$E$1315,BC$1,DataRegularSeason20242025!$D$2:$D$1315,$A43,DataRegularSeason20242025!$N$2:$N$1315,1)</f>
        <v>0</v>
      </c>
      <c r="BE43" s="35"/>
      <c r="BF43" s="28">
        <f>COUNTIFS(DataRegularSeason20242025!$E$2:$E$1315,BE$1,DataRegularSeason20242025!$D$2:$D$1315,$A43,DataRegularSeason20242025!$N$2:$N$1315,1)</f>
        <v>0</v>
      </c>
      <c r="BG43" s="35"/>
      <c r="BH43" s="28">
        <f>COUNTIFS(DataRegularSeason20242025!$E$2:$E$1315,BG$1,DataRegularSeason20242025!$D$2:$D$1315,$A43,DataRegularSeason20242025!$N$2:$N$1315,1)</f>
        <v>1</v>
      </c>
      <c r="BI43" s="35"/>
      <c r="BJ43" s="28">
        <f>COUNTIFS(DataRegularSeason20242025!$E$2:$E$1315,BI$1,DataRegularSeason20242025!$D$2:$D$1315,$A43,DataRegularSeason20242025!$N$2:$N$1315,1)</f>
        <v>0</v>
      </c>
      <c r="BK43" s="35"/>
      <c r="BL43" s="28">
        <f>COUNTIFS(DataRegularSeason20242025!$E$2:$E$1315,BK$1,DataRegularSeason20242025!$D$2:$D$1315,$A43,DataRegularSeason20242025!$N$2:$N$1315,1)</f>
        <v>0</v>
      </c>
      <c r="BM43" s="35"/>
      <c r="BN43" s="28">
        <f>COUNTIFS(DataRegularSeason20242025!$E$2:$E$1315,BM$1,DataRegularSeason20242025!$D$2:$D$1315,$A43,DataRegularSeason20242025!$N$2:$N$1315,1)</f>
        <v>1</v>
      </c>
      <c r="BO43" s="30">
        <f t="shared" si="1"/>
        <v>4</v>
      </c>
      <c r="BP43" s="165">
        <f t="shared" ref="BP43" si="59">BO43+BO44</f>
        <v>8</v>
      </c>
      <c r="BQ43" s="166">
        <f t="shared" ref="BQ43" si="60">82-BP43</f>
        <v>74</v>
      </c>
      <c r="BR43" s="173">
        <f t="shared" ref="BR43" si="61">BP43/(BP43+BQ43)</f>
        <v>9.7560975609756101E-2</v>
      </c>
    </row>
    <row r="44" spans="1:70" ht="9.9499999999999993" customHeight="1" x14ac:dyDescent="0.25">
      <c r="A44" s="167"/>
      <c r="B44" s="32" t="s">
        <v>73</v>
      </c>
      <c r="C44" s="38">
        <f>COUNTIFS(DataRegularSeason20242025!$D$2:$D$1315,C$1,DataRegularSeason20242025!$E$2:$E$1315,$A43,DataRegularSeason20242025!$N$2:$N$1315,1)</f>
        <v>0</v>
      </c>
      <c r="D44" s="39"/>
      <c r="E44" s="38">
        <f>COUNTIFS(DataRegularSeason20242025!$D$2:$D$1315,E$1,DataRegularSeason20242025!$E$2:$E$1315,$A43,DataRegularSeason20242025!$N$2:$N$1315,1)</f>
        <v>0</v>
      </c>
      <c r="F44" s="39"/>
      <c r="G44" s="38">
        <f>COUNTIFS(DataRegularSeason20242025!$D$2:$D$1315,G$1,DataRegularSeason20242025!$E$2:$E$1315,$A43,DataRegularSeason20242025!$N$2:$N$1315,1)</f>
        <v>1</v>
      </c>
      <c r="H44" s="39"/>
      <c r="I44" s="38">
        <f>COUNTIFS(DataRegularSeason20242025!$D$2:$D$1315,I$1,DataRegularSeason20242025!$E$2:$E$1315,$A43,DataRegularSeason20242025!$N$2:$N$1315,1)</f>
        <v>0</v>
      </c>
      <c r="J44" s="39"/>
      <c r="K44" s="38">
        <f>COUNTIFS(DataRegularSeason20242025!$D$2:$D$1315,K$1,DataRegularSeason20242025!$E$2:$E$1315,$A43,DataRegularSeason20242025!$N$2:$N$1315,1)</f>
        <v>0</v>
      </c>
      <c r="L44" s="39"/>
      <c r="M44" s="38">
        <f>COUNTIFS(DataRegularSeason20242025!$D$2:$D$1315,M$1,DataRegularSeason20242025!$E$2:$E$1315,$A43,DataRegularSeason20242025!$N$2:$N$1315,1)</f>
        <v>0</v>
      </c>
      <c r="N44" s="39"/>
      <c r="O44" s="38">
        <f>COUNTIFS(DataRegularSeason20242025!$D$2:$D$1315,O$1,DataRegularSeason20242025!$E$2:$E$1315,$A43,DataRegularSeason20242025!$N$2:$N$1315,1)</f>
        <v>0</v>
      </c>
      <c r="P44" s="39"/>
      <c r="Q44" s="38">
        <f>COUNTIFS(DataRegularSeason20242025!$D$2:$D$1315,Q$1,DataRegularSeason20242025!$E$2:$E$1315,$A43,DataRegularSeason20242025!$N$2:$N$1315,1)</f>
        <v>0</v>
      </c>
      <c r="R44" s="47"/>
      <c r="S44" s="38">
        <f>COUNTIFS(DataRegularSeason20242025!$D$2:$D$1315,S$1,DataRegularSeason20242025!$E$2:$E$1315,$A43,DataRegularSeason20242025!$N$2:$N$1315,1)</f>
        <v>0</v>
      </c>
      <c r="T44" s="39"/>
      <c r="U44" s="38">
        <f>COUNTIFS(DataRegularSeason20242025!$D$2:$D$1315,U$1,DataRegularSeason20242025!$E$2:$E$1315,$A43,DataRegularSeason20242025!$N$2:$N$1315,1)</f>
        <v>0</v>
      </c>
      <c r="V44" s="39"/>
      <c r="W44" s="38">
        <f>COUNTIFS(DataRegularSeason20242025!$D$2:$D$1315,W$1,DataRegularSeason20242025!$E$2:$E$1315,$A43,DataRegularSeason20242025!$N$2:$N$1315,1)</f>
        <v>0</v>
      </c>
      <c r="X44" s="39"/>
      <c r="Y44" s="38">
        <f>COUNTIFS(DataRegularSeason20242025!$D$2:$D$1315,Y$1,DataRegularSeason20242025!$E$2:$E$1315,$A43,DataRegularSeason20242025!$N$2:$N$1315,1)</f>
        <v>1</v>
      </c>
      <c r="Z44" s="39"/>
      <c r="AA44" s="38">
        <f>COUNTIFS(DataRegularSeason20242025!$D$2:$D$1315,AA$1,DataRegularSeason20242025!$E$2:$E$1315,$A43,DataRegularSeason20242025!$N$2:$N$1315,1)</f>
        <v>0</v>
      </c>
      <c r="AB44" s="39"/>
      <c r="AC44" s="38">
        <f>COUNTIFS(DataRegularSeason20242025!$D$2:$D$1315,AC$1,DataRegularSeason20242025!$E$2:$E$1315,$A43,DataRegularSeason20242025!$N$2:$N$1315,1)</f>
        <v>0</v>
      </c>
      <c r="AD44" s="39"/>
      <c r="AE44" s="38">
        <f>COUNTIFS(DataRegularSeason20242025!$D$2:$D$1315,AE$1,DataRegularSeason20242025!$E$2:$E$1315,$A43,DataRegularSeason20242025!$N$2:$N$1315,1)</f>
        <v>0</v>
      </c>
      <c r="AF44" s="39"/>
      <c r="AG44" s="38">
        <f>COUNTIFS(DataRegularSeason20242025!$D$2:$D$1315,AG$1,DataRegularSeason20242025!$E$2:$E$1315,$A43,DataRegularSeason20242025!$N$2:$N$1315,1)</f>
        <v>0</v>
      </c>
      <c r="AH44" s="47"/>
      <c r="AI44" s="38">
        <f>COUNTIFS(DataRegularSeason20242025!$D$2:$D$1315,AI$1,DataRegularSeason20242025!$E$2:$E$1315,$A43,DataRegularSeason20242025!$N$2:$N$1315,1)</f>
        <v>0</v>
      </c>
      <c r="AJ44" s="39"/>
      <c r="AK44" s="38">
        <f>COUNTIFS(DataRegularSeason20242025!$D$2:$D$1315,AK$1,DataRegularSeason20242025!$E$2:$E$1315,$A43,DataRegularSeason20242025!$N$2:$N$1315,1)</f>
        <v>0</v>
      </c>
      <c r="AL44" s="39"/>
      <c r="AM44" s="38">
        <f>COUNTIFS(DataRegularSeason20242025!$D$2:$D$1315,AM$1,DataRegularSeason20242025!$E$2:$E$1315,$A43,DataRegularSeason20242025!$N$2:$N$1315,1)</f>
        <v>0</v>
      </c>
      <c r="AN44" s="39"/>
      <c r="AO44" s="38">
        <f>COUNTIFS(DataRegularSeason20242025!$D$2:$D$1315,AO$1,DataRegularSeason20242025!$E$2:$E$1315,$A43,DataRegularSeason20242025!$N$2:$N$1315,1)</f>
        <v>0</v>
      </c>
      <c r="AP44" s="39"/>
      <c r="AQ44" s="38"/>
      <c r="AR44" s="39"/>
      <c r="AS44" s="38">
        <f>COUNTIFS(DataRegularSeason20242025!$D$2:$D$1315,AS$1,DataRegularSeason20242025!$E$2:$E$1315,$A43,DataRegularSeason20242025!$N$2:$N$1315,1)</f>
        <v>0</v>
      </c>
      <c r="AT44" s="39"/>
      <c r="AU44" s="38">
        <f>COUNTIFS(DataRegularSeason20242025!$D$2:$D$1315,AU$1,DataRegularSeason20242025!$E$2:$E$1315,$A43,DataRegularSeason20242025!$N$2:$N$1315,1)</f>
        <v>1</v>
      </c>
      <c r="AV44" s="39"/>
      <c r="AW44" s="38">
        <f>COUNTIFS(DataRegularSeason20242025!$D$2:$D$1315,AW$1,DataRegularSeason20242025!$E$2:$E$1315,$A43,DataRegularSeason20242025!$N$2:$N$1315,1)</f>
        <v>1</v>
      </c>
      <c r="AX44" s="47"/>
      <c r="AY44" s="38">
        <f>COUNTIFS(DataRegularSeason20242025!$D$2:$D$1315,AY$1,DataRegularSeason20242025!$E$2:$E$1315,$A43,DataRegularSeason20242025!$N$2:$N$1315,1)</f>
        <v>0</v>
      </c>
      <c r="AZ44" s="39"/>
      <c r="BA44" s="38">
        <f>COUNTIFS(DataRegularSeason20242025!$D$2:$D$1315,BA$1,DataRegularSeason20242025!$E$2:$E$1315,$A43,DataRegularSeason20242025!$N$2:$N$1315,1)</f>
        <v>0</v>
      </c>
      <c r="BB44" s="39"/>
      <c r="BC44" s="38">
        <f>COUNTIFS(DataRegularSeason20242025!$D$2:$D$1315,BC$1,DataRegularSeason20242025!$E$2:$E$1315,$A43,DataRegularSeason20242025!$N$2:$N$1315,1)</f>
        <v>0</v>
      </c>
      <c r="BD44" s="39"/>
      <c r="BE44" s="38">
        <f>COUNTIFS(DataRegularSeason20242025!$D$2:$D$1315,BE$1,DataRegularSeason20242025!$E$2:$E$1315,$A43,DataRegularSeason20242025!$N$2:$N$1315,1)</f>
        <v>0</v>
      </c>
      <c r="BF44" s="39"/>
      <c r="BG44" s="38">
        <f>COUNTIFS(DataRegularSeason20242025!$D$2:$D$1315,BG$1,DataRegularSeason20242025!$E$2:$E$1315,$A43,DataRegularSeason20242025!$N$2:$N$1315,1)</f>
        <v>0</v>
      </c>
      <c r="BH44" s="39"/>
      <c r="BI44" s="38">
        <f>COUNTIFS(DataRegularSeason20242025!$D$2:$D$1315,BI$1,DataRegularSeason20242025!$E$2:$E$1315,$A43,DataRegularSeason20242025!$N$2:$N$1315,1)</f>
        <v>0</v>
      </c>
      <c r="BJ44" s="39"/>
      <c r="BK44" s="38">
        <f>COUNTIFS(DataRegularSeason20242025!$D$2:$D$1315,BK$1,DataRegularSeason20242025!$E$2:$E$1315,$A43,DataRegularSeason20242025!$N$2:$N$1315,1)</f>
        <v>0</v>
      </c>
      <c r="BL44" s="39"/>
      <c r="BM44" s="38">
        <f>COUNTIFS(DataRegularSeason20242025!$D$2:$D$1315,BM$1,DataRegularSeason20242025!$E$2:$E$1315,$A43,DataRegularSeason20242025!$N$2:$N$1315,1)</f>
        <v>0</v>
      </c>
      <c r="BN44" s="39"/>
      <c r="BO44" s="34">
        <f t="shared" si="1"/>
        <v>4</v>
      </c>
      <c r="BP44" s="165"/>
      <c r="BQ44" s="166"/>
      <c r="BR44" s="173"/>
    </row>
    <row r="45" spans="1:70" ht="9.9499999999999993" customHeight="1" x14ac:dyDescent="0.25">
      <c r="A45" s="172" t="s">
        <v>42</v>
      </c>
      <c r="B45" s="28" t="s">
        <v>74</v>
      </c>
      <c r="C45" s="35"/>
      <c r="D45" s="28">
        <f>COUNTIFS(DataRegularSeason20242025!$E$2:$E$1315,C$1,DataRegularSeason20242025!$D$2:$D$1315,$A45,DataRegularSeason20242025!$N$2:$N$1315,1)</f>
        <v>0</v>
      </c>
      <c r="E45" s="35"/>
      <c r="F45" s="28">
        <f>COUNTIFS(DataRegularSeason20242025!$E$2:$E$1315,E$1,DataRegularSeason20242025!$D$2:$D$1315,$A45,DataRegularSeason20242025!$N$2:$N$1315,1)</f>
        <v>0</v>
      </c>
      <c r="G45" s="35"/>
      <c r="H45" s="28">
        <f>COUNTIFS(DataRegularSeason20242025!$E$2:$E$1315,G$1,DataRegularSeason20242025!$D$2:$D$1315,$A45,DataRegularSeason20242025!$N$2:$N$1315,1)</f>
        <v>0</v>
      </c>
      <c r="I45" s="35"/>
      <c r="J45" s="28">
        <f>COUNTIFS(DataRegularSeason20242025!$E$2:$E$1315,I$1,DataRegularSeason20242025!$D$2:$D$1315,$A45,DataRegularSeason20242025!$N$2:$N$1315,1)</f>
        <v>0</v>
      </c>
      <c r="K45" s="35"/>
      <c r="L45" s="28">
        <f>COUNTIFS(DataRegularSeason20242025!$E$2:$E$1315,K$1,DataRegularSeason20242025!$D$2:$D$1315,$A45,DataRegularSeason20242025!$N$2:$N$1315,1)</f>
        <v>0</v>
      </c>
      <c r="M45" s="35"/>
      <c r="N45" s="28">
        <f>COUNTIFS(DataRegularSeason20242025!$E$2:$E$1315,M$1,DataRegularSeason20242025!$D$2:$D$1315,$A45,DataRegularSeason20242025!$N$2:$N$1315,1)</f>
        <v>0</v>
      </c>
      <c r="O45" s="35"/>
      <c r="P45" s="28">
        <f>COUNTIFS(DataRegularSeason20242025!$E$2:$E$1315,O$1,DataRegularSeason20242025!$D$2:$D$1315,$A45,DataRegularSeason20242025!$N$2:$N$1315,1)</f>
        <v>0</v>
      </c>
      <c r="Q45" s="35"/>
      <c r="R45" s="46">
        <f>COUNTIFS(DataRegularSeason20242025!$E$2:$E$1315,Q$1,DataRegularSeason20242025!$D$2:$D$1315,$A45,DataRegularSeason20242025!$N$2:$N$1315,1)</f>
        <v>0</v>
      </c>
      <c r="S45" s="35"/>
      <c r="T45" s="28">
        <f>COUNTIFS(DataRegularSeason20242025!$E$2:$E$1315,S$1,DataRegularSeason20242025!$D$2:$D$1315,$A45,DataRegularSeason20242025!$N$2:$N$1315,1)</f>
        <v>0</v>
      </c>
      <c r="U45" s="35"/>
      <c r="V45" s="28">
        <f>COUNTIFS(DataRegularSeason20242025!$E$2:$E$1315,U$1,DataRegularSeason20242025!$D$2:$D$1315,$A45,DataRegularSeason20242025!$N$2:$N$1315,1)</f>
        <v>0</v>
      </c>
      <c r="W45" s="35"/>
      <c r="X45" s="28">
        <f>COUNTIFS(DataRegularSeason20242025!$E$2:$E$1315,W$1,DataRegularSeason20242025!$D$2:$D$1315,$A45,DataRegularSeason20242025!$N$2:$N$1315,1)</f>
        <v>0</v>
      </c>
      <c r="Y45" s="35"/>
      <c r="Z45" s="28">
        <f>COUNTIFS(DataRegularSeason20242025!$E$2:$E$1315,Y$1,DataRegularSeason20242025!$D$2:$D$1315,$A45,DataRegularSeason20242025!$N$2:$N$1315,1)</f>
        <v>0</v>
      </c>
      <c r="AA45" s="35"/>
      <c r="AB45" s="28">
        <f>COUNTIFS(DataRegularSeason20242025!$E$2:$E$1315,AA$1,DataRegularSeason20242025!$D$2:$D$1315,$A45,DataRegularSeason20242025!$N$2:$N$1315,1)</f>
        <v>0</v>
      </c>
      <c r="AC45" s="35"/>
      <c r="AD45" s="28">
        <f>COUNTIFS(DataRegularSeason20242025!$E$2:$E$1315,AC$1,DataRegularSeason20242025!$D$2:$D$1315,$A45,DataRegularSeason20242025!$N$2:$N$1315,1)</f>
        <v>0</v>
      </c>
      <c r="AE45" s="35"/>
      <c r="AF45" s="28">
        <f>COUNTIFS(DataRegularSeason20242025!$E$2:$E$1315,AE$1,DataRegularSeason20242025!$D$2:$D$1315,$A45,DataRegularSeason20242025!$N$2:$N$1315,1)</f>
        <v>0</v>
      </c>
      <c r="AG45" s="35"/>
      <c r="AH45" s="46">
        <f>COUNTIFS(DataRegularSeason20242025!$E$2:$E$1315,AG$1,DataRegularSeason20242025!$D$2:$D$1315,$A45,DataRegularSeason20242025!$N$2:$N$1315,1)</f>
        <v>0</v>
      </c>
      <c r="AI45" s="35"/>
      <c r="AJ45" s="28">
        <f>COUNTIFS(DataRegularSeason20242025!$E$2:$E$1315,AI$1,DataRegularSeason20242025!$D$2:$D$1315,$A45,DataRegularSeason20242025!$N$2:$N$1315,1)</f>
        <v>1</v>
      </c>
      <c r="AK45" s="35"/>
      <c r="AL45" s="28">
        <f>COUNTIFS(DataRegularSeason20242025!$E$2:$E$1315,AK$1,DataRegularSeason20242025!$D$2:$D$1315,$A45,DataRegularSeason20242025!$N$2:$N$1315,1)</f>
        <v>0</v>
      </c>
      <c r="AM45" s="35"/>
      <c r="AN45" s="28">
        <f>COUNTIFS(DataRegularSeason20242025!$E$2:$E$1315,AM$1,DataRegularSeason20242025!$D$2:$D$1315,$A45,DataRegularSeason20242025!$N$2:$N$1315,1)</f>
        <v>0</v>
      </c>
      <c r="AO45" s="35"/>
      <c r="AP45" s="28">
        <f>COUNTIFS(DataRegularSeason20242025!$E$2:$E$1315,AO$1,DataRegularSeason20242025!$D$2:$D$1315,$A45,DataRegularSeason20242025!$N$2:$N$1315,1)</f>
        <v>0</v>
      </c>
      <c r="AQ45" s="35"/>
      <c r="AR45" s="28">
        <f>COUNTIFS(DataRegularSeason20242025!$E$2:$E$1315,AQ$1,DataRegularSeason20242025!$D$2:$D$1315,$A45,DataRegularSeason20242025!$N$2:$N$1315,1)</f>
        <v>0</v>
      </c>
      <c r="AS45" s="35"/>
      <c r="AT45" s="36"/>
      <c r="AU45" s="35"/>
      <c r="AV45" s="28">
        <f>COUNTIFS(DataRegularSeason20242025!$E$2:$E$1315,AU$1,DataRegularSeason20242025!$D$2:$D$1315,$A45,DataRegularSeason20242025!$N$2:$N$1315,1)</f>
        <v>0</v>
      </c>
      <c r="AW45" s="35"/>
      <c r="AX45" s="46">
        <f>COUNTIFS(DataRegularSeason20242025!$E$2:$E$1315,AW$1,DataRegularSeason20242025!$D$2:$D$1315,$A45,DataRegularSeason20242025!$N$2:$N$1315,1)</f>
        <v>0</v>
      </c>
      <c r="AY45" s="35"/>
      <c r="AZ45" s="28">
        <f>COUNTIFS(DataRegularSeason20242025!$E$2:$E$1315,AY$1,DataRegularSeason20242025!$D$2:$D$1315,$A45,DataRegularSeason20242025!$N$2:$N$1315,1)</f>
        <v>0</v>
      </c>
      <c r="BA45" s="35"/>
      <c r="BB45" s="28">
        <f>COUNTIFS(DataRegularSeason20242025!$E$2:$E$1315,BA$1,DataRegularSeason20242025!$D$2:$D$1315,$A45,DataRegularSeason20242025!$N$2:$N$1315,1)</f>
        <v>0</v>
      </c>
      <c r="BC45" s="35"/>
      <c r="BD45" s="28">
        <f>COUNTIFS(DataRegularSeason20242025!$E$2:$E$1315,BC$1,DataRegularSeason20242025!$D$2:$D$1315,$A45,DataRegularSeason20242025!$N$2:$N$1315,1)</f>
        <v>0</v>
      </c>
      <c r="BE45" s="35"/>
      <c r="BF45" s="28">
        <f>COUNTIFS(DataRegularSeason20242025!$E$2:$E$1315,BE$1,DataRegularSeason20242025!$D$2:$D$1315,$A45,DataRegularSeason20242025!$N$2:$N$1315,1)</f>
        <v>1</v>
      </c>
      <c r="BG45" s="35"/>
      <c r="BH45" s="28">
        <f>COUNTIFS(DataRegularSeason20242025!$E$2:$E$1315,BG$1,DataRegularSeason20242025!$D$2:$D$1315,$A45,DataRegularSeason20242025!$N$2:$N$1315,1)</f>
        <v>0</v>
      </c>
      <c r="BI45" s="35"/>
      <c r="BJ45" s="28">
        <f>COUNTIFS(DataRegularSeason20242025!$E$2:$E$1315,BI$1,DataRegularSeason20242025!$D$2:$D$1315,$A45,DataRegularSeason20242025!$N$2:$N$1315,1)</f>
        <v>0</v>
      </c>
      <c r="BK45" s="35"/>
      <c r="BL45" s="28">
        <f>COUNTIFS(DataRegularSeason20242025!$E$2:$E$1315,BK$1,DataRegularSeason20242025!$D$2:$D$1315,$A45,DataRegularSeason20242025!$N$2:$N$1315,1)</f>
        <v>0</v>
      </c>
      <c r="BM45" s="35"/>
      <c r="BN45" s="28">
        <f>COUNTIFS(DataRegularSeason20242025!$E$2:$E$1315,BM$1,DataRegularSeason20242025!$D$2:$D$1315,$A45,DataRegularSeason20242025!$N$2:$N$1315,1)</f>
        <v>0</v>
      </c>
      <c r="BO45" s="30">
        <f t="shared" si="1"/>
        <v>2</v>
      </c>
      <c r="BP45" s="165">
        <f t="shared" ref="BP45" si="62">BO45+BO46</f>
        <v>6</v>
      </c>
      <c r="BQ45" s="166">
        <f t="shared" ref="BQ45" si="63">82-BP45</f>
        <v>76</v>
      </c>
      <c r="BR45" s="173">
        <f t="shared" ref="BR45" si="64">BP45/(BP45+BQ45)</f>
        <v>7.3170731707317069E-2</v>
      </c>
    </row>
    <row r="46" spans="1:70" ht="9.9499999999999993" customHeight="1" x14ac:dyDescent="0.25">
      <c r="A46" s="167"/>
      <c r="B46" s="32" t="s">
        <v>73</v>
      </c>
      <c r="C46" s="38">
        <f>COUNTIFS(DataRegularSeason20242025!$D$2:$D$1315,C$1,DataRegularSeason20242025!$E$2:$E$1315,$A45,DataRegularSeason20242025!$N$2:$N$1315,1)</f>
        <v>0</v>
      </c>
      <c r="D46" s="39"/>
      <c r="E46" s="38">
        <f>COUNTIFS(DataRegularSeason20242025!$D$2:$D$1315,E$1,DataRegularSeason20242025!$E$2:$E$1315,$A45,DataRegularSeason20242025!$N$2:$N$1315,1)</f>
        <v>0</v>
      </c>
      <c r="F46" s="39"/>
      <c r="G46" s="38">
        <f>COUNTIFS(DataRegularSeason20242025!$D$2:$D$1315,G$1,DataRegularSeason20242025!$E$2:$E$1315,$A45,DataRegularSeason20242025!$N$2:$N$1315,1)</f>
        <v>0</v>
      </c>
      <c r="H46" s="39"/>
      <c r="I46" s="38">
        <f>COUNTIFS(DataRegularSeason20242025!$D$2:$D$1315,I$1,DataRegularSeason20242025!$E$2:$E$1315,$A45,DataRegularSeason20242025!$N$2:$N$1315,1)</f>
        <v>0</v>
      </c>
      <c r="J46" s="39"/>
      <c r="K46" s="38">
        <f>COUNTIFS(DataRegularSeason20242025!$D$2:$D$1315,K$1,DataRegularSeason20242025!$E$2:$E$1315,$A45,DataRegularSeason20242025!$N$2:$N$1315,1)</f>
        <v>1</v>
      </c>
      <c r="L46" s="39"/>
      <c r="M46" s="38">
        <f>COUNTIFS(DataRegularSeason20242025!$D$2:$D$1315,M$1,DataRegularSeason20242025!$E$2:$E$1315,$A45,DataRegularSeason20242025!$N$2:$N$1315,1)</f>
        <v>0</v>
      </c>
      <c r="N46" s="39"/>
      <c r="O46" s="38">
        <f>COUNTIFS(DataRegularSeason20242025!$D$2:$D$1315,O$1,DataRegularSeason20242025!$E$2:$E$1315,$A45,DataRegularSeason20242025!$N$2:$N$1315,1)</f>
        <v>0</v>
      </c>
      <c r="P46" s="39"/>
      <c r="Q46" s="38">
        <f>COUNTIFS(DataRegularSeason20242025!$D$2:$D$1315,Q$1,DataRegularSeason20242025!$E$2:$E$1315,$A45,DataRegularSeason20242025!$N$2:$N$1315,1)</f>
        <v>0</v>
      </c>
      <c r="R46" s="47"/>
      <c r="S46" s="38">
        <f>COUNTIFS(DataRegularSeason20242025!$D$2:$D$1315,S$1,DataRegularSeason20242025!$E$2:$E$1315,$A45,DataRegularSeason20242025!$N$2:$N$1315,1)</f>
        <v>0</v>
      </c>
      <c r="T46" s="39"/>
      <c r="U46" s="38">
        <f>COUNTIFS(DataRegularSeason20242025!$D$2:$D$1315,U$1,DataRegularSeason20242025!$E$2:$E$1315,$A45,DataRegularSeason20242025!$N$2:$N$1315,1)</f>
        <v>0</v>
      </c>
      <c r="V46" s="39"/>
      <c r="W46" s="38">
        <f>COUNTIFS(DataRegularSeason20242025!$D$2:$D$1315,W$1,DataRegularSeason20242025!$E$2:$E$1315,$A45,DataRegularSeason20242025!$N$2:$N$1315,1)</f>
        <v>0</v>
      </c>
      <c r="X46" s="39"/>
      <c r="Y46" s="38">
        <f>COUNTIFS(DataRegularSeason20242025!$D$2:$D$1315,Y$1,DataRegularSeason20242025!$E$2:$E$1315,$A45,DataRegularSeason20242025!$N$2:$N$1315,1)</f>
        <v>1</v>
      </c>
      <c r="Z46" s="39"/>
      <c r="AA46" s="38">
        <f>COUNTIFS(DataRegularSeason20242025!$D$2:$D$1315,AA$1,DataRegularSeason20242025!$E$2:$E$1315,$A45,DataRegularSeason20242025!$N$2:$N$1315,1)</f>
        <v>0</v>
      </c>
      <c r="AB46" s="39"/>
      <c r="AC46" s="38">
        <f>COUNTIFS(DataRegularSeason20242025!$D$2:$D$1315,AC$1,DataRegularSeason20242025!$E$2:$E$1315,$A45,DataRegularSeason20242025!$N$2:$N$1315,1)</f>
        <v>0</v>
      </c>
      <c r="AD46" s="39"/>
      <c r="AE46" s="38">
        <f>COUNTIFS(DataRegularSeason20242025!$D$2:$D$1315,AE$1,DataRegularSeason20242025!$E$2:$E$1315,$A45,DataRegularSeason20242025!$N$2:$N$1315,1)</f>
        <v>0</v>
      </c>
      <c r="AF46" s="39"/>
      <c r="AG46" s="38">
        <f>COUNTIFS(DataRegularSeason20242025!$D$2:$D$1315,AG$1,DataRegularSeason20242025!$E$2:$E$1315,$A45,DataRegularSeason20242025!$N$2:$N$1315,1)</f>
        <v>1</v>
      </c>
      <c r="AH46" s="47"/>
      <c r="AI46" s="38">
        <f>COUNTIFS(DataRegularSeason20242025!$D$2:$D$1315,AI$1,DataRegularSeason20242025!$E$2:$E$1315,$A45,DataRegularSeason20242025!$N$2:$N$1315,1)</f>
        <v>0</v>
      </c>
      <c r="AJ46" s="39"/>
      <c r="AK46" s="38">
        <f>COUNTIFS(DataRegularSeason20242025!$D$2:$D$1315,AK$1,DataRegularSeason20242025!$E$2:$E$1315,$A45,DataRegularSeason20242025!$N$2:$N$1315,1)</f>
        <v>0</v>
      </c>
      <c r="AL46" s="39"/>
      <c r="AM46" s="38">
        <f>COUNTIFS(DataRegularSeason20242025!$D$2:$D$1315,AM$1,DataRegularSeason20242025!$E$2:$E$1315,$A45,DataRegularSeason20242025!$N$2:$N$1315,1)</f>
        <v>0</v>
      </c>
      <c r="AN46" s="39"/>
      <c r="AO46" s="38">
        <f>COUNTIFS(DataRegularSeason20242025!$D$2:$D$1315,AO$1,DataRegularSeason20242025!$E$2:$E$1315,$A45,DataRegularSeason20242025!$N$2:$N$1315,1)</f>
        <v>0</v>
      </c>
      <c r="AP46" s="39"/>
      <c r="AQ46" s="38">
        <f>COUNTIFS(DataRegularSeason20242025!$D$2:$D$1315,AQ$1,DataRegularSeason20242025!$E$2:$E$1315,$A45,DataRegularSeason20242025!$N$2:$N$1315,1)</f>
        <v>0</v>
      </c>
      <c r="AR46" s="39"/>
      <c r="AS46" s="38"/>
      <c r="AT46" s="39"/>
      <c r="AU46" s="38">
        <f>COUNTIFS(DataRegularSeason20242025!$D$2:$D$1315,AU$1,DataRegularSeason20242025!$E$2:$E$1315,$A45,DataRegularSeason20242025!$N$2:$N$1315,1)</f>
        <v>0</v>
      </c>
      <c r="AV46" s="39"/>
      <c r="AW46" s="38">
        <f>COUNTIFS(DataRegularSeason20242025!$D$2:$D$1315,AW$1,DataRegularSeason20242025!$E$2:$E$1315,$A45,DataRegularSeason20242025!$N$2:$N$1315,1)</f>
        <v>0</v>
      </c>
      <c r="AX46" s="47"/>
      <c r="AY46" s="38">
        <f>COUNTIFS(DataRegularSeason20242025!$D$2:$D$1315,AY$1,DataRegularSeason20242025!$E$2:$E$1315,$A45,DataRegularSeason20242025!$N$2:$N$1315,1)</f>
        <v>0</v>
      </c>
      <c r="AZ46" s="39"/>
      <c r="BA46" s="38">
        <f>COUNTIFS(DataRegularSeason20242025!$D$2:$D$1315,BA$1,DataRegularSeason20242025!$E$2:$E$1315,$A45,DataRegularSeason20242025!$N$2:$N$1315,1)</f>
        <v>0</v>
      </c>
      <c r="BB46" s="39"/>
      <c r="BC46" s="38">
        <f>COUNTIFS(DataRegularSeason20242025!$D$2:$D$1315,BC$1,DataRegularSeason20242025!$E$2:$E$1315,$A45,DataRegularSeason20242025!$N$2:$N$1315,1)</f>
        <v>0</v>
      </c>
      <c r="BD46" s="39"/>
      <c r="BE46" s="38">
        <f>COUNTIFS(DataRegularSeason20242025!$D$2:$D$1315,BE$1,DataRegularSeason20242025!$E$2:$E$1315,$A45,DataRegularSeason20242025!$N$2:$N$1315,1)</f>
        <v>1</v>
      </c>
      <c r="BF46" s="39"/>
      <c r="BG46" s="38">
        <f>COUNTIFS(DataRegularSeason20242025!$D$2:$D$1315,BG$1,DataRegularSeason20242025!$E$2:$E$1315,$A45,DataRegularSeason20242025!$N$2:$N$1315,1)</f>
        <v>0</v>
      </c>
      <c r="BH46" s="39"/>
      <c r="BI46" s="38">
        <f>COUNTIFS(DataRegularSeason20242025!$D$2:$D$1315,BI$1,DataRegularSeason20242025!$E$2:$E$1315,$A45,DataRegularSeason20242025!$N$2:$N$1315,1)</f>
        <v>0</v>
      </c>
      <c r="BJ46" s="39"/>
      <c r="BK46" s="38">
        <f>COUNTIFS(DataRegularSeason20242025!$D$2:$D$1315,BK$1,DataRegularSeason20242025!$E$2:$E$1315,$A45,DataRegularSeason20242025!$N$2:$N$1315,1)</f>
        <v>0</v>
      </c>
      <c r="BL46" s="39"/>
      <c r="BM46" s="38">
        <f>COUNTIFS(DataRegularSeason20242025!$D$2:$D$1315,BM$1,DataRegularSeason20242025!$E$2:$E$1315,$A45,DataRegularSeason20242025!$N$2:$N$1315,1)</f>
        <v>0</v>
      </c>
      <c r="BN46" s="39"/>
      <c r="BO46" s="34">
        <f t="shared" si="1"/>
        <v>4</v>
      </c>
      <c r="BP46" s="165"/>
      <c r="BQ46" s="166"/>
      <c r="BR46" s="173"/>
    </row>
    <row r="47" spans="1:70" ht="9.9499999999999993" customHeight="1" x14ac:dyDescent="0.25">
      <c r="A47" s="172" t="s">
        <v>20</v>
      </c>
      <c r="B47" s="28" t="s">
        <v>74</v>
      </c>
      <c r="C47" s="35"/>
      <c r="D47" s="28">
        <f>COUNTIFS(DataRegularSeason20242025!$E$2:$E$1315,C$1,DataRegularSeason20242025!$D$2:$D$1315,$A47,DataRegularSeason20242025!$N$2:$N$1315,1)</f>
        <v>1</v>
      </c>
      <c r="E47" s="35"/>
      <c r="F47" s="28">
        <f>COUNTIFS(DataRegularSeason20242025!$E$2:$E$1315,E$1,DataRegularSeason20242025!$D$2:$D$1315,$A47,DataRegularSeason20242025!$N$2:$N$1315,1)</f>
        <v>0</v>
      </c>
      <c r="G47" s="35"/>
      <c r="H47" s="28">
        <f>COUNTIFS(DataRegularSeason20242025!$E$2:$E$1315,G$1,DataRegularSeason20242025!$D$2:$D$1315,$A47,DataRegularSeason20242025!$N$2:$N$1315,1)</f>
        <v>0</v>
      </c>
      <c r="I47" s="35"/>
      <c r="J47" s="28">
        <f>COUNTIFS(DataRegularSeason20242025!$E$2:$E$1315,I$1,DataRegularSeason20242025!$D$2:$D$1315,$A47,DataRegularSeason20242025!$N$2:$N$1315,1)</f>
        <v>1</v>
      </c>
      <c r="K47" s="35"/>
      <c r="L47" s="28">
        <f>COUNTIFS(DataRegularSeason20242025!$E$2:$E$1315,K$1,DataRegularSeason20242025!$D$2:$D$1315,$A47,DataRegularSeason20242025!$N$2:$N$1315,1)</f>
        <v>0</v>
      </c>
      <c r="M47" s="35"/>
      <c r="N47" s="28">
        <f>COUNTIFS(DataRegularSeason20242025!$E$2:$E$1315,M$1,DataRegularSeason20242025!$D$2:$D$1315,$A47,DataRegularSeason20242025!$N$2:$N$1315,1)</f>
        <v>1</v>
      </c>
      <c r="O47" s="35"/>
      <c r="P47" s="28">
        <f>COUNTIFS(DataRegularSeason20242025!$E$2:$E$1315,O$1,DataRegularSeason20242025!$D$2:$D$1315,$A47,DataRegularSeason20242025!$N$2:$N$1315,1)</f>
        <v>0</v>
      </c>
      <c r="Q47" s="35"/>
      <c r="R47" s="46">
        <f>COUNTIFS(DataRegularSeason20242025!$E$2:$E$1315,Q$1,DataRegularSeason20242025!$D$2:$D$1315,$A47,DataRegularSeason20242025!$N$2:$N$1315,1)</f>
        <v>0</v>
      </c>
      <c r="S47" s="35"/>
      <c r="T47" s="28">
        <f>COUNTIFS(DataRegularSeason20242025!$E$2:$E$1315,S$1,DataRegularSeason20242025!$D$2:$D$1315,$A47,DataRegularSeason20242025!$N$2:$N$1315,1)</f>
        <v>0</v>
      </c>
      <c r="U47" s="35"/>
      <c r="V47" s="28">
        <f>COUNTIFS(DataRegularSeason20242025!$E$2:$E$1315,U$1,DataRegularSeason20242025!$D$2:$D$1315,$A47,DataRegularSeason20242025!$N$2:$N$1315,1)</f>
        <v>0</v>
      </c>
      <c r="W47" s="35"/>
      <c r="X47" s="28">
        <f>COUNTIFS(DataRegularSeason20242025!$E$2:$E$1315,W$1,DataRegularSeason20242025!$D$2:$D$1315,$A47,DataRegularSeason20242025!$N$2:$N$1315,1)</f>
        <v>0</v>
      </c>
      <c r="Y47" s="35"/>
      <c r="Z47" s="28">
        <f>COUNTIFS(DataRegularSeason20242025!$E$2:$E$1315,Y$1,DataRegularSeason20242025!$D$2:$D$1315,$A47,DataRegularSeason20242025!$N$2:$N$1315,1)</f>
        <v>0</v>
      </c>
      <c r="AA47" s="35"/>
      <c r="AB47" s="28">
        <f>COUNTIFS(DataRegularSeason20242025!$E$2:$E$1315,AA$1,DataRegularSeason20242025!$D$2:$D$1315,$A47,DataRegularSeason20242025!$N$2:$N$1315,1)</f>
        <v>0</v>
      </c>
      <c r="AC47" s="35"/>
      <c r="AD47" s="28">
        <f>COUNTIFS(DataRegularSeason20242025!$E$2:$E$1315,AC$1,DataRegularSeason20242025!$D$2:$D$1315,$A47,DataRegularSeason20242025!$N$2:$N$1315,1)</f>
        <v>0</v>
      </c>
      <c r="AE47" s="35"/>
      <c r="AF47" s="28">
        <f>COUNTIFS(DataRegularSeason20242025!$E$2:$E$1315,AE$1,DataRegularSeason20242025!$D$2:$D$1315,$A47,DataRegularSeason20242025!$N$2:$N$1315,1)</f>
        <v>0</v>
      </c>
      <c r="AG47" s="35"/>
      <c r="AH47" s="46">
        <f>COUNTIFS(DataRegularSeason20242025!$E$2:$E$1315,AG$1,DataRegularSeason20242025!$D$2:$D$1315,$A47,DataRegularSeason20242025!$N$2:$N$1315,1)</f>
        <v>0</v>
      </c>
      <c r="AI47" s="35"/>
      <c r="AJ47" s="28">
        <f>COUNTIFS(DataRegularSeason20242025!$E$2:$E$1315,AI$1,DataRegularSeason20242025!$D$2:$D$1315,$A47,DataRegularSeason20242025!$N$2:$N$1315,1)</f>
        <v>0</v>
      </c>
      <c r="AK47" s="35"/>
      <c r="AL47" s="28">
        <f>COUNTIFS(DataRegularSeason20242025!$E$2:$E$1315,AK$1,DataRegularSeason20242025!$D$2:$D$1315,$A47,DataRegularSeason20242025!$N$2:$N$1315,1)</f>
        <v>0</v>
      </c>
      <c r="AM47" s="35"/>
      <c r="AN47" s="28">
        <f>COUNTIFS(DataRegularSeason20242025!$E$2:$E$1315,AM$1,DataRegularSeason20242025!$D$2:$D$1315,$A47,DataRegularSeason20242025!$N$2:$N$1315,1)</f>
        <v>0</v>
      </c>
      <c r="AO47" s="35"/>
      <c r="AP47" s="28">
        <f>COUNTIFS(DataRegularSeason20242025!$E$2:$E$1315,AO$1,DataRegularSeason20242025!$D$2:$D$1315,$A47,DataRegularSeason20242025!$N$2:$N$1315,1)</f>
        <v>0</v>
      </c>
      <c r="AQ47" s="35"/>
      <c r="AR47" s="28">
        <f>COUNTIFS(DataRegularSeason20242025!$E$2:$E$1315,AQ$1,DataRegularSeason20242025!$D$2:$D$1315,$A47,DataRegularSeason20242025!$N$2:$N$1315,1)</f>
        <v>1</v>
      </c>
      <c r="AS47" s="35"/>
      <c r="AT47" s="28">
        <f>COUNTIFS(DataRegularSeason20242025!$E$2:$E$1315,AS$1,DataRegularSeason20242025!$D$2:$D$1315,$A47,DataRegularSeason20242025!$N$2:$N$1315,1)</f>
        <v>0</v>
      </c>
      <c r="AU47" s="35"/>
      <c r="AV47" s="36"/>
      <c r="AW47" s="35"/>
      <c r="AX47" s="46">
        <f>COUNTIFS(DataRegularSeason20242025!$E$2:$E$1315,AW$1,DataRegularSeason20242025!$D$2:$D$1315,$A47,DataRegularSeason20242025!$N$2:$N$1315,1)</f>
        <v>0</v>
      </c>
      <c r="AY47" s="35"/>
      <c r="AZ47" s="28">
        <f>COUNTIFS(DataRegularSeason20242025!$E$2:$E$1315,AY$1,DataRegularSeason20242025!$D$2:$D$1315,$A47,DataRegularSeason20242025!$N$2:$N$1315,1)</f>
        <v>0</v>
      </c>
      <c r="BA47" s="35"/>
      <c r="BB47" s="28">
        <f>COUNTIFS(DataRegularSeason20242025!$E$2:$E$1315,BA$1,DataRegularSeason20242025!$D$2:$D$1315,$A47,DataRegularSeason20242025!$N$2:$N$1315,1)</f>
        <v>0</v>
      </c>
      <c r="BC47" s="35"/>
      <c r="BD47" s="28">
        <f>COUNTIFS(DataRegularSeason20242025!$E$2:$E$1315,BC$1,DataRegularSeason20242025!$D$2:$D$1315,$A47,DataRegularSeason20242025!$N$2:$N$1315,1)</f>
        <v>0</v>
      </c>
      <c r="BE47" s="35"/>
      <c r="BF47" s="28">
        <f>COUNTIFS(DataRegularSeason20242025!$E$2:$E$1315,BE$1,DataRegularSeason20242025!$D$2:$D$1315,$A47,DataRegularSeason20242025!$N$2:$N$1315,1)</f>
        <v>0</v>
      </c>
      <c r="BG47" s="35"/>
      <c r="BH47" s="28">
        <f>COUNTIFS(DataRegularSeason20242025!$E$2:$E$1315,BG$1,DataRegularSeason20242025!$D$2:$D$1315,$A47,DataRegularSeason20242025!$N$2:$N$1315,1)</f>
        <v>0</v>
      </c>
      <c r="BI47" s="35"/>
      <c r="BJ47" s="28">
        <f>COUNTIFS(DataRegularSeason20242025!$E$2:$E$1315,BI$1,DataRegularSeason20242025!$D$2:$D$1315,$A47,DataRegularSeason20242025!$N$2:$N$1315,1)</f>
        <v>0</v>
      </c>
      <c r="BK47" s="35"/>
      <c r="BL47" s="28">
        <f>COUNTIFS(DataRegularSeason20242025!$E$2:$E$1315,BK$1,DataRegularSeason20242025!$D$2:$D$1315,$A47,DataRegularSeason20242025!$N$2:$N$1315,1)</f>
        <v>0</v>
      </c>
      <c r="BM47" s="35"/>
      <c r="BN47" s="28">
        <f>COUNTIFS(DataRegularSeason20242025!$E$2:$E$1315,BM$1,DataRegularSeason20242025!$D$2:$D$1315,$A47,DataRegularSeason20242025!$N$2:$N$1315,1)</f>
        <v>0</v>
      </c>
      <c r="BO47" s="30">
        <f t="shared" si="1"/>
        <v>4</v>
      </c>
      <c r="BP47" s="165">
        <f t="shared" ref="BP47" si="65">BO47+BO48</f>
        <v>7</v>
      </c>
      <c r="BQ47" s="166">
        <f t="shared" ref="BQ47" si="66">82-BP47</f>
        <v>75</v>
      </c>
      <c r="BR47" s="173">
        <f t="shared" ref="BR47" si="67">BP47/(BP47+BQ47)</f>
        <v>8.5365853658536592E-2</v>
      </c>
    </row>
    <row r="48" spans="1:70" ht="9.9499999999999993" customHeight="1" x14ac:dyDescent="0.25">
      <c r="A48" s="167"/>
      <c r="B48" s="32" t="s">
        <v>73</v>
      </c>
      <c r="C48" s="38">
        <f>COUNTIFS(DataRegularSeason20242025!$D$2:$D$1315,C$1,DataRegularSeason20242025!$E$2:$E$1315,$A47,DataRegularSeason20242025!$N$2:$N$1315,1)</f>
        <v>0</v>
      </c>
      <c r="D48" s="39"/>
      <c r="E48" s="38">
        <f>COUNTIFS(DataRegularSeason20242025!$D$2:$D$1315,E$1,DataRegularSeason20242025!$E$2:$E$1315,$A47,DataRegularSeason20242025!$N$2:$N$1315,1)</f>
        <v>0</v>
      </c>
      <c r="F48" s="39"/>
      <c r="G48" s="38">
        <f>COUNTIFS(DataRegularSeason20242025!$D$2:$D$1315,G$1,DataRegularSeason20242025!$E$2:$E$1315,$A47,DataRegularSeason20242025!$N$2:$N$1315,1)</f>
        <v>0</v>
      </c>
      <c r="H48" s="39"/>
      <c r="I48" s="38">
        <f>COUNTIFS(DataRegularSeason20242025!$D$2:$D$1315,I$1,DataRegularSeason20242025!$E$2:$E$1315,$A47,DataRegularSeason20242025!$N$2:$N$1315,1)</f>
        <v>0</v>
      </c>
      <c r="J48" s="39"/>
      <c r="K48" s="38">
        <f>COUNTIFS(DataRegularSeason20242025!$D$2:$D$1315,K$1,DataRegularSeason20242025!$E$2:$E$1315,$A47,DataRegularSeason20242025!$N$2:$N$1315,1)</f>
        <v>0</v>
      </c>
      <c r="L48" s="39"/>
      <c r="M48" s="38">
        <f>COUNTIFS(DataRegularSeason20242025!$D$2:$D$1315,M$1,DataRegularSeason20242025!$E$2:$E$1315,$A47,DataRegularSeason20242025!$N$2:$N$1315,1)</f>
        <v>0</v>
      </c>
      <c r="N48" s="39"/>
      <c r="O48" s="38">
        <f>COUNTIFS(DataRegularSeason20242025!$D$2:$D$1315,O$1,DataRegularSeason20242025!$E$2:$E$1315,$A47,DataRegularSeason20242025!$N$2:$N$1315,1)</f>
        <v>1</v>
      </c>
      <c r="P48" s="39"/>
      <c r="Q48" s="38">
        <f>COUNTIFS(DataRegularSeason20242025!$D$2:$D$1315,Q$1,DataRegularSeason20242025!$E$2:$E$1315,$A47,DataRegularSeason20242025!$N$2:$N$1315,1)</f>
        <v>0</v>
      </c>
      <c r="R48" s="47"/>
      <c r="S48" s="38">
        <f>COUNTIFS(DataRegularSeason20242025!$D$2:$D$1315,S$1,DataRegularSeason20242025!$E$2:$E$1315,$A47,DataRegularSeason20242025!$N$2:$N$1315,1)</f>
        <v>0</v>
      </c>
      <c r="T48" s="39"/>
      <c r="U48" s="38">
        <f>COUNTIFS(DataRegularSeason20242025!$D$2:$D$1315,U$1,DataRegularSeason20242025!$E$2:$E$1315,$A47,DataRegularSeason20242025!$N$2:$N$1315,1)</f>
        <v>0</v>
      </c>
      <c r="V48" s="39"/>
      <c r="W48" s="38">
        <f>COUNTIFS(DataRegularSeason20242025!$D$2:$D$1315,W$1,DataRegularSeason20242025!$E$2:$E$1315,$A47,DataRegularSeason20242025!$N$2:$N$1315,1)</f>
        <v>0</v>
      </c>
      <c r="X48" s="39"/>
      <c r="Y48" s="38">
        <f>COUNTIFS(DataRegularSeason20242025!$D$2:$D$1315,Y$1,DataRegularSeason20242025!$E$2:$E$1315,$A47,DataRegularSeason20242025!$N$2:$N$1315,1)</f>
        <v>0</v>
      </c>
      <c r="Z48" s="39"/>
      <c r="AA48" s="38">
        <f>COUNTIFS(DataRegularSeason20242025!$D$2:$D$1315,AA$1,DataRegularSeason20242025!$E$2:$E$1315,$A47,DataRegularSeason20242025!$N$2:$N$1315,1)</f>
        <v>0</v>
      </c>
      <c r="AB48" s="39"/>
      <c r="AC48" s="38">
        <f>COUNTIFS(DataRegularSeason20242025!$D$2:$D$1315,AC$1,DataRegularSeason20242025!$E$2:$E$1315,$A47,DataRegularSeason20242025!$N$2:$N$1315,1)</f>
        <v>0</v>
      </c>
      <c r="AD48" s="39"/>
      <c r="AE48" s="38">
        <f>COUNTIFS(DataRegularSeason20242025!$D$2:$D$1315,AE$1,DataRegularSeason20242025!$E$2:$E$1315,$A47,DataRegularSeason20242025!$N$2:$N$1315,1)</f>
        <v>0</v>
      </c>
      <c r="AF48" s="39"/>
      <c r="AG48" s="38">
        <f>COUNTIFS(DataRegularSeason20242025!$D$2:$D$1315,AG$1,DataRegularSeason20242025!$E$2:$E$1315,$A47,DataRegularSeason20242025!$N$2:$N$1315,1)</f>
        <v>0</v>
      </c>
      <c r="AH48" s="47"/>
      <c r="AI48" s="38">
        <f>COUNTIFS(DataRegularSeason20242025!$D$2:$D$1315,AI$1,DataRegularSeason20242025!$E$2:$E$1315,$A47,DataRegularSeason20242025!$N$2:$N$1315,1)</f>
        <v>0</v>
      </c>
      <c r="AJ48" s="39"/>
      <c r="AK48" s="38">
        <f>COUNTIFS(DataRegularSeason20242025!$D$2:$D$1315,AK$1,DataRegularSeason20242025!$E$2:$E$1315,$A47,DataRegularSeason20242025!$N$2:$N$1315,1)</f>
        <v>0</v>
      </c>
      <c r="AL48" s="39"/>
      <c r="AM48" s="38">
        <f>COUNTIFS(DataRegularSeason20242025!$D$2:$D$1315,AM$1,DataRegularSeason20242025!$E$2:$E$1315,$A47,DataRegularSeason20242025!$N$2:$N$1315,1)</f>
        <v>0</v>
      </c>
      <c r="AN48" s="39"/>
      <c r="AO48" s="38">
        <f>COUNTIFS(DataRegularSeason20242025!$D$2:$D$1315,AO$1,DataRegularSeason20242025!$E$2:$E$1315,$A47,DataRegularSeason20242025!$N$2:$N$1315,1)</f>
        <v>1</v>
      </c>
      <c r="AP48" s="39"/>
      <c r="AQ48" s="38">
        <f>COUNTIFS(DataRegularSeason20242025!$D$2:$D$1315,AQ$1,DataRegularSeason20242025!$E$2:$E$1315,$A47,DataRegularSeason20242025!$N$2:$N$1315,1)</f>
        <v>1</v>
      </c>
      <c r="AR48" s="39"/>
      <c r="AS48" s="38">
        <f>COUNTIFS(DataRegularSeason20242025!$D$2:$D$1315,AS$1,DataRegularSeason20242025!$E$2:$E$1315,$A47,DataRegularSeason20242025!$N$2:$N$1315,1)</f>
        <v>0</v>
      </c>
      <c r="AT48" s="39"/>
      <c r="AU48" s="38"/>
      <c r="AV48" s="39"/>
      <c r="AW48" s="38">
        <f>COUNTIFS(DataRegularSeason20242025!$D$2:$D$1315,AW$1,DataRegularSeason20242025!$E$2:$E$1315,$A47,DataRegularSeason20242025!$N$2:$N$1315,1)</f>
        <v>0</v>
      </c>
      <c r="AX48" s="47"/>
      <c r="AY48" s="38">
        <f>COUNTIFS(DataRegularSeason20242025!$D$2:$D$1315,AY$1,DataRegularSeason20242025!$E$2:$E$1315,$A47,DataRegularSeason20242025!$N$2:$N$1315,1)</f>
        <v>0</v>
      </c>
      <c r="AZ48" s="39"/>
      <c r="BA48" s="38">
        <f>COUNTIFS(DataRegularSeason20242025!$D$2:$D$1315,BA$1,DataRegularSeason20242025!$E$2:$E$1315,$A47,DataRegularSeason20242025!$N$2:$N$1315,1)</f>
        <v>0</v>
      </c>
      <c r="BB48" s="39"/>
      <c r="BC48" s="38">
        <f>COUNTIFS(DataRegularSeason20242025!$D$2:$D$1315,BC$1,DataRegularSeason20242025!$E$2:$E$1315,$A47,DataRegularSeason20242025!$N$2:$N$1315,1)</f>
        <v>0</v>
      </c>
      <c r="BD48" s="39"/>
      <c r="BE48" s="38">
        <f>COUNTIFS(DataRegularSeason20242025!$D$2:$D$1315,BE$1,DataRegularSeason20242025!$E$2:$E$1315,$A47,DataRegularSeason20242025!$N$2:$N$1315,1)</f>
        <v>0</v>
      </c>
      <c r="BF48" s="39"/>
      <c r="BG48" s="38">
        <f>COUNTIFS(DataRegularSeason20242025!$D$2:$D$1315,BG$1,DataRegularSeason20242025!$E$2:$E$1315,$A47,DataRegularSeason20242025!$N$2:$N$1315,1)</f>
        <v>0</v>
      </c>
      <c r="BH48" s="39"/>
      <c r="BI48" s="38">
        <f>COUNTIFS(DataRegularSeason20242025!$D$2:$D$1315,BI$1,DataRegularSeason20242025!$E$2:$E$1315,$A47,DataRegularSeason20242025!$N$2:$N$1315,1)</f>
        <v>0</v>
      </c>
      <c r="BJ48" s="39"/>
      <c r="BK48" s="38">
        <f>COUNTIFS(DataRegularSeason20242025!$D$2:$D$1315,BK$1,DataRegularSeason20242025!$E$2:$E$1315,$A47,DataRegularSeason20242025!$N$2:$N$1315,1)</f>
        <v>0</v>
      </c>
      <c r="BL48" s="39"/>
      <c r="BM48" s="38">
        <f>COUNTIFS(DataRegularSeason20242025!$D$2:$D$1315,BM$1,DataRegularSeason20242025!$E$2:$E$1315,$A47,DataRegularSeason20242025!$N$2:$N$1315,1)</f>
        <v>0</v>
      </c>
      <c r="BN48" s="39"/>
      <c r="BO48" s="34">
        <f t="shared" si="1"/>
        <v>3</v>
      </c>
      <c r="BP48" s="165"/>
      <c r="BQ48" s="166"/>
      <c r="BR48" s="173"/>
    </row>
    <row r="49" spans="1:70" ht="9.9499999999999993" customHeight="1" x14ac:dyDescent="0.25">
      <c r="A49" s="172" t="s">
        <v>43</v>
      </c>
      <c r="B49" s="28" t="s">
        <v>74</v>
      </c>
      <c r="C49" s="35"/>
      <c r="D49" s="28">
        <f>COUNTIFS(DataRegularSeason20242025!$E$2:$E$1315,C$1,DataRegularSeason20242025!$D$2:$D$1315,$A49,DataRegularSeason20242025!$N$2:$N$1315,1)</f>
        <v>0</v>
      </c>
      <c r="E49" s="35"/>
      <c r="F49" s="28">
        <f>COUNTIFS(DataRegularSeason20242025!$E$2:$E$1315,E$1,DataRegularSeason20242025!$D$2:$D$1315,$A49,DataRegularSeason20242025!$N$2:$N$1315,1)</f>
        <v>0</v>
      </c>
      <c r="G49" s="35"/>
      <c r="H49" s="28">
        <f>COUNTIFS(DataRegularSeason20242025!$E$2:$E$1315,G$1,DataRegularSeason20242025!$D$2:$D$1315,$A49,DataRegularSeason20242025!$N$2:$N$1315,1)</f>
        <v>0</v>
      </c>
      <c r="I49" s="35"/>
      <c r="J49" s="28">
        <f>COUNTIFS(DataRegularSeason20242025!$E$2:$E$1315,I$1,DataRegularSeason20242025!$D$2:$D$1315,$A49,DataRegularSeason20242025!$N$2:$N$1315,1)</f>
        <v>0</v>
      </c>
      <c r="K49" s="35"/>
      <c r="L49" s="28">
        <f>COUNTIFS(DataRegularSeason20242025!$E$2:$E$1315,K$1,DataRegularSeason20242025!$D$2:$D$1315,$A49,DataRegularSeason20242025!$N$2:$N$1315,1)</f>
        <v>0</v>
      </c>
      <c r="M49" s="35"/>
      <c r="N49" s="28">
        <f>COUNTIFS(DataRegularSeason20242025!$E$2:$E$1315,M$1,DataRegularSeason20242025!$D$2:$D$1315,$A49,DataRegularSeason20242025!$N$2:$N$1315,1)</f>
        <v>0</v>
      </c>
      <c r="O49" s="35"/>
      <c r="P49" s="28">
        <f>COUNTIFS(DataRegularSeason20242025!$E$2:$E$1315,O$1,DataRegularSeason20242025!$D$2:$D$1315,$A49,DataRegularSeason20242025!$N$2:$N$1315,1)</f>
        <v>0</v>
      </c>
      <c r="Q49" s="35"/>
      <c r="R49" s="46">
        <f>COUNTIFS(DataRegularSeason20242025!$E$2:$E$1315,Q$1,DataRegularSeason20242025!$D$2:$D$1315,$A49,DataRegularSeason20242025!$N$2:$N$1315,1)</f>
        <v>0</v>
      </c>
      <c r="S49" s="35"/>
      <c r="T49" s="28">
        <f>COUNTIFS(DataRegularSeason20242025!$E$2:$E$1315,S$1,DataRegularSeason20242025!$D$2:$D$1315,$A49,DataRegularSeason20242025!$N$2:$N$1315,1)</f>
        <v>0</v>
      </c>
      <c r="U49" s="35"/>
      <c r="V49" s="28">
        <f>COUNTIFS(DataRegularSeason20242025!$E$2:$E$1315,U$1,DataRegularSeason20242025!$D$2:$D$1315,$A49,DataRegularSeason20242025!$N$2:$N$1315,1)</f>
        <v>0</v>
      </c>
      <c r="W49" s="35"/>
      <c r="X49" s="28">
        <f>COUNTIFS(DataRegularSeason20242025!$E$2:$E$1315,W$1,DataRegularSeason20242025!$D$2:$D$1315,$A49,DataRegularSeason20242025!$N$2:$N$1315,1)</f>
        <v>0</v>
      </c>
      <c r="Y49" s="35"/>
      <c r="Z49" s="28">
        <f>COUNTIFS(DataRegularSeason20242025!$E$2:$E$1315,Y$1,DataRegularSeason20242025!$D$2:$D$1315,$A49,DataRegularSeason20242025!$N$2:$N$1315,1)</f>
        <v>0</v>
      </c>
      <c r="AA49" s="35"/>
      <c r="AB49" s="28">
        <f>COUNTIFS(DataRegularSeason20242025!$E$2:$E$1315,AA$1,DataRegularSeason20242025!$D$2:$D$1315,$A49,DataRegularSeason20242025!$N$2:$N$1315,1)</f>
        <v>0</v>
      </c>
      <c r="AC49" s="35"/>
      <c r="AD49" s="28">
        <f>COUNTIFS(DataRegularSeason20242025!$E$2:$E$1315,AC$1,DataRegularSeason20242025!$D$2:$D$1315,$A49,DataRegularSeason20242025!$N$2:$N$1315,1)</f>
        <v>0</v>
      </c>
      <c r="AE49" s="35"/>
      <c r="AF49" s="28">
        <f>COUNTIFS(DataRegularSeason20242025!$E$2:$E$1315,AE$1,DataRegularSeason20242025!$D$2:$D$1315,$A49,DataRegularSeason20242025!$N$2:$N$1315,1)</f>
        <v>0</v>
      </c>
      <c r="AG49" s="35"/>
      <c r="AH49" s="46">
        <f>COUNTIFS(DataRegularSeason20242025!$E$2:$E$1315,AG$1,DataRegularSeason20242025!$D$2:$D$1315,$A49,DataRegularSeason20242025!$N$2:$N$1315,1)</f>
        <v>0</v>
      </c>
      <c r="AI49" s="35"/>
      <c r="AJ49" s="28">
        <f>COUNTIFS(DataRegularSeason20242025!$E$2:$E$1315,AI$1,DataRegularSeason20242025!$D$2:$D$1315,$A49,DataRegularSeason20242025!$N$2:$N$1315,1)</f>
        <v>0</v>
      </c>
      <c r="AK49" s="35"/>
      <c r="AL49" s="28">
        <f>COUNTIFS(DataRegularSeason20242025!$E$2:$E$1315,AK$1,DataRegularSeason20242025!$D$2:$D$1315,$A49,DataRegularSeason20242025!$N$2:$N$1315,1)</f>
        <v>0</v>
      </c>
      <c r="AM49" s="35"/>
      <c r="AN49" s="28">
        <f>COUNTIFS(DataRegularSeason20242025!$E$2:$E$1315,AM$1,DataRegularSeason20242025!$D$2:$D$1315,$A49,DataRegularSeason20242025!$N$2:$N$1315,1)</f>
        <v>0</v>
      </c>
      <c r="AO49" s="35"/>
      <c r="AP49" s="28">
        <f>COUNTIFS(DataRegularSeason20242025!$E$2:$E$1315,AO$1,DataRegularSeason20242025!$D$2:$D$1315,$A49,DataRegularSeason20242025!$N$2:$N$1315,1)</f>
        <v>1</v>
      </c>
      <c r="AQ49" s="35"/>
      <c r="AR49" s="28">
        <f>COUNTIFS(DataRegularSeason20242025!$E$2:$E$1315,AQ$1,DataRegularSeason20242025!$D$2:$D$1315,$A49,DataRegularSeason20242025!$N$2:$N$1315,1)</f>
        <v>1</v>
      </c>
      <c r="AS49" s="35"/>
      <c r="AT49" s="28">
        <f>COUNTIFS(DataRegularSeason20242025!$E$2:$E$1315,AS$1,DataRegularSeason20242025!$D$2:$D$1315,$A49,DataRegularSeason20242025!$N$2:$N$1315,1)</f>
        <v>0</v>
      </c>
      <c r="AU49" s="35"/>
      <c r="AV49" s="28">
        <f>COUNTIFS(DataRegularSeason20242025!$E$2:$E$1315,AU$1,DataRegularSeason20242025!$D$2:$D$1315,$A49,DataRegularSeason20242025!$N$2:$N$1315,1)</f>
        <v>0</v>
      </c>
      <c r="AW49" s="35"/>
      <c r="AX49" s="48"/>
      <c r="AY49" s="35"/>
      <c r="AZ49" s="28">
        <f>COUNTIFS(DataRegularSeason20242025!$E$2:$E$1315,AY$1,DataRegularSeason20242025!$D$2:$D$1315,$A49,DataRegularSeason20242025!$N$2:$N$1315,1)</f>
        <v>0</v>
      </c>
      <c r="BA49" s="35"/>
      <c r="BB49" s="28">
        <f>COUNTIFS(DataRegularSeason20242025!$E$2:$E$1315,BA$1,DataRegularSeason20242025!$D$2:$D$1315,$A49,DataRegularSeason20242025!$N$2:$N$1315,1)</f>
        <v>0</v>
      </c>
      <c r="BC49" s="35"/>
      <c r="BD49" s="28">
        <f>COUNTIFS(DataRegularSeason20242025!$E$2:$E$1315,BC$1,DataRegularSeason20242025!$D$2:$D$1315,$A49,DataRegularSeason20242025!$N$2:$N$1315,1)</f>
        <v>0</v>
      </c>
      <c r="BE49" s="35"/>
      <c r="BF49" s="28">
        <f>COUNTIFS(DataRegularSeason20242025!$E$2:$E$1315,BE$1,DataRegularSeason20242025!$D$2:$D$1315,$A49,DataRegularSeason20242025!$N$2:$N$1315,1)</f>
        <v>0</v>
      </c>
      <c r="BG49" s="35"/>
      <c r="BH49" s="28">
        <f>COUNTIFS(DataRegularSeason20242025!$E$2:$E$1315,BG$1,DataRegularSeason20242025!$D$2:$D$1315,$A49,DataRegularSeason20242025!$N$2:$N$1315,1)</f>
        <v>0</v>
      </c>
      <c r="BI49" s="35"/>
      <c r="BJ49" s="28">
        <f>COUNTIFS(DataRegularSeason20242025!$E$2:$E$1315,BI$1,DataRegularSeason20242025!$D$2:$D$1315,$A49,DataRegularSeason20242025!$N$2:$N$1315,1)</f>
        <v>0</v>
      </c>
      <c r="BK49" s="35"/>
      <c r="BL49" s="28">
        <f>COUNTIFS(DataRegularSeason20242025!$E$2:$E$1315,BK$1,DataRegularSeason20242025!$D$2:$D$1315,$A49,DataRegularSeason20242025!$N$2:$N$1315,1)</f>
        <v>0</v>
      </c>
      <c r="BM49" s="35"/>
      <c r="BN49" s="28">
        <f>COUNTIFS(DataRegularSeason20242025!$E$2:$E$1315,BM$1,DataRegularSeason20242025!$D$2:$D$1315,$A49,DataRegularSeason20242025!$N$2:$N$1315,1)</f>
        <v>0</v>
      </c>
      <c r="BO49" s="30">
        <f t="shared" si="1"/>
        <v>2</v>
      </c>
      <c r="BP49" s="165">
        <f t="shared" ref="BP49" si="68">BO49+BO50</f>
        <v>7</v>
      </c>
      <c r="BQ49" s="166">
        <f t="shared" ref="BQ49" si="69">82-BP49</f>
        <v>75</v>
      </c>
      <c r="BR49" s="173">
        <f t="shared" ref="BR49" si="70">BP49/(BP49+BQ49)</f>
        <v>8.5365853658536592E-2</v>
      </c>
    </row>
    <row r="50" spans="1:70" ht="9.9499999999999993" customHeight="1" thickBot="1" x14ac:dyDescent="0.3">
      <c r="A50" s="174"/>
      <c r="B50" s="64" t="s">
        <v>73</v>
      </c>
      <c r="C50" s="51">
        <f>COUNTIFS(DataRegularSeason20242025!$D$2:$D$1315,C$1,DataRegularSeason20242025!$E$2:$E$1315,$A49,DataRegularSeason20242025!$N$2:$N$1315,1)</f>
        <v>0</v>
      </c>
      <c r="D50" s="50"/>
      <c r="E50" s="51">
        <f>COUNTIFS(DataRegularSeason20242025!$D$2:$D$1315,E$1,DataRegularSeason20242025!$E$2:$E$1315,$A49,DataRegularSeason20242025!$N$2:$N$1315,1)</f>
        <v>0</v>
      </c>
      <c r="F50" s="50"/>
      <c r="G50" s="51">
        <f>COUNTIFS(DataRegularSeason20242025!$D$2:$D$1315,G$1,DataRegularSeason20242025!$E$2:$E$1315,$A49,DataRegularSeason20242025!$N$2:$N$1315,1)</f>
        <v>0</v>
      </c>
      <c r="H50" s="50"/>
      <c r="I50" s="51">
        <f>COUNTIFS(DataRegularSeason20242025!$D$2:$D$1315,I$1,DataRegularSeason20242025!$E$2:$E$1315,$A49,DataRegularSeason20242025!$N$2:$N$1315,1)</f>
        <v>0</v>
      </c>
      <c r="J50" s="50"/>
      <c r="K50" s="51">
        <f>COUNTIFS(DataRegularSeason20242025!$D$2:$D$1315,K$1,DataRegularSeason20242025!$E$2:$E$1315,$A49,DataRegularSeason20242025!$N$2:$N$1315,1)</f>
        <v>1</v>
      </c>
      <c r="L50" s="50"/>
      <c r="M50" s="51">
        <f>COUNTIFS(DataRegularSeason20242025!$D$2:$D$1315,M$1,DataRegularSeason20242025!$E$2:$E$1315,$A49,DataRegularSeason20242025!$N$2:$N$1315,1)</f>
        <v>0</v>
      </c>
      <c r="N50" s="50"/>
      <c r="O50" s="51">
        <f>COUNTIFS(DataRegularSeason20242025!$D$2:$D$1315,O$1,DataRegularSeason20242025!$E$2:$E$1315,$A49,DataRegularSeason20242025!$N$2:$N$1315,1)</f>
        <v>1</v>
      </c>
      <c r="P50" s="50"/>
      <c r="Q50" s="51">
        <f>COUNTIFS(DataRegularSeason20242025!$D$2:$D$1315,Q$1,DataRegularSeason20242025!$E$2:$E$1315,$A49,DataRegularSeason20242025!$N$2:$N$1315,1)</f>
        <v>0</v>
      </c>
      <c r="R50" s="52"/>
      <c r="S50" s="51">
        <f>COUNTIFS(DataRegularSeason20242025!$D$2:$D$1315,S$1,DataRegularSeason20242025!$E$2:$E$1315,$A49,DataRegularSeason20242025!$N$2:$N$1315,1)</f>
        <v>0</v>
      </c>
      <c r="T50" s="50"/>
      <c r="U50" s="51">
        <f>COUNTIFS(DataRegularSeason20242025!$D$2:$D$1315,U$1,DataRegularSeason20242025!$E$2:$E$1315,$A49,DataRegularSeason20242025!$N$2:$N$1315,1)</f>
        <v>0</v>
      </c>
      <c r="V50" s="50"/>
      <c r="W50" s="51">
        <f>COUNTIFS(DataRegularSeason20242025!$D$2:$D$1315,W$1,DataRegularSeason20242025!$E$2:$E$1315,$A49,DataRegularSeason20242025!$N$2:$N$1315,1)</f>
        <v>0</v>
      </c>
      <c r="X50" s="50"/>
      <c r="Y50" s="51">
        <f>COUNTIFS(DataRegularSeason20242025!$D$2:$D$1315,Y$1,DataRegularSeason20242025!$E$2:$E$1315,$A49,DataRegularSeason20242025!$N$2:$N$1315,1)</f>
        <v>1</v>
      </c>
      <c r="Z50" s="50"/>
      <c r="AA50" s="51">
        <f>COUNTIFS(DataRegularSeason20242025!$D$2:$D$1315,AA$1,DataRegularSeason20242025!$E$2:$E$1315,$A49,DataRegularSeason20242025!$N$2:$N$1315,1)</f>
        <v>0</v>
      </c>
      <c r="AB50" s="50"/>
      <c r="AC50" s="51">
        <f>COUNTIFS(DataRegularSeason20242025!$D$2:$D$1315,AC$1,DataRegularSeason20242025!$E$2:$E$1315,$A49,DataRegularSeason20242025!$N$2:$N$1315,1)</f>
        <v>0</v>
      </c>
      <c r="AD50" s="50"/>
      <c r="AE50" s="51">
        <f>COUNTIFS(DataRegularSeason20242025!$D$2:$D$1315,AE$1,DataRegularSeason20242025!$E$2:$E$1315,$A49,DataRegularSeason20242025!$N$2:$N$1315,1)</f>
        <v>0</v>
      </c>
      <c r="AF50" s="50"/>
      <c r="AG50" s="51">
        <f>COUNTIFS(DataRegularSeason20242025!$D$2:$D$1315,AG$1,DataRegularSeason20242025!$E$2:$E$1315,$A49,DataRegularSeason20242025!$N$2:$N$1315,1)</f>
        <v>0</v>
      </c>
      <c r="AH50" s="52"/>
      <c r="AI50" s="53">
        <f>COUNTIFS(DataRegularSeason20242025!$D$2:$D$1315,AI$1,DataRegularSeason20242025!$E$2:$E$1315,$A49,DataRegularSeason20242025!$N$2:$N$1315,1)</f>
        <v>0</v>
      </c>
      <c r="AJ50" s="50"/>
      <c r="AK50" s="51">
        <f>COUNTIFS(DataRegularSeason20242025!$D$2:$D$1315,AK$1,DataRegularSeason20242025!$E$2:$E$1315,$A49,DataRegularSeason20242025!$N$2:$N$1315,1)</f>
        <v>0</v>
      </c>
      <c r="AL50" s="50"/>
      <c r="AM50" s="51">
        <f>COUNTIFS(DataRegularSeason20242025!$D$2:$D$1315,AM$1,DataRegularSeason20242025!$E$2:$E$1315,$A49,DataRegularSeason20242025!$N$2:$N$1315,1)</f>
        <v>0</v>
      </c>
      <c r="AN50" s="50"/>
      <c r="AO50" s="51">
        <f>COUNTIFS(DataRegularSeason20242025!$D$2:$D$1315,AO$1,DataRegularSeason20242025!$E$2:$E$1315,$A49,DataRegularSeason20242025!$N$2:$N$1315,1)</f>
        <v>0</v>
      </c>
      <c r="AP50" s="50"/>
      <c r="AQ50" s="51">
        <f>COUNTIFS(DataRegularSeason20242025!$D$2:$D$1315,AQ$1,DataRegularSeason20242025!$E$2:$E$1315,$A49,DataRegularSeason20242025!$N$2:$N$1315,1)</f>
        <v>0</v>
      </c>
      <c r="AR50" s="50"/>
      <c r="AS50" s="51">
        <f>COUNTIFS(DataRegularSeason20242025!$D$2:$D$1315,AS$1,DataRegularSeason20242025!$E$2:$E$1315,$A49,DataRegularSeason20242025!$N$2:$N$1315,1)</f>
        <v>0</v>
      </c>
      <c r="AT50" s="50"/>
      <c r="AU50" s="51">
        <f>COUNTIFS(DataRegularSeason20242025!$D$2:$D$1315,AU$1,DataRegularSeason20242025!$E$2:$E$1315,$A49,DataRegularSeason20242025!$N$2:$N$1315,1)</f>
        <v>0</v>
      </c>
      <c r="AV50" s="50"/>
      <c r="AW50" s="51"/>
      <c r="AX50" s="52"/>
      <c r="AY50" s="53">
        <f>COUNTIFS(DataRegularSeason20242025!$D$2:$D$1315,AY$1,DataRegularSeason20242025!$E$2:$E$1315,$A49,DataRegularSeason20242025!$N$2:$N$1315,1)</f>
        <v>1</v>
      </c>
      <c r="AZ50" s="50"/>
      <c r="BA50" s="51">
        <f>COUNTIFS(DataRegularSeason20242025!$D$2:$D$1315,BA$1,DataRegularSeason20242025!$E$2:$E$1315,$A49,DataRegularSeason20242025!$N$2:$N$1315,1)</f>
        <v>0</v>
      </c>
      <c r="BB50" s="50"/>
      <c r="BC50" s="51">
        <f>COUNTIFS(DataRegularSeason20242025!$D$2:$D$1315,BC$1,DataRegularSeason20242025!$E$2:$E$1315,$A49,DataRegularSeason20242025!$N$2:$N$1315,1)</f>
        <v>0</v>
      </c>
      <c r="BD50" s="50"/>
      <c r="BE50" s="51">
        <f>COUNTIFS(DataRegularSeason20242025!$D$2:$D$1315,BE$1,DataRegularSeason20242025!$E$2:$E$1315,$A49,DataRegularSeason20242025!$N$2:$N$1315,1)</f>
        <v>0</v>
      </c>
      <c r="BF50" s="50"/>
      <c r="BG50" s="51">
        <f>COUNTIFS(DataRegularSeason20242025!$D$2:$D$1315,BG$1,DataRegularSeason20242025!$E$2:$E$1315,$A49,DataRegularSeason20242025!$N$2:$N$1315,1)</f>
        <v>0</v>
      </c>
      <c r="BH50" s="50"/>
      <c r="BI50" s="51">
        <f>COUNTIFS(DataRegularSeason20242025!$D$2:$D$1315,BI$1,DataRegularSeason20242025!$E$2:$E$1315,$A49,DataRegularSeason20242025!$N$2:$N$1315,1)</f>
        <v>0</v>
      </c>
      <c r="BJ50" s="50"/>
      <c r="BK50" s="51">
        <f>COUNTIFS(DataRegularSeason20242025!$D$2:$D$1315,BK$1,DataRegularSeason20242025!$E$2:$E$1315,$A49,DataRegularSeason20242025!$N$2:$N$1315,1)</f>
        <v>1</v>
      </c>
      <c r="BL50" s="50"/>
      <c r="BM50" s="51">
        <f>COUNTIFS(DataRegularSeason20242025!$D$2:$D$1315,BM$1,DataRegularSeason20242025!$E$2:$E$1315,$A49,DataRegularSeason20242025!$N$2:$N$1315,1)</f>
        <v>0</v>
      </c>
      <c r="BN50" s="50"/>
      <c r="BO50" s="34">
        <f t="shared" si="1"/>
        <v>5</v>
      </c>
      <c r="BP50" s="165"/>
      <c r="BQ50" s="166"/>
      <c r="BR50" s="173"/>
    </row>
    <row r="51" spans="1:70" ht="9.9499999999999993" customHeight="1" thickTop="1" x14ac:dyDescent="0.25">
      <c r="A51" s="166" t="s">
        <v>15</v>
      </c>
      <c r="B51" s="28" t="s">
        <v>74</v>
      </c>
      <c r="C51" s="35"/>
      <c r="D51" s="28">
        <f>COUNTIFS(DataRegularSeason20242025!$E$2:$E$1315,C$1,DataRegularSeason20242025!$D$2:$D$1315,$A51,DataRegularSeason20242025!$N$2:$N$1315,1)</f>
        <v>0</v>
      </c>
      <c r="E51" s="35"/>
      <c r="F51" s="28">
        <f>COUNTIFS(DataRegularSeason20242025!$E$2:$E$1315,E$1,DataRegularSeason20242025!$D$2:$D$1315,$A51,DataRegularSeason20242025!$N$2:$N$1315,1)</f>
        <v>0</v>
      </c>
      <c r="G51" s="35"/>
      <c r="H51" s="28">
        <f>COUNTIFS(DataRegularSeason20242025!$E$2:$E$1315,G$1,DataRegularSeason20242025!$D$2:$D$1315,$A51,DataRegularSeason20242025!$N$2:$N$1315,1)</f>
        <v>0</v>
      </c>
      <c r="I51" s="35"/>
      <c r="J51" s="28">
        <f>COUNTIFS(DataRegularSeason20242025!$E$2:$E$1315,I$1,DataRegularSeason20242025!$D$2:$D$1315,$A51,DataRegularSeason20242025!$N$2:$N$1315,1)</f>
        <v>0</v>
      </c>
      <c r="K51" s="35"/>
      <c r="L51" s="28">
        <f>COUNTIFS(DataRegularSeason20242025!$E$2:$E$1315,K$1,DataRegularSeason20242025!$D$2:$D$1315,$A51,DataRegularSeason20242025!$N$2:$N$1315,1)</f>
        <v>0</v>
      </c>
      <c r="M51" s="35"/>
      <c r="N51" s="28">
        <f>COUNTIFS(DataRegularSeason20242025!$E$2:$E$1315,M$1,DataRegularSeason20242025!$D$2:$D$1315,$A51,DataRegularSeason20242025!$N$2:$N$1315,1)</f>
        <v>0</v>
      </c>
      <c r="O51" s="35"/>
      <c r="P51" s="28">
        <f>COUNTIFS(DataRegularSeason20242025!$E$2:$E$1315,O$1,DataRegularSeason20242025!$D$2:$D$1315,$A51,DataRegularSeason20242025!$N$2:$N$1315,1)</f>
        <v>0</v>
      </c>
      <c r="Q51" s="35"/>
      <c r="R51" s="46">
        <f>COUNTIFS(DataRegularSeason20242025!$E$2:$E$1315,Q$1,DataRegularSeason20242025!$D$2:$D$1315,$A51,DataRegularSeason20242025!$N$2:$N$1315,1)</f>
        <v>1</v>
      </c>
      <c r="S51" s="35"/>
      <c r="T51" s="28">
        <f>COUNTIFS(DataRegularSeason20242025!$E$2:$E$1315,S$1,DataRegularSeason20242025!$D$2:$D$1315,$A51,DataRegularSeason20242025!$N$2:$N$1315,1)</f>
        <v>0</v>
      </c>
      <c r="U51" s="35"/>
      <c r="V51" s="28">
        <f>COUNTIFS(DataRegularSeason20242025!$E$2:$E$1315,U$1,DataRegularSeason20242025!$D$2:$D$1315,$A51,DataRegularSeason20242025!$N$2:$N$1315,1)</f>
        <v>1</v>
      </c>
      <c r="W51" s="35"/>
      <c r="X51" s="28">
        <f>COUNTIFS(DataRegularSeason20242025!$E$2:$E$1315,W$1,DataRegularSeason20242025!$D$2:$D$1315,$A51,DataRegularSeason20242025!$N$2:$N$1315,1)</f>
        <v>0</v>
      </c>
      <c r="Y51" s="35"/>
      <c r="Z51" s="28">
        <f>COUNTIFS(DataRegularSeason20242025!$E$2:$E$1315,Y$1,DataRegularSeason20242025!$D$2:$D$1315,$A51,DataRegularSeason20242025!$N$2:$N$1315,1)</f>
        <v>0</v>
      </c>
      <c r="AA51" s="35"/>
      <c r="AB51" s="28">
        <f>COUNTIFS(DataRegularSeason20242025!$E$2:$E$1315,AA$1,DataRegularSeason20242025!$D$2:$D$1315,$A51,DataRegularSeason20242025!$N$2:$N$1315,1)</f>
        <v>0</v>
      </c>
      <c r="AC51" s="35"/>
      <c r="AD51" s="28">
        <f>COUNTIFS(DataRegularSeason20242025!$E$2:$E$1315,AC$1,DataRegularSeason20242025!$D$2:$D$1315,$A51,DataRegularSeason20242025!$N$2:$N$1315,1)</f>
        <v>0</v>
      </c>
      <c r="AE51" s="35"/>
      <c r="AF51" s="28">
        <f>COUNTIFS(DataRegularSeason20242025!$E$2:$E$1315,AE$1,DataRegularSeason20242025!$D$2:$D$1315,$A51,DataRegularSeason20242025!$N$2:$N$1315,1)</f>
        <v>1</v>
      </c>
      <c r="AG51" s="35"/>
      <c r="AH51" s="46">
        <f>COUNTIFS(DataRegularSeason20242025!$E$2:$E$1315,AG$1,DataRegularSeason20242025!$D$2:$D$1315,$A51,DataRegularSeason20242025!$N$2:$N$1315,1)</f>
        <v>0</v>
      </c>
      <c r="AI51" s="35"/>
      <c r="AJ51" s="28">
        <f>COUNTIFS(DataRegularSeason20242025!$E$2:$E$1315,AI$1,DataRegularSeason20242025!$D$2:$D$1315,$A51,DataRegularSeason20242025!$N$2:$N$1315,1)</f>
        <v>0</v>
      </c>
      <c r="AK51" s="35"/>
      <c r="AL51" s="28">
        <f>COUNTIFS(DataRegularSeason20242025!$E$2:$E$1315,AK$1,DataRegularSeason20242025!$D$2:$D$1315,$A51,DataRegularSeason20242025!$N$2:$N$1315,1)</f>
        <v>0</v>
      </c>
      <c r="AM51" s="35"/>
      <c r="AN51" s="28">
        <f>COUNTIFS(DataRegularSeason20242025!$E$2:$E$1315,AM$1,DataRegularSeason20242025!$D$2:$D$1315,$A51,DataRegularSeason20242025!$N$2:$N$1315,1)</f>
        <v>0</v>
      </c>
      <c r="AO51" s="35"/>
      <c r="AP51" s="28">
        <f>COUNTIFS(DataRegularSeason20242025!$E$2:$E$1315,AO$1,DataRegularSeason20242025!$D$2:$D$1315,$A51,DataRegularSeason20242025!$N$2:$N$1315,1)</f>
        <v>0</v>
      </c>
      <c r="AQ51" s="35"/>
      <c r="AR51" s="28">
        <f>COUNTIFS(DataRegularSeason20242025!$E$2:$E$1315,AQ$1,DataRegularSeason20242025!$D$2:$D$1315,$A51,DataRegularSeason20242025!$N$2:$N$1315,1)</f>
        <v>0</v>
      </c>
      <c r="AS51" s="35"/>
      <c r="AT51" s="28">
        <f>COUNTIFS(DataRegularSeason20242025!$E$2:$E$1315,AS$1,DataRegularSeason20242025!$D$2:$D$1315,$A51,DataRegularSeason20242025!$N$2:$N$1315,1)</f>
        <v>0</v>
      </c>
      <c r="AU51" s="35"/>
      <c r="AV51" s="28">
        <f>COUNTIFS(DataRegularSeason20242025!$E$2:$E$1315,AU$1,DataRegularSeason20242025!$D$2:$D$1315,$A51,DataRegularSeason20242025!$N$2:$N$1315,1)</f>
        <v>0</v>
      </c>
      <c r="AW51" s="35"/>
      <c r="AX51" s="54">
        <f>COUNTIFS(DataRegularSeason20242025!$E$2:$E$1315,AW$1,DataRegularSeason20242025!$D$2:$D$1315,$A51,DataRegularSeason20242025!$N$2:$N$1315,1)</f>
        <v>1</v>
      </c>
      <c r="AY51" s="35"/>
      <c r="AZ51" s="36"/>
      <c r="BA51" s="35"/>
      <c r="BB51" s="28">
        <f>COUNTIFS(DataRegularSeason20242025!$E$2:$E$1315,BA$1,DataRegularSeason20242025!$D$2:$D$1315,$A51,DataRegularSeason20242025!$N$2:$N$1315,1)</f>
        <v>0</v>
      </c>
      <c r="BC51" s="35"/>
      <c r="BD51" s="28">
        <f>COUNTIFS(DataRegularSeason20242025!$E$2:$E$1315,BC$1,DataRegularSeason20242025!$D$2:$D$1315,$A51,DataRegularSeason20242025!$N$2:$N$1315,1)</f>
        <v>0</v>
      </c>
      <c r="BE51" s="35"/>
      <c r="BF51" s="28">
        <f>COUNTIFS(DataRegularSeason20242025!$E$2:$E$1315,BE$1,DataRegularSeason20242025!$D$2:$D$1315,$A51,DataRegularSeason20242025!$N$2:$N$1315,1)</f>
        <v>0</v>
      </c>
      <c r="BG51" s="35"/>
      <c r="BH51" s="28">
        <f>COUNTIFS(DataRegularSeason20242025!$E$2:$E$1315,BG$1,DataRegularSeason20242025!$D$2:$D$1315,$A51,DataRegularSeason20242025!$N$2:$N$1315,1)</f>
        <v>0</v>
      </c>
      <c r="BI51" s="35"/>
      <c r="BJ51" s="28">
        <f>COUNTIFS(DataRegularSeason20242025!$E$2:$E$1315,BI$1,DataRegularSeason20242025!$D$2:$D$1315,$A51,DataRegularSeason20242025!$N$2:$N$1315,1)</f>
        <v>0</v>
      </c>
      <c r="BK51" s="35"/>
      <c r="BL51" s="28">
        <f>COUNTIFS(DataRegularSeason20242025!$E$2:$E$1315,BK$1,DataRegularSeason20242025!$D$2:$D$1315,$A51,DataRegularSeason20242025!$N$2:$N$1315,1)</f>
        <v>0</v>
      </c>
      <c r="BM51" s="35"/>
      <c r="BN51" s="28">
        <f>COUNTIFS(DataRegularSeason20242025!$E$2:$E$1315,BM$1,DataRegularSeason20242025!$D$2:$D$1315,$A51,DataRegularSeason20242025!$N$2:$N$1315,1)</f>
        <v>0</v>
      </c>
      <c r="BO51" s="30">
        <f t="shared" si="1"/>
        <v>4</v>
      </c>
      <c r="BP51" s="165">
        <f t="shared" ref="BP51" si="71">BO51+BO52</f>
        <v>8</v>
      </c>
      <c r="BQ51" s="166">
        <f t="shared" ref="BQ51" si="72">82-BP51</f>
        <v>74</v>
      </c>
      <c r="BR51" s="173">
        <f t="shared" ref="BR51" si="73">BP51/(BP51+BQ51)</f>
        <v>9.7560975609756101E-2</v>
      </c>
    </row>
    <row r="52" spans="1:70" ht="9.9499999999999993" customHeight="1" x14ac:dyDescent="0.25">
      <c r="A52" s="167"/>
      <c r="B52" s="32" t="s">
        <v>73</v>
      </c>
      <c r="C52" s="38">
        <f>COUNTIFS(DataRegularSeason20242025!$D$2:$D$1315,C$1,DataRegularSeason20242025!$E$2:$E$1315,$A51,DataRegularSeason20242025!$N$2:$N$1315,1)</f>
        <v>0</v>
      </c>
      <c r="D52" s="39"/>
      <c r="E52" s="38">
        <f>COUNTIFS(DataRegularSeason20242025!$D$2:$D$1315,E$1,DataRegularSeason20242025!$E$2:$E$1315,$A51,DataRegularSeason20242025!$N$2:$N$1315,1)</f>
        <v>0</v>
      </c>
      <c r="F52" s="39"/>
      <c r="G52" s="38">
        <f>COUNTIFS(DataRegularSeason20242025!$D$2:$D$1315,G$1,DataRegularSeason20242025!$E$2:$E$1315,$A51,DataRegularSeason20242025!$N$2:$N$1315,1)</f>
        <v>0</v>
      </c>
      <c r="H52" s="39"/>
      <c r="I52" s="38">
        <f>COUNTIFS(DataRegularSeason20242025!$D$2:$D$1315,I$1,DataRegularSeason20242025!$E$2:$E$1315,$A51,DataRegularSeason20242025!$N$2:$N$1315,1)</f>
        <v>0</v>
      </c>
      <c r="J52" s="39"/>
      <c r="K52" s="38">
        <f>COUNTIFS(DataRegularSeason20242025!$D$2:$D$1315,K$1,DataRegularSeason20242025!$E$2:$E$1315,$A51,DataRegularSeason20242025!$N$2:$N$1315,1)</f>
        <v>0</v>
      </c>
      <c r="L52" s="39"/>
      <c r="M52" s="38">
        <f>COUNTIFS(DataRegularSeason20242025!$D$2:$D$1315,M$1,DataRegularSeason20242025!$E$2:$E$1315,$A51,DataRegularSeason20242025!$N$2:$N$1315,1)</f>
        <v>0</v>
      </c>
      <c r="N52" s="39"/>
      <c r="O52" s="38">
        <f>COUNTIFS(DataRegularSeason20242025!$D$2:$D$1315,O$1,DataRegularSeason20242025!$E$2:$E$1315,$A51,DataRegularSeason20242025!$N$2:$N$1315,1)</f>
        <v>0</v>
      </c>
      <c r="P52" s="39"/>
      <c r="Q52" s="38">
        <f>COUNTIFS(DataRegularSeason20242025!$D$2:$D$1315,Q$1,DataRegularSeason20242025!$E$2:$E$1315,$A51,DataRegularSeason20242025!$N$2:$N$1315,1)</f>
        <v>0</v>
      </c>
      <c r="R52" s="47"/>
      <c r="S52" s="38">
        <f>COUNTIFS(DataRegularSeason20242025!$D$2:$D$1315,S$1,DataRegularSeason20242025!$E$2:$E$1315,$A51,DataRegularSeason20242025!$N$2:$N$1315,1)</f>
        <v>1</v>
      </c>
      <c r="T52" s="39"/>
      <c r="U52" s="38">
        <f>COUNTIFS(DataRegularSeason20242025!$D$2:$D$1315,U$1,DataRegularSeason20242025!$E$2:$E$1315,$A51,DataRegularSeason20242025!$N$2:$N$1315,1)</f>
        <v>0</v>
      </c>
      <c r="V52" s="39"/>
      <c r="W52" s="38">
        <f>COUNTIFS(DataRegularSeason20242025!$D$2:$D$1315,W$1,DataRegularSeason20242025!$E$2:$E$1315,$A51,DataRegularSeason20242025!$N$2:$N$1315,1)</f>
        <v>0</v>
      </c>
      <c r="X52" s="39"/>
      <c r="Y52" s="38">
        <f>COUNTIFS(DataRegularSeason20242025!$D$2:$D$1315,Y$1,DataRegularSeason20242025!$E$2:$E$1315,$A51,DataRegularSeason20242025!$N$2:$N$1315,1)</f>
        <v>0</v>
      </c>
      <c r="Z52" s="39"/>
      <c r="AA52" s="38">
        <f>COUNTIFS(DataRegularSeason20242025!$D$2:$D$1315,AA$1,DataRegularSeason20242025!$E$2:$E$1315,$A51,DataRegularSeason20242025!$N$2:$N$1315,1)</f>
        <v>0</v>
      </c>
      <c r="AB52" s="39"/>
      <c r="AC52" s="38">
        <f>COUNTIFS(DataRegularSeason20242025!$D$2:$D$1315,AC$1,DataRegularSeason20242025!$E$2:$E$1315,$A51,DataRegularSeason20242025!$N$2:$N$1315,1)</f>
        <v>0</v>
      </c>
      <c r="AD52" s="39"/>
      <c r="AE52" s="38">
        <f>COUNTIFS(DataRegularSeason20242025!$D$2:$D$1315,AE$1,DataRegularSeason20242025!$E$2:$E$1315,$A51,DataRegularSeason20242025!$N$2:$N$1315,1)</f>
        <v>0</v>
      </c>
      <c r="AF52" s="39"/>
      <c r="AG52" s="38">
        <f>COUNTIFS(DataRegularSeason20242025!$D$2:$D$1315,AG$1,DataRegularSeason20242025!$E$2:$E$1315,$A51,DataRegularSeason20242025!$N$2:$N$1315,1)</f>
        <v>0</v>
      </c>
      <c r="AH52" s="47"/>
      <c r="AI52" s="38">
        <f>COUNTIFS(DataRegularSeason20242025!$D$2:$D$1315,AI$1,DataRegularSeason20242025!$E$2:$E$1315,$A51,DataRegularSeason20242025!$N$2:$N$1315,1)</f>
        <v>0</v>
      </c>
      <c r="AJ52" s="39"/>
      <c r="AK52" s="38">
        <f>COUNTIFS(DataRegularSeason20242025!$D$2:$D$1315,AK$1,DataRegularSeason20242025!$E$2:$E$1315,$A51,DataRegularSeason20242025!$N$2:$N$1315,1)</f>
        <v>0</v>
      </c>
      <c r="AL52" s="39"/>
      <c r="AM52" s="38">
        <f>COUNTIFS(DataRegularSeason20242025!$D$2:$D$1315,AM$1,DataRegularSeason20242025!$E$2:$E$1315,$A51,DataRegularSeason20242025!$N$2:$N$1315,1)</f>
        <v>0</v>
      </c>
      <c r="AN52" s="39"/>
      <c r="AO52" s="38">
        <f>COUNTIFS(DataRegularSeason20242025!$D$2:$D$1315,AO$1,DataRegularSeason20242025!$E$2:$E$1315,$A51,DataRegularSeason20242025!$N$2:$N$1315,1)</f>
        <v>0</v>
      </c>
      <c r="AP52" s="39"/>
      <c r="AQ52" s="38">
        <f>COUNTIFS(DataRegularSeason20242025!$D$2:$D$1315,AQ$1,DataRegularSeason20242025!$E$2:$E$1315,$A51,DataRegularSeason20242025!$N$2:$N$1315,1)</f>
        <v>0</v>
      </c>
      <c r="AR52" s="39"/>
      <c r="AS52" s="38">
        <f>COUNTIFS(DataRegularSeason20242025!$D$2:$D$1315,AS$1,DataRegularSeason20242025!$E$2:$E$1315,$A51,DataRegularSeason20242025!$N$2:$N$1315,1)</f>
        <v>0</v>
      </c>
      <c r="AT52" s="39"/>
      <c r="AU52" s="38">
        <f>COUNTIFS(DataRegularSeason20242025!$D$2:$D$1315,AU$1,DataRegularSeason20242025!$E$2:$E$1315,$A51,DataRegularSeason20242025!$N$2:$N$1315,1)</f>
        <v>0</v>
      </c>
      <c r="AV52" s="39"/>
      <c r="AW52" s="38">
        <f>COUNTIFS(DataRegularSeason20242025!$D$2:$D$1315,AW$1,DataRegularSeason20242025!$E$2:$E$1315,$A51,DataRegularSeason20242025!$N$2:$N$1315,1)</f>
        <v>0</v>
      </c>
      <c r="AX52" s="47"/>
      <c r="AY52" s="38"/>
      <c r="AZ52" s="39"/>
      <c r="BA52" s="38">
        <f>COUNTIFS(DataRegularSeason20242025!$D$2:$D$1315,BA$1,DataRegularSeason20242025!$E$2:$E$1315,$A51,DataRegularSeason20242025!$N$2:$N$1315,1)</f>
        <v>1</v>
      </c>
      <c r="BB52" s="39"/>
      <c r="BC52" s="38">
        <f>COUNTIFS(DataRegularSeason20242025!$D$2:$D$1315,BC$1,DataRegularSeason20242025!$E$2:$E$1315,$A51,DataRegularSeason20242025!$N$2:$N$1315,1)</f>
        <v>0</v>
      </c>
      <c r="BD52" s="39"/>
      <c r="BE52" s="38">
        <f>COUNTIFS(DataRegularSeason20242025!$D$2:$D$1315,BE$1,DataRegularSeason20242025!$E$2:$E$1315,$A51,DataRegularSeason20242025!$N$2:$N$1315,1)</f>
        <v>1</v>
      </c>
      <c r="BF52" s="39"/>
      <c r="BG52" s="38">
        <f>COUNTIFS(DataRegularSeason20242025!$D$2:$D$1315,BG$1,DataRegularSeason20242025!$E$2:$E$1315,$A51,DataRegularSeason20242025!$N$2:$N$1315,1)</f>
        <v>0</v>
      </c>
      <c r="BH52" s="39"/>
      <c r="BI52" s="38">
        <f>COUNTIFS(DataRegularSeason20242025!$D$2:$D$1315,BI$1,DataRegularSeason20242025!$E$2:$E$1315,$A51,DataRegularSeason20242025!$N$2:$N$1315,1)</f>
        <v>0</v>
      </c>
      <c r="BJ52" s="39"/>
      <c r="BK52" s="38">
        <f>COUNTIFS(DataRegularSeason20242025!$D$2:$D$1315,BK$1,DataRegularSeason20242025!$E$2:$E$1315,$A51,DataRegularSeason20242025!$N$2:$N$1315,1)</f>
        <v>1</v>
      </c>
      <c r="BL52" s="39"/>
      <c r="BM52" s="38">
        <f>COUNTIFS(DataRegularSeason20242025!$D$2:$D$1315,BM$1,DataRegularSeason20242025!$E$2:$E$1315,$A51,DataRegularSeason20242025!$N$2:$N$1315,1)</f>
        <v>0</v>
      </c>
      <c r="BN52" s="39"/>
      <c r="BO52" s="34">
        <f t="shared" si="1"/>
        <v>4</v>
      </c>
      <c r="BP52" s="165"/>
      <c r="BQ52" s="166"/>
      <c r="BR52" s="173"/>
    </row>
    <row r="53" spans="1:70" ht="9.9499999999999993" customHeight="1" x14ac:dyDescent="0.25">
      <c r="A53" s="172" t="s">
        <v>28</v>
      </c>
      <c r="B53" s="28" t="s">
        <v>74</v>
      </c>
      <c r="C53" s="35"/>
      <c r="D53" s="28">
        <f>COUNTIFS(DataRegularSeason20242025!$E$2:$E$1315,C$1,DataRegularSeason20242025!$D$2:$D$1315,$A53,DataRegularSeason20242025!$N$2:$N$1315,1)</f>
        <v>0</v>
      </c>
      <c r="E53" s="35"/>
      <c r="F53" s="28">
        <f>COUNTIFS(DataRegularSeason20242025!$E$2:$E$1315,E$1,DataRegularSeason20242025!$D$2:$D$1315,$A53,DataRegularSeason20242025!$N$2:$N$1315,1)</f>
        <v>0</v>
      </c>
      <c r="G53" s="35"/>
      <c r="H53" s="28">
        <f>COUNTIFS(DataRegularSeason20242025!$E$2:$E$1315,G$1,DataRegularSeason20242025!$D$2:$D$1315,$A53,DataRegularSeason20242025!$N$2:$N$1315,1)</f>
        <v>0</v>
      </c>
      <c r="I53" s="35"/>
      <c r="J53" s="28">
        <f>COUNTIFS(DataRegularSeason20242025!$E$2:$E$1315,I$1,DataRegularSeason20242025!$D$2:$D$1315,$A53,DataRegularSeason20242025!$N$2:$N$1315,1)</f>
        <v>0</v>
      </c>
      <c r="K53" s="35"/>
      <c r="L53" s="28">
        <f>COUNTIFS(DataRegularSeason20242025!$E$2:$E$1315,K$1,DataRegularSeason20242025!$D$2:$D$1315,$A53,DataRegularSeason20242025!$N$2:$N$1315,1)</f>
        <v>0</v>
      </c>
      <c r="M53" s="35"/>
      <c r="N53" s="28">
        <f>COUNTIFS(DataRegularSeason20242025!$E$2:$E$1315,M$1,DataRegularSeason20242025!$D$2:$D$1315,$A53,DataRegularSeason20242025!$N$2:$N$1315,1)</f>
        <v>0</v>
      </c>
      <c r="O53" s="35"/>
      <c r="P53" s="28">
        <f>COUNTIFS(DataRegularSeason20242025!$E$2:$E$1315,O$1,DataRegularSeason20242025!$D$2:$D$1315,$A53,DataRegularSeason20242025!$N$2:$N$1315,1)</f>
        <v>0</v>
      </c>
      <c r="Q53" s="35"/>
      <c r="R53" s="46">
        <f>COUNTIFS(DataRegularSeason20242025!$E$2:$E$1315,Q$1,DataRegularSeason20242025!$D$2:$D$1315,$A53,DataRegularSeason20242025!$N$2:$N$1315,1)</f>
        <v>0</v>
      </c>
      <c r="S53" s="35"/>
      <c r="T53" s="28">
        <f>COUNTIFS(DataRegularSeason20242025!$E$2:$E$1315,S$1,DataRegularSeason20242025!$D$2:$D$1315,$A53,DataRegularSeason20242025!$N$2:$N$1315,1)</f>
        <v>0</v>
      </c>
      <c r="U53" s="35"/>
      <c r="V53" s="28">
        <f>COUNTIFS(DataRegularSeason20242025!$E$2:$E$1315,U$1,DataRegularSeason20242025!$D$2:$D$1315,$A53,DataRegularSeason20242025!$N$2:$N$1315,1)</f>
        <v>0</v>
      </c>
      <c r="W53" s="35"/>
      <c r="X53" s="28">
        <f>COUNTIFS(DataRegularSeason20242025!$E$2:$E$1315,W$1,DataRegularSeason20242025!$D$2:$D$1315,$A53,DataRegularSeason20242025!$N$2:$N$1315,1)</f>
        <v>0</v>
      </c>
      <c r="Y53" s="35"/>
      <c r="Z53" s="28">
        <f>COUNTIFS(DataRegularSeason20242025!$E$2:$E$1315,Y$1,DataRegularSeason20242025!$D$2:$D$1315,$A53,DataRegularSeason20242025!$N$2:$N$1315,1)</f>
        <v>0</v>
      </c>
      <c r="AA53" s="35"/>
      <c r="AB53" s="28">
        <f>COUNTIFS(DataRegularSeason20242025!$E$2:$E$1315,AA$1,DataRegularSeason20242025!$D$2:$D$1315,$A53,DataRegularSeason20242025!$N$2:$N$1315,1)</f>
        <v>0</v>
      </c>
      <c r="AC53" s="35"/>
      <c r="AD53" s="28">
        <f>COUNTIFS(DataRegularSeason20242025!$E$2:$E$1315,AC$1,DataRegularSeason20242025!$D$2:$D$1315,$A53,DataRegularSeason20242025!$N$2:$N$1315,1)</f>
        <v>0</v>
      </c>
      <c r="AE53" s="35"/>
      <c r="AF53" s="28">
        <f>COUNTIFS(DataRegularSeason20242025!$E$2:$E$1315,AE$1,DataRegularSeason20242025!$D$2:$D$1315,$A53,DataRegularSeason20242025!$N$2:$N$1315,1)</f>
        <v>0</v>
      </c>
      <c r="AG53" s="35"/>
      <c r="AH53" s="46">
        <f>COUNTIFS(DataRegularSeason20242025!$E$2:$E$1315,AG$1,DataRegularSeason20242025!$D$2:$D$1315,$A53,DataRegularSeason20242025!$N$2:$N$1315,1)</f>
        <v>0</v>
      </c>
      <c r="AI53" s="35"/>
      <c r="AJ53" s="28">
        <f>COUNTIFS(DataRegularSeason20242025!$E$2:$E$1315,AI$1,DataRegularSeason20242025!$D$2:$D$1315,$A53,DataRegularSeason20242025!$N$2:$N$1315,1)</f>
        <v>0</v>
      </c>
      <c r="AK53" s="35"/>
      <c r="AL53" s="28">
        <f>COUNTIFS(DataRegularSeason20242025!$E$2:$E$1315,AK$1,DataRegularSeason20242025!$D$2:$D$1315,$A53,DataRegularSeason20242025!$N$2:$N$1315,1)</f>
        <v>0</v>
      </c>
      <c r="AM53" s="35"/>
      <c r="AN53" s="28">
        <f>COUNTIFS(DataRegularSeason20242025!$E$2:$E$1315,AM$1,DataRegularSeason20242025!$D$2:$D$1315,$A53,DataRegularSeason20242025!$N$2:$N$1315,1)</f>
        <v>0</v>
      </c>
      <c r="AO53" s="35"/>
      <c r="AP53" s="28">
        <f>COUNTIFS(DataRegularSeason20242025!$E$2:$E$1315,AO$1,DataRegularSeason20242025!$D$2:$D$1315,$A53,DataRegularSeason20242025!$N$2:$N$1315,1)</f>
        <v>0</v>
      </c>
      <c r="AQ53" s="35"/>
      <c r="AR53" s="28">
        <f>COUNTIFS(DataRegularSeason20242025!$E$2:$E$1315,AQ$1,DataRegularSeason20242025!$D$2:$D$1315,$A53,DataRegularSeason20242025!$N$2:$N$1315,1)</f>
        <v>0</v>
      </c>
      <c r="AS53" s="35"/>
      <c r="AT53" s="28">
        <f>COUNTIFS(DataRegularSeason20242025!$E$2:$E$1315,AS$1,DataRegularSeason20242025!$D$2:$D$1315,$A53,DataRegularSeason20242025!$N$2:$N$1315,1)</f>
        <v>0</v>
      </c>
      <c r="AU53" s="35"/>
      <c r="AV53" s="28">
        <f>COUNTIFS(DataRegularSeason20242025!$E$2:$E$1315,AU$1,DataRegularSeason20242025!$D$2:$D$1315,$A53,DataRegularSeason20242025!$N$2:$N$1315,1)</f>
        <v>0</v>
      </c>
      <c r="AW53" s="35"/>
      <c r="AX53" s="46">
        <f>COUNTIFS(DataRegularSeason20242025!$E$2:$E$1315,AW$1,DataRegularSeason20242025!$D$2:$D$1315,$A53,DataRegularSeason20242025!$N$2:$N$1315,1)</f>
        <v>0</v>
      </c>
      <c r="AY53" s="35"/>
      <c r="AZ53" s="28">
        <f>COUNTIFS(DataRegularSeason20242025!$E$2:$E$1315,AY$1,DataRegularSeason20242025!$D$2:$D$1315,$A53,DataRegularSeason20242025!$N$2:$N$1315,1)</f>
        <v>1</v>
      </c>
      <c r="BA53" s="35"/>
      <c r="BB53" s="36"/>
      <c r="BC53" s="35"/>
      <c r="BD53" s="28">
        <f>COUNTIFS(DataRegularSeason20242025!$E$2:$E$1315,BC$1,DataRegularSeason20242025!$D$2:$D$1315,$A53,DataRegularSeason20242025!$N$2:$N$1315,1)</f>
        <v>0</v>
      </c>
      <c r="BE53" s="35"/>
      <c r="BF53" s="28">
        <f>COUNTIFS(DataRegularSeason20242025!$E$2:$E$1315,BE$1,DataRegularSeason20242025!$D$2:$D$1315,$A53,DataRegularSeason20242025!$N$2:$N$1315,1)</f>
        <v>0</v>
      </c>
      <c r="BG53" s="35"/>
      <c r="BH53" s="28">
        <f>COUNTIFS(DataRegularSeason20242025!$E$2:$E$1315,BG$1,DataRegularSeason20242025!$D$2:$D$1315,$A53,DataRegularSeason20242025!$N$2:$N$1315,1)</f>
        <v>1</v>
      </c>
      <c r="BI53" s="35"/>
      <c r="BJ53" s="28">
        <f>COUNTIFS(DataRegularSeason20242025!$E$2:$E$1315,BI$1,DataRegularSeason20242025!$D$2:$D$1315,$A53,DataRegularSeason20242025!$N$2:$N$1315,1)</f>
        <v>0</v>
      </c>
      <c r="BK53" s="35"/>
      <c r="BL53" s="28">
        <f>COUNTIFS(DataRegularSeason20242025!$E$2:$E$1315,BK$1,DataRegularSeason20242025!$D$2:$D$1315,$A53,DataRegularSeason20242025!$N$2:$N$1315,1)</f>
        <v>0</v>
      </c>
      <c r="BM53" s="35"/>
      <c r="BN53" s="28">
        <f>COUNTIFS(DataRegularSeason20242025!$E$2:$E$1315,BM$1,DataRegularSeason20242025!$D$2:$D$1315,$A53,DataRegularSeason20242025!$N$2:$N$1315,1)</f>
        <v>0</v>
      </c>
      <c r="BO53" s="30">
        <f t="shared" si="1"/>
        <v>2</v>
      </c>
      <c r="BP53" s="165">
        <f t="shared" ref="BP53" si="74">BO53+BO54</f>
        <v>6</v>
      </c>
      <c r="BQ53" s="166">
        <f t="shared" ref="BQ53" si="75">82-BP53</f>
        <v>76</v>
      </c>
      <c r="BR53" s="173">
        <f t="shared" ref="BR53" si="76">BP53/(BP53+BQ53)</f>
        <v>7.3170731707317069E-2</v>
      </c>
    </row>
    <row r="54" spans="1:70" ht="9.9499999999999993" customHeight="1" x14ac:dyDescent="0.25">
      <c r="A54" s="167"/>
      <c r="B54" s="32" t="s">
        <v>73</v>
      </c>
      <c r="C54" s="38">
        <f>COUNTIFS(DataRegularSeason20242025!$D$2:$D$1315,C$1,DataRegularSeason20242025!$E$2:$E$1315,$A53,DataRegularSeason20242025!$N$2:$N$1315,1)</f>
        <v>0</v>
      </c>
      <c r="D54" s="39"/>
      <c r="E54" s="38">
        <f>COUNTIFS(DataRegularSeason20242025!$D$2:$D$1315,E$1,DataRegularSeason20242025!$E$2:$E$1315,$A53,DataRegularSeason20242025!$N$2:$N$1315,1)</f>
        <v>0</v>
      </c>
      <c r="F54" s="39"/>
      <c r="G54" s="38">
        <f>COUNTIFS(DataRegularSeason20242025!$D$2:$D$1315,G$1,DataRegularSeason20242025!$E$2:$E$1315,$A53,DataRegularSeason20242025!$N$2:$N$1315,1)</f>
        <v>0</v>
      </c>
      <c r="H54" s="39"/>
      <c r="I54" s="38">
        <f>COUNTIFS(DataRegularSeason20242025!$D$2:$D$1315,I$1,DataRegularSeason20242025!$E$2:$E$1315,$A53,DataRegularSeason20242025!$N$2:$N$1315,1)</f>
        <v>0</v>
      </c>
      <c r="J54" s="39"/>
      <c r="K54" s="38">
        <f>COUNTIFS(DataRegularSeason20242025!$D$2:$D$1315,K$1,DataRegularSeason20242025!$E$2:$E$1315,$A53,DataRegularSeason20242025!$N$2:$N$1315,1)</f>
        <v>0</v>
      </c>
      <c r="L54" s="39"/>
      <c r="M54" s="38">
        <f>COUNTIFS(DataRegularSeason20242025!$D$2:$D$1315,M$1,DataRegularSeason20242025!$E$2:$E$1315,$A53,DataRegularSeason20242025!$N$2:$N$1315,1)</f>
        <v>0</v>
      </c>
      <c r="N54" s="39"/>
      <c r="O54" s="38">
        <f>COUNTIFS(DataRegularSeason20242025!$D$2:$D$1315,O$1,DataRegularSeason20242025!$E$2:$E$1315,$A53,DataRegularSeason20242025!$N$2:$N$1315,1)</f>
        <v>0</v>
      </c>
      <c r="P54" s="39"/>
      <c r="Q54" s="38">
        <f>COUNTIFS(DataRegularSeason20242025!$D$2:$D$1315,Q$1,DataRegularSeason20242025!$E$2:$E$1315,$A53,DataRegularSeason20242025!$N$2:$N$1315,1)</f>
        <v>0</v>
      </c>
      <c r="R54" s="47"/>
      <c r="S54" s="38">
        <f>COUNTIFS(DataRegularSeason20242025!$D$2:$D$1315,S$1,DataRegularSeason20242025!$E$2:$E$1315,$A53,DataRegularSeason20242025!$N$2:$N$1315,1)</f>
        <v>0</v>
      </c>
      <c r="T54" s="39"/>
      <c r="U54" s="38">
        <f>COUNTIFS(DataRegularSeason20242025!$D$2:$D$1315,U$1,DataRegularSeason20242025!$E$2:$E$1315,$A53,DataRegularSeason20242025!$N$2:$N$1315,1)</f>
        <v>1</v>
      </c>
      <c r="V54" s="39"/>
      <c r="W54" s="38">
        <f>COUNTIFS(DataRegularSeason20242025!$D$2:$D$1315,W$1,DataRegularSeason20242025!$E$2:$E$1315,$A53,DataRegularSeason20242025!$N$2:$N$1315,1)</f>
        <v>0</v>
      </c>
      <c r="X54" s="39"/>
      <c r="Y54" s="38">
        <f>COUNTIFS(DataRegularSeason20242025!$D$2:$D$1315,Y$1,DataRegularSeason20242025!$E$2:$E$1315,$A53,DataRegularSeason20242025!$N$2:$N$1315,1)</f>
        <v>0</v>
      </c>
      <c r="Z54" s="39"/>
      <c r="AA54" s="38">
        <f>COUNTIFS(DataRegularSeason20242025!$D$2:$D$1315,AA$1,DataRegularSeason20242025!$E$2:$E$1315,$A53,DataRegularSeason20242025!$N$2:$N$1315,1)</f>
        <v>0</v>
      </c>
      <c r="AB54" s="39"/>
      <c r="AC54" s="38">
        <f>COUNTIFS(DataRegularSeason20242025!$D$2:$D$1315,AC$1,DataRegularSeason20242025!$E$2:$E$1315,$A53,DataRegularSeason20242025!$N$2:$N$1315,1)</f>
        <v>0</v>
      </c>
      <c r="AD54" s="39"/>
      <c r="AE54" s="38">
        <f>COUNTIFS(DataRegularSeason20242025!$D$2:$D$1315,AE$1,DataRegularSeason20242025!$E$2:$E$1315,$A53,DataRegularSeason20242025!$N$2:$N$1315,1)</f>
        <v>0</v>
      </c>
      <c r="AF54" s="39"/>
      <c r="AG54" s="38">
        <f>COUNTIFS(DataRegularSeason20242025!$D$2:$D$1315,AG$1,DataRegularSeason20242025!$E$2:$E$1315,$A53,DataRegularSeason20242025!$N$2:$N$1315,1)</f>
        <v>0</v>
      </c>
      <c r="AH54" s="47"/>
      <c r="AI54" s="38">
        <f>COUNTIFS(DataRegularSeason20242025!$D$2:$D$1315,AI$1,DataRegularSeason20242025!$E$2:$E$1315,$A53,DataRegularSeason20242025!$N$2:$N$1315,1)</f>
        <v>0</v>
      </c>
      <c r="AJ54" s="39"/>
      <c r="AK54" s="38">
        <f>COUNTIFS(DataRegularSeason20242025!$D$2:$D$1315,AK$1,DataRegularSeason20242025!$E$2:$E$1315,$A53,DataRegularSeason20242025!$N$2:$N$1315,1)</f>
        <v>0</v>
      </c>
      <c r="AL54" s="39"/>
      <c r="AM54" s="38">
        <f>COUNTIFS(DataRegularSeason20242025!$D$2:$D$1315,AM$1,DataRegularSeason20242025!$E$2:$E$1315,$A53,DataRegularSeason20242025!$N$2:$N$1315,1)</f>
        <v>0</v>
      </c>
      <c r="AN54" s="39"/>
      <c r="AO54" s="38">
        <f>COUNTIFS(DataRegularSeason20242025!$D$2:$D$1315,AO$1,DataRegularSeason20242025!$E$2:$E$1315,$A53,DataRegularSeason20242025!$N$2:$N$1315,1)</f>
        <v>0</v>
      </c>
      <c r="AP54" s="39"/>
      <c r="AQ54" s="38">
        <f>COUNTIFS(DataRegularSeason20242025!$D$2:$D$1315,AQ$1,DataRegularSeason20242025!$E$2:$E$1315,$A53,DataRegularSeason20242025!$N$2:$N$1315,1)</f>
        <v>1</v>
      </c>
      <c r="AR54" s="39"/>
      <c r="AS54" s="38">
        <f>COUNTIFS(DataRegularSeason20242025!$D$2:$D$1315,AS$1,DataRegularSeason20242025!$E$2:$E$1315,$A53,DataRegularSeason20242025!$N$2:$N$1315,1)</f>
        <v>0</v>
      </c>
      <c r="AT54" s="39"/>
      <c r="AU54" s="38">
        <f>COUNTIFS(DataRegularSeason20242025!$D$2:$D$1315,AU$1,DataRegularSeason20242025!$E$2:$E$1315,$A53,DataRegularSeason20242025!$N$2:$N$1315,1)</f>
        <v>0</v>
      </c>
      <c r="AV54" s="39"/>
      <c r="AW54" s="38">
        <f>COUNTIFS(DataRegularSeason20242025!$D$2:$D$1315,AW$1,DataRegularSeason20242025!$E$2:$E$1315,$A53,DataRegularSeason20242025!$N$2:$N$1315,1)</f>
        <v>0</v>
      </c>
      <c r="AX54" s="47"/>
      <c r="AY54" s="38">
        <f>COUNTIFS(DataRegularSeason20242025!$D$2:$D$1315,AY$1,DataRegularSeason20242025!$E$2:$E$1315,$A53,DataRegularSeason20242025!$N$2:$N$1315,1)</f>
        <v>0</v>
      </c>
      <c r="AZ54" s="39"/>
      <c r="BA54" s="38"/>
      <c r="BB54" s="39"/>
      <c r="BC54" s="38">
        <f>COUNTIFS(DataRegularSeason20242025!$D$2:$D$1315,BC$1,DataRegularSeason20242025!$E$2:$E$1315,$A53,DataRegularSeason20242025!$N$2:$N$1315,1)</f>
        <v>0</v>
      </c>
      <c r="BD54" s="39"/>
      <c r="BE54" s="38">
        <f>COUNTIFS(DataRegularSeason20242025!$D$2:$D$1315,BE$1,DataRegularSeason20242025!$E$2:$E$1315,$A53,DataRegularSeason20242025!$N$2:$N$1315,1)</f>
        <v>1</v>
      </c>
      <c r="BF54" s="39"/>
      <c r="BG54" s="38">
        <f>COUNTIFS(DataRegularSeason20242025!$D$2:$D$1315,BG$1,DataRegularSeason20242025!$E$2:$E$1315,$A53,DataRegularSeason20242025!$N$2:$N$1315,1)</f>
        <v>0</v>
      </c>
      <c r="BH54" s="39"/>
      <c r="BI54" s="38">
        <f>COUNTIFS(DataRegularSeason20242025!$D$2:$D$1315,BI$1,DataRegularSeason20242025!$E$2:$E$1315,$A53,DataRegularSeason20242025!$N$2:$N$1315,1)</f>
        <v>1</v>
      </c>
      <c r="BJ54" s="39"/>
      <c r="BK54" s="38">
        <f>COUNTIFS(DataRegularSeason20242025!$D$2:$D$1315,BK$1,DataRegularSeason20242025!$E$2:$E$1315,$A53,DataRegularSeason20242025!$N$2:$N$1315,1)</f>
        <v>0</v>
      </c>
      <c r="BL54" s="39"/>
      <c r="BM54" s="38">
        <f>COUNTIFS(DataRegularSeason20242025!$D$2:$D$1315,BM$1,DataRegularSeason20242025!$E$2:$E$1315,$A53,DataRegularSeason20242025!$N$2:$N$1315,1)</f>
        <v>0</v>
      </c>
      <c r="BN54" s="39"/>
      <c r="BO54" s="34">
        <f t="shared" si="1"/>
        <v>4</v>
      </c>
      <c r="BP54" s="165"/>
      <c r="BQ54" s="166"/>
      <c r="BR54" s="173"/>
    </row>
    <row r="55" spans="1:70" ht="9.9499999999999993" customHeight="1" x14ac:dyDescent="0.25">
      <c r="A55" s="172" t="s">
        <v>30</v>
      </c>
      <c r="B55" s="28" t="s">
        <v>74</v>
      </c>
      <c r="C55" s="35"/>
      <c r="D55" s="28">
        <f>COUNTIFS(DataRegularSeason20242025!$E$2:$E$1315,C$1,DataRegularSeason20242025!$D$2:$D$1315,$A55,DataRegularSeason20242025!$N$2:$N$1315,1)</f>
        <v>0</v>
      </c>
      <c r="E55" s="35"/>
      <c r="F55" s="28">
        <f>COUNTIFS(DataRegularSeason20242025!$E$2:$E$1315,E$1,DataRegularSeason20242025!$D$2:$D$1315,$A55,DataRegularSeason20242025!$N$2:$N$1315,1)</f>
        <v>0</v>
      </c>
      <c r="G55" s="35"/>
      <c r="H55" s="28">
        <f>COUNTIFS(DataRegularSeason20242025!$E$2:$E$1315,G$1,DataRegularSeason20242025!$D$2:$D$1315,$A55,DataRegularSeason20242025!$N$2:$N$1315,1)</f>
        <v>0</v>
      </c>
      <c r="I55" s="35"/>
      <c r="J55" s="28">
        <f>COUNTIFS(DataRegularSeason20242025!$E$2:$E$1315,I$1,DataRegularSeason20242025!$D$2:$D$1315,$A55,DataRegularSeason20242025!$N$2:$N$1315,1)</f>
        <v>0</v>
      </c>
      <c r="K55" s="35"/>
      <c r="L55" s="28">
        <f>COUNTIFS(DataRegularSeason20242025!$E$2:$E$1315,K$1,DataRegularSeason20242025!$D$2:$D$1315,$A55,DataRegularSeason20242025!$N$2:$N$1315,1)</f>
        <v>0</v>
      </c>
      <c r="M55" s="35"/>
      <c r="N55" s="28">
        <f>COUNTIFS(DataRegularSeason20242025!$E$2:$E$1315,M$1,DataRegularSeason20242025!$D$2:$D$1315,$A55,DataRegularSeason20242025!$N$2:$N$1315,1)</f>
        <v>0</v>
      </c>
      <c r="O55" s="35"/>
      <c r="P55" s="28">
        <f>COUNTIFS(DataRegularSeason20242025!$E$2:$E$1315,O$1,DataRegularSeason20242025!$D$2:$D$1315,$A55,DataRegularSeason20242025!$N$2:$N$1315,1)</f>
        <v>0</v>
      </c>
      <c r="Q55" s="35"/>
      <c r="R55" s="46">
        <f>COUNTIFS(DataRegularSeason20242025!$E$2:$E$1315,Q$1,DataRegularSeason20242025!$D$2:$D$1315,$A55,DataRegularSeason20242025!$N$2:$N$1315,1)</f>
        <v>0</v>
      </c>
      <c r="S55" s="35"/>
      <c r="T55" s="28">
        <f>COUNTIFS(DataRegularSeason20242025!$E$2:$E$1315,S$1,DataRegularSeason20242025!$D$2:$D$1315,$A55,DataRegularSeason20242025!$N$2:$N$1315,1)</f>
        <v>0</v>
      </c>
      <c r="U55" s="35"/>
      <c r="V55" s="28">
        <f>COUNTIFS(DataRegularSeason20242025!$E$2:$E$1315,U$1,DataRegularSeason20242025!$D$2:$D$1315,$A55,DataRegularSeason20242025!$N$2:$N$1315,1)</f>
        <v>0</v>
      </c>
      <c r="W55" s="35"/>
      <c r="X55" s="28">
        <f>COUNTIFS(DataRegularSeason20242025!$E$2:$E$1315,W$1,DataRegularSeason20242025!$D$2:$D$1315,$A55,DataRegularSeason20242025!$N$2:$N$1315,1)</f>
        <v>0</v>
      </c>
      <c r="Y55" s="35"/>
      <c r="Z55" s="28">
        <f>COUNTIFS(DataRegularSeason20242025!$E$2:$E$1315,Y$1,DataRegularSeason20242025!$D$2:$D$1315,$A55,DataRegularSeason20242025!$N$2:$N$1315,1)</f>
        <v>0</v>
      </c>
      <c r="AA55" s="35"/>
      <c r="AB55" s="28">
        <f>COUNTIFS(DataRegularSeason20242025!$E$2:$E$1315,AA$1,DataRegularSeason20242025!$D$2:$D$1315,$A55,DataRegularSeason20242025!$N$2:$N$1315,1)</f>
        <v>0</v>
      </c>
      <c r="AC55" s="35"/>
      <c r="AD55" s="28">
        <f>COUNTIFS(DataRegularSeason20242025!$E$2:$E$1315,AC$1,DataRegularSeason20242025!$D$2:$D$1315,$A55,DataRegularSeason20242025!$N$2:$N$1315,1)</f>
        <v>0</v>
      </c>
      <c r="AE55" s="35"/>
      <c r="AF55" s="28">
        <f>COUNTIFS(DataRegularSeason20242025!$E$2:$E$1315,AE$1,DataRegularSeason20242025!$D$2:$D$1315,$A55,DataRegularSeason20242025!$N$2:$N$1315,1)</f>
        <v>0</v>
      </c>
      <c r="AG55" s="35"/>
      <c r="AH55" s="46">
        <f>COUNTIFS(DataRegularSeason20242025!$E$2:$E$1315,AG$1,DataRegularSeason20242025!$D$2:$D$1315,$A55,DataRegularSeason20242025!$N$2:$N$1315,1)</f>
        <v>0</v>
      </c>
      <c r="AI55" s="35"/>
      <c r="AJ55" s="28">
        <f>COUNTIFS(DataRegularSeason20242025!$E$2:$E$1315,AI$1,DataRegularSeason20242025!$D$2:$D$1315,$A55,DataRegularSeason20242025!$N$2:$N$1315,1)</f>
        <v>0</v>
      </c>
      <c r="AK55" s="35"/>
      <c r="AL55" s="28">
        <f>COUNTIFS(DataRegularSeason20242025!$E$2:$E$1315,AK$1,DataRegularSeason20242025!$D$2:$D$1315,$A55,DataRegularSeason20242025!$N$2:$N$1315,1)</f>
        <v>0</v>
      </c>
      <c r="AM55" s="35"/>
      <c r="AN55" s="28">
        <f>COUNTIFS(DataRegularSeason20242025!$E$2:$E$1315,AM$1,DataRegularSeason20242025!$D$2:$D$1315,$A55,DataRegularSeason20242025!$N$2:$N$1315,1)</f>
        <v>0</v>
      </c>
      <c r="AO55" s="35"/>
      <c r="AP55" s="28">
        <f>COUNTIFS(DataRegularSeason20242025!$E$2:$E$1315,AO$1,DataRegularSeason20242025!$D$2:$D$1315,$A55,DataRegularSeason20242025!$N$2:$N$1315,1)</f>
        <v>0</v>
      </c>
      <c r="AQ55" s="35"/>
      <c r="AR55" s="28">
        <f>COUNTIFS(DataRegularSeason20242025!$E$2:$E$1315,AQ$1,DataRegularSeason20242025!$D$2:$D$1315,$A55,DataRegularSeason20242025!$N$2:$N$1315,1)</f>
        <v>0</v>
      </c>
      <c r="AS55" s="35"/>
      <c r="AT55" s="28">
        <f>COUNTIFS(DataRegularSeason20242025!$E$2:$E$1315,AS$1,DataRegularSeason20242025!$D$2:$D$1315,$A55,DataRegularSeason20242025!$N$2:$N$1315,1)</f>
        <v>0</v>
      </c>
      <c r="AU55" s="35"/>
      <c r="AV55" s="28">
        <f>COUNTIFS(DataRegularSeason20242025!$E$2:$E$1315,AU$1,DataRegularSeason20242025!$D$2:$D$1315,$A55,DataRegularSeason20242025!$N$2:$N$1315,1)</f>
        <v>0</v>
      </c>
      <c r="AW55" s="35"/>
      <c r="AX55" s="46">
        <f>COUNTIFS(DataRegularSeason20242025!$E$2:$E$1315,AW$1,DataRegularSeason20242025!$D$2:$D$1315,$A55,DataRegularSeason20242025!$N$2:$N$1315,1)</f>
        <v>0</v>
      </c>
      <c r="AY55" s="35"/>
      <c r="AZ55" s="28">
        <f>COUNTIFS(DataRegularSeason20242025!$E$2:$E$1315,AY$1,DataRegularSeason20242025!$D$2:$D$1315,$A55,DataRegularSeason20242025!$N$2:$N$1315,1)</f>
        <v>0</v>
      </c>
      <c r="BA55" s="35"/>
      <c r="BB55" s="28">
        <f>COUNTIFS(DataRegularSeason20242025!$E$2:$E$1315,BA$1,DataRegularSeason20242025!$D$2:$D$1315,$A55,DataRegularSeason20242025!$N$2:$N$1315,1)</f>
        <v>0</v>
      </c>
      <c r="BC55" s="35"/>
      <c r="BD55" s="36"/>
      <c r="BE55" s="35"/>
      <c r="BF55" s="28">
        <f>COUNTIFS(DataRegularSeason20242025!$E$2:$E$1315,BE$1,DataRegularSeason20242025!$D$2:$D$1315,$A55,DataRegularSeason20242025!$N$2:$N$1315,1)</f>
        <v>0</v>
      </c>
      <c r="BG55" s="35"/>
      <c r="BH55" s="28">
        <f>COUNTIFS(DataRegularSeason20242025!$E$2:$E$1315,BG$1,DataRegularSeason20242025!$D$2:$D$1315,$A55,DataRegularSeason20242025!$N$2:$N$1315,1)</f>
        <v>0</v>
      </c>
      <c r="BI55" s="35"/>
      <c r="BJ55" s="28">
        <f>COUNTIFS(DataRegularSeason20242025!$E$2:$E$1315,BI$1,DataRegularSeason20242025!$D$2:$D$1315,$A55,DataRegularSeason20242025!$N$2:$N$1315,1)</f>
        <v>0</v>
      </c>
      <c r="BK55" s="35"/>
      <c r="BL55" s="28">
        <f>COUNTIFS(DataRegularSeason20242025!$E$2:$E$1315,BK$1,DataRegularSeason20242025!$D$2:$D$1315,$A55,DataRegularSeason20242025!$N$2:$N$1315,1)</f>
        <v>0</v>
      </c>
      <c r="BM55" s="35"/>
      <c r="BN55" s="28">
        <f>COUNTIFS(DataRegularSeason20242025!$E$2:$E$1315,BM$1,DataRegularSeason20242025!$D$2:$D$1315,$A55,DataRegularSeason20242025!$N$2:$N$1315,1)</f>
        <v>1</v>
      </c>
      <c r="BO55" s="30">
        <f t="shared" si="1"/>
        <v>1</v>
      </c>
      <c r="BP55" s="165">
        <f t="shared" ref="BP55" si="77">BO55+BO56</f>
        <v>6</v>
      </c>
      <c r="BQ55" s="166">
        <f t="shared" ref="BQ55" si="78">82-BP55</f>
        <v>76</v>
      </c>
      <c r="BR55" s="173">
        <f t="shared" ref="BR55" si="79">BP55/(BP55+BQ55)</f>
        <v>7.3170731707317069E-2</v>
      </c>
    </row>
    <row r="56" spans="1:70" ht="9.9499999999999993" customHeight="1" x14ac:dyDescent="0.25">
      <c r="A56" s="167"/>
      <c r="B56" s="32" t="s">
        <v>73</v>
      </c>
      <c r="C56" s="38">
        <f>COUNTIFS(DataRegularSeason20242025!$D$2:$D$1315,C$1,DataRegularSeason20242025!$E$2:$E$1315,$A55,DataRegularSeason20242025!$N$2:$N$1315,1)</f>
        <v>0</v>
      </c>
      <c r="D56" s="39"/>
      <c r="E56" s="38">
        <f>COUNTIFS(DataRegularSeason20242025!$D$2:$D$1315,E$1,DataRegularSeason20242025!$E$2:$E$1315,$A55,DataRegularSeason20242025!$N$2:$N$1315,1)</f>
        <v>0</v>
      </c>
      <c r="F56" s="39"/>
      <c r="G56" s="38">
        <f>COUNTIFS(DataRegularSeason20242025!$D$2:$D$1315,G$1,DataRegularSeason20242025!$E$2:$E$1315,$A55,DataRegularSeason20242025!$N$2:$N$1315,1)</f>
        <v>1</v>
      </c>
      <c r="H56" s="39"/>
      <c r="I56" s="38">
        <f>COUNTIFS(DataRegularSeason20242025!$D$2:$D$1315,I$1,DataRegularSeason20242025!$E$2:$E$1315,$A55,DataRegularSeason20242025!$N$2:$N$1315,1)</f>
        <v>0</v>
      </c>
      <c r="J56" s="39"/>
      <c r="K56" s="38">
        <f>COUNTIFS(DataRegularSeason20242025!$D$2:$D$1315,K$1,DataRegularSeason20242025!$E$2:$E$1315,$A55,DataRegularSeason20242025!$N$2:$N$1315,1)</f>
        <v>0</v>
      </c>
      <c r="L56" s="39"/>
      <c r="M56" s="38">
        <f>COUNTIFS(DataRegularSeason20242025!$D$2:$D$1315,M$1,DataRegularSeason20242025!$E$2:$E$1315,$A55,DataRegularSeason20242025!$N$2:$N$1315,1)</f>
        <v>0</v>
      </c>
      <c r="N56" s="39"/>
      <c r="O56" s="38">
        <f>COUNTIFS(DataRegularSeason20242025!$D$2:$D$1315,O$1,DataRegularSeason20242025!$E$2:$E$1315,$A55,DataRegularSeason20242025!$N$2:$N$1315,1)</f>
        <v>0</v>
      </c>
      <c r="P56" s="39"/>
      <c r="Q56" s="38">
        <f>COUNTIFS(DataRegularSeason20242025!$D$2:$D$1315,Q$1,DataRegularSeason20242025!$E$2:$E$1315,$A55,DataRegularSeason20242025!$N$2:$N$1315,1)</f>
        <v>0</v>
      </c>
      <c r="R56" s="47"/>
      <c r="S56" s="38">
        <f>COUNTIFS(DataRegularSeason20242025!$D$2:$D$1315,S$1,DataRegularSeason20242025!$E$2:$E$1315,$A55,DataRegularSeason20242025!$N$2:$N$1315,1)</f>
        <v>0</v>
      </c>
      <c r="T56" s="39"/>
      <c r="U56" s="38">
        <f>COUNTIFS(DataRegularSeason20242025!$D$2:$D$1315,U$1,DataRegularSeason20242025!$E$2:$E$1315,$A55,DataRegularSeason20242025!$N$2:$N$1315,1)</f>
        <v>0</v>
      </c>
      <c r="V56" s="39"/>
      <c r="W56" s="38">
        <f>COUNTIFS(DataRegularSeason20242025!$D$2:$D$1315,W$1,DataRegularSeason20242025!$E$2:$E$1315,$A55,DataRegularSeason20242025!$N$2:$N$1315,1)</f>
        <v>0</v>
      </c>
      <c r="X56" s="39"/>
      <c r="Y56" s="38">
        <f>COUNTIFS(DataRegularSeason20242025!$D$2:$D$1315,Y$1,DataRegularSeason20242025!$E$2:$E$1315,$A55,DataRegularSeason20242025!$N$2:$N$1315,1)</f>
        <v>0</v>
      </c>
      <c r="Z56" s="39"/>
      <c r="AA56" s="38">
        <f>COUNTIFS(DataRegularSeason20242025!$D$2:$D$1315,AA$1,DataRegularSeason20242025!$E$2:$E$1315,$A55,DataRegularSeason20242025!$N$2:$N$1315,1)</f>
        <v>0</v>
      </c>
      <c r="AB56" s="39"/>
      <c r="AC56" s="38">
        <f>COUNTIFS(DataRegularSeason20242025!$D$2:$D$1315,AC$1,DataRegularSeason20242025!$E$2:$E$1315,$A55,DataRegularSeason20242025!$N$2:$N$1315,1)</f>
        <v>0</v>
      </c>
      <c r="AD56" s="39"/>
      <c r="AE56" s="38">
        <f>COUNTIFS(DataRegularSeason20242025!$D$2:$D$1315,AE$1,DataRegularSeason20242025!$E$2:$E$1315,$A55,DataRegularSeason20242025!$N$2:$N$1315,1)</f>
        <v>0</v>
      </c>
      <c r="AF56" s="39"/>
      <c r="AG56" s="38">
        <f>COUNTIFS(DataRegularSeason20242025!$D$2:$D$1315,AG$1,DataRegularSeason20242025!$E$2:$E$1315,$A55,DataRegularSeason20242025!$N$2:$N$1315,1)</f>
        <v>0</v>
      </c>
      <c r="AH56" s="47"/>
      <c r="AI56" s="38">
        <f>COUNTIFS(DataRegularSeason20242025!$D$2:$D$1315,AI$1,DataRegularSeason20242025!$E$2:$E$1315,$A55,DataRegularSeason20242025!$N$2:$N$1315,1)</f>
        <v>0</v>
      </c>
      <c r="AJ56" s="39"/>
      <c r="AK56" s="38">
        <f>COUNTIFS(DataRegularSeason20242025!$D$2:$D$1315,AK$1,DataRegularSeason20242025!$E$2:$E$1315,$A55,DataRegularSeason20242025!$N$2:$N$1315,1)</f>
        <v>0</v>
      </c>
      <c r="AL56" s="39"/>
      <c r="AM56" s="38">
        <f>COUNTIFS(DataRegularSeason20242025!$D$2:$D$1315,AM$1,DataRegularSeason20242025!$E$2:$E$1315,$A55,DataRegularSeason20242025!$N$2:$N$1315,1)</f>
        <v>0</v>
      </c>
      <c r="AN56" s="39"/>
      <c r="AO56" s="38">
        <f>COUNTIFS(DataRegularSeason20242025!$D$2:$D$1315,AO$1,DataRegularSeason20242025!$E$2:$E$1315,$A55,DataRegularSeason20242025!$N$2:$N$1315,1)</f>
        <v>0</v>
      </c>
      <c r="AP56" s="39"/>
      <c r="AQ56" s="38">
        <f>COUNTIFS(DataRegularSeason20242025!$D$2:$D$1315,AQ$1,DataRegularSeason20242025!$E$2:$E$1315,$A55,DataRegularSeason20242025!$N$2:$N$1315,1)</f>
        <v>0</v>
      </c>
      <c r="AR56" s="39"/>
      <c r="AS56" s="38">
        <f>COUNTIFS(DataRegularSeason20242025!$D$2:$D$1315,AS$1,DataRegularSeason20242025!$E$2:$E$1315,$A55,DataRegularSeason20242025!$N$2:$N$1315,1)</f>
        <v>0</v>
      </c>
      <c r="AT56" s="39"/>
      <c r="AU56" s="38">
        <f>COUNTIFS(DataRegularSeason20242025!$D$2:$D$1315,AU$1,DataRegularSeason20242025!$E$2:$E$1315,$A55,DataRegularSeason20242025!$N$2:$N$1315,1)</f>
        <v>0</v>
      </c>
      <c r="AV56" s="39"/>
      <c r="AW56" s="38">
        <f>COUNTIFS(DataRegularSeason20242025!$D$2:$D$1315,AW$1,DataRegularSeason20242025!$E$2:$E$1315,$A55,DataRegularSeason20242025!$N$2:$N$1315,1)</f>
        <v>0</v>
      </c>
      <c r="AX56" s="47"/>
      <c r="AY56" s="38">
        <f>COUNTIFS(DataRegularSeason20242025!$D$2:$D$1315,AY$1,DataRegularSeason20242025!$E$2:$E$1315,$A55,DataRegularSeason20242025!$N$2:$N$1315,1)</f>
        <v>0</v>
      </c>
      <c r="AZ56" s="39"/>
      <c r="BA56" s="38">
        <f>COUNTIFS(DataRegularSeason20242025!$D$2:$D$1315,BA$1,DataRegularSeason20242025!$E$2:$E$1315,$A55,DataRegularSeason20242025!$N$2:$N$1315,1)</f>
        <v>0</v>
      </c>
      <c r="BB56" s="39"/>
      <c r="BC56" s="38"/>
      <c r="BD56" s="39"/>
      <c r="BE56" s="38">
        <f>COUNTIFS(DataRegularSeason20242025!$D$2:$D$1315,BE$1,DataRegularSeason20242025!$E$2:$E$1315,$A55,DataRegularSeason20242025!$N$2:$N$1315,1)</f>
        <v>1</v>
      </c>
      <c r="BF56" s="39"/>
      <c r="BG56" s="38">
        <f>COUNTIFS(DataRegularSeason20242025!$D$2:$D$1315,BG$1,DataRegularSeason20242025!$E$2:$E$1315,$A55,DataRegularSeason20242025!$N$2:$N$1315,1)</f>
        <v>1</v>
      </c>
      <c r="BH56" s="39"/>
      <c r="BI56" s="38">
        <f>COUNTIFS(DataRegularSeason20242025!$D$2:$D$1315,BI$1,DataRegularSeason20242025!$E$2:$E$1315,$A55,DataRegularSeason20242025!$N$2:$N$1315,1)</f>
        <v>0</v>
      </c>
      <c r="BJ56" s="39"/>
      <c r="BK56" s="38">
        <f>COUNTIFS(DataRegularSeason20242025!$D$2:$D$1315,BK$1,DataRegularSeason20242025!$E$2:$E$1315,$A55,DataRegularSeason20242025!$N$2:$N$1315,1)</f>
        <v>1</v>
      </c>
      <c r="BL56" s="39"/>
      <c r="BM56" s="38">
        <f>COUNTIFS(DataRegularSeason20242025!$D$2:$D$1315,BM$1,DataRegularSeason20242025!$E$2:$E$1315,$A55,DataRegularSeason20242025!$N$2:$N$1315,1)</f>
        <v>1</v>
      </c>
      <c r="BN56" s="39"/>
      <c r="BO56" s="34">
        <f t="shared" si="1"/>
        <v>5</v>
      </c>
      <c r="BP56" s="165"/>
      <c r="BQ56" s="166"/>
      <c r="BR56" s="173"/>
    </row>
    <row r="57" spans="1:70" ht="9.9499999999999993" customHeight="1" x14ac:dyDescent="0.25">
      <c r="A57" s="172" t="s">
        <v>13</v>
      </c>
      <c r="B57" s="28" t="s">
        <v>74</v>
      </c>
      <c r="C57" s="35"/>
      <c r="D57" s="28">
        <f>COUNTIFS(DataRegularSeason20242025!$E$2:$E$1315,C$1,DataRegularSeason20242025!$D$2:$D$1315,$A57,DataRegularSeason20242025!$N$2:$N$1315,1)</f>
        <v>0</v>
      </c>
      <c r="E57" s="35"/>
      <c r="F57" s="28">
        <f>COUNTIFS(DataRegularSeason20242025!$E$2:$E$1315,E$1,DataRegularSeason20242025!$D$2:$D$1315,$A57,DataRegularSeason20242025!$N$2:$N$1315,1)</f>
        <v>0</v>
      </c>
      <c r="G57" s="35"/>
      <c r="H57" s="28">
        <f>COUNTIFS(DataRegularSeason20242025!$E$2:$E$1315,G$1,DataRegularSeason20242025!$D$2:$D$1315,$A57,DataRegularSeason20242025!$N$2:$N$1315,1)</f>
        <v>0</v>
      </c>
      <c r="I57" s="35"/>
      <c r="J57" s="28">
        <f>COUNTIFS(DataRegularSeason20242025!$E$2:$E$1315,I$1,DataRegularSeason20242025!$D$2:$D$1315,$A57,DataRegularSeason20242025!$N$2:$N$1315,1)</f>
        <v>0</v>
      </c>
      <c r="K57" s="35"/>
      <c r="L57" s="28">
        <f>COUNTIFS(DataRegularSeason20242025!$E$2:$E$1315,K$1,DataRegularSeason20242025!$D$2:$D$1315,$A57,DataRegularSeason20242025!$N$2:$N$1315,1)</f>
        <v>0</v>
      </c>
      <c r="M57" s="35"/>
      <c r="N57" s="28">
        <f>COUNTIFS(DataRegularSeason20242025!$E$2:$E$1315,M$1,DataRegularSeason20242025!$D$2:$D$1315,$A57,DataRegularSeason20242025!$N$2:$N$1315,1)</f>
        <v>0</v>
      </c>
      <c r="O57" s="35"/>
      <c r="P57" s="28">
        <f>COUNTIFS(DataRegularSeason20242025!$E$2:$E$1315,O$1,DataRegularSeason20242025!$D$2:$D$1315,$A57,DataRegularSeason20242025!$N$2:$N$1315,1)</f>
        <v>0</v>
      </c>
      <c r="Q57" s="35"/>
      <c r="R57" s="46">
        <f>COUNTIFS(DataRegularSeason20242025!$E$2:$E$1315,Q$1,DataRegularSeason20242025!$D$2:$D$1315,$A57,DataRegularSeason20242025!$N$2:$N$1315,1)</f>
        <v>0</v>
      </c>
      <c r="S57" s="35"/>
      <c r="T57" s="28">
        <f>COUNTIFS(DataRegularSeason20242025!$E$2:$E$1315,S$1,DataRegularSeason20242025!$D$2:$D$1315,$A57,DataRegularSeason20242025!$N$2:$N$1315,1)</f>
        <v>0</v>
      </c>
      <c r="U57" s="35"/>
      <c r="V57" s="28">
        <f>COUNTIFS(DataRegularSeason20242025!$E$2:$E$1315,U$1,DataRegularSeason20242025!$D$2:$D$1315,$A57,DataRegularSeason20242025!$N$2:$N$1315,1)</f>
        <v>0</v>
      </c>
      <c r="W57" s="35"/>
      <c r="X57" s="28">
        <f>COUNTIFS(DataRegularSeason20242025!$E$2:$E$1315,W$1,DataRegularSeason20242025!$D$2:$D$1315,$A57,DataRegularSeason20242025!$N$2:$N$1315,1)</f>
        <v>0</v>
      </c>
      <c r="Y57" s="35"/>
      <c r="Z57" s="28">
        <f>COUNTIFS(DataRegularSeason20242025!$E$2:$E$1315,Y$1,DataRegularSeason20242025!$D$2:$D$1315,$A57,DataRegularSeason20242025!$N$2:$N$1315,1)</f>
        <v>0</v>
      </c>
      <c r="AA57" s="35"/>
      <c r="AB57" s="28">
        <f>COUNTIFS(DataRegularSeason20242025!$E$2:$E$1315,AA$1,DataRegularSeason20242025!$D$2:$D$1315,$A57,DataRegularSeason20242025!$N$2:$N$1315,1)</f>
        <v>0</v>
      </c>
      <c r="AC57" s="35"/>
      <c r="AD57" s="28">
        <f>COUNTIFS(DataRegularSeason20242025!$E$2:$E$1315,AC$1,DataRegularSeason20242025!$D$2:$D$1315,$A57,DataRegularSeason20242025!$N$2:$N$1315,1)</f>
        <v>0</v>
      </c>
      <c r="AE57" s="35"/>
      <c r="AF57" s="28">
        <f>COUNTIFS(DataRegularSeason20242025!$E$2:$E$1315,AE$1,DataRegularSeason20242025!$D$2:$D$1315,$A57,DataRegularSeason20242025!$N$2:$N$1315,1)</f>
        <v>0</v>
      </c>
      <c r="AG57" s="35"/>
      <c r="AH57" s="46">
        <f>COUNTIFS(DataRegularSeason20242025!$E$2:$E$1315,AG$1,DataRegularSeason20242025!$D$2:$D$1315,$A57,DataRegularSeason20242025!$N$2:$N$1315,1)</f>
        <v>0</v>
      </c>
      <c r="AI57" s="35"/>
      <c r="AJ57" s="28">
        <f>COUNTIFS(DataRegularSeason20242025!$E$2:$E$1315,AI$1,DataRegularSeason20242025!$D$2:$D$1315,$A57,DataRegularSeason20242025!$N$2:$N$1315,1)</f>
        <v>0</v>
      </c>
      <c r="AK57" s="35"/>
      <c r="AL57" s="28">
        <f>COUNTIFS(DataRegularSeason20242025!$E$2:$E$1315,AK$1,DataRegularSeason20242025!$D$2:$D$1315,$A57,DataRegularSeason20242025!$N$2:$N$1315,1)</f>
        <v>0</v>
      </c>
      <c r="AM57" s="35"/>
      <c r="AN57" s="28">
        <f>COUNTIFS(DataRegularSeason20242025!$E$2:$E$1315,AM$1,DataRegularSeason20242025!$D$2:$D$1315,$A57,DataRegularSeason20242025!$N$2:$N$1315,1)</f>
        <v>1</v>
      </c>
      <c r="AO57" s="35"/>
      <c r="AP57" s="28">
        <f>COUNTIFS(DataRegularSeason20242025!$E$2:$E$1315,AO$1,DataRegularSeason20242025!$D$2:$D$1315,$A57,DataRegularSeason20242025!$N$2:$N$1315,1)</f>
        <v>0</v>
      </c>
      <c r="AQ57" s="35"/>
      <c r="AR57" s="28">
        <f>COUNTIFS(DataRegularSeason20242025!$E$2:$E$1315,AQ$1,DataRegularSeason20242025!$D$2:$D$1315,$A57,DataRegularSeason20242025!$N$2:$N$1315,1)</f>
        <v>0</v>
      </c>
      <c r="AS57" s="35"/>
      <c r="AT57" s="28">
        <f>COUNTIFS(DataRegularSeason20242025!$E$2:$E$1315,AS$1,DataRegularSeason20242025!$D$2:$D$1315,$A57,DataRegularSeason20242025!$N$2:$N$1315,1)</f>
        <v>1</v>
      </c>
      <c r="AU57" s="35"/>
      <c r="AV57" s="28">
        <f>COUNTIFS(DataRegularSeason20242025!$E$2:$E$1315,AU$1,DataRegularSeason20242025!$D$2:$D$1315,$A57,DataRegularSeason20242025!$N$2:$N$1315,1)</f>
        <v>0</v>
      </c>
      <c r="AW57" s="35"/>
      <c r="AX57" s="46">
        <f>COUNTIFS(DataRegularSeason20242025!$E$2:$E$1315,AW$1,DataRegularSeason20242025!$D$2:$D$1315,$A57,DataRegularSeason20242025!$N$2:$N$1315,1)</f>
        <v>0</v>
      </c>
      <c r="AY57" s="35"/>
      <c r="AZ57" s="28">
        <f>COUNTIFS(DataRegularSeason20242025!$E$2:$E$1315,AY$1,DataRegularSeason20242025!$D$2:$D$1315,$A57,DataRegularSeason20242025!$N$2:$N$1315,1)</f>
        <v>1</v>
      </c>
      <c r="BA57" s="35"/>
      <c r="BB57" s="28">
        <f>COUNTIFS(DataRegularSeason20242025!$E$2:$E$1315,BA$1,DataRegularSeason20242025!$D$2:$D$1315,$A57,DataRegularSeason20242025!$N$2:$N$1315,1)</f>
        <v>1</v>
      </c>
      <c r="BC57" s="35"/>
      <c r="BD57" s="28">
        <f>COUNTIFS(DataRegularSeason20242025!$E$2:$E$1315,BC$1,DataRegularSeason20242025!$D$2:$D$1315,$A57,DataRegularSeason20242025!$N$2:$N$1315,1)</f>
        <v>1</v>
      </c>
      <c r="BE57" s="35"/>
      <c r="BF57" s="36"/>
      <c r="BG57" s="35"/>
      <c r="BH57" s="28">
        <f>COUNTIFS(DataRegularSeason20242025!$E$2:$E$1315,BG$1,DataRegularSeason20242025!$D$2:$D$1315,$A57,DataRegularSeason20242025!$N$2:$N$1315,1)</f>
        <v>0</v>
      </c>
      <c r="BI57" s="35"/>
      <c r="BJ57" s="28">
        <f>COUNTIFS(DataRegularSeason20242025!$E$2:$E$1315,BI$1,DataRegularSeason20242025!$D$2:$D$1315,$A57,DataRegularSeason20242025!$N$2:$N$1315,1)</f>
        <v>0</v>
      </c>
      <c r="BK57" s="35"/>
      <c r="BL57" s="28">
        <f>COUNTIFS(DataRegularSeason20242025!$E$2:$E$1315,BK$1,DataRegularSeason20242025!$D$2:$D$1315,$A57,DataRegularSeason20242025!$N$2:$N$1315,1)</f>
        <v>0</v>
      </c>
      <c r="BM57" s="35"/>
      <c r="BN57" s="28">
        <f>COUNTIFS(DataRegularSeason20242025!$E$2:$E$1315,BM$1,DataRegularSeason20242025!$D$2:$D$1315,$A57,DataRegularSeason20242025!$N$2:$N$1315,1)</f>
        <v>0</v>
      </c>
      <c r="BO57" s="30">
        <f t="shared" si="1"/>
        <v>5</v>
      </c>
      <c r="BP57" s="165">
        <f t="shared" ref="BP57" si="80">BO57+BO58</f>
        <v>8</v>
      </c>
      <c r="BQ57" s="166">
        <f t="shared" ref="BQ57" si="81">82-BP57</f>
        <v>74</v>
      </c>
      <c r="BR57" s="173">
        <f t="shared" ref="BR57" si="82">BP57/(BP57+BQ57)</f>
        <v>9.7560975609756101E-2</v>
      </c>
    </row>
    <row r="58" spans="1:70" ht="9.9499999999999993" customHeight="1" x14ac:dyDescent="0.25">
      <c r="A58" s="167"/>
      <c r="B58" s="32" t="s">
        <v>73</v>
      </c>
      <c r="C58" s="38">
        <f>COUNTIFS(DataRegularSeason20242025!$D$2:$D$1315,C$1,DataRegularSeason20242025!$E$2:$E$1315,$A57,DataRegularSeason20242025!$N$2:$N$1315,1)</f>
        <v>0</v>
      </c>
      <c r="D58" s="39"/>
      <c r="E58" s="38">
        <f>COUNTIFS(DataRegularSeason20242025!$D$2:$D$1315,E$1,DataRegularSeason20242025!$E$2:$E$1315,$A57,DataRegularSeason20242025!$N$2:$N$1315,1)</f>
        <v>0</v>
      </c>
      <c r="F58" s="39"/>
      <c r="G58" s="38">
        <f>COUNTIFS(DataRegularSeason20242025!$D$2:$D$1315,G$1,DataRegularSeason20242025!$E$2:$E$1315,$A57,DataRegularSeason20242025!$N$2:$N$1315,1)</f>
        <v>0</v>
      </c>
      <c r="H58" s="39"/>
      <c r="I58" s="38">
        <f>COUNTIFS(DataRegularSeason20242025!$D$2:$D$1315,I$1,DataRegularSeason20242025!$E$2:$E$1315,$A57,DataRegularSeason20242025!$N$2:$N$1315,1)</f>
        <v>0</v>
      </c>
      <c r="J58" s="39"/>
      <c r="K58" s="38">
        <f>COUNTIFS(DataRegularSeason20242025!$D$2:$D$1315,K$1,DataRegularSeason20242025!$E$2:$E$1315,$A57,DataRegularSeason20242025!$N$2:$N$1315,1)</f>
        <v>0</v>
      </c>
      <c r="L58" s="39"/>
      <c r="M58" s="38">
        <f>COUNTIFS(DataRegularSeason20242025!$D$2:$D$1315,M$1,DataRegularSeason20242025!$E$2:$E$1315,$A57,DataRegularSeason20242025!$N$2:$N$1315,1)</f>
        <v>0</v>
      </c>
      <c r="N58" s="39"/>
      <c r="O58" s="38">
        <f>COUNTIFS(DataRegularSeason20242025!$D$2:$D$1315,O$1,DataRegularSeason20242025!$E$2:$E$1315,$A57,DataRegularSeason20242025!$N$2:$N$1315,1)</f>
        <v>0</v>
      </c>
      <c r="P58" s="39"/>
      <c r="Q58" s="38">
        <f>COUNTIFS(DataRegularSeason20242025!$D$2:$D$1315,Q$1,DataRegularSeason20242025!$E$2:$E$1315,$A57,DataRegularSeason20242025!$N$2:$N$1315,1)</f>
        <v>0</v>
      </c>
      <c r="R58" s="47"/>
      <c r="S58" s="38">
        <f>COUNTIFS(DataRegularSeason20242025!$D$2:$D$1315,S$1,DataRegularSeason20242025!$E$2:$E$1315,$A57,DataRegularSeason20242025!$N$2:$N$1315,1)</f>
        <v>1</v>
      </c>
      <c r="T58" s="39"/>
      <c r="U58" s="38">
        <f>COUNTIFS(DataRegularSeason20242025!$D$2:$D$1315,U$1,DataRegularSeason20242025!$E$2:$E$1315,$A57,DataRegularSeason20242025!$N$2:$N$1315,1)</f>
        <v>0</v>
      </c>
      <c r="V58" s="39"/>
      <c r="W58" s="38">
        <f>COUNTIFS(DataRegularSeason20242025!$D$2:$D$1315,W$1,DataRegularSeason20242025!$E$2:$E$1315,$A57,DataRegularSeason20242025!$N$2:$N$1315,1)</f>
        <v>0</v>
      </c>
      <c r="X58" s="39"/>
      <c r="Y58" s="38">
        <f>COUNTIFS(DataRegularSeason20242025!$D$2:$D$1315,Y$1,DataRegularSeason20242025!$E$2:$E$1315,$A57,DataRegularSeason20242025!$N$2:$N$1315,1)</f>
        <v>0</v>
      </c>
      <c r="Z58" s="39"/>
      <c r="AA58" s="38">
        <f>COUNTIFS(DataRegularSeason20242025!$D$2:$D$1315,AA$1,DataRegularSeason20242025!$E$2:$E$1315,$A57,DataRegularSeason20242025!$N$2:$N$1315,1)</f>
        <v>0</v>
      </c>
      <c r="AB58" s="39"/>
      <c r="AC58" s="38">
        <f>COUNTIFS(DataRegularSeason20242025!$D$2:$D$1315,AC$1,DataRegularSeason20242025!$E$2:$E$1315,$A57,DataRegularSeason20242025!$N$2:$N$1315,1)</f>
        <v>0</v>
      </c>
      <c r="AD58" s="39"/>
      <c r="AE58" s="38">
        <f>COUNTIFS(DataRegularSeason20242025!$D$2:$D$1315,AE$1,DataRegularSeason20242025!$E$2:$E$1315,$A57,DataRegularSeason20242025!$N$2:$N$1315,1)</f>
        <v>0</v>
      </c>
      <c r="AF58" s="39"/>
      <c r="AG58" s="38">
        <f>COUNTIFS(DataRegularSeason20242025!$D$2:$D$1315,AG$1,DataRegularSeason20242025!$E$2:$E$1315,$A57,DataRegularSeason20242025!$N$2:$N$1315,1)</f>
        <v>0</v>
      </c>
      <c r="AH58" s="47"/>
      <c r="AI58" s="38">
        <f>COUNTIFS(DataRegularSeason20242025!$D$2:$D$1315,AI$1,DataRegularSeason20242025!$E$2:$E$1315,$A57,DataRegularSeason20242025!$N$2:$N$1315,1)</f>
        <v>0</v>
      </c>
      <c r="AJ58" s="39"/>
      <c r="AK58" s="38">
        <f>COUNTIFS(DataRegularSeason20242025!$D$2:$D$1315,AK$1,DataRegularSeason20242025!$E$2:$E$1315,$A57,DataRegularSeason20242025!$N$2:$N$1315,1)</f>
        <v>0</v>
      </c>
      <c r="AL58" s="39"/>
      <c r="AM58" s="38">
        <f>COUNTIFS(DataRegularSeason20242025!$D$2:$D$1315,AM$1,DataRegularSeason20242025!$E$2:$E$1315,$A57,DataRegularSeason20242025!$N$2:$N$1315,1)</f>
        <v>0</v>
      </c>
      <c r="AN58" s="39"/>
      <c r="AO58" s="38">
        <f>COUNTIFS(DataRegularSeason20242025!$D$2:$D$1315,AO$1,DataRegularSeason20242025!$E$2:$E$1315,$A57,DataRegularSeason20242025!$N$2:$N$1315,1)</f>
        <v>0</v>
      </c>
      <c r="AP58" s="39"/>
      <c r="AQ58" s="38">
        <f>COUNTIFS(DataRegularSeason20242025!$D$2:$D$1315,AQ$1,DataRegularSeason20242025!$E$2:$E$1315,$A57,DataRegularSeason20242025!$N$2:$N$1315,1)</f>
        <v>0</v>
      </c>
      <c r="AR58" s="39"/>
      <c r="AS58" s="38">
        <f>COUNTIFS(DataRegularSeason20242025!$D$2:$D$1315,AS$1,DataRegularSeason20242025!$E$2:$E$1315,$A57,DataRegularSeason20242025!$N$2:$N$1315,1)</f>
        <v>1</v>
      </c>
      <c r="AT58" s="39"/>
      <c r="AU58" s="38">
        <f>COUNTIFS(DataRegularSeason20242025!$D$2:$D$1315,AU$1,DataRegularSeason20242025!$E$2:$E$1315,$A57,DataRegularSeason20242025!$N$2:$N$1315,1)</f>
        <v>0</v>
      </c>
      <c r="AV58" s="39"/>
      <c r="AW58" s="38">
        <f>COUNTIFS(DataRegularSeason20242025!$D$2:$D$1315,AW$1,DataRegularSeason20242025!$E$2:$E$1315,$A57,DataRegularSeason20242025!$N$2:$N$1315,1)</f>
        <v>0</v>
      </c>
      <c r="AX58" s="47"/>
      <c r="AY58" s="38">
        <f>COUNTIFS(DataRegularSeason20242025!$D$2:$D$1315,AY$1,DataRegularSeason20242025!$E$2:$E$1315,$A57,DataRegularSeason20242025!$N$2:$N$1315,1)</f>
        <v>0</v>
      </c>
      <c r="AZ58" s="39"/>
      <c r="BA58" s="38">
        <f>COUNTIFS(DataRegularSeason20242025!$D$2:$D$1315,BA$1,DataRegularSeason20242025!$E$2:$E$1315,$A57,DataRegularSeason20242025!$N$2:$N$1315,1)</f>
        <v>0</v>
      </c>
      <c r="BB58" s="39"/>
      <c r="BC58" s="38">
        <f>COUNTIFS(DataRegularSeason20242025!$D$2:$D$1315,BC$1,DataRegularSeason20242025!$E$2:$E$1315,$A57,DataRegularSeason20242025!$N$2:$N$1315,1)</f>
        <v>0</v>
      </c>
      <c r="BD58" s="39"/>
      <c r="BE58" s="38"/>
      <c r="BF58" s="39"/>
      <c r="BG58" s="38">
        <f>COUNTIFS(DataRegularSeason20242025!$D$2:$D$1315,BG$1,DataRegularSeason20242025!$E$2:$E$1315,$A57,DataRegularSeason20242025!$N$2:$N$1315,1)</f>
        <v>0</v>
      </c>
      <c r="BH58" s="39"/>
      <c r="BI58" s="38">
        <f>COUNTIFS(DataRegularSeason20242025!$D$2:$D$1315,BI$1,DataRegularSeason20242025!$E$2:$E$1315,$A57,DataRegularSeason20242025!$N$2:$N$1315,1)</f>
        <v>1</v>
      </c>
      <c r="BJ58" s="39"/>
      <c r="BK58" s="38">
        <f>COUNTIFS(DataRegularSeason20242025!$D$2:$D$1315,BK$1,DataRegularSeason20242025!$E$2:$E$1315,$A57,DataRegularSeason20242025!$N$2:$N$1315,1)</f>
        <v>0</v>
      </c>
      <c r="BL58" s="39"/>
      <c r="BM58" s="38">
        <f>COUNTIFS(DataRegularSeason20242025!$D$2:$D$1315,BM$1,DataRegularSeason20242025!$E$2:$E$1315,$A57,DataRegularSeason20242025!$N$2:$N$1315,1)</f>
        <v>0</v>
      </c>
      <c r="BN58" s="39"/>
      <c r="BO58" s="34">
        <f t="shared" si="1"/>
        <v>3</v>
      </c>
      <c r="BP58" s="165"/>
      <c r="BQ58" s="166"/>
      <c r="BR58" s="173"/>
    </row>
    <row r="59" spans="1:70" ht="9.9499999999999993" customHeight="1" x14ac:dyDescent="0.25">
      <c r="A59" s="172" t="s">
        <v>18</v>
      </c>
      <c r="B59" s="28" t="s">
        <v>74</v>
      </c>
      <c r="C59" s="35"/>
      <c r="D59" s="28">
        <f>COUNTIFS(DataRegularSeason20242025!$E$2:$E$1315,C$1,DataRegularSeason20242025!$D$2:$D$1315,$A59,DataRegularSeason20242025!$N$2:$N$1315,1)</f>
        <v>0</v>
      </c>
      <c r="E59" s="35"/>
      <c r="F59" s="28">
        <f>COUNTIFS(DataRegularSeason20242025!$E$2:$E$1315,E$1,DataRegularSeason20242025!$D$2:$D$1315,$A59,DataRegularSeason20242025!$N$2:$N$1315,1)</f>
        <v>0</v>
      </c>
      <c r="G59" s="35"/>
      <c r="H59" s="28">
        <f>COUNTIFS(DataRegularSeason20242025!$E$2:$E$1315,G$1,DataRegularSeason20242025!$D$2:$D$1315,$A59,DataRegularSeason20242025!$N$2:$N$1315,1)</f>
        <v>0</v>
      </c>
      <c r="I59" s="35"/>
      <c r="J59" s="28">
        <f>COUNTIFS(DataRegularSeason20242025!$E$2:$E$1315,I$1,DataRegularSeason20242025!$D$2:$D$1315,$A59,DataRegularSeason20242025!$N$2:$N$1315,1)</f>
        <v>0</v>
      </c>
      <c r="K59" s="35"/>
      <c r="L59" s="28">
        <f>COUNTIFS(DataRegularSeason20242025!$E$2:$E$1315,K$1,DataRegularSeason20242025!$D$2:$D$1315,$A59,DataRegularSeason20242025!$N$2:$N$1315,1)</f>
        <v>0</v>
      </c>
      <c r="M59" s="35"/>
      <c r="N59" s="28">
        <f>COUNTIFS(DataRegularSeason20242025!$E$2:$E$1315,M$1,DataRegularSeason20242025!$D$2:$D$1315,$A59,DataRegularSeason20242025!$N$2:$N$1315,1)</f>
        <v>0</v>
      </c>
      <c r="O59" s="35"/>
      <c r="P59" s="28">
        <f>COUNTIFS(DataRegularSeason20242025!$E$2:$E$1315,O$1,DataRegularSeason20242025!$D$2:$D$1315,$A59,DataRegularSeason20242025!$N$2:$N$1315,1)</f>
        <v>0</v>
      </c>
      <c r="Q59" s="35"/>
      <c r="R59" s="46">
        <f>COUNTIFS(DataRegularSeason20242025!$E$2:$E$1315,Q$1,DataRegularSeason20242025!$D$2:$D$1315,$A59,DataRegularSeason20242025!$N$2:$N$1315,1)</f>
        <v>0</v>
      </c>
      <c r="S59" s="35"/>
      <c r="T59" s="28">
        <f>COUNTIFS(DataRegularSeason20242025!$E$2:$E$1315,S$1,DataRegularSeason20242025!$D$2:$D$1315,$A59,DataRegularSeason20242025!$N$2:$N$1315,1)</f>
        <v>1</v>
      </c>
      <c r="U59" s="35"/>
      <c r="V59" s="28">
        <f>COUNTIFS(DataRegularSeason20242025!$E$2:$E$1315,U$1,DataRegularSeason20242025!$D$2:$D$1315,$A59,DataRegularSeason20242025!$N$2:$N$1315,1)</f>
        <v>0</v>
      </c>
      <c r="W59" s="35"/>
      <c r="X59" s="28">
        <f>COUNTIFS(DataRegularSeason20242025!$E$2:$E$1315,W$1,DataRegularSeason20242025!$D$2:$D$1315,$A59,DataRegularSeason20242025!$N$2:$N$1315,1)</f>
        <v>0</v>
      </c>
      <c r="Y59" s="35"/>
      <c r="Z59" s="28">
        <f>COUNTIFS(DataRegularSeason20242025!$E$2:$E$1315,Y$1,DataRegularSeason20242025!$D$2:$D$1315,$A59,DataRegularSeason20242025!$N$2:$N$1315,1)</f>
        <v>0</v>
      </c>
      <c r="AA59" s="35"/>
      <c r="AB59" s="28">
        <f>COUNTIFS(DataRegularSeason20242025!$E$2:$E$1315,AA$1,DataRegularSeason20242025!$D$2:$D$1315,$A59,DataRegularSeason20242025!$N$2:$N$1315,1)</f>
        <v>0</v>
      </c>
      <c r="AC59" s="35"/>
      <c r="AD59" s="28">
        <f>COUNTIFS(DataRegularSeason20242025!$E$2:$E$1315,AC$1,DataRegularSeason20242025!$D$2:$D$1315,$A59,DataRegularSeason20242025!$N$2:$N$1315,1)</f>
        <v>0</v>
      </c>
      <c r="AE59" s="35"/>
      <c r="AF59" s="28">
        <f>COUNTIFS(DataRegularSeason20242025!$E$2:$E$1315,AE$1,DataRegularSeason20242025!$D$2:$D$1315,$A59,DataRegularSeason20242025!$N$2:$N$1315,1)</f>
        <v>0</v>
      </c>
      <c r="AG59" s="35"/>
      <c r="AH59" s="46">
        <f>COUNTIFS(DataRegularSeason20242025!$E$2:$E$1315,AG$1,DataRegularSeason20242025!$D$2:$D$1315,$A59,DataRegularSeason20242025!$N$2:$N$1315,1)</f>
        <v>0</v>
      </c>
      <c r="AI59" s="35"/>
      <c r="AJ59" s="28">
        <f>COUNTIFS(DataRegularSeason20242025!$E$2:$E$1315,AI$1,DataRegularSeason20242025!$D$2:$D$1315,$A59,DataRegularSeason20242025!$N$2:$N$1315,1)</f>
        <v>0</v>
      </c>
      <c r="AK59" s="35"/>
      <c r="AL59" s="28">
        <f>COUNTIFS(DataRegularSeason20242025!$E$2:$E$1315,AK$1,DataRegularSeason20242025!$D$2:$D$1315,$A59,DataRegularSeason20242025!$N$2:$N$1315,1)</f>
        <v>0</v>
      </c>
      <c r="AM59" s="35"/>
      <c r="AN59" s="28">
        <f>COUNTIFS(DataRegularSeason20242025!$E$2:$E$1315,AM$1,DataRegularSeason20242025!$D$2:$D$1315,$A59,DataRegularSeason20242025!$N$2:$N$1315,1)</f>
        <v>0</v>
      </c>
      <c r="AO59" s="35"/>
      <c r="AP59" s="28">
        <f>COUNTIFS(DataRegularSeason20242025!$E$2:$E$1315,AO$1,DataRegularSeason20242025!$D$2:$D$1315,$A59,DataRegularSeason20242025!$N$2:$N$1315,1)</f>
        <v>0</v>
      </c>
      <c r="AQ59" s="35"/>
      <c r="AR59" s="28">
        <f>COUNTIFS(DataRegularSeason20242025!$E$2:$E$1315,AQ$1,DataRegularSeason20242025!$D$2:$D$1315,$A59,DataRegularSeason20242025!$N$2:$N$1315,1)</f>
        <v>0</v>
      </c>
      <c r="AS59" s="35"/>
      <c r="AT59" s="28">
        <f>COUNTIFS(DataRegularSeason20242025!$E$2:$E$1315,AS$1,DataRegularSeason20242025!$D$2:$D$1315,$A59,DataRegularSeason20242025!$N$2:$N$1315,1)</f>
        <v>0</v>
      </c>
      <c r="AU59" s="35"/>
      <c r="AV59" s="28">
        <f>COUNTIFS(DataRegularSeason20242025!$E$2:$E$1315,AU$1,DataRegularSeason20242025!$D$2:$D$1315,$A59,DataRegularSeason20242025!$N$2:$N$1315,1)</f>
        <v>0</v>
      </c>
      <c r="AW59" s="35"/>
      <c r="AX59" s="46">
        <f>COUNTIFS(DataRegularSeason20242025!$E$2:$E$1315,AW$1,DataRegularSeason20242025!$D$2:$D$1315,$A59,DataRegularSeason20242025!$N$2:$N$1315,1)</f>
        <v>0</v>
      </c>
      <c r="AY59" s="35"/>
      <c r="AZ59" s="28">
        <f>COUNTIFS(DataRegularSeason20242025!$E$2:$E$1315,AY$1,DataRegularSeason20242025!$D$2:$D$1315,$A59,DataRegularSeason20242025!$N$2:$N$1315,1)</f>
        <v>0</v>
      </c>
      <c r="BA59" s="35"/>
      <c r="BB59" s="28">
        <f>COUNTIFS(DataRegularSeason20242025!$E$2:$E$1315,BA$1,DataRegularSeason20242025!$D$2:$D$1315,$A59,DataRegularSeason20242025!$N$2:$N$1315,1)</f>
        <v>0</v>
      </c>
      <c r="BC59" s="35"/>
      <c r="BD59" s="28">
        <f>COUNTIFS(DataRegularSeason20242025!$E$2:$E$1315,BC$1,DataRegularSeason20242025!$D$2:$D$1315,$A59,DataRegularSeason20242025!$N$2:$N$1315,1)</f>
        <v>1</v>
      </c>
      <c r="BE59" s="35"/>
      <c r="BF59" s="28">
        <f>COUNTIFS(DataRegularSeason20242025!$E$2:$E$1315,BE$1,DataRegularSeason20242025!$D$2:$D$1315,$A59,DataRegularSeason20242025!$N$2:$N$1315,1)</f>
        <v>0</v>
      </c>
      <c r="BG59" s="35"/>
      <c r="BH59" s="36"/>
      <c r="BI59" s="35"/>
      <c r="BJ59" s="28">
        <f>COUNTIFS(DataRegularSeason20242025!$E$2:$E$1315,BI$1,DataRegularSeason20242025!$D$2:$D$1315,$A59,DataRegularSeason20242025!$N$2:$N$1315,1)</f>
        <v>0</v>
      </c>
      <c r="BK59" s="35"/>
      <c r="BL59" s="28">
        <f>COUNTIFS(DataRegularSeason20242025!$E$2:$E$1315,BK$1,DataRegularSeason20242025!$D$2:$D$1315,$A59,DataRegularSeason20242025!$N$2:$N$1315,1)</f>
        <v>0</v>
      </c>
      <c r="BM59" s="35"/>
      <c r="BN59" s="28">
        <f>COUNTIFS(DataRegularSeason20242025!$E$2:$E$1315,BM$1,DataRegularSeason20242025!$D$2:$D$1315,$A59,DataRegularSeason20242025!$N$2:$N$1315,1)</f>
        <v>1</v>
      </c>
      <c r="BO59" s="30">
        <f t="shared" si="1"/>
        <v>3</v>
      </c>
      <c r="BP59" s="165">
        <f t="shared" ref="BP59" si="83">BO59+BO60</f>
        <v>7</v>
      </c>
      <c r="BQ59" s="166">
        <f t="shared" ref="BQ59" si="84">82-BP59</f>
        <v>75</v>
      </c>
      <c r="BR59" s="173">
        <f t="shared" ref="BR59" si="85">BP59/(BP59+BQ59)</f>
        <v>8.5365853658536592E-2</v>
      </c>
    </row>
    <row r="60" spans="1:70" ht="9.9499999999999993" customHeight="1" x14ac:dyDescent="0.25">
      <c r="A60" s="167"/>
      <c r="B60" s="32" t="s">
        <v>73</v>
      </c>
      <c r="C60" s="38">
        <f>COUNTIFS(DataRegularSeason20242025!$D$2:$D$1315,C$1,DataRegularSeason20242025!$E$2:$E$1315,$A59,DataRegularSeason20242025!$N$2:$N$1315,1)</f>
        <v>0</v>
      </c>
      <c r="D60" s="39"/>
      <c r="E60" s="38">
        <f>COUNTIFS(DataRegularSeason20242025!$D$2:$D$1315,E$1,DataRegularSeason20242025!$E$2:$E$1315,$A59,DataRegularSeason20242025!$N$2:$N$1315,1)</f>
        <v>0</v>
      </c>
      <c r="F60" s="39"/>
      <c r="G60" s="38">
        <f>COUNTIFS(DataRegularSeason20242025!$D$2:$D$1315,G$1,DataRegularSeason20242025!$E$2:$E$1315,$A59,DataRegularSeason20242025!$N$2:$N$1315,1)</f>
        <v>0</v>
      </c>
      <c r="H60" s="39"/>
      <c r="I60" s="38">
        <f>COUNTIFS(DataRegularSeason20242025!$D$2:$D$1315,I$1,DataRegularSeason20242025!$E$2:$E$1315,$A59,DataRegularSeason20242025!$N$2:$N$1315,1)</f>
        <v>0</v>
      </c>
      <c r="J60" s="39"/>
      <c r="K60" s="38">
        <f>COUNTIFS(DataRegularSeason20242025!$D$2:$D$1315,K$1,DataRegularSeason20242025!$E$2:$E$1315,$A59,DataRegularSeason20242025!$N$2:$N$1315,1)</f>
        <v>1</v>
      </c>
      <c r="L60" s="39"/>
      <c r="M60" s="38">
        <f>COUNTIFS(DataRegularSeason20242025!$D$2:$D$1315,M$1,DataRegularSeason20242025!$E$2:$E$1315,$A59,DataRegularSeason20242025!$N$2:$N$1315,1)</f>
        <v>0</v>
      </c>
      <c r="N60" s="39"/>
      <c r="O60" s="38">
        <f>COUNTIFS(DataRegularSeason20242025!$D$2:$D$1315,O$1,DataRegularSeason20242025!$E$2:$E$1315,$A59,DataRegularSeason20242025!$N$2:$N$1315,1)</f>
        <v>0</v>
      </c>
      <c r="P60" s="39"/>
      <c r="Q60" s="38">
        <f>COUNTIFS(DataRegularSeason20242025!$D$2:$D$1315,Q$1,DataRegularSeason20242025!$E$2:$E$1315,$A59,DataRegularSeason20242025!$N$2:$N$1315,1)</f>
        <v>0</v>
      </c>
      <c r="R60" s="47"/>
      <c r="S60" s="38">
        <f>COUNTIFS(DataRegularSeason20242025!$D$2:$D$1315,S$1,DataRegularSeason20242025!$E$2:$E$1315,$A59,DataRegularSeason20242025!$N$2:$N$1315,1)</f>
        <v>0</v>
      </c>
      <c r="T60" s="39"/>
      <c r="U60" s="38">
        <f>COUNTIFS(DataRegularSeason20242025!$D$2:$D$1315,U$1,DataRegularSeason20242025!$E$2:$E$1315,$A59,DataRegularSeason20242025!$N$2:$N$1315,1)</f>
        <v>0</v>
      </c>
      <c r="V60" s="39"/>
      <c r="W60" s="38">
        <f>COUNTIFS(DataRegularSeason20242025!$D$2:$D$1315,W$1,DataRegularSeason20242025!$E$2:$E$1315,$A59,DataRegularSeason20242025!$N$2:$N$1315,1)</f>
        <v>0</v>
      </c>
      <c r="X60" s="39"/>
      <c r="Y60" s="38">
        <f>COUNTIFS(DataRegularSeason20242025!$D$2:$D$1315,Y$1,DataRegularSeason20242025!$E$2:$E$1315,$A59,DataRegularSeason20242025!$N$2:$N$1315,1)</f>
        <v>0</v>
      </c>
      <c r="Z60" s="39"/>
      <c r="AA60" s="38">
        <f>COUNTIFS(DataRegularSeason20242025!$D$2:$D$1315,AA$1,DataRegularSeason20242025!$E$2:$E$1315,$A59,DataRegularSeason20242025!$N$2:$N$1315,1)</f>
        <v>1</v>
      </c>
      <c r="AB60" s="39"/>
      <c r="AC60" s="38">
        <f>COUNTIFS(DataRegularSeason20242025!$D$2:$D$1315,AC$1,DataRegularSeason20242025!$E$2:$E$1315,$A59,DataRegularSeason20242025!$N$2:$N$1315,1)</f>
        <v>0</v>
      </c>
      <c r="AD60" s="39"/>
      <c r="AE60" s="38">
        <f>COUNTIFS(DataRegularSeason20242025!$D$2:$D$1315,AE$1,DataRegularSeason20242025!$E$2:$E$1315,$A59,DataRegularSeason20242025!$N$2:$N$1315,1)</f>
        <v>0</v>
      </c>
      <c r="AF60" s="39"/>
      <c r="AG60" s="38">
        <f>COUNTIFS(DataRegularSeason20242025!$D$2:$D$1315,AG$1,DataRegularSeason20242025!$E$2:$E$1315,$A59,DataRegularSeason20242025!$N$2:$N$1315,1)</f>
        <v>0</v>
      </c>
      <c r="AH60" s="47"/>
      <c r="AI60" s="38">
        <f>COUNTIFS(DataRegularSeason20242025!$D$2:$D$1315,AI$1,DataRegularSeason20242025!$E$2:$E$1315,$A59,DataRegularSeason20242025!$N$2:$N$1315,1)</f>
        <v>0</v>
      </c>
      <c r="AJ60" s="39"/>
      <c r="AK60" s="38">
        <f>COUNTIFS(DataRegularSeason20242025!$D$2:$D$1315,AK$1,DataRegularSeason20242025!$E$2:$E$1315,$A59,DataRegularSeason20242025!$N$2:$N$1315,1)</f>
        <v>0</v>
      </c>
      <c r="AL60" s="39"/>
      <c r="AM60" s="38">
        <f>COUNTIFS(DataRegularSeason20242025!$D$2:$D$1315,AM$1,DataRegularSeason20242025!$E$2:$E$1315,$A59,DataRegularSeason20242025!$N$2:$N$1315,1)</f>
        <v>0</v>
      </c>
      <c r="AN60" s="39"/>
      <c r="AO60" s="38">
        <f>COUNTIFS(DataRegularSeason20242025!$D$2:$D$1315,AO$1,DataRegularSeason20242025!$E$2:$E$1315,$A59,DataRegularSeason20242025!$N$2:$N$1315,1)</f>
        <v>0</v>
      </c>
      <c r="AP60" s="39"/>
      <c r="AQ60" s="38">
        <f>COUNTIFS(DataRegularSeason20242025!$D$2:$D$1315,AQ$1,DataRegularSeason20242025!$E$2:$E$1315,$A59,DataRegularSeason20242025!$N$2:$N$1315,1)</f>
        <v>1</v>
      </c>
      <c r="AR60" s="39"/>
      <c r="AS60" s="38">
        <f>COUNTIFS(DataRegularSeason20242025!$D$2:$D$1315,AS$1,DataRegularSeason20242025!$E$2:$E$1315,$A59,DataRegularSeason20242025!$N$2:$N$1315,1)</f>
        <v>0</v>
      </c>
      <c r="AT60" s="39"/>
      <c r="AU60" s="38">
        <f>COUNTIFS(DataRegularSeason20242025!$D$2:$D$1315,AU$1,DataRegularSeason20242025!$E$2:$E$1315,$A59,DataRegularSeason20242025!$N$2:$N$1315,1)</f>
        <v>0</v>
      </c>
      <c r="AV60" s="39"/>
      <c r="AW60" s="38">
        <f>COUNTIFS(DataRegularSeason20242025!$D$2:$D$1315,AW$1,DataRegularSeason20242025!$E$2:$E$1315,$A59,DataRegularSeason20242025!$N$2:$N$1315,1)</f>
        <v>0</v>
      </c>
      <c r="AX60" s="47"/>
      <c r="AY60" s="38">
        <f>COUNTIFS(DataRegularSeason20242025!$D$2:$D$1315,AY$1,DataRegularSeason20242025!$E$2:$E$1315,$A59,DataRegularSeason20242025!$N$2:$N$1315,1)</f>
        <v>0</v>
      </c>
      <c r="AZ60" s="39"/>
      <c r="BA60" s="38">
        <f>COUNTIFS(DataRegularSeason20242025!$D$2:$D$1315,BA$1,DataRegularSeason20242025!$E$2:$E$1315,$A59,DataRegularSeason20242025!$N$2:$N$1315,1)</f>
        <v>1</v>
      </c>
      <c r="BB60" s="39"/>
      <c r="BC60" s="38">
        <f>COUNTIFS(DataRegularSeason20242025!$D$2:$D$1315,BC$1,DataRegularSeason20242025!$E$2:$E$1315,$A59,DataRegularSeason20242025!$N$2:$N$1315,1)</f>
        <v>0</v>
      </c>
      <c r="BD60" s="39"/>
      <c r="BE60" s="38">
        <f>COUNTIFS(DataRegularSeason20242025!$D$2:$D$1315,BE$1,DataRegularSeason20242025!$E$2:$E$1315,$A59,DataRegularSeason20242025!$N$2:$N$1315,1)</f>
        <v>0</v>
      </c>
      <c r="BF60" s="39"/>
      <c r="BG60" s="38"/>
      <c r="BH60" s="39"/>
      <c r="BI60" s="38">
        <f>COUNTIFS(DataRegularSeason20242025!$D$2:$D$1315,BI$1,DataRegularSeason20242025!$E$2:$E$1315,$A59,DataRegularSeason20242025!$N$2:$N$1315,1)</f>
        <v>0</v>
      </c>
      <c r="BJ60" s="39"/>
      <c r="BK60" s="38">
        <f>COUNTIFS(DataRegularSeason20242025!$D$2:$D$1315,BK$1,DataRegularSeason20242025!$E$2:$E$1315,$A59,DataRegularSeason20242025!$N$2:$N$1315,1)</f>
        <v>0</v>
      </c>
      <c r="BL60" s="39"/>
      <c r="BM60" s="38">
        <f>COUNTIFS(DataRegularSeason20242025!$D$2:$D$1315,BM$1,DataRegularSeason20242025!$E$2:$E$1315,$A59,DataRegularSeason20242025!$N$2:$N$1315,1)</f>
        <v>0</v>
      </c>
      <c r="BN60" s="39"/>
      <c r="BO60" s="34">
        <f t="shared" si="1"/>
        <v>4</v>
      </c>
      <c r="BP60" s="165"/>
      <c r="BQ60" s="166"/>
      <c r="BR60" s="173"/>
    </row>
    <row r="61" spans="1:70" ht="9.9499999999999993" customHeight="1" x14ac:dyDescent="0.25">
      <c r="A61" s="172" t="s">
        <v>29</v>
      </c>
      <c r="B61" s="28" t="s">
        <v>74</v>
      </c>
      <c r="C61" s="35"/>
      <c r="D61" s="28">
        <f>COUNTIFS(DataRegularSeason20242025!$E$2:$E$1315,C$1,DataRegularSeason20242025!$D$2:$D$1315,$A61,DataRegularSeason20242025!$N$2:$N$1315,1)</f>
        <v>0</v>
      </c>
      <c r="E61" s="35"/>
      <c r="F61" s="28">
        <f>COUNTIFS(DataRegularSeason20242025!$E$2:$E$1315,E$1,DataRegularSeason20242025!$D$2:$D$1315,$A61,DataRegularSeason20242025!$N$2:$N$1315,1)</f>
        <v>0</v>
      </c>
      <c r="G61" s="35"/>
      <c r="H61" s="28">
        <f>COUNTIFS(DataRegularSeason20242025!$E$2:$E$1315,G$1,DataRegularSeason20242025!$D$2:$D$1315,$A61,DataRegularSeason20242025!$N$2:$N$1315,1)</f>
        <v>0</v>
      </c>
      <c r="I61" s="35"/>
      <c r="J61" s="28">
        <f>COUNTIFS(DataRegularSeason20242025!$E$2:$E$1315,I$1,DataRegularSeason20242025!$D$2:$D$1315,$A61,DataRegularSeason20242025!$N$2:$N$1315,1)</f>
        <v>0</v>
      </c>
      <c r="K61" s="35"/>
      <c r="L61" s="28">
        <f>COUNTIFS(DataRegularSeason20242025!$E$2:$E$1315,K$1,DataRegularSeason20242025!$D$2:$D$1315,$A61,DataRegularSeason20242025!$N$2:$N$1315,1)</f>
        <v>0</v>
      </c>
      <c r="M61" s="35"/>
      <c r="N61" s="28">
        <f>COUNTIFS(DataRegularSeason20242025!$E$2:$E$1315,M$1,DataRegularSeason20242025!$D$2:$D$1315,$A61,DataRegularSeason20242025!$N$2:$N$1315,1)</f>
        <v>0</v>
      </c>
      <c r="O61" s="35"/>
      <c r="P61" s="28">
        <f>COUNTIFS(DataRegularSeason20242025!$E$2:$E$1315,O$1,DataRegularSeason20242025!$D$2:$D$1315,$A61,DataRegularSeason20242025!$N$2:$N$1315,1)</f>
        <v>0</v>
      </c>
      <c r="Q61" s="35"/>
      <c r="R61" s="46">
        <f>COUNTIFS(DataRegularSeason20242025!$E$2:$E$1315,Q$1,DataRegularSeason20242025!$D$2:$D$1315,$A61,DataRegularSeason20242025!$N$2:$N$1315,1)</f>
        <v>0</v>
      </c>
      <c r="S61" s="35"/>
      <c r="T61" s="28">
        <f>COUNTIFS(DataRegularSeason20242025!$E$2:$E$1315,S$1,DataRegularSeason20242025!$D$2:$D$1315,$A61,DataRegularSeason20242025!$N$2:$N$1315,1)</f>
        <v>0</v>
      </c>
      <c r="U61" s="35"/>
      <c r="V61" s="28">
        <f>COUNTIFS(DataRegularSeason20242025!$E$2:$E$1315,U$1,DataRegularSeason20242025!$D$2:$D$1315,$A61,DataRegularSeason20242025!$N$2:$N$1315,1)</f>
        <v>0</v>
      </c>
      <c r="W61" s="35"/>
      <c r="X61" s="28">
        <f>COUNTIFS(DataRegularSeason20242025!$E$2:$E$1315,W$1,DataRegularSeason20242025!$D$2:$D$1315,$A61,DataRegularSeason20242025!$N$2:$N$1315,1)</f>
        <v>0</v>
      </c>
      <c r="Y61" s="35"/>
      <c r="Z61" s="28">
        <f>COUNTIFS(DataRegularSeason20242025!$E$2:$E$1315,Y$1,DataRegularSeason20242025!$D$2:$D$1315,$A61,DataRegularSeason20242025!$N$2:$N$1315,1)</f>
        <v>0</v>
      </c>
      <c r="AA61" s="35"/>
      <c r="AB61" s="28">
        <f>COUNTIFS(DataRegularSeason20242025!$E$2:$E$1315,AA$1,DataRegularSeason20242025!$D$2:$D$1315,$A61,DataRegularSeason20242025!$N$2:$N$1315,1)</f>
        <v>0</v>
      </c>
      <c r="AC61" s="35"/>
      <c r="AD61" s="28">
        <f>COUNTIFS(DataRegularSeason20242025!$E$2:$E$1315,AC$1,DataRegularSeason20242025!$D$2:$D$1315,$A61,DataRegularSeason20242025!$N$2:$N$1315,1)</f>
        <v>0</v>
      </c>
      <c r="AE61" s="35"/>
      <c r="AF61" s="28">
        <f>COUNTIFS(DataRegularSeason20242025!$E$2:$E$1315,AE$1,DataRegularSeason20242025!$D$2:$D$1315,$A61,DataRegularSeason20242025!$N$2:$N$1315,1)</f>
        <v>0</v>
      </c>
      <c r="AG61" s="35"/>
      <c r="AH61" s="46">
        <f>COUNTIFS(DataRegularSeason20242025!$E$2:$E$1315,AG$1,DataRegularSeason20242025!$D$2:$D$1315,$A61,DataRegularSeason20242025!$N$2:$N$1315,1)</f>
        <v>0</v>
      </c>
      <c r="AI61" s="35"/>
      <c r="AJ61" s="28">
        <f>COUNTIFS(DataRegularSeason20242025!$E$2:$E$1315,AI$1,DataRegularSeason20242025!$D$2:$D$1315,$A61,DataRegularSeason20242025!$N$2:$N$1315,1)</f>
        <v>0</v>
      </c>
      <c r="AK61" s="35"/>
      <c r="AL61" s="28">
        <f>COUNTIFS(DataRegularSeason20242025!$E$2:$E$1315,AK$1,DataRegularSeason20242025!$D$2:$D$1315,$A61,DataRegularSeason20242025!$N$2:$N$1315,1)</f>
        <v>0</v>
      </c>
      <c r="AM61" s="35"/>
      <c r="AN61" s="28">
        <f>COUNTIFS(DataRegularSeason20242025!$E$2:$E$1315,AM$1,DataRegularSeason20242025!$D$2:$D$1315,$A61,DataRegularSeason20242025!$N$2:$N$1315,1)</f>
        <v>0</v>
      </c>
      <c r="AO61" s="35"/>
      <c r="AP61" s="28">
        <f>COUNTIFS(DataRegularSeason20242025!$E$2:$E$1315,AO$1,DataRegularSeason20242025!$D$2:$D$1315,$A61,DataRegularSeason20242025!$N$2:$N$1315,1)</f>
        <v>0</v>
      </c>
      <c r="AQ61" s="35"/>
      <c r="AR61" s="28">
        <f>COUNTIFS(DataRegularSeason20242025!$E$2:$E$1315,AQ$1,DataRegularSeason20242025!$D$2:$D$1315,$A61,DataRegularSeason20242025!$N$2:$N$1315,1)</f>
        <v>0</v>
      </c>
      <c r="AS61" s="35"/>
      <c r="AT61" s="28">
        <f>COUNTIFS(DataRegularSeason20242025!$E$2:$E$1315,AS$1,DataRegularSeason20242025!$D$2:$D$1315,$A61,DataRegularSeason20242025!$N$2:$N$1315,1)</f>
        <v>0</v>
      </c>
      <c r="AU61" s="35"/>
      <c r="AV61" s="28">
        <f>COUNTIFS(DataRegularSeason20242025!$E$2:$E$1315,AU$1,DataRegularSeason20242025!$D$2:$D$1315,$A61,DataRegularSeason20242025!$N$2:$N$1315,1)</f>
        <v>0</v>
      </c>
      <c r="AW61" s="35"/>
      <c r="AX61" s="46">
        <f>COUNTIFS(DataRegularSeason20242025!$E$2:$E$1315,AW$1,DataRegularSeason20242025!$D$2:$D$1315,$A61,DataRegularSeason20242025!$N$2:$N$1315,1)</f>
        <v>0</v>
      </c>
      <c r="AY61" s="35"/>
      <c r="AZ61" s="28">
        <f>COUNTIFS(DataRegularSeason20242025!$E$2:$E$1315,AY$1,DataRegularSeason20242025!$D$2:$D$1315,$A61,DataRegularSeason20242025!$N$2:$N$1315,1)</f>
        <v>0</v>
      </c>
      <c r="BA61" s="35"/>
      <c r="BB61" s="28">
        <f>COUNTIFS(DataRegularSeason20242025!$E$2:$E$1315,BA$1,DataRegularSeason20242025!$D$2:$D$1315,$A61,DataRegularSeason20242025!$N$2:$N$1315,1)</f>
        <v>1</v>
      </c>
      <c r="BC61" s="35"/>
      <c r="BD61" s="28">
        <f>COUNTIFS(DataRegularSeason20242025!$E$2:$E$1315,BC$1,DataRegularSeason20242025!$D$2:$D$1315,$A61,DataRegularSeason20242025!$N$2:$N$1315,1)</f>
        <v>0</v>
      </c>
      <c r="BE61" s="35"/>
      <c r="BF61" s="28">
        <f>COUNTIFS(DataRegularSeason20242025!$E$2:$E$1315,BE$1,DataRegularSeason20242025!$D$2:$D$1315,$A61,DataRegularSeason20242025!$N$2:$N$1315,1)</f>
        <v>1</v>
      </c>
      <c r="BG61" s="35"/>
      <c r="BH61" s="28">
        <f>COUNTIFS(DataRegularSeason20242025!$E$2:$E$1315,BG$1,DataRegularSeason20242025!$D$2:$D$1315,$A61,DataRegularSeason20242025!$N$2:$N$1315,1)</f>
        <v>0</v>
      </c>
      <c r="BI61" s="35"/>
      <c r="BJ61" s="36"/>
      <c r="BK61" s="35"/>
      <c r="BL61" s="28">
        <f>COUNTIFS(DataRegularSeason20242025!$E$2:$E$1315,BK$1,DataRegularSeason20242025!$D$2:$D$1315,$A61,DataRegularSeason20242025!$N$2:$N$1315,1)</f>
        <v>1</v>
      </c>
      <c r="BM61" s="35"/>
      <c r="BN61" s="28">
        <f>COUNTIFS(DataRegularSeason20242025!$E$2:$E$1315,BM$1,DataRegularSeason20242025!$D$2:$D$1315,$A61,DataRegularSeason20242025!$N$2:$N$1315,1)</f>
        <v>0</v>
      </c>
      <c r="BO61" s="30">
        <f t="shared" si="1"/>
        <v>3</v>
      </c>
      <c r="BP61" s="165">
        <f t="shared" ref="BP61" si="86">BO61+BO62</f>
        <v>7</v>
      </c>
      <c r="BQ61" s="166">
        <f t="shared" ref="BQ61" si="87">82-BP61</f>
        <v>75</v>
      </c>
      <c r="BR61" s="173">
        <f t="shared" ref="BR61" si="88">BP61/(BP61+BQ61)</f>
        <v>8.5365853658536592E-2</v>
      </c>
    </row>
    <row r="62" spans="1:70" ht="9.9499999999999993" customHeight="1" x14ac:dyDescent="0.25">
      <c r="A62" s="167"/>
      <c r="B62" s="32" t="s">
        <v>73</v>
      </c>
      <c r="C62" s="38">
        <f>COUNTIFS(DataRegularSeason20242025!$D$2:$D$1315,C$1,DataRegularSeason20242025!$E$2:$E$1315,$A61,DataRegularSeason20242025!$N$2:$N$1315,1)</f>
        <v>0</v>
      </c>
      <c r="D62" s="39"/>
      <c r="E62" s="38">
        <f>COUNTIFS(DataRegularSeason20242025!$D$2:$D$1315,E$1,DataRegularSeason20242025!$E$2:$E$1315,$A61,DataRegularSeason20242025!$N$2:$N$1315,1)</f>
        <v>0</v>
      </c>
      <c r="F62" s="39"/>
      <c r="G62" s="38">
        <f>COUNTIFS(DataRegularSeason20242025!$D$2:$D$1315,G$1,DataRegularSeason20242025!$E$2:$E$1315,$A61,DataRegularSeason20242025!$N$2:$N$1315,1)</f>
        <v>1</v>
      </c>
      <c r="H62" s="39"/>
      <c r="I62" s="38">
        <f>COUNTIFS(DataRegularSeason20242025!$D$2:$D$1315,I$1,DataRegularSeason20242025!$E$2:$E$1315,$A61,DataRegularSeason20242025!$N$2:$N$1315,1)</f>
        <v>0</v>
      </c>
      <c r="J62" s="39"/>
      <c r="K62" s="38">
        <f>COUNTIFS(DataRegularSeason20242025!$D$2:$D$1315,K$1,DataRegularSeason20242025!$E$2:$E$1315,$A61,DataRegularSeason20242025!$N$2:$N$1315,1)</f>
        <v>1</v>
      </c>
      <c r="L62" s="39"/>
      <c r="M62" s="38">
        <f>COUNTIFS(DataRegularSeason20242025!$D$2:$D$1315,M$1,DataRegularSeason20242025!$E$2:$E$1315,$A61,DataRegularSeason20242025!$N$2:$N$1315,1)</f>
        <v>0</v>
      </c>
      <c r="N62" s="39"/>
      <c r="O62" s="38">
        <f>COUNTIFS(DataRegularSeason20242025!$D$2:$D$1315,O$1,DataRegularSeason20242025!$E$2:$E$1315,$A61,DataRegularSeason20242025!$N$2:$N$1315,1)</f>
        <v>0</v>
      </c>
      <c r="P62" s="39"/>
      <c r="Q62" s="38">
        <f>COUNTIFS(DataRegularSeason20242025!$D$2:$D$1315,Q$1,DataRegularSeason20242025!$E$2:$E$1315,$A61,DataRegularSeason20242025!$N$2:$N$1315,1)</f>
        <v>0</v>
      </c>
      <c r="R62" s="47"/>
      <c r="S62" s="38">
        <f>COUNTIFS(DataRegularSeason20242025!$D$2:$D$1315,S$1,DataRegularSeason20242025!$E$2:$E$1315,$A61,DataRegularSeason20242025!$N$2:$N$1315,1)</f>
        <v>0</v>
      </c>
      <c r="T62" s="39"/>
      <c r="U62" s="38">
        <f>COUNTIFS(DataRegularSeason20242025!$D$2:$D$1315,U$1,DataRegularSeason20242025!$E$2:$E$1315,$A61,DataRegularSeason20242025!$N$2:$N$1315,1)</f>
        <v>0</v>
      </c>
      <c r="V62" s="39"/>
      <c r="W62" s="38">
        <f>COUNTIFS(DataRegularSeason20242025!$D$2:$D$1315,W$1,DataRegularSeason20242025!$E$2:$E$1315,$A61,DataRegularSeason20242025!$N$2:$N$1315,1)</f>
        <v>0</v>
      </c>
      <c r="X62" s="39"/>
      <c r="Y62" s="38">
        <f>COUNTIFS(DataRegularSeason20242025!$D$2:$D$1315,Y$1,DataRegularSeason20242025!$E$2:$E$1315,$A61,DataRegularSeason20242025!$N$2:$N$1315,1)</f>
        <v>0</v>
      </c>
      <c r="Z62" s="39"/>
      <c r="AA62" s="38">
        <f>COUNTIFS(DataRegularSeason20242025!$D$2:$D$1315,AA$1,DataRegularSeason20242025!$E$2:$E$1315,$A61,DataRegularSeason20242025!$N$2:$N$1315,1)</f>
        <v>1</v>
      </c>
      <c r="AB62" s="39"/>
      <c r="AC62" s="38">
        <f>COUNTIFS(DataRegularSeason20242025!$D$2:$D$1315,AC$1,DataRegularSeason20242025!$E$2:$E$1315,$A61,DataRegularSeason20242025!$N$2:$N$1315,1)</f>
        <v>0</v>
      </c>
      <c r="AD62" s="39"/>
      <c r="AE62" s="38">
        <f>COUNTIFS(DataRegularSeason20242025!$D$2:$D$1315,AE$1,DataRegularSeason20242025!$E$2:$E$1315,$A61,DataRegularSeason20242025!$N$2:$N$1315,1)</f>
        <v>0</v>
      </c>
      <c r="AF62" s="39"/>
      <c r="AG62" s="38">
        <f>COUNTIFS(DataRegularSeason20242025!$D$2:$D$1315,AG$1,DataRegularSeason20242025!$E$2:$E$1315,$A61,DataRegularSeason20242025!$N$2:$N$1315,1)</f>
        <v>0</v>
      </c>
      <c r="AH62" s="47"/>
      <c r="AI62" s="38">
        <f>COUNTIFS(DataRegularSeason20242025!$D$2:$D$1315,AI$1,DataRegularSeason20242025!$E$2:$E$1315,$A61,DataRegularSeason20242025!$N$2:$N$1315,1)</f>
        <v>0</v>
      </c>
      <c r="AJ62" s="39"/>
      <c r="AK62" s="38">
        <f>COUNTIFS(DataRegularSeason20242025!$D$2:$D$1315,AK$1,DataRegularSeason20242025!$E$2:$E$1315,$A61,DataRegularSeason20242025!$N$2:$N$1315,1)</f>
        <v>0</v>
      </c>
      <c r="AL62" s="39"/>
      <c r="AM62" s="38">
        <f>COUNTIFS(DataRegularSeason20242025!$D$2:$D$1315,AM$1,DataRegularSeason20242025!$E$2:$E$1315,$A61,DataRegularSeason20242025!$N$2:$N$1315,1)</f>
        <v>0</v>
      </c>
      <c r="AN62" s="39"/>
      <c r="AO62" s="38">
        <f>COUNTIFS(DataRegularSeason20242025!$D$2:$D$1315,AO$1,DataRegularSeason20242025!$E$2:$E$1315,$A61,DataRegularSeason20242025!$N$2:$N$1315,1)</f>
        <v>1</v>
      </c>
      <c r="AP62" s="39"/>
      <c r="AQ62" s="38">
        <f>COUNTIFS(DataRegularSeason20242025!$D$2:$D$1315,AQ$1,DataRegularSeason20242025!$E$2:$E$1315,$A61,DataRegularSeason20242025!$N$2:$N$1315,1)</f>
        <v>0</v>
      </c>
      <c r="AR62" s="39"/>
      <c r="AS62" s="38">
        <f>COUNTIFS(DataRegularSeason20242025!$D$2:$D$1315,AS$1,DataRegularSeason20242025!$E$2:$E$1315,$A61,DataRegularSeason20242025!$N$2:$N$1315,1)</f>
        <v>0</v>
      </c>
      <c r="AT62" s="39"/>
      <c r="AU62" s="38">
        <f>COUNTIFS(DataRegularSeason20242025!$D$2:$D$1315,AU$1,DataRegularSeason20242025!$E$2:$E$1315,$A61,DataRegularSeason20242025!$N$2:$N$1315,1)</f>
        <v>0</v>
      </c>
      <c r="AV62" s="39"/>
      <c r="AW62" s="38">
        <f>COUNTIFS(DataRegularSeason20242025!$D$2:$D$1315,AW$1,DataRegularSeason20242025!$E$2:$E$1315,$A61,DataRegularSeason20242025!$N$2:$N$1315,1)</f>
        <v>0</v>
      </c>
      <c r="AX62" s="47"/>
      <c r="AY62" s="38">
        <f>COUNTIFS(DataRegularSeason20242025!$D$2:$D$1315,AY$1,DataRegularSeason20242025!$E$2:$E$1315,$A61,DataRegularSeason20242025!$N$2:$N$1315,1)</f>
        <v>0</v>
      </c>
      <c r="AZ62" s="39"/>
      <c r="BA62" s="38">
        <f>COUNTIFS(DataRegularSeason20242025!$D$2:$D$1315,BA$1,DataRegularSeason20242025!$E$2:$E$1315,$A61,DataRegularSeason20242025!$N$2:$N$1315,1)</f>
        <v>0</v>
      </c>
      <c r="BB62" s="39"/>
      <c r="BC62" s="38">
        <f>COUNTIFS(DataRegularSeason20242025!$D$2:$D$1315,BC$1,DataRegularSeason20242025!$E$2:$E$1315,$A61,DataRegularSeason20242025!$N$2:$N$1315,1)</f>
        <v>0</v>
      </c>
      <c r="BD62" s="39"/>
      <c r="BE62" s="38">
        <f>COUNTIFS(DataRegularSeason20242025!$D$2:$D$1315,BE$1,DataRegularSeason20242025!$E$2:$E$1315,$A61,DataRegularSeason20242025!$N$2:$N$1315,1)</f>
        <v>0</v>
      </c>
      <c r="BF62" s="39"/>
      <c r="BG62" s="38">
        <f>COUNTIFS(DataRegularSeason20242025!$D$2:$D$1315,BG$1,DataRegularSeason20242025!$E$2:$E$1315,$A61,DataRegularSeason20242025!$N$2:$N$1315,1)</f>
        <v>0</v>
      </c>
      <c r="BH62" s="39"/>
      <c r="BI62" s="38"/>
      <c r="BJ62" s="39"/>
      <c r="BK62" s="38">
        <f>COUNTIFS(DataRegularSeason20242025!$D$2:$D$1315,BK$1,DataRegularSeason20242025!$E$2:$E$1315,$A61,DataRegularSeason20242025!$N$2:$N$1315,1)</f>
        <v>0</v>
      </c>
      <c r="BL62" s="39"/>
      <c r="BM62" s="38">
        <f>COUNTIFS(DataRegularSeason20242025!$D$2:$D$1315,BM$1,DataRegularSeason20242025!$E$2:$E$1315,$A61,DataRegularSeason20242025!$N$2:$N$1315,1)</f>
        <v>0</v>
      </c>
      <c r="BN62" s="39"/>
      <c r="BO62" s="34">
        <f t="shared" si="1"/>
        <v>4</v>
      </c>
      <c r="BP62" s="165"/>
      <c r="BQ62" s="166"/>
      <c r="BR62" s="173"/>
    </row>
    <row r="63" spans="1:70" ht="9.9499999999999993" customHeight="1" x14ac:dyDescent="0.25">
      <c r="A63" s="172" t="s">
        <v>40</v>
      </c>
      <c r="B63" s="28" t="s">
        <v>74</v>
      </c>
      <c r="C63" s="35"/>
      <c r="D63" s="28">
        <f>COUNTIFS(DataRegularSeason20242025!$E$2:$E$1315,C$1,DataRegularSeason20242025!$D$2:$D$1315,$A63,DataRegularSeason20242025!$N$2:$N$1315,1)</f>
        <v>0</v>
      </c>
      <c r="E63" s="35"/>
      <c r="F63" s="28">
        <f>COUNTIFS(DataRegularSeason20242025!$E$2:$E$1315,E$1,DataRegularSeason20242025!$D$2:$D$1315,$A63,DataRegularSeason20242025!$N$2:$N$1315,1)</f>
        <v>0</v>
      </c>
      <c r="G63" s="35"/>
      <c r="H63" s="28">
        <f>COUNTIFS(DataRegularSeason20242025!$E$2:$E$1315,G$1,DataRegularSeason20242025!$D$2:$D$1315,$A63,DataRegularSeason20242025!$N$2:$N$1315,1)</f>
        <v>0</v>
      </c>
      <c r="I63" s="35"/>
      <c r="J63" s="28">
        <f>COUNTIFS(DataRegularSeason20242025!$E$2:$E$1315,I$1,DataRegularSeason20242025!$D$2:$D$1315,$A63,DataRegularSeason20242025!$N$2:$N$1315,1)</f>
        <v>0</v>
      </c>
      <c r="K63" s="35"/>
      <c r="L63" s="28">
        <f>COUNTIFS(DataRegularSeason20242025!$E$2:$E$1315,K$1,DataRegularSeason20242025!$D$2:$D$1315,$A63,DataRegularSeason20242025!$N$2:$N$1315,1)</f>
        <v>0</v>
      </c>
      <c r="M63" s="35"/>
      <c r="N63" s="28">
        <f>COUNTIFS(DataRegularSeason20242025!$E$2:$E$1315,M$1,DataRegularSeason20242025!$D$2:$D$1315,$A63,DataRegularSeason20242025!$N$2:$N$1315,1)</f>
        <v>0</v>
      </c>
      <c r="O63" s="35"/>
      <c r="P63" s="28">
        <f>COUNTIFS(DataRegularSeason20242025!$E$2:$E$1315,O$1,DataRegularSeason20242025!$D$2:$D$1315,$A63,DataRegularSeason20242025!$N$2:$N$1315,1)</f>
        <v>0</v>
      </c>
      <c r="Q63" s="35"/>
      <c r="R63" s="46">
        <f>COUNTIFS(DataRegularSeason20242025!$E$2:$E$1315,Q$1,DataRegularSeason20242025!$D$2:$D$1315,$A63,DataRegularSeason20242025!$N$2:$N$1315,1)</f>
        <v>0</v>
      </c>
      <c r="S63" s="35"/>
      <c r="T63" s="28">
        <f>COUNTIFS(DataRegularSeason20242025!$E$2:$E$1315,S$1,DataRegularSeason20242025!$D$2:$D$1315,$A63,DataRegularSeason20242025!$N$2:$N$1315,1)</f>
        <v>0</v>
      </c>
      <c r="U63" s="35"/>
      <c r="V63" s="28">
        <f>COUNTIFS(DataRegularSeason20242025!$E$2:$E$1315,U$1,DataRegularSeason20242025!$D$2:$D$1315,$A63,DataRegularSeason20242025!$N$2:$N$1315,1)</f>
        <v>0</v>
      </c>
      <c r="W63" s="35"/>
      <c r="X63" s="28">
        <f>COUNTIFS(DataRegularSeason20242025!$E$2:$E$1315,W$1,DataRegularSeason20242025!$D$2:$D$1315,$A63,DataRegularSeason20242025!$N$2:$N$1315,1)</f>
        <v>0</v>
      </c>
      <c r="Y63" s="35"/>
      <c r="Z63" s="28">
        <f>COUNTIFS(DataRegularSeason20242025!$E$2:$E$1315,Y$1,DataRegularSeason20242025!$D$2:$D$1315,$A63,DataRegularSeason20242025!$N$2:$N$1315,1)</f>
        <v>0</v>
      </c>
      <c r="AA63" s="35"/>
      <c r="AB63" s="28">
        <f>COUNTIFS(DataRegularSeason20242025!$E$2:$E$1315,AA$1,DataRegularSeason20242025!$D$2:$D$1315,$A63,DataRegularSeason20242025!$N$2:$N$1315,1)</f>
        <v>0</v>
      </c>
      <c r="AC63" s="35"/>
      <c r="AD63" s="28">
        <f>COUNTIFS(DataRegularSeason20242025!$E$2:$E$1315,AC$1,DataRegularSeason20242025!$D$2:$D$1315,$A63,DataRegularSeason20242025!$N$2:$N$1315,1)</f>
        <v>0</v>
      </c>
      <c r="AE63" s="35"/>
      <c r="AF63" s="28">
        <f>COUNTIFS(DataRegularSeason20242025!$E$2:$E$1315,AE$1,DataRegularSeason20242025!$D$2:$D$1315,$A63,DataRegularSeason20242025!$N$2:$N$1315,1)</f>
        <v>0</v>
      </c>
      <c r="AG63" s="35"/>
      <c r="AH63" s="46">
        <f>COUNTIFS(DataRegularSeason20242025!$E$2:$E$1315,AG$1,DataRegularSeason20242025!$D$2:$D$1315,$A63,DataRegularSeason20242025!$N$2:$N$1315,1)</f>
        <v>0</v>
      </c>
      <c r="AI63" s="35"/>
      <c r="AJ63" s="28">
        <f>COUNTIFS(DataRegularSeason20242025!$E$2:$E$1315,AI$1,DataRegularSeason20242025!$D$2:$D$1315,$A63,DataRegularSeason20242025!$N$2:$N$1315,1)</f>
        <v>0</v>
      </c>
      <c r="AK63" s="35"/>
      <c r="AL63" s="28">
        <f>COUNTIFS(DataRegularSeason20242025!$E$2:$E$1315,AK$1,DataRegularSeason20242025!$D$2:$D$1315,$A63,DataRegularSeason20242025!$N$2:$N$1315,1)</f>
        <v>1</v>
      </c>
      <c r="AM63" s="35"/>
      <c r="AN63" s="28">
        <f>COUNTIFS(DataRegularSeason20242025!$E$2:$E$1315,AM$1,DataRegularSeason20242025!$D$2:$D$1315,$A63,DataRegularSeason20242025!$N$2:$N$1315,1)</f>
        <v>0</v>
      </c>
      <c r="AO63" s="35"/>
      <c r="AP63" s="28">
        <f>COUNTIFS(DataRegularSeason20242025!$E$2:$E$1315,AO$1,DataRegularSeason20242025!$D$2:$D$1315,$A63,DataRegularSeason20242025!$N$2:$N$1315,1)</f>
        <v>0</v>
      </c>
      <c r="AQ63" s="35"/>
      <c r="AR63" s="28">
        <f>COUNTIFS(DataRegularSeason20242025!$E$2:$E$1315,AQ$1,DataRegularSeason20242025!$D$2:$D$1315,$A63,DataRegularSeason20242025!$N$2:$N$1315,1)</f>
        <v>0</v>
      </c>
      <c r="AS63" s="35"/>
      <c r="AT63" s="28">
        <f>COUNTIFS(DataRegularSeason20242025!$E$2:$E$1315,AS$1,DataRegularSeason20242025!$D$2:$D$1315,$A63,DataRegularSeason20242025!$N$2:$N$1315,1)</f>
        <v>0</v>
      </c>
      <c r="AU63" s="35"/>
      <c r="AV63" s="28">
        <f>COUNTIFS(DataRegularSeason20242025!$E$2:$E$1315,AU$1,DataRegularSeason20242025!$D$2:$D$1315,$A63,DataRegularSeason20242025!$N$2:$N$1315,1)</f>
        <v>0</v>
      </c>
      <c r="AW63" s="35"/>
      <c r="AX63" s="46">
        <f>COUNTIFS(DataRegularSeason20242025!$E$2:$E$1315,AW$1,DataRegularSeason20242025!$D$2:$D$1315,$A63,DataRegularSeason20242025!$N$2:$N$1315,1)</f>
        <v>1</v>
      </c>
      <c r="AY63" s="35"/>
      <c r="AZ63" s="28">
        <f>COUNTIFS(DataRegularSeason20242025!$E$2:$E$1315,AY$1,DataRegularSeason20242025!$D$2:$D$1315,$A63,DataRegularSeason20242025!$N$2:$N$1315,1)</f>
        <v>1</v>
      </c>
      <c r="BA63" s="35"/>
      <c r="BB63" s="28">
        <f>COUNTIFS(DataRegularSeason20242025!$E$2:$E$1315,BA$1,DataRegularSeason20242025!$D$2:$D$1315,$A63,DataRegularSeason20242025!$N$2:$N$1315,1)</f>
        <v>0</v>
      </c>
      <c r="BC63" s="35"/>
      <c r="BD63" s="28">
        <f>COUNTIFS(DataRegularSeason20242025!$E$2:$E$1315,BC$1,DataRegularSeason20242025!$D$2:$D$1315,$A63,DataRegularSeason20242025!$N$2:$N$1315,1)</f>
        <v>1</v>
      </c>
      <c r="BE63" s="35"/>
      <c r="BF63" s="28">
        <f>COUNTIFS(DataRegularSeason20242025!$E$2:$E$1315,BE$1,DataRegularSeason20242025!$D$2:$D$1315,$A63,DataRegularSeason20242025!$N$2:$N$1315,1)</f>
        <v>0</v>
      </c>
      <c r="BG63" s="35"/>
      <c r="BH63" s="28">
        <f>COUNTIFS(DataRegularSeason20242025!$E$2:$E$1315,BG$1,DataRegularSeason20242025!$D$2:$D$1315,$A63,DataRegularSeason20242025!$N$2:$N$1315,1)</f>
        <v>0</v>
      </c>
      <c r="BI63" s="35"/>
      <c r="BJ63" s="28">
        <f>COUNTIFS(DataRegularSeason20242025!$E$2:$E$1315,BI$1,DataRegularSeason20242025!$D$2:$D$1315,$A63,DataRegularSeason20242025!$N$2:$N$1315,1)</f>
        <v>0</v>
      </c>
      <c r="BK63" s="35"/>
      <c r="BL63" s="36"/>
      <c r="BM63" s="35"/>
      <c r="BN63" s="28">
        <f>COUNTIFS(DataRegularSeason20242025!$E$2:$E$1315,BM$1,DataRegularSeason20242025!$D$2:$D$1315,$A63,DataRegularSeason20242025!$N$2:$N$1315,1)</f>
        <v>0</v>
      </c>
      <c r="BO63" s="30">
        <f t="shared" si="1"/>
        <v>4</v>
      </c>
      <c r="BP63" s="165">
        <f t="shared" ref="BP63" si="89">BO63+BO64</f>
        <v>6</v>
      </c>
      <c r="BQ63" s="166">
        <f t="shared" ref="BQ63" si="90">82-BP63</f>
        <v>76</v>
      </c>
      <c r="BR63" s="173">
        <f t="shared" ref="BR63" si="91">BP63/(BP63+BQ63)</f>
        <v>7.3170731707317069E-2</v>
      </c>
    </row>
    <row r="64" spans="1:70" ht="9.9499999999999993" customHeight="1" x14ac:dyDescent="0.25">
      <c r="A64" s="167"/>
      <c r="B64" s="32" t="s">
        <v>73</v>
      </c>
      <c r="C64" s="38">
        <f>COUNTIFS(DataRegularSeason20242025!$D$2:$D$1315,C$1,DataRegularSeason20242025!$E$2:$E$1315,$A63,DataRegularSeason20242025!$N$2:$N$1315,1)</f>
        <v>0</v>
      </c>
      <c r="D64" s="39"/>
      <c r="E64" s="38">
        <f>COUNTIFS(DataRegularSeason20242025!$D$2:$D$1315,E$1,DataRegularSeason20242025!$E$2:$E$1315,$A63,DataRegularSeason20242025!$N$2:$N$1315,1)</f>
        <v>0</v>
      </c>
      <c r="F64" s="39"/>
      <c r="G64" s="38">
        <f>COUNTIFS(DataRegularSeason20242025!$D$2:$D$1315,G$1,DataRegularSeason20242025!$E$2:$E$1315,$A63,DataRegularSeason20242025!$N$2:$N$1315,1)</f>
        <v>0</v>
      </c>
      <c r="H64" s="39"/>
      <c r="I64" s="38">
        <f>COUNTIFS(DataRegularSeason20242025!$D$2:$D$1315,I$1,DataRegularSeason20242025!$E$2:$E$1315,$A63,DataRegularSeason20242025!$N$2:$N$1315,1)</f>
        <v>0</v>
      </c>
      <c r="J64" s="39"/>
      <c r="K64" s="38">
        <f>COUNTIFS(DataRegularSeason20242025!$D$2:$D$1315,K$1,DataRegularSeason20242025!$E$2:$E$1315,$A63,DataRegularSeason20242025!$N$2:$N$1315,1)</f>
        <v>0</v>
      </c>
      <c r="L64" s="39"/>
      <c r="M64" s="38">
        <f>COUNTIFS(DataRegularSeason20242025!$D$2:$D$1315,M$1,DataRegularSeason20242025!$E$2:$E$1315,$A63,DataRegularSeason20242025!$N$2:$N$1315,1)</f>
        <v>0</v>
      </c>
      <c r="N64" s="39"/>
      <c r="O64" s="38">
        <f>COUNTIFS(DataRegularSeason20242025!$D$2:$D$1315,O$1,DataRegularSeason20242025!$E$2:$E$1315,$A63,DataRegularSeason20242025!$N$2:$N$1315,1)</f>
        <v>0</v>
      </c>
      <c r="P64" s="39"/>
      <c r="Q64" s="38">
        <f>COUNTIFS(DataRegularSeason20242025!$D$2:$D$1315,Q$1,DataRegularSeason20242025!$E$2:$E$1315,$A63,DataRegularSeason20242025!$N$2:$N$1315,1)</f>
        <v>0</v>
      </c>
      <c r="R64" s="47"/>
      <c r="S64" s="38">
        <f>COUNTIFS(DataRegularSeason20242025!$D$2:$D$1315,S$1,DataRegularSeason20242025!$E$2:$E$1315,$A63,DataRegularSeason20242025!$N$2:$N$1315,1)</f>
        <v>0</v>
      </c>
      <c r="T64" s="39"/>
      <c r="U64" s="38">
        <f>COUNTIFS(DataRegularSeason20242025!$D$2:$D$1315,U$1,DataRegularSeason20242025!$E$2:$E$1315,$A63,DataRegularSeason20242025!$N$2:$N$1315,1)</f>
        <v>0</v>
      </c>
      <c r="V64" s="39"/>
      <c r="W64" s="38">
        <f>COUNTIFS(DataRegularSeason20242025!$D$2:$D$1315,W$1,DataRegularSeason20242025!$E$2:$E$1315,$A63,DataRegularSeason20242025!$N$2:$N$1315,1)</f>
        <v>0</v>
      </c>
      <c r="X64" s="39"/>
      <c r="Y64" s="38">
        <f>COUNTIFS(DataRegularSeason20242025!$D$2:$D$1315,Y$1,DataRegularSeason20242025!$E$2:$E$1315,$A63,DataRegularSeason20242025!$N$2:$N$1315,1)</f>
        <v>0</v>
      </c>
      <c r="Z64" s="39"/>
      <c r="AA64" s="38">
        <f>COUNTIFS(DataRegularSeason20242025!$D$2:$D$1315,AA$1,DataRegularSeason20242025!$E$2:$E$1315,$A63,DataRegularSeason20242025!$N$2:$N$1315,1)</f>
        <v>0</v>
      </c>
      <c r="AB64" s="39"/>
      <c r="AC64" s="38">
        <f>COUNTIFS(DataRegularSeason20242025!$D$2:$D$1315,AC$1,DataRegularSeason20242025!$E$2:$E$1315,$A63,DataRegularSeason20242025!$N$2:$N$1315,1)</f>
        <v>0</v>
      </c>
      <c r="AD64" s="39"/>
      <c r="AE64" s="38">
        <f>COUNTIFS(DataRegularSeason20242025!$D$2:$D$1315,AE$1,DataRegularSeason20242025!$E$2:$E$1315,$A63,DataRegularSeason20242025!$N$2:$N$1315,1)</f>
        <v>0</v>
      </c>
      <c r="AF64" s="39"/>
      <c r="AG64" s="38">
        <f>COUNTIFS(DataRegularSeason20242025!$D$2:$D$1315,AG$1,DataRegularSeason20242025!$E$2:$E$1315,$A63,DataRegularSeason20242025!$N$2:$N$1315,1)</f>
        <v>0</v>
      </c>
      <c r="AH64" s="47"/>
      <c r="AI64" s="38">
        <f>COUNTIFS(DataRegularSeason20242025!$D$2:$D$1315,AI$1,DataRegularSeason20242025!$E$2:$E$1315,$A63,DataRegularSeason20242025!$N$2:$N$1315,1)</f>
        <v>0</v>
      </c>
      <c r="AJ64" s="39"/>
      <c r="AK64" s="38">
        <f>COUNTIFS(DataRegularSeason20242025!$D$2:$D$1315,AK$1,DataRegularSeason20242025!$E$2:$E$1315,$A63,DataRegularSeason20242025!$N$2:$N$1315,1)</f>
        <v>0</v>
      </c>
      <c r="AL64" s="39"/>
      <c r="AM64" s="38">
        <f>COUNTIFS(DataRegularSeason20242025!$D$2:$D$1315,AM$1,DataRegularSeason20242025!$E$2:$E$1315,$A63,DataRegularSeason20242025!$N$2:$N$1315,1)</f>
        <v>1</v>
      </c>
      <c r="AN64" s="39"/>
      <c r="AO64" s="38">
        <f>COUNTIFS(DataRegularSeason20242025!$D$2:$D$1315,AO$1,DataRegularSeason20242025!$E$2:$E$1315,$A63,DataRegularSeason20242025!$N$2:$N$1315,1)</f>
        <v>0</v>
      </c>
      <c r="AP64" s="39"/>
      <c r="AQ64" s="38">
        <f>COUNTIFS(DataRegularSeason20242025!$D$2:$D$1315,AQ$1,DataRegularSeason20242025!$E$2:$E$1315,$A63,DataRegularSeason20242025!$N$2:$N$1315,1)</f>
        <v>0</v>
      </c>
      <c r="AR64" s="39"/>
      <c r="AS64" s="38">
        <f>COUNTIFS(DataRegularSeason20242025!$D$2:$D$1315,AS$1,DataRegularSeason20242025!$E$2:$E$1315,$A63,DataRegularSeason20242025!$N$2:$N$1315,1)</f>
        <v>0</v>
      </c>
      <c r="AT64" s="39"/>
      <c r="AU64" s="38">
        <f>COUNTIFS(DataRegularSeason20242025!$D$2:$D$1315,AU$1,DataRegularSeason20242025!$E$2:$E$1315,$A63,DataRegularSeason20242025!$N$2:$N$1315,1)</f>
        <v>0</v>
      </c>
      <c r="AV64" s="39"/>
      <c r="AW64" s="38">
        <f>COUNTIFS(DataRegularSeason20242025!$D$2:$D$1315,AW$1,DataRegularSeason20242025!$E$2:$E$1315,$A63,DataRegularSeason20242025!$N$2:$N$1315,1)</f>
        <v>0</v>
      </c>
      <c r="AX64" s="47"/>
      <c r="AY64" s="38">
        <f>COUNTIFS(DataRegularSeason20242025!$D$2:$D$1315,AY$1,DataRegularSeason20242025!$E$2:$E$1315,$A63,DataRegularSeason20242025!$N$2:$N$1315,1)</f>
        <v>0</v>
      </c>
      <c r="AZ64" s="39"/>
      <c r="BA64" s="38">
        <f>COUNTIFS(DataRegularSeason20242025!$D$2:$D$1315,BA$1,DataRegularSeason20242025!$E$2:$E$1315,$A63,DataRegularSeason20242025!$N$2:$N$1315,1)</f>
        <v>0</v>
      </c>
      <c r="BB64" s="39"/>
      <c r="BC64" s="38">
        <f>COUNTIFS(DataRegularSeason20242025!$D$2:$D$1315,BC$1,DataRegularSeason20242025!$E$2:$E$1315,$A63,DataRegularSeason20242025!$N$2:$N$1315,1)</f>
        <v>0</v>
      </c>
      <c r="BD64" s="39"/>
      <c r="BE64" s="38">
        <f>COUNTIFS(DataRegularSeason20242025!$D$2:$D$1315,BE$1,DataRegularSeason20242025!$E$2:$E$1315,$A63,DataRegularSeason20242025!$N$2:$N$1315,1)</f>
        <v>0</v>
      </c>
      <c r="BF64" s="39"/>
      <c r="BG64" s="38">
        <f>COUNTIFS(DataRegularSeason20242025!$D$2:$D$1315,BG$1,DataRegularSeason20242025!$E$2:$E$1315,$A63,DataRegularSeason20242025!$N$2:$N$1315,1)</f>
        <v>0</v>
      </c>
      <c r="BH64" s="39"/>
      <c r="BI64" s="38">
        <f>COUNTIFS(DataRegularSeason20242025!$D$2:$D$1315,BI$1,DataRegularSeason20242025!$E$2:$E$1315,$A63,DataRegularSeason20242025!$N$2:$N$1315,1)</f>
        <v>1</v>
      </c>
      <c r="BJ64" s="39"/>
      <c r="BK64" s="38"/>
      <c r="BL64" s="39"/>
      <c r="BM64" s="38">
        <f>COUNTIFS(DataRegularSeason20242025!$D$2:$D$1315,BM$1,DataRegularSeason20242025!$E$2:$E$1315,$A63,DataRegularSeason20242025!$N$2:$N$1315,1)</f>
        <v>0</v>
      </c>
      <c r="BN64" s="39"/>
      <c r="BO64" s="34">
        <f t="shared" si="1"/>
        <v>2</v>
      </c>
      <c r="BP64" s="165"/>
      <c r="BQ64" s="166"/>
      <c r="BR64" s="173"/>
    </row>
    <row r="65" spans="1:70" ht="9.9499999999999993" customHeight="1" x14ac:dyDescent="0.25">
      <c r="A65" s="172" t="s">
        <v>17</v>
      </c>
      <c r="B65" s="28" t="s">
        <v>74</v>
      </c>
      <c r="C65" s="35"/>
      <c r="D65" s="28">
        <f>COUNTIFS(DataRegularSeason20242025!$E$2:$E$1315,C$1,DataRegularSeason20242025!$D$2:$D$1315,$A65,DataRegularSeason20242025!$N$2:$N$1315,1)</f>
        <v>0</v>
      </c>
      <c r="E65" s="35"/>
      <c r="F65" s="28">
        <f>COUNTIFS(DataRegularSeason20242025!$E$2:$E$1315,E$1,DataRegularSeason20242025!$D$2:$D$1315,$A65,DataRegularSeason20242025!$N$2:$N$1315,1)</f>
        <v>0</v>
      </c>
      <c r="G65" s="35"/>
      <c r="H65" s="28">
        <f>COUNTIFS(DataRegularSeason20242025!$E$2:$E$1315,G$1,DataRegularSeason20242025!$D$2:$D$1315,$A65,DataRegularSeason20242025!$N$2:$N$1315,1)</f>
        <v>0</v>
      </c>
      <c r="I65" s="35"/>
      <c r="J65" s="28">
        <f>COUNTIFS(DataRegularSeason20242025!$E$2:$E$1315,I$1,DataRegularSeason20242025!$D$2:$D$1315,$A65,DataRegularSeason20242025!$N$2:$N$1315,1)</f>
        <v>0</v>
      </c>
      <c r="K65" s="35"/>
      <c r="L65" s="28">
        <f>COUNTIFS(DataRegularSeason20242025!$E$2:$E$1315,K$1,DataRegularSeason20242025!$D$2:$D$1315,$A65,DataRegularSeason20242025!$N$2:$N$1315,1)</f>
        <v>0</v>
      </c>
      <c r="M65" s="35"/>
      <c r="N65" s="28">
        <f>COUNTIFS(DataRegularSeason20242025!$E$2:$E$1315,M$1,DataRegularSeason20242025!$D$2:$D$1315,$A65,DataRegularSeason20242025!$N$2:$N$1315,1)</f>
        <v>0</v>
      </c>
      <c r="O65" s="35"/>
      <c r="P65" s="28">
        <f>COUNTIFS(DataRegularSeason20242025!$E$2:$E$1315,O$1,DataRegularSeason20242025!$D$2:$D$1315,$A65,DataRegularSeason20242025!$N$2:$N$1315,1)</f>
        <v>0</v>
      </c>
      <c r="Q65" s="35"/>
      <c r="R65" s="46">
        <f>COUNTIFS(DataRegularSeason20242025!$E$2:$E$1315,Q$1,DataRegularSeason20242025!$D$2:$D$1315,$A65,DataRegularSeason20242025!$N$2:$N$1315,1)</f>
        <v>0</v>
      </c>
      <c r="S65" s="35"/>
      <c r="T65" s="28">
        <f>COUNTIFS(DataRegularSeason20242025!$E$2:$E$1315,S$1,DataRegularSeason20242025!$D$2:$D$1315,$A65,DataRegularSeason20242025!$N$2:$N$1315,1)</f>
        <v>0</v>
      </c>
      <c r="U65" s="35"/>
      <c r="V65" s="28">
        <f>COUNTIFS(DataRegularSeason20242025!$E$2:$E$1315,U$1,DataRegularSeason20242025!$D$2:$D$1315,$A65,DataRegularSeason20242025!$N$2:$N$1315,1)</f>
        <v>0</v>
      </c>
      <c r="W65" s="35"/>
      <c r="X65" s="28">
        <f>COUNTIFS(DataRegularSeason20242025!$E$2:$E$1315,W$1,DataRegularSeason20242025!$D$2:$D$1315,$A65,DataRegularSeason20242025!$N$2:$N$1315,1)</f>
        <v>0</v>
      </c>
      <c r="Y65" s="35"/>
      <c r="Z65" s="28">
        <f>COUNTIFS(DataRegularSeason20242025!$E$2:$E$1315,Y$1,DataRegularSeason20242025!$D$2:$D$1315,$A65,DataRegularSeason20242025!$N$2:$N$1315,1)</f>
        <v>0</v>
      </c>
      <c r="AA65" s="35"/>
      <c r="AB65" s="28">
        <f>COUNTIFS(DataRegularSeason20242025!$E$2:$E$1315,AA$1,DataRegularSeason20242025!$D$2:$D$1315,$A65,DataRegularSeason20242025!$N$2:$N$1315,1)</f>
        <v>0</v>
      </c>
      <c r="AC65" s="35"/>
      <c r="AD65" s="28">
        <f>COUNTIFS(DataRegularSeason20242025!$E$2:$E$1315,AC$1,DataRegularSeason20242025!$D$2:$D$1315,$A65,DataRegularSeason20242025!$N$2:$N$1315,1)</f>
        <v>0</v>
      </c>
      <c r="AE65" s="35"/>
      <c r="AF65" s="28">
        <f>COUNTIFS(DataRegularSeason20242025!$E$2:$E$1315,AE$1,DataRegularSeason20242025!$D$2:$D$1315,$A65,DataRegularSeason20242025!$N$2:$N$1315,1)</f>
        <v>0</v>
      </c>
      <c r="AG65" s="35"/>
      <c r="AH65" s="46">
        <f>COUNTIFS(DataRegularSeason20242025!$E$2:$E$1315,AG$1,DataRegularSeason20242025!$D$2:$D$1315,$A65,DataRegularSeason20242025!$N$2:$N$1315,1)</f>
        <v>0</v>
      </c>
      <c r="AI65" s="35"/>
      <c r="AJ65" s="28">
        <f>COUNTIFS(DataRegularSeason20242025!$E$2:$E$1315,AI$1,DataRegularSeason20242025!$D$2:$D$1315,$A65,DataRegularSeason20242025!$N$2:$N$1315,1)</f>
        <v>0</v>
      </c>
      <c r="AK65" s="35"/>
      <c r="AL65" s="28">
        <f>COUNTIFS(DataRegularSeason20242025!$E$2:$E$1315,AK$1,DataRegularSeason20242025!$D$2:$D$1315,$A65,DataRegularSeason20242025!$N$2:$N$1315,1)</f>
        <v>0</v>
      </c>
      <c r="AM65" s="35"/>
      <c r="AN65" s="28">
        <f>COUNTIFS(DataRegularSeason20242025!$E$2:$E$1315,AM$1,DataRegularSeason20242025!$D$2:$D$1315,$A65,DataRegularSeason20242025!$N$2:$N$1315,1)</f>
        <v>0</v>
      </c>
      <c r="AO65" s="35"/>
      <c r="AP65" s="28">
        <f>COUNTIFS(DataRegularSeason20242025!$E$2:$E$1315,AO$1,DataRegularSeason20242025!$D$2:$D$1315,$A65,DataRegularSeason20242025!$N$2:$N$1315,1)</f>
        <v>0</v>
      </c>
      <c r="AQ65" s="35"/>
      <c r="AR65" s="28">
        <f>COUNTIFS(DataRegularSeason20242025!$E$2:$E$1315,AQ$1,DataRegularSeason20242025!$D$2:$D$1315,$A65,DataRegularSeason20242025!$N$2:$N$1315,1)</f>
        <v>0</v>
      </c>
      <c r="AS65" s="35"/>
      <c r="AT65" s="28">
        <f>COUNTIFS(DataRegularSeason20242025!$E$2:$E$1315,AS$1,DataRegularSeason20242025!$D$2:$D$1315,$A65,DataRegularSeason20242025!$N$2:$N$1315,1)</f>
        <v>0</v>
      </c>
      <c r="AU65" s="35"/>
      <c r="AV65" s="28">
        <f>COUNTIFS(DataRegularSeason20242025!$E$2:$E$1315,AU$1,DataRegularSeason20242025!$D$2:$D$1315,$A65,DataRegularSeason20242025!$N$2:$N$1315,1)</f>
        <v>0</v>
      </c>
      <c r="AW65" s="35"/>
      <c r="AX65" s="46">
        <f>COUNTIFS(DataRegularSeason20242025!$E$2:$E$1315,AW$1,DataRegularSeason20242025!$D$2:$D$1315,$A65,DataRegularSeason20242025!$N$2:$N$1315,1)</f>
        <v>0</v>
      </c>
      <c r="AY65" s="35"/>
      <c r="AZ65" s="28">
        <f>COUNTIFS(DataRegularSeason20242025!$E$2:$E$1315,AY$1,DataRegularSeason20242025!$D$2:$D$1315,$A65,DataRegularSeason20242025!$N$2:$N$1315,1)</f>
        <v>0</v>
      </c>
      <c r="BA65" s="35"/>
      <c r="BB65" s="28">
        <f>COUNTIFS(DataRegularSeason20242025!$E$2:$E$1315,BA$1,DataRegularSeason20242025!$D$2:$D$1315,$A65,DataRegularSeason20242025!$N$2:$N$1315,1)</f>
        <v>0</v>
      </c>
      <c r="BC65" s="35"/>
      <c r="BD65" s="28">
        <f>COUNTIFS(DataRegularSeason20242025!$E$2:$E$1315,BC$1,DataRegularSeason20242025!$D$2:$D$1315,$A65,DataRegularSeason20242025!$N$2:$N$1315,1)</f>
        <v>1</v>
      </c>
      <c r="BE65" s="35"/>
      <c r="BF65" s="28">
        <f>COUNTIFS(DataRegularSeason20242025!$E$2:$E$1315,BE$1,DataRegularSeason20242025!$D$2:$D$1315,$A65,DataRegularSeason20242025!$N$2:$N$1315,1)</f>
        <v>0</v>
      </c>
      <c r="BG65" s="35"/>
      <c r="BH65" s="28">
        <f>COUNTIFS(DataRegularSeason20242025!$E$2:$E$1315,BG$1,DataRegularSeason20242025!$D$2:$D$1315,$A65,DataRegularSeason20242025!$N$2:$N$1315,1)</f>
        <v>0</v>
      </c>
      <c r="BI65" s="35"/>
      <c r="BJ65" s="28">
        <f>COUNTIFS(DataRegularSeason20242025!$E$2:$E$1315,BI$1,DataRegularSeason20242025!$D$2:$D$1315,$A65,DataRegularSeason20242025!$N$2:$N$1315,1)</f>
        <v>0</v>
      </c>
      <c r="BK65" s="35"/>
      <c r="BL65" s="28">
        <f>COUNTIFS(DataRegularSeason20242025!$E$2:$E$1315,BK$1,DataRegularSeason20242025!$D$2:$D$1315,$A65,DataRegularSeason20242025!$N$2:$N$1315,1)</f>
        <v>0</v>
      </c>
      <c r="BM65" s="35"/>
      <c r="BN65" s="36"/>
      <c r="BO65" s="30">
        <f t="shared" si="1"/>
        <v>1</v>
      </c>
      <c r="BP65" s="165">
        <f t="shared" ref="BP65" si="92">BO65+BO66</f>
        <v>7</v>
      </c>
      <c r="BQ65" s="166">
        <f t="shared" ref="BQ65" si="93">82-BP65</f>
        <v>75</v>
      </c>
      <c r="BR65" s="173">
        <f>BP65/(BP65+BQ65)</f>
        <v>8.5365853658536592E-2</v>
      </c>
    </row>
    <row r="66" spans="1:70" ht="9.9499999999999993" customHeight="1" x14ac:dyDescent="0.25">
      <c r="A66" s="167"/>
      <c r="B66" s="32" t="s">
        <v>73</v>
      </c>
      <c r="C66" s="38">
        <f>COUNTIFS(DataRegularSeason20242025!$D$2:$D$1315,C$1,DataRegularSeason20242025!$E$2:$E$1315,$A65,DataRegularSeason20242025!$N$2:$N$1315,1)</f>
        <v>0</v>
      </c>
      <c r="D66" s="39"/>
      <c r="E66" s="38">
        <f>COUNTIFS(DataRegularSeason20242025!$D$2:$D$1315,E$1,DataRegularSeason20242025!$E$2:$E$1315,$A65,DataRegularSeason20242025!$N$2:$N$1315,1)</f>
        <v>0</v>
      </c>
      <c r="F66" s="39"/>
      <c r="G66" s="38">
        <f>COUNTIFS(DataRegularSeason20242025!$D$2:$D$1315,G$1,DataRegularSeason20242025!$E$2:$E$1315,$A65,DataRegularSeason20242025!$N$2:$N$1315,1)</f>
        <v>0</v>
      </c>
      <c r="H66" s="39"/>
      <c r="I66" s="38">
        <f>COUNTIFS(DataRegularSeason20242025!$D$2:$D$1315,I$1,DataRegularSeason20242025!$E$2:$E$1315,$A65,DataRegularSeason20242025!$N$2:$N$1315,1)</f>
        <v>0</v>
      </c>
      <c r="J66" s="39"/>
      <c r="K66" s="38">
        <f>COUNTIFS(DataRegularSeason20242025!$D$2:$D$1315,K$1,DataRegularSeason20242025!$E$2:$E$1315,$A65,DataRegularSeason20242025!$N$2:$N$1315,1)</f>
        <v>1</v>
      </c>
      <c r="L66" s="39"/>
      <c r="M66" s="38">
        <f>COUNTIFS(DataRegularSeason20242025!$D$2:$D$1315,M$1,DataRegularSeason20242025!$E$2:$E$1315,$A65,DataRegularSeason20242025!$N$2:$N$1315,1)</f>
        <v>0</v>
      </c>
      <c r="N66" s="39"/>
      <c r="O66" s="38">
        <f>COUNTIFS(DataRegularSeason20242025!$D$2:$D$1315,O$1,DataRegularSeason20242025!$E$2:$E$1315,$A65,DataRegularSeason20242025!$N$2:$N$1315,1)</f>
        <v>0</v>
      </c>
      <c r="P66" s="39"/>
      <c r="Q66" s="38">
        <f>COUNTIFS(DataRegularSeason20242025!$D$2:$D$1315,Q$1,DataRegularSeason20242025!$E$2:$E$1315,$A65,DataRegularSeason20242025!$N$2:$N$1315,1)</f>
        <v>0</v>
      </c>
      <c r="R66" s="47"/>
      <c r="S66" s="38">
        <f>COUNTIFS(DataRegularSeason20242025!$D$2:$D$1315,S$1,DataRegularSeason20242025!$E$2:$E$1315,$A65,DataRegularSeason20242025!$N$2:$N$1315,1)</f>
        <v>0</v>
      </c>
      <c r="T66" s="39"/>
      <c r="U66" s="38">
        <f>COUNTIFS(DataRegularSeason20242025!$D$2:$D$1315,U$1,DataRegularSeason20242025!$E$2:$E$1315,$A65,DataRegularSeason20242025!$N$2:$N$1315,1)</f>
        <v>0</v>
      </c>
      <c r="V66" s="39"/>
      <c r="W66" s="38">
        <f>COUNTIFS(DataRegularSeason20242025!$D$2:$D$1315,W$1,DataRegularSeason20242025!$E$2:$E$1315,$A65,DataRegularSeason20242025!$N$2:$N$1315,1)</f>
        <v>0</v>
      </c>
      <c r="X66" s="39"/>
      <c r="Y66" s="38">
        <f>COUNTIFS(DataRegularSeason20242025!$D$2:$D$1315,Y$1,DataRegularSeason20242025!$E$2:$E$1315,$A65,DataRegularSeason20242025!$N$2:$N$1315,1)</f>
        <v>0</v>
      </c>
      <c r="Z66" s="39"/>
      <c r="AA66" s="38">
        <f>COUNTIFS(DataRegularSeason20242025!$D$2:$D$1315,AA$1,DataRegularSeason20242025!$E$2:$E$1315,$A65,DataRegularSeason20242025!$N$2:$N$1315,1)</f>
        <v>1</v>
      </c>
      <c r="AB66" s="39"/>
      <c r="AC66" s="38">
        <f>COUNTIFS(DataRegularSeason20242025!$D$2:$D$1315,AC$1,DataRegularSeason20242025!$E$2:$E$1315,$A65,DataRegularSeason20242025!$N$2:$N$1315,1)</f>
        <v>0</v>
      </c>
      <c r="AD66" s="39"/>
      <c r="AE66" s="38">
        <f>COUNTIFS(DataRegularSeason20242025!$D$2:$D$1315,AE$1,DataRegularSeason20242025!$E$2:$E$1315,$A65,DataRegularSeason20242025!$N$2:$N$1315,1)</f>
        <v>0</v>
      </c>
      <c r="AF66" s="39"/>
      <c r="AG66" s="38">
        <f>COUNTIFS(DataRegularSeason20242025!$D$2:$D$1315,AG$1,DataRegularSeason20242025!$E$2:$E$1315,$A65,DataRegularSeason20242025!$N$2:$N$1315,1)</f>
        <v>0</v>
      </c>
      <c r="AH66" s="47"/>
      <c r="AI66" s="38">
        <f>COUNTIFS(DataRegularSeason20242025!$D$2:$D$1315,AI$1,DataRegularSeason20242025!$E$2:$E$1315,$A65,DataRegularSeason20242025!$N$2:$N$1315,1)</f>
        <v>0</v>
      </c>
      <c r="AJ66" s="39"/>
      <c r="AK66" s="38">
        <f>COUNTIFS(DataRegularSeason20242025!$D$2:$D$1315,AK$1,DataRegularSeason20242025!$E$2:$E$1315,$A65,DataRegularSeason20242025!$N$2:$N$1315,1)</f>
        <v>0</v>
      </c>
      <c r="AL66" s="39"/>
      <c r="AM66" s="38">
        <f>COUNTIFS(DataRegularSeason20242025!$D$2:$D$1315,AM$1,DataRegularSeason20242025!$E$2:$E$1315,$A65,DataRegularSeason20242025!$N$2:$N$1315,1)</f>
        <v>1</v>
      </c>
      <c r="AN66" s="39"/>
      <c r="AO66" s="38">
        <f>COUNTIFS(DataRegularSeason20242025!$D$2:$D$1315,AO$1,DataRegularSeason20242025!$E$2:$E$1315,$A65,DataRegularSeason20242025!$N$2:$N$1315,1)</f>
        <v>0</v>
      </c>
      <c r="AP66" s="39"/>
      <c r="AQ66" s="38">
        <f>COUNTIFS(DataRegularSeason20242025!$D$2:$D$1315,AQ$1,DataRegularSeason20242025!$E$2:$E$1315,$A65,DataRegularSeason20242025!$N$2:$N$1315,1)</f>
        <v>1</v>
      </c>
      <c r="AR66" s="39"/>
      <c r="AS66" s="38">
        <f>COUNTIFS(DataRegularSeason20242025!$D$2:$D$1315,AS$1,DataRegularSeason20242025!$E$2:$E$1315,$A65,DataRegularSeason20242025!$N$2:$N$1315,1)</f>
        <v>0</v>
      </c>
      <c r="AT66" s="39"/>
      <c r="AU66" s="38">
        <f>COUNTIFS(DataRegularSeason20242025!$D$2:$D$1315,AU$1,DataRegularSeason20242025!$E$2:$E$1315,$A65,DataRegularSeason20242025!$N$2:$N$1315,1)</f>
        <v>0</v>
      </c>
      <c r="AV66" s="39"/>
      <c r="AW66" s="38">
        <f>COUNTIFS(DataRegularSeason20242025!$D$2:$D$1315,AW$1,DataRegularSeason20242025!$E$2:$E$1315,$A65,DataRegularSeason20242025!$N$2:$N$1315,1)</f>
        <v>0</v>
      </c>
      <c r="AX66" s="47"/>
      <c r="AY66" s="38">
        <f>COUNTIFS(DataRegularSeason20242025!$D$2:$D$1315,AY$1,DataRegularSeason20242025!$E$2:$E$1315,$A65,DataRegularSeason20242025!$N$2:$N$1315,1)</f>
        <v>0</v>
      </c>
      <c r="AZ66" s="39"/>
      <c r="BA66" s="38">
        <f>COUNTIFS(DataRegularSeason20242025!$D$2:$D$1315,BA$1,DataRegularSeason20242025!$E$2:$E$1315,$A65,DataRegularSeason20242025!$N$2:$N$1315,1)</f>
        <v>0</v>
      </c>
      <c r="BB66" s="39"/>
      <c r="BC66" s="38">
        <f>COUNTIFS(DataRegularSeason20242025!$D$2:$D$1315,BC$1,DataRegularSeason20242025!$E$2:$E$1315,$A65,DataRegularSeason20242025!$N$2:$N$1315,1)</f>
        <v>1</v>
      </c>
      <c r="BD66" s="39"/>
      <c r="BE66" s="38">
        <f>COUNTIFS(DataRegularSeason20242025!$D$2:$D$1315,BE$1,DataRegularSeason20242025!$E$2:$E$1315,$A65,DataRegularSeason20242025!$N$2:$N$1315,1)</f>
        <v>0</v>
      </c>
      <c r="BF66" s="39"/>
      <c r="BG66" s="38">
        <f>COUNTIFS(DataRegularSeason20242025!$D$2:$D$1315,BG$1,DataRegularSeason20242025!$E$2:$E$1315,$A65,DataRegularSeason20242025!$N$2:$N$1315,1)</f>
        <v>1</v>
      </c>
      <c r="BH66" s="39"/>
      <c r="BI66" s="38">
        <f>COUNTIFS(DataRegularSeason20242025!$D$2:$D$1315,BI$1,DataRegularSeason20242025!$E$2:$E$1315,$A65,DataRegularSeason20242025!$N$2:$N$1315,1)</f>
        <v>0</v>
      </c>
      <c r="BJ66" s="39"/>
      <c r="BK66" s="38">
        <f>COUNTIFS(DataRegularSeason20242025!$D$2:$D$1315,BK$1,DataRegularSeason20242025!$E$2:$E$1315,$A65,DataRegularSeason20242025!$N$2:$N$1315,1)</f>
        <v>0</v>
      </c>
      <c r="BL66" s="39"/>
      <c r="BM66" s="38"/>
      <c r="BN66" s="39"/>
      <c r="BO66" s="34">
        <f t="shared" si="1"/>
        <v>6</v>
      </c>
      <c r="BP66" s="165"/>
      <c r="BQ66" s="166"/>
      <c r="BR66" s="173"/>
    </row>
    <row r="67" spans="1:70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>
        <f>SUM(BP3:BP66)/2</f>
        <v>107</v>
      </c>
      <c r="BQ67" s="27">
        <f>SUM(BQ3:BQ66)/2</f>
        <v>1205</v>
      </c>
    </row>
    <row r="68" spans="1:70" x14ac:dyDescent="0.25">
      <c r="BP68" s="43">
        <f>2*BP67/SUM(BP3:BQ66)</f>
        <v>8.1554878048780491E-2</v>
      </c>
      <c r="BQ68" s="43">
        <f>2*BQ67/SUM(BP3:BQ66)</f>
        <v>0.91844512195121952</v>
      </c>
    </row>
  </sheetData>
  <mergeCells count="160">
    <mergeCell ref="C1:D1"/>
    <mergeCell ref="E1:F1"/>
    <mergeCell ref="G1:H1"/>
    <mergeCell ref="I1:J1"/>
    <mergeCell ref="K1:L1"/>
    <mergeCell ref="M1:N1"/>
    <mergeCell ref="AU1:AV1"/>
    <mergeCell ref="AW1:AX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  <mergeCell ref="A7:A8"/>
    <mergeCell ref="BP7:BP8"/>
    <mergeCell ref="BQ7:BQ8"/>
    <mergeCell ref="A9:A10"/>
    <mergeCell ref="BP9:BP10"/>
    <mergeCell ref="BQ9:BQ10"/>
    <mergeCell ref="BK1:BL1"/>
    <mergeCell ref="BM1:BN1"/>
    <mergeCell ref="A3:A4"/>
    <mergeCell ref="BP3:BP4"/>
    <mergeCell ref="BQ3:BQ4"/>
    <mergeCell ref="A5:A6"/>
    <mergeCell ref="BP5:BP6"/>
    <mergeCell ref="BQ5:BQ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A15:A16"/>
    <mergeCell ref="BP15:BP16"/>
    <mergeCell ref="BQ15:BQ16"/>
    <mergeCell ref="A17:A18"/>
    <mergeCell ref="BP17:BP18"/>
    <mergeCell ref="BQ17:BQ18"/>
    <mergeCell ref="A11:A12"/>
    <mergeCell ref="BP11:BP12"/>
    <mergeCell ref="BQ11:BQ12"/>
    <mergeCell ref="A13:A14"/>
    <mergeCell ref="BP13:BP14"/>
    <mergeCell ref="BQ13:BQ14"/>
    <mergeCell ref="A23:A24"/>
    <mergeCell ref="BP23:BP24"/>
    <mergeCell ref="BQ23:BQ24"/>
    <mergeCell ref="A25:A26"/>
    <mergeCell ref="BP25:BP26"/>
    <mergeCell ref="BQ25:BQ26"/>
    <mergeCell ref="A19:A20"/>
    <mergeCell ref="BP19:BP20"/>
    <mergeCell ref="BQ19:BQ20"/>
    <mergeCell ref="A21:A22"/>
    <mergeCell ref="BP21:BP22"/>
    <mergeCell ref="BQ21:BQ22"/>
    <mergeCell ref="A31:A32"/>
    <mergeCell ref="BP31:BP32"/>
    <mergeCell ref="BQ31:BQ32"/>
    <mergeCell ref="A33:A34"/>
    <mergeCell ref="BP33:BP34"/>
    <mergeCell ref="BQ33:BQ34"/>
    <mergeCell ref="A27:A28"/>
    <mergeCell ref="BP27:BP28"/>
    <mergeCell ref="BQ27:BQ28"/>
    <mergeCell ref="A29:A30"/>
    <mergeCell ref="BP29:BP30"/>
    <mergeCell ref="BQ29:BQ30"/>
    <mergeCell ref="A39:A40"/>
    <mergeCell ref="BP39:BP40"/>
    <mergeCell ref="BQ39:BQ40"/>
    <mergeCell ref="A41:A42"/>
    <mergeCell ref="BP41:BP42"/>
    <mergeCell ref="BQ41:BQ42"/>
    <mergeCell ref="A35:A36"/>
    <mergeCell ref="BP35:BP36"/>
    <mergeCell ref="BQ35:BQ36"/>
    <mergeCell ref="A37:A38"/>
    <mergeCell ref="BP37:BP38"/>
    <mergeCell ref="BQ37:BQ38"/>
    <mergeCell ref="A47:A48"/>
    <mergeCell ref="BP47:BP48"/>
    <mergeCell ref="BQ47:BQ48"/>
    <mergeCell ref="A49:A50"/>
    <mergeCell ref="BP49:BP50"/>
    <mergeCell ref="BQ49:BQ50"/>
    <mergeCell ref="A43:A44"/>
    <mergeCell ref="BP43:BP44"/>
    <mergeCell ref="BQ43:BQ44"/>
    <mergeCell ref="A45:A46"/>
    <mergeCell ref="BP45:BP46"/>
    <mergeCell ref="BQ45:BQ46"/>
    <mergeCell ref="A55:A56"/>
    <mergeCell ref="BP55:BP56"/>
    <mergeCell ref="BQ55:BQ56"/>
    <mergeCell ref="A57:A58"/>
    <mergeCell ref="BP57:BP58"/>
    <mergeCell ref="BQ57:BQ58"/>
    <mergeCell ref="A51:A52"/>
    <mergeCell ref="BP51:BP52"/>
    <mergeCell ref="BQ51:BQ52"/>
    <mergeCell ref="A53:A54"/>
    <mergeCell ref="BP53:BP54"/>
    <mergeCell ref="BQ53:BQ54"/>
    <mergeCell ref="A63:A64"/>
    <mergeCell ref="BP63:BP64"/>
    <mergeCell ref="BQ63:BQ64"/>
    <mergeCell ref="A65:A66"/>
    <mergeCell ref="BP65:BP66"/>
    <mergeCell ref="BQ65:BQ66"/>
    <mergeCell ref="A59:A60"/>
    <mergeCell ref="BP59:BP60"/>
    <mergeCell ref="BQ59:BQ60"/>
    <mergeCell ref="A61:A62"/>
    <mergeCell ref="BP61:BP62"/>
    <mergeCell ref="BQ61:BQ62"/>
    <mergeCell ref="BR3:BR4"/>
    <mergeCell ref="BR5:BR6"/>
    <mergeCell ref="BR7:BR8"/>
    <mergeCell ref="BR9:BR10"/>
    <mergeCell ref="BR11:BR12"/>
    <mergeCell ref="BR13:BR14"/>
    <mergeCell ref="BR15:BR16"/>
    <mergeCell ref="BR17:BR18"/>
    <mergeCell ref="BR19:BR20"/>
    <mergeCell ref="BR21:BR22"/>
    <mergeCell ref="BR23:BR24"/>
    <mergeCell ref="BR25:BR26"/>
    <mergeCell ref="BR27:BR28"/>
    <mergeCell ref="BR29:BR30"/>
    <mergeCell ref="BR31:BR32"/>
    <mergeCell ref="BR33:BR34"/>
    <mergeCell ref="BR35:BR36"/>
    <mergeCell ref="BR37:BR38"/>
    <mergeCell ref="BR57:BR58"/>
    <mergeCell ref="BR59:BR60"/>
    <mergeCell ref="BR61:BR62"/>
    <mergeCell ref="BR63:BR64"/>
    <mergeCell ref="BR65:BR66"/>
    <mergeCell ref="BR39:BR40"/>
    <mergeCell ref="BR41:BR42"/>
    <mergeCell ref="BR43:BR44"/>
    <mergeCell ref="BR45:BR46"/>
    <mergeCell ref="BR47:BR48"/>
    <mergeCell ref="BR49:BR50"/>
    <mergeCell ref="BR51:BR52"/>
    <mergeCell ref="BR53:BR54"/>
    <mergeCell ref="BR55:BR56"/>
  </mergeCells>
  <conditionalFormatting sqref="C3:R18">
    <cfRule type="colorScale" priority="30">
      <colorScale>
        <cfvo type="num" val="0"/>
        <cfvo type="num" val="1"/>
        <cfvo type="num" val="2"/>
        <color rgb="FFFCFCFF"/>
        <color theme="9" tint="0.59999389629810485"/>
        <color theme="9"/>
      </colorScale>
    </cfRule>
  </conditionalFormatting>
  <conditionalFormatting sqref="C3:BN66">
    <cfRule type="colorScale" priority="31">
      <colorScale>
        <cfvo type="min"/>
        <cfvo type="max"/>
        <color rgb="FFFCFCFF"/>
        <color theme="8" tint="-0.249977111117893"/>
      </colorScale>
    </cfRule>
  </conditionalFormatting>
  <conditionalFormatting sqref="S19:T20">
    <cfRule type="colorScale" priority="26">
      <colorScale>
        <cfvo type="min"/>
        <cfvo type="max"/>
        <color rgb="FFFCFCFF"/>
        <color theme="9"/>
      </colorScale>
    </cfRule>
  </conditionalFormatting>
  <conditionalFormatting sqref="S19:AH34">
    <cfRule type="colorScale" priority="29">
      <colorScale>
        <cfvo type="min"/>
        <cfvo type="max"/>
        <color theme="3" tint="0.89999084444715716"/>
        <color theme="3" tint="0.499984740745262"/>
      </colorScale>
    </cfRule>
  </conditionalFormatting>
  <conditionalFormatting sqref="U21:V22">
    <cfRule type="colorScale" priority="25">
      <colorScale>
        <cfvo type="min"/>
        <cfvo type="max"/>
        <color rgb="FFFCFCFF"/>
        <color theme="9"/>
      </colorScale>
    </cfRule>
  </conditionalFormatting>
  <conditionalFormatting sqref="W23:X24">
    <cfRule type="colorScale" priority="24">
      <colorScale>
        <cfvo type="min"/>
        <cfvo type="max"/>
        <color rgb="FFFCFCFF"/>
        <color theme="9"/>
      </colorScale>
    </cfRule>
  </conditionalFormatting>
  <conditionalFormatting sqref="Y25:Z26">
    <cfRule type="colorScale" priority="23">
      <colorScale>
        <cfvo type="min"/>
        <cfvo type="max"/>
        <color rgb="FFFCFCFF"/>
        <color theme="9"/>
      </colorScale>
    </cfRule>
  </conditionalFormatting>
  <conditionalFormatting sqref="AA27:AB28">
    <cfRule type="colorScale" priority="22">
      <colorScale>
        <cfvo type="min"/>
        <cfvo type="max"/>
        <color rgb="FFFCFCFF"/>
        <color theme="9"/>
      </colorScale>
    </cfRule>
  </conditionalFormatting>
  <conditionalFormatting sqref="AC29:AD30">
    <cfRule type="colorScale" priority="21">
      <colorScale>
        <cfvo type="min"/>
        <cfvo type="max"/>
        <color rgb="FFFCFCFF"/>
        <color theme="9"/>
      </colorScale>
    </cfRule>
  </conditionalFormatting>
  <conditionalFormatting sqref="AE31:AF32">
    <cfRule type="colorScale" priority="20">
      <colorScale>
        <cfvo type="min"/>
        <cfvo type="max"/>
        <color rgb="FFFCFCFF"/>
        <color theme="9"/>
      </colorScale>
    </cfRule>
  </conditionalFormatting>
  <conditionalFormatting sqref="AG33:AH34">
    <cfRule type="colorScale" priority="19">
      <colorScale>
        <cfvo type="min"/>
        <cfvo type="max"/>
        <color rgb="FFFCFCFF"/>
        <color theme="9"/>
      </colorScale>
    </cfRule>
  </conditionalFormatting>
  <conditionalFormatting sqref="AI35:AJ36">
    <cfRule type="colorScale" priority="18">
      <colorScale>
        <cfvo type="min"/>
        <cfvo type="max"/>
        <color rgb="FFFCFCFF"/>
        <color theme="9"/>
      </colorScale>
    </cfRule>
  </conditionalFormatting>
  <conditionalFormatting sqref="AI35:AX50">
    <cfRule type="colorScale" priority="28">
      <colorScale>
        <cfvo type="num" val="0"/>
        <cfvo type="num" val="0"/>
        <cfvo type="num" val="2"/>
        <color rgb="FFFCFCFF"/>
        <color rgb="FFFFEC8B"/>
        <color rgb="FFFFC000"/>
      </colorScale>
    </cfRule>
  </conditionalFormatting>
  <conditionalFormatting sqref="AK37:AL38">
    <cfRule type="colorScale" priority="17">
      <colorScale>
        <cfvo type="min"/>
        <cfvo type="max"/>
        <color rgb="FFFCFCFF"/>
        <color theme="9"/>
      </colorScale>
    </cfRule>
  </conditionalFormatting>
  <conditionalFormatting sqref="AM39:AN40">
    <cfRule type="colorScale" priority="16">
      <colorScale>
        <cfvo type="min"/>
        <cfvo type="max"/>
        <color rgb="FFFCFCFF"/>
        <color theme="9"/>
      </colorScale>
    </cfRule>
  </conditionalFormatting>
  <conditionalFormatting sqref="AO41:AP42">
    <cfRule type="colorScale" priority="15">
      <colorScale>
        <cfvo type="min"/>
        <cfvo type="max"/>
        <color rgb="FFFCFCFF"/>
        <color theme="9"/>
      </colorScale>
    </cfRule>
  </conditionalFormatting>
  <conditionalFormatting sqref="AQ43:AR44">
    <cfRule type="colorScale" priority="14">
      <colorScale>
        <cfvo type="min"/>
        <cfvo type="max"/>
        <color rgb="FFFCFCFF"/>
        <color theme="9"/>
      </colorScale>
    </cfRule>
  </conditionalFormatting>
  <conditionalFormatting sqref="AS45:AT46">
    <cfRule type="colorScale" priority="13">
      <colorScale>
        <cfvo type="min"/>
        <cfvo type="max"/>
        <color rgb="FFFCFCFF"/>
        <color theme="9"/>
      </colorScale>
    </cfRule>
  </conditionalFormatting>
  <conditionalFormatting sqref="AU47:AV48">
    <cfRule type="colorScale" priority="12">
      <colorScale>
        <cfvo type="min"/>
        <cfvo type="max"/>
        <color rgb="FFFCFCFF"/>
        <color theme="9"/>
      </colorScale>
    </cfRule>
  </conditionalFormatting>
  <conditionalFormatting sqref="AW49:AX50">
    <cfRule type="colorScale" priority="11">
      <colorScale>
        <cfvo type="min"/>
        <cfvo type="max"/>
        <color rgb="FFFCFCFF"/>
        <color theme="9"/>
      </colorScale>
    </cfRule>
  </conditionalFormatting>
  <conditionalFormatting sqref="AY51:AZ52">
    <cfRule type="colorScale" priority="10">
      <colorScale>
        <cfvo type="min"/>
        <cfvo type="max"/>
        <color rgb="FFFCFCFF"/>
        <color theme="9"/>
      </colorScale>
    </cfRule>
  </conditionalFormatting>
  <conditionalFormatting sqref="AY51:BN66">
    <cfRule type="colorScale" priority="27">
      <colorScale>
        <cfvo type="num" val="0"/>
        <cfvo type="num" val="1"/>
        <cfvo type="num" val="2"/>
        <color rgb="FFFCFCFF"/>
        <color rgb="FFFFB7B7"/>
        <color rgb="FFFF5050"/>
      </colorScale>
    </cfRule>
  </conditionalFormatting>
  <conditionalFormatting sqref="BA53:BB54">
    <cfRule type="colorScale" priority="9">
      <colorScale>
        <cfvo type="min"/>
        <cfvo type="max"/>
        <color rgb="FFFCFCFF"/>
        <color theme="9"/>
      </colorScale>
    </cfRule>
  </conditionalFormatting>
  <conditionalFormatting sqref="BC55:BD56">
    <cfRule type="colorScale" priority="8">
      <colorScale>
        <cfvo type="min"/>
        <cfvo type="max"/>
        <color rgb="FFFCFCFF"/>
        <color theme="9"/>
      </colorScale>
    </cfRule>
  </conditionalFormatting>
  <conditionalFormatting sqref="BE57:BF58">
    <cfRule type="colorScale" priority="7">
      <colorScale>
        <cfvo type="min"/>
        <cfvo type="max"/>
        <color rgb="FFFCFCFF"/>
        <color theme="9"/>
      </colorScale>
    </cfRule>
  </conditionalFormatting>
  <conditionalFormatting sqref="BG59:BH60">
    <cfRule type="colorScale" priority="6">
      <colorScale>
        <cfvo type="min"/>
        <cfvo type="max"/>
        <color rgb="FFFCFCFF"/>
        <color theme="9"/>
      </colorScale>
    </cfRule>
  </conditionalFormatting>
  <conditionalFormatting sqref="BI61:BJ62">
    <cfRule type="colorScale" priority="5">
      <colorScale>
        <cfvo type="min"/>
        <cfvo type="max"/>
        <color rgb="FFFCFCFF"/>
        <color theme="9"/>
      </colorScale>
    </cfRule>
  </conditionalFormatting>
  <conditionalFormatting sqref="BK63:BL64">
    <cfRule type="colorScale" priority="4">
      <colorScale>
        <cfvo type="min"/>
        <cfvo type="max"/>
        <color rgb="FFFCFCFF"/>
        <color theme="9"/>
      </colorScale>
    </cfRule>
  </conditionalFormatting>
  <conditionalFormatting sqref="BM65:BN66">
    <cfRule type="colorScale" priority="2">
      <colorScale>
        <cfvo type="min"/>
        <cfvo type="max"/>
        <color rgb="FFFCFCFF"/>
        <color theme="9"/>
      </colorScale>
    </cfRule>
    <cfRule type="colorScale" priority="3">
      <colorScale>
        <cfvo type="min"/>
        <cfvo type="max"/>
        <color rgb="FFFCFCFF"/>
        <color theme="9"/>
      </colorScale>
    </cfRule>
  </conditionalFormatting>
  <conditionalFormatting sqref="BR3:BR66">
    <cfRule type="dataBar" priority="1">
      <dataBar>
        <cfvo type="num" val="0"/>
        <cfvo type="num" val="1"/>
        <color rgb="FFFFB628"/>
      </dataBar>
      <extLst>
        <ext xmlns:x14="http://schemas.microsoft.com/office/spreadsheetml/2009/9/main" uri="{B025F937-C7B1-47D3-B67F-A62EFF666E3E}">
          <x14:id>{57D18F3C-BEE8-431E-8A33-DFCF960DEBA1}</x14:id>
        </ext>
      </extLst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7D18F3C-BEE8-431E-8A33-DFCF960DEBA1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BR3:BR66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EF360-2E4C-4410-BADC-A3B46025231F}">
  <dimension ref="A1:BT68"/>
  <sheetViews>
    <sheetView topLeftCell="A4" workbookViewId="0">
      <selection activeCell="BP29" sqref="BP29:BP30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2.85546875" customWidth="1"/>
    <col min="68" max="68" width="4.140625" customWidth="1"/>
    <col min="69" max="69" width="4.42578125" bestFit="1" customWidth="1"/>
    <col min="72" max="72" width="8.7109375" bestFit="1" customWidth="1"/>
  </cols>
  <sheetData>
    <row r="1" spans="1:72" s="27" customFormat="1" ht="9.9499999999999993" customHeight="1" x14ac:dyDescent="0.2">
      <c r="A1" s="27" t="s">
        <v>75</v>
      </c>
      <c r="B1" s="28"/>
      <c r="C1" s="168" t="s">
        <v>44</v>
      </c>
      <c r="D1" s="169"/>
      <c r="E1" s="168" t="s">
        <v>15</v>
      </c>
      <c r="F1" s="169"/>
      <c r="G1" s="168" t="s">
        <v>28</v>
      </c>
      <c r="H1" s="169"/>
      <c r="I1" s="168" t="s">
        <v>41</v>
      </c>
      <c r="J1" s="169"/>
      <c r="K1" s="168" t="s">
        <v>35</v>
      </c>
      <c r="L1" s="169"/>
      <c r="M1" s="168" t="s">
        <v>23</v>
      </c>
      <c r="N1" s="169"/>
      <c r="O1" s="168" t="s">
        <v>16</v>
      </c>
      <c r="P1" s="169"/>
      <c r="Q1" s="168" t="s">
        <v>25</v>
      </c>
      <c r="R1" s="169"/>
      <c r="S1" s="168" t="s">
        <v>33</v>
      </c>
      <c r="T1" s="169"/>
      <c r="U1" s="168" t="s">
        <v>30</v>
      </c>
      <c r="V1" s="169"/>
      <c r="W1" s="168" t="s">
        <v>22</v>
      </c>
      <c r="X1" s="169"/>
      <c r="Y1" s="168" t="s">
        <v>13</v>
      </c>
      <c r="Z1" s="169"/>
      <c r="AA1" s="168" t="s">
        <v>27</v>
      </c>
      <c r="AB1" s="169"/>
      <c r="AC1" s="168" t="s">
        <v>36</v>
      </c>
      <c r="AD1" s="169"/>
      <c r="AE1" s="168" t="s">
        <v>18</v>
      </c>
      <c r="AF1" s="169"/>
      <c r="AG1" s="168" t="s">
        <v>31</v>
      </c>
      <c r="AH1" s="169"/>
      <c r="AI1" s="168" t="s">
        <v>34</v>
      </c>
      <c r="AJ1" s="169"/>
      <c r="AK1" s="168" t="s">
        <v>32</v>
      </c>
      <c r="AL1" s="169"/>
      <c r="AM1" s="168" t="s">
        <v>19</v>
      </c>
      <c r="AN1" s="169"/>
      <c r="AO1" s="168" t="s">
        <v>29</v>
      </c>
      <c r="AP1" s="169"/>
      <c r="AQ1" s="168" t="s">
        <v>42</v>
      </c>
      <c r="AR1" s="169"/>
      <c r="AS1" s="168" t="s">
        <v>20</v>
      </c>
      <c r="AT1" s="169"/>
      <c r="AU1" s="168" t="s">
        <v>11</v>
      </c>
      <c r="AV1" s="169"/>
      <c r="AW1" s="168" t="s">
        <v>37</v>
      </c>
      <c r="AX1" s="169"/>
      <c r="AY1" s="168" t="s">
        <v>12</v>
      </c>
      <c r="AZ1" s="169"/>
      <c r="BA1" s="168" t="s">
        <v>40</v>
      </c>
      <c r="BB1" s="169"/>
      <c r="BC1" s="168" t="s">
        <v>17</v>
      </c>
      <c r="BD1" s="169"/>
      <c r="BE1" s="168" t="s">
        <v>14</v>
      </c>
      <c r="BF1" s="168"/>
      <c r="BG1" s="170" t="s">
        <v>24</v>
      </c>
      <c r="BH1" s="171"/>
      <c r="BI1" s="168" t="s">
        <v>26</v>
      </c>
      <c r="BJ1" s="169"/>
      <c r="BK1" s="168" t="s">
        <v>21</v>
      </c>
      <c r="BL1" s="169"/>
      <c r="BM1" s="168" t="s">
        <v>43</v>
      </c>
      <c r="BN1" s="169"/>
      <c r="BO1" s="30"/>
      <c r="BP1" s="29" t="s">
        <v>529</v>
      </c>
      <c r="BQ1" s="27" t="s">
        <v>530</v>
      </c>
    </row>
    <row r="2" spans="1:72" s="27" customFormat="1" ht="9.9499999999999993" customHeight="1" x14ac:dyDescent="0.2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32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32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32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</row>
    <row r="3" spans="1:72" s="27" customFormat="1" ht="9.9499999999999993" customHeight="1" x14ac:dyDescent="0.2">
      <c r="A3" s="172" t="s">
        <v>44</v>
      </c>
      <c r="B3" s="28" t="s">
        <v>74</v>
      </c>
      <c r="C3" s="35"/>
      <c r="D3" s="36"/>
      <c r="E3" s="35"/>
      <c r="F3" s="28">
        <f>COUNTIFS(DataRegularSeason20242025!$E$2:$E$1315,WatchedGames20242025!E$1,DataRegularSeason20242025!$D$2:$D$1315,WatchedGames20242025!$A3,DataRegularSeason20242025!$N$2:$N$1315,1, DataRegularSeason20242025!$R$2:$R$1315,1)</f>
        <v>0</v>
      </c>
      <c r="G3" s="35"/>
      <c r="H3" s="28">
        <f>COUNTIFS(DataRegularSeason20242025!$E$2:$E$1315,WatchedGames20242025!G$1,DataRegularSeason20242025!$D$2:$D$1315,WatchedGames20242025!$A3,DataRegularSeason20242025!$N$2:$N$1315,1, DataRegularSeason20242025!$R$2:$R$1315,1)</f>
        <v>0</v>
      </c>
      <c r="I3" s="35"/>
      <c r="J3" s="28">
        <f>COUNTIFS(DataRegularSeason20242025!$E$2:$E$1315,WatchedGames20242025!I$1,DataRegularSeason20242025!$D$2:$D$1315,WatchedGames20242025!$A3,DataRegularSeason20242025!$N$2:$N$1315,1, DataRegularSeason20242025!$R$2:$R$1315,1)</f>
        <v>0</v>
      </c>
      <c r="K3" s="35"/>
      <c r="L3" s="28">
        <f>COUNTIFS(DataRegularSeason20242025!$E$2:$E$1315,WatchedGames20242025!K$1,DataRegularSeason20242025!$D$2:$D$1315,WatchedGames20242025!$A3,DataRegularSeason20242025!$N$2:$N$1315,1, DataRegularSeason20242025!$R$2:$R$1315,1)</f>
        <v>0</v>
      </c>
      <c r="M3" s="35"/>
      <c r="N3" s="28">
        <f>COUNTIFS(DataRegularSeason20242025!$E$2:$E$1315,WatchedGames20242025!M$1,DataRegularSeason20242025!$D$2:$D$1315,WatchedGames20242025!$A3,DataRegularSeason20242025!$N$2:$N$1315,1, DataRegularSeason20242025!$R$2:$R$1315,1)</f>
        <v>0</v>
      </c>
      <c r="O3" s="35"/>
      <c r="P3" s="28">
        <f>COUNTIFS(DataRegularSeason20242025!$E$2:$E$1315,WatchedGames20242025!O$1,DataRegularSeason20242025!$D$2:$D$1315,WatchedGames20242025!$A3,DataRegularSeason20242025!$N$2:$N$1315,1, DataRegularSeason20242025!$R$2:$R$1315,1)</f>
        <v>1</v>
      </c>
      <c r="Q3" s="35"/>
      <c r="R3" s="28">
        <f>COUNTIFS(DataRegularSeason20242025!$E$2:$E$1315,WatchedGames20242025!Q$1,DataRegularSeason20242025!$D$2:$D$1315,WatchedGames20242025!$A3,DataRegularSeason20242025!$N$2:$N$1315,1, DataRegularSeason20242025!$R$2:$R$1315,1)</f>
        <v>0</v>
      </c>
      <c r="S3" s="35"/>
      <c r="T3" s="28">
        <f>COUNTIFS(DataRegularSeason20242025!$E$2:$E$1315,WatchedGames20242025!S$1,DataRegularSeason20242025!$D$2:$D$1315,WatchedGames20242025!$A3,DataRegularSeason20242025!$N$2:$N$1315,1, DataRegularSeason20242025!$R$2:$R$1315,1)</f>
        <v>0</v>
      </c>
      <c r="U3" s="35"/>
      <c r="V3" s="28">
        <f>COUNTIFS(DataRegularSeason20242025!$E$2:$E$1315,WatchedGames20242025!U$1,DataRegularSeason20242025!$D$2:$D$1315,WatchedGames20242025!$A3,DataRegularSeason20242025!$N$2:$N$1315,1, DataRegularSeason20242025!$R$2:$R$1315,1)</f>
        <v>0</v>
      </c>
      <c r="W3" s="35"/>
      <c r="X3" s="28">
        <f>COUNTIFS(DataRegularSeason20242025!$E$2:$E$1315,WatchedGames20242025!W$1,DataRegularSeason20242025!$D$2:$D$1315,WatchedGames20242025!$A3,DataRegularSeason20242025!$N$2:$N$1315,1, DataRegularSeason20242025!$R$2:$R$1315,1)</f>
        <v>0</v>
      </c>
      <c r="Y3" s="35"/>
      <c r="Z3" s="28">
        <f>COUNTIFS(DataRegularSeason20242025!$E$2:$E$1315,WatchedGames20242025!Y$1,DataRegularSeason20242025!$D$2:$D$1315,WatchedGames20242025!$A3,DataRegularSeason20242025!$N$2:$N$1315,1, DataRegularSeason20242025!$R$2:$R$1315,1)</f>
        <v>0</v>
      </c>
      <c r="AA3" s="35"/>
      <c r="AB3" s="28">
        <f>COUNTIFS(DataRegularSeason20242025!$E$2:$E$1315,WatchedGames20242025!AA$1,DataRegularSeason20242025!$D$2:$D$1315,WatchedGames20242025!$A3,DataRegularSeason20242025!$N$2:$N$1315,1, DataRegularSeason20242025!$R$2:$R$1315,1)</f>
        <v>0</v>
      </c>
      <c r="AC3" s="35"/>
      <c r="AD3" s="28">
        <f>COUNTIFS(DataRegularSeason20242025!$E$2:$E$1315,WatchedGames20242025!AC$1,DataRegularSeason20242025!$D$2:$D$1315,WatchedGames20242025!$A3,DataRegularSeason20242025!$N$2:$N$1315,1, DataRegularSeason20242025!$R$2:$R$1315,1)</f>
        <v>0</v>
      </c>
      <c r="AE3" s="35"/>
      <c r="AF3" s="28">
        <f>COUNTIFS(DataRegularSeason20242025!$E$2:$E$1315,WatchedGames20242025!AE$1,DataRegularSeason20242025!$D$2:$D$1315,WatchedGames20242025!$A3,DataRegularSeason20242025!$N$2:$N$1315,1, DataRegularSeason20242025!$R$2:$R$1315,1)</f>
        <v>0</v>
      </c>
      <c r="AG3" s="35"/>
      <c r="AH3" s="28">
        <f>COUNTIFS(DataRegularSeason20242025!$E$2:$E$1315,WatchedGames20242025!AG$1,DataRegularSeason20242025!$D$2:$D$1315,WatchedGames20242025!$A3,DataRegularSeason20242025!$N$2:$N$1315,1, DataRegularSeason20242025!$R$2:$R$1315,1)</f>
        <v>0</v>
      </c>
      <c r="AI3" s="35"/>
      <c r="AJ3" s="28">
        <f>COUNTIFS(DataRegularSeason20242025!$E$2:$E$1315,WatchedGames20242025!AI$1,DataRegularSeason20242025!$D$2:$D$1315,WatchedGames20242025!$A3,DataRegularSeason20242025!$N$2:$N$1315,1, DataRegularSeason20242025!$R$2:$R$1315,1)</f>
        <v>1</v>
      </c>
      <c r="AK3" s="35"/>
      <c r="AL3" s="28">
        <f>COUNTIFS(DataRegularSeason20242025!$E$2:$E$1315,WatchedGames20242025!AK$1,DataRegularSeason20242025!$D$2:$D$1315,WatchedGames20242025!$A3,DataRegularSeason20242025!$N$2:$N$1315,1, DataRegularSeason20242025!$R$2:$R$1315,1)</f>
        <v>0</v>
      </c>
      <c r="AM3" s="35"/>
      <c r="AN3" s="28">
        <f>COUNTIFS(DataRegularSeason20242025!$E$2:$E$1315,WatchedGames20242025!AM$1,DataRegularSeason20242025!$D$2:$D$1315,WatchedGames20242025!$A3,DataRegularSeason20242025!$N$2:$N$1315,1, DataRegularSeason20242025!$R$2:$R$1315,1)</f>
        <v>0</v>
      </c>
      <c r="AO3" s="35"/>
      <c r="AP3" s="28">
        <f>COUNTIFS(DataRegularSeason20242025!$E$2:$E$1315,WatchedGames20242025!AO$1,DataRegularSeason20242025!$D$2:$D$1315,WatchedGames20242025!$A3,DataRegularSeason20242025!$N$2:$N$1315,1, DataRegularSeason20242025!$R$2:$R$1315,1)</f>
        <v>0</v>
      </c>
      <c r="AQ3" s="35"/>
      <c r="AR3" s="28">
        <f>COUNTIFS(DataRegularSeason20242025!$E$2:$E$1315,WatchedGames20242025!AQ$1,DataRegularSeason20242025!$D$2:$D$1315,WatchedGames20242025!$A3,DataRegularSeason20242025!$N$2:$N$1315,1, DataRegularSeason20242025!$R$2:$R$1315,1)</f>
        <v>0</v>
      </c>
      <c r="AS3" s="35"/>
      <c r="AT3" s="28">
        <f>COUNTIFS(DataRegularSeason20242025!$E$2:$E$1315,WatchedGames20242025!AS$1,DataRegularSeason20242025!$D$2:$D$1315,WatchedGames20242025!$A3,DataRegularSeason20242025!$N$2:$N$1315,1, DataRegularSeason20242025!$R$2:$R$1315,1)</f>
        <v>0</v>
      </c>
      <c r="AU3" s="35"/>
      <c r="AV3" s="28">
        <f>COUNTIFS(DataRegularSeason20242025!$E$2:$E$1315,WatchedGames20242025!AU$1,DataRegularSeason20242025!$D$2:$D$1315,WatchedGames20242025!$A3,DataRegularSeason20242025!$N$2:$N$1315,1, DataRegularSeason20242025!$R$2:$R$1315,1)</f>
        <v>1</v>
      </c>
      <c r="AW3" s="35"/>
      <c r="AX3" s="28">
        <f>COUNTIFS(DataRegularSeason20242025!$E$2:$E$1315,WatchedGames20242025!AW$1,DataRegularSeason20242025!$D$2:$D$1315,WatchedGames20242025!$A3,DataRegularSeason20242025!$N$2:$N$1315,1, DataRegularSeason20242025!$R$2:$R$1315,1)</f>
        <v>0</v>
      </c>
      <c r="AY3" s="35"/>
      <c r="AZ3" s="28">
        <f>COUNTIFS(DataRegularSeason20242025!$E$2:$E$1315,WatchedGames20242025!AY$1,DataRegularSeason20242025!$D$2:$D$1315,WatchedGames20242025!$A3,DataRegularSeason20242025!$N$2:$N$1315,1, DataRegularSeason20242025!$R$2:$R$1315,1)</f>
        <v>0</v>
      </c>
      <c r="BA3" s="35"/>
      <c r="BB3" s="28">
        <f>COUNTIFS(DataRegularSeason20242025!$E$2:$E$1315,WatchedGames20242025!BA$1,DataRegularSeason20242025!$D$2:$D$1315,WatchedGames20242025!$A3,DataRegularSeason20242025!$N$2:$N$1315,1, DataRegularSeason20242025!$R$2:$R$1315,1)</f>
        <v>0</v>
      </c>
      <c r="BC3" s="35"/>
      <c r="BD3" s="28">
        <f>COUNTIFS(DataRegularSeason20242025!$E$2:$E$1315,WatchedGames20242025!BC$1,DataRegularSeason20242025!$D$2:$D$1315,WatchedGames20242025!$A3,DataRegularSeason20242025!$N$2:$N$1315,1, DataRegularSeason20242025!$R$2:$R$1315,1)</f>
        <v>0</v>
      </c>
      <c r="BE3" s="35"/>
      <c r="BF3" s="28">
        <f>COUNTIFS(DataRegularSeason20242025!$E$2:$E$1315,WatchedGames20242025!BE$1,DataRegularSeason20242025!$D$2:$D$1315,WatchedGames20242025!$A3,DataRegularSeason20242025!$N$2:$N$1315,1, DataRegularSeason20242025!$R$2:$R$1315,1)</f>
        <v>0</v>
      </c>
      <c r="BG3" s="35"/>
      <c r="BH3" s="28">
        <f>COUNTIFS(DataRegularSeason20242025!$E$2:$E$1315,WatchedGames20242025!BG$1,DataRegularSeason20242025!$D$2:$D$1315,WatchedGames20242025!$A3,DataRegularSeason20242025!$N$2:$N$1315,1, DataRegularSeason20242025!$R$2:$R$1315,1)</f>
        <v>0</v>
      </c>
      <c r="BI3" s="35"/>
      <c r="BJ3" s="28">
        <f>COUNTIFS(DataRegularSeason20242025!$E$2:$E$1315,WatchedGames20242025!BI$1,DataRegularSeason20242025!$D$2:$D$1315,WatchedGames20242025!$A3,DataRegularSeason20242025!$N$2:$N$1315,1, DataRegularSeason20242025!$R$2:$R$1315,1)</f>
        <v>0</v>
      </c>
      <c r="BK3" s="35"/>
      <c r="BL3" s="28">
        <f>COUNTIFS(DataRegularSeason20242025!$E$2:$E$1315,WatchedGames20242025!BK$1,DataRegularSeason20242025!$D$2:$D$1315,WatchedGames20242025!$A3,DataRegularSeason20242025!$N$2:$N$1315,1, DataRegularSeason20242025!$R$2:$R$1315,1)</f>
        <v>0</v>
      </c>
      <c r="BM3" s="35"/>
      <c r="BN3" s="28">
        <f>COUNTIFS(DataRegularSeason20242025!$E$2:$E$1315,WatchedGames20242025!BM$1,DataRegularSeason20242025!$D$2:$D$1315,WatchedGames20242025!$A3,DataRegularSeason20242025!$N$2:$N$1315,1, DataRegularSeason20242025!$R$2:$R$1315,1)</f>
        <v>0</v>
      </c>
      <c r="BO3" s="30">
        <f>SUM(C3:BN3)</f>
        <v>3</v>
      </c>
      <c r="BP3" s="165">
        <f>BO3+BO4</f>
        <v>5</v>
      </c>
      <c r="BQ3" s="166">
        <f>82-BP3</f>
        <v>77</v>
      </c>
      <c r="BR3" s="173">
        <f t="shared" ref="BR3:BR67" si="0">BP3/(BP3+BQ3)</f>
        <v>6.097560975609756E-2</v>
      </c>
      <c r="BT3" s="37">
        <f>DataRegularSeason20242025!$A$3:$A$8</f>
        <v>45937</v>
      </c>
    </row>
    <row r="4" spans="1:72" s="27" customFormat="1" ht="9.9499999999999993" customHeight="1" x14ac:dyDescent="0.2">
      <c r="A4" s="167"/>
      <c r="B4" s="32" t="s">
        <v>73</v>
      </c>
      <c r="C4" s="38"/>
      <c r="D4" s="39"/>
      <c r="E4" s="38">
        <f>COUNTIFS(DataRegularSeason20242025!$E$2:$E$1315,WatchedGames20242025!$A3,DataRegularSeason20242025!$D$2:$D$1315,WatchedGames20242025!E$1,DataRegularSeason20242025!$N$2:$N$1315,1, DataRegularSeason20242025!$R$2:$R$1315,1)</f>
        <v>0</v>
      </c>
      <c r="F4" s="39"/>
      <c r="G4" s="38">
        <f>COUNTIFS(DataRegularSeason20242025!$E$2:$E$1315,WatchedGames20242025!$A3,DataRegularSeason20242025!$D$2:$D$1315,WatchedGames20242025!G$1,DataRegularSeason20242025!$N$2:$N$1315,1, DataRegularSeason20242025!$R$2:$R$1315,1)</f>
        <v>0</v>
      </c>
      <c r="H4" s="39"/>
      <c r="I4" s="38">
        <f>COUNTIFS(DataRegularSeason20242025!$E$2:$E$1315,WatchedGames20242025!$A3,DataRegularSeason20242025!$D$2:$D$1315,WatchedGames20242025!I$1,DataRegularSeason20242025!$N$2:$N$1315,1, DataRegularSeason20242025!$R$2:$R$1315,1)</f>
        <v>1</v>
      </c>
      <c r="J4" s="39"/>
      <c r="K4" s="38">
        <f>COUNTIFS(DataRegularSeason20242025!$E$2:$E$1315,WatchedGames20242025!$A3,DataRegularSeason20242025!$D$2:$D$1315,WatchedGames20242025!K$1,DataRegularSeason20242025!$N$2:$N$1315,1, DataRegularSeason20242025!$R$2:$R$1315,1)</f>
        <v>0</v>
      </c>
      <c r="L4" s="39"/>
      <c r="M4" s="38">
        <f>COUNTIFS(DataRegularSeason20242025!$E$2:$E$1315,WatchedGames20242025!$A3,DataRegularSeason20242025!$D$2:$D$1315,WatchedGames20242025!M$1,DataRegularSeason20242025!$N$2:$N$1315,1, DataRegularSeason20242025!$R$2:$R$1315,1)</f>
        <v>0</v>
      </c>
      <c r="N4" s="39"/>
      <c r="O4" s="38">
        <f>COUNTIFS(DataRegularSeason20242025!$E$2:$E$1315,WatchedGames20242025!$A3,DataRegularSeason20242025!$D$2:$D$1315,WatchedGames20242025!O$1,DataRegularSeason20242025!$N$2:$N$1315,1, DataRegularSeason20242025!$R$2:$R$1315,1)</f>
        <v>0</v>
      </c>
      <c r="P4" s="39"/>
      <c r="Q4" s="38">
        <f>COUNTIFS(DataRegularSeason20242025!$E$2:$E$1315,WatchedGames20242025!$A3,DataRegularSeason20242025!$D$2:$D$1315,WatchedGames20242025!Q$1,DataRegularSeason20242025!$N$2:$N$1315,1, DataRegularSeason20242025!$R$2:$R$1315,1)</f>
        <v>0</v>
      </c>
      <c r="R4" s="39"/>
      <c r="S4" s="38">
        <f>COUNTIFS(DataRegularSeason20242025!$E$2:$E$1315,WatchedGames20242025!$A3,DataRegularSeason20242025!$D$2:$D$1315,WatchedGames20242025!S$1,DataRegularSeason20242025!$N$2:$N$1315,1, DataRegularSeason20242025!$R$2:$R$1315,1)</f>
        <v>0</v>
      </c>
      <c r="T4" s="39"/>
      <c r="U4" s="38">
        <f>COUNTIFS(DataRegularSeason20242025!$E$2:$E$1315,WatchedGames20242025!$A3,DataRegularSeason20242025!$D$2:$D$1315,WatchedGames20242025!U$1,DataRegularSeason20242025!$N$2:$N$1315,1, DataRegularSeason20242025!$R$2:$R$1315,1)</f>
        <v>0</v>
      </c>
      <c r="V4" s="39"/>
      <c r="W4" s="38">
        <f>COUNTIFS(DataRegularSeason20242025!$E$2:$E$1315,WatchedGames20242025!$A3,DataRegularSeason20242025!$D$2:$D$1315,WatchedGames20242025!W$1,DataRegularSeason20242025!$N$2:$N$1315,1, DataRegularSeason20242025!$R$2:$R$1315,1)</f>
        <v>0</v>
      </c>
      <c r="X4" s="39"/>
      <c r="Y4" s="38">
        <f>COUNTIFS(DataRegularSeason20242025!$E$2:$E$1315,WatchedGames20242025!$A3,DataRegularSeason20242025!$D$2:$D$1315,WatchedGames20242025!Y$1,DataRegularSeason20242025!$N$2:$N$1315,1, DataRegularSeason20242025!$R$2:$R$1315,1)</f>
        <v>0</v>
      </c>
      <c r="Z4" s="39"/>
      <c r="AA4" s="38">
        <f>COUNTIFS(DataRegularSeason20242025!$E$2:$E$1315,WatchedGames20242025!$A3,DataRegularSeason20242025!$D$2:$D$1315,WatchedGames20242025!AA$1,DataRegularSeason20242025!$N$2:$N$1315,1, DataRegularSeason20242025!$R$2:$R$1315,1)</f>
        <v>0</v>
      </c>
      <c r="AB4" s="39"/>
      <c r="AC4" s="38">
        <f>COUNTIFS(DataRegularSeason20242025!$E$2:$E$1315,WatchedGames20242025!$A3,DataRegularSeason20242025!$D$2:$D$1315,WatchedGames20242025!AC$1,DataRegularSeason20242025!$N$2:$N$1315,1, DataRegularSeason20242025!$R$2:$R$1315,1)</f>
        <v>0</v>
      </c>
      <c r="AD4" s="39"/>
      <c r="AE4" s="38">
        <f>COUNTIFS(DataRegularSeason20242025!$E$2:$E$1315,WatchedGames20242025!$A3,DataRegularSeason20242025!$D$2:$D$1315,WatchedGames20242025!AE$1,DataRegularSeason20242025!$N$2:$N$1315,1, DataRegularSeason20242025!$R$2:$R$1315,1)</f>
        <v>0</v>
      </c>
      <c r="AF4" s="39"/>
      <c r="AG4" s="38">
        <f>COUNTIFS(DataRegularSeason20242025!$E$2:$E$1315,WatchedGames20242025!$A3,DataRegularSeason20242025!$D$2:$D$1315,WatchedGames20242025!AG$1,DataRegularSeason20242025!$N$2:$N$1315,1, DataRegularSeason20242025!$R$2:$R$1315,1)</f>
        <v>0</v>
      </c>
      <c r="AH4" s="39"/>
      <c r="AI4" s="38">
        <f>COUNTIFS(DataRegularSeason20242025!$E$2:$E$1315,WatchedGames20242025!$A3,DataRegularSeason20242025!$D$2:$D$1315,WatchedGames20242025!AI$1,DataRegularSeason20242025!$N$2:$N$1315,1, DataRegularSeason20242025!$R$2:$R$1315,1)</f>
        <v>0</v>
      </c>
      <c r="AJ4" s="39"/>
      <c r="AK4" s="38">
        <f>COUNTIFS(DataRegularSeason20242025!$E$2:$E$1315,WatchedGames20242025!$A3,DataRegularSeason20242025!$D$2:$D$1315,WatchedGames20242025!AK$1,DataRegularSeason20242025!$N$2:$N$1315,1, DataRegularSeason20242025!$R$2:$R$1315,1)</f>
        <v>0</v>
      </c>
      <c r="AL4" s="39"/>
      <c r="AM4" s="38">
        <f>COUNTIFS(DataRegularSeason20242025!$E$2:$E$1315,WatchedGames20242025!$A3,DataRegularSeason20242025!$D$2:$D$1315,WatchedGames20242025!AM$1,DataRegularSeason20242025!$N$2:$N$1315,1, DataRegularSeason20242025!$R$2:$R$1315,1)</f>
        <v>0</v>
      </c>
      <c r="AN4" s="39"/>
      <c r="AO4" s="38">
        <f>COUNTIFS(DataRegularSeason20242025!$E$2:$E$1315,WatchedGames20242025!$A3,DataRegularSeason20242025!$D$2:$D$1315,WatchedGames20242025!AO$1,DataRegularSeason20242025!$N$2:$N$1315,1, DataRegularSeason20242025!$R$2:$R$1315,1)</f>
        <v>0</v>
      </c>
      <c r="AP4" s="39"/>
      <c r="AQ4" s="38">
        <f>COUNTIFS(DataRegularSeason20242025!$E$2:$E$1315,WatchedGames20242025!$A3,DataRegularSeason20242025!$D$2:$D$1315,WatchedGames20242025!AQ$1,DataRegularSeason20242025!$N$2:$N$1315,1, DataRegularSeason20242025!$R$2:$R$1315,1)</f>
        <v>0</v>
      </c>
      <c r="AR4" s="39"/>
      <c r="AS4" s="38">
        <f>COUNTIFS(DataRegularSeason20242025!$E$2:$E$1315,WatchedGames20242025!$A3,DataRegularSeason20242025!$D$2:$D$1315,WatchedGames20242025!AS$1,DataRegularSeason20242025!$N$2:$N$1315,1, DataRegularSeason20242025!$R$2:$R$1315,1)</f>
        <v>1</v>
      </c>
      <c r="AT4" s="39"/>
      <c r="AU4" s="38">
        <f>COUNTIFS(DataRegularSeason20242025!$E$2:$E$1315,WatchedGames20242025!$A3,DataRegularSeason20242025!$D$2:$D$1315,WatchedGames20242025!AU$1,DataRegularSeason20242025!$N$2:$N$1315,1, DataRegularSeason20242025!$R$2:$R$1315,1)</f>
        <v>0</v>
      </c>
      <c r="AV4" s="39"/>
      <c r="AW4" s="38">
        <f>COUNTIFS(DataRegularSeason20242025!$E$2:$E$1315,WatchedGames20242025!$A3,DataRegularSeason20242025!$D$2:$D$1315,WatchedGames20242025!AW$1,DataRegularSeason20242025!$N$2:$N$1315,1, DataRegularSeason20242025!$R$2:$R$1315,1)</f>
        <v>0</v>
      </c>
      <c r="AX4" s="39"/>
      <c r="AY4" s="38">
        <f>COUNTIFS(DataRegularSeason20242025!$E$2:$E$1315,WatchedGames20242025!$A3,DataRegularSeason20242025!$D$2:$D$1315,WatchedGames20242025!AY$1,DataRegularSeason20242025!$N$2:$N$1315,1, DataRegularSeason20242025!$R$2:$R$1315,1)</f>
        <v>0</v>
      </c>
      <c r="AZ4" s="39"/>
      <c r="BA4" s="38">
        <f>COUNTIFS(DataRegularSeason20242025!$E$2:$E$1315,WatchedGames20242025!$A3,DataRegularSeason20242025!$D$2:$D$1315,WatchedGames20242025!BA$1,DataRegularSeason20242025!$N$2:$N$1315,1, DataRegularSeason20242025!$R$2:$R$1315,1)</f>
        <v>0</v>
      </c>
      <c r="BB4" s="39"/>
      <c r="BC4" s="38">
        <f>COUNTIFS(DataRegularSeason20242025!$E$2:$E$1315,WatchedGames20242025!$A3,DataRegularSeason20242025!$D$2:$D$1315,WatchedGames20242025!BC$1,DataRegularSeason20242025!$N$2:$N$1315,1, DataRegularSeason20242025!$R$2:$R$1315,1)</f>
        <v>0</v>
      </c>
      <c r="BD4" s="39"/>
      <c r="BE4" s="38">
        <f>COUNTIFS(DataRegularSeason20242025!$E$2:$E$1315,WatchedGames20242025!$A3,DataRegularSeason20242025!$D$2:$D$1315,WatchedGames20242025!BE$1,DataRegularSeason20242025!$N$2:$N$1315,1, DataRegularSeason20242025!$R$2:$R$1315,1)</f>
        <v>0</v>
      </c>
      <c r="BF4" s="39"/>
      <c r="BG4" s="38">
        <f>COUNTIFS(DataRegularSeason20242025!$E$2:$E$1315,WatchedGames20242025!$A3,DataRegularSeason20242025!$D$2:$D$1315,WatchedGames20242025!BG$1,DataRegularSeason20242025!$N$2:$N$1315,1, DataRegularSeason20242025!$R$2:$R$1315,1)</f>
        <v>0</v>
      </c>
      <c r="BH4" s="39"/>
      <c r="BI4" s="38">
        <f>COUNTIFS(DataRegularSeason20242025!$E$2:$E$1315,WatchedGames20242025!$A3,DataRegularSeason20242025!$D$2:$D$1315,WatchedGames20242025!BI$1,DataRegularSeason20242025!$N$2:$N$1315,1, DataRegularSeason20242025!$R$2:$R$1315,1)</f>
        <v>0</v>
      </c>
      <c r="BJ4" s="39"/>
      <c r="BK4" s="38">
        <f>COUNTIFS(DataRegularSeason20242025!$E$2:$E$1315,WatchedGames20242025!$A3,DataRegularSeason20242025!$D$2:$D$1315,WatchedGames20242025!BK$1,DataRegularSeason20242025!$N$2:$N$1315,1, DataRegularSeason20242025!$R$2:$R$1315,1)</f>
        <v>0</v>
      </c>
      <c r="BL4" s="39"/>
      <c r="BM4" s="38">
        <f>COUNTIFS(DataRegularSeason20242025!$E$2:$E$1315,WatchedGames20242025!$A3,DataRegularSeason20242025!$D$2:$D$1315,WatchedGames20242025!BM$1,DataRegularSeason20242025!$N$2:$N$1315,1, DataRegularSeason20242025!$R$2:$R$1315,1)</f>
        <v>0</v>
      </c>
      <c r="BN4" s="39"/>
      <c r="BO4" s="34">
        <f>SUM(C4:BN4)</f>
        <v>2</v>
      </c>
      <c r="BP4" s="165"/>
      <c r="BQ4" s="166"/>
      <c r="BR4" s="173"/>
      <c r="BT4" s="27" t="e">
        <f>D</f>
        <v>#NAME?</v>
      </c>
    </row>
    <row r="5" spans="1:72" s="27" customFormat="1" ht="9.9499999999999993" customHeight="1" x14ac:dyDescent="0.2">
      <c r="A5" s="172" t="s">
        <v>15</v>
      </c>
      <c r="B5" s="28" t="s">
        <v>74</v>
      </c>
      <c r="C5" s="35"/>
      <c r="D5" s="28">
        <f>COUNTIFS(DataRegularSeason20242025!$E$2:$E$1315,WatchedGames20242025!C$1,DataRegularSeason20242025!$D$2:$D$1315,WatchedGames20242025!$A5,DataRegularSeason20242025!$N$2:$N$1315,1, DataRegularSeason20242025!$R$2:$R$1315,1)</f>
        <v>0</v>
      </c>
      <c r="E5" s="35"/>
      <c r="F5" s="36"/>
      <c r="G5" s="35"/>
      <c r="H5" s="28">
        <f>COUNTIFS(DataRegularSeason20242025!$E$2:$E$1315,WatchedGames20242025!G$1,DataRegularSeason20242025!$D$2:$D$1315,WatchedGames20242025!$A5,DataRegularSeason20242025!$N$2:$N$1315,1, DataRegularSeason20242025!$R$2:$R$1315,1)</f>
        <v>0</v>
      </c>
      <c r="I5" s="35"/>
      <c r="J5" s="28">
        <f>COUNTIFS(DataRegularSeason20242025!$E$2:$E$1315,WatchedGames20242025!I$1,DataRegularSeason20242025!$D$2:$D$1315,WatchedGames20242025!$A5,DataRegularSeason20242025!$N$2:$N$1315,1, DataRegularSeason20242025!$R$2:$R$1315,1)</f>
        <v>0</v>
      </c>
      <c r="K5" s="35"/>
      <c r="L5" s="28">
        <f>COUNTIFS(DataRegularSeason20242025!$E$2:$E$1315,WatchedGames20242025!K$1,DataRegularSeason20242025!$D$2:$D$1315,WatchedGames20242025!$A5,DataRegularSeason20242025!$N$2:$N$1315,1, DataRegularSeason20242025!$R$2:$R$1315,1)</f>
        <v>0</v>
      </c>
      <c r="M5" s="35"/>
      <c r="N5" s="28">
        <f>COUNTIFS(DataRegularSeason20242025!$E$2:$E$1315,WatchedGames20242025!M$1,DataRegularSeason20242025!$D$2:$D$1315,WatchedGames20242025!$A5,DataRegularSeason20242025!$N$2:$N$1315,1, DataRegularSeason20242025!$R$2:$R$1315,1)</f>
        <v>0</v>
      </c>
      <c r="O5" s="35"/>
      <c r="P5" s="28">
        <f>COUNTIFS(DataRegularSeason20242025!$E$2:$E$1315,WatchedGames20242025!O$1,DataRegularSeason20242025!$D$2:$D$1315,WatchedGames20242025!$A5,DataRegularSeason20242025!$N$2:$N$1315,1, DataRegularSeason20242025!$R$2:$R$1315,1)</f>
        <v>0</v>
      </c>
      <c r="Q5" s="35"/>
      <c r="R5" s="28">
        <f>COUNTIFS(DataRegularSeason20242025!$E$2:$E$1315,WatchedGames20242025!Q$1,DataRegularSeason20242025!$D$2:$D$1315,WatchedGames20242025!$A5,DataRegularSeason20242025!$N$2:$N$1315,1, DataRegularSeason20242025!$R$2:$R$1315,1)</f>
        <v>1</v>
      </c>
      <c r="S5" s="35"/>
      <c r="T5" s="28">
        <f>COUNTIFS(DataRegularSeason20242025!$E$2:$E$1315,WatchedGames20242025!S$1,DataRegularSeason20242025!$D$2:$D$1315,WatchedGames20242025!$A5,DataRegularSeason20242025!$N$2:$N$1315,1, DataRegularSeason20242025!$R$2:$R$1315,1)</f>
        <v>0</v>
      </c>
      <c r="U5" s="35"/>
      <c r="V5" s="28">
        <f>COUNTIFS(DataRegularSeason20242025!$E$2:$E$1315,WatchedGames20242025!U$1,DataRegularSeason20242025!$D$2:$D$1315,WatchedGames20242025!$A5,DataRegularSeason20242025!$N$2:$N$1315,1, DataRegularSeason20242025!$R$2:$R$1315,1)</f>
        <v>0</v>
      </c>
      <c r="W5" s="35"/>
      <c r="X5" s="28">
        <f>COUNTIFS(DataRegularSeason20242025!$E$2:$E$1315,WatchedGames20242025!W$1,DataRegularSeason20242025!$D$2:$D$1315,WatchedGames20242025!$A5,DataRegularSeason20242025!$N$2:$N$1315,1, DataRegularSeason20242025!$R$2:$R$1315,1)</f>
        <v>0</v>
      </c>
      <c r="Y5" s="35"/>
      <c r="Z5" s="28">
        <f>COUNTIFS(DataRegularSeason20242025!$E$2:$E$1315,WatchedGames20242025!Y$1,DataRegularSeason20242025!$D$2:$D$1315,WatchedGames20242025!$A5,DataRegularSeason20242025!$N$2:$N$1315,1, DataRegularSeason20242025!$R$2:$R$1315,1)</f>
        <v>0</v>
      </c>
      <c r="AA5" s="35"/>
      <c r="AB5" s="28">
        <f>COUNTIFS(DataRegularSeason20242025!$E$2:$E$1315,WatchedGames20242025!AA$1,DataRegularSeason20242025!$D$2:$D$1315,WatchedGames20242025!$A5,DataRegularSeason20242025!$N$2:$N$1315,1, DataRegularSeason20242025!$R$2:$R$1315,1)</f>
        <v>0</v>
      </c>
      <c r="AC5" s="35"/>
      <c r="AD5" s="28">
        <f>COUNTIFS(DataRegularSeason20242025!$E$2:$E$1315,WatchedGames20242025!AC$1,DataRegularSeason20242025!$D$2:$D$1315,WatchedGames20242025!$A5,DataRegularSeason20242025!$N$2:$N$1315,1, DataRegularSeason20242025!$R$2:$R$1315,1)</f>
        <v>0</v>
      </c>
      <c r="AE5" s="35"/>
      <c r="AF5" s="28">
        <f>COUNTIFS(DataRegularSeason20242025!$E$2:$E$1315,WatchedGames20242025!AE$1,DataRegularSeason20242025!$D$2:$D$1315,WatchedGames20242025!$A5,DataRegularSeason20242025!$N$2:$N$1315,1, DataRegularSeason20242025!$R$2:$R$1315,1)</f>
        <v>0</v>
      </c>
      <c r="AG5" s="35"/>
      <c r="AH5" s="28">
        <f>COUNTIFS(DataRegularSeason20242025!$E$2:$E$1315,WatchedGames20242025!AG$1,DataRegularSeason20242025!$D$2:$D$1315,WatchedGames20242025!$A5,DataRegularSeason20242025!$N$2:$N$1315,1, DataRegularSeason20242025!$R$2:$R$1315,1)</f>
        <v>0</v>
      </c>
      <c r="AI5" s="35"/>
      <c r="AJ5" s="28">
        <f>COUNTIFS(DataRegularSeason20242025!$E$2:$E$1315,WatchedGames20242025!AI$1,DataRegularSeason20242025!$D$2:$D$1315,WatchedGames20242025!$A5,DataRegularSeason20242025!$N$2:$N$1315,1, DataRegularSeason20242025!$R$2:$R$1315,1)</f>
        <v>0</v>
      </c>
      <c r="AK5" s="35"/>
      <c r="AL5" s="28">
        <f>COUNTIFS(DataRegularSeason20242025!$E$2:$E$1315,WatchedGames20242025!AK$1,DataRegularSeason20242025!$D$2:$D$1315,WatchedGames20242025!$A5,DataRegularSeason20242025!$N$2:$N$1315,1, DataRegularSeason20242025!$R$2:$R$1315,1)</f>
        <v>0</v>
      </c>
      <c r="AM5" s="35"/>
      <c r="AN5" s="28">
        <f>COUNTIFS(DataRegularSeason20242025!$E$2:$E$1315,WatchedGames20242025!AM$1,DataRegularSeason20242025!$D$2:$D$1315,WatchedGames20242025!$A5,DataRegularSeason20242025!$N$2:$N$1315,1, DataRegularSeason20242025!$R$2:$R$1315,1)</f>
        <v>0</v>
      </c>
      <c r="AO5" s="35"/>
      <c r="AP5" s="28">
        <f>COUNTIFS(DataRegularSeason20242025!$E$2:$E$1315,WatchedGames20242025!AO$1,DataRegularSeason20242025!$D$2:$D$1315,WatchedGames20242025!$A5,DataRegularSeason20242025!$N$2:$N$1315,1, DataRegularSeason20242025!$R$2:$R$1315,1)</f>
        <v>0</v>
      </c>
      <c r="AQ5" s="35"/>
      <c r="AR5" s="28">
        <f>COUNTIFS(DataRegularSeason20242025!$E$2:$E$1315,WatchedGames20242025!AQ$1,DataRegularSeason20242025!$D$2:$D$1315,WatchedGames20242025!$A5,DataRegularSeason20242025!$N$2:$N$1315,1, DataRegularSeason20242025!$R$2:$R$1315,1)</f>
        <v>0</v>
      </c>
      <c r="AS5" s="35"/>
      <c r="AT5" s="28">
        <f>COUNTIFS(DataRegularSeason20242025!$E$2:$E$1315,WatchedGames20242025!AS$1,DataRegularSeason20242025!$D$2:$D$1315,WatchedGames20242025!$A5,DataRegularSeason20242025!$N$2:$N$1315,1, DataRegularSeason20242025!$R$2:$R$1315,1)</f>
        <v>0</v>
      </c>
      <c r="AU5" s="35"/>
      <c r="AV5" s="28">
        <f>COUNTIFS(DataRegularSeason20242025!$E$2:$E$1315,WatchedGames20242025!AU$1,DataRegularSeason20242025!$D$2:$D$1315,WatchedGames20242025!$A5,DataRegularSeason20242025!$N$2:$N$1315,1, DataRegularSeason20242025!$R$2:$R$1315,1)</f>
        <v>0</v>
      </c>
      <c r="AW5" s="35"/>
      <c r="AX5" s="28">
        <f>COUNTIFS(DataRegularSeason20242025!$E$2:$E$1315,WatchedGames20242025!AW$1,DataRegularSeason20242025!$D$2:$D$1315,WatchedGames20242025!$A5,DataRegularSeason20242025!$N$2:$N$1315,1, DataRegularSeason20242025!$R$2:$R$1315,1)</f>
        <v>0</v>
      </c>
      <c r="AY5" s="35"/>
      <c r="AZ5" s="28">
        <f>COUNTIFS(DataRegularSeason20242025!$E$2:$E$1315,WatchedGames20242025!AY$1,DataRegularSeason20242025!$D$2:$D$1315,WatchedGames20242025!$A5,DataRegularSeason20242025!$N$2:$N$1315,1, DataRegularSeason20242025!$R$2:$R$1315,1)</f>
        <v>0</v>
      </c>
      <c r="BA5" s="35"/>
      <c r="BB5" s="28">
        <f>COUNTIFS(DataRegularSeason20242025!$E$2:$E$1315,WatchedGames20242025!BA$1,DataRegularSeason20242025!$D$2:$D$1315,WatchedGames20242025!$A5,DataRegularSeason20242025!$N$2:$N$1315,1, DataRegularSeason20242025!$R$2:$R$1315,1)</f>
        <v>0</v>
      </c>
      <c r="BC5" s="35"/>
      <c r="BD5" s="28">
        <f>COUNTIFS(DataRegularSeason20242025!$E$2:$E$1315,WatchedGames20242025!BC$1,DataRegularSeason20242025!$D$2:$D$1315,WatchedGames20242025!$A5,DataRegularSeason20242025!$N$2:$N$1315,1, DataRegularSeason20242025!$R$2:$R$1315,1)</f>
        <v>0</v>
      </c>
      <c r="BE5" s="35"/>
      <c r="BF5" s="28">
        <f>COUNTIFS(DataRegularSeason20242025!$E$2:$E$1315,WatchedGames20242025!BE$1,DataRegularSeason20242025!$D$2:$D$1315,WatchedGames20242025!$A5,DataRegularSeason20242025!$N$2:$N$1315,1, DataRegularSeason20242025!$R$2:$R$1315,1)</f>
        <v>1</v>
      </c>
      <c r="BG5" s="35"/>
      <c r="BH5" s="28">
        <f>COUNTIFS(DataRegularSeason20242025!$E$2:$E$1315,WatchedGames20242025!BG$1,DataRegularSeason20242025!$D$2:$D$1315,WatchedGames20242025!$A5,DataRegularSeason20242025!$N$2:$N$1315,1, DataRegularSeason20242025!$R$2:$R$1315,1)</f>
        <v>0</v>
      </c>
      <c r="BI5" s="35"/>
      <c r="BJ5" s="28">
        <f>COUNTIFS(DataRegularSeason20242025!$E$2:$E$1315,WatchedGames20242025!BI$1,DataRegularSeason20242025!$D$2:$D$1315,WatchedGames20242025!$A5,DataRegularSeason20242025!$N$2:$N$1315,1, DataRegularSeason20242025!$R$2:$R$1315,1)</f>
        <v>1</v>
      </c>
      <c r="BK5" s="35"/>
      <c r="BL5" s="28">
        <f>COUNTIFS(DataRegularSeason20242025!$E$2:$E$1315,WatchedGames20242025!BK$1,DataRegularSeason20242025!$D$2:$D$1315,WatchedGames20242025!$A5,DataRegularSeason20242025!$N$2:$N$1315,1, DataRegularSeason20242025!$R$2:$R$1315,1)</f>
        <v>0</v>
      </c>
      <c r="BM5" s="35"/>
      <c r="BN5" s="28">
        <f>COUNTIFS(DataRegularSeason20242025!$E$2:$E$1315,WatchedGames20242025!BM$1,DataRegularSeason20242025!$D$2:$D$1315,WatchedGames20242025!$A5,DataRegularSeason20242025!$N$2:$N$1315,1, DataRegularSeason20242025!$R$2:$R$1315,1)</f>
        <v>0</v>
      </c>
      <c r="BO5" s="30">
        <f t="shared" ref="BO5:BO66" si="1">SUM(C5:BN5)</f>
        <v>3</v>
      </c>
      <c r="BP5" s="165">
        <f t="shared" ref="BP5" si="2">BO5+BO6</f>
        <v>6</v>
      </c>
      <c r="BQ5" s="166">
        <f t="shared" ref="BQ5" si="3">82-BP5</f>
        <v>76</v>
      </c>
      <c r="BR5" s="173">
        <f t="shared" si="0"/>
        <v>7.3170731707317069E-2</v>
      </c>
    </row>
    <row r="6" spans="1:72" s="27" customFormat="1" ht="9.9499999999999993" customHeight="1" x14ac:dyDescent="0.2">
      <c r="A6" s="167"/>
      <c r="B6" s="32" t="s">
        <v>73</v>
      </c>
      <c r="C6" s="38">
        <f>COUNTIFS(DataRegularSeason20242025!$E$2:$E$1315,WatchedGames20242025!$A5,DataRegularSeason20242025!$D$2:$D$1315,WatchedGames20242025!C$1,DataRegularSeason20242025!$N$2:$N$1315,1, DataRegularSeason20242025!$R$2:$R$1315,1)</f>
        <v>0</v>
      </c>
      <c r="D6" s="39"/>
      <c r="E6" s="38"/>
      <c r="F6" s="39"/>
      <c r="G6" s="38">
        <f>COUNTIFS(DataRegularSeason20242025!$E$2:$E$1315,WatchedGames20242025!$A5,DataRegularSeason20242025!$D$2:$D$1315,WatchedGames20242025!G$1,DataRegularSeason20242025!$N$2:$N$1315,1, DataRegularSeason20242025!$R$2:$R$1315,1)</f>
        <v>0</v>
      </c>
      <c r="H6" s="39"/>
      <c r="I6" s="38">
        <f>COUNTIFS(DataRegularSeason20242025!$E$2:$E$1315,WatchedGames20242025!$A5,DataRegularSeason20242025!$D$2:$D$1315,WatchedGames20242025!I$1,DataRegularSeason20242025!$N$2:$N$1315,1, DataRegularSeason20242025!$R$2:$R$1315,1)</f>
        <v>0</v>
      </c>
      <c r="J6" s="39"/>
      <c r="K6" s="38">
        <f>COUNTIFS(DataRegularSeason20242025!$E$2:$E$1315,WatchedGames20242025!$A5,DataRegularSeason20242025!$D$2:$D$1315,WatchedGames20242025!K$1,DataRegularSeason20242025!$N$2:$N$1315,1, DataRegularSeason20242025!$R$2:$R$1315,1)</f>
        <v>0</v>
      </c>
      <c r="L6" s="39"/>
      <c r="M6" s="38">
        <f>COUNTIFS(DataRegularSeason20242025!$E$2:$E$1315,WatchedGames20242025!$A5,DataRegularSeason20242025!$D$2:$D$1315,WatchedGames20242025!M$1,DataRegularSeason20242025!$N$2:$N$1315,1, DataRegularSeason20242025!$R$2:$R$1315,1)</f>
        <v>0</v>
      </c>
      <c r="N6" s="39"/>
      <c r="O6" s="38">
        <f>COUNTIFS(DataRegularSeason20242025!$E$2:$E$1315,WatchedGames20242025!$A5,DataRegularSeason20242025!$D$2:$D$1315,WatchedGames20242025!O$1,DataRegularSeason20242025!$N$2:$N$1315,1, DataRegularSeason20242025!$R$2:$R$1315,1)</f>
        <v>1</v>
      </c>
      <c r="P6" s="39"/>
      <c r="Q6" s="38">
        <f>COUNTIFS(DataRegularSeason20242025!$E$2:$E$1315,WatchedGames20242025!$A5,DataRegularSeason20242025!$D$2:$D$1315,WatchedGames20242025!Q$1,DataRegularSeason20242025!$N$2:$N$1315,1, DataRegularSeason20242025!$R$2:$R$1315,1)</f>
        <v>0</v>
      </c>
      <c r="R6" s="39"/>
      <c r="S6" s="38">
        <f>COUNTIFS(DataRegularSeason20242025!$E$2:$E$1315,WatchedGames20242025!$A5,DataRegularSeason20242025!$D$2:$D$1315,WatchedGames20242025!S$1,DataRegularSeason20242025!$N$2:$N$1315,1, DataRegularSeason20242025!$R$2:$R$1315,1)</f>
        <v>0</v>
      </c>
      <c r="T6" s="39"/>
      <c r="U6" s="38">
        <f>COUNTIFS(DataRegularSeason20242025!$E$2:$E$1315,WatchedGames20242025!$A5,DataRegularSeason20242025!$D$2:$D$1315,WatchedGames20242025!U$1,DataRegularSeason20242025!$N$2:$N$1315,1, DataRegularSeason20242025!$R$2:$R$1315,1)</f>
        <v>0</v>
      </c>
      <c r="V6" s="39"/>
      <c r="W6" s="38">
        <f>COUNTIFS(DataRegularSeason20242025!$E$2:$E$1315,WatchedGames20242025!$A5,DataRegularSeason20242025!$D$2:$D$1315,WatchedGames20242025!W$1,DataRegularSeason20242025!$N$2:$N$1315,1, DataRegularSeason20242025!$R$2:$R$1315,1)</f>
        <v>0</v>
      </c>
      <c r="X6" s="39"/>
      <c r="Y6" s="38">
        <f>COUNTIFS(DataRegularSeason20242025!$E$2:$E$1315,WatchedGames20242025!$A5,DataRegularSeason20242025!$D$2:$D$1315,WatchedGames20242025!Y$1,DataRegularSeason20242025!$N$2:$N$1315,1, DataRegularSeason20242025!$R$2:$R$1315,1)</f>
        <v>1</v>
      </c>
      <c r="Z6" s="39"/>
      <c r="AA6" s="38">
        <f>COUNTIFS(DataRegularSeason20242025!$E$2:$E$1315,WatchedGames20242025!$A5,DataRegularSeason20242025!$D$2:$D$1315,WatchedGames20242025!AA$1,DataRegularSeason20242025!$N$2:$N$1315,1, DataRegularSeason20242025!$R$2:$R$1315,1)</f>
        <v>0</v>
      </c>
      <c r="AB6" s="39"/>
      <c r="AC6" s="38">
        <f>COUNTIFS(DataRegularSeason20242025!$E$2:$E$1315,WatchedGames20242025!$A5,DataRegularSeason20242025!$D$2:$D$1315,WatchedGames20242025!AC$1,DataRegularSeason20242025!$N$2:$N$1315,1, DataRegularSeason20242025!$R$2:$R$1315,1)</f>
        <v>0</v>
      </c>
      <c r="AD6" s="39"/>
      <c r="AE6" s="38">
        <f>COUNTIFS(DataRegularSeason20242025!$E$2:$E$1315,WatchedGames20242025!$A5,DataRegularSeason20242025!$D$2:$D$1315,WatchedGames20242025!AE$1,DataRegularSeason20242025!$N$2:$N$1315,1, DataRegularSeason20242025!$R$2:$R$1315,1)</f>
        <v>0</v>
      </c>
      <c r="AF6" s="39"/>
      <c r="AG6" s="38">
        <f>COUNTIFS(DataRegularSeason20242025!$E$2:$E$1315,WatchedGames20242025!$A5,DataRegularSeason20242025!$D$2:$D$1315,WatchedGames20242025!AG$1,DataRegularSeason20242025!$N$2:$N$1315,1, DataRegularSeason20242025!$R$2:$R$1315,1)</f>
        <v>0</v>
      </c>
      <c r="AH6" s="39"/>
      <c r="AI6" s="38">
        <f>COUNTIFS(DataRegularSeason20242025!$E$2:$E$1315,WatchedGames20242025!$A5,DataRegularSeason20242025!$D$2:$D$1315,WatchedGames20242025!AI$1,DataRegularSeason20242025!$N$2:$N$1315,1, DataRegularSeason20242025!$R$2:$R$1315,1)</f>
        <v>0</v>
      </c>
      <c r="AJ6" s="39"/>
      <c r="AK6" s="38">
        <f>COUNTIFS(DataRegularSeason20242025!$E$2:$E$1315,WatchedGames20242025!$A5,DataRegularSeason20242025!$D$2:$D$1315,WatchedGames20242025!AK$1,DataRegularSeason20242025!$N$2:$N$1315,1, DataRegularSeason20242025!$R$2:$R$1315,1)</f>
        <v>0</v>
      </c>
      <c r="AL6" s="39"/>
      <c r="AM6" s="38">
        <f>COUNTIFS(DataRegularSeason20242025!$E$2:$E$1315,WatchedGames20242025!$A5,DataRegularSeason20242025!$D$2:$D$1315,WatchedGames20242025!AM$1,DataRegularSeason20242025!$N$2:$N$1315,1, DataRegularSeason20242025!$R$2:$R$1315,1)</f>
        <v>0</v>
      </c>
      <c r="AN6" s="39"/>
      <c r="AO6" s="38">
        <f>COUNTIFS(DataRegularSeason20242025!$E$2:$E$1315,WatchedGames20242025!$A5,DataRegularSeason20242025!$D$2:$D$1315,WatchedGames20242025!AO$1,DataRegularSeason20242025!$N$2:$N$1315,1, DataRegularSeason20242025!$R$2:$R$1315,1)</f>
        <v>0</v>
      </c>
      <c r="AP6" s="39"/>
      <c r="AQ6" s="38">
        <f>COUNTIFS(DataRegularSeason20242025!$E$2:$E$1315,WatchedGames20242025!$A5,DataRegularSeason20242025!$D$2:$D$1315,WatchedGames20242025!AQ$1,DataRegularSeason20242025!$N$2:$N$1315,1, DataRegularSeason20242025!$R$2:$R$1315,1)</f>
        <v>0</v>
      </c>
      <c r="AR6" s="39"/>
      <c r="AS6" s="38">
        <f>COUNTIFS(DataRegularSeason20242025!$E$2:$E$1315,WatchedGames20242025!$A5,DataRegularSeason20242025!$D$2:$D$1315,WatchedGames20242025!AS$1,DataRegularSeason20242025!$N$2:$N$1315,1, DataRegularSeason20242025!$R$2:$R$1315,1)</f>
        <v>0</v>
      </c>
      <c r="AT6" s="39"/>
      <c r="AU6" s="38">
        <f>COUNTIFS(DataRegularSeason20242025!$E$2:$E$1315,WatchedGames20242025!$A5,DataRegularSeason20242025!$D$2:$D$1315,WatchedGames20242025!AU$1,DataRegularSeason20242025!$N$2:$N$1315,1, DataRegularSeason20242025!$R$2:$R$1315,1)</f>
        <v>0</v>
      </c>
      <c r="AV6" s="39"/>
      <c r="AW6" s="38">
        <f>COUNTIFS(DataRegularSeason20242025!$E$2:$E$1315,WatchedGames20242025!$A5,DataRegularSeason20242025!$D$2:$D$1315,WatchedGames20242025!AW$1,DataRegularSeason20242025!$N$2:$N$1315,1, DataRegularSeason20242025!$R$2:$R$1315,1)</f>
        <v>0</v>
      </c>
      <c r="AX6" s="39"/>
      <c r="AY6" s="38">
        <f>COUNTIFS(DataRegularSeason20242025!$E$2:$E$1315,WatchedGames20242025!$A5,DataRegularSeason20242025!$D$2:$D$1315,WatchedGames20242025!AY$1,DataRegularSeason20242025!$N$2:$N$1315,1, DataRegularSeason20242025!$R$2:$R$1315,1)</f>
        <v>0</v>
      </c>
      <c r="AZ6" s="39"/>
      <c r="BA6" s="38">
        <f>COUNTIFS(DataRegularSeason20242025!$E$2:$E$1315,WatchedGames20242025!$A5,DataRegularSeason20242025!$D$2:$D$1315,WatchedGames20242025!BA$1,DataRegularSeason20242025!$N$2:$N$1315,1, DataRegularSeason20242025!$R$2:$R$1315,1)</f>
        <v>1</v>
      </c>
      <c r="BB6" s="39"/>
      <c r="BC6" s="38">
        <f>COUNTIFS(DataRegularSeason20242025!$E$2:$E$1315,WatchedGames20242025!$A5,DataRegularSeason20242025!$D$2:$D$1315,WatchedGames20242025!BC$1,DataRegularSeason20242025!$N$2:$N$1315,1, DataRegularSeason20242025!$R$2:$R$1315,1)</f>
        <v>0</v>
      </c>
      <c r="BD6" s="39"/>
      <c r="BE6" s="38">
        <f>COUNTIFS(DataRegularSeason20242025!$E$2:$E$1315,WatchedGames20242025!$A5,DataRegularSeason20242025!$D$2:$D$1315,WatchedGames20242025!BE$1,DataRegularSeason20242025!$N$2:$N$1315,1, DataRegularSeason20242025!$R$2:$R$1315,1)</f>
        <v>0</v>
      </c>
      <c r="BF6" s="39"/>
      <c r="BG6" s="38">
        <f>COUNTIFS(DataRegularSeason20242025!$E$2:$E$1315,WatchedGames20242025!$A5,DataRegularSeason20242025!$D$2:$D$1315,WatchedGames20242025!BG$1,DataRegularSeason20242025!$N$2:$N$1315,1, DataRegularSeason20242025!$R$2:$R$1315,1)</f>
        <v>0</v>
      </c>
      <c r="BH6" s="39"/>
      <c r="BI6" s="38">
        <f>COUNTIFS(DataRegularSeason20242025!$E$2:$E$1315,WatchedGames20242025!$A5,DataRegularSeason20242025!$D$2:$D$1315,WatchedGames20242025!BI$1,DataRegularSeason20242025!$N$2:$N$1315,1, DataRegularSeason20242025!$R$2:$R$1315,1)</f>
        <v>0</v>
      </c>
      <c r="BJ6" s="39"/>
      <c r="BK6" s="38">
        <f>COUNTIFS(DataRegularSeason20242025!$E$2:$E$1315,WatchedGames20242025!$A5,DataRegularSeason20242025!$D$2:$D$1315,WatchedGames20242025!BK$1,DataRegularSeason20242025!$N$2:$N$1315,1, DataRegularSeason20242025!$R$2:$R$1315,1)</f>
        <v>0</v>
      </c>
      <c r="BL6" s="39"/>
      <c r="BM6" s="38">
        <f>COUNTIFS(DataRegularSeason20242025!$E$2:$E$1315,WatchedGames20242025!$A5,DataRegularSeason20242025!$D$2:$D$1315,WatchedGames20242025!BM$1,DataRegularSeason20242025!$N$2:$N$1315,1, DataRegularSeason20242025!$R$2:$R$1315,1)</f>
        <v>0</v>
      </c>
      <c r="BN6" s="39"/>
      <c r="BO6" s="34">
        <f t="shared" si="1"/>
        <v>3</v>
      </c>
      <c r="BP6" s="165"/>
      <c r="BQ6" s="166"/>
      <c r="BR6" s="173"/>
    </row>
    <row r="7" spans="1:72" s="27" customFormat="1" ht="9.9499999999999993" customHeight="1" x14ac:dyDescent="0.2">
      <c r="A7" s="172" t="s">
        <v>28</v>
      </c>
      <c r="B7" s="28" t="s">
        <v>74</v>
      </c>
      <c r="C7" s="35"/>
      <c r="D7" s="28">
        <f>COUNTIFS(DataRegularSeason20242025!$E$2:$E$1315,WatchedGames20242025!C$1,DataRegularSeason20242025!$D$2:$D$1315,WatchedGames20242025!$A7,DataRegularSeason20242025!$N$2:$N$1315,1, DataRegularSeason20242025!$R$2:$R$1315,1)</f>
        <v>0</v>
      </c>
      <c r="E7" s="35"/>
      <c r="F7" s="28">
        <f>COUNTIFS(DataRegularSeason20242025!$E$2:$E$1315,WatchedGames20242025!E$1,DataRegularSeason20242025!$D$2:$D$1315,WatchedGames20242025!$A7,DataRegularSeason20242025!$N$2:$N$1315,1, DataRegularSeason20242025!$R$2:$R$1315,1)</f>
        <v>0</v>
      </c>
      <c r="G7" s="35"/>
      <c r="H7" s="36"/>
      <c r="I7" s="35"/>
      <c r="J7" s="28">
        <f>COUNTIFS(DataRegularSeason20242025!$E$2:$E$1315,WatchedGames20242025!I$1,DataRegularSeason20242025!$D$2:$D$1315,WatchedGames20242025!$A7,DataRegularSeason20242025!$N$2:$N$1315,1, DataRegularSeason20242025!$R$2:$R$1315,1)</f>
        <v>0</v>
      </c>
      <c r="K7" s="35"/>
      <c r="L7" s="28">
        <f>COUNTIFS(DataRegularSeason20242025!$E$2:$E$1315,WatchedGames20242025!K$1,DataRegularSeason20242025!$D$2:$D$1315,WatchedGames20242025!$A7,DataRegularSeason20242025!$N$2:$N$1315,1, DataRegularSeason20242025!$R$2:$R$1315,1)</f>
        <v>0</v>
      </c>
      <c r="M7" s="35"/>
      <c r="N7" s="28">
        <f>COUNTIFS(DataRegularSeason20242025!$E$2:$E$1315,WatchedGames20242025!M$1,DataRegularSeason20242025!$D$2:$D$1315,WatchedGames20242025!$A7,DataRegularSeason20242025!$N$2:$N$1315,1, DataRegularSeason20242025!$R$2:$R$1315,1)</f>
        <v>0</v>
      </c>
      <c r="O7" s="35"/>
      <c r="P7" s="28">
        <f>COUNTIFS(DataRegularSeason20242025!$E$2:$E$1315,WatchedGames20242025!O$1,DataRegularSeason20242025!$D$2:$D$1315,WatchedGames20242025!$A7,DataRegularSeason20242025!$N$2:$N$1315,1, DataRegularSeason20242025!$R$2:$R$1315,1)</f>
        <v>0</v>
      </c>
      <c r="Q7" s="35"/>
      <c r="R7" s="28">
        <f>COUNTIFS(DataRegularSeason20242025!$E$2:$E$1315,WatchedGames20242025!Q$1,DataRegularSeason20242025!$D$2:$D$1315,WatchedGames20242025!$A7,DataRegularSeason20242025!$N$2:$N$1315,1, DataRegularSeason20242025!$R$2:$R$1315,1)</f>
        <v>0</v>
      </c>
      <c r="S7" s="35"/>
      <c r="T7" s="28">
        <f>COUNTIFS(DataRegularSeason20242025!$E$2:$E$1315,WatchedGames20242025!S$1,DataRegularSeason20242025!$D$2:$D$1315,WatchedGames20242025!$A7,DataRegularSeason20242025!$N$2:$N$1315,1, DataRegularSeason20242025!$R$2:$R$1315,1)</f>
        <v>0</v>
      </c>
      <c r="U7" s="35"/>
      <c r="V7" s="28">
        <f>COUNTIFS(DataRegularSeason20242025!$E$2:$E$1315,WatchedGames20242025!U$1,DataRegularSeason20242025!$D$2:$D$1315,WatchedGames20242025!$A7,DataRegularSeason20242025!$N$2:$N$1315,1, DataRegularSeason20242025!$R$2:$R$1315,1)</f>
        <v>0</v>
      </c>
      <c r="W7" s="35"/>
      <c r="X7" s="28">
        <f>COUNTIFS(DataRegularSeason20242025!$E$2:$E$1315,WatchedGames20242025!W$1,DataRegularSeason20242025!$D$2:$D$1315,WatchedGames20242025!$A7,DataRegularSeason20242025!$N$2:$N$1315,1, DataRegularSeason20242025!$R$2:$R$1315,1)</f>
        <v>0</v>
      </c>
      <c r="Y7" s="35"/>
      <c r="Z7" s="28">
        <f>COUNTIFS(DataRegularSeason20242025!$E$2:$E$1315,WatchedGames20242025!Y$1,DataRegularSeason20242025!$D$2:$D$1315,WatchedGames20242025!$A7,DataRegularSeason20242025!$N$2:$N$1315,1, DataRegularSeason20242025!$R$2:$R$1315,1)</f>
        <v>0</v>
      </c>
      <c r="AA7" s="35"/>
      <c r="AB7" s="28">
        <f>COUNTIFS(DataRegularSeason20242025!$E$2:$E$1315,WatchedGames20242025!AA$1,DataRegularSeason20242025!$D$2:$D$1315,WatchedGames20242025!$A7,DataRegularSeason20242025!$N$2:$N$1315,1, DataRegularSeason20242025!$R$2:$R$1315,1)</f>
        <v>0</v>
      </c>
      <c r="AC7" s="35"/>
      <c r="AD7" s="28">
        <f>COUNTIFS(DataRegularSeason20242025!$E$2:$E$1315,WatchedGames20242025!AC$1,DataRegularSeason20242025!$D$2:$D$1315,WatchedGames20242025!$A7,DataRegularSeason20242025!$N$2:$N$1315,1, DataRegularSeason20242025!$R$2:$R$1315,1)</f>
        <v>0</v>
      </c>
      <c r="AE7" s="35"/>
      <c r="AF7" s="28">
        <f>COUNTIFS(DataRegularSeason20242025!$E$2:$E$1315,WatchedGames20242025!AE$1,DataRegularSeason20242025!$D$2:$D$1315,WatchedGames20242025!$A7,DataRegularSeason20242025!$N$2:$N$1315,1, DataRegularSeason20242025!$R$2:$R$1315,1)</f>
        <v>1</v>
      </c>
      <c r="AG7" s="35"/>
      <c r="AH7" s="28">
        <f>COUNTIFS(DataRegularSeason20242025!$E$2:$E$1315,WatchedGames20242025!AG$1,DataRegularSeason20242025!$D$2:$D$1315,WatchedGames20242025!$A7,DataRegularSeason20242025!$N$2:$N$1315,1, DataRegularSeason20242025!$R$2:$R$1315,1)</f>
        <v>0</v>
      </c>
      <c r="AI7" s="35"/>
      <c r="AJ7" s="28">
        <f>COUNTIFS(DataRegularSeason20242025!$E$2:$E$1315,WatchedGames20242025!AI$1,DataRegularSeason20242025!$D$2:$D$1315,WatchedGames20242025!$A7,DataRegularSeason20242025!$N$2:$N$1315,1, DataRegularSeason20242025!$R$2:$R$1315,1)</f>
        <v>0</v>
      </c>
      <c r="AK7" s="35"/>
      <c r="AL7" s="28">
        <f>COUNTIFS(DataRegularSeason20242025!$E$2:$E$1315,WatchedGames20242025!AK$1,DataRegularSeason20242025!$D$2:$D$1315,WatchedGames20242025!$A7,DataRegularSeason20242025!$N$2:$N$1315,1, DataRegularSeason20242025!$R$2:$R$1315,1)</f>
        <v>0</v>
      </c>
      <c r="AM7" s="35"/>
      <c r="AN7" s="28">
        <f>COUNTIFS(DataRegularSeason20242025!$E$2:$E$1315,WatchedGames20242025!AM$1,DataRegularSeason20242025!$D$2:$D$1315,WatchedGames20242025!$A7,DataRegularSeason20242025!$N$2:$N$1315,1, DataRegularSeason20242025!$R$2:$R$1315,1)</f>
        <v>0</v>
      </c>
      <c r="AO7" s="35"/>
      <c r="AP7" s="28">
        <f>COUNTIFS(DataRegularSeason20242025!$E$2:$E$1315,WatchedGames20242025!AO$1,DataRegularSeason20242025!$D$2:$D$1315,WatchedGames20242025!$A7,DataRegularSeason20242025!$N$2:$N$1315,1, DataRegularSeason20242025!$R$2:$R$1315,1)</f>
        <v>0</v>
      </c>
      <c r="AQ7" s="35"/>
      <c r="AR7" s="28">
        <f>COUNTIFS(DataRegularSeason20242025!$E$2:$E$1315,WatchedGames20242025!AQ$1,DataRegularSeason20242025!$D$2:$D$1315,WatchedGames20242025!$A7,DataRegularSeason20242025!$N$2:$N$1315,1, DataRegularSeason20242025!$R$2:$R$1315,1)</f>
        <v>0</v>
      </c>
      <c r="AS7" s="35"/>
      <c r="AT7" s="28">
        <f>COUNTIFS(DataRegularSeason20242025!$E$2:$E$1315,WatchedGames20242025!AS$1,DataRegularSeason20242025!$D$2:$D$1315,WatchedGames20242025!$A7,DataRegularSeason20242025!$N$2:$N$1315,1, DataRegularSeason20242025!$R$2:$R$1315,1)</f>
        <v>0</v>
      </c>
      <c r="AU7" s="35"/>
      <c r="AV7" s="28">
        <f>COUNTIFS(DataRegularSeason20242025!$E$2:$E$1315,WatchedGames20242025!AU$1,DataRegularSeason20242025!$D$2:$D$1315,WatchedGames20242025!$A7,DataRegularSeason20242025!$N$2:$N$1315,1, DataRegularSeason20242025!$R$2:$R$1315,1)</f>
        <v>0</v>
      </c>
      <c r="AW7" s="35"/>
      <c r="AX7" s="28">
        <f>COUNTIFS(DataRegularSeason20242025!$E$2:$E$1315,WatchedGames20242025!AW$1,DataRegularSeason20242025!$D$2:$D$1315,WatchedGames20242025!$A7,DataRegularSeason20242025!$N$2:$N$1315,1, DataRegularSeason20242025!$R$2:$R$1315,1)</f>
        <v>0</v>
      </c>
      <c r="AY7" s="35"/>
      <c r="AZ7" s="28">
        <f>COUNTIFS(DataRegularSeason20242025!$E$2:$E$1315,WatchedGames20242025!AY$1,DataRegularSeason20242025!$D$2:$D$1315,WatchedGames20242025!$A7,DataRegularSeason20242025!$N$2:$N$1315,1, DataRegularSeason20242025!$R$2:$R$1315,1)</f>
        <v>0</v>
      </c>
      <c r="BA7" s="35"/>
      <c r="BB7" s="28">
        <f>COUNTIFS(DataRegularSeason20242025!$E$2:$E$1315,WatchedGames20242025!BA$1,DataRegularSeason20242025!$D$2:$D$1315,WatchedGames20242025!$A7,DataRegularSeason20242025!$N$2:$N$1315,1, DataRegularSeason20242025!$R$2:$R$1315,1)</f>
        <v>0</v>
      </c>
      <c r="BC7" s="35"/>
      <c r="BD7" s="28">
        <f>COUNTIFS(DataRegularSeason20242025!$E$2:$E$1315,WatchedGames20242025!BC$1,DataRegularSeason20242025!$D$2:$D$1315,WatchedGames20242025!$A7,DataRegularSeason20242025!$N$2:$N$1315,1, DataRegularSeason20242025!$R$2:$R$1315,1)</f>
        <v>0</v>
      </c>
      <c r="BE7" s="35"/>
      <c r="BF7" s="28">
        <f>COUNTIFS(DataRegularSeason20242025!$E$2:$E$1315,WatchedGames20242025!BE$1,DataRegularSeason20242025!$D$2:$D$1315,WatchedGames20242025!$A7,DataRegularSeason20242025!$N$2:$N$1315,1, DataRegularSeason20242025!$R$2:$R$1315,1)</f>
        <v>0</v>
      </c>
      <c r="BG7" s="35"/>
      <c r="BH7" s="28">
        <f>COUNTIFS(DataRegularSeason20242025!$E$2:$E$1315,WatchedGames20242025!BG$1,DataRegularSeason20242025!$D$2:$D$1315,WatchedGames20242025!$A7,DataRegularSeason20242025!$N$2:$N$1315,1, DataRegularSeason20242025!$R$2:$R$1315,1)</f>
        <v>0</v>
      </c>
      <c r="BI7" s="35"/>
      <c r="BJ7" s="28">
        <f>COUNTIFS(DataRegularSeason20242025!$E$2:$E$1315,WatchedGames20242025!BI$1,DataRegularSeason20242025!$D$2:$D$1315,WatchedGames20242025!$A7,DataRegularSeason20242025!$N$2:$N$1315,1, DataRegularSeason20242025!$R$2:$R$1315,1)</f>
        <v>0</v>
      </c>
      <c r="BK7" s="35"/>
      <c r="BL7" s="28">
        <f>COUNTIFS(DataRegularSeason20242025!$E$2:$E$1315,WatchedGames20242025!BK$1,DataRegularSeason20242025!$D$2:$D$1315,WatchedGames20242025!$A7,DataRegularSeason20242025!$N$2:$N$1315,1, DataRegularSeason20242025!$R$2:$R$1315,1)</f>
        <v>0</v>
      </c>
      <c r="BM7" s="35"/>
      <c r="BN7" s="28">
        <f>COUNTIFS(DataRegularSeason20242025!$E$2:$E$1315,WatchedGames20242025!BM$1,DataRegularSeason20242025!$D$2:$D$1315,WatchedGames20242025!$A7,DataRegularSeason20242025!$N$2:$N$1315,1, DataRegularSeason20242025!$R$2:$R$1315,1)</f>
        <v>0</v>
      </c>
      <c r="BO7" s="30">
        <f t="shared" si="1"/>
        <v>1</v>
      </c>
      <c r="BP7" s="165">
        <f t="shared" ref="BP7" si="4">BO7+BO8</f>
        <v>4</v>
      </c>
      <c r="BQ7" s="166">
        <f t="shared" ref="BQ7" si="5">82-BP7</f>
        <v>78</v>
      </c>
      <c r="BR7" s="173">
        <f t="shared" si="0"/>
        <v>4.878048780487805E-2</v>
      </c>
    </row>
    <row r="8" spans="1:72" s="27" customFormat="1" ht="9.9499999999999993" customHeight="1" x14ac:dyDescent="0.2">
      <c r="A8" s="167"/>
      <c r="B8" s="32" t="s">
        <v>73</v>
      </c>
      <c r="C8" s="38">
        <f>COUNTIFS(DataRegularSeason20242025!$E$2:$E$1315,WatchedGames20242025!$A7,DataRegularSeason20242025!$D$2:$D$1315,WatchedGames20242025!C$1,DataRegularSeason20242025!$N$2:$N$1315,1, DataRegularSeason20242025!$R$2:$R$1315,1)</f>
        <v>0</v>
      </c>
      <c r="D8" s="39"/>
      <c r="E8" s="38">
        <f>COUNTIFS(DataRegularSeason20242025!$E$2:$E$1315,WatchedGames20242025!$A7,DataRegularSeason20242025!$D$2:$D$1315,WatchedGames20242025!E$1,DataRegularSeason20242025!$N$2:$N$1315,1, DataRegularSeason20242025!$R$2:$R$1315,1)</f>
        <v>0</v>
      </c>
      <c r="F8" s="39"/>
      <c r="G8" s="38"/>
      <c r="H8" s="39"/>
      <c r="I8" s="38">
        <f>COUNTIFS(DataRegularSeason20242025!$E$2:$E$1315,WatchedGames20242025!$A7,DataRegularSeason20242025!$D$2:$D$1315,WatchedGames20242025!I$1,DataRegularSeason20242025!$N$2:$N$1315,1, DataRegularSeason20242025!$R$2:$R$1315,1)</f>
        <v>0</v>
      </c>
      <c r="J8" s="39"/>
      <c r="K8" s="38">
        <f>COUNTIFS(DataRegularSeason20242025!$E$2:$E$1315,WatchedGames20242025!$A7,DataRegularSeason20242025!$D$2:$D$1315,WatchedGames20242025!K$1,DataRegularSeason20242025!$N$2:$N$1315,1, DataRegularSeason20242025!$R$2:$R$1315,1)</f>
        <v>0</v>
      </c>
      <c r="L8" s="39"/>
      <c r="M8" s="38">
        <f>COUNTIFS(DataRegularSeason20242025!$E$2:$E$1315,WatchedGames20242025!$A7,DataRegularSeason20242025!$D$2:$D$1315,WatchedGames20242025!M$1,DataRegularSeason20242025!$N$2:$N$1315,1, DataRegularSeason20242025!$R$2:$R$1315,1)</f>
        <v>0</v>
      </c>
      <c r="N8" s="39"/>
      <c r="O8" s="38">
        <f>COUNTIFS(DataRegularSeason20242025!$E$2:$E$1315,WatchedGames20242025!$A7,DataRegularSeason20242025!$D$2:$D$1315,WatchedGames20242025!O$1,DataRegularSeason20242025!$N$2:$N$1315,1, DataRegularSeason20242025!$R$2:$R$1315,1)</f>
        <v>0</v>
      </c>
      <c r="P8" s="39"/>
      <c r="Q8" s="38">
        <f>COUNTIFS(DataRegularSeason20242025!$E$2:$E$1315,WatchedGames20242025!$A7,DataRegularSeason20242025!$D$2:$D$1315,WatchedGames20242025!Q$1,DataRegularSeason20242025!$N$2:$N$1315,1, DataRegularSeason20242025!$R$2:$R$1315,1)</f>
        <v>1</v>
      </c>
      <c r="R8" s="39"/>
      <c r="S8" s="38">
        <f>COUNTIFS(DataRegularSeason20242025!$E$2:$E$1315,WatchedGames20242025!$A7,DataRegularSeason20242025!$D$2:$D$1315,WatchedGames20242025!S$1,DataRegularSeason20242025!$N$2:$N$1315,1, DataRegularSeason20242025!$R$2:$R$1315,1)</f>
        <v>0</v>
      </c>
      <c r="T8" s="39"/>
      <c r="U8" s="38">
        <f>COUNTIFS(DataRegularSeason20242025!$E$2:$E$1315,WatchedGames20242025!$A7,DataRegularSeason20242025!$D$2:$D$1315,WatchedGames20242025!U$1,DataRegularSeason20242025!$N$2:$N$1315,1, DataRegularSeason20242025!$R$2:$R$1315,1)</f>
        <v>0</v>
      </c>
      <c r="V8" s="39"/>
      <c r="W8" s="38">
        <f>COUNTIFS(DataRegularSeason20242025!$E$2:$E$1315,WatchedGames20242025!$A7,DataRegularSeason20242025!$D$2:$D$1315,WatchedGames20242025!W$1,DataRegularSeason20242025!$N$2:$N$1315,1, DataRegularSeason20242025!$R$2:$R$1315,1)</f>
        <v>0</v>
      </c>
      <c r="X8" s="39"/>
      <c r="Y8" s="38">
        <f>COUNTIFS(DataRegularSeason20242025!$E$2:$E$1315,WatchedGames20242025!$A7,DataRegularSeason20242025!$D$2:$D$1315,WatchedGames20242025!Y$1,DataRegularSeason20242025!$N$2:$N$1315,1, DataRegularSeason20242025!$R$2:$R$1315,1)</f>
        <v>1</v>
      </c>
      <c r="Z8" s="39"/>
      <c r="AA8" s="38">
        <f>COUNTIFS(DataRegularSeason20242025!$E$2:$E$1315,WatchedGames20242025!$A7,DataRegularSeason20242025!$D$2:$D$1315,WatchedGames20242025!AA$1,DataRegularSeason20242025!$N$2:$N$1315,1, DataRegularSeason20242025!$R$2:$R$1315,1)</f>
        <v>0</v>
      </c>
      <c r="AB8" s="39"/>
      <c r="AC8" s="38">
        <f>COUNTIFS(DataRegularSeason20242025!$E$2:$E$1315,WatchedGames20242025!$A7,DataRegularSeason20242025!$D$2:$D$1315,WatchedGames20242025!AC$1,DataRegularSeason20242025!$N$2:$N$1315,1, DataRegularSeason20242025!$R$2:$R$1315,1)</f>
        <v>0</v>
      </c>
      <c r="AD8" s="39"/>
      <c r="AE8" s="38">
        <f>COUNTIFS(DataRegularSeason20242025!$E$2:$E$1315,WatchedGames20242025!$A7,DataRegularSeason20242025!$D$2:$D$1315,WatchedGames20242025!AE$1,DataRegularSeason20242025!$N$2:$N$1315,1, DataRegularSeason20242025!$R$2:$R$1315,1)</f>
        <v>0</v>
      </c>
      <c r="AF8" s="39"/>
      <c r="AG8" s="38">
        <f>COUNTIFS(DataRegularSeason20242025!$E$2:$E$1315,WatchedGames20242025!$A7,DataRegularSeason20242025!$D$2:$D$1315,WatchedGames20242025!AG$1,DataRegularSeason20242025!$N$2:$N$1315,1, DataRegularSeason20242025!$R$2:$R$1315,1)</f>
        <v>0</v>
      </c>
      <c r="AH8" s="39"/>
      <c r="AI8" s="38">
        <f>COUNTIFS(DataRegularSeason20242025!$E$2:$E$1315,WatchedGames20242025!$A7,DataRegularSeason20242025!$D$2:$D$1315,WatchedGames20242025!AI$1,DataRegularSeason20242025!$N$2:$N$1315,1, DataRegularSeason20242025!$R$2:$R$1315,1)</f>
        <v>0</v>
      </c>
      <c r="AJ8" s="39"/>
      <c r="AK8" s="38">
        <f>COUNTIFS(DataRegularSeason20242025!$E$2:$E$1315,WatchedGames20242025!$A7,DataRegularSeason20242025!$D$2:$D$1315,WatchedGames20242025!AK$1,DataRegularSeason20242025!$N$2:$N$1315,1, DataRegularSeason20242025!$R$2:$R$1315,1)</f>
        <v>0</v>
      </c>
      <c r="AL8" s="39"/>
      <c r="AM8" s="38">
        <f>COUNTIFS(DataRegularSeason20242025!$E$2:$E$1315,WatchedGames20242025!$A7,DataRegularSeason20242025!$D$2:$D$1315,WatchedGames20242025!AM$1,DataRegularSeason20242025!$N$2:$N$1315,1, DataRegularSeason20242025!$R$2:$R$1315,1)</f>
        <v>0</v>
      </c>
      <c r="AN8" s="39"/>
      <c r="AO8" s="38">
        <f>COUNTIFS(DataRegularSeason20242025!$E$2:$E$1315,WatchedGames20242025!$A7,DataRegularSeason20242025!$D$2:$D$1315,WatchedGames20242025!AO$1,DataRegularSeason20242025!$N$2:$N$1315,1, DataRegularSeason20242025!$R$2:$R$1315,1)</f>
        <v>1</v>
      </c>
      <c r="AP8" s="39"/>
      <c r="AQ8" s="38">
        <f>COUNTIFS(DataRegularSeason20242025!$E$2:$E$1315,WatchedGames20242025!$A7,DataRegularSeason20242025!$D$2:$D$1315,WatchedGames20242025!AQ$1,DataRegularSeason20242025!$N$2:$N$1315,1, DataRegularSeason20242025!$R$2:$R$1315,1)</f>
        <v>0</v>
      </c>
      <c r="AR8" s="39"/>
      <c r="AS8" s="38">
        <f>COUNTIFS(DataRegularSeason20242025!$E$2:$E$1315,WatchedGames20242025!$A7,DataRegularSeason20242025!$D$2:$D$1315,WatchedGames20242025!AS$1,DataRegularSeason20242025!$N$2:$N$1315,1, DataRegularSeason20242025!$R$2:$R$1315,1)</f>
        <v>0</v>
      </c>
      <c r="AT8" s="39"/>
      <c r="AU8" s="38">
        <f>COUNTIFS(DataRegularSeason20242025!$E$2:$E$1315,WatchedGames20242025!$A7,DataRegularSeason20242025!$D$2:$D$1315,WatchedGames20242025!AU$1,DataRegularSeason20242025!$N$2:$N$1315,1, DataRegularSeason20242025!$R$2:$R$1315,1)</f>
        <v>0</v>
      </c>
      <c r="AV8" s="39"/>
      <c r="AW8" s="38">
        <f>COUNTIFS(DataRegularSeason20242025!$E$2:$E$1315,WatchedGames20242025!$A7,DataRegularSeason20242025!$D$2:$D$1315,WatchedGames20242025!AW$1,DataRegularSeason20242025!$N$2:$N$1315,1, DataRegularSeason20242025!$R$2:$R$1315,1)</f>
        <v>0</v>
      </c>
      <c r="AX8" s="39"/>
      <c r="AY8" s="38">
        <f>COUNTIFS(DataRegularSeason20242025!$E$2:$E$1315,WatchedGames20242025!$A7,DataRegularSeason20242025!$D$2:$D$1315,WatchedGames20242025!AY$1,DataRegularSeason20242025!$N$2:$N$1315,1, DataRegularSeason20242025!$R$2:$R$1315,1)</f>
        <v>0</v>
      </c>
      <c r="AZ8" s="39"/>
      <c r="BA8" s="38">
        <f>COUNTIFS(DataRegularSeason20242025!$E$2:$E$1315,WatchedGames20242025!$A7,DataRegularSeason20242025!$D$2:$D$1315,WatchedGames20242025!BA$1,DataRegularSeason20242025!$N$2:$N$1315,1, DataRegularSeason20242025!$R$2:$R$1315,1)</f>
        <v>0</v>
      </c>
      <c r="BB8" s="39"/>
      <c r="BC8" s="38">
        <f>COUNTIFS(DataRegularSeason20242025!$E$2:$E$1315,WatchedGames20242025!$A7,DataRegularSeason20242025!$D$2:$D$1315,WatchedGames20242025!BC$1,DataRegularSeason20242025!$N$2:$N$1315,1, DataRegularSeason20242025!$R$2:$R$1315,1)</f>
        <v>0</v>
      </c>
      <c r="BD8" s="39"/>
      <c r="BE8" s="38">
        <f>COUNTIFS(DataRegularSeason20242025!$E$2:$E$1315,WatchedGames20242025!$A7,DataRegularSeason20242025!$D$2:$D$1315,WatchedGames20242025!BE$1,DataRegularSeason20242025!$N$2:$N$1315,1, DataRegularSeason20242025!$R$2:$R$1315,1)</f>
        <v>0</v>
      </c>
      <c r="BF8" s="39"/>
      <c r="BG8" s="38">
        <f>COUNTIFS(DataRegularSeason20242025!$E$2:$E$1315,WatchedGames20242025!$A7,DataRegularSeason20242025!$D$2:$D$1315,WatchedGames20242025!BG$1,DataRegularSeason20242025!$N$2:$N$1315,1, DataRegularSeason20242025!$R$2:$R$1315,1)</f>
        <v>0</v>
      </c>
      <c r="BH8" s="39"/>
      <c r="BI8" s="38">
        <f>COUNTIFS(DataRegularSeason20242025!$E$2:$E$1315,WatchedGames20242025!$A7,DataRegularSeason20242025!$D$2:$D$1315,WatchedGames20242025!BI$1,DataRegularSeason20242025!$N$2:$N$1315,1, DataRegularSeason20242025!$R$2:$R$1315,1)</f>
        <v>0</v>
      </c>
      <c r="BJ8" s="39"/>
      <c r="BK8" s="38">
        <f>COUNTIFS(DataRegularSeason20242025!$E$2:$E$1315,WatchedGames20242025!$A7,DataRegularSeason20242025!$D$2:$D$1315,WatchedGames20242025!BK$1,DataRegularSeason20242025!$N$2:$N$1315,1, DataRegularSeason20242025!$R$2:$R$1315,1)</f>
        <v>0</v>
      </c>
      <c r="BL8" s="39"/>
      <c r="BM8" s="38">
        <f>COUNTIFS(DataRegularSeason20242025!$E$2:$E$1315,WatchedGames20242025!$A7,DataRegularSeason20242025!$D$2:$D$1315,WatchedGames20242025!BM$1,DataRegularSeason20242025!$N$2:$N$1315,1, DataRegularSeason20242025!$R$2:$R$1315,1)</f>
        <v>0</v>
      </c>
      <c r="BN8" s="39"/>
      <c r="BO8" s="34">
        <f t="shared" si="1"/>
        <v>3</v>
      </c>
      <c r="BP8" s="165"/>
      <c r="BQ8" s="166"/>
      <c r="BR8" s="173"/>
    </row>
    <row r="9" spans="1:72" s="27" customFormat="1" ht="9.9499999999999993" customHeight="1" x14ac:dyDescent="0.2">
      <c r="A9" s="172" t="s">
        <v>41</v>
      </c>
      <c r="B9" s="28" t="s">
        <v>74</v>
      </c>
      <c r="C9" s="35"/>
      <c r="D9" s="28">
        <f>COUNTIFS(DataRegularSeason20242025!$E$2:$E$1315,WatchedGames20242025!C$1,DataRegularSeason20242025!$D$2:$D$1315,WatchedGames20242025!$A9,DataRegularSeason20242025!$N$2:$N$1315,1, DataRegularSeason20242025!$R$2:$R$1315,1)</f>
        <v>1</v>
      </c>
      <c r="E9" s="35"/>
      <c r="F9" s="28">
        <f>COUNTIFS(DataRegularSeason20242025!$E$2:$E$1315,WatchedGames20242025!E$1,DataRegularSeason20242025!$D$2:$D$1315,WatchedGames20242025!$A9,DataRegularSeason20242025!$N$2:$N$1315,1, DataRegularSeason20242025!$R$2:$R$1315,1)</f>
        <v>0</v>
      </c>
      <c r="G9" s="35"/>
      <c r="H9" s="28">
        <f>COUNTIFS(DataRegularSeason20242025!$E$2:$E$1315,WatchedGames20242025!G$1,DataRegularSeason20242025!$D$2:$D$1315,WatchedGames20242025!$A9,DataRegularSeason20242025!$N$2:$N$1315,1, DataRegularSeason20242025!$R$2:$R$1315,1)</f>
        <v>0</v>
      </c>
      <c r="I9" s="35"/>
      <c r="J9" s="36"/>
      <c r="K9" s="35"/>
      <c r="L9" s="28">
        <f>COUNTIFS(DataRegularSeason20242025!$E$2:$E$1315,WatchedGames20242025!K$1,DataRegularSeason20242025!$D$2:$D$1315,WatchedGames20242025!$A9,DataRegularSeason20242025!$N$2:$N$1315,1, DataRegularSeason20242025!$R$2:$R$1315,1)</f>
        <v>0</v>
      </c>
      <c r="M9" s="35"/>
      <c r="N9" s="28">
        <f>COUNTIFS(DataRegularSeason20242025!$E$2:$E$1315,WatchedGames20242025!M$1,DataRegularSeason20242025!$D$2:$D$1315,WatchedGames20242025!$A9,DataRegularSeason20242025!$N$2:$N$1315,1, DataRegularSeason20242025!$R$2:$R$1315,1)</f>
        <v>0</v>
      </c>
      <c r="O9" s="35"/>
      <c r="P9" s="28">
        <f>COUNTIFS(DataRegularSeason20242025!$E$2:$E$1315,WatchedGames20242025!O$1,DataRegularSeason20242025!$D$2:$D$1315,WatchedGames20242025!$A9,DataRegularSeason20242025!$N$2:$N$1315,1, DataRegularSeason20242025!$R$2:$R$1315,1)</f>
        <v>0</v>
      </c>
      <c r="Q9" s="35"/>
      <c r="R9" s="28">
        <f>COUNTIFS(DataRegularSeason20242025!$E$2:$E$1315,WatchedGames20242025!Q$1,DataRegularSeason20242025!$D$2:$D$1315,WatchedGames20242025!$A9,DataRegularSeason20242025!$N$2:$N$1315,1, DataRegularSeason20242025!$R$2:$R$1315,1)</f>
        <v>0</v>
      </c>
      <c r="S9" s="35"/>
      <c r="T9" s="28">
        <f>COUNTIFS(DataRegularSeason20242025!$E$2:$E$1315,WatchedGames20242025!S$1,DataRegularSeason20242025!$D$2:$D$1315,WatchedGames20242025!$A9,DataRegularSeason20242025!$N$2:$N$1315,1, DataRegularSeason20242025!$R$2:$R$1315,1)</f>
        <v>0</v>
      </c>
      <c r="U9" s="35"/>
      <c r="V9" s="28">
        <f>COUNTIFS(DataRegularSeason20242025!$E$2:$E$1315,WatchedGames20242025!U$1,DataRegularSeason20242025!$D$2:$D$1315,WatchedGames20242025!$A9,DataRegularSeason20242025!$N$2:$N$1315,1, DataRegularSeason20242025!$R$2:$R$1315,1)</f>
        <v>0</v>
      </c>
      <c r="W9" s="35"/>
      <c r="X9" s="28">
        <f>COUNTIFS(DataRegularSeason20242025!$E$2:$E$1315,WatchedGames20242025!W$1,DataRegularSeason20242025!$D$2:$D$1315,WatchedGames20242025!$A9,DataRegularSeason20242025!$N$2:$N$1315,1, DataRegularSeason20242025!$R$2:$R$1315,1)</f>
        <v>0</v>
      </c>
      <c r="Y9" s="35"/>
      <c r="Z9" s="28">
        <f>COUNTIFS(DataRegularSeason20242025!$E$2:$E$1315,WatchedGames20242025!Y$1,DataRegularSeason20242025!$D$2:$D$1315,WatchedGames20242025!$A9,DataRegularSeason20242025!$N$2:$N$1315,1, DataRegularSeason20242025!$R$2:$R$1315,1)</f>
        <v>0</v>
      </c>
      <c r="AA9" s="35"/>
      <c r="AB9" s="28">
        <f>COUNTIFS(DataRegularSeason20242025!$E$2:$E$1315,WatchedGames20242025!AA$1,DataRegularSeason20242025!$D$2:$D$1315,WatchedGames20242025!$A9,DataRegularSeason20242025!$N$2:$N$1315,1, DataRegularSeason20242025!$R$2:$R$1315,1)</f>
        <v>1</v>
      </c>
      <c r="AC9" s="35"/>
      <c r="AD9" s="28">
        <f>COUNTIFS(DataRegularSeason20242025!$E$2:$E$1315,WatchedGames20242025!AC$1,DataRegularSeason20242025!$D$2:$D$1315,WatchedGames20242025!$A9,DataRegularSeason20242025!$N$2:$N$1315,1, DataRegularSeason20242025!$R$2:$R$1315,1)</f>
        <v>0</v>
      </c>
      <c r="AE9" s="35"/>
      <c r="AF9" s="28">
        <f>COUNTIFS(DataRegularSeason20242025!$E$2:$E$1315,WatchedGames20242025!AE$1,DataRegularSeason20242025!$D$2:$D$1315,WatchedGames20242025!$A9,DataRegularSeason20242025!$N$2:$N$1315,1, DataRegularSeason20242025!$R$2:$R$1315,1)</f>
        <v>0</v>
      </c>
      <c r="AG9" s="35"/>
      <c r="AH9" s="28">
        <f>COUNTIFS(DataRegularSeason20242025!$E$2:$E$1315,WatchedGames20242025!AG$1,DataRegularSeason20242025!$D$2:$D$1315,WatchedGames20242025!$A9,DataRegularSeason20242025!$N$2:$N$1315,1, DataRegularSeason20242025!$R$2:$R$1315,1)</f>
        <v>0</v>
      </c>
      <c r="AI9" s="35"/>
      <c r="AJ9" s="28">
        <f>COUNTIFS(DataRegularSeason20242025!$E$2:$E$1315,WatchedGames20242025!AI$1,DataRegularSeason20242025!$D$2:$D$1315,WatchedGames20242025!$A9,DataRegularSeason20242025!$N$2:$N$1315,1, DataRegularSeason20242025!$R$2:$R$1315,1)</f>
        <v>0</v>
      </c>
      <c r="AK9" s="35"/>
      <c r="AL9" s="28">
        <f>COUNTIFS(DataRegularSeason20242025!$E$2:$E$1315,WatchedGames20242025!AK$1,DataRegularSeason20242025!$D$2:$D$1315,WatchedGames20242025!$A9,DataRegularSeason20242025!$N$2:$N$1315,1, DataRegularSeason20242025!$R$2:$R$1315,1)</f>
        <v>0</v>
      </c>
      <c r="AM9" s="35"/>
      <c r="AN9" s="28">
        <f>COUNTIFS(DataRegularSeason20242025!$E$2:$E$1315,WatchedGames20242025!AM$1,DataRegularSeason20242025!$D$2:$D$1315,WatchedGames20242025!$A9,DataRegularSeason20242025!$N$2:$N$1315,1, DataRegularSeason20242025!$R$2:$R$1315,1)</f>
        <v>0</v>
      </c>
      <c r="AO9" s="35"/>
      <c r="AP9" s="28">
        <f>COUNTIFS(DataRegularSeason20242025!$E$2:$E$1315,WatchedGames20242025!AO$1,DataRegularSeason20242025!$D$2:$D$1315,WatchedGames20242025!$A9,DataRegularSeason20242025!$N$2:$N$1315,1, DataRegularSeason20242025!$R$2:$R$1315,1)</f>
        <v>0</v>
      </c>
      <c r="AQ9" s="35"/>
      <c r="AR9" s="28">
        <f>COUNTIFS(DataRegularSeason20242025!$E$2:$E$1315,WatchedGames20242025!AQ$1,DataRegularSeason20242025!$D$2:$D$1315,WatchedGames20242025!$A9,DataRegularSeason20242025!$N$2:$N$1315,1, DataRegularSeason20242025!$R$2:$R$1315,1)</f>
        <v>0</v>
      </c>
      <c r="AS9" s="35"/>
      <c r="AT9" s="28">
        <f>COUNTIFS(DataRegularSeason20242025!$E$2:$E$1315,WatchedGames20242025!AS$1,DataRegularSeason20242025!$D$2:$D$1315,WatchedGames20242025!$A9,DataRegularSeason20242025!$N$2:$N$1315,1, DataRegularSeason20242025!$R$2:$R$1315,1)</f>
        <v>0</v>
      </c>
      <c r="AU9" s="35"/>
      <c r="AV9" s="28">
        <f>COUNTIFS(DataRegularSeason20242025!$E$2:$E$1315,WatchedGames20242025!AU$1,DataRegularSeason20242025!$D$2:$D$1315,WatchedGames20242025!$A9,DataRegularSeason20242025!$N$2:$N$1315,1, DataRegularSeason20242025!$R$2:$R$1315,1)</f>
        <v>0</v>
      </c>
      <c r="AW9" s="35"/>
      <c r="AX9" s="28">
        <f>COUNTIFS(DataRegularSeason20242025!$E$2:$E$1315,WatchedGames20242025!AW$1,DataRegularSeason20242025!$D$2:$D$1315,WatchedGames20242025!$A9,DataRegularSeason20242025!$N$2:$N$1315,1, DataRegularSeason20242025!$R$2:$R$1315,1)</f>
        <v>1</v>
      </c>
      <c r="AY9" s="35"/>
      <c r="AZ9" s="28">
        <f>COUNTIFS(DataRegularSeason20242025!$E$2:$E$1315,WatchedGames20242025!AY$1,DataRegularSeason20242025!$D$2:$D$1315,WatchedGames20242025!$A9,DataRegularSeason20242025!$N$2:$N$1315,1, DataRegularSeason20242025!$R$2:$R$1315,1)</f>
        <v>0</v>
      </c>
      <c r="BA9" s="35"/>
      <c r="BB9" s="28">
        <f>COUNTIFS(DataRegularSeason20242025!$E$2:$E$1315,WatchedGames20242025!BA$1,DataRegularSeason20242025!$D$2:$D$1315,WatchedGames20242025!$A9,DataRegularSeason20242025!$N$2:$N$1315,1, DataRegularSeason20242025!$R$2:$R$1315,1)</f>
        <v>0</v>
      </c>
      <c r="BC9" s="35"/>
      <c r="BD9" s="28">
        <f>COUNTIFS(DataRegularSeason20242025!$E$2:$E$1315,WatchedGames20242025!BC$1,DataRegularSeason20242025!$D$2:$D$1315,WatchedGames20242025!$A9,DataRegularSeason20242025!$N$2:$N$1315,1, DataRegularSeason20242025!$R$2:$R$1315,1)</f>
        <v>0</v>
      </c>
      <c r="BE9" s="35"/>
      <c r="BF9" s="28">
        <f>COUNTIFS(DataRegularSeason20242025!$E$2:$E$1315,WatchedGames20242025!BE$1,DataRegularSeason20242025!$D$2:$D$1315,WatchedGames20242025!$A9,DataRegularSeason20242025!$N$2:$N$1315,1, DataRegularSeason20242025!$R$2:$R$1315,1)</f>
        <v>0</v>
      </c>
      <c r="BG9" s="35"/>
      <c r="BH9" s="28">
        <f>COUNTIFS(DataRegularSeason20242025!$E$2:$E$1315,WatchedGames20242025!BG$1,DataRegularSeason20242025!$D$2:$D$1315,WatchedGames20242025!$A9,DataRegularSeason20242025!$N$2:$N$1315,1, DataRegularSeason20242025!$R$2:$R$1315,1)</f>
        <v>0</v>
      </c>
      <c r="BI9" s="35"/>
      <c r="BJ9" s="28">
        <f>COUNTIFS(DataRegularSeason20242025!$E$2:$E$1315,WatchedGames20242025!BI$1,DataRegularSeason20242025!$D$2:$D$1315,WatchedGames20242025!$A9,DataRegularSeason20242025!$N$2:$N$1315,1, DataRegularSeason20242025!$R$2:$R$1315,1)</f>
        <v>1</v>
      </c>
      <c r="BK9" s="35"/>
      <c r="BL9" s="28">
        <f>COUNTIFS(DataRegularSeason20242025!$E$2:$E$1315,WatchedGames20242025!BK$1,DataRegularSeason20242025!$D$2:$D$1315,WatchedGames20242025!$A9,DataRegularSeason20242025!$N$2:$N$1315,1, DataRegularSeason20242025!$R$2:$R$1315,1)</f>
        <v>0</v>
      </c>
      <c r="BM9" s="35"/>
      <c r="BN9" s="28">
        <f>COUNTIFS(DataRegularSeason20242025!$E$2:$E$1315,WatchedGames20242025!BM$1,DataRegularSeason20242025!$D$2:$D$1315,WatchedGames20242025!$A9,DataRegularSeason20242025!$N$2:$N$1315,1, DataRegularSeason20242025!$R$2:$R$1315,1)</f>
        <v>0</v>
      </c>
      <c r="BO9" s="30">
        <f t="shared" si="1"/>
        <v>4</v>
      </c>
      <c r="BP9" s="165">
        <f t="shared" ref="BP9" si="6">BO9+BO10</f>
        <v>5</v>
      </c>
      <c r="BQ9" s="166">
        <f t="shared" ref="BQ9" si="7">82-BP9</f>
        <v>77</v>
      </c>
      <c r="BR9" s="173">
        <f t="shared" si="0"/>
        <v>6.097560975609756E-2</v>
      </c>
    </row>
    <row r="10" spans="1:72" s="27" customFormat="1" ht="9.9499999999999993" customHeight="1" x14ac:dyDescent="0.2">
      <c r="A10" s="167"/>
      <c r="B10" s="32" t="s">
        <v>73</v>
      </c>
      <c r="C10" s="38">
        <f>COUNTIFS(DataRegularSeason20242025!$E$2:$E$1315,WatchedGames20242025!$A9,DataRegularSeason20242025!$D$2:$D$1315,WatchedGames20242025!C$1,DataRegularSeason20242025!$N$2:$N$1315,1, DataRegularSeason20242025!$R$2:$R$1315,1)</f>
        <v>0</v>
      </c>
      <c r="D10" s="39"/>
      <c r="E10" s="38">
        <f>COUNTIFS(DataRegularSeason20242025!$E$2:$E$1315,WatchedGames20242025!$A9,DataRegularSeason20242025!$D$2:$D$1315,WatchedGames20242025!E$1,DataRegularSeason20242025!$N$2:$N$1315,1, DataRegularSeason20242025!$R$2:$R$1315,1)</f>
        <v>0</v>
      </c>
      <c r="F10" s="39"/>
      <c r="G10" s="38">
        <f>COUNTIFS(DataRegularSeason20242025!$E$2:$E$1315,WatchedGames20242025!$A9,DataRegularSeason20242025!$D$2:$D$1315,WatchedGames20242025!G$1,DataRegularSeason20242025!$N$2:$N$1315,1, DataRegularSeason20242025!$R$2:$R$1315,1)</f>
        <v>0</v>
      </c>
      <c r="H10" s="39"/>
      <c r="I10" s="38"/>
      <c r="J10" s="39"/>
      <c r="K10" s="38">
        <f>COUNTIFS(DataRegularSeason20242025!$E$2:$E$1315,WatchedGames20242025!$A9,DataRegularSeason20242025!$D$2:$D$1315,WatchedGames20242025!K$1,DataRegularSeason20242025!$N$2:$N$1315,1, DataRegularSeason20242025!$R$2:$R$1315,1)</f>
        <v>0</v>
      </c>
      <c r="L10" s="39"/>
      <c r="M10" s="38">
        <f>COUNTIFS(DataRegularSeason20242025!$E$2:$E$1315,WatchedGames20242025!$A9,DataRegularSeason20242025!$D$2:$D$1315,WatchedGames20242025!M$1,DataRegularSeason20242025!$N$2:$N$1315,1, DataRegularSeason20242025!$R$2:$R$1315,1)</f>
        <v>0</v>
      </c>
      <c r="N10" s="39"/>
      <c r="O10" s="38">
        <f>COUNTIFS(DataRegularSeason20242025!$E$2:$E$1315,WatchedGames20242025!$A9,DataRegularSeason20242025!$D$2:$D$1315,WatchedGames20242025!O$1,DataRegularSeason20242025!$N$2:$N$1315,1, DataRegularSeason20242025!$R$2:$R$1315,1)</f>
        <v>0</v>
      </c>
      <c r="P10" s="39"/>
      <c r="Q10" s="38">
        <f>COUNTIFS(DataRegularSeason20242025!$E$2:$E$1315,WatchedGames20242025!$A9,DataRegularSeason20242025!$D$2:$D$1315,WatchedGames20242025!Q$1,DataRegularSeason20242025!$N$2:$N$1315,1, DataRegularSeason20242025!$R$2:$R$1315,1)</f>
        <v>0</v>
      </c>
      <c r="R10" s="39"/>
      <c r="S10" s="38">
        <f>COUNTIFS(DataRegularSeason20242025!$E$2:$E$1315,WatchedGames20242025!$A9,DataRegularSeason20242025!$D$2:$D$1315,WatchedGames20242025!S$1,DataRegularSeason20242025!$N$2:$N$1315,1, DataRegularSeason20242025!$R$2:$R$1315,1)</f>
        <v>0</v>
      </c>
      <c r="T10" s="39"/>
      <c r="U10" s="38">
        <f>COUNTIFS(DataRegularSeason20242025!$E$2:$E$1315,WatchedGames20242025!$A9,DataRegularSeason20242025!$D$2:$D$1315,WatchedGames20242025!U$1,DataRegularSeason20242025!$N$2:$N$1315,1, DataRegularSeason20242025!$R$2:$R$1315,1)</f>
        <v>0</v>
      </c>
      <c r="V10" s="39"/>
      <c r="W10" s="38">
        <f>COUNTIFS(DataRegularSeason20242025!$E$2:$E$1315,WatchedGames20242025!$A9,DataRegularSeason20242025!$D$2:$D$1315,WatchedGames20242025!W$1,DataRegularSeason20242025!$N$2:$N$1315,1, DataRegularSeason20242025!$R$2:$R$1315,1)</f>
        <v>0</v>
      </c>
      <c r="X10" s="39"/>
      <c r="Y10" s="38">
        <f>COUNTIFS(DataRegularSeason20242025!$E$2:$E$1315,WatchedGames20242025!$A9,DataRegularSeason20242025!$D$2:$D$1315,WatchedGames20242025!Y$1,DataRegularSeason20242025!$N$2:$N$1315,1, DataRegularSeason20242025!$R$2:$R$1315,1)</f>
        <v>0</v>
      </c>
      <c r="Z10" s="39"/>
      <c r="AA10" s="38">
        <f>COUNTIFS(DataRegularSeason20242025!$E$2:$E$1315,WatchedGames20242025!$A9,DataRegularSeason20242025!$D$2:$D$1315,WatchedGames20242025!AA$1,DataRegularSeason20242025!$N$2:$N$1315,1, DataRegularSeason20242025!$R$2:$R$1315,1)</f>
        <v>0</v>
      </c>
      <c r="AB10" s="39"/>
      <c r="AC10" s="38">
        <f>COUNTIFS(DataRegularSeason20242025!$E$2:$E$1315,WatchedGames20242025!$A9,DataRegularSeason20242025!$D$2:$D$1315,WatchedGames20242025!AC$1,DataRegularSeason20242025!$N$2:$N$1315,1, DataRegularSeason20242025!$R$2:$R$1315,1)</f>
        <v>0</v>
      </c>
      <c r="AD10" s="39"/>
      <c r="AE10" s="38">
        <f>COUNTIFS(DataRegularSeason20242025!$E$2:$E$1315,WatchedGames20242025!$A9,DataRegularSeason20242025!$D$2:$D$1315,WatchedGames20242025!AE$1,DataRegularSeason20242025!$N$2:$N$1315,1, DataRegularSeason20242025!$R$2:$R$1315,1)</f>
        <v>0</v>
      </c>
      <c r="AF10" s="39"/>
      <c r="AG10" s="38">
        <f>COUNTIFS(DataRegularSeason20242025!$E$2:$E$1315,WatchedGames20242025!$A9,DataRegularSeason20242025!$D$2:$D$1315,WatchedGames20242025!AG$1,DataRegularSeason20242025!$N$2:$N$1315,1, DataRegularSeason20242025!$R$2:$R$1315,1)</f>
        <v>0</v>
      </c>
      <c r="AH10" s="39"/>
      <c r="AI10" s="38">
        <f>COUNTIFS(DataRegularSeason20242025!$E$2:$E$1315,WatchedGames20242025!$A9,DataRegularSeason20242025!$D$2:$D$1315,WatchedGames20242025!AI$1,DataRegularSeason20242025!$N$2:$N$1315,1, DataRegularSeason20242025!$R$2:$R$1315,1)</f>
        <v>0</v>
      </c>
      <c r="AJ10" s="39"/>
      <c r="AK10" s="38">
        <f>COUNTIFS(DataRegularSeason20242025!$E$2:$E$1315,WatchedGames20242025!$A9,DataRegularSeason20242025!$D$2:$D$1315,WatchedGames20242025!AK$1,DataRegularSeason20242025!$N$2:$N$1315,1, DataRegularSeason20242025!$R$2:$R$1315,1)</f>
        <v>0</v>
      </c>
      <c r="AL10" s="39"/>
      <c r="AM10" s="38">
        <f>COUNTIFS(DataRegularSeason20242025!$E$2:$E$1315,WatchedGames20242025!$A9,DataRegularSeason20242025!$D$2:$D$1315,WatchedGames20242025!AM$1,DataRegularSeason20242025!$N$2:$N$1315,1, DataRegularSeason20242025!$R$2:$R$1315,1)</f>
        <v>0</v>
      </c>
      <c r="AN10" s="39"/>
      <c r="AO10" s="38">
        <f>COUNTIFS(DataRegularSeason20242025!$E$2:$E$1315,WatchedGames20242025!$A9,DataRegularSeason20242025!$D$2:$D$1315,WatchedGames20242025!AO$1,DataRegularSeason20242025!$N$2:$N$1315,1, DataRegularSeason20242025!$R$2:$R$1315,1)</f>
        <v>0</v>
      </c>
      <c r="AP10" s="39"/>
      <c r="AQ10" s="38">
        <f>COUNTIFS(DataRegularSeason20242025!$E$2:$E$1315,WatchedGames20242025!$A9,DataRegularSeason20242025!$D$2:$D$1315,WatchedGames20242025!AQ$1,DataRegularSeason20242025!$N$2:$N$1315,1, DataRegularSeason20242025!$R$2:$R$1315,1)</f>
        <v>1</v>
      </c>
      <c r="AR10" s="39"/>
      <c r="AS10" s="38">
        <f>COUNTIFS(DataRegularSeason20242025!$E$2:$E$1315,WatchedGames20242025!$A9,DataRegularSeason20242025!$D$2:$D$1315,WatchedGames20242025!AS$1,DataRegularSeason20242025!$N$2:$N$1315,1, DataRegularSeason20242025!$R$2:$R$1315,1)</f>
        <v>0</v>
      </c>
      <c r="AT10" s="39"/>
      <c r="AU10" s="38">
        <f>COUNTIFS(DataRegularSeason20242025!$E$2:$E$1315,WatchedGames20242025!$A9,DataRegularSeason20242025!$D$2:$D$1315,WatchedGames20242025!AU$1,DataRegularSeason20242025!$N$2:$N$1315,1, DataRegularSeason20242025!$R$2:$R$1315,1)</f>
        <v>0</v>
      </c>
      <c r="AV10" s="39"/>
      <c r="AW10" s="38">
        <f>COUNTIFS(DataRegularSeason20242025!$E$2:$E$1315,WatchedGames20242025!$A9,DataRegularSeason20242025!$D$2:$D$1315,WatchedGames20242025!AW$1,DataRegularSeason20242025!$N$2:$N$1315,1, DataRegularSeason20242025!$R$2:$R$1315,1)</f>
        <v>0</v>
      </c>
      <c r="AX10" s="39"/>
      <c r="AY10" s="38">
        <f>COUNTIFS(DataRegularSeason20242025!$E$2:$E$1315,WatchedGames20242025!$A9,DataRegularSeason20242025!$D$2:$D$1315,WatchedGames20242025!AY$1,DataRegularSeason20242025!$N$2:$N$1315,1, DataRegularSeason20242025!$R$2:$R$1315,1)</f>
        <v>0</v>
      </c>
      <c r="AZ10" s="39"/>
      <c r="BA10" s="38">
        <f>COUNTIFS(DataRegularSeason20242025!$E$2:$E$1315,WatchedGames20242025!$A9,DataRegularSeason20242025!$D$2:$D$1315,WatchedGames20242025!BA$1,DataRegularSeason20242025!$N$2:$N$1315,1, DataRegularSeason20242025!$R$2:$R$1315,1)</f>
        <v>0</v>
      </c>
      <c r="BB10" s="39"/>
      <c r="BC10" s="38">
        <f>COUNTIFS(DataRegularSeason20242025!$E$2:$E$1315,WatchedGames20242025!$A9,DataRegularSeason20242025!$D$2:$D$1315,WatchedGames20242025!BC$1,DataRegularSeason20242025!$N$2:$N$1315,1, DataRegularSeason20242025!$R$2:$R$1315,1)</f>
        <v>0</v>
      </c>
      <c r="BD10" s="39"/>
      <c r="BE10" s="38">
        <f>COUNTIFS(DataRegularSeason20242025!$E$2:$E$1315,WatchedGames20242025!$A9,DataRegularSeason20242025!$D$2:$D$1315,WatchedGames20242025!BE$1,DataRegularSeason20242025!$N$2:$N$1315,1, DataRegularSeason20242025!$R$2:$R$1315,1)</f>
        <v>0</v>
      </c>
      <c r="BF10" s="39"/>
      <c r="BG10" s="38">
        <f>COUNTIFS(DataRegularSeason20242025!$E$2:$E$1315,WatchedGames20242025!$A9,DataRegularSeason20242025!$D$2:$D$1315,WatchedGames20242025!BG$1,DataRegularSeason20242025!$N$2:$N$1315,1, DataRegularSeason20242025!$R$2:$R$1315,1)</f>
        <v>0</v>
      </c>
      <c r="BH10" s="39"/>
      <c r="BI10" s="38">
        <f>COUNTIFS(DataRegularSeason20242025!$E$2:$E$1315,WatchedGames20242025!$A9,DataRegularSeason20242025!$D$2:$D$1315,WatchedGames20242025!BI$1,DataRegularSeason20242025!$N$2:$N$1315,1, DataRegularSeason20242025!$R$2:$R$1315,1)</f>
        <v>0</v>
      </c>
      <c r="BJ10" s="39"/>
      <c r="BK10" s="38">
        <f>COUNTIFS(DataRegularSeason20242025!$E$2:$E$1315,WatchedGames20242025!$A9,DataRegularSeason20242025!$D$2:$D$1315,WatchedGames20242025!BK$1,DataRegularSeason20242025!$N$2:$N$1315,1, DataRegularSeason20242025!$R$2:$R$1315,1)</f>
        <v>0</v>
      </c>
      <c r="BL10" s="39"/>
      <c r="BM10" s="38">
        <f>COUNTIFS(DataRegularSeason20242025!$E$2:$E$1315,WatchedGames20242025!$A9,DataRegularSeason20242025!$D$2:$D$1315,WatchedGames20242025!BM$1,DataRegularSeason20242025!$N$2:$N$1315,1, DataRegularSeason20242025!$R$2:$R$1315,1)</f>
        <v>0</v>
      </c>
      <c r="BN10" s="39"/>
      <c r="BO10" s="34">
        <f t="shared" si="1"/>
        <v>1</v>
      </c>
      <c r="BP10" s="165"/>
      <c r="BQ10" s="166"/>
      <c r="BR10" s="173"/>
    </row>
    <row r="11" spans="1:72" s="27" customFormat="1" ht="9.9499999999999993" customHeight="1" x14ac:dyDescent="0.2">
      <c r="A11" s="172" t="s">
        <v>35</v>
      </c>
      <c r="B11" s="28" t="s">
        <v>74</v>
      </c>
      <c r="C11" s="35"/>
      <c r="D11" s="28">
        <f>COUNTIFS(DataRegularSeason20242025!$E$2:$E$1315,WatchedGames20242025!C$1,DataRegularSeason20242025!$D$2:$D$1315,WatchedGames20242025!$A11,DataRegularSeason20242025!$N$2:$N$1315,1, DataRegularSeason20242025!$R$2:$R$1315,1)</f>
        <v>0</v>
      </c>
      <c r="E11" s="35"/>
      <c r="F11" s="28">
        <f>COUNTIFS(DataRegularSeason20242025!$E$2:$E$1315,WatchedGames20242025!E$1,DataRegularSeason20242025!$D$2:$D$1315,WatchedGames20242025!$A11,DataRegularSeason20242025!$N$2:$N$1315,1, DataRegularSeason20242025!$R$2:$R$1315,1)</f>
        <v>0</v>
      </c>
      <c r="G11" s="35"/>
      <c r="H11" s="28">
        <f>COUNTIFS(DataRegularSeason20242025!$E$2:$E$1315,WatchedGames20242025!G$1,DataRegularSeason20242025!$D$2:$D$1315,WatchedGames20242025!$A11,DataRegularSeason20242025!$N$2:$N$1315,1, DataRegularSeason20242025!$R$2:$R$1315,1)</f>
        <v>0</v>
      </c>
      <c r="I11" s="35"/>
      <c r="J11" s="28">
        <f>COUNTIFS(DataRegularSeason20242025!$E$2:$E$1315,WatchedGames20242025!I$1,DataRegularSeason20242025!$D$2:$D$1315,WatchedGames20242025!$A11,DataRegularSeason20242025!$N$2:$N$1315,1, DataRegularSeason20242025!$R$2:$R$1315,1)</f>
        <v>0</v>
      </c>
      <c r="K11" s="35"/>
      <c r="L11" s="36"/>
      <c r="M11" s="35"/>
      <c r="N11" s="28">
        <f>COUNTIFS(DataRegularSeason20242025!$E$2:$E$1315,WatchedGames20242025!M$1,DataRegularSeason20242025!$D$2:$D$1315,WatchedGames20242025!$A11,DataRegularSeason20242025!$N$2:$N$1315,1, DataRegularSeason20242025!$R$2:$R$1315,1)</f>
        <v>0</v>
      </c>
      <c r="O11" s="35"/>
      <c r="P11" s="28">
        <f>COUNTIFS(DataRegularSeason20242025!$E$2:$E$1315,WatchedGames20242025!O$1,DataRegularSeason20242025!$D$2:$D$1315,WatchedGames20242025!$A11,DataRegularSeason20242025!$N$2:$N$1315,1, DataRegularSeason20242025!$R$2:$R$1315,1)</f>
        <v>0</v>
      </c>
      <c r="Q11" s="35"/>
      <c r="R11" s="28">
        <f>COUNTIFS(DataRegularSeason20242025!$E$2:$E$1315,WatchedGames20242025!Q$1,DataRegularSeason20242025!$D$2:$D$1315,WatchedGames20242025!$A11,DataRegularSeason20242025!$N$2:$N$1315,1, DataRegularSeason20242025!$R$2:$R$1315,1)</f>
        <v>0</v>
      </c>
      <c r="S11" s="35"/>
      <c r="T11" s="28">
        <f>COUNTIFS(DataRegularSeason20242025!$E$2:$E$1315,WatchedGames20242025!S$1,DataRegularSeason20242025!$D$2:$D$1315,WatchedGames20242025!$A11,DataRegularSeason20242025!$N$2:$N$1315,1, DataRegularSeason20242025!$R$2:$R$1315,1)</f>
        <v>0</v>
      </c>
      <c r="U11" s="35"/>
      <c r="V11" s="28">
        <f>COUNTIFS(DataRegularSeason20242025!$E$2:$E$1315,WatchedGames20242025!U$1,DataRegularSeason20242025!$D$2:$D$1315,WatchedGames20242025!$A11,DataRegularSeason20242025!$N$2:$N$1315,1, DataRegularSeason20242025!$R$2:$R$1315,1)</f>
        <v>0</v>
      </c>
      <c r="W11" s="35"/>
      <c r="X11" s="28">
        <f>COUNTIFS(DataRegularSeason20242025!$E$2:$E$1315,WatchedGames20242025!W$1,DataRegularSeason20242025!$D$2:$D$1315,WatchedGames20242025!$A11,DataRegularSeason20242025!$N$2:$N$1315,1, DataRegularSeason20242025!$R$2:$R$1315,1)</f>
        <v>0</v>
      </c>
      <c r="Y11" s="35"/>
      <c r="Z11" s="28">
        <f>COUNTIFS(DataRegularSeason20242025!$E$2:$E$1315,WatchedGames20242025!Y$1,DataRegularSeason20242025!$D$2:$D$1315,WatchedGames20242025!$A11,DataRegularSeason20242025!$N$2:$N$1315,1, DataRegularSeason20242025!$R$2:$R$1315,1)</f>
        <v>0</v>
      </c>
      <c r="AA11" s="35"/>
      <c r="AB11" s="28">
        <f>COUNTIFS(DataRegularSeason20242025!$E$2:$E$1315,WatchedGames20242025!AA$1,DataRegularSeason20242025!$D$2:$D$1315,WatchedGames20242025!$A11,DataRegularSeason20242025!$N$2:$N$1315,1, DataRegularSeason20242025!$R$2:$R$1315,1)</f>
        <v>0</v>
      </c>
      <c r="AC11" s="35"/>
      <c r="AD11" s="28">
        <f>COUNTIFS(DataRegularSeason20242025!$E$2:$E$1315,WatchedGames20242025!AC$1,DataRegularSeason20242025!$D$2:$D$1315,WatchedGames20242025!$A11,DataRegularSeason20242025!$N$2:$N$1315,1, DataRegularSeason20242025!$R$2:$R$1315,1)</f>
        <v>0</v>
      </c>
      <c r="AE11" s="35"/>
      <c r="AF11" s="28">
        <f>COUNTIFS(DataRegularSeason20242025!$E$2:$E$1315,WatchedGames20242025!AE$1,DataRegularSeason20242025!$D$2:$D$1315,WatchedGames20242025!$A11,DataRegularSeason20242025!$N$2:$N$1315,1, DataRegularSeason20242025!$R$2:$R$1315,1)</f>
        <v>0</v>
      </c>
      <c r="AG11" s="35"/>
      <c r="AH11" s="28">
        <f>COUNTIFS(DataRegularSeason20242025!$E$2:$E$1315,WatchedGames20242025!AG$1,DataRegularSeason20242025!$D$2:$D$1315,WatchedGames20242025!$A11,DataRegularSeason20242025!$N$2:$N$1315,1, DataRegularSeason20242025!$R$2:$R$1315,1)</f>
        <v>0</v>
      </c>
      <c r="AI11" s="35"/>
      <c r="AJ11" s="28">
        <f>COUNTIFS(DataRegularSeason20242025!$E$2:$E$1315,WatchedGames20242025!AI$1,DataRegularSeason20242025!$D$2:$D$1315,WatchedGames20242025!$A11,DataRegularSeason20242025!$N$2:$N$1315,1, DataRegularSeason20242025!$R$2:$R$1315,1)</f>
        <v>0</v>
      </c>
      <c r="AK11" s="35"/>
      <c r="AL11" s="28">
        <f>COUNTIFS(DataRegularSeason20242025!$E$2:$E$1315,WatchedGames20242025!AK$1,DataRegularSeason20242025!$D$2:$D$1315,WatchedGames20242025!$A11,DataRegularSeason20242025!$N$2:$N$1315,1, DataRegularSeason20242025!$R$2:$R$1315,1)</f>
        <v>0</v>
      </c>
      <c r="AM11" s="35"/>
      <c r="AN11" s="28">
        <f>COUNTIFS(DataRegularSeason20242025!$E$2:$E$1315,WatchedGames20242025!AM$1,DataRegularSeason20242025!$D$2:$D$1315,WatchedGames20242025!$A11,DataRegularSeason20242025!$N$2:$N$1315,1, DataRegularSeason20242025!$R$2:$R$1315,1)</f>
        <v>0</v>
      </c>
      <c r="AO11" s="35"/>
      <c r="AP11" s="28">
        <f>COUNTIFS(DataRegularSeason20242025!$E$2:$E$1315,WatchedGames20242025!AO$1,DataRegularSeason20242025!$D$2:$D$1315,WatchedGames20242025!$A11,DataRegularSeason20242025!$N$2:$N$1315,1, DataRegularSeason20242025!$R$2:$R$1315,1)</f>
        <v>0</v>
      </c>
      <c r="AQ11" s="35"/>
      <c r="AR11" s="28">
        <f>COUNTIFS(DataRegularSeason20242025!$E$2:$E$1315,WatchedGames20242025!AQ$1,DataRegularSeason20242025!$D$2:$D$1315,WatchedGames20242025!$A11,DataRegularSeason20242025!$N$2:$N$1315,1, DataRegularSeason20242025!$R$2:$R$1315,1)</f>
        <v>0</v>
      </c>
      <c r="AS11" s="35"/>
      <c r="AT11" s="28">
        <f>COUNTIFS(DataRegularSeason20242025!$E$2:$E$1315,WatchedGames20242025!AS$1,DataRegularSeason20242025!$D$2:$D$1315,WatchedGames20242025!$A11,DataRegularSeason20242025!$N$2:$N$1315,1, DataRegularSeason20242025!$R$2:$R$1315,1)</f>
        <v>0</v>
      </c>
      <c r="AU11" s="35"/>
      <c r="AV11" s="28">
        <f>COUNTIFS(DataRegularSeason20242025!$E$2:$E$1315,WatchedGames20242025!AU$1,DataRegularSeason20242025!$D$2:$D$1315,WatchedGames20242025!$A11,DataRegularSeason20242025!$N$2:$N$1315,1, DataRegularSeason20242025!$R$2:$R$1315,1)</f>
        <v>0</v>
      </c>
      <c r="AW11" s="35"/>
      <c r="AX11" s="28">
        <f>COUNTIFS(DataRegularSeason20242025!$E$2:$E$1315,WatchedGames20242025!AW$1,DataRegularSeason20242025!$D$2:$D$1315,WatchedGames20242025!$A11,DataRegularSeason20242025!$N$2:$N$1315,1, DataRegularSeason20242025!$R$2:$R$1315,1)</f>
        <v>0</v>
      </c>
      <c r="AY11" s="35"/>
      <c r="AZ11" s="28">
        <f>COUNTIFS(DataRegularSeason20242025!$E$2:$E$1315,WatchedGames20242025!AY$1,DataRegularSeason20242025!$D$2:$D$1315,WatchedGames20242025!$A11,DataRegularSeason20242025!$N$2:$N$1315,1, DataRegularSeason20242025!$R$2:$R$1315,1)</f>
        <v>0</v>
      </c>
      <c r="BA11" s="35"/>
      <c r="BB11" s="28">
        <f>COUNTIFS(DataRegularSeason20242025!$E$2:$E$1315,WatchedGames20242025!BA$1,DataRegularSeason20242025!$D$2:$D$1315,WatchedGames20242025!$A11,DataRegularSeason20242025!$N$2:$N$1315,1, DataRegularSeason20242025!$R$2:$R$1315,1)</f>
        <v>0</v>
      </c>
      <c r="BC11" s="35"/>
      <c r="BD11" s="28">
        <f>COUNTIFS(DataRegularSeason20242025!$E$2:$E$1315,WatchedGames20242025!BC$1,DataRegularSeason20242025!$D$2:$D$1315,WatchedGames20242025!$A11,DataRegularSeason20242025!$N$2:$N$1315,1, DataRegularSeason20242025!$R$2:$R$1315,1)</f>
        <v>0</v>
      </c>
      <c r="BE11" s="35"/>
      <c r="BF11" s="28">
        <f>COUNTIFS(DataRegularSeason20242025!$E$2:$E$1315,WatchedGames20242025!BE$1,DataRegularSeason20242025!$D$2:$D$1315,WatchedGames20242025!$A11,DataRegularSeason20242025!$N$2:$N$1315,1, DataRegularSeason20242025!$R$2:$R$1315,1)</f>
        <v>0</v>
      </c>
      <c r="BG11" s="35"/>
      <c r="BH11" s="28">
        <f>COUNTIFS(DataRegularSeason20242025!$E$2:$E$1315,WatchedGames20242025!BG$1,DataRegularSeason20242025!$D$2:$D$1315,WatchedGames20242025!$A11,DataRegularSeason20242025!$N$2:$N$1315,1, DataRegularSeason20242025!$R$2:$R$1315,1)</f>
        <v>0</v>
      </c>
      <c r="BI11" s="35"/>
      <c r="BJ11" s="28">
        <f>COUNTIFS(DataRegularSeason20242025!$E$2:$E$1315,WatchedGames20242025!BI$1,DataRegularSeason20242025!$D$2:$D$1315,WatchedGames20242025!$A11,DataRegularSeason20242025!$N$2:$N$1315,1, DataRegularSeason20242025!$R$2:$R$1315,1)</f>
        <v>0</v>
      </c>
      <c r="BK11" s="35"/>
      <c r="BL11" s="28">
        <f>COUNTIFS(DataRegularSeason20242025!$E$2:$E$1315,WatchedGames20242025!BK$1,DataRegularSeason20242025!$D$2:$D$1315,WatchedGames20242025!$A11,DataRegularSeason20242025!$N$2:$N$1315,1, DataRegularSeason20242025!$R$2:$R$1315,1)</f>
        <v>0</v>
      </c>
      <c r="BM11" s="35"/>
      <c r="BN11" s="28">
        <f>COUNTIFS(DataRegularSeason20242025!$E$2:$E$1315,WatchedGames20242025!BM$1,DataRegularSeason20242025!$D$2:$D$1315,WatchedGames20242025!$A11,DataRegularSeason20242025!$N$2:$N$1315,1, DataRegularSeason20242025!$R$2:$R$1315,1)</f>
        <v>0</v>
      </c>
      <c r="BO11" s="30">
        <f t="shared" si="1"/>
        <v>0</v>
      </c>
      <c r="BP11" s="165">
        <f t="shared" ref="BP11" si="8">BO11+BO12</f>
        <v>1</v>
      </c>
      <c r="BQ11" s="166">
        <f t="shared" ref="BQ11" si="9">82-BP11</f>
        <v>81</v>
      </c>
      <c r="BR11" s="173">
        <f t="shared" si="0"/>
        <v>1.2195121951219513E-2</v>
      </c>
    </row>
    <row r="12" spans="1:72" s="27" customFormat="1" ht="9.9499999999999993" customHeight="1" x14ac:dyDescent="0.2">
      <c r="A12" s="167"/>
      <c r="B12" s="32" t="s">
        <v>73</v>
      </c>
      <c r="C12" s="38">
        <f>COUNTIFS(DataRegularSeason20242025!$E$2:$E$1315,WatchedGames20242025!$A11,DataRegularSeason20242025!$D$2:$D$1315,WatchedGames20242025!C$1,DataRegularSeason20242025!$N$2:$N$1315,1, DataRegularSeason20242025!$R$2:$R$1315,1)</f>
        <v>0</v>
      </c>
      <c r="D12" s="39"/>
      <c r="E12" s="38">
        <f>COUNTIFS(DataRegularSeason20242025!$E$2:$E$1315,WatchedGames20242025!$A11,DataRegularSeason20242025!$D$2:$D$1315,WatchedGames20242025!E$1,DataRegularSeason20242025!$N$2:$N$1315,1, DataRegularSeason20242025!$R$2:$R$1315,1)</f>
        <v>0</v>
      </c>
      <c r="F12" s="39"/>
      <c r="G12" s="38">
        <f>COUNTIFS(DataRegularSeason20242025!$E$2:$E$1315,WatchedGames20242025!$A11,DataRegularSeason20242025!$D$2:$D$1315,WatchedGames20242025!G$1,DataRegularSeason20242025!$N$2:$N$1315,1, DataRegularSeason20242025!$R$2:$R$1315,1)</f>
        <v>0</v>
      </c>
      <c r="H12" s="39"/>
      <c r="I12" s="38">
        <f>COUNTIFS(DataRegularSeason20242025!$E$2:$E$1315,WatchedGames20242025!$A11,DataRegularSeason20242025!$D$2:$D$1315,WatchedGames20242025!I$1,DataRegularSeason20242025!$N$2:$N$1315,1, DataRegularSeason20242025!$R$2:$R$1315,1)</f>
        <v>0</v>
      </c>
      <c r="J12" s="39"/>
      <c r="K12" s="38"/>
      <c r="L12" s="39"/>
      <c r="M12" s="38">
        <f>COUNTIFS(DataRegularSeason20242025!$E$2:$E$1315,WatchedGames20242025!$A11,DataRegularSeason20242025!$D$2:$D$1315,WatchedGames20242025!M$1,DataRegularSeason20242025!$N$2:$N$1315,1, DataRegularSeason20242025!$R$2:$R$1315,1)</f>
        <v>0</v>
      </c>
      <c r="N12" s="39"/>
      <c r="O12" s="38">
        <f>COUNTIFS(DataRegularSeason20242025!$E$2:$E$1315,WatchedGames20242025!$A11,DataRegularSeason20242025!$D$2:$D$1315,WatchedGames20242025!O$1,DataRegularSeason20242025!$N$2:$N$1315,1, DataRegularSeason20242025!$R$2:$R$1315,1)</f>
        <v>0</v>
      </c>
      <c r="P12" s="39"/>
      <c r="Q12" s="38">
        <f>COUNTIFS(DataRegularSeason20242025!$E$2:$E$1315,WatchedGames20242025!$A11,DataRegularSeason20242025!$D$2:$D$1315,WatchedGames20242025!Q$1,DataRegularSeason20242025!$N$2:$N$1315,1, DataRegularSeason20242025!$R$2:$R$1315,1)</f>
        <v>0</v>
      </c>
      <c r="R12" s="39"/>
      <c r="S12" s="38">
        <f>COUNTIFS(DataRegularSeason20242025!$E$2:$E$1315,WatchedGames20242025!$A11,DataRegularSeason20242025!$D$2:$D$1315,WatchedGames20242025!S$1,DataRegularSeason20242025!$N$2:$N$1315,1, DataRegularSeason20242025!$R$2:$R$1315,1)</f>
        <v>0</v>
      </c>
      <c r="T12" s="39"/>
      <c r="U12" s="38">
        <f>COUNTIFS(DataRegularSeason20242025!$E$2:$E$1315,WatchedGames20242025!$A11,DataRegularSeason20242025!$D$2:$D$1315,WatchedGames20242025!U$1,DataRegularSeason20242025!$N$2:$N$1315,1, DataRegularSeason20242025!$R$2:$R$1315,1)</f>
        <v>0</v>
      </c>
      <c r="V12" s="39"/>
      <c r="W12" s="38">
        <f>COUNTIFS(DataRegularSeason20242025!$E$2:$E$1315,WatchedGames20242025!$A11,DataRegularSeason20242025!$D$2:$D$1315,WatchedGames20242025!W$1,DataRegularSeason20242025!$N$2:$N$1315,1, DataRegularSeason20242025!$R$2:$R$1315,1)</f>
        <v>0</v>
      </c>
      <c r="X12" s="39"/>
      <c r="Y12" s="38">
        <f>COUNTIFS(DataRegularSeason20242025!$E$2:$E$1315,WatchedGames20242025!$A11,DataRegularSeason20242025!$D$2:$D$1315,WatchedGames20242025!Y$1,DataRegularSeason20242025!$N$2:$N$1315,1, DataRegularSeason20242025!$R$2:$R$1315,1)</f>
        <v>0</v>
      </c>
      <c r="Z12" s="39"/>
      <c r="AA12" s="38">
        <f>COUNTIFS(DataRegularSeason20242025!$E$2:$E$1315,WatchedGames20242025!$A11,DataRegularSeason20242025!$D$2:$D$1315,WatchedGames20242025!AA$1,DataRegularSeason20242025!$N$2:$N$1315,1, DataRegularSeason20242025!$R$2:$R$1315,1)</f>
        <v>0</v>
      </c>
      <c r="AB12" s="39"/>
      <c r="AC12" s="38">
        <f>COUNTIFS(DataRegularSeason20242025!$E$2:$E$1315,WatchedGames20242025!$A11,DataRegularSeason20242025!$D$2:$D$1315,WatchedGames20242025!AC$1,DataRegularSeason20242025!$N$2:$N$1315,1, DataRegularSeason20242025!$R$2:$R$1315,1)</f>
        <v>0</v>
      </c>
      <c r="AD12" s="39"/>
      <c r="AE12" s="38">
        <f>COUNTIFS(DataRegularSeason20242025!$E$2:$E$1315,WatchedGames20242025!$A11,DataRegularSeason20242025!$D$2:$D$1315,WatchedGames20242025!AE$1,DataRegularSeason20242025!$N$2:$N$1315,1, DataRegularSeason20242025!$R$2:$R$1315,1)</f>
        <v>0</v>
      </c>
      <c r="AF12" s="39"/>
      <c r="AG12" s="38">
        <f>COUNTIFS(DataRegularSeason20242025!$E$2:$E$1315,WatchedGames20242025!$A11,DataRegularSeason20242025!$D$2:$D$1315,WatchedGames20242025!AG$1,DataRegularSeason20242025!$N$2:$N$1315,1, DataRegularSeason20242025!$R$2:$R$1315,1)</f>
        <v>0</v>
      </c>
      <c r="AH12" s="39"/>
      <c r="AI12" s="38">
        <f>COUNTIFS(DataRegularSeason20242025!$E$2:$E$1315,WatchedGames20242025!$A11,DataRegularSeason20242025!$D$2:$D$1315,WatchedGames20242025!AI$1,DataRegularSeason20242025!$N$2:$N$1315,1, DataRegularSeason20242025!$R$2:$R$1315,1)</f>
        <v>0</v>
      </c>
      <c r="AJ12" s="39"/>
      <c r="AK12" s="38">
        <f>COUNTIFS(DataRegularSeason20242025!$E$2:$E$1315,WatchedGames20242025!$A11,DataRegularSeason20242025!$D$2:$D$1315,WatchedGames20242025!AK$1,DataRegularSeason20242025!$N$2:$N$1315,1, DataRegularSeason20242025!$R$2:$R$1315,1)</f>
        <v>0</v>
      </c>
      <c r="AL12" s="39"/>
      <c r="AM12" s="38">
        <f>COUNTIFS(DataRegularSeason20242025!$E$2:$E$1315,WatchedGames20242025!$A11,DataRegularSeason20242025!$D$2:$D$1315,WatchedGames20242025!AM$1,DataRegularSeason20242025!$N$2:$N$1315,1, DataRegularSeason20242025!$R$2:$R$1315,1)</f>
        <v>0</v>
      </c>
      <c r="AN12" s="39"/>
      <c r="AO12" s="38">
        <f>COUNTIFS(DataRegularSeason20242025!$E$2:$E$1315,WatchedGames20242025!$A11,DataRegularSeason20242025!$D$2:$D$1315,WatchedGames20242025!AO$1,DataRegularSeason20242025!$N$2:$N$1315,1, DataRegularSeason20242025!$R$2:$R$1315,1)</f>
        <v>0</v>
      </c>
      <c r="AP12" s="39"/>
      <c r="AQ12" s="38">
        <f>COUNTIFS(DataRegularSeason20242025!$E$2:$E$1315,WatchedGames20242025!$A11,DataRegularSeason20242025!$D$2:$D$1315,WatchedGames20242025!AQ$1,DataRegularSeason20242025!$N$2:$N$1315,1, DataRegularSeason20242025!$R$2:$R$1315,1)</f>
        <v>0</v>
      </c>
      <c r="AR12" s="39"/>
      <c r="AS12" s="38">
        <f>COUNTIFS(DataRegularSeason20242025!$E$2:$E$1315,WatchedGames20242025!$A11,DataRegularSeason20242025!$D$2:$D$1315,WatchedGames20242025!AS$1,DataRegularSeason20242025!$N$2:$N$1315,1, DataRegularSeason20242025!$R$2:$R$1315,1)</f>
        <v>0</v>
      </c>
      <c r="AT12" s="39"/>
      <c r="AU12" s="38">
        <f>COUNTIFS(DataRegularSeason20242025!$E$2:$E$1315,WatchedGames20242025!$A11,DataRegularSeason20242025!$D$2:$D$1315,WatchedGames20242025!AU$1,DataRegularSeason20242025!$N$2:$N$1315,1, DataRegularSeason20242025!$R$2:$R$1315,1)</f>
        <v>0</v>
      </c>
      <c r="AV12" s="39"/>
      <c r="AW12" s="38">
        <f>COUNTIFS(DataRegularSeason20242025!$E$2:$E$1315,WatchedGames20242025!$A11,DataRegularSeason20242025!$D$2:$D$1315,WatchedGames20242025!AW$1,DataRegularSeason20242025!$N$2:$N$1315,1, DataRegularSeason20242025!$R$2:$R$1315,1)</f>
        <v>0</v>
      </c>
      <c r="AX12" s="39"/>
      <c r="AY12" s="38">
        <f>COUNTIFS(DataRegularSeason20242025!$E$2:$E$1315,WatchedGames20242025!$A11,DataRegularSeason20242025!$D$2:$D$1315,WatchedGames20242025!AY$1,DataRegularSeason20242025!$N$2:$N$1315,1, DataRegularSeason20242025!$R$2:$R$1315,1)</f>
        <v>0</v>
      </c>
      <c r="AZ12" s="39"/>
      <c r="BA12" s="38">
        <f>COUNTIFS(DataRegularSeason20242025!$E$2:$E$1315,WatchedGames20242025!$A11,DataRegularSeason20242025!$D$2:$D$1315,WatchedGames20242025!BA$1,DataRegularSeason20242025!$N$2:$N$1315,1, DataRegularSeason20242025!$R$2:$R$1315,1)</f>
        <v>1</v>
      </c>
      <c r="BB12" s="39"/>
      <c r="BC12" s="38">
        <f>COUNTIFS(DataRegularSeason20242025!$E$2:$E$1315,WatchedGames20242025!$A11,DataRegularSeason20242025!$D$2:$D$1315,WatchedGames20242025!BC$1,DataRegularSeason20242025!$N$2:$N$1315,1, DataRegularSeason20242025!$R$2:$R$1315,1)</f>
        <v>0</v>
      </c>
      <c r="BD12" s="39"/>
      <c r="BE12" s="38">
        <f>COUNTIFS(DataRegularSeason20242025!$E$2:$E$1315,WatchedGames20242025!$A11,DataRegularSeason20242025!$D$2:$D$1315,WatchedGames20242025!BE$1,DataRegularSeason20242025!$N$2:$N$1315,1, DataRegularSeason20242025!$R$2:$R$1315,1)</f>
        <v>0</v>
      </c>
      <c r="BF12" s="39"/>
      <c r="BG12" s="38">
        <f>COUNTIFS(DataRegularSeason20242025!$E$2:$E$1315,WatchedGames20242025!$A11,DataRegularSeason20242025!$D$2:$D$1315,WatchedGames20242025!BG$1,DataRegularSeason20242025!$N$2:$N$1315,1, DataRegularSeason20242025!$R$2:$R$1315,1)</f>
        <v>0</v>
      </c>
      <c r="BH12" s="39"/>
      <c r="BI12" s="38">
        <f>COUNTIFS(DataRegularSeason20242025!$E$2:$E$1315,WatchedGames20242025!$A11,DataRegularSeason20242025!$D$2:$D$1315,WatchedGames20242025!BI$1,DataRegularSeason20242025!$N$2:$N$1315,1, DataRegularSeason20242025!$R$2:$R$1315,1)</f>
        <v>0</v>
      </c>
      <c r="BJ12" s="39"/>
      <c r="BK12" s="38">
        <f>COUNTIFS(DataRegularSeason20242025!$E$2:$E$1315,WatchedGames20242025!$A11,DataRegularSeason20242025!$D$2:$D$1315,WatchedGames20242025!BK$1,DataRegularSeason20242025!$N$2:$N$1315,1, DataRegularSeason20242025!$R$2:$R$1315,1)</f>
        <v>0</v>
      </c>
      <c r="BL12" s="39"/>
      <c r="BM12" s="38">
        <f>COUNTIFS(DataRegularSeason20242025!$E$2:$E$1315,WatchedGames20242025!$A11,DataRegularSeason20242025!$D$2:$D$1315,WatchedGames20242025!BM$1,DataRegularSeason20242025!$N$2:$N$1315,1, DataRegularSeason20242025!$R$2:$R$1315,1)</f>
        <v>0</v>
      </c>
      <c r="BN12" s="39"/>
      <c r="BO12" s="34">
        <f t="shared" si="1"/>
        <v>1</v>
      </c>
      <c r="BP12" s="165"/>
      <c r="BQ12" s="166"/>
      <c r="BR12" s="173"/>
    </row>
    <row r="13" spans="1:72" s="27" customFormat="1" ht="9.9499999999999993" customHeight="1" x14ac:dyDescent="0.2">
      <c r="A13" s="172" t="s">
        <v>23</v>
      </c>
      <c r="B13" s="28" t="s">
        <v>74</v>
      </c>
      <c r="C13" s="35"/>
      <c r="D13" s="28">
        <f>COUNTIFS(DataRegularSeason20242025!$E$2:$E$1315,WatchedGames20242025!C$1,DataRegularSeason20242025!$D$2:$D$1315,WatchedGames20242025!$A13,DataRegularSeason20242025!$N$2:$N$1315,1, DataRegularSeason20242025!$R$2:$R$1315,1)</f>
        <v>0</v>
      </c>
      <c r="E13" s="35"/>
      <c r="F13" s="28">
        <f>COUNTIFS(DataRegularSeason20242025!$E$2:$E$1315,WatchedGames20242025!E$1,DataRegularSeason20242025!$D$2:$D$1315,WatchedGames20242025!$A13,DataRegularSeason20242025!$N$2:$N$1315,1, DataRegularSeason20242025!$R$2:$R$1315,1)</f>
        <v>0</v>
      </c>
      <c r="G13" s="35"/>
      <c r="H13" s="28">
        <f>COUNTIFS(DataRegularSeason20242025!$E$2:$E$1315,WatchedGames20242025!G$1,DataRegularSeason20242025!$D$2:$D$1315,WatchedGames20242025!$A13,DataRegularSeason20242025!$N$2:$N$1315,1, DataRegularSeason20242025!$R$2:$R$1315,1)</f>
        <v>0</v>
      </c>
      <c r="I13" s="35"/>
      <c r="J13" s="28">
        <f>COUNTIFS(DataRegularSeason20242025!$E$2:$E$1315,WatchedGames20242025!I$1,DataRegularSeason20242025!$D$2:$D$1315,WatchedGames20242025!$A13,DataRegularSeason20242025!$N$2:$N$1315,1, DataRegularSeason20242025!$R$2:$R$1315,1)</f>
        <v>0</v>
      </c>
      <c r="K13" s="35"/>
      <c r="L13" s="28">
        <f>COUNTIFS(DataRegularSeason20242025!$E$2:$E$1315,WatchedGames20242025!K$1,DataRegularSeason20242025!$D$2:$D$1315,WatchedGames20242025!$A13,DataRegularSeason20242025!$N$2:$N$1315,1, DataRegularSeason20242025!$R$2:$R$1315,1)</f>
        <v>0</v>
      </c>
      <c r="M13" s="35"/>
      <c r="N13" s="36"/>
      <c r="O13" s="35"/>
      <c r="P13" s="28">
        <f>COUNTIFS(DataRegularSeason20242025!$E$2:$E$1315,WatchedGames20242025!O$1,DataRegularSeason20242025!$D$2:$D$1315,WatchedGames20242025!$A13,DataRegularSeason20242025!$N$2:$N$1315,1, DataRegularSeason20242025!$R$2:$R$1315,1)</f>
        <v>0</v>
      </c>
      <c r="Q13" s="35"/>
      <c r="R13" s="28">
        <f>COUNTIFS(DataRegularSeason20242025!$E$2:$E$1315,WatchedGames20242025!Q$1,DataRegularSeason20242025!$D$2:$D$1315,WatchedGames20242025!$A13,DataRegularSeason20242025!$N$2:$N$1315,1, DataRegularSeason20242025!$R$2:$R$1315,1)</f>
        <v>0</v>
      </c>
      <c r="S13" s="35"/>
      <c r="T13" s="28">
        <f>COUNTIFS(DataRegularSeason20242025!$E$2:$E$1315,WatchedGames20242025!S$1,DataRegularSeason20242025!$D$2:$D$1315,WatchedGames20242025!$A13,DataRegularSeason20242025!$N$2:$N$1315,1, DataRegularSeason20242025!$R$2:$R$1315,1)</f>
        <v>0</v>
      </c>
      <c r="U13" s="35"/>
      <c r="V13" s="28">
        <f>COUNTIFS(DataRegularSeason20242025!$E$2:$E$1315,WatchedGames20242025!U$1,DataRegularSeason20242025!$D$2:$D$1315,WatchedGames20242025!$A13,DataRegularSeason20242025!$N$2:$N$1315,1, DataRegularSeason20242025!$R$2:$R$1315,1)</f>
        <v>0</v>
      </c>
      <c r="W13" s="35"/>
      <c r="X13" s="28">
        <f>COUNTIFS(DataRegularSeason20242025!$E$2:$E$1315,WatchedGames20242025!W$1,DataRegularSeason20242025!$D$2:$D$1315,WatchedGames20242025!$A13,DataRegularSeason20242025!$N$2:$N$1315,1, DataRegularSeason20242025!$R$2:$R$1315,1)</f>
        <v>1</v>
      </c>
      <c r="Y13" s="35"/>
      <c r="Z13" s="28">
        <f>COUNTIFS(DataRegularSeason20242025!$E$2:$E$1315,WatchedGames20242025!Y$1,DataRegularSeason20242025!$D$2:$D$1315,WatchedGames20242025!$A13,DataRegularSeason20242025!$N$2:$N$1315,1, DataRegularSeason20242025!$R$2:$R$1315,1)</f>
        <v>0</v>
      </c>
      <c r="AA13" s="35"/>
      <c r="AB13" s="28">
        <f>COUNTIFS(DataRegularSeason20242025!$E$2:$E$1315,WatchedGames20242025!AA$1,DataRegularSeason20242025!$D$2:$D$1315,WatchedGames20242025!$A13,DataRegularSeason20242025!$N$2:$N$1315,1, DataRegularSeason20242025!$R$2:$R$1315,1)</f>
        <v>0</v>
      </c>
      <c r="AC13" s="35"/>
      <c r="AD13" s="28">
        <f>COUNTIFS(DataRegularSeason20242025!$E$2:$E$1315,WatchedGames20242025!AC$1,DataRegularSeason20242025!$D$2:$D$1315,WatchedGames20242025!$A13,DataRegularSeason20242025!$N$2:$N$1315,1, DataRegularSeason20242025!$R$2:$R$1315,1)</f>
        <v>0</v>
      </c>
      <c r="AE13" s="35"/>
      <c r="AF13" s="28">
        <f>COUNTIFS(DataRegularSeason20242025!$E$2:$E$1315,WatchedGames20242025!AE$1,DataRegularSeason20242025!$D$2:$D$1315,WatchedGames20242025!$A13,DataRegularSeason20242025!$N$2:$N$1315,1, DataRegularSeason20242025!$R$2:$R$1315,1)</f>
        <v>0</v>
      </c>
      <c r="AG13" s="35"/>
      <c r="AH13" s="28">
        <f>COUNTIFS(DataRegularSeason20242025!$E$2:$E$1315,WatchedGames20242025!AG$1,DataRegularSeason20242025!$D$2:$D$1315,WatchedGames20242025!$A13,DataRegularSeason20242025!$N$2:$N$1315,1, DataRegularSeason20242025!$R$2:$R$1315,1)</f>
        <v>0</v>
      </c>
      <c r="AI13" s="35"/>
      <c r="AJ13" s="28">
        <f>COUNTIFS(DataRegularSeason20242025!$E$2:$E$1315,WatchedGames20242025!AI$1,DataRegularSeason20242025!$D$2:$D$1315,WatchedGames20242025!$A13,DataRegularSeason20242025!$N$2:$N$1315,1, DataRegularSeason20242025!$R$2:$R$1315,1)</f>
        <v>0</v>
      </c>
      <c r="AK13" s="35"/>
      <c r="AL13" s="28">
        <f>COUNTIFS(DataRegularSeason20242025!$E$2:$E$1315,WatchedGames20242025!AK$1,DataRegularSeason20242025!$D$2:$D$1315,WatchedGames20242025!$A13,DataRegularSeason20242025!$N$2:$N$1315,1, DataRegularSeason20242025!$R$2:$R$1315,1)</f>
        <v>0</v>
      </c>
      <c r="AM13" s="35"/>
      <c r="AN13" s="28">
        <f>COUNTIFS(DataRegularSeason20242025!$E$2:$E$1315,WatchedGames20242025!AM$1,DataRegularSeason20242025!$D$2:$D$1315,WatchedGames20242025!$A13,DataRegularSeason20242025!$N$2:$N$1315,1, DataRegularSeason20242025!$R$2:$R$1315,1)</f>
        <v>0</v>
      </c>
      <c r="AO13" s="35"/>
      <c r="AP13" s="28">
        <f>COUNTIFS(DataRegularSeason20242025!$E$2:$E$1315,WatchedGames20242025!AO$1,DataRegularSeason20242025!$D$2:$D$1315,WatchedGames20242025!$A13,DataRegularSeason20242025!$N$2:$N$1315,1, DataRegularSeason20242025!$R$2:$R$1315,1)</f>
        <v>0</v>
      </c>
      <c r="AQ13" s="35"/>
      <c r="AR13" s="28">
        <f>COUNTIFS(DataRegularSeason20242025!$E$2:$E$1315,WatchedGames20242025!AQ$1,DataRegularSeason20242025!$D$2:$D$1315,WatchedGames20242025!$A13,DataRegularSeason20242025!$N$2:$N$1315,1, DataRegularSeason20242025!$R$2:$R$1315,1)</f>
        <v>0</v>
      </c>
      <c r="AS13" s="35"/>
      <c r="AT13" s="28">
        <f>COUNTIFS(DataRegularSeason20242025!$E$2:$E$1315,WatchedGames20242025!AS$1,DataRegularSeason20242025!$D$2:$D$1315,WatchedGames20242025!$A13,DataRegularSeason20242025!$N$2:$N$1315,1, DataRegularSeason20242025!$R$2:$R$1315,1)</f>
        <v>0</v>
      </c>
      <c r="AU13" s="35"/>
      <c r="AV13" s="28">
        <f>COUNTIFS(DataRegularSeason20242025!$E$2:$E$1315,WatchedGames20242025!AU$1,DataRegularSeason20242025!$D$2:$D$1315,WatchedGames20242025!$A13,DataRegularSeason20242025!$N$2:$N$1315,1, DataRegularSeason20242025!$R$2:$R$1315,1)</f>
        <v>0</v>
      </c>
      <c r="AW13" s="35"/>
      <c r="AX13" s="28">
        <f>COUNTIFS(DataRegularSeason20242025!$E$2:$E$1315,WatchedGames20242025!AW$1,DataRegularSeason20242025!$D$2:$D$1315,WatchedGames20242025!$A13,DataRegularSeason20242025!$N$2:$N$1315,1, DataRegularSeason20242025!$R$2:$R$1315,1)</f>
        <v>0</v>
      </c>
      <c r="AY13" s="35"/>
      <c r="AZ13" s="28">
        <f>COUNTIFS(DataRegularSeason20242025!$E$2:$E$1315,WatchedGames20242025!AY$1,DataRegularSeason20242025!$D$2:$D$1315,WatchedGames20242025!$A13,DataRegularSeason20242025!$N$2:$N$1315,1, DataRegularSeason20242025!$R$2:$R$1315,1)</f>
        <v>0</v>
      </c>
      <c r="BA13" s="35"/>
      <c r="BB13" s="28">
        <f>COUNTIFS(DataRegularSeason20242025!$E$2:$E$1315,WatchedGames20242025!BA$1,DataRegularSeason20242025!$D$2:$D$1315,WatchedGames20242025!$A13,DataRegularSeason20242025!$N$2:$N$1315,1, DataRegularSeason20242025!$R$2:$R$1315,1)</f>
        <v>0</v>
      </c>
      <c r="BC13" s="35"/>
      <c r="BD13" s="28">
        <f>COUNTIFS(DataRegularSeason20242025!$E$2:$E$1315,WatchedGames20242025!BC$1,DataRegularSeason20242025!$D$2:$D$1315,WatchedGames20242025!$A13,DataRegularSeason20242025!$N$2:$N$1315,1, DataRegularSeason20242025!$R$2:$R$1315,1)</f>
        <v>0</v>
      </c>
      <c r="BE13" s="35"/>
      <c r="BF13" s="28">
        <f>COUNTIFS(DataRegularSeason20242025!$E$2:$E$1315,WatchedGames20242025!BE$1,DataRegularSeason20242025!$D$2:$D$1315,WatchedGames20242025!$A13,DataRegularSeason20242025!$N$2:$N$1315,1, DataRegularSeason20242025!$R$2:$R$1315,1)</f>
        <v>1</v>
      </c>
      <c r="BG13" s="35"/>
      <c r="BH13" s="28">
        <f>COUNTIFS(DataRegularSeason20242025!$E$2:$E$1315,WatchedGames20242025!BG$1,DataRegularSeason20242025!$D$2:$D$1315,WatchedGames20242025!$A13,DataRegularSeason20242025!$N$2:$N$1315,1, DataRegularSeason20242025!$R$2:$R$1315,1)</f>
        <v>1</v>
      </c>
      <c r="BI13" s="35"/>
      <c r="BJ13" s="28">
        <f>COUNTIFS(DataRegularSeason20242025!$E$2:$E$1315,WatchedGames20242025!BI$1,DataRegularSeason20242025!$D$2:$D$1315,WatchedGames20242025!$A13,DataRegularSeason20242025!$N$2:$N$1315,1, DataRegularSeason20242025!$R$2:$R$1315,1)</f>
        <v>1</v>
      </c>
      <c r="BK13" s="35"/>
      <c r="BL13" s="28">
        <f>COUNTIFS(DataRegularSeason20242025!$E$2:$E$1315,WatchedGames20242025!BK$1,DataRegularSeason20242025!$D$2:$D$1315,WatchedGames20242025!$A13,DataRegularSeason20242025!$N$2:$N$1315,1, DataRegularSeason20242025!$R$2:$R$1315,1)</f>
        <v>0</v>
      </c>
      <c r="BM13" s="35"/>
      <c r="BN13" s="28">
        <f>COUNTIFS(DataRegularSeason20242025!$E$2:$E$1315,WatchedGames20242025!BM$1,DataRegularSeason20242025!$D$2:$D$1315,WatchedGames20242025!$A13,DataRegularSeason20242025!$N$2:$N$1315,1, DataRegularSeason20242025!$R$2:$R$1315,1)</f>
        <v>0</v>
      </c>
      <c r="BO13" s="30">
        <f t="shared" si="1"/>
        <v>4</v>
      </c>
      <c r="BP13" s="165">
        <f t="shared" ref="BP13" si="10">BO13+BO14</f>
        <v>7</v>
      </c>
      <c r="BQ13" s="166">
        <f t="shared" ref="BQ13" si="11">82-BP13</f>
        <v>75</v>
      </c>
      <c r="BR13" s="173">
        <f t="shared" si="0"/>
        <v>8.5365853658536592E-2</v>
      </c>
    </row>
    <row r="14" spans="1:72" s="27" customFormat="1" ht="9.9499999999999993" customHeight="1" x14ac:dyDescent="0.2">
      <c r="A14" s="167"/>
      <c r="B14" s="32" t="s">
        <v>73</v>
      </c>
      <c r="C14" s="38">
        <f>COUNTIFS(DataRegularSeason20242025!$E$2:$E$1315,WatchedGames20242025!$A13,DataRegularSeason20242025!$D$2:$D$1315,WatchedGames20242025!C$1,DataRegularSeason20242025!$N$2:$N$1315,1, DataRegularSeason20242025!$R$2:$R$1315,1)</f>
        <v>0</v>
      </c>
      <c r="D14" s="39"/>
      <c r="E14" s="38">
        <f>COUNTIFS(DataRegularSeason20242025!$E$2:$E$1315,WatchedGames20242025!$A13,DataRegularSeason20242025!$D$2:$D$1315,WatchedGames20242025!E$1,DataRegularSeason20242025!$N$2:$N$1315,1, DataRegularSeason20242025!$R$2:$R$1315,1)</f>
        <v>0</v>
      </c>
      <c r="F14" s="39"/>
      <c r="G14" s="38">
        <f>COUNTIFS(DataRegularSeason20242025!$E$2:$E$1315,WatchedGames20242025!$A13,DataRegularSeason20242025!$D$2:$D$1315,WatchedGames20242025!G$1,DataRegularSeason20242025!$N$2:$N$1315,1, DataRegularSeason20242025!$R$2:$R$1315,1)</f>
        <v>0</v>
      </c>
      <c r="H14" s="39"/>
      <c r="I14" s="38">
        <f>COUNTIFS(DataRegularSeason20242025!$E$2:$E$1315,WatchedGames20242025!$A13,DataRegularSeason20242025!$D$2:$D$1315,WatchedGames20242025!I$1,DataRegularSeason20242025!$N$2:$N$1315,1, DataRegularSeason20242025!$R$2:$R$1315,1)</f>
        <v>0</v>
      </c>
      <c r="J14" s="39"/>
      <c r="K14" s="38">
        <f>COUNTIFS(DataRegularSeason20242025!$E$2:$E$1315,WatchedGames20242025!$A13,DataRegularSeason20242025!$D$2:$D$1315,WatchedGames20242025!K$1,DataRegularSeason20242025!$N$2:$N$1315,1, DataRegularSeason20242025!$R$2:$R$1315,1)</f>
        <v>0</v>
      </c>
      <c r="L14" s="39"/>
      <c r="M14" s="38"/>
      <c r="N14" s="39"/>
      <c r="O14" s="38">
        <f>COUNTIFS(DataRegularSeason20242025!$E$2:$E$1315,WatchedGames20242025!$A13,DataRegularSeason20242025!$D$2:$D$1315,WatchedGames20242025!O$1,DataRegularSeason20242025!$N$2:$N$1315,1, DataRegularSeason20242025!$R$2:$R$1315,1)</f>
        <v>0</v>
      </c>
      <c r="P14" s="39"/>
      <c r="Q14" s="38">
        <f>COUNTIFS(DataRegularSeason20242025!$E$2:$E$1315,WatchedGames20242025!$A13,DataRegularSeason20242025!$D$2:$D$1315,WatchedGames20242025!Q$1,DataRegularSeason20242025!$N$2:$N$1315,1, DataRegularSeason20242025!$R$2:$R$1315,1)</f>
        <v>0</v>
      </c>
      <c r="R14" s="39"/>
      <c r="S14" s="38">
        <f>COUNTIFS(DataRegularSeason20242025!$E$2:$E$1315,WatchedGames20242025!$A13,DataRegularSeason20242025!$D$2:$D$1315,WatchedGames20242025!S$1,DataRegularSeason20242025!$N$2:$N$1315,1, DataRegularSeason20242025!$R$2:$R$1315,1)</f>
        <v>0</v>
      </c>
      <c r="T14" s="39"/>
      <c r="U14" s="38">
        <f>COUNTIFS(DataRegularSeason20242025!$E$2:$E$1315,WatchedGames20242025!$A13,DataRegularSeason20242025!$D$2:$D$1315,WatchedGames20242025!U$1,DataRegularSeason20242025!$N$2:$N$1315,1, DataRegularSeason20242025!$R$2:$R$1315,1)</f>
        <v>0</v>
      </c>
      <c r="V14" s="39"/>
      <c r="W14" s="38">
        <f>COUNTIFS(DataRegularSeason20242025!$E$2:$E$1315,WatchedGames20242025!$A13,DataRegularSeason20242025!$D$2:$D$1315,WatchedGames20242025!W$1,DataRegularSeason20242025!$N$2:$N$1315,1, DataRegularSeason20242025!$R$2:$R$1315,1)</f>
        <v>0</v>
      </c>
      <c r="X14" s="39"/>
      <c r="Y14" s="38">
        <f>COUNTIFS(DataRegularSeason20242025!$E$2:$E$1315,WatchedGames20242025!$A13,DataRegularSeason20242025!$D$2:$D$1315,WatchedGames20242025!Y$1,DataRegularSeason20242025!$N$2:$N$1315,1, DataRegularSeason20242025!$R$2:$R$1315,1)</f>
        <v>0</v>
      </c>
      <c r="Z14" s="39"/>
      <c r="AA14" s="38">
        <f>COUNTIFS(DataRegularSeason20242025!$E$2:$E$1315,WatchedGames20242025!$A13,DataRegularSeason20242025!$D$2:$D$1315,WatchedGames20242025!AA$1,DataRegularSeason20242025!$N$2:$N$1315,1, DataRegularSeason20242025!$R$2:$R$1315,1)</f>
        <v>0</v>
      </c>
      <c r="AB14" s="39"/>
      <c r="AC14" s="38">
        <f>COUNTIFS(DataRegularSeason20242025!$E$2:$E$1315,WatchedGames20242025!$A13,DataRegularSeason20242025!$D$2:$D$1315,WatchedGames20242025!AC$1,DataRegularSeason20242025!$N$2:$N$1315,1, DataRegularSeason20242025!$R$2:$R$1315,1)</f>
        <v>0</v>
      </c>
      <c r="AD14" s="39"/>
      <c r="AE14" s="38">
        <f>COUNTIFS(DataRegularSeason20242025!$E$2:$E$1315,WatchedGames20242025!$A13,DataRegularSeason20242025!$D$2:$D$1315,WatchedGames20242025!AE$1,DataRegularSeason20242025!$N$2:$N$1315,1, DataRegularSeason20242025!$R$2:$R$1315,1)</f>
        <v>0</v>
      </c>
      <c r="AF14" s="39"/>
      <c r="AG14" s="38">
        <f>COUNTIFS(DataRegularSeason20242025!$E$2:$E$1315,WatchedGames20242025!$A13,DataRegularSeason20242025!$D$2:$D$1315,WatchedGames20242025!AG$1,DataRegularSeason20242025!$N$2:$N$1315,1, DataRegularSeason20242025!$R$2:$R$1315,1)</f>
        <v>0</v>
      </c>
      <c r="AH14" s="39"/>
      <c r="AI14" s="38">
        <f>COUNTIFS(DataRegularSeason20242025!$E$2:$E$1315,WatchedGames20242025!$A13,DataRegularSeason20242025!$D$2:$D$1315,WatchedGames20242025!AI$1,DataRegularSeason20242025!$N$2:$N$1315,1, DataRegularSeason20242025!$R$2:$R$1315,1)</f>
        <v>0</v>
      </c>
      <c r="AJ14" s="39"/>
      <c r="AK14" s="38">
        <f>COUNTIFS(DataRegularSeason20242025!$E$2:$E$1315,WatchedGames20242025!$A13,DataRegularSeason20242025!$D$2:$D$1315,WatchedGames20242025!AK$1,DataRegularSeason20242025!$N$2:$N$1315,1, DataRegularSeason20242025!$R$2:$R$1315,1)</f>
        <v>0</v>
      </c>
      <c r="AL14" s="39"/>
      <c r="AM14" s="38">
        <f>COUNTIFS(DataRegularSeason20242025!$E$2:$E$1315,WatchedGames20242025!$A13,DataRegularSeason20242025!$D$2:$D$1315,WatchedGames20242025!AM$1,DataRegularSeason20242025!$N$2:$N$1315,1, DataRegularSeason20242025!$R$2:$R$1315,1)</f>
        <v>0</v>
      </c>
      <c r="AN14" s="39"/>
      <c r="AO14" s="38">
        <f>COUNTIFS(DataRegularSeason20242025!$E$2:$E$1315,WatchedGames20242025!$A13,DataRegularSeason20242025!$D$2:$D$1315,WatchedGames20242025!AO$1,DataRegularSeason20242025!$N$2:$N$1315,1, DataRegularSeason20242025!$R$2:$R$1315,1)</f>
        <v>0</v>
      </c>
      <c r="AP14" s="39"/>
      <c r="AQ14" s="38">
        <f>COUNTIFS(DataRegularSeason20242025!$E$2:$E$1315,WatchedGames20242025!$A13,DataRegularSeason20242025!$D$2:$D$1315,WatchedGames20242025!AQ$1,DataRegularSeason20242025!$N$2:$N$1315,1, DataRegularSeason20242025!$R$2:$R$1315,1)</f>
        <v>0</v>
      </c>
      <c r="AR14" s="39"/>
      <c r="AS14" s="38">
        <f>COUNTIFS(DataRegularSeason20242025!$E$2:$E$1315,WatchedGames20242025!$A13,DataRegularSeason20242025!$D$2:$D$1315,WatchedGames20242025!AS$1,DataRegularSeason20242025!$N$2:$N$1315,1, DataRegularSeason20242025!$R$2:$R$1315,1)</f>
        <v>0</v>
      </c>
      <c r="AT14" s="39"/>
      <c r="AU14" s="38">
        <f>COUNTIFS(DataRegularSeason20242025!$E$2:$E$1315,WatchedGames20242025!$A13,DataRegularSeason20242025!$D$2:$D$1315,WatchedGames20242025!AU$1,DataRegularSeason20242025!$N$2:$N$1315,1, DataRegularSeason20242025!$R$2:$R$1315,1)</f>
        <v>0</v>
      </c>
      <c r="AV14" s="39"/>
      <c r="AW14" s="38">
        <f>COUNTIFS(DataRegularSeason20242025!$E$2:$E$1315,WatchedGames20242025!$A13,DataRegularSeason20242025!$D$2:$D$1315,WatchedGames20242025!AW$1,DataRegularSeason20242025!$N$2:$N$1315,1, DataRegularSeason20242025!$R$2:$R$1315,1)</f>
        <v>0</v>
      </c>
      <c r="AX14" s="39"/>
      <c r="AY14" s="38">
        <f>COUNTIFS(DataRegularSeason20242025!$E$2:$E$1315,WatchedGames20242025!$A13,DataRegularSeason20242025!$D$2:$D$1315,WatchedGames20242025!AY$1,DataRegularSeason20242025!$N$2:$N$1315,1, DataRegularSeason20242025!$R$2:$R$1315,1)</f>
        <v>1</v>
      </c>
      <c r="AZ14" s="39"/>
      <c r="BA14" s="38">
        <f>COUNTIFS(DataRegularSeason20242025!$E$2:$E$1315,WatchedGames20242025!$A13,DataRegularSeason20242025!$D$2:$D$1315,WatchedGames20242025!BA$1,DataRegularSeason20242025!$N$2:$N$1315,1, DataRegularSeason20242025!$R$2:$R$1315,1)</f>
        <v>0</v>
      </c>
      <c r="BB14" s="39"/>
      <c r="BC14" s="38">
        <f>COUNTIFS(DataRegularSeason20242025!$E$2:$E$1315,WatchedGames20242025!$A13,DataRegularSeason20242025!$D$2:$D$1315,WatchedGames20242025!BC$1,DataRegularSeason20242025!$N$2:$N$1315,1, DataRegularSeason20242025!$R$2:$R$1315,1)</f>
        <v>0</v>
      </c>
      <c r="BD14" s="39"/>
      <c r="BE14" s="38">
        <f>COUNTIFS(DataRegularSeason20242025!$E$2:$E$1315,WatchedGames20242025!$A13,DataRegularSeason20242025!$D$2:$D$1315,WatchedGames20242025!BE$1,DataRegularSeason20242025!$N$2:$N$1315,1, DataRegularSeason20242025!$R$2:$R$1315,1)</f>
        <v>0</v>
      </c>
      <c r="BF14" s="39"/>
      <c r="BG14" s="38">
        <f>COUNTIFS(DataRegularSeason20242025!$E$2:$E$1315,WatchedGames20242025!$A13,DataRegularSeason20242025!$D$2:$D$1315,WatchedGames20242025!BG$1,DataRegularSeason20242025!$N$2:$N$1315,1, DataRegularSeason20242025!$R$2:$R$1315,1)</f>
        <v>0</v>
      </c>
      <c r="BH14" s="39"/>
      <c r="BI14" s="38">
        <f>COUNTIFS(DataRegularSeason20242025!$E$2:$E$1315,WatchedGames20242025!$A13,DataRegularSeason20242025!$D$2:$D$1315,WatchedGames20242025!BI$1,DataRegularSeason20242025!$N$2:$N$1315,1, DataRegularSeason20242025!$R$2:$R$1315,1)</f>
        <v>1</v>
      </c>
      <c r="BJ14" s="39"/>
      <c r="BK14" s="38">
        <f>COUNTIFS(DataRegularSeason20242025!$E$2:$E$1315,WatchedGames20242025!$A13,DataRegularSeason20242025!$D$2:$D$1315,WatchedGames20242025!BK$1,DataRegularSeason20242025!$N$2:$N$1315,1, DataRegularSeason20242025!$R$2:$R$1315,1)</f>
        <v>1</v>
      </c>
      <c r="BL14" s="39"/>
      <c r="BM14" s="38">
        <f>COUNTIFS(DataRegularSeason20242025!$E$2:$E$1315,WatchedGames20242025!$A13,DataRegularSeason20242025!$D$2:$D$1315,WatchedGames20242025!BM$1,DataRegularSeason20242025!$N$2:$N$1315,1, DataRegularSeason20242025!$R$2:$R$1315,1)</f>
        <v>0</v>
      </c>
      <c r="BN14" s="39"/>
      <c r="BO14" s="34">
        <f t="shared" si="1"/>
        <v>3</v>
      </c>
      <c r="BP14" s="165"/>
      <c r="BQ14" s="166"/>
      <c r="BR14" s="173"/>
    </row>
    <row r="15" spans="1:72" s="27" customFormat="1" ht="9.9499999999999993" customHeight="1" x14ac:dyDescent="0.2">
      <c r="A15" s="172" t="s">
        <v>16</v>
      </c>
      <c r="B15" s="28" t="s">
        <v>74</v>
      </c>
      <c r="C15" s="35"/>
      <c r="D15" s="28">
        <f>COUNTIFS(DataRegularSeason20242025!$E$2:$E$1315,WatchedGames20242025!C$1,DataRegularSeason20242025!$D$2:$D$1315,WatchedGames20242025!$A15,DataRegularSeason20242025!$N$2:$N$1315,1, DataRegularSeason20242025!$R$2:$R$1315,1)</f>
        <v>0</v>
      </c>
      <c r="E15" s="35"/>
      <c r="F15" s="28">
        <f>COUNTIFS(DataRegularSeason20242025!$E$2:$E$1315,WatchedGames20242025!E$1,DataRegularSeason20242025!$D$2:$D$1315,WatchedGames20242025!$A15,DataRegularSeason20242025!$N$2:$N$1315,1, DataRegularSeason20242025!$R$2:$R$1315,1)</f>
        <v>1</v>
      </c>
      <c r="G15" s="35"/>
      <c r="H15" s="28">
        <f>COUNTIFS(DataRegularSeason20242025!$E$2:$E$1315,WatchedGames20242025!G$1,DataRegularSeason20242025!$D$2:$D$1315,WatchedGames20242025!$A15,DataRegularSeason20242025!$N$2:$N$1315,1, DataRegularSeason20242025!$R$2:$R$1315,1)</f>
        <v>0</v>
      </c>
      <c r="I15" s="35"/>
      <c r="J15" s="28">
        <f>COUNTIFS(DataRegularSeason20242025!$E$2:$E$1315,WatchedGames20242025!I$1,DataRegularSeason20242025!$D$2:$D$1315,WatchedGames20242025!$A15,DataRegularSeason20242025!$N$2:$N$1315,1, DataRegularSeason20242025!$R$2:$R$1315,1)</f>
        <v>0</v>
      </c>
      <c r="K15" s="35"/>
      <c r="L15" s="28">
        <f>COUNTIFS(DataRegularSeason20242025!$E$2:$E$1315,WatchedGames20242025!K$1,DataRegularSeason20242025!$D$2:$D$1315,WatchedGames20242025!$A15,DataRegularSeason20242025!$N$2:$N$1315,1, DataRegularSeason20242025!$R$2:$R$1315,1)</f>
        <v>0</v>
      </c>
      <c r="M15" s="35"/>
      <c r="N15" s="28">
        <f>COUNTIFS(DataRegularSeason20242025!$E$2:$E$1315,WatchedGames20242025!M$1,DataRegularSeason20242025!$D$2:$D$1315,WatchedGames20242025!$A15,DataRegularSeason20242025!$N$2:$N$1315,1, DataRegularSeason20242025!$R$2:$R$1315,1)</f>
        <v>0</v>
      </c>
      <c r="O15" s="35"/>
      <c r="P15" s="36"/>
      <c r="Q15" s="35"/>
      <c r="R15" s="28">
        <f>COUNTIFS(DataRegularSeason20242025!$E$2:$E$1315,WatchedGames20242025!Q$1,DataRegularSeason20242025!$D$2:$D$1315,WatchedGames20242025!$A15,DataRegularSeason20242025!$N$2:$N$1315,1, DataRegularSeason20242025!$R$2:$R$1315,1)</f>
        <v>0</v>
      </c>
      <c r="S15" s="35"/>
      <c r="T15" s="28">
        <f>COUNTIFS(DataRegularSeason20242025!$E$2:$E$1315,WatchedGames20242025!S$1,DataRegularSeason20242025!$D$2:$D$1315,WatchedGames20242025!$A15,DataRegularSeason20242025!$N$2:$N$1315,1, DataRegularSeason20242025!$R$2:$R$1315,1)</f>
        <v>0</v>
      </c>
      <c r="U15" s="35"/>
      <c r="V15" s="28">
        <f>COUNTIFS(DataRegularSeason20242025!$E$2:$E$1315,WatchedGames20242025!U$1,DataRegularSeason20242025!$D$2:$D$1315,WatchedGames20242025!$A15,DataRegularSeason20242025!$N$2:$N$1315,1, DataRegularSeason20242025!$R$2:$R$1315,1)</f>
        <v>0</v>
      </c>
      <c r="W15" s="35"/>
      <c r="X15" s="28">
        <f>COUNTIFS(DataRegularSeason20242025!$E$2:$E$1315,WatchedGames20242025!W$1,DataRegularSeason20242025!$D$2:$D$1315,WatchedGames20242025!$A15,DataRegularSeason20242025!$N$2:$N$1315,1, DataRegularSeason20242025!$R$2:$R$1315,1)</f>
        <v>0</v>
      </c>
      <c r="Y15" s="35"/>
      <c r="Z15" s="28">
        <f>COUNTIFS(DataRegularSeason20242025!$E$2:$E$1315,WatchedGames20242025!Y$1,DataRegularSeason20242025!$D$2:$D$1315,WatchedGames20242025!$A15,DataRegularSeason20242025!$N$2:$N$1315,1, DataRegularSeason20242025!$R$2:$R$1315,1)</f>
        <v>1</v>
      </c>
      <c r="AA15" s="35"/>
      <c r="AB15" s="28">
        <f>COUNTIFS(DataRegularSeason20242025!$E$2:$E$1315,WatchedGames20242025!AA$1,DataRegularSeason20242025!$D$2:$D$1315,WatchedGames20242025!$A15,DataRegularSeason20242025!$N$2:$N$1315,1, DataRegularSeason20242025!$R$2:$R$1315,1)</f>
        <v>0</v>
      </c>
      <c r="AC15" s="35"/>
      <c r="AD15" s="28">
        <f>COUNTIFS(DataRegularSeason20242025!$E$2:$E$1315,WatchedGames20242025!AC$1,DataRegularSeason20242025!$D$2:$D$1315,WatchedGames20242025!$A15,DataRegularSeason20242025!$N$2:$N$1315,1, DataRegularSeason20242025!$R$2:$R$1315,1)</f>
        <v>0</v>
      </c>
      <c r="AE15" s="35"/>
      <c r="AF15" s="28">
        <f>COUNTIFS(DataRegularSeason20242025!$E$2:$E$1315,WatchedGames20242025!AE$1,DataRegularSeason20242025!$D$2:$D$1315,WatchedGames20242025!$A15,DataRegularSeason20242025!$N$2:$N$1315,1, DataRegularSeason20242025!$R$2:$R$1315,1)</f>
        <v>0</v>
      </c>
      <c r="AG15" s="35"/>
      <c r="AH15" s="28">
        <f>COUNTIFS(DataRegularSeason20242025!$E$2:$E$1315,WatchedGames20242025!AG$1,DataRegularSeason20242025!$D$2:$D$1315,WatchedGames20242025!$A15,DataRegularSeason20242025!$N$2:$N$1315,1, DataRegularSeason20242025!$R$2:$R$1315,1)</f>
        <v>0</v>
      </c>
      <c r="AI15" s="35"/>
      <c r="AJ15" s="28">
        <f>COUNTIFS(DataRegularSeason20242025!$E$2:$E$1315,WatchedGames20242025!AI$1,DataRegularSeason20242025!$D$2:$D$1315,WatchedGames20242025!$A15,DataRegularSeason20242025!$N$2:$N$1315,1, DataRegularSeason20242025!$R$2:$R$1315,1)</f>
        <v>0</v>
      </c>
      <c r="AK15" s="35"/>
      <c r="AL15" s="28">
        <f>COUNTIFS(DataRegularSeason20242025!$E$2:$E$1315,WatchedGames20242025!AK$1,DataRegularSeason20242025!$D$2:$D$1315,WatchedGames20242025!$A15,DataRegularSeason20242025!$N$2:$N$1315,1, DataRegularSeason20242025!$R$2:$R$1315,1)</f>
        <v>0</v>
      </c>
      <c r="AM15" s="35"/>
      <c r="AN15" s="28">
        <f>COUNTIFS(DataRegularSeason20242025!$E$2:$E$1315,WatchedGames20242025!AM$1,DataRegularSeason20242025!$D$2:$D$1315,WatchedGames20242025!$A15,DataRegularSeason20242025!$N$2:$N$1315,1, DataRegularSeason20242025!$R$2:$R$1315,1)</f>
        <v>0</v>
      </c>
      <c r="AO15" s="35"/>
      <c r="AP15" s="28">
        <f>COUNTIFS(DataRegularSeason20242025!$E$2:$E$1315,WatchedGames20242025!AO$1,DataRegularSeason20242025!$D$2:$D$1315,WatchedGames20242025!$A15,DataRegularSeason20242025!$N$2:$N$1315,1, DataRegularSeason20242025!$R$2:$R$1315,1)</f>
        <v>0</v>
      </c>
      <c r="AQ15" s="35"/>
      <c r="AR15" s="28">
        <f>COUNTIFS(DataRegularSeason20242025!$E$2:$E$1315,WatchedGames20242025!AQ$1,DataRegularSeason20242025!$D$2:$D$1315,WatchedGames20242025!$A15,DataRegularSeason20242025!$N$2:$N$1315,1, DataRegularSeason20242025!$R$2:$R$1315,1)</f>
        <v>0</v>
      </c>
      <c r="AS15" s="35"/>
      <c r="AT15" s="28">
        <f>COUNTIFS(DataRegularSeason20242025!$E$2:$E$1315,WatchedGames20242025!AS$1,DataRegularSeason20242025!$D$2:$D$1315,WatchedGames20242025!$A15,DataRegularSeason20242025!$N$2:$N$1315,1, DataRegularSeason20242025!$R$2:$R$1315,1)</f>
        <v>0</v>
      </c>
      <c r="AU15" s="35"/>
      <c r="AV15" s="28">
        <f>COUNTIFS(DataRegularSeason20242025!$E$2:$E$1315,WatchedGames20242025!AU$1,DataRegularSeason20242025!$D$2:$D$1315,WatchedGames20242025!$A15,DataRegularSeason20242025!$N$2:$N$1315,1, DataRegularSeason20242025!$R$2:$R$1315,1)</f>
        <v>0</v>
      </c>
      <c r="AW15" s="35"/>
      <c r="AX15" s="28">
        <f>COUNTIFS(DataRegularSeason20242025!$E$2:$E$1315,WatchedGames20242025!AW$1,DataRegularSeason20242025!$D$2:$D$1315,WatchedGames20242025!$A15,DataRegularSeason20242025!$N$2:$N$1315,1, DataRegularSeason20242025!$R$2:$R$1315,1)</f>
        <v>0</v>
      </c>
      <c r="AY15" s="35"/>
      <c r="AZ15" s="28">
        <f>COUNTIFS(DataRegularSeason20242025!$E$2:$E$1315,WatchedGames20242025!AY$1,DataRegularSeason20242025!$D$2:$D$1315,WatchedGames20242025!$A15,DataRegularSeason20242025!$N$2:$N$1315,1, DataRegularSeason20242025!$R$2:$R$1315,1)</f>
        <v>1</v>
      </c>
      <c r="BA15" s="35"/>
      <c r="BB15" s="28">
        <f>COUNTIFS(DataRegularSeason20242025!$E$2:$E$1315,WatchedGames20242025!BA$1,DataRegularSeason20242025!$D$2:$D$1315,WatchedGames20242025!$A15,DataRegularSeason20242025!$N$2:$N$1315,1, DataRegularSeason20242025!$R$2:$R$1315,1)</f>
        <v>0</v>
      </c>
      <c r="BC15" s="35"/>
      <c r="BD15" s="28">
        <f>COUNTIFS(DataRegularSeason20242025!$E$2:$E$1315,WatchedGames20242025!BC$1,DataRegularSeason20242025!$D$2:$D$1315,WatchedGames20242025!$A15,DataRegularSeason20242025!$N$2:$N$1315,1, DataRegularSeason20242025!$R$2:$R$1315,1)</f>
        <v>0</v>
      </c>
      <c r="BE15" s="35"/>
      <c r="BF15" s="28">
        <f>COUNTIFS(DataRegularSeason20242025!$E$2:$E$1315,WatchedGames20242025!BE$1,DataRegularSeason20242025!$D$2:$D$1315,WatchedGames20242025!$A15,DataRegularSeason20242025!$N$2:$N$1315,1, DataRegularSeason20242025!$R$2:$R$1315,1)</f>
        <v>0</v>
      </c>
      <c r="BG15" s="35"/>
      <c r="BH15" s="28">
        <f>COUNTIFS(DataRegularSeason20242025!$E$2:$E$1315,WatchedGames20242025!BG$1,DataRegularSeason20242025!$D$2:$D$1315,WatchedGames20242025!$A15,DataRegularSeason20242025!$N$2:$N$1315,1, DataRegularSeason20242025!$R$2:$R$1315,1)</f>
        <v>0</v>
      </c>
      <c r="BI15" s="35"/>
      <c r="BJ15" s="28">
        <f>COUNTIFS(DataRegularSeason20242025!$E$2:$E$1315,WatchedGames20242025!BI$1,DataRegularSeason20242025!$D$2:$D$1315,WatchedGames20242025!$A15,DataRegularSeason20242025!$N$2:$N$1315,1, DataRegularSeason20242025!$R$2:$R$1315,1)</f>
        <v>0</v>
      </c>
      <c r="BK15" s="35"/>
      <c r="BL15" s="28">
        <f>COUNTIFS(DataRegularSeason20242025!$E$2:$E$1315,WatchedGames20242025!BK$1,DataRegularSeason20242025!$D$2:$D$1315,WatchedGames20242025!$A15,DataRegularSeason20242025!$N$2:$N$1315,1, DataRegularSeason20242025!$R$2:$R$1315,1)</f>
        <v>0</v>
      </c>
      <c r="BM15" s="35"/>
      <c r="BN15" s="28">
        <f>COUNTIFS(DataRegularSeason20242025!$E$2:$E$1315,WatchedGames20242025!BM$1,DataRegularSeason20242025!$D$2:$D$1315,WatchedGames20242025!$A15,DataRegularSeason20242025!$N$2:$N$1315,1, DataRegularSeason20242025!$R$2:$R$1315,1)</f>
        <v>0</v>
      </c>
      <c r="BO15" s="30">
        <f t="shared" si="1"/>
        <v>3</v>
      </c>
      <c r="BP15" s="165">
        <f t="shared" ref="BP15" si="12">BO15+BO16</f>
        <v>7</v>
      </c>
      <c r="BQ15" s="166">
        <f t="shared" ref="BQ15" si="13">82-BP15</f>
        <v>75</v>
      </c>
      <c r="BR15" s="173">
        <f t="shared" si="0"/>
        <v>8.5365853658536592E-2</v>
      </c>
    </row>
    <row r="16" spans="1:72" s="27" customFormat="1" ht="9.9499999999999993" customHeight="1" x14ac:dyDescent="0.2">
      <c r="A16" s="167"/>
      <c r="B16" s="32" t="s">
        <v>73</v>
      </c>
      <c r="C16" s="38">
        <f>COUNTIFS(DataRegularSeason20242025!$E$2:$E$1315,WatchedGames20242025!$A15,DataRegularSeason20242025!$D$2:$D$1315,WatchedGames20242025!C$1,DataRegularSeason20242025!$N$2:$N$1315,1, DataRegularSeason20242025!$R$2:$R$1315,1)</f>
        <v>1</v>
      </c>
      <c r="D16" s="39"/>
      <c r="E16" s="38">
        <f>COUNTIFS(DataRegularSeason20242025!$E$2:$E$1315,WatchedGames20242025!$A15,DataRegularSeason20242025!$D$2:$D$1315,WatchedGames20242025!E$1,DataRegularSeason20242025!$N$2:$N$1315,1, DataRegularSeason20242025!$R$2:$R$1315,1)</f>
        <v>0</v>
      </c>
      <c r="F16" s="39"/>
      <c r="G16" s="38">
        <f>COUNTIFS(DataRegularSeason20242025!$E$2:$E$1315,WatchedGames20242025!$A15,DataRegularSeason20242025!$D$2:$D$1315,WatchedGames20242025!G$1,DataRegularSeason20242025!$N$2:$N$1315,1, DataRegularSeason20242025!$R$2:$R$1315,1)</f>
        <v>0</v>
      </c>
      <c r="H16" s="39"/>
      <c r="I16" s="38">
        <f>COUNTIFS(DataRegularSeason20242025!$E$2:$E$1315,WatchedGames20242025!$A15,DataRegularSeason20242025!$D$2:$D$1315,WatchedGames20242025!I$1,DataRegularSeason20242025!$N$2:$N$1315,1, DataRegularSeason20242025!$R$2:$R$1315,1)</f>
        <v>0</v>
      </c>
      <c r="J16" s="39"/>
      <c r="K16" s="38">
        <f>COUNTIFS(DataRegularSeason20242025!$E$2:$E$1315,WatchedGames20242025!$A15,DataRegularSeason20242025!$D$2:$D$1315,WatchedGames20242025!K$1,DataRegularSeason20242025!$N$2:$N$1315,1, DataRegularSeason20242025!$R$2:$R$1315,1)</f>
        <v>0</v>
      </c>
      <c r="L16" s="39"/>
      <c r="M16" s="38">
        <f>COUNTIFS(DataRegularSeason20242025!$E$2:$E$1315,WatchedGames20242025!$A15,DataRegularSeason20242025!$D$2:$D$1315,WatchedGames20242025!M$1,DataRegularSeason20242025!$N$2:$N$1315,1, DataRegularSeason20242025!$R$2:$R$1315,1)</f>
        <v>0</v>
      </c>
      <c r="N16" s="39"/>
      <c r="O16" s="38"/>
      <c r="P16" s="39"/>
      <c r="Q16" s="38">
        <f>COUNTIFS(DataRegularSeason20242025!$E$2:$E$1315,WatchedGames20242025!$A15,DataRegularSeason20242025!$D$2:$D$1315,WatchedGames20242025!Q$1,DataRegularSeason20242025!$N$2:$N$1315,1, DataRegularSeason20242025!$R$2:$R$1315,1)</f>
        <v>0</v>
      </c>
      <c r="R16" s="39"/>
      <c r="S16" s="38">
        <f>COUNTIFS(DataRegularSeason20242025!$E$2:$E$1315,WatchedGames20242025!$A15,DataRegularSeason20242025!$D$2:$D$1315,WatchedGames20242025!S$1,DataRegularSeason20242025!$N$2:$N$1315,1, DataRegularSeason20242025!$R$2:$R$1315,1)</f>
        <v>0</v>
      </c>
      <c r="T16" s="39"/>
      <c r="U16" s="38">
        <f>COUNTIFS(DataRegularSeason20242025!$E$2:$E$1315,WatchedGames20242025!$A15,DataRegularSeason20242025!$D$2:$D$1315,WatchedGames20242025!U$1,DataRegularSeason20242025!$N$2:$N$1315,1, DataRegularSeason20242025!$R$2:$R$1315,1)</f>
        <v>0</v>
      </c>
      <c r="V16" s="39"/>
      <c r="W16" s="38">
        <f>COUNTIFS(DataRegularSeason20242025!$E$2:$E$1315,WatchedGames20242025!$A15,DataRegularSeason20242025!$D$2:$D$1315,WatchedGames20242025!W$1,DataRegularSeason20242025!$N$2:$N$1315,1, DataRegularSeason20242025!$R$2:$R$1315,1)</f>
        <v>0</v>
      </c>
      <c r="X16" s="39"/>
      <c r="Y16" s="38">
        <f>COUNTIFS(DataRegularSeason20242025!$E$2:$E$1315,WatchedGames20242025!$A15,DataRegularSeason20242025!$D$2:$D$1315,WatchedGames20242025!Y$1,DataRegularSeason20242025!$N$2:$N$1315,1, DataRegularSeason20242025!$R$2:$R$1315,1)</f>
        <v>0</v>
      </c>
      <c r="Z16" s="39"/>
      <c r="AA16" s="38">
        <f>COUNTIFS(DataRegularSeason20242025!$E$2:$E$1315,WatchedGames20242025!$A15,DataRegularSeason20242025!$D$2:$D$1315,WatchedGames20242025!AA$1,DataRegularSeason20242025!$N$2:$N$1315,1, DataRegularSeason20242025!$R$2:$R$1315,1)</f>
        <v>0</v>
      </c>
      <c r="AB16" s="39"/>
      <c r="AC16" s="38">
        <f>COUNTIFS(DataRegularSeason20242025!$E$2:$E$1315,WatchedGames20242025!$A15,DataRegularSeason20242025!$D$2:$D$1315,WatchedGames20242025!AC$1,DataRegularSeason20242025!$N$2:$N$1315,1, DataRegularSeason20242025!$R$2:$R$1315,1)</f>
        <v>0</v>
      </c>
      <c r="AD16" s="39"/>
      <c r="AE16" s="38">
        <f>COUNTIFS(DataRegularSeason20242025!$E$2:$E$1315,WatchedGames20242025!$A15,DataRegularSeason20242025!$D$2:$D$1315,WatchedGames20242025!AE$1,DataRegularSeason20242025!$N$2:$N$1315,1, DataRegularSeason20242025!$R$2:$R$1315,1)</f>
        <v>1</v>
      </c>
      <c r="AF16" s="39"/>
      <c r="AG16" s="38">
        <f>COUNTIFS(DataRegularSeason20242025!$E$2:$E$1315,WatchedGames20242025!$A15,DataRegularSeason20242025!$D$2:$D$1315,WatchedGames20242025!AG$1,DataRegularSeason20242025!$N$2:$N$1315,1, DataRegularSeason20242025!$R$2:$R$1315,1)</f>
        <v>0</v>
      </c>
      <c r="AH16" s="39"/>
      <c r="AI16" s="38">
        <f>COUNTIFS(DataRegularSeason20242025!$E$2:$E$1315,WatchedGames20242025!$A15,DataRegularSeason20242025!$D$2:$D$1315,WatchedGames20242025!AI$1,DataRegularSeason20242025!$N$2:$N$1315,1, DataRegularSeason20242025!$R$2:$R$1315,1)</f>
        <v>0</v>
      </c>
      <c r="AJ16" s="39"/>
      <c r="AK16" s="38">
        <f>COUNTIFS(DataRegularSeason20242025!$E$2:$E$1315,WatchedGames20242025!$A15,DataRegularSeason20242025!$D$2:$D$1315,WatchedGames20242025!AK$1,DataRegularSeason20242025!$N$2:$N$1315,1, DataRegularSeason20242025!$R$2:$R$1315,1)</f>
        <v>0</v>
      </c>
      <c r="AL16" s="39"/>
      <c r="AM16" s="38">
        <f>COUNTIFS(DataRegularSeason20242025!$E$2:$E$1315,WatchedGames20242025!$A15,DataRegularSeason20242025!$D$2:$D$1315,WatchedGames20242025!AM$1,DataRegularSeason20242025!$N$2:$N$1315,1, DataRegularSeason20242025!$R$2:$R$1315,1)</f>
        <v>0</v>
      </c>
      <c r="AN16" s="39"/>
      <c r="AO16" s="38">
        <f>COUNTIFS(DataRegularSeason20242025!$E$2:$E$1315,WatchedGames20242025!$A15,DataRegularSeason20242025!$D$2:$D$1315,WatchedGames20242025!AO$1,DataRegularSeason20242025!$N$2:$N$1315,1, DataRegularSeason20242025!$R$2:$R$1315,1)</f>
        <v>0</v>
      </c>
      <c r="AP16" s="39"/>
      <c r="AQ16" s="38">
        <f>COUNTIFS(DataRegularSeason20242025!$E$2:$E$1315,WatchedGames20242025!$A15,DataRegularSeason20242025!$D$2:$D$1315,WatchedGames20242025!AQ$1,DataRegularSeason20242025!$N$2:$N$1315,1, DataRegularSeason20242025!$R$2:$R$1315,1)</f>
        <v>0</v>
      </c>
      <c r="AR16" s="39"/>
      <c r="AS16" s="38">
        <f>COUNTIFS(DataRegularSeason20242025!$E$2:$E$1315,WatchedGames20242025!$A15,DataRegularSeason20242025!$D$2:$D$1315,WatchedGames20242025!AS$1,DataRegularSeason20242025!$N$2:$N$1315,1, DataRegularSeason20242025!$R$2:$R$1315,1)</f>
        <v>0</v>
      </c>
      <c r="AT16" s="39"/>
      <c r="AU16" s="38">
        <f>COUNTIFS(DataRegularSeason20242025!$E$2:$E$1315,WatchedGames20242025!$A15,DataRegularSeason20242025!$D$2:$D$1315,WatchedGames20242025!AU$1,DataRegularSeason20242025!$N$2:$N$1315,1, DataRegularSeason20242025!$R$2:$R$1315,1)</f>
        <v>0</v>
      </c>
      <c r="AV16" s="39"/>
      <c r="AW16" s="38">
        <f>COUNTIFS(DataRegularSeason20242025!$E$2:$E$1315,WatchedGames20242025!$A15,DataRegularSeason20242025!$D$2:$D$1315,WatchedGames20242025!AW$1,DataRegularSeason20242025!$N$2:$N$1315,1, DataRegularSeason20242025!$R$2:$R$1315,1)</f>
        <v>0</v>
      </c>
      <c r="AX16" s="39"/>
      <c r="AY16" s="38">
        <f>COUNTIFS(DataRegularSeason20242025!$E$2:$E$1315,WatchedGames20242025!$A15,DataRegularSeason20242025!$D$2:$D$1315,WatchedGames20242025!AY$1,DataRegularSeason20242025!$N$2:$N$1315,1, DataRegularSeason20242025!$R$2:$R$1315,1)</f>
        <v>0</v>
      </c>
      <c r="AZ16" s="39"/>
      <c r="BA16" s="38">
        <f>COUNTIFS(DataRegularSeason20242025!$E$2:$E$1315,WatchedGames20242025!$A15,DataRegularSeason20242025!$D$2:$D$1315,WatchedGames20242025!BA$1,DataRegularSeason20242025!$N$2:$N$1315,1, DataRegularSeason20242025!$R$2:$R$1315,1)</f>
        <v>0</v>
      </c>
      <c r="BB16" s="39"/>
      <c r="BC16" s="38">
        <f>COUNTIFS(DataRegularSeason20242025!$E$2:$E$1315,WatchedGames20242025!$A15,DataRegularSeason20242025!$D$2:$D$1315,WatchedGames20242025!BC$1,DataRegularSeason20242025!$N$2:$N$1315,1, DataRegularSeason20242025!$R$2:$R$1315,1)</f>
        <v>0</v>
      </c>
      <c r="BD16" s="39"/>
      <c r="BE16" s="38">
        <f>COUNTIFS(DataRegularSeason20242025!$E$2:$E$1315,WatchedGames20242025!$A15,DataRegularSeason20242025!$D$2:$D$1315,WatchedGames20242025!BE$1,DataRegularSeason20242025!$N$2:$N$1315,1, DataRegularSeason20242025!$R$2:$R$1315,1)</f>
        <v>1</v>
      </c>
      <c r="BF16" s="39"/>
      <c r="BG16" s="38">
        <f>COUNTIFS(DataRegularSeason20242025!$E$2:$E$1315,WatchedGames20242025!$A15,DataRegularSeason20242025!$D$2:$D$1315,WatchedGames20242025!BG$1,DataRegularSeason20242025!$N$2:$N$1315,1, DataRegularSeason20242025!$R$2:$R$1315,1)</f>
        <v>1</v>
      </c>
      <c r="BH16" s="39"/>
      <c r="BI16" s="38">
        <f>COUNTIFS(DataRegularSeason20242025!$E$2:$E$1315,WatchedGames20242025!$A15,DataRegularSeason20242025!$D$2:$D$1315,WatchedGames20242025!BI$1,DataRegularSeason20242025!$N$2:$N$1315,1, DataRegularSeason20242025!$R$2:$R$1315,1)</f>
        <v>0</v>
      </c>
      <c r="BJ16" s="39"/>
      <c r="BK16" s="38">
        <f>COUNTIFS(DataRegularSeason20242025!$E$2:$E$1315,WatchedGames20242025!$A15,DataRegularSeason20242025!$D$2:$D$1315,WatchedGames20242025!BK$1,DataRegularSeason20242025!$N$2:$N$1315,1, DataRegularSeason20242025!$R$2:$R$1315,1)</f>
        <v>0</v>
      </c>
      <c r="BL16" s="39"/>
      <c r="BM16" s="38">
        <f>COUNTIFS(DataRegularSeason20242025!$E$2:$E$1315,WatchedGames20242025!$A15,DataRegularSeason20242025!$D$2:$D$1315,WatchedGames20242025!BM$1,DataRegularSeason20242025!$N$2:$N$1315,1, DataRegularSeason20242025!$R$2:$R$1315,1)</f>
        <v>0</v>
      </c>
      <c r="BN16" s="39"/>
      <c r="BO16" s="34">
        <f t="shared" si="1"/>
        <v>4</v>
      </c>
      <c r="BP16" s="165"/>
      <c r="BQ16" s="166"/>
      <c r="BR16" s="173"/>
    </row>
    <row r="17" spans="1:70" s="27" customFormat="1" ht="9.9499999999999993" customHeight="1" x14ac:dyDescent="0.2">
      <c r="A17" s="172" t="s">
        <v>25</v>
      </c>
      <c r="B17" s="28" t="s">
        <v>74</v>
      </c>
      <c r="C17" s="35"/>
      <c r="D17" s="28">
        <f>COUNTIFS(DataRegularSeason20242025!$E$2:$E$1315,WatchedGames20242025!C$1,DataRegularSeason20242025!$D$2:$D$1315,WatchedGames20242025!$A17,DataRegularSeason20242025!$N$2:$N$1315,1, DataRegularSeason20242025!$R$2:$R$1315,1)</f>
        <v>0</v>
      </c>
      <c r="E17" s="35"/>
      <c r="F17" s="28">
        <f>COUNTIFS(DataRegularSeason20242025!$E$2:$E$1315,WatchedGames20242025!E$1,DataRegularSeason20242025!$D$2:$D$1315,WatchedGames20242025!$A17,DataRegularSeason20242025!$N$2:$N$1315,1, DataRegularSeason20242025!$R$2:$R$1315,1)</f>
        <v>0</v>
      </c>
      <c r="G17" s="35"/>
      <c r="H17" s="28">
        <f>COUNTIFS(DataRegularSeason20242025!$E$2:$E$1315,WatchedGames20242025!G$1,DataRegularSeason20242025!$D$2:$D$1315,WatchedGames20242025!$A17,DataRegularSeason20242025!$N$2:$N$1315,1, DataRegularSeason20242025!$R$2:$R$1315,1)</f>
        <v>1</v>
      </c>
      <c r="I17" s="35"/>
      <c r="J17" s="28">
        <f>COUNTIFS(DataRegularSeason20242025!$E$2:$E$1315,WatchedGames20242025!I$1,DataRegularSeason20242025!$D$2:$D$1315,WatchedGames20242025!$A17,DataRegularSeason20242025!$N$2:$N$1315,1, DataRegularSeason20242025!$R$2:$R$1315,1)</f>
        <v>0</v>
      </c>
      <c r="K17" s="35"/>
      <c r="L17" s="28">
        <f>COUNTIFS(DataRegularSeason20242025!$E$2:$E$1315,WatchedGames20242025!K$1,DataRegularSeason20242025!$D$2:$D$1315,WatchedGames20242025!$A17,DataRegularSeason20242025!$N$2:$N$1315,1, DataRegularSeason20242025!$R$2:$R$1315,1)</f>
        <v>0</v>
      </c>
      <c r="M17" s="35"/>
      <c r="N17" s="28">
        <f>COUNTIFS(DataRegularSeason20242025!$E$2:$E$1315,WatchedGames20242025!M$1,DataRegularSeason20242025!$D$2:$D$1315,WatchedGames20242025!$A17,DataRegularSeason20242025!$N$2:$N$1315,1, DataRegularSeason20242025!$R$2:$R$1315,1)</f>
        <v>0</v>
      </c>
      <c r="O17" s="35"/>
      <c r="P17" s="28">
        <f>COUNTIFS(DataRegularSeason20242025!$E$2:$E$1315,WatchedGames20242025!O$1,DataRegularSeason20242025!$D$2:$D$1315,WatchedGames20242025!$A17,DataRegularSeason20242025!$N$2:$N$1315,1, DataRegularSeason20242025!$R$2:$R$1315,1)</f>
        <v>0</v>
      </c>
      <c r="Q17" s="35"/>
      <c r="R17" s="36"/>
      <c r="S17" s="35"/>
      <c r="T17" s="28">
        <f>COUNTIFS(DataRegularSeason20242025!$E$2:$E$1315,WatchedGames20242025!S$1,DataRegularSeason20242025!$D$2:$D$1315,WatchedGames20242025!$A17,DataRegularSeason20242025!$N$2:$N$1315,1, DataRegularSeason20242025!$R$2:$R$1315,1)</f>
        <v>0</v>
      </c>
      <c r="U17" s="35"/>
      <c r="V17" s="28">
        <f>COUNTIFS(DataRegularSeason20242025!$E$2:$E$1315,WatchedGames20242025!U$1,DataRegularSeason20242025!$D$2:$D$1315,WatchedGames20242025!$A17,DataRegularSeason20242025!$N$2:$N$1315,1, DataRegularSeason20242025!$R$2:$R$1315,1)</f>
        <v>0</v>
      </c>
      <c r="W17" s="35"/>
      <c r="X17" s="28">
        <f>COUNTIFS(DataRegularSeason20242025!$E$2:$E$1315,WatchedGames20242025!W$1,DataRegularSeason20242025!$D$2:$D$1315,WatchedGames20242025!$A17,DataRegularSeason20242025!$N$2:$N$1315,1, DataRegularSeason20242025!$R$2:$R$1315,1)</f>
        <v>0</v>
      </c>
      <c r="Y17" s="35"/>
      <c r="Z17" s="28">
        <f>COUNTIFS(DataRegularSeason20242025!$E$2:$E$1315,WatchedGames20242025!Y$1,DataRegularSeason20242025!$D$2:$D$1315,WatchedGames20242025!$A17,DataRegularSeason20242025!$N$2:$N$1315,1, DataRegularSeason20242025!$R$2:$R$1315,1)</f>
        <v>0</v>
      </c>
      <c r="AA17" s="35"/>
      <c r="AB17" s="28">
        <f>COUNTIFS(DataRegularSeason20242025!$E$2:$E$1315,WatchedGames20242025!AA$1,DataRegularSeason20242025!$D$2:$D$1315,WatchedGames20242025!$A17,DataRegularSeason20242025!$N$2:$N$1315,1, DataRegularSeason20242025!$R$2:$R$1315,1)</f>
        <v>1</v>
      </c>
      <c r="AC17" s="35"/>
      <c r="AD17" s="28">
        <f>COUNTIFS(DataRegularSeason20242025!$E$2:$E$1315,WatchedGames20242025!AC$1,DataRegularSeason20242025!$D$2:$D$1315,WatchedGames20242025!$A17,DataRegularSeason20242025!$N$2:$N$1315,1, DataRegularSeason20242025!$R$2:$R$1315,1)</f>
        <v>0</v>
      </c>
      <c r="AE17" s="35"/>
      <c r="AF17" s="28">
        <f>COUNTIFS(DataRegularSeason20242025!$E$2:$E$1315,WatchedGames20242025!AE$1,DataRegularSeason20242025!$D$2:$D$1315,WatchedGames20242025!$A17,DataRegularSeason20242025!$N$2:$N$1315,1, DataRegularSeason20242025!$R$2:$R$1315,1)</f>
        <v>0</v>
      </c>
      <c r="AG17" s="35"/>
      <c r="AH17" s="28">
        <f>COUNTIFS(DataRegularSeason20242025!$E$2:$E$1315,WatchedGames20242025!AG$1,DataRegularSeason20242025!$D$2:$D$1315,WatchedGames20242025!$A17,DataRegularSeason20242025!$N$2:$N$1315,1, DataRegularSeason20242025!$R$2:$R$1315,1)</f>
        <v>0</v>
      </c>
      <c r="AI17" s="35"/>
      <c r="AJ17" s="28">
        <f>COUNTIFS(DataRegularSeason20242025!$E$2:$E$1315,WatchedGames20242025!AI$1,DataRegularSeason20242025!$D$2:$D$1315,WatchedGames20242025!$A17,DataRegularSeason20242025!$N$2:$N$1315,1, DataRegularSeason20242025!$R$2:$R$1315,1)</f>
        <v>0</v>
      </c>
      <c r="AK17" s="35"/>
      <c r="AL17" s="28">
        <f>COUNTIFS(DataRegularSeason20242025!$E$2:$E$1315,WatchedGames20242025!AK$1,DataRegularSeason20242025!$D$2:$D$1315,WatchedGames20242025!$A17,DataRegularSeason20242025!$N$2:$N$1315,1, DataRegularSeason20242025!$R$2:$R$1315,1)</f>
        <v>0</v>
      </c>
      <c r="AM17" s="35"/>
      <c r="AN17" s="28">
        <f>COUNTIFS(DataRegularSeason20242025!$E$2:$E$1315,WatchedGames20242025!AM$1,DataRegularSeason20242025!$D$2:$D$1315,WatchedGames20242025!$A17,DataRegularSeason20242025!$N$2:$N$1315,1, DataRegularSeason20242025!$R$2:$R$1315,1)</f>
        <v>0</v>
      </c>
      <c r="AO17" s="35"/>
      <c r="AP17" s="28">
        <f>COUNTIFS(DataRegularSeason20242025!$E$2:$E$1315,WatchedGames20242025!AO$1,DataRegularSeason20242025!$D$2:$D$1315,WatchedGames20242025!$A17,DataRegularSeason20242025!$N$2:$N$1315,1, DataRegularSeason20242025!$R$2:$R$1315,1)</f>
        <v>0</v>
      </c>
      <c r="AQ17" s="35"/>
      <c r="AR17" s="28">
        <f>COUNTIFS(DataRegularSeason20242025!$E$2:$E$1315,WatchedGames20242025!AQ$1,DataRegularSeason20242025!$D$2:$D$1315,WatchedGames20242025!$A17,DataRegularSeason20242025!$N$2:$N$1315,1, DataRegularSeason20242025!$R$2:$R$1315,1)</f>
        <v>0</v>
      </c>
      <c r="AS17" s="35"/>
      <c r="AT17" s="28">
        <f>COUNTIFS(DataRegularSeason20242025!$E$2:$E$1315,WatchedGames20242025!AS$1,DataRegularSeason20242025!$D$2:$D$1315,WatchedGames20242025!$A17,DataRegularSeason20242025!$N$2:$N$1315,1, DataRegularSeason20242025!$R$2:$R$1315,1)</f>
        <v>0</v>
      </c>
      <c r="AU17" s="35"/>
      <c r="AV17" s="28">
        <f>COUNTIFS(DataRegularSeason20242025!$E$2:$E$1315,WatchedGames20242025!AU$1,DataRegularSeason20242025!$D$2:$D$1315,WatchedGames20242025!$A17,DataRegularSeason20242025!$N$2:$N$1315,1, DataRegularSeason20242025!$R$2:$R$1315,1)</f>
        <v>0</v>
      </c>
      <c r="AW17" s="35"/>
      <c r="AX17" s="28">
        <f>COUNTIFS(DataRegularSeason20242025!$E$2:$E$1315,WatchedGames20242025!AW$1,DataRegularSeason20242025!$D$2:$D$1315,WatchedGames20242025!$A17,DataRegularSeason20242025!$N$2:$N$1315,1, DataRegularSeason20242025!$R$2:$R$1315,1)</f>
        <v>0</v>
      </c>
      <c r="AY17" s="35"/>
      <c r="AZ17" s="28">
        <f>COUNTIFS(DataRegularSeason20242025!$E$2:$E$1315,WatchedGames20242025!AY$1,DataRegularSeason20242025!$D$2:$D$1315,WatchedGames20242025!$A17,DataRegularSeason20242025!$N$2:$N$1315,1, DataRegularSeason20242025!$R$2:$R$1315,1)</f>
        <v>0</v>
      </c>
      <c r="BA17" s="35"/>
      <c r="BB17" s="28">
        <f>COUNTIFS(DataRegularSeason20242025!$E$2:$E$1315,WatchedGames20242025!BA$1,DataRegularSeason20242025!$D$2:$D$1315,WatchedGames20242025!$A17,DataRegularSeason20242025!$N$2:$N$1315,1, DataRegularSeason20242025!$R$2:$R$1315,1)</f>
        <v>0</v>
      </c>
      <c r="BC17" s="35"/>
      <c r="BD17" s="28">
        <f>COUNTIFS(DataRegularSeason20242025!$E$2:$E$1315,WatchedGames20242025!BC$1,DataRegularSeason20242025!$D$2:$D$1315,WatchedGames20242025!$A17,DataRegularSeason20242025!$N$2:$N$1315,1, DataRegularSeason20242025!$R$2:$R$1315,1)</f>
        <v>0</v>
      </c>
      <c r="BE17" s="35"/>
      <c r="BF17" s="28">
        <f>COUNTIFS(DataRegularSeason20242025!$E$2:$E$1315,WatchedGames20242025!BE$1,DataRegularSeason20242025!$D$2:$D$1315,WatchedGames20242025!$A17,DataRegularSeason20242025!$N$2:$N$1315,1, DataRegularSeason20242025!$R$2:$R$1315,1)</f>
        <v>1</v>
      </c>
      <c r="BG17" s="35"/>
      <c r="BH17" s="28">
        <f>COUNTIFS(DataRegularSeason20242025!$E$2:$E$1315,WatchedGames20242025!BG$1,DataRegularSeason20242025!$D$2:$D$1315,WatchedGames20242025!$A17,DataRegularSeason20242025!$N$2:$N$1315,1, DataRegularSeason20242025!$R$2:$R$1315,1)</f>
        <v>0</v>
      </c>
      <c r="BI17" s="35"/>
      <c r="BJ17" s="28">
        <f>COUNTIFS(DataRegularSeason20242025!$E$2:$E$1315,WatchedGames20242025!BI$1,DataRegularSeason20242025!$D$2:$D$1315,WatchedGames20242025!$A17,DataRegularSeason20242025!$N$2:$N$1315,1, DataRegularSeason20242025!$R$2:$R$1315,1)</f>
        <v>0</v>
      </c>
      <c r="BK17" s="35"/>
      <c r="BL17" s="28">
        <f>COUNTIFS(DataRegularSeason20242025!$E$2:$E$1315,WatchedGames20242025!BK$1,DataRegularSeason20242025!$D$2:$D$1315,WatchedGames20242025!$A17,DataRegularSeason20242025!$N$2:$N$1315,1, DataRegularSeason20242025!$R$2:$R$1315,1)</f>
        <v>0</v>
      </c>
      <c r="BM17" s="35"/>
      <c r="BN17" s="28">
        <f>COUNTIFS(DataRegularSeason20242025!$E$2:$E$1315,WatchedGames20242025!BM$1,DataRegularSeason20242025!$D$2:$D$1315,WatchedGames20242025!$A17,DataRegularSeason20242025!$N$2:$N$1315,1, DataRegularSeason20242025!$R$2:$R$1315,1)</f>
        <v>0</v>
      </c>
      <c r="BO17" s="30">
        <f t="shared" si="1"/>
        <v>3</v>
      </c>
      <c r="BP17" s="165">
        <f t="shared" ref="BP17" si="14">BO17+BO18</f>
        <v>6</v>
      </c>
      <c r="BQ17" s="166">
        <f t="shared" ref="BQ17" si="15">82-BP17</f>
        <v>76</v>
      </c>
      <c r="BR17" s="173">
        <f t="shared" si="0"/>
        <v>7.3170731707317069E-2</v>
      </c>
    </row>
    <row r="18" spans="1:70" s="27" customFormat="1" ht="9.9499999999999993" customHeight="1" x14ac:dyDescent="0.2">
      <c r="A18" s="167"/>
      <c r="B18" s="32" t="s">
        <v>73</v>
      </c>
      <c r="C18" s="38">
        <f>COUNTIFS(DataRegularSeason20242025!$E$2:$E$1315,WatchedGames20242025!$A17,DataRegularSeason20242025!$D$2:$D$1315,WatchedGames20242025!C$1,DataRegularSeason20242025!$N$2:$N$1315,1, DataRegularSeason20242025!$R$2:$R$1315,1)</f>
        <v>0</v>
      </c>
      <c r="D18" s="39"/>
      <c r="E18" s="38">
        <f>COUNTIFS(DataRegularSeason20242025!$E$2:$E$1315,WatchedGames20242025!$A17,DataRegularSeason20242025!$D$2:$D$1315,WatchedGames20242025!E$1,DataRegularSeason20242025!$N$2:$N$1315,1, DataRegularSeason20242025!$R$2:$R$1315,1)</f>
        <v>1</v>
      </c>
      <c r="F18" s="39"/>
      <c r="G18" s="38">
        <f>COUNTIFS(DataRegularSeason20242025!$E$2:$E$1315,WatchedGames20242025!$A17,DataRegularSeason20242025!$D$2:$D$1315,WatchedGames20242025!G$1,DataRegularSeason20242025!$N$2:$N$1315,1, DataRegularSeason20242025!$R$2:$R$1315,1)</f>
        <v>0</v>
      </c>
      <c r="H18" s="39"/>
      <c r="I18" s="38">
        <f>COUNTIFS(DataRegularSeason20242025!$E$2:$E$1315,WatchedGames20242025!$A17,DataRegularSeason20242025!$D$2:$D$1315,WatchedGames20242025!I$1,DataRegularSeason20242025!$N$2:$N$1315,1, DataRegularSeason20242025!$R$2:$R$1315,1)</f>
        <v>0</v>
      </c>
      <c r="J18" s="39"/>
      <c r="K18" s="38">
        <f>COUNTIFS(DataRegularSeason20242025!$E$2:$E$1315,WatchedGames20242025!$A17,DataRegularSeason20242025!$D$2:$D$1315,WatchedGames20242025!K$1,DataRegularSeason20242025!$N$2:$N$1315,1, DataRegularSeason20242025!$R$2:$R$1315,1)</f>
        <v>0</v>
      </c>
      <c r="L18" s="39"/>
      <c r="M18" s="38">
        <f>COUNTIFS(DataRegularSeason20242025!$E$2:$E$1315,WatchedGames20242025!$A17,DataRegularSeason20242025!$D$2:$D$1315,WatchedGames20242025!M$1,DataRegularSeason20242025!$N$2:$N$1315,1, DataRegularSeason20242025!$R$2:$R$1315,1)</f>
        <v>0</v>
      </c>
      <c r="N18" s="39"/>
      <c r="O18" s="38">
        <f>COUNTIFS(DataRegularSeason20242025!$E$2:$E$1315,WatchedGames20242025!$A17,DataRegularSeason20242025!$D$2:$D$1315,WatchedGames20242025!O$1,DataRegularSeason20242025!$N$2:$N$1315,1, DataRegularSeason20242025!$R$2:$R$1315,1)</f>
        <v>0</v>
      </c>
      <c r="P18" s="39"/>
      <c r="Q18" s="38"/>
      <c r="R18" s="39"/>
      <c r="S18" s="38">
        <f>COUNTIFS(DataRegularSeason20242025!$E$2:$E$1315,WatchedGames20242025!$A17,DataRegularSeason20242025!$D$2:$D$1315,WatchedGames20242025!S$1,DataRegularSeason20242025!$N$2:$N$1315,1, DataRegularSeason20242025!$R$2:$R$1315,1)</f>
        <v>1</v>
      </c>
      <c r="T18" s="39"/>
      <c r="U18" s="38">
        <f>COUNTIFS(DataRegularSeason20242025!$E$2:$E$1315,WatchedGames20242025!$A17,DataRegularSeason20242025!$D$2:$D$1315,WatchedGames20242025!U$1,DataRegularSeason20242025!$N$2:$N$1315,1, DataRegularSeason20242025!$R$2:$R$1315,1)</f>
        <v>0</v>
      </c>
      <c r="V18" s="39"/>
      <c r="W18" s="38">
        <f>COUNTIFS(DataRegularSeason20242025!$E$2:$E$1315,WatchedGames20242025!$A17,DataRegularSeason20242025!$D$2:$D$1315,WatchedGames20242025!W$1,DataRegularSeason20242025!$N$2:$N$1315,1, DataRegularSeason20242025!$R$2:$R$1315,1)</f>
        <v>0</v>
      </c>
      <c r="X18" s="39"/>
      <c r="Y18" s="38">
        <f>COUNTIFS(DataRegularSeason20242025!$E$2:$E$1315,WatchedGames20242025!$A17,DataRegularSeason20242025!$D$2:$D$1315,WatchedGames20242025!Y$1,DataRegularSeason20242025!$N$2:$N$1315,1, DataRegularSeason20242025!$R$2:$R$1315,1)</f>
        <v>0</v>
      </c>
      <c r="Z18" s="39"/>
      <c r="AA18" s="38">
        <f>COUNTIFS(DataRegularSeason20242025!$E$2:$E$1315,WatchedGames20242025!$A17,DataRegularSeason20242025!$D$2:$D$1315,WatchedGames20242025!AA$1,DataRegularSeason20242025!$N$2:$N$1315,1, DataRegularSeason20242025!$R$2:$R$1315,1)</f>
        <v>0</v>
      </c>
      <c r="AB18" s="39"/>
      <c r="AC18" s="38">
        <f>COUNTIFS(DataRegularSeason20242025!$E$2:$E$1315,WatchedGames20242025!$A17,DataRegularSeason20242025!$D$2:$D$1315,WatchedGames20242025!AC$1,DataRegularSeason20242025!$N$2:$N$1315,1, DataRegularSeason20242025!$R$2:$R$1315,1)</f>
        <v>0</v>
      </c>
      <c r="AD18" s="39"/>
      <c r="AE18" s="38">
        <f>COUNTIFS(DataRegularSeason20242025!$E$2:$E$1315,WatchedGames20242025!$A17,DataRegularSeason20242025!$D$2:$D$1315,WatchedGames20242025!AE$1,DataRegularSeason20242025!$N$2:$N$1315,1, DataRegularSeason20242025!$R$2:$R$1315,1)</f>
        <v>0</v>
      </c>
      <c r="AF18" s="39"/>
      <c r="AG18" s="38">
        <f>COUNTIFS(DataRegularSeason20242025!$E$2:$E$1315,WatchedGames20242025!$A17,DataRegularSeason20242025!$D$2:$D$1315,WatchedGames20242025!AG$1,DataRegularSeason20242025!$N$2:$N$1315,1, DataRegularSeason20242025!$R$2:$R$1315,1)</f>
        <v>0</v>
      </c>
      <c r="AH18" s="39"/>
      <c r="AI18" s="38">
        <f>COUNTIFS(DataRegularSeason20242025!$E$2:$E$1315,WatchedGames20242025!$A17,DataRegularSeason20242025!$D$2:$D$1315,WatchedGames20242025!AI$1,DataRegularSeason20242025!$N$2:$N$1315,1, DataRegularSeason20242025!$R$2:$R$1315,1)</f>
        <v>0</v>
      </c>
      <c r="AJ18" s="39"/>
      <c r="AK18" s="38">
        <f>COUNTIFS(DataRegularSeason20242025!$E$2:$E$1315,WatchedGames20242025!$A17,DataRegularSeason20242025!$D$2:$D$1315,WatchedGames20242025!AK$1,DataRegularSeason20242025!$N$2:$N$1315,1, DataRegularSeason20242025!$R$2:$R$1315,1)</f>
        <v>0</v>
      </c>
      <c r="AL18" s="39"/>
      <c r="AM18" s="38">
        <f>COUNTIFS(DataRegularSeason20242025!$E$2:$E$1315,WatchedGames20242025!$A17,DataRegularSeason20242025!$D$2:$D$1315,WatchedGames20242025!AM$1,DataRegularSeason20242025!$N$2:$N$1315,1, DataRegularSeason20242025!$R$2:$R$1315,1)</f>
        <v>0</v>
      </c>
      <c r="AN18" s="39"/>
      <c r="AO18" s="38">
        <f>COUNTIFS(DataRegularSeason20242025!$E$2:$E$1315,WatchedGames20242025!$A17,DataRegularSeason20242025!$D$2:$D$1315,WatchedGames20242025!AO$1,DataRegularSeason20242025!$N$2:$N$1315,1, DataRegularSeason20242025!$R$2:$R$1315,1)</f>
        <v>0</v>
      </c>
      <c r="AP18" s="39"/>
      <c r="AQ18" s="38">
        <f>COUNTIFS(DataRegularSeason20242025!$E$2:$E$1315,WatchedGames20242025!$A17,DataRegularSeason20242025!$D$2:$D$1315,WatchedGames20242025!AQ$1,DataRegularSeason20242025!$N$2:$N$1315,1, DataRegularSeason20242025!$R$2:$R$1315,1)</f>
        <v>0</v>
      </c>
      <c r="AR18" s="39"/>
      <c r="AS18" s="38">
        <f>COUNTIFS(DataRegularSeason20242025!$E$2:$E$1315,WatchedGames20242025!$A17,DataRegularSeason20242025!$D$2:$D$1315,WatchedGames20242025!AS$1,DataRegularSeason20242025!$N$2:$N$1315,1, DataRegularSeason20242025!$R$2:$R$1315,1)</f>
        <v>0</v>
      </c>
      <c r="AT18" s="39"/>
      <c r="AU18" s="38">
        <f>COUNTIFS(DataRegularSeason20242025!$E$2:$E$1315,WatchedGames20242025!$A17,DataRegularSeason20242025!$D$2:$D$1315,WatchedGames20242025!AU$1,DataRegularSeason20242025!$N$2:$N$1315,1, DataRegularSeason20242025!$R$2:$R$1315,1)</f>
        <v>0</v>
      </c>
      <c r="AV18" s="39"/>
      <c r="AW18" s="38">
        <f>COUNTIFS(DataRegularSeason20242025!$E$2:$E$1315,WatchedGames20242025!$A17,DataRegularSeason20242025!$D$2:$D$1315,WatchedGames20242025!AW$1,DataRegularSeason20242025!$N$2:$N$1315,1, DataRegularSeason20242025!$R$2:$R$1315,1)</f>
        <v>0</v>
      </c>
      <c r="AX18" s="39"/>
      <c r="AY18" s="38">
        <f>COUNTIFS(DataRegularSeason20242025!$E$2:$E$1315,WatchedGames20242025!$A17,DataRegularSeason20242025!$D$2:$D$1315,WatchedGames20242025!AY$1,DataRegularSeason20242025!$N$2:$N$1315,1, DataRegularSeason20242025!$R$2:$R$1315,1)</f>
        <v>0</v>
      </c>
      <c r="AZ18" s="39"/>
      <c r="BA18" s="38">
        <f>COUNTIFS(DataRegularSeason20242025!$E$2:$E$1315,WatchedGames20242025!$A17,DataRegularSeason20242025!$D$2:$D$1315,WatchedGames20242025!BA$1,DataRegularSeason20242025!$N$2:$N$1315,1, DataRegularSeason20242025!$R$2:$R$1315,1)</f>
        <v>0</v>
      </c>
      <c r="BB18" s="39"/>
      <c r="BC18" s="38">
        <f>COUNTIFS(DataRegularSeason20242025!$E$2:$E$1315,WatchedGames20242025!$A17,DataRegularSeason20242025!$D$2:$D$1315,WatchedGames20242025!BC$1,DataRegularSeason20242025!$N$2:$N$1315,1, DataRegularSeason20242025!$R$2:$R$1315,1)</f>
        <v>0</v>
      </c>
      <c r="BD18" s="39"/>
      <c r="BE18" s="38">
        <f>COUNTIFS(DataRegularSeason20242025!$E$2:$E$1315,WatchedGames20242025!$A17,DataRegularSeason20242025!$D$2:$D$1315,WatchedGames20242025!BE$1,DataRegularSeason20242025!$N$2:$N$1315,1, DataRegularSeason20242025!$R$2:$R$1315,1)</f>
        <v>1</v>
      </c>
      <c r="BF18" s="39"/>
      <c r="BG18" s="38">
        <f>COUNTIFS(DataRegularSeason20242025!$E$2:$E$1315,WatchedGames20242025!$A17,DataRegularSeason20242025!$D$2:$D$1315,WatchedGames20242025!BG$1,DataRegularSeason20242025!$N$2:$N$1315,1, DataRegularSeason20242025!$R$2:$R$1315,1)</f>
        <v>0</v>
      </c>
      <c r="BH18" s="39"/>
      <c r="BI18" s="38">
        <f>COUNTIFS(DataRegularSeason20242025!$E$2:$E$1315,WatchedGames20242025!$A17,DataRegularSeason20242025!$D$2:$D$1315,WatchedGames20242025!BI$1,DataRegularSeason20242025!$N$2:$N$1315,1, DataRegularSeason20242025!$R$2:$R$1315,1)</f>
        <v>0</v>
      </c>
      <c r="BJ18" s="39"/>
      <c r="BK18" s="38">
        <f>COUNTIFS(DataRegularSeason20242025!$E$2:$E$1315,WatchedGames20242025!$A17,DataRegularSeason20242025!$D$2:$D$1315,WatchedGames20242025!BK$1,DataRegularSeason20242025!$N$2:$N$1315,1, DataRegularSeason20242025!$R$2:$R$1315,1)</f>
        <v>0</v>
      </c>
      <c r="BL18" s="39"/>
      <c r="BM18" s="38">
        <f>COUNTIFS(DataRegularSeason20242025!$E$2:$E$1315,WatchedGames20242025!$A17,DataRegularSeason20242025!$D$2:$D$1315,WatchedGames20242025!BM$1,DataRegularSeason20242025!$N$2:$N$1315,1, DataRegularSeason20242025!$R$2:$R$1315,1)</f>
        <v>0</v>
      </c>
      <c r="BN18" s="39"/>
      <c r="BO18" s="34">
        <f t="shared" si="1"/>
        <v>3</v>
      </c>
      <c r="BP18" s="165"/>
      <c r="BQ18" s="166"/>
      <c r="BR18" s="173"/>
    </row>
    <row r="19" spans="1:70" s="27" customFormat="1" ht="9.9499999999999993" customHeight="1" x14ac:dyDescent="0.2">
      <c r="A19" s="172" t="s">
        <v>33</v>
      </c>
      <c r="B19" s="28" t="s">
        <v>74</v>
      </c>
      <c r="C19" s="35"/>
      <c r="D19" s="28">
        <f>COUNTIFS(DataRegularSeason20242025!$E$2:$E$1315,WatchedGames20242025!C$1,DataRegularSeason20242025!$D$2:$D$1315,WatchedGames20242025!$A19,DataRegularSeason20242025!$N$2:$N$1315,1, DataRegularSeason20242025!$R$2:$R$1315,1)</f>
        <v>0</v>
      </c>
      <c r="E19" s="35"/>
      <c r="F19" s="28">
        <f>COUNTIFS(DataRegularSeason20242025!$E$2:$E$1315,WatchedGames20242025!E$1,DataRegularSeason20242025!$D$2:$D$1315,WatchedGames20242025!$A19,DataRegularSeason20242025!$N$2:$N$1315,1, DataRegularSeason20242025!$R$2:$R$1315,1)</f>
        <v>0</v>
      </c>
      <c r="G19" s="35"/>
      <c r="H19" s="28">
        <f>COUNTIFS(DataRegularSeason20242025!$E$2:$E$1315,WatchedGames20242025!G$1,DataRegularSeason20242025!$D$2:$D$1315,WatchedGames20242025!$A19,DataRegularSeason20242025!$N$2:$N$1315,1, DataRegularSeason20242025!$R$2:$R$1315,1)</f>
        <v>0</v>
      </c>
      <c r="I19" s="35"/>
      <c r="J19" s="28">
        <f>COUNTIFS(DataRegularSeason20242025!$E$2:$E$1315,WatchedGames20242025!I$1,DataRegularSeason20242025!$D$2:$D$1315,WatchedGames20242025!$A19,DataRegularSeason20242025!$N$2:$N$1315,1, DataRegularSeason20242025!$R$2:$R$1315,1)</f>
        <v>0</v>
      </c>
      <c r="K19" s="35"/>
      <c r="L19" s="28">
        <f>COUNTIFS(DataRegularSeason20242025!$E$2:$E$1315,WatchedGames20242025!K$1,DataRegularSeason20242025!$D$2:$D$1315,WatchedGames20242025!$A19,DataRegularSeason20242025!$N$2:$N$1315,1, DataRegularSeason20242025!$R$2:$R$1315,1)</f>
        <v>0</v>
      </c>
      <c r="M19" s="35"/>
      <c r="N19" s="28">
        <f>COUNTIFS(DataRegularSeason20242025!$E$2:$E$1315,WatchedGames20242025!M$1,DataRegularSeason20242025!$D$2:$D$1315,WatchedGames20242025!$A19,DataRegularSeason20242025!$N$2:$N$1315,1, DataRegularSeason20242025!$R$2:$R$1315,1)</f>
        <v>0</v>
      </c>
      <c r="O19" s="35"/>
      <c r="P19" s="28">
        <f>COUNTIFS(DataRegularSeason20242025!$E$2:$E$1315,WatchedGames20242025!O$1,DataRegularSeason20242025!$D$2:$D$1315,WatchedGames20242025!$A19,DataRegularSeason20242025!$N$2:$N$1315,1, DataRegularSeason20242025!$R$2:$R$1315,1)</f>
        <v>0</v>
      </c>
      <c r="Q19" s="35"/>
      <c r="R19" s="28">
        <f>COUNTIFS(DataRegularSeason20242025!$E$2:$E$1315,WatchedGames20242025!Q$1,DataRegularSeason20242025!$D$2:$D$1315,WatchedGames20242025!$A19,DataRegularSeason20242025!$N$2:$N$1315,1, DataRegularSeason20242025!$R$2:$R$1315,1)</f>
        <v>1</v>
      </c>
      <c r="S19" s="35"/>
      <c r="T19" s="36"/>
      <c r="U19" s="35"/>
      <c r="V19" s="28">
        <f>COUNTIFS(DataRegularSeason20242025!$E$2:$E$1315,WatchedGames20242025!U$1,DataRegularSeason20242025!$D$2:$D$1315,WatchedGames20242025!$A19,DataRegularSeason20242025!$N$2:$N$1315,1, DataRegularSeason20242025!$R$2:$R$1315,1)</f>
        <v>0</v>
      </c>
      <c r="W19" s="35"/>
      <c r="X19" s="28">
        <f>COUNTIFS(DataRegularSeason20242025!$E$2:$E$1315,WatchedGames20242025!W$1,DataRegularSeason20242025!$D$2:$D$1315,WatchedGames20242025!$A19,DataRegularSeason20242025!$N$2:$N$1315,1, DataRegularSeason20242025!$R$2:$R$1315,1)</f>
        <v>0</v>
      </c>
      <c r="Y19" s="35"/>
      <c r="Z19" s="28">
        <f>COUNTIFS(DataRegularSeason20242025!$E$2:$E$1315,WatchedGames20242025!Y$1,DataRegularSeason20242025!$D$2:$D$1315,WatchedGames20242025!$A19,DataRegularSeason20242025!$N$2:$N$1315,1, DataRegularSeason20242025!$R$2:$R$1315,1)</f>
        <v>0</v>
      </c>
      <c r="AA19" s="35"/>
      <c r="AB19" s="28">
        <f>COUNTIFS(DataRegularSeason20242025!$E$2:$E$1315,WatchedGames20242025!AA$1,DataRegularSeason20242025!$D$2:$D$1315,WatchedGames20242025!$A19,DataRegularSeason20242025!$N$2:$N$1315,1, DataRegularSeason20242025!$R$2:$R$1315,1)</f>
        <v>0</v>
      </c>
      <c r="AC19" s="35"/>
      <c r="AD19" s="28">
        <f>COUNTIFS(DataRegularSeason20242025!$E$2:$E$1315,WatchedGames20242025!AC$1,DataRegularSeason20242025!$D$2:$D$1315,WatchedGames20242025!$A19,DataRegularSeason20242025!$N$2:$N$1315,1, DataRegularSeason20242025!$R$2:$R$1315,1)</f>
        <v>0</v>
      </c>
      <c r="AE19" s="35"/>
      <c r="AF19" s="28">
        <f>COUNTIFS(DataRegularSeason20242025!$E$2:$E$1315,WatchedGames20242025!AE$1,DataRegularSeason20242025!$D$2:$D$1315,WatchedGames20242025!$A19,DataRegularSeason20242025!$N$2:$N$1315,1, DataRegularSeason20242025!$R$2:$R$1315,1)</f>
        <v>0</v>
      </c>
      <c r="AG19" s="35"/>
      <c r="AH19" s="28">
        <f>COUNTIFS(DataRegularSeason20242025!$E$2:$E$1315,WatchedGames20242025!AG$1,DataRegularSeason20242025!$D$2:$D$1315,WatchedGames20242025!$A19,DataRegularSeason20242025!$N$2:$N$1315,1, DataRegularSeason20242025!$R$2:$R$1315,1)</f>
        <v>0</v>
      </c>
      <c r="AI19" s="35"/>
      <c r="AJ19" s="28">
        <f>COUNTIFS(DataRegularSeason20242025!$E$2:$E$1315,WatchedGames20242025!AI$1,DataRegularSeason20242025!$D$2:$D$1315,WatchedGames20242025!$A19,DataRegularSeason20242025!$N$2:$N$1315,1, DataRegularSeason20242025!$R$2:$R$1315,1)</f>
        <v>0</v>
      </c>
      <c r="AK19" s="35"/>
      <c r="AL19" s="28">
        <f>COUNTIFS(DataRegularSeason20242025!$E$2:$E$1315,WatchedGames20242025!AK$1,DataRegularSeason20242025!$D$2:$D$1315,WatchedGames20242025!$A19,DataRegularSeason20242025!$N$2:$N$1315,1, DataRegularSeason20242025!$R$2:$R$1315,1)</f>
        <v>0</v>
      </c>
      <c r="AM19" s="35"/>
      <c r="AN19" s="28">
        <f>COUNTIFS(DataRegularSeason20242025!$E$2:$E$1315,WatchedGames20242025!AM$1,DataRegularSeason20242025!$D$2:$D$1315,WatchedGames20242025!$A19,DataRegularSeason20242025!$N$2:$N$1315,1, DataRegularSeason20242025!$R$2:$R$1315,1)</f>
        <v>0</v>
      </c>
      <c r="AO19" s="35"/>
      <c r="AP19" s="28">
        <f>COUNTIFS(DataRegularSeason20242025!$E$2:$E$1315,WatchedGames20242025!AO$1,DataRegularSeason20242025!$D$2:$D$1315,WatchedGames20242025!$A19,DataRegularSeason20242025!$N$2:$N$1315,1, DataRegularSeason20242025!$R$2:$R$1315,1)</f>
        <v>0</v>
      </c>
      <c r="AQ19" s="35"/>
      <c r="AR19" s="28">
        <f>COUNTIFS(DataRegularSeason20242025!$E$2:$E$1315,WatchedGames20242025!AQ$1,DataRegularSeason20242025!$D$2:$D$1315,WatchedGames20242025!$A19,DataRegularSeason20242025!$N$2:$N$1315,1, DataRegularSeason20242025!$R$2:$R$1315,1)</f>
        <v>0</v>
      </c>
      <c r="AS19" s="35"/>
      <c r="AT19" s="28">
        <f>COUNTIFS(DataRegularSeason20242025!$E$2:$E$1315,WatchedGames20242025!AS$1,DataRegularSeason20242025!$D$2:$D$1315,WatchedGames20242025!$A19,DataRegularSeason20242025!$N$2:$N$1315,1, DataRegularSeason20242025!$R$2:$R$1315,1)</f>
        <v>0</v>
      </c>
      <c r="AU19" s="35"/>
      <c r="AV19" s="28">
        <f>COUNTIFS(DataRegularSeason20242025!$E$2:$E$1315,WatchedGames20242025!AU$1,DataRegularSeason20242025!$D$2:$D$1315,WatchedGames20242025!$A19,DataRegularSeason20242025!$N$2:$N$1315,1, DataRegularSeason20242025!$R$2:$R$1315,1)</f>
        <v>0</v>
      </c>
      <c r="AW19" s="35"/>
      <c r="AX19" s="28">
        <f>COUNTIFS(DataRegularSeason20242025!$E$2:$E$1315,WatchedGames20242025!AW$1,DataRegularSeason20242025!$D$2:$D$1315,WatchedGames20242025!$A19,DataRegularSeason20242025!$N$2:$N$1315,1, DataRegularSeason20242025!$R$2:$R$1315,1)</f>
        <v>0</v>
      </c>
      <c r="AY19" s="35"/>
      <c r="AZ19" s="28">
        <f>COUNTIFS(DataRegularSeason20242025!$E$2:$E$1315,WatchedGames20242025!AY$1,DataRegularSeason20242025!$D$2:$D$1315,WatchedGames20242025!$A19,DataRegularSeason20242025!$N$2:$N$1315,1, DataRegularSeason20242025!$R$2:$R$1315,1)</f>
        <v>1</v>
      </c>
      <c r="BA19" s="35"/>
      <c r="BB19" s="28">
        <f>COUNTIFS(DataRegularSeason20242025!$E$2:$E$1315,WatchedGames20242025!BA$1,DataRegularSeason20242025!$D$2:$D$1315,WatchedGames20242025!$A19,DataRegularSeason20242025!$N$2:$N$1315,1, DataRegularSeason20242025!$R$2:$R$1315,1)</f>
        <v>0</v>
      </c>
      <c r="BC19" s="35"/>
      <c r="BD19" s="28">
        <f>COUNTIFS(DataRegularSeason20242025!$E$2:$E$1315,WatchedGames20242025!BC$1,DataRegularSeason20242025!$D$2:$D$1315,WatchedGames20242025!$A19,DataRegularSeason20242025!$N$2:$N$1315,1, DataRegularSeason20242025!$R$2:$R$1315,1)</f>
        <v>0</v>
      </c>
      <c r="BE19" s="35"/>
      <c r="BF19" s="28">
        <f>COUNTIFS(DataRegularSeason20242025!$E$2:$E$1315,WatchedGames20242025!BE$1,DataRegularSeason20242025!$D$2:$D$1315,WatchedGames20242025!$A19,DataRegularSeason20242025!$N$2:$N$1315,1, DataRegularSeason20242025!$R$2:$R$1315,1)</f>
        <v>0</v>
      </c>
      <c r="BG19" s="35"/>
      <c r="BH19" s="28">
        <f>COUNTIFS(DataRegularSeason20242025!$E$2:$E$1315,WatchedGames20242025!BG$1,DataRegularSeason20242025!$D$2:$D$1315,WatchedGames20242025!$A19,DataRegularSeason20242025!$N$2:$N$1315,1, DataRegularSeason20242025!$R$2:$R$1315,1)</f>
        <v>0</v>
      </c>
      <c r="BI19" s="35"/>
      <c r="BJ19" s="28">
        <f>COUNTIFS(DataRegularSeason20242025!$E$2:$E$1315,WatchedGames20242025!BI$1,DataRegularSeason20242025!$D$2:$D$1315,WatchedGames20242025!$A19,DataRegularSeason20242025!$N$2:$N$1315,1, DataRegularSeason20242025!$R$2:$R$1315,1)</f>
        <v>0</v>
      </c>
      <c r="BK19" s="35"/>
      <c r="BL19" s="28">
        <f>COUNTIFS(DataRegularSeason20242025!$E$2:$E$1315,WatchedGames20242025!BK$1,DataRegularSeason20242025!$D$2:$D$1315,WatchedGames20242025!$A19,DataRegularSeason20242025!$N$2:$N$1315,1, DataRegularSeason20242025!$R$2:$R$1315,1)</f>
        <v>0</v>
      </c>
      <c r="BM19" s="35"/>
      <c r="BN19" s="28">
        <f>COUNTIFS(DataRegularSeason20242025!$E$2:$E$1315,WatchedGames20242025!BM$1,DataRegularSeason20242025!$D$2:$D$1315,WatchedGames20242025!$A19,DataRegularSeason20242025!$N$2:$N$1315,1, DataRegularSeason20242025!$R$2:$R$1315,1)</f>
        <v>0</v>
      </c>
      <c r="BO19" s="30">
        <f t="shared" si="1"/>
        <v>2</v>
      </c>
      <c r="BP19" s="165">
        <f t="shared" ref="BP19" si="16">BO19+BO20</f>
        <v>3</v>
      </c>
      <c r="BQ19" s="166">
        <f t="shared" ref="BQ19" si="17">82-BP19</f>
        <v>79</v>
      </c>
      <c r="BR19" s="173">
        <f t="shared" si="0"/>
        <v>3.6585365853658534E-2</v>
      </c>
    </row>
    <row r="20" spans="1:70" s="27" customFormat="1" ht="9.9499999999999993" customHeight="1" x14ac:dyDescent="0.2">
      <c r="A20" s="167"/>
      <c r="B20" s="32" t="s">
        <v>73</v>
      </c>
      <c r="C20" s="38">
        <f>COUNTIFS(DataRegularSeason20242025!$E$2:$E$1315,WatchedGames20242025!$A19,DataRegularSeason20242025!$D$2:$D$1315,WatchedGames20242025!C$1,DataRegularSeason20242025!$N$2:$N$1315,1, DataRegularSeason20242025!$R$2:$R$1315,1)</f>
        <v>0</v>
      </c>
      <c r="D20" s="39"/>
      <c r="E20" s="38">
        <f>COUNTIFS(DataRegularSeason20242025!$E$2:$E$1315,WatchedGames20242025!$A19,DataRegularSeason20242025!$D$2:$D$1315,WatchedGames20242025!E$1,DataRegularSeason20242025!$N$2:$N$1315,1, DataRegularSeason20242025!$R$2:$R$1315,1)</f>
        <v>0</v>
      </c>
      <c r="F20" s="39"/>
      <c r="G20" s="38">
        <f>COUNTIFS(DataRegularSeason20242025!$E$2:$E$1315,WatchedGames20242025!$A19,DataRegularSeason20242025!$D$2:$D$1315,WatchedGames20242025!G$1,DataRegularSeason20242025!$N$2:$N$1315,1, DataRegularSeason20242025!$R$2:$R$1315,1)</f>
        <v>0</v>
      </c>
      <c r="H20" s="39"/>
      <c r="I20" s="38">
        <f>COUNTIFS(DataRegularSeason20242025!$E$2:$E$1315,WatchedGames20242025!$A19,DataRegularSeason20242025!$D$2:$D$1315,WatchedGames20242025!I$1,DataRegularSeason20242025!$N$2:$N$1315,1, DataRegularSeason20242025!$R$2:$R$1315,1)</f>
        <v>0</v>
      </c>
      <c r="J20" s="39"/>
      <c r="K20" s="38">
        <f>COUNTIFS(DataRegularSeason20242025!$E$2:$E$1315,WatchedGames20242025!$A19,DataRegularSeason20242025!$D$2:$D$1315,WatchedGames20242025!K$1,DataRegularSeason20242025!$N$2:$N$1315,1, DataRegularSeason20242025!$R$2:$R$1315,1)</f>
        <v>0</v>
      </c>
      <c r="L20" s="39"/>
      <c r="M20" s="38">
        <f>COUNTIFS(DataRegularSeason20242025!$E$2:$E$1315,WatchedGames20242025!$A19,DataRegularSeason20242025!$D$2:$D$1315,WatchedGames20242025!M$1,DataRegularSeason20242025!$N$2:$N$1315,1, DataRegularSeason20242025!$R$2:$R$1315,1)</f>
        <v>0</v>
      </c>
      <c r="N20" s="39"/>
      <c r="O20" s="38">
        <f>COUNTIFS(DataRegularSeason20242025!$E$2:$E$1315,WatchedGames20242025!$A19,DataRegularSeason20242025!$D$2:$D$1315,WatchedGames20242025!O$1,DataRegularSeason20242025!$N$2:$N$1315,1, DataRegularSeason20242025!$R$2:$R$1315,1)</f>
        <v>0</v>
      </c>
      <c r="P20" s="39"/>
      <c r="Q20" s="38">
        <f>COUNTIFS(DataRegularSeason20242025!$E$2:$E$1315,WatchedGames20242025!$A19,DataRegularSeason20242025!$D$2:$D$1315,WatchedGames20242025!Q$1,DataRegularSeason20242025!$N$2:$N$1315,1, DataRegularSeason20242025!$R$2:$R$1315,1)</f>
        <v>0</v>
      </c>
      <c r="R20" s="39"/>
      <c r="S20" s="38"/>
      <c r="T20" s="39"/>
      <c r="U20" s="38">
        <f>COUNTIFS(DataRegularSeason20242025!$E$2:$E$1315,WatchedGames20242025!$A19,DataRegularSeason20242025!$D$2:$D$1315,WatchedGames20242025!U$1,DataRegularSeason20242025!$N$2:$N$1315,1, DataRegularSeason20242025!$R$2:$R$1315,1)</f>
        <v>0</v>
      </c>
      <c r="V20" s="39"/>
      <c r="W20" s="38">
        <f>COUNTIFS(DataRegularSeason20242025!$E$2:$E$1315,WatchedGames20242025!$A19,DataRegularSeason20242025!$D$2:$D$1315,WatchedGames20242025!W$1,DataRegularSeason20242025!$N$2:$N$1315,1, DataRegularSeason20242025!$R$2:$R$1315,1)</f>
        <v>0</v>
      </c>
      <c r="X20" s="39"/>
      <c r="Y20" s="38">
        <f>COUNTIFS(DataRegularSeason20242025!$E$2:$E$1315,WatchedGames20242025!$A19,DataRegularSeason20242025!$D$2:$D$1315,WatchedGames20242025!Y$1,DataRegularSeason20242025!$N$2:$N$1315,1, DataRegularSeason20242025!$R$2:$R$1315,1)</f>
        <v>0</v>
      </c>
      <c r="Z20" s="39"/>
      <c r="AA20" s="38">
        <f>COUNTIFS(DataRegularSeason20242025!$E$2:$E$1315,WatchedGames20242025!$A19,DataRegularSeason20242025!$D$2:$D$1315,WatchedGames20242025!AA$1,DataRegularSeason20242025!$N$2:$N$1315,1, DataRegularSeason20242025!$R$2:$R$1315,1)</f>
        <v>0</v>
      </c>
      <c r="AB20" s="39"/>
      <c r="AC20" s="38">
        <f>COUNTIFS(DataRegularSeason20242025!$E$2:$E$1315,WatchedGames20242025!$A19,DataRegularSeason20242025!$D$2:$D$1315,WatchedGames20242025!AC$1,DataRegularSeason20242025!$N$2:$N$1315,1, DataRegularSeason20242025!$R$2:$R$1315,1)</f>
        <v>0</v>
      </c>
      <c r="AD20" s="39"/>
      <c r="AE20" s="38">
        <f>COUNTIFS(DataRegularSeason20242025!$E$2:$E$1315,WatchedGames20242025!$A19,DataRegularSeason20242025!$D$2:$D$1315,WatchedGames20242025!AE$1,DataRegularSeason20242025!$N$2:$N$1315,1, DataRegularSeason20242025!$R$2:$R$1315,1)</f>
        <v>0</v>
      </c>
      <c r="AF20" s="39"/>
      <c r="AG20" s="38">
        <f>COUNTIFS(DataRegularSeason20242025!$E$2:$E$1315,WatchedGames20242025!$A19,DataRegularSeason20242025!$D$2:$D$1315,WatchedGames20242025!AG$1,DataRegularSeason20242025!$N$2:$N$1315,1, DataRegularSeason20242025!$R$2:$R$1315,1)</f>
        <v>0</v>
      </c>
      <c r="AH20" s="39"/>
      <c r="AI20" s="38">
        <f>COUNTIFS(DataRegularSeason20242025!$E$2:$E$1315,WatchedGames20242025!$A19,DataRegularSeason20242025!$D$2:$D$1315,WatchedGames20242025!AI$1,DataRegularSeason20242025!$N$2:$N$1315,1, DataRegularSeason20242025!$R$2:$R$1315,1)</f>
        <v>0</v>
      </c>
      <c r="AJ20" s="39"/>
      <c r="AK20" s="38">
        <f>COUNTIFS(DataRegularSeason20242025!$E$2:$E$1315,WatchedGames20242025!$A19,DataRegularSeason20242025!$D$2:$D$1315,WatchedGames20242025!AK$1,DataRegularSeason20242025!$N$2:$N$1315,1, DataRegularSeason20242025!$R$2:$R$1315,1)</f>
        <v>0</v>
      </c>
      <c r="AL20" s="39"/>
      <c r="AM20" s="38">
        <f>COUNTIFS(DataRegularSeason20242025!$E$2:$E$1315,WatchedGames20242025!$A19,DataRegularSeason20242025!$D$2:$D$1315,WatchedGames20242025!AM$1,DataRegularSeason20242025!$N$2:$N$1315,1, DataRegularSeason20242025!$R$2:$R$1315,1)</f>
        <v>0</v>
      </c>
      <c r="AN20" s="39"/>
      <c r="AO20" s="38">
        <f>COUNTIFS(DataRegularSeason20242025!$E$2:$E$1315,WatchedGames20242025!$A19,DataRegularSeason20242025!$D$2:$D$1315,WatchedGames20242025!AO$1,DataRegularSeason20242025!$N$2:$N$1315,1, DataRegularSeason20242025!$R$2:$R$1315,1)</f>
        <v>0</v>
      </c>
      <c r="AP20" s="39"/>
      <c r="AQ20" s="38">
        <f>COUNTIFS(DataRegularSeason20242025!$E$2:$E$1315,WatchedGames20242025!$A19,DataRegularSeason20242025!$D$2:$D$1315,WatchedGames20242025!AQ$1,DataRegularSeason20242025!$N$2:$N$1315,1, DataRegularSeason20242025!$R$2:$R$1315,1)</f>
        <v>0</v>
      </c>
      <c r="AR20" s="39"/>
      <c r="AS20" s="38">
        <f>COUNTIFS(DataRegularSeason20242025!$E$2:$E$1315,WatchedGames20242025!$A19,DataRegularSeason20242025!$D$2:$D$1315,WatchedGames20242025!AS$1,DataRegularSeason20242025!$N$2:$N$1315,1, DataRegularSeason20242025!$R$2:$R$1315,1)</f>
        <v>0</v>
      </c>
      <c r="AT20" s="39"/>
      <c r="AU20" s="38">
        <f>COUNTIFS(DataRegularSeason20242025!$E$2:$E$1315,WatchedGames20242025!$A19,DataRegularSeason20242025!$D$2:$D$1315,WatchedGames20242025!AU$1,DataRegularSeason20242025!$N$2:$N$1315,1, DataRegularSeason20242025!$R$2:$R$1315,1)</f>
        <v>0</v>
      </c>
      <c r="AV20" s="39"/>
      <c r="AW20" s="38">
        <f>COUNTIFS(DataRegularSeason20242025!$E$2:$E$1315,WatchedGames20242025!$A19,DataRegularSeason20242025!$D$2:$D$1315,WatchedGames20242025!AW$1,DataRegularSeason20242025!$N$2:$N$1315,1, DataRegularSeason20242025!$R$2:$R$1315,1)</f>
        <v>0</v>
      </c>
      <c r="AX20" s="39"/>
      <c r="AY20" s="38">
        <f>COUNTIFS(DataRegularSeason20242025!$E$2:$E$1315,WatchedGames20242025!$A19,DataRegularSeason20242025!$D$2:$D$1315,WatchedGames20242025!AY$1,DataRegularSeason20242025!$N$2:$N$1315,1, DataRegularSeason20242025!$R$2:$R$1315,1)</f>
        <v>0</v>
      </c>
      <c r="AZ20" s="39"/>
      <c r="BA20" s="38">
        <f>COUNTIFS(DataRegularSeason20242025!$E$2:$E$1315,WatchedGames20242025!$A19,DataRegularSeason20242025!$D$2:$D$1315,WatchedGames20242025!BA$1,DataRegularSeason20242025!$N$2:$N$1315,1, DataRegularSeason20242025!$R$2:$R$1315,1)</f>
        <v>0</v>
      </c>
      <c r="BB20" s="39"/>
      <c r="BC20" s="38">
        <f>COUNTIFS(DataRegularSeason20242025!$E$2:$E$1315,WatchedGames20242025!$A19,DataRegularSeason20242025!$D$2:$D$1315,WatchedGames20242025!BC$1,DataRegularSeason20242025!$N$2:$N$1315,1, DataRegularSeason20242025!$R$2:$R$1315,1)</f>
        <v>0</v>
      </c>
      <c r="BD20" s="39"/>
      <c r="BE20" s="38">
        <f>COUNTIFS(DataRegularSeason20242025!$E$2:$E$1315,WatchedGames20242025!$A19,DataRegularSeason20242025!$D$2:$D$1315,WatchedGames20242025!BE$1,DataRegularSeason20242025!$N$2:$N$1315,1, DataRegularSeason20242025!$R$2:$R$1315,1)</f>
        <v>0</v>
      </c>
      <c r="BF20" s="39"/>
      <c r="BG20" s="38">
        <f>COUNTIFS(DataRegularSeason20242025!$E$2:$E$1315,WatchedGames20242025!$A19,DataRegularSeason20242025!$D$2:$D$1315,WatchedGames20242025!BG$1,DataRegularSeason20242025!$N$2:$N$1315,1, DataRegularSeason20242025!$R$2:$R$1315,1)</f>
        <v>1</v>
      </c>
      <c r="BH20" s="39"/>
      <c r="BI20" s="38">
        <f>COUNTIFS(DataRegularSeason20242025!$E$2:$E$1315,WatchedGames20242025!$A19,DataRegularSeason20242025!$D$2:$D$1315,WatchedGames20242025!BI$1,DataRegularSeason20242025!$N$2:$N$1315,1, DataRegularSeason20242025!$R$2:$R$1315,1)</f>
        <v>0</v>
      </c>
      <c r="BJ20" s="39"/>
      <c r="BK20" s="38">
        <f>COUNTIFS(DataRegularSeason20242025!$E$2:$E$1315,WatchedGames20242025!$A19,DataRegularSeason20242025!$D$2:$D$1315,WatchedGames20242025!BK$1,DataRegularSeason20242025!$N$2:$N$1315,1, DataRegularSeason20242025!$R$2:$R$1315,1)</f>
        <v>0</v>
      </c>
      <c r="BL20" s="39"/>
      <c r="BM20" s="38">
        <f>COUNTIFS(DataRegularSeason20242025!$E$2:$E$1315,WatchedGames20242025!$A19,DataRegularSeason20242025!$D$2:$D$1315,WatchedGames20242025!BM$1,DataRegularSeason20242025!$N$2:$N$1315,1, DataRegularSeason20242025!$R$2:$R$1315,1)</f>
        <v>0</v>
      </c>
      <c r="BN20" s="39"/>
      <c r="BO20" s="34">
        <f t="shared" si="1"/>
        <v>1</v>
      </c>
      <c r="BP20" s="165"/>
      <c r="BQ20" s="166"/>
      <c r="BR20" s="173"/>
    </row>
    <row r="21" spans="1:70" s="27" customFormat="1" ht="9.9499999999999993" customHeight="1" x14ac:dyDescent="0.2">
      <c r="A21" s="172" t="s">
        <v>30</v>
      </c>
      <c r="B21" s="28" t="s">
        <v>74</v>
      </c>
      <c r="C21" s="35"/>
      <c r="D21" s="28">
        <f>COUNTIFS(DataRegularSeason20242025!$E$2:$E$1315,WatchedGames20242025!C$1,DataRegularSeason20242025!$D$2:$D$1315,WatchedGames20242025!$A21,DataRegularSeason20242025!$N$2:$N$1315,1, DataRegularSeason20242025!$R$2:$R$1315,1)</f>
        <v>0</v>
      </c>
      <c r="E21" s="35"/>
      <c r="F21" s="28">
        <f>COUNTIFS(DataRegularSeason20242025!$E$2:$E$1315,WatchedGames20242025!E$1,DataRegularSeason20242025!$D$2:$D$1315,WatchedGames20242025!$A21,DataRegularSeason20242025!$N$2:$N$1315,1, DataRegularSeason20242025!$R$2:$R$1315,1)</f>
        <v>0</v>
      </c>
      <c r="G21" s="35"/>
      <c r="H21" s="28">
        <f>COUNTIFS(DataRegularSeason20242025!$E$2:$E$1315,WatchedGames20242025!G$1,DataRegularSeason20242025!$D$2:$D$1315,WatchedGames20242025!$A21,DataRegularSeason20242025!$N$2:$N$1315,1, DataRegularSeason20242025!$R$2:$R$1315,1)</f>
        <v>0</v>
      </c>
      <c r="I21" s="35"/>
      <c r="J21" s="28">
        <f>COUNTIFS(DataRegularSeason20242025!$E$2:$E$1315,WatchedGames20242025!I$1,DataRegularSeason20242025!$D$2:$D$1315,WatchedGames20242025!$A21,DataRegularSeason20242025!$N$2:$N$1315,1, DataRegularSeason20242025!$R$2:$R$1315,1)</f>
        <v>0</v>
      </c>
      <c r="K21" s="35"/>
      <c r="L21" s="28">
        <f>COUNTIFS(DataRegularSeason20242025!$E$2:$E$1315,WatchedGames20242025!K$1,DataRegularSeason20242025!$D$2:$D$1315,WatchedGames20242025!$A21,DataRegularSeason20242025!$N$2:$N$1315,1, DataRegularSeason20242025!$R$2:$R$1315,1)</f>
        <v>0</v>
      </c>
      <c r="M21" s="35"/>
      <c r="N21" s="28">
        <f>COUNTIFS(DataRegularSeason20242025!$E$2:$E$1315,WatchedGames20242025!M$1,DataRegularSeason20242025!$D$2:$D$1315,WatchedGames20242025!$A21,DataRegularSeason20242025!$N$2:$N$1315,1, DataRegularSeason20242025!$R$2:$R$1315,1)</f>
        <v>0</v>
      </c>
      <c r="O21" s="35"/>
      <c r="P21" s="28">
        <f>COUNTIFS(DataRegularSeason20242025!$E$2:$E$1315,WatchedGames20242025!O$1,DataRegularSeason20242025!$D$2:$D$1315,WatchedGames20242025!$A21,DataRegularSeason20242025!$N$2:$N$1315,1, DataRegularSeason20242025!$R$2:$R$1315,1)</f>
        <v>0</v>
      </c>
      <c r="Q21" s="35"/>
      <c r="R21" s="28">
        <f>COUNTIFS(DataRegularSeason20242025!$E$2:$E$1315,WatchedGames20242025!Q$1,DataRegularSeason20242025!$D$2:$D$1315,WatchedGames20242025!$A21,DataRegularSeason20242025!$N$2:$N$1315,1, DataRegularSeason20242025!$R$2:$R$1315,1)</f>
        <v>0</v>
      </c>
      <c r="S21" s="35"/>
      <c r="T21" s="28">
        <f>COUNTIFS(DataRegularSeason20242025!$E$2:$E$1315,WatchedGames20242025!S$1,DataRegularSeason20242025!$D$2:$D$1315,WatchedGames20242025!$A21,DataRegularSeason20242025!$N$2:$N$1315,1, DataRegularSeason20242025!$R$2:$R$1315,1)</f>
        <v>0</v>
      </c>
      <c r="U21" s="35"/>
      <c r="V21" s="36"/>
      <c r="W21" s="35"/>
      <c r="X21" s="28">
        <f>COUNTIFS(DataRegularSeason20242025!$E$2:$E$1315,WatchedGames20242025!W$1,DataRegularSeason20242025!$D$2:$D$1315,WatchedGames20242025!$A21,DataRegularSeason20242025!$N$2:$N$1315,1, DataRegularSeason20242025!$R$2:$R$1315,1)</f>
        <v>0</v>
      </c>
      <c r="Y21" s="35"/>
      <c r="Z21" s="28">
        <f>COUNTIFS(DataRegularSeason20242025!$E$2:$E$1315,WatchedGames20242025!Y$1,DataRegularSeason20242025!$D$2:$D$1315,WatchedGames20242025!$A21,DataRegularSeason20242025!$N$2:$N$1315,1, DataRegularSeason20242025!$R$2:$R$1315,1)</f>
        <v>0</v>
      </c>
      <c r="AA21" s="35"/>
      <c r="AB21" s="28">
        <f>COUNTIFS(DataRegularSeason20242025!$E$2:$E$1315,WatchedGames20242025!AA$1,DataRegularSeason20242025!$D$2:$D$1315,WatchedGames20242025!$A21,DataRegularSeason20242025!$N$2:$N$1315,1, DataRegularSeason20242025!$R$2:$R$1315,1)</f>
        <v>0</v>
      </c>
      <c r="AC21" s="35"/>
      <c r="AD21" s="28">
        <f>COUNTIFS(DataRegularSeason20242025!$E$2:$E$1315,WatchedGames20242025!AC$1,DataRegularSeason20242025!$D$2:$D$1315,WatchedGames20242025!$A21,DataRegularSeason20242025!$N$2:$N$1315,1, DataRegularSeason20242025!$R$2:$R$1315,1)</f>
        <v>0</v>
      </c>
      <c r="AE21" s="35"/>
      <c r="AF21" s="28">
        <f>COUNTIFS(DataRegularSeason20242025!$E$2:$E$1315,WatchedGames20242025!AE$1,DataRegularSeason20242025!$D$2:$D$1315,WatchedGames20242025!$A21,DataRegularSeason20242025!$N$2:$N$1315,1, DataRegularSeason20242025!$R$2:$R$1315,1)</f>
        <v>0</v>
      </c>
      <c r="AG21" s="35"/>
      <c r="AH21" s="28">
        <f>COUNTIFS(DataRegularSeason20242025!$E$2:$E$1315,WatchedGames20242025!AG$1,DataRegularSeason20242025!$D$2:$D$1315,WatchedGames20242025!$A21,DataRegularSeason20242025!$N$2:$N$1315,1, DataRegularSeason20242025!$R$2:$R$1315,1)</f>
        <v>0</v>
      </c>
      <c r="AI21" s="35"/>
      <c r="AJ21" s="28">
        <f>COUNTIFS(DataRegularSeason20242025!$E$2:$E$1315,WatchedGames20242025!AI$1,DataRegularSeason20242025!$D$2:$D$1315,WatchedGames20242025!$A21,DataRegularSeason20242025!$N$2:$N$1315,1, DataRegularSeason20242025!$R$2:$R$1315,1)</f>
        <v>0</v>
      </c>
      <c r="AK21" s="35"/>
      <c r="AL21" s="28">
        <f>COUNTIFS(DataRegularSeason20242025!$E$2:$E$1315,WatchedGames20242025!AK$1,DataRegularSeason20242025!$D$2:$D$1315,WatchedGames20242025!$A21,DataRegularSeason20242025!$N$2:$N$1315,1, DataRegularSeason20242025!$R$2:$R$1315,1)</f>
        <v>0</v>
      </c>
      <c r="AM21" s="35"/>
      <c r="AN21" s="28">
        <f>COUNTIFS(DataRegularSeason20242025!$E$2:$E$1315,WatchedGames20242025!AM$1,DataRegularSeason20242025!$D$2:$D$1315,WatchedGames20242025!$A21,DataRegularSeason20242025!$N$2:$N$1315,1, DataRegularSeason20242025!$R$2:$R$1315,1)</f>
        <v>0</v>
      </c>
      <c r="AO21" s="35"/>
      <c r="AP21" s="28">
        <f>COUNTIFS(DataRegularSeason20242025!$E$2:$E$1315,WatchedGames20242025!AO$1,DataRegularSeason20242025!$D$2:$D$1315,WatchedGames20242025!$A21,DataRegularSeason20242025!$N$2:$N$1315,1, DataRegularSeason20242025!$R$2:$R$1315,1)</f>
        <v>0</v>
      </c>
      <c r="AQ21" s="35"/>
      <c r="AR21" s="28">
        <f>COUNTIFS(DataRegularSeason20242025!$E$2:$E$1315,WatchedGames20242025!AQ$1,DataRegularSeason20242025!$D$2:$D$1315,WatchedGames20242025!$A21,DataRegularSeason20242025!$N$2:$N$1315,1, DataRegularSeason20242025!$R$2:$R$1315,1)</f>
        <v>0</v>
      </c>
      <c r="AS21" s="35"/>
      <c r="AT21" s="28">
        <f>COUNTIFS(DataRegularSeason20242025!$E$2:$E$1315,WatchedGames20242025!AS$1,DataRegularSeason20242025!$D$2:$D$1315,WatchedGames20242025!$A21,DataRegularSeason20242025!$N$2:$N$1315,1, DataRegularSeason20242025!$R$2:$R$1315,1)</f>
        <v>0</v>
      </c>
      <c r="AU21" s="35"/>
      <c r="AV21" s="28">
        <f>COUNTIFS(DataRegularSeason20242025!$E$2:$E$1315,WatchedGames20242025!AU$1,DataRegularSeason20242025!$D$2:$D$1315,WatchedGames20242025!$A21,DataRegularSeason20242025!$N$2:$N$1315,1, DataRegularSeason20242025!$R$2:$R$1315,1)</f>
        <v>0</v>
      </c>
      <c r="AW21" s="35"/>
      <c r="AX21" s="28">
        <f>COUNTIFS(DataRegularSeason20242025!$E$2:$E$1315,WatchedGames20242025!AW$1,DataRegularSeason20242025!$D$2:$D$1315,WatchedGames20242025!$A21,DataRegularSeason20242025!$N$2:$N$1315,1, DataRegularSeason20242025!$R$2:$R$1315,1)</f>
        <v>0</v>
      </c>
      <c r="AY21" s="35"/>
      <c r="AZ21" s="28">
        <f>COUNTIFS(DataRegularSeason20242025!$E$2:$E$1315,WatchedGames20242025!AY$1,DataRegularSeason20242025!$D$2:$D$1315,WatchedGames20242025!$A21,DataRegularSeason20242025!$N$2:$N$1315,1, DataRegularSeason20242025!$R$2:$R$1315,1)</f>
        <v>0</v>
      </c>
      <c r="BA21" s="35"/>
      <c r="BB21" s="28">
        <f>COUNTIFS(DataRegularSeason20242025!$E$2:$E$1315,WatchedGames20242025!BA$1,DataRegularSeason20242025!$D$2:$D$1315,WatchedGames20242025!$A21,DataRegularSeason20242025!$N$2:$N$1315,1, DataRegularSeason20242025!$R$2:$R$1315,1)</f>
        <v>0</v>
      </c>
      <c r="BC21" s="35"/>
      <c r="BD21" s="28">
        <f>COUNTIFS(DataRegularSeason20242025!$E$2:$E$1315,WatchedGames20242025!BC$1,DataRegularSeason20242025!$D$2:$D$1315,WatchedGames20242025!$A21,DataRegularSeason20242025!$N$2:$N$1315,1, DataRegularSeason20242025!$R$2:$R$1315,1)</f>
        <v>1</v>
      </c>
      <c r="BE21" s="35"/>
      <c r="BF21" s="28">
        <f>COUNTIFS(DataRegularSeason20242025!$E$2:$E$1315,WatchedGames20242025!BE$1,DataRegularSeason20242025!$D$2:$D$1315,WatchedGames20242025!$A21,DataRegularSeason20242025!$N$2:$N$1315,1, DataRegularSeason20242025!$R$2:$R$1315,1)</f>
        <v>0</v>
      </c>
      <c r="BG21" s="35"/>
      <c r="BH21" s="28">
        <f>COUNTIFS(DataRegularSeason20242025!$E$2:$E$1315,WatchedGames20242025!BG$1,DataRegularSeason20242025!$D$2:$D$1315,WatchedGames20242025!$A21,DataRegularSeason20242025!$N$2:$N$1315,1, DataRegularSeason20242025!$R$2:$R$1315,1)</f>
        <v>0</v>
      </c>
      <c r="BI21" s="35"/>
      <c r="BJ21" s="28">
        <f>COUNTIFS(DataRegularSeason20242025!$E$2:$E$1315,WatchedGames20242025!BI$1,DataRegularSeason20242025!$D$2:$D$1315,WatchedGames20242025!$A21,DataRegularSeason20242025!$N$2:$N$1315,1, DataRegularSeason20242025!$R$2:$R$1315,1)</f>
        <v>0</v>
      </c>
      <c r="BK21" s="35"/>
      <c r="BL21" s="28">
        <f>COUNTIFS(DataRegularSeason20242025!$E$2:$E$1315,WatchedGames20242025!BK$1,DataRegularSeason20242025!$D$2:$D$1315,WatchedGames20242025!$A21,DataRegularSeason20242025!$N$2:$N$1315,1, DataRegularSeason20242025!$R$2:$R$1315,1)</f>
        <v>0</v>
      </c>
      <c r="BM21" s="35"/>
      <c r="BN21" s="28">
        <f>COUNTIFS(DataRegularSeason20242025!$E$2:$E$1315,WatchedGames20242025!BM$1,DataRegularSeason20242025!$D$2:$D$1315,WatchedGames20242025!$A21,DataRegularSeason20242025!$N$2:$N$1315,1, DataRegularSeason20242025!$R$2:$R$1315,1)</f>
        <v>0</v>
      </c>
      <c r="BO21" s="30">
        <f t="shared" si="1"/>
        <v>1</v>
      </c>
      <c r="BP21" s="165">
        <f t="shared" ref="BP21" si="18">BO21+BO22</f>
        <v>6</v>
      </c>
      <c r="BQ21" s="166">
        <f t="shared" ref="BQ21" si="19">82-BP21</f>
        <v>76</v>
      </c>
      <c r="BR21" s="173">
        <f t="shared" si="0"/>
        <v>7.3170731707317069E-2</v>
      </c>
    </row>
    <row r="22" spans="1:70" s="27" customFormat="1" ht="9.9499999999999993" customHeight="1" x14ac:dyDescent="0.2">
      <c r="A22" s="167"/>
      <c r="B22" s="32" t="s">
        <v>73</v>
      </c>
      <c r="C22" s="38">
        <f>COUNTIFS(DataRegularSeason20242025!$E$2:$E$1315,WatchedGames20242025!$A21,DataRegularSeason20242025!$D$2:$D$1315,WatchedGames20242025!C$1,DataRegularSeason20242025!$N$2:$N$1315,1, DataRegularSeason20242025!$R$2:$R$1315,1)</f>
        <v>0</v>
      </c>
      <c r="D22" s="39"/>
      <c r="E22" s="38">
        <f>COUNTIFS(DataRegularSeason20242025!$E$2:$E$1315,WatchedGames20242025!$A21,DataRegularSeason20242025!$D$2:$D$1315,WatchedGames20242025!E$1,DataRegularSeason20242025!$N$2:$N$1315,1, DataRegularSeason20242025!$R$2:$R$1315,1)</f>
        <v>0</v>
      </c>
      <c r="F22" s="39"/>
      <c r="G22" s="38">
        <f>COUNTIFS(DataRegularSeason20242025!$E$2:$E$1315,WatchedGames20242025!$A21,DataRegularSeason20242025!$D$2:$D$1315,WatchedGames20242025!G$1,DataRegularSeason20242025!$N$2:$N$1315,1, DataRegularSeason20242025!$R$2:$R$1315,1)</f>
        <v>0</v>
      </c>
      <c r="H22" s="39"/>
      <c r="I22" s="38">
        <f>COUNTIFS(DataRegularSeason20242025!$E$2:$E$1315,WatchedGames20242025!$A21,DataRegularSeason20242025!$D$2:$D$1315,WatchedGames20242025!I$1,DataRegularSeason20242025!$N$2:$N$1315,1, DataRegularSeason20242025!$R$2:$R$1315,1)</f>
        <v>0</v>
      </c>
      <c r="J22" s="39"/>
      <c r="K22" s="38">
        <f>COUNTIFS(DataRegularSeason20242025!$E$2:$E$1315,WatchedGames20242025!$A21,DataRegularSeason20242025!$D$2:$D$1315,WatchedGames20242025!K$1,DataRegularSeason20242025!$N$2:$N$1315,1, DataRegularSeason20242025!$R$2:$R$1315,1)</f>
        <v>0</v>
      </c>
      <c r="L22" s="39"/>
      <c r="M22" s="38">
        <f>COUNTIFS(DataRegularSeason20242025!$E$2:$E$1315,WatchedGames20242025!$A21,DataRegularSeason20242025!$D$2:$D$1315,WatchedGames20242025!M$1,DataRegularSeason20242025!$N$2:$N$1315,1, DataRegularSeason20242025!$R$2:$R$1315,1)</f>
        <v>0</v>
      </c>
      <c r="N22" s="39"/>
      <c r="O22" s="38">
        <f>COUNTIFS(DataRegularSeason20242025!$E$2:$E$1315,WatchedGames20242025!$A21,DataRegularSeason20242025!$D$2:$D$1315,WatchedGames20242025!O$1,DataRegularSeason20242025!$N$2:$N$1315,1, DataRegularSeason20242025!$R$2:$R$1315,1)</f>
        <v>0</v>
      </c>
      <c r="P22" s="39"/>
      <c r="Q22" s="38">
        <f>COUNTIFS(DataRegularSeason20242025!$E$2:$E$1315,WatchedGames20242025!$A21,DataRegularSeason20242025!$D$2:$D$1315,WatchedGames20242025!Q$1,DataRegularSeason20242025!$N$2:$N$1315,1, DataRegularSeason20242025!$R$2:$R$1315,1)</f>
        <v>0</v>
      </c>
      <c r="R22" s="39"/>
      <c r="S22" s="38">
        <f>COUNTIFS(DataRegularSeason20242025!$E$2:$E$1315,WatchedGames20242025!$A21,DataRegularSeason20242025!$D$2:$D$1315,WatchedGames20242025!S$1,DataRegularSeason20242025!$N$2:$N$1315,1, DataRegularSeason20242025!$R$2:$R$1315,1)</f>
        <v>0</v>
      </c>
      <c r="T22" s="39"/>
      <c r="U22" s="38"/>
      <c r="V22" s="39"/>
      <c r="W22" s="38">
        <f>COUNTIFS(DataRegularSeason20242025!$E$2:$E$1315,WatchedGames20242025!$A21,DataRegularSeason20242025!$D$2:$D$1315,WatchedGames20242025!W$1,DataRegularSeason20242025!$N$2:$N$1315,1, DataRegularSeason20242025!$R$2:$R$1315,1)</f>
        <v>1</v>
      </c>
      <c r="X22" s="39"/>
      <c r="Y22" s="38">
        <f>COUNTIFS(DataRegularSeason20242025!$E$2:$E$1315,WatchedGames20242025!$A21,DataRegularSeason20242025!$D$2:$D$1315,WatchedGames20242025!Y$1,DataRegularSeason20242025!$N$2:$N$1315,1, DataRegularSeason20242025!$R$2:$R$1315,1)</f>
        <v>1</v>
      </c>
      <c r="Z22" s="39"/>
      <c r="AA22" s="38">
        <f>COUNTIFS(DataRegularSeason20242025!$E$2:$E$1315,WatchedGames20242025!$A21,DataRegularSeason20242025!$D$2:$D$1315,WatchedGames20242025!AA$1,DataRegularSeason20242025!$N$2:$N$1315,1, DataRegularSeason20242025!$R$2:$R$1315,1)</f>
        <v>0</v>
      </c>
      <c r="AB22" s="39"/>
      <c r="AC22" s="38">
        <f>COUNTIFS(DataRegularSeason20242025!$E$2:$E$1315,WatchedGames20242025!$A21,DataRegularSeason20242025!$D$2:$D$1315,WatchedGames20242025!AC$1,DataRegularSeason20242025!$N$2:$N$1315,1, DataRegularSeason20242025!$R$2:$R$1315,1)</f>
        <v>0</v>
      </c>
      <c r="AD22" s="39"/>
      <c r="AE22" s="38">
        <f>COUNTIFS(DataRegularSeason20242025!$E$2:$E$1315,WatchedGames20242025!$A21,DataRegularSeason20242025!$D$2:$D$1315,WatchedGames20242025!AE$1,DataRegularSeason20242025!$N$2:$N$1315,1, DataRegularSeason20242025!$R$2:$R$1315,1)</f>
        <v>1</v>
      </c>
      <c r="AF22" s="39"/>
      <c r="AG22" s="38">
        <f>COUNTIFS(DataRegularSeason20242025!$E$2:$E$1315,WatchedGames20242025!$A21,DataRegularSeason20242025!$D$2:$D$1315,WatchedGames20242025!AG$1,DataRegularSeason20242025!$N$2:$N$1315,1, DataRegularSeason20242025!$R$2:$R$1315,1)</f>
        <v>0</v>
      </c>
      <c r="AH22" s="39"/>
      <c r="AI22" s="38">
        <f>COUNTIFS(DataRegularSeason20242025!$E$2:$E$1315,WatchedGames20242025!$A21,DataRegularSeason20242025!$D$2:$D$1315,WatchedGames20242025!AI$1,DataRegularSeason20242025!$N$2:$N$1315,1, DataRegularSeason20242025!$R$2:$R$1315,1)</f>
        <v>0</v>
      </c>
      <c r="AJ22" s="39"/>
      <c r="AK22" s="38">
        <f>COUNTIFS(DataRegularSeason20242025!$E$2:$E$1315,WatchedGames20242025!$A21,DataRegularSeason20242025!$D$2:$D$1315,WatchedGames20242025!AK$1,DataRegularSeason20242025!$N$2:$N$1315,1, DataRegularSeason20242025!$R$2:$R$1315,1)</f>
        <v>0</v>
      </c>
      <c r="AL22" s="39"/>
      <c r="AM22" s="38">
        <f>COUNTIFS(DataRegularSeason20242025!$E$2:$E$1315,WatchedGames20242025!$A21,DataRegularSeason20242025!$D$2:$D$1315,WatchedGames20242025!AM$1,DataRegularSeason20242025!$N$2:$N$1315,1, DataRegularSeason20242025!$R$2:$R$1315,1)</f>
        <v>0</v>
      </c>
      <c r="AN22" s="39"/>
      <c r="AO22" s="38">
        <f>COUNTIFS(DataRegularSeason20242025!$E$2:$E$1315,WatchedGames20242025!$A21,DataRegularSeason20242025!$D$2:$D$1315,WatchedGames20242025!AO$1,DataRegularSeason20242025!$N$2:$N$1315,1, DataRegularSeason20242025!$R$2:$R$1315,1)</f>
        <v>0</v>
      </c>
      <c r="AP22" s="39"/>
      <c r="AQ22" s="38">
        <f>COUNTIFS(DataRegularSeason20242025!$E$2:$E$1315,WatchedGames20242025!$A21,DataRegularSeason20242025!$D$2:$D$1315,WatchedGames20242025!AQ$1,DataRegularSeason20242025!$N$2:$N$1315,1, DataRegularSeason20242025!$R$2:$R$1315,1)</f>
        <v>0</v>
      </c>
      <c r="AR22" s="39"/>
      <c r="AS22" s="38">
        <f>COUNTIFS(DataRegularSeason20242025!$E$2:$E$1315,WatchedGames20242025!$A21,DataRegularSeason20242025!$D$2:$D$1315,WatchedGames20242025!AS$1,DataRegularSeason20242025!$N$2:$N$1315,1, DataRegularSeason20242025!$R$2:$R$1315,1)</f>
        <v>0</v>
      </c>
      <c r="AT22" s="39"/>
      <c r="AU22" s="38">
        <f>COUNTIFS(DataRegularSeason20242025!$E$2:$E$1315,WatchedGames20242025!$A21,DataRegularSeason20242025!$D$2:$D$1315,WatchedGames20242025!AU$1,DataRegularSeason20242025!$N$2:$N$1315,1, DataRegularSeason20242025!$R$2:$R$1315,1)</f>
        <v>0</v>
      </c>
      <c r="AV22" s="39"/>
      <c r="AW22" s="38">
        <f>COUNTIFS(DataRegularSeason20242025!$E$2:$E$1315,WatchedGames20242025!$A21,DataRegularSeason20242025!$D$2:$D$1315,WatchedGames20242025!AW$1,DataRegularSeason20242025!$N$2:$N$1315,1, DataRegularSeason20242025!$R$2:$R$1315,1)</f>
        <v>0</v>
      </c>
      <c r="AX22" s="39"/>
      <c r="AY22" s="38">
        <f>COUNTIFS(DataRegularSeason20242025!$E$2:$E$1315,WatchedGames20242025!$A21,DataRegularSeason20242025!$D$2:$D$1315,WatchedGames20242025!AY$1,DataRegularSeason20242025!$N$2:$N$1315,1, DataRegularSeason20242025!$R$2:$R$1315,1)</f>
        <v>0</v>
      </c>
      <c r="AZ22" s="39"/>
      <c r="BA22" s="38">
        <f>COUNTIFS(DataRegularSeason20242025!$E$2:$E$1315,WatchedGames20242025!$A21,DataRegularSeason20242025!$D$2:$D$1315,WatchedGames20242025!BA$1,DataRegularSeason20242025!$N$2:$N$1315,1, DataRegularSeason20242025!$R$2:$R$1315,1)</f>
        <v>1</v>
      </c>
      <c r="BB22" s="39"/>
      <c r="BC22" s="38">
        <f>COUNTIFS(DataRegularSeason20242025!$E$2:$E$1315,WatchedGames20242025!$A21,DataRegularSeason20242025!$D$2:$D$1315,WatchedGames20242025!BC$1,DataRegularSeason20242025!$N$2:$N$1315,1, DataRegularSeason20242025!$R$2:$R$1315,1)</f>
        <v>1</v>
      </c>
      <c r="BD22" s="39"/>
      <c r="BE22" s="38">
        <f>COUNTIFS(DataRegularSeason20242025!$E$2:$E$1315,WatchedGames20242025!$A21,DataRegularSeason20242025!$D$2:$D$1315,WatchedGames20242025!BE$1,DataRegularSeason20242025!$N$2:$N$1315,1, DataRegularSeason20242025!$R$2:$R$1315,1)</f>
        <v>0</v>
      </c>
      <c r="BF22" s="39"/>
      <c r="BG22" s="38">
        <f>COUNTIFS(DataRegularSeason20242025!$E$2:$E$1315,WatchedGames20242025!$A21,DataRegularSeason20242025!$D$2:$D$1315,WatchedGames20242025!BG$1,DataRegularSeason20242025!$N$2:$N$1315,1, DataRegularSeason20242025!$R$2:$R$1315,1)</f>
        <v>0</v>
      </c>
      <c r="BH22" s="39"/>
      <c r="BI22" s="38">
        <f>COUNTIFS(DataRegularSeason20242025!$E$2:$E$1315,WatchedGames20242025!$A21,DataRegularSeason20242025!$D$2:$D$1315,WatchedGames20242025!BI$1,DataRegularSeason20242025!$N$2:$N$1315,1, DataRegularSeason20242025!$R$2:$R$1315,1)</f>
        <v>0</v>
      </c>
      <c r="BJ22" s="39"/>
      <c r="BK22" s="38">
        <f>COUNTIFS(DataRegularSeason20242025!$E$2:$E$1315,WatchedGames20242025!$A21,DataRegularSeason20242025!$D$2:$D$1315,WatchedGames20242025!BK$1,DataRegularSeason20242025!$N$2:$N$1315,1, DataRegularSeason20242025!$R$2:$R$1315,1)</f>
        <v>0</v>
      </c>
      <c r="BL22" s="39"/>
      <c r="BM22" s="38">
        <f>COUNTIFS(DataRegularSeason20242025!$E$2:$E$1315,WatchedGames20242025!$A21,DataRegularSeason20242025!$D$2:$D$1315,WatchedGames20242025!BM$1,DataRegularSeason20242025!$N$2:$N$1315,1, DataRegularSeason20242025!$R$2:$R$1315,1)</f>
        <v>0</v>
      </c>
      <c r="BN22" s="39"/>
      <c r="BO22" s="34">
        <f t="shared" si="1"/>
        <v>5</v>
      </c>
      <c r="BP22" s="165"/>
      <c r="BQ22" s="166"/>
      <c r="BR22" s="173"/>
    </row>
    <row r="23" spans="1:70" s="27" customFormat="1" ht="9.9499999999999993" customHeight="1" x14ac:dyDescent="0.2">
      <c r="A23" s="172" t="s">
        <v>22</v>
      </c>
      <c r="B23" s="28" t="s">
        <v>74</v>
      </c>
      <c r="C23" s="35"/>
      <c r="D23" s="28">
        <f>COUNTIFS(DataRegularSeason20242025!$E$2:$E$1315,WatchedGames20242025!C$1,DataRegularSeason20242025!$D$2:$D$1315,WatchedGames20242025!$A23,DataRegularSeason20242025!$N$2:$N$1315,1, DataRegularSeason20242025!$R$2:$R$1315,1)</f>
        <v>0</v>
      </c>
      <c r="E23" s="35"/>
      <c r="F23" s="28">
        <f>COUNTIFS(DataRegularSeason20242025!$E$2:$E$1315,WatchedGames20242025!E$1,DataRegularSeason20242025!$D$2:$D$1315,WatchedGames20242025!$A23,DataRegularSeason20242025!$N$2:$N$1315,1, DataRegularSeason20242025!$R$2:$R$1315,1)</f>
        <v>0</v>
      </c>
      <c r="G23" s="35"/>
      <c r="H23" s="28">
        <f>COUNTIFS(DataRegularSeason20242025!$E$2:$E$1315,WatchedGames20242025!G$1,DataRegularSeason20242025!$D$2:$D$1315,WatchedGames20242025!$A23,DataRegularSeason20242025!$N$2:$N$1315,1, DataRegularSeason20242025!$R$2:$R$1315,1)</f>
        <v>0</v>
      </c>
      <c r="I23" s="35"/>
      <c r="J23" s="28">
        <f>COUNTIFS(DataRegularSeason20242025!$E$2:$E$1315,WatchedGames20242025!I$1,DataRegularSeason20242025!$D$2:$D$1315,WatchedGames20242025!$A23,DataRegularSeason20242025!$N$2:$N$1315,1, DataRegularSeason20242025!$R$2:$R$1315,1)</f>
        <v>0</v>
      </c>
      <c r="K23" s="35"/>
      <c r="L23" s="28">
        <f>COUNTIFS(DataRegularSeason20242025!$E$2:$E$1315,WatchedGames20242025!K$1,DataRegularSeason20242025!$D$2:$D$1315,WatchedGames20242025!$A23,DataRegularSeason20242025!$N$2:$N$1315,1, DataRegularSeason20242025!$R$2:$R$1315,1)</f>
        <v>0</v>
      </c>
      <c r="M23" s="35"/>
      <c r="N23" s="28">
        <f>COUNTIFS(DataRegularSeason20242025!$E$2:$E$1315,WatchedGames20242025!M$1,DataRegularSeason20242025!$D$2:$D$1315,WatchedGames20242025!$A23,DataRegularSeason20242025!$N$2:$N$1315,1, DataRegularSeason20242025!$R$2:$R$1315,1)</f>
        <v>0</v>
      </c>
      <c r="O23" s="35"/>
      <c r="P23" s="28">
        <f>COUNTIFS(DataRegularSeason20242025!$E$2:$E$1315,WatchedGames20242025!O$1,DataRegularSeason20242025!$D$2:$D$1315,WatchedGames20242025!$A23,DataRegularSeason20242025!$N$2:$N$1315,1, DataRegularSeason20242025!$R$2:$R$1315,1)</f>
        <v>0</v>
      </c>
      <c r="Q23" s="35"/>
      <c r="R23" s="28">
        <f>COUNTIFS(DataRegularSeason20242025!$E$2:$E$1315,WatchedGames20242025!Q$1,DataRegularSeason20242025!$D$2:$D$1315,WatchedGames20242025!$A23,DataRegularSeason20242025!$N$2:$N$1315,1, DataRegularSeason20242025!$R$2:$R$1315,1)</f>
        <v>0</v>
      </c>
      <c r="S23" s="35"/>
      <c r="T23" s="28">
        <f>COUNTIFS(DataRegularSeason20242025!$E$2:$E$1315,WatchedGames20242025!S$1,DataRegularSeason20242025!$D$2:$D$1315,WatchedGames20242025!$A23,DataRegularSeason20242025!$N$2:$N$1315,1, DataRegularSeason20242025!$R$2:$R$1315,1)</f>
        <v>0</v>
      </c>
      <c r="U23" s="35"/>
      <c r="V23" s="28">
        <f>COUNTIFS(DataRegularSeason20242025!$E$2:$E$1315,WatchedGames20242025!U$1,DataRegularSeason20242025!$D$2:$D$1315,WatchedGames20242025!$A23,DataRegularSeason20242025!$N$2:$N$1315,1, DataRegularSeason20242025!$R$2:$R$1315,1)</f>
        <v>1</v>
      </c>
      <c r="W23" s="35"/>
      <c r="X23" s="36"/>
      <c r="Y23" s="35"/>
      <c r="Z23" s="28">
        <f>COUNTIFS(DataRegularSeason20242025!$E$2:$E$1315,WatchedGames20242025!Y$1,DataRegularSeason20242025!$D$2:$D$1315,WatchedGames20242025!$A23,DataRegularSeason20242025!$N$2:$N$1315,1, DataRegularSeason20242025!$R$2:$R$1315,1)</f>
        <v>0</v>
      </c>
      <c r="AA23" s="35"/>
      <c r="AB23" s="28">
        <f>COUNTIFS(DataRegularSeason20242025!$E$2:$E$1315,WatchedGames20242025!AA$1,DataRegularSeason20242025!$D$2:$D$1315,WatchedGames20242025!$A23,DataRegularSeason20242025!$N$2:$N$1315,1, DataRegularSeason20242025!$R$2:$R$1315,1)</f>
        <v>0</v>
      </c>
      <c r="AC23" s="35"/>
      <c r="AD23" s="28">
        <f>COUNTIFS(DataRegularSeason20242025!$E$2:$E$1315,WatchedGames20242025!AC$1,DataRegularSeason20242025!$D$2:$D$1315,WatchedGames20242025!$A23,DataRegularSeason20242025!$N$2:$N$1315,1, DataRegularSeason20242025!$R$2:$R$1315,1)</f>
        <v>0</v>
      </c>
      <c r="AE23" s="35"/>
      <c r="AF23" s="28">
        <f>COUNTIFS(DataRegularSeason20242025!$E$2:$E$1315,WatchedGames20242025!AE$1,DataRegularSeason20242025!$D$2:$D$1315,WatchedGames20242025!$A23,DataRegularSeason20242025!$N$2:$N$1315,1, DataRegularSeason20242025!$R$2:$R$1315,1)</f>
        <v>0</v>
      </c>
      <c r="AG23" s="35"/>
      <c r="AH23" s="28">
        <f>COUNTIFS(DataRegularSeason20242025!$E$2:$E$1315,WatchedGames20242025!AG$1,DataRegularSeason20242025!$D$2:$D$1315,WatchedGames20242025!$A23,DataRegularSeason20242025!$N$2:$N$1315,1, DataRegularSeason20242025!$R$2:$R$1315,1)</f>
        <v>1</v>
      </c>
      <c r="AI23" s="35"/>
      <c r="AJ23" s="28">
        <f>COUNTIFS(DataRegularSeason20242025!$E$2:$E$1315,WatchedGames20242025!AI$1,DataRegularSeason20242025!$D$2:$D$1315,WatchedGames20242025!$A23,DataRegularSeason20242025!$N$2:$N$1315,1, DataRegularSeason20242025!$R$2:$R$1315,1)</f>
        <v>0</v>
      </c>
      <c r="AK23" s="35"/>
      <c r="AL23" s="28">
        <f>COUNTIFS(DataRegularSeason20242025!$E$2:$E$1315,WatchedGames20242025!AK$1,DataRegularSeason20242025!$D$2:$D$1315,WatchedGames20242025!$A23,DataRegularSeason20242025!$N$2:$N$1315,1, DataRegularSeason20242025!$R$2:$R$1315,1)</f>
        <v>1</v>
      </c>
      <c r="AM23" s="35"/>
      <c r="AN23" s="28">
        <f>COUNTIFS(DataRegularSeason20242025!$E$2:$E$1315,WatchedGames20242025!AM$1,DataRegularSeason20242025!$D$2:$D$1315,WatchedGames20242025!$A23,DataRegularSeason20242025!$N$2:$N$1315,1, DataRegularSeason20242025!$R$2:$R$1315,1)</f>
        <v>1</v>
      </c>
      <c r="AO23" s="35"/>
      <c r="AP23" s="28">
        <f>COUNTIFS(DataRegularSeason20242025!$E$2:$E$1315,WatchedGames20242025!AO$1,DataRegularSeason20242025!$D$2:$D$1315,WatchedGames20242025!$A23,DataRegularSeason20242025!$N$2:$N$1315,1, DataRegularSeason20242025!$R$2:$R$1315,1)</f>
        <v>1</v>
      </c>
      <c r="AQ23" s="35"/>
      <c r="AR23" s="28">
        <f>COUNTIFS(DataRegularSeason20242025!$E$2:$E$1315,WatchedGames20242025!AQ$1,DataRegularSeason20242025!$D$2:$D$1315,WatchedGames20242025!$A23,DataRegularSeason20242025!$N$2:$N$1315,1, DataRegularSeason20242025!$R$2:$R$1315,1)</f>
        <v>0</v>
      </c>
      <c r="AS23" s="35"/>
      <c r="AT23" s="28">
        <f>COUNTIFS(DataRegularSeason20242025!$E$2:$E$1315,WatchedGames20242025!AS$1,DataRegularSeason20242025!$D$2:$D$1315,WatchedGames20242025!$A23,DataRegularSeason20242025!$N$2:$N$1315,1, DataRegularSeason20242025!$R$2:$R$1315,1)</f>
        <v>0</v>
      </c>
      <c r="AU23" s="35"/>
      <c r="AV23" s="28">
        <f>COUNTIFS(DataRegularSeason20242025!$E$2:$E$1315,WatchedGames20242025!AU$1,DataRegularSeason20242025!$D$2:$D$1315,WatchedGames20242025!$A23,DataRegularSeason20242025!$N$2:$N$1315,1, DataRegularSeason20242025!$R$2:$R$1315,1)</f>
        <v>0</v>
      </c>
      <c r="AW23" s="35"/>
      <c r="AX23" s="28">
        <f>COUNTIFS(DataRegularSeason20242025!$E$2:$E$1315,WatchedGames20242025!AW$1,DataRegularSeason20242025!$D$2:$D$1315,WatchedGames20242025!$A23,DataRegularSeason20242025!$N$2:$N$1315,1, DataRegularSeason20242025!$R$2:$R$1315,1)</f>
        <v>0</v>
      </c>
      <c r="AY23" s="35"/>
      <c r="AZ23" s="28">
        <f>COUNTIFS(DataRegularSeason20242025!$E$2:$E$1315,WatchedGames20242025!AY$1,DataRegularSeason20242025!$D$2:$D$1315,WatchedGames20242025!$A23,DataRegularSeason20242025!$N$2:$N$1315,1, DataRegularSeason20242025!$R$2:$R$1315,1)</f>
        <v>0</v>
      </c>
      <c r="BA23" s="35"/>
      <c r="BB23" s="28">
        <f>COUNTIFS(DataRegularSeason20242025!$E$2:$E$1315,WatchedGames20242025!BA$1,DataRegularSeason20242025!$D$2:$D$1315,WatchedGames20242025!$A23,DataRegularSeason20242025!$N$2:$N$1315,1, DataRegularSeason20242025!$R$2:$R$1315,1)</f>
        <v>0</v>
      </c>
      <c r="BC23" s="35"/>
      <c r="BD23" s="28">
        <f>COUNTIFS(DataRegularSeason20242025!$E$2:$E$1315,WatchedGames20242025!BC$1,DataRegularSeason20242025!$D$2:$D$1315,WatchedGames20242025!$A23,DataRegularSeason20242025!$N$2:$N$1315,1, DataRegularSeason20242025!$R$2:$R$1315,1)</f>
        <v>0</v>
      </c>
      <c r="BE23" s="35"/>
      <c r="BF23" s="28">
        <f>COUNTIFS(DataRegularSeason20242025!$E$2:$E$1315,WatchedGames20242025!BE$1,DataRegularSeason20242025!$D$2:$D$1315,WatchedGames20242025!$A23,DataRegularSeason20242025!$N$2:$N$1315,1, DataRegularSeason20242025!$R$2:$R$1315,1)</f>
        <v>0</v>
      </c>
      <c r="BG23" s="35"/>
      <c r="BH23" s="28">
        <f>COUNTIFS(DataRegularSeason20242025!$E$2:$E$1315,WatchedGames20242025!BG$1,DataRegularSeason20242025!$D$2:$D$1315,WatchedGames20242025!$A23,DataRegularSeason20242025!$N$2:$N$1315,1, DataRegularSeason20242025!$R$2:$R$1315,1)</f>
        <v>0</v>
      </c>
      <c r="BI23" s="35"/>
      <c r="BJ23" s="28">
        <f>COUNTIFS(DataRegularSeason20242025!$E$2:$E$1315,WatchedGames20242025!BI$1,DataRegularSeason20242025!$D$2:$D$1315,WatchedGames20242025!$A23,DataRegularSeason20242025!$N$2:$N$1315,1, DataRegularSeason20242025!$R$2:$R$1315,1)</f>
        <v>0</v>
      </c>
      <c r="BK23" s="35"/>
      <c r="BL23" s="28">
        <f>COUNTIFS(DataRegularSeason20242025!$E$2:$E$1315,WatchedGames20242025!BK$1,DataRegularSeason20242025!$D$2:$D$1315,WatchedGames20242025!$A23,DataRegularSeason20242025!$N$2:$N$1315,1, DataRegularSeason20242025!$R$2:$R$1315,1)</f>
        <v>0</v>
      </c>
      <c r="BM23" s="35"/>
      <c r="BN23" s="28">
        <f>COUNTIFS(DataRegularSeason20242025!$E$2:$E$1315,WatchedGames20242025!BM$1,DataRegularSeason20242025!$D$2:$D$1315,WatchedGames20242025!$A23,DataRegularSeason20242025!$N$2:$N$1315,1, DataRegularSeason20242025!$R$2:$R$1315,1)</f>
        <v>0</v>
      </c>
      <c r="BO23" s="30">
        <f t="shared" si="1"/>
        <v>5</v>
      </c>
      <c r="BP23" s="165">
        <f t="shared" ref="BP23" si="20">BO23+BO24</f>
        <v>7</v>
      </c>
      <c r="BQ23" s="166">
        <f t="shared" ref="BQ23" si="21">82-BP23</f>
        <v>75</v>
      </c>
      <c r="BR23" s="173">
        <f t="shared" si="0"/>
        <v>8.5365853658536592E-2</v>
      </c>
    </row>
    <row r="24" spans="1:70" s="27" customFormat="1" ht="9.9499999999999993" customHeight="1" x14ac:dyDescent="0.2">
      <c r="A24" s="167"/>
      <c r="B24" s="32" t="s">
        <v>73</v>
      </c>
      <c r="C24" s="38">
        <f>COUNTIFS(DataRegularSeason20242025!$E$2:$E$1315,WatchedGames20242025!$A23,DataRegularSeason20242025!$D$2:$D$1315,WatchedGames20242025!C$1,DataRegularSeason20242025!$N$2:$N$1315,1, DataRegularSeason20242025!$R$2:$R$1315,1)</f>
        <v>0</v>
      </c>
      <c r="D24" s="39"/>
      <c r="E24" s="38">
        <f>COUNTIFS(DataRegularSeason20242025!$E$2:$E$1315,WatchedGames20242025!$A23,DataRegularSeason20242025!$D$2:$D$1315,WatchedGames20242025!E$1,DataRegularSeason20242025!$N$2:$N$1315,1, DataRegularSeason20242025!$R$2:$R$1315,1)</f>
        <v>0</v>
      </c>
      <c r="F24" s="39"/>
      <c r="G24" s="38">
        <f>COUNTIFS(DataRegularSeason20242025!$E$2:$E$1315,WatchedGames20242025!$A23,DataRegularSeason20242025!$D$2:$D$1315,WatchedGames20242025!G$1,DataRegularSeason20242025!$N$2:$N$1315,1, DataRegularSeason20242025!$R$2:$R$1315,1)</f>
        <v>0</v>
      </c>
      <c r="H24" s="39"/>
      <c r="I24" s="38">
        <f>COUNTIFS(DataRegularSeason20242025!$E$2:$E$1315,WatchedGames20242025!$A23,DataRegularSeason20242025!$D$2:$D$1315,WatchedGames20242025!I$1,DataRegularSeason20242025!$N$2:$N$1315,1, DataRegularSeason20242025!$R$2:$R$1315,1)</f>
        <v>0</v>
      </c>
      <c r="J24" s="39"/>
      <c r="K24" s="38">
        <f>COUNTIFS(DataRegularSeason20242025!$E$2:$E$1315,WatchedGames20242025!$A23,DataRegularSeason20242025!$D$2:$D$1315,WatchedGames20242025!K$1,DataRegularSeason20242025!$N$2:$N$1315,1, DataRegularSeason20242025!$R$2:$R$1315,1)</f>
        <v>0</v>
      </c>
      <c r="L24" s="39"/>
      <c r="M24" s="38">
        <f>COUNTIFS(DataRegularSeason20242025!$E$2:$E$1315,WatchedGames20242025!$A23,DataRegularSeason20242025!$D$2:$D$1315,WatchedGames20242025!M$1,DataRegularSeason20242025!$N$2:$N$1315,1, DataRegularSeason20242025!$R$2:$R$1315,1)</f>
        <v>1</v>
      </c>
      <c r="N24" s="39"/>
      <c r="O24" s="38">
        <f>COUNTIFS(DataRegularSeason20242025!$E$2:$E$1315,WatchedGames20242025!$A23,DataRegularSeason20242025!$D$2:$D$1315,WatchedGames20242025!O$1,DataRegularSeason20242025!$N$2:$N$1315,1, DataRegularSeason20242025!$R$2:$R$1315,1)</f>
        <v>0</v>
      </c>
      <c r="P24" s="39"/>
      <c r="Q24" s="38">
        <f>COUNTIFS(DataRegularSeason20242025!$E$2:$E$1315,WatchedGames20242025!$A23,DataRegularSeason20242025!$D$2:$D$1315,WatchedGames20242025!Q$1,DataRegularSeason20242025!$N$2:$N$1315,1, DataRegularSeason20242025!$R$2:$R$1315,1)</f>
        <v>0</v>
      </c>
      <c r="R24" s="39"/>
      <c r="S24" s="38">
        <f>COUNTIFS(DataRegularSeason20242025!$E$2:$E$1315,WatchedGames20242025!$A23,DataRegularSeason20242025!$D$2:$D$1315,WatchedGames20242025!S$1,DataRegularSeason20242025!$N$2:$N$1315,1, DataRegularSeason20242025!$R$2:$R$1315,1)</f>
        <v>0</v>
      </c>
      <c r="T24" s="39"/>
      <c r="U24" s="38">
        <f>COUNTIFS(DataRegularSeason20242025!$E$2:$E$1315,WatchedGames20242025!$A23,DataRegularSeason20242025!$D$2:$D$1315,WatchedGames20242025!U$1,DataRegularSeason20242025!$N$2:$N$1315,1, DataRegularSeason20242025!$R$2:$R$1315,1)</f>
        <v>0</v>
      </c>
      <c r="V24" s="39"/>
      <c r="W24" s="38"/>
      <c r="X24" s="39"/>
      <c r="Y24" s="38">
        <f>COUNTIFS(DataRegularSeason20242025!$E$2:$E$1315,WatchedGames20242025!$A23,DataRegularSeason20242025!$D$2:$D$1315,WatchedGames20242025!Y$1,DataRegularSeason20242025!$N$2:$N$1315,1, DataRegularSeason20242025!$R$2:$R$1315,1)</f>
        <v>0</v>
      </c>
      <c r="Z24" s="39"/>
      <c r="AA24" s="38">
        <f>COUNTIFS(DataRegularSeason20242025!$E$2:$E$1315,WatchedGames20242025!$A23,DataRegularSeason20242025!$D$2:$D$1315,WatchedGames20242025!AA$1,DataRegularSeason20242025!$N$2:$N$1315,1, DataRegularSeason20242025!$R$2:$R$1315,1)</f>
        <v>0</v>
      </c>
      <c r="AB24" s="39"/>
      <c r="AC24" s="38">
        <f>COUNTIFS(DataRegularSeason20242025!$E$2:$E$1315,WatchedGames20242025!$A23,DataRegularSeason20242025!$D$2:$D$1315,WatchedGames20242025!AC$1,DataRegularSeason20242025!$N$2:$N$1315,1, DataRegularSeason20242025!$R$2:$R$1315,1)</f>
        <v>0</v>
      </c>
      <c r="AD24" s="39"/>
      <c r="AE24" s="38">
        <f>COUNTIFS(DataRegularSeason20242025!$E$2:$E$1315,WatchedGames20242025!$A23,DataRegularSeason20242025!$D$2:$D$1315,WatchedGames20242025!AE$1,DataRegularSeason20242025!$N$2:$N$1315,1, DataRegularSeason20242025!$R$2:$R$1315,1)</f>
        <v>0</v>
      </c>
      <c r="AF24" s="39"/>
      <c r="AG24" s="38">
        <f>COUNTIFS(DataRegularSeason20242025!$E$2:$E$1315,WatchedGames20242025!$A23,DataRegularSeason20242025!$D$2:$D$1315,WatchedGames20242025!AG$1,DataRegularSeason20242025!$N$2:$N$1315,1, DataRegularSeason20242025!$R$2:$R$1315,1)</f>
        <v>0</v>
      </c>
      <c r="AH24" s="39"/>
      <c r="AI24" s="38">
        <f>COUNTIFS(DataRegularSeason20242025!$E$2:$E$1315,WatchedGames20242025!$A23,DataRegularSeason20242025!$D$2:$D$1315,WatchedGames20242025!AI$1,DataRegularSeason20242025!$N$2:$N$1315,1, DataRegularSeason20242025!$R$2:$R$1315,1)</f>
        <v>0</v>
      </c>
      <c r="AJ24" s="39"/>
      <c r="AK24" s="38">
        <f>COUNTIFS(DataRegularSeason20242025!$E$2:$E$1315,WatchedGames20242025!$A23,DataRegularSeason20242025!$D$2:$D$1315,WatchedGames20242025!AK$1,DataRegularSeason20242025!$N$2:$N$1315,1, DataRegularSeason20242025!$R$2:$R$1315,1)</f>
        <v>0</v>
      </c>
      <c r="AL24" s="39"/>
      <c r="AM24" s="38">
        <f>COUNTIFS(DataRegularSeason20242025!$E$2:$E$1315,WatchedGames20242025!$A23,DataRegularSeason20242025!$D$2:$D$1315,WatchedGames20242025!AM$1,DataRegularSeason20242025!$N$2:$N$1315,1, DataRegularSeason20242025!$R$2:$R$1315,1)</f>
        <v>0</v>
      </c>
      <c r="AN24" s="39"/>
      <c r="AO24" s="38">
        <f>COUNTIFS(DataRegularSeason20242025!$E$2:$E$1315,WatchedGames20242025!$A23,DataRegularSeason20242025!$D$2:$D$1315,WatchedGames20242025!AO$1,DataRegularSeason20242025!$N$2:$N$1315,1, DataRegularSeason20242025!$R$2:$R$1315,1)</f>
        <v>0</v>
      </c>
      <c r="AP24" s="39"/>
      <c r="AQ24" s="38">
        <f>COUNTIFS(DataRegularSeason20242025!$E$2:$E$1315,WatchedGames20242025!$A23,DataRegularSeason20242025!$D$2:$D$1315,WatchedGames20242025!AQ$1,DataRegularSeason20242025!$N$2:$N$1315,1, DataRegularSeason20242025!$R$2:$R$1315,1)</f>
        <v>0</v>
      </c>
      <c r="AR24" s="39"/>
      <c r="AS24" s="38">
        <f>COUNTIFS(DataRegularSeason20242025!$E$2:$E$1315,WatchedGames20242025!$A23,DataRegularSeason20242025!$D$2:$D$1315,WatchedGames20242025!AS$1,DataRegularSeason20242025!$N$2:$N$1315,1, DataRegularSeason20242025!$R$2:$R$1315,1)</f>
        <v>0</v>
      </c>
      <c r="AT24" s="39"/>
      <c r="AU24" s="38">
        <f>COUNTIFS(DataRegularSeason20242025!$E$2:$E$1315,WatchedGames20242025!$A23,DataRegularSeason20242025!$D$2:$D$1315,WatchedGames20242025!AU$1,DataRegularSeason20242025!$N$2:$N$1315,1, DataRegularSeason20242025!$R$2:$R$1315,1)</f>
        <v>0</v>
      </c>
      <c r="AV24" s="39"/>
      <c r="AW24" s="38">
        <f>COUNTIFS(DataRegularSeason20242025!$E$2:$E$1315,WatchedGames20242025!$A23,DataRegularSeason20242025!$D$2:$D$1315,WatchedGames20242025!AW$1,DataRegularSeason20242025!$N$2:$N$1315,1, DataRegularSeason20242025!$R$2:$R$1315,1)</f>
        <v>0</v>
      </c>
      <c r="AX24" s="39"/>
      <c r="AY24" s="38">
        <f>COUNTIFS(DataRegularSeason20242025!$E$2:$E$1315,WatchedGames20242025!$A23,DataRegularSeason20242025!$D$2:$D$1315,WatchedGames20242025!AY$1,DataRegularSeason20242025!$N$2:$N$1315,1, DataRegularSeason20242025!$R$2:$R$1315,1)</f>
        <v>0</v>
      </c>
      <c r="AZ24" s="39"/>
      <c r="BA24" s="38">
        <f>COUNTIFS(DataRegularSeason20242025!$E$2:$E$1315,WatchedGames20242025!$A23,DataRegularSeason20242025!$D$2:$D$1315,WatchedGames20242025!BA$1,DataRegularSeason20242025!$N$2:$N$1315,1, DataRegularSeason20242025!$R$2:$R$1315,1)</f>
        <v>0</v>
      </c>
      <c r="BB24" s="39"/>
      <c r="BC24" s="38">
        <f>COUNTIFS(DataRegularSeason20242025!$E$2:$E$1315,WatchedGames20242025!$A23,DataRegularSeason20242025!$D$2:$D$1315,WatchedGames20242025!BC$1,DataRegularSeason20242025!$N$2:$N$1315,1, DataRegularSeason20242025!$R$2:$R$1315,1)</f>
        <v>0</v>
      </c>
      <c r="BD24" s="39"/>
      <c r="BE24" s="38">
        <f>COUNTIFS(DataRegularSeason20242025!$E$2:$E$1315,WatchedGames20242025!$A23,DataRegularSeason20242025!$D$2:$D$1315,WatchedGames20242025!BE$1,DataRegularSeason20242025!$N$2:$N$1315,1, DataRegularSeason20242025!$R$2:$R$1315,1)</f>
        <v>0</v>
      </c>
      <c r="BF24" s="39"/>
      <c r="BG24" s="38">
        <f>COUNTIFS(DataRegularSeason20242025!$E$2:$E$1315,WatchedGames20242025!$A23,DataRegularSeason20242025!$D$2:$D$1315,WatchedGames20242025!BG$1,DataRegularSeason20242025!$N$2:$N$1315,1, DataRegularSeason20242025!$R$2:$R$1315,1)</f>
        <v>1</v>
      </c>
      <c r="BH24" s="39"/>
      <c r="BI24" s="38">
        <f>COUNTIFS(DataRegularSeason20242025!$E$2:$E$1315,WatchedGames20242025!$A23,DataRegularSeason20242025!$D$2:$D$1315,WatchedGames20242025!BI$1,DataRegularSeason20242025!$N$2:$N$1315,1, DataRegularSeason20242025!$R$2:$R$1315,1)</f>
        <v>0</v>
      </c>
      <c r="BJ24" s="39"/>
      <c r="BK24" s="38">
        <f>COUNTIFS(DataRegularSeason20242025!$E$2:$E$1315,WatchedGames20242025!$A23,DataRegularSeason20242025!$D$2:$D$1315,WatchedGames20242025!BK$1,DataRegularSeason20242025!$N$2:$N$1315,1, DataRegularSeason20242025!$R$2:$R$1315,1)</f>
        <v>0</v>
      </c>
      <c r="BL24" s="39"/>
      <c r="BM24" s="38">
        <f>COUNTIFS(DataRegularSeason20242025!$E$2:$E$1315,WatchedGames20242025!$A23,DataRegularSeason20242025!$D$2:$D$1315,WatchedGames20242025!BM$1,DataRegularSeason20242025!$N$2:$N$1315,1, DataRegularSeason20242025!$R$2:$R$1315,1)</f>
        <v>0</v>
      </c>
      <c r="BN24" s="39"/>
      <c r="BO24" s="34">
        <f t="shared" si="1"/>
        <v>2</v>
      </c>
      <c r="BP24" s="165"/>
      <c r="BQ24" s="166"/>
      <c r="BR24" s="173"/>
    </row>
    <row r="25" spans="1:70" s="27" customFormat="1" ht="9.9499999999999993" customHeight="1" x14ac:dyDescent="0.2">
      <c r="A25" s="172" t="s">
        <v>13</v>
      </c>
      <c r="B25" s="28" t="s">
        <v>74</v>
      </c>
      <c r="C25" s="35"/>
      <c r="D25" s="28">
        <f>COUNTIFS(DataRegularSeason20242025!$E$2:$E$1315,WatchedGames20242025!C$1,DataRegularSeason20242025!$D$2:$D$1315,WatchedGames20242025!$A25,DataRegularSeason20242025!$N$2:$N$1315,1, DataRegularSeason20242025!$R$2:$R$1315,1)</f>
        <v>0</v>
      </c>
      <c r="E25" s="35"/>
      <c r="F25" s="28">
        <f>COUNTIFS(DataRegularSeason20242025!$E$2:$E$1315,WatchedGames20242025!E$1,DataRegularSeason20242025!$D$2:$D$1315,WatchedGames20242025!$A25,DataRegularSeason20242025!$N$2:$N$1315,1, DataRegularSeason20242025!$R$2:$R$1315,1)</f>
        <v>1</v>
      </c>
      <c r="G25" s="35"/>
      <c r="H25" s="28">
        <f>COUNTIFS(DataRegularSeason20242025!$E$2:$E$1315,WatchedGames20242025!G$1,DataRegularSeason20242025!$D$2:$D$1315,WatchedGames20242025!$A25,DataRegularSeason20242025!$N$2:$N$1315,1, DataRegularSeason20242025!$R$2:$R$1315,1)</f>
        <v>1</v>
      </c>
      <c r="I25" s="35"/>
      <c r="J25" s="28">
        <f>COUNTIFS(DataRegularSeason20242025!$E$2:$E$1315,WatchedGames20242025!I$1,DataRegularSeason20242025!$D$2:$D$1315,WatchedGames20242025!$A25,DataRegularSeason20242025!$N$2:$N$1315,1, DataRegularSeason20242025!$R$2:$R$1315,1)</f>
        <v>0</v>
      </c>
      <c r="K25" s="35"/>
      <c r="L25" s="28">
        <f>COUNTIFS(DataRegularSeason20242025!$E$2:$E$1315,WatchedGames20242025!K$1,DataRegularSeason20242025!$D$2:$D$1315,WatchedGames20242025!$A25,DataRegularSeason20242025!$N$2:$N$1315,1, DataRegularSeason20242025!$R$2:$R$1315,1)</f>
        <v>0</v>
      </c>
      <c r="M25" s="35"/>
      <c r="N25" s="28">
        <f>COUNTIFS(DataRegularSeason20242025!$E$2:$E$1315,WatchedGames20242025!M$1,DataRegularSeason20242025!$D$2:$D$1315,WatchedGames20242025!$A25,DataRegularSeason20242025!$N$2:$N$1315,1, DataRegularSeason20242025!$R$2:$R$1315,1)</f>
        <v>0</v>
      </c>
      <c r="O25" s="35"/>
      <c r="P25" s="28">
        <f>COUNTIFS(DataRegularSeason20242025!$E$2:$E$1315,WatchedGames20242025!O$1,DataRegularSeason20242025!$D$2:$D$1315,WatchedGames20242025!$A25,DataRegularSeason20242025!$N$2:$N$1315,1, DataRegularSeason20242025!$R$2:$R$1315,1)</f>
        <v>0</v>
      </c>
      <c r="Q25" s="35"/>
      <c r="R25" s="28">
        <f>COUNTIFS(DataRegularSeason20242025!$E$2:$E$1315,WatchedGames20242025!Q$1,DataRegularSeason20242025!$D$2:$D$1315,WatchedGames20242025!$A25,DataRegularSeason20242025!$N$2:$N$1315,1, DataRegularSeason20242025!$R$2:$R$1315,1)</f>
        <v>0</v>
      </c>
      <c r="S25" s="35"/>
      <c r="T25" s="28">
        <f>COUNTIFS(DataRegularSeason20242025!$E$2:$E$1315,WatchedGames20242025!S$1,DataRegularSeason20242025!$D$2:$D$1315,WatchedGames20242025!$A25,DataRegularSeason20242025!$N$2:$N$1315,1, DataRegularSeason20242025!$R$2:$R$1315,1)</f>
        <v>0</v>
      </c>
      <c r="U25" s="35"/>
      <c r="V25" s="28">
        <f>COUNTIFS(DataRegularSeason20242025!$E$2:$E$1315,WatchedGames20242025!U$1,DataRegularSeason20242025!$D$2:$D$1315,WatchedGames20242025!$A25,DataRegularSeason20242025!$N$2:$N$1315,1, DataRegularSeason20242025!$R$2:$R$1315,1)</f>
        <v>1</v>
      </c>
      <c r="W25" s="35"/>
      <c r="X25" s="28">
        <f>COUNTIFS(DataRegularSeason20242025!$E$2:$E$1315,WatchedGames20242025!W$1,DataRegularSeason20242025!$D$2:$D$1315,WatchedGames20242025!$A25,DataRegularSeason20242025!$N$2:$N$1315,1, DataRegularSeason20242025!$R$2:$R$1315,1)</f>
        <v>0</v>
      </c>
      <c r="Y25" s="35"/>
      <c r="Z25" s="36"/>
      <c r="AA25" s="35"/>
      <c r="AB25" s="28">
        <f>COUNTIFS(DataRegularSeason20242025!$E$2:$E$1315,WatchedGames20242025!AA$1,DataRegularSeason20242025!$D$2:$D$1315,WatchedGames20242025!$A25,DataRegularSeason20242025!$N$2:$N$1315,1, DataRegularSeason20242025!$R$2:$R$1315,1)</f>
        <v>0</v>
      </c>
      <c r="AC25" s="35"/>
      <c r="AD25" s="28">
        <f>COUNTIFS(DataRegularSeason20242025!$E$2:$E$1315,WatchedGames20242025!AC$1,DataRegularSeason20242025!$D$2:$D$1315,WatchedGames20242025!$A25,DataRegularSeason20242025!$N$2:$N$1315,1, DataRegularSeason20242025!$R$2:$R$1315,1)</f>
        <v>0</v>
      </c>
      <c r="AE25" s="35"/>
      <c r="AF25" s="28">
        <f>COUNTIFS(DataRegularSeason20242025!$E$2:$E$1315,WatchedGames20242025!AE$1,DataRegularSeason20242025!$D$2:$D$1315,WatchedGames20242025!$A25,DataRegularSeason20242025!$N$2:$N$1315,1, DataRegularSeason20242025!$R$2:$R$1315,1)</f>
        <v>0</v>
      </c>
      <c r="AG25" s="35"/>
      <c r="AH25" s="28">
        <f>COUNTIFS(DataRegularSeason20242025!$E$2:$E$1315,WatchedGames20242025!AG$1,DataRegularSeason20242025!$D$2:$D$1315,WatchedGames20242025!$A25,DataRegularSeason20242025!$N$2:$N$1315,1, DataRegularSeason20242025!$R$2:$R$1315,1)</f>
        <v>1</v>
      </c>
      <c r="AI25" s="35"/>
      <c r="AJ25" s="28">
        <f>COUNTIFS(DataRegularSeason20242025!$E$2:$E$1315,WatchedGames20242025!AI$1,DataRegularSeason20242025!$D$2:$D$1315,WatchedGames20242025!$A25,DataRegularSeason20242025!$N$2:$N$1315,1, DataRegularSeason20242025!$R$2:$R$1315,1)</f>
        <v>0</v>
      </c>
      <c r="AK25" s="35"/>
      <c r="AL25" s="28">
        <f>COUNTIFS(DataRegularSeason20242025!$E$2:$E$1315,WatchedGames20242025!AK$1,DataRegularSeason20242025!$D$2:$D$1315,WatchedGames20242025!$A25,DataRegularSeason20242025!$N$2:$N$1315,1, DataRegularSeason20242025!$R$2:$R$1315,1)</f>
        <v>0</v>
      </c>
      <c r="AM25" s="35"/>
      <c r="AN25" s="28">
        <f>COUNTIFS(DataRegularSeason20242025!$E$2:$E$1315,WatchedGames20242025!AM$1,DataRegularSeason20242025!$D$2:$D$1315,WatchedGames20242025!$A25,DataRegularSeason20242025!$N$2:$N$1315,1, DataRegularSeason20242025!$R$2:$R$1315,1)</f>
        <v>0</v>
      </c>
      <c r="AO25" s="35"/>
      <c r="AP25" s="28">
        <f>COUNTIFS(DataRegularSeason20242025!$E$2:$E$1315,WatchedGames20242025!AO$1,DataRegularSeason20242025!$D$2:$D$1315,WatchedGames20242025!$A25,DataRegularSeason20242025!$N$2:$N$1315,1, DataRegularSeason20242025!$R$2:$R$1315,1)</f>
        <v>0</v>
      </c>
      <c r="AQ25" s="35"/>
      <c r="AR25" s="28">
        <f>COUNTIFS(DataRegularSeason20242025!$E$2:$E$1315,WatchedGames20242025!AQ$1,DataRegularSeason20242025!$D$2:$D$1315,WatchedGames20242025!$A25,DataRegularSeason20242025!$N$2:$N$1315,1, DataRegularSeason20242025!$R$2:$R$1315,1)</f>
        <v>1</v>
      </c>
      <c r="AS25" s="35"/>
      <c r="AT25" s="28">
        <f>COUNTIFS(DataRegularSeason20242025!$E$2:$E$1315,WatchedGames20242025!AS$1,DataRegularSeason20242025!$D$2:$D$1315,WatchedGames20242025!$A25,DataRegularSeason20242025!$N$2:$N$1315,1, DataRegularSeason20242025!$R$2:$R$1315,1)</f>
        <v>0</v>
      </c>
      <c r="AU25" s="35"/>
      <c r="AV25" s="28">
        <f>COUNTIFS(DataRegularSeason20242025!$E$2:$E$1315,WatchedGames20242025!AU$1,DataRegularSeason20242025!$D$2:$D$1315,WatchedGames20242025!$A25,DataRegularSeason20242025!$N$2:$N$1315,1, DataRegularSeason20242025!$R$2:$R$1315,1)</f>
        <v>0</v>
      </c>
      <c r="AW25" s="35"/>
      <c r="AX25" s="28">
        <f>COUNTIFS(DataRegularSeason20242025!$E$2:$E$1315,WatchedGames20242025!AW$1,DataRegularSeason20242025!$D$2:$D$1315,WatchedGames20242025!$A25,DataRegularSeason20242025!$N$2:$N$1315,1, DataRegularSeason20242025!$R$2:$R$1315,1)</f>
        <v>0</v>
      </c>
      <c r="AY25" s="35"/>
      <c r="AZ25" s="28">
        <f>COUNTIFS(DataRegularSeason20242025!$E$2:$E$1315,WatchedGames20242025!AY$1,DataRegularSeason20242025!$D$2:$D$1315,WatchedGames20242025!$A25,DataRegularSeason20242025!$N$2:$N$1315,1, DataRegularSeason20242025!$R$2:$R$1315,1)</f>
        <v>0</v>
      </c>
      <c r="BA25" s="35"/>
      <c r="BB25" s="28">
        <f>COUNTIFS(DataRegularSeason20242025!$E$2:$E$1315,WatchedGames20242025!BA$1,DataRegularSeason20242025!$D$2:$D$1315,WatchedGames20242025!$A25,DataRegularSeason20242025!$N$2:$N$1315,1, DataRegularSeason20242025!$R$2:$R$1315,1)</f>
        <v>0</v>
      </c>
      <c r="BC25" s="35"/>
      <c r="BD25" s="28">
        <f>COUNTIFS(DataRegularSeason20242025!$E$2:$E$1315,WatchedGames20242025!BC$1,DataRegularSeason20242025!$D$2:$D$1315,WatchedGames20242025!$A25,DataRegularSeason20242025!$N$2:$N$1315,1, DataRegularSeason20242025!$R$2:$R$1315,1)</f>
        <v>0</v>
      </c>
      <c r="BE25" s="35"/>
      <c r="BF25" s="28">
        <f>COUNTIFS(DataRegularSeason20242025!$E$2:$E$1315,WatchedGames20242025!BE$1,DataRegularSeason20242025!$D$2:$D$1315,WatchedGames20242025!$A25,DataRegularSeason20242025!$N$2:$N$1315,1, DataRegularSeason20242025!$R$2:$R$1315,1)</f>
        <v>0</v>
      </c>
      <c r="BG25" s="35"/>
      <c r="BH25" s="28">
        <f>COUNTIFS(DataRegularSeason20242025!$E$2:$E$1315,WatchedGames20242025!BG$1,DataRegularSeason20242025!$D$2:$D$1315,WatchedGames20242025!$A25,DataRegularSeason20242025!$N$2:$N$1315,1, DataRegularSeason20242025!$R$2:$R$1315,1)</f>
        <v>0</v>
      </c>
      <c r="BI25" s="35"/>
      <c r="BJ25" s="28">
        <f>COUNTIFS(DataRegularSeason20242025!$E$2:$E$1315,WatchedGames20242025!BI$1,DataRegularSeason20242025!$D$2:$D$1315,WatchedGames20242025!$A25,DataRegularSeason20242025!$N$2:$N$1315,1, DataRegularSeason20242025!$R$2:$R$1315,1)</f>
        <v>0</v>
      </c>
      <c r="BK25" s="35"/>
      <c r="BL25" s="28">
        <f>COUNTIFS(DataRegularSeason20242025!$E$2:$E$1315,WatchedGames20242025!BK$1,DataRegularSeason20242025!$D$2:$D$1315,WatchedGames20242025!$A25,DataRegularSeason20242025!$N$2:$N$1315,1, DataRegularSeason20242025!$R$2:$R$1315,1)</f>
        <v>0</v>
      </c>
      <c r="BM25" s="35"/>
      <c r="BN25" s="28">
        <f>COUNTIFS(DataRegularSeason20242025!$E$2:$E$1315,WatchedGames20242025!BM$1,DataRegularSeason20242025!$D$2:$D$1315,WatchedGames20242025!$A25,DataRegularSeason20242025!$N$2:$N$1315,1, DataRegularSeason20242025!$R$2:$R$1315,1)</f>
        <v>0</v>
      </c>
      <c r="BO25" s="30">
        <f t="shared" si="1"/>
        <v>5</v>
      </c>
      <c r="BP25" s="165">
        <f t="shared" ref="BP25" si="22">BO25+BO26</f>
        <v>7</v>
      </c>
      <c r="BQ25" s="166">
        <f t="shared" ref="BQ25" si="23">82-BP25</f>
        <v>75</v>
      </c>
      <c r="BR25" s="173">
        <f t="shared" si="0"/>
        <v>8.5365853658536592E-2</v>
      </c>
    </row>
    <row r="26" spans="1:70" s="27" customFormat="1" ht="9.9499999999999993" customHeight="1" x14ac:dyDescent="0.2">
      <c r="A26" s="167"/>
      <c r="B26" s="32" t="s">
        <v>73</v>
      </c>
      <c r="C26" s="38">
        <f>COUNTIFS(DataRegularSeason20242025!$E$2:$E$1315,WatchedGames20242025!$A25,DataRegularSeason20242025!$D$2:$D$1315,WatchedGames20242025!C$1,DataRegularSeason20242025!$N$2:$N$1315,1, DataRegularSeason20242025!$R$2:$R$1315,1)</f>
        <v>0</v>
      </c>
      <c r="D26" s="39"/>
      <c r="E26" s="38">
        <f>COUNTIFS(DataRegularSeason20242025!$E$2:$E$1315,WatchedGames20242025!$A25,DataRegularSeason20242025!$D$2:$D$1315,WatchedGames20242025!E$1,DataRegularSeason20242025!$N$2:$N$1315,1, DataRegularSeason20242025!$R$2:$R$1315,1)</f>
        <v>0</v>
      </c>
      <c r="F26" s="39"/>
      <c r="G26" s="38">
        <f>COUNTIFS(DataRegularSeason20242025!$E$2:$E$1315,WatchedGames20242025!$A25,DataRegularSeason20242025!$D$2:$D$1315,WatchedGames20242025!G$1,DataRegularSeason20242025!$N$2:$N$1315,1, DataRegularSeason20242025!$R$2:$R$1315,1)</f>
        <v>0</v>
      </c>
      <c r="H26" s="39"/>
      <c r="I26" s="38">
        <f>COUNTIFS(DataRegularSeason20242025!$E$2:$E$1315,WatchedGames20242025!$A25,DataRegularSeason20242025!$D$2:$D$1315,WatchedGames20242025!I$1,DataRegularSeason20242025!$N$2:$N$1315,1, DataRegularSeason20242025!$R$2:$R$1315,1)</f>
        <v>0</v>
      </c>
      <c r="J26" s="39"/>
      <c r="K26" s="38">
        <f>COUNTIFS(DataRegularSeason20242025!$E$2:$E$1315,WatchedGames20242025!$A25,DataRegularSeason20242025!$D$2:$D$1315,WatchedGames20242025!K$1,DataRegularSeason20242025!$N$2:$N$1315,1, DataRegularSeason20242025!$R$2:$R$1315,1)</f>
        <v>0</v>
      </c>
      <c r="L26" s="39"/>
      <c r="M26" s="38">
        <f>COUNTIFS(DataRegularSeason20242025!$E$2:$E$1315,WatchedGames20242025!$A25,DataRegularSeason20242025!$D$2:$D$1315,WatchedGames20242025!M$1,DataRegularSeason20242025!$N$2:$N$1315,1, DataRegularSeason20242025!$R$2:$R$1315,1)</f>
        <v>0</v>
      </c>
      <c r="N26" s="39"/>
      <c r="O26" s="38">
        <f>COUNTIFS(DataRegularSeason20242025!$E$2:$E$1315,WatchedGames20242025!$A25,DataRegularSeason20242025!$D$2:$D$1315,WatchedGames20242025!O$1,DataRegularSeason20242025!$N$2:$N$1315,1, DataRegularSeason20242025!$R$2:$R$1315,1)</f>
        <v>1</v>
      </c>
      <c r="P26" s="39"/>
      <c r="Q26" s="38">
        <f>COUNTIFS(DataRegularSeason20242025!$E$2:$E$1315,WatchedGames20242025!$A25,DataRegularSeason20242025!$D$2:$D$1315,WatchedGames20242025!Q$1,DataRegularSeason20242025!$N$2:$N$1315,1, DataRegularSeason20242025!$R$2:$R$1315,1)</f>
        <v>0</v>
      </c>
      <c r="R26" s="39"/>
      <c r="S26" s="38">
        <f>COUNTIFS(DataRegularSeason20242025!$E$2:$E$1315,WatchedGames20242025!$A25,DataRegularSeason20242025!$D$2:$D$1315,WatchedGames20242025!S$1,DataRegularSeason20242025!$N$2:$N$1315,1, DataRegularSeason20242025!$R$2:$R$1315,1)</f>
        <v>0</v>
      </c>
      <c r="T26" s="39"/>
      <c r="U26" s="38">
        <f>COUNTIFS(DataRegularSeason20242025!$E$2:$E$1315,WatchedGames20242025!$A25,DataRegularSeason20242025!$D$2:$D$1315,WatchedGames20242025!U$1,DataRegularSeason20242025!$N$2:$N$1315,1, DataRegularSeason20242025!$R$2:$R$1315,1)</f>
        <v>0</v>
      </c>
      <c r="V26" s="39"/>
      <c r="W26" s="38">
        <f>COUNTIFS(DataRegularSeason20242025!$E$2:$E$1315,WatchedGames20242025!$A25,DataRegularSeason20242025!$D$2:$D$1315,WatchedGames20242025!W$1,DataRegularSeason20242025!$N$2:$N$1315,1, DataRegularSeason20242025!$R$2:$R$1315,1)</f>
        <v>0</v>
      </c>
      <c r="X26" s="39"/>
      <c r="Y26" s="38"/>
      <c r="Z26" s="39"/>
      <c r="AA26" s="38">
        <f>COUNTIFS(DataRegularSeason20242025!$E$2:$E$1315,WatchedGames20242025!$A25,DataRegularSeason20242025!$D$2:$D$1315,WatchedGames20242025!AA$1,DataRegularSeason20242025!$N$2:$N$1315,1, DataRegularSeason20242025!$R$2:$R$1315,1)</f>
        <v>0</v>
      </c>
      <c r="AB26" s="39"/>
      <c r="AC26" s="38">
        <f>COUNTIFS(DataRegularSeason20242025!$E$2:$E$1315,WatchedGames20242025!$A25,DataRegularSeason20242025!$D$2:$D$1315,WatchedGames20242025!AC$1,DataRegularSeason20242025!$N$2:$N$1315,1, DataRegularSeason20242025!$R$2:$R$1315,1)</f>
        <v>0</v>
      </c>
      <c r="AD26" s="39"/>
      <c r="AE26" s="38">
        <f>COUNTIFS(DataRegularSeason20242025!$E$2:$E$1315,WatchedGames20242025!$A25,DataRegularSeason20242025!$D$2:$D$1315,WatchedGames20242025!AE$1,DataRegularSeason20242025!$N$2:$N$1315,1, DataRegularSeason20242025!$R$2:$R$1315,1)</f>
        <v>0</v>
      </c>
      <c r="AF26" s="39"/>
      <c r="AG26" s="38">
        <f>COUNTIFS(DataRegularSeason20242025!$E$2:$E$1315,WatchedGames20242025!$A25,DataRegularSeason20242025!$D$2:$D$1315,WatchedGames20242025!AG$1,DataRegularSeason20242025!$N$2:$N$1315,1, DataRegularSeason20242025!$R$2:$R$1315,1)</f>
        <v>0</v>
      </c>
      <c r="AH26" s="39"/>
      <c r="AI26" s="38">
        <f>COUNTIFS(DataRegularSeason20242025!$E$2:$E$1315,WatchedGames20242025!$A25,DataRegularSeason20242025!$D$2:$D$1315,WatchedGames20242025!AI$1,DataRegularSeason20242025!$N$2:$N$1315,1, DataRegularSeason20242025!$R$2:$R$1315,1)</f>
        <v>0</v>
      </c>
      <c r="AJ26" s="39"/>
      <c r="AK26" s="38">
        <f>COUNTIFS(DataRegularSeason20242025!$E$2:$E$1315,WatchedGames20242025!$A25,DataRegularSeason20242025!$D$2:$D$1315,WatchedGames20242025!AK$1,DataRegularSeason20242025!$N$2:$N$1315,1, DataRegularSeason20242025!$R$2:$R$1315,1)</f>
        <v>0</v>
      </c>
      <c r="AL26" s="39"/>
      <c r="AM26" s="38">
        <f>COUNTIFS(DataRegularSeason20242025!$E$2:$E$1315,WatchedGames20242025!$A25,DataRegularSeason20242025!$D$2:$D$1315,WatchedGames20242025!AM$1,DataRegularSeason20242025!$N$2:$N$1315,1, DataRegularSeason20242025!$R$2:$R$1315,1)</f>
        <v>0</v>
      </c>
      <c r="AN26" s="39"/>
      <c r="AO26" s="38">
        <f>COUNTIFS(DataRegularSeason20242025!$E$2:$E$1315,WatchedGames20242025!$A25,DataRegularSeason20242025!$D$2:$D$1315,WatchedGames20242025!AO$1,DataRegularSeason20242025!$N$2:$N$1315,1, DataRegularSeason20242025!$R$2:$R$1315,1)</f>
        <v>1</v>
      </c>
      <c r="AP26" s="39"/>
      <c r="AQ26" s="38">
        <f>COUNTIFS(DataRegularSeason20242025!$E$2:$E$1315,WatchedGames20242025!$A25,DataRegularSeason20242025!$D$2:$D$1315,WatchedGames20242025!AQ$1,DataRegularSeason20242025!$N$2:$N$1315,1, DataRegularSeason20242025!$R$2:$R$1315,1)</f>
        <v>0</v>
      </c>
      <c r="AR26" s="39"/>
      <c r="AS26" s="38">
        <f>COUNTIFS(DataRegularSeason20242025!$E$2:$E$1315,WatchedGames20242025!$A25,DataRegularSeason20242025!$D$2:$D$1315,WatchedGames20242025!AS$1,DataRegularSeason20242025!$N$2:$N$1315,1, DataRegularSeason20242025!$R$2:$R$1315,1)</f>
        <v>0</v>
      </c>
      <c r="AT26" s="39"/>
      <c r="AU26" s="38">
        <f>COUNTIFS(DataRegularSeason20242025!$E$2:$E$1315,WatchedGames20242025!$A25,DataRegularSeason20242025!$D$2:$D$1315,WatchedGames20242025!AU$1,DataRegularSeason20242025!$N$2:$N$1315,1, DataRegularSeason20242025!$R$2:$R$1315,1)</f>
        <v>0</v>
      </c>
      <c r="AV26" s="39"/>
      <c r="AW26" s="38">
        <f>COUNTIFS(DataRegularSeason20242025!$E$2:$E$1315,WatchedGames20242025!$A25,DataRegularSeason20242025!$D$2:$D$1315,WatchedGames20242025!AW$1,DataRegularSeason20242025!$N$2:$N$1315,1, DataRegularSeason20242025!$R$2:$R$1315,1)</f>
        <v>0</v>
      </c>
      <c r="AX26" s="39"/>
      <c r="AY26" s="38">
        <f>COUNTIFS(DataRegularSeason20242025!$E$2:$E$1315,WatchedGames20242025!$A25,DataRegularSeason20242025!$D$2:$D$1315,WatchedGames20242025!AY$1,DataRegularSeason20242025!$N$2:$N$1315,1, DataRegularSeason20242025!$R$2:$R$1315,1)</f>
        <v>0</v>
      </c>
      <c r="AZ26" s="39"/>
      <c r="BA26" s="38">
        <f>COUNTIFS(DataRegularSeason20242025!$E$2:$E$1315,WatchedGames20242025!$A25,DataRegularSeason20242025!$D$2:$D$1315,WatchedGames20242025!BA$1,DataRegularSeason20242025!$N$2:$N$1315,1, DataRegularSeason20242025!$R$2:$R$1315,1)</f>
        <v>0</v>
      </c>
      <c r="BB26" s="39"/>
      <c r="BC26" s="38">
        <f>COUNTIFS(DataRegularSeason20242025!$E$2:$E$1315,WatchedGames20242025!$A25,DataRegularSeason20242025!$D$2:$D$1315,WatchedGames20242025!BC$1,DataRegularSeason20242025!$N$2:$N$1315,1, DataRegularSeason20242025!$R$2:$R$1315,1)</f>
        <v>0</v>
      </c>
      <c r="BD26" s="39"/>
      <c r="BE26" s="38">
        <f>COUNTIFS(DataRegularSeason20242025!$E$2:$E$1315,WatchedGames20242025!$A25,DataRegularSeason20242025!$D$2:$D$1315,WatchedGames20242025!BE$1,DataRegularSeason20242025!$N$2:$N$1315,1, DataRegularSeason20242025!$R$2:$R$1315,1)</f>
        <v>0</v>
      </c>
      <c r="BF26" s="39"/>
      <c r="BG26" s="38">
        <f>COUNTIFS(DataRegularSeason20242025!$E$2:$E$1315,WatchedGames20242025!$A25,DataRegularSeason20242025!$D$2:$D$1315,WatchedGames20242025!BG$1,DataRegularSeason20242025!$N$2:$N$1315,1, DataRegularSeason20242025!$R$2:$R$1315,1)</f>
        <v>0</v>
      </c>
      <c r="BH26" s="39"/>
      <c r="BI26" s="38">
        <f>COUNTIFS(DataRegularSeason20242025!$E$2:$E$1315,WatchedGames20242025!$A25,DataRegularSeason20242025!$D$2:$D$1315,WatchedGames20242025!BI$1,DataRegularSeason20242025!$N$2:$N$1315,1, DataRegularSeason20242025!$R$2:$R$1315,1)</f>
        <v>0</v>
      </c>
      <c r="BJ26" s="39"/>
      <c r="BK26" s="38">
        <f>COUNTIFS(DataRegularSeason20242025!$E$2:$E$1315,WatchedGames20242025!$A25,DataRegularSeason20242025!$D$2:$D$1315,WatchedGames20242025!BK$1,DataRegularSeason20242025!$N$2:$N$1315,1, DataRegularSeason20242025!$R$2:$R$1315,1)</f>
        <v>0</v>
      </c>
      <c r="BL26" s="39"/>
      <c r="BM26" s="38">
        <f>COUNTIFS(DataRegularSeason20242025!$E$2:$E$1315,WatchedGames20242025!$A25,DataRegularSeason20242025!$D$2:$D$1315,WatchedGames20242025!BM$1,DataRegularSeason20242025!$N$2:$N$1315,1, DataRegularSeason20242025!$R$2:$R$1315,1)</f>
        <v>0</v>
      </c>
      <c r="BN26" s="39"/>
      <c r="BO26" s="34">
        <f t="shared" si="1"/>
        <v>2</v>
      </c>
      <c r="BP26" s="165"/>
      <c r="BQ26" s="166"/>
      <c r="BR26" s="173"/>
    </row>
    <row r="27" spans="1:70" s="27" customFormat="1" ht="9.9499999999999993" customHeight="1" x14ac:dyDescent="0.2">
      <c r="A27" s="172" t="s">
        <v>27</v>
      </c>
      <c r="B27" s="28" t="s">
        <v>74</v>
      </c>
      <c r="C27" s="35"/>
      <c r="D27" s="28">
        <f>COUNTIFS(DataRegularSeason20242025!$E$2:$E$1315,WatchedGames20242025!C$1,DataRegularSeason20242025!$D$2:$D$1315,WatchedGames20242025!$A27,DataRegularSeason20242025!$N$2:$N$1315,1, DataRegularSeason20242025!$R$2:$R$1315,1)</f>
        <v>0</v>
      </c>
      <c r="E27" s="35"/>
      <c r="F27" s="28">
        <f>COUNTIFS(DataRegularSeason20242025!$E$2:$E$1315,WatchedGames20242025!E$1,DataRegularSeason20242025!$D$2:$D$1315,WatchedGames20242025!$A27,DataRegularSeason20242025!$N$2:$N$1315,1, DataRegularSeason20242025!$R$2:$R$1315,1)</f>
        <v>0</v>
      </c>
      <c r="G27" s="35"/>
      <c r="H27" s="28">
        <f>COUNTIFS(DataRegularSeason20242025!$E$2:$E$1315,WatchedGames20242025!G$1,DataRegularSeason20242025!$D$2:$D$1315,WatchedGames20242025!$A27,DataRegularSeason20242025!$N$2:$N$1315,1, DataRegularSeason20242025!$R$2:$R$1315,1)</f>
        <v>0</v>
      </c>
      <c r="I27" s="35"/>
      <c r="J27" s="28">
        <f>COUNTIFS(DataRegularSeason20242025!$E$2:$E$1315,WatchedGames20242025!I$1,DataRegularSeason20242025!$D$2:$D$1315,WatchedGames20242025!$A27,DataRegularSeason20242025!$N$2:$N$1315,1, DataRegularSeason20242025!$R$2:$R$1315,1)</f>
        <v>0</v>
      </c>
      <c r="K27" s="35"/>
      <c r="L27" s="28">
        <f>COUNTIFS(DataRegularSeason20242025!$E$2:$E$1315,WatchedGames20242025!K$1,DataRegularSeason20242025!$D$2:$D$1315,WatchedGames20242025!$A27,DataRegularSeason20242025!$N$2:$N$1315,1, DataRegularSeason20242025!$R$2:$R$1315,1)</f>
        <v>0</v>
      </c>
      <c r="M27" s="35"/>
      <c r="N27" s="28">
        <f>COUNTIFS(DataRegularSeason20242025!$E$2:$E$1315,WatchedGames20242025!M$1,DataRegularSeason20242025!$D$2:$D$1315,WatchedGames20242025!$A27,DataRegularSeason20242025!$N$2:$N$1315,1, DataRegularSeason20242025!$R$2:$R$1315,1)</f>
        <v>0</v>
      </c>
      <c r="O27" s="35"/>
      <c r="P27" s="28">
        <f>COUNTIFS(DataRegularSeason20242025!$E$2:$E$1315,WatchedGames20242025!O$1,DataRegularSeason20242025!$D$2:$D$1315,WatchedGames20242025!$A27,DataRegularSeason20242025!$N$2:$N$1315,1, DataRegularSeason20242025!$R$2:$R$1315,1)</f>
        <v>0</v>
      </c>
      <c r="Q27" s="35"/>
      <c r="R27" s="28">
        <f>COUNTIFS(DataRegularSeason20242025!$E$2:$E$1315,WatchedGames20242025!Q$1,DataRegularSeason20242025!$D$2:$D$1315,WatchedGames20242025!$A27,DataRegularSeason20242025!$N$2:$N$1315,1, DataRegularSeason20242025!$R$2:$R$1315,1)</f>
        <v>0</v>
      </c>
      <c r="S27" s="35"/>
      <c r="T27" s="28">
        <f>COUNTIFS(DataRegularSeason20242025!$E$2:$E$1315,WatchedGames20242025!S$1,DataRegularSeason20242025!$D$2:$D$1315,WatchedGames20242025!$A27,DataRegularSeason20242025!$N$2:$N$1315,1, DataRegularSeason20242025!$R$2:$R$1315,1)</f>
        <v>0</v>
      </c>
      <c r="U27" s="35"/>
      <c r="V27" s="28">
        <f>COUNTIFS(DataRegularSeason20242025!$E$2:$E$1315,WatchedGames20242025!U$1,DataRegularSeason20242025!$D$2:$D$1315,WatchedGames20242025!$A27,DataRegularSeason20242025!$N$2:$N$1315,1, DataRegularSeason20242025!$R$2:$R$1315,1)</f>
        <v>0</v>
      </c>
      <c r="W27" s="35"/>
      <c r="X27" s="28">
        <f>COUNTIFS(DataRegularSeason20242025!$E$2:$E$1315,WatchedGames20242025!W$1,DataRegularSeason20242025!$D$2:$D$1315,WatchedGames20242025!$A27,DataRegularSeason20242025!$N$2:$N$1315,1, DataRegularSeason20242025!$R$2:$R$1315,1)</f>
        <v>0</v>
      </c>
      <c r="Y27" s="35"/>
      <c r="Z27" s="28">
        <f>COUNTIFS(DataRegularSeason20242025!$E$2:$E$1315,WatchedGames20242025!Y$1,DataRegularSeason20242025!$D$2:$D$1315,WatchedGames20242025!$A27,DataRegularSeason20242025!$N$2:$N$1315,1, DataRegularSeason20242025!$R$2:$R$1315,1)</f>
        <v>0</v>
      </c>
      <c r="AA27" s="35"/>
      <c r="AB27" s="36"/>
      <c r="AC27" s="35"/>
      <c r="AD27" s="28">
        <f>COUNTIFS(DataRegularSeason20242025!$E$2:$E$1315,WatchedGames20242025!AC$1,DataRegularSeason20242025!$D$2:$D$1315,WatchedGames20242025!$A27,DataRegularSeason20242025!$N$2:$N$1315,1, DataRegularSeason20242025!$R$2:$R$1315,1)</f>
        <v>0</v>
      </c>
      <c r="AE27" s="35"/>
      <c r="AF27" s="28">
        <f>COUNTIFS(DataRegularSeason20242025!$E$2:$E$1315,WatchedGames20242025!AE$1,DataRegularSeason20242025!$D$2:$D$1315,WatchedGames20242025!$A27,DataRegularSeason20242025!$N$2:$N$1315,1, DataRegularSeason20242025!$R$2:$R$1315,1)</f>
        <v>0</v>
      </c>
      <c r="AG27" s="35"/>
      <c r="AH27" s="28">
        <f>COUNTIFS(DataRegularSeason20242025!$E$2:$E$1315,WatchedGames20242025!AG$1,DataRegularSeason20242025!$D$2:$D$1315,WatchedGames20242025!$A27,DataRegularSeason20242025!$N$2:$N$1315,1, DataRegularSeason20242025!$R$2:$R$1315,1)</f>
        <v>0</v>
      </c>
      <c r="AI27" s="35"/>
      <c r="AJ27" s="28">
        <f>COUNTIFS(DataRegularSeason20242025!$E$2:$E$1315,WatchedGames20242025!AI$1,DataRegularSeason20242025!$D$2:$D$1315,WatchedGames20242025!$A27,DataRegularSeason20242025!$N$2:$N$1315,1, DataRegularSeason20242025!$R$2:$R$1315,1)</f>
        <v>0</v>
      </c>
      <c r="AK27" s="35"/>
      <c r="AL27" s="28">
        <f>COUNTIFS(DataRegularSeason20242025!$E$2:$E$1315,WatchedGames20242025!AK$1,DataRegularSeason20242025!$D$2:$D$1315,WatchedGames20242025!$A27,DataRegularSeason20242025!$N$2:$N$1315,1, DataRegularSeason20242025!$R$2:$R$1315,1)</f>
        <v>0</v>
      </c>
      <c r="AM27" s="35"/>
      <c r="AN27" s="28">
        <f>COUNTIFS(DataRegularSeason20242025!$E$2:$E$1315,WatchedGames20242025!AM$1,DataRegularSeason20242025!$D$2:$D$1315,WatchedGames20242025!$A27,DataRegularSeason20242025!$N$2:$N$1315,1, DataRegularSeason20242025!$R$2:$R$1315,1)</f>
        <v>0</v>
      </c>
      <c r="AO27" s="35"/>
      <c r="AP27" s="28">
        <f>COUNTIFS(DataRegularSeason20242025!$E$2:$E$1315,WatchedGames20242025!AO$1,DataRegularSeason20242025!$D$2:$D$1315,WatchedGames20242025!$A27,DataRegularSeason20242025!$N$2:$N$1315,1, DataRegularSeason20242025!$R$2:$R$1315,1)</f>
        <v>0</v>
      </c>
      <c r="AQ27" s="35"/>
      <c r="AR27" s="28">
        <f>COUNTIFS(DataRegularSeason20242025!$E$2:$E$1315,WatchedGames20242025!AQ$1,DataRegularSeason20242025!$D$2:$D$1315,WatchedGames20242025!$A27,DataRegularSeason20242025!$N$2:$N$1315,1, DataRegularSeason20242025!$R$2:$R$1315,1)</f>
        <v>0</v>
      </c>
      <c r="AS27" s="35"/>
      <c r="AT27" s="28">
        <f>COUNTIFS(DataRegularSeason20242025!$E$2:$E$1315,WatchedGames20242025!AS$1,DataRegularSeason20242025!$D$2:$D$1315,WatchedGames20242025!$A27,DataRegularSeason20242025!$N$2:$N$1315,1, DataRegularSeason20242025!$R$2:$R$1315,1)</f>
        <v>0</v>
      </c>
      <c r="AU27" s="35"/>
      <c r="AV27" s="28">
        <f>COUNTIFS(DataRegularSeason20242025!$E$2:$E$1315,WatchedGames20242025!AU$1,DataRegularSeason20242025!$D$2:$D$1315,WatchedGames20242025!$A27,DataRegularSeason20242025!$N$2:$N$1315,1, DataRegularSeason20242025!$R$2:$R$1315,1)</f>
        <v>0</v>
      </c>
      <c r="AW27" s="35"/>
      <c r="AX27" s="28">
        <f>COUNTIFS(DataRegularSeason20242025!$E$2:$E$1315,WatchedGames20242025!AW$1,DataRegularSeason20242025!$D$2:$D$1315,WatchedGames20242025!$A27,DataRegularSeason20242025!$N$2:$N$1315,1, DataRegularSeason20242025!$R$2:$R$1315,1)</f>
        <v>0</v>
      </c>
      <c r="AY27" s="35"/>
      <c r="AZ27" s="28">
        <f>COUNTIFS(DataRegularSeason20242025!$E$2:$E$1315,WatchedGames20242025!AY$1,DataRegularSeason20242025!$D$2:$D$1315,WatchedGames20242025!$A27,DataRegularSeason20242025!$N$2:$N$1315,1, DataRegularSeason20242025!$R$2:$R$1315,1)</f>
        <v>0</v>
      </c>
      <c r="BA27" s="35"/>
      <c r="BB27" s="28">
        <f>COUNTIFS(DataRegularSeason20242025!$E$2:$E$1315,WatchedGames20242025!BA$1,DataRegularSeason20242025!$D$2:$D$1315,WatchedGames20242025!$A27,DataRegularSeason20242025!$N$2:$N$1315,1, DataRegularSeason20242025!$R$2:$R$1315,1)</f>
        <v>0</v>
      </c>
      <c r="BC27" s="35"/>
      <c r="BD27" s="28">
        <f>COUNTIFS(DataRegularSeason20242025!$E$2:$E$1315,WatchedGames20242025!BC$1,DataRegularSeason20242025!$D$2:$D$1315,WatchedGames20242025!$A27,DataRegularSeason20242025!$N$2:$N$1315,1, DataRegularSeason20242025!$R$2:$R$1315,1)</f>
        <v>0</v>
      </c>
      <c r="BE27" s="35"/>
      <c r="BF27" s="28">
        <f>COUNTIFS(DataRegularSeason20242025!$E$2:$E$1315,WatchedGames20242025!BE$1,DataRegularSeason20242025!$D$2:$D$1315,WatchedGames20242025!$A27,DataRegularSeason20242025!$N$2:$N$1315,1, DataRegularSeason20242025!$R$2:$R$1315,1)</f>
        <v>0</v>
      </c>
      <c r="BG27" s="35"/>
      <c r="BH27" s="28">
        <f>COUNTIFS(DataRegularSeason20242025!$E$2:$E$1315,WatchedGames20242025!BG$1,DataRegularSeason20242025!$D$2:$D$1315,WatchedGames20242025!$A27,DataRegularSeason20242025!$N$2:$N$1315,1, DataRegularSeason20242025!$R$2:$R$1315,1)</f>
        <v>0</v>
      </c>
      <c r="BI27" s="35"/>
      <c r="BJ27" s="28">
        <f>COUNTIFS(DataRegularSeason20242025!$E$2:$E$1315,WatchedGames20242025!BI$1,DataRegularSeason20242025!$D$2:$D$1315,WatchedGames20242025!$A27,DataRegularSeason20242025!$N$2:$N$1315,1, DataRegularSeason20242025!$R$2:$R$1315,1)</f>
        <v>0</v>
      </c>
      <c r="BK27" s="35"/>
      <c r="BL27" s="28">
        <f>COUNTIFS(DataRegularSeason20242025!$E$2:$E$1315,WatchedGames20242025!BK$1,DataRegularSeason20242025!$D$2:$D$1315,WatchedGames20242025!$A27,DataRegularSeason20242025!$N$2:$N$1315,1, DataRegularSeason20242025!$R$2:$R$1315,1)</f>
        <v>1</v>
      </c>
      <c r="BM27" s="35"/>
      <c r="BN27" s="28">
        <f>COUNTIFS(DataRegularSeason20242025!$E$2:$E$1315,WatchedGames20242025!BM$1,DataRegularSeason20242025!$D$2:$D$1315,WatchedGames20242025!$A27,DataRegularSeason20242025!$N$2:$N$1315,1, DataRegularSeason20242025!$R$2:$R$1315,1)</f>
        <v>0</v>
      </c>
      <c r="BO27" s="30">
        <f t="shared" si="1"/>
        <v>1</v>
      </c>
      <c r="BP27" s="165">
        <f t="shared" ref="BP27" si="24">BO27+BO28</f>
        <v>3</v>
      </c>
      <c r="BQ27" s="166">
        <f t="shared" ref="BQ27" si="25">82-BP27</f>
        <v>79</v>
      </c>
      <c r="BR27" s="173">
        <f t="shared" si="0"/>
        <v>3.6585365853658534E-2</v>
      </c>
    </row>
    <row r="28" spans="1:70" s="27" customFormat="1" ht="9.9499999999999993" customHeight="1" x14ac:dyDescent="0.2">
      <c r="A28" s="167"/>
      <c r="B28" s="32" t="s">
        <v>73</v>
      </c>
      <c r="C28" s="38">
        <f>COUNTIFS(DataRegularSeason20242025!$E$2:$E$1315,WatchedGames20242025!$A27,DataRegularSeason20242025!$D$2:$D$1315,WatchedGames20242025!C$1,DataRegularSeason20242025!$N$2:$N$1315,1, DataRegularSeason20242025!$R$2:$R$1315,1)</f>
        <v>0</v>
      </c>
      <c r="D28" s="39"/>
      <c r="E28" s="38">
        <f>COUNTIFS(DataRegularSeason20242025!$E$2:$E$1315,WatchedGames20242025!$A27,DataRegularSeason20242025!$D$2:$D$1315,WatchedGames20242025!E$1,DataRegularSeason20242025!$N$2:$N$1315,1, DataRegularSeason20242025!$R$2:$R$1315,1)</f>
        <v>0</v>
      </c>
      <c r="F28" s="39"/>
      <c r="G28" s="38">
        <f>COUNTIFS(DataRegularSeason20242025!$E$2:$E$1315,WatchedGames20242025!$A27,DataRegularSeason20242025!$D$2:$D$1315,WatchedGames20242025!G$1,DataRegularSeason20242025!$N$2:$N$1315,1, DataRegularSeason20242025!$R$2:$R$1315,1)</f>
        <v>0</v>
      </c>
      <c r="H28" s="39"/>
      <c r="I28" s="38">
        <f>COUNTIFS(DataRegularSeason20242025!$E$2:$E$1315,WatchedGames20242025!$A27,DataRegularSeason20242025!$D$2:$D$1315,WatchedGames20242025!I$1,DataRegularSeason20242025!$N$2:$N$1315,1, DataRegularSeason20242025!$R$2:$R$1315,1)</f>
        <v>1</v>
      </c>
      <c r="J28" s="39"/>
      <c r="K28" s="38">
        <f>COUNTIFS(DataRegularSeason20242025!$E$2:$E$1315,WatchedGames20242025!$A27,DataRegularSeason20242025!$D$2:$D$1315,WatchedGames20242025!K$1,DataRegularSeason20242025!$N$2:$N$1315,1, DataRegularSeason20242025!$R$2:$R$1315,1)</f>
        <v>0</v>
      </c>
      <c r="L28" s="39"/>
      <c r="M28" s="38">
        <f>COUNTIFS(DataRegularSeason20242025!$E$2:$E$1315,WatchedGames20242025!$A27,DataRegularSeason20242025!$D$2:$D$1315,WatchedGames20242025!M$1,DataRegularSeason20242025!$N$2:$N$1315,1, DataRegularSeason20242025!$R$2:$R$1315,1)</f>
        <v>0</v>
      </c>
      <c r="N28" s="39"/>
      <c r="O28" s="38">
        <f>COUNTIFS(DataRegularSeason20242025!$E$2:$E$1315,WatchedGames20242025!$A27,DataRegularSeason20242025!$D$2:$D$1315,WatchedGames20242025!O$1,DataRegularSeason20242025!$N$2:$N$1315,1, DataRegularSeason20242025!$R$2:$R$1315,1)</f>
        <v>0</v>
      </c>
      <c r="P28" s="39"/>
      <c r="Q28" s="38">
        <f>COUNTIFS(DataRegularSeason20242025!$E$2:$E$1315,WatchedGames20242025!$A27,DataRegularSeason20242025!$D$2:$D$1315,WatchedGames20242025!Q$1,DataRegularSeason20242025!$N$2:$N$1315,1, DataRegularSeason20242025!$R$2:$R$1315,1)</f>
        <v>1</v>
      </c>
      <c r="R28" s="39"/>
      <c r="S28" s="38">
        <f>COUNTIFS(DataRegularSeason20242025!$E$2:$E$1315,WatchedGames20242025!$A27,DataRegularSeason20242025!$D$2:$D$1315,WatchedGames20242025!S$1,DataRegularSeason20242025!$N$2:$N$1315,1, DataRegularSeason20242025!$R$2:$R$1315,1)</f>
        <v>0</v>
      </c>
      <c r="T28" s="39"/>
      <c r="U28" s="38">
        <f>COUNTIFS(DataRegularSeason20242025!$E$2:$E$1315,WatchedGames20242025!$A27,DataRegularSeason20242025!$D$2:$D$1315,WatchedGames20242025!U$1,DataRegularSeason20242025!$N$2:$N$1315,1, DataRegularSeason20242025!$R$2:$R$1315,1)</f>
        <v>0</v>
      </c>
      <c r="V28" s="39"/>
      <c r="W28" s="38">
        <f>COUNTIFS(DataRegularSeason20242025!$E$2:$E$1315,WatchedGames20242025!$A27,DataRegularSeason20242025!$D$2:$D$1315,WatchedGames20242025!W$1,DataRegularSeason20242025!$N$2:$N$1315,1, DataRegularSeason20242025!$R$2:$R$1315,1)</f>
        <v>0</v>
      </c>
      <c r="X28" s="39"/>
      <c r="Y28" s="38">
        <f>COUNTIFS(DataRegularSeason20242025!$E$2:$E$1315,WatchedGames20242025!$A27,DataRegularSeason20242025!$D$2:$D$1315,WatchedGames20242025!Y$1,DataRegularSeason20242025!$N$2:$N$1315,1, DataRegularSeason20242025!$R$2:$R$1315,1)</f>
        <v>0</v>
      </c>
      <c r="Z28" s="39"/>
      <c r="AA28" s="38"/>
      <c r="AB28" s="39"/>
      <c r="AC28" s="38">
        <f>COUNTIFS(DataRegularSeason20242025!$E$2:$E$1315,WatchedGames20242025!$A27,DataRegularSeason20242025!$D$2:$D$1315,WatchedGames20242025!AC$1,DataRegularSeason20242025!$N$2:$N$1315,1, DataRegularSeason20242025!$R$2:$R$1315,1)</f>
        <v>0</v>
      </c>
      <c r="AD28" s="39"/>
      <c r="AE28" s="38">
        <f>COUNTIFS(DataRegularSeason20242025!$E$2:$E$1315,WatchedGames20242025!$A27,DataRegularSeason20242025!$D$2:$D$1315,WatchedGames20242025!AE$1,DataRegularSeason20242025!$N$2:$N$1315,1, DataRegularSeason20242025!$R$2:$R$1315,1)</f>
        <v>0</v>
      </c>
      <c r="AF28" s="39"/>
      <c r="AG28" s="38">
        <f>COUNTIFS(DataRegularSeason20242025!$E$2:$E$1315,WatchedGames20242025!$A27,DataRegularSeason20242025!$D$2:$D$1315,WatchedGames20242025!AG$1,DataRegularSeason20242025!$N$2:$N$1315,1, DataRegularSeason20242025!$R$2:$R$1315,1)</f>
        <v>0</v>
      </c>
      <c r="AH28" s="39"/>
      <c r="AI28" s="38">
        <f>COUNTIFS(DataRegularSeason20242025!$E$2:$E$1315,WatchedGames20242025!$A27,DataRegularSeason20242025!$D$2:$D$1315,WatchedGames20242025!AI$1,DataRegularSeason20242025!$N$2:$N$1315,1, DataRegularSeason20242025!$R$2:$R$1315,1)</f>
        <v>0</v>
      </c>
      <c r="AJ28" s="39"/>
      <c r="AK28" s="38">
        <f>COUNTIFS(DataRegularSeason20242025!$E$2:$E$1315,WatchedGames20242025!$A27,DataRegularSeason20242025!$D$2:$D$1315,WatchedGames20242025!AK$1,DataRegularSeason20242025!$N$2:$N$1315,1, DataRegularSeason20242025!$R$2:$R$1315,1)</f>
        <v>0</v>
      </c>
      <c r="AL28" s="39"/>
      <c r="AM28" s="38">
        <f>COUNTIFS(DataRegularSeason20242025!$E$2:$E$1315,WatchedGames20242025!$A27,DataRegularSeason20242025!$D$2:$D$1315,WatchedGames20242025!AM$1,DataRegularSeason20242025!$N$2:$N$1315,1, DataRegularSeason20242025!$R$2:$R$1315,1)</f>
        <v>0</v>
      </c>
      <c r="AN28" s="39"/>
      <c r="AO28" s="38">
        <f>COUNTIFS(DataRegularSeason20242025!$E$2:$E$1315,WatchedGames20242025!$A27,DataRegularSeason20242025!$D$2:$D$1315,WatchedGames20242025!AO$1,DataRegularSeason20242025!$N$2:$N$1315,1, DataRegularSeason20242025!$R$2:$R$1315,1)</f>
        <v>0</v>
      </c>
      <c r="AP28" s="39"/>
      <c r="AQ28" s="38">
        <f>COUNTIFS(DataRegularSeason20242025!$E$2:$E$1315,WatchedGames20242025!$A27,DataRegularSeason20242025!$D$2:$D$1315,WatchedGames20242025!AQ$1,DataRegularSeason20242025!$N$2:$N$1315,1, DataRegularSeason20242025!$R$2:$R$1315,1)</f>
        <v>0</v>
      </c>
      <c r="AR28" s="39"/>
      <c r="AS28" s="38">
        <f>COUNTIFS(DataRegularSeason20242025!$E$2:$E$1315,WatchedGames20242025!$A27,DataRegularSeason20242025!$D$2:$D$1315,WatchedGames20242025!AS$1,DataRegularSeason20242025!$N$2:$N$1315,1, DataRegularSeason20242025!$R$2:$R$1315,1)</f>
        <v>0</v>
      </c>
      <c r="AT28" s="39"/>
      <c r="AU28" s="38">
        <f>COUNTIFS(DataRegularSeason20242025!$E$2:$E$1315,WatchedGames20242025!$A27,DataRegularSeason20242025!$D$2:$D$1315,WatchedGames20242025!AU$1,DataRegularSeason20242025!$N$2:$N$1315,1, DataRegularSeason20242025!$R$2:$R$1315,1)</f>
        <v>0</v>
      </c>
      <c r="AV28" s="39"/>
      <c r="AW28" s="38">
        <f>COUNTIFS(DataRegularSeason20242025!$E$2:$E$1315,WatchedGames20242025!$A27,DataRegularSeason20242025!$D$2:$D$1315,WatchedGames20242025!AW$1,DataRegularSeason20242025!$N$2:$N$1315,1, DataRegularSeason20242025!$R$2:$R$1315,1)</f>
        <v>0</v>
      </c>
      <c r="AX28" s="39"/>
      <c r="AY28" s="38">
        <f>COUNTIFS(DataRegularSeason20242025!$E$2:$E$1315,WatchedGames20242025!$A27,DataRegularSeason20242025!$D$2:$D$1315,WatchedGames20242025!AY$1,DataRegularSeason20242025!$N$2:$N$1315,1, DataRegularSeason20242025!$R$2:$R$1315,1)</f>
        <v>0</v>
      </c>
      <c r="AZ28" s="39"/>
      <c r="BA28" s="38">
        <f>COUNTIFS(DataRegularSeason20242025!$E$2:$E$1315,WatchedGames20242025!$A27,DataRegularSeason20242025!$D$2:$D$1315,WatchedGames20242025!BA$1,DataRegularSeason20242025!$N$2:$N$1315,1, DataRegularSeason20242025!$R$2:$R$1315,1)</f>
        <v>0</v>
      </c>
      <c r="BB28" s="39"/>
      <c r="BC28" s="38">
        <f>COUNTIFS(DataRegularSeason20242025!$E$2:$E$1315,WatchedGames20242025!$A27,DataRegularSeason20242025!$D$2:$D$1315,WatchedGames20242025!BC$1,DataRegularSeason20242025!$N$2:$N$1315,1, DataRegularSeason20242025!$R$2:$R$1315,1)</f>
        <v>0</v>
      </c>
      <c r="BD28" s="39"/>
      <c r="BE28" s="38">
        <f>COUNTIFS(DataRegularSeason20242025!$E$2:$E$1315,WatchedGames20242025!$A27,DataRegularSeason20242025!$D$2:$D$1315,WatchedGames20242025!BE$1,DataRegularSeason20242025!$N$2:$N$1315,1, DataRegularSeason20242025!$R$2:$R$1315,1)</f>
        <v>0</v>
      </c>
      <c r="BF28" s="39"/>
      <c r="BG28" s="38">
        <f>COUNTIFS(DataRegularSeason20242025!$E$2:$E$1315,WatchedGames20242025!$A27,DataRegularSeason20242025!$D$2:$D$1315,WatchedGames20242025!BG$1,DataRegularSeason20242025!$N$2:$N$1315,1, DataRegularSeason20242025!$R$2:$R$1315,1)</f>
        <v>0</v>
      </c>
      <c r="BH28" s="39"/>
      <c r="BI28" s="38">
        <f>COUNTIFS(DataRegularSeason20242025!$E$2:$E$1315,WatchedGames20242025!$A27,DataRegularSeason20242025!$D$2:$D$1315,WatchedGames20242025!BI$1,DataRegularSeason20242025!$N$2:$N$1315,1, DataRegularSeason20242025!$R$2:$R$1315,1)</f>
        <v>0</v>
      </c>
      <c r="BJ28" s="39"/>
      <c r="BK28" s="38">
        <f>COUNTIFS(DataRegularSeason20242025!$E$2:$E$1315,WatchedGames20242025!$A27,DataRegularSeason20242025!$D$2:$D$1315,WatchedGames20242025!BK$1,DataRegularSeason20242025!$N$2:$N$1315,1, DataRegularSeason20242025!$R$2:$R$1315,1)</f>
        <v>0</v>
      </c>
      <c r="BL28" s="39"/>
      <c r="BM28" s="38">
        <f>COUNTIFS(DataRegularSeason20242025!$E$2:$E$1315,WatchedGames20242025!$A27,DataRegularSeason20242025!$D$2:$D$1315,WatchedGames20242025!BM$1,DataRegularSeason20242025!$N$2:$N$1315,1, DataRegularSeason20242025!$R$2:$R$1315,1)</f>
        <v>0</v>
      </c>
      <c r="BN28" s="39"/>
      <c r="BO28" s="34">
        <f t="shared" si="1"/>
        <v>2</v>
      </c>
      <c r="BP28" s="165"/>
      <c r="BQ28" s="166"/>
      <c r="BR28" s="173"/>
    </row>
    <row r="29" spans="1:70" s="27" customFormat="1" ht="9.9499999999999993" customHeight="1" x14ac:dyDescent="0.2">
      <c r="A29" s="172" t="s">
        <v>36</v>
      </c>
      <c r="B29" s="28" t="s">
        <v>74</v>
      </c>
      <c r="C29" s="35"/>
      <c r="D29" s="28">
        <f>COUNTIFS(DataRegularSeason20242025!$E$2:$E$1315,WatchedGames20242025!C$1,DataRegularSeason20242025!$D$2:$D$1315,WatchedGames20242025!$A29,DataRegularSeason20242025!$N$2:$N$1315,1, DataRegularSeason20242025!$R$2:$R$1315,1)</f>
        <v>0</v>
      </c>
      <c r="E29" s="35"/>
      <c r="F29" s="28">
        <f>COUNTIFS(DataRegularSeason20242025!$E$2:$E$1315,WatchedGames20242025!E$1,DataRegularSeason20242025!$D$2:$D$1315,WatchedGames20242025!$A29,DataRegularSeason20242025!$N$2:$N$1315,1, DataRegularSeason20242025!$R$2:$R$1315,1)</f>
        <v>0</v>
      </c>
      <c r="G29" s="35"/>
      <c r="H29" s="28">
        <f>COUNTIFS(DataRegularSeason20242025!$E$2:$E$1315,WatchedGames20242025!G$1,DataRegularSeason20242025!$D$2:$D$1315,WatchedGames20242025!$A29,DataRegularSeason20242025!$N$2:$N$1315,1, DataRegularSeason20242025!$R$2:$R$1315,1)</f>
        <v>0</v>
      </c>
      <c r="I29" s="35"/>
      <c r="J29" s="28">
        <f>COUNTIFS(DataRegularSeason20242025!$E$2:$E$1315,WatchedGames20242025!I$1,DataRegularSeason20242025!$D$2:$D$1315,WatchedGames20242025!$A29,DataRegularSeason20242025!$N$2:$N$1315,1, DataRegularSeason20242025!$R$2:$R$1315,1)</f>
        <v>0</v>
      </c>
      <c r="K29" s="35"/>
      <c r="L29" s="28">
        <f>COUNTIFS(DataRegularSeason20242025!$E$2:$E$1315,WatchedGames20242025!K$1,DataRegularSeason20242025!$D$2:$D$1315,WatchedGames20242025!$A29,DataRegularSeason20242025!$N$2:$N$1315,1, DataRegularSeason20242025!$R$2:$R$1315,1)</f>
        <v>0</v>
      </c>
      <c r="M29" s="35"/>
      <c r="N29" s="28">
        <f>COUNTIFS(DataRegularSeason20242025!$E$2:$E$1315,WatchedGames20242025!M$1,DataRegularSeason20242025!$D$2:$D$1315,WatchedGames20242025!$A29,DataRegularSeason20242025!$N$2:$N$1315,1, DataRegularSeason20242025!$R$2:$R$1315,1)</f>
        <v>0</v>
      </c>
      <c r="O29" s="35"/>
      <c r="P29" s="28">
        <f>COUNTIFS(DataRegularSeason20242025!$E$2:$E$1315,WatchedGames20242025!O$1,DataRegularSeason20242025!$D$2:$D$1315,WatchedGames20242025!$A29,DataRegularSeason20242025!$N$2:$N$1315,1, DataRegularSeason20242025!$R$2:$R$1315,1)</f>
        <v>0</v>
      </c>
      <c r="Q29" s="35"/>
      <c r="R29" s="28">
        <f>COUNTIFS(DataRegularSeason20242025!$E$2:$E$1315,WatchedGames20242025!Q$1,DataRegularSeason20242025!$D$2:$D$1315,WatchedGames20242025!$A29,DataRegularSeason20242025!$N$2:$N$1315,1, DataRegularSeason20242025!$R$2:$R$1315,1)</f>
        <v>0</v>
      </c>
      <c r="S29" s="35"/>
      <c r="T29" s="28">
        <f>COUNTIFS(DataRegularSeason20242025!$E$2:$E$1315,WatchedGames20242025!S$1,DataRegularSeason20242025!$D$2:$D$1315,WatchedGames20242025!$A29,DataRegularSeason20242025!$N$2:$N$1315,1, DataRegularSeason20242025!$R$2:$R$1315,1)</f>
        <v>0</v>
      </c>
      <c r="U29" s="35"/>
      <c r="V29" s="28">
        <f>COUNTIFS(DataRegularSeason20242025!$E$2:$E$1315,WatchedGames20242025!U$1,DataRegularSeason20242025!$D$2:$D$1315,WatchedGames20242025!$A29,DataRegularSeason20242025!$N$2:$N$1315,1, DataRegularSeason20242025!$R$2:$R$1315,1)</f>
        <v>0</v>
      </c>
      <c r="W29" s="35"/>
      <c r="X29" s="28">
        <f>COUNTIFS(DataRegularSeason20242025!$E$2:$E$1315,WatchedGames20242025!W$1,DataRegularSeason20242025!$D$2:$D$1315,WatchedGames20242025!$A29,DataRegularSeason20242025!$N$2:$N$1315,1, DataRegularSeason20242025!$R$2:$R$1315,1)</f>
        <v>0</v>
      </c>
      <c r="Y29" s="35"/>
      <c r="Z29" s="28">
        <f>COUNTIFS(DataRegularSeason20242025!$E$2:$E$1315,WatchedGames20242025!Y$1,DataRegularSeason20242025!$D$2:$D$1315,WatchedGames20242025!$A29,DataRegularSeason20242025!$N$2:$N$1315,1, DataRegularSeason20242025!$R$2:$R$1315,1)</f>
        <v>0</v>
      </c>
      <c r="AA29" s="35"/>
      <c r="AB29" s="28">
        <f>COUNTIFS(DataRegularSeason20242025!$E$2:$E$1315,WatchedGames20242025!AA$1,DataRegularSeason20242025!$D$2:$D$1315,WatchedGames20242025!$A29,DataRegularSeason20242025!$N$2:$N$1315,1, DataRegularSeason20242025!$R$2:$R$1315,1)</f>
        <v>0</v>
      </c>
      <c r="AC29" s="35"/>
      <c r="AD29" s="36"/>
      <c r="AE29" s="35"/>
      <c r="AF29" s="28">
        <f>COUNTIFS(DataRegularSeason20242025!$E$2:$E$1315,WatchedGames20242025!AE$1,DataRegularSeason20242025!$D$2:$D$1315,WatchedGames20242025!$A29,DataRegularSeason20242025!$N$2:$N$1315,1, DataRegularSeason20242025!$R$2:$R$1315,1)</f>
        <v>0</v>
      </c>
      <c r="AG29" s="35"/>
      <c r="AH29" s="28">
        <f>COUNTIFS(DataRegularSeason20242025!$E$2:$E$1315,WatchedGames20242025!AG$1,DataRegularSeason20242025!$D$2:$D$1315,WatchedGames20242025!$A29,DataRegularSeason20242025!$N$2:$N$1315,1, DataRegularSeason20242025!$R$2:$R$1315,1)</f>
        <v>0</v>
      </c>
      <c r="AI29" s="35"/>
      <c r="AJ29" s="28">
        <f>COUNTIFS(DataRegularSeason20242025!$E$2:$E$1315,WatchedGames20242025!AI$1,DataRegularSeason20242025!$D$2:$D$1315,WatchedGames20242025!$A29,DataRegularSeason20242025!$N$2:$N$1315,1, DataRegularSeason20242025!$R$2:$R$1315,1)</f>
        <v>0</v>
      </c>
      <c r="AK29" s="35"/>
      <c r="AL29" s="28">
        <f>COUNTIFS(DataRegularSeason20242025!$E$2:$E$1315,WatchedGames20242025!AK$1,DataRegularSeason20242025!$D$2:$D$1315,WatchedGames20242025!$A29,DataRegularSeason20242025!$N$2:$N$1315,1, DataRegularSeason20242025!$R$2:$R$1315,1)</f>
        <v>0</v>
      </c>
      <c r="AM29" s="35"/>
      <c r="AN29" s="28">
        <f>COUNTIFS(DataRegularSeason20242025!$E$2:$E$1315,WatchedGames20242025!AM$1,DataRegularSeason20242025!$D$2:$D$1315,WatchedGames20242025!$A29,DataRegularSeason20242025!$N$2:$N$1315,1, DataRegularSeason20242025!$R$2:$R$1315,1)</f>
        <v>1</v>
      </c>
      <c r="AO29" s="35"/>
      <c r="AP29" s="28">
        <f>COUNTIFS(DataRegularSeason20242025!$E$2:$E$1315,WatchedGames20242025!AO$1,DataRegularSeason20242025!$D$2:$D$1315,WatchedGames20242025!$A29,DataRegularSeason20242025!$N$2:$N$1315,1, DataRegularSeason20242025!$R$2:$R$1315,1)</f>
        <v>0</v>
      </c>
      <c r="AQ29" s="35"/>
      <c r="AR29" s="28">
        <f>COUNTIFS(DataRegularSeason20242025!$E$2:$E$1315,WatchedGames20242025!AQ$1,DataRegularSeason20242025!$D$2:$D$1315,WatchedGames20242025!$A29,DataRegularSeason20242025!$N$2:$N$1315,1, DataRegularSeason20242025!$R$2:$R$1315,1)</f>
        <v>1</v>
      </c>
      <c r="AS29" s="35"/>
      <c r="AT29" s="28">
        <f>COUNTIFS(DataRegularSeason20242025!$E$2:$E$1315,WatchedGames20242025!AS$1,DataRegularSeason20242025!$D$2:$D$1315,WatchedGames20242025!$A29,DataRegularSeason20242025!$N$2:$N$1315,1, DataRegularSeason20242025!$R$2:$R$1315,1)</f>
        <v>0</v>
      </c>
      <c r="AU29" s="35"/>
      <c r="AV29" s="28">
        <f>COUNTIFS(DataRegularSeason20242025!$E$2:$E$1315,WatchedGames20242025!AU$1,DataRegularSeason20242025!$D$2:$D$1315,WatchedGames20242025!$A29,DataRegularSeason20242025!$N$2:$N$1315,1, DataRegularSeason20242025!$R$2:$R$1315,1)</f>
        <v>0</v>
      </c>
      <c r="AW29" s="35"/>
      <c r="AX29" s="28">
        <f>COUNTIFS(DataRegularSeason20242025!$E$2:$E$1315,WatchedGames20242025!AW$1,DataRegularSeason20242025!$D$2:$D$1315,WatchedGames20242025!$A29,DataRegularSeason20242025!$N$2:$N$1315,1, DataRegularSeason20242025!$R$2:$R$1315,1)</f>
        <v>0</v>
      </c>
      <c r="AY29" s="35"/>
      <c r="AZ29" s="28">
        <f>COUNTIFS(DataRegularSeason20242025!$E$2:$E$1315,WatchedGames20242025!AY$1,DataRegularSeason20242025!$D$2:$D$1315,WatchedGames20242025!$A29,DataRegularSeason20242025!$N$2:$N$1315,1, DataRegularSeason20242025!$R$2:$R$1315,1)</f>
        <v>1</v>
      </c>
      <c r="BA29" s="35"/>
      <c r="BB29" s="28">
        <f>COUNTIFS(DataRegularSeason20242025!$E$2:$E$1315,WatchedGames20242025!BA$1,DataRegularSeason20242025!$D$2:$D$1315,WatchedGames20242025!$A29,DataRegularSeason20242025!$N$2:$N$1315,1, DataRegularSeason20242025!$R$2:$R$1315,1)</f>
        <v>0</v>
      </c>
      <c r="BC29" s="35"/>
      <c r="BD29" s="28">
        <f>COUNTIFS(DataRegularSeason20242025!$E$2:$E$1315,WatchedGames20242025!BC$1,DataRegularSeason20242025!$D$2:$D$1315,WatchedGames20242025!$A29,DataRegularSeason20242025!$N$2:$N$1315,1, DataRegularSeason20242025!$R$2:$R$1315,1)</f>
        <v>0</v>
      </c>
      <c r="BE29" s="35"/>
      <c r="BF29" s="28">
        <f>COUNTIFS(DataRegularSeason20242025!$E$2:$E$1315,WatchedGames20242025!BE$1,DataRegularSeason20242025!$D$2:$D$1315,WatchedGames20242025!$A29,DataRegularSeason20242025!$N$2:$N$1315,1, DataRegularSeason20242025!$R$2:$R$1315,1)</f>
        <v>0</v>
      </c>
      <c r="BG29" s="35"/>
      <c r="BH29" s="28">
        <f>COUNTIFS(DataRegularSeason20242025!$E$2:$E$1315,WatchedGames20242025!BG$1,DataRegularSeason20242025!$D$2:$D$1315,WatchedGames20242025!$A29,DataRegularSeason20242025!$N$2:$N$1315,1, DataRegularSeason20242025!$R$2:$R$1315,1)</f>
        <v>0</v>
      </c>
      <c r="BI29" s="35"/>
      <c r="BJ29" s="28">
        <f>COUNTIFS(DataRegularSeason20242025!$E$2:$E$1315,WatchedGames20242025!BI$1,DataRegularSeason20242025!$D$2:$D$1315,WatchedGames20242025!$A29,DataRegularSeason20242025!$N$2:$N$1315,1, DataRegularSeason20242025!$R$2:$R$1315,1)</f>
        <v>0</v>
      </c>
      <c r="BK29" s="35"/>
      <c r="BL29" s="28">
        <f>COUNTIFS(DataRegularSeason20242025!$E$2:$E$1315,WatchedGames20242025!BK$1,DataRegularSeason20242025!$D$2:$D$1315,WatchedGames20242025!$A29,DataRegularSeason20242025!$N$2:$N$1315,1, DataRegularSeason20242025!$R$2:$R$1315,1)</f>
        <v>0</v>
      </c>
      <c r="BM29" s="35"/>
      <c r="BN29" s="28">
        <f>COUNTIFS(DataRegularSeason20242025!$E$2:$E$1315,WatchedGames20242025!BM$1,DataRegularSeason20242025!$D$2:$D$1315,WatchedGames20242025!$A29,DataRegularSeason20242025!$N$2:$N$1315,1, DataRegularSeason20242025!$R$2:$R$1315,1)</f>
        <v>1</v>
      </c>
      <c r="BO29" s="30">
        <f t="shared" si="1"/>
        <v>4</v>
      </c>
      <c r="BP29" s="165">
        <f t="shared" ref="BP29" si="26">BO29+BO30</f>
        <v>4</v>
      </c>
      <c r="BQ29" s="166">
        <f t="shared" ref="BQ29" si="27">82-BP29</f>
        <v>78</v>
      </c>
      <c r="BR29" s="173">
        <f t="shared" si="0"/>
        <v>4.878048780487805E-2</v>
      </c>
    </row>
    <row r="30" spans="1:70" s="27" customFormat="1" ht="9.9499999999999993" customHeight="1" x14ac:dyDescent="0.2">
      <c r="A30" s="167"/>
      <c r="B30" s="32" t="s">
        <v>73</v>
      </c>
      <c r="C30" s="38">
        <f>COUNTIFS(DataRegularSeason20242025!$E$2:$E$1315,WatchedGames20242025!$A29,DataRegularSeason20242025!$D$2:$D$1315,WatchedGames20242025!C$1,DataRegularSeason20242025!$N$2:$N$1315,1, DataRegularSeason20242025!$R$2:$R$1315,1)</f>
        <v>0</v>
      </c>
      <c r="D30" s="39"/>
      <c r="E30" s="38">
        <f>COUNTIFS(DataRegularSeason20242025!$E$2:$E$1315,WatchedGames20242025!$A29,DataRegularSeason20242025!$D$2:$D$1315,WatchedGames20242025!E$1,DataRegularSeason20242025!$N$2:$N$1315,1, DataRegularSeason20242025!$R$2:$R$1315,1)</f>
        <v>0</v>
      </c>
      <c r="F30" s="39"/>
      <c r="G30" s="38">
        <f>COUNTIFS(DataRegularSeason20242025!$E$2:$E$1315,WatchedGames20242025!$A29,DataRegularSeason20242025!$D$2:$D$1315,WatchedGames20242025!G$1,DataRegularSeason20242025!$N$2:$N$1315,1, DataRegularSeason20242025!$R$2:$R$1315,1)</f>
        <v>0</v>
      </c>
      <c r="H30" s="39"/>
      <c r="I30" s="38">
        <f>COUNTIFS(DataRegularSeason20242025!$E$2:$E$1315,WatchedGames20242025!$A29,DataRegularSeason20242025!$D$2:$D$1315,WatchedGames20242025!I$1,DataRegularSeason20242025!$N$2:$N$1315,1, DataRegularSeason20242025!$R$2:$R$1315,1)</f>
        <v>0</v>
      </c>
      <c r="J30" s="39"/>
      <c r="K30" s="38">
        <f>COUNTIFS(DataRegularSeason20242025!$E$2:$E$1315,WatchedGames20242025!$A29,DataRegularSeason20242025!$D$2:$D$1315,WatchedGames20242025!K$1,DataRegularSeason20242025!$N$2:$N$1315,1, DataRegularSeason20242025!$R$2:$R$1315,1)</f>
        <v>0</v>
      </c>
      <c r="L30" s="39"/>
      <c r="M30" s="38">
        <f>COUNTIFS(DataRegularSeason20242025!$E$2:$E$1315,WatchedGames20242025!$A29,DataRegularSeason20242025!$D$2:$D$1315,WatchedGames20242025!M$1,DataRegularSeason20242025!$N$2:$N$1315,1, DataRegularSeason20242025!$R$2:$R$1315,1)</f>
        <v>0</v>
      </c>
      <c r="N30" s="39"/>
      <c r="O30" s="38">
        <f>COUNTIFS(DataRegularSeason20242025!$E$2:$E$1315,WatchedGames20242025!$A29,DataRegularSeason20242025!$D$2:$D$1315,WatchedGames20242025!O$1,DataRegularSeason20242025!$N$2:$N$1315,1, DataRegularSeason20242025!$R$2:$R$1315,1)</f>
        <v>0</v>
      </c>
      <c r="P30" s="39"/>
      <c r="Q30" s="38">
        <f>COUNTIFS(DataRegularSeason20242025!$E$2:$E$1315,WatchedGames20242025!$A29,DataRegularSeason20242025!$D$2:$D$1315,WatchedGames20242025!Q$1,DataRegularSeason20242025!$N$2:$N$1315,1, DataRegularSeason20242025!$R$2:$R$1315,1)</f>
        <v>0</v>
      </c>
      <c r="R30" s="39"/>
      <c r="S30" s="38">
        <f>COUNTIFS(DataRegularSeason20242025!$E$2:$E$1315,WatchedGames20242025!$A29,DataRegularSeason20242025!$D$2:$D$1315,WatchedGames20242025!S$1,DataRegularSeason20242025!$N$2:$N$1315,1, DataRegularSeason20242025!$R$2:$R$1315,1)</f>
        <v>0</v>
      </c>
      <c r="T30" s="39"/>
      <c r="U30" s="38">
        <f>COUNTIFS(DataRegularSeason20242025!$E$2:$E$1315,WatchedGames20242025!$A29,DataRegularSeason20242025!$D$2:$D$1315,WatchedGames20242025!U$1,DataRegularSeason20242025!$N$2:$N$1315,1, DataRegularSeason20242025!$R$2:$R$1315,1)</f>
        <v>0</v>
      </c>
      <c r="V30" s="39"/>
      <c r="W30" s="38">
        <f>COUNTIFS(DataRegularSeason20242025!$E$2:$E$1315,WatchedGames20242025!$A29,DataRegularSeason20242025!$D$2:$D$1315,WatchedGames20242025!W$1,DataRegularSeason20242025!$N$2:$N$1315,1, DataRegularSeason20242025!$R$2:$R$1315,1)</f>
        <v>0</v>
      </c>
      <c r="X30" s="39"/>
      <c r="Y30" s="38">
        <f>COUNTIFS(DataRegularSeason20242025!$E$2:$E$1315,WatchedGames20242025!$A29,DataRegularSeason20242025!$D$2:$D$1315,WatchedGames20242025!Y$1,DataRegularSeason20242025!$N$2:$N$1315,1, DataRegularSeason20242025!$R$2:$R$1315,1)</f>
        <v>0</v>
      </c>
      <c r="Z30" s="39"/>
      <c r="AA30" s="38">
        <f>COUNTIFS(DataRegularSeason20242025!$E$2:$E$1315,WatchedGames20242025!$A29,DataRegularSeason20242025!$D$2:$D$1315,WatchedGames20242025!AA$1,DataRegularSeason20242025!$N$2:$N$1315,1, DataRegularSeason20242025!$R$2:$R$1315,1)</f>
        <v>0</v>
      </c>
      <c r="AB30" s="39"/>
      <c r="AC30" s="38"/>
      <c r="AD30" s="39"/>
      <c r="AE30" s="38">
        <f>COUNTIFS(DataRegularSeason20242025!$E$2:$E$1315,WatchedGames20242025!$A29,DataRegularSeason20242025!$D$2:$D$1315,WatchedGames20242025!AE$1,DataRegularSeason20242025!$N$2:$N$1315,1, DataRegularSeason20242025!$R$2:$R$1315,1)</f>
        <v>0</v>
      </c>
      <c r="AF30" s="39"/>
      <c r="AG30" s="38">
        <f>COUNTIFS(DataRegularSeason20242025!$E$2:$E$1315,WatchedGames20242025!$A29,DataRegularSeason20242025!$D$2:$D$1315,WatchedGames20242025!AG$1,DataRegularSeason20242025!$N$2:$N$1315,1, DataRegularSeason20242025!$R$2:$R$1315,1)</f>
        <v>0</v>
      </c>
      <c r="AH30" s="39"/>
      <c r="AI30" s="38">
        <f>COUNTIFS(DataRegularSeason20242025!$E$2:$E$1315,WatchedGames20242025!$A29,DataRegularSeason20242025!$D$2:$D$1315,WatchedGames20242025!AI$1,DataRegularSeason20242025!$N$2:$N$1315,1, DataRegularSeason20242025!$R$2:$R$1315,1)</f>
        <v>0</v>
      </c>
      <c r="AJ30" s="39"/>
      <c r="AK30" s="38">
        <f>COUNTIFS(DataRegularSeason20242025!$E$2:$E$1315,WatchedGames20242025!$A29,DataRegularSeason20242025!$D$2:$D$1315,WatchedGames20242025!AK$1,DataRegularSeason20242025!$N$2:$N$1315,1, DataRegularSeason20242025!$R$2:$R$1315,1)</f>
        <v>0</v>
      </c>
      <c r="AL30" s="39"/>
      <c r="AM30" s="38">
        <f>COUNTIFS(DataRegularSeason20242025!$E$2:$E$1315,WatchedGames20242025!$A29,DataRegularSeason20242025!$D$2:$D$1315,WatchedGames20242025!AM$1,DataRegularSeason20242025!$N$2:$N$1315,1, DataRegularSeason20242025!$R$2:$R$1315,1)</f>
        <v>0</v>
      </c>
      <c r="AN30" s="39"/>
      <c r="AO30" s="38">
        <f>COUNTIFS(DataRegularSeason20242025!$E$2:$E$1315,WatchedGames20242025!$A29,DataRegularSeason20242025!$D$2:$D$1315,WatchedGames20242025!AO$1,DataRegularSeason20242025!$N$2:$N$1315,1, DataRegularSeason20242025!$R$2:$R$1315,1)</f>
        <v>0</v>
      </c>
      <c r="AP30" s="39"/>
      <c r="AQ30" s="38">
        <f>COUNTIFS(DataRegularSeason20242025!$E$2:$E$1315,WatchedGames20242025!$A29,DataRegularSeason20242025!$D$2:$D$1315,WatchedGames20242025!AQ$1,DataRegularSeason20242025!$N$2:$N$1315,1, DataRegularSeason20242025!$R$2:$R$1315,1)</f>
        <v>0</v>
      </c>
      <c r="AR30" s="39"/>
      <c r="AS30" s="38">
        <f>COUNTIFS(DataRegularSeason20242025!$E$2:$E$1315,WatchedGames20242025!$A29,DataRegularSeason20242025!$D$2:$D$1315,WatchedGames20242025!AS$1,DataRegularSeason20242025!$N$2:$N$1315,1, DataRegularSeason20242025!$R$2:$R$1315,1)</f>
        <v>0</v>
      </c>
      <c r="AT30" s="39"/>
      <c r="AU30" s="38">
        <f>COUNTIFS(DataRegularSeason20242025!$E$2:$E$1315,WatchedGames20242025!$A29,DataRegularSeason20242025!$D$2:$D$1315,WatchedGames20242025!AU$1,DataRegularSeason20242025!$N$2:$N$1315,1, DataRegularSeason20242025!$R$2:$R$1315,1)</f>
        <v>0</v>
      </c>
      <c r="AV30" s="39"/>
      <c r="AW30" s="38">
        <f>COUNTIFS(DataRegularSeason20242025!$E$2:$E$1315,WatchedGames20242025!$A29,DataRegularSeason20242025!$D$2:$D$1315,WatchedGames20242025!AW$1,DataRegularSeason20242025!$N$2:$N$1315,1, DataRegularSeason20242025!$R$2:$R$1315,1)</f>
        <v>0</v>
      </c>
      <c r="AX30" s="39"/>
      <c r="AY30" s="38">
        <f>COUNTIFS(DataRegularSeason20242025!$E$2:$E$1315,WatchedGames20242025!$A29,DataRegularSeason20242025!$D$2:$D$1315,WatchedGames20242025!AY$1,DataRegularSeason20242025!$N$2:$N$1315,1, DataRegularSeason20242025!$R$2:$R$1315,1)</f>
        <v>0</v>
      </c>
      <c r="AZ30" s="39"/>
      <c r="BA30" s="38">
        <f>COUNTIFS(DataRegularSeason20242025!$E$2:$E$1315,WatchedGames20242025!$A29,DataRegularSeason20242025!$D$2:$D$1315,WatchedGames20242025!BA$1,DataRegularSeason20242025!$N$2:$N$1315,1, DataRegularSeason20242025!$R$2:$R$1315,1)</f>
        <v>0</v>
      </c>
      <c r="BB30" s="39"/>
      <c r="BC30" s="38">
        <f>COUNTIFS(DataRegularSeason20242025!$E$2:$E$1315,WatchedGames20242025!$A29,DataRegularSeason20242025!$D$2:$D$1315,WatchedGames20242025!BC$1,DataRegularSeason20242025!$N$2:$N$1315,1, DataRegularSeason20242025!$R$2:$R$1315,1)</f>
        <v>0</v>
      </c>
      <c r="BD30" s="39"/>
      <c r="BE30" s="38">
        <f>COUNTIFS(DataRegularSeason20242025!$E$2:$E$1315,WatchedGames20242025!$A29,DataRegularSeason20242025!$D$2:$D$1315,WatchedGames20242025!BE$1,DataRegularSeason20242025!$N$2:$N$1315,1, DataRegularSeason20242025!$R$2:$R$1315,1)</f>
        <v>0</v>
      </c>
      <c r="BF30" s="39"/>
      <c r="BG30" s="38">
        <f>COUNTIFS(DataRegularSeason20242025!$E$2:$E$1315,WatchedGames20242025!$A29,DataRegularSeason20242025!$D$2:$D$1315,WatchedGames20242025!BG$1,DataRegularSeason20242025!$N$2:$N$1315,1, DataRegularSeason20242025!$R$2:$R$1315,1)</f>
        <v>0</v>
      </c>
      <c r="BH30" s="39"/>
      <c r="BI30" s="38">
        <f>COUNTIFS(DataRegularSeason20242025!$E$2:$E$1315,WatchedGames20242025!$A29,DataRegularSeason20242025!$D$2:$D$1315,WatchedGames20242025!BI$1,DataRegularSeason20242025!$N$2:$N$1315,1, DataRegularSeason20242025!$R$2:$R$1315,1)</f>
        <v>0</v>
      </c>
      <c r="BJ30" s="39"/>
      <c r="BK30" s="38">
        <f>COUNTIFS(DataRegularSeason20242025!$E$2:$E$1315,WatchedGames20242025!$A29,DataRegularSeason20242025!$D$2:$D$1315,WatchedGames20242025!BK$1,DataRegularSeason20242025!$N$2:$N$1315,1, DataRegularSeason20242025!$R$2:$R$1315,1)</f>
        <v>0</v>
      </c>
      <c r="BL30" s="39"/>
      <c r="BM30" s="38">
        <f>COUNTIFS(DataRegularSeason20242025!$E$2:$E$1315,WatchedGames20242025!$A29,DataRegularSeason20242025!$D$2:$D$1315,WatchedGames20242025!BM$1,DataRegularSeason20242025!$N$2:$N$1315,1, DataRegularSeason20242025!$R$2:$R$1315,1)</f>
        <v>0</v>
      </c>
      <c r="BN30" s="39"/>
      <c r="BO30" s="34">
        <f t="shared" si="1"/>
        <v>0</v>
      </c>
      <c r="BP30" s="165"/>
      <c r="BQ30" s="166"/>
      <c r="BR30" s="173"/>
    </row>
    <row r="31" spans="1:70" s="27" customFormat="1" ht="9.9499999999999993" customHeight="1" x14ac:dyDescent="0.2">
      <c r="A31" s="172" t="s">
        <v>18</v>
      </c>
      <c r="B31" s="28" t="s">
        <v>74</v>
      </c>
      <c r="C31" s="35"/>
      <c r="D31" s="28">
        <f>COUNTIFS(DataRegularSeason20242025!$E$2:$E$1315,WatchedGames20242025!C$1,DataRegularSeason20242025!$D$2:$D$1315,WatchedGames20242025!$A31,DataRegularSeason20242025!$N$2:$N$1315,1, DataRegularSeason20242025!$R$2:$R$1315,1)</f>
        <v>0</v>
      </c>
      <c r="E31" s="35"/>
      <c r="F31" s="28">
        <f>COUNTIFS(DataRegularSeason20242025!$E$2:$E$1315,WatchedGames20242025!E$1,DataRegularSeason20242025!$D$2:$D$1315,WatchedGames20242025!$A31,DataRegularSeason20242025!$N$2:$N$1315,1, DataRegularSeason20242025!$R$2:$R$1315,1)</f>
        <v>0</v>
      </c>
      <c r="G31" s="35"/>
      <c r="H31" s="28">
        <f>COUNTIFS(DataRegularSeason20242025!$E$2:$E$1315,WatchedGames20242025!G$1,DataRegularSeason20242025!$D$2:$D$1315,WatchedGames20242025!$A31,DataRegularSeason20242025!$N$2:$N$1315,1, DataRegularSeason20242025!$R$2:$R$1315,1)</f>
        <v>0</v>
      </c>
      <c r="I31" s="35"/>
      <c r="J31" s="28">
        <f>COUNTIFS(DataRegularSeason20242025!$E$2:$E$1315,WatchedGames20242025!I$1,DataRegularSeason20242025!$D$2:$D$1315,WatchedGames20242025!$A31,DataRegularSeason20242025!$N$2:$N$1315,1, DataRegularSeason20242025!$R$2:$R$1315,1)</f>
        <v>0</v>
      </c>
      <c r="K31" s="35"/>
      <c r="L31" s="28">
        <f>COUNTIFS(DataRegularSeason20242025!$E$2:$E$1315,WatchedGames20242025!K$1,DataRegularSeason20242025!$D$2:$D$1315,WatchedGames20242025!$A31,DataRegularSeason20242025!$N$2:$N$1315,1, DataRegularSeason20242025!$R$2:$R$1315,1)</f>
        <v>0</v>
      </c>
      <c r="M31" s="35"/>
      <c r="N31" s="28">
        <f>COUNTIFS(DataRegularSeason20242025!$E$2:$E$1315,WatchedGames20242025!M$1,DataRegularSeason20242025!$D$2:$D$1315,WatchedGames20242025!$A31,DataRegularSeason20242025!$N$2:$N$1315,1, DataRegularSeason20242025!$R$2:$R$1315,1)</f>
        <v>0</v>
      </c>
      <c r="O31" s="35"/>
      <c r="P31" s="28">
        <f>COUNTIFS(DataRegularSeason20242025!$E$2:$E$1315,WatchedGames20242025!O$1,DataRegularSeason20242025!$D$2:$D$1315,WatchedGames20242025!$A31,DataRegularSeason20242025!$N$2:$N$1315,1, DataRegularSeason20242025!$R$2:$R$1315,1)</f>
        <v>1</v>
      </c>
      <c r="Q31" s="35"/>
      <c r="R31" s="28">
        <f>COUNTIFS(DataRegularSeason20242025!$E$2:$E$1315,WatchedGames20242025!Q$1,DataRegularSeason20242025!$D$2:$D$1315,WatchedGames20242025!$A31,DataRegularSeason20242025!$N$2:$N$1315,1, DataRegularSeason20242025!$R$2:$R$1315,1)</f>
        <v>0</v>
      </c>
      <c r="S31" s="35"/>
      <c r="T31" s="28">
        <f>COUNTIFS(DataRegularSeason20242025!$E$2:$E$1315,WatchedGames20242025!S$1,DataRegularSeason20242025!$D$2:$D$1315,WatchedGames20242025!$A31,DataRegularSeason20242025!$N$2:$N$1315,1, DataRegularSeason20242025!$R$2:$R$1315,1)</f>
        <v>0</v>
      </c>
      <c r="U31" s="35"/>
      <c r="V31" s="28">
        <f>COUNTIFS(DataRegularSeason20242025!$E$2:$E$1315,WatchedGames20242025!U$1,DataRegularSeason20242025!$D$2:$D$1315,WatchedGames20242025!$A31,DataRegularSeason20242025!$N$2:$N$1315,1, DataRegularSeason20242025!$R$2:$R$1315,1)</f>
        <v>1</v>
      </c>
      <c r="W31" s="35"/>
      <c r="X31" s="28">
        <f>COUNTIFS(DataRegularSeason20242025!$E$2:$E$1315,WatchedGames20242025!W$1,DataRegularSeason20242025!$D$2:$D$1315,WatchedGames20242025!$A31,DataRegularSeason20242025!$N$2:$N$1315,1, DataRegularSeason20242025!$R$2:$R$1315,1)</f>
        <v>0</v>
      </c>
      <c r="Y31" s="35"/>
      <c r="Z31" s="28">
        <f>COUNTIFS(DataRegularSeason20242025!$E$2:$E$1315,WatchedGames20242025!Y$1,DataRegularSeason20242025!$D$2:$D$1315,WatchedGames20242025!$A31,DataRegularSeason20242025!$N$2:$N$1315,1, DataRegularSeason20242025!$R$2:$R$1315,1)</f>
        <v>0</v>
      </c>
      <c r="AA31" s="35"/>
      <c r="AB31" s="28">
        <f>COUNTIFS(DataRegularSeason20242025!$E$2:$E$1315,WatchedGames20242025!AA$1,DataRegularSeason20242025!$D$2:$D$1315,WatchedGames20242025!$A31,DataRegularSeason20242025!$N$2:$N$1315,1, DataRegularSeason20242025!$R$2:$R$1315,1)</f>
        <v>0</v>
      </c>
      <c r="AC31" s="35"/>
      <c r="AD31" s="28">
        <f>COUNTIFS(DataRegularSeason20242025!$E$2:$E$1315,WatchedGames20242025!AC$1,DataRegularSeason20242025!$D$2:$D$1315,WatchedGames20242025!$A31,DataRegularSeason20242025!$N$2:$N$1315,1, DataRegularSeason20242025!$R$2:$R$1315,1)</f>
        <v>0</v>
      </c>
      <c r="AE31" s="35"/>
      <c r="AF31" s="36"/>
      <c r="AG31" s="35"/>
      <c r="AH31" s="28">
        <f>COUNTIFS(DataRegularSeason20242025!$E$2:$E$1315,WatchedGames20242025!AG$1,DataRegularSeason20242025!$D$2:$D$1315,WatchedGames20242025!$A31,DataRegularSeason20242025!$N$2:$N$1315,1, DataRegularSeason20242025!$R$2:$R$1315,1)</f>
        <v>0</v>
      </c>
      <c r="AI31" s="35"/>
      <c r="AJ31" s="28">
        <f>COUNTIFS(DataRegularSeason20242025!$E$2:$E$1315,WatchedGames20242025!AI$1,DataRegularSeason20242025!$D$2:$D$1315,WatchedGames20242025!$A31,DataRegularSeason20242025!$N$2:$N$1315,1, DataRegularSeason20242025!$R$2:$R$1315,1)</f>
        <v>0</v>
      </c>
      <c r="AK31" s="35"/>
      <c r="AL31" s="28">
        <f>COUNTIFS(DataRegularSeason20242025!$E$2:$E$1315,WatchedGames20242025!AK$1,DataRegularSeason20242025!$D$2:$D$1315,WatchedGames20242025!$A31,DataRegularSeason20242025!$N$2:$N$1315,1, DataRegularSeason20242025!$R$2:$R$1315,1)</f>
        <v>0</v>
      </c>
      <c r="AM31" s="35"/>
      <c r="AN31" s="28">
        <f>COUNTIFS(DataRegularSeason20242025!$E$2:$E$1315,WatchedGames20242025!AM$1,DataRegularSeason20242025!$D$2:$D$1315,WatchedGames20242025!$A31,DataRegularSeason20242025!$N$2:$N$1315,1, DataRegularSeason20242025!$R$2:$R$1315,1)</f>
        <v>0</v>
      </c>
      <c r="AO31" s="35"/>
      <c r="AP31" s="28">
        <f>COUNTIFS(DataRegularSeason20242025!$E$2:$E$1315,WatchedGames20242025!AO$1,DataRegularSeason20242025!$D$2:$D$1315,WatchedGames20242025!$A31,DataRegularSeason20242025!$N$2:$N$1315,1, DataRegularSeason20242025!$R$2:$R$1315,1)</f>
        <v>0</v>
      </c>
      <c r="AQ31" s="35"/>
      <c r="AR31" s="28">
        <f>COUNTIFS(DataRegularSeason20242025!$E$2:$E$1315,WatchedGames20242025!AQ$1,DataRegularSeason20242025!$D$2:$D$1315,WatchedGames20242025!$A31,DataRegularSeason20242025!$N$2:$N$1315,1, DataRegularSeason20242025!$R$2:$R$1315,1)</f>
        <v>0</v>
      </c>
      <c r="AS31" s="35"/>
      <c r="AT31" s="28">
        <f>COUNTIFS(DataRegularSeason20242025!$E$2:$E$1315,WatchedGames20242025!AS$1,DataRegularSeason20242025!$D$2:$D$1315,WatchedGames20242025!$A31,DataRegularSeason20242025!$N$2:$N$1315,1, DataRegularSeason20242025!$R$2:$R$1315,1)</f>
        <v>0</v>
      </c>
      <c r="AU31" s="35"/>
      <c r="AV31" s="28">
        <f>COUNTIFS(DataRegularSeason20242025!$E$2:$E$1315,WatchedGames20242025!AU$1,DataRegularSeason20242025!$D$2:$D$1315,WatchedGames20242025!$A31,DataRegularSeason20242025!$N$2:$N$1315,1, DataRegularSeason20242025!$R$2:$R$1315,1)</f>
        <v>0</v>
      </c>
      <c r="AW31" s="35"/>
      <c r="AX31" s="28">
        <f>COUNTIFS(DataRegularSeason20242025!$E$2:$E$1315,WatchedGames20242025!AW$1,DataRegularSeason20242025!$D$2:$D$1315,WatchedGames20242025!$A31,DataRegularSeason20242025!$N$2:$N$1315,1, DataRegularSeason20242025!$R$2:$R$1315,1)</f>
        <v>0</v>
      </c>
      <c r="AY31" s="35"/>
      <c r="AZ31" s="28">
        <f>COUNTIFS(DataRegularSeason20242025!$E$2:$E$1315,WatchedGames20242025!AY$1,DataRegularSeason20242025!$D$2:$D$1315,WatchedGames20242025!$A31,DataRegularSeason20242025!$N$2:$N$1315,1, DataRegularSeason20242025!$R$2:$R$1315,1)</f>
        <v>0</v>
      </c>
      <c r="BA31" s="35"/>
      <c r="BB31" s="28">
        <f>COUNTIFS(DataRegularSeason20242025!$E$2:$E$1315,WatchedGames20242025!BA$1,DataRegularSeason20242025!$D$2:$D$1315,WatchedGames20242025!$A31,DataRegularSeason20242025!$N$2:$N$1315,1, DataRegularSeason20242025!$R$2:$R$1315,1)</f>
        <v>0</v>
      </c>
      <c r="BC31" s="35"/>
      <c r="BD31" s="28">
        <f>COUNTIFS(DataRegularSeason20242025!$E$2:$E$1315,WatchedGames20242025!BC$1,DataRegularSeason20242025!$D$2:$D$1315,WatchedGames20242025!$A31,DataRegularSeason20242025!$N$2:$N$1315,1, DataRegularSeason20242025!$R$2:$R$1315,1)</f>
        <v>1</v>
      </c>
      <c r="BE31" s="35"/>
      <c r="BF31" s="28">
        <f>COUNTIFS(DataRegularSeason20242025!$E$2:$E$1315,WatchedGames20242025!BE$1,DataRegularSeason20242025!$D$2:$D$1315,WatchedGames20242025!$A31,DataRegularSeason20242025!$N$2:$N$1315,1, DataRegularSeason20242025!$R$2:$R$1315,1)</f>
        <v>0</v>
      </c>
      <c r="BG31" s="35"/>
      <c r="BH31" s="28">
        <f>COUNTIFS(DataRegularSeason20242025!$E$2:$E$1315,WatchedGames20242025!BG$1,DataRegularSeason20242025!$D$2:$D$1315,WatchedGames20242025!$A31,DataRegularSeason20242025!$N$2:$N$1315,1, DataRegularSeason20242025!$R$2:$R$1315,1)</f>
        <v>0</v>
      </c>
      <c r="BI31" s="35"/>
      <c r="BJ31" s="28">
        <f>COUNTIFS(DataRegularSeason20242025!$E$2:$E$1315,WatchedGames20242025!BI$1,DataRegularSeason20242025!$D$2:$D$1315,WatchedGames20242025!$A31,DataRegularSeason20242025!$N$2:$N$1315,1, DataRegularSeason20242025!$R$2:$R$1315,1)</f>
        <v>0</v>
      </c>
      <c r="BK31" s="35"/>
      <c r="BL31" s="28">
        <f>COUNTIFS(DataRegularSeason20242025!$E$2:$E$1315,WatchedGames20242025!BK$1,DataRegularSeason20242025!$D$2:$D$1315,WatchedGames20242025!$A31,DataRegularSeason20242025!$N$2:$N$1315,1, DataRegularSeason20242025!$R$2:$R$1315,1)</f>
        <v>0</v>
      </c>
      <c r="BM31" s="35"/>
      <c r="BN31" s="28">
        <f>COUNTIFS(DataRegularSeason20242025!$E$2:$E$1315,WatchedGames20242025!BM$1,DataRegularSeason20242025!$D$2:$D$1315,WatchedGames20242025!$A31,DataRegularSeason20242025!$N$2:$N$1315,1, DataRegularSeason20242025!$R$2:$R$1315,1)</f>
        <v>0</v>
      </c>
      <c r="BO31" s="30">
        <f t="shared" si="1"/>
        <v>3</v>
      </c>
      <c r="BP31" s="165">
        <f t="shared" ref="BP31" si="28">BO31+BO32</f>
        <v>7</v>
      </c>
      <c r="BQ31" s="166">
        <f t="shared" ref="BQ31" si="29">82-BP31</f>
        <v>75</v>
      </c>
      <c r="BR31" s="173">
        <f t="shared" si="0"/>
        <v>8.5365853658536592E-2</v>
      </c>
    </row>
    <row r="32" spans="1:70" s="27" customFormat="1" ht="9.9499999999999993" customHeight="1" x14ac:dyDescent="0.2">
      <c r="A32" s="167"/>
      <c r="B32" s="32" t="s">
        <v>73</v>
      </c>
      <c r="C32" s="38">
        <f>COUNTIFS(DataRegularSeason20242025!$E$2:$E$1315,WatchedGames20242025!$A31,DataRegularSeason20242025!$D$2:$D$1315,WatchedGames20242025!C$1,DataRegularSeason20242025!$N$2:$N$1315,1, DataRegularSeason20242025!$R$2:$R$1315,1)</f>
        <v>0</v>
      </c>
      <c r="D32" s="39"/>
      <c r="E32" s="38">
        <f>COUNTIFS(DataRegularSeason20242025!$E$2:$E$1315,WatchedGames20242025!$A31,DataRegularSeason20242025!$D$2:$D$1315,WatchedGames20242025!E$1,DataRegularSeason20242025!$N$2:$N$1315,1, DataRegularSeason20242025!$R$2:$R$1315,1)</f>
        <v>0</v>
      </c>
      <c r="F32" s="39"/>
      <c r="G32" s="38">
        <f>COUNTIFS(DataRegularSeason20242025!$E$2:$E$1315,WatchedGames20242025!$A31,DataRegularSeason20242025!$D$2:$D$1315,WatchedGames20242025!G$1,DataRegularSeason20242025!$N$2:$N$1315,1, DataRegularSeason20242025!$R$2:$R$1315,1)</f>
        <v>1</v>
      </c>
      <c r="H32" s="39"/>
      <c r="I32" s="38">
        <f>COUNTIFS(DataRegularSeason20242025!$E$2:$E$1315,WatchedGames20242025!$A31,DataRegularSeason20242025!$D$2:$D$1315,WatchedGames20242025!I$1,DataRegularSeason20242025!$N$2:$N$1315,1, DataRegularSeason20242025!$R$2:$R$1315,1)</f>
        <v>0</v>
      </c>
      <c r="J32" s="39"/>
      <c r="K32" s="38">
        <f>COUNTIFS(DataRegularSeason20242025!$E$2:$E$1315,WatchedGames20242025!$A31,DataRegularSeason20242025!$D$2:$D$1315,WatchedGames20242025!K$1,DataRegularSeason20242025!$N$2:$N$1315,1, DataRegularSeason20242025!$R$2:$R$1315,1)</f>
        <v>0</v>
      </c>
      <c r="L32" s="39"/>
      <c r="M32" s="38">
        <f>COUNTIFS(DataRegularSeason20242025!$E$2:$E$1315,WatchedGames20242025!$A31,DataRegularSeason20242025!$D$2:$D$1315,WatchedGames20242025!M$1,DataRegularSeason20242025!$N$2:$N$1315,1, DataRegularSeason20242025!$R$2:$R$1315,1)</f>
        <v>0</v>
      </c>
      <c r="N32" s="39"/>
      <c r="O32" s="38">
        <f>COUNTIFS(DataRegularSeason20242025!$E$2:$E$1315,WatchedGames20242025!$A31,DataRegularSeason20242025!$D$2:$D$1315,WatchedGames20242025!O$1,DataRegularSeason20242025!$N$2:$N$1315,1, DataRegularSeason20242025!$R$2:$R$1315,1)</f>
        <v>0</v>
      </c>
      <c r="P32" s="39"/>
      <c r="Q32" s="38">
        <f>COUNTIFS(DataRegularSeason20242025!$E$2:$E$1315,WatchedGames20242025!$A31,DataRegularSeason20242025!$D$2:$D$1315,WatchedGames20242025!Q$1,DataRegularSeason20242025!$N$2:$N$1315,1, DataRegularSeason20242025!$R$2:$R$1315,1)</f>
        <v>0</v>
      </c>
      <c r="R32" s="39"/>
      <c r="S32" s="38">
        <f>COUNTIFS(DataRegularSeason20242025!$E$2:$E$1315,WatchedGames20242025!$A31,DataRegularSeason20242025!$D$2:$D$1315,WatchedGames20242025!S$1,DataRegularSeason20242025!$N$2:$N$1315,1, DataRegularSeason20242025!$R$2:$R$1315,1)</f>
        <v>0</v>
      </c>
      <c r="T32" s="39"/>
      <c r="U32" s="38">
        <f>COUNTIFS(DataRegularSeason20242025!$E$2:$E$1315,WatchedGames20242025!$A31,DataRegularSeason20242025!$D$2:$D$1315,WatchedGames20242025!U$1,DataRegularSeason20242025!$N$2:$N$1315,1, DataRegularSeason20242025!$R$2:$R$1315,1)</f>
        <v>0</v>
      </c>
      <c r="V32" s="39"/>
      <c r="W32" s="38">
        <f>COUNTIFS(DataRegularSeason20242025!$E$2:$E$1315,WatchedGames20242025!$A31,DataRegularSeason20242025!$D$2:$D$1315,WatchedGames20242025!W$1,DataRegularSeason20242025!$N$2:$N$1315,1, DataRegularSeason20242025!$R$2:$R$1315,1)</f>
        <v>0</v>
      </c>
      <c r="X32" s="39"/>
      <c r="Y32" s="38">
        <f>COUNTIFS(DataRegularSeason20242025!$E$2:$E$1315,WatchedGames20242025!$A31,DataRegularSeason20242025!$D$2:$D$1315,WatchedGames20242025!Y$1,DataRegularSeason20242025!$N$2:$N$1315,1, DataRegularSeason20242025!$R$2:$R$1315,1)</f>
        <v>0</v>
      </c>
      <c r="Z32" s="39"/>
      <c r="AA32" s="38">
        <f>COUNTIFS(DataRegularSeason20242025!$E$2:$E$1315,WatchedGames20242025!$A31,DataRegularSeason20242025!$D$2:$D$1315,WatchedGames20242025!AA$1,DataRegularSeason20242025!$N$2:$N$1315,1, DataRegularSeason20242025!$R$2:$R$1315,1)</f>
        <v>0</v>
      </c>
      <c r="AB32" s="39"/>
      <c r="AC32" s="38">
        <f>COUNTIFS(DataRegularSeason20242025!$E$2:$E$1315,WatchedGames20242025!$A31,DataRegularSeason20242025!$D$2:$D$1315,WatchedGames20242025!AC$1,DataRegularSeason20242025!$N$2:$N$1315,1, DataRegularSeason20242025!$R$2:$R$1315,1)</f>
        <v>0</v>
      </c>
      <c r="AD32" s="39"/>
      <c r="AE32" s="38"/>
      <c r="AF32" s="39"/>
      <c r="AG32" s="38">
        <f>COUNTIFS(DataRegularSeason20242025!$E$2:$E$1315,WatchedGames20242025!$A31,DataRegularSeason20242025!$D$2:$D$1315,WatchedGames20242025!AG$1,DataRegularSeason20242025!$N$2:$N$1315,1, DataRegularSeason20242025!$R$2:$R$1315,1)</f>
        <v>0</v>
      </c>
      <c r="AH32" s="39"/>
      <c r="AI32" s="38">
        <f>COUNTIFS(DataRegularSeason20242025!$E$2:$E$1315,WatchedGames20242025!$A31,DataRegularSeason20242025!$D$2:$D$1315,WatchedGames20242025!AI$1,DataRegularSeason20242025!$N$2:$N$1315,1, DataRegularSeason20242025!$R$2:$R$1315,1)</f>
        <v>1</v>
      </c>
      <c r="AJ32" s="39"/>
      <c r="AK32" s="38">
        <f>COUNTIFS(DataRegularSeason20242025!$E$2:$E$1315,WatchedGames20242025!$A31,DataRegularSeason20242025!$D$2:$D$1315,WatchedGames20242025!AK$1,DataRegularSeason20242025!$N$2:$N$1315,1, DataRegularSeason20242025!$R$2:$R$1315,1)</f>
        <v>0</v>
      </c>
      <c r="AL32" s="39"/>
      <c r="AM32" s="38">
        <f>COUNTIFS(DataRegularSeason20242025!$E$2:$E$1315,WatchedGames20242025!$A31,DataRegularSeason20242025!$D$2:$D$1315,WatchedGames20242025!AM$1,DataRegularSeason20242025!$N$2:$N$1315,1, DataRegularSeason20242025!$R$2:$R$1315,1)</f>
        <v>1</v>
      </c>
      <c r="AN32" s="39"/>
      <c r="AO32" s="38">
        <f>COUNTIFS(DataRegularSeason20242025!$E$2:$E$1315,WatchedGames20242025!$A31,DataRegularSeason20242025!$D$2:$D$1315,WatchedGames20242025!AO$1,DataRegularSeason20242025!$N$2:$N$1315,1, DataRegularSeason20242025!$R$2:$R$1315,1)</f>
        <v>0</v>
      </c>
      <c r="AP32" s="39"/>
      <c r="AQ32" s="38">
        <f>COUNTIFS(DataRegularSeason20242025!$E$2:$E$1315,WatchedGames20242025!$A31,DataRegularSeason20242025!$D$2:$D$1315,WatchedGames20242025!AQ$1,DataRegularSeason20242025!$N$2:$N$1315,1, DataRegularSeason20242025!$R$2:$R$1315,1)</f>
        <v>0</v>
      </c>
      <c r="AR32" s="39"/>
      <c r="AS32" s="38">
        <f>COUNTIFS(DataRegularSeason20242025!$E$2:$E$1315,WatchedGames20242025!$A31,DataRegularSeason20242025!$D$2:$D$1315,WatchedGames20242025!AS$1,DataRegularSeason20242025!$N$2:$N$1315,1, DataRegularSeason20242025!$R$2:$R$1315,1)</f>
        <v>0</v>
      </c>
      <c r="AT32" s="39"/>
      <c r="AU32" s="38">
        <f>COUNTIFS(DataRegularSeason20242025!$E$2:$E$1315,WatchedGames20242025!$A31,DataRegularSeason20242025!$D$2:$D$1315,WatchedGames20242025!AU$1,DataRegularSeason20242025!$N$2:$N$1315,1, DataRegularSeason20242025!$R$2:$R$1315,1)</f>
        <v>1</v>
      </c>
      <c r="AV32" s="39"/>
      <c r="AW32" s="38">
        <f>COUNTIFS(DataRegularSeason20242025!$E$2:$E$1315,WatchedGames20242025!$A31,DataRegularSeason20242025!$D$2:$D$1315,WatchedGames20242025!AW$1,DataRegularSeason20242025!$N$2:$N$1315,1, DataRegularSeason20242025!$R$2:$R$1315,1)</f>
        <v>0</v>
      </c>
      <c r="AX32" s="39"/>
      <c r="AY32" s="38">
        <f>COUNTIFS(DataRegularSeason20242025!$E$2:$E$1315,WatchedGames20242025!$A31,DataRegularSeason20242025!$D$2:$D$1315,WatchedGames20242025!AY$1,DataRegularSeason20242025!$N$2:$N$1315,1, DataRegularSeason20242025!$R$2:$R$1315,1)</f>
        <v>0</v>
      </c>
      <c r="AZ32" s="39"/>
      <c r="BA32" s="38">
        <f>COUNTIFS(DataRegularSeason20242025!$E$2:$E$1315,WatchedGames20242025!$A31,DataRegularSeason20242025!$D$2:$D$1315,WatchedGames20242025!BA$1,DataRegularSeason20242025!$N$2:$N$1315,1, DataRegularSeason20242025!$R$2:$R$1315,1)</f>
        <v>0</v>
      </c>
      <c r="BB32" s="39"/>
      <c r="BC32" s="38">
        <f>COUNTIFS(DataRegularSeason20242025!$E$2:$E$1315,WatchedGames20242025!$A31,DataRegularSeason20242025!$D$2:$D$1315,WatchedGames20242025!BC$1,DataRegularSeason20242025!$N$2:$N$1315,1, DataRegularSeason20242025!$R$2:$R$1315,1)</f>
        <v>0</v>
      </c>
      <c r="BD32" s="39"/>
      <c r="BE32" s="38">
        <f>COUNTIFS(DataRegularSeason20242025!$E$2:$E$1315,WatchedGames20242025!$A31,DataRegularSeason20242025!$D$2:$D$1315,WatchedGames20242025!BE$1,DataRegularSeason20242025!$N$2:$N$1315,1, DataRegularSeason20242025!$R$2:$R$1315,1)</f>
        <v>0</v>
      </c>
      <c r="BF32" s="39"/>
      <c r="BG32" s="38">
        <f>COUNTIFS(DataRegularSeason20242025!$E$2:$E$1315,WatchedGames20242025!$A31,DataRegularSeason20242025!$D$2:$D$1315,WatchedGames20242025!BG$1,DataRegularSeason20242025!$N$2:$N$1315,1, DataRegularSeason20242025!$R$2:$R$1315,1)</f>
        <v>0</v>
      </c>
      <c r="BH32" s="39"/>
      <c r="BI32" s="38">
        <f>COUNTIFS(DataRegularSeason20242025!$E$2:$E$1315,WatchedGames20242025!$A31,DataRegularSeason20242025!$D$2:$D$1315,WatchedGames20242025!BI$1,DataRegularSeason20242025!$N$2:$N$1315,1, DataRegularSeason20242025!$R$2:$R$1315,1)</f>
        <v>0</v>
      </c>
      <c r="BJ32" s="39"/>
      <c r="BK32" s="38">
        <f>COUNTIFS(DataRegularSeason20242025!$E$2:$E$1315,WatchedGames20242025!$A31,DataRegularSeason20242025!$D$2:$D$1315,WatchedGames20242025!BK$1,DataRegularSeason20242025!$N$2:$N$1315,1, DataRegularSeason20242025!$R$2:$R$1315,1)</f>
        <v>0</v>
      </c>
      <c r="BL32" s="39"/>
      <c r="BM32" s="38">
        <f>COUNTIFS(DataRegularSeason20242025!$E$2:$E$1315,WatchedGames20242025!$A31,DataRegularSeason20242025!$D$2:$D$1315,WatchedGames20242025!BM$1,DataRegularSeason20242025!$N$2:$N$1315,1, DataRegularSeason20242025!$R$2:$R$1315,1)</f>
        <v>0</v>
      </c>
      <c r="BN32" s="39"/>
      <c r="BO32" s="34">
        <f t="shared" si="1"/>
        <v>4</v>
      </c>
      <c r="BP32" s="165"/>
      <c r="BQ32" s="166"/>
      <c r="BR32" s="173"/>
    </row>
    <row r="33" spans="1:70" s="27" customFormat="1" ht="9.9499999999999993" customHeight="1" x14ac:dyDescent="0.2">
      <c r="A33" s="172" t="s">
        <v>31</v>
      </c>
      <c r="B33" s="28" t="s">
        <v>74</v>
      </c>
      <c r="C33" s="35"/>
      <c r="D33" s="28">
        <f>COUNTIFS(DataRegularSeason20242025!$E$2:$E$1315,WatchedGames20242025!C$1,DataRegularSeason20242025!$D$2:$D$1315,WatchedGames20242025!$A33,DataRegularSeason20242025!$N$2:$N$1315,1, DataRegularSeason20242025!$R$2:$R$1315,1)</f>
        <v>0</v>
      </c>
      <c r="E33" s="35"/>
      <c r="F33" s="28">
        <f>COUNTIFS(DataRegularSeason20242025!$E$2:$E$1315,WatchedGames20242025!E$1,DataRegularSeason20242025!$D$2:$D$1315,WatchedGames20242025!$A33,DataRegularSeason20242025!$N$2:$N$1315,1, DataRegularSeason20242025!$R$2:$R$1315,1)</f>
        <v>0</v>
      </c>
      <c r="G33" s="35"/>
      <c r="H33" s="28">
        <f>COUNTIFS(DataRegularSeason20242025!$E$2:$E$1315,WatchedGames20242025!G$1,DataRegularSeason20242025!$D$2:$D$1315,WatchedGames20242025!$A33,DataRegularSeason20242025!$N$2:$N$1315,1, DataRegularSeason20242025!$R$2:$R$1315,1)</f>
        <v>0</v>
      </c>
      <c r="I33" s="35"/>
      <c r="J33" s="28">
        <f>COUNTIFS(DataRegularSeason20242025!$E$2:$E$1315,WatchedGames20242025!I$1,DataRegularSeason20242025!$D$2:$D$1315,WatchedGames20242025!$A33,DataRegularSeason20242025!$N$2:$N$1315,1, DataRegularSeason20242025!$R$2:$R$1315,1)</f>
        <v>0</v>
      </c>
      <c r="K33" s="35"/>
      <c r="L33" s="28">
        <f>COUNTIFS(DataRegularSeason20242025!$E$2:$E$1315,WatchedGames20242025!K$1,DataRegularSeason20242025!$D$2:$D$1315,WatchedGames20242025!$A33,DataRegularSeason20242025!$N$2:$N$1315,1, DataRegularSeason20242025!$R$2:$R$1315,1)</f>
        <v>0</v>
      </c>
      <c r="M33" s="35"/>
      <c r="N33" s="28">
        <f>COUNTIFS(DataRegularSeason20242025!$E$2:$E$1315,WatchedGames20242025!M$1,DataRegularSeason20242025!$D$2:$D$1315,WatchedGames20242025!$A33,DataRegularSeason20242025!$N$2:$N$1315,1, DataRegularSeason20242025!$R$2:$R$1315,1)</f>
        <v>0</v>
      </c>
      <c r="O33" s="35"/>
      <c r="P33" s="28">
        <f>COUNTIFS(DataRegularSeason20242025!$E$2:$E$1315,WatchedGames20242025!O$1,DataRegularSeason20242025!$D$2:$D$1315,WatchedGames20242025!$A33,DataRegularSeason20242025!$N$2:$N$1315,1, DataRegularSeason20242025!$R$2:$R$1315,1)</f>
        <v>0</v>
      </c>
      <c r="Q33" s="35"/>
      <c r="R33" s="28">
        <f>COUNTIFS(DataRegularSeason20242025!$E$2:$E$1315,WatchedGames20242025!Q$1,DataRegularSeason20242025!$D$2:$D$1315,WatchedGames20242025!$A33,DataRegularSeason20242025!$N$2:$N$1315,1, DataRegularSeason20242025!$R$2:$R$1315,1)</f>
        <v>0</v>
      </c>
      <c r="S33" s="35"/>
      <c r="T33" s="28">
        <f>COUNTIFS(DataRegularSeason20242025!$E$2:$E$1315,WatchedGames20242025!S$1,DataRegularSeason20242025!$D$2:$D$1315,WatchedGames20242025!$A33,DataRegularSeason20242025!$N$2:$N$1315,1, DataRegularSeason20242025!$R$2:$R$1315,1)</f>
        <v>0</v>
      </c>
      <c r="U33" s="35"/>
      <c r="V33" s="28">
        <f>COUNTIFS(DataRegularSeason20242025!$E$2:$E$1315,WatchedGames20242025!U$1,DataRegularSeason20242025!$D$2:$D$1315,WatchedGames20242025!$A33,DataRegularSeason20242025!$N$2:$N$1315,1, DataRegularSeason20242025!$R$2:$R$1315,1)</f>
        <v>0</v>
      </c>
      <c r="W33" s="35"/>
      <c r="X33" s="28">
        <f>COUNTIFS(DataRegularSeason20242025!$E$2:$E$1315,WatchedGames20242025!W$1,DataRegularSeason20242025!$D$2:$D$1315,WatchedGames20242025!$A33,DataRegularSeason20242025!$N$2:$N$1315,1, DataRegularSeason20242025!$R$2:$R$1315,1)</f>
        <v>0</v>
      </c>
      <c r="Y33" s="35"/>
      <c r="Z33" s="28">
        <f>COUNTIFS(DataRegularSeason20242025!$E$2:$E$1315,WatchedGames20242025!Y$1,DataRegularSeason20242025!$D$2:$D$1315,WatchedGames20242025!$A33,DataRegularSeason20242025!$N$2:$N$1315,1, DataRegularSeason20242025!$R$2:$R$1315,1)</f>
        <v>0</v>
      </c>
      <c r="AA33" s="35"/>
      <c r="AB33" s="28">
        <f>COUNTIFS(DataRegularSeason20242025!$E$2:$E$1315,WatchedGames20242025!AA$1,DataRegularSeason20242025!$D$2:$D$1315,WatchedGames20242025!$A33,DataRegularSeason20242025!$N$2:$N$1315,1, DataRegularSeason20242025!$R$2:$R$1315,1)</f>
        <v>0</v>
      </c>
      <c r="AC33" s="35"/>
      <c r="AD33" s="28">
        <f>COUNTIFS(DataRegularSeason20242025!$E$2:$E$1315,WatchedGames20242025!AC$1,DataRegularSeason20242025!$D$2:$D$1315,WatchedGames20242025!$A33,DataRegularSeason20242025!$N$2:$N$1315,1, DataRegularSeason20242025!$R$2:$R$1315,1)</f>
        <v>0</v>
      </c>
      <c r="AE33" s="35"/>
      <c r="AF33" s="28">
        <f>COUNTIFS(DataRegularSeason20242025!$E$2:$E$1315,WatchedGames20242025!AE$1,DataRegularSeason20242025!$D$2:$D$1315,WatchedGames20242025!$A33,DataRegularSeason20242025!$N$2:$N$1315,1, DataRegularSeason20242025!$R$2:$R$1315,1)</f>
        <v>0</v>
      </c>
      <c r="AG33" s="35"/>
      <c r="AH33" s="36"/>
      <c r="AI33" s="35"/>
      <c r="AJ33" s="28">
        <f>COUNTIFS(DataRegularSeason20242025!$E$2:$E$1315,WatchedGames20242025!AI$1,DataRegularSeason20242025!$D$2:$D$1315,WatchedGames20242025!$A33,DataRegularSeason20242025!$N$2:$N$1315,1, DataRegularSeason20242025!$R$2:$R$1315,1)</f>
        <v>0</v>
      </c>
      <c r="AK33" s="35"/>
      <c r="AL33" s="28">
        <f>COUNTIFS(DataRegularSeason20242025!$E$2:$E$1315,WatchedGames20242025!AK$1,DataRegularSeason20242025!$D$2:$D$1315,WatchedGames20242025!$A33,DataRegularSeason20242025!$N$2:$N$1315,1, DataRegularSeason20242025!$R$2:$R$1315,1)</f>
        <v>0</v>
      </c>
      <c r="AM33" s="35"/>
      <c r="AN33" s="28">
        <f>COUNTIFS(DataRegularSeason20242025!$E$2:$E$1315,WatchedGames20242025!AM$1,DataRegularSeason20242025!$D$2:$D$1315,WatchedGames20242025!$A33,DataRegularSeason20242025!$N$2:$N$1315,1, DataRegularSeason20242025!$R$2:$R$1315,1)</f>
        <v>0</v>
      </c>
      <c r="AO33" s="35"/>
      <c r="AP33" s="28">
        <f>COUNTIFS(DataRegularSeason20242025!$E$2:$E$1315,WatchedGames20242025!AO$1,DataRegularSeason20242025!$D$2:$D$1315,WatchedGames20242025!$A33,DataRegularSeason20242025!$N$2:$N$1315,1, DataRegularSeason20242025!$R$2:$R$1315,1)</f>
        <v>0</v>
      </c>
      <c r="AQ33" s="35"/>
      <c r="AR33" s="28">
        <f>COUNTIFS(DataRegularSeason20242025!$E$2:$E$1315,WatchedGames20242025!AQ$1,DataRegularSeason20242025!$D$2:$D$1315,WatchedGames20242025!$A33,DataRegularSeason20242025!$N$2:$N$1315,1, DataRegularSeason20242025!$R$2:$R$1315,1)</f>
        <v>0</v>
      </c>
      <c r="AS33" s="35"/>
      <c r="AT33" s="28">
        <f>COUNTIFS(DataRegularSeason20242025!$E$2:$E$1315,WatchedGames20242025!AS$1,DataRegularSeason20242025!$D$2:$D$1315,WatchedGames20242025!$A33,DataRegularSeason20242025!$N$2:$N$1315,1, DataRegularSeason20242025!$R$2:$R$1315,1)</f>
        <v>0</v>
      </c>
      <c r="AU33" s="35"/>
      <c r="AV33" s="28">
        <f>COUNTIFS(DataRegularSeason20242025!$E$2:$E$1315,WatchedGames20242025!AU$1,DataRegularSeason20242025!$D$2:$D$1315,WatchedGames20242025!$A33,DataRegularSeason20242025!$N$2:$N$1315,1, DataRegularSeason20242025!$R$2:$R$1315,1)</f>
        <v>0</v>
      </c>
      <c r="AW33" s="35"/>
      <c r="AX33" s="28">
        <f>COUNTIFS(DataRegularSeason20242025!$E$2:$E$1315,WatchedGames20242025!AW$1,DataRegularSeason20242025!$D$2:$D$1315,WatchedGames20242025!$A33,DataRegularSeason20242025!$N$2:$N$1315,1, DataRegularSeason20242025!$R$2:$R$1315,1)</f>
        <v>0</v>
      </c>
      <c r="AY33" s="35"/>
      <c r="AZ33" s="28">
        <f>COUNTIFS(DataRegularSeason20242025!$E$2:$E$1315,WatchedGames20242025!AY$1,DataRegularSeason20242025!$D$2:$D$1315,WatchedGames20242025!$A33,DataRegularSeason20242025!$N$2:$N$1315,1, DataRegularSeason20242025!$R$2:$R$1315,1)</f>
        <v>0</v>
      </c>
      <c r="BA33" s="35"/>
      <c r="BB33" s="28">
        <f>COUNTIFS(DataRegularSeason20242025!$E$2:$E$1315,WatchedGames20242025!BA$1,DataRegularSeason20242025!$D$2:$D$1315,WatchedGames20242025!$A33,DataRegularSeason20242025!$N$2:$N$1315,1, DataRegularSeason20242025!$R$2:$R$1315,1)</f>
        <v>0</v>
      </c>
      <c r="BC33" s="35"/>
      <c r="BD33" s="28">
        <f>COUNTIFS(DataRegularSeason20242025!$E$2:$E$1315,WatchedGames20242025!BC$1,DataRegularSeason20242025!$D$2:$D$1315,WatchedGames20242025!$A33,DataRegularSeason20242025!$N$2:$N$1315,1, DataRegularSeason20242025!$R$2:$R$1315,1)</f>
        <v>1</v>
      </c>
      <c r="BE33" s="35"/>
      <c r="BF33" s="28">
        <f>COUNTIFS(DataRegularSeason20242025!$E$2:$E$1315,WatchedGames20242025!BE$1,DataRegularSeason20242025!$D$2:$D$1315,WatchedGames20242025!$A33,DataRegularSeason20242025!$N$2:$N$1315,1, DataRegularSeason20242025!$R$2:$R$1315,1)</f>
        <v>0</v>
      </c>
      <c r="BG33" s="35"/>
      <c r="BH33" s="28">
        <f>COUNTIFS(DataRegularSeason20242025!$E$2:$E$1315,WatchedGames20242025!BG$1,DataRegularSeason20242025!$D$2:$D$1315,WatchedGames20242025!$A33,DataRegularSeason20242025!$N$2:$N$1315,1, DataRegularSeason20242025!$R$2:$R$1315,1)</f>
        <v>0</v>
      </c>
      <c r="BI33" s="35"/>
      <c r="BJ33" s="28">
        <f>COUNTIFS(DataRegularSeason20242025!$E$2:$E$1315,WatchedGames20242025!BI$1,DataRegularSeason20242025!$D$2:$D$1315,WatchedGames20242025!$A33,DataRegularSeason20242025!$N$2:$N$1315,1, DataRegularSeason20242025!$R$2:$R$1315,1)</f>
        <v>0</v>
      </c>
      <c r="BK33" s="35"/>
      <c r="BL33" s="28">
        <f>COUNTIFS(DataRegularSeason20242025!$E$2:$E$1315,WatchedGames20242025!BK$1,DataRegularSeason20242025!$D$2:$D$1315,WatchedGames20242025!$A33,DataRegularSeason20242025!$N$2:$N$1315,1, DataRegularSeason20242025!$R$2:$R$1315,1)</f>
        <v>0</v>
      </c>
      <c r="BM33" s="35"/>
      <c r="BN33" s="28">
        <f>COUNTIFS(DataRegularSeason20242025!$E$2:$E$1315,WatchedGames20242025!BM$1,DataRegularSeason20242025!$D$2:$D$1315,WatchedGames20242025!$A33,DataRegularSeason20242025!$N$2:$N$1315,1, DataRegularSeason20242025!$R$2:$R$1315,1)</f>
        <v>0</v>
      </c>
      <c r="BO33" s="30">
        <f t="shared" si="1"/>
        <v>1</v>
      </c>
      <c r="BP33" s="165">
        <f t="shared" ref="BP33" si="30">BO33+BO34</f>
        <v>3</v>
      </c>
      <c r="BQ33" s="166">
        <f t="shared" ref="BQ33" si="31">82-BP33</f>
        <v>79</v>
      </c>
      <c r="BR33" s="173">
        <f t="shared" si="0"/>
        <v>3.6585365853658534E-2</v>
      </c>
    </row>
    <row r="34" spans="1:70" s="27" customFormat="1" ht="9.9499999999999993" customHeight="1" x14ac:dyDescent="0.2">
      <c r="A34" s="167"/>
      <c r="B34" s="32" t="s">
        <v>73</v>
      </c>
      <c r="C34" s="38">
        <f>COUNTIFS(DataRegularSeason20242025!$E$2:$E$1315,WatchedGames20242025!$A33,DataRegularSeason20242025!$D$2:$D$1315,WatchedGames20242025!C$1,DataRegularSeason20242025!$N$2:$N$1315,1, DataRegularSeason20242025!$R$2:$R$1315,1)</f>
        <v>0</v>
      </c>
      <c r="D34" s="39"/>
      <c r="E34" s="38">
        <f>COUNTIFS(DataRegularSeason20242025!$E$2:$E$1315,WatchedGames20242025!$A33,DataRegularSeason20242025!$D$2:$D$1315,WatchedGames20242025!E$1,DataRegularSeason20242025!$N$2:$N$1315,1, DataRegularSeason20242025!$R$2:$R$1315,1)</f>
        <v>0</v>
      </c>
      <c r="F34" s="39"/>
      <c r="G34" s="38">
        <f>COUNTIFS(DataRegularSeason20242025!$E$2:$E$1315,WatchedGames20242025!$A33,DataRegularSeason20242025!$D$2:$D$1315,WatchedGames20242025!G$1,DataRegularSeason20242025!$N$2:$N$1315,1, DataRegularSeason20242025!$R$2:$R$1315,1)</f>
        <v>0</v>
      </c>
      <c r="H34" s="39"/>
      <c r="I34" s="38">
        <f>COUNTIFS(DataRegularSeason20242025!$E$2:$E$1315,WatchedGames20242025!$A33,DataRegularSeason20242025!$D$2:$D$1315,WatchedGames20242025!I$1,DataRegularSeason20242025!$N$2:$N$1315,1, DataRegularSeason20242025!$R$2:$R$1315,1)</f>
        <v>0</v>
      </c>
      <c r="J34" s="39"/>
      <c r="K34" s="38">
        <f>COUNTIFS(DataRegularSeason20242025!$E$2:$E$1315,WatchedGames20242025!$A33,DataRegularSeason20242025!$D$2:$D$1315,WatchedGames20242025!K$1,DataRegularSeason20242025!$N$2:$N$1315,1, DataRegularSeason20242025!$R$2:$R$1315,1)</f>
        <v>0</v>
      </c>
      <c r="L34" s="39"/>
      <c r="M34" s="38">
        <f>COUNTIFS(DataRegularSeason20242025!$E$2:$E$1315,WatchedGames20242025!$A33,DataRegularSeason20242025!$D$2:$D$1315,WatchedGames20242025!M$1,DataRegularSeason20242025!$N$2:$N$1315,1, DataRegularSeason20242025!$R$2:$R$1315,1)</f>
        <v>0</v>
      </c>
      <c r="N34" s="39"/>
      <c r="O34" s="38">
        <f>COUNTIFS(DataRegularSeason20242025!$E$2:$E$1315,WatchedGames20242025!$A33,DataRegularSeason20242025!$D$2:$D$1315,WatchedGames20242025!O$1,DataRegularSeason20242025!$N$2:$N$1315,1, DataRegularSeason20242025!$R$2:$R$1315,1)</f>
        <v>0</v>
      </c>
      <c r="P34" s="39"/>
      <c r="Q34" s="38">
        <f>COUNTIFS(DataRegularSeason20242025!$E$2:$E$1315,WatchedGames20242025!$A33,DataRegularSeason20242025!$D$2:$D$1315,WatchedGames20242025!Q$1,DataRegularSeason20242025!$N$2:$N$1315,1, DataRegularSeason20242025!$R$2:$R$1315,1)</f>
        <v>0</v>
      </c>
      <c r="R34" s="39"/>
      <c r="S34" s="38">
        <f>COUNTIFS(DataRegularSeason20242025!$E$2:$E$1315,WatchedGames20242025!$A33,DataRegularSeason20242025!$D$2:$D$1315,WatchedGames20242025!S$1,DataRegularSeason20242025!$N$2:$N$1315,1, DataRegularSeason20242025!$R$2:$R$1315,1)</f>
        <v>0</v>
      </c>
      <c r="T34" s="39"/>
      <c r="U34" s="38">
        <f>COUNTIFS(DataRegularSeason20242025!$E$2:$E$1315,WatchedGames20242025!$A33,DataRegularSeason20242025!$D$2:$D$1315,WatchedGames20242025!U$1,DataRegularSeason20242025!$N$2:$N$1315,1, DataRegularSeason20242025!$R$2:$R$1315,1)</f>
        <v>0</v>
      </c>
      <c r="V34" s="39"/>
      <c r="W34" s="38">
        <f>COUNTIFS(DataRegularSeason20242025!$E$2:$E$1315,WatchedGames20242025!$A33,DataRegularSeason20242025!$D$2:$D$1315,WatchedGames20242025!W$1,DataRegularSeason20242025!$N$2:$N$1315,1, DataRegularSeason20242025!$R$2:$R$1315,1)</f>
        <v>1</v>
      </c>
      <c r="X34" s="39"/>
      <c r="Y34" s="38">
        <f>COUNTIFS(DataRegularSeason20242025!$E$2:$E$1315,WatchedGames20242025!$A33,DataRegularSeason20242025!$D$2:$D$1315,WatchedGames20242025!Y$1,DataRegularSeason20242025!$N$2:$N$1315,1, DataRegularSeason20242025!$R$2:$R$1315,1)</f>
        <v>1</v>
      </c>
      <c r="Z34" s="39"/>
      <c r="AA34" s="38">
        <f>COUNTIFS(DataRegularSeason20242025!$E$2:$E$1315,WatchedGames20242025!$A33,DataRegularSeason20242025!$D$2:$D$1315,WatchedGames20242025!AA$1,DataRegularSeason20242025!$N$2:$N$1315,1, DataRegularSeason20242025!$R$2:$R$1315,1)</f>
        <v>0</v>
      </c>
      <c r="AB34" s="39"/>
      <c r="AC34" s="38">
        <f>COUNTIFS(DataRegularSeason20242025!$E$2:$E$1315,WatchedGames20242025!$A33,DataRegularSeason20242025!$D$2:$D$1315,WatchedGames20242025!AC$1,DataRegularSeason20242025!$N$2:$N$1315,1, DataRegularSeason20242025!$R$2:$R$1315,1)</f>
        <v>0</v>
      </c>
      <c r="AD34" s="39"/>
      <c r="AE34" s="38">
        <f>COUNTIFS(DataRegularSeason20242025!$E$2:$E$1315,WatchedGames20242025!$A33,DataRegularSeason20242025!$D$2:$D$1315,WatchedGames20242025!AE$1,DataRegularSeason20242025!$N$2:$N$1315,1, DataRegularSeason20242025!$R$2:$R$1315,1)</f>
        <v>0</v>
      </c>
      <c r="AF34" s="39"/>
      <c r="AG34" s="38"/>
      <c r="AH34" s="39"/>
      <c r="AI34" s="38">
        <f>COUNTIFS(DataRegularSeason20242025!$E$2:$E$1315,WatchedGames20242025!$A33,DataRegularSeason20242025!$D$2:$D$1315,WatchedGames20242025!AI$1,DataRegularSeason20242025!$N$2:$N$1315,1, DataRegularSeason20242025!$R$2:$R$1315,1)</f>
        <v>0</v>
      </c>
      <c r="AJ34" s="39"/>
      <c r="AK34" s="38">
        <f>COUNTIFS(DataRegularSeason20242025!$E$2:$E$1315,WatchedGames20242025!$A33,DataRegularSeason20242025!$D$2:$D$1315,WatchedGames20242025!AK$1,DataRegularSeason20242025!$N$2:$N$1315,1, DataRegularSeason20242025!$R$2:$R$1315,1)</f>
        <v>0</v>
      </c>
      <c r="AL34" s="39"/>
      <c r="AM34" s="38">
        <f>COUNTIFS(DataRegularSeason20242025!$E$2:$E$1315,WatchedGames20242025!$A33,DataRegularSeason20242025!$D$2:$D$1315,WatchedGames20242025!AM$1,DataRegularSeason20242025!$N$2:$N$1315,1, DataRegularSeason20242025!$R$2:$R$1315,1)</f>
        <v>0</v>
      </c>
      <c r="AN34" s="39"/>
      <c r="AO34" s="38">
        <f>COUNTIFS(DataRegularSeason20242025!$E$2:$E$1315,WatchedGames20242025!$A33,DataRegularSeason20242025!$D$2:$D$1315,WatchedGames20242025!AO$1,DataRegularSeason20242025!$N$2:$N$1315,1, DataRegularSeason20242025!$R$2:$R$1315,1)</f>
        <v>0</v>
      </c>
      <c r="AP34" s="39"/>
      <c r="AQ34" s="38">
        <f>COUNTIFS(DataRegularSeason20242025!$E$2:$E$1315,WatchedGames20242025!$A33,DataRegularSeason20242025!$D$2:$D$1315,WatchedGames20242025!AQ$1,DataRegularSeason20242025!$N$2:$N$1315,1, DataRegularSeason20242025!$R$2:$R$1315,1)</f>
        <v>0</v>
      </c>
      <c r="AR34" s="39"/>
      <c r="AS34" s="38">
        <f>COUNTIFS(DataRegularSeason20242025!$E$2:$E$1315,WatchedGames20242025!$A33,DataRegularSeason20242025!$D$2:$D$1315,WatchedGames20242025!AS$1,DataRegularSeason20242025!$N$2:$N$1315,1, DataRegularSeason20242025!$R$2:$R$1315,1)</f>
        <v>0</v>
      </c>
      <c r="AT34" s="39"/>
      <c r="AU34" s="38">
        <f>COUNTIFS(DataRegularSeason20242025!$E$2:$E$1315,WatchedGames20242025!$A33,DataRegularSeason20242025!$D$2:$D$1315,WatchedGames20242025!AU$1,DataRegularSeason20242025!$N$2:$N$1315,1, DataRegularSeason20242025!$R$2:$R$1315,1)</f>
        <v>0</v>
      </c>
      <c r="AV34" s="39"/>
      <c r="AW34" s="38">
        <f>COUNTIFS(DataRegularSeason20242025!$E$2:$E$1315,WatchedGames20242025!$A33,DataRegularSeason20242025!$D$2:$D$1315,WatchedGames20242025!AW$1,DataRegularSeason20242025!$N$2:$N$1315,1, DataRegularSeason20242025!$R$2:$R$1315,1)</f>
        <v>0</v>
      </c>
      <c r="AX34" s="39"/>
      <c r="AY34" s="38">
        <f>COUNTIFS(DataRegularSeason20242025!$E$2:$E$1315,WatchedGames20242025!$A33,DataRegularSeason20242025!$D$2:$D$1315,WatchedGames20242025!AY$1,DataRegularSeason20242025!$N$2:$N$1315,1, DataRegularSeason20242025!$R$2:$R$1315,1)</f>
        <v>0</v>
      </c>
      <c r="AZ34" s="39"/>
      <c r="BA34" s="38">
        <f>COUNTIFS(DataRegularSeason20242025!$E$2:$E$1315,WatchedGames20242025!$A33,DataRegularSeason20242025!$D$2:$D$1315,WatchedGames20242025!BA$1,DataRegularSeason20242025!$N$2:$N$1315,1, DataRegularSeason20242025!$R$2:$R$1315,1)</f>
        <v>0</v>
      </c>
      <c r="BB34" s="39"/>
      <c r="BC34" s="38">
        <f>COUNTIFS(DataRegularSeason20242025!$E$2:$E$1315,WatchedGames20242025!$A33,DataRegularSeason20242025!$D$2:$D$1315,WatchedGames20242025!BC$1,DataRegularSeason20242025!$N$2:$N$1315,1, DataRegularSeason20242025!$R$2:$R$1315,1)</f>
        <v>0</v>
      </c>
      <c r="BD34" s="39"/>
      <c r="BE34" s="38">
        <f>COUNTIFS(DataRegularSeason20242025!$E$2:$E$1315,WatchedGames20242025!$A33,DataRegularSeason20242025!$D$2:$D$1315,WatchedGames20242025!BE$1,DataRegularSeason20242025!$N$2:$N$1315,1, DataRegularSeason20242025!$R$2:$R$1315,1)</f>
        <v>0</v>
      </c>
      <c r="BF34" s="39"/>
      <c r="BG34" s="38">
        <f>COUNTIFS(DataRegularSeason20242025!$E$2:$E$1315,WatchedGames20242025!$A33,DataRegularSeason20242025!$D$2:$D$1315,WatchedGames20242025!BG$1,DataRegularSeason20242025!$N$2:$N$1315,1, DataRegularSeason20242025!$R$2:$R$1315,1)</f>
        <v>0</v>
      </c>
      <c r="BH34" s="39"/>
      <c r="BI34" s="38">
        <f>COUNTIFS(DataRegularSeason20242025!$E$2:$E$1315,WatchedGames20242025!$A33,DataRegularSeason20242025!$D$2:$D$1315,WatchedGames20242025!BI$1,DataRegularSeason20242025!$N$2:$N$1315,1, DataRegularSeason20242025!$R$2:$R$1315,1)</f>
        <v>0</v>
      </c>
      <c r="BJ34" s="39"/>
      <c r="BK34" s="38">
        <f>COUNTIFS(DataRegularSeason20242025!$E$2:$E$1315,WatchedGames20242025!$A33,DataRegularSeason20242025!$D$2:$D$1315,WatchedGames20242025!BK$1,DataRegularSeason20242025!$N$2:$N$1315,1, DataRegularSeason20242025!$R$2:$R$1315,1)</f>
        <v>0</v>
      </c>
      <c r="BL34" s="39"/>
      <c r="BM34" s="38">
        <f>COUNTIFS(DataRegularSeason20242025!$E$2:$E$1315,WatchedGames20242025!$A33,DataRegularSeason20242025!$D$2:$D$1315,WatchedGames20242025!BM$1,DataRegularSeason20242025!$N$2:$N$1315,1, DataRegularSeason20242025!$R$2:$R$1315,1)</f>
        <v>0</v>
      </c>
      <c r="BN34" s="39"/>
      <c r="BO34" s="34">
        <f t="shared" si="1"/>
        <v>2</v>
      </c>
      <c r="BP34" s="165"/>
      <c r="BQ34" s="166"/>
      <c r="BR34" s="173"/>
    </row>
    <row r="35" spans="1:70" s="27" customFormat="1" ht="9.9499999999999993" customHeight="1" x14ac:dyDescent="0.2">
      <c r="A35" s="172" t="s">
        <v>34</v>
      </c>
      <c r="B35" s="28" t="s">
        <v>74</v>
      </c>
      <c r="C35" s="35"/>
      <c r="D35" s="28">
        <f>COUNTIFS(DataRegularSeason20242025!$E$2:$E$1315,WatchedGames20242025!C$1,DataRegularSeason20242025!$D$2:$D$1315,WatchedGames20242025!$A35,DataRegularSeason20242025!$N$2:$N$1315,1, DataRegularSeason20242025!$R$2:$R$1315,1)</f>
        <v>0</v>
      </c>
      <c r="E35" s="35"/>
      <c r="F35" s="28">
        <f>COUNTIFS(DataRegularSeason20242025!$E$2:$E$1315,WatchedGames20242025!E$1,DataRegularSeason20242025!$D$2:$D$1315,WatchedGames20242025!$A35,DataRegularSeason20242025!$N$2:$N$1315,1, DataRegularSeason20242025!$R$2:$R$1315,1)</f>
        <v>0</v>
      </c>
      <c r="G35" s="35"/>
      <c r="H35" s="28">
        <f>COUNTIFS(DataRegularSeason20242025!$E$2:$E$1315,WatchedGames20242025!G$1,DataRegularSeason20242025!$D$2:$D$1315,WatchedGames20242025!$A35,DataRegularSeason20242025!$N$2:$N$1315,1, DataRegularSeason20242025!$R$2:$R$1315,1)</f>
        <v>0</v>
      </c>
      <c r="I35" s="35"/>
      <c r="J35" s="28">
        <f>COUNTIFS(DataRegularSeason20242025!$E$2:$E$1315,WatchedGames20242025!I$1,DataRegularSeason20242025!$D$2:$D$1315,WatchedGames20242025!$A35,DataRegularSeason20242025!$N$2:$N$1315,1, DataRegularSeason20242025!$R$2:$R$1315,1)</f>
        <v>0</v>
      </c>
      <c r="K35" s="35"/>
      <c r="L35" s="28">
        <f>COUNTIFS(DataRegularSeason20242025!$E$2:$E$1315,WatchedGames20242025!K$1,DataRegularSeason20242025!$D$2:$D$1315,WatchedGames20242025!$A35,DataRegularSeason20242025!$N$2:$N$1315,1, DataRegularSeason20242025!$R$2:$R$1315,1)</f>
        <v>0</v>
      </c>
      <c r="M35" s="35"/>
      <c r="N35" s="28">
        <f>COUNTIFS(DataRegularSeason20242025!$E$2:$E$1315,WatchedGames20242025!M$1,DataRegularSeason20242025!$D$2:$D$1315,WatchedGames20242025!$A35,DataRegularSeason20242025!$N$2:$N$1315,1, DataRegularSeason20242025!$R$2:$R$1315,1)</f>
        <v>0</v>
      </c>
      <c r="O35" s="35"/>
      <c r="P35" s="28">
        <f>COUNTIFS(DataRegularSeason20242025!$E$2:$E$1315,WatchedGames20242025!O$1,DataRegularSeason20242025!$D$2:$D$1315,WatchedGames20242025!$A35,DataRegularSeason20242025!$N$2:$N$1315,1, DataRegularSeason20242025!$R$2:$R$1315,1)</f>
        <v>0</v>
      </c>
      <c r="Q35" s="35"/>
      <c r="R35" s="28">
        <f>COUNTIFS(DataRegularSeason20242025!$E$2:$E$1315,WatchedGames20242025!Q$1,DataRegularSeason20242025!$D$2:$D$1315,WatchedGames20242025!$A35,DataRegularSeason20242025!$N$2:$N$1315,1, DataRegularSeason20242025!$R$2:$R$1315,1)</f>
        <v>0</v>
      </c>
      <c r="S35" s="35"/>
      <c r="T35" s="28">
        <f>COUNTIFS(DataRegularSeason20242025!$E$2:$E$1315,WatchedGames20242025!S$1,DataRegularSeason20242025!$D$2:$D$1315,WatchedGames20242025!$A35,DataRegularSeason20242025!$N$2:$N$1315,1, DataRegularSeason20242025!$R$2:$R$1315,1)</f>
        <v>0</v>
      </c>
      <c r="U35" s="35"/>
      <c r="V35" s="28">
        <f>COUNTIFS(DataRegularSeason20242025!$E$2:$E$1315,WatchedGames20242025!U$1,DataRegularSeason20242025!$D$2:$D$1315,WatchedGames20242025!$A35,DataRegularSeason20242025!$N$2:$N$1315,1, DataRegularSeason20242025!$R$2:$R$1315,1)</f>
        <v>0</v>
      </c>
      <c r="W35" s="35"/>
      <c r="X35" s="28">
        <f>COUNTIFS(DataRegularSeason20242025!$E$2:$E$1315,WatchedGames20242025!W$1,DataRegularSeason20242025!$D$2:$D$1315,WatchedGames20242025!$A35,DataRegularSeason20242025!$N$2:$N$1315,1, DataRegularSeason20242025!$R$2:$R$1315,1)</f>
        <v>0</v>
      </c>
      <c r="Y35" s="35"/>
      <c r="Z35" s="28">
        <f>COUNTIFS(DataRegularSeason20242025!$E$2:$E$1315,WatchedGames20242025!Y$1,DataRegularSeason20242025!$D$2:$D$1315,WatchedGames20242025!$A35,DataRegularSeason20242025!$N$2:$N$1315,1, DataRegularSeason20242025!$R$2:$R$1315,1)</f>
        <v>0</v>
      </c>
      <c r="AA35" s="35"/>
      <c r="AB35" s="28">
        <f>COUNTIFS(DataRegularSeason20242025!$E$2:$E$1315,WatchedGames20242025!AA$1,DataRegularSeason20242025!$D$2:$D$1315,WatchedGames20242025!$A35,DataRegularSeason20242025!$N$2:$N$1315,1, DataRegularSeason20242025!$R$2:$R$1315,1)</f>
        <v>0</v>
      </c>
      <c r="AC35" s="35"/>
      <c r="AD35" s="28">
        <f>COUNTIFS(DataRegularSeason20242025!$E$2:$E$1315,WatchedGames20242025!AC$1,DataRegularSeason20242025!$D$2:$D$1315,WatchedGames20242025!$A35,DataRegularSeason20242025!$N$2:$N$1315,1, DataRegularSeason20242025!$R$2:$R$1315,1)</f>
        <v>0</v>
      </c>
      <c r="AE35" s="35"/>
      <c r="AF35" s="28">
        <f>COUNTIFS(DataRegularSeason20242025!$E$2:$E$1315,WatchedGames20242025!AE$1,DataRegularSeason20242025!$D$2:$D$1315,WatchedGames20242025!$A35,DataRegularSeason20242025!$N$2:$N$1315,1, DataRegularSeason20242025!$R$2:$R$1315,1)</f>
        <v>1</v>
      </c>
      <c r="AG35" s="35"/>
      <c r="AH35" s="28">
        <f>COUNTIFS(DataRegularSeason20242025!$E$2:$E$1315,WatchedGames20242025!AG$1,DataRegularSeason20242025!$D$2:$D$1315,WatchedGames20242025!$A35,DataRegularSeason20242025!$N$2:$N$1315,1, DataRegularSeason20242025!$R$2:$R$1315,1)</f>
        <v>0</v>
      </c>
      <c r="AI35" s="35"/>
      <c r="AJ35" s="36"/>
      <c r="AK35" s="35"/>
      <c r="AL35" s="28">
        <f>COUNTIFS(DataRegularSeason20242025!$E$2:$E$1315,WatchedGames20242025!AK$1,DataRegularSeason20242025!$D$2:$D$1315,WatchedGames20242025!$A35,DataRegularSeason20242025!$N$2:$N$1315,1, DataRegularSeason20242025!$R$2:$R$1315,1)</f>
        <v>0</v>
      </c>
      <c r="AM35" s="35"/>
      <c r="AN35" s="28">
        <f>COUNTIFS(DataRegularSeason20242025!$E$2:$E$1315,WatchedGames20242025!AM$1,DataRegularSeason20242025!$D$2:$D$1315,WatchedGames20242025!$A35,DataRegularSeason20242025!$N$2:$N$1315,1, DataRegularSeason20242025!$R$2:$R$1315,1)</f>
        <v>0</v>
      </c>
      <c r="AO35" s="35"/>
      <c r="AP35" s="28">
        <f>COUNTIFS(DataRegularSeason20242025!$E$2:$E$1315,WatchedGames20242025!AO$1,DataRegularSeason20242025!$D$2:$D$1315,WatchedGames20242025!$A35,DataRegularSeason20242025!$N$2:$N$1315,1, DataRegularSeason20242025!$R$2:$R$1315,1)</f>
        <v>0</v>
      </c>
      <c r="AQ35" s="35"/>
      <c r="AR35" s="28">
        <f>COUNTIFS(DataRegularSeason20242025!$E$2:$E$1315,WatchedGames20242025!AQ$1,DataRegularSeason20242025!$D$2:$D$1315,WatchedGames20242025!$A35,DataRegularSeason20242025!$N$2:$N$1315,1, DataRegularSeason20242025!$R$2:$R$1315,1)</f>
        <v>0</v>
      </c>
      <c r="AS35" s="35"/>
      <c r="AT35" s="28">
        <f>COUNTIFS(DataRegularSeason20242025!$E$2:$E$1315,WatchedGames20242025!AS$1,DataRegularSeason20242025!$D$2:$D$1315,WatchedGames20242025!$A35,DataRegularSeason20242025!$N$2:$N$1315,1, DataRegularSeason20242025!$R$2:$R$1315,1)</f>
        <v>0</v>
      </c>
      <c r="AU35" s="35"/>
      <c r="AV35" s="28">
        <f>COUNTIFS(DataRegularSeason20242025!$E$2:$E$1315,WatchedGames20242025!AU$1,DataRegularSeason20242025!$D$2:$D$1315,WatchedGames20242025!$A35,DataRegularSeason20242025!$N$2:$N$1315,1, DataRegularSeason20242025!$R$2:$R$1315,1)</f>
        <v>0</v>
      </c>
      <c r="AW35" s="35"/>
      <c r="AX35" s="28">
        <f>COUNTIFS(DataRegularSeason20242025!$E$2:$E$1315,WatchedGames20242025!AW$1,DataRegularSeason20242025!$D$2:$D$1315,WatchedGames20242025!$A35,DataRegularSeason20242025!$N$2:$N$1315,1, DataRegularSeason20242025!$R$2:$R$1315,1)</f>
        <v>0</v>
      </c>
      <c r="AY35" s="35"/>
      <c r="AZ35" s="28">
        <f>COUNTIFS(DataRegularSeason20242025!$E$2:$E$1315,WatchedGames20242025!AY$1,DataRegularSeason20242025!$D$2:$D$1315,WatchedGames20242025!$A35,DataRegularSeason20242025!$N$2:$N$1315,1, DataRegularSeason20242025!$R$2:$R$1315,1)</f>
        <v>0</v>
      </c>
      <c r="BA35" s="35"/>
      <c r="BB35" s="28">
        <f>COUNTIFS(DataRegularSeason20242025!$E$2:$E$1315,WatchedGames20242025!BA$1,DataRegularSeason20242025!$D$2:$D$1315,WatchedGames20242025!$A35,DataRegularSeason20242025!$N$2:$N$1315,1, DataRegularSeason20242025!$R$2:$R$1315,1)</f>
        <v>0</v>
      </c>
      <c r="BC35" s="35"/>
      <c r="BD35" s="28">
        <f>COUNTIFS(DataRegularSeason20242025!$E$2:$E$1315,WatchedGames20242025!BC$1,DataRegularSeason20242025!$D$2:$D$1315,WatchedGames20242025!$A35,DataRegularSeason20242025!$N$2:$N$1315,1, DataRegularSeason20242025!$R$2:$R$1315,1)</f>
        <v>1</v>
      </c>
      <c r="BE35" s="35"/>
      <c r="BF35" s="28">
        <f>COUNTIFS(DataRegularSeason20242025!$E$2:$E$1315,WatchedGames20242025!BE$1,DataRegularSeason20242025!$D$2:$D$1315,WatchedGames20242025!$A35,DataRegularSeason20242025!$N$2:$N$1315,1, DataRegularSeason20242025!$R$2:$R$1315,1)</f>
        <v>0</v>
      </c>
      <c r="BG35" s="35"/>
      <c r="BH35" s="28">
        <f>COUNTIFS(DataRegularSeason20242025!$E$2:$E$1315,WatchedGames20242025!BG$1,DataRegularSeason20242025!$D$2:$D$1315,WatchedGames20242025!$A35,DataRegularSeason20242025!$N$2:$N$1315,1, DataRegularSeason20242025!$R$2:$R$1315,1)</f>
        <v>0</v>
      </c>
      <c r="BI35" s="35"/>
      <c r="BJ35" s="28">
        <f>COUNTIFS(DataRegularSeason20242025!$E$2:$E$1315,WatchedGames20242025!BI$1,DataRegularSeason20242025!$D$2:$D$1315,WatchedGames20242025!$A35,DataRegularSeason20242025!$N$2:$N$1315,1, DataRegularSeason20242025!$R$2:$R$1315,1)</f>
        <v>0</v>
      </c>
      <c r="BK35" s="35"/>
      <c r="BL35" s="28">
        <f>COUNTIFS(DataRegularSeason20242025!$E$2:$E$1315,WatchedGames20242025!BK$1,DataRegularSeason20242025!$D$2:$D$1315,WatchedGames20242025!$A35,DataRegularSeason20242025!$N$2:$N$1315,1, DataRegularSeason20242025!$R$2:$R$1315,1)</f>
        <v>1</v>
      </c>
      <c r="BM35" s="35"/>
      <c r="BN35" s="28">
        <f>COUNTIFS(DataRegularSeason20242025!$E$2:$E$1315,WatchedGames20242025!BM$1,DataRegularSeason20242025!$D$2:$D$1315,WatchedGames20242025!$A35,DataRegularSeason20242025!$N$2:$N$1315,1, DataRegularSeason20242025!$R$2:$R$1315,1)</f>
        <v>0</v>
      </c>
      <c r="BO35" s="30">
        <f t="shared" si="1"/>
        <v>3</v>
      </c>
      <c r="BP35" s="165">
        <f t="shared" ref="BP35" si="32">BO35+BO36</f>
        <v>5</v>
      </c>
      <c r="BQ35" s="166">
        <f t="shared" ref="BQ35" si="33">82-BP35</f>
        <v>77</v>
      </c>
      <c r="BR35" s="173">
        <f t="shared" si="0"/>
        <v>6.097560975609756E-2</v>
      </c>
    </row>
    <row r="36" spans="1:70" s="27" customFormat="1" ht="9.9499999999999993" customHeight="1" x14ac:dyDescent="0.2">
      <c r="A36" s="167"/>
      <c r="B36" s="32" t="s">
        <v>73</v>
      </c>
      <c r="C36" s="38">
        <f>COUNTIFS(DataRegularSeason20242025!$E$2:$E$1315,WatchedGames20242025!$A35,DataRegularSeason20242025!$D$2:$D$1315,WatchedGames20242025!C$1,DataRegularSeason20242025!$N$2:$N$1315,1, DataRegularSeason20242025!$R$2:$R$1315,1)</f>
        <v>1</v>
      </c>
      <c r="D36" s="39"/>
      <c r="E36" s="38">
        <f>COUNTIFS(DataRegularSeason20242025!$E$2:$E$1315,WatchedGames20242025!$A35,DataRegularSeason20242025!$D$2:$D$1315,WatchedGames20242025!E$1,DataRegularSeason20242025!$N$2:$N$1315,1, DataRegularSeason20242025!$R$2:$R$1315,1)</f>
        <v>0</v>
      </c>
      <c r="F36" s="39"/>
      <c r="G36" s="38">
        <f>COUNTIFS(DataRegularSeason20242025!$E$2:$E$1315,WatchedGames20242025!$A35,DataRegularSeason20242025!$D$2:$D$1315,WatchedGames20242025!G$1,DataRegularSeason20242025!$N$2:$N$1315,1, DataRegularSeason20242025!$R$2:$R$1315,1)</f>
        <v>0</v>
      </c>
      <c r="H36" s="39"/>
      <c r="I36" s="38">
        <f>COUNTIFS(DataRegularSeason20242025!$E$2:$E$1315,WatchedGames20242025!$A35,DataRegularSeason20242025!$D$2:$D$1315,WatchedGames20242025!I$1,DataRegularSeason20242025!$N$2:$N$1315,1, DataRegularSeason20242025!$R$2:$R$1315,1)</f>
        <v>0</v>
      </c>
      <c r="J36" s="39"/>
      <c r="K36" s="38">
        <f>COUNTIFS(DataRegularSeason20242025!$E$2:$E$1315,WatchedGames20242025!$A35,DataRegularSeason20242025!$D$2:$D$1315,WatchedGames20242025!K$1,DataRegularSeason20242025!$N$2:$N$1315,1, DataRegularSeason20242025!$R$2:$R$1315,1)</f>
        <v>0</v>
      </c>
      <c r="L36" s="39"/>
      <c r="M36" s="38">
        <f>COUNTIFS(DataRegularSeason20242025!$E$2:$E$1315,WatchedGames20242025!$A35,DataRegularSeason20242025!$D$2:$D$1315,WatchedGames20242025!M$1,DataRegularSeason20242025!$N$2:$N$1315,1, DataRegularSeason20242025!$R$2:$R$1315,1)</f>
        <v>0</v>
      </c>
      <c r="N36" s="39"/>
      <c r="O36" s="38">
        <f>COUNTIFS(DataRegularSeason20242025!$E$2:$E$1315,WatchedGames20242025!$A35,DataRegularSeason20242025!$D$2:$D$1315,WatchedGames20242025!O$1,DataRegularSeason20242025!$N$2:$N$1315,1, DataRegularSeason20242025!$R$2:$R$1315,1)</f>
        <v>0</v>
      </c>
      <c r="P36" s="39"/>
      <c r="Q36" s="38">
        <f>COUNTIFS(DataRegularSeason20242025!$E$2:$E$1315,WatchedGames20242025!$A35,DataRegularSeason20242025!$D$2:$D$1315,WatchedGames20242025!Q$1,DataRegularSeason20242025!$N$2:$N$1315,1, DataRegularSeason20242025!$R$2:$R$1315,1)</f>
        <v>0</v>
      </c>
      <c r="R36" s="39"/>
      <c r="S36" s="38">
        <f>COUNTIFS(DataRegularSeason20242025!$E$2:$E$1315,WatchedGames20242025!$A35,DataRegularSeason20242025!$D$2:$D$1315,WatchedGames20242025!S$1,DataRegularSeason20242025!$N$2:$N$1315,1, DataRegularSeason20242025!$R$2:$R$1315,1)</f>
        <v>0</v>
      </c>
      <c r="T36" s="39"/>
      <c r="U36" s="38">
        <f>COUNTIFS(DataRegularSeason20242025!$E$2:$E$1315,WatchedGames20242025!$A35,DataRegularSeason20242025!$D$2:$D$1315,WatchedGames20242025!U$1,DataRegularSeason20242025!$N$2:$N$1315,1, DataRegularSeason20242025!$R$2:$R$1315,1)</f>
        <v>0</v>
      </c>
      <c r="V36" s="39"/>
      <c r="W36" s="38">
        <f>COUNTIFS(DataRegularSeason20242025!$E$2:$E$1315,WatchedGames20242025!$A35,DataRegularSeason20242025!$D$2:$D$1315,WatchedGames20242025!W$1,DataRegularSeason20242025!$N$2:$N$1315,1, DataRegularSeason20242025!$R$2:$R$1315,1)</f>
        <v>0</v>
      </c>
      <c r="X36" s="39"/>
      <c r="Y36" s="38">
        <f>COUNTIFS(DataRegularSeason20242025!$E$2:$E$1315,WatchedGames20242025!$A35,DataRegularSeason20242025!$D$2:$D$1315,WatchedGames20242025!Y$1,DataRegularSeason20242025!$N$2:$N$1315,1, DataRegularSeason20242025!$R$2:$R$1315,1)</f>
        <v>0</v>
      </c>
      <c r="Z36" s="39"/>
      <c r="AA36" s="38">
        <f>COUNTIFS(DataRegularSeason20242025!$E$2:$E$1315,WatchedGames20242025!$A35,DataRegularSeason20242025!$D$2:$D$1315,WatchedGames20242025!AA$1,DataRegularSeason20242025!$N$2:$N$1315,1, DataRegularSeason20242025!$R$2:$R$1315,1)</f>
        <v>0</v>
      </c>
      <c r="AB36" s="39"/>
      <c r="AC36" s="38">
        <f>COUNTIFS(DataRegularSeason20242025!$E$2:$E$1315,WatchedGames20242025!$A35,DataRegularSeason20242025!$D$2:$D$1315,WatchedGames20242025!AC$1,DataRegularSeason20242025!$N$2:$N$1315,1, DataRegularSeason20242025!$R$2:$R$1315,1)</f>
        <v>0</v>
      </c>
      <c r="AD36" s="39"/>
      <c r="AE36" s="38">
        <f>COUNTIFS(DataRegularSeason20242025!$E$2:$E$1315,WatchedGames20242025!$A35,DataRegularSeason20242025!$D$2:$D$1315,WatchedGames20242025!AE$1,DataRegularSeason20242025!$N$2:$N$1315,1, DataRegularSeason20242025!$R$2:$R$1315,1)</f>
        <v>0</v>
      </c>
      <c r="AF36" s="39"/>
      <c r="AG36" s="38">
        <f>COUNTIFS(DataRegularSeason20242025!$E$2:$E$1315,WatchedGames20242025!$A35,DataRegularSeason20242025!$D$2:$D$1315,WatchedGames20242025!AG$1,DataRegularSeason20242025!$N$2:$N$1315,1, DataRegularSeason20242025!$R$2:$R$1315,1)</f>
        <v>0</v>
      </c>
      <c r="AH36" s="39"/>
      <c r="AI36" s="38"/>
      <c r="AJ36" s="39"/>
      <c r="AK36" s="38">
        <f>COUNTIFS(DataRegularSeason20242025!$E$2:$E$1315,WatchedGames20242025!$A35,DataRegularSeason20242025!$D$2:$D$1315,WatchedGames20242025!AK$1,DataRegularSeason20242025!$N$2:$N$1315,1, DataRegularSeason20242025!$R$2:$R$1315,1)</f>
        <v>0</v>
      </c>
      <c r="AL36" s="39"/>
      <c r="AM36" s="38">
        <f>COUNTIFS(DataRegularSeason20242025!$E$2:$E$1315,WatchedGames20242025!$A35,DataRegularSeason20242025!$D$2:$D$1315,WatchedGames20242025!AM$1,DataRegularSeason20242025!$N$2:$N$1315,1, DataRegularSeason20242025!$R$2:$R$1315,1)</f>
        <v>0</v>
      </c>
      <c r="AN36" s="39"/>
      <c r="AO36" s="38">
        <f>COUNTIFS(DataRegularSeason20242025!$E$2:$E$1315,WatchedGames20242025!$A35,DataRegularSeason20242025!$D$2:$D$1315,WatchedGames20242025!AO$1,DataRegularSeason20242025!$N$2:$N$1315,1, DataRegularSeason20242025!$R$2:$R$1315,1)</f>
        <v>0</v>
      </c>
      <c r="AP36" s="39"/>
      <c r="AQ36" s="38">
        <f>COUNTIFS(DataRegularSeason20242025!$E$2:$E$1315,WatchedGames20242025!$A35,DataRegularSeason20242025!$D$2:$D$1315,WatchedGames20242025!AQ$1,DataRegularSeason20242025!$N$2:$N$1315,1, DataRegularSeason20242025!$R$2:$R$1315,1)</f>
        <v>0</v>
      </c>
      <c r="AR36" s="39"/>
      <c r="AS36" s="38">
        <f>COUNTIFS(DataRegularSeason20242025!$E$2:$E$1315,WatchedGames20242025!$A35,DataRegularSeason20242025!$D$2:$D$1315,WatchedGames20242025!AS$1,DataRegularSeason20242025!$N$2:$N$1315,1, DataRegularSeason20242025!$R$2:$R$1315,1)</f>
        <v>0</v>
      </c>
      <c r="AT36" s="39"/>
      <c r="AU36" s="38">
        <f>COUNTIFS(DataRegularSeason20242025!$E$2:$E$1315,WatchedGames20242025!$A35,DataRegularSeason20242025!$D$2:$D$1315,WatchedGames20242025!AU$1,DataRegularSeason20242025!$N$2:$N$1315,1, DataRegularSeason20242025!$R$2:$R$1315,1)</f>
        <v>0</v>
      </c>
      <c r="AV36" s="39"/>
      <c r="AW36" s="38">
        <f>COUNTIFS(DataRegularSeason20242025!$E$2:$E$1315,WatchedGames20242025!$A35,DataRegularSeason20242025!$D$2:$D$1315,WatchedGames20242025!AW$1,DataRegularSeason20242025!$N$2:$N$1315,1, DataRegularSeason20242025!$R$2:$R$1315,1)</f>
        <v>0</v>
      </c>
      <c r="AX36" s="39"/>
      <c r="AY36" s="38">
        <f>COUNTIFS(DataRegularSeason20242025!$E$2:$E$1315,WatchedGames20242025!$A35,DataRegularSeason20242025!$D$2:$D$1315,WatchedGames20242025!AY$1,DataRegularSeason20242025!$N$2:$N$1315,1, DataRegularSeason20242025!$R$2:$R$1315,1)</f>
        <v>0</v>
      </c>
      <c r="AZ36" s="39"/>
      <c r="BA36" s="38">
        <f>COUNTIFS(DataRegularSeason20242025!$E$2:$E$1315,WatchedGames20242025!$A35,DataRegularSeason20242025!$D$2:$D$1315,WatchedGames20242025!BA$1,DataRegularSeason20242025!$N$2:$N$1315,1, DataRegularSeason20242025!$R$2:$R$1315,1)</f>
        <v>0</v>
      </c>
      <c r="BB36" s="39"/>
      <c r="BC36" s="38">
        <f>COUNTIFS(DataRegularSeason20242025!$E$2:$E$1315,WatchedGames20242025!$A35,DataRegularSeason20242025!$D$2:$D$1315,WatchedGames20242025!BC$1,DataRegularSeason20242025!$N$2:$N$1315,1, DataRegularSeason20242025!$R$2:$R$1315,1)</f>
        <v>0</v>
      </c>
      <c r="BD36" s="39"/>
      <c r="BE36" s="38">
        <f>COUNTIFS(DataRegularSeason20242025!$E$2:$E$1315,WatchedGames20242025!$A35,DataRegularSeason20242025!$D$2:$D$1315,WatchedGames20242025!BE$1,DataRegularSeason20242025!$N$2:$N$1315,1, DataRegularSeason20242025!$R$2:$R$1315,1)</f>
        <v>1</v>
      </c>
      <c r="BF36" s="39"/>
      <c r="BG36" s="38">
        <f>COUNTIFS(DataRegularSeason20242025!$E$2:$E$1315,WatchedGames20242025!$A35,DataRegularSeason20242025!$D$2:$D$1315,WatchedGames20242025!BG$1,DataRegularSeason20242025!$N$2:$N$1315,1, DataRegularSeason20242025!$R$2:$R$1315,1)</f>
        <v>0</v>
      </c>
      <c r="BH36" s="39"/>
      <c r="BI36" s="38">
        <f>COUNTIFS(DataRegularSeason20242025!$E$2:$E$1315,WatchedGames20242025!$A35,DataRegularSeason20242025!$D$2:$D$1315,WatchedGames20242025!BI$1,DataRegularSeason20242025!$N$2:$N$1315,1, DataRegularSeason20242025!$R$2:$R$1315,1)</f>
        <v>0</v>
      </c>
      <c r="BJ36" s="39"/>
      <c r="BK36" s="38">
        <f>COUNTIFS(DataRegularSeason20242025!$E$2:$E$1315,WatchedGames20242025!$A35,DataRegularSeason20242025!$D$2:$D$1315,WatchedGames20242025!BK$1,DataRegularSeason20242025!$N$2:$N$1315,1, DataRegularSeason20242025!$R$2:$R$1315,1)</f>
        <v>0</v>
      </c>
      <c r="BL36" s="39"/>
      <c r="BM36" s="38">
        <f>COUNTIFS(DataRegularSeason20242025!$E$2:$E$1315,WatchedGames20242025!$A35,DataRegularSeason20242025!$D$2:$D$1315,WatchedGames20242025!BM$1,DataRegularSeason20242025!$N$2:$N$1315,1, DataRegularSeason20242025!$R$2:$R$1315,1)</f>
        <v>0</v>
      </c>
      <c r="BN36" s="39"/>
      <c r="BO36" s="34">
        <f t="shared" si="1"/>
        <v>2</v>
      </c>
      <c r="BP36" s="165"/>
      <c r="BQ36" s="166"/>
      <c r="BR36" s="173"/>
    </row>
    <row r="37" spans="1:70" s="27" customFormat="1" ht="9.9499999999999993" customHeight="1" x14ac:dyDescent="0.2">
      <c r="A37" s="172" t="s">
        <v>32</v>
      </c>
      <c r="B37" s="28" t="s">
        <v>74</v>
      </c>
      <c r="C37" s="35"/>
      <c r="D37" s="28">
        <f>COUNTIFS(DataRegularSeason20242025!$E$2:$E$1315,WatchedGames20242025!C$1,DataRegularSeason20242025!$D$2:$D$1315,WatchedGames20242025!$A37,DataRegularSeason20242025!$N$2:$N$1315,1, DataRegularSeason20242025!$R$2:$R$1315,1)</f>
        <v>0</v>
      </c>
      <c r="E37" s="35"/>
      <c r="F37" s="28">
        <f>COUNTIFS(DataRegularSeason20242025!$E$2:$E$1315,WatchedGames20242025!E$1,DataRegularSeason20242025!$D$2:$D$1315,WatchedGames20242025!$A37,DataRegularSeason20242025!$N$2:$N$1315,1, DataRegularSeason20242025!$R$2:$R$1315,1)</f>
        <v>0</v>
      </c>
      <c r="G37" s="35"/>
      <c r="H37" s="28">
        <f>COUNTIFS(DataRegularSeason20242025!$E$2:$E$1315,WatchedGames20242025!G$1,DataRegularSeason20242025!$D$2:$D$1315,WatchedGames20242025!$A37,DataRegularSeason20242025!$N$2:$N$1315,1, DataRegularSeason20242025!$R$2:$R$1315,1)</f>
        <v>0</v>
      </c>
      <c r="I37" s="35"/>
      <c r="J37" s="28">
        <f>COUNTIFS(DataRegularSeason20242025!$E$2:$E$1315,WatchedGames20242025!I$1,DataRegularSeason20242025!$D$2:$D$1315,WatchedGames20242025!$A37,DataRegularSeason20242025!$N$2:$N$1315,1, DataRegularSeason20242025!$R$2:$R$1315,1)</f>
        <v>0</v>
      </c>
      <c r="K37" s="35"/>
      <c r="L37" s="28">
        <f>COUNTIFS(DataRegularSeason20242025!$E$2:$E$1315,WatchedGames20242025!K$1,DataRegularSeason20242025!$D$2:$D$1315,WatchedGames20242025!$A37,DataRegularSeason20242025!$N$2:$N$1315,1, DataRegularSeason20242025!$R$2:$R$1315,1)</f>
        <v>0</v>
      </c>
      <c r="M37" s="35"/>
      <c r="N37" s="28">
        <f>COUNTIFS(DataRegularSeason20242025!$E$2:$E$1315,WatchedGames20242025!M$1,DataRegularSeason20242025!$D$2:$D$1315,WatchedGames20242025!$A37,DataRegularSeason20242025!$N$2:$N$1315,1, DataRegularSeason20242025!$R$2:$R$1315,1)</f>
        <v>0</v>
      </c>
      <c r="O37" s="35"/>
      <c r="P37" s="28">
        <f>COUNTIFS(DataRegularSeason20242025!$E$2:$E$1315,WatchedGames20242025!O$1,DataRegularSeason20242025!$D$2:$D$1315,WatchedGames20242025!$A37,DataRegularSeason20242025!$N$2:$N$1315,1, DataRegularSeason20242025!$R$2:$R$1315,1)</f>
        <v>0</v>
      </c>
      <c r="Q37" s="35"/>
      <c r="R37" s="28">
        <f>COUNTIFS(DataRegularSeason20242025!$E$2:$E$1315,WatchedGames20242025!Q$1,DataRegularSeason20242025!$D$2:$D$1315,WatchedGames20242025!$A37,DataRegularSeason20242025!$N$2:$N$1315,1, DataRegularSeason20242025!$R$2:$R$1315,1)</f>
        <v>0</v>
      </c>
      <c r="S37" s="35"/>
      <c r="T37" s="28">
        <f>COUNTIFS(DataRegularSeason20242025!$E$2:$E$1315,WatchedGames20242025!S$1,DataRegularSeason20242025!$D$2:$D$1315,WatchedGames20242025!$A37,DataRegularSeason20242025!$N$2:$N$1315,1, DataRegularSeason20242025!$R$2:$R$1315,1)</f>
        <v>0</v>
      </c>
      <c r="U37" s="35"/>
      <c r="V37" s="28">
        <f>COUNTIFS(DataRegularSeason20242025!$E$2:$E$1315,WatchedGames20242025!U$1,DataRegularSeason20242025!$D$2:$D$1315,WatchedGames20242025!$A37,DataRegularSeason20242025!$N$2:$N$1315,1, DataRegularSeason20242025!$R$2:$R$1315,1)</f>
        <v>0</v>
      </c>
      <c r="W37" s="35"/>
      <c r="X37" s="28">
        <f>COUNTIFS(DataRegularSeason20242025!$E$2:$E$1315,WatchedGames20242025!W$1,DataRegularSeason20242025!$D$2:$D$1315,WatchedGames20242025!$A37,DataRegularSeason20242025!$N$2:$N$1315,1, DataRegularSeason20242025!$R$2:$R$1315,1)</f>
        <v>0</v>
      </c>
      <c r="Y37" s="35"/>
      <c r="Z37" s="28">
        <f>COUNTIFS(DataRegularSeason20242025!$E$2:$E$1315,WatchedGames20242025!Y$1,DataRegularSeason20242025!$D$2:$D$1315,WatchedGames20242025!$A37,DataRegularSeason20242025!$N$2:$N$1315,1, DataRegularSeason20242025!$R$2:$R$1315,1)</f>
        <v>0</v>
      </c>
      <c r="AA37" s="35"/>
      <c r="AB37" s="28">
        <f>COUNTIFS(DataRegularSeason20242025!$E$2:$E$1315,WatchedGames20242025!AA$1,DataRegularSeason20242025!$D$2:$D$1315,WatchedGames20242025!$A37,DataRegularSeason20242025!$N$2:$N$1315,1, DataRegularSeason20242025!$R$2:$R$1315,1)</f>
        <v>0</v>
      </c>
      <c r="AC37" s="35"/>
      <c r="AD37" s="28">
        <f>COUNTIFS(DataRegularSeason20242025!$E$2:$E$1315,WatchedGames20242025!AC$1,DataRegularSeason20242025!$D$2:$D$1315,WatchedGames20242025!$A37,DataRegularSeason20242025!$N$2:$N$1315,1, DataRegularSeason20242025!$R$2:$R$1315,1)</f>
        <v>0</v>
      </c>
      <c r="AE37" s="35"/>
      <c r="AF37" s="28">
        <f>COUNTIFS(DataRegularSeason20242025!$E$2:$E$1315,WatchedGames20242025!AE$1,DataRegularSeason20242025!$D$2:$D$1315,WatchedGames20242025!$A37,DataRegularSeason20242025!$N$2:$N$1315,1, DataRegularSeason20242025!$R$2:$R$1315,1)</f>
        <v>0</v>
      </c>
      <c r="AG37" s="35"/>
      <c r="AH37" s="28">
        <f>COUNTIFS(DataRegularSeason20242025!$E$2:$E$1315,WatchedGames20242025!AG$1,DataRegularSeason20242025!$D$2:$D$1315,WatchedGames20242025!$A37,DataRegularSeason20242025!$N$2:$N$1315,1, DataRegularSeason20242025!$R$2:$R$1315,1)</f>
        <v>0</v>
      </c>
      <c r="AI37" s="35"/>
      <c r="AJ37" s="28">
        <f>COUNTIFS(DataRegularSeason20242025!$E$2:$E$1315,WatchedGames20242025!AI$1,DataRegularSeason20242025!$D$2:$D$1315,WatchedGames20242025!$A37,DataRegularSeason20242025!$N$2:$N$1315,1, DataRegularSeason20242025!$R$2:$R$1315,1)</f>
        <v>0</v>
      </c>
      <c r="AK37" s="35"/>
      <c r="AL37" s="36"/>
      <c r="AM37" s="35"/>
      <c r="AN37" s="28">
        <f>COUNTIFS(DataRegularSeason20242025!$E$2:$E$1315,WatchedGames20242025!AM$1,DataRegularSeason20242025!$D$2:$D$1315,WatchedGames20242025!$A37,DataRegularSeason20242025!$N$2:$N$1315,1, DataRegularSeason20242025!$R$2:$R$1315,1)</f>
        <v>0</v>
      </c>
      <c r="AO37" s="35"/>
      <c r="AP37" s="28">
        <f>COUNTIFS(DataRegularSeason20242025!$E$2:$E$1315,WatchedGames20242025!AO$1,DataRegularSeason20242025!$D$2:$D$1315,WatchedGames20242025!$A37,DataRegularSeason20242025!$N$2:$N$1315,1, DataRegularSeason20242025!$R$2:$R$1315,1)</f>
        <v>1</v>
      </c>
      <c r="AQ37" s="35"/>
      <c r="AR37" s="28">
        <f>COUNTIFS(DataRegularSeason20242025!$E$2:$E$1315,WatchedGames20242025!AQ$1,DataRegularSeason20242025!$D$2:$D$1315,WatchedGames20242025!$A37,DataRegularSeason20242025!$N$2:$N$1315,1, DataRegularSeason20242025!$R$2:$R$1315,1)</f>
        <v>0</v>
      </c>
      <c r="AS37" s="35"/>
      <c r="AT37" s="28">
        <f>COUNTIFS(DataRegularSeason20242025!$E$2:$E$1315,WatchedGames20242025!AS$1,DataRegularSeason20242025!$D$2:$D$1315,WatchedGames20242025!$A37,DataRegularSeason20242025!$N$2:$N$1315,1, DataRegularSeason20242025!$R$2:$R$1315,1)</f>
        <v>0</v>
      </c>
      <c r="AU37" s="35"/>
      <c r="AV37" s="28">
        <f>COUNTIFS(DataRegularSeason20242025!$E$2:$E$1315,WatchedGames20242025!AU$1,DataRegularSeason20242025!$D$2:$D$1315,WatchedGames20242025!$A37,DataRegularSeason20242025!$N$2:$N$1315,1, DataRegularSeason20242025!$R$2:$R$1315,1)</f>
        <v>0</v>
      </c>
      <c r="AW37" s="35"/>
      <c r="AX37" s="28">
        <f>COUNTIFS(DataRegularSeason20242025!$E$2:$E$1315,WatchedGames20242025!AW$1,DataRegularSeason20242025!$D$2:$D$1315,WatchedGames20242025!$A37,DataRegularSeason20242025!$N$2:$N$1315,1, DataRegularSeason20242025!$R$2:$R$1315,1)</f>
        <v>0</v>
      </c>
      <c r="AY37" s="35"/>
      <c r="AZ37" s="28">
        <f>COUNTIFS(DataRegularSeason20242025!$E$2:$E$1315,WatchedGames20242025!AY$1,DataRegularSeason20242025!$D$2:$D$1315,WatchedGames20242025!$A37,DataRegularSeason20242025!$N$2:$N$1315,1, DataRegularSeason20242025!$R$2:$R$1315,1)</f>
        <v>0</v>
      </c>
      <c r="BA37" s="35"/>
      <c r="BB37" s="28">
        <f>COUNTIFS(DataRegularSeason20242025!$E$2:$E$1315,WatchedGames20242025!BA$1,DataRegularSeason20242025!$D$2:$D$1315,WatchedGames20242025!$A37,DataRegularSeason20242025!$N$2:$N$1315,1, DataRegularSeason20242025!$R$2:$R$1315,1)</f>
        <v>0</v>
      </c>
      <c r="BC37" s="35"/>
      <c r="BD37" s="28">
        <f>COUNTIFS(DataRegularSeason20242025!$E$2:$E$1315,WatchedGames20242025!BC$1,DataRegularSeason20242025!$D$2:$D$1315,WatchedGames20242025!$A37,DataRegularSeason20242025!$N$2:$N$1315,1, DataRegularSeason20242025!$R$2:$R$1315,1)</f>
        <v>0</v>
      </c>
      <c r="BE37" s="35"/>
      <c r="BF37" s="28">
        <f>COUNTIFS(DataRegularSeason20242025!$E$2:$E$1315,WatchedGames20242025!BE$1,DataRegularSeason20242025!$D$2:$D$1315,WatchedGames20242025!$A37,DataRegularSeason20242025!$N$2:$N$1315,1, DataRegularSeason20242025!$R$2:$R$1315,1)</f>
        <v>0</v>
      </c>
      <c r="BG37" s="35"/>
      <c r="BH37" s="28">
        <f>COUNTIFS(DataRegularSeason20242025!$E$2:$E$1315,WatchedGames20242025!BG$1,DataRegularSeason20242025!$D$2:$D$1315,WatchedGames20242025!$A37,DataRegularSeason20242025!$N$2:$N$1315,1, DataRegularSeason20242025!$R$2:$R$1315,1)</f>
        <v>0</v>
      </c>
      <c r="BI37" s="35"/>
      <c r="BJ37" s="28">
        <f>COUNTIFS(DataRegularSeason20242025!$E$2:$E$1315,WatchedGames20242025!BI$1,DataRegularSeason20242025!$D$2:$D$1315,WatchedGames20242025!$A37,DataRegularSeason20242025!$N$2:$N$1315,1, DataRegularSeason20242025!$R$2:$R$1315,1)</f>
        <v>0</v>
      </c>
      <c r="BK37" s="35"/>
      <c r="BL37" s="28">
        <f>COUNTIFS(DataRegularSeason20242025!$E$2:$E$1315,WatchedGames20242025!BK$1,DataRegularSeason20242025!$D$2:$D$1315,WatchedGames20242025!$A37,DataRegularSeason20242025!$N$2:$N$1315,1, DataRegularSeason20242025!$R$2:$R$1315,1)</f>
        <v>0</v>
      </c>
      <c r="BM37" s="35"/>
      <c r="BN37" s="28">
        <f>COUNTIFS(DataRegularSeason20242025!$E$2:$E$1315,WatchedGames20242025!BM$1,DataRegularSeason20242025!$D$2:$D$1315,WatchedGames20242025!$A37,DataRegularSeason20242025!$N$2:$N$1315,1, DataRegularSeason20242025!$R$2:$R$1315,1)</f>
        <v>0</v>
      </c>
      <c r="BO37" s="30">
        <f t="shared" si="1"/>
        <v>1</v>
      </c>
      <c r="BP37" s="165">
        <f t="shared" ref="BP37" si="34">BO37+BO38</f>
        <v>2</v>
      </c>
      <c r="BQ37" s="166">
        <f t="shared" ref="BQ37" si="35">82-BP37</f>
        <v>80</v>
      </c>
      <c r="BR37" s="173">
        <f t="shared" si="0"/>
        <v>2.4390243902439025E-2</v>
      </c>
    </row>
    <row r="38" spans="1:70" s="27" customFormat="1" ht="9.9499999999999993" customHeight="1" x14ac:dyDescent="0.2">
      <c r="A38" s="167"/>
      <c r="B38" s="32" t="s">
        <v>73</v>
      </c>
      <c r="C38" s="38">
        <f>COUNTIFS(DataRegularSeason20242025!$E$2:$E$1315,WatchedGames20242025!$A37,DataRegularSeason20242025!$D$2:$D$1315,WatchedGames20242025!C$1,DataRegularSeason20242025!$N$2:$N$1315,1, DataRegularSeason20242025!$R$2:$R$1315,1)</f>
        <v>0</v>
      </c>
      <c r="D38" s="39"/>
      <c r="E38" s="38">
        <f>COUNTIFS(DataRegularSeason20242025!$E$2:$E$1315,WatchedGames20242025!$A37,DataRegularSeason20242025!$D$2:$D$1315,WatchedGames20242025!E$1,DataRegularSeason20242025!$N$2:$N$1315,1, DataRegularSeason20242025!$R$2:$R$1315,1)</f>
        <v>0</v>
      </c>
      <c r="F38" s="39"/>
      <c r="G38" s="38">
        <f>COUNTIFS(DataRegularSeason20242025!$E$2:$E$1315,WatchedGames20242025!$A37,DataRegularSeason20242025!$D$2:$D$1315,WatchedGames20242025!G$1,DataRegularSeason20242025!$N$2:$N$1315,1, DataRegularSeason20242025!$R$2:$R$1315,1)</f>
        <v>0</v>
      </c>
      <c r="H38" s="39"/>
      <c r="I38" s="38">
        <f>COUNTIFS(DataRegularSeason20242025!$E$2:$E$1315,WatchedGames20242025!$A37,DataRegularSeason20242025!$D$2:$D$1315,WatchedGames20242025!I$1,DataRegularSeason20242025!$N$2:$N$1315,1, DataRegularSeason20242025!$R$2:$R$1315,1)</f>
        <v>0</v>
      </c>
      <c r="J38" s="39"/>
      <c r="K38" s="38">
        <f>COUNTIFS(DataRegularSeason20242025!$E$2:$E$1315,WatchedGames20242025!$A37,DataRegularSeason20242025!$D$2:$D$1315,WatchedGames20242025!K$1,DataRegularSeason20242025!$N$2:$N$1315,1, DataRegularSeason20242025!$R$2:$R$1315,1)</f>
        <v>0</v>
      </c>
      <c r="L38" s="39"/>
      <c r="M38" s="38">
        <f>COUNTIFS(DataRegularSeason20242025!$E$2:$E$1315,WatchedGames20242025!$A37,DataRegularSeason20242025!$D$2:$D$1315,WatchedGames20242025!M$1,DataRegularSeason20242025!$N$2:$N$1315,1, DataRegularSeason20242025!$R$2:$R$1315,1)</f>
        <v>0</v>
      </c>
      <c r="N38" s="39"/>
      <c r="O38" s="38">
        <f>COUNTIFS(DataRegularSeason20242025!$E$2:$E$1315,WatchedGames20242025!$A37,DataRegularSeason20242025!$D$2:$D$1315,WatchedGames20242025!O$1,DataRegularSeason20242025!$N$2:$N$1315,1, DataRegularSeason20242025!$R$2:$R$1315,1)</f>
        <v>0</v>
      </c>
      <c r="P38" s="39"/>
      <c r="Q38" s="38">
        <f>COUNTIFS(DataRegularSeason20242025!$E$2:$E$1315,WatchedGames20242025!$A37,DataRegularSeason20242025!$D$2:$D$1315,WatchedGames20242025!Q$1,DataRegularSeason20242025!$N$2:$N$1315,1, DataRegularSeason20242025!$R$2:$R$1315,1)</f>
        <v>0</v>
      </c>
      <c r="R38" s="39"/>
      <c r="S38" s="38">
        <f>COUNTIFS(DataRegularSeason20242025!$E$2:$E$1315,WatchedGames20242025!$A37,DataRegularSeason20242025!$D$2:$D$1315,WatchedGames20242025!S$1,DataRegularSeason20242025!$N$2:$N$1315,1, DataRegularSeason20242025!$R$2:$R$1315,1)</f>
        <v>0</v>
      </c>
      <c r="T38" s="39"/>
      <c r="U38" s="38">
        <f>COUNTIFS(DataRegularSeason20242025!$E$2:$E$1315,WatchedGames20242025!$A37,DataRegularSeason20242025!$D$2:$D$1315,WatchedGames20242025!U$1,DataRegularSeason20242025!$N$2:$N$1315,1, DataRegularSeason20242025!$R$2:$R$1315,1)</f>
        <v>0</v>
      </c>
      <c r="V38" s="39"/>
      <c r="W38" s="38">
        <f>COUNTIFS(DataRegularSeason20242025!$E$2:$E$1315,WatchedGames20242025!$A37,DataRegularSeason20242025!$D$2:$D$1315,WatchedGames20242025!W$1,DataRegularSeason20242025!$N$2:$N$1315,1, DataRegularSeason20242025!$R$2:$R$1315,1)</f>
        <v>1</v>
      </c>
      <c r="X38" s="39"/>
      <c r="Y38" s="38">
        <f>COUNTIFS(DataRegularSeason20242025!$E$2:$E$1315,WatchedGames20242025!$A37,DataRegularSeason20242025!$D$2:$D$1315,WatchedGames20242025!Y$1,DataRegularSeason20242025!$N$2:$N$1315,1, DataRegularSeason20242025!$R$2:$R$1315,1)</f>
        <v>0</v>
      </c>
      <c r="Z38" s="39"/>
      <c r="AA38" s="38">
        <f>COUNTIFS(DataRegularSeason20242025!$E$2:$E$1315,WatchedGames20242025!$A37,DataRegularSeason20242025!$D$2:$D$1315,WatchedGames20242025!AA$1,DataRegularSeason20242025!$N$2:$N$1315,1, DataRegularSeason20242025!$R$2:$R$1315,1)</f>
        <v>0</v>
      </c>
      <c r="AB38" s="39"/>
      <c r="AC38" s="38">
        <f>COUNTIFS(DataRegularSeason20242025!$E$2:$E$1315,WatchedGames20242025!$A37,DataRegularSeason20242025!$D$2:$D$1315,WatchedGames20242025!AC$1,DataRegularSeason20242025!$N$2:$N$1315,1, DataRegularSeason20242025!$R$2:$R$1315,1)</f>
        <v>0</v>
      </c>
      <c r="AD38" s="39"/>
      <c r="AE38" s="38">
        <f>COUNTIFS(DataRegularSeason20242025!$E$2:$E$1315,WatchedGames20242025!$A37,DataRegularSeason20242025!$D$2:$D$1315,WatchedGames20242025!AE$1,DataRegularSeason20242025!$N$2:$N$1315,1, DataRegularSeason20242025!$R$2:$R$1315,1)</f>
        <v>0</v>
      </c>
      <c r="AF38" s="39"/>
      <c r="AG38" s="38">
        <f>COUNTIFS(DataRegularSeason20242025!$E$2:$E$1315,WatchedGames20242025!$A37,DataRegularSeason20242025!$D$2:$D$1315,WatchedGames20242025!AG$1,DataRegularSeason20242025!$N$2:$N$1315,1, DataRegularSeason20242025!$R$2:$R$1315,1)</f>
        <v>0</v>
      </c>
      <c r="AH38" s="39"/>
      <c r="AI38" s="38">
        <f>COUNTIFS(DataRegularSeason20242025!$E$2:$E$1315,WatchedGames20242025!$A37,DataRegularSeason20242025!$D$2:$D$1315,WatchedGames20242025!AI$1,DataRegularSeason20242025!$N$2:$N$1315,1, DataRegularSeason20242025!$R$2:$R$1315,1)</f>
        <v>0</v>
      </c>
      <c r="AJ38" s="39"/>
      <c r="AK38" s="38"/>
      <c r="AL38" s="39"/>
      <c r="AM38" s="38">
        <f>COUNTIFS(DataRegularSeason20242025!$E$2:$E$1315,WatchedGames20242025!$A37,DataRegularSeason20242025!$D$2:$D$1315,WatchedGames20242025!AM$1,DataRegularSeason20242025!$N$2:$N$1315,1, DataRegularSeason20242025!$R$2:$R$1315,1)</f>
        <v>0</v>
      </c>
      <c r="AN38" s="39"/>
      <c r="AO38" s="38">
        <f>COUNTIFS(DataRegularSeason20242025!$E$2:$E$1315,WatchedGames20242025!$A37,DataRegularSeason20242025!$D$2:$D$1315,WatchedGames20242025!AO$1,DataRegularSeason20242025!$N$2:$N$1315,1, DataRegularSeason20242025!$R$2:$R$1315,1)</f>
        <v>0</v>
      </c>
      <c r="AP38" s="39"/>
      <c r="AQ38" s="38">
        <f>COUNTIFS(DataRegularSeason20242025!$E$2:$E$1315,WatchedGames20242025!$A37,DataRegularSeason20242025!$D$2:$D$1315,WatchedGames20242025!AQ$1,DataRegularSeason20242025!$N$2:$N$1315,1, DataRegularSeason20242025!$R$2:$R$1315,1)</f>
        <v>0</v>
      </c>
      <c r="AR38" s="39"/>
      <c r="AS38" s="38">
        <f>COUNTIFS(DataRegularSeason20242025!$E$2:$E$1315,WatchedGames20242025!$A37,DataRegularSeason20242025!$D$2:$D$1315,WatchedGames20242025!AS$1,DataRegularSeason20242025!$N$2:$N$1315,1, DataRegularSeason20242025!$R$2:$R$1315,1)</f>
        <v>0</v>
      </c>
      <c r="AT38" s="39"/>
      <c r="AU38" s="38">
        <f>COUNTIFS(DataRegularSeason20242025!$E$2:$E$1315,WatchedGames20242025!$A37,DataRegularSeason20242025!$D$2:$D$1315,WatchedGames20242025!AU$1,DataRegularSeason20242025!$N$2:$N$1315,1, DataRegularSeason20242025!$R$2:$R$1315,1)</f>
        <v>0</v>
      </c>
      <c r="AV38" s="39"/>
      <c r="AW38" s="38">
        <f>COUNTIFS(DataRegularSeason20242025!$E$2:$E$1315,WatchedGames20242025!$A37,DataRegularSeason20242025!$D$2:$D$1315,WatchedGames20242025!AW$1,DataRegularSeason20242025!$N$2:$N$1315,1, DataRegularSeason20242025!$R$2:$R$1315,1)</f>
        <v>0</v>
      </c>
      <c r="AX38" s="39"/>
      <c r="AY38" s="38">
        <f>COUNTIFS(DataRegularSeason20242025!$E$2:$E$1315,WatchedGames20242025!$A37,DataRegularSeason20242025!$D$2:$D$1315,WatchedGames20242025!AY$1,DataRegularSeason20242025!$N$2:$N$1315,1, DataRegularSeason20242025!$R$2:$R$1315,1)</f>
        <v>0</v>
      </c>
      <c r="AZ38" s="39"/>
      <c r="BA38" s="38">
        <f>COUNTIFS(DataRegularSeason20242025!$E$2:$E$1315,WatchedGames20242025!$A37,DataRegularSeason20242025!$D$2:$D$1315,WatchedGames20242025!BA$1,DataRegularSeason20242025!$N$2:$N$1315,1, DataRegularSeason20242025!$R$2:$R$1315,1)</f>
        <v>0</v>
      </c>
      <c r="BB38" s="39"/>
      <c r="BC38" s="38">
        <f>COUNTIFS(DataRegularSeason20242025!$E$2:$E$1315,WatchedGames20242025!$A37,DataRegularSeason20242025!$D$2:$D$1315,WatchedGames20242025!BC$1,DataRegularSeason20242025!$N$2:$N$1315,1, DataRegularSeason20242025!$R$2:$R$1315,1)</f>
        <v>0</v>
      </c>
      <c r="BD38" s="39"/>
      <c r="BE38" s="38">
        <f>COUNTIFS(DataRegularSeason20242025!$E$2:$E$1315,WatchedGames20242025!$A37,DataRegularSeason20242025!$D$2:$D$1315,WatchedGames20242025!BE$1,DataRegularSeason20242025!$N$2:$N$1315,1, DataRegularSeason20242025!$R$2:$R$1315,1)</f>
        <v>0</v>
      </c>
      <c r="BF38" s="39"/>
      <c r="BG38" s="38">
        <f>COUNTIFS(DataRegularSeason20242025!$E$2:$E$1315,WatchedGames20242025!$A37,DataRegularSeason20242025!$D$2:$D$1315,WatchedGames20242025!BG$1,DataRegularSeason20242025!$N$2:$N$1315,1, DataRegularSeason20242025!$R$2:$R$1315,1)</f>
        <v>0</v>
      </c>
      <c r="BH38" s="39"/>
      <c r="BI38" s="38">
        <f>COUNTIFS(DataRegularSeason20242025!$E$2:$E$1315,WatchedGames20242025!$A37,DataRegularSeason20242025!$D$2:$D$1315,WatchedGames20242025!BI$1,DataRegularSeason20242025!$N$2:$N$1315,1, DataRegularSeason20242025!$R$2:$R$1315,1)</f>
        <v>0</v>
      </c>
      <c r="BJ38" s="39"/>
      <c r="BK38" s="38">
        <f>COUNTIFS(DataRegularSeason20242025!$E$2:$E$1315,WatchedGames20242025!$A37,DataRegularSeason20242025!$D$2:$D$1315,WatchedGames20242025!BK$1,DataRegularSeason20242025!$N$2:$N$1315,1, DataRegularSeason20242025!$R$2:$R$1315,1)</f>
        <v>0</v>
      </c>
      <c r="BL38" s="39"/>
      <c r="BM38" s="38">
        <f>COUNTIFS(DataRegularSeason20242025!$E$2:$E$1315,WatchedGames20242025!$A37,DataRegularSeason20242025!$D$2:$D$1315,WatchedGames20242025!BM$1,DataRegularSeason20242025!$N$2:$N$1315,1, DataRegularSeason20242025!$R$2:$R$1315,1)</f>
        <v>0</v>
      </c>
      <c r="BN38" s="39"/>
      <c r="BO38" s="34">
        <f t="shared" si="1"/>
        <v>1</v>
      </c>
      <c r="BP38" s="165"/>
      <c r="BQ38" s="166"/>
      <c r="BR38" s="173"/>
    </row>
    <row r="39" spans="1:70" s="27" customFormat="1" ht="9.9499999999999993" customHeight="1" x14ac:dyDescent="0.2">
      <c r="A39" s="172" t="s">
        <v>19</v>
      </c>
      <c r="B39" s="28" t="s">
        <v>74</v>
      </c>
      <c r="C39" s="35"/>
      <c r="D39" s="28">
        <f>COUNTIFS(DataRegularSeason20242025!$E$2:$E$1315,WatchedGames20242025!C$1,DataRegularSeason20242025!$D$2:$D$1315,WatchedGames20242025!$A39,DataRegularSeason20242025!$N$2:$N$1315,1, DataRegularSeason20242025!$R$2:$R$1315,1)</f>
        <v>0</v>
      </c>
      <c r="E39" s="35"/>
      <c r="F39" s="28">
        <f>COUNTIFS(DataRegularSeason20242025!$E$2:$E$1315,WatchedGames20242025!E$1,DataRegularSeason20242025!$D$2:$D$1315,WatchedGames20242025!$A39,DataRegularSeason20242025!$N$2:$N$1315,1, DataRegularSeason20242025!$R$2:$R$1315,1)</f>
        <v>0</v>
      </c>
      <c r="G39" s="35"/>
      <c r="H39" s="28">
        <f>COUNTIFS(DataRegularSeason20242025!$E$2:$E$1315,WatchedGames20242025!G$1,DataRegularSeason20242025!$D$2:$D$1315,WatchedGames20242025!$A39,DataRegularSeason20242025!$N$2:$N$1315,1, DataRegularSeason20242025!$R$2:$R$1315,1)</f>
        <v>0</v>
      </c>
      <c r="I39" s="35"/>
      <c r="J39" s="28">
        <f>COUNTIFS(DataRegularSeason20242025!$E$2:$E$1315,WatchedGames20242025!I$1,DataRegularSeason20242025!$D$2:$D$1315,WatchedGames20242025!$A39,DataRegularSeason20242025!$N$2:$N$1315,1, DataRegularSeason20242025!$R$2:$R$1315,1)</f>
        <v>0</v>
      </c>
      <c r="K39" s="35"/>
      <c r="L39" s="28">
        <f>COUNTIFS(DataRegularSeason20242025!$E$2:$E$1315,WatchedGames20242025!K$1,DataRegularSeason20242025!$D$2:$D$1315,WatchedGames20242025!$A39,DataRegularSeason20242025!$N$2:$N$1315,1, DataRegularSeason20242025!$R$2:$R$1315,1)</f>
        <v>0</v>
      </c>
      <c r="M39" s="35"/>
      <c r="N39" s="28">
        <f>COUNTIFS(DataRegularSeason20242025!$E$2:$E$1315,WatchedGames20242025!M$1,DataRegularSeason20242025!$D$2:$D$1315,WatchedGames20242025!$A39,DataRegularSeason20242025!$N$2:$N$1315,1, DataRegularSeason20242025!$R$2:$R$1315,1)</f>
        <v>0</v>
      </c>
      <c r="O39" s="35"/>
      <c r="P39" s="28">
        <f>COUNTIFS(DataRegularSeason20242025!$E$2:$E$1315,WatchedGames20242025!O$1,DataRegularSeason20242025!$D$2:$D$1315,WatchedGames20242025!$A39,DataRegularSeason20242025!$N$2:$N$1315,1, DataRegularSeason20242025!$R$2:$R$1315,1)</f>
        <v>0</v>
      </c>
      <c r="Q39" s="35"/>
      <c r="R39" s="28">
        <f>COUNTIFS(DataRegularSeason20242025!$E$2:$E$1315,WatchedGames20242025!Q$1,DataRegularSeason20242025!$D$2:$D$1315,WatchedGames20242025!$A39,DataRegularSeason20242025!$N$2:$N$1315,1, DataRegularSeason20242025!$R$2:$R$1315,1)</f>
        <v>0</v>
      </c>
      <c r="S39" s="35"/>
      <c r="T39" s="28">
        <f>COUNTIFS(DataRegularSeason20242025!$E$2:$E$1315,WatchedGames20242025!S$1,DataRegularSeason20242025!$D$2:$D$1315,WatchedGames20242025!$A39,DataRegularSeason20242025!$N$2:$N$1315,1, DataRegularSeason20242025!$R$2:$R$1315,1)</f>
        <v>0</v>
      </c>
      <c r="U39" s="35"/>
      <c r="V39" s="28">
        <f>COUNTIFS(DataRegularSeason20242025!$E$2:$E$1315,WatchedGames20242025!U$1,DataRegularSeason20242025!$D$2:$D$1315,WatchedGames20242025!$A39,DataRegularSeason20242025!$N$2:$N$1315,1, DataRegularSeason20242025!$R$2:$R$1315,1)</f>
        <v>0</v>
      </c>
      <c r="W39" s="35"/>
      <c r="X39" s="28">
        <f>COUNTIFS(DataRegularSeason20242025!$E$2:$E$1315,WatchedGames20242025!W$1,DataRegularSeason20242025!$D$2:$D$1315,WatchedGames20242025!$A39,DataRegularSeason20242025!$N$2:$N$1315,1, DataRegularSeason20242025!$R$2:$R$1315,1)</f>
        <v>0</v>
      </c>
      <c r="Y39" s="35"/>
      <c r="Z39" s="28">
        <f>COUNTIFS(DataRegularSeason20242025!$E$2:$E$1315,WatchedGames20242025!Y$1,DataRegularSeason20242025!$D$2:$D$1315,WatchedGames20242025!$A39,DataRegularSeason20242025!$N$2:$N$1315,1, DataRegularSeason20242025!$R$2:$R$1315,1)</f>
        <v>0</v>
      </c>
      <c r="AA39" s="35"/>
      <c r="AB39" s="28">
        <f>COUNTIFS(DataRegularSeason20242025!$E$2:$E$1315,WatchedGames20242025!AA$1,DataRegularSeason20242025!$D$2:$D$1315,WatchedGames20242025!$A39,DataRegularSeason20242025!$N$2:$N$1315,1, DataRegularSeason20242025!$R$2:$R$1315,1)</f>
        <v>0</v>
      </c>
      <c r="AC39" s="35"/>
      <c r="AD39" s="28">
        <f>COUNTIFS(DataRegularSeason20242025!$E$2:$E$1315,WatchedGames20242025!AC$1,DataRegularSeason20242025!$D$2:$D$1315,WatchedGames20242025!$A39,DataRegularSeason20242025!$N$2:$N$1315,1, DataRegularSeason20242025!$R$2:$R$1315,1)</f>
        <v>0</v>
      </c>
      <c r="AE39" s="35"/>
      <c r="AF39" s="28">
        <f>COUNTIFS(DataRegularSeason20242025!$E$2:$E$1315,WatchedGames20242025!AE$1,DataRegularSeason20242025!$D$2:$D$1315,WatchedGames20242025!$A39,DataRegularSeason20242025!$N$2:$N$1315,1, DataRegularSeason20242025!$R$2:$R$1315,1)</f>
        <v>1</v>
      </c>
      <c r="AG39" s="35"/>
      <c r="AH39" s="28">
        <f>COUNTIFS(DataRegularSeason20242025!$E$2:$E$1315,WatchedGames20242025!AG$1,DataRegularSeason20242025!$D$2:$D$1315,WatchedGames20242025!$A39,DataRegularSeason20242025!$N$2:$N$1315,1, DataRegularSeason20242025!$R$2:$R$1315,1)</f>
        <v>0</v>
      </c>
      <c r="AI39" s="35"/>
      <c r="AJ39" s="28">
        <f>COUNTIFS(DataRegularSeason20242025!$E$2:$E$1315,WatchedGames20242025!AI$1,DataRegularSeason20242025!$D$2:$D$1315,WatchedGames20242025!$A39,DataRegularSeason20242025!$N$2:$N$1315,1, DataRegularSeason20242025!$R$2:$R$1315,1)</f>
        <v>0</v>
      </c>
      <c r="AK39" s="35"/>
      <c r="AL39" s="28">
        <f>COUNTIFS(DataRegularSeason20242025!$E$2:$E$1315,WatchedGames20242025!AK$1,DataRegularSeason20242025!$D$2:$D$1315,WatchedGames20242025!$A39,DataRegularSeason20242025!$N$2:$N$1315,1, DataRegularSeason20242025!$R$2:$R$1315,1)</f>
        <v>0</v>
      </c>
      <c r="AM39" s="35"/>
      <c r="AN39" s="36"/>
      <c r="AO39" s="35"/>
      <c r="AP39" s="28">
        <f>COUNTIFS(DataRegularSeason20242025!$E$2:$E$1315,WatchedGames20242025!AO$1,DataRegularSeason20242025!$D$2:$D$1315,WatchedGames20242025!$A39,DataRegularSeason20242025!$N$2:$N$1315,1, DataRegularSeason20242025!$R$2:$R$1315,1)</f>
        <v>0</v>
      </c>
      <c r="AQ39" s="35"/>
      <c r="AR39" s="28">
        <f>COUNTIFS(DataRegularSeason20242025!$E$2:$E$1315,WatchedGames20242025!AQ$1,DataRegularSeason20242025!$D$2:$D$1315,WatchedGames20242025!$A39,DataRegularSeason20242025!$N$2:$N$1315,1, DataRegularSeason20242025!$R$2:$R$1315,1)</f>
        <v>0</v>
      </c>
      <c r="AS39" s="35"/>
      <c r="AT39" s="28">
        <f>COUNTIFS(DataRegularSeason20242025!$E$2:$E$1315,WatchedGames20242025!AS$1,DataRegularSeason20242025!$D$2:$D$1315,WatchedGames20242025!$A39,DataRegularSeason20242025!$N$2:$N$1315,1, DataRegularSeason20242025!$R$2:$R$1315,1)</f>
        <v>0</v>
      </c>
      <c r="AU39" s="35"/>
      <c r="AV39" s="28">
        <f>COUNTIFS(DataRegularSeason20242025!$E$2:$E$1315,WatchedGames20242025!AU$1,DataRegularSeason20242025!$D$2:$D$1315,WatchedGames20242025!$A39,DataRegularSeason20242025!$N$2:$N$1315,1, DataRegularSeason20242025!$R$2:$R$1315,1)</f>
        <v>0</v>
      </c>
      <c r="AW39" s="35"/>
      <c r="AX39" s="28">
        <f>COUNTIFS(DataRegularSeason20242025!$E$2:$E$1315,WatchedGames20242025!AW$1,DataRegularSeason20242025!$D$2:$D$1315,WatchedGames20242025!$A39,DataRegularSeason20242025!$N$2:$N$1315,1, DataRegularSeason20242025!$R$2:$R$1315,1)</f>
        <v>0</v>
      </c>
      <c r="AY39" s="35"/>
      <c r="AZ39" s="28">
        <f>COUNTIFS(DataRegularSeason20242025!$E$2:$E$1315,WatchedGames20242025!AY$1,DataRegularSeason20242025!$D$2:$D$1315,WatchedGames20242025!$A39,DataRegularSeason20242025!$N$2:$N$1315,1, DataRegularSeason20242025!$R$2:$R$1315,1)</f>
        <v>0</v>
      </c>
      <c r="BA39" s="35"/>
      <c r="BB39" s="28">
        <f>COUNTIFS(DataRegularSeason20242025!$E$2:$E$1315,WatchedGames20242025!BA$1,DataRegularSeason20242025!$D$2:$D$1315,WatchedGames20242025!$A39,DataRegularSeason20242025!$N$2:$N$1315,1, DataRegularSeason20242025!$R$2:$R$1315,1)</f>
        <v>0</v>
      </c>
      <c r="BC39" s="35"/>
      <c r="BD39" s="28">
        <f>COUNTIFS(DataRegularSeason20242025!$E$2:$E$1315,WatchedGames20242025!BC$1,DataRegularSeason20242025!$D$2:$D$1315,WatchedGames20242025!$A39,DataRegularSeason20242025!$N$2:$N$1315,1, DataRegularSeason20242025!$R$2:$R$1315,1)</f>
        <v>1</v>
      </c>
      <c r="BE39" s="35"/>
      <c r="BF39" s="28">
        <f>COUNTIFS(DataRegularSeason20242025!$E$2:$E$1315,WatchedGames20242025!BE$1,DataRegularSeason20242025!$D$2:$D$1315,WatchedGames20242025!$A39,DataRegularSeason20242025!$N$2:$N$1315,1, DataRegularSeason20242025!$R$2:$R$1315,1)</f>
        <v>0</v>
      </c>
      <c r="BG39" s="35"/>
      <c r="BH39" s="28">
        <f>COUNTIFS(DataRegularSeason20242025!$E$2:$E$1315,WatchedGames20242025!BG$1,DataRegularSeason20242025!$D$2:$D$1315,WatchedGames20242025!$A39,DataRegularSeason20242025!$N$2:$N$1315,1, DataRegularSeason20242025!$R$2:$R$1315,1)</f>
        <v>0</v>
      </c>
      <c r="BI39" s="35"/>
      <c r="BJ39" s="28">
        <f>COUNTIFS(DataRegularSeason20242025!$E$2:$E$1315,WatchedGames20242025!BI$1,DataRegularSeason20242025!$D$2:$D$1315,WatchedGames20242025!$A39,DataRegularSeason20242025!$N$2:$N$1315,1, DataRegularSeason20242025!$R$2:$R$1315,1)</f>
        <v>0</v>
      </c>
      <c r="BK39" s="35"/>
      <c r="BL39" s="28">
        <f>COUNTIFS(DataRegularSeason20242025!$E$2:$E$1315,WatchedGames20242025!BK$1,DataRegularSeason20242025!$D$2:$D$1315,WatchedGames20242025!$A39,DataRegularSeason20242025!$N$2:$N$1315,1, DataRegularSeason20242025!$R$2:$R$1315,1)</f>
        <v>0</v>
      </c>
      <c r="BM39" s="35"/>
      <c r="BN39" s="28">
        <f>COUNTIFS(DataRegularSeason20242025!$E$2:$E$1315,WatchedGames20242025!BM$1,DataRegularSeason20242025!$D$2:$D$1315,WatchedGames20242025!$A39,DataRegularSeason20242025!$N$2:$N$1315,1, DataRegularSeason20242025!$R$2:$R$1315,1)</f>
        <v>0</v>
      </c>
      <c r="BO39" s="30">
        <f t="shared" si="1"/>
        <v>2</v>
      </c>
      <c r="BP39" s="165">
        <f t="shared" ref="BP39" si="36">BO39+BO40</f>
        <v>6</v>
      </c>
      <c r="BQ39" s="166">
        <f t="shared" ref="BQ39" si="37">82-BP39</f>
        <v>76</v>
      </c>
      <c r="BR39" s="173">
        <f t="shared" si="0"/>
        <v>7.3170731707317069E-2</v>
      </c>
    </row>
    <row r="40" spans="1:70" s="27" customFormat="1" ht="9.9499999999999993" customHeight="1" x14ac:dyDescent="0.2">
      <c r="A40" s="167"/>
      <c r="B40" s="32" t="s">
        <v>73</v>
      </c>
      <c r="C40" s="38">
        <f>COUNTIFS(DataRegularSeason20242025!$E$2:$E$1315,WatchedGames20242025!$A39,DataRegularSeason20242025!$D$2:$D$1315,WatchedGames20242025!C$1,DataRegularSeason20242025!$N$2:$N$1315,1, DataRegularSeason20242025!$R$2:$R$1315,1)</f>
        <v>0</v>
      </c>
      <c r="D40" s="39"/>
      <c r="E40" s="38">
        <f>COUNTIFS(DataRegularSeason20242025!$E$2:$E$1315,WatchedGames20242025!$A39,DataRegularSeason20242025!$D$2:$D$1315,WatchedGames20242025!E$1,DataRegularSeason20242025!$N$2:$N$1315,1, DataRegularSeason20242025!$R$2:$R$1315,1)</f>
        <v>0</v>
      </c>
      <c r="F40" s="39"/>
      <c r="G40" s="38">
        <f>COUNTIFS(DataRegularSeason20242025!$E$2:$E$1315,WatchedGames20242025!$A39,DataRegularSeason20242025!$D$2:$D$1315,WatchedGames20242025!G$1,DataRegularSeason20242025!$N$2:$N$1315,1, DataRegularSeason20242025!$R$2:$R$1315,1)</f>
        <v>0</v>
      </c>
      <c r="H40" s="39"/>
      <c r="I40" s="38">
        <f>COUNTIFS(DataRegularSeason20242025!$E$2:$E$1315,WatchedGames20242025!$A39,DataRegularSeason20242025!$D$2:$D$1315,WatchedGames20242025!I$1,DataRegularSeason20242025!$N$2:$N$1315,1, DataRegularSeason20242025!$R$2:$R$1315,1)</f>
        <v>0</v>
      </c>
      <c r="J40" s="39"/>
      <c r="K40" s="38">
        <f>COUNTIFS(DataRegularSeason20242025!$E$2:$E$1315,WatchedGames20242025!$A39,DataRegularSeason20242025!$D$2:$D$1315,WatchedGames20242025!K$1,DataRegularSeason20242025!$N$2:$N$1315,1, DataRegularSeason20242025!$R$2:$R$1315,1)</f>
        <v>0</v>
      </c>
      <c r="L40" s="39"/>
      <c r="M40" s="38">
        <f>COUNTIFS(DataRegularSeason20242025!$E$2:$E$1315,WatchedGames20242025!$A39,DataRegularSeason20242025!$D$2:$D$1315,WatchedGames20242025!M$1,DataRegularSeason20242025!$N$2:$N$1315,1, DataRegularSeason20242025!$R$2:$R$1315,1)</f>
        <v>0</v>
      </c>
      <c r="N40" s="39"/>
      <c r="O40" s="38">
        <f>COUNTIFS(DataRegularSeason20242025!$E$2:$E$1315,WatchedGames20242025!$A39,DataRegularSeason20242025!$D$2:$D$1315,WatchedGames20242025!O$1,DataRegularSeason20242025!$N$2:$N$1315,1, DataRegularSeason20242025!$R$2:$R$1315,1)</f>
        <v>0</v>
      </c>
      <c r="P40" s="39"/>
      <c r="Q40" s="38">
        <f>COUNTIFS(DataRegularSeason20242025!$E$2:$E$1315,WatchedGames20242025!$A39,DataRegularSeason20242025!$D$2:$D$1315,WatchedGames20242025!Q$1,DataRegularSeason20242025!$N$2:$N$1315,1, DataRegularSeason20242025!$R$2:$R$1315,1)</f>
        <v>0</v>
      </c>
      <c r="R40" s="39"/>
      <c r="S40" s="38">
        <f>COUNTIFS(DataRegularSeason20242025!$E$2:$E$1315,WatchedGames20242025!$A39,DataRegularSeason20242025!$D$2:$D$1315,WatchedGames20242025!S$1,DataRegularSeason20242025!$N$2:$N$1315,1, DataRegularSeason20242025!$R$2:$R$1315,1)</f>
        <v>0</v>
      </c>
      <c r="T40" s="39"/>
      <c r="U40" s="38">
        <f>COUNTIFS(DataRegularSeason20242025!$E$2:$E$1315,WatchedGames20242025!$A39,DataRegularSeason20242025!$D$2:$D$1315,WatchedGames20242025!U$1,DataRegularSeason20242025!$N$2:$N$1315,1, DataRegularSeason20242025!$R$2:$R$1315,1)</f>
        <v>0</v>
      </c>
      <c r="V40" s="39"/>
      <c r="W40" s="38">
        <f>COUNTIFS(DataRegularSeason20242025!$E$2:$E$1315,WatchedGames20242025!$A39,DataRegularSeason20242025!$D$2:$D$1315,WatchedGames20242025!W$1,DataRegularSeason20242025!$N$2:$N$1315,1, DataRegularSeason20242025!$R$2:$R$1315,1)</f>
        <v>1</v>
      </c>
      <c r="X40" s="39"/>
      <c r="Y40" s="38">
        <f>COUNTIFS(DataRegularSeason20242025!$E$2:$E$1315,WatchedGames20242025!$A39,DataRegularSeason20242025!$D$2:$D$1315,WatchedGames20242025!Y$1,DataRegularSeason20242025!$N$2:$N$1315,1, DataRegularSeason20242025!$R$2:$R$1315,1)</f>
        <v>0</v>
      </c>
      <c r="Z40" s="39"/>
      <c r="AA40" s="38">
        <f>COUNTIFS(DataRegularSeason20242025!$E$2:$E$1315,WatchedGames20242025!$A39,DataRegularSeason20242025!$D$2:$D$1315,WatchedGames20242025!AA$1,DataRegularSeason20242025!$N$2:$N$1315,1, DataRegularSeason20242025!$R$2:$R$1315,1)</f>
        <v>0</v>
      </c>
      <c r="AB40" s="39"/>
      <c r="AC40" s="38">
        <f>COUNTIFS(DataRegularSeason20242025!$E$2:$E$1315,WatchedGames20242025!$A39,DataRegularSeason20242025!$D$2:$D$1315,WatchedGames20242025!AC$1,DataRegularSeason20242025!$N$2:$N$1315,1, DataRegularSeason20242025!$R$2:$R$1315,1)</f>
        <v>1</v>
      </c>
      <c r="AD40" s="39"/>
      <c r="AE40" s="38">
        <f>COUNTIFS(DataRegularSeason20242025!$E$2:$E$1315,WatchedGames20242025!$A39,DataRegularSeason20242025!$D$2:$D$1315,WatchedGames20242025!AE$1,DataRegularSeason20242025!$N$2:$N$1315,1, DataRegularSeason20242025!$R$2:$R$1315,1)</f>
        <v>0</v>
      </c>
      <c r="AF40" s="39"/>
      <c r="AG40" s="38">
        <f>COUNTIFS(DataRegularSeason20242025!$E$2:$E$1315,WatchedGames20242025!$A39,DataRegularSeason20242025!$D$2:$D$1315,WatchedGames20242025!AG$1,DataRegularSeason20242025!$N$2:$N$1315,1, DataRegularSeason20242025!$R$2:$R$1315,1)</f>
        <v>0</v>
      </c>
      <c r="AH40" s="39"/>
      <c r="AI40" s="38">
        <f>COUNTIFS(DataRegularSeason20242025!$E$2:$E$1315,WatchedGames20242025!$A39,DataRegularSeason20242025!$D$2:$D$1315,WatchedGames20242025!AI$1,DataRegularSeason20242025!$N$2:$N$1315,1, DataRegularSeason20242025!$R$2:$R$1315,1)</f>
        <v>0</v>
      </c>
      <c r="AJ40" s="39"/>
      <c r="AK40" s="38">
        <f>COUNTIFS(DataRegularSeason20242025!$E$2:$E$1315,WatchedGames20242025!$A39,DataRegularSeason20242025!$D$2:$D$1315,WatchedGames20242025!AK$1,DataRegularSeason20242025!$N$2:$N$1315,1, DataRegularSeason20242025!$R$2:$R$1315,1)</f>
        <v>0</v>
      </c>
      <c r="AL40" s="39"/>
      <c r="AM40" s="38"/>
      <c r="AN40" s="39"/>
      <c r="AO40" s="38">
        <f>COUNTIFS(DataRegularSeason20242025!$E$2:$E$1315,WatchedGames20242025!$A39,DataRegularSeason20242025!$D$2:$D$1315,WatchedGames20242025!AO$1,DataRegularSeason20242025!$N$2:$N$1315,1, DataRegularSeason20242025!$R$2:$R$1315,1)</f>
        <v>0</v>
      </c>
      <c r="AP40" s="39"/>
      <c r="AQ40" s="38">
        <f>COUNTIFS(DataRegularSeason20242025!$E$2:$E$1315,WatchedGames20242025!$A39,DataRegularSeason20242025!$D$2:$D$1315,WatchedGames20242025!AQ$1,DataRegularSeason20242025!$N$2:$N$1315,1, DataRegularSeason20242025!$R$2:$R$1315,1)</f>
        <v>0</v>
      </c>
      <c r="AR40" s="39"/>
      <c r="AS40" s="38">
        <f>COUNTIFS(DataRegularSeason20242025!$E$2:$E$1315,WatchedGames20242025!$A39,DataRegularSeason20242025!$D$2:$D$1315,WatchedGames20242025!AS$1,DataRegularSeason20242025!$N$2:$N$1315,1, DataRegularSeason20242025!$R$2:$R$1315,1)</f>
        <v>1</v>
      </c>
      <c r="AT40" s="39"/>
      <c r="AU40" s="38">
        <f>COUNTIFS(DataRegularSeason20242025!$E$2:$E$1315,WatchedGames20242025!$A39,DataRegularSeason20242025!$D$2:$D$1315,WatchedGames20242025!AU$1,DataRegularSeason20242025!$N$2:$N$1315,1, DataRegularSeason20242025!$R$2:$R$1315,1)</f>
        <v>0</v>
      </c>
      <c r="AV40" s="39"/>
      <c r="AW40" s="38">
        <f>COUNTIFS(DataRegularSeason20242025!$E$2:$E$1315,WatchedGames20242025!$A39,DataRegularSeason20242025!$D$2:$D$1315,WatchedGames20242025!AW$1,DataRegularSeason20242025!$N$2:$N$1315,1, DataRegularSeason20242025!$R$2:$R$1315,1)</f>
        <v>0</v>
      </c>
      <c r="AX40" s="39"/>
      <c r="AY40" s="38">
        <f>COUNTIFS(DataRegularSeason20242025!$E$2:$E$1315,WatchedGames20242025!$A39,DataRegularSeason20242025!$D$2:$D$1315,WatchedGames20242025!AY$1,DataRegularSeason20242025!$N$2:$N$1315,1, DataRegularSeason20242025!$R$2:$R$1315,1)</f>
        <v>0</v>
      </c>
      <c r="AZ40" s="39"/>
      <c r="BA40" s="38">
        <f>COUNTIFS(DataRegularSeason20242025!$E$2:$E$1315,WatchedGames20242025!$A39,DataRegularSeason20242025!$D$2:$D$1315,WatchedGames20242025!BA$1,DataRegularSeason20242025!$N$2:$N$1315,1, DataRegularSeason20242025!$R$2:$R$1315,1)</f>
        <v>0</v>
      </c>
      <c r="BB40" s="39"/>
      <c r="BC40" s="38">
        <f>COUNTIFS(DataRegularSeason20242025!$E$2:$E$1315,WatchedGames20242025!$A39,DataRegularSeason20242025!$D$2:$D$1315,WatchedGames20242025!BC$1,DataRegularSeason20242025!$N$2:$N$1315,1, DataRegularSeason20242025!$R$2:$R$1315,1)</f>
        <v>0</v>
      </c>
      <c r="BD40" s="39"/>
      <c r="BE40" s="38">
        <f>COUNTIFS(DataRegularSeason20242025!$E$2:$E$1315,WatchedGames20242025!$A39,DataRegularSeason20242025!$D$2:$D$1315,WatchedGames20242025!BE$1,DataRegularSeason20242025!$N$2:$N$1315,1, DataRegularSeason20242025!$R$2:$R$1315,1)</f>
        <v>0</v>
      </c>
      <c r="BF40" s="39"/>
      <c r="BG40" s="38">
        <f>COUNTIFS(DataRegularSeason20242025!$E$2:$E$1315,WatchedGames20242025!$A39,DataRegularSeason20242025!$D$2:$D$1315,WatchedGames20242025!BG$1,DataRegularSeason20242025!$N$2:$N$1315,1, DataRegularSeason20242025!$R$2:$R$1315,1)</f>
        <v>0</v>
      </c>
      <c r="BH40" s="39"/>
      <c r="BI40" s="38">
        <f>COUNTIFS(DataRegularSeason20242025!$E$2:$E$1315,WatchedGames20242025!$A39,DataRegularSeason20242025!$D$2:$D$1315,WatchedGames20242025!BI$1,DataRegularSeason20242025!$N$2:$N$1315,1, DataRegularSeason20242025!$R$2:$R$1315,1)</f>
        <v>0</v>
      </c>
      <c r="BJ40" s="39"/>
      <c r="BK40" s="38">
        <f>COUNTIFS(DataRegularSeason20242025!$E$2:$E$1315,WatchedGames20242025!$A39,DataRegularSeason20242025!$D$2:$D$1315,WatchedGames20242025!BK$1,DataRegularSeason20242025!$N$2:$N$1315,1, DataRegularSeason20242025!$R$2:$R$1315,1)</f>
        <v>0</v>
      </c>
      <c r="BL40" s="39"/>
      <c r="BM40" s="38">
        <f>COUNTIFS(DataRegularSeason20242025!$E$2:$E$1315,WatchedGames20242025!$A39,DataRegularSeason20242025!$D$2:$D$1315,WatchedGames20242025!BM$1,DataRegularSeason20242025!$N$2:$N$1315,1, DataRegularSeason20242025!$R$2:$R$1315,1)</f>
        <v>1</v>
      </c>
      <c r="BN40" s="39"/>
      <c r="BO40" s="34">
        <f t="shared" si="1"/>
        <v>4</v>
      </c>
      <c r="BP40" s="165"/>
      <c r="BQ40" s="166"/>
      <c r="BR40" s="173"/>
    </row>
    <row r="41" spans="1:70" s="27" customFormat="1" ht="9.9499999999999993" customHeight="1" x14ac:dyDescent="0.2">
      <c r="A41" s="172" t="s">
        <v>29</v>
      </c>
      <c r="B41" s="28" t="s">
        <v>74</v>
      </c>
      <c r="C41" s="35"/>
      <c r="D41" s="28">
        <f>COUNTIFS(DataRegularSeason20242025!$E$2:$E$1315,WatchedGames20242025!C$1,DataRegularSeason20242025!$D$2:$D$1315,WatchedGames20242025!$A41,DataRegularSeason20242025!$N$2:$N$1315,1, DataRegularSeason20242025!$R$2:$R$1315,1)</f>
        <v>0</v>
      </c>
      <c r="E41" s="35"/>
      <c r="F41" s="28">
        <f>COUNTIFS(DataRegularSeason20242025!$E$2:$E$1315,WatchedGames20242025!E$1,DataRegularSeason20242025!$D$2:$D$1315,WatchedGames20242025!$A41,DataRegularSeason20242025!$N$2:$N$1315,1, DataRegularSeason20242025!$R$2:$R$1315,1)</f>
        <v>0</v>
      </c>
      <c r="G41" s="35"/>
      <c r="H41" s="28">
        <f>COUNTIFS(DataRegularSeason20242025!$E$2:$E$1315,WatchedGames20242025!G$1,DataRegularSeason20242025!$D$2:$D$1315,WatchedGames20242025!$A41,DataRegularSeason20242025!$N$2:$N$1315,1, DataRegularSeason20242025!$R$2:$R$1315,1)</f>
        <v>1</v>
      </c>
      <c r="I41" s="35"/>
      <c r="J41" s="28">
        <f>COUNTIFS(DataRegularSeason20242025!$E$2:$E$1315,WatchedGames20242025!I$1,DataRegularSeason20242025!$D$2:$D$1315,WatchedGames20242025!$A41,DataRegularSeason20242025!$N$2:$N$1315,1, DataRegularSeason20242025!$R$2:$R$1315,1)</f>
        <v>0</v>
      </c>
      <c r="K41" s="35"/>
      <c r="L41" s="28">
        <f>COUNTIFS(DataRegularSeason20242025!$E$2:$E$1315,WatchedGames20242025!K$1,DataRegularSeason20242025!$D$2:$D$1315,WatchedGames20242025!$A41,DataRegularSeason20242025!$N$2:$N$1315,1, DataRegularSeason20242025!$R$2:$R$1315,1)</f>
        <v>0</v>
      </c>
      <c r="M41" s="35"/>
      <c r="N41" s="28">
        <f>COUNTIFS(DataRegularSeason20242025!$E$2:$E$1315,WatchedGames20242025!M$1,DataRegularSeason20242025!$D$2:$D$1315,WatchedGames20242025!$A41,DataRegularSeason20242025!$N$2:$N$1315,1, DataRegularSeason20242025!$R$2:$R$1315,1)</f>
        <v>0</v>
      </c>
      <c r="O41" s="35"/>
      <c r="P41" s="28">
        <f>COUNTIFS(DataRegularSeason20242025!$E$2:$E$1315,WatchedGames20242025!O$1,DataRegularSeason20242025!$D$2:$D$1315,WatchedGames20242025!$A41,DataRegularSeason20242025!$N$2:$N$1315,1, DataRegularSeason20242025!$R$2:$R$1315,1)</f>
        <v>0</v>
      </c>
      <c r="Q41" s="35"/>
      <c r="R41" s="28">
        <f>COUNTIFS(DataRegularSeason20242025!$E$2:$E$1315,WatchedGames20242025!Q$1,DataRegularSeason20242025!$D$2:$D$1315,WatchedGames20242025!$A41,DataRegularSeason20242025!$N$2:$N$1315,1, DataRegularSeason20242025!$R$2:$R$1315,1)</f>
        <v>0</v>
      </c>
      <c r="S41" s="35"/>
      <c r="T41" s="28">
        <f>COUNTIFS(DataRegularSeason20242025!$E$2:$E$1315,WatchedGames20242025!S$1,DataRegularSeason20242025!$D$2:$D$1315,WatchedGames20242025!$A41,DataRegularSeason20242025!$N$2:$N$1315,1, DataRegularSeason20242025!$R$2:$R$1315,1)</f>
        <v>0</v>
      </c>
      <c r="U41" s="35"/>
      <c r="V41" s="28">
        <f>COUNTIFS(DataRegularSeason20242025!$E$2:$E$1315,WatchedGames20242025!U$1,DataRegularSeason20242025!$D$2:$D$1315,WatchedGames20242025!$A41,DataRegularSeason20242025!$N$2:$N$1315,1, DataRegularSeason20242025!$R$2:$R$1315,1)</f>
        <v>0</v>
      </c>
      <c r="W41" s="35"/>
      <c r="X41" s="28">
        <f>COUNTIFS(DataRegularSeason20242025!$E$2:$E$1315,WatchedGames20242025!W$1,DataRegularSeason20242025!$D$2:$D$1315,WatchedGames20242025!$A41,DataRegularSeason20242025!$N$2:$N$1315,1, DataRegularSeason20242025!$R$2:$R$1315,1)</f>
        <v>0</v>
      </c>
      <c r="Y41" s="35"/>
      <c r="Z41" s="28">
        <f>COUNTIFS(DataRegularSeason20242025!$E$2:$E$1315,WatchedGames20242025!Y$1,DataRegularSeason20242025!$D$2:$D$1315,WatchedGames20242025!$A41,DataRegularSeason20242025!$N$2:$N$1315,1, DataRegularSeason20242025!$R$2:$R$1315,1)</f>
        <v>1</v>
      </c>
      <c r="AA41" s="35"/>
      <c r="AB41" s="28">
        <f>COUNTIFS(DataRegularSeason20242025!$E$2:$E$1315,WatchedGames20242025!AA$1,DataRegularSeason20242025!$D$2:$D$1315,WatchedGames20242025!$A41,DataRegularSeason20242025!$N$2:$N$1315,1, DataRegularSeason20242025!$R$2:$R$1315,1)</f>
        <v>0</v>
      </c>
      <c r="AC41" s="35"/>
      <c r="AD41" s="28">
        <f>COUNTIFS(DataRegularSeason20242025!$E$2:$E$1315,WatchedGames20242025!AC$1,DataRegularSeason20242025!$D$2:$D$1315,WatchedGames20242025!$A41,DataRegularSeason20242025!$N$2:$N$1315,1, DataRegularSeason20242025!$R$2:$R$1315,1)</f>
        <v>0</v>
      </c>
      <c r="AE41" s="35"/>
      <c r="AF41" s="28">
        <f>COUNTIFS(DataRegularSeason20242025!$E$2:$E$1315,WatchedGames20242025!AE$1,DataRegularSeason20242025!$D$2:$D$1315,WatchedGames20242025!$A41,DataRegularSeason20242025!$N$2:$N$1315,1, DataRegularSeason20242025!$R$2:$R$1315,1)</f>
        <v>0</v>
      </c>
      <c r="AG41" s="35"/>
      <c r="AH41" s="28">
        <f>COUNTIFS(DataRegularSeason20242025!$E$2:$E$1315,WatchedGames20242025!AG$1,DataRegularSeason20242025!$D$2:$D$1315,WatchedGames20242025!$A41,DataRegularSeason20242025!$N$2:$N$1315,1, DataRegularSeason20242025!$R$2:$R$1315,1)</f>
        <v>0</v>
      </c>
      <c r="AI41" s="35"/>
      <c r="AJ41" s="28">
        <f>COUNTIFS(DataRegularSeason20242025!$E$2:$E$1315,WatchedGames20242025!AI$1,DataRegularSeason20242025!$D$2:$D$1315,WatchedGames20242025!$A41,DataRegularSeason20242025!$N$2:$N$1315,1, DataRegularSeason20242025!$R$2:$R$1315,1)</f>
        <v>0</v>
      </c>
      <c r="AK41" s="35"/>
      <c r="AL41" s="28">
        <f>COUNTIFS(DataRegularSeason20242025!$E$2:$E$1315,WatchedGames20242025!AK$1,DataRegularSeason20242025!$D$2:$D$1315,WatchedGames20242025!$A41,DataRegularSeason20242025!$N$2:$N$1315,1, DataRegularSeason20242025!$R$2:$R$1315,1)</f>
        <v>0</v>
      </c>
      <c r="AM41" s="35"/>
      <c r="AN41" s="28">
        <f>COUNTIFS(DataRegularSeason20242025!$E$2:$E$1315,WatchedGames20242025!AM$1,DataRegularSeason20242025!$D$2:$D$1315,WatchedGames20242025!$A41,DataRegularSeason20242025!$N$2:$N$1315,1, DataRegularSeason20242025!$R$2:$R$1315,1)</f>
        <v>0</v>
      </c>
      <c r="AO41" s="35"/>
      <c r="AP41" s="36"/>
      <c r="AQ41" s="35"/>
      <c r="AR41" s="28">
        <f>COUNTIFS(DataRegularSeason20242025!$E$2:$E$1315,WatchedGames20242025!AQ$1,DataRegularSeason20242025!$D$2:$D$1315,WatchedGames20242025!$A41,DataRegularSeason20242025!$N$2:$N$1315,1, DataRegularSeason20242025!$R$2:$R$1315,1)</f>
        <v>0</v>
      </c>
      <c r="AS41" s="35"/>
      <c r="AT41" s="28">
        <f>COUNTIFS(DataRegularSeason20242025!$E$2:$E$1315,WatchedGames20242025!AS$1,DataRegularSeason20242025!$D$2:$D$1315,WatchedGames20242025!$A41,DataRegularSeason20242025!$N$2:$N$1315,1, DataRegularSeason20242025!$R$2:$R$1315,1)</f>
        <v>0</v>
      </c>
      <c r="AU41" s="35"/>
      <c r="AV41" s="28">
        <f>COUNTIFS(DataRegularSeason20242025!$E$2:$E$1315,WatchedGames20242025!AU$1,DataRegularSeason20242025!$D$2:$D$1315,WatchedGames20242025!$A41,DataRegularSeason20242025!$N$2:$N$1315,1, DataRegularSeason20242025!$R$2:$R$1315,1)</f>
        <v>0</v>
      </c>
      <c r="AW41" s="35"/>
      <c r="AX41" s="28">
        <f>COUNTIFS(DataRegularSeason20242025!$E$2:$E$1315,WatchedGames20242025!AW$1,DataRegularSeason20242025!$D$2:$D$1315,WatchedGames20242025!$A41,DataRegularSeason20242025!$N$2:$N$1315,1, DataRegularSeason20242025!$R$2:$R$1315,1)</f>
        <v>0</v>
      </c>
      <c r="AY41" s="35"/>
      <c r="AZ41" s="28">
        <f>COUNTIFS(DataRegularSeason20242025!$E$2:$E$1315,WatchedGames20242025!AY$1,DataRegularSeason20242025!$D$2:$D$1315,WatchedGames20242025!$A41,DataRegularSeason20242025!$N$2:$N$1315,1, DataRegularSeason20242025!$R$2:$R$1315,1)</f>
        <v>0</v>
      </c>
      <c r="BA41" s="35"/>
      <c r="BB41" s="28">
        <f>COUNTIFS(DataRegularSeason20242025!$E$2:$E$1315,WatchedGames20242025!BA$1,DataRegularSeason20242025!$D$2:$D$1315,WatchedGames20242025!$A41,DataRegularSeason20242025!$N$2:$N$1315,1, DataRegularSeason20242025!$R$2:$R$1315,1)</f>
        <v>1</v>
      </c>
      <c r="BC41" s="35"/>
      <c r="BD41" s="28">
        <f>COUNTIFS(DataRegularSeason20242025!$E$2:$E$1315,WatchedGames20242025!BC$1,DataRegularSeason20242025!$D$2:$D$1315,WatchedGames20242025!$A41,DataRegularSeason20242025!$N$2:$N$1315,1, DataRegularSeason20242025!$R$2:$R$1315,1)</f>
        <v>0</v>
      </c>
      <c r="BE41" s="35"/>
      <c r="BF41" s="28">
        <f>COUNTIFS(DataRegularSeason20242025!$E$2:$E$1315,WatchedGames20242025!BE$1,DataRegularSeason20242025!$D$2:$D$1315,WatchedGames20242025!$A41,DataRegularSeason20242025!$N$2:$N$1315,1, DataRegularSeason20242025!$R$2:$R$1315,1)</f>
        <v>0</v>
      </c>
      <c r="BG41" s="35"/>
      <c r="BH41" s="28">
        <f>COUNTIFS(DataRegularSeason20242025!$E$2:$E$1315,WatchedGames20242025!BG$1,DataRegularSeason20242025!$D$2:$D$1315,WatchedGames20242025!$A41,DataRegularSeason20242025!$N$2:$N$1315,1, DataRegularSeason20242025!$R$2:$R$1315,1)</f>
        <v>0</v>
      </c>
      <c r="BI41" s="35"/>
      <c r="BJ41" s="28">
        <f>COUNTIFS(DataRegularSeason20242025!$E$2:$E$1315,WatchedGames20242025!BI$1,DataRegularSeason20242025!$D$2:$D$1315,WatchedGames20242025!$A41,DataRegularSeason20242025!$N$2:$N$1315,1, DataRegularSeason20242025!$R$2:$R$1315,1)</f>
        <v>0</v>
      </c>
      <c r="BK41" s="35"/>
      <c r="BL41" s="28">
        <f>COUNTIFS(DataRegularSeason20242025!$E$2:$E$1315,WatchedGames20242025!BK$1,DataRegularSeason20242025!$D$2:$D$1315,WatchedGames20242025!$A41,DataRegularSeason20242025!$N$2:$N$1315,1, DataRegularSeason20242025!$R$2:$R$1315,1)</f>
        <v>0</v>
      </c>
      <c r="BM41" s="35"/>
      <c r="BN41" s="28">
        <f>COUNTIFS(DataRegularSeason20242025!$E$2:$E$1315,WatchedGames20242025!BM$1,DataRegularSeason20242025!$D$2:$D$1315,WatchedGames20242025!$A41,DataRegularSeason20242025!$N$2:$N$1315,1, DataRegularSeason20242025!$R$2:$R$1315,1)</f>
        <v>0</v>
      </c>
      <c r="BO41" s="30">
        <f t="shared" si="1"/>
        <v>3</v>
      </c>
      <c r="BP41" s="165">
        <f t="shared" ref="BP41" si="38">BO41+BO42</f>
        <v>6</v>
      </c>
      <c r="BQ41" s="166">
        <f t="shared" ref="BQ41" si="39">82-BP41</f>
        <v>76</v>
      </c>
      <c r="BR41" s="173">
        <f t="shared" si="0"/>
        <v>7.3170731707317069E-2</v>
      </c>
    </row>
    <row r="42" spans="1:70" s="27" customFormat="1" ht="9.9499999999999993" customHeight="1" x14ac:dyDescent="0.2">
      <c r="A42" s="167"/>
      <c r="B42" s="32" t="s">
        <v>73</v>
      </c>
      <c r="C42" s="38">
        <f>COUNTIFS(DataRegularSeason20242025!$E$2:$E$1315,WatchedGames20242025!$A41,DataRegularSeason20242025!$D$2:$D$1315,WatchedGames20242025!C$1,DataRegularSeason20242025!$N$2:$N$1315,1, DataRegularSeason20242025!$R$2:$R$1315,1)</f>
        <v>0</v>
      </c>
      <c r="D42" s="39"/>
      <c r="E42" s="38">
        <f>COUNTIFS(DataRegularSeason20242025!$E$2:$E$1315,WatchedGames20242025!$A41,DataRegularSeason20242025!$D$2:$D$1315,WatchedGames20242025!E$1,DataRegularSeason20242025!$N$2:$N$1315,1, DataRegularSeason20242025!$R$2:$R$1315,1)</f>
        <v>0</v>
      </c>
      <c r="F42" s="39"/>
      <c r="G42" s="38">
        <f>COUNTIFS(DataRegularSeason20242025!$E$2:$E$1315,WatchedGames20242025!$A41,DataRegularSeason20242025!$D$2:$D$1315,WatchedGames20242025!G$1,DataRegularSeason20242025!$N$2:$N$1315,1, DataRegularSeason20242025!$R$2:$R$1315,1)</f>
        <v>0</v>
      </c>
      <c r="H42" s="39"/>
      <c r="I42" s="38">
        <f>COUNTIFS(DataRegularSeason20242025!$E$2:$E$1315,WatchedGames20242025!$A41,DataRegularSeason20242025!$D$2:$D$1315,WatchedGames20242025!I$1,DataRegularSeason20242025!$N$2:$N$1315,1, DataRegularSeason20242025!$R$2:$R$1315,1)</f>
        <v>0</v>
      </c>
      <c r="J42" s="39"/>
      <c r="K42" s="38">
        <f>COUNTIFS(DataRegularSeason20242025!$E$2:$E$1315,WatchedGames20242025!$A41,DataRegularSeason20242025!$D$2:$D$1315,WatchedGames20242025!K$1,DataRegularSeason20242025!$N$2:$N$1315,1, DataRegularSeason20242025!$R$2:$R$1315,1)</f>
        <v>0</v>
      </c>
      <c r="L42" s="39"/>
      <c r="M42" s="38">
        <f>COUNTIFS(DataRegularSeason20242025!$E$2:$E$1315,WatchedGames20242025!$A41,DataRegularSeason20242025!$D$2:$D$1315,WatchedGames20242025!M$1,DataRegularSeason20242025!$N$2:$N$1315,1, DataRegularSeason20242025!$R$2:$R$1315,1)</f>
        <v>0</v>
      </c>
      <c r="N42" s="39"/>
      <c r="O42" s="38">
        <f>COUNTIFS(DataRegularSeason20242025!$E$2:$E$1315,WatchedGames20242025!$A41,DataRegularSeason20242025!$D$2:$D$1315,WatchedGames20242025!O$1,DataRegularSeason20242025!$N$2:$N$1315,1, DataRegularSeason20242025!$R$2:$R$1315,1)</f>
        <v>0</v>
      </c>
      <c r="P42" s="39"/>
      <c r="Q42" s="38">
        <f>COUNTIFS(DataRegularSeason20242025!$E$2:$E$1315,WatchedGames20242025!$A41,DataRegularSeason20242025!$D$2:$D$1315,WatchedGames20242025!Q$1,DataRegularSeason20242025!$N$2:$N$1315,1, DataRegularSeason20242025!$R$2:$R$1315,1)</f>
        <v>0</v>
      </c>
      <c r="R42" s="39"/>
      <c r="S42" s="38">
        <f>COUNTIFS(DataRegularSeason20242025!$E$2:$E$1315,WatchedGames20242025!$A41,DataRegularSeason20242025!$D$2:$D$1315,WatchedGames20242025!S$1,DataRegularSeason20242025!$N$2:$N$1315,1, DataRegularSeason20242025!$R$2:$R$1315,1)</f>
        <v>0</v>
      </c>
      <c r="T42" s="39"/>
      <c r="U42" s="38">
        <f>COUNTIFS(DataRegularSeason20242025!$E$2:$E$1315,WatchedGames20242025!$A41,DataRegularSeason20242025!$D$2:$D$1315,WatchedGames20242025!U$1,DataRegularSeason20242025!$N$2:$N$1315,1, DataRegularSeason20242025!$R$2:$R$1315,1)</f>
        <v>0</v>
      </c>
      <c r="V42" s="39"/>
      <c r="W42" s="38">
        <f>COUNTIFS(DataRegularSeason20242025!$E$2:$E$1315,WatchedGames20242025!$A41,DataRegularSeason20242025!$D$2:$D$1315,WatchedGames20242025!W$1,DataRegularSeason20242025!$N$2:$N$1315,1, DataRegularSeason20242025!$R$2:$R$1315,1)</f>
        <v>1</v>
      </c>
      <c r="X42" s="39"/>
      <c r="Y42" s="38">
        <f>COUNTIFS(DataRegularSeason20242025!$E$2:$E$1315,WatchedGames20242025!$A41,DataRegularSeason20242025!$D$2:$D$1315,WatchedGames20242025!Y$1,DataRegularSeason20242025!$N$2:$N$1315,1, DataRegularSeason20242025!$R$2:$R$1315,1)</f>
        <v>0</v>
      </c>
      <c r="Z42" s="39"/>
      <c r="AA42" s="38">
        <f>COUNTIFS(DataRegularSeason20242025!$E$2:$E$1315,WatchedGames20242025!$A41,DataRegularSeason20242025!$D$2:$D$1315,WatchedGames20242025!AA$1,DataRegularSeason20242025!$N$2:$N$1315,1, DataRegularSeason20242025!$R$2:$R$1315,1)</f>
        <v>0</v>
      </c>
      <c r="AB42" s="39"/>
      <c r="AC42" s="38">
        <f>COUNTIFS(DataRegularSeason20242025!$E$2:$E$1315,WatchedGames20242025!$A41,DataRegularSeason20242025!$D$2:$D$1315,WatchedGames20242025!AC$1,DataRegularSeason20242025!$N$2:$N$1315,1, DataRegularSeason20242025!$R$2:$R$1315,1)</f>
        <v>0</v>
      </c>
      <c r="AD42" s="39"/>
      <c r="AE42" s="38">
        <f>COUNTIFS(DataRegularSeason20242025!$E$2:$E$1315,WatchedGames20242025!$A41,DataRegularSeason20242025!$D$2:$D$1315,WatchedGames20242025!AE$1,DataRegularSeason20242025!$N$2:$N$1315,1, DataRegularSeason20242025!$R$2:$R$1315,1)</f>
        <v>0</v>
      </c>
      <c r="AF42" s="39"/>
      <c r="AG42" s="38">
        <f>COUNTIFS(DataRegularSeason20242025!$E$2:$E$1315,WatchedGames20242025!$A41,DataRegularSeason20242025!$D$2:$D$1315,WatchedGames20242025!AG$1,DataRegularSeason20242025!$N$2:$N$1315,1, DataRegularSeason20242025!$R$2:$R$1315,1)</f>
        <v>0</v>
      </c>
      <c r="AH42" s="39"/>
      <c r="AI42" s="38">
        <f>COUNTIFS(DataRegularSeason20242025!$E$2:$E$1315,WatchedGames20242025!$A41,DataRegularSeason20242025!$D$2:$D$1315,WatchedGames20242025!AI$1,DataRegularSeason20242025!$N$2:$N$1315,1, DataRegularSeason20242025!$R$2:$R$1315,1)</f>
        <v>0</v>
      </c>
      <c r="AJ42" s="39"/>
      <c r="AK42" s="38">
        <f>COUNTIFS(DataRegularSeason20242025!$E$2:$E$1315,WatchedGames20242025!$A41,DataRegularSeason20242025!$D$2:$D$1315,WatchedGames20242025!AK$1,DataRegularSeason20242025!$N$2:$N$1315,1, DataRegularSeason20242025!$R$2:$R$1315,1)</f>
        <v>1</v>
      </c>
      <c r="AL42" s="39"/>
      <c r="AM42" s="38">
        <f>COUNTIFS(DataRegularSeason20242025!$E$2:$E$1315,WatchedGames20242025!$A41,DataRegularSeason20242025!$D$2:$D$1315,WatchedGames20242025!AM$1,DataRegularSeason20242025!$N$2:$N$1315,1, DataRegularSeason20242025!$R$2:$R$1315,1)</f>
        <v>0</v>
      </c>
      <c r="AN42" s="39"/>
      <c r="AO42" s="38"/>
      <c r="AP42" s="39"/>
      <c r="AQ42" s="38">
        <f>COUNTIFS(DataRegularSeason20242025!$E$2:$E$1315,WatchedGames20242025!$A41,DataRegularSeason20242025!$D$2:$D$1315,WatchedGames20242025!AQ$1,DataRegularSeason20242025!$N$2:$N$1315,1, DataRegularSeason20242025!$R$2:$R$1315,1)</f>
        <v>0</v>
      </c>
      <c r="AR42" s="39"/>
      <c r="AS42" s="38">
        <f>COUNTIFS(DataRegularSeason20242025!$E$2:$E$1315,WatchedGames20242025!$A41,DataRegularSeason20242025!$D$2:$D$1315,WatchedGames20242025!AS$1,DataRegularSeason20242025!$N$2:$N$1315,1, DataRegularSeason20242025!$R$2:$R$1315,1)</f>
        <v>0</v>
      </c>
      <c r="AT42" s="39"/>
      <c r="AU42" s="38">
        <f>COUNTIFS(DataRegularSeason20242025!$E$2:$E$1315,WatchedGames20242025!$A41,DataRegularSeason20242025!$D$2:$D$1315,WatchedGames20242025!AU$1,DataRegularSeason20242025!$N$2:$N$1315,1, DataRegularSeason20242025!$R$2:$R$1315,1)</f>
        <v>1</v>
      </c>
      <c r="AV42" s="39"/>
      <c r="AW42" s="38">
        <f>COUNTIFS(DataRegularSeason20242025!$E$2:$E$1315,WatchedGames20242025!$A41,DataRegularSeason20242025!$D$2:$D$1315,WatchedGames20242025!AW$1,DataRegularSeason20242025!$N$2:$N$1315,1, DataRegularSeason20242025!$R$2:$R$1315,1)</f>
        <v>0</v>
      </c>
      <c r="AX42" s="39"/>
      <c r="AY42" s="38">
        <f>COUNTIFS(DataRegularSeason20242025!$E$2:$E$1315,WatchedGames20242025!$A41,DataRegularSeason20242025!$D$2:$D$1315,WatchedGames20242025!AY$1,DataRegularSeason20242025!$N$2:$N$1315,1, DataRegularSeason20242025!$R$2:$R$1315,1)</f>
        <v>0</v>
      </c>
      <c r="AZ42" s="39"/>
      <c r="BA42" s="38">
        <f>COUNTIFS(DataRegularSeason20242025!$E$2:$E$1315,WatchedGames20242025!$A41,DataRegularSeason20242025!$D$2:$D$1315,WatchedGames20242025!BA$1,DataRegularSeason20242025!$N$2:$N$1315,1, DataRegularSeason20242025!$R$2:$R$1315,1)</f>
        <v>0</v>
      </c>
      <c r="BB42" s="39"/>
      <c r="BC42" s="38">
        <f>COUNTIFS(DataRegularSeason20242025!$E$2:$E$1315,WatchedGames20242025!$A41,DataRegularSeason20242025!$D$2:$D$1315,WatchedGames20242025!BC$1,DataRegularSeason20242025!$N$2:$N$1315,1, DataRegularSeason20242025!$R$2:$R$1315,1)</f>
        <v>0</v>
      </c>
      <c r="BD42" s="39"/>
      <c r="BE42" s="38">
        <f>COUNTIFS(DataRegularSeason20242025!$E$2:$E$1315,WatchedGames20242025!$A41,DataRegularSeason20242025!$D$2:$D$1315,WatchedGames20242025!BE$1,DataRegularSeason20242025!$N$2:$N$1315,1, DataRegularSeason20242025!$R$2:$R$1315,1)</f>
        <v>0</v>
      </c>
      <c r="BF42" s="39"/>
      <c r="BG42" s="38">
        <f>COUNTIFS(DataRegularSeason20242025!$E$2:$E$1315,WatchedGames20242025!$A41,DataRegularSeason20242025!$D$2:$D$1315,WatchedGames20242025!BG$1,DataRegularSeason20242025!$N$2:$N$1315,1, DataRegularSeason20242025!$R$2:$R$1315,1)</f>
        <v>0</v>
      </c>
      <c r="BH42" s="39"/>
      <c r="BI42" s="38">
        <f>COUNTIFS(DataRegularSeason20242025!$E$2:$E$1315,WatchedGames20242025!$A41,DataRegularSeason20242025!$D$2:$D$1315,WatchedGames20242025!BI$1,DataRegularSeason20242025!$N$2:$N$1315,1, DataRegularSeason20242025!$R$2:$R$1315,1)</f>
        <v>0</v>
      </c>
      <c r="BJ42" s="39"/>
      <c r="BK42" s="38">
        <f>COUNTIFS(DataRegularSeason20242025!$E$2:$E$1315,WatchedGames20242025!$A41,DataRegularSeason20242025!$D$2:$D$1315,WatchedGames20242025!BK$1,DataRegularSeason20242025!$N$2:$N$1315,1, DataRegularSeason20242025!$R$2:$R$1315,1)</f>
        <v>0</v>
      </c>
      <c r="BL42" s="39"/>
      <c r="BM42" s="38">
        <f>COUNTIFS(DataRegularSeason20242025!$E$2:$E$1315,WatchedGames20242025!$A41,DataRegularSeason20242025!$D$2:$D$1315,WatchedGames20242025!BM$1,DataRegularSeason20242025!$N$2:$N$1315,1, DataRegularSeason20242025!$R$2:$R$1315,1)</f>
        <v>0</v>
      </c>
      <c r="BN42" s="39"/>
      <c r="BO42" s="34">
        <f t="shared" si="1"/>
        <v>3</v>
      </c>
      <c r="BP42" s="165"/>
      <c r="BQ42" s="166"/>
      <c r="BR42" s="173"/>
    </row>
    <row r="43" spans="1:70" s="27" customFormat="1" ht="9.9499999999999993" customHeight="1" x14ac:dyDescent="0.2">
      <c r="A43" s="172" t="s">
        <v>42</v>
      </c>
      <c r="B43" s="28" t="s">
        <v>74</v>
      </c>
      <c r="C43" s="35"/>
      <c r="D43" s="28">
        <f>COUNTIFS(DataRegularSeason20242025!$E$2:$E$1315,WatchedGames20242025!C$1,DataRegularSeason20242025!$D$2:$D$1315,WatchedGames20242025!$A43,DataRegularSeason20242025!$N$2:$N$1315,1, DataRegularSeason20242025!$R$2:$R$1315,1)</f>
        <v>0</v>
      </c>
      <c r="E43" s="35"/>
      <c r="F43" s="28">
        <f>COUNTIFS(DataRegularSeason20242025!$E$2:$E$1315,WatchedGames20242025!E$1,DataRegularSeason20242025!$D$2:$D$1315,WatchedGames20242025!$A43,DataRegularSeason20242025!$N$2:$N$1315,1, DataRegularSeason20242025!$R$2:$R$1315,1)</f>
        <v>0</v>
      </c>
      <c r="G43" s="35"/>
      <c r="H43" s="28">
        <f>COUNTIFS(DataRegularSeason20242025!$E$2:$E$1315,WatchedGames20242025!G$1,DataRegularSeason20242025!$D$2:$D$1315,WatchedGames20242025!$A43,DataRegularSeason20242025!$N$2:$N$1315,1, DataRegularSeason20242025!$R$2:$R$1315,1)</f>
        <v>0</v>
      </c>
      <c r="I43" s="35"/>
      <c r="J43" s="28">
        <f>COUNTIFS(DataRegularSeason20242025!$E$2:$E$1315,WatchedGames20242025!I$1,DataRegularSeason20242025!$D$2:$D$1315,WatchedGames20242025!$A43,DataRegularSeason20242025!$N$2:$N$1315,1, DataRegularSeason20242025!$R$2:$R$1315,1)</f>
        <v>1</v>
      </c>
      <c r="K43" s="35"/>
      <c r="L43" s="28">
        <f>COUNTIFS(DataRegularSeason20242025!$E$2:$E$1315,WatchedGames20242025!K$1,DataRegularSeason20242025!$D$2:$D$1315,WatchedGames20242025!$A43,DataRegularSeason20242025!$N$2:$N$1315,1, DataRegularSeason20242025!$R$2:$R$1315,1)</f>
        <v>0</v>
      </c>
      <c r="M43" s="35"/>
      <c r="N43" s="28">
        <f>COUNTIFS(DataRegularSeason20242025!$E$2:$E$1315,WatchedGames20242025!M$1,DataRegularSeason20242025!$D$2:$D$1315,WatchedGames20242025!$A43,DataRegularSeason20242025!$N$2:$N$1315,1, DataRegularSeason20242025!$R$2:$R$1315,1)</f>
        <v>0</v>
      </c>
      <c r="O43" s="35"/>
      <c r="P43" s="28">
        <f>COUNTIFS(DataRegularSeason20242025!$E$2:$E$1315,WatchedGames20242025!O$1,DataRegularSeason20242025!$D$2:$D$1315,WatchedGames20242025!$A43,DataRegularSeason20242025!$N$2:$N$1315,1, DataRegularSeason20242025!$R$2:$R$1315,1)</f>
        <v>0</v>
      </c>
      <c r="Q43" s="35"/>
      <c r="R43" s="28">
        <f>COUNTIFS(DataRegularSeason20242025!$E$2:$E$1315,WatchedGames20242025!Q$1,DataRegularSeason20242025!$D$2:$D$1315,WatchedGames20242025!$A43,DataRegularSeason20242025!$N$2:$N$1315,1, DataRegularSeason20242025!$R$2:$R$1315,1)</f>
        <v>0</v>
      </c>
      <c r="S43" s="35"/>
      <c r="T43" s="28">
        <f>COUNTIFS(DataRegularSeason20242025!$E$2:$E$1315,WatchedGames20242025!S$1,DataRegularSeason20242025!$D$2:$D$1315,WatchedGames20242025!$A43,DataRegularSeason20242025!$N$2:$N$1315,1, DataRegularSeason20242025!$R$2:$R$1315,1)</f>
        <v>0</v>
      </c>
      <c r="U43" s="35"/>
      <c r="V43" s="28">
        <f>COUNTIFS(DataRegularSeason20242025!$E$2:$E$1315,WatchedGames20242025!U$1,DataRegularSeason20242025!$D$2:$D$1315,WatchedGames20242025!$A43,DataRegularSeason20242025!$N$2:$N$1315,1, DataRegularSeason20242025!$R$2:$R$1315,1)</f>
        <v>0</v>
      </c>
      <c r="W43" s="35"/>
      <c r="X43" s="28">
        <f>COUNTIFS(DataRegularSeason20242025!$E$2:$E$1315,WatchedGames20242025!W$1,DataRegularSeason20242025!$D$2:$D$1315,WatchedGames20242025!$A43,DataRegularSeason20242025!$N$2:$N$1315,1, DataRegularSeason20242025!$R$2:$R$1315,1)</f>
        <v>0</v>
      </c>
      <c r="Y43" s="35"/>
      <c r="Z43" s="28">
        <f>COUNTIFS(DataRegularSeason20242025!$E$2:$E$1315,WatchedGames20242025!Y$1,DataRegularSeason20242025!$D$2:$D$1315,WatchedGames20242025!$A43,DataRegularSeason20242025!$N$2:$N$1315,1, DataRegularSeason20242025!$R$2:$R$1315,1)</f>
        <v>0</v>
      </c>
      <c r="AA43" s="35"/>
      <c r="AB43" s="28">
        <f>COUNTIFS(DataRegularSeason20242025!$E$2:$E$1315,WatchedGames20242025!AA$1,DataRegularSeason20242025!$D$2:$D$1315,WatchedGames20242025!$A43,DataRegularSeason20242025!$N$2:$N$1315,1, DataRegularSeason20242025!$R$2:$R$1315,1)</f>
        <v>0</v>
      </c>
      <c r="AC43" s="35"/>
      <c r="AD43" s="28">
        <f>COUNTIFS(DataRegularSeason20242025!$E$2:$E$1315,WatchedGames20242025!AC$1,DataRegularSeason20242025!$D$2:$D$1315,WatchedGames20242025!$A43,DataRegularSeason20242025!$N$2:$N$1315,1, DataRegularSeason20242025!$R$2:$R$1315,1)</f>
        <v>0</v>
      </c>
      <c r="AE43" s="35"/>
      <c r="AF43" s="28">
        <f>COUNTIFS(DataRegularSeason20242025!$E$2:$E$1315,WatchedGames20242025!AE$1,DataRegularSeason20242025!$D$2:$D$1315,WatchedGames20242025!$A43,DataRegularSeason20242025!$N$2:$N$1315,1, DataRegularSeason20242025!$R$2:$R$1315,1)</f>
        <v>0</v>
      </c>
      <c r="AG43" s="35"/>
      <c r="AH43" s="28">
        <f>COUNTIFS(DataRegularSeason20242025!$E$2:$E$1315,WatchedGames20242025!AG$1,DataRegularSeason20242025!$D$2:$D$1315,WatchedGames20242025!$A43,DataRegularSeason20242025!$N$2:$N$1315,1, DataRegularSeason20242025!$R$2:$R$1315,1)</f>
        <v>0</v>
      </c>
      <c r="AI43" s="35"/>
      <c r="AJ43" s="28">
        <f>COUNTIFS(DataRegularSeason20242025!$E$2:$E$1315,WatchedGames20242025!AI$1,DataRegularSeason20242025!$D$2:$D$1315,WatchedGames20242025!$A43,DataRegularSeason20242025!$N$2:$N$1315,1, DataRegularSeason20242025!$R$2:$R$1315,1)</f>
        <v>0</v>
      </c>
      <c r="AK43" s="35"/>
      <c r="AL43" s="28">
        <f>COUNTIFS(DataRegularSeason20242025!$E$2:$E$1315,WatchedGames20242025!AK$1,DataRegularSeason20242025!$D$2:$D$1315,WatchedGames20242025!$A43,DataRegularSeason20242025!$N$2:$N$1315,1, DataRegularSeason20242025!$R$2:$R$1315,1)</f>
        <v>0</v>
      </c>
      <c r="AM43" s="35"/>
      <c r="AN43" s="28">
        <f>COUNTIFS(DataRegularSeason20242025!$E$2:$E$1315,WatchedGames20242025!AM$1,DataRegularSeason20242025!$D$2:$D$1315,WatchedGames20242025!$A43,DataRegularSeason20242025!$N$2:$N$1315,1, DataRegularSeason20242025!$R$2:$R$1315,1)</f>
        <v>0</v>
      </c>
      <c r="AO43" s="35"/>
      <c r="AP43" s="28">
        <f>COUNTIFS(DataRegularSeason20242025!$E$2:$E$1315,WatchedGames20242025!AO$1,DataRegularSeason20242025!$D$2:$D$1315,WatchedGames20242025!$A43,DataRegularSeason20242025!$N$2:$N$1315,1, DataRegularSeason20242025!$R$2:$R$1315,1)</f>
        <v>0</v>
      </c>
      <c r="AQ43" s="35"/>
      <c r="AR43" s="36"/>
      <c r="AS43" s="35"/>
      <c r="AT43" s="28">
        <f>COUNTIFS(DataRegularSeason20242025!$E$2:$E$1315,WatchedGames20242025!AS$1,DataRegularSeason20242025!$D$2:$D$1315,WatchedGames20242025!$A43,DataRegularSeason20242025!$N$2:$N$1315,1, DataRegularSeason20242025!$R$2:$R$1315,1)</f>
        <v>0</v>
      </c>
      <c r="AU43" s="35"/>
      <c r="AV43" s="28">
        <f>COUNTIFS(DataRegularSeason20242025!$E$2:$E$1315,WatchedGames20242025!AU$1,DataRegularSeason20242025!$D$2:$D$1315,WatchedGames20242025!$A43,DataRegularSeason20242025!$N$2:$N$1315,1, DataRegularSeason20242025!$R$2:$R$1315,1)</f>
        <v>0</v>
      </c>
      <c r="AW43" s="35"/>
      <c r="AX43" s="28">
        <f>COUNTIFS(DataRegularSeason20242025!$E$2:$E$1315,WatchedGames20242025!AW$1,DataRegularSeason20242025!$D$2:$D$1315,WatchedGames20242025!$A43,DataRegularSeason20242025!$N$2:$N$1315,1, DataRegularSeason20242025!$R$2:$R$1315,1)</f>
        <v>0</v>
      </c>
      <c r="AY43" s="35"/>
      <c r="AZ43" s="28">
        <f>COUNTIFS(DataRegularSeason20242025!$E$2:$E$1315,WatchedGames20242025!AY$1,DataRegularSeason20242025!$D$2:$D$1315,WatchedGames20242025!$A43,DataRegularSeason20242025!$N$2:$N$1315,1, DataRegularSeason20242025!$R$2:$R$1315,1)</f>
        <v>0</v>
      </c>
      <c r="BA43" s="35"/>
      <c r="BB43" s="28">
        <f>COUNTIFS(DataRegularSeason20242025!$E$2:$E$1315,WatchedGames20242025!BA$1,DataRegularSeason20242025!$D$2:$D$1315,WatchedGames20242025!$A43,DataRegularSeason20242025!$N$2:$N$1315,1, DataRegularSeason20242025!$R$2:$R$1315,1)</f>
        <v>0</v>
      </c>
      <c r="BC43" s="35"/>
      <c r="BD43" s="28">
        <f>COUNTIFS(DataRegularSeason20242025!$E$2:$E$1315,WatchedGames20242025!BC$1,DataRegularSeason20242025!$D$2:$D$1315,WatchedGames20242025!$A43,DataRegularSeason20242025!$N$2:$N$1315,1, DataRegularSeason20242025!$R$2:$R$1315,1)</f>
        <v>0</v>
      </c>
      <c r="BE43" s="35"/>
      <c r="BF43" s="28">
        <f>COUNTIFS(DataRegularSeason20242025!$E$2:$E$1315,WatchedGames20242025!BE$1,DataRegularSeason20242025!$D$2:$D$1315,WatchedGames20242025!$A43,DataRegularSeason20242025!$N$2:$N$1315,1, DataRegularSeason20242025!$R$2:$R$1315,1)</f>
        <v>0</v>
      </c>
      <c r="BG43" s="35"/>
      <c r="BH43" s="28">
        <f>COUNTIFS(DataRegularSeason20242025!$E$2:$E$1315,WatchedGames20242025!BG$1,DataRegularSeason20242025!$D$2:$D$1315,WatchedGames20242025!$A43,DataRegularSeason20242025!$N$2:$N$1315,1, DataRegularSeason20242025!$R$2:$R$1315,1)</f>
        <v>0</v>
      </c>
      <c r="BI43" s="35"/>
      <c r="BJ43" s="28">
        <f>COUNTIFS(DataRegularSeason20242025!$E$2:$E$1315,WatchedGames20242025!BI$1,DataRegularSeason20242025!$D$2:$D$1315,WatchedGames20242025!$A43,DataRegularSeason20242025!$N$2:$N$1315,1, DataRegularSeason20242025!$R$2:$R$1315,1)</f>
        <v>0</v>
      </c>
      <c r="BK43" s="35"/>
      <c r="BL43" s="28">
        <f>COUNTIFS(DataRegularSeason20242025!$E$2:$E$1315,WatchedGames20242025!BK$1,DataRegularSeason20242025!$D$2:$D$1315,WatchedGames20242025!$A43,DataRegularSeason20242025!$N$2:$N$1315,1, DataRegularSeason20242025!$R$2:$R$1315,1)</f>
        <v>0</v>
      </c>
      <c r="BM43" s="35"/>
      <c r="BN43" s="28">
        <f>COUNTIFS(DataRegularSeason20242025!$E$2:$E$1315,WatchedGames20242025!BM$1,DataRegularSeason20242025!$D$2:$D$1315,WatchedGames20242025!$A43,DataRegularSeason20242025!$N$2:$N$1315,1, DataRegularSeason20242025!$R$2:$R$1315,1)</f>
        <v>0</v>
      </c>
      <c r="BO43" s="30">
        <f t="shared" si="1"/>
        <v>1</v>
      </c>
      <c r="BP43" s="165">
        <f t="shared" ref="BP43" si="40">BO43+BO44</f>
        <v>4</v>
      </c>
      <c r="BQ43" s="166">
        <f t="shared" ref="BQ43" si="41">82-BP43</f>
        <v>78</v>
      </c>
      <c r="BR43" s="173">
        <f t="shared" si="0"/>
        <v>4.878048780487805E-2</v>
      </c>
    </row>
    <row r="44" spans="1:70" s="27" customFormat="1" ht="9.9499999999999993" customHeight="1" x14ac:dyDescent="0.2">
      <c r="A44" s="167"/>
      <c r="B44" s="32" t="s">
        <v>73</v>
      </c>
      <c r="C44" s="38">
        <f>COUNTIFS(DataRegularSeason20242025!$E$2:$E$1315,WatchedGames20242025!$A43,DataRegularSeason20242025!$D$2:$D$1315,WatchedGames20242025!C$1,DataRegularSeason20242025!$N$2:$N$1315,1, DataRegularSeason20242025!$R$2:$R$1315,1)</f>
        <v>0</v>
      </c>
      <c r="D44" s="39"/>
      <c r="E44" s="38">
        <f>COUNTIFS(DataRegularSeason20242025!$E$2:$E$1315,WatchedGames20242025!$A43,DataRegularSeason20242025!$D$2:$D$1315,WatchedGames20242025!E$1,DataRegularSeason20242025!$N$2:$N$1315,1, DataRegularSeason20242025!$R$2:$R$1315,1)</f>
        <v>0</v>
      </c>
      <c r="F44" s="39"/>
      <c r="G44" s="38">
        <f>COUNTIFS(DataRegularSeason20242025!$E$2:$E$1315,WatchedGames20242025!$A43,DataRegularSeason20242025!$D$2:$D$1315,WatchedGames20242025!G$1,DataRegularSeason20242025!$N$2:$N$1315,1, DataRegularSeason20242025!$R$2:$R$1315,1)</f>
        <v>0</v>
      </c>
      <c r="H44" s="39"/>
      <c r="I44" s="38">
        <f>COUNTIFS(DataRegularSeason20242025!$E$2:$E$1315,WatchedGames20242025!$A43,DataRegularSeason20242025!$D$2:$D$1315,WatchedGames20242025!I$1,DataRegularSeason20242025!$N$2:$N$1315,1, DataRegularSeason20242025!$R$2:$R$1315,1)</f>
        <v>0</v>
      </c>
      <c r="J44" s="39"/>
      <c r="K44" s="38">
        <f>COUNTIFS(DataRegularSeason20242025!$E$2:$E$1315,WatchedGames20242025!$A43,DataRegularSeason20242025!$D$2:$D$1315,WatchedGames20242025!K$1,DataRegularSeason20242025!$N$2:$N$1315,1, DataRegularSeason20242025!$R$2:$R$1315,1)</f>
        <v>0</v>
      </c>
      <c r="L44" s="39"/>
      <c r="M44" s="38">
        <f>COUNTIFS(DataRegularSeason20242025!$E$2:$E$1315,WatchedGames20242025!$A43,DataRegularSeason20242025!$D$2:$D$1315,WatchedGames20242025!M$1,DataRegularSeason20242025!$N$2:$N$1315,1, DataRegularSeason20242025!$R$2:$R$1315,1)</f>
        <v>0</v>
      </c>
      <c r="N44" s="39"/>
      <c r="O44" s="38">
        <f>COUNTIFS(DataRegularSeason20242025!$E$2:$E$1315,WatchedGames20242025!$A43,DataRegularSeason20242025!$D$2:$D$1315,WatchedGames20242025!O$1,DataRegularSeason20242025!$N$2:$N$1315,1, DataRegularSeason20242025!$R$2:$R$1315,1)</f>
        <v>0</v>
      </c>
      <c r="P44" s="39"/>
      <c r="Q44" s="38">
        <f>COUNTIFS(DataRegularSeason20242025!$E$2:$E$1315,WatchedGames20242025!$A43,DataRegularSeason20242025!$D$2:$D$1315,WatchedGames20242025!Q$1,DataRegularSeason20242025!$N$2:$N$1315,1, DataRegularSeason20242025!$R$2:$R$1315,1)</f>
        <v>0</v>
      </c>
      <c r="R44" s="39"/>
      <c r="S44" s="38">
        <f>COUNTIFS(DataRegularSeason20242025!$E$2:$E$1315,WatchedGames20242025!$A43,DataRegularSeason20242025!$D$2:$D$1315,WatchedGames20242025!S$1,DataRegularSeason20242025!$N$2:$N$1315,1, DataRegularSeason20242025!$R$2:$R$1315,1)</f>
        <v>0</v>
      </c>
      <c r="T44" s="39"/>
      <c r="U44" s="38">
        <f>COUNTIFS(DataRegularSeason20242025!$E$2:$E$1315,WatchedGames20242025!$A43,DataRegularSeason20242025!$D$2:$D$1315,WatchedGames20242025!U$1,DataRegularSeason20242025!$N$2:$N$1315,1, DataRegularSeason20242025!$R$2:$R$1315,1)</f>
        <v>0</v>
      </c>
      <c r="V44" s="39"/>
      <c r="W44" s="38">
        <f>COUNTIFS(DataRegularSeason20242025!$E$2:$E$1315,WatchedGames20242025!$A43,DataRegularSeason20242025!$D$2:$D$1315,WatchedGames20242025!W$1,DataRegularSeason20242025!$N$2:$N$1315,1, DataRegularSeason20242025!$R$2:$R$1315,1)</f>
        <v>0</v>
      </c>
      <c r="X44" s="39"/>
      <c r="Y44" s="38">
        <f>COUNTIFS(DataRegularSeason20242025!$E$2:$E$1315,WatchedGames20242025!$A43,DataRegularSeason20242025!$D$2:$D$1315,WatchedGames20242025!Y$1,DataRegularSeason20242025!$N$2:$N$1315,1, DataRegularSeason20242025!$R$2:$R$1315,1)</f>
        <v>1</v>
      </c>
      <c r="Z44" s="39"/>
      <c r="AA44" s="38">
        <f>COUNTIFS(DataRegularSeason20242025!$E$2:$E$1315,WatchedGames20242025!$A43,DataRegularSeason20242025!$D$2:$D$1315,WatchedGames20242025!AA$1,DataRegularSeason20242025!$N$2:$N$1315,1, DataRegularSeason20242025!$R$2:$R$1315,1)</f>
        <v>0</v>
      </c>
      <c r="AB44" s="39"/>
      <c r="AC44" s="38">
        <f>COUNTIFS(DataRegularSeason20242025!$E$2:$E$1315,WatchedGames20242025!$A43,DataRegularSeason20242025!$D$2:$D$1315,WatchedGames20242025!AC$1,DataRegularSeason20242025!$N$2:$N$1315,1, DataRegularSeason20242025!$R$2:$R$1315,1)</f>
        <v>1</v>
      </c>
      <c r="AD44" s="39"/>
      <c r="AE44" s="38">
        <f>COUNTIFS(DataRegularSeason20242025!$E$2:$E$1315,WatchedGames20242025!$A43,DataRegularSeason20242025!$D$2:$D$1315,WatchedGames20242025!AE$1,DataRegularSeason20242025!$N$2:$N$1315,1, DataRegularSeason20242025!$R$2:$R$1315,1)</f>
        <v>0</v>
      </c>
      <c r="AF44" s="39"/>
      <c r="AG44" s="38">
        <f>COUNTIFS(DataRegularSeason20242025!$E$2:$E$1315,WatchedGames20242025!$A43,DataRegularSeason20242025!$D$2:$D$1315,WatchedGames20242025!AG$1,DataRegularSeason20242025!$N$2:$N$1315,1, DataRegularSeason20242025!$R$2:$R$1315,1)</f>
        <v>0</v>
      </c>
      <c r="AH44" s="39"/>
      <c r="AI44" s="38">
        <f>COUNTIFS(DataRegularSeason20242025!$E$2:$E$1315,WatchedGames20242025!$A43,DataRegularSeason20242025!$D$2:$D$1315,WatchedGames20242025!AI$1,DataRegularSeason20242025!$N$2:$N$1315,1, DataRegularSeason20242025!$R$2:$R$1315,1)</f>
        <v>0</v>
      </c>
      <c r="AJ44" s="39"/>
      <c r="AK44" s="38">
        <f>COUNTIFS(DataRegularSeason20242025!$E$2:$E$1315,WatchedGames20242025!$A43,DataRegularSeason20242025!$D$2:$D$1315,WatchedGames20242025!AK$1,DataRegularSeason20242025!$N$2:$N$1315,1, DataRegularSeason20242025!$R$2:$R$1315,1)</f>
        <v>0</v>
      </c>
      <c r="AL44" s="39"/>
      <c r="AM44" s="38">
        <f>COUNTIFS(DataRegularSeason20242025!$E$2:$E$1315,WatchedGames20242025!$A43,DataRegularSeason20242025!$D$2:$D$1315,WatchedGames20242025!AM$1,DataRegularSeason20242025!$N$2:$N$1315,1, DataRegularSeason20242025!$R$2:$R$1315,1)</f>
        <v>0</v>
      </c>
      <c r="AN44" s="39"/>
      <c r="AO44" s="38">
        <f>COUNTIFS(DataRegularSeason20242025!$E$2:$E$1315,WatchedGames20242025!$A43,DataRegularSeason20242025!$D$2:$D$1315,WatchedGames20242025!AO$1,DataRegularSeason20242025!$N$2:$N$1315,1, DataRegularSeason20242025!$R$2:$R$1315,1)</f>
        <v>0</v>
      </c>
      <c r="AP44" s="39"/>
      <c r="AQ44" s="38"/>
      <c r="AR44" s="39"/>
      <c r="AS44" s="38">
        <f>COUNTIFS(DataRegularSeason20242025!$E$2:$E$1315,WatchedGames20242025!$A43,DataRegularSeason20242025!$D$2:$D$1315,WatchedGames20242025!AS$1,DataRegularSeason20242025!$N$2:$N$1315,1, DataRegularSeason20242025!$R$2:$R$1315,1)</f>
        <v>0</v>
      </c>
      <c r="AT44" s="39"/>
      <c r="AU44" s="38">
        <f>COUNTIFS(DataRegularSeason20242025!$E$2:$E$1315,WatchedGames20242025!$A43,DataRegularSeason20242025!$D$2:$D$1315,WatchedGames20242025!AU$1,DataRegularSeason20242025!$N$2:$N$1315,1, DataRegularSeason20242025!$R$2:$R$1315,1)</f>
        <v>1</v>
      </c>
      <c r="AV44" s="39"/>
      <c r="AW44" s="38">
        <f>COUNTIFS(DataRegularSeason20242025!$E$2:$E$1315,WatchedGames20242025!$A43,DataRegularSeason20242025!$D$2:$D$1315,WatchedGames20242025!AW$1,DataRegularSeason20242025!$N$2:$N$1315,1, DataRegularSeason20242025!$R$2:$R$1315,1)</f>
        <v>0</v>
      </c>
      <c r="AX44" s="39"/>
      <c r="AY44" s="38">
        <f>COUNTIFS(DataRegularSeason20242025!$E$2:$E$1315,WatchedGames20242025!$A43,DataRegularSeason20242025!$D$2:$D$1315,WatchedGames20242025!AY$1,DataRegularSeason20242025!$N$2:$N$1315,1, DataRegularSeason20242025!$R$2:$R$1315,1)</f>
        <v>0</v>
      </c>
      <c r="AZ44" s="39"/>
      <c r="BA44" s="38">
        <f>COUNTIFS(DataRegularSeason20242025!$E$2:$E$1315,WatchedGames20242025!$A43,DataRegularSeason20242025!$D$2:$D$1315,WatchedGames20242025!BA$1,DataRegularSeason20242025!$N$2:$N$1315,1, DataRegularSeason20242025!$R$2:$R$1315,1)</f>
        <v>0</v>
      </c>
      <c r="BB44" s="39"/>
      <c r="BC44" s="38">
        <f>COUNTIFS(DataRegularSeason20242025!$E$2:$E$1315,WatchedGames20242025!$A43,DataRegularSeason20242025!$D$2:$D$1315,WatchedGames20242025!BC$1,DataRegularSeason20242025!$N$2:$N$1315,1, DataRegularSeason20242025!$R$2:$R$1315,1)</f>
        <v>0</v>
      </c>
      <c r="BD44" s="39"/>
      <c r="BE44" s="38">
        <f>COUNTIFS(DataRegularSeason20242025!$E$2:$E$1315,WatchedGames20242025!$A43,DataRegularSeason20242025!$D$2:$D$1315,WatchedGames20242025!BE$1,DataRegularSeason20242025!$N$2:$N$1315,1, DataRegularSeason20242025!$R$2:$R$1315,1)</f>
        <v>0</v>
      </c>
      <c r="BF44" s="39"/>
      <c r="BG44" s="38">
        <f>COUNTIFS(DataRegularSeason20242025!$E$2:$E$1315,WatchedGames20242025!$A43,DataRegularSeason20242025!$D$2:$D$1315,WatchedGames20242025!BG$1,DataRegularSeason20242025!$N$2:$N$1315,1, DataRegularSeason20242025!$R$2:$R$1315,1)</f>
        <v>0</v>
      </c>
      <c r="BH44" s="39"/>
      <c r="BI44" s="38">
        <f>COUNTIFS(DataRegularSeason20242025!$E$2:$E$1315,WatchedGames20242025!$A43,DataRegularSeason20242025!$D$2:$D$1315,WatchedGames20242025!BI$1,DataRegularSeason20242025!$N$2:$N$1315,1, DataRegularSeason20242025!$R$2:$R$1315,1)</f>
        <v>0</v>
      </c>
      <c r="BJ44" s="39"/>
      <c r="BK44" s="38">
        <f>COUNTIFS(DataRegularSeason20242025!$E$2:$E$1315,WatchedGames20242025!$A43,DataRegularSeason20242025!$D$2:$D$1315,WatchedGames20242025!BK$1,DataRegularSeason20242025!$N$2:$N$1315,1, DataRegularSeason20242025!$R$2:$R$1315,1)</f>
        <v>0</v>
      </c>
      <c r="BL44" s="39"/>
      <c r="BM44" s="38">
        <f>COUNTIFS(DataRegularSeason20242025!$E$2:$E$1315,WatchedGames20242025!$A43,DataRegularSeason20242025!$D$2:$D$1315,WatchedGames20242025!BM$1,DataRegularSeason20242025!$N$2:$N$1315,1, DataRegularSeason20242025!$R$2:$R$1315,1)</f>
        <v>0</v>
      </c>
      <c r="BN44" s="39"/>
      <c r="BO44" s="34">
        <f t="shared" si="1"/>
        <v>3</v>
      </c>
      <c r="BP44" s="165"/>
      <c r="BQ44" s="166"/>
      <c r="BR44" s="173"/>
    </row>
    <row r="45" spans="1:70" s="27" customFormat="1" ht="9.9499999999999993" customHeight="1" x14ac:dyDescent="0.2">
      <c r="A45" s="172" t="s">
        <v>20</v>
      </c>
      <c r="B45" s="28" t="s">
        <v>74</v>
      </c>
      <c r="C45" s="35"/>
      <c r="D45" s="28">
        <f>COUNTIFS(DataRegularSeason20242025!$E$2:$E$1315,WatchedGames20242025!C$1,DataRegularSeason20242025!$D$2:$D$1315,WatchedGames20242025!$A45,DataRegularSeason20242025!$N$2:$N$1315,1, DataRegularSeason20242025!$R$2:$R$1315,1)</f>
        <v>1</v>
      </c>
      <c r="E45" s="35"/>
      <c r="F45" s="28">
        <f>COUNTIFS(DataRegularSeason20242025!$E$2:$E$1315,WatchedGames20242025!E$1,DataRegularSeason20242025!$D$2:$D$1315,WatchedGames20242025!$A45,DataRegularSeason20242025!$N$2:$N$1315,1, DataRegularSeason20242025!$R$2:$R$1315,1)</f>
        <v>0</v>
      </c>
      <c r="G45" s="35"/>
      <c r="H45" s="28">
        <f>COUNTIFS(DataRegularSeason20242025!$E$2:$E$1315,WatchedGames20242025!G$1,DataRegularSeason20242025!$D$2:$D$1315,WatchedGames20242025!$A45,DataRegularSeason20242025!$N$2:$N$1315,1, DataRegularSeason20242025!$R$2:$R$1315,1)</f>
        <v>0</v>
      </c>
      <c r="I45" s="35"/>
      <c r="J45" s="28">
        <f>COUNTIFS(DataRegularSeason20242025!$E$2:$E$1315,WatchedGames20242025!I$1,DataRegularSeason20242025!$D$2:$D$1315,WatchedGames20242025!$A45,DataRegularSeason20242025!$N$2:$N$1315,1, DataRegularSeason20242025!$R$2:$R$1315,1)</f>
        <v>0</v>
      </c>
      <c r="K45" s="35"/>
      <c r="L45" s="28">
        <f>COUNTIFS(DataRegularSeason20242025!$E$2:$E$1315,WatchedGames20242025!K$1,DataRegularSeason20242025!$D$2:$D$1315,WatchedGames20242025!$A45,DataRegularSeason20242025!$N$2:$N$1315,1, DataRegularSeason20242025!$R$2:$R$1315,1)</f>
        <v>0</v>
      </c>
      <c r="M45" s="35"/>
      <c r="N45" s="28">
        <f>COUNTIFS(DataRegularSeason20242025!$E$2:$E$1315,WatchedGames20242025!M$1,DataRegularSeason20242025!$D$2:$D$1315,WatchedGames20242025!$A45,DataRegularSeason20242025!$N$2:$N$1315,1, DataRegularSeason20242025!$R$2:$R$1315,1)</f>
        <v>0</v>
      </c>
      <c r="O45" s="35"/>
      <c r="P45" s="28">
        <f>COUNTIFS(DataRegularSeason20242025!$E$2:$E$1315,WatchedGames20242025!O$1,DataRegularSeason20242025!$D$2:$D$1315,WatchedGames20242025!$A45,DataRegularSeason20242025!$N$2:$N$1315,1, DataRegularSeason20242025!$R$2:$R$1315,1)</f>
        <v>0</v>
      </c>
      <c r="Q45" s="35"/>
      <c r="R45" s="28">
        <f>COUNTIFS(DataRegularSeason20242025!$E$2:$E$1315,WatchedGames20242025!Q$1,DataRegularSeason20242025!$D$2:$D$1315,WatchedGames20242025!$A45,DataRegularSeason20242025!$N$2:$N$1315,1, DataRegularSeason20242025!$R$2:$R$1315,1)</f>
        <v>0</v>
      </c>
      <c r="S45" s="35"/>
      <c r="T45" s="28">
        <f>COUNTIFS(DataRegularSeason20242025!$E$2:$E$1315,WatchedGames20242025!S$1,DataRegularSeason20242025!$D$2:$D$1315,WatchedGames20242025!$A45,DataRegularSeason20242025!$N$2:$N$1315,1, DataRegularSeason20242025!$R$2:$R$1315,1)</f>
        <v>0</v>
      </c>
      <c r="U45" s="35"/>
      <c r="V45" s="28">
        <f>COUNTIFS(DataRegularSeason20242025!$E$2:$E$1315,WatchedGames20242025!U$1,DataRegularSeason20242025!$D$2:$D$1315,WatchedGames20242025!$A45,DataRegularSeason20242025!$N$2:$N$1315,1, DataRegularSeason20242025!$R$2:$R$1315,1)</f>
        <v>0</v>
      </c>
      <c r="W45" s="35"/>
      <c r="X45" s="28">
        <f>COUNTIFS(DataRegularSeason20242025!$E$2:$E$1315,WatchedGames20242025!W$1,DataRegularSeason20242025!$D$2:$D$1315,WatchedGames20242025!$A45,DataRegularSeason20242025!$N$2:$N$1315,1, DataRegularSeason20242025!$R$2:$R$1315,1)</f>
        <v>0</v>
      </c>
      <c r="Y45" s="35"/>
      <c r="Z45" s="28">
        <f>COUNTIFS(DataRegularSeason20242025!$E$2:$E$1315,WatchedGames20242025!Y$1,DataRegularSeason20242025!$D$2:$D$1315,WatchedGames20242025!$A45,DataRegularSeason20242025!$N$2:$N$1315,1, DataRegularSeason20242025!$R$2:$R$1315,1)</f>
        <v>0</v>
      </c>
      <c r="AA45" s="35"/>
      <c r="AB45" s="28">
        <f>COUNTIFS(DataRegularSeason20242025!$E$2:$E$1315,WatchedGames20242025!AA$1,DataRegularSeason20242025!$D$2:$D$1315,WatchedGames20242025!$A45,DataRegularSeason20242025!$N$2:$N$1315,1, DataRegularSeason20242025!$R$2:$R$1315,1)</f>
        <v>0</v>
      </c>
      <c r="AC45" s="35"/>
      <c r="AD45" s="28">
        <f>COUNTIFS(DataRegularSeason20242025!$E$2:$E$1315,WatchedGames20242025!AC$1,DataRegularSeason20242025!$D$2:$D$1315,WatchedGames20242025!$A45,DataRegularSeason20242025!$N$2:$N$1315,1, DataRegularSeason20242025!$R$2:$R$1315,1)</f>
        <v>0</v>
      </c>
      <c r="AE45" s="35"/>
      <c r="AF45" s="28">
        <f>COUNTIFS(DataRegularSeason20242025!$E$2:$E$1315,WatchedGames20242025!AE$1,DataRegularSeason20242025!$D$2:$D$1315,WatchedGames20242025!$A45,DataRegularSeason20242025!$N$2:$N$1315,1, DataRegularSeason20242025!$R$2:$R$1315,1)</f>
        <v>0</v>
      </c>
      <c r="AG45" s="35"/>
      <c r="AH45" s="28">
        <f>COUNTIFS(DataRegularSeason20242025!$E$2:$E$1315,WatchedGames20242025!AG$1,DataRegularSeason20242025!$D$2:$D$1315,WatchedGames20242025!$A45,DataRegularSeason20242025!$N$2:$N$1315,1, DataRegularSeason20242025!$R$2:$R$1315,1)</f>
        <v>0</v>
      </c>
      <c r="AI45" s="35"/>
      <c r="AJ45" s="28">
        <f>COUNTIFS(DataRegularSeason20242025!$E$2:$E$1315,WatchedGames20242025!AI$1,DataRegularSeason20242025!$D$2:$D$1315,WatchedGames20242025!$A45,DataRegularSeason20242025!$N$2:$N$1315,1, DataRegularSeason20242025!$R$2:$R$1315,1)</f>
        <v>0</v>
      </c>
      <c r="AK45" s="35"/>
      <c r="AL45" s="28">
        <f>COUNTIFS(DataRegularSeason20242025!$E$2:$E$1315,WatchedGames20242025!AK$1,DataRegularSeason20242025!$D$2:$D$1315,WatchedGames20242025!$A45,DataRegularSeason20242025!$N$2:$N$1315,1, DataRegularSeason20242025!$R$2:$R$1315,1)</f>
        <v>0</v>
      </c>
      <c r="AM45" s="35"/>
      <c r="AN45" s="28">
        <f>COUNTIFS(DataRegularSeason20242025!$E$2:$E$1315,WatchedGames20242025!AM$1,DataRegularSeason20242025!$D$2:$D$1315,WatchedGames20242025!$A45,DataRegularSeason20242025!$N$2:$N$1315,1, DataRegularSeason20242025!$R$2:$R$1315,1)</f>
        <v>1</v>
      </c>
      <c r="AO45" s="35"/>
      <c r="AP45" s="28">
        <f>COUNTIFS(DataRegularSeason20242025!$E$2:$E$1315,WatchedGames20242025!AO$1,DataRegularSeason20242025!$D$2:$D$1315,WatchedGames20242025!$A45,DataRegularSeason20242025!$N$2:$N$1315,1, DataRegularSeason20242025!$R$2:$R$1315,1)</f>
        <v>0</v>
      </c>
      <c r="AQ45" s="35"/>
      <c r="AR45" s="28">
        <f>COUNTIFS(DataRegularSeason20242025!$E$2:$E$1315,WatchedGames20242025!AQ$1,DataRegularSeason20242025!$D$2:$D$1315,WatchedGames20242025!$A45,DataRegularSeason20242025!$N$2:$N$1315,1, DataRegularSeason20242025!$R$2:$R$1315,1)</f>
        <v>0</v>
      </c>
      <c r="AS45" s="35"/>
      <c r="AT45" s="36"/>
      <c r="AU45" s="35"/>
      <c r="AV45" s="28">
        <f>COUNTIFS(DataRegularSeason20242025!$E$2:$E$1315,WatchedGames20242025!AU$1,DataRegularSeason20242025!$D$2:$D$1315,WatchedGames20242025!$A45,DataRegularSeason20242025!$N$2:$N$1315,1, DataRegularSeason20242025!$R$2:$R$1315,1)</f>
        <v>0</v>
      </c>
      <c r="AW45" s="35"/>
      <c r="AX45" s="28">
        <f>COUNTIFS(DataRegularSeason20242025!$E$2:$E$1315,WatchedGames20242025!AW$1,DataRegularSeason20242025!$D$2:$D$1315,WatchedGames20242025!$A45,DataRegularSeason20242025!$N$2:$N$1315,1, DataRegularSeason20242025!$R$2:$R$1315,1)</f>
        <v>1</v>
      </c>
      <c r="AY45" s="35"/>
      <c r="AZ45" s="28">
        <f>COUNTIFS(DataRegularSeason20242025!$E$2:$E$1315,WatchedGames20242025!AY$1,DataRegularSeason20242025!$D$2:$D$1315,WatchedGames20242025!$A45,DataRegularSeason20242025!$N$2:$N$1315,1, DataRegularSeason20242025!$R$2:$R$1315,1)</f>
        <v>0</v>
      </c>
      <c r="BA45" s="35"/>
      <c r="BB45" s="28">
        <f>COUNTIFS(DataRegularSeason20242025!$E$2:$E$1315,WatchedGames20242025!BA$1,DataRegularSeason20242025!$D$2:$D$1315,WatchedGames20242025!$A45,DataRegularSeason20242025!$N$2:$N$1315,1, DataRegularSeason20242025!$R$2:$R$1315,1)</f>
        <v>0</v>
      </c>
      <c r="BC45" s="35"/>
      <c r="BD45" s="28">
        <f>COUNTIFS(DataRegularSeason20242025!$E$2:$E$1315,WatchedGames20242025!BC$1,DataRegularSeason20242025!$D$2:$D$1315,WatchedGames20242025!$A45,DataRegularSeason20242025!$N$2:$N$1315,1, DataRegularSeason20242025!$R$2:$R$1315,1)</f>
        <v>0</v>
      </c>
      <c r="BE45" s="35"/>
      <c r="BF45" s="28">
        <f>COUNTIFS(DataRegularSeason20242025!$E$2:$E$1315,WatchedGames20242025!BE$1,DataRegularSeason20242025!$D$2:$D$1315,WatchedGames20242025!$A45,DataRegularSeason20242025!$N$2:$N$1315,1, DataRegularSeason20242025!$R$2:$R$1315,1)</f>
        <v>0</v>
      </c>
      <c r="BG45" s="35"/>
      <c r="BH45" s="28">
        <f>COUNTIFS(DataRegularSeason20242025!$E$2:$E$1315,WatchedGames20242025!BG$1,DataRegularSeason20242025!$D$2:$D$1315,WatchedGames20242025!$A45,DataRegularSeason20242025!$N$2:$N$1315,1, DataRegularSeason20242025!$R$2:$R$1315,1)</f>
        <v>0</v>
      </c>
      <c r="BI45" s="35"/>
      <c r="BJ45" s="28">
        <f>COUNTIFS(DataRegularSeason20242025!$E$2:$E$1315,WatchedGames20242025!BI$1,DataRegularSeason20242025!$D$2:$D$1315,WatchedGames20242025!$A45,DataRegularSeason20242025!$N$2:$N$1315,1, DataRegularSeason20242025!$R$2:$R$1315,1)</f>
        <v>0</v>
      </c>
      <c r="BK45" s="35"/>
      <c r="BL45" s="28">
        <f>COUNTIFS(DataRegularSeason20242025!$E$2:$E$1315,WatchedGames20242025!BK$1,DataRegularSeason20242025!$D$2:$D$1315,WatchedGames20242025!$A45,DataRegularSeason20242025!$N$2:$N$1315,1, DataRegularSeason20242025!$R$2:$R$1315,1)</f>
        <v>0</v>
      </c>
      <c r="BM45" s="35"/>
      <c r="BN45" s="28">
        <f>COUNTIFS(DataRegularSeason20242025!$E$2:$E$1315,WatchedGames20242025!BM$1,DataRegularSeason20242025!$D$2:$D$1315,WatchedGames20242025!$A45,DataRegularSeason20242025!$N$2:$N$1315,1, DataRegularSeason20242025!$R$2:$R$1315,1)</f>
        <v>0</v>
      </c>
      <c r="BO45" s="30">
        <f t="shared" si="1"/>
        <v>3</v>
      </c>
      <c r="BP45" s="165">
        <f t="shared" ref="BP45" si="42">BO45+BO46</f>
        <v>4</v>
      </c>
      <c r="BQ45" s="166">
        <f t="shared" ref="BQ45" si="43">82-BP45</f>
        <v>78</v>
      </c>
      <c r="BR45" s="173">
        <f t="shared" si="0"/>
        <v>4.878048780487805E-2</v>
      </c>
    </row>
    <row r="46" spans="1:70" s="27" customFormat="1" ht="9.9499999999999993" customHeight="1" x14ac:dyDescent="0.2">
      <c r="A46" s="167"/>
      <c r="B46" s="32" t="s">
        <v>73</v>
      </c>
      <c r="C46" s="38">
        <f>COUNTIFS(DataRegularSeason20242025!$E$2:$E$1315,WatchedGames20242025!$A45,DataRegularSeason20242025!$D$2:$D$1315,WatchedGames20242025!C$1,DataRegularSeason20242025!$N$2:$N$1315,1, DataRegularSeason20242025!$R$2:$R$1315,1)</f>
        <v>0</v>
      </c>
      <c r="D46" s="39"/>
      <c r="E46" s="38">
        <f>COUNTIFS(DataRegularSeason20242025!$E$2:$E$1315,WatchedGames20242025!$A45,DataRegularSeason20242025!$D$2:$D$1315,WatchedGames20242025!E$1,DataRegularSeason20242025!$N$2:$N$1315,1, DataRegularSeason20242025!$R$2:$R$1315,1)</f>
        <v>0</v>
      </c>
      <c r="F46" s="39"/>
      <c r="G46" s="38">
        <f>COUNTIFS(DataRegularSeason20242025!$E$2:$E$1315,WatchedGames20242025!$A45,DataRegularSeason20242025!$D$2:$D$1315,WatchedGames20242025!G$1,DataRegularSeason20242025!$N$2:$N$1315,1, DataRegularSeason20242025!$R$2:$R$1315,1)</f>
        <v>0</v>
      </c>
      <c r="H46" s="39"/>
      <c r="I46" s="38">
        <f>COUNTIFS(DataRegularSeason20242025!$E$2:$E$1315,WatchedGames20242025!$A45,DataRegularSeason20242025!$D$2:$D$1315,WatchedGames20242025!I$1,DataRegularSeason20242025!$N$2:$N$1315,1, DataRegularSeason20242025!$R$2:$R$1315,1)</f>
        <v>0</v>
      </c>
      <c r="J46" s="39"/>
      <c r="K46" s="38">
        <f>COUNTIFS(DataRegularSeason20242025!$E$2:$E$1315,WatchedGames20242025!$A45,DataRegularSeason20242025!$D$2:$D$1315,WatchedGames20242025!K$1,DataRegularSeason20242025!$N$2:$N$1315,1, DataRegularSeason20242025!$R$2:$R$1315,1)</f>
        <v>0</v>
      </c>
      <c r="L46" s="39"/>
      <c r="M46" s="38">
        <f>COUNTIFS(DataRegularSeason20242025!$E$2:$E$1315,WatchedGames20242025!$A45,DataRegularSeason20242025!$D$2:$D$1315,WatchedGames20242025!M$1,DataRegularSeason20242025!$N$2:$N$1315,1, DataRegularSeason20242025!$R$2:$R$1315,1)</f>
        <v>0</v>
      </c>
      <c r="N46" s="39"/>
      <c r="O46" s="38">
        <f>COUNTIFS(DataRegularSeason20242025!$E$2:$E$1315,WatchedGames20242025!$A45,DataRegularSeason20242025!$D$2:$D$1315,WatchedGames20242025!O$1,DataRegularSeason20242025!$N$2:$N$1315,1, DataRegularSeason20242025!$R$2:$R$1315,1)</f>
        <v>0</v>
      </c>
      <c r="P46" s="39"/>
      <c r="Q46" s="38">
        <f>COUNTIFS(DataRegularSeason20242025!$E$2:$E$1315,WatchedGames20242025!$A45,DataRegularSeason20242025!$D$2:$D$1315,WatchedGames20242025!Q$1,DataRegularSeason20242025!$N$2:$N$1315,1, DataRegularSeason20242025!$R$2:$R$1315,1)</f>
        <v>0</v>
      </c>
      <c r="R46" s="39"/>
      <c r="S46" s="38">
        <f>COUNTIFS(DataRegularSeason20242025!$E$2:$E$1315,WatchedGames20242025!$A45,DataRegularSeason20242025!$D$2:$D$1315,WatchedGames20242025!S$1,DataRegularSeason20242025!$N$2:$N$1315,1, DataRegularSeason20242025!$R$2:$R$1315,1)</f>
        <v>0</v>
      </c>
      <c r="T46" s="39"/>
      <c r="U46" s="38">
        <f>COUNTIFS(DataRegularSeason20242025!$E$2:$E$1315,WatchedGames20242025!$A45,DataRegularSeason20242025!$D$2:$D$1315,WatchedGames20242025!U$1,DataRegularSeason20242025!$N$2:$N$1315,1, DataRegularSeason20242025!$R$2:$R$1315,1)</f>
        <v>0</v>
      </c>
      <c r="V46" s="39"/>
      <c r="W46" s="38">
        <f>COUNTIFS(DataRegularSeason20242025!$E$2:$E$1315,WatchedGames20242025!$A45,DataRegularSeason20242025!$D$2:$D$1315,WatchedGames20242025!W$1,DataRegularSeason20242025!$N$2:$N$1315,1, DataRegularSeason20242025!$R$2:$R$1315,1)</f>
        <v>0</v>
      </c>
      <c r="X46" s="39"/>
      <c r="Y46" s="38">
        <f>COUNTIFS(DataRegularSeason20242025!$E$2:$E$1315,WatchedGames20242025!$A45,DataRegularSeason20242025!$D$2:$D$1315,WatchedGames20242025!Y$1,DataRegularSeason20242025!$N$2:$N$1315,1, DataRegularSeason20242025!$R$2:$R$1315,1)</f>
        <v>0</v>
      </c>
      <c r="Z46" s="39"/>
      <c r="AA46" s="38">
        <f>COUNTIFS(DataRegularSeason20242025!$E$2:$E$1315,WatchedGames20242025!$A45,DataRegularSeason20242025!$D$2:$D$1315,WatchedGames20242025!AA$1,DataRegularSeason20242025!$N$2:$N$1315,1, DataRegularSeason20242025!$R$2:$R$1315,1)</f>
        <v>0</v>
      </c>
      <c r="AB46" s="39"/>
      <c r="AC46" s="38">
        <f>COUNTIFS(DataRegularSeason20242025!$E$2:$E$1315,WatchedGames20242025!$A45,DataRegularSeason20242025!$D$2:$D$1315,WatchedGames20242025!AC$1,DataRegularSeason20242025!$N$2:$N$1315,1, DataRegularSeason20242025!$R$2:$R$1315,1)</f>
        <v>0</v>
      </c>
      <c r="AD46" s="39"/>
      <c r="AE46" s="38">
        <f>COUNTIFS(DataRegularSeason20242025!$E$2:$E$1315,WatchedGames20242025!$A45,DataRegularSeason20242025!$D$2:$D$1315,WatchedGames20242025!AE$1,DataRegularSeason20242025!$N$2:$N$1315,1, DataRegularSeason20242025!$R$2:$R$1315,1)</f>
        <v>0</v>
      </c>
      <c r="AF46" s="39"/>
      <c r="AG46" s="38">
        <f>COUNTIFS(DataRegularSeason20242025!$E$2:$E$1315,WatchedGames20242025!$A45,DataRegularSeason20242025!$D$2:$D$1315,WatchedGames20242025!AG$1,DataRegularSeason20242025!$N$2:$N$1315,1, DataRegularSeason20242025!$R$2:$R$1315,1)</f>
        <v>0</v>
      </c>
      <c r="AH46" s="39"/>
      <c r="AI46" s="38">
        <f>COUNTIFS(DataRegularSeason20242025!$E$2:$E$1315,WatchedGames20242025!$A45,DataRegularSeason20242025!$D$2:$D$1315,WatchedGames20242025!AI$1,DataRegularSeason20242025!$N$2:$N$1315,1, DataRegularSeason20242025!$R$2:$R$1315,1)</f>
        <v>0</v>
      </c>
      <c r="AJ46" s="39"/>
      <c r="AK46" s="38">
        <f>COUNTIFS(DataRegularSeason20242025!$E$2:$E$1315,WatchedGames20242025!$A45,DataRegularSeason20242025!$D$2:$D$1315,WatchedGames20242025!AK$1,DataRegularSeason20242025!$N$2:$N$1315,1, DataRegularSeason20242025!$R$2:$R$1315,1)</f>
        <v>0</v>
      </c>
      <c r="AL46" s="39"/>
      <c r="AM46" s="38">
        <f>COUNTIFS(DataRegularSeason20242025!$E$2:$E$1315,WatchedGames20242025!$A45,DataRegularSeason20242025!$D$2:$D$1315,WatchedGames20242025!AM$1,DataRegularSeason20242025!$N$2:$N$1315,1, DataRegularSeason20242025!$R$2:$R$1315,1)</f>
        <v>0</v>
      </c>
      <c r="AN46" s="39"/>
      <c r="AO46" s="38">
        <f>COUNTIFS(DataRegularSeason20242025!$E$2:$E$1315,WatchedGames20242025!$A45,DataRegularSeason20242025!$D$2:$D$1315,WatchedGames20242025!AO$1,DataRegularSeason20242025!$N$2:$N$1315,1, DataRegularSeason20242025!$R$2:$R$1315,1)</f>
        <v>0</v>
      </c>
      <c r="AP46" s="39"/>
      <c r="AQ46" s="38">
        <f>COUNTIFS(DataRegularSeason20242025!$E$2:$E$1315,WatchedGames20242025!$A45,DataRegularSeason20242025!$D$2:$D$1315,WatchedGames20242025!AQ$1,DataRegularSeason20242025!$N$2:$N$1315,1, DataRegularSeason20242025!$R$2:$R$1315,1)</f>
        <v>0</v>
      </c>
      <c r="AR46" s="39"/>
      <c r="AS46" s="38"/>
      <c r="AT46" s="39"/>
      <c r="AU46" s="38">
        <f>COUNTIFS(DataRegularSeason20242025!$E$2:$E$1315,WatchedGames20242025!$A45,DataRegularSeason20242025!$D$2:$D$1315,WatchedGames20242025!AU$1,DataRegularSeason20242025!$N$2:$N$1315,1, DataRegularSeason20242025!$R$2:$R$1315,1)</f>
        <v>0</v>
      </c>
      <c r="AV46" s="39"/>
      <c r="AW46" s="38">
        <f>COUNTIFS(DataRegularSeason20242025!$E$2:$E$1315,WatchedGames20242025!$A45,DataRegularSeason20242025!$D$2:$D$1315,WatchedGames20242025!AW$1,DataRegularSeason20242025!$N$2:$N$1315,1, DataRegularSeason20242025!$R$2:$R$1315,1)</f>
        <v>0</v>
      </c>
      <c r="AX46" s="39"/>
      <c r="AY46" s="38">
        <f>COUNTIFS(DataRegularSeason20242025!$E$2:$E$1315,WatchedGames20242025!$A45,DataRegularSeason20242025!$D$2:$D$1315,WatchedGames20242025!AY$1,DataRegularSeason20242025!$N$2:$N$1315,1, DataRegularSeason20242025!$R$2:$R$1315,1)</f>
        <v>0</v>
      </c>
      <c r="AZ46" s="39"/>
      <c r="BA46" s="38">
        <f>COUNTIFS(DataRegularSeason20242025!$E$2:$E$1315,WatchedGames20242025!$A45,DataRegularSeason20242025!$D$2:$D$1315,WatchedGames20242025!BA$1,DataRegularSeason20242025!$N$2:$N$1315,1, DataRegularSeason20242025!$R$2:$R$1315,1)</f>
        <v>0</v>
      </c>
      <c r="BB46" s="39"/>
      <c r="BC46" s="38">
        <f>COUNTIFS(DataRegularSeason20242025!$E$2:$E$1315,WatchedGames20242025!$A45,DataRegularSeason20242025!$D$2:$D$1315,WatchedGames20242025!BC$1,DataRegularSeason20242025!$N$2:$N$1315,1, DataRegularSeason20242025!$R$2:$R$1315,1)</f>
        <v>0</v>
      </c>
      <c r="BD46" s="39"/>
      <c r="BE46" s="38">
        <f>COUNTIFS(DataRegularSeason20242025!$E$2:$E$1315,WatchedGames20242025!$A45,DataRegularSeason20242025!$D$2:$D$1315,WatchedGames20242025!BE$1,DataRegularSeason20242025!$N$2:$N$1315,1, DataRegularSeason20242025!$R$2:$R$1315,1)</f>
        <v>0</v>
      </c>
      <c r="BF46" s="39"/>
      <c r="BG46" s="38">
        <f>COUNTIFS(DataRegularSeason20242025!$E$2:$E$1315,WatchedGames20242025!$A45,DataRegularSeason20242025!$D$2:$D$1315,WatchedGames20242025!BG$1,DataRegularSeason20242025!$N$2:$N$1315,1, DataRegularSeason20242025!$R$2:$R$1315,1)</f>
        <v>1</v>
      </c>
      <c r="BH46" s="39"/>
      <c r="BI46" s="38">
        <f>COUNTIFS(DataRegularSeason20242025!$E$2:$E$1315,WatchedGames20242025!$A45,DataRegularSeason20242025!$D$2:$D$1315,WatchedGames20242025!BI$1,DataRegularSeason20242025!$N$2:$N$1315,1, DataRegularSeason20242025!$R$2:$R$1315,1)</f>
        <v>0</v>
      </c>
      <c r="BJ46" s="39"/>
      <c r="BK46" s="38">
        <f>COUNTIFS(DataRegularSeason20242025!$E$2:$E$1315,WatchedGames20242025!$A45,DataRegularSeason20242025!$D$2:$D$1315,WatchedGames20242025!BK$1,DataRegularSeason20242025!$N$2:$N$1315,1, DataRegularSeason20242025!$R$2:$R$1315,1)</f>
        <v>0</v>
      </c>
      <c r="BL46" s="39"/>
      <c r="BM46" s="38">
        <f>COUNTIFS(DataRegularSeason20242025!$E$2:$E$1315,WatchedGames20242025!$A45,DataRegularSeason20242025!$D$2:$D$1315,WatchedGames20242025!BM$1,DataRegularSeason20242025!$N$2:$N$1315,1, DataRegularSeason20242025!$R$2:$R$1315,1)</f>
        <v>0</v>
      </c>
      <c r="BN46" s="39"/>
      <c r="BO46" s="34">
        <f t="shared" si="1"/>
        <v>1</v>
      </c>
      <c r="BP46" s="165"/>
      <c r="BQ46" s="166"/>
      <c r="BR46" s="173"/>
    </row>
    <row r="47" spans="1:70" s="27" customFormat="1" ht="9.9499999999999993" customHeight="1" x14ac:dyDescent="0.2">
      <c r="A47" s="172" t="s">
        <v>11</v>
      </c>
      <c r="B47" s="28" t="s">
        <v>74</v>
      </c>
      <c r="C47" s="35"/>
      <c r="D47" s="28">
        <f>COUNTIFS(DataRegularSeason20242025!$E$2:$E$1315,WatchedGames20242025!C$1,DataRegularSeason20242025!$D$2:$D$1315,WatchedGames20242025!$A47,DataRegularSeason20242025!$N$2:$N$1315,1, DataRegularSeason20242025!$R$2:$R$1315,1)</f>
        <v>0</v>
      </c>
      <c r="E47" s="35"/>
      <c r="F47" s="28">
        <f>COUNTIFS(DataRegularSeason20242025!$E$2:$E$1315,WatchedGames20242025!E$1,DataRegularSeason20242025!$D$2:$D$1315,WatchedGames20242025!$A47,DataRegularSeason20242025!$N$2:$N$1315,1, DataRegularSeason20242025!$R$2:$R$1315,1)</f>
        <v>0</v>
      </c>
      <c r="G47" s="35"/>
      <c r="H47" s="28">
        <f>COUNTIFS(DataRegularSeason20242025!$E$2:$E$1315,WatchedGames20242025!G$1,DataRegularSeason20242025!$D$2:$D$1315,WatchedGames20242025!$A47,DataRegularSeason20242025!$N$2:$N$1315,1, DataRegularSeason20242025!$R$2:$R$1315,1)</f>
        <v>0</v>
      </c>
      <c r="I47" s="35"/>
      <c r="J47" s="28">
        <f>COUNTIFS(DataRegularSeason20242025!$E$2:$E$1315,WatchedGames20242025!I$1,DataRegularSeason20242025!$D$2:$D$1315,WatchedGames20242025!$A47,DataRegularSeason20242025!$N$2:$N$1315,1, DataRegularSeason20242025!$R$2:$R$1315,1)</f>
        <v>0</v>
      </c>
      <c r="K47" s="35"/>
      <c r="L47" s="28">
        <f>COUNTIFS(DataRegularSeason20242025!$E$2:$E$1315,WatchedGames20242025!K$1,DataRegularSeason20242025!$D$2:$D$1315,WatchedGames20242025!$A47,DataRegularSeason20242025!$N$2:$N$1315,1, DataRegularSeason20242025!$R$2:$R$1315,1)</f>
        <v>0</v>
      </c>
      <c r="M47" s="35"/>
      <c r="N47" s="28">
        <f>COUNTIFS(DataRegularSeason20242025!$E$2:$E$1315,WatchedGames20242025!M$1,DataRegularSeason20242025!$D$2:$D$1315,WatchedGames20242025!$A47,DataRegularSeason20242025!$N$2:$N$1315,1, DataRegularSeason20242025!$R$2:$R$1315,1)</f>
        <v>0</v>
      </c>
      <c r="O47" s="35"/>
      <c r="P47" s="28">
        <f>COUNTIFS(DataRegularSeason20242025!$E$2:$E$1315,WatchedGames20242025!O$1,DataRegularSeason20242025!$D$2:$D$1315,WatchedGames20242025!$A47,DataRegularSeason20242025!$N$2:$N$1315,1, DataRegularSeason20242025!$R$2:$R$1315,1)</f>
        <v>0</v>
      </c>
      <c r="Q47" s="35"/>
      <c r="R47" s="28">
        <f>COUNTIFS(DataRegularSeason20242025!$E$2:$E$1315,WatchedGames20242025!Q$1,DataRegularSeason20242025!$D$2:$D$1315,WatchedGames20242025!$A47,DataRegularSeason20242025!$N$2:$N$1315,1, DataRegularSeason20242025!$R$2:$R$1315,1)</f>
        <v>0</v>
      </c>
      <c r="S47" s="35"/>
      <c r="T47" s="28">
        <f>COUNTIFS(DataRegularSeason20242025!$E$2:$E$1315,WatchedGames20242025!S$1,DataRegularSeason20242025!$D$2:$D$1315,WatchedGames20242025!$A47,DataRegularSeason20242025!$N$2:$N$1315,1, DataRegularSeason20242025!$R$2:$R$1315,1)</f>
        <v>0</v>
      </c>
      <c r="U47" s="35"/>
      <c r="V47" s="28">
        <f>COUNTIFS(DataRegularSeason20242025!$E$2:$E$1315,WatchedGames20242025!U$1,DataRegularSeason20242025!$D$2:$D$1315,WatchedGames20242025!$A47,DataRegularSeason20242025!$N$2:$N$1315,1, DataRegularSeason20242025!$R$2:$R$1315,1)</f>
        <v>0</v>
      </c>
      <c r="W47" s="35"/>
      <c r="X47" s="28">
        <f>COUNTIFS(DataRegularSeason20242025!$E$2:$E$1315,WatchedGames20242025!W$1,DataRegularSeason20242025!$D$2:$D$1315,WatchedGames20242025!$A47,DataRegularSeason20242025!$N$2:$N$1315,1, DataRegularSeason20242025!$R$2:$R$1315,1)</f>
        <v>0</v>
      </c>
      <c r="Y47" s="35"/>
      <c r="Z47" s="28">
        <f>COUNTIFS(DataRegularSeason20242025!$E$2:$E$1315,WatchedGames20242025!Y$1,DataRegularSeason20242025!$D$2:$D$1315,WatchedGames20242025!$A47,DataRegularSeason20242025!$N$2:$N$1315,1, DataRegularSeason20242025!$R$2:$R$1315,1)</f>
        <v>0</v>
      </c>
      <c r="AA47" s="35"/>
      <c r="AB47" s="28">
        <f>COUNTIFS(DataRegularSeason20242025!$E$2:$E$1315,WatchedGames20242025!AA$1,DataRegularSeason20242025!$D$2:$D$1315,WatchedGames20242025!$A47,DataRegularSeason20242025!$N$2:$N$1315,1, DataRegularSeason20242025!$R$2:$R$1315,1)</f>
        <v>0</v>
      </c>
      <c r="AC47" s="35"/>
      <c r="AD47" s="28">
        <f>COUNTIFS(DataRegularSeason20242025!$E$2:$E$1315,WatchedGames20242025!AC$1,DataRegularSeason20242025!$D$2:$D$1315,WatchedGames20242025!$A47,DataRegularSeason20242025!$N$2:$N$1315,1, DataRegularSeason20242025!$R$2:$R$1315,1)</f>
        <v>0</v>
      </c>
      <c r="AE47" s="35"/>
      <c r="AF47" s="28">
        <f>COUNTIFS(DataRegularSeason20242025!$E$2:$E$1315,WatchedGames20242025!AE$1,DataRegularSeason20242025!$D$2:$D$1315,WatchedGames20242025!$A47,DataRegularSeason20242025!$N$2:$N$1315,1, DataRegularSeason20242025!$R$2:$R$1315,1)</f>
        <v>1</v>
      </c>
      <c r="AG47" s="35"/>
      <c r="AH47" s="28">
        <f>COUNTIFS(DataRegularSeason20242025!$E$2:$E$1315,WatchedGames20242025!AG$1,DataRegularSeason20242025!$D$2:$D$1315,WatchedGames20242025!$A47,DataRegularSeason20242025!$N$2:$N$1315,1, DataRegularSeason20242025!$R$2:$R$1315,1)</f>
        <v>0</v>
      </c>
      <c r="AI47" s="35"/>
      <c r="AJ47" s="28">
        <f>COUNTIFS(DataRegularSeason20242025!$E$2:$E$1315,WatchedGames20242025!AI$1,DataRegularSeason20242025!$D$2:$D$1315,WatchedGames20242025!$A47,DataRegularSeason20242025!$N$2:$N$1315,1, DataRegularSeason20242025!$R$2:$R$1315,1)</f>
        <v>0</v>
      </c>
      <c r="AK47" s="35"/>
      <c r="AL47" s="28">
        <f>COUNTIFS(DataRegularSeason20242025!$E$2:$E$1315,WatchedGames20242025!AK$1,DataRegularSeason20242025!$D$2:$D$1315,WatchedGames20242025!$A47,DataRegularSeason20242025!$N$2:$N$1315,1, DataRegularSeason20242025!$R$2:$R$1315,1)</f>
        <v>0</v>
      </c>
      <c r="AM47" s="35"/>
      <c r="AN47" s="28">
        <f>COUNTIFS(DataRegularSeason20242025!$E$2:$E$1315,WatchedGames20242025!AM$1,DataRegularSeason20242025!$D$2:$D$1315,WatchedGames20242025!$A47,DataRegularSeason20242025!$N$2:$N$1315,1, DataRegularSeason20242025!$R$2:$R$1315,1)</f>
        <v>0</v>
      </c>
      <c r="AO47" s="35"/>
      <c r="AP47" s="28">
        <f>COUNTIFS(DataRegularSeason20242025!$E$2:$E$1315,WatchedGames20242025!AO$1,DataRegularSeason20242025!$D$2:$D$1315,WatchedGames20242025!$A47,DataRegularSeason20242025!$N$2:$N$1315,1, DataRegularSeason20242025!$R$2:$R$1315,1)</f>
        <v>1</v>
      </c>
      <c r="AQ47" s="35"/>
      <c r="AR47" s="28">
        <f>COUNTIFS(DataRegularSeason20242025!$E$2:$E$1315,WatchedGames20242025!AQ$1,DataRegularSeason20242025!$D$2:$D$1315,WatchedGames20242025!$A47,DataRegularSeason20242025!$N$2:$N$1315,1, DataRegularSeason20242025!$R$2:$R$1315,1)</f>
        <v>1</v>
      </c>
      <c r="AS47" s="35"/>
      <c r="AT47" s="28">
        <f>COUNTIFS(DataRegularSeason20242025!$E$2:$E$1315,WatchedGames20242025!AS$1,DataRegularSeason20242025!$D$2:$D$1315,WatchedGames20242025!$A47,DataRegularSeason20242025!$N$2:$N$1315,1, DataRegularSeason20242025!$R$2:$R$1315,1)</f>
        <v>0</v>
      </c>
      <c r="AU47" s="35"/>
      <c r="AV47" s="36"/>
      <c r="AW47" s="35"/>
      <c r="AX47" s="28">
        <f>COUNTIFS(DataRegularSeason20242025!$E$2:$E$1315,WatchedGames20242025!AW$1,DataRegularSeason20242025!$D$2:$D$1315,WatchedGames20242025!$A47,DataRegularSeason20242025!$N$2:$N$1315,1, DataRegularSeason20242025!$R$2:$R$1315,1)</f>
        <v>0</v>
      </c>
      <c r="AY47" s="35"/>
      <c r="AZ47" s="28">
        <f>COUNTIFS(DataRegularSeason20242025!$E$2:$E$1315,WatchedGames20242025!AY$1,DataRegularSeason20242025!$D$2:$D$1315,WatchedGames20242025!$A47,DataRegularSeason20242025!$N$2:$N$1315,1, DataRegularSeason20242025!$R$2:$R$1315,1)</f>
        <v>0</v>
      </c>
      <c r="BA47" s="35"/>
      <c r="BB47" s="28">
        <f>COUNTIFS(DataRegularSeason20242025!$E$2:$E$1315,WatchedGames20242025!BA$1,DataRegularSeason20242025!$D$2:$D$1315,WatchedGames20242025!$A47,DataRegularSeason20242025!$N$2:$N$1315,1, DataRegularSeason20242025!$R$2:$R$1315,1)</f>
        <v>0</v>
      </c>
      <c r="BC47" s="35"/>
      <c r="BD47" s="28">
        <f>COUNTIFS(DataRegularSeason20242025!$E$2:$E$1315,WatchedGames20242025!BC$1,DataRegularSeason20242025!$D$2:$D$1315,WatchedGames20242025!$A47,DataRegularSeason20242025!$N$2:$N$1315,1, DataRegularSeason20242025!$R$2:$R$1315,1)</f>
        <v>1</v>
      </c>
      <c r="BE47" s="35"/>
      <c r="BF47" s="28">
        <f>COUNTIFS(DataRegularSeason20242025!$E$2:$E$1315,WatchedGames20242025!BE$1,DataRegularSeason20242025!$D$2:$D$1315,WatchedGames20242025!$A47,DataRegularSeason20242025!$N$2:$N$1315,1, DataRegularSeason20242025!$R$2:$R$1315,1)</f>
        <v>0</v>
      </c>
      <c r="BG47" s="35"/>
      <c r="BH47" s="28">
        <f>COUNTIFS(DataRegularSeason20242025!$E$2:$E$1315,WatchedGames20242025!BG$1,DataRegularSeason20242025!$D$2:$D$1315,WatchedGames20242025!$A47,DataRegularSeason20242025!$N$2:$N$1315,1, DataRegularSeason20242025!$R$2:$R$1315,1)</f>
        <v>0</v>
      </c>
      <c r="BI47" s="35"/>
      <c r="BJ47" s="28">
        <f>COUNTIFS(DataRegularSeason20242025!$E$2:$E$1315,WatchedGames20242025!BI$1,DataRegularSeason20242025!$D$2:$D$1315,WatchedGames20242025!$A47,DataRegularSeason20242025!$N$2:$N$1315,1, DataRegularSeason20242025!$R$2:$R$1315,1)</f>
        <v>0</v>
      </c>
      <c r="BK47" s="35"/>
      <c r="BL47" s="28">
        <f>COUNTIFS(DataRegularSeason20242025!$E$2:$E$1315,WatchedGames20242025!BK$1,DataRegularSeason20242025!$D$2:$D$1315,WatchedGames20242025!$A47,DataRegularSeason20242025!$N$2:$N$1315,1, DataRegularSeason20242025!$R$2:$R$1315,1)</f>
        <v>0</v>
      </c>
      <c r="BM47" s="35"/>
      <c r="BN47" s="28">
        <f>COUNTIFS(DataRegularSeason20242025!$E$2:$E$1315,WatchedGames20242025!BM$1,DataRegularSeason20242025!$D$2:$D$1315,WatchedGames20242025!$A47,DataRegularSeason20242025!$N$2:$N$1315,1, DataRegularSeason20242025!$R$2:$R$1315,1)</f>
        <v>1</v>
      </c>
      <c r="BO47" s="30">
        <f t="shared" si="1"/>
        <v>5</v>
      </c>
      <c r="BP47" s="165">
        <f t="shared" ref="BP47" si="44">BO47+BO48</f>
        <v>6</v>
      </c>
      <c r="BQ47" s="166">
        <f t="shared" ref="BQ47" si="45">82-BP47</f>
        <v>76</v>
      </c>
      <c r="BR47" s="173">
        <f t="shared" si="0"/>
        <v>7.3170731707317069E-2</v>
      </c>
    </row>
    <row r="48" spans="1:70" s="27" customFormat="1" ht="9.9499999999999993" customHeight="1" x14ac:dyDescent="0.2">
      <c r="A48" s="167"/>
      <c r="B48" s="32" t="s">
        <v>73</v>
      </c>
      <c r="C48" s="38">
        <f>COUNTIFS(DataRegularSeason20242025!$E$2:$E$1315,WatchedGames20242025!$A47,DataRegularSeason20242025!$D$2:$D$1315,WatchedGames20242025!C$1,DataRegularSeason20242025!$N$2:$N$1315,1, DataRegularSeason20242025!$R$2:$R$1315,1)</f>
        <v>1</v>
      </c>
      <c r="D48" s="39"/>
      <c r="E48" s="38">
        <f>COUNTIFS(DataRegularSeason20242025!$E$2:$E$1315,WatchedGames20242025!$A47,DataRegularSeason20242025!$D$2:$D$1315,WatchedGames20242025!E$1,DataRegularSeason20242025!$N$2:$N$1315,1, DataRegularSeason20242025!$R$2:$R$1315,1)</f>
        <v>0</v>
      </c>
      <c r="F48" s="39"/>
      <c r="G48" s="38">
        <f>COUNTIFS(DataRegularSeason20242025!$E$2:$E$1315,WatchedGames20242025!$A47,DataRegularSeason20242025!$D$2:$D$1315,WatchedGames20242025!G$1,DataRegularSeason20242025!$N$2:$N$1315,1, DataRegularSeason20242025!$R$2:$R$1315,1)</f>
        <v>0</v>
      </c>
      <c r="H48" s="39"/>
      <c r="I48" s="38">
        <f>COUNTIFS(DataRegularSeason20242025!$E$2:$E$1315,WatchedGames20242025!$A47,DataRegularSeason20242025!$D$2:$D$1315,WatchedGames20242025!I$1,DataRegularSeason20242025!$N$2:$N$1315,1, DataRegularSeason20242025!$R$2:$R$1315,1)</f>
        <v>0</v>
      </c>
      <c r="J48" s="39"/>
      <c r="K48" s="38">
        <f>COUNTIFS(DataRegularSeason20242025!$E$2:$E$1315,WatchedGames20242025!$A47,DataRegularSeason20242025!$D$2:$D$1315,WatchedGames20242025!K$1,DataRegularSeason20242025!$N$2:$N$1315,1, DataRegularSeason20242025!$R$2:$R$1315,1)</f>
        <v>0</v>
      </c>
      <c r="L48" s="39"/>
      <c r="M48" s="38">
        <f>COUNTIFS(DataRegularSeason20242025!$E$2:$E$1315,WatchedGames20242025!$A47,DataRegularSeason20242025!$D$2:$D$1315,WatchedGames20242025!M$1,DataRegularSeason20242025!$N$2:$N$1315,1, DataRegularSeason20242025!$R$2:$R$1315,1)</f>
        <v>0</v>
      </c>
      <c r="N48" s="39"/>
      <c r="O48" s="38">
        <f>COUNTIFS(DataRegularSeason20242025!$E$2:$E$1315,WatchedGames20242025!$A47,DataRegularSeason20242025!$D$2:$D$1315,WatchedGames20242025!O$1,DataRegularSeason20242025!$N$2:$N$1315,1, DataRegularSeason20242025!$R$2:$R$1315,1)</f>
        <v>0</v>
      </c>
      <c r="P48" s="39"/>
      <c r="Q48" s="38">
        <f>COUNTIFS(DataRegularSeason20242025!$E$2:$E$1315,WatchedGames20242025!$A47,DataRegularSeason20242025!$D$2:$D$1315,WatchedGames20242025!Q$1,DataRegularSeason20242025!$N$2:$N$1315,1, DataRegularSeason20242025!$R$2:$R$1315,1)</f>
        <v>0</v>
      </c>
      <c r="R48" s="39"/>
      <c r="S48" s="38">
        <f>COUNTIFS(DataRegularSeason20242025!$E$2:$E$1315,WatchedGames20242025!$A47,DataRegularSeason20242025!$D$2:$D$1315,WatchedGames20242025!S$1,DataRegularSeason20242025!$N$2:$N$1315,1, DataRegularSeason20242025!$R$2:$R$1315,1)</f>
        <v>0</v>
      </c>
      <c r="T48" s="39"/>
      <c r="U48" s="38">
        <f>COUNTIFS(DataRegularSeason20242025!$E$2:$E$1315,WatchedGames20242025!$A47,DataRegularSeason20242025!$D$2:$D$1315,WatchedGames20242025!U$1,DataRegularSeason20242025!$N$2:$N$1315,1, DataRegularSeason20242025!$R$2:$R$1315,1)</f>
        <v>0</v>
      </c>
      <c r="V48" s="39"/>
      <c r="W48" s="38">
        <f>COUNTIFS(DataRegularSeason20242025!$E$2:$E$1315,WatchedGames20242025!$A47,DataRegularSeason20242025!$D$2:$D$1315,WatchedGames20242025!W$1,DataRegularSeason20242025!$N$2:$N$1315,1, DataRegularSeason20242025!$R$2:$R$1315,1)</f>
        <v>0</v>
      </c>
      <c r="X48" s="39"/>
      <c r="Y48" s="38">
        <f>COUNTIFS(DataRegularSeason20242025!$E$2:$E$1315,WatchedGames20242025!$A47,DataRegularSeason20242025!$D$2:$D$1315,WatchedGames20242025!Y$1,DataRegularSeason20242025!$N$2:$N$1315,1, DataRegularSeason20242025!$R$2:$R$1315,1)</f>
        <v>0</v>
      </c>
      <c r="Z48" s="39"/>
      <c r="AA48" s="38">
        <f>COUNTIFS(DataRegularSeason20242025!$E$2:$E$1315,WatchedGames20242025!$A47,DataRegularSeason20242025!$D$2:$D$1315,WatchedGames20242025!AA$1,DataRegularSeason20242025!$N$2:$N$1315,1, DataRegularSeason20242025!$R$2:$R$1315,1)</f>
        <v>0</v>
      </c>
      <c r="AB48" s="39"/>
      <c r="AC48" s="38">
        <f>COUNTIFS(DataRegularSeason20242025!$E$2:$E$1315,WatchedGames20242025!$A47,DataRegularSeason20242025!$D$2:$D$1315,WatchedGames20242025!AC$1,DataRegularSeason20242025!$N$2:$N$1315,1, DataRegularSeason20242025!$R$2:$R$1315,1)</f>
        <v>0</v>
      </c>
      <c r="AD48" s="39"/>
      <c r="AE48" s="38">
        <f>COUNTIFS(DataRegularSeason20242025!$E$2:$E$1315,WatchedGames20242025!$A47,DataRegularSeason20242025!$D$2:$D$1315,WatchedGames20242025!AE$1,DataRegularSeason20242025!$N$2:$N$1315,1, DataRegularSeason20242025!$R$2:$R$1315,1)</f>
        <v>0</v>
      </c>
      <c r="AF48" s="39"/>
      <c r="AG48" s="38">
        <f>COUNTIFS(DataRegularSeason20242025!$E$2:$E$1315,WatchedGames20242025!$A47,DataRegularSeason20242025!$D$2:$D$1315,WatchedGames20242025!AG$1,DataRegularSeason20242025!$N$2:$N$1315,1, DataRegularSeason20242025!$R$2:$R$1315,1)</f>
        <v>0</v>
      </c>
      <c r="AH48" s="39"/>
      <c r="AI48" s="38">
        <f>COUNTIFS(DataRegularSeason20242025!$E$2:$E$1315,WatchedGames20242025!$A47,DataRegularSeason20242025!$D$2:$D$1315,WatchedGames20242025!AI$1,DataRegularSeason20242025!$N$2:$N$1315,1, DataRegularSeason20242025!$R$2:$R$1315,1)</f>
        <v>0</v>
      </c>
      <c r="AJ48" s="39"/>
      <c r="AK48" s="38">
        <f>COUNTIFS(DataRegularSeason20242025!$E$2:$E$1315,WatchedGames20242025!$A47,DataRegularSeason20242025!$D$2:$D$1315,WatchedGames20242025!AK$1,DataRegularSeason20242025!$N$2:$N$1315,1, DataRegularSeason20242025!$R$2:$R$1315,1)</f>
        <v>0</v>
      </c>
      <c r="AL48" s="39"/>
      <c r="AM48" s="38">
        <f>COUNTIFS(DataRegularSeason20242025!$E$2:$E$1315,WatchedGames20242025!$A47,DataRegularSeason20242025!$D$2:$D$1315,WatchedGames20242025!AM$1,DataRegularSeason20242025!$N$2:$N$1315,1, DataRegularSeason20242025!$R$2:$R$1315,1)</f>
        <v>0</v>
      </c>
      <c r="AN48" s="39"/>
      <c r="AO48" s="38">
        <f>COUNTIFS(DataRegularSeason20242025!$E$2:$E$1315,WatchedGames20242025!$A47,DataRegularSeason20242025!$D$2:$D$1315,WatchedGames20242025!AO$1,DataRegularSeason20242025!$N$2:$N$1315,1, DataRegularSeason20242025!$R$2:$R$1315,1)</f>
        <v>0</v>
      </c>
      <c r="AP48" s="39"/>
      <c r="AQ48" s="38">
        <f>COUNTIFS(DataRegularSeason20242025!$E$2:$E$1315,WatchedGames20242025!$A47,DataRegularSeason20242025!$D$2:$D$1315,WatchedGames20242025!AQ$1,DataRegularSeason20242025!$N$2:$N$1315,1, DataRegularSeason20242025!$R$2:$R$1315,1)</f>
        <v>0</v>
      </c>
      <c r="AR48" s="39"/>
      <c r="AS48" s="38">
        <f>COUNTIFS(DataRegularSeason20242025!$E$2:$E$1315,WatchedGames20242025!$A47,DataRegularSeason20242025!$D$2:$D$1315,WatchedGames20242025!AS$1,DataRegularSeason20242025!$N$2:$N$1315,1, DataRegularSeason20242025!$R$2:$R$1315,1)</f>
        <v>0</v>
      </c>
      <c r="AT48" s="39"/>
      <c r="AU48" s="38"/>
      <c r="AV48" s="39"/>
      <c r="AW48" s="38">
        <f>COUNTIFS(DataRegularSeason20242025!$E$2:$E$1315,WatchedGames20242025!$A47,DataRegularSeason20242025!$D$2:$D$1315,WatchedGames20242025!AW$1,DataRegularSeason20242025!$N$2:$N$1315,1, DataRegularSeason20242025!$R$2:$R$1315,1)</f>
        <v>0</v>
      </c>
      <c r="AX48" s="39"/>
      <c r="AY48" s="38">
        <f>COUNTIFS(DataRegularSeason20242025!$E$2:$E$1315,WatchedGames20242025!$A47,DataRegularSeason20242025!$D$2:$D$1315,WatchedGames20242025!AY$1,DataRegularSeason20242025!$N$2:$N$1315,1, DataRegularSeason20242025!$R$2:$R$1315,1)</f>
        <v>0</v>
      </c>
      <c r="AZ48" s="39"/>
      <c r="BA48" s="38">
        <f>COUNTIFS(DataRegularSeason20242025!$E$2:$E$1315,WatchedGames20242025!$A47,DataRegularSeason20242025!$D$2:$D$1315,WatchedGames20242025!BA$1,DataRegularSeason20242025!$N$2:$N$1315,1, DataRegularSeason20242025!$R$2:$R$1315,1)</f>
        <v>0</v>
      </c>
      <c r="BB48" s="39"/>
      <c r="BC48" s="38">
        <f>COUNTIFS(DataRegularSeason20242025!$E$2:$E$1315,WatchedGames20242025!$A47,DataRegularSeason20242025!$D$2:$D$1315,WatchedGames20242025!BC$1,DataRegularSeason20242025!$N$2:$N$1315,1, DataRegularSeason20242025!$R$2:$R$1315,1)</f>
        <v>0</v>
      </c>
      <c r="BD48" s="39"/>
      <c r="BE48" s="38">
        <f>COUNTIFS(DataRegularSeason20242025!$E$2:$E$1315,WatchedGames20242025!$A47,DataRegularSeason20242025!$D$2:$D$1315,WatchedGames20242025!BE$1,DataRegularSeason20242025!$N$2:$N$1315,1, DataRegularSeason20242025!$R$2:$R$1315,1)</f>
        <v>0</v>
      </c>
      <c r="BF48" s="39"/>
      <c r="BG48" s="38">
        <f>COUNTIFS(DataRegularSeason20242025!$E$2:$E$1315,WatchedGames20242025!$A47,DataRegularSeason20242025!$D$2:$D$1315,WatchedGames20242025!BG$1,DataRegularSeason20242025!$N$2:$N$1315,1, DataRegularSeason20242025!$R$2:$R$1315,1)</f>
        <v>0</v>
      </c>
      <c r="BH48" s="39"/>
      <c r="BI48" s="38">
        <f>COUNTIFS(DataRegularSeason20242025!$E$2:$E$1315,WatchedGames20242025!$A47,DataRegularSeason20242025!$D$2:$D$1315,WatchedGames20242025!BI$1,DataRegularSeason20242025!$N$2:$N$1315,1, DataRegularSeason20242025!$R$2:$R$1315,1)</f>
        <v>0</v>
      </c>
      <c r="BJ48" s="39"/>
      <c r="BK48" s="38">
        <f>COUNTIFS(DataRegularSeason20242025!$E$2:$E$1315,WatchedGames20242025!$A47,DataRegularSeason20242025!$D$2:$D$1315,WatchedGames20242025!BK$1,DataRegularSeason20242025!$N$2:$N$1315,1, DataRegularSeason20242025!$R$2:$R$1315,1)</f>
        <v>0</v>
      </c>
      <c r="BL48" s="39"/>
      <c r="BM48" s="38">
        <f>COUNTIFS(DataRegularSeason20242025!$E$2:$E$1315,WatchedGames20242025!$A47,DataRegularSeason20242025!$D$2:$D$1315,WatchedGames20242025!BM$1,DataRegularSeason20242025!$N$2:$N$1315,1, DataRegularSeason20242025!$R$2:$R$1315,1)</f>
        <v>0</v>
      </c>
      <c r="BN48" s="39"/>
      <c r="BO48" s="34">
        <f t="shared" si="1"/>
        <v>1</v>
      </c>
      <c r="BP48" s="165"/>
      <c r="BQ48" s="166"/>
      <c r="BR48" s="173"/>
    </row>
    <row r="49" spans="1:70" s="27" customFormat="1" ht="9.9499999999999993" customHeight="1" x14ac:dyDescent="0.2">
      <c r="A49" s="172" t="s">
        <v>37</v>
      </c>
      <c r="B49" s="28" t="s">
        <v>74</v>
      </c>
      <c r="C49" s="35"/>
      <c r="D49" s="28">
        <f>COUNTIFS(DataRegularSeason20242025!$E$2:$E$1315,WatchedGames20242025!C$1,DataRegularSeason20242025!$D$2:$D$1315,WatchedGames20242025!$A49,DataRegularSeason20242025!$N$2:$N$1315,1, DataRegularSeason20242025!$R$2:$R$1315,1)</f>
        <v>0</v>
      </c>
      <c r="E49" s="35"/>
      <c r="F49" s="28">
        <f>COUNTIFS(DataRegularSeason20242025!$E$2:$E$1315,WatchedGames20242025!E$1,DataRegularSeason20242025!$D$2:$D$1315,WatchedGames20242025!$A49,DataRegularSeason20242025!$N$2:$N$1315,1, DataRegularSeason20242025!$R$2:$R$1315,1)</f>
        <v>0</v>
      </c>
      <c r="G49" s="35"/>
      <c r="H49" s="28">
        <f>COUNTIFS(DataRegularSeason20242025!$E$2:$E$1315,WatchedGames20242025!G$1,DataRegularSeason20242025!$D$2:$D$1315,WatchedGames20242025!$A49,DataRegularSeason20242025!$N$2:$N$1315,1, DataRegularSeason20242025!$R$2:$R$1315,1)</f>
        <v>0</v>
      </c>
      <c r="I49" s="35"/>
      <c r="J49" s="28">
        <f>COUNTIFS(DataRegularSeason20242025!$E$2:$E$1315,WatchedGames20242025!I$1,DataRegularSeason20242025!$D$2:$D$1315,WatchedGames20242025!$A49,DataRegularSeason20242025!$N$2:$N$1315,1, DataRegularSeason20242025!$R$2:$R$1315,1)</f>
        <v>0</v>
      </c>
      <c r="K49" s="35"/>
      <c r="L49" s="28">
        <f>COUNTIFS(DataRegularSeason20242025!$E$2:$E$1315,WatchedGames20242025!K$1,DataRegularSeason20242025!$D$2:$D$1315,WatchedGames20242025!$A49,DataRegularSeason20242025!$N$2:$N$1315,1, DataRegularSeason20242025!$R$2:$R$1315,1)</f>
        <v>0</v>
      </c>
      <c r="M49" s="35"/>
      <c r="N49" s="28">
        <f>COUNTIFS(DataRegularSeason20242025!$E$2:$E$1315,WatchedGames20242025!M$1,DataRegularSeason20242025!$D$2:$D$1315,WatchedGames20242025!$A49,DataRegularSeason20242025!$N$2:$N$1315,1, DataRegularSeason20242025!$R$2:$R$1315,1)</f>
        <v>0</v>
      </c>
      <c r="O49" s="35"/>
      <c r="P49" s="28">
        <f>COUNTIFS(DataRegularSeason20242025!$E$2:$E$1315,WatchedGames20242025!O$1,DataRegularSeason20242025!$D$2:$D$1315,WatchedGames20242025!$A49,DataRegularSeason20242025!$N$2:$N$1315,1, DataRegularSeason20242025!$R$2:$R$1315,1)</f>
        <v>0</v>
      </c>
      <c r="Q49" s="35"/>
      <c r="R49" s="28">
        <f>COUNTIFS(DataRegularSeason20242025!$E$2:$E$1315,WatchedGames20242025!Q$1,DataRegularSeason20242025!$D$2:$D$1315,WatchedGames20242025!$A49,DataRegularSeason20242025!$N$2:$N$1315,1, DataRegularSeason20242025!$R$2:$R$1315,1)</f>
        <v>0</v>
      </c>
      <c r="S49" s="35"/>
      <c r="T49" s="28">
        <f>COUNTIFS(DataRegularSeason20242025!$E$2:$E$1315,WatchedGames20242025!S$1,DataRegularSeason20242025!$D$2:$D$1315,WatchedGames20242025!$A49,DataRegularSeason20242025!$N$2:$N$1315,1, DataRegularSeason20242025!$R$2:$R$1315,1)</f>
        <v>0</v>
      </c>
      <c r="U49" s="35"/>
      <c r="V49" s="28">
        <f>COUNTIFS(DataRegularSeason20242025!$E$2:$E$1315,WatchedGames20242025!U$1,DataRegularSeason20242025!$D$2:$D$1315,WatchedGames20242025!$A49,DataRegularSeason20242025!$N$2:$N$1315,1, DataRegularSeason20242025!$R$2:$R$1315,1)</f>
        <v>0</v>
      </c>
      <c r="W49" s="35"/>
      <c r="X49" s="28">
        <f>COUNTIFS(DataRegularSeason20242025!$E$2:$E$1315,WatchedGames20242025!W$1,DataRegularSeason20242025!$D$2:$D$1315,WatchedGames20242025!$A49,DataRegularSeason20242025!$N$2:$N$1315,1, DataRegularSeason20242025!$R$2:$R$1315,1)</f>
        <v>0</v>
      </c>
      <c r="Y49" s="35"/>
      <c r="Z49" s="28">
        <f>COUNTIFS(DataRegularSeason20242025!$E$2:$E$1315,WatchedGames20242025!Y$1,DataRegularSeason20242025!$D$2:$D$1315,WatchedGames20242025!$A49,DataRegularSeason20242025!$N$2:$N$1315,1, DataRegularSeason20242025!$R$2:$R$1315,1)</f>
        <v>0</v>
      </c>
      <c r="AA49" s="35"/>
      <c r="AB49" s="28">
        <f>COUNTIFS(DataRegularSeason20242025!$E$2:$E$1315,WatchedGames20242025!AA$1,DataRegularSeason20242025!$D$2:$D$1315,WatchedGames20242025!$A49,DataRegularSeason20242025!$N$2:$N$1315,1, DataRegularSeason20242025!$R$2:$R$1315,1)</f>
        <v>0</v>
      </c>
      <c r="AC49" s="35"/>
      <c r="AD49" s="28">
        <f>COUNTIFS(DataRegularSeason20242025!$E$2:$E$1315,WatchedGames20242025!AC$1,DataRegularSeason20242025!$D$2:$D$1315,WatchedGames20242025!$A49,DataRegularSeason20242025!$N$2:$N$1315,1, DataRegularSeason20242025!$R$2:$R$1315,1)</f>
        <v>0</v>
      </c>
      <c r="AE49" s="35"/>
      <c r="AF49" s="28">
        <f>COUNTIFS(DataRegularSeason20242025!$E$2:$E$1315,WatchedGames20242025!AE$1,DataRegularSeason20242025!$D$2:$D$1315,WatchedGames20242025!$A49,DataRegularSeason20242025!$N$2:$N$1315,1, DataRegularSeason20242025!$R$2:$R$1315,1)</f>
        <v>0</v>
      </c>
      <c r="AG49" s="35"/>
      <c r="AH49" s="28">
        <f>COUNTIFS(DataRegularSeason20242025!$E$2:$E$1315,WatchedGames20242025!AG$1,DataRegularSeason20242025!$D$2:$D$1315,WatchedGames20242025!$A49,DataRegularSeason20242025!$N$2:$N$1315,1, DataRegularSeason20242025!$R$2:$R$1315,1)</f>
        <v>0</v>
      </c>
      <c r="AI49" s="35"/>
      <c r="AJ49" s="28">
        <f>COUNTIFS(DataRegularSeason20242025!$E$2:$E$1315,WatchedGames20242025!AI$1,DataRegularSeason20242025!$D$2:$D$1315,WatchedGames20242025!$A49,DataRegularSeason20242025!$N$2:$N$1315,1, DataRegularSeason20242025!$R$2:$R$1315,1)</f>
        <v>0</v>
      </c>
      <c r="AK49" s="35"/>
      <c r="AL49" s="28">
        <f>COUNTIFS(DataRegularSeason20242025!$E$2:$E$1315,WatchedGames20242025!AK$1,DataRegularSeason20242025!$D$2:$D$1315,WatchedGames20242025!$A49,DataRegularSeason20242025!$N$2:$N$1315,1, DataRegularSeason20242025!$R$2:$R$1315,1)</f>
        <v>0</v>
      </c>
      <c r="AM49" s="35"/>
      <c r="AN49" s="28">
        <f>COUNTIFS(DataRegularSeason20242025!$E$2:$E$1315,WatchedGames20242025!AM$1,DataRegularSeason20242025!$D$2:$D$1315,WatchedGames20242025!$A49,DataRegularSeason20242025!$N$2:$N$1315,1, DataRegularSeason20242025!$R$2:$R$1315,1)</f>
        <v>0</v>
      </c>
      <c r="AO49" s="35"/>
      <c r="AP49" s="28">
        <f>COUNTIFS(DataRegularSeason20242025!$E$2:$E$1315,WatchedGames20242025!AO$1,DataRegularSeason20242025!$D$2:$D$1315,WatchedGames20242025!$A49,DataRegularSeason20242025!$N$2:$N$1315,1, DataRegularSeason20242025!$R$2:$R$1315,1)</f>
        <v>0</v>
      </c>
      <c r="AQ49" s="35"/>
      <c r="AR49" s="28">
        <f>COUNTIFS(DataRegularSeason20242025!$E$2:$E$1315,WatchedGames20242025!AQ$1,DataRegularSeason20242025!$D$2:$D$1315,WatchedGames20242025!$A49,DataRegularSeason20242025!$N$2:$N$1315,1, DataRegularSeason20242025!$R$2:$R$1315,1)</f>
        <v>0</v>
      </c>
      <c r="AS49" s="35"/>
      <c r="AT49" s="28">
        <f>COUNTIFS(DataRegularSeason20242025!$E$2:$E$1315,WatchedGames20242025!AS$1,DataRegularSeason20242025!$D$2:$D$1315,WatchedGames20242025!$A49,DataRegularSeason20242025!$N$2:$N$1315,1, DataRegularSeason20242025!$R$2:$R$1315,1)</f>
        <v>0</v>
      </c>
      <c r="AU49" s="35"/>
      <c r="AV49" s="28">
        <f>COUNTIFS(DataRegularSeason20242025!$E$2:$E$1315,WatchedGames20242025!AU$1,DataRegularSeason20242025!$D$2:$D$1315,WatchedGames20242025!$A49,DataRegularSeason20242025!$N$2:$N$1315,1, DataRegularSeason20242025!$R$2:$R$1315,1)</f>
        <v>0</v>
      </c>
      <c r="AW49" s="35"/>
      <c r="AX49" s="36"/>
      <c r="AY49" s="35"/>
      <c r="AZ49" s="28">
        <f>COUNTIFS(DataRegularSeason20242025!$E$2:$E$1315,WatchedGames20242025!AY$1,DataRegularSeason20242025!$D$2:$D$1315,WatchedGames20242025!$A49,DataRegularSeason20242025!$N$2:$N$1315,1, DataRegularSeason20242025!$R$2:$R$1315,1)</f>
        <v>0</v>
      </c>
      <c r="BA49" s="35"/>
      <c r="BB49" s="28">
        <f>COUNTIFS(DataRegularSeason20242025!$E$2:$E$1315,WatchedGames20242025!BA$1,DataRegularSeason20242025!$D$2:$D$1315,WatchedGames20242025!$A49,DataRegularSeason20242025!$N$2:$N$1315,1, DataRegularSeason20242025!$R$2:$R$1315,1)</f>
        <v>0</v>
      </c>
      <c r="BC49" s="35"/>
      <c r="BD49" s="28">
        <f>COUNTIFS(DataRegularSeason20242025!$E$2:$E$1315,WatchedGames20242025!BC$1,DataRegularSeason20242025!$D$2:$D$1315,WatchedGames20242025!$A49,DataRegularSeason20242025!$N$2:$N$1315,1, DataRegularSeason20242025!$R$2:$R$1315,1)</f>
        <v>0</v>
      </c>
      <c r="BE49" s="35"/>
      <c r="BF49" s="28">
        <f>COUNTIFS(DataRegularSeason20242025!$E$2:$E$1315,WatchedGames20242025!BE$1,DataRegularSeason20242025!$D$2:$D$1315,WatchedGames20242025!$A49,DataRegularSeason20242025!$N$2:$N$1315,1, DataRegularSeason20242025!$R$2:$R$1315,1)</f>
        <v>1</v>
      </c>
      <c r="BG49" s="35"/>
      <c r="BH49" s="28">
        <f>COUNTIFS(DataRegularSeason20242025!$E$2:$E$1315,WatchedGames20242025!BG$1,DataRegularSeason20242025!$D$2:$D$1315,WatchedGames20242025!$A49,DataRegularSeason20242025!$N$2:$N$1315,1, DataRegularSeason20242025!$R$2:$R$1315,1)</f>
        <v>0</v>
      </c>
      <c r="BI49" s="35"/>
      <c r="BJ49" s="28">
        <f>COUNTIFS(DataRegularSeason20242025!$E$2:$E$1315,WatchedGames20242025!BI$1,DataRegularSeason20242025!$D$2:$D$1315,WatchedGames20242025!$A49,DataRegularSeason20242025!$N$2:$N$1315,1, DataRegularSeason20242025!$R$2:$R$1315,1)</f>
        <v>0</v>
      </c>
      <c r="BK49" s="35"/>
      <c r="BL49" s="28">
        <f>COUNTIFS(DataRegularSeason20242025!$E$2:$E$1315,WatchedGames20242025!BK$1,DataRegularSeason20242025!$D$2:$D$1315,WatchedGames20242025!$A49,DataRegularSeason20242025!$N$2:$N$1315,1, DataRegularSeason20242025!$R$2:$R$1315,1)</f>
        <v>0</v>
      </c>
      <c r="BM49" s="35"/>
      <c r="BN49" s="28">
        <f>COUNTIFS(DataRegularSeason20242025!$E$2:$E$1315,WatchedGames20242025!BM$1,DataRegularSeason20242025!$D$2:$D$1315,WatchedGames20242025!$A49,DataRegularSeason20242025!$N$2:$N$1315,1, DataRegularSeason20242025!$R$2:$R$1315,1)</f>
        <v>0</v>
      </c>
      <c r="BO49" s="30">
        <f t="shared" si="1"/>
        <v>1</v>
      </c>
      <c r="BP49" s="165">
        <f t="shared" ref="BP49" si="46">BO49+BO50</f>
        <v>3</v>
      </c>
      <c r="BQ49" s="166">
        <f t="shared" ref="BQ49" si="47">82-BP49</f>
        <v>79</v>
      </c>
      <c r="BR49" s="173">
        <f t="shared" si="0"/>
        <v>3.6585365853658534E-2</v>
      </c>
    </row>
    <row r="50" spans="1:70" s="27" customFormat="1" ht="9.9499999999999993" customHeight="1" x14ac:dyDescent="0.2">
      <c r="A50" s="167"/>
      <c r="B50" s="32" t="s">
        <v>73</v>
      </c>
      <c r="C50" s="38">
        <f>COUNTIFS(DataRegularSeason20242025!$E$2:$E$1315,WatchedGames20242025!$A49,DataRegularSeason20242025!$D$2:$D$1315,WatchedGames20242025!C$1,DataRegularSeason20242025!$N$2:$N$1315,1, DataRegularSeason20242025!$R$2:$R$1315,1)</f>
        <v>0</v>
      </c>
      <c r="D50" s="39"/>
      <c r="E50" s="38">
        <f>COUNTIFS(DataRegularSeason20242025!$E$2:$E$1315,WatchedGames20242025!$A49,DataRegularSeason20242025!$D$2:$D$1315,WatchedGames20242025!E$1,DataRegularSeason20242025!$N$2:$N$1315,1, DataRegularSeason20242025!$R$2:$R$1315,1)</f>
        <v>0</v>
      </c>
      <c r="F50" s="39"/>
      <c r="G50" s="38">
        <f>COUNTIFS(DataRegularSeason20242025!$E$2:$E$1315,WatchedGames20242025!$A49,DataRegularSeason20242025!$D$2:$D$1315,WatchedGames20242025!G$1,DataRegularSeason20242025!$N$2:$N$1315,1, DataRegularSeason20242025!$R$2:$R$1315,1)</f>
        <v>0</v>
      </c>
      <c r="H50" s="39"/>
      <c r="I50" s="38">
        <f>COUNTIFS(DataRegularSeason20242025!$E$2:$E$1315,WatchedGames20242025!$A49,DataRegularSeason20242025!$D$2:$D$1315,WatchedGames20242025!I$1,DataRegularSeason20242025!$N$2:$N$1315,1, DataRegularSeason20242025!$R$2:$R$1315,1)</f>
        <v>1</v>
      </c>
      <c r="J50" s="39"/>
      <c r="K50" s="38">
        <f>COUNTIFS(DataRegularSeason20242025!$E$2:$E$1315,WatchedGames20242025!$A49,DataRegularSeason20242025!$D$2:$D$1315,WatchedGames20242025!K$1,DataRegularSeason20242025!$N$2:$N$1315,1, DataRegularSeason20242025!$R$2:$R$1315,1)</f>
        <v>0</v>
      </c>
      <c r="L50" s="39"/>
      <c r="M50" s="38">
        <f>COUNTIFS(DataRegularSeason20242025!$E$2:$E$1315,WatchedGames20242025!$A49,DataRegularSeason20242025!$D$2:$D$1315,WatchedGames20242025!M$1,DataRegularSeason20242025!$N$2:$N$1315,1, DataRegularSeason20242025!$R$2:$R$1315,1)</f>
        <v>0</v>
      </c>
      <c r="N50" s="39"/>
      <c r="O50" s="38">
        <f>COUNTIFS(DataRegularSeason20242025!$E$2:$E$1315,WatchedGames20242025!$A49,DataRegularSeason20242025!$D$2:$D$1315,WatchedGames20242025!O$1,DataRegularSeason20242025!$N$2:$N$1315,1, DataRegularSeason20242025!$R$2:$R$1315,1)</f>
        <v>0</v>
      </c>
      <c r="P50" s="39"/>
      <c r="Q50" s="38">
        <f>COUNTIFS(DataRegularSeason20242025!$E$2:$E$1315,WatchedGames20242025!$A49,DataRegularSeason20242025!$D$2:$D$1315,WatchedGames20242025!Q$1,DataRegularSeason20242025!$N$2:$N$1315,1, DataRegularSeason20242025!$R$2:$R$1315,1)</f>
        <v>0</v>
      </c>
      <c r="R50" s="39"/>
      <c r="S50" s="38">
        <f>COUNTIFS(DataRegularSeason20242025!$E$2:$E$1315,WatchedGames20242025!$A49,DataRegularSeason20242025!$D$2:$D$1315,WatchedGames20242025!S$1,DataRegularSeason20242025!$N$2:$N$1315,1, DataRegularSeason20242025!$R$2:$R$1315,1)</f>
        <v>0</v>
      </c>
      <c r="T50" s="39"/>
      <c r="U50" s="38">
        <f>COUNTIFS(DataRegularSeason20242025!$E$2:$E$1315,WatchedGames20242025!$A49,DataRegularSeason20242025!$D$2:$D$1315,WatchedGames20242025!U$1,DataRegularSeason20242025!$N$2:$N$1315,1, DataRegularSeason20242025!$R$2:$R$1315,1)</f>
        <v>0</v>
      </c>
      <c r="V50" s="39"/>
      <c r="W50" s="38">
        <f>COUNTIFS(DataRegularSeason20242025!$E$2:$E$1315,WatchedGames20242025!$A49,DataRegularSeason20242025!$D$2:$D$1315,WatchedGames20242025!W$1,DataRegularSeason20242025!$N$2:$N$1315,1, DataRegularSeason20242025!$R$2:$R$1315,1)</f>
        <v>0</v>
      </c>
      <c r="X50" s="39"/>
      <c r="Y50" s="38">
        <f>COUNTIFS(DataRegularSeason20242025!$E$2:$E$1315,WatchedGames20242025!$A49,DataRegularSeason20242025!$D$2:$D$1315,WatchedGames20242025!Y$1,DataRegularSeason20242025!$N$2:$N$1315,1, DataRegularSeason20242025!$R$2:$R$1315,1)</f>
        <v>0</v>
      </c>
      <c r="Z50" s="39"/>
      <c r="AA50" s="38">
        <f>COUNTIFS(DataRegularSeason20242025!$E$2:$E$1315,WatchedGames20242025!$A49,DataRegularSeason20242025!$D$2:$D$1315,WatchedGames20242025!AA$1,DataRegularSeason20242025!$N$2:$N$1315,1, DataRegularSeason20242025!$R$2:$R$1315,1)</f>
        <v>0</v>
      </c>
      <c r="AB50" s="39"/>
      <c r="AC50" s="38">
        <f>COUNTIFS(DataRegularSeason20242025!$E$2:$E$1315,WatchedGames20242025!$A49,DataRegularSeason20242025!$D$2:$D$1315,WatchedGames20242025!AC$1,DataRegularSeason20242025!$N$2:$N$1315,1, DataRegularSeason20242025!$R$2:$R$1315,1)</f>
        <v>0</v>
      </c>
      <c r="AD50" s="39"/>
      <c r="AE50" s="38">
        <f>COUNTIFS(DataRegularSeason20242025!$E$2:$E$1315,WatchedGames20242025!$A49,DataRegularSeason20242025!$D$2:$D$1315,WatchedGames20242025!AE$1,DataRegularSeason20242025!$N$2:$N$1315,1, DataRegularSeason20242025!$R$2:$R$1315,1)</f>
        <v>0</v>
      </c>
      <c r="AF50" s="39"/>
      <c r="AG50" s="38">
        <f>COUNTIFS(DataRegularSeason20242025!$E$2:$E$1315,WatchedGames20242025!$A49,DataRegularSeason20242025!$D$2:$D$1315,WatchedGames20242025!AG$1,DataRegularSeason20242025!$N$2:$N$1315,1, DataRegularSeason20242025!$R$2:$R$1315,1)</f>
        <v>0</v>
      </c>
      <c r="AH50" s="39"/>
      <c r="AI50" s="38">
        <f>COUNTIFS(DataRegularSeason20242025!$E$2:$E$1315,WatchedGames20242025!$A49,DataRegularSeason20242025!$D$2:$D$1315,WatchedGames20242025!AI$1,DataRegularSeason20242025!$N$2:$N$1315,1, DataRegularSeason20242025!$R$2:$R$1315,1)</f>
        <v>0</v>
      </c>
      <c r="AJ50" s="39"/>
      <c r="AK50" s="38">
        <f>COUNTIFS(DataRegularSeason20242025!$E$2:$E$1315,WatchedGames20242025!$A49,DataRegularSeason20242025!$D$2:$D$1315,WatchedGames20242025!AK$1,DataRegularSeason20242025!$N$2:$N$1315,1, DataRegularSeason20242025!$R$2:$R$1315,1)</f>
        <v>0</v>
      </c>
      <c r="AL50" s="39"/>
      <c r="AM50" s="38">
        <f>COUNTIFS(DataRegularSeason20242025!$E$2:$E$1315,WatchedGames20242025!$A49,DataRegularSeason20242025!$D$2:$D$1315,WatchedGames20242025!AM$1,DataRegularSeason20242025!$N$2:$N$1315,1, DataRegularSeason20242025!$R$2:$R$1315,1)</f>
        <v>0</v>
      </c>
      <c r="AN50" s="39"/>
      <c r="AO50" s="38">
        <f>COUNTIFS(DataRegularSeason20242025!$E$2:$E$1315,WatchedGames20242025!$A49,DataRegularSeason20242025!$D$2:$D$1315,WatchedGames20242025!AO$1,DataRegularSeason20242025!$N$2:$N$1315,1, DataRegularSeason20242025!$R$2:$R$1315,1)</f>
        <v>0</v>
      </c>
      <c r="AP50" s="39"/>
      <c r="AQ50" s="38">
        <f>COUNTIFS(DataRegularSeason20242025!$E$2:$E$1315,WatchedGames20242025!$A49,DataRegularSeason20242025!$D$2:$D$1315,WatchedGames20242025!AQ$1,DataRegularSeason20242025!$N$2:$N$1315,1, DataRegularSeason20242025!$R$2:$R$1315,1)</f>
        <v>0</v>
      </c>
      <c r="AR50" s="39"/>
      <c r="AS50" s="38">
        <f>COUNTIFS(DataRegularSeason20242025!$E$2:$E$1315,WatchedGames20242025!$A49,DataRegularSeason20242025!$D$2:$D$1315,WatchedGames20242025!AS$1,DataRegularSeason20242025!$N$2:$N$1315,1, DataRegularSeason20242025!$R$2:$R$1315,1)</f>
        <v>1</v>
      </c>
      <c r="AT50" s="39"/>
      <c r="AU50" s="38">
        <f>COUNTIFS(DataRegularSeason20242025!$E$2:$E$1315,WatchedGames20242025!$A49,DataRegularSeason20242025!$D$2:$D$1315,WatchedGames20242025!AU$1,DataRegularSeason20242025!$N$2:$N$1315,1, DataRegularSeason20242025!$R$2:$R$1315,1)</f>
        <v>0</v>
      </c>
      <c r="AV50" s="39"/>
      <c r="AW50" s="38"/>
      <c r="AX50" s="39"/>
      <c r="AY50" s="38">
        <f>COUNTIFS(DataRegularSeason20242025!$E$2:$E$1315,WatchedGames20242025!$A49,DataRegularSeason20242025!$D$2:$D$1315,WatchedGames20242025!AY$1,DataRegularSeason20242025!$N$2:$N$1315,1, DataRegularSeason20242025!$R$2:$R$1315,1)</f>
        <v>0</v>
      </c>
      <c r="AZ50" s="39"/>
      <c r="BA50" s="38">
        <f>COUNTIFS(DataRegularSeason20242025!$E$2:$E$1315,WatchedGames20242025!$A49,DataRegularSeason20242025!$D$2:$D$1315,WatchedGames20242025!BA$1,DataRegularSeason20242025!$N$2:$N$1315,1, DataRegularSeason20242025!$R$2:$R$1315,1)</f>
        <v>0</v>
      </c>
      <c r="BB50" s="39"/>
      <c r="BC50" s="38">
        <f>COUNTIFS(DataRegularSeason20242025!$E$2:$E$1315,WatchedGames20242025!$A49,DataRegularSeason20242025!$D$2:$D$1315,WatchedGames20242025!BC$1,DataRegularSeason20242025!$N$2:$N$1315,1, DataRegularSeason20242025!$R$2:$R$1315,1)</f>
        <v>0</v>
      </c>
      <c r="BD50" s="39"/>
      <c r="BE50" s="38">
        <f>COUNTIFS(DataRegularSeason20242025!$E$2:$E$1315,WatchedGames20242025!$A49,DataRegularSeason20242025!$D$2:$D$1315,WatchedGames20242025!BE$1,DataRegularSeason20242025!$N$2:$N$1315,1, DataRegularSeason20242025!$R$2:$R$1315,1)</f>
        <v>0</v>
      </c>
      <c r="BF50" s="39"/>
      <c r="BG50" s="38">
        <f>COUNTIFS(DataRegularSeason20242025!$E$2:$E$1315,WatchedGames20242025!$A49,DataRegularSeason20242025!$D$2:$D$1315,WatchedGames20242025!BG$1,DataRegularSeason20242025!$N$2:$N$1315,1, DataRegularSeason20242025!$R$2:$R$1315,1)</f>
        <v>0</v>
      </c>
      <c r="BH50" s="39"/>
      <c r="BI50" s="38">
        <f>COUNTIFS(DataRegularSeason20242025!$E$2:$E$1315,WatchedGames20242025!$A49,DataRegularSeason20242025!$D$2:$D$1315,WatchedGames20242025!BI$1,DataRegularSeason20242025!$N$2:$N$1315,1, DataRegularSeason20242025!$R$2:$R$1315,1)</f>
        <v>0</v>
      </c>
      <c r="BJ50" s="39"/>
      <c r="BK50" s="38">
        <f>COUNTIFS(DataRegularSeason20242025!$E$2:$E$1315,WatchedGames20242025!$A49,DataRegularSeason20242025!$D$2:$D$1315,WatchedGames20242025!BK$1,DataRegularSeason20242025!$N$2:$N$1315,1, DataRegularSeason20242025!$R$2:$R$1315,1)</f>
        <v>0</v>
      </c>
      <c r="BL50" s="39"/>
      <c r="BM50" s="38">
        <f>COUNTIFS(DataRegularSeason20242025!$E$2:$E$1315,WatchedGames20242025!$A49,DataRegularSeason20242025!$D$2:$D$1315,WatchedGames20242025!BM$1,DataRegularSeason20242025!$N$2:$N$1315,1, DataRegularSeason20242025!$R$2:$R$1315,1)</f>
        <v>0</v>
      </c>
      <c r="BN50" s="39"/>
      <c r="BO50" s="34">
        <f t="shared" si="1"/>
        <v>2</v>
      </c>
      <c r="BP50" s="165"/>
      <c r="BQ50" s="166"/>
      <c r="BR50" s="173"/>
    </row>
    <row r="51" spans="1:70" s="27" customFormat="1" ht="9.9499999999999993" customHeight="1" x14ac:dyDescent="0.2">
      <c r="A51" s="172" t="s">
        <v>12</v>
      </c>
      <c r="B51" s="28" t="s">
        <v>74</v>
      </c>
      <c r="C51" s="35"/>
      <c r="D51" s="28">
        <f>COUNTIFS(DataRegularSeason20242025!$E$2:$E$1315,WatchedGames20242025!C$1,DataRegularSeason20242025!$D$2:$D$1315,WatchedGames20242025!$A51,DataRegularSeason20242025!$N$2:$N$1315,1, DataRegularSeason20242025!$R$2:$R$1315,1)</f>
        <v>0</v>
      </c>
      <c r="E51" s="35"/>
      <c r="F51" s="28">
        <f>COUNTIFS(DataRegularSeason20242025!$E$2:$E$1315,WatchedGames20242025!E$1,DataRegularSeason20242025!$D$2:$D$1315,WatchedGames20242025!$A51,DataRegularSeason20242025!$N$2:$N$1315,1, DataRegularSeason20242025!$R$2:$R$1315,1)</f>
        <v>0</v>
      </c>
      <c r="G51" s="35"/>
      <c r="H51" s="28">
        <f>COUNTIFS(DataRegularSeason20242025!$E$2:$E$1315,WatchedGames20242025!G$1,DataRegularSeason20242025!$D$2:$D$1315,WatchedGames20242025!$A51,DataRegularSeason20242025!$N$2:$N$1315,1, DataRegularSeason20242025!$R$2:$R$1315,1)</f>
        <v>0</v>
      </c>
      <c r="I51" s="35"/>
      <c r="J51" s="28">
        <f>COUNTIFS(DataRegularSeason20242025!$E$2:$E$1315,WatchedGames20242025!I$1,DataRegularSeason20242025!$D$2:$D$1315,WatchedGames20242025!$A51,DataRegularSeason20242025!$N$2:$N$1315,1, DataRegularSeason20242025!$R$2:$R$1315,1)</f>
        <v>0</v>
      </c>
      <c r="K51" s="35"/>
      <c r="L51" s="28">
        <f>COUNTIFS(DataRegularSeason20242025!$E$2:$E$1315,WatchedGames20242025!K$1,DataRegularSeason20242025!$D$2:$D$1315,WatchedGames20242025!$A51,DataRegularSeason20242025!$N$2:$N$1315,1, DataRegularSeason20242025!$R$2:$R$1315,1)</f>
        <v>0</v>
      </c>
      <c r="M51" s="35"/>
      <c r="N51" s="28">
        <f>COUNTIFS(DataRegularSeason20242025!$E$2:$E$1315,WatchedGames20242025!M$1,DataRegularSeason20242025!$D$2:$D$1315,WatchedGames20242025!$A51,DataRegularSeason20242025!$N$2:$N$1315,1, DataRegularSeason20242025!$R$2:$R$1315,1)</f>
        <v>1</v>
      </c>
      <c r="O51" s="35"/>
      <c r="P51" s="28">
        <f>COUNTIFS(DataRegularSeason20242025!$E$2:$E$1315,WatchedGames20242025!O$1,DataRegularSeason20242025!$D$2:$D$1315,WatchedGames20242025!$A51,DataRegularSeason20242025!$N$2:$N$1315,1, DataRegularSeason20242025!$R$2:$R$1315,1)</f>
        <v>0</v>
      </c>
      <c r="Q51" s="35"/>
      <c r="R51" s="28">
        <f>COUNTIFS(DataRegularSeason20242025!$E$2:$E$1315,WatchedGames20242025!Q$1,DataRegularSeason20242025!$D$2:$D$1315,WatchedGames20242025!$A51,DataRegularSeason20242025!$N$2:$N$1315,1, DataRegularSeason20242025!$R$2:$R$1315,1)</f>
        <v>0</v>
      </c>
      <c r="S51" s="35"/>
      <c r="T51" s="28">
        <f>COUNTIFS(DataRegularSeason20242025!$E$2:$E$1315,WatchedGames20242025!S$1,DataRegularSeason20242025!$D$2:$D$1315,WatchedGames20242025!$A51,DataRegularSeason20242025!$N$2:$N$1315,1, DataRegularSeason20242025!$R$2:$R$1315,1)</f>
        <v>0</v>
      </c>
      <c r="U51" s="35"/>
      <c r="V51" s="28">
        <f>COUNTIFS(DataRegularSeason20242025!$E$2:$E$1315,WatchedGames20242025!U$1,DataRegularSeason20242025!$D$2:$D$1315,WatchedGames20242025!$A51,DataRegularSeason20242025!$N$2:$N$1315,1, DataRegularSeason20242025!$R$2:$R$1315,1)</f>
        <v>0</v>
      </c>
      <c r="W51" s="35"/>
      <c r="X51" s="28">
        <f>COUNTIFS(DataRegularSeason20242025!$E$2:$E$1315,WatchedGames20242025!W$1,DataRegularSeason20242025!$D$2:$D$1315,WatchedGames20242025!$A51,DataRegularSeason20242025!$N$2:$N$1315,1, DataRegularSeason20242025!$R$2:$R$1315,1)</f>
        <v>0</v>
      </c>
      <c r="Y51" s="35"/>
      <c r="Z51" s="28">
        <f>COUNTIFS(DataRegularSeason20242025!$E$2:$E$1315,WatchedGames20242025!Y$1,DataRegularSeason20242025!$D$2:$D$1315,WatchedGames20242025!$A51,DataRegularSeason20242025!$N$2:$N$1315,1, DataRegularSeason20242025!$R$2:$R$1315,1)</f>
        <v>0</v>
      </c>
      <c r="AA51" s="35"/>
      <c r="AB51" s="28">
        <f>COUNTIFS(DataRegularSeason20242025!$E$2:$E$1315,WatchedGames20242025!AA$1,DataRegularSeason20242025!$D$2:$D$1315,WatchedGames20242025!$A51,DataRegularSeason20242025!$N$2:$N$1315,1, DataRegularSeason20242025!$R$2:$R$1315,1)</f>
        <v>0</v>
      </c>
      <c r="AC51" s="35"/>
      <c r="AD51" s="28">
        <f>COUNTIFS(DataRegularSeason20242025!$E$2:$E$1315,WatchedGames20242025!AC$1,DataRegularSeason20242025!$D$2:$D$1315,WatchedGames20242025!$A51,DataRegularSeason20242025!$N$2:$N$1315,1, DataRegularSeason20242025!$R$2:$R$1315,1)</f>
        <v>0</v>
      </c>
      <c r="AE51" s="35"/>
      <c r="AF51" s="28">
        <f>COUNTIFS(DataRegularSeason20242025!$E$2:$E$1315,WatchedGames20242025!AE$1,DataRegularSeason20242025!$D$2:$D$1315,WatchedGames20242025!$A51,DataRegularSeason20242025!$N$2:$N$1315,1, DataRegularSeason20242025!$R$2:$R$1315,1)</f>
        <v>0</v>
      </c>
      <c r="AG51" s="35"/>
      <c r="AH51" s="28">
        <f>COUNTIFS(DataRegularSeason20242025!$E$2:$E$1315,WatchedGames20242025!AG$1,DataRegularSeason20242025!$D$2:$D$1315,WatchedGames20242025!$A51,DataRegularSeason20242025!$N$2:$N$1315,1, DataRegularSeason20242025!$R$2:$R$1315,1)</f>
        <v>0</v>
      </c>
      <c r="AI51" s="35"/>
      <c r="AJ51" s="28">
        <f>COUNTIFS(DataRegularSeason20242025!$E$2:$E$1315,WatchedGames20242025!AI$1,DataRegularSeason20242025!$D$2:$D$1315,WatchedGames20242025!$A51,DataRegularSeason20242025!$N$2:$N$1315,1, DataRegularSeason20242025!$R$2:$R$1315,1)</f>
        <v>0</v>
      </c>
      <c r="AK51" s="35"/>
      <c r="AL51" s="28">
        <f>COUNTIFS(DataRegularSeason20242025!$E$2:$E$1315,WatchedGames20242025!AK$1,DataRegularSeason20242025!$D$2:$D$1315,WatchedGames20242025!$A51,DataRegularSeason20242025!$N$2:$N$1315,1, DataRegularSeason20242025!$R$2:$R$1315,1)</f>
        <v>0</v>
      </c>
      <c r="AM51" s="35"/>
      <c r="AN51" s="28">
        <f>COUNTIFS(DataRegularSeason20242025!$E$2:$E$1315,WatchedGames20242025!AM$1,DataRegularSeason20242025!$D$2:$D$1315,WatchedGames20242025!$A51,DataRegularSeason20242025!$N$2:$N$1315,1, DataRegularSeason20242025!$R$2:$R$1315,1)</f>
        <v>0</v>
      </c>
      <c r="AO51" s="35"/>
      <c r="AP51" s="28">
        <f>COUNTIFS(DataRegularSeason20242025!$E$2:$E$1315,WatchedGames20242025!AO$1,DataRegularSeason20242025!$D$2:$D$1315,WatchedGames20242025!$A51,DataRegularSeason20242025!$N$2:$N$1315,1, DataRegularSeason20242025!$R$2:$R$1315,1)</f>
        <v>0</v>
      </c>
      <c r="AQ51" s="35"/>
      <c r="AR51" s="28">
        <f>COUNTIFS(DataRegularSeason20242025!$E$2:$E$1315,WatchedGames20242025!AQ$1,DataRegularSeason20242025!$D$2:$D$1315,WatchedGames20242025!$A51,DataRegularSeason20242025!$N$2:$N$1315,1, DataRegularSeason20242025!$R$2:$R$1315,1)</f>
        <v>0</v>
      </c>
      <c r="AS51" s="35"/>
      <c r="AT51" s="28">
        <f>COUNTIFS(DataRegularSeason20242025!$E$2:$E$1315,WatchedGames20242025!AS$1,DataRegularSeason20242025!$D$2:$D$1315,WatchedGames20242025!$A51,DataRegularSeason20242025!$N$2:$N$1315,1, DataRegularSeason20242025!$R$2:$R$1315,1)</f>
        <v>0</v>
      </c>
      <c r="AU51" s="35"/>
      <c r="AV51" s="28">
        <f>COUNTIFS(DataRegularSeason20242025!$E$2:$E$1315,WatchedGames20242025!AU$1,DataRegularSeason20242025!$D$2:$D$1315,WatchedGames20242025!$A51,DataRegularSeason20242025!$N$2:$N$1315,1, DataRegularSeason20242025!$R$2:$R$1315,1)</f>
        <v>0</v>
      </c>
      <c r="AW51" s="35"/>
      <c r="AX51" s="28">
        <f>COUNTIFS(DataRegularSeason20242025!$E$2:$E$1315,WatchedGames20242025!AW$1,DataRegularSeason20242025!$D$2:$D$1315,WatchedGames20242025!$A51,DataRegularSeason20242025!$N$2:$N$1315,1, DataRegularSeason20242025!$R$2:$R$1315,1)</f>
        <v>0</v>
      </c>
      <c r="AY51" s="35"/>
      <c r="AZ51" s="36"/>
      <c r="BA51" s="35"/>
      <c r="BB51" s="28">
        <f>COUNTIFS(DataRegularSeason20242025!$E$2:$E$1315,WatchedGames20242025!BA$1,DataRegularSeason20242025!$D$2:$D$1315,WatchedGames20242025!$A51,DataRegularSeason20242025!$N$2:$N$1315,1, DataRegularSeason20242025!$R$2:$R$1315,1)</f>
        <v>0</v>
      </c>
      <c r="BC51" s="35"/>
      <c r="BD51" s="28">
        <f>COUNTIFS(DataRegularSeason20242025!$E$2:$E$1315,WatchedGames20242025!BC$1,DataRegularSeason20242025!$D$2:$D$1315,WatchedGames20242025!$A51,DataRegularSeason20242025!$N$2:$N$1315,1, DataRegularSeason20242025!$R$2:$R$1315,1)</f>
        <v>0</v>
      </c>
      <c r="BE51" s="35"/>
      <c r="BF51" s="28">
        <f>COUNTIFS(DataRegularSeason20242025!$E$2:$E$1315,WatchedGames20242025!BE$1,DataRegularSeason20242025!$D$2:$D$1315,WatchedGames20242025!$A51,DataRegularSeason20242025!$N$2:$N$1315,1, DataRegularSeason20242025!$R$2:$R$1315,1)</f>
        <v>0</v>
      </c>
      <c r="BG51" s="35"/>
      <c r="BH51" s="28">
        <f>COUNTIFS(DataRegularSeason20242025!$E$2:$E$1315,WatchedGames20242025!BG$1,DataRegularSeason20242025!$D$2:$D$1315,WatchedGames20242025!$A51,DataRegularSeason20242025!$N$2:$N$1315,1, DataRegularSeason20242025!$R$2:$R$1315,1)</f>
        <v>1</v>
      </c>
      <c r="BI51" s="35"/>
      <c r="BJ51" s="28">
        <f>COUNTIFS(DataRegularSeason20242025!$E$2:$E$1315,WatchedGames20242025!BI$1,DataRegularSeason20242025!$D$2:$D$1315,WatchedGames20242025!$A51,DataRegularSeason20242025!$N$2:$N$1315,1, DataRegularSeason20242025!$R$2:$R$1315,1)</f>
        <v>0</v>
      </c>
      <c r="BK51" s="35"/>
      <c r="BL51" s="28">
        <f>COUNTIFS(DataRegularSeason20242025!$E$2:$E$1315,WatchedGames20242025!BK$1,DataRegularSeason20242025!$D$2:$D$1315,WatchedGames20242025!$A51,DataRegularSeason20242025!$N$2:$N$1315,1, DataRegularSeason20242025!$R$2:$R$1315,1)</f>
        <v>0</v>
      </c>
      <c r="BM51" s="35"/>
      <c r="BN51" s="28">
        <f>COUNTIFS(DataRegularSeason20242025!$E$2:$E$1315,WatchedGames20242025!BM$1,DataRegularSeason20242025!$D$2:$D$1315,WatchedGames20242025!$A51,DataRegularSeason20242025!$N$2:$N$1315,1, DataRegularSeason20242025!$R$2:$R$1315,1)</f>
        <v>0</v>
      </c>
      <c r="BO51" s="30">
        <f t="shared" si="1"/>
        <v>2</v>
      </c>
      <c r="BP51" s="165">
        <f t="shared" ref="BP51" si="48">BO51+BO52</f>
        <v>5</v>
      </c>
      <c r="BQ51" s="166">
        <f t="shared" ref="BQ51" si="49">82-BP51</f>
        <v>77</v>
      </c>
      <c r="BR51" s="173">
        <f t="shared" si="0"/>
        <v>6.097560975609756E-2</v>
      </c>
    </row>
    <row r="52" spans="1:70" s="27" customFormat="1" ht="9.9499999999999993" customHeight="1" x14ac:dyDescent="0.2">
      <c r="A52" s="167"/>
      <c r="B52" s="32" t="s">
        <v>73</v>
      </c>
      <c r="C52" s="38">
        <f>COUNTIFS(DataRegularSeason20242025!$E$2:$E$1315,WatchedGames20242025!$A51,DataRegularSeason20242025!$D$2:$D$1315,WatchedGames20242025!C$1,DataRegularSeason20242025!$N$2:$N$1315,1, DataRegularSeason20242025!$R$2:$R$1315,1)</f>
        <v>0</v>
      </c>
      <c r="D52" s="39"/>
      <c r="E52" s="38">
        <f>COUNTIFS(DataRegularSeason20242025!$E$2:$E$1315,WatchedGames20242025!$A51,DataRegularSeason20242025!$D$2:$D$1315,WatchedGames20242025!E$1,DataRegularSeason20242025!$N$2:$N$1315,1, DataRegularSeason20242025!$R$2:$R$1315,1)</f>
        <v>0</v>
      </c>
      <c r="F52" s="39"/>
      <c r="G52" s="38">
        <f>COUNTIFS(DataRegularSeason20242025!$E$2:$E$1315,WatchedGames20242025!$A51,DataRegularSeason20242025!$D$2:$D$1315,WatchedGames20242025!G$1,DataRegularSeason20242025!$N$2:$N$1315,1, DataRegularSeason20242025!$R$2:$R$1315,1)</f>
        <v>0</v>
      </c>
      <c r="H52" s="39"/>
      <c r="I52" s="38">
        <f>COUNTIFS(DataRegularSeason20242025!$E$2:$E$1315,WatchedGames20242025!$A51,DataRegularSeason20242025!$D$2:$D$1315,WatchedGames20242025!I$1,DataRegularSeason20242025!$N$2:$N$1315,1, DataRegularSeason20242025!$R$2:$R$1315,1)</f>
        <v>0</v>
      </c>
      <c r="J52" s="39"/>
      <c r="K52" s="38">
        <f>COUNTIFS(DataRegularSeason20242025!$E$2:$E$1315,WatchedGames20242025!$A51,DataRegularSeason20242025!$D$2:$D$1315,WatchedGames20242025!K$1,DataRegularSeason20242025!$N$2:$N$1315,1, DataRegularSeason20242025!$R$2:$R$1315,1)</f>
        <v>0</v>
      </c>
      <c r="L52" s="39"/>
      <c r="M52" s="38">
        <f>COUNTIFS(DataRegularSeason20242025!$E$2:$E$1315,WatchedGames20242025!$A51,DataRegularSeason20242025!$D$2:$D$1315,WatchedGames20242025!M$1,DataRegularSeason20242025!$N$2:$N$1315,1, DataRegularSeason20242025!$R$2:$R$1315,1)</f>
        <v>0</v>
      </c>
      <c r="N52" s="39"/>
      <c r="O52" s="38">
        <f>COUNTIFS(DataRegularSeason20242025!$E$2:$E$1315,WatchedGames20242025!$A51,DataRegularSeason20242025!$D$2:$D$1315,WatchedGames20242025!O$1,DataRegularSeason20242025!$N$2:$N$1315,1, DataRegularSeason20242025!$R$2:$R$1315,1)</f>
        <v>1</v>
      </c>
      <c r="P52" s="39"/>
      <c r="Q52" s="38">
        <f>COUNTIFS(DataRegularSeason20242025!$E$2:$E$1315,WatchedGames20242025!$A51,DataRegularSeason20242025!$D$2:$D$1315,WatchedGames20242025!Q$1,DataRegularSeason20242025!$N$2:$N$1315,1, DataRegularSeason20242025!$R$2:$R$1315,1)</f>
        <v>0</v>
      </c>
      <c r="R52" s="39"/>
      <c r="S52" s="38">
        <f>COUNTIFS(DataRegularSeason20242025!$E$2:$E$1315,WatchedGames20242025!$A51,DataRegularSeason20242025!$D$2:$D$1315,WatchedGames20242025!S$1,DataRegularSeason20242025!$N$2:$N$1315,1, DataRegularSeason20242025!$R$2:$R$1315,1)</f>
        <v>1</v>
      </c>
      <c r="T52" s="39"/>
      <c r="U52" s="38">
        <f>COUNTIFS(DataRegularSeason20242025!$E$2:$E$1315,WatchedGames20242025!$A51,DataRegularSeason20242025!$D$2:$D$1315,WatchedGames20242025!U$1,DataRegularSeason20242025!$N$2:$N$1315,1, DataRegularSeason20242025!$R$2:$R$1315,1)</f>
        <v>0</v>
      </c>
      <c r="V52" s="39"/>
      <c r="W52" s="38">
        <f>COUNTIFS(DataRegularSeason20242025!$E$2:$E$1315,WatchedGames20242025!$A51,DataRegularSeason20242025!$D$2:$D$1315,WatchedGames20242025!W$1,DataRegularSeason20242025!$N$2:$N$1315,1, DataRegularSeason20242025!$R$2:$R$1315,1)</f>
        <v>0</v>
      </c>
      <c r="X52" s="39"/>
      <c r="Y52" s="38">
        <f>COUNTIFS(DataRegularSeason20242025!$E$2:$E$1315,WatchedGames20242025!$A51,DataRegularSeason20242025!$D$2:$D$1315,WatchedGames20242025!Y$1,DataRegularSeason20242025!$N$2:$N$1315,1, DataRegularSeason20242025!$R$2:$R$1315,1)</f>
        <v>0</v>
      </c>
      <c r="Z52" s="39"/>
      <c r="AA52" s="38">
        <f>COUNTIFS(DataRegularSeason20242025!$E$2:$E$1315,WatchedGames20242025!$A51,DataRegularSeason20242025!$D$2:$D$1315,WatchedGames20242025!AA$1,DataRegularSeason20242025!$N$2:$N$1315,1, DataRegularSeason20242025!$R$2:$R$1315,1)</f>
        <v>0</v>
      </c>
      <c r="AB52" s="39"/>
      <c r="AC52" s="38">
        <f>COUNTIFS(DataRegularSeason20242025!$E$2:$E$1315,WatchedGames20242025!$A51,DataRegularSeason20242025!$D$2:$D$1315,WatchedGames20242025!AC$1,DataRegularSeason20242025!$N$2:$N$1315,1, DataRegularSeason20242025!$R$2:$R$1315,1)</f>
        <v>1</v>
      </c>
      <c r="AD52" s="39"/>
      <c r="AE52" s="38">
        <f>COUNTIFS(DataRegularSeason20242025!$E$2:$E$1315,WatchedGames20242025!$A51,DataRegularSeason20242025!$D$2:$D$1315,WatchedGames20242025!AE$1,DataRegularSeason20242025!$N$2:$N$1315,1, DataRegularSeason20242025!$R$2:$R$1315,1)</f>
        <v>0</v>
      </c>
      <c r="AF52" s="39"/>
      <c r="AG52" s="38">
        <f>COUNTIFS(DataRegularSeason20242025!$E$2:$E$1315,WatchedGames20242025!$A51,DataRegularSeason20242025!$D$2:$D$1315,WatchedGames20242025!AG$1,DataRegularSeason20242025!$N$2:$N$1315,1, DataRegularSeason20242025!$R$2:$R$1315,1)</f>
        <v>0</v>
      </c>
      <c r="AH52" s="39"/>
      <c r="AI52" s="38">
        <f>COUNTIFS(DataRegularSeason20242025!$E$2:$E$1315,WatchedGames20242025!$A51,DataRegularSeason20242025!$D$2:$D$1315,WatchedGames20242025!AI$1,DataRegularSeason20242025!$N$2:$N$1315,1, DataRegularSeason20242025!$R$2:$R$1315,1)</f>
        <v>0</v>
      </c>
      <c r="AJ52" s="39"/>
      <c r="AK52" s="38">
        <f>COUNTIFS(DataRegularSeason20242025!$E$2:$E$1315,WatchedGames20242025!$A51,DataRegularSeason20242025!$D$2:$D$1315,WatchedGames20242025!AK$1,DataRegularSeason20242025!$N$2:$N$1315,1, DataRegularSeason20242025!$R$2:$R$1315,1)</f>
        <v>0</v>
      </c>
      <c r="AL52" s="39"/>
      <c r="AM52" s="38">
        <f>COUNTIFS(DataRegularSeason20242025!$E$2:$E$1315,WatchedGames20242025!$A51,DataRegularSeason20242025!$D$2:$D$1315,WatchedGames20242025!AM$1,DataRegularSeason20242025!$N$2:$N$1315,1, DataRegularSeason20242025!$R$2:$R$1315,1)</f>
        <v>0</v>
      </c>
      <c r="AN52" s="39"/>
      <c r="AO52" s="38">
        <f>COUNTIFS(DataRegularSeason20242025!$E$2:$E$1315,WatchedGames20242025!$A51,DataRegularSeason20242025!$D$2:$D$1315,WatchedGames20242025!AO$1,DataRegularSeason20242025!$N$2:$N$1315,1, DataRegularSeason20242025!$R$2:$R$1315,1)</f>
        <v>0</v>
      </c>
      <c r="AP52" s="39"/>
      <c r="AQ52" s="38">
        <f>COUNTIFS(DataRegularSeason20242025!$E$2:$E$1315,WatchedGames20242025!$A51,DataRegularSeason20242025!$D$2:$D$1315,WatchedGames20242025!AQ$1,DataRegularSeason20242025!$N$2:$N$1315,1, DataRegularSeason20242025!$R$2:$R$1315,1)</f>
        <v>0</v>
      </c>
      <c r="AR52" s="39"/>
      <c r="AS52" s="38">
        <f>COUNTIFS(DataRegularSeason20242025!$E$2:$E$1315,WatchedGames20242025!$A51,DataRegularSeason20242025!$D$2:$D$1315,WatchedGames20242025!AS$1,DataRegularSeason20242025!$N$2:$N$1315,1, DataRegularSeason20242025!$R$2:$R$1315,1)</f>
        <v>0</v>
      </c>
      <c r="AT52" s="39"/>
      <c r="AU52" s="38">
        <f>COUNTIFS(DataRegularSeason20242025!$E$2:$E$1315,WatchedGames20242025!$A51,DataRegularSeason20242025!$D$2:$D$1315,WatchedGames20242025!AU$1,DataRegularSeason20242025!$N$2:$N$1315,1, DataRegularSeason20242025!$R$2:$R$1315,1)</f>
        <v>0</v>
      </c>
      <c r="AV52" s="39"/>
      <c r="AW52" s="38">
        <f>COUNTIFS(DataRegularSeason20242025!$E$2:$E$1315,WatchedGames20242025!$A51,DataRegularSeason20242025!$D$2:$D$1315,WatchedGames20242025!AW$1,DataRegularSeason20242025!$N$2:$N$1315,1, DataRegularSeason20242025!$R$2:$R$1315,1)</f>
        <v>0</v>
      </c>
      <c r="AX52" s="39"/>
      <c r="AY52" s="38"/>
      <c r="AZ52" s="39"/>
      <c r="BA52" s="38">
        <f>COUNTIFS(DataRegularSeason20242025!$E$2:$E$1315,WatchedGames20242025!$A51,DataRegularSeason20242025!$D$2:$D$1315,WatchedGames20242025!BA$1,DataRegularSeason20242025!$N$2:$N$1315,1, DataRegularSeason20242025!$R$2:$R$1315,1)</f>
        <v>0</v>
      </c>
      <c r="BB52" s="39"/>
      <c r="BC52" s="38">
        <f>COUNTIFS(DataRegularSeason20242025!$E$2:$E$1315,WatchedGames20242025!$A51,DataRegularSeason20242025!$D$2:$D$1315,WatchedGames20242025!BC$1,DataRegularSeason20242025!$N$2:$N$1315,1, DataRegularSeason20242025!$R$2:$R$1315,1)</f>
        <v>0</v>
      </c>
      <c r="BD52" s="39"/>
      <c r="BE52" s="38">
        <f>COUNTIFS(DataRegularSeason20242025!$E$2:$E$1315,WatchedGames20242025!$A51,DataRegularSeason20242025!$D$2:$D$1315,WatchedGames20242025!BE$1,DataRegularSeason20242025!$N$2:$N$1315,1, DataRegularSeason20242025!$R$2:$R$1315,1)</f>
        <v>0</v>
      </c>
      <c r="BF52" s="39"/>
      <c r="BG52" s="38">
        <f>COUNTIFS(DataRegularSeason20242025!$E$2:$E$1315,WatchedGames20242025!$A51,DataRegularSeason20242025!$D$2:$D$1315,WatchedGames20242025!BG$1,DataRegularSeason20242025!$N$2:$N$1315,1, DataRegularSeason20242025!$R$2:$R$1315,1)</f>
        <v>0</v>
      </c>
      <c r="BH52" s="39"/>
      <c r="BI52" s="38">
        <f>COUNTIFS(DataRegularSeason20242025!$E$2:$E$1315,WatchedGames20242025!$A51,DataRegularSeason20242025!$D$2:$D$1315,WatchedGames20242025!BI$1,DataRegularSeason20242025!$N$2:$N$1315,1, DataRegularSeason20242025!$R$2:$R$1315,1)</f>
        <v>0</v>
      </c>
      <c r="BJ52" s="39"/>
      <c r="BK52" s="38">
        <f>COUNTIFS(DataRegularSeason20242025!$E$2:$E$1315,WatchedGames20242025!$A51,DataRegularSeason20242025!$D$2:$D$1315,WatchedGames20242025!BK$1,DataRegularSeason20242025!$N$2:$N$1315,1, DataRegularSeason20242025!$R$2:$R$1315,1)</f>
        <v>0</v>
      </c>
      <c r="BL52" s="39"/>
      <c r="BM52" s="38">
        <f>COUNTIFS(DataRegularSeason20242025!$E$2:$E$1315,WatchedGames20242025!$A51,DataRegularSeason20242025!$D$2:$D$1315,WatchedGames20242025!BM$1,DataRegularSeason20242025!$N$2:$N$1315,1, DataRegularSeason20242025!$R$2:$R$1315,1)</f>
        <v>0</v>
      </c>
      <c r="BN52" s="39"/>
      <c r="BO52" s="34">
        <f t="shared" si="1"/>
        <v>3</v>
      </c>
      <c r="BP52" s="165"/>
      <c r="BQ52" s="166"/>
      <c r="BR52" s="173"/>
    </row>
    <row r="53" spans="1:70" s="27" customFormat="1" ht="9.9499999999999993" customHeight="1" x14ac:dyDescent="0.2">
      <c r="A53" s="172" t="s">
        <v>40</v>
      </c>
      <c r="B53" s="28" t="s">
        <v>74</v>
      </c>
      <c r="C53" s="35"/>
      <c r="D53" s="28">
        <f>COUNTIFS(DataRegularSeason20242025!$E$2:$E$1315,WatchedGames20242025!C$1,DataRegularSeason20242025!$D$2:$D$1315,WatchedGames20242025!$A53,DataRegularSeason20242025!$N$2:$N$1315,1, DataRegularSeason20242025!$R$2:$R$1315,1)</f>
        <v>0</v>
      </c>
      <c r="E53" s="35"/>
      <c r="F53" s="28">
        <f>COUNTIFS(DataRegularSeason20242025!$E$2:$E$1315,WatchedGames20242025!E$1,DataRegularSeason20242025!$D$2:$D$1315,WatchedGames20242025!$A53,DataRegularSeason20242025!$N$2:$N$1315,1, DataRegularSeason20242025!$R$2:$R$1315,1)</f>
        <v>1</v>
      </c>
      <c r="G53" s="35"/>
      <c r="H53" s="28">
        <f>COUNTIFS(DataRegularSeason20242025!$E$2:$E$1315,WatchedGames20242025!G$1,DataRegularSeason20242025!$D$2:$D$1315,WatchedGames20242025!$A53,DataRegularSeason20242025!$N$2:$N$1315,1, DataRegularSeason20242025!$R$2:$R$1315,1)</f>
        <v>0</v>
      </c>
      <c r="I53" s="35"/>
      <c r="J53" s="28">
        <f>COUNTIFS(DataRegularSeason20242025!$E$2:$E$1315,WatchedGames20242025!I$1,DataRegularSeason20242025!$D$2:$D$1315,WatchedGames20242025!$A53,DataRegularSeason20242025!$N$2:$N$1315,1, DataRegularSeason20242025!$R$2:$R$1315,1)</f>
        <v>0</v>
      </c>
      <c r="K53" s="35"/>
      <c r="L53" s="28">
        <f>COUNTIFS(DataRegularSeason20242025!$E$2:$E$1315,WatchedGames20242025!K$1,DataRegularSeason20242025!$D$2:$D$1315,WatchedGames20242025!$A53,DataRegularSeason20242025!$N$2:$N$1315,1, DataRegularSeason20242025!$R$2:$R$1315,1)</f>
        <v>1</v>
      </c>
      <c r="M53" s="35"/>
      <c r="N53" s="28">
        <f>COUNTIFS(DataRegularSeason20242025!$E$2:$E$1315,WatchedGames20242025!M$1,DataRegularSeason20242025!$D$2:$D$1315,WatchedGames20242025!$A53,DataRegularSeason20242025!$N$2:$N$1315,1, DataRegularSeason20242025!$R$2:$R$1315,1)</f>
        <v>0</v>
      </c>
      <c r="O53" s="35"/>
      <c r="P53" s="28">
        <f>COUNTIFS(DataRegularSeason20242025!$E$2:$E$1315,WatchedGames20242025!O$1,DataRegularSeason20242025!$D$2:$D$1315,WatchedGames20242025!$A53,DataRegularSeason20242025!$N$2:$N$1315,1, DataRegularSeason20242025!$R$2:$R$1315,1)</f>
        <v>0</v>
      </c>
      <c r="Q53" s="35"/>
      <c r="R53" s="28">
        <f>COUNTIFS(DataRegularSeason20242025!$E$2:$E$1315,WatchedGames20242025!Q$1,DataRegularSeason20242025!$D$2:$D$1315,WatchedGames20242025!$A53,DataRegularSeason20242025!$N$2:$N$1315,1, DataRegularSeason20242025!$R$2:$R$1315,1)</f>
        <v>0</v>
      </c>
      <c r="S53" s="35"/>
      <c r="T53" s="28">
        <f>COUNTIFS(DataRegularSeason20242025!$E$2:$E$1315,WatchedGames20242025!S$1,DataRegularSeason20242025!$D$2:$D$1315,WatchedGames20242025!$A53,DataRegularSeason20242025!$N$2:$N$1315,1, DataRegularSeason20242025!$R$2:$R$1315,1)</f>
        <v>0</v>
      </c>
      <c r="U53" s="35"/>
      <c r="V53" s="28">
        <f>COUNTIFS(DataRegularSeason20242025!$E$2:$E$1315,WatchedGames20242025!U$1,DataRegularSeason20242025!$D$2:$D$1315,WatchedGames20242025!$A53,DataRegularSeason20242025!$N$2:$N$1315,1, DataRegularSeason20242025!$R$2:$R$1315,1)</f>
        <v>1</v>
      </c>
      <c r="W53" s="35"/>
      <c r="X53" s="28">
        <f>COUNTIFS(DataRegularSeason20242025!$E$2:$E$1315,WatchedGames20242025!W$1,DataRegularSeason20242025!$D$2:$D$1315,WatchedGames20242025!$A53,DataRegularSeason20242025!$N$2:$N$1315,1, DataRegularSeason20242025!$R$2:$R$1315,1)</f>
        <v>0</v>
      </c>
      <c r="Y53" s="35"/>
      <c r="Z53" s="28">
        <f>COUNTIFS(DataRegularSeason20242025!$E$2:$E$1315,WatchedGames20242025!Y$1,DataRegularSeason20242025!$D$2:$D$1315,WatchedGames20242025!$A53,DataRegularSeason20242025!$N$2:$N$1315,1, DataRegularSeason20242025!$R$2:$R$1315,1)</f>
        <v>0</v>
      </c>
      <c r="AA53" s="35"/>
      <c r="AB53" s="28">
        <f>COUNTIFS(DataRegularSeason20242025!$E$2:$E$1315,WatchedGames20242025!AA$1,DataRegularSeason20242025!$D$2:$D$1315,WatchedGames20242025!$A53,DataRegularSeason20242025!$N$2:$N$1315,1, DataRegularSeason20242025!$R$2:$R$1315,1)</f>
        <v>0</v>
      </c>
      <c r="AC53" s="35"/>
      <c r="AD53" s="28">
        <f>COUNTIFS(DataRegularSeason20242025!$E$2:$E$1315,WatchedGames20242025!AC$1,DataRegularSeason20242025!$D$2:$D$1315,WatchedGames20242025!$A53,DataRegularSeason20242025!$N$2:$N$1315,1, DataRegularSeason20242025!$R$2:$R$1315,1)</f>
        <v>0</v>
      </c>
      <c r="AE53" s="35"/>
      <c r="AF53" s="28">
        <f>COUNTIFS(DataRegularSeason20242025!$E$2:$E$1315,WatchedGames20242025!AE$1,DataRegularSeason20242025!$D$2:$D$1315,WatchedGames20242025!$A53,DataRegularSeason20242025!$N$2:$N$1315,1, DataRegularSeason20242025!$R$2:$R$1315,1)</f>
        <v>0</v>
      </c>
      <c r="AG53" s="35"/>
      <c r="AH53" s="28">
        <f>COUNTIFS(DataRegularSeason20242025!$E$2:$E$1315,WatchedGames20242025!AG$1,DataRegularSeason20242025!$D$2:$D$1315,WatchedGames20242025!$A53,DataRegularSeason20242025!$N$2:$N$1315,1, DataRegularSeason20242025!$R$2:$R$1315,1)</f>
        <v>0</v>
      </c>
      <c r="AI53" s="35"/>
      <c r="AJ53" s="28">
        <f>COUNTIFS(DataRegularSeason20242025!$E$2:$E$1315,WatchedGames20242025!AI$1,DataRegularSeason20242025!$D$2:$D$1315,WatchedGames20242025!$A53,DataRegularSeason20242025!$N$2:$N$1315,1, DataRegularSeason20242025!$R$2:$R$1315,1)</f>
        <v>0</v>
      </c>
      <c r="AK53" s="35"/>
      <c r="AL53" s="28">
        <f>COUNTIFS(DataRegularSeason20242025!$E$2:$E$1315,WatchedGames20242025!AK$1,DataRegularSeason20242025!$D$2:$D$1315,WatchedGames20242025!$A53,DataRegularSeason20242025!$N$2:$N$1315,1, DataRegularSeason20242025!$R$2:$R$1315,1)</f>
        <v>0</v>
      </c>
      <c r="AM53" s="35"/>
      <c r="AN53" s="28">
        <f>COUNTIFS(DataRegularSeason20242025!$E$2:$E$1315,WatchedGames20242025!AM$1,DataRegularSeason20242025!$D$2:$D$1315,WatchedGames20242025!$A53,DataRegularSeason20242025!$N$2:$N$1315,1, DataRegularSeason20242025!$R$2:$R$1315,1)</f>
        <v>0</v>
      </c>
      <c r="AO53" s="35"/>
      <c r="AP53" s="28">
        <f>COUNTIFS(DataRegularSeason20242025!$E$2:$E$1315,WatchedGames20242025!AO$1,DataRegularSeason20242025!$D$2:$D$1315,WatchedGames20242025!$A53,DataRegularSeason20242025!$N$2:$N$1315,1, DataRegularSeason20242025!$R$2:$R$1315,1)</f>
        <v>0</v>
      </c>
      <c r="AQ53" s="35"/>
      <c r="AR53" s="28">
        <f>COUNTIFS(DataRegularSeason20242025!$E$2:$E$1315,WatchedGames20242025!AQ$1,DataRegularSeason20242025!$D$2:$D$1315,WatchedGames20242025!$A53,DataRegularSeason20242025!$N$2:$N$1315,1, DataRegularSeason20242025!$R$2:$R$1315,1)</f>
        <v>0</v>
      </c>
      <c r="AS53" s="35"/>
      <c r="AT53" s="28">
        <f>COUNTIFS(DataRegularSeason20242025!$E$2:$E$1315,WatchedGames20242025!AS$1,DataRegularSeason20242025!$D$2:$D$1315,WatchedGames20242025!$A53,DataRegularSeason20242025!$N$2:$N$1315,1, DataRegularSeason20242025!$R$2:$R$1315,1)</f>
        <v>0</v>
      </c>
      <c r="AU53" s="35"/>
      <c r="AV53" s="28">
        <f>COUNTIFS(DataRegularSeason20242025!$E$2:$E$1315,WatchedGames20242025!AU$1,DataRegularSeason20242025!$D$2:$D$1315,WatchedGames20242025!$A53,DataRegularSeason20242025!$N$2:$N$1315,1, DataRegularSeason20242025!$R$2:$R$1315,1)</f>
        <v>0</v>
      </c>
      <c r="AW53" s="35"/>
      <c r="AX53" s="28">
        <f>COUNTIFS(DataRegularSeason20242025!$E$2:$E$1315,WatchedGames20242025!AW$1,DataRegularSeason20242025!$D$2:$D$1315,WatchedGames20242025!$A53,DataRegularSeason20242025!$N$2:$N$1315,1, DataRegularSeason20242025!$R$2:$R$1315,1)</f>
        <v>0</v>
      </c>
      <c r="AY53" s="35"/>
      <c r="AZ53" s="28">
        <f>COUNTIFS(DataRegularSeason20242025!$E$2:$E$1315,WatchedGames20242025!AY$1,DataRegularSeason20242025!$D$2:$D$1315,WatchedGames20242025!$A53,DataRegularSeason20242025!$N$2:$N$1315,1, DataRegularSeason20242025!$R$2:$R$1315,1)</f>
        <v>0</v>
      </c>
      <c r="BA53" s="35"/>
      <c r="BB53" s="36"/>
      <c r="BC53" s="35"/>
      <c r="BD53" s="28">
        <f>COUNTIFS(DataRegularSeason20242025!$E$2:$E$1315,WatchedGames20242025!BC$1,DataRegularSeason20242025!$D$2:$D$1315,WatchedGames20242025!$A53,DataRegularSeason20242025!$N$2:$N$1315,1, DataRegularSeason20242025!$R$2:$R$1315,1)</f>
        <v>0</v>
      </c>
      <c r="BE53" s="35"/>
      <c r="BF53" s="28">
        <f>COUNTIFS(DataRegularSeason20242025!$E$2:$E$1315,WatchedGames20242025!BE$1,DataRegularSeason20242025!$D$2:$D$1315,WatchedGames20242025!$A53,DataRegularSeason20242025!$N$2:$N$1315,1, DataRegularSeason20242025!$R$2:$R$1315,1)</f>
        <v>0</v>
      </c>
      <c r="BG53" s="35"/>
      <c r="BH53" s="28">
        <f>COUNTIFS(DataRegularSeason20242025!$E$2:$E$1315,WatchedGames20242025!BG$1,DataRegularSeason20242025!$D$2:$D$1315,WatchedGames20242025!$A53,DataRegularSeason20242025!$N$2:$N$1315,1, DataRegularSeason20242025!$R$2:$R$1315,1)</f>
        <v>0</v>
      </c>
      <c r="BI53" s="35"/>
      <c r="BJ53" s="28">
        <f>COUNTIFS(DataRegularSeason20242025!$E$2:$E$1315,WatchedGames20242025!BI$1,DataRegularSeason20242025!$D$2:$D$1315,WatchedGames20242025!$A53,DataRegularSeason20242025!$N$2:$N$1315,1, DataRegularSeason20242025!$R$2:$R$1315,1)</f>
        <v>0</v>
      </c>
      <c r="BK53" s="35"/>
      <c r="BL53" s="28">
        <f>COUNTIFS(DataRegularSeason20242025!$E$2:$E$1315,WatchedGames20242025!BK$1,DataRegularSeason20242025!$D$2:$D$1315,WatchedGames20242025!$A53,DataRegularSeason20242025!$N$2:$N$1315,1, DataRegularSeason20242025!$R$2:$R$1315,1)</f>
        <v>0</v>
      </c>
      <c r="BM53" s="35"/>
      <c r="BN53" s="28">
        <f>COUNTIFS(DataRegularSeason20242025!$E$2:$E$1315,WatchedGames20242025!BM$1,DataRegularSeason20242025!$D$2:$D$1315,WatchedGames20242025!$A53,DataRegularSeason20242025!$N$2:$N$1315,1, DataRegularSeason20242025!$R$2:$R$1315,1)</f>
        <v>1</v>
      </c>
      <c r="BO53" s="30">
        <f t="shared" si="1"/>
        <v>4</v>
      </c>
      <c r="BP53" s="165">
        <f t="shared" ref="BP53" si="50">BO53+BO54</f>
        <v>5</v>
      </c>
      <c r="BQ53" s="166">
        <f t="shared" ref="BQ53" si="51">82-BP53</f>
        <v>77</v>
      </c>
      <c r="BR53" s="173">
        <f t="shared" si="0"/>
        <v>6.097560975609756E-2</v>
      </c>
    </row>
    <row r="54" spans="1:70" s="27" customFormat="1" ht="9.9499999999999993" customHeight="1" x14ac:dyDescent="0.2">
      <c r="A54" s="167"/>
      <c r="B54" s="32" t="s">
        <v>73</v>
      </c>
      <c r="C54" s="38">
        <f>COUNTIFS(DataRegularSeason20242025!$E$2:$E$1315,WatchedGames20242025!$A53,DataRegularSeason20242025!$D$2:$D$1315,WatchedGames20242025!C$1,DataRegularSeason20242025!$N$2:$N$1315,1, DataRegularSeason20242025!$R$2:$R$1315,1)</f>
        <v>0</v>
      </c>
      <c r="D54" s="39"/>
      <c r="E54" s="38">
        <f>COUNTIFS(DataRegularSeason20242025!$E$2:$E$1315,WatchedGames20242025!$A53,DataRegularSeason20242025!$D$2:$D$1315,WatchedGames20242025!E$1,DataRegularSeason20242025!$N$2:$N$1315,1, DataRegularSeason20242025!$R$2:$R$1315,1)</f>
        <v>0</v>
      </c>
      <c r="F54" s="39"/>
      <c r="G54" s="38">
        <f>COUNTIFS(DataRegularSeason20242025!$E$2:$E$1315,WatchedGames20242025!$A53,DataRegularSeason20242025!$D$2:$D$1315,WatchedGames20242025!G$1,DataRegularSeason20242025!$N$2:$N$1315,1, DataRegularSeason20242025!$R$2:$R$1315,1)</f>
        <v>0</v>
      </c>
      <c r="H54" s="39"/>
      <c r="I54" s="38">
        <f>COUNTIFS(DataRegularSeason20242025!$E$2:$E$1315,WatchedGames20242025!$A53,DataRegularSeason20242025!$D$2:$D$1315,WatchedGames20242025!I$1,DataRegularSeason20242025!$N$2:$N$1315,1, DataRegularSeason20242025!$R$2:$R$1315,1)</f>
        <v>0</v>
      </c>
      <c r="J54" s="39"/>
      <c r="K54" s="38">
        <f>COUNTIFS(DataRegularSeason20242025!$E$2:$E$1315,WatchedGames20242025!$A53,DataRegularSeason20242025!$D$2:$D$1315,WatchedGames20242025!K$1,DataRegularSeason20242025!$N$2:$N$1315,1, DataRegularSeason20242025!$R$2:$R$1315,1)</f>
        <v>0</v>
      </c>
      <c r="L54" s="39"/>
      <c r="M54" s="38">
        <f>COUNTIFS(DataRegularSeason20242025!$E$2:$E$1315,WatchedGames20242025!$A53,DataRegularSeason20242025!$D$2:$D$1315,WatchedGames20242025!M$1,DataRegularSeason20242025!$N$2:$N$1315,1, DataRegularSeason20242025!$R$2:$R$1315,1)</f>
        <v>0</v>
      </c>
      <c r="N54" s="39"/>
      <c r="O54" s="38">
        <f>COUNTIFS(DataRegularSeason20242025!$E$2:$E$1315,WatchedGames20242025!$A53,DataRegularSeason20242025!$D$2:$D$1315,WatchedGames20242025!O$1,DataRegularSeason20242025!$N$2:$N$1315,1, DataRegularSeason20242025!$R$2:$R$1315,1)</f>
        <v>0</v>
      </c>
      <c r="P54" s="39"/>
      <c r="Q54" s="38">
        <f>COUNTIFS(DataRegularSeason20242025!$E$2:$E$1315,WatchedGames20242025!$A53,DataRegularSeason20242025!$D$2:$D$1315,WatchedGames20242025!Q$1,DataRegularSeason20242025!$N$2:$N$1315,1, DataRegularSeason20242025!$R$2:$R$1315,1)</f>
        <v>0</v>
      </c>
      <c r="R54" s="39"/>
      <c r="S54" s="38">
        <f>COUNTIFS(DataRegularSeason20242025!$E$2:$E$1315,WatchedGames20242025!$A53,DataRegularSeason20242025!$D$2:$D$1315,WatchedGames20242025!S$1,DataRegularSeason20242025!$N$2:$N$1315,1, DataRegularSeason20242025!$R$2:$R$1315,1)</f>
        <v>0</v>
      </c>
      <c r="T54" s="39"/>
      <c r="U54" s="38">
        <f>COUNTIFS(DataRegularSeason20242025!$E$2:$E$1315,WatchedGames20242025!$A53,DataRegularSeason20242025!$D$2:$D$1315,WatchedGames20242025!U$1,DataRegularSeason20242025!$N$2:$N$1315,1, DataRegularSeason20242025!$R$2:$R$1315,1)</f>
        <v>0</v>
      </c>
      <c r="V54" s="39"/>
      <c r="W54" s="38">
        <f>COUNTIFS(DataRegularSeason20242025!$E$2:$E$1315,WatchedGames20242025!$A53,DataRegularSeason20242025!$D$2:$D$1315,WatchedGames20242025!W$1,DataRegularSeason20242025!$N$2:$N$1315,1, DataRegularSeason20242025!$R$2:$R$1315,1)</f>
        <v>0</v>
      </c>
      <c r="X54" s="39"/>
      <c r="Y54" s="38">
        <f>COUNTIFS(DataRegularSeason20242025!$E$2:$E$1315,WatchedGames20242025!$A53,DataRegularSeason20242025!$D$2:$D$1315,WatchedGames20242025!Y$1,DataRegularSeason20242025!$N$2:$N$1315,1, DataRegularSeason20242025!$R$2:$R$1315,1)</f>
        <v>0</v>
      </c>
      <c r="Z54" s="39"/>
      <c r="AA54" s="38">
        <f>COUNTIFS(DataRegularSeason20242025!$E$2:$E$1315,WatchedGames20242025!$A53,DataRegularSeason20242025!$D$2:$D$1315,WatchedGames20242025!AA$1,DataRegularSeason20242025!$N$2:$N$1315,1, DataRegularSeason20242025!$R$2:$R$1315,1)</f>
        <v>0</v>
      </c>
      <c r="AB54" s="39"/>
      <c r="AC54" s="38">
        <f>COUNTIFS(DataRegularSeason20242025!$E$2:$E$1315,WatchedGames20242025!$A53,DataRegularSeason20242025!$D$2:$D$1315,WatchedGames20242025!AC$1,DataRegularSeason20242025!$N$2:$N$1315,1, DataRegularSeason20242025!$R$2:$R$1315,1)</f>
        <v>0</v>
      </c>
      <c r="AD54" s="39"/>
      <c r="AE54" s="38">
        <f>COUNTIFS(DataRegularSeason20242025!$E$2:$E$1315,WatchedGames20242025!$A53,DataRegularSeason20242025!$D$2:$D$1315,WatchedGames20242025!AE$1,DataRegularSeason20242025!$N$2:$N$1315,1, DataRegularSeason20242025!$R$2:$R$1315,1)</f>
        <v>0</v>
      </c>
      <c r="AF54" s="39"/>
      <c r="AG54" s="38">
        <f>COUNTIFS(DataRegularSeason20242025!$E$2:$E$1315,WatchedGames20242025!$A53,DataRegularSeason20242025!$D$2:$D$1315,WatchedGames20242025!AG$1,DataRegularSeason20242025!$N$2:$N$1315,1, DataRegularSeason20242025!$R$2:$R$1315,1)</f>
        <v>0</v>
      </c>
      <c r="AH54" s="39"/>
      <c r="AI54" s="38">
        <f>COUNTIFS(DataRegularSeason20242025!$E$2:$E$1315,WatchedGames20242025!$A53,DataRegularSeason20242025!$D$2:$D$1315,WatchedGames20242025!AI$1,DataRegularSeason20242025!$N$2:$N$1315,1, DataRegularSeason20242025!$R$2:$R$1315,1)</f>
        <v>0</v>
      </c>
      <c r="AJ54" s="39"/>
      <c r="AK54" s="38">
        <f>COUNTIFS(DataRegularSeason20242025!$E$2:$E$1315,WatchedGames20242025!$A53,DataRegularSeason20242025!$D$2:$D$1315,WatchedGames20242025!AK$1,DataRegularSeason20242025!$N$2:$N$1315,1, DataRegularSeason20242025!$R$2:$R$1315,1)</f>
        <v>0</v>
      </c>
      <c r="AL54" s="39"/>
      <c r="AM54" s="38">
        <f>COUNTIFS(DataRegularSeason20242025!$E$2:$E$1315,WatchedGames20242025!$A53,DataRegularSeason20242025!$D$2:$D$1315,WatchedGames20242025!AM$1,DataRegularSeason20242025!$N$2:$N$1315,1, DataRegularSeason20242025!$R$2:$R$1315,1)</f>
        <v>0</v>
      </c>
      <c r="AN54" s="39"/>
      <c r="AO54" s="38">
        <f>COUNTIFS(DataRegularSeason20242025!$E$2:$E$1315,WatchedGames20242025!$A53,DataRegularSeason20242025!$D$2:$D$1315,WatchedGames20242025!AO$1,DataRegularSeason20242025!$N$2:$N$1315,1, DataRegularSeason20242025!$R$2:$R$1315,1)</f>
        <v>1</v>
      </c>
      <c r="AP54" s="39"/>
      <c r="AQ54" s="38">
        <f>COUNTIFS(DataRegularSeason20242025!$E$2:$E$1315,WatchedGames20242025!$A53,DataRegularSeason20242025!$D$2:$D$1315,WatchedGames20242025!AQ$1,DataRegularSeason20242025!$N$2:$N$1315,1, DataRegularSeason20242025!$R$2:$R$1315,1)</f>
        <v>0</v>
      </c>
      <c r="AR54" s="39"/>
      <c r="AS54" s="38">
        <f>COUNTIFS(DataRegularSeason20242025!$E$2:$E$1315,WatchedGames20242025!$A53,DataRegularSeason20242025!$D$2:$D$1315,WatchedGames20242025!AS$1,DataRegularSeason20242025!$N$2:$N$1315,1, DataRegularSeason20242025!$R$2:$R$1315,1)</f>
        <v>0</v>
      </c>
      <c r="AT54" s="39"/>
      <c r="AU54" s="38">
        <f>COUNTIFS(DataRegularSeason20242025!$E$2:$E$1315,WatchedGames20242025!$A53,DataRegularSeason20242025!$D$2:$D$1315,WatchedGames20242025!AU$1,DataRegularSeason20242025!$N$2:$N$1315,1, DataRegularSeason20242025!$R$2:$R$1315,1)</f>
        <v>0</v>
      </c>
      <c r="AV54" s="39"/>
      <c r="AW54" s="38">
        <f>COUNTIFS(DataRegularSeason20242025!$E$2:$E$1315,WatchedGames20242025!$A53,DataRegularSeason20242025!$D$2:$D$1315,WatchedGames20242025!AW$1,DataRegularSeason20242025!$N$2:$N$1315,1, DataRegularSeason20242025!$R$2:$R$1315,1)</f>
        <v>0</v>
      </c>
      <c r="AX54" s="39"/>
      <c r="AY54" s="38">
        <f>COUNTIFS(DataRegularSeason20242025!$E$2:$E$1315,WatchedGames20242025!$A53,DataRegularSeason20242025!$D$2:$D$1315,WatchedGames20242025!AY$1,DataRegularSeason20242025!$N$2:$N$1315,1, DataRegularSeason20242025!$R$2:$R$1315,1)</f>
        <v>0</v>
      </c>
      <c r="AZ54" s="39"/>
      <c r="BA54" s="38"/>
      <c r="BB54" s="39"/>
      <c r="BC54" s="38">
        <f>COUNTIFS(DataRegularSeason20242025!$E$2:$E$1315,WatchedGames20242025!$A53,DataRegularSeason20242025!$D$2:$D$1315,WatchedGames20242025!BC$1,DataRegularSeason20242025!$N$2:$N$1315,1, DataRegularSeason20242025!$R$2:$R$1315,1)</f>
        <v>0</v>
      </c>
      <c r="BD54" s="39"/>
      <c r="BE54" s="38">
        <f>COUNTIFS(DataRegularSeason20242025!$E$2:$E$1315,WatchedGames20242025!$A53,DataRegularSeason20242025!$D$2:$D$1315,WatchedGames20242025!BE$1,DataRegularSeason20242025!$N$2:$N$1315,1, DataRegularSeason20242025!$R$2:$R$1315,1)</f>
        <v>0</v>
      </c>
      <c r="BF54" s="39"/>
      <c r="BG54" s="38">
        <f>COUNTIFS(DataRegularSeason20242025!$E$2:$E$1315,WatchedGames20242025!$A53,DataRegularSeason20242025!$D$2:$D$1315,WatchedGames20242025!BG$1,DataRegularSeason20242025!$N$2:$N$1315,1, DataRegularSeason20242025!$R$2:$R$1315,1)</f>
        <v>0</v>
      </c>
      <c r="BH54" s="39"/>
      <c r="BI54" s="38">
        <f>COUNTIFS(DataRegularSeason20242025!$E$2:$E$1315,WatchedGames20242025!$A53,DataRegularSeason20242025!$D$2:$D$1315,WatchedGames20242025!BI$1,DataRegularSeason20242025!$N$2:$N$1315,1, DataRegularSeason20242025!$R$2:$R$1315,1)</f>
        <v>0</v>
      </c>
      <c r="BJ54" s="39"/>
      <c r="BK54" s="38">
        <f>COUNTIFS(DataRegularSeason20242025!$E$2:$E$1315,WatchedGames20242025!$A53,DataRegularSeason20242025!$D$2:$D$1315,WatchedGames20242025!BK$1,DataRegularSeason20242025!$N$2:$N$1315,1, DataRegularSeason20242025!$R$2:$R$1315,1)</f>
        <v>0</v>
      </c>
      <c r="BL54" s="39"/>
      <c r="BM54" s="38">
        <f>COUNTIFS(DataRegularSeason20242025!$E$2:$E$1315,WatchedGames20242025!$A53,DataRegularSeason20242025!$D$2:$D$1315,WatchedGames20242025!BM$1,DataRegularSeason20242025!$N$2:$N$1315,1, DataRegularSeason20242025!$R$2:$R$1315,1)</f>
        <v>0</v>
      </c>
      <c r="BN54" s="39"/>
      <c r="BO54" s="34">
        <f t="shared" si="1"/>
        <v>1</v>
      </c>
      <c r="BP54" s="165"/>
      <c r="BQ54" s="166"/>
      <c r="BR54" s="173"/>
    </row>
    <row r="55" spans="1:70" s="27" customFormat="1" ht="9.9499999999999993" customHeight="1" x14ac:dyDescent="0.2">
      <c r="A55" s="172" t="s">
        <v>17</v>
      </c>
      <c r="B55" s="28" t="s">
        <v>74</v>
      </c>
      <c r="C55" s="35"/>
      <c r="D55" s="28">
        <f>COUNTIFS(DataRegularSeason20242025!$E$2:$E$1315,WatchedGames20242025!C$1,DataRegularSeason20242025!$D$2:$D$1315,WatchedGames20242025!$A55,DataRegularSeason20242025!$N$2:$N$1315,1, DataRegularSeason20242025!$R$2:$R$1315,1)</f>
        <v>0</v>
      </c>
      <c r="E55" s="35"/>
      <c r="F55" s="28">
        <f>COUNTIFS(DataRegularSeason20242025!$E$2:$E$1315,WatchedGames20242025!E$1,DataRegularSeason20242025!$D$2:$D$1315,WatchedGames20242025!$A55,DataRegularSeason20242025!$N$2:$N$1315,1, DataRegularSeason20242025!$R$2:$R$1315,1)</f>
        <v>0</v>
      </c>
      <c r="G55" s="35"/>
      <c r="H55" s="28">
        <f>COUNTIFS(DataRegularSeason20242025!$E$2:$E$1315,WatchedGames20242025!G$1,DataRegularSeason20242025!$D$2:$D$1315,WatchedGames20242025!$A55,DataRegularSeason20242025!$N$2:$N$1315,1, DataRegularSeason20242025!$R$2:$R$1315,1)</f>
        <v>0</v>
      </c>
      <c r="I55" s="35"/>
      <c r="J55" s="28">
        <f>COUNTIFS(DataRegularSeason20242025!$E$2:$E$1315,WatchedGames20242025!I$1,DataRegularSeason20242025!$D$2:$D$1315,WatchedGames20242025!$A55,DataRegularSeason20242025!$N$2:$N$1315,1, DataRegularSeason20242025!$R$2:$R$1315,1)</f>
        <v>0</v>
      </c>
      <c r="K55" s="35"/>
      <c r="L55" s="28">
        <f>COUNTIFS(DataRegularSeason20242025!$E$2:$E$1315,WatchedGames20242025!K$1,DataRegularSeason20242025!$D$2:$D$1315,WatchedGames20242025!$A55,DataRegularSeason20242025!$N$2:$N$1315,1, DataRegularSeason20242025!$R$2:$R$1315,1)</f>
        <v>0</v>
      </c>
      <c r="M55" s="35"/>
      <c r="N55" s="28">
        <f>COUNTIFS(DataRegularSeason20242025!$E$2:$E$1315,WatchedGames20242025!M$1,DataRegularSeason20242025!$D$2:$D$1315,WatchedGames20242025!$A55,DataRegularSeason20242025!$N$2:$N$1315,1, DataRegularSeason20242025!$R$2:$R$1315,1)</f>
        <v>0</v>
      </c>
      <c r="O55" s="35"/>
      <c r="P55" s="28">
        <f>COUNTIFS(DataRegularSeason20242025!$E$2:$E$1315,WatchedGames20242025!O$1,DataRegularSeason20242025!$D$2:$D$1315,WatchedGames20242025!$A55,DataRegularSeason20242025!$N$2:$N$1315,1, DataRegularSeason20242025!$R$2:$R$1315,1)</f>
        <v>0</v>
      </c>
      <c r="Q55" s="35"/>
      <c r="R55" s="28">
        <f>COUNTIFS(DataRegularSeason20242025!$E$2:$E$1315,WatchedGames20242025!Q$1,DataRegularSeason20242025!$D$2:$D$1315,WatchedGames20242025!$A55,DataRegularSeason20242025!$N$2:$N$1315,1, DataRegularSeason20242025!$R$2:$R$1315,1)</f>
        <v>0</v>
      </c>
      <c r="S55" s="35"/>
      <c r="T55" s="28">
        <f>COUNTIFS(DataRegularSeason20242025!$E$2:$E$1315,WatchedGames20242025!S$1,DataRegularSeason20242025!$D$2:$D$1315,WatchedGames20242025!$A55,DataRegularSeason20242025!$N$2:$N$1315,1, DataRegularSeason20242025!$R$2:$R$1315,1)</f>
        <v>0</v>
      </c>
      <c r="U55" s="35"/>
      <c r="V55" s="28">
        <f>COUNTIFS(DataRegularSeason20242025!$E$2:$E$1315,WatchedGames20242025!U$1,DataRegularSeason20242025!$D$2:$D$1315,WatchedGames20242025!$A55,DataRegularSeason20242025!$N$2:$N$1315,1, DataRegularSeason20242025!$R$2:$R$1315,1)</f>
        <v>1</v>
      </c>
      <c r="W55" s="35"/>
      <c r="X55" s="28">
        <f>COUNTIFS(DataRegularSeason20242025!$E$2:$E$1315,WatchedGames20242025!W$1,DataRegularSeason20242025!$D$2:$D$1315,WatchedGames20242025!$A55,DataRegularSeason20242025!$N$2:$N$1315,1, DataRegularSeason20242025!$R$2:$R$1315,1)</f>
        <v>0</v>
      </c>
      <c r="Y55" s="35"/>
      <c r="Z55" s="28">
        <f>COUNTIFS(DataRegularSeason20242025!$E$2:$E$1315,WatchedGames20242025!Y$1,DataRegularSeason20242025!$D$2:$D$1315,WatchedGames20242025!$A55,DataRegularSeason20242025!$N$2:$N$1315,1, DataRegularSeason20242025!$R$2:$R$1315,1)</f>
        <v>0</v>
      </c>
      <c r="AA55" s="35"/>
      <c r="AB55" s="28">
        <f>COUNTIFS(DataRegularSeason20242025!$E$2:$E$1315,WatchedGames20242025!AA$1,DataRegularSeason20242025!$D$2:$D$1315,WatchedGames20242025!$A55,DataRegularSeason20242025!$N$2:$N$1315,1, DataRegularSeason20242025!$R$2:$R$1315,1)</f>
        <v>0</v>
      </c>
      <c r="AC55" s="35"/>
      <c r="AD55" s="28">
        <f>COUNTIFS(DataRegularSeason20242025!$E$2:$E$1315,WatchedGames20242025!AC$1,DataRegularSeason20242025!$D$2:$D$1315,WatchedGames20242025!$A55,DataRegularSeason20242025!$N$2:$N$1315,1, DataRegularSeason20242025!$R$2:$R$1315,1)</f>
        <v>0</v>
      </c>
      <c r="AE55" s="35"/>
      <c r="AF55" s="28">
        <f>COUNTIFS(DataRegularSeason20242025!$E$2:$E$1315,WatchedGames20242025!AE$1,DataRegularSeason20242025!$D$2:$D$1315,WatchedGames20242025!$A55,DataRegularSeason20242025!$N$2:$N$1315,1, DataRegularSeason20242025!$R$2:$R$1315,1)</f>
        <v>0</v>
      </c>
      <c r="AG55" s="35"/>
      <c r="AH55" s="28">
        <f>COUNTIFS(DataRegularSeason20242025!$E$2:$E$1315,WatchedGames20242025!AG$1,DataRegularSeason20242025!$D$2:$D$1315,WatchedGames20242025!$A55,DataRegularSeason20242025!$N$2:$N$1315,1, DataRegularSeason20242025!$R$2:$R$1315,1)</f>
        <v>0</v>
      </c>
      <c r="AI55" s="35"/>
      <c r="AJ55" s="28">
        <f>COUNTIFS(DataRegularSeason20242025!$E$2:$E$1315,WatchedGames20242025!AI$1,DataRegularSeason20242025!$D$2:$D$1315,WatchedGames20242025!$A55,DataRegularSeason20242025!$N$2:$N$1315,1, DataRegularSeason20242025!$R$2:$R$1315,1)</f>
        <v>0</v>
      </c>
      <c r="AK55" s="35"/>
      <c r="AL55" s="28">
        <f>COUNTIFS(DataRegularSeason20242025!$E$2:$E$1315,WatchedGames20242025!AK$1,DataRegularSeason20242025!$D$2:$D$1315,WatchedGames20242025!$A55,DataRegularSeason20242025!$N$2:$N$1315,1, DataRegularSeason20242025!$R$2:$R$1315,1)</f>
        <v>0</v>
      </c>
      <c r="AM55" s="35"/>
      <c r="AN55" s="28">
        <f>COUNTIFS(DataRegularSeason20242025!$E$2:$E$1315,WatchedGames20242025!AM$1,DataRegularSeason20242025!$D$2:$D$1315,WatchedGames20242025!$A55,DataRegularSeason20242025!$N$2:$N$1315,1, DataRegularSeason20242025!$R$2:$R$1315,1)</f>
        <v>0</v>
      </c>
      <c r="AO55" s="35"/>
      <c r="AP55" s="28">
        <f>COUNTIFS(DataRegularSeason20242025!$E$2:$E$1315,WatchedGames20242025!AO$1,DataRegularSeason20242025!$D$2:$D$1315,WatchedGames20242025!$A55,DataRegularSeason20242025!$N$2:$N$1315,1, DataRegularSeason20242025!$R$2:$R$1315,1)</f>
        <v>0</v>
      </c>
      <c r="AQ55" s="35"/>
      <c r="AR55" s="28">
        <f>COUNTIFS(DataRegularSeason20242025!$E$2:$E$1315,WatchedGames20242025!AQ$1,DataRegularSeason20242025!$D$2:$D$1315,WatchedGames20242025!$A55,DataRegularSeason20242025!$N$2:$N$1315,1, DataRegularSeason20242025!$R$2:$R$1315,1)</f>
        <v>0</v>
      </c>
      <c r="AS55" s="35"/>
      <c r="AT55" s="28">
        <f>COUNTIFS(DataRegularSeason20242025!$E$2:$E$1315,WatchedGames20242025!AS$1,DataRegularSeason20242025!$D$2:$D$1315,WatchedGames20242025!$A55,DataRegularSeason20242025!$N$2:$N$1315,1, DataRegularSeason20242025!$R$2:$R$1315,1)</f>
        <v>0</v>
      </c>
      <c r="AU55" s="35"/>
      <c r="AV55" s="28">
        <f>COUNTIFS(DataRegularSeason20242025!$E$2:$E$1315,WatchedGames20242025!AU$1,DataRegularSeason20242025!$D$2:$D$1315,WatchedGames20242025!$A55,DataRegularSeason20242025!$N$2:$N$1315,1, DataRegularSeason20242025!$R$2:$R$1315,1)</f>
        <v>0</v>
      </c>
      <c r="AW55" s="35"/>
      <c r="AX55" s="28">
        <f>COUNTIFS(DataRegularSeason20242025!$E$2:$E$1315,WatchedGames20242025!AW$1,DataRegularSeason20242025!$D$2:$D$1315,WatchedGames20242025!$A55,DataRegularSeason20242025!$N$2:$N$1315,1, DataRegularSeason20242025!$R$2:$R$1315,1)</f>
        <v>0</v>
      </c>
      <c r="AY55" s="35"/>
      <c r="AZ55" s="28">
        <f>COUNTIFS(DataRegularSeason20242025!$E$2:$E$1315,WatchedGames20242025!AY$1,DataRegularSeason20242025!$D$2:$D$1315,WatchedGames20242025!$A55,DataRegularSeason20242025!$N$2:$N$1315,1, DataRegularSeason20242025!$R$2:$R$1315,1)</f>
        <v>0</v>
      </c>
      <c r="BA55" s="35"/>
      <c r="BB55" s="28">
        <f>COUNTIFS(DataRegularSeason20242025!$E$2:$E$1315,WatchedGames20242025!BA$1,DataRegularSeason20242025!$D$2:$D$1315,WatchedGames20242025!$A55,DataRegularSeason20242025!$N$2:$N$1315,1, DataRegularSeason20242025!$R$2:$R$1315,1)</f>
        <v>0</v>
      </c>
      <c r="BC55" s="35"/>
      <c r="BD55" s="36"/>
      <c r="BE55" s="35"/>
      <c r="BF55" s="28">
        <f>COUNTIFS(DataRegularSeason20242025!$E$2:$E$1315,WatchedGames20242025!BE$1,DataRegularSeason20242025!$D$2:$D$1315,WatchedGames20242025!$A55,DataRegularSeason20242025!$N$2:$N$1315,1, DataRegularSeason20242025!$R$2:$R$1315,1)</f>
        <v>0</v>
      </c>
      <c r="BG55" s="35"/>
      <c r="BH55" s="28">
        <f>COUNTIFS(DataRegularSeason20242025!$E$2:$E$1315,WatchedGames20242025!BG$1,DataRegularSeason20242025!$D$2:$D$1315,WatchedGames20242025!$A55,DataRegularSeason20242025!$N$2:$N$1315,1, DataRegularSeason20242025!$R$2:$R$1315,1)</f>
        <v>0</v>
      </c>
      <c r="BI55" s="35"/>
      <c r="BJ55" s="28">
        <f>COUNTIFS(DataRegularSeason20242025!$E$2:$E$1315,WatchedGames20242025!BI$1,DataRegularSeason20242025!$D$2:$D$1315,WatchedGames20242025!$A55,DataRegularSeason20242025!$N$2:$N$1315,1, DataRegularSeason20242025!$R$2:$R$1315,1)</f>
        <v>0</v>
      </c>
      <c r="BK55" s="35"/>
      <c r="BL55" s="28">
        <f>COUNTIFS(DataRegularSeason20242025!$E$2:$E$1315,WatchedGames20242025!BK$1,DataRegularSeason20242025!$D$2:$D$1315,WatchedGames20242025!$A55,DataRegularSeason20242025!$N$2:$N$1315,1, DataRegularSeason20242025!$R$2:$R$1315,1)</f>
        <v>0</v>
      </c>
      <c r="BM55" s="35"/>
      <c r="BN55" s="28">
        <f>COUNTIFS(DataRegularSeason20242025!$E$2:$E$1315,WatchedGames20242025!BM$1,DataRegularSeason20242025!$D$2:$D$1315,WatchedGames20242025!$A55,DataRegularSeason20242025!$N$2:$N$1315,1, DataRegularSeason20242025!$R$2:$R$1315,1)</f>
        <v>0</v>
      </c>
      <c r="BO55" s="30">
        <f t="shared" si="1"/>
        <v>1</v>
      </c>
      <c r="BP55" s="165">
        <f t="shared" ref="BP55" si="52">BO55+BO56</f>
        <v>7</v>
      </c>
      <c r="BQ55" s="166">
        <f t="shared" ref="BQ55" si="53">82-BP55</f>
        <v>75</v>
      </c>
      <c r="BR55" s="173">
        <f t="shared" si="0"/>
        <v>8.5365853658536592E-2</v>
      </c>
    </row>
    <row r="56" spans="1:70" s="27" customFormat="1" ht="9.9499999999999993" customHeight="1" x14ac:dyDescent="0.2">
      <c r="A56" s="167"/>
      <c r="B56" s="32" t="s">
        <v>73</v>
      </c>
      <c r="C56" s="38">
        <f>COUNTIFS(DataRegularSeason20242025!$E$2:$E$1315,WatchedGames20242025!$A55,DataRegularSeason20242025!$D$2:$D$1315,WatchedGames20242025!C$1,DataRegularSeason20242025!$N$2:$N$1315,1, DataRegularSeason20242025!$R$2:$R$1315,1)</f>
        <v>0</v>
      </c>
      <c r="D56" s="39"/>
      <c r="E56" s="38">
        <f>COUNTIFS(DataRegularSeason20242025!$E$2:$E$1315,WatchedGames20242025!$A55,DataRegularSeason20242025!$D$2:$D$1315,WatchedGames20242025!E$1,DataRegularSeason20242025!$N$2:$N$1315,1, DataRegularSeason20242025!$R$2:$R$1315,1)</f>
        <v>0</v>
      </c>
      <c r="F56" s="39"/>
      <c r="G56" s="38">
        <f>COUNTIFS(DataRegularSeason20242025!$E$2:$E$1315,WatchedGames20242025!$A55,DataRegularSeason20242025!$D$2:$D$1315,WatchedGames20242025!G$1,DataRegularSeason20242025!$N$2:$N$1315,1, DataRegularSeason20242025!$R$2:$R$1315,1)</f>
        <v>0</v>
      </c>
      <c r="H56" s="39"/>
      <c r="I56" s="38">
        <f>COUNTIFS(DataRegularSeason20242025!$E$2:$E$1315,WatchedGames20242025!$A55,DataRegularSeason20242025!$D$2:$D$1315,WatchedGames20242025!I$1,DataRegularSeason20242025!$N$2:$N$1315,1, DataRegularSeason20242025!$R$2:$R$1315,1)</f>
        <v>0</v>
      </c>
      <c r="J56" s="39"/>
      <c r="K56" s="38">
        <f>COUNTIFS(DataRegularSeason20242025!$E$2:$E$1315,WatchedGames20242025!$A55,DataRegularSeason20242025!$D$2:$D$1315,WatchedGames20242025!K$1,DataRegularSeason20242025!$N$2:$N$1315,1, DataRegularSeason20242025!$R$2:$R$1315,1)</f>
        <v>0</v>
      </c>
      <c r="L56" s="39"/>
      <c r="M56" s="38">
        <f>COUNTIFS(DataRegularSeason20242025!$E$2:$E$1315,WatchedGames20242025!$A55,DataRegularSeason20242025!$D$2:$D$1315,WatchedGames20242025!M$1,DataRegularSeason20242025!$N$2:$N$1315,1, DataRegularSeason20242025!$R$2:$R$1315,1)</f>
        <v>0</v>
      </c>
      <c r="N56" s="39"/>
      <c r="O56" s="38">
        <f>COUNTIFS(DataRegularSeason20242025!$E$2:$E$1315,WatchedGames20242025!$A55,DataRegularSeason20242025!$D$2:$D$1315,WatchedGames20242025!O$1,DataRegularSeason20242025!$N$2:$N$1315,1, DataRegularSeason20242025!$R$2:$R$1315,1)</f>
        <v>0</v>
      </c>
      <c r="P56" s="39"/>
      <c r="Q56" s="38">
        <f>COUNTIFS(DataRegularSeason20242025!$E$2:$E$1315,WatchedGames20242025!$A55,DataRegularSeason20242025!$D$2:$D$1315,WatchedGames20242025!Q$1,DataRegularSeason20242025!$N$2:$N$1315,1, DataRegularSeason20242025!$R$2:$R$1315,1)</f>
        <v>0</v>
      </c>
      <c r="R56" s="39"/>
      <c r="S56" s="38">
        <f>COUNTIFS(DataRegularSeason20242025!$E$2:$E$1315,WatchedGames20242025!$A55,DataRegularSeason20242025!$D$2:$D$1315,WatchedGames20242025!S$1,DataRegularSeason20242025!$N$2:$N$1315,1, DataRegularSeason20242025!$R$2:$R$1315,1)</f>
        <v>0</v>
      </c>
      <c r="T56" s="39"/>
      <c r="U56" s="38">
        <f>COUNTIFS(DataRegularSeason20242025!$E$2:$E$1315,WatchedGames20242025!$A55,DataRegularSeason20242025!$D$2:$D$1315,WatchedGames20242025!U$1,DataRegularSeason20242025!$N$2:$N$1315,1, DataRegularSeason20242025!$R$2:$R$1315,1)</f>
        <v>1</v>
      </c>
      <c r="V56" s="39"/>
      <c r="W56" s="38">
        <f>COUNTIFS(DataRegularSeason20242025!$E$2:$E$1315,WatchedGames20242025!$A55,DataRegularSeason20242025!$D$2:$D$1315,WatchedGames20242025!W$1,DataRegularSeason20242025!$N$2:$N$1315,1, DataRegularSeason20242025!$R$2:$R$1315,1)</f>
        <v>0</v>
      </c>
      <c r="X56" s="39"/>
      <c r="Y56" s="38">
        <f>COUNTIFS(DataRegularSeason20242025!$E$2:$E$1315,WatchedGames20242025!$A55,DataRegularSeason20242025!$D$2:$D$1315,WatchedGames20242025!Y$1,DataRegularSeason20242025!$N$2:$N$1315,1, DataRegularSeason20242025!$R$2:$R$1315,1)</f>
        <v>0</v>
      </c>
      <c r="Z56" s="39"/>
      <c r="AA56" s="38">
        <f>COUNTIFS(DataRegularSeason20242025!$E$2:$E$1315,WatchedGames20242025!$A55,DataRegularSeason20242025!$D$2:$D$1315,WatchedGames20242025!AA$1,DataRegularSeason20242025!$N$2:$N$1315,1, DataRegularSeason20242025!$R$2:$R$1315,1)</f>
        <v>0</v>
      </c>
      <c r="AB56" s="39"/>
      <c r="AC56" s="38">
        <f>COUNTIFS(DataRegularSeason20242025!$E$2:$E$1315,WatchedGames20242025!$A55,DataRegularSeason20242025!$D$2:$D$1315,WatchedGames20242025!AC$1,DataRegularSeason20242025!$N$2:$N$1315,1, DataRegularSeason20242025!$R$2:$R$1315,1)</f>
        <v>0</v>
      </c>
      <c r="AD56" s="39"/>
      <c r="AE56" s="38">
        <f>COUNTIFS(DataRegularSeason20242025!$E$2:$E$1315,WatchedGames20242025!$A55,DataRegularSeason20242025!$D$2:$D$1315,WatchedGames20242025!AE$1,DataRegularSeason20242025!$N$2:$N$1315,1, DataRegularSeason20242025!$R$2:$R$1315,1)</f>
        <v>1</v>
      </c>
      <c r="AF56" s="39"/>
      <c r="AG56" s="38">
        <f>COUNTIFS(DataRegularSeason20242025!$E$2:$E$1315,WatchedGames20242025!$A55,DataRegularSeason20242025!$D$2:$D$1315,WatchedGames20242025!AG$1,DataRegularSeason20242025!$N$2:$N$1315,1, DataRegularSeason20242025!$R$2:$R$1315,1)</f>
        <v>1</v>
      </c>
      <c r="AH56" s="39"/>
      <c r="AI56" s="38">
        <f>COUNTIFS(DataRegularSeason20242025!$E$2:$E$1315,WatchedGames20242025!$A55,DataRegularSeason20242025!$D$2:$D$1315,WatchedGames20242025!AI$1,DataRegularSeason20242025!$N$2:$N$1315,1, DataRegularSeason20242025!$R$2:$R$1315,1)</f>
        <v>1</v>
      </c>
      <c r="AJ56" s="39"/>
      <c r="AK56" s="38">
        <f>COUNTIFS(DataRegularSeason20242025!$E$2:$E$1315,WatchedGames20242025!$A55,DataRegularSeason20242025!$D$2:$D$1315,WatchedGames20242025!AK$1,DataRegularSeason20242025!$N$2:$N$1315,1, DataRegularSeason20242025!$R$2:$R$1315,1)</f>
        <v>0</v>
      </c>
      <c r="AL56" s="39"/>
      <c r="AM56" s="38">
        <f>COUNTIFS(DataRegularSeason20242025!$E$2:$E$1315,WatchedGames20242025!$A55,DataRegularSeason20242025!$D$2:$D$1315,WatchedGames20242025!AM$1,DataRegularSeason20242025!$N$2:$N$1315,1, DataRegularSeason20242025!$R$2:$R$1315,1)</f>
        <v>1</v>
      </c>
      <c r="AN56" s="39"/>
      <c r="AO56" s="38">
        <f>COUNTIFS(DataRegularSeason20242025!$E$2:$E$1315,WatchedGames20242025!$A55,DataRegularSeason20242025!$D$2:$D$1315,WatchedGames20242025!AO$1,DataRegularSeason20242025!$N$2:$N$1315,1, DataRegularSeason20242025!$R$2:$R$1315,1)</f>
        <v>0</v>
      </c>
      <c r="AP56" s="39"/>
      <c r="AQ56" s="38">
        <f>COUNTIFS(DataRegularSeason20242025!$E$2:$E$1315,WatchedGames20242025!$A55,DataRegularSeason20242025!$D$2:$D$1315,WatchedGames20242025!AQ$1,DataRegularSeason20242025!$N$2:$N$1315,1, DataRegularSeason20242025!$R$2:$R$1315,1)</f>
        <v>0</v>
      </c>
      <c r="AR56" s="39"/>
      <c r="AS56" s="38">
        <f>COUNTIFS(DataRegularSeason20242025!$E$2:$E$1315,WatchedGames20242025!$A55,DataRegularSeason20242025!$D$2:$D$1315,WatchedGames20242025!AS$1,DataRegularSeason20242025!$N$2:$N$1315,1, DataRegularSeason20242025!$R$2:$R$1315,1)</f>
        <v>0</v>
      </c>
      <c r="AT56" s="39"/>
      <c r="AU56" s="38">
        <f>COUNTIFS(DataRegularSeason20242025!$E$2:$E$1315,WatchedGames20242025!$A55,DataRegularSeason20242025!$D$2:$D$1315,WatchedGames20242025!AU$1,DataRegularSeason20242025!$N$2:$N$1315,1, DataRegularSeason20242025!$R$2:$R$1315,1)</f>
        <v>1</v>
      </c>
      <c r="AV56" s="39"/>
      <c r="AW56" s="38">
        <f>COUNTIFS(DataRegularSeason20242025!$E$2:$E$1315,WatchedGames20242025!$A55,DataRegularSeason20242025!$D$2:$D$1315,WatchedGames20242025!AW$1,DataRegularSeason20242025!$N$2:$N$1315,1, DataRegularSeason20242025!$R$2:$R$1315,1)</f>
        <v>0</v>
      </c>
      <c r="AX56" s="39"/>
      <c r="AY56" s="38">
        <f>COUNTIFS(DataRegularSeason20242025!$E$2:$E$1315,WatchedGames20242025!$A55,DataRegularSeason20242025!$D$2:$D$1315,WatchedGames20242025!AY$1,DataRegularSeason20242025!$N$2:$N$1315,1, DataRegularSeason20242025!$R$2:$R$1315,1)</f>
        <v>0</v>
      </c>
      <c r="AZ56" s="39"/>
      <c r="BA56" s="38">
        <f>COUNTIFS(DataRegularSeason20242025!$E$2:$E$1315,WatchedGames20242025!$A55,DataRegularSeason20242025!$D$2:$D$1315,WatchedGames20242025!BA$1,DataRegularSeason20242025!$N$2:$N$1315,1, DataRegularSeason20242025!$R$2:$R$1315,1)</f>
        <v>0</v>
      </c>
      <c r="BB56" s="39"/>
      <c r="BC56" s="38"/>
      <c r="BD56" s="39"/>
      <c r="BE56" s="38">
        <f>COUNTIFS(DataRegularSeason20242025!$E$2:$E$1315,WatchedGames20242025!$A55,DataRegularSeason20242025!$D$2:$D$1315,WatchedGames20242025!BE$1,DataRegularSeason20242025!$N$2:$N$1315,1, DataRegularSeason20242025!$R$2:$R$1315,1)</f>
        <v>0</v>
      </c>
      <c r="BF56" s="39"/>
      <c r="BG56" s="38">
        <f>COUNTIFS(DataRegularSeason20242025!$E$2:$E$1315,WatchedGames20242025!$A55,DataRegularSeason20242025!$D$2:$D$1315,WatchedGames20242025!BG$1,DataRegularSeason20242025!$N$2:$N$1315,1, DataRegularSeason20242025!$R$2:$R$1315,1)</f>
        <v>0</v>
      </c>
      <c r="BH56" s="39"/>
      <c r="BI56" s="38">
        <f>COUNTIFS(DataRegularSeason20242025!$E$2:$E$1315,WatchedGames20242025!$A55,DataRegularSeason20242025!$D$2:$D$1315,WatchedGames20242025!BI$1,DataRegularSeason20242025!$N$2:$N$1315,1, DataRegularSeason20242025!$R$2:$R$1315,1)</f>
        <v>0</v>
      </c>
      <c r="BJ56" s="39"/>
      <c r="BK56" s="38">
        <f>COUNTIFS(DataRegularSeason20242025!$E$2:$E$1315,WatchedGames20242025!$A55,DataRegularSeason20242025!$D$2:$D$1315,WatchedGames20242025!BK$1,DataRegularSeason20242025!$N$2:$N$1315,1, DataRegularSeason20242025!$R$2:$R$1315,1)</f>
        <v>0</v>
      </c>
      <c r="BL56" s="39"/>
      <c r="BM56" s="38">
        <f>COUNTIFS(DataRegularSeason20242025!$E$2:$E$1315,WatchedGames20242025!$A55,DataRegularSeason20242025!$D$2:$D$1315,WatchedGames20242025!BM$1,DataRegularSeason20242025!$N$2:$N$1315,1, DataRegularSeason20242025!$R$2:$R$1315,1)</f>
        <v>0</v>
      </c>
      <c r="BN56" s="39"/>
      <c r="BO56" s="34">
        <f t="shared" si="1"/>
        <v>6</v>
      </c>
      <c r="BP56" s="165"/>
      <c r="BQ56" s="166"/>
      <c r="BR56" s="173"/>
    </row>
    <row r="57" spans="1:70" s="27" customFormat="1" ht="9.9499999999999993" customHeight="1" x14ac:dyDescent="0.2">
      <c r="A57" s="172" t="s">
        <v>14</v>
      </c>
      <c r="B57" s="28" t="s">
        <v>74</v>
      </c>
      <c r="C57" s="35"/>
      <c r="D57" s="28">
        <f>COUNTIFS(DataRegularSeason20242025!$E$2:$E$1315,WatchedGames20242025!C$1,DataRegularSeason20242025!$D$2:$D$1315,WatchedGames20242025!$A57,DataRegularSeason20242025!$N$2:$N$1315,1, DataRegularSeason20242025!$R$2:$R$1315,1)</f>
        <v>0</v>
      </c>
      <c r="E57" s="35"/>
      <c r="F57" s="28">
        <f>COUNTIFS(DataRegularSeason20242025!$E$2:$E$1315,WatchedGames20242025!E$1,DataRegularSeason20242025!$D$2:$D$1315,WatchedGames20242025!$A57,DataRegularSeason20242025!$N$2:$N$1315,1, DataRegularSeason20242025!$R$2:$R$1315,1)</f>
        <v>0</v>
      </c>
      <c r="G57" s="35"/>
      <c r="H57" s="28">
        <f>COUNTIFS(DataRegularSeason20242025!$E$2:$E$1315,WatchedGames20242025!G$1,DataRegularSeason20242025!$D$2:$D$1315,WatchedGames20242025!$A57,DataRegularSeason20242025!$N$2:$N$1315,1, DataRegularSeason20242025!$R$2:$R$1315,1)</f>
        <v>0</v>
      </c>
      <c r="I57" s="35"/>
      <c r="J57" s="28">
        <f>COUNTIFS(DataRegularSeason20242025!$E$2:$E$1315,WatchedGames20242025!I$1,DataRegularSeason20242025!$D$2:$D$1315,WatchedGames20242025!$A57,DataRegularSeason20242025!$N$2:$N$1315,1, DataRegularSeason20242025!$R$2:$R$1315,1)</f>
        <v>0</v>
      </c>
      <c r="K57" s="35"/>
      <c r="L57" s="28">
        <f>COUNTIFS(DataRegularSeason20242025!$E$2:$E$1315,WatchedGames20242025!K$1,DataRegularSeason20242025!$D$2:$D$1315,WatchedGames20242025!$A57,DataRegularSeason20242025!$N$2:$N$1315,1, DataRegularSeason20242025!$R$2:$R$1315,1)</f>
        <v>0</v>
      </c>
      <c r="M57" s="35"/>
      <c r="N57" s="28">
        <f>COUNTIFS(DataRegularSeason20242025!$E$2:$E$1315,WatchedGames20242025!M$1,DataRegularSeason20242025!$D$2:$D$1315,WatchedGames20242025!$A57,DataRegularSeason20242025!$N$2:$N$1315,1, DataRegularSeason20242025!$R$2:$R$1315,1)</f>
        <v>0</v>
      </c>
      <c r="O57" s="35"/>
      <c r="P57" s="28">
        <f>COUNTIFS(DataRegularSeason20242025!$E$2:$E$1315,WatchedGames20242025!O$1,DataRegularSeason20242025!$D$2:$D$1315,WatchedGames20242025!$A57,DataRegularSeason20242025!$N$2:$N$1315,1, DataRegularSeason20242025!$R$2:$R$1315,1)</f>
        <v>1</v>
      </c>
      <c r="Q57" s="35"/>
      <c r="R57" s="28">
        <f>COUNTIFS(DataRegularSeason20242025!$E$2:$E$1315,WatchedGames20242025!Q$1,DataRegularSeason20242025!$D$2:$D$1315,WatchedGames20242025!$A57,DataRegularSeason20242025!$N$2:$N$1315,1, DataRegularSeason20242025!$R$2:$R$1315,1)</f>
        <v>1</v>
      </c>
      <c r="S57" s="35"/>
      <c r="T57" s="28">
        <f>COUNTIFS(DataRegularSeason20242025!$E$2:$E$1315,WatchedGames20242025!S$1,DataRegularSeason20242025!$D$2:$D$1315,WatchedGames20242025!$A57,DataRegularSeason20242025!$N$2:$N$1315,1, DataRegularSeason20242025!$R$2:$R$1315,1)</f>
        <v>0</v>
      </c>
      <c r="U57" s="35"/>
      <c r="V57" s="28">
        <f>COUNTIFS(DataRegularSeason20242025!$E$2:$E$1315,WatchedGames20242025!U$1,DataRegularSeason20242025!$D$2:$D$1315,WatchedGames20242025!$A57,DataRegularSeason20242025!$N$2:$N$1315,1, DataRegularSeason20242025!$R$2:$R$1315,1)</f>
        <v>0</v>
      </c>
      <c r="W57" s="35"/>
      <c r="X57" s="28">
        <f>COUNTIFS(DataRegularSeason20242025!$E$2:$E$1315,WatchedGames20242025!W$1,DataRegularSeason20242025!$D$2:$D$1315,WatchedGames20242025!$A57,DataRegularSeason20242025!$N$2:$N$1315,1, DataRegularSeason20242025!$R$2:$R$1315,1)</f>
        <v>0</v>
      </c>
      <c r="Y57" s="35"/>
      <c r="Z57" s="28">
        <f>COUNTIFS(DataRegularSeason20242025!$E$2:$E$1315,WatchedGames20242025!Y$1,DataRegularSeason20242025!$D$2:$D$1315,WatchedGames20242025!$A57,DataRegularSeason20242025!$N$2:$N$1315,1, DataRegularSeason20242025!$R$2:$R$1315,1)</f>
        <v>0</v>
      </c>
      <c r="AA57" s="35"/>
      <c r="AB57" s="28">
        <f>COUNTIFS(DataRegularSeason20242025!$E$2:$E$1315,WatchedGames20242025!AA$1,DataRegularSeason20242025!$D$2:$D$1315,WatchedGames20242025!$A57,DataRegularSeason20242025!$N$2:$N$1315,1, DataRegularSeason20242025!$R$2:$R$1315,1)</f>
        <v>0</v>
      </c>
      <c r="AC57" s="35"/>
      <c r="AD57" s="28">
        <f>COUNTIFS(DataRegularSeason20242025!$E$2:$E$1315,WatchedGames20242025!AC$1,DataRegularSeason20242025!$D$2:$D$1315,WatchedGames20242025!$A57,DataRegularSeason20242025!$N$2:$N$1315,1, DataRegularSeason20242025!$R$2:$R$1315,1)</f>
        <v>0</v>
      </c>
      <c r="AE57" s="35"/>
      <c r="AF57" s="28">
        <f>COUNTIFS(DataRegularSeason20242025!$E$2:$E$1315,WatchedGames20242025!AE$1,DataRegularSeason20242025!$D$2:$D$1315,WatchedGames20242025!$A57,DataRegularSeason20242025!$N$2:$N$1315,1, DataRegularSeason20242025!$R$2:$R$1315,1)</f>
        <v>0</v>
      </c>
      <c r="AG57" s="35"/>
      <c r="AH57" s="28">
        <f>COUNTIFS(DataRegularSeason20242025!$E$2:$E$1315,WatchedGames20242025!AG$1,DataRegularSeason20242025!$D$2:$D$1315,WatchedGames20242025!$A57,DataRegularSeason20242025!$N$2:$N$1315,1, DataRegularSeason20242025!$R$2:$R$1315,1)</f>
        <v>0</v>
      </c>
      <c r="AI57" s="35"/>
      <c r="AJ57" s="28">
        <f>COUNTIFS(DataRegularSeason20242025!$E$2:$E$1315,WatchedGames20242025!AI$1,DataRegularSeason20242025!$D$2:$D$1315,WatchedGames20242025!$A57,DataRegularSeason20242025!$N$2:$N$1315,1, DataRegularSeason20242025!$R$2:$R$1315,1)</f>
        <v>1</v>
      </c>
      <c r="AK57" s="35"/>
      <c r="AL57" s="28">
        <f>COUNTIFS(DataRegularSeason20242025!$E$2:$E$1315,WatchedGames20242025!AK$1,DataRegularSeason20242025!$D$2:$D$1315,WatchedGames20242025!$A57,DataRegularSeason20242025!$N$2:$N$1315,1, DataRegularSeason20242025!$R$2:$R$1315,1)</f>
        <v>0</v>
      </c>
      <c r="AM57" s="35"/>
      <c r="AN57" s="28">
        <f>COUNTIFS(DataRegularSeason20242025!$E$2:$E$1315,WatchedGames20242025!AM$1,DataRegularSeason20242025!$D$2:$D$1315,WatchedGames20242025!$A57,DataRegularSeason20242025!$N$2:$N$1315,1, DataRegularSeason20242025!$R$2:$R$1315,1)</f>
        <v>0</v>
      </c>
      <c r="AO57" s="35"/>
      <c r="AP57" s="28">
        <f>COUNTIFS(DataRegularSeason20242025!$E$2:$E$1315,WatchedGames20242025!AO$1,DataRegularSeason20242025!$D$2:$D$1315,WatchedGames20242025!$A57,DataRegularSeason20242025!$N$2:$N$1315,1, DataRegularSeason20242025!$R$2:$R$1315,1)</f>
        <v>0</v>
      </c>
      <c r="AQ57" s="35"/>
      <c r="AR57" s="28">
        <f>COUNTIFS(DataRegularSeason20242025!$E$2:$E$1315,WatchedGames20242025!AQ$1,DataRegularSeason20242025!$D$2:$D$1315,WatchedGames20242025!$A57,DataRegularSeason20242025!$N$2:$N$1315,1, DataRegularSeason20242025!$R$2:$R$1315,1)</f>
        <v>0</v>
      </c>
      <c r="AS57" s="35"/>
      <c r="AT57" s="28">
        <f>COUNTIFS(DataRegularSeason20242025!$E$2:$E$1315,WatchedGames20242025!AS$1,DataRegularSeason20242025!$D$2:$D$1315,WatchedGames20242025!$A57,DataRegularSeason20242025!$N$2:$N$1315,1, DataRegularSeason20242025!$R$2:$R$1315,1)</f>
        <v>0</v>
      </c>
      <c r="AU57" s="35"/>
      <c r="AV57" s="28">
        <f>COUNTIFS(DataRegularSeason20242025!$E$2:$E$1315,WatchedGames20242025!AU$1,DataRegularSeason20242025!$D$2:$D$1315,WatchedGames20242025!$A57,DataRegularSeason20242025!$N$2:$N$1315,1, DataRegularSeason20242025!$R$2:$R$1315,1)</f>
        <v>0</v>
      </c>
      <c r="AW57" s="35"/>
      <c r="AX57" s="28">
        <f>COUNTIFS(DataRegularSeason20242025!$E$2:$E$1315,WatchedGames20242025!AW$1,DataRegularSeason20242025!$D$2:$D$1315,WatchedGames20242025!$A57,DataRegularSeason20242025!$N$2:$N$1315,1, DataRegularSeason20242025!$R$2:$R$1315,1)</f>
        <v>0</v>
      </c>
      <c r="AY57" s="35"/>
      <c r="AZ57" s="28">
        <f>COUNTIFS(DataRegularSeason20242025!$E$2:$E$1315,WatchedGames20242025!AY$1,DataRegularSeason20242025!$D$2:$D$1315,WatchedGames20242025!$A57,DataRegularSeason20242025!$N$2:$N$1315,1, DataRegularSeason20242025!$R$2:$R$1315,1)</f>
        <v>0</v>
      </c>
      <c r="BA57" s="35"/>
      <c r="BB57" s="28">
        <f>COUNTIFS(DataRegularSeason20242025!$E$2:$E$1315,WatchedGames20242025!BA$1,DataRegularSeason20242025!$D$2:$D$1315,WatchedGames20242025!$A57,DataRegularSeason20242025!$N$2:$N$1315,1, DataRegularSeason20242025!$R$2:$R$1315,1)</f>
        <v>0</v>
      </c>
      <c r="BC57" s="35"/>
      <c r="BD57" s="28">
        <f>COUNTIFS(DataRegularSeason20242025!$E$2:$E$1315,WatchedGames20242025!BC$1,DataRegularSeason20242025!$D$2:$D$1315,WatchedGames20242025!$A57,DataRegularSeason20242025!$N$2:$N$1315,1, DataRegularSeason20242025!$R$2:$R$1315,1)</f>
        <v>0</v>
      </c>
      <c r="BE57" s="35"/>
      <c r="BF57" s="36"/>
      <c r="BG57" s="35"/>
      <c r="BH57" s="28">
        <f>COUNTIFS(DataRegularSeason20242025!$E$2:$E$1315,WatchedGames20242025!BG$1,DataRegularSeason20242025!$D$2:$D$1315,WatchedGames20242025!$A57,DataRegularSeason20242025!$N$2:$N$1315,1, DataRegularSeason20242025!$R$2:$R$1315,1)</f>
        <v>0</v>
      </c>
      <c r="BI57" s="35"/>
      <c r="BJ57" s="28">
        <f>COUNTIFS(DataRegularSeason20242025!$E$2:$E$1315,WatchedGames20242025!BI$1,DataRegularSeason20242025!$D$2:$D$1315,WatchedGames20242025!$A57,DataRegularSeason20242025!$N$2:$N$1315,1, DataRegularSeason20242025!$R$2:$R$1315,1)</f>
        <v>0</v>
      </c>
      <c r="BK57" s="35"/>
      <c r="BL57" s="28">
        <f>COUNTIFS(DataRegularSeason20242025!$E$2:$E$1315,WatchedGames20242025!BK$1,DataRegularSeason20242025!$D$2:$D$1315,WatchedGames20242025!$A57,DataRegularSeason20242025!$N$2:$N$1315,1, DataRegularSeason20242025!$R$2:$R$1315,1)</f>
        <v>0</v>
      </c>
      <c r="BM57" s="35"/>
      <c r="BN57" s="28">
        <f>COUNTIFS(DataRegularSeason20242025!$E$2:$E$1315,WatchedGames20242025!BM$1,DataRegularSeason20242025!$D$2:$D$1315,WatchedGames20242025!$A57,DataRegularSeason20242025!$N$2:$N$1315,1, DataRegularSeason20242025!$R$2:$R$1315,1)</f>
        <v>0</v>
      </c>
      <c r="BO57" s="30">
        <f t="shared" si="1"/>
        <v>3</v>
      </c>
      <c r="BP57" s="165">
        <f t="shared" ref="BP57" si="54">BO57+BO58</f>
        <v>7</v>
      </c>
      <c r="BQ57" s="166">
        <f t="shared" ref="BQ57" si="55">82-BP57</f>
        <v>75</v>
      </c>
      <c r="BR57" s="173">
        <f t="shared" si="0"/>
        <v>8.5365853658536592E-2</v>
      </c>
    </row>
    <row r="58" spans="1:70" s="27" customFormat="1" ht="9.9499999999999993" customHeight="1" x14ac:dyDescent="0.2">
      <c r="A58" s="167"/>
      <c r="B58" s="32" t="s">
        <v>73</v>
      </c>
      <c r="C58" s="38">
        <f>COUNTIFS(DataRegularSeason20242025!$E$2:$E$1315,WatchedGames20242025!$A57,DataRegularSeason20242025!$D$2:$D$1315,WatchedGames20242025!C$1,DataRegularSeason20242025!$N$2:$N$1315,1, DataRegularSeason20242025!$R$2:$R$1315,1)</f>
        <v>0</v>
      </c>
      <c r="D58" s="39"/>
      <c r="E58" s="38">
        <f>COUNTIFS(DataRegularSeason20242025!$E$2:$E$1315,WatchedGames20242025!$A57,DataRegularSeason20242025!$D$2:$D$1315,WatchedGames20242025!E$1,DataRegularSeason20242025!$N$2:$N$1315,1, DataRegularSeason20242025!$R$2:$R$1315,1)</f>
        <v>1</v>
      </c>
      <c r="F58" s="39"/>
      <c r="G58" s="38">
        <f>COUNTIFS(DataRegularSeason20242025!$E$2:$E$1315,WatchedGames20242025!$A57,DataRegularSeason20242025!$D$2:$D$1315,WatchedGames20242025!G$1,DataRegularSeason20242025!$N$2:$N$1315,1, DataRegularSeason20242025!$R$2:$R$1315,1)</f>
        <v>0</v>
      </c>
      <c r="H58" s="39"/>
      <c r="I58" s="38">
        <f>COUNTIFS(DataRegularSeason20242025!$E$2:$E$1315,WatchedGames20242025!$A57,DataRegularSeason20242025!$D$2:$D$1315,WatchedGames20242025!I$1,DataRegularSeason20242025!$N$2:$N$1315,1, DataRegularSeason20242025!$R$2:$R$1315,1)</f>
        <v>0</v>
      </c>
      <c r="J58" s="39"/>
      <c r="K58" s="38">
        <f>COUNTIFS(DataRegularSeason20242025!$E$2:$E$1315,WatchedGames20242025!$A57,DataRegularSeason20242025!$D$2:$D$1315,WatchedGames20242025!K$1,DataRegularSeason20242025!$N$2:$N$1315,1, DataRegularSeason20242025!$R$2:$R$1315,1)</f>
        <v>0</v>
      </c>
      <c r="L58" s="39"/>
      <c r="M58" s="38">
        <f>COUNTIFS(DataRegularSeason20242025!$E$2:$E$1315,WatchedGames20242025!$A57,DataRegularSeason20242025!$D$2:$D$1315,WatchedGames20242025!M$1,DataRegularSeason20242025!$N$2:$N$1315,1, DataRegularSeason20242025!$R$2:$R$1315,1)</f>
        <v>1</v>
      </c>
      <c r="N58" s="39"/>
      <c r="O58" s="38">
        <f>COUNTIFS(DataRegularSeason20242025!$E$2:$E$1315,WatchedGames20242025!$A57,DataRegularSeason20242025!$D$2:$D$1315,WatchedGames20242025!O$1,DataRegularSeason20242025!$N$2:$N$1315,1, DataRegularSeason20242025!$R$2:$R$1315,1)</f>
        <v>0</v>
      </c>
      <c r="P58" s="39"/>
      <c r="Q58" s="38">
        <f>COUNTIFS(DataRegularSeason20242025!$E$2:$E$1315,WatchedGames20242025!$A57,DataRegularSeason20242025!$D$2:$D$1315,WatchedGames20242025!Q$1,DataRegularSeason20242025!$N$2:$N$1315,1, DataRegularSeason20242025!$R$2:$R$1315,1)</f>
        <v>1</v>
      </c>
      <c r="R58" s="39"/>
      <c r="S58" s="38">
        <f>COUNTIFS(DataRegularSeason20242025!$E$2:$E$1315,WatchedGames20242025!$A57,DataRegularSeason20242025!$D$2:$D$1315,WatchedGames20242025!S$1,DataRegularSeason20242025!$N$2:$N$1315,1, DataRegularSeason20242025!$R$2:$R$1315,1)</f>
        <v>0</v>
      </c>
      <c r="T58" s="39"/>
      <c r="U58" s="38">
        <f>COUNTIFS(DataRegularSeason20242025!$E$2:$E$1315,WatchedGames20242025!$A57,DataRegularSeason20242025!$D$2:$D$1315,WatchedGames20242025!U$1,DataRegularSeason20242025!$N$2:$N$1315,1, DataRegularSeason20242025!$R$2:$R$1315,1)</f>
        <v>0</v>
      </c>
      <c r="V58" s="39"/>
      <c r="W58" s="38">
        <f>COUNTIFS(DataRegularSeason20242025!$E$2:$E$1315,WatchedGames20242025!$A57,DataRegularSeason20242025!$D$2:$D$1315,WatchedGames20242025!W$1,DataRegularSeason20242025!$N$2:$N$1315,1, DataRegularSeason20242025!$R$2:$R$1315,1)</f>
        <v>0</v>
      </c>
      <c r="X58" s="39"/>
      <c r="Y58" s="38">
        <f>COUNTIFS(DataRegularSeason20242025!$E$2:$E$1315,WatchedGames20242025!$A57,DataRegularSeason20242025!$D$2:$D$1315,WatchedGames20242025!Y$1,DataRegularSeason20242025!$N$2:$N$1315,1, DataRegularSeason20242025!$R$2:$R$1315,1)</f>
        <v>0</v>
      </c>
      <c r="Z58" s="39"/>
      <c r="AA58" s="38">
        <f>COUNTIFS(DataRegularSeason20242025!$E$2:$E$1315,WatchedGames20242025!$A57,DataRegularSeason20242025!$D$2:$D$1315,WatchedGames20242025!AA$1,DataRegularSeason20242025!$N$2:$N$1315,1, DataRegularSeason20242025!$R$2:$R$1315,1)</f>
        <v>0</v>
      </c>
      <c r="AB58" s="39"/>
      <c r="AC58" s="38">
        <f>COUNTIFS(DataRegularSeason20242025!$E$2:$E$1315,WatchedGames20242025!$A57,DataRegularSeason20242025!$D$2:$D$1315,WatchedGames20242025!AC$1,DataRegularSeason20242025!$N$2:$N$1315,1, DataRegularSeason20242025!$R$2:$R$1315,1)</f>
        <v>0</v>
      </c>
      <c r="AD58" s="39"/>
      <c r="AE58" s="38">
        <f>COUNTIFS(DataRegularSeason20242025!$E$2:$E$1315,WatchedGames20242025!$A57,DataRegularSeason20242025!$D$2:$D$1315,WatchedGames20242025!AE$1,DataRegularSeason20242025!$N$2:$N$1315,1, DataRegularSeason20242025!$R$2:$R$1315,1)</f>
        <v>0</v>
      </c>
      <c r="AF58" s="39"/>
      <c r="AG58" s="38">
        <f>COUNTIFS(DataRegularSeason20242025!$E$2:$E$1315,WatchedGames20242025!$A57,DataRegularSeason20242025!$D$2:$D$1315,WatchedGames20242025!AG$1,DataRegularSeason20242025!$N$2:$N$1315,1, DataRegularSeason20242025!$R$2:$R$1315,1)</f>
        <v>0</v>
      </c>
      <c r="AH58" s="39"/>
      <c r="AI58" s="38">
        <f>COUNTIFS(DataRegularSeason20242025!$E$2:$E$1315,WatchedGames20242025!$A57,DataRegularSeason20242025!$D$2:$D$1315,WatchedGames20242025!AI$1,DataRegularSeason20242025!$N$2:$N$1315,1, DataRegularSeason20242025!$R$2:$R$1315,1)</f>
        <v>0</v>
      </c>
      <c r="AJ58" s="39"/>
      <c r="AK58" s="38">
        <f>COUNTIFS(DataRegularSeason20242025!$E$2:$E$1315,WatchedGames20242025!$A57,DataRegularSeason20242025!$D$2:$D$1315,WatchedGames20242025!AK$1,DataRegularSeason20242025!$N$2:$N$1315,1, DataRegularSeason20242025!$R$2:$R$1315,1)</f>
        <v>0</v>
      </c>
      <c r="AL58" s="39"/>
      <c r="AM58" s="38">
        <f>COUNTIFS(DataRegularSeason20242025!$E$2:$E$1315,WatchedGames20242025!$A57,DataRegularSeason20242025!$D$2:$D$1315,WatchedGames20242025!AM$1,DataRegularSeason20242025!$N$2:$N$1315,1, DataRegularSeason20242025!$R$2:$R$1315,1)</f>
        <v>0</v>
      </c>
      <c r="AN58" s="39"/>
      <c r="AO58" s="38">
        <f>COUNTIFS(DataRegularSeason20242025!$E$2:$E$1315,WatchedGames20242025!$A57,DataRegularSeason20242025!$D$2:$D$1315,WatchedGames20242025!AO$1,DataRegularSeason20242025!$N$2:$N$1315,1, DataRegularSeason20242025!$R$2:$R$1315,1)</f>
        <v>0</v>
      </c>
      <c r="AP58" s="39"/>
      <c r="AQ58" s="38">
        <f>COUNTIFS(DataRegularSeason20242025!$E$2:$E$1315,WatchedGames20242025!$A57,DataRegularSeason20242025!$D$2:$D$1315,WatchedGames20242025!AQ$1,DataRegularSeason20242025!$N$2:$N$1315,1, DataRegularSeason20242025!$R$2:$R$1315,1)</f>
        <v>0</v>
      </c>
      <c r="AR58" s="39"/>
      <c r="AS58" s="38">
        <f>COUNTIFS(DataRegularSeason20242025!$E$2:$E$1315,WatchedGames20242025!$A57,DataRegularSeason20242025!$D$2:$D$1315,WatchedGames20242025!AS$1,DataRegularSeason20242025!$N$2:$N$1315,1, DataRegularSeason20242025!$R$2:$R$1315,1)</f>
        <v>0</v>
      </c>
      <c r="AT58" s="39"/>
      <c r="AU58" s="38">
        <f>COUNTIFS(DataRegularSeason20242025!$E$2:$E$1315,WatchedGames20242025!$A57,DataRegularSeason20242025!$D$2:$D$1315,WatchedGames20242025!AU$1,DataRegularSeason20242025!$N$2:$N$1315,1, DataRegularSeason20242025!$R$2:$R$1315,1)</f>
        <v>0</v>
      </c>
      <c r="AV58" s="39"/>
      <c r="AW58" s="38">
        <f>COUNTIFS(DataRegularSeason20242025!$E$2:$E$1315,WatchedGames20242025!$A57,DataRegularSeason20242025!$D$2:$D$1315,WatchedGames20242025!AW$1,DataRegularSeason20242025!$N$2:$N$1315,1, DataRegularSeason20242025!$R$2:$R$1315,1)</f>
        <v>1</v>
      </c>
      <c r="AX58" s="39"/>
      <c r="AY58" s="38">
        <f>COUNTIFS(DataRegularSeason20242025!$E$2:$E$1315,WatchedGames20242025!$A57,DataRegularSeason20242025!$D$2:$D$1315,WatchedGames20242025!AY$1,DataRegularSeason20242025!$N$2:$N$1315,1, DataRegularSeason20242025!$R$2:$R$1315,1)</f>
        <v>0</v>
      </c>
      <c r="AZ58" s="39"/>
      <c r="BA58" s="38">
        <f>COUNTIFS(DataRegularSeason20242025!$E$2:$E$1315,WatchedGames20242025!$A57,DataRegularSeason20242025!$D$2:$D$1315,WatchedGames20242025!BA$1,DataRegularSeason20242025!$N$2:$N$1315,1, DataRegularSeason20242025!$R$2:$R$1315,1)</f>
        <v>0</v>
      </c>
      <c r="BB58" s="39"/>
      <c r="BC58" s="38">
        <f>COUNTIFS(DataRegularSeason20242025!$E$2:$E$1315,WatchedGames20242025!$A57,DataRegularSeason20242025!$D$2:$D$1315,WatchedGames20242025!BC$1,DataRegularSeason20242025!$N$2:$N$1315,1, DataRegularSeason20242025!$R$2:$R$1315,1)</f>
        <v>0</v>
      </c>
      <c r="BD58" s="39"/>
      <c r="BE58" s="38"/>
      <c r="BF58" s="39"/>
      <c r="BG58" s="38">
        <f>COUNTIFS(DataRegularSeason20242025!$E$2:$E$1315,WatchedGames20242025!$A57,DataRegularSeason20242025!$D$2:$D$1315,WatchedGames20242025!BG$1,DataRegularSeason20242025!$N$2:$N$1315,1, DataRegularSeason20242025!$R$2:$R$1315,1)</f>
        <v>0</v>
      </c>
      <c r="BH58" s="39"/>
      <c r="BI58" s="38">
        <f>COUNTIFS(DataRegularSeason20242025!$E$2:$E$1315,WatchedGames20242025!$A57,DataRegularSeason20242025!$D$2:$D$1315,WatchedGames20242025!BI$1,DataRegularSeason20242025!$N$2:$N$1315,1, DataRegularSeason20242025!$R$2:$R$1315,1)</f>
        <v>0</v>
      </c>
      <c r="BJ58" s="39"/>
      <c r="BK58" s="38">
        <f>COUNTIFS(DataRegularSeason20242025!$E$2:$E$1315,WatchedGames20242025!$A57,DataRegularSeason20242025!$D$2:$D$1315,WatchedGames20242025!BK$1,DataRegularSeason20242025!$N$2:$N$1315,1, DataRegularSeason20242025!$R$2:$R$1315,1)</f>
        <v>0</v>
      </c>
      <c r="BL58" s="39"/>
      <c r="BM58" s="38">
        <f>COUNTIFS(DataRegularSeason20242025!$E$2:$E$1315,WatchedGames20242025!$A57,DataRegularSeason20242025!$D$2:$D$1315,WatchedGames20242025!BM$1,DataRegularSeason20242025!$N$2:$N$1315,1, DataRegularSeason20242025!$R$2:$R$1315,1)</f>
        <v>0</v>
      </c>
      <c r="BN58" s="39"/>
      <c r="BO58" s="34">
        <f t="shared" si="1"/>
        <v>4</v>
      </c>
      <c r="BP58" s="165"/>
      <c r="BQ58" s="166"/>
      <c r="BR58" s="173"/>
    </row>
    <row r="59" spans="1:70" s="27" customFormat="1" ht="9.9499999999999993" customHeight="1" x14ac:dyDescent="0.2">
      <c r="A59" s="172" t="s">
        <v>24</v>
      </c>
      <c r="B59" s="28" t="s">
        <v>74</v>
      </c>
      <c r="C59" s="35"/>
      <c r="D59" s="28">
        <f>COUNTIFS(DataRegularSeason20242025!$E$2:$E$1315,WatchedGames20242025!C$1,DataRegularSeason20242025!$D$2:$D$1315,WatchedGames20242025!$A59,DataRegularSeason20242025!$N$2:$N$1315,1, DataRegularSeason20242025!$R$2:$R$1315,1)</f>
        <v>0</v>
      </c>
      <c r="E59" s="35"/>
      <c r="F59" s="28">
        <f>COUNTIFS(DataRegularSeason20242025!$E$2:$E$1315,WatchedGames20242025!E$1,DataRegularSeason20242025!$D$2:$D$1315,WatchedGames20242025!$A59,DataRegularSeason20242025!$N$2:$N$1315,1, DataRegularSeason20242025!$R$2:$R$1315,1)</f>
        <v>0</v>
      </c>
      <c r="G59" s="35"/>
      <c r="H59" s="28">
        <f>COUNTIFS(DataRegularSeason20242025!$E$2:$E$1315,WatchedGames20242025!G$1,DataRegularSeason20242025!$D$2:$D$1315,WatchedGames20242025!$A59,DataRegularSeason20242025!$N$2:$N$1315,1, DataRegularSeason20242025!$R$2:$R$1315,1)</f>
        <v>0</v>
      </c>
      <c r="I59" s="35"/>
      <c r="J59" s="28">
        <f>COUNTIFS(DataRegularSeason20242025!$E$2:$E$1315,WatchedGames20242025!I$1,DataRegularSeason20242025!$D$2:$D$1315,WatchedGames20242025!$A59,DataRegularSeason20242025!$N$2:$N$1315,1, DataRegularSeason20242025!$R$2:$R$1315,1)</f>
        <v>0</v>
      </c>
      <c r="K59" s="35"/>
      <c r="L59" s="28">
        <f>COUNTIFS(DataRegularSeason20242025!$E$2:$E$1315,WatchedGames20242025!K$1,DataRegularSeason20242025!$D$2:$D$1315,WatchedGames20242025!$A59,DataRegularSeason20242025!$N$2:$N$1315,1, DataRegularSeason20242025!$R$2:$R$1315,1)</f>
        <v>0</v>
      </c>
      <c r="M59" s="35"/>
      <c r="N59" s="28">
        <f>COUNTIFS(DataRegularSeason20242025!$E$2:$E$1315,WatchedGames20242025!M$1,DataRegularSeason20242025!$D$2:$D$1315,WatchedGames20242025!$A59,DataRegularSeason20242025!$N$2:$N$1315,1, DataRegularSeason20242025!$R$2:$R$1315,1)</f>
        <v>0</v>
      </c>
      <c r="O59" s="35"/>
      <c r="P59" s="28">
        <f>COUNTIFS(DataRegularSeason20242025!$E$2:$E$1315,WatchedGames20242025!O$1,DataRegularSeason20242025!$D$2:$D$1315,WatchedGames20242025!$A59,DataRegularSeason20242025!$N$2:$N$1315,1, DataRegularSeason20242025!$R$2:$R$1315,1)</f>
        <v>1</v>
      </c>
      <c r="Q59" s="35"/>
      <c r="R59" s="28">
        <f>COUNTIFS(DataRegularSeason20242025!$E$2:$E$1315,WatchedGames20242025!Q$1,DataRegularSeason20242025!$D$2:$D$1315,WatchedGames20242025!$A59,DataRegularSeason20242025!$N$2:$N$1315,1, DataRegularSeason20242025!$R$2:$R$1315,1)</f>
        <v>0</v>
      </c>
      <c r="S59" s="35"/>
      <c r="T59" s="28">
        <f>COUNTIFS(DataRegularSeason20242025!$E$2:$E$1315,WatchedGames20242025!S$1,DataRegularSeason20242025!$D$2:$D$1315,WatchedGames20242025!$A59,DataRegularSeason20242025!$N$2:$N$1315,1, DataRegularSeason20242025!$R$2:$R$1315,1)</f>
        <v>1</v>
      </c>
      <c r="U59" s="35"/>
      <c r="V59" s="28">
        <f>COUNTIFS(DataRegularSeason20242025!$E$2:$E$1315,WatchedGames20242025!U$1,DataRegularSeason20242025!$D$2:$D$1315,WatchedGames20242025!$A59,DataRegularSeason20242025!$N$2:$N$1315,1, DataRegularSeason20242025!$R$2:$R$1315,1)</f>
        <v>0</v>
      </c>
      <c r="W59" s="35"/>
      <c r="X59" s="28">
        <f>COUNTIFS(DataRegularSeason20242025!$E$2:$E$1315,WatchedGames20242025!W$1,DataRegularSeason20242025!$D$2:$D$1315,WatchedGames20242025!$A59,DataRegularSeason20242025!$N$2:$N$1315,1, DataRegularSeason20242025!$R$2:$R$1315,1)</f>
        <v>1</v>
      </c>
      <c r="Y59" s="35"/>
      <c r="Z59" s="28">
        <f>COUNTIFS(DataRegularSeason20242025!$E$2:$E$1315,WatchedGames20242025!Y$1,DataRegularSeason20242025!$D$2:$D$1315,WatchedGames20242025!$A59,DataRegularSeason20242025!$N$2:$N$1315,1, DataRegularSeason20242025!$R$2:$R$1315,1)</f>
        <v>0</v>
      </c>
      <c r="AA59" s="35"/>
      <c r="AB59" s="28">
        <f>COUNTIFS(DataRegularSeason20242025!$E$2:$E$1315,WatchedGames20242025!AA$1,DataRegularSeason20242025!$D$2:$D$1315,WatchedGames20242025!$A59,DataRegularSeason20242025!$N$2:$N$1315,1, DataRegularSeason20242025!$R$2:$R$1315,1)</f>
        <v>0</v>
      </c>
      <c r="AC59" s="35"/>
      <c r="AD59" s="28">
        <f>COUNTIFS(DataRegularSeason20242025!$E$2:$E$1315,WatchedGames20242025!AC$1,DataRegularSeason20242025!$D$2:$D$1315,WatchedGames20242025!$A59,DataRegularSeason20242025!$N$2:$N$1315,1, DataRegularSeason20242025!$R$2:$R$1315,1)</f>
        <v>0</v>
      </c>
      <c r="AE59" s="35"/>
      <c r="AF59" s="28">
        <f>COUNTIFS(DataRegularSeason20242025!$E$2:$E$1315,WatchedGames20242025!AE$1,DataRegularSeason20242025!$D$2:$D$1315,WatchedGames20242025!$A59,DataRegularSeason20242025!$N$2:$N$1315,1, DataRegularSeason20242025!$R$2:$R$1315,1)</f>
        <v>0</v>
      </c>
      <c r="AG59" s="35"/>
      <c r="AH59" s="28">
        <f>COUNTIFS(DataRegularSeason20242025!$E$2:$E$1315,WatchedGames20242025!AG$1,DataRegularSeason20242025!$D$2:$D$1315,WatchedGames20242025!$A59,DataRegularSeason20242025!$N$2:$N$1315,1, DataRegularSeason20242025!$R$2:$R$1315,1)</f>
        <v>0</v>
      </c>
      <c r="AI59" s="35"/>
      <c r="AJ59" s="28">
        <f>COUNTIFS(DataRegularSeason20242025!$E$2:$E$1315,WatchedGames20242025!AI$1,DataRegularSeason20242025!$D$2:$D$1315,WatchedGames20242025!$A59,DataRegularSeason20242025!$N$2:$N$1315,1, DataRegularSeason20242025!$R$2:$R$1315,1)</f>
        <v>0</v>
      </c>
      <c r="AK59" s="35"/>
      <c r="AL59" s="28">
        <f>COUNTIFS(DataRegularSeason20242025!$E$2:$E$1315,WatchedGames20242025!AK$1,DataRegularSeason20242025!$D$2:$D$1315,WatchedGames20242025!$A59,DataRegularSeason20242025!$N$2:$N$1315,1, DataRegularSeason20242025!$R$2:$R$1315,1)</f>
        <v>0</v>
      </c>
      <c r="AM59" s="35"/>
      <c r="AN59" s="28">
        <f>COUNTIFS(DataRegularSeason20242025!$E$2:$E$1315,WatchedGames20242025!AM$1,DataRegularSeason20242025!$D$2:$D$1315,WatchedGames20242025!$A59,DataRegularSeason20242025!$N$2:$N$1315,1, DataRegularSeason20242025!$R$2:$R$1315,1)</f>
        <v>0</v>
      </c>
      <c r="AO59" s="35"/>
      <c r="AP59" s="28">
        <f>COUNTIFS(DataRegularSeason20242025!$E$2:$E$1315,WatchedGames20242025!AO$1,DataRegularSeason20242025!$D$2:$D$1315,WatchedGames20242025!$A59,DataRegularSeason20242025!$N$2:$N$1315,1, DataRegularSeason20242025!$R$2:$R$1315,1)</f>
        <v>0</v>
      </c>
      <c r="AQ59" s="35"/>
      <c r="AR59" s="28">
        <f>COUNTIFS(DataRegularSeason20242025!$E$2:$E$1315,WatchedGames20242025!AQ$1,DataRegularSeason20242025!$D$2:$D$1315,WatchedGames20242025!$A59,DataRegularSeason20242025!$N$2:$N$1315,1, DataRegularSeason20242025!$R$2:$R$1315,1)</f>
        <v>0</v>
      </c>
      <c r="AS59" s="35"/>
      <c r="AT59" s="28">
        <f>COUNTIFS(DataRegularSeason20242025!$E$2:$E$1315,WatchedGames20242025!AS$1,DataRegularSeason20242025!$D$2:$D$1315,WatchedGames20242025!$A59,DataRegularSeason20242025!$N$2:$N$1315,1, DataRegularSeason20242025!$R$2:$R$1315,1)</f>
        <v>1</v>
      </c>
      <c r="AU59" s="35"/>
      <c r="AV59" s="28">
        <f>COUNTIFS(DataRegularSeason20242025!$E$2:$E$1315,WatchedGames20242025!AU$1,DataRegularSeason20242025!$D$2:$D$1315,WatchedGames20242025!$A59,DataRegularSeason20242025!$N$2:$N$1315,1, DataRegularSeason20242025!$R$2:$R$1315,1)</f>
        <v>0</v>
      </c>
      <c r="AW59" s="35"/>
      <c r="AX59" s="28">
        <f>COUNTIFS(DataRegularSeason20242025!$E$2:$E$1315,WatchedGames20242025!AW$1,DataRegularSeason20242025!$D$2:$D$1315,WatchedGames20242025!$A59,DataRegularSeason20242025!$N$2:$N$1315,1, DataRegularSeason20242025!$R$2:$R$1315,1)</f>
        <v>0</v>
      </c>
      <c r="AY59" s="35"/>
      <c r="AZ59" s="28">
        <f>COUNTIFS(DataRegularSeason20242025!$E$2:$E$1315,WatchedGames20242025!AY$1,DataRegularSeason20242025!$D$2:$D$1315,WatchedGames20242025!$A59,DataRegularSeason20242025!$N$2:$N$1315,1, DataRegularSeason20242025!$R$2:$R$1315,1)</f>
        <v>0</v>
      </c>
      <c r="BA59" s="35"/>
      <c r="BB59" s="28">
        <f>COUNTIFS(DataRegularSeason20242025!$E$2:$E$1315,WatchedGames20242025!BA$1,DataRegularSeason20242025!$D$2:$D$1315,WatchedGames20242025!$A59,DataRegularSeason20242025!$N$2:$N$1315,1, DataRegularSeason20242025!$R$2:$R$1315,1)</f>
        <v>0</v>
      </c>
      <c r="BC59" s="35"/>
      <c r="BD59" s="28">
        <f>COUNTIFS(DataRegularSeason20242025!$E$2:$E$1315,WatchedGames20242025!BC$1,DataRegularSeason20242025!$D$2:$D$1315,WatchedGames20242025!$A59,DataRegularSeason20242025!$N$2:$N$1315,1, DataRegularSeason20242025!$R$2:$R$1315,1)</f>
        <v>0</v>
      </c>
      <c r="BE59" s="35"/>
      <c r="BF59" s="28">
        <f>COUNTIFS(DataRegularSeason20242025!$E$2:$E$1315,WatchedGames20242025!BE$1,DataRegularSeason20242025!$D$2:$D$1315,WatchedGames20242025!$A59,DataRegularSeason20242025!$N$2:$N$1315,1, DataRegularSeason20242025!$R$2:$R$1315,1)</f>
        <v>0</v>
      </c>
      <c r="BG59" s="35"/>
      <c r="BH59" s="36"/>
      <c r="BI59" s="35"/>
      <c r="BJ59" s="28">
        <f>COUNTIFS(DataRegularSeason20242025!$E$2:$E$1315,WatchedGames20242025!BI$1,DataRegularSeason20242025!$D$2:$D$1315,WatchedGames20242025!$A59,DataRegularSeason20242025!$N$2:$N$1315,1, DataRegularSeason20242025!$R$2:$R$1315,1)</f>
        <v>0</v>
      </c>
      <c r="BK59" s="35"/>
      <c r="BL59" s="28">
        <f>COUNTIFS(DataRegularSeason20242025!$E$2:$E$1315,WatchedGames20242025!BK$1,DataRegularSeason20242025!$D$2:$D$1315,WatchedGames20242025!$A59,DataRegularSeason20242025!$N$2:$N$1315,1, DataRegularSeason20242025!$R$2:$R$1315,1)</f>
        <v>0</v>
      </c>
      <c r="BM59" s="35"/>
      <c r="BN59" s="28">
        <f>COUNTIFS(DataRegularSeason20242025!$E$2:$E$1315,WatchedGames20242025!BM$1,DataRegularSeason20242025!$D$2:$D$1315,WatchedGames20242025!$A59,DataRegularSeason20242025!$N$2:$N$1315,1, DataRegularSeason20242025!$R$2:$R$1315,1)</f>
        <v>0</v>
      </c>
      <c r="BO59" s="30">
        <f t="shared" si="1"/>
        <v>4</v>
      </c>
      <c r="BP59" s="165">
        <f t="shared" ref="BP59" si="56">BO59+BO60</f>
        <v>6</v>
      </c>
      <c r="BQ59" s="166">
        <f t="shared" ref="BQ59" si="57">82-BP59</f>
        <v>76</v>
      </c>
      <c r="BR59" s="173">
        <f t="shared" si="0"/>
        <v>7.3170731707317069E-2</v>
      </c>
    </row>
    <row r="60" spans="1:70" s="27" customFormat="1" ht="9.9499999999999993" customHeight="1" x14ac:dyDescent="0.2">
      <c r="A60" s="167"/>
      <c r="B60" s="32" t="s">
        <v>73</v>
      </c>
      <c r="C60" s="38">
        <f>COUNTIFS(DataRegularSeason20242025!$E$2:$E$1315,WatchedGames20242025!$A59,DataRegularSeason20242025!$D$2:$D$1315,WatchedGames20242025!C$1,DataRegularSeason20242025!$N$2:$N$1315,1, DataRegularSeason20242025!$R$2:$R$1315,1)</f>
        <v>0</v>
      </c>
      <c r="D60" s="39"/>
      <c r="E60" s="38">
        <f>COUNTIFS(DataRegularSeason20242025!$E$2:$E$1315,WatchedGames20242025!$A59,DataRegularSeason20242025!$D$2:$D$1315,WatchedGames20242025!E$1,DataRegularSeason20242025!$N$2:$N$1315,1, DataRegularSeason20242025!$R$2:$R$1315,1)</f>
        <v>0</v>
      </c>
      <c r="F60" s="39"/>
      <c r="G60" s="38">
        <f>COUNTIFS(DataRegularSeason20242025!$E$2:$E$1315,WatchedGames20242025!$A59,DataRegularSeason20242025!$D$2:$D$1315,WatchedGames20242025!G$1,DataRegularSeason20242025!$N$2:$N$1315,1, DataRegularSeason20242025!$R$2:$R$1315,1)</f>
        <v>0</v>
      </c>
      <c r="H60" s="39"/>
      <c r="I60" s="38">
        <f>COUNTIFS(DataRegularSeason20242025!$E$2:$E$1315,WatchedGames20242025!$A59,DataRegularSeason20242025!$D$2:$D$1315,WatchedGames20242025!I$1,DataRegularSeason20242025!$N$2:$N$1315,1, DataRegularSeason20242025!$R$2:$R$1315,1)</f>
        <v>0</v>
      </c>
      <c r="J60" s="39"/>
      <c r="K60" s="38">
        <f>COUNTIFS(DataRegularSeason20242025!$E$2:$E$1315,WatchedGames20242025!$A59,DataRegularSeason20242025!$D$2:$D$1315,WatchedGames20242025!K$1,DataRegularSeason20242025!$N$2:$N$1315,1, DataRegularSeason20242025!$R$2:$R$1315,1)</f>
        <v>0</v>
      </c>
      <c r="L60" s="39"/>
      <c r="M60" s="38">
        <f>COUNTIFS(DataRegularSeason20242025!$E$2:$E$1315,WatchedGames20242025!$A59,DataRegularSeason20242025!$D$2:$D$1315,WatchedGames20242025!M$1,DataRegularSeason20242025!$N$2:$N$1315,1, DataRegularSeason20242025!$R$2:$R$1315,1)</f>
        <v>1</v>
      </c>
      <c r="N60" s="39"/>
      <c r="O60" s="38">
        <f>COUNTIFS(DataRegularSeason20242025!$E$2:$E$1315,WatchedGames20242025!$A59,DataRegularSeason20242025!$D$2:$D$1315,WatchedGames20242025!O$1,DataRegularSeason20242025!$N$2:$N$1315,1, DataRegularSeason20242025!$R$2:$R$1315,1)</f>
        <v>0</v>
      </c>
      <c r="P60" s="39"/>
      <c r="Q60" s="38">
        <f>COUNTIFS(DataRegularSeason20242025!$E$2:$E$1315,WatchedGames20242025!$A59,DataRegularSeason20242025!$D$2:$D$1315,WatchedGames20242025!Q$1,DataRegularSeason20242025!$N$2:$N$1315,1, DataRegularSeason20242025!$R$2:$R$1315,1)</f>
        <v>0</v>
      </c>
      <c r="R60" s="39"/>
      <c r="S60" s="38">
        <f>COUNTIFS(DataRegularSeason20242025!$E$2:$E$1315,WatchedGames20242025!$A59,DataRegularSeason20242025!$D$2:$D$1315,WatchedGames20242025!S$1,DataRegularSeason20242025!$N$2:$N$1315,1, DataRegularSeason20242025!$R$2:$R$1315,1)</f>
        <v>0</v>
      </c>
      <c r="T60" s="39"/>
      <c r="U60" s="38">
        <f>COUNTIFS(DataRegularSeason20242025!$E$2:$E$1315,WatchedGames20242025!$A59,DataRegularSeason20242025!$D$2:$D$1315,WatchedGames20242025!U$1,DataRegularSeason20242025!$N$2:$N$1315,1, DataRegularSeason20242025!$R$2:$R$1315,1)</f>
        <v>0</v>
      </c>
      <c r="V60" s="39"/>
      <c r="W60" s="38">
        <f>COUNTIFS(DataRegularSeason20242025!$E$2:$E$1315,WatchedGames20242025!$A59,DataRegularSeason20242025!$D$2:$D$1315,WatchedGames20242025!W$1,DataRegularSeason20242025!$N$2:$N$1315,1, DataRegularSeason20242025!$R$2:$R$1315,1)</f>
        <v>0</v>
      </c>
      <c r="X60" s="39"/>
      <c r="Y60" s="38">
        <f>COUNTIFS(DataRegularSeason20242025!$E$2:$E$1315,WatchedGames20242025!$A59,DataRegularSeason20242025!$D$2:$D$1315,WatchedGames20242025!Y$1,DataRegularSeason20242025!$N$2:$N$1315,1, DataRegularSeason20242025!$R$2:$R$1315,1)</f>
        <v>0</v>
      </c>
      <c r="Z60" s="39"/>
      <c r="AA60" s="38">
        <f>COUNTIFS(DataRegularSeason20242025!$E$2:$E$1315,WatchedGames20242025!$A59,DataRegularSeason20242025!$D$2:$D$1315,WatchedGames20242025!AA$1,DataRegularSeason20242025!$N$2:$N$1315,1, DataRegularSeason20242025!$R$2:$R$1315,1)</f>
        <v>0</v>
      </c>
      <c r="AB60" s="39"/>
      <c r="AC60" s="38">
        <f>COUNTIFS(DataRegularSeason20242025!$E$2:$E$1315,WatchedGames20242025!$A59,DataRegularSeason20242025!$D$2:$D$1315,WatchedGames20242025!AC$1,DataRegularSeason20242025!$N$2:$N$1315,1, DataRegularSeason20242025!$R$2:$R$1315,1)</f>
        <v>0</v>
      </c>
      <c r="AD60" s="39"/>
      <c r="AE60" s="38">
        <f>COUNTIFS(DataRegularSeason20242025!$E$2:$E$1315,WatchedGames20242025!$A59,DataRegularSeason20242025!$D$2:$D$1315,WatchedGames20242025!AE$1,DataRegularSeason20242025!$N$2:$N$1315,1, DataRegularSeason20242025!$R$2:$R$1315,1)</f>
        <v>0</v>
      </c>
      <c r="AF60" s="39"/>
      <c r="AG60" s="38">
        <f>COUNTIFS(DataRegularSeason20242025!$E$2:$E$1315,WatchedGames20242025!$A59,DataRegularSeason20242025!$D$2:$D$1315,WatchedGames20242025!AG$1,DataRegularSeason20242025!$N$2:$N$1315,1, DataRegularSeason20242025!$R$2:$R$1315,1)</f>
        <v>0</v>
      </c>
      <c r="AH60" s="39"/>
      <c r="AI60" s="38">
        <f>COUNTIFS(DataRegularSeason20242025!$E$2:$E$1315,WatchedGames20242025!$A59,DataRegularSeason20242025!$D$2:$D$1315,WatchedGames20242025!AI$1,DataRegularSeason20242025!$N$2:$N$1315,1, DataRegularSeason20242025!$R$2:$R$1315,1)</f>
        <v>0</v>
      </c>
      <c r="AJ60" s="39"/>
      <c r="AK60" s="38">
        <f>COUNTIFS(DataRegularSeason20242025!$E$2:$E$1315,WatchedGames20242025!$A59,DataRegularSeason20242025!$D$2:$D$1315,WatchedGames20242025!AK$1,DataRegularSeason20242025!$N$2:$N$1315,1, DataRegularSeason20242025!$R$2:$R$1315,1)</f>
        <v>0</v>
      </c>
      <c r="AL60" s="39"/>
      <c r="AM60" s="38">
        <f>COUNTIFS(DataRegularSeason20242025!$E$2:$E$1315,WatchedGames20242025!$A59,DataRegularSeason20242025!$D$2:$D$1315,WatchedGames20242025!AM$1,DataRegularSeason20242025!$N$2:$N$1315,1, DataRegularSeason20242025!$R$2:$R$1315,1)</f>
        <v>0</v>
      </c>
      <c r="AN60" s="39"/>
      <c r="AO60" s="38">
        <f>COUNTIFS(DataRegularSeason20242025!$E$2:$E$1315,WatchedGames20242025!$A59,DataRegularSeason20242025!$D$2:$D$1315,WatchedGames20242025!AO$1,DataRegularSeason20242025!$N$2:$N$1315,1, DataRegularSeason20242025!$R$2:$R$1315,1)</f>
        <v>0</v>
      </c>
      <c r="AP60" s="39"/>
      <c r="AQ60" s="38">
        <f>COUNTIFS(DataRegularSeason20242025!$E$2:$E$1315,WatchedGames20242025!$A59,DataRegularSeason20242025!$D$2:$D$1315,WatchedGames20242025!AQ$1,DataRegularSeason20242025!$N$2:$N$1315,1, DataRegularSeason20242025!$R$2:$R$1315,1)</f>
        <v>0</v>
      </c>
      <c r="AR60" s="39"/>
      <c r="AS60" s="38">
        <f>COUNTIFS(DataRegularSeason20242025!$E$2:$E$1315,WatchedGames20242025!$A59,DataRegularSeason20242025!$D$2:$D$1315,WatchedGames20242025!AS$1,DataRegularSeason20242025!$N$2:$N$1315,1, DataRegularSeason20242025!$R$2:$R$1315,1)</f>
        <v>0</v>
      </c>
      <c r="AT60" s="39"/>
      <c r="AU60" s="38">
        <f>COUNTIFS(DataRegularSeason20242025!$E$2:$E$1315,WatchedGames20242025!$A59,DataRegularSeason20242025!$D$2:$D$1315,WatchedGames20242025!AU$1,DataRegularSeason20242025!$N$2:$N$1315,1, DataRegularSeason20242025!$R$2:$R$1315,1)</f>
        <v>0</v>
      </c>
      <c r="AV60" s="39"/>
      <c r="AW60" s="38">
        <f>COUNTIFS(DataRegularSeason20242025!$E$2:$E$1315,WatchedGames20242025!$A59,DataRegularSeason20242025!$D$2:$D$1315,WatchedGames20242025!AW$1,DataRegularSeason20242025!$N$2:$N$1315,1, DataRegularSeason20242025!$R$2:$R$1315,1)</f>
        <v>0</v>
      </c>
      <c r="AX60" s="39"/>
      <c r="AY60" s="38">
        <f>COUNTIFS(DataRegularSeason20242025!$E$2:$E$1315,WatchedGames20242025!$A59,DataRegularSeason20242025!$D$2:$D$1315,WatchedGames20242025!AY$1,DataRegularSeason20242025!$N$2:$N$1315,1, DataRegularSeason20242025!$R$2:$R$1315,1)</f>
        <v>1</v>
      </c>
      <c r="AZ60" s="39"/>
      <c r="BA60" s="38">
        <f>COUNTIFS(DataRegularSeason20242025!$E$2:$E$1315,WatchedGames20242025!$A59,DataRegularSeason20242025!$D$2:$D$1315,WatchedGames20242025!BA$1,DataRegularSeason20242025!$N$2:$N$1315,1, DataRegularSeason20242025!$R$2:$R$1315,1)</f>
        <v>0</v>
      </c>
      <c r="BB60" s="39"/>
      <c r="BC60" s="38">
        <f>COUNTIFS(DataRegularSeason20242025!$E$2:$E$1315,WatchedGames20242025!$A59,DataRegularSeason20242025!$D$2:$D$1315,WatchedGames20242025!BC$1,DataRegularSeason20242025!$N$2:$N$1315,1, DataRegularSeason20242025!$R$2:$R$1315,1)</f>
        <v>0</v>
      </c>
      <c r="BD60" s="39"/>
      <c r="BE60" s="38">
        <f>COUNTIFS(DataRegularSeason20242025!$E$2:$E$1315,WatchedGames20242025!$A59,DataRegularSeason20242025!$D$2:$D$1315,WatchedGames20242025!BE$1,DataRegularSeason20242025!$N$2:$N$1315,1, DataRegularSeason20242025!$R$2:$R$1315,1)</f>
        <v>0</v>
      </c>
      <c r="BF60" s="39"/>
      <c r="BG60" s="38"/>
      <c r="BH60" s="39"/>
      <c r="BI60" s="38">
        <f>COUNTIFS(DataRegularSeason20242025!$E$2:$E$1315,WatchedGames20242025!$A59,DataRegularSeason20242025!$D$2:$D$1315,WatchedGames20242025!BI$1,DataRegularSeason20242025!$N$2:$N$1315,1, DataRegularSeason20242025!$R$2:$R$1315,1)</f>
        <v>0</v>
      </c>
      <c r="BJ60" s="39"/>
      <c r="BK60" s="38">
        <f>COUNTIFS(DataRegularSeason20242025!$E$2:$E$1315,WatchedGames20242025!$A59,DataRegularSeason20242025!$D$2:$D$1315,WatchedGames20242025!BK$1,DataRegularSeason20242025!$N$2:$N$1315,1, DataRegularSeason20242025!$R$2:$R$1315,1)</f>
        <v>0</v>
      </c>
      <c r="BL60" s="39"/>
      <c r="BM60" s="38">
        <f>COUNTIFS(DataRegularSeason20242025!$E$2:$E$1315,WatchedGames20242025!$A59,DataRegularSeason20242025!$D$2:$D$1315,WatchedGames20242025!BM$1,DataRegularSeason20242025!$N$2:$N$1315,1, DataRegularSeason20242025!$R$2:$R$1315,1)</f>
        <v>0</v>
      </c>
      <c r="BN60" s="39"/>
      <c r="BO60" s="34">
        <f t="shared" si="1"/>
        <v>2</v>
      </c>
      <c r="BP60" s="165"/>
      <c r="BQ60" s="166"/>
      <c r="BR60" s="173"/>
    </row>
    <row r="61" spans="1:70" s="27" customFormat="1" ht="9.9499999999999993" customHeight="1" x14ac:dyDescent="0.2">
      <c r="A61" s="172" t="s">
        <v>26</v>
      </c>
      <c r="B61" s="28" t="s">
        <v>74</v>
      </c>
      <c r="C61" s="35"/>
      <c r="D61" s="28">
        <f>COUNTIFS(DataRegularSeason20242025!$E$2:$E$1315,WatchedGames20242025!C$1,DataRegularSeason20242025!$D$2:$D$1315,WatchedGames20242025!$A61,DataRegularSeason20242025!$N$2:$N$1315,1, DataRegularSeason20242025!$R$2:$R$1315,1)</f>
        <v>0</v>
      </c>
      <c r="E61" s="35"/>
      <c r="F61" s="28">
        <f>COUNTIFS(DataRegularSeason20242025!$E$2:$E$1315,WatchedGames20242025!E$1,DataRegularSeason20242025!$D$2:$D$1315,WatchedGames20242025!$A61,DataRegularSeason20242025!$N$2:$N$1315,1, DataRegularSeason20242025!$R$2:$R$1315,1)</f>
        <v>0</v>
      </c>
      <c r="G61" s="35"/>
      <c r="H61" s="28">
        <f>COUNTIFS(DataRegularSeason20242025!$E$2:$E$1315,WatchedGames20242025!G$1,DataRegularSeason20242025!$D$2:$D$1315,WatchedGames20242025!$A61,DataRegularSeason20242025!$N$2:$N$1315,1, DataRegularSeason20242025!$R$2:$R$1315,1)</f>
        <v>0</v>
      </c>
      <c r="I61" s="35"/>
      <c r="J61" s="28">
        <f>COUNTIFS(DataRegularSeason20242025!$E$2:$E$1315,WatchedGames20242025!I$1,DataRegularSeason20242025!$D$2:$D$1315,WatchedGames20242025!$A61,DataRegularSeason20242025!$N$2:$N$1315,1, DataRegularSeason20242025!$R$2:$R$1315,1)</f>
        <v>0</v>
      </c>
      <c r="K61" s="35"/>
      <c r="L61" s="28">
        <f>COUNTIFS(DataRegularSeason20242025!$E$2:$E$1315,WatchedGames20242025!K$1,DataRegularSeason20242025!$D$2:$D$1315,WatchedGames20242025!$A61,DataRegularSeason20242025!$N$2:$N$1315,1, DataRegularSeason20242025!$R$2:$R$1315,1)</f>
        <v>0</v>
      </c>
      <c r="M61" s="35"/>
      <c r="N61" s="28">
        <f>COUNTIFS(DataRegularSeason20242025!$E$2:$E$1315,WatchedGames20242025!M$1,DataRegularSeason20242025!$D$2:$D$1315,WatchedGames20242025!$A61,DataRegularSeason20242025!$N$2:$N$1315,1, DataRegularSeason20242025!$R$2:$R$1315,1)</f>
        <v>1</v>
      </c>
      <c r="O61" s="35"/>
      <c r="P61" s="28">
        <f>COUNTIFS(DataRegularSeason20242025!$E$2:$E$1315,WatchedGames20242025!O$1,DataRegularSeason20242025!$D$2:$D$1315,WatchedGames20242025!$A61,DataRegularSeason20242025!$N$2:$N$1315,1, DataRegularSeason20242025!$R$2:$R$1315,1)</f>
        <v>0</v>
      </c>
      <c r="Q61" s="35"/>
      <c r="R61" s="28">
        <f>COUNTIFS(DataRegularSeason20242025!$E$2:$E$1315,WatchedGames20242025!Q$1,DataRegularSeason20242025!$D$2:$D$1315,WatchedGames20242025!$A61,DataRegularSeason20242025!$N$2:$N$1315,1, DataRegularSeason20242025!$R$2:$R$1315,1)</f>
        <v>0</v>
      </c>
      <c r="S61" s="35"/>
      <c r="T61" s="28">
        <f>COUNTIFS(DataRegularSeason20242025!$E$2:$E$1315,WatchedGames20242025!S$1,DataRegularSeason20242025!$D$2:$D$1315,WatchedGames20242025!$A61,DataRegularSeason20242025!$N$2:$N$1315,1, DataRegularSeason20242025!$R$2:$R$1315,1)</f>
        <v>0</v>
      </c>
      <c r="U61" s="35"/>
      <c r="V61" s="28">
        <f>COUNTIFS(DataRegularSeason20242025!$E$2:$E$1315,WatchedGames20242025!U$1,DataRegularSeason20242025!$D$2:$D$1315,WatchedGames20242025!$A61,DataRegularSeason20242025!$N$2:$N$1315,1, DataRegularSeason20242025!$R$2:$R$1315,1)</f>
        <v>0</v>
      </c>
      <c r="W61" s="35"/>
      <c r="X61" s="28">
        <f>COUNTIFS(DataRegularSeason20242025!$E$2:$E$1315,WatchedGames20242025!W$1,DataRegularSeason20242025!$D$2:$D$1315,WatchedGames20242025!$A61,DataRegularSeason20242025!$N$2:$N$1315,1, DataRegularSeason20242025!$R$2:$R$1315,1)</f>
        <v>0</v>
      </c>
      <c r="Y61" s="35"/>
      <c r="Z61" s="28">
        <f>COUNTIFS(DataRegularSeason20242025!$E$2:$E$1315,WatchedGames20242025!Y$1,DataRegularSeason20242025!$D$2:$D$1315,WatchedGames20242025!$A61,DataRegularSeason20242025!$N$2:$N$1315,1, DataRegularSeason20242025!$R$2:$R$1315,1)</f>
        <v>0</v>
      </c>
      <c r="AA61" s="35"/>
      <c r="AB61" s="28">
        <f>COUNTIFS(DataRegularSeason20242025!$E$2:$E$1315,WatchedGames20242025!AA$1,DataRegularSeason20242025!$D$2:$D$1315,WatchedGames20242025!$A61,DataRegularSeason20242025!$N$2:$N$1315,1, DataRegularSeason20242025!$R$2:$R$1315,1)</f>
        <v>0</v>
      </c>
      <c r="AC61" s="35"/>
      <c r="AD61" s="28">
        <f>COUNTIFS(DataRegularSeason20242025!$E$2:$E$1315,WatchedGames20242025!AC$1,DataRegularSeason20242025!$D$2:$D$1315,WatchedGames20242025!$A61,DataRegularSeason20242025!$N$2:$N$1315,1, DataRegularSeason20242025!$R$2:$R$1315,1)</f>
        <v>0</v>
      </c>
      <c r="AE61" s="35"/>
      <c r="AF61" s="28">
        <f>COUNTIFS(DataRegularSeason20242025!$E$2:$E$1315,WatchedGames20242025!AE$1,DataRegularSeason20242025!$D$2:$D$1315,WatchedGames20242025!$A61,DataRegularSeason20242025!$N$2:$N$1315,1, DataRegularSeason20242025!$R$2:$R$1315,1)</f>
        <v>0</v>
      </c>
      <c r="AG61" s="35"/>
      <c r="AH61" s="28">
        <f>COUNTIFS(DataRegularSeason20242025!$E$2:$E$1315,WatchedGames20242025!AG$1,DataRegularSeason20242025!$D$2:$D$1315,WatchedGames20242025!$A61,DataRegularSeason20242025!$N$2:$N$1315,1, DataRegularSeason20242025!$R$2:$R$1315,1)</f>
        <v>0</v>
      </c>
      <c r="AI61" s="35"/>
      <c r="AJ61" s="28">
        <f>COUNTIFS(DataRegularSeason20242025!$E$2:$E$1315,WatchedGames20242025!AI$1,DataRegularSeason20242025!$D$2:$D$1315,WatchedGames20242025!$A61,DataRegularSeason20242025!$N$2:$N$1315,1, DataRegularSeason20242025!$R$2:$R$1315,1)</f>
        <v>0</v>
      </c>
      <c r="AK61" s="35"/>
      <c r="AL61" s="28">
        <f>COUNTIFS(DataRegularSeason20242025!$E$2:$E$1315,WatchedGames20242025!AK$1,DataRegularSeason20242025!$D$2:$D$1315,WatchedGames20242025!$A61,DataRegularSeason20242025!$N$2:$N$1315,1, DataRegularSeason20242025!$R$2:$R$1315,1)</f>
        <v>0</v>
      </c>
      <c r="AM61" s="35"/>
      <c r="AN61" s="28">
        <f>COUNTIFS(DataRegularSeason20242025!$E$2:$E$1315,WatchedGames20242025!AM$1,DataRegularSeason20242025!$D$2:$D$1315,WatchedGames20242025!$A61,DataRegularSeason20242025!$N$2:$N$1315,1, DataRegularSeason20242025!$R$2:$R$1315,1)</f>
        <v>0</v>
      </c>
      <c r="AO61" s="35"/>
      <c r="AP61" s="28">
        <f>COUNTIFS(DataRegularSeason20242025!$E$2:$E$1315,WatchedGames20242025!AO$1,DataRegularSeason20242025!$D$2:$D$1315,WatchedGames20242025!$A61,DataRegularSeason20242025!$N$2:$N$1315,1, DataRegularSeason20242025!$R$2:$R$1315,1)</f>
        <v>0</v>
      </c>
      <c r="AQ61" s="35"/>
      <c r="AR61" s="28">
        <f>COUNTIFS(DataRegularSeason20242025!$E$2:$E$1315,WatchedGames20242025!AQ$1,DataRegularSeason20242025!$D$2:$D$1315,WatchedGames20242025!$A61,DataRegularSeason20242025!$N$2:$N$1315,1, DataRegularSeason20242025!$R$2:$R$1315,1)</f>
        <v>0</v>
      </c>
      <c r="AS61" s="35"/>
      <c r="AT61" s="28">
        <f>COUNTIFS(DataRegularSeason20242025!$E$2:$E$1315,WatchedGames20242025!AS$1,DataRegularSeason20242025!$D$2:$D$1315,WatchedGames20242025!$A61,DataRegularSeason20242025!$N$2:$N$1315,1, DataRegularSeason20242025!$R$2:$R$1315,1)</f>
        <v>0</v>
      </c>
      <c r="AU61" s="35"/>
      <c r="AV61" s="28">
        <f>COUNTIFS(DataRegularSeason20242025!$E$2:$E$1315,WatchedGames20242025!AU$1,DataRegularSeason20242025!$D$2:$D$1315,WatchedGames20242025!$A61,DataRegularSeason20242025!$N$2:$N$1315,1, DataRegularSeason20242025!$R$2:$R$1315,1)</f>
        <v>0</v>
      </c>
      <c r="AW61" s="35"/>
      <c r="AX61" s="28">
        <f>COUNTIFS(DataRegularSeason20242025!$E$2:$E$1315,WatchedGames20242025!AW$1,DataRegularSeason20242025!$D$2:$D$1315,WatchedGames20242025!$A61,DataRegularSeason20242025!$N$2:$N$1315,1, DataRegularSeason20242025!$R$2:$R$1315,1)</f>
        <v>0</v>
      </c>
      <c r="AY61" s="35"/>
      <c r="AZ61" s="28">
        <f>COUNTIFS(DataRegularSeason20242025!$E$2:$E$1315,WatchedGames20242025!AY$1,DataRegularSeason20242025!$D$2:$D$1315,WatchedGames20242025!$A61,DataRegularSeason20242025!$N$2:$N$1315,1, DataRegularSeason20242025!$R$2:$R$1315,1)</f>
        <v>0</v>
      </c>
      <c r="BA61" s="35"/>
      <c r="BB61" s="28">
        <f>COUNTIFS(DataRegularSeason20242025!$E$2:$E$1315,WatchedGames20242025!BA$1,DataRegularSeason20242025!$D$2:$D$1315,WatchedGames20242025!$A61,DataRegularSeason20242025!$N$2:$N$1315,1, DataRegularSeason20242025!$R$2:$R$1315,1)</f>
        <v>0</v>
      </c>
      <c r="BC61" s="35"/>
      <c r="BD61" s="28">
        <f>COUNTIFS(DataRegularSeason20242025!$E$2:$E$1315,WatchedGames20242025!BC$1,DataRegularSeason20242025!$D$2:$D$1315,WatchedGames20242025!$A61,DataRegularSeason20242025!$N$2:$N$1315,1, DataRegularSeason20242025!$R$2:$R$1315,1)</f>
        <v>0</v>
      </c>
      <c r="BE61" s="35"/>
      <c r="BF61" s="28">
        <f>COUNTIFS(DataRegularSeason20242025!$E$2:$E$1315,WatchedGames20242025!BE$1,DataRegularSeason20242025!$D$2:$D$1315,WatchedGames20242025!$A61,DataRegularSeason20242025!$N$2:$N$1315,1, DataRegularSeason20242025!$R$2:$R$1315,1)</f>
        <v>0</v>
      </c>
      <c r="BG61" s="35"/>
      <c r="BH61" s="28">
        <f>COUNTIFS(DataRegularSeason20242025!$E$2:$E$1315,WatchedGames20242025!BG$1,DataRegularSeason20242025!$D$2:$D$1315,WatchedGames20242025!$A61,DataRegularSeason20242025!$N$2:$N$1315,1, DataRegularSeason20242025!$R$2:$R$1315,1)</f>
        <v>0</v>
      </c>
      <c r="BI61" s="35"/>
      <c r="BJ61" s="36"/>
      <c r="BK61" s="35"/>
      <c r="BL61" s="28">
        <f>COUNTIFS(DataRegularSeason20242025!$E$2:$E$1315,WatchedGames20242025!BK$1,DataRegularSeason20242025!$D$2:$D$1315,WatchedGames20242025!$A61,DataRegularSeason20242025!$N$2:$N$1315,1, DataRegularSeason20242025!$R$2:$R$1315,1)</f>
        <v>0</v>
      </c>
      <c r="BM61" s="35"/>
      <c r="BN61" s="28">
        <f>COUNTIFS(DataRegularSeason20242025!$E$2:$E$1315,WatchedGames20242025!BM$1,DataRegularSeason20242025!$D$2:$D$1315,WatchedGames20242025!$A61,DataRegularSeason20242025!$N$2:$N$1315,1, DataRegularSeason20242025!$R$2:$R$1315,1)</f>
        <v>0</v>
      </c>
      <c r="BO61" s="30">
        <f t="shared" si="1"/>
        <v>1</v>
      </c>
      <c r="BP61" s="165">
        <f t="shared" ref="BP61" si="58">BO61+BO62</f>
        <v>4</v>
      </c>
      <c r="BQ61" s="166">
        <f t="shared" ref="BQ61" si="59">82-BP61</f>
        <v>78</v>
      </c>
      <c r="BR61" s="173">
        <f t="shared" si="0"/>
        <v>4.878048780487805E-2</v>
      </c>
    </row>
    <row r="62" spans="1:70" s="27" customFormat="1" ht="9.9499999999999993" customHeight="1" x14ac:dyDescent="0.2">
      <c r="A62" s="167"/>
      <c r="B62" s="32" t="s">
        <v>73</v>
      </c>
      <c r="C62" s="38">
        <f>COUNTIFS(DataRegularSeason20242025!$E$2:$E$1315,WatchedGames20242025!$A61,DataRegularSeason20242025!$D$2:$D$1315,WatchedGames20242025!C$1,DataRegularSeason20242025!$N$2:$N$1315,1, DataRegularSeason20242025!$R$2:$R$1315,1)</f>
        <v>0</v>
      </c>
      <c r="D62" s="39"/>
      <c r="E62" s="38">
        <f>COUNTIFS(DataRegularSeason20242025!$E$2:$E$1315,WatchedGames20242025!$A61,DataRegularSeason20242025!$D$2:$D$1315,WatchedGames20242025!E$1,DataRegularSeason20242025!$N$2:$N$1315,1, DataRegularSeason20242025!$R$2:$R$1315,1)</f>
        <v>1</v>
      </c>
      <c r="F62" s="39"/>
      <c r="G62" s="38">
        <f>COUNTIFS(DataRegularSeason20242025!$E$2:$E$1315,WatchedGames20242025!$A61,DataRegularSeason20242025!$D$2:$D$1315,WatchedGames20242025!G$1,DataRegularSeason20242025!$N$2:$N$1315,1, DataRegularSeason20242025!$R$2:$R$1315,1)</f>
        <v>0</v>
      </c>
      <c r="H62" s="39"/>
      <c r="I62" s="38">
        <f>COUNTIFS(DataRegularSeason20242025!$E$2:$E$1315,WatchedGames20242025!$A61,DataRegularSeason20242025!$D$2:$D$1315,WatchedGames20242025!I$1,DataRegularSeason20242025!$N$2:$N$1315,1, DataRegularSeason20242025!$R$2:$R$1315,1)</f>
        <v>1</v>
      </c>
      <c r="J62" s="39"/>
      <c r="K62" s="38">
        <f>COUNTIFS(DataRegularSeason20242025!$E$2:$E$1315,WatchedGames20242025!$A61,DataRegularSeason20242025!$D$2:$D$1315,WatchedGames20242025!K$1,DataRegularSeason20242025!$N$2:$N$1315,1, DataRegularSeason20242025!$R$2:$R$1315,1)</f>
        <v>0</v>
      </c>
      <c r="L62" s="39"/>
      <c r="M62" s="38">
        <f>COUNTIFS(DataRegularSeason20242025!$E$2:$E$1315,WatchedGames20242025!$A61,DataRegularSeason20242025!$D$2:$D$1315,WatchedGames20242025!M$1,DataRegularSeason20242025!$N$2:$N$1315,1, DataRegularSeason20242025!$R$2:$R$1315,1)</f>
        <v>1</v>
      </c>
      <c r="N62" s="39"/>
      <c r="O62" s="38">
        <f>COUNTIFS(DataRegularSeason20242025!$E$2:$E$1315,WatchedGames20242025!$A61,DataRegularSeason20242025!$D$2:$D$1315,WatchedGames20242025!O$1,DataRegularSeason20242025!$N$2:$N$1315,1, DataRegularSeason20242025!$R$2:$R$1315,1)</f>
        <v>0</v>
      </c>
      <c r="P62" s="39"/>
      <c r="Q62" s="38">
        <f>COUNTIFS(DataRegularSeason20242025!$E$2:$E$1315,WatchedGames20242025!$A61,DataRegularSeason20242025!$D$2:$D$1315,WatchedGames20242025!Q$1,DataRegularSeason20242025!$N$2:$N$1315,1, DataRegularSeason20242025!$R$2:$R$1315,1)</f>
        <v>0</v>
      </c>
      <c r="R62" s="39"/>
      <c r="S62" s="38">
        <f>COUNTIFS(DataRegularSeason20242025!$E$2:$E$1315,WatchedGames20242025!$A61,DataRegularSeason20242025!$D$2:$D$1315,WatchedGames20242025!S$1,DataRegularSeason20242025!$N$2:$N$1315,1, DataRegularSeason20242025!$R$2:$R$1315,1)</f>
        <v>0</v>
      </c>
      <c r="T62" s="39"/>
      <c r="U62" s="38">
        <f>COUNTIFS(DataRegularSeason20242025!$E$2:$E$1315,WatchedGames20242025!$A61,DataRegularSeason20242025!$D$2:$D$1315,WatchedGames20242025!U$1,DataRegularSeason20242025!$N$2:$N$1315,1, DataRegularSeason20242025!$R$2:$R$1315,1)</f>
        <v>0</v>
      </c>
      <c r="V62" s="39"/>
      <c r="W62" s="38">
        <f>COUNTIFS(DataRegularSeason20242025!$E$2:$E$1315,WatchedGames20242025!$A61,DataRegularSeason20242025!$D$2:$D$1315,WatchedGames20242025!W$1,DataRegularSeason20242025!$N$2:$N$1315,1, DataRegularSeason20242025!$R$2:$R$1315,1)</f>
        <v>0</v>
      </c>
      <c r="X62" s="39"/>
      <c r="Y62" s="38">
        <f>COUNTIFS(DataRegularSeason20242025!$E$2:$E$1315,WatchedGames20242025!$A61,DataRegularSeason20242025!$D$2:$D$1315,WatchedGames20242025!Y$1,DataRegularSeason20242025!$N$2:$N$1315,1, DataRegularSeason20242025!$R$2:$R$1315,1)</f>
        <v>0</v>
      </c>
      <c r="Z62" s="39"/>
      <c r="AA62" s="38">
        <f>COUNTIFS(DataRegularSeason20242025!$E$2:$E$1315,WatchedGames20242025!$A61,DataRegularSeason20242025!$D$2:$D$1315,WatchedGames20242025!AA$1,DataRegularSeason20242025!$N$2:$N$1315,1, DataRegularSeason20242025!$R$2:$R$1315,1)</f>
        <v>0</v>
      </c>
      <c r="AB62" s="39"/>
      <c r="AC62" s="38">
        <f>COUNTIFS(DataRegularSeason20242025!$E$2:$E$1315,WatchedGames20242025!$A61,DataRegularSeason20242025!$D$2:$D$1315,WatchedGames20242025!AC$1,DataRegularSeason20242025!$N$2:$N$1315,1, DataRegularSeason20242025!$R$2:$R$1315,1)</f>
        <v>0</v>
      </c>
      <c r="AD62" s="39"/>
      <c r="AE62" s="38">
        <f>COUNTIFS(DataRegularSeason20242025!$E$2:$E$1315,WatchedGames20242025!$A61,DataRegularSeason20242025!$D$2:$D$1315,WatchedGames20242025!AE$1,DataRegularSeason20242025!$N$2:$N$1315,1, DataRegularSeason20242025!$R$2:$R$1315,1)</f>
        <v>0</v>
      </c>
      <c r="AF62" s="39"/>
      <c r="AG62" s="38">
        <f>COUNTIFS(DataRegularSeason20242025!$E$2:$E$1315,WatchedGames20242025!$A61,DataRegularSeason20242025!$D$2:$D$1315,WatchedGames20242025!AG$1,DataRegularSeason20242025!$N$2:$N$1315,1, DataRegularSeason20242025!$R$2:$R$1315,1)</f>
        <v>0</v>
      </c>
      <c r="AH62" s="39"/>
      <c r="AI62" s="38">
        <f>COUNTIFS(DataRegularSeason20242025!$E$2:$E$1315,WatchedGames20242025!$A61,DataRegularSeason20242025!$D$2:$D$1315,WatchedGames20242025!AI$1,DataRegularSeason20242025!$N$2:$N$1315,1, DataRegularSeason20242025!$R$2:$R$1315,1)</f>
        <v>0</v>
      </c>
      <c r="AJ62" s="39"/>
      <c r="AK62" s="38">
        <f>COUNTIFS(DataRegularSeason20242025!$E$2:$E$1315,WatchedGames20242025!$A61,DataRegularSeason20242025!$D$2:$D$1315,WatchedGames20242025!AK$1,DataRegularSeason20242025!$N$2:$N$1315,1, DataRegularSeason20242025!$R$2:$R$1315,1)</f>
        <v>0</v>
      </c>
      <c r="AL62" s="39"/>
      <c r="AM62" s="38">
        <f>COUNTIFS(DataRegularSeason20242025!$E$2:$E$1315,WatchedGames20242025!$A61,DataRegularSeason20242025!$D$2:$D$1315,WatchedGames20242025!AM$1,DataRegularSeason20242025!$N$2:$N$1315,1, DataRegularSeason20242025!$R$2:$R$1315,1)</f>
        <v>0</v>
      </c>
      <c r="AN62" s="39"/>
      <c r="AO62" s="38">
        <f>COUNTIFS(DataRegularSeason20242025!$E$2:$E$1315,WatchedGames20242025!$A61,DataRegularSeason20242025!$D$2:$D$1315,WatchedGames20242025!AO$1,DataRegularSeason20242025!$N$2:$N$1315,1, DataRegularSeason20242025!$R$2:$R$1315,1)</f>
        <v>0</v>
      </c>
      <c r="AP62" s="39"/>
      <c r="AQ62" s="38">
        <f>COUNTIFS(DataRegularSeason20242025!$E$2:$E$1315,WatchedGames20242025!$A61,DataRegularSeason20242025!$D$2:$D$1315,WatchedGames20242025!AQ$1,DataRegularSeason20242025!$N$2:$N$1315,1, DataRegularSeason20242025!$R$2:$R$1315,1)</f>
        <v>0</v>
      </c>
      <c r="AR62" s="39"/>
      <c r="AS62" s="38">
        <f>COUNTIFS(DataRegularSeason20242025!$E$2:$E$1315,WatchedGames20242025!$A61,DataRegularSeason20242025!$D$2:$D$1315,WatchedGames20242025!AS$1,DataRegularSeason20242025!$N$2:$N$1315,1, DataRegularSeason20242025!$R$2:$R$1315,1)</f>
        <v>0</v>
      </c>
      <c r="AT62" s="39"/>
      <c r="AU62" s="38">
        <f>COUNTIFS(DataRegularSeason20242025!$E$2:$E$1315,WatchedGames20242025!$A61,DataRegularSeason20242025!$D$2:$D$1315,WatchedGames20242025!AU$1,DataRegularSeason20242025!$N$2:$N$1315,1, DataRegularSeason20242025!$R$2:$R$1315,1)</f>
        <v>0</v>
      </c>
      <c r="AV62" s="39"/>
      <c r="AW62" s="38">
        <f>COUNTIFS(DataRegularSeason20242025!$E$2:$E$1315,WatchedGames20242025!$A61,DataRegularSeason20242025!$D$2:$D$1315,WatchedGames20242025!AW$1,DataRegularSeason20242025!$N$2:$N$1315,1, DataRegularSeason20242025!$R$2:$R$1315,1)</f>
        <v>0</v>
      </c>
      <c r="AX62" s="39"/>
      <c r="AY62" s="38">
        <f>COUNTIFS(DataRegularSeason20242025!$E$2:$E$1315,WatchedGames20242025!$A61,DataRegularSeason20242025!$D$2:$D$1315,WatchedGames20242025!AY$1,DataRegularSeason20242025!$N$2:$N$1315,1, DataRegularSeason20242025!$R$2:$R$1315,1)</f>
        <v>0</v>
      </c>
      <c r="AZ62" s="39"/>
      <c r="BA62" s="38">
        <f>COUNTIFS(DataRegularSeason20242025!$E$2:$E$1315,WatchedGames20242025!$A61,DataRegularSeason20242025!$D$2:$D$1315,WatchedGames20242025!BA$1,DataRegularSeason20242025!$N$2:$N$1315,1, DataRegularSeason20242025!$R$2:$R$1315,1)</f>
        <v>0</v>
      </c>
      <c r="BB62" s="39"/>
      <c r="BC62" s="38">
        <f>COUNTIFS(DataRegularSeason20242025!$E$2:$E$1315,WatchedGames20242025!$A61,DataRegularSeason20242025!$D$2:$D$1315,WatchedGames20242025!BC$1,DataRegularSeason20242025!$N$2:$N$1315,1, DataRegularSeason20242025!$R$2:$R$1315,1)</f>
        <v>0</v>
      </c>
      <c r="BD62" s="39"/>
      <c r="BE62" s="38">
        <f>COUNTIFS(DataRegularSeason20242025!$E$2:$E$1315,WatchedGames20242025!$A61,DataRegularSeason20242025!$D$2:$D$1315,WatchedGames20242025!BE$1,DataRegularSeason20242025!$N$2:$N$1315,1, DataRegularSeason20242025!$R$2:$R$1315,1)</f>
        <v>0</v>
      </c>
      <c r="BF62" s="39"/>
      <c r="BG62" s="38">
        <f>COUNTIFS(DataRegularSeason20242025!$E$2:$E$1315,WatchedGames20242025!$A61,DataRegularSeason20242025!$D$2:$D$1315,WatchedGames20242025!BG$1,DataRegularSeason20242025!$N$2:$N$1315,1, DataRegularSeason20242025!$R$2:$R$1315,1)</f>
        <v>0</v>
      </c>
      <c r="BH62" s="39"/>
      <c r="BI62" s="38"/>
      <c r="BJ62" s="39"/>
      <c r="BK62" s="38">
        <f>COUNTIFS(DataRegularSeason20242025!$E$2:$E$1315,WatchedGames20242025!$A61,DataRegularSeason20242025!$D$2:$D$1315,WatchedGames20242025!BK$1,DataRegularSeason20242025!$N$2:$N$1315,1, DataRegularSeason20242025!$R$2:$R$1315,1)</f>
        <v>0</v>
      </c>
      <c r="BL62" s="39"/>
      <c r="BM62" s="38">
        <f>COUNTIFS(DataRegularSeason20242025!$E$2:$E$1315,WatchedGames20242025!$A61,DataRegularSeason20242025!$D$2:$D$1315,WatchedGames20242025!BM$1,DataRegularSeason20242025!$N$2:$N$1315,1, DataRegularSeason20242025!$R$2:$R$1315,1)</f>
        <v>0</v>
      </c>
      <c r="BN62" s="39"/>
      <c r="BO62" s="34">
        <f t="shared" si="1"/>
        <v>3</v>
      </c>
      <c r="BP62" s="165"/>
      <c r="BQ62" s="166"/>
      <c r="BR62" s="173"/>
    </row>
    <row r="63" spans="1:70" s="27" customFormat="1" ht="9.9499999999999993" customHeight="1" x14ac:dyDescent="0.2">
      <c r="A63" s="172" t="s">
        <v>21</v>
      </c>
      <c r="B63" s="28" t="s">
        <v>74</v>
      </c>
      <c r="C63" s="35"/>
      <c r="D63" s="28">
        <f>COUNTIFS(DataRegularSeason20242025!$E$2:$E$1315,WatchedGames20242025!C$1,DataRegularSeason20242025!$D$2:$D$1315,WatchedGames20242025!$A63,DataRegularSeason20242025!$N$2:$N$1315,1, DataRegularSeason20242025!$R$2:$R$1315,1)</f>
        <v>0</v>
      </c>
      <c r="E63" s="35"/>
      <c r="F63" s="28">
        <f>COUNTIFS(DataRegularSeason20242025!$E$2:$E$1315,WatchedGames20242025!E$1,DataRegularSeason20242025!$D$2:$D$1315,WatchedGames20242025!$A63,DataRegularSeason20242025!$N$2:$N$1315,1, DataRegularSeason20242025!$R$2:$R$1315,1)</f>
        <v>0</v>
      </c>
      <c r="G63" s="35"/>
      <c r="H63" s="28">
        <f>COUNTIFS(DataRegularSeason20242025!$E$2:$E$1315,WatchedGames20242025!G$1,DataRegularSeason20242025!$D$2:$D$1315,WatchedGames20242025!$A63,DataRegularSeason20242025!$N$2:$N$1315,1, DataRegularSeason20242025!$R$2:$R$1315,1)</f>
        <v>0</v>
      </c>
      <c r="I63" s="35"/>
      <c r="J63" s="28">
        <f>COUNTIFS(DataRegularSeason20242025!$E$2:$E$1315,WatchedGames20242025!I$1,DataRegularSeason20242025!$D$2:$D$1315,WatchedGames20242025!$A63,DataRegularSeason20242025!$N$2:$N$1315,1, DataRegularSeason20242025!$R$2:$R$1315,1)</f>
        <v>0</v>
      </c>
      <c r="K63" s="35"/>
      <c r="L63" s="28">
        <f>COUNTIFS(DataRegularSeason20242025!$E$2:$E$1315,WatchedGames20242025!K$1,DataRegularSeason20242025!$D$2:$D$1315,WatchedGames20242025!$A63,DataRegularSeason20242025!$N$2:$N$1315,1, DataRegularSeason20242025!$R$2:$R$1315,1)</f>
        <v>0</v>
      </c>
      <c r="M63" s="35"/>
      <c r="N63" s="28">
        <f>COUNTIFS(DataRegularSeason20242025!$E$2:$E$1315,WatchedGames20242025!M$1,DataRegularSeason20242025!$D$2:$D$1315,WatchedGames20242025!$A63,DataRegularSeason20242025!$N$2:$N$1315,1, DataRegularSeason20242025!$R$2:$R$1315,1)</f>
        <v>1</v>
      </c>
      <c r="O63" s="35"/>
      <c r="P63" s="28">
        <f>COUNTIFS(DataRegularSeason20242025!$E$2:$E$1315,WatchedGames20242025!O$1,DataRegularSeason20242025!$D$2:$D$1315,WatchedGames20242025!$A63,DataRegularSeason20242025!$N$2:$N$1315,1, DataRegularSeason20242025!$R$2:$R$1315,1)</f>
        <v>0</v>
      </c>
      <c r="Q63" s="35"/>
      <c r="R63" s="28">
        <f>COUNTIFS(DataRegularSeason20242025!$E$2:$E$1315,WatchedGames20242025!Q$1,DataRegularSeason20242025!$D$2:$D$1315,WatchedGames20242025!$A63,DataRegularSeason20242025!$N$2:$N$1315,1, DataRegularSeason20242025!$R$2:$R$1315,1)</f>
        <v>0</v>
      </c>
      <c r="S63" s="35"/>
      <c r="T63" s="28">
        <f>COUNTIFS(DataRegularSeason20242025!$E$2:$E$1315,WatchedGames20242025!S$1,DataRegularSeason20242025!$D$2:$D$1315,WatchedGames20242025!$A63,DataRegularSeason20242025!$N$2:$N$1315,1, DataRegularSeason20242025!$R$2:$R$1315,1)</f>
        <v>0</v>
      </c>
      <c r="U63" s="35"/>
      <c r="V63" s="28">
        <f>COUNTIFS(DataRegularSeason20242025!$E$2:$E$1315,WatchedGames20242025!U$1,DataRegularSeason20242025!$D$2:$D$1315,WatchedGames20242025!$A63,DataRegularSeason20242025!$N$2:$N$1315,1, DataRegularSeason20242025!$R$2:$R$1315,1)</f>
        <v>0</v>
      </c>
      <c r="W63" s="35"/>
      <c r="X63" s="28">
        <f>COUNTIFS(DataRegularSeason20242025!$E$2:$E$1315,WatchedGames20242025!W$1,DataRegularSeason20242025!$D$2:$D$1315,WatchedGames20242025!$A63,DataRegularSeason20242025!$N$2:$N$1315,1, DataRegularSeason20242025!$R$2:$R$1315,1)</f>
        <v>0</v>
      </c>
      <c r="Y63" s="35"/>
      <c r="Z63" s="28">
        <f>COUNTIFS(DataRegularSeason20242025!$E$2:$E$1315,WatchedGames20242025!Y$1,DataRegularSeason20242025!$D$2:$D$1315,WatchedGames20242025!$A63,DataRegularSeason20242025!$N$2:$N$1315,1, DataRegularSeason20242025!$R$2:$R$1315,1)</f>
        <v>0</v>
      </c>
      <c r="AA63" s="35"/>
      <c r="AB63" s="28">
        <f>COUNTIFS(DataRegularSeason20242025!$E$2:$E$1315,WatchedGames20242025!AA$1,DataRegularSeason20242025!$D$2:$D$1315,WatchedGames20242025!$A63,DataRegularSeason20242025!$N$2:$N$1315,1, DataRegularSeason20242025!$R$2:$R$1315,1)</f>
        <v>0</v>
      </c>
      <c r="AC63" s="35"/>
      <c r="AD63" s="28">
        <f>COUNTIFS(DataRegularSeason20242025!$E$2:$E$1315,WatchedGames20242025!AC$1,DataRegularSeason20242025!$D$2:$D$1315,WatchedGames20242025!$A63,DataRegularSeason20242025!$N$2:$N$1315,1, DataRegularSeason20242025!$R$2:$R$1315,1)</f>
        <v>0</v>
      </c>
      <c r="AE63" s="35"/>
      <c r="AF63" s="28">
        <f>COUNTIFS(DataRegularSeason20242025!$E$2:$E$1315,WatchedGames20242025!AE$1,DataRegularSeason20242025!$D$2:$D$1315,WatchedGames20242025!$A63,DataRegularSeason20242025!$N$2:$N$1315,1, DataRegularSeason20242025!$R$2:$R$1315,1)</f>
        <v>0</v>
      </c>
      <c r="AG63" s="35"/>
      <c r="AH63" s="28">
        <f>COUNTIFS(DataRegularSeason20242025!$E$2:$E$1315,WatchedGames20242025!AG$1,DataRegularSeason20242025!$D$2:$D$1315,WatchedGames20242025!$A63,DataRegularSeason20242025!$N$2:$N$1315,1, DataRegularSeason20242025!$R$2:$R$1315,1)</f>
        <v>0</v>
      </c>
      <c r="AI63" s="35"/>
      <c r="AJ63" s="28">
        <f>COUNTIFS(DataRegularSeason20242025!$E$2:$E$1315,WatchedGames20242025!AI$1,DataRegularSeason20242025!$D$2:$D$1315,WatchedGames20242025!$A63,DataRegularSeason20242025!$N$2:$N$1315,1, DataRegularSeason20242025!$R$2:$R$1315,1)</f>
        <v>0</v>
      </c>
      <c r="AK63" s="35"/>
      <c r="AL63" s="28">
        <f>COUNTIFS(DataRegularSeason20242025!$E$2:$E$1315,WatchedGames20242025!AK$1,DataRegularSeason20242025!$D$2:$D$1315,WatchedGames20242025!$A63,DataRegularSeason20242025!$N$2:$N$1315,1, DataRegularSeason20242025!$R$2:$R$1315,1)</f>
        <v>0</v>
      </c>
      <c r="AM63" s="35"/>
      <c r="AN63" s="28">
        <f>COUNTIFS(DataRegularSeason20242025!$E$2:$E$1315,WatchedGames20242025!AM$1,DataRegularSeason20242025!$D$2:$D$1315,WatchedGames20242025!$A63,DataRegularSeason20242025!$N$2:$N$1315,1, DataRegularSeason20242025!$R$2:$R$1315,1)</f>
        <v>0</v>
      </c>
      <c r="AO63" s="35"/>
      <c r="AP63" s="28">
        <f>COUNTIFS(DataRegularSeason20242025!$E$2:$E$1315,WatchedGames20242025!AO$1,DataRegularSeason20242025!$D$2:$D$1315,WatchedGames20242025!$A63,DataRegularSeason20242025!$N$2:$N$1315,1, DataRegularSeason20242025!$R$2:$R$1315,1)</f>
        <v>0</v>
      </c>
      <c r="AQ63" s="35"/>
      <c r="AR63" s="28">
        <f>COUNTIFS(DataRegularSeason20242025!$E$2:$E$1315,WatchedGames20242025!AQ$1,DataRegularSeason20242025!$D$2:$D$1315,WatchedGames20242025!$A63,DataRegularSeason20242025!$N$2:$N$1315,1, DataRegularSeason20242025!$R$2:$R$1315,1)</f>
        <v>0</v>
      </c>
      <c r="AS63" s="35"/>
      <c r="AT63" s="28">
        <f>COUNTIFS(DataRegularSeason20242025!$E$2:$E$1315,WatchedGames20242025!AS$1,DataRegularSeason20242025!$D$2:$D$1315,WatchedGames20242025!$A63,DataRegularSeason20242025!$N$2:$N$1315,1, DataRegularSeason20242025!$R$2:$R$1315,1)</f>
        <v>0</v>
      </c>
      <c r="AU63" s="35"/>
      <c r="AV63" s="28">
        <f>COUNTIFS(DataRegularSeason20242025!$E$2:$E$1315,WatchedGames20242025!AU$1,DataRegularSeason20242025!$D$2:$D$1315,WatchedGames20242025!$A63,DataRegularSeason20242025!$N$2:$N$1315,1, DataRegularSeason20242025!$R$2:$R$1315,1)</f>
        <v>0</v>
      </c>
      <c r="AW63" s="35"/>
      <c r="AX63" s="28">
        <f>COUNTIFS(DataRegularSeason20242025!$E$2:$E$1315,WatchedGames20242025!AW$1,DataRegularSeason20242025!$D$2:$D$1315,WatchedGames20242025!$A63,DataRegularSeason20242025!$N$2:$N$1315,1, DataRegularSeason20242025!$R$2:$R$1315,1)</f>
        <v>0</v>
      </c>
      <c r="AY63" s="35"/>
      <c r="AZ63" s="28">
        <f>COUNTIFS(DataRegularSeason20242025!$E$2:$E$1315,WatchedGames20242025!AY$1,DataRegularSeason20242025!$D$2:$D$1315,WatchedGames20242025!$A63,DataRegularSeason20242025!$N$2:$N$1315,1, DataRegularSeason20242025!$R$2:$R$1315,1)</f>
        <v>0</v>
      </c>
      <c r="BA63" s="35"/>
      <c r="BB63" s="28">
        <f>COUNTIFS(DataRegularSeason20242025!$E$2:$E$1315,WatchedGames20242025!BA$1,DataRegularSeason20242025!$D$2:$D$1315,WatchedGames20242025!$A63,DataRegularSeason20242025!$N$2:$N$1315,1, DataRegularSeason20242025!$R$2:$R$1315,1)</f>
        <v>0</v>
      </c>
      <c r="BC63" s="35"/>
      <c r="BD63" s="28">
        <f>COUNTIFS(DataRegularSeason20242025!$E$2:$E$1315,WatchedGames20242025!BC$1,DataRegularSeason20242025!$D$2:$D$1315,WatchedGames20242025!$A63,DataRegularSeason20242025!$N$2:$N$1315,1, DataRegularSeason20242025!$R$2:$R$1315,1)</f>
        <v>0</v>
      </c>
      <c r="BE63" s="35"/>
      <c r="BF63" s="28">
        <f>COUNTIFS(DataRegularSeason20242025!$E$2:$E$1315,WatchedGames20242025!BE$1,DataRegularSeason20242025!$D$2:$D$1315,WatchedGames20242025!$A63,DataRegularSeason20242025!$N$2:$N$1315,1, DataRegularSeason20242025!$R$2:$R$1315,1)</f>
        <v>0</v>
      </c>
      <c r="BG63" s="35"/>
      <c r="BH63" s="28">
        <f>COUNTIFS(DataRegularSeason20242025!$E$2:$E$1315,WatchedGames20242025!BG$1,DataRegularSeason20242025!$D$2:$D$1315,WatchedGames20242025!$A63,DataRegularSeason20242025!$N$2:$N$1315,1, DataRegularSeason20242025!$R$2:$R$1315,1)</f>
        <v>0</v>
      </c>
      <c r="BI63" s="35"/>
      <c r="BJ63" s="28">
        <f>COUNTIFS(DataRegularSeason20242025!$E$2:$E$1315,WatchedGames20242025!BI$1,DataRegularSeason20242025!$D$2:$D$1315,WatchedGames20242025!$A63,DataRegularSeason20242025!$N$2:$N$1315,1, DataRegularSeason20242025!$R$2:$R$1315,1)</f>
        <v>0</v>
      </c>
      <c r="BK63" s="35"/>
      <c r="BL63" s="36"/>
      <c r="BM63" s="35"/>
      <c r="BN63" s="28">
        <f>COUNTIFS(DataRegularSeason20242025!$E$2:$E$1315,WatchedGames20242025!BM$1,DataRegularSeason20242025!$D$2:$D$1315,WatchedGames20242025!$A63,DataRegularSeason20242025!$N$2:$N$1315,1, DataRegularSeason20242025!$R$2:$R$1315,1)</f>
        <v>0</v>
      </c>
      <c r="BO63" s="30">
        <f t="shared" si="1"/>
        <v>1</v>
      </c>
      <c r="BP63" s="165">
        <f t="shared" ref="BP63" si="60">BO63+BO64</f>
        <v>3</v>
      </c>
      <c r="BQ63" s="166">
        <f t="shared" ref="BQ63" si="61">82-BP63</f>
        <v>79</v>
      </c>
      <c r="BR63" s="173">
        <f t="shared" si="0"/>
        <v>3.6585365853658534E-2</v>
      </c>
    </row>
    <row r="64" spans="1:70" s="27" customFormat="1" ht="9.9499999999999993" customHeight="1" x14ac:dyDescent="0.2">
      <c r="A64" s="167"/>
      <c r="B64" s="32" t="s">
        <v>73</v>
      </c>
      <c r="C64" s="38">
        <f>COUNTIFS(DataRegularSeason20242025!$E$2:$E$1315,WatchedGames20242025!$A63,DataRegularSeason20242025!$D$2:$D$1315,WatchedGames20242025!C$1,DataRegularSeason20242025!$N$2:$N$1315,1, DataRegularSeason20242025!$R$2:$R$1315,1)</f>
        <v>0</v>
      </c>
      <c r="D64" s="39"/>
      <c r="E64" s="38">
        <f>COUNTIFS(DataRegularSeason20242025!$E$2:$E$1315,WatchedGames20242025!$A63,DataRegularSeason20242025!$D$2:$D$1315,WatchedGames20242025!E$1,DataRegularSeason20242025!$N$2:$N$1315,1, DataRegularSeason20242025!$R$2:$R$1315,1)</f>
        <v>0</v>
      </c>
      <c r="F64" s="39"/>
      <c r="G64" s="38">
        <f>COUNTIFS(DataRegularSeason20242025!$E$2:$E$1315,WatchedGames20242025!$A63,DataRegularSeason20242025!$D$2:$D$1315,WatchedGames20242025!G$1,DataRegularSeason20242025!$N$2:$N$1315,1, DataRegularSeason20242025!$R$2:$R$1315,1)</f>
        <v>0</v>
      </c>
      <c r="H64" s="39"/>
      <c r="I64" s="38">
        <f>COUNTIFS(DataRegularSeason20242025!$E$2:$E$1315,WatchedGames20242025!$A63,DataRegularSeason20242025!$D$2:$D$1315,WatchedGames20242025!I$1,DataRegularSeason20242025!$N$2:$N$1315,1, DataRegularSeason20242025!$R$2:$R$1315,1)</f>
        <v>0</v>
      </c>
      <c r="J64" s="39"/>
      <c r="K64" s="38">
        <f>COUNTIFS(DataRegularSeason20242025!$E$2:$E$1315,WatchedGames20242025!$A63,DataRegularSeason20242025!$D$2:$D$1315,WatchedGames20242025!K$1,DataRegularSeason20242025!$N$2:$N$1315,1, DataRegularSeason20242025!$R$2:$R$1315,1)</f>
        <v>0</v>
      </c>
      <c r="L64" s="39"/>
      <c r="M64" s="38">
        <f>COUNTIFS(DataRegularSeason20242025!$E$2:$E$1315,WatchedGames20242025!$A63,DataRegularSeason20242025!$D$2:$D$1315,WatchedGames20242025!M$1,DataRegularSeason20242025!$N$2:$N$1315,1, DataRegularSeason20242025!$R$2:$R$1315,1)</f>
        <v>0</v>
      </c>
      <c r="N64" s="39"/>
      <c r="O64" s="38">
        <f>COUNTIFS(DataRegularSeason20242025!$E$2:$E$1315,WatchedGames20242025!$A63,DataRegularSeason20242025!$D$2:$D$1315,WatchedGames20242025!O$1,DataRegularSeason20242025!$N$2:$N$1315,1, DataRegularSeason20242025!$R$2:$R$1315,1)</f>
        <v>0</v>
      </c>
      <c r="P64" s="39"/>
      <c r="Q64" s="38">
        <f>COUNTIFS(DataRegularSeason20242025!$E$2:$E$1315,WatchedGames20242025!$A63,DataRegularSeason20242025!$D$2:$D$1315,WatchedGames20242025!Q$1,DataRegularSeason20242025!$N$2:$N$1315,1, DataRegularSeason20242025!$R$2:$R$1315,1)</f>
        <v>0</v>
      </c>
      <c r="R64" s="39"/>
      <c r="S64" s="38">
        <f>COUNTIFS(DataRegularSeason20242025!$E$2:$E$1315,WatchedGames20242025!$A63,DataRegularSeason20242025!$D$2:$D$1315,WatchedGames20242025!S$1,DataRegularSeason20242025!$N$2:$N$1315,1, DataRegularSeason20242025!$R$2:$R$1315,1)</f>
        <v>0</v>
      </c>
      <c r="T64" s="39"/>
      <c r="U64" s="38">
        <f>COUNTIFS(DataRegularSeason20242025!$E$2:$E$1315,WatchedGames20242025!$A63,DataRegularSeason20242025!$D$2:$D$1315,WatchedGames20242025!U$1,DataRegularSeason20242025!$N$2:$N$1315,1, DataRegularSeason20242025!$R$2:$R$1315,1)</f>
        <v>0</v>
      </c>
      <c r="V64" s="39"/>
      <c r="W64" s="38">
        <f>COUNTIFS(DataRegularSeason20242025!$E$2:$E$1315,WatchedGames20242025!$A63,DataRegularSeason20242025!$D$2:$D$1315,WatchedGames20242025!W$1,DataRegularSeason20242025!$N$2:$N$1315,1, DataRegularSeason20242025!$R$2:$R$1315,1)</f>
        <v>0</v>
      </c>
      <c r="X64" s="39"/>
      <c r="Y64" s="38">
        <f>COUNTIFS(DataRegularSeason20242025!$E$2:$E$1315,WatchedGames20242025!$A63,DataRegularSeason20242025!$D$2:$D$1315,WatchedGames20242025!Y$1,DataRegularSeason20242025!$N$2:$N$1315,1, DataRegularSeason20242025!$R$2:$R$1315,1)</f>
        <v>0</v>
      </c>
      <c r="Z64" s="39"/>
      <c r="AA64" s="38">
        <f>COUNTIFS(DataRegularSeason20242025!$E$2:$E$1315,WatchedGames20242025!$A63,DataRegularSeason20242025!$D$2:$D$1315,WatchedGames20242025!AA$1,DataRegularSeason20242025!$N$2:$N$1315,1, DataRegularSeason20242025!$R$2:$R$1315,1)</f>
        <v>1</v>
      </c>
      <c r="AB64" s="39"/>
      <c r="AC64" s="38">
        <f>COUNTIFS(DataRegularSeason20242025!$E$2:$E$1315,WatchedGames20242025!$A63,DataRegularSeason20242025!$D$2:$D$1315,WatchedGames20242025!AC$1,DataRegularSeason20242025!$N$2:$N$1315,1, DataRegularSeason20242025!$R$2:$R$1315,1)</f>
        <v>0</v>
      </c>
      <c r="AD64" s="39"/>
      <c r="AE64" s="38">
        <f>COUNTIFS(DataRegularSeason20242025!$E$2:$E$1315,WatchedGames20242025!$A63,DataRegularSeason20242025!$D$2:$D$1315,WatchedGames20242025!AE$1,DataRegularSeason20242025!$N$2:$N$1315,1, DataRegularSeason20242025!$R$2:$R$1315,1)</f>
        <v>0</v>
      </c>
      <c r="AF64" s="39"/>
      <c r="AG64" s="38">
        <f>COUNTIFS(DataRegularSeason20242025!$E$2:$E$1315,WatchedGames20242025!$A63,DataRegularSeason20242025!$D$2:$D$1315,WatchedGames20242025!AG$1,DataRegularSeason20242025!$N$2:$N$1315,1, DataRegularSeason20242025!$R$2:$R$1315,1)</f>
        <v>0</v>
      </c>
      <c r="AH64" s="39"/>
      <c r="AI64" s="38">
        <f>COUNTIFS(DataRegularSeason20242025!$E$2:$E$1315,WatchedGames20242025!$A63,DataRegularSeason20242025!$D$2:$D$1315,WatchedGames20242025!AI$1,DataRegularSeason20242025!$N$2:$N$1315,1, DataRegularSeason20242025!$R$2:$R$1315,1)</f>
        <v>1</v>
      </c>
      <c r="AJ64" s="39"/>
      <c r="AK64" s="38">
        <f>COUNTIFS(DataRegularSeason20242025!$E$2:$E$1315,WatchedGames20242025!$A63,DataRegularSeason20242025!$D$2:$D$1315,WatchedGames20242025!AK$1,DataRegularSeason20242025!$N$2:$N$1315,1, DataRegularSeason20242025!$R$2:$R$1315,1)</f>
        <v>0</v>
      </c>
      <c r="AL64" s="39"/>
      <c r="AM64" s="38">
        <f>COUNTIFS(DataRegularSeason20242025!$E$2:$E$1315,WatchedGames20242025!$A63,DataRegularSeason20242025!$D$2:$D$1315,WatchedGames20242025!AM$1,DataRegularSeason20242025!$N$2:$N$1315,1, DataRegularSeason20242025!$R$2:$R$1315,1)</f>
        <v>0</v>
      </c>
      <c r="AN64" s="39"/>
      <c r="AO64" s="38">
        <f>COUNTIFS(DataRegularSeason20242025!$E$2:$E$1315,WatchedGames20242025!$A63,DataRegularSeason20242025!$D$2:$D$1315,WatchedGames20242025!AO$1,DataRegularSeason20242025!$N$2:$N$1315,1, DataRegularSeason20242025!$R$2:$R$1315,1)</f>
        <v>0</v>
      </c>
      <c r="AP64" s="39"/>
      <c r="AQ64" s="38">
        <f>COUNTIFS(DataRegularSeason20242025!$E$2:$E$1315,WatchedGames20242025!$A63,DataRegularSeason20242025!$D$2:$D$1315,WatchedGames20242025!AQ$1,DataRegularSeason20242025!$N$2:$N$1315,1, DataRegularSeason20242025!$R$2:$R$1315,1)</f>
        <v>0</v>
      </c>
      <c r="AR64" s="39"/>
      <c r="AS64" s="38">
        <f>COUNTIFS(DataRegularSeason20242025!$E$2:$E$1315,WatchedGames20242025!$A63,DataRegularSeason20242025!$D$2:$D$1315,WatchedGames20242025!AS$1,DataRegularSeason20242025!$N$2:$N$1315,1, DataRegularSeason20242025!$R$2:$R$1315,1)</f>
        <v>0</v>
      </c>
      <c r="AT64" s="39"/>
      <c r="AU64" s="38">
        <f>COUNTIFS(DataRegularSeason20242025!$E$2:$E$1315,WatchedGames20242025!$A63,DataRegularSeason20242025!$D$2:$D$1315,WatchedGames20242025!AU$1,DataRegularSeason20242025!$N$2:$N$1315,1, DataRegularSeason20242025!$R$2:$R$1315,1)</f>
        <v>0</v>
      </c>
      <c r="AV64" s="39"/>
      <c r="AW64" s="38">
        <f>COUNTIFS(DataRegularSeason20242025!$E$2:$E$1315,WatchedGames20242025!$A63,DataRegularSeason20242025!$D$2:$D$1315,WatchedGames20242025!AW$1,DataRegularSeason20242025!$N$2:$N$1315,1, DataRegularSeason20242025!$R$2:$R$1315,1)</f>
        <v>0</v>
      </c>
      <c r="AX64" s="39"/>
      <c r="AY64" s="38">
        <f>COUNTIFS(DataRegularSeason20242025!$E$2:$E$1315,WatchedGames20242025!$A63,DataRegularSeason20242025!$D$2:$D$1315,WatchedGames20242025!AY$1,DataRegularSeason20242025!$N$2:$N$1315,1, DataRegularSeason20242025!$R$2:$R$1315,1)</f>
        <v>0</v>
      </c>
      <c r="AZ64" s="39"/>
      <c r="BA64" s="38">
        <f>COUNTIFS(DataRegularSeason20242025!$E$2:$E$1315,WatchedGames20242025!$A63,DataRegularSeason20242025!$D$2:$D$1315,WatchedGames20242025!BA$1,DataRegularSeason20242025!$N$2:$N$1315,1, DataRegularSeason20242025!$R$2:$R$1315,1)</f>
        <v>0</v>
      </c>
      <c r="BB64" s="39"/>
      <c r="BC64" s="38">
        <f>COUNTIFS(DataRegularSeason20242025!$E$2:$E$1315,WatchedGames20242025!$A63,DataRegularSeason20242025!$D$2:$D$1315,WatchedGames20242025!BC$1,DataRegularSeason20242025!$N$2:$N$1315,1, DataRegularSeason20242025!$R$2:$R$1315,1)</f>
        <v>0</v>
      </c>
      <c r="BD64" s="39"/>
      <c r="BE64" s="38">
        <f>COUNTIFS(DataRegularSeason20242025!$E$2:$E$1315,WatchedGames20242025!$A63,DataRegularSeason20242025!$D$2:$D$1315,WatchedGames20242025!BE$1,DataRegularSeason20242025!$N$2:$N$1315,1, DataRegularSeason20242025!$R$2:$R$1315,1)</f>
        <v>0</v>
      </c>
      <c r="BF64" s="39"/>
      <c r="BG64" s="38">
        <f>COUNTIFS(DataRegularSeason20242025!$E$2:$E$1315,WatchedGames20242025!$A63,DataRegularSeason20242025!$D$2:$D$1315,WatchedGames20242025!BG$1,DataRegularSeason20242025!$N$2:$N$1315,1, DataRegularSeason20242025!$R$2:$R$1315,1)</f>
        <v>0</v>
      </c>
      <c r="BH64" s="39"/>
      <c r="BI64" s="38">
        <f>COUNTIFS(DataRegularSeason20242025!$E$2:$E$1315,WatchedGames20242025!$A63,DataRegularSeason20242025!$D$2:$D$1315,WatchedGames20242025!BI$1,DataRegularSeason20242025!$N$2:$N$1315,1, DataRegularSeason20242025!$R$2:$R$1315,1)</f>
        <v>0</v>
      </c>
      <c r="BJ64" s="39"/>
      <c r="BK64" s="38"/>
      <c r="BL64" s="39"/>
      <c r="BM64" s="38">
        <f>COUNTIFS(DataRegularSeason20242025!$E$2:$E$1315,WatchedGames20242025!$A63,DataRegularSeason20242025!$D$2:$D$1315,WatchedGames20242025!BM$1,DataRegularSeason20242025!$N$2:$N$1315,1, DataRegularSeason20242025!$R$2:$R$1315,1)</f>
        <v>0</v>
      </c>
      <c r="BN64" s="39"/>
      <c r="BO64" s="34">
        <f t="shared" si="1"/>
        <v>2</v>
      </c>
      <c r="BP64" s="165"/>
      <c r="BQ64" s="166"/>
      <c r="BR64" s="173"/>
    </row>
    <row r="65" spans="1:70" s="27" customFormat="1" ht="9.9499999999999993" customHeight="1" x14ac:dyDescent="0.2">
      <c r="A65" s="172" t="s">
        <v>43</v>
      </c>
      <c r="B65" s="28" t="s">
        <v>74</v>
      </c>
      <c r="C65" s="35"/>
      <c r="D65" s="28">
        <f>COUNTIFS(DataRegularSeason20242025!$E$2:$E$1315,WatchedGames20242025!C$1,DataRegularSeason20242025!$D$2:$D$1315,WatchedGames20242025!$A65,DataRegularSeason20242025!$N$2:$N$1315,1, DataRegularSeason20242025!$R$2:$R$1315,1)</f>
        <v>0</v>
      </c>
      <c r="E65" s="35"/>
      <c r="F65" s="28">
        <f>COUNTIFS(DataRegularSeason20242025!$E$2:$E$1315,WatchedGames20242025!E$1,DataRegularSeason20242025!$D$2:$D$1315,WatchedGames20242025!$A65,DataRegularSeason20242025!$N$2:$N$1315,1, DataRegularSeason20242025!$R$2:$R$1315,1)</f>
        <v>0</v>
      </c>
      <c r="G65" s="35"/>
      <c r="H65" s="28">
        <f>COUNTIFS(DataRegularSeason20242025!$E$2:$E$1315,WatchedGames20242025!G$1,DataRegularSeason20242025!$D$2:$D$1315,WatchedGames20242025!$A65,DataRegularSeason20242025!$N$2:$N$1315,1, DataRegularSeason20242025!$R$2:$R$1315,1)</f>
        <v>0</v>
      </c>
      <c r="I65" s="35"/>
      <c r="J65" s="28">
        <f>COUNTIFS(DataRegularSeason20242025!$E$2:$E$1315,WatchedGames20242025!I$1,DataRegularSeason20242025!$D$2:$D$1315,WatchedGames20242025!$A65,DataRegularSeason20242025!$N$2:$N$1315,1, DataRegularSeason20242025!$R$2:$R$1315,1)</f>
        <v>0</v>
      </c>
      <c r="K65" s="35"/>
      <c r="L65" s="28">
        <f>COUNTIFS(DataRegularSeason20242025!$E$2:$E$1315,WatchedGames20242025!K$1,DataRegularSeason20242025!$D$2:$D$1315,WatchedGames20242025!$A65,DataRegularSeason20242025!$N$2:$N$1315,1, DataRegularSeason20242025!$R$2:$R$1315,1)</f>
        <v>0</v>
      </c>
      <c r="M65" s="35"/>
      <c r="N65" s="28">
        <f>COUNTIFS(DataRegularSeason20242025!$E$2:$E$1315,WatchedGames20242025!M$1,DataRegularSeason20242025!$D$2:$D$1315,WatchedGames20242025!$A65,DataRegularSeason20242025!$N$2:$N$1315,1, DataRegularSeason20242025!$R$2:$R$1315,1)</f>
        <v>0</v>
      </c>
      <c r="O65" s="35"/>
      <c r="P65" s="28">
        <f>COUNTIFS(DataRegularSeason20242025!$E$2:$E$1315,WatchedGames20242025!O$1,DataRegularSeason20242025!$D$2:$D$1315,WatchedGames20242025!$A65,DataRegularSeason20242025!$N$2:$N$1315,1, DataRegularSeason20242025!$R$2:$R$1315,1)</f>
        <v>0</v>
      </c>
      <c r="Q65" s="35"/>
      <c r="R65" s="28">
        <f>COUNTIFS(DataRegularSeason20242025!$E$2:$E$1315,WatchedGames20242025!Q$1,DataRegularSeason20242025!$D$2:$D$1315,WatchedGames20242025!$A65,DataRegularSeason20242025!$N$2:$N$1315,1, DataRegularSeason20242025!$R$2:$R$1315,1)</f>
        <v>0</v>
      </c>
      <c r="S65" s="35"/>
      <c r="T65" s="28">
        <f>COUNTIFS(DataRegularSeason20242025!$E$2:$E$1315,WatchedGames20242025!S$1,DataRegularSeason20242025!$D$2:$D$1315,WatchedGames20242025!$A65,DataRegularSeason20242025!$N$2:$N$1315,1, DataRegularSeason20242025!$R$2:$R$1315,1)</f>
        <v>0</v>
      </c>
      <c r="U65" s="35"/>
      <c r="V65" s="28">
        <f>COUNTIFS(DataRegularSeason20242025!$E$2:$E$1315,WatchedGames20242025!U$1,DataRegularSeason20242025!$D$2:$D$1315,WatchedGames20242025!$A65,DataRegularSeason20242025!$N$2:$N$1315,1, DataRegularSeason20242025!$R$2:$R$1315,1)</f>
        <v>0</v>
      </c>
      <c r="W65" s="35"/>
      <c r="X65" s="28">
        <f>COUNTIFS(DataRegularSeason20242025!$E$2:$E$1315,WatchedGames20242025!W$1,DataRegularSeason20242025!$D$2:$D$1315,WatchedGames20242025!$A65,DataRegularSeason20242025!$N$2:$N$1315,1, DataRegularSeason20242025!$R$2:$R$1315,1)</f>
        <v>0</v>
      </c>
      <c r="Y65" s="35"/>
      <c r="Z65" s="28">
        <f>COUNTIFS(DataRegularSeason20242025!$E$2:$E$1315,WatchedGames20242025!Y$1,DataRegularSeason20242025!$D$2:$D$1315,WatchedGames20242025!$A65,DataRegularSeason20242025!$N$2:$N$1315,1, DataRegularSeason20242025!$R$2:$R$1315,1)</f>
        <v>0</v>
      </c>
      <c r="AA65" s="35"/>
      <c r="AB65" s="28">
        <f>COUNTIFS(DataRegularSeason20242025!$E$2:$E$1315,WatchedGames20242025!AA$1,DataRegularSeason20242025!$D$2:$D$1315,WatchedGames20242025!$A65,DataRegularSeason20242025!$N$2:$N$1315,1, DataRegularSeason20242025!$R$2:$R$1315,1)</f>
        <v>0</v>
      </c>
      <c r="AC65" s="35"/>
      <c r="AD65" s="28">
        <f>COUNTIFS(DataRegularSeason20242025!$E$2:$E$1315,WatchedGames20242025!AC$1,DataRegularSeason20242025!$D$2:$D$1315,WatchedGames20242025!$A65,DataRegularSeason20242025!$N$2:$N$1315,1, DataRegularSeason20242025!$R$2:$R$1315,1)</f>
        <v>0</v>
      </c>
      <c r="AE65" s="35"/>
      <c r="AF65" s="28">
        <f>COUNTIFS(DataRegularSeason20242025!$E$2:$E$1315,WatchedGames20242025!AE$1,DataRegularSeason20242025!$D$2:$D$1315,WatchedGames20242025!$A65,DataRegularSeason20242025!$N$2:$N$1315,1, DataRegularSeason20242025!$R$2:$R$1315,1)</f>
        <v>0</v>
      </c>
      <c r="AG65" s="35"/>
      <c r="AH65" s="28">
        <f>COUNTIFS(DataRegularSeason20242025!$E$2:$E$1315,WatchedGames20242025!AG$1,DataRegularSeason20242025!$D$2:$D$1315,WatchedGames20242025!$A65,DataRegularSeason20242025!$N$2:$N$1315,1, DataRegularSeason20242025!$R$2:$R$1315,1)</f>
        <v>0</v>
      </c>
      <c r="AI65" s="35"/>
      <c r="AJ65" s="28">
        <f>COUNTIFS(DataRegularSeason20242025!$E$2:$E$1315,WatchedGames20242025!AI$1,DataRegularSeason20242025!$D$2:$D$1315,WatchedGames20242025!$A65,DataRegularSeason20242025!$N$2:$N$1315,1, DataRegularSeason20242025!$R$2:$R$1315,1)</f>
        <v>0</v>
      </c>
      <c r="AK65" s="35"/>
      <c r="AL65" s="28">
        <f>COUNTIFS(DataRegularSeason20242025!$E$2:$E$1315,WatchedGames20242025!AK$1,DataRegularSeason20242025!$D$2:$D$1315,WatchedGames20242025!$A65,DataRegularSeason20242025!$N$2:$N$1315,1, DataRegularSeason20242025!$R$2:$R$1315,1)</f>
        <v>0</v>
      </c>
      <c r="AM65" s="35"/>
      <c r="AN65" s="28">
        <f>COUNTIFS(DataRegularSeason20242025!$E$2:$E$1315,WatchedGames20242025!AM$1,DataRegularSeason20242025!$D$2:$D$1315,WatchedGames20242025!$A65,DataRegularSeason20242025!$N$2:$N$1315,1, DataRegularSeason20242025!$R$2:$R$1315,1)</f>
        <v>1</v>
      </c>
      <c r="AO65" s="35"/>
      <c r="AP65" s="28">
        <f>COUNTIFS(DataRegularSeason20242025!$E$2:$E$1315,WatchedGames20242025!AO$1,DataRegularSeason20242025!$D$2:$D$1315,WatchedGames20242025!$A65,DataRegularSeason20242025!$N$2:$N$1315,1, DataRegularSeason20242025!$R$2:$R$1315,1)</f>
        <v>0</v>
      </c>
      <c r="AQ65" s="35"/>
      <c r="AR65" s="28">
        <f>COUNTIFS(DataRegularSeason20242025!$E$2:$E$1315,WatchedGames20242025!AQ$1,DataRegularSeason20242025!$D$2:$D$1315,WatchedGames20242025!$A65,DataRegularSeason20242025!$N$2:$N$1315,1, DataRegularSeason20242025!$R$2:$R$1315,1)</f>
        <v>0</v>
      </c>
      <c r="AS65" s="35"/>
      <c r="AT65" s="28">
        <f>COUNTIFS(DataRegularSeason20242025!$E$2:$E$1315,WatchedGames20242025!AS$1,DataRegularSeason20242025!$D$2:$D$1315,WatchedGames20242025!$A65,DataRegularSeason20242025!$N$2:$N$1315,1, DataRegularSeason20242025!$R$2:$R$1315,1)</f>
        <v>0</v>
      </c>
      <c r="AU65" s="35"/>
      <c r="AV65" s="28">
        <f>COUNTIFS(DataRegularSeason20242025!$E$2:$E$1315,WatchedGames20242025!AU$1,DataRegularSeason20242025!$D$2:$D$1315,WatchedGames20242025!$A65,DataRegularSeason20242025!$N$2:$N$1315,1, DataRegularSeason20242025!$R$2:$R$1315,1)</f>
        <v>0</v>
      </c>
      <c r="AW65" s="35"/>
      <c r="AX65" s="28">
        <f>COUNTIFS(DataRegularSeason20242025!$E$2:$E$1315,WatchedGames20242025!AW$1,DataRegularSeason20242025!$D$2:$D$1315,WatchedGames20242025!$A65,DataRegularSeason20242025!$N$2:$N$1315,1, DataRegularSeason20242025!$R$2:$R$1315,1)</f>
        <v>0</v>
      </c>
      <c r="AY65" s="35"/>
      <c r="AZ65" s="28">
        <f>COUNTIFS(DataRegularSeason20242025!$E$2:$E$1315,WatchedGames20242025!AY$1,DataRegularSeason20242025!$D$2:$D$1315,WatchedGames20242025!$A65,DataRegularSeason20242025!$N$2:$N$1315,1, DataRegularSeason20242025!$R$2:$R$1315,1)</f>
        <v>0</v>
      </c>
      <c r="BA65" s="35"/>
      <c r="BB65" s="28">
        <f>COUNTIFS(DataRegularSeason20242025!$E$2:$E$1315,WatchedGames20242025!BA$1,DataRegularSeason20242025!$D$2:$D$1315,WatchedGames20242025!$A65,DataRegularSeason20242025!$N$2:$N$1315,1, DataRegularSeason20242025!$R$2:$R$1315,1)</f>
        <v>0</v>
      </c>
      <c r="BC65" s="35"/>
      <c r="BD65" s="28">
        <f>COUNTIFS(DataRegularSeason20242025!$E$2:$E$1315,WatchedGames20242025!BC$1,DataRegularSeason20242025!$D$2:$D$1315,WatchedGames20242025!$A65,DataRegularSeason20242025!$N$2:$N$1315,1, DataRegularSeason20242025!$R$2:$R$1315,1)</f>
        <v>0</v>
      </c>
      <c r="BE65" s="35"/>
      <c r="BF65" s="28">
        <f>COUNTIFS(DataRegularSeason20242025!$E$2:$E$1315,WatchedGames20242025!BE$1,DataRegularSeason20242025!$D$2:$D$1315,WatchedGames20242025!$A65,DataRegularSeason20242025!$N$2:$N$1315,1, DataRegularSeason20242025!$R$2:$R$1315,1)</f>
        <v>0</v>
      </c>
      <c r="BG65" s="35"/>
      <c r="BH65" s="28">
        <f>COUNTIFS(DataRegularSeason20242025!$E$2:$E$1315,WatchedGames20242025!BG$1,DataRegularSeason20242025!$D$2:$D$1315,WatchedGames20242025!$A65,DataRegularSeason20242025!$N$2:$N$1315,1, DataRegularSeason20242025!$R$2:$R$1315,1)</f>
        <v>0</v>
      </c>
      <c r="BI65" s="35"/>
      <c r="BJ65" s="28">
        <f>COUNTIFS(DataRegularSeason20242025!$E$2:$E$1315,WatchedGames20242025!BI$1,DataRegularSeason20242025!$D$2:$D$1315,WatchedGames20242025!$A65,DataRegularSeason20242025!$N$2:$N$1315,1, DataRegularSeason20242025!$R$2:$R$1315,1)</f>
        <v>0</v>
      </c>
      <c r="BK65" s="35"/>
      <c r="BL65" s="28">
        <f>COUNTIFS(DataRegularSeason20242025!$E$2:$E$1315,WatchedGames20242025!BK$1,DataRegularSeason20242025!$D$2:$D$1315,WatchedGames20242025!$A65,DataRegularSeason20242025!$N$2:$N$1315,1, DataRegularSeason20242025!$R$2:$R$1315,1)</f>
        <v>0</v>
      </c>
      <c r="BM65" s="35"/>
      <c r="BN65" s="36"/>
      <c r="BO65" s="30">
        <f t="shared" si="1"/>
        <v>1</v>
      </c>
      <c r="BP65" s="165">
        <f t="shared" ref="BP65" si="62">BO65+BO66</f>
        <v>4</v>
      </c>
      <c r="BQ65" s="166">
        <f t="shared" ref="BQ65" si="63">82-BP65</f>
        <v>78</v>
      </c>
      <c r="BR65" s="173">
        <f t="shared" si="0"/>
        <v>4.878048780487805E-2</v>
      </c>
    </row>
    <row r="66" spans="1:70" s="27" customFormat="1" ht="9.9499999999999993" customHeight="1" x14ac:dyDescent="0.2">
      <c r="A66" s="167"/>
      <c r="B66" s="32" t="s">
        <v>73</v>
      </c>
      <c r="C66" s="38">
        <f>COUNTIFS(DataRegularSeason20242025!$E$2:$E$1315,WatchedGames20242025!$A65,DataRegularSeason20242025!$D$2:$D$1315,WatchedGames20242025!C$1,DataRegularSeason20242025!$N$2:$N$1315,1, DataRegularSeason20242025!$R$2:$R$1315,1)</f>
        <v>0</v>
      </c>
      <c r="D66" s="39"/>
      <c r="E66" s="38">
        <f>COUNTIFS(DataRegularSeason20242025!$E$2:$E$1315,WatchedGames20242025!$A65,DataRegularSeason20242025!$D$2:$D$1315,WatchedGames20242025!E$1,DataRegularSeason20242025!$N$2:$N$1315,1, DataRegularSeason20242025!$R$2:$R$1315,1)</f>
        <v>0</v>
      </c>
      <c r="F66" s="39"/>
      <c r="G66" s="38">
        <f>COUNTIFS(DataRegularSeason20242025!$E$2:$E$1315,WatchedGames20242025!$A65,DataRegularSeason20242025!$D$2:$D$1315,WatchedGames20242025!G$1,DataRegularSeason20242025!$N$2:$N$1315,1, DataRegularSeason20242025!$R$2:$R$1315,1)</f>
        <v>0</v>
      </c>
      <c r="H66" s="39"/>
      <c r="I66" s="38">
        <f>COUNTIFS(DataRegularSeason20242025!$E$2:$E$1315,WatchedGames20242025!$A65,DataRegularSeason20242025!$D$2:$D$1315,WatchedGames20242025!I$1,DataRegularSeason20242025!$N$2:$N$1315,1, DataRegularSeason20242025!$R$2:$R$1315,1)</f>
        <v>0</v>
      </c>
      <c r="J66" s="39"/>
      <c r="K66" s="38">
        <f>COUNTIFS(DataRegularSeason20242025!$E$2:$E$1315,WatchedGames20242025!$A65,DataRegularSeason20242025!$D$2:$D$1315,WatchedGames20242025!K$1,DataRegularSeason20242025!$N$2:$N$1315,1, DataRegularSeason20242025!$R$2:$R$1315,1)</f>
        <v>0</v>
      </c>
      <c r="L66" s="39"/>
      <c r="M66" s="38">
        <f>COUNTIFS(DataRegularSeason20242025!$E$2:$E$1315,WatchedGames20242025!$A65,DataRegularSeason20242025!$D$2:$D$1315,WatchedGames20242025!M$1,DataRegularSeason20242025!$N$2:$N$1315,1, DataRegularSeason20242025!$R$2:$R$1315,1)</f>
        <v>0</v>
      </c>
      <c r="N66" s="39"/>
      <c r="O66" s="38">
        <f>COUNTIFS(DataRegularSeason20242025!$E$2:$E$1315,WatchedGames20242025!$A65,DataRegularSeason20242025!$D$2:$D$1315,WatchedGames20242025!O$1,DataRegularSeason20242025!$N$2:$N$1315,1, DataRegularSeason20242025!$R$2:$R$1315,1)</f>
        <v>0</v>
      </c>
      <c r="P66" s="39"/>
      <c r="Q66" s="38">
        <f>COUNTIFS(DataRegularSeason20242025!$E$2:$E$1315,WatchedGames20242025!$A65,DataRegularSeason20242025!$D$2:$D$1315,WatchedGames20242025!Q$1,DataRegularSeason20242025!$N$2:$N$1315,1, DataRegularSeason20242025!$R$2:$R$1315,1)</f>
        <v>0</v>
      </c>
      <c r="R66" s="39"/>
      <c r="S66" s="38">
        <f>COUNTIFS(DataRegularSeason20242025!$E$2:$E$1315,WatchedGames20242025!$A65,DataRegularSeason20242025!$D$2:$D$1315,WatchedGames20242025!S$1,DataRegularSeason20242025!$N$2:$N$1315,1, DataRegularSeason20242025!$R$2:$R$1315,1)</f>
        <v>0</v>
      </c>
      <c r="T66" s="39"/>
      <c r="U66" s="38">
        <f>COUNTIFS(DataRegularSeason20242025!$E$2:$E$1315,WatchedGames20242025!$A65,DataRegularSeason20242025!$D$2:$D$1315,WatchedGames20242025!U$1,DataRegularSeason20242025!$N$2:$N$1315,1, DataRegularSeason20242025!$R$2:$R$1315,1)</f>
        <v>0</v>
      </c>
      <c r="V66" s="39"/>
      <c r="W66" s="38">
        <f>COUNTIFS(DataRegularSeason20242025!$E$2:$E$1315,WatchedGames20242025!$A65,DataRegularSeason20242025!$D$2:$D$1315,WatchedGames20242025!W$1,DataRegularSeason20242025!$N$2:$N$1315,1, DataRegularSeason20242025!$R$2:$R$1315,1)</f>
        <v>0</v>
      </c>
      <c r="X66" s="39"/>
      <c r="Y66" s="38">
        <f>COUNTIFS(DataRegularSeason20242025!$E$2:$E$1315,WatchedGames20242025!$A65,DataRegularSeason20242025!$D$2:$D$1315,WatchedGames20242025!Y$1,DataRegularSeason20242025!$N$2:$N$1315,1, DataRegularSeason20242025!$R$2:$R$1315,1)</f>
        <v>0</v>
      </c>
      <c r="Z66" s="39"/>
      <c r="AA66" s="38">
        <f>COUNTIFS(DataRegularSeason20242025!$E$2:$E$1315,WatchedGames20242025!$A65,DataRegularSeason20242025!$D$2:$D$1315,WatchedGames20242025!AA$1,DataRegularSeason20242025!$N$2:$N$1315,1, DataRegularSeason20242025!$R$2:$R$1315,1)</f>
        <v>0</v>
      </c>
      <c r="AB66" s="39"/>
      <c r="AC66" s="38">
        <f>COUNTIFS(DataRegularSeason20242025!$E$2:$E$1315,WatchedGames20242025!$A65,DataRegularSeason20242025!$D$2:$D$1315,WatchedGames20242025!AC$1,DataRegularSeason20242025!$N$2:$N$1315,1, DataRegularSeason20242025!$R$2:$R$1315,1)</f>
        <v>1</v>
      </c>
      <c r="AD66" s="39"/>
      <c r="AE66" s="38">
        <f>COUNTIFS(DataRegularSeason20242025!$E$2:$E$1315,WatchedGames20242025!$A65,DataRegularSeason20242025!$D$2:$D$1315,WatchedGames20242025!AE$1,DataRegularSeason20242025!$N$2:$N$1315,1, DataRegularSeason20242025!$R$2:$R$1315,1)</f>
        <v>0</v>
      </c>
      <c r="AF66" s="39"/>
      <c r="AG66" s="38">
        <f>COUNTIFS(DataRegularSeason20242025!$E$2:$E$1315,WatchedGames20242025!$A65,DataRegularSeason20242025!$D$2:$D$1315,WatchedGames20242025!AG$1,DataRegularSeason20242025!$N$2:$N$1315,1, DataRegularSeason20242025!$R$2:$R$1315,1)</f>
        <v>0</v>
      </c>
      <c r="AH66" s="39"/>
      <c r="AI66" s="38">
        <f>COUNTIFS(DataRegularSeason20242025!$E$2:$E$1315,WatchedGames20242025!$A65,DataRegularSeason20242025!$D$2:$D$1315,WatchedGames20242025!AI$1,DataRegularSeason20242025!$N$2:$N$1315,1, DataRegularSeason20242025!$R$2:$R$1315,1)</f>
        <v>0</v>
      </c>
      <c r="AJ66" s="39"/>
      <c r="AK66" s="38">
        <f>COUNTIFS(DataRegularSeason20242025!$E$2:$E$1315,WatchedGames20242025!$A65,DataRegularSeason20242025!$D$2:$D$1315,WatchedGames20242025!AK$1,DataRegularSeason20242025!$N$2:$N$1315,1, DataRegularSeason20242025!$R$2:$R$1315,1)</f>
        <v>0</v>
      </c>
      <c r="AL66" s="39"/>
      <c r="AM66" s="38">
        <f>COUNTIFS(DataRegularSeason20242025!$E$2:$E$1315,WatchedGames20242025!$A65,DataRegularSeason20242025!$D$2:$D$1315,WatchedGames20242025!AM$1,DataRegularSeason20242025!$N$2:$N$1315,1, DataRegularSeason20242025!$R$2:$R$1315,1)</f>
        <v>0</v>
      </c>
      <c r="AN66" s="39"/>
      <c r="AO66" s="38">
        <f>COUNTIFS(DataRegularSeason20242025!$E$2:$E$1315,WatchedGames20242025!$A65,DataRegularSeason20242025!$D$2:$D$1315,WatchedGames20242025!AO$1,DataRegularSeason20242025!$N$2:$N$1315,1, DataRegularSeason20242025!$R$2:$R$1315,1)</f>
        <v>0</v>
      </c>
      <c r="AP66" s="39"/>
      <c r="AQ66" s="38">
        <f>COUNTIFS(DataRegularSeason20242025!$E$2:$E$1315,WatchedGames20242025!$A65,DataRegularSeason20242025!$D$2:$D$1315,WatchedGames20242025!AQ$1,DataRegularSeason20242025!$N$2:$N$1315,1, DataRegularSeason20242025!$R$2:$R$1315,1)</f>
        <v>0</v>
      </c>
      <c r="AR66" s="39"/>
      <c r="AS66" s="38">
        <f>COUNTIFS(DataRegularSeason20242025!$E$2:$E$1315,WatchedGames20242025!$A65,DataRegularSeason20242025!$D$2:$D$1315,WatchedGames20242025!AS$1,DataRegularSeason20242025!$N$2:$N$1315,1, DataRegularSeason20242025!$R$2:$R$1315,1)</f>
        <v>0</v>
      </c>
      <c r="AT66" s="39"/>
      <c r="AU66" s="38">
        <f>COUNTIFS(DataRegularSeason20242025!$E$2:$E$1315,WatchedGames20242025!$A65,DataRegularSeason20242025!$D$2:$D$1315,WatchedGames20242025!AU$1,DataRegularSeason20242025!$N$2:$N$1315,1, DataRegularSeason20242025!$R$2:$R$1315,1)</f>
        <v>1</v>
      </c>
      <c r="AV66" s="39"/>
      <c r="AW66" s="38">
        <f>COUNTIFS(DataRegularSeason20242025!$E$2:$E$1315,WatchedGames20242025!$A65,DataRegularSeason20242025!$D$2:$D$1315,WatchedGames20242025!AW$1,DataRegularSeason20242025!$N$2:$N$1315,1, DataRegularSeason20242025!$R$2:$R$1315,1)</f>
        <v>0</v>
      </c>
      <c r="AX66" s="39"/>
      <c r="AY66" s="38">
        <f>COUNTIFS(DataRegularSeason20242025!$E$2:$E$1315,WatchedGames20242025!$A65,DataRegularSeason20242025!$D$2:$D$1315,WatchedGames20242025!AY$1,DataRegularSeason20242025!$N$2:$N$1315,1, DataRegularSeason20242025!$R$2:$R$1315,1)</f>
        <v>0</v>
      </c>
      <c r="AZ66" s="39"/>
      <c r="BA66" s="38">
        <f>COUNTIFS(DataRegularSeason20242025!$E$2:$E$1315,WatchedGames20242025!$A65,DataRegularSeason20242025!$D$2:$D$1315,WatchedGames20242025!BA$1,DataRegularSeason20242025!$N$2:$N$1315,1, DataRegularSeason20242025!$R$2:$R$1315,1)</f>
        <v>1</v>
      </c>
      <c r="BB66" s="39"/>
      <c r="BC66" s="38">
        <f>COUNTIFS(DataRegularSeason20242025!$E$2:$E$1315,WatchedGames20242025!$A65,DataRegularSeason20242025!$D$2:$D$1315,WatchedGames20242025!BC$1,DataRegularSeason20242025!$N$2:$N$1315,1, DataRegularSeason20242025!$R$2:$R$1315,1)</f>
        <v>0</v>
      </c>
      <c r="BD66" s="39"/>
      <c r="BE66" s="38">
        <f>COUNTIFS(DataRegularSeason20242025!$E$2:$E$1315,WatchedGames20242025!$A65,DataRegularSeason20242025!$D$2:$D$1315,WatchedGames20242025!BE$1,DataRegularSeason20242025!$N$2:$N$1315,1, DataRegularSeason20242025!$R$2:$R$1315,1)</f>
        <v>0</v>
      </c>
      <c r="BF66" s="39"/>
      <c r="BG66" s="38">
        <f>COUNTIFS(DataRegularSeason20242025!$E$2:$E$1315,WatchedGames20242025!$A65,DataRegularSeason20242025!$D$2:$D$1315,WatchedGames20242025!BG$1,DataRegularSeason20242025!$N$2:$N$1315,1, DataRegularSeason20242025!$R$2:$R$1315,1)</f>
        <v>0</v>
      </c>
      <c r="BH66" s="39"/>
      <c r="BI66" s="38">
        <f>COUNTIFS(DataRegularSeason20242025!$E$2:$E$1315,WatchedGames20242025!$A65,DataRegularSeason20242025!$D$2:$D$1315,WatchedGames20242025!BI$1,DataRegularSeason20242025!$N$2:$N$1315,1, DataRegularSeason20242025!$R$2:$R$1315,1)</f>
        <v>0</v>
      </c>
      <c r="BJ66" s="39"/>
      <c r="BK66" s="38">
        <f>COUNTIFS(DataRegularSeason20242025!$E$2:$E$1315,WatchedGames20242025!$A65,DataRegularSeason20242025!$D$2:$D$1315,WatchedGames20242025!BK$1,DataRegularSeason20242025!$N$2:$N$1315,1, DataRegularSeason20242025!$R$2:$R$1315,1)</f>
        <v>0</v>
      </c>
      <c r="BL66" s="39"/>
      <c r="BM66" s="38"/>
      <c r="BN66" s="39"/>
      <c r="BO66" s="34">
        <f t="shared" si="1"/>
        <v>3</v>
      </c>
      <c r="BP66" s="165"/>
      <c r="BQ66" s="166"/>
      <c r="BR66" s="173"/>
    </row>
    <row r="67" spans="1:70" x14ac:dyDescent="0.25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  <c r="BC67" s="26"/>
      <c r="BD67" s="26"/>
      <c r="BE67" s="26"/>
      <c r="BF67" s="26"/>
      <c r="BG67" s="26"/>
      <c r="BH67" s="26"/>
      <c r="BI67" s="26"/>
      <c r="BJ67" s="26"/>
      <c r="BK67" s="26"/>
      <c r="BL67" s="26"/>
      <c r="BM67" s="26"/>
      <c r="BN67" s="26"/>
      <c r="BO67" s="26"/>
      <c r="BP67" s="26">
        <f>SUM(BP3:BP66)/2</f>
        <v>79</v>
      </c>
      <c r="BQ67" s="26">
        <f>SUM(BQ3:BQ66)/2</f>
        <v>1233</v>
      </c>
      <c r="BR67" s="135">
        <f t="shared" si="0"/>
        <v>6.0213414634146339E-2</v>
      </c>
    </row>
    <row r="68" spans="1:70" x14ac:dyDescent="0.25">
      <c r="BR68" s="136"/>
    </row>
  </sheetData>
  <mergeCells count="160">
    <mergeCell ref="A63:A64"/>
    <mergeCell ref="BP63:BP64"/>
    <mergeCell ref="BQ63:BQ64"/>
    <mergeCell ref="A65:A66"/>
    <mergeCell ref="BP65:BP66"/>
    <mergeCell ref="BQ65:BQ66"/>
    <mergeCell ref="A59:A60"/>
    <mergeCell ref="BP59:BP60"/>
    <mergeCell ref="BQ59:BQ60"/>
    <mergeCell ref="A61:A62"/>
    <mergeCell ref="BP61:BP62"/>
    <mergeCell ref="BQ61:BQ62"/>
    <mergeCell ref="A55:A56"/>
    <mergeCell ref="BP55:BP56"/>
    <mergeCell ref="BQ55:BQ56"/>
    <mergeCell ref="A57:A58"/>
    <mergeCell ref="BP57:BP58"/>
    <mergeCell ref="BQ57:BQ58"/>
    <mergeCell ref="A51:A52"/>
    <mergeCell ref="BP51:BP52"/>
    <mergeCell ref="BQ51:BQ52"/>
    <mergeCell ref="A53:A54"/>
    <mergeCell ref="BP53:BP54"/>
    <mergeCell ref="BQ53:BQ54"/>
    <mergeCell ref="A47:A48"/>
    <mergeCell ref="BP47:BP48"/>
    <mergeCell ref="BQ47:BQ48"/>
    <mergeCell ref="A49:A50"/>
    <mergeCell ref="BP49:BP50"/>
    <mergeCell ref="BQ49:BQ50"/>
    <mergeCell ref="A43:A44"/>
    <mergeCell ref="BP43:BP44"/>
    <mergeCell ref="BQ43:BQ44"/>
    <mergeCell ref="A45:A46"/>
    <mergeCell ref="BP45:BP46"/>
    <mergeCell ref="BQ45:BQ46"/>
    <mergeCell ref="A39:A40"/>
    <mergeCell ref="BP39:BP40"/>
    <mergeCell ref="BQ39:BQ40"/>
    <mergeCell ref="A41:A42"/>
    <mergeCell ref="BP41:BP42"/>
    <mergeCell ref="BQ41:BQ42"/>
    <mergeCell ref="A35:A36"/>
    <mergeCell ref="BP35:BP36"/>
    <mergeCell ref="BQ35:BQ36"/>
    <mergeCell ref="A37:A38"/>
    <mergeCell ref="BP37:BP38"/>
    <mergeCell ref="BQ37:BQ38"/>
    <mergeCell ref="A31:A32"/>
    <mergeCell ref="BP31:BP32"/>
    <mergeCell ref="BQ31:BQ32"/>
    <mergeCell ref="A33:A34"/>
    <mergeCell ref="BP33:BP34"/>
    <mergeCell ref="BQ33:BQ34"/>
    <mergeCell ref="A27:A28"/>
    <mergeCell ref="BP27:BP28"/>
    <mergeCell ref="BQ27:BQ28"/>
    <mergeCell ref="A29:A30"/>
    <mergeCell ref="BP29:BP30"/>
    <mergeCell ref="BQ29:BQ30"/>
    <mergeCell ref="A23:A24"/>
    <mergeCell ref="BP23:BP24"/>
    <mergeCell ref="BQ23:BQ24"/>
    <mergeCell ref="A25:A26"/>
    <mergeCell ref="BP25:BP26"/>
    <mergeCell ref="BQ25:BQ26"/>
    <mergeCell ref="A19:A20"/>
    <mergeCell ref="BP19:BP20"/>
    <mergeCell ref="BQ19:BQ20"/>
    <mergeCell ref="A21:A22"/>
    <mergeCell ref="BP21:BP22"/>
    <mergeCell ref="BQ21:BQ22"/>
    <mergeCell ref="A15:A16"/>
    <mergeCell ref="BP15:BP16"/>
    <mergeCell ref="BQ15:BQ16"/>
    <mergeCell ref="A17:A18"/>
    <mergeCell ref="BP17:BP18"/>
    <mergeCell ref="BQ17:BQ18"/>
    <mergeCell ref="A11:A12"/>
    <mergeCell ref="BP11:BP12"/>
    <mergeCell ref="BQ11:BQ12"/>
    <mergeCell ref="A13:A14"/>
    <mergeCell ref="BP13:BP14"/>
    <mergeCell ref="BQ13:BQ14"/>
    <mergeCell ref="A7:A8"/>
    <mergeCell ref="BP7:BP8"/>
    <mergeCell ref="BQ7:BQ8"/>
    <mergeCell ref="A9:A10"/>
    <mergeCell ref="BP9:BP10"/>
    <mergeCell ref="BQ9:BQ10"/>
    <mergeCell ref="BK1:BL1"/>
    <mergeCell ref="BM1:BN1"/>
    <mergeCell ref="A3:A4"/>
    <mergeCell ref="BP3:BP4"/>
    <mergeCell ref="BQ3:BQ4"/>
    <mergeCell ref="A5:A6"/>
    <mergeCell ref="BP5:BP6"/>
    <mergeCell ref="BQ5:BQ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C1:D1"/>
    <mergeCell ref="E1:F1"/>
    <mergeCell ref="G1:H1"/>
    <mergeCell ref="I1:J1"/>
    <mergeCell ref="K1:L1"/>
    <mergeCell ref="M1:N1"/>
    <mergeCell ref="AU1:AV1"/>
    <mergeCell ref="AW1:AX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  <mergeCell ref="BR3:BR4"/>
    <mergeCell ref="BR5:BR6"/>
    <mergeCell ref="BR7:BR8"/>
    <mergeCell ref="BR9:BR10"/>
    <mergeCell ref="BR11:BR12"/>
    <mergeCell ref="BR13:BR14"/>
    <mergeCell ref="BR15:BR16"/>
    <mergeCell ref="BR17:BR18"/>
    <mergeCell ref="BR19:BR20"/>
    <mergeCell ref="BR21:BR22"/>
    <mergeCell ref="BR23:BR24"/>
    <mergeCell ref="BR25:BR26"/>
    <mergeCell ref="BR27:BR28"/>
    <mergeCell ref="BR29:BR30"/>
    <mergeCell ref="BR31:BR32"/>
    <mergeCell ref="BR33:BR34"/>
    <mergeCell ref="BR35:BR36"/>
    <mergeCell ref="BR37:BR38"/>
    <mergeCell ref="BR57:BR58"/>
    <mergeCell ref="BR59:BR60"/>
    <mergeCell ref="BR61:BR62"/>
    <mergeCell ref="BR63:BR64"/>
    <mergeCell ref="BR65:BR66"/>
    <mergeCell ref="BR39:BR40"/>
    <mergeCell ref="BR41:BR42"/>
    <mergeCell ref="BR43:BR44"/>
    <mergeCell ref="BR45:BR46"/>
    <mergeCell ref="BR47:BR48"/>
    <mergeCell ref="BR49:BR50"/>
    <mergeCell ref="BR51:BR52"/>
    <mergeCell ref="BR53:BR54"/>
    <mergeCell ref="BR55:BR56"/>
  </mergeCells>
  <conditionalFormatting sqref="C3:BN66">
    <cfRule type="colorScale" priority="2">
      <colorScale>
        <cfvo type="min"/>
        <cfvo type="max"/>
        <color rgb="FFFCFCFF"/>
        <color rgb="FF63BE7B"/>
      </colorScale>
    </cfRule>
  </conditionalFormatting>
  <conditionalFormatting sqref="BR3:BR68">
    <cfRule type="dataBar" priority="1">
      <dataBar>
        <cfvo type="num" val="0"/>
        <cfvo type="num" val="1"/>
        <color rgb="FFFFB628"/>
      </dataBar>
      <extLst>
        <ext xmlns:x14="http://schemas.microsoft.com/office/spreadsheetml/2009/9/main" uri="{B025F937-C7B1-47D3-B67F-A62EFF666E3E}">
          <x14:id>{D1318EEC-9A07-4128-B5FF-A678D0D5880A}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1318EEC-9A07-4128-B5FF-A678D0D5880A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BR3:BR68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8067C-46A5-4B78-BAED-69F679E3BC89}">
  <dimension ref="A1:EN99"/>
  <sheetViews>
    <sheetView workbookViewId="0">
      <pane xSplit="1" topLeftCell="B1" activePane="topRight" state="frozen"/>
      <selection pane="topRight" activeCell="AL33" sqref="AL33"/>
    </sheetView>
  </sheetViews>
  <sheetFormatPr defaultRowHeight="15" x14ac:dyDescent="0.25"/>
  <cols>
    <col min="1" max="1" width="6.28515625" bestFit="1" customWidth="1"/>
    <col min="2" max="2" width="2.7109375" bestFit="1" customWidth="1"/>
    <col min="3" max="3" width="2.5703125" bestFit="1" customWidth="1"/>
    <col min="4" max="4" width="4" bestFit="1" customWidth="1"/>
    <col min="5" max="5" width="9.28515625" style="10" customWidth="1"/>
    <col min="6" max="9" width="3.140625" customWidth="1"/>
    <col min="10" max="10" width="3.85546875" customWidth="1"/>
    <col min="11" max="27" width="3.140625" customWidth="1"/>
    <col min="28" max="28" width="5.7109375" customWidth="1"/>
    <col min="29" max="36" width="3.140625" customWidth="1"/>
    <col min="37" max="37" width="5.28515625" style="2" customWidth="1"/>
    <col min="38" max="40" width="5.28515625" customWidth="1"/>
    <col min="41" max="41" width="3.85546875" customWidth="1"/>
    <col min="42" max="42" width="4" customWidth="1"/>
    <col min="43" max="44" width="8.7109375" style="10" customWidth="1"/>
    <col min="45" max="46" width="4" bestFit="1" customWidth="1"/>
    <col min="47" max="47" width="6.7109375" customWidth="1"/>
    <col min="48" max="48" width="5.85546875" customWidth="1"/>
    <col min="49" max="49" width="9" customWidth="1"/>
    <col min="50" max="50" width="3.7109375" customWidth="1"/>
    <col min="51" max="51" width="3.85546875" customWidth="1"/>
    <col min="52" max="52" width="4.140625" customWidth="1"/>
    <col min="53" max="53" width="3.7109375" bestFit="1" customWidth="1"/>
    <col min="54" max="54" width="2.7109375" customWidth="1"/>
    <col min="55" max="56" width="3.85546875" customWidth="1"/>
    <col min="57" max="57" width="3.7109375" bestFit="1" customWidth="1"/>
    <col min="58" max="58" width="3.85546875" customWidth="1"/>
    <col min="59" max="59" width="4.42578125" customWidth="1"/>
    <col min="60" max="60" width="3.7109375" bestFit="1" customWidth="1"/>
    <col min="61" max="62" width="5.5703125" bestFit="1" customWidth="1"/>
    <col min="63" max="63" width="6.28515625" bestFit="1" customWidth="1"/>
    <col min="64" max="65" width="7.42578125" bestFit="1" customWidth="1"/>
    <col min="66" max="66" width="7.7109375" customWidth="1"/>
    <col min="67" max="67" width="7.5703125" customWidth="1"/>
    <col min="68" max="68" width="8.7109375" customWidth="1"/>
    <col min="69" max="71" width="8" customWidth="1"/>
    <col min="72" max="74" width="3.7109375" bestFit="1" customWidth="1"/>
    <col min="75" max="77" width="2.7109375" bestFit="1" customWidth="1"/>
    <col min="78" max="78" width="5.42578125" bestFit="1" customWidth="1"/>
    <col min="79" max="79" width="2" bestFit="1" customWidth="1"/>
    <col min="80" max="80" width="5" bestFit="1" customWidth="1"/>
    <col min="81" max="81" width="10.42578125" bestFit="1" customWidth="1"/>
    <col min="82" max="82" width="11" customWidth="1"/>
    <col min="83" max="84" width="8.140625" bestFit="1" customWidth="1"/>
    <col min="85" max="93" width="8.140625" customWidth="1"/>
    <col min="94" max="95" width="2" customWidth="1"/>
    <col min="96" max="96" width="49.5703125" customWidth="1"/>
    <col min="97" max="97" width="11.5703125" customWidth="1"/>
    <col min="100" max="126" width="7.7109375" customWidth="1"/>
  </cols>
  <sheetData>
    <row r="1" spans="1:144" s="11" customFormat="1" ht="49.5" customHeight="1" x14ac:dyDescent="0.25">
      <c r="A1" s="11" t="s">
        <v>39</v>
      </c>
      <c r="B1" s="11" t="s">
        <v>88</v>
      </c>
      <c r="C1" s="11" t="s">
        <v>89</v>
      </c>
      <c r="D1" s="11" t="s">
        <v>87</v>
      </c>
      <c r="E1" s="13" t="s">
        <v>130</v>
      </c>
      <c r="F1" s="11" t="s">
        <v>55</v>
      </c>
      <c r="G1" s="11" t="s">
        <v>112</v>
      </c>
      <c r="H1" s="11" t="s">
        <v>56</v>
      </c>
      <c r="I1" s="11" t="s">
        <v>113</v>
      </c>
      <c r="J1" s="11" t="s">
        <v>57</v>
      </c>
      <c r="K1" s="11" t="s">
        <v>78</v>
      </c>
      <c r="L1" s="11" t="s">
        <v>58</v>
      </c>
      <c r="M1" s="11" t="s">
        <v>101</v>
      </c>
      <c r="N1" s="11" t="s">
        <v>102</v>
      </c>
      <c r="O1" s="11" t="s">
        <v>103</v>
      </c>
      <c r="P1" s="11" t="s">
        <v>59</v>
      </c>
      <c r="Q1" s="11" t="s">
        <v>107</v>
      </c>
      <c r="R1" s="11" t="s">
        <v>84</v>
      </c>
      <c r="S1" s="11" t="s">
        <v>85</v>
      </c>
      <c r="T1" s="11" t="s">
        <v>60</v>
      </c>
      <c r="U1" s="11" t="s">
        <v>104</v>
      </c>
      <c r="V1" s="11" t="s">
        <v>105</v>
      </c>
      <c r="W1" s="11" t="s">
        <v>106</v>
      </c>
      <c r="X1" s="11" t="s">
        <v>61</v>
      </c>
      <c r="Y1" s="11" t="s">
        <v>108</v>
      </c>
      <c r="Z1" s="11" t="s">
        <v>97</v>
      </c>
      <c r="AA1" s="11" t="s">
        <v>98</v>
      </c>
      <c r="AB1" s="11" t="s">
        <v>544</v>
      </c>
      <c r="AC1" s="11" t="s">
        <v>90</v>
      </c>
      <c r="AD1" s="11" t="s">
        <v>119</v>
      </c>
      <c r="AE1" s="11" t="s">
        <v>118</v>
      </c>
      <c r="AF1" s="11" t="s">
        <v>120</v>
      </c>
      <c r="AG1" s="11" t="s">
        <v>121</v>
      </c>
      <c r="AH1" s="11" t="s">
        <v>122</v>
      </c>
      <c r="AI1" s="11" t="s">
        <v>123</v>
      </c>
      <c r="AJ1" s="11" t="s">
        <v>124</v>
      </c>
      <c r="AK1" s="65" t="s">
        <v>488</v>
      </c>
      <c r="AL1" s="137" t="s">
        <v>542</v>
      </c>
      <c r="AM1" s="137" t="s">
        <v>546</v>
      </c>
      <c r="AN1" s="137" t="s">
        <v>545</v>
      </c>
      <c r="AO1" s="11" t="s">
        <v>99</v>
      </c>
      <c r="AP1" s="11" t="s">
        <v>100</v>
      </c>
      <c r="AQ1" s="13" t="s">
        <v>116</v>
      </c>
      <c r="AR1" s="13" t="s">
        <v>443</v>
      </c>
      <c r="AS1" s="11" t="s">
        <v>114</v>
      </c>
      <c r="AT1" s="11" t="s">
        <v>115</v>
      </c>
      <c r="AU1" s="11" t="s">
        <v>458</v>
      </c>
      <c r="AV1" s="11" t="s">
        <v>459</v>
      </c>
      <c r="AW1" s="11" t="s">
        <v>125</v>
      </c>
      <c r="AX1" s="11" t="s">
        <v>145</v>
      </c>
      <c r="AY1" s="11" t="s">
        <v>62</v>
      </c>
      <c r="AZ1" s="11" t="s">
        <v>63</v>
      </c>
      <c r="BA1" s="11" t="s">
        <v>64</v>
      </c>
      <c r="BB1" s="11" t="s">
        <v>144</v>
      </c>
      <c r="BC1" s="11" t="s">
        <v>65</v>
      </c>
      <c r="BD1" s="11" t="s">
        <v>70</v>
      </c>
      <c r="BE1" s="11" t="s">
        <v>66</v>
      </c>
      <c r="BF1" s="11" t="s">
        <v>67</v>
      </c>
      <c r="BG1" s="11" t="s">
        <v>68</v>
      </c>
      <c r="BH1" s="11" t="s">
        <v>69</v>
      </c>
      <c r="BI1" s="11" t="s">
        <v>94</v>
      </c>
      <c r="BJ1" s="11" t="s">
        <v>95</v>
      </c>
      <c r="BK1" s="11" t="s">
        <v>96</v>
      </c>
      <c r="BL1" s="11" t="s">
        <v>452</v>
      </c>
      <c r="BM1" s="11" t="s">
        <v>453</v>
      </c>
      <c r="BN1" s="11" t="s">
        <v>470</v>
      </c>
      <c r="BO1" s="11" t="s">
        <v>471</v>
      </c>
      <c r="BP1" s="11" t="s">
        <v>474</v>
      </c>
      <c r="BQ1" s="11" t="s">
        <v>475</v>
      </c>
      <c r="BR1" s="11" t="s">
        <v>540</v>
      </c>
      <c r="BS1" s="11" t="s">
        <v>541</v>
      </c>
      <c r="BT1" s="11" t="s">
        <v>50</v>
      </c>
      <c r="BU1" s="11" t="s">
        <v>51</v>
      </c>
      <c r="BV1" s="11" t="s">
        <v>45</v>
      </c>
      <c r="BW1" s="11" t="s">
        <v>46</v>
      </c>
      <c r="BX1" s="11" t="s">
        <v>47</v>
      </c>
      <c r="BY1" s="11" t="s">
        <v>48</v>
      </c>
      <c r="BZ1" s="11" t="s">
        <v>539</v>
      </c>
      <c r="CA1" s="11" t="s">
        <v>49</v>
      </c>
      <c r="CB1" s="11" t="s">
        <v>476</v>
      </c>
      <c r="CC1" s="11" t="s">
        <v>533</v>
      </c>
      <c r="CD1" s="11" t="s">
        <v>534</v>
      </c>
      <c r="CE1" s="11" t="s">
        <v>492</v>
      </c>
      <c r="CF1" s="11" t="s">
        <v>493</v>
      </c>
      <c r="CG1" s="11" t="s">
        <v>531</v>
      </c>
      <c r="CH1" s="11" t="s">
        <v>532</v>
      </c>
      <c r="CI1" s="11" t="s">
        <v>535</v>
      </c>
      <c r="CJ1" s="11" t="s">
        <v>536</v>
      </c>
      <c r="CK1" s="11" t="s">
        <v>537</v>
      </c>
      <c r="CL1" s="11" t="s">
        <v>538</v>
      </c>
      <c r="CY1" s="11" t="s">
        <v>151</v>
      </c>
      <c r="CZ1" s="11" t="s">
        <v>152</v>
      </c>
    </row>
    <row r="2" spans="1:144" x14ac:dyDescent="0.25">
      <c r="A2" t="s">
        <v>25</v>
      </c>
      <c r="B2" t="s">
        <v>90</v>
      </c>
      <c r="C2" t="s">
        <v>88</v>
      </c>
      <c r="D2">
        <f>COUNTIFS(DataRegularSeason20242025!$D$3:$D$1315,$A2,DataRegularSeason20242025!$R$3:$R$1315,1,DataRegularSeason20242025!$N$3:$N$1315,1) + COUNTIFS(DataRegularSeason20242025!$E$3:$E$1315,$A2,DataRegularSeason20242025!$R$3:$R$1315,1,DataRegularSeason20242025!$N$3:$N$1315,1)</f>
        <v>6</v>
      </c>
      <c r="E2" s="10">
        <f>Table3[[#This Row],[Watched]]/Table3[[#This Row],[GP]]</f>
        <v>0.8571428571428571</v>
      </c>
      <c r="F2">
        <f>COUNTIFS(DataRegularSeason20242025!$N$3:$N$1315,1,DataRegularSeason20242025!$D$3:$D$1315,$A2)</f>
        <v>4</v>
      </c>
      <c r="G2">
        <f>41-Table3[[#This Row],[GP_A]]</f>
        <v>37</v>
      </c>
      <c r="H2">
        <f>COUNTIFS(DataRegularSeason20242025!$E$3:$E$1315,$A2,DataRegularSeason20242025!$N$3:$N$1315,1)</f>
        <v>3</v>
      </c>
      <c r="I2">
        <f>41-Table3[[#This Row],[GP_H]]</f>
        <v>38</v>
      </c>
      <c r="J2">
        <f t="shared" ref="J2:J33" si="0">F2+H2</f>
        <v>7</v>
      </c>
      <c r="K2">
        <f>82-Table3[[#This Row],[GP]]</f>
        <v>75</v>
      </c>
      <c r="L2">
        <f>COUNTIFS(DataRegularSeason20242025!$D$3:$D$1315,$A2, DataRegularSeason20242025!$L$3:$L$1315, $A2,DataRegularSeason20242025!$N$3:$N$1315,1)</f>
        <v>3</v>
      </c>
      <c r="M2">
        <f>COUNTIFS(DataRegularSeason20242025!$D$3:$D$1315,$A2, DataRegularSeason20242025!$L$3:$L$1315, $A2,DataRegularSeason20242025!$N$3:$N$1315,1,DataRegularSeason20242025!$M$3:$M$1315,"REG")</f>
        <v>3</v>
      </c>
      <c r="N2">
        <f>COUNTIFS(DataRegularSeason20242025!$D$3:$D$1315,$A2, DataRegularSeason20242025!$L$3:$L$1315, $A2,DataRegularSeason20242025!$N$3:$N$1315,1,DataRegularSeason20242025!$M$3:$M$1315,"OT")</f>
        <v>0</v>
      </c>
      <c r="O2">
        <f>COUNTIFS(DataRegularSeason20242025!$D$3:$D$1315,$A2, DataRegularSeason20242025!$L$3:$L$1315, $A2,DataRegularSeason20242025!$N$3:$N$1315,1,DataRegularSeason20242025!$M$3:$M$1315,"SO")</f>
        <v>0</v>
      </c>
      <c r="P2">
        <f t="shared" ref="P2:P33" si="1">F2-L2</f>
        <v>1</v>
      </c>
      <c r="Q2">
        <f>COUNTIFS(DataRegularSeason20242025!$D$3:$D$1315,$A2, DataRegularSeason20242025!$S$3:$S$1315, $A2,DataRegularSeason20242025!$M$3:$M$1315,"REG")</f>
        <v>0</v>
      </c>
      <c r="R2">
        <f>COUNTIFS(DataRegularSeason20242025!$D$3:$D$1315,$A2, DataRegularSeason20242025!$S$3:$S$1315, $A2,DataRegularSeason20242025!$M$3:$M$1315,"OT")</f>
        <v>1</v>
      </c>
      <c r="S2">
        <f>COUNTIFS(DataRegularSeason20242025!$D$3:$D$1315,$A2, DataRegularSeason20242025!$S$3:$S$1315, $A2,DataRegularSeason20242025!$M$3:$M$1315,"SO")</f>
        <v>0</v>
      </c>
      <c r="T2">
        <f>COUNTIFS(DataRegularSeason20242025!$E$3:$E$1315,$A2, DataRegularSeason20242025!$L$3:$L$1315, $A2, DataRegularSeason20242025!$N$3:$N$1315,1)</f>
        <v>2</v>
      </c>
      <c r="U2">
        <f>COUNTIFS(DataRegularSeason20242025!$E$3:$E$1315,$A2, DataRegularSeason20242025!$L$3:$L$1315, $A2,DataRegularSeason20242025!$N$3:$N$1315,1,DataRegularSeason20242025!$M$3:$M$1315,"REG")</f>
        <v>2</v>
      </c>
      <c r="V2">
        <f>COUNTIFS(DataRegularSeason20242025!$E$3:$E$1315,$A2, DataRegularSeason20242025!$L$3:$L$1315, $A2,DataRegularSeason20242025!$N$3:$N$1315,1,DataRegularSeason20242025!$M$3:$M$1315,"OT")</f>
        <v>0</v>
      </c>
      <c r="W2">
        <f>COUNTIFS(DataRegularSeason20242025!$E$3:$E$1315,$A2, DataRegularSeason20242025!$L$3:$L$1315, $A2,DataRegularSeason20242025!$N$3:$N$1315,1,DataRegularSeason20242025!$M$3:$M$1315,"SO")</f>
        <v>0</v>
      </c>
      <c r="X2">
        <f t="shared" ref="X2:X33" si="2">H2-T2</f>
        <v>1</v>
      </c>
      <c r="Y2">
        <f>COUNTIFS(DataRegularSeason20242025!$E$3:$E$1315,$A2, DataRegularSeason20242025!$S$3:$S$1315, $A2,DataRegularSeason20242025!$M$3:$M$1315,"REG")</f>
        <v>0</v>
      </c>
      <c r="Z2">
        <f>COUNTIFS(DataRegularSeason20242025!$E$3:$E$1315,$A2, DataRegularSeason20242025!$S$3:$S$1315, $A2,DataRegularSeason20242025!$M$3:$M$1315,"OT")</f>
        <v>0</v>
      </c>
      <c r="AA2">
        <f>COUNTIFS(DataRegularSeason20242025!$E$3:$E$1315,$A2, DataRegularSeason20242025!$S$3:$S$1315, $A2,DataRegularSeason20242025!$M$3:$M$1315,"SO")</f>
        <v>1</v>
      </c>
      <c r="AB2">
        <f>Table3[[#This Row],[W]]/MAX(1,Table3[[#This Row],[W]]+Table3[[#This Row],[L]])</f>
        <v>0.7142857142857143</v>
      </c>
      <c r="AC2">
        <f>Table3[[#This Row],[W_A]]+Table3[[#This Row],[W_H]]</f>
        <v>5</v>
      </c>
      <c r="AD2">
        <f>Table3[[#This Row],[L_A]]+Table3[[#This Row],[L_H]]</f>
        <v>2</v>
      </c>
      <c r="AE2">
        <f>Table3[[#This Row],[RW_A]]+Table3[[#This Row],[RW_H]]</f>
        <v>5</v>
      </c>
      <c r="AF2">
        <f>Table3[[#This Row],[RL_A]]+Table3[[#This Row],[RL_H]]</f>
        <v>0</v>
      </c>
      <c r="AG2">
        <f>Table3[[#This Row],[OTW_A]]+Table3[[#This Row],[OTW_H]]</f>
        <v>0</v>
      </c>
      <c r="AH2">
        <f>Table3[[#This Row],[OTL_A]]+Table3[[#This Row],[OTL_H]]</f>
        <v>1</v>
      </c>
      <c r="AI2">
        <f>Table3[[#This Row],[SOW_A]]+Table3[[#This Row],[SOW_H]]</f>
        <v>0</v>
      </c>
      <c r="AJ2">
        <f>Table3[[#This Row],[SOL_A]]+Table3[[#This Row],[SOL_H]]</f>
        <v>1</v>
      </c>
      <c r="AK2" s="15" t="str">
        <f>_xlfn.CONCAT(TEXT(Table3[[#This Row],[OTW]]+Table3[[#This Row],[SOW]], "0"), "-", TEXT(Table3[[#This Row],[OTL]]+Table3[[#This Row],[SOL]],"0"))</f>
        <v>0-2</v>
      </c>
      <c r="AL2">
        <f>SUM(Table3[[#This Row],[OTW]],Table3[[#This Row],[OTL]],Table3[[#This Row],[SOW]],Table3[[#This Row],[SOL]])</f>
        <v>2</v>
      </c>
      <c r="AM2">
        <f>(Table3[[#This Row],[OTW]]+Table3[[#This Row],[SOW]])/IF(Table3[[#This Row],[Total_ExtraTimes]]=0,1,Table3[[#This Row],[Total_ExtraTimes]])</f>
        <v>0</v>
      </c>
      <c r="AN2">
        <f>Table3[[#This Row],[Total_ExtraTimes]]/MAX(1,Table3[[#This Row],[GP]])</f>
        <v>0.2857142857142857</v>
      </c>
      <c r="AO2">
        <f>(2*(Table3[[#This Row],[W_A]]+Table3[[#This Row],[W_H]]))+Table3[[#This Row],[OTL_A]]+Table3[[#This Row],[SOL_A]]+Table3[[#This Row],[OTL_H]]+Table3[[#This Row],[SOL_H]]</f>
        <v>12</v>
      </c>
      <c r="AP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17</v>
      </c>
      <c r="AQ2" s="10">
        <f>Table3[[#This Row],[PTS]]/(2*Table3[[#This Row],[GP]])</f>
        <v>0.8571428571428571</v>
      </c>
      <c r="AR2" s="10">
        <f>Table3[[#This Row],[PTS2]]/(3*Table3[[#This Row],[GP]])</f>
        <v>0.80952380952380953</v>
      </c>
      <c r="AS2">
        <f>(2*Table3[[#This Row],[GR]])+Table3[[#This Row],[PTS]]</f>
        <v>162</v>
      </c>
      <c r="AT2">
        <f>(3*Table3[[#This Row],[GR]])+Table3[[#This Row],[PTS2]]</f>
        <v>242</v>
      </c>
      <c r="AU2">
        <f>Table3[[#This Row],[PTS]]+(2 * Table3[[#This Row],[GR]] * Table3[[#This Row],[PTS%]])</f>
        <v>140.57142857142856</v>
      </c>
      <c r="AV2">
        <f>Table3[[#This Row],[PTS2]]+(3 * Table3[[#This Row],[GR]] * Table3[[#This Row],[PTS%2]])</f>
        <v>199.14285714285714</v>
      </c>
      <c r="AW2" s="15" t="str">
        <f>_xlfn.CONCAT(TEXT(Table3[[#This Row],[W]], "0"), "-", TEXT(Table3[[#This Row],[RL]],"0"), "-", TEXT(Table3[[#This Row],[OTL]]+Table3[[#This Row],[SOL]], "0"))</f>
        <v>5-0-2</v>
      </c>
      <c r="AX2">
        <f>COUNTIFS(DataRegularSeason20242025!$D$3:$D$1315,Table3[[#This Row],[Teams]],DataRegularSeason20242025!$K$3:$K$1315,0)</f>
        <v>0</v>
      </c>
      <c r="AY2">
        <f>SUMIF(DataRegularSeason20242025!$D$3:$D$1315,$A2, DataRegularSeason20242025!$J$3:$J$1315)</f>
        <v>14</v>
      </c>
      <c r="AZ2">
        <f>SUMIF(DataRegularSeason20242025!$D$3:$D$1315,$A2, DataRegularSeason20242025!$K$3:$K$1315)</f>
        <v>7</v>
      </c>
      <c r="BA2">
        <f t="shared" ref="BA2:BA33" si="3">AY2-AZ2</f>
        <v>7</v>
      </c>
      <c r="BB2">
        <f>COUNTIFS(DataRegularSeason20242025!$E$3:$E$1315,Table3[[#This Row],[Teams]],DataRegularSeason20242025!$J$3:$J$1315,0)</f>
        <v>0</v>
      </c>
      <c r="BC2">
        <f>SUMIF(DataRegularSeason20242025!$E$3:$E$1315,$A2,DataRegularSeason20242025!$K$3:$K$1315)</f>
        <v>10</v>
      </c>
      <c r="BD2">
        <f>SUMIF(DataRegularSeason20242025!$E$3:$E$1315,$A2,DataRegularSeason20242025!$J$3:$J$1315)</f>
        <v>7</v>
      </c>
      <c r="BE2">
        <f t="shared" ref="BE2:BE33" si="4">BC2-BD2</f>
        <v>3</v>
      </c>
      <c r="BF2">
        <f t="shared" ref="BF2:BF33" si="5">AY2+BC2</f>
        <v>24</v>
      </c>
      <c r="BG2">
        <f t="shared" ref="BG2:BG33" si="6">AZ2+BD2</f>
        <v>14</v>
      </c>
      <c r="BH2">
        <f t="shared" ref="BH2:BH33" si="7">BF2-BG2</f>
        <v>10</v>
      </c>
      <c r="BI2" s="12">
        <f>Table3[[#This Row],[GF]]/Table3[[#This Row],[GP]]</f>
        <v>3.4285714285714284</v>
      </c>
      <c r="BJ2" s="12">
        <f>Table3[[#This Row],[GA]]/Table3[[#This Row],[GP]]</f>
        <v>2</v>
      </c>
      <c r="BK2" s="12">
        <f>(Table3[[#This Row],[GF]]-Table3[[#This Row],[GA]])/Table3[[#This Row],[GP]]</f>
        <v>1.4285714285714286</v>
      </c>
      <c r="BL2" s="42" t="str">
        <f>_xlfn.CONCAT(TEXT(Table3[[#This Row],[W_H]], "0"), "-", TEXT(Table3[[#This Row],[RL_H]],"0"), "-", TEXT(Table3[[#This Row],[OTL_H]]+Table3[[#This Row],[SOL_H]], "0"))</f>
        <v>2-0-1</v>
      </c>
      <c r="BM2" s="42" t="str">
        <f>_xlfn.CONCAT(TEXT(Table3[[#This Row],[W_A]], "0"), "-", TEXT(Table3[[#This Row],[RL_A]],"0"), "-", TEXT(Table3[[#This Row],[OTL_A]]+Table3[[#This Row],[SOL_A]], "0"))</f>
        <v>3-0-1</v>
      </c>
      <c r="BN2" s="42">
        <f>((2*(Table3[[#This Row],[W_H]]))+Table3[[#This Row],[OTL_H]]+Table3[[#This Row],[SOL_H]])/(2*Table3[[#This Row],[GP_H]])</f>
        <v>0.83333333333333337</v>
      </c>
      <c r="BO2" s="42">
        <f>((2*(Table3[[#This Row],[W_A]]))+Table3[[#This Row],[OTL_A]]+Table3[[#This Row],[SOL_A]])/(2*Table3[[#This Row],[GP_A]])</f>
        <v>0.875</v>
      </c>
      <c r="BP2" s="16">
        <f>(Table3[[#This Row],[W]]*$CX$3)+(Table3[[#This Row],[L]]*$CX$4)+(Table3[[#This Row],[GF]]*$CX$5)+(Table3[[#This Row],[GA]]*$CX$6)</f>
        <v>8.1</v>
      </c>
      <c r="BQ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72.193877551020407</v>
      </c>
      <c r="BR2" s="16">
        <f>(Table3[[#This Row],[W]]*0.7) + ((Table3[[#This Row],[GF]] - Table3[[#This Row],[GA]])*0.25)+(Table3[[#This Row],[GF]]*0.1)+(Table3[[#This Row],[GA]]*0.05)+(Table3[[#This Row],[L]]*0.3)</f>
        <v>9.6999999999999993</v>
      </c>
      <c r="BS2" s="16">
        <f>Table3[[#This Row],[TeamCost83]]/Table3[[#This Row],[GP]]</f>
        <v>1.3857142857142857</v>
      </c>
      <c r="BT2">
        <f>COUNTIFS(Table2[AwayTeam],$A2,Table2[PredictedWinner], $A2, Table2[GameIsOver], 1)</f>
        <v>4</v>
      </c>
      <c r="BU2">
        <f>COUNTIFS(Table2[HomeTeam],$A2,Table2[PredictedWinner], $A2, Table2[GameIsOver], 1)</f>
        <v>3</v>
      </c>
      <c r="BV2">
        <f t="shared" ref="BV2:BV33" si="8">BT2+BU2</f>
        <v>7</v>
      </c>
      <c r="BW2">
        <f t="shared" ref="BW2:BW33" si="9">F2-BT2</f>
        <v>0</v>
      </c>
      <c r="BX2">
        <f t="shared" ref="BX2:BX33" si="10">H2-BU2</f>
        <v>0</v>
      </c>
      <c r="BY2">
        <f t="shared" ref="BY2:BY33" si="11">BW2+BX2</f>
        <v>0</v>
      </c>
      <c r="BZ2">
        <f>Table3[[#This Row],[TimesPredictedWinner]]/Table3[[#This Row],[GP]]</f>
        <v>1</v>
      </c>
      <c r="CB2">
        <v>2022</v>
      </c>
      <c r="CD2" s="1">
        <v>45750</v>
      </c>
      <c r="CE2" t="e">
        <f>INDEX(Table2[AwayTeam], Table3[[#This Row],[Column2]])</f>
        <v>#VALUE!</v>
      </c>
      <c r="CF2" t="e">
        <f>LARGE((Table2[[#This Row],[AwayTeam]]=Table3[[#This Row],[Teams]]), 1)</f>
        <v>#VALUE!</v>
      </c>
      <c r="CI2">
        <f>SUMIFS(Table2[GamePredictionScore], Table2[AwayTeam], Table3[[#This Row],[Teams]])</f>
        <v>2.4000000000000004</v>
      </c>
      <c r="CJ2">
        <f>SUMIFS(Table2[GamePredictionScore], Table2[HomeTeam], Table3[[#This Row],[Teams]])</f>
        <v>1.6</v>
      </c>
      <c r="CK2">
        <f>Table3[[#This Row],[Column4]]+Table3[[#This Row],[Column3]]</f>
        <v>4</v>
      </c>
      <c r="CL2">
        <f>Table3[[#This Row],[Column5]]/Table3[[#This Row],[GP]]</f>
        <v>0.5714285714285714</v>
      </c>
      <c r="CR2" t="s">
        <v>139</v>
      </c>
      <c r="CS2">
        <f>SUM($J$2:$J$33)/2</f>
        <v>107</v>
      </c>
      <c r="CW2" t="s">
        <v>57</v>
      </c>
      <c r="CX2" s="14" t="s">
        <v>150</v>
      </c>
      <c r="CY2">
        <f>INDEX($J$2:$J$33,MATCH("CGY",$A$2:$A$33,0),1)</f>
        <v>7</v>
      </c>
    </row>
    <row r="3" spans="1:144" x14ac:dyDescent="0.25">
      <c r="A3" t="s">
        <v>26</v>
      </c>
      <c r="B3" t="s">
        <v>90</v>
      </c>
      <c r="C3" t="s">
        <v>93</v>
      </c>
      <c r="D3">
        <f>COUNTIFS(DataRegularSeason20242025!$D$3:$D$1315,$A3,DataRegularSeason20242025!$R$3:$R$1315,1,DataRegularSeason20242025!$N$3:$N$1315,1) + COUNTIFS(DataRegularSeason20242025!$E$3:$E$1315,$A3,DataRegularSeason20242025!$R$3:$R$1315,1,DataRegularSeason20242025!$N$3:$N$1315,1)</f>
        <v>4</v>
      </c>
      <c r="E3" s="10">
        <f>Table3[[#This Row],[Watched]]/Table3[[#This Row],[GP]]</f>
        <v>0.5714285714285714</v>
      </c>
      <c r="F3">
        <f>COUNTIFS(DataRegularSeason20242025!$N$3:$N$1315,1,DataRegularSeason20242025!$D$3:$D$1315,$A3)</f>
        <v>3</v>
      </c>
      <c r="G3">
        <f>41-Table3[[#This Row],[GP_A]]</f>
        <v>38</v>
      </c>
      <c r="H3">
        <f>COUNTIFS(DataRegularSeason20242025!$E$3:$E$1315,$A3,DataRegularSeason20242025!$N$3:$N$1315,1)</f>
        <v>4</v>
      </c>
      <c r="I3">
        <f>41-Table3[[#This Row],[GP_H]]</f>
        <v>37</v>
      </c>
      <c r="J3">
        <f t="shared" si="0"/>
        <v>7</v>
      </c>
      <c r="K3">
        <f>82-Table3[[#This Row],[GP]]</f>
        <v>75</v>
      </c>
      <c r="L3">
        <f>COUNTIFS(DataRegularSeason20242025!$D$3:$D$1315,$A3, DataRegularSeason20242025!$L$3:$L$1315, $A3,DataRegularSeason20242025!$N$3:$N$1315,1)</f>
        <v>2</v>
      </c>
      <c r="M3">
        <f>COUNTIFS(DataRegularSeason20242025!$D$3:$D$1315,$A3, DataRegularSeason20242025!$L$3:$L$1315, $A3,DataRegularSeason20242025!$N$3:$N$1315,1,DataRegularSeason20242025!$M$3:$M$1315,"REG")</f>
        <v>1</v>
      </c>
      <c r="N3">
        <f>COUNTIFS(DataRegularSeason20242025!$D$3:$D$1315,$A3, DataRegularSeason20242025!$L$3:$L$1315, $A3,DataRegularSeason20242025!$N$3:$N$1315,1,DataRegularSeason20242025!$M$3:$M$1315,"OT")</f>
        <v>1</v>
      </c>
      <c r="O3">
        <f>COUNTIFS(DataRegularSeason20242025!$D$3:$D$1315,$A3, DataRegularSeason20242025!$L$3:$L$1315, $A3,DataRegularSeason20242025!$N$3:$N$1315,1,DataRegularSeason20242025!$M$3:$M$1315,"SO")</f>
        <v>0</v>
      </c>
      <c r="P3">
        <f t="shared" si="1"/>
        <v>1</v>
      </c>
      <c r="Q3">
        <f>COUNTIFS(DataRegularSeason20242025!$D$3:$D$1315,$A3, DataRegularSeason20242025!$S$3:$S$1315, $A3,DataRegularSeason20242025!$M$3:$M$1315,"REG")</f>
        <v>0</v>
      </c>
      <c r="R3">
        <f>COUNTIFS(DataRegularSeason20242025!$D$3:$D$1315,$A3, DataRegularSeason20242025!$S$3:$S$1315, $A3,DataRegularSeason20242025!$M$3:$M$1315,"OT")</f>
        <v>1</v>
      </c>
      <c r="S3">
        <f>COUNTIFS(DataRegularSeason20242025!$D$3:$D$1315,$A3, DataRegularSeason20242025!$S$3:$S$1315, $A3,DataRegularSeason20242025!$M$3:$M$1315,"SO")</f>
        <v>0</v>
      </c>
      <c r="T3">
        <f>COUNTIFS(DataRegularSeason20242025!$E$3:$E$1315,$A3, DataRegularSeason20242025!$L$3:$L$1315, $A3, DataRegularSeason20242025!$N$3:$N$1315,1)</f>
        <v>3</v>
      </c>
      <c r="U3">
        <f>COUNTIFS(DataRegularSeason20242025!$E$3:$E$1315,$A3, DataRegularSeason20242025!$L$3:$L$1315, $A3,DataRegularSeason20242025!$N$3:$N$1315,1,DataRegularSeason20242025!$M$3:$M$1315,"REG")</f>
        <v>3</v>
      </c>
      <c r="V3">
        <f>COUNTIFS(DataRegularSeason20242025!$E$3:$E$1315,$A3, DataRegularSeason20242025!$L$3:$L$1315, $A3,DataRegularSeason20242025!$N$3:$N$1315,1,DataRegularSeason20242025!$M$3:$M$1315,"OT")</f>
        <v>0</v>
      </c>
      <c r="W3">
        <f>COUNTIFS(DataRegularSeason20242025!$E$3:$E$1315,$A3, DataRegularSeason20242025!$L$3:$L$1315, $A3,DataRegularSeason20242025!$N$3:$N$1315,1,DataRegularSeason20242025!$M$3:$M$1315,"SO")</f>
        <v>0</v>
      </c>
      <c r="X3">
        <f t="shared" si="2"/>
        <v>1</v>
      </c>
      <c r="Y3">
        <f>COUNTIFS(DataRegularSeason20242025!$E$3:$E$1315,$A3, DataRegularSeason20242025!$S$3:$S$1315, $A3,DataRegularSeason20242025!$M$3:$M$1315,"REG")</f>
        <v>0</v>
      </c>
      <c r="Z3">
        <f>COUNTIFS(DataRegularSeason20242025!$E$3:$E$1315,$A3, DataRegularSeason20242025!$S$3:$S$1315, $A3,DataRegularSeason20242025!$M$3:$M$1315,"OT")</f>
        <v>0</v>
      </c>
      <c r="AA3">
        <f>COUNTIFS(DataRegularSeason20242025!$E$3:$E$1315,$A3, DataRegularSeason20242025!$S$3:$S$1315, $A3,DataRegularSeason20242025!$M$3:$M$1315,"SO")</f>
        <v>1</v>
      </c>
      <c r="AB3">
        <f>Table3[[#This Row],[W]]/MAX(1,Table3[[#This Row],[W]]+Table3[[#This Row],[L]])</f>
        <v>0.7142857142857143</v>
      </c>
      <c r="AC3">
        <f>Table3[[#This Row],[W_A]]+Table3[[#This Row],[W_H]]</f>
        <v>5</v>
      </c>
      <c r="AD3">
        <f>Table3[[#This Row],[L_A]]+Table3[[#This Row],[L_H]]</f>
        <v>2</v>
      </c>
      <c r="AE3">
        <f>Table3[[#This Row],[RW_A]]+Table3[[#This Row],[RW_H]]</f>
        <v>4</v>
      </c>
      <c r="AF3">
        <f>Table3[[#This Row],[RL_A]]+Table3[[#This Row],[RL_H]]</f>
        <v>0</v>
      </c>
      <c r="AG3">
        <f>Table3[[#This Row],[OTW_A]]+Table3[[#This Row],[OTW_H]]</f>
        <v>1</v>
      </c>
      <c r="AH3">
        <f>Table3[[#This Row],[OTL_A]]+Table3[[#This Row],[OTL_H]]</f>
        <v>1</v>
      </c>
      <c r="AI3">
        <f>Table3[[#This Row],[SOW_A]]+Table3[[#This Row],[SOW_H]]</f>
        <v>0</v>
      </c>
      <c r="AJ3">
        <f>Table3[[#This Row],[SOL_A]]+Table3[[#This Row],[SOL_H]]</f>
        <v>1</v>
      </c>
      <c r="AK3" s="15" t="str">
        <f>_xlfn.CONCAT(TEXT(Table3[[#This Row],[OTW]]+Table3[[#This Row],[SOW]], "0"), "-", TEXT(Table3[[#This Row],[OTL]]+Table3[[#This Row],[SOL]],"0"))</f>
        <v>1-2</v>
      </c>
      <c r="AL3">
        <f>SUM(Table3[[#This Row],[OTW]],Table3[[#This Row],[OTL]],Table3[[#This Row],[SOW]],Table3[[#This Row],[SOL]])</f>
        <v>3</v>
      </c>
      <c r="AM3">
        <f>(Table3[[#This Row],[OTW]]+Table3[[#This Row],[SOW]])/IF(Table3[[#This Row],[Total_ExtraTimes]]=0,1,Table3[[#This Row],[Total_ExtraTimes]])</f>
        <v>0.33333333333333331</v>
      </c>
      <c r="AN3">
        <f>Table3[[#This Row],[Total_ExtraTimes]]/MAX(1,Table3[[#This Row],[GP]])</f>
        <v>0.42857142857142855</v>
      </c>
      <c r="AO3">
        <f>(2*(Table3[[#This Row],[W_A]]+Table3[[#This Row],[W_H]]))+Table3[[#This Row],[OTL_A]]+Table3[[#This Row],[SOL_A]]+Table3[[#This Row],[OTL_H]]+Table3[[#This Row],[SOL_H]]</f>
        <v>12</v>
      </c>
      <c r="AP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16</v>
      </c>
      <c r="AQ3" s="10">
        <f>Table3[[#This Row],[PTS]]/(2*Table3[[#This Row],[GP]])</f>
        <v>0.8571428571428571</v>
      </c>
      <c r="AR3" s="10">
        <f>Table3[[#This Row],[PTS2]]/(3*Table3[[#This Row],[GP]])</f>
        <v>0.76190476190476186</v>
      </c>
      <c r="AS3">
        <f>(2*Table3[[#This Row],[GR]])+Table3[[#This Row],[PTS]]</f>
        <v>162</v>
      </c>
      <c r="AT3">
        <f>(3*Table3[[#This Row],[GR]])+Table3[[#This Row],[PTS2]]</f>
        <v>241</v>
      </c>
      <c r="AU3">
        <f>Table3[[#This Row],[PTS]]+(2 * Table3[[#This Row],[GR]] * Table3[[#This Row],[PTS%]])</f>
        <v>140.57142857142856</v>
      </c>
      <c r="AV3">
        <f>Table3[[#This Row],[PTS2]]+(3 * Table3[[#This Row],[GR]] * Table3[[#This Row],[PTS%2]])</f>
        <v>187.42857142857142</v>
      </c>
      <c r="AW3" s="15" t="str">
        <f>_xlfn.CONCAT(TEXT(Table3[[#This Row],[W]], "0"), "-", TEXT(Table3[[#This Row],[RL]],"0"), "-", TEXT(Table3[[#This Row],[OTL]]+Table3[[#This Row],[SOL]], "0"))</f>
        <v>5-0-2</v>
      </c>
      <c r="AX3">
        <f>COUNTIFS(DataRegularSeason20242025!$D$3:$D$1315,Table3[[#This Row],[Teams]],DataRegularSeason20242025!$K$3:$K$1315,0)</f>
        <v>0</v>
      </c>
      <c r="AY3">
        <f>SUMIF(DataRegularSeason20242025!$D$3:$D$1315,$A3, DataRegularSeason20242025!$J$3:$J$1315)</f>
        <v>9</v>
      </c>
      <c r="AZ3">
        <f>SUMIF(DataRegularSeason20242025!$D$3:$D$1315,$A3, DataRegularSeason20242025!$K$3:$K$1315)</f>
        <v>7</v>
      </c>
      <c r="BA3">
        <f t="shared" si="3"/>
        <v>2</v>
      </c>
      <c r="BB3">
        <f>COUNTIFS(DataRegularSeason20242025!$E$3:$E$1315,Table3[[#This Row],[Teams]],DataRegularSeason20242025!$J$3:$J$1315,0)</f>
        <v>0</v>
      </c>
      <c r="BC3">
        <f>SUMIF(DataRegularSeason20242025!$E$3:$E$1315,$A3,DataRegularSeason20242025!$K$3:$K$1315)</f>
        <v>21</v>
      </c>
      <c r="BD3">
        <f>SUMIF(DataRegularSeason20242025!$E$3:$E$1315,$A3,DataRegularSeason20242025!$J$3:$J$1315)</f>
        <v>13</v>
      </c>
      <c r="BE3">
        <f t="shared" si="4"/>
        <v>8</v>
      </c>
      <c r="BF3">
        <f t="shared" si="5"/>
        <v>30</v>
      </c>
      <c r="BG3">
        <f t="shared" si="6"/>
        <v>20</v>
      </c>
      <c r="BH3">
        <f t="shared" si="7"/>
        <v>10</v>
      </c>
      <c r="BI3" s="12">
        <f>Table3[[#This Row],[GF]]/Table3[[#This Row],[GP]]</f>
        <v>4.2857142857142856</v>
      </c>
      <c r="BJ3" s="12">
        <f>Table3[[#This Row],[GA]]/Table3[[#This Row],[GP]]</f>
        <v>2.8571428571428572</v>
      </c>
      <c r="BK3" s="12">
        <f>(Table3[[#This Row],[GF]]-Table3[[#This Row],[GA]])/Table3[[#This Row],[GP]]</f>
        <v>1.4285714285714286</v>
      </c>
      <c r="BL3" s="42" t="str">
        <f>_xlfn.CONCAT(TEXT(Table3[[#This Row],[W_H]], "0"), "-", TEXT(Table3[[#This Row],[RL_H]],"0"), "-", TEXT(Table3[[#This Row],[OTL_H]]+Table3[[#This Row],[SOL_H]], "0"))</f>
        <v>3-0-1</v>
      </c>
      <c r="BM3" s="42" t="str">
        <f>_xlfn.CONCAT(TEXT(Table3[[#This Row],[W_A]], "0"), "-", TEXT(Table3[[#This Row],[RL_A]],"0"), "-", TEXT(Table3[[#This Row],[OTL_A]]+Table3[[#This Row],[SOL_A]], "0"))</f>
        <v>2-0-1</v>
      </c>
      <c r="BN3" s="42">
        <f>((2*(Table3[[#This Row],[W_H]]))+Table3[[#This Row],[OTL_H]]+Table3[[#This Row],[SOL_H]])/(2*Table3[[#This Row],[GP_H]])</f>
        <v>0.875</v>
      </c>
      <c r="BO3" s="42">
        <f>((2*(Table3[[#This Row],[W_A]]))+Table3[[#This Row],[OTL_A]]+Table3[[#This Row],[SOL_A]])/(2*Table3[[#This Row],[GP_A]])</f>
        <v>0.83333333333333337</v>
      </c>
      <c r="BP3" s="16">
        <f>(Table3[[#This Row],[W]]*$CX$3)+(Table3[[#This Row],[L]]*$CX$4)+(Table3[[#This Row],[GF]]*$CX$5)+(Table3[[#This Row],[GA]]*$CX$6)</f>
        <v>9.6</v>
      </c>
      <c r="BQ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91.265306122448976</v>
      </c>
      <c r="BR3" s="16">
        <f>(Table3[[#This Row],[W]]*0.7) + ((Table3[[#This Row],[GF]] - Table3[[#This Row],[GA]])*0.25)+(Table3[[#This Row],[GF]]*0.1)+(Table3[[#This Row],[GA]]*0.05)+(Table3[[#This Row],[L]]*0.3)</f>
        <v>10.6</v>
      </c>
      <c r="BS3" s="16">
        <f>Table3[[#This Row],[TeamCost83]]/Table3[[#This Row],[GP]]</f>
        <v>1.5142857142857142</v>
      </c>
      <c r="BT3">
        <f>COUNTIFS(Table2[AwayTeam],$A3,Table2[PredictedWinner], $A3, Table2[GameIsOver], 1)</f>
        <v>2</v>
      </c>
      <c r="BU3">
        <f>COUNTIFS(Table2[HomeTeam],$A3,Table2[PredictedWinner], $A3, Table2[GameIsOver], 1)</f>
        <v>4</v>
      </c>
      <c r="BV3">
        <f t="shared" si="8"/>
        <v>6</v>
      </c>
      <c r="BW3">
        <f t="shared" si="9"/>
        <v>1</v>
      </c>
      <c r="BX3">
        <f t="shared" si="10"/>
        <v>0</v>
      </c>
      <c r="BY3">
        <f t="shared" si="11"/>
        <v>1</v>
      </c>
      <c r="BZ3">
        <f>Table3[[#This Row],[TimesPredictedWinner]]/Table3[[#This Row],[GP]]</f>
        <v>0.8571428571428571</v>
      </c>
      <c r="CB3">
        <v>2023</v>
      </c>
      <c r="CD3" s="1">
        <v>45748</v>
      </c>
      <c r="CE3" t="str">
        <f>INDEX(Table2[AwayTeam], Table3[[#This Row],[Column2]])</f>
        <v>CHI</v>
      </c>
      <c r="CF3">
        <f>LARGE((Table2[[#This Row],[AwayTeam]]=Table3[[#This Row],[Teams]]), 1)</f>
        <v>0</v>
      </c>
      <c r="CI3">
        <f>SUMIFS(Table2[GamePredictionScore], Table2[AwayTeam], Table3[[#This Row],[Teams]])</f>
        <v>1</v>
      </c>
      <c r="CJ3">
        <f>SUMIFS(Table2[GamePredictionScore], Table2[HomeTeam], Table3[[#This Row],[Teams]])</f>
        <v>2.4000000000000004</v>
      </c>
      <c r="CK3">
        <f>Table3[[#This Row],[Column4]]+Table3[[#This Row],[Column3]]</f>
        <v>3.4000000000000004</v>
      </c>
      <c r="CL3">
        <f>Table3[[#This Row],[Column5]]/Table3[[#This Row],[GP]]</f>
        <v>0.48571428571428577</v>
      </c>
      <c r="CR3" t="s">
        <v>137</v>
      </c>
      <c r="CS3">
        <f>SUM($D$2:$D$33)/2</f>
        <v>79</v>
      </c>
      <c r="CW3" t="s">
        <v>90</v>
      </c>
      <c r="CX3" s="16">
        <v>0.5</v>
      </c>
      <c r="CY3">
        <f>INDEX($AC$2:$AC$33,MATCH("CGY",$A$2:$A$33,0),1)</f>
        <v>1</v>
      </c>
      <c r="DA3" s="16">
        <f>CX3*CY3</f>
        <v>0.5</v>
      </c>
      <c r="DB3" s="10">
        <f>DA3/$DA$7</f>
        <v>7.3529411764705885E-2</v>
      </c>
    </row>
    <row r="4" spans="1:144" x14ac:dyDescent="0.25">
      <c r="A4" t="s">
        <v>41</v>
      </c>
      <c r="B4" t="s">
        <v>91</v>
      </c>
      <c r="C4" t="s">
        <v>92</v>
      </c>
      <c r="D4">
        <f>COUNTIFS(DataRegularSeason20242025!$D$3:$D$1315,$A4,DataRegularSeason20242025!$R$3:$R$1315,1,DataRegularSeason20242025!$N$3:$N$1315,1) + COUNTIFS(DataRegularSeason20242025!$E$3:$E$1315,$A4,DataRegularSeason20242025!$R$3:$R$1315,1,DataRegularSeason20242025!$N$3:$N$1315,1)</f>
        <v>5</v>
      </c>
      <c r="E4" s="10">
        <f>Table3[[#This Row],[Watched]]/Table3[[#This Row],[GP]]</f>
        <v>0.83333333333333337</v>
      </c>
      <c r="F4">
        <f>COUNTIFS(DataRegularSeason20242025!$N$3:$N$1315,1,DataRegularSeason20242025!$D$3:$D$1315,$A4)</f>
        <v>4</v>
      </c>
      <c r="G4">
        <f>41-Table3[[#This Row],[GP_A]]</f>
        <v>37</v>
      </c>
      <c r="H4">
        <f>COUNTIFS(DataRegularSeason20242025!$E$3:$E$1315,$A4,DataRegularSeason20242025!$N$3:$N$1315,1)</f>
        <v>2</v>
      </c>
      <c r="I4">
        <f>41-Table3[[#This Row],[GP_H]]</f>
        <v>39</v>
      </c>
      <c r="J4">
        <f t="shared" si="0"/>
        <v>6</v>
      </c>
      <c r="K4">
        <f>82-Table3[[#This Row],[GP]]</f>
        <v>76</v>
      </c>
      <c r="L4">
        <f>COUNTIFS(DataRegularSeason20242025!$D$3:$D$1315,$A4, DataRegularSeason20242025!$L$3:$L$1315, $A4,DataRegularSeason20242025!$N$3:$N$1315,1)</f>
        <v>3</v>
      </c>
      <c r="M4">
        <f>COUNTIFS(DataRegularSeason20242025!$D$3:$D$1315,$A4, DataRegularSeason20242025!$L$3:$L$1315, $A4,DataRegularSeason20242025!$N$3:$N$1315,1,DataRegularSeason20242025!$M$3:$M$1315,"REG")</f>
        <v>2</v>
      </c>
      <c r="N4">
        <f>COUNTIFS(DataRegularSeason20242025!$D$3:$D$1315,$A4, DataRegularSeason20242025!$L$3:$L$1315, $A4,DataRegularSeason20242025!$N$3:$N$1315,1,DataRegularSeason20242025!$M$3:$M$1315,"OT")</f>
        <v>1</v>
      </c>
      <c r="O4">
        <f>COUNTIFS(DataRegularSeason20242025!$D$3:$D$1315,$A4, DataRegularSeason20242025!$L$3:$L$1315, $A4,DataRegularSeason20242025!$N$3:$N$1315,1,DataRegularSeason20242025!$M$3:$M$1315,"SO")</f>
        <v>0</v>
      </c>
      <c r="P4">
        <f t="shared" si="1"/>
        <v>1</v>
      </c>
      <c r="Q4">
        <f>COUNTIFS(DataRegularSeason20242025!$D$3:$D$1315,$A4, DataRegularSeason20242025!$S$3:$S$1315, $A4,DataRegularSeason20242025!$M$3:$M$1315,"REG")</f>
        <v>1</v>
      </c>
      <c r="R4">
        <f>COUNTIFS(DataRegularSeason20242025!$D$3:$D$1315,$A4, DataRegularSeason20242025!$S$3:$S$1315, $A4,DataRegularSeason20242025!$M$3:$M$1315,"OT")</f>
        <v>0</v>
      </c>
      <c r="S4">
        <f>COUNTIFS(DataRegularSeason20242025!$D$3:$D$1315,$A4, DataRegularSeason20242025!$S$3:$S$1315, $A4,DataRegularSeason20242025!$M$3:$M$1315,"SO")</f>
        <v>0</v>
      </c>
      <c r="T4">
        <f>COUNTIFS(DataRegularSeason20242025!$E$3:$E$1315,$A4, DataRegularSeason20242025!$L$3:$L$1315, $A4, DataRegularSeason20242025!$N$3:$N$1315,1)</f>
        <v>2</v>
      </c>
      <c r="U4">
        <f>COUNTIFS(DataRegularSeason20242025!$E$3:$E$1315,$A4, DataRegularSeason20242025!$L$3:$L$1315, $A4,DataRegularSeason20242025!$N$3:$N$1315,1,DataRegularSeason20242025!$M$3:$M$1315,"REG")</f>
        <v>1</v>
      </c>
      <c r="V4">
        <f>COUNTIFS(DataRegularSeason20242025!$E$3:$E$1315,$A4, DataRegularSeason20242025!$L$3:$L$1315, $A4,DataRegularSeason20242025!$N$3:$N$1315,1,DataRegularSeason20242025!$M$3:$M$1315,"OT")</f>
        <v>1</v>
      </c>
      <c r="W4">
        <f>COUNTIFS(DataRegularSeason20242025!$E$3:$E$1315,$A4, DataRegularSeason20242025!$L$3:$L$1315, $A4,DataRegularSeason20242025!$N$3:$N$1315,1,DataRegularSeason20242025!$M$3:$M$1315,"SO")</f>
        <v>0</v>
      </c>
      <c r="X4">
        <f t="shared" si="2"/>
        <v>0</v>
      </c>
      <c r="Y4">
        <f>COUNTIFS(DataRegularSeason20242025!$E$3:$E$1315,$A4, DataRegularSeason20242025!$S$3:$S$1315, $A4,DataRegularSeason20242025!$M$3:$M$1315,"REG")</f>
        <v>0</v>
      </c>
      <c r="Z4">
        <f>COUNTIFS(DataRegularSeason20242025!$E$3:$E$1315,$A4, DataRegularSeason20242025!$S$3:$S$1315, $A4,DataRegularSeason20242025!$M$3:$M$1315,"OT")</f>
        <v>0</v>
      </c>
      <c r="AA4">
        <f>COUNTIFS(DataRegularSeason20242025!$E$3:$E$1315,$A4, DataRegularSeason20242025!$S$3:$S$1315, $A4,DataRegularSeason20242025!$M$3:$M$1315,"SO")</f>
        <v>0</v>
      </c>
      <c r="AB4">
        <f>Table3[[#This Row],[W]]/MAX(1,Table3[[#This Row],[W]]+Table3[[#This Row],[L]])</f>
        <v>0.83333333333333337</v>
      </c>
      <c r="AC4">
        <f>Table3[[#This Row],[W_A]]+Table3[[#This Row],[W_H]]</f>
        <v>5</v>
      </c>
      <c r="AD4">
        <f>Table3[[#This Row],[L_A]]+Table3[[#This Row],[L_H]]</f>
        <v>1</v>
      </c>
      <c r="AE4">
        <f>Table3[[#This Row],[RW_A]]+Table3[[#This Row],[RW_H]]</f>
        <v>3</v>
      </c>
      <c r="AF4">
        <f>Table3[[#This Row],[RL_A]]+Table3[[#This Row],[RL_H]]</f>
        <v>1</v>
      </c>
      <c r="AG4">
        <f>Table3[[#This Row],[OTW_A]]+Table3[[#This Row],[OTW_H]]</f>
        <v>2</v>
      </c>
      <c r="AH4">
        <f>Table3[[#This Row],[OTL_A]]+Table3[[#This Row],[OTL_H]]</f>
        <v>0</v>
      </c>
      <c r="AI4">
        <f>Table3[[#This Row],[SOW_A]]+Table3[[#This Row],[SOW_H]]</f>
        <v>0</v>
      </c>
      <c r="AJ4">
        <f>Table3[[#This Row],[SOL_A]]+Table3[[#This Row],[SOL_H]]</f>
        <v>0</v>
      </c>
      <c r="AK4" s="15" t="str">
        <f>_xlfn.CONCAT(TEXT(Table3[[#This Row],[OTW]]+Table3[[#This Row],[SOW]], "0"), "-", TEXT(Table3[[#This Row],[OTL]]+Table3[[#This Row],[SOL]],"0"))</f>
        <v>2-0</v>
      </c>
      <c r="AL4">
        <f>SUM(Table3[[#This Row],[OTW]],Table3[[#This Row],[OTL]],Table3[[#This Row],[SOW]],Table3[[#This Row],[SOL]])</f>
        <v>2</v>
      </c>
      <c r="AM4">
        <f>(Table3[[#This Row],[OTW]]+Table3[[#This Row],[SOW]])/IF(Table3[[#This Row],[Total_ExtraTimes]]=0,1,Table3[[#This Row],[Total_ExtraTimes]])</f>
        <v>1</v>
      </c>
      <c r="AN4">
        <f>Table3[[#This Row],[Total_ExtraTimes]]/MAX(1,Table3[[#This Row],[GP]])</f>
        <v>0.33333333333333331</v>
      </c>
      <c r="AO4">
        <f>(2*(Table3[[#This Row],[W_A]]+Table3[[#This Row],[W_H]]))+Table3[[#This Row],[OTL_A]]+Table3[[#This Row],[SOL_A]]+Table3[[#This Row],[OTL_H]]+Table3[[#This Row],[SOL_H]]</f>
        <v>10</v>
      </c>
      <c r="AP4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13</v>
      </c>
      <c r="AQ4" s="10">
        <f>Table3[[#This Row],[PTS]]/(2*Table3[[#This Row],[GP]])</f>
        <v>0.83333333333333337</v>
      </c>
      <c r="AR4" s="10">
        <f>Table3[[#This Row],[PTS2]]/(3*Table3[[#This Row],[GP]])</f>
        <v>0.72222222222222221</v>
      </c>
      <c r="AS4">
        <f>(2*Table3[[#This Row],[GR]])+Table3[[#This Row],[PTS]]</f>
        <v>162</v>
      </c>
      <c r="AT4">
        <f>(3*Table3[[#This Row],[GR]])+Table3[[#This Row],[PTS2]]</f>
        <v>241</v>
      </c>
      <c r="AU4">
        <f>Table3[[#This Row],[PTS]]+(2 * Table3[[#This Row],[GR]] * Table3[[#This Row],[PTS%]])</f>
        <v>136.66666666666669</v>
      </c>
      <c r="AV4">
        <f>Table3[[#This Row],[PTS2]]+(3 * Table3[[#This Row],[GR]] * Table3[[#This Row],[PTS%2]])</f>
        <v>177.66666666666666</v>
      </c>
      <c r="AW4" s="15" t="str">
        <f>_xlfn.CONCAT(TEXT(Table3[[#This Row],[W]], "0"), "-", TEXT(Table3[[#This Row],[RL]],"0"), "-", TEXT(Table3[[#This Row],[OTL]]+Table3[[#This Row],[SOL]], "0"))</f>
        <v>5-1-0</v>
      </c>
      <c r="AX4">
        <f>COUNTIFS(DataRegularSeason20242025!$D$3:$D$1315,Table3[[#This Row],[Teams]],DataRegularSeason20242025!$K$3:$K$1315,0)</f>
        <v>0</v>
      </c>
      <c r="AY4">
        <f>SUMIF(DataRegularSeason20242025!$D$3:$D$1315,$A4, DataRegularSeason20242025!$J$3:$J$1315)</f>
        <v>14</v>
      </c>
      <c r="AZ4">
        <f>SUMIF(DataRegularSeason20242025!$D$3:$D$1315,$A4, DataRegularSeason20242025!$K$3:$K$1315)</f>
        <v>9</v>
      </c>
      <c r="BA4">
        <f t="shared" si="3"/>
        <v>5</v>
      </c>
      <c r="BB4">
        <f>COUNTIFS(DataRegularSeason20242025!$E$3:$E$1315,Table3[[#This Row],[Teams]],DataRegularSeason20242025!$J$3:$J$1315,0)</f>
        <v>0</v>
      </c>
      <c r="BC4">
        <f>SUMIF(DataRegularSeason20242025!$E$3:$E$1315,$A4,DataRegularSeason20242025!$K$3:$K$1315)</f>
        <v>10</v>
      </c>
      <c r="BD4">
        <f>SUMIF(DataRegularSeason20242025!$E$3:$E$1315,$A4,DataRegularSeason20242025!$J$3:$J$1315)</f>
        <v>6</v>
      </c>
      <c r="BE4">
        <f t="shared" si="4"/>
        <v>4</v>
      </c>
      <c r="BF4">
        <f t="shared" si="5"/>
        <v>24</v>
      </c>
      <c r="BG4">
        <f t="shared" si="6"/>
        <v>15</v>
      </c>
      <c r="BH4">
        <f t="shared" si="7"/>
        <v>9</v>
      </c>
      <c r="BI4" s="12">
        <f>Table3[[#This Row],[GF]]/Table3[[#This Row],[GP]]</f>
        <v>4</v>
      </c>
      <c r="BJ4" s="12">
        <f>Table3[[#This Row],[GA]]/Table3[[#This Row],[GP]]</f>
        <v>2.5</v>
      </c>
      <c r="BK4" s="12">
        <f>(Table3[[#This Row],[GF]]-Table3[[#This Row],[GA]])/Table3[[#This Row],[GP]]</f>
        <v>1.5</v>
      </c>
      <c r="BL4" s="42" t="str">
        <f>_xlfn.CONCAT(TEXT(Table3[[#This Row],[W_H]], "0"), "-", TEXT(Table3[[#This Row],[RL_H]],"0"), "-", TEXT(Table3[[#This Row],[OTL_H]]+Table3[[#This Row],[SOL_H]], "0"))</f>
        <v>2-0-0</v>
      </c>
      <c r="BM4" s="42" t="str">
        <f>_xlfn.CONCAT(TEXT(Table3[[#This Row],[W_A]], "0"), "-", TEXT(Table3[[#This Row],[RL_A]],"0"), "-", TEXT(Table3[[#This Row],[OTL_A]]+Table3[[#This Row],[SOL_A]], "0"))</f>
        <v>3-1-0</v>
      </c>
      <c r="BN4" s="42">
        <f>((2*(Table3[[#This Row],[W_H]]))+Table3[[#This Row],[OTL_H]]+Table3[[#This Row],[SOL_H]])/(2*Table3[[#This Row],[GP_H]])</f>
        <v>1</v>
      </c>
      <c r="BO4" s="42">
        <f>((2*(Table3[[#This Row],[W_A]]))+Table3[[#This Row],[OTL_A]]+Table3[[#This Row],[SOL_A]])/(2*Table3[[#This Row],[GP_A]])</f>
        <v>0.75</v>
      </c>
      <c r="BP4" s="16">
        <f>(Table3[[#This Row],[W]]*$CX$3)+(Table3[[#This Row],[L]]*$CX$4)+(Table3[[#This Row],[GF]]*$CX$5)+(Table3[[#This Row],[GA]]*$CX$6)</f>
        <v>7.8999999999999995</v>
      </c>
      <c r="BQ4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83.97777777777776</v>
      </c>
      <c r="BR4" s="16">
        <f>(Table3[[#This Row],[W]]*0.7) + ((Table3[[#This Row],[GF]] - Table3[[#This Row],[GA]])*0.25)+(Table3[[#This Row],[GF]]*0.1)+(Table3[[#This Row],[GA]]*0.05)+(Table3[[#This Row],[L]]*0.3)</f>
        <v>9.2000000000000011</v>
      </c>
      <c r="BS4" s="16">
        <f>Table3[[#This Row],[TeamCost83]]/Table3[[#This Row],[GP]]</f>
        <v>1.5333333333333334</v>
      </c>
      <c r="BT4">
        <f>COUNTIFS(Table2[AwayTeam],$A4,Table2[PredictedWinner], $A4, Table2[GameIsOver], 1)</f>
        <v>2</v>
      </c>
      <c r="BU4">
        <f>COUNTIFS(Table2[HomeTeam],$A4,Table2[PredictedWinner], $A4, Table2[GameIsOver], 1)</f>
        <v>2</v>
      </c>
      <c r="BV4">
        <f t="shared" si="8"/>
        <v>4</v>
      </c>
      <c r="BW4">
        <f t="shared" si="9"/>
        <v>2</v>
      </c>
      <c r="BX4">
        <f t="shared" si="10"/>
        <v>0</v>
      </c>
      <c r="BY4">
        <f t="shared" si="11"/>
        <v>2</v>
      </c>
      <c r="BZ4">
        <f>Table3[[#This Row],[TimesPredictedWinner]]/Table3[[#This Row],[GP]]</f>
        <v>0.66666666666666663</v>
      </c>
      <c r="CB4">
        <v>2006</v>
      </c>
      <c r="CD4" s="1">
        <v>45749</v>
      </c>
      <c r="CE4" t="str">
        <f>INDEX(Table2[AwayTeam], Table3[[#This Row],[Column2]])</f>
        <v>PIT</v>
      </c>
      <c r="CF4">
        <f>LARGE((Table2[[#This Row],[AwayTeam]]=Table3[[#This Row],[Teams]]), 1)</f>
        <v>0</v>
      </c>
      <c r="CI4">
        <f>SUMIFS(Table2[GamePredictionScore], Table2[AwayTeam], Table3[[#This Row],[Teams]])</f>
        <v>2.4000000000000004</v>
      </c>
      <c r="CJ4">
        <f>SUMIFS(Table2[GamePredictionScore], Table2[HomeTeam], Table3[[#This Row],[Teams]])</f>
        <v>1.6</v>
      </c>
      <c r="CK4">
        <f>Table3[[#This Row],[Column4]]+Table3[[#This Row],[Column3]]</f>
        <v>4</v>
      </c>
      <c r="CL4">
        <f>Table3[[#This Row],[Column5]]/Table3[[#This Row],[GP]]</f>
        <v>0.66666666666666663</v>
      </c>
      <c r="CR4" t="s">
        <v>138</v>
      </c>
      <c r="CS4">
        <f>$CS$2-$CS$3</f>
        <v>28</v>
      </c>
      <c r="CW4" t="s">
        <v>119</v>
      </c>
      <c r="CX4" s="16">
        <v>0.3</v>
      </c>
      <c r="CY4">
        <f>INDEX($AD$2:$AD$33,MATCH("CGY",$A$2:$A$33,0),1)</f>
        <v>6</v>
      </c>
      <c r="DA4" s="16">
        <f>CX4*CY4</f>
        <v>1.7999999999999998</v>
      </c>
      <c r="DB4" s="10">
        <f>DA4/$DA$7</f>
        <v>0.26470588235294118</v>
      </c>
    </row>
    <row r="5" spans="1:144" x14ac:dyDescent="0.25">
      <c r="A5" t="s">
        <v>30</v>
      </c>
      <c r="B5" t="s">
        <v>91</v>
      </c>
      <c r="C5" t="s">
        <v>74</v>
      </c>
      <c r="D5">
        <f>COUNTIFS(DataRegularSeason20242025!$D$3:$D$1315,$A5,DataRegularSeason20242025!$R$3:$R$1315,1,DataRegularSeason20242025!$N$3:$N$1315,1) + COUNTIFS(DataRegularSeason20242025!$E$3:$E$1315,$A5,DataRegularSeason20242025!$R$3:$R$1315,1,DataRegularSeason20242025!$N$3:$N$1315,1)</f>
        <v>6</v>
      </c>
      <c r="E5" s="10">
        <f>Table3[[#This Row],[Watched]]/Table3[[#This Row],[GP]]</f>
        <v>1</v>
      </c>
      <c r="F5">
        <f>COUNTIFS(DataRegularSeason20242025!$N$3:$N$1315,1,DataRegularSeason20242025!$D$3:$D$1315,$A5)</f>
        <v>1</v>
      </c>
      <c r="G5">
        <f>41-Table3[[#This Row],[GP_A]]</f>
        <v>40</v>
      </c>
      <c r="H5">
        <f>COUNTIFS(DataRegularSeason20242025!$E$3:$E$1315,$A5,DataRegularSeason20242025!$N$3:$N$1315,1)</f>
        <v>5</v>
      </c>
      <c r="I5">
        <f>41-Table3[[#This Row],[GP_H]]</f>
        <v>36</v>
      </c>
      <c r="J5">
        <f t="shared" si="0"/>
        <v>6</v>
      </c>
      <c r="K5">
        <f>82-Table3[[#This Row],[GP]]</f>
        <v>76</v>
      </c>
      <c r="L5">
        <f>COUNTIFS(DataRegularSeason20242025!$D$3:$D$1315,$A5, DataRegularSeason20242025!$L$3:$L$1315, $A5,DataRegularSeason20242025!$N$3:$N$1315,1)</f>
        <v>1</v>
      </c>
      <c r="M5">
        <f>COUNTIFS(DataRegularSeason20242025!$D$3:$D$1315,$A5, DataRegularSeason20242025!$L$3:$L$1315, $A5,DataRegularSeason20242025!$N$3:$N$1315,1,DataRegularSeason20242025!$M$3:$M$1315,"REG")</f>
        <v>1</v>
      </c>
      <c r="N5">
        <f>COUNTIFS(DataRegularSeason20242025!$D$3:$D$1315,$A5, DataRegularSeason20242025!$L$3:$L$1315, $A5,DataRegularSeason20242025!$N$3:$N$1315,1,DataRegularSeason20242025!$M$3:$M$1315,"OT")</f>
        <v>0</v>
      </c>
      <c r="O5">
        <f>COUNTIFS(DataRegularSeason20242025!$D$3:$D$1315,$A5, DataRegularSeason20242025!$L$3:$L$1315, $A5,DataRegularSeason20242025!$N$3:$N$1315,1,DataRegularSeason20242025!$M$3:$M$1315,"SO")</f>
        <v>0</v>
      </c>
      <c r="P5">
        <f t="shared" si="1"/>
        <v>0</v>
      </c>
      <c r="Q5">
        <f>COUNTIFS(DataRegularSeason20242025!$D$3:$D$1315,$A5, DataRegularSeason20242025!$S$3:$S$1315, $A5,DataRegularSeason20242025!$M$3:$M$1315,"REG")</f>
        <v>0</v>
      </c>
      <c r="R5">
        <f>COUNTIFS(DataRegularSeason20242025!$D$3:$D$1315,$A5, DataRegularSeason20242025!$S$3:$S$1315, $A5,DataRegularSeason20242025!$M$3:$M$1315,"OT")</f>
        <v>0</v>
      </c>
      <c r="S5">
        <f>COUNTIFS(DataRegularSeason20242025!$D$3:$D$1315,$A5, DataRegularSeason20242025!$S$3:$S$1315, $A5,DataRegularSeason20242025!$M$3:$M$1315,"SO")</f>
        <v>0</v>
      </c>
      <c r="T5">
        <f>COUNTIFS(DataRegularSeason20242025!$E$3:$E$1315,$A5, DataRegularSeason20242025!$L$3:$L$1315, $A5, DataRegularSeason20242025!$N$3:$N$1315,1)</f>
        <v>4</v>
      </c>
      <c r="U5">
        <f>COUNTIFS(DataRegularSeason20242025!$E$3:$E$1315,$A5, DataRegularSeason20242025!$L$3:$L$1315, $A5,DataRegularSeason20242025!$N$3:$N$1315,1,DataRegularSeason20242025!$M$3:$M$1315,"REG")</f>
        <v>3</v>
      </c>
      <c r="V5">
        <f>COUNTIFS(DataRegularSeason20242025!$E$3:$E$1315,$A5, DataRegularSeason20242025!$L$3:$L$1315, $A5,DataRegularSeason20242025!$N$3:$N$1315,1,DataRegularSeason20242025!$M$3:$M$1315,"OT")</f>
        <v>1</v>
      </c>
      <c r="W5">
        <f>COUNTIFS(DataRegularSeason20242025!$E$3:$E$1315,$A5, DataRegularSeason20242025!$L$3:$L$1315, $A5,DataRegularSeason20242025!$N$3:$N$1315,1,DataRegularSeason20242025!$M$3:$M$1315,"SO")</f>
        <v>0</v>
      </c>
      <c r="X5">
        <f t="shared" si="2"/>
        <v>1</v>
      </c>
      <c r="Y5">
        <f>COUNTIFS(DataRegularSeason20242025!$E$3:$E$1315,$A5, DataRegularSeason20242025!$S$3:$S$1315, $A5,DataRegularSeason20242025!$M$3:$M$1315,"REG")</f>
        <v>1</v>
      </c>
      <c r="Z5">
        <f>COUNTIFS(DataRegularSeason20242025!$E$3:$E$1315,$A5, DataRegularSeason20242025!$S$3:$S$1315, $A5,DataRegularSeason20242025!$M$3:$M$1315,"OT")</f>
        <v>0</v>
      </c>
      <c r="AA5">
        <f>COUNTIFS(DataRegularSeason20242025!$E$3:$E$1315,$A5, DataRegularSeason20242025!$S$3:$S$1315, $A5,DataRegularSeason20242025!$M$3:$M$1315,"SO")</f>
        <v>0</v>
      </c>
      <c r="AB5">
        <f>Table3[[#This Row],[W]]/MAX(1,Table3[[#This Row],[W]]+Table3[[#This Row],[L]])</f>
        <v>0.83333333333333337</v>
      </c>
      <c r="AC5">
        <f>Table3[[#This Row],[W_A]]+Table3[[#This Row],[W_H]]</f>
        <v>5</v>
      </c>
      <c r="AD5">
        <f>Table3[[#This Row],[L_A]]+Table3[[#This Row],[L_H]]</f>
        <v>1</v>
      </c>
      <c r="AE5">
        <f>Table3[[#This Row],[RW_A]]+Table3[[#This Row],[RW_H]]</f>
        <v>4</v>
      </c>
      <c r="AF5">
        <f>Table3[[#This Row],[RL_A]]+Table3[[#This Row],[RL_H]]</f>
        <v>1</v>
      </c>
      <c r="AG5">
        <f>Table3[[#This Row],[OTW_A]]+Table3[[#This Row],[OTW_H]]</f>
        <v>1</v>
      </c>
      <c r="AH5">
        <f>Table3[[#This Row],[OTL_A]]+Table3[[#This Row],[OTL_H]]</f>
        <v>0</v>
      </c>
      <c r="AI5">
        <f>Table3[[#This Row],[SOW_A]]+Table3[[#This Row],[SOW_H]]</f>
        <v>0</v>
      </c>
      <c r="AJ5">
        <f>Table3[[#This Row],[SOL_A]]+Table3[[#This Row],[SOL_H]]</f>
        <v>0</v>
      </c>
      <c r="AK5" s="15" t="str">
        <f>_xlfn.CONCAT(TEXT(Table3[[#This Row],[OTW]]+Table3[[#This Row],[SOW]], "0"), "-", TEXT(Table3[[#This Row],[OTL]]+Table3[[#This Row],[SOL]],"0"))</f>
        <v>1-0</v>
      </c>
      <c r="AL5">
        <f>SUM(Table3[[#This Row],[OTW]],Table3[[#This Row],[OTL]],Table3[[#This Row],[SOW]],Table3[[#This Row],[SOL]])</f>
        <v>1</v>
      </c>
      <c r="AM5">
        <f>(Table3[[#This Row],[OTW]]+Table3[[#This Row],[SOW]])/IF(Table3[[#This Row],[Total_ExtraTimes]]=0,1,Table3[[#This Row],[Total_ExtraTimes]])</f>
        <v>1</v>
      </c>
      <c r="AN5">
        <f>Table3[[#This Row],[Total_ExtraTimes]]/MAX(1,Table3[[#This Row],[GP]])</f>
        <v>0.16666666666666666</v>
      </c>
      <c r="AO5">
        <f>(2*(Table3[[#This Row],[W_A]]+Table3[[#This Row],[W_H]]))+Table3[[#This Row],[OTL_A]]+Table3[[#This Row],[SOL_A]]+Table3[[#This Row],[OTL_H]]+Table3[[#This Row],[SOL_H]]</f>
        <v>10</v>
      </c>
      <c r="AP5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14</v>
      </c>
      <c r="AQ5" s="10">
        <f>Table3[[#This Row],[PTS]]/(2*Table3[[#This Row],[GP]])</f>
        <v>0.83333333333333337</v>
      </c>
      <c r="AR5" s="10">
        <f>Table3[[#This Row],[PTS2]]/(3*Table3[[#This Row],[GP]])</f>
        <v>0.77777777777777779</v>
      </c>
      <c r="AS5">
        <f>(2*Table3[[#This Row],[GR]])+Table3[[#This Row],[PTS]]</f>
        <v>162</v>
      </c>
      <c r="AT5">
        <f>(3*Table3[[#This Row],[GR]])+Table3[[#This Row],[PTS2]]</f>
        <v>242</v>
      </c>
      <c r="AU5">
        <f>Table3[[#This Row],[PTS]]+(2 * Table3[[#This Row],[GR]] * Table3[[#This Row],[PTS%]])</f>
        <v>136.66666666666669</v>
      </c>
      <c r="AV5">
        <f>Table3[[#This Row],[PTS2]]+(3 * Table3[[#This Row],[GR]] * Table3[[#This Row],[PTS%2]])</f>
        <v>191.33333333333334</v>
      </c>
      <c r="AW5" s="15" t="str">
        <f>_xlfn.CONCAT(TEXT(Table3[[#This Row],[W]], "0"), "-", TEXT(Table3[[#This Row],[RL]],"0"), "-", TEXT(Table3[[#This Row],[OTL]]+Table3[[#This Row],[SOL]], "0"))</f>
        <v>5-1-0</v>
      </c>
      <c r="AX5">
        <f>COUNTIFS(DataRegularSeason20242025!$D$3:$D$1315,Table3[[#This Row],[Teams]],DataRegularSeason20242025!$K$3:$K$1315,0)</f>
        <v>0</v>
      </c>
      <c r="AY5">
        <f>SUMIF(DataRegularSeason20242025!$D$3:$D$1315,$A5, DataRegularSeason20242025!$J$3:$J$1315)</f>
        <v>3</v>
      </c>
      <c r="AZ5">
        <f>SUMIF(DataRegularSeason20242025!$D$3:$D$1315,$A5, DataRegularSeason20242025!$K$3:$K$1315)</f>
        <v>2</v>
      </c>
      <c r="BA5">
        <f t="shared" si="3"/>
        <v>1</v>
      </c>
      <c r="BB5">
        <f>COUNTIFS(DataRegularSeason20242025!$E$3:$E$1315,Table3[[#This Row],[Teams]],DataRegularSeason20242025!$J$3:$J$1315,0)</f>
        <v>0</v>
      </c>
      <c r="BC5">
        <f>SUMIF(DataRegularSeason20242025!$E$3:$E$1315,$A5,DataRegularSeason20242025!$K$3:$K$1315)</f>
        <v>17</v>
      </c>
      <c r="BD5">
        <f>SUMIF(DataRegularSeason20242025!$E$3:$E$1315,$A5,DataRegularSeason20242025!$J$3:$J$1315)</f>
        <v>12</v>
      </c>
      <c r="BE5">
        <f t="shared" si="4"/>
        <v>5</v>
      </c>
      <c r="BF5">
        <f t="shared" si="5"/>
        <v>20</v>
      </c>
      <c r="BG5">
        <f t="shared" si="6"/>
        <v>14</v>
      </c>
      <c r="BH5">
        <f t="shared" si="7"/>
        <v>6</v>
      </c>
      <c r="BI5" s="12">
        <f>Table3[[#This Row],[GF]]/Table3[[#This Row],[GP]]</f>
        <v>3.3333333333333335</v>
      </c>
      <c r="BJ5" s="12">
        <f>Table3[[#This Row],[GA]]/Table3[[#This Row],[GP]]</f>
        <v>2.3333333333333335</v>
      </c>
      <c r="BK5" s="12">
        <f>(Table3[[#This Row],[GF]]-Table3[[#This Row],[GA]])/Table3[[#This Row],[GP]]</f>
        <v>1</v>
      </c>
      <c r="BL5" s="42" t="str">
        <f>_xlfn.CONCAT(TEXT(Table3[[#This Row],[W_H]], "0"), "-", TEXT(Table3[[#This Row],[RL_H]],"0"), "-", TEXT(Table3[[#This Row],[OTL_H]]+Table3[[#This Row],[SOL_H]], "0"))</f>
        <v>4-1-0</v>
      </c>
      <c r="BM5" s="42" t="str">
        <f>_xlfn.CONCAT(TEXT(Table3[[#This Row],[W_A]], "0"), "-", TEXT(Table3[[#This Row],[RL_A]],"0"), "-", TEXT(Table3[[#This Row],[OTL_A]]+Table3[[#This Row],[SOL_A]], "0"))</f>
        <v>1-0-0</v>
      </c>
      <c r="BN5" s="42">
        <f>((2*(Table3[[#This Row],[W_H]]))+Table3[[#This Row],[OTL_H]]+Table3[[#This Row],[SOL_H]])/(2*Table3[[#This Row],[GP_H]])</f>
        <v>0.8</v>
      </c>
      <c r="BO5" s="42">
        <f>((2*(Table3[[#This Row],[W_A]]))+Table3[[#This Row],[OTL_A]]+Table3[[#This Row],[SOL_A]])/(2*Table3[[#This Row],[GP_A]])</f>
        <v>1</v>
      </c>
      <c r="BP5" s="16">
        <f>(Table3[[#This Row],[W]]*$CX$3)+(Table3[[#This Row],[L]]*$CX$4)+(Table3[[#This Row],[GF]]*$CX$5)+(Table3[[#This Row],[GA]]*$CX$6)</f>
        <v>7.2</v>
      </c>
      <c r="BQ5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73.711111111111123</v>
      </c>
      <c r="BR5" s="16">
        <f>(Table3[[#This Row],[W]]*0.7) + ((Table3[[#This Row],[GF]] - Table3[[#This Row],[GA]])*0.25)+(Table3[[#This Row],[GF]]*0.1)+(Table3[[#This Row],[GA]]*0.05)+(Table3[[#This Row],[L]]*0.3)</f>
        <v>8</v>
      </c>
      <c r="BS5" s="16">
        <f>Table3[[#This Row],[TeamCost83]]/Table3[[#This Row],[GP]]</f>
        <v>1.3333333333333333</v>
      </c>
      <c r="BT5">
        <f>COUNTIFS(Table2[AwayTeam],$A5,Table2[PredictedWinner], $A5, Table2[GameIsOver], 1)</f>
        <v>1</v>
      </c>
      <c r="BU5">
        <f>COUNTIFS(Table2[HomeTeam],$A5,Table2[PredictedWinner], $A5, Table2[GameIsOver], 1)</f>
        <v>2</v>
      </c>
      <c r="BV5">
        <f t="shared" si="8"/>
        <v>3</v>
      </c>
      <c r="BW5">
        <f t="shared" si="9"/>
        <v>0</v>
      </c>
      <c r="BX5">
        <f t="shared" si="10"/>
        <v>3</v>
      </c>
      <c r="BY5">
        <f t="shared" si="11"/>
        <v>3</v>
      </c>
      <c r="BZ5">
        <f>Table3[[#This Row],[TimesPredictedWinner]]/Table3[[#This Row],[GP]]</f>
        <v>0.5</v>
      </c>
      <c r="CB5">
        <v>2008</v>
      </c>
      <c r="CC5" s="1">
        <v>45759</v>
      </c>
      <c r="CE5" t="str">
        <f>INDEX(Table2[AwayTeam], Table3[[#This Row],[Column2]])</f>
        <v>COL</v>
      </c>
      <c r="CF5">
        <f>LARGE((Table2[[#This Row],[AwayTeam]]=Table3[[#This Row],[Teams]]), 1)</f>
        <v>0</v>
      </c>
      <c r="CI5">
        <f>SUMIFS(Table2[GamePredictionScore], Table2[AwayTeam], Table3[[#This Row],[Teams]])</f>
        <v>0.8</v>
      </c>
      <c r="CJ5">
        <f>SUMIFS(Table2[GamePredictionScore], Table2[HomeTeam], Table3[[#This Row],[Teams]])</f>
        <v>2.5</v>
      </c>
      <c r="CK5">
        <f>Table3[[#This Row],[Column4]]+Table3[[#This Row],[Column3]]</f>
        <v>3.3</v>
      </c>
      <c r="CL5">
        <f>Table3[[#This Row],[Column5]]/Table3[[#This Row],[GP]]</f>
        <v>0.54999999999999993</v>
      </c>
      <c r="CR5" t="s">
        <v>140</v>
      </c>
      <c r="CS5">
        <f>SUM($BF$2:$BF$33)</f>
        <v>646</v>
      </c>
      <c r="CW5" t="s">
        <v>67</v>
      </c>
      <c r="CX5" s="16">
        <v>0.15</v>
      </c>
      <c r="CY5">
        <f>INDEX($BF$2:$BF$33,MATCH("CGY",$A$2:$A$33,0),1)</f>
        <v>12</v>
      </c>
      <c r="CZ5">
        <f>CY5/CY2</f>
        <v>1.7142857142857142</v>
      </c>
      <c r="DA5" s="16">
        <f>CX5*CY5</f>
        <v>1.7999999999999998</v>
      </c>
      <c r="DB5" s="10">
        <f>DA5/$DA$7</f>
        <v>0.26470588235294118</v>
      </c>
    </row>
    <row r="6" spans="1:144" ht="15.75" thickBot="1" x14ac:dyDescent="0.3">
      <c r="A6" t="s">
        <v>21</v>
      </c>
      <c r="B6" t="s">
        <v>90</v>
      </c>
      <c r="C6" t="s">
        <v>88</v>
      </c>
      <c r="D6">
        <f>COUNTIFS(DataRegularSeason20242025!$D$3:$D$1315,$A6,DataRegularSeason20242025!$R$3:$R$1315,1,DataRegularSeason20242025!$N$3:$N$1315,1) + COUNTIFS(DataRegularSeason20242025!$E$3:$E$1315,$A6,DataRegularSeason20242025!$R$3:$R$1315,1,DataRegularSeason20242025!$N$3:$N$1315,1)</f>
        <v>3</v>
      </c>
      <c r="E6" s="10">
        <f>Table3[[#This Row],[Watched]]/Table3[[#This Row],[GP]]</f>
        <v>0.5</v>
      </c>
      <c r="F6">
        <f>COUNTIFS(DataRegularSeason20242025!$N$3:$N$1315,1,DataRegularSeason20242025!$D$3:$D$1315,$A6)</f>
        <v>3</v>
      </c>
      <c r="G6">
        <f>41-Table3[[#This Row],[GP_A]]</f>
        <v>38</v>
      </c>
      <c r="H6">
        <f>COUNTIFS(DataRegularSeason20242025!$E$3:$E$1315,$A6,DataRegularSeason20242025!$N$3:$N$1315,1)</f>
        <v>3</v>
      </c>
      <c r="I6">
        <f>41-Table3[[#This Row],[GP_H]]</f>
        <v>38</v>
      </c>
      <c r="J6">
        <f t="shared" si="0"/>
        <v>6</v>
      </c>
      <c r="K6">
        <f>82-Table3[[#This Row],[GP]]</f>
        <v>76</v>
      </c>
      <c r="L6">
        <f>COUNTIFS(DataRegularSeason20242025!$D$3:$D$1315,$A6, DataRegularSeason20242025!$L$3:$L$1315, $A6,DataRegularSeason20242025!$N$3:$N$1315,1)</f>
        <v>3</v>
      </c>
      <c r="M6">
        <f>COUNTIFS(DataRegularSeason20242025!$D$3:$D$1315,$A6, DataRegularSeason20242025!$L$3:$L$1315, $A6,DataRegularSeason20242025!$N$3:$N$1315,1,DataRegularSeason20242025!$M$3:$M$1315,"REG")</f>
        <v>3</v>
      </c>
      <c r="N6">
        <f>COUNTIFS(DataRegularSeason20242025!$D$3:$D$1315,$A6, DataRegularSeason20242025!$L$3:$L$1315, $A6,DataRegularSeason20242025!$N$3:$N$1315,1,DataRegularSeason20242025!$M$3:$M$1315,"OT")</f>
        <v>0</v>
      </c>
      <c r="O6">
        <f>COUNTIFS(DataRegularSeason20242025!$D$3:$D$1315,$A6, DataRegularSeason20242025!$L$3:$L$1315, $A6,DataRegularSeason20242025!$N$3:$N$1315,1,DataRegularSeason20242025!$M$3:$M$1315,"SO")</f>
        <v>0</v>
      </c>
      <c r="P6">
        <f t="shared" si="1"/>
        <v>0</v>
      </c>
      <c r="Q6">
        <f>COUNTIFS(DataRegularSeason20242025!$D$3:$D$1315,$A6, DataRegularSeason20242025!$S$3:$S$1315, $A6,DataRegularSeason20242025!$M$3:$M$1315,"REG")</f>
        <v>0</v>
      </c>
      <c r="R6">
        <f>COUNTIFS(DataRegularSeason20242025!$D$3:$D$1315,$A6, DataRegularSeason20242025!$S$3:$S$1315, $A6,DataRegularSeason20242025!$M$3:$M$1315,"OT")</f>
        <v>0</v>
      </c>
      <c r="S6">
        <f>COUNTIFS(DataRegularSeason20242025!$D$3:$D$1315,$A6, DataRegularSeason20242025!$S$3:$S$1315, $A6,DataRegularSeason20242025!$M$3:$M$1315,"SO")</f>
        <v>0</v>
      </c>
      <c r="T6">
        <f>COUNTIFS(DataRegularSeason20242025!$E$3:$E$1315,$A6, DataRegularSeason20242025!$L$3:$L$1315, $A6, DataRegularSeason20242025!$N$3:$N$1315,1)</f>
        <v>2</v>
      </c>
      <c r="U6">
        <f>COUNTIFS(DataRegularSeason20242025!$E$3:$E$1315,$A6, DataRegularSeason20242025!$L$3:$L$1315, $A6,DataRegularSeason20242025!$N$3:$N$1315,1,DataRegularSeason20242025!$M$3:$M$1315,"REG")</f>
        <v>2</v>
      </c>
      <c r="V6">
        <f>COUNTIFS(DataRegularSeason20242025!$E$3:$E$1315,$A6, DataRegularSeason20242025!$L$3:$L$1315, $A6,DataRegularSeason20242025!$N$3:$N$1315,1,DataRegularSeason20242025!$M$3:$M$1315,"OT")</f>
        <v>0</v>
      </c>
      <c r="W6">
        <f>COUNTIFS(DataRegularSeason20242025!$E$3:$E$1315,$A6, DataRegularSeason20242025!$L$3:$L$1315, $A6,DataRegularSeason20242025!$N$3:$N$1315,1,DataRegularSeason20242025!$M$3:$M$1315,"SO")</f>
        <v>0</v>
      </c>
      <c r="X6">
        <f t="shared" si="2"/>
        <v>1</v>
      </c>
      <c r="Y6">
        <f>COUNTIFS(DataRegularSeason20242025!$E$3:$E$1315,$A6, DataRegularSeason20242025!$S$3:$S$1315, $A6,DataRegularSeason20242025!$M$3:$M$1315,"REG")</f>
        <v>1</v>
      </c>
      <c r="Z6">
        <f>COUNTIFS(DataRegularSeason20242025!$E$3:$E$1315,$A6, DataRegularSeason20242025!$S$3:$S$1315, $A6,DataRegularSeason20242025!$M$3:$M$1315,"OT")</f>
        <v>0</v>
      </c>
      <c r="AA6">
        <f>COUNTIFS(DataRegularSeason20242025!$E$3:$E$1315,$A6, DataRegularSeason20242025!$S$3:$S$1315, $A6,DataRegularSeason20242025!$M$3:$M$1315,"SO")</f>
        <v>0</v>
      </c>
      <c r="AB6">
        <f>Table3[[#This Row],[W]]/MAX(1,Table3[[#This Row],[W]]+Table3[[#This Row],[L]])</f>
        <v>0.83333333333333337</v>
      </c>
      <c r="AC6">
        <f>Table3[[#This Row],[W_A]]+Table3[[#This Row],[W_H]]</f>
        <v>5</v>
      </c>
      <c r="AD6">
        <f>Table3[[#This Row],[L_A]]+Table3[[#This Row],[L_H]]</f>
        <v>1</v>
      </c>
      <c r="AE6">
        <f>Table3[[#This Row],[RW_A]]+Table3[[#This Row],[RW_H]]</f>
        <v>5</v>
      </c>
      <c r="AF6">
        <f>Table3[[#This Row],[RL_A]]+Table3[[#This Row],[RL_H]]</f>
        <v>1</v>
      </c>
      <c r="AG6">
        <f>Table3[[#This Row],[OTW_A]]+Table3[[#This Row],[OTW_H]]</f>
        <v>0</v>
      </c>
      <c r="AH6">
        <f>Table3[[#This Row],[OTL_A]]+Table3[[#This Row],[OTL_H]]</f>
        <v>0</v>
      </c>
      <c r="AI6">
        <f>Table3[[#This Row],[SOW_A]]+Table3[[#This Row],[SOW_H]]</f>
        <v>0</v>
      </c>
      <c r="AJ6">
        <f>Table3[[#This Row],[SOL_A]]+Table3[[#This Row],[SOL_H]]</f>
        <v>0</v>
      </c>
      <c r="AK6" s="15" t="str">
        <f>_xlfn.CONCAT(TEXT(Table3[[#This Row],[OTW]]+Table3[[#This Row],[SOW]], "0"), "-", TEXT(Table3[[#This Row],[OTL]]+Table3[[#This Row],[SOL]],"0"))</f>
        <v>0-0</v>
      </c>
      <c r="AL6">
        <f>SUM(Table3[[#This Row],[OTW]],Table3[[#This Row],[OTL]],Table3[[#This Row],[SOW]],Table3[[#This Row],[SOL]])</f>
        <v>0</v>
      </c>
      <c r="AM6">
        <f>(Table3[[#This Row],[OTW]]+Table3[[#This Row],[SOW]])/IF(Table3[[#This Row],[Total_ExtraTimes]]=0,1,Table3[[#This Row],[Total_ExtraTimes]])</f>
        <v>0</v>
      </c>
      <c r="AN6">
        <f>Table3[[#This Row],[Total_ExtraTimes]]/MAX(1,Table3[[#This Row],[GP]])</f>
        <v>0</v>
      </c>
      <c r="AO6">
        <f>(2*(Table3[[#This Row],[W_A]]+Table3[[#This Row],[W_H]]))+Table3[[#This Row],[OTL_A]]+Table3[[#This Row],[SOL_A]]+Table3[[#This Row],[OTL_H]]+Table3[[#This Row],[SOL_H]]</f>
        <v>10</v>
      </c>
      <c r="AP6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15</v>
      </c>
      <c r="AQ6" s="10">
        <f>Table3[[#This Row],[PTS]]/(2*Table3[[#This Row],[GP]])</f>
        <v>0.83333333333333337</v>
      </c>
      <c r="AR6" s="10">
        <f>Table3[[#This Row],[PTS2]]/(3*Table3[[#This Row],[GP]])</f>
        <v>0.83333333333333337</v>
      </c>
      <c r="AS6">
        <f>(2*Table3[[#This Row],[GR]])+Table3[[#This Row],[PTS]]</f>
        <v>162</v>
      </c>
      <c r="AT6">
        <f>(3*Table3[[#This Row],[GR]])+Table3[[#This Row],[PTS2]]</f>
        <v>243</v>
      </c>
      <c r="AU6">
        <f>Table3[[#This Row],[PTS]]+(2 * Table3[[#This Row],[GR]] * Table3[[#This Row],[PTS%]])</f>
        <v>136.66666666666669</v>
      </c>
      <c r="AV6">
        <f>Table3[[#This Row],[PTS2]]+(3 * Table3[[#This Row],[GR]] * Table3[[#This Row],[PTS%2]])</f>
        <v>205</v>
      </c>
      <c r="AW6" s="15" t="str">
        <f>_xlfn.CONCAT(TEXT(Table3[[#This Row],[W]], "0"), "-", TEXT(Table3[[#This Row],[RL]],"0"), "-", TEXT(Table3[[#This Row],[OTL]]+Table3[[#This Row],[SOL]], "0"))</f>
        <v>5-1-0</v>
      </c>
      <c r="AX6">
        <f>COUNTIFS(DataRegularSeason20242025!$D$3:$D$1315,Table3[[#This Row],[Teams]],DataRegularSeason20242025!$K$3:$K$1315,0)</f>
        <v>0</v>
      </c>
      <c r="AY6">
        <f>SUMIF(DataRegularSeason20242025!$D$3:$D$1315,$A6, DataRegularSeason20242025!$J$3:$J$1315)</f>
        <v>12</v>
      </c>
      <c r="AZ6">
        <f>SUMIF(DataRegularSeason20242025!$D$3:$D$1315,$A6, DataRegularSeason20242025!$K$3:$K$1315)</f>
        <v>5</v>
      </c>
      <c r="BA6">
        <f t="shared" si="3"/>
        <v>7</v>
      </c>
      <c r="BB6">
        <f>COUNTIFS(DataRegularSeason20242025!$E$3:$E$1315,Table3[[#This Row],[Teams]],DataRegularSeason20242025!$J$3:$J$1315,0)</f>
        <v>0</v>
      </c>
      <c r="BC6">
        <f>SUMIF(DataRegularSeason20242025!$E$3:$E$1315,$A6,DataRegularSeason20242025!$K$3:$K$1315)</f>
        <v>11</v>
      </c>
      <c r="BD6">
        <f>SUMIF(DataRegularSeason20242025!$E$3:$E$1315,$A6,DataRegularSeason20242025!$J$3:$J$1315)</f>
        <v>8</v>
      </c>
      <c r="BE6">
        <f t="shared" si="4"/>
        <v>3</v>
      </c>
      <c r="BF6">
        <f t="shared" si="5"/>
        <v>23</v>
      </c>
      <c r="BG6">
        <f t="shared" si="6"/>
        <v>13</v>
      </c>
      <c r="BH6">
        <f t="shared" si="7"/>
        <v>10</v>
      </c>
      <c r="BI6" s="12">
        <f>Table3[[#This Row],[GF]]/Table3[[#This Row],[GP]]</f>
        <v>3.8333333333333335</v>
      </c>
      <c r="BJ6" s="12">
        <f>Table3[[#This Row],[GA]]/Table3[[#This Row],[GP]]</f>
        <v>2.1666666666666665</v>
      </c>
      <c r="BK6" s="12">
        <f>(Table3[[#This Row],[GF]]-Table3[[#This Row],[GA]])/Table3[[#This Row],[GP]]</f>
        <v>1.6666666666666667</v>
      </c>
      <c r="BL6" s="42" t="str">
        <f>_xlfn.CONCAT(TEXT(Table3[[#This Row],[W_H]], "0"), "-", TEXT(Table3[[#This Row],[RL_H]],"0"), "-", TEXT(Table3[[#This Row],[OTL_H]]+Table3[[#This Row],[SOL_H]], "0"))</f>
        <v>2-1-0</v>
      </c>
      <c r="BM6" s="42" t="str">
        <f>_xlfn.CONCAT(TEXT(Table3[[#This Row],[W_A]], "0"), "-", TEXT(Table3[[#This Row],[RL_A]],"0"), "-", TEXT(Table3[[#This Row],[OTL_A]]+Table3[[#This Row],[SOL_A]], "0"))</f>
        <v>3-0-0</v>
      </c>
      <c r="BN6" s="42">
        <f>((2*(Table3[[#This Row],[W_H]]))+Table3[[#This Row],[OTL_H]]+Table3[[#This Row],[SOL_H]])/(2*Table3[[#This Row],[GP_H]])</f>
        <v>0.66666666666666663</v>
      </c>
      <c r="BO6" s="42">
        <f>((2*(Table3[[#This Row],[W_A]]))+Table3[[#This Row],[OTL_A]]+Table3[[#This Row],[SOL_A]])/(2*Table3[[#This Row],[GP_A]])</f>
        <v>1</v>
      </c>
      <c r="BP6" s="16">
        <f>(Table3[[#This Row],[W]]*$CX$3)+(Table3[[#This Row],[L]]*$CX$4)+(Table3[[#This Row],[GF]]*$CX$5)+(Table3[[#This Row],[GA]]*$CX$6)</f>
        <v>7.55</v>
      </c>
      <c r="BQ6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78.844444444444449</v>
      </c>
      <c r="BR6" s="16">
        <f>(Table3[[#This Row],[W]]*0.7) + ((Table3[[#This Row],[GF]] - Table3[[#This Row],[GA]])*0.25)+(Table3[[#This Row],[GF]]*0.1)+(Table3[[#This Row],[GA]]*0.05)+(Table3[[#This Row],[L]]*0.3)</f>
        <v>9.2500000000000018</v>
      </c>
      <c r="BS6" s="16">
        <f>Table3[[#This Row],[TeamCost83]]/Table3[[#This Row],[GP]]</f>
        <v>1.541666666666667</v>
      </c>
      <c r="BT6">
        <f>COUNTIFS(Table2[AwayTeam],$A6,Table2[PredictedWinner], $A6, Table2[GameIsOver], 1)</f>
        <v>2</v>
      </c>
      <c r="BU6">
        <f>COUNTIFS(Table2[HomeTeam],$A6,Table2[PredictedWinner], $A6, Table2[GameIsOver], 1)</f>
        <v>2</v>
      </c>
      <c r="BV6">
        <f t="shared" si="8"/>
        <v>4</v>
      </c>
      <c r="BW6">
        <f t="shared" si="9"/>
        <v>1</v>
      </c>
      <c r="BX6">
        <f t="shared" si="10"/>
        <v>1</v>
      </c>
      <c r="BY6">
        <f t="shared" si="11"/>
        <v>2</v>
      </c>
      <c r="BZ6">
        <f>Table3[[#This Row],[TimesPredictedWinner]]/Table3[[#This Row],[GP]]</f>
        <v>0.66666666666666663</v>
      </c>
      <c r="CD6" s="1">
        <v>45741</v>
      </c>
      <c r="CE6" t="str">
        <f>INDEX(Table2[AwayTeam], Table3[[#This Row],[Column2]])</f>
        <v>MTL</v>
      </c>
      <c r="CF6">
        <f>LARGE((Table2[[#This Row],[AwayTeam]]=Table3[[#This Row],[Teams]]), 1)</f>
        <v>0</v>
      </c>
      <c r="CI6">
        <f>SUMIFS(Table2[GamePredictionScore], Table2[AwayTeam], Table3[[#This Row],[Teams]])</f>
        <v>1.9000000000000001</v>
      </c>
      <c r="CJ6">
        <f>SUMIFS(Table2[GamePredictionScore], Table2[HomeTeam], Table3[[#This Row],[Teams]])</f>
        <v>2.6</v>
      </c>
      <c r="CK6">
        <f>Table3[[#This Row],[Column4]]+Table3[[#This Row],[Column3]]</f>
        <v>4.5</v>
      </c>
      <c r="CL6">
        <f>Table3[[#This Row],[Column5]]/Table3[[#This Row],[GP]]</f>
        <v>0.75</v>
      </c>
      <c r="CR6" t="s">
        <v>141</v>
      </c>
      <c r="CS6">
        <f>SUM($AX$2:$AX$33)+SUM($BB$2:$BB$33)</f>
        <v>7</v>
      </c>
      <c r="CW6" t="s">
        <v>68</v>
      </c>
      <c r="CX6" s="16">
        <v>0.1</v>
      </c>
      <c r="CY6">
        <f>INDEX($BG$2:$BG$33,MATCH("CGY",$A$2:$A$33,0),1)</f>
        <v>27</v>
      </c>
      <c r="CZ6">
        <f>CY6/CY2</f>
        <v>3.8571428571428572</v>
      </c>
      <c r="DA6" s="16">
        <f>CX6*CY6</f>
        <v>2.7</v>
      </c>
      <c r="DB6" s="10">
        <f>DA6/$DA$7</f>
        <v>0.3970588235294118</v>
      </c>
    </row>
    <row r="7" spans="1:144" ht="16.5" thickTop="1" thickBot="1" x14ac:dyDescent="0.3">
      <c r="A7" t="s">
        <v>31</v>
      </c>
      <c r="B7" t="s">
        <v>91</v>
      </c>
      <c r="C7" t="s">
        <v>92</v>
      </c>
      <c r="D7">
        <f>COUNTIFS(DataRegularSeason20242025!$D$3:$D$1315,$A7,DataRegularSeason20242025!$R$3:$R$1315,1,DataRegularSeason20242025!$N$3:$N$1315,1) + COUNTIFS(DataRegularSeason20242025!$E$3:$E$1315,$A7,DataRegularSeason20242025!$R$3:$R$1315,1,DataRegularSeason20242025!$N$3:$N$1315,1)</f>
        <v>3</v>
      </c>
      <c r="E7" s="10">
        <f>Table3[[#This Row],[Watched]]/Table3[[#This Row],[GP]]</f>
        <v>0.5</v>
      </c>
      <c r="F7">
        <f>COUNTIFS(DataRegularSeason20242025!$N$3:$N$1315,1,DataRegularSeason20242025!$D$3:$D$1315,$A7)</f>
        <v>4</v>
      </c>
      <c r="G7">
        <f>41-Table3[[#This Row],[GP_A]]</f>
        <v>37</v>
      </c>
      <c r="H7">
        <f>COUNTIFS(DataRegularSeason20242025!$E$3:$E$1315,$A7,DataRegularSeason20242025!$N$3:$N$1315,1)</f>
        <v>2</v>
      </c>
      <c r="I7">
        <f>41-Table3[[#This Row],[GP_H]]</f>
        <v>39</v>
      </c>
      <c r="J7">
        <f t="shared" si="0"/>
        <v>6</v>
      </c>
      <c r="K7">
        <f>82-Table3[[#This Row],[GP]]</f>
        <v>76</v>
      </c>
      <c r="L7">
        <f>COUNTIFS(DataRegularSeason20242025!$D$3:$D$1315,$A7, DataRegularSeason20242025!$L$3:$L$1315, $A7,DataRegularSeason20242025!$N$3:$N$1315,1)</f>
        <v>3</v>
      </c>
      <c r="M7">
        <f>COUNTIFS(DataRegularSeason20242025!$D$3:$D$1315,$A7, DataRegularSeason20242025!$L$3:$L$1315, $A7,DataRegularSeason20242025!$N$3:$N$1315,1,DataRegularSeason20242025!$M$3:$M$1315,"REG")</f>
        <v>3</v>
      </c>
      <c r="N7">
        <f>COUNTIFS(DataRegularSeason20242025!$D$3:$D$1315,$A7, DataRegularSeason20242025!$L$3:$L$1315, $A7,DataRegularSeason20242025!$N$3:$N$1315,1,DataRegularSeason20242025!$M$3:$M$1315,"OT")</f>
        <v>0</v>
      </c>
      <c r="O7">
        <f>COUNTIFS(DataRegularSeason20242025!$D$3:$D$1315,$A7, DataRegularSeason20242025!$L$3:$L$1315, $A7,DataRegularSeason20242025!$N$3:$N$1315,1,DataRegularSeason20242025!$M$3:$M$1315,"SO")</f>
        <v>0</v>
      </c>
      <c r="P7">
        <f t="shared" si="1"/>
        <v>1</v>
      </c>
      <c r="Q7">
        <f>COUNTIFS(DataRegularSeason20242025!$D$3:$D$1315,$A7, DataRegularSeason20242025!$S$3:$S$1315, $A7,DataRegularSeason20242025!$M$3:$M$1315,"REG")</f>
        <v>1</v>
      </c>
      <c r="R7">
        <f>COUNTIFS(DataRegularSeason20242025!$D$3:$D$1315,$A7, DataRegularSeason20242025!$S$3:$S$1315, $A7,DataRegularSeason20242025!$M$3:$M$1315,"OT")</f>
        <v>0</v>
      </c>
      <c r="S7">
        <f>COUNTIFS(DataRegularSeason20242025!$D$3:$D$1315,$A7, DataRegularSeason20242025!$S$3:$S$1315, $A7,DataRegularSeason20242025!$M$3:$M$1315,"SO")</f>
        <v>0</v>
      </c>
      <c r="T7">
        <f>COUNTIFS(DataRegularSeason20242025!$E$3:$E$1315,$A7, DataRegularSeason20242025!$L$3:$L$1315, $A7, DataRegularSeason20242025!$N$3:$N$1315,1)</f>
        <v>2</v>
      </c>
      <c r="U7">
        <f>COUNTIFS(DataRegularSeason20242025!$E$3:$E$1315,$A7, DataRegularSeason20242025!$L$3:$L$1315, $A7,DataRegularSeason20242025!$N$3:$N$1315,1,DataRegularSeason20242025!$M$3:$M$1315,"REG")</f>
        <v>2</v>
      </c>
      <c r="V7">
        <f>COUNTIFS(DataRegularSeason20242025!$E$3:$E$1315,$A7, DataRegularSeason20242025!$L$3:$L$1315, $A7,DataRegularSeason20242025!$N$3:$N$1315,1,DataRegularSeason20242025!$M$3:$M$1315,"OT")</f>
        <v>0</v>
      </c>
      <c r="W7">
        <f>COUNTIFS(DataRegularSeason20242025!$E$3:$E$1315,$A7, DataRegularSeason20242025!$L$3:$L$1315, $A7,DataRegularSeason20242025!$N$3:$N$1315,1,DataRegularSeason20242025!$M$3:$M$1315,"SO")</f>
        <v>0</v>
      </c>
      <c r="X7">
        <f t="shared" si="2"/>
        <v>0</v>
      </c>
      <c r="Y7">
        <f>COUNTIFS(DataRegularSeason20242025!$E$3:$E$1315,$A7, DataRegularSeason20242025!$S$3:$S$1315, $A7,DataRegularSeason20242025!$M$3:$M$1315,"REG")</f>
        <v>0</v>
      </c>
      <c r="Z7">
        <f>COUNTIFS(DataRegularSeason20242025!$E$3:$E$1315,$A7, DataRegularSeason20242025!$S$3:$S$1315, $A7,DataRegularSeason20242025!$M$3:$M$1315,"OT")</f>
        <v>0</v>
      </c>
      <c r="AA7">
        <f>COUNTIFS(DataRegularSeason20242025!$E$3:$E$1315,$A7, DataRegularSeason20242025!$S$3:$S$1315, $A7,DataRegularSeason20242025!$M$3:$M$1315,"SO")</f>
        <v>0</v>
      </c>
      <c r="AB7">
        <f>Table3[[#This Row],[W]]/MAX(1,Table3[[#This Row],[W]]+Table3[[#This Row],[L]])</f>
        <v>0.83333333333333337</v>
      </c>
      <c r="AC7">
        <f>Table3[[#This Row],[W_A]]+Table3[[#This Row],[W_H]]</f>
        <v>5</v>
      </c>
      <c r="AD7">
        <f>Table3[[#This Row],[L_A]]+Table3[[#This Row],[L_H]]</f>
        <v>1</v>
      </c>
      <c r="AE7">
        <f>Table3[[#This Row],[RW_A]]+Table3[[#This Row],[RW_H]]</f>
        <v>5</v>
      </c>
      <c r="AF7">
        <f>Table3[[#This Row],[RL_A]]+Table3[[#This Row],[RL_H]]</f>
        <v>1</v>
      </c>
      <c r="AG7">
        <f>Table3[[#This Row],[OTW_A]]+Table3[[#This Row],[OTW_H]]</f>
        <v>0</v>
      </c>
      <c r="AH7">
        <f>Table3[[#This Row],[OTL_A]]+Table3[[#This Row],[OTL_H]]</f>
        <v>0</v>
      </c>
      <c r="AI7">
        <f>Table3[[#This Row],[SOW_A]]+Table3[[#This Row],[SOW_H]]</f>
        <v>0</v>
      </c>
      <c r="AJ7">
        <f>Table3[[#This Row],[SOL_A]]+Table3[[#This Row],[SOL_H]]</f>
        <v>0</v>
      </c>
      <c r="AK7" s="15" t="str">
        <f>_xlfn.CONCAT(TEXT(Table3[[#This Row],[OTW]]+Table3[[#This Row],[SOW]], "0"), "-", TEXT(Table3[[#This Row],[OTL]]+Table3[[#This Row],[SOL]],"0"))</f>
        <v>0-0</v>
      </c>
      <c r="AL7">
        <f>SUM(Table3[[#This Row],[OTW]],Table3[[#This Row],[OTL]],Table3[[#This Row],[SOW]],Table3[[#This Row],[SOL]])</f>
        <v>0</v>
      </c>
      <c r="AM7">
        <f>(Table3[[#This Row],[OTW]]+Table3[[#This Row],[SOW]])/IF(Table3[[#This Row],[Total_ExtraTimes]]=0,1,Table3[[#This Row],[Total_ExtraTimes]])</f>
        <v>0</v>
      </c>
      <c r="AN7">
        <f>Table3[[#This Row],[Total_ExtraTimes]]/MAX(1,Table3[[#This Row],[GP]])</f>
        <v>0</v>
      </c>
      <c r="AO7">
        <f>(2*(Table3[[#This Row],[W_A]]+Table3[[#This Row],[W_H]]))+Table3[[#This Row],[OTL_A]]+Table3[[#This Row],[SOL_A]]+Table3[[#This Row],[OTL_H]]+Table3[[#This Row],[SOL_H]]</f>
        <v>10</v>
      </c>
      <c r="AP7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15</v>
      </c>
      <c r="AQ7" s="10">
        <f>Table3[[#This Row],[PTS]]/(2*Table3[[#This Row],[GP]])</f>
        <v>0.83333333333333337</v>
      </c>
      <c r="AR7" s="10">
        <f>Table3[[#This Row],[PTS2]]/(3*Table3[[#This Row],[GP]])</f>
        <v>0.83333333333333337</v>
      </c>
      <c r="AS7">
        <f>(2*Table3[[#This Row],[GR]])+Table3[[#This Row],[PTS]]</f>
        <v>162</v>
      </c>
      <c r="AT7">
        <f>(3*Table3[[#This Row],[GR]])+Table3[[#This Row],[PTS2]]</f>
        <v>243</v>
      </c>
      <c r="AU7">
        <f>Table3[[#This Row],[PTS]]+(2 * Table3[[#This Row],[GR]] * Table3[[#This Row],[PTS%]])</f>
        <v>136.66666666666669</v>
      </c>
      <c r="AV7">
        <f>Table3[[#This Row],[PTS2]]+(3 * Table3[[#This Row],[GR]] * Table3[[#This Row],[PTS%2]])</f>
        <v>205</v>
      </c>
      <c r="AW7" s="15" t="str">
        <f>_xlfn.CONCAT(TEXT(Table3[[#This Row],[W]], "0"), "-", TEXT(Table3[[#This Row],[RL]],"0"), "-", TEXT(Table3[[#This Row],[OTL]]+Table3[[#This Row],[SOL]], "0"))</f>
        <v>5-1-0</v>
      </c>
      <c r="AX7">
        <f>COUNTIFS(DataRegularSeason20242025!$D$3:$D$1315,Table3[[#This Row],[Teams]],DataRegularSeason20242025!$K$3:$K$1315,0)</f>
        <v>0</v>
      </c>
      <c r="AY7">
        <f>SUMIF(DataRegularSeason20242025!$D$3:$D$1315,$A7, DataRegularSeason20242025!$J$3:$J$1315)</f>
        <v>16</v>
      </c>
      <c r="AZ7">
        <f>SUMIF(DataRegularSeason20242025!$D$3:$D$1315,$A7, DataRegularSeason20242025!$K$3:$K$1315)</f>
        <v>13</v>
      </c>
      <c r="BA7">
        <f t="shared" si="3"/>
        <v>3</v>
      </c>
      <c r="BB7">
        <f>COUNTIFS(DataRegularSeason20242025!$E$3:$E$1315,Table3[[#This Row],[Teams]],DataRegularSeason20242025!$J$3:$J$1315,0)</f>
        <v>0</v>
      </c>
      <c r="BC7">
        <f>SUMIF(DataRegularSeason20242025!$E$3:$E$1315,$A7,DataRegularSeason20242025!$K$3:$K$1315)</f>
        <v>8</v>
      </c>
      <c r="BD7">
        <f>SUMIF(DataRegularSeason20242025!$E$3:$E$1315,$A7,DataRegularSeason20242025!$J$3:$J$1315)</f>
        <v>4</v>
      </c>
      <c r="BE7">
        <f t="shared" si="4"/>
        <v>4</v>
      </c>
      <c r="BF7">
        <f t="shared" si="5"/>
        <v>24</v>
      </c>
      <c r="BG7">
        <f t="shared" si="6"/>
        <v>17</v>
      </c>
      <c r="BH7">
        <f t="shared" si="7"/>
        <v>7</v>
      </c>
      <c r="BI7" s="12">
        <f>Table3[[#This Row],[GF]]/Table3[[#This Row],[GP]]</f>
        <v>4</v>
      </c>
      <c r="BJ7" s="12">
        <f>Table3[[#This Row],[GA]]/Table3[[#This Row],[GP]]</f>
        <v>2.8333333333333335</v>
      </c>
      <c r="BK7" s="12">
        <f>(Table3[[#This Row],[GF]]-Table3[[#This Row],[GA]])/Table3[[#This Row],[GP]]</f>
        <v>1.1666666666666667</v>
      </c>
      <c r="BL7" s="42" t="str">
        <f>_xlfn.CONCAT(TEXT(Table3[[#This Row],[W_H]], "0"), "-", TEXT(Table3[[#This Row],[RL_H]],"0"), "-", TEXT(Table3[[#This Row],[OTL_H]]+Table3[[#This Row],[SOL_H]], "0"))</f>
        <v>2-0-0</v>
      </c>
      <c r="BM7" s="42" t="str">
        <f>_xlfn.CONCAT(TEXT(Table3[[#This Row],[W_A]], "0"), "-", TEXT(Table3[[#This Row],[RL_A]],"0"), "-", TEXT(Table3[[#This Row],[OTL_A]]+Table3[[#This Row],[SOL_A]], "0"))</f>
        <v>3-1-0</v>
      </c>
      <c r="BN7" s="42">
        <f>((2*(Table3[[#This Row],[W_H]]))+Table3[[#This Row],[OTL_H]]+Table3[[#This Row],[SOL_H]])/(2*Table3[[#This Row],[GP_H]])</f>
        <v>1</v>
      </c>
      <c r="BO7" s="42">
        <f>((2*(Table3[[#This Row],[W_A]]))+Table3[[#This Row],[OTL_A]]+Table3[[#This Row],[SOL_A]])/(2*Table3[[#This Row],[GP_A]])</f>
        <v>0.75</v>
      </c>
      <c r="BP7" s="16">
        <f>(Table3[[#This Row],[W]]*$CX$3)+(Table3[[#This Row],[L]]*$CX$4)+(Table3[[#This Row],[GF]]*$CX$5)+(Table3[[#This Row],[GA]]*$CX$6)</f>
        <v>8.1</v>
      </c>
      <c r="BQ7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86.911111111111111</v>
      </c>
      <c r="BR7" s="16">
        <f>(Table3[[#This Row],[W]]*0.7) + ((Table3[[#This Row],[GF]] - Table3[[#This Row],[GA]])*0.25)+(Table3[[#This Row],[GF]]*0.1)+(Table3[[#This Row],[GA]]*0.05)+(Table3[[#This Row],[L]]*0.3)</f>
        <v>8.8000000000000007</v>
      </c>
      <c r="BS7" s="16">
        <f>Table3[[#This Row],[TeamCost83]]/Table3[[#This Row],[GP]]</f>
        <v>1.4666666666666668</v>
      </c>
      <c r="BT7">
        <f>COUNTIFS(Table2[AwayTeam],$A7,Table2[PredictedWinner], $A7, Table2[GameIsOver], 1)</f>
        <v>1</v>
      </c>
      <c r="BU7">
        <f>COUNTIFS(Table2[HomeTeam],$A7,Table2[PredictedWinner], $A7, Table2[GameIsOver], 1)</f>
        <v>2</v>
      </c>
      <c r="BV7">
        <f t="shared" si="8"/>
        <v>3</v>
      </c>
      <c r="BW7">
        <f t="shared" si="9"/>
        <v>3</v>
      </c>
      <c r="BX7">
        <f t="shared" si="10"/>
        <v>0</v>
      </c>
      <c r="BY7">
        <f t="shared" si="11"/>
        <v>3</v>
      </c>
      <c r="BZ7">
        <f>Table3[[#This Row],[TimesPredictedWinner]]/Table3[[#This Row],[GP]]</f>
        <v>0.5</v>
      </c>
      <c r="CB7">
        <v>2003</v>
      </c>
      <c r="CD7" s="1">
        <v>45755</v>
      </c>
      <c r="CE7" t="str">
        <f>INDEX(Table2[AwayTeam], Table3[[#This Row],[Column2]])</f>
        <v>BOS</v>
      </c>
      <c r="CF7">
        <f>LARGE((Table2[[#This Row],[AwayTeam]]=Table3[[#This Row],[Teams]]), 1)</f>
        <v>0</v>
      </c>
      <c r="CI7">
        <f>SUMIFS(Table2[GamePredictionScore], Table2[AwayTeam], Table3[[#This Row],[Teams]])</f>
        <v>1.8</v>
      </c>
      <c r="CJ7">
        <f>SUMIFS(Table2[GamePredictionScore], Table2[HomeTeam], Table3[[#This Row],[Teams]])</f>
        <v>1.8</v>
      </c>
      <c r="CK7">
        <f>Table3[[#This Row],[Column4]]+Table3[[#This Row],[Column3]]</f>
        <v>3.6</v>
      </c>
      <c r="CL7">
        <f>Table3[[#This Row],[Column5]]/Table3[[#This Row],[GP]]</f>
        <v>0.6</v>
      </c>
      <c r="CR7" t="s">
        <v>142</v>
      </c>
      <c r="CS7">
        <f>SUM($AG$2:$AG$33)</f>
        <v>18</v>
      </c>
      <c r="CW7" t="s">
        <v>543</v>
      </c>
      <c r="CX7">
        <f>INDEX($AQ$2:$AQ$33,MATCH("CGY",$A$2:$A$33,0),1)</f>
        <v>0.14285714285714285</v>
      </c>
      <c r="CZ7" s="17">
        <f>(CX4+(ABS(CX3-CX4)*CX7))+(CX5*CZ5)+(CX6*CZ6)</f>
        <v>0.97142857142857131</v>
      </c>
      <c r="DA7" s="88">
        <f>SUM(DA3:DA6)</f>
        <v>6.8</v>
      </c>
    </row>
    <row r="8" spans="1:144" ht="15.75" thickTop="1" x14ac:dyDescent="0.25">
      <c r="A8" t="s">
        <v>18</v>
      </c>
      <c r="B8" t="s">
        <v>91</v>
      </c>
      <c r="C8" t="s">
        <v>74</v>
      </c>
      <c r="D8">
        <f>COUNTIFS(DataRegularSeason20242025!$D$3:$D$1315,$A8,DataRegularSeason20242025!$R$3:$R$1315,1,DataRegularSeason20242025!$N$3:$N$1315,1) + COUNTIFS(DataRegularSeason20242025!$E$3:$E$1315,$A8,DataRegularSeason20242025!$R$3:$R$1315,1,DataRegularSeason20242025!$N$3:$N$1315,1)</f>
        <v>7</v>
      </c>
      <c r="E8" s="10">
        <f>Table3[[#This Row],[Watched]]/Table3[[#This Row],[GP]]</f>
        <v>1</v>
      </c>
      <c r="F8">
        <f>COUNTIFS(DataRegularSeason20242025!$N$3:$N$1315,1,DataRegularSeason20242025!$D$3:$D$1315,$A8)</f>
        <v>3</v>
      </c>
      <c r="G8">
        <f>41-Table3[[#This Row],[GP_A]]</f>
        <v>38</v>
      </c>
      <c r="H8">
        <f>COUNTIFS(DataRegularSeason20242025!$E$3:$E$1315,$A8,DataRegularSeason20242025!$N$3:$N$1315,1)</f>
        <v>4</v>
      </c>
      <c r="I8">
        <f>41-Table3[[#This Row],[GP_H]]</f>
        <v>37</v>
      </c>
      <c r="J8">
        <f t="shared" si="0"/>
        <v>7</v>
      </c>
      <c r="K8">
        <f>82-Table3[[#This Row],[GP]]</f>
        <v>75</v>
      </c>
      <c r="L8">
        <f>COUNTIFS(DataRegularSeason20242025!$D$3:$D$1315,$A8, DataRegularSeason20242025!$L$3:$L$1315, $A8,DataRegularSeason20242025!$N$3:$N$1315,1)</f>
        <v>2</v>
      </c>
      <c r="M8">
        <f>COUNTIFS(DataRegularSeason20242025!$D$3:$D$1315,$A8, DataRegularSeason20242025!$L$3:$L$1315, $A8,DataRegularSeason20242025!$N$3:$N$1315,1,DataRegularSeason20242025!$M$3:$M$1315,"REG")</f>
        <v>2</v>
      </c>
      <c r="N8">
        <f>COUNTIFS(DataRegularSeason20242025!$D$3:$D$1315,$A8, DataRegularSeason20242025!$L$3:$L$1315, $A8,DataRegularSeason20242025!$N$3:$N$1315,1,DataRegularSeason20242025!$M$3:$M$1315,"OT")</f>
        <v>0</v>
      </c>
      <c r="O8">
        <f>COUNTIFS(DataRegularSeason20242025!$D$3:$D$1315,$A8, DataRegularSeason20242025!$L$3:$L$1315, $A8,DataRegularSeason20242025!$N$3:$N$1315,1,DataRegularSeason20242025!$M$3:$M$1315,"SO")</f>
        <v>0</v>
      </c>
      <c r="P8">
        <f t="shared" si="1"/>
        <v>1</v>
      </c>
      <c r="Q8">
        <f>COUNTIFS(DataRegularSeason20242025!$D$3:$D$1315,$A8, DataRegularSeason20242025!$S$3:$S$1315, $A8,DataRegularSeason20242025!$M$3:$M$1315,"REG")</f>
        <v>1</v>
      </c>
      <c r="R8">
        <f>COUNTIFS(DataRegularSeason20242025!$D$3:$D$1315,$A8, DataRegularSeason20242025!$S$3:$S$1315, $A8,DataRegularSeason20242025!$M$3:$M$1315,"OT")</f>
        <v>0</v>
      </c>
      <c r="S8">
        <f>COUNTIFS(DataRegularSeason20242025!$D$3:$D$1315,$A8, DataRegularSeason20242025!$S$3:$S$1315, $A8,DataRegularSeason20242025!$M$3:$M$1315,"SO")</f>
        <v>0</v>
      </c>
      <c r="T8">
        <f>COUNTIFS(DataRegularSeason20242025!$E$3:$E$1315,$A8, DataRegularSeason20242025!$L$3:$L$1315, $A8, DataRegularSeason20242025!$N$3:$N$1315,1)</f>
        <v>3</v>
      </c>
      <c r="U8">
        <f>COUNTIFS(DataRegularSeason20242025!$E$3:$E$1315,$A8, DataRegularSeason20242025!$L$3:$L$1315, $A8,DataRegularSeason20242025!$N$3:$N$1315,1,DataRegularSeason20242025!$M$3:$M$1315,"REG")</f>
        <v>1</v>
      </c>
      <c r="V8">
        <f>COUNTIFS(DataRegularSeason20242025!$E$3:$E$1315,$A8, DataRegularSeason20242025!$L$3:$L$1315, $A8,DataRegularSeason20242025!$N$3:$N$1315,1,DataRegularSeason20242025!$M$3:$M$1315,"OT")</f>
        <v>2</v>
      </c>
      <c r="W8">
        <f>COUNTIFS(DataRegularSeason20242025!$E$3:$E$1315,$A8, DataRegularSeason20242025!$L$3:$L$1315, $A8,DataRegularSeason20242025!$N$3:$N$1315,1,DataRegularSeason20242025!$M$3:$M$1315,"SO")</f>
        <v>0</v>
      </c>
      <c r="X8">
        <f t="shared" si="2"/>
        <v>1</v>
      </c>
      <c r="Y8">
        <f>COUNTIFS(DataRegularSeason20242025!$E$3:$E$1315,$A8, DataRegularSeason20242025!$S$3:$S$1315, $A8,DataRegularSeason20242025!$M$3:$M$1315,"REG")</f>
        <v>1</v>
      </c>
      <c r="Z8">
        <f>COUNTIFS(DataRegularSeason20242025!$E$3:$E$1315,$A8, DataRegularSeason20242025!$S$3:$S$1315, $A8,DataRegularSeason20242025!$M$3:$M$1315,"OT")</f>
        <v>0</v>
      </c>
      <c r="AA8">
        <f>COUNTIFS(DataRegularSeason20242025!$E$3:$E$1315,$A8, DataRegularSeason20242025!$S$3:$S$1315, $A8,DataRegularSeason20242025!$M$3:$M$1315,"SO")</f>
        <v>0</v>
      </c>
      <c r="AB8">
        <f>Table3[[#This Row],[W]]/MAX(1,Table3[[#This Row],[W]]+Table3[[#This Row],[L]])</f>
        <v>0.7142857142857143</v>
      </c>
      <c r="AC8">
        <f>Table3[[#This Row],[W_A]]+Table3[[#This Row],[W_H]]</f>
        <v>5</v>
      </c>
      <c r="AD8">
        <f>Table3[[#This Row],[L_A]]+Table3[[#This Row],[L_H]]</f>
        <v>2</v>
      </c>
      <c r="AE8">
        <f>Table3[[#This Row],[RW_A]]+Table3[[#This Row],[RW_H]]</f>
        <v>3</v>
      </c>
      <c r="AF8">
        <f>Table3[[#This Row],[RL_A]]+Table3[[#This Row],[RL_H]]</f>
        <v>2</v>
      </c>
      <c r="AG8">
        <f>Table3[[#This Row],[OTW_A]]+Table3[[#This Row],[OTW_H]]</f>
        <v>2</v>
      </c>
      <c r="AH8">
        <f>Table3[[#This Row],[OTL_A]]+Table3[[#This Row],[OTL_H]]</f>
        <v>0</v>
      </c>
      <c r="AI8">
        <f>Table3[[#This Row],[SOW_A]]+Table3[[#This Row],[SOW_H]]</f>
        <v>0</v>
      </c>
      <c r="AJ8">
        <f>Table3[[#This Row],[SOL_A]]+Table3[[#This Row],[SOL_H]]</f>
        <v>0</v>
      </c>
      <c r="AK8" s="15" t="str">
        <f>_xlfn.CONCAT(TEXT(Table3[[#This Row],[OTW]]+Table3[[#This Row],[SOW]], "0"), "-", TEXT(Table3[[#This Row],[OTL]]+Table3[[#This Row],[SOL]],"0"))</f>
        <v>2-0</v>
      </c>
      <c r="AL8">
        <f>SUM(Table3[[#This Row],[OTW]],Table3[[#This Row],[OTL]],Table3[[#This Row],[SOW]],Table3[[#This Row],[SOL]])</f>
        <v>2</v>
      </c>
      <c r="AM8">
        <f>(Table3[[#This Row],[OTW]]+Table3[[#This Row],[SOW]])/IF(Table3[[#This Row],[Total_ExtraTimes]]=0,1,Table3[[#This Row],[Total_ExtraTimes]])</f>
        <v>1</v>
      </c>
      <c r="AN8">
        <f>Table3[[#This Row],[Total_ExtraTimes]]/MAX(1,Table3[[#This Row],[GP]])</f>
        <v>0.2857142857142857</v>
      </c>
      <c r="AO8">
        <f>(2*(Table3[[#This Row],[W_A]]+Table3[[#This Row],[W_H]]))+Table3[[#This Row],[OTL_A]]+Table3[[#This Row],[SOL_A]]+Table3[[#This Row],[OTL_H]]+Table3[[#This Row],[SOL_H]]</f>
        <v>10</v>
      </c>
      <c r="AP8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13</v>
      </c>
      <c r="AQ8" s="10">
        <f>Table3[[#This Row],[PTS]]/(2*Table3[[#This Row],[GP]])</f>
        <v>0.7142857142857143</v>
      </c>
      <c r="AR8" s="10">
        <f>Table3[[#This Row],[PTS2]]/(3*Table3[[#This Row],[GP]])</f>
        <v>0.61904761904761907</v>
      </c>
      <c r="AS8">
        <f>(2*Table3[[#This Row],[GR]])+Table3[[#This Row],[PTS]]</f>
        <v>160</v>
      </c>
      <c r="AT8">
        <f>(3*Table3[[#This Row],[GR]])+Table3[[#This Row],[PTS2]]</f>
        <v>238</v>
      </c>
      <c r="AU8">
        <f>Table3[[#This Row],[PTS]]+(2 * Table3[[#This Row],[GR]] * Table3[[#This Row],[PTS%]])</f>
        <v>117.14285714285714</v>
      </c>
      <c r="AV8">
        <f>Table3[[#This Row],[PTS2]]+(3 * Table3[[#This Row],[GR]] * Table3[[#This Row],[PTS%2]])</f>
        <v>152.28571428571428</v>
      </c>
      <c r="AW8" s="15" t="str">
        <f>_xlfn.CONCAT(TEXT(Table3[[#This Row],[W]], "0"), "-", TEXT(Table3[[#This Row],[RL]],"0"), "-", TEXT(Table3[[#This Row],[OTL]]+Table3[[#This Row],[SOL]], "0"))</f>
        <v>5-2-0</v>
      </c>
      <c r="AX8">
        <f>COUNTIFS(DataRegularSeason20242025!$D$3:$D$1315,Table3[[#This Row],[Teams]],DataRegularSeason20242025!$K$3:$K$1315,0)</f>
        <v>0</v>
      </c>
      <c r="AY8">
        <f>SUMIF(DataRegularSeason20242025!$D$3:$D$1315,$A8, DataRegularSeason20242025!$J$3:$J$1315)</f>
        <v>10</v>
      </c>
      <c r="AZ8">
        <f>SUMIF(DataRegularSeason20242025!$D$3:$D$1315,$A8, DataRegularSeason20242025!$K$3:$K$1315)</f>
        <v>8</v>
      </c>
      <c r="BA8">
        <f t="shared" si="3"/>
        <v>2</v>
      </c>
      <c r="BB8">
        <f>COUNTIFS(DataRegularSeason20242025!$E$3:$E$1315,Table3[[#This Row],[Teams]],DataRegularSeason20242025!$J$3:$J$1315,0)</f>
        <v>0</v>
      </c>
      <c r="BC8">
        <f>SUMIF(DataRegularSeason20242025!$E$3:$E$1315,$A8,DataRegularSeason20242025!$K$3:$K$1315)</f>
        <v>15</v>
      </c>
      <c r="BD8">
        <f>SUMIF(DataRegularSeason20242025!$E$3:$E$1315,$A8,DataRegularSeason20242025!$J$3:$J$1315)</f>
        <v>12</v>
      </c>
      <c r="BE8">
        <f t="shared" si="4"/>
        <v>3</v>
      </c>
      <c r="BF8">
        <f t="shared" si="5"/>
        <v>25</v>
      </c>
      <c r="BG8">
        <f t="shared" si="6"/>
        <v>20</v>
      </c>
      <c r="BH8">
        <f t="shared" si="7"/>
        <v>5</v>
      </c>
      <c r="BI8" s="12">
        <f>Table3[[#This Row],[GF]]/Table3[[#This Row],[GP]]</f>
        <v>3.5714285714285716</v>
      </c>
      <c r="BJ8" s="12">
        <f>Table3[[#This Row],[GA]]/Table3[[#This Row],[GP]]</f>
        <v>2.8571428571428572</v>
      </c>
      <c r="BK8" s="12">
        <f>(Table3[[#This Row],[GF]]-Table3[[#This Row],[GA]])/Table3[[#This Row],[GP]]</f>
        <v>0.7142857142857143</v>
      </c>
      <c r="BL8" s="42" t="str">
        <f>_xlfn.CONCAT(TEXT(Table3[[#This Row],[W_H]], "0"), "-", TEXT(Table3[[#This Row],[RL_H]],"0"), "-", TEXT(Table3[[#This Row],[OTL_H]]+Table3[[#This Row],[SOL_H]], "0"))</f>
        <v>3-1-0</v>
      </c>
      <c r="BM8" s="42" t="str">
        <f>_xlfn.CONCAT(TEXT(Table3[[#This Row],[W_A]], "0"), "-", TEXT(Table3[[#This Row],[RL_A]],"0"), "-", TEXT(Table3[[#This Row],[OTL_A]]+Table3[[#This Row],[SOL_A]], "0"))</f>
        <v>2-1-0</v>
      </c>
      <c r="BN8" s="42">
        <f>((2*(Table3[[#This Row],[W_H]]))+Table3[[#This Row],[OTL_H]]+Table3[[#This Row],[SOL_H]])/(2*Table3[[#This Row],[GP_H]])</f>
        <v>0.75</v>
      </c>
      <c r="BO8" s="42">
        <f>((2*(Table3[[#This Row],[W_A]]))+Table3[[#This Row],[OTL_A]]+Table3[[#This Row],[SOL_A]])/(2*Table3[[#This Row],[GP_A]])</f>
        <v>0.66666666666666663</v>
      </c>
      <c r="BP8" s="16">
        <f>(Table3[[#This Row],[W]]*$CX$3)+(Table3[[#This Row],[L]]*$CX$4)+(Table3[[#This Row],[GF]]*$CX$5)+(Table3[[#This Row],[GA]]*$CX$6)</f>
        <v>8.85</v>
      </c>
      <c r="BQ8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81.394897959183666</v>
      </c>
      <c r="BR8" s="16">
        <f>(Table3[[#This Row],[W]]*0.7) + ((Table3[[#This Row],[GF]] - Table3[[#This Row],[GA]])*0.25)+(Table3[[#This Row],[GF]]*0.1)+(Table3[[#This Row],[GA]]*0.05)+(Table3[[#This Row],[L]]*0.3)</f>
        <v>8.85</v>
      </c>
      <c r="BS8" s="16">
        <f>Table3[[#This Row],[TeamCost83]]/Table3[[#This Row],[GP]]</f>
        <v>1.2642857142857142</v>
      </c>
      <c r="BT8">
        <f>COUNTIFS(Table2[AwayTeam],$A8,Table2[PredictedWinner], $A8, Table2[GameIsOver], 1)</f>
        <v>2</v>
      </c>
      <c r="BU8">
        <f>COUNTIFS(Table2[HomeTeam],$A8,Table2[PredictedWinner], $A8, Table2[GameIsOver], 1)</f>
        <v>4</v>
      </c>
      <c r="BV8">
        <f t="shared" si="8"/>
        <v>6</v>
      </c>
      <c r="BW8">
        <f t="shared" si="9"/>
        <v>1</v>
      </c>
      <c r="BX8">
        <f t="shared" si="10"/>
        <v>0</v>
      </c>
      <c r="BY8">
        <f t="shared" si="11"/>
        <v>1</v>
      </c>
      <c r="BZ8">
        <f>Table3[[#This Row],[TimesPredictedWinner]]/Table3[[#This Row],[GP]]</f>
        <v>0.8571428571428571</v>
      </c>
      <c r="CB8">
        <v>1993</v>
      </c>
      <c r="CD8" s="1">
        <v>45763</v>
      </c>
      <c r="CE8" t="str">
        <f>INDEX(Table2[AwayTeam], Table3[[#This Row],[Column2]])</f>
        <v>CGY</v>
      </c>
      <c r="CF8">
        <f>LARGE((Table2[[#This Row],[AwayTeam]]=Table3[[#This Row],[Teams]]), 1)</f>
        <v>0</v>
      </c>
      <c r="CI8">
        <f>SUMIFS(Table2[GamePredictionScore], Table2[AwayTeam], Table3[[#This Row],[Teams]])</f>
        <v>2.4000000000000004</v>
      </c>
      <c r="CJ8">
        <f>SUMIFS(Table2[GamePredictionScore], Table2[HomeTeam], Table3[[#This Row],[Teams]])</f>
        <v>2.5</v>
      </c>
      <c r="CK8">
        <f>Table3[[#This Row],[Column4]]+Table3[[#This Row],[Column3]]</f>
        <v>4.9000000000000004</v>
      </c>
      <c r="CL8">
        <f>Table3[[#This Row],[Column5]]/Table3[[#This Row],[GP]]</f>
        <v>0.70000000000000007</v>
      </c>
      <c r="CR8" t="s">
        <v>143</v>
      </c>
      <c r="CS8">
        <f>SUM($AI$2:$AI$33)</f>
        <v>6</v>
      </c>
      <c r="CY8" t="s">
        <v>153</v>
      </c>
      <c r="CZ8" s="17">
        <f>CZ7*82</f>
        <v>79.657142857142844</v>
      </c>
      <c r="DA8" s="16">
        <f>DA7+((82-CY2)*CZ7)</f>
        <v>79.657142857142844</v>
      </c>
    </row>
    <row r="9" spans="1:144" x14ac:dyDescent="0.25">
      <c r="A9" t="s">
        <v>43</v>
      </c>
      <c r="B9" t="s">
        <v>91</v>
      </c>
      <c r="C9" t="s">
        <v>92</v>
      </c>
      <c r="D9">
        <f>COUNTIFS(DataRegularSeason20242025!$D$3:$D$1315,$A9,DataRegularSeason20242025!$R$3:$R$1315,1,DataRegularSeason20242025!$N$3:$N$1315,1) + COUNTIFS(DataRegularSeason20242025!$E$3:$E$1315,$A9,DataRegularSeason20242025!$R$3:$R$1315,1,DataRegularSeason20242025!$N$3:$N$1315,1)</f>
        <v>4</v>
      </c>
      <c r="E9" s="10">
        <f>Table3[[#This Row],[Watched]]/Table3[[#This Row],[GP]]</f>
        <v>0.5714285714285714</v>
      </c>
      <c r="F9">
        <f>COUNTIFS(DataRegularSeason20242025!$N$3:$N$1315,1,DataRegularSeason20242025!$D$3:$D$1315,$A9)</f>
        <v>2</v>
      </c>
      <c r="G9">
        <f>41-Table3[[#This Row],[GP_A]]</f>
        <v>39</v>
      </c>
      <c r="H9">
        <f>COUNTIFS(DataRegularSeason20242025!$E$3:$E$1315,$A9,DataRegularSeason20242025!$N$3:$N$1315,1)</f>
        <v>5</v>
      </c>
      <c r="I9">
        <f>41-Table3[[#This Row],[GP_H]]</f>
        <v>36</v>
      </c>
      <c r="J9">
        <f t="shared" si="0"/>
        <v>7</v>
      </c>
      <c r="K9">
        <f>82-Table3[[#This Row],[GP]]</f>
        <v>75</v>
      </c>
      <c r="L9">
        <f>COUNTIFS(DataRegularSeason20242025!$D$3:$D$1315,$A9, DataRegularSeason20242025!$L$3:$L$1315, $A9,DataRegularSeason20242025!$N$3:$N$1315,1)</f>
        <v>2</v>
      </c>
      <c r="M9">
        <f>COUNTIFS(DataRegularSeason20242025!$D$3:$D$1315,$A9, DataRegularSeason20242025!$L$3:$L$1315, $A9,DataRegularSeason20242025!$N$3:$N$1315,1,DataRegularSeason20242025!$M$3:$M$1315,"REG")</f>
        <v>2</v>
      </c>
      <c r="N9">
        <f>COUNTIFS(DataRegularSeason20242025!$D$3:$D$1315,$A9, DataRegularSeason20242025!$L$3:$L$1315, $A9,DataRegularSeason20242025!$N$3:$N$1315,1,DataRegularSeason20242025!$M$3:$M$1315,"OT")</f>
        <v>0</v>
      </c>
      <c r="O9">
        <f>COUNTIFS(DataRegularSeason20242025!$D$3:$D$1315,$A9, DataRegularSeason20242025!$L$3:$L$1315, $A9,DataRegularSeason20242025!$N$3:$N$1315,1,DataRegularSeason20242025!$M$3:$M$1315,"SO")</f>
        <v>0</v>
      </c>
      <c r="P9">
        <f t="shared" si="1"/>
        <v>0</v>
      </c>
      <c r="Q9">
        <f>COUNTIFS(DataRegularSeason20242025!$D$3:$D$1315,$A9, DataRegularSeason20242025!$S$3:$S$1315, $A9,DataRegularSeason20242025!$M$3:$M$1315,"REG")</f>
        <v>0</v>
      </c>
      <c r="R9">
        <f>COUNTIFS(DataRegularSeason20242025!$D$3:$D$1315,$A9, DataRegularSeason20242025!$S$3:$S$1315, $A9,DataRegularSeason20242025!$M$3:$M$1315,"OT")</f>
        <v>0</v>
      </c>
      <c r="S9">
        <f>COUNTIFS(DataRegularSeason20242025!$D$3:$D$1315,$A9, DataRegularSeason20242025!$S$3:$S$1315, $A9,DataRegularSeason20242025!$M$3:$M$1315,"SO")</f>
        <v>0</v>
      </c>
      <c r="T9">
        <f>COUNTIFS(DataRegularSeason20242025!$E$3:$E$1315,$A9, DataRegularSeason20242025!$L$3:$L$1315, $A9, DataRegularSeason20242025!$N$3:$N$1315,1)</f>
        <v>3</v>
      </c>
      <c r="U9">
        <f>COUNTIFS(DataRegularSeason20242025!$E$3:$E$1315,$A9, DataRegularSeason20242025!$L$3:$L$1315, $A9,DataRegularSeason20242025!$N$3:$N$1315,1,DataRegularSeason20242025!$M$3:$M$1315,"REG")</f>
        <v>2</v>
      </c>
      <c r="V9">
        <f>COUNTIFS(DataRegularSeason20242025!$E$3:$E$1315,$A9, DataRegularSeason20242025!$L$3:$L$1315, $A9,DataRegularSeason20242025!$N$3:$N$1315,1,DataRegularSeason20242025!$M$3:$M$1315,"OT")</f>
        <v>1</v>
      </c>
      <c r="W9">
        <f>COUNTIFS(DataRegularSeason20242025!$E$3:$E$1315,$A9, DataRegularSeason20242025!$L$3:$L$1315, $A9,DataRegularSeason20242025!$N$3:$N$1315,1,DataRegularSeason20242025!$M$3:$M$1315,"SO")</f>
        <v>0</v>
      </c>
      <c r="X9">
        <f t="shared" si="2"/>
        <v>2</v>
      </c>
      <c r="Y9">
        <f>COUNTIFS(DataRegularSeason20242025!$E$3:$E$1315,$A9, DataRegularSeason20242025!$S$3:$S$1315, $A9,DataRegularSeason20242025!$M$3:$M$1315,"REG")</f>
        <v>2</v>
      </c>
      <c r="Z9">
        <f>COUNTIFS(DataRegularSeason20242025!$E$3:$E$1315,$A9, DataRegularSeason20242025!$S$3:$S$1315, $A9,DataRegularSeason20242025!$M$3:$M$1315,"OT")</f>
        <v>0</v>
      </c>
      <c r="AA9">
        <f>COUNTIFS(DataRegularSeason20242025!$E$3:$E$1315,$A9, DataRegularSeason20242025!$S$3:$S$1315, $A9,DataRegularSeason20242025!$M$3:$M$1315,"SO")</f>
        <v>0</v>
      </c>
      <c r="AB9">
        <f>Table3[[#This Row],[W]]/MAX(1,Table3[[#This Row],[W]]+Table3[[#This Row],[L]])</f>
        <v>0.7142857142857143</v>
      </c>
      <c r="AC9">
        <f>Table3[[#This Row],[W_A]]+Table3[[#This Row],[W_H]]</f>
        <v>5</v>
      </c>
      <c r="AD9">
        <f>Table3[[#This Row],[L_A]]+Table3[[#This Row],[L_H]]</f>
        <v>2</v>
      </c>
      <c r="AE9">
        <f>Table3[[#This Row],[RW_A]]+Table3[[#This Row],[RW_H]]</f>
        <v>4</v>
      </c>
      <c r="AF9">
        <f>Table3[[#This Row],[RL_A]]+Table3[[#This Row],[RL_H]]</f>
        <v>2</v>
      </c>
      <c r="AG9">
        <f>Table3[[#This Row],[OTW_A]]+Table3[[#This Row],[OTW_H]]</f>
        <v>1</v>
      </c>
      <c r="AH9">
        <f>Table3[[#This Row],[OTL_A]]+Table3[[#This Row],[OTL_H]]</f>
        <v>0</v>
      </c>
      <c r="AI9">
        <f>Table3[[#This Row],[SOW_A]]+Table3[[#This Row],[SOW_H]]</f>
        <v>0</v>
      </c>
      <c r="AJ9">
        <f>Table3[[#This Row],[SOL_A]]+Table3[[#This Row],[SOL_H]]</f>
        <v>0</v>
      </c>
      <c r="AK9" s="15" t="str">
        <f>_xlfn.CONCAT(TEXT(Table3[[#This Row],[OTW]]+Table3[[#This Row],[SOW]], "0"), "-", TEXT(Table3[[#This Row],[OTL]]+Table3[[#This Row],[SOL]],"0"))</f>
        <v>1-0</v>
      </c>
      <c r="AL9">
        <f>SUM(Table3[[#This Row],[OTW]],Table3[[#This Row],[OTL]],Table3[[#This Row],[SOW]],Table3[[#This Row],[SOL]])</f>
        <v>1</v>
      </c>
      <c r="AM9">
        <f>(Table3[[#This Row],[OTW]]+Table3[[#This Row],[SOW]])/IF(Table3[[#This Row],[Total_ExtraTimes]]=0,1,Table3[[#This Row],[Total_ExtraTimes]])</f>
        <v>1</v>
      </c>
      <c r="AN9">
        <f>Table3[[#This Row],[Total_ExtraTimes]]/MAX(1,Table3[[#This Row],[GP]])</f>
        <v>0.14285714285714285</v>
      </c>
      <c r="AO9">
        <f>(2*(Table3[[#This Row],[W_A]]+Table3[[#This Row],[W_H]]))+Table3[[#This Row],[OTL_A]]+Table3[[#This Row],[SOL_A]]+Table3[[#This Row],[OTL_H]]+Table3[[#This Row],[SOL_H]]</f>
        <v>10</v>
      </c>
      <c r="AP9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14</v>
      </c>
      <c r="AQ9" s="10">
        <f>Table3[[#This Row],[PTS]]/(2*Table3[[#This Row],[GP]])</f>
        <v>0.7142857142857143</v>
      </c>
      <c r="AR9" s="10">
        <f>Table3[[#This Row],[PTS2]]/(3*Table3[[#This Row],[GP]])</f>
        <v>0.66666666666666663</v>
      </c>
      <c r="AS9">
        <f>(2*Table3[[#This Row],[GR]])+Table3[[#This Row],[PTS]]</f>
        <v>160</v>
      </c>
      <c r="AT9">
        <f>(3*Table3[[#This Row],[GR]])+Table3[[#This Row],[PTS2]]</f>
        <v>239</v>
      </c>
      <c r="AU9">
        <f>Table3[[#This Row],[PTS]]+(2 * Table3[[#This Row],[GR]] * Table3[[#This Row],[PTS%]])</f>
        <v>117.14285714285714</v>
      </c>
      <c r="AV9">
        <f>Table3[[#This Row],[PTS2]]+(3 * Table3[[#This Row],[GR]] * Table3[[#This Row],[PTS%2]])</f>
        <v>164</v>
      </c>
      <c r="AW9" s="15" t="str">
        <f>_xlfn.CONCAT(TEXT(Table3[[#This Row],[W]], "0"), "-", TEXT(Table3[[#This Row],[RL]],"0"), "-", TEXT(Table3[[#This Row],[OTL]]+Table3[[#This Row],[SOL]], "0"))</f>
        <v>5-2-0</v>
      </c>
      <c r="AX9">
        <f>COUNTIFS(DataRegularSeason20242025!$D$3:$D$1315,Table3[[#This Row],[Teams]],DataRegularSeason20242025!$K$3:$K$1315,0)</f>
        <v>1</v>
      </c>
      <c r="AY9">
        <f>SUMIF(DataRegularSeason20242025!$D$3:$D$1315,$A9, DataRegularSeason20242025!$J$3:$J$1315)</f>
        <v>5</v>
      </c>
      <c r="AZ9">
        <f>SUMIF(DataRegularSeason20242025!$D$3:$D$1315,$A9, DataRegularSeason20242025!$K$3:$K$1315)</f>
        <v>2</v>
      </c>
      <c r="BA9">
        <f t="shared" si="3"/>
        <v>3</v>
      </c>
      <c r="BB9">
        <f>COUNTIFS(DataRegularSeason20242025!$E$3:$E$1315,Table3[[#This Row],[Teams]],DataRegularSeason20242025!$J$3:$J$1315,0)</f>
        <v>0</v>
      </c>
      <c r="BC9">
        <f>SUMIF(DataRegularSeason20242025!$E$3:$E$1315,$A9,DataRegularSeason20242025!$K$3:$K$1315)</f>
        <v>16</v>
      </c>
      <c r="BD9">
        <f>SUMIF(DataRegularSeason20242025!$E$3:$E$1315,$A9,DataRegularSeason20242025!$J$3:$J$1315)</f>
        <v>11</v>
      </c>
      <c r="BE9">
        <f t="shared" si="4"/>
        <v>5</v>
      </c>
      <c r="BF9">
        <f t="shared" si="5"/>
        <v>21</v>
      </c>
      <c r="BG9">
        <f t="shared" si="6"/>
        <v>13</v>
      </c>
      <c r="BH9">
        <f t="shared" si="7"/>
        <v>8</v>
      </c>
      <c r="BI9" s="12">
        <f>Table3[[#This Row],[GF]]/Table3[[#This Row],[GP]]</f>
        <v>3</v>
      </c>
      <c r="BJ9" s="12">
        <f>Table3[[#This Row],[GA]]/Table3[[#This Row],[GP]]</f>
        <v>1.8571428571428572</v>
      </c>
      <c r="BK9" s="12">
        <f>(Table3[[#This Row],[GF]]-Table3[[#This Row],[GA]])/Table3[[#This Row],[GP]]</f>
        <v>1.1428571428571428</v>
      </c>
      <c r="BL9" s="42" t="str">
        <f>_xlfn.CONCAT(TEXT(Table3[[#This Row],[W_H]], "0"), "-", TEXT(Table3[[#This Row],[RL_H]],"0"), "-", TEXT(Table3[[#This Row],[OTL_H]]+Table3[[#This Row],[SOL_H]], "0"))</f>
        <v>3-2-0</v>
      </c>
      <c r="BM9" s="42" t="str">
        <f>_xlfn.CONCAT(TEXT(Table3[[#This Row],[W_A]], "0"), "-", TEXT(Table3[[#This Row],[RL_A]],"0"), "-", TEXT(Table3[[#This Row],[OTL_A]]+Table3[[#This Row],[SOL_A]], "0"))</f>
        <v>2-0-0</v>
      </c>
      <c r="BN9" s="42">
        <f>((2*(Table3[[#This Row],[W_H]]))+Table3[[#This Row],[OTL_H]]+Table3[[#This Row],[SOL_H]])/(2*Table3[[#This Row],[GP_H]])</f>
        <v>0.6</v>
      </c>
      <c r="BO9" s="42">
        <f>((2*(Table3[[#This Row],[W_A]]))+Table3[[#This Row],[OTL_A]]+Table3[[#This Row],[SOL_A]])/(2*Table3[[#This Row],[GP_A]])</f>
        <v>1</v>
      </c>
      <c r="BP9" s="16">
        <f>(Table3[[#This Row],[W]]*$CX$3)+(Table3[[#This Row],[L]]*$CX$4)+(Table3[[#This Row],[GF]]*$CX$5)+(Table3[[#This Row],[GA]]*$CX$6)</f>
        <v>7.55</v>
      </c>
      <c r="BQ9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64.866326530612241</v>
      </c>
      <c r="BR9" s="16">
        <f>(Table3[[#This Row],[W]]*0.7) + ((Table3[[#This Row],[GF]] - Table3[[#This Row],[GA]])*0.25)+(Table3[[#This Row],[GF]]*0.1)+(Table3[[#This Row],[GA]]*0.05)+(Table3[[#This Row],[L]]*0.3)</f>
        <v>8.85</v>
      </c>
      <c r="BS9" s="16">
        <f>Table3[[#This Row],[TeamCost83]]/Table3[[#This Row],[GP]]</f>
        <v>1.2642857142857142</v>
      </c>
      <c r="BT9">
        <f>COUNTIFS(Table2[AwayTeam],$A9,Table2[PredictedWinner], $A9, Table2[GameIsOver], 1)</f>
        <v>2</v>
      </c>
      <c r="BU9">
        <f>COUNTIFS(Table2[HomeTeam],$A9,Table2[PredictedWinner], $A9, Table2[GameIsOver], 1)</f>
        <v>5</v>
      </c>
      <c r="BV9">
        <f t="shared" si="8"/>
        <v>7</v>
      </c>
      <c r="BW9">
        <f t="shared" si="9"/>
        <v>0</v>
      </c>
      <c r="BX9">
        <f t="shared" si="10"/>
        <v>0</v>
      </c>
      <c r="BY9">
        <f t="shared" si="11"/>
        <v>0</v>
      </c>
      <c r="BZ9">
        <f>Table3[[#This Row],[TimesPredictedWinner]]/Table3[[#This Row],[GP]]</f>
        <v>1</v>
      </c>
      <c r="CB9">
        <v>2018</v>
      </c>
      <c r="CD9" s="1">
        <v>45736</v>
      </c>
      <c r="CE9" t="str">
        <f>INDEX(Table2[AwayTeam], Table3[[#This Row],[Column2]])</f>
        <v>LAK</v>
      </c>
      <c r="CF9">
        <f>LARGE((Table2[[#This Row],[AwayTeam]]=Table3[[#This Row],[Teams]]), 1)</f>
        <v>0</v>
      </c>
      <c r="CI9">
        <f>SUMIFS(Table2[GamePredictionScore], Table2[AwayTeam], Table3[[#This Row],[Teams]])</f>
        <v>1.8</v>
      </c>
      <c r="CJ9">
        <f>SUMIFS(Table2[GamePredictionScore], Table2[HomeTeam], Table3[[#This Row],[Teams]])</f>
        <v>2.5</v>
      </c>
      <c r="CK9">
        <f>Table3[[#This Row],[Column4]]+Table3[[#This Row],[Column3]]</f>
        <v>4.3</v>
      </c>
      <c r="CL9">
        <f>Table3[[#This Row],[Column5]]/Table3[[#This Row],[GP]]</f>
        <v>0.61428571428571421</v>
      </c>
      <c r="CR9" t="s">
        <v>146</v>
      </c>
      <c r="CS9" s="1">
        <f>_xlfn.MINIFS(DataRegularSeason20242025!$B$3:$B$1315,DataRegularSeason20242025!$N$3:$N$1315,1)</f>
        <v>45937</v>
      </c>
      <c r="CW9" s="16">
        <f>(CX5*CZ5)+(CX6*CZ6)+MIN(CX3, MAX(CX4,CX4+(ABS(CX3-CX4)*CX7)))</f>
        <v>0.97142857142857131</v>
      </c>
    </row>
    <row r="10" spans="1:144" x14ac:dyDescent="0.25">
      <c r="A10" t="s">
        <v>20</v>
      </c>
      <c r="B10" t="s">
        <v>91</v>
      </c>
      <c r="C10" t="s">
        <v>92</v>
      </c>
      <c r="D10">
        <f>COUNTIFS(DataRegularSeason20242025!$D$3:$D$1315,$A10,DataRegularSeason20242025!$R$3:$R$1315,1,DataRegularSeason20242025!$N$3:$N$1315,1) + COUNTIFS(DataRegularSeason20242025!$E$3:$E$1315,$A10,DataRegularSeason20242025!$R$3:$R$1315,1,DataRegularSeason20242025!$N$3:$N$1315,1)</f>
        <v>4</v>
      </c>
      <c r="E10" s="10">
        <f>Table3[[#This Row],[Watched]]/Table3[[#This Row],[GP]]</f>
        <v>0.5714285714285714</v>
      </c>
      <c r="F10">
        <f>COUNTIFS(DataRegularSeason20242025!$N$3:$N$1315,1,DataRegularSeason20242025!$D$3:$D$1315,$A10)</f>
        <v>4</v>
      </c>
      <c r="G10">
        <f>41-Table3[[#This Row],[GP_A]]</f>
        <v>37</v>
      </c>
      <c r="H10">
        <f>COUNTIFS(DataRegularSeason20242025!$E$3:$E$1315,$A10,DataRegularSeason20242025!$N$3:$N$1315,1)</f>
        <v>3</v>
      </c>
      <c r="I10">
        <f>41-Table3[[#This Row],[GP_H]]</f>
        <v>38</v>
      </c>
      <c r="J10">
        <f t="shared" si="0"/>
        <v>7</v>
      </c>
      <c r="K10">
        <f>82-Table3[[#This Row],[GP]]</f>
        <v>75</v>
      </c>
      <c r="L10">
        <f>COUNTIFS(DataRegularSeason20242025!$D$3:$D$1315,$A10, DataRegularSeason20242025!$L$3:$L$1315, $A10,DataRegularSeason20242025!$N$3:$N$1315,1)</f>
        <v>3</v>
      </c>
      <c r="M10">
        <f>COUNTIFS(DataRegularSeason20242025!$D$3:$D$1315,$A10, DataRegularSeason20242025!$L$3:$L$1315, $A10,DataRegularSeason20242025!$N$3:$N$1315,1,DataRegularSeason20242025!$M$3:$M$1315,"REG")</f>
        <v>3</v>
      </c>
      <c r="N10">
        <f>COUNTIFS(DataRegularSeason20242025!$D$3:$D$1315,$A10, DataRegularSeason20242025!$L$3:$L$1315, $A10,DataRegularSeason20242025!$N$3:$N$1315,1,DataRegularSeason20242025!$M$3:$M$1315,"OT")</f>
        <v>0</v>
      </c>
      <c r="O10">
        <f>COUNTIFS(DataRegularSeason20242025!$D$3:$D$1315,$A10, DataRegularSeason20242025!$L$3:$L$1315, $A10,DataRegularSeason20242025!$N$3:$N$1315,1,DataRegularSeason20242025!$M$3:$M$1315,"SO")</f>
        <v>0</v>
      </c>
      <c r="P10">
        <f t="shared" si="1"/>
        <v>1</v>
      </c>
      <c r="Q10">
        <f>COUNTIFS(DataRegularSeason20242025!$D$3:$D$1315,$A10, DataRegularSeason20242025!$S$3:$S$1315, $A10,DataRegularSeason20242025!$M$3:$M$1315,"REG")</f>
        <v>1</v>
      </c>
      <c r="R10">
        <f>COUNTIFS(DataRegularSeason20242025!$D$3:$D$1315,$A10, DataRegularSeason20242025!$S$3:$S$1315, $A10,DataRegularSeason20242025!$M$3:$M$1315,"OT")</f>
        <v>0</v>
      </c>
      <c r="S10">
        <f>COUNTIFS(DataRegularSeason20242025!$D$3:$D$1315,$A10, DataRegularSeason20242025!$S$3:$S$1315, $A10,DataRegularSeason20242025!$M$3:$M$1315,"SO")</f>
        <v>0</v>
      </c>
      <c r="T10">
        <f>COUNTIFS(DataRegularSeason20242025!$E$3:$E$1315,$A10, DataRegularSeason20242025!$L$3:$L$1315, $A10, DataRegularSeason20242025!$N$3:$N$1315,1)</f>
        <v>2</v>
      </c>
      <c r="U10">
        <f>COUNTIFS(DataRegularSeason20242025!$E$3:$E$1315,$A10, DataRegularSeason20242025!$L$3:$L$1315, $A10,DataRegularSeason20242025!$N$3:$N$1315,1,DataRegularSeason20242025!$M$3:$M$1315,"REG")</f>
        <v>2</v>
      </c>
      <c r="V10">
        <f>COUNTIFS(DataRegularSeason20242025!$E$3:$E$1315,$A10, DataRegularSeason20242025!$L$3:$L$1315, $A10,DataRegularSeason20242025!$N$3:$N$1315,1,DataRegularSeason20242025!$M$3:$M$1315,"OT")</f>
        <v>0</v>
      </c>
      <c r="W10">
        <f>COUNTIFS(DataRegularSeason20242025!$E$3:$E$1315,$A10, DataRegularSeason20242025!$L$3:$L$1315, $A10,DataRegularSeason20242025!$N$3:$N$1315,1,DataRegularSeason20242025!$M$3:$M$1315,"SO")</f>
        <v>0</v>
      </c>
      <c r="X10">
        <f t="shared" si="2"/>
        <v>1</v>
      </c>
      <c r="Y10">
        <f>COUNTIFS(DataRegularSeason20242025!$E$3:$E$1315,$A10, DataRegularSeason20242025!$S$3:$S$1315, $A10,DataRegularSeason20242025!$M$3:$M$1315,"REG")</f>
        <v>1</v>
      </c>
      <c r="Z10">
        <f>COUNTIFS(DataRegularSeason20242025!$E$3:$E$1315,$A10, DataRegularSeason20242025!$S$3:$S$1315, $A10,DataRegularSeason20242025!$M$3:$M$1315,"OT")</f>
        <v>0</v>
      </c>
      <c r="AA10">
        <f>COUNTIFS(DataRegularSeason20242025!$E$3:$E$1315,$A10, DataRegularSeason20242025!$S$3:$S$1315, $A10,DataRegularSeason20242025!$M$3:$M$1315,"SO")</f>
        <v>0</v>
      </c>
      <c r="AB10">
        <f>Table3[[#This Row],[W]]/MAX(1,Table3[[#This Row],[W]]+Table3[[#This Row],[L]])</f>
        <v>0.7142857142857143</v>
      </c>
      <c r="AC10">
        <f>Table3[[#This Row],[W_A]]+Table3[[#This Row],[W_H]]</f>
        <v>5</v>
      </c>
      <c r="AD10">
        <f>Table3[[#This Row],[L_A]]+Table3[[#This Row],[L_H]]</f>
        <v>2</v>
      </c>
      <c r="AE10">
        <f>Table3[[#This Row],[RW_A]]+Table3[[#This Row],[RW_H]]</f>
        <v>5</v>
      </c>
      <c r="AF10">
        <f>Table3[[#This Row],[RL_A]]+Table3[[#This Row],[RL_H]]</f>
        <v>2</v>
      </c>
      <c r="AG10">
        <f>Table3[[#This Row],[OTW_A]]+Table3[[#This Row],[OTW_H]]</f>
        <v>0</v>
      </c>
      <c r="AH10">
        <f>Table3[[#This Row],[OTL_A]]+Table3[[#This Row],[OTL_H]]</f>
        <v>0</v>
      </c>
      <c r="AI10">
        <f>Table3[[#This Row],[SOW_A]]+Table3[[#This Row],[SOW_H]]</f>
        <v>0</v>
      </c>
      <c r="AJ10">
        <f>Table3[[#This Row],[SOL_A]]+Table3[[#This Row],[SOL_H]]</f>
        <v>0</v>
      </c>
      <c r="AK10" s="15" t="str">
        <f>_xlfn.CONCAT(TEXT(Table3[[#This Row],[OTW]]+Table3[[#This Row],[SOW]], "0"), "-", TEXT(Table3[[#This Row],[OTL]]+Table3[[#This Row],[SOL]],"0"))</f>
        <v>0-0</v>
      </c>
      <c r="AL10">
        <f>SUM(Table3[[#This Row],[OTW]],Table3[[#This Row],[OTL]],Table3[[#This Row],[SOW]],Table3[[#This Row],[SOL]])</f>
        <v>0</v>
      </c>
      <c r="AM10">
        <f>(Table3[[#This Row],[OTW]]+Table3[[#This Row],[SOW]])/IF(Table3[[#This Row],[Total_ExtraTimes]]=0,1,Table3[[#This Row],[Total_ExtraTimes]])</f>
        <v>0</v>
      </c>
      <c r="AN10">
        <f>Table3[[#This Row],[Total_ExtraTimes]]/MAX(1,Table3[[#This Row],[GP]])</f>
        <v>0</v>
      </c>
      <c r="AO10">
        <f>(2*(Table3[[#This Row],[W_A]]+Table3[[#This Row],[W_H]]))+Table3[[#This Row],[OTL_A]]+Table3[[#This Row],[SOL_A]]+Table3[[#This Row],[OTL_H]]+Table3[[#This Row],[SOL_H]]</f>
        <v>10</v>
      </c>
      <c r="AP10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15</v>
      </c>
      <c r="AQ10" s="10">
        <f>Table3[[#This Row],[PTS]]/(2*Table3[[#This Row],[GP]])</f>
        <v>0.7142857142857143</v>
      </c>
      <c r="AR10" s="10">
        <f>Table3[[#This Row],[PTS2]]/(3*Table3[[#This Row],[GP]])</f>
        <v>0.7142857142857143</v>
      </c>
      <c r="AS10">
        <f>(2*Table3[[#This Row],[GR]])+Table3[[#This Row],[PTS]]</f>
        <v>160</v>
      </c>
      <c r="AT10">
        <f>(3*Table3[[#This Row],[GR]])+Table3[[#This Row],[PTS2]]</f>
        <v>240</v>
      </c>
      <c r="AU10">
        <f>Table3[[#This Row],[PTS]]+(2 * Table3[[#This Row],[GR]] * Table3[[#This Row],[PTS%]])</f>
        <v>117.14285714285714</v>
      </c>
      <c r="AV10">
        <f>Table3[[#This Row],[PTS2]]+(3 * Table3[[#This Row],[GR]] * Table3[[#This Row],[PTS%2]])</f>
        <v>175.71428571428572</v>
      </c>
      <c r="AW10" s="15" t="str">
        <f>_xlfn.CONCAT(TEXT(Table3[[#This Row],[W]], "0"), "-", TEXT(Table3[[#This Row],[RL]],"0"), "-", TEXT(Table3[[#This Row],[OTL]]+Table3[[#This Row],[SOL]], "0"))</f>
        <v>5-2-0</v>
      </c>
      <c r="AX10">
        <f>COUNTIFS(DataRegularSeason20242025!$D$3:$D$1315,Table3[[#This Row],[Teams]],DataRegularSeason20242025!$K$3:$K$1315,0)</f>
        <v>2</v>
      </c>
      <c r="AY10">
        <f>SUMIF(DataRegularSeason20242025!$D$3:$D$1315,$A10, DataRegularSeason20242025!$J$3:$J$1315)</f>
        <v>13</v>
      </c>
      <c r="AZ10">
        <f>SUMIF(DataRegularSeason20242025!$D$3:$D$1315,$A10, DataRegularSeason20242025!$K$3:$K$1315)</f>
        <v>6</v>
      </c>
      <c r="BA10">
        <f t="shared" si="3"/>
        <v>7</v>
      </c>
      <c r="BB10">
        <f>COUNTIFS(DataRegularSeason20242025!$E$3:$E$1315,Table3[[#This Row],[Teams]],DataRegularSeason20242025!$J$3:$J$1315,0)</f>
        <v>0</v>
      </c>
      <c r="BC10">
        <f>SUMIF(DataRegularSeason20242025!$E$3:$E$1315,$A10,DataRegularSeason20242025!$K$3:$K$1315)</f>
        <v>10</v>
      </c>
      <c r="BD10">
        <f>SUMIF(DataRegularSeason20242025!$E$3:$E$1315,$A10,DataRegularSeason20242025!$J$3:$J$1315)</f>
        <v>10</v>
      </c>
      <c r="BE10">
        <f t="shared" si="4"/>
        <v>0</v>
      </c>
      <c r="BF10">
        <f t="shared" si="5"/>
        <v>23</v>
      </c>
      <c r="BG10">
        <f t="shared" si="6"/>
        <v>16</v>
      </c>
      <c r="BH10">
        <f t="shared" si="7"/>
        <v>7</v>
      </c>
      <c r="BI10" s="12">
        <f>Table3[[#This Row],[GF]]/Table3[[#This Row],[GP]]</f>
        <v>3.2857142857142856</v>
      </c>
      <c r="BJ10" s="12">
        <f>Table3[[#This Row],[GA]]/Table3[[#This Row],[GP]]</f>
        <v>2.2857142857142856</v>
      </c>
      <c r="BK10" s="12">
        <f>(Table3[[#This Row],[GF]]-Table3[[#This Row],[GA]])/Table3[[#This Row],[GP]]</f>
        <v>1</v>
      </c>
      <c r="BL10" s="42" t="str">
        <f>_xlfn.CONCAT(TEXT(Table3[[#This Row],[W_H]], "0"), "-", TEXT(Table3[[#This Row],[RL_H]],"0"), "-", TEXT(Table3[[#This Row],[OTL_H]]+Table3[[#This Row],[SOL_H]], "0"))</f>
        <v>2-1-0</v>
      </c>
      <c r="BM10" s="42" t="str">
        <f>_xlfn.CONCAT(TEXT(Table3[[#This Row],[W_A]], "0"), "-", TEXT(Table3[[#This Row],[RL_A]],"0"), "-", TEXT(Table3[[#This Row],[OTL_A]]+Table3[[#This Row],[SOL_A]], "0"))</f>
        <v>3-1-0</v>
      </c>
      <c r="BN10" s="42">
        <f>((2*(Table3[[#This Row],[W_H]]))+Table3[[#This Row],[OTL_H]]+Table3[[#This Row],[SOL_H]])/(2*Table3[[#This Row],[GP_H]])</f>
        <v>0.66666666666666663</v>
      </c>
      <c r="BO10" s="42">
        <f>((2*(Table3[[#This Row],[W_A]]))+Table3[[#This Row],[OTL_A]]+Table3[[#This Row],[SOL_A]])/(2*Table3[[#This Row],[GP_A]])</f>
        <v>0.75</v>
      </c>
      <c r="BP10" s="16">
        <f>(Table3[[#This Row],[W]]*$CX$3)+(Table3[[#This Row],[L]]*$CX$4)+(Table3[[#This Row],[GF]]*$CX$5)+(Table3[[#This Row],[GA]]*$CX$6)</f>
        <v>8.15</v>
      </c>
      <c r="BQ10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72.49489795918366</v>
      </c>
      <c r="BR10" s="16">
        <f>(Table3[[#This Row],[W]]*0.7) + ((Table3[[#This Row],[GF]] - Table3[[#This Row],[GA]])*0.25)+(Table3[[#This Row],[GF]]*0.1)+(Table3[[#This Row],[GA]]*0.05)+(Table3[[#This Row],[L]]*0.3)</f>
        <v>8.9500000000000011</v>
      </c>
      <c r="BS10" s="16">
        <f>Table3[[#This Row],[TeamCost83]]/Table3[[#This Row],[GP]]</f>
        <v>1.2785714285714287</v>
      </c>
      <c r="BT10">
        <f>COUNTIFS(Table2[AwayTeam],$A10,Table2[PredictedWinner], $A10, Table2[GameIsOver], 1)</f>
        <v>1</v>
      </c>
      <c r="BU10">
        <f>COUNTIFS(Table2[HomeTeam],$A10,Table2[PredictedWinner], $A10, Table2[GameIsOver], 1)</f>
        <v>3</v>
      </c>
      <c r="BV10">
        <f t="shared" si="8"/>
        <v>4</v>
      </c>
      <c r="BW10">
        <f t="shared" si="9"/>
        <v>3</v>
      </c>
      <c r="BX10">
        <f t="shared" si="10"/>
        <v>0</v>
      </c>
      <c r="BY10">
        <f t="shared" si="11"/>
        <v>3</v>
      </c>
      <c r="BZ10">
        <f>Table3[[#This Row],[TimesPredictedWinner]]/Table3[[#This Row],[GP]]</f>
        <v>0.5714285714285714</v>
      </c>
      <c r="CB10">
        <v>2017</v>
      </c>
      <c r="CC10" s="1">
        <v>45753</v>
      </c>
      <c r="CE10" t="str">
        <f>INDEX(Table2[AwayTeam], Table3[[#This Row],[Column2]])</f>
        <v>CHI</v>
      </c>
      <c r="CF10">
        <f>LARGE((Table2[[#This Row],[AwayTeam]]=Table3[[#This Row],[Teams]]), 1)</f>
        <v>0</v>
      </c>
      <c r="CI10">
        <f>SUMIFS(Table2[GamePredictionScore], Table2[AwayTeam], Table3[[#This Row],[Teams]])</f>
        <v>0.2</v>
      </c>
      <c r="CJ10">
        <f>SUMIFS(Table2[GamePredictionScore], Table2[HomeTeam], Table3[[#This Row],[Teams]])</f>
        <v>1.7000000000000002</v>
      </c>
      <c r="CK10">
        <f>Table3[[#This Row],[Column4]]+Table3[[#This Row],[Column3]]</f>
        <v>1.9000000000000001</v>
      </c>
      <c r="CL10">
        <f>Table3[[#This Row],[Column5]]/Table3[[#This Row],[GP]]</f>
        <v>0.27142857142857146</v>
      </c>
      <c r="CR10" t="s">
        <v>147</v>
      </c>
      <c r="CS10" s="1">
        <f>_xlfn.MAXIFS(DataRegularSeason20242025!$B$3:$B$1315,DataRegularSeason20242025!$N$3:$N$1315,1)</f>
        <v>45951</v>
      </c>
      <c r="CW10" t="s">
        <v>153</v>
      </c>
      <c r="CX10" s="16">
        <f>CW9*82</f>
        <v>79.657142857142844</v>
      </c>
    </row>
    <row r="11" spans="1:144" x14ac:dyDescent="0.25">
      <c r="A11" t="s">
        <v>14</v>
      </c>
      <c r="B11" t="s">
        <v>90</v>
      </c>
      <c r="C11" t="s">
        <v>88</v>
      </c>
      <c r="D11">
        <f>COUNTIFS(DataRegularSeason20242025!$D$3:$D$1315,$A11,DataRegularSeason20242025!$R$3:$R$1315,1,DataRegularSeason20242025!$N$3:$N$1315,1) + COUNTIFS(DataRegularSeason20242025!$E$3:$E$1315,$A11,DataRegularSeason20242025!$R$3:$R$1315,1,DataRegularSeason20242025!$N$3:$N$1315,1)</f>
        <v>7</v>
      </c>
      <c r="E11" s="10">
        <f>Table3[[#This Row],[Watched]]/Table3[[#This Row],[GP]]</f>
        <v>1</v>
      </c>
      <c r="F11">
        <f>COUNTIFS(DataRegularSeason20242025!$N$3:$N$1315,1,DataRegularSeason20242025!$D$3:$D$1315,$A11)</f>
        <v>3</v>
      </c>
      <c r="G11">
        <f>41-Table3[[#This Row],[GP_A]]</f>
        <v>38</v>
      </c>
      <c r="H11">
        <f>COUNTIFS(DataRegularSeason20242025!$E$3:$E$1315,$A11,DataRegularSeason20242025!$N$3:$N$1315,1)</f>
        <v>4</v>
      </c>
      <c r="I11">
        <f>41-Table3[[#This Row],[GP_H]]</f>
        <v>37</v>
      </c>
      <c r="J11">
        <f t="shared" si="0"/>
        <v>7</v>
      </c>
      <c r="K11">
        <f>82-Table3[[#This Row],[GP]]</f>
        <v>75</v>
      </c>
      <c r="L11">
        <f>COUNTIFS(DataRegularSeason20242025!$D$3:$D$1315,$A11, DataRegularSeason20242025!$L$3:$L$1315, $A11,DataRegularSeason20242025!$N$3:$N$1315,1)</f>
        <v>1</v>
      </c>
      <c r="M11">
        <f>COUNTIFS(DataRegularSeason20242025!$D$3:$D$1315,$A11, DataRegularSeason20242025!$L$3:$L$1315, $A11,DataRegularSeason20242025!$N$3:$N$1315,1,DataRegularSeason20242025!$M$3:$M$1315,"REG")</f>
        <v>0</v>
      </c>
      <c r="N11">
        <f>COUNTIFS(DataRegularSeason20242025!$D$3:$D$1315,$A11, DataRegularSeason20242025!$L$3:$L$1315, $A11,DataRegularSeason20242025!$N$3:$N$1315,1,DataRegularSeason20242025!$M$3:$M$1315,"OT")</f>
        <v>1</v>
      </c>
      <c r="O11">
        <f>COUNTIFS(DataRegularSeason20242025!$D$3:$D$1315,$A11, DataRegularSeason20242025!$L$3:$L$1315, $A11,DataRegularSeason20242025!$N$3:$N$1315,1,DataRegularSeason20242025!$M$3:$M$1315,"SO")</f>
        <v>0</v>
      </c>
      <c r="P11">
        <f t="shared" si="1"/>
        <v>2</v>
      </c>
      <c r="Q11">
        <f>COUNTIFS(DataRegularSeason20242025!$D$3:$D$1315,$A11, DataRegularSeason20242025!$S$3:$S$1315, $A11,DataRegularSeason20242025!$M$3:$M$1315,"REG")</f>
        <v>2</v>
      </c>
      <c r="R11">
        <f>COUNTIFS(DataRegularSeason20242025!$D$3:$D$1315,$A11, DataRegularSeason20242025!$S$3:$S$1315, $A11,DataRegularSeason20242025!$M$3:$M$1315,"OT")</f>
        <v>0</v>
      </c>
      <c r="S11">
        <f>COUNTIFS(DataRegularSeason20242025!$D$3:$D$1315,$A11, DataRegularSeason20242025!$S$3:$S$1315, $A11,DataRegularSeason20242025!$M$3:$M$1315,"SO")</f>
        <v>0</v>
      </c>
      <c r="T11">
        <f>COUNTIFS(DataRegularSeason20242025!$E$3:$E$1315,$A11, DataRegularSeason20242025!$L$3:$L$1315, $A11, DataRegularSeason20242025!$N$3:$N$1315,1)</f>
        <v>4</v>
      </c>
      <c r="U11">
        <f>COUNTIFS(DataRegularSeason20242025!$E$3:$E$1315,$A11, DataRegularSeason20242025!$L$3:$L$1315, $A11,DataRegularSeason20242025!$N$3:$N$1315,1,DataRegularSeason20242025!$M$3:$M$1315,"REG")</f>
        <v>3</v>
      </c>
      <c r="V11">
        <f>COUNTIFS(DataRegularSeason20242025!$E$3:$E$1315,$A11, DataRegularSeason20242025!$L$3:$L$1315, $A11,DataRegularSeason20242025!$N$3:$N$1315,1,DataRegularSeason20242025!$M$3:$M$1315,"OT")</f>
        <v>1</v>
      </c>
      <c r="W11">
        <f>COUNTIFS(DataRegularSeason20242025!$E$3:$E$1315,$A11, DataRegularSeason20242025!$L$3:$L$1315, $A11,DataRegularSeason20242025!$N$3:$N$1315,1,DataRegularSeason20242025!$M$3:$M$1315,"SO")</f>
        <v>0</v>
      </c>
      <c r="X11">
        <f t="shared" si="2"/>
        <v>0</v>
      </c>
      <c r="Y11">
        <f>COUNTIFS(DataRegularSeason20242025!$E$3:$E$1315,$A11, DataRegularSeason20242025!$S$3:$S$1315, $A11,DataRegularSeason20242025!$M$3:$M$1315,"REG")</f>
        <v>0</v>
      </c>
      <c r="Z11">
        <f>COUNTIFS(DataRegularSeason20242025!$E$3:$E$1315,$A11, DataRegularSeason20242025!$S$3:$S$1315, $A11,DataRegularSeason20242025!$M$3:$M$1315,"OT")</f>
        <v>0</v>
      </c>
      <c r="AA11">
        <f>COUNTIFS(DataRegularSeason20242025!$E$3:$E$1315,$A11, DataRegularSeason20242025!$S$3:$S$1315, $A11,DataRegularSeason20242025!$M$3:$M$1315,"SO")</f>
        <v>0</v>
      </c>
      <c r="AB11">
        <f>Table3[[#This Row],[W]]/MAX(1,Table3[[#This Row],[W]]+Table3[[#This Row],[L]])</f>
        <v>0.7142857142857143</v>
      </c>
      <c r="AC11">
        <f>Table3[[#This Row],[W_A]]+Table3[[#This Row],[W_H]]</f>
        <v>5</v>
      </c>
      <c r="AD11">
        <f>Table3[[#This Row],[L_A]]+Table3[[#This Row],[L_H]]</f>
        <v>2</v>
      </c>
      <c r="AE11">
        <f>Table3[[#This Row],[RW_A]]+Table3[[#This Row],[RW_H]]</f>
        <v>3</v>
      </c>
      <c r="AF11">
        <f>Table3[[#This Row],[RL_A]]+Table3[[#This Row],[RL_H]]</f>
        <v>2</v>
      </c>
      <c r="AG11">
        <f>Table3[[#This Row],[OTW_A]]+Table3[[#This Row],[OTW_H]]</f>
        <v>2</v>
      </c>
      <c r="AH11">
        <f>Table3[[#This Row],[OTL_A]]+Table3[[#This Row],[OTL_H]]</f>
        <v>0</v>
      </c>
      <c r="AI11">
        <f>Table3[[#This Row],[SOW_A]]+Table3[[#This Row],[SOW_H]]</f>
        <v>0</v>
      </c>
      <c r="AJ11">
        <f>Table3[[#This Row],[SOL_A]]+Table3[[#This Row],[SOL_H]]</f>
        <v>0</v>
      </c>
      <c r="AK11" s="15" t="str">
        <f>_xlfn.CONCAT(TEXT(Table3[[#This Row],[OTW]]+Table3[[#This Row],[SOW]], "0"), "-", TEXT(Table3[[#This Row],[OTL]]+Table3[[#This Row],[SOL]],"0"))</f>
        <v>2-0</v>
      </c>
      <c r="AL11">
        <f>SUM(Table3[[#This Row],[OTW]],Table3[[#This Row],[OTL]],Table3[[#This Row],[SOW]],Table3[[#This Row],[SOL]])</f>
        <v>2</v>
      </c>
      <c r="AM11">
        <f>(Table3[[#This Row],[OTW]]+Table3[[#This Row],[SOW]])/IF(Table3[[#This Row],[Total_ExtraTimes]]=0,1,Table3[[#This Row],[Total_ExtraTimes]])</f>
        <v>1</v>
      </c>
      <c r="AN11">
        <f>Table3[[#This Row],[Total_ExtraTimes]]/MAX(1,Table3[[#This Row],[GP]])</f>
        <v>0.2857142857142857</v>
      </c>
      <c r="AO11">
        <f>(2*(Table3[[#This Row],[W_A]]+Table3[[#This Row],[W_H]]))+Table3[[#This Row],[OTL_A]]+Table3[[#This Row],[SOL_A]]+Table3[[#This Row],[OTL_H]]+Table3[[#This Row],[SOL_H]]</f>
        <v>10</v>
      </c>
      <c r="AP11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13</v>
      </c>
      <c r="AQ11" s="10">
        <f>Table3[[#This Row],[PTS]]/(2*Table3[[#This Row],[GP]])</f>
        <v>0.7142857142857143</v>
      </c>
      <c r="AR11" s="10">
        <f>Table3[[#This Row],[PTS2]]/(3*Table3[[#This Row],[GP]])</f>
        <v>0.61904761904761907</v>
      </c>
      <c r="AS11">
        <f>(2*Table3[[#This Row],[GR]])+Table3[[#This Row],[PTS]]</f>
        <v>160</v>
      </c>
      <c r="AT11">
        <f>(3*Table3[[#This Row],[GR]])+Table3[[#This Row],[PTS2]]</f>
        <v>238</v>
      </c>
      <c r="AU11">
        <f>Table3[[#This Row],[PTS]]+(2 * Table3[[#This Row],[GR]] * Table3[[#This Row],[PTS%]])</f>
        <v>117.14285714285714</v>
      </c>
      <c r="AV11">
        <f>Table3[[#This Row],[PTS2]]+(3 * Table3[[#This Row],[GR]] * Table3[[#This Row],[PTS%2]])</f>
        <v>152.28571428571428</v>
      </c>
      <c r="AW11" s="15" t="str">
        <f>_xlfn.CONCAT(TEXT(Table3[[#This Row],[W]], "0"), "-", TEXT(Table3[[#This Row],[RL]],"0"), "-", TEXT(Table3[[#This Row],[OTL]]+Table3[[#This Row],[SOL]], "0"))</f>
        <v>5-2-0</v>
      </c>
      <c r="AX11">
        <f>COUNTIFS(DataRegularSeason20242025!$D$3:$D$1315,Table3[[#This Row],[Teams]],DataRegularSeason20242025!$K$3:$K$1315,0)</f>
        <v>0</v>
      </c>
      <c r="AY11">
        <f>SUMIF(DataRegularSeason20242025!$D$3:$D$1315,$A11, DataRegularSeason20242025!$J$3:$J$1315)</f>
        <v>5</v>
      </c>
      <c r="AZ11">
        <f>SUMIF(DataRegularSeason20242025!$D$3:$D$1315,$A11, DataRegularSeason20242025!$K$3:$K$1315)</f>
        <v>7</v>
      </c>
      <c r="BA11">
        <f t="shared" si="3"/>
        <v>-2</v>
      </c>
      <c r="BB11">
        <f>COUNTIFS(DataRegularSeason20242025!$E$3:$E$1315,Table3[[#This Row],[Teams]],DataRegularSeason20242025!$J$3:$J$1315,0)</f>
        <v>0</v>
      </c>
      <c r="BC11">
        <f>SUMIF(DataRegularSeason20242025!$E$3:$E$1315,$A11,DataRegularSeason20242025!$K$3:$K$1315)</f>
        <v>16</v>
      </c>
      <c r="BD11">
        <f>SUMIF(DataRegularSeason20242025!$E$3:$E$1315,$A11,DataRegularSeason20242025!$J$3:$J$1315)</f>
        <v>9</v>
      </c>
      <c r="BE11">
        <f t="shared" si="4"/>
        <v>7</v>
      </c>
      <c r="BF11">
        <f t="shared" si="5"/>
        <v>21</v>
      </c>
      <c r="BG11">
        <f t="shared" si="6"/>
        <v>16</v>
      </c>
      <c r="BH11">
        <f t="shared" si="7"/>
        <v>5</v>
      </c>
      <c r="BI11" s="12">
        <f>Table3[[#This Row],[GF]]/Table3[[#This Row],[GP]]</f>
        <v>3</v>
      </c>
      <c r="BJ11" s="12">
        <f>Table3[[#This Row],[GA]]/Table3[[#This Row],[GP]]</f>
        <v>2.2857142857142856</v>
      </c>
      <c r="BK11" s="12">
        <f>(Table3[[#This Row],[GF]]-Table3[[#This Row],[GA]])/Table3[[#This Row],[GP]]</f>
        <v>0.7142857142857143</v>
      </c>
      <c r="BL11" s="42" t="str">
        <f>_xlfn.CONCAT(TEXT(Table3[[#This Row],[W_H]], "0"), "-", TEXT(Table3[[#This Row],[RL_H]],"0"), "-", TEXT(Table3[[#This Row],[OTL_H]]+Table3[[#This Row],[SOL_H]], "0"))</f>
        <v>4-0-0</v>
      </c>
      <c r="BM11" s="42" t="str">
        <f>_xlfn.CONCAT(TEXT(Table3[[#This Row],[W_A]], "0"), "-", TEXT(Table3[[#This Row],[RL_A]],"0"), "-", TEXT(Table3[[#This Row],[OTL_A]]+Table3[[#This Row],[SOL_A]], "0"))</f>
        <v>1-2-0</v>
      </c>
      <c r="BN11" s="42">
        <f>((2*(Table3[[#This Row],[W_H]]))+Table3[[#This Row],[OTL_H]]+Table3[[#This Row],[SOL_H]])/(2*Table3[[#This Row],[GP_H]])</f>
        <v>1</v>
      </c>
      <c r="BO11" s="42">
        <f>((2*(Table3[[#This Row],[W_A]]))+Table3[[#This Row],[OTL_A]]+Table3[[#This Row],[SOL_A]])/(2*Table3[[#This Row],[GP_A]])</f>
        <v>0.33333333333333331</v>
      </c>
      <c r="BP11" s="16">
        <f>(Table3[[#This Row],[W]]*$CX$3)+(Table3[[#This Row],[L]]*$CX$4)+(Table3[[#This Row],[GF]]*$CX$5)+(Table3[[#This Row],[GA]]*$CX$6)</f>
        <v>7.85</v>
      </c>
      <c r="BQ11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68.680612244897958</v>
      </c>
      <c r="BR11" s="16">
        <f>(Table3[[#This Row],[W]]*0.7) + ((Table3[[#This Row],[GF]] - Table3[[#This Row],[GA]])*0.25)+(Table3[[#This Row],[GF]]*0.1)+(Table3[[#This Row],[GA]]*0.05)+(Table3[[#This Row],[L]]*0.3)</f>
        <v>8.25</v>
      </c>
      <c r="BS11" s="16">
        <f>Table3[[#This Row],[TeamCost83]]/Table3[[#This Row],[GP]]</f>
        <v>1.1785714285714286</v>
      </c>
      <c r="BT11">
        <f>COUNTIFS(Table2[AwayTeam],$A11,Table2[PredictedWinner], $A11, Table2[GameIsOver], 1)</f>
        <v>2</v>
      </c>
      <c r="BU11">
        <f>COUNTIFS(Table2[HomeTeam],$A11,Table2[PredictedWinner], $A11, Table2[GameIsOver], 1)</f>
        <v>1</v>
      </c>
      <c r="BV11">
        <f t="shared" si="8"/>
        <v>3</v>
      </c>
      <c r="BW11">
        <f t="shared" si="9"/>
        <v>1</v>
      </c>
      <c r="BX11">
        <f t="shared" si="10"/>
        <v>3</v>
      </c>
      <c r="BY11">
        <f t="shared" si="11"/>
        <v>4</v>
      </c>
      <c r="BZ11">
        <f>Table3[[#This Row],[TimesPredictedWinner]]/Table3[[#This Row],[GP]]</f>
        <v>0.42857142857142855</v>
      </c>
      <c r="CC11" s="1">
        <v>45756</v>
      </c>
      <c r="CE11" t="str">
        <f>INDEX(Table2[AwayTeam], Table3[[#This Row],[Column2]])</f>
        <v>NYR</v>
      </c>
      <c r="CF11">
        <f>LARGE((Table2[[#This Row],[AwayTeam]]=Table3[[#This Row],[Teams]]), 1)</f>
        <v>0</v>
      </c>
      <c r="CI11">
        <f>SUMIFS(Table2[GamePredictionScore], Table2[AwayTeam], Table3[[#This Row],[Teams]])</f>
        <v>1.6</v>
      </c>
      <c r="CJ11">
        <f>SUMIFS(Table2[GamePredictionScore], Table2[HomeTeam], Table3[[#This Row],[Teams]])</f>
        <v>1.1000000000000001</v>
      </c>
      <c r="CK11">
        <f>Table3[[#This Row],[Column4]]+Table3[[#This Row],[Column3]]</f>
        <v>2.7</v>
      </c>
      <c r="CL11">
        <f>Table3[[#This Row],[Column5]]/Table3[[#This Row],[GP]]</f>
        <v>0.38571428571428573</v>
      </c>
      <c r="CR11" t="s">
        <v>148</v>
      </c>
      <c r="CS11">
        <f>$CS$2/($CS$10-$CS$9)</f>
        <v>7.6428571428571432</v>
      </c>
      <c r="CW11">
        <f>ROUND(CZ5,0)</f>
        <v>2</v>
      </c>
    </row>
    <row r="12" spans="1:144" x14ac:dyDescent="0.25">
      <c r="A12" t="s">
        <v>12</v>
      </c>
      <c r="B12" t="s">
        <v>90</v>
      </c>
      <c r="C12" t="s">
        <v>88</v>
      </c>
      <c r="D12">
        <f>COUNTIFS(DataRegularSeason20242025!$D$3:$D$1315,$A12,DataRegularSeason20242025!$R$3:$R$1315,1,DataRegularSeason20242025!$N$3:$N$1315,1) + COUNTIFS(DataRegularSeason20242025!$E$3:$E$1315,$A12,DataRegularSeason20242025!$R$3:$R$1315,1,DataRegularSeason20242025!$N$3:$N$1315,1)</f>
        <v>5</v>
      </c>
      <c r="E12" s="10">
        <f>Table3[[#This Row],[Watched]]/Table3[[#This Row],[GP]]</f>
        <v>0.83333333333333337</v>
      </c>
      <c r="F12">
        <f>COUNTIFS(DataRegularSeason20242025!$N$3:$N$1315,1,DataRegularSeason20242025!$D$3:$D$1315,$A12)</f>
        <v>2</v>
      </c>
      <c r="G12">
        <f>41-Table3[[#This Row],[GP_A]]</f>
        <v>39</v>
      </c>
      <c r="H12">
        <f>COUNTIFS(DataRegularSeason20242025!$E$3:$E$1315,$A12,DataRegularSeason20242025!$N$3:$N$1315,1)</f>
        <v>4</v>
      </c>
      <c r="I12">
        <f>41-Table3[[#This Row],[GP_H]]</f>
        <v>37</v>
      </c>
      <c r="J12">
        <f t="shared" si="0"/>
        <v>6</v>
      </c>
      <c r="K12">
        <f>82-Table3[[#This Row],[GP]]</f>
        <v>76</v>
      </c>
      <c r="L12">
        <f>COUNTIFS(DataRegularSeason20242025!$D$3:$D$1315,$A12, DataRegularSeason20242025!$L$3:$L$1315, $A12,DataRegularSeason20242025!$N$3:$N$1315,1)</f>
        <v>2</v>
      </c>
      <c r="M12">
        <f>COUNTIFS(DataRegularSeason20242025!$D$3:$D$1315,$A12, DataRegularSeason20242025!$L$3:$L$1315, $A12,DataRegularSeason20242025!$N$3:$N$1315,1,DataRegularSeason20242025!$M$3:$M$1315,"REG")</f>
        <v>2</v>
      </c>
      <c r="N12">
        <f>COUNTIFS(DataRegularSeason20242025!$D$3:$D$1315,$A12, DataRegularSeason20242025!$L$3:$L$1315, $A12,DataRegularSeason20242025!$N$3:$N$1315,1,DataRegularSeason20242025!$M$3:$M$1315,"OT")</f>
        <v>0</v>
      </c>
      <c r="O12">
        <f>COUNTIFS(DataRegularSeason20242025!$D$3:$D$1315,$A12, DataRegularSeason20242025!$L$3:$L$1315, $A12,DataRegularSeason20242025!$N$3:$N$1315,1,DataRegularSeason20242025!$M$3:$M$1315,"SO")</f>
        <v>0</v>
      </c>
      <c r="P12">
        <f t="shared" si="1"/>
        <v>0</v>
      </c>
      <c r="Q12">
        <f>COUNTIFS(DataRegularSeason20242025!$D$3:$D$1315,$A12, DataRegularSeason20242025!$S$3:$S$1315, $A12,DataRegularSeason20242025!$M$3:$M$1315,"REG")</f>
        <v>0</v>
      </c>
      <c r="R12">
        <f>COUNTIFS(DataRegularSeason20242025!$D$3:$D$1315,$A12, DataRegularSeason20242025!$S$3:$S$1315, $A12,DataRegularSeason20242025!$M$3:$M$1315,"OT")</f>
        <v>0</v>
      </c>
      <c r="S12">
        <f>COUNTIFS(DataRegularSeason20242025!$D$3:$D$1315,$A12, DataRegularSeason20242025!$S$3:$S$1315, $A12,DataRegularSeason20242025!$M$3:$M$1315,"SO")</f>
        <v>0</v>
      </c>
      <c r="T12">
        <f>COUNTIFS(DataRegularSeason20242025!$E$3:$E$1315,$A12, DataRegularSeason20242025!$L$3:$L$1315, $A12, DataRegularSeason20242025!$N$3:$N$1315,1)</f>
        <v>1</v>
      </c>
      <c r="U12">
        <f>COUNTIFS(DataRegularSeason20242025!$E$3:$E$1315,$A12, DataRegularSeason20242025!$L$3:$L$1315, $A12,DataRegularSeason20242025!$N$3:$N$1315,1,DataRegularSeason20242025!$M$3:$M$1315,"REG")</f>
        <v>1</v>
      </c>
      <c r="V12">
        <f>COUNTIFS(DataRegularSeason20242025!$E$3:$E$1315,$A12, DataRegularSeason20242025!$L$3:$L$1315, $A12,DataRegularSeason20242025!$N$3:$N$1315,1,DataRegularSeason20242025!$M$3:$M$1315,"OT")</f>
        <v>0</v>
      </c>
      <c r="W12">
        <f>COUNTIFS(DataRegularSeason20242025!$E$3:$E$1315,$A12, DataRegularSeason20242025!$L$3:$L$1315, $A12,DataRegularSeason20242025!$N$3:$N$1315,1,DataRegularSeason20242025!$M$3:$M$1315,"SO")</f>
        <v>0</v>
      </c>
      <c r="X12">
        <f t="shared" si="2"/>
        <v>3</v>
      </c>
      <c r="Y12">
        <f>COUNTIFS(DataRegularSeason20242025!$E$3:$E$1315,$A12, DataRegularSeason20242025!$S$3:$S$1315, $A12,DataRegularSeason20242025!$M$3:$M$1315,"REG")</f>
        <v>2</v>
      </c>
      <c r="Z12">
        <f>COUNTIFS(DataRegularSeason20242025!$E$3:$E$1315,$A12, DataRegularSeason20242025!$S$3:$S$1315, $A12,DataRegularSeason20242025!$M$3:$M$1315,"OT")</f>
        <v>1</v>
      </c>
      <c r="AA12">
        <f>COUNTIFS(DataRegularSeason20242025!$E$3:$E$1315,$A12, DataRegularSeason20242025!$S$3:$S$1315, $A12,DataRegularSeason20242025!$M$3:$M$1315,"SO")</f>
        <v>0</v>
      </c>
      <c r="AB12">
        <f>Table3[[#This Row],[W]]/MAX(1,Table3[[#This Row],[W]]+Table3[[#This Row],[L]])</f>
        <v>0.5</v>
      </c>
      <c r="AC12">
        <f>Table3[[#This Row],[W_A]]+Table3[[#This Row],[W_H]]</f>
        <v>3</v>
      </c>
      <c r="AD12">
        <f>Table3[[#This Row],[L_A]]+Table3[[#This Row],[L_H]]</f>
        <v>3</v>
      </c>
      <c r="AE12">
        <f>Table3[[#This Row],[RW_A]]+Table3[[#This Row],[RW_H]]</f>
        <v>3</v>
      </c>
      <c r="AF12">
        <f>Table3[[#This Row],[RL_A]]+Table3[[#This Row],[RL_H]]</f>
        <v>2</v>
      </c>
      <c r="AG12">
        <f>Table3[[#This Row],[OTW_A]]+Table3[[#This Row],[OTW_H]]</f>
        <v>0</v>
      </c>
      <c r="AH12">
        <f>Table3[[#This Row],[OTL_A]]+Table3[[#This Row],[OTL_H]]</f>
        <v>1</v>
      </c>
      <c r="AI12">
        <f>Table3[[#This Row],[SOW_A]]+Table3[[#This Row],[SOW_H]]</f>
        <v>0</v>
      </c>
      <c r="AJ12">
        <f>Table3[[#This Row],[SOL_A]]+Table3[[#This Row],[SOL_H]]</f>
        <v>0</v>
      </c>
      <c r="AK12" s="15" t="str">
        <f>_xlfn.CONCAT(TEXT(Table3[[#This Row],[OTW]]+Table3[[#This Row],[SOW]], "0"), "-", TEXT(Table3[[#This Row],[OTL]]+Table3[[#This Row],[SOL]],"0"))</f>
        <v>0-1</v>
      </c>
      <c r="AL12">
        <f>SUM(Table3[[#This Row],[OTW]],Table3[[#This Row],[OTL]],Table3[[#This Row],[SOW]],Table3[[#This Row],[SOL]])</f>
        <v>1</v>
      </c>
      <c r="AM12">
        <f>(Table3[[#This Row],[OTW]]+Table3[[#This Row],[SOW]])/IF(Table3[[#This Row],[Total_ExtraTimes]]=0,1,Table3[[#This Row],[Total_ExtraTimes]])</f>
        <v>0</v>
      </c>
      <c r="AN12">
        <f>Table3[[#This Row],[Total_ExtraTimes]]/MAX(1,Table3[[#This Row],[GP]])</f>
        <v>0.16666666666666666</v>
      </c>
      <c r="AO12">
        <f>(2*(Table3[[#This Row],[W_A]]+Table3[[#This Row],[W_H]]))+Table3[[#This Row],[OTL_A]]+Table3[[#This Row],[SOL_A]]+Table3[[#This Row],[OTL_H]]+Table3[[#This Row],[SOL_H]]</f>
        <v>7</v>
      </c>
      <c r="AP1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10</v>
      </c>
      <c r="AQ12" s="10">
        <f>Table3[[#This Row],[PTS]]/(2*Table3[[#This Row],[GP]])</f>
        <v>0.58333333333333337</v>
      </c>
      <c r="AR12" s="10">
        <f>Table3[[#This Row],[PTS2]]/(3*Table3[[#This Row],[GP]])</f>
        <v>0.55555555555555558</v>
      </c>
      <c r="AS12">
        <f>(2*Table3[[#This Row],[GR]])+Table3[[#This Row],[PTS]]</f>
        <v>159</v>
      </c>
      <c r="AT12">
        <f>(3*Table3[[#This Row],[GR]])+Table3[[#This Row],[PTS2]]</f>
        <v>238</v>
      </c>
      <c r="AU12">
        <f>Table3[[#This Row],[PTS]]+(2 * Table3[[#This Row],[GR]] * Table3[[#This Row],[PTS%]])</f>
        <v>95.666666666666671</v>
      </c>
      <c r="AV12">
        <f>Table3[[#This Row],[PTS2]]+(3 * Table3[[#This Row],[GR]] * Table3[[#This Row],[PTS%2]])</f>
        <v>136.66666666666669</v>
      </c>
      <c r="AW12" s="15" t="str">
        <f>_xlfn.CONCAT(TEXT(Table3[[#This Row],[W]], "0"), "-", TEXT(Table3[[#This Row],[RL]],"0"), "-", TEXT(Table3[[#This Row],[OTL]]+Table3[[#This Row],[SOL]], "0"))</f>
        <v>3-2-1</v>
      </c>
      <c r="AX12">
        <f>COUNTIFS(DataRegularSeason20242025!$D$3:$D$1315,Table3[[#This Row],[Teams]],DataRegularSeason20242025!$K$3:$K$1315,0)</f>
        <v>0</v>
      </c>
      <c r="AY12">
        <f>SUMIF(DataRegularSeason20242025!$D$3:$D$1315,$A12, DataRegularSeason20242025!$J$3:$J$1315)</f>
        <v>9</v>
      </c>
      <c r="AZ12">
        <f>SUMIF(DataRegularSeason20242025!$D$3:$D$1315,$A12, DataRegularSeason20242025!$K$3:$K$1315)</f>
        <v>4</v>
      </c>
      <c r="BA12">
        <f t="shared" si="3"/>
        <v>5</v>
      </c>
      <c r="BB12">
        <f>COUNTIFS(DataRegularSeason20242025!$E$3:$E$1315,Table3[[#This Row],[Teams]],DataRegularSeason20242025!$J$3:$J$1315,0)</f>
        <v>0</v>
      </c>
      <c r="BC12">
        <f>SUMIF(DataRegularSeason20242025!$E$3:$E$1315,$A12,DataRegularSeason20242025!$K$3:$K$1315)</f>
        <v>7</v>
      </c>
      <c r="BD12">
        <f>SUMIF(DataRegularSeason20242025!$E$3:$E$1315,$A12,DataRegularSeason20242025!$J$3:$J$1315)</f>
        <v>16</v>
      </c>
      <c r="BE12">
        <f t="shared" si="4"/>
        <v>-9</v>
      </c>
      <c r="BF12">
        <f t="shared" si="5"/>
        <v>16</v>
      </c>
      <c r="BG12">
        <f t="shared" si="6"/>
        <v>20</v>
      </c>
      <c r="BH12">
        <f t="shared" si="7"/>
        <v>-4</v>
      </c>
      <c r="BI12" s="12">
        <f>Table3[[#This Row],[GF]]/Table3[[#This Row],[GP]]</f>
        <v>2.6666666666666665</v>
      </c>
      <c r="BJ12" s="12">
        <f>Table3[[#This Row],[GA]]/Table3[[#This Row],[GP]]</f>
        <v>3.3333333333333335</v>
      </c>
      <c r="BK12" s="12">
        <f>(Table3[[#This Row],[GF]]-Table3[[#This Row],[GA]])/Table3[[#This Row],[GP]]</f>
        <v>-0.66666666666666663</v>
      </c>
      <c r="BL12" s="42" t="str">
        <f>_xlfn.CONCAT(TEXT(Table3[[#This Row],[W_H]], "0"), "-", TEXT(Table3[[#This Row],[RL_H]],"0"), "-", TEXT(Table3[[#This Row],[OTL_H]]+Table3[[#This Row],[SOL_H]], "0"))</f>
        <v>1-2-1</v>
      </c>
      <c r="BM12" s="42" t="str">
        <f>_xlfn.CONCAT(TEXT(Table3[[#This Row],[W_A]], "0"), "-", TEXT(Table3[[#This Row],[RL_A]],"0"), "-", TEXT(Table3[[#This Row],[OTL_A]]+Table3[[#This Row],[SOL_A]], "0"))</f>
        <v>2-0-0</v>
      </c>
      <c r="BN12" s="42">
        <f>((2*(Table3[[#This Row],[W_H]]))+Table3[[#This Row],[OTL_H]]+Table3[[#This Row],[SOL_H]])/(2*Table3[[#This Row],[GP_H]])</f>
        <v>0.375</v>
      </c>
      <c r="BO12" s="42">
        <f>((2*(Table3[[#This Row],[W_A]]))+Table3[[#This Row],[OTL_A]]+Table3[[#This Row],[SOL_A]])/(2*Table3[[#This Row],[GP_A]])</f>
        <v>1</v>
      </c>
      <c r="BP12" s="16">
        <f>(Table3[[#This Row],[W]]*$CX$3)+(Table3[[#This Row],[L]]*$CX$4)+(Table3[[#This Row],[GF]]*$CX$5)+(Table3[[#This Row],[GA]]*$CX$6)</f>
        <v>6.8</v>
      </c>
      <c r="BQ1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72.62777777777778</v>
      </c>
      <c r="BR12" s="16">
        <f>(Table3[[#This Row],[W]]*0.7) + ((Table3[[#This Row],[GF]] - Table3[[#This Row],[GA]])*0.25)+(Table3[[#This Row],[GF]]*0.1)+(Table3[[#This Row],[GA]]*0.05)+(Table3[[#This Row],[L]]*0.3)</f>
        <v>4.5999999999999996</v>
      </c>
      <c r="BS12" s="16">
        <f>Table3[[#This Row],[TeamCost83]]/Table3[[#This Row],[GP]]</f>
        <v>0.76666666666666661</v>
      </c>
      <c r="BT12">
        <f>COUNTIFS(Table2[AwayTeam],$A12,Table2[PredictedWinner], $A12, Table2[GameIsOver], 1)</f>
        <v>1</v>
      </c>
      <c r="BU12">
        <f>COUNTIFS(Table2[HomeTeam],$A12,Table2[PredictedWinner], $A12, Table2[GameIsOver], 1)</f>
        <v>1</v>
      </c>
      <c r="BV12">
        <f t="shared" si="8"/>
        <v>2</v>
      </c>
      <c r="BW12">
        <f t="shared" si="9"/>
        <v>1</v>
      </c>
      <c r="BX12">
        <f t="shared" si="10"/>
        <v>3</v>
      </c>
      <c r="BY12">
        <f t="shared" si="11"/>
        <v>4</v>
      </c>
      <c r="BZ12">
        <f>Table3[[#This Row],[TimesPredictedWinner]]/Table3[[#This Row],[GP]]</f>
        <v>0.33333333333333331</v>
      </c>
      <c r="CB12">
        <v>2019</v>
      </c>
      <c r="CD12" s="1">
        <v>45762</v>
      </c>
      <c r="CE12" t="str">
        <f>INDEX(Table2[AwayTeam], Table3[[#This Row],[Column2]])</f>
        <v>MTL</v>
      </c>
      <c r="CF12">
        <f>LARGE((Table2[[#This Row],[AwayTeam]]=Table3[[#This Row],[Teams]]), 1)</f>
        <v>0</v>
      </c>
      <c r="CI12">
        <f>SUMIFS(Table2[GamePredictionScore], Table2[AwayTeam], Table3[[#This Row],[Teams]])</f>
        <v>0.8</v>
      </c>
      <c r="CJ12">
        <f>SUMIFS(Table2[GamePredictionScore], Table2[HomeTeam], Table3[[#This Row],[Teams]])</f>
        <v>1.7000000000000002</v>
      </c>
      <c r="CK12">
        <f>Table3[[#This Row],[Column4]]+Table3[[#This Row],[Column3]]</f>
        <v>2.5</v>
      </c>
      <c r="CL12">
        <f>Table3[[#This Row],[Column5]]/Table3[[#This Row],[GP]]</f>
        <v>0.41666666666666669</v>
      </c>
      <c r="CR12" t="s">
        <v>149</v>
      </c>
      <c r="CS12">
        <f>$CS$3/($CS$10-$CS$9)</f>
        <v>5.6428571428571432</v>
      </c>
    </row>
    <row r="13" spans="1:144" x14ac:dyDescent="0.25">
      <c r="A13" t="s">
        <v>42</v>
      </c>
      <c r="B13" t="s">
        <v>91</v>
      </c>
      <c r="C13" t="s">
        <v>92</v>
      </c>
      <c r="D13">
        <f>COUNTIFS(DataRegularSeason20242025!$D$3:$D$1315,$A13,DataRegularSeason20242025!$R$3:$R$1315,1,DataRegularSeason20242025!$N$3:$N$1315,1) + COUNTIFS(DataRegularSeason20242025!$E$3:$E$1315,$A13,DataRegularSeason20242025!$R$3:$R$1315,1,DataRegularSeason20242025!$N$3:$N$1315,1)</f>
        <v>4</v>
      </c>
      <c r="E13" s="10">
        <f>Table3[[#This Row],[Watched]]/Table3[[#This Row],[GP]]</f>
        <v>0.66666666666666663</v>
      </c>
      <c r="F13">
        <f>COUNTIFS(DataRegularSeason20242025!$N$3:$N$1315,1,DataRegularSeason20242025!$D$3:$D$1315,$A13)</f>
        <v>2</v>
      </c>
      <c r="G13">
        <f>41-Table3[[#This Row],[GP_A]]</f>
        <v>39</v>
      </c>
      <c r="H13">
        <f>COUNTIFS(DataRegularSeason20242025!$E$3:$E$1315,$A13,DataRegularSeason20242025!$N$3:$N$1315,1)</f>
        <v>4</v>
      </c>
      <c r="I13">
        <f>41-Table3[[#This Row],[GP_H]]</f>
        <v>37</v>
      </c>
      <c r="J13">
        <f t="shared" si="0"/>
        <v>6</v>
      </c>
      <c r="K13">
        <f>82-Table3[[#This Row],[GP]]</f>
        <v>76</v>
      </c>
      <c r="L13">
        <f>COUNTIFS(DataRegularSeason20242025!$D$3:$D$1315,$A13, DataRegularSeason20242025!$L$3:$L$1315, $A13,DataRegularSeason20242025!$N$3:$N$1315,1)</f>
        <v>0</v>
      </c>
      <c r="M13">
        <f>COUNTIFS(DataRegularSeason20242025!$D$3:$D$1315,$A13, DataRegularSeason20242025!$L$3:$L$1315, $A13,DataRegularSeason20242025!$N$3:$N$1315,1,DataRegularSeason20242025!$M$3:$M$1315,"REG")</f>
        <v>0</v>
      </c>
      <c r="N13">
        <f>COUNTIFS(DataRegularSeason20242025!$D$3:$D$1315,$A13, DataRegularSeason20242025!$L$3:$L$1315, $A13,DataRegularSeason20242025!$N$3:$N$1315,1,DataRegularSeason20242025!$M$3:$M$1315,"OT")</f>
        <v>0</v>
      </c>
      <c r="O13">
        <f>COUNTIFS(DataRegularSeason20242025!$D$3:$D$1315,$A13, DataRegularSeason20242025!$L$3:$L$1315, $A13,DataRegularSeason20242025!$N$3:$N$1315,1,DataRegularSeason20242025!$M$3:$M$1315,"SO")</f>
        <v>0</v>
      </c>
      <c r="P13">
        <f t="shared" si="1"/>
        <v>2</v>
      </c>
      <c r="Q13">
        <f>COUNTIFS(DataRegularSeason20242025!$D$3:$D$1315,$A13, DataRegularSeason20242025!$S$3:$S$1315, $A13,DataRegularSeason20242025!$M$3:$M$1315,"REG")</f>
        <v>1</v>
      </c>
      <c r="R13">
        <f>COUNTIFS(DataRegularSeason20242025!$D$3:$D$1315,$A13, DataRegularSeason20242025!$S$3:$S$1315, $A13,DataRegularSeason20242025!$M$3:$M$1315,"OT")</f>
        <v>1</v>
      </c>
      <c r="S13">
        <f>COUNTIFS(DataRegularSeason20242025!$D$3:$D$1315,$A13, DataRegularSeason20242025!$S$3:$S$1315, $A13,DataRegularSeason20242025!$M$3:$M$1315,"SO")</f>
        <v>0</v>
      </c>
      <c r="T13">
        <f>COUNTIFS(DataRegularSeason20242025!$E$3:$E$1315,$A13, DataRegularSeason20242025!$L$3:$L$1315, $A13, DataRegularSeason20242025!$N$3:$N$1315,1)</f>
        <v>3</v>
      </c>
      <c r="U13">
        <f>COUNTIFS(DataRegularSeason20242025!$E$3:$E$1315,$A13, DataRegularSeason20242025!$L$3:$L$1315, $A13,DataRegularSeason20242025!$N$3:$N$1315,1,DataRegularSeason20242025!$M$3:$M$1315,"REG")</f>
        <v>2</v>
      </c>
      <c r="V13">
        <f>COUNTIFS(DataRegularSeason20242025!$E$3:$E$1315,$A13, DataRegularSeason20242025!$L$3:$L$1315, $A13,DataRegularSeason20242025!$N$3:$N$1315,1,DataRegularSeason20242025!$M$3:$M$1315,"OT")</f>
        <v>1</v>
      </c>
      <c r="W13">
        <f>COUNTIFS(DataRegularSeason20242025!$E$3:$E$1315,$A13, DataRegularSeason20242025!$L$3:$L$1315, $A13,DataRegularSeason20242025!$N$3:$N$1315,1,DataRegularSeason20242025!$M$3:$M$1315,"SO")</f>
        <v>0</v>
      </c>
      <c r="X13">
        <f t="shared" si="2"/>
        <v>1</v>
      </c>
      <c r="Y13">
        <f>COUNTIFS(DataRegularSeason20242025!$E$3:$E$1315,$A13, DataRegularSeason20242025!$S$3:$S$1315, $A13,DataRegularSeason20242025!$M$3:$M$1315,"REG")</f>
        <v>1</v>
      </c>
      <c r="Z13">
        <f>COUNTIFS(DataRegularSeason20242025!$E$3:$E$1315,$A13, DataRegularSeason20242025!$S$3:$S$1315, $A13,DataRegularSeason20242025!$M$3:$M$1315,"OT")</f>
        <v>0</v>
      </c>
      <c r="AA13">
        <f>COUNTIFS(DataRegularSeason20242025!$E$3:$E$1315,$A13, DataRegularSeason20242025!$S$3:$S$1315, $A13,DataRegularSeason20242025!$M$3:$M$1315,"SO")</f>
        <v>0</v>
      </c>
      <c r="AB13">
        <f>Table3[[#This Row],[W]]/MAX(1,Table3[[#This Row],[W]]+Table3[[#This Row],[L]])</f>
        <v>0.5</v>
      </c>
      <c r="AC13">
        <f>Table3[[#This Row],[W_A]]+Table3[[#This Row],[W_H]]</f>
        <v>3</v>
      </c>
      <c r="AD13">
        <f>Table3[[#This Row],[L_A]]+Table3[[#This Row],[L_H]]</f>
        <v>3</v>
      </c>
      <c r="AE13">
        <f>Table3[[#This Row],[RW_A]]+Table3[[#This Row],[RW_H]]</f>
        <v>2</v>
      </c>
      <c r="AF13">
        <f>Table3[[#This Row],[RL_A]]+Table3[[#This Row],[RL_H]]</f>
        <v>2</v>
      </c>
      <c r="AG13">
        <f>Table3[[#This Row],[OTW_A]]+Table3[[#This Row],[OTW_H]]</f>
        <v>1</v>
      </c>
      <c r="AH13">
        <f>Table3[[#This Row],[OTL_A]]+Table3[[#This Row],[OTL_H]]</f>
        <v>1</v>
      </c>
      <c r="AI13">
        <f>Table3[[#This Row],[SOW_A]]+Table3[[#This Row],[SOW_H]]</f>
        <v>0</v>
      </c>
      <c r="AJ13">
        <f>Table3[[#This Row],[SOL_A]]+Table3[[#This Row],[SOL_H]]</f>
        <v>0</v>
      </c>
      <c r="AK13" s="15" t="str">
        <f>_xlfn.CONCAT(TEXT(Table3[[#This Row],[OTW]]+Table3[[#This Row],[SOW]], "0"), "-", TEXT(Table3[[#This Row],[OTL]]+Table3[[#This Row],[SOL]],"0"))</f>
        <v>1-1</v>
      </c>
      <c r="AL13">
        <f>SUM(Table3[[#This Row],[OTW]],Table3[[#This Row],[OTL]],Table3[[#This Row],[SOW]],Table3[[#This Row],[SOL]])</f>
        <v>2</v>
      </c>
      <c r="AM13">
        <f>(Table3[[#This Row],[OTW]]+Table3[[#This Row],[SOW]])/IF(Table3[[#This Row],[Total_ExtraTimes]]=0,1,Table3[[#This Row],[Total_ExtraTimes]])</f>
        <v>0.5</v>
      </c>
      <c r="AN13">
        <f>Table3[[#This Row],[Total_ExtraTimes]]/MAX(1,Table3[[#This Row],[GP]])</f>
        <v>0.33333333333333331</v>
      </c>
      <c r="AO13">
        <f>(2*(Table3[[#This Row],[W_A]]+Table3[[#This Row],[W_H]]))+Table3[[#This Row],[OTL_A]]+Table3[[#This Row],[SOL_A]]+Table3[[#This Row],[OTL_H]]+Table3[[#This Row],[SOL_H]]</f>
        <v>7</v>
      </c>
      <c r="AP1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9</v>
      </c>
      <c r="AQ13" s="10">
        <f>Table3[[#This Row],[PTS]]/(2*Table3[[#This Row],[GP]])</f>
        <v>0.58333333333333337</v>
      </c>
      <c r="AR13" s="10">
        <f>Table3[[#This Row],[PTS2]]/(3*Table3[[#This Row],[GP]])</f>
        <v>0.5</v>
      </c>
      <c r="AS13">
        <f>(2*Table3[[#This Row],[GR]])+Table3[[#This Row],[PTS]]</f>
        <v>159</v>
      </c>
      <c r="AT13">
        <f>(3*Table3[[#This Row],[GR]])+Table3[[#This Row],[PTS2]]</f>
        <v>237</v>
      </c>
      <c r="AU13">
        <f>Table3[[#This Row],[PTS]]+(2 * Table3[[#This Row],[GR]] * Table3[[#This Row],[PTS%]])</f>
        <v>95.666666666666671</v>
      </c>
      <c r="AV13">
        <f>Table3[[#This Row],[PTS2]]+(3 * Table3[[#This Row],[GR]] * Table3[[#This Row],[PTS%2]])</f>
        <v>123</v>
      </c>
      <c r="AW13" s="15" t="str">
        <f>_xlfn.CONCAT(TEXT(Table3[[#This Row],[W]], "0"), "-", TEXT(Table3[[#This Row],[RL]],"0"), "-", TEXT(Table3[[#This Row],[OTL]]+Table3[[#This Row],[SOL]], "0"))</f>
        <v>3-2-1</v>
      </c>
      <c r="AX13">
        <f>COUNTIFS(DataRegularSeason20242025!$D$3:$D$1315,Table3[[#This Row],[Teams]],DataRegularSeason20242025!$K$3:$K$1315,0)</f>
        <v>0</v>
      </c>
      <c r="AY13">
        <f>SUMIF(DataRegularSeason20242025!$D$3:$D$1315,$A13, DataRegularSeason20242025!$J$3:$J$1315)</f>
        <v>4</v>
      </c>
      <c r="AZ13">
        <f>SUMIF(DataRegularSeason20242025!$D$3:$D$1315,$A13, DataRegularSeason20242025!$K$3:$K$1315)</f>
        <v>6</v>
      </c>
      <c r="BA13">
        <f t="shared" si="3"/>
        <v>-2</v>
      </c>
      <c r="BB13">
        <f>COUNTIFS(DataRegularSeason20242025!$E$3:$E$1315,Table3[[#This Row],[Teams]],DataRegularSeason20242025!$J$3:$J$1315,0)</f>
        <v>0</v>
      </c>
      <c r="BC13">
        <f>SUMIF(DataRegularSeason20242025!$E$3:$E$1315,$A13,DataRegularSeason20242025!$K$3:$K$1315)</f>
        <v>14</v>
      </c>
      <c r="BD13">
        <f>SUMIF(DataRegularSeason20242025!$E$3:$E$1315,$A13,DataRegularSeason20242025!$J$3:$J$1315)</f>
        <v>10</v>
      </c>
      <c r="BE13">
        <f t="shared" si="4"/>
        <v>4</v>
      </c>
      <c r="BF13">
        <f t="shared" si="5"/>
        <v>18</v>
      </c>
      <c r="BG13">
        <f t="shared" si="6"/>
        <v>16</v>
      </c>
      <c r="BH13">
        <f t="shared" si="7"/>
        <v>2</v>
      </c>
      <c r="BI13" s="12">
        <f>Table3[[#This Row],[GF]]/Table3[[#This Row],[GP]]</f>
        <v>3</v>
      </c>
      <c r="BJ13" s="12">
        <f>Table3[[#This Row],[GA]]/Table3[[#This Row],[GP]]</f>
        <v>2.6666666666666665</v>
      </c>
      <c r="BK13" s="12">
        <f>(Table3[[#This Row],[GF]]-Table3[[#This Row],[GA]])/Table3[[#This Row],[GP]]</f>
        <v>0.33333333333333331</v>
      </c>
      <c r="BL13" s="42" t="str">
        <f>_xlfn.CONCAT(TEXT(Table3[[#This Row],[W_H]], "0"), "-", TEXT(Table3[[#This Row],[RL_H]],"0"), "-", TEXT(Table3[[#This Row],[OTL_H]]+Table3[[#This Row],[SOL_H]], "0"))</f>
        <v>3-1-0</v>
      </c>
      <c r="BM13" s="42" t="str">
        <f>_xlfn.CONCAT(TEXT(Table3[[#This Row],[W_A]], "0"), "-", TEXT(Table3[[#This Row],[RL_A]],"0"), "-", TEXT(Table3[[#This Row],[OTL_A]]+Table3[[#This Row],[SOL_A]], "0"))</f>
        <v>0-1-1</v>
      </c>
      <c r="BN13" s="42">
        <f>((2*(Table3[[#This Row],[W_H]]))+Table3[[#This Row],[OTL_H]]+Table3[[#This Row],[SOL_H]])/(2*Table3[[#This Row],[GP_H]])</f>
        <v>0.75</v>
      </c>
      <c r="BO13" s="42">
        <f>((2*(Table3[[#This Row],[W_A]]))+Table3[[#This Row],[OTL_A]]+Table3[[#This Row],[SOL_A]])/(2*Table3[[#This Row],[GP_A]])</f>
        <v>0.25</v>
      </c>
      <c r="BP13" s="16">
        <f>(Table3[[#This Row],[W]]*$CX$3)+(Table3[[#This Row],[L]]*$CX$4)+(Table3[[#This Row],[GF]]*$CX$5)+(Table3[[#This Row],[GA]]*$CX$6)</f>
        <v>6.6999999999999993</v>
      </c>
      <c r="BQ1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71.161111111111111</v>
      </c>
      <c r="BR13" s="16">
        <f>(Table3[[#This Row],[W]]*0.7) + ((Table3[[#This Row],[GF]] - Table3[[#This Row],[GA]])*0.25)+(Table3[[#This Row],[GF]]*0.1)+(Table3[[#This Row],[GA]]*0.05)+(Table3[[#This Row],[L]]*0.3)</f>
        <v>6.1</v>
      </c>
      <c r="BS13" s="16">
        <f>Table3[[#This Row],[TeamCost83]]/Table3[[#This Row],[GP]]</f>
        <v>1.0166666666666666</v>
      </c>
      <c r="BT13">
        <f>COUNTIFS(Table2[AwayTeam],$A13,Table2[PredictedWinner], $A13, Table2[GameIsOver], 1)</f>
        <v>0</v>
      </c>
      <c r="BU13">
        <f>COUNTIFS(Table2[HomeTeam],$A13,Table2[PredictedWinner], $A13, Table2[GameIsOver], 1)</f>
        <v>0</v>
      </c>
      <c r="BV13">
        <f t="shared" si="8"/>
        <v>0</v>
      </c>
      <c r="BW13">
        <f t="shared" si="9"/>
        <v>2</v>
      </c>
      <c r="BX13">
        <f t="shared" si="10"/>
        <v>4</v>
      </c>
      <c r="BY13">
        <f t="shared" si="11"/>
        <v>6</v>
      </c>
      <c r="BZ13">
        <f>Table3[[#This Row],[TimesPredictedWinner]]/Table3[[#This Row],[GP]]</f>
        <v>0</v>
      </c>
      <c r="CB13">
        <v>1975</v>
      </c>
      <c r="CC13" s="1">
        <v>45752</v>
      </c>
      <c r="CE13" t="str">
        <f>INDEX(Table2[AwayTeam], Table3[[#This Row],[Column2]])</f>
        <v>OTT</v>
      </c>
      <c r="CF13">
        <f>LARGE((Table2[[#This Row],[AwayTeam]]=Table3[[#This Row],[Teams]]), 1)</f>
        <v>0</v>
      </c>
      <c r="CI13">
        <f>SUMIFS(Table2[GamePredictionScore], Table2[AwayTeam], Table3[[#This Row],[Teams]])</f>
        <v>1.7000000000000002</v>
      </c>
      <c r="CJ13">
        <f>SUMIFS(Table2[GamePredictionScore], Table2[HomeTeam], Table3[[#This Row],[Teams]])</f>
        <v>1.1000000000000001</v>
      </c>
      <c r="CK13">
        <f>Table3[[#This Row],[Column4]]+Table3[[#This Row],[Column3]]</f>
        <v>2.8000000000000003</v>
      </c>
      <c r="CL13">
        <f>Table3[[#This Row],[Column5]]/Table3[[#This Row],[GP]]</f>
        <v>0.46666666666666673</v>
      </c>
      <c r="CR13" t="s">
        <v>154</v>
      </c>
      <c r="CS13">
        <f>(CS5/CS2)/2</f>
        <v>3.0186915887850465</v>
      </c>
    </row>
    <row r="14" spans="1:144" x14ac:dyDescent="0.25">
      <c r="A14" t="s">
        <v>44</v>
      </c>
      <c r="B14" t="s">
        <v>90</v>
      </c>
      <c r="C14" t="s">
        <v>93</v>
      </c>
      <c r="D14">
        <f>COUNTIFS(DataRegularSeason20242025!$D$3:$D$1315,$A14,DataRegularSeason20242025!$R$3:$R$1315,1,DataRegularSeason20242025!$N$3:$N$1315,1) + COUNTIFS(DataRegularSeason20242025!$E$3:$E$1315,$A14,DataRegularSeason20242025!$R$3:$R$1315,1,DataRegularSeason20242025!$N$3:$N$1315,1)</f>
        <v>5</v>
      </c>
      <c r="E14" s="10">
        <f>Table3[[#This Row],[Watched]]/Table3[[#This Row],[GP]]</f>
        <v>0.83333333333333337</v>
      </c>
      <c r="F14">
        <f>COUNTIFS(DataRegularSeason20242025!$N$3:$N$1315,1,DataRegularSeason20242025!$D$3:$D$1315,$A14)</f>
        <v>4</v>
      </c>
      <c r="G14">
        <f>41-Table3[[#This Row],[GP_A]]</f>
        <v>37</v>
      </c>
      <c r="H14">
        <f>COUNTIFS(DataRegularSeason20242025!$E$3:$E$1315,$A14,DataRegularSeason20242025!$N$3:$N$1315,1)</f>
        <v>2</v>
      </c>
      <c r="I14">
        <f>41-Table3[[#This Row],[GP_H]]</f>
        <v>39</v>
      </c>
      <c r="J14">
        <f t="shared" si="0"/>
        <v>6</v>
      </c>
      <c r="K14">
        <f>82-Table3[[#This Row],[GP]]</f>
        <v>76</v>
      </c>
      <c r="L14">
        <f>COUNTIFS(DataRegularSeason20242025!$D$3:$D$1315,$A14, DataRegularSeason20242025!$L$3:$L$1315, $A14,DataRegularSeason20242025!$N$3:$N$1315,1)</f>
        <v>2</v>
      </c>
      <c r="M14">
        <f>COUNTIFS(DataRegularSeason20242025!$D$3:$D$1315,$A14, DataRegularSeason20242025!$L$3:$L$1315, $A14,DataRegularSeason20242025!$N$3:$N$1315,1,DataRegularSeason20242025!$M$3:$M$1315,"REG")</f>
        <v>1</v>
      </c>
      <c r="N14">
        <f>COUNTIFS(DataRegularSeason20242025!$D$3:$D$1315,$A14, DataRegularSeason20242025!$L$3:$L$1315, $A14,DataRegularSeason20242025!$N$3:$N$1315,1,DataRegularSeason20242025!$M$3:$M$1315,"OT")</f>
        <v>1</v>
      </c>
      <c r="O14">
        <f>COUNTIFS(DataRegularSeason20242025!$D$3:$D$1315,$A14, DataRegularSeason20242025!$L$3:$L$1315, $A14,DataRegularSeason20242025!$N$3:$N$1315,1,DataRegularSeason20242025!$M$3:$M$1315,"SO")</f>
        <v>0</v>
      </c>
      <c r="P14">
        <f t="shared" si="1"/>
        <v>2</v>
      </c>
      <c r="Q14">
        <f>COUNTIFS(DataRegularSeason20242025!$D$3:$D$1315,$A14, DataRegularSeason20242025!$S$3:$S$1315, $A14,DataRegularSeason20242025!$M$3:$M$1315,"REG")</f>
        <v>1</v>
      </c>
      <c r="R14">
        <f>COUNTIFS(DataRegularSeason20242025!$D$3:$D$1315,$A14, DataRegularSeason20242025!$S$3:$S$1315, $A14,DataRegularSeason20242025!$M$3:$M$1315,"OT")</f>
        <v>1</v>
      </c>
      <c r="S14">
        <f>COUNTIFS(DataRegularSeason20242025!$D$3:$D$1315,$A14, DataRegularSeason20242025!$S$3:$S$1315, $A14,DataRegularSeason20242025!$M$3:$M$1315,"SO")</f>
        <v>0</v>
      </c>
      <c r="T14">
        <f>COUNTIFS(DataRegularSeason20242025!$E$3:$E$1315,$A14, DataRegularSeason20242025!$L$3:$L$1315, $A14, DataRegularSeason20242025!$N$3:$N$1315,1)</f>
        <v>1</v>
      </c>
      <c r="U14">
        <f>COUNTIFS(DataRegularSeason20242025!$E$3:$E$1315,$A14, DataRegularSeason20242025!$L$3:$L$1315, $A14,DataRegularSeason20242025!$N$3:$N$1315,1,DataRegularSeason20242025!$M$3:$M$1315,"REG")</f>
        <v>1</v>
      </c>
      <c r="V14">
        <f>COUNTIFS(DataRegularSeason20242025!$E$3:$E$1315,$A14, DataRegularSeason20242025!$L$3:$L$1315, $A14,DataRegularSeason20242025!$N$3:$N$1315,1,DataRegularSeason20242025!$M$3:$M$1315,"OT")</f>
        <v>0</v>
      </c>
      <c r="W14">
        <f>COUNTIFS(DataRegularSeason20242025!$E$3:$E$1315,$A14, DataRegularSeason20242025!$L$3:$L$1315, $A14,DataRegularSeason20242025!$N$3:$N$1315,1,DataRegularSeason20242025!$M$3:$M$1315,"SO")</f>
        <v>0</v>
      </c>
      <c r="X14">
        <f t="shared" si="2"/>
        <v>1</v>
      </c>
      <c r="Y14">
        <f>COUNTIFS(DataRegularSeason20242025!$E$3:$E$1315,$A14, DataRegularSeason20242025!$S$3:$S$1315, $A14,DataRegularSeason20242025!$M$3:$M$1315,"REG")</f>
        <v>1</v>
      </c>
      <c r="Z14">
        <f>COUNTIFS(DataRegularSeason20242025!$E$3:$E$1315,$A14, DataRegularSeason20242025!$S$3:$S$1315, $A14,DataRegularSeason20242025!$M$3:$M$1315,"OT")</f>
        <v>0</v>
      </c>
      <c r="AA14">
        <f>COUNTIFS(DataRegularSeason20242025!$E$3:$E$1315,$A14, DataRegularSeason20242025!$S$3:$S$1315, $A14,DataRegularSeason20242025!$M$3:$M$1315,"SO")</f>
        <v>0</v>
      </c>
      <c r="AB14">
        <f>Table3[[#This Row],[W]]/MAX(1,Table3[[#This Row],[W]]+Table3[[#This Row],[L]])</f>
        <v>0.5</v>
      </c>
      <c r="AC14">
        <f>Table3[[#This Row],[W_A]]+Table3[[#This Row],[W_H]]</f>
        <v>3</v>
      </c>
      <c r="AD14">
        <f>Table3[[#This Row],[L_A]]+Table3[[#This Row],[L_H]]</f>
        <v>3</v>
      </c>
      <c r="AE14">
        <f>Table3[[#This Row],[RW_A]]+Table3[[#This Row],[RW_H]]</f>
        <v>2</v>
      </c>
      <c r="AF14">
        <f>Table3[[#This Row],[RL_A]]+Table3[[#This Row],[RL_H]]</f>
        <v>2</v>
      </c>
      <c r="AG14">
        <f>Table3[[#This Row],[OTW_A]]+Table3[[#This Row],[OTW_H]]</f>
        <v>1</v>
      </c>
      <c r="AH14">
        <f>Table3[[#This Row],[OTL_A]]+Table3[[#This Row],[OTL_H]]</f>
        <v>1</v>
      </c>
      <c r="AI14">
        <f>Table3[[#This Row],[SOW_A]]+Table3[[#This Row],[SOW_H]]</f>
        <v>0</v>
      </c>
      <c r="AJ14">
        <f>Table3[[#This Row],[SOL_A]]+Table3[[#This Row],[SOL_H]]</f>
        <v>0</v>
      </c>
      <c r="AK14" s="15" t="str">
        <f>_xlfn.CONCAT(TEXT(Table3[[#This Row],[OTW]]+Table3[[#This Row],[SOW]], "0"), "-", TEXT(Table3[[#This Row],[OTL]]+Table3[[#This Row],[SOL]],"0"))</f>
        <v>1-1</v>
      </c>
      <c r="AL14">
        <f>SUM(Table3[[#This Row],[OTW]],Table3[[#This Row],[OTL]],Table3[[#This Row],[SOW]],Table3[[#This Row],[SOL]])</f>
        <v>2</v>
      </c>
      <c r="AM14">
        <f>(Table3[[#This Row],[OTW]]+Table3[[#This Row],[SOW]])/IF(Table3[[#This Row],[Total_ExtraTimes]]=0,1,Table3[[#This Row],[Total_ExtraTimes]])</f>
        <v>0.5</v>
      </c>
      <c r="AN14">
        <f>Table3[[#This Row],[Total_ExtraTimes]]/MAX(1,Table3[[#This Row],[GP]])</f>
        <v>0.33333333333333331</v>
      </c>
      <c r="AO14">
        <f>(2*(Table3[[#This Row],[W_A]]+Table3[[#This Row],[W_H]]))+Table3[[#This Row],[OTL_A]]+Table3[[#This Row],[SOL_A]]+Table3[[#This Row],[OTL_H]]+Table3[[#This Row],[SOL_H]]</f>
        <v>7</v>
      </c>
      <c r="AP14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9</v>
      </c>
      <c r="AQ14" s="10">
        <f>Table3[[#This Row],[PTS]]/(2*Table3[[#This Row],[GP]])</f>
        <v>0.58333333333333337</v>
      </c>
      <c r="AR14" s="10">
        <f>Table3[[#This Row],[PTS2]]/(3*Table3[[#This Row],[GP]])</f>
        <v>0.5</v>
      </c>
      <c r="AS14">
        <f>(2*Table3[[#This Row],[GR]])+Table3[[#This Row],[PTS]]</f>
        <v>159</v>
      </c>
      <c r="AT14">
        <f>(3*Table3[[#This Row],[GR]])+Table3[[#This Row],[PTS2]]</f>
        <v>237</v>
      </c>
      <c r="AU14">
        <f>Table3[[#This Row],[PTS]]+(2 * Table3[[#This Row],[GR]] * Table3[[#This Row],[PTS%]])</f>
        <v>95.666666666666671</v>
      </c>
      <c r="AV14">
        <f>Table3[[#This Row],[PTS2]]+(3 * Table3[[#This Row],[GR]] * Table3[[#This Row],[PTS%2]])</f>
        <v>123</v>
      </c>
      <c r="AW14" s="15" t="str">
        <f>_xlfn.CONCAT(TEXT(Table3[[#This Row],[W]], "0"), "-", TEXT(Table3[[#This Row],[RL]],"0"), "-", TEXT(Table3[[#This Row],[OTL]]+Table3[[#This Row],[SOL]], "0"))</f>
        <v>3-2-1</v>
      </c>
      <c r="AX14">
        <f>COUNTIFS(DataRegularSeason20242025!$D$3:$D$1315,Table3[[#This Row],[Teams]],DataRegularSeason20242025!$K$3:$K$1315,0)</f>
        <v>0</v>
      </c>
      <c r="AY14">
        <f>SUMIF(DataRegularSeason20242025!$D$3:$D$1315,$A14, DataRegularSeason20242025!$J$3:$J$1315)</f>
        <v>14</v>
      </c>
      <c r="AZ14">
        <f>SUMIF(DataRegularSeason20242025!$D$3:$D$1315,$A14, DataRegularSeason20242025!$K$3:$K$1315)</f>
        <v>13</v>
      </c>
      <c r="BA14">
        <f t="shared" si="3"/>
        <v>1</v>
      </c>
      <c r="BB14">
        <f>COUNTIFS(DataRegularSeason20242025!$E$3:$E$1315,Table3[[#This Row],[Teams]],DataRegularSeason20242025!$J$3:$J$1315,0)</f>
        <v>0</v>
      </c>
      <c r="BC14">
        <f>SUMIF(DataRegularSeason20242025!$E$3:$E$1315,$A14,DataRegularSeason20242025!$K$3:$K$1315)</f>
        <v>5</v>
      </c>
      <c r="BD14">
        <f>SUMIF(DataRegularSeason20242025!$E$3:$E$1315,$A14,DataRegularSeason20242025!$J$3:$J$1315)</f>
        <v>7</v>
      </c>
      <c r="BE14">
        <f t="shared" si="4"/>
        <v>-2</v>
      </c>
      <c r="BF14">
        <f t="shared" si="5"/>
        <v>19</v>
      </c>
      <c r="BG14">
        <f t="shared" si="6"/>
        <v>20</v>
      </c>
      <c r="BH14">
        <f t="shared" si="7"/>
        <v>-1</v>
      </c>
      <c r="BI14" s="12">
        <f>Table3[[#This Row],[GF]]/Table3[[#This Row],[GP]]</f>
        <v>3.1666666666666665</v>
      </c>
      <c r="BJ14" s="12">
        <f>Table3[[#This Row],[GA]]/Table3[[#This Row],[GP]]</f>
        <v>3.3333333333333335</v>
      </c>
      <c r="BK14" s="12">
        <f>(Table3[[#This Row],[GF]]-Table3[[#This Row],[GA]])/Table3[[#This Row],[GP]]</f>
        <v>-0.16666666666666666</v>
      </c>
      <c r="BL14" s="42" t="str">
        <f>_xlfn.CONCAT(TEXT(Table3[[#This Row],[W_H]], "0"), "-", TEXT(Table3[[#This Row],[RL_H]],"0"), "-", TEXT(Table3[[#This Row],[OTL_H]]+Table3[[#This Row],[SOL_H]], "0"))</f>
        <v>1-1-0</v>
      </c>
      <c r="BM14" s="42" t="str">
        <f>_xlfn.CONCAT(TEXT(Table3[[#This Row],[W_A]], "0"), "-", TEXT(Table3[[#This Row],[RL_A]],"0"), "-", TEXT(Table3[[#This Row],[OTL_A]]+Table3[[#This Row],[SOL_A]], "0"))</f>
        <v>2-1-1</v>
      </c>
      <c r="BN14" s="42">
        <f>((2*(Table3[[#This Row],[W_H]]))+Table3[[#This Row],[OTL_H]]+Table3[[#This Row],[SOL_H]])/(2*Table3[[#This Row],[GP_H]])</f>
        <v>0.5</v>
      </c>
      <c r="BO14" s="42">
        <f>((2*(Table3[[#This Row],[W_A]]))+Table3[[#This Row],[OTL_A]]+Table3[[#This Row],[SOL_A]])/(2*Table3[[#This Row],[GP_A]])</f>
        <v>0.625</v>
      </c>
      <c r="BP14" s="16">
        <f>(Table3[[#This Row],[W]]*$CX$3)+(Table3[[#This Row],[L]]*$CX$4)+(Table3[[#This Row],[GF]]*$CX$5)+(Table3[[#This Row],[GA]]*$CX$6)</f>
        <v>7.25</v>
      </c>
      <c r="BQ14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79.227777777777774</v>
      </c>
      <c r="BR14" s="16">
        <f>(Table3[[#This Row],[W]]*0.7) + ((Table3[[#This Row],[GF]] - Table3[[#This Row],[GA]])*0.25)+(Table3[[#This Row],[GF]]*0.1)+(Table3[[#This Row],[GA]]*0.05)+(Table3[[#This Row],[L]]*0.3)</f>
        <v>5.65</v>
      </c>
      <c r="BS14" s="16">
        <f>Table3[[#This Row],[TeamCost83]]/Table3[[#This Row],[GP]]</f>
        <v>0.94166666666666676</v>
      </c>
      <c r="BT14">
        <f>COUNTIFS(Table2[AwayTeam],$A14,Table2[PredictedWinner], $A14, Table2[GameIsOver], 1)</f>
        <v>2</v>
      </c>
      <c r="BU14">
        <f>COUNTIFS(Table2[HomeTeam],$A14,Table2[PredictedWinner], $A14, Table2[GameIsOver], 1)</f>
        <v>1</v>
      </c>
      <c r="BV14">
        <f t="shared" si="8"/>
        <v>3</v>
      </c>
      <c r="BW14">
        <f t="shared" si="9"/>
        <v>2</v>
      </c>
      <c r="BX14">
        <f t="shared" si="10"/>
        <v>1</v>
      </c>
      <c r="BY14">
        <f t="shared" si="11"/>
        <v>3</v>
      </c>
      <c r="BZ14">
        <f>Table3[[#This Row],[TimesPredictedWinner]]/Table3[[#This Row],[GP]]</f>
        <v>0.5</v>
      </c>
      <c r="CA14" s="4"/>
      <c r="CB14">
        <v>2007</v>
      </c>
      <c r="CC14" s="1">
        <v>45750</v>
      </c>
      <c r="CE14" t="str">
        <f>INDEX(Table2[AwayTeam], Table3[[#This Row],[Column2]])</f>
        <v>PHI</v>
      </c>
      <c r="CF14">
        <f>LARGE((Table2[[#This Row],[AwayTeam]]=Table3[[#This Row],[Teams]]), 1)</f>
        <v>0</v>
      </c>
      <c r="CI14">
        <f>SUMIFS(Table2[GamePredictionScore], Table2[AwayTeam], Table3[[#This Row],[Teams]])</f>
        <v>1.7000000000000002</v>
      </c>
      <c r="CJ14">
        <f>SUMIFS(Table2[GamePredictionScore], Table2[HomeTeam], Table3[[#This Row],[Teams]])</f>
        <v>0</v>
      </c>
      <c r="CK14">
        <f>Table3[[#This Row],[Column4]]+Table3[[#This Row],[Column3]]</f>
        <v>1.7000000000000002</v>
      </c>
      <c r="CL14">
        <f>Table3[[#This Row],[Column5]]/Table3[[#This Row],[GP]]</f>
        <v>0.28333333333333338</v>
      </c>
      <c r="CR14" t="s">
        <v>460</v>
      </c>
      <c r="CS14">
        <f>CS7+CS8</f>
        <v>24</v>
      </c>
    </row>
    <row r="15" spans="1:144" ht="15.75" thickBot="1" x14ac:dyDescent="0.3">
      <c r="A15" t="s">
        <v>11</v>
      </c>
      <c r="B15" t="s">
        <v>90</v>
      </c>
      <c r="C15" t="s">
        <v>93</v>
      </c>
      <c r="D15">
        <f>COUNTIFS(DataRegularSeason20242025!$D$3:$D$1315,$A15,DataRegularSeason20242025!$R$3:$R$1315,1,DataRegularSeason20242025!$N$3:$N$1315,1) + COUNTIFS(DataRegularSeason20242025!$E$3:$E$1315,$A15,DataRegularSeason20242025!$R$3:$R$1315,1,DataRegularSeason20242025!$N$3:$N$1315,1)</f>
        <v>6</v>
      </c>
      <c r="E15" s="10">
        <f>Table3[[#This Row],[Watched]]/Table3[[#This Row],[GP]]</f>
        <v>0.8571428571428571</v>
      </c>
      <c r="F15">
        <f>COUNTIFS(DataRegularSeason20242025!$N$3:$N$1315,1,DataRegularSeason20242025!$D$3:$D$1315,$A15)</f>
        <v>5</v>
      </c>
      <c r="G15">
        <f>41-Table3[[#This Row],[GP_A]]</f>
        <v>36</v>
      </c>
      <c r="H15">
        <f>COUNTIFS(DataRegularSeason20242025!$E$3:$E$1315,$A15,DataRegularSeason20242025!$N$3:$N$1315,1)</f>
        <v>2</v>
      </c>
      <c r="I15">
        <f>41-Table3[[#This Row],[GP_H]]</f>
        <v>39</v>
      </c>
      <c r="J15">
        <f t="shared" si="0"/>
        <v>7</v>
      </c>
      <c r="K15">
        <f>82-Table3[[#This Row],[GP]]</f>
        <v>75</v>
      </c>
      <c r="L15">
        <f>COUNTIFS(DataRegularSeason20242025!$D$3:$D$1315,$A15, DataRegularSeason20242025!$L$3:$L$1315, $A15,DataRegularSeason20242025!$N$3:$N$1315,1)</f>
        <v>1</v>
      </c>
      <c r="M15">
        <f>COUNTIFS(DataRegularSeason20242025!$D$3:$D$1315,$A15, DataRegularSeason20242025!$L$3:$L$1315, $A15,DataRegularSeason20242025!$N$3:$N$1315,1,DataRegularSeason20242025!$M$3:$M$1315,"REG")</f>
        <v>0</v>
      </c>
      <c r="N15">
        <f>COUNTIFS(DataRegularSeason20242025!$D$3:$D$1315,$A15, DataRegularSeason20242025!$L$3:$L$1315, $A15,DataRegularSeason20242025!$N$3:$N$1315,1,DataRegularSeason20242025!$M$3:$M$1315,"OT")</f>
        <v>1</v>
      </c>
      <c r="O15">
        <f>COUNTIFS(DataRegularSeason20242025!$D$3:$D$1315,$A15, DataRegularSeason20242025!$L$3:$L$1315, $A15,DataRegularSeason20242025!$N$3:$N$1315,1,DataRegularSeason20242025!$M$3:$M$1315,"SO")</f>
        <v>0</v>
      </c>
      <c r="P15">
        <f t="shared" si="1"/>
        <v>4</v>
      </c>
      <c r="Q15">
        <f>COUNTIFS(DataRegularSeason20242025!$D$3:$D$1315,$A15, DataRegularSeason20242025!$S$3:$S$1315, $A15,DataRegularSeason20242025!$M$3:$M$1315,"REG")</f>
        <v>2</v>
      </c>
      <c r="R15">
        <f>COUNTIFS(DataRegularSeason20242025!$D$3:$D$1315,$A15, DataRegularSeason20242025!$S$3:$S$1315, $A15,DataRegularSeason20242025!$M$3:$M$1315,"OT")</f>
        <v>1</v>
      </c>
      <c r="S15">
        <f>COUNTIFS(DataRegularSeason20242025!$D$3:$D$1315,$A15, DataRegularSeason20242025!$S$3:$S$1315, $A15,DataRegularSeason20242025!$M$3:$M$1315,"SO")</f>
        <v>1</v>
      </c>
      <c r="T15">
        <f>COUNTIFS(DataRegularSeason20242025!$E$3:$E$1315,$A15, DataRegularSeason20242025!$L$3:$L$1315, $A15, DataRegularSeason20242025!$N$3:$N$1315,1)</f>
        <v>2</v>
      </c>
      <c r="U15">
        <f>COUNTIFS(DataRegularSeason20242025!$E$3:$E$1315,$A15, DataRegularSeason20242025!$L$3:$L$1315, $A15,DataRegularSeason20242025!$N$3:$N$1315,1,DataRegularSeason20242025!$M$3:$M$1315,"REG")</f>
        <v>1</v>
      </c>
      <c r="V15">
        <f>COUNTIFS(DataRegularSeason20242025!$E$3:$E$1315,$A15, DataRegularSeason20242025!$L$3:$L$1315, $A15,DataRegularSeason20242025!$N$3:$N$1315,1,DataRegularSeason20242025!$M$3:$M$1315,"OT")</f>
        <v>1</v>
      </c>
      <c r="W15">
        <f>COUNTIFS(DataRegularSeason20242025!$E$3:$E$1315,$A15, DataRegularSeason20242025!$L$3:$L$1315, $A15,DataRegularSeason20242025!$N$3:$N$1315,1,DataRegularSeason20242025!$M$3:$M$1315,"SO")</f>
        <v>0</v>
      </c>
      <c r="X15">
        <f t="shared" si="2"/>
        <v>0</v>
      </c>
      <c r="Y15">
        <f>COUNTIFS(DataRegularSeason20242025!$E$3:$E$1315,$A15, DataRegularSeason20242025!$S$3:$S$1315, $A15,DataRegularSeason20242025!$M$3:$M$1315,"REG")</f>
        <v>0</v>
      </c>
      <c r="Z15">
        <f>COUNTIFS(DataRegularSeason20242025!$E$3:$E$1315,$A15, DataRegularSeason20242025!$S$3:$S$1315, $A15,DataRegularSeason20242025!$M$3:$M$1315,"OT")</f>
        <v>0</v>
      </c>
      <c r="AA15">
        <f>COUNTIFS(DataRegularSeason20242025!$E$3:$E$1315,$A15, DataRegularSeason20242025!$S$3:$S$1315, $A15,DataRegularSeason20242025!$M$3:$M$1315,"SO")</f>
        <v>0</v>
      </c>
      <c r="AB15">
        <f>Table3[[#This Row],[W]]/MAX(1,Table3[[#This Row],[W]]+Table3[[#This Row],[L]])</f>
        <v>0.42857142857142855</v>
      </c>
      <c r="AC15">
        <f>Table3[[#This Row],[W_A]]+Table3[[#This Row],[W_H]]</f>
        <v>3</v>
      </c>
      <c r="AD15">
        <f>Table3[[#This Row],[L_A]]+Table3[[#This Row],[L_H]]</f>
        <v>4</v>
      </c>
      <c r="AE15">
        <f>Table3[[#This Row],[RW_A]]+Table3[[#This Row],[RW_H]]</f>
        <v>1</v>
      </c>
      <c r="AF15">
        <f>Table3[[#This Row],[RL_A]]+Table3[[#This Row],[RL_H]]</f>
        <v>2</v>
      </c>
      <c r="AG15">
        <f>Table3[[#This Row],[OTW_A]]+Table3[[#This Row],[OTW_H]]</f>
        <v>2</v>
      </c>
      <c r="AH15">
        <f>Table3[[#This Row],[OTL_A]]+Table3[[#This Row],[OTL_H]]</f>
        <v>1</v>
      </c>
      <c r="AI15">
        <f>Table3[[#This Row],[SOW_A]]+Table3[[#This Row],[SOW_H]]</f>
        <v>0</v>
      </c>
      <c r="AJ15">
        <f>Table3[[#This Row],[SOL_A]]+Table3[[#This Row],[SOL_H]]</f>
        <v>1</v>
      </c>
      <c r="AK15" s="15" t="str">
        <f>_xlfn.CONCAT(TEXT(Table3[[#This Row],[OTW]]+Table3[[#This Row],[SOW]], "0"), "-", TEXT(Table3[[#This Row],[OTL]]+Table3[[#This Row],[SOL]],"0"))</f>
        <v>2-2</v>
      </c>
      <c r="AL15">
        <f>SUM(Table3[[#This Row],[OTW]],Table3[[#This Row],[OTL]],Table3[[#This Row],[SOW]],Table3[[#This Row],[SOL]])</f>
        <v>4</v>
      </c>
      <c r="AM15">
        <f>(Table3[[#This Row],[OTW]]+Table3[[#This Row],[SOW]])/IF(Table3[[#This Row],[Total_ExtraTimes]]=0,1,Table3[[#This Row],[Total_ExtraTimes]])</f>
        <v>0.5</v>
      </c>
      <c r="AN15">
        <f>Table3[[#This Row],[Total_ExtraTimes]]/MAX(1,Table3[[#This Row],[GP]])</f>
        <v>0.5714285714285714</v>
      </c>
      <c r="AO15">
        <f>(2*(Table3[[#This Row],[W_A]]+Table3[[#This Row],[W_H]]))+Table3[[#This Row],[OTL_A]]+Table3[[#This Row],[SOL_A]]+Table3[[#This Row],[OTL_H]]+Table3[[#This Row],[SOL_H]]</f>
        <v>8</v>
      </c>
      <c r="AP15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9</v>
      </c>
      <c r="AQ15" s="10">
        <f>Table3[[#This Row],[PTS]]/(2*Table3[[#This Row],[GP]])</f>
        <v>0.5714285714285714</v>
      </c>
      <c r="AR15" s="10">
        <f>Table3[[#This Row],[PTS2]]/(3*Table3[[#This Row],[GP]])</f>
        <v>0.42857142857142855</v>
      </c>
      <c r="AS15">
        <f>(2*Table3[[#This Row],[GR]])+Table3[[#This Row],[PTS]]</f>
        <v>158</v>
      </c>
      <c r="AT15">
        <f>(3*Table3[[#This Row],[GR]])+Table3[[#This Row],[PTS2]]</f>
        <v>234</v>
      </c>
      <c r="AU15">
        <f>Table3[[#This Row],[PTS]]+(2 * Table3[[#This Row],[GR]] * Table3[[#This Row],[PTS%]])</f>
        <v>93.714285714285708</v>
      </c>
      <c r="AV15">
        <f>Table3[[#This Row],[PTS2]]+(3 * Table3[[#This Row],[GR]] * Table3[[#This Row],[PTS%2]])</f>
        <v>105.42857142857142</v>
      </c>
      <c r="AW15" s="15" t="str">
        <f>_xlfn.CONCAT(TEXT(Table3[[#This Row],[W]], "0"), "-", TEXT(Table3[[#This Row],[RL]],"0"), "-", TEXT(Table3[[#This Row],[OTL]]+Table3[[#This Row],[SOL]], "0"))</f>
        <v>3-2-2</v>
      </c>
      <c r="AX15">
        <f>COUNTIFS(DataRegularSeason20242025!$D$3:$D$1315,Table3[[#This Row],[Teams]],DataRegularSeason20242025!$K$3:$K$1315,0)</f>
        <v>0</v>
      </c>
      <c r="AY15">
        <f>SUMIF(DataRegularSeason20242025!$D$3:$D$1315,$A15, DataRegularSeason20242025!$J$3:$J$1315)</f>
        <v>14</v>
      </c>
      <c r="AZ15">
        <f>SUMIF(DataRegularSeason20242025!$D$3:$D$1315,$A15, DataRegularSeason20242025!$K$3:$K$1315)</f>
        <v>21</v>
      </c>
      <c r="BA15">
        <f t="shared" si="3"/>
        <v>-7</v>
      </c>
      <c r="BB15">
        <f>COUNTIFS(DataRegularSeason20242025!$E$3:$E$1315,Table3[[#This Row],[Teams]],DataRegularSeason20242025!$J$3:$J$1315,0)</f>
        <v>0</v>
      </c>
      <c r="BC15">
        <f>SUMIF(DataRegularSeason20242025!$E$3:$E$1315,$A15,DataRegularSeason20242025!$K$3:$K$1315)</f>
        <v>5</v>
      </c>
      <c r="BD15">
        <f>SUMIF(DataRegularSeason20242025!$E$3:$E$1315,$A15,DataRegularSeason20242025!$J$3:$J$1315)</f>
        <v>2</v>
      </c>
      <c r="BE15">
        <f t="shared" si="4"/>
        <v>3</v>
      </c>
      <c r="BF15">
        <f t="shared" si="5"/>
        <v>19</v>
      </c>
      <c r="BG15">
        <f t="shared" si="6"/>
        <v>23</v>
      </c>
      <c r="BH15">
        <f t="shared" si="7"/>
        <v>-4</v>
      </c>
      <c r="BI15" s="12">
        <f>Table3[[#This Row],[GF]]/Table3[[#This Row],[GP]]</f>
        <v>2.7142857142857144</v>
      </c>
      <c r="BJ15" s="12">
        <f>Table3[[#This Row],[GA]]/Table3[[#This Row],[GP]]</f>
        <v>3.2857142857142856</v>
      </c>
      <c r="BK15" s="12">
        <f>(Table3[[#This Row],[GF]]-Table3[[#This Row],[GA]])/Table3[[#This Row],[GP]]</f>
        <v>-0.5714285714285714</v>
      </c>
      <c r="BL15" s="42" t="str">
        <f>_xlfn.CONCAT(TEXT(Table3[[#This Row],[W_H]], "0"), "-", TEXT(Table3[[#This Row],[RL_H]],"0"), "-", TEXT(Table3[[#This Row],[OTL_H]]+Table3[[#This Row],[SOL_H]], "0"))</f>
        <v>2-0-0</v>
      </c>
      <c r="BM15" s="42" t="str">
        <f>_xlfn.CONCAT(TEXT(Table3[[#This Row],[W_A]], "0"), "-", TEXT(Table3[[#This Row],[RL_A]],"0"), "-", TEXT(Table3[[#This Row],[OTL_A]]+Table3[[#This Row],[SOL_A]], "0"))</f>
        <v>1-2-2</v>
      </c>
      <c r="BN15" s="42">
        <f>((2*(Table3[[#This Row],[W_H]]))+Table3[[#This Row],[OTL_H]]+Table3[[#This Row],[SOL_H]])/(2*Table3[[#This Row],[GP_H]])</f>
        <v>1</v>
      </c>
      <c r="BO15" s="42">
        <f>((2*(Table3[[#This Row],[W_A]]))+Table3[[#This Row],[OTL_A]]+Table3[[#This Row],[SOL_A]])/(2*Table3[[#This Row],[GP_A]])</f>
        <v>0.4</v>
      </c>
      <c r="BP15" s="16">
        <f>(Table3[[#This Row],[W]]*$CX$3)+(Table3[[#This Row],[L]]*$CX$4)+(Table3[[#This Row],[GF]]*$CX$5)+(Table3[[#This Row],[GA]]*$CX$6)</f>
        <v>7.8500000000000014</v>
      </c>
      <c r="BQ15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73.031632653061223</v>
      </c>
      <c r="BR15" s="16">
        <f>(Table3[[#This Row],[W]]*0.7) + ((Table3[[#This Row],[GF]] - Table3[[#This Row],[GA]])*0.25)+(Table3[[#This Row],[GF]]*0.1)+(Table3[[#This Row],[GA]]*0.05)+(Table3[[#This Row],[L]]*0.3)</f>
        <v>5.3500000000000005</v>
      </c>
      <c r="BS15" s="16">
        <f>Table3[[#This Row],[TeamCost83]]/Table3[[#This Row],[GP]]</f>
        <v>0.76428571428571435</v>
      </c>
      <c r="BT15">
        <f>COUNTIFS(Table2[AwayTeam],$A15,Table2[PredictedWinner], $A15, Table2[GameIsOver], 1)</f>
        <v>2</v>
      </c>
      <c r="BU15">
        <f>COUNTIFS(Table2[HomeTeam],$A15,Table2[PredictedWinner], $A15, Table2[GameIsOver], 1)</f>
        <v>1</v>
      </c>
      <c r="BV15">
        <f t="shared" si="8"/>
        <v>3</v>
      </c>
      <c r="BW15">
        <f t="shared" si="9"/>
        <v>3</v>
      </c>
      <c r="BX15">
        <f t="shared" si="10"/>
        <v>1</v>
      </c>
      <c r="BY15">
        <f t="shared" si="11"/>
        <v>4</v>
      </c>
      <c r="BZ15">
        <f>Table3[[#This Row],[TimesPredictedWinner]]/Table3[[#This Row],[GP]]</f>
        <v>0.42857142857142855</v>
      </c>
      <c r="CC15" s="1">
        <v>45745</v>
      </c>
      <c r="CE15" t="str">
        <f>INDEX(Table2[AwayTeam], Table3[[#This Row],[Column2]])</f>
        <v>NYI</v>
      </c>
      <c r="CF15">
        <f>LARGE((Table2[[#This Row],[AwayTeam]]=Table3[[#This Row],[Teams]]), 1)</f>
        <v>0</v>
      </c>
      <c r="CI15">
        <f>SUMIFS(Table2[GamePredictionScore], Table2[AwayTeam], Table3[[#This Row],[Teams]])</f>
        <v>1.7000000000000002</v>
      </c>
      <c r="CJ15">
        <f>SUMIFS(Table2[GamePredictionScore], Table2[HomeTeam], Table3[[#This Row],[Teams]])</f>
        <v>0.8</v>
      </c>
      <c r="CK15">
        <f>Table3[[#This Row],[Column4]]+Table3[[#This Row],[Column3]]</f>
        <v>2.5</v>
      </c>
      <c r="CL15">
        <f>Table3[[#This Row],[Column5]]/Table3[[#This Row],[GP]]</f>
        <v>0.35714285714285715</v>
      </c>
      <c r="CR15" t="s">
        <v>461</v>
      </c>
      <c r="CS15">
        <f>CS14/CS2</f>
        <v>0.22429906542056074</v>
      </c>
    </row>
    <row r="16" spans="1:144" x14ac:dyDescent="0.25">
      <c r="A16" t="s">
        <v>24</v>
      </c>
      <c r="B16" t="s">
        <v>90</v>
      </c>
      <c r="C16" t="s">
        <v>93</v>
      </c>
      <c r="D16">
        <f>COUNTIFS(DataRegularSeason20242025!$D$3:$D$1315,$A16,DataRegularSeason20242025!$R$3:$R$1315,1,DataRegularSeason20242025!$N$3:$N$1315,1) + COUNTIFS(DataRegularSeason20242025!$E$3:$E$1315,$A16,DataRegularSeason20242025!$R$3:$R$1315,1,DataRegularSeason20242025!$N$3:$N$1315,1)</f>
        <v>6</v>
      </c>
      <c r="E16" s="10">
        <f>Table3[[#This Row],[Watched]]/Table3[[#This Row],[GP]]</f>
        <v>0.8571428571428571</v>
      </c>
      <c r="F16">
        <f>COUNTIFS(DataRegularSeason20242025!$N$3:$N$1315,1,DataRegularSeason20242025!$D$3:$D$1315,$A16)</f>
        <v>5</v>
      </c>
      <c r="G16">
        <f>41-Table3[[#This Row],[GP_A]]</f>
        <v>36</v>
      </c>
      <c r="H16">
        <f>COUNTIFS(DataRegularSeason20242025!$E$3:$E$1315,$A16,DataRegularSeason20242025!$N$3:$N$1315,1)</f>
        <v>2</v>
      </c>
      <c r="I16">
        <f>41-Table3[[#This Row],[GP_H]]</f>
        <v>39</v>
      </c>
      <c r="J16">
        <f t="shared" si="0"/>
        <v>7</v>
      </c>
      <c r="K16">
        <f>82-Table3[[#This Row],[GP]]</f>
        <v>75</v>
      </c>
      <c r="L16">
        <f>COUNTIFS(DataRegularSeason20242025!$D$3:$D$1315,$A16, DataRegularSeason20242025!$L$3:$L$1315, $A16,DataRegularSeason20242025!$N$3:$N$1315,1)</f>
        <v>3</v>
      </c>
      <c r="M16">
        <f>COUNTIFS(DataRegularSeason20242025!$D$3:$D$1315,$A16, DataRegularSeason20242025!$L$3:$L$1315, $A16,DataRegularSeason20242025!$N$3:$N$1315,1,DataRegularSeason20242025!$M$3:$M$1315,"REG")</f>
        <v>2</v>
      </c>
      <c r="N16">
        <f>COUNTIFS(DataRegularSeason20242025!$D$3:$D$1315,$A16, DataRegularSeason20242025!$L$3:$L$1315, $A16,DataRegularSeason20242025!$N$3:$N$1315,1,DataRegularSeason20242025!$M$3:$M$1315,"OT")</f>
        <v>0</v>
      </c>
      <c r="O16">
        <f>COUNTIFS(DataRegularSeason20242025!$D$3:$D$1315,$A16, DataRegularSeason20242025!$L$3:$L$1315, $A16,DataRegularSeason20242025!$N$3:$N$1315,1,DataRegularSeason20242025!$M$3:$M$1315,"SO")</f>
        <v>1</v>
      </c>
      <c r="P16">
        <f t="shared" si="1"/>
        <v>2</v>
      </c>
      <c r="Q16">
        <f>COUNTIFS(DataRegularSeason20242025!$D$3:$D$1315,$A16, DataRegularSeason20242025!$S$3:$S$1315, $A16,DataRegularSeason20242025!$M$3:$M$1315,"REG")</f>
        <v>2</v>
      </c>
      <c r="R16">
        <f>COUNTIFS(DataRegularSeason20242025!$D$3:$D$1315,$A16, DataRegularSeason20242025!$S$3:$S$1315, $A16,DataRegularSeason20242025!$M$3:$M$1315,"OT")</f>
        <v>0</v>
      </c>
      <c r="S16">
        <f>COUNTIFS(DataRegularSeason20242025!$D$3:$D$1315,$A16, DataRegularSeason20242025!$S$3:$S$1315, $A16,DataRegularSeason20242025!$M$3:$M$1315,"SO")</f>
        <v>0</v>
      </c>
      <c r="T16">
        <f>COUNTIFS(DataRegularSeason20242025!$E$3:$E$1315,$A16, DataRegularSeason20242025!$L$3:$L$1315, $A16, DataRegularSeason20242025!$N$3:$N$1315,1)</f>
        <v>1</v>
      </c>
      <c r="U16">
        <f>COUNTIFS(DataRegularSeason20242025!$E$3:$E$1315,$A16, DataRegularSeason20242025!$L$3:$L$1315, $A16,DataRegularSeason20242025!$N$3:$N$1315,1,DataRegularSeason20242025!$M$3:$M$1315,"REG")</f>
        <v>1</v>
      </c>
      <c r="V16">
        <f>COUNTIFS(DataRegularSeason20242025!$E$3:$E$1315,$A16, DataRegularSeason20242025!$L$3:$L$1315, $A16,DataRegularSeason20242025!$N$3:$N$1315,1,DataRegularSeason20242025!$M$3:$M$1315,"OT")</f>
        <v>0</v>
      </c>
      <c r="W16">
        <f>COUNTIFS(DataRegularSeason20242025!$E$3:$E$1315,$A16, DataRegularSeason20242025!$L$3:$L$1315, $A16,DataRegularSeason20242025!$N$3:$N$1315,1,DataRegularSeason20242025!$M$3:$M$1315,"SO")</f>
        <v>0</v>
      </c>
      <c r="X16">
        <f t="shared" si="2"/>
        <v>1</v>
      </c>
      <c r="Y16">
        <f>COUNTIFS(DataRegularSeason20242025!$E$3:$E$1315,$A16, DataRegularSeason20242025!$S$3:$S$1315, $A16,DataRegularSeason20242025!$M$3:$M$1315,"REG")</f>
        <v>1</v>
      </c>
      <c r="Z16">
        <f>COUNTIFS(DataRegularSeason20242025!$E$3:$E$1315,$A16, DataRegularSeason20242025!$S$3:$S$1315, $A16,DataRegularSeason20242025!$M$3:$M$1315,"OT")</f>
        <v>0</v>
      </c>
      <c r="AA16">
        <f>COUNTIFS(DataRegularSeason20242025!$E$3:$E$1315,$A16, DataRegularSeason20242025!$S$3:$S$1315, $A16,DataRegularSeason20242025!$M$3:$M$1315,"SO")</f>
        <v>0</v>
      </c>
      <c r="AB16">
        <f>Table3[[#This Row],[W]]/MAX(1,Table3[[#This Row],[W]]+Table3[[#This Row],[L]])</f>
        <v>0.5714285714285714</v>
      </c>
      <c r="AC16">
        <f>Table3[[#This Row],[W_A]]+Table3[[#This Row],[W_H]]</f>
        <v>4</v>
      </c>
      <c r="AD16">
        <f>Table3[[#This Row],[L_A]]+Table3[[#This Row],[L_H]]</f>
        <v>3</v>
      </c>
      <c r="AE16">
        <f>Table3[[#This Row],[RW_A]]+Table3[[#This Row],[RW_H]]</f>
        <v>3</v>
      </c>
      <c r="AF16">
        <f>Table3[[#This Row],[RL_A]]+Table3[[#This Row],[RL_H]]</f>
        <v>3</v>
      </c>
      <c r="AG16">
        <f>Table3[[#This Row],[OTW_A]]+Table3[[#This Row],[OTW_H]]</f>
        <v>0</v>
      </c>
      <c r="AH16">
        <f>Table3[[#This Row],[OTL_A]]+Table3[[#This Row],[OTL_H]]</f>
        <v>0</v>
      </c>
      <c r="AI16">
        <f>Table3[[#This Row],[SOW_A]]+Table3[[#This Row],[SOW_H]]</f>
        <v>1</v>
      </c>
      <c r="AJ16">
        <f>Table3[[#This Row],[SOL_A]]+Table3[[#This Row],[SOL_H]]</f>
        <v>0</v>
      </c>
      <c r="AK16" s="15" t="str">
        <f>_xlfn.CONCAT(TEXT(Table3[[#This Row],[OTW]]+Table3[[#This Row],[SOW]], "0"), "-", TEXT(Table3[[#This Row],[OTL]]+Table3[[#This Row],[SOL]],"0"))</f>
        <v>1-0</v>
      </c>
      <c r="AL16">
        <f>SUM(Table3[[#This Row],[OTW]],Table3[[#This Row],[OTL]],Table3[[#This Row],[SOW]],Table3[[#This Row],[SOL]])</f>
        <v>1</v>
      </c>
      <c r="AM16">
        <f>(Table3[[#This Row],[OTW]]+Table3[[#This Row],[SOW]])/IF(Table3[[#This Row],[Total_ExtraTimes]]=0,1,Table3[[#This Row],[Total_ExtraTimes]])</f>
        <v>1</v>
      </c>
      <c r="AN16">
        <f>Table3[[#This Row],[Total_ExtraTimes]]/MAX(1,Table3[[#This Row],[GP]])</f>
        <v>0.14285714285714285</v>
      </c>
      <c r="AO16">
        <f>(2*(Table3[[#This Row],[W_A]]+Table3[[#This Row],[W_H]]))+Table3[[#This Row],[OTL_A]]+Table3[[#This Row],[SOL_A]]+Table3[[#This Row],[OTL_H]]+Table3[[#This Row],[SOL_H]]</f>
        <v>8</v>
      </c>
      <c r="AP16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11</v>
      </c>
      <c r="AQ16" s="10">
        <f>Table3[[#This Row],[PTS]]/(2*Table3[[#This Row],[GP]])</f>
        <v>0.5714285714285714</v>
      </c>
      <c r="AR16" s="10">
        <f>Table3[[#This Row],[PTS2]]/(3*Table3[[#This Row],[GP]])</f>
        <v>0.52380952380952384</v>
      </c>
      <c r="AS16">
        <f>(2*Table3[[#This Row],[GR]])+Table3[[#This Row],[PTS]]</f>
        <v>158</v>
      </c>
      <c r="AT16">
        <f>(3*Table3[[#This Row],[GR]])+Table3[[#This Row],[PTS2]]</f>
        <v>236</v>
      </c>
      <c r="AU16">
        <f>Table3[[#This Row],[PTS]]+(2 * Table3[[#This Row],[GR]] * Table3[[#This Row],[PTS%]])</f>
        <v>93.714285714285708</v>
      </c>
      <c r="AV16">
        <f>Table3[[#This Row],[PTS2]]+(3 * Table3[[#This Row],[GR]] * Table3[[#This Row],[PTS%2]])</f>
        <v>128.85714285714286</v>
      </c>
      <c r="AW16" s="15" t="str">
        <f>_xlfn.CONCAT(TEXT(Table3[[#This Row],[W]], "0"), "-", TEXT(Table3[[#This Row],[RL]],"0"), "-", TEXT(Table3[[#This Row],[OTL]]+Table3[[#This Row],[SOL]], "0"))</f>
        <v>4-3-0</v>
      </c>
      <c r="AX16">
        <f>COUNTIFS(DataRegularSeason20242025!$D$3:$D$1315,Table3[[#This Row],[Teams]],DataRegularSeason20242025!$K$3:$K$1315,0)</f>
        <v>0</v>
      </c>
      <c r="AY16">
        <f>SUMIF(DataRegularSeason20242025!$D$3:$D$1315,$A16, DataRegularSeason20242025!$J$3:$J$1315)</f>
        <v>14</v>
      </c>
      <c r="AZ16">
        <f>SUMIF(DataRegularSeason20242025!$D$3:$D$1315,$A16, DataRegularSeason20242025!$K$3:$K$1315)</f>
        <v>16</v>
      </c>
      <c r="BA16">
        <f t="shared" si="3"/>
        <v>-2</v>
      </c>
      <c r="BB16">
        <f>COUNTIFS(DataRegularSeason20242025!$E$3:$E$1315,Table3[[#This Row],[Teams]],DataRegularSeason20242025!$J$3:$J$1315,0)</f>
        <v>0</v>
      </c>
      <c r="BC16">
        <f>SUMIF(DataRegularSeason20242025!$E$3:$E$1315,$A16,DataRegularSeason20242025!$K$3:$K$1315)</f>
        <v>7</v>
      </c>
      <c r="BD16">
        <f>SUMIF(DataRegularSeason20242025!$E$3:$E$1315,$A16,DataRegularSeason20242025!$J$3:$J$1315)</f>
        <v>6</v>
      </c>
      <c r="BE16">
        <f t="shared" si="4"/>
        <v>1</v>
      </c>
      <c r="BF16">
        <f t="shared" si="5"/>
        <v>21</v>
      </c>
      <c r="BG16">
        <f t="shared" si="6"/>
        <v>22</v>
      </c>
      <c r="BH16">
        <f t="shared" si="7"/>
        <v>-1</v>
      </c>
      <c r="BI16" s="12">
        <f>Table3[[#This Row],[GF]]/Table3[[#This Row],[GP]]</f>
        <v>3</v>
      </c>
      <c r="BJ16" s="12">
        <f>Table3[[#This Row],[GA]]/Table3[[#This Row],[GP]]</f>
        <v>3.1428571428571428</v>
      </c>
      <c r="BK16" s="12">
        <f>(Table3[[#This Row],[GF]]-Table3[[#This Row],[GA]])/Table3[[#This Row],[GP]]</f>
        <v>-0.14285714285714285</v>
      </c>
      <c r="BL16" s="42" t="str">
        <f>_xlfn.CONCAT(TEXT(Table3[[#This Row],[W_H]], "0"), "-", TEXT(Table3[[#This Row],[RL_H]],"0"), "-", TEXT(Table3[[#This Row],[OTL_H]]+Table3[[#This Row],[SOL_H]], "0"))</f>
        <v>1-1-0</v>
      </c>
      <c r="BM16" s="42" t="str">
        <f>_xlfn.CONCAT(TEXT(Table3[[#This Row],[W_A]], "0"), "-", TEXT(Table3[[#This Row],[RL_A]],"0"), "-", TEXT(Table3[[#This Row],[OTL_A]]+Table3[[#This Row],[SOL_A]], "0"))</f>
        <v>3-2-0</v>
      </c>
      <c r="BN16" s="42">
        <f>((2*(Table3[[#This Row],[W_H]]))+Table3[[#This Row],[OTL_H]]+Table3[[#This Row],[SOL_H]])/(2*Table3[[#This Row],[GP_H]])</f>
        <v>0.5</v>
      </c>
      <c r="BO16" s="42">
        <f>((2*(Table3[[#This Row],[W_A]]))+Table3[[#This Row],[OTL_A]]+Table3[[#This Row],[SOL_A]])/(2*Table3[[#This Row],[GP_A]])</f>
        <v>0.6</v>
      </c>
      <c r="BP16" s="16">
        <f>(Table3[[#This Row],[W]]*$CX$3)+(Table3[[#This Row],[L]]*$CX$4)+(Table3[[#This Row],[GF]]*$CX$5)+(Table3[[#This Row],[GA]]*$CX$6)</f>
        <v>8.25</v>
      </c>
      <c r="BQ16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75.774489795918385</v>
      </c>
      <c r="BR16" s="16">
        <f>(Table3[[#This Row],[W]]*0.7) + ((Table3[[#This Row],[GF]] - Table3[[#This Row],[GA]])*0.25)+(Table3[[#This Row],[GF]]*0.1)+(Table3[[#This Row],[GA]]*0.05)+(Table3[[#This Row],[L]]*0.3)</f>
        <v>6.65</v>
      </c>
      <c r="BS16" s="16">
        <f>Table3[[#This Row],[TeamCost83]]/Table3[[#This Row],[GP]]</f>
        <v>0.95000000000000007</v>
      </c>
      <c r="BT16">
        <f>COUNTIFS(Table2[AwayTeam],$A16,Table2[PredictedWinner], $A16, Table2[GameIsOver], 1)</f>
        <v>2</v>
      </c>
      <c r="BU16">
        <f>COUNTIFS(Table2[HomeTeam],$A16,Table2[PredictedWinner], $A16, Table2[GameIsOver], 1)</f>
        <v>1</v>
      </c>
      <c r="BV16">
        <f t="shared" si="8"/>
        <v>3</v>
      </c>
      <c r="BW16">
        <f t="shared" si="9"/>
        <v>3</v>
      </c>
      <c r="BX16">
        <f t="shared" si="10"/>
        <v>1</v>
      </c>
      <c r="BY16">
        <f t="shared" si="11"/>
        <v>4</v>
      </c>
      <c r="BZ16">
        <f>Table3[[#This Row],[TimesPredictedWinner]]/Table3[[#This Row],[GP]]</f>
        <v>0.42857142857142855</v>
      </c>
      <c r="CC16" s="1">
        <v>45756</v>
      </c>
      <c r="CE16" t="str">
        <f>INDEX(Table2[AwayTeam], Table3[[#This Row],[Column2]])</f>
        <v>NJD</v>
      </c>
      <c r="CF16">
        <f>LARGE((Table2[[#This Row],[AwayTeam]]=Table3[[#This Row],[Teams]]), 1)</f>
        <v>0</v>
      </c>
      <c r="CI16">
        <f>SUMIFS(Table2[GamePredictionScore], Table2[AwayTeam], Table3[[#This Row],[Teams]])</f>
        <v>1.7000000000000002</v>
      </c>
      <c r="CJ16">
        <f>SUMIFS(Table2[GamePredictionScore], Table2[HomeTeam], Table3[[#This Row],[Teams]])</f>
        <v>1.6</v>
      </c>
      <c r="CK16">
        <f>Table3[[#This Row],[Column4]]+Table3[[#This Row],[Column3]]</f>
        <v>3.3000000000000003</v>
      </c>
      <c r="CL16">
        <f>Table3[[#This Row],[Column5]]/Table3[[#This Row],[GP]]</f>
        <v>0.47142857142857147</v>
      </c>
      <c r="CV16" s="69"/>
      <c r="CW16" s="80"/>
      <c r="CX16" s="70" t="s">
        <v>490</v>
      </c>
      <c r="CY16" s="70"/>
      <c r="CZ16" s="70"/>
      <c r="DA16" s="70"/>
      <c r="DB16" s="70"/>
      <c r="DC16" s="70"/>
      <c r="DD16" s="70"/>
      <c r="DE16" s="70"/>
      <c r="DF16" s="70"/>
      <c r="DG16" s="70"/>
      <c r="DH16" s="71"/>
      <c r="EB16" s="69"/>
      <c r="EC16" s="80"/>
      <c r="ED16" s="70" t="s">
        <v>490</v>
      </c>
      <c r="EE16" s="70"/>
      <c r="EF16" s="70"/>
      <c r="EG16" s="70"/>
      <c r="EH16" s="70"/>
      <c r="EI16" s="70"/>
      <c r="EJ16" s="70"/>
      <c r="EK16" s="70"/>
      <c r="EL16" s="70"/>
      <c r="EM16" s="70"/>
      <c r="EN16" s="71"/>
    </row>
    <row r="17" spans="1:144" ht="15.75" thickBot="1" x14ac:dyDescent="0.3">
      <c r="A17" t="s">
        <v>16</v>
      </c>
      <c r="B17" t="s">
        <v>90</v>
      </c>
      <c r="C17" t="s">
        <v>88</v>
      </c>
      <c r="D17">
        <f>COUNTIFS(DataRegularSeason20242025!$D$3:$D$1315,$A17,DataRegularSeason20242025!$R$3:$R$1315,1,DataRegularSeason20242025!$N$3:$N$1315,1) + COUNTIFS(DataRegularSeason20242025!$E$3:$E$1315,$A17,DataRegularSeason20242025!$R$3:$R$1315,1,DataRegularSeason20242025!$N$3:$N$1315,1)</f>
        <v>7</v>
      </c>
      <c r="E17" s="10">
        <f>Table3[[#This Row],[Watched]]/Table3[[#This Row],[GP]]</f>
        <v>1</v>
      </c>
      <c r="F17">
        <f>COUNTIFS(DataRegularSeason20242025!$N$3:$N$1315,1,DataRegularSeason20242025!$D$3:$D$1315,$A17)</f>
        <v>3</v>
      </c>
      <c r="G17">
        <f>41-Table3[[#This Row],[GP_A]]</f>
        <v>38</v>
      </c>
      <c r="H17">
        <f>COUNTIFS(DataRegularSeason20242025!$E$3:$E$1315,$A17,DataRegularSeason20242025!$N$3:$N$1315,1)</f>
        <v>4</v>
      </c>
      <c r="I17">
        <f>41-Table3[[#This Row],[GP_H]]</f>
        <v>37</v>
      </c>
      <c r="J17">
        <f t="shared" si="0"/>
        <v>7</v>
      </c>
      <c r="K17">
        <f>82-Table3[[#This Row],[GP]]</f>
        <v>75</v>
      </c>
      <c r="L17">
        <f>COUNTIFS(DataRegularSeason20242025!$D$3:$D$1315,$A17, DataRegularSeason20242025!$L$3:$L$1315, $A17,DataRegularSeason20242025!$N$3:$N$1315,1)</f>
        <v>1</v>
      </c>
      <c r="M17">
        <f>COUNTIFS(DataRegularSeason20242025!$D$3:$D$1315,$A17, DataRegularSeason20242025!$L$3:$L$1315, $A17,DataRegularSeason20242025!$N$3:$N$1315,1,DataRegularSeason20242025!$M$3:$M$1315,"REG")</f>
        <v>1</v>
      </c>
      <c r="N17">
        <f>COUNTIFS(DataRegularSeason20242025!$D$3:$D$1315,$A17, DataRegularSeason20242025!$L$3:$L$1315, $A17,DataRegularSeason20242025!$N$3:$N$1315,1,DataRegularSeason20242025!$M$3:$M$1315,"OT")</f>
        <v>0</v>
      </c>
      <c r="O17">
        <f>COUNTIFS(DataRegularSeason20242025!$D$3:$D$1315,$A17, DataRegularSeason20242025!$L$3:$L$1315, $A17,DataRegularSeason20242025!$N$3:$N$1315,1,DataRegularSeason20242025!$M$3:$M$1315,"SO")</f>
        <v>0</v>
      </c>
      <c r="P17">
        <f t="shared" si="1"/>
        <v>2</v>
      </c>
      <c r="Q17">
        <f>COUNTIFS(DataRegularSeason20242025!$D$3:$D$1315,$A17, DataRegularSeason20242025!$S$3:$S$1315, $A17,DataRegularSeason20242025!$M$3:$M$1315,"REG")</f>
        <v>1</v>
      </c>
      <c r="R17">
        <f>COUNTIFS(DataRegularSeason20242025!$D$3:$D$1315,$A17, DataRegularSeason20242025!$S$3:$S$1315, $A17,DataRegularSeason20242025!$M$3:$M$1315,"OT")</f>
        <v>1</v>
      </c>
      <c r="S17">
        <f>COUNTIFS(DataRegularSeason20242025!$D$3:$D$1315,$A17, DataRegularSeason20242025!$S$3:$S$1315, $A17,DataRegularSeason20242025!$M$3:$M$1315,"SO")</f>
        <v>0</v>
      </c>
      <c r="T17">
        <f>COUNTIFS(DataRegularSeason20242025!$E$3:$E$1315,$A17, DataRegularSeason20242025!$L$3:$L$1315, $A17, DataRegularSeason20242025!$N$3:$N$1315,1)</f>
        <v>2</v>
      </c>
      <c r="U17">
        <f>COUNTIFS(DataRegularSeason20242025!$E$3:$E$1315,$A17, DataRegularSeason20242025!$L$3:$L$1315, $A17,DataRegularSeason20242025!$N$3:$N$1315,1,DataRegularSeason20242025!$M$3:$M$1315,"REG")</f>
        <v>1</v>
      </c>
      <c r="V17">
        <f>COUNTIFS(DataRegularSeason20242025!$E$3:$E$1315,$A17, DataRegularSeason20242025!$L$3:$L$1315, $A17,DataRegularSeason20242025!$N$3:$N$1315,1,DataRegularSeason20242025!$M$3:$M$1315,"OT")</f>
        <v>1</v>
      </c>
      <c r="W17">
        <f>COUNTIFS(DataRegularSeason20242025!$E$3:$E$1315,$A17, DataRegularSeason20242025!$L$3:$L$1315, $A17,DataRegularSeason20242025!$N$3:$N$1315,1,DataRegularSeason20242025!$M$3:$M$1315,"SO")</f>
        <v>0</v>
      </c>
      <c r="X17">
        <f t="shared" si="2"/>
        <v>2</v>
      </c>
      <c r="Y17">
        <f>COUNTIFS(DataRegularSeason20242025!$E$3:$E$1315,$A17, DataRegularSeason20242025!$S$3:$S$1315, $A17,DataRegularSeason20242025!$M$3:$M$1315,"REG")</f>
        <v>1</v>
      </c>
      <c r="Z17">
        <f>COUNTIFS(DataRegularSeason20242025!$E$3:$E$1315,$A17, DataRegularSeason20242025!$S$3:$S$1315, $A17,DataRegularSeason20242025!$M$3:$M$1315,"OT")</f>
        <v>0</v>
      </c>
      <c r="AA17">
        <f>COUNTIFS(DataRegularSeason20242025!$E$3:$E$1315,$A17, DataRegularSeason20242025!$S$3:$S$1315, $A17,DataRegularSeason20242025!$M$3:$M$1315,"SO")</f>
        <v>1</v>
      </c>
      <c r="AB17">
        <f>Table3[[#This Row],[W]]/MAX(1,Table3[[#This Row],[W]]+Table3[[#This Row],[L]])</f>
        <v>0.42857142857142855</v>
      </c>
      <c r="AC17">
        <f>Table3[[#This Row],[W_A]]+Table3[[#This Row],[W_H]]</f>
        <v>3</v>
      </c>
      <c r="AD17">
        <f>Table3[[#This Row],[L_A]]+Table3[[#This Row],[L_H]]</f>
        <v>4</v>
      </c>
      <c r="AE17">
        <f>Table3[[#This Row],[RW_A]]+Table3[[#This Row],[RW_H]]</f>
        <v>2</v>
      </c>
      <c r="AF17">
        <f>Table3[[#This Row],[RL_A]]+Table3[[#This Row],[RL_H]]</f>
        <v>2</v>
      </c>
      <c r="AG17">
        <f>Table3[[#This Row],[OTW_A]]+Table3[[#This Row],[OTW_H]]</f>
        <v>1</v>
      </c>
      <c r="AH17">
        <f>Table3[[#This Row],[OTL_A]]+Table3[[#This Row],[OTL_H]]</f>
        <v>1</v>
      </c>
      <c r="AI17">
        <f>Table3[[#This Row],[SOW_A]]+Table3[[#This Row],[SOW_H]]</f>
        <v>0</v>
      </c>
      <c r="AJ17">
        <f>Table3[[#This Row],[SOL_A]]+Table3[[#This Row],[SOL_H]]</f>
        <v>1</v>
      </c>
      <c r="AK17" s="15" t="str">
        <f>_xlfn.CONCAT(TEXT(Table3[[#This Row],[OTW]]+Table3[[#This Row],[SOW]], "0"), "-", TEXT(Table3[[#This Row],[OTL]]+Table3[[#This Row],[SOL]],"0"))</f>
        <v>1-2</v>
      </c>
      <c r="AL17">
        <f>SUM(Table3[[#This Row],[OTW]],Table3[[#This Row],[OTL]],Table3[[#This Row],[SOW]],Table3[[#This Row],[SOL]])</f>
        <v>3</v>
      </c>
      <c r="AM17">
        <f>(Table3[[#This Row],[OTW]]+Table3[[#This Row],[SOW]])/IF(Table3[[#This Row],[Total_ExtraTimes]]=0,1,Table3[[#This Row],[Total_ExtraTimes]])</f>
        <v>0.33333333333333331</v>
      </c>
      <c r="AN17">
        <f>Table3[[#This Row],[Total_ExtraTimes]]/MAX(1,Table3[[#This Row],[GP]])</f>
        <v>0.42857142857142855</v>
      </c>
      <c r="AO17">
        <f>(2*(Table3[[#This Row],[W_A]]+Table3[[#This Row],[W_H]]))+Table3[[#This Row],[OTL_A]]+Table3[[#This Row],[SOL_A]]+Table3[[#This Row],[OTL_H]]+Table3[[#This Row],[SOL_H]]</f>
        <v>8</v>
      </c>
      <c r="AP17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10</v>
      </c>
      <c r="AQ17" s="10">
        <f>Table3[[#This Row],[PTS]]/(2*Table3[[#This Row],[GP]])</f>
        <v>0.5714285714285714</v>
      </c>
      <c r="AR17" s="10">
        <f>Table3[[#This Row],[PTS2]]/(3*Table3[[#This Row],[GP]])</f>
        <v>0.47619047619047616</v>
      </c>
      <c r="AS17">
        <f>(2*Table3[[#This Row],[GR]])+Table3[[#This Row],[PTS]]</f>
        <v>158</v>
      </c>
      <c r="AT17">
        <f>(3*Table3[[#This Row],[GR]])+Table3[[#This Row],[PTS2]]</f>
        <v>235</v>
      </c>
      <c r="AU17">
        <f>Table3[[#This Row],[PTS]]+(2 * Table3[[#This Row],[GR]] * Table3[[#This Row],[PTS%]])</f>
        <v>93.714285714285708</v>
      </c>
      <c r="AV17">
        <f>Table3[[#This Row],[PTS2]]+(3 * Table3[[#This Row],[GR]] * Table3[[#This Row],[PTS%2]])</f>
        <v>117.14285714285714</v>
      </c>
      <c r="AW17" s="15" t="str">
        <f>_xlfn.CONCAT(TEXT(Table3[[#This Row],[W]], "0"), "-", TEXT(Table3[[#This Row],[RL]],"0"), "-", TEXT(Table3[[#This Row],[OTL]]+Table3[[#This Row],[SOL]], "0"))</f>
        <v>3-2-2</v>
      </c>
      <c r="AX17">
        <f>COUNTIFS(DataRegularSeason20242025!$D$3:$D$1315,Table3[[#This Row],[Teams]],DataRegularSeason20242025!$K$3:$K$1315,0)</f>
        <v>0</v>
      </c>
      <c r="AY17">
        <f>SUMIF(DataRegularSeason20242025!$D$3:$D$1315,$A17, DataRegularSeason20242025!$J$3:$J$1315)</f>
        <v>13</v>
      </c>
      <c r="AZ17">
        <f>SUMIF(DataRegularSeason20242025!$D$3:$D$1315,$A17, DataRegularSeason20242025!$K$3:$K$1315)</f>
        <v>10</v>
      </c>
      <c r="BA17">
        <f t="shared" si="3"/>
        <v>3</v>
      </c>
      <c r="BB17">
        <f>COUNTIFS(DataRegularSeason20242025!$E$3:$E$1315,Table3[[#This Row],[Teams]],DataRegularSeason20242025!$J$3:$J$1315,0)</f>
        <v>0</v>
      </c>
      <c r="BC17">
        <f>SUMIF(DataRegularSeason20242025!$E$3:$E$1315,$A17,DataRegularSeason20242025!$K$3:$K$1315)</f>
        <v>9</v>
      </c>
      <c r="BD17">
        <f>SUMIF(DataRegularSeason20242025!$E$3:$E$1315,$A17,DataRegularSeason20242025!$J$3:$J$1315)</f>
        <v>8</v>
      </c>
      <c r="BE17">
        <f t="shared" si="4"/>
        <v>1</v>
      </c>
      <c r="BF17">
        <f t="shared" si="5"/>
        <v>22</v>
      </c>
      <c r="BG17">
        <f t="shared" si="6"/>
        <v>18</v>
      </c>
      <c r="BH17">
        <f t="shared" si="7"/>
        <v>4</v>
      </c>
      <c r="BI17" s="12">
        <f>Table3[[#This Row],[GF]]/Table3[[#This Row],[GP]]</f>
        <v>3.1428571428571428</v>
      </c>
      <c r="BJ17" s="12">
        <f>Table3[[#This Row],[GA]]/Table3[[#This Row],[GP]]</f>
        <v>2.5714285714285716</v>
      </c>
      <c r="BK17" s="12">
        <f>(Table3[[#This Row],[GF]]-Table3[[#This Row],[GA]])/Table3[[#This Row],[GP]]</f>
        <v>0.5714285714285714</v>
      </c>
      <c r="BL17" s="42" t="str">
        <f>_xlfn.CONCAT(TEXT(Table3[[#This Row],[W_H]], "0"), "-", TEXT(Table3[[#This Row],[RL_H]],"0"), "-", TEXT(Table3[[#This Row],[OTL_H]]+Table3[[#This Row],[SOL_H]], "0"))</f>
        <v>2-1-1</v>
      </c>
      <c r="BM17" s="42" t="str">
        <f>_xlfn.CONCAT(TEXT(Table3[[#This Row],[W_A]], "0"), "-", TEXT(Table3[[#This Row],[RL_A]],"0"), "-", TEXT(Table3[[#This Row],[OTL_A]]+Table3[[#This Row],[SOL_A]], "0"))</f>
        <v>1-1-1</v>
      </c>
      <c r="BN17" s="42">
        <f>((2*(Table3[[#This Row],[W_H]]))+Table3[[#This Row],[OTL_H]]+Table3[[#This Row],[SOL_H]])/(2*Table3[[#This Row],[GP_H]])</f>
        <v>0.625</v>
      </c>
      <c r="BO17" s="42">
        <f>((2*(Table3[[#This Row],[W_A]]))+Table3[[#This Row],[OTL_A]]+Table3[[#This Row],[SOL_A]])/(2*Table3[[#This Row],[GP_A]])</f>
        <v>0.5</v>
      </c>
      <c r="BP17" s="16">
        <f>(Table3[[#This Row],[W]]*$CX$3)+(Table3[[#This Row],[L]]*$CX$4)+(Table3[[#This Row],[GF]]*$CX$5)+(Table3[[#This Row],[GA]]*$CX$6)</f>
        <v>7.8</v>
      </c>
      <c r="BQ17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72.395918367346937</v>
      </c>
      <c r="BR17" s="16">
        <f>(Table3[[#This Row],[W]]*0.7) + ((Table3[[#This Row],[GF]] - Table3[[#This Row],[GA]])*0.25)+(Table3[[#This Row],[GF]]*0.1)+(Table3[[#This Row],[GA]]*0.05)+(Table3[[#This Row],[L]]*0.3)</f>
        <v>7.4</v>
      </c>
      <c r="BS17" s="16">
        <f>Table3[[#This Row],[TeamCost83]]/Table3[[#This Row],[GP]]</f>
        <v>1.0571428571428572</v>
      </c>
      <c r="BT17">
        <f>COUNTIFS(Table2[AwayTeam],$A17,Table2[PredictedWinner], $A17, Table2[GameIsOver], 1)</f>
        <v>0</v>
      </c>
      <c r="BU17">
        <f>COUNTIFS(Table2[HomeTeam],$A17,Table2[PredictedWinner], $A17, Table2[GameIsOver], 1)</f>
        <v>0</v>
      </c>
      <c r="BV17">
        <f t="shared" si="8"/>
        <v>0</v>
      </c>
      <c r="BW17">
        <f t="shared" si="9"/>
        <v>3</v>
      </c>
      <c r="BX17">
        <f t="shared" si="10"/>
        <v>4</v>
      </c>
      <c r="BY17">
        <f t="shared" si="11"/>
        <v>7</v>
      </c>
      <c r="BZ17">
        <f>Table3[[#This Row],[TimesPredictedWinner]]/Table3[[#This Row],[GP]]</f>
        <v>0</v>
      </c>
      <c r="CB17">
        <v>2015</v>
      </c>
      <c r="CC17" s="1">
        <v>45736</v>
      </c>
      <c r="CE17" t="str">
        <f>INDEX(Table2[AwayTeam], Table3[[#This Row],[Column2]])</f>
        <v>MIN</v>
      </c>
      <c r="CF17">
        <f>LARGE((Table2[[#This Row],[AwayTeam]]=Table3[[#This Row],[Teams]]), 1)</f>
        <v>0</v>
      </c>
      <c r="CI17">
        <f>SUMIFS(Table2[GamePredictionScore], Table2[AwayTeam], Table3[[#This Row],[Teams]])</f>
        <v>1.8</v>
      </c>
      <c r="CJ17">
        <f>SUMIFS(Table2[GamePredictionScore], Table2[HomeTeam], Table3[[#This Row],[Teams]])</f>
        <v>1.7000000000000002</v>
      </c>
      <c r="CK17">
        <f>Table3[[#This Row],[Column4]]+Table3[[#This Row],[Column3]]</f>
        <v>3.5</v>
      </c>
      <c r="CL17">
        <f>Table3[[#This Row],[Column5]]/Table3[[#This Row],[GP]]</f>
        <v>0.5</v>
      </c>
      <c r="CV17" s="81"/>
      <c r="CW17" s="59"/>
      <c r="CX17" s="58">
        <v>0</v>
      </c>
      <c r="CY17" s="58">
        <v>1</v>
      </c>
      <c r="CZ17" s="58">
        <v>2</v>
      </c>
      <c r="DA17" s="58">
        <v>3</v>
      </c>
      <c r="DB17" s="58">
        <v>4</v>
      </c>
      <c r="DC17" s="58">
        <v>5</v>
      </c>
      <c r="DD17" s="58">
        <v>6</v>
      </c>
      <c r="DE17" s="58">
        <v>7</v>
      </c>
      <c r="DF17" s="58">
        <v>8</v>
      </c>
      <c r="DG17" s="58">
        <v>9</v>
      </c>
      <c r="DH17" s="78">
        <v>10</v>
      </c>
      <c r="EB17" s="81"/>
      <c r="EC17" s="59"/>
      <c r="ED17" s="58">
        <v>0</v>
      </c>
      <c r="EE17" s="58">
        <v>1</v>
      </c>
      <c r="EF17" s="58">
        <v>2</v>
      </c>
      <c r="EG17" s="58">
        <v>3</v>
      </c>
      <c r="EH17" s="58">
        <v>4</v>
      </c>
      <c r="EI17" s="58">
        <v>5</v>
      </c>
      <c r="EJ17" s="58">
        <v>6</v>
      </c>
      <c r="EK17" s="58">
        <v>7</v>
      </c>
      <c r="EL17" s="58">
        <v>8</v>
      </c>
      <c r="EM17" s="58">
        <v>9</v>
      </c>
      <c r="EN17" s="78">
        <v>10</v>
      </c>
    </row>
    <row r="18" spans="1:144" ht="15.75" thickTop="1" x14ac:dyDescent="0.25">
      <c r="A18" t="s">
        <v>33</v>
      </c>
      <c r="B18" t="s">
        <v>90</v>
      </c>
      <c r="C18" t="s">
        <v>88</v>
      </c>
      <c r="D18">
        <f>COUNTIFS(DataRegularSeason20242025!$D$3:$D$1315,$A18,DataRegularSeason20242025!$R$3:$R$1315,1,DataRegularSeason20242025!$N$3:$N$1315,1) + COUNTIFS(DataRegularSeason20242025!$E$3:$E$1315,$A18,DataRegularSeason20242025!$R$3:$R$1315,1,DataRegularSeason20242025!$N$3:$N$1315,1)</f>
        <v>3</v>
      </c>
      <c r="E18" s="10">
        <f>Table3[[#This Row],[Watched]]/Table3[[#This Row],[GP]]</f>
        <v>0.5</v>
      </c>
      <c r="F18">
        <f>COUNTIFS(DataRegularSeason20242025!$N$3:$N$1315,1,DataRegularSeason20242025!$D$3:$D$1315,$A18)</f>
        <v>3</v>
      </c>
      <c r="G18">
        <f>41-Table3[[#This Row],[GP_A]]</f>
        <v>38</v>
      </c>
      <c r="H18">
        <f>COUNTIFS(DataRegularSeason20242025!$E$3:$E$1315,$A18,DataRegularSeason20242025!$N$3:$N$1315,1)</f>
        <v>3</v>
      </c>
      <c r="I18">
        <f>41-Table3[[#This Row],[GP_H]]</f>
        <v>38</v>
      </c>
      <c r="J18">
        <f t="shared" si="0"/>
        <v>6</v>
      </c>
      <c r="K18">
        <f>82-Table3[[#This Row],[GP]]</f>
        <v>76</v>
      </c>
      <c r="L18">
        <f>COUNTIFS(DataRegularSeason20242025!$D$3:$D$1315,$A18, DataRegularSeason20242025!$L$3:$L$1315, $A18,DataRegularSeason20242025!$N$3:$N$1315,1)</f>
        <v>2</v>
      </c>
      <c r="M18">
        <f>COUNTIFS(DataRegularSeason20242025!$D$3:$D$1315,$A18, DataRegularSeason20242025!$L$3:$L$1315, $A18,DataRegularSeason20242025!$N$3:$N$1315,1,DataRegularSeason20242025!$M$3:$M$1315,"REG")</f>
        <v>1</v>
      </c>
      <c r="N18">
        <f>COUNTIFS(DataRegularSeason20242025!$D$3:$D$1315,$A18, DataRegularSeason20242025!$L$3:$L$1315, $A18,DataRegularSeason20242025!$N$3:$N$1315,1,DataRegularSeason20242025!$M$3:$M$1315,"OT")</f>
        <v>0</v>
      </c>
      <c r="O18">
        <f>COUNTIFS(DataRegularSeason20242025!$D$3:$D$1315,$A18, DataRegularSeason20242025!$L$3:$L$1315, $A18,DataRegularSeason20242025!$N$3:$N$1315,1,DataRegularSeason20242025!$M$3:$M$1315,"SO")</f>
        <v>1</v>
      </c>
      <c r="P18">
        <f t="shared" si="1"/>
        <v>1</v>
      </c>
      <c r="Q18">
        <f>COUNTIFS(DataRegularSeason20242025!$D$3:$D$1315,$A18, DataRegularSeason20242025!$S$3:$S$1315, $A18,DataRegularSeason20242025!$M$3:$M$1315,"REG")</f>
        <v>1</v>
      </c>
      <c r="R18">
        <f>COUNTIFS(DataRegularSeason20242025!$D$3:$D$1315,$A18, DataRegularSeason20242025!$S$3:$S$1315, $A18,DataRegularSeason20242025!$M$3:$M$1315,"OT")</f>
        <v>0</v>
      </c>
      <c r="S18">
        <f>COUNTIFS(DataRegularSeason20242025!$D$3:$D$1315,$A18, DataRegularSeason20242025!$S$3:$S$1315, $A18,DataRegularSeason20242025!$M$3:$M$1315,"SO")</f>
        <v>0</v>
      </c>
      <c r="T18">
        <f>COUNTIFS(DataRegularSeason20242025!$E$3:$E$1315,$A18, DataRegularSeason20242025!$L$3:$L$1315, $A18, DataRegularSeason20242025!$N$3:$N$1315,1)</f>
        <v>1</v>
      </c>
      <c r="U18">
        <f>COUNTIFS(DataRegularSeason20242025!$E$3:$E$1315,$A18, DataRegularSeason20242025!$L$3:$L$1315, $A18,DataRegularSeason20242025!$N$3:$N$1315,1,DataRegularSeason20242025!$M$3:$M$1315,"REG")</f>
        <v>1</v>
      </c>
      <c r="V18">
        <f>COUNTIFS(DataRegularSeason20242025!$E$3:$E$1315,$A18, DataRegularSeason20242025!$L$3:$L$1315, $A18,DataRegularSeason20242025!$N$3:$N$1315,1,DataRegularSeason20242025!$M$3:$M$1315,"OT")</f>
        <v>0</v>
      </c>
      <c r="W18">
        <f>COUNTIFS(DataRegularSeason20242025!$E$3:$E$1315,$A18, DataRegularSeason20242025!$L$3:$L$1315, $A18,DataRegularSeason20242025!$N$3:$N$1315,1,DataRegularSeason20242025!$M$3:$M$1315,"SO")</f>
        <v>0</v>
      </c>
      <c r="X18">
        <f t="shared" si="2"/>
        <v>2</v>
      </c>
      <c r="Y18">
        <f>COUNTIFS(DataRegularSeason20242025!$E$3:$E$1315,$A18, DataRegularSeason20242025!$S$3:$S$1315, $A18,DataRegularSeason20242025!$M$3:$M$1315,"REG")</f>
        <v>2</v>
      </c>
      <c r="Z18">
        <f>COUNTIFS(DataRegularSeason20242025!$E$3:$E$1315,$A18, DataRegularSeason20242025!$S$3:$S$1315, $A18,DataRegularSeason20242025!$M$3:$M$1315,"OT")</f>
        <v>0</v>
      </c>
      <c r="AA18">
        <f>COUNTIFS(DataRegularSeason20242025!$E$3:$E$1315,$A18, DataRegularSeason20242025!$S$3:$S$1315, $A18,DataRegularSeason20242025!$M$3:$M$1315,"SO")</f>
        <v>0</v>
      </c>
      <c r="AB18">
        <f>Table3[[#This Row],[W]]/MAX(1,Table3[[#This Row],[W]]+Table3[[#This Row],[L]])</f>
        <v>0.5</v>
      </c>
      <c r="AC18">
        <f>Table3[[#This Row],[W_A]]+Table3[[#This Row],[W_H]]</f>
        <v>3</v>
      </c>
      <c r="AD18">
        <f>Table3[[#This Row],[L_A]]+Table3[[#This Row],[L_H]]</f>
        <v>3</v>
      </c>
      <c r="AE18">
        <f>Table3[[#This Row],[RW_A]]+Table3[[#This Row],[RW_H]]</f>
        <v>2</v>
      </c>
      <c r="AF18">
        <f>Table3[[#This Row],[RL_A]]+Table3[[#This Row],[RL_H]]</f>
        <v>3</v>
      </c>
      <c r="AG18">
        <f>Table3[[#This Row],[OTW_A]]+Table3[[#This Row],[OTW_H]]</f>
        <v>0</v>
      </c>
      <c r="AH18">
        <f>Table3[[#This Row],[OTL_A]]+Table3[[#This Row],[OTL_H]]</f>
        <v>0</v>
      </c>
      <c r="AI18">
        <f>Table3[[#This Row],[SOW_A]]+Table3[[#This Row],[SOW_H]]</f>
        <v>1</v>
      </c>
      <c r="AJ18">
        <f>Table3[[#This Row],[SOL_A]]+Table3[[#This Row],[SOL_H]]</f>
        <v>0</v>
      </c>
      <c r="AK18" s="15" t="str">
        <f>_xlfn.CONCAT(TEXT(Table3[[#This Row],[OTW]]+Table3[[#This Row],[SOW]], "0"), "-", TEXT(Table3[[#This Row],[OTL]]+Table3[[#This Row],[SOL]],"0"))</f>
        <v>1-0</v>
      </c>
      <c r="AL18">
        <f>SUM(Table3[[#This Row],[OTW]],Table3[[#This Row],[OTL]],Table3[[#This Row],[SOW]],Table3[[#This Row],[SOL]])</f>
        <v>1</v>
      </c>
      <c r="AM18">
        <f>(Table3[[#This Row],[OTW]]+Table3[[#This Row],[SOW]])/IF(Table3[[#This Row],[Total_ExtraTimes]]=0,1,Table3[[#This Row],[Total_ExtraTimes]])</f>
        <v>1</v>
      </c>
      <c r="AN18">
        <f>Table3[[#This Row],[Total_ExtraTimes]]/MAX(1,Table3[[#This Row],[GP]])</f>
        <v>0.16666666666666666</v>
      </c>
      <c r="AO18">
        <f>(2*(Table3[[#This Row],[W_A]]+Table3[[#This Row],[W_H]]))+Table3[[#This Row],[OTL_A]]+Table3[[#This Row],[SOL_A]]+Table3[[#This Row],[OTL_H]]+Table3[[#This Row],[SOL_H]]</f>
        <v>6</v>
      </c>
      <c r="AP18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8</v>
      </c>
      <c r="AQ18" s="10">
        <f>Table3[[#This Row],[PTS]]/(2*Table3[[#This Row],[GP]])</f>
        <v>0.5</v>
      </c>
      <c r="AR18" s="10">
        <f>Table3[[#This Row],[PTS2]]/(3*Table3[[#This Row],[GP]])</f>
        <v>0.44444444444444442</v>
      </c>
      <c r="AS18">
        <f>(2*Table3[[#This Row],[GR]])+Table3[[#This Row],[PTS]]</f>
        <v>158</v>
      </c>
      <c r="AT18">
        <f>(3*Table3[[#This Row],[GR]])+Table3[[#This Row],[PTS2]]</f>
        <v>236</v>
      </c>
      <c r="AU18">
        <f>Table3[[#This Row],[PTS]]+(2 * Table3[[#This Row],[GR]] * Table3[[#This Row],[PTS%]])</f>
        <v>82</v>
      </c>
      <c r="AV18">
        <f>Table3[[#This Row],[PTS2]]+(3 * Table3[[#This Row],[GR]] * Table3[[#This Row],[PTS%2]])</f>
        <v>109.33333333333333</v>
      </c>
      <c r="AW18" s="15" t="str">
        <f>_xlfn.CONCAT(TEXT(Table3[[#This Row],[W]], "0"), "-", TEXT(Table3[[#This Row],[RL]],"0"), "-", TEXT(Table3[[#This Row],[OTL]]+Table3[[#This Row],[SOL]], "0"))</f>
        <v>3-3-0</v>
      </c>
      <c r="AX18">
        <f>COUNTIFS(DataRegularSeason20242025!$D$3:$D$1315,Table3[[#This Row],[Teams]],DataRegularSeason20242025!$K$3:$K$1315,0)</f>
        <v>0</v>
      </c>
      <c r="AY18">
        <f>SUMIF(DataRegularSeason20242025!$D$3:$D$1315,$A18, DataRegularSeason20242025!$J$3:$J$1315)</f>
        <v>11</v>
      </c>
      <c r="AZ18">
        <f>SUMIF(DataRegularSeason20242025!$D$3:$D$1315,$A18, DataRegularSeason20242025!$K$3:$K$1315)</f>
        <v>11</v>
      </c>
      <c r="BA18">
        <f t="shared" si="3"/>
        <v>0</v>
      </c>
      <c r="BB18">
        <f>COUNTIFS(DataRegularSeason20242025!$E$3:$E$1315,Table3[[#This Row],[Teams]],DataRegularSeason20242025!$J$3:$J$1315,0)</f>
        <v>0</v>
      </c>
      <c r="BC18">
        <f>SUMIF(DataRegularSeason20242025!$E$3:$E$1315,$A18,DataRegularSeason20242025!$K$3:$K$1315)</f>
        <v>9</v>
      </c>
      <c r="BD18">
        <f>SUMIF(DataRegularSeason20242025!$E$3:$E$1315,$A18,DataRegularSeason20242025!$J$3:$J$1315)</f>
        <v>12</v>
      </c>
      <c r="BE18">
        <f t="shared" si="4"/>
        <v>-3</v>
      </c>
      <c r="BF18">
        <f t="shared" si="5"/>
        <v>20</v>
      </c>
      <c r="BG18">
        <f t="shared" si="6"/>
        <v>23</v>
      </c>
      <c r="BH18">
        <f t="shared" si="7"/>
        <v>-3</v>
      </c>
      <c r="BI18" s="12">
        <f>Table3[[#This Row],[GF]]/Table3[[#This Row],[GP]]</f>
        <v>3.3333333333333335</v>
      </c>
      <c r="BJ18" s="12">
        <f>Table3[[#This Row],[GA]]/Table3[[#This Row],[GP]]</f>
        <v>3.8333333333333335</v>
      </c>
      <c r="BK18" s="12">
        <f>(Table3[[#This Row],[GF]]-Table3[[#This Row],[GA]])/Table3[[#This Row],[GP]]</f>
        <v>-0.5</v>
      </c>
      <c r="BL18" s="42" t="str">
        <f>_xlfn.CONCAT(TEXT(Table3[[#This Row],[W_H]], "0"), "-", TEXT(Table3[[#This Row],[RL_H]],"0"), "-", TEXT(Table3[[#This Row],[OTL_H]]+Table3[[#This Row],[SOL_H]], "0"))</f>
        <v>1-2-0</v>
      </c>
      <c r="BM18" s="42" t="str">
        <f>_xlfn.CONCAT(TEXT(Table3[[#This Row],[W_A]], "0"), "-", TEXT(Table3[[#This Row],[RL_A]],"0"), "-", TEXT(Table3[[#This Row],[OTL_A]]+Table3[[#This Row],[SOL_A]], "0"))</f>
        <v>2-1-0</v>
      </c>
      <c r="BN18" s="42">
        <f>((2*(Table3[[#This Row],[W_H]]))+Table3[[#This Row],[OTL_H]]+Table3[[#This Row],[SOL_H]])/(2*Table3[[#This Row],[GP_H]])</f>
        <v>0.33333333333333331</v>
      </c>
      <c r="BO18" s="42">
        <f>((2*(Table3[[#This Row],[W_A]]))+Table3[[#This Row],[OTL_A]]+Table3[[#This Row],[SOL_A]])/(2*Table3[[#This Row],[GP_A]])</f>
        <v>0.66666666666666663</v>
      </c>
      <c r="BP18" s="16">
        <f>(Table3[[#This Row],[W]]*$CX$3)+(Table3[[#This Row],[L]]*$CX$4)+(Table3[[#This Row],[GF]]*$CX$5)+(Table3[[#This Row],[GA]]*$CX$6)</f>
        <v>7.7000000000000011</v>
      </c>
      <c r="BQ18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85.600000000000009</v>
      </c>
      <c r="BR18" s="16">
        <f>(Table3[[#This Row],[W]]*0.7) + ((Table3[[#This Row],[GF]] - Table3[[#This Row],[GA]])*0.25)+(Table3[[#This Row],[GF]]*0.1)+(Table3[[#This Row],[GA]]*0.05)+(Table3[[#This Row],[L]]*0.3)</f>
        <v>5.4</v>
      </c>
      <c r="BS18" s="16">
        <f>Table3[[#This Row],[TeamCost83]]/Table3[[#This Row],[GP]]</f>
        <v>0.9</v>
      </c>
      <c r="BT18">
        <f>COUNTIFS(Table2[AwayTeam],$A18,Table2[PredictedWinner], $A18, Table2[GameIsOver], 1)</f>
        <v>2</v>
      </c>
      <c r="BU18">
        <f>COUNTIFS(Table2[HomeTeam],$A18,Table2[PredictedWinner], $A18, Table2[GameIsOver], 1)</f>
        <v>3</v>
      </c>
      <c r="BV18">
        <f t="shared" si="8"/>
        <v>5</v>
      </c>
      <c r="BW18">
        <f t="shared" si="9"/>
        <v>1</v>
      </c>
      <c r="BX18">
        <f t="shared" si="10"/>
        <v>0</v>
      </c>
      <c r="BY18">
        <f t="shared" si="11"/>
        <v>1</v>
      </c>
      <c r="BZ18">
        <f>Table3[[#This Row],[TimesPredictedWinner]]/Table3[[#This Row],[GP]]</f>
        <v>0.83333333333333337</v>
      </c>
      <c r="CB18">
        <v>1999</v>
      </c>
      <c r="CD18" s="1">
        <v>45745</v>
      </c>
      <c r="CE18" t="str">
        <f>INDEX(Table2[AwayTeam], Table3[[#This Row],[Column2]])</f>
        <v>CBJ</v>
      </c>
      <c r="CF18">
        <f>LARGE((Table2[[#This Row],[AwayTeam]]=Table3[[#This Row],[Teams]]), 1)</f>
        <v>0</v>
      </c>
      <c r="CI18">
        <f>SUMIFS(Table2[GamePredictionScore], Table2[AwayTeam], Table3[[#This Row],[Teams]])</f>
        <v>0.8</v>
      </c>
      <c r="CJ18">
        <f>SUMIFS(Table2[GamePredictionScore], Table2[HomeTeam], Table3[[#This Row],[Teams]])</f>
        <v>1</v>
      </c>
      <c r="CK18">
        <f>Table3[[#This Row],[Column4]]+Table3[[#This Row],[Column3]]</f>
        <v>1.8</v>
      </c>
      <c r="CL18">
        <f>Table3[[#This Row],[Column5]]/Table3[[#This Row],[GP]]</f>
        <v>0.3</v>
      </c>
      <c r="CR18">
        <f>LARGE($AO$2:$AO$33,1)</f>
        <v>12</v>
      </c>
      <c r="CV18" s="72" t="s">
        <v>491</v>
      </c>
      <c r="CW18" s="57">
        <v>0</v>
      </c>
      <c r="CX18" s="73"/>
      <c r="CY18" s="16">
        <f>($CW18*$CX$5)+(CY$17*$CX$6) + IF($CW18&gt;CY$17,$CX$3,$CX$4)</f>
        <v>0.4</v>
      </c>
      <c r="CZ18" s="16">
        <f t="shared" ref="CZ18:DH21" si="12">($CW18*$CX$5)+(CZ$17*$CX$6) + IF($CW18&gt;CZ$17,$CX$3,$CX$4)</f>
        <v>0.5</v>
      </c>
      <c r="DA18" s="16">
        <f t="shared" si="12"/>
        <v>0.60000000000000009</v>
      </c>
      <c r="DB18" s="16">
        <f t="shared" si="12"/>
        <v>0.7</v>
      </c>
      <c r="DC18" s="16">
        <f t="shared" si="12"/>
        <v>0.8</v>
      </c>
      <c r="DD18" s="16">
        <f t="shared" si="12"/>
        <v>0.90000000000000013</v>
      </c>
      <c r="DE18" s="16">
        <f t="shared" si="12"/>
        <v>1</v>
      </c>
      <c r="DF18" s="16">
        <f t="shared" si="12"/>
        <v>1.1000000000000001</v>
      </c>
      <c r="DG18" s="16">
        <f t="shared" si="12"/>
        <v>1.2</v>
      </c>
      <c r="DH18" s="74">
        <f t="shared" si="12"/>
        <v>1.3</v>
      </c>
      <c r="EB18" s="72" t="s">
        <v>491</v>
      </c>
      <c r="EC18" s="57">
        <v>0</v>
      </c>
      <c r="ED18" s="16">
        <f>(IF($EC18&gt;EC$17, 1, 0)*0.7) + (($EC18 - EC$17)*0.25)+($EC18*0.1)+(EC$17*0.05)+(IF($EC18&gt;EC$17, 1, 0)*0.3)</f>
        <v>0</v>
      </c>
      <c r="EE18" s="16">
        <f>(IF($EC18&gt;ED$17, 1, 0)*0.7) + (($EC18 - ED$17)*0.25)+($EC18*0.1)+(ED$17*0.05)+(IF($EC18&gt;ED$17, 1, 0)*0.3)</f>
        <v>0</v>
      </c>
      <c r="EF18" s="16">
        <f t="shared" ref="EF18:EN18" si="13">(IF($EC18&gt;EE$17, 1, 0)*0.7) + (($EC18 - EE$17)*0.25)+($EC18*0.1)+(EE$17*0.05)+(IF($EC18&gt;EE$17, 1, 0)*0.3)</f>
        <v>-0.2</v>
      </c>
      <c r="EG18" s="16">
        <f t="shared" si="13"/>
        <v>-0.4</v>
      </c>
      <c r="EH18" s="16">
        <f t="shared" si="13"/>
        <v>-0.6</v>
      </c>
      <c r="EI18" s="16">
        <f t="shared" si="13"/>
        <v>-0.8</v>
      </c>
      <c r="EJ18" s="16">
        <f t="shared" si="13"/>
        <v>-1</v>
      </c>
      <c r="EK18" s="16">
        <f t="shared" si="13"/>
        <v>-1.2</v>
      </c>
      <c r="EL18" s="16">
        <f t="shared" si="13"/>
        <v>-1.4</v>
      </c>
      <c r="EM18" s="16">
        <f t="shared" si="13"/>
        <v>-1.6</v>
      </c>
      <c r="EN18" s="16">
        <f t="shared" si="13"/>
        <v>-1.8</v>
      </c>
    </row>
    <row r="19" spans="1:144" x14ac:dyDescent="0.25">
      <c r="A19" t="s">
        <v>17</v>
      </c>
      <c r="B19" t="s">
        <v>91</v>
      </c>
      <c r="C19" t="s">
        <v>74</v>
      </c>
      <c r="D19">
        <f>COUNTIFS(DataRegularSeason20242025!$D$3:$D$1315,$A19,DataRegularSeason20242025!$R$3:$R$1315,1,DataRegularSeason20242025!$N$3:$N$1315,1) + COUNTIFS(DataRegularSeason20242025!$E$3:$E$1315,$A19,DataRegularSeason20242025!$R$3:$R$1315,1,DataRegularSeason20242025!$N$3:$N$1315,1)</f>
        <v>7</v>
      </c>
      <c r="E19" s="10">
        <f>Table3[[#This Row],[Watched]]/Table3[[#This Row],[GP]]</f>
        <v>1</v>
      </c>
      <c r="F19">
        <f>COUNTIFS(DataRegularSeason20242025!$N$3:$N$1315,1,DataRegularSeason20242025!$D$3:$D$1315,$A19)</f>
        <v>1</v>
      </c>
      <c r="G19">
        <f>41-Table3[[#This Row],[GP_A]]</f>
        <v>40</v>
      </c>
      <c r="H19">
        <f>COUNTIFS(DataRegularSeason20242025!$E$3:$E$1315,$A19,DataRegularSeason20242025!$N$3:$N$1315,1)</f>
        <v>6</v>
      </c>
      <c r="I19">
        <f>41-Table3[[#This Row],[GP_H]]</f>
        <v>35</v>
      </c>
      <c r="J19">
        <f t="shared" si="0"/>
        <v>7</v>
      </c>
      <c r="K19">
        <f>82-Table3[[#This Row],[GP]]</f>
        <v>75</v>
      </c>
      <c r="L19">
        <f>COUNTIFS(DataRegularSeason20242025!$D$3:$D$1315,$A19, DataRegularSeason20242025!$L$3:$L$1315, $A19,DataRegularSeason20242025!$N$3:$N$1315,1)</f>
        <v>0</v>
      </c>
      <c r="M19">
        <f>COUNTIFS(DataRegularSeason20242025!$D$3:$D$1315,$A19, DataRegularSeason20242025!$L$3:$L$1315, $A19,DataRegularSeason20242025!$N$3:$N$1315,1,DataRegularSeason20242025!$M$3:$M$1315,"REG")</f>
        <v>0</v>
      </c>
      <c r="N19">
        <f>COUNTIFS(DataRegularSeason20242025!$D$3:$D$1315,$A19, DataRegularSeason20242025!$L$3:$L$1315, $A19,DataRegularSeason20242025!$N$3:$N$1315,1,DataRegularSeason20242025!$M$3:$M$1315,"OT")</f>
        <v>0</v>
      </c>
      <c r="O19">
        <f>COUNTIFS(DataRegularSeason20242025!$D$3:$D$1315,$A19, DataRegularSeason20242025!$L$3:$L$1315, $A19,DataRegularSeason20242025!$N$3:$N$1315,1,DataRegularSeason20242025!$M$3:$M$1315,"SO")</f>
        <v>0</v>
      </c>
      <c r="P19">
        <f t="shared" si="1"/>
        <v>1</v>
      </c>
      <c r="Q19">
        <f>COUNTIFS(DataRegularSeason20242025!$D$3:$D$1315,$A19, DataRegularSeason20242025!$S$3:$S$1315, $A19,DataRegularSeason20242025!$M$3:$M$1315,"REG")</f>
        <v>1</v>
      </c>
      <c r="R19">
        <f>COUNTIFS(DataRegularSeason20242025!$D$3:$D$1315,$A19, DataRegularSeason20242025!$S$3:$S$1315, $A19,DataRegularSeason20242025!$M$3:$M$1315,"OT")</f>
        <v>0</v>
      </c>
      <c r="S19">
        <f>COUNTIFS(DataRegularSeason20242025!$D$3:$D$1315,$A19, DataRegularSeason20242025!$S$3:$S$1315, $A19,DataRegularSeason20242025!$M$3:$M$1315,"SO")</f>
        <v>0</v>
      </c>
      <c r="T19">
        <f>COUNTIFS(DataRegularSeason20242025!$E$3:$E$1315,$A19, DataRegularSeason20242025!$L$3:$L$1315, $A19, DataRegularSeason20242025!$N$3:$N$1315,1)</f>
        <v>3</v>
      </c>
      <c r="U19">
        <f>COUNTIFS(DataRegularSeason20242025!$E$3:$E$1315,$A19, DataRegularSeason20242025!$L$3:$L$1315, $A19,DataRegularSeason20242025!$N$3:$N$1315,1,DataRegularSeason20242025!$M$3:$M$1315,"REG")</f>
        <v>2</v>
      </c>
      <c r="V19">
        <f>COUNTIFS(DataRegularSeason20242025!$E$3:$E$1315,$A19, DataRegularSeason20242025!$L$3:$L$1315, $A19,DataRegularSeason20242025!$N$3:$N$1315,1,DataRegularSeason20242025!$M$3:$M$1315,"OT")</f>
        <v>1</v>
      </c>
      <c r="W19">
        <f>COUNTIFS(DataRegularSeason20242025!$E$3:$E$1315,$A19, DataRegularSeason20242025!$L$3:$L$1315, $A19,DataRegularSeason20242025!$N$3:$N$1315,1,DataRegularSeason20242025!$M$3:$M$1315,"SO")</f>
        <v>0</v>
      </c>
      <c r="X19">
        <f t="shared" si="2"/>
        <v>3</v>
      </c>
      <c r="Y19">
        <f>COUNTIFS(DataRegularSeason20242025!$E$3:$E$1315,$A19, DataRegularSeason20242025!$S$3:$S$1315, $A19,DataRegularSeason20242025!$M$3:$M$1315,"REG")</f>
        <v>2</v>
      </c>
      <c r="Z19">
        <f>COUNTIFS(DataRegularSeason20242025!$E$3:$E$1315,$A19, DataRegularSeason20242025!$S$3:$S$1315, $A19,DataRegularSeason20242025!$M$3:$M$1315,"OT")</f>
        <v>1</v>
      </c>
      <c r="AA19">
        <f>COUNTIFS(DataRegularSeason20242025!$E$3:$E$1315,$A19, DataRegularSeason20242025!$S$3:$S$1315, $A19,DataRegularSeason20242025!$M$3:$M$1315,"SO")</f>
        <v>0</v>
      </c>
      <c r="AB19">
        <f>Table3[[#This Row],[W]]/MAX(1,Table3[[#This Row],[W]]+Table3[[#This Row],[L]])</f>
        <v>0.42857142857142855</v>
      </c>
      <c r="AC19">
        <f>Table3[[#This Row],[W_A]]+Table3[[#This Row],[W_H]]</f>
        <v>3</v>
      </c>
      <c r="AD19">
        <f>Table3[[#This Row],[L_A]]+Table3[[#This Row],[L_H]]</f>
        <v>4</v>
      </c>
      <c r="AE19">
        <f>Table3[[#This Row],[RW_A]]+Table3[[#This Row],[RW_H]]</f>
        <v>2</v>
      </c>
      <c r="AF19">
        <f>Table3[[#This Row],[RL_A]]+Table3[[#This Row],[RL_H]]</f>
        <v>3</v>
      </c>
      <c r="AG19">
        <f>Table3[[#This Row],[OTW_A]]+Table3[[#This Row],[OTW_H]]</f>
        <v>1</v>
      </c>
      <c r="AH19">
        <f>Table3[[#This Row],[OTL_A]]+Table3[[#This Row],[OTL_H]]</f>
        <v>1</v>
      </c>
      <c r="AI19">
        <f>Table3[[#This Row],[SOW_A]]+Table3[[#This Row],[SOW_H]]</f>
        <v>0</v>
      </c>
      <c r="AJ19">
        <f>Table3[[#This Row],[SOL_A]]+Table3[[#This Row],[SOL_H]]</f>
        <v>0</v>
      </c>
      <c r="AK19" s="15" t="str">
        <f>_xlfn.CONCAT(TEXT(Table3[[#This Row],[OTW]]+Table3[[#This Row],[SOW]], "0"), "-", TEXT(Table3[[#This Row],[OTL]]+Table3[[#This Row],[SOL]],"0"))</f>
        <v>1-1</v>
      </c>
      <c r="AL19">
        <f>SUM(Table3[[#This Row],[OTW]],Table3[[#This Row],[OTL]],Table3[[#This Row],[SOW]],Table3[[#This Row],[SOL]])</f>
        <v>2</v>
      </c>
      <c r="AM19">
        <f>(Table3[[#This Row],[OTW]]+Table3[[#This Row],[SOW]])/IF(Table3[[#This Row],[Total_ExtraTimes]]=0,1,Table3[[#This Row],[Total_ExtraTimes]])</f>
        <v>0.5</v>
      </c>
      <c r="AN19">
        <f>Table3[[#This Row],[Total_ExtraTimes]]/MAX(1,Table3[[#This Row],[GP]])</f>
        <v>0.2857142857142857</v>
      </c>
      <c r="AO19">
        <f>(2*(Table3[[#This Row],[W_A]]+Table3[[#This Row],[W_H]]))+Table3[[#This Row],[OTL_A]]+Table3[[#This Row],[SOL_A]]+Table3[[#This Row],[OTL_H]]+Table3[[#This Row],[SOL_H]]</f>
        <v>7</v>
      </c>
      <c r="AP19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9</v>
      </c>
      <c r="AQ19" s="10">
        <f>Table3[[#This Row],[PTS]]/(2*Table3[[#This Row],[GP]])</f>
        <v>0.5</v>
      </c>
      <c r="AR19" s="10">
        <f>Table3[[#This Row],[PTS2]]/(3*Table3[[#This Row],[GP]])</f>
        <v>0.42857142857142855</v>
      </c>
      <c r="AS19">
        <f>(2*Table3[[#This Row],[GR]])+Table3[[#This Row],[PTS]]</f>
        <v>157</v>
      </c>
      <c r="AT19">
        <f>(3*Table3[[#This Row],[GR]])+Table3[[#This Row],[PTS2]]</f>
        <v>234</v>
      </c>
      <c r="AU19">
        <f>Table3[[#This Row],[PTS]]+(2 * Table3[[#This Row],[GR]] * Table3[[#This Row],[PTS%]])</f>
        <v>82</v>
      </c>
      <c r="AV19">
        <f>Table3[[#This Row],[PTS2]]+(3 * Table3[[#This Row],[GR]] * Table3[[#This Row],[PTS%2]])</f>
        <v>105.42857142857142</v>
      </c>
      <c r="AW19" s="15" t="str">
        <f>_xlfn.CONCAT(TEXT(Table3[[#This Row],[W]], "0"), "-", TEXT(Table3[[#This Row],[RL]],"0"), "-", TEXT(Table3[[#This Row],[OTL]]+Table3[[#This Row],[SOL]], "0"))</f>
        <v>3-3-1</v>
      </c>
      <c r="AX19">
        <f>COUNTIFS(DataRegularSeason20242025!$D$3:$D$1315,Table3[[#This Row],[Teams]],DataRegularSeason20242025!$K$3:$K$1315,0)</f>
        <v>0</v>
      </c>
      <c r="AY19">
        <f>SUMIF(DataRegularSeason20242025!$D$3:$D$1315,$A19, DataRegularSeason20242025!$J$3:$J$1315)</f>
        <v>3</v>
      </c>
      <c r="AZ19">
        <f>SUMIF(DataRegularSeason20242025!$D$3:$D$1315,$A19, DataRegularSeason20242025!$K$3:$K$1315)</f>
        <v>6</v>
      </c>
      <c r="BA19">
        <f t="shared" si="3"/>
        <v>-3</v>
      </c>
      <c r="BB19">
        <f>COUNTIFS(DataRegularSeason20242025!$E$3:$E$1315,Table3[[#This Row],[Teams]],DataRegularSeason20242025!$J$3:$J$1315,0)</f>
        <v>0</v>
      </c>
      <c r="BC19">
        <f>SUMIF(DataRegularSeason20242025!$E$3:$E$1315,$A19,DataRegularSeason20242025!$K$3:$K$1315)</f>
        <v>21</v>
      </c>
      <c r="BD19">
        <f>SUMIF(DataRegularSeason20242025!$E$3:$E$1315,$A19,DataRegularSeason20242025!$J$3:$J$1315)</f>
        <v>19</v>
      </c>
      <c r="BE19">
        <f t="shared" si="4"/>
        <v>2</v>
      </c>
      <c r="BF19">
        <f t="shared" si="5"/>
        <v>24</v>
      </c>
      <c r="BG19">
        <f t="shared" si="6"/>
        <v>25</v>
      </c>
      <c r="BH19">
        <f t="shared" si="7"/>
        <v>-1</v>
      </c>
      <c r="BI19" s="12">
        <f>Table3[[#This Row],[GF]]/Table3[[#This Row],[GP]]</f>
        <v>3.4285714285714284</v>
      </c>
      <c r="BJ19" s="12">
        <f>Table3[[#This Row],[GA]]/Table3[[#This Row],[GP]]</f>
        <v>3.5714285714285716</v>
      </c>
      <c r="BK19" s="12">
        <f>(Table3[[#This Row],[GF]]-Table3[[#This Row],[GA]])/Table3[[#This Row],[GP]]</f>
        <v>-0.14285714285714285</v>
      </c>
      <c r="BL19" s="42" t="str">
        <f>_xlfn.CONCAT(TEXT(Table3[[#This Row],[W_H]], "0"), "-", TEXT(Table3[[#This Row],[RL_H]],"0"), "-", TEXT(Table3[[#This Row],[OTL_H]]+Table3[[#This Row],[SOL_H]], "0"))</f>
        <v>3-2-1</v>
      </c>
      <c r="BM19" s="42" t="str">
        <f>_xlfn.CONCAT(TEXT(Table3[[#This Row],[W_A]], "0"), "-", TEXT(Table3[[#This Row],[RL_A]],"0"), "-", TEXT(Table3[[#This Row],[OTL_A]]+Table3[[#This Row],[SOL_A]], "0"))</f>
        <v>0-1-0</v>
      </c>
      <c r="BN19" s="42">
        <f>((2*(Table3[[#This Row],[W_H]]))+Table3[[#This Row],[OTL_H]]+Table3[[#This Row],[SOL_H]])/(2*Table3[[#This Row],[GP_H]])</f>
        <v>0.58333333333333337</v>
      </c>
      <c r="BO19" s="42">
        <f>((2*(Table3[[#This Row],[W_A]]))+Table3[[#This Row],[OTL_A]]+Table3[[#This Row],[SOL_A]])/(2*Table3[[#This Row],[GP_A]])</f>
        <v>0</v>
      </c>
      <c r="BP19" s="16">
        <f>(Table3[[#This Row],[W]]*$CX$3)+(Table3[[#This Row],[L]]*$CX$4)+(Table3[[#This Row],[GF]]*$CX$5)+(Table3[[#This Row],[GA]]*$CX$6)</f>
        <v>8.8000000000000007</v>
      </c>
      <c r="BQ19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84.942857142857136</v>
      </c>
      <c r="BR19" s="16">
        <f>(Table3[[#This Row],[W]]*0.7) + ((Table3[[#This Row],[GF]] - Table3[[#This Row],[GA]])*0.25)+(Table3[[#This Row],[GF]]*0.1)+(Table3[[#This Row],[GA]]*0.05)+(Table3[[#This Row],[L]]*0.3)</f>
        <v>6.7</v>
      </c>
      <c r="BS19" s="16">
        <f>Table3[[#This Row],[TeamCost83]]/Table3[[#This Row],[GP]]</f>
        <v>0.95714285714285718</v>
      </c>
      <c r="BT19">
        <f>COUNTIFS(Table2[AwayTeam],$A19,Table2[PredictedWinner], $A19, Table2[GameIsOver], 1)</f>
        <v>1</v>
      </c>
      <c r="BU19">
        <f>COUNTIFS(Table2[HomeTeam],$A19,Table2[PredictedWinner], $A19, Table2[GameIsOver], 1)</f>
        <v>3</v>
      </c>
      <c r="BV19">
        <f t="shared" si="8"/>
        <v>4</v>
      </c>
      <c r="BW19">
        <f t="shared" si="9"/>
        <v>0</v>
      </c>
      <c r="BX19">
        <f t="shared" si="10"/>
        <v>3</v>
      </c>
      <c r="BY19">
        <f t="shared" si="11"/>
        <v>3</v>
      </c>
      <c r="BZ19">
        <f>Table3[[#This Row],[TimesPredictedWinner]]/Table3[[#This Row],[GP]]</f>
        <v>0.5714285714285714</v>
      </c>
      <c r="CB19">
        <v>1967</v>
      </c>
      <c r="CD19" s="1">
        <v>45749</v>
      </c>
      <c r="CE19" t="str">
        <f>INDEX(Table2[AwayTeam], Table3[[#This Row],[Column2]])</f>
        <v>DAL</v>
      </c>
      <c r="CF19">
        <f>LARGE((Table2[[#This Row],[AwayTeam]]=Table3[[#This Row],[Teams]]), 1)</f>
        <v>0</v>
      </c>
      <c r="CI19">
        <f>SUMIFS(Table2[GamePredictionScore], Table2[AwayTeam], Table3[[#This Row],[Teams]])</f>
        <v>0</v>
      </c>
      <c r="CJ19">
        <f>SUMIFS(Table2[GamePredictionScore], Table2[HomeTeam], Table3[[#This Row],[Teams]])</f>
        <v>3.3000000000000003</v>
      </c>
      <c r="CK19">
        <f>Table3[[#This Row],[Column4]]+Table3[[#This Row],[Column3]]</f>
        <v>3.3000000000000003</v>
      </c>
      <c r="CL19">
        <f>Table3[[#This Row],[Column5]]/Table3[[#This Row],[GP]]</f>
        <v>0.47142857142857147</v>
      </c>
      <c r="CV19" s="72"/>
      <c r="CW19" s="57">
        <v>1</v>
      </c>
      <c r="CX19" s="16">
        <f>($CW19*$CX$5)+(CX$17*$CX$6) + IF($CW19&gt;CX$17,$CX$3,$CX$4)</f>
        <v>0.65</v>
      </c>
      <c r="CY19" s="73"/>
      <c r="CZ19" s="16">
        <f t="shared" si="12"/>
        <v>0.64999999999999991</v>
      </c>
      <c r="DA19" s="16">
        <f t="shared" si="12"/>
        <v>0.75</v>
      </c>
      <c r="DB19" s="16">
        <f t="shared" si="12"/>
        <v>0.85000000000000009</v>
      </c>
      <c r="DC19" s="16">
        <f t="shared" si="12"/>
        <v>0.95</v>
      </c>
      <c r="DD19" s="16">
        <f t="shared" si="12"/>
        <v>1.05</v>
      </c>
      <c r="DE19" s="16">
        <f t="shared" si="12"/>
        <v>1.1500000000000001</v>
      </c>
      <c r="DF19" s="16">
        <f t="shared" si="12"/>
        <v>1.25</v>
      </c>
      <c r="DG19" s="16">
        <f t="shared" si="12"/>
        <v>1.35</v>
      </c>
      <c r="DH19" s="74">
        <f t="shared" si="12"/>
        <v>1.45</v>
      </c>
      <c r="EB19" s="72"/>
      <c r="EC19" s="57">
        <v>1</v>
      </c>
      <c r="ED19" s="16">
        <f t="shared" ref="ED19:EN19" si="14">(IF($EC19&gt;EC$17, 1, 0)*0.7) + (($EC19 - EC$17)*0.25)+($EC19*0.1)+(EC$17*0.05)+(IF($EC19&gt;EC$17, 1, 0)*0.3)</f>
        <v>1.35</v>
      </c>
      <c r="EE19" s="16">
        <f t="shared" si="14"/>
        <v>1.35</v>
      </c>
      <c r="EF19" s="16">
        <f t="shared" si="14"/>
        <v>0.15000000000000002</v>
      </c>
      <c r="EG19" s="16">
        <f t="shared" si="14"/>
        <v>-4.9999999999999989E-2</v>
      </c>
      <c r="EH19" s="16">
        <f t="shared" si="14"/>
        <v>-0.25</v>
      </c>
      <c r="EI19" s="16">
        <f t="shared" si="14"/>
        <v>-0.45</v>
      </c>
      <c r="EJ19" s="16">
        <f t="shared" si="14"/>
        <v>-0.65</v>
      </c>
      <c r="EK19" s="16">
        <f t="shared" si="14"/>
        <v>-0.84999999999999987</v>
      </c>
      <c r="EL19" s="16">
        <f t="shared" si="14"/>
        <v>-1.0499999999999998</v>
      </c>
      <c r="EM19" s="16">
        <f t="shared" si="14"/>
        <v>-1.25</v>
      </c>
      <c r="EN19" s="16">
        <f t="shared" si="14"/>
        <v>-1.45</v>
      </c>
    </row>
    <row r="20" spans="1:144" x14ac:dyDescent="0.25">
      <c r="A20" t="s">
        <v>36</v>
      </c>
      <c r="B20" t="s">
        <v>90</v>
      </c>
      <c r="C20" t="s">
        <v>88</v>
      </c>
      <c r="D20">
        <f>COUNTIFS(DataRegularSeason20242025!$D$3:$D$1315,$A20,DataRegularSeason20242025!$R$3:$R$1315,1,DataRegularSeason20242025!$N$3:$N$1315,1) + COUNTIFS(DataRegularSeason20242025!$E$3:$E$1315,$A20,DataRegularSeason20242025!$R$3:$R$1315,1,DataRegularSeason20242025!$N$3:$N$1315,1)</f>
        <v>4</v>
      </c>
      <c r="E20" s="10">
        <f>Table3[[#This Row],[Watched]]/Table3[[#This Row],[GP]]</f>
        <v>0.5714285714285714</v>
      </c>
      <c r="F20">
        <f>COUNTIFS(DataRegularSeason20242025!$N$3:$N$1315,1,DataRegularSeason20242025!$D$3:$D$1315,$A20)</f>
        <v>5</v>
      </c>
      <c r="G20">
        <f>41-Table3[[#This Row],[GP_A]]</f>
        <v>36</v>
      </c>
      <c r="H20">
        <f>COUNTIFS(DataRegularSeason20242025!$E$3:$E$1315,$A20,DataRegularSeason20242025!$N$3:$N$1315,1)</f>
        <v>2</v>
      </c>
      <c r="I20">
        <f>41-Table3[[#This Row],[GP_H]]</f>
        <v>39</v>
      </c>
      <c r="J20">
        <f t="shared" si="0"/>
        <v>7</v>
      </c>
      <c r="K20">
        <f>82-Table3[[#This Row],[GP]]</f>
        <v>75</v>
      </c>
      <c r="L20">
        <f>COUNTIFS(DataRegularSeason20242025!$D$3:$D$1315,$A20, DataRegularSeason20242025!$L$3:$L$1315, $A20,DataRegularSeason20242025!$N$3:$N$1315,1)</f>
        <v>2</v>
      </c>
      <c r="M20">
        <f>COUNTIFS(DataRegularSeason20242025!$D$3:$D$1315,$A20, DataRegularSeason20242025!$L$3:$L$1315, $A20,DataRegularSeason20242025!$N$3:$N$1315,1,DataRegularSeason20242025!$M$3:$M$1315,"REG")</f>
        <v>2</v>
      </c>
      <c r="N20">
        <f>COUNTIFS(DataRegularSeason20242025!$D$3:$D$1315,$A20, DataRegularSeason20242025!$L$3:$L$1315, $A20,DataRegularSeason20242025!$N$3:$N$1315,1,DataRegularSeason20242025!$M$3:$M$1315,"OT")</f>
        <v>0</v>
      </c>
      <c r="O20">
        <f>COUNTIFS(DataRegularSeason20242025!$D$3:$D$1315,$A20, DataRegularSeason20242025!$L$3:$L$1315, $A20,DataRegularSeason20242025!$N$3:$N$1315,1,DataRegularSeason20242025!$M$3:$M$1315,"SO")</f>
        <v>0</v>
      </c>
      <c r="P20">
        <f t="shared" si="1"/>
        <v>3</v>
      </c>
      <c r="Q20">
        <f>COUNTIFS(DataRegularSeason20242025!$D$3:$D$1315,$A20, DataRegularSeason20242025!$S$3:$S$1315, $A20,DataRegularSeason20242025!$M$3:$M$1315,"REG")</f>
        <v>2</v>
      </c>
      <c r="R20">
        <f>COUNTIFS(DataRegularSeason20242025!$D$3:$D$1315,$A20, DataRegularSeason20242025!$S$3:$S$1315, $A20,DataRegularSeason20242025!$M$3:$M$1315,"OT")</f>
        <v>1</v>
      </c>
      <c r="S20">
        <f>COUNTIFS(DataRegularSeason20242025!$D$3:$D$1315,$A20, DataRegularSeason20242025!$S$3:$S$1315, $A20,DataRegularSeason20242025!$M$3:$M$1315,"SO")</f>
        <v>0</v>
      </c>
      <c r="T20">
        <f>COUNTIFS(DataRegularSeason20242025!$E$3:$E$1315,$A20, DataRegularSeason20242025!$L$3:$L$1315, $A20, DataRegularSeason20242025!$N$3:$N$1315,1)</f>
        <v>1</v>
      </c>
      <c r="U20">
        <f>COUNTIFS(DataRegularSeason20242025!$E$3:$E$1315,$A20, DataRegularSeason20242025!$L$3:$L$1315, $A20,DataRegularSeason20242025!$N$3:$N$1315,1,DataRegularSeason20242025!$M$3:$M$1315,"REG")</f>
        <v>0</v>
      </c>
      <c r="V20">
        <f>COUNTIFS(DataRegularSeason20242025!$E$3:$E$1315,$A20, DataRegularSeason20242025!$L$3:$L$1315, $A20,DataRegularSeason20242025!$N$3:$N$1315,1,DataRegularSeason20242025!$M$3:$M$1315,"OT")</f>
        <v>0</v>
      </c>
      <c r="W20">
        <f>COUNTIFS(DataRegularSeason20242025!$E$3:$E$1315,$A20, DataRegularSeason20242025!$L$3:$L$1315, $A20,DataRegularSeason20242025!$N$3:$N$1315,1,DataRegularSeason20242025!$M$3:$M$1315,"SO")</f>
        <v>1</v>
      </c>
      <c r="X20">
        <f t="shared" si="2"/>
        <v>1</v>
      </c>
      <c r="Y20">
        <f>COUNTIFS(DataRegularSeason20242025!$E$3:$E$1315,$A20, DataRegularSeason20242025!$S$3:$S$1315, $A20,DataRegularSeason20242025!$M$3:$M$1315,"REG")</f>
        <v>1</v>
      </c>
      <c r="Z20">
        <f>COUNTIFS(DataRegularSeason20242025!$E$3:$E$1315,$A20, DataRegularSeason20242025!$S$3:$S$1315, $A20,DataRegularSeason20242025!$M$3:$M$1315,"OT")</f>
        <v>0</v>
      </c>
      <c r="AA20">
        <f>COUNTIFS(DataRegularSeason20242025!$E$3:$E$1315,$A20, DataRegularSeason20242025!$S$3:$S$1315, $A20,DataRegularSeason20242025!$M$3:$M$1315,"SO")</f>
        <v>0</v>
      </c>
      <c r="AB20">
        <f>Table3[[#This Row],[W]]/MAX(1,Table3[[#This Row],[W]]+Table3[[#This Row],[L]])</f>
        <v>0.42857142857142855</v>
      </c>
      <c r="AC20">
        <f>Table3[[#This Row],[W_A]]+Table3[[#This Row],[W_H]]</f>
        <v>3</v>
      </c>
      <c r="AD20">
        <f>Table3[[#This Row],[L_A]]+Table3[[#This Row],[L_H]]</f>
        <v>4</v>
      </c>
      <c r="AE20">
        <f>Table3[[#This Row],[RW_A]]+Table3[[#This Row],[RW_H]]</f>
        <v>2</v>
      </c>
      <c r="AF20">
        <f>Table3[[#This Row],[RL_A]]+Table3[[#This Row],[RL_H]]</f>
        <v>3</v>
      </c>
      <c r="AG20">
        <f>Table3[[#This Row],[OTW_A]]+Table3[[#This Row],[OTW_H]]</f>
        <v>0</v>
      </c>
      <c r="AH20">
        <f>Table3[[#This Row],[OTL_A]]+Table3[[#This Row],[OTL_H]]</f>
        <v>1</v>
      </c>
      <c r="AI20">
        <f>Table3[[#This Row],[SOW_A]]+Table3[[#This Row],[SOW_H]]</f>
        <v>1</v>
      </c>
      <c r="AJ20">
        <f>Table3[[#This Row],[SOL_A]]+Table3[[#This Row],[SOL_H]]</f>
        <v>0</v>
      </c>
      <c r="AK20" s="15" t="str">
        <f>_xlfn.CONCAT(TEXT(Table3[[#This Row],[OTW]]+Table3[[#This Row],[SOW]], "0"), "-", TEXT(Table3[[#This Row],[OTL]]+Table3[[#This Row],[SOL]],"0"))</f>
        <v>1-1</v>
      </c>
      <c r="AL20">
        <f>SUM(Table3[[#This Row],[OTW]],Table3[[#This Row],[OTL]],Table3[[#This Row],[SOW]],Table3[[#This Row],[SOL]])</f>
        <v>2</v>
      </c>
      <c r="AM20">
        <f>(Table3[[#This Row],[OTW]]+Table3[[#This Row],[SOW]])/IF(Table3[[#This Row],[Total_ExtraTimes]]=0,1,Table3[[#This Row],[Total_ExtraTimes]])</f>
        <v>0.5</v>
      </c>
      <c r="AN20">
        <f>Table3[[#This Row],[Total_ExtraTimes]]/MAX(1,Table3[[#This Row],[GP]])</f>
        <v>0.2857142857142857</v>
      </c>
      <c r="AO20">
        <f>(2*(Table3[[#This Row],[W_A]]+Table3[[#This Row],[W_H]]))+Table3[[#This Row],[OTL_A]]+Table3[[#This Row],[SOL_A]]+Table3[[#This Row],[OTL_H]]+Table3[[#This Row],[SOL_H]]</f>
        <v>7</v>
      </c>
      <c r="AP20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9</v>
      </c>
      <c r="AQ20" s="10">
        <f>Table3[[#This Row],[PTS]]/(2*Table3[[#This Row],[GP]])</f>
        <v>0.5</v>
      </c>
      <c r="AR20" s="10">
        <f>Table3[[#This Row],[PTS2]]/(3*Table3[[#This Row],[GP]])</f>
        <v>0.42857142857142855</v>
      </c>
      <c r="AS20">
        <f>(2*Table3[[#This Row],[GR]])+Table3[[#This Row],[PTS]]</f>
        <v>157</v>
      </c>
      <c r="AT20">
        <f>(3*Table3[[#This Row],[GR]])+Table3[[#This Row],[PTS2]]</f>
        <v>234</v>
      </c>
      <c r="AU20">
        <f>Table3[[#This Row],[PTS]]+(2 * Table3[[#This Row],[GR]] * Table3[[#This Row],[PTS%]])</f>
        <v>82</v>
      </c>
      <c r="AV20">
        <f>Table3[[#This Row],[PTS2]]+(3 * Table3[[#This Row],[GR]] * Table3[[#This Row],[PTS%2]])</f>
        <v>105.42857142857142</v>
      </c>
      <c r="AW20" s="15" t="str">
        <f>_xlfn.CONCAT(TEXT(Table3[[#This Row],[W]], "0"), "-", TEXT(Table3[[#This Row],[RL]],"0"), "-", TEXT(Table3[[#This Row],[OTL]]+Table3[[#This Row],[SOL]], "0"))</f>
        <v>3-3-1</v>
      </c>
      <c r="AX20">
        <f>COUNTIFS(DataRegularSeason20242025!$D$3:$D$1315,Table3[[#This Row],[Teams]],DataRegularSeason20242025!$K$3:$K$1315,0)</f>
        <v>1</v>
      </c>
      <c r="AY20">
        <f>SUMIF(DataRegularSeason20242025!$D$3:$D$1315,$A20, DataRegularSeason20242025!$J$3:$J$1315)</f>
        <v>12</v>
      </c>
      <c r="AZ20">
        <f>SUMIF(DataRegularSeason20242025!$D$3:$D$1315,$A20, DataRegularSeason20242025!$K$3:$K$1315)</f>
        <v>13</v>
      </c>
      <c r="BA20">
        <f t="shared" si="3"/>
        <v>-1</v>
      </c>
      <c r="BB20">
        <f>COUNTIFS(DataRegularSeason20242025!$E$3:$E$1315,Table3[[#This Row],[Teams]],DataRegularSeason20242025!$J$3:$J$1315,0)</f>
        <v>0</v>
      </c>
      <c r="BC20">
        <f>SUMIF(DataRegularSeason20242025!$E$3:$E$1315,$A20,DataRegularSeason20242025!$K$3:$K$1315)</f>
        <v>7</v>
      </c>
      <c r="BD20">
        <f>SUMIF(DataRegularSeason20242025!$E$3:$E$1315,$A20,DataRegularSeason20242025!$J$3:$J$1315)</f>
        <v>10</v>
      </c>
      <c r="BE20">
        <f t="shared" si="4"/>
        <v>-3</v>
      </c>
      <c r="BF20">
        <f t="shared" si="5"/>
        <v>19</v>
      </c>
      <c r="BG20">
        <f t="shared" si="6"/>
        <v>23</v>
      </c>
      <c r="BH20">
        <f t="shared" si="7"/>
        <v>-4</v>
      </c>
      <c r="BI20" s="12">
        <f>Table3[[#This Row],[GF]]/Table3[[#This Row],[GP]]</f>
        <v>2.7142857142857144</v>
      </c>
      <c r="BJ20" s="12">
        <f>Table3[[#This Row],[GA]]/Table3[[#This Row],[GP]]</f>
        <v>3.2857142857142856</v>
      </c>
      <c r="BK20" s="12">
        <f>(Table3[[#This Row],[GF]]-Table3[[#This Row],[GA]])/Table3[[#This Row],[GP]]</f>
        <v>-0.5714285714285714</v>
      </c>
      <c r="BL20" s="42" t="str">
        <f>_xlfn.CONCAT(TEXT(Table3[[#This Row],[W_H]], "0"), "-", TEXT(Table3[[#This Row],[RL_H]],"0"), "-", TEXT(Table3[[#This Row],[OTL_H]]+Table3[[#This Row],[SOL_H]], "0"))</f>
        <v>1-1-0</v>
      </c>
      <c r="BM20" s="42" t="str">
        <f>_xlfn.CONCAT(TEXT(Table3[[#This Row],[W_A]], "0"), "-", TEXT(Table3[[#This Row],[RL_A]],"0"), "-", TEXT(Table3[[#This Row],[OTL_A]]+Table3[[#This Row],[SOL_A]], "0"))</f>
        <v>2-2-1</v>
      </c>
      <c r="BN20" s="42">
        <f>((2*(Table3[[#This Row],[W_H]]))+Table3[[#This Row],[OTL_H]]+Table3[[#This Row],[SOL_H]])/(2*Table3[[#This Row],[GP_H]])</f>
        <v>0.5</v>
      </c>
      <c r="BO20" s="42">
        <f>((2*(Table3[[#This Row],[W_A]]))+Table3[[#This Row],[OTL_A]]+Table3[[#This Row],[SOL_A]])/(2*Table3[[#This Row],[GP_A]])</f>
        <v>0.5</v>
      </c>
      <c r="BP20" s="16">
        <f>(Table3[[#This Row],[W]]*$CX$3)+(Table3[[#This Row],[L]]*$CX$4)+(Table3[[#This Row],[GF]]*$CX$5)+(Table3[[#This Row],[GA]]*$CX$6)</f>
        <v>7.8500000000000014</v>
      </c>
      <c r="BQ20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72.864285714285714</v>
      </c>
      <c r="BR20" s="16">
        <f>(Table3[[#This Row],[W]]*0.7) + ((Table3[[#This Row],[GF]] - Table3[[#This Row],[GA]])*0.25)+(Table3[[#This Row],[GF]]*0.1)+(Table3[[#This Row],[GA]]*0.05)+(Table3[[#This Row],[L]]*0.3)</f>
        <v>5.3500000000000005</v>
      </c>
      <c r="BS20" s="16">
        <f>Table3[[#This Row],[TeamCost83]]/Table3[[#This Row],[GP]]</f>
        <v>0.76428571428571435</v>
      </c>
      <c r="BT20">
        <f>COUNTIFS(Table2[AwayTeam],$A20,Table2[PredictedWinner], $A20, Table2[GameIsOver], 1)</f>
        <v>3</v>
      </c>
      <c r="BU20">
        <f>COUNTIFS(Table2[HomeTeam],$A20,Table2[PredictedWinner], $A20, Table2[GameIsOver], 1)</f>
        <v>2</v>
      </c>
      <c r="BV20">
        <f t="shared" si="8"/>
        <v>5</v>
      </c>
      <c r="BW20">
        <f t="shared" si="9"/>
        <v>2</v>
      </c>
      <c r="BX20">
        <f t="shared" si="10"/>
        <v>0</v>
      </c>
      <c r="BY20">
        <f t="shared" si="11"/>
        <v>2</v>
      </c>
      <c r="BZ20">
        <f>Table3[[#This Row],[TimesPredictedWinner]]/Table3[[#This Row],[GP]]</f>
        <v>0.7142857142857143</v>
      </c>
      <c r="CD20" s="1">
        <v>45762</v>
      </c>
      <c r="CE20" t="str">
        <f>INDEX(Table2[AwayTeam], Table3[[#This Row],[Column2]])</f>
        <v>UTA</v>
      </c>
      <c r="CF20">
        <f>LARGE((Table2[[#This Row],[AwayTeam]]=Table3[[#This Row],[Teams]]), 1)</f>
        <v>0</v>
      </c>
      <c r="CI20">
        <f>SUMIFS(Table2[GamePredictionScore], Table2[AwayTeam], Table3[[#This Row],[Teams]])</f>
        <v>3.6000000000000005</v>
      </c>
      <c r="CJ20">
        <f>SUMIFS(Table2[GamePredictionScore], Table2[HomeTeam], Table3[[#This Row],[Teams]])</f>
        <v>0.9</v>
      </c>
      <c r="CK20">
        <f>Table3[[#This Row],[Column4]]+Table3[[#This Row],[Column3]]</f>
        <v>4.5000000000000009</v>
      </c>
      <c r="CL20">
        <f>Table3[[#This Row],[Column5]]/Table3[[#This Row],[GP]]</f>
        <v>0.64285714285714302</v>
      </c>
      <c r="CV20" s="72"/>
      <c r="CW20" s="57">
        <v>2</v>
      </c>
      <c r="CX20" s="16">
        <f>($CW20*$CX$5)+(CX$17*$CX$6) + IF($CW20&gt;CX$17,$CX$3,$CX$4)</f>
        <v>0.8</v>
      </c>
      <c r="CY20" s="16">
        <f>($CW20*$CX$5)+(CY$17*$CX$6) + IF($CW20&gt;CY$17,$CX$3,$CX$4)</f>
        <v>0.9</v>
      </c>
      <c r="CZ20" s="73"/>
      <c r="DA20" s="16">
        <f t="shared" si="12"/>
        <v>0.90000000000000013</v>
      </c>
      <c r="DB20" s="16">
        <f t="shared" si="12"/>
        <v>1</v>
      </c>
      <c r="DC20" s="16">
        <f t="shared" si="12"/>
        <v>1.1000000000000001</v>
      </c>
      <c r="DD20" s="16">
        <f t="shared" si="12"/>
        <v>1.2000000000000002</v>
      </c>
      <c r="DE20" s="16">
        <f t="shared" si="12"/>
        <v>1.3</v>
      </c>
      <c r="DF20" s="16">
        <f t="shared" si="12"/>
        <v>1.4000000000000001</v>
      </c>
      <c r="DG20" s="16">
        <f t="shared" si="12"/>
        <v>1.5</v>
      </c>
      <c r="DH20" s="74">
        <f t="shared" si="12"/>
        <v>1.6</v>
      </c>
      <c r="EB20" s="72"/>
      <c r="EC20" s="57">
        <v>2</v>
      </c>
      <c r="ED20" s="16">
        <f t="shared" ref="ED20:EN20" si="15">(IF($EC20&gt;EC$17, 1, 0)*0.7) + (($EC20 - EC$17)*0.25)+($EC20*0.1)+(EC$17*0.05)+(IF($EC20&gt;EC$17, 1, 0)*0.3)</f>
        <v>1.7</v>
      </c>
      <c r="EE20" s="16">
        <f t="shared" si="15"/>
        <v>1.7</v>
      </c>
      <c r="EF20" s="16">
        <f t="shared" si="15"/>
        <v>1.5</v>
      </c>
      <c r="EG20" s="16">
        <f t="shared" si="15"/>
        <v>0.30000000000000004</v>
      </c>
      <c r="EH20" s="16">
        <f t="shared" si="15"/>
        <v>0.10000000000000003</v>
      </c>
      <c r="EI20" s="16">
        <f t="shared" si="15"/>
        <v>-9.9999999999999978E-2</v>
      </c>
      <c r="EJ20" s="16">
        <f t="shared" si="15"/>
        <v>-0.30000000000000004</v>
      </c>
      <c r="EK20" s="16">
        <f t="shared" si="15"/>
        <v>-0.5</v>
      </c>
      <c r="EL20" s="16">
        <f t="shared" si="15"/>
        <v>-0.7</v>
      </c>
      <c r="EM20" s="16">
        <f t="shared" si="15"/>
        <v>-0.9</v>
      </c>
      <c r="EN20" s="16">
        <f t="shared" si="15"/>
        <v>-1.1000000000000001</v>
      </c>
    </row>
    <row r="21" spans="1:144" x14ac:dyDescent="0.25">
      <c r="A21" t="s">
        <v>13</v>
      </c>
      <c r="B21" t="s">
        <v>91</v>
      </c>
      <c r="C21" t="s">
        <v>74</v>
      </c>
      <c r="D21">
        <f>COUNTIFS(DataRegularSeason20242025!$D$3:$D$1315,$A21,DataRegularSeason20242025!$R$3:$R$1315,1,DataRegularSeason20242025!$N$3:$N$1315,1) + COUNTIFS(DataRegularSeason20242025!$E$3:$E$1315,$A21,DataRegularSeason20242025!$R$3:$R$1315,1,DataRegularSeason20242025!$N$3:$N$1315,1)</f>
        <v>7</v>
      </c>
      <c r="E21" s="10">
        <f>Table3[[#This Row],[Watched]]/Table3[[#This Row],[GP]]</f>
        <v>0.875</v>
      </c>
      <c r="F21">
        <f>COUNTIFS(DataRegularSeason20242025!$N$3:$N$1315,1,DataRegularSeason20242025!$D$3:$D$1315,$A21)</f>
        <v>5</v>
      </c>
      <c r="G21">
        <f>41-Table3[[#This Row],[GP_A]]</f>
        <v>36</v>
      </c>
      <c r="H21">
        <f>COUNTIFS(DataRegularSeason20242025!$E$3:$E$1315,$A21,DataRegularSeason20242025!$N$3:$N$1315,1)</f>
        <v>3</v>
      </c>
      <c r="I21">
        <f>41-Table3[[#This Row],[GP_H]]</f>
        <v>38</v>
      </c>
      <c r="J21">
        <f t="shared" si="0"/>
        <v>8</v>
      </c>
      <c r="K21">
        <f>82-Table3[[#This Row],[GP]]</f>
        <v>74</v>
      </c>
      <c r="L21">
        <f>COUNTIFS(DataRegularSeason20242025!$D$3:$D$1315,$A21, DataRegularSeason20242025!$L$3:$L$1315, $A21,DataRegularSeason20242025!$N$3:$N$1315,1)</f>
        <v>1</v>
      </c>
      <c r="M21">
        <f>COUNTIFS(DataRegularSeason20242025!$D$3:$D$1315,$A21, DataRegularSeason20242025!$L$3:$L$1315, $A21,DataRegularSeason20242025!$N$3:$N$1315,1,DataRegularSeason20242025!$M$3:$M$1315,"REG")</f>
        <v>1</v>
      </c>
      <c r="N21">
        <f>COUNTIFS(DataRegularSeason20242025!$D$3:$D$1315,$A21, DataRegularSeason20242025!$L$3:$L$1315, $A21,DataRegularSeason20242025!$N$3:$N$1315,1,DataRegularSeason20242025!$M$3:$M$1315,"OT")</f>
        <v>0</v>
      </c>
      <c r="O21">
        <f>COUNTIFS(DataRegularSeason20242025!$D$3:$D$1315,$A21, DataRegularSeason20242025!$L$3:$L$1315, $A21,DataRegularSeason20242025!$N$3:$N$1315,1,DataRegularSeason20242025!$M$3:$M$1315,"SO")</f>
        <v>0</v>
      </c>
      <c r="P21">
        <f t="shared" si="1"/>
        <v>4</v>
      </c>
      <c r="Q21">
        <f>COUNTIFS(DataRegularSeason20242025!$D$3:$D$1315,$A21, DataRegularSeason20242025!$S$3:$S$1315, $A21,DataRegularSeason20242025!$M$3:$M$1315,"REG")</f>
        <v>4</v>
      </c>
      <c r="R21">
        <f>COUNTIFS(DataRegularSeason20242025!$D$3:$D$1315,$A21, DataRegularSeason20242025!$S$3:$S$1315, $A21,DataRegularSeason20242025!$M$3:$M$1315,"OT")</f>
        <v>0</v>
      </c>
      <c r="S21">
        <f>COUNTIFS(DataRegularSeason20242025!$D$3:$D$1315,$A21, DataRegularSeason20242025!$S$3:$S$1315, $A21,DataRegularSeason20242025!$M$3:$M$1315,"SO")</f>
        <v>0</v>
      </c>
      <c r="T21">
        <f>COUNTIFS(DataRegularSeason20242025!$E$3:$E$1315,$A21, DataRegularSeason20242025!$L$3:$L$1315, $A21, DataRegularSeason20242025!$N$3:$N$1315,1)</f>
        <v>3</v>
      </c>
      <c r="U21">
        <f>COUNTIFS(DataRegularSeason20242025!$E$3:$E$1315,$A21, DataRegularSeason20242025!$L$3:$L$1315, $A21,DataRegularSeason20242025!$N$3:$N$1315,1,DataRegularSeason20242025!$M$3:$M$1315,"REG")</f>
        <v>3</v>
      </c>
      <c r="V21">
        <f>COUNTIFS(DataRegularSeason20242025!$E$3:$E$1315,$A21, DataRegularSeason20242025!$L$3:$L$1315, $A21,DataRegularSeason20242025!$N$3:$N$1315,1,DataRegularSeason20242025!$M$3:$M$1315,"OT")</f>
        <v>0</v>
      </c>
      <c r="W21">
        <f>COUNTIFS(DataRegularSeason20242025!$E$3:$E$1315,$A21, DataRegularSeason20242025!$L$3:$L$1315, $A21,DataRegularSeason20242025!$N$3:$N$1315,1,DataRegularSeason20242025!$M$3:$M$1315,"SO")</f>
        <v>0</v>
      </c>
      <c r="X21">
        <f t="shared" si="2"/>
        <v>0</v>
      </c>
      <c r="Y21">
        <f>COUNTIFS(DataRegularSeason20242025!$E$3:$E$1315,$A21, DataRegularSeason20242025!$S$3:$S$1315, $A21,DataRegularSeason20242025!$M$3:$M$1315,"REG")</f>
        <v>0</v>
      </c>
      <c r="Z21">
        <f>COUNTIFS(DataRegularSeason20242025!$E$3:$E$1315,$A21, DataRegularSeason20242025!$S$3:$S$1315, $A21,DataRegularSeason20242025!$M$3:$M$1315,"OT")</f>
        <v>0</v>
      </c>
      <c r="AA21">
        <f>COUNTIFS(DataRegularSeason20242025!$E$3:$E$1315,$A21, DataRegularSeason20242025!$S$3:$S$1315, $A21,DataRegularSeason20242025!$M$3:$M$1315,"SO")</f>
        <v>0</v>
      </c>
      <c r="AB21">
        <f>Table3[[#This Row],[W]]/MAX(1,Table3[[#This Row],[W]]+Table3[[#This Row],[L]])</f>
        <v>0.5</v>
      </c>
      <c r="AC21">
        <f>Table3[[#This Row],[W_A]]+Table3[[#This Row],[W_H]]</f>
        <v>4</v>
      </c>
      <c r="AD21">
        <f>Table3[[#This Row],[L_A]]+Table3[[#This Row],[L_H]]</f>
        <v>4</v>
      </c>
      <c r="AE21">
        <f>Table3[[#This Row],[RW_A]]+Table3[[#This Row],[RW_H]]</f>
        <v>4</v>
      </c>
      <c r="AF21">
        <f>Table3[[#This Row],[RL_A]]+Table3[[#This Row],[RL_H]]</f>
        <v>4</v>
      </c>
      <c r="AG21">
        <f>Table3[[#This Row],[OTW_A]]+Table3[[#This Row],[OTW_H]]</f>
        <v>0</v>
      </c>
      <c r="AH21">
        <f>Table3[[#This Row],[OTL_A]]+Table3[[#This Row],[OTL_H]]</f>
        <v>0</v>
      </c>
      <c r="AI21">
        <f>Table3[[#This Row],[SOW_A]]+Table3[[#This Row],[SOW_H]]</f>
        <v>0</v>
      </c>
      <c r="AJ21">
        <f>Table3[[#This Row],[SOL_A]]+Table3[[#This Row],[SOL_H]]</f>
        <v>0</v>
      </c>
      <c r="AK21" s="15" t="str">
        <f>_xlfn.CONCAT(TEXT(Table3[[#This Row],[OTW]]+Table3[[#This Row],[SOW]], "0"), "-", TEXT(Table3[[#This Row],[OTL]]+Table3[[#This Row],[SOL]],"0"))</f>
        <v>0-0</v>
      </c>
      <c r="AL21">
        <f>SUM(Table3[[#This Row],[OTW]],Table3[[#This Row],[OTL]],Table3[[#This Row],[SOW]],Table3[[#This Row],[SOL]])</f>
        <v>0</v>
      </c>
      <c r="AM21">
        <f>(Table3[[#This Row],[OTW]]+Table3[[#This Row],[SOW]])/IF(Table3[[#This Row],[Total_ExtraTimes]]=0,1,Table3[[#This Row],[Total_ExtraTimes]])</f>
        <v>0</v>
      </c>
      <c r="AN21">
        <f>Table3[[#This Row],[Total_ExtraTimes]]/MAX(1,Table3[[#This Row],[GP]])</f>
        <v>0</v>
      </c>
      <c r="AO21">
        <f>(2*(Table3[[#This Row],[W_A]]+Table3[[#This Row],[W_H]]))+Table3[[#This Row],[OTL_A]]+Table3[[#This Row],[SOL_A]]+Table3[[#This Row],[OTL_H]]+Table3[[#This Row],[SOL_H]]</f>
        <v>8</v>
      </c>
      <c r="AP21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12</v>
      </c>
      <c r="AQ21" s="10">
        <f>Table3[[#This Row],[PTS]]/(2*Table3[[#This Row],[GP]])</f>
        <v>0.5</v>
      </c>
      <c r="AR21" s="10">
        <f>Table3[[#This Row],[PTS2]]/(3*Table3[[#This Row],[GP]])</f>
        <v>0.5</v>
      </c>
      <c r="AS21">
        <f>(2*Table3[[#This Row],[GR]])+Table3[[#This Row],[PTS]]</f>
        <v>156</v>
      </c>
      <c r="AT21">
        <f>(3*Table3[[#This Row],[GR]])+Table3[[#This Row],[PTS2]]</f>
        <v>234</v>
      </c>
      <c r="AU21">
        <f>Table3[[#This Row],[PTS]]+(2 * Table3[[#This Row],[GR]] * Table3[[#This Row],[PTS%]])</f>
        <v>82</v>
      </c>
      <c r="AV21">
        <f>Table3[[#This Row],[PTS2]]+(3 * Table3[[#This Row],[GR]] * Table3[[#This Row],[PTS%2]])</f>
        <v>123</v>
      </c>
      <c r="AW21" s="15" t="str">
        <f>_xlfn.CONCAT(TEXT(Table3[[#This Row],[W]], "0"), "-", TEXT(Table3[[#This Row],[RL]],"0"), "-", TEXT(Table3[[#This Row],[OTL]]+Table3[[#This Row],[SOL]], "0"))</f>
        <v>4-4-0</v>
      </c>
      <c r="AX21">
        <f>COUNTIFS(DataRegularSeason20242025!$D$3:$D$1315,Table3[[#This Row],[Teams]],DataRegularSeason20242025!$K$3:$K$1315,0)</f>
        <v>0</v>
      </c>
      <c r="AY21">
        <f>SUMIF(DataRegularSeason20242025!$D$3:$D$1315,$A21, DataRegularSeason20242025!$J$3:$J$1315)</f>
        <v>8</v>
      </c>
      <c r="AZ21">
        <f>SUMIF(DataRegularSeason20242025!$D$3:$D$1315,$A21, DataRegularSeason20242025!$K$3:$K$1315)</f>
        <v>18</v>
      </c>
      <c r="BA21">
        <f t="shared" si="3"/>
        <v>-10</v>
      </c>
      <c r="BB21">
        <f>COUNTIFS(DataRegularSeason20242025!$E$3:$E$1315,Table3[[#This Row],[Teams]],DataRegularSeason20242025!$J$3:$J$1315,0)</f>
        <v>0</v>
      </c>
      <c r="BC21">
        <f>SUMIF(DataRegularSeason20242025!$E$3:$E$1315,$A21,DataRegularSeason20242025!$K$3:$K$1315)</f>
        <v>11</v>
      </c>
      <c r="BD21">
        <f>SUMIF(DataRegularSeason20242025!$E$3:$E$1315,$A21,DataRegularSeason20242025!$J$3:$J$1315)</f>
        <v>5</v>
      </c>
      <c r="BE21">
        <f t="shared" si="4"/>
        <v>6</v>
      </c>
      <c r="BF21">
        <f t="shared" si="5"/>
        <v>19</v>
      </c>
      <c r="BG21">
        <f t="shared" si="6"/>
        <v>23</v>
      </c>
      <c r="BH21">
        <f t="shared" si="7"/>
        <v>-4</v>
      </c>
      <c r="BI21" s="12">
        <f>Table3[[#This Row],[GF]]/Table3[[#This Row],[GP]]</f>
        <v>2.375</v>
      </c>
      <c r="BJ21" s="12">
        <f>Table3[[#This Row],[GA]]/Table3[[#This Row],[GP]]</f>
        <v>2.875</v>
      </c>
      <c r="BK21" s="12">
        <f>(Table3[[#This Row],[GF]]-Table3[[#This Row],[GA]])/Table3[[#This Row],[GP]]</f>
        <v>-0.5</v>
      </c>
      <c r="BL21" s="42" t="str">
        <f>_xlfn.CONCAT(TEXT(Table3[[#This Row],[W_H]], "0"), "-", TEXT(Table3[[#This Row],[RL_H]],"0"), "-", TEXT(Table3[[#This Row],[OTL_H]]+Table3[[#This Row],[SOL_H]], "0"))</f>
        <v>3-0-0</v>
      </c>
      <c r="BM21" s="42" t="str">
        <f>_xlfn.CONCAT(TEXT(Table3[[#This Row],[W_A]], "0"), "-", TEXT(Table3[[#This Row],[RL_A]],"0"), "-", TEXT(Table3[[#This Row],[OTL_A]]+Table3[[#This Row],[SOL_A]], "0"))</f>
        <v>1-4-0</v>
      </c>
      <c r="BN21" s="42">
        <f>((2*(Table3[[#This Row],[W_H]]))+Table3[[#This Row],[OTL_H]]+Table3[[#This Row],[SOL_H]])/(2*Table3[[#This Row],[GP_H]])</f>
        <v>1</v>
      </c>
      <c r="BO21" s="42">
        <f>((2*(Table3[[#This Row],[W_A]]))+Table3[[#This Row],[OTL_A]]+Table3[[#This Row],[SOL_A]])/(2*Table3[[#This Row],[GP_A]])</f>
        <v>0.2</v>
      </c>
      <c r="BP21" s="16">
        <f>(Table3[[#This Row],[W]]*$CX$3)+(Table3[[#This Row],[L]]*$CX$4)+(Table3[[#This Row],[GF]]*$CX$5)+(Table3[[#This Row],[GA]]*$CX$6)</f>
        <v>8.3500000000000014</v>
      </c>
      <c r="BQ21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65.237500000000011</v>
      </c>
      <c r="BR21" s="16">
        <f>(Table3[[#This Row],[W]]*0.7) + ((Table3[[#This Row],[GF]] - Table3[[#This Row],[GA]])*0.25)+(Table3[[#This Row],[GF]]*0.1)+(Table3[[#This Row],[GA]]*0.05)+(Table3[[#This Row],[L]]*0.3)</f>
        <v>6.0500000000000007</v>
      </c>
      <c r="BS21" s="16">
        <f>Table3[[#This Row],[TeamCost83]]/Table3[[#This Row],[GP]]</f>
        <v>0.75625000000000009</v>
      </c>
      <c r="BT21">
        <f>COUNTIFS(Table2[AwayTeam],$A21,Table2[PredictedWinner], $A21, Table2[GameIsOver], 1)</f>
        <v>1</v>
      </c>
      <c r="BU21">
        <f>COUNTIFS(Table2[HomeTeam],$A21,Table2[PredictedWinner], $A21, Table2[GameIsOver], 1)</f>
        <v>2</v>
      </c>
      <c r="BV21">
        <f t="shared" si="8"/>
        <v>3</v>
      </c>
      <c r="BW21">
        <f t="shared" si="9"/>
        <v>4</v>
      </c>
      <c r="BX21">
        <f t="shared" si="10"/>
        <v>1</v>
      </c>
      <c r="BY21">
        <f t="shared" si="11"/>
        <v>5</v>
      </c>
      <c r="BZ21">
        <f>Table3[[#This Row],[TimesPredictedWinner]]/Table3[[#This Row],[GP]]</f>
        <v>0.375</v>
      </c>
      <c r="CB21">
        <v>2025</v>
      </c>
      <c r="CD21" s="1">
        <v>45752</v>
      </c>
      <c r="CE21" t="str">
        <f>INDEX(Table2[AwayTeam], Table3[[#This Row],[Column2]])</f>
        <v>CGY</v>
      </c>
      <c r="CF21">
        <f>LARGE((Table2[[#This Row],[AwayTeam]]=Table3[[#This Row],[Teams]]), 1)</f>
        <v>0</v>
      </c>
      <c r="CI21">
        <f>SUMIFS(Table2[GamePredictionScore], Table2[AwayTeam], Table3[[#This Row],[Teams]])</f>
        <v>2.7</v>
      </c>
      <c r="CJ21">
        <f>SUMIFS(Table2[GamePredictionScore], Table2[HomeTeam], Table3[[#This Row],[Teams]])</f>
        <v>1.7000000000000002</v>
      </c>
      <c r="CK21">
        <f>Table3[[#This Row],[Column4]]+Table3[[#This Row],[Column3]]</f>
        <v>4.4000000000000004</v>
      </c>
      <c r="CL21">
        <f>Table3[[#This Row],[Column5]]/Table3[[#This Row],[GP]]</f>
        <v>0.55000000000000004</v>
      </c>
      <c r="CV21" s="72"/>
      <c r="CW21" s="57">
        <v>3</v>
      </c>
      <c r="CX21" s="16">
        <f>($CW21*$CX$5)+(CX$17*$CX$6) + IF($CW21&gt;CX$17,$CX$3,$CX$4)</f>
        <v>0.95</v>
      </c>
      <c r="CY21" s="16">
        <f>($CW21*$CX$5)+(CY$17*$CX$6) + IF($CW21&gt;CY$17,$CX$3,$CX$4)</f>
        <v>1.0499999999999998</v>
      </c>
      <c r="CZ21" s="16">
        <f t="shared" si="12"/>
        <v>1.1499999999999999</v>
      </c>
      <c r="DA21" s="73"/>
      <c r="DB21" s="16">
        <f t="shared" si="12"/>
        <v>1.1499999999999999</v>
      </c>
      <c r="DC21" s="16">
        <f t="shared" si="12"/>
        <v>1.25</v>
      </c>
      <c r="DD21" s="16">
        <f t="shared" si="12"/>
        <v>1.35</v>
      </c>
      <c r="DE21" s="16">
        <f t="shared" si="12"/>
        <v>1.45</v>
      </c>
      <c r="DF21" s="16">
        <f t="shared" si="12"/>
        <v>1.55</v>
      </c>
      <c r="DG21" s="16">
        <f t="shared" si="12"/>
        <v>1.6500000000000001</v>
      </c>
      <c r="DH21" s="74">
        <f t="shared" si="12"/>
        <v>1.75</v>
      </c>
      <c r="EB21" s="72"/>
      <c r="EC21" s="57">
        <v>3</v>
      </c>
      <c r="ED21" s="16">
        <f t="shared" ref="ED21:EN21" si="16">(IF($EC21&gt;EC$17, 1, 0)*0.7) + (($EC21 - EC$17)*0.25)+($EC21*0.1)+(EC$17*0.05)+(IF($EC21&gt;EC$17, 1, 0)*0.3)</f>
        <v>2.0499999999999998</v>
      </c>
      <c r="EE21" s="16">
        <f t="shared" si="16"/>
        <v>2.0499999999999998</v>
      </c>
      <c r="EF21" s="16">
        <f t="shared" si="16"/>
        <v>1.85</v>
      </c>
      <c r="EG21" s="16">
        <f t="shared" si="16"/>
        <v>1.6500000000000001</v>
      </c>
      <c r="EH21" s="16">
        <f t="shared" si="16"/>
        <v>0.45000000000000007</v>
      </c>
      <c r="EI21" s="16">
        <f t="shared" si="16"/>
        <v>0.25000000000000006</v>
      </c>
      <c r="EJ21" s="16">
        <f t="shared" si="16"/>
        <v>5.0000000000000044E-2</v>
      </c>
      <c r="EK21" s="16">
        <f t="shared" si="16"/>
        <v>-0.14999999999999991</v>
      </c>
      <c r="EL21" s="16">
        <f t="shared" si="16"/>
        <v>-0.34999999999999992</v>
      </c>
      <c r="EM21" s="16">
        <f t="shared" si="16"/>
        <v>-0.54999999999999993</v>
      </c>
      <c r="EN21" s="16">
        <f t="shared" si="16"/>
        <v>-0.75</v>
      </c>
    </row>
    <row r="22" spans="1:144" x14ac:dyDescent="0.25">
      <c r="A22" t="s">
        <v>22</v>
      </c>
      <c r="B22" t="s">
        <v>90</v>
      </c>
      <c r="C22" t="s">
        <v>93</v>
      </c>
      <c r="D22">
        <f>COUNTIFS(DataRegularSeason20242025!$D$3:$D$1315,$A22,DataRegularSeason20242025!$R$3:$R$1315,1,DataRegularSeason20242025!$N$3:$N$1315,1) + COUNTIFS(DataRegularSeason20242025!$E$3:$E$1315,$A22,DataRegularSeason20242025!$R$3:$R$1315,1,DataRegularSeason20242025!$N$3:$N$1315,1)</f>
        <v>7</v>
      </c>
      <c r="E22" s="10">
        <f>Table3[[#This Row],[Watched]]/Table3[[#This Row],[GP]]</f>
        <v>1</v>
      </c>
      <c r="F22">
        <f>COUNTIFS(DataRegularSeason20242025!$N$3:$N$1315,1,DataRegularSeason20242025!$D$3:$D$1315,$A22)</f>
        <v>5</v>
      </c>
      <c r="G22">
        <f>41-Table3[[#This Row],[GP_A]]</f>
        <v>36</v>
      </c>
      <c r="H22">
        <f>COUNTIFS(DataRegularSeason20242025!$E$3:$E$1315,$A22,DataRegularSeason20242025!$N$3:$N$1315,1)</f>
        <v>2</v>
      </c>
      <c r="I22">
        <f>41-Table3[[#This Row],[GP_H]]</f>
        <v>39</v>
      </c>
      <c r="J22">
        <f t="shared" si="0"/>
        <v>7</v>
      </c>
      <c r="K22">
        <f>82-Table3[[#This Row],[GP]]</f>
        <v>75</v>
      </c>
      <c r="L22">
        <f>COUNTIFS(DataRegularSeason20242025!$D$3:$D$1315,$A22, DataRegularSeason20242025!$L$3:$L$1315, $A22,DataRegularSeason20242025!$N$3:$N$1315,1)</f>
        <v>2</v>
      </c>
      <c r="M22">
        <f>COUNTIFS(DataRegularSeason20242025!$D$3:$D$1315,$A22, DataRegularSeason20242025!$L$3:$L$1315, $A22,DataRegularSeason20242025!$N$3:$N$1315,1,DataRegularSeason20242025!$M$3:$M$1315,"REG")</f>
        <v>1</v>
      </c>
      <c r="N22">
        <f>COUNTIFS(DataRegularSeason20242025!$D$3:$D$1315,$A22, DataRegularSeason20242025!$L$3:$L$1315, $A22,DataRegularSeason20242025!$N$3:$N$1315,1,DataRegularSeason20242025!$M$3:$M$1315,"OT")</f>
        <v>1</v>
      </c>
      <c r="O22">
        <f>COUNTIFS(DataRegularSeason20242025!$D$3:$D$1315,$A22, DataRegularSeason20242025!$L$3:$L$1315, $A22,DataRegularSeason20242025!$N$3:$N$1315,1,DataRegularSeason20242025!$M$3:$M$1315,"SO")</f>
        <v>0</v>
      </c>
      <c r="P22">
        <f t="shared" si="1"/>
        <v>3</v>
      </c>
      <c r="Q22">
        <f>COUNTIFS(DataRegularSeason20242025!$D$3:$D$1315,$A22, DataRegularSeason20242025!$S$3:$S$1315, $A22,DataRegularSeason20242025!$M$3:$M$1315,"REG")</f>
        <v>3</v>
      </c>
      <c r="R22">
        <f>COUNTIFS(DataRegularSeason20242025!$D$3:$D$1315,$A22, DataRegularSeason20242025!$S$3:$S$1315, $A22,DataRegularSeason20242025!$M$3:$M$1315,"OT")</f>
        <v>0</v>
      </c>
      <c r="S22">
        <f>COUNTIFS(DataRegularSeason20242025!$D$3:$D$1315,$A22, DataRegularSeason20242025!$S$3:$S$1315, $A22,DataRegularSeason20242025!$M$3:$M$1315,"SO")</f>
        <v>0</v>
      </c>
      <c r="T22">
        <f>COUNTIFS(DataRegularSeason20242025!$E$3:$E$1315,$A22, DataRegularSeason20242025!$L$3:$L$1315, $A22, DataRegularSeason20242025!$N$3:$N$1315,1)</f>
        <v>1</v>
      </c>
      <c r="U22">
        <f>COUNTIFS(DataRegularSeason20242025!$E$3:$E$1315,$A22, DataRegularSeason20242025!$L$3:$L$1315, $A22,DataRegularSeason20242025!$N$3:$N$1315,1,DataRegularSeason20242025!$M$3:$M$1315,"REG")</f>
        <v>1</v>
      </c>
      <c r="V22">
        <f>COUNTIFS(DataRegularSeason20242025!$E$3:$E$1315,$A22, DataRegularSeason20242025!$L$3:$L$1315, $A22,DataRegularSeason20242025!$N$3:$N$1315,1,DataRegularSeason20242025!$M$3:$M$1315,"OT")</f>
        <v>0</v>
      </c>
      <c r="W22">
        <f>COUNTIFS(DataRegularSeason20242025!$E$3:$E$1315,$A22, DataRegularSeason20242025!$L$3:$L$1315, $A22,DataRegularSeason20242025!$N$3:$N$1315,1,DataRegularSeason20242025!$M$3:$M$1315,"SO")</f>
        <v>0</v>
      </c>
      <c r="X22">
        <f t="shared" si="2"/>
        <v>1</v>
      </c>
      <c r="Y22">
        <f>COUNTIFS(DataRegularSeason20242025!$E$3:$E$1315,$A22, DataRegularSeason20242025!$S$3:$S$1315, $A22,DataRegularSeason20242025!$M$3:$M$1315,"REG")</f>
        <v>0</v>
      </c>
      <c r="Z22">
        <f>COUNTIFS(DataRegularSeason20242025!$E$3:$E$1315,$A22, DataRegularSeason20242025!$S$3:$S$1315, $A22,DataRegularSeason20242025!$M$3:$M$1315,"OT")</f>
        <v>0</v>
      </c>
      <c r="AA22">
        <f>COUNTIFS(DataRegularSeason20242025!$E$3:$E$1315,$A22, DataRegularSeason20242025!$S$3:$S$1315, $A22,DataRegularSeason20242025!$M$3:$M$1315,"SO")</f>
        <v>1</v>
      </c>
      <c r="AB22">
        <f>Table3[[#This Row],[W]]/MAX(1,Table3[[#This Row],[W]]+Table3[[#This Row],[L]])</f>
        <v>0.42857142857142855</v>
      </c>
      <c r="AC22">
        <f>Table3[[#This Row],[W_A]]+Table3[[#This Row],[W_H]]</f>
        <v>3</v>
      </c>
      <c r="AD22">
        <f>Table3[[#This Row],[L_A]]+Table3[[#This Row],[L_H]]</f>
        <v>4</v>
      </c>
      <c r="AE22">
        <f>Table3[[#This Row],[RW_A]]+Table3[[#This Row],[RW_H]]</f>
        <v>2</v>
      </c>
      <c r="AF22">
        <f>Table3[[#This Row],[RL_A]]+Table3[[#This Row],[RL_H]]</f>
        <v>3</v>
      </c>
      <c r="AG22">
        <f>Table3[[#This Row],[OTW_A]]+Table3[[#This Row],[OTW_H]]</f>
        <v>1</v>
      </c>
      <c r="AH22">
        <f>Table3[[#This Row],[OTL_A]]+Table3[[#This Row],[OTL_H]]</f>
        <v>0</v>
      </c>
      <c r="AI22">
        <f>Table3[[#This Row],[SOW_A]]+Table3[[#This Row],[SOW_H]]</f>
        <v>0</v>
      </c>
      <c r="AJ22">
        <f>Table3[[#This Row],[SOL_A]]+Table3[[#This Row],[SOL_H]]</f>
        <v>1</v>
      </c>
      <c r="AK22" s="15" t="str">
        <f>_xlfn.CONCAT(TEXT(Table3[[#This Row],[OTW]]+Table3[[#This Row],[SOW]], "0"), "-", TEXT(Table3[[#This Row],[OTL]]+Table3[[#This Row],[SOL]],"0"))</f>
        <v>1-1</v>
      </c>
      <c r="AL22">
        <f>SUM(Table3[[#This Row],[OTW]],Table3[[#This Row],[OTL]],Table3[[#This Row],[SOW]],Table3[[#This Row],[SOL]])</f>
        <v>2</v>
      </c>
      <c r="AM22">
        <f>(Table3[[#This Row],[OTW]]+Table3[[#This Row],[SOW]])/IF(Table3[[#This Row],[Total_ExtraTimes]]=0,1,Table3[[#This Row],[Total_ExtraTimes]])</f>
        <v>0.5</v>
      </c>
      <c r="AN22">
        <f>Table3[[#This Row],[Total_ExtraTimes]]/MAX(1,Table3[[#This Row],[GP]])</f>
        <v>0.2857142857142857</v>
      </c>
      <c r="AO22">
        <f>(2*(Table3[[#This Row],[W_A]]+Table3[[#This Row],[W_H]]))+Table3[[#This Row],[OTL_A]]+Table3[[#This Row],[SOL_A]]+Table3[[#This Row],[OTL_H]]+Table3[[#This Row],[SOL_H]]</f>
        <v>7</v>
      </c>
      <c r="AP2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9</v>
      </c>
      <c r="AQ22" s="10">
        <f>Table3[[#This Row],[PTS]]/(2*Table3[[#This Row],[GP]])</f>
        <v>0.5</v>
      </c>
      <c r="AR22" s="10">
        <f>Table3[[#This Row],[PTS2]]/(3*Table3[[#This Row],[GP]])</f>
        <v>0.42857142857142855</v>
      </c>
      <c r="AS22">
        <f>(2*Table3[[#This Row],[GR]])+Table3[[#This Row],[PTS]]</f>
        <v>157</v>
      </c>
      <c r="AT22">
        <f>(3*Table3[[#This Row],[GR]])+Table3[[#This Row],[PTS2]]</f>
        <v>234</v>
      </c>
      <c r="AU22">
        <f>Table3[[#This Row],[PTS]]+(2 * Table3[[#This Row],[GR]] * Table3[[#This Row],[PTS%]])</f>
        <v>82</v>
      </c>
      <c r="AV22">
        <f>Table3[[#This Row],[PTS2]]+(3 * Table3[[#This Row],[GR]] * Table3[[#This Row],[PTS%2]])</f>
        <v>105.42857142857142</v>
      </c>
      <c r="AW22" s="15" t="str">
        <f>_xlfn.CONCAT(TEXT(Table3[[#This Row],[W]], "0"), "-", TEXT(Table3[[#This Row],[RL]],"0"), "-", TEXT(Table3[[#This Row],[OTL]]+Table3[[#This Row],[SOL]], "0"))</f>
        <v>3-3-1</v>
      </c>
      <c r="AX22">
        <f>COUNTIFS(DataRegularSeason20242025!$D$3:$D$1315,Table3[[#This Row],[Teams]],DataRegularSeason20242025!$K$3:$K$1315,0)</f>
        <v>1</v>
      </c>
      <c r="AY22">
        <f>SUMIF(DataRegularSeason20242025!$D$3:$D$1315,$A22, DataRegularSeason20242025!$J$3:$J$1315)</f>
        <v>12</v>
      </c>
      <c r="AZ22">
        <f>SUMIF(DataRegularSeason20242025!$D$3:$D$1315,$A22, DataRegularSeason20242025!$K$3:$K$1315)</f>
        <v>15</v>
      </c>
      <c r="BA22">
        <f t="shared" si="3"/>
        <v>-3</v>
      </c>
      <c r="BB22">
        <f>COUNTIFS(DataRegularSeason20242025!$E$3:$E$1315,Table3[[#This Row],[Teams]],DataRegularSeason20242025!$J$3:$J$1315,0)</f>
        <v>0</v>
      </c>
      <c r="BC22">
        <f>SUMIF(DataRegularSeason20242025!$E$3:$E$1315,$A22,DataRegularSeason20242025!$K$3:$K$1315)</f>
        <v>6</v>
      </c>
      <c r="BD22">
        <f>SUMIF(DataRegularSeason20242025!$E$3:$E$1315,$A22,DataRegularSeason20242025!$J$3:$J$1315)</f>
        <v>5</v>
      </c>
      <c r="BE22">
        <f t="shared" si="4"/>
        <v>1</v>
      </c>
      <c r="BF22">
        <f t="shared" si="5"/>
        <v>18</v>
      </c>
      <c r="BG22">
        <f t="shared" si="6"/>
        <v>20</v>
      </c>
      <c r="BH22">
        <f t="shared" si="7"/>
        <v>-2</v>
      </c>
      <c r="BI22" s="12">
        <f>Table3[[#This Row],[GF]]/Table3[[#This Row],[GP]]</f>
        <v>2.5714285714285716</v>
      </c>
      <c r="BJ22" s="12">
        <f>Table3[[#This Row],[GA]]/Table3[[#This Row],[GP]]</f>
        <v>2.8571428571428572</v>
      </c>
      <c r="BK22" s="12">
        <f>(Table3[[#This Row],[GF]]-Table3[[#This Row],[GA]])/Table3[[#This Row],[GP]]</f>
        <v>-0.2857142857142857</v>
      </c>
      <c r="BL22" s="42" t="str">
        <f>_xlfn.CONCAT(TEXT(Table3[[#This Row],[W_H]], "0"), "-", TEXT(Table3[[#This Row],[RL_H]],"0"), "-", TEXT(Table3[[#This Row],[OTL_H]]+Table3[[#This Row],[SOL_H]], "0"))</f>
        <v>1-0-1</v>
      </c>
      <c r="BM22" s="42" t="str">
        <f>_xlfn.CONCAT(TEXT(Table3[[#This Row],[W_A]], "0"), "-", TEXT(Table3[[#This Row],[RL_A]],"0"), "-", TEXT(Table3[[#This Row],[OTL_A]]+Table3[[#This Row],[SOL_A]], "0"))</f>
        <v>2-3-0</v>
      </c>
      <c r="BN22" s="42">
        <f>((2*(Table3[[#This Row],[W_H]]))+Table3[[#This Row],[OTL_H]]+Table3[[#This Row],[SOL_H]])/(2*Table3[[#This Row],[GP_H]])</f>
        <v>0.75</v>
      </c>
      <c r="BO22" s="42">
        <f>((2*(Table3[[#This Row],[W_A]]))+Table3[[#This Row],[OTL_A]]+Table3[[#This Row],[SOL_A]])/(2*Table3[[#This Row],[GP_A]])</f>
        <v>0.4</v>
      </c>
      <c r="BP22" s="16">
        <f>(Table3[[#This Row],[W]]*$CX$3)+(Table3[[#This Row],[L]]*$CX$4)+(Table3[[#This Row],[GF]]*$CX$5)+(Table3[[#This Row],[GA]]*$CX$6)</f>
        <v>7.4</v>
      </c>
      <c r="BQ2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67.142857142857139</v>
      </c>
      <c r="BR22" s="16">
        <f>(Table3[[#This Row],[W]]*0.7) + ((Table3[[#This Row],[GF]] - Table3[[#This Row],[GA]])*0.25)+(Table3[[#This Row],[GF]]*0.1)+(Table3[[#This Row],[GA]]*0.05)+(Table3[[#This Row],[L]]*0.3)</f>
        <v>5.6</v>
      </c>
      <c r="BS22" s="16">
        <f>Table3[[#This Row],[TeamCost83]]/Table3[[#This Row],[GP]]</f>
        <v>0.79999999999999993</v>
      </c>
      <c r="BT22">
        <f>COUNTIFS(Table2[AwayTeam],$A22,Table2[PredictedWinner], $A22, Table2[GameIsOver], 1)</f>
        <v>4</v>
      </c>
      <c r="BU22">
        <f>COUNTIFS(Table2[HomeTeam],$A22,Table2[PredictedWinner], $A22, Table2[GameIsOver], 1)</f>
        <v>1</v>
      </c>
      <c r="BV22">
        <f t="shared" si="8"/>
        <v>5</v>
      </c>
      <c r="BW22">
        <f t="shared" si="9"/>
        <v>1</v>
      </c>
      <c r="BX22">
        <f t="shared" si="10"/>
        <v>1</v>
      </c>
      <c r="BY22">
        <f t="shared" si="11"/>
        <v>2</v>
      </c>
      <c r="BZ22">
        <f>Table3[[#This Row],[TimesPredictedWinner]]/Table3[[#This Row],[GP]]</f>
        <v>0.7142857142857143</v>
      </c>
      <c r="CB22">
        <v>1990</v>
      </c>
      <c r="CD22" s="1">
        <v>45758</v>
      </c>
      <c r="CE22" t="str">
        <f>INDEX(Table2[AwayTeam], Table3[[#This Row],[Column2]])</f>
        <v>VGK</v>
      </c>
      <c r="CF22">
        <f>LARGE((Table2[[#This Row],[AwayTeam]]=Table3[[#This Row],[Teams]]), 1)</f>
        <v>0</v>
      </c>
      <c r="CI22">
        <f>SUMIFS(Table2[GamePredictionScore], Table2[AwayTeam], Table3[[#This Row],[Teams]])</f>
        <v>2.6</v>
      </c>
      <c r="CJ22">
        <f>SUMIFS(Table2[GamePredictionScore], Table2[HomeTeam], Table3[[#This Row],[Teams]])</f>
        <v>0.2</v>
      </c>
      <c r="CK22">
        <f>Table3[[#This Row],[Column4]]+Table3[[#This Row],[Column3]]</f>
        <v>2.8000000000000003</v>
      </c>
      <c r="CL22">
        <f>Table3[[#This Row],[Column5]]/Table3[[#This Row],[GP]]</f>
        <v>0.4</v>
      </c>
      <c r="CV22" s="72"/>
      <c r="CW22" s="57">
        <v>4</v>
      </c>
      <c r="CX22" s="16">
        <f t="shared" ref="CX22:DH28" si="17">($CW22*$CX$5)+(CX$17*$CX$6) + IF($CW22&gt;CX$17,$CX$3,$CX$4)</f>
        <v>1.1000000000000001</v>
      </c>
      <c r="CY22" s="16">
        <f t="shared" si="17"/>
        <v>1.2</v>
      </c>
      <c r="CZ22" s="16">
        <f t="shared" si="17"/>
        <v>1.3</v>
      </c>
      <c r="DA22" s="16">
        <f t="shared" si="17"/>
        <v>1.4</v>
      </c>
      <c r="DB22" s="73"/>
      <c r="DC22" s="16">
        <f t="shared" si="17"/>
        <v>1.4000000000000001</v>
      </c>
      <c r="DD22" s="16">
        <f t="shared" si="17"/>
        <v>1.5000000000000002</v>
      </c>
      <c r="DE22" s="16">
        <f t="shared" si="17"/>
        <v>1.6</v>
      </c>
      <c r="DF22" s="16">
        <f t="shared" si="17"/>
        <v>1.7</v>
      </c>
      <c r="DG22" s="16">
        <f t="shared" si="17"/>
        <v>1.8</v>
      </c>
      <c r="DH22" s="74">
        <f t="shared" si="17"/>
        <v>1.9000000000000001</v>
      </c>
      <c r="EB22" s="72"/>
      <c r="EC22" s="57">
        <v>4</v>
      </c>
      <c r="ED22" s="16">
        <f t="shared" ref="ED22:EN22" si="18">(IF($EC22&gt;EC$17, 1, 0)*0.7) + (($EC22 - EC$17)*0.25)+($EC22*0.1)+(EC$17*0.05)+(IF($EC22&gt;EC$17, 1, 0)*0.3)</f>
        <v>2.4</v>
      </c>
      <c r="EE22" s="16">
        <f t="shared" si="18"/>
        <v>2.4</v>
      </c>
      <c r="EF22" s="16">
        <f t="shared" si="18"/>
        <v>2.2000000000000002</v>
      </c>
      <c r="EG22" s="16">
        <f t="shared" si="18"/>
        <v>2</v>
      </c>
      <c r="EH22" s="16">
        <f t="shared" si="18"/>
        <v>1.8</v>
      </c>
      <c r="EI22" s="16">
        <f t="shared" si="18"/>
        <v>0.60000000000000009</v>
      </c>
      <c r="EJ22" s="16">
        <f t="shared" si="18"/>
        <v>0.4</v>
      </c>
      <c r="EK22" s="16">
        <f t="shared" si="18"/>
        <v>0.20000000000000007</v>
      </c>
      <c r="EL22" s="16">
        <f t="shared" si="18"/>
        <v>5.5511151231257827E-17</v>
      </c>
      <c r="EM22" s="16">
        <f t="shared" si="18"/>
        <v>-0.19999999999999996</v>
      </c>
      <c r="EN22" s="16">
        <f t="shared" si="18"/>
        <v>-0.39999999999999997</v>
      </c>
    </row>
    <row r="23" spans="1:144" x14ac:dyDescent="0.25">
      <c r="A23" t="s">
        <v>32</v>
      </c>
      <c r="B23" t="s">
        <v>91</v>
      </c>
      <c r="C23" t="s">
        <v>92</v>
      </c>
      <c r="D23">
        <f>COUNTIFS(DataRegularSeason20242025!$D$3:$D$1315,$A23,DataRegularSeason20242025!$R$3:$R$1315,1,DataRegularSeason20242025!$N$3:$N$1315,1) + COUNTIFS(DataRegularSeason20242025!$E$3:$E$1315,$A23,DataRegularSeason20242025!$R$3:$R$1315,1,DataRegularSeason20242025!$N$3:$N$1315,1)</f>
        <v>2</v>
      </c>
      <c r="E23" s="10">
        <f>Table3[[#This Row],[Watched]]/Table3[[#This Row],[GP]]</f>
        <v>0.33333333333333331</v>
      </c>
      <c r="F23">
        <f>COUNTIFS(DataRegularSeason20242025!$N$3:$N$1315,1,DataRegularSeason20242025!$D$3:$D$1315,$A23)</f>
        <v>2</v>
      </c>
      <c r="G23">
        <f>41-Table3[[#This Row],[GP_A]]</f>
        <v>39</v>
      </c>
      <c r="H23">
        <f>COUNTIFS(DataRegularSeason20242025!$E$3:$E$1315,$A23,DataRegularSeason20242025!$N$3:$N$1315,1)</f>
        <v>4</v>
      </c>
      <c r="I23">
        <f>41-Table3[[#This Row],[GP_H]]</f>
        <v>37</v>
      </c>
      <c r="J23">
        <f t="shared" si="0"/>
        <v>6</v>
      </c>
      <c r="K23">
        <f>82-Table3[[#This Row],[GP]]</f>
        <v>76</v>
      </c>
      <c r="L23">
        <f>COUNTIFS(DataRegularSeason20242025!$D$3:$D$1315,$A23, DataRegularSeason20242025!$L$3:$L$1315, $A23,DataRegularSeason20242025!$N$3:$N$1315,1)</f>
        <v>1</v>
      </c>
      <c r="M23">
        <f>COUNTIFS(DataRegularSeason20242025!$D$3:$D$1315,$A23, DataRegularSeason20242025!$L$3:$L$1315, $A23,DataRegularSeason20242025!$N$3:$N$1315,1,DataRegularSeason20242025!$M$3:$M$1315,"REG")</f>
        <v>1</v>
      </c>
      <c r="N23">
        <f>COUNTIFS(DataRegularSeason20242025!$D$3:$D$1315,$A23, DataRegularSeason20242025!$L$3:$L$1315, $A23,DataRegularSeason20242025!$N$3:$N$1315,1,DataRegularSeason20242025!$M$3:$M$1315,"OT")</f>
        <v>0</v>
      </c>
      <c r="O23">
        <f>COUNTIFS(DataRegularSeason20242025!$D$3:$D$1315,$A23, DataRegularSeason20242025!$L$3:$L$1315, $A23,DataRegularSeason20242025!$N$3:$N$1315,1,DataRegularSeason20242025!$M$3:$M$1315,"SO")</f>
        <v>0</v>
      </c>
      <c r="P23">
        <f t="shared" si="1"/>
        <v>1</v>
      </c>
      <c r="Q23">
        <f>COUNTIFS(DataRegularSeason20242025!$D$3:$D$1315,$A23, DataRegularSeason20242025!$S$3:$S$1315, $A23,DataRegularSeason20242025!$M$3:$M$1315,"REG")</f>
        <v>1</v>
      </c>
      <c r="R23">
        <f>COUNTIFS(DataRegularSeason20242025!$D$3:$D$1315,$A23, DataRegularSeason20242025!$S$3:$S$1315, $A23,DataRegularSeason20242025!$M$3:$M$1315,"OT")</f>
        <v>0</v>
      </c>
      <c r="S23">
        <f>COUNTIFS(DataRegularSeason20242025!$D$3:$D$1315,$A23, DataRegularSeason20242025!$S$3:$S$1315, $A23,DataRegularSeason20242025!$M$3:$M$1315,"SO")</f>
        <v>0</v>
      </c>
      <c r="T23">
        <f>COUNTIFS(DataRegularSeason20242025!$E$3:$E$1315,$A23, DataRegularSeason20242025!$L$3:$L$1315, $A23, DataRegularSeason20242025!$N$3:$N$1315,1)</f>
        <v>2</v>
      </c>
      <c r="U23">
        <f>COUNTIFS(DataRegularSeason20242025!$E$3:$E$1315,$A23, DataRegularSeason20242025!$L$3:$L$1315, $A23,DataRegularSeason20242025!$N$3:$N$1315,1,DataRegularSeason20242025!$M$3:$M$1315,"REG")</f>
        <v>2</v>
      </c>
      <c r="V23">
        <f>COUNTIFS(DataRegularSeason20242025!$E$3:$E$1315,$A23, DataRegularSeason20242025!$L$3:$L$1315, $A23,DataRegularSeason20242025!$N$3:$N$1315,1,DataRegularSeason20242025!$M$3:$M$1315,"OT")</f>
        <v>0</v>
      </c>
      <c r="W23">
        <f>COUNTIFS(DataRegularSeason20242025!$E$3:$E$1315,$A23, DataRegularSeason20242025!$L$3:$L$1315, $A23,DataRegularSeason20242025!$N$3:$N$1315,1,DataRegularSeason20242025!$M$3:$M$1315,"SO")</f>
        <v>0</v>
      </c>
      <c r="X23">
        <f t="shared" si="2"/>
        <v>2</v>
      </c>
      <c r="Y23">
        <f>COUNTIFS(DataRegularSeason20242025!$E$3:$E$1315,$A23, DataRegularSeason20242025!$S$3:$S$1315, $A23,DataRegularSeason20242025!$M$3:$M$1315,"REG")</f>
        <v>2</v>
      </c>
      <c r="Z23">
        <f>COUNTIFS(DataRegularSeason20242025!$E$3:$E$1315,$A23, DataRegularSeason20242025!$S$3:$S$1315, $A23,DataRegularSeason20242025!$M$3:$M$1315,"OT")</f>
        <v>0</v>
      </c>
      <c r="AA23">
        <f>COUNTIFS(DataRegularSeason20242025!$E$3:$E$1315,$A23, DataRegularSeason20242025!$S$3:$S$1315, $A23,DataRegularSeason20242025!$M$3:$M$1315,"SO")</f>
        <v>0</v>
      </c>
      <c r="AB23">
        <f>Table3[[#This Row],[W]]/MAX(1,Table3[[#This Row],[W]]+Table3[[#This Row],[L]])</f>
        <v>0.5</v>
      </c>
      <c r="AC23">
        <f>Table3[[#This Row],[W_A]]+Table3[[#This Row],[W_H]]</f>
        <v>3</v>
      </c>
      <c r="AD23">
        <f>Table3[[#This Row],[L_A]]+Table3[[#This Row],[L_H]]</f>
        <v>3</v>
      </c>
      <c r="AE23">
        <f>Table3[[#This Row],[RW_A]]+Table3[[#This Row],[RW_H]]</f>
        <v>3</v>
      </c>
      <c r="AF23">
        <f>Table3[[#This Row],[RL_A]]+Table3[[#This Row],[RL_H]]</f>
        <v>3</v>
      </c>
      <c r="AG23">
        <f>Table3[[#This Row],[OTW_A]]+Table3[[#This Row],[OTW_H]]</f>
        <v>0</v>
      </c>
      <c r="AH23">
        <f>Table3[[#This Row],[OTL_A]]+Table3[[#This Row],[OTL_H]]</f>
        <v>0</v>
      </c>
      <c r="AI23">
        <f>Table3[[#This Row],[SOW_A]]+Table3[[#This Row],[SOW_H]]</f>
        <v>0</v>
      </c>
      <c r="AJ23">
        <f>Table3[[#This Row],[SOL_A]]+Table3[[#This Row],[SOL_H]]</f>
        <v>0</v>
      </c>
      <c r="AK23" s="15" t="str">
        <f>_xlfn.CONCAT(TEXT(Table3[[#This Row],[OTW]]+Table3[[#This Row],[SOW]], "0"), "-", TEXT(Table3[[#This Row],[OTL]]+Table3[[#This Row],[SOL]],"0"))</f>
        <v>0-0</v>
      </c>
      <c r="AL23">
        <f>SUM(Table3[[#This Row],[OTW]],Table3[[#This Row],[OTL]],Table3[[#This Row],[SOW]],Table3[[#This Row],[SOL]])</f>
        <v>0</v>
      </c>
      <c r="AM23">
        <f>(Table3[[#This Row],[OTW]]+Table3[[#This Row],[SOW]])/IF(Table3[[#This Row],[Total_ExtraTimes]]=0,1,Table3[[#This Row],[Total_ExtraTimes]])</f>
        <v>0</v>
      </c>
      <c r="AN23">
        <f>Table3[[#This Row],[Total_ExtraTimes]]/MAX(1,Table3[[#This Row],[GP]])</f>
        <v>0</v>
      </c>
      <c r="AO23">
        <f>(2*(Table3[[#This Row],[W_A]]+Table3[[#This Row],[W_H]]))+Table3[[#This Row],[OTL_A]]+Table3[[#This Row],[SOL_A]]+Table3[[#This Row],[OTL_H]]+Table3[[#This Row],[SOL_H]]</f>
        <v>6</v>
      </c>
      <c r="AP2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9</v>
      </c>
      <c r="AQ23" s="10">
        <f>Table3[[#This Row],[PTS]]/(2*Table3[[#This Row],[GP]])</f>
        <v>0.5</v>
      </c>
      <c r="AR23" s="10">
        <f>Table3[[#This Row],[PTS2]]/(3*Table3[[#This Row],[GP]])</f>
        <v>0.5</v>
      </c>
      <c r="AS23">
        <f>(2*Table3[[#This Row],[GR]])+Table3[[#This Row],[PTS]]</f>
        <v>158</v>
      </c>
      <c r="AT23">
        <f>(3*Table3[[#This Row],[GR]])+Table3[[#This Row],[PTS2]]</f>
        <v>237</v>
      </c>
      <c r="AU23">
        <f>Table3[[#This Row],[PTS]]+(2 * Table3[[#This Row],[GR]] * Table3[[#This Row],[PTS%]])</f>
        <v>82</v>
      </c>
      <c r="AV23">
        <f>Table3[[#This Row],[PTS2]]+(3 * Table3[[#This Row],[GR]] * Table3[[#This Row],[PTS%2]])</f>
        <v>123</v>
      </c>
      <c r="AW23" s="15" t="str">
        <f>_xlfn.CONCAT(TEXT(Table3[[#This Row],[W]], "0"), "-", TEXT(Table3[[#This Row],[RL]],"0"), "-", TEXT(Table3[[#This Row],[OTL]]+Table3[[#This Row],[SOL]], "0"))</f>
        <v>3-3-0</v>
      </c>
      <c r="AX23">
        <f>COUNTIFS(DataRegularSeason20242025!$D$3:$D$1315,Table3[[#This Row],[Teams]],DataRegularSeason20242025!$K$3:$K$1315,0)</f>
        <v>0</v>
      </c>
      <c r="AY23">
        <f>SUMIF(DataRegularSeason20242025!$D$3:$D$1315,$A23, DataRegularSeason20242025!$J$3:$J$1315)</f>
        <v>8</v>
      </c>
      <c r="AZ23">
        <f>SUMIF(DataRegularSeason20242025!$D$3:$D$1315,$A23, DataRegularSeason20242025!$K$3:$K$1315)</f>
        <v>8</v>
      </c>
      <c r="BA23">
        <f t="shared" si="3"/>
        <v>0</v>
      </c>
      <c r="BB23">
        <f>COUNTIFS(DataRegularSeason20242025!$E$3:$E$1315,Table3[[#This Row],[Teams]],DataRegularSeason20242025!$J$3:$J$1315,0)</f>
        <v>0</v>
      </c>
      <c r="BC23">
        <f>SUMIF(DataRegularSeason20242025!$E$3:$E$1315,$A23,DataRegularSeason20242025!$K$3:$K$1315)</f>
        <v>12</v>
      </c>
      <c r="BD23">
        <f>SUMIF(DataRegularSeason20242025!$E$3:$E$1315,$A23,DataRegularSeason20242025!$J$3:$J$1315)</f>
        <v>14</v>
      </c>
      <c r="BE23">
        <f t="shared" si="4"/>
        <v>-2</v>
      </c>
      <c r="BF23">
        <f t="shared" si="5"/>
        <v>20</v>
      </c>
      <c r="BG23">
        <f t="shared" si="6"/>
        <v>22</v>
      </c>
      <c r="BH23">
        <f t="shared" si="7"/>
        <v>-2</v>
      </c>
      <c r="BI23" s="12">
        <f>Table3[[#This Row],[GF]]/Table3[[#This Row],[GP]]</f>
        <v>3.3333333333333335</v>
      </c>
      <c r="BJ23" s="12">
        <f>Table3[[#This Row],[GA]]/Table3[[#This Row],[GP]]</f>
        <v>3.6666666666666665</v>
      </c>
      <c r="BK23" s="12">
        <f>(Table3[[#This Row],[GF]]-Table3[[#This Row],[GA]])/Table3[[#This Row],[GP]]</f>
        <v>-0.33333333333333331</v>
      </c>
      <c r="BL23" s="42" t="str">
        <f>_xlfn.CONCAT(TEXT(Table3[[#This Row],[W_H]], "0"), "-", TEXT(Table3[[#This Row],[RL_H]],"0"), "-", TEXT(Table3[[#This Row],[OTL_H]]+Table3[[#This Row],[SOL_H]], "0"))</f>
        <v>2-2-0</v>
      </c>
      <c r="BM23" s="42" t="str">
        <f>_xlfn.CONCAT(TEXT(Table3[[#This Row],[W_A]], "0"), "-", TEXT(Table3[[#This Row],[RL_A]],"0"), "-", TEXT(Table3[[#This Row],[OTL_A]]+Table3[[#This Row],[SOL_A]], "0"))</f>
        <v>1-1-0</v>
      </c>
      <c r="BN23" s="42">
        <f>((2*(Table3[[#This Row],[W_H]]))+Table3[[#This Row],[OTL_H]]+Table3[[#This Row],[SOL_H]])/(2*Table3[[#This Row],[GP_H]])</f>
        <v>0.5</v>
      </c>
      <c r="BO23" s="42">
        <f>((2*(Table3[[#This Row],[W_A]]))+Table3[[#This Row],[OTL_A]]+Table3[[#This Row],[SOL_A]])/(2*Table3[[#This Row],[GP_A]])</f>
        <v>0.5</v>
      </c>
      <c r="BP23" s="16">
        <f>(Table3[[#This Row],[W]]*$CX$3)+(Table3[[#This Row],[L]]*$CX$4)+(Table3[[#This Row],[GF]]*$CX$5)+(Table3[[#This Row],[GA]]*$CX$6)</f>
        <v>7.6000000000000005</v>
      </c>
      <c r="BQ2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84.13333333333334</v>
      </c>
      <c r="BR23" s="16">
        <f>(Table3[[#This Row],[W]]*0.7) + ((Table3[[#This Row],[GF]] - Table3[[#This Row],[GA]])*0.25)+(Table3[[#This Row],[GF]]*0.1)+(Table3[[#This Row],[GA]]*0.05)+(Table3[[#This Row],[L]]*0.3)</f>
        <v>5.6</v>
      </c>
      <c r="BS23" s="16">
        <f>Table3[[#This Row],[TeamCost83]]/Table3[[#This Row],[GP]]</f>
        <v>0.93333333333333324</v>
      </c>
      <c r="BT23">
        <f>COUNTIFS(Table2[AwayTeam],$A23,Table2[PredictedWinner], $A23, Table2[GameIsOver], 1)</f>
        <v>0</v>
      </c>
      <c r="BU23">
        <f>COUNTIFS(Table2[HomeTeam],$A23,Table2[PredictedWinner], $A23, Table2[GameIsOver], 1)</f>
        <v>0</v>
      </c>
      <c r="BV23">
        <f t="shared" si="8"/>
        <v>0</v>
      </c>
      <c r="BW23">
        <f t="shared" si="9"/>
        <v>2</v>
      </c>
      <c r="BX23">
        <f t="shared" si="10"/>
        <v>4</v>
      </c>
      <c r="BY23">
        <f t="shared" si="11"/>
        <v>6</v>
      </c>
      <c r="BZ23">
        <f>Table3[[#This Row],[TimesPredictedWinner]]/Table3[[#This Row],[GP]]</f>
        <v>0</v>
      </c>
      <c r="CB23">
        <v>1983</v>
      </c>
      <c r="CC23" s="1">
        <v>45759</v>
      </c>
      <c r="CE23" t="str">
        <f>INDEX(Table2[AwayTeam], Table3[[#This Row],[Column2]])</f>
        <v>ANA</v>
      </c>
      <c r="CF23">
        <f>LARGE((Table2[[#This Row],[AwayTeam]]=Table3[[#This Row],[Teams]]), 1)</f>
        <v>0</v>
      </c>
      <c r="CI23">
        <f>SUMIFS(Table2[GamePredictionScore], Table2[AwayTeam], Table3[[#This Row],[Teams]])</f>
        <v>0.9</v>
      </c>
      <c r="CJ23">
        <f>SUMIFS(Table2[GamePredictionScore], Table2[HomeTeam], Table3[[#This Row],[Teams]])</f>
        <v>2</v>
      </c>
      <c r="CK23">
        <f>Table3[[#This Row],[Column4]]+Table3[[#This Row],[Column3]]</f>
        <v>2.9</v>
      </c>
      <c r="CL23">
        <f>Table3[[#This Row],[Column5]]/Table3[[#This Row],[GP]]</f>
        <v>0.48333333333333334</v>
      </c>
      <c r="CV23" s="72"/>
      <c r="CW23" s="57">
        <v>5</v>
      </c>
      <c r="CX23" s="16">
        <f t="shared" si="17"/>
        <v>1.25</v>
      </c>
      <c r="CY23" s="16">
        <f t="shared" si="17"/>
        <v>1.35</v>
      </c>
      <c r="CZ23" s="16">
        <f t="shared" si="17"/>
        <v>1.45</v>
      </c>
      <c r="DA23" s="16">
        <f t="shared" si="17"/>
        <v>1.55</v>
      </c>
      <c r="DB23" s="16">
        <f t="shared" si="17"/>
        <v>1.65</v>
      </c>
      <c r="DC23" s="73"/>
      <c r="DD23" s="16">
        <f t="shared" si="17"/>
        <v>1.6500000000000001</v>
      </c>
      <c r="DE23" s="16">
        <f t="shared" si="17"/>
        <v>1.7500000000000002</v>
      </c>
      <c r="DF23" s="16">
        <f t="shared" si="17"/>
        <v>1.85</v>
      </c>
      <c r="DG23" s="16">
        <f t="shared" si="17"/>
        <v>1.95</v>
      </c>
      <c r="DH23" s="74">
        <f t="shared" si="17"/>
        <v>2.0499999999999998</v>
      </c>
      <c r="EB23" s="72"/>
      <c r="EC23" s="57">
        <v>5</v>
      </c>
      <c r="ED23" s="16">
        <f t="shared" ref="ED23:EN23" si="19">(IF($EC23&gt;EC$17, 1, 0)*0.7) + (($EC23 - EC$17)*0.25)+($EC23*0.1)+(EC$17*0.05)+(IF($EC23&gt;EC$17, 1, 0)*0.3)</f>
        <v>2.75</v>
      </c>
      <c r="EE23" s="16">
        <f t="shared" si="19"/>
        <v>2.75</v>
      </c>
      <c r="EF23" s="16">
        <f t="shared" si="19"/>
        <v>2.5499999999999998</v>
      </c>
      <c r="EG23" s="16">
        <f t="shared" si="19"/>
        <v>2.3499999999999996</v>
      </c>
      <c r="EH23" s="16">
        <f t="shared" si="19"/>
        <v>2.15</v>
      </c>
      <c r="EI23" s="16">
        <f t="shared" si="19"/>
        <v>1.95</v>
      </c>
      <c r="EJ23" s="16">
        <f t="shared" si="19"/>
        <v>0.75</v>
      </c>
      <c r="EK23" s="16">
        <f t="shared" si="19"/>
        <v>0.55000000000000004</v>
      </c>
      <c r="EL23" s="16">
        <f t="shared" si="19"/>
        <v>0.35000000000000003</v>
      </c>
      <c r="EM23" s="16">
        <f t="shared" si="19"/>
        <v>0.15000000000000002</v>
      </c>
      <c r="EN23" s="16">
        <f t="shared" si="19"/>
        <v>-4.9999999999999989E-2</v>
      </c>
    </row>
    <row r="24" spans="1:144" x14ac:dyDescent="0.25">
      <c r="A24" t="s">
        <v>35</v>
      </c>
      <c r="B24" t="s">
        <v>91</v>
      </c>
      <c r="C24" t="s">
        <v>92</v>
      </c>
      <c r="D24">
        <f>COUNTIFS(DataRegularSeason20242025!$D$3:$D$1315,$A24,DataRegularSeason20242025!$R$3:$R$1315,1,DataRegularSeason20242025!$N$3:$N$1315,1) + COUNTIFS(DataRegularSeason20242025!$E$3:$E$1315,$A24,DataRegularSeason20242025!$R$3:$R$1315,1,DataRegularSeason20242025!$N$3:$N$1315,1)</f>
        <v>1</v>
      </c>
      <c r="E24" s="10">
        <f>Table3[[#This Row],[Watched]]/Table3[[#This Row],[GP]]</f>
        <v>0.16666666666666666</v>
      </c>
      <c r="F24">
        <f>COUNTIFS(DataRegularSeason20242025!$N$3:$N$1315,1,DataRegularSeason20242025!$D$3:$D$1315,$A24)</f>
        <v>3</v>
      </c>
      <c r="G24">
        <f>41-Table3[[#This Row],[GP_A]]</f>
        <v>38</v>
      </c>
      <c r="H24">
        <f>COUNTIFS(DataRegularSeason20242025!$E$3:$E$1315,$A24,DataRegularSeason20242025!$N$3:$N$1315,1)</f>
        <v>3</v>
      </c>
      <c r="I24">
        <f>41-Table3[[#This Row],[GP_H]]</f>
        <v>38</v>
      </c>
      <c r="J24">
        <f t="shared" si="0"/>
        <v>6</v>
      </c>
      <c r="K24">
        <f>82-Table3[[#This Row],[GP]]</f>
        <v>76</v>
      </c>
      <c r="L24">
        <f>COUNTIFS(DataRegularSeason20242025!$D$3:$D$1315,$A24, DataRegularSeason20242025!$L$3:$L$1315, $A24,DataRegularSeason20242025!$N$3:$N$1315,1)</f>
        <v>2</v>
      </c>
      <c r="M24">
        <f>COUNTIFS(DataRegularSeason20242025!$D$3:$D$1315,$A24, DataRegularSeason20242025!$L$3:$L$1315, $A24,DataRegularSeason20242025!$N$3:$N$1315,1,DataRegularSeason20242025!$M$3:$M$1315,"REG")</f>
        <v>2</v>
      </c>
      <c r="N24">
        <f>COUNTIFS(DataRegularSeason20242025!$D$3:$D$1315,$A24, DataRegularSeason20242025!$L$3:$L$1315, $A24,DataRegularSeason20242025!$N$3:$N$1315,1,DataRegularSeason20242025!$M$3:$M$1315,"OT")</f>
        <v>0</v>
      </c>
      <c r="O24">
        <f>COUNTIFS(DataRegularSeason20242025!$D$3:$D$1315,$A24, DataRegularSeason20242025!$L$3:$L$1315, $A24,DataRegularSeason20242025!$N$3:$N$1315,1,DataRegularSeason20242025!$M$3:$M$1315,"SO")</f>
        <v>0</v>
      </c>
      <c r="P24">
        <f t="shared" si="1"/>
        <v>1</v>
      </c>
      <c r="Q24">
        <f>COUNTIFS(DataRegularSeason20242025!$D$3:$D$1315,$A24, DataRegularSeason20242025!$S$3:$S$1315, $A24,DataRegularSeason20242025!$M$3:$M$1315,"REG")</f>
        <v>1</v>
      </c>
      <c r="R24">
        <f>COUNTIFS(DataRegularSeason20242025!$D$3:$D$1315,$A24, DataRegularSeason20242025!$S$3:$S$1315, $A24,DataRegularSeason20242025!$M$3:$M$1315,"OT")</f>
        <v>0</v>
      </c>
      <c r="S24">
        <f>COUNTIFS(DataRegularSeason20242025!$D$3:$D$1315,$A24, DataRegularSeason20242025!$S$3:$S$1315, $A24,DataRegularSeason20242025!$M$3:$M$1315,"SO")</f>
        <v>0</v>
      </c>
      <c r="T24">
        <f>COUNTIFS(DataRegularSeason20242025!$E$3:$E$1315,$A24, DataRegularSeason20242025!$L$3:$L$1315, $A24, DataRegularSeason20242025!$N$3:$N$1315,1)</f>
        <v>1</v>
      </c>
      <c r="U24">
        <f>COUNTIFS(DataRegularSeason20242025!$E$3:$E$1315,$A24, DataRegularSeason20242025!$L$3:$L$1315, $A24,DataRegularSeason20242025!$N$3:$N$1315,1,DataRegularSeason20242025!$M$3:$M$1315,"REG")</f>
        <v>1</v>
      </c>
      <c r="V24">
        <f>COUNTIFS(DataRegularSeason20242025!$E$3:$E$1315,$A24, DataRegularSeason20242025!$L$3:$L$1315, $A24,DataRegularSeason20242025!$N$3:$N$1315,1,DataRegularSeason20242025!$M$3:$M$1315,"OT")</f>
        <v>0</v>
      </c>
      <c r="W24">
        <f>COUNTIFS(DataRegularSeason20242025!$E$3:$E$1315,$A24, DataRegularSeason20242025!$L$3:$L$1315, $A24,DataRegularSeason20242025!$N$3:$N$1315,1,DataRegularSeason20242025!$M$3:$M$1315,"SO")</f>
        <v>0</v>
      </c>
      <c r="X24">
        <f t="shared" si="2"/>
        <v>2</v>
      </c>
      <c r="Y24">
        <f>COUNTIFS(DataRegularSeason20242025!$E$3:$E$1315,$A24, DataRegularSeason20242025!$S$3:$S$1315, $A24,DataRegularSeason20242025!$M$3:$M$1315,"REG")</f>
        <v>2</v>
      </c>
      <c r="Z24">
        <f>COUNTIFS(DataRegularSeason20242025!$E$3:$E$1315,$A24, DataRegularSeason20242025!$S$3:$S$1315, $A24,DataRegularSeason20242025!$M$3:$M$1315,"OT")</f>
        <v>0</v>
      </c>
      <c r="AA24">
        <f>COUNTIFS(DataRegularSeason20242025!$E$3:$E$1315,$A24, DataRegularSeason20242025!$S$3:$S$1315, $A24,DataRegularSeason20242025!$M$3:$M$1315,"SO")</f>
        <v>0</v>
      </c>
      <c r="AB24">
        <f>Table3[[#This Row],[W]]/MAX(1,Table3[[#This Row],[W]]+Table3[[#This Row],[L]])</f>
        <v>0.5</v>
      </c>
      <c r="AC24">
        <f>Table3[[#This Row],[W_A]]+Table3[[#This Row],[W_H]]</f>
        <v>3</v>
      </c>
      <c r="AD24">
        <f>Table3[[#This Row],[L_A]]+Table3[[#This Row],[L_H]]</f>
        <v>3</v>
      </c>
      <c r="AE24">
        <f>Table3[[#This Row],[RW_A]]+Table3[[#This Row],[RW_H]]</f>
        <v>3</v>
      </c>
      <c r="AF24">
        <f>Table3[[#This Row],[RL_A]]+Table3[[#This Row],[RL_H]]</f>
        <v>3</v>
      </c>
      <c r="AG24">
        <f>Table3[[#This Row],[OTW_A]]+Table3[[#This Row],[OTW_H]]</f>
        <v>0</v>
      </c>
      <c r="AH24">
        <f>Table3[[#This Row],[OTL_A]]+Table3[[#This Row],[OTL_H]]</f>
        <v>0</v>
      </c>
      <c r="AI24">
        <f>Table3[[#This Row],[SOW_A]]+Table3[[#This Row],[SOW_H]]</f>
        <v>0</v>
      </c>
      <c r="AJ24">
        <f>Table3[[#This Row],[SOL_A]]+Table3[[#This Row],[SOL_H]]</f>
        <v>0</v>
      </c>
      <c r="AK24" s="15" t="str">
        <f>_xlfn.CONCAT(TEXT(Table3[[#This Row],[OTW]]+Table3[[#This Row],[SOW]], "0"), "-", TEXT(Table3[[#This Row],[OTL]]+Table3[[#This Row],[SOL]],"0"))</f>
        <v>0-0</v>
      </c>
      <c r="AL24">
        <f>SUM(Table3[[#This Row],[OTW]],Table3[[#This Row],[OTL]],Table3[[#This Row],[SOW]],Table3[[#This Row],[SOL]])</f>
        <v>0</v>
      </c>
      <c r="AM24">
        <f>(Table3[[#This Row],[OTW]]+Table3[[#This Row],[SOW]])/IF(Table3[[#This Row],[Total_ExtraTimes]]=0,1,Table3[[#This Row],[Total_ExtraTimes]])</f>
        <v>0</v>
      </c>
      <c r="AN24">
        <f>Table3[[#This Row],[Total_ExtraTimes]]/MAX(1,Table3[[#This Row],[GP]])</f>
        <v>0</v>
      </c>
      <c r="AO24">
        <f>(2*(Table3[[#This Row],[W_A]]+Table3[[#This Row],[W_H]]))+Table3[[#This Row],[OTL_A]]+Table3[[#This Row],[SOL_A]]+Table3[[#This Row],[OTL_H]]+Table3[[#This Row],[SOL_H]]</f>
        <v>6</v>
      </c>
      <c r="AP24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9</v>
      </c>
      <c r="AQ24" s="10">
        <f>Table3[[#This Row],[PTS]]/(2*Table3[[#This Row],[GP]])</f>
        <v>0.5</v>
      </c>
      <c r="AR24" s="10">
        <f>Table3[[#This Row],[PTS2]]/(3*Table3[[#This Row],[GP]])</f>
        <v>0.5</v>
      </c>
      <c r="AS24">
        <f>(2*Table3[[#This Row],[GR]])+Table3[[#This Row],[PTS]]</f>
        <v>158</v>
      </c>
      <c r="AT24">
        <f>(3*Table3[[#This Row],[GR]])+Table3[[#This Row],[PTS2]]</f>
        <v>237</v>
      </c>
      <c r="AU24">
        <f>Table3[[#This Row],[PTS]]+(2 * Table3[[#This Row],[GR]] * Table3[[#This Row],[PTS%]])</f>
        <v>82</v>
      </c>
      <c r="AV24">
        <f>Table3[[#This Row],[PTS2]]+(3 * Table3[[#This Row],[GR]] * Table3[[#This Row],[PTS%2]])</f>
        <v>123</v>
      </c>
      <c r="AW24" s="15" t="str">
        <f>_xlfn.CONCAT(TEXT(Table3[[#This Row],[W]], "0"), "-", TEXT(Table3[[#This Row],[RL]],"0"), "-", TEXT(Table3[[#This Row],[OTL]]+Table3[[#This Row],[SOL]], "0"))</f>
        <v>3-3-0</v>
      </c>
      <c r="AX24">
        <f>COUNTIFS(DataRegularSeason20242025!$D$3:$D$1315,Table3[[#This Row],[Teams]],DataRegularSeason20242025!$K$3:$K$1315,0)</f>
        <v>0</v>
      </c>
      <c r="AY24">
        <f>SUMIF(DataRegularSeason20242025!$D$3:$D$1315,$A24, DataRegularSeason20242025!$J$3:$J$1315)</f>
        <v>13</v>
      </c>
      <c r="AZ24">
        <f>SUMIF(DataRegularSeason20242025!$D$3:$D$1315,$A24, DataRegularSeason20242025!$K$3:$K$1315)</f>
        <v>6</v>
      </c>
      <c r="BA24">
        <f t="shared" si="3"/>
        <v>7</v>
      </c>
      <c r="BB24">
        <f>COUNTIFS(DataRegularSeason20242025!$E$3:$E$1315,Table3[[#This Row],[Teams]],DataRegularSeason20242025!$J$3:$J$1315,0)</f>
        <v>0</v>
      </c>
      <c r="BC24">
        <f>SUMIF(DataRegularSeason20242025!$E$3:$E$1315,$A24,DataRegularSeason20242025!$K$3:$K$1315)</f>
        <v>6</v>
      </c>
      <c r="BD24">
        <f>SUMIF(DataRegularSeason20242025!$E$3:$E$1315,$A24,DataRegularSeason20242025!$J$3:$J$1315)</f>
        <v>9</v>
      </c>
      <c r="BE24">
        <f t="shared" si="4"/>
        <v>-3</v>
      </c>
      <c r="BF24">
        <f t="shared" si="5"/>
        <v>19</v>
      </c>
      <c r="BG24">
        <f t="shared" si="6"/>
        <v>15</v>
      </c>
      <c r="BH24">
        <f t="shared" si="7"/>
        <v>4</v>
      </c>
      <c r="BI24" s="12">
        <f>Table3[[#This Row],[GF]]/Table3[[#This Row],[GP]]</f>
        <v>3.1666666666666665</v>
      </c>
      <c r="BJ24" s="12">
        <f>Table3[[#This Row],[GA]]/Table3[[#This Row],[GP]]</f>
        <v>2.5</v>
      </c>
      <c r="BK24" s="12">
        <f>(Table3[[#This Row],[GF]]-Table3[[#This Row],[GA]])/Table3[[#This Row],[GP]]</f>
        <v>0.66666666666666663</v>
      </c>
      <c r="BL24" s="42" t="str">
        <f>_xlfn.CONCAT(TEXT(Table3[[#This Row],[W_H]], "0"), "-", TEXT(Table3[[#This Row],[RL_H]],"0"), "-", TEXT(Table3[[#This Row],[OTL_H]]+Table3[[#This Row],[SOL_H]], "0"))</f>
        <v>1-2-0</v>
      </c>
      <c r="BM24" s="42" t="str">
        <f>_xlfn.CONCAT(TEXT(Table3[[#This Row],[W_A]], "0"), "-", TEXT(Table3[[#This Row],[RL_A]],"0"), "-", TEXT(Table3[[#This Row],[OTL_A]]+Table3[[#This Row],[SOL_A]], "0"))</f>
        <v>2-1-0</v>
      </c>
      <c r="BN24" s="42">
        <f>((2*(Table3[[#This Row],[W_H]]))+Table3[[#This Row],[OTL_H]]+Table3[[#This Row],[SOL_H]])/(2*Table3[[#This Row],[GP_H]])</f>
        <v>0.33333333333333331</v>
      </c>
      <c r="BO24" s="42">
        <f>((2*(Table3[[#This Row],[W_A]]))+Table3[[#This Row],[OTL_A]]+Table3[[#This Row],[SOL_A]])/(2*Table3[[#This Row],[GP_A]])</f>
        <v>0.66666666666666663</v>
      </c>
      <c r="BP24" s="16">
        <f>(Table3[[#This Row],[W]]*$CX$3)+(Table3[[#This Row],[L]]*$CX$4)+(Table3[[#This Row],[GF]]*$CX$5)+(Table3[[#This Row],[GA]]*$CX$6)</f>
        <v>6.75</v>
      </c>
      <c r="BQ24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71.666666666666657</v>
      </c>
      <c r="BR24" s="16">
        <f>(Table3[[#This Row],[W]]*0.7) + ((Table3[[#This Row],[GF]] - Table3[[#This Row],[GA]])*0.25)+(Table3[[#This Row],[GF]]*0.1)+(Table3[[#This Row],[GA]]*0.05)+(Table3[[#This Row],[L]]*0.3)</f>
        <v>6.65</v>
      </c>
      <c r="BS24" s="16">
        <f>Table3[[#This Row],[TeamCost83]]/Table3[[#This Row],[GP]]</f>
        <v>1.1083333333333334</v>
      </c>
      <c r="BT24">
        <f>COUNTIFS(Table2[AwayTeam],$A24,Table2[PredictedWinner], $A24, Table2[GameIsOver], 1)</f>
        <v>0</v>
      </c>
      <c r="BU24">
        <f>COUNTIFS(Table2[HomeTeam],$A24,Table2[PredictedWinner], $A24, Table2[GameIsOver], 1)</f>
        <v>1</v>
      </c>
      <c r="BV24">
        <f t="shared" si="8"/>
        <v>1</v>
      </c>
      <c r="BW24">
        <f t="shared" si="9"/>
        <v>3</v>
      </c>
      <c r="BX24">
        <f t="shared" si="10"/>
        <v>2</v>
      </c>
      <c r="BY24">
        <f t="shared" si="11"/>
        <v>5</v>
      </c>
      <c r="BZ24">
        <f>Table3[[#This Row],[TimesPredictedWinner]]/Table3[[#This Row],[GP]]</f>
        <v>0.16666666666666666</v>
      </c>
      <c r="CC24" s="1">
        <v>45763</v>
      </c>
      <c r="CE24" t="str">
        <f>INDEX(Table2[AwayTeam], Table3[[#This Row],[Column2]])</f>
        <v>LAK</v>
      </c>
      <c r="CF24">
        <f>LARGE((Table2[[#This Row],[AwayTeam]]=Table3[[#This Row],[Teams]]), 1)</f>
        <v>0</v>
      </c>
      <c r="CI24">
        <f>SUMIFS(Table2[GamePredictionScore], Table2[AwayTeam], Table3[[#This Row],[Teams]])</f>
        <v>0.8</v>
      </c>
      <c r="CJ24">
        <f>SUMIFS(Table2[GamePredictionScore], Table2[HomeTeam], Table3[[#This Row],[Teams]])</f>
        <v>0.8</v>
      </c>
      <c r="CK24">
        <f>Table3[[#This Row],[Column4]]+Table3[[#This Row],[Column3]]</f>
        <v>1.6</v>
      </c>
      <c r="CL24">
        <f>Table3[[#This Row],[Column5]]/Table3[[#This Row],[GP]]</f>
        <v>0.26666666666666666</v>
      </c>
      <c r="CV24" s="72"/>
      <c r="CW24" s="57">
        <v>6</v>
      </c>
      <c r="CX24" s="16">
        <f t="shared" si="17"/>
        <v>1.4</v>
      </c>
      <c r="CY24" s="16">
        <f t="shared" si="17"/>
        <v>1.5</v>
      </c>
      <c r="CZ24" s="16">
        <f t="shared" si="17"/>
        <v>1.5999999999999999</v>
      </c>
      <c r="DA24" s="16">
        <f t="shared" si="17"/>
        <v>1.7</v>
      </c>
      <c r="DB24" s="16">
        <f t="shared" si="17"/>
        <v>1.7999999999999998</v>
      </c>
      <c r="DC24" s="16">
        <f t="shared" si="17"/>
        <v>1.9</v>
      </c>
      <c r="DD24" s="73"/>
      <c r="DE24" s="16">
        <f t="shared" si="17"/>
        <v>1.9000000000000001</v>
      </c>
      <c r="DF24" s="16">
        <f t="shared" si="17"/>
        <v>2</v>
      </c>
      <c r="DG24" s="16">
        <f t="shared" si="17"/>
        <v>2.0999999999999996</v>
      </c>
      <c r="DH24" s="74">
        <f t="shared" si="17"/>
        <v>2.1999999999999997</v>
      </c>
      <c r="EB24" s="72"/>
      <c r="EC24" s="57">
        <v>6</v>
      </c>
      <c r="ED24" s="16">
        <f t="shared" ref="ED24:EN24" si="20">(IF($EC24&gt;EC$17, 1, 0)*0.7) + (($EC24 - EC$17)*0.25)+($EC24*0.1)+(EC$17*0.05)+(IF($EC24&gt;EC$17, 1, 0)*0.3)</f>
        <v>3.1</v>
      </c>
      <c r="EE24" s="16">
        <f t="shared" si="20"/>
        <v>3.1</v>
      </c>
      <c r="EF24" s="16">
        <f t="shared" si="20"/>
        <v>2.8999999999999995</v>
      </c>
      <c r="EG24" s="16">
        <f t="shared" si="20"/>
        <v>2.6999999999999997</v>
      </c>
      <c r="EH24" s="16">
        <f t="shared" si="20"/>
        <v>2.4999999999999996</v>
      </c>
      <c r="EI24" s="16">
        <f t="shared" si="20"/>
        <v>2.2999999999999998</v>
      </c>
      <c r="EJ24" s="16">
        <f t="shared" si="20"/>
        <v>2.1</v>
      </c>
      <c r="EK24" s="16">
        <f t="shared" si="20"/>
        <v>0.90000000000000013</v>
      </c>
      <c r="EL24" s="16">
        <f t="shared" si="20"/>
        <v>0.70000000000000018</v>
      </c>
      <c r="EM24" s="16">
        <f t="shared" si="20"/>
        <v>0.50000000000000011</v>
      </c>
      <c r="EN24" s="16">
        <f t="shared" si="20"/>
        <v>0.3000000000000001</v>
      </c>
    </row>
    <row r="25" spans="1:144" x14ac:dyDescent="0.25">
      <c r="A25" t="s">
        <v>19</v>
      </c>
      <c r="B25" t="s">
        <v>91</v>
      </c>
      <c r="C25" t="s">
        <v>92</v>
      </c>
      <c r="D25">
        <f>COUNTIFS(DataRegularSeason20242025!$D$3:$D$1315,$A25,DataRegularSeason20242025!$R$3:$R$1315,1,DataRegularSeason20242025!$N$3:$N$1315,1) + COUNTIFS(DataRegularSeason20242025!$E$3:$E$1315,$A25,DataRegularSeason20242025!$R$3:$R$1315,1,DataRegularSeason20242025!$N$3:$N$1315,1)</f>
        <v>6</v>
      </c>
      <c r="E25" s="10">
        <f>Table3[[#This Row],[Watched]]/Table3[[#This Row],[GP]]</f>
        <v>0.75</v>
      </c>
      <c r="F25">
        <f>COUNTIFS(DataRegularSeason20242025!$N$3:$N$1315,1,DataRegularSeason20242025!$D$3:$D$1315,$A25)</f>
        <v>4</v>
      </c>
      <c r="G25">
        <f>41-Table3[[#This Row],[GP_A]]</f>
        <v>37</v>
      </c>
      <c r="H25">
        <f>COUNTIFS(DataRegularSeason20242025!$E$3:$E$1315,$A25,DataRegularSeason20242025!$N$3:$N$1315,1)</f>
        <v>4</v>
      </c>
      <c r="I25">
        <f>41-Table3[[#This Row],[GP_H]]</f>
        <v>37</v>
      </c>
      <c r="J25">
        <f t="shared" si="0"/>
        <v>8</v>
      </c>
      <c r="K25">
        <f>82-Table3[[#This Row],[GP]]</f>
        <v>74</v>
      </c>
      <c r="L25">
        <f>COUNTIFS(DataRegularSeason20242025!$D$3:$D$1315,$A25, DataRegularSeason20242025!$L$3:$L$1315, $A25,DataRegularSeason20242025!$N$3:$N$1315,1)</f>
        <v>3</v>
      </c>
      <c r="M25">
        <f>COUNTIFS(DataRegularSeason20242025!$D$3:$D$1315,$A25, DataRegularSeason20242025!$L$3:$L$1315, $A25,DataRegularSeason20242025!$N$3:$N$1315,1,DataRegularSeason20242025!$M$3:$M$1315,"REG")</f>
        <v>3</v>
      </c>
      <c r="N25">
        <f>COUNTIFS(DataRegularSeason20242025!$D$3:$D$1315,$A25, DataRegularSeason20242025!$L$3:$L$1315, $A25,DataRegularSeason20242025!$N$3:$N$1315,1,DataRegularSeason20242025!$M$3:$M$1315,"OT")</f>
        <v>0</v>
      </c>
      <c r="O25">
        <f>COUNTIFS(DataRegularSeason20242025!$D$3:$D$1315,$A25, DataRegularSeason20242025!$L$3:$L$1315, $A25,DataRegularSeason20242025!$N$3:$N$1315,1,DataRegularSeason20242025!$M$3:$M$1315,"SO")</f>
        <v>0</v>
      </c>
      <c r="P25">
        <f t="shared" si="1"/>
        <v>1</v>
      </c>
      <c r="Q25">
        <f>COUNTIFS(DataRegularSeason20242025!$D$3:$D$1315,$A25, DataRegularSeason20242025!$S$3:$S$1315, $A25,DataRegularSeason20242025!$M$3:$M$1315,"REG")</f>
        <v>0</v>
      </c>
      <c r="R25">
        <f>COUNTIFS(DataRegularSeason20242025!$D$3:$D$1315,$A25, DataRegularSeason20242025!$S$3:$S$1315, $A25,DataRegularSeason20242025!$M$3:$M$1315,"OT")</f>
        <v>1</v>
      </c>
      <c r="S25">
        <f>COUNTIFS(DataRegularSeason20242025!$D$3:$D$1315,$A25, DataRegularSeason20242025!$S$3:$S$1315, $A25,DataRegularSeason20242025!$M$3:$M$1315,"SO")</f>
        <v>0</v>
      </c>
      <c r="T25">
        <f>COUNTIFS(DataRegularSeason20242025!$E$3:$E$1315,$A25, DataRegularSeason20242025!$L$3:$L$1315, $A25, DataRegularSeason20242025!$N$3:$N$1315,1)</f>
        <v>0</v>
      </c>
      <c r="U25">
        <f>COUNTIFS(DataRegularSeason20242025!$E$3:$E$1315,$A25, DataRegularSeason20242025!$L$3:$L$1315, $A25,DataRegularSeason20242025!$N$3:$N$1315,1,DataRegularSeason20242025!$M$3:$M$1315,"REG")</f>
        <v>0</v>
      </c>
      <c r="V25">
        <f>COUNTIFS(DataRegularSeason20242025!$E$3:$E$1315,$A25, DataRegularSeason20242025!$L$3:$L$1315, $A25,DataRegularSeason20242025!$N$3:$N$1315,1,DataRegularSeason20242025!$M$3:$M$1315,"OT")</f>
        <v>0</v>
      </c>
      <c r="W25">
        <f>COUNTIFS(DataRegularSeason20242025!$E$3:$E$1315,$A25, DataRegularSeason20242025!$L$3:$L$1315, $A25,DataRegularSeason20242025!$N$3:$N$1315,1,DataRegularSeason20242025!$M$3:$M$1315,"SO")</f>
        <v>0</v>
      </c>
      <c r="X25">
        <f t="shared" si="2"/>
        <v>4</v>
      </c>
      <c r="Y25">
        <f>COUNTIFS(DataRegularSeason20242025!$E$3:$E$1315,$A25, DataRegularSeason20242025!$S$3:$S$1315, $A25,DataRegularSeason20242025!$M$3:$M$1315,"REG")</f>
        <v>4</v>
      </c>
      <c r="Z25">
        <f>COUNTIFS(DataRegularSeason20242025!$E$3:$E$1315,$A25, DataRegularSeason20242025!$S$3:$S$1315, $A25,DataRegularSeason20242025!$M$3:$M$1315,"OT")</f>
        <v>0</v>
      </c>
      <c r="AA25">
        <f>COUNTIFS(DataRegularSeason20242025!$E$3:$E$1315,$A25, DataRegularSeason20242025!$S$3:$S$1315, $A25,DataRegularSeason20242025!$M$3:$M$1315,"SO")</f>
        <v>0</v>
      </c>
      <c r="AB25">
        <f>Table3[[#This Row],[W]]/MAX(1,Table3[[#This Row],[W]]+Table3[[#This Row],[L]])</f>
        <v>0.375</v>
      </c>
      <c r="AC25">
        <f>Table3[[#This Row],[W_A]]+Table3[[#This Row],[W_H]]</f>
        <v>3</v>
      </c>
      <c r="AD25">
        <f>Table3[[#This Row],[L_A]]+Table3[[#This Row],[L_H]]</f>
        <v>5</v>
      </c>
      <c r="AE25">
        <f>Table3[[#This Row],[RW_A]]+Table3[[#This Row],[RW_H]]</f>
        <v>3</v>
      </c>
      <c r="AF25">
        <f>Table3[[#This Row],[RL_A]]+Table3[[#This Row],[RL_H]]</f>
        <v>4</v>
      </c>
      <c r="AG25">
        <f>Table3[[#This Row],[OTW_A]]+Table3[[#This Row],[OTW_H]]</f>
        <v>0</v>
      </c>
      <c r="AH25">
        <f>Table3[[#This Row],[OTL_A]]+Table3[[#This Row],[OTL_H]]</f>
        <v>1</v>
      </c>
      <c r="AI25">
        <f>Table3[[#This Row],[SOW_A]]+Table3[[#This Row],[SOW_H]]</f>
        <v>0</v>
      </c>
      <c r="AJ25">
        <f>Table3[[#This Row],[SOL_A]]+Table3[[#This Row],[SOL_H]]</f>
        <v>0</v>
      </c>
      <c r="AK25" s="15" t="str">
        <f>_xlfn.CONCAT(TEXT(Table3[[#This Row],[OTW]]+Table3[[#This Row],[SOW]], "0"), "-", TEXT(Table3[[#This Row],[OTL]]+Table3[[#This Row],[SOL]],"0"))</f>
        <v>0-1</v>
      </c>
      <c r="AL25">
        <f>SUM(Table3[[#This Row],[OTW]],Table3[[#This Row],[OTL]],Table3[[#This Row],[SOW]],Table3[[#This Row],[SOL]])</f>
        <v>1</v>
      </c>
      <c r="AM25">
        <f>(Table3[[#This Row],[OTW]]+Table3[[#This Row],[SOW]])/IF(Table3[[#This Row],[Total_ExtraTimes]]=0,1,Table3[[#This Row],[Total_ExtraTimes]])</f>
        <v>0</v>
      </c>
      <c r="AN25">
        <f>Table3[[#This Row],[Total_ExtraTimes]]/MAX(1,Table3[[#This Row],[GP]])</f>
        <v>0.125</v>
      </c>
      <c r="AO25">
        <f>(2*(Table3[[#This Row],[W_A]]+Table3[[#This Row],[W_H]]))+Table3[[#This Row],[OTL_A]]+Table3[[#This Row],[SOL_A]]+Table3[[#This Row],[OTL_H]]+Table3[[#This Row],[SOL_H]]</f>
        <v>7</v>
      </c>
      <c r="AP25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10</v>
      </c>
      <c r="AQ25" s="10">
        <f>Table3[[#This Row],[PTS]]/(2*Table3[[#This Row],[GP]])</f>
        <v>0.4375</v>
      </c>
      <c r="AR25" s="10">
        <f>Table3[[#This Row],[PTS2]]/(3*Table3[[#This Row],[GP]])</f>
        <v>0.41666666666666669</v>
      </c>
      <c r="AS25">
        <f>(2*Table3[[#This Row],[GR]])+Table3[[#This Row],[PTS]]</f>
        <v>155</v>
      </c>
      <c r="AT25">
        <f>(3*Table3[[#This Row],[GR]])+Table3[[#This Row],[PTS2]]</f>
        <v>232</v>
      </c>
      <c r="AU25">
        <f>Table3[[#This Row],[PTS]]+(2 * Table3[[#This Row],[GR]] * Table3[[#This Row],[PTS%]])</f>
        <v>71.75</v>
      </c>
      <c r="AV25">
        <f>Table3[[#This Row],[PTS2]]+(3 * Table3[[#This Row],[GR]] * Table3[[#This Row],[PTS%2]])</f>
        <v>102.5</v>
      </c>
      <c r="AW25" s="15" t="str">
        <f>_xlfn.CONCAT(TEXT(Table3[[#This Row],[W]], "0"), "-", TEXT(Table3[[#This Row],[RL]],"0"), "-", TEXT(Table3[[#This Row],[OTL]]+Table3[[#This Row],[SOL]], "0"))</f>
        <v>3-4-1</v>
      </c>
      <c r="AX25">
        <f>COUNTIFS(DataRegularSeason20242025!$D$3:$D$1315,Table3[[#This Row],[Teams]],DataRegularSeason20242025!$K$3:$K$1315,0)</f>
        <v>1</v>
      </c>
      <c r="AY25">
        <f>SUMIF(DataRegularSeason20242025!$D$3:$D$1315,$A25, DataRegularSeason20242025!$J$3:$J$1315)</f>
        <v>15</v>
      </c>
      <c r="AZ25">
        <f>SUMIF(DataRegularSeason20242025!$D$3:$D$1315,$A25, DataRegularSeason20242025!$K$3:$K$1315)</f>
        <v>6</v>
      </c>
      <c r="BA25">
        <f t="shared" si="3"/>
        <v>9</v>
      </c>
      <c r="BB25">
        <f>COUNTIFS(DataRegularSeason20242025!$E$3:$E$1315,Table3[[#This Row],[Teams]],DataRegularSeason20242025!$J$3:$J$1315,0)</f>
        <v>0</v>
      </c>
      <c r="BC25">
        <f>SUMIF(DataRegularSeason20242025!$E$3:$E$1315,$A25,DataRegularSeason20242025!$K$3:$K$1315)</f>
        <v>1</v>
      </c>
      <c r="BD25">
        <f>SUMIF(DataRegularSeason20242025!$E$3:$E$1315,$A25,DataRegularSeason20242025!$J$3:$J$1315)</f>
        <v>9</v>
      </c>
      <c r="BE25">
        <f t="shared" si="4"/>
        <v>-8</v>
      </c>
      <c r="BF25">
        <f t="shared" si="5"/>
        <v>16</v>
      </c>
      <c r="BG25">
        <f t="shared" si="6"/>
        <v>15</v>
      </c>
      <c r="BH25">
        <f t="shared" si="7"/>
        <v>1</v>
      </c>
      <c r="BI25" s="12">
        <f>Table3[[#This Row],[GF]]/Table3[[#This Row],[GP]]</f>
        <v>2</v>
      </c>
      <c r="BJ25" s="12">
        <f>Table3[[#This Row],[GA]]/Table3[[#This Row],[GP]]</f>
        <v>1.875</v>
      </c>
      <c r="BK25" s="12">
        <f>(Table3[[#This Row],[GF]]-Table3[[#This Row],[GA]])/Table3[[#This Row],[GP]]</f>
        <v>0.125</v>
      </c>
      <c r="BL25" s="42" t="str">
        <f>_xlfn.CONCAT(TEXT(Table3[[#This Row],[W_H]], "0"), "-", TEXT(Table3[[#This Row],[RL_H]],"0"), "-", TEXT(Table3[[#This Row],[OTL_H]]+Table3[[#This Row],[SOL_H]], "0"))</f>
        <v>0-4-0</v>
      </c>
      <c r="BM25" s="42" t="str">
        <f>_xlfn.CONCAT(TEXT(Table3[[#This Row],[W_A]], "0"), "-", TEXT(Table3[[#This Row],[RL_A]],"0"), "-", TEXT(Table3[[#This Row],[OTL_A]]+Table3[[#This Row],[SOL_A]], "0"))</f>
        <v>3-0-1</v>
      </c>
      <c r="BN25" s="42">
        <f>((2*(Table3[[#This Row],[W_H]]))+Table3[[#This Row],[OTL_H]]+Table3[[#This Row],[SOL_H]])/(2*Table3[[#This Row],[GP_H]])</f>
        <v>0</v>
      </c>
      <c r="BO25" s="42">
        <f>((2*(Table3[[#This Row],[W_A]]))+Table3[[#This Row],[OTL_A]]+Table3[[#This Row],[SOL_A]])/(2*Table3[[#This Row],[GP_A]])</f>
        <v>0.875</v>
      </c>
      <c r="BP25" s="16">
        <f>(Table3[[#This Row],[W]]*$CX$3)+(Table3[[#This Row],[L]]*$CX$4)+(Table3[[#This Row],[GF]]*$CX$5)+(Table3[[#This Row],[GA]]*$CX$6)</f>
        <v>6.9</v>
      </c>
      <c r="BQ25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50.846874999999997</v>
      </c>
      <c r="BR25" s="16">
        <f>(Table3[[#This Row],[W]]*0.7) + ((Table3[[#This Row],[GF]] - Table3[[#This Row],[GA]])*0.25)+(Table3[[#This Row],[GF]]*0.1)+(Table3[[#This Row],[GA]]*0.05)+(Table3[[#This Row],[L]]*0.3)</f>
        <v>6.1999999999999993</v>
      </c>
      <c r="BS25" s="16">
        <f>Table3[[#This Row],[TeamCost83]]/Table3[[#This Row],[GP]]</f>
        <v>0.77499999999999991</v>
      </c>
      <c r="BT25">
        <f>COUNTIFS(Table2[AwayTeam],$A25,Table2[PredictedWinner], $A25, Table2[GameIsOver], 1)</f>
        <v>1</v>
      </c>
      <c r="BU25">
        <f>COUNTIFS(Table2[HomeTeam],$A25,Table2[PredictedWinner], $A25, Table2[GameIsOver], 1)</f>
        <v>1</v>
      </c>
      <c r="BV25">
        <f t="shared" si="8"/>
        <v>2</v>
      </c>
      <c r="BW25">
        <f t="shared" si="9"/>
        <v>3</v>
      </c>
      <c r="BX25">
        <f t="shared" si="10"/>
        <v>3</v>
      </c>
      <c r="BY25">
        <f t="shared" si="11"/>
        <v>6</v>
      </c>
      <c r="BZ25">
        <f>Table3[[#This Row],[TimesPredictedWinner]]/Table3[[#This Row],[GP]]</f>
        <v>0.25</v>
      </c>
      <c r="CB25">
        <v>1994</v>
      </c>
      <c r="CC25" s="1">
        <v>45759</v>
      </c>
      <c r="CE25" t="str">
        <f>INDEX(Table2[AwayTeam], Table3[[#This Row],[Column2]])</f>
        <v>STL</v>
      </c>
      <c r="CF25">
        <f>LARGE((Table2[[#This Row],[AwayTeam]]=Table3[[#This Row],[Teams]]), 1)</f>
        <v>0</v>
      </c>
      <c r="CI25">
        <f>SUMIFS(Table2[GamePredictionScore], Table2[AwayTeam], Table3[[#This Row],[Teams]])</f>
        <v>0</v>
      </c>
      <c r="CJ25">
        <f>SUMIFS(Table2[GamePredictionScore], Table2[HomeTeam], Table3[[#This Row],[Teams]])</f>
        <v>2.5</v>
      </c>
      <c r="CK25">
        <f>Table3[[#This Row],[Column4]]+Table3[[#This Row],[Column3]]</f>
        <v>2.5</v>
      </c>
      <c r="CL25">
        <f>Table3[[#This Row],[Column5]]/Table3[[#This Row],[GP]]</f>
        <v>0.3125</v>
      </c>
      <c r="CV25" s="72"/>
      <c r="CW25" s="57">
        <v>7</v>
      </c>
      <c r="CX25" s="16">
        <f t="shared" si="17"/>
        <v>1.55</v>
      </c>
      <c r="CY25" s="16">
        <f t="shared" si="17"/>
        <v>1.6500000000000001</v>
      </c>
      <c r="CZ25" s="16">
        <f t="shared" si="17"/>
        <v>1.75</v>
      </c>
      <c r="DA25" s="16">
        <f t="shared" si="17"/>
        <v>1.85</v>
      </c>
      <c r="DB25" s="16">
        <f t="shared" si="17"/>
        <v>1.9500000000000002</v>
      </c>
      <c r="DC25" s="16">
        <f t="shared" si="17"/>
        <v>2.0499999999999998</v>
      </c>
      <c r="DD25" s="16">
        <f t="shared" si="17"/>
        <v>2.1500000000000004</v>
      </c>
      <c r="DE25" s="73"/>
      <c r="DF25" s="16">
        <f t="shared" si="17"/>
        <v>2.15</v>
      </c>
      <c r="DG25" s="16">
        <f t="shared" si="17"/>
        <v>2.25</v>
      </c>
      <c r="DH25" s="74">
        <f t="shared" si="17"/>
        <v>2.3499999999999996</v>
      </c>
      <c r="EB25" s="72"/>
      <c r="EC25" s="57">
        <v>7</v>
      </c>
      <c r="ED25" s="16">
        <f t="shared" ref="ED25:EN25" si="21">(IF($EC25&gt;EC$17, 1, 0)*0.7) + (($EC25 - EC$17)*0.25)+($EC25*0.1)+(EC$17*0.05)+(IF($EC25&gt;EC$17, 1, 0)*0.3)</f>
        <v>3.45</v>
      </c>
      <c r="EE25" s="16">
        <f t="shared" si="21"/>
        <v>3.45</v>
      </c>
      <c r="EF25" s="16">
        <f t="shared" si="21"/>
        <v>3.25</v>
      </c>
      <c r="EG25" s="16">
        <f t="shared" si="21"/>
        <v>3.05</v>
      </c>
      <c r="EH25" s="16">
        <f t="shared" si="21"/>
        <v>2.8499999999999996</v>
      </c>
      <c r="EI25" s="16">
        <f t="shared" si="21"/>
        <v>2.65</v>
      </c>
      <c r="EJ25" s="16">
        <f t="shared" si="21"/>
        <v>2.4499999999999997</v>
      </c>
      <c r="EK25" s="16">
        <f t="shared" si="21"/>
        <v>2.25</v>
      </c>
      <c r="EL25" s="16">
        <f t="shared" si="21"/>
        <v>1.05</v>
      </c>
      <c r="EM25" s="16">
        <f t="shared" si="21"/>
        <v>0.85000000000000009</v>
      </c>
      <c r="EN25" s="16">
        <f t="shared" si="21"/>
        <v>0.65000000000000013</v>
      </c>
    </row>
    <row r="26" spans="1:144" x14ac:dyDescent="0.25">
      <c r="A26" t="s">
        <v>34</v>
      </c>
      <c r="B26" t="s">
        <v>90</v>
      </c>
      <c r="C26" t="s">
        <v>88</v>
      </c>
      <c r="D26">
        <f>COUNTIFS(DataRegularSeason20242025!$D$3:$D$1315,$A26,DataRegularSeason20242025!$R$3:$R$1315,1,DataRegularSeason20242025!$N$3:$N$1315,1) + COUNTIFS(DataRegularSeason20242025!$E$3:$E$1315,$A26,DataRegularSeason20242025!$R$3:$R$1315,1,DataRegularSeason20242025!$N$3:$N$1315,1)</f>
        <v>5</v>
      </c>
      <c r="E26" s="10">
        <f>Table3[[#This Row],[Watched]]/Table3[[#This Row],[GP]]</f>
        <v>0.7142857142857143</v>
      </c>
      <c r="F26">
        <f>COUNTIFS(DataRegularSeason20242025!$N$3:$N$1315,1,DataRegularSeason20242025!$D$3:$D$1315,$A26)</f>
        <v>4</v>
      </c>
      <c r="G26">
        <f>41-Table3[[#This Row],[GP_A]]</f>
        <v>37</v>
      </c>
      <c r="H26">
        <f>COUNTIFS(DataRegularSeason20242025!$E$3:$E$1315,$A26,DataRegularSeason20242025!$N$3:$N$1315,1)</f>
        <v>3</v>
      </c>
      <c r="I26">
        <f>41-Table3[[#This Row],[GP_H]]</f>
        <v>38</v>
      </c>
      <c r="J26">
        <f t="shared" si="0"/>
        <v>7</v>
      </c>
      <c r="K26">
        <f>82-Table3[[#This Row],[GP]]</f>
        <v>75</v>
      </c>
      <c r="L26">
        <f>COUNTIFS(DataRegularSeason20242025!$D$3:$D$1315,$A26, DataRegularSeason20242025!$L$3:$L$1315, $A26,DataRegularSeason20242025!$N$3:$N$1315,1)</f>
        <v>1</v>
      </c>
      <c r="M26">
        <f>COUNTIFS(DataRegularSeason20242025!$D$3:$D$1315,$A26, DataRegularSeason20242025!$L$3:$L$1315, $A26,DataRegularSeason20242025!$N$3:$N$1315,1,DataRegularSeason20242025!$M$3:$M$1315,"REG")</f>
        <v>1</v>
      </c>
      <c r="N26">
        <f>COUNTIFS(DataRegularSeason20242025!$D$3:$D$1315,$A26, DataRegularSeason20242025!$L$3:$L$1315, $A26,DataRegularSeason20242025!$N$3:$N$1315,1,DataRegularSeason20242025!$M$3:$M$1315,"OT")</f>
        <v>0</v>
      </c>
      <c r="O26">
        <f>COUNTIFS(DataRegularSeason20242025!$D$3:$D$1315,$A26, DataRegularSeason20242025!$L$3:$L$1315, $A26,DataRegularSeason20242025!$N$3:$N$1315,1,DataRegularSeason20242025!$M$3:$M$1315,"SO")</f>
        <v>0</v>
      </c>
      <c r="P26">
        <f t="shared" si="1"/>
        <v>3</v>
      </c>
      <c r="Q26">
        <f>COUNTIFS(DataRegularSeason20242025!$D$3:$D$1315,$A26, DataRegularSeason20242025!$S$3:$S$1315, $A26,DataRegularSeason20242025!$M$3:$M$1315,"REG")</f>
        <v>2</v>
      </c>
      <c r="R26">
        <f>COUNTIFS(DataRegularSeason20242025!$D$3:$D$1315,$A26, DataRegularSeason20242025!$S$3:$S$1315, $A26,DataRegularSeason20242025!$M$3:$M$1315,"OT")</f>
        <v>1</v>
      </c>
      <c r="S26">
        <f>COUNTIFS(DataRegularSeason20242025!$D$3:$D$1315,$A26, DataRegularSeason20242025!$S$3:$S$1315, $A26,DataRegularSeason20242025!$M$3:$M$1315,"SO")</f>
        <v>0</v>
      </c>
      <c r="T26">
        <f>COUNTIFS(DataRegularSeason20242025!$E$3:$E$1315,$A26, DataRegularSeason20242025!$L$3:$L$1315, $A26, DataRegularSeason20242025!$N$3:$N$1315,1)</f>
        <v>1</v>
      </c>
      <c r="U26">
        <f>COUNTIFS(DataRegularSeason20242025!$E$3:$E$1315,$A26, DataRegularSeason20242025!$L$3:$L$1315, $A26,DataRegularSeason20242025!$N$3:$N$1315,1,DataRegularSeason20242025!$M$3:$M$1315,"REG")</f>
        <v>1</v>
      </c>
      <c r="V26">
        <f>COUNTIFS(DataRegularSeason20242025!$E$3:$E$1315,$A26, DataRegularSeason20242025!$L$3:$L$1315, $A26,DataRegularSeason20242025!$N$3:$N$1315,1,DataRegularSeason20242025!$M$3:$M$1315,"OT")</f>
        <v>0</v>
      </c>
      <c r="W26">
        <f>COUNTIFS(DataRegularSeason20242025!$E$3:$E$1315,$A26, DataRegularSeason20242025!$L$3:$L$1315, $A26,DataRegularSeason20242025!$N$3:$N$1315,1,DataRegularSeason20242025!$M$3:$M$1315,"SO")</f>
        <v>0</v>
      </c>
      <c r="X26">
        <f t="shared" si="2"/>
        <v>2</v>
      </c>
      <c r="Y26">
        <f>COUNTIFS(DataRegularSeason20242025!$E$3:$E$1315,$A26, DataRegularSeason20242025!$S$3:$S$1315, $A26,DataRegularSeason20242025!$M$3:$M$1315,"REG")</f>
        <v>1</v>
      </c>
      <c r="Z26">
        <f>COUNTIFS(DataRegularSeason20242025!$E$3:$E$1315,$A26, DataRegularSeason20242025!$S$3:$S$1315, $A26,DataRegularSeason20242025!$M$3:$M$1315,"OT")</f>
        <v>1</v>
      </c>
      <c r="AA26">
        <f>COUNTIFS(DataRegularSeason20242025!$E$3:$E$1315,$A26, DataRegularSeason20242025!$S$3:$S$1315, $A26,DataRegularSeason20242025!$M$3:$M$1315,"SO")</f>
        <v>0</v>
      </c>
      <c r="AB26">
        <f>Table3[[#This Row],[W]]/MAX(1,Table3[[#This Row],[W]]+Table3[[#This Row],[L]])</f>
        <v>0.2857142857142857</v>
      </c>
      <c r="AC26">
        <f>Table3[[#This Row],[W_A]]+Table3[[#This Row],[W_H]]</f>
        <v>2</v>
      </c>
      <c r="AD26">
        <f>Table3[[#This Row],[L_A]]+Table3[[#This Row],[L_H]]</f>
        <v>5</v>
      </c>
      <c r="AE26">
        <f>Table3[[#This Row],[RW_A]]+Table3[[#This Row],[RW_H]]</f>
        <v>2</v>
      </c>
      <c r="AF26">
        <f>Table3[[#This Row],[RL_A]]+Table3[[#This Row],[RL_H]]</f>
        <v>3</v>
      </c>
      <c r="AG26">
        <f>Table3[[#This Row],[OTW_A]]+Table3[[#This Row],[OTW_H]]</f>
        <v>0</v>
      </c>
      <c r="AH26">
        <f>Table3[[#This Row],[OTL_A]]+Table3[[#This Row],[OTL_H]]</f>
        <v>2</v>
      </c>
      <c r="AI26">
        <f>Table3[[#This Row],[SOW_A]]+Table3[[#This Row],[SOW_H]]</f>
        <v>0</v>
      </c>
      <c r="AJ26">
        <f>Table3[[#This Row],[SOL_A]]+Table3[[#This Row],[SOL_H]]</f>
        <v>0</v>
      </c>
      <c r="AK26" s="15" t="str">
        <f>_xlfn.CONCAT(TEXT(Table3[[#This Row],[OTW]]+Table3[[#This Row],[SOW]], "0"), "-", TEXT(Table3[[#This Row],[OTL]]+Table3[[#This Row],[SOL]],"0"))</f>
        <v>0-2</v>
      </c>
      <c r="AL26">
        <f>SUM(Table3[[#This Row],[OTW]],Table3[[#This Row],[OTL]],Table3[[#This Row],[SOW]],Table3[[#This Row],[SOL]])</f>
        <v>2</v>
      </c>
      <c r="AM26">
        <f>(Table3[[#This Row],[OTW]]+Table3[[#This Row],[SOW]])/IF(Table3[[#This Row],[Total_ExtraTimes]]=0,1,Table3[[#This Row],[Total_ExtraTimes]])</f>
        <v>0</v>
      </c>
      <c r="AN26">
        <f>Table3[[#This Row],[Total_ExtraTimes]]/MAX(1,Table3[[#This Row],[GP]])</f>
        <v>0.2857142857142857</v>
      </c>
      <c r="AO26">
        <f>(2*(Table3[[#This Row],[W_A]]+Table3[[#This Row],[W_H]]))+Table3[[#This Row],[OTL_A]]+Table3[[#This Row],[SOL_A]]+Table3[[#This Row],[OTL_H]]+Table3[[#This Row],[SOL_H]]</f>
        <v>6</v>
      </c>
      <c r="AP26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8</v>
      </c>
      <c r="AQ26" s="10">
        <f>Table3[[#This Row],[PTS]]/(2*Table3[[#This Row],[GP]])</f>
        <v>0.42857142857142855</v>
      </c>
      <c r="AR26" s="10">
        <f>Table3[[#This Row],[PTS2]]/(3*Table3[[#This Row],[GP]])</f>
        <v>0.38095238095238093</v>
      </c>
      <c r="AS26">
        <f>(2*Table3[[#This Row],[GR]])+Table3[[#This Row],[PTS]]</f>
        <v>156</v>
      </c>
      <c r="AT26">
        <f>(3*Table3[[#This Row],[GR]])+Table3[[#This Row],[PTS2]]</f>
        <v>233</v>
      </c>
      <c r="AU26">
        <f>Table3[[#This Row],[PTS]]+(2 * Table3[[#This Row],[GR]] * Table3[[#This Row],[PTS%]])</f>
        <v>70.285714285714278</v>
      </c>
      <c r="AV26">
        <f>Table3[[#This Row],[PTS2]]+(3 * Table3[[#This Row],[GR]] * Table3[[#This Row],[PTS%2]])</f>
        <v>93.714285714285708</v>
      </c>
      <c r="AW26" s="15" t="str">
        <f>_xlfn.CONCAT(TEXT(Table3[[#This Row],[W]], "0"), "-", TEXT(Table3[[#This Row],[RL]],"0"), "-", TEXT(Table3[[#This Row],[OTL]]+Table3[[#This Row],[SOL]], "0"))</f>
        <v>2-3-2</v>
      </c>
      <c r="AX26">
        <f>COUNTIFS(DataRegularSeason20242025!$D$3:$D$1315,Table3[[#This Row],[Teams]],DataRegularSeason20242025!$K$3:$K$1315,0)</f>
        <v>0</v>
      </c>
      <c r="AY26">
        <f>SUMIF(DataRegularSeason20242025!$D$3:$D$1315,$A26, DataRegularSeason20242025!$J$3:$J$1315)</f>
        <v>11</v>
      </c>
      <c r="AZ26">
        <f>SUMIF(DataRegularSeason20242025!$D$3:$D$1315,$A26, DataRegularSeason20242025!$K$3:$K$1315)</f>
        <v>15</v>
      </c>
      <c r="BA26">
        <f t="shared" si="3"/>
        <v>-4</v>
      </c>
      <c r="BB26">
        <f>COUNTIFS(DataRegularSeason20242025!$E$3:$E$1315,Table3[[#This Row],[Teams]],DataRegularSeason20242025!$J$3:$J$1315,0)</f>
        <v>0</v>
      </c>
      <c r="BC26">
        <f>SUMIF(DataRegularSeason20242025!$E$3:$E$1315,$A26,DataRegularSeason20242025!$K$3:$K$1315)</f>
        <v>6</v>
      </c>
      <c r="BD26">
        <f>SUMIF(DataRegularSeason20242025!$E$3:$E$1315,$A26,DataRegularSeason20242025!$J$3:$J$1315)</f>
        <v>9</v>
      </c>
      <c r="BE26">
        <f t="shared" si="4"/>
        <v>-3</v>
      </c>
      <c r="BF26">
        <f t="shared" si="5"/>
        <v>17</v>
      </c>
      <c r="BG26">
        <f t="shared" si="6"/>
        <v>24</v>
      </c>
      <c r="BH26">
        <f t="shared" si="7"/>
        <v>-7</v>
      </c>
      <c r="BI26" s="12">
        <f>Table3[[#This Row],[GF]]/Table3[[#This Row],[GP]]</f>
        <v>2.4285714285714284</v>
      </c>
      <c r="BJ26" s="12">
        <f>Table3[[#This Row],[GA]]/Table3[[#This Row],[GP]]</f>
        <v>3.4285714285714284</v>
      </c>
      <c r="BK26" s="12">
        <f>(Table3[[#This Row],[GF]]-Table3[[#This Row],[GA]])/Table3[[#This Row],[GP]]</f>
        <v>-1</v>
      </c>
      <c r="BL26" s="42" t="str">
        <f>_xlfn.CONCAT(TEXT(Table3[[#This Row],[W_H]], "0"), "-", TEXT(Table3[[#This Row],[RL_H]],"0"), "-", TEXT(Table3[[#This Row],[OTL_H]]+Table3[[#This Row],[SOL_H]], "0"))</f>
        <v>1-1-1</v>
      </c>
      <c r="BM26" s="42" t="str">
        <f>_xlfn.CONCAT(TEXT(Table3[[#This Row],[W_A]], "0"), "-", TEXT(Table3[[#This Row],[RL_A]],"0"), "-", TEXT(Table3[[#This Row],[OTL_A]]+Table3[[#This Row],[SOL_A]], "0"))</f>
        <v>1-2-1</v>
      </c>
      <c r="BN26" s="42">
        <f>((2*(Table3[[#This Row],[W_H]]))+Table3[[#This Row],[OTL_H]]+Table3[[#This Row],[SOL_H]])/(2*Table3[[#This Row],[GP_H]])</f>
        <v>0.5</v>
      </c>
      <c r="BO26" s="42">
        <f>((2*(Table3[[#This Row],[W_A]]))+Table3[[#This Row],[OTL_A]]+Table3[[#This Row],[SOL_A]])/(2*Table3[[#This Row],[GP_A]])</f>
        <v>0.375</v>
      </c>
      <c r="BP26" s="16">
        <f>(Table3[[#This Row],[W]]*$CX$3)+(Table3[[#This Row],[L]]*$CX$4)+(Table3[[#This Row],[GF]]*$CX$5)+(Table3[[#This Row],[GA]]*$CX$6)</f>
        <v>7.45</v>
      </c>
      <c r="BQ26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69.954081632653057</v>
      </c>
      <c r="BR26" s="16">
        <f>(Table3[[#This Row],[W]]*0.7) + ((Table3[[#This Row],[GF]] - Table3[[#This Row],[GA]])*0.25)+(Table3[[#This Row],[GF]]*0.1)+(Table3[[#This Row],[GA]]*0.05)+(Table3[[#This Row],[L]]*0.3)</f>
        <v>4.0500000000000007</v>
      </c>
      <c r="BS26" s="16">
        <f>Table3[[#This Row],[TeamCost83]]/Table3[[#This Row],[GP]]</f>
        <v>0.57857142857142863</v>
      </c>
      <c r="BT26">
        <f>COUNTIFS(Table2[AwayTeam],$A26,Table2[PredictedWinner], $A26, Table2[GameIsOver], 1)</f>
        <v>0</v>
      </c>
      <c r="BU26">
        <f>COUNTIFS(Table2[HomeTeam],$A26,Table2[PredictedWinner], $A26, Table2[GameIsOver], 1)</f>
        <v>2</v>
      </c>
      <c r="BV26">
        <f t="shared" si="8"/>
        <v>2</v>
      </c>
      <c r="BW26">
        <f t="shared" si="9"/>
        <v>4</v>
      </c>
      <c r="BX26">
        <f t="shared" si="10"/>
        <v>1</v>
      </c>
      <c r="BY26">
        <f t="shared" si="11"/>
        <v>5</v>
      </c>
      <c r="BZ26">
        <f>Table3[[#This Row],[TimesPredictedWinner]]/Table3[[#This Row],[GP]]</f>
        <v>0.2857142857142857</v>
      </c>
      <c r="CC26" s="1">
        <v>45743</v>
      </c>
      <c r="CE26" t="str">
        <f>INDEX(Table2[AwayTeam], Table3[[#This Row],[Column2]])</f>
        <v>BUF</v>
      </c>
      <c r="CF26">
        <f>LARGE((Table2[[#This Row],[AwayTeam]]=Table3[[#This Row],[Teams]]), 1)</f>
        <v>0</v>
      </c>
      <c r="CI26">
        <f>SUMIFS(Table2[GamePredictionScore], Table2[AwayTeam], Table3[[#This Row],[Teams]])</f>
        <v>2.6</v>
      </c>
      <c r="CJ26">
        <f>SUMIFS(Table2[GamePredictionScore], Table2[HomeTeam], Table3[[#This Row],[Teams]])</f>
        <v>1.6</v>
      </c>
      <c r="CK26">
        <f>Table3[[#This Row],[Column4]]+Table3[[#This Row],[Column3]]</f>
        <v>4.2</v>
      </c>
      <c r="CL26">
        <f>Table3[[#This Row],[Column5]]/Table3[[#This Row],[GP]]</f>
        <v>0.6</v>
      </c>
      <c r="CV26" s="72"/>
      <c r="CW26" s="57">
        <v>8</v>
      </c>
      <c r="CX26" s="16">
        <f t="shared" si="17"/>
        <v>1.7</v>
      </c>
      <c r="CY26" s="16">
        <f t="shared" si="17"/>
        <v>1.8</v>
      </c>
      <c r="CZ26" s="16">
        <f t="shared" si="17"/>
        <v>1.9</v>
      </c>
      <c r="DA26" s="16">
        <f t="shared" si="17"/>
        <v>2</v>
      </c>
      <c r="DB26" s="16">
        <f t="shared" si="17"/>
        <v>2.1</v>
      </c>
      <c r="DC26" s="16">
        <f t="shared" si="17"/>
        <v>2.2000000000000002</v>
      </c>
      <c r="DD26" s="16">
        <f t="shared" si="17"/>
        <v>2.2999999999999998</v>
      </c>
      <c r="DE26" s="16">
        <f t="shared" si="17"/>
        <v>2.4</v>
      </c>
      <c r="DF26" s="73"/>
      <c r="DG26" s="16">
        <f t="shared" si="17"/>
        <v>2.4</v>
      </c>
      <c r="DH26" s="74">
        <f t="shared" si="17"/>
        <v>2.5</v>
      </c>
      <c r="EB26" s="72"/>
      <c r="EC26" s="57">
        <v>8</v>
      </c>
      <c r="ED26" s="16">
        <f t="shared" ref="ED26:EN26" si="22">(IF($EC26&gt;EC$17, 1, 0)*0.7) + (($EC26 - EC$17)*0.25)+($EC26*0.1)+(EC$17*0.05)+(IF($EC26&gt;EC$17, 1, 0)*0.3)</f>
        <v>3.8</v>
      </c>
      <c r="EE26" s="16">
        <f t="shared" si="22"/>
        <v>3.8</v>
      </c>
      <c r="EF26" s="16">
        <f t="shared" si="22"/>
        <v>3.5999999999999996</v>
      </c>
      <c r="EG26" s="16">
        <f t="shared" si="22"/>
        <v>3.4</v>
      </c>
      <c r="EH26" s="16">
        <f t="shared" si="22"/>
        <v>3.1999999999999997</v>
      </c>
      <c r="EI26" s="16">
        <f t="shared" si="22"/>
        <v>3</v>
      </c>
      <c r="EJ26" s="16">
        <f t="shared" si="22"/>
        <v>2.8</v>
      </c>
      <c r="EK26" s="16">
        <f t="shared" si="22"/>
        <v>2.5999999999999996</v>
      </c>
      <c r="EL26" s="16">
        <f t="shared" si="22"/>
        <v>2.4</v>
      </c>
      <c r="EM26" s="16">
        <f t="shared" si="22"/>
        <v>1.2000000000000002</v>
      </c>
      <c r="EN26" s="16">
        <f t="shared" si="22"/>
        <v>1</v>
      </c>
    </row>
    <row r="27" spans="1:144" x14ac:dyDescent="0.25">
      <c r="A27" t="s">
        <v>27</v>
      </c>
      <c r="B27" t="s">
        <v>90</v>
      </c>
      <c r="C27" t="s">
        <v>93</v>
      </c>
      <c r="D27">
        <f>COUNTIFS(DataRegularSeason20242025!$D$3:$D$1315,$A27,DataRegularSeason20242025!$R$3:$R$1315,1,DataRegularSeason20242025!$N$3:$N$1315,1) + COUNTIFS(DataRegularSeason20242025!$E$3:$E$1315,$A27,DataRegularSeason20242025!$R$3:$R$1315,1,DataRegularSeason20242025!$N$3:$N$1315,1)</f>
        <v>3</v>
      </c>
      <c r="E27" s="10">
        <f>Table3[[#This Row],[Watched]]/Table3[[#This Row],[GP]]</f>
        <v>0.42857142857142855</v>
      </c>
      <c r="F27">
        <f>COUNTIFS(DataRegularSeason20242025!$N$3:$N$1315,1,DataRegularSeason20242025!$D$3:$D$1315,$A27)</f>
        <v>4</v>
      </c>
      <c r="G27">
        <f>41-Table3[[#This Row],[GP_A]]</f>
        <v>37</v>
      </c>
      <c r="H27">
        <f>COUNTIFS(DataRegularSeason20242025!$E$3:$E$1315,$A27,DataRegularSeason20242025!$N$3:$N$1315,1)</f>
        <v>3</v>
      </c>
      <c r="I27">
        <f>41-Table3[[#This Row],[GP_H]]</f>
        <v>38</v>
      </c>
      <c r="J27">
        <f t="shared" si="0"/>
        <v>7</v>
      </c>
      <c r="K27">
        <f>82-Table3[[#This Row],[GP]]</f>
        <v>75</v>
      </c>
      <c r="L27">
        <f>COUNTIFS(DataRegularSeason20242025!$D$3:$D$1315,$A27, DataRegularSeason20242025!$L$3:$L$1315, $A27,DataRegularSeason20242025!$N$3:$N$1315,1)</f>
        <v>2</v>
      </c>
      <c r="M27">
        <f>COUNTIFS(DataRegularSeason20242025!$D$3:$D$1315,$A27, DataRegularSeason20242025!$L$3:$L$1315, $A27,DataRegularSeason20242025!$N$3:$N$1315,1,DataRegularSeason20242025!$M$3:$M$1315,"REG")</f>
        <v>0</v>
      </c>
      <c r="N27">
        <f>COUNTIFS(DataRegularSeason20242025!$D$3:$D$1315,$A27, DataRegularSeason20242025!$L$3:$L$1315, $A27,DataRegularSeason20242025!$N$3:$N$1315,1,DataRegularSeason20242025!$M$3:$M$1315,"OT")</f>
        <v>1</v>
      </c>
      <c r="O27">
        <f>COUNTIFS(DataRegularSeason20242025!$D$3:$D$1315,$A27, DataRegularSeason20242025!$L$3:$L$1315, $A27,DataRegularSeason20242025!$N$3:$N$1315,1,DataRegularSeason20242025!$M$3:$M$1315,"SO")</f>
        <v>1</v>
      </c>
      <c r="P27">
        <f t="shared" si="1"/>
        <v>2</v>
      </c>
      <c r="Q27">
        <f>COUNTIFS(DataRegularSeason20242025!$D$3:$D$1315,$A27, DataRegularSeason20242025!$S$3:$S$1315, $A27,DataRegularSeason20242025!$M$3:$M$1315,"REG")</f>
        <v>1</v>
      </c>
      <c r="R27">
        <f>COUNTIFS(DataRegularSeason20242025!$D$3:$D$1315,$A27, DataRegularSeason20242025!$S$3:$S$1315, $A27,DataRegularSeason20242025!$M$3:$M$1315,"OT")</f>
        <v>0</v>
      </c>
      <c r="S27">
        <f>COUNTIFS(DataRegularSeason20242025!$D$3:$D$1315,$A27, DataRegularSeason20242025!$S$3:$S$1315, $A27,DataRegularSeason20242025!$M$3:$M$1315,"SO")</f>
        <v>1</v>
      </c>
      <c r="T27">
        <f>COUNTIFS(DataRegularSeason20242025!$E$3:$E$1315,$A27, DataRegularSeason20242025!$L$3:$L$1315, $A27, DataRegularSeason20242025!$N$3:$N$1315,1)</f>
        <v>0</v>
      </c>
      <c r="U27">
        <f>COUNTIFS(DataRegularSeason20242025!$E$3:$E$1315,$A27, DataRegularSeason20242025!$L$3:$L$1315, $A27,DataRegularSeason20242025!$N$3:$N$1315,1,DataRegularSeason20242025!$M$3:$M$1315,"REG")</f>
        <v>0</v>
      </c>
      <c r="V27">
        <f>COUNTIFS(DataRegularSeason20242025!$E$3:$E$1315,$A27, DataRegularSeason20242025!$L$3:$L$1315, $A27,DataRegularSeason20242025!$N$3:$N$1315,1,DataRegularSeason20242025!$M$3:$M$1315,"OT")</f>
        <v>0</v>
      </c>
      <c r="W27">
        <f>COUNTIFS(DataRegularSeason20242025!$E$3:$E$1315,$A27, DataRegularSeason20242025!$L$3:$L$1315, $A27,DataRegularSeason20242025!$N$3:$N$1315,1,DataRegularSeason20242025!$M$3:$M$1315,"SO")</f>
        <v>0</v>
      </c>
      <c r="X27">
        <f t="shared" si="2"/>
        <v>3</v>
      </c>
      <c r="Y27">
        <f>COUNTIFS(DataRegularSeason20242025!$E$3:$E$1315,$A27, DataRegularSeason20242025!$S$3:$S$1315, $A27,DataRegularSeason20242025!$M$3:$M$1315,"REG")</f>
        <v>2</v>
      </c>
      <c r="Z27">
        <f>COUNTIFS(DataRegularSeason20242025!$E$3:$E$1315,$A27, DataRegularSeason20242025!$S$3:$S$1315, $A27,DataRegularSeason20242025!$M$3:$M$1315,"OT")</f>
        <v>1</v>
      </c>
      <c r="AA27">
        <f>COUNTIFS(DataRegularSeason20242025!$E$3:$E$1315,$A27, DataRegularSeason20242025!$S$3:$S$1315, $A27,DataRegularSeason20242025!$M$3:$M$1315,"SO")</f>
        <v>0</v>
      </c>
      <c r="AB27">
        <f>Table3[[#This Row],[W]]/MAX(1,Table3[[#This Row],[W]]+Table3[[#This Row],[L]])</f>
        <v>0.2857142857142857</v>
      </c>
      <c r="AC27">
        <f>Table3[[#This Row],[W_A]]+Table3[[#This Row],[W_H]]</f>
        <v>2</v>
      </c>
      <c r="AD27">
        <f>Table3[[#This Row],[L_A]]+Table3[[#This Row],[L_H]]</f>
        <v>5</v>
      </c>
      <c r="AE27">
        <f>Table3[[#This Row],[RW_A]]+Table3[[#This Row],[RW_H]]</f>
        <v>0</v>
      </c>
      <c r="AF27">
        <f>Table3[[#This Row],[RL_A]]+Table3[[#This Row],[RL_H]]</f>
        <v>3</v>
      </c>
      <c r="AG27">
        <f>Table3[[#This Row],[OTW_A]]+Table3[[#This Row],[OTW_H]]</f>
        <v>1</v>
      </c>
      <c r="AH27">
        <f>Table3[[#This Row],[OTL_A]]+Table3[[#This Row],[OTL_H]]</f>
        <v>1</v>
      </c>
      <c r="AI27">
        <f>Table3[[#This Row],[SOW_A]]+Table3[[#This Row],[SOW_H]]</f>
        <v>1</v>
      </c>
      <c r="AJ27">
        <f>Table3[[#This Row],[SOL_A]]+Table3[[#This Row],[SOL_H]]</f>
        <v>1</v>
      </c>
      <c r="AK27" s="15" t="str">
        <f>_xlfn.CONCAT(TEXT(Table3[[#This Row],[OTW]]+Table3[[#This Row],[SOW]], "0"), "-", TEXT(Table3[[#This Row],[OTL]]+Table3[[#This Row],[SOL]],"0"))</f>
        <v>2-2</v>
      </c>
      <c r="AL27">
        <f>SUM(Table3[[#This Row],[OTW]],Table3[[#This Row],[OTL]],Table3[[#This Row],[SOW]],Table3[[#This Row],[SOL]])</f>
        <v>4</v>
      </c>
      <c r="AM27">
        <f>(Table3[[#This Row],[OTW]]+Table3[[#This Row],[SOW]])/IF(Table3[[#This Row],[Total_ExtraTimes]]=0,1,Table3[[#This Row],[Total_ExtraTimes]])</f>
        <v>0.5</v>
      </c>
      <c r="AN27">
        <f>Table3[[#This Row],[Total_ExtraTimes]]/MAX(1,Table3[[#This Row],[GP]])</f>
        <v>0.5714285714285714</v>
      </c>
      <c r="AO27">
        <f>(2*(Table3[[#This Row],[W_A]]+Table3[[#This Row],[W_H]]))+Table3[[#This Row],[OTL_A]]+Table3[[#This Row],[SOL_A]]+Table3[[#This Row],[OTL_H]]+Table3[[#This Row],[SOL_H]]</f>
        <v>6</v>
      </c>
      <c r="AP27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27" s="10">
        <f>Table3[[#This Row],[PTS]]/(2*Table3[[#This Row],[GP]])</f>
        <v>0.42857142857142855</v>
      </c>
      <c r="AR27" s="10">
        <f>Table3[[#This Row],[PTS2]]/(3*Table3[[#This Row],[GP]])</f>
        <v>0.2857142857142857</v>
      </c>
      <c r="AS27">
        <f>(2*Table3[[#This Row],[GR]])+Table3[[#This Row],[PTS]]</f>
        <v>156</v>
      </c>
      <c r="AT27">
        <f>(3*Table3[[#This Row],[GR]])+Table3[[#This Row],[PTS2]]</f>
        <v>231</v>
      </c>
      <c r="AU27">
        <f>Table3[[#This Row],[PTS]]+(2 * Table3[[#This Row],[GR]] * Table3[[#This Row],[PTS%]])</f>
        <v>70.285714285714278</v>
      </c>
      <c r="AV27">
        <f>Table3[[#This Row],[PTS2]]+(3 * Table3[[#This Row],[GR]] * Table3[[#This Row],[PTS%2]])</f>
        <v>70.285714285714278</v>
      </c>
      <c r="AW27" s="15" t="str">
        <f>_xlfn.CONCAT(TEXT(Table3[[#This Row],[W]], "0"), "-", TEXT(Table3[[#This Row],[RL]],"0"), "-", TEXT(Table3[[#This Row],[OTL]]+Table3[[#This Row],[SOL]], "0"))</f>
        <v>2-3-2</v>
      </c>
      <c r="AX27">
        <f>COUNTIFS(DataRegularSeason20242025!$D$3:$D$1315,Table3[[#This Row],[Teams]],DataRegularSeason20242025!$K$3:$K$1315,0)</f>
        <v>0</v>
      </c>
      <c r="AY27">
        <f>SUMIF(DataRegularSeason20242025!$D$3:$D$1315,$A27, DataRegularSeason20242025!$J$3:$J$1315)</f>
        <v>13</v>
      </c>
      <c r="AZ27">
        <f>SUMIF(DataRegularSeason20242025!$D$3:$D$1315,$A27, DataRegularSeason20242025!$K$3:$K$1315)</f>
        <v>13</v>
      </c>
      <c r="BA27">
        <f t="shared" si="3"/>
        <v>0</v>
      </c>
      <c r="BB27">
        <f>COUNTIFS(DataRegularSeason20242025!$E$3:$E$1315,Table3[[#This Row],[Teams]],DataRegularSeason20242025!$J$3:$J$1315,0)</f>
        <v>0</v>
      </c>
      <c r="BC27">
        <f>SUMIF(DataRegularSeason20242025!$E$3:$E$1315,$A27,DataRegularSeason20242025!$K$3:$K$1315)</f>
        <v>6</v>
      </c>
      <c r="BD27">
        <f>SUMIF(DataRegularSeason20242025!$E$3:$E$1315,$A27,DataRegularSeason20242025!$J$3:$J$1315)</f>
        <v>12</v>
      </c>
      <c r="BE27">
        <f t="shared" si="4"/>
        <v>-6</v>
      </c>
      <c r="BF27">
        <f t="shared" si="5"/>
        <v>19</v>
      </c>
      <c r="BG27">
        <f t="shared" si="6"/>
        <v>25</v>
      </c>
      <c r="BH27">
        <f t="shared" si="7"/>
        <v>-6</v>
      </c>
      <c r="BI27" s="12">
        <f>Table3[[#This Row],[GF]]/Table3[[#This Row],[GP]]</f>
        <v>2.7142857142857144</v>
      </c>
      <c r="BJ27" s="12">
        <f>Table3[[#This Row],[GA]]/Table3[[#This Row],[GP]]</f>
        <v>3.5714285714285716</v>
      </c>
      <c r="BK27" s="12">
        <f>(Table3[[#This Row],[GF]]-Table3[[#This Row],[GA]])/Table3[[#This Row],[GP]]</f>
        <v>-0.8571428571428571</v>
      </c>
      <c r="BL27" s="42" t="str">
        <f>_xlfn.CONCAT(TEXT(Table3[[#This Row],[W_H]], "0"), "-", TEXT(Table3[[#This Row],[RL_H]],"0"), "-", TEXT(Table3[[#This Row],[OTL_H]]+Table3[[#This Row],[SOL_H]], "0"))</f>
        <v>0-2-1</v>
      </c>
      <c r="BM27" s="42" t="str">
        <f>_xlfn.CONCAT(TEXT(Table3[[#This Row],[W_A]], "0"), "-", TEXT(Table3[[#This Row],[RL_A]],"0"), "-", TEXT(Table3[[#This Row],[OTL_A]]+Table3[[#This Row],[SOL_A]], "0"))</f>
        <v>2-1-1</v>
      </c>
      <c r="BN27" s="42">
        <f>((2*(Table3[[#This Row],[W_H]]))+Table3[[#This Row],[OTL_H]]+Table3[[#This Row],[SOL_H]])/(2*Table3[[#This Row],[GP_H]])</f>
        <v>0.16666666666666666</v>
      </c>
      <c r="BO27" s="42">
        <f>((2*(Table3[[#This Row],[W_A]]))+Table3[[#This Row],[OTL_A]]+Table3[[#This Row],[SOL_A]])/(2*Table3[[#This Row],[GP_A]])</f>
        <v>0.625</v>
      </c>
      <c r="BP27" s="16">
        <f>(Table3[[#This Row],[W]]*$CX$3)+(Table3[[#This Row],[L]]*$CX$4)+(Table3[[#This Row],[GF]]*$CX$5)+(Table3[[#This Row],[GA]]*$CX$6)</f>
        <v>7.85</v>
      </c>
      <c r="BQ27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75.039795918367346</v>
      </c>
      <c r="BR27" s="16">
        <f>(Table3[[#This Row],[W]]*0.7) + ((Table3[[#This Row],[GF]] - Table3[[#This Row],[GA]])*0.25)+(Table3[[#This Row],[GF]]*0.1)+(Table3[[#This Row],[GA]]*0.05)+(Table3[[#This Row],[L]]*0.3)</f>
        <v>4.55</v>
      </c>
      <c r="BS27" s="16">
        <f>Table3[[#This Row],[TeamCost83]]/Table3[[#This Row],[GP]]</f>
        <v>0.65</v>
      </c>
      <c r="BT27">
        <f>COUNTIFS(Table2[AwayTeam],$A27,Table2[PredictedWinner], $A27, Table2[GameIsOver], 1)</f>
        <v>1</v>
      </c>
      <c r="BU27">
        <f>COUNTIFS(Table2[HomeTeam],$A27,Table2[PredictedWinner], $A27, Table2[GameIsOver], 1)</f>
        <v>1</v>
      </c>
      <c r="BV27">
        <f t="shared" si="8"/>
        <v>2</v>
      </c>
      <c r="BW27">
        <f t="shared" si="9"/>
        <v>3</v>
      </c>
      <c r="BX27">
        <f t="shared" si="10"/>
        <v>2</v>
      </c>
      <c r="BY27">
        <f t="shared" si="11"/>
        <v>5</v>
      </c>
      <c r="BZ27">
        <f>Table3[[#This Row],[TimesPredictedWinner]]/Table3[[#This Row],[GP]]</f>
        <v>0.2857142857142857</v>
      </c>
      <c r="CB27">
        <v>2014</v>
      </c>
      <c r="CD27" s="1">
        <v>45752</v>
      </c>
      <c r="CE27" t="str">
        <f>INDEX(Table2[AwayTeam], Table3[[#This Row],[Column2]])</f>
        <v>TOR</v>
      </c>
      <c r="CF27">
        <f>LARGE((Table2[[#This Row],[AwayTeam]]=Table3[[#This Row],[Teams]]), 1)</f>
        <v>0</v>
      </c>
      <c r="CI27">
        <f>SUMIFS(Table2[GamePredictionScore], Table2[AwayTeam], Table3[[#This Row],[Teams]])</f>
        <v>2.5</v>
      </c>
      <c r="CJ27">
        <f>SUMIFS(Table2[GamePredictionScore], Table2[HomeTeam], Table3[[#This Row],[Teams]])</f>
        <v>1.6</v>
      </c>
      <c r="CK27">
        <f>Table3[[#This Row],[Column4]]+Table3[[#This Row],[Column3]]</f>
        <v>4.0999999999999996</v>
      </c>
      <c r="CL27">
        <f>Table3[[#This Row],[Column5]]/Table3[[#This Row],[GP]]</f>
        <v>0.58571428571428563</v>
      </c>
      <c r="CV27" s="72"/>
      <c r="CW27" s="57">
        <v>9</v>
      </c>
      <c r="CX27" s="16">
        <f t="shared" si="17"/>
        <v>1.8499999999999999</v>
      </c>
      <c r="CY27" s="16">
        <f t="shared" si="17"/>
        <v>1.95</v>
      </c>
      <c r="CZ27" s="16">
        <f t="shared" si="17"/>
        <v>2.0499999999999998</v>
      </c>
      <c r="DA27" s="16">
        <f t="shared" si="17"/>
        <v>2.15</v>
      </c>
      <c r="DB27" s="16">
        <f t="shared" si="17"/>
        <v>2.25</v>
      </c>
      <c r="DC27" s="16">
        <f t="shared" si="17"/>
        <v>2.3499999999999996</v>
      </c>
      <c r="DD27" s="16">
        <f t="shared" si="17"/>
        <v>2.4500000000000002</v>
      </c>
      <c r="DE27" s="16">
        <f t="shared" si="17"/>
        <v>2.5499999999999998</v>
      </c>
      <c r="DF27" s="16">
        <f t="shared" si="17"/>
        <v>2.65</v>
      </c>
      <c r="DG27" s="73"/>
      <c r="DH27" s="74">
        <f t="shared" si="17"/>
        <v>2.6499999999999995</v>
      </c>
      <c r="EB27" s="72"/>
      <c r="EC27" s="57">
        <v>9</v>
      </c>
      <c r="ED27" s="16">
        <f t="shared" ref="ED27:EN27" si="23">(IF($EC27&gt;EC$17, 1, 0)*0.7) + (($EC27 - EC$17)*0.25)+($EC27*0.1)+(EC$17*0.05)+(IF($EC27&gt;EC$17, 1, 0)*0.3)</f>
        <v>4.1500000000000004</v>
      </c>
      <c r="EE27" s="16">
        <f t="shared" si="23"/>
        <v>4.1500000000000004</v>
      </c>
      <c r="EF27" s="16">
        <f t="shared" si="23"/>
        <v>3.9499999999999997</v>
      </c>
      <c r="EG27" s="16">
        <f t="shared" si="23"/>
        <v>3.75</v>
      </c>
      <c r="EH27" s="16">
        <f t="shared" si="23"/>
        <v>3.55</v>
      </c>
      <c r="EI27" s="16">
        <f t="shared" si="23"/>
        <v>3.35</v>
      </c>
      <c r="EJ27" s="16">
        <f t="shared" si="23"/>
        <v>3.15</v>
      </c>
      <c r="EK27" s="16">
        <f t="shared" si="23"/>
        <v>2.95</v>
      </c>
      <c r="EL27" s="16">
        <f t="shared" si="23"/>
        <v>2.75</v>
      </c>
      <c r="EM27" s="16">
        <f t="shared" si="23"/>
        <v>2.5499999999999998</v>
      </c>
      <c r="EN27" s="16">
        <f t="shared" si="23"/>
        <v>1.35</v>
      </c>
    </row>
    <row r="28" spans="1:144" ht="15.75" thickBot="1" x14ac:dyDescent="0.3">
      <c r="A28" t="s">
        <v>15</v>
      </c>
      <c r="B28" t="s">
        <v>91</v>
      </c>
      <c r="C28" t="s">
        <v>74</v>
      </c>
      <c r="D28">
        <f>COUNTIFS(DataRegularSeason20242025!$D$3:$D$1315,$A28,DataRegularSeason20242025!$R$3:$R$1315,1,DataRegularSeason20242025!$N$3:$N$1315,1) + COUNTIFS(DataRegularSeason20242025!$E$3:$E$1315,$A28,DataRegularSeason20242025!$R$3:$R$1315,1,DataRegularSeason20242025!$N$3:$N$1315,1)</f>
        <v>6</v>
      </c>
      <c r="E28" s="10">
        <f>Table3[[#This Row],[Watched]]/Table3[[#This Row],[GP]]</f>
        <v>0.75</v>
      </c>
      <c r="F28">
        <f>COUNTIFS(DataRegularSeason20242025!$N$3:$N$1315,1,DataRegularSeason20242025!$D$3:$D$1315,$A28)</f>
        <v>4</v>
      </c>
      <c r="G28">
        <f>41-Table3[[#This Row],[GP_A]]</f>
        <v>37</v>
      </c>
      <c r="H28">
        <f>COUNTIFS(DataRegularSeason20242025!$E$3:$E$1315,$A28,DataRegularSeason20242025!$N$3:$N$1315,1)</f>
        <v>4</v>
      </c>
      <c r="I28">
        <f>41-Table3[[#This Row],[GP_H]]</f>
        <v>37</v>
      </c>
      <c r="J28">
        <f t="shared" si="0"/>
        <v>8</v>
      </c>
      <c r="K28">
        <f>82-Table3[[#This Row],[GP]]</f>
        <v>74</v>
      </c>
      <c r="L28">
        <f>COUNTIFS(DataRegularSeason20242025!$D$3:$D$1315,$A28, DataRegularSeason20242025!$L$3:$L$1315, $A28,DataRegularSeason20242025!$N$3:$N$1315,1)</f>
        <v>1</v>
      </c>
      <c r="M28">
        <f>COUNTIFS(DataRegularSeason20242025!$D$3:$D$1315,$A28, DataRegularSeason20242025!$L$3:$L$1315, $A28,DataRegularSeason20242025!$N$3:$N$1315,1,DataRegularSeason20242025!$M$3:$M$1315,"REG")</f>
        <v>1</v>
      </c>
      <c r="N28">
        <f>COUNTIFS(DataRegularSeason20242025!$D$3:$D$1315,$A28, DataRegularSeason20242025!$L$3:$L$1315, $A28,DataRegularSeason20242025!$N$3:$N$1315,1,DataRegularSeason20242025!$M$3:$M$1315,"OT")</f>
        <v>0</v>
      </c>
      <c r="O28">
        <f>COUNTIFS(DataRegularSeason20242025!$D$3:$D$1315,$A28, DataRegularSeason20242025!$L$3:$L$1315, $A28,DataRegularSeason20242025!$N$3:$N$1315,1,DataRegularSeason20242025!$M$3:$M$1315,"SO")</f>
        <v>0</v>
      </c>
      <c r="P28">
        <f t="shared" si="1"/>
        <v>3</v>
      </c>
      <c r="Q28">
        <f>COUNTIFS(DataRegularSeason20242025!$D$3:$D$1315,$A28, DataRegularSeason20242025!$S$3:$S$1315, $A28,DataRegularSeason20242025!$M$3:$M$1315,"REG")</f>
        <v>3</v>
      </c>
      <c r="R28">
        <f>COUNTIFS(DataRegularSeason20242025!$D$3:$D$1315,$A28, DataRegularSeason20242025!$S$3:$S$1315, $A28,DataRegularSeason20242025!$M$3:$M$1315,"OT")</f>
        <v>0</v>
      </c>
      <c r="S28">
        <f>COUNTIFS(DataRegularSeason20242025!$D$3:$D$1315,$A28, DataRegularSeason20242025!$S$3:$S$1315, $A28,DataRegularSeason20242025!$M$3:$M$1315,"SO")</f>
        <v>0</v>
      </c>
      <c r="T28">
        <f>COUNTIFS(DataRegularSeason20242025!$E$3:$E$1315,$A28, DataRegularSeason20242025!$L$3:$L$1315, $A28, DataRegularSeason20242025!$N$3:$N$1315,1)</f>
        <v>2</v>
      </c>
      <c r="U28">
        <f>COUNTIFS(DataRegularSeason20242025!$E$3:$E$1315,$A28, DataRegularSeason20242025!$L$3:$L$1315, $A28,DataRegularSeason20242025!$N$3:$N$1315,1,DataRegularSeason20242025!$M$3:$M$1315,"REG")</f>
        <v>1</v>
      </c>
      <c r="V28">
        <f>COUNTIFS(DataRegularSeason20242025!$E$3:$E$1315,$A28, DataRegularSeason20242025!$L$3:$L$1315, $A28,DataRegularSeason20242025!$N$3:$N$1315,1,DataRegularSeason20242025!$M$3:$M$1315,"OT")</f>
        <v>1</v>
      </c>
      <c r="W28">
        <f>COUNTIFS(DataRegularSeason20242025!$E$3:$E$1315,$A28, DataRegularSeason20242025!$L$3:$L$1315, $A28,DataRegularSeason20242025!$N$3:$N$1315,1,DataRegularSeason20242025!$M$3:$M$1315,"SO")</f>
        <v>0</v>
      </c>
      <c r="X28">
        <f t="shared" si="2"/>
        <v>2</v>
      </c>
      <c r="Y28">
        <f>COUNTIFS(DataRegularSeason20242025!$E$3:$E$1315,$A28, DataRegularSeason20242025!$S$3:$S$1315, $A28,DataRegularSeason20242025!$M$3:$M$1315,"REG")</f>
        <v>2</v>
      </c>
      <c r="Z28">
        <f>COUNTIFS(DataRegularSeason20242025!$E$3:$E$1315,$A28, DataRegularSeason20242025!$S$3:$S$1315, $A28,DataRegularSeason20242025!$M$3:$M$1315,"OT")</f>
        <v>0</v>
      </c>
      <c r="AA28">
        <f>COUNTIFS(DataRegularSeason20242025!$E$3:$E$1315,$A28, DataRegularSeason20242025!$S$3:$S$1315, $A28,DataRegularSeason20242025!$M$3:$M$1315,"SO")</f>
        <v>0</v>
      </c>
      <c r="AB28">
        <f>Table3[[#This Row],[W]]/MAX(1,Table3[[#This Row],[W]]+Table3[[#This Row],[L]])</f>
        <v>0.375</v>
      </c>
      <c r="AC28">
        <f>Table3[[#This Row],[W_A]]+Table3[[#This Row],[W_H]]</f>
        <v>3</v>
      </c>
      <c r="AD28">
        <f>Table3[[#This Row],[L_A]]+Table3[[#This Row],[L_H]]</f>
        <v>5</v>
      </c>
      <c r="AE28">
        <f>Table3[[#This Row],[RW_A]]+Table3[[#This Row],[RW_H]]</f>
        <v>2</v>
      </c>
      <c r="AF28">
        <f>Table3[[#This Row],[RL_A]]+Table3[[#This Row],[RL_H]]</f>
        <v>5</v>
      </c>
      <c r="AG28">
        <f>Table3[[#This Row],[OTW_A]]+Table3[[#This Row],[OTW_H]]</f>
        <v>1</v>
      </c>
      <c r="AH28">
        <f>Table3[[#This Row],[OTL_A]]+Table3[[#This Row],[OTL_H]]</f>
        <v>0</v>
      </c>
      <c r="AI28">
        <f>Table3[[#This Row],[SOW_A]]+Table3[[#This Row],[SOW_H]]</f>
        <v>0</v>
      </c>
      <c r="AJ28">
        <f>Table3[[#This Row],[SOL_A]]+Table3[[#This Row],[SOL_H]]</f>
        <v>0</v>
      </c>
      <c r="AK28" s="15" t="str">
        <f>_xlfn.CONCAT(TEXT(Table3[[#This Row],[OTW]]+Table3[[#This Row],[SOW]], "0"), "-", TEXT(Table3[[#This Row],[OTL]]+Table3[[#This Row],[SOL]],"0"))</f>
        <v>1-0</v>
      </c>
      <c r="AL28">
        <f>SUM(Table3[[#This Row],[OTW]],Table3[[#This Row],[OTL]],Table3[[#This Row],[SOW]],Table3[[#This Row],[SOL]])</f>
        <v>1</v>
      </c>
      <c r="AM28">
        <f>(Table3[[#This Row],[OTW]]+Table3[[#This Row],[SOW]])/IF(Table3[[#This Row],[Total_ExtraTimes]]=0,1,Table3[[#This Row],[Total_ExtraTimes]])</f>
        <v>1</v>
      </c>
      <c r="AN28">
        <f>Table3[[#This Row],[Total_ExtraTimes]]/MAX(1,Table3[[#This Row],[GP]])</f>
        <v>0.125</v>
      </c>
      <c r="AO28">
        <f>(2*(Table3[[#This Row],[W_A]]+Table3[[#This Row],[W_H]]))+Table3[[#This Row],[OTL_A]]+Table3[[#This Row],[SOL_A]]+Table3[[#This Row],[OTL_H]]+Table3[[#This Row],[SOL_H]]</f>
        <v>6</v>
      </c>
      <c r="AP28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8</v>
      </c>
      <c r="AQ28" s="10">
        <f>Table3[[#This Row],[PTS]]/(2*Table3[[#This Row],[GP]])</f>
        <v>0.375</v>
      </c>
      <c r="AR28" s="10">
        <f>Table3[[#This Row],[PTS2]]/(3*Table3[[#This Row],[GP]])</f>
        <v>0.33333333333333331</v>
      </c>
      <c r="AS28">
        <f>(2*Table3[[#This Row],[GR]])+Table3[[#This Row],[PTS]]</f>
        <v>154</v>
      </c>
      <c r="AT28">
        <f>(3*Table3[[#This Row],[GR]])+Table3[[#This Row],[PTS2]]</f>
        <v>230</v>
      </c>
      <c r="AU28">
        <f>Table3[[#This Row],[PTS]]+(2 * Table3[[#This Row],[GR]] * Table3[[#This Row],[PTS%]])</f>
        <v>61.5</v>
      </c>
      <c r="AV28">
        <f>Table3[[#This Row],[PTS2]]+(3 * Table3[[#This Row],[GR]] * Table3[[#This Row],[PTS%2]])</f>
        <v>82</v>
      </c>
      <c r="AW28" s="15" t="str">
        <f>_xlfn.CONCAT(TEXT(Table3[[#This Row],[W]], "0"), "-", TEXT(Table3[[#This Row],[RL]],"0"), "-", TEXT(Table3[[#This Row],[OTL]]+Table3[[#This Row],[SOL]], "0"))</f>
        <v>3-5-0</v>
      </c>
      <c r="AX28">
        <f>COUNTIFS(DataRegularSeason20242025!$D$3:$D$1315,Table3[[#This Row],[Teams]],DataRegularSeason20242025!$K$3:$K$1315,0)</f>
        <v>0</v>
      </c>
      <c r="AY28">
        <f>SUMIF(DataRegularSeason20242025!$D$3:$D$1315,$A28, DataRegularSeason20242025!$J$3:$J$1315)</f>
        <v>11</v>
      </c>
      <c r="AZ28">
        <f>SUMIF(DataRegularSeason20242025!$D$3:$D$1315,$A28, DataRegularSeason20242025!$K$3:$K$1315)</f>
        <v>14</v>
      </c>
      <c r="BA28">
        <f t="shared" si="3"/>
        <v>-3</v>
      </c>
      <c r="BB28">
        <f>COUNTIFS(DataRegularSeason20242025!$E$3:$E$1315,Table3[[#This Row],[Teams]],DataRegularSeason20242025!$J$3:$J$1315,0)</f>
        <v>0</v>
      </c>
      <c r="BC28">
        <f>SUMIF(DataRegularSeason20242025!$E$3:$E$1315,$A28,DataRegularSeason20242025!$K$3:$K$1315)</f>
        <v>13</v>
      </c>
      <c r="BD28">
        <f>SUMIF(DataRegularSeason20242025!$E$3:$E$1315,$A28,DataRegularSeason20242025!$J$3:$J$1315)</f>
        <v>12</v>
      </c>
      <c r="BE28">
        <f t="shared" si="4"/>
        <v>1</v>
      </c>
      <c r="BF28">
        <f t="shared" si="5"/>
        <v>24</v>
      </c>
      <c r="BG28">
        <f t="shared" si="6"/>
        <v>26</v>
      </c>
      <c r="BH28">
        <f t="shared" si="7"/>
        <v>-2</v>
      </c>
      <c r="BI28" s="12">
        <f>Table3[[#This Row],[GF]]/Table3[[#This Row],[GP]]</f>
        <v>3</v>
      </c>
      <c r="BJ28" s="12">
        <f>Table3[[#This Row],[GA]]/Table3[[#This Row],[GP]]</f>
        <v>3.25</v>
      </c>
      <c r="BK28" s="12">
        <f>(Table3[[#This Row],[GF]]-Table3[[#This Row],[GA]])/Table3[[#This Row],[GP]]</f>
        <v>-0.25</v>
      </c>
      <c r="BL28" s="42" t="str">
        <f>_xlfn.CONCAT(TEXT(Table3[[#This Row],[W_H]], "0"), "-", TEXT(Table3[[#This Row],[RL_H]],"0"), "-", TEXT(Table3[[#This Row],[OTL_H]]+Table3[[#This Row],[SOL_H]], "0"))</f>
        <v>2-2-0</v>
      </c>
      <c r="BM28" s="42" t="str">
        <f>_xlfn.CONCAT(TEXT(Table3[[#This Row],[W_A]], "0"), "-", TEXT(Table3[[#This Row],[RL_A]],"0"), "-", TEXT(Table3[[#This Row],[OTL_A]]+Table3[[#This Row],[SOL_A]], "0"))</f>
        <v>1-3-0</v>
      </c>
      <c r="BN28" s="42">
        <f>((2*(Table3[[#This Row],[W_H]]))+Table3[[#This Row],[OTL_H]]+Table3[[#This Row],[SOL_H]])/(2*Table3[[#This Row],[GP_H]])</f>
        <v>0.5</v>
      </c>
      <c r="BO28" s="42">
        <f>((2*(Table3[[#This Row],[W_A]]))+Table3[[#This Row],[OTL_A]]+Table3[[#This Row],[SOL_A]])/(2*Table3[[#This Row],[GP_A]])</f>
        <v>0.25</v>
      </c>
      <c r="BP28" s="16">
        <f>(Table3[[#This Row],[W]]*$CX$3)+(Table3[[#This Row],[L]]*$CX$4)+(Table3[[#This Row],[GF]]*$CX$5)+(Table3[[#This Row],[GA]]*$CX$6)</f>
        <v>9.1999999999999993</v>
      </c>
      <c r="BQ28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76.593749999999986</v>
      </c>
      <c r="BR28" s="16">
        <f>(Table3[[#This Row],[W]]*0.7) + ((Table3[[#This Row],[GF]] - Table3[[#This Row],[GA]])*0.25)+(Table3[[#This Row],[GF]]*0.1)+(Table3[[#This Row],[GA]]*0.05)+(Table3[[#This Row],[L]]*0.3)</f>
        <v>6.8</v>
      </c>
      <c r="BS28" s="16">
        <f>Table3[[#This Row],[TeamCost83]]/Table3[[#This Row],[GP]]</f>
        <v>0.85</v>
      </c>
      <c r="BT28">
        <f>COUNTIFS(Table2[AwayTeam],$A28,Table2[PredictedWinner], $A28, Table2[GameIsOver], 1)</f>
        <v>0</v>
      </c>
      <c r="BU28">
        <f>COUNTIFS(Table2[HomeTeam],$A28,Table2[PredictedWinner], $A28, Table2[GameIsOver], 1)</f>
        <v>3</v>
      </c>
      <c r="BV28">
        <f t="shared" si="8"/>
        <v>3</v>
      </c>
      <c r="BW28">
        <f t="shared" si="9"/>
        <v>4</v>
      </c>
      <c r="BX28">
        <f t="shared" si="10"/>
        <v>1</v>
      </c>
      <c r="BY28">
        <f t="shared" si="11"/>
        <v>5</v>
      </c>
      <c r="BZ28">
        <f>Table3[[#This Row],[TimesPredictedWinner]]/Table3[[#This Row],[GP]]</f>
        <v>0.375</v>
      </c>
      <c r="CB28">
        <v>2011</v>
      </c>
      <c r="CC28" s="1">
        <v>45752</v>
      </c>
      <c r="CE28" t="str">
        <f>INDEX(Table2[AwayTeam], Table3[[#This Row],[Column2]])</f>
        <v>NJD</v>
      </c>
      <c r="CF28">
        <f>LARGE((Table2[[#This Row],[AwayTeam]]=Table3[[#This Row],[Teams]]), 1)</f>
        <v>0</v>
      </c>
      <c r="CI28">
        <f>SUMIFS(Table2[GamePredictionScore], Table2[AwayTeam], Table3[[#This Row],[Teams]])</f>
        <v>2.5</v>
      </c>
      <c r="CJ28">
        <f>SUMIFS(Table2[GamePredictionScore], Table2[HomeTeam], Table3[[#This Row],[Teams]])</f>
        <v>2.7</v>
      </c>
      <c r="CK28">
        <f>Table3[[#This Row],[Column4]]+Table3[[#This Row],[Column3]]</f>
        <v>5.2</v>
      </c>
      <c r="CL28">
        <f>Table3[[#This Row],[Column5]]/Table3[[#This Row],[GP]]</f>
        <v>0.65</v>
      </c>
      <c r="CV28" s="75"/>
      <c r="CW28" s="79">
        <v>10</v>
      </c>
      <c r="CX28" s="76">
        <f t="shared" si="17"/>
        <v>2</v>
      </c>
      <c r="CY28" s="76">
        <f t="shared" si="17"/>
        <v>2.1</v>
      </c>
      <c r="CZ28" s="76">
        <f t="shared" si="17"/>
        <v>2.2000000000000002</v>
      </c>
      <c r="DA28" s="76">
        <f t="shared" si="17"/>
        <v>2.2999999999999998</v>
      </c>
      <c r="DB28" s="76">
        <f t="shared" si="17"/>
        <v>2.4</v>
      </c>
      <c r="DC28" s="76">
        <f t="shared" si="17"/>
        <v>2.5</v>
      </c>
      <c r="DD28" s="76">
        <f t="shared" si="17"/>
        <v>2.6</v>
      </c>
      <c r="DE28" s="76">
        <f t="shared" si="17"/>
        <v>2.7</v>
      </c>
      <c r="DF28" s="76">
        <f t="shared" si="17"/>
        <v>2.8</v>
      </c>
      <c r="DG28" s="76">
        <f t="shared" si="17"/>
        <v>2.9</v>
      </c>
      <c r="DH28" s="77"/>
      <c r="EB28" s="75"/>
      <c r="EC28" s="79">
        <v>10</v>
      </c>
      <c r="ED28" s="16">
        <f t="shared" ref="ED28:EN28" si="24">(IF($EC28&gt;EC$17, 1, 0)*0.7) + (($EC28 - EC$17)*0.25)+($EC28*0.1)+(EC$17*0.05)+(IF($EC28&gt;EC$17, 1, 0)*0.3)</f>
        <v>4.5</v>
      </c>
      <c r="EE28" s="16">
        <f t="shared" si="24"/>
        <v>4.5</v>
      </c>
      <c r="EF28" s="16">
        <f t="shared" si="24"/>
        <v>4.3</v>
      </c>
      <c r="EG28" s="16">
        <f t="shared" si="24"/>
        <v>4.1000000000000005</v>
      </c>
      <c r="EH28" s="16">
        <f t="shared" si="24"/>
        <v>3.9</v>
      </c>
      <c r="EI28" s="16">
        <f t="shared" si="24"/>
        <v>3.7</v>
      </c>
      <c r="EJ28" s="16">
        <f t="shared" si="24"/>
        <v>3.5</v>
      </c>
      <c r="EK28" s="16">
        <f t="shared" si="24"/>
        <v>3.3</v>
      </c>
      <c r="EL28" s="16">
        <f t="shared" si="24"/>
        <v>3.1</v>
      </c>
      <c r="EM28" s="16">
        <f t="shared" si="24"/>
        <v>2.9</v>
      </c>
      <c r="EN28" s="16">
        <f t="shared" si="24"/>
        <v>2.6999999999999997</v>
      </c>
    </row>
    <row r="29" spans="1:144" ht="15.75" thickBot="1" x14ac:dyDescent="0.3">
      <c r="A29" t="s">
        <v>29</v>
      </c>
      <c r="B29" t="s">
        <v>91</v>
      </c>
      <c r="C29" t="s">
        <v>74</v>
      </c>
      <c r="D29">
        <f>COUNTIFS(DataRegularSeason20242025!$D$3:$D$1315,$A29,DataRegularSeason20242025!$R$3:$R$1315,1,DataRegularSeason20242025!$N$3:$N$1315,1) + COUNTIFS(DataRegularSeason20242025!$E$3:$E$1315,$A29,DataRegularSeason20242025!$R$3:$R$1315,1,DataRegularSeason20242025!$N$3:$N$1315,1)</f>
        <v>6</v>
      </c>
      <c r="E29" s="10">
        <f>Table3[[#This Row],[Watched]]/Table3[[#This Row],[GP]]</f>
        <v>0.8571428571428571</v>
      </c>
      <c r="F29">
        <f>COUNTIFS(DataRegularSeason20242025!$N$3:$N$1315,1,DataRegularSeason20242025!$D$3:$D$1315,$A29)</f>
        <v>3</v>
      </c>
      <c r="G29">
        <f>41-Table3[[#This Row],[GP_A]]</f>
        <v>38</v>
      </c>
      <c r="H29">
        <f>COUNTIFS(DataRegularSeason20242025!$E$3:$E$1315,$A29,DataRegularSeason20242025!$N$3:$N$1315,1)</f>
        <v>4</v>
      </c>
      <c r="I29">
        <f>41-Table3[[#This Row],[GP_H]]</f>
        <v>37</v>
      </c>
      <c r="J29">
        <f t="shared" si="0"/>
        <v>7</v>
      </c>
      <c r="K29">
        <f>82-Table3[[#This Row],[GP]]</f>
        <v>75</v>
      </c>
      <c r="L29">
        <f>COUNTIFS(DataRegularSeason20242025!$D$3:$D$1315,$A29, DataRegularSeason20242025!$L$3:$L$1315, $A29,DataRegularSeason20242025!$N$3:$N$1315,1)</f>
        <v>1</v>
      </c>
      <c r="M29">
        <f>COUNTIFS(DataRegularSeason20242025!$D$3:$D$1315,$A29, DataRegularSeason20242025!$L$3:$L$1315, $A29,DataRegularSeason20242025!$N$3:$N$1315,1,DataRegularSeason20242025!$M$3:$M$1315,"REG")</f>
        <v>1</v>
      </c>
      <c r="N29">
        <f>COUNTIFS(DataRegularSeason20242025!$D$3:$D$1315,$A29, DataRegularSeason20242025!$L$3:$L$1315, $A29,DataRegularSeason20242025!$N$3:$N$1315,1,DataRegularSeason20242025!$M$3:$M$1315,"OT")</f>
        <v>0</v>
      </c>
      <c r="O29">
        <f>COUNTIFS(DataRegularSeason20242025!$D$3:$D$1315,$A29, DataRegularSeason20242025!$L$3:$L$1315, $A29,DataRegularSeason20242025!$N$3:$N$1315,1,DataRegularSeason20242025!$M$3:$M$1315,"SO")</f>
        <v>0</v>
      </c>
      <c r="P29">
        <f t="shared" si="1"/>
        <v>2</v>
      </c>
      <c r="Q29">
        <f>COUNTIFS(DataRegularSeason20242025!$D$3:$D$1315,$A29, DataRegularSeason20242025!$S$3:$S$1315, $A29,DataRegularSeason20242025!$M$3:$M$1315,"REG")</f>
        <v>2</v>
      </c>
      <c r="R29">
        <f>COUNTIFS(DataRegularSeason20242025!$D$3:$D$1315,$A29, DataRegularSeason20242025!$S$3:$S$1315, $A29,DataRegularSeason20242025!$M$3:$M$1315,"OT")</f>
        <v>0</v>
      </c>
      <c r="S29">
        <f>COUNTIFS(DataRegularSeason20242025!$D$3:$D$1315,$A29, DataRegularSeason20242025!$S$3:$S$1315, $A29,DataRegularSeason20242025!$M$3:$M$1315,"SO")</f>
        <v>0</v>
      </c>
      <c r="T29">
        <f>COUNTIFS(DataRegularSeason20242025!$E$3:$E$1315,$A29, DataRegularSeason20242025!$L$3:$L$1315, $A29, DataRegularSeason20242025!$N$3:$N$1315,1)</f>
        <v>1</v>
      </c>
      <c r="U29">
        <f>COUNTIFS(DataRegularSeason20242025!$E$3:$E$1315,$A29, DataRegularSeason20242025!$L$3:$L$1315, $A29,DataRegularSeason20242025!$N$3:$N$1315,1,DataRegularSeason20242025!$M$3:$M$1315,"REG")</f>
        <v>0</v>
      </c>
      <c r="V29">
        <f>COUNTIFS(DataRegularSeason20242025!$E$3:$E$1315,$A29, DataRegularSeason20242025!$L$3:$L$1315, $A29,DataRegularSeason20242025!$N$3:$N$1315,1,DataRegularSeason20242025!$M$3:$M$1315,"OT")</f>
        <v>0</v>
      </c>
      <c r="W29">
        <f>COUNTIFS(DataRegularSeason20242025!$E$3:$E$1315,$A29, DataRegularSeason20242025!$L$3:$L$1315, $A29,DataRegularSeason20242025!$N$3:$N$1315,1,DataRegularSeason20242025!$M$3:$M$1315,"SO")</f>
        <v>1</v>
      </c>
      <c r="X29">
        <f t="shared" si="2"/>
        <v>3</v>
      </c>
      <c r="Y29">
        <f>COUNTIFS(DataRegularSeason20242025!$E$3:$E$1315,$A29, DataRegularSeason20242025!$S$3:$S$1315, $A29,DataRegularSeason20242025!$M$3:$M$1315,"REG")</f>
        <v>2</v>
      </c>
      <c r="Z29">
        <f>COUNTIFS(DataRegularSeason20242025!$E$3:$E$1315,$A29, DataRegularSeason20242025!$S$3:$S$1315, $A29,DataRegularSeason20242025!$M$3:$M$1315,"OT")</f>
        <v>1</v>
      </c>
      <c r="AA29">
        <f>COUNTIFS(DataRegularSeason20242025!$E$3:$E$1315,$A29, DataRegularSeason20242025!$S$3:$S$1315, $A29,DataRegularSeason20242025!$M$3:$M$1315,"SO")</f>
        <v>0</v>
      </c>
      <c r="AB29">
        <f>Table3[[#This Row],[W]]/MAX(1,Table3[[#This Row],[W]]+Table3[[#This Row],[L]])</f>
        <v>0.2857142857142857</v>
      </c>
      <c r="AC29">
        <f>Table3[[#This Row],[W_A]]+Table3[[#This Row],[W_H]]</f>
        <v>2</v>
      </c>
      <c r="AD29">
        <f>Table3[[#This Row],[L_A]]+Table3[[#This Row],[L_H]]</f>
        <v>5</v>
      </c>
      <c r="AE29">
        <f>Table3[[#This Row],[RW_A]]+Table3[[#This Row],[RW_H]]</f>
        <v>1</v>
      </c>
      <c r="AF29">
        <f>Table3[[#This Row],[RL_A]]+Table3[[#This Row],[RL_H]]</f>
        <v>4</v>
      </c>
      <c r="AG29">
        <f>Table3[[#This Row],[OTW_A]]+Table3[[#This Row],[OTW_H]]</f>
        <v>0</v>
      </c>
      <c r="AH29">
        <f>Table3[[#This Row],[OTL_A]]+Table3[[#This Row],[OTL_H]]</f>
        <v>1</v>
      </c>
      <c r="AI29">
        <f>Table3[[#This Row],[SOW_A]]+Table3[[#This Row],[SOW_H]]</f>
        <v>1</v>
      </c>
      <c r="AJ29">
        <f>Table3[[#This Row],[SOL_A]]+Table3[[#This Row],[SOL_H]]</f>
        <v>0</v>
      </c>
      <c r="AK29" s="15" t="str">
        <f>_xlfn.CONCAT(TEXT(Table3[[#This Row],[OTW]]+Table3[[#This Row],[SOW]], "0"), "-", TEXT(Table3[[#This Row],[OTL]]+Table3[[#This Row],[SOL]],"0"))</f>
        <v>1-1</v>
      </c>
      <c r="AL29">
        <f>SUM(Table3[[#This Row],[OTW]],Table3[[#This Row],[OTL]],Table3[[#This Row],[SOW]],Table3[[#This Row],[SOL]])</f>
        <v>2</v>
      </c>
      <c r="AM29">
        <f>(Table3[[#This Row],[OTW]]+Table3[[#This Row],[SOW]])/IF(Table3[[#This Row],[Total_ExtraTimes]]=0,1,Table3[[#This Row],[Total_ExtraTimes]])</f>
        <v>0.5</v>
      </c>
      <c r="AN29">
        <f>Table3[[#This Row],[Total_ExtraTimes]]/MAX(1,Table3[[#This Row],[GP]])</f>
        <v>0.2857142857142857</v>
      </c>
      <c r="AO29">
        <f>(2*(Table3[[#This Row],[W_A]]+Table3[[#This Row],[W_H]]))+Table3[[#This Row],[OTL_A]]+Table3[[#This Row],[SOL_A]]+Table3[[#This Row],[OTL_H]]+Table3[[#This Row],[SOL_H]]</f>
        <v>5</v>
      </c>
      <c r="AP29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29" s="10">
        <f>Table3[[#This Row],[PTS]]/(2*Table3[[#This Row],[GP]])</f>
        <v>0.35714285714285715</v>
      </c>
      <c r="AR29" s="10">
        <f>Table3[[#This Row],[PTS2]]/(3*Table3[[#This Row],[GP]])</f>
        <v>0.2857142857142857</v>
      </c>
      <c r="AS29">
        <f>(2*Table3[[#This Row],[GR]])+Table3[[#This Row],[PTS]]</f>
        <v>155</v>
      </c>
      <c r="AT29">
        <f>(3*Table3[[#This Row],[GR]])+Table3[[#This Row],[PTS2]]</f>
        <v>231</v>
      </c>
      <c r="AU29">
        <f>Table3[[#This Row],[PTS]]+(2 * Table3[[#This Row],[GR]] * Table3[[#This Row],[PTS%]])</f>
        <v>58.571428571428569</v>
      </c>
      <c r="AV29">
        <f>Table3[[#This Row],[PTS2]]+(3 * Table3[[#This Row],[GR]] * Table3[[#This Row],[PTS%2]])</f>
        <v>70.285714285714278</v>
      </c>
      <c r="AW29" s="15" t="str">
        <f>_xlfn.CONCAT(TEXT(Table3[[#This Row],[W]], "0"), "-", TEXT(Table3[[#This Row],[RL]],"0"), "-", TEXT(Table3[[#This Row],[OTL]]+Table3[[#This Row],[SOL]], "0"))</f>
        <v>2-4-1</v>
      </c>
      <c r="AX29">
        <f>COUNTIFS(DataRegularSeason20242025!$D$3:$D$1315,Table3[[#This Row],[Teams]],DataRegularSeason20242025!$K$3:$K$1315,0)</f>
        <v>0</v>
      </c>
      <c r="AY29">
        <f>SUMIF(DataRegularSeason20242025!$D$3:$D$1315,$A29, DataRegularSeason20242025!$J$3:$J$1315)</f>
        <v>11</v>
      </c>
      <c r="AZ29">
        <f>SUMIF(DataRegularSeason20242025!$D$3:$D$1315,$A29, DataRegularSeason20242025!$K$3:$K$1315)</f>
        <v>18</v>
      </c>
      <c r="BA29">
        <f t="shared" si="3"/>
        <v>-7</v>
      </c>
      <c r="BB29">
        <f>COUNTIFS(DataRegularSeason20242025!$E$3:$E$1315,Table3[[#This Row],[Teams]],DataRegularSeason20242025!$J$3:$J$1315,0)</f>
        <v>0</v>
      </c>
      <c r="BC29">
        <f>SUMIF(DataRegularSeason20242025!$E$3:$E$1315,$A29,DataRegularSeason20242025!$K$3:$K$1315)</f>
        <v>11</v>
      </c>
      <c r="BD29">
        <f>SUMIF(DataRegularSeason20242025!$E$3:$E$1315,$A29,DataRegularSeason20242025!$J$3:$J$1315)</f>
        <v>15</v>
      </c>
      <c r="BE29">
        <f t="shared" si="4"/>
        <v>-4</v>
      </c>
      <c r="BF29">
        <f t="shared" si="5"/>
        <v>22</v>
      </c>
      <c r="BG29">
        <f t="shared" si="6"/>
        <v>33</v>
      </c>
      <c r="BH29">
        <f t="shared" si="7"/>
        <v>-11</v>
      </c>
      <c r="BI29" s="12">
        <f>Table3[[#This Row],[GF]]/Table3[[#This Row],[GP]]</f>
        <v>3.1428571428571428</v>
      </c>
      <c r="BJ29" s="12">
        <f>Table3[[#This Row],[GA]]/Table3[[#This Row],[GP]]</f>
        <v>4.7142857142857144</v>
      </c>
      <c r="BK29" s="12">
        <f>(Table3[[#This Row],[GF]]-Table3[[#This Row],[GA]])/Table3[[#This Row],[GP]]</f>
        <v>-1.5714285714285714</v>
      </c>
      <c r="BL29" s="42" t="str">
        <f>_xlfn.CONCAT(TEXT(Table3[[#This Row],[W_H]], "0"), "-", TEXT(Table3[[#This Row],[RL_H]],"0"), "-", TEXT(Table3[[#This Row],[OTL_H]]+Table3[[#This Row],[SOL_H]], "0"))</f>
        <v>1-2-1</v>
      </c>
      <c r="BM29" s="42" t="str">
        <f>_xlfn.CONCAT(TEXT(Table3[[#This Row],[W_A]], "0"), "-", TEXT(Table3[[#This Row],[RL_A]],"0"), "-", TEXT(Table3[[#This Row],[OTL_A]]+Table3[[#This Row],[SOL_A]], "0"))</f>
        <v>1-2-0</v>
      </c>
      <c r="BN29" s="42">
        <f>((2*(Table3[[#This Row],[W_H]]))+Table3[[#This Row],[OTL_H]]+Table3[[#This Row],[SOL_H]])/(2*Table3[[#This Row],[GP_H]])</f>
        <v>0.375</v>
      </c>
      <c r="BO29" s="42">
        <f>((2*(Table3[[#This Row],[W_A]]))+Table3[[#This Row],[OTL_A]]+Table3[[#This Row],[SOL_A]])/(2*Table3[[#This Row],[GP_A]])</f>
        <v>0.33333333333333331</v>
      </c>
      <c r="BP29" s="16">
        <f>(Table3[[#This Row],[W]]*$CX$3)+(Table3[[#This Row],[L]]*$CX$4)+(Table3[[#This Row],[GF]]*$CX$5)+(Table3[[#This Row],[GA]]*$CX$6)</f>
        <v>9.1</v>
      </c>
      <c r="BQ29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90.765306122448976</v>
      </c>
      <c r="BR29" s="16">
        <f>(Table3[[#This Row],[W]]*0.7) + ((Table3[[#This Row],[GF]] - Table3[[#This Row],[GA]])*0.25)+(Table3[[#This Row],[GF]]*0.1)+(Table3[[#This Row],[GA]]*0.05)+(Table3[[#This Row],[L]]*0.3)</f>
        <v>4</v>
      </c>
      <c r="BS29" s="16">
        <f>Table3[[#This Row],[TeamCost83]]/Table3[[#This Row],[GP]]</f>
        <v>0.5714285714285714</v>
      </c>
      <c r="BT29">
        <f>COUNTIFS(Table2[AwayTeam],$A29,Table2[PredictedWinner], $A29, Table2[GameIsOver], 1)</f>
        <v>1</v>
      </c>
      <c r="BU29">
        <f>COUNTIFS(Table2[HomeTeam],$A29,Table2[PredictedWinner], $A29, Table2[GameIsOver], 1)</f>
        <v>2</v>
      </c>
      <c r="BV29">
        <f t="shared" si="8"/>
        <v>3</v>
      </c>
      <c r="BW29">
        <f t="shared" si="9"/>
        <v>2</v>
      </c>
      <c r="BX29">
        <f t="shared" si="10"/>
        <v>2</v>
      </c>
      <c r="BY29">
        <f t="shared" si="11"/>
        <v>4</v>
      </c>
      <c r="BZ29">
        <f>Table3[[#This Row],[TimesPredictedWinner]]/Table3[[#This Row],[GP]]</f>
        <v>0.42857142857142855</v>
      </c>
      <c r="CD29" s="1">
        <v>45755</v>
      </c>
      <c r="CE29" t="str">
        <f>INDEX(Table2[AwayTeam], Table3[[#This Row],[Column2]])</f>
        <v>CHI</v>
      </c>
      <c r="CF29">
        <f>LARGE((Table2[[#This Row],[AwayTeam]]=Table3[[#This Row],[Teams]]), 1)</f>
        <v>1</v>
      </c>
      <c r="CI29">
        <f>SUMIFS(Table2[GamePredictionScore], Table2[AwayTeam], Table3[[#This Row],[Teams]])</f>
        <v>0.9</v>
      </c>
      <c r="CJ29">
        <f>SUMIFS(Table2[GamePredictionScore], Table2[HomeTeam], Table3[[#This Row],[Teams]])</f>
        <v>0.8</v>
      </c>
      <c r="CK29">
        <f>Table3[[#This Row],[Column4]]+Table3[[#This Row],[Column3]]</f>
        <v>1.7000000000000002</v>
      </c>
      <c r="CL29">
        <f>Table3[[#This Row],[Column5]]/Table3[[#This Row],[GP]]</f>
        <v>0.24285714285714288</v>
      </c>
      <c r="CV29" s="87"/>
      <c r="CW29" s="87"/>
      <c r="CX29" s="87"/>
      <c r="CY29" s="87"/>
      <c r="CZ29" s="87"/>
      <c r="DA29" s="87"/>
      <c r="DB29" s="87"/>
      <c r="DC29" s="87"/>
      <c r="DD29" s="87"/>
      <c r="DE29" s="87"/>
      <c r="DF29" s="87"/>
      <c r="DG29" s="87"/>
      <c r="DH29" s="87"/>
    </row>
    <row r="30" spans="1:144" ht="15.75" thickTop="1" x14ac:dyDescent="0.25">
      <c r="A30" t="s">
        <v>28</v>
      </c>
      <c r="B30" t="s">
        <v>91</v>
      </c>
      <c r="C30" t="s">
        <v>74</v>
      </c>
      <c r="D30">
        <f>COUNTIFS(DataRegularSeason20242025!$D$3:$D$1315,$A30,DataRegularSeason20242025!$R$3:$R$1315,1,DataRegularSeason20242025!$N$3:$N$1315,1) + COUNTIFS(DataRegularSeason20242025!$E$3:$E$1315,$A30,DataRegularSeason20242025!$R$3:$R$1315,1,DataRegularSeason20242025!$N$3:$N$1315,1)</f>
        <v>4</v>
      </c>
      <c r="E30" s="10">
        <f>Table3[[#This Row],[Watched]]/Table3[[#This Row],[GP]]</f>
        <v>0.66666666666666663</v>
      </c>
      <c r="F30">
        <f>COUNTIFS(DataRegularSeason20242025!$N$3:$N$1315,1,DataRegularSeason20242025!$D$3:$D$1315,$A30)</f>
        <v>2</v>
      </c>
      <c r="G30">
        <f>41-Table3[[#This Row],[GP_A]]</f>
        <v>39</v>
      </c>
      <c r="H30">
        <f>COUNTIFS(DataRegularSeason20242025!$E$3:$E$1315,$A30,DataRegularSeason20242025!$N$3:$N$1315,1)</f>
        <v>4</v>
      </c>
      <c r="I30">
        <f>41-Table3[[#This Row],[GP_H]]</f>
        <v>37</v>
      </c>
      <c r="J30">
        <f t="shared" si="0"/>
        <v>6</v>
      </c>
      <c r="K30">
        <f>82-Table3[[#This Row],[GP]]</f>
        <v>76</v>
      </c>
      <c r="L30">
        <f>COUNTIFS(DataRegularSeason20242025!$D$3:$D$1315,$A30, DataRegularSeason20242025!$L$3:$L$1315, $A30,DataRegularSeason20242025!$N$3:$N$1315,1)</f>
        <v>0</v>
      </c>
      <c r="M30">
        <f>COUNTIFS(DataRegularSeason20242025!$D$3:$D$1315,$A30, DataRegularSeason20242025!$L$3:$L$1315, $A30,DataRegularSeason20242025!$N$3:$N$1315,1,DataRegularSeason20242025!$M$3:$M$1315,"REG")</f>
        <v>0</v>
      </c>
      <c r="N30">
        <f>COUNTIFS(DataRegularSeason20242025!$D$3:$D$1315,$A30, DataRegularSeason20242025!$L$3:$L$1315, $A30,DataRegularSeason20242025!$N$3:$N$1315,1,DataRegularSeason20242025!$M$3:$M$1315,"OT")</f>
        <v>0</v>
      </c>
      <c r="O30">
        <f>COUNTIFS(DataRegularSeason20242025!$D$3:$D$1315,$A30, DataRegularSeason20242025!$L$3:$L$1315, $A30,DataRegularSeason20242025!$N$3:$N$1315,1,DataRegularSeason20242025!$M$3:$M$1315,"SO")</f>
        <v>0</v>
      </c>
      <c r="P30">
        <f t="shared" si="1"/>
        <v>2</v>
      </c>
      <c r="Q30">
        <f>COUNTIFS(DataRegularSeason20242025!$D$3:$D$1315,$A30, DataRegularSeason20242025!$S$3:$S$1315, $A30,DataRegularSeason20242025!$M$3:$M$1315,"REG")</f>
        <v>2</v>
      </c>
      <c r="R30">
        <f>COUNTIFS(DataRegularSeason20242025!$D$3:$D$1315,$A30, DataRegularSeason20242025!$S$3:$S$1315, $A30,DataRegularSeason20242025!$M$3:$M$1315,"OT")</f>
        <v>0</v>
      </c>
      <c r="S30">
        <f>COUNTIFS(DataRegularSeason20242025!$D$3:$D$1315,$A30, DataRegularSeason20242025!$S$3:$S$1315, $A30,DataRegularSeason20242025!$M$3:$M$1315,"SO")</f>
        <v>0</v>
      </c>
      <c r="T30">
        <f>COUNTIFS(DataRegularSeason20242025!$E$3:$E$1315,$A30, DataRegularSeason20242025!$L$3:$L$1315, $A30, DataRegularSeason20242025!$N$3:$N$1315,1)</f>
        <v>2</v>
      </c>
      <c r="U30">
        <f>COUNTIFS(DataRegularSeason20242025!$E$3:$E$1315,$A30, DataRegularSeason20242025!$L$3:$L$1315, $A30,DataRegularSeason20242025!$N$3:$N$1315,1,DataRegularSeason20242025!$M$3:$M$1315,"REG")</f>
        <v>2</v>
      </c>
      <c r="V30">
        <f>COUNTIFS(DataRegularSeason20242025!$E$3:$E$1315,$A30, DataRegularSeason20242025!$L$3:$L$1315, $A30,DataRegularSeason20242025!$N$3:$N$1315,1,DataRegularSeason20242025!$M$3:$M$1315,"OT")</f>
        <v>0</v>
      </c>
      <c r="W30">
        <f>COUNTIFS(DataRegularSeason20242025!$E$3:$E$1315,$A30, DataRegularSeason20242025!$L$3:$L$1315, $A30,DataRegularSeason20242025!$N$3:$N$1315,1,DataRegularSeason20242025!$M$3:$M$1315,"SO")</f>
        <v>0</v>
      </c>
      <c r="X30">
        <f t="shared" si="2"/>
        <v>2</v>
      </c>
      <c r="Y30">
        <f>COUNTIFS(DataRegularSeason20242025!$E$3:$E$1315,$A30, DataRegularSeason20242025!$S$3:$S$1315, $A30,DataRegularSeason20242025!$M$3:$M$1315,"REG")</f>
        <v>2</v>
      </c>
      <c r="Z30">
        <f>COUNTIFS(DataRegularSeason20242025!$E$3:$E$1315,$A30, DataRegularSeason20242025!$S$3:$S$1315, $A30,DataRegularSeason20242025!$M$3:$M$1315,"OT")</f>
        <v>0</v>
      </c>
      <c r="AA30">
        <f>COUNTIFS(DataRegularSeason20242025!$E$3:$E$1315,$A30, DataRegularSeason20242025!$S$3:$S$1315, $A30,DataRegularSeason20242025!$M$3:$M$1315,"SO")</f>
        <v>0</v>
      </c>
      <c r="AB30">
        <f>Table3[[#This Row],[W]]/MAX(1,Table3[[#This Row],[W]]+Table3[[#This Row],[L]])</f>
        <v>0.33333333333333331</v>
      </c>
      <c r="AC30">
        <f>Table3[[#This Row],[W_A]]+Table3[[#This Row],[W_H]]</f>
        <v>2</v>
      </c>
      <c r="AD30">
        <f>Table3[[#This Row],[L_A]]+Table3[[#This Row],[L_H]]</f>
        <v>4</v>
      </c>
      <c r="AE30">
        <f>Table3[[#This Row],[RW_A]]+Table3[[#This Row],[RW_H]]</f>
        <v>2</v>
      </c>
      <c r="AF30">
        <f>Table3[[#This Row],[RL_A]]+Table3[[#This Row],[RL_H]]</f>
        <v>4</v>
      </c>
      <c r="AG30">
        <f>Table3[[#This Row],[OTW_A]]+Table3[[#This Row],[OTW_H]]</f>
        <v>0</v>
      </c>
      <c r="AH30">
        <f>Table3[[#This Row],[OTL_A]]+Table3[[#This Row],[OTL_H]]</f>
        <v>0</v>
      </c>
      <c r="AI30">
        <f>Table3[[#This Row],[SOW_A]]+Table3[[#This Row],[SOW_H]]</f>
        <v>0</v>
      </c>
      <c r="AJ30">
        <f>Table3[[#This Row],[SOL_A]]+Table3[[#This Row],[SOL_H]]</f>
        <v>0</v>
      </c>
      <c r="AK30" s="15" t="str">
        <f>_xlfn.CONCAT(TEXT(Table3[[#This Row],[OTW]]+Table3[[#This Row],[SOW]], "0"), "-", TEXT(Table3[[#This Row],[OTL]]+Table3[[#This Row],[SOL]],"0"))</f>
        <v>0-0</v>
      </c>
      <c r="AL30">
        <f>SUM(Table3[[#This Row],[OTW]],Table3[[#This Row],[OTL]],Table3[[#This Row],[SOW]],Table3[[#This Row],[SOL]])</f>
        <v>0</v>
      </c>
      <c r="AM30">
        <f>(Table3[[#This Row],[OTW]]+Table3[[#This Row],[SOW]])/IF(Table3[[#This Row],[Total_ExtraTimes]]=0,1,Table3[[#This Row],[Total_ExtraTimes]])</f>
        <v>0</v>
      </c>
      <c r="AN30">
        <f>Table3[[#This Row],[Total_ExtraTimes]]/MAX(1,Table3[[#This Row],[GP]])</f>
        <v>0</v>
      </c>
      <c r="AO30">
        <f>(2*(Table3[[#This Row],[W_A]]+Table3[[#This Row],[W_H]]))+Table3[[#This Row],[OTL_A]]+Table3[[#This Row],[SOL_A]]+Table3[[#This Row],[OTL_H]]+Table3[[#This Row],[SOL_H]]</f>
        <v>4</v>
      </c>
      <c r="AP30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30" s="10">
        <f>Table3[[#This Row],[PTS]]/(2*Table3[[#This Row],[GP]])</f>
        <v>0.33333333333333331</v>
      </c>
      <c r="AR30" s="10">
        <f>Table3[[#This Row],[PTS2]]/(3*Table3[[#This Row],[GP]])</f>
        <v>0.33333333333333331</v>
      </c>
      <c r="AS30">
        <f>(2*Table3[[#This Row],[GR]])+Table3[[#This Row],[PTS]]</f>
        <v>156</v>
      </c>
      <c r="AT30">
        <f>(3*Table3[[#This Row],[GR]])+Table3[[#This Row],[PTS2]]</f>
        <v>234</v>
      </c>
      <c r="AU30">
        <f>Table3[[#This Row],[PTS]]+(2 * Table3[[#This Row],[GR]] * Table3[[#This Row],[PTS%]])</f>
        <v>54.666666666666664</v>
      </c>
      <c r="AV30">
        <f>Table3[[#This Row],[PTS2]]+(3 * Table3[[#This Row],[GR]] * Table3[[#This Row],[PTS%2]])</f>
        <v>82</v>
      </c>
      <c r="AW30" s="15" t="str">
        <f>_xlfn.CONCAT(TEXT(Table3[[#This Row],[W]], "0"), "-", TEXT(Table3[[#This Row],[RL]],"0"), "-", TEXT(Table3[[#This Row],[OTL]]+Table3[[#This Row],[SOL]], "0"))</f>
        <v>2-4-0</v>
      </c>
      <c r="AX30">
        <f>COUNTIFS(DataRegularSeason20242025!$D$3:$D$1315,Table3[[#This Row],[Teams]],DataRegularSeason20242025!$K$3:$K$1315,0)</f>
        <v>0</v>
      </c>
      <c r="AY30">
        <f>SUMIF(DataRegularSeason20242025!$D$3:$D$1315,$A30, DataRegularSeason20242025!$J$3:$J$1315)</f>
        <v>3</v>
      </c>
      <c r="AZ30">
        <f>SUMIF(DataRegularSeason20242025!$D$3:$D$1315,$A30, DataRegularSeason20242025!$K$3:$K$1315)</f>
        <v>7</v>
      </c>
      <c r="BA30">
        <f t="shared" si="3"/>
        <v>-4</v>
      </c>
      <c r="BB30">
        <f>COUNTIFS(DataRegularSeason20242025!$E$3:$E$1315,Table3[[#This Row],[Teams]],DataRegularSeason20242025!$J$3:$J$1315,0)</f>
        <v>1</v>
      </c>
      <c r="BC30">
        <f>SUMIF(DataRegularSeason20242025!$E$3:$E$1315,$A30,DataRegularSeason20242025!$K$3:$K$1315)</f>
        <v>12</v>
      </c>
      <c r="BD30">
        <f>SUMIF(DataRegularSeason20242025!$E$3:$E$1315,$A30,DataRegularSeason20242025!$J$3:$J$1315)</f>
        <v>11</v>
      </c>
      <c r="BE30">
        <f t="shared" si="4"/>
        <v>1</v>
      </c>
      <c r="BF30">
        <f t="shared" si="5"/>
        <v>15</v>
      </c>
      <c r="BG30">
        <f t="shared" si="6"/>
        <v>18</v>
      </c>
      <c r="BH30">
        <f t="shared" si="7"/>
        <v>-3</v>
      </c>
      <c r="BI30" s="12">
        <f>Table3[[#This Row],[GF]]/Table3[[#This Row],[GP]]</f>
        <v>2.5</v>
      </c>
      <c r="BJ30" s="12">
        <f>Table3[[#This Row],[GA]]/Table3[[#This Row],[GP]]</f>
        <v>3</v>
      </c>
      <c r="BK30" s="12">
        <f>(Table3[[#This Row],[GF]]-Table3[[#This Row],[GA]])/Table3[[#This Row],[GP]]</f>
        <v>-0.5</v>
      </c>
      <c r="BL30" s="42" t="str">
        <f>_xlfn.CONCAT(TEXT(Table3[[#This Row],[W_H]], "0"), "-", TEXT(Table3[[#This Row],[RL_H]],"0"), "-", TEXT(Table3[[#This Row],[OTL_H]]+Table3[[#This Row],[SOL_H]], "0"))</f>
        <v>2-2-0</v>
      </c>
      <c r="BM30" s="42" t="str">
        <f>_xlfn.CONCAT(TEXT(Table3[[#This Row],[W_A]], "0"), "-", TEXT(Table3[[#This Row],[RL_A]],"0"), "-", TEXT(Table3[[#This Row],[OTL_A]]+Table3[[#This Row],[SOL_A]], "0"))</f>
        <v>0-2-0</v>
      </c>
      <c r="BN30" s="42">
        <f>((2*(Table3[[#This Row],[W_H]]))+Table3[[#This Row],[OTL_H]]+Table3[[#This Row],[SOL_H]])/(2*Table3[[#This Row],[GP_H]])</f>
        <v>0.5</v>
      </c>
      <c r="BO30" s="42">
        <f>((2*(Table3[[#This Row],[W_A]]))+Table3[[#This Row],[OTL_A]]+Table3[[#This Row],[SOL_A]])/(2*Table3[[#This Row],[GP_A]])</f>
        <v>0</v>
      </c>
      <c r="BP30" s="16">
        <f>(Table3[[#This Row],[W]]*$CX$3)+(Table3[[#This Row],[L]]*$CX$4)+(Table3[[#This Row],[GF]]*$CX$5)+(Table3[[#This Row],[GA]]*$CX$6)</f>
        <v>6.25</v>
      </c>
      <c r="BQ30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66.611111111111114</v>
      </c>
      <c r="BR30" s="16">
        <f>(Table3[[#This Row],[W]]*0.7) + ((Table3[[#This Row],[GF]] - Table3[[#This Row],[GA]])*0.25)+(Table3[[#This Row],[GF]]*0.1)+(Table3[[#This Row],[GA]]*0.05)+(Table3[[#This Row],[L]]*0.3)</f>
        <v>4.25</v>
      </c>
      <c r="BS30" s="16">
        <f>Table3[[#This Row],[TeamCost83]]/Table3[[#This Row],[GP]]</f>
        <v>0.70833333333333337</v>
      </c>
      <c r="BT30">
        <f>COUNTIFS(Table2[AwayTeam],$A30,Table2[PredictedWinner], $A30, Table2[GameIsOver], 1)</f>
        <v>0</v>
      </c>
      <c r="BU30">
        <f>COUNTIFS(Table2[HomeTeam],$A30,Table2[PredictedWinner], $A30, Table2[GameIsOver], 1)</f>
        <v>3</v>
      </c>
      <c r="BV30">
        <f t="shared" si="8"/>
        <v>3</v>
      </c>
      <c r="BW30">
        <f t="shared" si="9"/>
        <v>2</v>
      </c>
      <c r="BX30">
        <f t="shared" si="10"/>
        <v>1</v>
      </c>
      <c r="BY30">
        <f t="shared" si="11"/>
        <v>3</v>
      </c>
      <c r="BZ30">
        <f>Table3[[#This Row],[TimesPredictedWinner]]/Table3[[#This Row],[GP]]</f>
        <v>0.5</v>
      </c>
      <c r="CC30" s="1">
        <v>45755</v>
      </c>
      <c r="CE30" t="str">
        <f>INDEX(Table2[AwayTeam], Table3[[#This Row],[Column2]])</f>
        <v>WSH</v>
      </c>
      <c r="CF30">
        <f>LARGE((Table2[[#This Row],[AwayTeam]]=Table3[[#This Row],[Teams]]), 1)</f>
        <v>0</v>
      </c>
      <c r="CI30">
        <f>SUMIFS(Table2[GamePredictionScore], Table2[AwayTeam], Table3[[#This Row],[Teams]])</f>
        <v>1.6</v>
      </c>
      <c r="CJ30">
        <f>SUMIFS(Table2[GamePredictionScore], Table2[HomeTeam], Table3[[#This Row],[Teams]])</f>
        <v>2.5</v>
      </c>
      <c r="CK30">
        <f>Table3[[#This Row],[Column4]]+Table3[[#This Row],[Column3]]</f>
        <v>4.0999999999999996</v>
      </c>
      <c r="CL30">
        <f>Table3[[#This Row],[Column5]]/Table3[[#This Row],[GP]]</f>
        <v>0.68333333333333324</v>
      </c>
      <c r="CU30" s="57"/>
      <c r="CV30" s="178" t="s">
        <v>23</v>
      </c>
      <c r="CW30" s="179"/>
      <c r="CX30" s="83"/>
      <c r="CY30" s="83"/>
      <c r="CZ30" s="83"/>
      <c r="DA30" s="83"/>
      <c r="DB30" s="83"/>
      <c r="DC30" s="83"/>
      <c r="DD30" s="83"/>
      <c r="DE30" s="83"/>
      <c r="DF30" s="83"/>
      <c r="DG30" s="83"/>
      <c r="DH30" s="84"/>
      <c r="DJ30" s="178" t="s">
        <v>525</v>
      </c>
      <c r="DK30" s="179"/>
      <c r="DL30" s="83" t="s">
        <v>527</v>
      </c>
      <c r="DM30" s="83"/>
      <c r="DN30" s="83"/>
      <c r="DO30" s="83"/>
      <c r="DP30" s="83"/>
      <c r="DQ30" s="83"/>
      <c r="DR30" s="83"/>
      <c r="DS30" s="83"/>
      <c r="DT30" s="83"/>
      <c r="DU30" s="83"/>
      <c r="DV30" s="84"/>
    </row>
    <row r="31" spans="1:144" ht="15.75" thickBot="1" x14ac:dyDescent="0.3">
      <c r="A31" t="s">
        <v>40</v>
      </c>
      <c r="B31" t="s">
        <v>91</v>
      </c>
      <c r="C31" t="s">
        <v>74</v>
      </c>
      <c r="D31">
        <f>COUNTIFS(DataRegularSeason20242025!$D$3:$D$1315,$A31,DataRegularSeason20242025!$R$3:$R$1315,1,DataRegularSeason20242025!$N$3:$N$1315,1) + COUNTIFS(DataRegularSeason20242025!$E$3:$E$1315,$A31,DataRegularSeason20242025!$R$3:$R$1315,1,DataRegularSeason20242025!$N$3:$N$1315,1)</f>
        <v>5</v>
      </c>
      <c r="E31" s="10">
        <f>Table3[[#This Row],[Watched]]/Table3[[#This Row],[GP]]</f>
        <v>0.83333333333333337</v>
      </c>
      <c r="F31">
        <f>COUNTIFS(DataRegularSeason20242025!$N$3:$N$1315,1,DataRegularSeason20242025!$D$3:$D$1315,$A31)</f>
        <v>4</v>
      </c>
      <c r="G31">
        <f>41-Table3[[#This Row],[GP_A]]</f>
        <v>37</v>
      </c>
      <c r="H31">
        <f>COUNTIFS(DataRegularSeason20242025!$E$3:$E$1315,$A31,DataRegularSeason20242025!$N$3:$N$1315,1)</f>
        <v>2</v>
      </c>
      <c r="I31">
        <f>41-Table3[[#This Row],[GP_H]]</f>
        <v>39</v>
      </c>
      <c r="J31">
        <f t="shared" si="0"/>
        <v>6</v>
      </c>
      <c r="K31">
        <f>82-Table3[[#This Row],[GP]]</f>
        <v>76</v>
      </c>
      <c r="L31">
        <f>COUNTIFS(DataRegularSeason20242025!$D$3:$D$1315,$A31, DataRegularSeason20242025!$L$3:$L$1315, $A31,DataRegularSeason20242025!$N$3:$N$1315,1)</f>
        <v>1</v>
      </c>
      <c r="M31">
        <f>COUNTIFS(DataRegularSeason20242025!$D$3:$D$1315,$A31, DataRegularSeason20242025!$L$3:$L$1315, $A31,DataRegularSeason20242025!$N$3:$N$1315,1,DataRegularSeason20242025!$M$3:$M$1315,"REG")</f>
        <v>1</v>
      </c>
      <c r="N31">
        <f>COUNTIFS(DataRegularSeason20242025!$D$3:$D$1315,$A31, DataRegularSeason20242025!$L$3:$L$1315, $A31,DataRegularSeason20242025!$N$3:$N$1315,1,DataRegularSeason20242025!$M$3:$M$1315,"OT")</f>
        <v>0</v>
      </c>
      <c r="O31">
        <f>COUNTIFS(DataRegularSeason20242025!$D$3:$D$1315,$A31, DataRegularSeason20242025!$L$3:$L$1315, $A31,DataRegularSeason20242025!$N$3:$N$1315,1,DataRegularSeason20242025!$M$3:$M$1315,"SO")</f>
        <v>0</v>
      </c>
      <c r="P31">
        <f t="shared" si="1"/>
        <v>3</v>
      </c>
      <c r="Q31">
        <f>COUNTIFS(DataRegularSeason20242025!$D$3:$D$1315,$A31, DataRegularSeason20242025!$S$3:$S$1315, $A31,DataRegularSeason20242025!$M$3:$M$1315,"REG")</f>
        <v>1</v>
      </c>
      <c r="R31">
        <f>COUNTIFS(DataRegularSeason20242025!$D$3:$D$1315,$A31, DataRegularSeason20242025!$S$3:$S$1315, $A31,DataRegularSeason20242025!$M$3:$M$1315,"OT")</f>
        <v>2</v>
      </c>
      <c r="S31">
        <f>COUNTIFS(DataRegularSeason20242025!$D$3:$D$1315,$A31, DataRegularSeason20242025!$S$3:$S$1315, $A31,DataRegularSeason20242025!$M$3:$M$1315,"SO")</f>
        <v>0</v>
      </c>
      <c r="T31">
        <f>COUNTIFS(DataRegularSeason20242025!$E$3:$E$1315,$A31, DataRegularSeason20242025!$L$3:$L$1315, $A31, DataRegularSeason20242025!$N$3:$N$1315,1)</f>
        <v>0</v>
      </c>
      <c r="U31">
        <f>COUNTIFS(DataRegularSeason20242025!$E$3:$E$1315,$A31, DataRegularSeason20242025!$L$3:$L$1315, $A31,DataRegularSeason20242025!$N$3:$N$1315,1,DataRegularSeason20242025!$M$3:$M$1315,"REG")</f>
        <v>0</v>
      </c>
      <c r="V31">
        <f>COUNTIFS(DataRegularSeason20242025!$E$3:$E$1315,$A31, DataRegularSeason20242025!$L$3:$L$1315, $A31,DataRegularSeason20242025!$N$3:$N$1315,1,DataRegularSeason20242025!$M$3:$M$1315,"OT")</f>
        <v>0</v>
      </c>
      <c r="W31">
        <f>COUNTIFS(DataRegularSeason20242025!$E$3:$E$1315,$A31, DataRegularSeason20242025!$L$3:$L$1315, $A31,DataRegularSeason20242025!$N$3:$N$1315,1,DataRegularSeason20242025!$M$3:$M$1315,"SO")</f>
        <v>0</v>
      </c>
      <c r="X31">
        <f t="shared" si="2"/>
        <v>2</v>
      </c>
      <c r="Y31">
        <f>COUNTIFS(DataRegularSeason20242025!$E$3:$E$1315,$A31, DataRegularSeason20242025!$S$3:$S$1315, $A31,DataRegularSeason20242025!$M$3:$M$1315,"REG")</f>
        <v>2</v>
      </c>
      <c r="Z31">
        <f>COUNTIFS(DataRegularSeason20242025!$E$3:$E$1315,$A31, DataRegularSeason20242025!$S$3:$S$1315, $A31,DataRegularSeason20242025!$M$3:$M$1315,"OT")</f>
        <v>0</v>
      </c>
      <c r="AA31">
        <f>COUNTIFS(DataRegularSeason20242025!$E$3:$E$1315,$A31, DataRegularSeason20242025!$S$3:$S$1315, $A31,DataRegularSeason20242025!$M$3:$M$1315,"SO")</f>
        <v>0</v>
      </c>
      <c r="AB31">
        <f>Table3[[#This Row],[W]]/MAX(1,Table3[[#This Row],[W]]+Table3[[#This Row],[L]])</f>
        <v>0.16666666666666666</v>
      </c>
      <c r="AC31">
        <f>Table3[[#This Row],[W_A]]+Table3[[#This Row],[W_H]]</f>
        <v>1</v>
      </c>
      <c r="AD31">
        <f>Table3[[#This Row],[L_A]]+Table3[[#This Row],[L_H]]</f>
        <v>5</v>
      </c>
      <c r="AE31">
        <f>Table3[[#This Row],[RW_A]]+Table3[[#This Row],[RW_H]]</f>
        <v>1</v>
      </c>
      <c r="AF31">
        <f>Table3[[#This Row],[RL_A]]+Table3[[#This Row],[RL_H]]</f>
        <v>3</v>
      </c>
      <c r="AG31">
        <f>Table3[[#This Row],[OTW_A]]+Table3[[#This Row],[OTW_H]]</f>
        <v>0</v>
      </c>
      <c r="AH31">
        <f>Table3[[#This Row],[OTL_A]]+Table3[[#This Row],[OTL_H]]</f>
        <v>2</v>
      </c>
      <c r="AI31">
        <f>Table3[[#This Row],[SOW_A]]+Table3[[#This Row],[SOW_H]]</f>
        <v>0</v>
      </c>
      <c r="AJ31">
        <f>Table3[[#This Row],[SOL_A]]+Table3[[#This Row],[SOL_H]]</f>
        <v>0</v>
      </c>
      <c r="AK31" s="15" t="str">
        <f>_xlfn.CONCAT(TEXT(Table3[[#This Row],[OTW]]+Table3[[#This Row],[SOW]], "0"), "-", TEXT(Table3[[#This Row],[OTL]]+Table3[[#This Row],[SOL]],"0"))</f>
        <v>0-2</v>
      </c>
      <c r="AL31">
        <f>SUM(Table3[[#This Row],[OTW]],Table3[[#This Row],[OTL]],Table3[[#This Row],[SOW]],Table3[[#This Row],[SOL]])</f>
        <v>2</v>
      </c>
      <c r="AM31">
        <f>(Table3[[#This Row],[OTW]]+Table3[[#This Row],[SOW]])/IF(Table3[[#This Row],[Total_ExtraTimes]]=0,1,Table3[[#This Row],[Total_ExtraTimes]])</f>
        <v>0</v>
      </c>
      <c r="AN31">
        <f>Table3[[#This Row],[Total_ExtraTimes]]/MAX(1,Table3[[#This Row],[GP]])</f>
        <v>0.33333333333333331</v>
      </c>
      <c r="AO31">
        <f>(2*(Table3[[#This Row],[W_A]]+Table3[[#This Row],[W_H]]))+Table3[[#This Row],[OTL_A]]+Table3[[#This Row],[SOL_A]]+Table3[[#This Row],[OTL_H]]+Table3[[#This Row],[SOL_H]]</f>
        <v>4</v>
      </c>
      <c r="AP31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5</v>
      </c>
      <c r="AQ31" s="10">
        <f>Table3[[#This Row],[PTS]]/(2*Table3[[#This Row],[GP]])</f>
        <v>0.33333333333333331</v>
      </c>
      <c r="AR31" s="10">
        <f>Table3[[#This Row],[PTS2]]/(3*Table3[[#This Row],[GP]])</f>
        <v>0.27777777777777779</v>
      </c>
      <c r="AS31">
        <f>(2*Table3[[#This Row],[GR]])+Table3[[#This Row],[PTS]]</f>
        <v>156</v>
      </c>
      <c r="AT31">
        <f>(3*Table3[[#This Row],[GR]])+Table3[[#This Row],[PTS2]]</f>
        <v>233</v>
      </c>
      <c r="AU31">
        <f>Table3[[#This Row],[PTS]]+(2 * Table3[[#This Row],[GR]] * Table3[[#This Row],[PTS%]])</f>
        <v>54.666666666666664</v>
      </c>
      <c r="AV31">
        <f>Table3[[#This Row],[PTS2]]+(3 * Table3[[#This Row],[GR]] * Table3[[#This Row],[PTS%2]])</f>
        <v>68.333333333333343</v>
      </c>
      <c r="AW31" s="15" t="str">
        <f>_xlfn.CONCAT(TEXT(Table3[[#This Row],[W]], "0"), "-", TEXT(Table3[[#This Row],[RL]],"0"), "-", TEXT(Table3[[#This Row],[OTL]]+Table3[[#This Row],[SOL]], "0"))</f>
        <v>1-3-2</v>
      </c>
      <c r="AX31">
        <f>COUNTIFS(DataRegularSeason20242025!$D$3:$D$1315,Table3[[#This Row],[Teams]],DataRegularSeason20242025!$K$3:$K$1315,0)</f>
        <v>0</v>
      </c>
      <c r="AY31">
        <f>SUMIF(DataRegularSeason20242025!$D$3:$D$1315,$A31, DataRegularSeason20242025!$J$3:$J$1315)</f>
        <v>9</v>
      </c>
      <c r="AZ31">
        <f>SUMIF(DataRegularSeason20242025!$D$3:$D$1315,$A31, DataRegularSeason20242025!$K$3:$K$1315)</f>
        <v>11</v>
      </c>
      <c r="BA31">
        <f t="shared" si="3"/>
        <v>-2</v>
      </c>
      <c r="BB31">
        <f>COUNTIFS(DataRegularSeason20242025!$E$3:$E$1315,Table3[[#This Row],[Teams]],DataRegularSeason20242025!$J$3:$J$1315,0)</f>
        <v>0</v>
      </c>
      <c r="BC31">
        <f>SUMIF(DataRegularSeason20242025!$E$3:$E$1315,$A31,DataRegularSeason20242025!$K$3:$K$1315)</f>
        <v>7</v>
      </c>
      <c r="BD31">
        <f>SUMIF(DataRegularSeason20242025!$E$3:$E$1315,$A31,DataRegularSeason20242025!$J$3:$J$1315)</f>
        <v>10</v>
      </c>
      <c r="BE31">
        <f t="shared" si="4"/>
        <v>-3</v>
      </c>
      <c r="BF31">
        <f t="shared" si="5"/>
        <v>16</v>
      </c>
      <c r="BG31">
        <f t="shared" si="6"/>
        <v>21</v>
      </c>
      <c r="BH31">
        <f t="shared" si="7"/>
        <v>-5</v>
      </c>
      <c r="BI31" s="12">
        <f>Table3[[#This Row],[GF]]/Table3[[#This Row],[GP]]</f>
        <v>2.6666666666666665</v>
      </c>
      <c r="BJ31" s="12">
        <f>Table3[[#This Row],[GA]]/Table3[[#This Row],[GP]]</f>
        <v>3.5</v>
      </c>
      <c r="BK31" s="12">
        <f>(Table3[[#This Row],[GF]]-Table3[[#This Row],[GA]])/Table3[[#This Row],[GP]]</f>
        <v>-0.83333333333333337</v>
      </c>
      <c r="BL31" s="42" t="str">
        <f>_xlfn.CONCAT(TEXT(Table3[[#This Row],[W_H]], "0"), "-", TEXT(Table3[[#This Row],[RL_H]],"0"), "-", TEXT(Table3[[#This Row],[OTL_H]]+Table3[[#This Row],[SOL_H]], "0"))</f>
        <v>0-2-0</v>
      </c>
      <c r="BM31" s="42" t="str">
        <f>_xlfn.CONCAT(TEXT(Table3[[#This Row],[W_A]], "0"), "-", TEXT(Table3[[#This Row],[RL_A]],"0"), "-", TEXT(Table3[[#This Row],[OTL_A]]+Table3[[#This Row],[SOL_A]], "0"))</f>
        <v>1-1-2</v>
      </c>
      <c r="BN31" s="42">
        <f>((2*(Table3[[#This Row],[W_H]]))+Table3[[#This Row],[OTL_H]]+Table3[[#This Row],[SOL_H]])/(2*Table3[[#This Row],[GP_H]])</f>
        <v>0</v>
      </c>
      <c r="BO31" s="42">
        <f>((2*(Table3[[#This Row],[W_A]]))+Table3[[#This Row],[OTL_A]]+Table3[[#This Row],[SOL_A]])/(2*Table3[[#This Row],[GP_A]])</f>
        <v>0.5</v>
      </c>
      <c r="BP31" s="16">
        <f>(Table3[[#This Row],[W]]*$CX$3)+(Table3[[#This Row],[L]]*$CX$4)+(Table3[[#This Row],[GF]]*$CX$5)+(Table3[[#This Row],[GA]]*$CX$6)</f>
        <v>6.5</v>
      </c>
      <c r="BQ31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73.01111111111112</v>
      </c>
      <c r="BR31" s="16">
        <f>(Table3[[#This Row],[W]]*0.7) + ((Table3[[#This Row],[GF]] - Table3[[#This Row],[GA]])*0.25)+(Table3[[#This Row],[GF]]*0.1)+(Table3[[#This Row],[GA]]*0.05)+(Table3[[#This Row],[L]]*0.3)</f>
        <v>3.6</v>
      </c>
      <c r="BS31" s="16">
        <f>Table3[[#This Row],[TeamCost83]]/Table3[[#This Row],[GP]]</f>
        <v>0.6</v>
      </c>
      <c r="BT31">
        <f>COUNTIFS(Table2[AwayTeam],$A31,Table2[PredictedWinner], $A31, Table2[GameIsOver], 1)</f>
        <v>2</v>
      </c>
      <c r="BU31">
        <f>COUNTIFS(Table2[HomeTeam],$A31,Table2[PredictedWinner], $A31, Table2[GameIsOver], 1)</f>
        <v>2</v>
      </c>
      <c r="BV31">
        <f t="shared" si="8"/>
        <v>4</v>
      </c>
      <c r="BW31">
        <f t="shared" si="9"/>
        <v>2</v>
      </c>
      <c r="BX31">
        <f t="shared" si="10"/>
        <v>0</v>
      </c>
      <c r="BY31">
        <f t="shared" si="11"/>
        <v>2</v>
      </c>
      <c r="BZ31">
        <f>Table3[[#This Row],[TimesPredictedWinner]]/Table3[[#This Row],[GP]]</f>
        <v>0.66666666666666663</v>
      </c>
      <c r="CB31">
        <v>2021</v>
      </c>
      <c r="CD31" s="1">
        <v>45751</v>
      </c>
      <c r="CE31" t="str">
        <f>INDEX(Table2[AwayTeam], Table3[[#This Row],[Column2]])</f>
        <v>NYR</v>
      </c>
      <c r="CF31">
        <f>LARGE((Table2[[#This Row],[AwayTeam]]=Table3[[#This Row],[Teams]]), 1)</f>
        <v>0</v>
      </c>
      <c r="CI31">
        <f>SUMIFS(Table2[GamePredictionScore], Table2[AwayTeam], Table3[[#This Row],[Teams]])</f>
        <v>2.5</v>
      </c>
      <c r="CJ31">
        <f>SUMIFS(Table2[GamePredictionScore], Table2[HomeTeam], Table3[[#This Row],[Teams]])</f>
        <v>0.1</v>
      </c>
      <c r="CK31">
        <f>Table3[[#This Row],[Column4]]+Table3[[#This Row],[Column3]]</f>
        <v>2.6</v>
      </c>
      <c r="CL31">
        <f>Table3[[#This Row],[Column5]]/Table3[[#This Row],[GP]]</f>
        <v>0.43333333333333335</v>
      </c>
      <c r="CV31" s="180"/>
      <c r="CW31" s="181"/>
      <c r="CX31" s="58">
        <v>0</v>
      </c>
      <c r="CY31" s="58">
        <v>1</v>
      </c>
      <c r="CZ31" s="58">
        <v>2</v>
      </c>
      <c r="DA31" s="58">
        <v>3</v>
      </c>
      <c r="DB31" s="58">
        <v>4</v>
      </c>
      <c r="DC31" s="58">
        <v>5</v>
      </c>
      <c r="DD31" s="58">
        <v>6</v>
      </c>
      <c r="DE31" s="58">
        <v>7</v>
      </c>
      <c r="DF31" s="58">
        <v>8</v>
      </c>
      <c r="DG31" s="58">
        <v>9</v>
      </c>
      <c r="DH31" s="59">
        <v>10</v>
      </c>
      <c r="DJ31" s="180"/>
      <c r="DK31" s="181"/>
      <c r="DL31" s="58">
        <v>0</v>
      </c>
      <c r="DM31" s="58">
        <v>1</v>
      </c>
      <c r="DN31" s="58">
        <v>2</v>
      </c>
      <c r="DO31" s="58">
        <v>3</v>
      </c>
      <c r="DP31" s="58">
        <v>4</v>
      </c>
      <c r="DQ31" s="58">
        <v>5</v>
      </c>
      <c r="DR31" s="58">
        <v>6</v>
      </c>
      <c r="DS31" s="58">
        <v>7</v>
      </c>
      <c r="DT31" s="58">
        <v>8</v>
      </c>
      <c r="DU31" s="58">
        <v>9</v>
      </c>
      <c r="DV31" s="59">
        <v>10</v>
      </c>
    </row>
    <row r="32" spans="1:144" ht="15.75" thickTop="1" x14ac:dyDescent="0.25">
      <c r="A32" t="s">
        <v>37</v>
      </c>
      <c r="B32" t="s">
        <v>90</v>
      </c>
      <c r="C32" t="s">
        <v>93</v>
      </c>
      <c r="D32">
        <f>COUNTIFS(DataRegularSeason20242025!$D$3:$D$1315,$A32,DataRegularSeason20242025!$R$3:$R$1315,1,DataRegularSeason20242025!$N$3:$N$1315,1) + COUNTIFS(DataRegularSeason20242025!$E$3:$E$1315,$A32,DataRegularSeason20242025!$R$3:$R$1315,1,DataRegularSeason20242025!$N$3:$N$1315,1)</f>
        <v>3</v>
      </c>
      <c r="E32" s="10">
        <f>Table3[[#This Row],[Watched]]/Table3[[#This Row],[GP]]</f>
        <v>0.5</v>
      </c>
      <c r="F32">
        <f>COUNTIFS(DataRegularSeason20242025!$N$3:$N$1315,1,DataRegularSeason20242025!$D$3:$D$1315,$A32)</f>
        <v>2</v>
      </c>
      <c r="G32">
        <f>41-Table3[[#This Row],[GP_A]]</f>
        <v>39</v>
      </c>
      <c r="H32">
        <f>COUNTIFS(DataRegularSeason20242025!$E$3:$E$1315,$A32,DataRegularSeason20242025!$N$3:$N$1315,1)</f>
        <v>4</v>
      </c>
      <c r="I32">
        <f>41-Table3[[#This Row],[GP_H]]</f>
        <v>37</v>
      </c>
      <c r="J32">
        <f t="shared" si="0"/>
        <v>6</v>
      </c>
      <c r="K32">
        <f>82-Table3[[#This Row],[GP]]</f>
        <v>76</v>
      </c>
      <c r="L32">
        <f>COUNTIFS(DataRegularSeason20242025!$D$3:$D$1315,$A32, DataRegularSeason20242025!$L$3:$L$1315, $A32,DataRegularSeason20242025!$N$3:$N$1315,1)</f>
        <v>0</v>
      </c>
      <c r="M32">
        <f>COUNTIFS(DataRegularSeason20242025!$D$3:$D$1315,$A32, DataRegularSeason20242025!$L$3:$L$1315, $A32,DataRegularSeason20242025!$N$3:$N$1315,1,DataRegularSeason20242025!$M$3:$M$1315,"REG")</f>
        <v>0</v>
      </c>
      <c r="N32">
        <f>COUNTIFS(DataRegularSeason20242025!$D$3:$D$1315,$A32, DataRegularSeason20242025!$L$3:$L$1315, $A32,DataRegularSeason20242025!$N$3:$N$1315,1,DataRegularSeason20242025!$M$3:$M$1315,"OT")</f>
        <v>0</v>
      </c>
      <c r="O32">
        <f>COUNTIFS(DataRegularSeason20242025!$D$3:$D$1315,$A32, DataRegularSeason20242025!$L$3:$L$1315, $A32,DataRegularSeason20242025!$N$3:$N$1315,1,DataRegularSeason20242025!$M$3:$M$1315,"SO")</f>
        <v>0</v>
      </c>
      <c r="P32">
        <f t="shared" si="1"/>
        <v>2</v>
      </c>
      <c r="Q32">
        <f>COUNTIFS(DataRegularSeason20242025!$D$3:$D$1315,$A32, DataRegularSeason20242025!$S$3:$S$1315, $A32,DataRegularSeason20242025!$M$3:$M$1315,"REG")</f>
        <v>2</v>
      </c>
      <c r="R32">
        <f>COUNTIFS(DataRegularSeason20242025!$D$3:$D$1315,$A32, DataRegularSeason20242025!$S$3:$S$1315, $A32,DataRegularSeason20242025!$M$3:$M$1315,"OT")</f>
        <v>0</v>
      </c>
      <c r="S32">
        <f>COUNTIFS(DataRegularSeason20242025!$D$3:$D$1315,$A32, DataRegularSeason20242025!$S$3:$S$1315, $A32,DataRegularSeason20242025!$M$3:$M$1315,"SO")</f>
        <v>0</v>
      </c>
      <c r="T32">
        <f>COUNTIFS(DataRegularSeason20242025!$E$3:$E$1315,$A32, DataRegularSeason20242025!$L$3:$L$1315, $A32, DataRegularSeason20242025!$N$3:$N$1315,1)</f>
        <v>0</v>
      </c>
      <c r="U32">
        <f>COUNTIFS(DataRegularSeason20242025!$E$3:$E$1315,$A32, DataRegularSeason20242025!$L$3:$L$1315, $A32,DataRegularSeason20242025!$N$3:$N$1315,1,DataRegularSeason20242025!$M$3:$M$1315,"REG")</f>
        <v>0</v>
      </c>
      <c r="V32">
        <f>COUNTIFS(DataRegularSeason20242025!$E$3:$E$1315,$A32, DataRegularSeason20242025!$L$3:$L$1315, $A32,DataRegularSeason20242025!$N$3:$N$1315,1,DataRegularSeason20242025!$M$3:$M$1315,"OT")</f>
        <v>0</v>
      </c>
      <c r="W32">
        <f>COUNTIFS(DataRegularSeason20242025!$E$3:$E$1315,$A32, DataRegularSeason20242025!$L$3:$L$1315, $A32,DataRegularSeason20242025!$N$3:$N$1315,1,DataRegularSeason20242025!$M$3:$M$1315,"SO")</f>
        <v>0</v>
      </c>
      <c r="X32">
        <f t="shared" si="2"/>
        <v>4</v>
      </c>
      <c r="Y32">
        <f>COUNTIFS(DataRegularSeason20242025!$E$3:$E$1315,$A32, DataRegularSeason20242025!$S$3:$S$1315, $A32,DataRegularSeason20242025!$M$3:$M$1315,"REG")</f>
        <v>2</v>
      </c>
      <c r="Z32">
        <f>COUNTIFS(DataRegularSeason20242025!$E$3:$E$1315,$A32, DataRegularSeason20242025!$S$3:$S$1315, $A32,DataRegularSeason20242025!$M$3:$M$1315,"OT")</f>
        <v>2</v>
      </c>
      <c r="AA32">
        <f>COUNTIFS(DataRegularSeason20242025!$E$3:$E$1315,$A32, DataRegularSeason20242025!$S$3:$S$1315, $A32,DataRegularSeason20242025!$M$3:$M$1315,"SO")</f>
        <v>0</v>
      </c>
      <c r="AB32">
        <f>Table3[[#This Row],[W]]/MAX(1,Table3[[#This Row],[W]]+Table3[[#This Row],[L]])</f>
        <v>0</v>
      </c>
      <c r="AC32">
        <f>Table3[[#This Row],[W_A]]+Table3[[#This Row],[W_H]]</f>
        <v>0</v>
      </c>
      <c r="AD32">
        <f>Table3[[#This Row],[L_A]]+Table3[[#This Row],[L_H]]</f>
        <v>6</v>
      </c>
      <c r="AE32">
        <f>Table3[[#This Row],[RW_A]]+Table3[[#This Row],[RW_H]]</f>
        <v>0</v>
      </c>
      <c r="AF32">
        <f>Table3[[#This Row],[RL_A]]+Table3[[#This Row],[RL_H]]</f>
        <v>4</v>
      </c>
      <c r="AG32">
        <f>Table3[[#This Row],[OTW_A]]+Table3[[#This Row],[OTW_H]]</f>
        <v>0</v>
      </c>
      <c r="AH32">
        <f>Table3[[#This Row],[OTL_A]]+Table3[[#This Row],[OTL_H]]</f>
        <v>2</v>
      </c>
      <c r="AI32">
        <f>Table3[[#This Row],[SOW_A]]+Table3[[#This Row],[SOW_H]]</f>
        <v>0</v>
      </c>
      <c r="AJ32">
        <f>Table3[[#This Row],[SOL_A]]+Table3[[#This Row],[SOL_H]]</f>
        <v>0</v>
      </c>
      <c r="AK32" s="15" t="str">
        <f>_xlfn.CONCAT(TEXT(Table3[[#This Row],[OTW]]+Table3[[#This Row],[SOW]], "0"), "-", TEXT(Table3[[#This Row],[OTL]]+Table3[[#This Row],[SOL]],"0"))</f>
        <v>0-2</v>
      </c>
      <c r="AL32">
        <f>SUM(Table3[[#This Row],[OTW]],Table3[[#This Row],[OTL]],Table3[[#This Row],[SOW]],Table3[[#This Row],[SOL]])</f>
        <v>2</v>
      </c>
      <c r="AM32">
        <f>(Table3[[#This Row],[OTW]]+Table3[[#This Row],[SOW]])/IF(Table3[[#This Row],[Total_ExtraTimes]]=0,1,Table3[[#This Row],[Total_ExtraTimes]])</f>
        <v>0</v>
      </c>
      <c r="AN32">
        <f>Table3[[#This Row],[Total_ExtraTimes]]/MAX(1,Table3[[#This Row],[GP]])</f>
        <v>0.33333333333333331</v>
      </c>
      <c r="AO32">
        <f>(2*(Table3[[#This Row],[W_A]]+Table3[[#This Row],[W_H]]))+Table3[[#This Row],[OTL_A]]+Table3[[#This Row],[SOL_A]]+Table3[[#This Row],[OTL_H]]+Table3[[#This Row],[SOL_H]]</f>
        <v>2</v>
      </c>
      <c r="AP3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2</v>
      </c>
      <c r="AQ32" s="10">
        <f>Table3[[#This Row],[PTS]]/(2*Table3[[#This Row],[GP]])</f>
        <v>0.16666666666666666</v>
      </c>
      <c r="AR32" s="10">
        <f>Table3[[#This Row],[PTS2]]/(3*Table3[[#This Row],[GP]])</f>
        <v>0.1111111111111111</v>
      </c>
      <c r="AS32">
        <f>(2*Table3[[#This Row],[GR]])+Table3[[#This Row],[PTS]]</f>
        <v>154</v>
      </c>
      <c r="AT32">
        <f>(3*Table3[[#This Row],[GR]])+Table3[[#This Row],[PTS2]]</f>
        <v>230</v>
      </c>
      <c r="AU32">
        <f>Table3[[#This Row],[PTS]]+(2 * Table3[[#This Row],[GR]] * Table3[[#This Row],[PTS%]])</f>
        <v>27.333333333333332</v>
      </c>
      <c r="AV32">
        <f>Table3[[#This Row],[PTS2]]+(3 * Table3[[#This Row],[GR]] * Table3[[#This Row],[PTS%2]])</f>
        <v>27.333333333333332</v>
      </c>
      <c r="AW32" s="15" t="str">
        <f>_xlfn.CONCAT(TEXT(Table3[[#This Row],[W]], "0"), "-", TEXT(Table3[[#This Row],[RL]],"0"), "-", TEXT(Table3[[#This Row],[OTL]]+Table3[[#This Row],[SOL]], "0"))</f>
        <v>0-4-2</v>
      </c>
      <c r="AX32">
        <f>COUNTIFS(DataRegularSeason20242025!$D$3:$D$1315,Table3[[#This Row],[Teams]],DataRegularSeason20242025!$K$3:$K$1315,0)</f>
        <v>0</v>
      </c>
      <c r="AY32">
        <f>SUMIF(DataRegularSeason20242025!$D$3:$D$1315,$A32, DataRegularSeason20242025!$J$3:$J$1315)</f>
        <v>6</v>
      </c>
      <c r="AZ32">
        <f>SUMIF(DataRegularSeason20242025!$D$3:$D$1315,$A32, DataRegularSeason20242025!$K$3:$K$1315)</f>
        <v>10</v>
      </c>
      <c r="BA32">
        <f t="shared" si="3"/>
        <v>-4</v>
      </c>
      <c r="BB32">
        <f>COUNTIFS(DataRegularSeason20242025!$E$3:$E$1315,Table3[[#This Row],[Teams]],DataRegularSeason20242025!$J$3:$J$1315,0)</f>
        <v>0</v>
      </c>
      <c r="BC32">
        <f>SUMIF(DataRegularSeason20242025!$E$3:$E$1315,$A32,DataRegularSeason20242025!$K$3:$K$1315)</f>
        <v>10</v>
      </c>
      <c r="BD32">
        <f>SUMIF(DataRegularSeason20242025!$E$3:$E$1315,$A32,DataRegularSeason20242025!$J$3:$J$1315)</f>
        <v>19</v>
      </c>
      <c r="BE32">
        <f t="shared" si="4"/>
        <v>-9</v>
      </c>
      <c r="BF32">
        <f t="shared" si="5"/>
        <v>16</v>
      </c>
      <c r="BG32">
        <f t="shared" si="6"/>
        <v>29</v>
      </c>
      <c r="BH32">
        <f t="shared" si="7"/>
        <v>-13</v>
      </c>
      <c r="BI32" s="12">
        <f>Table3[[#This Row],[GF]]/Table3[[#This Row],[GP]]</f>
        <v>2.6666666666666665</v>
      </c>
      <c r="BJ32" s="12">
        <f>Table3[[#This Row],[GA]]/Table3[[#This Row],[GP]]</f>
        <v>4.833333333333333</v>
      </c>
      <c r="BK32" s="12">
        <f>(Table3[[#This Row],[GF]]-Table3[[#This Row],[GA]])/Table3[[#This Row],[GP]]</f>
        <v>-2.1666666666666665</v>
      </c>
      <c r="BL32" s="42" t="str">
        <f>_xlfn.CONCAT(TEXT(Table3[[#This Row],[W_H]], "0"), "-", TEXT(Table3[[#This Row],[RL_H]],"0"), "-", TEXT(Table3[[#This Row],[OTL_H]]+Table3[[#This Row],[SOL_H]], "0"))</f>
        <v>0-2-2</v>
      </c>
      <c r="BM32" s="42" t="str">
        <f>_xlfn.CONCAT(TEXT(Table3[[#This Row],[W_A]], "0"), "-", TEXT(Table3[[#This Row],[RL_A]],"0"), "-", TEXT(Table3[[#This Row],[OTL_A]]+Table3[[#This Row],[SOL_A]], "0"))</f>
        <v>0-2-0</v>
      </c>
      <c r="BN32" s="42">
        <f>((2*(Table3[[#This Row],[W_H]]))+Table3[[#This Row],[OTL_H]]+Table3[[#This Row],[SOL_H]])/(2*Table3[[#This Row],[GP_H]])</f>
        <v>0.25</v>
      </c>
      <c r="BO32" s="42">
        <f>((2*(Table3[[#This Row],[W_A]]))+Table3[[#This Row],[OTL_A]]+Table3[[#This Row],[SOL_A]])/(2*Table3[[#This Row],[GP_A]])</f>
        <v>0</v>
      </c>
      <c r="BP32" s="16">
        <f>(Table3[[#This Row],[W]]*$CX$3)+(Table3[[#This Row],[L]]*$CX$4)+(Table3[[#This Row],[GF]]*$CX$5)+(Table3[[#This Row],[GA]]*$CX$6)</f>
        <v>7.1</v>
      </c>
      <c r="BQ3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84.088888888888903</v>
      </c>
      <c r="BR32" s="16">
        <f>(Table3[[#This Row],[W]]*0.7) + ((Table3[[#This Row],[GF]] - Table3[[#This Row],[GA]])*0.25)+(Table3[[#This Row],[GF]]*0.1)+(Table3[[#This Row],[GA]]*0.05)+(Table3[[#This Row],[L]]*0.3)</f>
        <v>1.6</v>
      </c>
      <c r="BS32" s="16">
        <f>Table3[[#This Row],[TeamCost83]]/Table3[[#This Row],[GP]]</f>
        <v>0.26666666666666666</v>
      </c>
      <c r="BT32">
        <f>COUNTIFS(Table2[AwayTeam],$A32,Table2[PredictedWinner], $A32, Table2[GameIsOver], 1)</f>
        <v>2</v>
      </c>
      <c r="BU32">
        <f>COUNTIFS(Table2[HomeTeam],$A32,Table2[PredictedWinner], $A32, Table2[GameIsOver], 1)</f>
        <v>1</v>
      </c>
      <c r="BV32">
        <f t="shared" si="8"/>
        <v>3</v>
      </c>
      <c r="BW32">
        <f t="shared" si="9"/>
        <v>0</v>
      </c>
      <c r="BX32">
        <f t="shared" si="10"/>
        <v>3</v>
      </c>
      <c r="BY32">
        <f t="shared" si="11"/>
        <v>3</v>
      </c>
      <c r="BZ32">
        <f>Table3[[#This Row],[TimesPredictedWinner]]/Table3[[#This Row],[GP]]</f>
        <v>0.5</v>
      </c>
      <c r="CC32" s="1">
        <v>45732</v>
      </c>
      <c r="CE32" t="str">
        <f>INDEX(Table2[AwayTeam], Table3[[#This Row],[Column2]])</f>
        <v>PHI</v>
      </c>
      <c r="CF32">
        <f>LARGE((Table2[[#This Row],[AwayTeam]]=Table3[[#This Row],[Teams]]), 1)</f>
        <v>0</v>
      </c>
      <c r="CI32">
        <f>SUMIFS(Table2[GamePredictionScore], Table2[AwayTeam], Table3[[#This Row],[Teams]])</f>
        <v>0.2</v>
      </c>
      <c r="CJ32">
        <f>SUMIFS(Table2[GamePredictionScore], Table2[HomeTeam], Table3[[#This Row],[Teams]])</f>
        <v>2.7</v>
      </c>
      <c r="CK32">
        <f>Table3[[#This Row],[Column4]]+Table3[[#This Row],[Column3]]</f>
        <v>2.9000000000000004</v>
      </c>
      <c r="CL32">
        <f>Table3[[#This Row],[Column5]]/Table3[[#This Row],[GP]]</f>
        <v>0.48333333333333339</v>
      </c>
      <c r="CV32" s="85"/>
      <c r="CW32" s="57">
        <v>0</v>
      </c>
      <c r="CX32" s="124"/>
      <c r="CY32" s="14">
        <f>(COUNTIFS(Table2[AwayTeam],$CV$30, Table2[ActualAwayScore],$CW32, Table2[ActualHomeScore],CY$31)+COUNTIFS(Table2[HomeTeam],$CV$30, Table2[ActualAwayScore],CY$31, Table2[ActualHomeScore],$CW32))*-1</f>
        <v>0</v>
      </c>
      <c r="CZ32" s="14">
        <f>(COUNTIFS(Table2[AwayTeam],$CV$30, Table2[ActualAwayScore],$CW32, Table2[ActualHomeScore],CZ$31)+COUNTIFS(Table2[HomeTeam],$CV$30, Table2[ActualAwayScore],CZ$31, Table2[ActualHomeScore],$CW32))*-1</f>
        <v>0</v>
      </c>
      <c r="DA32" s="14">
        <f>(COUNTIFS(Table2[AwayTeam],$CV$30, Table2[ActualAwayScore],$CW32, Table2[ActualHomeScore],DA$31)+COUNTIFS(Table2[HomeTeam],$CV$30, Table2[ActualAwayScore],DA$31, Table2[ActualHomeScore],$CW32))*-1</f>
        <v>0</v>
      </c>
      <c r="DB32" s="14">
        <f>(COUNTIFS(Table2[AwayTeam],$CV$30, Table2[ActualAwayScore],$CW32, Table2[ActualHomeScore],DB$31)+COUNTIFS(Table2[HomeTeam],$CV$30, Table2[ActualAwayScore],DB$31, Table2[ActualHomeScore],$CW32))*-1</f>
        <v>0</v>
      </c>
      <c r="DC32" s="14">
        <f>(COUNTIFS(Table2[AwayTeam],$CV$30, Table2[ActualAwayScore],$CW32, Table2[ActualHomeScore],DC$31)+COUNTIFS(Table2[HomeTeam],$CV$30, Table2[ActualAwayScore],DC$31, Table2[ActualHomeScore],$CW32))*-1</f>
        <v>0</v>
      </c>
      <c r="DD32" s="14">
        <f>(COUNTIFS(Table2[AwayTeam],$CV$30, Table2[ActualAwayScore],$CW32, Table2[ActualHomeScore],DD$31)+COUNTIFS(Table2[HomeTeam],$CV$30, Table2[ActualAwayScore],DD$31, Table2[ActualHomeScore],$CW32))*-1</f>
        <v>0</v>
      </c>
      <c r="DE32" s="14">
        <f>(COUNTIFS(Table2[AwayTeam],$CV$30, Table2[ActualAwayScore],$CW32, Table2[ActualHomeScore],DE$31)+COUNTIFS(Table2[HomeTeam],$CV$30, Table2[ActualAwayScore],DE$31, Table2[ActualHomeScore],$CW32))*-1</f>
        <v>0</v>
      </c>
      <c r="DF32" s="14">
        <f>(COUNTIFS(Table2[AwayTeam],$CV$30, Table2[ActualAwayScore],$CW32, Table2[ActualHomeScore],DF$31)+COUNTIFS(Table2[HomeTeam],$CV$30, Table2[ActualAwayScore],DF$31, Table2[ActualHomeScore],$CW32))*-1</f>
        <v>0</v>
      </c>
      <c r="DG32" s="14">
        <f>(COUNTIFS(Table2[AwayTeam],$CV$30, Table2[ActualAwayScore],$CW32, Table2[ActualHomeScore],DG$31)+COUNTIFS(Table2[HomeTeam],$CV$30, Table2[ActualAwayScore],DG$31, Table2[ActualHomeScore],$CW32))*-1</f>
        <v>0</v>
      </c>
      <c r="DH32" s="125">
        <f>(COUNTIFS(Table2[AwayTeam],$CV$30, Table2[ActualAwayScore],$CW32, Table2[ActualHomeScore],DH$31)+COUNTIFS(Table2[HomeTeam],$CV$30, Table2[ActualAwayScore],DH$31, Table2[ActualHomeScore],$CW32))*-1</f>
        <v>0</v>
      </c>
      <c r="DI32" s="14"/>
      <c r="DJ32" s="126" t="s">
        <v>526</v>
      </c>
      <c r="DK32" s="125">
        <v>0</v>
      </c>
      <c r="DL32" s="127"/>
      <c r="DM32" s="14">
        <f>COUNTIFS(Table2[[ActualHomeScore]:[ActualHomeScore]],$DK32, Table2[[ActualAwayScore]:[ActualAwayScore]],DM$31)</f>
        <v>1</v>
      </c>
      <c r="DN32" s="14">
        <f>COUNTIFS(Table2[[ActualHomeScore]:[ActualHomeScore]],$DK32, Table2[[ActualAwayScore]:[ActualAwayScore]],DN$31)</f>
        <v>1</v>
      </c>
      <c r="DO32" s="14">
        <f>COUNTIFS(Table2[[ActualHomeScore]:[ActualHomeScore]],$DK32, Table2[[ActualAwayScore]:[ActualAwayScore]],DO$31)</f>
        <v>2</v>
      </c>
      <c r="DP32" s="14">
        <f>COUNTIFS(Table2[[ActualHomeScore]:[ActualHomeScore]],$DK32, Table2[[ActualAwayScore]:[ActualAwayScore]],DP$31)</f>
        <v>1</v>
      </c>
      <c r="DQ32" s="14">
        <f>COUNTIFS(Table2[[ActualHomeScore]:[ActualHomeScore]],$DK32, Table2[[ActualAwayScore]:[ActualAwayScore]],DQ$31)</f>
        <v>1</v>
      </c>
      <c r="DR32" s="14">
        <f>COUNTIFS(Table2[[ActualHomeScore]:[ActualHomeScore]],$DK32, Table2[[ActualAwayScore]:[ActualAwayScore]],DR$31)</f>
        <v>0</v>
      </c>
      <c r="DS32" s="14">
        <f>COUNTIFS(Table2[[ActualHomeScore]:[ActualHomeScore]],$DK32, Table2[[ActualAwayScore]:[ActualAwayScore]],DS$31)</f>
        <v>0</v>
      </c>
      <c r="DT32" s="14">
        <f>COUNTIFS(Table2[[ActualHomeScore]:[ActualHomeScore]],$DK32, Table2[[ActualAwayScore]:[ActualAwayScore]],DT$31)</f>
        <v>0</v>
      </c>
      <c r="DU32" s="14">
        <f>COUNTIFS(Table2[[ActualHomeScore]:[ActualHomeScore]],$DK32, Table2[[ActualAwayScore]:[ActualAwayScore]],DU$31)</f>
        <v>0</v>
      </c>
      <c r="DV32" s="14">
        <f>COUNTIFS(Table2[[ActualHomeScore]:[ActualHomeScore]],$DK32, Table2[[ActualAwayScore]:[ActualAwayScore]],DV$31)</f>
        <v>0</v>
      </c>
    </row>
    <row r="33" spans="1:126" x14ac:dyDescent="0.25">
      <c r="A33" t="s">
        <v>23</v>
      </c>
      <c r="B33" t="s">
        <v>90</v>
      </c>
      <c r="C33" t="s">
        <v>93</v>
      </c>
      <c r="D33">
        <f>COUNTIFS(DataRegularSeason20242025!$D$3:$D$1315,$A33,DataRegularSeason20242025!$R$3:$R$1315,1,DataRegularSeason20242025!$N$3:$N$1315,1) + COUNTIFS(DataRegularSeason20242025!$E$3:$E$1315,$A33,DataRegularSeason20242025!$R$3:$R$1315,1,DataRegularSeason20242025!$N$3:$N$1315,1)</f>
        <v>7</v>
      </c>
      <c r="E33" s="10">
        <f>Table3[[#This Row],[Watched]]/Table3[[#This Row],[GP]]</f>
        <v>1</v>
      </c>
      <c r="F33">
        <f>COUNTIFS(DataRegularSeason20242025!$N$3:$N$1315,1,DataRegularSeason20242025!$D$3:$D$1315,$A33)</f>
        <v>4</v>
      </c>
      <c r="G33">
        <f>41-Table3[[#This Row],[GP_A]]</f>
        <v>37</v>
      </c>
      <c r="H33">
        <f>COUNTIFS(DataRegularSeason20242025!$E$3:$E$1315,$A33,DataRegularSeason20242025!$N$3:$N$1315,1)</f>
        <v>3</v>
      </c>
      <c r="I33">
        <f>41-Table3[[#This Row],[GP_H]]</f>
        <v>38</v>
      </c>
      <c r="J33">
        <f t="shared" si="0"/>
        <v>7</v>
      </c>
      <c r="K33">
        <f>82-Table3[[#This Row],[GP]]</f>
        <v>75</v>
      </c>
      <c r="L33">
        <f>COUNTIFS(DataRegularSeason20242025!$D$3:$D$1315,$A33, DataRegularSeason20242025!$L$3:$L$1315, $A33,DataRegularSeason20242025!$N$3:$N$1315,1)</f>
        <v>1</v>
      </c>
      <c r="M33">
        <f>COUNTIFS(DataRegularSeason20242025!$D$3:$D$1315,$A33, DataRegularSeason20242025!$L$3:$L$1315, $A33,DataRegularSeason20242025!$N$3:$N$1315,1,DataRegularSeason20242025!$M$3:$M$1315,"REG")</f>
        <v>0</v>
      </c>
      <c r="N33">
        <f>COUNTIFS(DataRegularSeason20242025!$D$3:$D$1315,$A33, DataRegularSeason20242025!$L$3:$L$1315, $A33,DataRegularSeason20242025!$N$3:$N$1315,1,DataRegularSeason20242025!$M$3:$M$1315,"OT")</f>
        <v>0</v>
      </c>
      <c r="O33">
        <f>COUNTIFS(DataRegularSeason20242025!$D$3:$D$1315,$A33, DataRegularSeason20242025!$L$3:$L$1315, $A33,DataRegularSeason20242025!$N$3:$N$1315,1,DataRegularSeason20242025!$M$3:$M$1315,"SO")</f>
        <v>1</v>
      </c>
      <c r="P33">
        <f t="shared" si="1"/>
        <v>3</v>
      </c>
      <c r="Q33">
        <f>COUNTIFS(DataRegularSeason20242025!$D$3:$D$1315,$A33, DataRegularSeason20242025!$S$3:$S$1315, $A33,DataRegularSeason20242025!$M$3:$M$1315,"REG")</f>
        <v>3</v>
      </c>
      <c r="R33">
        <f>COUNTIFS(DataRegularSeason20242025!$D$3:$D$1315,$A33, DataRegularSeason20242025!$S$3:$S$1315, $A33,DataRegularSeason20242025!$M$3:$M$1315,"OT")</f>
        <v>0</v>
      </c>
      <c r="S33">
        <f>COUNTIFS(DataRegularSeason20242025!$D$3:$D$1315,$A33, DataRegularSeason20242025!$S$3:$S$1315, $A33,DataRegularSeason20242025!$M$3:$M$1315,"SO")</f>
        <v>0</v>
      </c>
      <c r="T33">
        <f>COUNTIFS(DataRegularSeason20242025!$E$3:$E$1315,$A33, DataRegularSeason20242025!$L$3:$L$1315, $A33, DataRegularSeason20242025!$N$3:$N$1315,1)</f>
        <v>0</v>
      </c>
      <c r="U33">
        <f>COUNTIFS(DataRegularSeason20242025!$E$3:$E$1315,$A33, DataRegularSeason20242025!$L$3:$L$1315, $A33,DataRegularSeason20242025!$N$3:$N$1315,1,DataRegularSeason20242025!$M$3:$M$1315,"REG")</f>
        <v>0</v>
      </c>
      <c r="V33">
        <f>COUNTIFS(DataRegularSeason20242025!$E$3:$E$1315,$A33, DataRegularSeason20242025!$L$3:$L$1315, $A33,DataRegularSeason20242025!$N$3:$N$1315,1,DataRegularSeason20242025!$M$3:$M$1315,"OT")</f>
        <v>0</v>
      </c>
      <c r="W33">
        <f>COUNTIFS(DataRegularSeason20242025!$E$3:$E$1315,$A33, DataRegularSeason20242025!$L$3:$L$1315, $A33,DataRegularSeason20242025!$N$3:$N$1315,1,DataRegularSeason20242025!$M$3:$M$1315,"SO")</f>
        <v>0</v>
      </c>
      <c r="X33">
        <f t="shared" si="2"/>
        <v>3</v>
      </c>
      <c r="Y33">
        <f>COUNTIFS(DataRegularSeason20242025!$E$3:$E$1315,$A33, DataRegularSeason20242025!$S$3:$S$1315, $A33,DataRegularSeason20242025!$M$3:$M$1315,"REG")</f>
        <v>3</v>
      </c>
      <c r="Z33">
        <f>COUNTIFS(DataRegularSeason20242025!$E$3:$E$1315,$A33, DataRegularSeason20242025!$S$3:$S$1315, $A33,DataRegularSeason20242025!$M$3:$M$1315,"OT")</f>
        <v>0</v>
      </c>
      <c r="AA33">
        <f>COUNTIFS(DataRegularSeason20242025!$E$3:$E$1315,$A33, DataRegularSeason20242025!$S$3:$S$1315, $A33,DataRegularSeason20242025!$M$3:$M$1315,"SO")</f>
        <v>0</v>
      </c>
      <c r="AB33">
        <f>Table3[[#This Row],[W]]/MAX(1,Table3[[#This Row],[W]]+Table3[[#This Row],[L]])</f>
        <v>0.14285714285714285</v>
      </c>
      <c r="AC33">
        <f>Table3[[#This Row],[W_A]]+Table3[[#This Row],[W_H]]</f>
        <v>1</v>
      </c>
      <c r="AD33">
        <f>Table3[[#This Row],[L_A]]+Table3[[#This Row],[L_H]]</f>
        <v>6</v>
      </c>
      <c r="AE33">
        <f>Table3[[#This Row],[RW_A]]+Table3[[#This Row],[RW_H]]</f>
        <v>0</v>
      </c>
      <c r="AF33">
        <f>Table3[[#This Row],[RL_A]]+Table3[[#This Row],[RL_H]]</f>
        <v>6</v>
      </c>
      <c r="AG33">
        <f>Table3[[#This Row],[OTW_A]]+Table3[[#This Row],[OTW_H]]</f>
        <v>0</v>
      </c>
      <c r="AH33">
        <f>Table3[[#This Row],[OTL_A]]+Table3[[#This Row],[OTL_H]]</f>
        <v>0</v>
      </c>
      <c r="AI33">
        <f>Table3[[#This Row],[SOW_A]]+Table3[[#This Row],[SOW_H]]</f>
        <v>1</v>
      </c>
      <c r="AJ33">
        <f>Table3[[#This Row],[SOL_A]]+Table3[[#This Row],[SOL_H]]</f>
        <v>0</v>
      </c>
      <c r="AK33" s="15" t="str">
        <f>_xlfn.CONCAT(TEXT(Table3[[#This Row],[OTW]]+Table3[[#This Row],[SOW]], "0"), "-", TEXT(Table3[[#This Row],[OTL]]+Table3[[#This Row],[SOL]],"0"))</f>
        <v>1-0</v>
      </c>
      <c r="AL33">
        <f>SUM(Table3[[#This Row],[OTW]],Table3[[#This Row],[OTL]],Table3[[#This Row],[SOW]],Table3[[#This Row],[SOL]])</f>
        <v>1</v>
      </c>
      <c r="AM33">
        <f>(Table3[[#This Row],[OTW]]+Table3[[#This Row],[SOW]])/IF(Table3[[#This Row],[Total_ExtraTimes]]=0,1,Table3[[#This Row],[Total_ExtraTimes]])</f>
        <v>1</v>
      </c>
      <c r="AN33">
        <f>Table3[[#This Row],[Total_ExtraTimes]]/MAX(1,Table3[[#This Row],[GP]])</f>
        <v>0.14285714285714285</v>
      </c>
      <c r="AO33">
        <f>(2*(Table3[[#This Row],[W_A]]+Table3[[#This Row],[W_H]]))+Table3[[#This Row],[OTL_A]]+Table3[[#This Row],[SOL_A]]+Table3[[#This Row],[OTL_H]]+Table3[[#This Row],[SOL_H]]</f>
        <v>2</v>
      </c>
      <c r="AP3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2</v>
      </c>
      <c r="AQ33" s="10">
        <f>Table3[[#This Row],[PTS]]/(2*Table3[[#This Row],[GP]])</f>
        <v>0.14285714285714285</v>
      </c>
      <c r="AR33" s="10">
        <f>Table3[[#This Row],[PTS2]]/(3*Table3[[#This Row],[GP]])</f>
        <v>9.5238095238095233E-2</v>
      </c>
      <c r="AS33">
        <f>(2*Table3[[#This Row],[GR]])+Table3[[#This Row],[PTS]]</f>
        <v>152</v>
      </c>
      <c r="AT33">
        <f>(3*Table3[[#This Row],[GR]])+Table3[[#This Row],[PTS2]]</f>
        <v>227</v>
      </c>
      <c r="AU33">
        <f>Table3[[#This Row],[PTS]]+(2 * Table3[[#This Row],[GR]] * Table3[[#This Row],[PTS%]])</f>
        <v>23.428571428571427</v>
      </c>
      <c r="AV33">
        <f>Table3[[#This Row],[PTS2]]+(3 * Table3[[#This Row],[GR]] * Table3[[#This Row],[PTS%2]])</f>
        <v>23.428571428571427</v>
      </c>
      <c r="AW33" s="15" t="str">
        <f>_xlfn.CONCAT(TEXT(Table3[[#This Row],[W]], "0"), "-", TEXT(Table3[[#This Row],[RL]],"0"), "-", TEXT(Table3[[#This Row],[OTL]]+Table3[[#This Row],[SOL]], "0"))</f>
        <v>1-6-0</v>
      </c>
      <c r="AX33">
        <f>COUNTIFS(DataRegularSeason20242025!$D$3:$D$1315,Table3[[#This Row],[Teams]],DataRegularSeason20242025!$K$3:$K$1315,0)</f>
        <v>0</v>
      </c>
      <c r="AY33">
        <f>SUMIF(DataRegularSeason20242025!$D$3:$D$1315,$A33, DataRegularSeason20242025!$J$3:$J$1315)</f>
        <v>7</v>
      </c>
      <c r="AZ33">
        <f>SUMIF(DataRegularSeason20242025!$D$3:$D$1315,$A33, DataRegularSeason20242025!$K$3:$K$1315)</f>
        <v>17</v>
      </c>
      <c r="BA33">
        <f t="shared" si="3"/>
        <v>-10</v>
      </c>
      <c r="BB33">
        <f>COUNTIFS(DataRegularSeason20242025!$E$3:$E$1315,Table3[[#This Row],[Teams]],DataRegularSeason20242025!$J$3:$J$1315,0)</f>
        <v>0</v>
      </c>
      <c r="BC33">
        <f>SUMIF(DataRegularSeason20242025!$E$3:$E$1315,$A33,DataRegularSeason20242025!$K$3:$K$1315)</f>
        <v>5</v>
      </c>
      <c r="BD33">
        <f>SUMIF(DataRegularSeason20242025!$E$3:$E$1315,$A33,DataRegularSeason20242025!$J$3:$J$1315)</f>
        <v>10</v>
      </c>
      <c r="BE33">
        <f t="shared" si="4"/>
        <v>-5</v>
      </c>
      <c r="BF33">
        <f t="shared" si="5"/>
        <v>12</v>
      </c>
      <c r="BG33">
        <f t="shared" si="6"/>
        <v>27</v>
      </c>
      <c r="BH33">
        <f t="shared" si="7"/>
        <v>-15</v>
      </c>
      <c r="BI33" s="12">
        <f>Table3[[#This Row],[GF]]/Table3[[#This Row],[GP]]</f>
        <v>1.7142857142857142</v>
      </c>
      <c r="BJ33" s="12">
        <f>Table3[[#This Row],[GA]]/Table3[[#This Row],[GP]]</f>
        <v>3.8571428571428572</v>
      </c>
      <c r="BK33" s="12">
        <f>(Table3[[#This Row],[GF]]-Table3[[#This Row],[GA]])/Table3[[#This Row],[GP]]</f>
        <v>-2.1428571428571428</v>
      </c>
      <c r="BL33" s="42" t="str">
        <f>_xlfn.CONCAT(TEXT(Table3[[#This Row],[W_H]], "0"), "-", TEXT(Table3[[#This Row],[RL_H]],"0"), "-", TEXT(Table3[[#This Row],[OTL_H]]+Table3[[#This Row],[SOL_H]], "0"))</f>
        <v>0-3-0</v>
      </c>
      <c r="BM33" s="42" t="str">
        <f>_xlfn.CONCAT(TEXT(Table3[[#This Row],[W_A]], "0"), "-", TEXT(Table3[[#This Row],[RL_A]],"0"), "-", TEXT(Table3[[#This Row],[OTL_A]]+Table3[[#This Row],[SOL_A]], "0"))</f>
        <v>1-3-0</v>
      </c>
      <c r="BN33" s="42">
        <f>((2*(Table3[[#This Row],[W_H]]))+Table3[[#This Row],[OTL_H]]+Table3[[#This Row],[SOL_H]])/(2*Table3[[#This Row],[GP_H]])</f>
        <v>0</v>
      </c>
      <c r="BO33" s="42">
        <f>((2*(Table3[[#This Row],[W_A]]))+Table3[[#This Row],[OTL_A]]+Table3[[#This Row],[SOL_A]])/(2*Table3[[#This Row],[GP_A]])</f>
        <v>0.25</v>
      </c>
      <c r="BP33" s="16">
        <f>(Table3[[#This Row],[W]]*$CX$3)+(Table3[[#This Row],[L]]*$CX$4)+(Table3[[#This Row],[GF]]*$CX$5)+(Table3[[#This Row],[GA]]*$CX$6)</f>
        <v>6.8</v>
      </c>
      <c r="BQ3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63.36326530612245</v>
      </c>
      <c r="BR33" s="16">
        <f>(Table3[[#This Row],[W]]*0.7) + ((Table3[[#This Row],[GF]] - Table3[[#This Row],[GA]])*0.25)+(Table3[[#This Row],[GF]]*0.1)+(Table3[[#This Row],[GA]]*0.05)+(Table3[[#This Row],[L]]*0.3)</f>
        <v>1.3000000000000003</v>
      </c>
      <c r="BS33" s="16">
        <f>Table3[[#This Row],[TeamCost83]]/Table3[[#This Row],[GP]]</f>
        <v>0.18571428571428575</v>
      </c>
      <c r="BT33">
        <f>COUNTIFS(Table2[AwayTeam],$A33,Table2[PredictedWinner], $A33, Table2[GameIsOver], 1)</f>
        <v>1</v>
      </c>
      <c r="BU33">
        <f>COUNTIFS(Table2[HomeTeam],$A33,Table2[PredictedWinner], $A33, Table2[GameIsOver], 1)</f>
        <v>3</v>
      </c>
      <c r="BV33">
        <f t="shared" si="8"/>
        <v>4</v>
      </c>
      <c r="BW33">
        <f t="shared" si="9"/>
        <v>3</v>
      </c>
      <c r="BX33">
        <f t="shared" si="10"/>
        <v>0</v>
      </c>
      <c r="BY33">
        <f t="shared" si="11"/>
        <v>3</v>
      </c>
      <c r="BZ33">
        <f>Table3[[#This Row],[TimesPredictedWinner]]/Table3[[#This Row],[GP]]</f>
        <v>0.5714285714285714</v>
      </c>
      <c r="CB33">
        <v>1989</v>
      </c>
      <c r="CC33" s="1">
        <v>45762</v>
      </c>
      <c r="CE33" t="str">
        <f>INDEX(Table2[AwayTeam], Table3[[#This Row],[Column2]])</f>
        <v>MTL</v>
      </c>
      <c r="CF33">
        <f>LARGE((Table2[[#This Row],[AwayTeam]]=Table3[[#This Row],[Teams]]), 1)</f>
        <v>0</v>
      </c>
      <c r="CI33">
        <f>SUMIFS(Table2[GamePredictionScore], Table2[AwayTeam], Table3[[#This Row],[Teams]])</f>
        <v>1.8</v>
      </c>
      <c r="CJ33">
        <f>SUMIFS(Table2[GamePredictionScore], Table2[HomeTeam], Table3[[#This Row],[Teams]])</f>
        <v>0.1</v>
      </c>
      <c r="CK33">
        <f>Table3[[#This Row],[Column4]]+Table3[[#This Row],[Column3]]</f>
        <v>1.9000000000000001</v>
      </c>
      <c r="CL33">
        <f>Table3[[#This Row],[Column5]]/Table3[[#This Row],[GP]]</f>
        <v>0.27142857142857146</v>
      </c>
      <c r="CV33" s="85"/>
      <c r="CW33" s="57">
        <v>1</v>
      </c>
      <c r="CX33" s="14">
        <f>COUNTIFS(Table2[AwayTeam],$CV$30, Table2[ActualAwayScore],$CW33, Table2[ActualHomeScore],CX$31)+COUNTIFS(Table2[HomeTeam],$CV$30, Table2[ActualAwayScore],CX$31, Table2[ActualHomeScore],$CW33)</f>
        <v>0</v>
      </c>
      <c r="CY33" s="124"/>
      <c r="CZ33" s="14">
        <f>(COUNTIFS(Table2[AwayTeam],$CV$30, Table2[ActualAwayScore],$CW33, Table2[ActualHomeScore],CZ$31)+COUNTIFS(Table2[HomeTeam],$CV$30, Table2[ActualAwayScore],CZ$31, Table2[ActualHomeScore],$CW33))*-1</f>
        <v>-1</v>
      </c>
      <c r="DA33" s="14">
        <f>(COUNTIFS(Table2[AwayTeam],$CV$30, Table2[ActualAwayScore],$CW33, Table2[ActualHomeScore],DA$31)+COUNTIFS(Table2[HomeTeam],$CV$30, Table2[ActualAwayScore],DA$31, Table2[ActualHomeScore],$CW33))*-1</f>
        <v>-1</v>
      </c>
      <c r="DB33" s="14">
        <f>(COUNTIFS(Table2[AwayTeam],$CV$30, Table2[ActualAwayScore],$CW33, Table2[ActualHomeScore],DB$31)+COUNTIFS(Table2[HomeTeam],$CV$30, Table2[ActualAwayScore],DB$31, Table2[ActualHomeScore],$CW33))*-1</f>
        <v>0</v>
      </c>
      <c r="DC33" s="14">
        <f>(COUNTIFS(Table2[AwayTeam],$CV$30, Table2[ActualAwayScore],$CW33, Table2[ActualHomeScore],DC$31)+COUNTIFS(Table2[HomeTeam],$CV$30, Table2[ActualAwayScore],DC$31, Table2[ActualHomeScore],$CW33))*-1</f>
        <v>-1</v>
      </c>
      <c r="DD33" s="14">
        <f>(COUNTIFS(Table2[AwayTeam],$CV$30, Table2[ActualAwayScore],$CW33, Table2[ActualHomeScore],DD$31)+COUNTIFS(Table2[HomeTeam],$CV$30, Table2[ActualAwayScore],DD$31, Table2[ActualHomeScore],$CW33))*-1</f>
        <v>-1</v>
      </c>
      <c r="DE33" s="14">
        <f>(COUNTIFS(Table2[AwayTeam],$CV$30, Table2[ActualAwayScore],$CW33, Table2[ActualHomeScore],DE$31)+COUNTIFS(Table2[HomeTeam],$CV$30, Table2[ActualAwayScore],DE$31, Table2[ActualHomeScore],$CW33))*-1</f>
        <v>0</v>
      </c>
      <c r="DF33" s="14">
        <f>(COUNTIFS(Table2[AwayTeam],$CV$30, Table2[ActualAwayScore],$CW33, Table2[ActualHomeScore],DF$31)+COUNTIFS(Table2[HomeTeam],$CV$30, Table2[ActualAwayScore],DF$31, Table2[ActualHomeScore],$CW33))*-1</f>
        <v>0</v>
      </c>
      <c r="DG33" s="14">
        <f>(COUNTIFS(Table2[AwayTeam],$CV$30, Table2[ActualAwayScore],$CW33, Table2[ActualHomeScore],DG$31)+COUNTIFS(Table2[HomeTeam],$CV$30, Table2[ActualAwayScore],DG$31, Table2[ActualHomeScore],$CW33))*-1</f>
        <v>0</v>
      </c>
      <c r="DH33" s="125">
        <f>(COUNTIFS(Table2[AwayTeam],$CV$30, Table2[ActualAwayScore],$CW33, Table2[ActualHomeScore],DH$31)+COUNTIFS(Table2[HomeTeam],$CV$30, Table2[ActualAwayScore],DH$31, Table2[ActualHomeScore],$CW33))*-1</f>
        <v>0</v>
      </c>
      <c r="DI33" s="14"/>
      <c r="DJ33" s="126"/>
      <c r="DK33" s="125">
        <v>1</v>
      </c>
      <c r="DL33" s="14">
        <f>COUNTIFS(Table2[[ActualHomeScore]:[ActualHomeScore]],$DK33, Table2[[ActualAwayScore]:[ActualAwayScore]],DL$31)</f>
        <v>0</v>
      </c>
      <c r="DM33" s="127"/>
      <c r="DN33" s="14">
        <f>COUNTIFS(Table2[[ActualHomeScore]:[ActualHomeScore]],$DK33, Table2[[ActualAwayScore]:[ActualAwayScore]],DN$31)</f>
        <v>2</v>
      </c>
      <c r="DO33" s="14">
        <f>COUNTIFS(Table2[[ActualHomeScore]:[ActualHomeScore]],$DK33, Table2[[ActualAwayScore]:[ActualAwayScore]],DO$31)</f>
        <v>3</v>
      </c>
      <c r="DP33" s="14">
        <f>COUNTIFS(Table2[[ActualHomeScore]:[ActualHomeScore]],$DK33, Table2[[ActualAwayScore]:[ActualAwayScore]],DP$31)</f>
        <v>4</v>
      </c>
      <c r="DQ33" s="14">
        <f>COUNTIFS(Table2[[ActualHomeScore]:[ActualHomeScore]],$DK33, Table2[[ActualAwayScore]:[ActualAwayScore]],DQ$31)</f>
        <v>3</v>
      </c>
      <c r="DR33" s="14">
        <f>COUNTIFS(Table2[[ActualHomeScore]:[ActualHomeScore]],$DK33, Table2[[ActualAwayScore]:[ActualAwayScore]],DR$31)</f>
        <v>1</v>
      </c>
      <c r="DS33" s="14">
        <f>COUNTIFS(Table2[[ActualHomeScore]:[ActualHomeScore]],$DK33, Table2[[ActualAwayScore]:[ActualAwayScore]],DS$31)</f>
        <v>0</v>
      </c>
      <c r="DT33" s="14">
        <f>COUNTIFS(Table2[[ActualHomeScore]:[ActualHomeScore]],$DK33, Table2[[ActualAwayScore]:[ActualAwayScore]],DT$31)</f>
        <v>0</v>
      </c>
      <c r="DU33" s="14">
        <f>COUNTIFS(Table2[[ActualHomeScore]:[ActualHomeScore]],$DK33, Table2[[ActualAwayScore]:[ActualAwayScore]],DU$31)</f>
        <v>0</v>
      </c>
      <c r="DV33" s="14">
        <f>COUNTIFS(Table2[[ActualHomeScore]:[ActualHomeScore]],$DK33, Table2[[ActualAwayScore]:[ActualAwayScore]],DV$31)</f>
        <v>0</v>
      </c>
    </row>
    <row r="34" spans="1:126" x14ac:dyDescent="0.25">
      <c r="CR34" t="str">
        <f t="array" ref="CR34:CR66">IF(DataRegularSeason20242025!$D$3:$D$1315="CGY",DataRegularSeason20242025!$D$3:$D$1315,"")</f>
        <v/>
      </c>
      <c r="CV34" s="85"/>
      <c r="CW34" s="57">
        <v>2</v>
      </c>
      <c r="CX34" s="14">
        <f>COUNTIFS(Table2[AwayTeam],$CV$30, Table2[ActualAwayScore],$CW34, Table2[ActualHomeScore],CX$31)+COUNTIFS(Table2[HomeTeam],$CV$30, Table2[ActualAwayScore],CX$31, Table2[ActualHomeScore],$CW34)</f>
        <v>0</v>
      </c>
      <c r="CY34" s="14">
        <f>COUNTIFS(Table2[AwayTeam],"CGY", Table2[ActualAwayScore],$CW34, Table2[ActualHomeScore],CY$31)+COUNTIFS(Table2[HomeTeam],"CGY", Table2[ActualAwayScore],CY$31, Table2[ActualHomeScore],$CW34)</f>
        <v>0</v>
      </c>
      <c r="CZ34" s="124"/>
      <c r="DA34" s="14">
        <f>(COUNTIFS(Table2[AwayTeam],$CV$30, Table2[ActualAwayScore],$CW34, Table2[ActualHomeScore],DA$31)+COUNTIFS(Table2[HomeTeam],$CV$30, Table2[ActualAwayScore],DA$31, Table2[ActualHomeScore],$CW34))*-1</f>
        <v>0</v>
      </c>
      <c r="DB34" s="14">
        <f>(COUNTIFS(Table2[AwayTeam],$CV$30, Table2[ActualAwayScore],$CW34, Table2[ActualHomeScore],DB$31)+COUNTIFS(Table2[HomeTeam],$CV$30, Table2[ActualAwayScore],DB$31, Table2[ActualHomeScore],$CW34))*-1</f>
        <v>-2</v>
      </c>
      <c r="DC34" s="14">
        <f>(COUNTIFS(Table2[AwayTeam],$CV$30, Table2[ActualAwayScore],$CW34, Table2[ActualHomeScore],DC$31)+COUNTIFS(Table2[HomeTeam],$CV$30, Table2[ActualAwayScore],DC$31, Table2[ActualHomeScore],$CW34))*-1</f>
        <v>0</v>
      </c>
      <c r="DD34" s="14">
        <f>(COUNTIFS(Table2[AwayTeam],$CV$30, Table2[ActualAwayScore],$CW34, Table2[ActualHomeScore],DD$31)+COUNTIFS(Table2[HomeTeam],$CV$30, Table2[ActualAwayScore],DD$31, Table2[ActualHomeScore],$CW34))*-1</f>
        <v>0</v>
      </c>
      <c r="DE34" s="14">
        <f>(COUNTIFS(Table2[AwayTeam],$CV$30, Table2[ActualAwayScore],$CW34, Table2[ActualHomeScore],DE$31)+COUNTIFS(Table2[HomeTeam],$CV$30, Table2[ActualAwayScore],DE$31, Table2[ActualHomeScore],$CW34))*-1</f>
        <v>0</v>
      </c>
      <c r="DF34" s="14">
        <f>(COUNTIFS(Table2[AwayTeam],$CV$30, Table2[ActualAwayScore],$CW34, Table2[ActualHomeScore],DF$31)+COUNTIFS(Table2[HomeTeam],$CV$30, Table2[ActualAwayScore],DF$31, Table2[ActualHomeScore],$CW34))*-1</f>
        <v>0</v>
      </c>
      <c r="DG34" s="14">
        <f>(COUNTIFS(Table2[AwayTeam],$CV$30, Table2[ActualAwayScore],$CW34, Table2[ActualHomeScore],DG$31)+COUNTIFS(Table2[HomeTeam],$CV$30, Table2[ActualAwayScore],DG$31, Table2[ActualHomeScore],$CW34))*-1</f>
        <v>0</v>
      </c>
      <c r="DH34" s="125">
        <f>(COUNTIFS(Table2[AwayTeam],$CV$30, Table2[ActualAwayScore],$CW34, Table2[ActualHomeScore],DH$31)+COUNTIFS(Table2[HomeTeam],$CV$30, Table2[ActualAwayScore],DH$31, Table2[ActualHomeScore],$CW34))*-1</f>
        <v>0</v>
      </c>
      <c r="DI34" s="14"/>
      <c r="DJ34" s="126"/>
      <c r="DK34" s="125">
        <v>2</v>
      </c>
      <c r="DL34" s="14">
        <f>COUNTIFS(Table2[[ActualHomeScore]:[ActualHomeScore]],$DK34, Table2[[ActualAwayScore]:[ActualAwayScore]],DL$31)</f>
        <v>0</v>
      </c>
      <c r="DM34" s="14">
        <f>COUNTIFS(Table2[[ActualHomeScore]:[ActualHomeScore]],$DK34, Table2[[ActualAwayScore]:[ActualAwayScore]],DM$31)</f>
        <v>8</v>
      </c>
      <c r="DN34" s="127"/>
      <c r="DO34" s="14">
        <f>COUNTIFS(Table2[[ActualHomeScore]:[ActualHomeScore]],$DK34, Table2[[ActualAwayScore]:[ActualAwayScore]],DO$31)</f>
        <v>6</v>
      </c>
      <c r="DP34" s="14">
        <f>COUNTIFS(Table2[[ActualHomeScore]:[ActualHomeScore]],$DK34, Table2[[ActualAwayScore]:[ActualAwayScore]],DP$31)</f>
        <v>4</v>
      </c>
      <c r="DQ34" s="14">
        <f>COUNTIFS(Table2[[ActualHomeScore]:[ActualHomeScore]],$DK34, Table2[[ActualAwayScore]:[ActualAwayScore]],DQ$31)</f>
        <v>5</v>
      </c>
      <c r="DR34" s="14">
        <f>COUNTIFS(Table2[[ActualHomeScore]:[ActualHomeScore]],$DK34, Table2[[ActualAwayScore]:[ActualAwayScore]],DR$31)</f>
        <v>0</v>
      </c>
      <c r="DS34" s="14">
        <f>COUNTIFS(Table2[[ActualHomeScore]:[ActualHomeScore]],$DK34, Table2[[ActualAwayScore]:[ActualAwayScore]],DS$31)</f>
        <v>0</v>
      </c>
      <c r="DT34" s="14">
        <f>COUNTIFS(Table2[[ActualHomeScore]:[ActualHomeScore]],$DK34, Table2[[ActualAwayScore]:[ActualAwayScore]],DT$31)</f>
        <v>0</v>
      </c>
      <c r="DU34" s="14">
        <f>COUNTIFS(Table2[[ActualHomeScore]:[ActualHomeScore]],$DK34, Table2[[ActualAwayScore]:[ActualAwayScore]],DU$31)</f>
        <v>0</v>
      </c>
      <c r="DV34" s="14">
        <f>COUNTIFS(Table2[[ActualHomeScore]:[ActualHomeScore]],$DK34, Table2[[ActualAwayScore]:[ActualAwayScore]],DV$31)</f>
        <v>0</v>
      </c>
    </row>
    <row r="35" spans="1:126" x14ac:dyDescent="0.25">
      <c r="A35" t="s">
        <v>436</v>
      </c>
      <c r="D35">
        <f>SUM(D$2:D$33)</f>
        <v>158</v>
      </c>
      <c r="E35">
        <f t="shared" ref="E35:CA35" si="25">SUM(E$2:E$33)</f>
        <v>23.398809523809526</v>
      </c>
      <c r="F35">
        <f t="shared" si="25"/>
        <v>107</v>
      </c>
      <c r="G35">
        <f t="shared" si="25"/>
        <v>1205</v>
      </c>
      <c r="H35">
        <f t="shared" si="25"/>
        <v>107</v>
      </c>
      <c r="I35">
        <f t="shared" si="25"/>
        <v>1205</v>
      </c>
      <c r="J35">
        <f t="shared" si="25"/>
        <v>214</v>
      </c>
      <c r="K35">
        <f t="shared" si="25"/>
        <v>2410</v>
      </c>
      <c r="L35">
        <f t="shared" si="25"/>
        <v>52</v>
      </c>
      <c r="M35">
        <f t="shared" si="25"/>
        <v>41</v>
      </c>
      <c r="N35">
        <f t="shared" si="25"/>
        <v>7</v>
      </c>
      <c r="O35">
        <f t="shared" si="25"/>
        <v>4</v>
      </c>
      <c r="P35">
        <f t="shared" si="25"/>
        <v>55</v>
      </c>
      <c r="Q35">
        <f t="shared" si="25"/>
        <v>42</v>
      </c>
      <c r="R35">
        <f t="shared" si="25"/>
        <v>11</v>
      </c>
      <c r="S35">
        <f t="shared" si="25"/>
        <v>2</v>
      </c>
      <c r="T35">
        <f t="shared" si="25"/>
        <v>55</v>
      </c>
      <c r="U35">
        <f t="shared" si="25"/>
        <v>42</v>
      </c>
      <c r="V35">
        <f t="shared" si="25"/>
        <v>11</v>
      </c>
      <c r="W35">
        <f t="shared" si="25"/>
        <v>2</v>
      </c>
      <c r="X35">
        <f t="shared" si="25"/>
        <v>52</v>
      </c>
      <c r="Y35">
        <f t="shared" si="25"/>
        <v>41</v>
      </c>
      <c r="Z35">
        <f t="shared" si="25"/>
        <v>7</v>
      </c>
      <c r="AA35">
        <f t="shared" si="25"/>
        <v>4</v>
      </c>
      <c r="AC35">
        <f t="shared" si="25"/>
        <v>107</v>
      </c>
      <c r="AD35">
        <f t="shared" si="25"/>
        <v>107</v>
      </c>
      <c r="AE35">
        <f t="shared" si="25"/>
        <v>83</v>
      </c>
      <c r="AF35">
        <f t="shared" si="25"/>
        <v>83</v>
      </c>
      <c r="AG35">
        <f t="shared" si="25"/>
        <v>18</v>
      </c>
      <c r="AH35">
        <f t="shared" si="25"/>
        <v>18</v>
      </c>
      <c r="AI35">
        <f t="shared" si="25"/>
        <v>6</v>
      </c>
      <c r="AJ35">
        <f t="shared" si="25"/>
        <v>6</v>
      </c>
      <c r="AO35">
        <f t="shared" si="25"/>
        <v>238</v>
      </c>
      <c r="AP35">
        <f t="shared" si="25"/>
        <v>321</v>
      </c>
      <c r="AQ35">
        <f t="shared" si="25"/>
        <v>17.87202380952381</v>
      </c>
      <c r="AR35">
        <f t="shared" si="25"/>
        <v>16.091269841269845</v>
      </c>
      <c r="AS35">
        <f t="shared" si="25"/>
        <v>5058</v>
      </c>
      <c r="AT35">
        <f t="shared" si="25"/>
        <v>7551</v>
      </c>
      <c r="AU35">
        <f t="shared" si="25"/>
        <v>2931.011904761905</v>
      </c>
      <c r="AV35">
        <f t="shared" si="25"/>
        <v>3958.4523809523816</v>
      </c>
      <c r="AX35">
        <f t="shared" si="25"/>
        <v>6</v>
      </c>
      <c r="AY35">
        <f t="shared" si="25"/>
        <v>322</v>
      </c>
      <c r="AZ35">
        <f t="shared" si="25"/>
        <v>324</v>
      </c>
      <c r="BA35">
        <f t="shared" si="25"/>
        <v>-2</v>
      </c>
      <c r="BB35">
        <f t="shared" si="25"/>
        <v>1</v>
      </c>
      <c r="BC35">
        <f t="shared" si="25"/>
        <v>324</v>
      </c>
      <c r="BD35">
        <f t="shared" si="25"/>
        <v>322</v>
      </c>
      <c r="BE35">
        <f t="shared" si="25"/>
        <v>2</v>
      </c>
      <c r="BF35">
        <f t="shared" si="25"/>
        <v>646</v>
      </c>
      <c r="BG35">
        <f t="shared" si="25"/>
        <v>646</v>
      </c>
      <c r="BH35">
        <f t="shared" si="25"/>
        <v>0</v>
      </c>
      <c r="BI35">
        <f t="shared" si="25"/>
        <v>97.18452380952381</v>
      </c>
      <c r="BJ35">
        <f t="shared" si="25"/>
        <v>96.928571428571416</v>
      </c>
      <c r="BK35">
        <f t="shared" si="25"/>
        <v>0.25595238095238226</v>
      </c>
      <c r="BL35">
        <f t="shared" si="25"/>
        <v>0</v>
      </c>
      <c r="BM35">
        <f t="shared" si="25"/>
        <v>0</v>
      </c>
      <c r="BN35">
        <f t="shared" si="25"/>
        <v>18.233333333333338</v>
      </c>
      <c r="BO35">
        <f t="shared" si="25"/>
        <v>17.474999999999998</v>
      </c>
      <c r="BP35">
        <f t="shared" si="25"/>
        <v>247.09999999999997</v>
      </c>
      <c r="BQ35">
        <f t="shared" si="25"/>
        <v>2400.4207553854872</v>
      </c>
      <c r="BR35">
        <f t="shared" si="25"/>
        <v>203.9</v>
      </c>
      <c r="BS35">
        <f t="shared" si="25"/>
        <v>30.662202380952383</v>
      </c>
      <c r="BT35">
        <f t="shared" si="25"/>
        <v>45</v>
      </c>
      <c r="BU35">
        <f t="shared" si="25"/>
        <v>62</v>
      </c>
      <c r="BV35">
        <f t="shared" si="25"/>
        <v>107</v>
      </c>
      <c r="BW35">
        <f t="shared" si="25"/>
        <v>62</v>
      </c>
      <c r="BX35">
        <f t="shared" si="25"/>
        <v>45</v>
      </c>
      <c r="BY35">
        <f t="shared" si="25"/>
        <v>107</v>
      </c>
      <c r="BZ35">
        <f t="shared" si="25"/>
        <v>15.976190476190474</v>
      </c>
      <c r="CA35">
        <f t="shared" si="25"/>
        <v>0</v>
      </c>
      <c r="CR35" t="str">
        <v/>
      </c>
      <c r="CV35" s="85"/>
      <c r="CW35" s="57">
        <v>3</v>
      </c>
      <c r="CX35" s="14">
        <f>COUNTIFS(Table2[AwayTeam],$CV$30, Table2[ActualAwayScore],$CW35, Table2[ActualHomeScore],CX$31)+COUNTIFS(Table2[HomeTeam],$CV$30, Table2[ActualAwayScore],CX$31, Table2[ActualHomeScore],$CW35)</f>
        <v>0</v>
      </c>
      <c r="CY35" s="14">
        <f>COUNTIFS(Table2[AwayTeam],"CGY", Table2[ActualAwayScore],$CW35, Table2[ActualHomeScore],CY$31)+COUNTIFS(Table2[HomeTeam],"CGY", Table2[ActualAwayScore],CY$31, Table2[ActualHomeScore],$CW35)</f>
        <v>0</v>
      </c>
      <c r="CZ35" s="14">
        <f>COUNTIFS(Table2[AwayTeam],$CV$30, Table2[ActualAwayScore],$CW35, Table2[ActualHomeScore],CZ$31)+COUNTIFS(Table2[HomeTeam],$CV$30, Table2[ActualAwayScore],CZ$31, Table2[ActualHomeScore],$CW35)</f>
        <v>0</v>
      </c>
      <c r="DA35" s="124"/>
      <c r="DB35" s="14">
        <f>(COUNTIFS(Table2[AwayTeam],$CV$30, Table2[ActualAwayScore],$CW35, Table2[ActualHomeScore],DB$31)+COUNTIFS(Table2[HomeTeam],$CV$30, Table2[ActualAwayScore],DB$31, Table2[ActualHomeScore],$CW35))*-1</f>
        <v>0</v>
      </c>
      <c r="DC35" s="14">
        <f>(COUNTIFS(Table2[AwayTeam],$CV$30, Table2[ActualAwayScore],$CW35, Table2[ActualHomeScore],DC$31)+COUNTIFS(Table2[HomeTeam],$CV$30, Table2[ActualAwayScore],DC$31, Table2[ActualHomeScore],$CW35))*-1</f>
        <v>0</v>
      </c>
      <c r="DD35" s="14">
        <f>(COUNTIFS(Table2[AwayTeam],$CV$30, Table2[ActualAwayScore],$CW35, Table2[ActualHomeScore],DD$31)+COUNTIFS(Table2[HomeTeam],$CV$30, Table2[ActualAwayScore],DD$31, Table2[ActualHomeScore],$CW35))*-1</f>
        <v>0</v>
      </c>
      <c r="DE35" s="14">
        <f>(COUNTIFS(Table2[AwayTeam],$CV$30, Table2[ActualAwayScore],$CW35, Table2[ActualHomeScore],DE$31)+COUNTIFS(Table2[HomeTeam],$CV$30, Table2[ActualAwayScore],DE$31, Table2[ActualHomeScore],$CW35))*-1</f>
        <v>0</v>
      </c>
      <c r="DF35" s="14">
        <f>(COUNTIFS(Table2[AwayTeam],$CV$30, Table2[ActualAwayScore],$CW35, Table2[ActualHomeScore],DF$31)+COUNTIFS(Table2[HomeTeam],$CV$30, Table2[ActualAwayScore],DF$31, Table2[ActualHomeScore],$CW35))*-1</f>
        <v>0</v>
      </c>
      <c r="DG35" s="14">
        <f>(COUNTIFS(Table2[AwayTeam],$CV$30, Table2[ActualAwayScore],$CW35, Table2[ActualHomeScore],DG$31)+COUNTIFS(Table2[HomeTeam],$CV$30, Table2[ActualAwayScore],DG$31, Table2[ActualHomeScore],$CW35))*-1</f>
        <v>0</v>
      </c>
      <c r="DH35" s="125">
        <f>(COUNTIFS(Table2[AwayTeam],$CV$30, Table2[ActualAwayScore],$CW35, Table2[ActualHomeScore],DH$31)+COUNTIFS(Table2[HomeTeam],$CV$30, Table2[ActualAwayScore],DH$31, Table2[ActualHomeScore],$CW35))*-1</f>
        <v>0</v>
      </c>
      <c r="DI35" s="14"/>
      <c r="DJ35" s="126"/>
      <c r="DK35" s="125">
        <v>3</v>
      </c>
      <c r="DL35" s="14">
        <f>COUNTIFS(Table2[[ActualHomeScore]:[ActualHomeScore]],$DK35, Table2[[ActualAwayScore]:[ActualAwayScore]],DL$31)</f>
        <v>1</v>
      </c>
      <c r="DM35" s="14">
        <f>COUNTIFS(Table2[[ActualHomeScore]:[ActualHomeScore]],$DK35, Table2[[ActualAwayScore]:[ActualAwayScore]],DM$31)</f>
        <v>7</v>
      </c>
      <c r="DN35" s="14">
        <f>COUNTIFS(Table2[[ActualHomeScore]:[ActualHomeScore]],$DK35, Table2[[ActualAwayScore]:[ActualAwayScore]],DN$31)</f>
        <v>6</v>
      </c>
      <c r="DO35" s="127"/>
      <c r="DP35" s="14">
        <f>COUNTIFS(Table2[[ActualHomeScore]:[ActualHomeScore]],$DK35, Table2[[ActualAwayScore]:[ActualAwayScore]],DP$31)</f>
        <v>8</v>
      </c>
      <c r="DQ35" s="14">
        <f>COUNTIFS(Table2[[ActualHomeScore]:[ActualHomeScore]],$DK35, Table2[[ActualAwayScore]:[ActualAwayScore]],DQ$31)</f>
        <v>2</v>
      </c>
      <c r="DR35" s="14">
        <f>COUNTIFS(Table2[[ActualHomeScore]:[ActualHomeScore]],$DK35, Table2[[ActualAwayScore]:[ActualAwayScore]],DR$31)</f>
        <v>0</v>
      </c>
      <c r="DS35" s="14">
        <f>COUNTIFS(Table2[[ActualHomeScore]:[ActualHomeScore]],$DK35, Table2[[ActualAwayScore]:[ActualAwayScore]],DS$31)</f>
        <v>1</v>
      </c>
      <c r="DT35" s="14">
        <f>COUNTIFS(Table2[[ActualHomeScore]:[ActualHomeScore]],$DK35, Table2[[ActualAwayScore]:[ActualAwayScore]],DT$31)</f>
        <v>1</v>
      </c>
      <c r="DU35" s="14">
        <f>COUNTIFS(Table2[[ActualHomeScore]:[ActualHomeScore]],$DK35, Table2[[ActualAwayScore]:[ActualAwayScore]],DU$31)</f>
        <v>0</v>
      </c>
      <c r="DV35" s="14">
        <f>COUNTIFS(Table2[[ActualHomeScore]:[ActualHomeScore]],$DK35, Table2[[ActualAwayScore]:[ActualAwayScore]],DV$31)</f>
        <v>0</v>
      </c>
    </row>
    <row r="36" spans="1:126" x14ac:dyDescent="0.25">
      <c r="A36" t="s">
        <v>467</v>
      </c>
      <c r="D36">
        <f>AVERAGE(D$2:D$33)</f>
        <v>4.9375</v>
      </c>
      <c r="E36">
        <f t="shared" ref="E36:CA36" si="26">AVERAGE(E$2:E$33)</f>
        <v>0.73121279761904767</v>
      </c>
      <c r="F36">
        <f t="shared" si="26"/>
        <v>3.34375</v>
      </c>
      <c r="G36">
        <f t="shared" si="26"/>
        <v>37.65625</v>
      </c>
      <c r="H36">
        <f t="shared" si="26"/>
        <v>3.34375</v>
      </c>
      <c r="I36">
        <f t="shared" si="26"/>
        <v>37.65625</v>
      </c>
      <c r="J36">
        <f t="shared" si="26"/>
        <v>6.6875</v>
      </c>
      <c r="K36">
        <f t="shared" si="26"/>
        <v>75.3125</v>
      </c>
      <c r="L36">
        <f t="shared" si="26"/>
        <v>1.625</v>
      </c>
      <c r="M36">
        <f t="shared" si="26"/>
        <v>1.28125</v>
      </c>
      <c r="N36">
        <f t="shared" si="26"/>
        <v>0.21875</v>
      </c>
      <c r="O36">
        <f t="shared" si="26"/>
        <v>0.125</v>
      </c>
      <c r="P36">
        <f t="shared" si="26"/>
        <v>1.71875</v>
      </c>
      <c r="Q36">
        <f t="shared" si="26"/>
        <v>1.3125</v>
      </c>
      <c r="R36">
        <f t="shared" si="26"/>
        <v>0.34375</v>
      </c>
      <c r="S36">
        <f t="shared" si="26"/>
        <v>6.25E-2</v>
      </c>
      <c r="T36">
        <f t="shared" si="26"/>
        <v>1.71875</v>
      </c>
      <c r="U36">
        <f t="shared" si="26"/>
        <v>1.3125</v>
      </c>
      <c r="V36">
        <f t="shared" si="26"/>
        <v>0.34375</v>
      </c>
      <c r="W36">
        <f t="shared" si="26"/>
        <v>6.25E-2</v>
      </c>
      <c r="X36">
        <f t="shared" si="26"/>
        <v>1.625</v>
      </c>
      <c r="Y36">
        <f t="shared" si="26"/>
        <v>1.28125</v>
      </c>
      <c r="Z36">
        <f t="shared" si="26"/>
        <v>0.21875</v>
      </c>
      <c r="AA36">
        <f t="shared" si="26"/>
        <v>0.125</v>
      </c>
      <c r="AC36">
        <f t="shared" si="26"/>
        <v>3.34375</v>
      </c>
      <c r="AD36">
        <f t="shared" si="26"/>
        <v>3.34375</v>
      </c>
      <c r="AE36">
        <f t="shared" si="26"/>
        <v>2.59375</v>
      </c>
      <c r="AF36">
        <f t="shared" si="26"/>
        <v>2.59375</v>
      </c>
      <c r="AG36">
        <f t="shared" si="26"/>
        <v>0.5625</v>
      </c>
      <c r="AH36">
        <f t="shared" si="26"/>
        <v>0.5625</v>
      </c>
      <c r="AI36">
        <f t="shared" si="26"/>
        <v>0.1875</v>
      </c>
      <c r="AJ36">
        <f t="shared" si="26"/>
        <v>0.1875</v>
      </c>
      <c r="AO36">
        <f t="shared" si="26"/>
        <v>7.4375</v>
      </c>
      <c r="AP36">
        <f t="shared" si="26"/>
        <v>10.03125</v>
      </c>
      <c r="AQ36">
        <f t="shared" si="26"/>
        <v>0.55850074404761907</v>
      </c>
      <c r="AR36">
        <f t="shared" si="26"/>
        <v>0.50285218253968267</v>
      </c>
      <c r="AS36">
        <f t="shared" si="26"/>
        <v>158.0625</v>
      </c>
      <c r="AT36">
        <f t="shared" si="26"/>
        <v>235.96875</v>
      </c>
      <c r="AU36">
        <f t="shared" si="26"/>
        <v>91.594122023809533</v>
      </c>
      <c r="AV36">
        <f t="shared" si="26"/>
        <v>123.70163690476193</v>
      </c>
      <c r="AX36">
        <f t="shared" si="26"/>
        <v>0.1875</v>
      </c>
      <c r="AY36">
        <f t="shared" si="26"/>
        <v>10.0625</v>
      </c>
      <c r="AZ36">
        <f t="shared" si="26"/>
        <v>10.125</v>
      </c>
      <c r="BA36">
        <f t="shared" si="26"/>
        <v>-6.25E-2</v>
      </c>
      <c r="BB36">
        <f t="shared" si="26"/>
        <v>3.125E-2</v>
      </c>
      <c r="BC36">
        <f t="shared" si="26"/>
        <v>10.125</v>
      </c>
      <c r="BD36">
        <f t="shared" si="26"/>
        <v>10.0625</v>
      </c>
      <c r="BE36">
        <f t="shared" si="26"/>
        <v>6.25E-2</v>
      </c>
      <c r="BF36">
        <f t="shared" si="26"/>
        <v>20.1875</v>
      </c>
      <c r="BG36">
        <f t="shared" si="26"/>
        <v>20.1875</v>
      </c>
      <c r="BH36">
        <f t="shared" si="26"/>
        <v>0</v>
      </c>
      <c r="BI36">
        <f t="shared" si="26"/>
        <v>3.0370163690476191</v>
      </c>
      <c r="BJ36">
        <f t="shared" si="26"/>
        <v>3.0290178571428568</v>
      </c>
      <c r="BK36">
        <f t="shared" si="26"/>
        <v>7.9985119047619457E-3</v>
      </c>
      <c r="BL36" t="e">
        <f t="shared" si="26"/>
        <v>#DIV/0!</v>
      </c>
      <c r="BM36" t="e">
        <f t="shared" si="26"/>
        <v>#DIV/0!</v>
      </c>
      <c r="BN36">
        <f t="shared" si="26"/>
        <v>0.56979166666666681</v>
      </c>
      <c r="BO36">
        <f t="shared" si="26"/>
        <v>0.54609374999999993</v>
      </c>
      <c r="BP36">
        <f t="shared" si="26"/>
        <v>7.7218749999999989</v>
      </c>
      <c r="BQ36">
        <f t="shared" si="26"/>
        <v>75.013148605796474</v>
      </c>
      <c r="BR36">
        <f t="shared" si="26"/>
        <v>6.3718750000000002</v>
      </c>
      <c r="BS36">
        <f t="shared" si="26"/>
        <v>0.95819382440476197</v>
      </c>
      <c r="BT36">
        <f t="shared" si="26"/>
        <v>1.40625</v>
      </c>
      <c r="BU36">
        <f t="shared" si="26"/>
        <v>1.9375</v>
      </c>
      <c r="BV36">
        <f t="shared" si="26"/>
        <v>3.34375</v>
      </c>
      <c r="BW36">
        <f t="shared" si="26"/>
        <v>1.9375</v>
      </c>
      <c r="BX36">
        <f t="shared" si="26"/>
        <v>1.40625</v>
      </c>
      <c r="BY36">
        <f t="shared" si="26"/>
        <v>3.34375</v>
      </c>
      <c r="BZ36">
        <f t="shared" si="26"/>
        <v>0.49925595238095233</v>
      </c>
      <c r="CA36" t="e">
        <f t="shared" si="26"/>
        <v>#DIV/0!</v>
      </c>
      <c r="CR36" t="str">
        <v/>
      </c>
      <c r="CV36" s="85"/>
      <c r="CW36" s="57">
        <v>4</v>
      </c>
      <c r="CX36" s="14">
        <f>COUNTIFS(Table2[AwayTeam],$CV$30, Table2[ActualAwayScore],$CW36, Table2[ActualHomeScore],CX$31)+COUNTIFS(Table2[HomeTeam],$CV$30, Table2[ActualAwayScore],CX$31, Table2[ActualHomeScore],$CW36)</f>
        <v>0</v>
      </c>
      <c r="CY36" s="14">
        <f>COUNTIFS(Table2[AwayTeam],"CGY", Table2[ActualAwayScore],$CW36, Table2[ActualHomeScore],CY$31)+COUNTIFS(Table2[HomeTeam],"CGY", Table2[ActualAwayScore],CY$31, Table2[ActualHomeScore],$CW36)</f>
        <v>0</v>
      </c>
      <c r="CZ36" s="14">
        <f>COUNTIFS(Table2[AwayTeam],$CV$30, Table2[ActualAwayScore],$CW36, Table2[ActualHomeScore],CZ$31)+COUNTIFS(Table2[HomeTeam],$CV$30, Table2[ActualAwayScore],CZ$31, Table2[ActualHomeScore],$CW36)</f>
        <v>0</v>
      </c>
      <c r="DA36" s="14">
        <f>COUNTIFS(Table2[AwayTeam],$CV$30, Table2[ActualAwayScore],$CW36, Table2[ActualHomeScore],DA$31)+COUNTIFS(Table2[HomeTeam],$CV$30, Table2[ActualAwayScore],DA$31, Table2[ActualHomeScore],$CW36)</f>
        <v>1</v>
      </c>
      <c r="DB36" s="124"/>
      <c r="DC36" s="14">
        <f>(COUNTIFS(Table2[AwayTeam],$CV$30, Table2[ActualAwayScore],$CW36, Table2[ActualHomeScore],DC$31)+COUNTIFS(Table2[HomeTeam],$CV$30, Table2[ActualAwayScore],DC$31, Table2[ActualHomeScore],$CW36))*-1</f>
        <v>0</v>
      </c>
      <c r="DD36" s="14">
        <f>(COUNTIFS(Table2[AwayTeam],$CV$30, Table2[ActualAwayScore],$CW36, Table2[ActualHomeScore],DD$31)+COUNTIFS(Table2[HomeTeam],$CV$30, Table2[ActualAwayScore],DD$31, Table2[ActualHomeScore],$CW36))*-1</f>
        <v>0</v>
      </c>
      <c r="DE36" s="14">
        <f>(COUNTIFS(Table2[AwayTeam],$CV$30, Table2[ActualAwayScore],$CW36, Table2[ActualHomeScore],DE$31)+COUNTIFS(Table2[HomeTeam],$CV$30, Table2[ActualAwayScore],DE$31, Table2[ActualHomeScore],$CW36))*-1</f>
        <v>0</v>
      </c>
      <c r="DF36" s="14">
        <f>(COUNTIFS(Table2[AwayTeam],$CV$30, Table2[ActualAwayScore],$CW36, Table2[ActualHomeScore],DF$31)+COUNTIFS(Table2[HomeTeam],$CV$30, Table2[ActualAwayScore],DF$31, Table2[ActualHomeScore],$CW36))*-1</f>
        <v>0</v>
      </c>
      <c r="DG36" s="14">
        <f>(COUNTIFS(Table2[AwayTeam],$CV$30, Table2[ActualAwayScore],$CW36, Table2[ActualHomeScore],DG$31)+COUNTIFS(Table2[HomeTeam],$CV$30, Table2[ActualAwayScore],DG$31, Table2[ActualHomeScore],$CW36))*-1</f>
        <v>0</v>
      </c>
      <c r="DH36" s="125">
        <f>(COUNTIFS(Table2[AwayTeam],$CV$30, Table2[ActualAwayScore],$CW36, Table2[ActualHomeScore],DH$31)+COUNTIFS(Table2[HomeTeam],$CV$30, Table2[ActualAwayScore],DH$31, Table2[ActualHomeScore],$CW36))*-1</f>
        <v>0</v>
      </c>
      <c r="DI36" s="14"/>
      <c r="DJ36" s="126"/>
      <c r="DK36" s="125">
        <v>4</v>
      </c>
      <c r="DL36" s="14">
        <f>COUNTIFS(Table2[[ActualHomeScore]:[ActualHomeScore]],$DK36, Table2[[ActualAwayScore]:[ActualAwayScore]],DL$31)</f>
        <v>0</v>
      </c>
      <c r="DM36" s="14">
        <f>COUNTIFS(Table2[[ActualHomeScore]:[ActualHomeScore]],$DK36, Table2[[ActualAwayScore]:[ActualAwayScore]],DM$31)</f>
        <v>5</v>
      </c>
      <c r="DN36" s="14">
        <f>COUNTIFS(Table2[[ActualHomeScore]:[ActualHomeScore]],$DK36, Table2[[ActualAwayScore]:[ActualAwayScore]],DN$31)</f>
        <v>3</v>
      </c>
      <c r="DO36" s="14">
        <f>COUNTIFS(Table2[[ActualHomeScore]:[ActualHomeScore]],$DK36, Table2[[ActualAwayScore]:[ActualAwayScore]],DO$31)</f>
        <v>8</v>
      </c>
      <c r="DP36" s="127"/>
      <c r="DQ36" s="14">
        <f>COUNTIFS(Table2[[ActualHomeScore]:[ActualHomeScore]],$DK36, Table2[[ActualAwayScore]:[ActualAwayScore]],DQ$31)</f>
        <v>4</v>
      </c>
      <c r="DR36" s="14">
        <f>COUNTIFS(Table2[[ActualHomeScore]:[ActualHomeScore]],$DK36, Table2[[ActualAwayScore]:[ActualAwayScore]],DR$31)</f>
        <v>0</v>
      </c>
      <c r="DS36" s="14">
        <f>COUNTIFS(Table2[[ActualHomeScore]:[ActualHomeScore]],$DK36, Table2[[ActualAwayScore]:[ActualAwayScore]],DS$31)</f>
        <v>0</v>
      </c>
      <c r="DT36" s="14">
        <f>COUNTIFS(Table2[[ActualHomeScore]:[ActualHomeScore]],$DK36, Table2[[ActualAwayScore]:[ActualAwayScore]],DT$31)</f>
        <v>0</v>
      </c>
      <c r="DU36" s="14">
        <f>COUNTIFS(Table2[[ActualHomeScore]:[ActualHomeScore]],$DK36, Table2[[ActualAwayScore]:[ActualAwayScore]],DU$31)</f>
        <v>0</v>
      </c>
      <c r="DV36" s="14">
        <f>COUNTIFS(Table2[[ActualHomeScore]:[ActualHomeScore]],$DK36, Table2[[ActualAwayScore]:[ActualAwayScore]],DV$31)</f>
        <v>0</v>
      </c>
    </row>
    <row r="37" spans="1:126" x14ac:dyDescent="0.25">
      <c r="A37" t="s">
        <v>468</v>
      </c>
      <c r="D37">
        <f>_xlfn.STDEV.P(D$2:D$33)</f>
        <v>1.6381678027601445</v>
      </c>
      <c r="E37">
        <f t="shared" ref="E37:CA37" si="27">_xlfn.STDEV.P(E$2:E$33)</f>
        <v>0.21833511319326121</v>
      </c>
      <c r="F37">
        <f t="shared" si="27"/>
        <v>1.1349387373334299</v>
      </c>
      <c r="G37">
        <f t="shared" si="27"/>
        <v>1.1349387373334299</v>
      </c>
      <c r="H37">
        <f t="shared" si="27"/>
        <v>1.0188650241813191</v>
      </c>
      <c r="I37">
        <f t="shared" si="27"/>
        <v>1.0188650241813191</v>
      </c>
      <c r="J37">
        <f t="shared" si="27"/>
        <v>0.6343057228182637</v>
      </c>
      <c r="K37">
        <f t="shared" si="27"/>
        <v>0.6343057228182637</v>
      </c>
      <c r="L37">
        <f t="shared" si="27"/>
        <v>0.96014321848357598</v>
      </c>
      <c r="M37">
        <f t="shared" si="27"/>
        <v>1.0072975913303874</v>
      </c>
      <c r="N37">
        <f t="shared" si="27"/>
        <v>0.41339864235384227</v>
      </c>
      <c r="O37">
        <f t="shared" si="27"/>
        <v>0.33071891388307384</v>
      </c>
      <c r="P37">
        <f t="shared" si="27"/>
        <v>1.0964252995530521</v>
      </c>
      <c r="Q37">
        <f t="shared" si="27"/>
        <v>1.0135796712641785</v>
      </c>
      <c r="R37">
        <f t="shared" si="27"/>
        <v>0.53673637616617709</v>
      </c>
      <c r="S37">
        <f t="shared" si="27"/>
        <v>0.24206145913796356</v>
      </c>
      <c r="T37">
        <f t="shared" si="27"/>
        <v>1.1245658884654113</v>
      </c>
      <c r="U37">
        <f t="shared" si="27"/>
        <v>0.94991775959816649</v>
      </c>
      <c r="V37">
        <f t="shared" si="27"/>
        <v>0.53673637616617709</v>
      </c>
      <c r="W37">
        <f t="shared" si="27"/>
        <v>0.24206145913796356</v>
      </c>
      <c r="X37">
        <f t="shared" si="27"/>
        <v>1.1110243021644486</v>
      </c>
      <c r="Y37">
        <f t="shared" si="27"/>
        <v>0.97578093724974968</v>
      </c>
      <c r="Z37">
        <f t="shared" si="27"/>
        <v>0.48311327605438459</v>
      </c>
      <c r="AA37">
        <f t="shared" si="27"/>
        <v>0.33071891388307384</v>
      </c>
      <c r="AC37">
        <f t="shared" si="27"/>
        <v>1.3603624287299323</v>
      </c>
      <c r="AD37">
        <f t="shared" si="27"/>
        <v>1.4493398281631538</v>
      </c>
      <c r="AE37">
        <f t="shared" si="27"/>
        <v>1.4111027381094545</v>
      </c>
      <c r="AF37">
        <f t="shared" si="27"/>
        <v>1.3195495206698382</v>
      </c>
      <c r="AG37">
        <f t="shared" si="27"/>
        <v>0.70433922934904025</v>
      </c>
      <c r="AH37">
        <f t="shared" si="27"/>
        <v>0.65847835955329614</v>
      </c>
      <c r="AI37">
        <f t="shared" si="27"/>
        <v>0.39031237489989989</v>
      </c>
      <c r="AJ37">
        <f t="shared" si="27"/>
        <v>0.39031237489989989</v>
      </c>
      <c r="AO37">
        <f t="shared" si="27"/>
        <v>2.4866832830097203</v>
      </c>
      <c r="AP37">
        <f t="shared" si="27"/>
        <v>3.7289775324477352</v>
      </c>
      <c r="AQ37">
        <f t="shared" si="27"/>
        <v>0.18991822308164227</v>
      </c>
      <c r="AR37">
        <f t="shared" si="27"/>
        <v>0.19167178706055543</v>
      </c>
      <c r="AS37">
        <f t="shared" si="27"/>
        <v>2.6450129961873534</v>
      </c>
      <c r="AT37">
        <f t="shared" si="27"/>
        <v>4.0426196256264326</v>
      </c>
      <c r="AU37">
        <f t="shared" si="27"/>
        <v>31.146588585389324</v>
      </c>
      <c r="AV37">
        <f t="shared" si="27"/>
        <v>47.151259616896709</v>
      </c>
      <c r="AX37">
        <f t="shared" si="27"/>
        <v>0.46351240544347894</v>
      </c>
      <c r="AY37">
        <f t="shared" si="27"/>
        <v>3.7991569788572832</v>
      </c>
      <c r="AZ37">
        <f t="shared" si="27"/>
        <v>4.8460679937450317</v>
      </c>
      <c r="BA37">
        <f t="shared" si="27"/>
        <v>4.853719578838481</v>
      </c>
      <c r="BB37">
        <f t="shared" si="27"/>
        <v>0.17399263633843817</v>
      </c>
      <c r="BC37">
        <f t="shared" si="27"/>
        <v>4.6283771453934044</v>
      </c>
      <c r="BD37">
        <f t="shared" si="27"/>
        <v>3.8805403940688468</v>
      </c>
      <c r="BE37">
        <f t="shared" si="27"/>
        <v>4.49956595128908</v>
      </c>
      <c r="BF37">
        <f t="shared" si="27"/>
        <v>3.5745410544572014</v>
      </c>
      <c r="BG37">
        <f t="shared" si="27"/>
        <v>4.8569376926207317</v>
      </c>
      <c r="BH37">
        <f t="shared" si="27"/>
        <v>6.5859699361597457</v>
      </c>
      <c r="BI37">
        <f t="shared" si="27"/>
        <v>0.55596188933560586</v>
      </c>
      <c r="BJ37">
        <f t="shared" si="27"/>
        <v>0.71440777416918522</v>
      </c>
      <c r="BK37">
        <f t="shared" si="27"/>
        <v>1.0007632536825355</v>
      </c>
      <c r="BL37" t="e">
        <f t="shared" si="27"/>
        <v>#DIV/0!</v>
      </c>
      <c r="BM37" t="e">
        <f t="shared" si="27"/>
        <v>#DIV/0!</v>
      </c>
      <c r="BN37">
        <f t="shared" si="27"/>
        <v>0.29164992511475862</v>
      </c>
      <c r="BO37">
        <f t="shared" si="27"/>
        <v>0.29342464528552736</v>
      </c>
      <c r="BP37">
        <f t="shared" si="27"/>
        <v>0.79940773975176194</v>
      </c>
      <c r="BQ37">
        <f t="shared" si="27"/>
        <v>8.6064274298085159</v>
      </c>
      <c r="BR37">
        <f t="shared" si="27"/>
        <v>2.2419974875933759</v>
      </c>
      <c r="BS37">
        <f t="shared" si="27"/>
        <v>0.34543948245757011</v>
      </c>
      <c r="BT37">
        <f t="shared" si="27"/>
        <v>1.0565088440235604</v>
      </c>
      <c r="BU37">
        <f t="shared" si="27"/>
        <v>1.197327753791751</v>
      </c>
      <c r="BV37">
        <f t="shared" si="27"/>
        <v>1.7608480733726009</v>
      </c>
      <c r="BW37">
        <f t="shared" si="27"/>
        <v>1.2231491119238078</v>
      </c>
      <c r="BX37">
        <f t="shared" si="27"/>
        <v>1.3660933121496497</v>
      </c>
      <c r="BY37">
        <f t="shared" si="27"/>
        <v>1.7608480733726009</v>
      </c>
      <c r="BZ37">
        <f t="shared" si="27"/>
        <v>0.25929926085944849</v>
      </c>
      <c r="CA37" t="e">
        <f t="shared" si="27"/>
        <v>#DIV/0!</v>
      </c>
      <c r="CR37" t="str">
        <v/>
      </c>
      <c r="CV37" s="85"/>
      <c r="CW37" s="57">
        <v>5</v>
      </c>
      <c r="CX37" s="14">
        <f>COUNTIFS(Table2[AwayTeam],$CV$30, Table2[ActualAwayScore],$CW37, Table2[ActualHomeScore],CX$31)+COUNTIFS(Table2[HomeTeam],$CV$30, Table2[ActualAwayScore],CX$31, Table2[ActualHomeScore],$CW37)</f>
        <v>0</v>
      </c>
      <c r="CY37" s="14">
        <f>COUNTIFS(Table2[AwayTeam],"CGY", Table2[ActualAwayScore],$CW37, Table2[ActualHomeScore],CY$31)+COUNTIFS(Table2[HomeTeam],"CGY", Table2[ActualAwayScore],CY$31, Table2[ActualHomeScore],$CW37)</f>
        <v>0</v>
      </c>
      <c r="CZ37" s="14">
        <f>COUNTIFS(Table2[AwayTeam],$CV$30, Table2[ActualAwayScore],$CW37, Table2[ActualHomeScore],CZ$31)+COUNTIFS(Table2[HomeTeam],$CV$30, Table2[ActualAwayScore],CZ$31, Table2[ActualHomeScore],$CW37)</f>
        <v>0</v>
      </c>
      <c r="DA37" s="14">
        <f>COUNTIFS(Table2[AwayTeam],$CV$30, Table2[ActualAwayScore],$CW37, Table2[ActualHomeScore],DA$31)+COUNTIFS(Table2[HomeTeam],$CV$30, Table2[ActualAwayScore],DA$31, Table2[ActualHomeScore],$CW37)</f>
        <v>0</v>
      </c>
      <c r="DB37" s="14">
        <f>COUNTIFS(Table2[AwayTeam],$CV$30, Table2[ActualAwayScore],$CW37, Table2[ActualHomeScore],DB$31)+COUNTIFS(Table2[HomeTeam],$CV$30, Table2[ActualAwayScore],DB$31, Table2[ActualHomeScore],$CW37)</f>
        <v>0</v>
      </c>
      <c r="DC37" s="124"/>
      <c r="DD37" s="14">
        <f>(COUNTIFS(Table2[AwayTeam],$CV$30, Table2[ActualAwayScore],$CW37, Table2[ActualHomeScore],DD$31)+COUNTIFS(Table2[HomeTeam],$CV$30, Table2[ActualAwayScore],DD$31, Table2[ActualHomeScore],$CW37))*-1</f>
        <v>0</v>
      </c>
      <c r="DE37" s="14">
        <f>(COUNTIFS(Table2[AwayTeam],$CV$30, Table2[ActualAwayScore],$CW37, Table2[ActualHomeScore],DE$31)+COUNTIFS(Table2[HomeTeam],$CV$30, Table2[ActualAwayScore],DE$31, Table2[ActualHomeScore],$CW37))*-1</f>
        <v>0</v>
      </c>
      <c r="DF37" s="14">
        <f>(COUNTIFS(Table2[AwayTeam],$CV$30, Table2[ActualAwayScore],$CW37, Table2[ActualHomeScore],DF$31)+COUNTIFS(Table2[HomeTeam],$CV$30, Table2[ActualAwayScore],DF$31, Table2[ActualHomeScore],$CW37))*-1</f>
        <v>0</v>
      </c>
      <c r="DG37" s="14">
        <f>(COUNTIFS(Table2[AwayTeam],$CV$30, Table2[ActualAwayScore],$CW37, Table2[ActualHomeScore],DG$31)+COUNTIFS(Table2[HomeTeam],$CV$30, Table2[ActualAwayScore],DG$31, Table2[ActualHomeScore],$CW37))*-1</f>
        <v>0</v>
      </c>
      <c r="DH37" s="125">
        <f>(COUNTIFS(Table2[AwayTeam],$CV$30, Table2[ActualAwayScore],$CW37, Table2[ActualHomeScore],DH$31)+COUNTIFS(Table2[HomeTeam],$CV$30, Table2[ActualAwayScore],DH$31, Table2[ActualHomeScore],$CW37))*-1</f>
        <v>0</v>
      </c>
      <c r="DI37" s="14"/>
      <c r="DJ37" s="126"/>
      <c r="DK37" s="125">
        <v>5</v>
      </c>
      <c r="DL37" s="14">
        <f>COUNTIFS(Table2[[ActualHomeScore]:[ActualHomeScore]],$DK37, Table2[[ActualAwayScore]:[ActualAwayScore]],DL$31)</f>
        <v>0</v>
      </c>
      <c r="DM37" s="14">
        <f>COUNTIFS(Table2[[ActualHomeScore]:[ActualHomeScore]],$DK37, Table2[[ActualAwayScore]:[ActualAwayScore]],DM$31)</f>
        <v>3</v>
      </c>
      <c r="DN37" s="14">
        <f>COUNTIFS(Table2[[ActualHomeScore]:[ActualHomeScore]],$DK37, Table2[[ActualAwayScore]:[ActualAwayScore]],DN$31)</f>
        <v>4</v>
      </c>
      <c r="DO37" s="14">
        <f>COUNTIFS(Table2[[ActualHomeScore]:[ActualHomeScore]],$DK37, Table2[[ActualAwayScore]:[ActualAwayScore]],DO$31)</f>
        <v>1</v>
      </c>
      <c r="DP37" s="14">
        <f>COUNTIFS(Table2[[ActualHomeScore]:[ActualHomeScore]],$DK37, Table2[[ActualAwayScore]:[ActualAwayScore]],DP$31)</f>
        <v>1</v>
      </c>
      <c r="DQ37" s="127"/>
      <c r="DR37" s="14">
        <f>COUNTIFS(Table2[[ActualHomeScore]:[ActualHomeScore]],$DK37, Table2[[ActualAwayScore]:[ActualAwayScore]],DR$31)</f>
        <v>1</v>
      </c>
      <c r="DS37" s="14">
        <f>COUNTIFS(Table2[[ActualHomeScore]:[ActualHomeScore]],$DK37, Table2[[ActualAwayScore]:[ActualAwayScore]],DS$31)</f>
        <v>0</v>
      </c>
      <c r="DT37" s="14">
        <f>COUNTIFS(Table2[[ActualHomeScore]:[ActualHomeScore]],$DK37, Table2[[ActualAwayScore]:[ActualAwayScore]],DT$31)</f>
        <v>0</v>
      </c>
      <c r="DU37" s="14">
        <f>COUNTIFS(Table2[[ActualHomeScore]:[ActualHomeScore]],$DK37, Table2[[ActualAwayScore]:[ActualAwayScore]],DU$31)</f>
        <v>0</v>
      </c>
      <c r="DV37" s="14">
        <f>COUNTIFS(Table2[[ActualHomeScore]:[ActualHomeScore]],$DK37, Table2[[ActualAwayScore]:[ActualAwayScore]],DV$31)</f>
        <v>0</v>
      </c>
    </row>
    <row r="38" spans="1:126" x14ac:dyDescent="0.25">
      <c r="CR38" t="str">
        <v/>
      </c>
      <c r="CV38" s="85"/>
      <c r="CW38" s="57">
        <v>6</v>
      </c>
      <c r="CX38" s="14">
        <f>COUNTIFS(Table2[AwayTeam],$CV$30, Table2[ActualAwayScore],$CW38, Table2[ActualHomeScore],CX$31)+COUNTIFS(Table2[HomeTeam],$CV$30, Table2[ActualAwayScore],CX$31, Table2[ActualHomeScore],$CW38)</f>
        <v>0</v>
      </c>
      <c r="CY38" s="14">
        <f>COUNTIFS(Table2[AwayTeam],"CGY", Table2[ActualAwayScore],$CW38, Table2[ActualHomeScore],CY$31)+COUNTIFS(Table2[HomeTeam],"CGY", Table2[ActualAwayScore],CY$31, Table2[ActualHomeScore],$CW38)</f>
        <v>0</v>
      </c>
      <c r="CZ38" s="14">
        <f>COUNTIFS(Table2[AwayTeam],$CV$30, Table2[ActualAwayScore],$CW38, Table2[ActualHomeScore],CZ$31)+COUNTIFS(Table2[HomeTeam],$CV$30, Table2[ActualAwayScore],CZ$31, Table2[ActualHomeScore],$CW38)</f>
        <v>0</v>
      </c>
      <c r="DA38" s="14">
        <f>COUNTIFS(Table2[AwayTeam],$CV$30, Table2[ActualAwayScore],$CW38, Table2[ActualHomeScore],DA$31)+COUNTIFS(Table2[HomeTeam],$CV$30, Table2[ActualAwayScore],DA$31, Table2[ActualHomeScore],$CW38)</f>
        <v>0</v>
      </c>
      <c r="DB38" s="14">
        <f>COUNTIFS(Table2[AwayTeam],$CV$30, Table2[ActualAwayScore],$CW38, Table2[ActualHomeScore],DB$31)+COUNTIFS(Table2[HomeTeam],$CV$30, Table2[ActualAwayScore],DB$31, Table2[ActualHomeScore],$CW38)</f>
        <v>0</v>
      </c>
      <c r="DC38" s="14">
        <f>COUNTIFS(Table2[AwayTeam],$CV$30, Table2[ActualAwayScore],$CW38, Table2[ActualHomeScore],DC$31)+COUNTIFS(Table2[HomeTeam],$CV$30, Table2[ActualAwayScore],DC$31, Table2[ActualHomeScore],$CW38)</f>
        <v>0</v>
      </c>
      <c r="DD38" s="124"/>
      <c r="DE38" s="14">
        <f>(COUNTIFS(Table2[AwayTeam],$CV$30, Table2[ActualAwayScore],$CW38, Table2[ActualHomeScore],DE$31)+COUNTIFS(Table2[HomeTeam],$CV$30, Table2[ActualAwayScore],DE$31, Table2[ActualHomeScore],$CW38))*-1</f>
        <v>0</v>
      </c>
      <c r="DF38" s="14">
        <f>(COUNTIFS(Table2[AwayTeam],$CV$30, Table2[ActualAwayScore],$CW38, Table2[ActualHomeScore],DF$31)+COUNTIFS(Table2[HomeTeam],$CV$30, Table2[ActualAwayScore],DF$31, Table2[ActualHomeScore],$CW38))*-1</f>
        <v>0</v>
      </c>
      <c r="DG38" s="14">
        <f>(COUNTIFS(Table2[AwayTeam],$CV$30, Table2[ActualAwayScore],$CW38, Table2[ActualHomeScore],DG$31)+COUNTIFS(Table2[HomeTeam],$CV$30, Table2[ActualAwayScore],DG$31, Table2[ActualHomeScore],$CW38))*-1</f>
        <v>0</v>
      </c>
      <c r="DH38" s="125">
        <f>(COUNTIFS(Table2[AwayTeam],$CV$30, Table2[ActualAwayScore],$CW38, Table2[ActualHomeScore],DH$31)+COUNTIFS(Table2[HomeTeam],$CV$30, Table2[ActualAwayScore],DH$31, Table2[ActualHomeScore],$CW38))*-1</f>
        <v>0</v>
      </c>
      <c r="DI38" s="14"/>
      <c r="DJ38" s="126"/>
      <c r="DK38" s="125">
        <v>6</v>
      </c>
      <c r="DL38" s="14">
        <f>COUNTIFS(Table2[[ActualHomeScore]:[ActualHomeScore]],$DK38, Table2[[ActualAwayScore]:[ActualAwayScore]],DL$31)</f>
        <v>0</v>
      </c>
      <c r="DM38" s="14">
        <f>COUNTIFS(Table2[[ActualHomeScore]:[ActualHomeScore]],$DK38, Table2[[ActualAwayScore]:[ActualAwayScore]],DM$31)</f>
        <v>1</v>
      </c>
      <c r="DN38" s="14">
        <f>COUNTIFS(Table2[[ActualHomeScore]:[ActualHomeScore]],$DK38, Table2[[ActualAwayScore]:[ActualAwayScore]],DN$31)</f>
        <v>1</v>
      </c>
      <c r="DO38" s="14">
        <f>COUNTIFS(Table2[[ActualHomeScore]:[ActualHomeScore]],$DK38, Table2[[ActualAwayScore]:[ActualAwayScore]],DO$31)</f>
        <v>3</v>
      </c>
      <c r="DP38" s="14">
        <f>COUNTIFS(Table2[[ActualHomeScore]:[ActualHomeScore]],$DK38, Table2[[ActualAwayScore]:[ActualAwayScore]],DP$31)</f>
        <v>0</v>
      </c>
      <c r="DQ38" s="14">
        <f>COUNTIFS(Table2[[ActualHomeScore]:[ActualHomeScore]],$DK38, Table2[[ActualAwayScore]:[ActualAwayScore]],DQ$31)</f>
        <v>1</v>
      </c>
      <c r="DR38" s="127"/>
      <c r="DS38" s="14">
        <f>COUNTIFS(Table2[[ActualHomeScore]:[ActualHomeScore]],$DK38, Table2[[ActualAwayScore]:[ActualAwayScore]],DS$31)</f>
        <v>1</v>
      </c>
      <c r="DT38" s="14">
        <f>COUNTIFS(Table2[[ActualHomeScore]:[ActualHomeScore]],$DK38, Table2[[ActualAwayScore]:[ActualAwayScore]],DT$31)</f>
        <v>0</v>
      </c>
      <c r="DU38" s="14">
        <f>COUNTIFS(Table2[[ActualHomeScore]:[ActualHomeScore]],$DK38, Table2[[ActualAwayScore]:[ActualAwayScore]],DU$31)</f>
        <v>0</v>
      </c>
      <c r="DV38" s="14">
        <f>COUNTIFS(Table2[[ActualHomeScore]:[ActualHomeScore]],$DK38, Table2[[ActualAwayScore]:[ActualAwayScore]],DV$31)</f>
        <v>0</v>
      </c>
    </row>
    <row r="39" spans="1:126" x14ac:dyDescent="0.25">
      <c r="CR39" t="str">
        <v>CGY</v>
      </c>
      <c r="CV39" s="85"/>
      <c r="CW39" s="57">
        <v>7</v>
      </c>
      <c r="CX39" s="14">
        <f>COUNTIFS(Table2[AwayTeam],$CV$30, Table2[ActualAwayScore],$CW39, Table2[ActualHomeScore],CX$31)+COUNTIFS(Table2[HomeTeam],$CV$30, Table2[ActualAwayScore],CX$31, Table2[ActualHomeScore],$CW39)</f>
        <v>0</v>
      </c>
      <c r="CY39" s="14">
        <f>COUNTIFS(Table2[AwayTeam],"CGY", Table2[ActualAwayScore],$CW39, Table2[ActualHomeScore],CY$31)+COUNTIFS(Table2[HomeTeam],"CGY", Table2[ActualAwayScore],CY$31, Table2[ActualHomeScore],$CW39)</f>
        <v>0</v>
      </c>
      <c r="CZ39" s="14">
        <f>COUNTIFS(Table2[AwayTeam],$CV$30, Table2[ActualAwayScore],$CW39, Table2[ActualHomeScore],CZ$31)+COUNTIFS(Table2[HomeTeam],$CV$30, Table2[ActualAwayScore],CZ$31, Table2[ActualHomeScore],$CW39)</f>
        <v>0</v>
      </c>
      <c r="DA39" s="14">
        <f>COUNTIFS(Table2[AwayTeam],$CV$30, Table2[ActualAwayScore],$CW39, Table2[ActualHomeScore],DA$31)+COUNTIFS(Table2[HomeTeam],$CV$30, Table2[ActualAwayScore],DA$31, Table2[ActualHomeScore],$CW39)</f>
        <v>0</v>
      </c>
      <c r="DB39" s="14">
        <f>COUNTIFS(Table2[AwayTeam],$CV$30, Table2[ActualAwayScore],$CW39, Table2[ActualHomeScore],DB$31)+COUNTIFS(Table2[HomeTeam],$CV$30, Table2[ActualAwayScore],DB$31, Table2[ActualHomeScore],$CW39)</f>
        <v>0</v>
      </c>
      <c r="DC39" s="14">
        <f>COUNTIFS(Table2[AwayTeam],$CV$30, Table2[ActualAwayScore],$CW39, Table2[ActualHomeScore],DC$31)+COUNTIFS(Table2[HomeTeam],$CV$30, Table2[ActualAwayScore],DC$31, Table2[ActualHomeScore],$CW39)</f>
        <v>0</v>
      </c>
      <c r="DD39" s="14">
        <f>COUNTIFS(Table2[AwayTeam],$CV$30, Table2[ActualAwayScore],$CW39, Table2[ActualHomeScore],DD$31)+COUNTIFS(Table2[HomeTeam],$CV$30, Table2[ActualAwayScore],DD$31, Table2[ActualHomeScore],$CW39)</f>
        <v>0</v>
      </c>
      <c r="DE39" s="124"/>
      <c r="DF39" s="14">
        <f>(COUNTIFS(Table2[AwayTeam],$CV$30, Table2[ActualAwayScore],$CW39, Table2[ActualHomeScore],DF$31)+COUNTIFS(Table2[HomeTeam],$CV$30, Table2[ActualAwayScore],DF$31, Table2[ActualHomeScore],$CW39))*-1</f>
        <v>0</v>
      </c>
      <c r="DG39" s="14">
        <f>(COUNTIFS(Table2[AwayTeam],$CV$30, Table2[ActualAwayScore],$CW39, Table2[ActualHomeScore],DG$31)+COUNTIFS(Table2[HomeTeam],$CV$30, Table2[ActualAwayScore],DG$31, Table2[ActualHomeScore],$CW39))*-1</f>
        <v>0</v>
      </c>
      <c r="DH39" s="125">
        <f>(COUNTIFS(Table2[AwayTeam],$CV$30, Table2[ActualAwayScore],$CW39, Table2[ActualHomeScore],DH$31)+COUNTIFS(Table2[HomeTeam],$CV$30, Table2[ActualAwayScore],DH$31, Table2[ActualHomeScore],$CW39))*-1</f>
        <v>0</v>
      </c>
      <c r="DI39" s="14"/>
      <c r="DJ39" s="126"/>
      <c r="DK39" s="125">
        <v>7</v>
      </c>
      <c r="DL39" s="14">
        <f>COUNTIFS(Table2[[ActualHomeScore]:[ActualHomeScore]],$DK39, Table2[[ActualAwayScore]:[ActualAwayScore]],DL$31)</f>
        <v>0</v>
      </c>
      <c r="DM39" s="14">
        <f>COUNTIFS(Table2[[ActualHomeScore]:[ActualHomeScore]],$DK39, Table2[[ActualAwayScore]:[ActualAwayScore]],DM$31)</f>
        <v>0</v>
      </c>
      <c r="DN39" s="14">
        <f>COUNTIFS(Table2[[ActualHomeScore]:[ActualHomeScore]],$DK39, Table2[[ActualAwayScore]:[ActualAwayScore]],DN$31)</f>
        <v>0</v>
      </c>
      <c r="DO39" s="14">
        <f>COUNTIFS(Table2[[ActualHomeScore]:[ActualHomeScore]],$DK39, Table2[[ActualAwayScore]:[ActualAwayScore]],DO$31)</f>
        <v>0</v>
      </c>
      <c r="DP39" s="14">
        <f>COUNTIFS(Table2[[ActualHomeScore]:[ActualHomeScore]],$DK39, Table2[[ActualAwayScore]:[ActualAwayScore]],DP$31)</f>
        <v>1</v>
      </c>
      <c r="DQ39" s="14">
        <f>COUNTIFS(Table2[[ActualHomeScore]:[ActualHomeScore]],$DK39, Table2[[ActualAwayScore]:[ActualAwayScore]],DQ$31)</f>
        <v>0</v>
      </c>
      <c r="DR39" s="14">
        <f>COUNTIFS(Table2[[ActualHomeScore]:[ActualHomeScore]],$DK39, Table2[[ActualAwayScore]:[ActualAwayScore]],DR$31)</f>
        <v>0</v>
      </c>
      <c r="DS39" s="127"/>
      <c r="DT39" s="14">
        <f>COUNTIFS(Table2[[ActualHomeScore]:[ActualHomeScore]],$DK39, Table2[[ActualAwayScore]:[ActualAwayScore]],DT$31)</f>
        <v>0</v>
      </c>
      <c r="DU39" s="14">
        <f>COUNTIFS(Table2[[ActualHomeScore]:[ActualHomeScore]],$DK39, Table2[[ActualAwayScore]:[ActualAwayScore]],DU$31)</f>
        <v>0</v>
      </c>
      <c r="DV39" s="14">
        <f>COUNTIFS(Table2[[ActualHomeScore]:[ActualHomeScore]],$DK39, Table2[[ActualAwayScore]:[ActualAwayScore]],DV$31)</f>
        <v>0</v>
      </c>
    </row>
    <row r="40" spans="1:126" x14ac:dyDescent="0.25">
      <c r="CR40" t="str">
        <v/>
      </c>
      <c r="CV40" s="85"/>
      <c r="CW40" s="57">
        <v>8</v>
      </c>
      <c r="CX40" s="14">
        <f>COUNTIFS(Table2[AwayTeam],$CV$30, Table2[ActualAwayScore],$CW40, Table2[ActualHomeScore],CX$31)+COUNTIFS(Table2[HomeTeam],$CV$30, Table2[ActualAwayScore],CX$31, Table2[ActualHomeScore],$CW40)</f>
        <v>0</v>
      </c>
      <c r="CY40" s="14">
        <f>COUNTIFS(Table2[AwayTeam],"CGY", Table2[ActualAwayScore],$CW40, Table2[ActualHomeScore],CY$31)+COUNTIFS(Table2[HomeTeam],"CGY", Table2[ActualAwayScore],CY$31, Table2[ActualHomeScore],$CW40)</f>
        <v>0</v>
      </c>
      <c r="CZ40" s="14">
        <f>COUNTIFS(Table2[AwayTeam],$CV$30, Table2[ActualAwayScore],$CW40, Table2[ActualHomeScore],CZ$31)+COUNTIFS(Table2[HomeTeam],$CV$30, Table2[ActualAwayScore],CZ$31, Table2[ActualHomeScore],$CW40)</f>
        <v>0</v>
      </c>
      <c r="DA40" s="14">
        <f>COUNTIFS(Table2[AwayTeam],$CV$30, Table2[ActualAwayScore],$CW40, Table2[ActualHomeScore],DA$31)+COUNTIFS(Table2[HomeTeam],$CV$30, Table2[ActualAwayScore],DA$31, Table2[ActualHomeScore],$CW40)</f>
        <v>0</v>
      </c>
      <c r="DB40" s="14">
        <f>COUNTIFS(Table2[AwayTeam],$CV$30, Table2[ActualAwayScore],$CW40, Table2[ActualHomeScore],DB$31)+COUNTIFS(Table2[HomeTeam],$CV$30, Table2[ActualAwayScore],DB$31, Table2[ActualHomeScore],$CW40)</f>
        <v>0</v>
      </c>
      <c r="DC40" s="14">
        <f>COUNTIFS(Table2[AwayTeam],$CV$30, Table2[ActualAwayScore],$CW40, Table2[ActualHomeScore],DC$31)+COUNTIFS(Table2[HomeTeam],$CV$30, Table2[ActualAwayScore],DC$31, Table2[ActualHomeScore],$CW40)</f>
        <v>0</v>
      </c>
      <c r="DD40" s="14">
        <f>COUNTIFS(Table2[AwayTeam],$CV$30, Table2[ActualAwayScore],$CW40, Table2[ActualHomeScore],DD$31)+COUNTIFS(Table2[HomeTeam],$CV$30, Table2[ActualAwayScore],DD$31, Table2[ActualHomeScore],$CW40)</f>
        <v>0</v>
      </c>
      <c r="DE40" s="14">
        <f>COUNTIFS(Table2[AwayTeam],$CV$30, Table2[ActualAwayScore],$CW40, Table2[ActualHomeScore],DE$31)+COUNTIFS(Table2[HomeTeam],$CV$30, Table2[ActualAwayScore],DE$31, Table2[ActualHomeScore],$CW40)</f>
        <v>0</v>
      </c>
      <c r="DF40" s="124"/>
      <c r="DG40" s="14">
        <f>(COUNTIFS(Table2[AwayTeam],$CV$30, Table2[ActualAwayScore],$CW40, Table2[ActualHomeScore],DG$31)+COUNTIFS(Table2[HomeTeam],$CV$30, Table2[ActualAwayScore],DG$31, Table2[ActualHomeScore],$CW40))*-1</f>
        <v>0</v>
      </c>
      <c r="DH40" s="125">
        <f>(COUNTIFS(Table2[AwayTeam],$CV$30, Table2[ActualAwayScore],$CW40, Table2[ActualHomeScore],DH$31)+COUNTIFS(Table2[HomeTeam],$CV$30, Table2[ActualAwayScore],DH$31, Table2[ActualHomeScore],$CW40))*-1</f>
        <v>0</v>
      </c>
      <c r="DI40" s="14"/>
      <c r="DJ40" s="126"/>
      <c r="DK40" s="125">
        <v>8</v>
      </c>
      <c r="DL40" s="14">
        <f>COUNTIFS(Table2[[ActualHomeScore]:[ActualHomeScore]],$DK40, Table2[[ActualAwayScore]:[ActualAwayScore]],DL$31)</f>
        <v>0</v>
      </c>
      <c r="DM40" s="14">
        <f>COUNTIFS(Table2[[ActualHomeScore]:[ActualHomeScore]],$DK40, Table2[[ActualAwayScore]:[ActualAwayScore]],DM$31)</f>
        <v>0</v>
      </c>
      <c r="DN40" s="14">
        <f>COUNTIFS(Table2[[ActualHomeScore]:[ActualHomeScore]],$DK40, Table2[[ActualAwayScore]:[ActualAwayScore]],DN$31)</f>
        <v>0</v>
      </c>
      <c r="DO40" s="14">
        <f>COUNTIFS(Table2[[ActualHomeScore]:[ActualHomeScore]],$DK40, Table2[[ActualAwayScore]:[ActualAwayScore]],DO$31)</f>
        <v>0</v>
      </c>
      <c r="DP40" s="14">
        <f>COUNTIFS(Table2[[ActualHomeScore]:[ActualHomeScore]],$DK40, Table2[[ActualAwayScore]:[ActualAwayScore]],DP$31)</f>
        <v>1</v>
      </c>
      <c r="DQ40" s="14">
        <f>COUNTIFS(Table2[[ActualHomeScore]:[ActualHomeScore]],$DK40, Table2[[ActualAwayScore]:[ActualAwayScore]],DQ$31)</f>
        <v>0</v>
      </c>
      <c r="DR40" s="14">
        <f>COUNTIFS(Table2[[ActualHomeScore]:[ActualHomeScore]],$DK40, Table2[[ActualAwayScore]:[ActualAwayScore]],DR$31)</f>
        <v>0</v>
      </c>
      <c r="DS40" s="14">
        <f>COUNTIFS(Table2[[ActualHomeScore]:[ActualHomeScore]],$DK40, Table2[[ActualAwayScore]:[ActualAwayScore]],DS$31)</f>
        <v>0</v>
      </c>
      <c r="DT40" s="127"/>
      <c r="DU40" s="14">
        <f>COUNTIFS(Table2[[ActualHomeScore]:[ActualHomeScore]],$DK40, Table2[[ActualAwayScore]:[ActualAwayScore]],DU$31)</f>
        <v>0</v>
      </c>
      <c r="DV40" s="14">
        <f>COUNTIFS(Table2[[ActualHomeScore]:[ActualHomeScore]],$DK40, Table2[[ActualAwayScore]:[ActualAwayScore]],DV$31)</f>
        <v>0</v>
      </c>
    </row>
    <row r="41" spans="1:126" x14ac:dyDescent="0.25">
      <c r="CR41" t="str">
        <v/>
      </c>
      <c r="CV41" s="85"/>
      <c r="CW41" s="57">
        <v>9</v>
      </c>
      <c r="CX41" s="14">
        <f>COUNTIFS(Table2[AwayTeam],$CV$30, Table2[ActualAwayScore],$CW41, Table2[ActualHomeScore],CX$31)+COUNTIFS(Table2[HomeTeam],$CV$30, Table2[ActualAwayScore],CX$31, Table2[ActualHomeScore],$CW41)</f>
        <v>0</v>
      </c>
      <c r="CY41" s="14">
        <f>COUNTIFS(Table2[AwayTeam],"CGY", Table2[ActualAwayScore],$CW41, Table2[ActualHomeScore],CY$31)+COUNTIFS(Table2[HomeTeam],"CGY", Table2[ActualAwayScore],CY$31, Table2[ActualHomeScore],$CW41)</f>
        <v>0</v>
      </c>
      <c r="CZ41" s="14">
        <f>COUNTIFS(Table2[AwayTeam],$CV$30, Table2[ActualAwayScore],$CW41, Table2[ActualHomeScore],CZ$31)+COUNTIFS(Table2[HomeTeam],$CV$30, Table2[ActualAwayScore],CZ$31, Table2[ActualHomeScore],$CW41)</f>
        <v>0</v>
      </c>
      <c r="DA41" s="14">
        <f>COUNTIFS(Table2[AwayTeam],$CV$30, Table2[ActualAwayScore],$CW41, Table2[ActualHomeScore],DA$31)+COUNTIFS(Table2[HomeTeam],$CV$30, Table2[ActualAwayScore],DA$31, Table2[ActualHomeScore],$CW41)</f>
        <v>0</v>
      </c>
      <c r="DB41" s="14">
        <f>COUNTIFS(Table2[AwayTeam],$CV$30, Table2[ActualAwayScore],$CW41, Table2[ActualHomeScore],DB$31)+COUNTIFS(Table2[HomeTeam],$CV$30, Table2[ActualAwayScore],DB$31, Table2[ActualHomeScore],$CW41)</f>
        <v>0</v>
      </c>
      <c r="DC41" s="14">
        <f>COUNTIFS(Table2[AwayTeam],$CV$30, Table2[ActualAwayScore],$CW41, Table2[ActualHomeScore],DC$31)+COUNTIFS(Table2[HomeTeam],$CV$30, Table2[ActualAwayScore],DC$31, Table2[ActualHomeScore],$CW41)</f>
        <v>0</v>
      </c>
      <c r="DD41" s="14">
        <f>COUNTIFS(Table2[AwayTeam],$CV$30, Table2[ActualAwayScore],$CW41, Table2[ActualHomeScore],DD$31)+COUNTIFS(Table2[HomeTeam],$CV$30, Table2[ActualAwayScore],DD$31, Table2[ActualHomeScore],$CW41)</f>
        <v>0</v>
      </c>
      <c r="DE41" s="14">
        <f>COUNTIFS(Table2[AwayTeam],$CV$30, Table2[ActualAwayScore],$CW41, Table2[ActualHomeScore],DE$31)+COUNTIFS(Table2[HomeTeam],$CV$30, Table2[ActualAwayScore],DE$31, Table2[ActualHomeScore],$CW41)</f>
        <v>0</v>
      </c>
      <c r="DF41" s="14">
        <f>COUNTIFS(Table2[AwayTeam],$CV$30, Table2[ActualAwayScore],$CW41, Table2[ActualHomeScore],DF$31)+COUNTIFS(Table2[HomeTeam],$CV$30, Table2[ActualAwayScore],DF$31, Table2[ActualHomeScore],$CW41)</f>
        <v>0</v>
      </c>
      <c r="DG41" s="124"/>
      <c r="DH41" s="125">
        <f>(COUNTIFS(Table2[AwayTeam],$CV$30, Table2[ActualAwayScore],$CW41, Table2[ActualHomeScore],DH$31)+COUNTIFS(Table2[HomeTeam],$CV$30, Table2[ActualAwayScore],DH$31, Table2[ActualHomeScore],$CW41))*-1</f>
        <v>0</v>
      </c>
      <c r="DI41" s="14"/>
      <c r="DJ41" s="126"/>
      <c r="DK41" s="125">
        <v>9</v>
      </c>
      <c r="DL41" s="14">
        <f>COUNTIFS(Table2[[ActualHomeScore]:[ActualHomeScore]],$DK41, Table2[[ActualAwayScore]:[ActualAwayScore]],DL$31)</f>
        <v>0</v>
      </c>
      <c r="DM41" s="14">
        <f>COUNTIFS(Table2[[ActualHomeScore]:[ActualHomeScore]],$DK41, Table2[[ActualAwayScore]:[ActualAwayScore]],DM$31)</f>
        <v>0</v>
      </c>
      <c r="DN41" s="14">
        <f>COUNTIFS(Table2[[ActualHomeScore]:[ActualHomeScore]],$DK41, Table2[[ActualAwayScore]:[ActualAwayScore]],DN$31)</f>
        <v>0</v>
      </c>
      <c r="DO41" s="14">
        <f>COUNTIFS(Table2[[ActualHomeScore]:[ActualHomeScore]],$DK41, Table2[[ActualAwayScore]:[ActualAwayScore]],DO$31)</f>
        <v>0</v>
      </c>
      <c r="DP41" s="14">
        <f>COUNTIFS(Table2[[ActualHomeScore]:[ActualHomeScore]],$DK41, Table2[[ActualAwayScore]:[ActualAwayScore]],DP$31)</f>
        <v>0</v>
      </c>
      <c r="DQ41" s="14">
        <f>COUNTIFS(Table2[[ActualHomeScore]:[ActualHomeScore]],$DK41, Table2[[ActualAwayScore]:[ActualAwayScore]],DQ$31)</f>
        <v>0</v>
      </c>
      <c r="DR41" s="14">
        <f>COUNTIFS(Table2[[ActualHomeScore]:[ActualHomeScore]],$DK41, Table2[[ActualAwayScore]:[ActualAwayScore]],DR$31)</f>
        <v>0</v>
      </c>
      <c r="DS41" s="14">
        <f>COUNTIFS(Table2[[ActualHomeScore]:[ActualHomeScore]],$DK41, Table2[[ActualAwayScore]:[ActualAwayScore]],DS$31)</f>
        <v>0</v>
      </c>
      <c r="DT41" s="14">
        <f>COUNTIFS(Table2[[ActualHomeScore]:[ActualHomeScore]],$DK41, Table2[[ActualAwayScore]:[ActualAwayScore]],DT$31)</f>
        <v>0</v>
      </c>
      <c r="DU41" s="127"/>
      <c r="DV41" s="14">
        <f>COUNTIFS(Table2[[ActualHomeScore]:[ActualHomeScore]],$DK41, Table2[[ActualAwayScore]:[ActualAwayScore]],DV$31)</f>
        <v>0</v>
      </c>
    </row>
    <row r="42" spans="1:126" ht="15.75" thickBot="1" x14ac:dyDescent="0.3">
      <c r="CR42" t="str">
        <v/>
      </c>
      <c r="CV42" s="86"/>
      <c r="CW42" s="59">
        <v>10</v>
      </c>
      <c r="CX42" s="128">
        <f>COUNTIFS(Table2[AwayTeam],$CV$30, Table2[ActualAwayScore],$CW42, Table2[ActualHomeScore],CX$31)+COUNTIFS(Table2[HomeTeam],$CV$30, Table2[ActualAwayScore],CX$31, Table2[ActualHomeScore],$CW42)</f>
        <v>0</v>
      </c>
      <c r="CY42" s="128">
        <f>COUNTIFS(Table2[AwayTeam],"CGY", Table2[ActualAwayScore],$CW42, Table2[ActualHomeScore],CY$31)+COUNTIFS(Table2[HomeTeam],"CGY", Table2[ActualAwayScore],CY$31, Table2[ActualHomeScore],$CW42)</f>
        <v>0</v>
      </c>
      <c r="CZ42" s="128">
        <f>COUNTIFS(Table2[AwayTeam],$CV$30, Table2[ActualAwayScore],$CW42, Table2[ActualHomeScore],CZ$31)+COUNTIFS(Table2[HomeTeam],$CV$30, Table2[ActualAwayScore],CZ$31, Table2[ActualHomeScore],$CW42)</f>
        <v>0</v>
      </c>
      <c r="DA42" s="128">
        <f>COUNTIFS(Table2[AwayTeam],$CV$30, Table2[ActualAwayScore],$CW42, Table2[ActualHomeScore],DA$31)+COUNTIFS(Table2[HomeTeam],$CV$30, Table2[ActualAwayScore],DA$31, Table2[ActualHomeScore],$CW42)</f>
        <v>0</v>
      </c>
      <c r="DB42" s="128">
        <f>COUNTIFS(Table2[AwayTeam],$CV$30, Table2[ActualAwayScore],$CW42, Table2[ActualHomeScore],DB$31)+COUNTIFS(Table2[HomeTeam],$CV$30, Table2[ActualAwayScore],DB$31, Table2[ActualHomeScore],$CW42)</f>
        <v>0</v>
      </c>
      <c r="DC42" s="128">
        <f>COUNTIFS(Table2[AwayTeam],$CV$30, Table2[ActualAwayScore],$CW42, Table2[ActualHomeScore],DC$31)+COUNTIFS(Table2[HomeTeam],$CV$30, Table2[ActualAwayScore],DC$31, Table2[ActualHomeScore],$CW42)</f>
        <v>0</v>
      </c>
      <c r="DD42" s="128">
        <f>COUNTIFS(Table2[AwayTeam],$CV$30, Table2[ActualAwayScore],$CW42, Table2[ActualHomeScore],DD$31)+COUNTIFS(Table2[HomeTeam],$CV$30, Table2[ActualAwayScore],DD$31, Table2[ActualHomeScore],$CW42)</f>
        <v>0</v>
      </c>
      <c r="DE42" s="128">
        <f>COUNTIFS(Table2[AwayTeam],$CV$30, Table2[ActualAwayScore],$CW42, Table2[ActualHomeScore],DE$31)+COUNTIFS(Table2[HomeTeam],$CV$30, Table2[ActualAwayScore],DE$31, Table2[ActualHomeScore],$CW42)</f>
        <v>0</v>
      </c>
      <c r="DF42" s="128">
        <f>COUNTIFS(Table2[AwayTeam],$CV$30, Table2[ActualAwayScore],$CW42, Table2[ActualHomeScore],DF$31)+COUNTIFS(Table2[HomeTeam],$CV$30, Table2[ActualAwayScore],DF$31, Table2[ActualHomeScore],$CW42)</f>
        <v>0</v>
      </c>
      <c r="DG42" s="128">
        <f>COUNTIFS(Table2[AwayTeam],$CV$30, Table2[ActualAwayScore],$CW42, Table2[ActualHomeScore],DG$31)+COUNTIFS(Table2[HomeTeam],$CV$30, Table2[ActualAwayScore],DG$31, Table2[ActualHomeScore],$CW42)</f>
        <v>0</v>
      </c>
      <c r="DH42" s="129"/>
      <c r="DI42" s="14"/>
      <c r="DJ42" s="122"/>
      <c r="DK42" s="123">
        <v>10</v>
      </c>
      <c r="DL42" s="14">
        <f>COUNTIFS(Table2[[ActualHomeScore]:[ActualHomeScore]],$DK42, Table2[[ActualAwayScore]:[ActualAwayScore]],DL$31)</f>
        <v>0</v>
      </c>
      <c r="DM42" s="14">
        <f>COUNTIFS(Table2[[ActualHomeScore]:[ActualHomeScore]],$DK42, Table2[[ActualAwayScore]:[ActualAwayScore]],DM$31)</f>
        <v>0</v>
      </c>
      <c r="DN42" s="14">
        <f>COUNTIFS(Table2[[ActualHomeScore]:[ActualHomeScore]],$DK42, Table2[[ActualAwayScore]:[ActualAwayScore]],DN$31)</f>
        <v>0</v>
      </c>
      <c r="DO42" s="14">
        <f>COUNTIFS(Table2[[ActualHomeScore]:[ActualHomeScore]],$DK42, Table2[[ActualAwayScore]:[ActualAwayScore]],DO$31)</f>
        <v>0</v>
      </c>
      <c r="DP42" s="14">
        <f>COUNTIFS(Table2[[ActualHomeScore]:[ActualHomeScore]],$DK42, Table2[[ActualAwayScore]:[ActualAwayScore]],DP$31)</f>
        <v>0</v>
      </c>
      <c r="DQ42" s="14">
        <f>COUNTIFS(Table2[[ActualHomeScore]:[ActualHomeScore]],$DK42, Table2[[ActualAwayScore]:[ActualAwayScore]],DQ$31)</f>
        <v>0</v>
      </c>
      <c r="DR42" s="14">
        <f>COUNTIFS(Table2[[ActualHomeScore]:[ActualHomeScore]],$DK42, Table2[[ActualAwayScore]:[ActualAwayScore]],DR$31)</f>
        <v>0</v>
      </c>
      <c r="DS42" s="14">
        <f>COUNTIFS(Table2[[ActualHomeScore]:[ActualHomeScore]],$DK42, Table2[[ActualAwayScore]:[ActualAwayScore]],DS$31)</f>
        <v>0</v>
      </c>
      <c r="DT42" s="14">
        <f>COUNTIFS(Table2[[ActualHomeScore]:[ActualHomeScore]],$DK42, Table2[[ActualAwayScore]:[ActualAwayScore]],DT$31)</f>
        <v>0</v>
      </c>
      <c r="DU42" s="14">
        <f>COUNTIFS(Table2[[ActualHomeScore]:[ActualHomeScore]],$DK42, Table2[[ActualAwayScore]:[ActualAwayScore]],DU$31)</f>
        <v>0</v>
      </c>
      <c r="DV42" s="127"/>
    </row>
    <row r="43" spans="1:126" ht="16.5" thickTop="1" thickBot="1" x14ac:dyDescent="0.3">
      <c r="CR43" t="str">
        <v/>
      </c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</row>
    <row r="44" spans="1:126" ht="15.75" thickTop="1" x14ac:dyDescent="0.25">
      <c r="CR44" t="str">
        <v/>
      </c>
      <c r="CV44" s="82"/>
      <c r="CW44" s="84"/>
      <c r="CX44" s="130"/>
      <c r="CY44" s="130"/>
      <c r="CZ44" s="130"/>
      <c r="DA44" s="130"/>
      <c r="DB44" s="130"/>
      <c r="DC44" s="130"/>
      <c r="DD44" s="130"/>
      <c r="DE44" s="130"/>
      <c r="DF44" s="130"/>
      <c r="DG44" s="130"/>
      <c r="DH44" s="121"/>
      <c r="DI44" s="14"/>
      <c r="DJ44" s="120"/>
      <c r="DK44" s="121"/>
      <c r="DL44" s="130"/>
      <c r="DM44" s="130"/>
      <c r="DN44" s="130"/>
      <c r="DO44" s="130"/>
      <c r="DP44" s="130"/>
      <c r="DQ44" s="130"/>
      <c r="DR44" s="130"/>
      <c r="DS44" s="130"/>
      <c r="DT44" s="130"/>
      <c r="DU44" s="130"/>
      <c r="DV44" s="121"/>
    </row>
    <row r="45" spans="1:126" ht="15.75" thickBot="1" x14ac:dyDescent="0.3">
      <c r="CR45" t="str">
        <v/>
      </c>
      <c r="CV45" s="86"/>
      <c r="CW45" s="59"/>
      <c r="CX45" s="128">
        <v>0</v>
      </c>
      <c r="CY45" s="128">
        <v>1</v>
      </c>
      <c r="CZ45" s="128">
        <v>2</v>
      </c>
      <c r="DA45" s="128">
        <v>3</v>
      </c>
      <c r="DB45" s="128">
        <v>4</v>
      </c>
      <c r="DC45" s="128">
        <v>5</v>
      </c>
      <c r="DD45" s="128">
        <v>6</v>
      </c>
      <c r="DE45" s="128">
        <v>7</v>
      </c>
      <c r="DF45" s="128">
        <v>8</v>
      </c>
      <c r="DG45" s="128">
        <v>9</v>
      </c>
      <c r="DH45" s="123">
        <v>10</v>
      </c>
      <c r="DI45" s="14"/>
      <c r="DJ45" s="122"/>
      <c r="DK45" s="123"/>
      <c r="DL45" s="128">
        <v>0</v>
      </c>
      <c r="DM45" s="128">
        <v>1</v>
      </c>
      <c r="DN45" s="128">
        <v>2</v>
      </c>
      <c r="DO45" s="128">
        <v>3</v>
      </c>
      <c r="DP45" s="128">
        <v>4</v>
      </c>
      <c r="DQ45" s="128">
        <v>5</v>
      </c>
      <c r="DR45" s="128">
        <v>6</v>
      </c>
      <c r="DS45" s="128">
        <v>7</v>
      </c>
      <c r="DT45" s="128">
        <v>8</v>
      </c>
      <c r="DU45" s="128">
        <v>9</v>
      </c>
      <c r="DV45" s="123">
        <v>10</v>
      </c>
    </row>
    <row r="46" spans="1:126" ht="15.75" thickTop="1" x14ac:dyDescent="0.25">
      <c r="CR46" t="str">
        <v/>
      </c>
      <c r="CV46" s="85"/>
      <c r="CW46" s="57">
        <v>0</v>
      </c>
      <c r="CX46" s="127"/>
      <c r="CY46" s="131">
        <f t="shared" ref="CY46:DH46" si="28">ABS(CY32*CY18)</f>
        <v>0</v>
      </c>
      <c r="CZ46" s="131">
        <f t="shared" si="28"/>
        <v>0</v>
      </c>
      <c r="DA46" s="131">
        <f t="shared" si="28"/>
        <v>0</v>
      </c>
      <c r="DB46" s="131">
        <f t="shared" si="28"/>
        <v>0</v>
      </c>
      <c r="DC46" s="131">
        <f t="shared" si="28"/>
        <v>0</v>
      </c>
      <c r="DD46" s="131">
        <f t="shared" si="28"/>
        <v>0</v>
      </c>
      <c r="DE46" s="131">
        <f t="shared" si="28"/>
        <v>0</v>
      </c>
      <c r="DF46" s="131">
        <f t="shared" si="28"/>
        <v>0</v>
      </c>
      <c r="DG46" s="131">
        <f t="shared" si="28"/>
        <v>0</v>
      </c>
      <c r="DH46" s="132">
        <f t="shared" si="28"/>
        <v>0</v>
      </c>
      <c r="DI46" s="14"/>
      <c r="DJ46" s="126"/>
      <c r="DK46" s="125">
        <v>0</v>
      </c>
      <c r="DL46" s="127"/>
      <c r="DM46" s="131">
        <f t="shared" ref="DM46:DV46" si="29">ABS(DM32*CY18)</f>
        <v>0.4</v>
      </c>
      <c r="DN46" s="131">
        <f t="shared" si="29"/>
        <v>0.5</v>
      </c>
      <c r="DO46" s="131">
        <f t="shared" si="29"/>
        <v>1.2000000000000002</v>
      </c>
      <c r="DP46" s="131">
        <f t="shared" si="29"/>
        <v>0.7</v>
      </c>
      <c r="DQ46" s="131">
        <f t="shared" si="29"/>
        <v>0.8</v>
      </c>
      <c r="DR46" s="131">
        <f t="shared" si="29"/>
        <v>0</v>
      </c>
      <c r="DS46" s="131">
        <f t="shared" si="29"/>
        <v>0</v>
      </c>
      <c r="DT46" s="131">
        <f t="shared" si="29"/>
        <v>0</v>
      </c>
      <c r="DU46" s="131">
        <f t="shared" si="29"/>
        <v>0</v>
      </c>
      <c r="DV46" s="132">
        <f t="shared" si="29"/>
        <v>0</v>
      </c>
    </row>
    <row r="47" spans="1:126" x14ac:dyDescent="0.25">
      <c r="CR47" t="str">
        <v/>
      </c>
      <c r="CV47" s="85"/>
      <c r="CW47" s="57">
        <v>1</v>
      </c>
      <c r="CX47" s="131">
        <f t="shared" ref="CX47:DH47" si="30">ABS(CX33*CX19)</f>
        <v>0</v>
      </c>
      <c r="CY47" s="127"/>
      <c r="CZ47" s="131">
        <f t="shared" si="30"/>
        <v>0.64999999999999991</v>
      </c>
      <c r="DA47" s="131">
        <f t="shared" si="30"/>
        <v>0.75</v>
      </c>
      <c r="DB47" s="131">
        <f t="shared" si="30"/>
        <v>0</v>
      </c>
      <c r="DC47" s="131">
        <f t="shared" si="30"/>
        <v>0.95</v>
      </c>
      <c r="DD47" s="131">
        <f t="shared" si="30"/>
        <v>1.05</v>
      </c>
      <c r="DE47" s="131">
        <f t="shared" si="30"/>
        <v>0</v>
      </c>
      <c r="DF47" s="131">
        <f t="shared" si="30"/>
        <v>0</v>
      </c>
      <c r="DG47" s="131">
        <f t="shared" si="30"/>
        <v>0</v>
      </c>
      <c r="DH47" s="132">
        <f t="shared" si="30"/>
        <v>0</v>
      </c>
      <c r="DI47" s="14"/>
      <c r="DJ47" s="126"/>
      <c r="DK47" s="125">
        <v>1</v>
      </c>
      <c r="DL47" s="131">
        <f t="shared" ref="DL47:DV47" si="31">ABS(DL33*CX19)</f>
        <v>0</v>
      </c>
      <c r="DM47" s="127"/>
      <c r="DN47" s="131">
        <f t="shared" si="31"/>
        <v>1.2999999999999998</v>
      </c>
      <c r="DO47" s="131">
        <f t="shared" si="31"/>
        <v>2.25</v>
      </c>
      <c r="DP47" s="131">
        <f t="shared" si="31"/>
        <v>3.4000000000000004</v>
      </c>
      <c r="DQ47" s="131">
        <f t="shared" si="31"/>
        <v>2.8499999999999996</v>
      </c>
      <c r="DR47" s="131">
        <f t="shared" si="31"/>
        <v>1.05</v>
      </c>
      <c r="DS47" s="131">
        <f t="shared" si="31"/>
        <v>0</v>
      </c>
      <c r="DT47" s="131">
        <f t="shared" si="31"/>
        <v>0</v>
      </c>
      <c r="DU47" s="131">
        <f t="shared" si="31"/>
        <v>0</v>
      </c>
      <c r="DV47" s="132">
        <f t="shared" si="31"/>
        <v>0</v>
      </c>
    </row>
    <row r="48" spans="1:126" x14ac:dyDescent="0.25">
      <c r="CR48" t="str">
        <v/>
      </c>
      <c r="CV48" s="85"/>
      <c r="CW48" s="57">
        <v>2</v>
      </c>
      <c r="CX48" s="131">
        <f t="shared" ref="CX48:DH48" si="32">ABS(CX34*CX20)</f>
        <v>0</v>
      </c>
      <c r="CY48" s="131">
        <f t="shared" si="32"/>
        <v>0</v>
      </c>
      <c r="CZ48" s="127"/>
      <c r="DA48" s="131">
        <f t="shared" si="32"/>
        <v>0</v>
      </c>
      <c r="DB48" s="131">
        <f t="shared" si="32"/>
        <v>2</v>
      </c>
      <c r="DC48" s="131">
        <f t="shared" si="32"/>
        <v>0</v>
      </c>
      <c r="DD48" s="131">
        <f t="shared" si="32"/>
        <v>0</v>
      </c>
      <c r="DE48" s="131">
        <f t="shared" si="32"/>
        <v>0</v>
      </c>
      <c r="DF48" s="131">
        <f t="shared" si="32"/>
        <v>0</v>
      </c>
      <c r="DG48" s="131">
        <f t="shared" si="32"/>
        <v>0</v>
      </c>
      <c r="DH48" s="132">
        <f t="shared" si="32"/>
        <v>0</v>
      </c>
      <c r="DI48" s="14"/>
      <c r="DJ48" s="126"/>
      <c r="DK48" s="125">
        <v>2</v>
      </c>
      <c r="DL48" s="131">
        <f t="shared" ref="DL48:DV48" si="33">ABS(DL34*CX20)</f>
        <v>0</v>
      </c>
      <c r="DM48" s="131">
        <f t="shared" si="33"/>
        <v>7.2</v>
      </c>
      <c r="DN48" s="127"/>
      <c r="DO48" s="131">
        <f t="shared" si="33"/>
        <v>5.4</v>
      </c>
      <c r="DP48" s="131">
        <f t="shared" si="33"/>
        <v>4</v>
      </c>
      <c r="DQ48" s="131">
        <f t="shared" si="33"/>
        <v>5.5</v>
      </c>
      <c r="DR48" s="131">
        <f t="shared" si="33"/>
        <v>0</v>
      </c>
      <c r="DS48" s="131">
        <f t="shared" si="33"/>
        <v>0</v>
      </c>
      <c r="DT48" s="131">
        <f t="shared" si="33"/>
        <v>0</v>
      </c>
      <c r="DU48" s="131">
        <f t="shared" si="33"/>
        <v>0</v>
      </c>
      <c r="DV48" s="132">
        <f t="shared" si="33"/>
        <v>0</v>
      </c>
    </row>
    <row r="49" spans="96:127" x14ac:dyDescent="0.25">
      <c r="CR49" t="str">
        <v/>
      </c>
      <c r="CV49" s="85"/>
      <c r="CW49" s="57">
        <v>3</v>
      </c>
      <c r="CX49" s="131">
        <f t="shared" ref="CX49:DH49" si="34">ABS(CX35*CX21)</f>
        <v>0</v>
      </c>
      <c r="CY49" s="131">
        <f t="shared" si="34"/>
        <v>0</v>
      </c>
      <c r="CZ49" s="131">
        <f t="shared" si="34"/>
        <v>0</v>
      </c>
      <c r="DA49" s="127"/>
      <c r="DB49" s="131">
        <f t="shared" si="34"/>
        <v>0</v>
      </c>
      <c r="DC49" s="131">
        <f t="shared" si="34"/>
        <v>0</v>
      </c>
      <c r="DD49" s="131">
        <f t="shared" si="34"/>
        <v>0</v>
      </c>
      <c r="DE49" s="131">
        <f t="shared" si="34"/>
        <v>0</v>
      </c>
      <c r="DF49" s="131">
        <f t="shared" si="34"/>
        <v>0</v>
      </c>
      <c r="DG49" s="131">
        <f t="shared" si="34"/>
        <v>0</v>
      </c>
      <c r="DH49" s="132">
        <f t="shared" si="34"/>
        <v>0</v>
      </c>
      <c r="DI49" s="14"/>
      <c r="DJ49" s="126"/>
      <c r="DK49" s="125">
        <v>3</v>
      </c>
      <c r="DL49" s="131">
        <f t="shared" ref="DL49:DV49" si="35">ABS(DL35*CX21)</f>
        <v>0.95</v>
      </c>
      <c r="DM49" s="131">
        <f t="shared" si="35"/>
        <v>7.3499999999999988</v>
      </c>
      <c r="DN49" s="131">
        <f t="shared" si="35"/>
        <v>6.8999999999999995</v>
      </c>
      <c r="DO49" s="127"/>
      <c r="DP49" s="131">
        <f t="shared" si="35"/>
        <v>9.1999999999999993</v>
      </c>
      <c r="DQ49" s="131">
        <f t="shared" si="35"/>
        <v>2.5</v>
      </c>
      <c r="DR49" s="131">
        <f t="shared" si="35"/>
        <v>0</v>
      </c>
      <c r="DS49" s="131">
        <f t="shared" si="35"/>
        <v>1.45</v>
      </c>
      <c r="DT49" s="131">
        <f t="shared" si="35"/>
        <v>1.55</v>
      </c>
      <c r="DU49" s="131">
        <f t="shared" si="35"/>
        <v>0</v>
      </c>
      <c r="DV49" s="132">
        <f t="shared" si="35"/>
        <v>0</v>
      </c>
    </row>
    <row r="50" spans="96:127" x14ac:dyDescent="0.25">
      <c r="CR50" t="str">
        <v/>
      </c>
      <c r="CV50" s="85"/>
      <c r="CW50" s="57">
        <v>4</v>
      </c>
      <c r="CX50" s="131">
        <f t="shared" ref="CX50:DH50" si="36">ABS(CX36*CX22)</f>
        <v>0</v>
      </c>
      <c r="CY50" s="131">
        <f t="shared" si="36"/>
        <v>0</v>
      </c>
      <c r="CZ50" s="131">
        <f t="shared" si="36"/>
        <v>0</v>
      </c>
      <c r="DA50" s="131">
        <f t="shared" si="36"/>
        <v>1.4</v>
      </c>
      <c r="DB50" s="127"/>
      <c r="DC50" s="131">
        <f t="shared" si="36"/>
        <v>0</v>
      </c>
      <c r="DD50" s="131">
        <f t="shared" si="36"/>
        <v>0</v>
      </c>
      <c r="DE50" s="131">
        <f t="shared" si="36"/>
        <v>0</v>
      </c>
      <c r="DF50" s="131">
        <f t="shared" si="36"/>
        <v>0</v>
      </c>
      <c r="DG50" s="131">
        <f t="shared" si="36"/>
        <v>0</v>
      </c>
      <c r="DH50" s="132">
        <f t="shared" si="36"/>
        <v>0</v>
      </c>
      <c r="DI50" s="14"/>
      <c r="DJ50" s="126"/>
      <c r="DK50" s="125">
        <v>4</v>
      </c>
      <c r="DL50" s="131">
        <f t="shared" ref="DL50:DV50" si="37">ABS(DL36*CX22)</f>
        <v>0</v>
      </c>
      <c r="DM50" s="131">
        <f t="shared" si="37"/>
        <v>6</v>
      </c>
      <c r="DN50" s="131">
        <f t="shared" si="37"/>
        <v>3.9000000000000004</v>
      </c>
      <c r="DO50" s="131">
        <f t="shared" si="37"/>
        <v>11.2</v>
      </c>
      <c r="DP50" s="127"/>
      <c r="DQ50" s="131">
        <f t="shared" si="37"/>
        <v>5.6000000000000005</v>
      </c>
      <c r="DR50" s="131">
        <f t="shared" si="37"/>
        <v>0</v>
      </c>
      <c r="DS50" s="131">
        <f t="shared" si="37"/>
        <v>0</v>
      </c>
      <c r="DT50" s="131">
        <f t="shared" si="37"/>
        <v>0</v>
      </c>
      <c r="DU50" s="131">
        <f t="shared" si="37"/>
        <v>0</v>
      </c>
      <c r="DV50" s="132">
        <f t="shared" si="37"/>
        <v>0</v>
      </c>
    </row>
    <row r="51" spans="96:127" x14ac:dyDescent="0.25">
      <c r="CR51" t="str">
        <v/>
      </c>
      <c r="CV51" s="85"/>
      <c r="CW51" s="57">
        <v>5</v>
      </c>
      <c r="CX51" s="131">
        <f t="shared" ref="CX51:DH51" si="38">ABS(CX37*CX23)</f>
        <v>0</v>
      </c>
      <c r="CY51" s="131">
        <f t="shared" si="38"/>
        <v>0</v>
      </c>
      <c r="CZ51" s="131">
        <f t="shared" si="38"/>
        <v>0</v>
      </c>
      <c r="DA51" s="131">
        <f t="shared" si="38"/>
        <v>0</v>
      </c>
      <c r="DB51" s="131">
        <f t="shared" si="38"/>
        <v>0</v>
      </c>
      <c r="DC51" s="127"/>
      <c r="DD51" s="131">
        <f t="shared" si="38"/>
        <v>0</v>
      </c>
      <c r="DE51" s="131">
        <f t="shared" si="38"/>
        <v>0</v>
      </c>
      <c r="DF51" s="131">
        <f t="shared" si="38"/>
        <v>0</v>
      </c>
      <c r="DG51" s="131">
        <f t="shared" si="38"/>
        <v>0</v>
      </c>
      <c r="DH51" s="132">
        <f t="shared" si="38"/>
        <v>0</v>
      </c>
      <c r="DI51" s="14"/>
      <c r="DJ51" s="126"/>
      <c r="DK51" s="125">
        <v>5</v>
      </c>
      <c r="DL51" s="131">
        <f t="shared" ref="DL51:DV51" si="39">ABS(DL37*CX23)</f>
        <v>0</v>
      </c>
      <c r="DM51" s="131">
        <f t="shared" si="39"/>
        <v>4.0500000000000007</v>
      </c>
      <c r="DN51" s="131">
        <f t="shared" si="39"/>
        <v>5.8</v>
      </c>
      <c r="DO51" s="131">
        <f t="shared" si="39"/>
        <v>1.55</v>
      </c>
      <c r="DP51" s="131">
        <f t="shared" si="39"/>
        <v>1.65</v>
      </c>
      <c r="DQ51" s="127"/>
      <c r="DR51" s="131">
        <f t="shared" si="39"/>
        <v>1.6500000000000001</v>
      </c>
      <c r="DS51" s="131">
        <f t="shared" si="39"/>
        <v>0</v>
      </c>
      <c r="DT51" s="131">
        <f t="shared" si="39"/>
        <v>0</v>
      </c>
      <c r="DU51" s="131">
        <f t="shared" si="39"/>
        <v>0</v>
      </c>
      <c r="DV51" s="132">
        <f t="shared" si="39"/>
        <v>0</v>
      </c>
    </row>
    <row r="52" spans="96:127" x14ac:dyDescent="0.25">
      <c r="CR52" t="str">
        <v>CGY</v>
      </c>
      <c r="CV52" s="85"/>
      <c r="CW52" s="57">
        <v>6</v>
      </c>
      <c r="CX52" s="131">
        <f t="shared" ref="CX52:DH52" si="40">ABS(CX38*CX24)</f>
        <v>0</v>
      </c>
      <c r="CY52" s="131">
        <f t="shared" si="40"/>
        <v>0</v>
      </c>
      <c r="CZ52" s="131">
        <f t="shared" si="40"/>
        <v>0</v>
      </c>
      <c r="DA52" s="131">
        <f t="shared" si="40"/>
        <v>0</v>
      </c>
      <c r="DB52" s="131">
        <f t="shared" si="40"/>
        <v>0</v>
      </c>
      <c r="DC52" s="131">
        <f t="shared" si="40"/>
        <v>0</v>
      </c>
      <c r="DD52" s="127"/>
      <c r="DE52" s="131">
        <f t="shared" si="40"/>
        <v>0</v>
      </c>
      <c r="DF52" s="131">
        <f t="shared" si="40"/>
        <v>0</v>
      </c>
      <c r="DG52" s="131">
        <f t="shared" si="40"/>
        <v>0</v>
      </c>
      <c r="DH52" s="132">
        <f t="shared" si="40"/>
        <v>0</v>
      </c>
      <c r="DI52" s="14"/>
      <c r="DJ52" s="126"/>
      <c r="DK52" s="125">
        <v>6</v>
      </c>
      <c r="DL52" s="131">
        <f t="shared" ref="DL52:DV52" si="41">ABS(DL38*CX24)</f>
        <v>0</v>
      </c>
      <c r="DM52" s="131">
        <f t="shared" si="41"/>
        <v>1.5</v>
      </c>
      <c r="DN52" s="131">
        <f t="shared" si="41"/>
        <v>1.5999999999999999</v>
      </c>
      <c r="DO52" s="131">
        <f t="shared" si="41"/>
        <v>5.0999999999999996</v>
      </c>
      <c r="DP52" s="131">
        <f t="shared" si="41"/>
        <v>0</v>
      </c>
      <c r="DQ52" s="131">
        <f t="shared" si="41"/>
        <v>1.9</v>
      </c>
      <c r="DR52" s="127"/>
      <c r="DS52" s="131">
        <f t="shared" si="41"/>
        <v>1.9000000000000001</v>
      </c>
      <c r="DT52" s="131">
        <f t="shared" si="41"/>
        <v>0</v>
      </c>
      <c r="DU52" s="131">
        <f t="shared" si="41"/>
        <v>0</v>
      </c>
      <c r="DV52" s="132">
        <f t="shared" si="41"/>
        <v>0</v>
      </c>
    </row>
    <row r="53" spans="96:127" x14ac:dyDescent="0.25">
      <c r="CR53" t="str">
        <v/>
      </c>
      <c r="CV53" s="85"/>
      <c r="CW53" s="57">
        <v>7</v>
      </c>
      <c r="CX53" s="131">
        <f t="shared" ref="CX53:DH53" si="42">ABS(CX39*CX25)</f>
        <v>0</v>
      </c>
      <c r="CY53" s="131">
        <f t="shared" si="42"/>
        <v>0</v>
      </c>
      <c r="CZ53" s="131">
        <f t="shared" si="42"/>
        <v>0</v>
      </c>
      <c r="DA53" s="131">
        <f t="shared" si="42"/>
        <v>0</v>
      </c>
      <c r="DB53" s="131">
        <f t="shared" si="42"/>
        <v>0</v>
      </c>
      <c r="DC53" s="131">
        <f t="shared" si="42"/>
        <v>0</v>
      </c>
      <c r="DD53" s="131">
        <f t="shared" si="42"/>
        <v>0</v>
      </c>
      <c r="DE53" s="127"/>
      <c r="DF53" s="131">
        <f t="shared" si="42"/>
        <v>0</v>
      </c>
      <c r="DG53" s="131">
        <f t="shared" si="42"/>
        <v>0</v>
      </c>
      <c r="DH53" s="132">
        <f t="shared" si="42"/>
        <v>0</v>
      </c>
      <c r="DI53" s="14"/>
      <c r="DJ53" s="126"/>
      <c r="DK53" s="125">
        <v>7</v>
      </c>
      <c r="DL53" s="131">
        <f t="shared" ref="DL53:DV53" si="43">ABS(DL39*CX25)</f>
        <v>0</v>
      </c>
      <c r="DM53" s="131">
        <f t="shared" si="43"/>
        <v>0</v>
      </c>
      <c r="DN53" s="131">
        <f t="shared" si="43"/>
        <v>0</v>
      </c>
      <c r="DO53" s="131">
        <f t="shared" si="43"/>
        <v>0</v>
      </c>
      <c r="DP53" s="131">
        <f t="shared" si="43"/>
        <v>1.9500000000000002</v>
      </c>
      <c r="DQ53" s="131">
        <f t="shared" si="43"/>
        <v>0</v>
      </c>
      <c r="DR53" s="131">
        <f t="shared" si="43"/>
        <v>0</v>
      </c>
      <c r="DS53" s="127"/>
      <c r="DT53" s="131">
        <f t="shared" si="43"/>
        <v>0</v>
      </c>
      <c r="DU53" s="131">
        <f t="shared" si="43"/>
        <v>0</v>
      </c>
      <c r="DV53" s="132">
        <f t="shared" si="43"/>
        <v>0</v>
      </c>
    </row>
    <row r="54" spans="96:127" x14ac:dyDescent="0.25">
      <c r="CR54" t="str">
        <v/>
      </c>
      <c r="CV54" s="85"/>
      <c r="CW54" s="57">
        <v>8</v>
      </c>
      <c r="CX54" s="131">
        <f t="shared" ref="CX54:DH54" si="44">ABS(CX40*CX26)</f>
        <v>0</v>
      </c>
      <c r="CY54" s="131">
        <f t="shared" si="44"/>
        <v>0</v>
      </c>
      <c r="CZ54" s="131">
        <f t="shared" si="44"/>
        <v>0</v>
      </c>
      <c r="DA54" s="131">
        <f t="shared" si="44"/>
        <v>0</v>
      </c>
      <c r="DB54" s="131">
        <f t="shared" si="44"/>
        <v>0</v>
      </c>
      <c r="DC54" s="131">
        <f t="shared" si="44"/>
        <v>0</v>
      </c>
      <c r="DD54" s="131">
        <f t="shared" si="44"/>
        <v>0</v>
      </c>
      <c r="DE54" s="131">
        <f t="shared" si="44"/>
        <v>0</v>
      </c>
      <c r="DF54" s="127"/>
      <c r="DG54" s="131">
        <f t="shared" si="44"/>
        <v>0</v>
      </c>
      <c r="DH54" s="132">
        <f t="shared" si="44"/>
        <v>0</v>
      </c>
      <c r="DI54" s="14"/>
      <c r="DJ54" s="126"/>
      <c r="DK54" s="125">
        <v>8</v>
      </c>
      <c r="DL54" s="131">
        <f t="shared" ref="DL54:DV54" si="45">ABS(DL40*CX26)</f>
        <v>0</v>
      </c>
      <c r="DM54" s="131">
        <f t="shared" si="45"/>
        <v>0</v>
      </c>
      <c r="DN54" s="131">
        <f t="shared" si="45"/>
        <v>0</v>
      </c>
      <c r="DO54" s="131">
        <f t="shared" si="45"/>
        <v>0</v>
      </c>
      <c r="DP54" s="131">
        <f t="shared" si="45"/>
        <v>2.1</v>
      </c>
      <c r="DQ54" s="131">
        <f t="shared" si="45"/>
        <v>0</v>
      </c>
      <c r="DR54" s="131">
        <f t="shared" si="45"/>
        <v>0</v>
      </c>
      <c r="DS54" s="131">
        <f t="shared" si="45"/>
        <v>0</v>
      </c>
      <c r="DT54" s="127"/>
      <c r="DU54" s="131">
        <f t="shared" si="45"/>
        <v>0</v>
      </c>
      <c r="DV54" s="132">
        <f t="shared" si="45"/>
        <v>0</v>
      </c>
    </row>
    <row r="55" spans="96:127" x14ac:dyDescent="0.25">
      <c r="CR55" t="str">
        <v/>
      </c>
      <c r="CV55" s="85"/>
      <c r="CW55" s="57">
        <v>9</v>
      </c>
      <c r="CX55" s="131">
        <f t="shared" ref="CX55:DH55" si="46">ABS(CX41*CX27)</f>
        <v>0</v>
      </c>
      <c r="CY55" s="131">
        <f t="shared" si="46"/>
        <v>0</v>
      </c>
      <c r="CZ55" s="131">
        <f t="shared" si="46"/>
        <v>0</v>
      </c>
      <c r="DA55" s="131">
        <f t="shared" si="46"/>
        <v>0</v>
      </c>
      <c r="DB55" s="131">
        <f t="shared" si="46"/>
        <v>0</v>
      </c>
      <c r="DC55" s="131">
        <f t="shared" si="46"/>
        <v>0</v>
      </c>
      <c r="DD55" s="131">
        <f t="shared" si="46"/>
        <v>0</v>
      </c>
      <c r="DE55" s="131">
        <f t="shared" si="46"/>
        <v>0</v>
      </c>
      <c r="DF55" s="131">
        <f t="shared" si="46"/>
        <v>0</v>
      </c>
      <c r="DG55" s="127"/>
      <c r="DH55" s="132">
        <f t="shared" si="46"/>
        <v>0</v>
      </c>
      <c r="DI55" s="14"/>
      <c r="DJ55" s="126"/>
      <c r="DK55" s="125">
        <v>9</v>
      </c>
      <c r="DL55" s="131">
        <f t="shared" ref="DL55:DV55" si="47">ABS(DL41*CX27)</f>
        <v>0</v>
      </c>
      <c r="DM55" s="131">
        <f t="shared" si="47"/>
        <v>0</v>
      </c>
      <c r="DN55" s="131">
        <f t="shared" si="47"/>
        <v>0</v>
      </c>
      <c r="DO55" s="131">
        <f t="shared" si="47"/>
        <v>0</v>
      </c>
      <c r="DP55" s="131">
        <f t="shared" si="47"/>
        <v>0</v>
      </c>
      <c r="DQ55" s="131">
        <f t="shared" si="47"/>
        <v>0</v>
      </c>
      <c r="DR55" s="131">
        <f t="shared" si="47"/>
        <v>0</v>
      </c>
      <c r="DS55" s="131">
        <f t="shared" si="47"/>
        <v>0</v>
      </c>
      <c r="DT55" s="131">
        <f t="shared" si="47"/>
        <v>0</v>
      </c>
      <c r="DU55" s="127"/>
      <c r="DV55" s="132">
        <f t="shared" si="47"/>
        <v>0</v>
      </c>
    </row>
    <row r="56" spans="96:127" ht="15.75" thickBot="1" x14ac:dyDescent="0.3">
      <c r="CR56" t="str">
        <v/>
      </c>
      <c r="CV56" s="86"/>
      <c r="CW56" s="59">
        <v>10</v>
      </c>
      <c r="CX56" s="133">
        <f t="shared" ref="CX56:DG56" si="48">ABS(CX42*CX28)</f>
        <v>0</v>
      </c>
      <c r="CY56" s="133">
        <f t="shared" si="48"/>
        <v>0</v>
      </c>
      <c r="CZ56" s="133">
        <f t="shared" si="48"/>
        <v>0</v>
      </c>
      <c r="DA56" s="133">
        <f t="shared" si="48"/>
        <v>0</v>
      </c>
      <c r="DB56" s="133">
        <f t="shared" si="48"/>
        <v>0</v>
      </c>
      <c r="DC56" s="133">
        <f t="shared" si="48"/>
        <v>0</v>
      </c>
      <c r="DD56" s="133">
        <f t="shared" si="48"/>
        <v>0</v>
      </c>
      <c r="DE56" s="133">
        <f t="shared" si="48"/>
        <v>0</v>
      </c>
      <c r="DF56" s="133">
        <f t="shared" si="48"/>
        <v>0</v>
      </c>
      <c r="DG56" s="133">
        <f t="shared" si="48"/>
        <v>0</v>
      </c>
      <c r="DH56" s="134"/>
      <c r="DI56" s="14"/>
      <c r="DJ56" s="122"/>
      <c r="DK56" s="123">
        <v>10</v>
      </c>
      <c r="DL56" s="131">
        <f t="shared" ref="DL56:DU56" si="49">ABS(DL42*CX28)</f>
        <v>0</v>
      </c>
      <c r="DM56" s="131">
        <f t="shared" si="49"/>
        <v>0</v>
      </c>
      <c r="DN56" s="131">
        <f t="shared" si="49"/>
        <v>0</v>
      </c>
      <c r="DO56" s="131">
        <f t="shared" si="49"/>
        <v>0</v>
      </c>
      <c r="DP56" s="131">
        <f t="shared" si="49"/>
        <v>0</v>
      </c>
      <c r="DQ56" s="131">
        <f t="shared" si="49"/>
        <v>0</v>
      </c>
      <c r="DR56" s="131">
        <f t="shared" si="49"/>
        <v>0</v>
      </c>
      <c r="DS56" s="131">
        <f t="shared" si="49"/>
        <v>0</v>
      </c>
      <c r="DT56" s="131">
        <f t="shared" si="49"/>
        <v>0</v>
      </c>
      <c r="DU56" s="131">
        <f t="shared" si="49"/>
        <v>0</v>
      </c>
      <c r="DV56" s="127"/>
    </row>
    <row r="57" spans="96:127" ht="16.5" thickTop="1" thickBot="1" x14ac:dyDescent="0.3">
      <c r="CR57" t="str">
        <v/>
      </c>
      <c r="DI57" s="88">
        <f>SUM(CX46:DH56)</f>
        <v>6.7999999999999989</v>
      </c>
      <c r="DW57" s="88">
        <f>SUM(DL46:DV56)</f>
        <v>123.9</v>
      </c>
    </row>
    <row r="58" spans="96:127" ht="15.75" thickTop="1" x14ac:dyDescent="0.25">
      <c r="CR58" t="str">
        <v/>
      </c>
    </row>
    <row r="59" spans="96:127" x14ac:dyDescent="0.25">
      <c r="CR59" t="str">
        <v/>
      </c>
    </row>
    <row r="60" spans="96:127" x14ac:dyDescent="0.25">
      <c r="CR60" t="str">
        <v/>
      </c>
    </row>
    <row r="61" spans="96:127" x14ac:dyDescent="0.25">
      <c r="CR61" t="str">
        <v/>
      </c>
    </row>
    <row r="62" spans="96:127" x14ac:dyDescent="0.25">
      <c r="CR62" t="str">
        <v/>
      </c>
    </row>
    <row r="63" spans="96:127" x14ac:dyDescent="0.25">
      <c r="CR63" t="str">
        <v/>
      </c>
    </row>
    <row r="64" spans="96:127" x14ac:dyDescent="0.25">
      <c r="CR64" t="str">
        <v/>
      </c>
    </row>
    <row r="65" spans="96:96" x14ac:dyDescent="0.25">
      <c r="CR65" t="str">
        <v/>
      </c>
    </row>
    <row r="66" spans="96:96" x14ac:dyDescent="0.25">
      <c r="CR66" t="str">
        <v/>
      </c>
    </row>
    <row r="99" spans="116:116" x14ac:dyDescent="0.25">
      <c r="DL99">
        <v>1</v>
      </c>
    </row>
  </sheetData>
  <mergeCells count="2">
    <mergeCell ref="CV30:CW31"/>
    <mergeCell ref="DJ30:DK31"/>
  </mergeCells>
  <phoneticPr fontId="1" type="noConversion"/>
  <conditionalFormatting sqref="D2:D33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E34 D38:E1048576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4 E38:E1048576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:AB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1:AO34 AO38:AO1048576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1:AP34 AP38:AP1048576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1:AR34 AQ38:AR1048576">
    <cfRule type="colorScale" priority="6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S2:AS33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2:AT33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1:AU34 AU38:AU1048576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1:AV34 AV38:AV1048576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1:BF34 BF38:BF1048576">
    <cfRule type="colorScale" priority="62">
      <colorScale>
        <cfvo type="min"/>
        <cfvo type="max"/>
        <color rgb="FFFCFCFF"/>
        <color rgb="FF63BE7B"/>
      </colorScale>
    </cfRule>
  </conditionalFormatting>
  <conditionalFormatting sqref="BG1:BG34 BG38:BG1048576">
    <cfRule type="colorScale" priority="61">
      <colorScale>
        <cfvo type="min"/>
        <cfvo type="max"/>
        <color rgb="FFFCFCFF"/>
        <color rgb="FFF8696B"/>
      </colorScale>
    </cfRule>
  </conditionalFormatting>
  <conditionalFormatting sqref="BH1:BH34 BH38:BH1048576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1:BI34 BI38:BI1048576">
    <cfRule type="colorScale" priority="60">
      <colorScale>
        <cfvo type="min"/>
        <cfvo type="max"/>
        <color rgb="FFFCFCFF"/>
        <color rgb="FF63BE7B"/>
      </colorScale>
    </cfRule>
  </conditionalFormatting>
  <conditionalFormatting sqref="BJ1:BJ34 BJ38:BJ1048576">
    <cfRule type="colorScale" priority="59">
      <colorScale>
        <cfvo type="min"/>
        <cfvo type="max"/>
        <color rgb="FFFCFCFF"/>
        <color rgb="FFF8696B"/>
      </colorScale>
    </cfRule>
  </conditionalFormatting>
  <conditionalFormatting sqref="BK1:BS1 BK38:BS1048576 BK34:BS34 BK2:BO33">
    <cfRule type="colorScale" priority="5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N2:BN33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O2:BO33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C2:CC33">
    <cfRule type="containsBlanks" dxfId="16" priority="3">
      <formula>LEN(TRIM(CC2))=0</formula>
    </cfRule>
  </conditionalFormatting>
  <conditionalFormatting sqref="CD2:CD33">
    <cfRule type="containsBlanks" dxfId="15" priority="2">
      <formula>LEN(TRIM(CD2))=0</formula>
    </cfRule>
  </conditionalFormatting>
  <conditionalFormatting sqref="CX18:DH28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32:DH42">
    <cfRule type="colorScale" priority="3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X46:DH56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32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4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33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4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32:DV32 DL42:DU42 DL41:DT41 DV41 DL40:DS40 DU40:DV40 DL39:DR39 DT39:DV39 DL38:DQ38 DS38:DV38 DL37:DP37 DR37:DV37 DL36:DO36 DQ36:DV36 DL35:DN35 DP35:DV35 DL34:DM34 DO34:DV34 DL33 DN33:DV33">
    <cfRule type="colorScale" priority="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M46:DV46 DL56:DU56 DL55:DT55 DV55 DL54:DS54 DU54:DV54 DL53:DR53 DT53:DV53 DL52:DQ52 DS52:DV52 DL51:DP51 DR51:DV51 DL50:DO50 DQ50:DV50 DL49:DN49 DP49:DV49 DL48:DM48 DO48:DV48 DL47 DN47:DV47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3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48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3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4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36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5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37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51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38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5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39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5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40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54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41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5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42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56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D18:EN2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DE190-D135-43FF-BDC8-6E841E12EA7E}">
  <dimension ref="A1:BA93"/>
  <sheetViews>
    <sheetView workbookViewId="0">
      <selection activeCell="W17" sqref="W17"/>
    </sheetView>
  </sheetViews>
  <sheetFormatPr defaultRowHeight="15" x14ac:dyDescent="0.25"/>
  <cols>
    <col min="19" max="19" width="13.42578125" bestFit="1" customWidth="1"/>
    <col min="20" max="20" width="16.85546875" bestFit="1" customWidth="1"/>
    <col min="21" max="21" width="2" bestFit="1" customWidth="1"/>
    <col min="22" max="22" width="7" bestFit="1" customWidth="1"/>
    <col min="23" max="23" width="4.28515625" bestFit="1" customWidth="1"/>
    <col min="24" max="24" width="2" bestFit="1" customWidth="1"/>
    <col min="25" max="25" width="7.28515625" bestFit="1" customWidth="1"/>
    <col min="26" max="26" width="4.42578125" bestFit="1" customWidth="1"/>
    <col min="27" max="27" width="2" bestFit="1" customWidth="1"/>
    <col min="28" max="28" width="7.42578125" bestFit="1" customWidth="1"/>
    <col min="29" max="29" width="4" bestFit="1" customWidth="1"/>
    <col min="30" max="31" width="2" bestFit="1" customWidth="1"/>
    <col min="32" max="32" width="7" bestFit="1" customWidth="1"/>
    <col min="33" max="33" width="11.28515625" bestFit="1" customWidth="1"/>
    <col min="34" max="53" width="5.7109375" customWidth="1"/>
    <col min="54" max="54" width="7.85546875" bestFit="1" customWidth="1"/>
    <col min="55" max="55" width="4.85546875" bestFit="1" customWidth="1"/>
    <col min="56" max="56" width="3" bestFit="1" customWidth="1"/>
    <col min="57" max="57" width="7.85546875" bestFit="1" customWidth="1"/>
    <col min="58" max="58" width="4.85546875" bestFit="1" customWidth="1"/>
    <col min="59" max="59" width="7.85546875" bestFit="1" customWidth="1"/>
    <col min="60" max="60" width="4.85546875" bestFit="1" customWidth="1"/>
    <col min="61" max="61" width="7.85546875" bestFit="1" customWidth="1"/>
    <col min="62" max="62" width="4.85546875" bestFit="1" customWidth="1"/>
    <col min="63" max="63" width="3" bestFit="1" customWidth="1"/>
    <col min="64" max="64" width="7.85546875" bestFit="1" customWidth="1"/>
    <col min="65" max="65" width="4.85546875" bestFit="1" customWidth="1"/>
    <col min="66" max="66" width="7.85546875" bestFit="1" customWidth="1"/>
    <col min="67" max="67" width="4.85546875" bestFit="1" customWidth="1"/>
    <col min="68" max="68" width="7.85546875" bestFit="1" customWidth="1"/>
    <col min="69" max="69" width="11.28515625" bestFit="1" customWidth="1"/>
  </cols>
  <sheetData>
    <row r="1" spans="1:53" ht="48" x14ac:dyDescent="0.25">
      <c r="A1" s="115" t="s">
        <v>39</v>
      </c>
      <c r="B1" s="115" t="s">
        <v>88</v>
      </c>
      <c r="C1" s="115" t="s">
        <v>89</v>
      </c>
      <c r="D1" s="115" t="s">
        <v>99</v>
      </c>
      <c r="E1" s="115" t="s">
        <v>493</v>
      </c>
      <c r="S1" t="s">
        <v>513</v>
      </c>
      <c r="T1" t="s">
        <v>39</v>
      </c>
      <c r="U1" t="s">
        <v>512</v>
      </c>
      <c r="V1" t="s">
        <v>44</v>
      </c>
      <c r="W1" t="s">
        <v>23</v>
      </c>
      <c r="X1" t="s">
        <v>22</v>
      </c>
      <c r="Y1" t="s">
        <v>27</v>
      </c>
      <c r="Z1" t="s">
        <v>11</v>
      </c>
      <c r="AA1" t="s">
        <v>37</v>
      </c>
      <c r="AB1" t="s">
        <v>24</v>
      </c>
      <c r="AC1" t="s">
        <v>26</v>
      </c>
      <c r="AD1" t="s">
        <v>16</v>
      </c>
      <c r="AE1" t="s">
        <v>25</v>
      </c>
      <c r="AF1" t="s">
        <v>33</v>
      </c>
      <c r="AG1" t="s">
        <v>36</v>
      </c>
      <c r="AH1" t="s">
        <v>34</v>
      </c>
      <c r="AI1" t="s">
        <v>12</v>
      </c>
      <c r="AJ1" t="s">
        <v>14</v>
      </c>
      <c r="AK1" t="s">
        <v>21</v>
      </c>
      <c r="AL1" t="s">
        <v>41</v>
      </c>
      <c r="AM1" t="s">
        <v>35</v>
      </c>
      <c r="AN1" t="s">
        <v>31</v>
      </c>
      <c r="AO1" t="s">
        <v>32</v>
      </c>
      <c r="AP1" t="s">
        <v>19</v>
      </c>
      <c r="AQ1" t="s">
        <v>42</v>
      </c>
      <c r="AR1" t="s">
        <v>20</v>
      </c>
      <c r="AS1" t="s">
        <v>43</v>
      </c>
      <c r="AT1" t="s">
        <v>15</v>
      </c>
      <c r="AU1" t="s">
        <v>28</v>
      </c>
      <c r="AV1" t="s">
        <v>30</v>
      </c>
      <c r="AW1" t="s">
        <v>13</v>
      </c>
      <c r="AX1" t="s">
        <v>18</v>
      </c>
      <c r="AY1" t="s">
        <v>29</v>
      </c>
      <c r="AZ1" t="s">
        <v>40</v>
      </c>
      <c r="BA1" t="s">
        <v>17</v>
      </c>
    </row>
    <row r="2" spans="1:53" x14ac:dyDescent="0.25">
      <c r="A2" s="61" t="s">
        <v>44</v>
      </c>
      <c r="B2" s="61" t="s">
        <v>90</v>
      </c>
      <c r="C2" s="61" t="s">
        <v>93</v>
      </c>
      <c r="D2" s="117">
        <f>INDEX(Table3[PTS], MATCH(Table6[[#This Row],[Teams]], Table3[Teams],0))</f>
        <v>7</v>
      </c>
      <c r="E2" s="117"/>
      <c r="O2" t="str" cm="1">
        <f t="array" aca="1" ref="O2" ca="1">INDIRECT("A"&amp;6)</f>
        <v>CBJ</v>
      </c>
      <c r="S2">
        <v>8</v>
      </c>
      <c r="T2" t="str" cm="1">
        <f t="array" ref="T2">INDEX(Table6[Teams], SMALL(IF(Table6[D]="P", ROW(Table6[Teams])-ROW(Table6[#Headers])), Table7[[#This Row],[PAC]]))</f>
        <v>VGK</v>
      </c>
      <c r="U2">
        <f>INDEX(Table6[PTS], MATCH($T2, Table6[Teams], 0))</f>
        <v>12</v>
      </c>
      <c r="V2">
        <f>(2*(SUMIFS(Table2[[AwayWon]:[AwayWon]], Table2[[GameIsOver]:[GameIsOver]],1,Table2[[AwayTeam]:[AwayTeam]],$T2, Table2[[HomeTeam]:[HomeTeam]], V$1) + SUMIFS(Table2[[HomeWon_]:[HomeWon_]], Table2[[GameIsOver]:[GameIsOver]],1,Table2[[HomeTeam]:[HomeTeam]],$T2, Table2[[AwayTeam]:[AwayTeam]], V$1))) + (0*(SUMIFS(Table2[[HomeWon_]:[HomeWon_]], Table2[[GameIsOver]:[GameIsOver]],1,Table2[[AwayTeam]:[AwayTeam]],$T2, Table2[[HomeTeam]:[HomeTeam]], V$1, Table2[[ActualResult]:[ActualResult]], "REG") + SUMIFS(Table2[[AwayWon]:[AwayWon]], Table2[[GameIsOver]:[GameIsOver]],1,Table2[[HomeTeam]:[HomeTeam]],$T2, Table2[[AwayTeam]:[AwayTeam]], V$1, Table2[[ActualResult]:[ActualResult]], "REG"))) + (1*(SUMIFS(Table2[[HomeWon_]:[HomeWon_]], Table2[[GameIsOver]:[GameIsOver]],1,Table2[[AwayTeam]:[AwayTeam]],$T2, Table2[[HomeTeam]:[HomeTeam]], V$1, Table2[[ActualResult]:[ActualResult]], "OT") + SUMIFS(Table2[[AwayWon]:[AwayWon]], Table2[[GameIsOver]:[GameIsOver]],1,Table2[[HomeTeam]:[HomeTeam]],$T2, Table2[[AwayTeam]:[AwayTeam]], V$1, Table2[[ActualResult]:[ActualResult]], "OT") + SUMIFS(Table2[[HomeWon_]:[HomeWon_]], Table2[[GameIsOver]:[GameIsOver]],1,Table2[[AwayTeam]:[AwayTeam]],$T2, Table2[[HomeTeam]:[HomeTeam]], V$1, Table2[[ActualResult]:[ActualResult]], "SO") + SUMIFS(Table2[[AwayWon]:[AwayWon]], Table2[[GameIsOver]:[GameIsOver]],1,Table2[[HomeTeam]:[HomeTeam]],$T2, Table2[[AwayTeam]:[AwayTeam]], V$1, Table2[[ActualResult]:[ActualResult]], "SO")))</f>
        <v>0</v>
      </c>
      <c r="W2">
        <f>(2*(SUMIFS(Table2[[AwayWon]:[AwayWon]], Table2[[GameIsOver]:[GameIsOver]],1,Table2[[AwayTeam]:[AwayTeam]],$T2, Table2[[HomeTeam]:[HomeTeam]], W$1) + SUMIFS(Table2[[HomeWon_]:[HomeWon_]], Table2[[GameIsOver]:[GameIsOver]],1,Table2[[HomeTeam]:[HomeTeam]],$T2, Table2[[AwayTeam]:[AwayTeam]], W$1))) + (0*(SUMIFS(Table2[[HomeWon_]:[HomeWon_]], Table2[[GameIsOver]:[GameIsOver]],1,Table2[[AwayTeam]:[AwayTeam]],$T2, Table2[[HomeTeam]:[HomeTeam]], W$1, Table2[[ActualResult]:[ActualResult]], "REG") + SUMIFS(Table2[[AwayWon]:[AwayWon]], Table2[[GameIsOver]:[GameIsOver]],1,Table2[[HomeTeam]:[HomeTeam]],$T2, Table2[[AwayTeam]:[AwayTeam]], W$1, Table2[[ActualResult]:[ActualResult]], "REG"))) + (1*(SUMIFS(Table2[[HomeWon_]:[HomeWon_]], Table2[[GameIsOver]:[GameIsOver]],1,Table2[[AwayTeam]:[AwayTeam]],$T2, Table2[[HomeTeam]:[HomeTeam]], W$1, Table2[[ActualResult]:[ActualResult]], "OT") + SUMIFS(Table2[[AwayWon]:[AwayWon]], Table2[[GameIsOver]:[GameIsOver]],1,Table2[[HomeTeam]:[HomeTeam]],$T2, Table2[[AwayTeam]:[AwayTeam]], W$1, Table2[[ActualResult]:[ActualResult]], "OT") + SUMIFS(Table2[[HomeWon_]:[HomeWon_]], Table2[[GameIsOver]:[GameIsOver]],1,Table2[[AwayTeam]:[AwayTeam]],$T2, Table2[[HomeTeam]:[HomeTeam]], W$1, Table2[[ActualResult]:[ActualResult]], "SO") + SUMIFS(Table2[[AwayWon]:[AwayWon]], Table2[[GameIsOver]:[GameIsOver]],1,Table2[[HomeTeam]:[HomeTeam]],$T2, Table2[[AwayTeam]:[AwayTeam]], W$1, Table2[[ActualResult]:[ActualResult]], "SO")))</f>
        <v>4</v>
      </c>
      <c r="X2">
        <f>(2*(SUMIFS(Table2[[AwayWon]:[AwayWon]], Table2[[GameIsOver]:[GameIsOver]],1,Table2[[AwayTeam]:[AwayTeam]],$T2, Table2[[HomeTeam]:[HomeTeam]], X$1) + SUMIFS(Table2[[HomeWon_]:[HomeWon_]], Table2[[GameIsOver]:[GameIsOver]],1,Table2[[HomeTeam]:[HomeTeam]],$T2, Table2[[AwayTeam]:[AwayTeam]], X$1))) + (0*(SUMIFS(Table2[[HomeWon_]:[HomeWon_]], Table2[[GameIsOver]:[GameIsOver]],1,Table2[[AwayTeam]:[AwayTeam]],$T2, Table2[[HomeTeam]:[HomeTeam]], X$1, Table2[[ActualResult]:[ActualResult]], "REG") + SUMIFS(Table2[[AwayWon]:[AwayWon]], Table2[[GameIsOver]:[GameIsOver]],1,Table2[[HomeTeam]:[HomeTeam]],$T2, Table2[[AwayTeam]:[AwayTeam]], X$1, Table2[[ActualResult]:[ActualResult]], "REG"))) + (1*(SUMIFS(Table2[[HomeWon_]:[HomeWon_]], Table2[[GameIsOver]:[GameIsOver]],1,Table2[[AwayTeam]:[AwayTeam]],$T2, Table2[[HomeTeam]:[HomeTeam]], X$1, Table2[[ActualResult]:[ActualResult]], "OT") + SUMIFS(Table2[[AwayWon]:[AwayWon]], Table2[[GameIsOver]:[GameIsOver]],1,Table2[[HomeTeam]:[HomeTeam]],$T2, Table2[[AwayTeam]:[AwayTeam]], X$1, Table2[[ActualResult]:[ActualResult]], "OT") + SUMIFS(Table2[[HomeWon_]:[HomeWon_]], Table2[[GameIsOver]:[GameIsOver]],1,Table2[[AwayTeam]:[AwayTeam]],$T2, Table2[[HomeTeam]:[HomeTeam]], X$1, Table2[[ActualResult]:[ActualResult]], "SO") + SUMIFS(Table2[[AwayWon]:[AwayWon]], Table2[[GameIsOver]:[GameIsOver]],1,Table2[[HomeTeam]:[HomeTeam]],$T2, Table2[[AwayTeam]:[AwayTeam]], X$1, Table2[[ActualResult]:[ActualResult]], "SO")))</f>
        <v>0</v>
      </c>
      <c r="Y2">
        <f>(2*(SUMIFS(Table2[[AwayWon]:[AwayWon]], Table2[[GameIsOver]:[GameIsOver]],1,Table2[[AwayTeam]:[AwayTeam]],$T2, Table2[[HomeTeam]:[HomeTeam]], Y$1) + SUMIFS(Table2[[HomeWon_]:[HomeWon_]], Table2[[GameIsOver]:[GameIsOver]],1,Table2[[HomeTeam]:[HomeTeam]],$T2, Table2[[AwayTeam]:[AwayTeam]], Y$1))) + (0*(SUMIFS(Table2[[HomeWon_]:[HomeWon_]], Table2[[GameIsOver]:[GameIsOver]],1,Table2[[AwayTeam]:[AwayTeam]],$T2, Table2[[HomeTeam]:[HomeTeam]], Y$1, Table2[[ActualResult]:[ActualResult]], "REG") + SUMIFS(Table2[[AwayWon]:[AwayWon]], Table2[[GameIsOver]:[GameIsOver]],1,Table2[[HomeTeam]:[HomeTeam]],$T2, Table2[[AwayTeam]:[AwayTeam]], Y$1, Table2[[ActualResult]:[ActualResult]], "REG"))) + (1*(SUMIFS(Table2[[HomeWon_]:[HomeWon_]], Table2[[GameIsOver]:[GameIsOver]],1,Table2[[AwayTeam]:[AwayTeam]],$T2, Table2[[HomeTeam]:[HomeTeam]], Y$1, Table2[[ActualResult]:[ActualResult]], "OT") + SUMIFS(Table2[[AwayWon]:[AwayWon]], Table2[[GameIsOver]:[GameIsOver]],1,Table2[[HomeTeam]:[HomeTeam]],$T2, Table2[[AwayTeam]:[AwayTeam]], Y$1, Table2[[ActualResult]:[ActualResult]], "OT") + SUMIFS(Table2[[HomeWon_]:[HomeWon_]], Table2[[GameIsOver]:[GameIsOver]],1,Table2[[AwayTeam]:[AwayTeam]],$T2, Table2[[HomeTeam]:[HomeTeam]], Y$1, Table2[[ActualResult]:[ActualResult]], "SO") + SUMIFS(Table2[[AwayWon]:[AwayWon]], Table2[[GameIsOver]:[GameIsOver]],1,Table2[[HomeTeam]:[HomeTeam]],$T2, Table2[[AwayTeam]:[AwayTeam]], Y$1, Table2[[ActualResult]:[ActualResult]], "SO")))</f>
        <v>1</v>
      </c>
      <c r="Z2">
        <f>(2*(SUMIFS(Table2[[AwayWon]:[AwayWon]], Table2[[GameIsOver]:[GameIsOver]],1,Table2[[AwayTeam]:[AwayTeam]],$T2, Table2[[HomeTeam]:[HomeTeam]], Z$1) + SUMIFS(Table2[[HomeWon_]:[HomeWon_]], Table2[[GameIsOver]:[GameIsOver]],1,Table2[[HomeTeam]:[HomeTeam]],$T2, Table2[[AwayTeam]:[AwayTeam]], Z$1))) + (0*(SUMIFS(Table2[[HomeWon_]:[HomeWon_]], Table2[[GameIsOver]:[GameIsOver]],1,Table2[[AwayTeam]:[AwayTeam]],$T2, Table2[[HomeTeam]:[HomeTeam]], Z$1, Table2[[ActualResult]:[ActualResult]], "REG") + SUMIFS(Table2[[AwayWon]:[AwayWon]], Table2[[GameIsOver]:[GameIsOver]],1,Table2[[HomeTeam]:[HomeTeam]],$T2, Table2[[AwayTeam]:[AwayTeam]], Z$1, Table2[[ActualResult]:[ActualResult]], "REG"))) + (1*(SUMIFS(Table2[[HomeWon_]:[HomeWon_]], Table2[[GameIsOver]:[GameIsOver]],1,Table2[[AwayTeam]:[AwayTeam]],$T2, Table2[[HomeTeam]:[HomeTeam]], Z$1, Table2[[ActualResult]:[ActualResult]], "OT") + SUMIFS(Table2[[AwayWon]:[AwayWon]], Table2[[GameIsOver]:[GameIsOver]],1,Table2[[HomeTeam]:[HomeTeam]],$T2, Table2[[AwayTeam]:[AwayTeam]], Z$1, Table2[[ActualResult]:[ActualResult]], "OT") + SUMIFS(Table2[[HomeWon_]:[HomeWon_]], Table2[[GameIsOver]:[GameIsOver]],1,Table2[[AwayTeam]:[AwayTeam]],$T2, Table2[[HomeTeam]:[HomeTeam]], Z$1, Table2[[ActualResult]:[ActualResult]], "SO") + SUMIFS(Table2[[AwayWon]:[AwayWon]], Table2[[GameIsOver]:[GameIsOver]],1,Table2[[HomeTeam]:[HomeTeam]],$T2, Table2[[AwayTeam]:[AwayTeam]], Z$1, Table2[[ActualResult]:[ActualResult]], "SO")))</f>
        <v>1</v>
      </c>
      <c r="AA2">
        <f>(2*(SUMIFS(Table2[[AwayWon]:[AwayWon]], Table2[[GameIsOver]:[GameIsOver]],1,Table2[[AwayTeam]:[AwayTeam]],$T2, Table2[[HomeTeam]:[HomeTeam]], AA$1) + SUMIFS(Table2[[HomeWon_]:[HomeWon_]], Table2[[GameIsOver]:[GameIsOver]],1,Table2[[HomeTeam]:[HomeTeam]],$T2, Table2[[AwayTeam]:[AwayTeam]], AA$1))) + (0*(SUMIFS(Table2[[HomeWon_]:[HomeWon_]], Table2[[GameIsOver]:[GameIsOver]],1,Table2[[AwayTeam]:[AwayTeam]],$T2, Table2[[HomeTeam]:[HomeTeam]], AA$1, Table2[[ActualResult]:[ActualResult]], "REG") + SUMIFS(Table2[[AwayWon]:[AwayWon]], Table2[[GameIsOver]:[GameIsOver]],1,Table2[[HomeTeam]:[HomeTeam]],$T2, Table2[[AwayTeam]:[AwayTeam]], AA$1, Table2[[ActualResult]:[ActualResult]], "REG"))) + (1*(SUMIFS(Table2[[HomeWon_]:[HomeWon_]], Table2[[GameIsOver]:[GameIsOver]],1,Table2[[AwayTeam]:[AwayTeam]],$T2, Table2[[HomeTeam]:[HomeTeam]], AA$1, Table2[[ActualResult]:[ActualResult]], "OT") + SUMIFS(Table2[[AwayWon]:[AwayWon]], Table2[[GameIsOver]:[GameIsOver]],1,Table2[[HomeTeam]:[HomeTeam]],$T2, Table2[[AwayTeam]:[AwayTeam]], AA$1, Table2[[ActualResult]:[ActualResult]], "OT") + SUMIFS(Table2[[HomeWon_]:[HomeWon_]], Table2[[GameIsOver]:[GameIsOver]],1,Table2[[AwayTeam]:[AwayTeam]],$T2, Table2[[HomeTeam]:[HomeTeam]], AA$1, Table2[[ActualResult]:[ActualResult]], "SO") + SUMIFS(Table2[[AwayWon]:[AwayWon]], Table2[[GameIsOver]:[GameIsOver]],1,Table2[[HomeTeam]:[HomeTeam]],$T2, Table2[[AwayTeam]:[AwayTeam]], AA$1, Table2[[ActualResult]:[ActualResult]], "SO")))</f>
        <v>2</v>
      </c>
      <c r="AB2">
        <f>(2*(SUMIFS(Table2[[AwayWon]:[AwayWon]], Table2[[GameIsOver]:[GameIsOver]],1,Table2[[AwayTeam]:[AwayTeam]],$T2, Table2[[HomeTeam]:[HomeTeam]], AB$1) + SUMIFS(Table2[[HomeWon_]:[HomeWon_]], Table2[[GameIsOver]:[GameIsOver]],1,Table2[[HomeTeam]:[HomeTeam]],$T2, Table2[[AwayTeam]:[AwayTeam]], AB$1))) + (0*(SUMIFS(Table2[[HomeWon_]:[HomeWon_]], Table2[[GameIsOver]:[GameIsOver]],1,Table2[[AwayTeam]:[AwayTeam]],$T2, Table2[[HomeTeam]:[HomeTeam]], AB$1, Table2[[ActualResult]:[ActualResult]], "REG") + SUMIFS(Table2[[AwayWon]:[AwayWon]], Table2[[GameIsOver]:[GameIsOver]],1,Table2[[HomeTeam]:[HomeTeam]],$T2, Table2[[AwayTeam]:[AwayTeam]], AB$1, Table2[[ActualResult]:[ActualResult]], "REG"))) + (1*(SUMIFS(Table2[[HomeWon_]:[HomeWon_]], Table2[[GameIsOver]:[GameIsOver]],1,Table2[[AwayTeam]:[AwayTeam]],$T2, Table2[[HomeTeam]:[HomeTeam]], AB$1, Table2[[ActualResult]:[ActualResult]], "OT") + SUMIFS(Table2[[AwayWon]:[AwayWon]], Table2[[GameIsOver]:[GameIsOver]],1,Table2[[HomeTeam]:[HomeTeam]],$T2, Table2[[AwayTeam]:[AwayTeam]], AB$1, Table2[[ActualResult]:[ActualResult]], "OT") + SUMIFS(Table2[[HomeWon_]:[HomeWon_]], Table2[[GameIsOver]:[GameIsOver]],1,Table2[[AwayTeam]:[AwayTeam]],$T2, Table2[[HomeTeam]:[HomeTeam]], AB$1, Table2[[ActualResult]:[ActualResult]], "SO") + SUMIFS(Table2[[AwayWon]:[AwayWon]], Table2[[GameIsOver]:[GameIsOver]],1,Table2[[HomeTeam]:[HomeTeam]],$T2, Table2[[AwayTeam]:[AwayTeam]], AB$1, Table2[[ActualResult]:[ActualResult]], "SO")))</f>
        <v>0</v>
      </c>
      <c r="AC2">
        <f>(2*(SUMIFS(Table2[[AwayWon]:[AwayWon]], Table2[[GameIsOver]:[GameIsOver]],1,Table2[[AwayTeam]:[AwayTeam]],$T2, Table2[[HomeTeam]:[HomeTeam]], AC$1) + SUMIFS(Table2[[HomeWon_]:[HomeWon_]], Table2[[GameIsOver]:[GameIsOver]],1,Table2[[HomeTeam]:[HomeTeam]],$T2, Table2[[AwayTeam]:[AwayTeam]], AC$1))) + (0*(SUMIFS(Table2[[HomeWon_]:[HomeWon_]], Table2[[GameIsOver]:[GameIsOver]],1,Table2[[AwayTeam]:[AwayTeam]],$T2, Table2[[HomeTeam]:[HomeTeam]], AC$1, Table2[[ActualResult]:[ActualResult]], "REG") + SUMIFS(Table2[[AwayWon]:[AwayWon]], Table2[[GameIsOver]:[GameIsOver]],1,Table2[[HomeTeam]:[HomeTeam]],$T2, Table2[[AwayTeam]:[AwayTeam]], AC$1, Table2[[ActualResult]:[ActualResult]], "REG"))) + (1*(SUMIFS(Table2[[HomeWon_]:[HomeWon_]], Table2[[GameIsOver]:[GameIsOver]],1,Table2[[AwayTeam]:[AwayTeam]],$T2, Table2[[HomeTeam]:[HomeTeam]], AC$1, Table2[[ActualResult]:[ActualResult]], "OT") + SUMIFS(Table2[[AwayWon]:[AwayWon]], Table2[[GameIsOver]:[GameIsOver]],1,Table2[[HomeTeam]:[HomeTeam]],$T2, Table2[[AwayTeam]:[AwayTeam]], AC$1, Table2[[ActualResult]:[ActualResult]], "OT") + SUMIFS(Table2[[HomeWon_]:[HomeWon_]], Table2[[GameIsOver]:[GameIsOver]],1,Table2[[AwayTeam]:[AwayTeam]],$T2, Table2[[HomeTeam]:[HomeTeam]], AC$1, Table2[[ActualResult]:[ActualResult]], "SO") + SUMIFS(Table2[[AwayWon]:[AwayWon]], Table2[[GameIsOver]:[GameIsOver]],1,Table2[[HomeTeam]:[HomeTeam]],$T2, Table2[[AwayTeam]:[AwayTeam]], AC$1, Table2[[ActualResult]:[ActualResult]], "SO")))</f>
        <v>0</v>
      </c>
      <c r="AD2">
        <f>(2*(SUMIFS(Table2[[AwayWon]:[AwayWon]], Table2[[GameIsOver]:[GameIsOver]],1,Table2[[AwayTeam]:[AwayTeam]],$T2, Table2[[HomeTeam]:[HomeTeam]], AD$1) + SUMIFS(Table2[[HomeWon_]:[HomeWon_]], Table2[[GameIsOver]:[GameIsOver]],1,Table2[[HomeTeam]:[HomeTeam]],$T2, Table2[[AwayTeam]:[AwayTeam]], AD$1))) + (0*(SUMIFS(Table2[[HomeWon_]:[HomeWon_]], Table2[[GameIsOver]:[GameIsOver]],1,Table2[[AwayTeam]:[AwayTeam]],$T2, Table2[[HomeTeam]:[HomeTeam]], AD$1, Table2[[ActualResult]:[ActualResult]], "REG") + SUMIFS(Table2[[AwayWon]:[AwayWon]], Table2[[GameIsOver]:[GameIsOver]],1,Table2[[HomeTeam]:[HomeTeam]],$T2, Table2[[AwayTeam]:[AwayTeam]], AD$1, Table2[[ActualResult]:[ActualResult]], "REG"))) + (1*(SUMIFS(Table2[[HomeWon_]:[HomeWon_]], Table2[[GameIsOver]:[GameIsOver]],1,Table2[[AwayTeam]:[AwayTeam]],$T2, Table2[[HomeTeam]:[HomeTeam]], AD$1, Table2[[ActualResult]:[ActualResult]], "OT") + SUMIFS(Table2[[AwayWon]:[AwayWon]], Table2[[GameIsOver]:[GameIsOver]],1,Table2[[HomeTeam]:[HomeTeam]],$T2, Table2[[AwayTeam]:[AwayTeam]], AD$1, Table2[[ActualResult]:[ActualResult]], "OT") + SUMIFS(Table2[[HomeWon_]:[HomeWon_]], Table2[[GameIsOver]:[GameIsOver]],1,Table2[[AwayTeam]:[AwayTeam]],$T2, Table2[[HomeTeam]:[HomeTeam]], AD$1, Table2[[ActualResult]:[ActualResult]], "SO") + SUMIFS(Table2[[AwayWon]:[AwayWon]], Table2[[GameIsOver]:[GameIsOver]],1,Table2[[HomeTeam]:[HomeTeam]],$T2, Table2[[AwayTeam]:[AwayTeam]], AD$1, Table2[[ActualResult]:[ActualResult]], "SO")))</f>
        <v>0</v>
      </c>
      <c r="AE2">
        <f>(2*(SUMIFS(Table2[[AwayWon]:[AwayWon]], Table2[[GameIsOver]:[GameIsOver]],1,Table2[[AwayTeam]:[AwayTeam]],$T2, Table2[[HomeTeam]:[HomeTeam]], AE$1) + SUMIFS(Table2[[HomeWon_]:[HomeWon_]], Table2[[GameIsOver]:[GameIsOver]],1,Table2[[HomeTeam]:[HomeTeam]],$T2, Table2[[AwayTeam]:[AwayTeam]], AE$1))) + (0*(SUMIFS(Table2[[HomeWon_]:[HomeWon_]], Table2[[GameIsOver]:[GameIsOver]],1,Table2[[AwayTeam]:[AwayTeam]],$T2, Table2[[HomeTeam]:[HomeTeam]], AE$1, Table2[[ActualResult]:[ActualResult]], "REG") + SUMIFS(Table2[[AwayWon]:[AwayWon]], Table2[[GameIsOver]:[GameIsOver]],1,Table2[[HomeTeam]:[HomeTeam]],$T2, Table2[[AwayTeam]:[AwayTeam]], AE$1, Table2[[ActualResult]:[ActualResult]], "REG"))) + (1*(SUMIFS(Table2[[HomeWon_]:[HomeWon_]], Table2[[GameIsOver]:[GameIsOver]],1,Table2[[AwayTeam]:[AwayTeam]],$T2, Table2[[HomeTeam]:[HomeTeam]], AE$1, Table2[[ActualResult]:[ActualResult]], "OT") + SUMIFS(Table2[[AwayWon]:[AwayWon]], Table2[[GameIsOver]:[GameIsOver]],1,Table2[[HomeTeam]:[HomeTeam]],$T2, Table2[[AwayTeam]:[AwayTeam]], AE$1, Table2[[ActualResult]:[ActualResult]], "OT") + SUMIFS(Table2[[HomeWon_]:[HomeWon_]], Table2[[GameIsOver]:[GameIsOver]],1,Table2[[AwayTeam]:[AwayTeam]],$T2, Table2[[HomeTeam]:[HomeTeam]], AE$1, Table2[[ActualResult]:[ActualResult]], "SO") + SUMIFS(Table2[[AwayWon]:[AwayWon]], Table2[[GameIsOver]:[GameIsOver]],1,Table2[[HomeTeam]:[HomeTeam]],$T2, Table2[[AwayTeam]:[AwayTeam]], AE$1, Table2[[ActualResult]:[ActualResult]], "SO")))</f>
        <v>0</v>
      </c>
      <c r="AF2">
        <f>(2*(SUMIFS(Table2[[AwayWon]:[AwayWon]], Table2[[GameIsOver]:[GameIsOver]],1,Table2[[AwayTeam]:[AwayTeam]],$T2, Table2[[HomeTeam]:[HomeTeam]], AF$1) + SUMIFS(Table2[[HomeWon_]:[HomeWon_]], Table2[[GameIsOver]:[GameIsOver]],1,Table2[[HomeTeam]:[HomeTeam]],$T2, Table2[[AwayTeam]:[AwayTeam]], AF$1))) + (0*(SUMIFS(Table2[[HomeWon_]:[HomeWon_]], Table2[[GameIsOver]:[GameIsOver]],1,Table2[[AwayTeam]:[AwayTeam]],$T2, Table2[[HomeTeam]:[HomeTeam]], AF$1, Table2[[ActualResult]:[ActualResult]], "REG") + SUMIFS(Table2[[AwayWon]:[AwayWon]], Table2[[GameIsOver]:[GameIsOver]],1,Table2[[HomeTeam]:[HomeTeam]],$T2, Table2[[AwayTeam]:[AwayTeam]], AF$1, Table2[[ActualResult]:[ActualResult]], "REG"))) + (1*(SUMIFS(Table2[[HomeWon_]:[HomeWon_]], Table2[[GameIsOver]:[GameIsOver]],1,Table2[[AwayTeam]:[AwayTeam]],$T2, Table2[[HomeTeam]:[HomeTeam]], AF$1, Table2[[ActualResult]:[ActualResult]], "OT") + SUMIFS(Table2[[AwayWon]:[AwayWon]], Table2[[GameIsOver]:[GameIsOver]],1,Table2[[HomeTeam]:[HomeTeam]],$T2, Table2[[AwayTeam]:[AwayTeam]], AF$1, Table2[[ActualResult]:[ActualResult]], "OT") + SUMIFS(Table2[[HomeWon_]:[HomeWon_]], Table2[[GameIsOver]:[GameIsOver]],1,Table2[[AwayTeam]:[AwayTeam]],$T2, Table2[[HomeTeam]:[HomeTeam]], AF$1, Table2[[ActualResult]:[ActualResult]], "SO") + SUMIFS(Table2[[AwayWon]:[AwayWon]], Table2[[GameIsOver]:[GameIsOver]],1,Table2[[HomeTeam]:[HomeTeam]],$T2, Table2[[AwayTeam]:[AwayTeam]], AF$1, Table2[[ActualResult]:[ActualResult]], "SO")))</f>
        <v>0</v>
      </c>
      <c r="AG2">
        <f>(2*(SUMIFS(Table2[[AwayWon]:[AwayWon]], Table2[[GameIsOver]:[GameIsOver]],1,Table2[[AwayTeam]:[AwayTeam]],$T2, Table2[[HomeTeam]:[HomeTeam]], AG$1) + SUMIFS(Table2[[HomeWon_]:[HomeWon_]], Table2[[GameIsOver]:[GameIsOver]],1,Table2[[HomeTeam]:[HomeTeam]],$T2, Table2[[AwayTeam]:[AwayTeam]], AG$1))) + (0*(SUMIFS(Table2[[HomeWon_]:[HomeWon_]], Table2[[GameIsOver]:[GameIsOver]],1,Table2[[AwayTeam]:[AwayTeam]],$T2, Table2[[HomeTeam]:[HomeTeam]], AG$1, Table2[[ActualResult]:[ActualResult]], "REG") + SUMIFS(Table2[[AwayWon]:[AwayWon]], Table2[[GameIsOver]:[GameIsOver]],1,Table2[[HomeTeam]:[HomeTeam]],$T2, Table2[[AwayTeam]:[AwayTeam]], AG$1, Table2[[ActualResult]:[ActualResult]], "REG"))) + (1*(SUMIFS(Table2[[HomeWon_]:[HomeWon_]], Table2[[GameIsOver]:[GameIsOver]],1,Table2[[AwayTeam]:[AwayTeam]],$T2, Table2[[HomeTeam]:[HomeTeam]], AG$1, Table2[[ActualResult]:[ActualResult]], "OT") + SUMIFS(Table2[[AwayWon]:[AwayWon]], Table2[[GameIsOver]:[GameIsOver]],1,Table2[[HomeTeam]:[HomeTeam]],$T2, Table2[[AwayTeam]:[AwayTeam]], AG$1, Table2[[ActualResult]:[ActualResult]], "OT") + SUMIFS(Table2[[HomeWon_]:[HomeWon_]], Table2[[GameIsOver]:[GameIsOver]],1,Table2[[AwayTeam]:[AwayTeam]],$T2, Table2[[HomeTeam]:[HomeTeam]], AG$1, Table2[[ActualResult]:[ActualResult]], "SO") + SUMIFS(Table2[[AwayWon]:[AwayWon]], Table2[[GameIsOver]:[GameIsOver]],1,Table2[[HomeTeam]:[HomeTeam]],$T2, Table2[[AwayTeam]:[AwayTeam]], AG$1, Table2[[ActualResult]:[ActualResult]], "SO")))</f>
        <v>0</v>
      </c>
      <c r="AH2">
        <f>(2*(SUMIFS(Table2[[AwayWon]:[AwayWon]], Table2[[GameIsOver]:[GameIsOver]],1,Table2[[AwayTeam]:[AwayTeam]],$T2, Table2[[HomeTeam]:[HomeTeam]], AH$1) + SUMIFS(Table2[[HomeWon_]:[HomeWon_]], Table2[[GameIsOver]:[GameIsOver]],1,Table2[[HomeTeam]:[HomeTeam]],$T2, Table2[[AwayTeam]:[AwayTeam]], AH$1))) + (0*(SUMIFS(Table2[[HomeWon_]:[HomeWon_]], Table2[[GameIsOver]:[GameIsOver]],1,Table2[[AwayTeam]:[AwayTeam]],$T2, Table2[[HomeTeam]:[HomeTeam]], AH$1, Table2[[ActualResult]:[ActualResult]], "REG") + SUMIFS(Table2[[AwayWon]:[AwayWon]], Table2[[GameIsOver]:[GameIsOver]],1,Table2[[HomeTeam]:[HomeTeam]],$T2, Table2[[AwayTeam]:[AwayTeam]], AH$1, Table2[[ActualResult]:[ActualResult]], "REG"))) + (1*(SUMIFS(Table2[[HomeWon_]:[HomeWon_]], Table2[[GameIsOver]:[GameIsOver]],1,Table2[[AwayTeam]:[AwayTeam]],$T2, Table2[[HomeTeam]:[HomeTeam]], AH$1, Table2[[ActualResult]:[ActualResult]], "OT") + SUMIFS(Table2[[AwayWon]:[AwayWon]], Table2[[GameIsOver]:[GameIsOver]],1,Table2[[HomeTeam]:[HomeTeam]],$T2, Table2[[AwayTeam]:[AwayTeam]], AH$1, Table2[[ActualResult]:[ActualResult]], "OT") + SUMIFS(Table2[[HomeWon_]:[HomeWon_]], Table2[[GameIsOver]:[GameIsOver]],1,Table2[[AwayTeam]:[AwayTeam]],$T2, Table2[[HomeTeam]:[HomeTeam]], AH$1, Table2[[ActualResult]:[ActualResult]], "SO") + SUMIFS(Table2[[AwayWon]:[AwayWon]], Table2[[GameIsOver]:[GameIsOver]],1,Table2[[HomeTeam]:[HomeTeam]],$T2, Table2[[AwayTeam]:[AwayTeam]], AH$1, Table2[[ActualResult]:[ActualResult]], "SO")))</f>
        <v>0</v>
      </c>
      <c r="AI2">
        <f>(2*(SUMIFS(Table2[[AwayWon]:[AwayWon]], Table2[[GameIsOver]:[GameIsOver]],1,Table2[[AwayTeam]:[AwayTeam]],$T2, Table2[[HomeTeam]:[HomeTeam]], AI$1) + SUMIFS(Table2[[HomeWon_]:[HomeWon_]], Table2[[GameIsOver]:[GameIsOver]],1,Table2[[HomeTeam]:[HomeTeam]],$T2, Table2[[AwayTeam]:[AwayTeam]], AI$1))) + (0*(SUMIFS(Table2[[HomeWon_]:[HomeWon_]], Table2[[GameIsOver]:[GameIsOver]],1,Table2[[AwayTeam]:[AwayTeam]],$T2, Table2[[HomeTeam]:[HomeTeam]], AI$1, Table2[[ActualResult]:[ActualResult]], "REG") + SUMIFS(Table2[[AwayWon]:[AwayWon]], Table2[[GameIsOver]:[GameIsOver]],1,Table2[[HomeTeam]:[HomeTeam]],$T2, Table2[[AwayTeam]:[AwayTeam]], AI$1, Table2[[ActualResult]:[ActualResult]], "REG"))) + (1*(SUMIFS(Table2[[HomeWon_]:[HomeWon_]], Table2[[GameIsOver]:[GameIsOver]],1,Table2[[AwayTeam]:[AwayTeam]],$T2, Table2[[HomeTeam]:[HomeTeam]], AI$1, Table2[[ActualResult]:[ActualResult]], "OT") + SUMIFS(Table2[[AwayWon]:[AwayWon]], Table2[[GameIsOver]:[GameIsOver]],1,Table2[[HomeTeam]:[HomeTeam]],$T2, Table2[[AwayTeam]:[AwayTeam]], AI$1, Table2[[ActualResult]:[ActualResult]], "OT") + SUMIFS(Table2[[HomeWon_]:[HomeWon_]], Table2[[GameIsOver]:[GameIsOver]],1,Table2[[AwayTeam]:[AwayTeam]],$T2, Table2[[HomeTeam]:[HomeTeam]], AI$1, Table2[[ActualResult]:[ActualResult]], "SO") + SUMIFS(Table2[[AwayWon]:[AwayWon]], Table2[[GameIsOver]:[GameIsOver]],1,Table2[[HomeTeam]:[HomeTeam]],$T2, Table2[[AwayTeam]:[AwayTeam]], AI$1, Table2[[ActualResult]:[ActualResult]], "SO")))</f>
        <v>0</v>
      </c>
      <c r="AJ2">
        <f>(2*(SUMIFS(Table2[[AwayWon]:[AwayWon]], Table2[[GameIsOver]:[GameIsOver]],1,Table2[[AwayTeam]:[AwayTeam]],$T2, Table2[[HomeTeam]:[HomeTeam]], AJ$1) + SUMIFS(Table2[[HomeWon_]:[HomeWon_]], Table2[[GameIsOver]:[GameIsOver]],1,Table2[[HomeTeam]:[HomeTeam]],$T2, Table2[[AwayTeam]:[AwayTeam]], AJ$1))) + (0*(SUMIFS(Table2[[HomeWon_]:[HomeWon_]], Table2[[GameIsOver]:[GameIsOver]],1,Table2[[AwayTeam]:[AwayTeam]],$T2, Table2[[HomeTeam]:[HomeTeam]], AJ$1, Table2[[ActualResult]:[ActualResult]], "REG") + SUMIFS(Table2[[AwayWon]:[AwayWon]], Table2[[GameIsOver]:[GameIsOver]],1,Table2[[HomeTeam]:[HomeTeam]],$T2, Table2[[AwayTeam]:[AwayTeam]], AJ$1, Table2[[ActualResult]:[ActualResult]], "REG"))) + (1*(SUMIFS(Table2[[HomeWon_]:[HomeWon_]], Table2[[GameIsOver]:[GameIsOver]],1,Table2[[AwayTeam]:[AwayTeam]],$T2, Table2[[HomeTeam]:[HomeTeam]], AJ$1, Table2[[ActualResult]:[ActualResult]], "OT") + SUMIFS(Table2[[AwayWon]:[AwayWon]], Table2[[GameIsOver]:[GameIsOver]],1,Table2[[HomeTeam]:[HomeTeam]],$T2, Table2[[AwayTeam]:[AwayTeam]], AJ$1, Table2[[ActualResult]:[ActualResult]], "OT") + SUMIFS(Table2[[HomeWon_]:[HomeWon_]], Table2[[GameIsOver]:[GameIsOver]],1,Table2[[AwayTeam]:[AwayTeam]],$T2, Table2[[HomeTeam]:[HomeTeam]], AJ$1, Table2[[ActualResult]:[ActualResult]], "SO") + SUMIFS(Table2[[AwayWon]:[AwayWon]], Table2[[GameIsOver]:[GameIsOver]],1,Table2[[HomeTeam]:[HomeTeam]],$T2, Table2[[AwayTeam]:[AwayTeam]], AJ$1, Table2[[ActualResult]:[ActualResult]], "SO")))</f>
        <v>0</v>
      </c>
      <c r="AK2">
        <f>(2*(SUMIFS(Table2[[AwayWon]:[AwayWon]], Table2[[GameIsOver]:[GameIsOver]],1,Table2[[AwayTeam]:[AwayTeam]],$T2, Table2[[HomeTeam]:[HomeTeam]], AK$1) + SUMIFS(Table2[[HomeWon_]:[HomeWon_]], Table2[[GameIsOver]:[GameIsOver]],1,Table2[[HomeTeam]:[HomeTeam]],$T2, Table2[[AwayTeam]:[AwayTeam]], AK$1))) + (0*(SUMIFS(Table2[[HomeWon_]:[HomeWon_]], Table2[[GameIsOver]:[GameIsOver]],1,Table2[[AwayTeam]:[AwayTeam]],$T2, Table2[[HomeTeam]:[HomeTeam]], AK$1, Table2[[ActualResult]:[ActualResult]], "REG") + SUMIFS(Table2[[AwayWon]:[AwayWon]], Table2[[GameIsOver]:[GameIsOver]],1,Table2[[HomeTeam]:[HomeTeam]],$T2, Table2[[AwayTeam]:[AwayTeam]], AK$1, Table2[[ActualResult]:[ActualResult]], "REG"))) + (1*(SUMIFS(Table2[[HomeWon_]:[HomeWon_]], Table2[[GameIsOver]:[GameIsOver]],1,Table2[[AwayTeam]:[AwayTeam]],$T2, Table2[[HomeTeam]:[HomeTeam]], AK$1, Table2[[ActualResult]:[ActualResult]], "OT") + SUMIFS(Table2[[AwayWon]:[AwayWon]], Table2[[GameIsOver]:[GameIsOver]],1,Table2[[HomeTeam]:[HomeTeam]],$T2, Table2[[AwayTeam]:[AwayTeam]], AK$1, Table2[[ActualResult]:[ActualResult]], "OT") + SUMIFS(Table2[[HomeWon_]:[HomeWon_]], Table2[[GameIsOver]:[GameIsOver]],1,Table2[[AwayTeam]:[AwayTeam]],$T2, Table2[[HomeTeam]:[HomeTeam]], AK$1, Table2[[ActualResult]:[ActualResult]], "SO") + SUMIFS(Table2[[AwayWon]:[AwayWon]], Table2[[GameIsOver]:[GameIsOver]],1,Table2[[HomeTeam]:[HomeTeam]],$T2, Table2[[AwayTeam]:[AwayTeam]], AK$1, Table2[[ActualResult]:[ActualResult]], "SO")))</f>
        <v>0</v>
      </c>
      <c r="AL2">
        <f>(2*(SUMIFS(Table2[[AwayWon]:[AwayWon]], Table2[[GameIsOver]:[GameIsOver]],1,Table2[[AwayTeam]:[AwayTeam]],$T2, Table2[[HomeTeam]:[HomeTeam]], AL$1) + SUMIFS(Table2[[HomeWon_]:[HomeWon_]], Table2[[GameIsOver]:[GameIsOver]],1,Table2[[HomeTeam]:[HomeTeam]],$T2, Table2[[AwayTeam]:[AwayTeam]], AL$1))) + (0*(SUMIFS(Table2[[HomeWon_]:[HomeWon_]], Table2[[GameIsOver]:[GameIsOver]],1,Table2[[AwayTeam]:[AwayTeam]],$T2, Table2[[HomeTeam]:[HomeTeam]], AL$1, Table2[[ActualResult]:[ActualResult]], "REG") + SUMIFS(Table2[[AwayWon]:[AwayWon]], Table2[[GameIsOver]:[GameIsOver]],1,Table2[[HomeTeam]:[HomeTeam]],$T2, Table2[[AwayTeam]:[AwayTeam]], AL$1, Table2[[ActualResult]:[ActualResult]], "REG"))) + (1*(SUMIFS(Table2[[HomeWon_]:[HomeWon_]], Table2[[GameIsOver]:[GameIsOver]],1,Table2[[AwayTeam]:[AwayTeam]],$T2, Table2[[HomeTeam]:[HomeTeam]], AL$1, Table2[[ActualResult]:[ActualResult]], "OT") + SUMIFS(Table2[[AwayWon]:[AwayWon]], Table2[[GameIsOver]:[GameIsOver]],1,Table2[[HomeTeam]:[HomeTeam]],$T2, Table2[[AwayTeam]:[AwayTeam]], AL$1, Table2[[ActualResult]:[ActualResult]], "OT") + SUMIFS(Table2[[HomeWon_]:[HomeWon_]], Table2[[GameIsOver]:[GameIsOver]],1,Table2[[AwayTeam]:[AwayTeam]],$T2, Table2[[HomeTeam]:[HomeTeam]], AL$1, Table2[[ActualResult]:[ActualResult]], "SO") + SUMIFS(Table2[[AwayWon]:[AwayWon]], Table2[[GameIsOver]:[GameIsOver]],1,Table2[[HomeTeam]:[HomeTeam]],$T2, Table2[[AwayTeam]:[AwayTeam]], AL$1, Table2[[ActualResult]:[ActualResult]], "SO")))</f>
        <v>2</v>
      </c>
      <c r="AM2">
        <f>(2*(SUMIFS(Table2[[AwayWon]:[AwayWon]], Table2[[GameIsOver]:[GameIsOver]],1,Table2[[AwayTeam]:[AwayTeam]],$T2, Table2[[HomeTeam]:[HomeTeam]], AM$1) + SUMIFS(Table2[[HomeWon_]:[HomeWon_]], Table2[[GameIsOver]:[GameIsOver]],1,Table2[[HomeTeam]:[HomeTeam]],$T2, Table2[[AwayTeam]:[AwayTeam]], AM$1))) + (0*(SUMIFS(Table2[[HomeWon_]:[HomeWon_]], Table2[[GameIsOver]:[GameIsOver]],1,Table2[[AwayTeam]:[AwayTeam]],$T2, Table2[[HomeTeam]:[HomeTeam]], AM$1, Table2[[ActualResult]:[ActualResult]], "REG") + SUMIFS(Table2[[AwayWon]:[AwayWon]], Table2[[GameIsOver]:[GameIsOver]],1,Table2[[HomeTeam]:[HomeTeam]],$T2, Table2[[AwayTeam]:[AwayTeam]], AM$1, Table2[[ActualResult]:[ActualResult]], "REG"))) + (1*(SUMIFS(Table2[[HomeWon_]:[HomeWon_]], Table2[[GameIsOver]:[GameIsOver]],1,Table2[[AwayTeam]:[AwayTeam]],$T2, Table2[[HomeTeam]:[HomeTeam]], AM$1, Table2[[ActualResult]:[ActualResult]], "OT") + SUMIFS(Table2[[AwayWon]:[AwayWon]], Table2[[GameIsOver]:[GameIsOver]],1,Table2[[HomeTeam]:[HomeTeam]],$T2, Table2[[AwayTeam]:[AwayTeam]], AM$1, Table2[[ActualResult]:[ActualResult]], "OT") + SUMIFS(Table2[[HomeWon_]:[HomeWon_]], Table2[[GameIsOver]:[GameIsOver]],1,Table2[[AwayTeam]:[AwayTeam]],$T2, Table2[[HomeTeam]:[HomeTeam]], AM$1, Table2[[ActualResult]:[ActualResult]], "SO") + SUMIFS(Table2[[AwayWon]:[AwayWon]], Table2[[GameIsOver]:[GameIsOver]],1,Table2[[HomeTeam]:[HomeTeam]],$T2, Table2[[AwayTeam]:[AwayTeam]], AM$1, Table2[[ActualResult]:[ActualResult]], "SO")))</f>
        <v>0</v>
      </c>
      <c r="AN2">
        <f>(2*(SUMIFS(Table2[[AwayWon]:[AwayWon]], Table2[[GameIsOver]:[GameIsOver]],1,Table2[[AwayTeam]:[AwayTeam]],$T2, Table2[[HomeTeam]:[HomeTeam]], AN$1) + SUMIFS(Table2[[HomeWon_]:[HomeWon_]], Table2[[GameIsOver]:[GameIsOver]],1,Table2[[HomeTeam]:[HomeTeam]],$T2, Table2[[AwayTeam]:[AwayTeam]], AN$1))) + (0*(SUMIFS(Table2[[HomeWon_]:[HomeWon_]], Table2[[GameIsOver]:[GameIsOver]],1,Table2[[AwayTeam]:[AwayTeam]],$T2, Table2[[HomeTeam]:[HomeTeam]], AN$1, Table2[[ActualResult]:[ActualResult]], "REG") + SUMIFS(Table2[[AwayWon]:[AwayWon]], Table2[[GameIsOver]:[GameIsOver]],1,Table2[[HomeTeam]:[HomeTeam]],$T2, Table2[[AwayTeam]:[AwayTeam]], AN$1, Table2[[ActualResult]:[ActualResult]], "REG"))) + (1*(SUMIFS(Table2[[HomeWon_]:[HomeWon_]], Table2[[GameIsOver]:[GameIsOver]],1,Table2[[AwayTeam]:[AwayTeam]],$T2, Table2[[HomeTeam]:[HomeTeam]], AN$1, Table2[[ActualResult]:[ActualResult]], "OT") + SUMIFS(Table2[[AwayWon]:[AwayWon]], Table2[[GameIsOver]:[GameIsOver]],1,Table2[[HomeTeam]:[HomeTeam]],$T2, Table2[[AwayTeam]:[AwayTeam]], AN$1, Table2[[ActualResult]:[ActualResult]], "OT") + SUMIFS(Table2[[HomeWon_]:[HomeWon_]], Table2[[GameIsOver]:[GameIsOver]],1,Table2[[AwayTeam]:[AwayTeam]],$T2, Table2[[HomeTeam]:[HomeTeam]], AN$1, Table2[[ActualResult]:[ActualResult]], "SO") + SUMIFS(Table2[[AwayWon]:[AwayWon]], Table2[[GameIsOver]:[GameIsOver]],1,Table2[[HomeTeam]:[HomeTeam]],$T2, Table2[[AwayTeam]:[AwayTeam]], AN$1, Table2[[ActualResult]:[ActualResult]], "SO")))</f>
        <v>0</v>
      </c>
      <c r="AO2">
        <f>(2*(SUMIFS(Table2[[AwayWon]:[AwayWon]], Table2[[GameIsOver]:[GameIsOver]],1,Table2[[AwayTeam]:[AwayTeam]],$T2, Table2[[HomeTeam]:[HomeTeam]], AO$1) + SUMIFS(Table2[[HomeWon_]:[HomeWon_]], Table2[[GameIsOver]:[GameIsOver]],1,Table2[[HomeTeam]:[HomeTeam]],$T2, Table2[[AwayTeam]:[AwayTeam]], AO$1))) + (0*(SUMIFS(Table2[[HomeWon_]:[HomeWon_]], Table2[[GameIsOver]:[GameIsOver]],1,Table2[[AwayTeam]:[AwayTeam]],$T2, Table2[[HomeTeam]:[HomeTeam]], AO$1, Table2[[ActualResult]:[ActualResult]], "REG") + SUMIFS(Table2[[AwayWon]:[AwayWon]], Table2[[GameIsOver]:[GameIsOver]],1,Table2[[HomeTeam]:[HomeTeam]],$T2, Table2[[AwayTeam]:[AwayTeam]], AO$1, Table2[[ActualResult]:[ActualResult]], "REG"))) + (1*(SUMIFS(Table2[[HomeWon_]:[HomeWon_]], Table2[[GameIsOver]:[GameIsOver]],1,Table2[[AwayTeam]:[AwayTeam]],$T2, Table2[[HomeTeam]:[HomeTeam]], AO$1, Table2[[ActualResult]:[ActualResult]], "OT") + SUMIFS(Table2[[AwayWon]:[AwayWon]], Table2[[GameIsOver]:[GameIsOver]],1,Table2[[HomeTeam]:[HomeTeam]],$T2, Table2[[AwayTeam]:[AwayTeam]], AO$1, Table2[[ActualResult]:[ActualResult]], "OT") + SUMIFS(Table2[[HomeWon_]:[HomeWon_]], Table2[[GameIsOver]:[GameIsOver]],1,Table2[[AwayTeam]:[AwayTeam]],$T2, Table2[[HomeTeam]:[HomeTeam]], AO$1, Table2[[ActualResult]:[ActualResult]], "SO") + SUMIFS(Table2[[AwayWon]:[AwayWon]], Table2[[GameIsOver]:[GameIsOver]],1,Table2[[HomeTeam]:[HomeTeam]],$T2, Table2[[AwayTeam]:[AwayTeam]], AO$1, Table2[[ActualResult]:[ActualResult]], "SO")))</f>
        <v>0</v>
      </c>
      <c r="AP2">
        <f>(2*(SUMIFS(Table2[[AwayWon]:[AwayWon]], Table2[[GameIsOver]:[GameIsOver]],1,Table2[[AwayTeam]:[AwayTeam]],$T2, Table2[[HomeTeam]:[HomeTeam]], AP$1) + SUMIFS(Table2[[HomeWon_]:[HomeWon_]], Table2[[GameIsOver]:[GameIsOver]],1,Table2[[HomeTeam]:[HomeTeam]],$T2, Table2[[AwayTeam]:[AwayTeam]], AP$1))) + (0*(SUMIFS(Table2[[HomeWon_]:[HomeWon_]], Table2[[GameIsOver]:[GameIsOver]],1,Table2[[AwayTeam]:[AwayTeam]],$T2, Table2[[HomeTeam]:[HomeTeam]], AP$1, Table2[[ActualResult]:[ActualResult]], "REG") + SUMIFS(Table2[[AwayWon]:[AwayWon]], Table2[[GameIsOver]:[GameIsOver]],1,Table2[[HomeTeam]:[HomeTeam]],$T2, Table2[[AwayTeam]:[AwayTeam]], AP$1, Table2[[ActualResult]:[ActualResult]], "REG"))) + (1*(SUMIFS(Table2[[HomeWon_]:[HomeWon_]], Table2[[GameIsOver]:[GameIsOver]],1,Table2[[AwayTeam]:[AwayTeam]],$T2, Table2[[HomeTeam]:[HomeTeam]], AP$1, Table2[[ActualResult]:[ActualResult]], "OT") + SUMIFS(Table2[[AwayWon]:[AwayWon]], Table2[[GameIsOver]:[GameIsOver]],1,Table2[[HomeTeam]:[HomeTeam]],$T2, Table2[[AwayTeam]:[AwayTeam]], AP$1, Table2[[ActualResult]:[ActualResult]], "OT") + SUMIFS(Table2[[HomeWon_]:[HomeWon_]], Table2[[GameIsOver]:[GameIsOver]],1,Table2[[AwayTeam]:[AwayTeam]],$T2, Table2[[HomeTeam]:[HomeTeam]], AP$1, Table2[[ActualResult]:[ActualResult]], "SO") + SUMIFS(Table2[[AwayWon]:[AwayWon]], Table2[[GameIsOver]:[GameIsOver]],1,Table2[[HomeTeam]:[HomeTeam]],$T2, Table2[[AwayTeam]:[AwayTeam]], AP$1, Table2[[ActualResult]:[ActualResult]], "SO")))</f>
        <v>0</v>
      </c>
      <c r="AQ2">
        <f>(2*(SUMIFS(Table2[[AwayWon]:[AwayWon]], Table2[[GameIsOver]:[GameIsOver]],1,Table2[[AwayTeam]:[AwayTeam]],$T2, Table2[[HomeTeam]:[HomeTeam]], AQ$1) + SUMIFS(Table2[[HomeWon_]:[HomeWon_]], Table2[[GameIsOver]:[GameIsOver]],1,Table2[[HomeTeam]:[HomeTeam]],$T2, Table2[[AwayTeam]:[AwayTeam]], AQ$1))) + (0*(SUMIFS(Table2[[HomeWon_]:[HomeWon_]], Table2[[GameIsOver]:[GameIsOver]],1,Table2[[AwayTeam]:[AwayTeam]],$T2, Table2[[HomeTeam]:[HomeTeam]], AQ$1, Table2[[ActualResult]:[ActualResult]], "REG") + SUMIFS(Table2[[AwayWon]:[AwayWon]], Table2[[GameIsOver]:[GameIsOver]],1,Table2[[HomeTeam]:[HomeTeam]],$T2, Table2[[AwayTeam]:[AwayTeam]], AQ$1, Table2[[ActualResult]:[ActualResult]], "REG"))) + (1*(SUMIFS(Table2[[HomeWon_]:[HomeWon_]], Table2[[GameIsOver]:[GameIsOver]],1,Table2[[AwayTeam]:[AwayTeam]],$T2, Table2[[HomeTeam]:[HomeTeam]], AQ$1, Table2[[ActualResult]:[ActualResult]], "OT") + SUMIFS(Table2[[AwayWon]:[AwayWon]], Table2[[GameIsOver]:[GameIsOver]],1,Table2[[HomeTeam]:[HomeTeam]],$T2, Table2[[AwayTeam]:[AwayTeam]], AQ$1, Table2[[ActualResult]:[ActualResult]], "OT") + SUMIFS(Table2[[HomeWon_]:[HomeWon_]], Table2[[GameIsOver]:[GameIsOver]],1,Table2[[AwayTeam]:[AwayTeam]],$T2, Table2[[HomeTeam]:[HomeTeam]], AQ$1, Table2[[ActualResult]:[ActualResult]], "SO") + SUMIFS(Table2[[AwayWon]:[AwayWon]], Table2[[GameIsOver]:[GameIsOver]],1,Table2[[HomeTeam]:[HomeTeam]],$T2, Table2[[AwayTeam]:[AwayTeam]], AQ$1, Table2[[ActualResult]:[ActualResult]], "SO")))</f>
        <v>0</v>
      </c>
      <c r="AR2">
        <f>(2*(SUMIFS(Table2[[AwayWon]:[AwayWon]], Table2[[GameIsOver]:[GameIsOver]],1,Table2[[AwayTeam]:[AwayTeam]],$T2, Table2[[HomeTeam]:[HomeTeam]], AR$1) + SUMIFS(Table2[[HomeWon_]:[HomeWon_]], Table2[[GameIsOver]:[GameIsOver]],1,Table2[[HomeTeam]:[HomeTeam]],$T2, Table2[[AwayTeam]:[AwayTeam]], AR$1))) + (0*(SUMIFS(Table2[[HomeWon_]:[HomeWon_]], Table2[[GameIsOver]:[GameIsOver]],1,Table2[[AwayTeam]:[AwayTeam]],$T2, Table2[[HomeTeam]:[HomeTeam]], AR$1, Table2[[ActualResult]:[ActualResult]], "REG") + SUMIFS(Table2[[AwayWon]:[AwayWon]], Table2[[GameIsOver]:[GameIsOver]],1,Table2[[HomeTeam]:[HomeTeam]],$T2, Table2[[AwayTeam]:[AwayTeam]], AR$1, Table2[[ActualResult]:[ActualResult]], "REG"))) + (1*(SUMIFS(Table2[[HomeWon_]:[HomeWon_]], Table2[[GameIsOver]:[GameIsOver]],1,Table2[[AwayTeam]:[AwayTeam]],$T2, Table2[[HomeTeam]:[HomeTeam]], AR$1, Table2[[ActualResult]:[ActualResult]], "OT") + SUMIFS(Table2[[AwayWon]:[AwayWon]], Table2[[GameIsOver]:[GameIsOver]],1,Table2[[HomeTeam]:[HomeTeam]],$T2, Table2[[AwayTeam]:[AwayTeam]], AR$1, Table2[[ActualResult]:[ActualResult]], "OT") + SUMIFS(Table2[[HomeWon_]:[HomeWon_]], Table2[[GameIsOver]:[GameIsOver]],1,Table2[[AwayTeam]:[AwayTeam]],$T2, Table2[[HomeTeam]:[HomeTeam]], AR$1, Table2[[ActualResult]:[ActualResult]], "SO") + SUMIFS(Table2[[AwayWon]:[AwayWon]], Table2[[GameIsOver]:[GameIsOver]],1,Table2[[HomeTeam]:[HomeTeam]],$T2, Table2[[AwayTeam]:[AwayTeam]], AR$1, Table2[[ActualResult]:[ActualResult]], "SO")))</f>
        <v>0</v>
      </c>
      <c r="AS2">
        <f>(2*(SUMIFS(Table2[[AwayWon]:[AwayWon]], Table2[[GameIsOver]:[GameIsOver]],1,Table2[[AwayTeam]:[AwayTeam]],$T2, Table2[[HomeTeam]:[HomeTeam]], AS$1) + SUMIFS(Table2[[HomeWon_]:[HomeWon_]], Table2[[GameIsOver]:[GameIsOver]],1,Table2[[HomeTeam]:[HomeTeam]],$T2, Table2[[AwayTeam]:[AwayTeam]], AS$1))) + (0*(SUMIFS(Table2[[HomeWon_]:[HomeWon_]], Table2[[GameIsOver]:[GameIsOver]],1,Table2[[AwayTeam]:[AwayTeam]],$T2, Table2[[HomeTeam]:[HomeTeam]], AS$1, Table2[[ActualResult]:[ActualResult]], "REG") + SUMIFS(Table2[[AwayWon]:[AwayWon]], Table2[[GameIsOver]:[GameIsOver]],1,Table2[[HomeTeam]:[HomeTeam]],$T2, Table2[[AwayTeam]:[AwayTeam]], AS$1, Table2[[ActualResult]:[ActualResult]], "REG"))) + (1*(SUMIFS(Table2[[HomeWon_]:[HomeWon_]], Table2[[GameIsOver]:[GameIsOver]],1,Table2[[AwayTeam]:[AwayTeam]],$T2, Table2[[HomeTeam]:[HomeTeam]], AS$1, Table2[[ActualResult]:[ActualResult]], "OT") + SUMIFS(Table2[[AwayWon]:[AwayWon]], Table2[[GameIsOver]:[GameIsOver]],1,Table2[[HomeTeam]:[HomeTeam]],$T2, Table2[[AwayTeam]:[AwayTeam]], AS$1, Table2[[ActualResult]:[ActualResult]], "OT") + SUMIFS(Table2[[HomeWon_]:[HomeWon_]], Table2[[GameIsOver]:[GameIsOver]],1,Table2[[AwayTeam]:[AwayTeam]],$T2, Table2[[HomeTeam]:[HomeTeam]], AS$1, Table2[[ActualResult]:[ActualResult]], "SO") + SUMIFS(Table2[[AwayWon]:[AwayWon]], Table2[[GameIsOver]:[GameIsOver]],1,Table2[[HomeTeam]:[HomeTeam]],$T2, Table2[[AwayTeam]:[AwayTeam]], AS$1, Table2[[ActualResult]:[ActualResult]], "SO")))</f>
        <v>0</v>
      </c>
      <c r="AT2">
        <f>(2*(SUMIFS(Table2[[AwayWon]:[AwayWon]], Table2[[GameIsOver]:[GameIsOver]],1,Table2[[AwayTeam]:[AwayTeam]],$T2, Table2[[HomeTeam]:[HomeTeam]], AT$1) + SUMIFS(Table2[[HomeWon_]:[HomeWon_]], Table2[[GameIsOver]:[GameIsOver]],1,Table2[[HomeTeam]:[HomeTeam]],$T2, Table2[[AwayTeam]:[AwayTeam]], AT$1))) + (0*(SUMIFS(Table2[[HomeWon_]:[HomeWon_]], Table2[[GameIsOver]:[GameIsOver]],1,Table2[[AwayTeam]:[AwayTeam]],$T2, Table2[[HomeTeam]:[HomeTeam]], AT$1, Table2[[ActualResult]:[ActualResult]], "REG") + SUMIFS(Table2[[AwayWon]:[AwayWon]], Table2[[GameIsOver]:[GameIsOver]],1,Table2[[HomeTeam]:[HomeTeam]],$T2, Table2[[AwayTeam]:[AwayTeam]], AT$1, Table2[[ActualResult]:[ActualResult]], "REG"))) + (1*(SUMIFS(Table2[[HomeWon_]:[HomeWon_]], Table2[[GameIsOver]:[GameIsOver]],1,Table2[[AwayTeam]:[AwayTeam]],$T2, Table2[[HomeTeam]:[HomeTeam]], AT$1, Table2[[ActualResult]:[ActualResult]], "OT") + SUMIFS(Table2[[AwayWon]:[AwayWon]], Table2[[GameIsOver]:[GameIsOver]],1,Table2[[HomeTeam]:[HomeTeam]],$T2, Table2[[AwayTeam]:[AwayTeam]], AT$1, Table2[[ActualResult]:[ActualResult]], "OT") + SUMIFS(Table2[[HomeWon_]:[HomeWon_]], Table2[[GameIsOver]:[GameIsOver]],1,Table2[[AwayTeam]:[AwayTeam]],$T2, Table2[[HomeTeam]:[HomeTeam]], AT$1, Table2[[ActualResult]:[ActualResult]], "SO") + SUMIFS(Table2[[AwayWon]:[AwayWon]], Table2[[GameIsOver]:[GameIsOver]],1,Table2[[HomeTeam]:[HomeTeam]],$T2, Table2[[AwayTeam]:[AwayTeam]], AT$1, Table2[[ActualResult]:[ActualResult]], "SO")))</f>
        <v>2</v>
      </c>
      <c r="AU2">
        <f>(2*(SUMIFS(Table2[[AwayWon]:[AwayWon]], Table2[[GameIsOver]:[GameIsOver]],1,Table2[[AwayTeam]:[AwayTeam]],$T2, Table2[[HomeTeam]:[HomeTeam]], AU$1) + SUMIFS(Table2[[HomeWon_]:[HomeWon_]], Table2[[GameIsOver]:[GameIsOver]],1,Table2[[HomeTeam]:[HomeTeam]],$T2, Table2[[AwayTeam]:[AwayTeam]], AU$1))) + (0*(SUMIFS(Table2[[HomeWon_]:[HomeWon_]], Table2[[GameIsOver]:[GameIsOver]],1,Table2[[AwayTeam]:[AwayTeam]],$T2, Table2[[HomeTeam]:[HomeTeam]], AU$1, Table2[[ActualResult]:[ActualResult]], "REG") + SUMIFS(Table2[[AwayWon]:[AwayWon]], Table2[[GameIsOver]:[GameIsOver]],1,Table2[[HomeTeam]:[HomeTeam]],$T2, Table2[[AwayTeam]:[AwayTeam]], AU$1, Table2[[ActualResult]:[ActualResult]], "REG"))) + (1*(SUMIFS(Table2[[HomeWon_]:[HomeWon_]], Table2[[GameIsOver]:[GameIsOver]],1,Table2[[AwayTeam]:[AwayTeam]],$T2, Table2[[HomeTeam]:[HomeTeam]], AU$1, Table2[[ActualResult]:[ActualResult]], "OT") + SUMIFS(Table2[[AwayWon]:[AwayWon]], Table2[[GameIsOver]:[GameIsOver]],1,Table2[[HomeTeam]:[HomeTeam]],$T2, Table2[[AwayTeam]:[AwayTeam]], AU$1, Table2[[ActualResult]:[ActualResult]], "OT") + SUMIFS(Table2[[HomeWon_]:[HomeWon_]], Table2[[GameIsOver]:[GameIsOver]],1,Table2[[AwayTeam]:[AwayTeam]],$T2, Table2[[HomeTeam]:[HomeTeam]], AU$1, Table2[[ActualResult]:[ActualResult]], "SO") + SUMIFS(Table2[[AwayWon]:[AwayWon]], Table2[[GameIsOver]:[GameIsOver]],1,Table2[[HomeTeam]:[HomeTeam]],$T2, Table2[[AwayTeam]:[AwayTeam]], AU$1, Table2[[ActualResult]:[ActualResult]], "SO")))</f>
        <v>0</v>
      </c>
      <c r="AV2">
        <f>(2*(SUMIFS(Table2[[AwayWon]:[AwayWon]], Table2[[GameIsOver]:[GameIsOver]],1,Table2[[AwayTeam]:[AwayTeam]],$T2, Table2[[HomeTeam]:[HomeTeam]], AV$1) + SUMIFS(Table2[[HomeWon_]:[HomeWon_]], Table2[[GameIsOver]:[GameIsOver]],1,Table2[[HomeTeam]:[HomeTeam]],$T2, Table2[[AwayTeam]:[AwayTeam]], AV$1))) + (0*(SUMIFS(Table2[[HomeWon_]:[HomeWon_]], Table2[[GameIsOver]:[GameIsOver]],1,Table2[[AwayTeam]:[AwayTeam]],$T2, Table2[[HomeTeam]:[HomeTeam]], AV$1, Table2[[ActualResult]:[ActualResult]], "REG") + SUMIFS(Table2[[AwayWon]:[AwayWon]], Table2[[GameIsOver]:[GameIsOver]],1,Table2[[HomeTeam]:[HomeTeam]],$T2, Table2[[AwayTeam]:[AwayTeam]], AV$1, Table2[[ActualResult]:[ActualResult]], "REG"))) + (1*(SUMIFS(Table2[[HomeWon_]:[HomeWon_]], Table2[[GameIsOver]:[GameIsOver]],1,Table2[[AwayTeam]:[AwayTeam]],$T2, Table2[[HomeTeam]:[HomeTeam]], AV$1, Table2[[ActualResult]:[ActualResult]], "OT") + SUMIFS(Table2[[AwayWon]:[AwayWon]], Table2[[GameIsOver]:[GameIsOver]],1,Table2[[HomeTeam]:[HomeTeam]],$T2, Table2[[AwayTeam]:[AwayTeam]], AV$1, Table2[[ActualResult]:[ActualResult]], "OT") + SUMIFS(Table2[[HomeWon_]:[HomeWon_]], Table2[[GameIsOver]:[GameIsOver]],1,Table2[[AwayTeam]:[AwayTeam]],$T2, Table2[[HomeTeam]:[HomeTeam]], AV$1, Table2[[ActualResult]:[ActualResult]], "SO") + SUMIFS(Table2[[AwayWon]:[AwayWon]], Table2[[GameIsOver]:[GameIsOver]],1,Table2[[HomeTeam]:[HomeTeam]],$T2, Table2[[AwayTeam]:[AwayTeam]], AV$1, Table2[[ActualResult]:[ActualResult]], "SO")))</f>
        <v>0</v>
      </c>
      <c r="AW2">
        <f>(2*(SUMIFS(Table2[[AwayWon]:[AwayWon]], Table2[[GameIsOver]:[GameIsOver]],1,Table2[[AwayTeam]:[AwayTeam]],$T2, Table2[[HomeTeam]:[HomeTeam]], AW$1) + SUMIFS(Table2[[HomeWon_]:[HomeWon_]], Table2[[GameIsOver]:[GameIsOver]],1,Table2[[HomeTeam]:[HomeTeam]],$T2, Table2[[AwayTeam]:[AwayTeam]], AW$1))) + (0*(SUMIFS(Table2[[HomeWon_]:[HomeWon_]], Table2[[GameIsOver]:[GameIsOver]],1,Table2[[AwayTeam]:[AwayTeam]],$T2, Table2[[HomeTeam]:[HomeTeam]], AW$1, Table2[[ActualResult]:[ActualResult]], "REG") + SUMIFS(Table2[[AwayWon]:[AwayWon]], Table2[[GameIsOver]:[GameIsOver]],1,Table2[[HomeTeam]:[HomeTeam]],$T2, Table2[[AwayTeam]:[AwayTeam]], AW$1, Table2[[ActualResult]:[ActualResult]], "REG"))) + (1*(SUMIFS(Table2[[HomeWon_]:[HomeWon_]], Table2[[GameIsOver]:[GameIsOver]],1,Table2[[AwayTeam]:[AwayTeam]],$T2, Table2[[HomeTeam]:[HomeTeam]], AW$1, Table2[[ActualResult]:[ActualResult]], "OT") + SUMIFS(Table2[[AwayWon]:[AwayWon]], Table2[[GameIsOver]:[GameIsOver]],1,Table2[[HomeTeam]:[HomeTeam]],$T2, Table2[[AwayTeam]:[AwayTeam]], AW$1, Table2[[ActualResult]:[ActualResult]], "OT") + SUMIFS(Table2[[HomeWon_]:[HomeWon_]], Table2[[GameIsOver]:[GameIsOver]],1,Table2[[AwayTeam]:[AwayTeam]],$T2, Table2[[HomeTeam]:[HomeTeam]], AW$1, Table2[[ActualResult]:[ActualResult]], "SO") + SUMIFS(Table2[[AwayWon]:[AwayWon]], Table2[[GameIsOver]:[GameIsOver]],1,Table2[[HomeTeam]:[HomeTeam]],$T2, Table2[[AwayTeam]:[AwayTeam]], AW$1, Table2[[ActualResult]:[ActualResult]], "SO")))</f>
        <v>0</v>
      </c>
      <c r="AX2">
        <f>(2*(SUMIFS(Table2[[AwayWon]:[AwayWon]], Table2[[GameIsOver]:[GameIsOver]],1,Table2[[AwayTeam]:[AwayTeam]],$T2, Table2[[HomeTeam]:[HomeTeam]], AX$1) + SUMIFS(Table2[[HomeWon_]:[HomeWon_]], Table2[[GameIsOver]:[GameIsOver]],1,Table2[[HomeTeam]:[HomeTeam]],$T2, Table2[[AwayTeam]:[AwayTeam]], AX$1))) + (0*(SUMIFS(Table2[[HomeWon_]:[HomeWon_]], Table2[[GameIsOver]:[GameIsOver]],1,Table2[[AwayTeam]:[AwayTeam]],$T2, Table2[[HomeTeam]:[HomeTeam]], AX$1, Table2[[ActualResult]:[ActualResult]], "REG") + SUMIFS(Table2[[AwayWon]:[AwayWon]], Table2[[GameIsOver]:[GameIsOver]],1,Table2[[HomeTeam]:[HomeTeam]],$T2, Table2[[AwayTeam]:[AwayTeam]], AX$1, Table2[[ActualResult]:[ActualResult]], "REG"))) + (1*(SUMIFS(Table2[[HomeWon_]:[HomeWon_]], Table2[[GameIsOver]:[GameIsOver]],1,Table2[[AwayTeam]:[AwayTeam]],$T2, Table2[[HomeTeam]:[HomeTeam]], AX$1, Table2[[ActualResult]:[ActualResult]], "OT") + SUMIFS(Table2[[AwayWon]:[AwayWon]], Table2[[GameIsOver]:[GameIsOver]],1,Table2[[HomeTeam]:[HomeTeam]],$T2, Table2[[AwayTeam]:[AwayTeam]], AX$1, Table2[[ActualResult]:[ActualResult]], "OT") + SUMIFS(Table2[[HomeWon_]:[HomeWon_]], Table2[[GameIsOver]:[GameIsOver]],1,Table2[[AwayTeam]:[AwayTeam]],$T2, Table2[[HomeTeam]:[HomeTeam]], AX$1, Table2[[ActualResult]:[ActualResult]], "SO") + SUMIFS(Table2[[AwayWon]:[AwayWon]], Table2[[GameIsOver]:[GameIsOver]],1,Table2[[HomeTeam]:[HomeTeam]],$T2, Table2[[AwayTeam]:[AwayTeam]], AX$1, Table2[[ActualResult]:[ActualResult]], "SO")))</f>
        <v>0</v>
      </c>
      <c r="AY2">
        <f>(2*(SUMIFS(Table2[[AwayWon]:[AwayWon]], Table2[[GameIsOver]:[GameIsOver]],1,Table2[[AwayTeam]:[AwayTeam]],$T2, Table2[[HomeTeam]:[HomeTeam]], AY$1) + SUMIFS(Table2[[HomeWon_]:[HomeWon_]], Table2[[GameIsOver]:[GameIsOver]],1,Table2[[HomeTeam]:[HomeTeam]],$T2, Table2[[AwayTeam]:[AwayTeam]], AY$1))) + (0*(SUMIFS(Table2[[HomeWon_]:[HomeWon_]], Table2[[GameIsOver]:[GameIsOver]],1,Table2[[AwayTeam]:[AwayTeam]],$T2, Table2[[HomeTeam]:[HomeTeam]], AY$1, Table2[[ActualResult]:[ActualResult]], "REG") + SUMIFS(Table2[[AwayWon]:[AwayWon]], Table2[[GameIsOver]:[GameIsOver]],1,Table2[[HomeTeam]:[HomeTeam]],$T2, Table2[[AwayTeam]:[AwayTeam]], AY$1, Table2[[ActualResult]:[ActualResult]], "REG"))) + (1*(SUMIFS(Table2[[HomeWon_]:[HomeWon_]], Table2[[GameIsOver]:[GameIsOver]],1,Table2[[AwayTeam]:[AwayTeam]],$T2, Table2[[HomeTeam]:[HomeTeam]], AY$1, Table2[[ActualResult]:[ActualResult]], "OT") + SUMIFS(Table2[[AwayWon]:[AwayWon]], Table2[[GameIsOver]:[GameIsOver]],1,Table2[[HomeTeam]:[HomeTeam]],$T2, Table2[[AwayTeam]:[AwayTeam]], AY$1, Table2[[ActualResult]:[ActualResult]], "OT") + SUMIFS(Table2[[HomeWon_]:[HomeWon_]], Table2[[GameIsOver]:[GameIsOver]],1,Table2[[AwayTeam]:[AwayTeam]],$T2, Table2[[HomeTeam]:[HomeTeam]], AY$1, Table2[[ActualResult]:[ActualResult]], "SO") + SUMIFS(Table2[[AwayWon]:[AwayWon]], Table2[[GameIsOver]:[GameIsOver]],1,Table2[[HomeTeam]:[HomeTeam]],$T2, Table2[[AwayTeam]:[AwayTeam]], AY$1, Table2[[ActualResult]:[ActualResult]], "SO")))</f>
        <v>0</v>
      </c>
      <c r="AZ2">
        <f>(2*(SUMIFS(Table2[[AwayWon]:[AwayWon]], Table2[[GameIsOver]:[GameIsOver]],1,Table2[[AwayTeam]:[AwayTeam]],$T2, Table2[[HomeTeam]:[HomeTeam]], AZ$1) + SUMIFS(Table2[[HomeWon_]:[HomeWon_]], Table2[[GameIsOver]:[GameIsOver]],1,Table2[[HomeTeam]:[HomeTeam]],$T2, Table2[[AwayTeam]:[AwayTeam]], AZ$1))) + (0*(SUMIFS(Table2[[HomeWon_]:[HomeWon_]], Table2[[GameIsOver]:[GameIsOver]],1,Table2[[AwayTeam]:[AwayTeam]],$T2, Table2[[HomeTeam]:[HomeTeam]], AZ$1, Table2[[ActualResult]:[ActualResult]], "REG") + SUMIFS(Table2[[AwayWon]:[AwayWon]], Table2[[GameIsOver]:[GameIsOver]],1,Table2[[HomeTeam]:[HomeTeam]],$T2, Table2[[AwayTeam]:[AwayTeam]], AZ$1, Table2[[ActualResult]:[ActualResult]], "REG"))) + (1*(SUMIFS(Table2[[HomeWon_]:[HomeWon_]], Table2[[GameIsOver]:[GameIsOver]],1,Table2[[AwayTeam]:[AwayTeam]],$T2, Table2[[HomeTeam]:[HomeTeam]], AZ$1, Table2[[ActualResult]:[ActualResult]], "OT") + SUMIFS(Table2[[AwayWon]:[AwayWon]], Table2[[GameIsOver]:[GameIsOver]],1,Table2[[HomeTeam]:[HomeTeam]],$T2, Table2[[AwayTeam]:[AwayTeam]], AZ$1, Table2[[ActualResult]:[ActualResult]], "OT") + SUMIFS(Table2[[HomeWon_]:[HomeWon_]], Table2[[GameIsOver]:[GameIsOver]],1,Table2[[AwayTeam]:[AwayTeam]],$T2, Table2[[HomeTeam]:[HomeTeam]], AZ$1, Table2[[ActualResult]:[ActualResult]], "SO") + SUMIFS(Table2[[AwayWon]:[AwayWon]], Table2[[GameIsOver]:[GameIsOver]],1,Table2[[HomeTeam]:[HomeTeam]],$T2, Table2[[AwayTeam]:[AwayTeam]], AZ$1, Table2[[ActualResult]:[ActualResult]], "SO")))</f>
        <v>0</v>
      </c>
      <c r="BA2">
        <f>(2*(SUMIFS(Table2[[AwayWon]:[AwayWon]], Table2[[GameIsOver]:[GameIsOver]],1,Table2[[AwayTeam]:[AwayTeam]],$T2, Table2[[HomeTeam]:[HomeTeam]], BA$1) + SUMIFS(Table2[[HomeWon_]:[HomeWon_]], Table2[[GameIsOver]:[GameIsOver]],1,Table2[[HomeTeam]:[HomeTeam]],$T2, Table2[[AwayTeam]:[AwayTeam]], BA$1))) + (0*(SUMIFS(Table2[[HomeWon_]:[HomeWon_]], Table2[[GameIsOver]:[GameIsOver]],1,Table2[[AwayTeam]:[AwayTeam]],$T2, Table2[[HomeTeam]:[HomeTeam]], BA$1, Table2[[ActualResult]:[ActualResult]], "REG") + SUMIFS(Table2[[AwayWon]:[AwayWon]], Table2[[GameIsOver]:[GameIsOver]],1,Table2[[HomeTeam]:[HomeTeam]],$T2, Table2[[AwayTeam]:[AwayTeam]], BA$1, Table2[[ActualResult]:[ActualResult]], "REG"))) + (1*(SUMIFS(Table2[[HomeWon_]:[HomeWon_]], Table2[[GameIsOver]:[GameIsOver]],1,Table2[[AwayTeam]:[AwayTeam]],$T2, Table2[[HomeTeam]:[HomeTeam]], BA$1, Table2[[ActualResult]:[ActualResult]], "OT") + SUMIFS(Table2[[AwayWon]:[AwayWon]], Table2[[GameIsOver]:[GameIsOver]],1,Table2[[HomeTeam]:[HomeTeam]],$T2, Table2[[AwayTeam]:[AwayTeam]], BA$1, Table2[[ActualResult]:[ActualResult]], "OT") + SUMIFS(Table2[[HomeWon_]:[HomeWon_]], Table2[[GameIsOver]:[GameIsOver]],1,Table2[[AwayTeam]:[AwayTeam]],$T2, Table2[[HomeTeam]:[HomeTeam]], BA$1, Table2[[ActualResult]:[ActualResult]], "SO") + SUMIFS(Table2[[AwayWon]:[AwayWon]], Table2[[GameIsOver]:[GameIsOver]],1,Table2[[HomeTeam]:[HomeTeam]],$T2, Table2[[AwayTeam]:[AwayTeam]], BA$1, Table2[[ActualResult]:[ActualResult]], "SO")))</f>
        <v>0</v>
      </c>
    </row>
    <row r="3" spans="1:53" x14ac:dyDescent="0.25">
      <c r="A3" s="62" t="s">
        <v>15</v>
      </c>
      <c r="B3" s="62" t="s">
        <v>91</v>
      </c>
      <c r="C3" s="62" t="s">
        <v>74</v>
      </c>
      <c r="D3" s="62">
        <f>INDEX(Table3[PTS], MATCH(Table6[[#This Row],[Teams]], Table3[Teams],0))</f>
        <v>6</v>
      </c>
      <c r="E3" s="62">
        <f>INDEX(Table3[PTS], MATCH(Table6[[#This Row],[Teams]], Table3[Teams],0))</f>
        <v>6</v>
      </c>
      <c r="S3">
        <v>4</v>
      </c>
      <c r="T3" t="str" cm="1">
        <f t="array" ref="T3">INDEX(Table6[Teams], SMALL(IF(Table6[D]="P", ROW(Table6[Teams])-ROW(Table6[#Headers])), Table7[[#This Row],[PAC]]))</f>
        <v>LAK</v>
      </c>
      <c r="U3">
        <f>INDEX(Table6[PTS], MATCH($T3, Table6[Teams], 0))</f>
        <v>6</v>
      </c>
      <c r="V3">
        <f>(2*(SUMIFS(Table2[[AwayWon]:[AwayWon]], Table2[[GameIsOver]:[GameIsOver]],1,Table2[[AwayTeam]:[AwayTeam]],$T3, Table2[[HomeTeam]:[HomeTeam]], V$1) + SUMIFS(Table2[[HomeWon_]:[HomeWon_]], Table2[[GameIsOver]:[GameIsOver]],1,Table2[[HomeTeam]:[HomeTeam]],$T3, Table2[[AwayTeam]:[AwayTeam]], V$1))) + (0*(SUMIFS(Table2[[HomeWon_]:[HomeWon_]], Table2[[GameIsOver]:[GameIsOver]],1,Table2[[AwayTeam]:[AwayTeam]],$T3, Table2[[HomeTeam]:[HomeTeam]], V$1, Table2[[ActualResult]:[ActualResult]], "REG") + SUMIFS(Table2[[AwayWon]:[AwayWon]], Table2[[GameIsOver]:[GameIsOver]],1,Table2[[HomeTeam]:[HomeTeam]],$T3, Table2[[AwayTeam]:[AwayTeam]], V$1, Table2[[ActualResult]:[ActualResult]], "REG"))) + (1*(SUMIFS(Table2[[HomeWon_]:[HomeWon_]], Table2[[GameIsOver]:[GameIsOver]],1,Table2[[AwayTeam]:[AwayTeam]],$T3, Table2[[HomeTeam]:[HomeTeam]], V$1, Table2[[ActualResult]:[ActualResult]], "OT") + SUMIFS(Table2[[AwayWon]:[AwayWon]], Table2[[GameIsOver]:[GameIsOver]],1,Table2[[HomeTeam]:[HomeTeam]],$T3, Table2[[AwayTeam]:[AwayTeam]], V$1, Table2[[ActualResult]:[ActualResult]], "OT") + SUMIFS(Table2[[HomeWon_]:[HomeWon_]], Table2[[GameIsOver]:[GameIsOver]],1,Table2[[AwayTeam]:[AwayTeam]],$T3, Table2[[HomeTeam]:[HomeTeam]], V$1, Table2[[ActualResult]:[ActualResult]], "SO") + SUMIFS(Table2[[AwayWon]:[AwayWon]], Table2[[GameIsOver]:[GameIsOver]],1,Table2[[HomeTeam]:[HomeTeam]],$T3, Table2[[AwayTeam]:[AwayTeam]], V$1, Table2[[ActualResult]:[ActualResult]], "SO")))</f>
        <v>0</v>
      </c>
      <c r="W3">
        <f>(2*(SUMIFS(Table2[[AwayWon]:[AwayWon]], Table2[[GameIsOver]:[GameIsOver]],1,Table2[[AwayTeam]:[AwayTeam]],$T3, Table2[[HomeTeam]:[HomeTeam]], W$1) + SUMIFS(Table2[[HomeWon_]:[HomeWon_]], Table2[[GameIsOver]:[GameIsOver]],1,Table2[[HomeTeam]:[HomeTeam]],$T3, Table2[[AwayTeam]:[AwayTeam]], W$1))) + (0*(SUMIFS(Table2[[HomeWon_]:[HomeWon_]], Table2[[GameIsOver]:[GameIsOver]],1,Table2[[AwayTeam]:[AwayTeam]],$T3, Table2[[HomeTeam]:[HomeTeam]], W$1, Table2[[ActualResult]:[ActualResult]], "REG") + SUMIFS(Table2[[AwayWon]:[AwayWon]], Table2[[GameIsOver]:[GameIsOver]],1,Table2[[HomeTeam]:[HomeTeam]],$T3, Table2[[AwayTeam]:[AwayTeam]], W$1, Table2[[ActualResult]:[ActualResult]], "REG"))) + (1*(SUMIFS(Table2[[HomeWon_]:[HomeWon_]], Table2[[GameIsOver]:[GameIsOver]],1,Table2[[AwayTeam]:[AwayTeam]],$T3, Table2[[HomeTeam]:[HomeTeam]], W$1, Table2[[ActualResult]:[ActualResult]], "OT") + SUMIFS(Table2[[AwayWon]:[AwayWon]], Table2[[GameIsOver]:[GameIsOver]],1,Table2[[HomeTeam]:[HomeTeam]],$T3, Table2[[AwayTeam]:[AwayTeam]], W$1, Table2[[ActualResult]:[ActualResult]], "OT") + SUMIFS(Table2[[HomeWon_]:[HomeWon_]], Table2[[GameIsOver]:[GameIsOver]],1,Table2[[AwayTeam]:[AwayTeam]],$T3, Table2[[HomeTeam]:[HomeTeam]], W$1, Table2[[ActualResult]:[ActualResult]], "SO") + SUMIFS(Table2[[AwayWon]:[AwayWon]], Table2[[GameIsOver]:[GameIsOver]],1,Table2[[HomeTeam]:[HomeTeam]],$T3, Table2[[AwayTeam]:[AwayTeam]], W$1, Table2[[ActualResult]:[ActualResult]], "SO")))</f>
        <v>0</v>
      </c>
      <c r="X3">
        <f>(2*(SUMIFS(Table2[[AwayWon]:[AwayWon]], Table2[[GameIsOver]:[GameIsOver]],1,Table2[[AwayTeam]:[AwayTeam]],$T3, Table2[[HomeTeam]:[HomeTeam]], X$1) + SUMIFS(Table2[[HomeWon_]:[HomeWon_]], Table2[[GameIsOver]:[GameIsOver]],1,Table2[[HomeTeam]:[HomeTeam]],$T3, Table2[[AwayTeam]:[AwayTeam]], X$1))) + (0*(SUMIFS(Table2[[HomeWon_]:[HomeWon_]], Table2[[GameIsOver]:[GameIsOver]],1,Table2[[AwayTeam]:[AwayTeam]],$T3, Table2[[HomeTeam]:[HomeTeam]], X$1, Table2[[ActualResult]:[ActualResult]], "REG") + SUMIFS(Table2[[AwayWon]:[AwayWon]], Table2[[GameIsOver]:[GameIsOver]],1,Table2[[HomeTeam]:[HomeTeam]],$T3, Table2[[AwayTeam]:[AwayTeam]], X$1, Table2[[ActualResult]:[ActualResult]], "REG"))) + (1*(SUMIFS(Table2[[HomeWon_]:[HomeWon_]], Table2[[GameIsOver]:[GameIsOver]],1,Table2[[AwayTeam]:[AwayTeam]],$T3, Table2[[HomeTeam]:[HomeTeam]], X$1, Table2[[ActualResult]:[ActualResult]], "OT") + SUMIFS(Table2[[AwayWon]:[AwayWon]], Table2[[GameIsOver]:[GameIsOver]],1,Table2[[HomeTeam]:[HomeTeam]],$T3, Table2[[AwayTeam]:[AwayTeam]], X$1, Table2[[ActualResult]:[ActualResult]], "OT") + SUMIFS(Table2[[HomeWon_]:[HomeWon_]], Table2[[GameIsOver]:[GameIsOver]],1,Table2[[AwayTeam]:[AwayTeam]],$T3, Table2[[HomeTeam]:[HomeTeam]], X$1, Table2[[ActualResult]:[ActualResult]], "SO") + SUMIFS(Table2[[AwayWon]:[AwayWon]], Table2[[GameIsOver]:[GameIsOver]],1,Table2[[HomeTeam]:[HomeTeam]],$T3, Table2[[AwayTeam]:[AwayTeam]], X$1, Table2[[ActualResult]:[ActualResult]], "SO")))</f>
        <v>0</v>
      </c>
      <c r="Y3">
        <f>(2*(SUMIFS(Table2[[AwayWon]:[AwayWon]], Table2[[GameIsOver]:[GameIsOver]],1,Table2[[AwayTeam]:[AwayTeam]],$T3, Table2[[HomeTeam]:[HomeTeam]], Y$1) + SUMIFS(Table2[[HomeWon_]:[HomeWon_]], Table2[[GameIsOver]:[GameIsOver]],1,Table2[[HomeTeam]:[HomeTeam]],$T3, Table2[[AwayTeam]:[AwayTeam]], Y$1))) + (0*(SUMIFS(Table2[[HomeWon_]:[HomeWon_]], Table2[[GameIsOver]:[GameIsOver]],1,Table2[[AwayTeam]:[AwayTeam]],$T3, Table2[[HomeTeam]:[HomeTeam]], Y$1, Table2[[ActualResult]:[ActualResult]], "REG") + SUMIFS(Table2[[AwayWon]:[AwayWon]], Table2[[GameIsOver]:[GameIsOver]],1,Table2[[HomeTeam]:[HomeTeam]],$T3, Table2[[AwayTeam]:[AwayTeam]], Y$1, Table2[[ActualResult]:[ActualResult]], "REG"))) + (1*(SUMIFS(Table2[[HomeWon_]:[HomeWon_]], Table2[[GameIsOver]:[GameIsOver]],1,Table2[[AwayTeam]:[AwayTeam]],$T3, Table2[[HomeTeam]:[HomeTeam]], Y$1, Table2[[ActualResult]:[ActualResult]], "OT") + SUMIFS(Table2[[AwayWon]:[AwayWon]], Table2[[GameIsOver]:[GameIsOver]],1,Table2[[HomeTeam]:[HomeTeam]],$T3, Table2[[AwayTeam]:[AwayTeam]], Y$1, Table2[[ActualResult]:[ActualResult]], "OT") + SUMIFS(Table2[[HomeWon_]:[HomeWon_]], Table2[[GameIsOver]:[GameIsOver]],1,Table2[[AwayTeam]:[AwayTeam]],$T3, Table2[[HomeTeam]:[HomeTeam]], Y$1, Table2[[ActualResult]:[ActualResult]], "SO") + SUMIFS(Table2[[AwayWon]:[AwayWon]], Table2[[GameIsOver]:[GameIsOver]],1,Table2[[HomeTeam]:[HomeTeam]],$T3, Table2[[AwayTeam]:[AwayTeam]], Y$1, Table2[[ActualResult]:[ActualResult]], "SO")))</f>
        <v>0</v>
      </c>
      <c r="Z3">
        <f>(2*(SUMIFS(Table2[[AwayWon]:[AwayWon]], Table2[[GameIsOver]:[GameIsOver]],1,Table2[[AwayTeam]:[AwayTeam]],$T3, Table2[[HomeTeam]:[HomeTeam]], Z$1) + SUMIFS(Table2[[HomeWon_]:[HomeWon_]], Table2[[GameIsOver]:[GameIsOver]],1,Table2[[HomeTeam]:[HomeTeam]],$T3, Table2[[AwayTeam]:[AwayTeam]], Z$1))) + (0*(SUMIFS(Table2[[HomeWon_]:[HomeWon_]], Table2[[GameIsOver]:[GameIsOver]],1,Table2[[AwayTeam]:[AwayTeam]],$T3, Table2[[HomeTeam]:[HomeTeam]], Z$1, Table2[[ActualResult]:[ActualResult]], "REG") + SUMIFS(Table2[[AwayWon]:[AwayWon]], Table2[[GameIsOver]:[GameIsOver]],1,Table2[[HomeTeam]:[HomeTeam]],$T3, Table2[[AwayTeam]:[AwayTeam]], Z$1, Table2[[ActualResult]:[ActualResult]], "REG"))) + (1*(SUMIFS(Table2[[HomeWon_]:[HomeWon_]], Table2[[GameIsOver]:[GameIsOver]],1,Table2[[AwayTeam]:[AwayTeam]],$T3, Table2[[HomeTeam]:[HomeTeam]], Z$1, Table2[[ActualResult]:[ActualResult]], "OT") + SUMIFS(Table2[[AwayWon]:[AwayWon]], Table2[[GameIsOver]:[GameIsOver]],1,Table2[[HomeTeam]:[HomeTeam]],$T3, Table2[[AwayTeam]:[AwayTeam]], Z$1, Table2[[ActualResult]:[ActualResult]], "OT") + SUMIFS(Table2[[HomeWon_]:[HomeWon_]], Table2[[GameIsOver]:[GameIsOver]],1,Table2[[AwayTeam]:[AwayTeam]],$T3, Table2[[HomeTeam]:[HomeTeam]], Z$1, Table2[[ActualResult]:[ActualResult]], "SO") + SUMIFS(Table2[[AwayWon]:[AwayWon]], Table2[[GameIsOver]:[GameIsOver]],1,Table2[[HomeTeam]:[HomeTeam]],$T3, Table2[[AwayTeam]:[AwayTeam]], Z$1, Table2[[ActualResult]:[ActualResult]], "SO")))</f>
        <v>0</v>
      </c>
      <c r="AA3">
        <f>(2*(SUMIFS(Table2[[AwayWon]:[AwayWon]], Table2[[GameIsOver]:[GameIsOver]],1,Table2[[AwayTeam]:[AwayTeam]],$T3, Table2[[HomeTeam]:[HomeTeam]], AA$1) + SUMIFS(Table2[[HomeWon_]:[HomeWon_]], Table2[[GameIsOver]:[GameIsOver]],1,Table2[[HomeTeam]:[HomeTeam]],$T3, Table2[[AwayTeam]:[AwayTeam]], AA$1))) + (0*(SUMIFS(Table2[[HomeWon_]:[HomeWon_]], Table2[[GameIsOver]:[GameIsOver]],1,Table2[[AwayTeam]:[AwayTeam]],$T3, Table2[[HomeTeam]:[HomeTeam]], AA$1, Table2[[ActualResult]:[ActualResult]], "REG") + SUMIFS(Table2[[AwayWon]:[AwayWon]], Table2[[GameIsOver]:[GameIsOver]],1,Table2[[HomeTeam]:[HomeTeam]],$T3, Table2[[AwayTeam]:[AwayTeam]], AA$1, Table2[[ActualResult]:[ActualResult]], "REG"))) + (1*(SUMIFS(Table2[[HomeWon_]:[HomeWon_]], Table2[[GameIsOver]:[GameIsOver]],1,Table2[[AwayTeam]:[AwayTeam]],$T3, Table2[[HomeTeam]:[HomeTeam]], AA$1, Table2[[ActualResult]:[ActualResult]], "OT") + SUMIFS(Table2[[AwayWon]:[AwayWon]], Table2[[GameIsOver]:[GameIsOver]],1,Table2[[HomeTeam]:[HomeTeam]],$T3, Table2[[AwayTeam]:[AwayTeam]], AA$1, Table2[[ActualResult]:[ActualResult]], "OT") + SUMIFS(Table2[[HomeWon_]:[HomeWon_]], Table2[[GameIsOver]:[GameIsOver]],1,Table2[[AwayTeam]:[AwayTeam]],$T3, Table2[[HomeTeam]:[HomeTeam]], AA$1, Table2[[ActualResult]:[ActualResult]], "SO") + SUMIFS(Table2[[AwayWon]:[AwayWon]], Table2[[GameIsOver]:[GameIsOver]],1,Table2[[HomeTeam]:[HomeTeam]],$T3, Table2[[AwayTeam]:[AwayTeam]], AA$1, Table2[[ActualResult]:[ActualResult]], "SO")))</f>
        <v>0</v>
      </c>
      <c r="AB3">
        <f>(2*(SUMIFS(Table2[[AwayWon]:[AwayWon]], Table2[[GameIsOver]:[GameIsOver]],1,Table2[[AwayTeam]:[AwayTeam]],$T3, Table2[[HomeTeam]:[HomeTeam]], AB$1) + SUMIFS(Table2[[HomeWon_]:[HomeWon_]], Table2[[GameIsOver]:[GameIsOver]],1,Table2[[HomeTeam]:[HomeTeam]],$T3, Table2[[AwayTeam]:[AwayTeam]], AB$1))) + (0*(SUMIFS(Table2[[HomeWon_]:[HomeWon_]], Table2[[GameIsOver]:[GameIsOver]],1,Table2[[AwayTeam]:[AwayTeam]],$T3, Table2[[HomeTeam]:[HomeTeam]], AB$1, Table2[[ActualResult]:[ActualResult]], "REG") + SUMIFS(Table2[[AwayWon]:[AwayWon]], Table2[[GameIsOver]:[GameIsOver]],1,Table2[[HomeTeam]:[HomeTeam]],$T3, Table2[[AwayTeam]:[AwayTeam]], AB$1, Table2[[ActualResult]:[ActualResult]], "REG"))) + (1*(SUMIFS(Table2[[HomeWon_]:[HomeWon_]], Table2[[GameIsOver]:[GameIsOver]],1,Table2[[AwayTeam]:[AwayTeam]],$T3, Table2[[HomeTeam]:[HomeTeam]], AB$1, Table2[[ActualResult]:[ActualResult]], "OT") + SUMIFS(Table2[[AwayWon]:[AwayWon]], Table2[[GameIsOver]:[GameIsOver]],1,Table2[[HomeTeam]:[HomeTeam]],$T3, Table2[[AwayTeam]:[AwayTeam]], AB$1, Table2[[ActualResult]:[ActualResult]], "OT") + SUMIFS(Table2[[HomeWon_]:[HomeWon_]], Table2[[GameIsOver]:[GameIsOver]],1,Table2[[AwayTeam]:[AwayTeam]],$T3, Table2[[HomeTeam]:[HomeTeam]], AB$1, Table2[[ActualResult]:[ActualResult]], "SO") + SUMIFS(Table2[[AwayWon]:[AwayWon]], Table2[[GameIsOver]:[GameIsOver]],1,Table2[[HomeTeam]:[HomeTeam]],$T3, Table2[[AwayTeam]:[AwayTeam]], AB$1, Table2[[ActualResult]:[ActualResult]], "SO")))</f>
        <v>0</v>
      </c>
      <c r="AC3">
        <f>(2*(SUMIFS(Table2[[AwayWon]:[AwayWon]], Table2[[GameIsOver]:[GameIsOver]],1,Table2[[AwayTeam]:[AwayTeam]],$T3, Table2[[HomeTeam]:[HomeTeam]], AC$1) + SUMIFS(Table2[[HomeWon_]:[HomeWon_]], Table2[[GameIsOver]:[GameIsOver]],1,Table2[[HomeTeam]:[HomeTeam]],$T3, Table2[[AwayTeam]:[AwayTeam]], AC$1))) + (0*(SUMIFS(Table2[[HomeWon_]:[HomeWon_]], Table2[[GameIsOver]:[GameIsOver]],1,Table2[[AwayTeam]:[AwayTeam]],$T3, Table2[[HomeTeam]:[HomeTeam]], AC$1, Table2[[ActualResult]:[ActualResult]], "REG") + SUMIFS(Table2[[AwayWon]:[AwayWon]], Table2[[GameIsOver]:[GameIsOver]],1,Table2[[HomeTeam]:[HomeTeam]],$T3, Table2[[AwayTeam]:[AwayTeam]], AC$1, Table2[[ActualResult]:[ActualResult]], "REG"))) + (1*(SUMIFS(Table2[[HomeWon_]:[HomeWon_]], Table2[[GameIsOver]:[GameIsOver]],1,Table2[[AwayTeam]:[AwayTeam]],$T3, Table2[[HomeTeam]:[HomeTeam]], AC$1, Table2[[ActualResult]:[ActualResult]], "OT") + SUMIFS(Table2[[AwayWon]:[AwayWon]], Table2[[GameIsOver]:[GameIsOver]],1,Table2[[HomeTeam]:[HomeTeam]],$T3, Table2[[AwayTeam]:[AwayTeam]], AC$1, Table2[[ActualResult]:[ActualResult]], "OT") + SUMIFS(Table2[[HomeWon_]:[HomeWon_]], Table2[[GameIsOver]:[GameIsOver]],1,Table2[[AwayTeam]:[AwayTeam]],$T3, Table2[[HomeTeam]:[HomeTeam]], AC$1, Table2[[ActualResult]:[ActualResult]], "SO") + SUMIFS(Table2[[AwayWon]:[AwayWon]], Table2[[GameIsOver]:[GameIsOver]],1,Table2[[HomeTeam]:[HomeTeam]],$T3, Table2[[AwayTeam]:[AwayTeam]], AC$1, Table2[[ActualResult]:[ActualResult]], "SO")))</f>
        <v>2</v>
      </c>
      <c r="AD3">
        <f>(2*(SUMIFS(Table2[[AwayWon]:[AwayWon]], Table2[[GameIsOver]:[GameIsOver]],1,Table2[[AwayTeam]:[AwayTeam]],$T3, Table2[[HomeTeam]:[HomeTeam]], AD$1) + SUMIFS(Table2[[HomeWon_]:[HomeWon_]], Table2[[GameIsOver]:[GameIsOver]],1,Table2[[HomeTeam]:[HomeTeam]],$T3, Table2[[AwayTeam]:[AwayTeam]], AD$1))) + (0*(SUMIFS(Table2[[HomeWon_]:[HomeWon_]], Table2[[GameIsOver]:[GameIsOver]],1,Table2[[AwayTeam]:[AwayTeam]],$T3, Table2[[HomeTeam]:[HomeTeam]], AD$1, Table2[[ActualResult]:[ActualResult]], "REG") + SUMIFS(Table2[[AwayWon]:[AwayWon]], Table2[[GameIsOver]:[GameIsOver]],1,Table2[[HomeTeam]:[HomeTeam]],$T3, Table2[[AwayTeam]:[AwayTeam]], AD$1, Table2[[ActualResult]:[ActualResult]], "REG"))) + (1*(SUMIFS(Table2[[HomeWon_]:[HomeWon_]], Table2[[GameIsOver]:[GameIsOver]],1,Table2[[AwayTeam]:[AwayTeam]],$T3, Table2[[HomeTeam]:[HomeTeam]], AD$1, Table2[[ActualResult]:[ActualResult]], "OT") + SUMIFS(Table2[[AwayWon]:[AwayWon]], Table2[[GameIsOver]:[GameIsOver]],1,Table2[[HomeTeam]:[HomeTeam]],$T3, Table2[[AwayTeam]:[AwayTeam]], AD$1, Table2[[ActualResult]:[ActualResult]], "OT") + SUMIFS(Table2[[HomeWon_]:[HomeWon_]], Table2[[GameIsOver]:[GameIsOver]],1,Table2[[AwayTeam]:[AwayTeam]],$T3, Table2[[HomeTeam]:[HomeTeam]], AD$1, Table2[[ActualResult]:[ActualResult]], "SO") + SUMIFS(Table2[[AwayWon]:[AwayWon]], Table2[[GameIsOver]:[GameIsOver]],1,Table2[[HomeTeam]:[HomeTeam]],$T3, Table2[[AwayTeam]:[AwayTeam]], AD$1, Table2[[ActualResult]:[ActualResult]], "SO")))</f>
        <v>0</v>
      </c>
      <c r="AE3">
        <f>(2*(SUMIFS(Table2[[AwayWon]:[AwayWon]], Table2[[GameIsOver]:[GameIsOver]],1,Table2[[AwayTeam]:[AwayTeam]],$T3, Table2[[HomeTeam]:[HomeTeam]], AE$1) + SUMIFS(Table2[[HomeWon_]:[HomeWon_]], Table2[[GameIsOver]:[GameIsOver]],1,Table2[[HomeTeam]:[HomeTeam]],$T3, Table2[[AwayTeam]:[AwayTeam]], AE$1))) + (0*(SUMIFS(Table2[[HomeWon_]:[HomeWon_]], Table2[[GameIsOver]:[GameIsOver]],1,Table2[[AwayTeam]:[AwayTeam]],$T3, Table2[[HomeTeam]:[HomeTeam]], AE$1, Table2[[ActualResult]:[ActualResult]], "REG") + SUMIFS(Table2[[AwayWon]:[AwayWon]], Table2[[GameIsOver]:[GameIsOver]],1,Table2[[HomeTeam]:[HomeTeam]],$T3, Table2[[AwayTeam]:[AwayTeam]], AE$1, Table2[[ActualResult]:[ActualResult]], "REG"))) + (1*(SUMIFS(Table2[[HomeWon_]:[HomeWon_]], Table2[[GameIsOver]:[GameIsOver]],1,Table2[[AwayTeam]:[AwayTeam]],$T3, Table2[[HomeTeam]:[HomeTeam]], AE$1, Table2[[ActualResult]:[ActualResult]], "OT") + SUMIFS(Table2[[AwayWon]:[AwayWon]], Table2[[GameIsOver]:[GameIsOver]],1,Table2[[HomeTeam]:[HomeTeam]],$T3, Table2[[AwayTeam]:[AwayTeam]], AE$1, Table2[[ActualResult]:[ActualResult]], "OT") + SUMIFS(Table2[[HomeWon_]:[HomeWon_]], Table2[[GameIsOver]:[GameIsOver]],1,Table2[[AwayTeam]:[AwayTeam]],$T3, Table2[[HomeTeam]:[HomeTeam]], AE$1, Table2[[ActualResult]:[ActualResult]], "SO") + SUMIFS(Table2[[AwayWon]:[AwayWon]], Table2[[GameIsOver]:[GameIsOver]],1,Table2[[HomeTeam]:[HomeTeam]],$T3, Table2[[AwayTeam]:[AwayTeam]], AE$1, Table2[[ActualResult]:[ActualResult]], "SO")))</f>
        <v>0</v>
      </c>
      <c r="AF3">
        <f>(2*(SUMIFS(Table2[[AwayWon]:[AwayWon]], Table2[[GameIsOver]:[GameIsOver]],1,Table2[[AwayTeam]:[AwayTeam]],$T3, Table2[[HomeTeam]:[HomeTeam]], AF$1) + SUMIFS(Table2[[HomeWon_]:[HomeWon_]], Table2[[GameIsOver]:[GameIsOver]],1,Table2[[HomeTeam]:[HomeTeam]],$T3, Table2[[AwayTeam]:[AwayTeam]], AF$1))) + (0*(SUMIFS(Table2[[HomeWon_]:[HomeWon_]], Table2[[GameIsOver]:[GameIsOver]],1,Table2[[AwayTeam]:[AwayTeam]],$T3, Table2[[HomeTeam]:[HomeTeam]], AF$1, Table2[[ActualResult]:[ActualResult]], "REG") + SUMIFS(Table2[[AwayWon]:[AwayWon]], Table2[[GameIsOver]:[GameIsOver]],1,Table2[[HomeTeam]:[HomeTeam]],$T3, Table2[[AwayTeam]:[AwayTeam]], AF$1, Table2[[ActualResult]:[ActualResult]], "REG"))) + (1*(SUMIFS(Table2[[HomeWon_]:[HomeWon_]], Table2[[GameIsOver]:[GameIsOver]],1,Table2[[AwayTeam]:[AwayTeam]],$T3, Table2[[HomeTeam]:[HomeTeam]], AF$1, Table2[[ActualResult]:[ActualResult]], "OT") + SUMIFS(Table2[[AwayWon]:[AwayWon]], Table2[[GameIsOver]:[GameIsOver]],1,Table2[[HomeTeam]:[HomeTeam]],$T3, Table2[[AwayTeam]:[AwayTeam]], AF$1, Table2[[ActualResult]:[ActualResult]], "OT") + SUMIFS(Table2[[HomeWon_]:[HomeWon_]], Table2[[GameIsOver]:[GameIsOver]],1,Table2[[AwayTeam]:[AwayTeam]],$T3, Table2[[HomeTeam]:[HomeTeam]], AF$1, Table2[[ActualResult]:[ActualResult]], "SO") + SUMIFS(Table2[[AwayWon]:[AwayWon]], Table2[[GameIsOver]:[GameIsOver]],1,Table2[[HomeTeam]:[HomeTeam]],$T3, Table2[[AwayTeam]:[AwayTeam]], AF$1, Table2[[ActualResult]:[ActualResult]], "SO")))</f>
        <v>0</v>
      </c>
      <c r="AG3">
        <f>(2*(SUMIFS(Table2[[AwayWon]:[AwayWon]], Table2[[GameIsOver]:[GameIsOver]],1,Table2[[AwayTeam]:[AwayTeam]],$T3, Table2[[HomeTeam]:[HomeTeam]], AG$1) + SUMIFS(Table2[[HomeWon_]:[HomeWon_]], Table2[[GameIsOver]:[GameIsOver]],1,Table2[[HomeTeam]:[HomeTeam]],$T3, Table2[[AwayTeam]:[AwayTeam]], AG$1))) + (0*(SUMIFS(Table2[[HomeWon_]:[HomeWon_]], Table2[[GameIsOver]:[GameIsOver]],1,Table2[[AwayTeam]:[AwayTeam]],$T3, Table2[[HomeTeam]:[HomeTeam]], AG$1, Table2[[ActualResult]:[ActualResult]], "REG") + SUMIFS(Table2[[AwayWon]:[AwayWon]], Table2[[GameIsOver]:[GameIsOver]],1,Table2[[HomeTeam]:[HomeTeam]],$T3, Table2[[AwayTeam]:[AwayTeam]], AG$1, Table2[[ActualResult]:[ActualResult]], "REG"))) + (1*(SUMIFS(Table2[[HomeWon_]:[HomeWon_]], Table2[[GameIsOver]:[GameIsOver]],1,Table2[[AwayTeam]:[AwayTeam]],$T3, Table2[[HomeTeam]:[HomeTeam]], AG$1, Table2[[ActualResult]:[ActualResult]], "OT") + SUMIFS(Table2[[AwayWon]:[AwayWon]], Table2[[GameIsOver]:[GameIsOver]],1,Table2[[HomeTeam]:[HomeTeam]],$T3, Table2[[AwayTeam]:[AwayTeam]], AG$1, Table2[[ActualResult]:[ActualResult]], "OT") + SUMIFS(Table2[[HomeWon_]:[HomeWon_]], Table2[[GameIsOver]:[GameIsOver]],1,Table2[[AwayTeam]:[AwayTeam]],$T3, Table2[[HomeTeam]:[HomeTeam]], AG$1, Table2[[ActualResult]:[ActualResult]], "SO") + SUMIFS(Table2[[AwayWon]:[AwayWon]], Table2[[GameIsOver]:[GameIsOver]],1,Table2[[HomeTeam]:[HomeTeam]],$T3, Table2[[AwayTeam]:[AwayTeam]], AG$1, Table2[[ActualResult]:[ActualResult]], "SO")))</f>
        <v>1</v>
      </c>
      <c r="AH3">
        <f>(2*(SUMIFS(Table2[[AwayWon]:[AwayWon]], Table2[[GameIsOver]:[GameIsOver]],1,Table2[[AwayTeam]:[AwayTeam]],$T3, Table2[[HomeTeam]:[HomeTeam]], AH$1) + SUMIFS(Table2[[HomeWon_]:[HomeWon_]], Table2[[GameIsOver]:[GameIsOver]],1,Table2[[HomeTeam]:[HomeTeam]],$T3, Table2[[AwayTeam]:[AwayTeam]], AH$1))) + (0*(SUMIFS(Table2[[HomeWon_]:[HomeWon_]], Table2[[GameIsOver]:[GameIsOver]],1,Table2[[AwayTeam]:[AwayTeam]],$T3, Table2[[HomeTeam]:[HomeTeam]], AH$1, Table2[[ActualResult]:[ActualResult]], "REG") + SUMIFS(Table2[[AwayWon]:[AwayWon]], Table2[[GameIsOver]:[GameIsOver]],1,Table2[[HomeTeam]:[HomeTeam]],$T3, Table2[[AwayTeam]:[AwayTeam]], AH$1, Table2[[ActualResult]:[ActualResult]], "REG"))) + (1*(SUMIFS(Table2[[HomeWon_]:[HomeWon_]], Table2[[GameIsOver]:[GameIsOver]],1,Table2[[AwayTeam]:[AwayTeam]],$T3, Table2[[HomeTeam]:[HomeTeam]], AH$1, Table2[[ActualResult]:[ActualResult]], "OT") + SUMIFS(Table2[[AwayWon]:[AwayWon]], Table2[[GameIsOver]:[GameIsOver]],1,Table2[[HomeTeam]:[HomeTeam]],$T3, Table2[[AwayTeam]:[AwayTeam]], AH$1, Table2[[ActualResult]:[ActualResult]], "OT") + SUMIFS(Table2[[HomeWon_]:[HomeWon_]], Table2[[GameIsOver]:[GameIsOver]],1,Table2[[AwayTeam]:[AwayTeam]],$T3, Table2[[HomeTeam]:[HomeTeam]], AH$1, Table2[[ActualResult]:[ActualResult]], "SO") + SUMIFS(Table2[[AwayWon]:[AwayWon]], Table2[[GameIsOver]:[GameIsOver]],1,Table2[[HomeTeam]:[HomeTeam]],$T3, Table2[[AwayTeam]:[AwayTeam]], AH$1, Table2[[ActualResult]:[ActualResult]], "SO")))</f>
        <v>0</v>
      </c>
      <c r="AI3">
        <f>(2*(SUMIFS(Table2[[AwayWon]:[AwayWon]], Table2[[GameIsOver]:[GameIsOver]],1,Table2[[AwayTeam]:[AwayTeam]],$T3, Table2[[HomeTeam]:[HomeTeam]], AI$1) + SUMIFS(Table2[[HomeWon_]:[HomeWon_]], Table2[[GameIsOver]:[GameIsOver]],1,Table2[[HomeTeam]:[HomeTeam]],$T3, Table2[[AwayTeam]:[AwayTeam]], AI$1))) + (0*(SUMIFS(Table2[[HomeWon_]:[HomeWon_]], Table2[[GameIsOver]:[GameIsOver]],1,Table2[[AwayTeam]:[AwayTeam]],$T3, Table2[[HomeTeam]:[HomeTeam]], AI$1, Table2[[ActualResult]:[ActualResult]], "REG") + SUMIFS(Table2[[AwayWon]:[AwayWon]], Table2[[GameIsOver]:[GameIsOver]],1,Table2[[HomeTeam]:[HomeTeam]],$T3, Table2[[AwayTeam]:[AwayTeam]], AI$1, Table2[[ActualResult]:[ActualResult]], "REG"))) + (1*(SUMIFS(Table2[[HomeWon_]:[HomeWon_]], Table2[[GameIsOver]:[GameIsOver]],1,Table2[[AwayTeam]:[AwayTeam]],$T3, Table2[[HomeTeam]:[HomeTeam]], AI$1, Table2[[ActualResult]:[ActualResult]], "OT") + SUMIFS(Table2[[AwayWon]:[AwayWon]], Table2[[GameIsOver]:[GameIsOver]],1,Table2[[HomeTeam]:[HomeTeam]],$T3, Table2[[AwayTeam]:[AwayTeam]], AI$1, Table2[[ActualResult]:[ActualResult]], "OT") + SUMIFS(Table2[[HomeWon_]:[HomeWon_]], Table2[[GameIsOver]:[GameIsOver]],1,Table2[[AwayTeam]:[AwayTeam]],$T3, Table2[[HomeTeam]:[HomeTeam]], AI$1, Table2[[ActualResult]:[ActualResult]], "SO") + SUMIFS(Table2[[AwayWon]:[AwayWon]], Table2[[GameIsOver]:[GameIsOver]],1,Table2[[HomeTeam]:[HomeTeam]],$T3, Table2[[AwayTeam]:[AwayTeam]], AI$1, Table2[[ActualResult]:[ActualResult]], "SO")))</f>
        <v>2</v>
      </c>
      <c r="AJ3">
        <f>(2*(SUMIFS(Table2[[AwayWon]:[AwayWon]], Table2[[GameIsOver]:[GameIsOver]],1,Table2[[AwayTeam]:[AwayTeam]],$T3, Table2[[HomeTeam]:[HomeTeam]], AJ$1) + SUMIFS(Table2[[HomeWon_]:[HomeWon_]], Table2[[GameIsOver]:[GameIsOver]],1,Table2[[HomeTeam]:[HomeTeam]],$T3, Table2[[AwayTeam]:[AwayTeam]], AJ$1))) + (0*(SUMIFS(Table2[[HomeWon_]:[HomeWon_]], Table2[[GameIsOver]:[GameIsOver]],1,Table2[[AwayTeam]:[AwayTeam]],$T3, Table2[[HomeTeam]:[HomeTeam]], AJ$1, Table2[[ActualResult]:[ActualResult]], "REG") + SUMIFS(Table2[[AwayWon]:[AwayWon]], Table2[[GameIsOver]:[GameIsOver]],1,Table2[[HomeTeam]:[HomeTeam]],$T3, Table2[[AwayTeam]:[AwayTeam]], AJ$1, Table2[[ActualResult]:[ActualResult]], "REG"))) + (1*(SUMIFS(Table2[[HomeWon_]:[HomeWon_]], Table2[[GameIsOver]:[GameIsOver]],1,Table2[[AwayTeam]:[AwayTeam]],$T3, Table2[[HomeTeam]:[HomeTeam]], AJ$1, Table2[[ActualResult]:[ActualResult]], "OT") + SUMIFS(Table2[[AwayWon]:[AwayWon]], Table2[[GameIsOver]:[GameIsOver]],1,Table2[[HomeTeam]:[HomeTeam]],$T3, Table2[[AwayTeam]:[AwayTeam]], AJ$1, Table2[[ActualResult]:[ActualResult]], "OT") + SUMIFS(Table2[[HomeWon_]:[HomeWon_]], Table2[[GameIsOver]:[GameIsOver]],1,Table2[[AwayTeam]:[AwayTeam]],$T3, Table2[[HomeTeam]:[HomeTeam]], AJ$1, Table2[[ActualResult]:[ActualResult]], "SO") + SUMIFS(Table2[[AwayWon]:[AwayWon]], Table2[[GameIsOver]:[GameIsOver]],1,Table2[[HomeTeam]:[HomeTeam]],$T3, Table2[[AwayTeam]:[AwayTeam]], AJ$1, Table2[[ActualResult]:[ActualResult]], "SO")))</f>
        <v>0</v>
      </c>
      <c r="AK3">
        <f>(2*(SUMIFS(Table2[[AwayWon]:[AwayWon]], Table2[[GameIsOver]:[GameIsOver]],1,Table2[[AwayTeam]:[AwayTeam]],$T3, Table2[[HomeTeam]:[HomeTeam]], AK$1) + SUMIFS(Table2[[HomeWon_]:[HomeWon_]], Table2[[GameIsOver]:[GameIsOver]],1,Table2[[HomeTeam]:[HomeTeam]],$T3, Table2[[AwayTeam]:[AwayTeam]], AK$1))) + (0*(SUMIFS(Table2[[HomeWon_]:[HomeWon_]], Table2[[GameIsOver]:[GameIsOver]],1,Table2[[AwayTeam]:[AwayTeam]],$T3, Table2[[HomeTeam]:[HomeTeam]], AK$1, Table2[[ActualResult]:[ActualResult]], "REG") + SUMIFS(Table2[[AwayWon]:[AwayWon]], Table2[[GameIsOver]:[GameIsOver]],1,Table2[[HomeTeam]:[HomeTeam]],$T3, Table2[[AwayTeam]:[AwayTeam]], AK$1, Table2[[ActualResult]:[ActualResult]], "REG"))) + (1*(SUMIFS(Table2[[HomeWon_]:[HomeWon_]], Table2[[GameIsOver]:[GameIsOver]],1,Table2[[AwayTeam]:[AwayTeam]],$T3, Table2[[HomeTeam]:[HomeTeam]], AK$1, Table2[[ActualResult]:[ActualResult]], "OT") + SUMIFS(Table2[[AwayWon]:[AwayWon]], Table2[[GameIsOver]:[GameIsOver]],1,Table2[[HomeTeam]:[HomeTeam]],$T3, Table2[[AwayTeam]:[AwayTeam]], AK$1, Table2[[ActualResult]:[ActualResult]], "OT") + SUMIFS(Table2[[HomeWon_]:[HomeWon_]], Table2[[GameIsOver]:[GameIsOver]],1,Table2[[AwayTeam]:[AwayTeam]],$T3, Table2[[HomeTeam]:[HomeTeam]], AK$1, Table2[[ActualResult]:[ActualResult]], "SO") + SUMIFS(Table2[[AwayWon]:[AwayWon]], Table2[[GameIsOver]:[GameIsOver]],1,Table2[[HomeTeam]:[HomeTeam]],$T3, Table2[[AwayTeam]:[AwayTeam]], AK$1, Table2[[ActualResult]:[ActualResult]], "SO")))</f>
        <v>0</v>
      </c>
      <c r="AL3">
        <f>(2*(SUMIFS(Table2[[AwayWon]:[AwayWon]], Table2[[GameIsOver]:[GameIsOver]],1,Table2[[AwayTeam]:[AwayTeam]],$T3, Table2[[HomeTeam]:[HomeTeam]], AL$1) + SUMIFS(Table2[[HomeWon_]:[HomeWon_]], Table2[[GameIsOver]:[GameIsOver]],1,Table2[[HomeTeam]:[HomeTeam]],$T3, Table2[[AwayTeam]:[AwayTeam]], AL$1))) + (0*(SUMIFS(Table2[[HomeWon_]:[HomeWon_]], Table2[[GameIsOver]:[GameIsOver]],1,Table2[[AwayTeam]:[AwayTeam]],$T3, Table2[[HomeTeam]:[HomeTeam]], AL$1, Table2[[ActualResult]:[ActualResult]], "REG") + SUMIFS(Table2[[AwayWon]:[AwayWon]], Table2[[GameIsOver]:[GameIsOver]],1,Table2[[HomeTeam]:[HomeTeam]],$T3, Table2[[AwayTeam]:[AwayTeam]], AL$1, Table2[[ActualResult]:[ActualResult]], "REG"))) + (1*(SUMIFS(Table2[[HomeWon_]:[HomeWon_]], Table2[[GameIsOver]:[GameIsOver]],1,Table2[[AwayTeam]:[AwayTeam]],$T3, Table2[[HomeTeam]:[HomeTeam]], AL$1, Table2[[ActualResult]:[ActualResult]], "OT") + SUMIFS(Table2[[AwayWon]:[AwayWon]], Table2[[GameIsOver]:[GameIsOver]],1,Table2[[HomeTeam]:[HomeTeam]],$T3, Table2[[AwayTeam]:[AwayTeam]], AL$1, Table2[[ActualResult]:[ActualResult]], "OT") + SUMIFS(Table2[[HomeWon_]:[HomeWon_]], Table2[[GameIsOver]:[GameIsOver]],1,Table2[[AwayTeam]:[AwayTeam]],$T3, Table2[[HomeTeam]:[HomeTeam]], AL$1, Table2[[ActualResult]:[ActualResult]], "SO") + SUMIFS(Table2[[AwayWon]:[AwayWon]], Table2[[GameIsOver]:[GameIsOver]],1,Table2[[HomeTeam]:[HomeTeam]],$T3, Table2[[AwayTeam]:[AwayTeam]], AL$1, Table2[[ActualResult]:[ActualResult]], "SO")))</f>
        <v>1</v>
      </c>
      <c r="AM3">
        <f>(2*(SUMIFS(Table2[[AwayWon]:[AwayWon]], Table2[[GameIsOver]:[GameIsOver]],1,Table2[[AwayTeam]:[AwayTeam]],$T3, Table2[[HomeTeam]:[HomeTeam]], AM$1) + SUMIFS(Table2[[HomeWon_]:[HomeWon_]], Table2[[GameIsOver]:[GameIsOver]],1,Table2[[HomeTeam]:[HomeTeam]],$T3, Table2[[AwayTeam]:[AwayTeam]], AM$1))) + (0*(SUMIFS(Table2[[HomeWon_]:[HomeWon_]], Table2[[GameIsOver]:[GameIsOver]],1,Table2[[AwayTeam]:[AwayTeam]],$T3, Table2[[HomeTeam]:[HomeTeam]], AM$1, Table2[[ActualResult]:[ActualResult]], "REG") + SUMIFS(Table2[[AwayWon]:[AwayWon]], Table2[[GameIsOver]:[GameIsOver]],1,Table2[[HomeTeam]:[HomeTeam]],$T3, Table2[[AwayTeam]:[AwayTeam]], AM$1, Table2[[ActualResult]:[ActualResult]], "REG"))) + (1*(SUMIFS(Table2[[HomeWon_]:[HomeWon_]], Table2[[GameIsOver]:[GameIsOver]],1,Table2[[AwayTeam]:[AwayTeam]],$T3, Table2[[HomeTeam]:[HomeTeam]], AM$1, Table2[[ActualResult]:[ActualResult]], "OT") + SUMIFS(Table2[[AwayWon]:[AwayWon]], Table2[[GameIsOver]:[GameIsOver]],1,Table2[[HomeTeam]:[HomeTeam]],$T3, Table2[[AwayTeam]:[AwayTeam]], AM$1, Table2[[ActualResult]:[ActualResult]], "OT") + SUMIFS(Table2[[HomeWon_]:[HomeWon_]], Table2[[GameIsOver]:[GameIsOver]],1,Table2[[AwayTeam]:[AwayTeam]],$T3, Table2[[HomeTeam]:[HomeTeam]], AM$1, Table2[[ActualResult]:[ActualResult]], "SO") + SUMIFS(Table2[[AwayWon]:[AwayWon]], Table2[[GameIsOver]:[GameIsOver]],1,Table2[[HomeTeam]:[HomeTeam]],$T3, Table2[[AwayTeam]:[AwayTeam]], AM$1, Table2[[ActualResult]:[ActualResult]], "SO")))</f>
        <v>0</v>
      </c>
      <c r="AN3">
        <f>(2*(SUMIFS(Table2[[AwayWon]:[AwayWon]], Table2[[GameIsOver]:[GameIsOver]],1,Table2[[AwayTeam]:[AwayTeam]],$T3, Table2[[HomeTeam]:[HomeTeam]], AN$1) + SUMIFS(Table2[[HomeWon_]:[HomeWon_]], Table2[[GameIsOver]:[GameIsOver]],1,Table2[[HomeTeam]:[HomeTeam]],$T3, Table2[[AwayTeam]:[AwayTeam]], AN$1))) + (0*(SUMIFS(Table2[[HomeWon_]:[HomeWon_]], Table2[[GameIsOver]:[GameIsOver]],1,Table2[[AwayTeam]:[AwayTeam]],$T3, Table2[[HomeTeam]:[HomeTeam]], AN$1, Table2[[ActualResult]:[ActualResult]], "REG") + SUMIFS(Table2[[AwayWon]:[AwayWon]], Table2[[GameIsOver]:[GameIsOver]],1,Table2[[HomeTeam]:[HomeTeam]],$T3, Table2[[AwayTeam]:[AwayTeam]], AN$1, Table2[[ActualResult]:[ActualResult]], "REG"))) + (1*(SUMIFS(Table2[[HomeWon_]:[HomeWon_]], Table2[[GameIsOver]:[GameIsOver]],1,Table2[[AwayTeam]:[AwayTeam]],$T3, Table2[[HomeTeam]:[HomeTeam]], AN$1, Table2[[ActualResult]:[ActualResult]], "OT") + SUMIFS(Table2[[AwayWon]:[AwayWon]], Table2[[GameIsOver]:[GameIsOver]],1,Table2[[HomeTeam]:[HomeTeam]],$T3, Table2[[AwayTeam]:[AwayTeam]], AN$1, Table2[[ActualResult]:[ActualResult]], "OT") + SUMIFS(Table2[[HomeWon_]:[HomeWon_]], Table2[[GameIsOver]:[GameIsOver]],1,Table2[[AwayTeam]:[AwayTeam]],$T3, Table2[[HomeTeam]:[HomeTeam]], AN$1, Table2[[ActualResult]:[ActualResult]], "SO") + SUMIFS(Table2[[AwayWon]:[AwayWon]], Table2[[GameIsOver]:[GameIsOver]],1,Table2[[HomeTeam]:[HomeTeam]],$T3, Table2[[AwayTeam]:[AwayTeam]], AN$1, Table2[[ActualResult]:[ActualResult]], "SO")))</f>
        <v>0</v>
      </c>
      <c r="AO3">
        <f>(2*(SUMIFS(Table2[[AwayWon]:[AwayWon]], Table2[[GameIsOver]:[GameIsOver]],1,Table2[[AwayTeam]:[AwayTeam]],$T3, Table2[[HomeTeam]:[HomeTeam]], AO$1) + SUMIFS(Table2[[HomeWon_]:[HomeWon_]], Table2[[GameIsOver]:[GameIsOver]],1,Table2[[HomeTeam]:[HomeTeam]],$T3, Table2[[AwayTeam]:[AwayTeam]], AO$1))) + (0*(SUMIFS(Table2[[HomeWon_]:[HomeWon_]], Table2[[GameIsOver]:[GameIsOver]],1,Table2[[AwayTeam]:[AwayTeam]],$T3, Table2[[HomeTeam]:[HomeTeam]], AO$1, Table2[[ActualResult]:[ActualResult]], "REG") + SUMIFS(Table2[[AwayWon]:[AwayWon]], Table2[[GameIsOver]:[GameIsOver]],1,Table2[[HomeTeam]:[HomeTeam]],$T3, Table2[[AwayTeam]:[AwayTeam]], AO$1, Table2[[ActualResult]:[ActualResult]], "REG"))) + (1*(SUMIFS(Table2[[HomeWon_]:[HomeWon_]], Table2[[GameIsOver]:[GameIsOver]],1,Table2[[AwayTeam]:[AwayTeam]],$T3, Table2[[HomeTeam]:[HomeTeam]], AO$1, Table2[[ActualResult]:[ActualResult]], "OT") + SUMIFS(Table2[[AwayWon]:[AwayWon]], Table2[[GameIsOver]:[GameIsOver]],1,Table2[[HomeTeam]:[HomeTeam]],$T3, Table2[[AwayTeam]:[AwayTeam]], AO$1, Table2[[ActualResult]:[ActualResult]], "OT") + SUMIFS(Table2[[HomeWon_]:[HomeWon_]], Table2[[GameIsOver]:[GameIsOver]],1,Table2[[AwayTeam]:[AwayTeam]],$T3, Table2[[HomeTeam]:[HomeTeam]], AO$1, Table2[[ActualResult]:[ActualResult]], "SO") + SUMIFS(Table2[[AwayWon]:[AwayWon]], Table2[[GameIsOver]:[GameIsOver]],1,Table2[[HomeTeam]:[HomeTeam]],$T3, Table2[[AwayTeam]:[AwayTeam]], AO$1, Table2[[ActualResult]:[ActualResult]], "SO")))</f>
        <v>0</v>
      </c>
      <c r="AP3">
        <f>(2*(SUMIFS(Table2[[AwayWon]:[AwayWon]], Table2[[GameIsOver]:[GameIsOver]],1,Table2[[AwayTeam]:[AwayTeam]],$T3, Table2[[HomeTeam]:[HomeTeam]], AP$1) + SUMIFS(Table2[[HomeWon_]:[HomeWon_]], Table2[[GameIsOver]:[GameIsOver]],1,Table2[[HomeTeam]:[HomeTeam]],$T3, Table2[[AwayTeam]:[AwayTeam]], AP$1))) + (0*(SUMIFS(Table2[[HomeWon_]:[HomeWon_]], Table2[[GameIsOver]:[GameIsOver]],1,Table2[[AwayTeam]:[AwayTeam]],$T3, Table2[[HomeTeam]:[HomeTeam]], AP$1, Table2[[ActualResult]:[ActualResult]], "REG") + SUMIFS(Table2[[AwayWon]:[AwayWon]], Table2[[GameIsOver]:[GameIsOver]],1,Table2[[HomeTeam]:[HomeTeam]],$T3, Table2[[AwayTeam]:[AwayTeam]], AP$1, Table2[[ActualResult]:[ActualResult]], "REG"))) + (1*(SUMIFS(Table2[[HomeWon_]:[HomeWon_]], Table2[[GameIsOver]:[GameIsOver]],1,Table2[[AwayTeam]:[AwayTeam]],$T3, Table2[[HomeTeam]:[HomeTeam]], AP$1, Table2[[ActualResult]:[ActualResult]], "OT") + SUMIFS(Table2[[AwayWon]:[AwayWon]], Table2[[GameIsOver]:[GameIsOver]],1,Table2[[HomeTeam]:[HomeTeam]],$T3, Table2[[AwayTeam]:[AwayTeam]], AP$1, Table2[[ActualResult]:[ActualResult]], "OT") + SUMIFS(Table2[[HomeWon_]:[HomeWon_]], Table2[[GameIsOver]:[GameIsOver]],1,Table2[[AwayTeam]:[AwayTeam]],$T3, Table2[[HomeTeam]:[HomeTeam]], AP$1, Table2[[ActualResult]:[ActualResult]], "SO") + SUMIFS(Table2[[AwayWon]:[AwayWon]], Table2[[GameIsOver]:[GameIsOver]],1,Table2[[HomeTeam]:[HomeTeam]],$T3, Table2[[AwayTeam]:[AwayTeam]], AP$1, Table2[[ActualResult]:[ActualResult]], "SO")))</f>
        <v>0</v>
      </c>
      <c r="AQ3">
        <f>(2*(SUMIFS(Table2[[AwayWon]:[AwayWon]], Table2[[GameIsOver]:[GameIsOver]],1,Table2[[AwayTeam]:[AwayTeam]],$T3, Table2[[HomeTeam]:[HomeTeam]], AQ$1) + SUMIFS(Table2[[HomeWon_]:[HomeWon_]], Table2[[GameIsOver]:[GameIsOver]],1,Table2[[HomeTeam]:[HomeTeam]],$T3, Table2[[AwayTeam]:[AwayTeam]], AQ$1))) + (0*(SUMIFS(Table2[[HomeWon_]:[HomeWon_]], Table2[[GameIsOver]:[GameIsOver]],1,Table2[[AwayTeam]:[AwayTeam]],$T3, Table2[[HomeTeam]:[HomeTeam]], AQ$1, Table2[[ActualResult]:[ActualResult]], "REG") + SUMIFS(Table2[[AwayWon]:[AwayWon]], Table2[[GameIsOver]:[GameIsOver]],1,Table2[[HomeTeam]:[HomeTeam]],$T3, Table2[[AwayTeam]:[AwayTeam]], AQ$1, Table2[[ActualResult]:[ActualResult]], "REG"))) + (1*(SUMIFS(Table2[[HomeWon_]:[HomeWon_]], Table2[[GameIsOver]:[GameIsOver]],1,Table2[[AwayTeam]:[AwayTeam]],$T3, Table2[[HomeTeam]:[HomeTeam]], AQ$1, Table2[[ActualResult]:[ActualResult]], "OT") + SUMIFS(Table2[[AwayWon]:[AwayWon]], Table2[[GameIsOver]:[GameIsOver]],1,Table2[[HomeTeam]:[HomeTeam]],$T3, Table2[[AwayTeam]:[AwayTeam]], AQ$1, Table2[[ActualResult]:[ActualResult]], "OT") + SUMIFS(Table2[[HomeWon_]:[HomeWon_]], Table2[[GameIsOver]:[GameIsOver]],1,Table2[[AwayTeam]:[AwayTeam]],$T3, Table2[[HomeTeam]:[HomeTeam]], AQ$1, Table2[[ActualResult]:[ActualResult]], "SO") + SUMIFS(Table2[[AwayWon]:[AwayWon]], Table2[[GameIsOver]:[GameIsOver]],1,Table2[[HomeTeam]:[HomeTeam]],$T3, Table2[[AwayTeam]:[AwayTeam]], AQ$1, Table2[[ActualResult]:[ActualResult]], "SO")))</f>
        <v>0</v>
      </c>
      <c r="AR3">
        <f>(2*(SUMIFS(Table2[[AwayWon]:[AwayWon]], Table2[[GameIsOver]:[GameIsOver]],1,Table2[[AwayTeam]:[AwayTeam]],$T3, Table2[[HomeTeam]:[HomeTeam]], AR$1) + SUMIFS(Table2[[HomeWon_]:[HomeWon_]], Table2[[GameIsOver]:[GameIsOver]],1,Table2[[HomeTeam]:[HomeTeam]],$T3, Table2[[AwayTeam]:[AwayTeam]], AR$1))) + (0*(SUMIFS(Table2[[HomeWon_]:[HomeWon_]], Table2[[GameIsOver]:[GameIsOver]],1,Table2[[AwayTeam]:[AwayTeam]],$T3, Table2[[HomeTeam]:[HomeTeam]], AR$1, Table2[[ActualResult]:[ActualResult]], "REG") + SUMIFS(Table2[[AwayWon]:[AwayWon]], Table2[[GameIsOver]:[GameIsOver]],1,Table2[[HomeTeam]:[HomeTeam]],$T3, Table2[[AwayTeam]:[AwayTeam]], AR$1, Table2[[ActualResult]:[ActualResult]], "REG"))) + (1*(SUMIFS(Table2[[HomeWon_]:[HomeWon_]], Table2[[GameIsOver]:[GameIsOver]],1,Table2[[AwayTeam]:[AwayTeam]],$T3, Table2[[HomeTeam]:[HomeTeam]], AR$1, Table2[[ActualResult]:[ActualResult]], "OT") + SUMIFS(Table2[[AwayWon]:[AwayWon]], Table2[[GameIsOver]:[GameIsOver]],1,Table2[[HomeTeam]:[HomeTeam]],$T3, Table2[[AwayTeam]:[AwayTeam]], AR$1, Table2[[ActualResult]:[ActualResult]], "OT") + SUMIFS(Table2[[HomeWon_]:[HomeWon_]], Table2[[GameIsOver]:[GameIsOver]],1,Table2[[AwayTeam]:[AwayTeam]],$T3, Table2[[HomeTeam]:[HomeTeam]], AR$1, Table2[[ActualResult]:[ActualResult]], "SO") + SUMIFS(Table2[[AwayWon]:[AwayWon]], Table2[[GameIsOver]:[GameIsOver]],1,Table2[[HomeTeam]:[HomeTeam]],$T3, Table2[[AwayTeam]:[AwayTeam]], AR$1, Table2[[ActualResult]:[ActualResult]], "SO")))</f>
        <v>0</v>
      </c>
      <c r="AS3">
        <f>(2*(SUMIFS(Table2[[AwayWon]:[AwayWon]], Table2[[GameIsOver]:[GameIsOver]],1,Table2[[AwayTeam]:[AwayTeam]],$T3, Table2[[HomeTeam]:[HomeTeam]], AS$1) + SUMIFS(Table2[[HomeWon_]:[HomeWon_]], Table2[[GameIsOver]:[GameIsOver]],1,Table2[[HomeTeam]:[HomeTeam]],$T3, Table2[[AwayTeam]:[AwayTeam]], AS$1))) + (0*(SUMIFS(Table2[[HomeWon_]:[HomeWon_]], Table2[[GameIsOver]:[GameIsOver]],1,Table2[[AwayTeam]:[AwayTeam]],$T3, Table2[[HomeTeam]:[HomeTeam]], AS$1, Table2[[ActualResult]:[ActualResult]], "REG") + SUMIFS(Table2[[AwayWon]:[AwayWon]], Table2[[GameIsOver]:[GameIsOver]],1,Table2[[HomeTeam]:[HomeTeam]],$T3, Table2[[AwayTeam]:[AwayTeam]], AS$1, Table2[[ActualResult]:[ActualResult]], "REG"))) + (1*(SUMIFS(Table2[[HomeWon_]:[HomeWon_]], Table2[[GameIsOver]:[GameIsOver]],1,Table2[[AwayTeam]:[AwayTeam]],$T3, Table2[[HomeTeam]:[HomeTeam]], AS$1, Table2[[ActualResult]:[ActualResult]], "OT") + SUMIFS(Table2[[AwayWon]:[AwayWon]], Table2[[GameIsOver]:[GameIsOver]],1,Table2[[HomeTeam]:[HomeTeam]],$T3, Table2[[AwayTeam]:[AwayTeam]], AS$1, Table2[[ActualResult]:[ActualResult]], "OT") + SUMIFS(Table2[[HomeWon_]:[HomeWon_]], Table2[[GameIsOver]:[GameIsOver]],1,Table2[[AwayTeam]:[AwayTeam]],$T3, Table2[[HomeTeam]:[HomeTeam]], AS$1, Table2[[ActualResult]:[ActualResult]], "SO") + SUMIFS(Table2[[AwayWon]:[AwayWon]], Table2[[GameIsOver]:[GameIsOver]],1,Table2[[HomeTeam]:[HomeTeam]],$T3, Table2[[AwayTeam]:[AwayTeam]], AS$1, Table2[[ActualResult]:[ActualResult]], "SO")))</f>
        <v>0</v>
      </c>
      <c r="AT3">
        <f>(2*(SUMIFS(Table2[[AwayWon]:[AwayWon]], Table2[[GameIsOver]:[GameIsOver]],1,Table2[[AwayTeam]:[AwayTeam]],$T3, Table2[[HomeTeam]:[HomeTeam]], AT$1) + SUMIFS(Table2[[HomeWon_]:[HomeWon_]], Table2[[GameIsOver]:[GameIsOver]],1,Table2[[HomeTeam]:[HomeTeam]],$T3, Table2[[AwayTeam]:[AwayTeam]], AT$1))) + (0*(SUMIFS(Table2[[HomeWon_]:[HomeWon_]], Table2[[GameIsOver]:[GameIsOver]],1,Table2[[AwayTeam]:[AwayTeam]],$T3, Table2[[HomeTeam]:[HomeTeam]], AT$1, Table2[[ActualResult]:[ActualResult]], "REG") + SUMIFS(Table2[[AwayWon]:[AwayWon]], Table2[[GameIsOver]:[GameIsOver]],1,Table2[[HomeTeam]:[HomeTeam]],$T3, Table2[[AwayTeam]:[AwayTeam]], AT$1, Table2[[ActualResult]:[ActualResult]], "REG"))) + (1*(SUMIFS(Table2[[HomeWon_]:[HomeWon_]], Table2[[GameIsOver]:[GameIsOver]],1,Table2[[AwayTeam]:[AwayTeam]],$T3, Table2[[HomeTeam]:[HomeTeam]], AT$1, Table2[[ActualResult]:[ActualResult]], "OT") + SUMIFS(Table2[[AwayWon]:[AwayWon]], Table2[[GameIsOver]:[GameIsOver]],1,Table2[[HomeTeam]:[HomeTeam]],$T3, Table2[[AwayTeam]:[AwayTeam]], AT$1, Table2[[ActualResult]:[ActualResult]], "OT") + SUMIFS(Table2[[HomeWon_]:[HomeWon_]], Table2[[GameIsOver]:[GameIsOver]],1,Table2[[AwayTeam]:[AwayTeam]],$T3, Table2[[HomeTeam]:[HomeTeam]], AT$1, Table2[[ActualResult]:[ActualResult]], "SO") + SUMIFS(Table2[[AwayWon]:[AwayWon]], Table2[[GameIsOver]:[GameIsOver]],1,Table2[[HomeTeam]:[HomeTeam]],$T3, Table2[[AwayTeam]:[AwayTeam]], AT$1, Table2[[ActualResult]:[ActualResult]], "SO")))</f>
        <v>0</v>
      </c>
      <c r="AU3">
        <f>(2*(SUMIFS(Table2[[AwayWon]:[AwayWon]], Table2[[GameIsOver]:[GameIsOver]],1,Table2[[AwayTeam]:[AwayTeam]],$T3, Table2[[HomeTeam]:[HomeTeam]], AU$1) + SUMIFS(Table2[[HomeWon_]:[HomeWon_]], Table2[[GameIsOver]:[GameIsOver]],1,Table2[[HomeTeam]:[HomeTeam]],$T3, Table2[[AwayTeam]:[AwayTeam]], AU$1))) + (0*(SUMIFS(Table2[[HomeWon_]:[HomeWon_]], Table2[[GameIsOver]:[GameIsOver]],1,Table2[[AwayTeam]:[AwayTeam]],$T3, Table2[[HomeTeam]:[HomeTeam]], AU$1, Table2[[ActualResult]:[ActualResult]], "REG") + SUMIFS(Table2[[AwayWon]:[AwayWon]], Table2[[GameIsOver]:[GameIsOver]],1,Table2[[HomeTeam]:[HomeTeam]],$T3, Table2[[AwayTeam]:[AwayTeam]], AU$1, Table2[[ActualResult]:[ActualResult]], "REG"))) + (1*(SUMIFS(Table2[[HomeWon_]:[HomeWon_]], Table2[[GameIsOver]:[GameIsOver]],1,Table2[[AwayTeam]:[AwayTeam]],$T3, Table2[[HomeTeam]:[HomeTeam]], AU$1, Table2[[ActualResult]:[ActualResult]], "OT") + SUMIFS(Table2[[AwayWon]:[AwayWon]], Table2[[GameIsOver]:[GameIsOver]],1,Table2[[HomeTeam]:[HomeTeam]],$T3, Table2[[AwayTeam]:[AwayTeam]], AU$1, Table2[[ActualResult]:[ActualResult]], "OT") + SUMIFS(Table2[[HomeWon_]:[HomeWon_]], Table2[[GameIsOver]:[GameIsOver]],1,Table2[[AwayTeam]:[AwayTeam]],$T3, Table2[[HomeTeam]:[HomeTeam]], AU$1, Table2[[ActualResult]:[ActualResult]], "SO") + SUMIFS(Table2[[AwayWon]:[AwayWon]], Table2[[GameIsOver]:[GameIsOver]],1,Table2[[HomeTeam]:[HomeTeam]],$T3, Table2[[AwayTeam]:[AwayTeam]], AU$1, Table2[[ActualResult]:[ActualResult]], "SO")))</f>
        <v>0</v>
      </c>
      <c r="AV3">
        <f>(2*(SUMIFS(Table2[[AwayWon]:[AwayWon]], Table2[[GameIsOver]:[GameIsOver]],1,Table2[[AwayTeam]:[AwayTeam]],$T3, Table2[[HomeTeam]:[HomeTeam]], AV$1) + SUMIFS(Table2[[HomeWon_]:[HomeWon_]], Table2[[GameIsOver]:[GameIsOver]],1,Table2[[HomeTeam]:[HomeTeam]],$T3, Table2[[AwayTeam]:[AwayTeam]], AV$1))) + (0*(SUMIFS(Table2[[HomeWon_]:[HomeWon_]], Table2[[GameIsOver]:[GameIsOver]],1,Table2[[AwayTeam]:[AwayTeam]],$T3, Table2[[HomeTeam]:[HomeTeam]], AV$1, Table2[[ActualResult]:[ActualResult]], "REG") + SUMIFS(Table2[[AwayWon]:[AwayWon]], Table2[[GameIsOver]:[GameIsOver]],1,Table2[[HomeTeam]:[HomeTeam]],$T3, Table2[[AwayTeam]:[AwayTeam]], AV$1, Table2[[ActualResult]:[ActualResult]], "REG"))) + (1*(SUMIFS(Table2[[HomeWon_]:[HomeWon_]], Table2[[GameIsOver]:[GameIsOver]],1,Table2[[AwayTeam]:[AwayTeam]],$T3, Table2[[HomeTeam]:[HomeTeam]], AV$1, Table2[[ActualResult]:[ActualResult]], "OT") + SUMIFS(Table2[[AwayWon]:[AwayWon]], Table2[[GameIsOver]:[GameIsOver]],1,Table2[[HomeTeam]:[HomeTeam]],$T3, Table2[[AwayTeam]:[AwayTeam]], AV$1, Table2[[ActualResult]:[ActualResult]], "OT") + SUMIFS(Table2[[HomeWon_]:[HomeWon_]], Table2[[GameIsOver]:[GameIsOver]],1,Table2[[AwayTeam]:[AwayTeam]],$T3, Table2[[HomeTeam]:[HomeTeam]], AV$1, Table2[[ActualResult]:[ActualResult]], "SO") + SUMIFS(Table2[[AwayWon]:[AwayWon]], Table2[[GameIsOver]:[GameIsOver]],1,Table2[[HomeTeam]:[HomeTeam]],$T3, Table2[[AwayTeam]:[AwayTeam]], AV$1, Table2[[ActualResult]:[ActualResult]], "SO")))</f>
        <v>0</v>
      </c>
      <c r="AW3">
        <f>(2*(SUMIFS(Table2[[AwayWon]:[AwayWon]], Table2[[GameIsOver]:[GameIsOver]],1,Table2[[AwayTeam]:[AwayTeam]],$T3, Table2[[HomeTeam]:[HomeTeam]], AW$1) + SUMIFS(Table2[[HomeWon_]:[HomeWon_]], Table2[[GameIsOver]:[GameIsOver]],1,Table2[[HomeTeam]:[HomeTeam]],$T3, Table2[[AwayTeam]:[AwayTeam]], AW$1))) + (0*(SUMIFS(Table2[[HomeWon_]:[HomeWon_]], Table2[[GameIsOver]:[GameIsOver]],1,Table2[[AwayTeam]:[AwayTeam]],$T3, Table2[[HomeTeam]:[HomeTeam]], AW$1, Table2[[ActualResult]:[ActualResult]], "REG") + SUMIFS(Table2[[AwayWon]:[AwayWon]], Table2[[GameIsOver]:[GameIsOver]],1,Table2[[HomeTeam]:[HomeTeam]],$T3, Table2[[AwayTeam]:[AwayTeam]], AW$1, Table2[[ActualResult]:[ActualResult]], "REG"))) + (1*(SUMIFS(Table2[[HomeWon_]:[HomeWon_]], Table2[[GameIsOver]:[GameIsOver]],1,Table2[[AwayTeam]:[AwayTeam]],$T3, Table2[[HomeTeam]:[HomeTeam]], AW$1, Table2[[ActualResult]:[ActualResult]], "OT") + SUMIFS(Table2[[AwayWon]:[AwayWon]], Table2[[GameIsOver]:[GameIsOver]],1,Table2[[HomeTeam]:[HomeTeam]],$T3, Table2[[AwayTeam]:[AwayTeam]], AW$1, Table2[[ActualResult]:[ActualResult]], "OT") + SUMIFS(Table2[[HomeWon_]:[HomeWon_]], Table2[[GameIsOver]:[GameIsOver]],1,Table2[[AwayTeam]:[AwayTeam]],$T3, Table2[[HomeTeam]:[HomeTeam]], AW$1, Table2[[ActualResult]:[ActualResult]], "SO") + SUMIFS(Table2[[AwayWon]:[AwayWon]], Table2[[GameIsOver]:[GameIsOver]],1,Table2[[HomeTeam]:[HomeTeam]],$T3, Table2[[AwayTeam]:[AwayTeam]], AW$1, Table2[[ActualResult]:[ActualResult]], "SO")))</f>
        <v>0</v>
      </c>
      <c r="AX3">
        <f>(2*(SUMIFS(Table2[[AwayWon]:[AwayWon]], Table2[[GameIsOver]:[GameIsOver]],1,Table2[[AwayTeam]:[AwayTeam]],$T3, Table2[[HomeTeam]:[HomeTeam]], AX$1) + SUMIFS(Table2[[HomeWon_]:[HomeWon_]], Table2[[GameIsOver]:[GameIsOver]],1,Table2[[HomeTeam]:[HomeTeam]],$T3, Table2[[AwayTeam]:[AwayTeam]], AX$1))) + (0*(SUMIFS(Table2[[HomeWon_]:[HomeWon_]], Table2[[GameIsOver]:[GameIsOver]],1,Table2[[AwayTeam]:[AwayTeam]],$T3, Table2[[HomeTeam]:[HomeTeam]], AX$1, Table2[[ActualResult]:[ActualResult]], "REG") + SUMIFS(Table2[[AwayWon]:[AwayWon]], Table2[[GameIsOver]:[GameIsOver]],1,Table2[[HomeTeam]:[HomeTeam]],$T3, Table2[[AwayTeam]:[AwayTeam]], AX$1, Table2[[ActualResult]:[ActualResult]], "REG"))) + (1*(SUMIFS(Table2[[HomeWon_]:[HomeWon_]], Table2[[GameIsOver]:[GameIsOver]],1,Table2[[AwayTeam]:[AwayTeam]],$T3, Table2[[HomeTeam]:[HomeTeam]], AX$1, Table2[[ActualResult]:[ActualResult]], "OT") + SUMIFS(Table2[[AwayWon]:[AwayWon]], Table2[[GameIsOver]:[GameIsOver]],1,Table2[[HomeTeam]:[HomeTeam]],$T3, Table2[[AwayTeam]:[AwayTeam]], AX$1, Table2[[ActualResult]:[ActualResult]], "OT") + SUMIFS(Table2[[HomeWon_]:[HomeWon_]], Table2[[GameIsOver]:[GameIsOver]],1,Table2[[AwayTeam]:[AwayTeam]],$T3, Table2[[HomeTeam]:[HomeTeam]], AX$1, Table2[[ActualResult]:[ActualResult]], "SO") + SUMIFS(Table2[[AwayWon]:[AwayWon]], Table2[[GameIsOver]:[GameIsOver]],1,Table2[[HomeTeam]:[HomeTeam]],$T3, Table2[[AwayTeam]:[AwayTeam]], AX$1, Table2[[ActualResult]:[ActualResult]], "SO")))</f>
        <v>0</v>
      </c>
      <c r="AY3">
        <f>(2*(SUMIFS(Table2[[AwayWon]:[AwayWon]], Table2[[GameIsOver]:[GameIsOver]],1,Table2[[AwayTeam]:[AwayTeam]],$T3, Table2[[HomeTeam]:[HomeTeam]], AY$1) + SUMIFS(Table2[[HomeWon_]:[HomeWon_]], Table2[[GameIsOver]:[GameIsOver]],1,Table2[[HomeTeam]:[HomeTeam]],$T3, Table2[[AwayTeam]:[AwayTeam]], AY$1))) + (0*(SUMIFS(Table2[[HomeWon_]:[HomeWon_]], Table2[[GameIsOver]:[GameIsOver]],1,Table2[[AwayTeam]:[AwayTeam]],$T3, Table2[[HomeTeam]:[HomeTeam]], AY$1, Table2[[ActualResult]:[ActualResult]], "REG") + SUMIFS(Table2[[AwayWon]:[AwayWon]], Table2[[GameIsOver]:[GameIsOver]],1,Table2[[HomeTeam]:[HomeTeam]],$T3, Table2[[AwayTeam]:[AwayTeam]], AY$1, Table2[[ActualResult]:[ActualResult]], "REG"))) + (1*(SUMIFS(Table2[[HomeWon_]:[HomeWon_]], Table2[[GameIsOver]:[GameIsOver]],1,Table2[[AwayTeam]:[AwayTeam]],$T3, Table2[[HomeTeam]:[HomeTeam]], AY$1, Table2[[ActualResult]:[ActualResult]], "OT") + SUMIFS(Table2[[AwayWon]:[AwayWon]], Table2[[GameIsOver]:[GameIsOver]],1,Table2[[HomeTeam]:[HomeTeam]],$T3, Table2[[AwayTeam]:[AwayTeam]], AY$1, Table2[[ActualResult]:[ActualResult]], "OT") + SUMIFS(Table2[[HomeWon_]:[HomeWon_]], Table2[[GameIsOver]:[GameIsOver]],1,Table2[[AwayTeam]:[AwayTeam]],$T3, Table2[[HomeTeam]:[HomeTeam]], AY$1, Table2[[ActualResult]:[ActualResult]], "SO") + SUMIFS(Table2[[AwayWon]:[AwayWon]], Table2[[GameIsOver]:[GameIsOver]],1,Table2[[HomeTeam]:[HomeTeam]],$T3, Table2[[AwayTeam]:[AwayTeam]], AY$1, Table2[[ActualResult]:[ActualResult]], "SO")))</f>
        <v>0</v>
      </c>
      <c r="AZ3">
        <f>(2*(SUMIFS(Table2[[AwayWon]:[AwayWon]], Table2[[GameIsOver]:[GameIsOver]],1,Table2[[AwayTeam]:[AwayTeam]],$T3, Table2[[HomeTeam]:[HomeTeam]], AZ$1) + SUMIFS(Table2[[HomeWon_]:[HomeWon_]], Table2[[GameIsOver]:[GameIsOver]],1,Table2[[HomeTeam]:[HomeTeam]],$T3, Table2[[AwayTeam]:[AwayTeam]], AZ$1))) + (0*(SUMIFS(Table2[[HomeWon_]:[HomeWon_]], Table2[[GameIsOver]:[GameIsOver]],1,Table2[[AwayTeam]:[AwayTeam]],$T3, Table2[[HomeTeam]:[HomeTeam]], AZ$1, Table2[[ActualResult]:[ActualResult]], "REG") + SUMIFS(Table2[[AwayWon]:[AwayWon]], Table2[[GameIsOver]:[GameIsOver]],1,Table2[[HomeTeam]:[HomeTeam]],$T3, Table2[[AwayTeam]:[AwayTeam]], AZ$1, Table2[[ActualResult]:[ActualResult]], "REG"))) + (1*(SUMIFS(Table2[[HomeWon_]:[HomeWon_]], Table2[[GameIsOver]:[GameIsOver]],1,Table2[[AwayTeam]:[AwayTeam]],$T3, Table2[[HomeTeam]:[HomeTeam]], AZ$1, Table2[[ActualResult]:[ActualResult]], "OT") + SUMIFS(Table2[[AwayWon]:[AwayWon]], Table2[[GameIsOver]:[GameIsOver]],1,Table2[[HomeTeam]:[HomeTeam]],$T3, Table2[[AwayTeam]:[AwayTeam]], AZ$1, Table2[[ActualResult]:[ActualResult]], "OT") + SUMIFS(Table2[[HomeWon_]:[HomeWon_]], Table2[[GameIsOver]:[GameIsOver]],1,Table2[[AwayTeam]:[AwayTeam]],$T3, Table2[[HomeTeam]:[HomeTeam]], AZ$1, Table2[[ActualResult]:[ActualResult]], "SO") + SUMIFS(Table2[[AwayWon]:[AwayWon]], Table2[[GameIsOver]:[GameIsOver]],1,Table2[[HomeTeam]:[HomeTeam]],$T3, Table2[[AwayTeam]:[AwayTeam]], AZ$1, Table2[[ActualResult]:[ActualResult]], "SO")))</f>
        <v>0</v>
      </c>
      <c r="BA3">
        <f>(2*(SUMIFS(Table2[[AwayWon]:[AwayWon]], Table2[[GameIsOver]:[GameIsOver]],1,Table2[[AwayTeam]:[AwayTeam]],$T3, Table2[[HomeTeam]:[HomeTeam]], BA$1) + SUMIFS(Table2[[HomeWon_]:[HomeWon_]], Table2[[GameIsOver]:[GameIsOver]],1,Table2[[HomeTeam]:[HomeTeam]],$T3, Table2[[AwayTeam]:[AwayTeam]], BA$1))) + (0*(SUMIFS(Table2[[HomeWon_]:[HomeWon_]], Table2[[GameIsOver]:[GameIsOver]],1,Table2[[AwayTeam]:[AwayTeam]],$T3, Table2[[HomeTeam]:[HomeTeam]], BA$1, Table2[[ActualResult]:[ActualResult]], "REG") + SUMIFS(Table2[[AwayWon]:[AwayWon]], Table2[[GameIsOver]:[GameIsOver]],1,Table2[[HomeTeam]:[HomeTeam]],$T3, Table2[[AwayTeam]:[AwayTeam]], BA$1, Table2[[ActualResult]:[ActualResult]], "REG"))) + (1*(SUMIFS(Table2[[HomeWon_]:[HomeWon_]], Table2[[GameIsOver]:[GameIsOver]],1,Table2[[AwayTeam]:[AwayTeam]],$T3, Table2[[HomeTeam]:[HomeTeam]], BA$1, Table2[[ActualResult]:[ActualResult]], "OT") + SUMIFS(Table2[[AwayWon]:[AwayWon]], Table2[[GameIsOver]:[GameIsOver]],1,Table2[[HomeTeam]:[HomeTeam]],$T3, Table2[[AwayTeam]:[AwayTeam]], BA$1, Table2[[ActualResult]:[ActualResult]], "OT") + SUMIFS(Table2[[HomeWon_]:[HomeWon_]], Table2[[GameIsOver]:[GameIsOver]],1,Table2[[AwayTeam]:[AwayTeam]],$T3, Table2[[HomeTeam]:[HomeTeam]], BA$1, Table2[[ActualResult]:[ActualResult]], "SO") + SUMIFS(Table2[[AwayWon]:[AwayWon]], Table2[[GameIsOver]:[GameIsOver]],1,Table2[[HomeTeam]:[HomeTeam]],$T3, Table2[[AwayTeam]:[AwayTeam]], BA$1, Table2[[ActualResult]:[ActualResult]], "SO")))</f>
        <v>0</v>
      </c>
    </row>
    <row r="4" spans="1:53" x14ac:dyDescent="0.25">
      <c r="A4" s="61" t="s">
        <v>28</v>
      </c>
      <c r="B4" s="61" t="s">
        <v>91</v>
      </c>
      <c r="C4" s="61" t="s">
        <v>74</v>
      </c>
      <c r="D4" s="62">
        <f>INDEX(Table3[PTS], MATCH(Table6[[#This Row],[Teams]], Table3[Teams],0))</f>
        <v>4</v>
      </c>
      <c r="E4" s="62">
        <f>INDEX(Table3[PTS], MATCH(Table6[[#This Row],[Teams]], Table3[Teams],0))</f>
        <v>4</v>
      </c>
      <c r="S4">
        <v>3</v>
      </c>
      <c r="T4" t="str" cm="1">
        <f t="array" ref="T4">INDEX(Table6[Teams], SMALL(IF(Table6[D]="P", ROW(Table6[Teams])-ROW(Table6[#Headers])), Table7[[#This Row],[PAC]]))</f>
        <v>EDM</v>
      </c>
      <c r="U4">
        <f>INDEX(Table6[PTS], MATCH($T4, Table6[Teams], 0))</f>
        <v>7</v>
      </c>
      <c r="V4">
        <f>(2*(SUMIFS(Table2[[AwayWon]:[AwayWon]], Table2[[GameIsOver]:[GameIsOver]],1,Table2[[AwayTeam]:[AwayTeam]],$T4, Table2[[HomeTeam]:[HomeTeam]], V$1) + SUMIFS(Table2[[HomeWon_]:[HomeWon_]], Table2[[GameIsOver]:[GameIsOver]],1,Table2[[HomeTeam]:[HomeTeam]],$T4, Table2[[AwayTeam]:[AwayTeam]], V$1))) + (0*(SUMIFS(Table2[[HomeWon_]:[HomeWon_]], Table2[[GameIsOver]:[GameIsOver]],1,Table2[[AwayTeam]:[AwayTeam]],$T4, Table2[[HomeTeam]:[HomeTeam]], V$1, Table2[[ActualResult]:[ActualResult]], "REG") + SUMIFS(Table2[[AwayWon]:[AwayWon]], Table2[[GameIsOver]:[GameIsOver]],1,Table2[[HomeTeam]:[HomeTeam]],$T4, Table2[[AwayTeam]:[AwayTeam]], V$1, Table2[[ActualResult]:[ActualResult]], "REG"))) + (1*(SUMIFS(Table2[[HomeWon_]:[HomeWon_]], Table2[[GameIsOver]:[GameIsOver]],1,Table2[[AwayTeam]:[AwayTeam]],$T4, Table2[[HomeTeam]:[HomeTeam]], V$1, Table2[[ActualResult]:[ActualResult]], "OT") + SUMIFS(Table2[[AwayWon]:[AwayWon]], Table2[[GameIsOver]:[GameIsOver]],1,Table2[[HomeTeam]:[HomeTeam]],$T4, Table2[[AwayTeam]:[AwayTeam]], V$1, Table2[[ActualResult]:[ActualResult]], "OT") + SUMIFS(Table2[[HomeWon_]:[HomeWon_]], Table2[[GameIsOver]:[GameIsOver]],1,Table2[[AwayTeam]:[AwayTeam]],$T4, Table2[[HomeTeam]:[HomeTeam]], V$1, Table2[[ActualResult]:[ActualResult]], "SO") + SUMIFS(Table2[[AwayWon]:[AwayWon]], Table2[[GameIsOver]:[GameIsOver]],1,Table2[[HomeTeam]:[HomeTeam]],$T4, Table2[[AwayTeam]:[AwayTeam]], V$1, Table2[[ActualResult]:[ActualResult]], "SO")))</f>
        <v>0</v>
      </c>
      <c r="W4">
        <f>(2*(SUMIFS(Table2[[AwayWon]:[AwayWon]], Table2[[GameIsOver]:[GameIsOver]],1,Table2[[AwayTeam]:[AwayTeam]],$T4, Table2[[HomeTeam]:[HomeTeam]], W$1) + SUMIFS(Table2[[HomeWon_]:[HomeWon_]], Table2[[GameIsOver]:[GameIsOver]],1,Table2[[HomeTeam]:[HomeTeam]],$T4, Table2[[AwayTeam]:[AwayTeam]], W$1))) + (0*(SUMIFS(Table2[[HomeWon_]:[HomeWon_]], Table2[[GameIsOver]:[GameIsOver]],1,Table2[[AwayTeam]:[AwayTeam]],$T4, Table2[[HomeTeam]:[HomeTeam]], W$1, Table2[[ActualResult]:[ActualResult]], "REG") + SUMIFS(Table2[[AwayWon]:[AwayWon]], Table2[[GameIsOver]:[GameIsOver]],1,Table2[[HomeTeam]:[HomeTeam]],$T4, Table2[[AwayTeam]:[AwayTeam]], W$1, Table2[[ActualResult]:[ActualResult]], "REG"))) + (1*(SUMIFS(Table2[[HomeWon_]:[HomeWon_]], Table2[[GameIsOver]:[GameIsOver]],1,Table2[[AwayTeam]:[AwayTeam]],$T4, Table2[[HomeTeam]:[HomeTeam]], W$1, Table2[[ActualResult]:[ActualResult]], "OT") + SUMIFS(Table2[[AwayWon]:[AwayWon]], Table2[[GameIsOver]:[GameIsOver]],1,Table2[[HomeTeam]:[HomeTeam]],$T4, Table2[[AwayTeam]:[AwayTeam]], W$1, Table2[[ActualResult]:[ActualResult]], "OT") + SUMIFS(Table2[[HomeWon_]:[HomeWon_]], Table2[[GameIsOver]:[GameIsOver]],1,Table2[[AwayTeam]:[AwayTeam]],$T4, Table2[[HomeTeam]:[HomeTeam]], W$1, Table2[[ActualResult]:[ActualResult]], "SO") + SUMIFS(Table2[[AwayWon]:[AwayWon]], Table2[[GameIsOver]:[GameIsOver]],1,Table2[[HomeTeam]:[HomeTeam]],$T4, Table2[[AwayTeam]:[AwayTeam]], W$1, Table2[[ActualResult]:[ActualResult]], "SO")))</f>
        <v>1</v>
      </c>
      <c r="X4">
        <f>(2*(SUMIFS(Table2[[AwayWon]:[AwayWon]], Table2[[GameIsOver]:[GameIsOver]],1,Table2[[AwayTeam]:[AwayTeam]],$T4, Table2[[HomeTeam]:[HomeTeam]], X$1) + SUMIFS(Table2[[HomeWon_]:[HomeWon_]], Table2[[GameIsOver]:[GameIsOver]],1,Table2[[HomeTeam]:[HomeTeam]],$T4, Table2[[AwayTeam]:[AwayTeam]], X$1))) + (0*(SUMIFS(Table2[[HomeWon_]:[HomeWon_]], Table2[[GameIsOver]:[GameIsOver]],1,Table2[[AwayTeam]:[AwayTeam]],$T4, Table2[[HomeTeam]:[HomeTeam]], X$1, Table2[[ActualResult]:[ActualResult]], "REG") + SUMIFS(Table2[[AwayWon]:[AwayWon]], Table2[[GameIsOver]:[GameIsOver]],1,Table2[[HomeTeam]:[HomeTeam]],$T4, Table2[[AwayTeam]:[AwayTeam]], X$1, Table2[[ActualResult]:[ActualResult]], "REG"))) + (1*(SUMIFS(Table2[[HomeWon_]:[HomeWon_]], Table2[[GameIsOver]:[GameIsOver]],1,Table2[[AwayTeam]:[AwayTeam]],$T4, Table2[[HomeTeam]:[HomeTeam]], X$1, Table2[[ActualResult]:[ActualResult]], "OT") + SUMIFS(Table2[[AwayWon]:[AwayWon]], Table2[[GameIsOver]:[GameIsOver]],1,Table2[[HomeTeam]:[HomeTeam]],$T4, Table2[[AwayTeam]:[AwayTeam]], X$1, Table2[[ActualResult]:[ActualResult]], "OT") + SUMIFS(Table2[[HomeWon_]:[HomeWon_]], Table2[[GameIsOver]:[GameIsOver]],1,Table2[[AwayTeam]:[AwayTeam]],$T4, Table2[[HomeTeam]:[HomeTeam]], X$1, Table2[[ActualResult]:[ActualResult]], "SO") + SUMIFS(Table2[[AwayWon]:[AwayWon]], Table2[[GameIsOver]:[GameIsOver]],1,Table2[[HomeTeam]:[HomeTeam]],$T4, Table2[[AwayTeam]:[AwayTeam]], X$1, Table2[[ActualResult]:[ActualResult]], "SO")))</f>
        <v>0</v>
      </c>
      <c r="Y4">
        <f>(2*(SUMIFS(Table2[[AwayWon]:[AwayWon]], Table2[[GameIsOver]:[GameIsOver]],1,Table2[[AwayTeam]:[AwayTeam]],$T4, Table2[[HomeTeam]:[HomeTeam]], Y$1) + SUMIFS(Table2[[HomeWon_]:[HomeWon_]], Table2[[GameIsOver]:[GameIsOver]],1,Table2[[HomeTeam]:[HomeTeam]],$T4, Table2[[AwayTeam]:[AwayTeam]], Y$1))) + (0*(SUMIFS(Table2[[HomeWon_]:[HomeWon_]], Table2[[GameIsOver]:[GameIsOver]],1,Table2[[AwayTeam]:[AwayTeam]],$T4, Table2[[HomeTeam]:[HomeTeam]], Y$1, Table2[[ActualResult]:[ActualResult]], "REG") + SUMIFS(Table2[[AwayWon]:[AwayWon]], Table2[[GameIsOver]:[GameIsOver]],1,Table2[[HomeTeam]:[HomeTeam]],$T4, Table2[[AwayTeam]:[AwayTeam]], Y$1, Table2[[ActualResult]:[ActualResult]], "REG"))) + (1*(SUMIFS(Table2[[HomeWon_]:[HomeWon_]], Table2[[GameIsOver]:[GameIsOver]],1,Table2[[AwayTeam]:[AwayTeam]],$T4, Table2[[HomeTeam]:[HomeTeam]], Y$1, Table2[[ActualResult]:[ActualResult]], "OT") + SUMIFS(Table2[[AwayWon]:[AwayWon]], Table2[[GameIsOver]:[GameIsOver]],1,Table2[[HomeTeam]:[HomeTeam]],$T4, Table2[[AwayTeam]:[AwayTeam]], Y$1, Table2[[ActualResult]:[ActualResult]], "OT") + SUMIFS(Table2[[HomeWon_]:[HomeWon_]], Table2[[GameIsOver]:[GameIsOver]],1,Table2[[AwayTeam]:[AwayTeam]],$T4, Table2[[HomeTeam]:[HomeTeam]], Y$1, Table2[[ActualResult]:[ActualResult]], "SO") + SUMIFS(Table2[[AwayWon]:[AwayWon]], Table2[[GameIsOver]:[GameIsOver]],1,Table2[[HomeTeam]:[HomeTeam]],$T4, Table2[[AwayTeam]:[AwayTeam]], Y$1, Table2[[ActualResult]:[ActualResult]], "SO")))</f>
        <v>0</v>
      </c>
      <c r="Z4">
        <f>(2*(SUMIFS(Table2[[AwayWon]:[AwayWon]], Table2[[GameIsOver]:[GameIsOver]],1,Table2[[AwayTeam]:[AwayTeam]],$T4, Table2[[HomeTeam]:[HomeTeam]], Z$1) + SUMIFS(Table2[[HomeWon_]:[HomeWon_]], Table2[[GameIsOver]:[GameIsOver]],1,Table2[[HomeTeam]:[HomeTeam]],$T4, Table2[[AwayTeam]:[AwayTeam]], Z$1))) + (0*(SUMIFS(Table2[[HomeWon_]:[HomeWon_]], Table2[[GameIsOver]:[GameIsOver]],1,Table2[[AwayTeam]:[AwayTeam]],$T4, Table2[[HomeTeam]:[HomeTeam]], Z$1, Table2[[ActualResult]:[ActualResult]], "REG") + SUMIFS(Table2[[AwayWon]:[AwayWon]], Table2[[GameIsOver]:[GameIsOver]],1,Table2[[HomeTeam]:[HomeTeam]],$T4, Table2[[AwayTeam]:[AwayTeam]], Z$1, Table2[[ActualResult]:[ActualResult]], "REG"))) + (1*(SUMIFS(Table2[[HomeWon_]:[HomeWon_]], Table2[[GameIsOver]:[GameIsOver]],1,Table2[[AwayTeam]:[AwayTeam]],$T4, Table2[[HomeTeam]:[HomeTeam]], Z$1, Table2[[ActualResult]:[ActualResult]], "OT") + SUMIFS(Table2[[AwayWon]:[AwayWon]], Table2[[GameIsOver]:[GameIsOver]],1,Table2[[HomeTeam]:[HomeTeam]],$T4, Table2[[AwayTeam]:[AwayTeam]], Z$1, Table2[[ActualResult]:[ActualResult]], "OT") + SUMIFS(Table2[[HomeWon_]:[HomeWon_]], Table2[[GameIsOver]:[GameIsOver]],1,Table2[[AwayTeam]:[AwayTeam]],$T4, Table2[[HomeTeam]:[HomeTeam]], Z$1, Table2[[ActualResult]:[ActualResult]], "SO") + SUMIFS(Table2[[AwayWon]:[AwayWon]], Table2[[GameIsOver]:[GameIsOver]],1,Table2[[HomeTeam]:[HomeTeam]],$T4, Table2[[AwayTeam]:[AwayTeam]], Z$1, Table2[[ActualResult]:[ActualResult]], "SO")))</f>
        <v>0</v>
      </c>
      <c r="AA4">
        <f>(2*(SUMIFS(Table2[[AwayWon]:[AwayWon]], Table2[[GameIsOver]:[GameIsOver]],1,Table2[[AwayTeam]:[AwayTeam]],$T4, Table2[[HomeTeam]:[HomeTeam]], AA$1) + SUMIFS(Table2[[HomeWon_]:[HomeWon_]], Table2[[GameIsOver]:[GameIsOver]],1,Table2[[HomeTeam]:[HomeTeam]],$T4, Table2[[AwayTeam]:[AwayTeam]], AA$1))) + (0*(SUMIFS(Table2[[HomeWon_]:[HomeWon_]], Table2[[GameIsOver]:[GameIsOver]],1,Table2[[AwayTeam]:[AwayTeam]],$T4, Table2[[HomeTeam]:[HomeTeam]], AA$1, Table2[[ActualResult]:[ActualResult]], "REG") + SUMIFS(Table2[[AwayWon]:[AwayWon]], Table2[[GameIsOver]:[GameIsOver]],1,Table2[[HomeTeam]:[HomeTeam]],$T4, Table2[[AwayTeam]:[AwayTeam]], AA$1, Table2[[ActualResult]:[ActualResult]], "REG"))) + (1*(SUMIFS(Table2[[HomeWon_]:[HomeWon_]], Table2[[GameIsOver]:[GameIsOver]],1,Table2[[AwayTeam]:[AwayTeam]],$T4, Table2[[HomeTeam]:[HomeTeam]], AA$1, Table2[[ActualResult]:[ActualResult]], "OT") + SUMIFS(Table2[[AwayWon]:[AwayWon]], Table2[[GameIsOver]:[GameIsOver]],1,Table2[[HomeTeam]:[HomeTeam]],$T4, Table2[[AwayTeam]:[AwayTeam]], AA$1, Table2[[ActualResult]:[ActualResult]], "OT") + SUMIFS(Table2[[HomeWon_]:[HomeWon_]], Table2[[GameIsOver]:[GameIsOver]],1,Table2[[AwayTeam]:[AwayTeam]],$T4, Table2[[HomeTeam]:[HomeTeam]], AA$1, Table2[[ActualResult]:[ActualResult]], "SO") + SUMIFS(Table2[[AwayWon]:[AwayWon]], Table2[[GameIsOver]:[GameIsOver]],1,Table2[[HomeTeam]:[HomeTeam]],$T4, Table2[[AwayTeam]:[AwayTeam]], AA$1, Table2[[ActualResult]:[ActualResult]], "SO")))</f>
        <v>0</v>
      </c>
      <c r="AB4">
        <f>(2*(SUMIFS(Table2[[AwayWon]:[AwayWon]], Table2[[GameIsOver]:[GameIsOver]],1,Table2[[AwayTeam]:[AwayTeam]],$T4, Table2[[HomeTeam]:[HomeTeam]], AB$1) + SUMIFS(Table2[[HomeWon_]:[HomeWon_]], Table2[[GameIsOver]:[GameIsOver]],1,Table2[[HomeTeam]:[HomeTeam]],$T4, Table2[[AwayTeam]:[AwayTeam]], AB$1))) + (0*(SUMIFS(Table2[[HomeWon_]:[HomeWon_]], Table2[[GameIsOver]:[GameIsOver]],1,Table2[[AwayTeam]:[AwayTeam]],$T4, Table2[[HomeTeam]:[HomeTeam]], AB$1, Table2[[ActualResult]:[ActualResult]], "REG") + SUMIFS(Table2[[AwayWon]:[AwayWon]], Table2[[GameIsOver]:[GameIsOver]],1,Table2[[HomeTeam]:[HomeTeam]],$T4, Table2[[AwayTeam]:[AwayTeam]], AB$1, Table2[[ActualResult]:[ActualResult]], "REG"))) + (1*(SUMIFS(Table2[[HomeWon_]:[HomeWon_]], Table2[[GameIsOver]:[GameIsOver]],1,Table2[[AwayTeam]:[AwayTeam]],$T4, Table2[[HomeTeam]:[HomeTeam]], AB$1, Table2[[ActualResult]:[ActualResult]], "OT") + SUMIFS(Table2[[AwayWon]:[AwayWon]], Table2[[GameIsOver]:[GameIsOver]],1,Table2[[HomeTeam]:[HomeTeam]],$T4, Table2[[AwayTeam]:[AwayTeam]], AB$1, Table2[[ActualResult]:[ActualResult]], "OT") + SUMIFS(Table2[[HomeWon_]:[HomeWon_]], Table2[[GameIsOver]:[GameIsOver]],1,Table2[[AwayTeam]:[AwayTeam]],$T4, Table2[[HomeTeam]:[HomeTeam]], AB$1, Table2[[ActualResult]:[ActualResult]], "SO") + SUMIFS(Table2[[AwayWon]:[AwayWon]], Table2[[GameIsOver]:[GameIsOver]],1,Table2[[HomeTeam]:[HomeTeam]],$T4, Table2[[AwayTeam]:[AwayTeam]], AB$1, Table2[[ActualResult]:[ActualResult]], "SO")))</f>
        <v>2</v>
      </c>
      <c r="AC4">
        <f>(2*(SUMIFS(Table2[[AwayWon]:[AwayWon]], Table2[[GameIsOver]:[GameIsOver]],1,Table2[[AwayTeam]:[AwayTeam]],$T4, Table2[[HomeTeam]:[HomeTeam]], AC$1) + SUMIFS(Table2[[HomeWon_]:[HomeWon_]], Table2[[GameIsOver]:[GameIsOver]],1,Table2[[HomeTeam]:[HomeTeam]],$T4, Table2[[AwayTeam]:[AwayTeam]], AC$1))) + (0*(SUMIFS(Table2[[HomeWon_]:[HomeWon_]], Table2[[GameIsOver]:[GameIsOver]],1,Table2[[AwayTeam]:[AwayTeam]],$T4, Table2[[HomeTeam]:[HomeTeam]], AC$1, Table2[[ActualResult]:[ActualResult]], "REG") + SUMIFS(Table2[[AwayWon]:[AwayWon]], Table2[[GameIsOver]:[GameIsOver]],1,Table2[[HomeTeam]:[HomeTeam]],$T4, Table2[[AwayTeam]:[AwayTeam]], AC$1, Table2[[ActualResult]:[ActualResult]], "REG"))) + (1*(SUMIFS(Table2[[HomeWon_]:[HomeWon_]], Table2[[GameIsOver]:[GameIsOver]],1,Table2[[AwayTeam]:[AwayTeam]],$T4, Table2[[HomeTeam]:[HomeTeam]], AC$1, Table2[[ActualResult]:[ActualResult]], "OT") + SUMIFS(Table2[[AwayWon]:[AwayWon]], Table2[[GameIsOver]:[GameIsOver]],1,Table2[[HomeTeam]:[HomeTeam]],$T4, Table2[[AwayTeam]:[AwayTeam]], AC$1, Table2[[ActualResult]:[ActualResult]], "OT") + SUMIFS(Table2[[HomeWon_]:[HomeWon_]], Table2[[GameIsOver]:[GameIsOver]],1,Table2[[AwayTeam]:[AwayTeam]],$T4, Table2[[HomeTeam]:[HomeTeam]], AC$1, Table2[[ActualResult]:[ActualResult]], "SO") + SUMIFS(Table2[[AwayWon]:[AwayWon]], Table2[[GameIsOver]:[GameIsOver]],1,Table2[[HomeTeam]:[HomeTeam]],$T4, Table2[[AwayTeam]:[AwayTeam]], AC$1, Table2[[ActualResult]:[ActualResult]], "SO")))</f>
        <v>0</v>
      </c>
      <c r="AD4">
        <f>(2*(SUMIFS(Table2[[AwayWon]:[AwayWon]], Table2[[GameIsOver]:[GameIsOver]],1,Table2[[AwayTeam]:[AwayTeam]],$T4, Table2[[HomeTeam]:[HomeTeam]], AD$1) + SUMIFS(Table2[[HomeWon_]:[HomeWon_]], Table2[[GameIsOver]:[GameIsOver]],1,Table2[[HomeTeam]:[HomeTeam]],$T4, Table2[[AwayTeam]:[AwayTeam]], AD$1))) + (0*(SUMIFS(Table2[[HomeWon_]:[HomeWon_]], Table2[[GameIsOver]:[GameIsOver]],1,Table2[[AwayTeam]:[AwayTeam]],$T4, Table2[[HomeTeam]:[HomeTeam]], AD$1, Table2[[ActualResult]:[ActualResult]], "REG") + SUMIFS(Table2[[AwayWon]:[AwayWon]], Table2[[GameIsOver]:[GameIsOver]],1,Table2[[HomeTeam]:[HomeTeam]],$T4, Table2[[AwayTeam]:[AwayTeam]], AD$1, Table2[[ActualResult]:[ActualResult]], "REG"))) + (1*(SUMIFS(Table2[[HomeWon_]:[HomeWon_]], Table2[[GameIsOver]:[GameIsOver]],1,Table2[[AwayTeam]:[AwayTeam]],$T4, Table2[[HomeTeam]:[HomeTeam]], AD$1, Table2[[ActualResult]:[ActualResult]], "OT") + SUMIFS(Table2[[AwayWon]:[AwayWon]], Table2[[GameIsOver]:[GameIsOver]],1,Table2[[HomeTeam]:[HomeTeam]],$T4, Table2[[AwayTeam]:[AwayTeam]], AD$1, Table2[[ActualResult]:[ActualResult]], "OT") + SUMIFS(Table2[[HomeWon_]:[HomeWon_]], Table2[[GameIsOver]:[GameIsOver]],1,Table2[[AwayTeam]:[AwayTeam]],$T4, Table2[[HomeTeam]:[HomeTeam]], AD$1, Table2[[ActualResult]:[ActualResult]], "SO") + SUMIFS(Table2[[AwayWon]:[AwayWon]], Table2[[GameIsOver]:[GameIsOver]],1,Table2[[HomeTeam]:[HomeTeam]],$T4, Table2[[AwayTeam]:[AwayTeam]], AD$1, Table2[[ActualResult]:[ActualResult]], "SO")))</f>
        <v>0</v>
      </c>
      <c r="AE4">
        <f>(2*(SUMIFS(Table2[[AwayWon]:[AwayWon]], Table2[[GameIsOver]:[GameIsOver]],1,Table2[[AwayTeam]:[AwayTeam]],$T4, Table2[[HomeTeam]:[HomeTeam]], AE$1) + SUMIFS(Table2[[HomeWon_]:[HomeWon_]], Table2[[GameIsOver]:[GameIsOver]],1,Table2[[HomeTeam]:[HomeTeam]],$T4, Table2[[AwayTeam]:[AwayTeam]], AE$1))) + (0*(SUMIFS(Table2[[HomeWon_]:[HomeWon_]], Table2[[GameIsOver]:[GameIsOver]],1,Table2[[AwayTeam]:[AwayTeam]],$T4, Table2[[HomeTeam]:[HomeTeam]], AE$1, Table2[[ActualResult]:[ActualResult]], "REG") + SUMIFS(Table2[[AwayWon]:[AwayWon]], Table2[[GameIsOver]:[GameIsOver]],1,Table2[[HomeTeam]:[HomeTeam]],$T4, Table2[[AwayTeam]:[AwayTeam]], AE$1, Table2[[ActualResult]:[ActualResult]], "REG"))) + (1*(SUMIFS(Table2[[HomeWon_]:[HomeWon_]], Table2[[GameIsOver]:[GameIsOver]],1,Table2[[AwayTeam]:[AwayTeam]],$T4, Table2[[HomeTeam]:[HomeTeam]], AE$1, Table2[[ActualResult]:[ActualResult]], "OT") + SUMIFS(Table2[[AwayWon]:[AwayWon]], Table2[[GameIsOver]:[GameIsOver]],1,Table2[[HomeTeam]:[HomeTeam]],$T4, Table2[[AwayTeam]:[AwayTeam]], AE$1, Table2[[ActualResult]:[ActualResult]], "OT") + SUMIFS(Table2[[HomeWon_]:[HomeWon_]], Table2[[GameIsOver]:[GameIsOver]],1,Table2[[AwayTeam]:[AwayTeam]],$T4, Table2[[HomeTeam]:[HomeTeam]], AE$1, Table2[[ActualResult]:[ActualResult]], "SO") + SUMIFS(Table2[[AwayWon]:[AwayWon]], Table2[[GameIsOver]:[GameIsOver]],1,Table2[[HomeTeam]:[HomeTeam]],$T4, Table2[[AwayTeam]:[AwayTeam]], AE$1, Table2[[ActualResult]:[ActualResult]], "SO")))</f>
        <v>0</v>
      </c>
      <c r="AF4">
        <f>(2*(SUMIFS(Table2[[AwayWon]:[AwayWon]], Table2[[GameIsOver]:[GameIsOver]],1,Table2[[AwayTeam]:[AwayTeam]],$T4, Table2[[HomeTeam]:[HomeTeam]], AF$1) + SUMIFS(Table2[[HomeWon_]:[HomeWon_]], Table2[[GameIsOver]:[GameIsOver]],1,Table2[[HomeTeam]:[HomeTeam]],$T4, Table2[[AwayTeam]:[AwayTeam]], AF$1))) + (0*(SUMIFS(Table2[[HomeWon_]:[HomeWon_]], Table2[[GameIsOver]:[GameIsOver]],1,Table2[[AwayTeam]:[AwayTeam]],$T4, Table2[[HomeTeam]:[HomeTeam]], AF$1, Table2[[ActualResult]:[ActualResult]], "REG") + SUMIFS(Table2[[AwayWon]:[AwayWon]], Table2[[GameIsOver]:[GameIsOver]],1,Table2[[HomeTeam]:[HomeTeam]],$T4, Table2[[AwayTeam]:[AwayTeam]], AF$1, Table2[[ActualResult]:[ActualResult]], "REG"))) + (1*(SUMIFS(Table2[[HomeWon_]:[HomeWon_]], Table2[[GameIsOver]:[GameIsOver]],1,Table2[[AwayTeam]:[AwayTeam]],$T4, Table2[[HomeTeam]:[HomeTeam]], AF$1, Table2[[ActualResult]:[ActualResult]], "OT") + SUMIFS(Table2[[AwayWon]:[AwayWon]], Table2[[GameIsOver]:[GameIsOver]],1,Table2[[HomeTeam]:[HomeTeam]],$T4, Table2[[AwayTeam]:[AwayTeam]], AF$1, Table2[[ActualResult]:[ActualResult]], "OT") + SUMIFS(Table2[[HomeWon_]:[HomeWon_]], Table2[[GameIsOver]:[GameIsOver]],1,Table2[[AwayTeam]:[AwayTeam]],$T4, Table2[[HomeTeam]:[HomeTeam]], AF$1, Table2[[ActualResult]:[ActualResult]], "SO") + SUMIFS(Table2[[AwayWon]:[AwayWon]], Table2[[GameIsOver]:[GameIsOver]],1,Table2[[HomeTeam]:[HomeTeam]],$T4, Table2[[AwayTeam]:[AwayTeam]], AF$1, Table2[[ActualResult]:[ActualResult]], "SO")))</f>
        <v>0</v>
      </c>
      <c r="AG4">
        <f>(2*(SUMIFS(Table2[[AwayWon]:[AwayWon]], Table2[[GameIsOver]:[GameIsOver]],1,Table2[[AwayTeam]:[AwayTeam]],$T4, Table2[[HomeTeam]:[HomeTeam]], AG$1) + SUMIFS(Table2[[HomeWon_]:[HomeWon_]], Table2[[GameIsOver]:[GameIsOver]],1,Table2[[HomeTeam]:[HomeTeam]],$T4, Table2[[AwayTeam]:[AwayTeam]], AG$1))) + (0*(SUMIFS(Table2[[HomeWon_]:[HomeWon_]], Table2[[GameIsOver]:[GameIsOver]],1,Table2[[AwayTeam]:[AwayTeam]],$T4, Table2[[HomeTeam]:[HomeTeam]], AG$1, Table2[[ActualResult]:[ActualResult]], "REG") + SUMIFS(Table2[[AwayWon]:[AwayWon]], Table2[[GameIsOver]:[GameIsOver]],1,Table2[[HomeTeam]:[HomeTeam]],$T4, Table2[[AwayTeam]:[AwayTeam]], AG$1, Table2[[ActualResult]:[ActualResult]], "REG"))) + (1*(SUMIFS(Table2[[HomeWon_]:[HomeWon_]], Table2[[GameIsOver]:[GameIsOver]],1,Table2[[AwayTeam]:[AwayTeam]],$T4, Table2[[HomeTeam]:[HomeTeam]], AG$1, Table2[[ActualResult]:[ActualResult]], "OT") + SUMIFS(Table2[[AwayWon]:[AwayWon]], Table2[[GameIsOver]:[GameIsOver]],1,Table2[[HomeTeam]:[HomeTeam]],$T4, Table2[[AwayTeam]:[AwayTeam]], AG$1, Table2[[ActualResult]:[ActualResult]], "OT") + SUMIFS(Table2[[HomeWon_]:[HomeWon_]], Table2[[GameIsOver]:[GameIsOver]],1,Table2[[AwayTeam]:[AwayTeam]],$T4, Table2[[HomeTeam]:[HomeTeam]], AG$1, Table2[[ActualResult]:[ActualResult]], "SO") + SUMIFS(Table2[[AwayWon]:[AwayWon]], Table2[[GameIsOver]:[GameIsOver]],1,Table2[[HomeTeam]:[HomeTeam]],$T4, Table2[[AwayTeam]:[AwayTeam]], AG$1, Table2[[ActualResult]:[ActualResult]], "SO")))</f>
        <v>0</v>
      </c>
      <c r="AH4">
        <f>(2*(SUMIFS(Table2[[AwayWon]:[AwayWon]], Table2[[GameIsOver]:[GameIsOver]],1,Table2[[AwayTeam]:[AwayTeam]],$T4, Table2[[HomeTeam]:[HomeTeam]], AH$1) + SUMIFS(Table2[[HomeWon_]:[HomeWon_]], Table2[[GameIsOver]:[GameIsOver]],1,Table2[[HomeTeam]:[HomeTeam]],$T4, Table2[[AwayTeam]:[AwayTeam]], AH$1))) + (0*(SUMIFS(Table2[[HomeWon_]:[HomeWon_]], Table2[[GameIsOver]:[GameIsOver]],1,Table2[[AwayTeam]:[AwayTeam]],$T4, Table2[[HomeTeam]:[HomeTeam]], AH$1, Table2[[ActualResult]:[ActualResult]], "REG") + SUMIFS(Table2[[AwayWon]:[AwayWon]], Table2[[GameIsOver]:[GameIsOver]],1,Table2[[HomeTeam]:[HomeTeam]],$T4, Table2[[AwayTeam]:[AwayTeam]], AH$1, Table2[[ActualResult]:[ActualResult]], "REG"))) + (1*(SUMIFS(Table2[[HomeWon_]:[HomeWon_]], Table2[[GameIsOver]:[GameIsOver]],1,Table2[[AwayTeam]:[AwayTeam]],$T4, Table2[[HomeTeam]:[HomeTeam]], AH$1, Table2[[ActualResult]:[ActualResult]], "OT") + SUMIFS(Table2[[AwayWon]:[AwayWon]], Table2[[GameIsOver]:[GameIsOver]],1,Table2[[HomeTeam]:[HomeTeam]],$T4, Table2[[AwayTeam]:[AwayTeam]], AH$1, Table2[[ActualResult]:[ActualResult]], "OT") + SUMIFS(Table2[[HomeWon_]:[HomeWon_]], Table2[[GameIsOver]:[GameIsOver]],1,Table2[[AwayTeam]:[AwayTeam]],$T4, Table2[[HomeTeam]:[HomeTeam]], AH$1, Table2[[ActualResult]:[ActualResult]], "SO") + SUMIFS(Table2[[AwayWon]:[AwayWon]], Table2[[GameIsOver]:[GameIsOver]],1,Table2[[HomeTeam]:[HomeTeam]],$T4, Table2[[AwayTeam]:[AwayTeam]], AH$1, Table2[[ActualResult]:[ActualResult]], "SO")))</f>
        <v>0</v>
      </c>
      <c r="AI4">
        <f>(2*(SUMIFS(Table2[[AwayWon]:[AwayWon]], Table2[[GameIsOver]:[GameIsOver]],1,Table2[[AwayTeam]:[AwayTeam]],$T4, Table2[[HomeTeam]:[HomeTeam]], AI$1) + SUMIFS(Table2[[HomeWon_]:[HomeWon_]], Table2[[GameIsOver]:[GameIsOver]],1,Table2[[HomeTeam]:[HomeTeam]],$T4, Table2[[AwayTeam]:[AwayTeam]], AI$1))) + (0*(SUMIFS(Table2[[HomeWon_]:[HomeWon_]], Table2[[GameIsOver]:[GameIsOver]],1,Table2[[AwayTeam]:[AwayTeam]],$T4, Table2[[HomeTeam]:[HomeTeam]], AI$1, Table2[[ActualResult]:[ActualResult]], "REG") + SUMIFS(Table2[[AwayWon]:[AwayWon]], Table2[[GameIsOver]:[GameIsOver]],1,Table2[[HomeTeam]:[HomeTeam]],$T4, Table2[[AwayTeam]:[AwayTeam]], AI$1, Table2[[ActualResult]:[ActualResult]], "REG"))) + (1*(SUMIFS(Table2[[HomeWon_]:[HomeWon_]], Table2[[GameIsOver]:[GameIsOver]],1,Table2[[AwayTeam]:[AwayTeam]],$T4, Table2[[HomeTeam]:[HomeTeam]], AI$1, Table2[[ActualResult]:[ActualResult]], "OT") + SUMIFS(Table2[[AwayWon]:[AwayWon]], Table2[[GameIsOver]:[GameIsOver]],1,Table2[[HomeTeam]:[HomeTeam]],$T4, Table2[[AwayTeam]:[AwayTeam]], AI$1, Table2[[ActualResult]:[ActualResult]], "OT") + SUMIFS(Table2[[HomeWon_]:[HomeWon_]], Table2[[GameIsOver]:[GameIsOver]],1,Table2[[AwayTeam]:[AwayTeam]],$T4, Table2[[HomeTeam]:[HomeTeam]], AI$1, Table2[[ActualResult]:[ActualResult]], "SO") + SUMIFS(Table2[[AwayWon]:[AwayWon]], Table2[[GameIsOver]:[GameIsOver]],1,Table2[[HomeTeam]:[HomeTeam]],$T4, Table2[[AwayTeam]:[AwayTeam]], AI$1, Table2[[ActualResult]:[ActualResult]], "SO")))</f>
        <v>0</v>
      </c>
      <c r="AJ4">
        <f>(2*(SUMIFS(Table2[[AwayWon]:[AwayWon]], Table2[[GameIsOver]:[GameIsOver]],1,Table2[[AwayTeam]:[AwayTeam]],$T4, Table2[[HomeTeam]:[HomeTeam]], AJ$1) + SUMIFS(Table2[[HomeWon_]:[HomeWon_]], Table2[[GameIsOver]:[GameIsOver]],1,Table2[[HomeTeam]:[HomeTeam]],$T4, Table2[[AwayTeam]:[AwayTeam]], AJ$1))) + (0*(SUMIFS(Table2[[HomeWon_]:[HomeWon_]], Table2[[GameIsOver]:[GameIsOver]],1,Table2[[AwayTeam]:[AwayTeam]],$T4, Table2[[HomeTeam]:[HomeTeam]], AJ$1, Table2[[ActualResult]:[ActualResult]], "REG") + SUMIFS(Table2[[AwayWon]:[AwayWon]], Table2[[GameIsOver]:[GameIsOver]],1,Table2[[HomeTeam]:[HomeTeam]],$T4, Table2[[AwayTeam]:[AwayTeam]], AJ$1, Table2[[ActualResult]:[ActualResult]], "REG"))) + (1*(SUMIFS(Table2[[HomeWon_]:[HomeWon_]], Table2[[GameIsOver]:[GameIsOver]],1,Table2[[AwayTeam]:[AwayTeam]],$T4, Table2[[HomeTeam]:[HomeTeam]], AJ$1, Table2[[ActualResult]:[ActualResult]], "OT") + SUMIFS(Table2[[AwayWon]:[AwayWon]], Table2[[GameIsOver]:[GameIsOver]],1,Table2[[HomeTeam]:[HomeTeam]],$T4, Table2[[AwayTeam]:[AwayTeam]], AJ$1, Table2[[ActualResult]:[ActualResult]], "OT") + SUMIFS(Table2[[HomeWon_]:[HomeWon_]], Table2[[GameIsOver]:[GameIsOver]],1,Table2[[AwayTeam]:[AwayTeam]],$T4, Table2[[HomeTeam]:[HomeTeam]], AJ$1, Table2[[ActualResult]:[ActualResult]], "SO") + SUMIFS(Table2[[AwayWon]:[AwayWon]], Table2[[GameIsOver]:[GameIsOver]],1,Table2[[HomeTeam]:[HomeTeam]],$T4, Table2[[AwayTeam]:[AwayTeam]], AJ$1, Table2[[ActualResult]:[ActualResult]], "SO")))</f>
        <v>0</v>
      </c>
      <c r="AK4">
        <f>(2*(SUMIFS(Table2[[AwayWon]:[AwayWon]], Table2[[GameIsOver]:[GameIsOver]],1,Table2[[AwayTeam]:[AwayTeam]],$T4, Table2[[HomeTeam]:[HomeTeam]], AK$1) + SUMIFS(Table2[[HomeWon_]:[HomeWon_]], Table2[[GameIsOver]:[GameIsOver]],1,Table2[[HomeTeam]:[HomeTeam]],$T4, Table2[[AwayTeam]:[AwayTeam]], AK$1))) + (0*(SUMIFS(Table2[[HomeWon_]:[HomeWon_]], Table2[[GameIsOver]:[GameIsOver]],1,Table2[[AwayTeam]:[AwayTeam]],$T4, Table2[[HomeTeam]:[HomeTeam]], AK$1, Table2[[ActualResult]:[ActualResult]], "REG") + SUMIFS(Table2[[AwayWon]:[AwayWon]], Table2[[GameIsOver]:[GameIsOver]],1,Table2[[HomeTeam]:[HomeTeam]],$T4, Table2[[AwayTeam]:[AwayTeam]], AK$1, Table2[[ActualResult]:[ActualResult]], "REG"))) + (1*(SUMIFS(Table2[[HomeWon_]:[HomeWon_]], Table2[[GameIsOver]:[GameIsOver]],1,Table2[[AwayTeam]:[AwayTeam]],$T4, Table2[[HomeTeam]:[HomeTeam]], AK$1, Table2[[ActualResult]:[ActualResult]], "OT") + SUMIFS(Table2[[AwayWon]:[AwayWon]], Table2[[GameIsOver]:[GameIsOver]],1,Table2[[HomeTeam]:[HomeTeam]],$T4, Table2[[AwayTeam]:[AwayTeam]], AK$1, Table2[[ActualResult]:[ActualResult]], "OT") + SUMIFS(Table2[[HomeWon_]:[HomeWon_]], Table2[[GameIsOver]:[GameIsOver]],1,Table2[[AwayTeam]:[AwayTeam]],$T4, Table2[[HomeTeam]:[HomeTeam]], AK$1, Table2[[ActualResult]:[ActualResult]], "SO") + SUMIFS(Table2[[AwayWon]:[AwayWon]], Table2[[GameIsOver]:[GameIsOver]],1,Table2[[HomeTeam]:[HomeTeam]],$T4, Table2[[AwayTeam]:[AwayTeam]], AK$1, Table2[[ActualResult]:[ActualResult]], "SO")))</f>
        <v>0</v>
      </c>
      <c r="AL4">
        <f>(2*(SUMIFS(Table2[[AwayWon]:[AwayWon]], Table2[[GameIsOver]:[GameIsOver]],1,Table2[[AwayTeam]:[AwayTeam]],$T4, Table2[[HomeTeam]:[HomeTeam]], AL$1) + SUMIFS(Table2[[HomeWon_]:[HomeWon_]], Table2[[GameIsOver]:[GameIsOver]],1,Table2[[HomeTeam]:[HomeTeam]],$T4, Table2[[AwayTeam]:[AwayTeam]], AL$1))) + (0*(SUMIFS(Table2[[HomeWon_]:[HomeWon_]], Table2[[GameIsOver]:[GameIsOver]],1,Table2[[AwayTeam]:[AwayTeam]],$T4, Table2[[HomeTeam]:[HomeTeam]], AL$1, Table2[[ActualResult]:[ActualResult]], "REG") + SUMIFS(Table2[[AwayWon]:[AwayWon]], Table2[[GameIsOver]:[GameIsOver]],1,Table2[[HomeTeam]:[HomeTeam]],$T4, Table2[[AwayTeam]:[AwayTeam]], AL$1, Table2[[ActualResult]:[ActualResult]], "REG"))) + (1*(SUMIFS(Table2[[HomeWon_]:[HomeWon_]], Table2[[GameIsOver]:[GameIsOver]],1,Table2[[AwayTeam]:[AwayTeam]],$T4, Table2[[HomeTeam]:[HomeTeam]], AL$1, Table2[[ActualResult]:[ActualResult]], "OT") + SUMIFS(Table2[[AwayWon]:[AwayWon]], Table2[[GameIsOver]:[GameIsOver]],1,Table2[[HomeTeam]:[HomeTeam]],$T4, Table2[[AwayTeam]:[AwayTeam]], AL$1, Table2[[ActualResult]:[ActualResult]], "OT") + SUMIFS(Table2[[HomeWon_]:[HomeWon_]], Table2[[GameIsOver]:[GameIsOver]],1,Table2[[AwayTeam]:[AwayTeam]],$T4, Table2[[HomeTeam]:[HomeTeam]], AL$1, Table2[[ActualResult]:[ActualResult]], "SO") + SUMIFS(Table2[[AwayWon]:[AwayWon]], Table2[[GameIsOver]:[GameIsOver]],1,Table2[[HomeTeam]:[HomeTeam]],$T4, Table2[[AwayTeam]:[AwayTeam]], AL$1, Table2[[ActualResult]:[ActualResult]], "SO")))</f>
        <v>0</v>
      </c>
      <c r="AM4">
        <f>(2*(SUMIFS(Table2[[AwayWon]:[AwayWon]], Table2[[GameIsOver]:[GameIsOver]],1,Table2[[AwayTeam]:[AwayTeam]],$T4, Table2[[HomeTeam]:[HomeTeam]], AM$1) + SUMIFS(Table2[[HomeWon_]:[HomeWon_]], Table2[[GameIsOver]:[GameIsOver]],1,Table2[[HomeTeam]:[HomeTeam]],$T4, Table2[[AwayTeam]:[AwayTeam]], AM$1))) + (0*(SUMIFS(Table2[[HomeWon_]:[HomeWon_]], Table2[[GameIsOver]:[GameIsOver]],1,Table2[[AwayTeam]:[AwayTeam]],$T4, Table2[[HomeTeam]:[HomeTeam]], AM$1, Table2[[ActualResult]:[ActualResult]], "REG") + SUMIFS(Table2[[AwayWon]:[AwayWon]], Table2[[GameIsOver]:[GameIsOver]],1,Table2[[HomeTeam]:[HomeTeam]],$T4, Table2[[AwayTeam]:[AwayTeam]], AM$1, Table2[[ActualResult]:[ActualResult]], "REG"))) + (1*(SUMIFS(Table2[[HomeWon_]:[HomeWon_]], Table2[[GameIsOver]:[GameIsOver]],1,Table2[[AwayTeam]:[AwayTeam]],$T4, Table2[[HomeTeam]:[HomeTeam]], AM$1, Table2[[ActualResult]:[ActualResult]], "OT") + SUMIFS(Table2[[AwayWon]:[AwayWon]], Table2[[GameIsOver]:[GameIsOver]],1,Table2[[HomeTeam]:[HomeTeam]],$T4, Table2[[AwayTeam]:[AwayTeam]], AM$1, Table2[[ActualResult]:[ActualResult]], "OT") + SUMIFS(Table2[[HomeWon_]:[HomeWon_]], Table2[[GameIsOver]:[GameIsOver]],1,Table2[[AwayTeam]:[AwayTeam]],$T4, Table2[[HomeTeam]:[HomeTeam]], AM$1, Table2[[ActualResult]:[ActualResult]], "SO") + SUMIFS(Table2[[AwayWon]:[AwayWon]], Table2[[GameIsOver]:[GameIsOver]],1,Table2[[HomeTeam]:[HomeTeam]],$T4, Table2[[AwayTeam]:[AwayTeam]], AM$1, Table2[[ActualResult]:[ActualResult]], "SO")))</f>
        <v>0</v>
      </c>
      <c r="AN4">
        <f>(2*(SUMIFS(Table2[[AwayWon]:[AwayWon]], Table2[[GameIsOver]:[GameIsOver]],1,Table2[[AwayTeam]:[AwayTeam]],$T4, Table2[[HomeTeam]:[HomeTeam]], AN$1) + SUMIFS(Table2[[HomeWon_]:[HomeWon_]], Table2[[GameIsOver]:[GameIsOver]],1,Table2[[HomeTeam]:[HomeTeam]],$T4, Table2[[AwayTeam]:[AwayTeam]], AN$1))) + (0*(SUMIFS(Table2[[HomeWon_]:[HomeWon_]], Table2[[GameIsOver]:[GameIsOver]],1,Table2[[AwayTeam]:[AwayTeam]],$T4, Table2[[HomeTeam]:[HomeTeam]], AN$1, Table2[[ActualResult]:[ActualResult]], "REG") + SUMIFS(Table2[[AwayWon]:[AwayWon]], Table2[[GameIsOver]:[GameIsOver]],1,Table2[[HomeTeam]:[HomeTeam]],$T4, Table2[[AwayTeam]:[AwayTeam]], AN$1, Table2[[ActualResult]:[ActualResult]], "REG"))) + (1*(SUMIFS(Table2[[HomeWon_]:[HomeWon_]], Table2[[GameIsOver]:[GameIsOver]],1,Table2[[AwayTeam]:[AwayTeam]],$T4, Table2[[HomeTeam]:[HomeTeam]], AN$1, Table2[[ActualResult]:[ActualResult]], "OT") + SUMIFS(Table2[[AwayWon]:[AwayWon]], Table2[[GameIsOver]:[GameIsOver]],1,Table2[[HomeTeam]:[HomeTeam]],$T4, Table2[[AwayTeam]:[AwayTeam]], AN$1, Table2[[ActualResult]:[ActualResult]], "OT") + SUMIFS(Table2[[HomeWon_]:[HomeWon_]], Table2[[GameIsOver]:[GameIsOver]],1,Table2[[AwayTeam]:[AwayTeam]],$T4, Table2[[HomeTeam]:[HomeTeam]], AN$1, Table2[[ActualResult]:[ActualResult]], "SO") + SUMIFS(Table2[[AwayWon]:[AwayWon]], Table2[[GameIsOver]:[GameIsOver]],1,Table2[[HomeTeam]:[HomeTeam]],$T4, Table2[[AwayTeam]:[AwayTeam]], AN$1, Table2[[ActualResult]:[ActualResult]], "SO")))</f>
        <v>0</v>
      </c>
      <c r="AO4">
        <f>(2*(SUMIFS(Table2[[AwayWon]:[AwayWon]], Table2[[GameIsOver]:[GameIsOver]],1,Table2[[AwayTeam]:[AwayTeam]],$T4, Table2[[HomeTeam]:[HomeTeam]], AO$1) + SUMIFS(Table2[[HomeWon_]:[HomeWon_]], Table2[[GameIsOver]:[GameIsOver]],1,Table2[[HomeTeam]:[HomeTeam]],$T4, Table2[[AwayTeam]:[AwayTeam]], AO$1))) + (0*(SUMIFS(Table2[[HomeWon_]:[HomeWon_]], Table2[[GameIsOver]:[GameIsOver]],1,Table2[[AwayTeam]:[AwayTeam]],$T4, Table2[[HomeTeam]:[HomeTeam]], AO$1, Table2[[ActualResult]:[ActualResult]], "REG") + SUMIFS(Table2[[AwayWon]:[AwayWon]], Table2[[GameIsOver]:[GameIsOver]],1,Table2[[HomeTeam]:[HomeTeam]],$T4, Table2[[AwayTeam]:[AwayTeam]], AO$1, Table2[[ActualResult]:[ActualResult]], "REG"))) + (1*(SUMIFS(Table2[[HomeWon_]:[HomeWon_]], Table2[[GameIsOver]:[GameIsOver]],1,Table2[[AwayTeam]:[AwayTeam]],$T4, Table2[[HomeTeam]:[HomeTeam]], AO$1, Table2[[ActualResult]:[ActualResult]], "OT") + SUMIFS(Table2[[AwayWon]:[AwayWon]], Table2[[GameIsOver]:[GameIsOver]],1,Table2[[HomeTeam]:[HomeTeam]],$T4, Table2[[AwayTeam]:[AwayTeam]], AO$1, Table2[[ActualResult]:[ActualResult]], "OT") + SUMIFS(Table2[[HomeWon_]:[HomeWon_]], Table2[[GameIsOver]:[GameIsOver]],1,Table2[[AwayTeam]:[AwayTeam]],$T4, Table2[[HomeTeam]:[HomeTeam]], AO$1, Table2[[ActualResult]:[ActualResult]], "SO") + SUMIFS(Table2[[AwayWon]:[AwayWon]], Table2[[GameIsOver]:[GameIsOver]],1,Table2[[HomeTeam]:[HomeTeam]],$T4, Table2[[AwayTeam]:[AwayTeam]], AO$1, Table2[[ActualResult]:[ActualResult]], "SO")))</f>
        <v>0</v>
      </c>
      <c r="AP4">
        <f>(2*(SUMIFS(Table2[[AwayWon]:[AwayWon]], Table2[[GameIsOver]:[GameIsOver]],1,Table2[[AwayTeam]:[AwayTeam]],$T4, Table2[[HomeTeam]:[HomeTeam]], AP$1) + SUMIFS(Table2[[HomeWon_]:[HomeWon_]], Table2[[GameIsOver]:[GameIsOver]],1,Table2[[HomeTeam]:[HomeTeam]],$T4, Table2[[AwayTeam]:[AwayTeam]], AP$1))) + (0*(SUMIFS(Table2[[HomeWon_]:[HomeWon_]], Table2[[GameIsOver]:[GameIsOver]],1,Table2[[AwayTeam]:[AwayTeam]],$T4, Table2[[HomeTeam]:[HomeTeam]], AP$1, Table2[[ActualResult]:[ActualResult]], "REG") + SUMIFS(Table2[[AwayWon]:[AwayWon]], Table2[[GameIsOver]:[GameIsOver]],1,Table2[[HomeTeam]:[HomeTeam]],$T4, Table2[[AwayTeam]:[AwayTeam]], AP$1, Table2[[ActualResult]:[ActualResult]], "REG"))) + (1*(SUMIFS(Table2[[HomeWon_]:[HomeWon_]], Table2[[GameIsOver]:[GameIsOver]],1,Table2[[AwayTeam]:[AwayTeam]],$T4, Table2[[HomeTeam]:[HomeTeam]], AP$1, Table2[[ActualResult]:[ActualResult]], "OT") + SUMIFS(Table2[[AwayWon]:[AwayWon]], Table2[[GameIsOver]:[GameIsOver]],1,Table2[[HomeTeam]:[HomeTeam]],$T4, Table2[[AwayTeam]:[AwayTeam]], AP$1, Table2[[ActualResult]:[ActualResult]], "OT") + SUMIFS(Table2[[HomeWon_]:[HomeWon_]], Table2[[GameIsOver]:[GameIsOver]],1,Table2[[AwayTeam]:[AwayTeam]],$T4, Table2[[HomeTeam]:[HomeTeam]], AP$1, Table2[[ActualResult]:[ActualResult]], "SO") + SUMIFS(Table2[[AwayWon]:[AwayWon]], Table2[[GameIsOver]:[GameIsOver]],1,Table2[[HomeTeam]:[HomeTeam]],$T4, Table2[[AwayTeam]:[AwayTeam]], AP$1, Table2[[ActualResult]:[ActualResult]], "SO")))</f>
        <v>2</v>
      </c>
      <c r="AQ4">
        <f>(2*(SUMIFS(Table2[[AwayWon]:[AwayWon]], Table2[[GameIsOver]:[GameIsOver]],1,Table2[[AwayTeam]:[AwayTeam]],$T4, Table2[[HomeTeam]:[HomeTeam]], AQ$1) + SUMIFS(Table2[[HomeWon_]:[HomeWon_]], Table2[[GameIsOver]:[GameIsOver]],1,Table2[[HomeTeam]:[HomeTeam]],$T4, Table2[[AwayTeam]:[AwayTeam]], AQ$1))) + (0*(SUMIFS(Table2[[HomeWon_]:[HomeWon_]], Table2[[GameIsOver]:[GameIsOver]],1,Table2[[AwayTeam]:[AwayTeam]],$T4, Table2[[HomeTeam]:[HomeTeam]], AQ$1, Table2[[ActualResult]:[ActualResult]], "REG") + SUMIFS(Table2[[AwayWon]:[AwayWon]], Table2[[GameIsOver]:[GameIsOver]],1,Table2[[HomeTeam]:[HomeTeam]],$T4, Table2[[AwayTeam]:[AwayTeam]], AQ$1, Table2[[ActualResult]:[ActualResult]], "REG"))) + (1*(SUMIFS(Table2[[HomeWon_]:[HomeWon_]], Table2[[GameIsOver]:[GameIsOver]],1,Table2[[AwayTeam]:[AwayTeam]],$T4, Table2[[HomeTeam]:[HomeTeam]], AQ$1, Table2[[ActualResult]:[ActualResult]], "OT") + SUMIFS(Table2[[AwayWon]:[AwayWon]], Table2[[GameIsOver]:[GameIsOver]],1,Table2[[HomeTeam]:[HomeTeam]],$T4, Table2[[AwayTeam]:[AwayTeam]], AQ$1, Table2[[ActualResult]:[ActualResult]], "OT") + SUMIFS(Table2[[HomeWon_]:[HomeWon_]], Table2[[GameIsOver]:[GameIsOver]],1,Table2[[AwayTeam]:[AwayTeam]],$T4, Table2[[HomeTeam]:[HomeTeam]], AQ$1, Table2[[ActualResult]:[ActualResult]], "SO") + SUMIFS(Table2[[AwayWon]:[AwayWon]], Table2[[GameIsOver]:[GameIsOver]],1,Table2[[HomeTeam]:[HomeTeam]],$T4, Table2[[AwayTeam]:[AwayTeam]], AQ$1, Table2[[ActualResult]:[ActualResult]], "SO")))</f>
        <v>0</v>
      </c>
      <c r="AR4">
        <f>(2*(SUMIFS(Table2[[AwayWon]:[AwayWon]], Table2[[GameIsOver]:[GameIsOver]],1,Table2[[AwayTeam]:[AwayTeam]],$T4, Table2[[HomeTeam]:[HomeTeam]], AR$1) + SUMIFS(Table2[[HomeWon_]:[HomeWon_]], Table2[[GameIsOver]:[GameIsOver]],1,Table2[[HomeTeam]:[HomeTeam]],$T4, Table2[[AwayTeam]:[AwayTeam]], AR$1))) + (0*(SUMIFS(Table2[[HomeWon_]:[HomeWon_]], Table2[[GameIsOver]:[GameIsOver]],1,Table2[[AwayTeam]:[AwayTeam]],$T4, Table2[[HomeTeam]:[HomeTeam]], AR$1, Table2[[ActualResult]:[ActualResult]], "REG") + SUMIFS(Table2[[AwayWon]:[AwayWon]], Table2[[GameIsOver]:[GameIsOver]],1,Table2[[HomeTeam]:[HomeTeam]],$T4, Table2[[AwayTeam]:[AwayTeam]], AR$1, Table2[[ActualResult]:[ActualResult]], "REG"))) + (1*(SUMIFS(Table2[[HomeWon_]:[HomeWon_]], Table2[[GameIsOver]:[GameIsOver]],1,Table2[[AwayTeam]:[AwayTeam]],$T4, Table2[[HomeTeam]:[HomeTeam]], AR$1, Table2[[ActualResult]:[ActualResult]], "OT") + SUMIFS(Table2[[AwayWon]:[AwayWon]], Table2[[GameIsOver]:[GameIsOver]],1,Table2[[HomeTeam]:[HomeTeam]],$T4, Table2[[AwayTeam]:[AwayTeam]], AR$1, Table2[[ActualResult]:[ActualResult]], "OT") + SUMIFS(Table2[[HomeWon_]:[HomeWon_]], Table2[[GameIsOver]:[GameIsOver]],1,Table2[[AwayTeam]:[AwayTeam]],$T4, Table2[[HomeTeam]:[HomeTeam]], AR$1, Table2[[ActualResult]:[ActualResult]], "SO") + SUMIFS(Table2[[AwayWon]:[AwayWon]], Table2[[GameIsOver]:[GameIsOver]],1,Table2[[HomeTeam]:[HomeTeam]],$T4, Table2[[AwayTeam]:[AwayTeam]], AR$1, Table2[[ActualResult]:[ActualResult]], "SO")))</f>
        <v>0</v>
      </c>
      <c r="AS4">
        <f>(2*(SUMIFS(Table2[[AwayWon]:[AwayWon]], Table2[[GameIsOver]:[GameIsOver]],1,Table2[[AwayTeam]:[AwayTeam]],$T4, Table2[[HomeTeam]:[HomeTeam]], AS$1) + SUMIFS(Table2[[HomeWon_]:[HomeWon_]], Table2[[GameIsOver]:[GameIsOver]],1,Table2[[HomeTeam]:[HomeTeam]],$T4, Table2[[AwayTeam]:[AwayTeam]], AS$1))) + (0*(SUMIFS(Table2[[HomeWon_]:[HomeWon_]], Table2[[GameIsOver]:[GameIsOver]],1,Table2[[AwayTeam]:[AwayTeam]],$T4, Table2[[HomeTeam]:[HomeTeam]], AS$1, Table2[[ActualResult]:[ActualResult]], "REG") + SUMIFS(Table2[[AwayWon]:[AwayWon]], Table2[[GameIsOver]:[GameIsOver]],1,Table2[[HomeTeam]:[HomeTeam]],$T4, Table2[[AwayTeam]:[AwayTeam]], AS$1, Table2[[ActualResult]:[ActualResult]], "REG"))) + (1*(SUMIFS(Table2[[HomeWon_]:[HomeWon_]], Table2[[GameIsOver]:[GameIsOver]],1,Table2[[AwayTeam]:[AwayTeam]],$T4, Table2[[HomeTeam]:[HomeTeam]], AS$1, Table2[[ActualResult]:[ActualResult]], "OT") + SUMIFS(Table2[[AwayWon]:[AwayWon]], Table2[[GameIsOver]:[GameIsOver]],1,Table2[[HomeTeam]:[HomeTeam]],$T4, Table2[[AwayTeam]:[AwayTeam]], AS$1, Table2[[ActualResult]:[ActualResult]], "OT") + SUMIFS(Table2[[HomeWon_]:[HomeWon_]], Table2[[GameIsOver]:[GameIsOver]],1,Table2[[AwayTeam]:[AwayTeam]],$T4, Table2[[HomeTeam]:[HomeTeam]], AS$1, Table2[[ActualResult]:[ActualResult]], "SO") + SUMIFS(Table2[[AwayWon]:[AwayWon]], Table2[[GameIsOver]:[GameIsOver]],1,Table2[[HomeTeam]:[HomeTeam]],$T4, Table2[[AwayTeam]:[AwayTeam]], AS$1, Table2[[ActualResult]:[ActualResult]], "SO")))</f>
        <v>0</v>
      </c>
      <c r="AT4">
        <f>(2*(SUMIFS(Table2[[AwayWon]:[AwayWon]], Table2[[GameIsOver]:[GameIsOver]],1,Table2[[AwayTeam]:[AwayTeam]],$T4, Table2[[HomeTeam]:[HomeTeam]], AT$1) + SUMIFS(Table2[[HomeWon_]:[HomeWon_]], Table2[[GameIsOver]:[GameIsOver]],1,Table2[[HomeTeam]:[HomeTeam]],$T4, Table2[[AwayTeam]:[AwayTeam]], AT$1))) + (0*(SUMIFS(Table2[[HomeWon_]:[HomeWon_]], Table2[[GameIsOver]:[GameIsOver]],1,Table2[[AwayTeam]:[AwayTeam]],$T4, Table2[[HomeTeam]:[HomeTeam]], AT$1, Table2[[ActualResult]:[ActualResult]], "REG") + SUMIFS(Table2[[AwayWon]:[AwayWon]], Table2[[GameIsOver]:[GameIsOver]],1,Table2[[HomeTeam]:[HomeTeam]],$T4, Table2[[AwayTeam]:[AwayTeam]], AT$1, Table2[[ActualResult]:[ActualResult]], "REG"))) + (1*(SUMIFS(Table2[[HomeWon_]:[HomeWon_]], Table2[[GameIsOver]:[GameIsOver]],1,Table2[[AwayTeam]:[AwayTeam]],$T4, Table2[[HomeTeam]:[HomeTeam]], AT$1, Table2[[ActualResult]:[ActualResult]], "OT") + SUMIFS(Table2[[AwayWon]:[AwayWon]], Table2[[GameIsOver]:[GameIsOver]],1,Table2[[HomeTeam]:[HomeTeam]],$T4, Table2[[AwayTeam]:[AwayTeam]], AT$1, Table2[[ActualResult]:[ActualResult]], "OT") + SUMIFS(Table2[[HomeWon_]:[HomeWon_]], Table2[[GameIsOver]:[GameIsOver]],1,Table2[[AwayTeam]:[AwayTeam]],$T4, Table2[[HomeTeam]:[HomeTeam]], AT$1, Table2[[ActualResult]:[ActualResult]], "SO") + SUMIFS(Table2[[AwayWon]:[AwayWon]], Table2[[GameIsOver]:[GameIsOver]],1,Table2[[HomeTeam]:[HomeTeam]],$T4, Table2[[AwayTeam]:[AwayTeam]], AT$1, Table2[[ActualResult]:[ActualResult]], "SO")))</f>
        <v>0</v>
      </c>
      <c r="AU4">
        <f>(2*(SUMIFS(Table2[[AwayWon]:[AwayWon]], Table2[[GameIsOver]:[GameIsOver]],1,Table2[[AwayTeam]:[AwayTeam]],$T4, Table2[[HomeTeam]:[HomeTeam]], AU$1) + SUMIFS(Table2[[HomeWon_]:[HomeWon_]], Table2[[GameIsOver]:[GameIsOver]],1,Table2[[HomeTeam]:[HomeTeam]],$T4, Table2[[AwayTeam]:[AwayTeam]], AU$1))) + (0*(SUMIFS(Table2[[HomeWon_]:[HomeWon_]], Table2[[GameIsOver]:[GameIsOver]],1,Table2[[AwayTeam]:[AwayTeam]],$T4, Table2[[HomeTeam]:[HomeTeam]], AU$1, Table2[[ActualResult]:[ActualResult]], "REG") + SUMIFS(Table2[[AwayWon]:[AwayWon]], Table2[[GameIsOver]:[GameIsOver]],1,Table2[[HomeTeam]:[HomeTeam]],$T4, Table2[[AwayTeam]:[AwayTeam]], AU$1, Table2[[ActualResult]:[ActualResult]], "REG"))) + (1*(SUMIFS(Table2[[HomeWon_]:[HomeWon_]], Table2[[GameIsOver]:[GameIsOver]],1,Table2[[AwayTeam]:[AwayTeam]],$T4, Table2[[HomeTeam]:[HomeTeam]], AU$1, Table2[[ActualResult]:[ActualResult]], "OT") + SUMIFS(Table2[[AwayWon]:[AwayWon]], Table2[[GameIsOver]:[GameIsOver]],1,Table2[[HomeTeam]:[HomeTeam]],$T4, Table2[[AwayTeam]:[AwayTeam]], AU$1, Table2[[ActualResult]:[ActualResult]], "OT") + SUMIFS(Table2[[HomeWon_]:[HomeWon_]], Table2[[GameIsOver]:[GameIsOver]],1,Table2[[AwayTeam]:[AwayTeam]],$T4, Table2[[HomeTeam]:[HomeTeam]], AU$1, Table2[[ActualResult]:[ActualResult]], "SO") + SUMIFS(Table2[[AwayWon]:[AwayWon]], Table2[[GameIsOver]:[GameIsOver]],1,Table2[[HomeTeam]:[HomeTeam]],$T4, Table2[[AwayTeam]:[AwayTeam]], AU$1, Table2[[ActualResult]:[ActualResult]], "SO")))</f>
        <v>0</v>
      </c>
      <c r="AV4">
        <f>(2*(SUMIFS(Table2[[AwayWon]:[AwayWon]], Table2[[GameIsOver]:[GameIsOver]],1,Table2[[AwayTeam]:[AwayTeam]],$T4, Table2[[HomeTeam]:[HomeTeam]], AV$1) + SUMIFS(Table2[[HomeWon_]:[HomeWon_]], Table2[[GameIsOver]:[GameIsOver]],1,Table2[[HomeTeam]:[HomeTeam]],$T4, Table2[[AwayTeam]:[AwayTeam]], AV$1))) + (0*(SUMIFS(Table2[[HomeWon_]:[HomeWon_]], Table2[[GameIsOver]:[GameIsOver]],1,Table2[[AwayTeam]:[AwayTeam]],$T4, Table2[[HomeTeam]:[HomeTeam]], AV$1, Table2[[ActualResult]:[ActualResult]], "REG") + SUMIFS(Table2[[AwayWon]:[AwayWon]], Table2[[GameIsOver]:[GameIsOver]],1,Table2[[HomeTeam]:[HomeTeam]],$T4, Table2[[AwayTeam]:[AwayTeam]], AV$1, Table2[[ActualResult]:[ActualResult]], "REG"))) + (1*(SUMIFS(Table2[[HomeWon_]:[HomeWon_]], Table2[[GameIsOver]:[GameIsOver]],1,Table2[[AwayTeam]:[AwayTeam]],$T4, Table2[[HomeTeam]:[HomeTeam]], AV$1, Table2[[ActualResult]:[ActualResult]], "OT") + SUMIFS(Table2[[AwayWon]:[AwayWon]], Table2[[GameIsOver]:[GameIsOver]],1,Table2[[HomeTeam]:[HomeTeam]],$T4, Table2[[AwayTeam]:[AwayTeam]], AV$1, Table2[[ActualResult]:[ActualResult]], "OT") + SUMIFS(Table2[[HomeWon_]:[HomeWon_]], Table2[[GameIsOver]:[GameIsOver]],1,Table2[[AwayTeam]:[AwayTeam]],$T4, Table2[[HomeTeam]:[HomeTeam]], AV$1, Table2[[ActualResult]:[ActualResult]], "SO") + SUMIFS(Table2[[AwayWon]:[AwayWon]], Table2[[GameIsOver]:[GameIsOver]],1,Table2[[HomeTeam]:[HomeTeam]],$T4, Table2[[AwayTeam]:[AwayTeam]], AV$1, Table2[[ActualResult]:[ActualResult]], "SO")))</f>
        <v>0</v>
      </c>
      <c r="AW4">
        <f>(2*(SUMIFS(Table2[[AwayWon]:[AwayWon]], Table2[[GameIsOver]:[GameIsOver]],1,Table2[[AwayTeam]:[AwayTeam]],$T4, Table2[[HomeTeam]:[HomeTeam]], AW$1) + SUMIFS(Table2[[HomeWon_]:[HomeWon_]], Table2[[GameIsOver]:[GameIsOver]],1,Table2[[HomeTeam]:[HomeTeam]],$T4, Table2[[AwayTeam]:[AwayTeam]], AW$1))) + (0*(SUMIFS(Table2[[HomeWon_]:[HomeWon_]], Table2[[GameIsOver]:[GameIsOver]],1,Table2[[AwayTeam]:[AwayTeam]],$T4, Table2[[HomeTeam]:[HomeTeam]], AW$1, Table2[[ActualResult]:[ActualResult]], "REG") + SUMIFS(Table2[[AwayWon]:[AwayWon]], Table2[[GameIsOver]:[GameIsOver]],1,Table2[[HomeTeam]:[HomeTeam]],$T4, Table2[[AwayTeam]:[AwayTeam]], AW$1, Table2[[ActualResult]:[ActualResult]], "REG"))) + (1*(SUMIFS(Table2[[HomeWon_]:[HomeWon_]], Table2[[GameIsOver]:[GameIsOver]],1,Table2[[AwayTeam]:[AwayTeam]],$T4, Table2[[HomeTeam]:[HomeTeam]], AW$1, Table2[[ActualResult]:[ActualResult]], "OT") + SUMIFS(Table2[[AwayWon]:[AwayWon]], Table2[[GameIsOver]:[GameIsOver]],1,Table2[[HomeTeam]:[HomeTeam]],$T4, Table2[[AwayTeam]:[AwayTeam]], AW$1, Table2[[ActualResult]:[ActualResult]], "OT") + SUMIFS(Table2[[HomeWon_]:[HomeWon_]], Table2[[GameIsOver]:[GameIsOver]],1,Table2[[AwayTeam]:[AwayTeam]],$T4, Table2[[HomeTeam]:[HomeTeam]], AW$1, Table2[[ActualResult]:[ActualResult]], "SO") + SUMIFS(Table2[[AwayWon]:[AwayWon]], Table2[[GameIsOver]:[GameIsOver]],1,Table2[[HomeTeam]:[HomeTeam]],$T4, Table2[[AwayTeam]:[AwayTeam]], AW$1, Table2[[ActualResult]:[ActualResult]], "SO")))</f>
        <v>0</v>
      </c>
      <c r="AX4">
        <f>(2*(SUMIFS(Table2[[AwayWon]:[AwayWon]], Table2[[GameIsOver]:[GameIsOver]],1,Table2[[AwayTeam]:[AwayTeam]],$T4, Table2[[HomeTeam]:[HomeTeam]], AX$1) + SUMIFS(Table2[[HomeWon_]:[HomeWon_]], Table2[[GameIsOver]:[GameIsOver]],1,Table2[[HomeTeam]:[HomeTeam]],$T4, Table2[[AwayTeam]:[AwayTeam]], AX$1))) + (0*(SUMIFS(Table2[[HomeWon_]:[HomeWon_]], Table2[[GameIsOver]:[GameIsOver]],1,Table2[[AwayTeam]:[AwayTeam]],$T4, Table2[[HomeTeam]:[HomeTeam]], AX$1, Table2[[ActualResult]:[ActualResult]], "REG") + SUMIFS(Table2[[AwayWon]:[AwayWon]], Table2[[GameIsOver]:[GameIsOver]],1,Table2[[HomeTeam]:[HomeTeam]],$T4, Table2[[AwayTeam]:[AwayTeam]], AX$1, Table2[[ActualResult]:[ActualResult]], "REG"))) + (1*(SUMIFS(Table2[[HomeWon_]:[HomeWon_]], Table2[[GameIsOver]:[GameIsOver]],1,Table2[[AwayTeam]:[AwayTeam]],$T4, Table2[[HomeTeam]:[HomeTeam]], AX$1, Table2[[ActualResult]:[ActualResult]], "OT") + SUMIFS(Table2[[AwayWon]:[AwayWon]], Table2[[GameIsOver]:[GameIsOver]],1,Table2[[HomeTeam]:[HomeTeam]],$T4, Table2[[AwayTeam]:[AwayTeam]], AX$1, Table2[[ActualResult]:[ActualResult]], "OT") + SUMIFS(Table2[[HomeWon_]:[HomeWon_]], Table2[[GameIsOver]:[GameIsOver]],1,Table2[[AwayTeam]:[AwayTeam]],$T4, Table2[[HomeTeam]:[HomeTeam]], AX$1, Table2[[ActualResult]:[ActualResult]], "SO") + SUMIFS(Table2[[AwayWon]:[AwayWon]], Table2[[GameIsOver]:[GameIsOver]],1,Table2[[HomeTeam]:[HomeTeam]],$T4, Table2[[AwayTeam]:[AwayTeam]], AX$1, Table2[[ActualResult]:[ActualResult]], "SO")))</f>
        <v>0</v>
      </c>
      <c r="AY4">
        <f>(2*(SUMIFS(Table2[[AwayWon]:[AwayWon]], Table2[[GameIsOver]:[GameIsOver]],1,Table2[[AwayTeam]:[AwayTeam]],$T4, Table2[[HomeTeam]:[HomeTeam]], AY$1) + SUMIFS(Table2[[HomeWon_]:[HomeWon_]], Table2[[GameIsOver]:[GameIsOver]],1,Table2[[HomeTeam]:[HomeTeam]],$T4, Table2[[AwayTeam]:[AwayTeam]], AY$1))) + (0*(SUMIFS(Table2[[HomeWon_]:[HomeWon_]], Table2[[GameIsOver]:[GameIsOver]],1,Table2[[AwayTeam]:[AwayTeam]],$T4, Table2[[HomeTeam]:[HomeTeam]], AY$1, Table2[[ActualResult]:[ActualResult]], "REG") + SUMIFS(Table2[[AwayWon]:[AwayWon]], Table2[[GameIsOver]:[GameIsOver]],1,Table2[[HomeTeam]:[HomeTeam]],$T4, Table2[[AwayTeam]:[AwayTeam]], AY$1, Table2[[ActualResult]:[ActualResult]], "REG"))) + (1*(SUMIFS(Table2[[HomeWon_]:[HomeWon_]], Table2[[GameIsOver]:[GameIsOver]],1,Table2[[AwayTeam]:[AwayTeam]],$T4, Table2[[HomeTeam]:[HomeTeam]], AY$1, Table2[[ActualResult]:[ActualResult]], "OT") + SUMIFS(Table2[[AwayWon]:[AwayWon]], Table2[[GameIsOver]:[GameIsOver]],1,Table2[[HomeTeam]:[HomeTeam]],$T4, Table2[[AwayTeam]:[AwayTeam]], AY$1, Table2[[ActualResult]:[ActualResult]], "OT") + SUMIFS(Table2[[HomeWon_]:[HomeWon_]], Table2[[GameIsOver]:[GameIsOver]],1,Table2[[AwayTeam]:[AwayTeam]],$T4, Table2[[HomeTeam]:[HomeTeam]], AY$1, Table2[[ActualResult]:[ActualResult]], "SO") + SUMIFS(Table2[[AwayWon]:[AwayWon]], Table2[[GameIsOver]:[GameIsOver]],1,Table2[[HomeTeam]:[HomeTeam]],$T4, Table2[[AwayTeam]:[AwayTeam]], AY$1, Table2[[ActualResult]:[ActualResult]], "SO")))</f>
        <v>2</v>
      </c>
      <c r="AZ4">
        <f>(2*(SUMIFS(Table2[[AwayWon]:[AwayWon]], Table2[[GameIsOver]:[GameIsOver]],1,Table2[[AwayTeam]:[AwayTeam]],$T4, Table2[[HomeTeam]:[HomeTeam]], AZ$1) + SUMIFS(Table2[[HomeWon_]:[HomeWon_]], Table2[[GameIsOver]:[GameIsOver]],1,Table2[[HomeTeam]:[HomeTeam]],$T4, Table2[[AwayTeam]:[AwayTeam]], AZ$1))) + (0*(SUMIFS(Table2[[HomeWon_]:[HomeWon_]], Table2[[GameIsOver]:[GameIsOver]],1,Table2[[AwayTeam]:[AwayTeam]],$T4, Table2[[HomeTeam]:[HomeTeam]], AZ$1, Table2[[ActualResult]:[ActualResult]], "REG") + SUMIFS(Table2[[AwayWon]:[AwayWon]], Table2[[GameIsOver]:[GameIsOver]],1,Table2[[HomeTeam]:[HomeTeam]],$T4, Table2[[AwayTeam]:[AwayTeam]], AZ$1, Table2[[ActualResult]:[ActualResult]], "REG"))) + (1*(SUMIFS(Table2[[HomeWon_]:[HomeWon_]], Table2[[GameIsOver]:[GameIsOver]],1,Table2[[AwayTeam]:[AwayTeam]],$T4, Table2[[HomeTeam]:[HomeTeam]], AZ$1, Table2[[ActualResult]:[ActualResult]], "OT") + SUMIFS(Table2[[AwayWon]:[AwayWon]], Table2[[GameIsOver]:[GameIsOver]],1,Table2[[HomeTeam]:[HomeTeam]],$T4, Table2[[AwayTeam]:[AwayTeam]], AZ$1, Table2[[ActualResult]:[ActualResult]], "OT") + SUMIFS(Table2[[HomeWon_]:[HomeWon_]], Table2[[GameIsOver]:[GameIsOver]],1,Table2[[AwayTeam]:[AwayTeam]],$T4, Table2[[HomeTeam]:[HomeTeam]], AZ$1, Table2[[ActualResult]:[ActualResult]], "SO") + SUMIFS(Table2[[AwayWon]:[AwayWon]], Table2[[GameIsOver]:[GameIsOver]],1,Table2[[HomeTeam]:[HomeTeam]],$T4, Table2[[AwayTeam]:[AwayTeam]], AZ$1, Table2[[ActualResult]:[ActualResult]], "SO")))</f>
        <v>0</v>
      </c>
      <c r="BA4">
        <f>(2*(SUMIFS(Table2[[AwayWon]:[AwayWon]], Table2[[GameIsOver]:[GameIsOver]],1,Table2[[AwayTeam]:[AwayTeam]],$T4, Table2[[HomeTeam]:[HomeTeam]], BA$1) + SUMIFS(Table2[[HomeWon_]:[HomeWon_]], Table2[[GameIsOver]:[GameIsOver]],1,Table2[[HomeTeam]:[HomeTeam]],$T4, Table2[[AwayTeam]:[AwayTeam]], BA$1))) + (0*(SUMIFS(Table2[[HomeWon_]:[HomeWon_]], Table2[[GameIsOver]:[GameIsOver]],1,Table2[[AwayTeam]:[AwayTeam]],$T4, Table2[[HomeTeam]:[HomeTeam]], BA$1, Table2[[ActualResult]:[ActualResult]], "REG") + SUMIFS(Table2[[AwayWon]:[AwayWon]], Table2[[GameIsOver]:[GameIsOver]],1,Table2[[HomeTeam]:[HomeTeam]],$T4, Table2[[AwayTeam]:[AwayTeam]], BA$1, Table2[[ActualResult]:[ActualResult]], "REG"))) + (1*(SUMIFS(Table2[[HomeWon_]:[HomeWon_]], Table2[[GameIsOver]:[GameIsOver]],1,Table2[[AwayTeam]:[AwayTeam]],$T4, Table2[[HomeTeam]:[HomeTeam]], BA$1, Table2[[ActualResult]:[ActualResult]], "OT") + SUMIFS(Table2[[AwayWon]:[AwayWon]], Table2[[GameIsOver]:[GameIsOver]],1,Table2[[HomeTeam]:[HomeTeam]],$T4, Table2[[AwayTeam]:[AwayTeam]], BA$1, Table2[[ActualResult]:[ActualResult]], "OT") + SUMIFS(Table2[[HomeWon_]:[HomeWon_]], Table2[[GameIsOver]:[GameIsOver]],1,Table2[[AwayTeam]:[AwayTeam]],$T4, Table2[[HomeTeam]:[HomeTeam]], BA$1, Table2[[ActualResult]:[ActualResult]], "SO") + SUMIFS(Table2[[AwayWon]:[AwayWon]], Table2[[GameIsOver]:[GameIsOver]],1,Table2[[HomeTeam]:[HomeTeam]],$T4, Table2[[AwayTeam]:[AwayTeam]], BA$1, Table2[[ActualResult]:[ActualResult]], "SO")))</f>
        <v>0</v>
      </c>
    </row>
    <row r="5" spans="1:53" x14ac:dyDescent="0.25">
      <c r="A5" s="62" t="s">
        <v>41</v>
      </c>
      <c r="B5" s="62" t="s">
        <v>91</v>
      </c>
      <c r="C5" s="62" t="s">
        <v>92</v>
      </c>
      <c r="D5" s="62">
        <f>INDEX(Table3[PTS], MATCH(Table6[[#This Row],[Teams]], Table3[Teams],0))</f>
        <v>10</v>
      </c>
      <c r="E5" s="62">
        <f>INDEX(Table3[PTS], MATCH(Table6[[#This Row],[Teams]], Table3[Teams],0))</f>
        <v>10</v>
      </c>
      <c r="S5">
        <v>2</v>
      </c>
      <c r="T5" t="str" cm="1">
        <f t="array" ref="T5">INDEX(Table6[Teams], SMALL(IF(Table6[D]="P", ROW(Table6[Teams])-ROW(Table6[#Headers])), Table7[[#This Row],[PAC]]))</f>
        <v>CGY</v>
      </c>
      <c r="U5">
        <f>INDEX(Table6[PTS], MATCH($T5, Table6[Teams], 0))</f>
        <v>2</v>
      </c>
      <c r="V5">
        <f>(2*(SUMIFS(Table2[[AwayWon]:[AwayWon]], Table2[[GameIsOver]:[GameIsOver]],1,Table2[[AwayTeam]:[AwayTeam]],$T5, Table2[[HomeTeam]:[HomeTeam]], V$1) + SUMIFS(Table2[[HomeWon_]:[HomeWon_]], Table2[[GameIsOver]:[GameIsOver]],1,Table2[[HomeTeam]:[HomeTeam]],$T5, Table2[[AwayTeam]:[AwayTeam]], V$1))) + (0*(SUMIFS(Table2[[HomeWon_]:[HomeWon_]], Table2[[GameIsOver]:[GameIsOver]],1,Table2[[AwayTeam]:[AwayTeam]],$T5, Table2[[HomeTeam]:[HomeTeam]], V$1, Table2[[ActualResult]:[ActualResult]], "REG") + SUMIFS(Table2[[AwayWon]:[AwayWon]], Table2[[GameIsOver]:[GameIsOver]],1,Table2[[HomeTeam]:[HomeTeam]],$T5, Table2[[AwayTeam]:[AwayTeam]], V$1, Table2[[ActualResult]:[ActualResult]], "REG"))) + (1*(SUMIFS(Table2[[HomeWon_]:[HomeWon_]], Table2[[GameIsOver]:[GameIsOver]],1,Table2[[AwayTeam]:[AwayTeam]],$T5, Table2[[HomeTeam]:[HomeTeam]], V$1, Table2[[ActualResult]:[ActualResult]], "OT") + SUMIFS(Table2[[AwayWon]:[AwayWon]], Table2[[GameIsOver]:[GameIsOver]],1,Table2[[HomeTeam]:[HomeTeam]],$T5, Table2[[AwayTeam]:[AwayTeam]], V$1, Table2[[ActualResult]:[ActualResult]], "OT") + SUMIFS(Table2[[HomeWon_]:[HomeWon_]], Table2[[GameIsOver]:[GameIsOver]],1,Table2[[AwayTeam]:[AwayTeam]],$T5, Table2[[HomeTeam]:[HomeTeam]], V$1, Table2[[ActualResult]:[ActualResult]], "SO") + SUMIFS(Table2[[AwayWon]:[AwayWon]], Table2[[GameIsOver]:[GameIsOver]],1,Table2[[HomeTeam]:[HomeTeam]],$T5, Table2[[AwayTeam]:[AwayTeam]], V$1, Table2[[ActualResult]:[ActualResult]], "SO")))</f>
        <v>0</v>
      </c>
      <c r="W5">
        <f>(2*(SUMIFS(Table2[[AwayWon]:[AwayWon]], Table2[[GameIsOver]:[GameIsOver]],1,Table2[[AwayTeam]:[AwayTeam]],$T5, Table2[[HomeTeam]:[HomeTeam]], W$1) + SUMIFS(Table2[[HomeWon_]:[HomeWon_]], Table2[[GameIsOver]:[GameIsOver]],1,Table2[[HomeTeam]:[HomeTeam]],$T5, Table2[[AwayTeam]:[AwayTeam]], W$1))) + (0*(SUMIFS(Table2[[HomeWon_]:[HomeWon_]], Table2[[GameIsOver]:[GameIsOver]],1,Table2[[AwayTeam]:[AwayTeam]],$T5, Table2[[HomeTeam]:[HomeTeam]], W$1, Table2[[ActualResult]:[ActualResult]], "REG") + SUMIFS(Table2[[AwayWon]:[AwayWon]], Table2[[GameIsOver]:[GameIsOver]],1,Table2[[HomeTeam]:[HomeTeam]],$T5, Table2[[AwayTeam]:[AwayTeam]], W$1, Table2[[ActualResult]:[ActualResult]], "REG"))) + (1*(SUMIFS(Table2[[HomeWon_]:[HomeWon_]], Table2[[GameIsOver]:[GameIsOver]],1,Table2[[AwayTeam]:[AwayTeam]],$T5, Table2[[HomeTeam]:[HomeTeam]], W$1, Table2[[ActualResult]:[ActualResult]], "OT") + SUMIFS(Table2[[AwayWon]:[AwayWon]], Table2[[GameIsOver]:[GameIsOver]],1,Table2[[HomeTeam]:[HomeTeam]],$T5, Table2[[AwayTeam]:[AwayTeam]], W$1, Table2[[ActualResult]:[ActualResult]], "OT") + SUMIFS(Table2[[HomeWon_]:[HomeWon_]], Table2[[GameIsOver]:[GameIsOver]],1,Table2[[AwayTeam]:[AwayTeam]],$T5, Table2[[HomeTeam]:[HomeTeam]], W$1, Table2[[ActualResult]:[ActualResult]], "SO") + SUMIFS(Table2[[AwayWon]:[AwayWon]], Table2[[GameIsOver]:[GameIsOver]],1,Table2[[HomeTeam]:[HomeTeam]],$T5, Table2[[AwayTeam]:[AwayTeam]], W$1, Table2[[ActualResult]:[ActualResult]], "SO")))</f>
        <v>0</v>
      </c>
      <c r="X5">
        <f>(2*(SUMIFS(Table2[[AwayWon]:[AwayWon]], Table2[[GameIsOver]:[GameIsOver]],1,Table2[[AwayTeam]:[AwayTeam]],$T5, Table2[[HomeTeam]:[HomeTeam]], X$1) + SUMIFS(Table2[[HomeWon_]:[HomeWon_]], Table2[[GameIsOver]:[GameIsOver]],1,Table2[[HomeTeam]:[HomeTeam]],$T5, Table2[[AwayTeam]:[AwayTeam]], X$1))) + (0*(SUMIFS(Table2[[HomeWon_]:[HomeWon_]], Table2[[GameIsOver]:[GameIsOver]],1,Table2[[AwayTeam]:[AwayTeam]],$T5, Table2[[HomeTeam]:[HomeTeam]], X$1, Table2[[ActualResult]:[ActualResult]], "REG") + SUMIFS(Table2[[AwayWon]:[AwayWon]], Table2[[GameIsOver]:[GameIsOver]],1,Table2[[HomeTeam]:[HomeTeam]],$T5, Table2[[AwayTeam]:[AwayTeam]], X$1, Table2[[ActualResult]:[ActualResult]], "REG"))) + (1*(SUMIFS(Table2[[HomeWon_]:[HomeWon_]], Table2[[GameIsOver]:[GameIsOver]],1,Table2[[AwayTeam]:[AwayTeam]],$T5, Table2[[HomeTeam]:[HomeTeam]], X$1, Table2[[ActualResult]:[ActualResult]], "OT") + SUMIFS(Table2[[AwayWon]:[AwayWon]], Table2[[GameIsOver]:[GameIsOver]],1,Table2[[HomeTeam]:[HomeTeam]],$T5, Table2[[AwayTeam]:[AwayTeam]], X$1, Table2[[ActualResult]:[ActualResult]], "OT") + SUMIFS(Table2[[HomeWon_]:[HomeWon_]], Table2[[GameIsOver]:[GameIsOver]],1,Table2[[AwayTeam]:[AwayTeam]],$T5, Table2[[HomeTeam]:[HomeTeam]], X$1, Table2[[ActualResult]:[ActualResult]], "SO") + SUMIFS(Table2[[AwayWon]:[AwayWon]], Table2[[GameIsOver]:[GameIsOver]],1,Table2[[HomeTeam]:[HomeTeam]],$T5, Table2[[AwayTeam]:[AwayTeam]], X$1, Table2[[ActualResult]:[ActualResult]], "SO")))</f>
        <v>2</v>
      </c>
      <c r="Y5">
        <f>(2*(SUMIFS(Table2[[AwayWon]:[AwayWon]], Table2[[GameIsOver]:[GameIsOver]],1,Table2[[AwayTeam]:[AwayTeam]],$T5, Table2[[HomeTeam]:[HomeTeam]], Y$1) + SUMIFS(Table2[[HomeWon_]:[HomeWon_]], Table2[[GameIsOver]:[GameIsOver]],1,Table2[[HomeTeam]:[HomeTeam]],$T5, Table2[[AwayTeam]:[AwayTeam]], Y$1))) + (0*(SUMIFS(Table2[[HomeWon_]:[HomeWon_]], Table2[[GameIsOver]:[GameIsOver]],1,Table2[[AwayTeam]:[AwayTeam]],$T5, Table2[[HomeTeam]:[HomeTeam]], Y$1, Table2[[ActualResult]:[ActualResult]], "REG") + SUMIFS(Table2[[AwayWon]:[AwayWon]], Table2[[GameIsOver]:[GameIsOver]],1,Table2[[HomeTeam]:[HomeTeam]],$T5, Table2[[AwayTeam]:[AwayTeam]], Y$1, Table2[[ActualResult]:[ActualResult]], "REG"))) + (1*(SUMIFS(Table2[[HomeWon_]:[HomeWon_]], Table2[[GameIsOver]:[GameIsOver]],1,Table2[[AwayTeam]:[AwayTeam]],$T5, Table2[[HomeTeam]:[HomeTeam]], Y$1, Table2[[ActualResult]:[ActualResult]], "OT") + SUMIFS(Table2[[AwayWon]:[AwayWon]], Table2[[GameIsOver]:[GameIsOver]],1,Table2[[HomeTeam]:[HomeTeam]],$T5, Table2[[AwayTeam]:[AwayTeam]], Y$1, Table2[[ActualResult]:[ActualResult]], "OT") + SUMIFS(Table2[[HomeWon_]:[HomeWon_]], Table2[[GameIsOver]:[GameIsOver]],1,Table2[[AwayTeam]:[AwayTeam]],$T5, Table2[[HomeTeam]:[HomeTeam]], Y$1, Table2[[ActualResult]:[ActualResult]], "SO") + SUMIFS(Table2[[AwayWon]:[AwayWon]], Table2[[GameIsOver]:[GameIsOver]],1,Table2[[HomeTeam]:[HomeTeam]],$T5, Table2[[AwayTeam]:[AwayTeam]], Y$1, Table2[[ActualResult]:[ActualResult]], "SO")))</f>
        <v>0</v>
      </c>
      <c r="Z5">
        <f>(2*(SUMIFS(Table2[[AwayWon]:[AwayWon]], Table2[[GameIsOver]:[GameIsOver]],1,Table2[[AwayTeam]:[AwayTeam]],$T5, Table2[[HomeTeam]:[HomeTeam]], Z$1) + SUMIFS(Table2[[HomeWon_]:[HomeWon_]], Table2[[GameIsOver]:[GameIsOver]],1,Table2[[HomeTeam]:[HomeTeam]],$T5, Table2[[AwayTeam]:[AwayTeam]], Z$1))) + (0*(SUMIFS(Table2[[HomeWon_]:[HomeWon_]], Table2[[GameIsOver]:[GameIsOver]],1,Table2[[AwayTeam]:[AwayTeam]],$T5, Table2[[HomeTeam]:[HomeTeam]], Z$1, Table2[[ActualResult]:[ActualResult]], "REG") + SUMIFS(Table2[[AwayWon]:[AwayWon]], Table2[[GameIsOver]:[GameIsOver]],1,Table2[[HomeTeam]:[HomeTeam]],$T5, Table2[[AwayTeam]:[AwayTeam]], Z$1, Table2[[ActualResult]:[ActualResult]], "REG"))) + (1*(SUMIFS(Table2[[HomeWon_]:[HomeWon_]], Table2[[GameIsOver]:[GameIsOver]],1,Table2[[AwayTeam]:[AwayTeam]],$T5, Table2[[HomeTeam]:[HomeTeam]], Z$1, Table2[[ActualResult]:[ActualResult]], "OT") + SUMIFS(Table2[[AwayWon]:[AwayWon]], Table2[[GameIsOver]:[GameIsOver]],1,Table2[[HomeTeam]:[HomeTeam]],$T5, Table2[[AwayTeam]:[AwayTeam]], Z$1, Table2[[ActualResult]:[ActualResult]], "OT") + SUMIFS(Table2[[HomeWon_]:[HomeWon_]], Table2[[GameIsOver]:[GameIsOver]],1,Table2[[AwayTeam]:[AwayTeam]],$T5, Table2[[HomeTeam]:[HomeTeam]], Z$1, Table2[[ActualResult]:[ActualResult]], "SO") + SUMIFS(Table2[[AwayWon]:[AwayWon]], Table2[[GameIsOver]:[GameIsOver]],1,Table2[[HomeTeam]:[HomeTeam]],$T5, Table2[[AwayTeam]:[AwayTeam]], Z$1, Table2[[ActualResult]:[ActualResult]], "SO")))</f>
        <v>0</v>
      </c>
      <c r="AA5">
        <f>(2*(SUMIFS(Table2[[AwayWon]:[AwayWon]], Table2[[GameIsOver]:[GameIsOver]],1,Table2[[AwayTeam]:[AwayTeam]],$T5, Table2[[HomeTeam]:[HomeTeam]], AA$1) + SUMIFS(Table2[[HomeWon_]:[HomeWon_]], Table2[[GameIsOver]:[GameIsOver]],1,Table2[[HomeTeam]:[HomeTeam]],$T5, Table2[[AwayTeam]:[AwayTeam]], AA$1))) + (0*(SUMIFS(Table2[[HomeWon_]:[HomeWon_]], Table2[[GameIsOver]:[GameIsOver]],1,Table2[[AwayTeam]:[AwayTeam]],$T5, Table2[[HomeTeam]:[HomeTeam]], AA$1, Table2[[ActualResult]:[ActualResult]], "REG") + SUMIFS(Table2[[AwayWon]:[AwayWon]], Table2[[GameIsOver]:[GameIsOver]],1,Table2[[HomeTeam]:[HomeTeam]],$T5, Table2[[AwayTeam]:[AwayTeam]], AA$1, Table2[[ActualResult]:[ActualResult]], "REG"))) + (1*(SUMIFS(Table2[[HomeWon_]:[HomeWon_]], Table2[[GameIsOver]:[GameIsOver]],1,Table2[[AwayTeam]:[AwayTeam]],$T5, Table2[[HomeTeam]:[HomeTeam]], AA$1, Table2[[ActualResult]:[ActualResult]], "OT") + SUMIFS(Table2[[AwayWon]:[AwayWon]], Table2[[GameIsOver]:[GameIsOver]],1,Table2[[HomeTeam]:[HomeTeam]],$T5, Table2[[AwayTeam]:[AwayTeam]], AA$1, Table2[[ActualResult]:[ActualResult]], "OT") + SUMIFS(Table2[[HomeWon_]:[HomeWon_]], Table2[[GameIsOver]:[GameIsOver]],1,Table2[[AwayTeam]:[AwayTeam]],$T5, Table2[[HomeTeam]:[HomeTeam]], AA$1, Table2[[ActualResult]:[ActualResult]], "SO") + SUMIFS(Table2[[AwayWon]:[AwayWon]], Table2[[GameIsOver]:[GameIsOver]],1,Table2[[HomeTeam]:[HomeTeam]],$T5, Table2[[AwayTeam]:[AwayTeam]], AA$1, Table2[[ActualResult]:[ActualResult]], "SO")))</f>
        <v>0</v>
      </c>
      <c r="AB5">
        <f>(2*(SUMIFS(Table2[[AwayWon]:[AwayWon]], Table2[[GameIsOver]:[GameIsOver]],1,Table2[[AwayTeam]:[AwayTeam]],$T5, Table2[[HomeTeam]:[HomeTeam]], AB$1) + SUMIFS(Table2[[HomeWon_]:[HomeWon_]], Table2[[GameIsOver]:[GameIsOver]],1,Table2[[HomeTeam]:[HomeTeam]],$T5, Table2[[AwayTeam]:[AwayTeam]], AB$1))) + (0*(SUMIFS(Table2[[HomeWon_]:[HomeWon_]], Table2[[GameIsOver]:[GameIsOver]],1,Table2[[AwayTeam]:[AwayTeam]],$T5, Table2[[HomeTeam]:[HomeTeam]], AB$1, Table2[[ActualResult]:[ActualResult]], "REG") + SUMIFS(Table2[[AwayWon]:[AwayWon]], Table2[[GameIsOver]:[GameIsOver]],1,Table2[[HomeTeam]:[HomeTeam]],$T5, Table2[[AwayTeam]:[AwayTeam]], AB$1, Table2[[ActualResult]:[ActualResult]], "REG"))) + (1*(SUMIFS(Table2[[HomeWon_]:[HomeWon_]], Table2[[GameIsOver]:[GameIsOver]],1,Table2[[AwayTeam]:[AwayTeam]],$T5, Table2[[HomeTeam]:[HomeTeam]], AB$1, Table2[[ActualResult]:[ActualResult]], "OT") + SUMIFS(Table2[[AwayWon]:[AwayWon]], Table2[[GameIsOver]:[GameIsOver]],1,Table2[[HomeTeam]:[HomeTeam]],$T5, Table2[[AwayTeam]:[AwayTeam]], AB$1, Table2[[ActualResult]:[ActualResult]], "OT") + SUMIFS(Table2[[HomeWon_]:[HomeWon_]], Table2[[GameIsOver]:[GameIsOver]],1,Table2[[AwayTeam]:[AwayTeam]],$T5, Table2[[HomeTeam]:[HomeTeam]], AB$1, Table2[[ActualResult]:[ActualResult]], "SO") + SUMIFS(Table2[[AwayWon]:[AwayWon]], Table2[[GameIsOver]:[GameIsOver]],1,Table2[[HomeTeam]:[HomeTeam]],$T5, Table2[[AwayTeam]:[AwayTeam]], AB$1, Table2[[ActualResult]:[ActualResult]], "SO")))</f>
        <v>0</v>
      </c>
      <c r="AC5">
        <f>(2*(SUMIFS(Table2[[AwayWon]:[AwayWon]], Table2[[GameIsOver]:[GameIsOver]],1,Table2[[AwayTeam]:[AwayTeam]],$T5, Table2[[HomeTeam]:[HomeTeam]], AC$1) + SUMIFS(Table2[[HomeWon_]:[HomeWon_]], Table2[[GameIsOver]:[GameIsOver]],1,Table2[[HomeTeam]:[HomeTeam]],$T5, Table2[[AwayTeam]:[AwayTeam]], AC$1))) + (0*(SUMIFS(Table2[[HomeWon_]:[HomeWon_]], Table2[[GameIsOver]:[GameIsOver]],1,Table2[[AwayTeam]:[AwayTeam]],$T5, Table2[[HomeTeam]:[HomeTeam]], AC$1, Table2[[ActualResult]:[ActualResult]], "REG") + SUMIFS(Table2[[AwayWon]:[AwayWon]], Table2[[GameIsOver]:[GameIsOver]],1,Table2[[HomeTeam]:[HomeTeam]],$T5, Table2[[AwayTeam]:[AwayTeam]], AC$1, Table2[[ActualResult]:[ActualResult]], "REG"))) + (1*(SUMIFS(Table2[[HomeWon_]:[HomeWon_]], Table2[[GameIsOver]:[GameIsOver]],1,Table2[[AwayTeam]:[AwayTeam]],$T5, Table2[[HomeTeam]:[HomeTeam]], AC$1, Table2[[ActualResult]:[ActualResult]], "OT") + SUMIFS(Table2[[AwayWon]:[AwayWon]], Table2[[GameIsOver]:[GameIsOver]],1,Table2[[HomeTeam]:[HomeTeam]],$T5, Table2[[AwayTeam]:[AwayTeam]], AC$1, Table2[[ActualResult]:[ActualResult]], "OT") + SUMIFS(Table2[[HomeWon_]:[HomeWon_]], Table2[[GameIsOver]:[GameIsOver]],1,Table2[[AwayTeam]:[AwayTeam]],$T5, Table2[[HomeTeam]:[HomeTeam]], AC$1, Table2[[ActualResult]:[ActualResult]], "SO") + SUMIFS(Table2[[AwayWon]:[AwayWon]], Table2[[GameIsOver]:[GameIsOver]],1,Table2[[HomeTeam]:[HomeTeam]],$T5, Table2[[AwayTeam]:[AwayTeam]], AC$1, Table2[[ActualResult]:[ActualResult]], "SO")))</f>
        <v>0</v>
      </c>
      <c r="AD5">
        <f>(2*(SUMIFS(Table2[[AwayWon]:[AwayWon]], Table2[[GameIsOver]:[GameIsOver]],1,Table2[[AwayTeam]:[AwayTeam]],$T5, Table2[[HomeTeam]:[HomeTeam]], AD$1) + SUMIFS(Table2[[HomeWon_]:[HomeWon_]], Table2[[GameIsOver]:[GameIsOver]],1,Table2[[HomeTeam]:[HomeTeam]],$T5, Table2[[AwayTeam]:[AwayTeam]], AD$1))) + (0*(SUMIFS(Table2[[HomeWon_]:[HomeWon_]], Table2[[GameIsOver]:[GameIsOver]],1,Table2[[AwayTeam]:[AwayTeam]],$T5, Table2[[HomeTeam]:[HomeTeam]], AD$1, Table2[[ActualResult]:[ActualResult]], "REG") + SUMIFS(Table2[[AwayWon]:[AwayWon]], Table2[[GameIsOver]:[GameIsOver]],1,Table2[[HomeTeam]:[HomeTeam]],$T5, Table2[[AwayTeam]:[AwayTeam]], AD$1, Table2[[ActualResult]:[ActualResult]], "REG"))) + (1*(SUMIFS(Table2[[HomeWon_]:[HomeWon_]], Table2[[GameIsOver]:[GameIsOver]],1,Table2[[AwayTeam]:[AwayTeam]],$T5, Table2[[HomeTeam]:[HomeTeam]], AD$1, Table2[[ActualResult]:[ActualResult]], "OT") + SUMIFS(Table2[[AwayWon]:[AwayWon]], Table2[[GameIsOver]:[GameIsOver]],1,Table2[[HomeTeam]:[HomeTeam]],$T5, Table2[[AwayTeam]:[AwayTeam]], AD$1, Table2[[ActualResult]:[ActualResult]], "OT") + SUMIFS(Table2[[HomeWon_]:[HomeWon_]], Table2[[GameIsOver]:[GameIsOver]],1,Table2[[AwayTeam]:[AwayTeam]],$T5, Table2[[HomeTeam]:[HomeTeam]], AD$1, Table2[[ActualResult]:[ActualResult]], "SO") + SUMIFS(Table2[[AwayWon]:[AwayWon]], Table2[[GameIsOver]:[GameIsOver]],1,Table2[[HomeTeam]:[HomeTeam]],$T5, Table2[[AwayTeam]:[AwayTeam]], AD$1, Table2[[ActualResult]:[ActualResult]], "SO")))</f>
        <v>0</v>
      </c>
      <c r="AE5">
        <f>(2*(SUMIFS(Table2[[AwayWon]:[AwayWon]], Table2[[GameIsOver]:[GameIsOver]],1,Table2[[AwayTeam]:[AwayTeam]],$T5, Table2[[HomeTeam]:[HomeTeam]], AE$1) + SUMIFS(Table2[[HomeWon_]:[HomeWon_]], Table2[[GameIsOver]:[GameIsOver]],1,Table2[[HomeTeam]:[HomeTeam]],$T5, Table2[[AwayTeam]:[AwayTeam]], AE$1))) + (0*(SUMIFS(Table2[[HomeWon_]:[HomeWon_]], Table2[[GameIsOver]:[GameIsOver]],1,Table2[[AwayTeam]:[AwayTeam]],$T5, Table2[[HomeTeam]:[HomeTeam]], AE$1, Table2[[ActualResult]:[ActualResult]], "REG") + SUMIFS(Table2[[AwayWon]:[AwayWon]], Table2[[GameIsOver]:[GameIsOver]],1,Table2[[HomeTeam]:[HomeTeam]],$T5, Table2[[AwayTeam]:[AwayTeam]], AE$1, Table2[[ActualResult]:[ActualResult]], "REG"))) + (1*(SUMIFS(Table2[[HomeWon_]:[HomeWon_]], Table2[[GameIsOver]:[GameIsOver]],1,Table2[[AwayTeam]:[AwayTeam]],$T5, Table2[[HomeTeam]:[HomeTeam]], AE$1, Table2[[ActualResult]:[ActualResult]], "OT") + SUMIFS(Table2[[AwayWon]:[AwayWon]], Table2[[GameIsOver]:[GameIsOver]],1,Table2[[HomeTeam]:[HomeTeam]],$T5, Table2[[AwayTeam]:[AwayTeam]], AE$1, Table2[[ActualResult]:[ActualResult]], "OT") + SUMIFS(Table2[[HomeWon_]:[HomeWon_]], Table2[[GameIsOver]:[GameIsOver]],1,Table2[[AwayTeam]:[AwayTeam]],$T5, Table2[[HomeTeam]:[HomeTeam]], AE$1, Table2[[ActualResult]:[ActualResult]], "SO") + SUMIFS(Table2[[AwayWon]:[AwayWon]], Table2[[GameIsOver]:[GameIsOver]],1,Table2[[HomeTeam]:[HomeTeam]],$T5, Table2[[AwayTeam]:[AwayTeam]], AE$1, Table2[[ActualResult]:[ActualResult]], "SO")))</f>
        <v>0</v>
      </c>
      <c r="AF5">
        <f>(2*(SUMIFS(Table2[[AwayWon]:[AwayWon]], Table2[[GameIsOver]:[GameIsOver]],1,Table2[[AwayTeam]:[AwayTeam]],$T5, Table2[[HomeTeam]:[HomeTeam]], AF$1) + SUMIFS(Table2[[HomeWon_]:[HomeWon_]], Table2[[GameIsOver]:[GameIsOver]],1,Table2[[HomeTeam]:[HomeTeam]],$T5, Table2[[AwayTeam]:[AwayTeam]], AF$1))) + (0*(SUMIFS(Table2[[HomeWon_]:[HomeWon_]], Table2[[GameIsOver]:[GameIsOver]],1,Table2[[AwayTeam]:[AwayTeam]],$T5, Table2[[HomeTeam]:[HomeTeam]], AF$1, Table2[[ActualResult]:[ActualResult]], "REG") + SUMIFS(Table2[[AwayWon]:[AwayWon]], Table2[[GameIsOver]:[GameIsOver]],1,Table2[[HomeTeam]:[HomeTeam]],$T5, Table2[[AwayTeam]:[AwayTeam]], AF$1, Table2[[ActualResult]:[ActualResult]], "REG"))) + (1*(SUMIFS(Table2[[HomeWon_]:[HomeWon_]], Table2[[GameIsOver]:[GameIsOver]],1,Table2[[AwayTeam]:[AwayTeam]],$T5, Table2[[HomeTeam]:[HomeTeam]], AF$1, Table2[[ActualResult]:[ActualResult]], "OT") + SUMIFS(Table2[[AwayWon]:[AwayWon]], Table2[[GameIsOver]:[GameIsOver]],1,Table2[[HomeTeam]:[HomeTeam]],$T5, Table2[[AwayTeam]:[AwayTeam]], AF$1, Table2[[ActualResult]:[ActualResult]], "OT") + SUMIFS(Table2[[HomeWon_]:[HomeWon_]], Table2[[GameIsOver]:[GameIsOver]],1,Table2[[AwayTeam]:[AwayTeam]],$T5, Table2[[HomeTeam]:[HomeTeam]], AF$1, Table2[[ActualResult]:[ActualResult]], "SO") + SUMIFS(Table2[[AwayWon]:[AwayWon]], Table2[[GameIsOver]:[GameIsOver]],1,Table2[[HomeTeam]:[HomeTeam]],$T5, Table2[[AwayTeam]:[AwayTeam]], AF$1, Table2[[ActualResult]:[ActualResult]], "SO")))</f>
        <v>0</v>
      </c>
      <c r="AG5">
        <f>(2*(SUMIFS(Table2[[AwayWon]:[AwayWon]], Table2[[GameIsOver]:[GameIsOver]],1,Table2[[AwayTeam]:[AwayTeam]],$T5, Table2[[HomeTeam]:[HomeTeam]], AG$1) + SUMIFS(Table2[[HomeWon_]:[HomeWon_]], Table2[[GameIsOver]:[GameIsOver]],1,Table2[[HomeTeam]:[HomeTeam]],$T5, Table2[[AwayTeam]:[AwayTeam]], AG$1))) + (0*(SUMIFS(Table2[[HomeWon_]:[HomeWon_]], Table2[[GameIsOver]:[GameIsOver]],1,Table2[[AwayTeam]:[AwayTeam]],$T5, Table2[[HomeTeam]:[HomeTeam]], AG$1, Table2[[ActualResult]:[ActualResult]], "REG") + SUMIFS(Table2[[AwayWon]:[AwayWon]], Table2[[GameIsOver]:[GameIsOver]],1,Table2[[HomeTeam]:[HomeTeam]],$T5, Table2[[AwayTeam]:[AwayTeam]], AG$1, Table2[[ActualResult]:[ActualResult]], "REG"))) + (1*(SUMIFS(Table2[[HomeWon_]:[HomeWon_]], Table2[[GameIsOver]:[GameIsOver]],1,Table2[[AwayTeam]:[AwayTeam]],$T5, Table2[[HomeTeam]:[HomeTeam]], AG$1, Table2[[ActualResult]:[ActualResult]], "OT") + SUMIFS(Table2[[AwayWon]:[AwayWon]], Table2[[GameIsOver]:[GameIsOver]],1,Table2[[HomeTeam]:[HomeTeam]],$T5, Table2[[AwayTeam]:[AwayTeam]], AG$1, Table2[[ActualResult]:[ActualResult]], "OT") + SUMIFS(Table2[[HomeWon_]:[HomeWon_]], Table2[[GameIsOver]:[GameIsOver]],1,Table2[[AwayTeam]:[AwayTeam]],$T5, Table2[[HomeTeam]:[HomeTeam]], AG$1, Table2[[ActualResult]:[ActualResult]], "SO") + SUMIFS(Table2[[AwayWon]:[AwayWon]], Table2[[GameIsOver]:[GameIsOver]],1,Table2[[HomeTeam]:[HomeTeam]],$T5, Table2[[AwayTeam]:[AwayTeam]], AG$1, Table2[[ActualResult]:[ActualResult]], "SO")))</f>
        <v>0</v>
      </c>
      <c r="AH5">
        <f>(2*(SUMIFS(Table2[[AwayWon]:[AwayWon]], Table2[[GameIsOver]:[GameIsOver]],1,Table2[[AwayTeam]:[AwayTeam]],$T5, Table2[[HomeTeam]:[HomeTeam]], AH$1) + SUMIFS(Table2[[HomeWon_]:[HomeWon_]], Table2[[GameIsOver]:[GameIsOver]],1,Table2[[HomeTeam]:[HomeTeam]],$T5, Table2[[AwayTeam]:[AwayTeam]], AH$1))) + (0*(SUMIFS(Table2[[HomeWon_]:[HomeWon_]], Table2[[GameIsOver]:[GameIsOver]],1,Table2[[AwayTeam]:[AwayTeam]],$T5, Table2[[HomeTeam]:[HomeTeam]], AH$1, Table2[[ActualResult]:[ActualResult]], "REG") + SUMIFS(Table2[[AwayWon]:[AwayWon]], Table2[[GameIsOver]:[GameIsOver]],1,Table2[[HomeTeam]:[HomeTeam]],$T5, Table2[[AwayTeam]:[AwayTeam]], AH$1, Table2[[ActualResult]:[ActualResult]], "REG"))) + (1*(SUMIFS(Table2[[HomeWon_]:[HomeWon_]], Table2[[GameIsOver]:[GameIsOver]],1,Table2[[AwayTeam]:[AwayTeam]],$T5, Table2[[HomeTeam]:[HomeTeam]], AH$1, Table2[[ActualResult]:[ActualResult]], "OT") + SUMIFS(Table2[[AwayWon]:[AwayWon]], Table2[[GameIsOver]:[GameIsOver]],1,Table2[[HomeTeam]:[HomeTeam]],$T5, Table2[[AwayTeam]:[AwayTeam]], AH$1, Table2[[ActualResult]:[ActualResult]], "OT") + SUMIFS(Table2[[HomeWon_]:[HomeWon_]], Table2[[GameIsOver]:[GameIsOver]],1,Table2[[AwayTeam]:[AwayTeam]],$T5, Table2[[HomeTeam]:[HomeTeam]], AH$1, Table2[[ActualResult]:[ActualResult]], "SO") + SUMIFS(Table2[[AwayWon]:[AwayWon]], Table2[[GameIsOver]:[GameIsOver]],1,Table2[[HomeTeam]:[HomeTeam]],$T5, Table2[[AwayTeam]:[AwayTeam]], AH$1, Table2[[ActualResult]:[ActualResult]], "SO")))</f>
        <v>0</v>
      </c>
      <c r="AI5">
        <f>(2*(SUMIFS(Table2[[AwayWon]:[AwayWon]], Table2[[GameIsOver]:[GameIsOver]],1,Table2[[AwayTeam]:[AwayTeam]],$T5, Table2[[HomeTeam]:[HomeTeam]], AI$1) + SUMIFS(Table2[[HomeWon_]:[HomeWon_]], Table2[[GameIsOver]:[GameIsOver]],1,Table2[[HomeTeam]:[HomeTeam]],$T5, Table2[[AwayTeam]:[AwayTeam]], AI$1))) + (0*(SUMIFS(Table2[[HomeWon_]:[HomeWon_]], Table2[[GameIsOver]:[GameIsOver]],1,Table2[[AwayTeam]:[AwayTeam]],$T5, Table2[[HomeTeam]:[HomeTeam]], AI$1, Table2[[ActualResult]:[ActualResult]], "REG") + SUMIFS(Table2[[AwayWon]:[AwayWon]], Table2[[GameIsOver]:[GameIsOver]],1,Table2[[HomeTeam]:[HomeTeam]],$T5, Table2[[AwayTeam]:[AwayTeam]], AI$1, Table2[[ActualResult]:[ActualResult]], "REG"))) + (1*(SUMIFS(Table2[[HomeWon_]:[HomeWon_]], Table2[[GameIsOver]:[GameIsOver]],1,Table2[[AwayTeam]:[AwayTeam]],$T5, Table2[[HomeTeam]:[HomeTeam]], AI$1, Table2[[ActualResult]:[ActualResult]], "OT") + SUMIFS(Table2[[AwayWon]:[AwayWon]], Table2[[GameIsOver]:[GameIsOver]],1,Table2[[HomeTeam]:[HomeTeam]],$T5, Table2[[AwayTeam]:[AwayTeam]], AI$1, Table2[[ActualResult]:[ActualResult]], "OT") + SUMIFS(Table2[[HomeWon_]:[HomeWon_]], Table2[[GameIsOver]:[GameIsOver]],1,Table2[[AwayTeam]:[AwayTeam]],$T5, Table2[[HomeTeam]:[HomeTeam]], AI$1, Table2[[ActualResult]:[ActualResult]], "SO") + SUMIFS(Table2[[AwayWon]:[AwayWon]], Table2[[GameIsOver]:[GameIsOver]],1,Table2[[HomeTeam]:[HomeTeam]],$T5, Table2[[AwayTeam]:[AwayTeam]], AI$1, Table2[[ActualResult]:[ActualResult]], "SO")))</f>
        <v>0</v>
      </c>
      <c r="AJ5">
        <f>(2*(SUMIFS(Table2[[AwayWon]:[AwayWon]], Table2[[GameIsOver]:[GameIsOver]],1,Table2[[AwayTeam]:[AwayTeam]],$T5, Table2[[HomeTeam]:[HomeTeam]], AJ$1) + SUMIFS(Table2[[HomeWon_]:[HomeWon_]], Table2[[GameIsOver]:[GameIsOver]],1,Table2[[HomeTeam]:[HomeTeam]],$T5, Table2[[AwayTeam]:[AwayTeam]], AJ$1))) + (0*(SUMIFS(Table2[[HomeWon_]:[HomeWon_]], Table2[[GameIsOver]:[GameIsOver]],1,Table2[[AwayTeam]:[AwayTeam]],$T5, Table2[[HomeTeam]:[HomeTeam]], AJ$1, Table2[[ActualResult]:[ActualResult]], "REG") + SUMIFS(Table2[[AwayWon]:[AwayWon]], Table2[[GameIsOver]:[GameIsOver]],1,Table2[[HomeTeam]:[HomeTeam]],$T5, Table2[[AwayTeam]:[AwayTeam]], AJ$1, Table2[[ActualResult]:[ActualResult]], "REG"))) + (1*(SUMIFS(Table2[[HomeWon_]:[HomeWon_]], Table2[[GameIsOver]:[GameIsOver]],1,Table2[[AwayTeam]:[AwayTeam]],$T5, Table2[[HomeTeam]:[HomeTeam]], AJ$1, Table2[[ActualResult]:[ActualResult]], "OT") + SUMIFS(Table2[[AwayWon]:[AwayWon]], Table2[[GameIsOver]:[GameIsOver]],1,Table2[[HomeTeam]:[HomeTeam]],$T5, Table2[[AwayTeam]:[AwayTeam]], AJ$1, Table2[[ActualResult]:[ActualResult]], "OT") + SUMIFS(Table2[[HomeWon_]:[HomeWon_]], Table2[[GameIsOver]:[GameIsOver]],1,Table2[[AwayTeam]:[AwayTeam]],$T5, Table2[[HomeTeam]:[HomeTeam]], AJ$1, Table2[[ActualResult]:[ActualResult]], "SO") + SUMIFS(Table2[[AwayWon]:[AwayWon]], Table2[[GameIsOver]:[GameIsOver]],1,Table2[[HomeTeam]:[HomeTeam]],$T5, Table2[[AwayTeam]:[AwayTeam]], AJ$1, Table2[[ActualResult]:[ActualResult]], "SO")))</f>
        <v>0</v>
      </c>
      <c r="AK5">
        <f>(2*(SUMIFS(Table2[[AwayWon]:[AwayWon]], Table2[[GameIsOver]:[GameIsOver]],1,Table2[[AwayTeam]:[AwayTeam]],$T5, Table2[[HomeTeam]:[HomeTeam]], AK$1) + SUMIFS(Table2[[HomeWon_]:[HomeWon_]], Table2[[GameIsOver]:[GameIsOver]],1,Table2[[HomeTeam]:[HomeTeam]],$T5, Table2[[AwayTeam]:[AwayTeam]], AK$1))) + (0*(SUMIFS(Table2[[HomeWon_]:[HomeWon_]], Table2[[GameIsOver]:[GameIsOver]],1,Table2[[AwayTeam]:[AwayTeam]],$T5, Table2[[HomeTeam]:[HomeTeam]], AK$1, Table2[[ActualResult]:[ActualResult]], "REG") + SUMIFS(Table2[[AwayWon]:[AwayWon]], Table2[[GameIsOver]:[GameIsOver]],1,Table2[[HomeTeam]:[HomeTeam]],$T5, Table2[[AwayTeam]:[AwayTeam]], AK$1, Table2[[ActualResult]:[ActualResult]], "REG"))) + (1*(SUMIFS(Table2[[HomeWon_]:[HomeWon_]], Table2[[GameIsOver]:[GameIsOver]],1,Table2[[AwayTeam]:[AwayTeam]],$T5, Table2[[HomeTeam]:[HomeTeam]], AK$1, Table2[[ActualResult]:[ActualResult]], "OT") + SUMIFS(Table2[[AwayWon]:[AwayWon]], Table2[[GameIsOver]:[GameIsOver]],1,Table2[[HomeTeam]:[HomeTeam]],$T5, Table2[[AwayTeam]:[AwayTeam]], AK$1, Table2[[ActualResult]:[ActualResult]], "OT") + SUMIFS(Table2[[HomeWon_]:[HomeWon_]], Table2[[GameIsOver]:[GameIsOver]],1,Table2[[AwayTeam]:[AwayTeam]],$T5, Table2[[HomeTeam]:[HomeTeam]], AK$1, Table2[[ActualResult]:[ActualResult]], "SO") + SUMIFS(Table2[[AwayWon]:[AwayWon]], Table2[[GameIsOver]:[GameIsOver]],1,Table2[[HomeTeam]:[HomeTeam]],$T5, Table2[[AwayTeam]:[AwayTeam]], AK$1, Table2[[ActualResult]:[ActualResult]], "SO")))</f>
        <v>0</v>
      </c>
      <c r="AL5">
        <f>(2*(SUMIFS(Table2[[AwayWon]:[AwayWon]], Table2[[GameIsOver]:[GameIsOver]],1,Table2[[AwayTeam]:[AwayTeam]],$T5, Table2[[HomeTeam]:[HomeTeam]], AL$1) + SUMIFS(Table2[[HomeWon_]:[HomeWon_]], Table2[[GameIsOver]:[GameIsOver]],1,Table2[[HomeTeam]:[HomeTeam]],$T5, Table2[[AwayTeam]:[AwayTeam]], AL$1))) + (0*(SUMIFS(Table2[[HomeWon_]:[HomeWon_]], Table2[[GameIsOver]:[GameIsOver]],1,Table2[[AwayTeam]:[AwayTeam]],$T5, Table2[[HomeTeam]:[HomeTeam]], AL$1, Table2[[ActualResult]:[ActualResult]], "REG") + SUMIFS(Table2[[AwayWon]:[AwayWon]], Table2[[GameIsOver]:[GameIsOver]],1,Table2[[HomeTeam]:[HomeTeam]],$T5, Table2[[AwayTeam]:[AwayTeam]], AL$1, Table2[[ActualResult]:[ActualResult]], "REG"))) + (1*(SUMIFS(Table2[[HomeWon_]:[HomeWon_]], Table2[[GameIsOver]:[GameIsOver]],1,Table2[[AwayTeam]:[AwayTeam]],$T5, Table2[[HomeTeam]:[HomeTeam]], AL$1, Table2[[ActualResult]:[ActualResult]], "OT") + SUMIFS(Table2[[AwayWon]:[AwayWon]], Table2[[GameIsOver]:[GameIsOver]],1,Table2[[HomeTeam]:[HomeTeam]],$T5, Table2[[AwayTeam]:[AwayTeam]], AL$1, Table2[[ActualResult]:[ActualResult]], "OT") + SUMIFS(Table2[[HomeWon_]:[HomeWon_]], Table2[[GameIsOver]:[GameIsOver]],1,Table2[[AwayTeam]:[AwayTeam]],$T5, Table2[[HomeTeam]:[HomeTeam]], AL$1, Table2[[ActualResult]:[ActualResult]], "SO") + SUMIFS(Table2[[AwayWon]:[AwayWon]], Table2[[GameIsOver]:[GameIsOver]],1,Table2[[HomeTeam]:[HomeTeam]],$T5, Table2[[AwayTeam]:[AwayTeam]], AL$1, Table2[[ActualResult]:[ActualResult]], "SO")))</f>
        <v>0</v>
      </c>
      <c r="AM5">
        <f>(2*(SUMIFS(Table2[[AwayWon]:[AwayWon]], Table2[[GameIsOver]:[GameIsOver]],1,Table2[[AwayTeam]:[AwayTeam]],$T5, Table2[[HomeTeam]:[HomeTeam]], AM$1) + SUMIFS(Table2[[HomeWon_]:[HomeWon_]], Table2[[GameIsOver]:[GameIsOver]],1,Table2[[HomeTeam]:[HomeTeam]],$T5, Table2[[AwayTeam]:[AwayTeam]], AM$1))) + (0*(SUMIFS(Table2[[HomeWon_]:[HomeWon_]], Table2[[GameIsOver]:[GameIsOver]],1,Table2[[AwayTeam]:[AwayTeam]],$T5, Table2[[HomeTeam]:[HomeTeam]], AM$1, Table2[[ActualResult]:[ActualResult]], "REG") + SUMIFS(Table2[[AwayWon]:[AwayWon]], Table2[[GameIsOver]:[GameIsOver]],1,Table2[[HomeTeam]:[HomeTeam]],$T5, Table2[[AwayTeam]:[AwayTeam]], AM$1, Table2[[ActualResult]:[ActualResult]], "REG"))) + (1*(SUMIFS(Table2[[HomeWon_]:[HomeWon_]], Table2[[GameIsOver]:[GameIsOver]],1,Table2[[AwayTeam]:[AwayTeam]],$T5, Table2[[HomeTeam]:[HomeTeam]], AM$1, Table2[[ActualResult]:[ActualResult]], "OT") + SUMIFS(Table2[[AwayWon]:[AwayWon]], Table2[[GameIsOver]:[GameIsOver]],1,Table2[[HomeTeam]:[HomeTeam]],$T5, Table2[[AwayTeam]:[AwayTeam]], AM$1, Table2[[ActualResult]:[ActualResult]], "OT") + SUMIFS(Table2[[HomeWon_]:[HomeWon_]], Table2[[GameIsOver]:[GameIsOver]],1,Table2[[AwayTeam]:[AwayTeam]],$T5, Table2[[HomeTeam]:[HomeTeam]], AM$1, Table2[[ActualResult]:[ActualResult]], "SO") + SUMIFS(Table2[[AwayWon]:[AwayWon]], Table2[[GameIsOver]:[GameIsOver]],1,Table2[[HomeTeam]:[HomeTeam]],$T5, Table2[[AwayTeam]:[AwayTeam]], AM$1, Table2[[ActualResult]:[ActualResult]], "SO")))</f>
        <v>0</v>
      </c>
      <c r="AN5">
        <f>(2*(SUMIFS(Table2[[AwayWon]:[AwayWon]], Table2[[GameIsOver]:[GameIsOver]],1,Table2[[AwayTeam]:[AwayTeam]],$T5, Table2[[HomeTeam]:[HomeTeam]], AN$1) + SUMIFS(Table2[[HomeWon_]:[HomeWon_]], Table2[[GameIsOver]:[GameIsOver]],1,Table2[[HomeTeam]:[HomeTeam]],$T5, Table2[[AwayTeam]:[AwayTeam]], AN$1))) + (0*(SUMIFS(Table2[[HomeWon_]:[HomeWon_]], Table2[[GameIsOver]:[GameIsOver]],1,Table2[[AwayTeam]:[AwayTeam]],$T5, Table2[[HomeTeam]:[HomeTeam]], AN$1, Table2[[ActualResult]:[ActualResult]], "REG") + SUMIFS(Table2[[AwayWon]:[AwayWon]], Table2[[GameIsOver]:[GameIsOver]],1,Table2[[HomeTeam]:[HomeTeam]],$T5, Table2[[AwayTeam]:[AwayTeam]], AN$1, Table2[[ActualResult]:[ActualResult]], "REG"))) + (1*(SUMIFS(Table2[[HomeWon_]:[HomeWon_]], Table2[[GameIsOver]:[GameIsOver]],1,Table2[[AwayTeam]:[AwayTeam]],$T5, Table2[[HomeTeam]:[HomeTeam]], AN$1, Table2[[ActualResult]:[ActualResult]], "OT") + SUMIFS(Table2[[AwayWon]:[AwayWon]], Table2[[GameIsOver]:[GameIsOver]],1,Table2[[HomeTeam]:[HomeTeam]],$T5, Table2[[AwayTeam]:[AwayTeam]], AN$1, Table2[[ActualResult]:[ActualResult]], "OT") + SUMIFS(Table2[[HomeWon_]:[HomeWon_]], Table2[[GameIsOver]:[GameIsOver]],1,Table2[[AwayTeam]:[AwayTeam]],$T5, Table2[[HomeTeam]:[HomeTeam]], AN$1, Table2[[ActualResult]:[ActualResult]], "SO") + SUMIFS(Table2[[AwayWon]:[AwayWon]], Table2[[GameIsOver]:[GameIsOver]],1,Table2[[HomeTeam]:[HomeTeam]],$T5, Table2[[AwayTeam]:[AwayTeam]], AN$1, Table2[[ActualResult]:[ActualResult]], "SO")))</f>
        <v>0</v>
      </c>
      <c r="AO5">
        <f>(2*(SUMIFS(Table2[[AwayWon]:[AwayWon]], Table2[[GameIsOver]:[GameIsOver]],1,Table2[[AwayTeam]:[AwayTeam]],$T5, Table2[[HomeTeam]:[HomeTeam]], AO$1) + SUMIFS(Table2[[HomeWon_]:[HomeWon_]], Table2[[GameIsOver]:[GameIsOver]],1,Table2[[HomeTeam]:[HomeTeam]],$T5, Table2[[AwayTeam]:[AwayTeam]], AO$1))) + (0*(SUMIFS(Table2[[HomeWon_]:[HomeWon_]], Table2[[GameIsOver]:[GameIsOver]],1,Table2[[AwayTeam]:[AwayTeam]],$T5, Table2[[HomeTeam]:[HomeTeam]], AO$1, Table2[[ActualResult]:[ActualResult]], "REG") + SUMIFS(Table2[[AwayWon]:[AwayWon]], Table2[[GameIsOver]:[GameIsOver]],1,Table2[[HomeTeam]:[HomeTeam]],$T5, Table2[[AwayTeam]:[AwayTeam]], AO$1, Table2[[ActualResult]:[ActualResult]], "REG"))) + (1*(SUMIFS(Table2[[HomeWon_]:[HomeWon_]], Table2[[GameIsOver]:[GameIsOver]],1,Table2[[AwayTeam]:[AwayTeam]],$T5, Table2[[HomeTeam]:[HomeTeam]], AO$1, Table2[[ActualResult]:[ActualResult]], "OT") + SUMIFS(Table2[[AwayWon]:[AwayWon]], Table2[[GameIsOver]:[GameIsOver]],1,Table2[[HomeTeam]:[HomeTeam]],$T5, Table2[[AwayTeam]:[AwayTeam]], AO$1, Table2[[ActualResult]:[ActualResult]], "OT") + SUMIFS(Table2[[HomeWon_]:[HomeWon_]], Table2[[GameIsOver]:[GameIsOver]],1,Table2[[AwayTeam]:[AwayTeam]],$T5, Table2[[HomeTeam]:[HomeTeam]], AO$1, Table2[[ActualResult]:[ActualResult]], "SO") + SUMIFS(Table2[[AwayWon]:[AwayWon]], Table2[[GameIsOver]:[GameIsOver]],1,Table2[[HomeTeam]:[HomeTeam]],$T5, Table2[[AwayTeam]:[AwayTeam]], AO$1, Table2[[ActualResult]:[ActualResult]], "SO")))</f>
        <v>0</v>
      </c>
      <c r="AP5">
        <f>(2*(SUMIFS(Table2[[AwayWon]:[AwayWon]], Table2[[GameIsOver]:[GameIsOver]],1,Table2[[AwayTeam]:[AwayTeam]],$T5, Table2[[HomeTeam]:[HomeTeam]], AP$1) + SUMIFS(Table2[[HomeWon_]:[HomeWon_]], Table2[[GameIsOver]:[GameIsOver]],1,Table2[[HomeTeam]:[HomeTeam]],$T5, Table2[[AwayTeam]:[AwayTeam]], AP$1))) + (0*(SUMIFS(Table2[[HomeWon_]:[HomeWon_]], Table2[[GameIsOver]:[GameIsOver]],1,Table2[[AwayTeam]:[AwayTeam]],$T5, Table2[[HomeTeam]:[HomeTeam]], AP$1, Table2[[ActualResult]:[ActualResult]], "REG") + SUMIFS(Table2[[AwayWon]:[AwayWon]], Table2[[GameIsOver]:[GameIsOver]],1,Table2[[HomeTeam]:[HomeTeam]],$T5, Table2[[AwayTeam]:[AwayTeam]], AP$1, Table2[[ActualResult]:[ActualResult]], "REG"))) + (1*(SUMIFS(Table2[[HomeWon_]:[HomeWon_]], Table2[[GameIsOver]:[GameIsOver]],1,Table2[[AwayTeam]:[AwayTeam]],$T5, Table2[[HomeTeam]:[HomeTeam]], AP$1, Table2[[ActualResult]:[ActualResult]], "OT") + SUMIFS(Table2[[AwayWon]:[AwayWon]], Table2[[GameIsOver]:[GameIsOver]],1,Table2[[HomeTeam]:[HomeTeam]],$T5, Table2[[AwayTeam]:[AwayTeam]], AP$1, Table2[[ActualResult]:[ActualResult]], "OT") + SUMIFS(Table2[[HomeWon_]:[HomeWon_]], Table2[[GameIsOver]:[GameIsOver]],1,Table2[[AwayTeam]:[AwayTeam]],$T5, Table2[[HomeTeam]:[HomeTeam]], AP$1, Table2[[ActualResult]:[ActualResult]], "SO") + SUMIFS(Table2[[AwayWon]:[AwayWon]], Table2[[GameIsOver]:[GameIsOver]],1,Table2[[HomeTeam]:[HomeTeam]],$T5, Table2[[AwayTeam]:[AwayTeam]], AP$1, Table2[[ActualResult]:[ActualResult]], "SO")))</f>
        <v>0</v>
      </c>
      <c r="AQ5">
        <f>(2*(SUMIFS(Table2[[AwayWon]:[AwayWon]], Table2[[GameIsOver]:[GameIsOver]],1,Table2[[AwayTeam]:[AwayTeam]],$T5, Table2[[HomeTeam]:[HomeTeam]], AQ$1) + SUMIFS(Table2[[HomeWon_]:[HomeWon_]], Table2[[GameIsOver]:[GameIsOver]],1,Table2[[HomeTeam]:[HomeTeam]],$T5, Table2[[AwayTeam]:[AwayTeam]], AQ$1))) + (0*(SUMIFS(Table2[[HomeWon_]:[HomeWon_]], Table2[[GameIsOver]:[GameIsOver]],1,Table2[[AwayTeam]:[AwayTeam]],$T5, Table2[[HomeTeam]:[HomeTeam]], AQ$1, Table2[[ActualResult]:[ActualResult]], "REG") + SUMIFS(Table2[[AwayWon]:[AwayWon]], Table2[[GameIsOver]:[GameIsOver]],1,Table2[[HomeTeam]:[HomeTeam]],$T5, Table2[[AwayTeam]:[AwayTeam]], AQ$1, Table2[[ActualResult]:[ActualResult]], "REG"))) + (1*(SUMIFS(Table2[[HomeWon_]:[HomeWon_]], Table2[[GameIsOver]:[GameIsOver]],1,Table2[[AwayTeam]:[AwayTeam]],$T5, Table2[[HomeTeam]:[HomeTeam]], AQ$1, Table2[[ActualResult]:[ActualResult]], "OT") + SUMIFS(Table2[[AwayWon]:[AwayWon]], Table2[[GameIsOver]:[GameIsOver]],1,Table2[[HomeTeam]:[HomeTeam]],$T5, Table2[[AwayTeam]:[AwayTeam]], AQ$1, Table2[[ActualResult]:[ActualResult]], "OT") + SUMIFS(Table2[[HomeWon_]:[HomeWon_]], Table2[[GameIsOver]:[GameIsOver]],1,Table2[[AwayTeam]:[AwayTeam]],$T5, Table2[[HomeTeam]:[HomeTeam]], AQ$1, Table2[[ActualResult]:[ActualResult]], "SO") + SUMIFS(Table2[[AwayWon]:[AwayWon]], Table2[[GameIsOver]:[GameIsOver]],1,Table2[[HomeTeam]:[HomeTeam]],$T5, Table2[[AwayTeam]:[AwayTeam]], AQ$1, Table2[[ActualResult]:[ActualResult]], "SO")))</f>
        <v>0</v>
      </c>
      <c r="AR5">
        <f>(2*(SUMIFS(Table2[[AwayWon]:[AwayWon]], Table2[[GameIsOver]:[GameIsOver]],1,Table2[[AwayTeam]:[AwayTeam]],$T5, Table2[[HomeTeam]:[HomeTeam]], AR$1) + SUMIFS(Table2[[HomeWon_]:[HomeWon_]], Table2[[GameIsOver]:[GameIsOver]],1,Table2[[HomeTeam]:[HomeTeam]],$T5, Table2[[AwayTeam]:[AwayTeam]], AR$1))) + (0*(SUMIFS(Table2[[HomeWon_]:[HomeWon_]], Table2[[GameIsOver]:[GameIsOver]],1,Table2[[AwayTeam]:[AwayTeam]],$T5, Table2[[HomeTeam]:[HomeTeam]], AR$1, Table2[[ActualResult]:[ActualResult]], "REG") + SUMIFS(Table2[[AwayWon]:[AwayWon]], Table2[[GameIsOver]:[GameIsOver]],1,Table2[[HomeTeam]:[HomeTeam]],$T5, Table2[[AwayTeam]:[AwayTeam]], AR$1, Table2[[ActualResult]:[ActualResult]], "REG"))) + (1*(SUMIFS(Table2[[HomeWon_]:[HomeWon_]], Table2[[GameIsOver]:[GameIsOver]],1,Table2[[AwayTeam]:[AwayTeam]],$T5, Table2[[HomeTeam]:[HomeTeam]], AR$1, Table2[[ActualResult]:[ActualResult]], "OT") + SUMIFS(Table2[[AwayWon]:[AwayWon]], Table2[[GameIsOver]:[GameIsOver]],1,Table2[[HomeTeam]:[HomeTeam]],$T5, Table2[[AwayTeam]:[AwayTeam]], AR$1, Table2[[ActualResult]:[ActualResult]], "OT") + SUMIFS(Table2[[HomeWon_]:[HomeWon_]], Table2[[GameIsOver]:[GameIsOver]],1,Table2[[AwayTeam]:[AwayTeam]],$T5, Table2[[HomeTeam]:[HomeTeam]], AR$1, Table2[[ActualResult]:[ActualResult]], "SO") + SUMIFS(Table2[[AwayWon]:[AwayWon]], Table2[[GameIsOver]:[GameIsOver]],1,Table2[[HomeTeam]:[HomeTeam]],$T5, Table2[[AwayTeam]:[AwayTeam]], AR$1, Table2[[ActualResult]:[ActualResult]], "SO")))</f>
        <v>0</v>
      </c>
      <c r="AS5">
        <f>(2*(SUMIFS(Table2[[AwayWon]:[AwayWon]], Table2[[GameIsOver]:[GameIsOver]],1,Table2[[AwayTeam]:[AwayTeam]],$T5, Table2[[HomeTeam]:[HomeTeam]], AS$1) + SUMIFS(Table2[[HomeWon_]:[HomeWon_]], Table2[[GameIsOver]:[GameIsOver]],1,Table2[[HomeTeam]:[HomeTeam]],$T5, Table2[[AwayTeam]:[AwayTeam]], AS$1))) + (0*(SUMIFS(Table2[[HomeWon_]:[HomeWon_]], Table2[[GameIsOver]:[GameIsOver]],1,Table2[[AwayTeam]:[AwayTeam]],$T5, Table2[[HomeTeam]:[HomeTeam]], AS$1, Table2[[ActualResult]:[ActualResult]], "REG") + SUMIFS(Table2[[AwayWon]:[AwayWon]], Table2[[GameIsOver]:[GameIsOver]],1,Table2[[HomeTeam]:[HomeTeam]],$T5, Table2[[AwayTeam]:[AwayTeam]], AS$1, Table2[[ActualResult]:[ActualResult]], "REG"))) + (1*(SUMIFS(Table2[[HomeWon_]:[HomeWon_]], Table2[[GameIsOver]:[GameIsOver]],1,Table2[[AwayTeam]:[AwayTeam]],$T5, Table2[[HomeTeam]:[HomeTeam]], AS$1, Table2[[ActualResult]:[ActualResult]], "OT") + SUMIFS(Table2[[AwayWon]:[AwayWon]], Table2[[GameIsOver]:[GameIsOver]],1,Table2[[HomeTeam]:[HomeTeam]],$T5, Table2[[AwayTeam]:[AwayTeam]], AS$1, Table2[[ActualResult]:[ActualResult]], "OT") + SUMIFS(Table2[[HomeWon_]:[HomeWon_]], Table2[[GameIsOver]:[GameIsOver]],1,Table2[[AwayTeam]:[AwayTeam]],$T5, Table2[[HomeTeam]:[HomeTeam]], AS$1, Table2[[ActualResult]:[ActualResult]], "SO") + SUMIFS(Table2[[AwayWon]:[AwayWon]], Table2[[GameIsOver]:[GameIsOver]],1,Table2[[HomeTeam]:[HomeTeam]],$T5, Table2[[AwayTeam]:[AwayTeam]], AS$1, Table2[[ActualResult]:[ActualResult]], "SO")))</f>
        <v>0</v>
      </c>
      <c r="AT5">
        <f>(2*(SUMIFS(Table2[[AwayWon]:[AwayWon]], Table2[[GameIsOver]:[GameIsOver]],1,Table2[[AwayTeam]:[AwayTeam]],$T5, Table2[[HomeTeam]:[HomeTeam]], AT$1) + SUMIFS(Table2[[HomeWon_]:[HomeWon_]], Table2[[GameIsOver]:[GameIsOver]],1,Table2[[HomeTeam]:[HomeTeam]],$T5, Table2[[AwayTeam]:[AwayTeam]], AT$1))) + (0*(SUMIFS(Table2[[HomeWon_]:[HomeWon_]], Table2[[GameIsOver]:[GameIsOver]],1,Table2[[AwayTeam]:[AwayTeam]],$T5, Table2[[HomeTeam]:[HomeTeam]], AT$1, Table2[[ActualResult]:[ActualResult]], "REG") + SUMIFS(Table2[[AwayWon]:[AwayWon]], Table2[[GameIsOver]:[GameIsOver]],1,Table2[[HomeTeam]:[HomeTeam]],$T5, Table2[[AwayTeam]:[AwayTeam]], AT$1, Table2[[ActualResult]:[ActualResult]], "REG"))) + (1*(SUMIFS(Table2[[HomeWon_]:[HomeWon_]], Table2[[GameIsOver]:[GameIsOver]],1,Table2[[AwayTeam]:[AwayTeam]],$T5, Table2[[HomeTeam]:[HomeTeam]], AT$1, Table2[[ActualResult]:[ActualResult]], "OT") + SUMIFS(Table2[[AwayWon]:[AwayWon]], Table2[[GameIsOver]:[GameIsOver]],1,Table2[[HomeTeam]:[HomeTeam]],$T5, Table2[[AwayTeam]:[AwayTeam]], AT$1, Table2[[ActualResult]:[ActualResult]], "OT") + SUMIFS(Table2[[HomeWon_]:[HomeWon_]], Table2[[GameIsOver]:[GameIsOver]],1,Table2[[AwayTeam]:[AwayTeam]],$T5, Table2[[HomeTeam]:[HomeTeam]], AT$1, Table2[[ActualResult]:[ActualResult]], "SO") + SUMIFS(Table2[[AwayWon]:[AwayWon]], Table2[[GameIsOver]:[GameIsOver]],1,Table2[[HomeTeam]:[HomeTeam]],$T5, Table2[[AwayTeam]:[AwayTeam]], AT$1, Table2[[ActualResult]:[ActualResult]], "SO")))</f>
        <v>0</v>
      </c>
      <c r="AU5">
        <f>(2*(SUMIFS(Table2[[AwayWon]:[AwayWon]], Table2[[GameIsOver]:[GameIsOver]],1,Table2[[AwayTeam]:[AwayTeam]],$T5, Table2[[HomeTeam]:[HomeTeam]], AU$1) + SUMIFS(Table2[[HomeWon_]:[HomeWon_]], Table2[[GameIsOver]:[GameIsOver]],1,Table2[[HomeTeam]:[HomeTeam]],$T5, Table2[[AwayTeam]:[AwayTeam]], AU$1))) + (0*(SUMIFS(Table2[[HomeWon_]:[HomeWon_]], Table2[[GameIsOver]:[GameIsOver]],1,Table2[[AwayTeam]:[AwayTeam]],$T5, Table2[[HomeTeam]:[HomeTeam]], AU$1, Table2[[ActualResult]:[ActualResult]], "REG") + SUMIFS(Table2[[AwayWon]:[AwayWon]], Table2[[GameIsOver]:[GameIsOver]],1,Table2[[HomeTeam]:[HomeTeam]],$T5, Table2[[AwayTeam]:[AwayTeam]], AU$1, Table2[[ActualResult]:[ActualResult]], "REG"))) + (1*(SUMIFS(Table2[[HomeWon_]:[HomeWon_]], Table2[[GameIsOver]:[GameIsOver]],1,Table2[[AwayTeam]:[AwayTeam]],$T5, Table2[[HomeTeam]:[HomeTeam]], AU$1, Table2[[ActualResult]:[ActualResult]], "OT") + SUMIFS(Table2[[AwayWon]:[AwayWon]], Table2[[GameIsOver]:[GameIsOver]],1,Table2[[HomeTeam]:[HomeTeam]],$T5, Table2[[AwayTeam]:[AwayTeam]], AU$1, Table2[[ActualResult]:[ActualResult]], "OT") + SUMIFS(Table2[[HomeWon_]:[HomeWon_]], Table2[[GameIsOver]:[GameIsOver]],1,Table2[[AwayTeam]:[AwayTeam]],$T5, Table2[[HomeTeam]:[HomeTeam]], AU$1, Table2[[ActualResult]:[ActualResult]], "SO") + SUMIFS(Table2[[AwayWon]:[AwayWon]], Table2[[GameIsOver]:[GameIsOver]],1,Table2[[HomeTeam]:[HomeTeam]],$T5, Table2[[AwayTeam]:[AwayTeam]], AU$1, Table2[[ActualResult]:[ActualResult]], "SO")))</f>
        <v>0</v>
      </c>
      <c r="AV5">
        <f>(2*(SUMIFS(Table2[[AwayWon]:[AwayWon]], Table2[[GameIsOver]:[GameIsOver]],1,Table2[[AwayTeam]:[AwayTeam]],$T5, Table2[[HomeTeam]:[HomeTeam]], AV$1) + SUMIFS(Table2[[HomeWon_]:[HomeWon_]], Table2[[GameIsOver]:[GameIsOver]],1,Table2[[HomeTeam]:[HomeTeam]],$T5, Table2[[AwayTeam]:[AwayTeam]], AV$1))) + (0*(SUMIFS(Table2[[HomeWon_]:[HomeWon_]], Table2[[GameIsOver]:[GameIsOver]],1,Table2[[AwayTeam]:[AwayTeam]],$T5, Table2[[HomeTeam]:[HomeTeam]], AV$1, Table2[[ActualResult]:[ActualResult]], "REG") + SUMIFS(Table2[[AwayWon]:[AwayWon]], Table2[[GameIsOver]:[GameIsOver]],1,Table2[[HomeTeam]:[HomeTeam]],$T5, Table2[[AwayTeam]:[AwayTeam]], AV$1, Table2[[ActualResult]:[ActualResult]], "REG"))) + (1*(SUMIFS(Table2[[HomeWon_]:[HomeWon_]], Table2[[GameIsOver]:[GameIsOver]],1,Table2[[AwayTeam]:[AwayTeam]],$T5, Table2[[HomeTeam]:[HomeTeam]], AV$1, Table2[[ActualResult]:[ActualResult]], "OT") + SUMIFS(Table2[[AwayWon]:[AwayWon]], Table2[[GameIsOver]:[GameIsOver]],1,Table2[[HomeTeam]:[HomeTeam]],$T5, Table2[[AwayTeam]:[AwayTeam]], AV$1, Table2[[ActualResult]:[ActualResult]], "OT") + SUMIFS(Table2[[HomeWon_]:[HomeWon_]], Table2[[GameIsOver]:[GameIsOver]],1,Table2[[AwayTeam]:[AwayTeam]],$T5, Table2[[HomeTeam]:[HomeTeam]], AV$1, Table2[[ActualResult]:[ActualResult]], "SO") + SUMIFS(Table2[[AwayWon]:[AwayWon]], Table2[[GameIsOver]:[GameIsOver]],1,Table2[[HomeTeam]:[HomeTeam]],$T5, Table2[[AwayTeam]:[AwayTeam]], AV$1, Table2[[ActualResult]:[ActualResult]], "SO")))</f>
        <v>0</v>
      </c>
      <c r="AW5">
        <f>(2*(SUMIFS(Table2[[AwayWon]:[AwayWon]], Table2[[GameIsOver]:[GameIsOver]],1,Table2[[AwayTeam]:[AwayTeam]],$T5, Table2[[HomeTeam]:[HomeTeam]], AW$1) + SUMIFS(Table2[[HomeWon_]:[HomeWon_]], Table2[[GameIsOver]:[GameIsOver]],1,Table2[[HomeTeam]:[HomeTeam]],$T5, Table2[[AwayTeam]:[AwayTeam]], AW$1))) + (0*(SUMIFS(Table2[[HomeWon_]:[HomeWon_]], Table2[[GameIsOver]:[GameIsOver]],1,Table2[[AwayTeam]:[AwayTeam]],$T5, Table2[[HomeTeam]:[HomeTeam]], AW$1, Table2[[ActualResult]:[ActualResult]], "REG") + SUMIFS(Table2[[AwayWon]:[AwayWon]], Table2[[GameIsOver]:[GameIsOver]],1,Table2[[HomeTeam]:[HomeTeam]],$T5, Table2[[AwayTeam]:[AwayTeam]], AW$1, Table2[[ActualResult]:[ActualResult]], "REG"))) + (1*(SUMIFS(Table2[[HomeWon_]:[HomeWon_]], Table2[[GameIsOver]:[GameIsOver]],1,Table2[[AwayTeam]:[AwayTeam]],$T5, Table2[[HomeTeam]:[HomeTeam]], AW$1, Table2[[ActualResult]:[ActualResult]], "OT") + SUMIFS(Table2[[AwayWon]:[AwayWon]], Table2[[GameIsOver]:[GameIsOver]],1,Table2[[HomeTeam]:[HomeTeam]],$T5, Table2[[AwayTeam]:[AwayTeam]], AW$1, Table2[[ActualResult]:[ActualResult]], "OT") + SUMIFS(Table2[[HomeWon_]:[HomeWon_]], Table2[[GameIsOver]:[GameIsOver]],1,Table2[[AwayTeam]:[AwayTeam]],$T5, Table2[[HomeTeam]:[HomeTeam]], AW$1, Table2[[ActualResult]:[ActualResult]], "SO") + SUMIFS(Table2[[AwayWon]:[AwayWon]], Table2[[GameIsOver]:[GameIsOver]],1,Table2[[HomeTeam]:[HomeTeam]],$T5, Table2[[AwayTeam]:[AwayTeam]], AW$1, Table2[[ActualResult]:[ActualResult]], "SO")))</f>
        <v>0</v>
      </c>
      <c r="AX5">
        <f>(2*(SUMIFS(Table2[[AwayWon]:[AwayWon]], Table2[[GameIsOver]:[GameIsOver]],1,Table2[[AwayTeam]:[AwayTeam]],$T5, Table2[[HomeTeam]:[HomeTeam]], AX$1) + SUMIFS(Table2[[HomeWon_]:[HomeWon_]], Table2[[GameIsOver]:[GameIsOver]],1,Table2[[HomeTeam]:[HomeTeam]],$T5, Table2[[AwayTeam]:[AwayTeam]], AX$1))) + (0*(SUMIFS(Table2[[HomeWon_]:[HomeWon_]], Table2[[GameIsOver]:[GameIsOver]],1,Table2[[AwayTeam]:[AwayTeam]],$T5, Table2[[HomeTeam]:[HomeTeam]], AX$1, Table2[[ActualResult]:[ActualResult]], "REG") + SUMIFS(Table2[[AwayWon]:[AwayWon]], Table2[[GameIsOver]:[GameIsOver]],1,Table2[[HomeTeam]:[HomeTeam]],$T5, Table2[[AwayTeam]:[AwayTeam]], AX$1, Table2[[ActualResult]:[ActualResult]], "REG"))) + (1*(SUMIFS(Table2[[HomeWon_]:[HomeWon_]], Table2[[GameIsOver]:[GameIsOver]],1,Table2[[AwayTeam]:[AwayTeam]],$T5, Table2[[HomeTeam]:[HomeTeam]], AX$1, Table2[[ActualResult]:[ActualResult]], "OT") + SUMIFS(Table2[[AwayWon]:[AwayWon]], Table2[[GameIsOver]:[GameIsOver]],1,Table2[[HomeTeam]:[HomeTeam]],$T5, Table2[[AwayTeam]:[AwayTeam]], AX$1, Table2[[ActualResult]:[ActualResult]], "OT") + SUMIFS(Table2[[HomeWon_]:[HomeWon_]], Table2[[GameIsOver]:[GameIsOver]],1,Table2[[AwayTeam]:[AwayTeam]],$T5, Table2[[HomeTeam]:[HomeTeam]], AX$1, Table2[[ActualResult]:[ActualResult]], "SO") + SUMIFS(Table2[[AwayWon]:[AwayWon]], Table2[[GameIsOver]:[GameIsOver]],1,Table2[[HomeTeam]:[HomeTeam]],$T5, Table2[[AwayTeam]:[AwayTeam]], AX$1, Table2[[ActualResult]:[ActualResult]], "SO")))</f>
        <v>0</v>
      </c>
      <c r="AY5">
        <f>(2*(SUMIFS(Table2[[AwayWon]:[AwayWon]], Table2[[GameIsOver]:[GameIsOver]],1,Table2[[AwayTeam]:[AwayTeam]],$T5, Table2[[HomeTeam]:[HomeTeam]], AY$1) + SUMIFS(Table2[[HomeWon_]:[HomeWon_]], Table2[[GameIsOver]:[GameIsOver]],1,Table2[[HomeTeam]:[HomeTeam]],$T5, Table2[[AwayTeam]:[AwayTeam]], AY$1))) + (0*(SUMIFS(Table2[[HomeWon_]:[HomeWon_]], Table2[[GameIsOver]:[GameIsOver]],1,Table2[[AwayTeam]:[AwayTeam]],$T5, Table2[[HomeTeam]:[HomeTeam]], AY$1, Table2[[ActualResult]:[ActualResult]], "REG") + SUMIFS(Table2[[AwayWon]:[AwayWon]], Table2[[GameIsOver]:[GameIsOver]],1,Table2[[HomeTeam]:[HomeTeam]],$T5, Table2[[AwayTeam]:[AwayTeam]], AY$1, Table2[[ActualResult]:[ActualResult]], "REG"))) + (1*(SUMIFS(Table2[[HomeWon_]:[HomeWon_]], Table2[[GameIsOver]:[GameIsOver]],1,Table2[[AwayTeam]:[AwayTeam]],$T5, Table2[[HomeTeam]:[HomeTeam]], AY$1, Table2[[ActualResult]:[ActualResult]], "OT") + SUMIFS(Table2[[AwayWon]:[AwayWon]], Table2[[GameIsOver]:[GameIsOver]],1,Table2[[HomeTeam]:[HomeTeam]],$T5, Table2[[AwayTeam]:[AwayTeam]], AY$1, Table2[[ActualResult]:[ActualResult]], "OT") + SUMIFS(Table2[[HomeWon_]:[HomeWon_]], Table2[[GameIsOver]:[GameIsOver]],1,Table2[[AwayTeam]:[AwayTeam]],$T5, Table2[[HomeTeam]:[HomeTeam]], AY$1, Table2[[ActualResult]:[ActualResult]], "SO") + SUMIFS(Table2[[AwayWon]:[AwayWon]], Table2[[GameIsOver]:[GameIsOver]],1,Table2[[HomeTeam]:[HomeTeam]],$T5, Table2[[AwayTeam]:[AwayTeam]], AY$1, Table2[[ActualResult]:[ActualResult]], "SO")))</f>
        <v>0</v>
      </c>
      <c r="AZ5">
        <f>(2*(SUMIFS(Table2[[AwayWon]:[AwayWon]], Table2[[GameIsOver]:[GameIsOver]],1,Table2[[AwayTeam]:[AwayTeam]],$T5, Table2[[HomeTeam]:[HomeTeam]], AZ$1) + SUMIFS(Table2[[HomeWon_]:[HomeWon_]], Table2[[GameIsOver]:[GameIsOver]],1,Table2[[HomeTeam]:[HomeTeam]],$T5, Table2[[AwayTeam]:[AwayTeam]], AZ$1))) + (0*(SUMIFS(Table2[[HomeWon_]:[HomeWon_]], Table2[[GameIsOver]:[GameIsOver]],1,Table2[[AwayTeam]:[AwayTeam]],$T5, Table2[[HomeTeam]:[HomeTeam]], AZ$1, Table2[[ActualResult]:[ActualResult]], "REG") + SUMIFS(Table2[[AwayWon]:[AwayWon]], Table2[[GameIsOver]:[GameIsOver]],1,Table2[[HomeTeam]:[HomeTeam]],$T5, Table2[[AwayTeam]:[AwayTeam]], AZ$1, Table2[[ActualResult]:[ActualResult]], "REG"))) + (1*(SUMIFS(Table2[[HomeWon_]:[HomeWon_]], Table2[[GameIsOver]:[GameIsOver]],1,Table2[[AwayTeam]:[AwayTeam]],$T5, Table2[[HomeTeam]:[HomeTeam]], AZ$1, Table2[[ActualResult]:[ActualResult]], "OT") + SUMIFS(Table2[[AwayWon]:[AwayWon]], Table2[[GameIsOver]:[GameIsOver]],1,Table2[[HomeTeam]:[HomeTeam]],$T5, Table2[[AwayTeam]:[AwayTeam]], AZ$1, Table2[[ActualResult]:[ActualResult]], "OT") + SUMIFS(Table2[[HomeWon_]:[HomeWon_]], Table2[[GameIsOver]:[GameIsOver]],1,Table2[[AwayTeam]:[AwayTeam]],$T5, Table2[[HomeTeam]:[HomeTeam]], AZ$1, Table2[[ActualResult]:[ActualResult]], "SO") + SUMIFS(Table2[[AwayWon]:[AwayWon]], Table2[[GameIsOver]:[GameIsOver]],1,Table2[[HomeTeam]:[HomeTeam]],$T5, Table2[[AwayTeam]:[AwayTeam]], AZ$1, Table2[[ActualResult]:[ActualResult]], "SO")))</f>
        <v>0</v>
      </c>
      <c r="BA5">
        <f>(2*(SUMIFS(Table2[[AwayWon]:[AwayWon]], Table2[[GameIsOver]:[GameIsOver]],1,Table2[[AwayTeam]:[AwayTeam]],$T5, Table2[[HomeTeam]:[HomeTeam]], BA$1) + SUMIFS(Table2[[HomeWon_]:[HomeWon_]], Table2[[GameIsOver]:[GameIsOver]],1,Table2[[HomeTeam]:[HomeTeam]],$T5, Table2[[AwayTeam]:[AwayTeam]], BA$1))) + (0*(SUMIFS(Table2[[HomeWon_]:[HomeWon_]], Table2[[GameIsOver]:[GameIsOver]],1,Table2[[AwayTeam]:[AwayTeam]],$T5, Table2[[HomeTeam]:[HomeTeam]], BA$1, Table2[[ActualResult]:[ActualResult]], "REG") + SUMIFS(Table2[[AwayWon]:[AwayWon]], Table2[[GameIsOver]:[GameIsOver]],1,Table2[[HomeTeam]:[HomeTeam]],$T5, Table2[[AwayTeam]:[AwayTeam]], BA$1, Table2[[ActualResult]:[ActualResult]], "REG"))) + (1*(SUMIFS(Table2[[HomeWon_]:[HomeWon_]], Table2[[GameIsOver]:[GameIsOver]],1,Table2[[AwayTeam]:[AwayTeam]],$T5, Table2[[HomeTeam]:[HomeTeam]], BA$1, Table2[[ActualResult]:[ActualResult]], "OT") + SUMIFS(Table2[[AwayWon]:[AwayWon]], Table2[[GameIsOver]:[GameIsOver]],1,Table2[[HomeTeam]:[HomeTeam]],$T5, Table2[[AwayTeam]:[AwayTeam]], BA$1, Table2[[ActualResult]:[ActualResult]], "OT") + SUMIFS(Table2[[HomeWon_]:[HomeWon_]], Table2[[GameIsOver]:[GameIsOver]],1,Table2[[AwayTeam]:[AwayTeam]],$T5, Table2[[HomeTeam]:[HomeTeam]], BA$1, Table2[[ActualResult]:[ActualResult]], "SO") + SUMIFS(Table2[[AwayWon]:[AwayWon]], Table2[[GameIsOver]:[GameIsOver]],1,Table2[[HomeTeam]:[HomeTeam]],$T5, Table2[[AwayTeam]:[AwayTeam]], BA$1, Table2[[ActualResult]:[ActualResult]], "SO")))</f>
        <v>0</v>
      </c>
    </row>
    <row r="6" spans="1:53" x14ac:dyDescent="0.25">
      <c r="A6" s="61" t="s">
        <v>35</v>
      </c>
      <c r="B6" s="61" t="s">
        <v>91</v>
      </c>
      <c r="C6" s="61" t="s">
        <v>92</v>
      </c>
      <c r="D6" s="62">
        <f>INDEX(Table3[PTS], MATCH(Table6[[#This Row],[Teams]], Table3[Teams],0))</f>
        <v>6</v>
      </c>
      <c r="E6" s="62">
        <f>INDEX(Table3[PTS], MATCH(Table6[[#This Row],[Teams]], Table3[Teams],0))</f>
        <v>6</v>
      </c>
      <c r="S6">
        <v>7</v>
      </c>
      <c r="T6" t="str" cm="1">
        <f t="array" ref="T6">INDEX(Table6[Teams], SMALL(IF(Table6[D]="P", ROW(Table6[Teams])-ROW(Table6[#Headers])), Table7[[#This Row],[PAC]]))</f>
        <v>VAN</v>
      </c>
      <c r="U6">
        <f>INDEX(Table6[PTS], MATCH($T6, Table6[Teams], 0))</f>
        <v>8</v>
      </c>
      <c r="V6">
        <f>(2*(SUMIFS(Table2[[AwayWon]:[AwayWon]], Table2[[GameIsOver]:[GameIsOver]],1,Table2[[AwayTeam]:[AwayTeam]],$T6, Table2[[HomeTeam]:[HomeTeam]], V$1) + SUMIFS(Table2[[HomeWon_]:[HomeWon_]], Table2[[GameIsOver]:[GameIsOver]],1,Table2[[HomeTeam]:[HomeTeam]],$T6, Table2[[AwayTeam]:[AwayTeam]], V$1))) + (0*(SUMIFS(Table2[[HomeWon_]:[HomeWon_]], Table2[[GameIsOver]:[GameIsOver]],1,Table2[[AwayTeam]:[AwayTeam]],$T6, Table2[[HomeTeam]:[HomeTeam]], V$1, Table2[[ActualResult]:[ActualResult]], "REG") + SUMIFS(Table2[[AwayWon]:[AwayWon]], Table2[[GameIsOver]:[GameIsOver]],1,Table2[[HomeTeam]:[HomeTeam]],$T6, Table2[[AwayTeam]:[AwayTeam]], V$1, Table2[[ActualResult]:[ActualResult]], "REG"))) + (1*(SUMIFS(Table2[[HomeWon_]:[HomeWon_]], Table2[[GameIsOver]:[GameIsOver]],1,Table2[[AwayTeam]:[AwayTeam]],$T6, Table2[[HomeTeam]:[HomeTeam]], V$1, Table2[[ActualResult]:[ActualResult]], "OT") + SUMIFS(Table2[[AwayWon]:[AwayWon]], Table2[[GameIsOver]:[GameIsOver]],1,Table2[[HomeTeam]:[HomeTeam]],$T6, Table2[[AwayTeam]:[AwayTeam]], V$1, Table2[[ActualResult]:[ActualResult]], "OT") + SUMIFS(Table2[[HomeWon_]:[HomeWon_]], Table2[[GameIsOver]:[GameIsOver]],1,Table2[[AwayTeam]:[AwayTeam]],$T6, Table2[[HomeTeam]:[HomeTeam]], V$1, Table2[[ActualResult]:[ActualResult]], "SO") + SUMIFS(Table2[[AwayWon]:[AwayWon]], Table2[[GameIsOver]:[GameIsOver]],1,Table2[[HomeTeam]:[HomeTeam]],$T6, Table2[[AwayTeam]:[AwayTeam]], V$1, Table2[[ActualResult]:[ActualResult]], "SO")))</f>
        <v>0</v>
      </c>
      <c r="W6">
        <f>(2*(SUMIFS(Table2[[AwayWon]:[AwayWon]], Table2[[GameIsOver]:[GameIsOver]],1,Table2[[AwayTeam]:[AwayTeam]],$T6, Table2[[HomeTeam]:[HomeTeam]], W$1) + SUMIFS(Table2[[HomeWon_]:[HomeWon_]], Table2[[GameIsOver]:[GameIsOver]],1,Table2[[HomeTeam]:[HomeTeam]],$T6, Table2[[AwayTeam]:[AwayTeam]], W$1))) + (0*(SUMIFS(Table2[[HomeWon_]:[HomeWon_]], Table2[[GameIsOver]:[GameIsOver]],1,Table2[[AwayTeam]:[AwayTeam]],$T6, Table2[[HomeTeam]:[HomeTeam]], W$1, Table2[[ActualResult]:[ActualResult]], "REG") + SUMIFS(Table2[[AwayWon]:[AwayWon]], Table2[[GameIsOver]:[GameIsOver]],1,Table2[[HomeTeam]:[HomeTeam]],$T6, Table2[[AwayTeam]:[AwayTeam]], W$1, Table2[[ActualResult]:[ActualResult]], "REG"))) + (1*(SUMIFS(Table2[[HomeWon_]:[HomeWon_]], Table2[[GameIsOver]:[GameIsOver]],1,Table2[[AwayTeam]:[AwayTeam]],$T6, Table2[[HomeTeam]:[HomeTeam]], W$1, Table2[[ActualResult]:[ActualResult]], "OT") + SUMIFS(Table2[[AwayWon]:[AwayWon]], Table2[[GameIsOver]:[GameIsOver]],1,Table2[[HomeTeam]:[HomeTeam]],$T6, Table2[[AwayTeam]:[AwayTeam]], W$1, Table2[[ActualResult]:[ActualResult]], "OT") + SUMIFS(Table2[[HomeWon_]:[HomeWon_]], Table2[[GameIsOver]:[GameIsOver]],1,Table2[[AwayTeam]:[AwayTeam]],$T6, Table2[[HomeTeam]:[HomeTeam]], W$1, Table2[[ActualResult]:[ActualResult]], "SO") + SUMIFS(Table2[[AwayWon]:[AwayWon]], Table2[[GameIsOver]:[GameIsOver]],1,Table2[[HomeTeam]:[HomeTeam]],$T6, Table2[[AwayTeam]:[AwayTeam]], W$1, Table2[[ActualResult]:[ActualResult]], "SO")))</f>
        <v>2</v>
      </c>
      <c r="X6">
        <f>(2*(SUMIFS(Table2[[AwayWon]:[AwayWon]], Table2[[GameIsOver]:[GameIsOver]],1,Table2[[AwayTeam]:[AwayTeam]],$T6, Table2[[HomeTeam]:[HomeTeam]], X$1) + SUMIFS(Table2[[HomeWon_]:[HomeWon_]], Table2[[GameIsOver]:[GameIsOver]],1,Table2[[HomeTeam]:[HomeTeam]],$T6, Table2[[AwayTeam]:[AwayTeam]], X$1))) + (0*(SUMIFS(Table2[[HomeWon_]:[HomeWon_]], Table2[[GameIsOver]:[GameIsOver]],1,Table2[[AwayTeam]:[AwayTeam]],$T6, Table2[[HomeTeam]:[HomeTeam]], X$1, Table2[[ActualResult]:[ActualResult]], "REG") + SUMIFS(Table2[[AwayWon]:[AwayWon]], Table2[[GameIsOver]:[GameIsOver]],1,Table2[[HomeTeam]:[HomeTeam]],$T6, Table2[[AwayTeam]:[AwayTeam]], X$1, Table2[[ActualResult]:[ActualResult]], "REG"))) + (1*(SUMIFS(Table2[[HomeWon_]:[HomeWon_]], Table2[[GameIsOver]:[GameIsOver]],1,Table2[[AwayTeam]:[AwayTeam]],$T6, Table2[[HomeTeam]:[HomeTeam]], X$1, Table2[[ActualResult]:[ActualResult]], "OT") + SUMIFS(Table2[[AwayWon]:[AwayWon]], Table2[[GameIsOver]:[GameIsOver]],1,Table2[[HomeTeam]:[HomeTeam]],$T6, Table2[[AwayTeam]:[AwayTeam]], X$1, Table2[[ActualResult]:[ActualResult]], "OT") + SUMIFS(Table2[[HomeWon_]:[HomeWon_]], Table2[[GameIsOver]:[GameIsOver]],1,Table2[[AwayTeam]:[AwayTeam]],$T6, Table2[[HomeTeam]:[HomeTeam]], X$1, Table2[[ActualResult]:[ActualResult]], "SO") + SUMIFS(Table2[[AwayWon]:[AwayWon]], Table2[[GameIsOver]:[GameIsOver]],1,Table2[[HomeTeam]:[HomeTeam]],$T6, Table2[[AwayTeam]:[AwayTeam]], X$1, Table2[[ActualResult]:[ActualResult]], "SO")))</f>
        <v>0</v>
      </c>
      <c r="Y6">
        <f>(2*(SUMIFS(Table2[[AwayWon]:[AwayWon]], Table2[[GameIsOver]:[GameIsOver]],1,Table2[[AwayTeam]:[AwayTeam]],$T6, Table2[[HomeTeam]:[HomeTeam]], Y$1) + SUMIFS(Table2[[HomeWon_]:[HomeWon_]], Table2[[GameIsOver]:[GameIsOver]],1,Table2[[HomeTeam]:[HomeTeam]],$T6, Table2[[AwayTeam]:[AwayTeam]], Y$1))) + (0*(SUMIFS(Table2[[HomeWon_]:[HomeWon_]], Table2[[GameIsOver]:[GameIsOver]],1,Table2[[AwayTeam]:[AwayTeam]],$T6, Table2[[HomeTeam]:[HomeTeam]], Y$1, Table2[[ActualResult]:[ActualResult]], "REG") + SUMIFS(Table2[[AwayWon]:[AwayWon]], Table2[[GameIsOver]:[GameIsOver]],1,Table2[[HomeTeam]:[HomeTeam]],$T6, Table2[[AwayTeam]:[AwayTeam]], Y$1, Table2[[ActualResult]:[ActualResult]], "REG"))) + (1*(SUMIFS(Table2[[HomeWon_]:[HomeWon_]], Table2[[GameIsOver]:[GameIsOver]],1,Table2[[AwayTeam]:[AwayTeam]],$T6, Table2[[HomeTeam]:[HomeTeam]], Y$1, Table2[[ActualResult]:[ActualResult]], "OT") + SUMIFS(Table2[[AwayWon]:[AwayWon]], Table2[[GameIsOver]:[GameIsOver]],1,Table2[[HomeTeam]:[HomeTeam]],$T6, Table2[[AwayTeam]:[AwayTeam]], Y$1, Table2[[ActualResult]:[ActualResult]], "OT") + SUMIFS(Table2[[HomeWon_]:[HomeWon_]], Table2[[GameIsOver]:[GameIsOver]],1,Table2[[AwayTeam]:[AwayTeam]],$T6, Table2[[HomeTeam]:[HomeTeam]], Y$1, Table2[[ActualResult]:[ActualResult]], "SO") + SUMIFS(Table2[[AwayWon]:[AwayWon]], Table2[[GameIsOver]:[GameIsOver]],1,Table2[[HomeTeam]:[HomeTeam]],$T6, Table2[[AwayTeam]:[AwayTeam]], Y$1, Table2[[ActualResult]:[ActualResult]], "SO")))</f>
        <v>0</v>
      </c>
      <c r="Z6">
        <f>(2*(SUMIFS(Table2[[AwayWon]:[AwayWon]], Table2[[GameIsOver]:[GameIsOver]],1,Table2[[AwayTeam]:[AwayTeam]],$T6, Table2[[HomeTeam]:[HomeTeam]], Z$1) + SUMIFS(Table2[[HomeWon_]:[HomeWon_]], Table2[[GameIsOver]:[GameIsOver]],1,Table2[[HomeTeam]:[HomeTeam]],$T6, Table2[[AwayTeam]:[AwayTeam]], Z$1))) + (0*(SUMIFS(Table2[[HomeWon_]:[HomeWon_]], Table2[[GameIsOver]:[GameIsOver]],1,Table2[[AwayTeam]:[AwayTeam]],$T6, Table2[[HomeTeam]:[HomeTeam]], Z$1, Table2[[ActualResult]:[ActualResult]], "REG") + SUMIFS(Table2[[AwayWon]:[AwayWon]], Table2[[GameIsOver]:[GameIsOver]],1,Table2[[HomeTeam]:[HomeTeam]],$T6, Table2[[AwayTeam]:[AwayTeam]], Z$1, Table2[[ActualResult]:[ActualResult]], "REG"))) + (1*(SUMIFS(Table2[[HomeWon_]:[HomeWon_]], Table2[[GameIsOver]:[GameIsOver]],1,Table2[[AwayTeam]:[AwayTeam]],$T6, Table2[[HomeTeam]:[HomeTeam]], Z$1, Table2[[ActualResult]:[ActualResult]], "OT") + SUMIFS(Table2[[AwayWon]:[AwayWon]], Table2[[GameIsOver]:[GameIsOver]],1,Table2[[HomeTeam]:[HomeTeam]],$T6, Table2[[AwayTeam]:[AwayTeam]], Z$1, Table2[[ActualResult]:[ActualResult]], "OT") + SUMIFS(Table2[[HomeWon_]:[HomeWon_]], Table2[[GameIsOver]:[GameIsOver]],1,Table2[[AwayTeam]:[AwayTeam]],$T6, Table2[[HomeTeam]:[HomeTeam]], Z$1, Table2[[ActualResult]:[ActualResult]], "SO") + SUMIFS(Table2[[AwayWon]:[AwayWon]], Table2[[GameIsOver]:[GameIsOver]],1,Table2[[HomeTeam]:[HomeTeam]],$T6, Table2[[AwayTeam]:[AwayTeam]], Z$1, Table2[[ActualResult]:[ActualResult]], "SO")))</f>
        <v>0</v>
      </c>
      <c r="AA6">
        <f>(2*(SUMIFS(Table2[[AwayWon]:[AwayWon]], Table2[[GameIsOver]:[GameIsOver]],1,Table2[[AwayTeam]:[AwayTeam]],$T6, Table2[[HomeTeam]:[HomeTeam]], AA$1) + SUMIFS(Table2[[HomeWon_]:[HomeWon_]], Table2[[GameIsOver]:[GameIsOver]],1,Table2[[HomeTeam]:[HomeTeam]],$T6, Table2[[AwayTeam]:[AwayTeam]], AA$1))) + (0*(SUMIFS(Table2[[HomeWon_]:[HomeWon_]], Table2[[GameIsOver]:[GameIsOver]],1,Table2[[AwayTeam]:[AwayTeam]],$T6, Table2[[HomeTeam]:[HomeTeam]], AA$1, Table2[[ActualResult]:[ActualResult]], "REG") + SUMIFS(Table2[[AwayWon]:[AwayWon]], Table2[[GameIsOver]:[GameIsOver]],1,Table2[[HomeTeam]:[HomeTeam]],$T6, Table2[[AwayTeam]:[AwayTeam]], AA$1, Table2[[ActualResult]:[ActualResult]], "REG"))) + (1*(SUMIFS(Table2[[HomeWon_]:[HomeWon_]], Table2[[GameIsOver]:[GameIsOver]],1,Table2[[AwayTeam]:[AwayTeam]],$T6, Table2[[HomeTeam]:[HomeTeam]], AA$1, Table2[[ActualResult]:[ActualResult]], "OT") + SUMIFS(Table2[[AwayWon]:[AwayWon]], Table2[[GameIsOver]:[GameIsOver]],1,Table2[[HomeTeam]:[HomeTeam]],$T6, Table2[[AwayTeam]:[AwayTeam]], AA$1, Table2[[ActualResult]:[ActualResult]], "OT") + SUMIFS(Table2[[HomeWon_]:[HomeWon_]], Table2[[GameIsOver]:[GameIsOver]],1,Table2[[AwayTeam]:[AwayTeam]],$T6, Table2[[HomeTeam]:[HomeTeam]], AA$1, Table2[[ActualResult]:[ActualResult]], "SO") + SUMIFS(Table2[[AwayWon]:[AwayWon]], Table2[[GameIsOver]:[GameIsOver]],1,Table2[[HomeTeam]:[HomeTeam]],$T6, Table2[[AwayTeam]:[AwayTeam]], AA$1, Table2[[ActualResult]:[ActualResult]], "SO")))</f>
        <v>0</v>
      </c>
      <c r="AB6">
        <f>(2*(SUMIFS(Table2[[AwayWon]:[AwayWon]], Table2[[GameIsOver]:[GameIsOver]],1,Table2[[AwayTeam]:[AwayTeam]],$T6, Table2[[HomeTeam]:[HomeTeam]], AB$1) + SUMIFS(Table2[[HomeWon_]:[HomeWon_]], Table2[[GameIsOver]:[GameIsOver]],1,Table2[[HomeTeam]:[HomeTeam]],$T6, Table2[[AwayTeam]:[AwayTeam]], AB$1))) + (0*(SUMIFS(Table2[[HomeWon_]:[HomeWon_]], Table2[[GameIsOver]:[GameIsOver]],1,Table2[[AwayTeam]:[AwayTeam]],$T6, Table2[[HomeTeam]:[HomeTeam]], AB$1, Table2[[ActualResult]:[ActualResult]], "REG") + SUMIFS(Table2[[AwayWon]:[AwayWon]], Table2[[GameIsOver]:[GameIsOver]],1,Table2[[HomeTeam]:[HomeTeam]],$T6, Table2[[AwayTeam]:[AwayTeam]], AB$1, Table2[[ActualResult]:[ActualResult]], "REG"))) + (1*(SUMIFS(Table2[[HomeWon_]:[HomeWon_]], Table2[[GameIsOver]:[GameIsOver]],1,Table2[[AwayTeam]:[AwayTeam]],$T6, Table2[[HomeTeam]:[HomeTeam]], AB$1, Table2[[ActualResult]:[ActualResult]], "OT") + SUMIFS(Table2[[AwayWon]:[AwayWon]], Table2[[GameIsOver]:[GameIsOver]],1,Table2[[HomeTeam]:[HomeTeam]],$T6, Table2[[AwayTeam]:[AwayTeam]], AB$1, Table2[[ActualResult]:[ActualResult]], "OT") + SUMIFS(Table2[[HomeWon_]:[HomeWon_]], Table2[[GameIsOver]:[GameIsOver]],1,Table2[[AwayTeam]:[AwayTeam]],$T6, Table2[[HomeTeam]:[HomeTeam]], AB$1, Table2[[ActualResult]:[ActualResult]], "SO") + SUMIFS(Table2[[AwayWon]:[AwayWon]], Table2[[GameIsOver]:[GameIsOver]],1,Table2[[HomeTeam]:[HomeTeam]],$T6, Table2[[AwayTeam]:[AwayTeam]], AB$1, Table2[[ActualResult]:[ActualResult]], "SO")))</f>
        <v>0</v>
      </c>
      <c r="AC6">
        <f>(2*(SUMIFS(Table2[[AwayWon]:[AwayWon]], Table2[[GameIsOver]:[GameIsOver]],1,Table2[[AwayTeam]:[AwayTeam]],$T6, Table2[[HomeTeam]:[HomeTeam]], AC$1) + SUMIFS(Table2[[HomeWon_]:[HomeWon_]], Table2[[GameIsOver]:[GameIsOver]],1,Table2[[HomeTeam]:[HomeTeam]],$T6, Table2[[AwayTeam]:[AwayTeam]], AC$1))) + (0*(SUMIFS(Table2[[HomeWon_]:[HomeWon_]], Table2[[GameIsOver]:[GameIsOver]],1,Table2[[AwayTeam]:[AwayTeam]],$T6, Table2[[HomeTeam]:[HomeTeam]], AC$1, Table2[[ActualResult]:[ActualResult]], "REG") + SUMIFS(Table2[[AwayWon]:[AwayWon]], Table2[[GameIsOver]:[GameIsOver]],1,Table2[[HomeTeam]:[HomeTeam]],$T6, Table2[[AwayTeam]:[AwayTeam]], AC$1, Table2[[ActualResult]:[ActualResult]], "REG"))) + (1*(SUMIFS(Table2[[HomeWon_]:[HomeWon_]], Table2[[GameIsOver]:[GameIsOver]],1,Table2[[AwayTeam]:[AwayTeam]],$T6, Table2[[HomeTeam]:[HomeTeam]], AC$1, Table2[[ActualResult]:[ActualResult]], "OT") + SUMIFS(Table2[[AwayWon]:[AwayWon]], Table2[[GameIsOver]:[GameIsOver]],1,Table2[[HomeTeam]:[HomeTeam]],$T6, Table2[[AwayTeam]:[AwayTeam]], AC$1, Table2[[ActualResult]:[ActualResult]], "OT") + SUMIFS(Table2[[HomeWon_]:[HomeWon_]], Table2[[GameIsOver]:[GameIsOver]],1,Table2[[AwayTeam]:[AwayTeam]],$T6, Table2[[HomeTeam]:[HomeTeam]], AC$1, Table2[[ActualResult]:[ActualResult]], "SO") + SUMIFS(Table2[[AwayWon]:[AwayWon]], Table2[[GameIsOver]:[GameIsOver]],1,Table2[[HomeTeam]:[HomeTeam]],$T6, Table2[[AwayTeam]:[AwayTeam]], AC$1, Table2[[ActualResult]:[ActualResult]], "SO")))</f>
        <v>0</v>
      </c>
      <c r="AD6">
        <f>(2*(SUMIFS(Table2[[AwayWon]:[AwayWon]], Table2[[GameIsOver]:[GameIsOver]],1,Table2[[AwayTeam]:[AwayTeam]],$T6, Table2[[HomeTeam]:[HomeTeam]], AD$1) + SUMIFS(Table2[[HomeWon_]:[HomeWon_]], Table2[[GameIsOver]:[GameIsOver]],1,Table2[[HomeTeam]:[HomeTeam]],$T6, Table2[[AwayTeam]:[AwayTeam]], AD$1))) + (0*(SUMIFS(Table2[[HomeWon_]:[HomeWon_]], Table2[[GameIsOver]:[GameIsOver]],1,Table2[[AwayTeam]:[AwayTeam]],$T6, Table2[[HomeTeam]:[HomeTeam]], AD$1, Table2[[ActualResult]:[ActualResult]], "REG") + SUMIFS(Table2[[AwayWon]:[AwayWon]], Table2[[GameIsOver]:[GameIsOver]],1,Table2[[HomeTeam]:[HomeTeam]],$T6, Table2[[AwayTeam]:[AwayTeam]], AD$1, Table2[[ActualResult]:[ActualResult]], "REG"))) + (1*(SUMIFS(Table2[[HomeWon_]:[HomeWon_]], Table2[[GameIsOver]:[GameIsOver]],1,Table2[[AwayTeam]:[AwayTeam]],$T6, Table2[[HomeTeam]:[HomeTeam]], AD$1, Table2[[ActualResult]:[ActualResult]], "OT") + SUMIFS(Table2[[AwayWon]:[AwayWon]], Table2[[GameIsOver]:[GameIsOver]],1,Table2[[HomeTeam]:[HomeTeam]],$T6, Table2[[AwayTeam]:[AwayTeam]], AD$1, Table2[[ActualResult]:[ActualResult]], "OT") + SUMIFS(Table2[[HomeWon_]:[HomeWon_]], Table2[[GameIsOver]:[GameIsOver]],1,Table2[[AwayTeam]:[AwayTeam]],$T6, Table2[[HomeTeam]:[HomeTeam]], AD$1, Table2[[ActualResult]:[ActualResult]], "SO") + SUMIFS(Table2[[AwayWon]:[AwayWon]], Table2[[GameIsOver]:[GameIsOver]],1,Table2[[HomeTeam]:[HomeTeam]],$T6, Table2[[AwayTeam]:[AwayTeam]], AD$1, Table2[[ActualResult]:[ActualResult]], "SO")))</f>
        <v>2</v>
      </c>
      <c r="AE6">
        <f>(2*(SUMIFS(Table2[[AwayWon]:[AwayWon]], Table2[[GameIsOver]:[GameIsOver]],1,Table2[[AwayTeam]:[AwayTeam]],$T6, Table2[[HomeTeam]:[HomeTeam]], AE$1) + SUMIFS(Table2[[HomeWon_]:[HomeWon_]], Table2[[GameIsOver]:[GameIsOver]],1,Table2[[HomeTeam]:[HomeTeam]],$T6, Table2[[AwayTeam]:[AwayTeam]], AE$1))) + (0*(SUMIFS(Table2[[HomeWon_]:[HomeWon_]], Table2[[GameIsOver]:[GameIsOver]],1,Table2[[AwayTeam]:[AwayTeam]],$T6, Table2[[HomeTeam]:[HomeTeam]], AE$1, Table2[[ActualResult]:[ActualResult]], "REG") + SUMIFS(Table2[[AwayWon]:[AwayWon]], Table2[[GameIsOver]:[GameIsOver]],1,Table2[[HomeTeam]:[HomeTeam]],$T6, Table2[[AwayTeam]:[AwayTeam]], AE$1, Table2[[ActualResult]:[ActualResult]], "REG"))) + (1*(SUMIFS(Table2[[HomeWon_]:[HomeWon_]], Table2[[GameIsOver]:[GameIsOver]],1,Table2[[AwayTeam]:[AwayTeam]],$T6, Table2[[HomeTeam]:[HomeTeam]], AE$1, Table2[[ActualResult]:[ActualResult]], "OT") + SUMIFS(Table2[[AwayWon]:[AwayWon]], Table2[[GameIsOver]:[GameIsOver]],1,Table2[[HomeTeam]:[HomeTeam]],$T6, Table2[[AwayTeam]:[AwayTeam]], AE$1, Table2[[ActualResult]:[ActualResult]], "OT") + SUMIFS(Table2[[HomeWon_]:[HomeWon_]], Table2[[GameIsOver]:[GameIsOver]],1,Table2[[AwayTeam]:[AwayTeam]],$T6, Table2[[HomeTeam]:[HomeTeam]], AE$1, Table2[[ActualResult]:[ActualResult]], "SO") + SUMIFS(Table2[[AwayWon]:[AwayWon]], Table2[[GameIsOver]:[GameIsOver]],1,Table2[[HomeTeam]:[HomeTeam]],$T6, Table2[[AwayTeam]:[AwayTeam]], AE$1, Table2[[ActualResult]:[ActualResult]], "SO")))</f>
        <v>0</v>
      </c>
      <c r="AF6">
        <f>(2*(SUMIFS(Table2[[AwayWon]:[AwayWon]], Table2[[GameIsOver]:[GameIsOver]],1,Table2[[AwayTeam]:[AwayTeam]],$T6, Table2[[HomeTeam]:[HomeTeam]], AF$1) + SUMIFS(Table2[[HomeWon_]:[HomeWon_]], Table2[[GameIsOver]:[GameIsOver]],1,Table2[[HomeTeam]:[HomeTeam]],$T6, Table2[[AwayTeam]:[AwayTeam]], AF$1))) + (0*(SUMIFS(Table2[[HomeWon_]:[HomeWon_]], Table2[[GameIsOver]:[GameIsOver]],1,Table2[[AwayTeam]:[AwayTeam]],$T6, Table2[[HomeTeam]:[HomeTeam]], AF$1, Table2[[ActualResult]:[ActualResult]], "REG") + SUMIFS(Table2[[AwayWon]:[AwayWon]], Table2[[GameIsOver]:[GameIsOver]],1,Table2[[HomeTeam]:[HomeTeam]],$T6, Table2[[AwayTeam]:[AwayTeam]], AF$1, Table2[[ActualResult]:[ActualResult]], "REG"))) + (1*(SUMIFS(Table2[[HomeWon_]:[HomeWon_]], Table2[[GameIsOver]:[GameIsOver]],1,Table2[[AwayTeam]:[AwayTeam]],$T6, Table2[[HomeTeam]:[HomeTeam]], AF$1, Table2[[ActualResult]:[ActualResult]], "OT") + SUMIFS(Table2[[AwayWon]:[AwayWon]], Table2[[GameIsOver]:[GameIsOver]],1,Table2[[HomeTeam]:[HomeTeam]],$T6, Table2[[AwayTeam]:[AwayTeam]], AF$1, Table2[[ActualResult]:[ActualResult]], "OT") + SUMIFS(Table2[[HomeWon_]:[HomeWon_]], Table2[[GameIsOver]:[GameIsOver]],1,Table2[[AwayTeam]:[AwayTeam]],$T6, Table2[[HomeTeam]:[HomeTeam]], AF$1, Table2[[ActualResult]:[ActualResult]], "SO") + SUMIFS(Table2[[AwayWon]:[AwayWon]], Table2[[GameIsOver]:[GameIsOver]],1,Table2[[HomeTeam]:[HomeTeam]],$T6, Table2[[AwayTeam]:[AwayTeam]], AF$1, Table2[[ActualResult]:[ActualResult]], "SO")))</f>
        <v>2</v>
      </c>
      <c r="AG6">
        <f>(2*(SUMIFS(Table2[[AwayWon]:[AwayWon]], Table2[[GameIsOver]:[GameIsOver]],1,Table2[[AwayTeam]:[AwayTeam]],$T6, Table2[[HomeTeam]:[HomeTeam]], AG$1) + SUMIFS(Table2[[HomeWon_]:[HomeWon_]], Table2[[GameIsOver]:[GameIsOver]],1,Table2[[HomeTeam]:[HomeTeam]],$T6, Table2[[AwayTeam]:[AwayTeam]], AG$1))) + (0*(SUMIFS(Table2[[HomeWon_]:[HomeWon_]], Table2[[GameIsOver]:[GameIsOver]],1,Table2[[AwayTeam]:[AwayTeam]],$T6, Table2[[HomeTeam]:[HomeTeam]], AG$1, Table2[[ActualResult]:[ActualResult]], "REG") + SUMIFS(Table2[[AwayWon]:[AwayWon]], Table2[[GameIsOver]:[GameIsOver]],1,Table2[[HomeTeam]:[HomeTeam]],$T6, Table2[[AwayTeam]:[AwayTeam]], AG$1, Table2[[ActualResult]:[ActualResult]], "REG"))) + (1*(SUMIFS(Table2[[HomeWon_]:[HomeWon_]], Table2[[GameIsOver]:[GameIsOver]],1,Table2[[AwayTeam]:[AwayTeam]],$T6, Table2[[HomeTeam]:[HomeTeam]], AG$1, Table2[[ActualResult]:[ActualResult]], "OT") + SUMIFS(Table2[[AwayWon]:[AwayWon]], Table2[[GameIsOver]:[GameIsOver]],1,Table2[[HomeTeam]:[HomeTeam]],$T6, Table2[[AwayTeam]:[AwayTeam]], AG$1, Table2[[ActualResult]:[ActualResult]], "OT") + SUMIFS(Table2[[HomeWon_]:[HomeWon_]], Table2[[GameIsOver]:[GameIsOver]],1,Table2[[AwayTeam]:[AwayTeam]],$T6, Table2[[HomeTeam]:[HomeTeam]], AG$1, Table2[[ActualResult]:[ActualResult]], "SO") + SUMIFS(Table2[[AwayWon]:[AwayWon]], Table2[[GameIsOver]:[GameIsOver]],1,Table2[[HomeTeam]:[HomeTeam]],$T6, Table2[[AwayTeam]:[AwayTeam]], AG$1, Table2[[ActualResult]:[ActualResult]], "SO")))</f>
        <v>0</v>
      </c>
      <c r="AH6">
        <f>(2*(SUMIFS(Table2[[AwayWon]:[AwayWon]], Table2[[GameIsOver]:[GameIsOver]],1,Table2[[AwayTeam]:[AwayTeam]],$T6, Table2[[HomeTeam]:[HomeTeam]], AH$1) + SUMIFS(Table2[[HomeWon_]:[HomeWon_]], Table2[[GameIsOver]:[GameIsOver]],1,Table2[[HomeTeam]:[HomeTeam]],$T6, Table2[[AwayTeam]:[AwayTeam]], AH$1))) + (0*(SUMIFS(Table2[[HomeWon_]:[HomeWon_]], Table2[[GameIsOver]:[GameIsOver]],1,Table2[[AwayTeam]:[AwayTeam]],$T6, Table2[[HomeTeam]:[HomeTeam]], AH$1, Table2[[ActualResult]:[ActualResult]], "REG") + SUMIFS(Table2[[AwayWon]:[AwayWon]], Table2[[GameIsOver]:[GameIsOver]],1,Table2[[HomeTeam]:[HomeTeam]],$T6, Table2[[AwayTeam]:[AwayTeam]], AH$1, Table2[[ActualResult]:[ActualResult]], "REG"))) + (1*(SUMIFS(Table2[[HomeWon_]:[HomeWon_]], Table2[[GameIsOver]:[GameIsOver]],1,Table2[[AwayTeam]:[AwayTeam]],$T6, Table2[[HomeTeam]:[HomeTeam]], AH$1, Table2[[ActualResult]:[ActualResult]], "OT") + SUMIFS(Table2[[AwayWon]:[AwayWon]], Table2[[GameIsOver]:[GameIsOver]],1,Table2[[HomeTeam]:[HomeTeam]],$T6, Table2[[AwayTeam]:[AwayTeam]], AH$1, Table2[[ActualResult]:[ActualResult]], "OT") + SUMIFS(Table2[[HomeWon_]:[HomeWon_]], Table2[[GameIsOver]:[GameIsOver]],1,Table2[[AwayTeam]:[AwayTeam]],$T6, Table2[[HomeTeam]:[HomeTeam]], AH$1, Table2[[ActualResult]:[ActualResult]], "SO") + SUMIFS(Table2[[AwayWon]:[AwayWon]], Table2[[GameIsOver]:[GameIsOver]],1,Table2[[HomeTeam]:[HomeTeam]],$T6, Table2[[AwayTeam]:[AwayTeam]], AH$1, Table2[[ActualResult]:[ActualResult]], "SO")))</f>
        <v>0</v>
      </c>
      <c r="AI6">
        <f>(2*(SUMIFS(Table2[[AwayWon]:[AwayWon]], Table2[[GameIsOver]:[GameIsOver]],1,Table2[[AwayTeam]:[AwayTeam]],$T6, Table2[[HomeTeam]:[HomeTeam]], AI$1) + SUMIFS(Table2[[HomeWon_]:[HomeWon_]], Table2[[GameIsOver]:[GameIsOver]],1,Table2[[HomeTeam]:[HomeTeam]],$T6, Table2[[AwayTeam]:[AwayTeam]], AI$1))) + (0*(SUMIFS(Table2[[HomeWon_]:[HomeWon_]], Table2[[GameIsOver]:[GameIsOver]],1,Table2[[AwayTeam]:[AwayTeam]],$T6, Table2[[HomeTeam]:[HomeTeam]], AI$1, Table2[[ActualResult]:[ActualResult]], "REG") + SUMIFS(Table2[[AwayWon]:[AwayWon]], Table2[[GameIsOver]:[GameIsOver]],1,Table2[[HomeTeam]:[HomeTeam]],$T6, Table2[[AwayTeam]:[AwayTeam]], AI$1, Table2[[ActualResult]:[ActualResult]], "REG"))) + (1*(SUMIFS(Table2[[HomeWon_]:[HomeWon_]], Table2[[GameIsOver]:[GameIsOver]],1,Table2[[AwayTeam]:[AwayTeam]],$T6, Table2[[HomeTeam]:[HomeTeam]], AI$1, Table2[[ActualResult]:[ActualResult]], "OT") + SUMIFS(Table2[[AwayWon]:[AwayWon]], Table2[[GameIsOver]:[GameIsOver]],1,Table2[[HomeTeam]:[HomeTeam]],$T6, Table2[[AwayTeam]:[AwayTeam]], AI$1, Table2[[ActualResult]:[ActualResult]], "OT") + SUMIFS(Table2[[HomeWon_]:[HomeWon_]], Table2[[GameIsOver]:[GameIsOver]],1,Table2[[AwayTeam]:[AwayTeam]],$T6, Table2[[HomeTeam]:[HomeTeam]], AI$1, Table2[[ActualResult]:[ActualResult]], "SO") + SUMIFS(Table2[[AwayWon]:[AwayWon]], Table2[[GameIsOver]:[GameIsOver]],1,Table2[[HomeTeam]:[HomeTeam]],$T6, Table2[[AwayTeam]:[AwayTeam]], AI$1, Table2[[ActualResult]:[ActualResult]], "SO")))</f>
        <v>0</v>
      </c>
      <c r="AJ6">
        <f>(2*(SUMIFS(Table2[[AwayWon]:[AwayWon]], Table2[[GameIsOver]:[GameIsOver]],1,Table2[[AwayTeam]:[AwayTeam]],$T6, Table2[[HomeTeam]:[HomeTeam]], AJ$1) + SUMIFS(Table2[[HomeWon_]:[HomeWon_]], Table2[[GameIsOver]:[GameIsOver]],1,Table2[[HomeTeam]:[HomeTeam]],$T6, Table2[[AwayTeam]:[AwayTeam]], AJ$1))) + (0*(SUMIFS(Table2[[HomeWon_]:[HomeWon_]], Table2[[GameIsOver]:[GameIsOver]],1,Table2[[AwayTeam]:[AwayTeam]],$T6, Table2[[HomeTeam]:[HomeTeam]], AJ$1, Table2[[ActualResult]:[ActualResult]], "REG") + SUMIFS(Table2[[AwayWon]:[AwayWon]], Table2[[GameIsOver]:[GameIsOver]],1,Table2[[HomeTeam]:[HomeTeam]],$T6, Table2[[AwayTeam]:[AwayTeam]], AJ$1, Table2[[ActualResult]:[ActualResult]], "REG"))) + (1*(SUMIFS(Table2[[HomeWon_]:[HomeWon_]], Table2[[GameIsOver]:[GameIsOver]],1,Table2[[AwayTeam]:[AwayTeam]],$T6, Table2[[HomeTeam]:[HomeTeam]], AJ$1, Table2[[ActualResult]:[ActualResult]], "OT") + SUMIFS(Table2[[AwayWon]:[AwayWon]], Table2[[GameIsOver]:[GameIsOver]],1,Table2[[HomeTeam]:[HomeTeam]],$T6, Table2[[AwayTeam]:[AwayTeam]], AJ$1, Table2[[ActualResult]:[ActualResult]], "OT") + SUMIFS(Table2[[HomeWon_]:[HomeWon_]], Table2[[GameIsOver]:[GameIsOver]],1,Table2[[AwayTeam]:[AwayTeam]],$T6, Table2[[HomeTeam]:[HomeTeam]], AJ$1, Table2[[ActualResult]:[ActualResult]], "SO") + SUMIFS(Table2[[AwayWon]:[AwayWon]], Table2[[GameIsOver]:[GameIsOver]],1,Table2[[HomeTeam]:[HomeTeam]],$T6, Table2[[AwayTeam]:[AwayTeam]], AJ$1, Table2[[ActualResult]:[ActualResult]], "SO")))</f>
        <v>0</v>
      </c>
      <c r="AK6">
        <f>(2*(SUMIFS(Table2[[AwayWon]:[AwayWon]], Table2[[GameIsOver]:[GameIsOver]],1,Table2[[AwayTeam]:[AwayTeam]],$T6, Table2[[HomeTeam]:[HomeTeam]], AK$1) + SUMIFS(Table2[[HomeWon_]:[HomeWon_]], Table2[[GameIsOver]:[GameIsOver]],1,Table2[[HomeTeam]:[HomeTeam]],$T6, Table2[[AwayTeam]:[AwayTeam]], AK$1))) + (0*(SUMIFS(Table2[[HomeWon_]:[HomeWon_]], Table2[[GameIsOver]:[GameIsOver]],1,Table2[[AwayTeam]:[AwayTeam]],$T6, Table2[[HomeTeam]:[HomeTeam]], AK$1, Table2[[ActualResult]:[ActualResult]], "REG") + SUMIFS(Table2[[AwayWon]:[AwayWon]], Table2[[GameIsOver]:[GameIsOver]],1,Table2[[HomeTeam]:[HomeTeam]],$T6, Table2[[AwayTeam]:[AwayTeam]], AK$1, Table2[[ActualResult]:[ActualResult]], "REG"))) + (1*(SUMIFS(Table2[[HomeWon_]:[HomeWon_]], Table2[[GameIsOver]:[GameIsOver]],1,Table2[[AwayTeam]:[AwayTeam]],$T6, Table2[[HomeTeam]:[HomeTeam]], AK$1, Table2[[ActualResult]:[ActualResult]], "OT") + SUMIFS(Table2[[AwayWon]:[AwayWon]], Table2[[GameIsOver]:[GameIsOver]],1,Table2[[HomeTeam]:[HomeTeam]],$T6, Table2[[AwayTeam]:[AwayTeam]], AK$1, Table2[[ActualResult]:[ActualResult]], "OT") + SUMIFS(Table2[[HomeWon_]:[HomeWon_]], Table2[[GameIsOver]:[GameIsOver]],1,Table2[[AwayTeam]:[AwayTeam]],$T6, Table2[[HomeTeam]:[HomeTeam]], AK$1, Table2[[ActualResult]:[ActualResult]], "SO") + SUMIFS(Table2[[AwayWon]:[AwayWon]], Table2[[GameIsOver]:[GameIsOver]],1,Table2[[HomeTeam]:[HomeTeam]],$T6, Table2[[AwayTeam]:[AwayTeam]], AK$1, Table2[[ActualResult]:[ActualResult]], "SO")))</f>
        <v>0</v>
      </c>
      <c r="AL6">
        <f>(2*(SUMIFS(Table2[[AwayWon]:[AwayWon]], Table2[[GameIsOver]:[GameIsOver]],1,Table2[[AwayTeam]:[AwayTeam]],$T6, Table2[[HomeTeam]:[HomeTeam]], AL$1) + SUMIFS(Table2[[HomeWon_]:[HomeWon_]], Table2[[GameIsOver]:[GameIsOver]],1,Table2[[HomeTeam]:[HomeTeam]],$T6, Table2[[AwayTeam]:[AwayTeam]], AL$1))) + (0*(SUMIFS(Table2[[HomeWon_]:[HomeWon_]], Table2[[GameIsOver]:[GameIsOver]],1,Table2[[AwayTeam]:[AwayTeam]],$T6, Table2[[HomeTeam]:[HomeTeam]], AL$1, Table2[[ActualResult]:[ActualResult]], "REG") + SUMIFS(Table2[[AwayWon]:[AwayWon]], Table2[[GameIsOver]:[GameIsOver]],1,Table2[[HomeTeam]:[HomeTeam]],$T6, Table2[[AwayTeam]:[AwayTeam]], AL$1, Table2[[ActualResult]:[ActualResult]], "REG"))) + (1*(SUMIFS(Table2[[HomeWon_]:[HomeWon_]], Table2[[GameIsOver]:[GameIsOver]],1,Table2[[AwayTeam]:[AwayTeam]],$T6, Table2[[HomeTeam]:[HomeTeam]], AL$1, Table2[[ActualResult]:[ActualResult]], "OT") + SUMIFS(Table2[[AwayWon]:[AwayWon]], Table2[[GameIsOver]:[GameIsOver]],1,Table2[[HomeTeam]:[HomeTeam]],$T6, Table2[[AwayTeam]:[AwayTeam]], AL$1, Table2[[ActualResult]:[ActualResult]], "OT") + SUMIFS(Table2[[HomeWon_]:[HomeWon_]], Table2[[GameIsOver]:[GameIsOver]],1,Table2[[AwayTeam]:[AwayTeam]],$T6, Table2[[HomeTeam]:[HomeTeam]], AL$1, Table2[[ActualResult]:[ActualResult]], "SO") + SUMIFS(Table2[[AwayWon]:[AwayWon]], Table2[[GameIsOver]:[GameIsOver]],1,Table2[[HomeTeam]:[HomeTeam]],$T6, Table2[[AwayTeam]:[AwayTeam]], AL$1, Table2[[ActualResult]:[ActualResult]], "SO")))</f>
        <v>0</v>
      </c>
      <c r="AM6">
        <f>(2*(SUMIFS(Table2[[AwayWon]:[AwayWon]], Table2[[GameIsOver]:[GameIsOver]],1,Table2[[AwayTeam]:[AwayTeam]],$T6, Table2[[HomeTeam]:[HomeTeam]], AM$1) + SUMIFS(Table2[[HomeWon_]:[HomeWon_]], Table2[[GameIsOver]:[GameIsOver]],1,Table2[[HomeTeam]:[HomeTeam]],$T6, Table2[[AwayTeam]:[AwayTeam]], AM$1))) + (0*(SUMIFS(Table2[[HomeWon_]:[HomeWon_]], Table2[[GameIsOver]:[GameIsOver]],1,Table2[[AwayTeam]:[AwayTeam]],$T6, Table2[[HomeTeam]:[HomeTeam]], AM$1, Table2[[ActualResult]:[ActualResult]], "REG") + SUMIFS(Table2[[AwayWon]:[AwayWon]], Table2[[GameIsOver]:[GameIsOver]],1,Table2[[HomeTeam]:[HomeTeam]],$T6, Table2[[AwayTeam]:[AwayTeam]], AM$1, Table2[[ActualResult]:[ActualResult]], "REG"))) + (1*(SUMIFS(Table2[[HomeWon_]:[HomeWon_]], Table2[[GameIsOver]:[GameIsOver]],1,Table2[[AwayTeam]:[AwayTeam]],$T6, Table2[[HomeTeam]:[HomeTeam]], AM$1, Table2[[ActualResult]:[ActualResult]], "OT") + SUMIFS(Table2[[AwayWon]:[AwayWon]], Table2[[GameIsOver]:[GameIsOver]],1,Table2[[HomeTeam]:[HomeTeam]],$T6, Table2[[AwayTeam]:[AwayTeam]], AM$1, Table2[[ActualResult]:[ActualResult]], "OT") + SUMIFS(Table2[[HomeWon_]:[HomeWon_]], Table2[[GameIsOver]:[GameIsOver]],1,Table2[[AwayTeam]:[AwayTeam]],$T6, Table2[[HomeTeam]:[HomeTeam]], AM$1, Table2[[ActualResult]:[ActualResult]], "SO") + SUMIFS(Table2[[AwayWon]:[AwayWon]], Table2[[GameIsOver]:[GameIsOver]],1,Table2[[HomeTeam]:[HomeTeam]],$T6, Table2[[AwayTeam]:[AwayTeam]], AM$1, Table2[[ActualResult]:[ActualResult]], "SO")))</f>
        <v>0</v>
      </c>
      <c r="AN6">
        <f>(2*(SUMIFS(Table2[[AwayWon]:[AwayWon]], Table2[[GameIsOver]:[GameIsOver]],1,Table2[[AwayTeam]:[AwayTeam]],$T6, Table2[[HomeTeam]:[HomeTeam]], AN$1) + SUMIFS(Table2[[HomeWon_]:[HomeWon_]], Table2[[GameIsOver]:[GameIsOver]],1,Table2[[HomeTeam]:[HomeTeam]],$T6, Table2[[AwayTeam]:[AwayTeam]], AN$1))) + (0*(SUMIFS(Table2[[HomeWon_]:[HomeWon_]], Table2[[GameIsOver]:[GameIsOver]],1,Table2[[AwayTeam]:[AwayTeam]],$T6, Table2[[HomeTeam]:[HomeTeam]], AN$1, Table2[[ActualResult]:[ActualResult]], "REG") + SUMIFS(Table2[[AwayWon]:[AwayWon]], Table2[[GameIsOver]:[GameIsOver]],1,Table2[[HomeTeam]:[HomeTeam]],$T6, Table2[[AwayTeam]:[AwayTeam]], AN$1, Table2[[ActualResult]:[ActualResult]], "REG"))) + (1*(SUMIFS(Table2[[HomeWon_]:[HomeWon_]], Table2[[GameIsOver]:[GameIsOver]],1,Table2[[AwayTeam]:[AwayTeam]],$T6, Table2[[HomeTeam]:[HomeTeam]], AN$1, Table2[[ActualResult]:[ActualResult]], "OT") + SUMIFS(Table2[[AwayWon]:[AwayWon]], Table2[[GameIsOver]:[GameIsOver]],1,Table2[[HomeTeam]:[HomeTeam]],$T6, Table2[[AwayTeam]:[AwayTeam]], AN$1, Table2[[ActualResult]:[ActualResult]], "OT") + SUMIFS(Table2[[HomeWon_]:[HomeWon_]], Table2[[GameIsOver]:[GameIsOver]],1,Table2[[AwayTeam]:[AwayTeam]],$T6, Table2[[HomeTeam]:[HomeTeam]], AN$1, Table2[[ActualResult]:[ActualResult]], "SO") + SUMIFS(Table2[[AwayWon]:[AwayWon]], Table2[[GameIsOver]:[GameIsOver]],1,Table2[[HomeTeam]:[HomeTeam]],$T6, Table2[[AwayTeam]:[AwayTeam]], AN$1, Table2[[ActualResult]:[ActualResult]], "SO")))</f>
        <v>0</v>
      </c>
      <c r="AO6">
        <f>(2*(SUMIFS(Table2[[AwayWon]:[AwayWon]], Table2[[GameIsOver]:[GameIsOver]],1,Table2[[AwayTeam]:[AwayTeam]],$T6, Table2[[HomeTeam]:[HomeTeam]], AO$1) + SUMIFS(Table2[[HomeWon_]:[HomeWon_]], Table2[[GameIsOver]:[GameIsOver]],1,Table2[[HomeTeam]:[HomeTeam]],$T6, Table2[[AwayTeam]:[AwayTeam]], AO$1))) + (0*(SUMIFS(Table2[[HomeWon_]:[HomeWon_]], Table2[[GameIsOver]:[GameIsOver]],1,Table2[[AwayTeam]:[AwayTeam]],$T6, Table2[[HomeTeam]:[HomeTeam]], AO$1, Table2[[ActualResult]:[ActualResult]], "REG") + SUMIFS(Table2[[AwayWon]:[AwayWon]], Table2[[GameIsOver]:[GameIsOver]],1,Table2[[HomeTeam]:[HomeTeam]],$T6, Table2[[AwayTeam]:[AwayTeam]], AO$1, Table2[[ActualResult]:[ActualResult]], "REG"))) + (1*(SUMIFS(Table2[[HomeWon_]:[HomeWon_]], Table2[[GameIsOver]:[GameIsOver]],1,Table2[[AwayTeam]:[AwayTeam]],$T6, Table2[[HomeTeam]:[HomeTeam]], AO$1, Table2[[ActualResult]:[ActualResult]], "OT") + SUMIFS(Table2[[AwayWon]:[AwayWon]], Table2[[GameIsOver]:[GameIsOver]],1,Table2[[HomeTeam]:[HomeTeam]],$T6, Table2[[AwayTeam]:[AwayTeam]], AO$1, Table2[[ActualResult]:[ActualResult]], "OT") + SUMIFS(Table2[[HomeWon_]:[HomeWon_]], Table2[[GameIsOver]:[GameIsOver]],1,Table2[[AwayTeam]:[AwayTeam]],$T6, Table2[[HomeTeam]:[HomeTeam]], AO$1, Table2[[ActualResult]:[ActualResult]], "SO") + SUMIFS(Table2[[AwayWon]:[AwayWon]], Table2[[GameIsOver]:[GameIsOver]],1,Table2[[HomeTeam]:[HomeTeam]],$T6, Table2[[AwayTeam]:[AwayTeam]], AO$1, Table2[[ActualResult]:[ActualResult]], "SO")))</f>
        <v>0</v>
      </c>
      <c r="AP6">
        <f>(2*(SUMIFS(Table2[[AwayWon]:[AwayWon]], Table2[[GameIsOver]:[GameIsOver]],1,Table2[[AwayTeam]:[AwayTeam]],$T6, Table2[[HomeTeam]:[HomeTeam]], AP$1) + SUMIFS(Table2[[HomeWon_]:[HomeWon_]], Table2[[GameIsOver]:[GameIsOver]],1,Table2[[HomeTeam]:[HomeTeam]],$T6, Table2[[AwayTeam]:[AwayTeam]], AP$1))) + (0*(SUMIFS(Table2[[HomeWon_]:[HomeWon_]], Table2[[GameIsOver]:[GameIsOver]],1,Table2[[AwayTeam]:[AwayTeam]],$T6, Table2[[HomeTeam]:[HomeTeam]], AP$1, Table2[[ActualResult]:[ActualResult]], "REG") + SUMIFS(Table2[[AwayWon]:[AwayWon]], Table2[[GameIsOver]:[GameIsOver]],1,Table2[[HomeTeam]:[HomeTeam]],$T6, Table2[[AwayTeam]:[AwayTeam]], AP$1, Table2[[ActualResult]:[ActualResult]], "REG"))) + (1*(SUMIFS(Table2[[HomeWon_]:[HomeWon_]], Table2[[GameIsOver]:[GameIsOver]],1,Table2[[AwayTeam]:[AwayTeam]],$T6, Table2[[HomeTeam]:[HomeTeam]], AP$1, Table2[[ActualResult]:[ActualResult]], "OT") + SUMIFS(Table2[[AwayWon]:[AwayWon]], Table2[[GameIsOver]:[GameIsOver]],1,Table2[[HomeTeam]:[HomeTeam]],$T6, Table2[[AwayTeam]:[AwayTeam]], AP$1, Table2[[ActualResult]:[ActualResult]], "OT") + SUMIFS(Table2[[HomeWon_]:[HomeWon_]], Table2[[GameIsOver]:[GameIsOver]],1,Table2[[AwayTeam]:[AwayTeam]],$T6, Table2[[HomeTeam]:[HomeTeam]], AP$1, Table2[[ActualResult]:[ActualResult]], "SO") + SUMIFS(Table2[[AwayWon]:[AwayWon]], Table2[[GameIsOver]:[GameIsOver]],1,Table2[[HomeTeam]:[HomeTeam]],$T6, Table2[[AwayTeam]:[AwayTeam]], AP$1, Table2[[ActualResult]:[ActualResult]], "SO")))</f>
        <v>0</v>
      </c>
      <c r="AQ6">
        <f>(2*(SUMIFS(Table2[[AwayWon]:[AwayWon]], Table2[[GameIsOver]:[GameIsOver]],1,Table2[[AwayTeam]:[AwayTeam]],$T6, Table2[[HomeTeam]:[HomeTeam]], AQ$1) + SUMIFS(Table2[[HomeWon_]:[HomeWon_]], Table2[[GameIsOver]:[GameIsOver]],1,Table2[[HomeTeam]:[HomeTeam]],$T6, Table2[[AwayTeam]:[AwayTeam]], AQ$1))) + (0*(SUMIFS(Table2[[HomeWon_]:[HomeWon_]], Table2[[GameIsOver]:[GameIsOver]],1,Table2[[AwayTeam]:[AwayTeam]],$T6, Table2[[HomeTeam]:[HomeTeam]], AQ$1, Table2[[ActualResult]:[ActualResult]], "REG") + SUMIFS(Table2[[AwayWon]:[AwayWon]], Table2[[GameIsOver]:[GameIsOver]],1,Table2[[HomeTeam]:[HomeTeam]],$T6, Table2[[AwayTeam]:[AwayTeam]], AQ$1, Table2[[ActualResult]:[ActualResult]], "REG"))) + (1*(SUMIFS(Table2[[HomeWon_]:[HomeWon_]], Table2[[GameIsOver]:[GameIsOver]],1,Table2[[AwayTeam]:[AwayTeam]],$T6, Table2[[HomeTeam]:[HomeTeam]], AQ$1, Table2[[ActualResult]:[ActualResult]], "OT") + SUMIFS(Table2[[AwayWon]:[AwayWon]], Table2[[GameIsOver]:[GameIsOver]],1,Table2[[HomeTeam]:[HomeTeam]],$T6, Table2[[AwayTeam]:[AwayTeam]], AQ$1, Table2[[ActualResult]:[ActualResult]], "OT") + SUMIFS(Table2[[HomeWon_]:[HomeWon_]], Table2[[GameIsOver]:[GameIsOver]],1,Table2[[AwayTeam]:[AwayTeam]],$T6, Table2[[HomeTeam]:[HomeTeam]], AQ$1, Table2[[ActualResult]:[ActualResult]], "SO") + SUMIFS(Table2[[AwayWon]:[AwayWon]], Table2[[GameIsOver]:[GameIsOver]],1,Table2[[HomeTeam]:[HomeTeam]],$T6, Table2[[AwayTeam]:[AwayTeam]], AQ$1, Table2[[ActualResult]:[ActualResult]], "SO")))</f>
        <v>0</v>
      </c>
      <c r="AR6">
        <f>(2*(SUMIFS(Table2[[AwayWon]:[AwayWon]], Table2[[GameIsOver]:[GameIsOver]],1,Table2[[AwayTeam]:[AwayTeam]],$T6, Table2[[HomeTeam]:[HomeTeam]], AR$1) + SUMIFS(Table2[[HomeWon_]:[HomeWon_]], Table2[[GameIsOver]:[GameIsOver]],1,Table2[[HomeTeam]:[HomeTeam]],$T6, Table2[[AwayTeam]:[AwayTeam]], AR$1))) + (0*(SUMIFS(Table2[[HomeWon_]:[HomeWon_]], Table2[[GameIsOver]:[GameIsOver]],1,Table2[[AwayTeam]:[AwayTeam]],$T6, Table2[[HomeTeam]:[HomeTeam]], AR$1, Table2[[ActualResult]:[ActualResult]], "REG") + SUMIFS(Table2[[AwayWon]:[AwayWon]], Table2[[GameIsOver]:[GameIsOver]],1,Table2[[HomeTeam]:[HomeTeam]],$T6, Table2[[AwayTeam]:[AwayTeam]], AR$1, Table2[[ActualResult]:[ActualResult]], "REG"))) + (1*(SUMIFS(Table2[[HomeWon_]:[HomeWon_]], Table2[[GameIsOver]:[GameIsOver]],1,Table2[[AwayTeam]:[AwayTeam]],$T6, Table2[[HomeTeam]:[HomeTeam]], AR$1, Table2[[ActualResult]:[ActualResult]], "OT") + SUMIFS(Table2[[AwayWon]:[AwayWon]], Table2[[GameIsOver]:[GameIsOver]],1,Table2[[HomeTeam]:[HomeTeam]],$T6, Table2[[AwayTeam]:[AwayTeam]], AR$1, Table2[[ActualResult]:[ActualResult]], "OT") + SUMIFS(Table2[[HomeWon_]:[HomeWon_]], Table2[[GameIsOver]:[GameIsOver]],1,Table2[[AwayTeam]:[AwayTeam]],$T6, Table2[[HomeTeam]:[HomeTeam]], AR$1, Table2[[ActualResult]:[ActualResult]], "SO") + SUMIFS(Table2[[AwayWon]:[AwayWon]], Table2[[GameIsOver]:[GameIsOver]],1,Table2[[HomeTeam]:[HomeTeam]],$T6, Table2[[AwayTeam]:[AwayTeam]], AR$1, Table2[[ActualResult]:[ActualResult]], "SO")))</f>
        <v>0</v>
      </c>
      <c r="AS6">
        <f>(2*(SUMIFS(Table2[[AwayWon]:[AwayWon]], Table2[[GameIsOver]:[GameIsOver]],1,Table2[[AwayTeam]:[AwayTeam]],$T6, Table2[[HomeTeam]:[HomeTeam]], AS$1) + SUMIFS(Table2[[HomeWon_]:[HomeWon_]], Table2[[GameIsOver]:[GameIsOver]],1,Table2[[HomeTeam]:[HomeTeam]],$T6, Table2[[AwayTeam]:[AwayTeam]], AS$1))) + (0*(SUMIFS(Table2[[HomeWon_]:[HomeWon_]], Table2[[GameIsOver]:[GameIsOver]],1,Table2[[AwayTeam]:[AwayTeam]],$T6, Table2[[HomeTeam]:[HomeTeam]], AS$1, Table2[[ActualResult]:[ActualResult]], "REG") + SUMIFS(Table2[[AwayWon]:[AwayWon]], Table2[[GameIsOver]:[GameIsOver]],1,Table2[[HomeTeam]:[HomeTeam]],$T6, Table2[[AwayTeam]:[AwayTeam]], AS$1, Table2[[ActualResult]:[ActualResult]], "REG"))) + (1*(SUMIFS(Table2[[HomeWon_]:[HomeWon_]], Table2[[GameIsOver]:[GameIsOver]],1,Table2[[AwayTeam]:[AwayTeam]],$T6, Table2[[HomeTeam]:[HomeTeam]], AS$1, Table2[[ActualResult]:[ActualResult]], "OT") + SUMIFS(Table2[[AwayWon]:[AwayWon]], Table2[[GameIsOver]:[GameIsOver]],1,Table2[[HomeTeam]:[HomeTeam]],$T6, Table2[[AwayTeam]:[AwayTeam]], AS$1, Table2[[ActualResult]:[ActualResult]], "OT") + SUMIFS(Table2[[HomeWon_]:[HomeWon_]], Table2[[GameIsOver]:[GameIsOver]],1,Table2[[AwayTeam]:[AwayTeam]],$T6, Table2[[HomeTeam]:[HomeTeam]], AS$1, Table2[[ActualResult]:[ActualResult]], "SO") + SUMIFS(Table2[[AwayWon]:[AwayWon]], Table2[[GameIsOver]:[GameIsOver]],1,Table2[[HomeTeam]:[HomeTeam]],$T6, Table2[[AwayTeam]:[AwayTeam]], AS$1, Table2[[ActualResult]:[ActualResult]], "SO")))</f>
        <v>2</v>
      </c>
      <c r="AT6">
        <f>(2*(SUMIFS(Table2[[AwayWon]:[AwayWon]], Table2[[GameIsOver]:[GameIsOver]],1,Table2[[AwayTeam]:[AwayTeam]],$T6, Table2[[HomeTeam]:[HomeTeam]], AT$1) + SUMIFS(Table2[[HomeWon_]:[HomeWon_]], Table2[[GameIsOver]:[GameIsOver]],1,Table2[[HomeTeam]:[HomeTeam]],$T6, Table2[[AwayTeam]:[AwayTeam]], AT$1))) + (0*(SUMIFS(Table2[[HomeWon_]:[HomeWon_]], Table2[[GameIsOver]:[GameIsOver]],1,Table2[[AwayTeam]:[AwayTeam]],$T6, Table2[[HomeTeam]:[HomeTeam]], AT$1, Table2[[ActualResult]:[ActualResult]], "REG") + SUMIFS(Table2[[AwayWon]:[AwayWon]], Table2[[GameIsOver]:[GameIsOver]],1,Table2[[HomeTeam]:[HomeTeam]],$T6, Table2[[AwayTeam]:[AwayTeam]], AT$1, Table2[[ActualResult]:[ActualResult]], "REG"))) + (1*(SUMIFS(Table2[[HomeWon_]:[HomeWon_]], Table2[[GameIsOver]:[GameIsOver]],1,Table2[[AwayTeam]:[AwayTeam]],$T6, Table2[[HomeTeam]:[HomeTeam]], AT$1, Table2[[ActualResult]:[ActualResult]], "OT") + SUMIFS(Table2[[AwayWon]:[AwayWon]], Table2[[GameIsOver]:[GameIsOver]],1,Table2[[HomeTeam]:[HomeTeam]],$T6, Table2[[AwayTeam]:[AwayTeam]], AT$1, Table2[[ActualResult]:[ActualResult]], "OT") + SUMIFS(Table2[[HomeWon_]:[HomeWon_]], Table2[[GameIsOver]:[GameIsOver]],1,Table2[[AwayTeam]:[AwayTeam]],$T6, Table2[[HomeTeam]:[HomeTeam]], AT$1, Table2[[ActualResult]:[ActualResult]], "SO") + SUMIFS(Table2[[AwayWon]:[AwayWon]], Table2[[GameIsOver]:[GameIsOver]],1,Table2[[HomeTeam]:[HomeTeam]],$T6, Table2[[AwayTeam]:[AwayTeam]], AT$1, Table2[[ActualResult]:[ActualResult]], "SO")))</f>
        <v>0</v>
      </c>
      <c r="AU6">
        <f>(2*(SUMIFS(Table2[[AwayWon]:[AwayWon]], Table2[[GameIsOver]:[GameIsOver]],1,Table2[[AwayTeam]:[AwayTeam]],$T6, Table2[[HomeTeam]:[HomeTeam]], AU$1) + SUMIFS(Table2[[HomeWon_]:[HomeWon_]], Table2[[GameIsOver]:[GameIsOver]],1,Table2[[HomeTeam]:[HomeTeam]],$T6, Table2[[AwayTeam]:[AwayTeam]], AU$1))) + (0*(SUMIFS(Table2[[HomeWon_]:[HomeWon_]], Table2[[GameIsOver]:[GameIsOver]],1,Table2[[AwayTeam]:[AwayTeam]],$T6, Table2[[HomeTeam]:[HomeTeam]], AU$1, Table2[[ActualResult]:[ActualResult]], "REG") + SUMIFS(Table2[[AwayWon]:[AwayWon]], Table2[[GameIsOver]:[GameIsOver]],1,Table2[[HomeTeam]:[HomeTeam]],$T6, Table2[[AwayTeam]:[AwayTeam]], AU$1, Table2[[ActualResult]:[ActualResult]], "REG"))) + (1*(SUMIFS(Table2[[HomeWon_]:[HomeWon_]], Table2[[GameIsOver]:[GameIsOver]],1,Table2[[AwayTeam]:[AwayTeam]],$T6, Table2[[HomeTeam]:[HomeTeam]], AU$1, Table2[[ActualResult]:[ActualResult]], "OT") + SUMIFS(Table2[[AwayWon]:[AwayWon]], Table2[[GameIsOver]:[GameIsOver]],1,Table2[[HomeTeam]:[HomeTeam]],$T6, Table2[[AwayTeam]:[AwayTeam]], AU$1, Table2[[ActualResult]:[ActualResult]], "OT") + SUMIFS(Table2[[HomeWon_]:[HomeWon_]], Table2[[GameIsOver]:[GameIsOver]],1,Table2[[AwayTeam]:[AwayTeam]],$T6, Table2[[HomeTeam]:[HomeTeam]], AU$1, Table2[[ActualResult]:[ActualResult]], "SO") + SUMIFS(Table2[[AwayWon]:[AwayWon]], Table2[[GameIsOver]:[GameIsOver]],1,Table2[[HomeTeam]:[HomeTeam]],$T6, Table2[[AwayTeam]:[AwayTeam]], AU$1, Table2[[ActualResult]:[ActualResult]], "SO")))</f>
        <v>0</v>
      </c>
      <c r="AV6">
        <f>(2*(SUMIFS(Table2[[AwayWon]:[AwayWon]], Table2[[GameIsOver]:[GameIsOver]],1,Table2[[AwayTeam]:[AwayTeam]],$T6, Table2[[HomeTeam]:[HomeTeam]], AV$1) + SUMIFS(Table2[[HomeWon_]:[HomeWon_]], Table2[[GameIsOver]:[GameIsOver]],1,Table2[[HomeTeam]:[HomeTeam]],$T6, Table2[[AwayTeam]:[AwayTeam]], AV$1))) + (0*(SUMIFS(Table2[[HomeWon_]:[HomeWon_]], Table2[[GameIsOver]:[GameIsOver]],1,Table2[[AwayTeam]:[AwayTeam]],$T6, Table2[[HomeTeam]:[HomeTeam]], AV$1, Table2[[ActualResult]:[ActualResult]], "REG") + SUMIFS(Table2[[AwayWon]:[AwayWon]], Table2[[GameIsOver]:[GameIsOver]],1,Table2[[HomeTeam]:[HomeTeam]],$T6, Table2[[AwayTeam]:[AwayTeam]], AV$1, Table2[[ActualResult]:[ActualResult]], "REG"))) + (1*(SUMIFS(Table2[[HomeWon_]:[HomeWon_]], Table2[[GameIsOver]:[GameIsOver]],1,Table2[[AwayTeam]:[AwayTeam]],$T6, Table2[[HomeTeam]:[HomeTeam]], AV$1, Table2[[ActualResult]:[ActualResult]], "OT") + SUMIFS(Table2[[AwayWon]:[AwayWon]], Table2[[GameIsOver]:[GameIsOver]],1,Table2[[HomeTeam]:[HomeTeam]],$T6, Table2[[AwayTeam]:[AwayTeam]], AV$1, Table2[[ActualResult]:[ActualResult]], "OT") + SUMIFS(Table2[[HomeWon_]:[HomeWon_]], Table2[[GameIsOver]:[GameIsOver]],1,Table2[[AwayTeam]:[AwayTeam]],$T6, Table2[[HomeTeam]:[HomeTeam]], AV$1, Table2[[ActualResult]:[ActualResult]], "SO") + SUMIFS(Table2[[AwayWon]:[AwayWon]], Table2[[GameIsOver]:[GameIsOver]],1,Table2[[HomeTeam]:[HomeTeam]],$T6, Table2[[AwayTeam]:[AwayTeam]], AV$1, Table2[[ActualResult]:[ActualResult]], "SO")))</f>
        <v>0</v>
      </c>
      <c r="AW6">
        <f>(2*(SUMIFS(Table2[[AwayWon]:[AwayWon]], Table2[[GameIsOver]:[GameIsOver]],1,Table2[[AwayTeam]:[AwayTeam]],$T6, Table2[[HomeTeam]:[HomeTeam]], AW$1) + SUMIFS(Table2[[HomeWon_]:[HomeWon_]], Table2[[GameIsOver]:[GameIsOver]],1,Table2[[HomeTeam]:[HomeTeam]],$T6, Table2[[AwayTeam]:[AwayTeam]], AW$1))) + (0*(SUMIFS(Table2[[HomeWon_]:[HomeWon_]], Table2[[GameIsOver]:[GameIsOver]],1,Table2[[AwayTeam]:[AwayTeam]],$T6, Table2[[HomeTeam]:[HomeTeam]], AW$1, Table2[[ActualResult]:[ActualResult]], "REG") + SUMIFS(Table2[[AwayWon]:[AwayWon]], Table2[[GameIsOver]:[GameIsOver]],1,Table2[[HomeTeam]:[HomeTeam]],$T6, Table2[[AwayTeam]:[AwayTeam]], AW$1, Table2[[ActualResult]:[ActualResult]], "REG"))) + (1*(SUMIFS(Table2[[HomeWon_]:[HomeWon_]], Table2[[GameIsOver]:[GameIsOver]],1,Table2[[AwayTeam]:[AwayTeam]],$T6, Table2[[HomeTeam]:[HomeTeam]], AW$1, Table2[[ActualResult]:[ActualResult]], "OT") + SUMIFS(Table2[[AwayWon]:[AwayWon]], Table2[[GameIsOver]:[GameIsOver]],1,Table2[[HomeTeam]:[HomeTeam]],$T6, Table2[[AwayTeam]:[AwayTeam]], AW$1, Table2[[ActualResult]:[ActualResult]], "OT") + SUMIFS(Table2[[HomeWon_]:[HomeWon_]], Table2[[GameIsOver]:[GameIsOver]],1,Table2[[AwayTeam]:[AwayTeam]],$T6, Table2[[HomeTeam]:[HomeTeam]], AW$1, Table2[[ActualResult]:[ActualResult]], "SO") + SUMIFS(Table2[[AwayWon]:[AwayWon]], Table2[[GameIsOver]:[GameIsOver]],1,Table2[[HomeTeam]:[HomeTeam]],$T6, Table2[[AwayTeam]:[AwayTeam]], AW$1, Table2[[ActualResult]:[ActualResult]], "SO")))</f>
        <v>0</v>
      </c>
      <c r="AX6">
        <f>(2*(SUMIFS(Table2[[AwayWon]:[AwayWon]], Table2[[GameIsOver]:[GameIsOver]],1,Table2[[AwayTeam]:[AwayTeam]],$T6, Table2[[HomeTeam]:[HomeTeam]], AX$1) + SUMIFS(Table2[[HomeWon_]:[HomeWon_]], Table2[[GameIsOver]:[GameIsOver]],1,Table2[[HomeTeam]:[HomeTeam]],$T6, Table2[[AwayTeam]:[AwayTeam]], AX$1))) + (0*(SUMIFS(Table2[[HomeWon_]:[HomeWon_]], Table2[[GameIsOver]:[GameIsOver]],1,Table2[[AwayTeam]:[AwayTeam]],$T6, Table2[[HomeTeam]:[HomeTeam]], AX$1, Table2[[ActualResult]:[ActualResult]], "REG") + SUMIFS(Table2[[AwayWon]:[AwayWon]], Table2[[GameIsOver]:[GameIsOver]],1,Table2[[HomeTeam]:[HomeTeam]],$T6, Table2[[AwayTeam]:[AwayTeam]], AX$1, Table2[[ActualResult]:[ActualResult]], "REG"))) + (1*(SUMIFS(Table2[[HomeWon_]:[HomeWon_]], Table2[[GameIsOver]:[GameIsOver]],1,Table2[[AwayTeam]:[AwayTeam]],$T6, Table2[[HomeTeam]:[HomeTeam]], AX$1, Table2[[ActualResult]:[ActualResult]], "OT") + SUMIFS(Table2[[AwayWon]:[AwayWon]], Table2[[GameIsOver]:[GameIsOver]],1,Table2[[HomeTeam]:[HomeTeam]],$T6, Table2[[AwayTeam]:[AwayTeam]], AX$1, Table2[[ActualResult]:[ActualResult]], "OT") + SUMIFS(Table2[[HomeWon_]:[HomeWon_]], Table2[[GameIsOver]:[GameIsOver]],1,Table2[[AwayTeam]:[AwayTeam]],$T6, Table2[[HomeTeam]:[HomeTeam]], AX$1, Table2[[ActualResult]:[ActualResult]], "SO") + SUMIFS(Table2[[AwayWon]:[AwayWon]], Table2[[GameIsOver]:[GameIsOver]],1,Table2[[HomeTeam]:[HomeTeam]],$T6, Table2[[AwayTeam]:[AwayTeam]], AX$1, Table2[[ActualResult]:[ActualResult]], "SO")))</f>
        <v>0</v>
      </c>
      <c r="AY6">
        <f>(2*(SUMIFS(Table2[[AwayWon]:[AwayWon]], Table2[[GameIsOver]:[GameIsOver]],1,Table2[[AwayTeam]:[AwayTeam]],$T6, Table2[[HomeTeam]:[HomeTeam]], AY$1) + SUMIFS(Table2[[HomeWon_]:[HomeWon_]], Table2[[GameIsOver]:[GameIsOver]],1,Table2[[HomeTeam]:[HomeTeam]],$T6, Table2[[AwayTeam]:[AwayTeam]], AY$1))) + (0*(SUMIFS(Table2[[HomeWon_]:[HomeWon_]], Table2[[GameIsOver]:[GameIsOver]],1,Table2[[AwayTeam]:[AwayTeam]],$T6, Table2[[HomeTeam]:[HomeTeam]], AY$1, Table2[[ActualResult]:[ActualResult]], "REG") + SUMIFS(Table2[[AwayWon]:[AwayWon]], Table2[[GameIsOver]:[GameIsOver]],1,Table2[[HomeTeam]:[HomeTeam]],$T6, Table2[[AwayTeam]:[AwayTeam]], AY$1, Table2[[ActualResult]:[ActualResult]], "REG"))) + (1*(SUMIFS(Table2[[HomeWon_]:[HomeWon_]], Table2[[GameIsOver]:[GameIsOver]],1,Table2[[AwayTeam]:[AwayTeam]],$T6, Table2[[HomeTeam]:[HomeTeam]], AY$1, Table2[[ActualResult]:[ActualResult]], "OT") + SUMIFS(Table2[[AwayWon]:[AwayWon]], Table2[[GameIsOver]:[GameIsOver]],1,Table2[[HomeTeam]:[HomeTeam]],$T6, Table2[[AwayTeam]:[AwayTeam]], AY$1, Table2[[ActualResult]:[ActualResult]], "OT") + SUMIFS(Table2[[HomeWon_]:[HomeWon_]], Table2[[GameIsOver]:[GameIsOver]],1,Table2[[AwayTeam]:[AwayTeam]],$T6, Table2[[HomeTeam]:[HomeTeam]], AY$1, Table2[[ActualResult]:[ActualResult]], "SO") + SUMIFS(Table2[[AwayWon]:[AwayWon]], Table2[[GameIsOver]:[GameIsOver]],1,Table2[[HomeTeam]:[HomeTeam]],$T6, Table2[[AwayTeam]:[AwayTeam]], AY$1, Table2[[ActualResult]:[ActualResult]], "SO")))</f>
        <v>0</v>
      </c>
      <c r="AZ6">
        <f>(2*(SUMIFS(Table2[[AwayWon]:[AwayWon]], Table2[[GameIsOver]:[GameIsOver]],1,Table2[[AwayTeam]:[AwayTeam]],$T6, Table2[[HomeTeam]:[HomeTeam]], AZ$1) + SUMIFS(Table2[[HomeWon_]:[HomeWon_]], Table2[[GameIsOver]:[GameIsOver]],1,Table2[[HomeTeam]:[HomeTeam]],$T6, Table2[[AwayTeam]:[AwayTeam]], AZ$1))) + (0*(SUMIFS(Table2[[HomeWon_]:[HomeWon_]], Table2[[GameIsOver]:[GameIsOver]],1,Table2[[AwayTeam]:[AwayTeam]],$T6, Table2[[HomeTeam]:[HomeTeam]], AZ$1, Table2[[ActualResult]:[ActualResult]], "REG") + SUMIFS(Table2[[AwayWon]:[AwayWon]], Table2[[GameIsOver]:[GameIsOver]],1,Table2[[HomeTeam]:[HomeTeam]],$T6, Table2[[AwayTeam]:[AwayTeam]], AZ$1, Table2[[ActualResult]:[ActualResult]], "REG"))) + (1*(SUMIFS(Table2[[HomeWon_]:[HomeWon_]], Table2[[GameIsOver]:[GameIsOver]],1,Table2[[AwayTeam]:[AwayTeam]],$T6, Table2[[HomeTeam]:[HomeTeam]], AZ$1, Table2[[ActualResult]:[ActualResult]], "OT") + SUMIFS(Table2[[AwayWon]:[AwayWon]], Table2[[GameIsOver]:[GameIsOver]],1,Table2[[HomeTeam]:[HomeTeam]],$T6, Table2[[AwayTeam]:[AwayTeam]], AZ$1, Table2[[ActualResult]:[ActualResult]], "OT") + SUMIFS(Table2[[HomeWon_]:[HomeWon_]], Table2[[GameIsOver]:[GameIsOver]],1,Table2[[AwayTeam]:[AwayTeam]],$T6, Table2[[HomeTeam]:[HomeTeam]], AZ$1, Table2[[ActualResult]:[ActualResult]], "SO") + SUMIFS(Table2[[AwayWon]:[AwayWon]], Table2[[GameIsOver]:[GameIsOver]],1,Table2[[HomeTeam]:[HomeTeam]],$T6, Table2[[AwayTeam]:[AwayTeam]], AZ$1, Table2[[ActualResult]:[ActualResult]], "SO")))</f>
        <v>0</v>
      </c>
      <c r="BA6">
        <f>(2*(SUMIFS(Table2[[AwayWon]:[AwayWon]], Table2[[GameIsOver]:[GameIsOver]],1,Table2[[AwayTeam]:[AwayTeam]],$T6, Table2[[HomeTeam]:[HomeTeam]], BA$1) + SUMIFS(Table2[[HomeWon_]:[HomeWon_]], Table2[[GameIsOver]:[GameIsOver]],1,Table2[[HomeTeam]:[HomeTeam]],$T6, Table2[[AwayTeam]:[AwayTeam]], BA$1))) + (0*(SUMIFS(Table2[[HomeWon_]:[HomeWon_]], Table2[[GameIsOver]:[GameIsOver]],1,Table2[[AwayTeam]:[AwayTeam]],$T6, Table2[[HomeTeam]:[HomeTeam]], BA$1, Table2[[ActualResult]:[ActualResult]], "REG") + SUMIFS(Table2[[AwayWon]:[AwayWon]], Table2[[GameIsOver]:[GameIsOver]],1,Table2[[HomeTeam]:[HomeTeam]],$T6, Table2[[AwayTeam]:[AwayTeam]], BA$1, Table2[[ActualResult]:[ActualResult]], "REG"))) + (1*(SUMIFS(Table2[[HomeWon_]:[HomeWon_]], Table2[[GameIsOver]:[GameIsOver]],1,Table2[[AwayTeam]:[AwayTeam]],$T6, Table2[[HomeTeam]:[HomeTeam]], BA$1, Table2[[ActualResult]:[ActualResult]], "OT") + SUMIFS(Table2[[AwayWon]:[AwayWon]], Table2[[GameIsOver]:[GameIsOver]],1,Table2[[HomeTeam]:[HomeTeam]],$T6, Table2[[AwayTeam]:[AwayTeam]], BA$1, Table2[[ActualResult]:[ActualResult]], "OT") + SUMIFS(Table2[[HomeWon_]:[HomeWon_]], Table2[[GameIsOver]:[GameIsOver]],1,Table2[[AwayTeam]:[AwayTeam]],$T6, Table2[[HomeTeam]:[HomeTeam]], BA$1, Table2[[ActualResult]:[ActualResult]], "SO") + SUMIFS(Table2[[AwayWon]:[AwayWon]], Table2[[GameIsOver]:[GameIsOver]],1,Table2[[HomeTeam]:[HomeTeam]],$T6, Table2[[AwayTeam]:[AwayTeam]], BA$1, Table2[[ActualResult]:[ActualResult]], "SO")))</f>
        <v>0</v>
      </c>
    </row>
    <row r="7" spans="1:53" x14ac:dyDescent="0.25">
      <c r="A7" s="62" t="s">
        <v>23</v>
      </c>
      <c r="B7" s="62" t="s">
        <v>90</v>
      </c>
      <c r="C7" s="62" t="s">
        <v>93</v>
      </c>
      <c r="D7" s="62">
        <f>INDEX(Table3[PTS], MATCH(Table6[[#This Row],[Teams]], Table3[Teams],0))</f>
        <v>2</v>
      </c>
      <c r="E7" s="62">
        <f>INDEX(Table3[PTS], MATCH(Table6[[#This Row],[Teams]], Table3[Teams],0))</f>
        <v>2</v>
      </c>
      <c r="S7">
        <v>1</v>
      </c>
      <c r="T7" t="str" cm="1">
        <f t="array" ref="T7">INDEX(Table6[Teams], SMALL(IF(Table6[D]="P", ROW(Table6[Teams])-ROW(Table6[#Headers])), Table7[[#This Row],[PAC]]))</f>
        <v>ANA</v>
      </c>
      <c r="U7">
        <f>INDEX(Table6[PTS], MATCH($T7, Table6[Teams], 0))</f>
        <v>7</v>
      </c>
      <c r="V7">
        <f>(2*(SUMIFS(Table2[[AwayWon]:[AwayWon]], Table2[[GameIsOver]:[GameIsOver]],1,Table2[[AwayTeam]:[AwayTeam]],$T7, Table2[[HomeTeam]:[HomeTeam]], V$1) + SUMIFS(Table2[[HomeWon_]:[HomeWon_]], Table2[[GameIsOver]:[GameIsOver]],1,Table2[[HomeTeam]:[HomeTeam]],$T7, Table2[[AwayTeam]:[AwayTeam]], V$1))) + (0*(SUMIFS(Table2[[HomeWon_]:[HomeWon_]], Table2[[GameIsOver]:[GameIsOver]],1,Table2[[AwayTeam]:[AwayTeam]],$T7, Table2[[HomeTeam]:[HomeTeam]], V$1, Table2[[ActualResult]:[ActualResult]], "REG") + SUMIFS(Table2[[AwayWon]:[AwayWon]], Table2[[GameIsOver]:[GameIsOver]],1,Table2[[HomeTeam]:[HomeTeam]],$T7, Table2[[AwayTeam]:[AwayTeam]], V$1, Table2[[ActualResult]:[ActualResult]], "REG"))) + (1*(SUMIFS(Table2[[HomeWon_]:[HomeWon_]], Table2[[GameIsOver]:[GameIsOver]],1,Table2[[AwayTeam]:[AwayTeam]],$T7, Table2[[HomeTeam]:[HomeTeam]], V$1, Table2[[ActualResult]:[ActualResult]], "OT") + SUMIFS(Table2[[AwayWon]:[AwayWon]], Table2[[GameIsOver]:[GameIsOver]],1,Table2[[HomeTeam]:[HomeTeam]],$T7, Table2[[AwayTeam]:[AwayTeam]], V$1, Table2[[ActualResult]:[ActualResult]], "OT") + SUMIFS(Table2[[HomeWon_]:[HomeWon_]], Table2[[GameIsOver]:[GameIsOver]],1,Table2[[AwayTeam]:[AwayTeam]],$T7, Table2[[HomeTeam]:[HomeTeam]], V$1, Table2[[ActualResult]:[ActualResult]], "SO") + SUMIFS(Table2[[AwayWon]:[AwayWon]], Table2[[GameIsOver]:[GameIsOver]],1,Table2[[HomeTeam]:[HomeTeam]],$T7, Table2[[AwayTeam]:[AwayTeam]], V$1, Table2[[ActualResult]:[ActualResult]], "SO")))</f>
        <v>0</v>
      </c>
      <c r="W7">
        <f>(2*(SUMIFS(Table2[[AwayWon]:[AwayWon]], Table2[[GameIsOver]:[GameIsOver]],1,Table2[[AwayTeam]:[AwayTeam]],$T7, Table2[[HomeTeam]:[HomeTeam]], W$1) + SUMIFS(Table2[[HomeWon_]:[HomeWon_]], Table2[[GameIsOver]:[GameIsOver]],1,Table2[[HomeTeam]:[HomeTeam]],$T7, Table2[[AwayTeam]:[AwayTeam]], W$1))) + (0*(SUMIFS(Table2[[HomeWon_]:[HomeWon_]], Table2[[GameIsOver]:[GameIsOver]],1,Table2[[AwayTeam]:[AwayTeam]],$T7, Table2[[HomeTeam]:[HomeTeam]], W$1, Table2[[ActualResult]:[ActualResult]], "REG") + SUMIFS(Table2[[AwayWon]:[AwayWon]], Table2[[GameIsOver]:[GameIsOver]],1,Table2[[HomeTeam]:[HomeTeam]],$T7, Table2[[AwayTeam]:[AwayTeam]], W$1, Table2[[ActualResult]:[ActualResult]], "REG"))) + (1*(SUMIFS(Table2[[HomeWon_]:[HomeWon_]], Table2[[GameIsOver]:[GameIsOver]],1,Table2[[AwayTeam]:[AwayTeam]],$T7, Table2[[HomeTeam]:[HomeTeam]], W$1, Table2[[ActualResult]:[ActualResult]], "OT") + SUMIFS(Table2[[AwayWon]:[AwayWon]], Table2[[GameIsOver]:[GameIsOver]],1,Table2[[HomeTeam]:[HomeTeam]],$T7, Table2[[AwayTeam]:[AwayTeam]], W$1, Table2[[ActualResult]:[ActualResult]], "OT") + SUMIFS(Table2[[HomeWon_]:[HomeWon_]], Table2[[GameIsOver]:[GameIsOver]],1,Table2[[AwayTeam]:[AwayTeam]],$T7, Table2[[HomeTeam]:[HomeTeam]], W$1, Table2[[ActualResult]:[ActualResult]], "SO") + SUMIFS(Table2[[AwayWon]:[AwayWon]], Table2[[GameIsOver]:[GameIsOver]],1,Table2[[HomeTeam]:[HomeTeam]],$T7, Table2[[AwayTeam]:[AwayTeam]], W$1, Table2[[ActualResult]:[ActualResult]], "SO")))</f>
        <v>0</v>
      </c>
      <c r="X7">
        <f>(2*(SUMIFS(Table2[[AwayWon]:[AwayWon]], Table2[[GameIsOver]:[GameIsOver]],1,Table2[[AwayTeam]:[AwayTeam]],$T7, Table2[[HomeTeam]:[HomeTeam]], X$1) + SUMIFS(Table2[[HomeWon_]:[HomeWon_]], Table2[[GameIsOver]:[GameIsOver]],1,Table2[[HomeTeam]:[HomeTeam]],$T7, Table2[[AwayTeam]:[AwayTeam]], X$1))) + (0*(SUMIFS(Table2[[HomeWon_]:[HomeWon_]], Table2[[GameIsOver]:[GameIsOver]],1,Table2[[AwayTeam]:[AwayTeam]],$T7, Table2[[HomeTeam]:[HomeTeam]], X$1, Table2[[ActualResult]:[ActualResult]], "REG") + SUMIFS(Table2[[AwayWon]:[AwayWon]], Table2[[GameIsOver]:[GameIsOver]],1,Table2[[HomeTeam]:[HomeTeam]],$T7, Table2[[AwayTeam]:[AwayTeam]], X$1, Table2[[ActualResult]:[ActualResult]], "REG"))) + (1*(SUMIFS(Table2[[HomeWon_]:[HomeWon_]], Table2[[GameIsOver]:[GameIsOver]],1,Table2[[AwayTeam]:[AwayTeam]],$T7, Table2[[HomeTeam]:[HomeTeam]], X$1, Table2[[ActualResult]:[ActualResult]], "OT") + SUMIFS(Table2[[AwayWon]:[AwayWon]], Table2[[GameIsOver]:[GameIsOver]],1,Table2[[HomeTeam]:[HomeTeam]],$T7, Table2[[AwayTeam]:[AwayTeam]], X$1, Table2[[ActualResult]:[ActualResult]], "OT") + SUMIFS(Table2[[HomeWon_]:[HomeWon_]], Table2[[GameIsOver]:[GameIsOver]],1,Table2[[AwayTeam]:[AwayTeam]],$T7, Table2[[HomeTeam]:[HomeTeam]], X$1, Table2[[ActualResult]:[ActualResult]], "SO") + SUMIFS(Table2[[AwayWon]:[AwayWon]], Table2[[GameIsOver]:[GameIsOver]],1,Table2[[HomeTeam]:[HomeTeam]],$T7, Table2[[AwayTeam]:[AwayTeam]], X$1, Table2[[ActualResult]:[ActualResult]], "SO")))</f>
        <v>0</v>
      </c>
      <c r="Y7">
        <f>(2*(SUMIFS(Table2[[AwayWon]:[AwayWon]], Table2[[GameIsOver]:[GameIsOver]],1,Table2[[AwayTeam]:[AwayTeam]],$T7, Table2[[HomeTeam]:[HomeTeam]], Y$1) + SUMIFS(Table2[[HomeWon_]:[HomeWon_]], Table2[[GameIsOver]:[GameIsOver]],1,Table2[[HomeTeam]:[HomeTeam]],$T7, Table2[[AwayTeam]:[AwayTeam]], Y$1))) + (0*(SUMIFS(Table2[[HomeWon_]:[HomeWon_]], Table2[[GameIsOver]:[GameIsOver]],1,Table2[[AwayTeam]:[AwayTeam]],$T7, Table2[[HomeTeam]:[HomeTeam]], Y$1, Table2[[ActualResult]:[ActualResult]], "REG") + SUMIFS(Table2[[AwayWon]:[AwayWon]], Table2[[GameIsOver]:[GameIsOver]],1,Table2[[HomeTeam]:[HomeTeam]],$T7, Table2[[AwayTeam]:[AwayTeam]], Y$1, Table2[[ActualResult]:[ActualResult]], "REG"))) + (1*(SUMIFS(Table2[[HomeWon_]:[HomeWon_]], Table2[[GameIsOver]:[GameIsOver]],1,Table2[[AwayTeam]:[AwayTeam]],$T7, Table2[[HomeTeam]:[HomeTeam]], Y$1, Table2[[ActualResult]:[ActualResult]], "OT") + SUMIFS(Table2[[AwayWon]:[AwayWon]], Table2[[GameIsOver]:[GameIsOver]],1,Table2[[HomeTeam]:[HomeTeam]],$T7, Table2[[AwayTeam]:[AwayTeam]], Y$1, Table2[[ActualResult]:[ActualResult]], "OT") + SUMIFS(Table2[[HomeWon_]:[HomeWon_]], Table2[[GameIsOver]:[GameIsOver]],1,Table2[[AwayTeam]:[AwayTeam]],$T7, Table2[[HomeTeam]:[HomeTeam]], Y$1, Table2[[ActualResult]:[ActualResult]], "SO") + SUMIFS(Table2[[AwayWon]:[AwayWon]], Table2[[GameIsOver]:[GameIsOver]],1,Table2[[HomeTeam]:[HomeTeam]],$T7, Table2[[AwayTeam]:[AwayTeam]], Y$1, Table2[[ActualResult]:[ActualResult]], "SO")))</f>
        <v>0</v>
      </c>
      <c r="Z7">
        <f>(2*(SUMIFS(Table2[[AwayWon]:[AwayWon]], Table2[[GameIsOver]:[GameIsOver]],1,Table2[[AwayTeam]:[AwayTeam]],$T7, Table2[[HomeTeam]:[HomeTeam]], Z$1) + SUMIFS(Table2[[HomeWon_]:[HomeWon_]], Table2[[GameIsOver]:[GameIsOver]],1,Table2[[HomeTeam]:[HomeTeam]],$T7, Table2[[AwayTeam]:[AwayTeam]], Z$1))) + (0*(SUMIFS(Table2[[HomeWon_]:[HomeWon_]], Table2[[GameIsOver]:[GameIsOver]],1,Table2[[AwayTeam]:[AwayTeam]],$T7, Table2[[HomeTeam]:[HomeTeam]], Z$1, Table2[[ActualResult]:[ActualResult]], "REG") + SUMIFS(Table2[[AwayWon]:[AwayWon]], Table2[[GameIsOver]:[GameIsOver]],1,Table2[[HomeTeam]:[HomeTeam]],$T7, Table2[[AwayTeam]:[AwayTeam]], Z$1, Table2[[ActualResult]:[ActualResult]], "REG"))) + (1*(SUMIFS(Table2[[HomeWon_]:[HomeWon_]], Table2[[GameIsOver]:[GameIsOver]],1,Table2[[AwayTeam]:[AwayTeam]],$T7, Table2[[HomeTeam]:[HomeTeam]], Z$1, Table2[[ActualResult]:[ActualResult]], "OT") + SUMIFS(Table2[[AwayWon]:[AwayWon]], Table2[[GameIsOver]:[GameIsOver]],1,Table2[[HomeTeam]:[HomeTeam]],$T7, Table2[[AwayTeam]:[AwayTeam]], Z$1, Table2[[ActualResult]:[ActualResult]], "OT") + SUMIFS(Table2[[HomeWon_]:[HomeWon_]], Table2[[GameIsOver]:[GameIsOver]],1,Table2[[AwayTeam]:[AwayTeam]],$T7, Table2[[HomeTeam]:[HomeTeam]], Z$1, Table2[[ActualResult]:[ActualResult]], "SO") + SUMIFS(Table2[[AwayWon]:[AwayWon]], Table2[[GameIsOver]:[GameIsOver]],1,Table2[[HomeTeam]:[HomeTeam]],$T7, Table2[[AwayTeam]:[AwayTeam]], Z$1, Table2[[ActualResult]:[ActualResult]], "SO")))</f>
        <v>0</v>
      </c>
      <c r="AA7">
        <f>(2*(SUMIFS(Table2[[AwayWon]:[AwayWon]], Table2[[GameIsOver]:[GameIsOver]],1,Table2[[AwayTeam]:[AwayTeam]],$T7, Table2[[HomeTeam]:[HomeTeam]], AA$1) + SUMIFS(Table2[[HomeWon_]:[HomeWon_]], Table2[[GameIsOver]:[GameIsOver]],1,Table2[[HomeTeam]:[HomeTeam]],$T7, Table2[[AwayTeam]:[AwayTeam]], AA$1))) + (0*(SUMIFS(Table2[[HomeWon_]:[HomeWon_]], Table2[[GameIsOver]:[GameIsOver]],1,Table2[[AwayTeam]:[AwayTeam]],$T7, Table2[[HomeTeam]:[HomeTeam]], AA$1, Table2[[ActualResult]:[ActualResult]], "REG") + SUMIFS(Table2[[AwayWon]:[AwayWon]], Table2[[GameIsOver]:[GameIsOver]],1,Table2[[HomeTeam]:[HomeTeam]],$T7, Table2[[AwayTeam]:[AwayTeam]], AA$1, Table2[[ActualResult]:[ActualResult]], "REG"))) + (1*(SUMIFS(Table2[[HomeWon_]:[HomeWon_]], Table2[[GameIsOver]:[GameIsOver]],1,Table2[[AwayTeam]:[AwayTeam]],$T7, Table2[[HomeTeam]:[HomeTeam]], AA$1, Table2[[ActualResult]:[ActualResult]], "OT") + SUMIFS(Table2[[AwayWon]:[AwayWon]], Table2[[GameIsOver]:[GameIsOver]],1,Table2[[HomeTeam]:[HomeTeam]],$T7, Table2[[AwayTeam]:[AwayTeam]], AA$1, Table2[[ActualResult]:[ActualResult]], "OT") + SUMIFS(Table2[[HomeWon_]:[HomeWon_]], Table2[[GameIsOver]:[GameIsOver]],1,Table2[[AwayTeam]:[AwayTeam]],$T7, Table2[[HomeTeam]:[HomeTeam]], AA$1, Table2[[ActualResult]:[ActualResult]], "SO") + SUMIFS(Table2[[AwayWon]:[AwayWon]], Table2[[GameIsOver]:[GameIsOver]],1,Table2[[HomeTeam]:[HomeTeam]],$T7, Table2[[AwayTeam]:[AwayTeam]], AA$1, Table2[[ActualResult]:[ActualResult]], "SO")))</f>
        <v>2</v>
      </c>
      <c r="AB7">
        <f>(2*(SUMIFS(Table2[[AwayWon]:[AwayWon]], Table2[[GameIsOver]:[GameIsOver]],1,Table2[[AwayTeam]:[AwayTeam]],$T7, Table2[[HomeTeam]:[HomeTeam]], AB$1) + SUMIFS(Table2[[HomeWon_]:[HomeWon_]], Table2[[GameIsOver]:[GameIsOver]],1,Table2[[HomeTeam]:[HomeTeam]],$T7, Table2[[AwayTeam]:[AwayTeam]], AB$1))) + (0*(SUMIFS(Table2[[HomeWon_]:[HomeWon_]], Table2[[GameIsOver]:[GameIsOver]],1,Table2[[AwayTeam]:[AwayTeam]],$T7, Table2[[HomeTeam]:[HomeTeam]], AB$1, Table2[[ActualResult]:[ActualResult]], "REG") + SUMIFS(Table2[[AwayWon]:[AwayWon]], Table2[[GameIsOver]:[GameIsOver]],1,Table2[[HomeTeam]:[HomeTeam]],$T7, Table2[[AwayTeam]:[AwayTeam]], AB$1, Table2[[ActualResult]:[ActualResult]], "REG"))) + (1*(SUMIFS(Table2[[HomeWon_]:[HomeWon_]], Table2[[GameIsOver]:[GameIsOver]],1,Table2[[AwayTeam]:[AwayTeam]],$T7, Table2[[HomeTeam]:[HomeTeam]], AB$1, Table2[[ActualResult]:[ActualResult]], "OT") + SUMIFS(Table2[[AwayWon]:[AwayWon]], Table2[[GameIsOver]:[GameIsOver]],1,Table2[[HomeTeam]:[HomeTeam]],$T7, Table2[[AwayTeam]:[AwayTeam]], AB$1, Table2[[ActualResult]:[ActualResult]], "OT") + SUMIFS(Table2[[HomeWon_]:[HomeWon_]], Table2[[GameIsOver]:[GameIsOver]],1,Table2[[AwayTeam]:[AwayTeam]],$T7, Table2[[HomeTeam]:[HomeTeam]], AB$1, Table2[[ActualResult]:[ActualResult]], "SO") + SUMIFS(Table2[[AwayWon]:[AwayWon]], Table2[[GameIsOver]:[GameIsOver]],1,Table2[[HomeTeam]:[HomeTeam]],$T7, Table2[[AwayTeam]:[AwayTeam]], AB$1, Table2[[ActualResult]:[ActualResult]], "SO")))</f>
        <v>0</v>
      </c>
      <c r="AC7">
        <f>(2*(SUMIFS(Table2[[AwayWon]:[AwayWon]], Table2[[GameIsOver]:[GameIsOver]],1,Table2[[AwayTeam]:[AwayTeam]],$T7, Table2[[HomeTeam]:[HomeTeam]], AC$1) + SUMIFS(Table2[[HomeWon_]:[HomeWon_]], Table2[[GameIsOver]:[GameIsOver]],1,Table2[[HomeTeam]:[HomeTeam]],$T7, Table2[[AwayTeam]:[AwayTeam]], AC$1))) + (0*(SUMIFS(Table2[[HomeWon_]:[HomeWon_]], Table2[[GameIsOver]:[GameIsOver]],1,Table2[[AwayTeam]:[AwayTeam]],$T7, Table2[[HomeTeam]:[HomeTeam]], AC$1, Table2[[ActualResult]:[ActualResult]], "REG") + SUMIFS(Table2[[AwayWon]:[AwayWon]], Table2[[GameIsOver]:[GameIsOver]],1,Table2[[HomeTeam]:[HomeTeam]],$T7, Table2[[AwayTeam]:[AwayTeam]], AC$1, Table2[[ActualResult]:[ActualResult]], "REG"))) + (1*(SUMIFS(Table2[[HomeWon_]:[HomeWon_]], Table2[[GameIsOver]:[GameIsOver]],1,Table2[[AwayTeam]:[AwayTeam]],$T7, Table2[[HomeTeam]:[HomeTeam]], AC$1, Table2[[ActualResult]:[ActualResult]], "OT") + SUMIFS(Table2[[AwayWon]:[AwayWon]], Table2[[GameIsOver]:[GameIsOver]],1,Table2[[HomeTeam]:[HomeTeam]],$T7, Table2[[AwayTeam]:[AwayTeam]], AC$1, Table2[[ActualResult]:[ActualResult]], "OT") + SUMIFS(Table2[[HomeWon_]:[HomeWon_]], Table2[[GameIsOver]:[GameIsOver]],1,Table2[[AwayTeam]:[AwayTeam]],$T7, Table2[[HomeTeam]:[HomeTeam]], AC$1, Table2[[ActualResult]:[ActualResult]], "SO") + SUMIFS(Table2[[AwayWon]:[AwayWon]], Table2[[GameIsOver]:[GameIsOver]],1,Table2[[HomeTeam]:[HomeTeam]],$T7, Table2[[AwayTeam]:[AwayTeam]], AC$1, Table2[[ActualResult]:[ActualResult]], "SO")))</f>
        <v>0</v>
      </c>
      <c r="AD7">
        <f>(2*(SUMIFS(Table2[[AwayWon]:[AwayWon]], Table2[[GameIsOver]:[GameIsOver]],1,Table2[[AwayTeam]:[AwayTeam]],$T7, Table2[[HomeTeam]:[HomeTeam]], AD$1) + SUMIFS(Table2[[HomeWon_]:[HomeWon_]], Table2[[GameIsOver]:[GameIsOver]],1,Table2[[HomeTeam]:[HomeTeam]],$T7, Table2[[AwayTeam]:[AwayTeam]], AD$1))) + (0*(SUMIFS(Table2[[HomeWon_]:[HomeWon_]], Table2[[GameIsOver]:[GameIsOver]],1,Table2[[AwayTeam]:[AwayTeam]],$T7, Table2[[HomeTeam]:[HomeTeam]], AD$1, Table2[[ActualResult]:[ActualResult]], "REG") + SUMIFS(Table2[[AwayWon]:[AwayWon]], Table2[[GameIsOver]:[GameIsOver]],1,Table2[[HomeTeam]:[HomeTeam]],$T7, Table2[[AwayTeam]:[AwayTeam]], AD$1, Table2[[ActualResult]:[ActualResult]], "REG"))) + (1*(SUMIFS(Table2[[HomeWon_]:[HomeWon_]], Table2[[GameIsOver]:[GameIsOver]],1,Table2[[AwayTeam]:[AwayTeam]],$T7, Table2[[HomeTeam]:[HomeTeam]], AD$1, Table2[[ActualResult]:[ActualResult]], "OT") + SUMIFS(Table2[[AwayWon]:[AwayWon]], Table2[[GameIsOver]:[GameIsOver]],1,Table2[[HomeTeam]:[HomeTeam]],$T7, Table2[[AwayTeam]:[AwayTeam]], AD$1, Table2[[ActualResult]:[ActualResult]], "OT") + SUMIFS(Table2[[HomeWon_]:[HomeWon_]], Table2[[GameIsOver]:[GameIsOver]],1,Table2[[AwayTeam]:[AwayTeam]],$T7, Table2[[HomeTeam]:[HomeTeam]], AD$1, Table2[[ActualResult]:[ActualResult]], "SO") + SUMIFS(Table2[[AwayWon]:[AwayWon]], Table2[[GameIsOver]:[GameIsOver]],1,Table2[[HomeTeam]:[HomeTeam]],$T7, Table2[[AwayTeam]:[AwayTeam]], AD$1, Table2[[ActualResult]:[ActualResult]], "SO")))</f>
        <v>1</v>
      </c>
      <c r="AE7">
        <f>(2*(SUMIFS(Table2[[AwayWon]:[AwayWon]], Table2[[GameIsOver]:[GameIsOver]],1,Table2[[AwayTeam]:[AwayTeam]],$T7, Table2[[HomeTeam]:[HomeTeam]], AE$1) + SUMIFS(Table2[[HomeWon_]:[HomeWon_]], Table2[[GameIsOver]:[GameIsOver]],1,Table2[[HomeTeam]:[HomeTeam]],$T7, Table2[[AwayTeam]:[AwayTeam]], AE$1))) + (0*(SUMIFS(Table2[[HomeWon_]:[HomeWon_]], Table2[[GameIsOver]:[GameIsOver]],1,Table2[[AwayTeam]:[AwayTeam]],$T7, Table2[[HomeTeam]:[HomeTeam]], AE$1, Table2[[ActualResult]:[ActualResult]], "REG") + SUMIFS(Table2[[AwayWon]:[AwayWon]], Table2[[GameIsOver]:[GameIsOver]],1,Table2[[HomeTeam]:[HomeTeam]],$T7, Table2[[AwayTeam]:[AwayTeam]], AE$1, Table2[[ActualResult]:[ActualResult]], "REG"))) + (1*(SUMIFS(Table2[[HomeWon_]:[HomeWon_]], Table2[[GameIsOver]:[GameIsOver]],1,Table2[[AwayTeam]:[AwayTeam]],$T7, Table2[[HomeTeam]:[HomeTeam]], AE$1, Table2[[ActualResult]:[ActualResult]], "OT") + SUMIFS(Table2[[AwayWon]:[AwayWon]], Table2[[GameIsOver]:[GameIsOver]],1,Table2[[HomeTeam]:[HomeTeam]],$T7, Table2[[AwayTeam]:[AwayTeam]], AE$1, Table2[[ActualResult]:[ActualResult]], "OT") + SUMIFS(Table2[[HomeWon_]:[HomeWon_]], Table2[[GameIsOver]:[GameIsOver]],1,Table2[[AwayTeam]:[AwayTeam]],$T7, Table2[[HomeTeam]:[HomeTeam]], AE$1, Table2[[ActualResult]:[ActualResult]], "SO") + SUMIFS(Table2[[AwayWon]:[AwayWon]], Table2[[GameIsOver]:[GameIsOver]],1,Table2[[HomeTeam]:[HomeTeam]],$T7, Table2[[AwayTeam]:[AwayTeam]], AE$1, Table2[[ActualResult]:[ActualResult]], "SO")))</f>
        <v>0</v>
      </c>
      <c r="AF7">
        <f>(2*(SUMIFS(Table2[[AwayWon]:[AwayWon]], Table2[[GameIsOver]:[GameIsOver]],1,Table2[[AwayTeam]:[AwayTeam]],$T7, Table2[[HomeTeam]:[HomeTeam]], AF$1) + SUMIFS(Table2[[HomeWon_]:[HomeWon_]], Table2[[GameIsOver]:[GameIsOver]],1,Table2[[HomeTeam]:[HomeTeam]],$T7, Table2[[AwayTeam]:[AwayTeam]], AF$1))) + (0*(SUMIFS(Table2[[HomeWon_]:[HomeWon_]], Table2[[GameIsOver]:[GameIsOver]],1,Table2[[AwayTeam]:[AwayTeam]],$T7, Table2[[HomeTeam]:[HomeTeam]], AF$1, Table2[[ActualResult]:[ActualResult]], "REG") + SUMIFS(Table2[[AwayWon]:[AwayWon]], Table2[[GameIsOver]:[GameIsOver]],1,Table2[[HomeTeam]:[HomeTeam]],$T7, Table2[[AwayTeam]:[AwayTeam]], AF$1, Table2[[ActualResult]:[ActualResult]], "REG"))) + (1*(SUMIFS(Table2[[HomeWon_]:[HomeWon_]], Table2[[GameIsOver]:[GameIsOver]],1,Table2[[AwayTeam]:[AwayTeam]],$T7, Table2[[HomeTeam]:[HomeTeam]], AF$1, Table2[[ActualResult]:[ActualResult]], "OT") + SUMIFS(Table2[[AwayWon]:[AwayWon]], Table2[[GameIsOver]:[GameIsOver]],1,Table2[[HomeTeam]:[HomeTeam]],$T7, Table2[[AwayTeam]:[AwayTeam]], AF$1, Table2[[ActualResult]:[ActualResult]], "OT") + SUMIFS(Table2[[HomeWon_]:[HomeWon_]], Table2[[GameIsOver]:[GameIsOver]],1,Table2[[AwayTeam]:[AwayTeam]],$T7, Table2[[HomeTeam]:[HomeTeam]], AF$1, Table2[[ActualResult]:[ActualResult]], "SO") + SUMIFS(Table2[[AwayWon]:[AwayWon]], Table2[[GameIsOver]:[GameIsOver]],1,Table2[[HomeTeam]:[HomeTeam]],$T7, Table2[[AwayTeam]:[AwayTeam]], AF$1, Table2[[ActualResult]:[ActualResult]], "SO")))</f>
        <v>0</v>
      </c>
      <c r="AG7">
        <f>(2*(SUMIFS(Table2[[AwayWon]:[AwayWon]], Table2[[GameIsOver]:[GameIsOver]],1,Table2[[AwayTeam]:[AwayTeam]],$T7, Table2[[HomeTeam]:[HomeTeam]], AG$1) + SUMIFS(Table2[[HomeWon_]:[HomeWon_]], Table2[[GameIsOver]:[GameIsOver]],1,Table2[[HomeTeam]:[HomeTeam]],$T7, Table2[[AwayTeam]:[AwayTeam]], AG$1))) + (0*(SUMIFS(Table2[[HomeWon_]:[HomeWon_]], Table2[[GameIsOver]:[GameIsOver]],1,Table2[[AwayTeam]:[AwayTeam]],$T7, Table2[[HomeTeam]:[HomeTeam]], AG$1, Table2[[ActualResult]:[ActualResult]], "REG") + SUMIFS(Table2[[AwayWon]:[AwayWon]], Table2[[GameIsOver]:[GameIsOver]],1,Table2[[HomeTeam]:[HomeTeam]],$T7, Table2[[AwayTeam]:[AwayTeam]], AG$1, Table2[[ActualResult]:[ActualResult]], "REG"))) + (1*(SUMIFS(Table2[[HomeWon_]:[HomeWon_]], Table2[[GameIsOver]:[GameIsOver]],1,Table2[[AwayTeam]:[AwayTeam]],$T7, Table2[[HomeTeam]:[HomeTeam]], AG$1, Table2[[ActualResult]:[ActualResult]], "OT") + SUMIFS(Table2[[AwayWon]:[AwayWon]], Table2[[GameIsOver]:[GameIsOver]],1,Table2[[HomeTeam]:[HomeTeam]],$T7, Table2[[AwayTeam]:[AwayTeam]], AG$1, Table2[[ActualResult]:[ActualResult]], "OT") + SUMIFS(Table2[[HomeWon_]:[HomeWon_]], Table2[[GameIsOver]:[GameIsOver]],1,Table2[[AwayTeam]:[AwayTeam]],$T7, Table2[[HomeTeam]:[HomeTeam]], AG$1, Table2[[ActualResult]:[ActualResult]], "SO") + SUMIFS(Table2[[AwayWon]:[AwayWon]], Table2[[GameIsOver]:[GameIsOver]],1,Table2[[HomeTeam]:[HomeTeam]],$T7, Table2[[AwayTeam]:[AwayTeam]], AG$1, Table2[[ActualResult]:[ActualResult]], "SO")))</f>
        <v>0</v>
      </c>
      <c r="AH7">
        <f>(2*(SUMIFS(Table2[[AwayWon]:[AwayWon]], Table2[[GameIsOver]:[GameIsOver]],1,Table2[[AwayTeam]:[AwayTeam]],$T7, Table2[[HomeTeam]:[HomeTeam]], AH$1) + SUMIFS(Table2[[HomeWon_]:[HomeWon_]], Table2[[GameIsOver]:[GameIsOver]],1,Table2[[HomeTeam]:[HomeTeam]],$T7, Table2[[AwayTeam]:[AwayTeam]], AH$1))) + (0*(SUMIFS(Table2[[HomeWon_]:[HomeWon_]], Table2[[GameIsOver]:[GameIsOver]],1,Table2[[AwayTeam]:[AwayTeam]],$T7, Table2[[HomeTeam]:[HomeTeam]], AH$1, Table2[[ActualResult]:[ActualResult]], "REG") + SUMIFS(Table2[[AwayWon]:[AwayWon]], Table2[[GameIsOver]:[GameIsOver]],1,Table2[[HomeTeam]:[HomeTeam]],$T7, Table2[[AwayTeam]:[AwayTeam]], AH$1, Table2[[ActualResult]:[ActualResult]], "REG"))) + (1*(SUMIFS(Table2[[HomeWon_]:[HomeWon_]], Table2[[GameIsOver]:[GameIsOver]],1,Table2[[AwayTeam]:[AwayTeam]],$T7, Table2[[HomeTeam]:[HomeTeam]], AH$1, Table2[[ActualResult]:[ActualResult]], "OT") + SUMIFS(Table2[[AwayWon]:[AwayWon]], Table2[[GameIsOver]:[GameIsOver]],1,Table2[[HomeTeam]:[HomeTeam]],$T7, Table2[[AwayTeam]:[AwayTeam]], AH$1, Table2[[ActualResult]:[ActualResult]], "OT") + SUMIFS(Table2[[HomeWon_]:[HomeWon_]], Table2[[GameIsOver]:[GameIsOver]],1,Table2[[AwayTeam]:[AwayTeam]],$T7, Table2[[HomeTeam]:[HomeTeam]], AH$1, Table2[[ActualResult]:[ActualResult]], "SO") + SUMIFS(Table2[[AwayWon]:[AwayWon]], Table2[[GameIsOver]:[GameIsOver]],1,Table2[[HomeTeam]:[HomeTeam]],$T7, Table2[[AwayTeam]:[AwayTeam]], AH$1, Table2[[ActualResult]:[ActualResult]], "SO")))</f>
        <v>2</v>
      </c>
      <c r="AI7">
        <f>(2*(SUMIFS(Table2[[AwayWon]:[AwayWon]], Table2[[GameIsOver]:[GameIsOver]],1,Table2[[AwayTeam]:[AwayTeam]],$T7, Table2[[HomeTeam]:[HomeTeam]], AI$1) + SUMIFS(Table2[[HomeWon_]:[HomeWon_]], Table2[[GameIsOver]:[GameIsOver]],1,Table2[[HomeTeam]:[HomeTeam]],$T7, Table2[[AwayTeam]:[AwayTeam]], AI$1))) + (0*(SUMIFS(Table2[[HomeWon_]:[HomeWon_]], Table2[[GameIsOver]:[GameIsOver]],1,Table2[[AwayTeam]:[AwayTeam]],$T7, Table2[[HomeTeam]:[HomeTeam]], AI$1, Table2[[ActualResult]:[ActualResult]], "REG") + SUMIFS(Table2[[AwayWon]:[AwayWon]], Table2[[GameIsOver]:[GameIsOver]],1,Table2[[HomeTeam]:[HomeTeam]],$T7, Table2[[AwayTeam]:[AwayTeam]], AI$1, Table2[[ActualResult]:[ActualResult]], "REG"))) + (1*(SUMIFS(Table2[[HomeWon_]:[HomeWon_]], Table2[[GameIsOver]:[GameIsOver]],1,Table2[[AwayTeam]:[AwayTeam]],$T7, Table2[[HomeTeam]:[HomeTeam]], AI$1, Table2[[ActualResult]:[ActualResult]], "OT") + SUMIFS(Table2[[AwayWon]:[AwayWon]], Table2[[GameIsOver]:[GameIsOver]],1,Table2[[HomeTeam]:[HomeTeam]],$T7, Table2[[AwayTeam]:[AwayTeam]], AI$1, Table2[[ActualResult]:[ActualResult]], "OT") + SUMIFS(Table2[[HomeWon_]:[HomeWon_]], Table2[[GameIsOver]:[GameIsOver]],1,Table2[[AwayTeam]:[AwayTeam]],$T7, Table2[[HomeTeam]:[HomeTeam]], AI$1, Table2[[ActualResult]:[ActualResult]], "SO") + SUMIFS(Table2[[AwayWon]:[AwayWon]], Table2[[GameIsOver]:[GameIsOver]],1,Table2[[HomeTeam]:[HomeTeam]],$T7, Table2[[AwayTeam]:[AwayTeam]], AI$1, Table2[[ActualResult]:[ActualResult]], "SO")))</f>
        <v>0</v>
      </c>
      <c r="AJ7">
        <f>(2*(SUMIFS(Table2[[AwayWon]:[AwayWon]], Table2[[GameIsOver]:[GameIsOver]],1,Table2[[AwayTeam]:[AwayTeam]],$T7, Table2[[HomeTeam]:[HomeTeam]], AJ$1) + SUMIFS(Table2[[HomeWon_]:[HomeWon_]], Table2[[GameIsOver]:[GameIsOver]],1,Table2[[HomeTeam]:[HomeTeam]],$T7, Table2[[AwayTeam]:[AwayTeam]], AJ$1))) + (0*(SUMIFS(Table2[[HomeWon_]:[HomeWon_]], Table2[[GameIsOver]:[GameIsOver]],1,Table2[[AwayTeam]:[AwayTeam]],$T7, Table2[[HomeTeam]:[HomeTeam]], AJ$1, Table2[[ActualResult]:[ActualResult]], "REG") + SUMIFS(Table2[[AwayWon]:[AwayWon]], Table2[[GameIsOver]:[GameIsOver]],1,Table2[[HomeTeam]:[HomeTeam]],$T7, Table2[[AwayTeam]:[AwayTeam]], AJ$1, Table2[[ActualResult]:[ActualResult]], "REG"))) + (1*(SUMIFS(Table2[[HomeWon_]:[HomeWon_]], Table2[[GameIsOver]:[GameIsOver]],1,Table2[[AwayTeam]:[AwayTeam]],$T7, Table2[[HomeTeam]:[HomeTeam]], AJ$1, Table2[[ActualResult]:[ActualResult]], "OT") + SUMIFS(Table2[[AwayWon]:[AwayWon]], Table2[[GameIsOver]:[GameIsOver]],1,Table2[[HomeTeam]:[HomeTeam]],$T7, Table2[[AwayTeam]:[AwayTeam]], AJ$1, Table2[[ActualResult]:[ActualResult]], "OT") + SUMIFS(Table2[[HomeWon_]:[HomeWon_]], Table2[[GameIsOver]:[GameIsOver]],1,Table2[[AwayTeam]:[AwayTeam]],$T7, Table2[[HomeTeam]:[HomeTeam]], AJ$1, Table2[[ActualResult]:[ActualResult]], "SO") + SUMIFS(Table2[[AwayWon]:[AwayWon]], Table2[[GameIsOver]:[GameIsOver]],1,Table2[[HomeTeam]:[HomeTeam]],$T7, Table2[[AwayTeam]:[AwayTeam]], AJ$1, Table2[[ActualResult]:[ActualResult]], "SO")))</f>
        <v>0</v>
      </c>
      <c r="AK7">
        <f>(2*(SUMIFS(Table2[[AwayWon]:[AwayWon]], Table2[[GameIsOver]:[GameIsOver]],1,Table2[[AwayTeam]:[AwayTeam]],$T7, Table2[[HomeTeam]:[HomeTeam]], AK$1) + SUMIFS(Table2[[HomeWon_]:[HomeWon_]], Table2[[GameIsOver]:[GameIsOver]],1,Table2[[HomeTeam]:[HomeTeam]],$T7, Table2[[AwayTeam]:[AwayTeam]], AK$1))) + (0*(SUMIFS(Table2[[HomeWon_]:[HomeWon_]], Table2[[GameIsOver]:[GameIsOver]],1,Table2[[AwayTeam]:[AwayTeam]],$T7, Table2[[HomeTeam]:[HomeTeam]], AK$1, Table2[[ActualResult]:[ActualResult]], "REG") + SUMIFS(Table2[[AwayWon]:[AwayWon]], Table2[[GameIsOver]:[GameIsOver]],1,Table2[[HomeTeam]:[HomeTeam]],$T7, Table2[[AwayTeam]:[AwayTeam]], AK$1, Table2[[ActualResult]:[ActualResult]], "REG"))) + (1*(SUMIFS(Table2[[HomeWon_]:[HomeWon_]], Table2[[GameIsOver]:[GameIsOver]],1,Table2[[AwayTeam]:[AwayTeam]],$T7, Table2[[HomeTeam]:[HomeTeam]], AK$1, Table2[[ActualResult]:[ActualResult]], "OT") + SUMIFS(Table2[[AwayWon]:[AwayWon]], Table2[[GameIsOver]:[GameIsOver]],1,Table2[[HomeTeam]:[HomeTeam]],$T7, Table2[[AwayTeam]:[AwayTeam]], AK$1, Table2[[ActualResult]:[ActualResult]], "OT") + SUMIFS(Table2[[HomeWon_]:[HomeWon_]], Table2[[GameIsOver]:[GameIsOver]],1,Table2[[AwayTeam]:[AwayTeam]],$T7, Table2[[HomeTeam]:[HomeTeam]], AK$1, Table2[[ActualResult]:[ActualResult]], "SO") + SUMIFS(Table2[[AwayWon]:[AwayWon]], Table2[[GameIsOver]:[GameIsOver]],1,Table2[[HomeTeam]:[HomeTeam]],$T7, Table2[[AwayTeam]:[AwayTeam]], AK$1, Table2[[ActualResult]:[ActualResult]], "SO")))</f>
        <v>0</v>
      </c>
      <c r="AL7">
        <f>(2*(SUMIFS(Table2[[AwayWon]:[AwayWon]], Table2[[GameIsOver]:[GameIsOver]],1,Table2[[AwayTeam]:[AwayTeam]],$T7, Table2[[HomeTeam]:[HomeTeam]], AL$1) + SUMIFS(Table2[[HomeWon_]:[HomeWon_]], Table2[[GameIsOver]:[GameIsOver]],1,Table2[[HomeTeam]:[HomeTeam]],$T7, Table2[[AwayTeam]:[AwayTeam]], AL$1))) + (0*(SUMIFS(Table2[[HomeWon_]:[HomeWon_]], Table2[[GameIsOver]:[GameIsOver]],1,Table2[[AwayTeam]:[AwayTeam]],$T7, Table2[[HomeTeam]:[HomeTeam]], AL$1, Table2[[ActualResult]:[ActualResult]], "REG") + SUMIFS(Table2[[AwayWon]:[AwayWon]], Table2[[GameIsOver]:[GameIsOver]],1,Table2[[HomeTeam]:[HomeTeam]],$T7, Table2[[AwayTeam]:[AwayTeam]], AL$1, Table2[[ActualResult]:[ActualResult]], "REG"))) + (1*(SUMIFS(Table2[[HomeWon_]:[HomeWon_]], Table2[[GameIsOver]:[GameIsOver]],1,Table2[[AwayTeam]:[AwayTeam]],$T7, Table2[[HomeTeam]:[HomeTeam]], AL$1, Table2[[ActualResult]:[ActualResult]], "OT") + SUMIFS(Table2[[AwayWon]:[AwayWon]], Table2[[GameIsOver]:[GameIsOver]],1,Table2[[HomeTeam]:[HomeTeam]],$T7, Table2[[AwayTeam]:[AwayTeam]], AL$1, Table2[[ActualResult]:[ActualResult]], "OT") + SUMIFS(Table2[[HomeWon_]:[HomeWon_]], Table2[[GameIsOver]:[GameIsOver]],1,Table2[[AwayTeam]:[AwayTeam]],$T7, Table2[[HomeTeam]:[HomeTeam]], AL$1, Table2[[ActualResult]:[ActualResult]], "SO") + SUMIFS(Table2[[AwayWon]:[AwayWon]], Table2[[GameIsOver]:[GameIsOver]],1,Table2[[HomeTeam]:[HomeTeam]],$T7, Table2[[AwayTeam]:[AwayTeam]], AL$1, Table2[[ActualResult]:[ActualResult]], "SO")))</f>
        <v>0</v>
      </c>
      <c r="AM7">
        <f>(2*(SUMIFS(Table2[[AwayWon]:[AwayWon]], Table2[[GameIsOver]:[GameIsOver]],1,Table2[[AwayTeam]:[AwayTeam]],$T7, Table2[[HomeTeam]:[HomeTeam]], AM$1) + SUMIFS(Table2[[HomeWon_]:[HomeWon_]], Table2[[GameIsOver]:[GameIsOver]],1,Table2[[HomeTeam]:[HomeTeam]],$T7, Table2[[AwayTeam]:[AwayTeam]], AM$1))) + (0*(SUMIFS(Table2[[HomeWon_]:[HomeWon_]], Table2[[GameIsOver]:[GameIsOver]],1,Table2[[AwayTeam]:[AwayTeam]],$T7, Table2[[HomeTeam]:[HomeTeam]], AM$1, Table2[[ActualResult]:[ActualResult]], "REG") + SUMIFS(Table2[[AwayWon]:[AwayWon]], Table2[[GameIsOver]:[GameIsOver]],1,Table2[[HomeTeam]:[HomeTeam]],$T7, Table2[[AwayTeam]:[AwayTeam]], AM$1, Table2[[ActualResult]:[ActualResult]], "REG"))) + (1*(SUMIFS(Table2[[HomeWon_]:[HomeWon_]], Table2[[GameIsOver]:[GameIsOver]],1,Table2[[AwayTeam]:[AwayTeam]],$T7, Table2[[HomeTeam]:[HomeTeam]], AM$1, Table2[[ActualResult]:[ActualResult]], "OT") + SUMIFS(Table2[[AwayWon]:[AwayWon]], Table2[[GameIsOver]:[GameIsOver]],1,Table2[[HomeTeam]:[HomeTeam]],$T7, Table2[[AwayTeam]:[AwayTeam]], AM$1, Table2[[ActualResult]:[ActualResult]], "OT") + SUMIFS(Table2[[HomeWon_]:[HomeWon_]], Table2[[GameIsOver]:[GameIsOver]],1,Table2[[AwayTeam]:[AwayTeam]],$T7, Table2[[HomeTeam]:[HomeTeam]], AM$1, Table2[[ActualResult]:[ActualResult]], "SO") + SUMIFS(Table2[[AwayWon]:[AwayWon]], Table2[[GameIsOver]:[GameIsOver]],1,Table2[[HomeTeam]:[HomeTeam]],$T7, Table2[[AwayTeam]:[AwayTeam]], AM$1, Table2[[ActualResult]:[ActualResult]], "SO")))</f>
        <v>0</v>
      </c>
      <c r="AN7">
        <f>(2*(SUMIFS(Table2[[AwayWon]:[AwayWon]], Table2[[GameIsOver]:[GameIsOver]],1,Table2[[AwayTeam]:[AwayTeam]],$T7, Table2[[HomeTeam]:[HomeTeam]], AN$1) + SUMIFS(Table2[[HomeWon_]:[HomeWon_]], Table2[[GameIsOver]:[GameIsOver]],1,Table2[[HomeTeam]:[HomeTeam]],$T7, Table2[[AwayTeam]:[AwayTeam]], AN$1))) + (0*(SUMIFS(Table2[[HomeWon_]:[HomeWon_]], Table2[[GameIsOver]:[GameIsOver]],1,Table2[[AwayTeam]:[AwayTeam]],$T7, Table2[[HomeTeam]:[HomeTeam]], AN$1, Table2[[ActualResult]:[ActualResult]], "REG") + SUMIFS(Table2[[AwayWon]:[AwayWon]], Table2[[GameIsOver]:[GameIsOver]],1,Table2[[HomeTeam]:[HomeTeam]],$T7, Table2[[AwayTeam]:[AwayTeam]], AN$1, Table2[[ActualResult]:[ActualResult]], "REG"))) + (1*(SUMIFS(Table2[[HomeWon_]:[HomeWon_]], Table2[[GameIsOver]:[GameIsOver]],1,Table2[[AwayTeam]:[AwayTeam]],$T7, Table2[[HomeTeam]:[HomeTeam]], AN$1, Table2[[ActualResult]:[ActualResult]], "OT") + SUMIFS(Table2[[AwayWon]:[AwayWon]], Table2[[GameIsOver]:[GameIsOver]],1,Table2[[HomeTeam]:[HomeTeam]],$T7, Table2[[AwayTeam]:[AwayTeam]], AN$1, Table2[[ActualResult]:[ActualResult]], "OT") + SUMIFS(Table2[[HomeWon_]:[HomeWon_]], Table2[[GameIsOver]:[GameIsOver]],1,Table2[[AwayTeam]:[AwayTeam]],$T7, Table2[[HomeTeam]:[HomeTeam]], AN$1, Table2[[ActualResult]:[ActualResult]], "SO") + SUMIFS(Table2[[AwayWon]:[AwayWon]], Table2[[GameIsOver]:[GameIsOver]],1,Table2[[HomeTeam]:[HomeTeam]],$T7, Table2[[AwayTeam]:[AwayTeam]], AN$1, Table2[[ActualResult]:[ActualResult]], "SO")))</f>
        <v>0</v>
      </c>
      <c r="AO7">
        <f>(2*(SUMIFS(Table2[[AwayWon]:[AwayWon]], Table2[[GameIsOver]:[GameIsOver]],1,Table2[[AwayTeam]:[AwayTeam]],$T7, Table2[[HomeTeam]:[HomeTeam]], AO$1) + SUMIFS(Table2[[HomeWon_]:[HomeWon_]], Table2[[GameIsOver]:[GameIsOver]],1,Table2[[HomeTeam]:[HomeTeam]],$T7, Table2[[AwayTeam]:[AwayTeam]], AO$1))) + (0*(SUMIFS(Table2[[HomeWon_]:[HomeWon_]], Table2[[GameIsOver]:[GameIsOver]],1,Table2[[AwayTeam]:[AwayTeam]],$T7, Table2[[HomeTeam]:[HomeTeam]], AO$1, Table2[[ActualResult]:[ActualResult]], "REG") + SUMIFS(Table2[[AwayWon]:[AwayWon]], Table2[[GameIsOver]:[GameIsOver]],1,Table2[[HomeTeam]:[HomeTeam]],$T7, Table2[[AwayTeam]:[AwayTeam]], AO$1, Table2[[ActualResult]:[ActualResult]], "REG"))) + (1*(SUMIFS(Table2[[HomeWon_]:[HomeWon_]], Table2[[GameIsOver]:[GameIsOver]],1,Table2[[AwayTeam]:[AwayTeam]],$T7, Table2[[HomeTeam]:[HomeTeam]], AO$1, Table2[[ActualResult]:[ActualResult]], "OT") + SUMIFS(Table2[[AwayWon]:[AwayWon]], Table2[[GameIsOver]:[GameIsOver]],1,Table2[[HomeTeam]:[HomeTeam]],$T7, Table2[[AwayTeam]:[AwayTeam]], AO$1, Table2[[ActualResult]:[ActualResult]], "OT") + SUMIFS(Table2[[HomeWon_]:[HomeWon_]], Table2[[GameIsOver]:[GameIsOver]],1,Table2[[AwayTeam]:[AwayTeam]],$T7, Table2[[HomeTeam]:[HomeTeam]], AO$1, Table2[[ActualResult]:[ActualResult]], "SO") + SUMIFS(Table2[[AwayWon]:[AwayWon]], Table2[[GameIsOver]:[GameIsOver]],1,Table2[[HomeTeam]:[HomeTeam]],$T7, Table2[[AwayTeam]:[AwayTeam]], AO$1, Table2[[ActualResult]:[ActualResult]], "SO")))</f>
        <v>0</v>
      </c>
      <c r="AP7">
        <f>(2*(SUMIFS(Table2[[AwayWon]:[AwayWon]], Table2[[GameIsOver]:[GameIsOver]],1,Table2[[AwayTeam]:[AwayTeam]],$T7, Table2[[HomeTeam]:[HomeTeam]], AP$1) + SUMIFS(Table2[[HomeWon_]:[HomeWon_]], Table2[[GameIsOver]:[GameIsOver]],1,Table2[[HomeTeam]:[HomeTeam]],$T7, Table2[[AwayTeam]:[AwayTeam]], AP$1))) + (0*(SUMIFS(Table2[[HomeWon_]:[HomeWon_]], Table2[[GameIsOver]:[GameIsOver]],1,Table2[[AwayTeam]:[AwayTeam]],$T7, Table2[[HomeTeam]:[HomeTeam]], AP$1, Table2[[ActualResult]:[ActualResult]], "REG") + SUMIFS(Table2[[AwayWon]:[AwayWon]], Table2[[GameIsOver]:[GameIsOver]],1,Table2[[HomeTeam]:[HomeTeam]],$T7, Table2[[AwayTeam]:[AwayTeam]], AP$1, Table2[[ActualResult]:[ActualResult]], "REG"))) + (1*(SUMIFS(Table2[[HomeWon_]:[HomeWon_]], Table2[[GameIsOver]:[GameIsOver]],1,Table2[[AwayTeam]:[AwayTeam]],$T7, Table2[[HomeTeam]:[HomeTeam]], AP$1, Table2[[ActualResult]:[ActualResult]], "OT") + SUMIFS(Table2[[AwayWon]:[AwayWon]], Table2[[GameIsOver]:[GameIsOver]],1,Table2[[HomeTeam]:[HomeTeam]],$T7, Table2[[AwayTeam]:[AwayTeam]], AP$1, Table2[[ActualResult]:[ActualResult]], "OT") + SUMIFS(Table2[[HomeWon_]:[HomeWon_]], Table2[[GameIsOver]:[GameIsOver]],1,Table2[[AwayTeam]:[AwayTeam]],$T7, Table2[[HomeTeam]:[HomeTeam]], AP$1, Table2[[ActualResult]:[ActualResult]], "SO") + SUMIFS(Table2[[AwayWon]:[AwayWon]], Table2[[GameIsOver]:[GameIsOver]],1,Table2[[HomeTeam]:[HomeTeam]],$T7, Table2[[AwayTeam]:[AwayTeam]], AP$1, Table2[[ActualResult]:[ActualResult]], "SO")))</f>
        <v>0</v>
      </c>
      <c r="AQ7">
        <f>(2*(SUMIFS(Table2[[AwayWon]:[AwayWon]], Table2[[GameIsOver]:[GameIsOver]],1,Table2[[AwayTeam]:[AwayTeam]],$T7, Table2[[HomeTeam]:[HomeTeam]], AQ$1) + SUMIFS(Table2[[HomeWon_]:[HomeWon_]], Table2[[GameIsOver]:[GameIsOver]],1,Table2[[HomeTeam]:[HomeTeam]],$T7, Table2[[AwayTeam]:[AwayTeam]], AQ$1))) + (0*(SUMIFS(Table2[[HomeWon_]:[HomeWon_]], Table2[[GameIsOver]:[GameIsOver]],1,Table2[[AwayTeam]:[AwayTeam]],$T7, Table2[[HomeTeam]:[HomeTeam]], AQ$1, Table2[[ActualResult]:[ActualResult]], "REG") + SUMIFS(Table2[[AwayWon]:[AwayWon]], Table2[[GameIsOver]:[GameIsOver]],1,Table2[[HomeTeam]:[HomeTeam]],$T7, Table2[[AwayTeam]:[AwayTeam]], AQ$1, Table2[[ActualResult]:[ActualResult]], "REG"))) + (1*(SUMIFS(Table2[[HomeWon_]:[HomeWon_]], Table2[[GameIsOver]:[GameIsOver]],1,Table2[[AwayTeam]:[AwayTeam]],$T7, Table2[[HomeTeam]:[HomeTeam]], AQ$1, Table2[[ActualResult]:[ActualResult]], "OT") + SUMIFS(Table2[[AwayWon]:[AwayWon]], Table2[[GameIsOver]:[GameIsOver]],1,Table2[[HomeTeam]:[HomeTeam]],$T7, Table2[[AwayTeam]:[AwayTeam]], AQ$1, Table2[[ActualResult]:[ActualResult]], "OT") + SUMIFS(Table2[[HomeWon_]:[HomeWon_]], Table2[[GameIsOver]:[GameIsOver]],1,Table2[[AwayTeam]:[AwayTeam]],$T7, Table2[[HomeTeam]:[HomeTeam]], AQ$1, Table2[[ActualResult]:[ActualResult]], "SO") + SUMIFS(Table2[[AwayWon]:[AwayWon]], Table2[[GameIsOver]:[GameIsOver]],1,Table2[[HomeTeam]:[HomeTeam]],$T7, Table2[[AwayTeam]:[AwayTeam]], AQ$1, Table2[[ActualResult]:[ActualResult]], "SO")))</f>
        <v>0</v>
      </c>
      <c r="AR7">
        <f>(2*(SUMIFS(Table2[[AwayWon]:[AwayWon]], Table2[[GameIsOver]:[GameIsOver]],1,Table2[[AwayTeam]:[AwayTeam]],$T7, Table2[[HomeTeam]:[HomeTeam]], AR$1) + SUMIFS(Table2[[HomeWon_]:[HomeWon_]], Table2[[GameIsOver]:[GameIsOver]],1,Table2[[HomeTeam]:[HomeTeam]],$T7, Table2[[AwayTeam]:[AwayTeam]], AR$1))) + (0*(SUMIFS(Table2[[HomeWon_]:[HomeWon_]], Table2[[GameIsOver]:[GameIsOver]],1,Table2[[AwayTeam]:[AwayTeam]],$T7, Table2[[HomeTeam]:[HomeTeam]], AR$1, Table2[[ActualResult]:[ActualResult]], "REG") + SUMIFS(Table2[[AwayWon]:[AwayWon]], Table2[[GameIsOver]:[GameIsOver]],1,Table2[[HomeTeam]:[HomeTeam]],$T7, Table2[[AwayTeam]:[AwayTeam]], AR$1, Table2[[ActualResult]:[ActualResult]], "REG"))) + (1*(SUMIFS(Table2[[HomeWon_]:[HomeWon_]], Table2[[GameIsOver]:[GameIsOver]],1,Table2[[AwayTeam]:[AwayTeam]],$T7, Table2[[HomeTeam]:[HomeTeam]], AR$1, Table2[[ActualResult]:[ActualResult]], "OT") + SUMIFS(Table2[[AwayWon]:[AwayWon]], Table2[[GameIsOver]:[GameIsOver]],1,Table2[[HomeTeam]:[HomeTeam]],$T7, Table2[[AwayTeam]:[AwayTeam]], AR$1, Table2[[ActualResult]:[ActualResult]], "OT") + SUMIFS(Table2[[HomeWon_]:[HomeWon_]], Table2[[GameIsOver]:[GameIsOver]],1,Table2[[AwayTeam]:[AwayTeam]],$T7, Table2[[HomeTeam]:[HomeTeam]], AR$1, Table2[[ActualResult]:[ActualResult]], "SO") + SUMIFS(Table2[[AwayWon]:[AwayWon]], Table2[[GameIsOver]:[GameIsOver]],1,Table2[[HomeTeam]:[HomeTeam]],$T7, Table2[[AwayTeam]:[AwayTeam]], AR$1, Table2[[ActualResult]:[ActualResult]], "SO")))</f>
        <v>2</v>
      </c>
      <c r="AS7">
        <f>(2*(SUMIFS(Table2[[AwayWon]:[AwayWon]], Table2[[GameIsOver]:[GameIsOver]],1,Table2[[AwayTeam]:[AwayTeam]],$T7, Table2[[HomeTeam]:[HomeTeam]], AS$1) + SUMIFS(Table2[[HomeWon_]:[HomeWon_]], Table2[[GameIsOver]:[GameIsOver]],1,Table2[[HomeTeam]:[HomeTeam]],$T7, Table2[[AwayTeam]:[AwayTeam]], AS$1))) + (0*(SUMIFS(Table2[[HomeWon_]:[HomeWon_]], Table2[[GameIsOver]:[GameIsOver]],1,Table2[[AwayTeam]:[AwayTeam]],$T7, Table2[[HomeTeam]:[HomeTeam]], AS$1, Table2[[ActualResult]:[ActualResult]], "REG") + SUMIFS(Table2[[AwayWon]:[AwayWon]], Table2[[GameIsOver]:[GameIsOver]],1,Table2[[HomeTeam]:[HomeTeam]],$T7, Table2[[AwayTeam]:[AwayTeam]], AS$1, Table2[[ActualResult]:[ActualResult]], "REG"))) + (1*(SUMIFS(Table2[[HomeWon_]:[HomeWon_]], Table2[[GameIsOver]:[GameIsOver]],1,Table2[[AwayTeam]:[AwayTeam]],$T7, Table2[[HomeTeam]:[HomeTeam]], AS$1, Table2[[ActualResult]:[ActualResult]], "OT") + SUMIFS(Table2[[AwayWon]:[AwayWon]], Table2[[GameIsOver]:[GameIsOver]],1,Table2[[HomeTeam]:[HomeTeam]],$T7, Table2[[AwayTeam]:[AwayTeam]], AS$1, Table2[[ActualResult]:[ActualResult]], "OT") + SUMIFS(Table2[[HomeWon_]:[HomeWon_]], Table2[[GameIsOver]:[GameIsOver]],1,Table2[[AwayTeam]:[AwayTeam]],$T7, Table2[[HomeTeam]:[HomeTeam]], AS$1, Table2[[ActualResult]:[ActualResult]], "SO") + SUMIFS(Table2[[AwayWon]:[AwayWon]], Table2[[GameIsOver]:[GameIsOver]],1,Table2[[HomeTeam]:[HomeTeam]],$T7, Table2[[AwayTeam]:[AwayTeam]], AS$1, Table2[[ActualResult]:[ActualResult]], "SO")))</f>
        <v>0</v>
      </c>
      <c r="AT7">
        <f>(2*(SUMIFS(Table2[[AwayWon]:[AwayWon]], Table2[[GameIsOver]:[GameIsOver]],1,Table2[[AwayTeam]:[AwayTeam]],$T7, Table2[[HomeTeam]:[HomeTeam]], AT$1) + SUMIFS(Table2[[HomeWon_]:[HomeWon_]], Table2[[GameIsOver]:[GameIsOver]],1,Table2[[HomeTeam]:[HomeTeam]],$T7, Table2[[AwayTeam]:[AwayTeam]], AT$1))) + (0*(SUMIFS(Table2[[HomeWon_]:[HomeWon_]], Table2[[GameIsOver]:[GameIsOver]],1,Table2[[AwayTeam]:[AwayTeam]],$T7, Table2[[HomeTeam]:[HomeTeam]], AT$1, Table2[[ActualResult]:[ActualResult]], "REG") + SUMIFS(Table2[[AwayWon]:[AwayWon]], Table2[[GameIsOver]:[GameIsOver]],1,Table2[[HomeTeam]:[HomeTeam]],$T7, Table2[[AwayTeam]:[AwayTeam]], AT$1, Table2[[ActualResult]:[ActualResult]], "REG"))) + (1*(SUMIFS(Table2[[HomeWon_]:[HomeWon_]], Table2[[GameIsOver]:[GameIsOver]],1,Table2[[AwayTeam]:[AwayTeam]],$T7, Table2[[HomeTeam]:[HomeTeam]], AT$1, Table2[[ActualResult]:[ActualResult]], "OT") + SUMIFS(Table2[[AwayWon]:[AwayWon]], Table2[[GameIsOver]:[GameIsOver]],1,Table2[[HomeTeam]:[HomeTeam]],$T7, Table2[[AwayTeam]:[AwayTeam]], AT$1, Table2[[ActualResult]:[ActualResult]], "OT") + SUMIFS(Table2[[HomeWon_]:[HomeWon_]], Table2[[GameIsOver]:[GameIsOver]],1,Table2[[AwayTeam]:[AwayTeam]],$T7, Table2[[HomeTeam]:[HomeTeam]], AT$1, Table2[[ActualResult]:[ActualResult]], "SO") + SUMIFS(Table2[[AwayWon]:[AwayWon]], Table2[[GameIsOver]:[GameIsOver]],1,Table2[[HomeTeam]:[HomeTeam]],$T7, Table2[[AwayTeam]:[AwayTeam]], AT$1, Table2[[ActualResult]:[ActualResult]], "SO")))</f>
        <v>0</v>
      </c>
      <c r="AU7">
        <f>(2*(SUMIFS(Table2[[AwayWon]:[AwayWon]], Table2[[GameIsOver]:[GameIsOver]],1,Table2[[AwayTeam]:[AwayTeam]],$T7, Table2[[HomeTeam]:[HomeTeam]], AU$1) + SUMIFS(Table2[[HomeWon_]:[HomeWon_]], Table2[[GameIsOver]:[GameIsOver]],1,Table2[[HomeTeam]:[HomeTeam]],$T7, Table2[[AwayTeam]:[AwayTeam]], AU$1))) + (0*(SUMIFS(Table2[[HomeWon_]:[HomeWon_]], Table2[[GameIsOver]:[GameIsOver]],1,Table2[[AwayTeam]:[AwayTeam]],$T7, Table2[[HomeTeam]:[HomeTeam]], AU$1, Table2[[ActualResult]:[ActualResult]], "REG") + SUMIFS(Table2[[AwayWon]:[AwayWon]], Table2[[GameIsOver]:[GameIsOver]],1,Table2[[HomeTeam]:[HomeTeam]],$T7, Table2[[AwayTeam]:[AwayTeam]], AU$1, Table2[[ActualResult]:[ActualResult]], "REG"))) + (1*(SUMIFS(Table2[[HomeWon_]:[HomeWon_]], Table2[[GameIsOver]:[GameIsOver]],1,Table2[[AwayTeam]:[AwayTeam]],$T7, Table2[[HomeTeam]:[HomeTeam]], AU$1, Table2[[ActualResult]:[ActualResult]], "OT") + SUMIFS(Table2[[AwayWon]:[AwayWon]], Table2[[GameIsOver]:[GameIsOver]],1,Table2[[HomeTeam]:[HomeTeam]],$T7, Table2[[AwayTeam]:[AwayTeam]], AU$1, Table2[[ActualResult]:[ActualResult]], "OT") + SUMIFS(Table2[[HomeWon_]:[HomeWon_]], Table2[[GameIsOver]:[GameIsOver]],1,Table2[[AwayTeam]:[AwayTeam]],$T7, Table2[[HomeTeam]:[HomeTeam]], AU$1, Table2[[ActualResult]:[ActualResult]], "SO") + SUMIFS(Table2[[AwayWon]:[AwayWon]], Table2[[GameIsOver]:[GameIsOver]],1,Table2[[HomeTeam]:[HomeTeam]],$T7, Table2[[AwayTeam]:[AwayTeam]], AU$1, Table2[[ActualResult]:[ActualResult]], "SO")))</f>
        <v>0</v>
      </c>
      <c r="AV7">
        <f>(2*(SUMIFS(Table2[[AwayWon]:[AwayWon]], Table2[[GameIsOver]:[GameIsOver]],1,Table2[[AwayTeam]:[AwayTeam]],$T7, Table2[[HomeTeam]:[HomeTeam]], AV$1) + SUMIFS(Table2[[HomeWon_]:[HomeWon_]], Table2[[GameIsOver]:[GameIsOver]],1,Table2[[HomeTeam]:[HomeTeam]],$T7, Table2[[AwayTeam]:[AwayTeam]], AV$1))) + (0*(SUMIFS(Table2[[HomeWon_]:[HomeWon_]], Table2[[GameIsOver]:[GameIsOver]],1,Table2[[AwayTeam]:[AwayTeam]],$T7, Table2[[HomeTeam]:[HomeTeam]], AV$1, Table2[[ActualResult]:[ActualResult]], "REG") + SUMIFS(Table2[[AwayWon]:[AwayWon]], Table2[[GameIsOver]:[GameIsOver]],1,Table2[[HomeTeam]:[HomeTeam]],$T7, Table2[[AwayTeam]:[AwayTeam]], AV$1, Table2[[ActualResult]:[ActualResult]], "REG"))) + (1*(SUMIFS(Table2[[HomeWon_]:[HomeWon_]], Table2[[GameIsOver]:[GameIsOver]],1,Table2[[AwayTeam]:[AwayTeam]],$T7, Table2[[HomeTeam]:[HomeTeam]], AV$1, Table2[[ActualResult]:[ActualResult]], "OT") + SUMIFS(Table2[[AwayWon]:[AwayWon]], Table2[[GameIsOver]:[GameIsOver]],1,Table2[[HomeTeam]:[HomeTeam]],$T7, Table2[[AwayTeam]:[AwayTeam]], AV$1, Table2[[ActualResult]:[ActualResult]], "OT") + SUMIFS(Table2[[HomeWon_]:[HomeWon_]], Table2[[GameIsOver]:[GameIsOver]],1,Table2[[AwayTeam]:[AwayTeam]],$T7, Table2[[HomeTeam]:[HomeTeam]], AV$1, Table2[[ActualResult]:[ActualResult]], "SO") + SUMIFS(Table2[[AwayWon]:[AwayWon]], Table2[[GameIsOver]:[GameIsOver]],1,Table2[[HomeTeam]:[HomeTeam]],$T7, Table2[[AwayTeam]:[AwayTeam]], AV$1, Table2[[ActualResult]:[ActualResult]], "SO")))</f>
        <v>0</v>
      </c>
      <c r="AW7">
        <f>(2*(SUMIFS(Table2[[AwayWon]:[AwayWon]], Table2[[GameIsOver]:[GameIsOver]],1,Table2[[AwayTeam]:[AwayTeam]],$T7, Table2[[HomeTeam]:[HomeTeam]], AW$1) + SUMIFS(Table2[[HomeWon_]:[HomeWon_]], Table2[[GameIsOver]:[GameIsOver]],1,Table2[[HomeTeam]:[HomeTeam]],$T7, Table2[[AwayTeam]:[AwayTeam]], AW$1))) + (0*(SUMIFS(Table2[[HomeWon_]:[HomeWon_]], Table2[[GameIsOver]:[GameIsOver]],1,Table2[[AwayTeam]:[AwayTeam]],$T7, Table2[[HomeTeam]:[HomeTeam]], AW$1, Table2[[ActualResult]:[ActualResult]], "REG") + SUMIFS(Table2[[AwayWon]:[AwayWon]], Table2[[GameIsOver]:[GameIsOver]],1,Table2[[HomeTeam]:[HomeTeam]],$T7, Table2[[AwayTeam]:[AwayTeam]], AW$1, Table2[[ActualResult]:[ActualResult]], "REG"))) + (1*(SUMIFS(Table2[[HomeWon_]:[HomeWon_]], Table2[[GameIsOver]:[GameIsOver]],1,Table2[[AwayTeam]:[AwayTeam]],$T7, Table2[[HomeTeam]:[HomeTeam]], AW$1, Table2[[ActualResult]:[ActualResult]], "OT") + SUMIFS(Table2[[AwayWon]:[AwayWon]], Table2[[GameIsOver]:[GameIsOver]],1,Table2[[HomeTeam]:[HomeTeam]],$T7, Table2[[AwayTeam]:[AwayTeam]], AW$1, Table2[[ActualResult]:[ActualResult]], "OT") + SUMIFS(Table2[[HomeWon_]:[HomeWon_]], Table2[[GameIsOver]:[GameIsOver]],1,Table2[[AwayTeam]:[AwayTeam]],$T7, Table2[[HomeTeam]:[HomeTeam]], AW$1, Table2[[ActualResult]:[ActualResult]], "SO") + SUMIFS(Table2[[AwayWon]:[AwayWon]], Table2[[GameIsOver]:[GameIsOver]],1,Table2[[HomeTeam]:[HomeTeam]],$T7, Table2[[AwayTeam]:[AwayTeam]], AW$1, Table2[[ActualResult]:[ActualResult]], "SO")))</f>
        <v>0</v>
      </c>
      <c r="AX7">
        <f>(2*(SUMIFS(Table2[[AwayWon]:[AwayWon]], Table2[[GameIsOver]:[GameIsOver]],1,Table2[[AwayTeam]:[AwayTeam]],$T7, Table2[[HomeTeam]:[HomeTeam]], AX$1) + SUMIFS(Table2[[HomeWon_]:[HomeWon_]], Table2[[GameIsOver]:[GameIsOver]],1,Table2[[HomeTeam]:[HomeTeam]],$T7, Table2[[AwayTeam]:[AwayTeam]], AX$1))) + (0*(SUMIFS(Table2[[HomeWon_]:[HomeWon_]], Table2[[GameIsOver]:[GameIsOver]],1,Table2[[AwayTeam]:[AwayTeam]],$T7, Table2[[HomeTeam]:[HomeTeam]], AX$1, Table2[[ActualResult]:[ActualResult]], "REG") + SUMIFS(Table2[[AwayWon]:[AwayWon]], Table2[[GameIsOver]:[GameIsOver]],1,Table2[[HomeTeam]:[HomeTeam]],$T7, Table2[[AwayTeam]:[AwayTeam]], AX$1, Table2[[ActualResult]:[ActualResult]], "REG"))) + (1*(SUMIFS(Table2[[HomeWon_]:[HomeWon_]], Table2[[GameIsOver]:[GameIsOver]],1,Table2[[AwayTeam]:[AwayTeam]],$T7, Table2[[HomeTeam]:[HomeTeam]], AX$1, Table2[[ActualResult]:[ActualResult]], "OT") + SUMIFS(Table2[[AwayWon]:[AwayWon]], Table2[[GameIsOver]:[GameIsOver]],1,Table2[[HomeTeam]:[HomeTeam]],$T7, Table2[[AwayTeam]:[AwayTeam]], AX$1, Table2[[ActualResult]:[ActualResult]], "OT") + SUMIFS(Table2[[HomeWon_]:[HomeWon_]], Table2[[GameIsOver]:[GameIsOver]],1,Table2[[AwayTeam]:[AwayTeam]],$T7, Table2[[HomeTeam]:[HomeTeam]], AX$1, Table2[[ActualResult]:[ActualResult]], "SO") + SUMIFS(Table2[[AwayWon]:[AwayWon]], Table2[[GameIsOver]:[GameIsOver]],1,Table2[[HomeTeam]:[HomeTeam]],$T7, Table2[[AwayTeam]:[AwayTeam]], AX$1, Table2[[ActualResult]:[ActualResult]], "SO")))</f>
        <v>0</v>
      </c>
      <c r="AY7">
        <f>(2*(SUMIFS(Table2[[AwayWon]:[AwayWon]], Table2[[GameIsOver]:[GameIsOver]],1,Table2[[AwayTeam]:[AwayTeam]],$T7, Table2[[HomeTeam]:[HomeTeam]], AY$1) + SUMIFS(Table2[[HomeWon_]:[HomeWon_]], Table2[[GameIsOver]:[GameIsOver]],1,Table2[[HomeTeam]:[HomeTeam]],$T7, Table2[[AwayTeam]:[AwayTeam]], AY$1))) + (0*(SUMIFS(Table2[[HomeWon_]:[HomeWon_]], Table2[[GameIsOver]:[GameIsOver]],1,Table2[[AwayTeam]:[AwayTeam]],$T7, Table2[[HomeTeam]:[HomeTeam]], AY$1, Table2[[ActualResult]:[ActualResult]], "REG") + SUMIFS(Table2[[AwayWon]:[AwayWon]], Table2[[GameIsOver]:[GameIsOver]],1,Table2[[HomeTeam]:[HomeTeam]],$T7, Table2[[AwayTeam]:[AwayTeam]], AY$1, Table2[[ActualResult]:[ActualResult]], "REG"))) + (1*(SUMIFS(Table2[[HomeWon_]:[HomeWon_]], Table2[[GameIsOver]:[GameIsOver]],1,Table2[[AwayTeam]:[AwayTeam]],$T7, Table2[[HomeTeam]:[HomeTeam]], AY$1, Table2[[ActualResult]:[ActualResult]], "OT") + SUMIFS(Table2[[AwayWon]:[AwayWon]], Table2[[GameIsOver]:[GameIsOver]],1,Table2[[HomeTeam]:[HomeTeam]],$T7, Table2[[AwayTeam]:[AwayTeam]], AY$1, Table2[[ActualResult]:[ActualResult]], "OT") + SUMIFS(Table2[[HomeWon_]:[HomeWon_]], Table2[[GameIsOver]:[GameIsOver]],1,Table2[[AwayTeam]:[AwayTeam]],$T7, Table2[[HomeTeam]:[HomeTeam]], AY$1, Table2[[ActualResult]:[ActualResult]], "SO") + SUMIFS(Table2[[AwayWon]:[AwayWon]], Table2[[GameIsOver]:[GameIsOver]],1,Table2[[HomeTeam]:[HomeTeam]],$T7, Table2[[AwayTeam]:[AwayTeam]], AY$1, Table2[[ActualResult]:[ActualResult]], "SO")))</f>
        <v>0</v>
      </c>
      <c r="AZ7">
        <f>(2*(SUMIFS(Table2[[AwayWon]:[AwayWon]], Table2[[GameIsOver]:[GameIsOver]],1,Table2[[AwayTeam]:[AwayTeam]],$T7, Table2[[HomeTeam]:[HomeTeam]], AZ$1) + SUMIFS(Table2[[HomeWon_]:[HomeWon_]], Table2[[GameIsOver]:[GameIsOver]],1,Table2[[HomeTeam]:[HomeTeam]],$T7, Table2[[AwayTeam]:[AwayTeam]], AZ$1))) + (0*(SUMIFS(Table2[[HomeWon_]:[HomeWon_]], Table2[[GameIsOver]:[GameIsOver]],1,Table2[[AwayTeam]:[AwayTeam]],$T7, Table2[[HomeTeam]:[HomeTeam]], AZ$1, Table2[[ActualResult]:[ActualResult]], "REG") + SUMIFS(Table2[[AwayWon]:[AwayWon]], Table2[[GameIsOver]:[GameIsOver]],1,Table2[[HomeTeam]:[HomeTeam]],$T7, Table2[[AwayTeam]:[AwayTeam]], AZ$1, Table2[[ActualResult]:[ActualResult]], "REG"))) + (1*(SUMIFS(Table2[[HomeWon_]:[HomeWon_]], Table2[[GameIsOver]:[GameIsOver]],1,Table2[[AwayTeam]:[AwayTeam]],$T7, Table2[[HomeTeam]:[HomeTeam]], AZ$1, Table2[[ActualResult]:[ActualResult]], "OT") + SUMIFS(Table2[[AwayWon]:[AwayWon]], Table2[[GameIsOver]:[GameIsOver]],1,Table2[[HomeTeam]:[HomeTeam]],$T7, Table2[[AwayTeam]:[AwayTeam]], AZ$1, Table2[[ActualResult]:[ActualResult]], "OT") + SUMIFS(Table2[[HomeWon_]:[HomeWon_]], Table2[[GameIsOver]:[GameIsOver]],1,Table2[[AwayTeam]:[AwayTeam]],$T7, Table2[[HomeTeam]:[HomeTeam]], AZ$1, Table2[[ActualResult]:[ActualResult]], "SO") + SUMIFS(Table2[[AwayWon]:[AwayWon]], Table2[[GameIsOver]:[GameIsOver]],1,Table2[[HomeTeam]:[HomeTeam]],$T7, Table2[[AwayTeam]:[AwayTeam]], AZ$1, Table2[[ActualResult]:[ActualResult]], "SO")))</f>
        <v>0</v>
      </c>
      <c r="BA7">
        <f>(2*(SUMIFS(Table2[[AwayWon]:[AwayWon]], Table2[[GameIsOver]:[GameIsOver]],1,Table2[[AwayTeam]:[AwayTeam]],$T7, Table2[[HomeTeam]:[HomeTeam]], BA$1) + SUMIFS(Table2[[HomeWon_]:[HomeWon_]], Table2[[GameIsOver]:[GameIsOver]],1,Table2[[HomeTeam]:[HomeTeam]],$T7, Table2[[AwayTeam]:[AwayTeam]], BA$1))) + (0*(SUMIFS(Table2[[HomeWon_]:[HomeWon_]], Table2[[GameIsOver]:[GameIsOver]],1,Table2[[AwayTeam]:[AwayTeam]],$T7, Table2[[HomeTeam]:[HomeTeam]], BA$1, Table2[[ActualResult]:[ActualResult]], "REG") + SUMIFS(Table2[[AwayWon]:[AwayWon]], Table2[[GameIsOver]:[GameIsOver]],1,Table2[[HomeTeam]:[HomeTeam]],$T7, Table2[[AwayTeam]:[AwayTeam]], BA$1, Table2[[ActualResult]:[ActualResult]], "REG"))) + (1*(SUMIFS(Table2[[HomeWon_]:[HomeWon_]], Table2[[GameIsOver]:[GameIsOver]],1,Table2[[AwayTeam]:[AwayTeam]],$T7, Table2[[HomeTeam]:[HomeTeam]], BA$1, Table2[[ActualResult]:[ActualResult]], "OT") + SUMIFS(Table2[[AwayWon]:[AwayWon]], Table2[[GameIsOver]:[GameIsOver]],1,Table2[[HomeTeam]:[HomeTeam]],$T7, Table2[[AwayTeam]:[AwayTeam]], BA$1, Table2[[ActualResult]:[ActualResult]], "OT") + SUMIFS(Table2[[HomeWon_]:[HomeWon_]], Table2[[GameIsOver]:[GameIsOver]],1,Table2[[AwayTeam]:[AwayTeam]],$T7, Table2[[HomeTeam]:[HomeTeam]], BA$1, Table2[[ActualResult]:[ActualResult]], "SO") + SUMIFS(Table2[[AwayWon]:[AwayWon]], Table2[[GameIsOver]:[GameIsOver]],1,Table2[[HomeTeam]:[HomeTeam]],$T7, Table2[[AwayTeam]:[AwayTeam]], BA$1, Table2[[ActualResult]:[ActualResult]], "SO")))</f>
        <v>0</v>
      </c>
    </row>
    <row r="8" spans="1:53" x14ac:dyDescent="0.25">
      <c r="A8" s="61" t="s">
        <v>16</v>
      </c>
      <c r="B8" s="61" t="s">
        <v>90</v>
      </c>
      <c r="C8" s="61" t="s">
        <v>88</v>
      </c>
      <c r="D8" s="62">
        <f>INDEX(Table3[PTS], MATCH(Table6[[#This Row],[Teams]], Table3[Teams],0))</f>
        <v>8</v>
      </c>
      <c r="E8" s="62">
        <f>INDEX(Table3[PTS], MATCH(Table6[[#This Row],[Teams]], Table3[Teams],0))</f>
        <v>8</v>
      </c>
      <c r="S8">
        <v>5</v>
      </c>
      <c r="T8" t="str" cm="1">
        <f t="array" ref="T8">INDEX(Table6[Teams], SMALL(IF(Table6[D]="P", ROW(Table6[Teams])-ROW(Table6[#Headers])), Table7[[#This Row],[PAC]]))</f>
        <v>SEA</v>
      </c>
      <c r="U8">
        <f>INDEX(Table6[PTS], MATCH($T8, Table6[Teams], 0))</f>
        <v>8</v>
      </c>
      <c r="V8">
        <f>(2*(SUMIFS(Table2[[AwayWon]:[AwayWon]], Table2[[GameIsOver]:[GameIsOver]],1,Table2[[AwayTeam]:[AwayTeam]],$T8, Table2[[HomeTeam]:[HomeTeam]], V$1) + SUMIFS(Table2[[HomeWon_]:[HomeWon_]], Table2[[GameIsOver]:[GameIsOver]],1,Table2[[HomeTeam]:[HomeTeam]],$T8, Table2[[AwayTeam]:[AwayTeam]], V$1))) + (0*(SUMIFS(Table2[[HomeWon_]:[HomeWon_]], Table2[[GameIsOver]:[GameIsOver]],1,Table2[[AwayTeam]:[AwayTeam]],$T8, Table2[[HomeTeam]:[HomeTeam]], V$1, Table2[[ActualResult]:[ActualResult]], "REG") + SUMIFS(Table2[[AwayWon]:[AwayWon]], Table2[[GameIsOver]:[GameIsOver]],1,Table2[[HomeTeam]:[HomeTeam]],$T8, Table2[[AwayTeam]:[AwayTeam]], V$1, Table2[[ActualResult]:[ActualResult]], "REG"))) + (1*(SUMIFS(Table2[[HomeWon_]:[HomeWon_]], Table2[[GameIsOver]:[GameIsOver]],1,Table2[[AwayTeam]:[AwayTeam]],$T8, Table2[[HomeTeam]:[HomeTeam]], V$1, Table2[[ActualResult]:[ActualResult]], "OT") + SUMIFS(Table2[[AwayWon]:[AwayWon]], Table2[[GameIsOver]:[GameIsOver]],1,Table2[[HomeTeam]:[HomeTeam]],$T8, Table2[[AwayTeam]:[AwayTeam]], V$1, Table2[[ActualResult]:[ActualResult]], "OT") + SUMIFS(Table2[[HomeWon_]:[HomeWon_]], Table2[[GameIsOver]:[GameIsOver]],1,Table2[[AwayTeam]:[AwayTeam]],$T8, Table2[[HomeTeam]:[HomeTeam]], V$1, Table2[[ActualResult]:[ActualResult]], "SO") + SUMIFS(Table2[[AwayWon]:[AwayWon]], Table2[[GameIsOver]:[GameIsOver]],1,Table2[[HomeTeam]:[HomeTeam]],$T8, Table2[[AwayTeam]:[AwayTeam]], V$1, Table2[[ActualResult]:[ActualResult]], "SO")))</f>
        <v>2</v>
      </c>
      <c r="W8">
        <f>(2*(SUMIFS(Table2[[AwayWon]:[AwayWon]], Table2[[GameIsOver]:[GameIsOver]],1,Table2[[AwayTeam]:[AwayTeam]],$T8, Table2[[HomeTeam]:[HomeTeam]], W$1) + SUMIFS(Table2[[HomeWon_]:[HomeWon_]], Table2[[GameIsOver]:[GameIsOver]],1,Table2[[HomeTeam]:[HomeTeam]],$T8, Table2[[AwayTeam]:[AwayTeam]], W$1))) + (0*(SUMIFS(Table2[[HomeWon_]:[HomeWon_]], Table2[[GameIsOver]:[GameIsOver]],1,Table2[[AwayTeam]:[AwayTeam]],$T8, Table2[[HomeTeam]:[HomeTeam]], W$1, Table2[[ActualResult]:[ActualResult]], "REG") + SUMIFS(Table2[[AwayWon]:[AwayWon]], Table2[[GameIsOver]:[GameIsOver]],1,Table2[[HomeTeam]:[HomeTeam]],$T8, Table2[[AwayTeam]:[AwayTeam]], W$1, Table2[[ActualResult]:[ActualResult]], "REG"))) + (1*(SUMIFS(Table2[[HomeWon_]:[HomeWon_]], Table2[[GameIsOver]:[GameIsOver]],1,Table2[[AwayTeam]:[AwayTeam]],$T8, Table2[[HomeTeam]:[HomeTeam]], W$1, Table2[[ActualResult]:[ActualResult]], "OT") + SUMIFS(Table2[[AwayWon]:[AwayWon]], Table2[[GameIsOver]:[GameIsOver]],1,Table2[[HomeTeam]:[HomeTeam]],$T8, Table2[[AwayTeam]:[AwayTeam]], W$1, Table2[[ActualResult]:[ActualResult]], "OT") + SUMIFS(Table2[[HomeWon_]:[HomeWon_]], Table2[[GameIsOver]:[GameIsOver]],1,Table2[[AwayTeam]:[AwayTeam]],$T8, Table2[[HomeTeam]:[HomeTeam]], W$1, Table2[[ActualResult]:[ActualResult]], "SO") + SUMIFS(Table2[[AwayWon]:[AwayWon]], Table2[[GameIsOver]:[GameIsOver]],1,Table2[[HomeTeam]:[HomeTeam]],$T8, Table2[[AwayTeam]:[AwayTeam]], W$1, Table2[[ActualResult]:[ActualResult]], "SO")))</f>
        <v>0</v>
      </c>
      <c r="X8">
        <f>(2*(SUMIFS(Table2[[AwayWon]:[AwayWon]], Table2[[GameIsOver]:[GameIsOver]],1,Table2[[AwayTeam]:[AwayTeam]],$T8, Table2[[HomeTeam]:[HomeTeam]], X$1) + SUMIFS(Table2[[HomeWon_]:[HomeWon_]], Table2[[GameIsOver]:[GameIsOver]],1,Table2[[HomeTeam]:[HomeTeam]],$T8, Table2[[AwayTeam]:[AwayTeam]], X$1))) + (0*(SUMIFS(Table2[[HomeWon_]:[HomeWon_]], Table2[[GameIsOver]:[GameIsOver]],1,Table2[[AwayTeam]:[AwayTeam]],$T8, Table2[[HomeTeam]:[HomeTeam]], X$1, Table2[[ActualResult]:[ActualResult]], "REG") + SUMIFS(Table2[[AwayWon]:[AwayWon]], Table2[[GameIsOver]:[GameIsOver]],1,Table2[[HomeTeam]:[HomeTeam]],$T8, Table2[[AwayTeam]:[AwayTeam]], X$1, Table2[[ActualResult]:[ActualResult]], "REG"))) + (1*(SUMIFS(Table2[[HomeWon_]:[HomeWon_]], Table2[[GameIsOver]:[GameIsOver]],1,Table2[[AwayTeam]:[AwayTeam]],$T8, Table2[[HomeTeam]:[HomeTeam]], X$1, Table2[[ActualResult]:[ActualResult]], "OT") + SUMIFS(Table2[[AwayWon]:[AwayWon]], Table2[[GameIsOver]:[GameIsOver]],1,Table2[[HomeTeam]:[HomeTeam]],$T8, Table2[[AwayTeam]:[AwayTeam]], X$1, Table2[[ActualResult]:[ActualResult]], "OT") + SUMIFS(Table2[[HomeWon_]:[HomeWon_]], Table2[[GameIsOver]:[GameIsOver]],1,Table2[[AwayTeam]:[AwayTeam]],$T8, Table2[[HomeTeam]:[HomeTeam]], X$1, Table2[[ActualResult]:[ActualResult]], "SO") + SUMIFS(Table2[[AwayWon]:[AwayWon]], Table2[[GameIsOver]:[GameIsOver]],1,Table2[[HomeTeam]:[HomeTeam]],$T8, Table2[[AwayTeam]:[AwayTeam]], X$1, Table2[[ActualResult]:[ActualResult]], "SO")))</f>
        <v>0</v>
      </c>
      <c r="Y8">
        <f>(2*(SUMIFS(Table2[[AwayWon]:[AwayWon]], Table2[[GameIsOver]:[GameIsOver]],1,Table2[[AwayTeam]:[AwayTeam]],$T8, Table2[[HomeTeam]:[HomeTeam]], Y$1) + SUMIFS(Table2[[HomeWon_]:[HomeWon_]], Table2[[GameIsOver]:[GameIsOver]],1,Table2[[HomeTeam]:[HomeTeam]],$T8, Table2[[AwayTeam]:[AwayTeam]], Y$1))) + (0*(SUMIFS(Table2[[HomeWon_]:[HomeWon_]], Table2[[GameIsOver]:[GameIsOver]],1,Table2[[AwayTeam]:[AwayTeam]],$T8, Table2[[HomeTeam]:[HomeTeam]], Y$1, Table2[[ActualResult]:[ActualResult]], "REG") + SUMIFS(Table2[[AwayWon]:[AwayWon]], Table2[[GameIsOver]:[GameIsOver]],1,Table2[[HomeTeam]:[HomeTeam]],$T8, Table2[[AwayTeam]:[AwayTeam]], Y$1, Table2[[ActualResult]:[ActualResult]], "REG"))) + (1*(SUMIFS(Table2[[HomeWon_]:[HomeWon_]], Table2[[GameIsOver]:[GameIsOver]],1,Table2[[AwayTeam]:[AwayTeam]],$T8, Table2[[HomeTeam]:[HomeTeam]], Y$1, Table2[[ActualResult]:[ActualResult]], "OT") + SUMIFS(Table2[[AwayWon]:[AwayWon]], Table2[[GameIsOver]:[GameIsOver]],1,Table2[[HomeTeam]:[HomeTeam]],$T8, Table2[[AwayTeam]:[AwayTeam]], Y$1, Table2[[ActualResult]:[ActualResult]], "OT") + SUMIFS(Table2[[HomeWon_]:[HomeWon_]], Table2[[GameIsOver]:[GameIsOver]],1,Table2[[AwayTeam]:[AwayTeam]],$T8, Table2[[HomeTeam]:[HomeTeam]], Y$1, Table2[[ActualResult]:[ActualResult]], "SO") + SUMIFS(Table2[[AwayWon]:[AwayWon]], Table2[[GameIsOver]:[GameIsOver]],1,Table2[[HomeTeam]:[HomeTeam]],$T8, Table2[[AwayTeam]:[AwayTeam]], Y$1, Table2[[ActualResult]:[ActualResult]], "SO")))</f>
        <v>0</v>
      </c>
      <c r="Z8">
        <f>(2*(SUMIFS(Table2[[AwayWon]:[AwayWon]], Table2[[GameIsOver]:[GameIsOver]],1,Table2[[AwayTeam]:[AwayTeam]],$T8, Table2[[HomeTeam]:[HomeTeam]], Z$1) + SUMIFS(Table2[[HomeWon_]:[HomeWon_]], Table2[[GameIsOver]:[GameIsOver]],1,Table2[[HomeTeam]:[HomeTeam]],$T8, Table2[[AwayTeam]:[AwayTeam]], Z$1))) + (0*(SUMIFS(Table2[[HomeWon_]:[HomeWon_]], Table2[[GameIsOver]:[GameIsOver]],1,Table2[[AwayTeam]:[AwayTeam]],$T8, Table2[[HomeTeam]:[HomeTeam]], Z$1, Table2[[ActualResult]:[ActualResult]], "REG") + SUMIFS(Table2[[AwayWon]:[AwayWon]], Table2[[GameIsOver]:[GameIsOver]],1,Table2[[HomeTeam]:[HomeTeam]],$T8, Table2[[AwayTeam]:[AwayTeam]], Z$1, Table2[[ActualResult]:[ActualResult]], "REG"))) + (1*(SUMIFS(Table2[[HomeWon_]:[HomeWon_]], Table2[[GameIsOver]:[GameIsOver]],1,Table2[[AwayTeam]:[AwayTeam]],$T8, Table2[[HomeTeam]:[HomeTeam]], Z$1, Table2[[ActualResult]:[ActualResult]], "OT") + SUMIFS(Table2[[AwayWon]:[AwayWon]], Table2[[GameIsOver]:[GameIsOver]],1,Table2[[HomeTeam]:[HomeTeam]],$T8, Table2[[AwayTeam]:[AwayTeam]], Z$1, Table2[[ActualResult]:[ActualResult]], "OT") + SUMIFS(Table2[[HomeWon_]:[HomeWon_]], Table2[[GameIsOver]:[GameIsOver]],1,Table2[[AwayTeam]:[AwayTeam]],$T8, Table2[[HomeTeam]:[HomeTeam]], Z$1, Table2[[ActualResult]:[ActualResult]], "SO") + SUMIFS(Table2[[AwayWon]:[AwayWon]], Table2[[GameIsOver]:[GameIsOver]],1,Table2[[HomeTeam]:[HomeTeam]],$T8, Table2[[AwayTeam]:[AwayTeam]], Z$1, Table2[[ActualResult]:[ActualResult]], "SO")))</f>
        <v>0</v>
      </c>
      <c r="AA8">
        <f>(2*(SUMIFS(Table2[[AwayWon]:[AwayWon]], Table2[[GameIsOver]:[GameIsOver]],1,Table2[[AwayTeam]:[AwayTeam]],$T8, Table2[[HomeTeam]:[HomeTeam]], AA$1) + SUMIFS(Table2[[HomeWon_]:[HomeWon_]], Table2[[GameIsOver]:[GameIsOver]],1,Table2[[HomeTeam]:[HomeTeam]],$T8, Table2[[AwayTeam]:[AwayTeam]], AA$1))) + (0*(SUMIFS(Table2[[HomeWon_]:[HomeWon_]], Table2[[GameIsOver]:[GameIsOver]],1,Table2[[AwayTeam]:[AwayTeam]],$T8, Table2[[HomeTeam]:[HomeTeam]], AA$1, Table2[[ActualResult]:[ActualResult]], "REG") + SUMIFS(Table2[[AwayWon]:[AwayWon]], Table2[[GameIsOver]:[GameIsOver]],1,Table2[[HomeTeam]:[HomeTeam]],$T8, Table2[[AwayTeam]:[AwayTeam]], AA$1, Table2[[ActualResult]:[ActualResult]], "REG"))) + (1*(SUMIFS(Table2[[HomeWon_]:[HomeWon_]], Table2[[GameIsOver]:[GameIsOver]],1,Table2[[AwayTeam]:[AwayTeam]],$T8, Table2[[HomeTeam]:[HomeTeam]], AA$1, Table2[[ActualResult]:[ActualResult]], "OT") + SUMIFS(Table2[[AwayWon]:[AwayWon]], Table2[[GameIsOver]:[GameIsOver]],1,Table2[[HomeTeam]:[HomeTeam]],$T8, Table2[[AwayTeam]:[AwayTeam]], AA$1, Table2[[ActualResult]:[ActualResult]], "OT") + SUMIFS(Table2[[HomeWon_]:[HomeWon_]], Table2[[GameIsOver]:[GameIsOver]],1,Table2[[AwayTeam]:[AwayTeam]],$T8, Table2[[HomeTeam]:[HomeTeam]], AA$1, Table2[[ActualResult]:[ActualResult]], "SO") + SUMIFS(Table2[[AwayWon]:[AwayWon]], Table2[[GameIsOver]:[GameIsOver]],1,Table2[[HomeTeam]:[HomeTeam]],$T8, Table2[[AwayTeam]:[AwayTeam]], AA$1, Table2[[ActualResult]:[ActualResult]], "SO")))</f>
        <v>0</v>
      </c>
      <c r="AB8">
        <f>(2*(SUMIFS(Table2[[AwayWon]:[AwayWon]], Table2[[GameIsOver]:[GameIsOver]],1,Table2[[AwayTeam]:[AwayTeam]],$T8, Table2[[HomeTeam]:[HomeTeam]], AB$1) + SUMIFS(Table2[[HomeWon_]:[HomeWon_]], Table2[[GameIsOver]:[GameIsOver]],1,Table2[[HomeTeam]:[HomeTeam]],$T8, Table2[[AwayTeam]:[AwayTeam]], AB$1))) + (0*(SUMIFS(Table2[[HomeWon_]:[HomeWon_]], Table2[[GameIsOver]:[GameIsOver]],1,Table2[[AwayTeam]:[AwayTeam]],$T8, Table2[[HomeTeam]:[HomeTeam]], AB$1, Table2[[ActualResult]:[ActualResult]], "REG") + SUMIFS(Table2[[AwayWon]:[AwayWon]], Table2[[GameIsOver]:[GameIsOver]],1,Table2[[HomeTeam]:[HomeTeam]],$T8, Table2[[AwayTeam]:[AwayTeam]], AB$1, Table2[[ActualResult]:[ActualResult]], "REG"))) + (1*(SUMIFS(Table2[[HomeWon_]:[HomeWon_]], Table2[[GameIsOver]:[GameIsOver]],1,Table2[[AwayTeam]:[AwayTeam]],$T8, Table2[[HomeTeam]:[HomeTeam]], AB$1, Table2[[ActualResult]:[ActualResult]], "OT") + SUMIFS(Table2[[AwayWon]:[AwayWon]], Table2[[GameIsOver]:[GameIsOver]],1,Table2[[HomeTeam]:[HomeTeam]],$T8, Table2[[AwayTeam]:[AwayTeam]], AB$1, Table2[[ActualResult]:[ActualResult]], "OT") + SUMIFS(Table2[[HomeWon_]:[HomeWon_]], Table2[[GameIsOver]:[GameIsOver]],1,Table2[[AwayTeam]:[AwayTeam]],$T8, Table2[[HomeTeam]:[HomeTeam]], AB$1, Table2[[ActualResult]:[ActualResult]], "SO") + SUMIFS(Table2[[AwayWon]:[AwayWon]], Table2[[GameIsOver]:[GameIsOver]],1,Table2[[HomeTeam]:[HomeTeam]],$T8, Table2[[AwayTeam]:[AwayTeam]], AB$1, Table2[[ActualResult]:[ActualResult]], "SO")))</f>
        <v>0</v>
      </c>
      <c r="AC8">
        <f>(2*(SUMIFS(Table2[[AwayWon]:[AwayWon]], Table2[[GameIsOver]:[GameIsOver]],1,Table2[[AwayTeam]:[AwayTeam]],$T8, Table2[[HomeTeam]:[HomeTeam]], AC$1) + SUMIFS(Table2[[HomeWon_]:[HomeWon_]], Table2[[GameIsOver]:[GameIsOver]],1,Table2[[HomeTeam]:[HomeTeam]],$T8, Table2[[AwayTeam]:[AwayTeam]], AC$1))) + (0*(SUMIFS(Table2[[HomeWon_]:[HomeWon_]], Table2[[GameIsOver]:[GameIsOver]],1,Table2[[AwayTeam]:[AwayTeam]],$T8, Table2[[HomeTeam]:[HomeTeam]], AC$1, Table2[[ActualResult]:[ActualResult]], "REG") + SUMIFS(Table2[[AwayWon]:[AwayWon]], Table2[[GameIsOver]:[GameIsOver]],1,Table2[[HomeTeam]:[HomeTeam]],$T8, Table2[[AwayTeam]:[AwayTeam]], AC$1, Table2[[ActualResult]:[ActualResult]], "REG"))) + (1*(SUMIFS(Table2[[HomeWon_]:[HomeWon_]], Table2[[GameIsOver]:[GameIsOver]],1,Table2[[AwayTeam]:[AwayTeam]],$T8, Table2[[HomeTeam]:[HomeTeam]], AC$1, Table2[[ActualResult]:[ActualResult]], "OT") + SUMIFS(Table2[[AwayWon]:[AwayWon]], Table2[[GameIsOver]:[GameIsOver]],1,Table2[[HomeTeam]:[HomeTeam]],$T8, Table2[[AwayTeam]:[AwayTeam]], AC$1, Table2[[ActualResult]:[ActualResult]], "OT") + SUMIFS(Table2[[HomeWon_]:[HomeWon_]], Table2[[GameIsOver]:[GameIsOver]],1,Table2[[AwayTeam]:[AwayTeam]],$T8, Table2[[HomeTeam]:[HomeTeam]], AC$1, Table2[[ActualResult]:[ActualResult]], "SO") + SUMIFS(Table2[[AwayWon]:[AwayWon]], Table2[[GameIsOver]:[GameIsOver]],1,Table2[[HomeTeam]:[HomeTeam]],$T8, Table2[[AwayTeam]:[AwayTeam]], AC$1, Table2[[ActualResult]:[ActualResult]], "SO")))</f>
        <v>2</v>
      </c>
      <c r="AD8">
        <f>(2*(SUMIFS(Table2[[AwayWon]:[AwayWon]], Table2[[GameIsOver]:[GameIsOver]],1,Table2[[AwayTeam]:[AwayTeam]],$T8, Table2[[HomeTeam]:[HomeTeam]], AD$1) + SUMIFS(Table2[[HomeWon_]:[HomeWon_]], Table2[[GameIsOver]:[GameIsOver]],1,Table2[[HomeTeam]:[HomeTeam]],$T8, Table2[[AwayTeam]:[AwayTeam]], AD$1))) + (0*(SUMIFS(Table2[[HomeWon_]:[HomeWon_]], Table2[[GameIsOver]:[GameIsOver]],1,Table2[[AwayTeam]:[AwayTeam]],$T8, Table2[[HomeTeam]:[HomeTeam]], AD$1, Table2[[ActualResult]:[ActualResult]], "REG") + SUMIFS(Table2[[AwayWon]:[AwayWon]], Table2[[GameIsOver]:[GameIsOver]],1,Table2[[HomeTeam]:[HomeTeam]],$T8, Table2[[AwayTeam]:[AwayTeam]], AD$1, Table2[[ActualResult]:[ActualResult]], "REG"))) + (1*(SUMIFS(Table2[[HomeWon_]:[HomeWon_]], Table2[[GameIsOver]:[GameIsOver]],1,Table2[[AwayTeam]:[AwayTeam]],$T8, Table2[[HomeTeam]:[HomeTeam]], AD$1, Table2[[ActualResult]:[ActualResult]], "OT") + SUMIFS(Table2[[AwayWon]:[AwayWon]], Table2[[GameIsOver]:[GameIsOver]],1,Table2[[HomeTeam]:[HomeTeam]],$T8, Table2[[AwayTeam]:[AwayTeam]], AD$1, Table2[[ActualResult]:[ActualResult]], "OT") + SUMIFS(Table2[[HomeWon_]:[HomeWon_]], Table2[[GameIsOver]:[GameIsOver]],1,Table2[[AwayTeam]:[AwayTeam]],$T8, Table2[[HomeTeam]:[HomeTeam]], AD$1, Table2[[ActualResult]:[ActualResult]], "SO") + SUMIFS(Table2[[AwayWon]:[AwayWon]], Table2[[GameIsOver]:[GameIsOver]],1,Table2[[HomeTeam]:[HomeTeam]],$T8, Table2[[AwayTeam]:[AwayTeam]], AD$1, Table2[[ActualResult]:[ActualResult]], "SO")))</f>
        <v>0</v>
      </c>
      <c r="AE8">
        <f>(2*(SUMIFS(Table2[[AwayWon]:[AwayWon]], Table2[[GameIsOver]:[GameIsOver]],1,Table2[[AwayTeam]:[AwayTeam]],$T8, Table2[[HomeTeam]:[HomeTeam]], AE$1) + SUMIFS(Table2[[HomeWon_]:[HomeWon_]], Table2[[GameIsOver]:[GameIsOver]],1,Table2[[HomeTeam]:[HomeTeam]],$T8, Table2[[AwayTeam]:[AwayTeam]], AE$1))) + (0*(SUMIFS(Table2[[HomeWon_]:[HomeWon_]], Table2[[GameIsOver]:[GameIsOver]],1,Table2[[AwayTeam]:[AwayTeam]],$T8, Table2[[HomeTeam]:[HomeTeam]], AE$1, Table2[[ActualResult]:[ActualResult]], "REG") + SUMIFS(Table2[[AwayWon]:[AwayWon]], Table2[[GameIsOver]:[GameIsOver]],1,Table2[[HomeTeam]:[HomeTeam]],$T8, Table2[[AwayTeam]:[AwayTeam]], AE$1, Table2[[ActualResult]:[ActualResult]], "REG"))) + (1*(SUMIFS(Table2[[HomeWon_]:[HomeWon_]], Table2[[GameIsOver]:[GameIsOver]],1,Table2[[AwayTeam]:[AwayTeam]],$T8, Table2[[HomeTeam]:[HomeTeam]], AE$1, Table2[[ActualResult]:[ActualResult]], "OT") + SUMIFS(Table2[[AwayWon]:[AwayWon]], Table2[[GameIsOver]:[GameIsOver]],1,Table2[[HomeTeam]:[HomeTeam]],$T8, Table2[[AwayTeam]:[AwayTeam]], AE$1, Table2[[ActualResult]:[ActualResult]], "OT") + SUMIFS(Table2[[HomeWon_]:[HomeWon_]], Table2[[GameIsOver]:[GameIsOver]],1,Table2[[AwayTeam]:[AwayTeam]],$T8, Table2[[HomeTeam]:[HomeTeam]], AE$1, Table2[[ActualResult]:[ActualResult]], "SO") + SUMIFS(Table2[[AwayWon]:[AwayWon]], Table2[[GameIsOver]:[GameIsOver]],1,Table2[[HomeTeam]:[HomeTeam]],$T8, Table2[[AwayTeam]:[AwayTeam]], AE$1, Table2[[ActualResult]:[ActualResult]], "SO")))</f>
        <v>0</v>
      </c>
      <c r="AF8">
        <f>(2*(SUMIFS(Table2[[AwayWon]:[AwayWon]], Table2[[GameIsOver]:[GameIsOver]],1,Table2[[AwayTeam]:[AwayTeam]],$T8, Table2[[HomeTeam]:[HomeTeam]], AF$1) + SUMIFS(Table2[[HomeWon_]:[HomeWon_]], Table2[[GameIsOver]:[GameIsOver]],1,Table2[[HomeTeam]:[HomeTeam]],$T8, Table2[[AwayTeam]:[AwayTeam]], AF$1))) + (0*(SUMIFS(Table2[[HomeWon_]:[HomeWon_]], Table2[[GameIsOver]:[GameIsOver]],1,Table2[[AwayTeam]:[AwayTeam]],$T8, Table2[[HomeTeam]:[HomeTeam]], AF$1, Table2[[ActualResult]:[ActualResult]], "REG") + SUMIFS(Table2[[AwayWon]:[AwayWon]], Table2[[GameIsOver]:[GameIsOver]],1,Table2[[HomeTeam]:[HomeTeam]],$T8, Table2[[AwayTeam]:[AwayTeam]], AF$1, Table2[[ActualResult]:[ActualResult]], "REG"))) + (1*(SUMIFS(Table2[[HomeWon_]:[HomeWon_]], Table2[[GameIsOver]:[GameIsOver]],1,Table2[[AwayTeam]:[AwayTeam]],$T8, Table2[[HomeTeam]:[HomeTeam]], AF$1, Table2[[ActualResult]:[ActualResult]], "OT") + SUMIFS(Table2[[AwayWon]:[AwayWon]], Table2[[GameIsOver]:[GameIsOver]],1,Table2[[HomeTeam]:[HomeTeam]],$T8, Table2[[AwayTeam]:[AwayTeam]], AF$1, Table2[[ActualResult]:[ActualResult]], "OT") + SUMIFS(Table2[[HomeWon_]:[HomeWon_]], Table2[[GameIsOver]:[GameIsOver]],1,Table2[[AwayTeam]:[AwayTeam]],$T8, Table2[[HomeTeam]:[HomeTeam]], AF$1, Table2[[ActualResult]:[ActualResult]], "SO") + SUMIFS(Table2[[AwayWon]:[AwayWon]], Table2[[GameIsOver]:[GameIsOver]],1,Table2[[HomeTeam]:[HomeTeam]],$T8, Table2[[AwayTeam]:[AwayTeam]], AF$1, Table2[[ActualResult]:[ActualResult]], "SO")))</f>
        <v>0</v>
      </c>
      <c r="AG8">
        <f>(2*(SUMIFS(Table2[[AwayWon]:[AwayWon]], Table2[[GameIsOver]:[GameIsOver]],1,Table2[[AwayTeam]:[AwayTeam]],$T8, Table2[[HomeTeam]:[HomeTeam]], AG$1) + SUMIFS(Table2[[HomeWon_]:[HomeWon_]], Table2[[GameIsOver]:[GameIsOver]],1,Table2[[HomeTeam]:[HomeTeam]],$T8, Table2[[AwayTeam]:[AwayTeam]], AG$1))) + (0*(SUMIFS(Table2[[HomeWon_]:[HomeWon_]], Table2[[GameIsOver]:[GameIsOver]],1,Table2[[AwayTeam]:[AwayTeam]],$T8, Table2[[HomeTeam]:[HomeTeam]], AG$1, Table2[[ActualResult]:[ActualResult]], "REG") + SUMIFS(Table2[[AwayWon]:[AwayWon]], Table2[[GameIsOver]:[GameIsOver]],1,Table2[[HomeTeam]:[HomeTeam]],$T8, Table2[[AwayTeam]:[AwayTeam]], AG$1, Table2[[ActualResult]:[ActualResult]], "REG"))) + (1*(SUMIFS(Table2[[HomeWon_]:[HomeWon_]], Table2[[GameIsOver]:[GameIsOver]],1,Table2[[AwayTeam]:[AwayTeam]],$T8, Table2[[HomeTeam]:[HomeTeam]], AG$1, Table2[[ActualResult]:[ActualResult]], "OT") + SUMIFS(Table2[[AwayWon]:[AwayWon]], Table2[[GameIsOver]:[GameIsOver]],1,Table2[[HomeTeam]:[HomeTeam]],$T8, Table2[[AwayTeam]:[AwayTeam]], AG$1, Table2[[ActualResult]:[ActualResult]], "OT") + SUMIFS(Table2[[HomeWon_]:[HomeWon_]], Table2[[GameIsOver]:[GameIsOver]],1,Table2[[AwayTeam]:[AwayTeam]],$T8, Table2[[HomeTeam]:[HomeTeam]], AG$1, Table2[[ActualResult]:[ActualResult]], "SO") + SUMIFS(Table2[[AwayWon]:[AwayWon]], Table2[[GameIsOver]:[GameIsOver]],1,Table2[[HomeTeam]:[HomeTeam]],$T8, Table2[[AwayTeam]:[AwayTeam]], AG$1, Table2[[ActualResult]:[ActualResult]], "SO")))</f>
        <v>0</v>
      </c>
      <c r="AH8">
        <f>(2*(SUMIFS(Table2[[AwayWon]:[AwayWon]], Table2[[GameIsOver]:[GameIsOver]],1,Table2[[AwayTeam]:[AwayTeam]],$T8, Table2[[HomeTeam]:[HomeTeam]], AH$1) + SUMIFS(Table2[[HomeWon_]:[HomeWon_]], Table2[[GameIsOver]:[GameIsOver]],1,Table2[[HomeTeam]:[HomeTeam]],$T8, Table2[[AwayTeam]:[AwayTeam]], AH$1))) + (0*(SUMIFS(Table2[[HomeWon_]:[HomeWon_]], Table2[[GameIsOver]:[GameIsOver]],1,Table2[[AwayTeam]:[AwayTeam]],$T8, Table2[[HomeTeam]:[HomeTeam]], AH$1, Table2[[ActualResult]:[ActualResult]], "REG") + SUMIFS(Table2[[AwayWon]:[AwayWon]], Table2[[GameIsOver]:[GameIsOver]],1,Table2[[HomeTeam]:[HomeTeam]],$T8, Table2[[AwayTeam]:[AwayTeam]], AH$1, Table2[[ActualResult]:[ActualResult]], "REG"))) + (1*(SUMIFS(Table2[[HomeWon_]:[HomeWon_]], Table2[[GameIsOver]:[GameIsOver]],1,Table2[[AwayTeam]:[AwayTeam]],$T8, Table2[[HomeTeam]:[HomeTeam]], AH$1, Table2[[ActualResult]:[ActualResult]], "OT") + SUMIFS(Table2[[AwayWon]:[AwayWon]], Table2[[GameIsOver]:[GameIsOver]],1,Table2[[HomeTeam]:[HomeTeam]],$T8, Table2[[AwayTeam]:[AwayTeam]], AH$1, Table2[[ActualResult]:[ActualResult]], "OT") + SUMIFS(Table2[[HomeWon_]:[HomeWon_]], Table2[[GameIsOver]:[GameIsOver]],1,Table2[[AwayTeam]:[AwayTeam]],$T8, Table2[[HomeTeam]:[HomeTeam]], AH$1, Table2[[ActualResult]:[ActualResult]], "SO") + SUMIFS(Table2[[AwayWon]:[AwayWon]], Table2[[GameIsOver]:[GameIsOver]],1,Table2[[HomeTeam]:[HomeTeam]],$T8, Table2[[AwayTeam]:[AwayTeam]], AH$1, Table2[[ActualResult]:[ActualResult]], "SO")))</f>
        <v>0</v>
      </c>
      <c r="AI8">
        <f>(2*(SUMIFS(Table2[[AwayWon]:[AwayWon]], Table2[[GameIsOver]:[GameIsOver]],1,Table2[[AwayTeam]:[AwayTeam]],$T8, Table2[[HomeTeam]:[HomeTeam]], AI$1) + SUMIFS(Table2[[HomeWon_]:[HomeWon_]], Table2[[GameIsOver]:[GameIsOver]],1,Table2[[HomeTeam]:[HomeTeam]],$T8, Table2[[AwayTeam]:[AwayTeam]], AI$1))) + (0*(SUMIFS(Table2[[HomeWon_]:[HomeWon_]], Table2[[GameIsOver]:[GameIsOver]],1,Table2[[AwayTeam]:[AwayTeam]],$T8, Table2[[HomeTeam]:[HomeTeam]], AI$1, Table2[[ActualResult]:[ActualResult]], "REG") + SUMIFS(Table2[[AwayWon]:[AwayWon]], Table2[[GameIsOver]:[GameIsOver]],1,Table2[[HomeTeam]:[HomeTeam]],$T8, Table2[[AwayTeam]:[AwayTeam]], AI$1, Table2[[ActualResult]:[ActualResult]], "REG"))) + (1*(SUMIFS(Table2[[HomeWon_]:[HomeWon_]], Table2[[GameIsOver]:[GameIsOver]],1,Table2[[AwayTeam]:[AwayTeam]],$T8, Table2[[HomeTeam]:[HomeTeam]], AI$1, Table2[[ActualResult]:[ActualResult]], "OT") + SUMIFS(Table2[[AwayWon]:[AwayWon]], Table2[[GameIsOver]:[GameIsOver]],1,Table2[[HomeTeam]:[HomeTeam]],$T8, Table2[[AwayTeam]:[AwayTeam]], AI$1, Table2[[ActualResult]:[ActualResult]], "OT") + SUMIFS(Table2[[HomeWon_]:[HomeWon_]], Table2[[GameIsOver]:[GameIsOver]],1,Table2[[AwayTeam]:[AwayTeam]],$T8, Table2[[HomeTeam]:[HomeTeam]], AI$1, Table2[[ActualResult]:[ActualResult]], "SO") + SUMIFS(Table2[[AwayWon]:[AwayWon]], Table2[[GameIsOver]:[GameIsOver]],1,Table2[[HomeTeam]:[HomeTeam]],$T8, Table2[[AwayTeam]:[AwayTeam]], AI$1, Table2[[ActualResult]:[ActualResult]], "SO")))</f>
        <v>0</v>
      </c>
      <c r="AJ8">
        <f>(2*(SUMIFS(Table2[[AwayWon]:[AwayWon]], Table2[[GameIsOver]:[GameIsOver]],1,Table2[[AwayTeam]:[AwayTeam]],$T8, Table2[[HomeTeam]:[HomeTeam]], AJ$1) + SUMIFS(Table2[[HomeWon_]:[HomeWon_]], Table2[[GameIsOver]:[GameIsOver]],1,Table2[[HomeTeam]:[HomeTeam]],$T8, Table2[[AwayTeam]:[AwayTeam]], AJ$1))) + (0*(SUMIFS(Table2[[HomeWon_]:[HomeWon_]], Table2[[GameIsOver]:[GameIsOver]],1,Table2[[AwayTeam]:[AwayTeam]],$T8, Table2[[HomeTeam]:[HomeTeam]], AJ$1, Table2[[ActualResult]:[ActualResult]], "REG") + SUMIFS(Table2[[AwayWon]:[AwayWon]], Table2[[GameIsOver]:[GameIsOver]],1,Table2[[HomeTeam]:[HomeTeam]],$T8, Table2[[AwayTeam]:[AwayTeam]], AJ$1, Table2[[ActualResult]:[ActualResult]], "REG"))) + (1*(SUMIFS(Table2[[HomeWon_]:[HomeWon_]], Table2[[GameIsOver]:[GameIsOver]],1,Table2[[AwayTeam]:[AwayTeam]],$T8, Table2[[HomeTeam]:[HomeTeam]], AJ$1, Table2[[ActualResult]:[ActualResult]], "OT") + SUMIFS(Table2[[AwayWon]:[AwayWon]], Table2[[GameIsOver]:[GameIsOver]],1,Table2[[HomeTeam]:[HomeTeam]],$T8, Table2[[AwayTeam]:[AwayTeam]], AJ$1, Table2[[ActualResult]:[ActualResult]], "OT") + SUMIFS(Table2[[HomeWon_]:[HomeWon_]], Table2[[GameIsOver]:[GameIsOver]],1,Table2[[AwayTeam]:[AwayTeam]],$T8, Table2[[HomeTeam]:[HomeTeam]], AJ$1, Table2[[ActualResult]:[ActualResult]], "SO") + SUMIFS(Table2[[AwayWon]:[AwayWon]], Table2[[GameIsOver]:[GameIsOver]],1,Table2[[HomeTeam]:[HomeTeam]],$T8, Table2[[AwayTeam]:[AwayTeam]], AJ$1, Table2[[ActualResult]:[ActualResult]], "SO")))</f>
        <v>0</v>
      </c>
      <c r="AK8">
        <f>(2*(SUMIFS(Table2[[AwayWon]:[AwayWon]], Table2[[GameIsOver]:[GameIsOver]],1,Table2[[AwayTeam]:[AwayTeam]],$T8, Table2[[HomeTeam]:[HomeTeam]], AK$1) + SUMIFS(Table2[[HomeWon_]:[HomeWon_]], Table2[[GameIsOver]:[GameIsOver]],1,Table2[[HomeTeam]:[HomeTeam]],$T8, Table2[[AwayTeam]:[AwayTeam]], AK$1))) + (0*(SUMIFS(Table2[[HomeWon_]:[HomeWon_]], Table2[[GameIsOver]:[GameIsOver]],1,Table2[[AwayTeam]:[AwayTeam]],$T8, Table2[[HomeTeam]:[HomeTeam]], AK$1, Table2[[ActualResult]:[ActualResult]], "REG") + SUMIFS(Table2[[AwayWon]:[AwayWon]], Table2[[GameIsOver]:[GameIsOver]],1,Table2[[HomeTeam]:[HomeTeam]],$T8, Table2[[AwayTeam]:[AwayTeam]], AK$1, Table2[[ActualResult]:[ActualResult]], "REG"))) + (1*(SUMIFS(Table2[[HomeWon_]:[HomeWon_]], Table2[[GameIsOver]:[GameIsOver]],1,Table2[[AwayTeam]:[AwayTeam]],$T8, Table2[[HomeTeam]:[HomeTeam]], AK$1, Table2[[ActualResult]:[ActualResult]], "OT") + SUMIFS(Table2[[AwayWon]:[AwayWon]], Table2[[GameIsOver]:[GameIsOver]],1,Table2[[HomeTeam]:[HomeTeam]],$T8, Table2[[AwayTeam]:[AwayTeam]], AK$1, Table2[[ActualResult]:[ActualResult]], "OT") + SUMIFS(Table2[[HomeWon_]:[HomeWon_]], Table2[[GameIsOver]:[GameIsOver]],1,Table2[[AwayTeam]:[AwayTeam]],$T8, Table2[[HomeTeam]:[HomeTeam]], AK$1, Table2[[ActualResult]:[ActualResult]], "SO") + SUMIFS(Table2[[AwayWon]:[AwayWon]], Table2[[GameIsOver]:[GameIsOver]],1,Table2[[HomeTeam]:[HomeTeam]],$T8, Table2[[AwayTeam]:[AwayTeam]], AK$1, Table2[[ActualResult]:[ActualResult]], "SO")))</f>
        <v>0</v>
      </c>
      <c r="AL8">
        <f>(2*(SUMIFS(Table2[[AwayWon]:[AwayWon]], Table2[[GameIsOver]:[GameIsOver]],1,Table2[[AwayTeam]:[AwayTeam]],$T8, Table2[[HomeTeam]:[HomeTeam]], AL$1) + SUMIFS(Table2[[HomeWon_]:[HomeWon_]], Table2[[GameIsOver]:[GameIsOver]],1,Table2[[HomeTeam]:[HomeTeam]],$T8, Table2[[AwayTeam]:[AwayTeam]], AL$1))) + (0*(SUMIFS(Table2[[HomeWon_]:[HomeWon_]], Table2[[GameIsOver]:[GameIsOver]],1,Table2[[AwayTeam]:[AwayTeam]],$T8, Table2[[HomeTeam]:[HomeTeam]], AL$1, Table2[[ActualResult]:[ActualResult]], "REG") + SUMIFS(Table2[[AwayWon]:[AwayWon]], Table2[[GameIsOver]:[GameIsOver]],1,Table2[[HomeTeam]:[HomeTeam]],$T8, Table2[[AwayTeam]:[AwayTeam]], AL$1, Table2[[ActualResult]:[ActualResult]], "REG"))) + (1*(SUMIFS(Table2[[HomeWon_]:[HomeWon_]], Table2[[GameIsOver]:[GameIsOver]],1,Table2[[AwayTeam]:[AwayTeam]],$T8, Table2[[HomeTeam]:[HomeTeam]], AL$1, Table2[[ActualResult]:[ActualResult]], "OT") + SUMIFS(Table2[[AwayWon]:[AwayWon]], Table2[[GameIsOver]:[GameIsOver]],1,Table2[[HomeTeam]:[HomeTeam]],$T8, Table2[[AwayTeam]:[AwayTeam]], AL$1, Table2[[ActualResult]:[ActualResult]], "OT") + SUMIFS(Table2[[HomeWon_]:[HomeWon_]], Table2[[GameIsOver]:[GameIsOver]],1,Table2[[AwayTeam]:[AwayTeam]],$T8, Table2[[HomeTeam]:[HomeTeam]], AL$1, Table2[[ActualResult]:[ActualResult]], "SO") + SUMIFS(Table2[[AwayWon]:[AwayWon]], Table2[[GameIsOver]:[GameIsOver]],1,Table2[[HomeTeam]:[HomeTeam]],$T8, Table2[[AwayTeam]:[AwayTeam]], AL$1, Table2[[ActualResult]:[ActualResult]], "SO")))</f>
        <v>0</v>
      </c>
      <c r="AM8">
        <f>(2*(SUMIFS(Table2[[AwayWon]:[AwayWon]], Table2[[GameIsOver]:[GameIsOver]],1,Table2[[AwayTeam]:[AwayTeam]],$T8, Table2[[HomeTeam]:[HomeTeam]], AM$1) + SUMIFS(Table2[[HomeWon_]:[HomeWon_]], Table2[[GameIsOver]:[GameIsOver]],1,Table2[[HomeTeam]:[HomeTeam]],$T8, Table2[[AwayTeam]:[AwayTeam]], AM$1))) + (0*(SUMIFS(Table2[[HomeWon_]:[HomeWon_]], Table2[[GameIsOver]:[GameIsOver]],1,Table2[[AwayTeam]:[AwayTeam]],$T8, Table2[[HomeTeam]:[HomeTeam]], AM$1, Table2[[ActualResult]:[ActualResult]], "REG") + SUMIFS(Table2[[AwayWon]:[AwayWon]], Table2[[GameIsOver]:[GameIsOver]],1,Table2[[HomeTeam]:[HomeTeam]],$T8, Table2[[AwayTeam]:[AwayTeam]], AM$1, Table2[[ActualResult]:[ActualResult]], "REG"))) + (1*(SUMIFS(Table2[[HomeWon_]:[HomeWon_]], Table2[[GameIsOver]:[GameIsOver]],1,Table2[[AwayTeam]:[AwayTeam]],$T8, Table2[[HomeTeam]:[HomeTeam]], AM$1, Table2[[ActualResult]:[ActualResult]], "OT") + SUMIFS(Table2[[AwayWon]:[AwayWon]], Table2[[GameIsOver]:[GameIsOver]],1,Table2[[HomeTeam]:[HomeTeam]],$T8, Table2[[AwayTeam]:[AwayTeam]], AM$1, Table2[[ActualResult]:[ActualResult]], "OT") + SUMIFS(Table2[[HomeWon_]:[HomeWon_]], Table2[[GameIsOver]:[GameIsOver]],1,Table2[[AwayTeam]:[AwayTeam]],$T8, Table2[[HomeTeam]:[HomeTeam]], AM$1, Table2[[ActualResult]:[ActualResult]], "SO") + SUMIFS(Table2[[AwayWon]:[AwayWon]], Table2[[GameIsOver]:[GameIsOver]],1,Table2[[HomeTeam]:[HomeTeam]],$T8, Table2[[AwayTeam]:[AwayTeam]], AM$1, Table2[[ActualResult]:[ActualResult]], "SO")))</f>
        <v>0</v>
      </c>
      <c r="AN8">
        <f>(2*(SUMIFS(Table2[[AwayWon]:[AwayWon]], Table2[[GameIsOver]:[GameIsOver]],1,Table2[[AwayTeam]:[AwayTeam]],$T8, Table2[[HomeTeam]:[HomeTeam]], AN$1) + SUMIFS(Table2[[HomeWon_]:[HomeWon_]], Table2[[GameIsOver]:[GameIsOver]],1,Table2[[HomeTeam]:[HomeTeam]],$T8, Table2[[AwayTeam]:[AwayTeam]], AN$1))) + (0*(SUMIFS(Table2[[HomeWon_]:[HomeWon_]], Table2[[GameIsOver]:[GameIsOver]],1,Table2[[AwayTeam]:[AwayTeam]],$T8, Table2[[HomeTeam]:[HomeTeam]], AN$1, Table2[[ActualResult]:[ActualResult]], "REG") + SUMIFS(Table2[[AwayWon]:[AwayWon]], Table2[[GameIsOver]:[GameIsOver]],1,Table2[[HomeTeam]:[HomeTeam]],$T8, Table2[[AwayTeam]:[AwayTeam]], AN$1, Table2[[ActualResult]:[ActualResult]], "REG"))) + (1*(SUMIFS(Table2[[HomeWon_]:[HomeWon_]], Table2[[GameIsOver]:[GameIsOver]],1,Table2[[AwayTeam]:[AwayTeam]],$T8, Table2[[HomeTeam]:[HomeTeam]], AN$1, Table2[[ActualResult]:[ActualResult]], "OT") + SUMIFS(Table2[[AwayWon]:[AwayWon]], Table2[[GameIsOver]:[GameIsOver]],1,Table2[[HomeTeam]:[HomeTeam]],$T8, Table2[[AwayTeam]:[AwayTeam]], AN$1, Table2[[ActualResult]:[ActualResult]], "OT") + SUMIFS(Table2[[HomeWon_]:[HomeWon_]], Table2[[GameIsOver]:[GameIsOver]],1,Table2[[AwayTeam]:[AwayTeam]],$T8, Table2[[HomeTeam]:[HomeTeam]], AN$1, Table2[[ActualResult]:[ActualResult]], "SO") + SUMIFS(Table2[[AwayWon]:[AwayWon]], Table2[[GameIsOver]:[GameIsOver]],1,Table2[[HomeTeam]:[HomeTeam]],$T8, Table2[[AwayTeam]:[AwayTeam]], AN$1, Table2[[ActualResult]:[ActualResult]], "SO")))</f>
        <v>0</v>
      </c>
      <c r="AO8">
        <f>(2*(SUMIFS(Table2[[AwayWon]:[AwayWon]], Table2[[GameIsOver]:[GameIsOver]],1,Table2[[AwayTeam]:[AwayTeam]],$T8, Table2[[HomeTeam]:[HomeTeam]], AO$1) + SUMIFS(Table2[[HomeWon_]:[HomeWon_]], Table2[[GameIsOver]:[GameIsOver]],1,Table2[[HomeTeam]:[HomeTeam]],$T8, Table2[[AwayTeam]:[AwayTeam]], AO$1))) + (0*(SUMIFS(Table2[[HomeWon_]:[HomeWon_]], Table2[[GameIsOver]:[GameIsOver]],1,Table2[[AwayTeam]:[AwayTeam]],$T8, Table2[[HomeTeam]:[HomeTeam]], AO$1, Table2[[ActualResult]:[ActualResult]], "REG") + SUMIFS(Table2[[AwayWon]:[AwayWon]], Table2[[GameIsOver]:[GameIsOver]],1,Table2[[HomeTeam]:[HomeTeam]],$T8, Table2[[AwayTeam]:[AwayTeam]], AO$1, Table2[[ActualResult]:[ActualResult]], "REG"))) + (1*(SUMIFS(Table2[[HomeWon_]:[HomeWon_]], Table2[[GameIsOver]:[GameIsOver]],1,Table2[[AwayTeam]:[AwayTeam]],$T8, Table2[[HomeTeam]:[HomeTeam]], AO$1, Table2[[ActualResult]:[ActualResult]], "OT") + SUMIFS(Table2[[AwayWon]:[AwayWon]], Table2[[GameIsOver]:[GameIsOver]],1,Table2[[HomeTeam]:[HomeTeam]],$T8, Table2[[AwayTeam]:[AwayTeam]], AO$1, Table2[[ActualResult]:[ActualResult]], "OT") + SUMIFS(Table2[[HomeWon_]:[HomeWon_]], Table2[[GameIsOver]:[GameIsOver]],1,Table2[[AwayTeam]:[AwayTeam]],$T8, Table2[[HomeTeam]:[HomeTeam]], AO$1, Table2[[ActualResult]:[ActualResult]], "SO") + SUMIFS(Table2[[AwayWon]:[AwayWon]], Table2[[GameIsOver]:[GameIsOver]],1,Table2[[HomeTeam]:[HomeTeam]],$T8, Table2[[AwayTeam]:[AwayTeam]], AO$1, Table2[[ActualResult]:[ActualResult]], "SO")))</f>
        <v>0</v>
      </c>
      <c r="AP8">
        <f>(2*(SUMIFS(Table2[[AwayWon]:[AwayWon]], Table2[[GameIsOver]:[GameIsOver]],1,Table2[[AwayTeam]:[AwayTeam]],$T8, Table2[[HomeTeam]:[HomeTeam]], AP$1) + SUMIFS(Table2[[HomeWon_]:[HomeWon_]], Table2[[GameIsOver]:[GameIsOver]],1,Table2[[HomeTeam]:[HomeTeam]],$T8, Table2[[AwayTeam]:[AwayTeam]], AP$1))) + (0*(SUMIFS(Table2[[HomeWon_]:[HomeWon_]], Table2[[GameIsOver]:[GameIsOver]],1,Table2[[AwayTeam]:[AwayTeam]],$T8, Table2[[HomeTeam]:[HomeTeam]], AP$1, Table2[[ActualResult]:[ActualResult]], "REG") + SUMIFS(Table2[[AwayWon]:[AwayWon]], Table2[[GameIsOver]:[GameIsOver]],1,Table2[[HomeTeam]:[HomeTeam]],$T8, Table2[[AwayTeam]:[AwayTeam]], AP$1, Table2[[ActualResult]:[ActualResult]], "REG"))) + (1*(SUMIFS(Table2[[HomeWon_]:[HomeWon_]], Table2[[GameIsOver]:[GameIsOver]],1,Table2[[AwayTeam]:[AwayTeam]],$T8, Table2[[HomeTeam]:[HomeTeam]], AP$1, Table2[[ActualResult]:[ActualResult]], "OT") + SUMIFS(Table2[[AwayWon]:[AwayWon]], Table2[[GameIsOver]:[GameIsOver]],1,Table2[[HomeTeam]:[HomeTeam]],$T8, Table2[[AwayTeam]:[AwayTeam]], AP$1, Table2[[ActualResult]:[ActualResult]], "OT") + SUMIFS(Table2[[HomeWon_]:[HomeWon_]], Table2[[GameIsOver]:[GameIsOver]],1,Table2[[AwayTeam]:[AwayTeam]],$T8, Table2[[HomeTeam]:[HomeTeam]], AP$1, Table2[[ActualResult]:[ActualResult]], "SO") + SUMIFS(Table2[[AwayWon]:[AwayWon]], Table2[[GameIsOver]:[GameIsOver]],1,Table2[[HomeTeam]:[HomeTeam]],$T8, Table2[[AwayTeam]:[AwayTeam]], AP$1, Table2[[ActualResult]:[ActualResult]], "SO")))</f>
        <v>0</v>
      </c>
      <c r="AQ8">
        <f>(2*(SUMIFS(Table2[[AwayWon]:[AwayWon]], Table2[[GameIsOver]:[GameIsOver]],1,Table2[[AwayTeam]:[AwayTeam]],$T8, Table2[[HomeTeam]:[HomeTeam]], AQ$1) + SUMIFS(Table2[[HomeWon_]:[HomeWon_]], Table2[[GameIsOver]:[GameIsOver]],1,Table2[[HomeTeam]:[HomeTeam]],$T8, Table2[[AwayTeam]:[AwayTeam]], AQ$1))) + (0*(SUMIFS(Table2[[HomeWon_]:[HomeWon_]], Table2[[GameIsOver]:[GameIsOver]],1,Table2[[AwayTeam]:[AwayTeam]],$T8, Table2[[HomeTeam]:[HomeTeam]], AQ$1, Table2[[ActualResult]:[ActualResult]], "REG") + SUMIFS(Table2[[AwayWon]:[AwayWon]], Table2[[GameIsOver]:[GameIsOver]],1,Table2[[HomeTeam]:[HomeTeam]],$T8, Table2[[AwayTeam]:[AwayTeam]], AQ$1, Table2[[ActualResult]:[ActualResult]], "REG"))) + (1*(SUMIFS(Table2[[HomeWon_]:[HomeWon_]], Table2[[GameIsOver]:[GameIsOver]],1,Table2[[AwayTeam]:[AwayTeam]],$T8, Table2[[HomeTeam]:[HomeTeam]], AQ$1, Table2[[ActualResult]:[ActualResult]], "OT") + SUMIFS(Table2[[AwayWon]:[AwayWon]], Table2[[GameIsOver]:[GameIsOver]],1,Table2[[HomeTeam]:[HomeTeam]],$T8, Table2[[AwayTeam]:[AwayTeam]], AQ$1, Table2[[ActualResult]:[ActualResult]], "OT") + SUMIFS(Table2[[HomeWon_]:[HomeWon_]], Table2[[GameIsOver]:[GameIsOver]],1,Table2[[AwayTeam]:[AwayTeam]],$T8, Table2[[HomeTeam]:[HomeTeam]], AQ$1, Table2[[ActualResult]:[ActualResult]], "SO") + SUMIFS(Table2[[AwayWon]:[AwayWon]], Table2[[GameIsOver]:[GameIsOver]],1,Table2[[HomeTeam]:[HomeTeam]],$T8, Table2[[AwayTeam]:[AwayTeam]], AQ$1, Table2[[ActualResult]:[ActualResult]], "SO")))</f>
        <v>0</v>
      </c>
      <c r="AR8">
        <f>(2*(SUMIFS(Table2[[AwayWon]:[AwayWon]], Table2[[GameIsOver]:[GameIsOver]],1,Table2[[AwayTeam]:[AwayTeam]],$T8, Table2[[HomeTeam]:[HomeTeam]], AR$1) + SUMIFS(Table2[[HomeWon_]:[HomeWon_]], Table2[[GameIsOver]:[GameIsOver]],1,Table2[[HomeTeam]:[HomeTeam]],$T8, Table2[[AwayTeam]:[AwayTeam]], AR$1))) + (0*(SUMIFS(Table2[[HomeWon_]:[HomeWon_]], Table2[[GameIsOver]:[GameIsOver]],1,Table2[[AwayTeam]:[AwayTeam]],$T8, Table2[[HomeTeam]:[HomeTeam]], AR$1, Table2[[ActualResult]:[ActualResult]], "REG") + SUMIFS(Table2[[AwayWon]:[AwayWon]], Table2[[GameIsOver]:[GameIsOver]],1,Table2[[HomeTeam]:[HomeTeam]],$T8, Table2[[AwayTeam]:[AwayTeam]], AR$1, Table2[[ActualResult]:[ActualResult]], "REG"))) + (1*(SUMIFS(Table2[[HomeWon_]:[HomeWon_]], Table2[[GameIsOver]:[GameIsOver]],1,Table2[[AwayTeam]:[AwayTeam]],$T8, Table2[[HomeTeam]:[HomeTeam]], AR$1, Table2[[ActualResult]:[ActualResult]], "OT") + SUMIFS(Table2[[AwayWon]:[AwayWon]], Table2[[GameIsOver]:[GameIsOver]],1,Table2[[HomeTeam]:[HomeTeam]],$T8, Table2[[AwayTeam]:[AwayTeam]], AR$1, Table2[[ActualResult]:[ActualResult]], "OT") + SUMIFS(Table2[[HomeWon_]:[HomeWon_]], Table2[[GameIsOver]:[GameIsOver]],1,Table2[[AwayTeam]:[AwayTeam]],$T8, Table2[[HomeTeam]:[HomeTeam]], AR$1, Table2[[ActualResult]:[ActualResult]], "SO") + SUMIFS(Table2[[AwayWon]:[AwayWon]], Table2[[GameIsOver]:[GameIsOver]],1,Table2[[HomeTeam]:[HomeTeam]],$T8, Table2[[AwayTeam]:[AwayTeam]], AR$1, Table2[[ActualResult]:[ActualResult]], "SO")))</f>
        <v>0</v>
      </c>
      <c r="AS8">
        <f>(2*(SUMIFS(Table2[[AwayWon]:[AwayWon]], Table2[[GameIsOver]:[GameIsOver]],1,Table2[[AwayTeam]:[AwayTeam]],$T8, Table2[[HomeTeam]:[HomeTeam]], AS$1) + SUMIFS(Table2[[HomeWon_]:[HomeWon_]], Table2[[GameIsOver]:[GameIsOver]],1,Table2[[HomeTeam]:[HomeTeam]],$T8, Table2[[AwayTeam]:[AwayTeam]], AS$1))) + (0*(SUMIFS(Table2[[HomeWon_]:[HomeWon_]], Table2[[GameIsOver]:[GameIsOver]],1,Table2[[AwayTeam]:[AwayTeam]],$T8, Table2[[HomeTeam]:[HomeTeam]], AS$1, Table2[[ActualResult]:[ActualResult]], "REG") + SUMIFS(Table2[[AwayWon]:[AwayWon]], Table2[[GameIsOver]:[GameIsOver]],1,Table2[[HomeTeam]:[HomeTeam]],$T8, Table2[[AwayTeam]:[AwayTeam]], AS$1, Table2[[ActualResult]:[ActualResult]], "REG"))) + (1*(SUMIFS(Table2[[HomeWon_]:[HomeWon_]], Table2[[GameIsOver]:[GameIsOver]],1,Table2[[AwayTeam]:[AwayTeam]],$T8, Table2[[HomeTeam]:[HomeTeam]], AS$1, Table2[[ActualResult]:[ActualResult]], "OT") + SUMIFS(Table2[[AwayWon]:[AwayWon]], Table2[[GameIsOver]:[GameIsOver]],1,Table2[[HomeTeam]:[HomeTeam]],$T8, Table2[[AwayTeam]:[AwayTeam]], AS$1, Table2[[ActualResult]:[ActualResult]], "OT") + SUMIFS(Table2[[HomeWon_]:[HomeWon_]], Table2[[GameIsOver]:[GameIsOver]],1,Table2[[AwayTeam]:[AwayTeam]],$T8, Table2[[HomeTeam]:[HomeTeam]], AS$1, Table2[[ActualResult]:[ActualResult]], "SO") + SUMIFS(Table2[[AwayWon]:[AwayWon]], Table2[[GameIsOver]:[GameIsOver]],1,Table2[[HomeTeam]:[HomeTeam]],$T8, Table2[[AwayTeam]:[AwayTeam]], AS$1, Table2[[ActualResult]:[ActualResult]], "SO")))</f>
        <v>0</v>
      </c>
      <c r="AT8">
        <f>(2*(SUMIFS(Table2[[AwayWon]:[AwayWon]], Table2[[GameIsOver]:[GameIsOver]],1,Table2[[AwayTeam]:[AwayTeam]],$T8, Table2[[HomeTeam]:[HomeTeam]], AT$1) + SUMIFS(Table2[[HomeWon_]:[HomeWon_]], Table2[[GameIsOver]:[GameIsOver]],1,Table2[[HomeTeam]:[HomeTeam]],$T8, Table2[[AwayTeam]:[AwayTeam]], AT$1))) + (0*(SUMIFS(Table2[[HomeWon_]:[HomeWon_]], Table2[[GameIsOver]:[GameIsOver]],1,Table2[[AwayTeam]:[AwayTeam]],$T8, Table2[[HomeTeam]:[HomeTeam]], AT$1, Table2[[ActualResult]:[ActualResult]], "REG") + SUMIFS(Table2[[AwayWon]:[AwayWon]], Table2[[GameIsOver]:[GameIsOver]],1,Table2[[HomeTeam]:[HomeTeam]],$T8, Table2[[AwayTeam]:[AwayTeam]], AT$1, Table2[[ActualResult]:[ActualResult]], "REG"))) + (1*(SUMIFS(Table2[[HomeWon_]:[HomeWon_]], Table2[[GameIsOver]:[GameIsOver]],1,Table2[[AwayTeam]:[AwayTeam]],$T8, Table2[[HomeTeam]:[HomeTeam]], AT$1, Table2[[ActualResult]:[ActualResult]], "OT") + SUMIFS(Table2[[AwayWon]:[AwayWon]], Table2[[GameIsOver]:[GameIsOver]],1,Table2[[HomeTeam]:[HomeTeam]],$T8, Table2[[AwayTeam]:[AwayTeam]], AT$1, Table2[[ActualResult]:[ActualResult]], "OT") + SUMIFS(Table2[[HomeWon_]:[HomeWon_]], Table2[[GameIsOver]:[GameIsOver]],1,Table2[[AwayTeam]:[AwayTeam]],$T8, Table2[[HomeTeam]:[HomeTeam]], AT$1, Table2[[ActualResult]:[ActualResult]], "SO") + SUMIFS(Table2[[AwayWon]:[AwayWon]], Table2[[GameIsOver]:[GameIsOver]],1,Table2[[HomeTeam]:[HomeTeam]],$T8, Table2[[AwayTeam]:[AwayTeam]], AT$1, Table2[[ActualResult]:[ActualResult]], "SO")))</f>
        <v>0</v>
      </c>
      <c r="AU8">
        <f>(2*(SUMIFS(Table2[[AwayWon]:[AwayWon]], Table2[[GameIsOver]:[GameIsOver]],1,Table2[[AwayTeam]:[AwayTeam]],$T8, Table2[[HomeTeam]:[HomeTeam]], AU$1) + SUMIFS(Table2[[HomeWon_]:[HomeWon_]], Table2[[GameIsOver]:[GameIsOver]],1,Table2[[HomeTeam]:[HomeTeam]],$T8, Table2[[AwayTeam]:[AwayTeam]], AU$1))) + (0*(SUMIFS(Table2[[HomeWon_]:[HomeWon_]], Table2[[GameIsOver]:[GameIsOver]],1,Table2[[AwayTeam]:[AwayTeam]],$T8, Table2[[HomeTeam]:[HomeTeam]], AU$1, Table2[[ActualResult]:[ActualResult]], "REG") + SUMIFS(Table2[[AwayWon]:[AwayWon]], Table2[[GameIsOver]:[GameIsOver]],1,Table2[[HomeTeam]:[HomeTeam]],$T8, Table2[[AwayTeam]:[AwayTeam]], AU$1, Table2[[ActualResult]:[ActualResult]], "REG"))) + (1*(SUMIFS(Table2[[HomeWon_]:[HomeWon_]], Table2[[GameIsOver]:[GameIsOver]],1,Table2[[AwayTeam]:[AwayTeam]],$T8, Table2[[HomeTeam]:[HomeTeam]], AU$1, Table2[[ActualResult]:[ActualResult]], "OT") + SUMIFS(Table2[[AwayWon]:[AwayWon]], Table2[[GameIsOver]:[GameIsOver]],1,Table2[[HomeTeam]:[HomeTeam]],$T8, Table2[[AwayTeam]:[AwayTeam]], AU$1, Table2[[ActualResult]:[ActualResult]], "OT") + SUMIFS(Table2[[HomeWon_]:[HomeWon_]], Table2[[GameIsOver]:[GameIsOver]],1,Table2[[AwayTeam]:[AwayTeam]],$T8, Table2[[HomeTeam]:[HomeTeam]], AU$1, Table2[[ActualResult]:[ActualResult]], "SO") + SUMIFS(Table2[[AwayWon]:[AwayWon]], Table2[[GameIsOver]:[GameIsOver]],1,Table2[[HomeTeam]:[HomeTeam]],$T8, Table2[[AwayTeam]:[AwayTeam]], AU$1, Table2[[ActualResult]:[ActualResult]], "SO")))</f>
        <v>0</v>
      </c>
      <c r="AV8">
        <f>(2*(SUMIFS(Table2[[AwayWon]:[AwayWon]], Table2[[GameIsOver]:[GameIsOver]],1,Table2[[AwayTeam]:[AwayTeam]],$T8, Table2[[HomeTeam]:[HomeTeam]], AV$1) + SUMIFS(Table2[[HomeWon_]:[HomeWon_]], Table2[[GameIsOver]:[GameIsOver]],1,Table2[[HomeTeam]:[HomeTeam]],$T8, Table2[[AwayTeam]:[AwayTeam]], AV$1))) + (0*(SUMIFS(Table2[[HomeWon_]:[HomeWon_]], Table2[[GameIsOver]:[GameIsOver]],1,Table2[[AwayTeam]:[AwayTeam]],$T8, Table2[[HomeTeam]:[HomeTeam]], AV$1, Table2[[ActualResult]:[ActualResult]], "REG") + SUMIFS(Table2[[AwayWon]:[AwayWon]], Table2[[GameIsOver]:[GameIsOver]],1,Table2[[HomeTeam]:[HomeTeam]],$T8, Table2[[AwayTeam]:[AwayTeam]], AV$1, Table2[[ActualResult]:[ActualResult]], "REG"))) + (1*(SUMIFS(Table2[[HomeWon_]:[HomeWon_]], Table2[[GameIsOver]:[GameIsOver]],1,Table2[[AwayTeam]:[AwayTeam]],$T8, Table2[[HomeTeam]:[HomeTeam]], AV$1, Table2[[ActualResult]:[ActualResult]], "OT") + SUMIFS(Table2[[AwayWon]:[AwayWon]], Table2[[GameIsOver]:[GameIsOver]],1,Table2[[HomeTeam]:[HomeTeam]],$T8, Table2[[AwayTeam]:[AwayTeam]], AV$1, Table2[[ActualResult]:[ActualResult]], "OT") + SUMIFS(Table2[[HomeWon_]:[HomeWon_]], Table2[[GameIsOver]:[GameIsOver]],1,Table2[[AwayTeam]:[AwayTeam]],$T8, Table2[[HomeTeam]:[HomeTeam]], AV$1, Table2[[ActualResult]:[ActualResult]], "SO") + SUMIFS(Table2[[AwayWon]:[AwayWon]], Table2[[GameIsOver]:[GameIsOver]],1,Table2[[HomeTeam]:[HomeTeam]],$T8, Table2[[AwayTeam]:[AwayTeam]], AV$1, Table2[[ActualResult]:[ActualResult]], "SO")))</f>
        <v>0</v>
      </c>
      <c r="AW8">
        <f>(2*(SUMIFS(Table2[[AwayWon]:[AwayWon]], Table2[[GameIsOver]:[GameIsOver]],1,Table2[[AwayTeam]:[AwayTeam]],$T8, Table2[[HomeTeam]:[HomeTeam]], AW$1) + SUMIFS(Table2[[HomeWon_]:[HomeWon_]], Table2[[GameIsOver]:[GameIsOver]],1,Table2[[HomeTeam]:[HomeTeam]],$T8, Table2[[AwayTeam]:[AwayTeam]], AW$1))) + (0*(SUMIFS(Table2[[HomeWon_]:[HomeWon_]], Table2[[GameIsOver]:[GameIsOver]],1,Table2[[AwayTeam]:[AwayTeam]],$T8, Table2[[HomeTeam]:[HomeTeam]], AW$1, Table2[[ActualResult]:[ActualResult]], "REG") + SUMIFS(Table2[[AwayWon]:[AwayWon]], Table2[[GameIsOver]:[GameIsOver]],1,Table2[[HomeTeam]:[HomeTeam]],$T8, Table2[[AwayTeam]:[AwayTeam]], AW$1, Table2[[ActualResult]:[ActualResult]], "REG"))) + (1*(SUMIFS(Table2[[HomeWon_]:[HomeWon_]], Table2[[GameIsOver]:[GameIsOver]],1,Table2[[AwayTeam]:[AwayTeam]],$T8, Table2[[HomeTeam]:[HomeTeam]], AW$1, Table2[[ActualResult]:[ActualResult]], "OT") + SUMIFS(Table2[[AwayWon]:[AwayWon]], Table2[[GameIsOver]:[GameIsOver]],1,Table2[[HomeTeam]:[HomeTeam]],$T8, Table2[[AwayTeam]:[AwayTeam]], AW$1, Table2[[ActualResult]:[ActualResult]], "OT") + SUMIFS(Table2[[HomeWon_]:[HomeWon_]], Table2[[GameIsOver]:[GameIsOver]],1,Table2[[AwayTeam]:[AwayTeam]],$T8, Table2[[HomeTeam]:[HomeTeam]], AW$1, Table2[[ActualResult]:[ActualResult]], "SO") + SUMIFS(Table2[[AwayWon]:[AwayWon]], Table2[[GameIsOver]:[GameIsOver]],1,Table2[[HomeTeam]:[HomeTeam]],$T8, Table2[[AwayTeam]:[AwayTeam]], AW$1, Table2[[ActualResult]:[ActualResult]], "SO")))</f>
        <v>0</v>
      </c>
      <c r="AX8">
        <f>(2*(SUMIFS(Table2[[AwayWon]:[AwayWon]], Table2[[GameIsOver]:[GameIsOver]],1,Table2[[AwayTeam]:[AwayTeam]],$T8, Table2[[HomeTeam]:[HomeTeam]], AX$1) + SUMIFS(Table2[[HomeWon_]:[HomeWon_]], Table2[[GameIsOver]:[GameIsOver]],1,Table2[[HomeTeam]:[HomeTeam]],$T8, Table2[[AwayTeam]:[AwayTeam]], AX$1))) + (0*(SUMIFS(Table2[[HomeWon_]:[HomeWon_]], Table2[[GameIsOver]:[GameIsOver]],1,Table2[[AwayTeam]:[AwayTeam]],$T8, Table2[[HomeTeam]:[HomeTeam]], AX$1, Table2[[ActualResult]:[ActualResult]], "REG") + SUMIFS(Table2[[AwayWon]:[AwayWon]], Table2[[GameIsOver]:[GameIsOver]],1,Table2[[HomeTeam]:[HomeTeam]],$T8, Table2[[AwayTeam]:[AwayTeam]], AX$1, Table2[[ActualResult]:[ActualResult]], "REG"))) + (1*(SUMIFS(Table2[[HomeWon_]:[HomeWon_]], Table2[[GameIsOver]:[GameIsOver]],1,Table2[[AwayTeam]:[AwayTeam]],$T8, Table2[[HomeTeam]:[HomeTeam]], AX$1, Table2[[ActualResult]:[ActualResult]], "OT") + SUMIFS(Table2[[AwayWon]:[AwayWon]], Table2[[GameIsOver]:[GameIsOver]],1,Table2[[HomeTeam]:[HomeTeam]],$T8, Table2[[AwayTeam]:[AwayTeam]], AX$1, Table2[[ActualResult]:[ActualResult]], "OT") + SUMIFS(Table2[[HomeWon_]:[HomeWon_]], Table2[[GameIsOver]:[GameIsOver]],1,Table2[[AwayTeam]:[AwayTeam]],$T8, Table2[[HomeTeam]:[HomeTeam]], AX$1, Table2[[ActualResult]:[ActualResult]], "SO") + SUMIFS(Table2[[AwayWon]:[AwayWon]], Table2[[GameIsOver]:[GameIsOver]],1,Table2[[HomeTeam]:[HomeTeam]],$T8, Table2[[AwayTeam]:[AwayTeam]], AX$1, Table2[[ActualResult]:[ActualResult]], "SO")))</f>
        <v>1</v>
      </c>
      <c r="AY8">
        <f>(2*(SUMIFS(Table2[[AwayWon]:[AwayWon]], Table2[[GameIsOver]:[GameIsOver]],1,Table2[[AwayTeam]:[AwayTeam]],$T8, Table2[[HomeTeam]:[HomeTeam]], AY$1) + SUMIFS(Table2[[HomeWon_]:[HomeWon_]], Table2[[GameIsOver]:[GameIsOver]],1,Table2[[HomeTeam]:[HomeTeam]],$T8, Table2[[AwayTeam]:[AwayTeam]], AY$1))) + (0*(SUMIFS(Table2[[HomeWon_]:[HomeWon_]], Table2[[GameIsOver]:[GameIsOver]],1,Table2[[AwayTeam]:[AwayTeam]],$T8, Table2[[HomeTeam]:[HomeTeam]], AY$1, Table2[[ActualResult]:[ActualResult]], "REG") + SUMIFS(Table2[[AwayWon]:[AwayWon]], Table2[[GameIsOver]:[GameIsOver]],1,Table2[[HomeTeam]:[HomeTeam]],$T8, Table2[[AwayTeam]:[AwayTeam]], AY$1, Table2[[ActualResult]:[ActualResult]], "REG"))) + (1*(SUMIFS(Table2[[HomeWon_]:[HomeWon_]], Table2[[GameIsOver]:[GameIsOver]],1,Table2[[AwayTeam]:[AwayTeam]],$T8, Table2[[HomeTeam]:[HomeTeam]], AY$1, Table2[[ActualResult]:[ActualResult]], "OT") + SUMIFS(Table2[[AwayWon]:[AwayWon]], Table2[[GameIsOver]:[GameIsOver]],1,Table2[[HomeTeam]:[HomeTeam]],$T8, Table2[[AwayTeam]:[AwayTeam]], AY$1, Table2[[ActualResult]:[ActualResult]], "OT") + SUMIFS(Table2[[HomeWon_]:[HomeWon_]], Table2[[GameIsOver]:[GameIsOver]],1,Table2[[AwayTeam]:[AwayTeam]],$T8, Table2[[HomeTeam]:[HomeTeam]], AY$1, Table2[[ActualResult]:[ActualResult]], "SO") + SUMIFS(Table2[[AwayWon]:[AwayWon]], Table2[[GameIsOver]:[GameIsOver]],1,Table2[[HomeTeam]:[HomeTeam]],$T8, Table2[[AwayTeam]:[AwayTeam]], AY$1, Table2[[ActualResult]:[ActualResult]], "SO")))</f>
        <v>1</v>
      </c>
      <c r="AZ8">
        <f>(2*(SUMIFS(Table2[[AwayWon]:[AwayWon]], Table2[[GameIsOver]:[GameIsOver]],1,Table2[[AwayTeam]:[AwayTeam]],$T8, Table2[[HomeTeam]:[HomeTeam]], AZ$1) + SUMIFS(Table2[[HomeWon_]:[HomeWon_]], Table2[[GameIsOver]:[GameIsOver]],1,Table2[[HomeTeam]:[HomeTeam]],$T8, Table2[[AwayTeam]:[AwayTeam]], AZ$1))) + (0*(SUMIFS(Table2[[HomeWon_]:[HomeWon_]], Table2[[GameIsOver]:[GameIsOver]],1,Table2[[AwayTeam]:[AwayTeam]],$T8, Table2[[HomeTeam]:[HomeTeam]], AZ$1, Table2[[ActualResult]:[ActualResult]], "REG") + SUMIFS(Table2[[AwayWon]:[AwayWon]], Table2[[GameIsOver]:[GameIsOver]],1,Table2[[HomeTeam]:[HomeTeam]],$T8, Table2[[AwayTeam]:[AwayTeam]], AZ$1, Table2[[ActualResult]:[ActualResult]], "REG"))) + (1*(SUMIFS(Table2[[HomeWon_]:[HomeWon_]], Table2[[GameIsOver]:[GameIsOver]],1,Table2[[AwayTeam]:[AwayTeam]],$T8, Table2[[HomeTeam]:[HomeTeam]], AZ$1, Table2[[ActualResult]:[ActualResult]], "OT") + SUMIFS(Table2[[AwayWon]:[AwayWon]], Table2[[GameIsOver]:[GameIsOver]],1,Table2[[HomeTeam]:[HomeTeam]],$T8, Table2[[AwayTeam]:[AwayTeam]], AZ$1, Table2[[ActualResult]:[ActualResult]], "OT") + SUMIFS(Table2[[HomeWon_]:[HomeWon_]], Table2[[GameIsOver]:[GameIsOver]],1,Table2[[AwayTeam]:[AwayTeam]],$T8, Table2[[HomeTeam]:[HomeTeam]], AZ$1, Table2[[ActualResult]:[ActualResult]], "SO") + SUMIFS(Table2[[AwayWon]:[AwayWon]], Table2[[GameIsOver]:[GameIsOver]],1,Table2[[HomeTeam]:[HomeTeam]],$T8, Table2[[AwayTeam]:[AwayTeam]], AZ$1, Table2[[ActualResult]:[ActualResult]], "SO")))</f>
        <v>0</v>
      </c>
      <c r="BA8">
        <f>(2*(SUMIFS(Table2[[AwayWon]:[AwayWon]], Table2[[GameIsOver]:[GameIsOver]],1,Table2[[AwayTeam]:[AwayTeam]],$T8, Table2[[HomeTeam]:[HomeTeam]], BA$1) + SUMIFS(Table2[[HomeWon_]:[HomeWon_]], Table2[[GameIsOver]:[GameIsOver]],1,Table2[[HomeTeam]:[HomeTeam]],$T8, Table2[[AwayTeam]:[AwayTeam]], BA$1))) + (0*(SUMIFS(Table2[[HomeWon_]:[HomeWon_]], Table2[[GameIsOver]:[GameIsOver]],1,Table2[[AwayTeam]:[AwayTeam]],$T8, Table2[[HomeTeam]:[HomeTeam]], BA$1, Table2[[ActualResult]:[ActualResult]], "REG") + SUMIFS(Table2[[AwayWon]:[AwayWon]], Table2[[GameIsOver]:[GameIsOver]],1,Table2[[HomeTeam]:[HomeTeam]],$T8, Table2[[AwayTeam]:[AwayTeam]], BA$1, Table2[[ActualResult]:[ActualResult]], "REG"))) + (1*(SUMIFS(Table2[[HomeWon_]:[HomeWon_]], Table2[[GameIsOver]:[GameIsOver]],1,Table2[[AwayTeam]:[AwayTeam]],$T8, Table2[[HomeTeam]:[HomeTeam]], BA$1, Table2[[ActualResult]:[ActualResult]], "OT") + SUMIFS(Table2[[AwayWon]:[AwayWon]], Table2[[GameIsOver]:[GameIsOver]],1,Table2[[HomeTeam]:[HomeTeam]],$T8, Table2[[AwayTeam]:[AwayTeam]], BA$1, Table2[[ActualResult]:[ActualResult]], "OT") + SUMIFS(Table2[[HomeWon_]:[HomeWon_]], Table2[[GameIsOver]:[GameIsOver]],1,Table2[[AwayTeam]:[AwayTeam]],$T8, Table2[[HomeTeam]:[HomeTeam]], BA$1, Table2[[ActualResult]:[ActualResult]], "SO") + SUMIFS(Table2[[AwayWon]:[AwayWon]], Table2[[GameIsOver]:[GameIsOver]],1,Table2[[HomeTeam]:[HomeTeam]],$T8, Table2[[AwayTeam]:[AwayTeam]], BA$1, Table2[[ActualResult]:[ActualResult]], "SO")))</f>
        <v>2</v>
      </c>
    </row>
    <row r="9" spans="1:53" x14ac:dyDescent="0.25">
      <c r="A9" s="62" t="s">
        <v>25</v>
      </c>
      <c r="B9" s="62" t="s">
        <v>90</v>
      </c>
      <c r="C9" s="62" t="s">
        <v>88</v>
      </c>
      <c r="D9" s="62">
        <f>INDEX(Table3[PTS], MATCH(Table6[[#This Row],[Teams]], Table3[Teams],0))</f>
        <v>12</v>
      </c>
      <c r="E9" s="62">
        <f>INDEX(Table3[PTS], MATCH(Table6[[#This Row],[Teams]], Table3[Teams],0))</f>
        <v>12</v>
      </c>
      <c r="S9">
        <v>6</v>
      </c>
      <c r="T9" t="str" cm="1">
        <f t="array" ref="T9">INDEX(Table6[Teams], SMALL(IF(Table6[D]="P", ROW(Table6[Teams])-ROW(Table6[#Headers])), Table7[[#This Row],[PAC]]))</f>
        <v>SJS</v>
      </c>
      <c r="U9">
        <f>INDEX(Table6[PTS], MATCH($T9, Table6[Teams], 0))</f>
        <v>2</v>
      </c>
      <c r="V9">
        <f>(2*(SUMIFS(Table2[[AwayWon]:[AwayWon]], Table2[[GameIsOver]:[GameIsOver]],1,Table2[[AwayTeam]:[AwayTeam]],$T9, Table2[[HomeTeam]:[HomeTeam]], V$1) + SUMIFS(Table2[[HomeWon_]:[HomeWon_]], Table2[[GameIsOver]:[GameIsOver]],1,Table2[[HomeTeam]:[HomeTeam]],$T9, Table2[[AwayTeam]:[AwayTeam]], V$1))) + (0*(SUMIFS(Table2[[HomeWon_]:[HomeWon_]], Table2[[GameIsOver]:[GameIsOver]],1,Table2[[AwayTeam]:[AwayTeam]],$T9, Table2[[HomeTeam]:[HomeTeam]], V$1, Table2[[ActualResult]:[ActualResult]], "REG") + SUMIFS(Table2[[AwayWon]:[AwayWon]], Table2[[GameIsOver]:[GameIsOver]],1,Table2[[HomeTeam]:[HomeTeam]],$T9, Table2[[AwayTeam]:[AwayTeam]], V$1, Table2[[ActualResult]:[ActualResult]], "REG"))) + (1*(SUMIFS(Table2[[HomeWon_]:[HomeWon_]], Table2[[GameIsOver]:[GameIsOver]],1,Table2[[AwayTeam]:[AwayTeam]],$T9, Table2[[HomeTeam]:[HomeTeam]], V$1, Table2[[ActualResult]:[ActualResult]], "OT") + SUMIFS(Table2[[AwayWon]:[AwayWon]], Table2[[GameIsOver]:[GameIsOver]],1,Table2[[HomeTeam]:[HomeTeam]],$T9, Table2[[AwayTeam]:[AwayTeam]], V$1, Table2[[ActualResult]:[ActualResult]], "OT") + SUMIFS(Table2[[HomeWon_]:[HomeWon_]], Table2[[GameIsOver]:[GameIsOver]],1,Table2[[AwayTeam]:[AwayTeam]],$T9, Table2[[HomeTeam]:[HomeTeam]], V$1, Table2[[ActualResult]:[ActualResult]], "SO") + SUMIFS(Table2[[AwayWon]:[AwayWon]], Table2[[GameIsOver]:[GameIsOver]],1,Table2[[HomeTeam]:[HomeTeam]],$T9, Table2[[AwayTeam]:[AwayTeam]], V$1, Table2[[ActualResult]:[ActualResult]], "SO")))</f>
        <v>1</v>
      </c>
      <c r="W9">
        <f>(2*(SUMIFS(Table2[[AwayWon]:[AwayWon]], Table2[[GameIsOver]:[GameIsOver]],1,Table2[[AwayTeam]:[AwayTeam]],$T9, Table2[[HomeTeam]:[HomeTeam]], W$1) + SUMIFS(Table2[[HomeWon_]:[HomeWon_]], Table2[[GameIsOver]:[GameIsOver]],1,Table2[[HomeTeam]:[HomeTeam]],$T9, Table2[[AwayTeam]:[AwayTeam]], W$1))) + (0*(SUMIFS(Table2[[HomeWon_]:[HomeWon_]], Table2[[GameIsOver]:[GameIsOver]],1,Table2[[AwayTeam]:[AwayTeam]],$T9, Table2[[HomeTeam]:[HomeTeam]], W$1, Table2[[ActualResult]:[ActualResult]], "REG") + SUMIFS(Table2[[AwayWon]:[AwayWon]], Table2[[GameIsOver]:[GameIsOver]],1,Table2[[HomeTeam]:[HomeTeam]],$T9, Table2[[AwayTeam]:[AwayTeam]], W$1, Table2[[ActualResult]:[ActualResult]], "REG"))) + (1*(SUMIFS(Table2[[HomeWon_]:[HomeWon_]], Table2[[GameIsOver]:[GameIsOver]],1,Table2[[AwayTeam]:[AwayTeam]],$T9, Table2[[HomeTeam]:[HomeTeam]], W$1, Table2[[ActualResult]:[ActualResult]], "OT") + SUMIFS(Table2[[AwayWon]:[AwayWon]], Table2[[GameIsOver]:[GameIsOver]],1,Table2[[HomeTeam]:[HomeTeam]],$T9, Table2[[AwayTeam]:[AwayTeam]], W$1, Table2[[ActualResult]:[ActualResult]], "OT") + SUMIFS(Table2[[HomeWon_]:[HomeWon_]], Table2[[GameIsOver]:[GameIsOver]],1,Table2[[AwayTeam]:[AwayTeam]],$T9, Table2[[HomeTeam]:[HomeTeam]], W$1, Table2[[ActualResult]:[ActualResult]], "SO") + SUMIFS(Table2[[AwayWon]:[AwayWon]], Table2[[GameIsOver]:[GameIsOver]],1,Table2[[HomeTeam]:[HomeTeam]],$T9, Table2[[AwayTeam]:[AwayTeam]], W$1, Table2[[ActualResult]:[ActualResult]], "SO")))</f>
        <v>0</v>
      </c>
      <c r="X9">
        <f>(2*(SUMIFS(Table2[[AwayWon]:[AwayWon]], Table2[[GameIsOver]:[GameIsOver]],1,Table2[[AwayTeam]:[AwayTeam]],$T9, Table2[[HomeTeam]:[HomeTeam]], X$1) + SUMIFS(Table2[[HomeWon_]:[HomeWon_]], Table2[[GameIsOver]:[GameIsOver]],1,Table2[[HomeTeam]:[HomeTeam]],$T9, Table2[[AwayTeam]:[AwayTeam]], X$1))) + (0*(SUMIFS(Table2[[HomeWon_]:[HomeWon_]], Table2[[GameIsOver]:[GameIsOver]],1,Table2[[AwayTeam]:[AwayTeam]],$T9, Table2[[HomeTeam]:[HomeTeam]], X$1, Table2[[ActualResult]:[ActualResult]], "REG") + SUMIFS(Table2[[AwayWon]:[AwayWon]], Table2[[GameIsOver]:[GameIsOver]],1,Table2[[HomeTeam]:[HomeTeam]],$T9, Table2[[AwayTeam]:[AwayTeam]], X$1, Table2[[ActualResult]:[ActualResult]], "REG"))) + (1*(SUMIFS(Table2[[HomeWon_]:[HomeWon_]], Table2[[GameIsOver]:[GameIsOver]],1,Table2[[AwayTeam]:[AwayTeam]],$T9, Table2[[HomeTeam]:[HomeTeam]], X$1, Table2[[ActualResult]:[ActualResult]], "OT") + SUMIFS(Table2[[AwayWon]:[AwayWon]], Table2[[GameIsOver]:[GameIsOver]],1,Table2[[HomeTeam]:[HomeTeam]],$T9, Table2[[AwayTeam]:[AwayTeam]], X$1, Table2[[ActualResult]:[ActualResult]], "OT") + SUMIFS(Table2[[HomeWon_]:[HomeWon_]], Table2[[GameIsOver]:[GameIsOver]],1,Table2[[AwayTeam]:[AwayTeam]],$T9, Table2[[HomeTeam]:[HomeTeam]], X$1, Table2[[ActualResult]:[ActualResult]], "SO") + SUMIFS(Table2[[AwayWon]:[AwayWon]], Table2[[GameIsOver]:[GameIsOver]],1,Table2[[HomeTeam]:[HomeTeam]],$T9, Table2[[AwayTeam]:[AwayTeam]], X$1, Table2[[ActualResult]:[ActualResult]], "SO")))</f>
        <v>0</v>
      </c>
      <c r="Y9">
        <f>(2*(SUMIFS(Table2[[AwayWon]:[AwayWon]], Table2[[GameIsOver]:[GameIsOver]],1,Table2[[AwayTeam]:[AwayTeam]],$T9, Table2[[HomeTeam]:[HomeTeam]], Y$1) + SUMIFS(Table2[[HomeWon_]:[HomeWon_]], Table2[[GameIsOver]:[GameIsOver]],1,Table2[[HomeTeam]:[HomeTeam]],$T9, Table2[[AwayTeam]:[AwayTeam]], Y$1))) + (0*(SUMIFS(Table2[[HomeWon_]:[HomeWon_]], Table2[[GameIsOver]:[GameIsOver]],1,Table2[[AwayTeam]:[AwayTeam]],$T9, Table2[[HomeTeam]:[HomeTeam]], Y$1, Table2[[ActualResult]:[ActualResult]], "REG") + SUMIFS(Table2[[AwayWon]:[AwayWon]], Table2[[GameIsOver]:[GameIsOver]],1,Table2[[HomeTeam]:[HomeTeam]],$T9, Table2[[AwayTeam]:[AwayTeam]], Y$1, Table2[[ActualResult]:[ActualResult]], "REG"))) + (1*(SUMIFS(Table2[[HomeWon_]:[HomeWon_]], Table2[[GameIsOver]:[GameIsOver]],1,Table2[[AwayTeam]:[AwayTeam]],$T9, Table2[[HomeTeam]:[HomeTeam]], Y$1, Table2[[ActualResult]:[ActualResult]], "OT") + SUMIFS(Table2[[AwayWon]:[AwayWon]], Table2[[GameIsOver]:[GameIsOver]],1,Table2[[HomeTeam]:[HomeTeam]],$T9, Table2[[AwayTeam]:[AwayTeam]], Y$1, Table2[[ActualResult]:[ActualResult]], "OT") + SUMIFS(Table2[[HomeWon_]:[HomeWon_]], Table2[[GameIsOver]:[GameIsOver]],1,Table2[[AwayTeam]:[AwayTeam]],$T9, Table2[[HomeTeam]:[HomeTeam]], Y$1, Table2[[ActualResult]:[ActualResult]], "SO") + SUMIFS(Table2[[AwayWon]:[AwayWon]], Table2[[GameIsOver]:[GameIsOver]],1,Table2[[HomeTeam]:[HomeTeam]],$T9, Table2[[AwayTeam]:[AwayTeam]], Y$1, Table2[[ActualResult]:[ActualResult]], "SO")))</f>
        <v>0</v>
      </c>
      <c r="Z9">
        <f>(2*(SUMIFS(Table2[[AwayWon]:[AwayWon]], Table2[[GameIsOver]:[GameIsOver]],1,Table2[[AwayTeam]:[AwayTeam]],$T9, Table2[[HomeTeam]:[HomeTeam]], Z$1) + SUMIFS(Table2[[HomeWon_]:[HomeWon_]], Table2[[GameIsOver]:[GameIsOver]],1,Table2[[HomeTeam]:[HomeTeam]],$T9, Table2[[AwayTeam]:[AwayTeam]], Z$1))) + (0*(SUMIFS(Table2[[HomeWon_]:[HomeWon_]], Table2[[GameIsOver]:[GameIsOver]],1,Table2[[AwayTeam]:[AwayTeam]],$T9, Table2[[HomeTeam]:[HomeTeam]], Z$1, Table2[[ActualResult]:[ActualResult]], "REG") + SUMIFS(Table2[[AwayWon]:[AwayWon]], Table2[[GameIsOver]:[GameIsOver]],1,Table2[[HomeTeam]:[HomeTeam]],$T9, Table2[[AwayTeam]:[AwayTeam]], Z$1, Table2[[ActualResult]:[ActualResult]], "REG"))) + (1*(SUMIFS(Table2[[HomeWon_]:[HomeWon_]], Table2[[GameIsOver]:[GameIsOver]],1,Table2[[AwayTeam]:[AwayTeam]],$T9, Table2[[HomeTeam]:[HomeTeam]], Z$1, Table2[[ActualResult]:[ActualResult]], "OT") + SUMIFS(Table2[[AwayWon]:[AwayWon]], Table2[[GameIsOver]:[GameIsOver]],1,Table2[[HomeTeam]:[HomeTeam]],$T9, Table2[[AwayTeam]:[AwayTeam]], Z$1, Table2[[ActualResult]:[ActualResult]], "OT") + SUMIFS(Table2[[HomeWon_]:[HomeWon_]], Table2[[GameIsOver]:[GameIsOver]],1,Table2[[AwayTeam]:[AwayTeam]],$T9, Table2[[HomeTeam]:[HomeTeam]], Z$1, Table2[[ActualResult]:[ActualResult]], "SO") + SUMIFS(Table2[[AwayWon]:[AwayWon]], Table2[[GameIsOver]:[GameIsOver]],1,Table2[[HomeTeam]:[HomeTeam]],$T9, Table2[[AwayTeam]:[AwayTeam]], Z$1, Table2[[ActualResult]:[ActualResult]], "SO")))</f>
        <v>0</v>
      </c>
      <c r="AA9">
        <f>(2*(SUMIFS(Table2[[AwayWon]:[AwayWon]], Table2[[GameIsOver]:[GameIsOver]],1,Table2[[AwayTeam]:[AwayTeam]],$T9, Table2[[HomeTeam]:[HomeTeam]], AA$1) + SUMIFS(Table2[[HomeWon_]:[HomeWon_]], Table2[[GameIsOver]:[GameIsOver]],1,Table2[[HomeTeam]:[HomeTeam]],$T9, Table2[[AwayTeam]:[AwayTeam]], AA$1))) + (0*(SUMIFS(Table2[[HomeWon_]:[HomeWon_]], Table2[[GameIsOver]:[GameIsOver]],1,Table2[[AwayTeam]:[AwayTeam]],$T9, Table2[[HomeTeam]:[HomeTeam]], AA$1, Table2[[ActualResult]:[ActualResult]], "REG") + SUMIFS(Table2[[AwayWon]:[AwayWon]], Table2[[GameIsOver]:[GameIsOver]],1,Table2[[HomeTeam]:[HomeTeam]],$T9, Table2[[AwayTeam]:[AwayTeam]], AA$1, Table2[[ActualResult]:[ActualResult]], "REG"))) + (1*(SUMIFS(Table2[[HomeWon_]:[HomeWon_]], Table2[[GameIsOver]:[GameIsOver]],1,Table2[[AwayTeam]:[AwayTeam]],$T9, Table2[[HomeTeam]:[HomeTeam]], AA$1, Table2[[ActualResult]:[ActualResult]], "OT") + SUMIFS(Table2[[AwayWon]:[AwayWon]], Table2[[GameIsOver]:[GameIsOver]],1,Table2[[HomeTeam]:[HomeTeam]],$T9, Table2[[AwayTeam]:[AwayTeam]], AA$1, Table2[[ActualResult]:[ActualResult]], "OT") + SUMIFS(Table2[[HomeWon_]:[HomeWon_]], Table2[[GameIsOver]:[GameIsOver]],1,Table2[[AwayTeam]:[AwayTeam]],$T9, Table2[[HomeTeam]:[HomeTeam]], AA$1, Table2[[ActualResult]:[ActualResult]], "SO") + SUMIFS(Table2[[AwayWon]:[AwayWon]], Table2[[GameIsOver]:[GameIsOver]],1,Table2[[HomeTeam]:[HomeTeam]],$T9, Table2[[AwayTeam]:[AwayTeam]], AA$1, Table2[[ActualResult]:[ActualResult]], "SO")))</f>
        <v>0</v>
      </c>
      <c r="AB9">
        <f>(2*(SUMIFS(Table2[[AwayWon]:[AwayWon]], Table2[[GameIsOver]:[GameIsOver]],1,Table2[[AwayTeam]:[AwayTeam]],$T9, Table2[[HomeTeam]:[HomeTeam]], AB$1) + SUMIFS(Table2[[HomeWon_]:[HomeWon_]], Table2[[GameIsOver]:[GameIsOver]],1,Table2[[HomeTeam]:[HomeTeam]],$T9, Table2[[AwayTeam]:[AwayTeam]], AB$1))) + (0*(SUMIFS(Table2[[HomeWon_]:[HomeWon_]], Table2[[GameIsOver]:[GameIsOver]],1,Table2[[AwayTeam]:[AwayTeam]],$T9, Table2[[HomeTeam]:[HomeTeam]], AB$1, Table2[[ActualResult]:[ActualResult]], "REG") + SUMIFS(Table2[[AwayWon]:[AwayWon]], Table2[[GameIsOver]:[GameIsOver]],1,Table2[[HomeTeam]:[HomeTeam]],$T9, Table2[[AwayTeam]:[AwayTeam]], AB$1, Table2[[ActualResult]:[ActualResult]], "REG"))) + (1*(SUMIFS(Table2[[HomeWon_]:[HomeWon_]], Table2[[GameIsOver]:[GameIsOver]],1,Table2[[AwayTeam]:[AwayTeam]],$T9, Table2[[HomeTeam]:[HomeTeam]], AB$1, Table2[[ActualResult]:[ActualResult]], "OT") + SUMIFS(Table2[[AwayWon]:[AwayWon]], Table2[[GameIsOver]:[GameIsOver]],1,Table2[[HomeTeam]:[HomeTeam]],$T9, Table2[[AwayTeam]:[AwayTeam]], AB$1, Table2[[ActualResult]:[ActualResult]], "OT") + SUMIFS(Table2[[HomeWon_]:[HomeWon_]], Table2[[GameIsOver]:[GameIsOver]],1,Table2[[AwayTeam]:[AwayTeam]],$T9, Table2[[HomeTeam]:[HomeTeam]], AB$1, Table2[[ActualResult]:[ActualResult]], "SO") + SUMIFS(Table2[[AwayWon]:[AwayWon]], Table2[[GameIsOver]:[GameIsOver]],1,Table2[[HomeTeam]:[HomeTeam]],$T9, Table2[[AwayTeam]:[AwayTeam]], AB$1, Table2[[ActualResult]:[ActualResult]], "SO")))</f>
        <v>0</v>
      </c>
      <c r="AC9">
        <f>(2*(SUMIFS(Table2[[AwayWon]:[AwayWon]], Table2[[GameIsOver]:[GameIsOver]],1,Table2[[AwayTeam]:[AwayTeam]],$T9, Table2[[HomeTeam]:[HomeTeam]], AC$1) + SUMIFS(Table2[[HomeWon_]:[HomeWon_]], Table2[[GameIsOver]:[GameIsOver]],1,Table2[[HomeTeam]:[HomeTeam]],$T9, Table2[[AwayTeam]:[AwayTeam]], AC$1))) + (0*(SUMIFS(Table2[[HomeWon_]:[HomeWon_]], Table2[[GameIsOver]:[GameIsOver]],1,Table2[[AwayTeam]:[AwayTeam]],$T9, Table2[[HomeTeam]:[HomeTeam]], AC$1, Table2[[ActualResult]:[ActualResult]], "REG") + SUMIFS(Table2[[AwayWon]:[AwayWon]], Table2[[GameIsOver]:[GameIsOver]],1,Table2[[HomeTeam]:[HomeTeam]],$T9, Table2[[AwayTeam]:[AwayTeam]], AC$1, Table2[[ActualResult]:[ActualResult]], "REG"))) + (1*(SUMIFS(Table2[[HomeWon_]:[HomeWon_]], Table2[[GameIsOver]:[GameIsOver]],1,Table2[[AwayTeam]:[AwayTeam]],$T9, Table2[[HomeTeam]:[HomeTeam]], AC$1, Table2[[ActualResult]:[ActualResult]], "OT") + SUMIFS(Table2[[AwayWon]:[AwayWon]], Table2[[GameIsOver]:[GameIsOver]],1,Table2[[HomeTeam]:[HomeTeam]],$T9, Table2[[AwayTeam]:[AwayTeam]], AC$1, Table2[[ActualResult]:[ActualResult]], "OT") + SUMIFS(Table2[[HomeWon_]:[HomeWon_]], Table2[[GameIsOver]:[GameIsOver]],1,Table2[[AwayTeam]:[AwayTeam]],$T9, Table2[[HomeTeam]:[HomeTeam]], AC$1, Table2[[ActualResult]:[ActualResult]], "SO") + SUMIFS(Table2[[AwayWon]:[AwayWon]], Table2[[GameIsOver]:[GameIsOver]],1,Table2[[HomeTeam]:[HomeTeam]],$T9, Table2[[AwayTeam]:[AwayTeam]], AC$1, Table2[[ActualResult]:[ActualResult]], "SO")))</f>
        <v>1</v>
      </c>
      <c r="AD9">
        <f>(2*(SUMIFS(Table2[[AwayWon]:[AwayWon]], Table2[[GameIsOver]:[GameIsOver]],1,Table2[[AwayTeam]:[AwayTeam]],$T9, Table2[[HomeTeam]:[HomeTeam]], AD$1) + SUMIFS(Table2[[HomeWon_]:[HomeWon_]], Table2[[GameIsOver]:[GameIsOver]],1,Table2[[HomeTeam]:[HomeTeam]],$T9, Table2[[AwayTeam]:[AwayTeam]], AD$1))) + (0*(SUMIFS(Table2[[HomeWon_]:[HomeWon_]], Table2[[GameIsOver]:[GameIsOver]],1,Table2[[AwayTeam]:[AwayTeam]],$T9, Table2[[HomeTeam]:[HomeTeam]], AD$1, Table2[[ActualResult]:[ActualResult]], "REG") + SUMIFS(Table2[[AwayWon]:[AwayWon]], Table2[[GameIsOver]:[GameIsOver]],1,Table2[[HomeTeam]:[HomeTeam]],$T9, Table2[[AwayTeam]:[AwayTeam]], AD$1, Table2[[ActualResult]:[ActualResult]], "REG"))) + (1*(SUMIFS(Table2[[HomeWon_]:[HomeWon_]], Table2[[GameIsOver]:[GameIsOver]],1,Table2[[AwayTeam]:[AwayTeam]],$T9, Table2[[HomeTeam]:[HomeTeam]], AD$1, Table2[[ActualResult]:[ActualResult]], "OT") + SUMIFS(Table2[[AwayWon]:[AwayWon]], Table2[[GameIsOver]:[GameIsOver]],1,Table2[[HomeTeam]:[HomeTeam]],$T9, Table2[[AwayTeam]:[AwayTeam]], AD$1, Table2[[ActualResult]:[ActualResult]], "OT") + SUMIFS(Table2[[HomeWon_]:[HomeWon_]], Table2[[GameIsOver]:[GameIsOver]],1,Table2[[AwayTeam]:[AwayTeam]],$T9, Table2[[HomeTeam]:[HomeTeam]], AD$1, Table2[[ActualResult]:[ActualResult]], "SO") + SUMIFS(Table2[[AwayWon]:[AwayWon]], Table2[[GameIsOver]:[GameIsOver]],1,Table2[[HomeTeam]:[HomeTeam]],$T9, Table2[[AwayTeam]:[AwayTeam]], AD$1, Table2[[ActualResult]:[ActualResult]], "SO")))</f>
        <v>0</v>
      </c>
      <c r="AE9">
        <f>(2*(SUMIFS(Table2[[AwayWon]:[AwayWon]], Table2[[GameIsOver]:[GameIsOver]],1,Table2[[AwayTeam]:[AwayTeam]],$T9, Table2[[HomeTeam]:[HomeTeam]], AE$1) + SUMIFS(Table2[[HomeWon_]:[HomeWon_]], Table2[[GameIsOver]:[GameIsOver]],1,Table2[[HomeTeam]:[HomeTeam]],$T9, Table2[[AwayTeam]:[AwayTeam]], AE$1))) + (0*(SUMIFS(Table2[[HomeWon_]:[HomeWon_]], Table2[[GameIsOver]:[GameIsOver]],1,Table2[[AwayTeam]:[AwayTeam]],$T9, Table2[[HomeTeam]:[HomeTeam]], AE$1, Table2[[ActualResult]:[ActualResult]], "REG") + SUMIFS(Table2[[AwayWon]:[AwayWon]], Table2[[GameIsOver]:[GameIsOver]],1,Table2[[HomeTeam]:[HomeTeam]],$T9, Table2[[AwayTeam]:[AwayTeam]], AE$1, Table2[[ActualResult]:[ActualResult]], "REG"))) + (1*(SUMIFS(Table2[[HomeWon_]:[HomeWon_]], Table2[[GameIsOver]:[GameIsOver]],1,Table2[[AwayTeam]:[AwayTeam]],$T9, Table2[[HomeTeam]:[HomeTeam]], AE$1, Table2[[ActualResult]:[ActualResult]], "OT") + SUMIFS(Table2[[AwayWon]:[AwayWon]], Table2[[GameIsOver]:[GameIsOver]],1,Table2[[HomeTeam]:[HomeTeam]],$T9, Table2[[AwayTeam]:[AwayTeam]], AE$1, Table2[[ActualResult]:[ActualResult]], "OT") + SUMIFS(Table2[[HomeWon_]:[HomeWon_]], Table2[[GameIsOver]:[GameIsOver]],1,Table2[[AwayTeam]:[AwayTeam]],$T9, Table2[[HomeTeam]:[HomeTeam]], AE$1, Table2[[ActualResult]:[ActualResult]], "SO") + SUMIFS(Table2[[AwayWon]:[AwayWon]], Table2[[GameIsOver]:[GameIsOver]],1,Table2[[HomeTeam]:[HomeTeam]],$T9, Table2[[AwayTeam]:[AwayTeam]], AE$1, Table2[[ActualResult]:[ActualResult]], "SO")))</f>
        <v>0</v>
      </c>
      <c r="AF9">
        <f>(2*(SUMIFS(Table2[[AwayWon]:[AwayWon]], Table2[[GameIsOver]:[GameIsOver]],1,Table2[[AwayTeam]:[AwayTeam]],$T9, Table2[[HomeTeam]:[HomeTeam]], AF$1) + SUMIFS(Table2[[HomeWon_]:[HomeWon_]], Table2[[GameIsOver]:[GameIsOver]],1,Table2[[HomeTeam]:[HomeTeam]],$T9, Table2[[AwayTeam]:[AwayTeam]], AF$1))) + (0*(SUMIFS(Table2[[HomeWon_]:[HomeWon_]], Table2[[GameIsOver]:[GameIsOver]],1,Table2[[AwayTeam]:[AwayTeam]],$T9, Table2[[HomeTeam]:[HomeTeam]], AF$1, Table2[[ActualResult]:[ActualResult]], "REG") + SUMIFS(Table2[[AwayWon]:[AwayWon]], Table2[[GameIsOver]:[GameIsOver]],1,Table2[[HomeTeam]:[HomeTeam]],$T9, Table2[[AwayTeam]:[AwayTeam]], AF$1, Table2[[ActualResult]:[ActualResult]], "REG"))) + (1*(SUMIFS(Table2[[HomeWon_]:[HomeWon_]], Table2[[GameIsOver]:[GameIsOver]],1,Table2[[AwayTeam]:[AwayTeam]],$T9, Table2[[HomeTeam]:[HomeTeam]], AF$1, Table2[[ActualResult]:[ActualResult]], "OT") + SUMIFS(Table2[[AwayWon]:[AwayWon]], Table2[[GameIsOver]:[GameIsOver]],1,Table2[[HomeTeam]:[HomeTeam]],$T9, Table2[[AwayTeam]:[AwayTeam]], AF$1, Table2[[ActualResult]:[ActualResult]], "OT") + SUMIFS(Table2[[HomeWon_]:[HomeWon_]], Table2[[GameIsOver]:[GameIsOver]],1,Table2[[AwayTeam]:[AwayTeam]],$T9, Table2[[HomeTeam]:[HomeTeam]], AF$1, Table2[[ActualResult]:[ActualResult]], "SO") + SUMIFS(Table2[[AwayWon]:[AwayWon]], Table2[[GameIsOver]:[GameIsOver]],1,Table2[[HomeTeam]:[HomeTeam]],$T9, Table2[[AwayTeam]:[AwayTeam]], AF$1, Table2[[ActualResult]:[ActualResult]], "SO")))</f>
        <v>0</v>
      </c>
      <c r="AG9">
        <f>(2*(SUMIFS(Table2[[AwayWon]:[AwayWon]], Table2[[GameIsOver]:[GameIsOver]],1,Table2[[AwayTeam]:[AwayTeam]],$T9, Table2[[HomeTeam]:[HomeTeam]], AG$1) + SUMIFS(Table2[[HomeWon_]:[HomeWon_]], Table2[[GameIsOver]:[GameIsOver]],1,Table2[[HomeTeam]:[HomeTeam]],$T9, Table2[[AwayTeam]:[AwayTeam]], AG$1))) + (0*(SUMIFS(Table2[[HomeWon_]:[HomeWon_]], Table2[[GameIsOver]:[GameIsOver]],1,Table2[[AwayTeam]:[AwayTeam]],$T9, Table2[[HomeTeam]:[HomeTeam]], AG$1, Table2[[ActualResult]:[ActualResult]], "REG") + SUMIFS(Table2[[AwayWon]:[AwayWon]], Table2[[GameIsOver]:[GameIsOver]],1,Table2[[HomeTeam]:[HomeTeam]],$T9, Table2[[AwayTeam]:[AwayTeam]], AG$1, Table2[[ActualResult]:[ActualResult]], "REG"))) + (1*(SUMIFS(Table2[[HomeWon_]:[HomeWon_]], Table2[[GameIsOver]:[GameIsOver]],1,Table2[[AwayTeam]:[AwayTeam]],$T9, Table2[[HomeTeam]:[HomeTeam]], AG$1, Table2[[ActualResult]:[ActualResult]], "OT") + SUMIFS(Table2[[AwayWon]:[AwayWon]], Table2[[GameIsOver]:[GameIsOver]],1,Table2[[HomeTeam]:[HomeTeam]],$T9, Table2[[AwayTeam]:[AwayTeam]], AG$1, Table2[[ActualResult]:[ActualResult]], "OT") + SUMIFS(Table2[[HomeWon_]:[HomeWon_]], Table2[[GameIsOver]:[GameIsOver]],1,Table2[[AwayTeam]:[AwayTeam]],$T9, Table2[[HomeTeam]:[HomeTeam]], AG$1, Table2[[ActualResult]:[ActualResult]], "SO") + SUMIFS(Table2[[AwayWon]:[AwayWon]], Table2[[GameIsOver]:[GameIsOver]],1,Table2[[HomeTeam]:[HomeTeam]],$T9, Table2[[AwayTeam]:[AwayTeam]], AG$1, Table2[[ActualResult]:[ActualResult]], "SO")))</f>
        <v>0</v>
      </c>
      <c r="AH9">
        <f>(2*(SUMIFS(Table2[[AwayWon]:[AwayWon]], Table2[[GameIsOver]:[GameIsOver]],1,Table2[[AwayTeam]:[AwayTeam]],$T9, Table2[[HomeTeam]:[HomeTeam]], AH$1) + SUMIFS(Table2[[HomeWon_]:[HomeWon_]], Table2[[GameIsOver]:[GameIsOver]],1,Table2[[HomeTeam]:[HomeTeam]],$T9, Table2[[AwayTeam]:[AwayTeam]], AH$1))) + (0*(SUMIFS(Table2[[HomeWon_]:[HomeWon_]], Table2[[GameIsOver]:[GameIsOver]],1,Table2[[AwayTeam]:[AwayTeam]],$T9, Table2[[HomeTeam]:[HomeTeam]], AH$1, Table2[[ActualResult]:[ActualResult]], "REG") + SUMIFS(Table2[[AwayWon]:[AwayWon]], Table2[[GameIsOver]:[GameIsOver]],1,Table2[[HomeTeam]:[HomeTeam]],$T9, Table2[[AwayTeam]:[AwayTeam]], AH$1, Table2[[ActualResult]:[ActualResult]], "REG"))) + (1*(SUMIFS(Table2[[HomeWon_]:[HomeWon_]], Table2[[GameIsOver]:[GameIsOver]],1,Table2[[AwayTeam]:[AwayTeam]],$T9, Table2[[HomeTeam]:[HomeTeam]], AH$1, Table2[[ActualResult]:[ActualResult]], "OT") + SUMIFS(Table2[[AwayWon]:[AwayWon]], Table2[[GameIsOver]:[GameIsOver]],1,Table2[[HomeTeam]:[HomeTeam]],$T9, Table2[[AwayTeam]:[AwayTeam]], AH$1, Table2[[ActualResult]:[ActualResult]], "OT") + SUMIFS(Table2[[HomeWon_]:[HomeWon_]], Table2[[GameIsOver]:[GameIsOver]],1,Table2[[AwayTeam]:[AwayTeam]],$T9, Table2[[HomeTeam]:[HomeTeam]], AH$1, Table2[[ActualResult]:[ActualResult]], "SO") + SUMIFS(Table2[[AwayWon]:[AwayWon]], Table2[[GameIsOver]:[GameIsOver]],1,Table2[[HomeTeam]:[HomeTeam]],$T9, Table2[[AwayTeam]:[AwayTeam]], AH$1, Table2[[ActualResult]:[ActualResult]], "SO")))</f>
        <v>0</v>
      </c>
      <c r="AI9">
        <f>(2*(SUMIFS(Table2[[AwayWon]:[AwayWon]], Table2[[GameIsOver]:[GameIsOver]],1,Table2[[AwayTeam]:[AwayTeam]],$T9, Table2[[HomeTeam]:[HomeTeam]], AI$1) + SUMIFS(Table2[[HomeWon_]:[HomeWon_]], Table2[[GameIsOver]:[GameIsOver]],1,Table2[[HomeTeam]:[HomeTeam]],$T9, Table2[[AwayTeam]:[AwayTeam]], AI$1))) + (0*(SUMIFS(Table2[[HomeWon_]:[HomeWon_]], Table2[[GameIsOver]:[GameIsOver]],1,Table2[[AwayTeam]:[AwayTeam]],$T9, Table2[[HomeTeam]:[HomeTeam]], AI$1, Table2[[ActualResult]:[ActualResult]], "REG") + SUMIFS(Table2[[AwayWon]:[AwayWon]], Table2[[GameIsOver]:[GameIsOver]],1,Table2[[HomeTeam]:[HomeTeam]],$T9, Table2[[AwayTeam]:[AwayTeam]], AI$1, Table2[[ActualResult]:[ActualResult]], "REG"))) + (1*(SUMIFS(Table2[[HomeWon_]:[HomeWon_]], Table2[[GameIsOver]:[GameIsOver]],1,Table2[[AwayTeam]:[AwayTeam]],$T9, Table2[[HomeTeam]:[HomeTeam]], AI$1, Table2[[ActualResult]:[ActualResult]], "OT") + SUMIFS(Table2[[AwayWon]:[AwayWon]], Table2[[GameIsOver]:[GameIsOver]],1,Table2[[HomeTeam]:[HomeTeam]],$T9, Table2[[AwayTeam]:[AwayTeam]], AI$1, Table2[[ActualResult]:[ActualResult]], "OT") + SUMIFS(Table2[[HomeWon_]:[HomeWon_]], Table2[[GameIsOver]:[GameIsOver]],1,Table2[[AwayTeam]:[AwayTeam]],$T9, Table2[[HomeTeam]:[HomeTeam]], AI$1, Table2[[ActualResult]:[ActualResult]], "SO") + SUMIFS(Table2[[AwayWon]:[AwayWon]], Table2[[GameIsOver]:[GameIsOver]],1,Table2[[HomeTeam]:[HomeTeam]],$T9, Table2[[AwayTeam]:[AwayTeam]], AI$1, Table2[[ActualResult]:[ActualResult]], "SO")))</f>
        <v>0</v>
      </c>
      <c r="AJ9">
        <f>(2*(SUMIFS(Table2[[AwayWon]:[AwayWon]], Table2[[GameIsOver]:[GameIsOver]],1,Table2[[AwayTeam]:[AwayTeam]],$T9, Table2[[HomeTeam]:[HomeTeam]], AJ$1) + SUMIFS(Table2[[HomeWon_]:[HomeWon_]], Table2[[GameIsOver]:[GameIsOver]],1,Table2[[HomeTeam]:[HomeTeam]],$T9, Table2[[AwayTeam]:[AwayTeam]], AJ$1))) + (0*(SUMIFS(Table2[[HomeWon_]:[HomeWon_]], Table2[[GameIsOver]:[GameIsOver]],1,Table2[[AwayTeam]:[AwayTeam]],$T9, Table2[[HomeTeam]:[HomeTeam]], AJ$1, Table2[[ActualResult]:[ActualResult]], "REG") + SUMIFS(Table2[[AwayWon]:[AwayWon]], Table2[[GameIsOver]:[GameIsOver]],1,Table2[[HomeTeam]:[HomeTeam]],$T9, Table2[[AwayTeam]:[AwayTeam]], AJ$1, Table2[[ActualResult]:[ActualResult]], "REG"))) + (1*(SUMIFS(Table2[[HomeWon_]:[HomeWon_]], Table2[[GameIsOver]:[GameIsOver]],1,Table2[[AwayTeam]:[AwayTeam]],$T9, Table2[[HomeTeam]:[HomeTeam]], AJ$1, Table2[[ActualResult]:[ActualResult]], "OT") + SUMIFS(Table2[[AwayWon]:[AwayWon]], Table2[[GameIsOver]:[GameIsOver]],1,Table2[[HomeTeam]:[HomeTeam]],$T9, Table2[[AwayTeam]:[AwayTeam]], AJ$1, Table2[[ActualResult]:[ActualResult]], "OT") + SUMIFS(Table2[[HomeWon_]:[HomeWon_]], Table2[[GameIsOver]:[GameIsOver]],1,Table2[[AwayTeam]:[AwayTeam]],$T9, Table2[[HomeTeam]:[HomeTeam]], AJ$1, Table2[[ActualResult]:[ActualResult]], "SO") + SUMIFS(Table2[[AwayWon]:[AwayWon]], Table2[[GameIsOver]:[GameIsOver]],1,Table2[[HomeTeam]:[HomeTeam]],$T9, Table2[[AwayTeam]:[AwayTeam]], AJ$1, Table2[[ActualResult]:[ActualResult]], "SO")))</f>
        <v>0</v>
      </c>
      <c r="AK9">
        <f>(2*(SUMIFS(Table2[[AwayWon]:[AwayWon]], Table2[[GameIsOver]:[GameIsOver]],1,Table2[[AwayTeam]:[AwayTeam]],$T9, Table2[[HomeTeam]:[HomeTeam]], AK$1) + SUMIFS(Table2[[HomeWon_]:[HomeWon_]], Table2[[GameIsOver]:[GameIsOver]],1,Table2[[HomeTeam]:[HomeTeam]],$T9, Table2[[AwayTeam]:[AwayTeam]], AK$1))) + (0*(SUMIFS(Table2[[HomeWon_]:[HomeWon_]], Table2[[GameIsOver]:[GameIsOver]],1,Table2[[AwayTeam]:[AwayTeam]],$T9, Table2[[HomeTeam]:[HomeTeam]], AK$1, Table2[[ActualResult]:[ActualResult]], "REG") + SUMIFS(Table2[[AwayWon]:[AwayWon]], Table2[[GameIsOver]:[GameIsOver]],1,Table2[[HomeTeam]:[HomeTeam]],$T9, Table2[[AwayTeam]:[AwayTeam]], AK$1, Table2[[ActualResult]:[ActualResult]], "REG"))) + (1*(SUMIFS(Table2[[HomeWon_]:[HomeWon_]], Table2[[GameIsOver]:[GameIsOver]],1,Table2[[AwayTeam]:[AwayTeam]],$T9, Table2[[HomeTeam]:[HomeTeam]], AK$1, Table2[[ActualResult]:[ActualResult]], "OT") + SUMIFS(Table2[[AwayWon]:[AwayWon]], Table2[[GameIsOver]:[GameIsOver]],1,Table2[[HomeTeam]:[HomeTeam]],$T9, Table2[[AwayTeam]:[AwayTeam]], AK$1, Table2[[ActualResult]:[ActualResult]], "OT") + SUMIFS(Table2[[HomeWon_]:[HomeWon_]], Table2[[GameIsOver]:[GameIsOver]],1,Table2[[AwayTeam]:[AwayTeam]],$T9, Table2[[HomeTeam]:[HomeTeam]], AK$1, Table2[[ActualResult]:[ActualResult]], "SO") + SUMIFS(Table2[[AwayWon]:[AwayWon]], Table2[[GameIsOver]:[GameIsOver]],1,Table2[[HomeTeam]:[HomeTeam]],$T9, Table2[[AwayTeam]:[AwayTeam]], AK$1, Table2[[ActualResult]:[ActualResult]], "SO")))</f>
        <v>0</v>
      </c>
      <c r="AL9">
        <f>(2*(SUMIFS(Table2[[AwayWon]:[AwayWon]], Table2[[GameIsOver]:[GameIsOver]],1,Table2[[AwayTeam]:[AwayTeam]],$T9, Table2[[HomeTeam]:[HomeTeam]], AL$1) + SUMIFS(Table2[[HomeWon_]:[HomeWon_]], Table2[[GameIsOver]:[GameIsOver]],1,Table2[[HomeTeam]:[HomeTeam]],$T9, Table2[[AwayTeam]:[AwayTeam]], AL$1))) + (0*(SUMIFS(Table2[[HomeWon_]:[HomeWon_]], Table2[[GameIsOver]:[GameIsOver]],1,Table2[[AwayTeam]:[AwayTeam]],$T9, Table2[[HomeTeam]:[HomeTeam]], AL$1, Table2[[ActualResult]:[ActualResult]], "REG") + SUMIFS(Table2[[AwayWon]:[AwayWon]], Table2[[GameIsOver]:[GameIsOver]],1,Table2[[HomeTeam]:[HomeTeam]],$T9, Table2[[AwayTeam]:[AwayTeam]], AL$1, Table2[[ActualResult]:[ActualResult]], "REG"))) + (1*(SUMIFS(Table2[[HomeWon_]:[HomeWon_]], Table2[[GameIsOver]:[GameIsOver]],1,Table2[[AwayTeam]:[AwayTeam]],$T9, Table2[[HomeTeam]:[HomeTeam]], AL$1, Table2[[ActualResult]:[ActualResult]], "OT") + SUMIFS(Table2[[AwayWon]:[AwayWon]], Table2[[GameIsOver]:[GameIsOver]],1,Table2[[HomeTeam]:[HomeTeam]],$T9, Table2[[AwayTeam]:[AwayTeam]], AL$1, Table2[[ActualResult]:[ActualResult]], "OT") + SUMIFS(Table2[[HomeWon_]:[HomeWon_]], Table2[[GameIsOver]:[GameIsOver]],1,Table2[[AwayTeam]:[AwayTeam]],$T9, Table2[[HomeTeam]:[HomeTeam]], AL$1, Table2[[ActualResult]:[ActualResult]], "SO") + SUMIFS(Table2[[AwayWon]:[AwayWon]], Table2[[GameIsOver]:[GameIsOver]],1,Table2[[HomeTeam]:[HomeTeam]],$T9, Table2[[AwayTeam]:[AwayTeam]], AL$1, Table2[[ActualResult]:[ActualResult]], "SO")))</f>
        <v>0</v>
      </c>
      <c r="AM9">
        <f>(2*(SUMIFS(Table2[[AwayWon]:[AwayWon]], Table2[[GameIsOver]:[GameIsOver]],1,Table2[[AwayTeam]:[AwayTeam]],$T9, Table2[[HomeTeam]:[HomeTeam]], AM$1) + SUMIFS(Table2[[HomeWon_]:[HomeWon_]], Table2[[GameIsOver]:[GameIsOver]],1,Table2[[HomeTeam]:[HomeTeam]],$T9, Table2[[AwayTeam]:[AwayTeam]], AM$1))) + (0*(SUMIFS(Table2[[HomeWon_]:[HomeWon_]], Table2[[GameIsOver]:[GameIsOver]],1,Table2[[AwayTeam]:[AwayTeam]],$T9, Table2[[HomeTeam]:[HomeTeam]], AM$1, Table2[[ActualResult]:[ActualResult]], "REG") + SUMIFS(Table2[[AwayWon]:[AwayWon]], Table2[[GameIsOver]:[GameIsOver]],1,Table2[[HomeTeam]:[HomeTeam]],$T9, Table2[[AwayTeam]:[AwayTeam]], AM$1, Table2[[ActualResult]:[ActualResult]], "REG"))) + (1*(SUMIFS(Table2[[HomeWon_]:[HomeWon_]], Table2[[GameIsOver]:[GameIsOver]],1,Table2[[AwayTeam]:[AwayTeam]],$T9, Table2[[HomeTeam]:[HomeTeam]], AM$1, Table2[[ActualResult]:[ActualResult]], "OT") + SUMIFS(Table2[[AwayWon]:[AwayWon]], Table2[[GameIsOver]:[GameIsOver]],1,Table2[[HomeTeam]:[HomeTeam]],$T9, Table2[[AwayTeam]:[AwayTeam]], AM$1, Table2[[ActualResult]:[ActualResult]], "OT") + SUMIFS(Table2[[HomeWon_]:[HomeWon_]], Table2[[GameIsOver]:[GameIsOver]],1,Table2[[AwayTeam]:[AwayTeam]],$T9, Table2[[HomeTeam]:[HomeTeam]], AM$1, Table2[[ActualResult]:[ActualResult]], "SO") + SUMIFS(Table2[[AwayWon]:[AwayWon]], Table2[[GameIsOver]:[GameIsOver]],1,Table2[[HomeTeam]:[HomeTeam]],$T9, Table2[[AwayTeam]:[AwayTeam]], AM$1, Table2[[ActualResult]:[ActualResult]], "SO")))</f>
        <v>0</v>
      </c>
      <c r="AN9">
        <f>(2*(SUMIFS(Table2[[AwayWon]:[AwayWon]], Table2[[GameIsOver]:[GameIsOver]],1,Table2[[AwayTeam]:[AwayTeam]],$T9, Table2[[HomeTeam]:[HomeTeam]], AN$1) + SUMIFS(Table2[[HomeWon_]:[HomeWon_]], Table2[[GameIsOver]:[GameIsOver]],1,Table2[[HomeTeam]:[HomeTeam]],$T9, Table2[[AwayTeam]:[AwayTeam]], AN$1))) + (0*(SUMIFS(Table2[[HomeWon_]:[HomeWon_]], Table2[[GameIsOver]:[GameIsOver]],1,Table2[[AwayTeam]:[AwayTeam]],$T9, Table2[[HomeTeam]:[HomeTeam]], AN$1, Table2[[ActualResult]:[ActualResult]], "REG") + SUMIFS(Table2[[AwayWon]:[AwayWon]], Table2[[GameIsOver]:[GameIsOver]],1,Table2[[HomeTeam]:[HomeTeam]],$T9, Table2[[AwayTeam]:[AwayTeam]], AN$1, Table2[[ActualResult]:[ActualResult]], "REG"))) + (1*(SUMIFS(Table2[[HomeWon_]:[HomeWon_]], Table2[[GameIsOver]:[GameIsOver]],1,Table2[[AwayTeam]:[AwayTeam]],$T9, Table2[[HomeTeam]:[HomeTeam]], AN$1, Table2[[ActualResult]:[ActualResult]], "OT") + SUMIFS(Table2[[AwayWon]:[AwayWon]], Table2[[GameIsOver]:[GameIsOver]],1,Table2[[HomeTeam]:[HomeTeam]],$T9, Table2[[AwayTeam]:[AwayTeam]], AN$1, Table2[[ActualResult]:[ActualResult]], "OT") + SUMIFS(Table2[[HomeWon_]:[HomeWon_]], Table2[[GameIsOver]:[GameIsOver]],1,Table2[[AwayTeam]:[AwayTeam]],$T9, Table2[[HomeTeam]:[HomeTeam]], AN$1, Table2[[ActualResult]:[ActualResult]], "SO") + SUMIFS(Table2[[AwayWon]:[AwayWon]], Table2[[GameIsOver]:[GameIsOver]],1,Table2[[HomeTeam]:[HomeTeam]],$T9, Table2[[AwayTeam]:[AwayTeam]], AN$1, Table2[[ActualResult]:[ActualResult]], "SO")))</f>
        <v>0</v>
      </c>
      <c r="AO9">
        <f>(2*(SUMIFS(Table2[[AwayWon]:[AwayWon]], Table2[[GameIsOver]:[GameIsOver]],1,Table2[[AwayTeam]:[AwayTeam]],$T9, Table2[[HomeTeam]:[HomeTeam]], AO$1) + SUMIFS(Table2[[HomeWon_]:[HomeWon_]], Table2[[GameIsOver]:[GameIsOver]],1,Table2[[HomeTeam]:[HomeTeam]],$T9, Table2[[AwayTeam]:[AwayTeam]], AO$1))) + (0*(SUMIFS(Table2[[HomeWon_]:[HomeWon_]], Table2[[GameIsOver]:[GameIsOver]],1,Table2[[AwayTeam]:[AwayTeam]],$T9, Table2[[HomeTeam]:[HomeTeam]], AO$1, Table2[[ActualResult]:[ActualResult]], "REG") + SUMIFS(Table2[[AwayWon]:[AwayWon]], Table2[[GameIsOver]:[GameIsOver]],1,Table2[[HomeTeam]:[HomeTeam]],$T9, Table2[[AwayTeam]:[AwayTeam]], AO$1, Table2[[ActualResult]:[ActualResult]], "REG"))) + (1*(SUMIFS(Table2[[HomeWon_]:[HomeWon_]], Table2[[GameIsOver]:[GameIsOver]],1,Table2[[AwayTeam]:[AwayTeam]],$T9, Table2[[HomeTeam]:[HomeTeam]], AO$1, Table2[[ActualResult]:[ActualResult]], "OT") + SUMIFS(Table2[[AwayWon]:[AwayWon]], Table2[[GameIsOver]:[GameIsOver]],1,Table2[[HomeTeam]:[HomeTeam]],$T9, Table2[[AwayTeam]:[AwayTeam]], AO$1, Table2[[ActualResult]:[ActualResult]], "OT") + SUMIFS(Table2[[HomeWon_]:[HomeWon_]], Table2[[GameIsOver]:[GameIsOver]],1,Table2[[AwayTeam]:[AwayTeam]],$T9, Table2[[HomeTeam]:[HomeTeam]], AO$1, Table2[[ActualResult]:[ActualResult]], "SO") + SUMIFS(Table2[[AwayWon]:[AwayWon]], Table2[[GameIsOver]:[GameIsOver]],1,Table2[[HomeTeam]:[HomeTeam]],$T9, Table2[[AwayTeam]:[AwayTeam]], AO$1, Table2[[ActualResult]:[ActualResult]], "SO")))</f>
        <v>0</v>
      </c>
      <c r="AP9">
        <f>(2*(SUMIFS(Table2[[AwayWon]:[AwayWon]], Table2[[GameIsOver]:[GameIsOver]],1,Table2[[AwayTeam]:[AwayTeam]],$T9, Table2[[HomeTeam]:[HomeTeam]], AP$1) + SUMIFS(Table2[[HomeWon_]:[HomeWon_]], Table2[[GameIsOver]:[GameIsOver]],1,Table2[[HomeTeam]:[HomeTeam]],$T9, Table2[[AwayTeam]:[AwayTeam]], AP$1))) + (0*(SUMIFS(Table2[[HomeWon_]:[HomeWon_]], Table2[[GameIsOver]:[GameIsOver]],1,Table2[[AwayTeam]:[AwayTeam]],$T9, Table2[[HomeTeam]:[HomeTeam]], AP$1, Table2[[ActualResult]:[ActualResult]], "REG") + SUMIFS(Table2[[AwayWon]:[AwayWon]], Table2[[GameIsOver]:[GameIsOver]],1,Table2[[HomeTeam]:[HomeTeam]],$T9, Table2[[AwayTeam]:[AwayTeam]], AP$1, Table2[[ActualResult]:[ActualResult]], "REG"))) + (1*(SUMIFS(Table2[[HomeWon_]:[HomeWon_]], Table2[[GameIsOver]:[GameIsOver]],1,Table2[[AwayTeam]:[AwayTeam]],$T9, Table2[[HomeTeam]:[HomeTeam]], AP$1, Table2[[ActualResult]:[ActualResult]], "OT") + SUMIFS(Table2[[AwayWon]:[AwayWon]], Table2[[GameIsOver]:[GameIsOver]],1,Table2[[HomeTeam]:[HomeTeam]],$T9, Table2[[AwayTeam]:[AwayTeam]], AP$1, Table2[[ActualResult]:[ActualResult]], "OT") + SUMIFS(Table2[[HomeWon_]:[HomeWon_]], Table2[[GameIsOver]:[GameIsOver]],1,Table2[[AwayTeam]:[AwayTeam]],$T9, Table2[[HomeTeam]:[HomeTeam]], AP$1, Table2[[ActualResult]:[ActualResult]], "SO") + SUMIFS(Table2[[AwayWon]:[AwayWon]], Table2[[GameIsOver]:[GameIsOver]],1,Table2[[HomeTeam]:[HomeTeam]],$T9, Table2[[AwayTeam]:[AwayTeam]], AP$1, Table2[[ActualResult]:[ActualResult]], "SO")))</f>
        <v>0</v>
      </c>
      <c r="AQ9">
        <f>(2*(SUMIFS(Table2[[AwayWon]:[AwayWon]], Table2[[GameIsOver]:[GameIsOver]],1,Table2[[AwayTeam]:[AwayTeam]],$T9, Table2[[HomeTeam]:[HomeTeam]], AQ$1) + SUMIFS(Table2[[HomeWon_]:[HomeWon_]], Table2[[GameIsOver]:[GameIsOver]],1,Table2[[HomeTeam]:[HomeTeam]],$T9, Table2[[AwayTeam]:[AwayTeam]], AQ$1))) + (0*(SUMIFS(Table2[[HomeWon_]:[HomeWon_]], Table2[[GameIsOver]:[GameIsOver]],1,Table2[[AwayTeam]:[AwayTeam]],$T9, Table2[[HomeTeam]:[HomeTeam]], AQ$1, Table2[[ActualResult]:[ActualResult]], "REG") + SUMIFS(Table2[[AwayWon]:[AwayWon]], Table2[[GameIsOver]:[GameIsOver]],1,Table2[[HomeTeam]:[HomeTeam]],$T9, Table2[[AwayTeam]:[AwayTeam]], AQ$1, Table2[[ActualResult]:[ActualResult]], "REG"))) + (1*(SUMIFS(Table2[[HomeWon_]:[HomeWon_]], Table2[[GameIsOver]:[GameIsOver]],1,Table2[[AwayTeam]:[AwayTeam]],$T9, Table2[[HomeTeam]:[HomeTeam]], AQ$1, Table2[[ActualResult]:[ActualResult]], "OT") + SUMIFS(Table2[[AwayWon]:[AwayWon]], Table2[[GameIsOver]:[GameIsOver]],1,Table2[[HomeTeam]:[HomeTeam]],$T9, Table2[[AwayTeam]:[AwayTeam]], AQ$1, Table2[[ActualResult]:[ActualResult]], "OT") + SUMIFS(Table2[[HomeWon_]:[HomeWon_]], Table2[[GameIsOver]:[GameIsOver]],1,Table2[[AwayTeam]:[AwayTeam]],$T9, Table2[[HomeTeam]:[HomeTeam]], AQ$1, Table2[[ActualResult]:[ActualResult]], "SO") + SUMIFS(Table2[[AwayWon]:[AwayWon]], Table2[[GameIsOver]:[GameIsOver]],1,Table2[[HomeTeam]:[HomeTeam]],$T9, Table2[[AwayTeam]:[AwayTeam]], AQ$1, Table2[[ActualResult]:[ActualResult]], "SO")))</f>
        <v>0</v>
      </c>
      <c r="AR9">
        <f>(2*(SUMIFS(Table2[[AwayWon]:[AwayWon]], Table2[[GameIsOver]:[GameIsOver]],1,Table2[[AwayTeam]:[AwayTeam]],$T9, Table2[[HomeTeam]:[HomeTeam]], AR$1) + SUMIFS(Table2[[HomeWon_]:[HomeWon_]], Table2[[GameIsOver]:[GameIsOver]],1,Table2[[HomeTeam]:[HomeTeam]],$T9, Table2[[AwayTeam]:[AwayTeam]], AR$1))) + (0*(SUMIFS(Table2[[HomeWon_]:[HomeWon_]], Table2[[GameIsOver]:[GameIsOver]],1,Table2[[AwayTeam]:[AwayTeam]],$T9, Table2[[HomeTeam]:[HomeTeam]], AR$1, Table2[[ActualResult]:[ActualResult]], "REG") + SUMIFS(Table2[[AwayWon]:[AwayWon]], Table2[[GameIsOver]:[GameIsOver]],1,Table2[[HomeTeam]:[HomeTeam]],$T9, Table2[[AwayTeam]:[AwayTeam]], AR$1, Table2[[ActualResult]:[ActualResult]], "REG"))) + (1*(SUMIFS(Table2[[HomeWon_]:[HomeWon_]], Table2[[GameIsOver]:[GameIsOver]],1,Table2[[AwayTeam]:[AwayTeam]],$T9, Table2[[HomeTeam]:[HomeTeam]], AR$1, Table2[[ActualResult]:[ActualResult]], "OT") + SUMIFS(Table2[[AwayWon]:[AwayWon]], Table2[[GameIsOver]:[GameIsOver]],1,Table2[[HomeTeam]:[HomeTeam]],$T9, Table2[[AwayTeam]:[AwayTeam]], AR$1, Table2[[ActualResult]:[ActualResult]], "OT") + SUMIFS(Table2[[HomeWon_]:[HomeWon_]], Table2[[GameIsOver]:[GameIsOver]],1,Table2[[AwayTeam]:[AwayTeam]],$T9, Table2[[HomeTeam]:[HomeTeam]], AR$1, Table2[[ActualResult]:[ActualResult]], "SO") + SUMIFS(Table2[[AwayWon]:[AwayWon]], Table2[[GameIsOver]:[GameIsOver]],1,Table2[[HomeTeam]:[HomeTeam]],$T9, Table2[[AwayTeam]:[AwayTeam]], AR$1, Table2[[ActualResult]:[ActualResult]], "SO")))</f>
        <v>0</v>
      </c>
      <c r="AS9">
        <f>(2*(SUMIFS(Table2[[AwayWon]:[AwayWon]], Table2[[GameIsOver]:[GameIsOver]],1,Table2[[AwayTeam]:[AwayTeam]],$T9, Table2[[HomeTeam]:[HomeTeam]], AS$1) + SUMIFS(Table2[[HomeWon_]:[HomeWon_]], Table2[[GameIsOver]:[GameIsOver]],1,Table2[[HomeTeam]:[HomeTeam]],$T9, Table2[[AwayTeam]:[AwayTeam]], AS$1))) + (0*(SUMIFS(Table2[[HomeWon_]:[HomeWon_]], Table2[[GameIsOver]:[GameIsOver]],1,Table2[[AwayTeam]:[AwayTeam]],$T9, Table2[[HomeTeam]:[HomeTeam]], AS$1, Table2[[ActualResult]:[ActualResult]], "REG") + SUMIFS(Table2[[AwayWon]:[AwayWon]], Table2[[GameIsOver]:[GameIsOver]],1,Table2[[HomeTeam]:[HomeTeam]],$T9, Table2[[AwayTeam]:[AwayTeam]], AS$1, Table2[[ActualResult]:[ActualResult]], "REG"))) + (1*(SUMIFS(Table2[[HomeWon_]:[HomeWon_]], Table2[[GameIsOver]:[GameIsOver]],1,Table2[[AwayTeam]:[AwayTeam]],$T9, Table2[[HomeTeam]:[HomeTeam]], AS$1, Table2[[ActualResult]:[ActualResult]], "OT") + SUMIFS(Table2[[AwayWon]:[AwayWon]], Table2[[GameIsOver]:[GameIsOver]],1,Table2[[HomeTeam]:[HomeTeam]],$T9, Table2[[AwayTeam]:[AwayTeam]], AS$1, Table2[[ActualResult]:[ActualResult]], "OT") + SUMIFS(Table2[[HomeWon_]:[HomeWon_]], Table2[[GameIsOver]:[GameIsOver]],1,Table2[[AwayTeam]:[AwayTeam]],$T9, Table2[[HomeTeam]:[HomeTeam]], AS$1, Table2[[ActualResult]:[ActualResult]], "SO") + SUMIFS(Table2[[AwayWon]:[AwayWon]], Table2[[GameIsOver]:[GameIsOver]],1,Table2[[HomeTeam]:[HomeTeam]],$T9, Table2[[AwayTeam]:[AwayTeam]], AS$1, Table2[[ActualResult]:[ActualResult]], "SO")))</f>
        <v>0</v>
      </c>
      <c r="AT9">
        <f>(2*(SUMIFS(Table2[[AwayWon]:[AwayWon]], Table2[[GameIsOver]:[GameIsOver]],1,Table2[[AwayTeam]:[AwayTeam]],$T9, Table2[[HomeTeam]:[HomeTeam]], AT$1) + SUMIFS(Table2[[HomeWon_]:[HomeWon_]], Table2[[GameIsOver]:[GameIsOver]],1,Table2[[HomeTeam]:[HomeTeam]],$T9, Table2[[AwayTeam]:[AwayTeam]], AT$1))) + (0*(SUMIFS(Table2[[HomeWon_]:[HomeWon_]], Table2[[GameIsOver]:[GameIsOver]],1,Table2[[AwayTeam]:[AwayTeam]],$T9, Table2[[HomeTeam]:[HomeTeam]], AT$1, Table2[[ActualResult]:[ActualResult]], "REG") + SUMIFS(Table2[[AwayWon]:[AwayWon]], Table2[[GameIsOver]:[GameIsOver]],1,Table2[[HomeTeam]:[HomeTeam]],$T9, Table2[[AwayTeam]:[AwayTeam]], AT$1, Table2[[ActualResult]:[ActualResult]], "REG"))) + (1*(SUMIFS(Table2[[HomeWon_]:[HomeWon_]], Table2[[GameIsOver]:[GameIsOver]],1,Table2[[AwayTeam]:[AwayTeam]],$T9, Table2[[HomeTeam]:[HomeTeam]], AT$1, Table2[[ActualResult]:[ActualResult]], "OT") + SUMIFS(Table2[[AwayWon]:[AwayWon]], Table2[[GameIsOver]:[GameIsOver]],1,Table2[[HomeTeam]:[HomeTeam]],$T9, Table2[[AwayTeam]:[AwayTeam]], AT$1, Table2[[ActualResult]:[ActualResult]], "OT") + SUMIFS(Table2[[HomeWon_]:[HomeWon_]], Table2[[GameIsOver]:[GameIsOver]],1,Table2[[AwayTeam]:[AwayTeam]],$T9, Table2[[HomeTeam]:[HomeTeam]], AT$1, Table2[[ActualResult]:[ActualResult]], "SO") + SUMIFS(Table2[[AwayWon]:[AwayWon]], Table2[[GameIsOver]:[GameIsOver]],1,Table2[[HomeTeam]:[HomeTeam]],$T9, Table2[[AwayTeam]:[AwayTeam]], AT$1, Table2[[ActualResult]:[ActualResult]], "SO")))</f>
        <v>0</v>
      </c>
      <c r="AU9">
        <f>(2*(SUMIFS(Table2[[AwayWon]:[AwayWon]], Table2[[GameIsOver]:[GameIsOver]],1,Table2[[AwayTeam]:[AwayTeam]],$T9, Table2[[HomeTeam]:[HomeTeam]], AU$1) + SUMIFS(Table2[[HomeWon_]:[HomeWon_]], Table2[[GameIsOver]:[GameIsOver]],1,Table2[[HomeTeam]:[HomeTeam]],$T9, Table2[[AwayTeam]:[AwayTeam]], AU$1))) + (0*(SUMIFS(Table2[[HomeWon_]:[HomeWon_]], Table2[[GameIsOver]:[GameIsOver]],1,Table2[[AwayTeam]:[AwayTeam]],$T9, Table2[[HomeTeam]:[HomeTeam]], AU$1, Table2[[ActualResult]:[ActualResult]], "REG") + SUMIFS(Table2[[AwayWon]:[AwayWon]], Table2[[GameIsOver]:[GameIsOver]],1,Table2[[HomeTeam]:[HomeTeam]],$T9, Table2[[AwayTeam]:[AwayTeam]], AU$1, Table2[[ActualResult]:[ActualResult]], "REG"))) + (1*(SUMIFS(Table2[[HomeWon_]:[HomeWon_]], Table2[[GameIsOver]:[GameIsOver]],1,Table2[[AwayTeam]:[AwayTeam]],$T9, Table2[[HomeTeam]:[HomeTeam]], AU$1, Table2[[ActualResult]:[ActualResult]], "OT") + SUMIFS(Table2[[AwayWon]:[AwayWon]], Table2[[GameIsOver]:[GameIsOver]],1,Table2[[HomeTeam]:[HomeTeam]],$T9, Table2[[AwayTeam]:[AwayTeam]], AU$1, Table2[[ActualResult]:[ActualResult]], "OT") + SUMIFS(Table2[[HomeWon_]:[HomeWon_]], Table2[[GameIsOver]:[GameIsOver]],1,Table2[[AwayTeam]:[AwayTeam]],$T9, Table2[[HomeTeam]:[HomeTeam]], AU$1, Table2[[ActualResult]:[ActualResult]], "SO") + SUMIFS(Table2[[AwayWon]:[AwayWon]], Table2[[GameIsOver]:[GameIsOver]],1,Table2[[HomeTeam]:[HomeTeam]],$T9, Table2[[AwayTeam]:[AwayTeam]], AU$1, Table2[[ActualResult]:[ActualResult]], "SO")))</f>
        <v>0</v>
      </c>
      <c r="AV9">
        <f>(2*(SUMIFS(Table2[[AwayWon]:[AwayWon]], Table2[[GameIsOver]:[GameIsOver]],1,Table2[[AwayTeam]:[AwayTeam]],$T9, Table2[[HomeTeam]:[HomeTeam]], AV$1) + SUMIFS(Table2[[HomeWon_]:[HomeWon_]], Table2[[GameIsOver]:[GameIsOver]],1,Table2[[HomeTeam]:[HomeTeam]],$T9, Table2[[AwayTeam]:[AwayTeam]], AV$1))) + (0*(SUMIFS(Table2[[HomeWon_]:[HomeWon_]], Table2[[GameIsOver]:[GameIsOver]],1,Table2[[AwayTeam]:[AwayTeam]],$T9, Table2[[HomeTeam]:[HomeTeam]], AV$1, Table2[[ActualResult]:[ActualResult]], "REG") + SUMIFS(Table2[[AwayWon]:[AwayWon]], Table2[[GameIsOver]:[GameIsOver]],1,Table2[[HomeTeam]:[HomeTeam]],$T9, Table2[[AwayTeam]:[AwayTeam]], AV$1, Table2[[ActualResult]:[ActualResult]], "REG"))) + (1*(SUMIFS(Table2[[HomeWon_]:[HomeWon_]], Table2[[GameIsOver]:[GameIsOver]],1,Table2[[AwayTeam]:[AwayTeam]],$T9, Table2[[HomeTeam]:[HomeTeam]], AV$1, Table2[[ActualResult]:[ActualResult]], "OT") + SUMIFS(Table2[[AwayWon]:[AwayWon]], Table2[[GameIsOver]:[GameIsOver]],1,Table2[[HomeTeam]:[HomeTeam]],$T9, Table2[[AwayTeam]:[AwayTeam]], AV$1, Table2[[ActualResult]:[ActualResult]], "OT") + SUMIFS(Table2[[HomeWon_]:[HomeWon_]], Table2[[GameIsOver]:[GameIsOver]],1,Table2[[AwayTeam]:[AwayTeam]],$T9, Table2[[HomeTeam]:[HomeTeam]], AV$1, Table2[[ActualResult]:[ActualResult]], "SO") + SUMIFS(Table2[[AwayWon]:[AwayWon]], Table2[[GameIsOver]:[GameIsOver]],1,Table2[[HomeTeam]:[HomeTeam]],$T9, Table2[[AwayTeam]:[AwayTeam]], AV$1, Table2[[ActualResult]:[ActualResult]], "SO")))</f>
        <v>0</v>
      </c>
      <c r="AW9">
        <f>(2*(SUMIFS(Table2[[AwayWon]:[AwayWon]], Table2[[GameIsOver]:[GameIsOver]],1,Table2[[AwayTeam]:[AwayTeam]],$T9, Table2[[HomeTeam]:[HomeTeam]], AW$1) + SUMIFS(Table2[[HomeWon_]:[HomeWon_]], Table2[[GameIsOver]:[GameIsOver]],1,Table2[[HomeTeam]:[HomeTeam]],$T9, Table2[[AwayTeam]:[AwayTeam]], AW$1))) + (0*(SUMIFS(Table2[[HomeWon_]:[HomeWon_]], Table2[[GameIsOver]:[GameIsOver]],1,Table2[[AwayTeam]:[AwayTeam]],$T9, Table2[[HomeTeam]:[HomeTeam]], AW$1, Table2[[ActualResult]:[ActualResult]], "REG") + SUMIFS(Table2[[AwayWon]:[AwayWon]], Table2[[GameIsOver]:[GameIsOver]],1,Table2[[HomeTeam]:[HomeTeam]],$T9, Table2[[AwayTeam]:[AwayTeam]], AW$1, Table2[[ActualResult]:[ActualResult]], "REG"))) + (1*(SUMIFS(Table2[[HomeWon_]:[HomeWon_]], Table2[[GameIsOver]:[GameIsOver]],1,Table2[[AwayTeam]:[AwayTeam]],$T9, Table2[[HomeTeam]:[HomeTeam]], AW$1, Table2[[ActualResult]:[ActualResult]], "OT") + SUMIFS(Table2[[AwayWon]:[AwayWon]], Table2[[GameIsOver]:[GameIsOver]],1,Table2[[HomeTeam]:[HomeTeam]],$T9, Table2[[AwayTeam]:[AwayTeam]], AW$1, Table2[[ActualResult]:[ActualResult]], "OT") + SUMIFS(Table2[[HomeWon_]:[HomeWon_]], Table2[[GameIsOver]:[GameIsOver]],1,Table2[[AwayTeam]:[AwayTeam]],$T9, Table2[[HomeTeam]:[HomeTeam]], AW$1, Table2[[ActualResult]:[ActualResult]], "SO") + SUMIFS(Table2[[AwayWon]:[AwayWon]], Table2[[GameIsOver]:[GameIsOver]],1,Table2[[HomeTeam]:[HomeTeam]],$T9, Table2[[AwayTeam]:[AwayTeam]], AW$1, Table2[[ActualResult]:[ActualResult]], "SO")))</f>
        <v>0</v>
      </c>
      <c r="AX9">
        <f>(2*(SUMIFS(Table2[[AwayWon]:[AwayWon]], Table2[[GameIsOver]:[GameIsOver]],1,Table2[[AwayTeam]:[AwayTeam]],$T9, Table2[[HomeTeam]:[HomeTeam]], AX$1) + SUMIFS(Table2[[HomeWon_]:[HomeWon_]], Table2[[GameIsOver]:[GameIsOver]],1,Table2[[HomeTeam]:[HomeTeam]],$T9, Table2[[AwayTeam]:[AwayTeam]], AX$1))) + (0*(SUMIFS(Table2[[HomeWon_]:[HomeWon_]], Table2[[GameIsOver]:[GameIsOver]],1,Table2[[AwayTeam]:[AwayTeam]],$T9, Table2[[HomeTeam]:[HomeTeam]], AX$1, Table2[[ActualResult]:[ActualResult]], "REG") + SUMIFS(Table2[[AwayWon]:[AwayWon]], Table2[[GameIsOver]:[GameIsOver]],1,Table2[[HomeTeam]:[HomeTeam]],$T9, Table2[[AwayTeam]:[AwayTeam]], AX$1, Table2[[ActualResult]:[ActualResult]], "REG"))) + (1*(SUMIFS(Table2[[HomeWon_]:[HomeWon_]], Table2[[GameIsOver]:[GameIsOver]],1,Table2[[AwayTeam]:[AwayTeam]],$T9, Table2[[HomeTeam]:[HomeTeam]], AX$1, Table2[[ActualResult]:[ActualResult]], "OT") + SUMIFS(Table2[[AwayWon]:[AwayWon]], Table2[[GameIsOver]:[GameIsOver]],1,Table2[[HomeTeam]:[HomeTeam]],$T9, Table2[[AwayTeam]:[AwayTeam]], AX$1, Table2[[ActualResult]:[ActualResult]], "OT") + SUMIFS(Table2[[HomeWon_]:[HomeWon_]], Table2[[GameIsOver]:[GameIsOver]],1,Table2[[AwayTeam]:[AwayTeam]],$T9, Table2[[HomeTeam]:[HomeTeam]], AX$1, Table2[[ActualResult]:[ActualResult]], "SO") + SUMIFS(Table2[[AwayWon]:[AwayWon]], Table2[[GameIsOver]:[GameIsOver]],1,Table2[[HomeTeam]:[HomeTeam]],$T9, Table2[[AwayTeam]:[AwayTeam]], AX$1, Table2[[ActualResult]:[ActualResult]], "SO")))</f>
        <v>0</v>
      </c>
      <c r="AY9">
        <f>(2*(SUMIFS(Table2[[AwayWon]:[AwayWon]], Table2[[GameIsOver]:[GameIsOver]],1,Table2[[AwayTeam]:[AwayTeam]],$T9, Table2[[HomeTeam]:[HomeTeam]], AY$1) + SUMIFS(Table2[[HomeWon_]:[HomeWon_]], Table2[[GameIsOver]:[GameIsOver]],1,Table2[[HomeTeam]:[HomeTeam]],$T9, Table2[[AwayTeam]:[AwayTeam]], AY$1))) + (0*(SUMIFS(Table2[[HomeWon_]:[HomeWon_]], Table2[[GameIsOver]:[GameIsOver]],1,Table2[[AwayTeam]:[AwayTeam]],$T9, Table2[[HomeTeam]:[HomeTeam]], AY$1, Table2[[ActualResult]:[ActualResult]], "REG") + SUMIFS(Table2[[AwayWon]:[AwayWon]], Table2[[GameIsOver]:[GameIsOver]],1,Table2[[HomeTeam]:[HomeTeam]],$T9, Table2[[AwayTeam]:[AwayTeam]], AY$1, Table2[[ActualResult]:[ActualResult]], "REG"))) + (1*(SUMIFS(Table2[[HomeWon_]:[HomeWon_]], Table2[[GameIsOver]:[GameIsOver]],1,Table2[[AwayTeam]:[AwayTeam]],$T9, Table2[[HomeTeam]:[HomeTeam]], AY$1, Table2[[ActualResult]:[ActualResult]], "OT") + SUMIFS(Table2[[AwayWon]:[AwayWon]], Table2[[GameIsOver]:[GameIsOver]],1,Table2[[HomeTeam]:[HomeTeam]],$T9, Table2[[AwayTeam]:[AwayTeam]], AY$1, Table2[[ActualResult]:[ActualResult]], "OT") + SUMIFS(Table2[[HomeWon_]:[HomeWon_]], Table2[[GameIsOver]:[GameIsOver]],1,Table2[[AwayTeam]:[AwayTeam]],$T9, Table2[[HomeTeam]:[HomeTeam]], AY$1, Table2[[ActualResult]:[ActualResult]], "SO") + SUMIFS(Table2[[AwayWon]:[AwayWon]], Table2[[GameIsOver]:[GameIsOver]],1,Table2[[HomeTeam]:[HomeTeam]],$T9, Table2[[AwayTeam]:[AwayTeam]], AY$1, Table2[[ActualResult]:[ActualResult]], "SO")))</f>
        <v>0</v>
      </c>
      <c r="AZ9">
        <f>(2*(SUMIFS(Table2[[AwayWon]:[AwayWon]], Table2[[GameIsOver]:[GameIsOver]],1,Table2[[AwayTeam]:[AwayTeam]],$T9, Table2[[HomeTeam]:[HomeTeam]], AZ$1) + SUMIFS(Table2[[HomeWon_]:[HomeWon_]], Table2[[GameIsOver]:[GameIsOver]],1,Table2[[HomeTeam]:[HomeTeam]],$T9, Table2[[AwayTeam]:[AwayTeam]], AZ$1))) + (0*(SUMIFS(Table2[[HomeWon_]:[HomeWon_]], Table2[[GameIsOver]:[GameIsOver]],1,Table2[[AwayTeam]:[AwayTeam]],$T9, Table2[[HomeTeam]:[HomeTeam]], AZ$1, Table2[[ActualResult]:[ActualResult]], "REG") + SUMIFS(Table2[[AwayWon]:[AwayWon]], Table2[[GameIsOver]:[GameIsOver]],1,Table2[[HomeTeam]:[HomeTeam]],$T9, Table2[[AwayTeam]:[AwayTeam]], AZ$1, Table2[[ActualResult]:[ActualResult]], "REG"))) + (1*(SUMIFS(Table2[[HomeWon_]:[HomeWon_]], Table2[[GameIsOver]:[GameIsOver]],1,Table2[[AwayTeam]:[AwayTeam]],$T9, Table2[[HomeTeam]:[HomeTeam]], AZ$1, Table2[[ActualResult]:[ActualResult]], "OT") + SUMIFS(Table2[[AwayWon]:[AwayWon]], Table2[[GameIsOver]:[GameIsOver]],1,Table2[[HomeTeam]:[HomeTeam]],$T9, Table2[[AwayTeam]:[AwayTeam]], AZ$1, Table2[[ActualResult]:[ActualResult]], "OT") + SUMIFS(Table2[[HomeWon_]:[HomeWon_]], Table2[[GameIsOver]:[GameIsOver]],1,Table2[[AwayTeam]:[AwayTeam]],$T9, Table2[[HomeTeam]:[HomeTeam]], AZ$1, Table2[[ActualResult]:[ActualResult]], "SO") + SUMIFS(Table2[[AwayWon]:[AwayWon]], Table2[[GameIsOver]:[GameIsOver]],1,Table2[[HomeTeam]:[HomeTeam]],$T9, Table2[[AwayTeam]:[AwayTeam]], AZ$1, Table2[[ActualResult]:[ActualResult]], "SO")))</f>
        <v>0</v>
      </c>
      <c r="BA9">
        <f>(2*(SUMIFS(Table2[[AwayWon]:[AwayWon]], Table2[[GameIsOver]:[GameIsOver]],1,Table2[[AwayTeam]:[AwayTeam]],$T9, Table2[[HomeTeam]:[HomeTeam]], BA$1) + SUMIFS(Table2[[HomeWon_]:[HomeWon_]], Table2[[GameIsOver]:[GameIsOver]],1,Table2[[HomeTeam]:[HomeTeam]],$T9, Table2[[AwayTeam]:[AwayTeam]], BA$1))) + (0*(SUMIFS(Table2[[HomeWon_]:[HomeWon_]], Table2[[GameIsOver]:[GameIsOver]],1,Table2[[AwayTeam]:[AwayTeam]],$T9, Table2[[HomeTeam]:[HomeTeam]], BA$1, Table2[[ActualResult]:[ActualResult]], "REG") + SUMIFS(Table2[[AwayWon]:[AwayWon]], Table2[[GameIsOver]:[GameIsOver]],1,Table2[[HomeTeam]:[HomeTeam]],$T9, Table2[[AwayTeam]:[AwayTeam]], BA$1, Table2[[ActualResult]:[ActualResult]], "REG"))) + (1*(SUMIFS(Table2[[HomeWon_]:[HomeWon_]], Table2[[GameIsOver]:[GameIsOver]],1,Table2[[AwayTeam]:[AwayTeam]],$T9, Table2[[HomeTeam]:[HomeTeam]], BA$1, Table2[[ActualResult]:[ActualResult]], "OT") + SUMIFS(Table2[[AwayWon]:[AwayWon]], Table2[[GameIsOver]:[GameIsOver]],1,Table2[[HomeTeam]:[HomeTeam]],$T9, Table2[[AwayTeam]:[AwayTeam]], BA$1, Table2[[ActualResult]:[ActualResult]], "OT") + SUMIFS(Table2[[HomeWon_]:[HomeWon_]], Table2[[GameIsOver]:[GameIsOver]],1,Table2[[AwayTeam]:[AwayTeam]],$T9, Table2[[HomeTeam]:[HomeTeam]], BA$1, Table2[[ActualResult]:[ActualResult]], "SO") + SUMIFS(Table2[[AwayWon]:[AwayWon]], Table2[[GameIsOver]:[GameIsOver]],1,Table2[[HomeTeam]:[HomeTeam]],$T9, Table2[[AwayTeam]:[AwayTeam]], BA$1, Table2[[ActualResult]:[ActualResult]], "SO")))</f>
        <v>0</v>
      </c>
    </row>
    <row r="10" spans="1:53" x14ac:dyDescent="0.25">
      <c r="A10" s="61" t="s">
        <v>33</v>
      </c>
      <c r="B10" s="61" t="s">
        <v>90</v>
      </c>
      <c r="C10" s="61" t="s">
        <v>88</v>
      </c>
      <c r="D10" s="62">
        <f>INDEX(Table3[PTS], MATCH(Table6[[#This Row],[Teams]], Table3[Teams],0))</f>
        <v>6</v>
      </c>
      <c r="E10" s="62">
        <f>INDEX(Table3[PTS], MATCH(Table6[[#This Row],[Teams]], Table3[Teams],0))</f>
        <v>6</v>
      </c>
    </row>
    <row r="11" spans="1:53" x14ac:dyDescent="0.25">
      <c r="A11" s="62" t="s">
        <v>30</v>
      </c>
      <c r="B11" s="62" t="s">
        <v>91</v>
      </c>
      <c r="C11" s="62" t="s">
        <v>74</v>
      </c>
      <c r="D11" s="62">
        <f>INDEX(Table3[PTS], MATCH(Table6[[#This Row],[Teams]], Table3[Teams],0))</f>
        <v>10</v>
      </c>
      <c r="E11" s="62">
        <f>INDEX(Table3[PTS], MATCH(Table6[[#This Row],[Teams]], Table3[Teams],0))</f>
        <v>10</v>
      </c>
      <c r="S11" t="s">
        <v>522</v>
      </c>
      <c r="T11" t="s">
        <v>39</v>
      </c>
      <c r="U11" t="s">
        <v>512</v>
      </c>
      <c r="V11" t="s">
        <v>44</v>
      </c>
      <c r="W11" t="s">
        <v>23</v>
      </c>
      <c r="X11" t="s">
        <v>22</v>
      </c>
      <c r="Y11" t="s">
        <v>27</v>
      </c>
      <c r="Z11" t="s">
        <v>11</v>
      </c>
      <c r="AA11" t="s">
        <v>37</v>
      </c>
      <c r="AB11" t="s">
        <v>24</v>
      </c>
      <c r="AC11" t="s">
        <v>26</v>
      </c>
      <c r="AD11" t="s">
        <v>16</v>
      </c>
      <c r="AE11" t="s">
        <v>25</v>
      </c>
      <c r="AF11" t="s">
        <v>33</v>
      </c>
      <c r="AG11" t="s">
        <v>36</v>
      </c>
      <c r="AH11" t="s">
        <v>34</v>
      </c>
      <c r="AI11" t="s">
        <v>12</v>
      </c>
      <c r="AJ11" t="s">
        <v>14</v>
      </c>
      <c r="AK11" t="s">
        <v>21</v>
      </c>
      <c r="AL11" t="s">
        <v>41</v>
      </c>
      <c r="AM11" t="s">
        <v>35</v>
      </c>
      <c r="AN11" t="s">
        <v>31</v>
      </c>
      <c r="AO11" t="s">
        <v>32</v>
      </c>
      <c r="AP11" t="s">
        <v>19</v>
      </c>
      <c r="AQ11" t="s">
        <v>42</v>
      </c>
      <c r="AR11" t="s">
        <v>20</v>
      </c>
      <c r="AS11" t="s">
        <v>43</v>
      </c>
      <c r="AT11" t="s">
        <v>15</v>
      </c>
      <c r="AU11" t="s">
        <v>28</v>
      </c>
      <c r="AV11" t="s">
        <v>30</v>
      </c>
      <c r="AW11" t="s">
        <v>13</v>
      </c>
      <c r="AX11" t="s">
        <v>18</v>
      </c>
      <c r="AY11" t="s">
        <v>29</v>
      </c>
      <c r="AZ11" t="s">
        <v>40</v>
      </c>
      <c r="BA11" t="s">
        <v>17</v>
      </c>
    </row>
    <row r="12" spans="1:53" x14ac:dyDescent="0.25">
      <c r="A12" s="61" t="s">
        <v>22</v>
      </c>
      <c r="B12" s="61" t="s">
        <v>90</v>
      </c>
      <c r="C12" s="61" t="s">
        <v>93</v>
      </c>
      <c r="D12" s="62">
        <f>INDEX(Table3[PTS], MATCH(Table6[[#This Row],[Teams]], Table3[Teams],0))</f>
        <v>7</v>
      </c>
      <c r="E12" s="62">
        <f>INDEX(Table3[PTS], MATCH(Table6[[#This Row],[Teams]], Table3[Teams],0))</f>
        <v>7</v>
      </c>
      <c r="S12">
        <v>8</v>
      </c>
      <c r="T12" t="str" cm="1">
        <f t="array" ref="T12">INDEX(Table6[Teams], SMALL(IF(Table6[D]="C", ROW(Table6[Teams])-ROW(Table6[#Headers])), Table710[[#This Row],[CEN]]))</f>
        <v>WPG</v>
      </c>
      <c r="U12">
        <f>INDEX(Table6[PTS], MATCH($T12, Table6[Teams], 0))</f>
        <v>10</v>
      </c>
      <c r="V12">
        <f>(2*(SUMIFS(Table2[[AwayWon]:[AwayWon]], Table2[[GameIsOver]:[GameIsOver]],1,Table2[[AwayTeam]:[AwayTeam]],$T12, Table2[[HomeTeam]:[HomeTeam]], V$11) + SUMIFS(Table2[[HomeWon_]:[HomeWon_]], Table2[[GameIsOver]:[GameIsOver]],1,Table2[[HomeTeam]:[HomeTeam]],$T12, Table2[[AwayTeam]:[AwayTeam]], V$11))) + (0*(SUMIFS(Table2[[HomeWon_]:[HomeWon_]], Table2[[GameIsOver]:[GameIsOver]],1,Table2[[AwayTeam]:[AwayTeam]],$T12, Table2[[HomeTeam]:[HomeTeam]], V$11, Table2[[ActualResult]:[ActualResult]], "REG") + SUMIFS(Table2[[AwayWon]:[AwayWon]], Table2[[GameIsOver]:[GameIsOver]],1,Table2[[HomeTeam]:[HomeTeam]],$T12, Table2[[AwayTeam]:[AwayTeam]], V$11, Table2[[ActualResult]:[ActualResult]], "REG"))) + (1*(SUMIFS(Table2[[HomeWon_]:[HomeWon_]], Table2[[GameIsOver]:[GameIsOver]],1,Table2[[AwayTeam]:[AwayTeam]],$T12, Table2[[HomeTeam]:[HomeTeam]], V$11, Table2[[ActualResult]:[ActualResult]], "OT") + SUMIFS(Table2[[AwayWon]:[AwayWon]], Table2[[GameIsOver]:[GameIsOver]],1,Table2[[HomeTeam]:[HomeTeam]],$T12, Table2[[AwayTeam]:[AwayTeam]], V$11, Table2[[ActualResult]:[ActualResult]], "OT") + SUMIFS(Table2[[HomeWon_]:[HomeWon_]], Table2[[GameIsOver]:[GameIsOver]],1,Table2[[AwayTeam]:[AwayTeam]],$T12, Table2[[HomeTeam]:[HomeTeam]], V$11, Table2[[ActualResult]:[ActualResult]], "SO") + SUMIFS(Table2[[AwayWon]:[AwayWon]], Table2[[GameIsOver]:[GameIsOver]],1,Table2[[HomeTeam]:[HomeTeam]],$T12, Table2[[AwayTeam]:[AwayTeam]], V$11, Table2[[ActualResult]:[ActualResult]], "SO")))</f>
        <v>0</v>
      </c>
      <c r="W12">
        <f>(2*(SUMIFS(Table2[[AwayWon]:[AwayWon]], Table2[[GameIsOver]:[GameIsOver]],1,Table2[[AwayTeam]:[AwayTeam]],$T12, Table2[[HomeTeam]:[HomeTeam]], W$11) + SUMIFS(Table2[[HomeWon_]:[HomeWon_]], Table2[[GameIsOver]:[GameIsOver]],1,Table2[[HomeTeam]:[HomeTeam]],$T12, Table2[[AwayTeam]:[AwayTeam]], W$11))) + (0*(SUMIFS(Table2[[HomeWon_]:[HomeWon_]], Table2[[GameIsOver]:[GameIsOver]],1,Table2[[AwayTeam]:[AwayTeam]],$T12, Table2[[HomeTeam]:[HomeTeam]], W$11, Table2[[ActualResult]:[ActualResult]], "REG") + SUMIFS(Table2[[AwayWon]:[AwayWon]], Table2[[GameIsOver]:[GameIsOver]],1,Table2[[HomeTeam]:[HomeTeam]],$T12, Table2[[AwayTeam]:[AwayTeam]], W$11, Table2[[ActualResult]:[ActualResult]], "REG"))) + (1*(SUMIFS(Table2[[HomeWon_]:[HomeWon_]], Table2[[GameIsOver]:[GameIsOver]],1,Table2[[AwayTeam]:[AwayTeam]],$T12, Table2[[HomeTeam]:[HomeTeam]], W$11, Table2[[ActualResult]:[ActualResult]], "OT") + SUMIFS(Table2[[AwayWon]:[AwayWon]], Table2[[GameIsOver]:[GameIsOver]],1,Table2[[HomeTeam]:[HomeTeam]],$T12, Table2[[AwayTeam]:[AwayTeam]], W$11, Table2[[ActualResult]:[ActualResult]], "OT") + SUMIFS(Table2[[HomeWon_]:[HomeWon_]], Table2[[GameIsOver]:[GameIsOver]],1,Table2[[AwayTeam]:[AwayTeam]],$T12, Table2[[HomeTeam]:[HomeTeam]], W$11, Table2[[ActualResult]:[ActualResult]], "SO") + SUMIFS(Table2[[AwayWon]:[AwayWon]], Table2[[GameIsOver]:[GameIsOver]],1,Table2[[HomeTeam]:[HomeTeam]],$T12, Table2[[AwayTeam]:[AwayTeam]], W$11, Table2[[ActualResult]:[ActualResult]], "SO")))</f>
        <v>2</v>
      </c>
      <c r="X12">
        <f>(2*(SUMIFS(Table2[[AwayWon]:[AwayWon]], Table2[[GameIsOver]:[GameIsOver]],1,Table2[[AwayTeam]:[AwayTeam]],$T12, Table2[[HomeTeam]:[HomeTeam]], X$11) + SUMIFS(Table2[[HomeWon_]:[HomeWon_]], Table2[[GameIsOver]:[GameIsOver]],1,Table2[[HomeTeam]:[HomeTeam]],$T12, Table2[[AwayTeam]:[AwayTeam]], X$11))) + (0*(SUMIFS(Table2[[HomeWon_]:[HomeWon_]], Table2[[GameIsOver]:[GameIsOver]],1,Table2[[AwayTeam]:[AwayTeam]],$T12, Table2[[HomeTeam]:[HomeTeam]], X$11, Table2[[ActualResult]:[ActualResult]], "REG") + SUMIFS(Table2[[AwayWon]:[AwayWon]], Table2[[GameIsOver]:[GameIsOver]],1,Table2[[HomeTeam]:[HomeTeam]],$T12, Table2[[AwayTeam]:[AwayTeam]], X$11, Table2[[ActualResult]:[ActualResult]], "REG"))) + (1*(SUMIFS(Table2[[HomeWon_]:[HomeWon_]], Table2[[GameIsOver]:[GameIsOver]],1,Table2[[AwayTeam]:[AwayTeam]],$T12, Table2[[HomeTeam]:[HomeTeam]], X$11, Table2[[ActualResult]:[ActualResult]], "OT") + SUMIFS(Table2[[AwayWon]:[AwayWon]], Table2[[GameIsOver]:[GameIsOver]],1,Table2[[HomeTeam]:[HomeTeam]],$T12, Table2[[AwayTeam]:[AwayTeam]], X$11, Table2[[ActualResult]:[ActualResult]], "OT") + SUMIFS(Table2[[HomeWon_]:[HomeWon_]], Table2[[GameIsOver]:[GameIsOver]],1,Table2[[AwayTeam]:[AwayTeam]],$T12, Table2[[HomeTeam]:[HomeTeam]], X$11, Table2[[ActualResult]:[ActualResult]], "SO") + SUMIFS(Table2[[AwayWon]:[AwayWon]], Table2[[GameIsOver]:[GameIsOver]],1,Table2[[HomeTeam]:[HomeTeam]],$T12, Table2[[AwayTeam]:[AwayTeam]], X$11, Table2[[ActualResult]:[ActualResult]], "SO")))</f>
        <v>0</v>
      </c>
      <c r="Y12">
        <f>(2*(SUMIFS(Table2[[AwayWon]:[AwayWon]], Table2[[GameIsOver]:[GameIsOver]],1,Table2[[AwayTeam]:[AwayTeam]],$T12, Table2[[HomeTeam]:[HomeTeam]], Y$11) + SUMIFS(Table2[[HomeWon_]:[HomeWon_]], Table2[[GameIsOver]:[GameIsOver]],1,Table2[[HomeTeam]:[HomeTeam]],$T12, Table2[[AwayTeam]:[AwayTeam]], Y$11))) + (0*(SUMIFS(Table2[[HomeWon_]:[HomeWon_]], Table2[[GameIsOver]:[GameIsOver]],1,Table2[[AwayTeam]:[AwayTeam]],$T12, Table2[[HomeTeam]:[HomeTeam]], Y$11, Table2[[ActualResult]:[ActualResult]], "REG") + SUMIFS(Table2[[AwayWon]:[AwayWon]], Table2[[GameIsOver]:[GameIsOver]],1,Table2[[HomeTeam]:[HomeTeam]],$T12, Table2[[AwayTeam]:[AwayTeam]], Y$11, Table2[[ActualResult]:[ActualResult]], "REG"))) + (1*(SUMIFS(Table2[[HomeWon_]:[HomeWon_]], Table2[[GameIsOver]:[GameIsOver]],1,Table2[[AwayTeam]:[AwayTeam]],$T12, Table2[[HomeTeam]:[HomeTeam]], Y$11, Table2[[ActualResult]:[ActualResult]], "OT") + SUMIFS(Table2[[AwayWon]:[AwayWon]], Table2[[GameIsOver]:[GameIsOver]],1,Table2[[HomeTeam]:[HomeTeam]],$T12, Table2[[AwayTeam]:[AwayTeam]], Y$11, Table2[[ActualResult]:[ActualResult]], "OT") + SUMIFS(Table2[[HomeWon_]:[HomeWon_]], Table2[[GameIsOver]:[GameIsOver]],1,Table2[[AwayTeam]:[AwayTeam]],$T12, Table2[[HomeTeam]:[HomeTeam]], Y$11, Table2[[ActualResult]:[ActualResult]], "SO") + SUMIFS(Table2[[AwayWon]:[AwayWon]], Table2[[GameIsOver]:[GameIsOver]],1,Table2[[HomeTeam]:[HomeTeam]],$T12, Table2[[AwayTeam]:[AwayTeam]], Y$11, Table2[[ActualResult]:[ActualResult]], "SO")))</f>
        <v>2</v>
      </c>
      <c r="Z12">
        <f>(2*(SUMIFS(Table2[[AwayWon]:[AwayWon]], Table2[[GameIsOver]:[GameIsOver]],1,Table2[[AwayTeam]:[AwayTeam]],$T12, Table2[[HomeTeam]:[HomeTeam]], Z$11) + SUMIFS(Table2[[HomeWon_]:[HomeWon_]], Table2[[GameIsOver]:[GameIsOver]],1,Table2[[HomeTeam]:[HomeTeam]],$T12, Table2[[AwayTeam]:[AwayTeam]], Z$11))) + (0*(SUMIFS(Table2[[HomeWon_]:[HomeWon_]], Table2[[GameIsOver]:[GameIsOver]],1,Table2[[AwayTeam]:[AwayTeam]],$T12, Table2[[HomeTeam]:[HomeTeam]], Z$11, Table2[[ActualResult]:[ActualResult]], "REG") + SUMIFS(Table2[[AwayWon]:[AwayWon]], Table2[[GameIsOver]:[GameIsOver]],1,Table2[[HomeTeam]:[HomeTeam]],$T12, Table2[[AwayTeam]:[AwayTeam]], Z$11, Table2[[ActualResult]:[ActualResult]], "REG"))) + (1*(SUMIFS(Table2[[HomeWon_]:[HomeWon_]], Table2[[GameIsOver]:[GameIsOver]],1,Table2[[AwayTeam]:[AwayTeam]],$T12, Table2[[HomeTeam]:[HomeTeam]], Z$11, Table2[[ActualResult]:[ActualResult]], "OT") + SUMIFS(Table2[[AwayWon]:[AwayWon]], Table2[[GameIsOver]:[GameIsOver]],1,Table2[[HomeTeam]:[HomeTeam]],$T12, Table2[[AwayTeam]:[AwayTeam]], Z$11, Table2[[ActualResult]:[ActualResult]], "OT") + SUMIFS(Table2[[HomeWon_]:[HomeWon_]], Table2[[GameIsOver]:[GameIsOver]],1,Table2[[AwayTeam]:[AwayTeam]],$T12, Table2[[HomeTeam]:[HomeTeam]], Z$11, Table2[[ActualResult]:[ActualResult]], "SO") + SUMIFS(Table2[[AwayWon]:[AwayWon]], Table2[[GameIsOver]:[GameIsOver]],1,Table2[[HomeTeam]:[HomeTeam]],$T12, Table2[[AwayTeam]:[AwayTeam]], Z$11, Table2[[ActualResult]:[ActualResult]], "SO")))</f>
        <v>0</v>
      </c>
      <c r="AA12">
        <f>(2*(SUMIFS(Table2[[AwayWon]:[AwayWon]], Table2[[GameIsOver]:[GameIsOver]],1,Table2[[AwayTeam]:[AwayTeam]],$T12, Table2[[HomeTeam]:[HomeTeam]], AA$11) + SUMIFS(Table2[[HomeWon_]:[HomeWon_]], Table2[[GameIsOver]:[GameIsOver]],1,Table2[[HomeTeam]:[HomeTeam]],$T12, Table2[[AwayTeam]:[AwayTeam]], AA$11))) + (0*(SUMIFS(Table2[[HomeWon_]:[HomeWon_]], Table2[[GameIsOver]:[GameIsOver]],1,Table2[[AwayTeam]:[AwayTeam]],$T12, Table2[[HomeTeam]:[HomeTeam]], AA$11, Table2[[ActualResult]:[ActualResult]], "REG") + SUMIFS(Table2[[AwayWon]:[AwayWon]], Table2[[GameIsOver]:[GameIsOver]],1,Table2[[HomeTeam]:[HomeTeam]],$T12, Table2[[AwayTeam]:[AwayTeam]], AA$11, Table2[[ActualResult]:[ActualResult]], "REG"))) + (1*(SUMIFS(Table2[[HomeWon_]:[HomeWon_]], Table2[[GameIsOver]:[GameIsOver]],1,Table2[[AwayTeam]:[AwayTeam]],$T12, Table2[[HomeTeam]:[HomeTeam]], AA$11, Table2[[ActualResult]:[ActualResult]], "OT") + SUMIFS(Table2[[AwayWon]:[AwayWon]], Table2[[GameIsOver]:[GameIsOver]],1,Table2[[HomeTeam]:[HomeTeam]],$T12, Table2[[AwayTeam]:[AwayTeam]], AA$11, Table2[[ActualResult]:[ActualResult]], "OT") + SUMIFS(Table2[[HomeWon_]:[HomeWon_]], Table2[[GameIsOver]:[GameIsOver]],1,Table2[[AwayTeam]:[AwayTeam]],$T12, Table2[[HomeTeam]:[HomeTeam]], AA$11, Table2[[ActualResult]:[ActualResult]], "SO") + SUMIFS(Table2[[AwayWon]:[AwayWon]], Table2[[GameIsOver]:[GameIsOver]],1,Table2[[HomeTeam]:[HomeTeam]],$T12, Table2[[AwayTeam]:[AwayTeam]], AA$11, Table2[[ActualResult]:[ActualResult]], "SO")))</f>
        <v>0</v>
      </c>
      <c r="AB12">
        <f>(2*(SUMIFS(Table2[[AwayWon]:[AwayWon]], Table2[[GameIsOver]:[GameIsOver]],1,Table2[[AwayTeam]:[AwayTeam]],$T12, Table2[[HomeTeam]:[HomeTeam]], AB$11) + SUMIFS(Table2[[HomeWon_]:[HomeWon_]], Table2[[GameIsOver]:[GameIsOver]],1,Table2[[HomeTeam]:[HomeTeam]],$T12, Table2[[AwayTeam]:[AwayTeam]], AB$11))) + (0*(SUMIFS(Table2[[HomeWon_]:[HomeWon_]], Table2[[GameIsOver]:[GameIsOver]],1,Table2[[AwayTeam]:[AwayTeam]],$T12, Table2[[HomeTeam]:[HomeTeam]], AB$11, Table2[[ActualResult]:[ActualResult]], "REG") + SUMIFS(Table2[[AwayWon]:[AwayWon]], Table2[[GameIsOver]:[GameIsOver]],1,Table2[[HomeTeam]:[HomeTeam]],$T12, Table2[[AwayTeam]:[AwayTeam]], AB$11, Table2[[ActualResult]:[ActualResult]], "REG"))) + (1*(SUMIFS(Table2[[HomeWon_]:[HomeWon_]], Table2[[GameIsOver]:[GameIsOver]],1,Table2[[AwayTeam]:[AwayTeam]],$T12, Table2[[HomeTeam]:[HomeTeam]], AB$11, Table2[[ActualResult]:[ActualResult]], "OT") + SUMIFS(Table2[[AwayWon]:[AwayWon]], Table2[[GameIsOver]:[GameIsOver]],1,Table2[[HomeTeam]:[HomeTeam]],$T12, Table2[[AwayTeam]:[AwayTeam]], AB$11, Table2[[ActualResult]:[ActualResult]], "OT") + SUMIFS(Table2[[HomeWon_]:[HomeWon_]], Table2[[GameIsOver]:[GameIsOver]],1,Table2[[AwayTeam]:[AwayTeam]],$T12, Table2[[HomeTeam]:[HomeTeam]], AB$11, Table2[[ActualResult]:[ActualResult]], "SO") + SUMIFS(Table2[[AwayWon]:[AwayWon]], Table2[[GameIsOver]:[GameIsOver]],1,Table2[[HomeTeam]:[HomeTeam]],$T12, Table2[[AwayTeam]:[AwayTeam]], AB$11, Table2[[ActualResult]:[ActualResult]], "SO")))</f>
        <v>0</v>
      </c>
      <c r="AC12">
        <f>(2*(SUMIFS(Table2[[AwayWon]:[AwayWon]], Table2[[GameIsOver]:[GameIsOver]],1,Table2[[AwayTeam]:[AwayTeam]],$T12, Table2[[HomeTeam]:[HomeTeam]], AC$11) + SUMIFS(Table2[[HomeWon_]:[HomeWon_]], Table2[[GameIsOver]:[GameIsOver]],1,Table2[[HomeTeam]:[HomeTeam]],$T12, Table2[[AwayTeam]:[AwayTeam]], AC$11))) + (0*(SUMIFS(Table2[[HomeWon_]:[HomeWon_]], Table2[[GameIsOver]:[GameIsOver]],1,Table2[[AwayTeam]:[AwayTeam]],$T12, Table2[[HomeTeam]:[HomeTeam]], AC$11, Table2[[ActualResult]:[ActualResult]], "REG") + SUMIFS(Table2[[AwayWon]:[AwayWon]], Table2[[GameIsOver]:[GameIsOver]],1,Table2[[HomeTeam]:[HomeTeam]],$T12, Table2[[AwayTeam]:[AwayTeam]], AC$11, Table2[[ActualResult]:[ActualResult]], "REG"))) + (1*(SUMIFS(Table2[[HomeWon_]:[HomeWon_]], Table2[[GameIsOver]:[GameIsOver]],1,Table2[[AwayTeam]:[AwayTeam]],$T12, Table2[[HomeTeam]:[HomeTeam]], AC$11, Table2[[ActualResult]:[ActualResult]], "OT") + SUMIFS(Table2[[AwayWon]:[AwayWon]], Table2[[GameIsOver]:[GameIsOver]],1,Table2[[HomeTeam]:[HomeTeam]],$T12, Table2[[AwayTeam]:[AwayTeam]], AC$11, Table2[[ActualResult]:[ActualResult]], "OT") + SUMIFS(Table2[[HomeWon_]:[HomeWon_]], Table2[[GameIsOver]:[GameIsOver]],1,Table2[[AwayTeam]:[AwayTeam]],$T12, Table2[[HomeTeam]:[HomeTeam]], AC$11, Table2[[ActualResult]:[ActualResult]], "SO") + SUMIFS(Table2[[AwayWon]:[AwayWon]], Table2[[GameIsOver]:[GameIsOver]],1,Table2[[HomeTeam]:[HomeTeam]],$T12, Table2[[AwayTeam]:[AwayTeam]], AC$11, Table2[[ActualResult]:[ActualResult]], "SO")))</f>
        <v>0</v>
      </c>
      <c r="AD12">
        <f>(2*(SUMIFS(Table2[[AwayWon]:[AwayWon]], Table2[[GameIsOver]:[GameIsOver]],1,Table2[[AwayTeam]:[AwayTeam]],$T12, Table2[[HomeTeam]:[HomeTeam]], AD$11) + SUMIFS(Table2[[HomeWon_]:[HomeWon_]], Table2[[GameIsOver]:[GameIsOver]],1,Table2[[HomeTeam]:[HomeTeam]],$T12, Table2[[AwayTeam]:[AwayTeam]], AD$11))) + (0*(SUMIFS(Table2[[HomeWon_]:[HomeWon_]], Table2[[GameIsOver]:[GameIsOver]],1,Table2[[AwayTeam]:[AwayTeam]],$T12, Table2[[HomeTeam]:[HomeTeam]], AD$11, Table2[[ActualResult]:[ActualResult]], "REG") + SUMIFS(Table2[[AwayWon]:[AwayWon]], Table2[[GameIsOver]:[GameIsOver]],1,Table2[[HomeTeam]:[HomeTeam]],$T12, Table2[[AwayTeam]:[AwayTeam]], AD$11, Table2[[ActualResult]:[ActualResult]], "REG"))) + (1*(SUMIFS(Table2[[HomeWon_]:[HomeWon_]], Table2[[GameIsOver]:[GameIsOver]],1,Table2[[AwayTeam]:[AwayTeam]],$T12, Table2[[HomeTeam]:[HomeTeam]], AD$11, Table2[[ActualResult]:[ActualResult]], "OT") + SUMIFS(Table2[[AwayWon]:[AwayWon]], Table2[[GameIsOver]:[GameIsOver]],1,Table2[[HomeTeam]:[HomeTeam]],$T12, Table2[[AwayTeam]:[AwayTeam]], AD$11, Table2[[ActualResult]:[ActualResult]], "OT") + SUMIFS(Table2[[HomeWon_]:[HomeWon_]], Table2[[GameIsOver]:[GameIsOver]],1,Table2[[AwayTeam]:[AwayTeam]],$T12, Table2[[HomeTeam]:[HomeTeam]], AD$11, Table2[[ActualResult]:[ActualResult]], "SO") + SUMIFS(Table2[[AwayWon]:[AwayWon]], Table2[[GameIsOver]:[GameIsOver]],1,Table2[[HomeTeam]:[HomeTeam]],$T12, Table2[[AwayTeam]:[AwayTeam]], AD$11, Table2[[ActualResult]:[ActualResult]], "SO")))</f>
        <v>0</v>
      </c>
      <c r="AE12">
        <f>(2*(SUMIFS(Table2[[AwayWon]:[AwayWon]], Table2[[GameIsOver]:[GameIsOver]],1,Table2[[AwayTeam]:[AwayTeam]],$T12, Table2[[HomeTeam]:[HomeTeam]], AE$11) + SUMIFS(Table2[[HomeWon_]:[HomeWon_]], Table2[[GameIsOver]:[GameIsOver]],1,Table2[[HomeTeam]:[HomeTeam]],$T12, Table2[[AwayTeam]:[AwayTeam]], AE$11))) + (0*(SUMIFS(Table2[[HomeWon_]:[HomeWon_]], Table2[[GameIsOver]:[GameIsOver]],1,Table2[[AwayTeam]:[AwayTeam]],$T12, Table2[[HomeTeam]:[HomeTeam]], AE$11, Table2[[ActualResult]:[ActualResult]], "REG") + SUMIFS(Table2[[AwayWon]:[AwayWon]], Table2[[GameIsOver]:[GameIsOver]],1,Table2[[HomeTeam]:[HomeTeam]],$T12, Table2[[AwayTeam]:[AwayTeam]], AE$11, Table2[[ActualResult]:[ActualResult]], "REG"))) + (1*(SUMIFS(Table2[[HomeWon_]:[HomeWon_]], Table2[[GameIsOver]:[GameIsOver]],1,Table2[[AwayTeam]:[AwayTeam]],$T12, Table2[[HomeTeam]:[HomeTeam]], AE$11, Table2[[ActualResult]:[ActualResult]], "OT") + SUMIFS(Table2[[AwayWon]:[AwayWon]], Table2[[GameIsOver]:[GameIsOver]],1,Table2[[HomeTeam]:[HomeTeam]],$T12, Table2[[AwayTeam]:[AwayTeam]], AE$11, Table2[[ActualResult]:[ActualResult]], "OT") + SUMIFS(Table2[[HomeWon_]:[HomeWon_]], Table2[[GameIsOver]:[GameIsOver]],1,Table2[[AwayTeam]:[AwayTeam]],$T12, Table2[[HomeTeam]:[HomeTeam]], AE$11, Table2[[ActualResult]:[ActualResult]], "SO") + SUMIFS(Table2[[AwayWon]:[AwayWon]], Table2[[GameIsOver]:[GameIsOver]],1,Table2[[HomeTeam]:[HomeTeam]],$T12, Table2[[AwayTeam]:[AwayTeam]], AE$11, Table2[[ActualResult]:[ActualResult]], "SO")))</f>
        <v>0</v>
      </c>
      <c r="AF12">
        <f>(2*(SUMIFS(Table2[[AwayWon]:[AwayWon]], Table2[[GameIsOver]:[GameIsOver]],1,Table2[[AwayTeam]:[AwayTeam]],$T12, Table2[[HomeTeam]:[HomeTeam]], AF$11) + SUMIFS(Table2[[HomeWon_]:[HomeWon_]], Table2[[GameIsOver]:[GameIsOver]],1,Table2[[HomeTeam]:[HomeTeam]],$T12, Table2[[AwayTeam]:[AwayTeam]], AF$11))) + (0*(SUMIFS(Table2[[HomeWon_]:[HomeWon_]], Table2[[GameIsOver]:[GameIsOver]],1,Table2[[AwayTeam]:[AwayTeam]],$T12, Table2[[HomeTeam]:[HomeTeam]], AF$11, Table2[[ActualResult]:[ActualResult]], "REG") + SUMIFS(Table2[[AwayWon]:[AwayWon]], Table2[[GameIsOver]:[GameIsOver]],1,Table2[[HomeTeam]:[HomeTeam]],$T12, Table2[[AwayTeam]:[AwayTeam]], AF$11, Table2[[ActualResult]:[ActualResult]], "REG"))) + (1*(SUMIFS(Table2[[HomeWon_]:[HomeWon_]], Table2[[GameIsOver]:[GameIsOver]],1,Table2[[AwayTeam]:[AwayTeam]],$T12, Table2[[HomeTeam]:[HomeTeam]], AF$11, Table2[[ActualResult]:[ActualResult]], "OT") + SUMIFS(Table2[[AwayWon]:[AwayWon]], Table2[[GameIsOver]:[GameIsOver]],1,Table2[[HomeTeam]:[HomeTeam]],$T12, Table2[[AwayTeam]:[AwayTeam]], AF$11, Table2[[ActualResult]:[ActualResult]], "OT") + SUMIFS(Table2[[HomeWon_]:[HomeWon_]], Table2[[GameIsOver]:[GameIsOver]],1,Table2[[AwayTeam]:[AwayTeam]],$T12, Table2[[HomeTeam]:[HomeTeam]], AF$11, Table2[[ActualResult]:[ActualResult]], "SO") + SUMIFS(Table2[[AwayWon]:[AwayWon]], Table2[[GameIsOver]:[GameIsOver]],1,Table2[[HomeTeam]:[HomeTeam]],$T12, Table2[[AwayTeam]:[AwayTeam]], AF$11, Table2[[ActualResult]:[ActualResult]], "SO")))</f>
        <v>0</v>
      </c>
      <c r="AG12">
        <f>(2*(SUMIFS(Table2[[AwayWon]:[AwayWon]], Table2[[GameIsOver]:[GameIsOver]],1,Table2[[AwayTeam]:[AwayTeam]],$T12, Table2[[HomeTeam]:[HomeTeam]], AG$11) + SUMIFS(Table2[[HomeWon_]:[HomeWon_]], Table2[[GameIsOver]:[GameIsOver]],1,Table2[[HomeTeam]:[HomeTeam]],$T12, Table2[[AwayTeam]:[AwayTeam]], AG$11))) + (0*(SUMIFS(Table2[[HomeWon_]:[HomeWon_]], Table2[[GameIsOver]:[GameIsOver]],1,Table2[[AwayTeam]:[AwayTeam]],$T12, Table2[[HomeTeam]:[HomeTeam]], AG$11, Table2[[ActualResult]:[ActualResult]], "REG") + SUMIFS(Table2[[AwayWon]:[AwayWon]], Table2[[GameIsOver]:[GameIsOver]],1,Table2[[HomeTeam]:[HomeTeam]],$T12, Table2[[AwayTeam]:[AwayTeam]], AG$11, Table2[[ActualResult]:[ActualResult]], "REG"))) + (1*(SUMIFS(Table2[[HomeWon_]:[HomeWon_]], Table2[[GameIsOver]:[GameIsOver]],1,Table2[[AwayTeam]:[AwayTeam]],$T12, Table2[[HomeTeam]:[HomeTeam]], AG$11, Table2[[ActualResult]:[ActualResult]], "OT") + SUMIFS(Table2[[AwayWon]:[AwayWon]], Table2[[GameIsOver]:[GameIsOver]],1,Table2[[HomeTeam]:[HomeTeam]],$T12, Table2[[AwayTeam]:[AwayTeam]], AG$11, Table2[[ActualResult]:[ActualResult]], "OT") + SUMIFS(Table2[[HomeWon_]:[HomeWon_]], Table2[[GameIsOver]:[GameIsOver]],1,Table2[[AwayTeam]:[AwayTeam]],$T12, Table2[[HomeTeam]:[HomeTeam]], AG$11, Table2[[ActualResult]:[ActualResult]], "SO") + SUMIFS(Table2[[AwayWon]:[AwayWon]], Table2[[GameIsOver]:[GameIsOver]],1,Table2[[HomeTeam]:[HomeTeam]],$T12, Table2[[AwayTeam]:[AwayTeam]], AG$11, Table2[[ActualResult]:[ActualResult]], "SO")))</f>
        <v>0</v>
      </c>
      <c r="AH12">
        <f>(2*(SUMIFS(Table2[[AwayWon]:[AwayWon]], Table2[[GameIsOver]:[GameIsOver]],1,Table2[[AwayTeam]:[AwayTeam]],$T12, Table2[[HomeTeam]:[HomeTeam]], AH$11) + SUMIFS(Table2[[HomeWon_]:[HomeWon_]], Table2[[GameIsOver]:[GameIsOver]],1,Table2[[HomeTeam]:[HomeTeam]],$T12, Table2[[AwayTeam]:[AwayTeam]], AH$11))) + (0*(SUMIFS(Table2[[HomeWon_]:[HomeWon_]], Table2[[GameIsOver]:[GameIsOver]],1,Table2[[AwayTeam]:[AwayTeam]],$T12, Table2[[HomeTeam]:[HomeTeam]], AH$11, Table2[[ActualResult]:[ActualResult]], "REG") + SUMIFS(Table2[[AwayWon]:[AwayWon]], Table2[[GameIsOver]:[GameIsOver]],1,Table2[[HomeTeam]:[HomeTeam]],$T12, Table2[[AwayTeam]:[AwayTeam]], AH$11, Table2[[ActualResult]:[ActualResult]], "REG"))) + (1*(SUMIFS(Table2[[HomeWon_]:[HomeWon_]], Table2[[GameIsOver]:[GameIsOver]],1,Table2[[AwayTeam]:[AwayTeam]],$T12, Table2[[HomeTeam]:[HomeTeam]], AH$11, Table2[[ActualResult]:[ActualResult]], "OT") + SUMIFS(Table2[[AwayWon]:[AwayWon]], Table2[[GameIsOver]:[GameIsOver]],1,Table2[[HomeTeam]:[HomeTeam]],$T12, Table2[[AwayTeam]:[AwayTeam]], AH$11, Table2[[ActualResult]:[ActualResult]], "OT") + SUMIFS(Table2[[HomeWon_]:[HomeWon_]], Table2[[GameIsOver]:[GameIsOver]],1,Table2[[AwayTeam]:[AwayTeam]],$T12, Table2[[HomeTeam]:[HomeTeam]], AH$11, Table2[[ActualResult]:[ActualResult]], "SO") + SUMIFS(Table2[[AwayWon]:[AwayWon]], Table2[[GameIsOver]:[GameIsOver]],1,Table2[[HomeTeam]:[HomeTeam]],$T12, Table2[[AwayTeam]:[AwayTeam]], AH$11, Table2[[ActualResult]:[ActualResult]], "SO")))</f>
        <v>2</v>
      </c>
      <c r="AI12">
        <f>(2*(SUMIFS(Table2[[AwayWon]:[AwayWon]], Table2[[GameIsOver]:[GameIsOver]],1,Table2[[AwayTeam]:[AwayTeam]],$T12, Table2[[HomeTeam]:[HomeTeam]], AI$11) + SUMIFS(Table2[[HomeWon_]:[HomeWon_]], Table2[[GameIsOver]:[GameIsOver]],1,Table2[[HomeTeam]:[HomeTeam]],$T12, Table2[[AwayTeam]:[AwayTeam]], AI$11))) + (0*(SUMIFS(Table2[[HomeWon_]:[HomeWon_]], Table2[[GameIsOver]:[GameIsOver]],1,Table2[[AwayTeam]:[AwayTeam]],$T12, Table2[[HomeTeam]:[HomeTeam]], AI$11, Table2[[ActualResult]:[ActualResult]], "REG") + SUMIFS(Table2[[AwayWon]:[AwayWon]], Table2[[GameIsOver]:[GameIsOver]],1,Table2[[HomeTeam]:[HomeTeam]],$T12, Table2[[AwayTeam]:[AwayTeam]], AI$11, Table2[[ActualResult]:[ActualResult]], "REG"))) + (1*(SUMIFS(Table2[[HomeWon_]:[HomeWon_]], Table2[[GameIsOver]:[GameIsOver]],1,Table2[[AwayTeam]:[AwayTeam]],$T12, Table2[[HomeTeam]:[HomeTeam]], AI$11, Table2[[ActualResult]:[ActualResult]], "OT") + SUMIFS(Table2[[AwayWon]:[AwayWon]], Table2[[GameIsOver]:[GameIsOver]],1,Table2[[HomeTeam]:[HomeTeam]],$T12, Table2[[AwayTeam]:[AwayTeam]], AI$11, Table2[[ActualResult]:[ActualResult]], "OT") + SUMIFS(Table2[[HomeWon_]:[HomeWon_]], Table2[[GameIsOver]:[GameIsOver]],1,Table2[[AwayTeam]:[AwayTeam]],$T12, Table2[[HomeTeam]:[HomeTeam]], AI$11, Table2[[ActualResult]:[ActualResult]], "SO") + SUMIFS(Table2[[AwayWon]:[AwayWon]], Table2[[GameIsOver]:[GameIsOver]],1,Table2[[HomeTeam]:[HomeTeam]],$T12, Table2[[AwayTeam]:[AwayTeam]], AI$11, Table2[[ActualResult]:[ActualResult]], "SO")))</f>
        <v>0</v>
      </c>
      <c r="AJ12">
        <f>(2*(SUMIFS(Table2[[AwayWon]:[AwayWon]], Table2[[GameIsOver]:[GameIsOver]],1,Table2[[AwayTeam]:[AwayTeam]],$T12, Table2[[HomeTeam]:[HomeTeam]], AJ$11) + SUMIFS(Table2[[HomeWon_]:[HomeWon_]], Table2[[GameIsOver]:[GameIsOver]],1,Table2[[HomeTeam]:[HomeTeam]],$T12, Table2[[AwayTeam]:[AwayTeam]], AJ$11))) + (0*(SUMIFS(Table2[[HomeWon_]:[HomeWon_]], Table2[[GameIsOver]:[GameIsOver]],1,Table2[[AwayTeam]:[AwayTeam]],$T12, Table2[[HomeTeam]:[HomeTeam]], AJ$11, Table2[[ActualResult]:[ActualResult]], "REG") + SUMIFS(Table2[[AwayWon]:[AwayWon]], Table2[[GameIsOver]:[GameIsOver]],1,Table2[[HomeTeam]:[HomeTeam]],$T12, Table2[[AwayTeam]:[AwayTeam]], AJ$11, Table2[[ActualResult]:[ActualResult]], "REG"))) + (1*(SUMIFS(Table2[[HomeWon_]:[HomeWon_]], Table2[[GameIsOver]:[GameIsOver]],1,Table2[[AwayTeam]:[AwayTeam]],$T12, Table2[[HomeTeam]:[HomeTeam]], AJ$11, Table2[[ActualResult]:[ActualResult]], "OT") + SUMIFS(Table2[[AwayWon]:[AwayWon]], Table2[[GameIsOver]:[GameIsOver]],1,Table2[[HomeTeam]:[HomeTeam]],$T12, Table2[[AwayTeam]:[AwayTeam]], AJ$11, Table2[[ActualResult]:[ActualResult]], "OT") + SUMIFS(Table2[[HomeWon_]:[HomeWon_]], Table2[[GameIsOver]:[GameIsOver]],1,Table2[[AwayTeam]:[AwayTeam]],$T12, Table2[[HomeTeam]:[HomeTeam]], AJ$11, Table2[[ActualResult]:[ActualResult]], "SO") + SUMIFS(Table2[[AwayWon]:[AwayWon]], Table2[[GameIsOver]:[GameIsOver]],1,Table2[[HomeTeam]:[HomeTeam]],$T12, Table2[[AwayTeam]:[AwayTeam]], AJ$11, Table2[[ActualResult]:[ActualResult]], "SO")))</f>
        <v>0</v>
      </c>
      <c r="AK12">
        <f>(2*(SUMIFS(Table2[[AwayWon]:[AwayWon]], Table2[[GameIsOver]:[GameIsOver]],1,Table2[[AwayTeam]:[AwayTeam]],$T12, Table2[[HomeTeam]:[HomeTeam]], AK$11) + SUMIFS(Table2[[HomeWon_]:[HomeWon_]], Table2[[GameIsOver]:[GameIsOver]],1,Table2[[HomeTeam]:[HomeTeam]],$T12, Table2[[AwayTeam]:[AwayTeam]], AK$11))) + (0*(SUMIFS(Table2[[HomeWon_]:[HomeWon_]], Table2[[GameIsOver]:[GameIsOver]],1,Table2[[AwayTeam]:[AwayTeam]],$T12, Table2[[HomeTeam]:[HomeTeam]], AK$11, Table2[[ActualResult]:[ActualResult]], "REG") + SUMIFS(Table2[[AwayWon]:[AwayWon]], Table2[[GameIsOver]:[GameIsOver]],1,Table2[[HomeTeam]:[HomeTeam]],$T12, Table2[[AwayTeam]:[AwayTeam]], AK$11, Table2[[ActualResult]:[ActualResult]], "REG"))) + (1*(SUMIFS(Table2[[HomeWon_]:[HomeWon_]], Table2[[GameIsOver]:[GameIsOver]],1,Table2[[AwayTeam]:[AwayTeam]],$T12, Table2[[HomeTeam]:[HomeTeam]], AK$11, Table2[[ActualResult]:[ActualResult]], "OT") + SUMIFS(Table2[[AwayWon]:[AwayWon]], Table2[[GameIsOver]:[GameIsOver]],1,Table2[[HomeTeam]:[HomeTeam]],$T12, Table2[[AwayTeam]:[AwayTeam]], AK$11, Table2[[ActualResult]:[ActualResult]], "OT") + SUMIFS(Table2[[HomeWon_]:[HomeWon_]], Table2[[GameIsOver]:[GameIsOver]],1,Table2[[AwayTeam]:[AwayTeam]],$T12, Table2[[HomeTeam]:[HomeTeam]], AK$11, Table2[[ActualResult]:[ActualResult]], "SO") + SUMIFS(Table2[[AwayWon]:[AwayWon]], Table2[[GameIsOver]:[GameIsOver]],1,Table2[[HomeTeam]:[HomeTeam]],$T12, Table2[[AwayTeam]:[AwayTeam]], AK$11, Table2[[ActualResult]:[ActualResult]], "SO")))</f>
        <v>0</v>
      </c>
      <c r="AL12">
        <f>(2*(SUMIFS(Table2[[AwayWon]:[AwayWon]], Table2[[GameIsOver]:[GameIsOver]],1,Table2[[AwayTeam]:[AwayTeam]],$T12, Table2[[HomeTeam]:[HomeTeam]], AL$11) + SUMIFS(Table2[[HomeWon_]:[HomeWon_]], Table2[[GameIsOver]:[GameIsOver]],1,Table2[[HomeTeam]:[HomeTeam]],$T12, Table2[[AwayTeam]:[AwayTeam]], AL$11))) + (0*(SUMIFS(Table2[[HomeWon_]:[HomeWon_]], Table2[[GameIsOver]:[GameIsOver]],1,Table2[[AwayTeam]:[AwayTeam]],$T12, Table2[[HomeTeam]:[HomeTeam]], AL$11, Table2[[ActualResult]:[ActualResult]], "REG") + SUMIFS(Table2[[AwayWon]:[AwayWon]], Table2[[GameIsOver]:[GameIsOver]],1,Table2[[HomeTeam]:[HomeTeam]],$T12, Table2[[AwayTeam]:[AwayTeam]], AL$11, Table2[[ActualResult]:[ActualResult]], "REG"))) + (1*(SUMIFS(Table2[[HomeWon_]:[HomeWon_]], Table2[[GameIsOver]:[GameIsOver]],1,Table2[[AwayTeam]:[AwayTeam]],$T12, Table2[[HomeTeam]:[HomeTeam]], AL$11, Table2[[ActualResult]:[ActualResult]], "OT") + SUMIFS(Table2[[AwayWon]:[AwayWon]], Table2[[GameIsOver]:[GameIsOver]],1,Table2[[HomeTeam]:[HomeTeam]],$T12, Table2[[AwayTeam]:[AwayTeam]], AL$11, Table2[[ActualResult]:[ActualResult]], "OT") + SUMIFS(Table2[[HomeWon_]:[HomeWon_]], Table2[[GameIsOver]:[GameIsOver]],1,Table2[[AwayTeam]:[AwayTeam]],$T12, Table2[[HomeTeam]:[HomeTeam]], AL$11, Table2[[ActualResult]:[ActualResult]], "SO") + SUMIFS(Table2[[AwayWon]:[AwayWon]], Table2[[GameIsOver]:[GameIsOver]],1,Table2[[HomeTeam]:[HomeTeam]],$T12, Table2[[AwayTeam]:[AwayTeam]], AL$11, Table2[[ActualResult]:[ActualResult]], "SO")))</f>
        <v>0</v>
      </c>
      <c r="AM12">
        <f>(2*(SUMIFS(Table2[[AwayWon]:[AwayWon]], Table2[[GameIsOver]:[GameIsOver]],1,Table2[[AwayTeam]:[AwayTeam]],$T12, Table2[[HomeTeam]:[HomeTeam]], AM$11) + SUMIFS(Table2[[HomeWon_]:[HomeWon_]], Table2[[GameIsOver]:[GameIsOver]],1,Table2[[HomeTeam]:[HomeTeam]],$T12, Table2[[AwayTeam]:[AwayTeam]], AM$11))) + (0*(SUMIFS(Table2[[HomeWon_]:[HomeWon_]], Table2[[GameIsOver]:[GameIsOver]],1,Table2[[AwayTeam]:[AwayTeam]],$T12, Table2[[HomeTeam]:[HomeTeam]], AM$11, Table2[[ActualResult]:[ActualResult]], "REG") + SUMIFS(Table2[[AwayWon]:[AwayWon]], Table2[[GameIsOver]:[GameIsOver]],1,Table2[[HomeTeam]:[HomeTeam]],$T12, Table2[[AwayTeam]:[AwayTeam]], AM$11, Table2[[ActualResult]:[ActualResult]], "REG"))) + (1*(SUMIFS(Table2[[HomeWon_]:[HomeWon_]], Table2[[GameIsOver]:[GameIsOver]],1,Table2[[AwayTeam]:[AwayTeam]],$T12, Table2[[HomeTeam]:[HomeTeam]], AM$11, Table2[[ActualResult]:[ActualResult]], "OT") + SUMIFS(Table2[[AwayWon]:[AwayWon]], Table2[[GameIsOver]:[GameIsOver]],1,Table2[[HomeTeam]:[HomeTeam]],$T12, Table2[[AwayTeam]:[AwayTeam]], AM$11, Table2[[ActualResult]:[ActualResult]], "OT") + SUMIFS(Table2[[HomeWon_]:[HomeWon_]], Table2[[GameIsOver]:[GameIsOver]],1,Table2[[AwayTeam]:[AwayTeam]],$T12, Table2[[HomeTeam]:[HomeTeam]], AM$11, Table2[[ActualResult]:[ActualResult]], "SO") + SUMIFS(Table2[[AwayWon]:[AwayWon]], Table2[[GameIsOver]:[GameIsOver]],1,Table2[[HomeTeam]:[HomeTeam]],$T12, Table2[[AwayTeam]:[AwayTeam]], AM$11, Table2[[ActualResult]:[ActualResult]], "SO")))</f>
        <v>0</v>
      </c>
      <c r="AN12">
        <f>(2*(SUMIFS(Table2[[AwayWon]:[AwayWon]], Table2[[GameIsOver]:[GameIsOver]],1,Table2[[AwayTeam]:[AwayTeam]],$T12, Table2[[HomeTeam]:[HomeTeam]], AN$11) + SUMIFS(Table2[[HomeWon_]:[HomeWon_]], Table2[[GameIsOver]:[GameIsOver]],1,Table2[[HomeTeam]:[HomeTeam]],$T12, Table2[[AwayTeam]:[AwayTeam]], AN$11))) + (0*(SUMIFS(Table2[[HomeWon_]:[HomeWon_]], Table2[[GameIsOver]:[GameIsOver]],1,Table2[[AwayTeam]:[AwayTeam]],$T12, Table2[[HomeTeam]:[HomeTeam]], AN$11, Table2[[ActualResult]:[ActualResult]], "REG") + SUMIFS(Table2[[AwayWon]:[AwayWon]], Table2[[GameIsOver]:[GameIsOver]],1,Table2[[HomeTeam]:[HomeTeam]],$T12, Table2[[AwayTeam]:[AwayTeam]], AN$11, Table2[[ActualResult]:[ActualResult]], "REG"))) + (1*(SUMIFS(Table2[[HomeWon_]:[HomeWon_]], Table2[[GameIsOver]:[GameIsOver]],1,Table2[[AwayTeam]:[AwayTeam]],$T12, Table2[[HomeTeam]:[HomeTeam]], AN$11, Table2[[ActualResult]:[ActualResult]], "OT") + SUMIFS(Table2[[AwayWon]:[AwayWon]], Table2[[GameIsOver]:[GameIsOver]],1,Table2[[HomeTeam]:[HomeTeam]],$T12, Table2[[AwayTeam]:[AwayTeam]], AN$11, Table2[[ActualResult]:[ActualResult]], "OT") + SUMIFS(Table2[[HomeWon_]:[HomeWon_]], Table2[[GameIsOver]:[GameIsOver]],1,Table2[[AwayTeam]:[AwayTeam]],$T12, Table2[[HomeTeam]:[HomeTeam]], AN$11, Table2[[ActualResult]:[ActualResult]], "SO") + SUMIFS(Table2[[AwayWon]:[AwayWon]], Table2[[GameIsOver]:[GameIsOver]],1,Table2[[HomeTeam]:[HomeTeam]],$T12, Table2[[AwayTeam]:[AwayTeam]], AN$11, Table2[[ActualResult]:[ActualResult]], "SO")))</f>
        <v>0</v>
      </c>
      <c r="AO12">
        <f>(2*(SUMIFS(Table2[[AwayWon]:[AwayWon]], Table2[[GameIsOver]:[GameIsOver]],1,Table2[[AwayTeam]:[AwayTeam]],$T12, Table2[[HomeTeam]:[HomeTeam]], AO$11) + SUMIFS(Table2[[HomeWon_]:[HomeWon_]], Table2[[GameIsOver]:[GameIsOver]],1,Table2[[HomeTeam]:[HomeTeam]],$T12, Table2[[AwayTeam]:[AwayTeam]], AO$11))) + (0*(SUMIFS(Table2[[HomeWon_]:[HomeWon_]], Table2[[GameIsOver]:[GameIsOver]],1,Table2[[AwayTeam]:[AwayTeam]],$T12, Table2[[HomeTeam]:[HomeTeam]], AO$11, Table2[[ActualResult]:[ActualResult]], "REG") + SUMIFS(Table2[[AwayWon]:[AwayWon]], Table2[[GameIsOver]:[GameIsOver]],1,Table2[[HomeTeam]:[HomeTeam]],$T12, Table2[[AwayTeam]:[AwayTeam]], AO$11, Table2[[ActualResult]:[ActualResult]], "REG"))) + (1*(SUMIFS(Table2[[HomeWon_]:[HomeWon_]], Table2[[GameIsOver]:[GameIsOver]],1,Table2[[AwayTeam]:[AwayTeam]],$T12, Table2[[HomeTeam]:[HomeTeam]], AO$11, Table2[[ActualResult]:[ActualResult]], "OT") + SUMIFS(Table2[[AwayWon]:[AwayWon]], Table2[[GameIsOver]:[GameIsOver]],1,Table2[[HomeTeam]:[HomeTeam]],$T12, Table2[[AwayTeam]:[AwayTeam]], AO$11, Table2[[ActualResult]:[ActualResult]], "OT") + SUMIFS(Table2[[HomeWon_]:[HomeWon_]], Table2[[GameIsOver]:[GameIsOver]],1,Table2[[AwayTeam]:[AwayTeam]],$T12, Table2[[HomeTeam]:[HomeTeam]], AO$11, Table2[[ActualResult]:[ActualResult]], "SO") + SUMIFS(Table2[[AwayWon]:[AwayWon]], Table2[[GameIsOver]:[GameIsOver]],1,Table2[[HomeTeam]:[HomeTeam]],$T12, Table2[[AwayTeam]:[AwayTeam]], AO$11, Table2[[ActualResult]:[ActualResult]], "SO")))</f>
        <v>2</v>
      </c>
      <c r="AP12">
        <f>(2*(SUMIFS(Table2[[AwayWon]:[AwayWon]], Table2[[GameIsOver]:[GameIsOver]],1,Table2[[AwayTeam]:[AwayTeam]],$T12, Table2[[HomeTeam]:[HomeTeam]], AP$11) + SUMIFS(Table2[[HomeWon_]:[HomeWon_]], Table2[[GameIsOver]:[GameIsOver]],1,Table2[[HomeTeam]:[HomeTeam]],$T12, Table2[[AwayTeam]:[AwayTeam]], AP$11))) + (0*(SUMIFS(Table2[[HomeWon_]:[HomeWon_]], Table2[[GameIsOver]:[GameIsOver]],1,Table2[[AwayTeam]:[AwayTeam]],$T12, Table2[[HomeTeam]:[HomeTeam]], AP$11, Table2[[ActualResult]:[ActualResult]], "REG") + SUMIFS(Table2[[AwayWon]:[AwayWon]], Table2[[GameIsOver]:[GameIsOver]],1,Table2[[HomeTeam]:[HomeTeam]],$T12, Table2[[AwayTeam]:[AwayTeam]], AP$11, Table2[[ActualResult]:[ActualResult]], "REG"))) + (1*(SUMIFS(Table2[[HomeWon_]:[HomeWon_]], Table2[[GameIsOver]:[GameIsOver]],1,Table2[[AwayTeam]:[AwayTeam]],$T12, Table2[[HomeTeam]:[HomeTeam]], AP$11, Table2[[ActualResult]:[ActualResult]], "OT") + SUMIFS(Table2[[AwayWon]:[AwayWon]], Table2[[GameIsOver]:[GameIsOver]],1,Table2[[HomeTeam]:[HomeTeam]],$T12, Table2[[AwayTeam]:[AwayTeam]], AP$11, Table2[[ActualResult]:[ActualResult]], "OT") + SUMIFS(Table2[[HomeWon_]:[HomeWon_]], Table2[[GameIsOver]:[GameIsOver]],1,Table2[[AwayTeam]:[AwayTeam]],$T12, Table2[[HomeTeam]:[HomeTeam]], AP$11, Table2[[ActualResult]:[ActualResult]], "SO") + SUMIFS(Table2[[AwayWon]:[AwayWon]], Table2[[GameIsOver]:[GameIsOver]],1,Table2[[HomeTeam]:[HomeTeam]],$T12, Table2[[AwayTeam]:[AwayTeam]], AP$11, Table2[[ActualResult]:[ActualResult]], "SO")))</f>
        <v>0</v>
      </c>
      <c r="AQ12">
        <f>(2*(SUMIFS(Table2[[AwayWon]:[AwayWon]], Table2[[GameIsOver]:[GameIsOver]],1,Table2[[AwayTeam]:[AwayTeam]],$T12, Table2[[HomeTeam]:[HomeTeam]], AQ$11) + SUMIFS(Table2[[HomeWon_]:[HomeWon_]], Table2[[GameIsOver]:[GameIsOver]],1,Table2[[HomeTeam]:[HomeTeam]],$T12, Table2[[AwayTeam]:[AwayTeam]], AQ$11))) + (0*(SUMIFS(Table2[[HomeWon_]:[HomeWon_]], Table2[[GameIsOver]:[GameIsOver]],1,Table2[[AwayTeam]:[AwayTeam]],$T12, Table2[[HomeTeam]:[HomeTeam]], AQ$11, Table2[[ActualResult]:[ActualResult]], "REG") + SUMIFS(Table2[[AwayWon]:[AwayWon]], Table2[[GameIsOver]:[GameIsOver]],1,Table2[[HomeTeam]:[HomeTeam]],$T12, Table2[[AwayTeam]:[AwayTeam]], AQ$11, Table2[[ActualResult]:[ActualResult]], "REG"))) + (1*(SUMIFS(Table2[[HomeWon_]:[HomeWon_]], Table2[[GameIsOver]:[GameIsOver]],1,Table2[[AwayTeam]:[AwayTeam]],$T12, Table2[[HomeTeam]:[HomeTeam]], AQ$11, Table2[[ActualResult]:[ActualResult]], "OT") + SUMIFS(Table2[[AwayWon]:[AwayWon]], Table2[[GameIsOver]:[GameIsOver]],1,Table2[[HomeTeam]:[HomeTeam]],$T12, Table2[[AwayTeam]:[AwayTeam]], AQ$11, Table2[[ActualResult]:[ActualResult]], "OT") + SUMIFS(Table2[[HomeWon_]:[HomeWon_]], Table2[[GameIsOver]:[GameIsOver]],1,Table2[[AwayTeam]:[AwayTeam]],$T12, Table2[[HomeTeam]:[HomeTeam]], AQ$11, Table2[[ActualResult]:[ActualResult]], "SO") + SUMIFS(Table2[[AwayWon]:[AwayWon]], Table2[[GameIsOver]:[GameIsOver]],1,Table2[[HomeTeam]:[HomeTeam]],$T12, Table2[[AwayTeam]:[AwayTeam]], AQ$11, Table2[[ActualResult]:[ActualResult]], "SO")))</f>
        <v>2</v>
      </c>
      <c r="AR12">
        <f>(2*(SUMIFS(Table2[[AwayWon]:[AwayWon]], Table2[[GameIsOver]:[GameIsOver]],1,Table2[[AwayTeam]:[AwayTeam]],$T12, Table2[[HomeTeam]:[HomeTeam]], AR$11) + SUMIFS(Table2[[HomeWon_]:[HomeWon_]], Table2[[GameIsOver]:[GameIsOver]],1,Table2[[HomeTeam]:[HomeTeam]],$T12, Table2[[AwayTeam]:[AwayTeam]], AR$11))) + (0*(SUMIFS(Table2[[HomeWon_]:[HomeWon_]], Table2[[GameIsOver]:[GameIsOver]],1,Table2[[AwayTeam]:[AwayTeam]],$T12, Table2[[HomeTeam]:[HomeTeam]], AR$11, Table2[[ActualResult]:[ActualResult]], "REG") + SUMIFS(Table2[[AwayWon]:[AwayWon]], Table2[[GameIsOver]:[GameIsOver]],1,Table2[[HomeTeam]:[HomeTeam]],$T12, Table2[[AwayTeam]:[AwayTeam]], AR$11, Table2[[ActualResult]:[ActualResult]], "REG"))) + (1*(SUMIFS(Table2[[HomeWon_]:[HomeWon_]], Table2[[GameIsOver]:[GameIsOver]],1,Table2[[AwayTeam]:[AwayTeam]],$T12, Table2[[HomeTeam]:[HomeTeam]], AR$11, Table2[[ActualResult]:[ActualResult]], "OT") + SUMIFS(Table2[[AwayWon]:[AwayWon]], Table2[[GameIsOver]:[GameIsOver]],1,Table2[[HomeTeam]:[HomeTeam]],$T12, Table2[[AwayTeam]:[AwayTeam]], AR$11, Table2[[ActualResult]:[ActualResult]], "OT") + SUMIFS(Table2[[HomeWon_]:[HomeWon_]], Table2[[GameIsOver]:[GameIsOver]],1,Table2[[AwayTeam]:[AwayTeam]],$T12, Table2[[HomeTeam]:[HomeTeam]], AR$11, Table2[[ActualResult]:[ActualResult]], "SO") + SUMIFS(Table2[[AwayWon]:[AwayWon]], Table2[[GameIsOver]:[GameIsOver]],1,Table2[[HomeTeam]:[HomeTeam]],$T12, Table2[[AwayTeam]:[AwayTeam]], AR$11, Table2[[ActualResult]:[ActualResult]], "SO")))</f>
        <v>0</v>
      </c>
      <c r="AS12">
        <f>(2*(SUMIFS(Table2[[AwayWon]:[AwayWon]], Table2[[GameIsOver]:[GameIsOver]],1,Table2[[AwayTeam]:[AwayTeam]],$T12, Table2[[HomeTeam]:[HomeTeam]], AS$11) + SUMIFS(Table2[[HomeWon_]:[HomeWon_]], Table2[[GameIsOver]:[GameIsOver]],1,Table2[[HomeTeam]:[HomeTeam]],$T12, Table2[[AwayTeam]:[AwayTeam]], AS$11))) + (0*(SUMIFS(Table2[[HomeWon_]:[HomeWon_]], Table2[[GameIsOver]:[GameIsOver]],1,Table2[[AwayTeam]:[AwayTeam]],$T12, Table2[[HomeTeam]:[HomeTeam]], AS$11, Table2[[ActualResult]:[ActualResult]], "REG") + SUMIFS(Table2[[AwayWon]:[AwayWon]], Table2[[GameIsOver]:[GameIsOver]],1,Table2[[HomeTeam]:[HomeTeam]],$T12, Table2[[AwayTeam]:[AwayTeam]], AS$11, Table2[[ActualResult]:[ActualResult]], "REG"))) + (1*(SUMIFS(Table2[[HomeWon_]:[HomeWon_]], Table2[[GameIsOver]:[GameIsOver]],1,Table2[[AwayTeam]:[AwayTeam]],$T12, Table2[[HomeTeam]:[HomeTeam]], AS$11, Table2[[ActualResult]:[ActualResult]], "OT") + SUMIFS(Table2[[AwayWon]:[AwayWon]], Table2[[GameIsOver]:[GameIsOver]],1,Table2[[HomeTeam]:[HomeTeam]],$T12, Table2[[AwayTeam]:[AwayTeam]], AS$11, Table2[[ActualResult]:[ActualResult]], "OT") + SUMIFS(Table2[[HomeWon_]:[HomeWon_]], Table2[[GameIsOver]:[GameIsOver]],1,Table2[[AwayTeam]:[AwayTeam]],$T12, Table2[[HomeTeam]:[HomeTeam]], AS$11, Table2[[ActualResult]:[ActualResult]], "SO") + SUMIFS(Table2[[AwayWon]:[AwayWon]], Table2[[GameIsOver]:[GameIsOver]],1,Table2[[HomeTeam]:[HomeTeam]],$T12, Table2[[AwayTeam]:[AwayTeam]], AS$11, Table2[[ActualResult]:[ActualResult]], "SO")))</f>
        <v>0</v>
      </c>
      <c r="AT12">
        <f>(2*(SUMIFS(Table2[[AwayWon]:[AwayWon]], Table2[[GameIsOver]:[GameIsOver]],1,Table2[[AwayTeam]:[AwayTeam]],$T12, Table2[[HomeTeam]:[HomeTeam]], AT$11) + SUMIFS(Table2[[HomeWon_]:[HomeWon_]], Table2[[GameIsOver]:[GameIsOver]],1,Table2[[HomeTeam]:[HomeTeam]],$T12, Table2[[AwayTeam]:[AwayTeam]], AT$11))) + (0*(SUMIFS(Table2[[HomeWon_]:[HomeWon_]], Table2[[GameIsOver]:[GameIsOver]],1,Table2[[AwayTeam]:[AwayTeam]],$T12, Table2[[HomeTeam]:[HomeTeam]], AT$11, Table2[[ActualResult]:[ActualResult]], "REG") + SUMIFS(Table2[[AwayWon]:[AwayWon]], Table2[[GameIsOver]:[GameIsOver]],1,Table2[[HomeTeam]:[HomeTeam]],$T12, Table2[[AwayTeam]:[AwayTeam]], AT$11, Table2[[ActualResult]:[ActualResult]], "REG"))) + (1*(SUMIFS(Table2[[HomeWon_]:[HomeWon_]], Table2[[GameIsOver]:[GameIsOver]],1,Table2[[AwayTeam]:[AwayTeam]],$T12, Table2[[HomeTeam]:[HomeTeam]], AT$11, Table2[[ActualResult]:[ActualResult]], "OT") + SUMIFS(Table2[[AwayWon]:[AwayWon]], Table2[[GameIsOver]:[GameIsOver]],1,Table2[[HomeTeam]:[HomeTeam]],$T12, Table2[[AwayTeam]:[AwayTeam]], AT$11, Table2[[ActualResult]:[ActualResult]], "OT") + SUMIFS(Table2[[HomeWon_]:[HomeWon_]], Table2[[GameIsOver]:[GameIsOver]],1,Table2[[AwayTeam]:[AwayTeam]],$T12, Table2[[HomeTeam]:[HomeTeam]], AT$11, Table2[[ActualResult]:[ActualResult]], "SO") + SUMIFS(Table2[[AwayWon]:[AwayWon]], Table2[[GameIsOver]:[GameIsOver]],1,Table2[[HomeTeam]:[HomeTeam]],$T12, Table2[[AwayTeam]:[AwayTeam]], AT$11, Table2[[ActualResult]:[ActualResult]], "SO")))</f>
        <v>0</v>
      </c>
      <c r="AU12">
        <f>(2*(SUMIFS(Table2[[AwayWon]:[AwayWon]], Table2[[GameIsOver]:[GameIsOver]],1,Table2[[AwayTeam]:[AwayTeam]],$T12, Table2[[HomeTeam]:[HomeTeam]], AU$11) + SUMIFS(Table2[[HomeWon_]:[HomeWon_]], Table2[[GameIsOver]:[GameIsOver]],1,Table2[[HomeTeam]:[HomeTeam]],$T12, Table2[[AwayTeam]:[AwayTeam]], AU$11))) + (0*(SUMIFS(Table2[[HomeWon_]:[HomeWon_]], Table2[[GameIsOver]:[GameIsOver]],1,Table2[[AwayTeam]:[AwayTeam]],$T12, Table2[[HomeTeam]:[HomeTeam]], AU$11, Table2[[ActualResult]:[ActualResult]], "REG") + SUMIFS(Table2[[AwayWon]:[AwayWon]], Table2[[GameIsOver]:[GameIsOver]],1,Table2[[HomeTeam]:[HomeTeam]],$T12, Table2[[AwayTeam]:[AwayTeam]], AU$11, Table2[[ActualResult]:[ActualResult]], "REG"))) + (1*(SUMIFS(Table2[[HomeWon_]:[HomeWon_]], Table2[[GameIsOver]:[GameIsOver]],1,Table2[[AwayTeam]:[AwayTeam]],$T12, Table2[[HomeTeam]:[HomeTeam]], AU$11, Table2[[ActualResult]:[ActualResult]], "OT") + SUMIFS(Table2[[AwayWon]:[AwayWon]], Table2[[GameIsOver]:[GameIsOver]],1,Table2[[HomeTeam]:[HomeTeam]],$T12, Table2[[AwayTeam]:[AwayTeam]], AU$11, Table2[[ActualResult]:[ActualResult]], "OT") + SUMIFS(Table2[[HomeWon_]:[HomeWon_]], Table2[[GameIsOver]:[GameIsOver]],1,Table2[[AwayTeam]:[AwayTeam]],$T12, Table2[[HomeTeam]:[HomeTeam]], AU$11, Table2[[ActualResult]:[ActualResult]], "SO") + SUMIFS(Table2[[AwayWon]:[AwayWon]], Table2[[GameIsOver]:[GameIsOver]],1,Table2[[HomeTeam]:[HomeTeam]],$T12, Table2[[AwayTeam]:[AwayTeam]], AU$11, Table2[[ActualResult]:[ActualResult]], "SO")))</f>
        <v>0</v>
      </c>
      <c r="AV12">
        <f>(2*(SUMIFS(Table2[[AwayWon]:[AwayWon]], Table2[[GameIsOver]:[GameIsOver]],1,Table2[[AwayTeam]:[AwayTeam]],$T12, Table2[[HomeTeam]:[HomeTeam]], AV$11) + SUMIFS(Table2[[HomeWon_]:[HomeWon_]], Table2[[GameIsOver]:[GameIsOver]],1,Table2[[HomeTeam]:[HomeTeam]],$T12, Table2[[AwayTeam]:[AwayTeam]], AV$11))) + (0*(SUMIFS(Table2[[HomeWon_]:[HomeWon_]], Table2[[GameIsOver]:[GameIsOver]],1,Table2[[AwayTeam]:[AwayTeam]],$T12, Table2[[HomeTeam]:[HomeTeam]], AV$11, Table2[[ActualResult]:[ActualResult]], "REG") + SUMIFS(Table2[[AwayWon]:[AwayWon]], Table2[[GameIsOver]:[GameIsOver]],1,Table2[[HomeTeam]:[HomeTeam]],$T12, Table2[[AwayTeam]:[AwayTeam]], AV$11, Table2[[ActualResult]:[ActualResult]], "REG"))) + (1*(SUMIFS(Table2[[HomeWon_]:[HomeWon_]], Table2[[GameIsOver]:[GameIsOver]],1,Table2[[AwayTeam]:[AwayTeam]],$T12, Table2[[HomeTeam]:[HomeTeam]], AV$11, Table2[[ActualResult]:[ActualResult]], "OT") + SUMIFS(Table2[[AwayWon]:[AwayWon]], Table2[[GameIsOver]:[GameIsOver]],1,Table2[[HomeTeam]:[HomeTeam]],$T12, Table2[[AwayTeam]:[AwayTeam]], AV$11, Table2[[ActualResult]:[ActualResult]], "OT") + SUMIFS(Table2[[HomeWon_]:[HomeWon_]], Table2[[GameIsOver]:[GameIsOver]],1,Table2[[AwayTeam]:[AwayTeam]],$T12, Table2[[HomeTeam]:[HomeTeam]], AV$11, Table2[[ActualResult]:[ActualResult]], "SO") + SUMIFS(Table2[[AwayWon]:[AwayWon]], Table2[[GameIsOver]:[GameIsOver]],1,Table2[[HomeTeam]:[HomeTeam]],$T12, Table2[[AwayTeam]:[AwayTeam]], AV$11, Table2[[ActualResult]:[ActualResult]], "SO")))</f>
        <v>0</v>
      </c>
      <c r="AW12">
        <f>(2*(SUMIFS(Table2[[AwayWon]:[AwayWon]], Table2[[GameIsOver]:[GameIsOver]],1,Table2[[AwayTeam]:[AwayTeam]],$T12, Table2[[HomeTeam]:[HomeTeam]], AW$11) + SUMIFS(Table2[[HomeWon_]:[HomeWon_]], Table2[[GameIsOver]:[GameIsOver]],1,Table2[[HomeTeam]:[HomeTeam]],$T12, Table2[[AwayTeam]:[AwayTeam]], AW$11))) + (0*(SUMIFS(Table2[[HomeWon_]:[HomeWon_]], Table2[[GameIsOver]:[GameIsOver]],1,Table2[[AwayTeam]:[AwayTeam]],$T12, Table2[[HomeTeam]:[HomeTeam]], AW$11, Table2[[ActualResult]:[ActualResult]], "REG") + SUMIFS(Table2[[AwayWon]:[AwayWon]], Table2[[GameIsOver]:[GameIsOver]],1,Table2[[HomeTeam]:[HomeTeam]],$T12, Table2[[AwayTeam]:[AwayTeam]], AW$11, Table2[[ActualResult]:[ActualResult]], "REG"))) + (1*(SUMIFS(Table2[[HomeWon_]:[HomeWon_]], Table2[[GameIsOver]:[GameIsOver]],1,Table2[[AwayTeam]:[AwayTeam]],$T12, Table2[[HomeTeam]:[HomeTeam]], AW$11, Table2[[ActualResult]:[ActualResult]], "OT") + SUMIFS(Table2[[AwayWon]:[AwayWon]], Table2[[GameIsOver]:[GameIsOver]],1,Table2[[HomeTeam]:[HomeTeam]],$T12, Table2[[AwayTeam]:[AwayTeam]], AW$11, Table2[[ActualResult]:[ActualResult]], "OT") + SUMIFS(Table2[[HomeWon_]:[HomeWon_]], Table2[[GameIsOver]:[GameIsOver]],1,Table2[[AwayTeam]:[AwayTeam]],$T12, Table2[[HomeTeam]:[HomeTeam]], AW$11, Table2[[ActualResult]:[ActualResult]], "SO") + SUMIFS(Table2[[AwayWon]:[AwayWon]], Table2[[GameIsOver]:[GameIsOver]],1,Table2[[HomeTeam]:[HomeTeam]],$T12, Table2[[AwayTeam]:[AwayTeam]], AW$11, Table2[[ActualResult]:[ActualResult]], "SO")))</f>
        <v>0</v>
      </c>
      <c r="AX12">
        <f>(2*(SUMIFS(Table2[[AwayWon]:[AwayWon]], Table2[[GameIsOver]:[GameIsOver]],1,Table2[[AwayTeam]:[AwayTeam]],$T12, Table2[[HomeTeam]:[HomeTeam]], AX$11) + SUMIFS(Table2[[HomeWon_]:[HomeWon_]], Table2[[GameIsOver]:[GameIsOver]],1,Table2[[HomeTeam]:[HomeTeam]],$T12, Table2[[AwayTeam]:[AwayTeam]], AX$11))) + (0*(SUMIFS(Table2[[HomeWon_]:[HomeWon_]], Table2[[GameIsOver]:[GameIsOver]],1,Table2[[AwayTeam]:[AwayTeam]],$T12, Table2[[HomeTeam]:[HomeTeam]], AX$11, Table2[[ActualResult]:[ActualResult]], "REG") + SUMIFS(Table2[[AwayWon]:[AwayWon]], Table2[[GameIsOver]:[GameIsOver]],1,Table2[[HomeTeam]:[HomeTeam]],$T12, Table2[[AwayTeam]:[AwayTeam]], AX$11, Table2[[ActualResult]:[ActualResult]], "REG"))) + (1*(SUMIFS(Table2[[HomeWon_]:[HomeWon_]], Table2[[GameIsOver]:[GameIsOver]],1,Table2[[AwayTeam]:[AwayTeam]],$T12, Table2[[HomeTeam]:[HomeTeam]], AX$11, Table2[[ActualResult]:[ActualResult]], "OT") + SUMIFS(Table2[[AwayWon]:[AwayWon]], Table2[[GameIsOver]:[GameIsOver]],1,Table2[[HomeTeam]:[HomeTeam]],$T12, Table2[[AwayTeam]:[AwayTeam]], AX$11, Table2[[ActualResult]:[ActualResult]], "OT") + SUMIFS(Table2[[HomeWon_]:[HomeWon_]], Table2[[GameIsOver]:[GameIsOver]],1,Table2[[AwayTeam]:[AwayTeam]],$T12, Table2[[HomeTeam]:[HomeTeam]], AX$11, Table2[[ActualResult]:[ActualResult]], "SO") + SUMIFS(Table2[[AwayWon]:[AwayWon]], Table2[[GameIsOver]:[GameIsOver]],1,Table2[[HomeTeam]:[HomeTeam]],$T12, Table2[[AwayTeam]:[AwayTeam]], AX$11, Table2[[ActualResult]:[ActualResult]], "SO")))</f>
        <v>0</v>
      </c>
      <c r="AY12">
        <f>(2*(SUMIFS(Table2[[AwayWon]:[AwayWon]], Table2[[GameIsOver]:[GameIsOver]],1,Table2[[AwayTeam]:[AwayTeam]],$T12, Table2[[HomeTeam]:[HomeTeam]], AY$11) + SUMIFS(Table2[[HomeWon_]:[HomeWon_]], Table2[[GameIsOver]:[GameIsOver]],1,Table2[[HomeTeam]:[HomeTeam]],$T12, Table2[[AwayTeam]:[AwayTeam]], AY$11))) + (0*(SUMIFS(Table2[[HomeWon_]:[HomeWon_]], Table2[[GameIsOver]:[GameIsOver]],1,Table2[[AwayTeam]:[AwayTeam]],$T12, Table2[[HomeTeam]:[HomeTeam]], AY$11, Table2[[ActualResult]:[ActualResult]], "REG") + SUMIFS(Table2[[AwayWon]:[AwayWon]], Table2[[GameIsOver]:[GameIsOver]],1,Table2[[HomeTeam]:[HomeTeam]],$T12, Table2[[AwayTeam]:[AwayTeam]], AY$11, Table2[[ActualResult]:[ActualResult]], "REG"))) + (1*(SUMIFS(Table2[[HomeWon_]:[HomeWon_]], Table2[[GameIsOver]:[GameIsOver]],1,Table2[[AwayTeam]:[AwayTeam]],$T12, Table2[[HomeTeam]:[HomeTeam]], AY$11, Table2[[ActualResult]:[ActualResult]], "OT") + SUMIFS(Table2[[AwayWon]:[AwayWon]], Table2[[GameIsOver]:[GameIsOver]],1,Table2[[HomeTeam]:[HomeTeam]],$T12, Table2[[AwayTeam]:[AwayTeam]], AY$11, Table2[[ActualResult]:[ActualResult]], "OT") + SUMIFS(Table2[[HomeWon_]:[HomeWon_]], Table2[[GameIsOver]:[GameIsOver]],1,Table2[[AwayTeam]:[AwayTeam]],$T12, Table2[[HomeTeam]:[HomeTeam]], AY$11, Table2[[ActualResult]:[ActualResult]], "SO") + SUMIFS(Table2[[AwayWon]:[AwayWon]], Table2[[GameIsOver]:[GameIsOver]],1,Table2[[HomeTeam]:[HomeTeam]],$T12, Table2[[AwayTeam]:[AwayTeam]], AY$11, Table2[[ActualResult]:[ActualResult]], "SO")))</f>
        <v>0</v>
      </c>
      <c r="AZ12">
        <f>(2*(SUMIFS(Table2[[AwayWon]:[AwayWon]], Table2[[GameIsOver]:[GameIsOver]],1,Table2[[AwayTeam]:[AwayTeam]],$T12, Table2[[HomeTeam]:[HomeTeam]], AZ$11) + SUMIFS(Table2[[HomeWon_]:[HomeWon_]], Table2[[GameIsOver]:[GameIsOver]],1,Table2[[HomeTeam]:[HomeTeam]],$T12, Table2[[AwayTeam]:[AwayTeam]], AZ$11))) + (0*(SUMIFS(Table2[[HomeWon_]:[HomeWon_]], Table2[[GameIsOver]:[GameIsOver]],1,Table2[[AwayTeam]:[AwayTeam]],$T12, Table2[[HomeTeam]:[HomeTeam]], AZ$11, Table2[[ActualResult]:[ActualResult]], "REG") + SUMIFS(Table2[[AwayWon]:[AwayWon]], Table2[[GameIsOver]:[GameIsOver]],1,Table2[[HomeTeam]:[HomeTeam]],$T12, Table2[[AwayTeam]:[AwayTeam]], AZ$11, Table2[[ActualResult]:[ActualResult]], "REG"))) + (1*(SUMIFS(Table2[[HomeWon_]:[HomeWon_]], Table2[[GameIsOver]:[GameIsOver]],1,Table2[[AwayTeam]:[AwayTeam]],$T12, Table2[[HomeTeam]:[HomeTeam]], AZ$11, Table2[[ActualResult]:[ActualResult]], "OT") + SUMIFS(Table2[[AwayWon]:[AwayWon]], Table2[[GameIsOver]:[GameIsOver]],1,Table2[[HomeTeam]:[HomeTeam]],$T12, Table2[[AwayTeam]:[AwayTeam]], AZ$11, Table2[[ActualResult]:[ActualResult]], "OT") + SUMIFS(Table2[[HomeWon_]:[HomeWon_]], Table2[[GameIsOver]:[GameIsOver]],1,Table2[[AwayTeam]:[AwayTeam]],$T12, Table2[[HomeTeam]:[HomeTeam]], AZ$11, Table2[[ActualResult]:[ActualResult]], "SO") + SUMIFS(Table2[[AwayWon]:[AwayWon]], Table2[[GameIsOver]:[GameIsOver]],1,Table2[[HomeTeam]:[HomeTeam]],$T12, Table2[[AwayTeam]:[AwayTeam]], AZ$11, Table2[[ActualResult]:[ActualResult]], "SO")))</f>
        <v>0</v>
      </c>
      <c r="BA12">
        <f>(2*(SUMIFS(Table2[[AwayWon]:[AwayWon]], Table2[[GameIsOver]:[GameIsOver]],1,Table2[[AwayTeam]:[AwayTeam]],$T12, Table2[[HomeTeam]:[HomeTeam]], BA$11) + SUMIFS(Table2[[HomeWon_]:[HomeWon_]], Table2[[GameIsOver]:[GameIsOver]],1,Table2[[HomeTeam]:[HomeTeam]],$T12, Table2[[AwayTeam]:[AwayTeam]], BA$11))) + (0*(SUMIFS(Table2[[HomeWon_]:[HomeWon_]], Table2[[GameIsOver]:[GameIsOver]],1,Table2[[AwayTeam]:[AwayTeam]],$T12, Table2[[HomeTeam]:[HomeTeam]], BA$11, Table2[[ActualResult]:[ActualResult]], "REG") + SUMIFS(Table2[[AwayWon]:[AwayWon]], Table2[[GameIsOver]:[GameIsOver]],1,Table2[[HomeTeam]:[HomeTeam]],$T12, Table2[[AwayTeam]:[AwayTeam]], BA$11, Table2[[ActualResult]:[ActualResult]], "REG"))) + (1*(SUMIFS(Table2[[HomeWon_]:[HomeWon_]], Table2[[GameIsOver]:[GameIsOver]],1,Table2[[AwayTeam]:[AwayTeam]],$T12, Table2[[HomeTeam]:[HomeTeam]], BA$11, Table2[[ActualResult]:[ActualResult]], "OT") + SUMIFS(Table2[[AwayWon]:[AwayWon]], Table2[[GameIsOver]:[GameIsOver]],1,Table2[[HomeTeam]:[HomeTeam]],$T12, Table2[[AwayTeam]:[AwayTeam]], BA$11, Table2[[ActualResult]:[ActualResult]], "OT") + SUMIFS(Table2[[HomeWon_]:[HomeWon_]], Table2[[GameIsOver]:[GameIsOver]],1,Table2[[AwayTeam]:[AwayTeam]],$T12, Table2[[HomeTeam]:[HomeTeam]], BA$11, Table2[[ActualResult]:[ActualResult]], "SO") + SUMIFS(Table2[[AwayWon]:[AwayWon]], Table2[[GameIsOver]:[GameIsOver]],1,Table2[[HomeTeam]:[HomeTeam]],$T12, Table2[[AwayTeam]:[AwayTeam]], BA$11, Table2[[ActualResult]:[ActualResult]], "SO")))</f>
        <v>0</v>
      </c>
    </row>
    <row r="13" spans="1:53" x14ac:dyDescent="0.25">
      <c r="A13" s="62" t="s">
        <v>13</v>
      </c>
      <c r="B13" s="62" t="s">
        <v>91</v>
      </c>
      <c r="C13" s="62" t="s">
        <v>74</v>
      </c>
      <c r="D13" s="62">
        <f>INDEX(Table3[PTS], MATCH(Table6[[#This Row],[Teams]], Table3[Teams],0))</f>
        <v>8</v>
      </c>
      <c r="E13" s="62">
        <f>INDEX(Table3[PTS], MATCH(Table6[[#This Row],[Teams]], Table3[Teams],0))</f>
        <v>8</v>
      </c>
      <c r="S13">
        <v>3</v>
      </c>
      <c r="T13" t="str" cm="1">
        <f t="array" ref="T13">INDEX(Table6[Teams], SMALL(IF(Table6[D]="C", ROW(Table6[Teams])-ROW(Table6[#Headers])), Table710[[#This Row],[CEN]]))</f>
        <v>DAL</v>
      </c>
      <c r="U13">
        <f>INDEX(Table6[PTS], MATCH($T13, Table6[Teams], 0))</f>
        <v>6</v>
      </c>
      <c r="V13">
        <f>(2*(SUMIFS(Table2[[AwayWon]:[AwayWon]], Table2[[GameIsOver]:[GameIsOver]],1,Table2[[AwayTeam]:[AwayTeam]],$T13, Table2[[HomeTeam]:[HomeTeam]], V$11) + SUMIFS(Table2[[HomeWon_]:[HomeWon_]], Table2[[GameIsOver]:[GameIsOver]],1,Table2[[HomeTeam]:[HomeTeam]],$T13, Table2[[AwayTeam]:[AwayTeam]], V$11))) + (0*(SUMIFS(Table2[[HomeWon_]:[HomeWon_]], Table2[[GameIsOver]:[GameIsOver]],1,Table2[[AwayTeam]:[AwayTeam]],$T13, Table2[[HomeTeam]:[HomeTeam]], V$11, Table2[[ActualResult]:[ActualResult]], "REG") + SUMIFS(Table2[[AwayWon]:[AwayWon]], Table2[[GameIsOver]:[GameIsOver]],1,Table2[[HomeTeam]:[HomeTeam]],$T13, Table2[[AwayTeam]:[AwayTeam]], V$11, Table2[[ActualResult]:[ActualResult]], "REG"))) + (1*(SUMIFS(Table2[[HomeWon_]:[HomeWon_]], Table2[[GameIsOver]:[GameIsOver]],1,Table2[[AwayTeam]:[AwayTeam]],$T13, Table2[[HomeTeam]:[HomeTeam]], V$11, Table2[[ActualResult]:[ActualResult]], "OT") + SUMIFS(Table2[[AwayWon]:[AwayWon]], Table2[[GameIsOver]:[GameIsOver]],1,Table2[[HomeTeam]:[HomeTeam]],$T13, Table2[[AwayTeam]:[AwayTeam]], V$11, Table2[[ActualResult]:[ActualResult]], "OT") + SUMIFS(Table2[[HomeWon_]:[HomeWon_]], Table2[[GameIsOver]:[GameIsOver]],1,Table2[[AwayTeam]:[AwayTeam]],$T13, Table2[[HomeTeam]:[HomeTeam]], V$11, Table2[[ActualResult]:[ActualResult]], "SO") + SUMIFS(Table2[[AwayWon]:[AwayWon]], Table2[[GameIsOver]:[GameIsOver]],1,Table2[[HomeTeam]:[HomeTeam]],$T13, Table2[[AwayTeam]:[AwayTeam]], V$11, Table2[[ActualResult]:[ActualResult]], "SO")))</f>
        <v>0</v>
      </c>
      <c r="W13">
        <f>(2*(SUMIFS(Table2[[AwayWon]:[AwayWon]], Table2[[GameIsOver]:[GameIsOver]],1,Table2[[AwayTeam]:[AwayTeam]],$T13, Table2[[HomeTeam]:[HomeTeam]], W$11) + SUMIFS(Table2[[HomeWon_]:[HomeWon_]], Table2[[GameIsOver]:[GameIsOver]],1,Table2[[HomeTeam]:[HomeTeam]],$T13, Table2[[AwayTeam]:[AwayTeam]], W$11))) + (0*(SUMIFS(Table2[[HomeWon_]:[HomeWon_]], Table2[[GameIsOver]:[GameIsOver]],1,Table2[[AwayTeam]:[AwayTeam]],$T13, Table2[[HomeTeam]:[HomeTeam]], W$11, Table2[[ActualResult]:[ActualResult]], "REG") + SUMIFS(Table2[[AwayWon]:[AwayWon]], Table2[[GameIsOver]:[GameIsOver]],1,Table2[[HomeTeam]:[HomeTeam]],$T13, Table2[[AwayTeam]:[AwayTeam]], W$11, Table2[[ActualResult]:[ActualResult]], "REG"))) + (1*(SUMIFS(Table2[[HomeWon_]:[HomeWon_]], Table2[[GameIsOver]:[GameIsOver]],1,Table2[[AwayTeam]:[AwayTeam]],$T13, Table2[[HomeTeam]:[HomeTeam]], W$11, Table2[[ActualResult]:[ActualResult]], "OT") + SUMIFS(Table2[[AwayWon]:[AwayWon]], Table2[[GameIsOver]:[GameIsOver]],1,Table2[[HomeTeam]:[HomeTeam]],$T13, Table2[[AwayTeam]:[AwayTeam]], W$11, Table2[[ActualResult]:[ActualResult]], "OT") + SUMIFS(Table2[[HomeWon_]:[HomeWon_]], Table2[[GameIsOver]:[GameIsOver]],1,Table2[[AwayTeam]:[AwayTeam]],$T13, Table2[[HomeTeam]:[HomeTeam]], W$11, Table2[[ActualResult]:[ActualResult]], "SO") + SUMIFS(Table2[[AwayWon]:[AwayWon]], Table2[[GameIsOver]:[GameIsOver]],1,Table2[[HomeTeam]:[HomeTeam]],$T13, Table2[[AwayTeam]:[AwayTeam]], W$11, Table2[[ActualResult]:[ActualResult]], "SO")))</f>
        <v>0</v>
      </c>
      <c r="X13">
        <f>(2*(SUMIFS(Table2[[AwayWon]:[AwayWon]], Table2[[GameIsOver]:[GameIsOver]],1,Table2[[AwayTeam]:[AwayTeam]],$T13, Table2[[HomeTeam]:[HomeTeam]], X$11) + SUMIFS(Table2[[HomeWon_]:[HomeWon_]], Table2[[GameIsOver]:[GameIsOver]],1,Table2[[HomeTeam]:[HomeTeam]],$T13, Table2[[AwayTeam]:[AwayTeam]], X$11))) + (0*(SUMIFS(Table2[[HomeWon_]:[HomeWon_]], Table2[[GameIsOver]:[GameIsOver]],1,Table2[[AwayTeam]:[AwayTeam]],$T13, Table2[[HomeTeam]:[HomeTeam]], X$11, Table2[[ActualResult]:[ActualResult]], "REG") + SUMIFS(Table2[[AwayWon]:[AwayWon]], Table2[[GameIsOver]:[GameIsOver]],1,Table2[[HomeTeam]:[HomeTeam]],$T13, Table2[[AwayTeam]:[AwayTeam]], X$11, Table2[[ActualResult]:[ActualResult]], "REG"))) + (1*(SUMIFS(Table2[[HomeWon_]:[HomeWon_]], Table2[[GameIsOver]:[GameIsOver]],1,Table2[[AwayTeam]:[AwayTeam]],$T13, Table2[[HomeTeam]:[HomeTeam]], X$11, Table2[[ActualResult]:[ActualResult]], "OT") + SUMIFS(Table2[[AwayWon]:[AwayWon]], Table2[[GameIsOver]:[GameIsOver]],1,Table2[[HomeTeam]:[HomeTeam]],$T13, Table2[[AwayTeam]:[AwayTeam]], X$11, Table2[[ActualResult]:[ActualResult]], "OT") + SUMIFS(Table2[[HomeWon_]:[HomeWon_]], Table2[[GameIsOver]:[GameIsOver]],1,Table2[[AwayTeam]:[AwayTeam]],$T13, Table2[[HomeTeam]:[HomeTeam]], X$11, Table2[[ActualResult]:[ActualResult]], "SO") + SUMIFS(Table2[[AwayWon]:[AwayWon]], Table2[[GameIsOver]:[GameIsOver]],1,Table2[[HomeTeam]:[HomeTeam]],$T13, Table2[[AwayTeam]:[AwayTeam]], X$11, Table2[[ActualResult]:[ActualResult]], "SO")))</f>
        <v>0</v>
      </c>
      <c r="Y13">
        <f>(2*(SUMIFS(Table2[[AwayWon]:[AwayWon]], Table2[[GameIsOver]:[GameIsOver]],1,Table2[[AwayTeam]:[AwayTeam]],$T13, Table2[[HomeTeam]:[HomeTeam]], Y$11) + SUMIFS(Table2[[HomeWon_]:[HomeWon_]], Table2[[GameIsOver]:[GameIsOver]],1,Table2[[HomeTeam]:[HomeTeam]],$T13, Table2[[AwayTeam]:[AwayTeam]], Y$11))) + (0*(SUMIFS(Table2[[HomeWon_]:[HomeWon_]], Table2[[GameIsOver]:[GameIsOver]],1,Table2[[AwayTeam]:[AwayTeam]],$T13, Table2[[HomeTeam]:[HomeTeam]], Y$11, Table2[[ActualResult]:[ActualResult]], "REG") + SUMIFS(Table2[[AwayWon]:[AwayWon]], Table2[[GameIsOver]:[GameIsOver]],1,Table2[[HomeTeam]:[HomeTeam]],$T13, Table2[[AwayTeam]:[AwayTeam]], Y$11, Table2[[ActualResult]:[ActualResult]], "REG"))) + (1*(SUMIFS(Table2[[HomeWon_]:[HomeWon_]], Table2[[GameIsOver]:[GameIsOver]],1,Table2[[AwayTeam]:[AwayTeam]],$T13, Table2[[HomeTeam]:[HomeTeam]], Y$11, Table2[[ActualResult]:[ActualResult]], "OT") + SUMIFS(Table2[[AwayWon]:[AwayWon]], Table2[[GameIsOver]:[GameIsOver]],1,Table2[[HomeTeam]:[HomeTeam]],$T13, Table2[[AwayTeam]:[AwayTeam]], Y$11, Table2[[ActualResult]:[ActualResult]], "OT") + SUMIFS(Table2[[HomeWon_]:[HomeWon_]], Table2[[GameIsOver]:[GameIsOver]],1,Table2[[AwayTeam]:[AwayTeam]],$T13, Table2[[HomeTeam]:[HomeTeam]], Y$11, Table2[[ActualResult]:[ActualResult]], "SO") + SUMIFS(Table2[[AwayWon]:[AwayWon]], Table2[[GameIsOver]:[GameIsOver]],1,Table2[[HomeTeam]:[HomeTeam]],$T13, Table2[[AwayTeam]:[AwayTeam]], Y$11, Table2[[ActualResult]:[ActualResult]], "SO")))</f>
        <v>0</v>
      </c>
      <c r="Z13">
        <f>(2*(SUMIFS(Table2[[AwayWon]:[AwayWon]], Table2[[GameIsOver]:[GameIsOver]],1,Table2[[AwayTeam]:[AwayTeam]],$T13, Table2[[HomeTeam]:[HomeTeam]], Z$11) + SUMIFS(Table2[[HomeWon_]:[HomeWon_]], Table2[[GameIsOver]:[GameIsOver]],1,Table2[[HomeTeam]:[HomeTeam]],$T13, Table2[[AwayTeam]:[AwayTeam]], Z$11))) + (0*(SUMIFS(Table2[[HomeWon_]:[HomeWon_]], Table2[[GameIsOver]:[GameIsOver]],1,Table2[[AwayTeam]:[AwayTeam]],$T13, Table2[[HomeTeam]:[HomeTeam]], Z$11, Table2[[ActualResult]:[ActualResult]], "REG") + SUMIFS(Table2[[AwayWon]:[AwayWon]], Table2[[GameIsOver]:[GameIsOver]],1,Table2[[HomeTeam]:[HomeTeam]],$T13, Table2[[AwayTeam]:[AwayTeam]], Z$11, Table2[[ActualResult]:[ActualResult]], "REG"))) + (1*(SUMIFS(Table2[[HomeWon_]:[HomeWon_]], Table2[[GameIsOver]:[GameIsOver]],1,Table2[[AwayTeam]:[AwayTeam]],$T13, Table2[[HomeTeam]:[HomeTeam]], Z$11, Table2[[ActualResult]:[ActualResult]], "OT") + SUMIFS(Table2[[AwayWon]:[AwayWon]], Table2[[GameIsOver]:[GameIsOver]],1,Table2[[HomeTeam]:[HomeTeam]],$T13, Table2[[AwayTeam]:[AwayTeam]], Z$11, Table2[[ActualResult]:[ActualResult]], "OT") + SUMIFS(Table2[[HomeWon_]:[HomeWon_]], Table2[[GameIsOver]:[GameIsOver]],1,Table2[[AwayTeam]:[AwayTeam]],$T13, Table2[[HomeTeam]:[HomeTeam]], Z$11, Table2[[ActualResult]:[ActualResult]], "SO") + SUMIFS(Table2[[AwayWon]:[AwayWon]], Table2[[GameIsOver]:[GameIsOver]],1,Table2[[HomeTeam]:[HomeTeam]],$T13, Table2[[AwayTeam]:[AwayTeam]], Z$11, Table2[[ActualResult]:[ActualResult]], "SO")))</f>
        <v>0</v>
      </c>
      <c r="AA13">
        <f>(2*(SUMIFS(Table2[[AwayWon]:[AwayWon]], Table2[[GameIsOver]:[GameIsOver]],1,Table2[[AwayTeam]:[AwayTeam]],$T13, Table2[[HomeTeam]:[HomeTeam]], AA$11) + SUMIFS(Table2[[HomeWon_]:[HomeWon_]], Table2[[GameIsOver]:[GameIsOver]],1,Table2[[HomeTeam]:[HomeTeam]],$T13, Table2[[AwayTeam]:[AwayTeam]], AA$11))) + (0*(SUMIFS(Table2[[HomeWon_]:[HomeWon_]], Table2[[GameIsOver]:[GameIsOver]],1,Table2[[AwayTeam]:[AwayTeam]],$T13, Table2[[HomeTeam]:[HomeTeam]], AA$11, Table2[[ActualResult]:[ActualResult]], "REG") + SUMIFS(Table2[[AwayWon]:[AwayWon]], Table2[[GameIsOver]:[GameIsOver]],1,Table2[[HomeTeam]:[HomeTeam]],$T13, Table2[[AwayTeam]:[AwayTeam]], AA$11, Table2[[ActualResult]:[ActualResult]], "REG"))) + (1*(SUMIFS(Table2[[HomeWon_]:[HomeWon_]], Table2[[GameIsOver]:[GameIsOver]],1,Table2[[AwayTeam]:[AwayTeam]],$T13, Table2[[HomeTeam]:[HomeTeam]], AA$11, Table2[[ActualResult]:[ActualResult]], "OT") + SUMIFS(Table2[[AwayWon]:[AwayWon]], Table2[[GameIsOver]:[GameIsOver]],1,Table2[[HomeTeam]:[HomeTeam]],$T13, Table2[[AwayTeam]:[AwayTeam]], AA$11, Table2[[ActualResult]:[ActualResult]], "OT") + SUMIFS(Table2[[HomeWon_]:[HomeWon_]], Table2[[GameIsOver]:[GameIsOver]],1,Table2[[AwayTeam]:[AwayTeam]],$T13, Table2[[HomeTeam]:[HomeTeam]], AA$11, Table2[[ActualResult]:[ActualResult]], "SO") + SUMIFS(Table2[[AwayWon]:[AwayWon]], Table2[[GameIsOver]:[GameIsOver]],1,Table2[[HomeTeam]:[HomeTeam]],$T13, Table2[[AwayTeam]:[AwayTeam]], AA$11, Table2[[ActualResult]:[ActualResult]], "SO")))</f>
        <v>0</v>
      </c>
      <c r="AB13">
        <f>(2*(SUMIFS(Table2[[AwayWon]:[AwayWon]], Table2[[GameIsOver]:[GameIsOver]],1,Table2[[AwayTeam]:[AwayTeam]],$T13, Table2[[HomeTeam]:[HomeTeam]], AB$11) + SUMIFS(Table2[[HomeWon_]:[HomeWon_]], Table2[[GameIsOver]:[GameIsOver]],1,Table2[[HomeTeam]:[HomeTeam]],$T13, Table2[[AwayTeam]:[AwayTeam]], AB$11))) + (0*(SUMIFS(Table2[[HomeWon_]:[HomeWon_]], Table2[[GameIsOver]:[GameIsOver]],1,Table2[[AwayTeam]:[AwayTeam]],$T13, Table2[[HomeTeam]:[HomeTeam]], AB$11, Table2[[ActualResult]:[ActualResult]], "REG") + SUMIFS(Table2[[AwayWon]:[AwayWon]], Table2[[GameIsOver]:[GameIsOver]],1,Table2[[HomeTeam]:[HomeTeam]],$T13, Table2[[AwayTeam]:[AwayTeam]], AB$11, Table2[[ActualResult]:[ActualResult]], "REG"))) + (1*(SUMIFS(Table2[[HomeWon_]:[HomeWon_]], Table2[[GameIsOver]:[GameIsOver]],1,Table2[[AwayTeam]:[AwayTeam]],$T13, Table2[[HomeTeam]:[HomeTeam]], AB$11, Table2[[ActualResult]:[ActualResult]], "OT") + SUMIFS(Table2[[AwayWon]:[AwayWon]], Table2[[GameIsOver]:[GameIsOver]],1,Table2[[HomeTeam]:[HomeTeam]],$T13, Table2[[AwayTeam]:[AwayTeam]], AB$11, Table2[[ActualResult]:[ActualResult]], "OT") + SUMIFS(Table2[[HomeWon_]:[HomeWon_]], Table2[[GameIsOver]:[GameIsOver]],1,Table2[[AwayTeam]:[AwayTeam]],$T13, Table2[[HomeTeam]:[HomeTeam]], AB$11, Table2[[ActualResult]:[ActualResult]], "SO") + SUMIFS(Table2[[AwayWon]:[AwayWon]], Table2[[GameIsOver]:[GameIsOver]],1,Table2[[HomeTeam]:[HomeTeam]],$T13, Table2[[AwayTeam]:[AwayTeam]], AB$11, Table2[[ActualResult]:[ActualResult]], "SO")))</f>
        <v>0</v>
      </c>
      <c r="AC13">
        <f>(2*(SUMIFS(Table2[[AwayWon]:[AwayWon]], Table2[[GameIsOver]:[GameIsOver]],1,Table2[[AwayTeam]:[AwayTeam]],$T13, Table2[[HomeTeam]:[HomeTeam]], AC$11) + SUMIFS(Table2[[HomeWon_]:[HomeWon_]], Table2[[GameIsOver]:[GameIsOver]],1,Table2[[HomeTeam]:[HomeTeam]],$T13, Table2[[AwayTeam]:[AwayTeam]], AC$11))) + (0*(SUMIFS(Table2[[HomeWon_]:[HomeWon_]], Table2[[GameIsOver]:[GameIsOver]],1,Table2[[AwayTeam]:[AwayTeam]],$T13, Table2[[HomeTeam]:[HomeTeam]], AC$11, Table2[[ActualResult]:[ActualResult]], "REG") + SUMIFS(Table2[[AwayWon]:[AwayWon]], Table2[[GameIsOver]:[GameIsOver]],1,Table2[[HomeTeam]:[HomeTeam]],$T13, Table2[[AwayTeam]:[AwayTeam]], AC$11, Table2[[ActualResult]:[ActualResult]], "REG"))) + (1*(SUMIFS(Table2[[HomeWon_]:[HomeWon_]], Table2[[GameIsOver]:[GameIsOver]],1,Table2[[AwayTeam]:[AwayTeam]],$T13, Table2[[HomeTeam]:[HomeTeam]], AC$11, Table2[[ActualResult]:[ActualResult]], "OT") + SUMIFS(Table2[[AwayWon]:[AwayWon]], Table2[[GameIsOver]:[GameIsOver]],1,Table2[[HomeTeam]:[HomeTeam]],$T13, Table2[[AwayTeam]:[AwayTeam]], AC$11, Table2[[ActualResult]:[ActualResult]], "OT") + SUMIFS(Table2[[HomeWon_]:[HomeWon_]], Table2[[GameIsOver]:[GameIsOver]],1,Table2[[AwayTeam]:[AwayTeam]],$T13, Table2[[HomeTeam]:[HomeTeam]], AC$11, Table2[[ActualResult]:[ActualResult]], "SO") + SUMIFS(Table2[[AwayWon]:[AwayWon]], Table2[[GameIsOver]:[GameIsOver]],1,Table2[[HomeTeam]:[HomeTeam]],$T13, Table2[[AwayTeam]:[AwayTeam]], AC$11, Table2[[ActualResult]:[ActualResult]], "SO")))</f>
        <v>0</v>
      </c>
      <c r="AD13">
        <f>(2*(SUMIFS(Table2[[AwayWon]:[AwayWon]], Table2[[GameIsOver]:[GameIsOver]],1,Table2[[AwayTeam]:[AwayTeam]],$T13, Table2[[HomeTeam]:[HomeTeam]], AD$11) + SUMIFS(Table2[[HomeWon_]:[HomeWon_]], Table2[[GameIsOver]:[GameIsOver]],1,Table2[[HomeTeam]:[HomeTeam]],$T13, Table2[[AwayTeam]:[AwayTeam]], AD$11))) + (0*(SUMIFS(Table2[[HomeWon_]:[HomeWon_]], Table2[[GameIsOver]:[GameIsOver]],1,Table2[[AwayTeam]:[AwayTeam]],$T13, Table2[[HomeTeam]:[HomeTeam]], AD$11, Table2[[ActualResult]:[ActualResult]], "REG") + SUMIFS(Table2[[AwayWon]:[AwayWon]], Table2[[GameIsOver]:[GameIsOver]],1,Table2[[HomeTeam]:[HomeTeam]],$T13, Table2[[AwayTeam]:[AwayTeam]], AD$11, Table2[[ActualResult]:[ActualResult]], "REG"))) + (1*(SUMIFS(Table2[[HomeWon_]:[HomeWon_]], Table2[[GameIsOver]:[GameIsOver]],1,Table2[[AwayTeam]:[AwayTeam]],$T13, Table2[[HomeTeam]:[HomeTeam]], AD$11, Table2[[ActualResult]:[ActualResult]], "OT") + SUMIFS(Table2[[AwayWon]:[AwayWon]], Table2[[GameIsOver]:[GameIsOver]],1,Table2[[HomeTeam]:[HomeTeam]],$T13, Table2[[AwayTeam]:[AwayTeam]], AD$11, Table2[[ActualResult]:[ActualResult]], "OT") + SUMIFS(Table2[[HomeWon_]:[HomeWon_]], Table2[[GameIsOver]:[GameIsOver]],1,Table2[[AwayTeam]:[AwayTeam]],$T13, Table2[[HomeTeam]:[HomeTeam]], AD$11, Table2[[ActualResult]:[ActualResult]], "SO") + SUMIFS(Table2[[AwayWon]:[AwayWon]], Table2[[GameIsOver]:[GameIsOver]],1,Table2[[HomeTeam]:[HomeTeam]],$T13, Table2[[AwayTeam]:[AwayTeam]], AD$11, Table2[[ActualResult]:[ActualResult]], "SO")))</f>
        <v>0</v>
      </c>
      <c r="AE13">
        <f>(2*(SUMIFS(Table2[[AwayWon]:[AwayWon]], Table2[[GameIsOver]:[GameIsOver]],1,Table2[[AwayTeam]:[AwayTeam]],$T13, Table2[[HomeTeam]:[HomeTeam]], AE$11) + SUMIFS(Table2[[HomeWon_]:[HomeWon_]], Table2[[GameIsOver]:[GameIsOver]],1,Table2[[HomeTeam]:[HomeTeam]],$T13, Table2[[AwayTeam]:[AwayTeam]], AE$11))) + (0*(SUMIFS(Table2[[HomeWon_]:[HomeWon_]], Table2[[GameIsOver]:[GameIsOver]],1,Table2[[AwayTeam]:[AwayTeam]],$T13, Table2[[HomeTeam]:[HomeTeam]], AE$11, Table2[[ActualResult]:[ActualResult]], "REG") + SUMIFS(Table2[[AwayWon]:[AwayWon]], Table2[[GameIsOver]:[GameIsOver]],1,Table2[[HomeTeam]:[HomeTeam]],$T13, Table2[[AwayTeam]:[AwayTeam]], AE$11, Table2[[ActualResult]:[ActualResult]], "REG"))) + (1*(SUMIFS(Table2[[HomeWon_]:[HomeWon_]], Table2[[GameIsOver]:[GameIsOver]],1,Table2[[AwayTeam]:[AwayTeam]],$T13, Table2[[HomeTeam]:[HomeTeam]], AE$11, Table2[[ActualResult]:[ActualResult]], "OT") + SUMIFS(Table2[[AwayWon]:[AwayWon]], Table2[[GameIsOver]:[GameIsOver]],1,Table2[[HomeTeam]:[HomeTeam]],$T13, Table2[[AwayTeam]:[AwayTeam]], AE$11, Table2[[ActualResult]:[ActualResult]], "OT") + SUMIFS(Table2[[HomeWon_]:[HomeWon_]], Table2[[GameIsOver]:[GameIsOver]],1,Table2[[AwayTeam]:[AwayTeam]],$T13, Table2[[HomeTeam]:[HomeTeam]], AE$11, Table2[[ActualResult]:[ActualResult]], "SO") + SUMIFS(Table2[[AwayWon]:[AwayWon]], Table2[[GameIsOver]:[GameIsOver]],1,Table2[[HomeTeam]:[HomeTeam]],$T13, Table2[[AwayTeam]:[AwayTeam]], AE$11, Table2[[ActualResult]:[ActualResult]], "SO")))</f>
        <v>2</v>
      </c>
      <c r="AF13">
        <f>(2*(SUMIFS(Table2[[AwayWon]:[AwayWon]], Table2[[GameIsOver]:[GameIsOver]],1,Table2[[AwayTeam]:[AwayTeam]],$T13, Table2[[HomeTeam]:[HomeTeam]], AF$11) + SUMIFS(Table2[[HomeWon_]:[HomeWon_]], Table2[[GameIsOver]:[GameIsOver]],1,Table2[[HomeTeam]:[HomeTeam]],$T13, Table2[[AwayTeam]:[AwayTeam]], AF$11))) + (0*(SUMIFS(Table2[[HomeWon_]:[HomeWon_]], Table2[[GameIsOver]:[GameIsOver]],1,Table2[[AwayTeam]:[AwayTeam]],$T13, Table2[[HomeTeam]:[HomeTeam]], AF$11, Table2[[ActualResult]:[ActualResult]], "REG") + SUMIFS(Table2[[AwayWon]:[AwayWon]], Table2[[GameIsOver]:[GameIsOver]],1,Table2[[HomeTeam]:[HomeTeam]],$T13, Table2[[AwayTeam]:[AwayTeam]], AF$11, Table2[[ActualResult]:[ActualResult]], "REG"))) + (1*(SUMIFS(Table2[[HomeWon_]:[HomeWon_]], Table2[[GameIsOver]:[GameIsOver]],1,Table2[[AwayTeam]:[AwayTeam]],$T13, Table2[[HomeTeam]:[HomeTeam]], AF$11, Table2[[ActualResult]:[ActualResult]], "OT") + SUMIFS(Table2[[AwayWon]:[AwayWon]], Table2[[GameIsOver]:[GameIsOver]],1,Table2[[HomeTeam]:[HomeTeam]],$T13, Table2[[AwayTeam]:[AwayTeam]], AF$11, Table2[[ActualResult]:[ActualResult]], "OT") + SUMIFS(Table2[[HomeWon_]:[HomeWon_]], Table2[[GameIsOver]:[GameIsOver]],1,Table2[[AwayTeam]:[AwayTeam]],$T13, Table2[[HomeTeam]:[HomeTeam]], AF$11, Table2[[ActualResult]:[ActualResult]], "SO") + SUMIFS(Table2[[AwayWon]:[AwayWon]], Table2[[GameIsOver]:[GameIsOver]],1,Table2[[HomeTeam]:[HomeTeam]],$T13, Table2[[AwayTeam]:[AwayTeam]], AF$11, Table2[[ActualResult]:[ActualResult]], "SO")))</f>
        <v>0</v>
      </c>
      <c r="AG13">
        <f>(2*(SUMIFS(Table2[[AwayWon]:[AwayWon]], Table2[[GameIsOver]:[GameIsOver]],1,Table2[[AwayTeam]:[AwayTeam]],$T13, Table2[[HomeTeam]:[HomeTeam]], AG$11) + SUMIFS(Table2[[HomeWon_]:[HomeWon_]], Table2[[GameIsOver]:[GameIsOver]],1,Table2[[HomeTeam]:[HomeTeam]],$T13, Table2[[AwayTeam]:[AwayTeam]], AG$11))) + (0*(SUMIFS(Table2[[HomeWon_]:[HomeWon_]], Table2[[GameIsOver]:[GameIsOver]],1,Table2[[AwayTeam]:[AwayTeam]],$T13, Table2[[HomeTeam]:[HomeTeam]], AG$11, Table2[[ActualResult]:[ActualResult]], "REG") + SUMIFS(Table2[[AwayWon]:[AwayWon]], Table2[[GameIsOver]:[GameIsOver]],1,Table2[[HomeTeam]:[HomeTeam]],$T13, Table2[[AwayTeam]:[AwayTeam]], AG$11, Table2[[ActualResult]:[ActualResult]], "REG"))) + (1*(SUMIFS(Table2[[HomeWon_]:[HomeWon_]], Table2[[GameIsOver]:[GameIsOver]],1,Table2[[AwayTeam]:[AwayTeam]],$T13, Table2[[HomeTeam]:[HomeTeam]], AG$11, Table2[[ActualResult]:[ActualResult]], "OT") + SUMIFS(Table2[[AwayWon]:[AwayWon]], Table2[[GameIsOver]:[GameIsOver]],1,Table2[[HomeTeam]:[HomeTeam]],$T13, Table2[[AwayTeam]:[AwayTeam]], AG$11, Table2[[ActualResult]:[ActualResult]], "OT") + SUMIFS(Table2[[HomeWon_]:[HomeWon_]], Table2[[GameIsOver]:[GameIsOver]],1,Table2[[AwayTeam]:[AwayTeam]],$T13, Table2[[HomeTeam]:[HomeTeam]], AG$11, Table2[[ActualResult]:[ActualResult]], "SO") + SUMIFS(Table2[[AwayWon]:[AwayWon]], Table2[[GameIsOver]:[GameIsOver]],1,Table2[[HomeTeam]:[HomeTeam]],$T13, Table2[[AwayTeam]:[AwayTeam]], AG$11, Table2[[ActualResult]:[ActualResult]], "SO")))</f>
        <v>2</v>
      </c>
      <c r="AH13">
        <f>(2*(SUMIFS(Table2[[AwayWon]:[AwayWon]], Table2[[GameIsOver]:[GameIsOver]],1,Table2[[AwayTeam]:[AwayTeam]],$T13, Table2[[HomeTeam]:[HomeTeam]], AH$11) + SUMIFS(Table2[[HomeWon_]:[HomeWon_]], Table2[[GameIsOver]:[GameIsOver]],1,Table2[[HomeTeam]:[HomeTeam]],$T13, Table2[[AwayTeam]:[AwayTeam]], AH$11))) + (0*(SUMIFS(Table2[[HomeWon_]:[HomeWon_]], Table2[[GameIsOver]:[GameIsOver]],1,Table2[[AwayTeam]:[AwayTeam]],$T13, Table2[[HomeTeam]:[HomeTeam]], AH$11, Table2[[ActualResult]:[ActualResult]], "REG") + SUMIFS(Table2[[AwayWon]:[AwayWon]], Table2[[GameIsOver]:[GameIsOver]],1,Table2[[HomeTeam]:[HomeTeam]],$T13, Table2[[AwayTeam]:[AwayTeam]], AH$11, Table2[[ActualResult]:[ActualResult]], "REG"))) + (1*(SUMIFS(Table2[[HomeWon_]:[HomeWon_]], Table2[[GameIsOver]:[GameIsOver]],1,Table2[[AwayTeam]:[AwayTeam]],$T13, Table2[[HomeTeam]:[HomeTeam]], AH$11, Table2[[ActualResult]:[ActualResult]], "OT") + SUMIFS(Table2[[AwayWon]:[AwayWon]], Table2[[GameIsOver]:[GameIsOver]],1,Table2[[HomeTeam]:[HomeTeam]],$T13, Table2[[AwayTeam]:[AwayTeam]], AH$11, Table2[[ActualResult]:[ActualResult]], "OT") + SUMIFS(Table2[[HomeWon_]:[HomeWon_]], Table2[[GameIsOver]:[GameIsOver]],1,Table2[[AwayTeam]:[AwayTeam]],$T13, Table2[[HomeTeam]:[HomeTeam]], AH$11, Table2[[ActualResult]:[ActualResult]], "SO") + SUMIFS(Table2[[AwayWon]:[AwayWon]], Table2[[GameIsOver]:[GameIsOver]],1,Table2[[HomeTeam]:[HomeTeam]],$T13, Table2[[AwayTeam]:[AwayTeam]], AH$11, Table2[[ActualResult]:[ActualResult]], "SO")))</f>
        <v>0</v>
      </c>
      <c r="AI13">
        <f>(2*(SUMIFS(Table2[[AwayWon]:[AwayWon]], Table2[[GameIsOver]:[GameIsOver]],1,Table2[[AwayTeam]:[AwayTeam]],$T13, Table2[[HomeTeam]:[HomeTeam]], AI$11) + SUMIFS(Table2[[HomeWon_]:[HomeWon_]], Table2[[GameIsOver]:[GameIsOver]],1,Table2[[HomeTeam]:[HomeTeam]],$T13, Table2[[AwayTeam]:[AwayTeam]], AI$11))) + (0*(SUMIFS(Table2[[HomeWon_]:[HomeWon_]], Table2[[GameIsOver]:[GameIsOver]],1,Table2[[AwayTeam]:[AwayTeam]],$T13, Table2[[HomeTeam]:[HomeTeam]], AI$11, Table2[[ActualResult]:[ActualResult]], "REG") + SUMIFS(Table2[[AwayWon]:[AwayWon]], Table2[[GameIsOver]:[GameIsOver]],1,Table2[[HomeTeam]:[HomeTeam]],$T13, Table2[[AwayTeam]:[AwayTeam]], AI$11, Table2[[ActualResult]:[ActualResult]], "REG"))) + (1*(SUMIFS(Table2[[HomeWon_]:[HomeWon_]], Table2[[GameIsOver]:[GameIsOver]],1,Table2[[AwayTeam]:[AwayTeam]],$T13, Table2[[HomeTeam]:[HomeTeam]], AI$11, Table2[[ActualResult]:[ActualResult]], "OT") + SUMIFS(Table2[[AwayWon]:[AwayWon]], Table2[[GameIsOver]:[GameIsOver]],1,Table2[[HomeTeam]:[HomeTeam]],$T13, Table2[[AwayTeam]:[AwayTeam]], AI$11, Table2[[ActualResult]:[ActualResult]], "OT") + SUMIFS(Table2[[HomeWon_]:[HomeWon_]], Table2[[GameIsOver]:[GameIsOver]],1,Table2[[AwayTeam]:[AwayTeam]],$T13, Table2[[HomeTeam]:[HomeTeam]], AI$11, Table2[[ActualResult]:[ActualResult]], "SO") + SUMIFS(Table2[[AwayWon]:[AwayWon]], Table2[[GameIsOver]:[GameIsOver]],1,Table2[[HomeTeam]:[HomeTeam]],$T13, Table2[[AwayTeam]:[AwayTeam]], AI$11, Table2[[ActualResult]:[ActualResult]], "SO")))</f>
        <v>0</v>
      </c>
      <c r="AJ13">
        <f>(2*(SUMIFS(Table2[[AwayWon]:[AwayWon]], Table2[[GameIsOver]:[GameIsOver]],1,Table2[[AwayTeam]:[AwayTeam]],$T13, Table2[[HomeTeam]:[HomeTeam]], AJ$11) + SUMIFS(Table2[[HomeWon_]:[HomeWon_]], Table2[[GameIsOver]:[GameIsOver]],1,Table2[[HomeTeam]:[HomeTeam]],$T13, Table2[[AwayTeam]:[AwayTeam]], AJ$11))) + (0*(SUMIFS(Table2[[HomeWon_]:[HomeWon_]], Table2[[GameIsOver]:[GameIsOver]],1,Table2[[AwayTeam]:[AwayTeam]],$T13, Table2[[HomeTeam]:[HomeTeam]], AJ$11, Table2[[ActualResult]:[ActualResult]], "REG") + SUMIFS(Table2[[AwayWon]:[AwayWon]], Table2[[GameIsOver]:[GameIsOver]],1,Table2[[HomeTeam]:[HomeTeam]],$T13, Table2[[AwayTeam]:[AwayTeam]], AJ$11, Table2[[ActualResult]:[ActualResult]], "REG"))) + (1*(SUMIFS(Table2[[HomeWon_]:[HomeWon_]], Table2[[GameIsOver]:[GameIsOver]],1,Table2[[AwayTeam]:[AwayTeam]],$T13, Table2[[HomeTeam]:[HomeTeam]], AJ$11, Table2[[ActualResult]:[ActualResult]], "OT") + SUMIFS(Table2[[AwayWon]:[AwayWon]], Table2[[GameIsOver]:[GameIsOver]],1,Table2[[HomeTeam]:[HomeTeam]],$T13, Table2[[AwayTeam]:[AwayTeam]], AJ$11, Table2[[ActualResult]:[ActualResult]], "OT") + SUMIFS(Table2[[HomeWon_]:[HomeWon_]], Table2[[GameIsOver]:[GameIsOver]],1,Table2[[AwayTeam]:[AwayTeam]],$T13, Table2[[HomeTeam]:[HomeTeam]], AJ$11, Table2[[ActualResult]:[ActualResult]], "SO") + SUMIFS(Table2[[AwayWon]:[AwayWon]], Table2[[GameIsOver]:[GameIsOver]],1,Table2[[HomeTeam]:[HomeTeam]],$T13, Table2[[AwayTeam]:[AwayTeam]], AJ$11, Table2[[ActualResult]:[ActualResult]], "SO")))</f>
        <v>0</v>
      </c>
      <c r="AK13">
        <f>(2*(SUMIFS(Table2[[AwayWon]:[AwayWon]], Table2[[GameIsOver]:[GameIsOver]],1,Table2[[AwayTeam]:[AwayTeam]],$T13, Table2[[HomeTeam]:[HomeTeam]], AK$11) + SUMIFS(Table2[[HomeWon_]:[HomeWon_]], Table2[[GameIsOver]:[GameIsOver]],1,Table2[[HomeTeam]:[HomeTeam]],$T13, Table2[[AwayTeam]:[AwayTeam]], AK$11))) + (0*(SUMIFS(Table2[[HomeWon_]:[HomeWon_]], Table2[[GameIsOver]:[GameIsOver]],1,Table2[[AwayTeam]:[AwayTeam]],$T13, Table2[[HomeTeam]:[HomeTeam]], AK$11, Table2[[ActualResult]:[ActualResult]], "REG") + SUMIFS(Table2[[AwayWon]:[AwayWon]], Table2[[GameIsOver]:[GameIsOver]],1,Table2[[HomeTeam]:[HomeTeam]],$T13, Table2[[AwayTeam]:[AwayTeam]], AK$11, Table2[[ActualResult]:[ActualResult]], "REG"))) + (1*(SUMIFS(Table2[[HomeWon_]:[HomeWon_]], Table2[[GameIsOver]:[GameIsOver]],1,Table2[[AwayTeam]:[AwayTeam]],$T13, Table2[[HomeTeam]:[HomeTeam]], AK$11, Table2[[ActualResult]:[ActualResult]], "OT") + SUMIFS(Table2[[AwayWon]:[AwayWon]], Table2[[GameIsOver]:[GameIsOver]],1,Table2[[HomeTeam]:[HomeTeam]],$T13, Table2[[AwayTeam]:[AwayTeam]], AK$11, Table2[[ActualResult]:[ActualResult]], "OT") + SUMIFS(Table2[[HomeWon_]:[HomeWon_]], Table2[[GameIsOver]:[GameIsOver]],1,Table2[[AwayTeam]:[AwayTeam]],$T13, Table2[[HomeTeam]:[HomeTeam]], AK$11, Table2[[ActualResult]:[ActualResult]], "SO") + SUMIFS(Table2[[AwayWon]:[AwayWon]], Table2[[GameIsOver]:[GameIsOver]],1,Table2[[HomeTeam]:[HomeTeam]],$T13, Table2[[AwayTeam]:[AwayTeam]], AK$11, Table2[[ActualResult]:[ActualResult]], "SO")))</f>
        <v>2</v>
      </c>
      <c r="AL13">
        <f>(2*(SUMIFS(Table2[[AwayWon]:[AwayWon]], Table2[[GameIsOver]:[GameIsOver]],1,Table2[[AwayTeam]:[AwayTeam]],$T13, Table2[[HomeTeam]:[HomeTeam]], AL$11) + SUMIFS(Table2[[HomeWon_]:[HomeWon_]], Table2[[GameIsOver]:[GameIsOver]],1,Table2[[HomeTeam]:[HomeTeam]],$T13, Table2[[AwayTeam]:[AwayTeam]], AL$11))) + (0*(SUMIFS(Table2[[HomeWon_]:[HomeWon_]], Table2[[GameIsOver]:[GameIsOver]],1,Table2[[AwayTeam]:[AwayTeam]],$T13, Table2[[HomeTeam]:[HomeTeam]], AL$11, Table2[[ActualResult]:[ActualResult]], "REG") + SUMIFS(Table2[[AwayWon]:[AwayWon]], Table2[[GameIsOver]:[GameIsOver]],1,Table2[[HomeTeam]:[HomeTeam]],$T13, Table2[[AwayTeam]:[AwayTeam]], AL$11, Table2[[ActualResult]:[ActualResult]], "REG"))) + (1*(SUMIFS(Table2[[HomeWon_]:[HomeWon_]], Table2[[GameIsOver]:[GameIsOver]],1,Table2[[AwayTeam]:[AwayTeam]],$T13, Table2[[HomeTeam]:[HomeTeam]], AL$11, Table2[[ActualResult]:[ActualResult]], "OT") + SUMIFS(Table2[[AwayWon]:[AwayWon]], Table2[[GameIsOver]:[GameIsOver]],1,Table2[[HomeTeam]:[HomeTeam]],$T13, Table2[[AwayTeam]:[AwayTeam]], AL$11, Table2[[ActualResult]:[ActualResult]], "OT") + SUMIFS(Table2[[HomeWon_]:[HomeWon_]], Table2[[GameIsOver]:[GameIsOver]],1,Table2[[AwayTeam]:[AwayTeam]],$T13, Table2[[HomeTeam]:[HomeTeam]], AL$11, Table2[[ActualResult]:[ActualResult]], "SO") + SUMIFS(Table2[[AwayWon]:[AwayWon]], Table2[[GameIsOver]:[GameIsOver]],1,Table2[[HomeTeam]:[HomeTeam]],$T13, Table2[[AwayTeam]:[AwayTeam]], AL$11, Table2[[ActualResult]:[ActualResult]], "SO")))</f>
        <v>0</v>
      </c>
      <c r="AM13">
        <f>(2*(SUMIFS(Table2[[AwayWon]:[AwayWon]], Table2[[GameIsOver]:[GameIsOver]],1,Table2[[AwayTeam]:[AwayTeam]],$T13, Table2[[HomeTeam]:[HomeTeam]], AM$11) + SUMIFS(Table2[[HomeWon_]:[HomeWon_]], Table2[[GameIsOver]:[GameIsOver]],1,Table2[[HomeTeam]:[HomeTeam]],$T13, Table2[[AwayTeam]:[AwayTeam]], AM$11))) + (0*(SUMIFS(Table2[[HomeWon_]:[HomeWon_]], Table2[[GameIsOver]:[GameIsOver]],1,Table2[[AwayTeam]:[AwayTeam]],$T13, Table2[[HomeTeam]:[HomeTeam]], AM$11, Table2[[ActualResult]:[ActualResult]], "REG") + SUMIFS(Table2[[AwayWon]:[AwayWon]], Table2[[GameIsOver]:[GameIsOver]],1,Table2[[HomeTeam]:[HomeTeam]],$T13, Table2[[AwayTeam]:[AwayTeam]], AM$11, Table2[[ActualResult]:[ActualResult]], "REG"))) + (1*(SUMIFS(Table2[[HomeWon_]:[HomeWon_]], Table2[[GameIsOver]:[GameIsOver]],1,Table2[[AwayTeam]:[AwayTeam]],$T13, Table2[[HomeTeam]:[HomeTeam]], AM$11, Table2[[ActualResult]:[ActualResult]], "OT") + SUMIFS(Table2[[AwayWon]:[AwayWon]], Table2[[GameIsOver]:[GameIsOver]],1,Table2[[HomeTeam]:[HomeTeam]],$T13, Table2[[AwayTeam]:[AwayTeam]], AM$11, Table2[[ActualResult]:[ActualResult]], "OT") + SUMIFS(Table2[[HomeWon_]:[HomeWon_]], Table2[[GameIsOver]:[GameIsOver]],1,Table2[[AwayTeam]:[AwayTeam]],$T13, Table2[[HomeTeam]:[HomeTeam]], AM$11, Table2[[ActualResult]:[ActualResult]], "SO") + SUMIFS(Table2[[AwayWon]:[AwayWon]], Table2[[GameIsOver]:[GameIsOver]],1,Table2[[HomeTeam]:[HomeTeam]],$T13, Table2[[AwayTeam]:[AwayTeam]], AM$11, Table2[[ActualResult]:[ActualResult]], "SO")))</f>
        <v>0</v>
      </c>
      <c r="AN13">
        <f>(2*(SUMIFS(Table2[[AwayWon]:[AwayWon]], Table2[[GameIsOver]:[GameIsOver]],1,Table2[[AwayTeam]:[AwayTeam]],$T13, Table2[[HomeTeam]:[HomeTeam]], AN$11) + SUMIFS(Table2[[HomeWon_]:[HomeWon_]], Table2[[GameIsOver]:[GameIsOver]],1,Table2[[HomeTeam]:[HomeTeam]],$T13, Table2[[AwayTeam]:[AwayTeam]], AN$11))) + (0*(SUMIFS(Table2[[HomeWon_]:[HomeWon_]], Table2[[GameIsOver]:[GameIsOver]],1,Table2[[AwayTeam]:[AwayTeam]],$T13, Table2[[HomeTeam]:[HomeTeam]], AN$11, Table2[[ActualResult]:[ActualResult]], "REG") + SUMIFS(Table2[[AwayWon]:[AwayWon]], Table2[[GameIsOver]:[GameIsOver]],1,Table2[[HomeTeam]:[HomeTeam]],$T13, Table2[[AwayTeam]:[AwayTeam]], AN$11, Table2[[ActualResult]:[ActualResult]], "REG"))) + (1*(SUMIFS(Table2[[HomeWon_]:[HomeWon_]], Table2[[GameIsOver]:[GameIsOver]],1,Table2[[AwayTeam]:[AwayTeam]],$T13, Table2[[HomeTeam]:[HomeTeam]], AN$11, Table2[[ActualResult]:[ActualResult]], "OT") + SUMIFS(Table2[[AwayWon]:[AwayWon]], Table2[[GameIsOver]:[GameIsOver]],1,Table2[[HomeTeam]:[HomeTeam]],$T13, Table2[[AwayTeam]:[AwayTeam]], AN$11, Table2[[ActualResult]:[ActualResult]], "OT") + SUMIFS(Table2[[HomeWon_]:[HomeWon_]], Table2[[GameIsOver]:[GameIsOver]],1,Table2[[AwayTeam]:[AwayTeam]],$T13, Table2[[HomeTeam]:[HomeTeam]], AN$11, Table2[[ActualResult]:[ActualResult]], "SO") + SUMIFS(Table2[[AwayWon]:[AwayWon]], Table2[[GameIsOver]:[GameIsOver]],1,Table2[[HomeTeam]:[HomeTeam]],$T13, Table2[[AwayTeam]:[AwayTeam]], AN$11, Table2[[ActualResult]:[ActualResult]], "SO")))</f>
        <v>0</v>
      </c>
      <c r="AO13">
        <f>(2*(SUMIFS(Table2[[AwayWon]:[AwayWon]], Table2[[GameIsOver]:[GameIsOver]],1,Table2[[AwayTeam]:[AwayTeam]],$T13, Table2[[HomeTeam]:[HomeTeam]], AO$11) + SUMIFS(Table2[[HomeWon_]:[HomeWon_]], Table2[[GameIsOver]:[GameIsOver]],1,Table2[[HomeTeam]:[HomeTeam]],$T13, Table2[[AwayTeam]:[AwayTeam]], AO$11))) + (0*(SUMIFS(Table2[[HomeWon_]:[HomeWon_]], Table2[[GameIsOver]:[GameIsOver]],1,Table2[[AwayTeam]:[AwayTeam]],$T13, Table2[[HomeTeam]:[HomeTeam]], AO$11, Table2[[ActualResult]:[ActualResult]], "REG") + SUMIFS(Table2[[AwayWon]:[AwayWon]], Table2[[GameIsOver]:[GameIsOver]],1,Table2[[HomeTeam]:[HomeTeam]],$T13, Table2[[AwayTeam]:[AwayTeam]], AO$11, Table2[[ActualResult]:[ActualResult]], "REG"))) + (1*(SUMIFS(Table2[[HomeWon_]:[HomeWon_]], Table2[[GameIsOver]:[GameIsOver]],1,Table2[[AwayTeam]:[AwayTeam]],$T13, Table2[[HomeTeam]:[HomeTeam]], AO$11, Table2[[ActualResult]:[ActualResult]], "OT") + SUMIFS(Table2[[AwayWon]:[AwayWon]], Table2[[GameIsOver]:[GameIsOver]],1,Table2[[HomeTeam]:[HomeTeam]],$T13, Table2[[AwayTeam]:[AwayTeam]], AO$11, Table2[[ActualResult]:[ActualResult]], "OT") + SUMIFS(Table2[[HomeWon_]:[HomeWon_]], Table2[[GameIsOver]:[GameIsOver]],1,Table2[[AwayTeam]:[AwayTeam]],$T13, Table2[[HomeTeam]:[HomeTeam]], AO$11, Table2[[ActualResult]:[ActualResult]], "SO") + SUMIFS(Table2[[AwayWon]:[AwayWon]], Table2[[GameIsOver]:[GameIsOver]],1,Table2[[HomeTeam]:[HomeTeam]],$T13, Table2[[AwayTeam]:[AwayTeam]], AO$11, Table2[[ActualResult]:[ActualResult]], "SO")))</f>
        <v>0</v>
      </c>
      <c r="AP13">
        <f>(2*(SUMIFS(Table2[[AwayWon]:[AwayWon]], Table2[[GameIsOver]:[GameIsOver]],1,Table2[[AwayTeam]:[AwayTeam]],$T13, Table2[[HomeTeam]:[HomeTeam]], AP$11) + SUMIFS(Table2[[HomeWon_]:[HomeWon_]], Table2[[GameIsOver]:[GameIsOver]],1,Table2[[HomeTeam]:[HomeTeam]],$T13, Table2[[AwayTeam]:[AwayTeam]], AP$11))) + (0*(SUMIFS(Table2[[HomeWon_]:[HomeWon_]], Table2[[GameIsOver]:[GameIsOver]],1,Table2[[AwayTeam]:[AwayTeam]],$T13, Table2[[HomeTeam]:[HomeTeam]], AP$11, Table2[[ActualResult]:[ActualResult]], "REG") + SUMIFS(Table2[[AwayWon]:[AwayWon]], Table2[[GameIsOver]:[GameIsOver]],1,Table2[[HomeTeam]:[HomeTeam]],$T13, Table2[[AwayTeam]:[AwayTeam]], AP$11, Table2[[ActualResult]:[ActualResult]], "REG"))) + (1*(SUMIFS(Table2[[HomeWon_]:[HomeWon_]], Table2[[GameIsOver]:[GameIsOver]],1,Table2[[AwayTeam]:[AwayTeam]],$T13, Table2[[HomeTeam]:[HomeTeam]], AP$11, Table2[[ActualResult]:[ActualResult]], "OT") + SUMIFS(Table2[[AwayWon]:[AwayWon]], Table2[[GameIsOver]:[GameIsOver]],1,Table2[[HomeTeam]:[HomeTeam]],$T13, Table2[[AwayTeam]:[AwayTeam]], AP$11, Table2[[ActualResult]:[ActualResult]], "OT") + SUMIFS(Table2[[HomeWon_]:[HomeWon_]], Table2[[GameIsOver]:[GameIsOver]],1,Table2[[AwayTeam]:[AwayTeam]],$T13, Table2[[HomeTeam]:[HomeTeam]], AP$11, Table2[[ActualResult]:[ActualResult]], "SO") + SUMIFS(Table2[[AwayWon]:[AwayWon]], Table2[[GameIsOver]:[GameIsOver]],1,Table2[[HomeTeam]:[HomeTeam]],$T13, Table2[[AwayTeam]:[AwayTeam]], AP$11, Table2[[ActualResult]:[ActualResult]], "SO")))</f>
        <v>0</v>
      </c>
      <c r="AQ13">
        <f>(2*(SUMIFS(Table2[[AwayWon]:[AwayWon]], Table2[[GameIsOver]:[GameIsOver]],1,Table2[[AwayTeam]:[AwayTeam]],$T13, Table2[[HomeTeam]:[HomeTeam]], AQ$11) + SUMIFS(Table2[[HomeWon_]:[HomeWon_]], Table2[[GameIsOver]:[GameIsOver]],1,Table2[[HomeTeam]:[HomeTeam]],$T13, Table2[[AwayTeam]:[AwayTeam]], AQ$11))) + (0*(SUMIFS(Table2[[HomeWon_]:[HomeWon_]], Table2[[GameIsOver]:[GameIsOver]],1,Table2[[AwayTeam]:[AwayTeam]],$T13, Table2[[HomeTeam]:[HomeTeam]], AQ$11, Table2[[ActualResult]:[ActualResult]], "REG") + SUMIFS(Table2[[AwayWon]:[AwayWon]], Table2[[GameIsOver]:[GameIsOver]],1,Table2[[HomeTeam]:[HomeTeam]],$T13, Table2[[AwayTeam]:[AwayTeam]], AQ$11, Table2[[ActualResult]:[ActualResult]], "REG"))) + (1*(SUMIFS(Table2[[HomeWon_]:[HomeWon_]], Table2[[GameIsOver]:[GameIsOver]],1,Table2[[AwayTeam]:[AwayTeam]],$T13, Table2[[HomeTeam]:[HomeTeam]], AQ$11, Table2[[ActualResult]:[ActualResult]], "OT") + SUMIFS(Table2[[AwayWon]:[AwayWon]], Table2[[GameIsOver]:[GameIsOver]],1,Table2[[HomeTeam]:[HomeTeam]],$T13, Table2[[AwayTeam]:[AwayTeam]], AQ$11, Table2[[ActualResult]:[ActualResult]], "OT") + SUMIFS(Table2[[HomeWon_]:[HomeWon_]], Table2[[GameIsOver]:[GameIsOver]],1,Table2[[AwayTeam]:[AwayTeam]],$T13, Table2[[HomeTeam]:[HomeTeam]], AQ$11, Table2[[ActualResult]:[ActualResult]], "SO") + SUMIFS(Table2[[AwayWon]:[AwayWon]], Table2[[GameIsOver]:[GameIsOver]],1,Table2[[HomeTeam]:[HomeTeam]],$T13, Table2[[AwayTeam]:[AwayTeam]], AQ$11, Table2[[ActualResult]:[ActualResult]], "SO")))</f>
        <v>0</v>
      </c>
      <c r="AR13">
        <f>(2*(SUMIFS(Table2[[AwayWon]:[AwayWon]], Table2[[GameIsOver]:[GameIsOver]],1,Table2[[AwayTeam]:[AwayTeam]],$T13, Table2[[HomeTeam]:[HomeTeam]], AR$11) + SUMIFS(Table2[[HomeWon_]:[HomeWon_]], Table2[[GameIsOver]:[GameIsOver]],1,Table2[[HomeTeam]:[HomeTeam]],$T13, Table2[[AwayTeam]:[AwayTeam]], AR$11))) + (0*(SUMIFS(Table2[[HomeWon_]:[HomeWon_]], Table2[[GameIsOver]:[GameIsOver]],1,Table2[[AwayTeam]:[AwayTeam]],$T13, Table2[[HomeTeam]:[HomeTeam]], AR$11, Table2[[ActualResult]:[ActualResult]], "REG") + SUMIFS(Table2[[AwayWon]:[AwayWon]], Table2[[GameIsOver]:[GameIsOver]],1,Table2[[HomeTeam]:[HomeTeam]],$T13, Table2[[AwayTeam]:[AwayTeam]], AR$11, Table2[[ActualResult]:[ActualResult]], "REG"))) + (1*(SUMIFS(Table2[[HomeWon_]:[HomeWon_]], Table2[[GameIsOver]:[GameIsOver]],1,Table2[[AwayTeam]:[AwayTeam]],$T13, Table2[[HomeTeam]:[HomeTeam]], AR$11, Table2[[ActualResult]:[ActualResult]], "OT") + SUMIFS(Table2[[AwayWon]:[AwayWon]], Table2[[GameIsOver]:[GameIsOver]],1,Table2[[HomeTeam]:[HomeTeam]],$T13, Table2[[AwayTeam]:[AwayTeam]], AR$11, Table2[[ActualResult]:[ActualResult]], "OT") + SUMIFS(Table2[[HomeWon_]:[HomeWon_]], Table2[[GameIsOver]:[GameIsOver]],1,Table2[[AwayTeam]:[AwayTeam]],$T13, Table2[[HomeTeam]:[HomeTeam]], AR$11, Table2[[ActualResult]:[ActualResult]], "SO") + SUMIFS(Table2[[AwayWon]:[AwayWon]], Table2[[GameIsOver]:[GameIsOver]],1,Table2[[HomeTeam]:[HomeTeam]],$T13, Table2[[AwayTeam]:[AwayTeam]], AR$11, Table2[[ActualResult]:[ActualResult]], "SO")))</f>
        <v>0</v>
      </c>
      <c r="AS13">
        <f>(2*(SUMIFS(Table2[[AwayWon]:[AwayWon]], Table2[[GameIsOver]:[GameIsOver]],1,Table2[[AwayTeam]:[AwayTeam]],$T13, Table2[[HomeTeam]:[HomeTeam]], AS$11) + SUMIFS(Table2[[HomeWon_]:[HomeWon_]], Table2[[GameIsOver]:[GameIsOver]],1,Table2[[HomeTeam]:[HomeTeam]],$T13, Table2[[AwayTeam]:[AwayTeam]], AS$11))) + (0*(SUMIFS(Table2[[HomeWon_]:[HomeWon_]], Table2[[GameIsOver]:[GameIsOver]],1,Table2[[AwayTeam]:[AwayTeam]],$T13, Table2[[HomeTeam]:[HomeTeam]], AS$11, Table2[[ActualResult]:[ActualResult]], "REG") + SUMIFS(Table2[[AwayWon]:[AwayWon]], Table2[[GameIsOver]:[GameIsOver]],1,Table2[[HomeTeam]:[HomeTeam]],$T13, Table2[[AwayTeam]:[AwayTeam]], AS$11, Table2[[ActualResult]:[ActualResult]], "REG"))) + (1*(SUMIFS(Table2[[HomeWon_]:[HomeWon_]], Table2[[GameIsOver]:[GameIsOver]],1,Table2[[AwayTeam]:[AwayTeam]],$T13, Table2[[HomeTeam]:[HomeTeam]], AS$11, Table2[[ActualResult]:[ActualResult]], "OT") + SUMIFS(Table2[[AwayWon]:[AwayWon]], Table2[[GameIsOver]:[GameIsOver]],1,Table2[[HomeTeam]:[HomeTeam]],$T13, Table2[[AwayTeam]:[AwayTeam]], AS$11, Table2[[ActualResult]:[ActualResult]], "OT") + SUMIFS(Table2[[HomeWon_]:[HomeWon_]], Table2[[GameIsOver]:[GameIsOver]],1,Table2[[AwayTeam]:[AwayTeam]],$T13, Table2[[HomeTeam]:[HomeTeam]], AS$11, Table2[[ActualResult]:[ActualResult]], "SO") + SUMIFS(Table2[[AwayWon]:[AwayWon]], Table2[[GameIsOver]:[GameIsOver]],1,Table2[[HomeTeam]:[HomeTeam]],$T13, Table2[[AwayTeam]:[AwayTeam]], AS$11, Table2[[ActualResult]:[ActualResult]], "SO")))</f>
        <v>0</v>
      </c>
      <c r="AT13">
        <f>(2*(SUMIFS(Table2[[AwayWon]:[AwayWon]], Table2[[GameIsOver]:[GameIsOver]],1,Table2[[AwayTeam]:[AwayTeam]],$T13, Table2[[HomeTeam]:[HomeTeam]], AT$11) + SUMIFS(Table2[[HomeWon_]:[HomeWon_]], Table2[[GameIsOver]:[GameIsOver]],1,Table2[[HomeTeam]:[HomeTeam]],$T13, Table2[[AwayTeam]:[AwayTeam]], AT$11))) + (0*(SUMIFS(Table2[[HomeWon_]:[HomeWon_]], Table2[[GameIsOver]:[GameIsOver]],1,Table2[[AwayTeam]:[AwayTeam]],$T13, Table2[[HomeTeam]:[HomeTeam]], AT$11, Table2[[ActualResult]:[ActualResult]], "REG") + SUMIFS(Table2[[AwayWon]:[AwayWon]], Table2[[GameIsOver]:[GameIsOver]],1,Table2[[HomeTeam]:[HomeTeam]],$T13, Table2[[AwayTeam]:[AwayTeam]], AT$11, Table2[[ActualResult]:[ActualResult]], "REG"))) + (1*(SUMIFS(Table2[[HomeWon_]:[HomeWon_]], Table2[[GameIsOver]:[GameIsOver]],1,Table2[[AwayTeam]:[AwayTeam]],$T13, Table2[[HomeTeam]:[HomeTeam]], AT$11, Table2[[ActualResult]:[ActualResult]], "OT") + SUMIFS(Table2[[AwayWon]:[AwayWon]], Table2[[GameIsOver]:[GameIsOver]],1,Table2[[HomeTeam]:[HomeTeam]],$T13, Table2[[AwayTeam]:[AwayTeam]], AT$11, Table2[[ActualResult]:[ActualResult]], "OT") + SUMIFS(Table2[[HomeWon_]:[HomeWon_]], Table2[[GameIsOver]:[GameIsOver]],1,Table2[[AwayTeam]:[AwayTeam]],$T13, Table2[[HomeTeam]:[HomeTeam]], AT$11, Table2[[ActualResult]:[ActualResult]], "SO") + SUMIFS(Table2[[AwayWon]:[AwayWon]], Table2[[GameIsOver]:[GameIsOver]],1,Table2[[HomeTeam]:[HomeTeam]],$T13, Table2[[AwayTeam]:[AwayTeam]], AT$11, Table2[[ActualResult]:[ActualResult]], "SO")))</f>
        <v>0</v>
      </c>
      <c r="AU13">
        <f>(2*(SUMIFS(Table2[[AwayWon]:[AwayWon]], Table2[[GameIsOver]:[GameIsOver]],1,Table2[[AwayTeam]:[AwayTeam]],$T13, Table2[[HomeTeam]:[HomeTeam]], AU$11) + SUMIFS(Table2[[HomeWon_]:[HomeWon_]], Table2[[GameIsOver]:[GameIsOver]],1,Table2[[HomeTeam]:[HomeTeam]],$T13, Table2[[AwayTeam]:[AwayTeam]], AU$11))) + (0*(SUMIFS(Table2[[HomeWon_]:[HomeWon_]], Table2[[GameIsOver]:[GameIsOver]],1,Table2[[AwayTeam]:[AwayTeam]],$T13, Table2[[HomeTeam]:[HomeTeam]], AU$11, Table2[[ActualResult]:[ActualResult]], "REG") + SUMIFS(Table2[[AwayWon]:[AwayWon]], Table2[[GameIsOver]:[GameIsOver]],1,Table2[[HomeTeam]:[HomeTeam]],$T13, Table2[[AwayTeam]:[AwayTeam]], AU$11, Table2[[ActualResult]:[ActualResult]], "REG"))) + (1*(SUMIFS(Table2[[HomeWon_]:[HomeWon_]], Table2[[GameIsOver]:[GameIsOver]],1,Table2[[AwayTeam]:[AwayTeam]],$T13, Table2[[HomeTeam]:[HomeTeam]], AU$11, Table2[[ActualResult]:[ActualResult]], "OT") + SUMIFS(Table2[[AwayWon]:[AwayWon]], Table2[[GameIsOver]:[GameIsOver]],1,Table2[[HomeTeam]:[HomeTeam]],$T13, Table2[[AwayTeam]:[AwayTeam]], AU$11, Table2[[ActualResult]:[ActualResult]], "OT") + SUMIFS(Table2[[HomeWon_]:[HomeWon_]], Table2[[GameIsOver]:[GameIsOver]],1,Table2[[AwayTeam]:[AwayTeam]],$T13, Table2[[HomeTeam]:[HomeTeam]], AU$11, Table2[[ActualResult]:[ActualResult]], "SO") + SUMIFS(Table2[[AwayWon]:[AwayWon]], Table2[[GameIsOver]:[GameIsOver]],1,Table2[[HomeTeam]:[HomeTeam]],$T13, Table2[[AwayTeam]:[AwayTeam]], AU$11, Table2[[ActualResult]:[ActualResult]], "SO")))</f>
        <v>0</v>
      </c>
      <c r="AV13">
        <f>(2*(SUMIFS(Table2[[AwayWon]:[AwayWon]], Table2[[GameIsOver]:[GameIsOver]],1,Table2[[AwayTeam]:[AwayTeam]],$T13, Table2[[HomeTeam]:[HomeTeam]], AV$11) + SUMIFS(Table2[[HomeWon_]:[HomeWon_]], Table2[[GameIsOver]:[GameIsOver]],1,Table2[[HomeTeam]:[HomeTeam]],$T13, Table2[[AwayTeam]:[AwayTeam]], AV$11))) + (0*(SUMIFS(Table2[[HomeWon_]:[HomeWon_]], Table2[[GameIsOver]:[GameIsOver]],1,Table2[[AwayTeam]:[AwayTeam]],$T13, Table2[[HomeTeam]:[HomeTeam]], AV$11, Table2[[ActualResult]:[ActualResult]], "REG") + SUMIFS(Table2[[AwayWon]:[AwayWon]], Table2[[GameIsOver]:[GameIsOver]],1,Table2[[HomeTeam]:[HomeTeam]],$T13, Table2[[AwayTeam]:[AwayTeam]], AV$11, Table2[[ActualResult]:[ActualResult]], "REG"))) + (1*(SUMIFS(Table2[[HomeWon_]:[HomeWon_]], Table2[[GameIsOver]:[GameIsOver]],1,Table2[[AwayTeam]:[AwayTeam]],$T13, Table2[[HomeTeam]:[HomeTeam]], AV$11, Table2[[ActualResult]:[ActualResult]], "OT") + SUMIFS(Table2[[AwayWon]:[AwayWon]], Table2[[GameIsOver]:[GameIsOver]],1,Table2[[HomeTeam]:[HomeTeam]],$T13, Table2[[AwayTeam]:[AwayTeam]], AV$11, Table2[[ActualResult]:[ActualResult]], "OT") + SUMIFS(Table2[[HomeWon_]:[HomeWon_]], Table2[[GameIsOver]:[GameIsOver]],1,Table2[[AwayTeam]:[AwayTeam]],$T13, Table2[[HomeTeam]:[HomeTeam]], AV$11, Table2[[ActualResult]:[ActualResult]], "SO") + SUMIFS(Table2[[AwayWon]:[AwayWon]], Table2[[GameIsOver]:[GameIsOver]],1,Table2[[HomeTeam]:[HomeTeam]],$T13, Table2[[AwayTeam]:[AwayTeam]], AV$11, Table2[[ActualResult]:[ActualResult]], "SO")))</f>
        <v>0</v>
      </c>
      <c r="AW13">
        <f>(2*(SUMIFS(Table2[[AwayWon]:[AwayWon]], Table2[[GameIsOver]:[GameIsOver]],1,Table2[[AwayTeam]:[AwayTeam]],$T13, Table2[[HomeTeam]:[HomeTeam]], AW$11) + SUMIFS(Table2[[HomeWon_]:[HomeWon_]], Table2[[GameIsOver]:[GameIsOver]],1,Table2[[HomeTeam]:[HomeTeam]],$T13, Table2[[AwayTeam]:[AwayTeam]], AW$11))) + (0*(SUMIFS(Table2[[HomeWon_]:[HomeWon_]], Table2[[GameIsOver]:[GameIsOver]],1,Table2[[AwayTeam]:[AwayTeam]],$T13, Table2[[HomeTeam]:[HomeTeam]], AW$11, Table2[[ActualResult]:[ActualResult]], "REG") + SUMIFS(Table2[[AwayWon]:[AwayWon]], Table2[[GameIsOver]:[GameIsOver]],1,Table2[[HomeTeam]:[HomeTeam]],$T13, Table2[[AwayTeam]:[AwayTeam]], AW$11, Table2[[ActualResult]:[ActualResult]], "REG"))) + (1*(SUMIFS(Table2[[HomeWon_]:[HomeWon_]], Table2[[GameIsOver]:[GameIsOver]],1,Table2[[AwayTeam]:[AwayTeam]],$T13, Table2[[HomeTeam]:[HomeTeam]], AW$11, Table2[[ActualResult]:[ActualResult]], "OT") + SUMIFS(Table2[[AwayWon]:[AwayWon]], Table2[[GameIsOver]:[GameIsOver]],1,Table2[[HomeTeam]:[HomeTeam]],$T13, Table2[[AwayTeam]:[AwayTeam]], AW$11, Table2[[ActualResult]:[ActualResult]], "OT") + SUMIFS(Table2[[HomeWon_]:[HomeWon_]], Table2[[GameIsOver]:[GameIsOver]],1,Table2[[AwayTeam]:[AwayTeam]],$T13, Table2[[HomeTeam]:[HomeTeam]], AW$11, Table2[[ActualResult]:[ActualResult]], "SO") + SUMIFS(Table2[[AwayWon]:[AwayWon]], Table2[[GameIsOver]:[GameIsOver]],1,Table2[[HomeTeam]:[HomeTeam]],$T13, Table2[[AwayTeam]:[AwayTeam]], AW$11, Table2[[ActualResult]:[ActualResult]], "SO")))</f>
        <v>0</v>
      </c>
      <c r="AX13">
        <f>(2*(SUMIFS(Table2[[AwayWon]:[AwayWon]], Table2[[GameIsOver]:[GameIsOver]],1,Table2[[AwayTeam]:[AwayTeam]],$T13, Table2[[HomeTeam]:[HomeTeam]], AX$11) + SUMIFS(Table2[[HomeWon_]:[HomeWon_]], Table2[[GameIsOver]:[GameIsOver]],1,Table2[[HomeTeam]:[HomeTeam]],$T13, Table2[[AwayTeam]:[AwayTeam]], AX$11))) + (0*(SUMIFS(Table2[[HomeWon_]:[HomeWon_]], Table2[[GameIsOver]:[GameIsOver]],1,Table2[[AwayTeam]:[AwayTeam]],$T13, Table2[[HomeTeam]:[HomeTeam]], AX$11, Table2[[ActualResult]:[ActualResult]], "REG") + SUMIFS(Table2[[AwayWon]:[AwayWon]], Table2[[GameIsOver]:[GameIsOver]],1,Table2[[HomeTeam]:[HomeTeam]],$T13, Table2[[AwayTeam]:[AwayTeam]], AX$11, Table2[[ActualResult]:[ActualResult]], "REG"))) + (1*(SUMIFS(Table2[[HomeWon_]:[HomeWon_]], Table2[[GameIsOver]:[GameIsOver]],1,Table2[[AwayTeam]:[AwayTeam]],$T13, Table2[[HomeTeam]:[HomeTeam]], AX$11, Table2[[ActualResult]:[ActualResult]], "OT") + SUMIFS(Table2[[AwayWon]:[AwayWon]], Table2[[GameIsOver]:[GameIsOver]],1,Table2[[HomeTeam]:[HomeTeam]],$T13, Table2[[AwayTeam]:[AwayTeam]], AX$11, Table2[[ActualResult]:[ActualResult]], "OT") + SUMIFS(Table2[[HomeWon_]:[HomeWon_]], Table2[[GameIsOver]:[GameIsOver]],1,Table2[[AwayTeam]:[AwayTeam]],$T13, Table2[[HomeTeam]:[HomeTeam]], AX$11, Table2[[ActualResult]:[ActualResult]], "SO") + SUMIFS(Table2[[AwayWon]:[AwayWon]], Table2[[GameIsOver]:[GameIsOver]],1,Table2[[HomeTeam]:[HomeTeam]],$T13, Table2[[AwayTeam]:[AwayTeam]], AX$11, Table2[[ActualResult]:[ActualResult]], "SO")))</f>
        <v>0</v>
      </c>
      <c r="AY13">
        <f>(2*(SUMIFS(Table2[[AwayWon]:[AwayWon]], Table2[[GameIsOver]:[GameIsOver]],1,Table2[[AwayTeam]:[AwayTeam]],$T13, Table2[[HomeTeam]:[HomeTeam]], AY$11) + SUMIFS(Table2[[HomeWon_]:[HomeWon_]], Table2[[GameIsOver]:[GameIsOver]],1,Table2[[HomeTeam]:[HomeTeam]],$T13, Table2[[AwayTeam]:[AwayTeam]], AY$11))) + (0*(SUMIFS(Table2[[HomeWon_]:[HomeWon_]], Table2[[GameIsOver]:[GameIsOver]],1,Table2[[AwayTeam]:[AwayTeam]],$T13, Table2[[HomeTeam]:[HomeTeam]], AY$11, Table2[[ActualResult]:[ActualResult]], "REG") + SUMIFS(Table2[[AwayWon]:[AwayWon]], Table2[[GameIsOver]:[GameIsOver]],1,Table2[[HomeTeam]:[HomeTeam]],$T13, Table2[[AwayTeam]:[AwayTeam]], AY$11, Table2[[ActualResult]:[ActualResult]], "REG"))) + (1*(SUMIFS(Table2[[HomeWon_]:[HomeWon_]], Table2[[GameIsOver]:[GameIsOver]],1,Table2[[AwayTeam]:[AwayTeam]],$T13, Table2[[HomeTeam]:[HomeTeam]], AY$11, Table2[[ActualResult]:[ActualResult]], "OT") + SUMIFS(Table2[[AwayWon]:[AwayWon]], Table2[[GameIsOver]:[GameIsOver]],1,Table2[[HomeTeam]:[HomeTeam]],$T13, Table2[[AwayTeam]:[AwayTeam]], AY$11, Table2[[ActualResult]:[ActualResult]], "OT") + SUMIFS(Table2[[HomeWon_]:[HomeWon_]], Table2[[GameIsOver]:[GameIsOver]],1,Table2[[AwayTeam]:[AwayTeam]],$T13, Table2[[HomeTeam]:[HomeTeam]], AY$11, Table2[[ActualResult]:[ActualResult]], "SO") + SUMIFS(Table2[[AwayWon]:[AwayWon]], Table2[[GameIsOver]:[GameIsOver]],1,Table2[[HomeTeam]:[HomeTeam]],$T13, Table2[[AwayTeam]:[AwayTeam]], AY$11, Table2[[ActualResult]:[ActualResult]], "SO")))</f>
        <v>0</v>
      </c>
      <c r="AZ13">
        <f>(2*(SUMIFS(Table2[[AwayWon]:[AwayWon]], Table2[[GameIsOver]:[GameIsOver]],1,Table2[[AwayTeam]:[AwayTeam]],$T13, Table2[[HomeTeam]:[HomeTeam]], AZ$11) + SUMIFS(Table2[[HomeWon_]:[HomeWon_]], Table2[[GameIsOver]:[GameIsOver]],1,Table2[[HomeTeam]:[HomeTeam]],$T13, Table2[[AwayTeam]:[AwayTeam]], AZ$11))) + (0*(SUMIFS(Table2[[HomeWon_]:[HomeWon_]], Table2[[GameIsOver]:[GameIsOver]],1,Table2[[AwayTeam]:[AwayTeam]],$T13, Table2[[HomeTeam]:[HomeTeam]], AZ$11, Table2[[ActualResult]:[ActualResult]], "REG") + SUMIFS(Table2[[AwayWon]:[AwayWon]], Table2[[GameIsOver]:[GameIsOver]],1,Table2[[HomeTeam]:[HomeTeam]],$T13, Table2[[AwayTeam]:[AwayTeam]], AZ$11, Table2[[ActualResult]:[ActualResult]], "REG"))) + (1*(SUMIFS(Table2[[HomeWon_]:[HomeWon_]], Table2[[GameIsOver]:[GameIsOver]],1,Table2[[AwayTeam]:[AwayTeam]],$T13, Table2[[HomeTeam]:[HomeTeam]], AZ$11, Table2[[ActualResult]:[ActualResult]], "OT") + SUMIFS(Table2[[AwayWon]:[AwayWon]], Table2[[GameIsOver]:[GameIsOver]],1,Table2[[HomeTeam]:[HomeTeam]],$T13, Table2[[AwayTeam]:[AwayTeam]], AZ$11, Table2[[ActualResult]:[ActualResult]], "OT") + SUMIFS(Table2[[HomeWon_]:[HomeWon_]], Table2[[GameIsOver]:[GameIsOver]],1,Table2[[AwayTeam]:[AwayTeam]],$T13, Table2[[HomeTeam]:[HomeTeam]], AZ$11, Table2[[ActualResult]:[ActualResult]], "SO") + SUMIFS(Table2[[AwayWon]:[AwayWon]], Table2[[GameIsOver]:[GameIsOver]],1,Table2[[HomeTeam]:[HomeTeam]],$T13, Table2[[AwayTeam]:[AwayTeam]], AZ$11, Table2[[ActualResult]:[ActualResult]], "SO")))</f>
        <v>0</v>
      </c>
      <c r="BA13">
        <f>(2*(SUMIFS(Table2[[AwayWon]:[AwayWon]], Table2[[GameIsOver]:[GameIsOver]],1,Table2[[AwayTeam]:[AwayTeam]],$T13, Table2[[HomeTeam]:[HomeTeam]], BA$11) + SUMIFS(Table2[[HomeWon_]:[HomeWon_]], Table2[[GameIsOver]:[GameIsOver]],1,Table2[[HomeTeam]:[HomeTeam]],$T13, Table2[[AwayTeam]:[AwayTeam]], BA$11))) + (0*(SUMIFS(Table2[[HomeWon_]:[HomeWon_]], Table2[[GameIsOver]:[GameIsOver]],1,Table2[[AwayTeam]:[AwayTeam]],$T13, Table2[[HomeTeam]:[HomeTeam]], BA$11, Table2[[ActualResult]:[ActualResult]], "REG") + SUMIFS(Table2[[AwayWon]:[AwayWon]], Table2[[GameIsOver]:[GameIsOver]],1,Table2[[HomeTeam]:[HomeTeam]],$T13, Table2[[AwayTeam]:[AwayTeam]], BA$11, Table2[[ActualResult]:[ActualResult]], "REG"))) + (1*(SUMIFS(Table2[[HomeWon_]:[HomeWon_]], Table2[[GameIsOver]:[GameIsOver]],1,Table2[[AwayTeam]:[AwayTeam]],$T13, Table2[[HomeTeam]:[HomeTeam]], BA$11, Table2[[ActualResult]:[ActualResult]], "OT") + SUMIFS(Table2[[AwayWon]:[AwayWon]], Table2[[GameIsOver]:[GameIsOver]],1,Table2[[HomeTeam]:[HomeTeam]],$T13, Table2[[AwayTeam]:[AwayTeam]], BA$11, Table2[[ActualResult]:[ActualResult]], "OT") + SUMIFS(Table2[[HomeWon_]:[HomeWon_]], Table2[[GameIsOver]:[GameIsOver]],1,Table2[[AwayTeam]:[AwayTeam]],$T13, Table2[[HomeTeam]:[HomeTeam]], BA$11, Table2[[ActualResult]:[ActualResult]], "SO") + SUMIFS(Table2[[AwayWon]:[AwayWon]], Table2[[GameIsOver]:[GameIsOver]],1,Table2[[HomeTeam]:[HomeTeam]],$T13, Table2[[AwayTeam]:[AwayTeam]], BA$11, Table2[[ActualResult]:[ActualResult]], "SO")))</f>
        <v>0</v>
      </c>
    </row>
    <row r="14" spans="1:53" x14ac:dyDescent="0.25">
      <c r="A14" s="61" t="s">
        <v>27</v>
      </c>
      <c r="B14" s="61" t="s">
        <v>90</v>
      </c>
      <c r="C14" s="61" t="s">
        <v>93</v>
      </c>
      <c r="D14" s="62">
        <f>INDEX(Table3[PTS], MATCH(Table6[[#This Row],[Teams]], Table3[Teams],0))</f>
        <v>6</v>
      </c>
      <c r="E14" s="62">
        <f>INDEX(Table3[PTS], MATCH(Table6[[#This Row],[Teams]], Table3[Teams],0))</f>
        <v>6</v>
      </c>
      <c r="S14">
        <v>2</v>
      </c>
      <c r="T14" t="str" cm="1">
        <f t="array" ref="T14">INDEX(Table6[Teams], SMALL(IF(Table6[D]="C", ROW(Table6[Teams])-ROW(Table6[#Headers])), Table710[[#This Row],[CEN]]))</f>
        <v>COL</v>
      </c>
      <c r="U14">
        <f>INDEX(Table6[PTS], MATCH($T14, Table6[Teams], 0))</f>
        <v>12</v>
      </c>
      <c r="V14">
        <f>(2*(SUMIFS(Table2[[AwayWon]:[AwayWon]], Table2[[GameIsOver]:[GameIsOver]],1,Table2[[AwayTeam]:[AwayTeam]],$T14, Table2[[HomeTeam]:[HomeTeam]], V$11) + SUMIFS(Table2[[HomeWon_]:[HomeWon_]], Table2[[GameIsOver]:[GameIsOver]],1,Table2[[HomeTeam]:[HomeTeam]],$T14, Table2[[AwayTeam]:[AwayTeam]], V$11))) + (0*(SUMIFS(Table2[[HomeWon_]:[HomeWon_]], Table2[[GameIsOver]:[GameIsOver]],1,Table2[[AwayTeam]:[AwayTeam]],$T14, Table2[[HomeTeam]:[HomeTeam]], V$11, Table2[[ActualResult]:[ActualResult]], "REG") + SUMIFS(Table2[[AwayWon]:[AwayWon]], Table2[[GameIsOver]:[GameIsOver]],1,Table2[[HomeTeam]:[HomeTeam]],$T14, Table2[[AwayTeam]:[AwayTeam]], V$11, Table2[[ActualResult]:[ActualResult]], "REG"))) + (1*(SUMIFS(Table2[[HomeWon_]:[HomeWon_]], Table2[[GameIsOver]:[GameIsOver]],1,Table2[[AwayTeam]:[AwayTeam]],$T14, Table2[[HomeTeam]:[HomeTeam]], V$11, Table2[[ActualResult]:[ActualResult]], "OT") + SUMIFS(Table2[[AwayWon]:[AwayWon]], Table2[[GameIsOver]:[GameIsOver]],1,Table2[[HomeTeam]:[HomeTeam]],$T14, Table2[[AwayTeam]:[AwayTeam]], V$11, Table2[[ActualResult]:[ActualResult]], "OT") + SUMIFS(Table2[[HomeWon_]:[HomeWon_]], Table2[[GameIsOver]:[GameIsOver]],1,Table2[[AwayTeam]:[AwayTeam]],$T14, Table2[[HomeTeam]:[HomeTeam]], V$11, Table2[[ActualResult]:[ActualResult]], "SO") + SUMIFS(Table2[[AwayWon]:[AwayWon]], Table2[[GameIsOver]:[GameIsOver]],1,Table2[[HomeTeam]:[HomeTeam]],$T14, Table2[[AwayTeam]:[AwayTeam]], V$11, Table2[[ActualResult]:[ActualResult]], "SO")))</f>
        <v>0</v>
      </c>
      <c r="W14">
        <f>(2*(SUMIFS(Table2[[AwayWon]:[AwayWon]], Table2[[GameIsOver]:[GameIsOver]],1,Table2[[AwayTeam]:[AwayTeam]],$T14, Table2[[HomeTeam]:[HomeTeam]], W$11) + SUMIFS(Table2[[HomeWon_]:[HomeWon_]], Table2[[GameIsOver]:[GameIsOver]],1,Table2[[HomeTeam]:[HomeTeam]],$T14, Table2[[AwayTeam]:[AwayTeam]], W$11))) + (0*(SUMIFS(Table2[[HomeWon_]:[HomeWon_]], Table2[[GameIsOver]:[GameIsOver]],1,Table2[[AwayTeam]:[AwayTeam]],$T14, Table2[[HomeTeam]:[HomeTeam]], W$11, Table2[[ActualResult]:[ActualResult]], "REG") + SUMIFS(Table2[[AwayWon]:[AwayWon]], Table2[[GameIsOver]:[GameIsOver]],1,Table2[[HomeTeam]:[HomeTeam]],$T14, Table2[[AwayTeam]:[AwayTeam]], W$11, Table2[[ActualResult]:[ActualResult]], "REG"))) + (1*(SUMIFS(Table2[[HomeWon_]:[HomeWon_]], Table2[[GameIsOver]:[GameIsOver]],1,Table2[[AwayTeam]:[AwayTeam]],$T14, Table2[[HomeTeam]:[HomeTeam]], W$11, Table2[[ActualResult]:[ActualResult]], "OT") + SUMIFS(Table2[[AwayWon]:[AwayWon]], Table2[[GameIsOver]:[GameIsOver]],1,Table2[[HomeTeam]:[HomeTeam]],$T14, Table2[[AwayTeam]:[AwayTeam]], W$11, Table2[[ActualResult]:[ActualResult]], "OT") + SUMIFS(Table2[[HomeWon_]:[HomeWon_]], Table2[[GameIsOver]:[GameIsOver]],1,Table2[[AwayTeam]:[AwayTeam]],$T14, Table2[[HomeTeam]:[HomeTeam]], W$11, Table2[[ActualResult]:[ActualResult]], "SO") + SUMIFS(Table2[[AwayWon]:[AwayWon]], Table2[[GameIsOver]:[GameIsOver]],1,Table2[[HomeTeam]:[HomeTeam]],$T14, Table2[[AwayTeam]:[AwayTeam]], W$11, Table2[[ActualResult]:[ActualResult]], "SO")))</f>
        <v>0</v>
      </c>
      <c r="X14">
        <f>(2*(SUMIFS(Table2[[AwayWon]:[AwayWon]], Table2[[GameIsOver]:[GameIsOver]],1,Table2[[AwayTeam]:[AwayTeam]],$T14, Table2[[HomeTeam]:[HomeTeam]], X$11) + SUMIFS(Table2[[HomeWon_]:[HomeWon_]], Table2[[GameIsOver]:[GameIsOver]],1,Table2[[HomeTeam]:[HomeTeam]],$T14, Table2[[AwayTeam]:[AwayTeam]], X$11))) + (0*(SUMIFS(Table2[[HomeWon_]:[HomeWon_]], Table2[[GameIsOver]:[GameIsOver]],1,Table2[[AwayTeam]:[AwayTeam]],$T14, Table2[[HomeTeam]:[HomeTeam]], X$11, Table2[[ActualResult]:[ActualResult]], "REG") + SUMIFS(Table2[[AwayWon]:[AwayWon]], Table2[[GameIsOver]:[GameIsOver]],1,Table2[[HomeTeam]:[HomeTeam]],$T14, Table2[[AwayTeam]:[AwayTeam]], X$11, Table2[[ActualResult]:[ActualResult]], "REG"))) + (1*(SUMIFS(Table2[[HomeWon_]:[HomeWon_]], Table2[[GameIsOver]:[GameIsOver]],1,Table2[[AwayTeam]:[AwayTeam]],$T14, Table2[[HomeTeam]:[HomeTeam]], X$11, Table2[[ActualResult]:[ActualResult]], "OT") + SUMIFS(Table2[[AwayWon]:[AwayWon]], Table2[[GameIsOver]:[GameIsOver]],1,Table2[[HomeTeam]:[HomeTeam]],$T14, Table2[[AwayTeam]:[AwayTeam]], X$11, Table2[[ActualResult]:[ActualResult]], "OT") + SUMIFS(Table2[[HomeWon_]:[HomeWon_]], Table2[[GameIsOver]:[GameIsOver]],1,Table2[[AwayTeam]:[AwayTeam]],$T14, Table2[[HomeTeam]:[HomeTeam]], X$11, Table2[[ActualResult]:[ActualResult]], "SO") + SUMIFS(Table2[[AwayWon]:[AwayWon]], Table2[[GameIsOver]:[GameIsOver]],1,Table2[[HomeTeam]:[HomeTeam]],$T14, Table2[[AwayTeam]:[AwayTeam]], X$11, Table2[[ActualResult]:[ActualResult]], "SO")))</f>
        <v>0</v>
      </c>
      <c r="Y14">
        <f>(2*(SUMIFS(Table2[[AwayWon]:[AwayWon]], Table2[[GameIsOver]:[GameIsOver]],1,Table2[[AwayTeam]:[AwayTeam]],$T14, Table2[[HomeTeam]:[HomeTeam]], Y$11) + SUMIFS(Table2[[HomeWon_]:[HomeWon_]], Table2[[GameIsOver]:[GameIsOver]],1,Table2[[HomeTeam]:[HomeTeam]],$T14, Table2[[AwayTeam]:[AwayTeam]], Y$11))) + (0*(SUMIFS(Table2[[HomeWon_]:[HomeWon_]], Table2[[GameIsOver]:[GameIsOver]],1,Table2[[AwayTeam]:[AwayTeam]],$T14, Table2[[HomeTeam]:[HomeTeam]], Y$11, Table2[[ActualResult]:[ActualResult]], "REG") + SUMIFS(Table2[[AwayWon]:[AwayWon]], Table2[[GameIsOver]:[GameIsOver]],1,Table2[[HomeTeam]:[HomeTeam]],$T14, Table2[[AwayTeam]:[AwayTeam]], Y$11, Table2[[ActualResult]:[ActualResult]], "REG"))) + (1*(SUMIFS(Table2[[HomeWon_]:[HomeWon_]], Table2[[GameIsOver]:[GameIsOver]],1,Table2[[AwayTeam]:[AwayTeam]],$T14, Table2[[HomeTeam]:[HomeTeam]], Y$11, Table2[[ActualResult]:[ActualResult]], "OT") + SUMIFS(Table2[[AwayWon]:[AwayWon]], Table2[[GameIsOver]:[GameIsOver]],1,Table2[[HomeTeam]:[HomeTeam]],$T14, Table2[[AwayTeam]:[AwayTeam]], Y$11, Table2[[ActualResult]:[ActualResult]], "OT") + SUMIFS(Table2[[HomeWon_]:[HomeWon_]], Table2[[GameIsOver]:[GameIsOver]],1,Table2[[AwayTeam]:[AwayTeam]],$T14, Table2[[HomeTeam]:[HomeTeam]], Y$11, Table2[[ActualResult]:[ActualResult]], "SO") + SUMIFS(Table2[[AwayWon]:[AwayWon]], Table2[[GameIsOver]:[GameIsOver]],1,Table2[[HomeTeam]:[HomeTeam]],$T14, Table2[[AwayTeam]:[AwayTeam]], Y$11, Table2[[ActualResult]:[ActualResult]], "SO")))</f>
        <v>2</v>
      </c>
      <c r="Z14">
        <f>(2*(SUMIFS(Table2[[AwayWon]:[AwayWon]], Table2[[GameIsOver]:[GameIsOver]],1,Table2[[AwayTeam]:[AwayTeam]],$T14, Table2[[HomeTeam]:[HomeTeam]], Z$11) + SUMIFS(Table2[[HomeWon_]:[HomeWon_]], Table2[[GameIsOver]:[GameIsOver]],1,Table2[[HomeTeam]:[HomeTeam]],$T14, Table2[[AwayTeam]:[AwayTeam]], Z$11))) + (0*(SUMIFS(Table2[[HomeWon_]:[HomeWon_]], Table2[[GameIsOver]:[GameIsOver]],1,Table2[[AwayTeam]:[AwayTeam]],$T14, Table2[[HomeTeam]:[HomeTeam]], Z$11, Table2[[ActualResult]:[ActualResult]], "REG") + SUMIFS(Table2[[AwayWon]:[AwayWon]], Table2[[GameIsOver]:[GameIsOver]],1,Table2[[HomeTeam]:[HomeTeam]],$T14, Table2[[AwayTeam]:[AwayTeam]], Z$11, Table2[[ActualResult]:[ActualResult]], "REG"))) + (1*(SUMIFS(Table2[[HomeWon_]:[HomeWon_]], Table2[[GameIsOver]:[GameIsOver]],1,Table2[[AwayTeam]:[AwayTeam]],$T14, Table2[[HomeTeam]:[HomeTeam]], Z$11, Table2[[ActualResult]:[ActualResult]], "OT") + SUMIFS(Table2[[AwayWon]:[AwayWon]], Table2[[GameIsOver]:[GameIsOver]],1,Table2[[HomeTeam]:[HomeTeam]],$T14, Table2[[AwayTeam]:[AwayTeam]], Z$11, Table2[[ActualResult]:[ActualResult]], "OT") + SUMIFS(Table2[[HomeWon_]:[HomeWon_]], Table2[[GameIsOver]:[GameIsOver]],1,Table2[[AwayTeam]:[AwayTeam]],$T14, Table2[[HomeTeam]:[HomeTeam]], Z$11, Table2[[ActualResult]:[ActualResult]], "SO") + SUMIFS(Table2[[AwayWon]:[AwayWon]], Table2[[GameIsOver]:[GameIsOver]],1,Table2[[HomeTeam]:[HomeTeam]],$T14, Table2[[AwayTeam]:[AwayTeam]], Z$11, Table2[[ActualResult]:[ActualResult]], "SO")))</f>
        <v>0</v>
      </c>
      <c r="AA14">
        <f>(2*(SUMIFS(Table2[[AwayWon]:[AwayWon]], Table2[[GameIsOver]:[GameIsOver]],1,Table2[[AwayTeam]:[AwayTeam]],$T14, Table2[[HomeTeam]:[HomeTeam]], AA$11) + SUMIFS(Table2[[HomeWon_]:[HomeWon_]], Table2[[GameIsOver]:[GameIsOver]],1,Table2[[HomeTeam]:[HomeTeam]],$T14, Table2[[AwayTeam]:[AwayTeam]], AA$11))) + (0*(SUMIFS(Table2[[HomeWon_]:[HomeWon_]], Table2[[GameIsOver]:[GameIsOver]],1,Table2[[AwayTeam]:[AwayTeam]],$T14, Table2[[HomeTeam]:[HomeTeam]], AA$11, Table2[[ActualResult]:[ActualResult]], "REG") + SUMIFS(Table2[[AwayWon]:[AwayWon]], Table2[[GameIsOver]:[GameIsOver]],1,Table2[[HomeTeam]:[HomeTeam]],$T14, Table2[[AwayTeam]:[AwayTeam]], AA$11, Table2[[ActualResult]:[ActualResult]], "REG"))) + (1*(SUMIFS(Table2[[HomeWon_]:[HomeWon_]], Table2[[GameIsOver]:[GameIsOver]],1,Table2[[AwayTeam]:[AwayTeam]],$T14, Table2[[HomeTeam]:[HomeTeam]], AA$11, Table2[[ActualResult]:[ActualResult]], "OT") + SUMIFS(Table2[[AwayWon]:[AwayWon]], Table2[[GameIsOver]:[GameIsOver]],1,Table2[[HomeTeam]:[HomeTeam]],$T14, Table2[[AwayTeam]:[AwayTeam]], AA$11, Table2[[ActualResult]:[ActualResult]], "OT") + SUMIFS(Table2[[HomeWon_]:[HomeWon_]], Table2[[GameIsOver]:[GameIsOver]],1,Table2[[AwayTeam]:[AwayTeam]],$T14, Table2[[HomeTeam]:[HomeTeam]], AA$11, Table2[[ActualResult]:[ActualResult]], "SO") + SUMIFS(Table2[[AwayWon]:[AwayWon]], Table2[[GameIsOver]:[GameIsOver]],1,Table2[[HomeTeam]:[HomeTeam]],$T14, Table2[[AwayTeam]:[AwayTeam]], AA$11, Table2[[ActualResult]:[ActualResult]], "SO")))</f>
        <v>0</v>
      </c>
      <c r="AB14">
        <f>(2*(SUMIFS(Table2[[AwayWon]:[AwayWon]], Table2[[GameIsOver]:[GameIsOver]],1,Table2[[AwayTeam]:[AwayTeam]],$T14, Table2[[HomeTeam]:[HomeTeam]], AB$11) + SUMIFS(Table2[[HomeWon_]:[HomeWon_]], Table2[[GameIsOver]:[GameIsOver]],1,Table2[[HomeTeam]:[HomeTeam]],$T14, Table2[[AwayTeam]:[AwayTeam]], AB$11))) + (0*(SUMIFS(Table2[[HomeWon_]:[HomeWon_]], Table2[[GameIsOver]:[GameIsOver]],1,Table2[[AwayTeam]:[AwayTeam]],$T14, Table2[[HomeTeam]:[HomeTeam]], AB$11, Table2[[ActualResult]:[ActualResult]], "REG") + SUMIFS(Table2[[AwayWon]:[AwayWon]], Table2[[GameIsOver]:[GameIsOver]],1,Table2[[HomeTeam]:[HomeTeam]],$T14, Table2[[AwayTeam]:[AwayTeam]], AB$11, Table2[[ActualResult]:[ActualResult]], "REG"))) + (1*(SUMIFS(Table2[[HomeWon_]:[HomeWon_]], Table2[[GameIsOver]:[GameIsOver]],1,Table2[[AwayTeam]:[AwayTeam]],$T14, Table2[[HomeTeam]:[HomeTeam]], AB$11, Table2[[ActualResult]:[ActualResult]], "OT") + SUMIFS(Table2[[AwayWon]:[AwayWon]], Table2[[GameIsOver]:[GameIsOver]],1,Table2[[HomeTeam]:[HomeTeam]],$T14, Table2[[AwayTeam]:[AwayTeam]], AB$11, Table2[[ActualResult]:[ActualResult]], "OT") + SUMIFS(Table2[[HomeWon_]:[HomeWon_]], Table2[[GameIsOver]:[GameIsOver]],1,Table2[[AwayTeam]:[AwayTeam]],$T14, Table2[[HomeTeam]:[HomeTeam]], AB$11, Table2[[ActualResult]:[ActualResult]], "SO") + SUMIFS(Table2[[AwayWon]:[AwayWon]], Table2[[GameIsOver]:[GameIsOver]],1,Table2[[HomeTeam]:[HomeTeam]],$T14, Table2[[AwayTeam]:[AwayTeam]], AB$11, Table2[[ActualResult]:[ActualResult]], "SO")))</f>
        <v>0</v>
      </c>
      <c r="AC14">
        <f>(2*(SUMIFS(Table2[[AwayWon]:[AwayWon]], Table2[[GameIsOver]:[GameIsOver]],1,Table2[[AwayTeam]:[AwayTeam]],$T14, Table2[[HomeTeam]:[HomeTeam]], AC$11) + SUMIFS(Table2[[HomeWon_]:[HomeWon_]], Table2[[GameIsOver]:[GameIsOver]],1,Table2[[HomeTeam]:[HomeTeam]],$T14, Table2[[AwayTeam]:[AwayTeam]], AC$11))) + (0*(SUMIFS(Table2[[HomeWon_]:[HomeWon_]], Table2[[GameIsOver]:[GameIsOver]],1,Table2[[AwayTeam]:[AwayTeam]],$T14, Table2[[HomeTeam]:[HomeTeam]], AC$11, Table2[[ActualResult]:[ActualResult]], "REG") + SUMIFS(Table2[[AwayWon]:[AwayWon]], Table2[[GameIsOver]:[GameIsOver]],1,Table2[[HomeTeam]:[HomeTeam]],$T14, Table2[[AwayTeam]:[AwayTeam]], AC$11, Table2[[ActualResult]:[ActualResult]], "REG"))) + (1*(SUMIFS(Table2[[HomeWon_]:[HomeWon_]], Table2[[GameIsOver]:[GameIsOver]],1,Table2[[AwayTeam]:[AwayTeam]],$T14, Table2[[HomeTeam]:[HomeTeam]], AC$11, Table2[[ActualResult]:[ActualResult]], "OT") + SUMIFS(Table2[[AwayWon]:[AwayWon]], Table2[[GameIsOver]:[GameIsOver]],1,Table2[[HomeTeam]:[HomeTeam]],$T14, Table2[[AwayTeam]:[AwayTeam]], AC$11, Table2[[ActualResult]:[ActualResult]], "OT") + SUMIFS(Table2[[HomeWon_]:[HomeWon_]], Table2[[GameIsOver]:[GameIsOver]],1,Table2[[AwayTeam]:[AwayTeam]],$T14, Table2[[HomeTeam]:[HomeTeam]], AC$11, Table2[[ActualResult]:[ActualResult]], "SO") + SUMIFS(Table2[[AwayWon]:[AwayWon]], Table2[[GameIsOver]:[GameIsOver]],1,Table2[[HomeTeam]:[HomeTeam]],$T14, Table2[[AwayTeam]:[AwayTeam]], AC$11, Table2[[ActualResult]:[ActualResult]], "SO")))</f>
        <v>0</v>
      </c>
      <c r="AD14">
        <f>(2*(SUMIFS(Table2[[AwayWon]:[AwayWon]], Table2[[GameIsOver]:[GameIsOver]],1,Table2[[AwayTeam]:[AwayTeam]],$T14, Table2[[HomeTeam]:[HomeTeam]], AD$11) + SUMIFS(Table2[[HomeWon_]:[HomeWon_]], Table2[[GameIsOver]:[GameIsOver]],1,Table2[[HomeTeam]:[HomeTeam]],$T14, Table2[[AwayTeam]:[AwayTeam]], AD$11))) + (0*(SUMIFS(Table2[[HomeWon_]:[HomeWon_]], Table2[[GameIsOver]:[GameIsOver]],1,Table2[[AwayTeam]:[AwayTeam]],$T14, Table2[[HomeTeam]:[HomeTeam]], AD$11, Table2[[ActualResult]:[ActualResult]], "REG") + SUMIFS(Table2[[AwayWon]:[AwayWon]], Table2[[GameIsOver]:[GameIsOver]],1,Table2[[HomeTeam]:[HomeTeam]],$T14, Table2[[AwayTeam]:[AwayTeam]], AD$11, Table2[[ActualResult]:[ActualResult]], "REG"))) + (1*(SUMIFS(Table2[[HomeWon_]:[HomeWon_]], Table2[[GameIsOver]:[GameIsOver]],1,Table2[[AwayTeam]:[AwayTeam]],$T14, Table2[[HomeTeam]:[HomeTeam]], AD$11, Table2[[ActualResult]:[ActualResult]], "OT") + SUMIFS(Table2[[AwayWon]:[AwayWon]], Table2[[GameIsOver]:[GameIsOver]],1,Table2[[HomeTeam]:[HomeTeam]],$T14, Table2[[AwayTeam]:[AwayTeam]], AD$11, Table2[[ActualResult]:[ActualResult]], "OT") + SUMIFS(Table2[[HomeWon_]:[HomeWon_]], Table2[[GameIsOver]:[GameIsOver]],1,Table2[[AwayTeam]:[AwayTeam]],$T14, Table2[[HomeTeam]:[HomeTeam]], AD$11, Table2[[ActualResult]:[ActualResult]], "SO") + SUMIFS(Table2[[AwayWon]:[AwayWon]], Table2[[GameIsOver]:[GameIsOver]],1,Table2[[HomeTeam]:[HomeTeam]],$T14, Table2[[AwayTeam]:[AwayTeam]], AD$11, Table2[[ActualResult]:[ActualResult]], "SO")))</f>
        <v>0</v>
      </c>
      <c r="AE14">
        <f>(2*(SUMIFS(Table2[[AwayWon]:[AwayWon]], Table2[[GameIsOver]:[GameIsOver]],1,Table2[[AwayTeam]:[AwayTeam]],$T14, Table2[[HomeTeam]:[HomeTeam]], AE$11) + SUMIFS(Table2[[HomeWon_]:[HomeWon_]], Table2[[GameIsOver]:[GameIsOver]],1,Table2[[HomeTeam]:[HomeTeam]],$T14, Table2[[AwayTeam]:[AwayTeam]], AE$11))) + (0*(SUMIFS(Table2[[HomeWon_]:[HomeWon_]], Table2[[GameIsOver]:[GameIsOver]],1,Table2[[AwayTeam]:[AwayTeam]],$T14, Table2[[HomeTeam]:[HomeTeam]], AE$11, Table2[[ActualResult]:[ActualResult]], "REG") + SUMIFS(Table2[[AwayWon]:[AwayWon]], Table2[[GameIsOver]:[GameIsOver]],1,Table2[[HomeTeam]:[HomeTeam]],$T14, Table2[[AwayTeam]:[AwayTeam]], AE$11, Table2[[ActualResult]:[ActualResult]], "REG"))) + (1*(SUMIFS(Table2[[HomeWon_]:[HomeWon_]], Table2[[GameIsOver]:[GameIsOver]],1,Table2[[AwayTeam]:[AwayTeam]],$T14, Table2[[HomeTeam]:[HomeTeam]], AE$11, Table2[[ActualResult]:[ActualResult]], "OT") + SUMIFS(Table2[[AwayWon]:[AwayWon]], Table2[[GameIsOver]:[GameIsOver]],1,Table2[[HomeTeam]:[HomeTeam]],$T14, Table2[[AwayTeam]:[AwayTeam]], AE$11, Table2[[ActualResult]:[ActualResult]], "OT") + SUMIFS(Table2[[HomeWon_]:[HomeWon_]], Table2[[GameIsOver]:[GameIsOver]],1,Table2[[AwayTeam]:[AwayTeam]],$T14, Table2[[HomeTeam]:[HomeTeam]], AE$11, Table2[[ActualResult]:[ActualResult]], "SO") + SUMIFS(Table2[[AwayWon]:[AwayWon]], Table2[[GameIsOver]:[GameIsOver]],1,Table2[[HomeTeam]:[HomeTeam]],$T14, Table2[[AwayTeam]:[AwayTeam]], AE$11, Table2[[ActualResult]:[ActualResult]], "SO")))</f>
        <v>0</v>
      </c>
      <c r="AF14">
        <f>(2*(SUMIFS(Table2[[AwayWon]:[AwayWon]], Table2[[GameIsOver]:[GameIsOver]],1,Table2[[AwayTeam]:[AwayTeam]],$T14, Table2[[HomeTeam]:[HomeTeam]], AF$11) + SUMIFS(Table2[[HomeWon_]:[HomeWon_]], Table2[[GameIsOver]:[GameIsOver]],1,Table2[[HomeTeam]:[HomeTeam]],$T14, Table2[[AwayTeam]:[AwayTeam]], AF$11))) + (0*(SUMIFS(Table2[[HomeWon_]:[HomeWon_]], Table2[[GameIsOver]:[GameIsOver]],1,Table2[[AwayTeam]:[AwayTeam]],$T14, Table2[[HomeTeam]:[HomeTeam]], AF$11, Table2[[ActualResult]:[ActualResult]], "REG") + SUMIFS(Table2[[AwayWon]:[AwayWon]], Table2[[GameIsOver]:[GameIsOver]],1,Table2[[HomeTeam]:[HomeTeam]],$T14, Table2[[AwayTeam]:[AwayTeam]], AF$11, Table2[[ActualResult]:[ActualResult]], "REG"))) + (1*(SUMIFS(Table2[[HomeWon_]:[HomeWon_]], Table2[[GameIsOver]:[GameIsOver]],1,Table2[[AwayTeam]:[AwayTeam]],$T14, Table2[[HomeTeam]:[HomeTeam]], AF$11, Table2[[ActualResult]:[ActualResult]], "OT") + SUMIFS(Table2[[AwayWon]:[AwayWon]], Table2[[GameIsOver]:[GameIsOver]],1,Table2[[HomeTeam]:[HomeTeam]],$T14, Table2[[AwayTeam]:[AwayTeam]], AF$11, Table2[[ActualResult]:[ActualResult]], "OT") + SUMIFS(Table2[[HomeWon_]:[HomeWon_]], Table2[[GameIsOver]:[GameIsOver]],1,Table2[[AwayTeam]:[AwayTeam]],$T14, Table2[[HomeTeam]:[HomeTeam]], AF$11, Table2[[ActualResult]:[ActualResult]], "SO") + SUMIFS(Table2[[AwayWon]:[AwayWon]], Table2[[GameIsOver]:[GameIsOver]],1,Table2[[HomeTeam]:[HomeTeam]],$T14, Table2[[AwayTeam]:[AwayTeam]], AF$11, Table2[[ActualResult]:[ActualResult]], "SO")))</f>
        <v>1</v>
      </c>
      <c r="AG14">
        <f>(2*(SUMIFS(Table2[[AwayWon]:[AwayWon]], Table2[[GameIsOver]:[GameIsOver]],1,Table2[[AwayTeam]:[AwayTeam]],$T14, Table2[[HomeTeam]:[HomeTeam]], AG$11) + SUMIFS(Table2[[HomeWon_]:[HomeWon_]], Table2[[GameIsOver]:[GameIsOver]],1,Table2[[HomeTeam]:[HomeTeam]],$T14, Table2[[AwayTeam]:[AwayTeam]], AG$11))) + (0*(SUMIFS(Table2[[HomeWon_]:[HomeWon_]], Table2[[GameIsOver]:[GameIsOver]],1,Table2[[AwayTeam]:[AwayTeam]],$T14, Table2[[HomeTeam]:[HomeTeam]], AG$11, Table2[[ActualResult]:[ActualResult]], "REG") + SUMIFS(Table2[[AwayWon]:[AwayWon]], Table2[[GameIsOver]:[GameIsOver]],1,Table2[[HomeTeam]:[HomeTeam]],$T14, Table2[[AwayTeam]:[AwayTeam]], AG$11, Table2[[ActualResult]:[ActualResult]], "REG"))) + (1*(SUMIFS(Table2[[HomeWon_]:[HomeWon_]], Table2[[GameIsOver]:[GameIsOver]],1,Table2[[AwayTeam]:[AwayTeam]],$T14, Table2[[HomeTeam]:[HomeTeam]], AG$11, Table2[[ActualResult]:[ActualResult]], "OT") + SUMIFS(Table2[[AwayWon]:[AwayWon]], Table2[[GameIsOver]:[GameIsOver]],1,Table2[[HomeTeam]:[HomeTeam]],$T14, Table2[[AwayTeam]:[AwayTeam]], AG$11, Table2[[ActualResult]:[ActualResult]], "OT") + SUMIFS(Table2[[HomeWon_]:[HomeWon_]], Table2[[GameIsOver]:[GameIsOver]],1,Table2[[AwayTeam]:[AwayTeam]],$T14, Table2[[HomeTeam]:[HomeTeam]], AG$11, Table2[[ActualResult]:[ActualResult]], "SO") + SUMIFS(Table2[[AwayWon]:[AwayWon]], Table2[[GameIsOver]:[GameIsOver]],1,Table2[[HomeTeam]:[HomeTeam]],$T14, Table2[[AwayTeam]:[AwayTeam]], AG$11, Table2[[ActualResult]:[ActualResult]], "SO")))</f>
        <v>0</v>
      </c>
      <c r="AH14">
        <f>(2*(SUMIFS(Table2[[AwayWon]:[AwayWon]], Table2[[GameIsOver]:[GameIsOver]],1,Table2[[AwayTeam]:[AwayTeam]],$T14, Table2[[HomeTeam]:[HomeTeam]], AH$11) + SUMIFS(Table2[[HomeWon_]:[HomeWon_]], Table2[[GameIsOver]:[GameIsOver]],1,Table2[[HomeTeam]:[HomeTeam]],$T14, Table2[[AwayTeam]:[AwayTeam]], AH$11))) + (0*(SUMIFS(Table2[[HomeWon_]:[HomeWon_]], Table2[[GameIsOver]:[GameIsOver]],1,Table2[[AwayTeam]:[AwayTeam]],$T14, Table2[[HomeTeam]:[HomeTeam]], AH$11, Table2[[ActualResult]:[ActualResult]], "REG") + SUMIFS(Table2[[AwayWon]:[AwayWon]], Table2[[GameIsOver]:[GameIsOver]],1,Table2[[HomeTeam]:[HomeTeam]],$T14, Table2[[AwayTeam]:[AwayTeam]], AH$11, Table2[[ActualResult]:[ActualResult]], "REG"))) + (1*(SUMIFS(Table2[[HomeWon_]:[HomeWon_]], Table2[[GameIsOver]:[GameIsOver]],1,Table2[[AwayTeam]:[AwayTeam]],$T14, Table2[[HomeTeam]:[HomeTeam]], AH$11, Table2[[ActualResult]:[ActualResult]], "OT") + SUMIFS(Table2[[AwayWon]:[AwayWon]], Table2[[GameIsOver]:[GameIsOver]],1,Table2[[HomeTeam]:[HomeTeam]],$T14, Table2[[AwayTeam]:[AwayTeam]], AH$11, Table2[[ActualResult]:[ActualResult]], "OT") + SUMIFS(Table2[[HomeWon_]:[HomeWon_]], Table2[[GameIsOver]:[GameIsOver]],1,Table2[[AwayTeam]:[AwayTeam]],$T14, Table2[[HomeTeam]:[HomeTeam]], AH$11, Table2[[ActualResult]:[ActualResult]], "SO") + SUMIFS(Table2[[AwayWon]:[AwayWon]], Table2[[GameIsOver]:[GameIsOver]],1,Table2[[HomeTeam]:[HomeTeam]],$T14, Table2[[AwayTeam]:[AwayTeam]], AH$11, Table2[[ActualResult]:[ActualResult]], "SO")))</f>
        <v>0</v>
      </c>
      <c r="AI14">
        <f>(2*(SUMIFS(Table2[[AwayWon]:[AwayWon]], Table2[[GameIsOver]:[GameIsOver]],1,Table2[[AwayTeam]:[AwayTeam]],$T14, Table2[[HomeTeam]:[HomeTeam]], AI$11) + SUMIFS(Table2[[HomeWon_]:[HomeWon_]], Table2[[GameIsOver]:[GameIsOver]],1,Table2[[HomeTeam]:[HomeTeam]],$T14, Table2[[AwayTeam]:[AwayTeam]], AI$11))) + (0*(SUMIFS(Table2[[HomeWon_]:[HomeWon_]], Table2[[GameIsOver]:[GameIsOver]],1,Table2[[AwayTeam]:[AwayTeam]],$T14, Table2[[HomeTeam]:[HomeTeam]], AI$11, Table2[[ActualResult]:[ActualResult]], "REG") + SUMIFS(Table2[[AwayWon]:[AwayWon]], Table2[[GameIsOver]:[GameIsOver]],1,Table2[[HomeTeam]:[HomeTeam]],$T14, Table2[[AwayTeam]:[AwayTeam]], AI$11, Table2[[ActualResult]:[ActualResult]], "REG"))) + (1*(SUMIFS(Table2[[HomeWon_]:[HomeWon_]], Table2[[GameIsOver]:[GameIsOver]],1,Table2[[AwayTeam]:[AwayTeam]],$T14, Table2[[HomeTeam]:[HomeTeam]], AI$11, Table2[[ActualResult]:[ActualResult]], "OT") + SUMIFS(Table2[[AwayWon]:[AwayWon]], Table2[[GameIsOver]:[GameIsOver]],1,Table2[[HomeTeam]:[HomeTeam]],$T14, Table2[[AwayTeam]:[AwayTeam]], AI$11, Table2[[ActualResult]:[ActualResult]], "OT") + SUMIFS(Table2[[HomeWon_]:[HomeWon_]], Table2[[GameIsOver]:[GameIsOver]],1,Table2[[AwayTeam]:[AwayTeam]],$T14, Table2[[HomeTeam]:[HomeTeam]], AI$11, Table2[[ActualResult]:[ActualResult]], "SO") + SUMIFS(Table2[[AwayWon]:[AwayWon]], Table2[[GameIsOver]:[GameIsOver]],1,Table2[[HomeTeam]:[HomeTeam]],$T14, Table2[[AwayTeam]:[AwayTeam]], AI$11, Table2[[ActualResult]:[ActualResult]], "SO")))</f>
        <v>0</v>
      </c>
      <c r="AJ14">
        <f>(2*(SUMIFS(Table2[[AwayWon]:[AwayWon]], Table2[[GameIsOver]:[GameIsOver]],1,Table2[[AwayTeam]:[AwayTeam]],$T14, Table2[[HomeTeam]:[HomeTeam]], AJ$11) + SUMIFS(Table2[[HomeWon_]:[HomeWon_]], Table2[[GameIsOver]:[GameIsOver]],1,Table2[[HomeTeam]:[HomeTeam]],$T14, Table2[[AwayTeam]:[AwayTeam]], AJ$11))) + (0*(SUMIFS(Table2[[HomeWon_]:[HomeWon_]], Table2[[GameIsOver]:[GameIsOver]],1,Table2[[AwayTeam]:[AwayTeam]],$T14, Table2[[HomeTeam]:[HomeTeam]], AJ$11, Table2[[ActualResult]:[ActualResult]], "REG") + SUMIFS(Table2[[AwayWon]:[AwayWon]], Table2[[GameIsOver]:[GameIsOver]],1,Table2[[HomeTeam]:[HomeTeam]],$T14, Table2[[AwayTeam]:[AwayTeam]], AJ$11, Table2[[ActualResult]:[ActualResult]], "REG"))) + (1*(SUMIFS(Table2[[HomeWon_]:[HomeWon_]], Table2[[GameIsOver]:[GameIsOver]],1,Table2[[AwayTeam]:[AwayTeam]],$T14, Table2[[HomeTeam]:[HomeTeam]], AJ$11, Table2[[ActualResult]:[ActualResult]], "OT") + SUMIFS(Table2[[AwayWon]:[AwayWon]], Table2[[GameIsOver]:[GameIsOver]],1,Table2[[HomeTeam]:[HomeTeam]],$T14, Table2[[AwayTeam]:[AwayTeam]], AJ$11, Table2[[ActualResult]:[ActualResult]], "OT") + SUMIFS(Table2[[HomeWon_]:[HomeWon_]], Table2[[GameIsOver]:[GameIsOver]],1,Table2[[AwayTeam]:[AwayTeam]],$T14, Table2[[HomeTeam]:[HomeTeam]], AJ$11, Table2[[ActualResult]:[ActualResult]], "SO") + SUMIFS(Table2[[AwayWon]:[AwayWon]], Table2[[GameIsOver]:[GameIsOver]],1,Table2[[HomeTeam]:[HomeTeam]],$T14, Table2[[AwayTeam]:[AwayTeam]], AJ$11, Table2[[ActualResult]:[ActualResult]], "SO")))</f>
        <v>3</v>
      </c>
      <c r="AK14">
        <f>(2*(SUMIFS(Table2[[AwayWon]:[AwayWon]], Table2[[GameIsOver]:[GameIsOver]],1,Table2[[AwayTeam]:[AwayTeam]],$T14, Table2[[HomeTeam]:[HomeTeam]], AK$11) + SUMIFS(Table2[[HomeWon_]:[HomeWon_]], Table2[[GameIsOver]:[GameIsOver]],1,Table2[[HomeTeam]:[HomeTeam]],$T14, Table2[[AwayTeam]:[AwayTeam]], AK$11))) + (0*(SUMIFS(Table2[[HomeWon_]:[HomeWon_]], Table2[[GameIsOver]:[GameIsOver]],1,Table2[[AwayTeam]:[AwayTeam]],$T14, Table2[[HomeTeam]:[HomeTeam]], AK$11, Table2[[ActualResult]:[ActualResult]], "REG") + SUMIFS(Table2[[AwayWon]:[AwayWon]], Table2[[GameIsOver]:[GameIsOver]],1,Table2[[HomeTeam]:[HomeTeam]],$T14, Table2[[AwayTeam]:[AwayTeam]], AK$11, Table2[[ActualResult]:[ActualResult]], "REG"))) + (1*(SUMIFS(Table2[[HomeWon_]:[HomeWon_]], Table2[[GameIsOver]:[GameIsOver]],1,Table2[[AwayTeam]:[AwayTeam]],$T14, Table2[[HomeTeam]:[HomeTeam]], AK$11, Table2[[ActualResult]:[ActualResult]], "OT") + SUMIFS(Table2[[AwayWon]:[AwayWon]], Table2[[GameIsOver]:[GameIsOver]],1,Table2[[HomeTeam]:[HomeTeam]],$T14, Table2[[AwayTeam]:[AwayTeam]], AK$11, Table2[[ActualResult]:[ActualResult]], "OT") + SUMIFS(Table2[[HomeWon_]:[HomeWon_]], Table2[[GameIsOver]:[GameIsOver]],1,Table2[[AwayTeam]:[AwayTeam]],$T14, Table2[[HomeTeam]:[HomeTeam]], AK$11, Table2[[ActualResult]:[ActualResult]], "SO") + SUMIFS(Table2[[AwayWon]:[AwayWon]], Table2[[GameIsOver]:[GameIsOver]],1,Table2[[HomeTeam]:[HomeTeam]],$T14, Table2[[AwayTeam]:[AwayTeam]], AK$11, Table2[[ActualResult]:[ActualResult]], "SO")))</f>
        <v>0</v>
      </c>
      <c r="AL14">
        <f>(2*(SUMIFS(Table2[[AwayWon]:[AwayWon]], Table2[[GameIsOver]:[GameIsOver]],1,Table2[[AwayTeam]:[AwayTeam]],$T14, Table2[[HomeTeam]:[HomeTeam]], AL$11) + SUMIFS(Table2[[HomeWon_]:[HomeWon_]], Table2[[GameIsOver]:[GameIsOver]],1,Table2[[HomeTeam]:[HomeTeam]],$T14, Table2[[AwayTeam]:[AwayTeam]], AL$11))) + (0*(SUMIFS(Table2[[HomeWon_]:[HomeWon_]], Table2[[GameIsOver]:[GameIsOver]],1,Table2[[AwayTeam]:[AwayTeam]],$T14, Table2[[HomeTeam]:[HomeTeam]], AL$11, Table2[[ActualResult]:[ActualResult]], "REG") + SUMIFS(Table2[[AwayWon]:[AwayWon]], Table2[[GameIsOver]:[GameIsOver]],1,Table2[[HomeTeam]:[HomeTeam]],$T14, Table2[[AwayTeam]:[AwayTeam]], AL$11, Table2[[ActualResult]:[ActualResult]], "REG"))) + (1*(SUMIFS(Table2[[HomeWon_]:[HomeWon_]], Table2[[GameIsOver]:[GameIsOver]],1,Table2[[AwayTeam]:[AwayTeam]],$T14, Table2[[HomeTeam]:[HomeTeam]], AL$11, Table2[[ActualResult]:[ActualResult]], "OT") + SUMIFS(Table2[[AwayWon]:[AwayWon]], Table2[[GameIsOver]:[GameIsOver]],1,Table2[[HomeTeam]:[HomeTeam]],$T14, Table2[[AwayTeam]:[AwayTeam]], AL$11, Table2[[ActualResult]:[ActualResult]], "OT") + SUMIFS(Table2[[HomeWon_]:[HomeWon_]], Table2[[GameIsOver]:[GameIsOver]],1,Table2[[AwayTeam]:[AwayTeam]],$T14, Table2[[HomeTeam]:[HomeTeam]], AL$11, Table2[[ActualResult]:[ActualResult]], "SO") + SUMIFS(Table2[[AwayWon]:[AwayWon]], Table2[[GameIsOver]:[GameIsOver]],1,Table2[[HomeTeam]:[HomeTeam]],$T14, Table2[[AwayTeam]:[AwayTeam]], AL$11, Table2[[ActualResult]:[ActualResult]], "SO")))</f>
        <v>0</v>
      </c>
      <c r="AM14">
        <f>(2*(SUMIFS(Table2[[AwayWon]:[AwayWon]], Table2[[GameIsOver]:[GameIsOver]],1,Table2[[AwayTeam]:[AwayTeam]],$T14, Table2[[HomeTeam]:[HomeTeam]], AM$11) + SUMIFS(Table2[[HomeWon_]:[HomeWon_]], Table2[[GameIsOver]:[GameIsOver]],1,Table2[[HomeTeam]:[HomeTeam]],$T14, Table2[[AwayTeam]:[AwayTeam]], AM$11))) + (0*(SUMIFS(Table2[[HomeWon_]:[HomeWon_]], Table2[[GameIsOver]:[GameIsOver]],1,Table2[[AwayTeam]:[AwayTeam]],$T14, Table2[[HomeTeam]:[HomeTeam]], AM$11, Table2[[ActualResult]:[ActualResult]], "REG") + SUMIFS(Table2[[AwayWon]:[AwayWon]], Table2[[GameIsOver]:[GameIsOver]],1,Table2[[HomeTeam]:[HomeTeam]],$T14, Table2[[AwayTeam]:[AwayTeam]], AM$11, Table2[[ActualResult]:[ActualResult]], "REG"))) + (1*(SUMIFS(Table2[[HomeWon_]:[HomeWon_]], Table2[[GameIsOver]:[GameIsOver]],1,Table2[[AwayTeam]:[AwayTeam]],$T14, Table2[[HomeTeam]:[HomeTeam]], AM$11, Table2[[ActualResult]:[ActualResult]], "OT") + SUMIFS(Table2[[AwayWon]:[AwayWon]], Table2[[GameIsOver]:[GameIsOver]],1,Table2[[HomeTeam]:[HomeTeam]],$T14, Table2[[AwayTeam]:[AwayTeam]], AM$11, Table2[[ActualResult]:[ActualResult]], "OT") + SUMIFS(Table2[[HomeWon_]:[HomeWon_]], Table2[[GameIsOver]:[GameIsOver]],1,Table2[[AwayTeam]:[AwayTeam]],$T14, Table2[[HomeTeam]:[HomeTeam]], AM$11, Table2[[ActualResult]:[ActualResult]], "SO") + SUMIFS(Table2[[AwayWon]:[AwayWon]], Table2[[GameIsOver]:[GameIsOver]],1,Table2[[HomeTeam]:[HomeTeam]],$T14, Table2[[AwayTeam]:[AwayTeam]], AM$11, Table2[[ActualResult]:[ActualResult]], "SO")))</f>
        <v>2</v>
      </c>
      <c r="AN14">
        <f>(2*(SUMIFS(Table2[[AwayWon]:[AwayWon]], Table2[[GameIsOver]:[GameIsOver]],1,Table2[[AwayTeam]:[AwayTeam]],$T14, Table2[[HomeTeam]:[HomeTeam]], AN$11) + SUMIFS(Table2[[HomeWon_]:[HomeWon_]], Table2[[GameIsOver]:[GameIsOver]],1,Table2[[HomeTeam]:[HomeTeam]],$T14, Table2[[AwayTeam]:[AwayTeam]], AN$11))) + (0*(SUMIFS(Table2[[HomeWon_]:[HomeWon_]], Table2[[GameIsOver]:[GameIsOver]],1,Table2[[AwayTeam]:[AwayTeam]],$T14, Table2[[HomeTeam]:[HomeTeam]], AN$11, Table2[[ActualResult]:[ActualResult]], "REG") + SUMIFS(Table2[[AwayWon]:[AwayWon]], Table2[[GameIsOver]:[GameIsOver]],1,Table2[[HomeTeam]:[HomeTeam]],$T14, Table2[[AwayTeam]:[AwayTeam]], AN$11, Table2[[ActualResult]:[ActualResult]], "REG"))) + (1*(SUMIFS(Table2[[HomeWon_]:[HomeWon_]], Table2[[GameIsOver]:[GameIsOver]],1,Table2[[AwayTeam]:[AwayTeam]],$T14, Table2[[HomeTeam]:[HomeTeam]], AN$11, Table2[[ActualResult]:[ActualResult]], "OT") + SUMIFS(Table2[[AwayWon]:[AwayWon]], Table2[[GameIsOver]:[GameIsOver]],1,Table2[[HomeTeam]:[HomeTeam]],$T14, Table2[[AwayTeam]:[AwayTeam]], AN$11, Table2[[ActualResult]:[ActualResult]], "OT") + SUMIFS(Table2[[HomeWon_]:[HomeWon_]], Table2[[GameIsOver]:[GameIsOver]],1,Table2[[AwayTeam]:[AwayTeam]],$T14, Table2[[HomeTeam]:[HomeTeam]], AN$11, Table2[[ActualResult]:[ActualResult]], "SO") + SUMIFS(Table2[[AwayWon]:[AwayWon]], Table2[[GameIsOver]:[GameIsOver]],1,Table2[[HomeTeam]:[HomeTeam]],$T14, Table2[[AwayTeam]:[AwayTeam]], AN$11, Table2[[ActualResult]:[ActualResult]], "SO")))</f>
        <v>0</v>
      </c>
      <c r="AO14">
        <f>(2*(SUMIFS(Table2[[AwayWon]:[AwayWon]], Table2[[GameIsOver]:[GameIsOver]],1,Table2[[AwayTeam]:[AwayTeam]],$T14, Table2[[HomeTeam]:[HomeTeam]], AO$11) + SUMIFS(Table2[[HomeWon_]:[HomeWon_]], Table2[[GameIsOver]:[GameIsOver]],1,Table2[[HomeTeam]:[HomeTeam]],$T14, Table2[[AwayTeam]:[AwayTeam]], AO$11))) + (0*(SUMIFS(Table2[[HomeWon_]:[HomeWon_]], Table2[[GameIsOver]:[GameIsOver]],1,Table2[[AwayTeam]:[AwayTeam]],$T14, Table2[[HomeTeam]:[HomeTeam]], AO$11, Table2[[ActualResult]:[ActualResult]], "REG") + SUMIFS(Table2[[AwayWon]:[AwayWon]], Table2[[GameIsOver]:[GameIsOver]],1,Table2[[HomeTeam]:[HomeTeam]],$T14, Table2[[AwayTeam]:[AwayTeam]], AO$11, Table2[[ActualResult]:[ActualResult]], "REG"))) + (1*(SUMIFS(Table2[[HomeWon_]:[HomeWon_]], Table2[[GameIsOver]:[GameIsOver]],1,Table2[[AwayTeam]:[AwayTeam]],$T14, Table2[[HomeTeam]:[HomeTeam]], AO$11, Table2[[ActualResult]:[ActualResult]], "OT") + SUMIFS(Table2[[AwayWon]:[AwayWon]], Table2[[GameIsOver]:[GameIsOver]],1,Table2[[HomeTeam]:[HomeTeam]],$T14, Table2[[AwayTeam]:[AwayTeam]], AO$11, Table2[[ActualResult]:[ActualResult]], "OT") + SUMIFS(Table2[[HomeWon_]:[HomeWon_]], Table2[[GameIsOver]:[GameIsOver]],1,Table2[[AwayTeam]:[AwayTeam]],$T14, Table2[[HomeTeam]:[HomeTeam]], AO$11, Table2[[ActualResult]:[ActualResult]], "SO") + SUMIFS(Table2[[AwayWon]:[AwayWon]], Table2[[GameIsOver]:[GameIsOver]],1,Table2[[HomeTeam]:[HomeTeam]],$T14, Table2[[AwayTeam]:[AwayTeam]], AO$11, Table2[[ActualResult]:[ActualResult]], "SO")))</f>
        <v>0</v>
      </c>
      <c r="AP14">
        <f>(2*(SUMIFS(Table2[[AwayWon]:[AwayWon]], Table2[[GameIsOver]:[GameIsOver]],1,Table2[[AwayTeam]:[AwayTeam]],$T14, Table2[[HomeTeam]:[HomeTeam]], AP$11) + SUMIFS(Table2[[HomeWon_]:[HomeWon_]], Table2[[GameIsOver]:[GameIsOver]],1,Table2[[HomeTeam]:[HomeTeam]],$T14, Table2[[AwayTeam]:[AwayTeam]], AP$11))) + (0*(SUMIFS(Table2[[HomeWon_]:[HomeWon_]], Table2[[GameIsOver]:[GameIsOver]],1,Table2[[AwayTeam]:[AwayTeam]],$T14, Table2[[HomeTeam]:[HomeTeam]], AP$11, Table2[[ActualResult]:[ActualResult]], "REG") + SUMIFS(Table2[[AwayWon]:[AwayWon]], Table2[[GameIsOver]:[GameIsOver]],1,Table2[[HomeTeam]:[HomeTeam]],$T14, Table2[[AwayTeam]:[AwayTeam]], AP$11, Table2[[ActualResult]:[ActualResult]], "REG"))) + (1*(SUMIFS(Table2[[HomeWon_]:[HomeWon_]], Table2[[GameIsOver]:[GameIsOver]],1,Table2[[AwayTeam]:[AwayTeam]],$T14, Table2[[HomeTeam]:[HomeTeam]], AP$11, Table2[[ActualResult]:[ActualResult]], "OT") + SUMIFS(Table2[[AwayWon]:[AwayWon]], Table2[[GameIsOver]:[GameIsOver]],1,Table2[[HomeTeam]:[HomeTeam]],$T14, Table2[[AwayTeam]:[AwayTeam]], AP$11, Table2[[ActualResult]:[ActualResult]], "OT") + SUMIFS(Table2[[HomeWon_]:[HomeWon_]], Table2[[GameIsOver]:[GameIsOver]],1,Table2[[AwayTeam]:[AwayTeam]],$T14, Table2[[HomeTeam]:[HomeTeam]], AP$11, Table2[[ActualResult]:[ActualResult]], "SO") + SUMIFS(Table2[[AwayWon]:[AwayWon]], Table2[[GameIsOver]:[GameIsOver]],1,Table2[[HomeTeam]:[HomeTeam]],$T14, Table2[[AwayTeam]:[AwayTeam]], AP$11, Table2[[ActualResult]:[ActualResult]], "SO")))</f>
        <v>0</v>
      </c>
      <c r="AQ14">
        <f>(2*(SUMIFS(Table2[[AwayWon]:[AwayWon]], Table2[[GameIsOver]:[GameIsOver]],1,Table2[[AwayTeam]:[AwayTeam]],$T14, Table2[[HomeTeam]:[HomeTeam]], AQ$11) + SUMIFS(Table2[[HomeWon_]:[HomeWon_]], Table2[[GameIsOver]:[GameIsOver]],1,Table2[[HomeTeam]:[HomeTeam]],$T14, Table2[[AwayTeam]:[AwayTeam]], AQ$11))) + (0*(SUMIFS(Table2[[HomeWon_]:[HomeWon_]], Table2[[GameIsOver]:[GameIsOver]],1,Table2[[AwayTeam]:[AwayTeam]],$T14, Table2[[HomeTeam]:[HomeTeam]], AQ$11, Table2[[ActualResult]:[ActualResult]], "REG") + SUMIFS(Table2[[AwayWon]:[AwayWon]], Table2[[GameIsOver]:[GameIsOver]],1,Table2[[HomeTeam]:[HomeTeam]],$T14, Table2[[AwayTeam]:[AwayTeam]], AQ$11, Table2[[ActualResult]:[ActualResult]], "REG"))) + (1*(SUMIFS(Table2[[HomeWon_]:[HomeWon_]], Table2[[GameIsOver]:[GameIsOver]],1,Table2[[AwayTeam]:[AwayTeam]],$T14, Table2[[HomeTeam]:[HomeTeam]], AQ$11, Table2[[ActualResult]:[ActualResult]], "OT") + SUMIFS(Table2[[AwayWon]:[AwayWon]], Table2[[GameIsOver]:[GameIsOver]],1,Table2[[HomeTeam]:[HomeTeam]],$T14, Table2[[AwayTeam]:[AwayTeam]], AQ$11, Table2[[ActualResult]:[ActualResult]], "OT") + SUMIFS(Table2[[HomeWon_]:[HomeWon_]], Table2[[GameIsOver]:[GameIsOver]],1,Table2[[AwayTeam]:[AwayTeam]],$T14, Table2[[HomeTeam]:[HomeTeam]], AQ$11, Table2[[ActualResult]:[ActualResult]], "SO") + SUMIFS(Table2[[AwayWon]:[AwayWon]], Table2[[GameIsOver]:[GameIsOver]],1,Table2[[HomeTeam]:[HomeTeam]],$T14, Table2[[AwayTeam]:[AwayTeam]], AQ$11, Table2[[ActualResult]:[ActualResult]], "SO")))</f>
        <v>0</v>
      </c>
      <c r="AR14">
        <f>(2*(SUMIFS(Table2[[AwayWon]:[AwayWon]], Table2[[GameIsOver]:[GameIsOver]],1,Table2[[AwayTeam]:[AwayTeam]],$T14, Table2[[HomeTeam]:[HomeTeam]], AR$11) + SUMIFS(Table2[[HomeWon_]:[HomeWon_]], Table2[[GameIsOver]:[GameIsOver]],1,Table2[[HomeTeam]:[HomeTeam]],$T14, Table2[[AwayTeam]:[AwayTeam]], AR$11))) + (0*(SUMIFS(Table2[[HomeWon_]:[HomeWon_]], Table2[[GameIsOver]:[GameIsOver]],1,Table2[[AwayTeam]:[AwayTeam]],$T14, Table2[[HomeTeam]:[HomeTeam]], AR$11, Table2[[ActualResult]:[ActualResult]], "REG") + SUMIFS(Table2[[AwayWon]:[AwayWon]], Table2[[GameIsOver]:[GameIsOver]],1,Table2[[HomeTeam]:[HomeTeam]],$T14, Table2[[AwayTeam]:[AwayTeam]], AR$11, Table2[[ActualResult]:[ActualResult]], "REG"))) + (1*(SUMIFS(Table2[[HomeWon_]:[HomeWon_]], Table2[[GameIsOver]:[GameIsOver]],1,Table2[[AwayTeam]:[AwayTeam]],$T14, Table2[[HomeTeam]:[HomeTeam]], AR$11, Table2[[ActualResult]:[ActualResult]], "OT") + SUMIFS(Table2[[AwayWon]:[AwayWon]], Table2[[GameIsOver]:[GameIsOver]],1,Table2[[HomeTeam]:[HomeTeam]],$T14, Table2[[AwayTeam]:[AwayTeam]], AR$11, Table2[[ActualResult]:[ActualResult]], "OT") + SUMIFS(Table2[[HomeWon_]:[HomeWon_]], Table2[[GameIsOver]:[GameIsOver]],1,Table2[[AwayTeam]:[AwayTeam]],$T14, Table2[[HomeTeam]:[HomeTeam]], AR$11, Table2[[ActualResult]:[ActualResult]], "SO") + SUMIFS(Table2[[AwayWon]:[AwayWon]], Table2[[GameIsOver]:[GameIsOver]],1,Table2[[HomeTeam]:[HomeTeam]],$T14, Table2[[AwayTeam]:[AwayTeam]], AR$11, Table2[[ActualResult]:[ActualResult]], "SO")))</f>
        <v>0</v>
      </c>
      <c r="AS14">
        <f>(2*(SUMIFS(Table2[[AwayWon]:[AwayWon]], Table2[[GameIsOver]:[GameIsOver]],1,Table2[[AwayTeam]:[AwayTeam]],$T14, Table2[[HomeTeam]:[HomeTeam]], AS$11) + SUMIFS(Table2[[HomeWon_]:[HomeWon_]], Table2[[GameIsOver]:[GameIsOver]],1,Table2[[HomeTeam]:[HomeTeam]],$T14, Table2[[AwayTeam]:[AwayTeam]], AS$11))) + (0*(SUMIFS(Table2[[HomeWon_]:[HomeWon_]], Table2[[GameIsOver]:[GameIsOver]],1,Table2[[AwayTeam]:[AwayTeam]],$T14, Table2[[HomeTeam]:[HomeTeam]], AS$11, Table2[[ActualResult]:[ActualResult]], "REG") + SUMIFS(Table2[[AwayWon]:[AwayWon]], Table2[[GameIsOver]:[GameIsOver]],1,Table2[[HomeTeam]:[HomeTeam]],$T14, Table2[[AwayTeam]:[AwayTeam]], AS$11, Table2[[ActualResult]:[ActualResult]], "REG"))) + (1*(SUMIFS(Table2[[HomeWon_]:[HomeWon_]], Table2[[GameIsOver]:[GameIsOver]],1,Table2[[AwayTeam]:[AwayTeam]],$T14, Table2[[HomeTeam]:[HomeTeam]], AS$11, Table2[[ActualResult]:[ActualResult]], "OT") + SUMIFS(Table2[[AwayWon]:[AwayWon]], Table2[[GameIsOver]:[GameIsOver]],1,Table2[[HomeTeam]:[HomeTeam]],$T14, Table2[[AwayTeam]:[AwayTeam]], AS$11, Table2[[ActualResult]:[ActualResult]], "OT") + SUMIFS(Table2[[HomeWon_]:[HomeWon_]], Table2[[GameIsOver]:[GameIsOver]],1,Table2[[AwayTeam]:[AwayTeam]],$T14, Table2[[HomeTeam]:[HomeTeam]], AS$11, Table2[[ActualResult]:[ActualResult]], "SO") + SUMIFS(Table2[[AwayWon]:[AwayWon]], Table2[[GameIsOver]:[GameIsOver]],1,Table2[[HomeTeam]:[HomeTeam]],$T14, Table2[[AwayTeam]:[AwayTeam]], AS$11, Table2[[ActualResult]:[ActualResult]], "SO")))</f>
        <v>0</v>
      </c>
      <c r="AT14">
        <f>(2*(SUMIFS(Table2[[AwayWon]:[AwayWon]], Table2[[GameIsOver]:[GameIsOver]],1,Table2[[AwayTeam]:[AwayTeam]],$T14, Table2[[HomeTeam]:[HomeTeam]], AT$11) + SUMIFS(Table2[[HomeWon_]:[HomeWon_]], Table2[[GameIsOver]:[GameIsOver]],1,Table2[[HomeTeam]:[HomeTeam]],$T14, Table2[[AwayTeam]:[AwayTeam]], AT$11))) + (0*(SUMIFS(Table2[[HomeWon_]:[HomeWon_]], Table2[[GameIsOver]:[GameIsOver]],1,Table2[[AwayTeam]:[AwayTeam]],$T14, Table2[[HomeTeam]:[HomeTeam]], AT$11, Table2[[ActualResult]:[ActualResult]], "REG") + SUMIFS(Table2[[AwayWon]:[AwayWon]], Table2[[GameIsOver]:[GameIsOver]],1,Table2[[HomeTeam]:[HomeTeam]],$T14, Table2[[AwayTeam]:[AwayTeam]], AT$11, Table2[[ActualResult]:[ActualResult]], "REG"))) + (1*(SUMIFS(Table2[[HomeWon_]:[HomeWon_]], Table2[[GameIsOver]:[GameIsOver]],1,Table2[[AwayTeam]:[AwayTeam]],$T14, Table2[[HomeTeam]:[HomeTeam]], AT$11, Table2[[ActualResult]:[ActualResult]], "OT") + SUMIFS(Table2[[AwayWon]:[AwayWon]], Table2[[GameIsOver]:[GameIsOver]],1,Table2[[HomeTeam]:[HomeTeam]],$T14, Table2[[AwayTeam]:[AwayTeam]], AT$11, Table2[[ActualResult]:[ActualResult]], "OT") + SUMIFS(Table2[[HomeWon_]:[HomeWon_]], Table2[[GameIsOver]:[GameIsOver]],1,Table2[[AwayTeam]:[AwayTeam]],$T14, Table2[[HomeTeam]:[HomeTeam]], AT$11, Table2[[ActualResult]:[ActualResult]], "SO") + SUMIFS(Table2[[AwayWon]:[AwayWon]], Table2[[GameIsOver]:[GameIsOver]],1,Table2[[HomeTeam]:[HomeTeam]],$T14, Table2[[AwayTeam]:[AwayTeam]], AT$11, Table2[[ActualResult]:[ActualResult]], "SO")))</f>
        <v>2</v>
      </c>
      <c r="AU14">
        <f>(2*(SUMIFS(Table2[[AwayWon]:[AwayWon]], Table2[[GameIsOver]:[GameIsOver]],1,Table2[[AwayTeam]:[AwayTeam]],$T14, Table2[[HomeTeam]:[HomeTeam]], AU$11) + SUMIFS(Table2[[HomeWon_]:[HomeWon_]], Table2[[GameIsOver]:[GameIsOver]],1,Table2[[HomeTeam]:[HomeTeam]],$T14, Table2[[AwayTeam]:[AwayTeam]], AU$11))) + (0*(SUMIFS(Table2[[HomeWon_]:[HomeWon_]], Table2[[GameIsOver]:[GameIsOver]],1,Table2[[AwayTeam]:[AwayTeam]],$T14, Table2[[HomeTeam]:[HomeTeam]], AU$11, Table2[[ActualResult]:[ActualResult]], "REG") + SUMIFS(Table2[[AwayWon]:[AwayWon]], Table2[[GameIsOver]:[GameIsOver]],1,Table2[[HomeTeam]:[HomeTeam]],$T14, Table2[[AwayTeam]:[AwayTeam]], AU$11, Table2[[ActualResult]:[ActualResult]], "REG"))) + (1*(SUMIFS(Table2[[HomeWon_]:[HomeWon_]], Table2[[GameIsOver]:[GameIsOver]],1,Table2[[AwayTeam]:[AwayTeam]],$T14, Table2[[HomeTeam]:[HomeTeam]], AU$11, Table2[[ActualResult]:[ActualResult]], "OT") + SUMIFS(Table2[[AwayWon]:[AwayWon]], Table2[[GameIsOver]:[GameIsOver]],1,Table2[[HomeTeam]:[HomeTeam]],$T14, Table2[[AwayTeam]:[AwayTeam]], AU$11, Table2[[ActualResult]:[ActualResult]], "OT") + SUMIFS(Table2[[HomeWon_]:[HomeWon_]], Table2[[GameIsOver]:[GameIsOver]],1,Table2[[AwayTeam]:[AwayTeam]],$T14, Table2[[HomeTeam]:[HomeTeam]], AU$11, Table2[[ActualResult]:[ActualResult]], "SO") + SUMIFS(Table2[[AwayWon]:[AwayWon]], Table2[[GameIsOver]:[GameIsOver]],1,Table2[[HomeTeam]:[HomeTeam]],$T14, Table2[[AwayTeam]:[AwayTeam]], AU$11, Table2[[ActualResult]:[ActualResult]], "SO")))</f>
        <v>2</v>
      </c>
      <c r="AV14">
        <f>(2*(SUMIFS(Table2[[AwayWon]:[AwayWon]], Table2[[GameIsOver]:[GameIsOver]],1,Table2[[AwayTeam]:[AwayTeam]],$T14, Table2[[HomeTeam]:[HomeTeam]], AV$11) + SUMIFS(Table2[[HomeWon_]:[HomeWon_]], Table2[[GameIsOver]:[GameIsOver]],1,Table2[[HomeTeam]:[HomeTeam]],$T14, Table2[[AwayTeam]:[AwayTeam]], AV$11))) + (0*(SUMIFS(Table2[[HomeWon_]:[HomeWon_]], Table2[[GameIsOver]:[GameIsOver]],1,Table2[[AwayTeam]:[AwayTeam]],$T14, Table2[[HomeTeam]:[HomeTeam]], AV$11, Table2[[ActualResult]:[ActualResult]], "REG") + SUMIFS(Table2[[AwayWon]:[AwayWon]], Table2[[GameIsOver]:[GameIsOver]],1,Table2[[HomeTeam]:[HomeTeam]],$T14, Table2[[AwayTeam]:[AwayTeam]], AV$11, Table2[[ActualResult]:[ActualResult]], "REG"))) + (1*(SUMIFS(Table2[[HomeWon_]:[HomeWon_]], Table2[[GameIsOver]:[GameIsOver]],1,Table2[[AwayTeam]:[AwayTeam]],$T14, Table2[[HomeTeam]:[HomeTeam]], AV$11, Table2[[ActualResult]:[ActualResult]], "OT") + SUMIFS(Table2[[AwayWon]:[AwayWon]], Table2[[GameIsOver]:[GameIsOver]],1,Table2[[HomeTeam]:[HomeTeam]],$T14, Table2[[AwayTeam]:[AwayTeam]], AV$11, Table2[[ActualResult]:[ActualResult]], "OT") + SUMIFS(Table2[[HomeWon_]:[HomeWon_]], Table2[[GameIsOver]:[GameIsOver]],1,Table2[[AwayTeam]:[AwayTeam]],$T14, Table2[[HomeTeam]:[HomeTeam]], AV$11, Table2[[ActualResult]:[ActualResult]], "SO") + SUMIFS(Table2[[AwayWon]:[AwayWon]], Table2[[GameIsOver]:[GameIsOver]],1,Table2[[HomeTeam]:[HomeTeam]],$T14, Table2[[AwayTeam]:[AwayTeam]], AV$11, Table2[[ActualResult]:[ActualResult]], "SO")))</f>
        <v>0</v>
      </c>
      <c r="AW14">
        <f>(2*(SUMIFS(Table2[[AwayWon]:[AwayWon]], Table2[[GameIsOver]:[GameIsOver]],1,Table2[[AwayTeam]:[AwayTeam]],$T14, Table2[[HomeTeam]:[HomeTeam]], AW$11) + SUMIFS(Table2[[HomeWon_]:[HomeWon_]], Table2[[GameIsOver]:[GameIsOver]],1,Table2[[HomeTeam]:[HomeTeam]],$T14, Table2[[AwayTeam]:[AwayTeam]], AW$11))) + (0*(SUMIFS(Table2[[HomeWon_]:[HomeWon_]], Table2[[GameIsOver]:[GameIsOver]],1,Table2[[AwayTeam]:[AwayTeam]],$T14, Table2[[HomeTeam]:[HomeTeam]], AW$11, Table2[[ActualResult]:[ActualResult]], "REG") + SUMIFS(Table2[[AwayWon]:[AwayWon]], Table2[[GameIsOver]:[GameIsOver]],1,Table2[[HomeTeam]:[HomeTeam]],$T14, Table2[[AwayTeam]:[AwayTeam]], AW$11, Table2[[ActualResult]:[ActualResult]], "REG"))) + (1*(SUMIFS(Table2[[HomeWon_]:[HomeWon_]], Table2[[GameIsOver]:[GameIsOver]],1,Table2[[AwayTeam]:[AwayTeam]],$T14, Table2[[HomeTeam]:[HomeTeam]], AW$11, Table2[[ActualResult]:[ActualResult]], "OT") + SUMIFS(Table2[[AwayWon]:[AwayWon]], Table2[[GameIsOver]:[GameIsOver]],1,Table2[[HomeTeam]:[HomeTeam]],$T14, Table2[[AwayTeam]:[AwayTeam]], AW$11, Table2[[ActualResult]:[ActualResult]], "OT") + SUMIFS(Table2[[HomeWon_]:[HomeWon_]], Table2[[GameIsOver]:[GameIsOver]],1,Table2[[AwayTeam]:[AwayTeam]],$T14, Table2[[HomeTeam]:[HomeTeam]], AW$11, Table2[[ActualResult]:[ActualResult]], "SO") + SUMIFS(Table2[[AwayWon]:[AwayWon]], Table2[[GameIsOver]:[GameIsOver]],1,Table2[[HomeTeam]:[HomeTeam]],$T14, Table2[[AwayTeam]:[AwayTeam]], AW$11, Table2[[ActualResult]:[ActualResult]], "SO")))</f>
        <v>0</v>
      </c>
      <c r="AX14">
        <f>(2*(SUMIFS(Table2[[AwayWon]:[AwayWon]], Table2[[GameIsOver]:[GameIsOver]],1,Table2[[AwayTeam]:[AwayTeam]],$T14, Table2[[HomeTeam]:[HomeTeam]], AX$11) + SUMIFS(Table2[[HomeWon_]:[HomeWon_]], Table2[[GameIsOver]:[GameIsOver]],1,Table2[[HomeTeam]:[HomeTeam]],$T14, Table2[[AwayTeam]:[AwayTeam]], AX$11))) + (0*(SUMIFS(Table2[[HomeWon_]:[HomeWon_]], Table2[[GameIsOver]:[GameIsOver]],1,Table2[[AwayTeam]:[AwayTeam]],$T14, Table2[[HomeTeam]:[HomeTeam]], AX$11, Table2[[ActualResult]:[ActualResult]], "REG") + SUMIFS(Table2[[AwayWon]:[AwayWon]], Table2[[GameIsOver]:[GameIsOver]],1,Table2[[HomeTeam]:[HomeTeam]],$T14, Table2[[AwayTeam]:[AwayTeam]], AX$11, Table2[[ActualResult]:[ActualResult]], "REG"))) + (1*(SUMIFS(Table2[[HomeWon_]:[HomeWon_]], Table2[[GameIsOver]:[GameIsOver]],1,Table2[[AwayTeam]:[AwayTeam]],$T14, Table2[[HomeTeam]:[HomeTeam]], AX$11, Table2[[ActualResult]:[ActualResult]], "OT") + SUMIFS(Table2[[AwayWon]:[AwayWon]], Table2[[GameIsOver]:[GameIsOver]],1,Table2[[HomeTeam]:[HomeTeam]],$T14, Table2[[AwayTeam]:[AwayTeam]], AX$11, Table2[[ActualResult]:[ActualResult]], "OT") + SUMIFS(Table2[[HomeWon_]:[HomeWon_]], Table2[[GameIsOver]:[GameIsOver]],1,Table2[[AwayTeam]:[AwayTeam]],$T14, Table2[[HomeTeam]:[HomeTeam]], AX$11, Table2[[ActualResult]:[ActualResult]], "SO") + SUMIFS(Table2[[AwayWon]:[AwayWon]], Table2[[GameIsOver]:[GameIsOver]],1,Table2[[HomeTeam]:[HomeTeam]],$T14, Table2[[AwayTeam]:[AwayTeam]], AX$11, Table2[[ActualResult]:[ActualResult]], "SO")))</f>
        <v>0</v>
      </c>
      <c r="AY14">
        <f>(2*(SUMIFS(Table2[[AwayWon]:[AwayWon]], Table2[[GameIsOver]:[GameIsOver]],1,Table2[[AwayTeam]:[AwayTeam]],$T14, Table2[[HomeTeam]:[HomeTeam]], AY$11) + SUMIFS(Table2[[HomeWon_]:[HomeWon_]], Table2[[GameIsOver]:[GameIsOver]],1,Table2[[HomeTeam]:[HomeTeam]],$T14, Table2[[AwayTeam]:[AwayTeam]], AY$11))) + (0*(SUMIFS(Table2[[HomeWon_]:[HomeWon_]], Table2[[GameIsOver]:[GameIsOver]],1,Table2[[AwayTeam]:[AwayTeam]],$T14, Table2[[HomeTeam]:[HomeTeam]], AY$11, Table2[[ActualResult]:[ActualResult]], "REG") + SUMIFS(Table2[[AwayWon]:[AwayWon]], Table2[[GameIsOver]:[GameIsOver]],1,Table2[[HomeTeam]:[HomeTeam]],$T14, Table2[[AwayTeam]:[AwayTeam]], AY$11, Table2[[ActualResult]:[ActualResult]], "REG"))) + (1*(SUMIFS(Table2[[HomeWon_]:[HomeWon_]], Table2[[GameIsOver]:[GameIsOver]],1,Table2[[AwayTeam]:[AwayTeam]],$T14, Table2[[HomeTeam]:[HomeTeam]], AY$11, Table2[[ActualResult]:[ActualResult]], "OT") + SUMIFS(Table2[[AwayWon]:[AwayWon]], Table2[[GameIsOver]:[GameIsOver]],1,Table2[[HomeTeam]:[HomeTeam]],$T14, Table2[[AwayTeam]:[AwayTeam]], AY$11, Table2[[ActualResult]:[ActualResult]], "OT") + SUMIFS(Table2[[HomeWon_]:[HomeWon_]], Table2[[GameIsOver]:[GameIsOver]],1,Table2[[AwayTeam]:[AwayTeam]],$T14, Table2[[HomeTeam]:[HomeTeam]], AY$11, Table2[[ActualResult]:[ActualResult]], "SO") + SUMIFS(Table2[[AwayWon]:[AwayWon]], Table2[[GameIsOver]:[GameIsOver]],1,Table2[[HomeTeam]:[HomeTeam]],$T14, Table2[[AwayTeam]:[AwayTeam]], AY$11, Table2[[ActualResult]:[ActualResult]], "SO")))</f>
        <v>0</v>
      </c>
      <c r="AZ14">
        <f>(2*(SUMIFS(Table2[[AwayWon]:[AwayWon]], Table2[[GameIsOver]:[GameIsOver]],1,Table2[[AwayTeam]:[AwayTeam]],$T14, Table2[[HomeTeam]:[HomeTeam]], AZ$11) + SUMIFS(Table2[[HomeWon_]:[HomeWon_]], Table2[[GameIsOver]:[GameIsOver]],1,Table2[[HomeTeam]:[HomeTeam]],$T14, Table2[[AwayTeam]:[AwayTeam]], AZ$11))) + (0*(SUMIFS(Table2[[HomeWon_]:[HomeWon_]], Table2[[GameIsOver]:[GameIsOver]],1,Table2[[AwayTeam]:[AwayTeam]],$T14, Table2[[HomeTeam]:[HomeTeam]], AZ$11, Table2[[ActualResult]:[ActualResult]], "REG") + SUMIFS(Table2[[AwayWon]:[AwayWon]], Table2[[GameIsOver]:[GameIsOver]],1,Table2[[HomeTeam]:[HomeTeam]],$T14, Table2[[AwayTeam]:[AwayTeam]], AZ$11, Table2[[ActualResult]:[ActualResult]], "REG"))) + (1*(SUMIFS(Table2[[HomeWon_]:[HomeWon_]], Table2[[GameIsOver]:[GameIsOver]],1,Table2[[AwayTeam]:[AwayTeam]],$T14, Table2[[HomeTeam]:[HomeTeam]], AZ$11, Table2[[ActualResult]:[ActualResult]], "OT") + SUMIFS(Table2[[AwayWon]:[AwayWon]], Table2[[GameIsOver]:[GameIsOver]],1,Table2[[HomeTeam]:[HomeTeam]],$T14, Table2[[AwayTeam]:[AwayTeam]], AZ$11, Table2[[ActualResult]:[ActualResult]], "OT") + SUMIFS(Table2[[HomeWon_]:[HomeWon_]], Table2[[GameIsOver]:[GameIsOver]],1,Table2[[AwayTeam]:[AwayTeam]],$T14, Table2[[HomeTeam]:[HomeTeam]], AZ$11, Table2[[ActualResult]:[ActualResult]], "SO") + SUMIFS(Table2[[AwayWon]:[AwayWon]], Table2[[GameIsOver]:[GameIsOver]],1,Table2[[HomeTeam]:[HomeTeam]],$T14, Table2[[AwayTeam]:[AwayTeam]], AZ$11, Table2[[ActualResult]:[ActualResult]], "SO")))</f>
        <v>0</v>
      </c>
      <c r="BA14">
        <f>(2*(SUMIFS(Table2[[AwayWon]:[AwayWon]], Table2[[GameIsOver]:[GameIsOver]],1,Table2[[AwayTeam]:[AwayTeam]],$T14, Table2[[HomeTeam]:[HomeTeam]], BA$11) + SUMIFS(Table2[[HomeWon_]:[HomeWon_]], Table2[[GameIsOver]:[GameIsOver]],1,Table2[[HomeTeam]:[HomeTeam]],$T14, Table2[[AwayTeam]:[AwayTeam]], BA$11))) + (0*(SUMIFS(Table2[[HomeWon_]:[HomeWon_]], Table2[[GameIsOver]:[GameIsOver]],1,Table2[[AwayTeam]:[AwayTeam]],$T14, Table2[[HomeTeam]:[HomeTeam]], BA$11, Table2[[ActualResult]:[ActualResult]], "REG") + SUMIFS(Table2[[AwayWon]:[AwayWon]], Table2[[GameIsOver]:[GameIsOver]],1,Table2[[HomeTeam]:[HomeTeam]],$T14, Table2[[AwayTeam]:[AwayTeam]], BA$11, Table2[[ActualResult]:[ActualResult]], "REG"))) + (1*(SUMIFS(Table2[[HomeWon_]:[HomeWon_]], Table2[[GameIsOver]:[GameIsOver]],1,Table2[[AwayTeam]:[AwayTeam]],$T14, Table2[[HomeTeam]:[HomeTeam]], BA$11, Table2[[ActualResult]:[ActualResult]], "OT") + SUMIFS(Table2[[AwayWon]:[AwayWon]], Table2[[GameIsOver]:[GameIsOver]],1,Table2[[HomeTeam]:[HomeTeam]],$T14, Table2[[AwayTeam]:[AwayTeam]], BA$11, Table2[[ActualResult]:[ActualResult]], "OT") + SUMIFS(Table2[[HomeWon_]:[HomeWon_]], Table2[[GameIsOver]:[GameIsOver]],1,Table2[[AwayTeam]:[AwayTeam]],$T14, Table2[[HomeTeam]:[HomeTeam]], BA$11, Table2[[ActualResult]:[ActualResult]], "SO") + SUMIFS(Table2[[AwayWon]:[AwayWon]], Table2[[GameIsOver]:[GameIsOver]],1,Table2[[HomeTeam]:[HomeTeam]],$T14, Table2[[AwayTeam]:[AwayTeam]], BA$11, Table2[[ActualResult]:[ActualResult]], "SO")))</f>
        <v>0</v>
      </c>
    </row>
    <row r="15" spans="1:53" x14ac:dyDescent="0.25">
      <c r="A15" s="62" t="s">
        <v>36</v>
      </c>
      <c r="B15" s="62" t="s">
        <v>90</v>
      </c>
      <c r="C15" s="62" t="s">
        <v>88</v>
      </c>
      <c r="D15" s="62">
        <f>INDEX(Table3[PTS], MATCH(Table6[[#This Row],[Teams]], Table3[Teams],0))</f>
        <v>7</v>
      </c>
      <c r="E15" s="62">
        <f>INDEX(Table3[PTS], MATCH(Table6[[#This Row],[Teams]], Table3[Teams],0))</f>
        <v>7</v>
      </c>
      <c r="S15">
        <v>6</v>
      </c>
      <c r="T15" t="str" cm="1">
        <f t="array" ref="T15">INDEX(Table6[Teams], SMALL(IF(Table6[D]="C", ROW(Table6[Teams])-ROW(Table6[#Headers])), Table710[[#This Row],[CEN]]))</f>
        <v>STL</v>
      </c>
      <c r="U15">
        <f>INDEX(Table6[PTS], MATCH($T15, Table6[Teams], 0))</f>
        <v>7</v>
      </c>
      <c r="V15">
        <f>(2*(SUMIFS(Table2[[AwayWon]:[AwayWon]], Table2[[GameIsOver]:[GameIsOver]],1,Table2[[AwayTeam]:[AwayTeam]],$T15, Table2[[HomeTeam]:[HomeTeam]], V$11) + SUMIFS(Table2[[HomeWon_]:[HomeWon_]], Table2[[GameIsOver]:[GameIsOver]],1,Table2[[HomeTeam]:[HomeTeam]],$T15, Table2[[AwayTeam]:[AwayTeam]], V$11))) + (0*(SUMIFS(Table2[[HomeWon_]:[HomeWon_]], Table2[[GameIsOver]:[GameIsOver]],1,Table2[[AwayTeam]:[AwayTeam]],$T15, Table2[[HomeTeam]:[HomeTeam]], V$11, Table2[[ActualResult]:[ActualResult]], "REG") + SUMIFS(Table2[[AwayWon]:[AwayWon]], Table2[[GameIsOver]:[GameIsOver]],1,Table2[[HomeTeam]:[HomeTeam]],$T15, Table2[[AwayTeam]:[AwayTeam]], V$11, Table2[[ActualResult]:[ActualResult]], "REG"))) + (1*(SUMIFS(Table2[[HomeWon_]:[HomeWon_]], Table2[[GameIsOver]:[GameIsOver]],1,Table2[[AwayTeam]:[AwayTeam]],$T15, Table2[[HomeTeam]:[HomeTeam]], V$11, Table2[[ActualResult]:[ActualResult]], "OT") + SUMIFS(Table2[[AwayWon]:[AwayWon]], Table2[[GameIsOver]:[GameIsOver]],1,Table2[[HomeTeam]:[HomeTeam]],$T15, Table2[[AwayTeam]:[AwayTeam]], V$11, Table2[[ActualResult]:[ActualResult]], "OT") + SUMIFS(Table2[[HomeWon_]:[HomeWon_]], Table2[[GameIsOver]:[GameIsOver]],1,Table2[[AwayTeam]:[AwayTeam]],$T15, Table2[[HomeTeam]:[HomeTeam]], V$11, Table2[[ActualResult]:[ActualResult]], "SO") + SUMIFS(Table2[[AwayWon]:[AwayWon]], Table2[[GameIsOver]:[GameIsOver]],1,Table2[[HomeTeam]:[HomeTeam]],$T15, Table2[[AwayTeam]:[AwayTeam]], V$11, Table2[[ActualResult]:[ActualResult]], "SO")))</f>
        <v>0</v>
      </c>
      <c r="W15">
        <f>(2*(SUMIFS(Table2[[AwayWon]:[AwayWon]], Table2[[GameIsOver]:[GameIsOver]],1,Table2[[AwayTeam]:[AwayTeam]],$T15, Table2[[HomeTeam]:[HomeTeam]], W$11) + SUMIFS(Table2[[HomeWon_]:[HomeWon_]], Table2[[GameIsOver]:[GameIsOver]],1,Table2[[HomeTeam]:[HomeTeam]],$T15, Table2[[AwayTeam]:[AwayTeam]], W$11))) + (0*(SUMIFS(Table2[[HomeWon_]:[HomeWon_]], Table2[[GameIsOver]:[GameIsOver]],1,Table2[[AwayTeam]:[AwayTeam]],$T15, Table2[[HomeTeam]:[HomeTeam]], W$11, Table2[[ActualResult]:[ActualResult]], "REG") + SUMIFS(Table2[[AwayWon]:[AwayWon]], Table2[[GameIsOver]:[GameIsOver]],1,Table2[[HomeTeam]:[HomeTeam]],$T15, Table2[[AwayTeam]:[AwayTeam]], W$11, Table2[[ActualResult]:[ActualResult]], "REG"))) + (1*(SUMIFS(Table2[[HomeWon_]:[HomeWon_]], Table2[[GameIsOver]:[GameIsOver]],1,Table2[[AwayTeam]:[AwayTeam]],$T15, Table2[[HomeTeam]:[HomeTeam]], W$11, Table2[[ActualResult]:[ActualResult]], "OT") + SUMIFS(Table2[[AwayWon]:[AwayWon]], Table2[[GameIsOver]:[GameIsOver]],1,Table2[[HomeTeam]:[HomeTeam]],$T15, Table2[[AwayTeam]:[AwayTeam]], W$11, Table2[[ActualResult]:[ActualResult]], "OT") + SUMIFS(Table2[[HomeWon_]:[HomeWon_]], Table2[[GameIsOver]:[GameIsOver]],1,Table2[[AwayTeam]:[AwayTeam]],$T15, Table2[[HomeTeam]:[HomeTeam]], W$11, Table2[[ActualResult]:[ActualResult]], "SO") + SUMIFS(Table2[[AwayWon]:[AwayWon]], Table2[[GameIsOver]:[GameIsOver]],1,Table2[[HomeTeam]:[HomeTeam]],$T15, Table2[[AwayTeam]:[AwayTeam]], W$11, Table2[[ActualResult]:[ActualResult]], "SO")))</f>
        <v>2</v>
      </c>
      <c r="X15">
        <f>(2*(SUMIFS(Table2[[AwayWon]:[AwayWon]], Table2[[GameIsOver]:[GameIsOver]],1,Table2[[AwayTeam]:[AwayTeam]],$T15, Table2[[HomeTeam]:[HomeTeam]], X$11) + SUMIFS(Table2[[HomeWon_]:[HomeWon_]], Table2[[GameIsOver]:[GameIsOver]],1,Table2[[HomeTeam]:[HomeTeam]],$T15, Table2[[AwayTeam]:[AwayTeam]], X$11))) + (0*(SUMIFS(Table2[[HomeWon_]:[HomeWon_]], Table2[[GameIsOver]:[GameIsOver]],1,Table2[[AwayTeam]:[AwayTeam]],$T15, Table2[[HomeTeam]:[HomeTeam]], X$11, Table2[[ActualResult]:[ActualResult]], "REG") + SUMIFS(Table2[[AwayWon]:[AwayWon]], Table2[[GameIsOver]:[GameIsOver]],1,Table2[[HomeTeam]:[HomeTeam]],$T15, Table2[[AwayTeam]:[AwayTeam]], X$11, Table2[[ActualResult]:[ActualResult]], "REG"))) + (1*(SUMIFS(Table2[[HomeWon_]:[HomeWon_]], Table2[[GameIsOver]:[GameIsOver]],1,Table2[[AwayTeam]:[AwayTeam]],$T15, Table2[[HomeTeam]:[HomeTeam]], X$11, Table2[[ActualResult]:[ActualResult]], "OT") + SUMIFS(Table2[[AwayWon]:[AwayWon]], Table2[[GameIsOver]:[GameIsOver]],1,Table2[[HomeTeam]:[HomeTeam]],$T15, Table2[[AwayTeam]:[AwayTeam]], X$11, Table2[[ActualResult]:[ActualResult]], "OT") + SUMIFS(Table2[[HomeWon_]:[HomeWon_]], Table2[[GameIsOver]:[GameIsOver]],1,Table2[[AwayTeam]:[AwayTeam]],$T15, Table2[[HomeTeam]:[HomeTeam]], X$11, Table2[[ActualResult]:[ActualResult]], "SO") + SUMIFS(Table2[[AwayWon]:[AwayWon]], Table2[[GameIsOver]:[GameIsOver]],1,Table2[[HomeTeam]:[HomeTeam]],$T15, Table2[[AwayTeam]:[AwayTeam]], X$11, Table2[[ActualResult]:[ActualResult]], "SO")))</f>
        <v>0</v>
      </c>
      <c r="Y15">
        <f>(2*(SUMIFS(Table2[[AwayWon]:[AwayWon]], Table2[[GameIsOver]:[GameIsOver]],1,Table2[[AwayTeam]:[AwayTeam]],$T15, Table2[[HomeTeam]:[HomeTeam]], Y$11) + SUMIFS(Table2[[HomeWon_]:[HomeWon_]], Table2[[GameIsOver]:[GameIsOver]],1,Table2[[HomeTeam]:[HomeTeam]],$T15, Table2[[AwayTeam]:[AwayTeam]], Y$11))) + (0*(SUMIFS(Table2[[HomeWon_]:[HomeWon_]], Table2[[GameIsOver]:[GameIsOver]],1,Table2[[AwayTeam]:[AwayTeam]],$T15, Table2[[HomeTeam]:[HomeTeam]], Y$11, Table2[[ActualResult]:[ActualResult]], "REG") + SUMIFS(Table2[[AwayWon]:[AwayWon]], Table2[[GameIsOver]:[GameIsOver]],1,Table2[[HomeTeam]:[HomeTeam]],$T15, Table2[[AwayTeam]:[AwayTeam]], Y$11, Table2[[ActualResult]:[ActualResult]], "REG"))) + (1*(SUMIFS(Table2[[HomeWon_]:[HomeWon_]], Table2[[GameIsOver]:[GameIsOver]],1,Table2[[AwayTeam]:[AwayTeam]],$T15, Table2[[HomeTeam]:[HomeTeam]], Y$11, Table2[[ActualResult]:[ActualResult]], "OT") + SUMIFS(Table2[[AwayWon]:[AwayWon]], Table2[[GameIsOver]:[GameIsOver]],1,Table2[[HomeTeam]:[HomeTeam]],$T15, Table2[[AwayTeam]:[AwayTeam]], Y$11, Table2[[ActualResult]:[ActualResult]], "OT") + SUMIFS(Table2[[HomeWon_]:[HomeWon_]], Table2[[GameIsOver]:[GameIsOver]],1,Table2[[AwayTeam]:[AwayTeam]],$T15, Table2[[HomeTeam]:[HomeTeam]], Y$11, Table2[[ActualResult]:[ActualResult]], "SO") + SUMIFS(Table2[[AwayWon]:[AwayWon]], Table2[[GameIsOver]:[GameIsOver]],1,Table2[[HomeTeam]:[HomeTeam]],$T15, Table2[[AwayTeam]:[AwayTeam]], Y$11, Table2[[ActualResult]:[ActualResult]], "SO")))</f>
        <v>1</v>
      </c>
      <c r="Z15">
        <f>(2*(SUMIFS(Table2[[AwayWon]:[AwayWon]], Table2[[GameIsOver]:[GameIsOver]],1,Table2[[AwayTeam]:[AwayTeam]],$T15, Table2[[HomeTeam]:[HomeTeam]], Z$11) + SUMIFS(Table2[[HomeWon_]:[HomeWon_]], Table2[[GameIsOver]:[GameIsOver]],1,Table2[[HomeTeam]:[HomeTeam]],$T15, Table2[[AwayTeam]:[AwayTeam]], Z$11))) + (0*(SUMIFS(Table2[[HomeWon_]:[HomeWon_]], Table2[[GameIsOver]:[GameIsOver]],1,Table2[[AwayTeam]:[AwayTeam]],$T15, Table2[[HomeTeam]:[HomeTeam]], Z$11, Table2[[ActualResult]:[ActualResult]], "REG") + SUMIFS(Table2[[AwayWon]:[AwayWon]], Table2[[GameIsOver]:[GameIsOver]],1,Table2[[HomeTeam]:[HomeTeam]],$T15, Table2[[AwayTeam]:[AwayTeam]], Z$11, Table2[[ActualResult]:[ActualResult]], "REG"))) + (1*(SUMIFS(Table2[[HomeWon_]:[HomeWon_]], Table2[[GameIsOver]:[GameIsOver]],1,Table2[[AwayTeam]:[AwayTeam]],$T15, Table2[[HomeTeam]:[HomeTeam]], Z$11, Table2[[ActualResult]:[ActualResult]], "OT") + SUMIFS(Table2[[AwayWon]:[AwayWon]], Table2[[GameIsOver]:[GameIsOver]],1,Table2[[HomeTeam]:[HomeTeam]],$T15, Table2[[AwayTeam]:[AwayTeam]], Z$11, Table2[[ActualResult]:[ActualResult]], "OT") + SUMIFS(Table2[[HomeWon_]:[HomeWon_]], Table2[[GameIsOver]:[GameIsOver]],1,Table2[[AwayTeam]:[AwayTeam]],$T15, Table2[[HomeTeam]:[HomeTeam]], Z$11, Table2[[ActualResult]:[ActualResult]], "SO") + SUMIFS(Table2[[AwayWon]:[AwayWon]], Table2[[GameIsOver]:[GameIsOver]],1,Table2[[HomeTeam]:[HomeTeam]],$T15, Table2[[AwayTeam]:[AwayTeam]], Z$11, Table2[[ActualResult]:[ActualResult]], "SO")))</f>
        <v>0</v>
      </c>
      <c r="AA15">
        <f>(2*(SUMIFS(Table2[[AwayWon]:[AwayWon]], Table2[[GameIsOver]:[GameIsOver]],1,Table2[[AwayTeam]:[AwayTeam]],$T15, Table2[[HomeTeam]:[HomeTeam]], AA$11) + SUMIFS(Table2[[HomeWon_]:[HomeWon_]], Table2[[GameIsOver]:[GameIsOver]],1,Table2[[HomeTeam]:[HomeTeam]],$T15, Table2[[AwayTeam]:[AwayTeam]], AA$11))) + (0*(SUMIFS(Table2[[HomeWon_]:[HomeWon_]], Table2[[GameIsOver]:[GameIsOver]],1,Table2[[AwayTeam]:[AwayTeam]],$T15, Table2[[HomeTeam]:[HomeTeam]], AA$11, Table2[[ActualResult]:[ActualResult]], "REG") + SUMIFS(Table2[[AwayWon]:[AwayWon]], Table2[[GameIsOver]:[GameIsOver]],1,Table2[[HomeTeam]:[HomeTeam]],$T15, Table2[[AwayTeam]:[AwayTeam]], AA$11, Table2[[ActualResult]:[ActualResult]], "REG"))) + (1*(SUMIFS(Table2[[HomeWon_]:[HomeWon_]], Table2[[GameIsOver]:[GameIsOver]],1,Table2[[AwayTeam]:[AwayTeam]],$T15, Table2[[HomeTeam]:[HomeTeam]], AA$11, Table2[[ActualResult]:[ActualResult]], "OT") + SUMIFS(Table2[[AwayWon]:[AwayWon]], Table2[[GameIsOver]:[GameIsOver]],1,Table2[[HomeTeam]:[HomeTeam]],$T15, Table2[[AwayTeam]:[AwayTeam]], AA$11, Table2[[ActualResult]:[ActualResult]], "OT") + SUMIFS(Table2[[HomeWon_]:[HomeWon_]], Table2[[GameIsOver]:[GameIsOver]],1,Table2[[AwayTeam]:[AwayTeam]],$T15, Table2[[HomeTeam]:[HomeTeam]], AA$11, Table2[[ActualResult]:[ActualResult]], "SO") + SUMIFS(Table2[[AwayWon]:[AwayWon]], Table2[[GameIsOver]:[GameIsOver]],1,Table2[[HomeTeam]:[HomeTeam]],$T15, Table2[[AwayTeam]:[AwayTeam]], AA$11, Table2[[ActualResult]:[ActualResult]], "SO")))</f>
        <v>0</v>
      </c>
      <c r="AB15">
        <f>(2*(SUMIFS(Table2[[AwayWon]:[AwayWon]], Table2[[GameIsOver]:[GameIsOver]],1,Table2[[AwayTeam]:[AwayTeam]],$T15, Table2[[HomeTeam]:[HomeTeam]], AB$11) + SUMIFS(Table2[[HomeWon_]:[HomeWon_]], Table2[[GameIsOver]:[GameIsOver]],1,Table2[[HomeTeam]:[HomeTeam]],$T15, Table2[[AwayTeam]:[AwayTeam]], AB$11))) + (0*(SUMIFS(Table2[[HomeWon_]:[HomeWon_]], Table2[[GameIsOver]:[GameIsOver]],1,Table2[[AwayTeam]:[AwayTeam]],$T15, Table2[[HomeTeam]:[HomeTeam]], AB$11, Table2[[ActualResult]:[ActualResult]], "REG") + SUMIFS(Table2[[AwayWon]:[AwayWon]], Table2[[GameIsOver]:[GameIsOver]],1,Table2[[HomeTeam]:[HomeTeam]],$T15, Table2[[AwayTeam]:[AwayTeam]], AB$11, Table2[[ActualResult]:[ActualResult]], "REG"))) + (1*(SUMIFS(Table2[[HomeWon_]:[HomeWon_]], Table2[[GameIsOver]:[GameIsOver]],1,Table2[[AwayTeam]:[AwayTeam]],$T15, Table2[[HomeTeam]:[HomeTeam]], AB$11, Table2[[ActualResult]:[ActualResult]], "OT") + SUMIFS(Table2[[AwayWon]:[AwayWon]], Table2[[GameIsOver]:[GameIsOver]],1,Table2[[HomeTeam]:[HomeTeam]],$T15, Table2[[AwayTeam]:[AwayTeam]], AB$11, Table2[[ActualResult]:[ActualResult]], "OT") + SUMIFS(Table2[[HomeWon_]:[HomeWon_]], Table2[[GameIsOver]:[GameIsOver]],1,Table2[[AwayTeam]:[AwayTeam]],$T15, Table2[[HomeTeam]:[HomeTeam]], AB$11, Table2[[ActualResult]:[ActualResult]], "SO") + SUMIFS(Table2[[AwayWon]:[AwayWon]], Table2[[GameIsOver]:[GameIsOver]],1,Table2[[HomeTeam]:[HomeTeam]],$T15, Table2[[AwayTeam]:[AwayTeam]], AB$11, Table2[[ActualResult]:[ActualResult]], "SO")))</f>
        <v>2</v>
      </c>
      <c r="AC15">
        <f>(2*(SUMIFS(Table2[[AwayWon]:[AwayWon]], Table2[[GameIsOver]:[GameIsOver]],1,Table2[[AwayTeam]:[AwayTeam]],$T15, Table2[[HomeTeam]:[HomeTeam]], AC$11) + SUMIFS(Table2[[HomeWon_]:[HomeWon_]], Table2[[GameIsOver]:[GameIsOver]],1,Table2[[HomeTeam]:[HomeTeam]],$T15, Table2[[AwayTeam]:[AwayTeam]], AC$11))) + (0*(SUMIFS(Table2[[HomeWon_]:[HomeWon_]], Table2[[GameIsOver]:[GameIsOver]],1,Table2[[AwayTeam]:[AwayTeam]],$T15, Table2[[HomeTeam]:[HomeTeam]], AC$11, Table2[[ActualResult]:[ActualResult]], "REG") + SUMIFS(Table2[[AwayWon]:[AwayWon]], Table2[[GameIsOver]:[GameIsOver]],1,Table2[[HomeTeam]:[HomeTeam]],$T15, Table2[[AwayTeam]:[AwayTeam]], AC$11, Table2[[ActualResult]:[ActualResult]], "REG"))) + (1*(SUMIFS(Table2[[HomeWon_]:[HomeWon_]], Table2[[GameIsOver]:[GameIsOver]],1,Table2[[AwayTeam]:[AwayTeam]],$T15, Table2[[HomeTeam]:[HomeTeam]], AC$11, Table2[[ActualResult]:[ActualResult]], "OT") + SUMIFS(Table2[[AwayWon]:[AwayWon]], Table2[[GameIsOver]:[GameIsOver]],1,Table2[[HomeTeam]:[HomeTeam]],$T15, Table2[[AwayTeam]:[AwayTeam]], AC$11, Table2[[ActualResult]:[ActualResult]], "OT") + SUMIFS(Table2[[HomeWon_]:[HomeWon_]], Table2[[GameIsOver]:[GameIsOver]],1,Table2[[AwayTeam]:[AwayTeam]],$T15, Table2[[HomeTeam]:[HomeTeam]], AC$11, Table2[[ActualResult]:[ActualResult]], "SO") + SUMIFS(Table2[[AwayWon]:[AwayWon]], Table2[[GameIsOver]:[GameIsOver]],1,Table2[[HomeTeam]:[HomeTeam]],$T15, Table2[[AwayTeam]:[AwayTeam]], AC$11, Table2[[ActualResult]:[ActualResult]], "SO")))</f>
        <v>0</v>
      </c>
      <c r="AD15">
        <f>(2*(SUMIFS(Table2[[AwayWon]:[AwayWon]], Table2[[GameIsOver]:[GameIsOver]],1,Table2[[AwayTeam]:[AwayTeam]],$T15, Table2[[HomeTeam]:[HomeTeam]], AD$11) + SUMIFS(Table2[[HomeWon_]:[HomeWon_]], Table2[[GameIsOver]:[GameIsOver]],1,Table2[[HomeTeam]:[HomeTeam]],$T15, Table2[[AwayTeam]:[AwayTeam]], AD$11))) + (0*(SUMIFS(Table2[[HomeWon_]:[HomeWon_]], Table2[[GameIsOver]:[GameIsOver]],1,Table2[[AwayTeam]:[AwayTeam]],$T15, Table2[[HomeTeam]:[HomeTeam]], AD$11, Table2[[ActualResult]:[ActualResult]], "REG") + SUMIFS(Table2[[AwayWon]:[AwayWon]], Table2[[GameIsOver]:[GameIsOver]],1,Table2[[HomeTeam]:[HomeTeam]],$T15, Table2[[AwayTeam]:[AwayTeam]], AD$11, Table2[[ActualResult]:[ActualResult]], "REG"))) + (1*(SUMIFS(Table2[[HomeWon_]:[HomeWon_]], Table2[[GameIsOver]:[GameIsOver]],1,Table2[[AwayTeam]:[AwayTeam]],$T15, Table2[[HomeTeam]:[HomeTeam]], AD$11, Table2[[ActualResult]:[ActualResult]], "OT") + SUMIFS(Table2[[AwayWon]:[AwayWon]], Table2[[GameIsOver]:[GameIsOver]],1,Table2[[HomeTeam]:[HomeTeam]],$T15, Table2[[AwayTeam]:[AwayTeam]], AD$11, Table2[[ActualResult]:[ActualResult]], "OT") + SUMIFS(Table2[[HomeWon_]:[HomeWon_]], Table2[[GameIsOver]:[GameIsOver]],1,Table2[[AwayTeam]:[AwayTeam]],$T15, Table2[[HomeTeam]:[HomeTeam]], AD$11, Table2[[ActualResult]:[ActualResult]], "SO") + SUMIFS(Table2[[AwayWon]:[AwayWon]], Table2[[GameIsOver]:[GameIsOver]],1,Table2[[HomeTeam]:[HomeTeam]],$T15, Table2[[AwayTeam]:[AwayTeam]], AD$11, Table2[[ActualResult]:[ActualResult]], "SO")))</f>
        <v>0</v>
      </c>
      <c r="AE15">
        <f>(2*(SUMIFS(Table2[[AwayWon]:[AwayWon]], Table2[[GameIsOver]:[GameIsOver]],1,Table2[[AwayTeam]:[AwayTeam]],$T15, Table2[[HomeTeam]:[HomeTeam]], AE$11) + SUMIFS(Table2[[HomeWon_]:[HomeWon_]], Table2[[GameIsOver]:[GameIsOver]],1,Table2[[HomeTeam]:[HomeTeam]],$T15, Table2[[AwayTeam]:[AwayTeam]], AE$11))) + (0*(SUMIFS(Table2[[HomeWon_]:[HomeWon_]], Table2[[GameIsOver]:[GameIsOver]],1,Table2[[AwayTeam]:[AwayTeam]],$T15, Table2[[HomeTeam]:[HomeTeam]], AE$11, Table2[[ActualResult]:[ActualResult]], "REG") + SUMIFS(Table2[[AwayWon]:[AwayWon]], Table2[[GameIsOver]:[GameIsOver]],1,Table2[[HomeTeam]:[HomeTeam]],$T15, Table2[[AwayTeam]:[AwayTeam]], AE$11, Table2[[ActualResult]:[ActualResult]], "REG"))) + (1*(SUMIFS(Table2[[HomeWon_]:[HomeWon_]], Table2[[GameIsOver]:[GameIsOver]],1,Table2[[AwayTeam]:[AwayTeam]],$T15, Table2[[HomeTeam]:[HomeTeam]], AE$11, Table2[[ActualResult]:[ActualResult]], "OT") + SUMIFS(Table2[[AwayWon]:[AwayWon]], Table2[[GameIsOver]:[GameIsOver]],1,Table2[[HomeTeam]:[HomeTeam]],$T15, Table2[[AwayTeam]:[AwayTeam]], AE$11, Table2[[ActualResult]:[ActualResult]], "OT") + SUMIFS(Table2[[HomeWon_]:[HomeWon_]], Table2[[GameIsOver]:[GameIsOver]],1,Table2[[AwayTeam]:[AwayTeam]],$T15, Table2[[HomeTeam]:[HomeTeam]], AE$11, Table2[[ActualResult]:[ActualResult]], "SO") + SUMIFS(Table2[[AwayWon]:[AwayWon]], Table2[[GameIsOver]:[GameIsOver]],1,Table2[[HomeTeam]:[HomeTeam]],$T15, Table2[[AwayTeam]:[AwayTeam]], AE$11, Table2[[ActualResult]:[ActualResult]], "SO")))</f>
        <v>0</v>
      </c>
      <c r="AF15">
        <f>(2*(SUMIFS(Table2[[AwayWon]:[AwayWon]], Table2[[GameIsOver]:[GameIsOver]],1,Table2[[AwayTeam]:[AwayTeam]],$T15, Table2[[HomeTeam]:[HomeTeam]], AF$11) + SUMIFS(Table2[[HomeWon_]:[HomeWon_]], Table2[[GameIsOver]:[GameIsOver]],1,Table2[[HomeTeam]:[HomeTeam]],$T15, Table2[[AwayTeam]:[AwayTeam]], AF$11))) + (0*(SUMIFS(Table2[[HomeWon_]:[HomeWon_]], Table2[[GameIsOver]:[GameIsOver]],1,Table2[[AwayTeam]:[AwayTeam]],$T15, Table2[[HomeTeam]:[HomeTeam]], AF$11, Table2[[ActualResult]:[ActualResult]], "REG") + SUMIFS(Table2[[AwayWon]:[AwayWon]], Table2[[GameIsOver]:[GameIsOver]],1,Table2[[HomeTeam]:[HomeTeam]],$T15, Table2[[AwayTeam]:[AwayTeam]], AF$11, Table2[[ActualResult]:[ActualResult]], "REG"))) + (1*(SUMIFS(Table2[[HomeWon_]:[HomeWon_]], Table2[[GameIsOver]:[GameIsOver]],1,Table2[[AwayTeam]:[AwayTeam]],$T15, Table2[[HomeTeam]:[HomeTeam]], AF$11, Table2[[ActualResult]:[ActualResult]], "OT") + SUMIFS(Table2[[AwayWon]:[AwayWon]], Table2[[GameIsOver]:[GameIsOver]],1,Table2[[HomeTeam]:[HomeTeam]],$T15, Table2[[AwayTeam]:[AwayTeam]], AF$11, Table2[[ActualResult]:[ActualResult]], "OT") + SUMIFS(Table2[[HomeWon_]:[HomeWon_]], Table2[[GameIsOver]:[GameIsOver]],1,Table2[[AwayTeam]:[AwayTeam]],$T15, Table2[[HomeTeam]:[HomeTeam]], AF$11, Table2[[ActualResult]:[ActualResult]], "SO") + SUMIFS(Table2[[AwayWon]:[AwayWon]], Table2[[GameIsOver]:[GameIsOver]],1,Table2[[HomeTeam]:[HomeTeam]],$T15, Table2[[AwayTeam]:[AwayTeam]], AF$11, Table2[[ActualResult]:[ActualResult]], "SO")))</f>
        <v>2</v>
      </c>
      <c r="AG15">
        <f>(2*(SUMIFS(Table2[[AwayWon]:[AwayWon]], Table2[[GameIsOver]:[GameIsOver]],1,Table2[[AwayTeam]:[AwayTeam]],$T15, Table2[[HomeTeam]:[HomeTeam]], AG$11) + SUMIFS(Table2[[HomeWon_]:[HomeWon_]], Table2[[GameIsOver]:[GameIsOver]],1,Table2[[HomeTeam]:[HomeTeam]],$T15, Table2[[AwayTeam]:[AwayTeam]], AG$11))) + (0*(SUMIFS(Table2[[HomeWon_]:[HomeWon_]], Table2[[GameIsOver]:[GameIsOver]],1,Table2[[AwayTeam]:[AwayTeam]],$T15, Table2[[HomeTeam]:[HomeTeam]], AG$11, Table2[[ActualResult]:[ActualResult]], "REG") + SUMIFS(Table2[[AwayWon]:[AwayWon]], Table2[[GameIsOver]:[GameIsOver]],1,Table2[[HomeTeam]:[HomeTeam]],$T15, Table2[[AwayTeam]:[AwayTeam]], AG$11, Table2[[ActualResult]:[ActualResult]], "REG"))) + (1*(SUMIFS(Table2[[HomeWon_]:[HomeWon_]], Table2[[GameIsOver]:[GameIsOver]],1,Table2[[AwayTeam]:[AwayTeam]],$T15, Table2[[HomeTeam]:[HomeTeam]], AG$11, Table2[[ActualResult]:[ActualResult]], "OT") + SUMIFS(Table2[[AwayWon]:[AwayWon]], Table2[[GameIsOver]:[GameIsOver]],1,Table2[[HomeTeam]:[HomeTeam]],$T15, Table2[[AwayTeam]:[AwayTeam]], AG$11, Table2[[ActualResult]:[ActualResult]], "OT") + SUMIFS(Table2[[HomeWon_]:[HomeWon_]], Table2[[GameIsOver]:[GameIsOver]],1,Table2[[AwayTeam]:[AwayTeam]],$T15, Table2[[HomeTeam]:[HomeTeam]], AG$11, Table2[[ActualResult]:[ActualResult]], "SO") + SUMIFS(Table2[[AwayWon]:[AwayWon]], Table2[[GameIsOver]:[GameIsOver]],1,Table2[[HomeTeam]:[HomeTeam]],$T15, Table2[[AwayTeam]:[AwayTeam]], AG$11, Table2[[ActualResult]:[ActualResult]], "SO")))</f>
        <v>0</v>
      </c>
      <c r="AH15">
        <f>(2*(SUMIFS(Table2[[AwayWon]:[AwayWon]], Table2[[GameIsOver]:[GameIsOver]],1,Table2[[AwayTeam]:[AwayTeam]],$T15, Table2[[HomeTeam]:[HomeTeam]], AH$11) + SUMIFS(Table2[[HomeWon_]:[HomeWon_]], Table2[[GameIsOver]:[GameIsOver]],1,Table2[[HomeTeam]:[HomeTeam]],$T15, Table2[[AwayTeam]:[AwayTeam]], AH$11))) + (0*(SUMIFS(Table2[[HomeWon_]:[HomeWon_]], Table2[[GameIsOver]:[GameIsOver]],1,Table2[[AwayTeam]:[AwayTeam]],$T15, Table2[[HomeTeam]:[HomeTeam]], AH$11, Table2[[ActualResult]:[ActualResult]], "REG") + SUMIFS(Table2[[AwayWon]:[AwayWon]], Table2[[GameIsOver]:[GameIsOver]],1,Table2[[HomeTeam]:[HomeTeam]],$T15, Table2[[AwayTeam]:[AwayTeam]], AH$11, Table2[[ActualResult]:[ActualResult]], "REG"))) + (1*(SUMIFS(Table2[[HomeWon_]:[HomeWon_]], Table2[[GameIsOver]:[GameIsOver]],1,Table2[[AwayTeam]:[AwayTeam]],$T15, Table2[[HomeTeam]:[HomeTeam]], AH$11, Table2[[ActualResult]:[ActualResult]], "OT") + SUMIFS(Table2[[AwayWon]:[AwayWon]], Table2[[GameIsOver]:[GameIsOver]],1,Table2[[HomeTeam]:[HomeTeam]],$T15, Table2[[AwayTeam]:[AwayTeam]], AH$11, Table2[[ActualResult]:[ActualResult]], "OT") + SUMIFS(Table2[[HomeWon_]:[HomeWon_]], Table2[[GameIsOver]:[GameIsOver]],1,Table2[[AwayTeam]:[AwayTeam]],$T15, Table2[[HomeTeam]:[HomeTeam]], AH$11, Table2[[ActualResult]:[ActualResult]], "SO") + SUMIFS(Table2[[AwayWon]:[AwayWon]], Table2[[GameIsOver]:[GameIsOver]],1,Table2[[HomeTeam]:[HomeTeam]],$T15, Table2[[AwayTeam]:[AwayTeam]], AH$11, Table2[[ActualResult]:[ActualResult]], "SO")))</f>
        <v>0</v>
      </c>
      <c r="AI15">
        <f>(2*(SUMIFS(Table2[[AwayWon]:[AwayWon]], Table2[[GameIsOver]:[GameIsOver]],1,Table2[[AwayTeam]:[AwayTeam]],$T15, Table2[[HomeTeam]:[HomeTeam]], AI$11) + SUMIFS(Table2[[HomeWon_]:[HomeWon_]], Table2[[GameIsOver]:[GameIsOver]],1,Table2[[HomeTeam]:[HomeTeam]],$T15, Table2[[AwayTeam]:[AwayTeam]], AI$11))) + (0*(SUMIFS(Table2[[HomeWon_]:[HomeWon_]], Table2[[GameIsOver]:[GameIsOver]],1,Table2[[AwayTeam]:[AwayTeam]],$T15, Table2[[HomeTeam]:[HomeTeam]], AI$11, Table2[[ActualResult]:[ActualResult]], "REG") + SUMIFS(Table2[[AwayWon]:[AwayWon]], Table2[[GameIsOver]:[GameIsOver]],1,Table2[[HomeTeam]:[HomeTeam]],$T15, Table2[[AwayTeam]:[AwayTeam]], AI$11, Table2[[ActualResult]:[ActualResult]], "REG"))) + (1*(SUMIFS(Table2[[HomeWon_]:[HomeWon_]], Table2[[GameIsOver]:[GameIsOver]],1,Table2[[AwayTeam]:[AwayTeam]],$T15, Table2[[HomeTeam]:[HomeTeam]], AI$11, Table2[[ActualResult]:[ActualResult]], "OT") + SUMIFS(Table2[[AwayWon]:[AwayWon]], Table2[[GameIsOver]:[GameIsOver]],1,Table2[[HomeTeam]:[HomeTeam]],$T15, Table2[[AwayTeam]:[AwayTeam]], AI$11, Table2[[ActualResult]:[ActualResult]], "OT") + SUMIFS(Table2[[HomeWon_]:[HomeWon_]], Table2[[GameIsOver]:[GameIsOver]],1,Table2[[AwayTeam]:[AwayTeam]],$T15, Table2[[HomeTeam]:[HomeTeam]], AI$11, Table2[[ActualResult]:[ActualResult]], "SO") + SUMIFS(Table2[[AwayWon]:[AwayWon]], Table2[[GameIsOver]:[GameIsOver]],1,Table2[[HomeTeam]:[HomeTeam]],$T15, Table2[[AwayTeam]:[AwayTeam]], AI$11, Table2[[ActualResult]:[ActualResult]], "SO")))</f>
        <v>0</v>
      </c>
      <c r="AJ15">
        <f>(2*(SUMIFS(Table2[[AwayWon]:[AwayWon]], Table2[[GameIsOver]:[GameIsOver]],1,Table2[[AwayTeam]:[AwayTeam]],$T15, Table2[[HomeTeam]:[HomeTeam]], AJ$11) + SUMIFS(Table2[[HomeWon_]:[HomeWon_]], Table2[[GameIsOver]:[GameIsOver]],1,Table2[[HomeTeam]:[HomeTeam]],$T15, Table2[[AwayTeam]:[AwayTeam]], AJ$11))) + (0*(SUMIFS(Table2[[HomeWon_]:[HomeWon_]], Table2[[GameIsOver]:[GameIsOver]],1,Table2[[AwayTeam]:[AwayTeam]],$T15, Table2[[HomeTeam]:[HomeTeam]], AJ$11, Table2[[ActualResult]:[ActualResult]], "REG") + SUMIFS(Table2[[AwayWon]:[AwayWon]], Table2[[GameIsOver]:[GameIsOver]],1,Table2[[HomeTeam]:[HomeTeam]],$T15, Table2[[AwayTeam]:[AwayTeam]], AJ$11, Table2[[ActualResult]:[ActualResult]], "REG"))) + (1*(SUMIFS(Table2[[HomeWon_]:[HomeWon_]], Table2[[GameIsOver]:[GameIsOver]],1,Table2[[AwayTeam]:[AwayTeam]],$T15, Table2[[HomeTeam]:[HomeTeam]], AJ$11, Table2[[ActualResult]:[ActualResult]], "OT") + SUMIFS(Table2[[AwayWon]:[AwayWon]], Table2[[GameIsOver]:[GameIsOver]],1,Table2[[HomeTeam]:[HomeTeam]],$T15, Table2[[AwayTeam]:[AwayTeam]], AJ$11, Table2[[ActualResult]:[ActualResult]], "OT") + SUMIFS(Table2[[HomeWon_]:[HomeWon_]], Table2[[GameIsOver]:[GameIsOver]],1,Table2[[AwayTeam]:[AwayTeam]],$T15, Table2[[HomeTeam]:[HomeTeam]], AJ$11, Table2[[ActualResult]:[ActualResult]], "SO") + SUMIFS(Table2[[AwayWon]:[AwayWon]], Table2[[GameIsOver]:[GameIsOver]],1,Table2[[HomeTeam]:[HomeTeam]],$T15, Table2[[AwayTeam]:[AwayTeam]], AJ$11, Table2[[ActualResult]:[ActualResult]], "SO")))</f>
        <v>0</v>
      </c>
      <c r="AK15">
        <f>(2*(SUMIFS(Table2[[AwayWon]:[AwayWon]], Table2[[GameIsOver]:[GameIsOver]],1,Table2[[AwayTeam]:[AwayTeam]],$T15, Table2[[HomeTeam]:[HomeTeam]], AK$11) + SUMIFS(Table2[[HomeWon_]:[HomeWon_]], Table2[[GameIsOver]:[GameIsOver]],1,Table2[[HomeTeam]:[HomeTeam]],$T15, Table2[[AwayTeam]:[AwayTeam]], AK$11))) + (0*(SUMIFS(Table2[[HomeWon_]:[HomeWon_]], Table2[[GameIsOver]:[GameIsOver]],1,Table2[[AwayTeam]:[AwayTeam]],$T15, Table2[[HomeTeam]:[HomeTeam]], AK$11, Table2[[ActualResult]:[ActualResult]], "REG") + SUMIFS(Table2[[AwayWon]:[AwayWon]], Table2[[GameIsOver]:[GameIsOver]],1,Table2[[HomeTeam]:[HomeTeam]],$T15, Table2[[AwayTeam]:[AwayTeam]], AK$11, Table2[[ActualResult]:[ActualResult]], "REG"))) + (1*(SUMIFS(Table2[[HomeWon_]:[HomeWon_]], Table2[[GameIsOver]:[GameIsOver]],1,Table2[[AwayTeam]:[AwayTeam]],$T15, Table2[[HomeTeam]:[HomeTeam]], AK$11, Table2[[ActualResult]:[ActualResult]], "OT") + SUMIFS(Table2[[AwayWon]:[AwayWon]], Table2[[GameIsOver]:[GameIsOver]],1,Table2[[HomeTeam]:[HomeTeam]],$T15, Table2[[AwayTeam]:[AwayTeam]], AK$11, Table2[[ActualResult]:[ActualResult]], "OT") + SUMIFS(Table2[[HomeWon_]:[HomeWon_]], Table2[[GameIsOver]:[GameIsOver]],1,Table2[[AwayTeam]:[AwayTeam]],$T15, Table2[[HomeTeam]:[HomeTeam]], AK$11, Table2[[ActualResult]:[ActualResult]], "SO") + SUMIFS(Table2[[AwayWon]:[AwayWon]], Table2[[GameIsOver]:[GameIsOver]],1,Table2[[HomeTeam]:[HomeTeam]],$T15, Table2[[AwayTeam]:[AwayTeam]], AK$11, Table2[[ActualResult]:[ActualResult]], "SO")))</f>
        <v>0</v>
      </c>
      <c r="AL15">
        <f>(2*(SUMIFS(Table2[[AwayWon]:[AwayWon]], Table2[[GameIsOver]:[GameIsOver]],1,Table2[[AwayTeam]:[AwayTeam]],$T15, Table2[[HomeTeam]:[HomeTeam]], AL$11) + SUMIFS(Table2[[HomeWon_]:[HomeWon_]], Table2[[GameIsOver]:[GameIsOver]],1,Table2[[HomeTeam]:[HomeTeam]],$T15, Table2[[AwayTeam]:[AwayTeam]], AL$11))) + (0*(SUMIFS(Table2[[HomeWon_]:[HomeWon_]], Table2[[GameIsOver]:[GameIsOver]],1,Table2[[AwayTeam]:[AwayTeam]],$T15, Table2[[HomeTeam]:[HomeTeam]], AL$11, Table2[[ActualResult]:[ActualResult]], "REG") + SUMIFS(Table2[[AwayWon]:[AwayWon]], Table2[[GameIsOver]:[GameIsOver]],1,Table2[[HomeTeam]:[HomeTeam]],$T15, Table2[[AwayTeam]:[AwayTeam]], AL$11, Table2[[ActualResult]:[ActualResult]], "REG"))) + (1*(SUMIFS(Table2[[HomeWon_]:[HomeWon_]], Table2[[GameIsOver]:[GameIsOver]],1,Table2[[AwayTeam]:[AwayTeam]],$T15, Table2[[HomeTeam]:[HomeTeam]], AL$11, Table2[[ActualResult]:[ActualResult]], "OT") + SUMIFS(Table2[[AwayWon]:[AwayWon]], Table2[[GameIsOver]:[GameIsOver]],1,Table2[[HomeTeam]:[HomeTeam]],$T15, Table2[[AwayTeam]:[AwayTeam]], AL$11, Table2[[ActualResult]:[ActualResult]], "OT") + SUMIFS(Table2[[HomeWon_]:[HomeWon_]], Table2[[GameIsOver]:[GameIsOver]],1,Table2[[AwayTeam]:[AwayTeam]],$T15, Table2[[HomeTeam]:[HomeTeam]], AL$11, Table2[[ActualResult]:[ActualResult]], "SO") + SUMIFS(Table2[[AwayWon]:[AwayWon]], Table2[[GameIsOver]:[GameIsOver]],1,Table2[[HomeTeam]:[HomeTeam]],$T15, Table2[[AwayTeam]:[AwayTeam]], AL$11, Table2[[ActualResult]:[ActualResult]], "SO")))</f>
        <v>0</v>
      </c>
      <c r="AM15">
        <f>(2*(SUMIFS(Table2[[AwayWon]:[AwayWon]], Table2[[GameIsOver]:[GameIsOver]],1,Table2[[AwayTeam]:[AwayTeam]],$T15, Table2[[HomeTeam]:[HomeTeam]], AM$11) + SUMIFS(Table2[[HomeWon_]:[HomeWon_]], Table2[[GameIsOver]:[GameIsOver]],1,Table2[[HomeTeam]:[HomeTeam]],$T15, Table2[[AwayTeam]:[AwayTeam]], AM$11))) + (0*(SUMIFS(Table2[[HomeWon_]:[HomeWon_]], Table2[[GameIsOver]:[GameIsOver]],1,Table2[[AwayTeam]:[AwayTeam]],$T15, Table2[[HomeTeam]:[HomeTeam]], AM$11, Table2[[ActualResult]:[ActualResult]], "REG") + SUMIFS(Table2[[AwayWon]:[AwayWon]], Table2[[GameIsOver]:[GameIsOver]],1,Table2[[HomeTeam]:[HomeTeam]],$T15, Table2[[AwayTeam]:[AwayTeam]], AM$11, Table2[[ActualResult]:[ActualResult]], "REG"))) + (1*(SUMIFS(Table2[[HomeWon_]:[HomeWon_]], Table2[[GameIsOver]:[GameIsOver]],1,Table2[[AwayTeam]:[AwayTeam]],$T15, Table2[[HomeTeam]:[HomeTeam]], AM$11, Table2[[ActualResult]:[ActualResult]], "OT") + SUMIFS(Table2[[AwayWon]:[AwayWon]], Table2[[GameIsOver]:[GameIsOver]],1,Table2[[HomeTeam]:[HomeTeam]],$T15, Table2[[AwayTeam]:[AwayTeam]], AM$11, Table2[[ActualResult]:[ActualResult]], "OT") + SUMIFS(Table2[[HomeWon_]:[HomeWon_]], Table2[[GameIsOver]:[GameIsOver]],1,Table2[[AwayTeam]:[AwayTeam]],$T15, Table2[[HomeTeam]:[HomeTeam]], AM$11, Table2[[ActualResult]:[ActualResult]], "SO") + SUMIFS(Table2[[AwayWon]:[AwayWon]], Table2[[GameIsOver]:[GameIsOver]],1,Table2[[HomeTeam]:[HomeTeam]],$T15, Table2[[AwayTeam]:[AwayTeam]], AM$11, Table2[[ActualResult]:[ActualResult]], "SO")))</f>
        <v>0</v>
      </c>
      <c r="AN15">
        <f>(2*(SUMIFS(Table2[[AwayWon]:[AwayWon]], Table2[[GameIsOver]:[GameIsOver]],1,Table2[[AwayTeam]:[AwayTeam]],$T15, Table2[[HomeTeam]:[HomeTeam]], AN$11) + SUMIFS(Table2[[HomeWon_]:[HomeWon_]], Table2[[GameIsOver]:[GameIsOver]],1,Table2[[HomeTeam]:[HomeTeam]],$T15, Table2[[AwayTeam]:[AwayTeam]], AN$11))) + (0*(SUMIFS(Table2[[HomeWon_]:[HomeWon_]], Table2[[GameIsOver]:[GameIsOver]],1,Table2[[AwayTeam]:[AwayTeam]],$T15, Table2[[HomeTeam]:[HomeTeam]], AN$11, Table2[[ActualResult]:[ActualResult]], "REG") + SUMIFS(Table2[[AwayWon]:[AwayWon]], Table2[[GameIsOver]:[GameIsOver]],1,Table2[[HomeTeam]:[HomeTeam]],$T15, Table2[[AwayTeam]:[AwayTeam]], AN$11, Table2[[ActualResult]:[ActualResult]], "REG"))) + (1*(SUMIFS(Table2[[HomeWon_]:[HomeWon_]], Table2[[GameIsOver]:[GameIsOver]],1,Table2[[AwayTeam]:[AwayTeam]],$T15, Table2[[HomeTeam]:[HomeTeam]], AN$11, Table2[[ActualResult]:[ActualResult]], "OT") + SUMIFS(Table2[[AwayWon]:[AwayWon]], Table2[[GameIsOver]:[GameIsOver]],1,Table2[[HomeTeam]:[HomeTeam]],$T15, Table2[[AwayTeam]:[AwayTeam]], AN$11, Table2[[ActualResult]:[ActualResult]], "OT") + SUMIFS(Table2[[HomeWon_]:[HomeWon_]], Table2[[GameIsOver]:[GameIsOver]],1,Table2[[AwayTeam]:[AwayTeam]],$T15, Table2[[HomeTeam]:[HomeTeam]], AN$11, Table2[[ActualResult]:[ActualResult]], "SO") + SUMIFS(Table2[[AwayWon]:[AwayWon]], Table2[[GameIsOver]:[GameIsOver]],1,Table2[[HomeTeam]:[HomeTeam]],$T15, Table2[[AwayTeam]:[AwayTeam]], AN$11, Table2[[ActualResult]:[ActualResult]], "SO")))</f>
        <v>0</v>
      </c>
      <c r="AO15">
        <f>(2*(SUMIFS(Table2[[AwayWon]:[AwayWon]], Table2[[GameIsOver]:[GameIsOver]],1,Table2[[AwayTeam]:[AwayTeam]],$T15, Table2[[HomeTeam]:[HomeTeam]], AO$11) + SUMIFS(Table2[[HomeWon_]:[HomeWon_]], Table2[[GameIsOver]:[GameIsOver]],1,Table2[[HomeTeam]:[HomeTeam]],$T15, Table2[[AwayTeam]:[AwayTeam]], AO$11))) + (0*(SUMIFS(Table2[[HomeWon_]:[HomeWon_]], Table2[[GameIsOver]:[GameIsOver]],1,Table2[[AwayTeam]:[AwayTeam]],$T15, Table2[[HomeTeam]:[HomeTeam]], AO$11, Table2[[ActualResult]:[ActualResult]], "REG") + SUMIFS(Table2[[AwayWon]:[AwayWon]], Table2[[GameIsOver]:[GameIsOver]],1,Table2[[HomeTeam]:[HomeTeam]],$T15, Table2[[AwayTeam]:[AwayTeam]], AO$11, Table2[[ActualResult]:[ActualResult]], "REG"))) + (1*(SUMIFS(Table2[[HomeWon_]:[HomeWon_]], Table2[[GameIsOver]:[GameIsOver]],1,Table2[[AwayTeam]:[AwayTeam]],$T15, Table2[[HomeTeam]:[HomeTeam]], AO$11, Table2[[ActualResult]:[ActualResult]], "OT") + SUMIFS(Table2[[AwayWon]:[AwayWon]], Table2[[GameIsOver]:[GameIsOver]],1,Table2[[HomeTeam]:[HomeTeam]],$T15, Table2[[AwayTeam]:[AwayTeam]], AO$11, Table2[[ActualResult]:[ActualResult]], "OT") + SUMIFS(Table2[[HomeWon_]:[HomeWon_]], Table2[[GameIsOver]:[GameIsOver]],1,Table2[[AwayTeam]:[AwayTeam]],$T15, Table2[[HomeTeam]:[HomeTeam]], AO$11, Table2[[ActualResult]:[ActualResult]], "SO") + SUMIFS(Table2[[AwayWon]:[AwayWon]], Table2[[GameIsOver]:[GameIsOver]],1,Table2[[HomeTeam]:[HomeTeam]],$T15, Table2[[AwayTeam]:[AwayTeam]], AO$11, Table2[[ActualResult]:[ActualResult]], "SO")))</f>
        <v>0</v>
      </c>
      <c r="AP15">
        <f>(2*(SUMIFS(Table2[[AwayWon]:[AwayWon]], Table2[[GameIsOver]:[GameIsOver]],1,Table2[[AwayTeam]:[AwayTeam]],$T15, Table2[[HomeTeam]:[HomeTeam]], AP$11) + SUMIFS(Table2[[HomeWon_]:[HomeWon_]], Table2[[GameIsOver]:[GameIsOver]],1,Table2[[HomeTeam]:[HomeTeam]],$T15, Table2[[AwayTeam]:[AwayTeam]], AP$11))) + (0*(SUMIFS(Table2[[HomeWon_]:[HomeWon_]], Table2[[GameIsOver]:[GameIsOver]],1,Table2[[AwayTeam]:[AwayTeam]],$T15, Table2[[HomeTeam]:[HomeTeam]], AP$11, Table2[[ActualResult]:[ActualResult]], "REG") + SUMIFS(Table2[[AwayWon]:[AwayWon]], Table2[[GameIsOver]:[GameIsOver]],1,Table2[[HomeTeam]:[HomeTeam]],$T15, Table2[[AwayTeam]:[AwayTeam]], AP$11, Table2[[ActualResult]:[ActualResult]], "REG"))) + (1*(SUMIFS(Table2[[HomeWon_]:[HomeWon_]], Table2[[GameIsOver]:[GameIsOver]],1,Table2[[AwayTeam]:[AwayTeam]],$T15, Table2[[HomeTeam]:[HomeTeam]], AP$11, Table2[[ActualResult]:[ActualResult]], "OT") + SUMIFS(Table2[[AwayWon]:[AwayWon]], Table2[[GameIsOver]:[GameIsOver]],1,Table2[[HomeTeam]:[HomeTeam]],$T15, Table2[[AwayTeam]:[AwayTeam]], AP$11, Table2[[ActualResult]:[ActualResult]], "OT") + SUMIFS(Table2[[HomeWon_]:[HomeWon_]], Table2[[GameIsOver]:[GameIsOver]],1,Table2[[AwayTeam]:[AwayTeam]],$T15, Table2[[HomeTeam]:[HomeTeam]], AP$11, Table2[[ActualResult]:[ActualResult]], "SO") + SUMIFS(Table2[[AwayWon]:[AwayWon]], Table2[[GameIsOver]:[GameIsOver]],1,Table2[[HomeTeam]:[HomeTeam]],$T15, Table2[[AwayTeam]:[AwayTeam]], AP$11, Table2[[ActualResult]:[ActualResult]], "SO")))</f>
        <v>0</v>
      </c>
      <c r="AQ15">
        <f>(2*(SUMIFS(Table2[[AwayWon]:[AwayWon]], Table2[[GameIsOver]:[GameIsOver]],1,Table2[[AwayTeam]:[AwayTeam]],$T15, Table2[[HomeTeam]:[HomeTeam]], AQ$11) + SUMIFS(Table2[[HomeWon_]:[HomeWon_]], Table2[[GameIsOver]:[GameIsOver]],1,Table2[[HomeTeam]:[HomeTeam]],$T15, Table2[[AwayTeam]:[AwayTeam]], AQ$11))) + (0*(SUMIFS(Table2[[HomeWon_]:[HomeWon_]], Table2[[GameIsOver]:[GameIsOver]],1,Table2[[AwayTeam]:[AwayTeam]],$T15, Table2[[HomeTeam]:[HomeTeam]], AQ$11, Table2[[ActualResult]:[ActualResult]], "REG") + SUMIFS(Table2[[AwayWon]:[AwayWon]], Table2[[GameIsOver]:[GameIsOver]],1,Table2[[HomeTeam]:[HomeTeam]],$T15, Table2[[AwayTeam]:[AwayTeam]], AQ$11, Table2[[ActualResult]:[ActualResult]], "REG"))) + (1*(SUMIFS(Table2[[HomeWon_]:[HomeWon_]], Table2[[GameIsOver]:[GameIsOver]],1,Table2[[AwayTeam]:[AwayTeam]],$T15, Table2[[HomeTeam]:[HomeTeam]], AQ$11, Table2[[ActualResult]:[ActualResult]], "OT") + SUMIFS(Table2[[AwayWon]:[AwayWon]], Table2[[GameIsOver]:[GameIsOver]],1,Table2[[HomeTeam]:[HomeTeam]],$T15, Table2[[AwayTeam]:[AwayTeam]], AQ$11, Table2[[ActualResult]:[ActualResult]], "OT") + SUMIFS(Table2[[HomeWon_]:[HomeWon_]], Table2[[GameIsOver]:[GameIsOver]],1,Table2[[AwayTeam]:[AwayTeam]],$T15, Table2[[HomeTeam]:[HomeTeam]], AQ$11, Table2[[ActualResult]:[ActualResult]], "SO") + SUMIFS(Table2[[AwayWon]:[AwayWon]], Table2[[GameIsOver]:[GameIsOver]],1,Table2[[HomeTeam]:[HomeTeam]],$T15, Table2[[AwayTeam]:[AwayTeam]], AQ$11, Table2[[ActualResult]:[ActualResult]], "SO")))</f>
        <v>0</v>
      </c>
      <c r="AR15">
        <f>(2*(SUMIFS(Table2[[AwayWon]:[AwayWon]], Table2[[GameIsOver]:[GameIsOver]],1,Table2[[AwayTeam]:[AwayTeam]],$T15, Table2[[HomeTeam]:[HomeTeam]], AR$11) + SUMIFS(Table2[[HomeWon_]:[HomeWon_]], Table2[[GameIsOver]:[GameIsOver]],1,Table2[[HomeTeam]:[HomeTeam]],$T15, Table2[[AwayTeam]:[AwayTeam]], AR$11))) + (0*(SUMIFS(Table2[[HomeWon_]:[HomeWon_]], Table2[[GameIsOver]:[GameIsOver]],1,Table2[[AwayTeam]:[AwayTeam]],$T15, Table2[[HomeTeam]:[HomeTeam]], AR$11, Table2[[ActualResult]:[ActualResult]], "REG") + SUMIFS(Table2[[AwayWon]:[AwayWon]], Table2[[GameIsOver]:[GameIsOver]],1,Table2[[HomeTeam]:[HomeTeam]],$T15, Table2[[AwayTeam]:[AwayTeam]], AR$11, Table2[[ActualResult]:[ActualResult]], "REG"))) + (1*(SUMIFS(Table2[[HomeWon_]:[HomeWon_]], Table2[[GameIsOver]:[GameIsOver]],1,Table2[[AwayTeam]:[AwayTeam]],$T15, Table2[[HomeTeam]:[HomeTeam]], AR$11, Table2[[ActualResult]:[ActualResult]], "OT") + SUMIFS(Table2[[AwayWon]:[AwayWon]], Table2[[GameIsOver]:[GameIsOver]],1,Table2[[HomeTeam]:[HomeTeam]],$T15, Table2[[AwayTeam]:[AwayTeam]], AR$11, Table2[[ActualResult]:[ActualResult]], "OT") + SUMIFS(Table2[[HomeWon_]:[HomeWon_]], Table2[[GameIsOver]:[GameIsOver]],1,Table2[[AwayTeam]:[AwayTeam]],$T15, Table2[[HomeTeam]:[HomeTeam]], AR$11, Table2[[ActualResult]:[ActualResult]], "SO") + SUMIFS(Table2[[AwayWon]:[AwayWon]], Table2[[GameIsOver]:[GameIsOver]],1,Table2[[HomeTeam]:[HomeTeam]],$T15, Table2[[AwayTeam]:[AwayTeam]], AR$11, Table2[[ActualResult]:[ActualResult]], "SO")))</f>
        <v>0</v>
      </c>
      <c r="AS15">
        <f>(2*(SUMIFS(Table2[[AwayWon]:[AwayWon]], Table2[[GameIsOver]:[GameIsOver]],1,Table2[[AwayTeam]:[AwayTeam]],$T15, Table2[[HomeTeam]:[HomeTeam]], AS$11) + SUMIFS(Table2[[HomeWon_]:[HomeWon_]], Table2[[GameIsOver]:[GameIsOver]],1,Table2[[HomeTeam]:[HomeTeam]],$T15, Table2[[AwayTeam]:[AwayTeam]], AS$11))) + (0*(SUMIFS(Table2[[HomeWon_]:[HomeWon_]], Table2[[GameIsOver]:[GameIsOver]],1,Table2[[AwayTeam]:[AwayTeam]],$T15, Table2[[HomeTeam]:[HomeTeam]], AS$11, Table2[[ActualResult]:[ActualResult]], "REG") + SUMIFS(Table2[[AwayWon]:[AwayWon]], Table2[[GameIsOver]:[GameIsOver]],1,Table2[[HomeTeam]:[HomeTeam]],$T15, Table2[[AwayTeam]:[AwayTeam]], AS$11, Table2[[ActualResult]:[ActualResult]], "REG"))) + (1*(SUMIFS(Table2[[HomeWon_]:[HomeWon_]], Table2[[GameIsOver]:[GameIsOver]],1,Table2[[AwayTeam]:[AwayTeam]],$T15, Table2[[HomeTeam]:[HomeTeam]], AS$11, Table2[[ActualResult]:[ActualResult]], "OT") + SUMIFS(Table2[[AwayWon]:[AwayWon]], Table2[[GameIsOver]:[GameIsOver]],1,Table2[[HomeTeam]:[HomeTeam]],$T15, Table2[[AwayTeam]:[AwayTeam]], AS$11, Table2[[ActualResult]:[ActualResult]], "OT") + SUMIFS(Table2[[HomeWon_]:[HomeWon_]], Table2[[GameIsOver]:[GameIsOver]],1,Table2[[AwayTeam]:[AwayTeam]],$T15, Table2[[HomeTeam]:[HomeTeam]], AS$11, Table2[[ActualResult]:[ActualResult]], "SO") + SUMIFS(Table2[[AwayWon]:[AwayWon]], Table2[[GameIsOver]:[GameIsOver]],1,Table2[[HomeTeam]:[HomeTeam]],$T15, Table2[[AwayTeam]:[AwayTeam]], AS$11, Table2[[ActualResult]:[ActualResult]], "SO")))</f>
        <v>0</v>
      </c>
      <c r="AT15">
        <f>(2*(SUMIFS(Table2[[AwayWon]:[AwayWon]], Table2[[GameIsOver]:[GameIsOver]],1,Table2[[AwayTeam]:[AwayTeam]],$T15, Table2[[HomeTeam]:[HomeTeam]], AT$11) + SUMIFS(Table2[[HomeWon_]:[HomeWon_]], Table2[[GameIsOver]:[GameIsOver]],1,Table2[[HomeTeam]:[HomeTeam]],$T15, Table2[[AwayTeam]:[AwayTeam]], AT$11))) + (0*(SUMIFS(Table2[[HomeWon_]:[HomeWon_]], Table2[[GameIsOver]:[GameIsOver]],1,Table2[[AwayTeam]:[AwayTeam]],$T15, Table2[[HomeTeam]:[HomeTeam]], AT$11, Table2[[ActualResult]:[ActualResult]], "REG") + SUMIFS(Table2[[AwayWon]:[AwayWon]], Table2[[GameIsOver]:[GameIsOver]],1,Table2[[HomeTeam]:[HomeTeam]],$T15, Table2[[AwayTeam]:[AwayTeam]], AT$11, Table2[[ActualResult]:[ActualResult]], "REG"))) + (1*(SUMIFS(Table2[[HomeWon_]:[HomeWon_]], Table2[[GameIsOver]:[GameIsOver]],1,Table2[[AwayTeam]:[AwayTeam]],$T15, Table2[[HomeTeam]:[HomeTeam]], AT$11, Table2[[ActualResult]:[ActualResult]], "OT") + SUMIFS(Table2[[AwayWon]:[AwayWon]], Table2[[GameIsOver]:[GameIsOver]],1,Table2[[HomeTeam]:[HomeTeam]],$T15, Table2[[AwayTeam]:[AwayTeam]], AT$11, Table2[[ActualResult]:[ActualResult]], "OT") + SUMIFS(Table2[[HomeWon_]:[HomeWon_]], Table2[[GameIsOver]:[GameIsOver]],1,Table2[[AwayTeam]:[AwayTeam]],$T15, Table2[[HomeTeam]:[HomeTeam]], AT$11, Table2[[ActualResult]:[ActualResult]], "SO") + SUMIFS(Table2[[AwayWon]:[AwayWon]], Table2[[GameIsOver]:[GameIsOver]],1,Table2[[HomeTeam]:[HomeTeam]],$T15, Table2[[AwayTeam]:[AwayTeam]], AT$11, Table2[[ActualResult]:[ActualResult]], "SO")))</f>
        <v>0</v>
      </c>
      <c r="AU15">
        <f>(2*(SUMIFS(Table2[[AwayWon]:[AwayWon]], Table2[[GameIsOver]:[GameIsOver]],1,Table2[[AwayTeam]:[AwayTeam]],$T15, Table2[[HomeTeam]:[HomeTeam]], AU$11) + SUMIFS(Table2[[HomeWon_]:[HomeWon_]], Table2[[GameIsOver]:[GameIsOver]],1,Table2[[HomeTeam]:[HomeTeam]],$T15, Table2[[AwayTeam]:[AwayTeam]], AU$11))) + (0*(SUMIFS(Table2[[HomeWon_]:[HomeWon_]], Table2[[GameIsOver]:[GameIsOver]],1,Table2[[AwayTeam]:[AwayTeam]],$T15, Table2[[HomeTeam]:[HomeTeam]], AU$11, Table2[[ActualResult]:[ActualResult]], "REG") + SUMIFS(Table2[[AwayWon]:[AwayWon]], Table2[[GameIsOver]:[GameIsOver]],1,Table2[[HomeTeam]:[HomeTeam]],$T15, Table2[[AwayTeam]:[AwayTeam]], AU$11, Table2[[ActualResult]:[ActualResult]], "REG"))) + (1*(SUMIFS(Table2[[HomeWon_]:[HomeWon_]], Table2[[GameIsOver]:[GameIsOver]],1,Table2[[AwayTeam]:[AwayTeam]],$T15, Table2[[HomeTeam]:[HomeTeam]], AU$11, Table2[[ActualResult]:[ActualResult]], "OT") + SUMIFS(Table2[[AwayWon]:[AwayWon]], Table2[[GameIsOver]:[GameIsOver]],1,Table2[[HomeTeam]:[HomeTeam]],$T15, Table2[[AwayTeam]:[AwayTeam]], AU$11, Table2[[ActualResult]:[ActualResult]], "OT") + SUMIFS(Table2[[HomeWon_]:[HomeWon_]], Table2[[GameIsOver]:[GameIsOver]],1,Table2[[AwayTeam]:[AwayTeam]],$T15, Table2[[HomeTeam]:[HomeTeam]], AU$11, Table2[[ActualResult]:[ActualResult]], "SO") + SUMIFS(Table2[[AwayWon]:[AwayWon]], Table2[[GameIsOver]:[GameIsOver]],1,Table2[[HomeTeam]:[HomeTeam]],$T15, Table2[[AwayTeam]:[AwayTeam]], AU$11, Table2[[ActualResult]:[ActualResult]], "SO")))</f>
        <v>0</v>
      </c>
      <c r="AV15">
        <f>(2*(SUMIFS(Table2[[AwayWon]:[AwayWon]], Table2[[GameIsOver]:[GameIsOver]],1,Table2[[AwayTeam]:[AwayTeam]],$T15, Table2[[HomeTeam]:[HomeTeam]], AV$11) + SUMIFS(Table2[[HomeWon_]:[HomeWon_]], Table2[[GameIsOver]:[GameIsOver]],1,Table2[[HomeTeam]:[HomeTeam]],$T15, Table2[[AwayTeam]:[AwayTeam]], AV$11))) + (0*(SUMIFS(Table2[[HomeWon_]:[HomeWon_]], Table2[[GameIsOver]:[GameIsOver]],1,Table2[[AwayTeam]:[AwayTeam]],$T15, Table2[[HomeTeam]:[HomeTeam]], AV$11, Table2[[ActualResult]:[ActualResult]], "REG") + SUMIFS(Table2[[AwayWon]:[AwayWon]], Table2[[GameIsOver]:[GameIsOver]],1,Table2[[HomeTeam]:[HomeTeam]],$T15, Table2[[AwayTeam]:[AwayTeam]], AV$11, Table2[[ActualResult]:[ActualResult]], "REG"))) + (1*(SUMIFS(Table2[[HomeWon_]:[HomeWon_]], Table2[[GameIsOver]:[GameIsOver]],1,Table2[[AwayTeam]:[AwayTeam]],$T15, Table2[[HomeTeam]:[HomeTeam]], AV$11, Table2[[ActualResult]:[ActualResult]], "OT") + SUMIFS(Table2[[AwayWon]:[AwayWon]], Table2[[GameIsOver]:[GameIsOver]],1,Table2[[HomeTeam]:[HomeTeam]],$T15, Table2[[AwayTeam]:[AwayTeam]], AV$11, Table2[[ActualResult]:[ActualResult]], "OT") + SUMIFS(Table2[[HomeWon_]:[HomeWon_]], Table2[[GameIsOver]:[GameIsOver]],1,Table2[[AwayTeam]:[AwayTeam]],$T15, Table2[[HomeTeam]:[HomeTeam]], AV$11, Table2[[ActualResult]:[ActualResult]], "SO") + SUMIFS(Table2[[AwayWon]:[AwayWon]], Table2[[GameIsOver]:[GameIsOver]],1,Table2[[HomeTeam]:[HomeTeam]],$T15, Table2[[AwayTeam]:[AwayTeam]], AV$11, Table2[[ActualResult]:[ActualResult]], "SO")))</f>
        <v>0</v>
      </c>
      <c r="AW15">
        <f>(2*(SUMIFS(Table2[[AwayWon]:[AwayWon]], Table2[[GameIsOver]:[GameIsOver]],1,Table2[[AwayTeam]:[AwayTeam]],$T15, Table2[[HomeTeam]:[HomeTeam]], AW$11) + SUMIFS(Table2[[HomeWon_]:[HomeWon_]], Table2[[GameIsOver]:[GameIsOver]],1,Table2[[HomeTeam]:[HomeTeam]],$T15, Table2[[AwayTeam]:[AwayTeam]], AW$11))) + (0*(SUMIFS(Table2[[HomeWon_]:[HomeWon_]], Table2[[GameIsOver]:[GameIsOver]],1,Table2[[AwayTeam]:[AwayTeam]],$T15, Table2[[HomeTeam]:[HomeTeam]], AW$11, Table2[[ActualResult]:[ActualResult]], "REG") + SUMIFS(Table2[[AwayWon]:[AwayWon]], Table2[[GameIsOver]:[GameIsOver]],1,Table2[[HomeTeam]:[HomeTeam]],$T15, Table2[[AwayTeam]:[AwayTeam]], AW$11, Table2[[ActualResult]:[ActualResult]], "REG"))) + (1*(SUMIFS(Table2[[HomeWon_]:[HomeWon_]], Table2[[GameIsOver]:[GameIsOver]],1,Table2[[AwayTeam]:[AwayTeam]],$T15, Table2[[HomeTeam]:[HomeTeam]], AW$11, Table2[[ActualResult]:[ActualResult]], "OT") + SUMIFS(Table2[[AwayWon]:[AwayWon]], Table2[[GameIsOver]:[GameIsOver]],1,Table2[[HomeTeam]:[HomeTeam]],$T15, Table2[[AwayTeam]:[AwayTeam]], AW$11, Table2[[ActualResult]:[ActualResult]], "OT") + SUMIFS(Table2[[HomeWon_]:[HomeWon_]], Table2[[GameIsOver]:[GameIsOver]],1,Table2[[AwayTeam]:[AwayTeam]],$T15, Table2[[HomeTeam]:[HomeTeam]], AW$11, Table2[[ActualResult]:[ActualResult]], "SO") + SUMIFS(Table2[[AwayWon]:[AwayWon]], Table2[[GameIsOver]:[GameIsOver]],1,Table2[[HomeTeam]:[HomeTeam]],$T15, Table2[[AwayTeam]:[AwayTeam]], AW$11, Table2[[ActualResult]:[ActualResult]], "SO")))</f>
        <v>0</v>
      </c>
      <c r="AX15">
        <f>(2*(SUMIFS(Table2[[AwayWon]:[AwayWon]], Table2[[GameIsOver]:[GameIsOver]],1,Table2[[AwayTeam]:[AwayTeam]],$T15, Table2[[HomeTeam]:[HomeTeam]], AX$11) + SUMIFS(Table2[[HomeWon_]:[HomeWon_]], Table2[[GameIsOver]:[GameIsOver]],1,Table2[[HomeTeam]:[HomeTeam]],$T15, Table2[[AwayTeam]:[AwayTeam]], AX$11))) + (0*(SUMIFS(Table2[[HomeWon_]:[HomeWon_]], Table2[[GameIsOver]:[GameIsOver]],1,Table2[[AwayTeam]:[AwayTeam]],$T15, Table2[[HomeTeam]:[HomeTeam]], AX$11, Table2[[ActualResult]:[ActualResult]], "REG") + SUMIFS(Table2[[AwayWon]:[AwayWon]], Table2[[GameIsOver]:[GameIsOver]],1,Table2[[HomeTeam]:[HomeTeam]],$T15, Table2[[AwayTeam]:[AwayTeam]], AX$11, Table2[[ActualResult]:[ActualResult]], "REG"))) + (1*(SUMIFS(Table2[[HomeWon_]:[HomeWon_]], Table2[[GameIsOver]:[GameIsOver]],1,Table2[[AwayTeam]:[AwayTeam]],$T15, Table2[[HomeTeam]:[HomeTeam]], AX$11, Table2[[ActualResult]:[ActualResult]], "OT") + SUMIFS(Table2[[AwayWon]:[AwayWon]], Table2[[GameIsOver]:[GameIsOver]],1,Table2[[HomeTeam]:[HomeTeam]],$T15, Table2[[AwayTeam]:[AwayTeam]], AX$11, Table2[[ActualResult]:[ActualResult]], "OT") + SUMIFS(Table2[[HomeWon_]:[HomeWon_]], Table2[[GameIsOver]:[GameIsOver]],1,Table2[[AwayTeam]:[AwayTeam]],$T15, Table2[[HomeTeam]:[HomeTeam]], AX$11, Table2[[ActualResult]:[ActualResult]], "SO") + SUMIFS(Table2[[AwayWon]:[AwayWon]], Table2[[GameIsOver]:[GameIsOver]],1,Table2[[HomeTeam]:[HomeTeam]],$T15, Table2[[AwayTeam]:[AwayTeam]], AX$11, Table2[[ActualResult]:[ActualResult]], "SO")))</f>
        <v>0</v>
      </c>
      <c r="AY15">
        <f>(2*(SUMIFS(Table2[[AwayWon]:[AwayWon]], Table2[[GameIsOver]:[GameIsOver]],1,Table2[[AwayTeam]:[AwayTeam]],$T15, Table2[[HomeTeam]:[HomeTeam]], AY$11) + SUMIFS(Table2[[HomeWon_]:[HomeWon_]], Table2[[GameIsOver]:[GameIsOver]],1,Table2[[HomeTeam]:[HomeTeam]],$T15, Table2[[AwayTeam]:[AwayTeam]], AY$11))) + (0*(SUMIFS(Table2[[HomeWon_]:[HomeWon_]], Table2[[GameIsOver]:[GameIsOver]],1,Table2[[AwayTeam]:[AwayTeam]],$T15, Table2[[HomeTeam]:[HomeTeam]], AY$11, Table2[[ActualResult]:[ActualResult]], "REG") + SUMIFS(Table2[[AwayWon]:[AwayWon]], Table2[[GameIsOver]:[GameIsOver]],1,Table2[[HomeTeam]:[HomeTeam]],$T15, Table2[[AwayTeam]:[AwayTeam]], AY$11, Table2[[ActualResult]:[ActualResult]], "REG"))) + (1*(SUMIFS(Table2[[HomeWon_]:[HomeWon_]], Table2[[GameIsOver]:[GameIsOver]],1,Table2[[AwayTeam]:[AwayTeam]],$T15, Table2[[HomeTeam]:[HomeTeam]], AY$11, Table2[[ActualResult]:[ActualResult]], "OT") + SUMIFS(Table2[[AwayWon]:[AwayWon]], Table2[[GameIsOver]:[GameIsOver]],1,Table2[[HomeTeam]:[HomeTeam]],$T15, Table2[[AwayTeam]:[AwayTeam]], AY$11, Table2[[ActualResult]:[ActualResult]], "OT") + SUMIFS(Table2[[HomeWon_]:[HomeWon_]], Table2[[GameIsOver]:[GameIsOver]],1,Table2[[AwayTeam]:[AwayTeam]],$T15, Table2[[HomeTeam]:[HomeTeam]], AY$11, Table2[[ActualResult]:[ActualResult]], "SO") + SUMIFS(Table2[[AwayWon]:[AwayWon]], Table2[[GameIsOver]:[GameIsOver]],1,Table2[[HomeTeam]:[HomeTeam]],$T15, Table2[[AwayTeam]:[AwayTeam]], AY$11, Table2[[ActualResult]:[ActualResult]], "SO")))</f>
        <v>0</v>
      </c>
      <c r="AZ15">
        <f>(2*(SUMIFS(Table2[[AwayWon]:[AwayWon]], Table2[[GameIsOver]:[GameIsOver]],1,Table2[[AwayTeam]:[AwayTeam]],$T15, Table2[[HomeTeam]:[HomeTeam]], AZ$11) + SUMIFS(Table2[[HomeWon_]:[HomeWon_]], Table2[[GameIsOver]:[GameIsOver]],1,Table2[[HomeTeam]:[HomeTeam]],$T15, Table2[[AwayTeam]:[AwayTeam]], AZ$11))) + (0*(SUMIFS(Table2[[HomeWon_]:[HomeWon_]], Table2[[GameIsOver]:[GameIsOver]],1,Table2[[AwayTeam]:[AwayTeam]],$T15, Table2[[HomeTeam]:[HomeTeam]], AZ$11, Table2[[ActualResult]:[ActualResult]], "REG") + SUMIFS(Table2[[AwayWon]:[AwayWon]], Table2[[GameIsOver]:[GameIsOver]],1,Table2[[HomeTeam]:[HomeTeam]],$T15, Table2[[AwayTeam]:[AwayTeam]], AZ$11, Table2[[ActualResult]:[ActualResult]], "REG"))) + (1*(SUMIFS(Table2[[HomeWon_]:[HomeWon_]], Table2[[GameIsOver]:[GameIsOver]],1,Table2[[AwayTeam]:[AwayTeam]],$T15, Table2[[HomeTeam]:[HomeTeam]], AZ$11, Table2[[ActualResult]:[ActualResult]], "OT") + SUMIFS(Table2[[AwayWon]:[AwayWon]], Table2[[GameIsOver]:[GameIsOver]],1,Table2[[HomeTeam]:[HomeTeam]],$T15, Table2[[AwayTeam]:[AwayTeam]], AZ$11, Table2[[ActualResult]:[ActualResult]], "OT") + SUMIFS(Table2[[HomeWon_]:[HomeWon_]], Table2[[GameIsOver]:[GameIsOver]],1,Table2[[AwayTeam]:[AwayTeam]],$T15, Table2[[HomeTeam]:[HomeTeam]], AZ$11, Table2[[ActualResult]:[ActualResult]], "SO") + SUMIFS(Table2[[AwayWon]:[AwayWon]], Table2[[GameIsOver]:[GameIsOver]],1,Table2[[HomeTeam]:[HomeTeam]],$T15, Table2[[AwayTeam]:[AwayTeam]], AZ$11, Table2[[ActualResult]:[ActualResult]], "SO")))</f>
        <v>0</v>
      </c>
      <c r="BA15">
        <f>(2*(SUMIFS(Table2[[AwayWon]:[AwayWon]], Table2[[GameIsOver]:[GameIsOver]],1,Table2[[AwayTeam]:[AwayTeam]],$T15, Table2[[HomeTeam]:[HomeTeam]], BA$11) + SUMIFS(Table2[[HomeWon_]:[HomeWon_]], Table2[[GameIsOver]:[GameIsOver]],1,Table2[[HomeTeam]:[HomeTeam]],$T15, Table2[[AwayTeam]:[AwayTeam]], BA$11))) + (0*(SUMIFS(Table2[[HomeWon_]:[HomeWon_]], Table2[[GameIsOver]:[GameIsOver]],1,Table2[[AwayTeam]:[AwayTeam]],$T15, Table2[[HomeTeam]:[HomeTeam]], BA$11, Table2[[ActualResult]:[ActualResult]], "REG") + SUMIFS(Table2[[AwayWon]:[AwayWon]], Table2[[GameIsOver]:[GameIsOver]],1,Table2[[HomeTeam]:[HomeTeam]],$T15, Table2[[AwayTeam]:[AwayTeam]], BA$11, Table2[[ActualResult]:[ActualResult]], "REG"))) + (1*(SUMIFS(Table2[[HomeWon_]:[HomeWon_]], Table2[[GameIsOver]:[GameIsOver]],1,Table2[[AwayTeam]:[AwayTeam]],$T15, Table2[[HomeTeam]:[HomeTeam]], BA$11, Table2[[ActualResult]:[ActualResult]], "OT") + SUMIFS(Table2[[AwayWon]:[AwayWon]], Table2[[GameIsOver]:[GameIsOver]],1,Table2[[HomeTeam]:[HomeTeam]],$T15, Table2[[AwayTeam]:[AwayTeam]], BA$11, Table2[[ActualResult]:[ActualResult]], "OT") + SUMIFS(Table2[[HomeWon_]:[HomeWon_]], Table2[[GameIsOver]:[GameIsOver]],1,Table2[[AwayTeam]:[AwayTeam]],$T15, Table2[[HomeTeam]:[HomeTeam]], BA$11, Table2[[ActualResult]:[ActualResult]], "SO") + SUMIFS(Table2[[AwayWon]:[AwayWon]], Table2[[GameIsOver]:[GameIsOver]],1,Table2[[HomeTeam]:[HomeTeam]],$T15, Table2[[AwayTeam]:[AwayTeam]], BA$11, Table2[[ActualResult]:[ActualResult]], "SO")))</f>
        <v>0</v>
      </c>
    </row>
    <row r="16" spans="1:53" x14ac:dyDescent="0.25">
      <c r="A16" s="61" t="s">
        <v>18</v>
      </c>
      <c r="B16" s="61" t="s">
        <v>91</v>
      </c>
      <c r="C16" s="61" t="s">
        <v>74</v>
      </c>
      <c r="D16" s="62">
        <f>INDEX(Table3[PTS], MATCH(Table6[[#This Row],[Teams]], Table3[Teams],0))</f>
        <v>10</v>
      </c>
      <c r="E16" s="62">
        <f>INDEX(Table3[PTS], MATCH(Table6[[#This Row],[Teams]], Table3[Teams],0))</f>
        <v>10</v>
      </c>
      <c r="S16">
        <v>4</v>
      </c>
      <c r="T16" t="str" cm="1">
        <f t="array" ref="T16">INDEX(Table6[Teams], SMALL(IF(Table6[D]="C", ROW(Table6[Teams])-ROW(Table6[#Headers])), Table710[[#This Row],[CEN]]))</f>
        <v>MIN</v>
      </c>
      <c r="U16">
        <f>INDEX(Table6[PTS], MATCH($T16, Table6[Teams], 0))</f>
        <v>7</v>
      </c>
      <c r="V16">
        <f>(2*(SUMIFS(Table2[[AwayWon]:[AwayWon]], Table2[[GameIsOver]:[GameIsOver]],1,Table2[[AwayTeam]:[AwayTeam]],$T16, Table2[[HomeTeam]:[HomeTeam]], V$11) + SUMIFS(Table2[[HomeWon_]:[HomeWon_]], Table2[[GameIsOver]:[GameIsOver]],1,Table2[[HomeTeam]:[HomeTeam]],$T16, Table2[[AwayTeam]:[AwayTeam]], V$11))) + (0*(SUMIFS(Table2[[HomeWon_]:[HomeWon_]], Table2[[GameIsOver]:[GameIsOver]],1,Table2[[AwayTeam]:[AwayTeam]],$T16, Table2[[HomeTeam]:[HomeTeam]], V$11, Table2[[ActualResult]:[ActualResult]], "REG") + SUMIFS(Table2[[AwayWon]:[AwayWon]], Table2[[GameIsOver]:[GameIsOver]],1,Table2[[HomeTeam]:[HomeTeam]],$T16, Table2[[AwayTeam]:[AwayTeam]], V$11, Table2[[ActualResult]:[ActualResult]], "REG"))) + (1*(SUMIFS(Table2[[HomeWon_]:[HomeWon_]], Table2[[GameIsOver]:[GameIsOver]],1,Table2[[AwayTeam]:[AwayTeam]],$T16, Table2[[HomeTeam]:[HomeTeam]], V$11, Table2[[ActualResult]:[ActualResult]], "OT") + SUMIFS(Table2[[AwayWon]:[AwayWon]], Table2[[GameIsOver]:[GameIsOver]],1,Table2[[HomeTeam]:[HomeTeam]],$T16, Table2[[AwayTeam]:[AwayTeam]], V$11, Table2[[ActualResult]:[ActualResult]], "OT") + SUMIFS(Table2[[HomeWon_]:[HomeWon_]], Table2[[GameIsOver]:[GameIsOver]],1,Table2[[AwayTeam]:[AwayTeam]],$T16, Table2[[HomeTeam]:[HomeTeam]], V$11, Table2[[ActualResult]:[ActualResult]], "SO") + SUMIFS(Table2[[AwayWon]:[AwayWon]], Table2[[GameIsOver]:[GameIsOver]],1,Table2[[HomeTeam]:[HomeTeam]],$T16, Table2[[AwayTeam]:[AwayTeam]], V$11, Table2[[ActualResult]:[ActualResult]], "SO")))</f>
        <v>0</v>
      </c>
      <c r="W16">
        <f>(2*(SUMIFS(Table2[[AwayWon]:[AwayWon]], Table2[[GameIsOver]:[GameIsOver]],1,Table2[[AwayTeam]:[AwayTeam]],$T16, Table2[[HomeTeam]:[HomeTeam]], W$11) + SUMIFS(Table2[[HomeWon_]:[HomeWon_]], Table2[[GameIsOver]:[GameIsOver]],1,Table2[[HomeTeam]:[HomeTeam]],$T16, Table2[[AwayTeam]:[AwayTeam]], W$11))) + (0*(SUMIFS(Table2[[HomeWon_]:[HomeWon_]], Table2[[GameIsOver]:[GameIsOver]],1,Table2[[AwayTeam]:[AwayTeam]],$T16, Table2[[HomeTeam]:[HomeTeam]], W$11, Table2[[ActualResult]:[ActualResult]], "REG") + SUMIFS(Table2[[AwayWon]:[AwayWon]], Table2[[GameIsOver]:[GameIsOver]],1,Table2[[HomeTeam]:[HomeTeam]],$T16, Table2[[AwayTeam]:[AwayTeam]], W$11, Table2[[ActualResult]:[ActualResult]], "REG"))) + (1*(SUMIFS(Table2[[HomeWon_]:[HomeWon_]], Table2[[GameIsOver]:[GameIsOver]],1,Table2[[AwayTeam]:[AwayTeam]],$T16, Table2[[HomeTeam]:[HomeTeam]], W$11, Table2[[ActualResult]:[ActualResult]], "OT") + SUMIFS(Table2[[AwayWon]:[AwayWon]], Table2[[GameIsOver]:[GameIsOver]],1,Table2[[HomeTeam]:[HomeTeam]],$T16, Table2[[AwayTeam]:[AwayTeam]], W$11, Table2[[ActualResult]:[ActualResult]], "OT") + SUMIFS(Table2[[HomeWon_]:[HomeWon_]], Table2[[GameIsOver]:[GameIsOver]],1,Table2[[AwayTeam]:[AwayTeam]],$T16, Table2[[HomeTeam]:[HomeTeam]], W$11, Table2[[ActualResult]:[ActualResult]], "SO") + SUMIFS(Table2[[AwayWon]:[AwayWon]], Table2[[GameIsOver]:[GameIsOver]],1,Table2[[HomeTeam]:[HomeTeam]],$T16, Table2[[AwayTeam]:[AwayTeam]], W$11, Table2[[ActualResult]:[ActualResult]], "SO")))</f>
        <v>0</v>
      </c>
      <c r="X16">
        <f>(2*(SUMIFS(Table2[[AwayWon]:[AwayWon]], Table2[[GameIsOver]:[GameIsOver]],1,Table2[[AwayTeam]:[AwayTeam]],$T16, Table2[[HomeTeam]:[HomeTeam]], X$11) + SUMIFS(Table2[[HomeWon_]:[HomeWon_]], Table2[[GameIsOver]:[GameIsOver]],1,Table2[[HomeTeam]:[HomeTeam]],$T16, Table2[[AwayTeam]:[AwayTeam]], X$11))) + (0*(SUMIFS(Table2[[HomeWon_]:[HomeWon_]], Table2[[GameIsOver]:[GameIsOver]],1,Table2[[AwayTeam]:[AwayTeam]],$T16, Table2[[HomeTeam]:[HomeTeam]], X$11, Table2[[ActualResult]:[ActualResult]], "REG") + SUMIFS(Table2[[AwayWon]:[AwayWon]], Table2[[GameIsOver]:[GameIsOver]],1,Table2[[HomeTeam]:[HomeTeam]],$T16, Table2[[AwayTeam]:[AwayTeam]], X$11, Table2[[ActualResult]:[ActualResult]], "REG"))) + (1*(SUMIFS(Table2[[HomeWon_]:[HomeWon_]], Table2[[GameIsOver]:[GameIsOver]],1,Table2[[AwayTeam]:[AwayTeam]],$T16, Table2[[HomeTeam]:[HomeTeam]], X$11, Table2[[ActualResult]:[ActualResult]], "OT") + SUMIFS(Table2[[AwayWon]:[AwayWon]], Table2[[GameIsOver]:[GameIsOver]],1,Table2[[HomeTeam]:[HomeTeam]],$T16, Table2[[AwayTeam]:[AwayTeam]], X$11, Table2[[ActualResult]:[ActualResult]], "OT") + SUMIFS(Table2[[HomeWon_]:[HomeWon_]], Table2[[GameIsOver]:[GameIsOver]],1,Table2[[AwayTeam]:[AwayTeam]],$T16, Table2[[HomeTeam]:[HomeTeam]], X$11, Table2[[ActualResult]:[ActualResult]], "SO") + SUMIFS(Table2[[AwayWon]:[AwayWon]], Table2[[GameIsOver]:[GameIsOver]],1,Table2[[HomeTeam]:[HomeTeam]],$T16, Table2[[AwayTeam]:[AwayTeam]], X$11, Table2[[ActualResult]:[ActualResult]], "SO")))</f>
        <v>0</v>
      </c>
      <c r="Y16">
        <f>(2*(SUMIFS(Table2[[AwayWon]:[AwayWon]], Table2[[GameIsOver]:[GameIsOver]],1,Table2[[AwayTeam]:[AwayTeam]],$T16, Table2[[HomeTeam]:[HomeTeam]], Y$11) + SUMIFS(Table2[[HomeWon_]:[HomeWon_]], Table2[[GameIsOver]:[GameIsOver]],1,Table2[[HomeTeam]:[HomeTeam]],$T16, Table2[[AwayTeam]:[AwayTeam]], Y$11))) + (0*(SUMIFS(Table2[[HomeWon_]:[HomeWon_]], Table2[[GameIsOver]:[GameIsOver]],1,Table2[[AwayTeam]:[AwayTeam]],$T16, Table2[[HomeTeam]:[HomeTeam]], Y$11, Table2[[ActualResult]:[ActualResult]], "REG") + SUMIFS(Table2[[AwayWon]:[AwayWon]], Table2[[GameIsOver]:[GameIsOver]],1,Table2[[HomeTeam]:[HomeTeam]],$T16, Table2[[AwayTeam]:[AwayTeam]], Y$11, Table2[[ActualResult]:[ActualResult]], "REG"))) + (1*(SUMIFS(Table2[[HomeWon_]:[HomeWon_]], Table2[[GameIsOver]:[GameIsOver]],1,Table2[[AwayTeam]:[AwayTeam]],$T16, Table2[[HomeTeam]:[HomeTeam]], Y$11, Table2[[ActualResult]:[ActualResult]], "OT") + SUMIFS(Table2[[AwayWon]:[AwayWon]], Table2[[GameIsOver]:[GameIsOver]],1,Table2[[HomeTeam]:[HomeTeam]],$T16, Table2[[AwayTeam]:[AwayTeam]], Y$11, Table2[[ActualResult]:[ActualResult]], "OT") + SUMIFS(Table2[[HomeWon_]:[HomeWon_]], Table2[[GameIsOver]:[GameIsOver]],1,Table2[[AwayTeam]:[AwayTeam]],$T16, Table2[[HomeTeam]:[HomeTeam]], Y$11, Table2[[ActualResult]:[ActualResult]], "SO") + SUMIFS(Table2[[AwayWon]:[AwayWon]], Table2[[GameIsOver]:[GameIsOver]],1,Table2[[HomeTeam]:[HomeTeam]],$T16, Table2[[AwayTeam]:[AwayTeam]], Y$11, Table2[[ActualResult]:[ActualResult]], "SO")))</f>
        <v>2</v>
      </c>
      <c r="Z16">
        <f>(2*(SUMIFS(Table2[[AwayWon]:[AwayWon]], Table2[[GameIsOver]:[GameIsOver]],1,Table2[[AwayTeam]:[AwayTeam]],$T16, Table2[[HomeTeam]:[HomeTeam]], Z$11) + SUMIFS(Table2[[HomeWon_]:[HomeWon_]], Table2[[GameIsOver]:[GameIsOver]],1,Table2[[HomeTeam]:[HomeTeam]],$T16, Table2[[AwayTeam]:[AwayTeam]], Z$11))) + (0*(SUMIFS(Table2[[HomeWon_]:[HomeWon_]], Table2[[GameIsOver]:[GameIsOver]],1,Table2[[AwayTeam]:[AwayTeam]],$T16, Table2[[HomeTeam]:[HomeTeam]], Z$11, Table2[[ActualResult]:[ActualResult]], "REG") + SUMIFS(Table2[[AwayWon]:[AwayWon]], Table2[[GameIsOver]:[GameIsOver]],1,Table2[[HomeTeam]:[HomeTeam]],$T16, Table2[[AwayTeam]:[AwayTeam]], Z$11, Table2[[ActualResult]:[ActualResult]], "REG"))) + (1*(SUMIFS(Table2[[HomeWon_]:[HomeWon_]], Table2[[GameIsOver]:[GameIsOver]],1,Table2[[AwayTeam]:[AwayTeam]],$T16, Table2[[HomeTeam]:[HomeTeam]], Z$11, Table2[[ActualResult]:[ActualResult]], "OT") + SUMIFS(Table2[[AwayWon]:[AwayWon]], Table2[[GameIsOver]:[GameIsOver]],1,Table2[[HomeTeam]:[HomeTeam]],$T16, Table2[[AwayTeam]:[AwayTeam]], Z$11, Table2[[ActualResult]:[ActualResult]], "OT") + SUMIFS(Table2[[HomeWon_]:[HomeWon_]], Table2[[GameIsOver]:[GameIsOver]],1,Table2[[AwayTeam]:[AwayTeam]],$T16, Table2[[HomeTeam]:[HomeTeam]], Z$11, Table2[[ActualResult]:[ActualResult]], "SO") + SUMIFS(Table2[[AwayWon]:[AwayWon]], Table2[[GameIsOver]:[GameIsOver]],1,Table2[[HomeTeam]:[HomeTeam]],$T16, Table2[[AwayTeam]:[AwayTeam]], Z$11, Table2[[ActualResult]:[ActualResult]], "SO")))</f>
        <v>0</v>
      </c>
      <c r="AA16">
        <f>(2*(SUMIFS(Table2[[AwayWon]:[AwayWon]], Table2[[GameIsOver]:[GameIsOver]],1,Table2[[AwayTeam]:[AwayTeam]],$T16, Table2[[HomeTeam]:[HomeTeam]], AA$11) + SUMIFS(Table2[[HomeWon_]:[HomeWon_]], Table2[[GameIsOver]:[GameIsOver]],1,Table2[[HomeTeam]:[HomeTeam]],$T16, Table2[[AwayTeam]:[AwayTeam]], AA$11))) + (0*(SUMIFS(Table2[[HomeWon_]:[HomeWon_]], Table2[[GameIsOver]:[GameIsOver]],1,Table2[[AwayTeam]:[AwayTeam]],$T16, Table2[[HomeTeam]:[HomeTeam]], AA$11, Table2[[ActualResult]:[ActualResult]], "REG") + SUMIFS(Table2[[AwayWon]:[AwayWon]], Table2[[GameIsOver]:[GameIsOver]],1,Table2[[HomeTeam]:[HomeTeam]],$T16, Table2[[AwayTeam]:[AwayTeam]], AA$11, Table2[[ActualResult]:[ActualResult]], "REG"))) + (1*(SUMIFS(Table2[[HomeWon_]:[HomeWon_]], Table2[[GameIsOver]:[GameIsOver]],1,Table2[[AwayTeam]:[AwayTeam]],$T16, Table2[[HomeTeam]:[HomeTeam]], AA$11, Table2[[ActualResult]:[ActualResult]], "OT") + SUMIFS(Table2[[AwayWon]:[AwayWon]], Table2[[GameIsOver]:[GameIsOver]],1,Table2[[HomeTeam]:[HomeTeam]],$T16, Table2[[AwayTeam]:[AwayTeam]], AA$11, Table2[[ActualResult]:[ActualResult]], "OT") + SUMIFS(Table2[[HomeWon_]:[HomeWon_]], Table2[[GameIsOver]:[GameIsOver]],1,Table2[[AwayTeam]:[AwayTeam]],$T16, Table2[[HomeTeam]:[HomeTeam]], AA$11, Table2[[ActualResult]:[ActualResult]], "SO") + SUMIFS(Table2[[AwayWon]:[AwayWon]], Table2[[GameIsOver]:[GameIsOver]],1,Table2[[HomeTeam]:[HomeTeam]],$T16, Table2[[AwayTeam]:[AwayTeam]], AA$11, Table2[[ActualResult]:[ActualResult]], "SO")))</f>
        <v>0</v>
      </c>
      <c r="AB16">
        <f>(2*(SUMIFS(Table2[[AwayWon]:[AwayWon]], Table2[[GameIsOver]:[GameIsOver]],1,Table2[[AwayTeam]:[AwayTeam]],$T16, Table2[[HomeTeam]:[HomeTeam]], AB$11) + SUMIFS(Table2[[HomeWon_]:[HomeWon_]], Table2[[GameIsOver]:[GameIsOver]],1,Table2[[HomeTeam]:[HomeTeam]],$T16, Table2[[AwayTeam]:[AwayTeam]], AB$11))) + (0*(SUMIFS(Table2[[HomeWon_]:[HomeWon_]], Table2[[GameIsOver]:[GameIsOver]],1,Table2[[AwayTeam]:[AwayTeam]],$T16, Table2[[HomeTeam]:[HomeTeam]], AB$11, Table2[[ActualResult]:[ActualResult]], "REG") + SUMIFS(Table2[[AwayWon]:[AwayWon]], Table2[[GameIsOver]:[GameIsOver]],1,Table2[[HomeTeam]:[HomeTeam]],$T16, Table2[[AwayTeam]:[AwayTeam]], AB$11, Table2[[ActualResult]:[ActualResult]], "REG"))) + (1*(SUMIFS(Table2[[HomeWon_]:[HomeWon_]], Table2[[GameIsOver]:[GameIsOver]],1,Table2[[AwayTeam]:[AwayTeam]],$T16, Table2[[HomeTeam]:[HomeTeam]], AB$11, Table2[[ActualResult]:[ActualResult]], "OT") + SUMIFS(Table2[[AwayWon]:[AwayWon]], Table2[[GameIsOver]:[GameIsOver]],1,Table2[[HomeTeam]:[HomeTeam]],$T16, Table2[[AwayTeam]:[AwayTeam]], AB$11, Table2[[ActualResult]:[ActualResult]], "OT") + SUMIFS(Table2[[HomeWon_]:[HomeWon_]], Table2[[GameIsOver]:[GameIsOver]],1,Table2[[AwayTeam]:[AwayTeam]],$T16, Table2[[HomeTeam]:[HomeTeam]], AB$11, Table2[[ActualResult]:[ActualResult]], "SO") + SUMIFS(Table2[[AwayWon]:[AwayWon]], Table2[[GameIsOver]:[GameIsOver]],1,Table2[[HomeTeam]:[HomeTeam]],$T16, Table2[[AwayTeam]:[AwayTeam]], AB$11, Table2[[ActualResult]:[ActualResult]], "SO")))</f>
        <v>0</v>
      </c>
      <c r="AC16">
        <f>(2*(SUMIFS(Table2[[AwayWon]:[AwayWon]], Table2[[GameIsOver]:[GameIsOver]],1,Table2[[AwayTeam]:[AwayTeam]],$T16, Table2[[HomeTeam]:[HomeTeam]], AC$11) + SUMIFS(Table2[[HomeWon_]:[HomeWon_]], Table2[[GameIsOver]:[GameIsOver]],1,Table2[[HomeTeam]:[HomeTeam]],$T16, Table2[[AwayTeam]:[AwayTeam]], AC$11))) + (0*(SUMIFS(Table2[[HomeWon_]:[HomeWon_]], Table2[[GameIsOver]:[GameIsOver]],1,Table2[[AwayTeam]:[AwayTeam]],$T16, Table2[[HomeTeam]:[HomeTeam]], AC$11, Table2[[ActualResult]:[ActualResult]], "REG") + SUMIFS(Table2[[AwayWon]:[AwayWon]], Table2[[GameIsOver]:[GameIsOver]],1,Table2[[HomeTeam]:[HomeTeam]],$T16, Table2[[AwayTeam]:[AwayTeam]], AC$11, Table2[[ActualResult]:[ActualResult]], "REG"))) + (1*(SUMIFS(Table2[[HomeWon_]:[HomeWon_]], Table2[[GameIsOver]:[GameIsOver]],1,Table2[[AwayTeam]:[AwayTeam]],$T16, Table2[[HomeTeam]:[HomeTeam]], AC$11, Table2[[ActualResult]:[ActualResult]], "OT") + SUMIFS(Table2[[AwayWon]:[AwayWon]], Table2[[GameIsOver]:[GameIsOver]],1,Table2[[HomeTeam]:[HomeTeam]],$T16, Table2[[AwayTeam]:[AwayTeam]], AC$11, Table2[[ActualResult]:[ActualResult]], "OT") + SUMIFS(Table2[[HomeWon_]:[HomeWon_]], Table2[[GameIsOver]:[GameIsOver]],1,Table2[[AwayTeam]:[AwayTeam]],$T16, Table2[[HomeTeam]:[HomeTeam]], AC$11, Table2[[ActualResult]:[ActualResult]], "SO") + SUMIFS(Table2[[AwayWon]:[AwayWon]], Table2[[GameIsOver]:[GameIsOver]],1,Table2[[HomeTeam]:[HomeTeam]],$T16, Table2[[AwayTeam]:[AwayTeam]], AC$11, Table2[[ActualResult]:[ActualResult]], "SO")))</f>
        <v>0</v>
      </c>
      <c r="AD16">
        <f>(2*(SUMIFS(Table2[[AwayWon]:[AwayWon]], Table2[[GameIsOver]:[GameIsOver]],1,Table2[[AwayTeam]:[AwayTeam]],$T16, Table2[[HomeTeam]:[HomeTeam]], AD$11) + SUMIFS(Table2[[HomeWon_]:[HomeWon_]], Table2[[GameIsOver]:[GameIsOver]],1,Table2[[HomeTeam]:[HomeTeam]],$T16, Table2[[AwayTeam]:[AwayTeam]], AD$11))) + (0*(SUMIFS(Table2[[HomeWon_]:[HomeWon_]], Table2[[GameIsOver]:[GameIsOver]],1,Table2[[AwayTeam]:[AwayTeam]],$T16, Table2[[HomeTeam]:[HomeTeam]], AD$11, Table2[[ActualResult]:[ActualResult]], "REG") + SUMIFS(Table2[[AwayWon]:[AwayWon]], Table2[[GameIsOver]:[GameIsOver]],1,Table2[[HomeTeam]:[HomeTeam]],$T16, Table2[[AwayTeam]:[AwayTeam]], AD$11, Table2[[ActualResult]:[ActualResult]], "REG"))) + (1*(SUMIFS(Table2[[HomeWon_]:[HomeWon_]], Table2[[GameIsOver]:[GameIsOver]],1,Table2[[AwayTeam]:[AwayTeam]],$T16, Table2[[HomeTeam]:[HomeTeam]], AD$11, Table2[[ActualResult]:[ActualResult]], "OT") + SUMIFS(Table2[[AwayWon]:[AwayWon]], Table2[[GameIsOver]:[GameIsOver]],1,Table2[[HomeTeam]:[HomeTeam]],$T16, Table2[[AwayTeam]:[AwayTeam]], AD$11, Table2[[ActualResult]:[ActualResult]], "OT") + SUMIFS(Table2[[HomeWon_]:[HomeWon_]], Table2[[GameIsOver]:[GameIsOver]],1,Table2[[AwayTeam]:[AwayTeam]],$T16, Table2[[HomeTeam]:[HomeTeam]], AD$11, Table2[[ActualResult]:[ActualResult]], "SO") + SUMIFS(Table2[[AwayWon]:[AwayWon]], Table2[[GameIsOver]:[GameIsOver]],1,Table2[[HomeTeam]:[HomeTeam]],$T16, Table2[[AwayTeam]:[AwayTeam]], AD$11, Table2[[ActualResult]:[ActualResult]], "SO")))</f>
        <v>0</v>
      </c>
      <c r="AE16">
        <f>(2*(SUMIFS(Table2[[AwayWon]:[AwayWon]], Table2[[GameIsOver]:[GameIsOver]],1,Table2[[AwayTeam]:[AwayTeam]],$T16, Table2[[HomeTeam]:[HomeTeam]], AE$11) + SUMIFS(Table2[[HomeWon_]:[HomeWon_]], Table2[[GameIsOver]:[GameIsOver]],1,Table2[[HomeTeam]:[HomeTeam]],$T16, Table2[[AwayTeam]:[AwayTeam]], AE$11))) + (0*(SUMIFS(Table2[[HomeWon_]:[HomeWon_]], Table2[[GameIsOver]:[GameIsOver]],1,Table2[[AwayTeam]:[AwayTeam]],$T16, Table2[[HomeTeam]:[HomeTeam]], AE$11, Table2[[ActualResult]:[ActualResult]], "REG") + SUMIFS(Table2[[AwayWon]:[AwayWon]], Table2[[GameIsOver]:[GameIsOver]],1,Table2[[HomeTeam]:[HomeTeam]],$T16, Table2[[AwayTeam]:[AwayTeam]], AE$11, Table2[[ActualResult]:[ActualResult]], "REG"))) + (1*(SUMIFS(Table2[[HomeWon_]:[HomeWon_]], Table2[[GameIsOver]:[GameIsOver]],1,Table2[[AwayTeam]:[AwayTeam]],$T16, Table2[[HomeTeam]:[HomeTeam]], AE$11, Table2[[ActualResult]:[ActualResult]], "OT") + SUMIFS(Table2[[AwayWon]:[AwayWon]], Table2[[GameIsOver]:[GameIsOver]],1,Table2[[HomeTeam]:[HomeTeam]],$T16, Table2[[AwayTeam]:[AwayTeam]], AE$11, Table2[[ActualResult]:[ActualResult]], "OT") + SUMIFS(Table2[[HomeWon_]:[HomeWon_]], Table2[[GameIsOver]:[GameIsOver]],1,Table2[[AwayTeam]:[AwayTeam]],$T16, Table2[[HomeTeam]:[HomeTeam]], AE$11, Table2[[ActualResult]:[ActualResult]], "SO") + SUMIFS(Table2[[AwayWon]:[AwayWon]], Table2[[GameIsOver]:[GameIsOver]],1,Table2[[HomeTeam]:[HomeTeam]],$T16, Table2[[AwayTeam]:[AwayTeam]], AE$11, Table2[[ActualResult]:[ActualResult]], "SO")))</f>
        <v>0</v>
      </c>
      <c r="AF16">
        <f>(2*(SUMIFS(Table2[[AwayWon]:[AwayWon]], Table2[[GameIsOver]:[GameIsOver]],1,Table2[[AwayTeam]:[AwayTeam]],$T16, Table2[[HomeTeam]:[HomeTeam]], AF$11) + SUMIFS(Table2[[HomeWon_]:[HomeWon_]], Table2[[GameIsOver]:[GameIsOver]],1,Table2[[HomeTeam]:[HomeTeam]],$T16, Table2[[AwayTeam]:[AwayTeam]], AF$11))) + (0*(SUMIFS(Table2[[HomeWon_]:[HomeWon_]], Table2[[GameIsOver]:[GameIsOver]],1,Table2[[AwayTeam]:[AwayTeam]],$T16, Table2[[HomeTeam]:[HomeTeam]], AF$11, Table2[[ActualResult]:[ActualResult]], "REG") + SUMIFS(Table2[[AwayWon]:[AwayWon]], Table2[[GameIsOver]:[GameIsOver]],1,Table2[[HomeTeam]:[HomeTeam]],$T16, Table2[[AwayTeam]:[AwayTeam]], AF$11, Table2[[ActualResult]:[ActualResult]], "REG"))) + (1*(SUMIFS(Table2[[HomeWon_]:[HomeWon_]], Table2[[GameIsOver]:[GameIsOver]],1,Table2[[AwayTeam]:[AwayTeam]],$T16, Table2[[HomeTeam]:[HomeTeam]], AF$11, Table2[[ActualResult]:[ActualResult]], "OT") + SUMIFS(Table2[[AwayWon]:[AwayWon]], Table2[[GameIsOver]:[GameIsOver]],1,Table2[[HomeTeam]:[HomeTeam]],$T16, Table2[[AwayTeam]:[AwayTeam]], AF$11, Table2[[ActualResult]:[ActualResult]], "OT") + SUMIFS(Table2[[HomeWon_]:[HomeWon_]], Table2[[GameIsOver]:[GameIsOver]],1,Table2[[AwayTeam]:[AwayTeam]],$T16, Table2[[HomeTeam]:[HomeTeam]], AF$11, Table2[[ActualResult]:[ActualResult]], "SO") + SUMIFS(Table2[[AwayWon]:[AwayWon]], Table2[[GameIsOver]:[GameIsOver]],1,Table2[[HomeTeam]:[HomeTeam]],$T16, Table2[[AwayTeam]:[AwayTeam]], AF$11, Table2[[ActualResult]:[ActualResult]], "SO")))</f>
        <v>0</v>
      </c>
      <c r="AG16">
        <f>(2*(SUMIFS(Table2[[AwayWon]:[AwayWon]], Table2[[GameIsOver]:[GameIsOver]],1,Table2[[AwayTeam]:[AwayTeam]],$T16, Table2[[HomeTeam]:[HomeTeam]], AG$11) + SUMIFS(Table2[[HomeWon_]:[HomeWon_]], Table2[[GameIsOver]:[GameIsOver]],1,Table2[[HomeTeam]:[HomeTeam]],$T16, Table2[[AwayTeam]:[AwayTeam]], AG$11))) + (0*(SUMIFS(Table2[[HomeWon_]:[HomeWon_]], Table2[[GameIsOver]:[GameIsOver]],1,Table2[[AwayTeam]:[AwayTeam]],$T16, Table2[[HomeTeam]:[HomeTeam]], AG$11, Table2[[ActualResult]:[ActualResult]], "REG") + SUMIFS(Table2[[AwayWon]:[AwayWon]], Table2[[GameIsOver]:[GameIsOver]],1,Table2[[HomeTeam]:[HomeTeam]],$T16, Table2[[AwayTeam]:[AwayTeam]], AG$11, Table2[[ActualResult]:[ActualResult]], "REG"))) + (1*(SUMIFS(Table2[[HomeWon_]:[HomeWon_]], Table2[[GameIsOver]:[GameIsOver]],1,Table2[[AwayTeam]:[AwayTeam]],$T16, Table2[[HomeTeam]:[HomeTeam]], AG$11, Table2[[ActualResult]:[ActualResult]], "OT") + SUMIFS(Table2[[AwayWon]:[AwayWon]], Table2[[GameIsOver]:[GameIsOver]],1,Table2[[HomeTeam]:[HomeTeam]],$T16, Table2[[AwayTeam]:[AwayTeam]], AG$11, Table2[[ActualResult]:[ActualResult]], "OT") + SUMIFS(Table2[[HomeWon_]:[HomeWon_]], Table2[[GameIsOver]:[GameIsOver]],1,Table2[[AwayTeam]:[AwayTeam]],$T16, Table2[[HomeTeam]:[HomeTeam]], AG$11, Table2[[ActualResult]:[ActualResult]], "SO") + SUMIFS(Table2[[AwayWon]:[AwayWon]], Table2[[GameIsOver]:[GameIsOver]],1,Table2[[HomeTeam]:[HomeTeam]],$T16, Table2[[AwayTeam]:[AwayTeam]], AG$11, Table2[[ActualResult]:[ActualResult]], "SO")))</f>
        <v>0</v>
      </c>
      <c r="AH16">
        <f>(2*(SUMIFS(Table2[[AwayWon]:[AwayWon]], Table2[[GameIsOver]:[GameIsOver]],1,Table2[[AwayTeam]:[AwayTeam]],$T16, Table2[[HomeTeam]:[HomeTeam]], AH$11) + SUMIFS(Table2[[HomeWon_]:[HomeWon_]], Table2[[GameIsOver]:[GameIsOver]],1,Table2[[HomeTeam]:[HomeTeam]],$T16, Table2[[AwayTeam]:[AwayTeam]], AH$11))) + (0*(SUMIFS(Table2[[HomeWon_]:[HomeWon_]], Table2[[GameIsOver]:[GameIsOver]],1,Table2[[AwayTeam]:[AwayTeam]],$T16, Table2[[HomeTeam]:[HomeTeam]], AH$11, Table2[[ActualResult]:[ActualResult]], "REG") + SUMIFS(Table2[[AwayWon]:[AwayWon]], Table2[[GameIsOver]:[GameIsOver]],1,Table2[[HomeTeam]:[HomeTeam]],$T16, Table2[[AwayTeam]:[AwayTeam]], AH$11, Table2[[ActualResult]:[ActualResult]], "REG"))) + (1*(SUMIFS(Table2[[HomeWon_]:[HomeWon_]], Table2[[GameIsOver]:[GameIsOver]],1,Table2[[AwayTeam]:[AwayTeam]],$T16, Table2[[HomeTeam]:[HomeTeam]], AH$11, Table2[[ActualResult]:[ActualResult]], "OT") + SUMIFS(Table2[[AwayWon]:[AwayWon]], Table2[[GameIsOver]:[GameIsOver]],1,Table2[[HomeTeam]:[HomeTeam]],$T16, Table2[[AwayTeam]:[AwayTeam]], AH$11, Table2[[ActualResult]:[ActualResult]], "OT") + SUMIFS(Table2[[HomeWon_]:[HomeWon_]], Table2[[GameIsOver]:[GameIsOver]],1,Table2[[AwayTeam]:[AwayTeam]],$T16, Table2[[HomeTeam]:[HomeTeam]], AH$11, Table2[[ActualResult]:[ActualResult]], "SO") + SUMIFS(Table2[[AwayWon]:[AwayWon]], Table2[[GameIsOver]:[GameIsOver]],1,Table2[[HomeTeam]:[HomeTeam]],$T16, Table2[[AwayTeam]:[AwayTeam]], AH$11, Table2[[ActualResult]:[ActualResult]], "SO")))</f>
        <v>0</v>
      </c>
      <c r="AI16">
        <f>(2*(SUMIFS(Table2[[AwayWon]:[AwayWon]], Table2[[GameIsOver]:[GameIsOver]],1,Table2[[AwayTeam]:[AwayTeam]],$T16, Table2[[HomeTeam]:[HomeTeam]], AI$11) + SUMIFS(Table2[[HomeWon_]:[HomeWon_]], Table2[[GameIsOver]:[GameIsOver]],1,Table2[[HomeTeam]:[HomeTeam]],$T16, Table2[[AwayTeam]:[AwayTeam]], AI$11))) + (0*(SUMIFS(Table2[[HomeWon_]:[HomeWon_]], Table2[[GameIsOver]:[GameIsOver]],1,Table2[[AwayTeam]:[AwayTeam]],$T16, Table2[[HomeTeam]:[HomeTeam]], AI$11, Table2[[ActualResult]:[ActualResult]], "REG") + SUMIFS(Table2[[AwayWon]:[AwayWon]], Table2[[GameIsOver]:[GameIsOver]],1,Table2[[HomeTeam]:[HomeTeam]],$T16, Table2[[AwayTeam]:[AwayTeam]], AI$11, Table2[[ActualResult]:[ActualResult]], "REG"))) + (1*(SUMIFS(Table2[[HomeWon_]:[HomeWon_]], Table2[[GameIsOver]:[GameIsOver]],1,Table2[[AwayTeam]:[AwayTeam]],$T16, Table2[[HomeTeam]:[HomeTeam]], AI$11, Table2[[ActualResult]:[ActualResult]], "OT") + SUMIFS(Table2[[AwayWon]:[AwayWon]], Table2[[GameIsOver]:[GameIsOver]],1,Table2[[HomeTeam]:[HomeTeam]],$T16, Table2[[AwayTeam]:[AwayTeam]], AI$11, Table2[[ActualResult]:[ActualResult]], "OT") + SUMIFS(Table2[[HomeWon_]:[HomeWon_]], Table2[[GameIsOver]:[GameIsOver]],1,Table2[[AwayTeam]:[AwayTeam]],$T16, Table2[[HomeTeam]:[HomeTeam]], AI$11, Table2[[ActualResult]:[ActualResult]], "SO") + SUMIFS(Table2[[AwayWon]:[AwayWon]], Table2[[GameIsOver]:[GameIsOver]],1,Table2[[HomeTeam]:[HomeTeam]],$T16, Table2[[AwayTeam]:[AwayTeam]], AI$11, Table2[[ActualResult]:[ActualResult]], "SO")))</f>
        <v>2</v>
      </c>
      <c r="AJ16">
        <f>(2*(SUMIFS(Table2[[AwayWon]:[AwayWon]], Table2[[GameIsOver]:[GameIsOver]],1,Table2[[AwayTeam]:[AwayTeam]],$T16, Table2[[HomeTeam]:[HomeTeam]], AJ$11) + SUMIFS(Table2[[HomeWon_]:[HomeWon_]], Table2[[GameIsOver]:[GameIsOver]],1,Table2[[HomeTeam]:[HomeTeam]],$T16, Table2[[AwayTeam]:[AwayTeam]], AJ$11))) + (0*(SUMIFS(Table2[[HomeWon_]:[HomeWon_]], Table2[[GameIsOver]:[GameIsOver]],1,Table2[[AwayTeam]:[AwayTeam]],$T16, Table2[[HomeTeam]:[HomeTeam]], AJ$11, Table2[[ActualResult]:[ActualResult]], "REG") + SUMIFS(Table2[[AwayWon]:[AwayWon]], Table2[[GameIsOver]:[GameIsOver]],1,Table2[[HomeTeam]:[HomeTeam]],$T16, Table2[[AwayTeam]:[AwayTeam]], AJ$11, Table2[[ActualResult]:[ActualResult]], "REG"))) + (1*(SUMIFS(Table2[[HomeWon_]:[HomeWon_]], Table2[[GameIsOver]:[GameIsOver]],1,Table2[[AwayTeam]:[AwayTeam]],$T16, Table2[[HomeTeam]:[HomeTeam]], AJ$11, Table2[[ActualResult]:[ActualResult]], "OT") + SUMIFS(Table2[[AwayWon]:[AwayWon]], Table2[[GameIsOver]:[GameIsOver]],1,Table2[[HomeTeam]:[HomeTeam]],$T16, Table2[[AwayTeam]:[AwayTeam]], AJ$11, Table2[[ActualResult]:[ActualResult]], "OT") + SUMIFS(Table2[[HomeWon_]:[HomeWon_]], Table2[[GameIsOver]:[GameIsOver]],1,Table2[[AwayTeam]:[AwayTeam]],$T16, Table2[[HomeTeam]:[HomeTeam]], AJ$11, Table2[[ActualResult]:[ActualResult]], "SO") + SUMIFS(Table2[[AwayWon]:[AwayWon]], Table2[[GameIsOver]:[GameIsOver]],1,Table2[[HomeTeam]:[HomeTeam]],$T16, Table2[[AwayTeam]:[AwayTeam]], AJ$11, Table2[[ActualResult]:[ActualResult]], "SO")))</f>
        <v>0</v>
      </c>
      <c r="AK16">
        <f>(2*(SUMIFS(Table2[[AwayWon]:[AwayWon]], Table2[[GameIsOver]:[GameIsOver]],1,Table2[[AwayTeam]:[AwayTeam]],$T16, Table2[[HomeTeam]:[HomeTeam]], AK$11) + SUMIFS(Table2[[HomeWon_]:[HomeWon_]], Table2[[GameIsOver]:[GameIsOver]],1,Table2[[HomeTeam]:[HomeTeam]],$T16, Table2[[AwayTeam]:[AwayTeam]], AK$11))) + (0*(SUMIFS(Table2[[HomeWon_]:[HomeWon_]], Table2[[GameIsOver]:[GameIsOver]],1,Table2[[AwayTeam]:[AwayTeam]],$T16, Table2[[HomeTeam]:[HomeTeam]], AK$11, Table2[[ActualResult]:[ActualResult]], "REG") + SUMIFS(Table2[[AwayWon]:[AwayWon]], Table2[[GameIsOver]:[GameIsOver]],1,Table2[[HomeTeam]:[HomeTeam]],$T16, Table2[[AwayTeam]:[AwayTeam]], AK$11, Table2[[ActualResult]:[ActualResult]], "REG"))) + (1*(SUMIFS(Table2[[HomeWon_]:[HomeWon_]], Table2[[GameIsOver]:[GameIsOver]],1,Table2[[AwayTeam]:[AwayTeam]],$T16, Table2[[HomeTeam]:[HomeTeam]], AK$11, Table2[[ActualResult]:[ActualResult]], "OT") + SUMIFS(Table2[[AwayWon]:[AwayWon]], Table2[[GameIsOver]:[GameIsOver]],1,Table2[[HomeTeam]:[HomeTeam]],$T16, Table2[[AwayTeam]:[AwayTeam]], AK$11, Table2[[ActualResult]:[ActualResult]], "OT") + SUMIFS(Table2[[HomeWon_]:[HomeWon_]], Table2[[GameIsOver]:[GameIsOver]],1,Table2[[AwayTeam]:[AwayTeam]],$T16, Table2[[HomeTeam]:[HomeTeam]], AK$11, Table2[[ActualResult]:[ActualResult]], "SO") + SUMIFS(Table2[[AwayWon]:[AwayWon]], Table2[[GameIsOver]:[GameIsOver]],1,Table2[[HomeTeam]:[HomeTeam]],$T16, Table2[[AwayTeam]:[AwayTeam]], AK$11, Table2[[ActualResult]:[ActualResult]], "SO")))</f>
        <v>0</v>
      </c>
      <c r="AL16">
        <f>(2*(SUMIFS(Table2[[AwayWon]:[AwayWon]], Table2[[GameIsOver]:[GameIsOver]],1,Table2[[AwayTeam]:[AwayTeam]],$T16, Table2[[HomeTeam]:[HomeTeam]], AL$11) + SUMIFS(Table2[[HomeWon_]:[HomeWon_]], Table2[[GameIsOver]:[GameIsOver]],1,Table2[[HomeTeam]:[HomeTeam]],$T16, Table2[[AwayTeam]:[AwayTeam]], AL$11))) + (0*(SUMIFS(Table2[[HomeWon_]:[HomeWon_]], Table2[[GameIsOver]:[GameIsOver]],1,Table2[[AwayTeam]:[AwayTeam]],$T16, Table2[[HomeTeam]:[HomeTeam]], AL$11, Table2[[ActualResult]:[ActualResult]], "REG") + SUMIFS(Table2[[AwayWon]:[AwayWon]], Table2[[GameIsOver]:[GameIsOver]],1,Table2[[HomeTeam]:[HomeTeam]],$T16, Table2[[AwayTeam]:[AwayTeam]], AL$11, Table2[[ActualResult]:[ActualResult]], "REG"))) + (1*(SUMIFS(Table2[[HomeWon_]:[HomeWon_]], Table2[[GameIsOver]:[GameIsOver]],1,Table2[[AwayTeam]:[AwayTeam]],$T16, Table2[[HomeTeam]:[HomeTeam]], AL$11, Table2[[ActualResult]:[ActualResult]], "OT") + SUMIFS(Table2[[AwayWon]:[AwayWon]], Table2[[GameIsOver]:[GameIsOver]],1,Table2[[HomeTeam]:[HomeTeam]],$T16, Table2[[AwayTeam]:[AwayTeam]], AL$11, Table2[[ActualResult]:[ActualResult]], "OT") + SUMIFS(Table2[[HomeWon_]:[HomeWon_]], Table2[[GameIsOver]:[GameIsOver]],1,Table2[[AwayTeam]:[AwayTeam]],$T16, Table2[[HomeTeam]:[HomeTeam]], AL$11, Table2[[ActualResult]:[ActualResult]], "SO") + SUMIFS(Table2[[AwayWon]:[AwayWon]], Table2[[GameIsOver]:[GameIsOver]],1,Table2[[HomeTeam]:[HomeTeam]],$T16, Table2[[AwayTeam]:[AwayTeam]], AL$11, Table2[[ActualResult]:[ActualResult]], "SO")))</f>
        <v>0</v>
      </c>
      <c r="AM16">
        <f>(2*(SUMIFS(Table2[[AwayWon]:[AwayWon]], Table2[[GameIsOver]:[GameIsOver]],1,Table2[[AwayTeam]:[AwayTeam]],$T16, Table2[[HomeTeam]:[HomeTeam]], AM$11) + SUMIFS(Table2[[HomeWon_]:[HomeWon_]], Table2[[GameIsOver]:[GameIsOver]],1,Table2[[HomeTeam]:[HomeTeam]],$T16, Table2[[AwayTeam]:[AwayTeam]], AM$11))) + (0*(SUMIFS(Table2[[HomeWon_]:[HomeWon_]], Table2[[GameIsOver]:[GameIsOver]],1,Table2[[AwayTeam]:[AwayTeam]],$T16, Table2[[HomeTeam]:[HomeTeam]], AM$11, Table2[[ActualResult]:[ActualResult]], "REG") + SUMIFS(Table2[[AwayWon]:[AwayWon]], Table2[[GameIsOver]:[GameIsOver]],1,Table2[[HomeTeam]:[HomeTeam]],$T16, Table2[[AwayTeam]:[AwayTeam]], AM$11, Table2[[ActualResult]:[ActualResult]], "REG"))) + (1*(SUMIFS(Table2[[HomeWon_]:[HomeWon_]], Table2[[GameIsOver]:[GameIsOver]],1,Table2[[AwayTeam]:[AwayTeam]],$T16, Table2[[HomeTeam]:[HomeTeam]], AM$11, Table2[[ActualResult]:[ActualResult]], "OT") + SUMIFS(Table2[[AwayWon]:[AwayWon]], Table2[[GameIsOver]:[GameIsOver]],1,Table2[[HomeTeam]:[HomeTeam]],$T16, Table2[[AwayTeam]:[AwayTeam]], AM$11, Table2[[ActualResult]:[ActualResult]], "OT") + SUMIFS(Table2[[HomeWon_]:[HomeWon_]], Table2[[GameIsOver]:[GameIsOver]],1,Table2[[AwayTeam]:[AwayTeam]],$T16, Table2[[HomeTeam]:[HomeTeam]], AM$11, Table2[[ActualResult]:[ActualResult]], "SO") + SUMIFS(Table2[[AwayWon]:[AwayWon]], Table2[[GameIsOver]:[GameIsOver]],1,Table2[[HomeTeam]:[HomeTeam]],$T16, Table2[[AwayTeam]:[AwayTeam]], AM$11, Table2[[ActualResult]:[ActualResult]], "SO")))</f>
        <v>0</v>
      </c>
      <c r="AN16">
        <f>(2*(SUMIFS(Table2[[AwayWon]:[AwayWon]], Table2[[GameIsOver]:[GameIsOver]],1,Table2[[AwayTeam]:[AwayTeam]],$T16, Table2[[HomeTeam]:[HomeTeam]], AN$11) + SUMIFS(Table2[[HomeWon_]:[HomeWon_]], Table2[[GameIsOver]:[GameIsOver]],1,Table2[[HomeTeam]:[HomeTeam]],$T16, Table2[[AwayTeam]:[AwayTeam]], AN$11))) + (0*(SUMIFS(Table2[[HomeWon_]:[HomeWon_]], Table2[[GameIsOver]:[GameIsOver]],1,Table2[[AwayTeam]:[AwayTeam]],$T16, Table2[[HomeTeam]:[HomeTeam]], AN$11, Table2[[ActualResult]:[ActualResult]], "REG") + SUMIFS(Table2[[AwayWon]:[AwayWon]], Table2[[GameIsOver]:[GameIsOver]],1,Table2[[HomeTeam]:[HomeTeam]],$T16, Table2[[AwayTeam]:[AwayTeam]], AN$11, Table2[[ActualResult]:[ActualResult]], "REG"))) + (1*(SUMIFS(Table2[[HomeWon_]:[HomeWon_]], Table2[[GameIsOver]:[GameIsOver]],1,Table2[[AwayTeam]:[AwayTeam]],$T16, Table2[[HomeTeam]:[HomeTeam]], AN$11, Table2[[ActualResult]:[ActualResult]], "OT") + SUMIFS(Table2[[AwayWon]:[AwayWon]], Table2[[GameIsOver]:[GameIsOver]],1,Table2[[HomeTeam]:[HomeTeam]],$T16, Table2[[AwayTeam]:[AwayTeam]], AN$11, Table2[[ActualResult]:[ActualResult]], "OT") + SUMIFS(Table2[[HomeWon_]:[HomeWon_]], Table2[[GameIsOver]:[GameIsOver]],1,Table2[[AwayTeam]:[AwayTeam]],$T16, Table2[[HomeTeam]:[HomeTeam]], AN$11, Table2[[ActualResult]:[ActualResult]], "SO") + SUMIFS(Table2[[AwayWon]:[AwayWon]], Table2[[GameIsOver]:[GameIsOver]],1,Table2[[HomeTeam]:[HomeTeam]],$T16, Table2[[AwayTeam]:[AwayTeam]], AN$11, Table2[[ActualResult]:[ActualResult]], "SO")))</f>
        <v>0</v>
      </c>
      <c r="AO16">
        <f>(2*(SUMIFS(Table2[[AwayWon]:[AwayWon]], Table2[[GameIsOver]:[GameIsOver]],1,Table2[[AwayTeam]:[AwayTeam]],$T16, Table2[[HomeTeam]:[HomeTeam]], AO$11) + SUMIFS(Table2[[HomeWon_]:[HomeWon_]], Table2[[GameIsOver]:[GameIsOver]],1,Table2[[HomeTeam]:[HomeTeam]],$T16, Table2[[AwayTeam]:[AwayTeam]], AO$11))) + (0*(SUMIFS(Table2[[HomeWon_]:[HomeWon_]], Table2[[GameIsOver]:[GameIsOver]],1,Table2[[AwayTeam]:[AwayTeam]],$T16, Table2[[HomeTeam]:[HomeTeam]], AO$11, Table2[[ActualResult]:[ActualResult]], "REG") + SUMIFS(Table2[[AwayWon]:[AwayWon]], Table2[[GameIsOver]:[GameIsOver]],1,Table2[[HomeTeam]:[HomeTeam]],$T16, Table2[[AwayTeam]:[AwayTeam]], AO$11, Table2[[ActualResult]:[ActualResult]], "REG"))) + (1*(SUMIFS(Table2[[HomeWon_]:[HomeWon_]], Table2[[GameIsOver]:[GameIsOver]],1,Table2[[AwayTeam]:[AwayTeam]],$T16, Table2[[HomeTeam]:[HomeTeam]], AO$11, Table2[[ActualResult]:[ActualResult]], "OT") + SUMIFS(Table2[[AwayWon]:[AwayWon]], Table2[[GameIsOver]:[GameIsOver]],1,Table2[[HomeTeam]:[HomeTeam]],$T16, Table2[[AwayTeam]:[AwayTeam]], AO$11, Table2[[ActualResult]:[ActualResult]], "OT") + SUMIFS(Table2[[HomeWon_]:[HomeWon_]], Table2[[GameIsOver]:[GameIsOver]],1,Table2[[AwayTeam]:[AwayTeam]],$T16, Table2[[HomeTeam]:[HomeTeam]], AO$11, Table2[[ActualResult]:[ActualResult]], "SO") + SUMIFS(Table2[[AwayWon]:[AwayWon]], Table2[[GameIsOver]:[GameIsOver]],1,Table2[[HomeTeam]:[HomeTeam]],$T16, Table2[[AwayTeam]:[AwayTeam]], AO$11, Table2[[ActualResult]:[ActualResult]], "SO")))</f>
        <v>0</v>
      </c>
      <c r="AP16">
        <f>(2*(SUMIFS(Table2[[AwayWon]:[AwayWon]], Table2[[GameIsOver]:[GameIsOver]],1,Table2[[AwayTeam]:[AwayTeam]],$T16, Table2[[HomeTeam]:[HomeTeam]], AP$11) + SUMIFS(Table2[[HomeWon_]:[HomeWon_]], Table2[[GameIsOver]:[GameIsOver]],1,Table2[[HomeTeam]:[HomeTeam]],$T16, Table2[[AwayTeam]:[AwayTeam]], AP$11))) + (0*(SUMIFS(Table2[[HomeWon_]:[HomeWon_]], Table2[[GameIsOver]:[GameIsOver]],1,Table2[[AwayTeam]:[AwayTeam]],$T16, Table2[[HomeTeam]:[HomeTeam]], AP$11, Table2[[ActualResult]:[ActualResult]], "REG") + SUMIFS(Table2[[AwayWon]:[AwayWon]], Table2[[GameIsOver]:[GameIsOver]],1,Table2[[HomeTeam]:[HomeTeam]],$T16, Table2[[AwayTeam]:[AwayTeam]], AP$11, Table2[[ActualResult]:[ActualResult]], "REG"))) + (1*(SUMIFS(Table2[[HomeWon_]:[HomeWon_]], Table2[[GameIsOver]:[GameIsOver]],1,Table2[[AwayTeam]:[AwayTeam]],$T16, Table2[[HomeTeam]:[HomeTeam]], AP$11, Table2[[ActualResult]:[ActualResult]], "OT") + SUMIFS(Table2[[AwayWon]:[AwayWon]], Table2[[GameIsOver]:[GameIsOver]],1,Table2[[HomeTeam]:[HomeTeam]],$T16, Table2[[AwayTeam]:[AwayTeam]], AP$11, Table2[[ActualResult]:[ActualResult]], "OT") + SUMIFS(Table2[[HomeWon_]:[HomeWon_]], Table2[[GameIsOver]:[GameIsOver]],1,Table2[[AwayTeam]:[AwayTeam]],$T16, Table2[[HomeTeam]:[HomeTeam]], AP$11, Table2[[ActualResult]:[ActualResult]], "SO") + SUMIFS(Table2[[AwayWon]:[AwayWon]], Table2[[GameIsOver]:[GameIsOver]],1,Table2[[HomeTeam]:[HomeTeam]],$T16, Table2[[AwayTeam]:[AwayTeam]], AP$11, Table2[[ActualResult]:[ActualResult]], "SO")))</f>
        <v>2</v>
      </c>
      <c r="AQ16">
        <f>(2*(SUMIFS(Table2[[AwayWon]:[AwayWon]], Table2[[GameIsOver]:[GameIsOver]],1,Table2[[AwayTeam]:[AwayTeam]],$T16, Table2[[HomeTeam]:[HomeTeam]], AQ$11) + SUMIFS(Table2[[HomeWon_]:[HomeWon_]], Table2[[GameIsOver]:[GameIsOver]],1,Table2[[HomeTeam]:[HomeTeam]],$T16, Table2[[AwayTeam]:[AwayTeam]], AQ$11))) + (0*(SUMIFS(Table2[[HomeWon_]:[HomeWon_]], Table2[[GameIsOver]:[GameIsOver]],1,Table2[[AwayTeam]:[AwayTeam]],$T16, Table2[[HomeTeam]:[HomeTeam]], AQ$11, Table2[[ActualResult]:[ActualResult]], "REG") + SUMIFS(Table2[[AwayWon]:[AwayWon]], Table2[[GameIsOver]:[GameIsOver]],1,Table2[[HomeTeam]:[HomeTeam]],$T16, Table2[[AwayTeam]:[AwayTeam]], AQ$11, Table2[[ActualResult]:[ActualResult]], "REG"))) + (1*(SUMIFS(Table2[[HomeWon_]:[HomeWon_]], Table2[[GameIsOver]:[GameIsOver]],1,Table2[[AwayTeam]:[AwayTeam]],$T16, Table2[[HomeTeam]:[HomeTeam]], AQ$11, Table2[[ActualResult]:[ActualResult]], "OT") + SUMIFS(Table2[[AwayWon]:[AwayWon]], Table2[[GameIsOver]:[GameIsOver]],1,Table2[[HomeTeam]:[HomeTeam]],$T16, Table2[[AwayTeam]:[AwayTeam]], AQ$11, Table2[[ActualResult]:[ActualResult]], "OT") + SUMIFS(Table2[[HomeWon_]:[HomeWon_]], Table2[[GameIsOver]:[GameIsOver]],1,Table2[[AwayTeam]:[AwayTeam]],$T16, Table2[[HomeTeam]:[HomeTeam]], AQ$11, Table2[[ActualResult]:[ActualResult]], "SO") + SUMIFS(Table2[[AwayWon]:[AwayWon]], Table2[[GameIsOver]:[GameIsOver]],1,Table2[[HomeTeam]:[HomeTeam]],$T16, Table2[[AwayTeam]:[AwayTeam]], AQ$11, Table2[[ActualResult]:[ActualResult]], "SO")))</f>
        <v>1</v>
      </c>
      <c r="AR16">
        <f>(2*(SUMIFS(Table2[[AwayWon]:[AwayWon]], Table2[[GameIsOver]:[GameIsOver]],1,Table2[[AwayTeam]:[AwayTeam]],$T16, Table2[[HomeTeam]:[HomeTeam]], AR$11) + SUMIFS(Table2[[HomeWon_]:[HomeWon_]], Table2[[GameIsOver]:[GameIsOver]],1,Table2[[HomeTeam]:[HomeTeam]],$T16, Table2[[AwayTeam]:[AwayTeam]], AR$11))) + (0*(SUMIFS(Table2[[HomeWon_]:[HomeWon_]], Table2[[GameIsOver]:[GameIsOver]],1,Table2[[AwayTeam]:[AwayTeam]],$T16, Table2[[HomeTeam]:[HomeTeam]], AR$11, Table2[[ActualResult]:[ActualResult]], "REG") + SUMIFS(Table2[[AwayWon]:[AwayWon]], Table2[[GameIsOver]:[GameIsOver]],1,Table2[[HomeTeam]:[HomeTeam]],$T16, Table2[[AwayTeam]:[AwayTeam]], AR$11, Table2[[ActualResult]:[ActualResult]], "REG"))) + (1*(SUMIFS(Table2[[HomeWon_]:[HomeWon_]], Table2[[GameIsOver]:[GameIsOver]],1,Table2[[AwayTeam]:[AwayTeam]],$T16, Table2[[HomeTeam]:[HomeTeam]], AR$11, Table2[[ActualResult]:[ActualResult]], "OT") + SUMIFS(Table2[[AwayWon]:[AwayWon]], Table2[[GameIsOver]:[GameIsOver]],1,Table2[[HomeTeam]:[HomeTeam]],$T16, Table2[[AwayTeam]:[AwayTeam]], AR$11, Table2[[ActualResult]:[ActualResult]], "OT") + SUMIFS(Table2[[HomeWon_]:[HomeWon_]], Table2[[GameIsOver]:[GameIsOver]],1,Table2[[AwayTeam]:[AwayTeam]],$T16, Table2[[HomeTeam]:[HomeTeam]], AR$11, Table2[[ActualResult]:[ActualResult]], "SO") + SUMIFS(Table2[[AwayWon]:[AwayWon]], Table2[[GameIsOver]:[GameIsOver]],1,Table2[[HomeTeam]:[HomeTeam]],$T16, Table2[[AwayTeam]:[AwayTeam]], AR$11, Table2[[ActualResult]:[ActualResult]], "SO")))</f>
        <v>0</v>
      </c>
      <c r="AS16">
        <f>(2*(SUMIFS(Table2[[AwayWon]:[AwayWon]], Table2[[GameIsOver]:[GameIsOver]],1,Table2[[AwayTeam]:[AwayTeam]],$T16, Table2[[HomeTeam]:[HomeTeam]], AS$11) + SUMIFS(Table2[[HomeWon_]:[HomeWon_]], Table2[[GameIsOver]:[GameIsOver]],1,Table2[[HomeTeam]:[HomeTeam]],$T16, Table2[[AwayTeam]:[AwayTeam]], AS$11))) + (0*(SUMIFS(Table2[[HomeWon_]:[HomeWon_]], Table2[[GameIsOver]:[GameIsOver]],1,Table2[[AwayTeam]:[AwayTeam]],$T16, Table2[[HomeTeam]:[HomeTeam]], AS$11, Table2[[ActualResult]:[ActualResult]], "REG") + SUMIFS(Table2[[AwayWon]:[AwayWon]], Table2[[GameIsOver]:[GameIsOver]],1,Table2[[HomeTeam]:[HomeTeam]],$T16, Table2[[AwayTeam]:[AwayTeam]], AS$11, Table2[[ActualResult]:[ActualResult]], "REG"))) + (1*(SUMIFS(Table2[[HomeWon_]:[HomeWon_]], Table2[[GameIsOver]:[GameIsOver]],1,Table2[[AwayTeam]:[AwayTeam]],$T16, Table2[[HomeTeam]:[HomeTeam]], AS$11, Table2[[ActualResult]:[ActualResult]], "OT") + SUMIFS(Table2[[AwayWon]:[AwayWon]], Table2[[GameIsOver]:[GameIsOver]],1,Table2[[HomeTeam]:[HomeTeam]],$T16, Table2[[AwayTeam]:[AwayTeam]], AS$11, Table2[[ActualResult]:[ActualResult]], "OT") + SUMIFS(Table2[[HomeWon_]:[HomeWon_]], Table2[[GameIsOver]:[GameIsOver]],1,Table2[[AwayTeam]:[AwayTeam]],$T16, Table2[[HomeTeam]:[HomeTeam]], AS$11, Table2[[ActualResult]:[ActualResult]], "SO") + SUMIFS(Table2[[AwayWon]:[AwayWon]], Table2[[GameIsOver]:[GameIsOver]],1,Table2[[HomeTeam]:[HomeTeam]],$T16, Table2[[AwayTeam]:[AwayTeam]], AS$11, Table2[[ActualResult]:[ActualResult]], "SO")))</f>
        <v>0</v>
      </c>
      <c r="AT16">
        <f>(2*(SUMIFS(Table2[[AwayWon]:[AwayWon]], Table2[[GameIsOver]:[GameIsOver]],1,Table2[[AwayTeam]:[AwayTeam]],$T16, Table2[[HomeTeam]:[HomeTeam]], AT$11) + SUMIFS(Table2[[HomeWon_]:[HomeWon_]], Table2[[GameIsOver]:[GameIsOver]],1,Table2[[HomeTeam]:[HomeTeam]],$T16, Table2[[AwayTeam]:[AwayTeam]], AT$11))) + (0*(SUMIFS(Table2[[HomeWon_]:[HomeWon_]], Table2[[GameIsOver]:[GameIsOver]],1,Table2[[AwayTeam]:[AwayTeam]],$T16, Table2[[HomeTeam]:[HomeTeam]], AT$11, Table2[[ActualResult]:[ActualResult]], "REG") + SUMIFS(Table2[[AwayWon]:[AwayWon]], Table2[[GameIsOver]:[GameIsOver]],1,Table2[[HomeTeam]:[HomeTeam]],$T16, Table2[[AwayTeam]:[AwayTeam]], AT$11, Table2[[ActualResult]:[ActualResult]], "REG"))) + (1*(SUMIFS(Table2[[HomeWon_]:[HomeWon_]], Table2[[GameIsOver]:[GameIsOver]],1,Table2[[AwayTeam]:[AwayTeam]],$T16, Table2[[HomeTeam]:[HomeTeam]], AT$11, Table2[[ActualResult]:[ActualResult]], "OT") + SUMIFS(Table2[[AwayWon]:[AwayWon]], Table2[[GameIsOver]:[GameIsOver]],1,Table2[[HomeTeam]:[HomeTeam]],$T16, Table2[[AwayTeam]:[AwayTeam]], AT$11, Table2[[ActualResult]:[ActualResult]], "OT") + SUMIFS(Table2[[HomeWon_]:[HomeWon_]], Table2[[GameIsOver]:[GameIsOver]],1,Table2[[AwayTeam]:[AwayTeam]],$T16, Table2[[HomeTeam]:[HomeTeam]], AT$11, Table2[[ActualResult]:[ActualResult]], "SO") + SUMIFS(Table2[[AwayWon]:[AwayWon]], Table2[[GameIsOver]:[GameIsOver]],1,Table2[[HomeTeam]:[HomeTeam]],$T16, Table2[[AwayTeam]:[AwayTeam]], AT$11, Table2[[ActualResult]:[ActualResult]], "SO")))</f>
        <v>0</v>
      </c>
      <c r="AU16">
        <f>(2*(SUMIFS(Table2[[AwayWon]:[AwayWon]], Table2[[GameIsOver]:[GameIsOver]],1,Table2[[AwayTeam]:[AwayTeam]],$T16, Table2[[HomeTeam]:[HomeTeam]], AU$11) + SUMIFS(Table2[[HomeWon_]:[HomeWon_]], Table2[[GameIsOver]:[GameIsOver]],1,Table2[[HomeTeam]:[HomeTeam]],$T16, Table2[[AwayTeam]:[AwayTeam]], AU$11))) + (0*(SUMIFS(Table2[[HomeWon_]:[HomeWon_]], Table2[[GameIsOver]:[GameIsOver]],1,Table2[[AwayTeam]:[AwayTeam]],$T16, Table2[[HomeTeam]:[HomeTeam]], AU$11, Table2[[ActualResult]:[ActualResult]], "REG") + SUMIFS(Table2[[AwayWon]:[AwayWon]], Table2[[GameIsOver]:[GameIsOver]],1,Table2[[HomeTeam]:[HomeTeam]],$T16, Table2[[AwayTeam]:[AwayTeam]], AU$11, Table2[[ActualResult]:[ActualResult]], "REG"))) + (1*(SUMIFS(Table2[[HomeWon_]:[HomeWon_]], Table2[[GameIsOver]:[GameIsOver]],1,Table2[[AwayTeam]:[AwayTeam]],$T16, Table2[[HomeTeam]:[HomeTeam]], AU$11, Table2[[ActualResult]:[ActualResult]], "OT") + SUMIFS(Table2[[AwayWon]:[AwayWon]], Table2[[GameIsOver]:[GameIsOver]],1,Table2[[HomeTeam]:[HomeTeam]],$T16, Table2[[AwayTeam]:[AwayTeam]], AU$11, Table2[[ActualResult]:[ActualResult]], "OT") + SUMIFS(Table2[[HomeWon_]:[HomeWon_]], Table2[[GameIsOver]:[GameIsOver]],1,Table2[[AwayTeam]:[AwayTeam]],$T16, Table2[[HomeTeam]:[HomeTeam]], AU$11, Table2[[ActualResult]:[ActualResult]], "SO") + SUMIFS(Table2[[AwayWon]:[AwayWon]], Table2[[GameIsOver]:[GameIsOver]],1,Table2[[HomeTeam]:[HomeTeam]],$T16, Table2[[AwayTeam]:[AwayTeam]], AU$11, Table2[[ActualResult]:[ActualResult]], "SO")))</f>
        <v>0</v>
      </c>
      <c r="AV16">
        <f>(2*(SUMIFS(Table2[[AwayWon]:[AwayWon]], Table2[[GameIsOver]:[GameIsOver]],1,Table2[[AwayTeam]:[AwayTeam]],$T16, Table2[[HomeTeam]:[HomeTeam]], AV$11) + SUMIFS(Table2[[HomeWon_]:[HomeWon_]], Table2[[GameIsOver]:[GameIsOver]],1,Table2[[HomeTeam]:[HomeTeam]],$T16, Table2[[AwayTeam]:[AwayTeam]], AV$11))) + (0*(SUMIFS(Table2[[HomeWon_]:[HomeWon_]], Table2[[GameIsOver]:[GameIsOver]],1,Table2[[AwayTeam]:[AwayTeam]],$T16, Table2[[HomeTeam]:[HomeTeam]], AV$11, Table2[[ActualResult]:[ActualResult]], "REG") + SUMIFS(Table2[[AwayWon]:[AwayWon]], Table2[[GameIsOver]:[GameIsOver]],1,Table2[[HomeTeam]:[HomeTeam]],$T16, Table2[[AwayTeam]:[AwayTeam]], AV$11, Table2[[ActualResult]:[ActualResult]], "REG"))) + (1*(SUMIFS(Table2[[HomeWon_]:[HomeWon_]], Table2[[GameIsOver]:[GameIsOver]],1,Table2[[AwayTeam]:[AwayTeam]],$T16, Table2[[HomeTeam]:[HomeTeam]], AV$11, Table2[[ActualResult]:[ActualResult]], "OT") + SUMIFS(Table2[[AwayWon]:[AwayWon]], Table2[[GameIsOver]:[GameIsOver]],1,Table2[[HomeTeam]:[HomeTeam]],$T16, Table2[[AwayTeam]:[AwayTeam]], AV$11, Table2[[ActualResult]:[ActualResult]], "OT") + SUMIFS(Table2[[HomeWon_]:[HomeWon_]], Table2[[GameIsOver]:[GameIsOver]],1,Table2[[AwayTeam]:[AwayTeam]],$T16, Table2[[HomeTeam]:[HomeTeam]], AV$11, Table2[[ActualResult]:[ActualResult]], "SO") + SUMIFS(Table2[[AwayWon]:[AwayWon]], Table2[[GameIsOver]:[GameIsOver]],1,Table2[[HomeTeam]:[HomeTeam]],$T16, Table2[[AwayTeam]:[AwayTeam]], AV$11, Table2[[ActualResult]:[ActualResult]], "SO")))</f>
        <v>0</v>
      </c>
      <c r="AW16">
        <f>(2*(SUMIFS(Table2[[AwayWon]:[AwayWon]], Table2[[GameIsOver]:[GameIsOver]],1,Table2[[AwayTeam]:[AwayTeam]],$T16, Table2[[HomeTeam]:[HomeTeam]], AW$11) + SUMIFS(Table2[[HomeWon_]:[HomeWon_]], Table2[[GameIsOver]:[GameIsOver]],1,Table2[[HomeTeam]:[HomeTeam]],$T16, Table2[[AwayTeam]:[AwayTeam]], AW$11))) + (0*(SUMIFS(Table2[[HomeWon_]:[HomeWon_]], Table2[[GameIsOver]:[GameIsOver]],1,Table2[[AwayTeam]:[AwayTeam]],$T16, Table2[[HomeTeam]:[HomeTeam]], AW$11, Table2[[ActualResult]:[ActualResult]], "REG") + SUMIFS(Table2[[AwayWon]:[AwayWon]], Table2[[GameIsOver]:[GameIsOver]],1,Table2[[HomeTeam]:[HomeTeam]],$T16, Table2[[AwayTeam]:[AwayTeam]], AW$11, Table2[[ActualResult]:[ActualResult]], "REG"))) + (1*(SUMIFS(Table2[[HomeWon_]:[HomeWon_]], Table2[[GameIsOver]:[GameIsOver]],1,Table2[[AwayTeam]:[AwayTeam]],$T16, Table2[[HomeTeam]:[HomeTeam]], AW$11, Table2[[ActualResult]:[ActualResult]], "OT") + SUMIFS(Table2[[AwayWon]:[AwayWon]], Table2[[GameIsOver]:[GameIsOver]],1,Table2[[HomeTeam]:[HomeTeam]],$T16, Table2[[AwayTeam]:[AwayTeam]], AW$11, Table2[[ActualResult]:[ActualResult]], "OT") + SUMIFS(Table2[[HomeWon_]:[HomeWon_]], Table2[[GameIsOver]:[GameIsOver]],1,Table2[[AwayTeam]:[AwayTeam]],$T16, Table2[[HomeTeam]:[HomeTeam]], AW$11, Table2[[ActualResult]:[ActualResult]], "SO") + SUMIFS(Table2[[AwayWon]:[AwayWon]], Table2[[GameIsOver]:[GameIsOver]],1,Table2[[HomeTeam]:[HomeTeam]],$T16, Table2[[AwayTeam]:[AwayTeam]], AW$11, Table2[[ActualResult]:[ActualResult]], "SO")))</f>
        <v>0</v>
      </c>
      <c r="AX16">
        <f>(2*(SUMIFS(Table2[[AwayWon]:[AwayWon]], Table2[[GameIsOver]:[GameIsOver]],1,Table2[[AwayTeam]:[AwayTeam]],$T16, Table2[[HomeTeam]:[HomeTeam]], AX$11) + SUMIFS(Table2[[HomeWon_]:[HomeWon_]], Table2[[GameIsOver]:[GameIsOver]],1,Table2[[HomeTeam]:[HomeTeam]],$T16, Table2[[AwayTeam]:[AwayTeam]], AX$11))) + (0*(SUMIFS(Table2[[HomeWon_]:[HomeWon_]], Table2[[GameIsOver]:[GameIsOver]],1,Table2[[AwayTeam]:[AwayTeam]],$T16, Table2[[HomeTeam]:[HomeTeam]], AX$11, Table2[[ActualResult]:[ActualResult]], "REG") + SUMIFS(Table2[[AwayWon]:[AwayWon]], Table2[[GameIsOver]:[GameIsOver]],1,Table2[[HomeTeam]:[HomeTeam]],$T16, Table2[[AwayTeam]:[AwayTeam]], AX$11, Table2[[ActualResult]:[ActualResult]], "REG"))) + (1*(SUMIFS(Table2[[HomeWon_]:[HomeWon_]], Table2[[GameIsOver]:[GameIsOver]],1,Table2[[AwayTeam]:[AwayTeam]],$T16, Table2[[HomeTeam]:[HomeTeam]], AX$11, Table2[[ActualResult]:[ActualResult]], "OT") + SUMIFS(Table2[[AwayWon]:[AwayWon]], Table2[[GameIsOver]:[GameIsOver]],1,Table2[[HomeTeam]:[HomeTeam]],$T16, Table2[[AwayTeam]:[AwayTeam]], AX$11, Table2[[ActualResult]:[ActualResult]], "OT") + SUMIFS(Table2[[HomeWon_]:[HomeWon_]], Table2[[GameIsOver]:[GameIsOver]],1,Table2[[AwayTeam]:[AwayTeam]],$T16, Table2[[HomeTeam]:[HomeTeam]], AX$11, Table2[[ActualResult]:[ActualResult]], "SO") + SUMIFS(Table2[[AwayWon]:[AwayWon]], Table2[[GameIsOver]:[GameIsOver]],1,Table2[[HomeTeam]:[HomeTeam]],$T16, Table2[[AwayTeam]:[AwayTeam]], AX$11, Table2[[ActualResult]:[ActualResult]], "SO")))</f>
        <v>0</v>
      </c>
      <c r="AY16">
        <f>(2*(SUMIFS(Table2[[AwayWon]:[AwayWon]], Table2[[GameIsOver]:[GameIsOver]],1,Table2[[AwayTeam]:[AwayTeam]],$T16, Table2[[HomeTeam]:[HomeTeam]], AY$11) + SUMIFS(Table2[[HomeWon_]:[HomeWon_]], Table2[[GameIsOver]:[GameIsOver]],1,Table2[[HomeTeam]:[HomeTeam]],$T16, Table2[[AwayTeam]:[AwayTeam]], AY$11))) + (0*(SUMIFS(Table2[[HomeWon_]:[HomeWon_]], Table2[[GameIsOver]:[GameIsOver]],1,Table2[[AwayTeam]:[AwayTeam]],$T16, Table2[[HomeTeam]:[HomeTeam]], AY$11, Table2[[ActualResult]:[ActualResult]], "REG") + SUMIFS(Table2[[AwayWon]:[AwayWon]], Table2[[GameIsOver]:[GameIsOver]],1,Table2[[HomeTeam]:[HomeTeam]],$T16, Table2[[AwayTeam]:[AwayTeam]], AY$11, Table2[[ActualResult]:[ActualResult]], "REG"))) + (1*(SUMIFS(Table2[[HomeWon_]:[HomeWon_]], Table2[[GameIsOver]:[GameIsOver]],1,Table2[[AwayTeam]:[AwayTeam]],$T16, Table2[[HomeTeam]:[HomeTeam]], AY$11, Table2[[ActualResult]:[ActualResult]], "OT") + SUMIFS(Table2[[AwayWon]:[AwayWon]], Table2[[GameIsOver]:[GameIsOver]],1,Table2[[HomeTeam]:[HomeTeam]],$T16, Table2[[AwayTeam]:[AwayTeam]], AY$11, Table2[[ActualResult]:[ActualResult]], "OT") + SUMIFS(Table2[[HomeWon_]:[HomeWon_]], Table2[[GameIsOver]:[GameIsOver]],1,Table2[[AwayTeam]:[AwayTeam]],$T16, Table2[[HomeTeam]:[HomeTeam]], AY$11, Table2[[ActualResult]:[ActualResult]], "SO") + SUMIFS(Table2[[AwayWon]:[AwayWon]], Table2[[GameIsOver]:[GameIsOver]],1,Table2[[HomeTeam]:[HomeTeam]],$T16, Table2[[AwayTeam]:[AwayTeam]], AY$11, Table2[[ActualResult]:[ActualResult]], "SO")))</f>
        <v>0</v>
      </c>
      <c r="AZ16">
        <f>(2*(SUMIFS(Table2[[AwayWon]:[AwayWon]], Table2[[GameIsOver]:[GameIsOver]],1,Table2[[AwayTeam]:[AwayTeam]],$T16, Table2[[HomeTeam]:[HomeTeam]], AZ$11) + SUMIFS(Table2[[HomeWon_]:[HomeWon_]], Table2[[GameIsOver]:[GameIsOver]],1,Table2[[HomeTeam]:[HomeTeam]],$T16, Table2[[AwayTeam]:[AwayTeam]], AZ$11))) + (0*(SUMIFS(Table2[[HomeWon_]:[HomeWon_]], Table2[[GameIsOver]:[GameIsOver]],1,Table2[[AwayTeam]:[AwayTeam]],$T16, Table2[[HomeTeam]:[HomeTeam]], AZ$11, Table2[[ActualResult]:[ActualResult]], "REG") + SUMIFS(Table2[[AwayWon]:[AwayWon]], Table2[[GameIsOver]:[GameIsOver]],1,Table2[[HomeTeam]:[HomeTeam]],$T16, Table2[[AwayTeam]:[AwayTeam]], AZ$11, Table2[[ActualResult]:[ActualResult]], "REG"))) + (1*(SUMIFS(Table2[[HomeWon_]:[HomeWon_]], Table2[[GameIsOver]:[GameIsOver]],1,Table2[[AwayTeam]:[AwayTeam]],$T16, Table2[[HomeTeam]:[HomeTeam]], AZ$11, Table2[[ActualResult]:[ActualResult]], "OT") + SUMIFS(Table2[[AwayWon]:[AwayWon]], Table2[[GameIsOver]:[GameIsOver]],1,Table2[[HomeTeam]:[HomeTeam]],$T16, Table2[[AwayTeam]:[AwayTeam]], AZ$11, Table2[[ActualResult]:[ActualResult]], "OT") + SUMIFS(Table2[[HomeWon_]:[HomeWon_]], Table2[[GameIsOver]:[GameIsOver]],1,Table2[[AwayTeam]:[AwayTeam]],$T16, Table2[[HomeTeam]:[HomeTeam]], AZ$11, Table2[[ActualResult]:[ActualResult]], "SO") + SUMIFS(Table2[[AwayWon]:[AwayWon]], Table2[[GameIsOver]:[GameIsOver]],1,Table2[[HomeTeam]:[HomeTeam]],$T16, Table2[[AwayTeam]:[AwayTeam]], AZ$11, Table2[[ActualResult]:[ActualResult]], "SO")))</f>
        <v>0</v>
      </c>
      <c r="BA16">
        <f>(2*(SUMIFS(Table2[[AwayWon]:[AwayWon]], Table2[[GameIsOver]:[GameIsOver]],1,Table2[[AwayTeam]:[AwayTeam]],$T16, Table2[[HomeTeam]:[HomeTeam]], BA$11) + SUMIFS(Table2[[HomeWon_]:[HomeWon_]], Table2[[GameIsOver]:[GameIsOver]],1,Table2[[HomeTeam]:[HomeTeam]],$T16, Table2[[AwayTeam]:[AwayTeam]], BA$11))) + (0*(SUMIFS(Table2[[HomeWon_]:[HomeWon_]], Table2[[GameIsOver]:[GameIsOver]],1,Table2[[AwayTeam]:[AwayTeam]],$T16, Table2[[HomeTeam]:[HomeTeam]], BA$11, Table2[[ActualResult]:[ActualResult]], "REG") + SUMIFS(Table2[[AwayWon]:[AwayWon]], Table2[[GameIsOver]:[GameIsOver]],1,Table2[[HomeTeam]:[HomeTeam]],$T16, Table2[[AwayTeam]:[AwayTeam]], BA$11, Table2[[ActualResult]:[ActualResult]], "REG"))) + (1*(SUMIFS(Table2[[HomeWon_]:[HomeWon_]], Table2[[GameIsOver]:[GameIsOver]],1,Table2[[AwayTeam]:[AwayTeam]],$T16, Table2[[HomeTeam]:[HomeTeam]], BA$11, Table2[[ActualResult]:[ActualResult]], "OT") + SUMIFS(Table2[[AwayWon]:[AwayWon]], Table2[[GameIsOver]:[GameIsOver]],1,Table2[[HomeTeam]:[HomeTeam]],$T16, Table2[[AwayTeam]:[AwayTeam]], BA$11, Table2[[ActualResult]:[ActualResult]], "OT") + SUMIFS(Table2[[HomeWon_]:[HomeWon_]], Table2[[GameIsOver]:[GameIsOver]],1,Table2[[AwayTeam]:[AwayTeam]],$T16, Table2[[HomeTeam]:[HomeTeam]], BA$11, Table2[[ActualResult]:[ActualResult]], "SO") + SUMIFS(Table2[[AwayWon]:[AwayWon]], Table2[[GameIsOver]:[GameIsOver]],1,Table2[[HomeTeam]:[HomeTeam]],$T16, Table2[[AwayTeam]:[AwayTeam]], BA$11, Table2[[ActualResult]:[ActualResult]], "SO")))</f>
        <v>0</v>
      </c>
    </row>
    <row r="17" spans="1:53" x14ac:dyDescent="0.25">
      <c r="A17" s="62" t="s">
        <v>31</v>
      </c>
      <c r="B17" s="62" t="s">
        <v>91</v>
      </c>
      <c r="C17" s="62" t="s">
        <v>92</v>
      </c>
      <c r="D17" s="62">
        <f>INDEX(Table3[PTS], MATCH(Table6[[#This Row],[Teams]], Table3[Teams],0))</f>
        <v>10</v>
      </c>
      <c r="E17" s="62">
        <f>INDEX(Table3[PTS], MATCH(Table6[[#This Row],[Teams]], Table3[Teams],0))</f>
        <v>10</v>
      </c>
      <c r="S17">
        <v>7</v>
      </c>
      <c r="T17" t="str" cm="1">
        <f t="array" ref="T17">INDEX(Table6[Teams], SMALL(IF(Table6[D]="C", ROW(Table6[Teams])-ROW(Table6[#Headers])), Table710[[#This Row],[CEN]]))</f>
        <v>UTA</v>
      </c>
      <c r="U17">
        <f>INDEX(Table6[PTS], MATCH($T17, Table6[Teams], 0))</f>
        <v>10</v>
      </c>
      <c r="V17">
        <f>(2*(SUMIFS(Table2[[AwayWon]:[AwayWon]], Table2[[GameIsOver]:[GameIsOver]],1,Table2[[AwayTeam]:[AwayTeam]],$T17, Table2[[HomeTeam]:[HomeTeam]], V$11) + SUMIFS(Table2[[HomeWon_]:[HomeWon_]], Table2[[GameIsOver]:[GameIsOver]],1,Table2[[HomeTeam]:[HomeTeam]],$T17, Table2[[AwayTeam]:[AwayTeam]], V$11))) + (0*(SUMIFS(Table2[[HomeWon_]:[HomeWon_]], Table2[[GameIsOver]:[GameIsOver]],1,Table2[[AwayTeam]:[AwayTeam]],$T17, Table2[[HomeTeam]:[HomeTeam]], V$11, Table2[[ActualResult]:[ActualResult]], "REG") + SUMIFS(Table2[[AwayWon]:[AwayWon]], Table2[[GameIsOver]:[GameIsOver]],1,Table2[[HomeTeam]:[HomeTeam]],$T17, Table2[[AwayTeam]:[AwayTeam]], V$11, Table2[[ActualResult]:[ActualResult]], "REG"))) + (1*(SUMIFS(Table2[[HomeWon_]:[HomeWon_]], Table2[[GameIsOver]:[GameIsOver]],1,Table2[[AwayTeam]:[AwayTeam]],$T17, Table2[[HomeTeam]:[HomeTeam]], V$11, Table2[[ActualResult]:[ActualResult]], "OT") + SUMIFS(Table2[[AwayWon]:[AwayWon]], Table2[[GameIsOver]:[GameIsOver]],1,Table2[[HomeTeam]:[HomeTeam]],$T17, Table2[[AwayTeam]:[AwayTeam]], V$11, Table2[[ActualResult]:[ActualResult]], "OT") + SUMIFS(Table2[[HomeWon_]:[HomeWon_]], Table2[[GameIsOver]:[GameIsOver]],1,Table2[[AwayTeam]:[AwayTeam]],$T17, Table2[[HomeTeam]:[HomeTeam]], V$11, Table2[[ActualResult]:[ActualResult]], "SO") + SUMIFS(Table2[[AwayWon]:[AwayWon]], Table2[[GameIsOver]:[GameIsOver]],1,Table2[[HomeTeam]:[HomeTeam]],$T17, Table2[[AwayTeam]:[AwayTeam]], V$11, Table2[[ActualResult]:[ActualResult]], "SO")))</f>
        <v>0</v>
      </c>
      <c r="W17">
        <f>(2*(SUMIFS(Table2[[AwayWon]:[AwayWon]], Table2[[GameIsOver]:[GameIsOver]],1,Table2[[AwayTeam]:[AwayTeam]],$T17, Table2[[HomeTeam]:[HomeTeam]], W$11) + SUMIFS(Table2[[HomeWon_]:[HomeWon_]], Table2[[GameIsOver]:[GameIsOver]],1,Table2[[HomeTeam]:[HomeTeam]],$T17, Table2[[AwayTeam]:[AwayTeam]], W$11))) + (0*(SUMIFS(Table2[[HomeWon_]:[HomeWon_]], Table2[[GameIsOver]:[GameIsOver]],1,Table2[[AwayTeam]:[AwayTeam]],$T17, Table2[[HomeTeam]:[HomeTeam]], W$11, Table2[[ActualResult]:[ActualResult]], "REG") + SUMIFS(Table2[[AwayWon]:[AwayWon]], Table2[[GameIsOver]:[GameIsOver]],1,Table2[[HomeTeam]:[HomeTeam]],$T17, Table2[[AwayTeam]:[AwayTeam]], W$11, Table2[[ActualResult]:[ActualResult]], "REG"))) + (1*(SUMIFS(Table2[[HomeWon_]:[HomeWon_]], Table2[[GameIsOver]:[GameIsOver]],1,Table2[[AwayTeam]:[AwayTeam]],$T17, Table2[[HomeTeam]:[HomeTeam]], W$11, Table2[[ActualResult]:[ActualResult]], "OT") + SUMIFS(Table2[[AwayWon]:[AwayWon]], Table2[[GameIsOver]:[GameIsOver]],1,Table2[[HomeTeam]:[HomeTeam]],$T17, Table2[[AwayTeam]:[AwayTeam]], W$11, Table2[[ActualResult]:[ActualResult]], "OT") + SUMIFS(Table2[[HomeWon_]:[HomeWon_]], Table2[[GameIsOver]:[GameIsOver]],1,Table2[[AwayTeam]:[AwayTeam]],$T17, Table2[[HomeTeam]:[HomeTeam]], W$11, Table2[[ActualResult]:[ActualResult]], "SO") + SUMIFS(Table2[[AwayWon]:[AwayWon]], Table2[[GameIsOver]:[GameIsOver]],1,Table2[[HomeTeam]:[HomeTeam]],$T17, Table2[[AwayTeam]:[AwayTeam]], W$11, Table2[[ActualResult]:[ActualResult]], "SO")))</f>
        <v>2</v>
      </c>
      <c r="X17">
        <f>(2*(SUMIFS(Table2[[AwayWon]:[AwayWon]], Table2[[GameIsOver]:[GameIsOver]],1,Table2[[AwayTeam]:[AwayTeam]],$T17, Table2[[HomeTeam]:[HomeTeam]], X$11) + SUMIFS(Table2[[HomeWon_]:[HomeWon_]], Table2[[GameIsOver]:[GameIsOver]],1,Table2[[HomeTeam]:[HomeTeam]],$T17, Table2[[AwayTeam]:[AwayTeam]], X$11))) + (0*(SUMIFS(Table2[[HomeWon_]:[HomeWon_]], Table2[[GameIsOver]:[GameIsOver]],1,Table2[[AwayTeam]:[AwayTeam]],$T17, Table2[[HomeTeam]:[HomeTeam]], X$11, Table2[[ActualResult]:[ActualResult]], "REG") + SUMIFS(Table2[[AwayWon]:[AwayWon]], Table2[[GameIsOver]:[GameIsOver]],1,Table2[[HomeTeam]:[HomeTeam]],$T17, Table2[[AwayTeam]:[AwayTeam]], X$11, Table2[[ActualResult]:[ActualResult]], "REG"))) + (1*(SUMIFS(Table2[[HomeWon_]:[HomeWon_]], Table2[[GameIsOver]:[GameIsOver]],1,Table2[[AwayTeam]:[AwayTeam]],$T17, Table2[[HomeTeam]:[HomeTeam]], X$11, Table2[[ActualResult]:[ActualResult]], "OT") + SUMIFS(Table2[[AwayWon]:[AwayWon]], Table2[[GameIsOver]:[GameIsOver]],1,Table2[[HomeTeam]:[HomeTeam]],$T17, Table2[[AwayTeam]:[AwayTeam]], X$11, Table2[[ActualResult]:[ActualResult]], "OT") + SUMIFS(Table2[[HomeWon_]:[HomeWon_]], Table2[[GameIsOver]:[GameIsOver]],1,Table2[[AwayTeam]:[AwayTeam]],$T17, Table2[[HomeTeam]:[HomeTeam]], X$11, Table2[[ActualResult]:[ActualResult]], "SO") + SUMIFS(Table2[[AwayWon]:[AwayWon]], Table2[[GameIsOver]:[GameIsOver]],1,Table2[[HomeTeam]:[HomeTeam]],$T17, Table2[[AwayTeam]:[AwayTeam]], X$11, Table2[[ActualResult]:[ActualResult]], "SO")))</f>
        <v>0</v>
      </c>
      <c r="Y17">
        <f>(2*(SUMIFS(Table2[[AwayWon]:[AwayWon]], Table2[[GameIsOver]:[GameIsOver]],1,Table2[[AwayTeam]:[AwayTeam]],$T17, Table2[[HomeTeam]:[HomeTeam]], Y$11) + SUMIFS(Table2[[HomeWon_]:[HomeWon_]], Table2[[GameIsOver]:[GameIsOver]],1,Table2[[HomeTeam]:[HomeTeam]],$T17, Table2[[AwayTeam]:[AwayTeam]], Y$11))) + (0*(SUMIFS(Table2[[HomeWon_]:[HomeWon_]], Table2[[GameIsOver]:[GameIsOver]],1,Table2[[AwayTeam]:[AwayTeam]],$T17, Table2[[HomeTeam]:[HomeTeam]], Y$11, Table2[[ActualResult]:[ActualResult]], "REG") + SUMIFS(Table2[[AwayWon]:[AwayWon]], Table2[[GameIsOver]:[GameIsOver]],1,Table2[[HomeTeam]:[HomeTeam]],$T17, Table2[[AwayTeam]:[AwayTeam]], Y$11, Table2[[ActualResult]:[ActualResult]], "REG"))) + (1*(SUMIFS(Table2[[HomeWon_]:[HomeWon_]], Table2[[GameIsOver]:[GameIsOver]],1,Table2[[AwayTeam]:[AwayTeam]],$T17, Table2[[HomeTeam]:[HomeTeam]], Y$11, Table2[[ActualResult]:[ActualResult]], "OT") + SUMIFS(Table2[[AwayWon]:[AwayWon]], Table2[[GameIsOver]:[GameIsOver]],1,Table2[[HomeTeam]:[HomeTeam]],$T17, Table2[[AwayTeam]:[AwayTeam]], Y$11, Table2[[ActualResult]:[ActualResult]], "OT") + SUMIFS(Table2[[HomeWon_]:[HomeWon_]], Table2[[GameIsOver]:[GameIsOver]],1,Table2[[AwayTeam]:[AwayTeam]],$T17, Table2[[HomeTeam]:[HomeTeam]], Y$11, Table2[[ActualResult]:[ActualResult]], "SO") + SUMIFS(Table2[[AwayWon]:[AwayWon]], Table2[[GameIsOver]:[GameIsOver]],1,Table2[[HomeTeam]:[HomeTeam]],$T17, Table2[[AwayTeam]:[AwayTeam]], Y$11, Table2[[ActualResult]:[ActualResult]], "SO")))</f>
        <v>0</v>
      </c>
      <c r="Z17">
        <f>(2*(SUMIFS(Table2[[AwayWon]:[AwayWon]], Table2[[GameIsOver]:[GameIsOver]],1,Table2[[AwayTeam]:[AwayTeam]],$T17, Table2[[HomeTeam]:[HomeTeam]], Z$11) + SUMIFS(Table2[[HomeWon_]:[HomeWon_]], Table2[[GameIsOver]:[GameIsOver]],1,Table2[[HomeTeam]:[HomeTeam]],$T17, Table2[[AwayTeam]:[AwayTeam]], Z$11))) + (0*(SUMIFS(Table2[[HomeWon_]:[HomeWon_]], Table2[[GameIsOver]:[GameIsOver]],1,Table2[[AwayTeam]:[AwayTeam]],$T17, Table2[[HomeTeam]:[HomeTeam]], Z$11, Table2[[ActualResult]:[ActualResult]], "REG") + SUMIFS(Table2[[AwayWon]:[AwayWon]], Table2[[GameIsOver]:[GameIsOver]],1,Table2[[HomeTeam]:[HomeTeam]],$T17, Table2[[AwayTeam]:[AwayTeam]], Z$11, Table2[[ActualResult]:[ActualResult]], "REG"))) + (1*(SUMIFS(Table2[[HomeWon_]:[HomeWon_]], Table2[[GameIsOver]:[GameIsOver]],1,Table2[[AwayTeam]:[AwayTeam]],$T17, Table2[[HomeTeam]:[HomeTeam]], Z$11, Table2[[ActualResult]:[ActualResult]], "OT") + SUMIFS(Table2[[AwayWon]:[AwayWon]], Table2[[GameIsOver]:[GameIsOver]],1,Table2[[HomeTeam]:[HomeTeam]],$T17, Table2[[AwayTeam]:[AwayTeam]], Z$11, Table2[[ActualResult]:[ActualResult]], "OT") + SUMIFS(Table2[[HomeWon_]:[HomeWon_]], Table2[[GameIsOver]:[GameIsOver]],1,Table2[[AwayTeam]:[AwayTeam]],$T17, Table2[[HomeTeam]:[HomeTeam]], Z$11, Table2[[ActualResult]:[ActualResult]], "SO") + SUMIFS(Table2[[AwayWon]:[AwayWon]], Table2[[GameIsOver]:[GameIsOver]],1,Table2[[HomeTeam]:[HomeTeam]],$T17, Table2[[AwayTeam]:[AwayTeam]], Z$11, Table2[[ActualResult]:[ActualResult]], "SO")))</f>
        <v>0</v>
      </c>
      <c r="AA17">
        <f>(2*(SUMIFS(Table2[[AwayWon]:[AwayWon]], Table2[[GameIsOver]:[GameIsOver]],1,Table2[[AwayTeam]:[AwayTeam]],$T17, Table2[[HomeTeam]:[HomeTeam]], AA$11) + SUMIFS(Table2[[HomeWon_]:[HomeWon_]], Table2[[GameIsOver]:[GameIsOver]],1,Table2[[HomeTeam]:[HomeTeam]],$T17, Table2[[AwayTeam]:[AwayTeam]], AA$11))) + (0*(SUMIFS(Table2[[HomeWon_]:[HomeWon_]], Table2[[GameIsOver]:[GameIsOver]],1,Table2[[AwayTeam]:[AwayTeam]],$T17, Table2[[HomeTeam]:[HomeTeam]], AA$11, Table2[[ActualResult]:[ActualResult]], "REG") + SUMIFS(Table2[[AwayWon]:[AwayWon]], Table2[[GameIsOver]:[GameIsOver]],1,Table2[[HomeTeam]:[HomeTeam]],$T17, Table2[[AwayTeam]:[AwayTeam]], AA$11, Table2[[ActualResult]:[ActualResult]], "REG"))) + (1*(SUMIFS(Table2[[HomeWon_]:[HomeWon_]], Table2[[GameIsOver]:[GameIsOver]],1,Table2[[AwayTeam]:[AwayTeam]],$T17, Table2[[HomeTeam]:[HomeTeam]], AA$11, Table2[[ActualResult]:[ActualResult]], "OT") + SUMIFS(Table2[[AwayWon]:[AwayWon]], Table2[[GameIsOver]:[GameIsOver]],1,Table2[[HomeTeam]:[HomeTeam]],$T17, Table2[[AwayTeam]:[AwayTeam]], AA$11, Table2[[ActualResult]:[ActualResult]], "OT") + SUMIFS(Table2[[HomeWon_]:[HomeWon_]], Table2[[GameIsOver]:[GameIsOver]],1,Table2[[AwayTeam]:[AwayTeam]],$T17, Table2[[HomeTeam]:[HomeTeam]], AA$11, Table2[[ActualResult]:[ActualResult]], "SO") + SUMIFS(Table2[[AwayWon]:[AwayWon]], Table2[[GameIsOver]:[GameIsOver]],1,Table2[[HomeTeam]:[HomeTeam]],$T17, Table2[[AwayTeam]:[AwayTeam]], AA$11, Table2[[ActualResult]:[ActualResult]], "SO")))</f>
        <v>2</v>
      </c>
      <c r="AB17">
        <f>(2*(SUMIFS(Table2[[AwayWon]:[AwayWon]], Table2[[GameIsOver]:[GameIsOver]],1,Table2[[AwayTeam]:[AwayTeam]],$T17, Table2[[HomeTeam]:[HomeTeam]], AB$11) + SUMIFS(Table2[[HomeWon_]:[HomeWon_]], Table2[[GameIsOver]:[GameIsOver]],1,Table2[[HomeTeam]:[HomeTeam]],$T17, Table2[[AwayTeam]:[AwayTeam]], AB$11))) + (0*(SUMIFS(Table2[[HomeWon_]:[HomeWon_]], Table2[[GameIsOver]:[GameIsOver]],1,Table2[[AwayTeam]:[AwayTeam]],$T17, Table2[[HomeTeam]:[HomeTeam]], AB$11, Table2[[ActualResult]:[ActualResult]], "REG") + SUMIFS(Table2[[AwayWon]:[AwayWon]], Table2[[GameIsOver]:[GameIsOver]],1,Table2[[HomeTeam]:[HomeTeam]],$T17, Table2[[AwayTeam]:[AwayTeam]], AB$11, Table2[[ActualResult]:[ActualResult]], "REG"))) + (1*(SUMIFS(Table2[[HomeWon_]:[HomeWon_]], Table2[[GameIsOver]:[GameIsOver]],1,Table2[[AwayTeam]:[AwayTeam]],$T17, Table2[[HomeTeam]:[HomeTeam]], AB$11, Table2[[ActualResult]:[ActualResult]], "OT") + SUMIFS(Table2[[AwayWon]:[AwayWon]], Table2[[GameIsOver]:[GameIsOver]],1,Table2[[HomeTeam]:[HomeTeam]],$T17, Table2[[AwayTeam]:[AwayTeam]], AB$11, Table2[[ActualResult]:[ActualResult]], "OT") + SUMIFS(Table2[[HomeWon_]:[HomeWon_]], Table2[[GameIsOver]:[GameIsOver]],1,Table2[[AwayTeam]:[AwayTeam]],$T17, Table2[[HomeTeam]:[HomeTeam]], AB$11, Table2[[ActualResult]:[ActualResult]], "SO") + SUMIFS(Table2[[AwayWon]:[AwayWon]], Table2[[GameIsOver]:[GameIsOver]],1,Table2[[HomeTeam]:[HomeTeam]],$T17, Table2[[AwayTeam]:[AwayTeam]], AB$11, Table2[[ActualResult]:[ActualResult]], "SO")))</f>
        <v>0</v>
      </c>
      <c r="AC17">
        <f>(2*(SUMIFS(Table2[[AwayWon]:[AwayWon]], Table2[[GameIsOver]:[GameIsOver]],1,Table2[[AwayTeam]:[AwayTeam]],$T17, Table2[[HomeTeam]:[HomeTeam]], AC$11) + SUMIFS(Table2[[HomeWon_]:[HomeWon_]], Table2[[GameIsOver]:[GameIsOver]],1,Table2[[HomeTeam]:[HomeTeam]],$T17, Table2[[AwayTeam]:[AwayTeam]], AC$11))) + (0*(SUMIFS(Table2[[HomeWon_]:[HomeWon_]], Table2[[GameIsOver]:[GameIsOver]],1,Table2[[AwayTeam]:[AwayTeam]],$T17, Table2[[HomeTeam]:[HomeTeam]], AC$11, Table2[[ActualResult]:[ActualResult]], "REG") + SUMIFS(Table2[[AwayWon]:[AwayWon]], Table2[[GameIsOver]:[GameIsOver]],1,Table2[[HomeTeam]:[HomeTeam]],$T17, Table2[[AwayTeam]:[AwayTeam]], AC$11, Table2[[ActualResult]:[ActualResult]], "REG"))) + (1*(SUMIFS(Table2[[HomeWon_]:[HomeWon_]], Table2[[GameIsOver]:[GameIsOver]],1,Table2[[AwayTeam]:[AwayTeam]],$T17, Table2[[HomeTeam]:[HomeTeam]], AC$11, Table2[[ActualResult]:[ActualResult]], "OT") + SUMIFS(Table2[[AwayWon]:[AwayWon]], Table2[[GameIsOver]:[GameIsOver]],1,Table2[[HomeTeam]:[HomeTeam]],$T17, Table2[[AwayTeam]:[AwayTeam]], AC$11, Table2[[ActualResult]:[ActualResult]], "OT") + SUMIFS(Table2[[HomeWon_]:[HomeWon_]], Table2[[GameIsOver]:[GameIsOver]],1,Table2[[AwayTeam]:[AwayTeam]],$T17, Table2[[HomeTeam]:[HomeTeam]], AC$11, Table2[[ActualResult]:[ActualResult]], "SO") + SUMIFS(Table2[[AwayWon]:[AwayWon]], Table2[[GameIsOver]:[GameIsOver]],1,Table2[[HomeTeam]:[HomeTeam]],$T17, Table2[[AwayTeam]:[AwayTeam]], AC$11, Table2[[ActualResult]:[ActualResult]], "SO")))</f>
        <v>0</v>
      </c>
      <c r="AD17">
        <f>(2*(SUMIFS(Table2[[AwayWon]:[AwayWon]], Table2[[GameIsOver]:[GameIsOver]],1,Table2[[AwayTeam]:[AwayTeam]],$T17, Table2[[HomeTeam]:[HomeTeam]], AD$11) + SUMIFS(Table2[[HomeWon_]:[HomeWon_]], Table2[[GameIsOver]:[GameIsOver]],1,Table2[[HomeTeam]:[HomeTeam]],$T17, Table2[[AwayTeam]:[AwayTeam]], AD$11))) + (0*(SUMIFS(Table2[[HomeWon_]:[HomeWon_]], Table2[[GameIsOver]:[GameIsOver]],1,Table2[[AwayTeam]:[AwayTeam]],$T17, Table2[[HomeTeam]:[HomeTeam]], AD$11, Table2[[ActualResult]:[ActualResult]], "REG") + SUMIFS(Table2[[AwayWon]:[AwayWon]], Table2[[GameIsOver]:[GameIsOver]],1,Table2[[HomeTeam]:[HomeTeam]],$T17, Table2[[AwayTeam]:[AwayTeam]], AD$11, Table2[[ActualResult]:[ActualResult]], "REG"))) + (1*(SUMIFS(Table2[[HomeWon_]:[HomeWon_]], Table2[[GameIsOver]:[GameIsOver]],1,Table2[[AwayTeam]:[AwayTeam]],$T17, Table2[[HomeTeam]:[HomeTeam]], AD$11, Table2[[ActualResult]:[ActualResult]], "OT") + SUMIFS(Table2[[AwayWon]:[AwayWon]], Table2[[GameIsOver]:[GameIsOver]],1,Table2[[HomeTeam]:[HomeTeam]],$T17, Table2[[AwayTeam]:[AwayTeam]], AD$11, Table2[[ActualResult]:[ActualResult]], "OT") + SUMIFS(Table2[[HomeWon_]:[HomeWon_]], Table2[[GameIsOver]:[GameIsOver]],1,Table2[[AwayTeam]:[AwayTeam]],$T17, Table2[[HomeTeam]:[HomeTeam]], AD$11, Table2[[ActualResult]:[ActualResult]], "SO") + SUMIFS(Table2[[AwayWon]:[AwayWon]], Table2[[GameIsOver]:[GameIsOver]],1,Table2[[HomeTeam]:[HomeTeam]],$T17, Table2[[AwayTeam]:[AwayTeam]], AD$11, Table2[[ActualResult]:[ActualResult]], "SO")))</f>
        <v>0</v>
      </c>
      <c r="AE17">
        <f>(2*(SUMIFS(Table2[[AwayWon]:[AwayWon]], Table2[[GameIsOver]:[GameIsOver]],1,Table2[[AwayTeam]:[AwayTeam]],$T17, Table2[[HomeTeam]:[HomeTeam]], AE$11) + SUMIFS(Table2[[HomeWon_]:[HomeWon_]], Table2[[GameIsOver]:[GameIsOver]],1,Table2[[HomeTeam]:[HomeTeam]],$T17, Table2[[AwayTeam]:[AwayTeam]], AE$11))) + (0*(SUMIFS(Table2[[HomeWon_]:[HomeWon_]], Table2[[GameIsOver]:[GameIsOver]],1,Table2[[AwayTeam]:[AwayTeam]],$T17, Table2[[HomeTeam]:[HomeTeam]], AE$11, Table2[[ActualResult]:[ActualResult]], "REG") + SUMIFS(Table2[[AwayWon]:[AwayWon]], Table2[[GameIsOver]:[GameIsOver]],1,Table2[[HomeTeam]:[HomeTeam]],$T17, Table2[[AwayTeam]:[AwayTeam]], AE$11, Table2[[ActualResult]:[ActualResult]], "REG"))) + (1*(SUMIFS(Table2[[HomeWon_]:[HomeWon_]], Table2[[GameIsOver]:[GameIsOver]],1,Table2[[AwayTeam]:[AwayTeam]],$T17, Table2[[HomeTeam]:[HomeTeam]], AE$11, Table2[[ActualResult]:[ActualResult]], "OT") + SUMIFS(Table2[[AwayWon]:[AwayWon]], Table2[[GameIsOver]:[GameIsOver]],1,Table2[[HomeTeam]:[HomeTeam]],$T17, Table2[[AwayTeam]:[AwayTeam]], AE$11, Table2[[ActualResult]:[ActualResult]], "OT") + SUMIFS(Table2[[HomeWon_]:[HomeWon_]], Table2[[GameIsOver]:[GameIsOver]],1,Table2[[AwayTeam]:[AwayTeam]],$T17, Table2[[HomeTeam]:[HomeTeam]], AE$11, Table2[[ActualResult]:[ActualResult]], "SO") + SUMIFS(Table2[[AwayWon]:[AwayWon]], Table2[[GameIsOver]:[GameIsOver]],1,Table2[[HomeTeam]:[HomeTeam]],$T17, Table2[[AwayTeam]:[AwayTeam]], AE$11, Table2[[ActualResult]:[ActualResult]], "SO")))</f>
        <v>2</v>
      </c>
      <c r="AF17">
        <f>(2*(SUMIFS(Table2[[AwayWon]:[AwayWon]], Table2[[GameIsOver]:[GameIsOver]],1,Table2[[AwayTeam]:[AwayTeam]],$T17, Table2[[HomeTeam]:[HomeTeam]], AF$11) + SUMIFS(Table2[[HomeWon_]:[HomeWon_]], Table2[[GameIsOver]:[GameIsOver]],1,Table2[[HomeTeam]:[HomeTeam]],$T17, Table2[[AwayTeam]:[AwayTeam]], AF$11))) + (0*(SUMIFS(Table2[[HomeWon_]:[HomeWon_]], Table2[[GameIsOver]:[GameIsOver]],1,Table2[[AwayTeam]:[AwayTeam]],$T17, Table2[[HomeTeam]:[HomeTeam]], AF$11, Table2[[ActualResult]:[ActualResult]], "REG") + SUMIFS(Table2[[AwayWon]:[AwayWon]], Table2[[GameIsOver]:[GameIsOver]],1,Table2[[HomeTeam]:[HomeTeam]],$T17, Table2[[AwayTeam]:[AwayTeam]], AF$11, Table2[[ActualResult]:[ActualResult]], "REG"))) + (1*(SUMIFS(Table2[[HomeWon_]:[HomeWon_]], Table2[[GameIsOver]:[GameIsOver]],1,Table2[[AwayTeam]:[AwayTeam]],$T17, Table2[[HomeTeam]:[HomeTeam]], AF$11, Table2[[ActualResult]:[ActualResult]], "OT") + SUMIFS(Table2[[AwayWon]:[AwayWon]], Table2[[GameIsOver]:[GameIsOver]],1,Table2[[HomeTeam]:[HomeTeam]],$T17, Table2[[AwayTeam]:[AwayTeam]], AF$11, Table2[[ActualResult]:[ActualResult]], "OT") + SUMIFS(Table2[[HomeWon_]:[HomeWon_]], Table2[[GameIsOver]:[GameIsOver]],1,Table2[[AwayTeam]:[AwayTeam]],$T17, Table2[[HomeTeam]:[HomeTeam]], AF$11, Table2[[ActualResult]:[ActualResult]], "SO") + SUMIFS(Table2[[AwayWon]:[AwayWon]], Table2[[GameIsOver]:[GameIsOver]],1,Table2[[HomeTeam]:[HomeTeam]],$T17, Table2[[AwayTeam]:[AwayTeam]], AF$11, Table2[[ActualResult]:[ActualResult]], "SO")))</f>
        <v>0</v>
      </c>
      <c r="AG17">
        <f>(2*(SUMIFS(Table2[[AwayWon]:[AwayWon]], Table2[[GameIsOver]:[GameIsOver]],1,Table2[[AwayTeam]:[AwayTeam]],$T17, Table2[[HomeTeam]:[HomeTeam]], AG$11) + SUMIFS(Table2[[HomeWon_]:[HomeWon_]], Table2[[GameIsOver]:[GameIsOver]],1,Table2[[HomeTeam]:[HomeTeam]],$T17, Table2[[AwayTeam]:[AwayTeam]], AG$11))) + (0*(SUMIFS(Table2[[HomeWon_]:[HomeWon_]], Table2[[GameIsOver]:[GameIsOver]],1,Table2[[AwayTeam]:[AwayTeam]],$T17, Table2[[HomeTeam]:[HomeTeam]], AG$11, Table2[[ActualResult]:[ActualResult]], "REG") + SUMIFS(Table2[[AwayWon]:[AwayWon]], Table2[[GameIsOver]:[GameIsOver]],1,Table2[[HomeTeam]:[HomeTeam]],$T17, Table2[[AwayTeam]:[AwayTeam]], AG$11, Table2[[ActualResult]:[ActualResult]], "REG"))) + (1*(SUMIFS(Table2[[HomeWon_]:[HomeWon_]], Table2[[GameIsOver]:[GameIsOver]],1,Table2[[AwayTeam]:[AwayTeam]],$T17, Table2[[HomeTeam]:[HomeTeam]], AG$11, Table2[[ActualResult]:[ActualResult]], "OT") + SUMIFS(Table2[[AwayWon]:[AwayWon]], Table2[[GameIsOver]:[GameIsOver]],1,Table2[[HomeTeam]:[HomeTeam]],$T17, Table2[[AwayTeam]:[AwayTeam]], AG$11, Table2[[ActualResult]:[ActualResult]], "OT") + SUMIFS(Table2[[HomeWon_]:[HomeWon_]], Table2[[GameIsOver]:[GameIsOver]],1,Table2[[AwayTeam]:[AwayTeam]],$T17, Table2[[HomeTeam]:[HomeTeam]], AG$11, Table2[[ActualResult]:[ActualResult]], "SO") + SUMIFS(Table2[[AwayWon]:[AwayWon]], Table2[[GameIsOver]:[GameIsOver]],1,Table2[[HomeTeam]:[HomeTeam]],$T17, Table2[[AwayTeam]:[AwayTeam]], AG$11, Table2[[ActualResult]:[ActualResult]], "SO")))</f>
        <v>0</v>
      </c>
      <c r="AH17">
        <f>(2*(SUMIFS(Table2[[AwayWon]:[AwayWon]], Table2[[GameIsOver]:[GameIsOver]],1,Table2[[AwayTeam]:[AwayTeam]],$T17, Table2[[HomeTeam]:[HomeTeam]], AH$11) + SUMIFS(Table2[[HomeWon_]:[HomeWon_]], Table2[[GameIsOver]:[GameIsOver]],1,Table2[[HomeTeam]:[HomeTeam]],$T17, Table2[[AwayTeam]:[AwayTeam]], AH$11))) + (0*(SUMIFS(Table2[[HomeWon_]:[HomeWon_]], Table2[[GameIsOver]:[GameIsOver]],1,Table2[[AwayTeam]:[AwayTeam]],$T17, Table2[[HomeTeam]:[HomeTeam]], AH$11, Table2[[ActualResult]:[ActualResult]], "REG") + SUMIFS(Table2[[AwayWon]:[AwayWon]], Table2[[GameIsOver]:[GameIsOver]],1,Table2[[HomeTeam]:[HomeTeam]],$T17, Table2[[AwayTeam]:[AwayTeam]], AH$11, Table2[[ActualResult]:[ActualResult]], "REG"))) + (1*(SUMIFS(Table2[[HomeWon_]:[HomeWon_]], Table2[[GameIsOver]:[GameIsOver]],1,Table2[[AwayTeam]:[AwayTeam]],$T17, Table2[[HomeTeam]:[HomeTeam]], AH$11, Table2[[ActualResult]:[ActualResult]], "OT") + SUMIFS(Table2[[AwayWon]:[AwayWon]], Table2[[GameIsOver]:[GameIsOver]],1,Table2[[HomeTeam]:[HomeTeam]],$T17, Table2[[AwayTeam]:[AwayTeam]], AH$11, Table2[[ActualResult]:[ActualResult]], "OT") + SUMIFS(Table2[[HomeWon_]:[HomeWon_]], Table2[[GameIsOver]:[GameIsOver]],1,Table2[[AwayTeam]:[AwayTeam]],$T17, Table2[[HomeTeam]:[HomeTeam]], AH$11, Table2[[ActualResult]:[ActualResult]], "SO") + SUMIFS(Table2[[AwayWon]:[AwayWon]], Table2[[GameIsOver]:[GameIsOver]],1,Table2[[HomeTeam]:[HomeTeam]],$T17, Table2[[AwayTeam]:[AwayTeam]], AH$11, Table2[[ActualResult]:[ActualResult]], "SO")))</f>
        <v>2</v>
      </c>
      <c r="AI17">
        <f>(2*(SUMIFS(Table2[[AwayWon]:[AwayWon]], Table2[[GameIsOver]:[GameIsOver]],1,Table2[[AwayTeam]:[AwayTeam]],$T17, Table2[[HomeTeam]:[HomeTeam]], AI$11) + SUMIFS(Table2[[HomeWon_]:[HomeWon_]], Table2[[GameIsOver]:[GameIsOver]],1,Table2[[HomeTeam]:[HomeTeam]],$T17, Table2[[AwayTeam]:[AwayTeam]], AI$11))) + (0*(SUMIFS(Table2[[HomeWon_]:[HomeWon_]], Table2[[GameIsOver]:[GameIsOver]],1,Table2[[AwayTeam]:[AwayTeam]],$T17, Table2[[HomeTeam]:[HomeTeam]], AI$11, Table2[[ActualResult]:[ActualResult]], "REG") + SUMIFS(Table2[[AwayWon]:[AwayWon]], Table2[[GameIsOver]:[GameIsOver]],1,Table2[[HomeTeam]:[HomeTeam]],$T17, Table2[[AwayTeam]:[AwayTeam]], AI$11, Table2[[ActualResult]:[ActualResult]], "REG"))) + (1*(SUMIFS(Table2[[HomeWon_]:[HomeWon_]], Table2[[GameIsOver]:[GameIsOver]],1,Table2[[AwayTeam]:[AwayTeam]],$T17, Table2[[HomeTeam]:[HomeTeam]], AI$11, Table2[[ActualResult]:[ActualResult]], "OT") + SUMIFS(Table2[[AwayWon]:[AwayWon]], Table2[[GameIsOver]:[GameIsOver]],1,Table2[[HomeTeam]:[HomeTeam]],$T17, Table2[[AwayTeam]:[AwayTeam]], AI$11, Table2[[ActualResult]:[ActualResult]], "OT") + SUMIFS(Table2[[HomeWon_]:[HomeWon_]], Table2[[GameIsOver]:[GameIsOver]],1,Table2[[AwayTeam]:[AwayTeam]],$T17, Table2[[HomeTeam]:[HomeTeam]], AI$11, Table2[[ActualResult]:[ActualResult]], "SO") + SUMIFS(Table2[[AwayWon]:[AwayWon]], Table2[[GameIsOver]:[GameIsOver]],1,Table2[[HomeTeam]:[HomeTeam]],$T17, Table2[[AwayTeam]:[AwayTeam]], AI$11, Table2[[ActualResult]:[ActualResult]], "SO")))</f>
        <v>0</v>
      </c>
      <c r="AJ17">
        <f>(2*(SUMIFS(Table2[[AwayWon]:[AwayWon]], Table2[[GameIsOver]:[GameIsOver]],1,Table2[[AwayTeam]:[AwayTeam]],$T17, Table2[[HomeTeam]:[HomeTeam]], AJ$11) + SUMIFS(Table2[[HomeWon_]:[HomeWon_]], Table2[[GameIsOver]:[GameIsOver]],1,Table2[[HomeTeam]:[HomeTeam]],$T17, Table2[[AwayTeam]:[AwayTeam]], AJ$11))) + (0*(SUMIFS(Table2[[HomeWon_]:[HomeWon_]], Table2[[GameIsOver]:[GameIsOver]],1,Table2[[AwayTeam]:[AwayTeam]],$T17, Table2[[HomeTeam]:[HomeTeam]], AJ$11, Table2[[ActualResult]:[ActualResult]], "REG") + SUMIFS(Table2[[AwayWon]:[AwayWon]], Table2[[GameIsOver]:[GameIsOver]],1,Table2[[HomeTeam]:[HomeTeam]],$T17, Table2[[AwayTeam]:[AwayTeam]], AJ$11, Table2[[ActualResult]:[ActualResult]], "REG"))) + (1*(SUMIFS(Table2[[HomeWon_]:[HomeWon_]], Table2[[GameIsOver]:[GameIsOver]],1,Table2[[AwayTeam]:[AwayTeam]],$T17, Table2[[HomeTeam]:[HomeTeam]], AJ$11, Table2[[ActualResult]:[ActualResult]], "OT") + SUMIFS(Table2[[AwayWon]:[AwayWon]], Table2[[GameIsOver]:[GameIsOver]],1,Table2[[HomeTeam]:[HomeTeam]],$T17, Table2[[AwayTeam]:[AwayTeam]], AJ$11, Table2[[ActualResult]:[ActualResult]], "OT") + SUMIFS(Table2[[HomeWon_]:[HomeWon_]], Table2[[GameIsOver]:[GameIsOver]],1,Table2[[AwayTeam]:[AwayTeam]],$T17, Table2[[HomeTeam]:[HomeTeam]], AJ$11, Table2[[ActualResult]:[ActualResult]], "SO") + SUMIFS(Table2[[AwayWon]:[AwayWon]], Table2[[GameIsOver]:[GameIsOver]],1,Table2[[HomeTeam]:[HomeTeam]],$T17, Table2[[AwayTeam]:[AwayTeam]], AJ$11, Table2[[ActualResult]:[ActualResult]], "SO")))</f>
        <v>0</v>
      </c>
      <c r="AK17">
        <f>(2*(SUMIFS(Table2[[AwayWon]:[AwayWon]], Table2[[GameIsOver]:[GameIsOver]],1,Table2[[AwayTeam]:[AwayTeam]],$T17, Table2[[HomeTeam]:[HomeTeam]], AK$11) + SUMIFS(Table2[[HomeWon_]:[HomeWon_]], Table2[[GameIsOver]:[GameIsOver]],1,Table2[[HomeTeam]:[HomeTeam]],$T17, Table2[[AwayTeam]:[AwayTeam]], AK$11))) + (0*(SUMIFS(Table2[[HomeWon_]:[HomeWon_]], Table2[[GameIsOver]:[GameIsOver]],1,Table2[[AwayTeam]:[AwayTeam]],$T17, Table2[[HomeTeam]:[HomeTeam]], AK$11, Table2[[ActualResult]:[ActualResult]], "REG") + SUMIFS(Table2[[AwayWon]:[AwayWon]], Table2[[GameIsOver]:[GameIsOver]],1,Table2[[HomeTeam]:[HomeTeam]],$T17, Table2[[AwayTeam]:[AwayTeam]], AK$11, Table2[[ActualResult]:[ActualResult]], "REG"))) + (1*(SUMIFS(Table2[[HomeWon_]:[HomeWon_]], Table2[[GameIsOver]:[GameIsOver]],1,Table2[[AwayTeam]:[AwayTeam]],$T17, Table2[[HomeTeam]:[HomeTeam]], AK$11, Table2[[ActualResult]:[ActualResult]], "OT") + SUMIFS(Table2[[AwayWon]:[AwayWon]], Table2[[GameIsOver]:[GameIsOver]],1,Table2[[HomeTeam]:[HomeTeam]],$T17, Table2[[AwayTeam]:[AwayTeam]], AK$11, Table2[[ActualResult]:[ActualResult]], "OT") + SUMIFS(Table2[[HomeWon_]:[HomeWon_]], Table2[[GameIsOver]:[GameIsOver]],1,Table2[[AwayTeam]:[AwayTeam]],$T17, Table2[[HomeTeam]:[HomeTeam]], AK$11, Table2[[ActualResult]:[ActualResult]], "SO") + SUMIFS(Table2[[AwayWon]:[AwayWon]], Table2[[GameIsOver]:[GameIsOver]],1,Table2[[HomeTeam]:[HomeTeam]],$T17, Table2[[AwayTeam]:[AwayTeam]], AK$11, Table2[[ActualResult]:[ActualResult]], "SO")))</f>
        <v>0</v>
      </c>
      <c r="AL17">
        <f>(2*(SUMIFS(Table2[[AwayWon]:[AwayWon]], Table2[[GameIsOver]:[GameIsOver]],1,Table2[[AwayTeam]:[AwayTeam]],$T17, Table2[[HomeTeam]:[HomeTeam]], AL$11) + SUMIFS(Table2[[HomeWon_]:[HomeWon_]], Table2[[GameIsOver]:[GameIsOver]],1,Table2[[HomeTeam]:[HomeTeam]],$T17, Table2[[AwayTeam]:[AwayTeam]], AL$11))) + (0*(SUMIFS(Table2[[HomeWon_]:[HomeWon_]], Table2[[GameIsOver]:[GameIsOver]],1,Table2[[AwayTeam]:[AwayTeam]],$T17, Table2[[HomeTeam]:[HomeTeam]], AL$11, Table2[[ActualResult]:[ActualResult]], "REG") + SUMIFS(Table2[[AwayWon]:[AwayWon]], Table2[[GameIsOver]:[GameIsOver]],1,Table2[[HomeTeam]:[HomeTeam]],$T17, Table2[[AwayTeam]:[AwayTeam]], AL$11, Table2[[ActualResult]:[ActualResult]], "REG"))) + (1*(SUMIFS(Table2[[HomeWon_]:[HomeWon_]], Table2[[GameIsOver]:[GameIsOver]],1,Table2[[AwayTeam]:[AwayTeam]],$T17, Table2[[HomeTeam]:[HomeTeam]], AL$11, Table2[[ActualResult]:[ActualResult]], "OT") + SUMIFS(Table2[[AwayWon]:[AwayWon]], Table2[[GameIsOver]:[GameIsOver]],1,Table2[[HomeTeam]:[HomeTeam]],$T17, Table2[[AwayTeam]:[AwayTeam]], AL$11, Table2[[ActualResult]:[ActualResult]], "OT") + SUMIFS(Table2[[HomeWon_]:[HomeWon_]], Table2[[GameIsOver]:[GameIsOver]],1,Table2[[AwayTeam]:[AwayTeam]],$T17, Table2[[HomeTeam]:[HomeTeam]], AL$11, Table2[[ActualResult]:[ActualResult]], "SO") + SUMIFS(Table2[[AwayWon]:[AwayWon]], Table2[[GameIsOver]:[GameIsOver]],1,Table2[[HomeTeam]:[HomeTeam]],$T17, Table2[[AwayTeam]:[AwayTeam]], AL$11, Table2[[ActualResult]:[ActualResult]], "SO")))</f>
        <v>0</v>
      </c>
      <c r="AM17">
        <f>(2*(SUMIFS(Table2[[AwayWon]:[AwayWon]], Table2[[GameIsOver]:[GameIsOver]],1,Table2[[AwayTeam]:[AwayTeam]],$T17, Table2[[HomeTeam]:[HomeTeam]], AM$11) + SUMIFS(Table2[[HomeWon_]:[HomeWon_]], Table2[[GameIsOver]:[GameIsOver]],1,Table2[[HomeTeam]:[HomeTeam]],$T17, Table2[[AwayTeam]:[AwayTeam]], AM$11))) + (0*(SUMIFS(Table2[[HomeWon_]:[HomeWon_]], Table2[[GameIsOver]:[GameIsOver]],1,Table2[[AwayTeam]:[AwayTeam]],$T17, Table2[[HomeTeam]:[HomeTeam]], AM$11, Table2[[ActualResult]:[ActualResult]], "REG") + SUMIFS(Table2[[AwayWon]:[AwayWon]], Table2[[GameIsOver]:[GameIsOver]],1,Table2[[HomeTeam]:[HomeTeam]],$T17, Table2[[AwayTeam]:[AwayTeam]], AM$11, Table2[[ActualResult]:[ActualResult]], "REG"))) + (1*(SUMIFS(Table2[[HomeWon_]:[HomeWon_]], Table2[[GameIsOver]:[GameIsOver]],1,Table2[[AwayTeam]:[AwayTeam]],$T17, Table2[[HomeTeam]:[HomeTeam]], AM$11, Table2[[ActualResult]:[ActualResult]], "OT") + SUMIFS(Table2[[AwayWon]:[AwayWon]], Table2[[GameIsOver]:[GameIsOver]],1,Table2[[HomeTeam]:[HomeTeam]],$T17, Table2[[AwayTeam]:[AwayTeam]], AM$11, Table2[[ActualResult]:[ActualResult]], "OT") + SUMIFS(Table2[[HomeWon_]:[HomeWon_]], Table2[[GameIsOver]:[GameIsOver]],1,Table2[[AwayTeam]:[AwayTeam]],$T17, Table2[[HomeTeam]:[HomeTeam]], AM$11, Table2[[ActualResult]:[ActualResult]], "SO") + SUMIFS(Table2[[AwayWon]:[AwayWon]], Table2[[GameIsOver]:[GameIsOver]],1,Table2[[HomeTeam]:[HomeTeam]],$T17, Table2[[AwayTeam]:[AwayTeam]], AM$11, Table2[[ActualResult]:[ActualResult]], "SO")))</f>
        <v>0</v>
      </c>
      <c r="AN17">
        <f>(2*(SUMIFS(Table2[[AwayWon]:[AwayWon]], Table2[[GameIsOver]:[GameIsOver]],1,Table2[[AwayTeam]:[AwayTeam]],$T17, Table2[[HomeTeam]:[HomeTeam]], AN$11) + SUMIFS(Table2[[HomeWon_]:[HomeWon_]], Table2[[GameIsOver]:[GameIsOver]],1,Table2[[HomeTeam]:[HomeTeam]],$T17, Table2[[AwayTeam]:[AwayTeam]], AN$11))) + (0*(SUMIFS(Table2[[HomeWon_]:[HomeWon_]], Table2[[GameIsOver]:[GameIsOver]],1,Table2[[AwayTeam]:[AwayTeam]],$T17, Table2[[HomeTeam]:[HomeTeam]], AN$11, Table2[[ActualResult]:[ActualResult]], "REG") + SUMIFS(Table2[[AwayWon]:[AwayWon]], Table2[[GameIsOver]:[GameIsOver]],1,Table2[[HomeTeam]:[HomeTeam]],$T17, Table2[[AwayTeam]:[AwayTeam]], AN$11, Table2[[ActualResult]:[ActualResult]], "REG"))) + (1*(SUMIFS(Table2[[HomeWon_]:[HomeWon_]], Table2[[GameIsOver]:[GameIsOver]],1,Table2[[AwayTeam]:[AwayTeam]],$T17, Table2[[HomeTeam]:[HomeTeam]], AN$11, Table2[[ActualResult]:[ActualResult]], "OT") + SUMIFS(Table2[[AwayWon]:[AwayWon]], Table2[[GameIsOver]:[GameIsOver]],1,Table2[[HomeTeam]:[HomeTeam]],$T17, Table2[[AwayTeam]:[AwayTeam]], AN$11, Table2[[ActualResult]:[ActualResult]], "OT") + SUMIFS(Table2[[HomeWon_]:[HomeWon_]], Table2[[GameIsOver]:[GameIsOver]],1,Table2[[AwayTeam]:[AwayTeam]],$T17, Table2[[HomeTeam]:[HomeTeam]], AN$11, Table2[[ActualResult]:[ActualResult]], "SO") + SUMIFS(Table2[[AwayWon]:[AwayWon]], Table2[[GameIsOver]:[GameIsOver]],1,Table2[[HomeTeam]:[HomeTeam]],$T17, Table2[[AwayTeam]:[AwayTeam]], AN$11, Table2[[ActualResult]:[ActualResult]], "SO")))</f>
        <v>0</v>
      </c>
      <c r="AO17">
        <f>(2*(SUMIFS(Table2[[AwayWon]:[AwayWon]], Table2[[GameIsOver]:[GameIsOver]],1,Table2[[AwayTeam]:[AwayTeam]],$T17, Table2[[HomeTeam]:[HomeTeam]], AO$11) + SUMIFS(Table2[[HomeWon_]:[HomeWon_]], Table2[[GameIsOver]:[GameIsOver]],1,Table2[[HomeTeam]:[HomeTeam]],$T17, Table2[[AwayTeam]:[AwayTeam]], AO$11))) + (0*(SUMIFS(Table2[[HomeWon_]:[HomeWon_]], Table2[[GameIsOver]:[GameIsOver]],1,Table2[[AwayTeam]:[AwayTeam]],$T17, Table2[[HomeTeam]:[HomeTeam]], AO$11, Table2[[ActualResult]:[ActualResult]], "REG") + SUMIFS(Table2[[AwayWon]:[AwayWon]], Table2[[GameIsOver]:[GameIsOver]],1,Table2[[HomeTeam]:[HomeTeam]],$T17, Table2[[AwayTeam]:[AwayTeam]], AO$11, Table2[[ActualResult]:[ActualResult]], "REG"))) + (1*(SUMIFS(Table2[[HomeWon_]:[HomeWon_]], Table2[[GameIsOver]:[GameIsOver]],1,Table2[[AwayTeam]:[AwayTeam]],$T17, Table2[[HomeTeam]:[HomeTeam]], AO$11, Table2[[ActualResult]:[ActualResult]], "OT") + SUMIFS(Table2[[AwayWon]:[AwayWon]], Table2[[GameIsOver]:[GameIsOver]],1,Table2[[HomeTeam]:[HomeTeam]],$T17, Table2[[AwayTeam]:[AwayTeam]], AO$11, Table2[[ActualResult]:[ActualResult]], "OT") + SUMIFS(Table2[[HomeWon_]:[HomeWon_]], Table2[[GameIsOver]:[GameIsOver]],1,Table2[[AwayTeam]:[AwayTeam]],$T17, Table2[[HomeTeam]:[HomeTeam]], AO$11, Table2[[ActualResult]:[ActualResult]], "SO") + SUMIFS(Table2[[AwayWon]:[AwayWon]], Table2[[GameIsOver]:[GameIsOver]],1,Table2[[HomeTeam]:[HomeTeam]],$T17, Table2[[AwayTeam]:[AwayTeam]], AO$11, Table2[[ActualResult]:[ActualResult]], "SO")))</f>
        <v>0</v>
      </c>
      <c r="AP17">
        <f>(2*(SUMIFS(Table2[[AwayWon]:[AwayWon]], Table2[[GameIsOver]:[GameIsOver]],1,Table2[[AwayTeam]:[AwayTeam]],$T17, Table2[[HomeTeam]:[HomeTeam]], AP$11) + SUMIFS(Table2[[HomeWon_]:[HomeWon_]], Table2[[GameIsOver]:[GameIsOver]],1,Table2[[HomeTeam]:[HomeTeam]],$T17, Table2[[AwayTeam]:[AwayTeam]], AP$11))) + (0*(SUMIFS(Table2[[HomeWon_]:[HomeWon_]], Table2[[GameIsOver]:[GameIsOver]],1,Table2[[AwayTeam]:[AwayTeam]],$T17, Table2[[HomeTeam]:[HomeTeam]], AP$11, Table2[[ActualResult]:[ActualResult]], "REG") + SUMIFS(Table2[[AwayWon]:[AwayWon]], Table2[[GameIsOver]:[GameIsOver]],1,Table2[[HomeTeam]:[HomeTeam]],$T17, Table2[[AwayTeam]:[AwayTeam]], AP$11, Table2[[ActualResult]:[ActualResult]], "REG"))) + (1*(SUMIFS(Table2[[HomeWon_]:[HomeWon_]], Table2[[GameIsOver]:[GameIsOver]],1,Table2[[AwayTeam]:[AwayTeam]],$T17, Table2[[HomeTeam]:[HomeTeam]], AP$11, Table2[[ActualResult]:[ActualResult]], "OT") + SUMIFS(Table2[[AwayWon]:[AwayWon]], Table2[[GameIsOver]:[GameIsOver]],1,Table2[[HomeTeam]:[HomeTeam]],$T17, Table2[[AwayTeam]:[AwayTeam]], AP$11, Table2[[ActualResult]:[ActualResult]], "OT") + SUMIFS(Table2[[HomeWon_]:[HomeWon_]], Table2[[GameIsOver]:[GameIsOver]],1,Table2[[AwayTeam]:[AwayTeam]],$T17, Table2[[HomeTeam]:[HomeTeam]], AP$11, Table2[[ActualResult]:[ActualResult]], "SO") + SUMIFS(Table2[[AwayWon]:[AwayWon]], Table2[[GameIsOver]:[GameIsOver]],1,Table2[[HomeTeam]:[HomeTeam]],$T17, Table2[[AwayTeam]:[AwayTeam]], AP$11, Table2[[ActualResult]:[ActualResult]], "SO")))</f>
        <v>0</v>
      </c>
      <c r="AQ17">
        <f>(2*(SUMIFS(Table2[[AwayWon]:[AwayWon]], Table2[[GameIsOver]:[GameIsOver]],1,Table2[[AwayTeam]:[AwayTeam]],$T17, Table2[[HomeTeam]:[HomeTeam]], AQ$11) + SUMIFS(Table2[[HomeWon_]:[HomeWon_]], Table2[[GameIsOver]:[GameIsOver]],1,Table2[[HomeTeam]:[HomeTeam]],$T17, Table2[[AwayTeam]:[AwayTeam]], AQ$11))) + (0*(SUMIFS(Table2[[HomeWon_]:[HomeWon_]], Table2[[GameIsOver]:[GameIsOver]],1,Table2[[AwayTeam]:[AwayTeam]],$T17, Table2[[HomeTeam]:[HomeTeam]], AQ$11, Table2[[ActualResult]:[ActualResult]], "REG") + SUMIFS(Table2[[AwayWon]:[AwayWon]], Table2[[GameIsOver]:[GameIsOver]],1,Table2[[HomeTeam]:[HomeTeam]],$T17, Table2[[AwayTeam]:[AwayTeam]], AQ$11, Table2[[ActualResult]:[ActualResult]], "REG"))) + (1*(SUMIFS(Table2[[HomeWon_]:[HomeWon_]], Table2[[GameIsOver]:[GameIsOver]],1,Table2[[AwayTeam]:[AwayTeam]],$T17, Table2[[HomeTeam]:[HomeTeam]], AQ$11, Table2[[ActualResult]:[ActualResult]], "OT") + SUMIFS(Table2[[AwayWon]:[AwayWon]], Table2[[GameIsOver]:[GameIsOver]],1,Table2[[HomeTeam]:[HomeTeam]],$T17, Table2[[AwayTeam]:[AwayTeam]], AQ$11, Table2[[ActualResult]:[ActualResult]], "OT") + SUMIFS(Table2[[HomeWon_]:[HomeWon_]], Table2[[GameIsOver]:[GameIsOver]],1,Table2[[AwayTeam]:[AwayTeam]],$T17, Table2[[HomeTeam]:[HomeTeam]], AQ$11, Table2[[ActualResult]:[ActualResult]], "SO") + SUMIFS(Table2[[AwayWon]:[AwayWon]], Table2[[GameIsOver]:[GameIsOver]],1,Table2[[HomeTeam]:[HomeTeam]],$T17, Table2[[AwayTeam]:[AwayTeam]], AQ$11, Table2[[ActualResult]:[ActualResult]], "SO")))</f>
        <v>0</v>
      </c>
      <c r="AR17">
        <f>(2*(SUMIFS(Table2[[AwayWon]:[AwayWon]], Table2[[GameIsOver]:[GameIsOver]],1,Table2[[AwayTeam]:[AwayTeam]],$T17, Table2[[HomeTeam]:[HomeTeam]], AR$11) + SUMIFS(Table2[[HomeWon_]:[HomeWon_]], Table2[[GameIsOver]:[GameIsOver]],1,Table2[[HomeTeam]:[HomeTeam]],$T17, Table2[[AwayTeam]:[AwayTeam]], AR$11))) + (0*(SUMIFS(Table2[[HomeWon_]:[HomeWon_]], Table2[[GameIsOver]:[GameIsOver]],1,Table2[[AwayTeam]:[AwayTeam]],$T17, Table2[[HomeTeam]:[HomeTeam]], AR$11, Table2[[ActualResult]:[ActualResult]], "REG") + SUMIFS(Table2[[AwayWon]:[AwayWon]], Table2[[GameIsOver]:[GameIsOver]],1,Table2[[HomeTeam]:[HomeTeam]],$T17, Table2[[AwayTeam]:[AwayTeam]], AR$11, Table2[[ActualResult]:[ActualResult]], "REG"))) + (1*(SUMIFS(Table2[[HomeWon_]:[HomeWon_]], Table2[[GameIsOver]:[GameIsOver]],1,Table2[[AwayTeam]:[AwayTeam]],$T17, Table2[[HomeTeam]:[HomeTeam]], AR$11, Table2[[ActualResult]:[ActualResult]], "OT") + SUMIFS(Table2[[AwayWon]:[AwayWon]], Table2[[GameIsOver]:[GameIsOver]],1,Table2[[HomeTeam]:[HomeTeam]],$T17, Table2[[AwayTeam]:[AwayTeam]], AR$11, Table2[[ActualResult]:[ActualResult]], "OT") + SUMIFS(Table2[[HomeWon_]:[HomeWon_]], Table2[[GameIsOver]:[GameIsOver]],1,Table2[[AwayTeam]:[AwayTeam]],$T17, Table2[[HomeTeam]:[HomeTeam]], AR$11, Table2[[ActualResult]:[ActualResult]], "SO") + SUMIFS(Table2[[AwayWon]:[AwayWon]], Table2[[GameIsOver]:[GameIsOver]],1,Table2[[HomeTeam]:[HomeTeam]],$T17, Table2[[AwayTeam]:[AwayTeam]], AR$11, Table2[[ActualResult]:[ActualResult]], "SO")))</f>
        <v>0</v>
      </c>
      <c r="AS17">
        <f>(2*(SUMIFS(Table2[[AwayWon]:[AwayWon]], Table2[[GameIsOver]:[GameIsOver]],1,Table2[[AwayTeam]:[AwayTeam]],$T17, Table2[[HomeTeam]:[HomeTeam]], AS$11) + SUMIFS(Table2[[HomeWon_]:[HomeWon_]], Table2[[GameIsOver]:[GameIsOver]],1,Table2[[HomeTeam]:[HomeTeam]],$T17, Table2[[AwayTeam]:[AwayTeam]], AS$11))) + (0*(SUMIFS(Table2[[HomeWon_]:[HomeWon_]], Table2[[GameIsOver]:[GameIsOver]],1,Table2[[AwayTeam]:[AwayTeam]],$T17, Table2[[HomeTeam]:[HomeTeam]], AS$11, Table2[[ActualResult]:[ActualResult]], "REG") + SUMIFS(Table2[[AwayWon]:[AwayWon]], Table2[[GameIsOver]:[GameIsOver]],1,Table2[[HomeTeam]:[HomeTeam]],$T17, Table2[[AwayTeam]:[AwayTeam]], AS$11, Table2[[ActualResult]:[ActualResult]], "REG"))) + (1*(SUMIFS(Table2[[HomeWon_]:[HomeWon_]], Table2[[GameIsOver]:[GameIsOver]],1,Table2[[AwayTeam]:[AwayTeam]],$T17, Table2[[HomeTeam]:[HomeTeam]], AS$11, Table2[[ActualResult]:[ActualResult]], "OT") + SUMIFS(Table2[[AwayWon]:[AwayWon]], Table2[[GameIsOver]:[GameIsOver]],1,Table2[[HomeTeam]:[HomeTeam]],$T17, Table2[[AwayTeam]:[AwayTeam]], AS$11, Table2[[ActualResult]:[ActualResult]], "OT") + SUMIFS(Table2[[HomeWon_]:[HomeWon_]], Table2[[GameIsOver]:[GameIsOver]],1,Table2[[AwayTeam]:[AwayTeam]],$T17, Table2[[HomeTeam]:[HomeTeam]], AS$11, Table2[[ActualResult]:[ActualResult]], "SO") + SUMIFS(Table2[[AwayWon]:[AwayWon]], Table2[[GameIsOver]:[GameIsOver]],1,Table2[[HomeTeam]:[HomeTeam]],$T17, Table2[[AwayTeam]:[AwayTeam]], AS$11, Table2[[ActualResult]:[ActualResult]], "SO")))</f>
        <v>0</v>
      </c>
      <c r="AT17">
        <f>(2*(SUMIFS(Table2[[AwayWon]:[AwayWon]], Table2[[GameIsOver]:[GameIsOver]],1,Table2[[AwayTeam]:[AwayTeam]],$T17, Table2[[HomeTeam]:[HomeTeam]], AT$11) + SUMIFS(Table2[[HomeWon_]:[HomeWon_]], Table2[[GameIsOver]:[GameIsOver]],1,Table2[[HomeTeam]:[HomeTeam]],$T17, Table2[[AwayTeam]:[AwayTeam]], AT$11))) + (0*(SUMIFS(Table2[[HomeWon_]:[HomeWon_]], Table2[[GameIsOver]:[GameIsOver]],1,Table2[[AwayTeam]:[AwayTeam]],$T17, Table2[[HomeTeam]:[HomeTeam]], AT$11, Table2[[ActualResult]:[ActualResult]], "REG") + SUMIFS(Table2[[AwayWon]:[AwayWon]], Table2[[GameIsOver]:[GameIsOver]],1,Table2[[HomeTeam]:[HomeTeam]],$T17, Table2[[AwayTeam]:[AwayTeam]], AT$11, Table2[[ActualResult]:[ActualResult]], "REG"))) + (1*(SUMIFS(Table2[[HomeWon_]:[HomeWon_]], Table2[[GameIsOver]:[GameIsOver]],1,Table2[[AwayTeam]:[AwayTeam]],$T17, Table2[[HomeTeam]:[HomeTeam]], AT$11, Table2[[ActualResult]:[ActualResult]], "OT") + SUMIFS(Table2[[AwayWon]:[AwayWon]], Table2[[GameIsOver]:[GameIsOver]],1,Table2[[HomeTeam]:[HomeTeam]],$T17, Table2[[AwayTeam]:[AwayTeam]], AT$11, Table2[[ActualResult]:[ActualResult]], "OT") + SUMIFS(Table2[[HomeWon_]:[HomeWon_]], Table2[[GameIsOver]:[GameIsOver]],1,Table2[[AwayTeam]:[AwayTeam]],$T17, Table2[[HomeTeam]:[HomeTeam]], AT$11, Table2[[ActualResult]:[ActualResult]], "SO") + SUMIFS(Table2[[AwayWon]:[AwayWon]], Table2[[GameIsOver]:[GameIsOver]],1,Table2[[HomeTeam]:[HomeTeam]],$T17, Table2[[AwayTeam]:[AwayTeam]], AT$11, Table2[[ActualResult]:[ActualResult]], "SO")))</f>
        <v>2</v>
      </c>
      <c r="AU17">
        <f>(2*(SUMIFS(Table2[[AwayWon]:[AwayWon]], Table2[[GameIsOver]:[GameIsOver]],1,Table2[[AwayTeam]:[AwayTeam]],$T17, Table2[[HomeTeam]:[HomeTeam]], AU$11) + SUMIFS(Table2[[HomeWon_]:[HomeWon_]], Table2[[GameIsOver]:[GameIsOver]],1,Table2[[HomeTeam]:[HomeTeam]],$T17, Table2[[AwayTeam]:[AwayTeam]], AU$11))) + (0*(SUMIFS(Table2[[HomeWon_]:[HomeWon_]], Table2[[GameIsOver]:[GameIsOver]],1,Table2[[AwayTeam]:[AwayTeam]],$T17, Table2[[HomeTeam]:[HomeTeam]], AU$11, Table2[[ActualResult]:[ActualResult]], "REG") + SUMIFS(Table2[[AwayWon]:[AwayWon]], Table2[[GameIsOver]:[GameIsOver]],1,Table2[[HomeTeam]:[HomeTeam]],$T17, Table2[[AwayTeam]:[AwayTeam]], AU$11, Table2[[ActualResult]:[ActualResult]], "REG"))) + (1*(SUMIFS(Table2[[HomeWon_]:[HomeWon_]], Table2[[GameIsOver]:[GameIsOver]],1,Table2[[AwayTeam]:[AwayTeam]],$T17, Table2[[HomeTeam]:[HomeTeam]], AU$11, Table2[[ActualResult]:[ActualResult]], "OT") + SUMIFS(Table2[[AwayWon]:[AwayWon]], Table2[[GameIsOver]:[GameIsOver]],1,Table2[[HomeTeam]:[HomeTeam]],$T17, Table2[[AwayTeam]:[AwayTeam]], AU$11, Table2[[ActualResult]:[ActualResult]], "OT") + SUMIFS(Table2[[HomeWon_]:[HomeWon_]], Table2[[GameIsOver]:[GameIsOver]],1,Table2[[AwayTeam]:[AwayTeam]],$T17, Table2[[HomeTeam]:[HomeTeam]], AU$11, Table2[[ActualResult]:[ActualResult]], "SO") + SUMIFS(Table2[[AwayWon]:[AwayWon]], Table2[[GameIsOver]:[GameIsOver]],1,Table2[[HomeTeam]:[HomeTeam]],$T17, Table2[[AwayTeam]:[AwayTeam]], AU$11, Table2[[ActualResult]:[ActualResult]], "SO")))</f>
        <v>0</v>
      </c>
      <c r="AV17">
        <f>(2*(SUMIFS(Table2[[AwayWon]:[AwayWon]], Table2[[GameIsOver]:[GameIsOver]],1,Table2[[AwayTeam]:[AwayTeam]],$T17, Table2[[HomeTeam]:[HomeTeam]], AV$11) + SUMIFS(Table2[[HomeWon_]:[HomeWon_]], Table2[[GameIsOver]:[GameIsOver]],1,Table2[[HomeTeam]:[HomeTeam]],$T17, Table2[[AwayTeam]:[AwayTeam]], AV$11))) + (0*(SUMIFS(Table2[[HomeWon_]:[HomeWon_]], Table2[[GameIsOver]:[GameIsOver]],1,Table2[[AwayTeam]:[AwayTeam]],$T17, Table2[[HomeTeam]:[HomeTeam]], AV$11, Table2[[ActualResult]:[ActualResult]], "REG") + SUMIFS(Table2[[AwayWon]:[AwayWon]], Table2[[GameIsOver]:[GameIsOver]],1,Table2[[HomeTeam]:[HomeTeam]],$T17, Table2[[AwayTeam]:[AwayTeam]], AV$11, Table2[[ActualResult]:[ActualResult]], "REG"))) + (1*(SUMIFS(Table2[[HomeWon_]:[HomeWon_]], Table2[[GameIsOver]:[GameIsOver]],1,Table2[[AwayTeam]:[AwayTeam]],$T17, Table2[[HomeTeam]:[HomeTeam]], AV$11, Table2[[ActualResult]:[ActualResult]], "OT") + SUMIFS(Table2[[AwayWon]:[AwayWon]], Table2[[GameIsOver]:[GameIsOver]],1,Table2[[HomeTeam]:[HomeTeam]],$T17, Table2[[AwayTeam]:[AwayTeam]], AV$11, Table2[[ActualResult]:[ActualResult]], "OT") + SUMIFS(Table2[[HomeWon_]:[HomeWon_]], Table2[[GameIsOver]:[GameIsOver]],1,Table2[[AwayTeam]:[AwayTeam]],$T17, Table2[[HomeTeam]:[HomeTeam]], AV$11, Table2[[ActualResult]:[ActualResult]], "SO") + SUMIFS(Table2[[AwayWon]:[AwayWon]], Table2[[GameIsOver]:[GameIsOver]],1,Table2[[HomeTeam]:[HomeTeam]],$T17, Table2[[AwayTeam]:[AwayTeam]], AV$11, Table2[[ActualResult]:[ActualResult]], "SO")))</f>
        <v>0</v>
      </c>
      <c r="AW17">
        <f>(2*(SUMIFS(Table2[[AwayWon]:[AwayWon]], Table2[[GameIsOver]:[GameIsOver]],1,Table2[[AwayTeam]:[AwayTeam]],$T17, Table2[[HomeTeam]:[HomeTeam]], AW$11) + SUMIFS(Table2[[HomeWon_]:[HomeWon_]], Table2[[GameIsOver]:[GameIsOver]],1,Table2[[HomeTeam]:[HomeTeam]],$T17, Table2[[AwayTeam]:[AwayTeam]], AW$11))) + (0*(SUMIFS(Table2[[HomeWon_]:[HomeWon_]], Table2[[GameIsOver]:[GameIsOver]],1,Table2[[AwayTeam]:[AwayTeam]],$T17, Table2[[HomeTeam]:[HomeTeam]], AW$11, Table2[[ActualResult]:[ActualResult]], "REG") + SUMIFS(Table2[[AwayWon]:[AwayWon]], Table2[[GameIsOver]:[GameIsOver]],1,Table2[[HomeTeam]:[HomeTeam]],$T17, Table2[[AwayTeam]:[AwayTeam]], AW$11, Table2[[ActualResult]:[ActualResult]], "REG"))) + (1*(SUMIFS(Table2[[HomeWon_]:[HomeWon_]], Table2[[GameIsOver]:[GameIsOver]],1,Table2[[AwayTeam]:[AwayTeam]],$T17, Table2[[HomeTeam]:[HomeTeam]], AW$11, Table2[[ActualResult]:[ActualResult]], "OT") + SUMIFS(Table2[[AwayWon]:[AwayWon]], Table2[[GameIsOver]:[GameIsOver]],1,Table2[[HomeTeam]:[HomeTeam]],$T17, Table2[[AwayTeam]:[AwayTeam]], AW$11, Table2[[ActualResult]:[ActualResult]], "OT") + SUMIFS(Table2[[HomeWon_]:[HomeWon_]], Table2[[GameIsOver]:[GameIsOver]],1,Table2[[AwayTeam]:[AwayTeam]],$T17, Table2[[HomeTeam]:[HomeTeam]], AW$11, Table2[[ActualResult]:[ActualResult]], "SO") + SUMIFS(Table2[[AwayWon]:[AwayWon]], Table2[[GameIsOver]:[GameIsOver]],1,Table2[[HomeTeam]:[HomeTeam]],$T17, Table2[[AwayTeam]:[AwayTeam]], AW$11, Table2[[ActualResult]:[ActualResult]], "SO")))</f>
        <v>0</v>
      </c>
      <c r="AX17">
        <f>(2*(SUMIFS(Table2[[AwayWon]:[AwayWon]], Table2[[GameIsOver]:[GameIsOver]],1,Table2[[AwayTeam]:[AwayTeam]],$T17, Table2[[HomeTeam]:[HomeTeam]], AX$11) + SUMIFS(Table2[[HomeWon_]:[HomeWon_]], Table2[[GameIsOver]:[GameIsOver]],1,Table2[[HomeTeam]:[HomeTeam]],$T17, Table2[[AwayTeam]:[AwayTeam]], AX$11))) + (0*(SUMIFS(Table2[[HomeWon_]:[HomeWon_]], Table2[[GameIsOver]:[GameIsOver]],1,Table2[[AwayTeam]:[AwayTeam]],$T17, Table2[[HomeTeam]:[HomeTeam]], AX$11, Table2[[ActualResult]:[ActualResult]], "REG") + SUMIFS(Table2[[AwayWon]:[AwayWon]], Table2[[GameIsOver]:[GameIsOver]],1,Table2[[HomeTeam]:[HomeTeam]],$T17, Table2[[AwayTeam]:[AwayTeam]], AX$11, Table2[[ActualResult]:[ActualResult]], "REG"))) + (1*(SUMIFS(Table2[[HomeWon_]:[HomeWon_]], Table2[[GameIsOver]:[GameIsOver]],1,Table2[[AwayTeam]:[AwayTeam]],$T17, Table2[[HomeTeam]:[HomeTeam]], AX$11, Table2[[ActualResult]:[ActualResult]], "OT") + SUMIFS(Table2[[AwayWon]:[AwayWon]], Table2[[GameIsOver]:[GameIsOver]],1,Table2[[HomeTeam]:[HomeTeam]],$T17, Table2[[AwayTeam]:[AwayTeam]], AX$11, Table2[[ActualResult]:[ActualResult]], "OT") + SUMIFS(Table2[[HomeWon_]:[HomeWon_]], Table2[[GameIsOver]:[GameIsOver]],1,Table2[[AwayTeam]:[AwayTeam]],$T17, Table2[[HomeTeam]:[HomeTeam]], AX$11, Table2[[ActualResult]:[ActualResult]], "SO") + SUMIFS(Table2[[AwayWon]:[AwayWon]], Table2[[GameIsOver]:[GameIsOver]],1,Table2[[HomeTeam]:[HomeTeam]],$T17, Table2[[AwayTeam]:[AwayTeam]], AX$11, Table2[[ActualResult]:[ActualResult]], "SO")))</f>
        <v>0</v>
      </c>
      <c r="AY17">
        <f>(2*(SUMIFS(Table2[[AwayWon]:[AwayWon]], Table2[[GameIsOver]:[GameIsOver]],1,Table2[[AwayTeam]:[AwayTeam]],$T17, Table2[[HomeTeam]:[HomeTeam]], AY$11) + SUMIFS(Table2[[HomeWon_]:[HomeWon_]], Table2[[GameIsOver]:[GameIsOver]],1,Table2[[HomeTeam]:[HomeTeam]],$T17, Table2[[AwayTeam]:[AwayTeam]], AY$11))) + (0*(SUMIFS(Table2[[HomeWon_]:[HomeWon_]], Table2[[GameIsOver]:[GameIsOver]],1,Table2[[AwayTeam]:[AwayTeam]],$T17, Table2[[HomeTeam]:[HomeTeam]], AY$11, Table2[[ActualResult]:[ActualResult]], "REG") + SUMIFS(Table2[[AwayWon]:[AwayWon]], Table2[[GameIsOver]:[GameIsOver]],1,Table2[[HomeTeam]:[HomeTeam]],$T17, Table2[[AwayTeam]:[AwayTeam]], AY$11, Table2[[ActualResult]:[ActualResult]], "REG"))) + (1*(SUMIFS(Table2[[HomeWon_]:[HomeWon_]], Table2[[GameIsOver]:[GameIsOver]],1,Table2[[AwayTeam]:[AwayTeam]],$T17, Table2[[HomeTeam]:[HomeTeam]], AY$11, Table2[[ActualResult]:[ActualResult]], "OT") + SUMIFS(Table2[[AwayWon]:[AwayWon]], Table2[[GameIsOver]:[GameIsOver]],1,Table2[[HomeTeam]:[HomeTeam]],$T17, Table2[[AwayTeam]:[AwayTeam]], AY$11, Table2[[ActualResult]:[ActualResult]], "OT") + SUMIFS(Table2[[HomeWon_]:[HomeWon_]], Table2[[GameIsOver]:[GameIsOver]],1,Table2[[AwayTeam]:[AwayTeam]],$T17, Table2[[HomeTeam]:[HomeTeam]], AY$11, Table2[[ActualResult]:[ActualResult]], "SO") + SUMIFS(Table2[[AwayWon]:[AwayWon]], Table2[[GameIsOver]:[GameIsOver]],1,Table2[[HomeTeam]:[HomeTeam]],$T17, Table2[[AwayTeam]:[AwayTeam]], AY$11, Table2[[ActualResult]:[ActualResult]], "SO")))</f>
        <v>0</v>
      </c>
      <c r="AZ17">
        <f>(2*(SUMIFS(Table2[[AwayWon]:[AwayWon]], Table2[[GameIsOver]:[GameIsOver]],1,Table2[[AwayTeam]:[AwayTeam]],$T17, Table2[[HomeTeam]:[HomeTeam]], AZ$11) + SUMIFS(Table2[[HomeWon_]:[HomeWon_]], Table2[[GameIsOver]:[GameIsOver]],1,Table2[[HomeTeam]:[HomeTeam]],$T17, Table2[[AwayTeam]:[AwayTeam]], AZ$11))) + (0*(SUMIFS(Table2[[HomeWon_]:[HomeWon_]], Table2[[GameIsOver]:[GameIsOver]],1,Table2[[AwayTeam]:[AwayTeam]],$T17, Table2[[HomeTeam]:[HomeTeam]], AZ$11, Table2[[ActualResult]:[ActualResult]], "REG") + SUMIFS(Table2[[AwayWon]:[AwayWon]], Table2[[GameIsOver]:[GameIsOver]],1,Table2[[HomeTeam]:[HomeTeam]],$T17, Table2[[AwayTeam]:[AwayTeam]], AZ$11, Table2[[ActualResult]:[ActualResult]], "REG"))) + (1*(SUMIFS(Table2[[HomeWon_]:[HomeWon_]], Table2[[GameIsOver]:[GameIsOver]],1,Table2[[AwayTeam]:[AwayTeam]],$T17, Table2[[HomeTeam]:[HomeTeam]], AZ$11, Table2[[ActualResult]:[ActualResult]], "OT") + SUMIFS(Table2[[AwayWon]:[AwayWon]], Table2[[GameIsOver]:[GameIsOver]],1,Table2[[HomeTeam]:[HomeTeam]],$T17, Table2[[AwayTeam]:[AwayTeam]], AZ$11, Table2[[ActualResult]:[ActualResult]], "OT") + SUMIFS(Table2[[HomeWon_]:[HomeWon_]], Table2[[GameIsOver]:[GameIsOver]],1,Table2[[AwayTeam]:[AwayTeam]],$T17, Table2[[HomeTeam]:[HomeTeam]], AZ$11, Table2[[ActualResult]:[ActualResult]], "SO") + SUMIFS(Table2[[AwayWon]:[AwayWon]], Table2[[GameIsOver]:[GameIsOver]],1,Table2[[HomeTeam]:[HomeTeam]],$T17, Table2[[AwayTeam]:[AwayTeam]], AZ$11, Table2[[ActualResult]:[ActualResult]], "SO")))</f>
        <v>0</v>
      </c>
      <c r="BA17">
        <f>(2*(SUMIFS(Table2[[AwayWon]:[AwayWon]], Table2[[GameIsOver]:[GameIsOver]],1,Table2[[AwayTeam]:[AwayTeam]],$T17, Table2[[HomeTeam]:[HomeTeam]], BA$11) + SUMIFS(Table2[[HomeWon_]:[HomeWon_]], Table2[[GameIsOver]:[GameIsOver]],1,Table2[[HomeTeam]:[HomeTeam]],$T17, Table2[[AwayTeam]:[AwayTeam]], BA$11))) + (0*(SUMIFS(Table2[[HomeWon_]:[HomeWon_]], Table2[[GameIsOver]:[GameIsOver]],1,Table2[[AwayTeam]:[AwayTeam]],$T17, Table2[[HomeTeam]:[HomeTeam]], BA$11, Table2[[ActualResult]:[ActualResult]], "REG") + SUMIFS(Table2[[AwayWon]:[AwayWon]], Table2[[GameIsOver]:[GameIsOver]],1,Table2[[HomeTeam]:[HomeTeam]],$T17, Table2[[AwayTeam]:[AwayTeam]], BA$11, Table2[[ActualResult]:[ActualResult]], "REG"))) + (1*(SUMIFS(Table2[[HomeWon_]:[HomeWon_]], Table2[[GameIsOver]:[GameIsOver]],1,Table2[[AwayTeam]:[AwayTeam]],$T17, Table2[[HomeTeam]:[HomeTeam]], BA$11, Table2[[ActualResult]:[ActualResult]], "OT") + SUMIFS(Table2[[AwayWon]:[AwayWon]], Table2[[GameIsOver]:[GameIsOver]],1,Table2[[HomeTeam]:[HomeTeam]],$T17, Table2[[AwayTeam]:[AwayTeam]], BA$11, Table2[[ActualResult]:[ActualResult]], "OT") + SUMIFS(Table2[[HomeWon_]:[HomeWon_]], Table2[[GameIsOver]:[GameIsOver]],1,Table2[[AwayTeam]:[AwayTeam]],$T17, Table2[[HomeTeam]:[HomeTeam]], BA$11, Table2[[ActualResult]:[ActualResult]], "SO") + SUMIFS(Table2[[AwayWon]:[AwayWon]], Table2[[GameIsOver]:[GameIsOver]],1,Table2[[HomeTeam]:[HomeTeam]],$T17, Table2[[AwayTeam]:[AwayTeam]], BA$11, Table2[[ActualResult]:[ActualResult]], "SO")))</f>
        <v>0</v>
      </c>
    </row>
    <row r="18" spans="1:53" x14ac:dyDescent="0.25">
      <c r="A18" s="61" t="s">
        <v>34</v>
      </c>
      <c r="B18" s="61" t="s">
        <v>90</v>
      </c>
      <c r="C18" s="61" t="s">
        <v>88</v>
      </c>
      <c r="D18" s="62">
        <f>INDEX(Table3[PTS], MATCH(Table6[[#This Row],[Teams]], Table3[Teams],0))</f>
        <v>6</v>
      </c>
      <c r="E18" s="62">
        <f>INDEX(Table3[PTS], MATCH(Table6[[#This Row],[Teams]], Table3[Teams],0))</f>
        <v>6</v>
      </c>
      <c r="S18">
        <v>5</v>
      </c>
      <c r="T18" t="str" cm="1">
        <f t="array" ref="T18">INDEX(Table6[Teams], SMALL(IF(Table6[D]="C", ROW(Table6[Teams])-ROW(Table6[#Headers])), Table710[[#This Row],[CEN]]))</f>
        <v>NSH</v>
      </c>
      <c r="U18">
        <f>INDEX(Table6[PTS], MATCH($T18, Table6[Teams], 0))</f>
        <v>6</v>
      </c>
      <c r="V18">
        <f>(2*(SUMIFS(Table2[[AwayWon]:[AwayWon]], Table2[[GameIsOver]:[GameIsOver]],1,Table2[[AwayTeam]:[AwayTeam]],$T18, Table2[[HomeTeam]:[HomeTeam]], V$11) + SUMIFS(Table2[[HomeWon_]:[HomeWon_]], Table2[[GameIsOver]:[GameIsOver]],1,Table2[[HomeTeam]:[HomeTeam]],$T18, Table2[[AwayTeam]:[AwayTeam]], V$11))) + (0*(SUMIFS(Table2[[HomeWon_]:[HomeWon_]], Table2[[GameIsOver]:[GameIsOver]],1,Table2[[AwayTeam]:[AwayTeam]],$T18, Table2[[HomeTeam]:[HomeTeam]], V$11, Table2[[ActualResult]:[ActualResult]], "REG") + SUMIFS(Table2[[AwayWon]:[AwayWon]], Table2[[GameIsOver]:[GameIsOver]],1,Table2[[HomeTeam]:[HomeTeam]],$T18, Table2[[AwayTeam]:[AwayTeam]], V$11, Table2[[ActualResult]:[ActualResult]], "REG"))) + (1*(SUMIFS(Table2[[HomeWon_]:[HomeWon_]], Table2[[GameIsOver]:[GameIsOver]],1,Table2[[AwayTeam]:[AwayTeam]],$T18, Table2[[HomeTeam]:[HomeTeam]], V$11, Table2[[ActualResult]:[ActualResult]], "OT") + SUMIFS(Table2[[AwayWon]:[AwayWon]], Table2[[GameIsOver]:[GameIsOver]],1,Table2[[HomeTeam]:[HomeTeam]],$T18, Table2[[AwayTeam]:[AwayTeam]], V$11, Table2[[ActualResult]:[ActualResult]], "OT") + SUMIFS(Table2[[HomeWon_]:[HomeWon_]], Table2[[GameIsOver]:[GameIsOver]],1,Table2[[AwayTeam]:[AwayTeam]],$T18, Table2[[HomeTeam]:[HomeTeam]], V$11, Table2[[ActualResult]:[ActualResult]], "SO") + SUMIFS(Table2[[AwayWon]:[AwayWon]], Table2[[GameIsOver]:[GameIsOver]],1,Table2[[HomeTeam]:[HomeTeam]],$T18, Table2[[AwayTeam]:[AwayTeam]], V$11, Table2[[ActualResult]:[ActualResult]], "SO")))</f>
        <v>0</v>
      </c>
      <c r="W18">
        <f>(2*(SUMIFS(Table2[[AwayWon]:[AwayWon]], Table2[[GameIsOver]:[GameIsOver]],1,Table2[[AwayTeam]:[AwayTeam]],$T18, Table2[[HomeTeam]:[HomeTeam]], W$11) + SUMIFS(Table2[[HomeWon_]:[HomeWon_]], Table2[[GameIsOver]:[GameIsOver]],1,Table2[[HomeTeam]:[HomeTeam]],$T18, Table2[[AwayTeam]:[AwayTeam]], W$11))) + (0*(SUMIFS(Table2[[HomeWon_]:[HomeWon_]], Table2[[GameIsOver]:[GameIsOver]],1,Table2[[AwayTeam]:[AwayTeam]],$T18, Table2[[HomeTeam]:[HomeTeam]], W$11, Table2[[ActualResult]:[ActualResult]], "REG") + SUMIFS(Table2[[AwayWon]:[AwayWon]], Table2[[GameIsOver]:[GameIsOver]],1,Table2[[HomeTeam]:[HomeTeam]],$T18, Table2[[AwayTeam]:[AwayTeam]], W$11, Table2[[ActualResult]:[ActualResult]], "REG"))) + (1*(SUMIFS(Table2[[HomeWon_]:[HomeWon_]], Table2[[GameIsOver]:[GameIsOver]],1,Table2[[AwayTeam]:[AwayTeam]],$T18, Table2[[HomeTeam]:[HomeTeam]], W$11, Table2[[ActualResult]:[ActualResult]], "OT") + SUMIFS(Table2[[AwayWon]:[AwayWon]], Table2[[GameIsOver]:[GameIsOver]],1,Table2[[HomeTeam]:[HomeTeam]],$T18, Table2[[AwayTeam]:[AwayTeam]], W$11, Table2[[ActualResult]:[ActualResult]], "OT") + SUMIFS(Table2[[HomeWon_]:[HomeWon_]], Table2[[GameIsOver]:[GameIsOver]],1,Table2[[AwayTeam]:[AwayTeam]],$T18, Table2[[HomeTeam]:[HomeTeam]], W$11, Table2[[ActualResult]:[ActualResult]], "SO") + SUMIFS(Table2[[AwayWon]:[AwayWon]], Table2[[GameIsOver]:[GameIsOver]],1,Table2[[HomeTeam]:[HomeTeam]],$T18, Table2[[AwayTeam]:[AwayTeam]], W$11, Table2[[ActualResult]:[ActualResult]], "SO")))</f>
        <v>0</v>
      </c>
      <c r="X18">
        <f>(2*(SUMIFS(Table2[[AwayWon]:[AwayWon]], Table2[[GameIsOver]:[GameIsOver]],1,Table2[[AwayTeam]:[AwayTeam]],$T18, Table2[[HomeTeam]:[HomeTeam]], X$11) + SUMIFS(Table2[[HomeWon_]:[HomeWon_]], Table2[[GameIsOver]:[GameIsOver]],1,Table2[[HomeTeam]:[HomeTeam]],$T18, Table2[[AwayTeam]:[AwayTeam]], X$11))) + (0*(SUMIFS(Table2[[HomeWon_]:[HomeWon_]], Table2[[GameIsOver]:[GameIsOver]],1,Table2[[AwayTeam]:[AwayTeam]],$T18, Table2[[HomeTeam]:[HomeTeam]], X$11, Table2[[ActualResult]:[ActualResult]], "REG") + SUMIFS(Table2[[AwayWon]:[AwayWon]], Table2[[GameIsOver]:[GameIsOver]],1,Table2[[HomeTeam]:[HomeTeam]],$T18, Table2[[AwayTeam]:[AwayTeam]], X$11, Table2[[ActualResult]:[ActualResult]], "REG"))) + (1*(SUMIFS(Table2[[HomeWon_]:[HomeWon_]], Table2[[GameIsOver]:[GameIsOver]],1,Table2[[AwayTeam]:[AwayTeam]],$T18, Table2[[HomeTeam]:[HomeTeam]], X$11, Table2[[ActualResult]:[ActualResult]], "OT") + SUMIFS(Table2[[AwayWon]:[AwayWon]], Table2[[GameIsOver]:[GameIsOver]],1,Table2[[HomeTeam]:[HomeTeam]],$T18, Table2[[AwayTeam]:[AwayTeam]], X$11, Table2[[ActualResult]:[ActualResult]], "OT") + SUMIFS(Table2[[HomeWon_]:[HomeWon_]], Table2[[GameIsOver]:[GameIsOver]],1,Table2[[AwayTeam]:[AwayTeam]],$T18, Table2[[HomeTeam]:[HomeTeam]], X$11, Table2[[ActualResult]:[ActualResult]], "SO") + SUMIFS(Table2[[AwayWon]:[AwayWon]], Table2[[GameIsOver]:[GameIsOver]],1,Table2[[HomeTeam]:[HomeTeam]],$T18, Table2[[AwayTeam]:[AwayTeam]], X$11, Table2[[ActualResult]:[ActualResult]], "SO")))</f>
        <v>0</v>
      </c>
      <c r="Y18">
        <f>(2*(SUMIFS(Table2[[AwayWon]:[AwayWon]], Table2[[GameIsOver]:[GameIsOver]],1,Table2[[AwayTeam]:[AwayTeam]],$T18, Table2[[HomeTeam]:[HomeTeam]], Y$11) + SUMIFS(Table2[[HomeWon_]:[HomeWon_]], Table2[[GameIsOver]:[GameIsOver]],1,Table2[[HomeTeam]:[HomeTeam]],$T18, Table2[[AwayTeam]:[AwayTeam]], Y$11))) + (0*(SUMIFS(Table2[[HomeWon_]:[HomeWon_]], Table2[[GameIsOver]:[GameIsOver]],1,Table2[[AwayTeam]:[AwayTeam]],$T18, Table2[[HomeTeam]:[HomeTeam]], Y$11, Table2[[ActualResult]:[ActualResult]], "REG") + SUMIFS(Table2[[AwayWon]:[AwayWon]], Table2[[GameIsOver]:[GameIsOver]],1,Table2[[HomeTeam]:[HomeTeam]],$T18, Table2[[AwayTeam]:[AwayTeam]], Y$11, Table2[[ActualResult]:[ActualResult]], "REG"))) + (1*(SUMIFS(Table2[[HomeWon_]:[HomeWon_]], Table2[[GameIsOver]:[GameIsOver]],1,Table2[[AwayTeam]:[AwayTeam]],$T18, Table2[[HomeTeam]:[HomeTeam]], Y$11, Table2[[ActualResult]:[ActualResult]], "OT") + SUMIFS(Table2[[AwayWon]:[AwayWon]], Table2[[GameIsOver]:[GameIsOver]],1,Table2[[HomeTeam]:[HomeTeam]],$T18, Table2[[AwayTeam]:[AwayTeam]], Y$11, Table2[[ActualResult]:[ActualResult]], "OT") + SUMIFS(Table2[[HomeWon_]:[HomeWon_]], Table2[[GameIsOver]:[GameIsOver]],1,Table2[[AwayTeam]:[AwayTeam]],$T18, Table2[[HomeTeam]:[HomeTeam]], Y$11, Table2[[ActualResult]:[ActualResult]], "SO") + SUMIFS(Table2[[AwayWon]:[AwayWon]], Table2[[GameIsOver]:[GameIsOver]],1,Table2[[HomeTeam]:[HomeTeam]],$T18, Table2[[AwayTeam]:[AwayTeam]], Y$11, Table2[[ActualResult]:[ActualResult]], "SO")))</f>
        <v>0</v>
      </c>
      <c r="Z18">
        <f>(2*(SUMIFS(Table2[[AwayWon]:[AwayWon]], Table2[[GameIsOver]:[GameIsOver]],1,Table2[[AwayTeam]:[AwayTeam]],$T18, Table2[[HomeTeam]:[HomeTeam]], Z$11) + SUMIFS(Table2[[HomeWon_]:[HomeWon_]], Table2[[GameIsOver]:[GameIsOver]],1,Table2[[HomeTeam]:[HomeTeam]],$T18, Table2[[AwayTeam]:[AwayTeam]], Z$11))) + (0*(SUMIFS(Table2[[HomeWon_]:[HomeWon_]], Table2[[GameIsOver]:[GameIsOver]],1,Table2[[AwayTeam]:[AwayTeam]],$T18, Table2[[HomeTeam]:[HomeTeam]], Z$11, Table2[[ActualResult]:[ActualResult]], "REG") + SUMIFS(Table2[[AwayWon]:[AwayWon]], Table2[[GameIsOver]:[GameIsOver]],1,Table2[[HomeTeam]:[HomeTeam]],$T18, Table2[[AwayTeam]:[AwayTeam]], Z$11, Table2[[ActualResult]:[ActualResult]], "REG"))) + (1*(SUMIFS(Table2[[HomeWon_]:[HomeWon_]], Table2[[GameIsOver]:[GameIsOver]],1,Table2[[AwayTeam]:[AwayTeam]],$T18, Table2[[HomeTeam]:[HomeTeam]], Z$11, Table2[[ActualResult]:[ActualResult]], "OT") + SUMIFS(Table2[[AwayWon]:[AwayWon]], Table2[[GameIsOver]:[GameIsOver]],1,Table2[[HomeTeam]:[HomeTeam]],$T18, Table2[[AwayTeam]:[AwayTeam]], Z$11, Table2[[ActualResult]:[ActualResult]], "OT") + SUMIFS(Table2[[HomeWon_]:[HomeWon_]], Table2[[GameIsOver]:[GameIsOver]],1,Table2[[AwayTeam]:[AwayTeam]],$T18, Table2[[HomeTeam]:[HomeTeam]], Z$11, Table2[[ActualResult]:[ActualResult]], "SO") + SUMIFS(Table2[[AwayWon]:[AwayWon]], Table2[[GameIsOver]:[GameIsOver]],1,Table2[[HomeTeam]:[HomeTeam]],$T18, Table2[[AwayTeam]:[AwayTeam]], Z$11, Table2[[ActualResult]:[ActualResult]], "SO")))</f>
        <v>0</v>
      </c>
      <c r="AA18">
        <f>(2*(SUMIFS(Table2[[AwayWon]:[AwayWon]], Table2[[GameIsOver]:[GameIsOver]],1,Table2[[AwayTeam]:[AwayTeam]],$T18, Table2[[HomeTeam]:[HomeTeam]], AA$11) + SUMIFS(Table2[[HomeWon_]:[HomeWon_]], Table2[[GameIsOver]:[GameIsOver]],1,Table2[[HomeTeam]:[HomeTeam]],$T18, Table2[[AwayTeam]:[AwayTeam]], AA$11))) + (0*(SUMIFS(Table2[[HomeWon_]:[HomeWon_]], Table2[[GameIsOver]:[GameIsOver]],1,Table2[[AwayTeam]:[AwayTeam]],$T18, Table2[[HomeTeam]:[HomeTeam]], AA$11, Table2[[ActualResult]:[ActualResult]], "REG") + SUMIFS(Table2[[AwayWon]:[AwayWon]], Table2[[GameIsOver]:[GameIsOver]],1,Table2[[HomeTeam]:[HomeTeam]],$T18, Table2[[AwayTeam]:[AwayTeam]], AA$11, Table2[[ActualResult]:[ActualResult]], "REG"))) + (1*(SUMIFS(Table2[[HomeWon_]:[HomeWon_]], Table2[[GameIsOver]:[GameIsOver]],1,Table2[[AwayTeam]:[AwayTeam]],$T18, Table2[[HomeTeam]:[HomeTeam]], AA$11, Table2[[ActualResult]:[ActualResult]], "OT") + SUMIFS(Table2[[AwayWon]:[AwayWon]], Table2[[GameIsOver]:[GameIsOver]],1,Table2[[HomeTeam]:[HomeTeam]],$T18, Table2[[AwayTeam]:[AwayTeam]], AA$11, Table2[[ActualResult]:[ActualResult]], "OT") + SUMIFS(Table2[[HomeWon_]:[HomeWon_]], Table2[[GameIsOver]:[GameIsOver]],1,Table2[[AwayTeam]:[AwayTeam]],$T18, Table2[[HomeTeam]:[HomeTeam]], AA$11, Table2[[ActualResult]:[ActualResult]], "SO") + SUMIFS(Table2[[AwayWon]:[AwayWon]], Table2[[GameIsOver]:[GameIsOver]],1,Table2[[HomeTeam]:[HomeTeam]],$T18, Table2[[AwayTeam]:[AwayTeam]], AA$11, Table2[[ActualResult]:[ActualResult]], "SO")))</f>
        <v>0</v>
      </c>
      <c r="AB18">
        <f>(2*(SUMIFS(Table2[[AwayWon]:[AwayWon]], Table2[[GameIsOver]:[GameIsOver]],1,Table2[[AwayTeam]:[AwayTeam]],$T18, Table2[[HomeTeam]:[HomeTeam]], AB$11) + SUMIFS(Table2[[HomeWon_]:[HomeWon_]], Table2[[GameIsOver]:[GameIsOver]],1,Table2[[HomeTeam]:[HomeTeam]],$T18, Table2[[AwayTeam]:[AwayTeam]], AB$11))) + (0*(SUMIFS(Table2[[HomeWon_]:[HomeWon_]], Table2[[GameIsOver]:[GameIsOver]],1,Table2[[AwayTeam]:[AwayTeam]],$T18, Table2[[HomeTeam]:[HomeTeam]], AB$11, Table2[[ActualResult]:[ActualResult]], "REG") + SUMIFS(Table2[[AwayWon]:[AwayWon]], Table2[[GameIsOver]:[GameIsOver]],1,Table2[[HomeTeam]:[HomeTeam]],$T18, Table2[[AwayTeam]:[AwayTeam]], AB$11, Table2[[ActualResult]:[ActualResult]], "REG"))) + (1*(SUMIFS(Table2[[HomeWon_]:[HomeWon_]], Table2[[GameIsOver]:[GameIsOver]],1,Table2[[AwayTeam]:[AwayTeam]],$T18, Table2[[HomeTeam]:[HomeTeam]], AB$11, Table2[[ActualResult]:[ActualResult]], "OT") + SUMIFS(Table2[[AwayWon]:[AwayWon]], Table2[[GameIsOver]:[GameIsOver]],1,Table2[[HomeTeam]:[HomeTeam]],$T18, Table2[[AwayTeam]:[AwayTeam]], AB$11, Table2[[ActualResult]:[ActualResult]], "OT") + SUMIFS(Table2[[HomeWon_]:[HomeWon_]], Table2[[GameIsOver]:[GameIsOver]],1,Table2[[AwayTeam]:[AwayTeam]],$T18, Table2[[HomeTeam]:[HomeTeam]], AB$11, Table2[[ActualResult]:[ActualResult]], "SO") + SUMIFS(Table2[[AwayWon]:[AwayWon]], Table2[[GameIsOver]:[GameIsOver]],1,Table2[[HomeTeam]:[HomeTeam]],$T18, Table2[[AwayTeam]:[AwayTeam]], AB$11, Table2[[ActualResult]:[ActualResult]], "SO")))</f>
        <v>0</v>
      </c>
      <c r="AC18">
        <f>(2*(SUMIFS(Table2[[AwayWon]:[AwayWon]], Table2[[GameIsOver]:[GameIsOver]],1,Table2[[AwayTeam]:[AwayTeam]],$T18, Table2[[HomeTeam]:[HomeTeam]], AC$11) + SUMIFS(Table2[[HomeWon_]:[HomeWon_]], Table2[[GameIsOver]:[GameIsOver]],1,Table2[[HomeTeam]:[HomeTeam]],$T18, Table2[[AwayTeam]:[AwayTeam]], AC$11))) + (0*(SUMIFS(Table2[[HomeWon_]:[HomeWon_]], Table2[[GameIsOver]:[GameIsOver]],1,Table2[[AwayTeam]:[AwayTeam]],$T18, Table2[[HomeTeam]:[HomeTeam]], AC$11, Table2[[ActualResult]:[ActualResult]], "REG") + SUMIFS(Table2[[AwayWon]:[AwayWon]], Table2[[GameIsOver]:[GameIsOver]],1,Table2[[HomeTeam]:[HomeTeam]],$T18, Table2[[AwayTeam]:[AwayTeam]], AC$11, Table2[[ActualResult]:[ActualResult]], "REG"))) + (1*(SUMIFS(Table2[[HomeWon_]:[HomeWon_]], Table2[[GameIsOver]:[GameIsOver]],1,Table2[[AwayTeam]:[AwayTeam]],$T18, Table2[[HomeTeam]:[HomeTeam]], AC$11, Table2[[ActualResult]:[ActualResult]], "OT") + SUMIFS(Table2[[AwayWon]:[AwayWon]], Table2[[GameIsOver]:[GameIsOver]],1,Table2[[HomeTeam]:[HomeTeam]],$T18, Table2[[AwayTeam]:[AwayTeam]], AC$11, Table2[[ActualResult]:[ActualResult]], "OT") + SUMIFS(Table2[[HomeWon_]:[HomeWon_]], Table2[[GameIsOver]:[GameIsOver]],1,Table2[[AwayTeam]:[AwayTeam]],$T18, Table2[[HomeTeam]:[HomeTeam]], AC$11, Table2[[ActualResult]:[ActualResult]], "SO") + SUMIFS(Table2[[AwayWon]:[AwayWon]], Table2[[GameIsOver]:[GameIsOver]],1,Table2[[HomeTeam]:[HomeTeam]],$T18, Table2[[AwayTeam]:[AwayTeam]], AC$11, Table2[[ActualResult]:[ActualResult]], "SO")))</f>
        <v>0</v>
      </c>
      <c r="AD18">
        <f>(2*(SUMIFS(Table2[[AwayWon]:[AwayWon]], Table2[[GameIsOver]:[GameIsOver]],1,Table2[[AwayTeam]:[AwayTeam]],$T18, Table2[[HomeTeam]:[HomeTeam]], AD$11) + SUMIFS(Table2[[HomeWon_]:[HomeWon_]], Table2[[GameIsOver]:[GameIsOver]],1,Table2[[HomeTeam]:[HomeTeam]],$T18, Table2[[AwayTeam]:[AwayTeam]], AD$11))) + (0*(SUMIFS(Table2[[HomeWon_]:[HomeWon_]], Table2[[GameIsOver]:[GameIsOver]],1,Table2[[AwayTeam]:[AwayTeam]],$T18, Table2[[HomeTeam]:[HomeTeam]], AD$11, Table2[[ActualResult]:[ActualResult]], "REG") + SUMIFS(Table2[[AwayWon]:[AwayWon]], Table2[[GameIsOver]:[GameIsOver]],1,Table2[[HomeTeam]:[HomeTeam]],$T18, Table2[[AwayTeam]:[AwayTeam]], AD$11, Table2[[ActualResult]:[ActualResult]], "REG"))) + (1*(SUMIFS(Table2[[HomeWon_]:[HomeWon_]], Table2[[GameIsOver]:[GameIsOver]],1,Table2[[AwayTeam]:[AwayTeam]],$T18, Table2[[HomeTeam]:[HomeTeam]], AD$11, Table2[[ActualResult]:[ActualResult]], "OT") + SUMIFS(Table2[[AwayWon]:[AwayWon]], Table2[[GameIsOver]:[GameIsOver]],1,Table2[[HomeTeam]:[HomeTeam]],$T18, Table2[[AwayTeam]:[AwayTeam]], AD$11, Table2[[ActualResult]:[ActualResult]], "OT") + SUMIFS(Table2[[HomeWon_]:[HomeWon_]], Table2[[GameIsOver]:[GameIsOver]],1,Table2[[AwayTeam]:[AwayTeam]],$T18, Table2[[HomeTeam]:[HomeTeam]], AD$11, Table2[[ActualResult]:[ActualResult]], "SO") + SUMIFS(Table2[[AwayWon]:[AwayWon]], Table2[[GameIsOver]:[GameIsOver]],1,Table2[[HomeTeam]:[HomeTeam]],$T18, Table2[[AwayTeam]:[AwayTeam]], AD$11, Table2[[ActualResult]:[ActualResult]], "SO")))</f>
        <v>0</v>
      </c>
      <c r="AE18">
        <f>(2*(SUMIFS(Table2[[AwayWon]:[AwayWon]], Table2[[GameIsOver]:[GameIsOver]],1,Table2[[AwayTeam]:[AwayTeam]],$T18, Table2[[HomeTeam]:[HomeTeam]], AE$11) + SUMIFS(Table2[[HomeWon_]:[HomeWon_]], Table2[[GameIsOver]:[GameIsOver]],1,Table2[[HomeTeam]:[HomeTeam]],$T18, Table2[[AwayTeam]:[AwayTeam]], AE$11))) + (0*(SUMIFS(Table2[[HomeWon_]:[HomeWon_]], Table2[[GameIsOver]:[GameIsOver]],1,Table2[[AwayTeam]:[AwayTeam]],$T18, Table2[[HomeTeam]:[HomeTeam]], AE$11, Table2[[ActualResult]:[ActualResult]], "REG") + SUMIFS(Table2[[AwayWon]:[AwayWon]], Table2[[GameIsOver]:[GameIsOver]],1,Table2[[HomeTeam]:[HomeTeam]],$T18, Table2[[AwayTeam]:[AwayTeam]], AE$11, Table2[[ActualResult]:[ActualResult]], "REG"))) + (1*(SUMIFS(Table2[[HomeWon_]:[HomeWon_]], Table2[[GameIsOver]:[GameIsOver]],1,Table2[[AwayTeam]:[AwayTeam]],$T18, Table2[[HomeTeam]:[HomeTeam]], AE$11, Table2[[ActualResult]:[ActualResult]], "OT") + SUMIFS(Table2[[AwayWon]:[AwayWon]], Table2[[GameIsOver]:[GameIsOver]],1,Table2[[HomeTeam]:[HomeTeam]],$T18, Table2[[AwayTeam]:[AwayTeam]], AE$11, Table2[[ActualResult]:[ActualResult]], "OT") + SUMIFS(Table2[[HomeWon_]:[HomeWon_]], Table2[[GameIsOver]:[GameIsOver]],1,Table2[[AwayTeam]:[AwayTeam]],$T18, Table2[[HomeTeam]:[HomeTeam]], AE$11, Table2[[ActualResult]:[ActualResult]], "SO") + SUMIFS(Table2[[AwayWon]:[AwayWon]], Table2[[GameIsOver]:[GameIsOver]],1,Table2[[HomeTeam]:[HomeTeam]],$T18, Table2[[AwayTeam]:[AwayTeam]], AE$11, Table2[[ActualResult]:[ActualResult]], "SO")))</f>
        <v>0</v>
      </c>
      <c r="AF18">
        <f>(2*(SUMIFS(Table2[[AwayWon]:[AwayWon]], Table2[[GameIsOver]:[GameIsOver]],1,Table2[[AwayTeam]:[AwayTeam]],$T18, Table2[[HomeTeam]:[HomeTeam]], AF$11) + SUMIFS(Table2[[HomeWon_]:[HomeWon_]], Table2[[GameIsOver]:[GameIsOver]],1,Table2[[HomeTeam]:[HomeTeam]],$T18, Table2[[AwayTeam]:[AwayTeam]], AF$11))) + (0*(SUMIFS(Table2[[HomeWon_]:[HomeWon_]], Table2[[GameIsOver]:[GameIsOver]],1,Table2[[AwayTeam]:[AwayTeam]],$T18, Table2[[HomeTeam]:[HomeTeam]], AF$11, Table2[[ActualResult]:[ActualResult]], "REG") + SUMIFS(Table2[[AwayWon]:[AwayWon]], Table2[[GameIsOver]:[GameIsOver]],1,Table2[[HomeTeam]:[HomeTeam]],$T18, Table2[[AwayTeam]:[AwayTeam]], AF$11, Table2[[ActualResult]:[ActualResult]], "REG"))) + (1*(SUMIFS(Table2[[HomeWon_]:[HomeWon_]], Table2[[GameIsOver]:[GameIsOver]],1,Table2[[AwayTeam]:[AwayTeam]],$T18, Table2[[HomeTeam]:[HomeTeam]], AF$11, Table2[[ActualResult]:[ActualResult]], "OT") + SUMIFS(Table2[[AwayWon]:[AwayWon]], Table2[[GameIsOver]:[GameIsOver]],1,Table2[[HomeTeam]:[HomeTeam]],$T18, Table2[[AwayTeam]:[AwayTeam]], AF$11, Table2[[ActualResult]:[ActualResult]], "OT") + SUMIFS(Table2[[HomeWon_]:[HomeWon_]], Table2[[GameIsOver]:[GameIsOver]],1,Table2[[AwayTeam]:[AwayTeam]],$T18, Table2[[HomeTeam]:[HomeTeam]], AF$11, Table2[[ActualResult]:[ActualResult]], "SO") + SUMIFS(Table2[[AwayWon]:[AwayWon]], Table2[[GameIsOver]:[GameIsOver]],1,Table2[[HomeTeam]:[HomeTeam]],$T18, Table2[[AwayTeam]:[AwayTeam]], AF$11, Table2[[ActualResult]:[ActualResult]], "SO")))</f>
        <v>0</v>
      </c>
      <c r="AG18">
        <f>(2*(SUMIFS(Table2[[AwayWon]:[AwayWon]], Table2[[GameIsOver]:[GameIsOver]],1,Table2[[AwayTeam]:[AwayTeam]],$T18, Table2[[HomeTeam]:[HomeTeam]], AG$11) + SUMIFS(Table2[[HomeWon_]:[HomeWon_]], Table2[[GameIsOver]:[GameIsOver]],1,Table2[[HomeTeam]:[HomeTeam]],$T18, Table2[[AwayTeam]:[AwayTeam]], AG$11))) + (0*(SUMIFS(Table2[[HomeWon_]:[HomeWon_]], Table2[[GameIsOver]:[GameIsOver]],1,Table2[[AwayTeam]:[AwayTeam]],$T18, Table2[[HomeTeam]:[HomeTeam]], AG$11, Table2[[ActualResult]:[ActualResult]], "REG") + SUMIFS(Table2[[AwayWon]:[AwayWon]], Table2[[GameIsOver]:[GameIsOver]],1,Table2[[HomeTeam]:[HomeTeam]],$T18, Table2[[AwayTeam]:[AwayTeam]], AG$11, Table2[[ActualResult]:[ActualResult]], "REG"))) + (1*(SUMIFS(Table2[[HomeWon_]:[HomeWon_]], Table2[[GameIsOver]:[GameIsOver]],1,Table2[[AwayTeam]:[AwayTeam]],$T18, Table2[[HomeTeam]:[HomeTeam]], AG$11, Table2[[ActualResult]:[ActualResult]], "OT") + SUMIFS(Table2[[AwayWon]:[AwayWon]], Table2[[GameIsOver]:[GameIsOver]],1,Table2[[HomeTeam]:[HomeTeam]],$T18, Table2[[AwayTeam]:[AwayTeam]], AG$11, Table2[[ActualResult]:[ActualResult]], "OT") + SUMIFS(Table2[[HomeWon_]:[HomeWon_]], Table2[[GameIsOver]:[GameIsOver]],1,Table2[[AwayTeam]:[AwayTeam]],$T18, Table2[[HomeTeam]:[HomeTeam]], AG$11, Table2[[ActualResult]:[ActualResult]], "SO") + SUMIFS(Table2[[AwayWon]:[AwayWon]], Table2[[GameIsOver]:[GameIsOver]],1,Table2[[HomeTeam]:[HomeTeam]],$T18, Table2[[AwayTeam]:[AwayTeam]], AG$11, Table2[[ActualResult]:[ActualResult]], "SO")))</f>
        <v>0</v>
      </c>
      <c r="AH18">
        <f>(2*(SUMIFS(Table2[[AwayWon]:[AwayWon]], Table2[[GameIsOver]:[GameIsOver]],1,Table2[[AwayTeam]:[AwayTeam]],$T18, Table2[[HomeTeam]:[HomeTeam]], AH$11) + SUMIFS(Table2[[HomeWon_]:[HomeWon_]], Table2[[GameIsOver]:[GameIsOver]],1,Table2[[HomeTeam]:[HomeTeam]],$T18, Table2[[AwayTeam]:[AwayTeam]], AH$11))) + (0*(SUMIFS(Table2[[HomeWon_]:[HomeWon_]], Table2[[GameIsOver]:[GameIsOver]],1,Table2[[AwayTeam]:[AwayTeam]],$T18, Table2[[HomeTeam]:[HomeTeam]], AH$11, Table2[[ActualResult]:[ActualResult]], "REG") + SUMIFS(Table2[[AwayWon]:[AwayWon]], Table2[[GameIsOver]:[GameIsOver]],1,Table2[[HomeTeam]:[HomeTeam]],$T18, Table2[[AwayTeam]:[AwayTeam]], AH$11, Table2[[ActualResult]:[ActualResult]], "REG"))) + (1*(SUMIFS(Table2[[HomeWon_]:[HomeWon_]], Table2[[GameIsOver]:[GameIsOver]],1,Table2[[AwayTeam]:[AwayTeam]],$T18, Table2[[HomeTeam]:[HomeTeam]], AH$11, Table2[[ActualResult]:[ActualResult]], "OT") + SUMIFS(Table2[[AwayWon]:[AwayWon]], Table2[[GameIsOver]:[GameIsOver]],1,Table2[[HomeTeam]:[HomeTeam]],$T18, Table2[[AwayTeam]:[AwayTeam]], AH$11, Table2[[ActualResult]:[ActualResult]], "OT") + SUMIFS(Table2[[HomeWon_]:[HomeWon_]], Table2[[GameIsOver]:[GameIsOver]],1,Table2[[AwayTeam]:[AwayTeam]],$T18, Table2[[HomeTeam]:[HomeTeam]], AH$11, Table2[[ActualResult]:[ActualResult]], "SO") + SUMIFS(Table2[[AwayWon]:[AwayWon]], Table2[[GameIsOver]:[GameIsOver]],1,Table2[[HomeTeam]:[HomeTeam]],$T18, Table2[[AwayTeam]:[AwayTeam]], AH$11, Table2[[ActualResult]:[ActualResult]], "SO")))</f>
        <v>0</v>
      </c>
      <c r="AI18">
        <f>(2*(SUMIFS(Table2[[AwayWon]:[AwayWon]], Table2[[GameIsOver]:[GameIsOver]],1,Table2[[AwayTeam]:[AwayTeam]],$T18, Table2[[HomeTeam]:[HomeTeam]], AI$11) + SUMIFS(Table2[[HomeWon_]:[HomeWon_]], Table2[[GameIsOver]:[GameIsOver]],1,Table2[[HomeTeam]:[HomeTeam]],$T18, Table2[[AwayTeam]:[AwayTeam]], AI$11))) + (0*(SUMIFS(Table2[[HomeWon_]:[HomeWon_]], Table2[[GameIsOver]:[GameIsOver]],1,Table2[[AwayTeam]:[AwayTeam]],$T18, Table2[[HomeTeam]:[HomeTeam]], AI$11, Table2[[ActualResult]:[ActualResult]], "REG") + SUMIFS(Table2[[AwayWon]:[AwayWon]], Table2[[GameIsOver]:[GameIsOver]],1,Table2[[HomeTeam]:[HomeTeam]],$T18, Table2[[AwayTeam]:[AwayTeam]], AI$11, Table2[[ActualResult]:[ActualResult]], "REG"))) + (1*(SUMIFS(Table2[[HomeWon_]:[HomeWon_]], Table2[[GameIsOver]:[GameIsOver]],1,Table2[[AwayTeam]:[AwayTeam]],$T18, Table2[[HomeTeam]:[HomeTeam]], AI$11, Table2[[ActualResult]:[ActualResult]], "OT") + SUMIFS(Table2[[AwayWon]:[AwayWon]], Table2[[GameIsOver]:[GameIsOver]],1,Table2[[HomeTeam]:[HomeTeam]],$T18, Table2[[AwayTeam]:[AwayTeam]], AI$11, Table2[[ActualResult]:[ActualResult]], "OT") + SUMIFS(Table2[[HomeWon_]:[HomeWon_]], Table2[[GameIsOver]:[GameIsOver]],1,Table2[[AwayTeam]:[AwayTeam]],$T18, Table2[[HomeTeam]:[HomeTeam]], AI$11, Table2[[ActualResult]:[ActualResult]], "SO") + SUMIFS(Table2[[AwayWon]:[AwayWon]], Table2[[GameIsOver]:[GameIsOver]],1,Table2[[HomeTeam]:[HomeTeam]],$T18, Table2[[AwayTeam]:[AwayTeam]], AI$11, Table2[[ActualResult]:[ActualResult]], "SO")))</f>
        <v>0</v>
      </c>
      <c r="AJ18">
        <f>(2*(SUMIFS(Table2[[AwayWon]:[AwayWon]], Table2[[GameIsOver]:[GameIsOver]],1,Table2[[AwayTeam]:[AwayTeam]],$T18, Table2[[HomeTeam]:[HomeTeam]], AJ$11) + SUMIFS(Table2[[HomeWon_]:[HomeWon_]], Table2[[GameIsOver]:[GameIsOver]],1,Table2[[HomeTeam]:[HomeTeam]],$T18, Table2[[AwayTeam]:[AwayTeam]], AJ$11))) + (0*(SUMIFS(Table2[[HomeWon_]:[HomeWon_]], Table2[[GameIsOver]:[GameIsOver]],1,Table2[[AwayTeam]:[AwayTeam]],$T18, Table2[[HomeTeam]:[HomeTeam]], AJ$11, Table2[[ActualResult]:[ActualResult]], "REG") + SUMIFS(Table2[[AwayWon]:[AwayWon]], Table2[[GameIsOver]:[GameIsOver]],1,Table2[[HomeTeam]:[HomeTeam]],$T18, Table2[[AwayTeam]:[AwayTeam]], AJ$11, Table2[[ActualResult]:[ActualResult]], "REG"))) + (1*(SUMIFS(Table2[[HomeWon_]:[HomeWon_]], Table2[[GameIsOver]:[GameIsOver]],1,Table2[[AwayTeam]:[AwayTeam]],$T18, Table2[[HomeTeam]:[HomeTeam]], AJ$11, Table2[[ActualResult]:[ActualResult]], "OT") + SUMIFS(Table2[[AwayWon]:[AwayWon]], Table2[[GameIsOver]:[GameIsOver]],1,Table2[[HomeTeam]:[HomeTeam]],$T18, Table2[[AwayTeam]:[AwayTeam]], AJ$11, Table2[[ActualResult]:[ActualResult]], "OT") + SUMIFS(Table2[[HomeWon_]:[HomeWon_]], Table2[[GameIsOver]:[GameIsOver]],1,Table2[[AwayTeam]:[AwayTeam]],$T18, Table2[[HomeTeam]:[HomeTeam]], AJ$11, Table2[[ActualResult]:[ActualResult]], "SO") + SUMIFS(Table2[[AwayWon]:[AwayWon]], Table2[[GameIsOver]:[GameIsOver]],1,Table2[[HomeTeam]:[HomeTeam]],$T18, Table2[[AwayTeam]:[AwayTeam]], AJ$11, Table2[[ActualResult]:[ActualResult]], "SO")))</f>
        <v>1</v>
      </c>
      <c r="AK18">
        <f>(2*(SUMIFS(Table2[[AwayWon]:[AwayWon]], Table2[[GameIsOver]:[GameIsOver]],1,Table2[[AwayTeam]:[AwayTeam]],$T18, Table2[[HomeTeam]:[HomeTeam]], AK$11) + SUMIFS(Table2[[HomeWon_]:[HomeWon_]], Table2[[GameIsOver]:[GameIsOver]],1,Table2[[HomeTeam]:[HomeTeam]],$T18, Table2[[AwayTeam]:[AwayTeam]], AK$11))) + (0*(SUMIFS(Table2[[HomeWon_]:[HomeWon_]], Table2[[GameIsOver]:[GameIsOver]],1,Table2[[AwayTeam]:[AwayTeam]],$T18, Table2[[HomeTeam]:[HomeTeam]], AK$11, Table2[[ActualResult]:[ActualResult]], "REG") + SUMIFS(Table2[[AwayWon]:[AwayWon]], Table2[[GameIsOver]:[GameIsOver]],1,Table2[[HomeTeam]:[HomeTeam]],$T18, Table2[[AwayTeam]:[AwayTeam]], AK$11, Table2[[ActualResult]:[ActualResult]], "REG"))) + (1*(SUMIFS(Table2[[HomeWon_]:[HomeWon_]], Table2[[GameIsOver]:[GameIsOver]],1,Table2[[AwayTeam]:[AwayTeam]],$T18, Table2[[HomeTeam]:[HomeTeam]], AK$11, Table2[[ActualResult]:[ActualResult]], "OT") + SUMIFS(Table2[[AwayWon]:[AwayWon]], Table2[[GameIsOver]:[GameIsOver]],1,Table2[[HomeTeam]:[HomeTeam]],$T18, Table2[[AwayTeam]:[AwayTeam]], AK$11, Table2[[ActualResult]:[ActualResult]], "OT") + SUMIFS(Table2[[HomeWon_]:[HomeWon_]], Table2[[GameIsOver]:[GameIsOver]],1,Table2[[AwayTeam]:[AwayTeam]],$T18, Table2[[HomeTeam]:[HomeTeam]], AK$11, Table2[[ActualResult]:[ActualResult]], "SO") + SUMIFS(Table2[[AwayWon]:[AwayWon]], Table2[[GameIsOver]:[GameIsOver]],1,Table2[[HomeTeam]:[HomeTeam]],$T18, Table2[[AwayTeam]:[AwayTeam]], AK$11, Table2[[ActualResult]:[ActualResult]], "SO")))</f>
        <v>0</v>
      </c>
      <c r="AL18">
        <f>(2*(SUMIFS(Table2[[AwayWon]:[AwayWon]], Table2[[GameIsOver]:[GameIsOver]],1,Table2[[AwayTeam]:[AwayTeam]],$T18, Table2[[HomeTeam]:[HomeTeam]], AL$11) + SUMIFS(Table2[[HomeWon_]:[HomeWon_]], Table2[[GameIsOver]:[GameIsOver]],1,Table2[[HomeTeam]:[HomeTeam]],$T18, Table2[[AwayTeam]:[AwayTeam]], AL$11))) + (0*(SUMIFS(Table2[[HomeWon_]:[HomeWon_]], Table2[[GameIsOver]:[GameIsOver]],1,Table2[[AwayTeam]:[AwayTeam]],$T18, Table2[[HomeTeam]:[HomeTeam]], AL$11, Table2[[ActualResult]:[ActualResult]], "REG") + SUMIFS(Table2[[AwayWon]:[AwayWon]], Table2[[GameIsOver]:[GameIsOver]],1,Table2[[HomeTeam]:[HomeTeam]],$T18, Table2[[AwayTeam]:[AwayTeam]], AL$11, Table2[[ActualResult]:[ActualResult]], "REG"))) + (1*(SUMIFS(Table2[[HomeWon_]:[HomeWon_]], Table2[[GameIsOver]:[GameIsOver]],1,Table2[[AwayTeam]:[AwayTeam]],$T18, Table2[[HomeTeam]:[HomeTeam]], AL$11, Table2[[ActualResult]:[ActualResult]], "OT") + SUMIFS(Table2[[AwayWon]:[AwayWon]], Table2[[GameIsOver]:[GameIsOver]],1,Table2[[HomeTeam]:[HomeTeam]],$T18, Table2[[AwayTeam]:[AwayTeam]], AL$11, Table2[[ActualResult]:[ActualResult]], "OT") + SUMIFS(Table2[[HomeWon_]:[HomeWon_]], Table2[[GameIsOver]:[GameIsOver]],1,Table2[[AwayTeam]:[AwayTeam]],$T18, Table2[[HomeTeam]:[HomeTeam]], AL$11, Table2[[ActualResult]:[ActualResult]], "SO") + SUMIFS(Table2[[AwayWon]:[AwayWon]], Table2[[GameIsOver]:[GameIsOver]],1,Table2[[HomeTeam]:[HomeTeam]],$T18, Table2[[AwayTeam]:[AwayTeam]], AL$11, Table2[[ActualResult]:[ActualResult]], "SO")))</f>
        <v>0</v>
      </c>
      <c r="AM18">
        <f>(2*(SUMIFS(Table2[[AwayWon]:[AwayWon]], Table2[[GameIsOver]:[GameIsOver]],1,Table2[[AwayTeam]:[AwayTeam]],$T18, Table2[[HomeTeam]:[HomeTeam]], AM$11) + SUMIFS(Table2[[HomeWon_]:[HomeWon_]], Table2[[GameIsOver]:[GameIsOver]],1,Table2[[HomeTeam]:[HomeTeam]],$T18, Table2[[AwayTeam]:[AwayTeam]], AM$11))) + (0*(SUMIFS(Table2[[HomeWon_]:[HomeWon_]], Table2[[GameIsOver]:[GameIsOver]],1,Table2[[AwayTeam]:[AwayTeam]],$T18, Table2[[HomeTeam]:[HomeTeam]], AM$11, Table2[[ActualResult]:[ActualResult]], "REG") + SUMIFS(Table2[[AwayWon]:[AwayWon]], Table2[[GameIsOver]:[GameIsOver]],1,Table2[[HomeTeam]:[HomeTeam]],$T18, Table2[[AwayTeam]:[AwayTeam]], AM$11, Table2[[ActualResult]:[ActualResult]], "REG"))) + (1*(SUMIFS(Table2[[HomeWon_]:[HomeWon_]], Table2[[GameIsOver]:[GameIsOver]],1,Table2[[AwayTeam]:[AwayTeam]],$T18, Table2[[HomeTeam]:[HomeTeam]], AM$11, Table2[[ActualResult]:[ActualResult]], "OT") + SUMIFS(Table2[[AwayWon]:[AwayWon]], Table2[[GameIsOver]:[GameIsOver]],1,Table2[[HomeTeam]:[HomeTeam]],$T18, Table2[[AwayTeam]:[AwayTeam]], AM$11, Table2[[ActualResult]:[ActualResult]], "OT") + SUMIFS(Table2[[HomeWon_]:[HomeWon_]], Table2[[GameIsOver]:[GameIsOver]],1,Table2[[AwayTeam]:[AwayTeam]],$T18, Table2[[HomeTeam]:[HomeTeam]], AM$11, Table2[[ActualResult]:[ActualResult]], "SO") + SUMIFS(Table2[[AwayWon]:[AwayWon]], Table2[[GameIsOver]:[GameIsOver]],1,Table2[[HomeTeam]:[HomeTeam]],$T18, Table2[[AwayTeam]:[AwayTeam]], AM$11, Table2[[ActualResult]:[ActualResult]], "SO")))</f>
        <v>2</v>
      </c>
      <c r="AN18">
        <f>(2*(SUMIFS(Table2[[AwayWon]:[AwayWon]], Table2[[GameIsOver]:[GameIsOver]],1,Table2[[AwayTeam]:[AwayTeam]],$T18, Table2[[HomeTeam]:[HomeTeam]], AN$11) + SUMIFS(Table2[[HomeWon_]:[HomeWon_]], Table2[[GameIsOver]:[GameIsOver]],1,Table2[[HomeTeam]:[HomeTeam]],$T18, Table2[[AwayTeam]:[AwayTeam]], AN$11))) + (0*(SUMIFS(Table2[[HomeWon_]:[HomeWon_]], Table2[[GameIsOver]:[GameIsOver]],1,Table2[[AwayTeam]:[AwayTeam]],$T18, Table2[[HomeTeam]:[HomeTeam]], AN$11, Table2[[ActualResult]:[ActualResult]], "REG") + SUMIFS(Table2[[AwayWon]:[AwayWon]], Table2[[GameIsOver]:[GameIsOver]],1,Table2[[HomeTeam]:[HomeTeam]],$T18, Table2[[AwayTeam]:[AwayTeam]], AN$11, Table2[[ActualResult]:[ActualResult]], "REG"))) + (1*(SUMIFS(Table2[[HomeWon_]:[HomeWon_]], Table2[[GameIsOver]:[GameIsOver]],1,Table2[[AwayTeam]:[AwayTeam]],$T18, Table2[[HomeTeam]:[HomeTeam]], AN$11, Table2[[ActualResult]:[ActualResult]], "OT") + SUMIFS(Table2[[AwayWon]:[AwayWon]], Table2[[GameIsOver]:[GameIsOver]],1,Table2[[HomeTeam]:[HomeTeam]],$T18, Table2[[AwayTeam]:[AwayTeam]], AN$11, Table2[[ActualResult]:[ActualResult]], "OT") + SUMIFS(Table2[[HomeWon_]:[HomeWon_]], Table2[[GameIsOver]:[GameIsOver]],1,Table2[[AwayTeam]:[AwayTeam]],$T18, Table2[[HomeTeam]:[HomeTeam]], AN$11, Table2[[ActualResult]:[ActualResult]], "SO") + SUMIFS(Table2[[AwayWon]:[AwayWon]], Table2[[GameIsOver]:[GameIsOver]],1,Table2[[HomeTeam]:[HomeTeam]],$T18, Table2[[AwayTeam]:[AwayTeam]], AN$11, Table2[[ActualResult]:[ActualResult]], "SO")))</f>
        <v>0</v>
      </c>
      <c r="AO18">
        <f>(2*(SUMIFS(Table2[[AwayWon]:[AwayWon]], Table2[[GameIsOver]:[GameIsOver]],1,Table2[[AwayTeam]:[AwayTeam]],$T18, Table2[[HomeTeam]:[HomeTeam]], AO$11) + SUMIFS(Table2[[HomeWon_]:[HomeWon_]], Table2[[GameIsOver]:[GameIsOver]],1,Table2[[HomeTeam]:[HomeTeam]],$T18, Table2[[AwayTeam]:[AwayTeam]], AO$11))) + (0*(SUMIFS(Table2[[HomeWon_]:[HomeWon_]], Table2[[GameIsOver]:[GameIsOver]],1,Table2[[AwayTeam]:[AwayTeam]],$T18, Table2[[HomeTeam]:[HomeTeam]], AO$11, Table2[[ActualResult]:[ActualResult]], "REG") + SUMIFS(Table2[[AwayWon]:[AwayWon]], Table2[[GameIsOver]:[GameIsOver]],1,Table2[[HomeTeam]:[HomeTeam]],$T18, Table2[[AwayTeam]:[AwayTeam]], AO$11, Table2[[ActualResult]:[ActualResult]], "REG"))) + (1*(SUMIFS(Table2[[HomeWon_]:[HomeWon_]], Table2[[GameIsOver]:[GameIsOver]],1,Table2[[AwayTeam]:[AwayTeam]],$T18, Table2[[HomeTeam]:[HomeTeam]], AO$11, Table2[[ActualResult]:[ActualResult]], "OT") + SUMIFS(Table2[[AwayWon]:[AwayWon]], Table2[[GameIsOver]:[GameIsOver]],1,Table2[[HomeTeam]:[HomeTeam]],$T18, Table2[[AwayTeam]:[AwayTeam]], AO$11, Table2[[ActualResult]:[ActualResult]], "OT") + SUMIFS(Table2[[HomeWon_]:[HomeWon_]], Table2[[GameIsOver]:[GameIsOver]],1,Table2[[AwayTeam]:[AwayTeam]],$T18, Table2[[HomeTeam]:[HomeTeam]], AO$11, Table2[[ActualResult]:[ActualResult]], "SO") + SUMIFS(Table2[[AwayWon]:[AwayWon]], Table2[[GameIsOver]:[GameIsOver]],1,Table2[[HomeTeam]:[HomeTeam]],$T18, Table2[[AwayTeam]:[AwayTeam]], AO$11, Table2[[ActualResult]:[ActualResult]], "SO")))</f>
        <v>0</v>
      </c>
      <c r="AP18">
        <f>(2*(SUMIFS(Table2[[AwayWon]:[AwayWon]], Table2[[GameIsOver]:[GameIsOver]],1,Table2[[AwayTeam]:[AwayTeam]],$T18, Table2[[HomeTeam]:[HomeTeam]], AP$11) + SUMIFS(Table2[[HomeWon_]:[HomeWon_]], Table2[[GameIsOver]:[GameIsOver]],1,Table2[[HomeTeam]:[HomeTeam]],$T18, Table2[[AwayTeam]:[AwayTeam]], AP$11))) + (0*(SUMIFS(Table2[[HomeWon_]:[HomeWon_]], Table2[[GameIsOver]:[GameIsOver]],1,Table2[[AwayTeam]:[AwayTeam]],$T18, Table2[[HomeTeam]:[HomeTeam]], AP$11, Table2[[ActualResult]:[ActualResult]], "REG") + SUMIFS(Table2[[AwayWon]:[AwayWon]], Table2[[GameIsOver]:[GameIsOver]],1,Table2[[HomeTeam]:[HomeTeam]],$T18, Table2[[AwayTeam]:[AwayTeam]], AP$11, Table2[[ActualResult]:[ActualResult]], "REG"))) + (1*(SUMIFS(Table2[[HomeWon_]:[HomeWon_]], Table2[[GameIsOver]:[GameIsOver]],1,Table2[[AwayTeam]:[AwayTeam]],$T18, Table2[[HomeTeam]:[HomeTeam]], AP$11, Table2[[ActualResult]:[ActualResult]], "OT") + SUMIFS(Table2[[AwayWon]:[AwayWon]], Table2[[GameIsOver]:[GameIsOver]],1,Table2[[HomeTeam]:[HomeTeam]],$T18, Table2[[AwayTeam]:[AwayTeam]], AP$11, Table2[[ActualResult]:[ActualResult]], "OT") + SUMIFS(Table2[[HomeWon_]:[HomeWon_]], Table2[[GameIsOver]:[GameIsOver]],1,Table2[[AwayTeam]:[AwayTeam]],$T18, Table2[[HomeTeam]:[HomeTeam]], AP$11, Table2[[ActualResult]:[ActualResult]], "SO") + SUMIFS(Table2[[AwayWon]:[AwayWon]], Table2[[GameIsOver]:[GameIsOver]],1,Table2[[HomeTeam]:[HomeTeam]],$T18, Table2[[AwayTeam]:[AwayTeam]], AP$11, Table2[[ActualResult]:[ActualResult]], "SO")))</f>
        <v>0</v>
      </c>
      <c r="AQ18">
        <f>(2*(SUMIFS(Table2[[AwayWon]:[AwayWon]], Table2[[GameIsOver]:[GameIsOver]],1,Table2[[AwayTeam]:[AwayTeam]],$T18, Table2[[HomeTeam]:[HomeTeam]], AQ$11) + SUMIFS(Table2[[HomeWon_]:[HomeWon_]], Table2[[GameIsOver]:[GameIsOver]],1,Table2[[HomeTeam]:[HomeTeam]],$T18, Table2[[AwayTeam]:[AwayTeam]], AQ$11))) + (0*(SUMIFS(Table2[[HomeWon_]:[HomeWon_]], Table2[[GameIsOver]:[GameIsOver]],1,Table2[[AwayTeam]:[AwayTeam]],$T18, Table2[[HomeTeam]:[HomeTeam]], AQ$11, Table2[[ActualResult]:[ActualResult]], "REG") + SUMIFS(Table2[[AwayWon]:[AwayWon]], Table2[[GameIsOver]:[GameIsOver]],1,Table2[[HomeTeam]:[HomeTeam]],$T18, Table2[[AwayTeam]:[AwayTeam]], AQ$11, Table2[[ActualResult]:[ActualResult]], "REG"))) + (1*(SUMIFS(Table2[[HomeWon_]:[HomeWon_]], Table2[[GameIsOver]:[GameIsOver]],1,Table2[[AwayTeam]:[AwayTeam]],$T18, Table2[[HomeTeam]:[HomeTeam]], AQ$11, Table2[[ActualResult]:[ActualResult]], "OT") + SUMIFS(Table2[[AwayWon]:[AwayWon]], Table2[[GameIsOver]:[GameIsOver]],1,Table2[[HomeTeam]:[HomeTeam]],$T18, Table2[[AwayTeam]:[AwayTeam]], AQ$11, Table2[[ActualResult]:[ActualResult]], "OT") + SUMIFS(Table2[[HomeWon_]:[HomeWon_]], Table2[[GameIsOver]:[GameIsOver]],1,Table2[[AwayTeam]:[AwayTeam]],$T18, Table2[[HomeTeam]:[HomeTeam]], AQ$11, Table2[[ActualResult]:[ActualResult]], "SO") + SUMIFS(Table2[[AwayWon]:[AwayWon]], Table2[[GameIsOver]:[GameIsOver]],1,Table2[[HomeTeam]:[HomeTeam]],$T18, Table2[[AwayTeam]:[AwayTeam]], AQ$11, Table2[[ActualResult]:[ActualResult]], "SO")))</f>
        <v>0</v>
      </c>
      <c r="AR18">
        <f>(2*(SUMIFS(Table2[[AwayWon]:[AwayWon]], Table2[[GameIsOver]:[GameIsOver]],1,Table2[[AwayTeam]:[AwayTeam]],$T18, Table2[[HomeTeam]:[HomeTeam]], AR$11) + SUMIFS(Table2[[HomeWon_]:[HomeWon_]], Table2[[GameIsOver]:[GameIsOver]],1,Table2[[HomeTeam]:[HomeTeam]],$T18, Table2[[AwayTeam]:[AwayTeam]], AR$11))) + (0*(SUMIFS(Table2[[HomeWon_]:[HomeWon_]], Table2[[GameIsOver]:[GameIsOver]],1,Table2[[AwayTeam]:[AwayTeam]],$T18, Table2[[HomeTeam]:[HomeTeam]], AR$11, Table2[[ActualResult]:[ActualResult]], "REG") + SUMIFS(Table2[[AwayWon]:[AwayWon]], Table2[[GameIsOver]:[GameIsOver]],1,Table2[[HomeTeam]:[HomeTeam]],$T18, Table2[[AwayTeam]:[AwayTeam]], AR$11, Table2[[ActualResult]:[ActualResult]], "REG"))) + (1*(SUMIFS(Table2[[HomeWon_]:[HomeWon_]], Table2[[GameIsOver]:[GameIsOver]],1,Table2[[AwayTeam]:[AwayTeam]],$T18, Table2[[HomeTeam]:[HomeTeam]], AR$11, Table2[[ActualResult]:[ActualResult]], "OT") + SUMIFS(Table2[[AwayWon]:[AwayWon]], Table2[[GameIsOver]:[GameIsOver]],1,Table2[[HomeTeam]:[HomeTeam]],$T18, Table2[[AwayTeam]:[AwayTeam]], AR$11, Table2[[ActualResult]:[ActualResult]], "OT") + SUMIFS(Table2[[HomeWon_]:[HomeWon_]], Table2[[GameIsOver]:[GameIsOver]],1,Table2[[AwayTeam]:[AwayTeam]],$T18, Table2[[HomeTeam]:[HomeTeam]], AR$11, Table2[[ActualResult]:[ActualResult]], "SO") + SUMIFS(Table2[[AwayWon]:[AwayWon]], Table2[[GameIsOver]:[GameIsOver]],1,Table2[[HomeTeam]:[HomeTeam]],$T18, Table2[[AwayTeam]:[AwayTeam]], AR$11, Table2[[ActualResult]:[ActualResult]], "SO")))</f>
        <v>0</v>
      </c>
      <c r="AS18">
        <f>(2*(SUMIFS(Table2[[AwayWon]:[AwayWon]], Table2[[GameIsOver]:[GameIsOver]],1,Table2[[AwayTeam]:[AwayTeam]],$T18, Table2[[HomeTeam]:[HomeTeam]], AS$11) + SUMIFS(Table2[[HomeWon_]:[HomeWon_]], Table2[[GameIsOver]:[GameIsOver]],1,Table2[[HomeTeam]:[HomeTeam]],$T18, Table2[[AwayTeam]:[AwayTeam]], AS$11))) + (0*(SUMIFS(Table2[[HomeWon_]:[HomeWon_]], Table2[[GameIsOver]:[GameIsOver]],1,Table2[[AwayTeam]:[AwayTeam]],$T18, Table2[[HomeTeam]:[HomeTeam]], AS$11, Table2[[ActualResult]:[ActualResult]], "REG") + SUMIFS(Table2[[AwayWon]:[AwayWon]], Table2[[GameIsOver]:[GameIsOver]],1,Table2[[HomeTeam]:[HomeTeam]],$T18, Table2[[AwayTeam]:[AwayTeam]], AS$11, Table2[[ActualResult]:[ActualResult]], "REG"))) + (1*(SUMIFS(Table2[[HomeWon_]:[HomeWon_]], Table2[[GameIsOver]:[GameIsOver]],1,Table2[[AwayTeam]:[AwayTeam]],$T18, Table2[[HomeTeam]:[HomeTeam]], AS$11, Table2[[ActualResult]:[ActualResult]], "OT") + SUMIFS(Table2[[AwayWon]:[AwayWon]], Table2[[GameIsOver]:[GameIsOver]],1,Table2[[HomeTeam]:[HomeTeam]],$T18, Table2[[AwayTeam]:[AwayTeam]], AS$11, Table2[[ActualResult]:[ActualResult]], "OT") + SUMIFS(Table2[[HomeWon_]:[HomeWon_]], Table2[[GameIsOver]:[GameIsOver]],1,Table2[[AwayTeam]:[AwayTeam]],$T18, Table2[[HomeTeam]:[HomeTeam]], AS$11, Table2[[ActualResult]:[ActualResult]], "SO") + SUMIFS(Table2[[AwayWon]:[AwayWon]], Table2[[GameIsOver]:[GameIsOver]],1,Table2[[HomeTeam]:[HomeTeam]],$T18, Table2[[AwayTeam]:[AwayTeam]], AS$11, Table2[[ActualResult]:[ActualResult]], "SO")))</f>
        <v>0</v>
      </c>
      <c r="AT18">
        <f>(2*(SUMIFS(Table2[[AwayWon]:[AwayWon]], Table2[[GameIsOver]:[GameIsOver]],1,Table2[[AwayTeam]:[AwayTeam]],$T18, Table2[[HomeTeam]:[HomeTeam]], AT$11) + SUMIFS(Table2[[HomeWon_]:[HomeWon_]], Table2[[GameIsOver]:[GameIsOver]],1,Table2[[HomeTeam]:[HomeTeam]],$T18, Table2[[AwayTeam]:[AwayTeam]], AT$11))) + (0*(SUMIFS(Table2[[HomeWon_]:[HomeWon_]], Table2[[GameIsOver]:[GameIsOver]],1,Table2[[AwayTeam]:[AwayTeam]],$T18, Table2[[HomeTeam]:[HomeTeam]], AT$11, Table2[[ActualResult]:[ActualResult]], "REG") + SUMIFS(Table2[[AwayWon]:[AwayWon]], Table2[[GameIsOver]:[GameIsOver]],1,Table2[[HomeTeam]:[HomeTeam]],$T18, Table2[[AwayTeam]:[AwayTeam]], AT$11, Table2[[ActualResult]:[ActualResult]], "REG"))) + (1*(SUMIFS(Table2[[HomeWon_]:[HomeWon_]], Table2[[GameIsOver]:[GameIsOver]],1,Table2[[AwayTeam]:[AwayTeam]],$T18, Table2[[HomeTeam]:[HomeTeam]], AT$11, Table2[[ActualResult]:[ActualResult]], "OT") + SUMIFS(Table2[[AwayWon]:[AwayWon]], Table2[[GameIsOver]:[GameIsOver]],1,Table2[[HomeTeam]:[HomeTeam]],$T18, Table2[[AwayTeam]:[AwayTeam]], AT$11, Table2[[ActualResult]:[ActualResult]], "OT") + SUMIFS(Table2[[HomeWon_]:[HomeWon_]], Table2[[GameIsOver]:[GameIsOver]],1,Table2[[AwayTeam]:[AwayTeam]],$T18, Table2[[HomeTeam]:[HomeTeam]], AT$11, Table2[[ActualResult]:[ActualResult]], "SO") + SUMIFS(Table2[[AwayWon]:[AwayWon]], Table2[[GameIsOver]:[GameIsOver]],1,Table2[[HomeTeam]:[HomeTeam]],$T18, Table2[[AwayTeam]:[AwayTeam]], AT$11, Table2[[ActualResult]:[ActualResult]], "SO")))</f>
        <v>0</v>
      </c>
      <c r="AU18">
        <f>(2*(SUMIFS(Table2[[AwayWon]:[AwayWon]], Table2[[GameIsOver]:[GameIsOver]],1,Table2[[AwayTeam]:[AwayTeam]],$T18, Table2[[HomeTeam]:[HomeTeam]], AU$11) + SUMIFS(Table2[[HomeWon_]:[HomeWon_]], Table2[[GameIsOver]:[GameIsOver]],1,Table2[[HomeTeam]:[HomeTeam]],$T18, Table2[[AwayTeam]:[AwayTeam]], AU$11))) + (0*(SUMIFS(Table2[[HomeWon_]:[HomeWon_]], Table2[[GameIsOver]:[GameIsOver]],1,Table2[[AwayTeam]:[AwayTeam]],$T18, Table2[[HomeTeam]:[HomeTeam]], AU$11, Table2[[ActualResult]:[ActualResult]], "REG") + SUMIFS(Table2[[AwayWon]:[AwayWon]], Table2[[GameIsOver]:[GameIsOver]],1,Table2[[HomeTeam]:[HomeTeam]],$T18, Table2[[AwayTeam]:[AwayTeam]], AU$11, Table2[[ActualResult]:[ActualResult]], "REG"))) + (1*(SUMIFS(Table2[[HomeWon_]:[HomeWon_]], Table2[[GameIsOver]:[GameIsOver]],1,Table2[[AwayTeam]:[AwayTeam]],$T18, Table2[[HomeTeam]:[HomeTeam]], AU$11, Table2[[ActualResult]:[ActualResult]], "OT") + SUMIFS(Table2[[AwayWon]:[AwayWon]], Table2[[GameIsOver]:[GameIsOver]],1,Table2[[HomeTeam]:[HomeTeam]],$T18, Table2[[AwayTeam]:[AwayTeam]], AU$11, Table2[[ActualResult]:[ActualResult]], "OT") + SUMIFS(Table2[[HomeWon_]:[HomeWon_]], Table2[[GameIsOver]:[GameIsOver]],1,Table2[[AwayTeam]:[AwayTeam]],$T18, Table2[[HomeTeam]:[HomeTeam]], AU$11, Table2[[ActualResult]:[ActualResult]], "SO") + SUMIFS(Table2[[AwayWon]:[AwayWon]], Table2[[GameIsOver]:[GameIsOver]],1,Table2[[HomeTeam]:[HomeTeam]],$T18, Table2[[AwayTeam]:[AwayTeam]], AU$11, Table2[[ActualResult]:[ActualResult]], "SO")))</f>
        <v>0</v>
      </c>
      <c r="AV18">
        <f>(2*(SUMIFS(Table2[[AwayWon]:[AwayWon]], Table2[[GameIsOver]:[GameIsOver]],1,Table2[[AwayTeam]:[AwayTeam]],$T18, Table2[[HomeTeam]:[HomeTeam]], AV$11) + SUMIFS(Table2[[HomeWon_]:[HomeWon_]], Table2[[GameIsOver]:[GameIsOver]],1,Table2[[HomeTeam]:[HomeTeam]],$T18, Table2[[AwayTeam]:[AwayTeam]], AV$11))) + (0*(SUMIFS(Table2[[HomeWon_]:[HomeWon_]], Table2[[GameIsOver]:[GameIsOver]],1,Table2[[AwayTeam]:[AwayTeam]],$T18, Table2[[HomeTeam]:[HomeTeam]], AV$11, Table2[[ActualResult]:[ActualResult]], "REG") + SUMIFS(Table2[[AwayWon]:[AwayWon]], Table2[[GameIsOver]:[GameIsOver]],1,Table2[[HomeTeam]:[HomeTeam]],$T18, Table2[[AwayTeam]:[AwayTeam]], AV$11, Table2[[ActualResult]:[ActualResult]], "REG"))) + (1*(SUMIFS(Table2[[HomeWon_]:[HomeWon_]], Table2[[GameIsOver]:[GameIsOver]],1,Table2[[AwayTeam]:[AwayTeam]],$T18, Table2[[HomeTeam]:[HomeTeam]], AV$11, Table2[[ActualResult]:[ActualResult]], "OT") + SUMIFS(Table2[[AwayWon]:[AwayWon]], Table2[[GameIsOver]:[GameIsOver]],1,Table2[[HomeTeam]:[HomeTeam]],$T18, Table2[[AwayTeam]:[AwayTeam]], AV$11, Table2[[ActualResult]:[ActualResult]], "OT") + SUMIFS(Table2[[HomeWon_]:[HomeWon_]], Table2[[GameIsOver]:[GameIsOver]],1,Table2[[AwayTeam]:[AwayTeam]],$T18, Table2[[HomeTeam]:[HomeTeam]], AV$11, Table2[[ActualResult]:[ActualResult]], "SO") + SUMIFS(Table2[[AwayWon]:[AwayWon]], Table2[[GameIsOver]:[GameIsOver]],1,Table2[[HomeTeam]:[HomeTeam]],$T18, Table2[[AwayTeam]:[AwayTeam]], AV$11, Table2[[ActualResult]:[ActualResult]], "SO")))</f>
        <v>0</v>
      </c>
      <c r="AW18">
        <f>(2*(SUMIFS(Table2[[AwayWon]:[AwayWon]], Table2[[GameIsOver]:[GameIsOver]],1,Table2[[AwayTeam]:[AwayTeam]],$T18, Table2[[HomeTeam]:[HomeTeam]], AW$11) + SUMIFS(Table2[[HomeWon_]:[HomeWon_]], Table2[[GameIsOver]:[GameIsOver]],1,Table2[[HomeTeam]:[HomeTeam]],$T18, Table2[[AwayTeam]:[AwayTeam]], AW$11))) + (0*(SUMIFS(Table2[[HomeWon_]:[HomeWon_]], Table2[[GameIsOver]:[GameIsOver]],1,Table2[[AwayTeam]:[AwayTeam]],$T18, Table2[[HomeTeam]:[HomeTeam]], AW$11, Table2[[ActualResult]:[ActualResult]], "REG") + SUMIFS(Table2[[AwayWon]:[AwayWon]], Table2[[GameIsOver]:[GameIsOver]],1,Table2[[HomeTeam]:[HomeTeam]],$T18, Table2[[AwayTeam]:[AwayTeam]], AW$11, Table2[[ActualResult]:[ActualResult]], "REG"))) + (1*(SUMIFS(Table2[[HomeWon_]:[HomeWon_]], Table2[[GameIsOver]:[GameIsOver]],1,Table2[[AwayTeam]:[AwayTeam]],$T18, Table2[[HomeTeam]:[HomeTeam]], AW$11, Table2[[ActualResult]:[ActualResult]], "OT") + SUMIFS(Table2[[AwayWon]:[AwayWon]], Table2[[GameIsOver]:[GameIsOver]],1,Table2[[HomeTeam]:[HomeTeam]],$T18, Table2[[AwayTeam]:[AwayTeam]], AW$11, Table2[[ActualResult]:[ActualResult]], "OT") + SUMIFS(Table2[[HomeWon_]:[HomeWon_]], Table2[[GameIsOver]:[GameIsOver]],1,Table2[[AwayTeam]:[AwayTeam]],$T18, Table2[[HomeTeam]:[HomeTeam]], AW$11, Table2[[ActualResult]:[ActualResult]], "SO") + SUMIFS(Table2[[AwayWon]:[AwayWon]], Table2[[GameIsOver]:[GameIsOver]],1,Table2[[HomeTeam]:[HomeTeam]],$T18, Table2[[AwayTeam]:[AwayTeam]], AW$11, Table2[[ActualResult]:[ActualResult]], "SO")))</f>
        <v>0</v>
      </c>
      <c r="AX18">
        <f>(2*(SUMIFS(Table2[[AwayWon]:[AwayWon]], Table2[[GameIsOver]:[GameIsOver]],1,Table2[[AwayTeam]:[AwayTeam]],$T18, Table2[[HomeTeam]:[HomeTeam]], AX$11) + SUMIFS(Table2[[HomeWon_]:[HomeWon_]], Table2[[GameIsOver]:[GameIsOver]],1,Table2[[HomeTeam]:[HomeTeam]],$T18, Table2[[AwayTeam]:[AwayTeam]], AX$11))) + (0*(SUMIFS(Table2[[HomeWon_]:[HomeWon_]], Table2[[GameIsOver]:[GameIsOver]],1,Table2[[AwayTeam]:[AwayTeam]],$T18, Table2[[HomeTeam]:[HomeTeam]], AX$11, Table2[[ActualResult]:[ActualResult]], "REG") + SUMIFS(Table2[[AwayWon]:[AwayWon]], Table2[[GameIsOver]:[GameIsOver]],1,Table2[[HomeTeam]:[HomeTeam]],$T18, Table2[[AwayTeam]:[AwayTeam]], AX$11, Table2[[ActualResult]:[ActualResult]], "REG"))) + (1*(SUMIFS(Table2[[HomeWon_]:[HomeWon_]], Table2[[GameIsOver]:[GameIsOver]],1,Table2[[AwayTeam]:[AwayTeam]],$T18, Table2[[HomeTeam]:[HomeTeam]], AX$11, Table2[[ActualResult]:[ActualResult]], "OT") + SUMIFS(Table2[[AwayWon]:[AwayWon]], Table2[[GameIsOver]:[GameIsOver]],1,Table2[[HomeTeam]:[HomeTeam]],$T18, Table2[[AwayTeam]:[AwayTeam]], AX$11, Table2[[ActualResult]:[ActualResult]], "OT") + SUMIFS(Table2[[HomeWon_]:[HomeWon_]], Table2[[GameIsOver]:[GameIsOver]],1,Table2[[AwayTeam]:[AwayTeam]],$T18, Table2[[HomeTeam]:[HomeTeam]], AX$11, Table2[[ActualResult]:[ActualResult]], "SO") + SUMIFS(Table2[[AwayWon]:[AwayWon]], Table2[[GameIsOver]:[GameIsOver]],1,Table2[[HomeTeam]:[HomeTeam]],$T18, Table2[[AwayTeam]:[AwayTeam]], AX$11, Table2[[ActualResult]:[ActualResult]], "SO")))</f>
        <v>1</v>
      </c>
      <c r="AY18">
        <f>(2*(SUMIFS(Table2[[AwayWon]:[AwayWon]], Table2[[GameIsOver]:[GameIsOver]],1,Table2[[AwayTeam]:[AwayTeam]],$T18, Table2[[HomeTeam]:[HomeTeam]], AY$11) + SUMIFS(Table2[[HomeWon_]:[HomeWon_]], Table2[[GameIsOver]:[GameIsOver]],1,Table2[[HomeTeam]:[HomeTeam]],$T18, Table2[[AwayTeam]:[AwayTeam]], AY$11))) + (0*(SUMIFS(Table2[[HomeWon_]:[HomeWon_]], Table2[[GameIsOver]:[GameIsOver]],1,Table2[[AwayTeam]:[AwayTeam]],$T18, Table2[[HomeTeam]:[HomeTeam]], AY$11, Table2[[ActualResult]:[ActualResult]], "REG") + SUMIFS(Table2[[AwayWon]:[AwayWon]], Table2[[GameIsOver]:[GameIsOver]],1,Table2[[HomeTeam]:[HomeTeam]],$T18, Table2[[AwayTeam]:[AwayTeam]], AY$11, Table2[[ActualResult]:[ActualResult]], "REG"))) + (1*(SUMIFS(Table2[[HomeWon_]:[HomeWon_]], Table2[[GameIsOver]:[GameIsOver]],1,Table2[[AwayTeam]:[AwayTeam]],$T18, Table2[[HomeTeam]:[HomeTeam]], AY$11, Table2[[ActualResult]:[ActualResult]], "OT") + SUMIFS(Table2[[AwayWon]:[AwayWon]], Table2[[GameIsOver]:[GameIsOver]],1,Table2[[HomeTeam]:[HomeTeam]],$T18, Table2[[AwayTeam]:[AwayTeam]], AY$11, Table2[[ActualResult]:[ActualResult]], "OT") + SUMIFS(Table2[[HomeWon_]:[HomeWon_]], Table2[[GameIsOver]:[GameIsOver]],1,Table2[[AwayTeam]:[AwayTeam]],$T18, Table2[[HomeTeam]:[HomeTeam]], AY$11, Table2[[ActualResult]:[ActualResult]], "SO") + SUMIFS(Table2[[AwayWon]:[AwayWon]], Table2[[GameIsOver]:[GameIsOver]],1,Table2[[HomeTeam]:[HomeTeam]],$T18, Table2[[AwayTeam]:[AwayTeam]], AY$11, Table2[[ActualResult]:[ActualResult]], "SO")))</f>
        <v>2</v>
      </c>
      <c r="AZ18">
        <f>(2*(SUMIFS(Table2[[AwayWon]:[AwayWon]], Table2[[GameIsOver]:[GameIsOver]],1,Table2[[AwayTeam]:[AwayTeam]],$T18, Table2[[HomeTeam]:[HomeTeam]], AZ$11) + SUMIFS(Table2[[HomeWon_]:[HomeWon_]], Table2[[GameIsOver]:[GameIsOver]],1,Table2[[HomeTeam]:[HomeTeam]],$T18, Table2[[AwayTeam]:[AwayTeam]], AZ$11))) + (0*(SUMIFS(Table2[[HomeWon_]:[HomeWon_]], Table2[[GameIsOver]:[GameIsOver]],1,Table2[[AwayTeam]:[AwayTeam]],$T18, Table2[[HomeTeam]:[HomeTeam]], AZ$11, Table2[[ActualResult]:[ActualResult]], "REG") + SUMIFS(Table2[[AwayWon]:[AwayWon]], Table2[[GameIsOver]:[GameIsOver]],1,Table2[[HomeTeam]:[HomeTeam]],$T18, Table2[[AwayTeam]:[AwayTeam]], AZ$11, Table2[[ActualResult]:[ActualResult]], "REG"))) + (1*(SUMIFS(Table2[[HomeWon_]:[HomeWon_]], Table2[[GameIsOver]:[GameIsOver]],1,Table2[[AwayTeam]:[AwayTeam]],$T18, Table2[[HomeTeam]:[HomeTeam]], AZ$11, Table2[[ActualResult]:[ActualResult]], "OT") + SUMIFS(Table2[[AwayWon]:[AwayWon]], Table2[[GameIsOver]:[GameIsOver]],1,Table2[[HomeTeam]:[HomeTeam]],$T18, Table2[[AwayTeam]:[AwayTeam]], AZ$11, Table2[[ActualResult]:[ActualResult]], "OT") + SUMIFS(Table2[[HomeWon_]:[HomeWon_]], Table2[[GameIsOver]:[GameIsOver]],1,Table2[[AwayTeam]:[AwayTeam]],$T18, Table2[[HomeTeam]:[HomeTeam]], AZ$11, Table2[[ActualResult]:[ActualResult]], "SO") + SUMIFS(Table2[[AwayWon]:[AwayWon]], Table2[[GameIsOver]:[GameIsOver]],1,Table2[[HomeTeam]:[HomeTeam]],$T18, Table2[[AwayTeam]:[AwayTeam]], AZ$11, Table2[[ActualResult]:[ActualResult]], "SO")))</f>
        <v>0</v>
      </c>
      <c r="BA18">
        <f>(2*(SUMIFS(Table2[[AwayWon]:[AwayWon]], Table2[[GameIsOver]:[GameIsOver]],1,Table2[[AwayTeam]:[AwayTeam]],$T18, Table2[[HomeTeam]:[HomeTeam]], BA$11) + SUMIFS(Table2[[HomeWon_]:[HomeWon_]], Table2[[GameIsOver]:[GameIsOver]],1,Table2[[HomeTeam]:[HomeTeam]],$T18, Table2[[AwayTeam]:[AwayTeam]], BA$11))) + (0*(SUMIFS(Table2[[HomeWon_]:[HomeWon_]], Table2[[GameIsOver]:[GameIsOver]],1,Table2[[AwayTeam]:[AwayTeam]],$T18, Table2[[HomeTeam]:[HomeTeam]], BA$11, Table2[[ActualResult]:[ActualResult]], "REG") + SUMIFS(Table2[[AwayWon]:[AwayWon]], Table2[[GameIsOver]:[GameIsOver]],1,Table2[[HomeTeam]:[HomeTeam]],$T18, Table2[[AwayTeam]:[AwayTeam]], BA$11, Table2[[ActualResult]:[ActualResult]], "REG"))) + (1*(SUMIFS(Table2[[HomeWon_]:[HomeWon_]], Table2[[GameIsOver]:[GameIsOver]],1,Table2[[AwayTeam]:[AwayTeam]],$T18, Table2[[HomeTeam]:[HomeTeam]], BA$11, Table2[[ActualResult]:[ActualResult]], "OT") + SUMIFS(Table2[[AwayWon]:[AwayWon]], Table2[[GameIsOver]:[GameIsOver]],1,Table2[[HomeTeam]:[HomeTeam]],$T18, Table2[[AwayTeam]:[AwayTeam]], BA$11, Table2[[ActualResult]:[ActualResult]], "OT") + SUMIFS(Table2[[HomeWon_]:[HomeWon_]], Table2[[GameIsOver]:[GameIsOver]],1,Table2[[AwayTeam]:[AwayTeam]],$T18, Table2[[HomeTeam]:[HomeTeam]], BA$11, Table2[[ActualResult]:[ActualResult]], "SO") + SUMIFS(Table2[[AwayWon]:[AwayWon]], Table2[[GameIsOver]:[GameIsOver]],1,Table2[[HomeTeam]:[HomeTeam]],$T18, Table2[[AwayTeam]:[AwayTeam]], BA$11, Table2[[ActualResult]:[ActualResult]], "SO")))</f>
        <v>0</v>
      </c>
    </row>
    <row r="19" spans="1:53" x14ac:dyDescent="0.25">
      <c r="A19" s="62" t="s">
        <v>32</v>
      </c>
      <c r="B19" s="62" t="s">
        <v>91</v>
      </c>
      <c r="C19" s="62" t="s">
        <v>92</v>
      </c>
      <c r="D19" s="62">
        <f>INDEX(Table3[PTS], MATCH(Table6[[#This Row],[Teams]], Table3[Teams],0))</f>
        <v>6</v>
      </c>
      <c r="E19" s="62">
        <f>INDEX(Table3[PTS], MATCH(Table6[[#This Row],[Teams]], Table3[Teams],0))</f>
        <v>6</v>
      </c>
      <c r="S19">
        <v>1</v>
      </c>
      <c r="T19" t="str" cm="1">
        <f t="array" ref="T19">INDEX(Table6[Teams], SMALL(IF(Table6[D]="C", ROW(Table6[Teams])-ROW(Table6[#Headers])), Table710[[#This Row],[CEN]]))</f>
        <v>CHI</v>
      </c>
      <c r="U19">
        <f>INDEX(Table6[PTS], MATCH($T19, Table6[Teams], 0))</f>
        <v>8</v>
      </c>
      <c r="V19">
        <f>(2*(SUMIFS(Table2[[AwayWon]:[AwayWon]], Table2[[GameIsOver]:[GameIsOver]],1,Table2[[AwayTeam]:[AwayTeam]],$T19, Table2[[HomeTeam]:[HomeTeam]], V$11) + SUMIFS(Table2[[HomeWon_]:[HomeWon_]], Table2[[GameIsOver]:[GameIsOver]],1,Table2[[HomeTeam]:[HomeTeam]],$T19, Table2[[AwayTeam]:[AwayTeam]], V$11))) + (0*(SUMIFS(Table2[[HomeWon_]:[HomeWon_]], Table2[[GameIsOver]:[GameIsOver]],1,Table2[[AwayTeam]:[AwayTeam]],$T19, Table2[[HomeTeam]:[HomeTeam]], V$11, Table2[[ActualResult]:[ActualResult]], "REG") + SUMIFS(Table2[[AwayWon]:[AwayWon]], Table2[[GameIsOver]:[GameIsOver]],1,Table2[[HomeTeam]:[HomeTeam]],$T19, Table2[[AwayTeam]:[AwayTeam]], V$11, Table2[[ActualResult]:[ActualResult]], "REG"))) + (1*(SUMIFS(Table2[[HomeWon_]:[HomeWon_]], Table2[[GameIsOver]:[GameIsOver]],1,Table2[[AwayTeam]:[AwayTeam]],$T19, Table2[[HomeTeam]:[HomeTeam]], V$11, Table2[[ActualResult]:[ActualResult]], "OT") + SUMIFS(Table2[[AwayWon]:[AwayWon]], Table2[[GameIsOver]:[GameIsOver]],1,Table2[[HomeTeam]:[HomeTeam]],$T19, Table2[[AwayTeam]:[AwayTeam]], V$11, Table2[[ActualResult]:[ActualResult]], "OT") + SUMIFS(Table2[[HomeWon_]:[HomeWon_]], Table2[[GameIsOver]:[GameIsOver]],1,Table2[[AwayTeam]:[AwayTeam]],$T19, Table2[[HomeTeam]:[HomeTeam]], V$11, Table2[[ActualResult]:[ActualResult]], "SO") + SUMIFS(Table2[[AwayWon]:[AwayWon]], Table2[[GameIsOver]:[GameIsOver]],1,Table2[[HomeTeam]:[HomeTeam]],$T19, Table2[[AwayTeam]:[AwayTeam]], V$11, Table2[[ActualResult]:[ActualResult]], "SO")))</f>
        <v>2</v>
      </c>
      <c r="W19">
        <f>(2*(SUMIFS(Table2[[AwayWon]:[AwayWon]], Table2[[GameIsOver]:[GameIsOver]],1,Table2[[AwayTeam]:[AwayTeam]],$T19, Table2[[HomeTeam]:[HomeTeam]], W$11) + SUMIFS(Table2[[HomeWon_]:[HomeWon_]], Table2[[GameIsOver]:[GameIsOver]],1,Table2[[HomeTeam]:[HomeTeam]],$T19, Table2[[AwayTeam]:[AwayTeam]], W$11))) + (0*(SUMIFS(Table2[[HomeWon_]:[HomeWon_]], Table2[[GameIsOver]:[GameIsOver]],1,Table2[[AwayTeam]:[AwayTeam]],$T19, Table2[[HomeTeam]:[HomeTeam]], W$11, Table2[[ActualResult]:[ActualResult]], "REG") + SUMIFS(Table2[[AwayWon]:[AwayWon]], Table2[[GameIsOver]:[GameIsOver]],1,Table2[[HomeTeam]:[HomeTeam]],$T19, Table2[[AwayTeam]:[AwayTeam]], W$11, Table2[[ActualResult]:[ActualResult]], "REG"))) + (1*(SUMIFS(Table2[[HomeWon_]:[HomeWon_]], Table2[[GameIsOver]:[GameIsOver]],1,Table2[[AwayTeam]:[AwayTeam]],$T19, Table2[[HomeTeam]:[HomeTeam]], W$11, Table2[[ActualResult]:[ActualResult]], "OT") + SUMIFS(Table2[[AwayWon]:[AwayWon]], Table2[[GameIsOver]:[GameIsOver]],1,Table2[[HomeTeam]:[HomeTeam]],$T19, Table2[[AwayTeam]:[AwayTeam]], W$11, Table2[[ActualResult]:[ActualResult]], "OT") + SUMIFS(Table2[[HomeWon_]:[HomeWon_]], Table2[[GameIsOver]:[GameIsOver]],1,Table2[[AwayTeam]:[AwayTeam]],$T19, Table2[[HomeTeam]:[HomeTeam]], W$11, Table2[[ActualResult]:[ActualResult]], "SO") + SUMIFS(Table2[[AwayWon]:[AwayWon]], Table2[[GameIsOver]:[GameIsOver]],1,Table2[[HomeTeam]:[HomeTeam]],$T19, Table2[[AwayTeam]:[AwayTeam]], W$11, Table2[[ActualResult]:[ActualResult]], "SO")))</f>
        <v>0</v>
      </c>
      <c r="X19">
        <f>(2*(SUMIFS(Table2[[AwayWon]:[AwayWon]], Table2[[GameIsOver]:[GameIsOver]],1,Table2[[AwayTeam]:[AwayTeam]],$T19, Table2[[HomeTeam]:[HomeTeam]], X$11) + SUMIFS(Table2[[HomeWon_]:[HomeWon_]], Table2[[GameIsOver]:[GameIsOver]],1,Table2[[HomeTeam]:[HomeTeam]],$T19, Table2[[AwayTeam]:[AwayTeam]], X$11))) + (0*(SUMIFS(Table2[[HomeWon_]:[HomeWon_]], Table2[[GameIsOver]:[GameIsOver]],1,Table2[[AwayTeam]:[AwayTeam]],$T19, Table2[[HomeTeam]:[HomeTeam]], X$11, Table2[[ActualResult]:[ActualResult]], "REG") + SUMIFS(Table2[[AwayWon]:[AwayWon]], Table2[[GameIsOver]:[GameIsOver]],1,Table2[[HomeTeam]:[HomeTeam]],$T19, Table2[[AwayTeam]:[AwayTeam]], X$11, Table2[[ActualResult]:[ActualResult]], "REG"))) + (1*(SUMIFS(Table2[[HomeWon_]:[HomeWon_]], Table2[[GameIsOver]:[GameIsOver]],1,Table2[[AwayTeam]:[AwayTeam]],$T19, Table2[[HomeTeam]:[HomeTeam]], X$11, Table2[[ActualResult]:[ActualResult]], "OT") + SUMIFS(Table2[[AwayWon]:[AwayWon]], Table2[[GameIsOver]:[GameIsOver]],1,Table2[[HomeTeam]:[HomeTeam]],$T19, Table2[[AwayTeam]:[AwayTeam]], X$11, Table2[[ActualResult]:[ActualResult]], "OT") + SUMIFS(Table2[[HomeWon_]:[HomeWon_]], Table2[[GameIsOver]:[GameIsOver]],1,Table2[[AwayTeam]:[AwayTeam]],$T19, Table2[[HomeTeam]:[HomeTeam]], X$11, Table2[[ActualResult]:[ActualResult]], "SO") + SUMIFS(Table2[[AwayWon]:[AwayWon]], Table2[[GameIsOver]:[GameIsOver]],1,Table2[[HomeTeam]:[HomeTeam]],$T19, Table2[[AwayTeam]:[AwayTeam]], X$11, Table2[[ActualResult]:[ActualResult]], "SO")))</f>
        <v>0</v>
      </c>
      <c r="Y19">
        <f>(2*(SUMIFS(Table2[[AwayWon]:[AwayWon]], Table2[[GameIsOver]:[GameIsOver]],1,Table2[[AwayTeam]:[AwayTeam]],$T19, Table2[[HomeTeam]:[HomeTeam]], Y$11) + SUMIFS(Table2[[HomeWon_]:[HomeWon_]], Table2[[GameIsOver]:[GameIsOver]],1,Table2[[HomeTeam]:[HomeTeam]],$T19, Table2[[AwayTeam]:[AwayTeam]], Y$11))) + (0*(SUMIFS(Table2[[HomeWon_]:[HomeWon_]], Table2[[GameIsOver]:[GameIsOver]],1,Table2[[AwayTeam]:[AwayTeam]],$T19, Table2[[HomeTeam]:[HomeTeam]], Y$11, Table2[[ActualResult]:[ActualResult]], "REG") + SUMIFS(Table2[[AwayWon]:[AwayWon]], Table2[[GameIsOver]:[GameIsOver]],1,Table2[[HomeTeam]:[HomeTeam]],$T19, Table2[[AwayTeam]:[AwayTeam]], Y$11, Table2[[ActualResult]:[ActualResult]], "REG"))) + (1*(SUMIFS(Table2[[HomeWon_]:[HomeWon_]], Table2[[GameIsOver]:[GameIsOver]],1,Table2[[AwayTeam]:[AwayTeam]],$T19, Table2[[HomeTeam]:[HomeTeam]], Y$11, Table2[[ActualResult]:[ActualResult]], "OT") + SUMIFS(Table2[[AwayWon]:[AwayWon]], Table2[[GameIsOver]:[GameIsOver]],1,Table2[[HomeTeam]:[HomeTeam]],$T19, Table2[[AwayTeam]:[AwayTeam]], Y$11, Table2[[ActualResult]:[ActualResult]], "OT") + SUMIFS(Table2[[HomeWon_]:[HomeWon_]], Table2[[GameIsOver]:[GameIsOver]],1,Table2[[AwayTeam]:[AwayTeam]],$T19, Table2[[HomeTeam]:[HomeTeam]], Y$11, Table2[[ActualResult]:[ActualResult]], "SO") + SUMIFS(Table2[[AwayWon]:[AwayWon]], Table2[[GameIsOver]:[GameIsOver]],1,Table2[[HomeTeam]:[HomeTeam]],$T19, Table2[[AwayTeam]:[AwayTeam]], Y$11, Table2[[ActualResult]:[ActualResult]], "SO")))</f>
        <v>0</v>
      </c>
      <c r="Z19">
        <f>(2*(SUMIFS(Table2[[AwayWon]:[AwayWon]], Table2[[GameIsOver]:[GameIsOver]],1,Table2[[AwayTeam]:[AwayTeam]],$T19, Table2[[HomeTeam]:[HomeTeam]], Z$11) + SUMIFS(Table2[[HomeWon_]:[HomeWon_]], Table2[[GameIsOver]:[GameIsOver]],1,Table2[[HomeTeam]:[HomeTeam]],$T19, Table2[[AwayTeam]:[AwayTeam]], Z$11))) + (0*(SUMIFS(Table2[[HomeWon_]:[HomeWon_]], Table2[[GameIsOver]:[GameIsOver]],1,Table2[[AwayTeam]:[AwayTeam]],$T19, Table2[[HomeTeam]:[HomeTeam]], Z$11, Table2[[ActualResult]:[ActualResult]], "REG") + SUMIFS(Table2[[AwayWon]:[AwayWon]], Table2[[GameIsOver]:[GameIsOver]],1,Table2[[HomeTeam]:[HomeTeam]],$T19, Table2[[AwayTeam]:[AwayTeam]], Z$11, Table2[[ActualResult]:[ActualResult]], "REG"))) + (1*(SUMIFS(Table2[[HomeWon_]:[HomeWon_]], Table2[[GameIsOver]:[GameIsOver]],1,Table2[[AwayTeam]:[AwayTeam]],$T19, Table2[[HomeTeam]:[HomeTeam]], Z$11, Table2[[ActualResult]:[ActualResult]], "OT") + SUMIFS(Table2[[AwayWon]:[AwayWon]], Table2[[GameIsOver]:[GameIsOver]],1,Table2[[HomeTeam]:[HomeTeam]],$T19, Table2[[AwayTeam]:[AwayTeam]], Z$11, Table2[[ActualResult]:[ActualResult]], "OT") + SUMIFS(Table2[[HomeWon_]:[HomeWon_]], Table2[[GameIsOver]:[GameIsOver]],1,Table2[[AwayTeam]:[AwayTeam]],$T19, Table2[[HomeTeam]:[HomeTeam]], Z$11, Table2[[ActualResult]:[ActualResult]], "SO") + SUMIFS(Table2[[AwayWon]:[AwayWon]], Table2[[GameIsOver]:[GameIsOver]],1,Table2[[HomeTeam]:[HomeTeam]],$T19, Table2[[AwayTeam]:[AwayTeam]], Z$11, Table2[[ActualResult]:[ActualResult]], "SO")))</f>
        <v>0</v>
      </c>
      <c r="AA19">
        <f>(2*(SUMIFS(Table2[[AwayWon]:[AwayWon]], Table2[[GameIsOver]:[GameIsOver]],1,Table2[[AwayTeam]:[AwayTeam]],$T19, Table2[[HomeTeam]:[HomeTeam]], AA$11) + SUMIFS(Table2[[HomeWon_]:[HomeWon_]], Table2[[GameIsOver]:[GameIsOver]],1,Table2[[HomeTeam]:[HomeTeam]],$T19, Table2[[AwayTeam]:[AwayTeam]], AA$11))) + (0*(SUMIFS(Table2[[HomeWon_]:[HomeWon_]], Table2[[GameIsOver]:[GameIsOver]],1,Table2[[AwayTeam]:[AwayTeam]],$T19, Table2[[HomeTeam]:[HomeTeam]], AA$11, Table2[[ActualResult]:[ActualResult]], "REG") + SUMIFS(Table2[[AwayWon]:[AwayWon]], Table2[[GameIsOver]:[GameIsOver]],1,Table2[[HomeTeam]:[HomeTeam]],$T19, Table2[[AwayTeam]:[AwayTeam]], AA$11, Table2[[ActualResult]:[ActualResult]], "REG"))) + (1*(SUMIFS(Table2[[HomeWon_]:[HomeWon_]], Table2[[GameIsOver]:[GameIsOver]],1,Table2[[AwayTeam]:[AwayTeam]],$T19, Table2[[HomeTeam]:[HomeTeam]], AA$11, Table2[[ActualResult]:[ActualResult]], "OT") + SUMIFS(Table2[[AwayWon]:[AwayWon]], Table2[[GameIsOver]:[GameIsOver]],1,Table2[[HomeTeam]:[HomeTeam]],$T19, Table2[[AwayTeam]:[AwayTeam]], AA$11, Table2[[ActualResult]:[ActualResult]], "OT") + SUMIFS(Table2[[HomeWon_]:[HomeWon_]], Table2[[GameIsOver]:[GameIsOver]],1,Table2[[AwayTeam]:[AwayTeam]],$T19, Table2[[HomeTeam]:[HomeTeam]], AA$11, Table2[[ActualResult]:[ActualResult]], "SO") + SUMIFS(Table2[[AwayWon]:[AwayWon]], Table2[[GameIsOver]:[GameIsOver]],1,Table2[[HomeTeam]:[HomeTeam]],$T19, Table2[[AwayTeam]:[AwayTeam]], AA$11, Table2[[ActualResult]:[ActualResult]], "SO")))</f>
        <v>0</v>
      </c>
      <c r="AB19">
        <f>(2*(SUMIFS(Table2[[AwayWon]:[AwayWon]], Table2[[GameIsOver]:[GameIsOver]],1,Table2[[AwayTeam]:[AwayTeam]],$T19, Table2[[HomeTeam]:[HomeTeam]], AB$11) + SUMIFS(Table2[[HomeWon_]:[HomeWon_]], Table2[[GameIsOver]:[GameIsOver]],1,Table2[[HomeTeam]:[HomeTeam]],$T19, Table2[[AwayTeam]:[AwayTeam]], AB$11))) + (0*(SUMIFS(Table2[[HomeWon_]:[HomeWon_]], Table2[[GameIsOver]:[GameIsOver]],1,Table2[[AwayTeam]:[AwayTeam]],$T19, Table2[[HomeTeam]:[HomeTeam]], AB$11, Table2[[ActualResult]:[ActualResult]], "REG") + SUMIFS(Table2[[AwayWon]:[AwayWon]], Table2[[GameIsOver]:[GameIsOver]],1,Table2[[HomeTeam]:[HomeTeam]],$T19, Table2[[AwayTeam]:[AwayTeam]], AB$11, Table2[[ActualResult]:[ActualResult]], "REG"))) + (1*(SUMIFS(Table2[[HomeWon_]:[HomeWon_]], Table2[[GameIsOver]:[GameIsOver]],1,Table2[[AwayTeam]:[AwayTeam]],$T19, Table2[[HomeTeam]:[HomeTeam]], AB$11, Table2[[ActualResult]:[ActualResult]], "OT") + SUMIFS(Table2[[AwayWon]:[AwayWon]], Table2[[GameIsOver]:[GameIsOver]],1,Table2[[HomeTeam]:[HomeTeam]],$T19, Table2[[AwayTeam]:[AwayTeam]], AB$11, Table2[[ActualResult]:[ActualResult]], "OT") + SUMIFS(Table2[[HomeWon_]:[HomeWon_]], Table2[[GameIsOver]:[GameIsOver]],1,Table2[[AwayTeam]:[AwayTeam]],$T19, Table2[[HomeTeam]:[HomeTeam]], AB$11, Table2[[ActualResult]:[ActualResult]], "SO") + SUMIFS(Table2[[AwayWon]:[AwayWon]], Table2[[GameIsOver]:[GameIsOver]],1,Table2[[HomeTeam]:[HomeTeam]],$T19, Table2[[AwayTeam]:[AwayTeam]], AB$11, Table2[[ActualResult]:[ActualResult]], "SO")))</f>
        <v>1</v>
      </c>
      <c r="AC19">
        <f>(2*(SUMIFS(Table2[[AwayWon]:[AwayWon]], Table2[[GameIsOver]:[GameIsOver]],1,Table2[[AwayTeam]:[AwayTeam]],$T19, Table2[[HomeTeam]:[HomeTeam]], AC$11) + SUMIFS(Table2[[HomeWon_]:[HomeWon_]], Table2[[GameIsOver]:[GameIsOver]],1,Table2[[HomeTeam]:[HomeTeam]],$T19, Table2[[AwayTeam]:[AwayTeam]], AC$11))) + (0*(SUMIFS(Table2[[HomeWon_]:[HomeWon_]], Table2[[GameIsOver]:[GameIsOver]],1,Table2[[AwayTeam]:[AwayTeam]],$T19, Table2[[HomeTeam]:[HomeTeam]], AC$11, Table2[[ActualResult]:[ActualResult]], "REG") + SUMIFS(Table2[[AwayWon]:[AwayWon]], Table2[[GameIsOver]:[GameIsOver]],1,Table2[[HomeTeam]:[HomeTeam]],$T19, Table2[[AwayTeam]:[AwayTeam]], AC$11, Table2[[ActualResult]:[ActualResult]], "REG"))) + (1*(SUMIFS(Table2[[HomeWon_]:[HomeWon_]], Table2[[GameIsOver]:[GameIsOver]],1,Table2[[AwayTeam]:[AwayTeam]],$T19, Table2[[HomeTeam]:[HomeTeam]], AC$11, Table2[[ActualResult]:[ActualResult]], "OT") + SUMIFS(Table2[[AwayWon]:[AwayWon]], Table2[[GameIsOver]:[GameIsOver]],1,Table2[[HomeTeam]:[HomeTeam]],$T19, Table2[[AwayTeam]:[AwayTeam]], AC$11, Table2[[ActualResult]:[ActualResult]], "OT") + SUMIFS(Table2[[HomeWon_]:[HomeWon_]], Table2[[GameIsOver]:[GameIsOver]],1,Table2[[AwayTeam]:[AwayTeam]],$T19, Table2[[HomeTeam]:[HomeTeam]], AC$11, Table2[[ActualResult]:[ActualResult]], "SO") + SUMIFS(Table2[[AwayWon]:[AwayWon]], Table2[[GameIsOver]:[GameIsOver]],1,Table2[[HomeTeam]:[HomeTeam]],$T19, Table2[[AwayTeam]:[AwayTeam]], AC$11, Table2[[ActualResult]:[ActualResult]], "SO")))</f>
        <v>0</v>
      </c>
      <c r="AD19">
        <f>(2*(SUMIFS(Table2[[AwayWon]:[AwayWon]], Table2[[GameIsOver]:[GameIsOver]],1,Table2[[AwayTeam]:[AwayTeam]],$T19, Table2[[HomeTeam]:[HomeTeam]], AD$11) + SUMIFS(Table2[[HomeWon_]:[HomeWon_]], Table2[[GameIsOver]:[GameIsOver]],1,Table2[[HomeTeam]:[HomeTeam]],$T19, Table2[[AwayTeam]:[AwayTeam]], AD$11))) + (0*(SUMIFS(Table2[[HomeWon_]:[HomeWon_]], Table2[[GameIsOver]:[GameIsOver]],1,Table2[[AwayTeam]:[AwayTeam]],$T19, Table2[[HomeTeam]:[HomeTeam]], AD$11, Table2[[ActualResult]:[ActualResult]], "REG") + SUMIFS(Table2[[AwayWon]:[AwayWon]], Table2[[GameIsOver]:[GameIsOver]],1,Table2[[HomeTeam]:[HomeTeam]],$T19, Table2[[AwayTeam]:[AwayTeam]], AD$11, Table2[[ActualResult]:[ActualResult]], "REG"))) + (1*(SUMIFS(Table2[[HomeWon_]:[HomeWon_]], Table2[[GameIsOver]:[GameIsOver]],1,Table2[[AwayTeam]:[AwayTeam]],$T19, Table2[[HomeTeam]:[HomeTeam]], AD$11, Table2[[ActualResult]:[ActualResult]], "OT") + SUMIFS(Table2[[AwayWon]:[AwayWon]], Table2[[GameIsOver]:[GameIsOver]],1,Table2[[HomeTeam]:[HomeTeam]],$T19, Table2[[AwayTeam]:[AwayTeam]], AD$11, Table2[[ActualResult]:[ActualResult]], "OT") + SUMIFS(Table2[[HomeWon_]:[HomeWon_]], Table2[[GameIsOver]:[GameIsOver]],1,Table2[[AwayTeam]:[AwayTeam]],$T19, Table2[[HomeTeam]:[HomeTeam]], AD$11, Table2[[ActualResult]:[ActualResult]], "SO") + SUMIFS(Table2[[AwayWon]:[AwayWon]], Table2[[GameIsOver]:[GameIsOver]],1,Table2[[HomeTeam]:[HomeTeam]],$T19, Table2[[AwayTeam]:[AwayTeam]], AD$11, Table2[[ActualResult]:[ActualResult]], "SO")))</f>
        <v>0</v>
      </c>
      <c r="AE19">
        <f>(2*(SUMIFS(Table2[[AwayWon]:[AwayWon]], Table2[[GameIsOver]:[GameIsOver]],1,Table2[[AwayTeam]:[AwayTeam]],$T19, Table2[[HomeTeam]:[HomeTeam]], AE$11) + SUMIFS(Table2[[HomeWon_]:[HomeWon_]], Table2[[GameIsOver]:[GameIsOver]],1,Table2[[HomeTeam]:[HomeTeam]],$T19, Table2[[AwayTeam]:[AwayTeam]], AE$11))) + (0*(SUMIFS(Table2[[HomeWon_]:[HomeWon_]], Table2[[GameIsOver]:[GameIsOver]],1,Table2[[AwayTeam]:[AwayTeam]],$T19, Table2[[HomeTeam]:[HomeTeam]], AE$11, Table2[[ActualResult]:[ActualResult]], "REG") + SUMIFS(Table2[[AwayWon]:[AwayWon]], Table2[[GameIsOver]:[GameIsOver]],1,Table2[[HomeTeam]:[HomeTeam]],$T19, Table2[[AwayTeam]:[AwayTeam]], AE$11, Table2[[ActualResult]:[ActualResult]], "REG"))) + (1*(SUMIFS(Table2[[HomeWon_]:[HomeWon_]], Table2[[GameIsOver]:[GameIsOver]],1,Table2[[AwayTeam]:[AwayTeam]],$T19, Table2[[HomeTeam]:[HomeTeam]], AE$11, Table2[[ActualResult]:[ActualResult]], "OT") + SUMIFS(Table2[[AwayWon]:[AwayWon]], Table2[[GameIsOver]:[GameIsOver]],1,Table2[[HomeTeam]:[HomeTeam]],$T19, Table2[[AwayTeam]:[AwayTeam]], AE$11, Table2[[ActualResult]:[ActualResult]], "OT") + SUMIFS(Table2[[HomeWon_]:[HomeWon_]], Table2[[GameIsOver]:[GameIsOver]],1,Table2[[AwayTeam]:[AwayTeam]],$T19, Table2[[HomeTeam]:[HomeTeam]], AE$11, Table2[[ActualResult]:[ActualResult]], "SO") + SUMIFS(Table2[[AwayWon]:[AwayWon]], Table2[[GameIsOver]:[GameIsOver]],1,Table2[[HomeTeam]:[HomeTeam]],$T19, Table2[[AwayTeam]:[AwayTeam]], AE$11, Table2[[ActualResult]:[ActualResult]], "SO")))</f>
        <v>0</v>
      </c>
      <c r="AF19">
        <f>(2*(SUMIFS(Table2[[AwayWon]:[AwayWon]], Table2[[GameIsOver]:[GameIsOver]],1,Table2[[AwayTeam]:[AwayTeam]],$T19, Table2[[HomeTeam]:[HomeTeam]], AF$11) + SUMIFS(Table2[[HomeWon_]:[HomeWon_]], Table2[[GameIsOver]:[GameIsOver]],1,Table2[[HomeTeam]:[HomeTeam]],$T19, Table2[[AwayTeam]:[AwayTeam]], AF$11))) + (0*(SUMIFS(Table2[[HomeWon_]:[HomeWon_]], Table2[[GameIsOver]:[GameIsOver]],1,Table2[[AwayTeam]:[AwayTeam]],$T19, Table2[[HomeTeam]:[HomeTeam]], AF$11, Table2[[ActualResult]:[ActualResult]], "REG") + SUMIFS(Table2[[AwayWon]:[AwayWon]], Table2[[GameIsOver]:[GameIsOver]],1,Table2[[HomeTeam]:[HomeTeam]],$T19, Table2[[AwayTeam]:[AwayTeam]], AF$11, Table2[[ActualResult]:[ActualResult]], "REG"))) + (1*(SUMIFS(Table2[[HomeWon_]:[HomeWon_]], Table2[[GameIsOver]:[GameIsOver]],1,Table2[[AwayTeam]:[AwayTeam]],$T19, Table2[[HomeTeam]:[HomeTeam]], AF$11, Table2[[ActualResult]:[ActualResult]], "OT") + SUMIFS(Table2[[AwayWon]:[AwayWon]], Table2[[GameIsOver]:[GameIsOver]],1,Table2[[HomeTeam]:[HomeTeam]],$T19, Table2[[AwayTeam]:[AwayTeam]], AF$11, Table2[[ActualResult]:[ActualResult]], "OT") + SUMIFS(Table2[[HomeWon_]:[HomeWon_]], Table2[[GameIsOver]:[GameIsOver]],1,Table2[[AwayTeam]:[AwayTeam]],$T19, Table2[[HomeTeam]:[HomeTeam]], AF$11, Table2[[ActualResult]:[ActualResult]], "SO") + SUMIFS(Table2[[AwayWon]:[AwayWon]], Table2[[GameIsOver]:[GameIsOver]],1,Table2[[HomeTeam]:[HomeTeam]],$T19, Table2[[AwayTeam]:[AwayTeam]], AF$11, Table2[[ActualResult]:[ActualResult]], "SO")))</f>
        <v>0</v>
      </c>
      <c r="AG19">
        <f>(2*(SUMIFS(Table2[[AwayWon]:[AwayWon]], Table2[[GameIsOver]:[GameIsOver]],1,Table2[[AwayTeam]:[AwayTeam]],$T19, Table2[[HomeTeam]:[HomeTeam]], AG$11) + SUMIFS(Table2[[HomeWon_]:[HomeWon_]], Table2[[GameIsOver]:[GameIsOver]],1,Table2[[HomeTeam]:[HomeTeam]],$T19, Table2[[AwayTeam]:[AwayTeam]], AG$11))) + (0*(SUMIFS(Table2[[HomeWon_]:[HomeWon_]], Table2[[GameIsOver]:[GameIsOver]],1,Table2[[AwayTeam]:[AwayTeam]],$T19, Table2[[HomeTeam]:[HomeTeam]], AG$11, Table2[[ActualResult]:[ActualResult]], "REG") + SUMIFS(Table2[[AwayWon]:[AwayWon]], Table2[[GameIsOver]:[GameIsOver]],1,Table2[[HomeTeam]:[HomeTeam]],$T19, Table2[[AwayTeam]:[AwayTeam]], AG$11, Table2[[ActualResult]:[ActualResult]], "REG"))) + (1*(SUMIFS(Table2[[HomeWon_]:[HomeWon_]], Table2[[GameIsOver]:[GameIsOver]],1,Table2[[AwayTeam]:[AwayTeam]],$T19, Table2[[HomeTeam]:[HomeTeam]], AG$11, Table2[[ActualResult]:[ActualResult]], "OT") + SUMIFS(Table2[[AwayWon]:[AwayWon]], Table2[[GameIsOver]:[GameIsOver]],1,Table2[[HomeTeam]:[HomeTeam]],$T19, Table2[[AwayTeam]:[AwayTeam]], AG$11, Table2[[ActualResult]:[ActualResult]], "OT") + SUMIFS(Table2[[HomeWon_]:[HomeWon_]], Table2[[GameIsOver]:[GameIsOver]],1,Table2[[AwayTeam]:[AwayTeam]],$T19, Table2[[HomeTeam]:[HomeTeam]], AG$11, Table2[[ActualResult]:[ActualResult]], "SO") + SUMIFS(Table2[[AwayWon]:[AwayWon]], Table2[[GameIsOver]:[GameIsOver]],1,Table2[[HomeTeam]:[HomeTeam]],$T19, Table2[[AwayTeam]:[AwayTeam]], AG$11, Table2[[ActualResult]:[ActualResult]], "SO")))</f>
        <v>0</v>
      </c>
      <c r="AH19">
        <f>(2*(SUMIFS(Table2[[AwayWon]:[AwayWon]], Table2[[GameIsOver]:[GameIsOver]],1,Table2[[AwayTeam]:[AwayTeam]],$T19, Table2[[HomeTeam]:[HomeTeam]], AH$11) + SUMIFS(Table2[[HomeWon_]:[HomeWon_]], Table2[[GameIsOver]:[GameIsOver]],1,Table2[[HomeTeam]:[HomeTeam]],$T19, Table2[[AwayTeam]:[AwayTeam]], AH$11))) + (0*(SUMIFS(Table2[[HomeWon_]:[HomeWon_]], Table2[[GameIsOver]:[GameIsOver]],1,Table2[[AwayTeam]:[AwayTeam]],$T19, Table2[[HomeTeam]:[HomeTeam]], AH$11, Table2[[ActualResult]:[ActualResult]], "REG") + SUMIFS(Table2[[AwayWon]:[AwayWon]], Table2[[GameIsOver]:[GameIsOver]],1,Table2[[HomeTeam]:[HomeTeam]],$T19, Table2[[AwayTeam]:[AwayTeam]], AH$11, Table2[[ActualResult]:[ActualResult]], "REG"))) + (1*(SUMIFS(Table2[[HomeWon_]:[HomeWon_]], Table2[[GameIsOver]:[GameIsOver]],1,Table2[[AwayTeam]:[AwayTeam]],$T19, Table2[[HomeTeam]:[HomeTeam]], AH$11, Table2[[ActualResult]:[ActualResult]], "OT") + SUMIFS(Table2[[AwayWon]:[AwayWon]], Table2[[GameIsOver]:[GameIsOver]],1,Table2[[HomeTeam]:[HomeTeam]],$T19, Table2[[AwayTeam]:[AwayTeam]], AH$11, Table2[[ActualResult]:[ActualResult]], "OT") + SUMIFS(Table2[[HomeWon_]:[HomeWon_]], Table2[[GameIsOver]:[GameIsOver]],1,Table2[[AwayTeam]:[AwayTeam]],$T19, Table2[[HomeTeam]:[HomeTeam]], AH$11, Table2[[ActualResult]:[ActualResult]], "SO") + SUMIFS(Table2[[AwayWon]:[AwayWon]], Table2[[GameIsOver]:[GameIsOver]],1,Table2[[HomeTeam]:[HomeTeam]],$T19, Table2[[AwayTeam]:[AwayTeam]], AH$11, Table2[[ActualResult]:[ActualResult]], "SO")))</f>
        <v>0</v>
      </c>
      <c r="AI19">
        <f>(2*(SUMIFS(Table2[[AwayWon]:[AwayWon]], Table2[[GameIsOver]:[GameIsOver]],1,Table2[[AwayTeam]:[AwayTeam]],$T19, Table2[[HomeTeam]:[HomeTeam]], AI$11) + SUMIFS(Table2[[HomeWon_]:[HomeWon_]], Table2[[GameIsOver]:[GameIsOver]],1,Table2[[HomeTeam]:[HomeTeam]],$T19, Table2[[AwayTeam]:[AwayTeam]], AI$11))) + (0*(SUMIFS(Table2[[HomeWon_]:[HomeWon_]], Table2[[GameIsOver]:[GameIsOver]],1,Table2[[AwayTeam]:[AwayTeam]],$T19, Table2[[HomeTeam]:[HomeTeam]], AI$11, Table2[[ActualResult]:[ActualResult]], "REG") + SUMIFS(Table2[[AwayWon]:[AwayWon]], Table2[[GameIsOver]:[GameIsOver]],1,Table2[[HomeTeam]:[HomeTeam]],$T19, Table2[[AwayTeam]:[AwayTeam]], AI$11, Table2[[ActualResult]:[ActualResult]], "REG"))) + (1*(SUMIFS(Table2[[HomeWon_]:[HomeWon_]], Table2[[GameIsOver]:[GameIsOver]],1,Table2[[AwayTeam]:[AwayTeam]],$T19, Table2[[HomeTeam]:[HomeTeam]], AI$11, Table2[[ActualResult]:[ActualResult]], "OT") + SUMIFS(Table2[[AwayWon]:[AwayWon]], Table2[[GameIsOver]:[GameIsOver]],1,Table2[[HomeTeam]:[HomeTeam]],$T19, Table2[[AwayTeam]:[AwayTeam]], AI$11, Table2[[ActualResult]:[ActualResult]], "OT") + SUMIFS(Table2[[HomeWon_]:[HomeWon_]], Table2[[GameIsOver]:[GameIsOver]],1,Table2[[AwayTeam]:[AwayTeam]],$T19, Table2[[HomeTeam]:[HomeTeam]], AI$11, Table2[[ActualResult]:[ActualResult]], "SO") + SUMIFS(Table2[[AwayWon]:[AwayWon]], Table2[[GameIsOver]:[GameIsOver]],1,Table2[[HomeTeam]:[HomeTeam]],$T19, Table2[[AwayTeam]:[AwayTeam]], AI$11, Table2[[ActualResult]:[ActualResult]], "SO")))</f>
        <v>2</v>
      </c>
      <c r="AJ19">
        <f>(2*(SUMIFS(Table2[[AwayWon]:[AwayWon]], Table2[[GameIsOver]:[GameIsOver]],1,Table2[[AwayTeam]:[AwayTeam]],$T19, Table2[[HomeTeam]:[HomeTeam]], AJ$11) + SUMIFS(Table2[[HomeWon_]:[HomeWon_]], Table2[[GameIsOver]:[GameIsOver]],1,Table2[[HomeTeam]:[HomeTeam]],$T19, Table2[[AwayTeam]:[AwayTeam]], AJ$11))) + (0*(SUMIFS(Table2[[HomeWon_]:[HomeWon_]], Table2[[GameIsOver]:[GameIsOver]],1,Table2[[AwayTeam]:[AwayTeam]],$T19, Table2[[HomeTeam]:[HomeTeam]], AJ$11, Table2[[ActualResult]:[ActualResult]], "REG") + SUMIFS(Table2[[AwayWon]:[AwayWon]], Table2[[GameIsOver]:[GameIsOver]],1,Table2[[HomeTeam]:[HomeTeam]],$T19, Table2[[AwayTeam]:[AwayTeam]], AJ$11, Table2[[ActualResult]:[ActualResult]], "REG"))) + (1*(SUMIFS(Table2[[HomeWon_]:[HomeWon_]], Table2[[GameIsOver]:[GameIsOver]],1,Table2[[AwayTeam]:[AwayTeam]],$T19, Table2[[HomeTeam]:[HomeTeam]], AJ$11, Table2[[ActualResult]:[ActualResult]], "OT") + SUMIFS(Table2[[AwayWon]:[AwayWon]], Table2[[GameIsOver]:[GameIsOver]],1,Table2[[HomeTeam]:[HomeTeam]],$T19, Table2[[AwayTeam]:[AwayTeam]], AJ$11, Table2[[ActualResult]:[ActualResult]], "OT") + SUMIFS(Table2[[HomeWon_]:[HomeWon_]], Table2[[GameIsOver]:[GameIsOver]],1,Table2[[AwayTeam]:[AwayTeam]],$T19, Table2[[HomeTeam]:[HomeTeam]], AJ$11, Table2[[ActualResult]:[ActualResult]], "SO") + SUMIFS(Table2[[AwayWon]:[AwayWon]], Table2[[GameIsOver]:[GameIsOver]],1,Table2[[HomeTeam]:[HomeTeam]],$T19, Table2[[AwayTeam]:[AwayTeam]], AJ$11, Table2[[ActualResult]:[ActualResult]], "SO")))</f>
        <v>2</v>
      </c>
      <c r="AK19">
        <f>(2*(SUMIFS(Table2[[AwayWon]:[AwayWon]], Table2[[GameIsOver]:[GameIsOver]],1,Table2[[AwayTeam]:[AwayTeam]],$T19, Table2[[HomeTeam]:[HomeTeam]], AK$11) + SUMIFS(Table2[[HomeWon_]:[HomeWon_]], Table2[[GameIsOver]:[GameIsOver]],1,Table2[[HomeTeam]:[HomeTeam]],$T19, Table2[[AwayTeam]:[AwayTeam]], AK$11))) + (0*(SUMIFS(Table2[[HomeWon_]:[HomeWon_]], Table2[[GameIsOver]:[GameIsOver]],1,Table2[[AwayTeam]:[AwayTeam]],$T19, Table2[[HomeTeam]:[HomeTeam]], AK$11, Table2[[ActualResult]:[ActualResult]], "REG") + SUMIFS(Table2[[AwayWon]:[AwayWon]], Table2[[GameIsOver]:[GameIsOver]],1,Table2[[HomeTeam]:[HomeTeam]],$T19, Table2[[AwayTeam]:[AwayTeam]], AK$11, Table2[[ActualResult]:[ActualResult]], "REG"))) + (1*(SUMIFS(Table2[[HomeWon_]:[HomeWon_]], Table2[[GameIsOver]:[GameIsOver]],1,Table2[[AwayTeam]:[AwayTeam]],$T19, Table2[[HomeTeam]:[HomeTeam]], AK$11, Table2[[ActualResult]:[ActualResult]], "OT") + SUMIFS(Table2[[AwayWon]:[AwayWon]], Table2[[GameIsOver]:[GameIsOver]],1,Table2[[HomeTeam]:[HomeTeam]],$T19, Table2[[AwayTeam]:[AwayTeam]], AK$11, Table2[[ActualResult]:[ActualResult]], "OT") + SUMIFS(Table2[[HomeWon_]:[HomeWon_]], Table2[[GameIsOver]:[GameIsOver]],1,Table2[[AwayTeam]:[AwayTeam]],$T19, Table2[[HomeTeam]:[HomeTeam]], AK$11, Table2[[ActualResult]:[ActualResult]], "SO") + SUMIFS(Table2[[AwayWon]:[AwayWon]], Table2[[GameIsOver]:[GameIsOver]],1,Table2[[HomeTeam]:[HomeTeam]],$T19, Table2[[AwayTeam]:[AwayTeam]], AK$11, Table2[[ActualResult]:[ActualResult]], "SO")))</f>
        <v>0</v>
      </c>
      <c r="AL19">
        <f>(2*(SUMIFS(Table2[[AwayWon]:[AwayWon]], Table2[[GameIsOver]:[GameIsOver]],1,Table2[[AwayTeam]:[AwayTeam]],$T19, Table2[[HomeTeam]:[HomeTeam]], AL$11) + SUMIFS(Table2[[HomeWon_]:[HomeWon_]], Table2[[GameIsOver]:[GameIsOver]],1,Table2[[HomeTeam]:[HomeTeam]],$T19, Table2[[AwayTeam]:[AwayTeam]], AL$11))) + (0*(SUMIFS(Table2[[HomeWon_]:[HomeWon_]], Table2[[GameIsOver]:[GameIsOver]],1,Table2[[AwayTeam]:[AwayTeam]],$T19, Table2[[HomeTeam]:[HomeTeam]], AL$11, Table2[[ActualResult]:[ActualResult]], "REG") + SUMIFS(Table2[[AwayWon]:[AwayWon]], Table2[[GameIsOver]:[GameIsOver]],1,Table2[[HomeTeam]:[HomeTeam]],$T19, Table2[[AwayTeam]:[AwayTeam]], AL$11, Table2[[ActualResult]:[ActualResult]], "REG"))) + (1*(SUMIFS(Table2[[HomeWon_]:[HomeWon_]], Table2[[GameIsOver]:[GameIsOver]],1,Table2[[AwayTeam]:[AwayTeam]],$T19, Table2[[HomeTeam]:[HomeTeam]], AL$11, Table2[[ActualResult]:[ActualResult]], "OT") + SUMIFS(Table2[[AwayWon]:[AwayWon]], Table2[[GameIsOver]:[GameIsOver]],1,Table2[[HomeTeam]:[HomeTeam]],$T19, Table2[[AwayTeam]:[AwayTeam]], AL$11, Table2[[ActualResult]:[ActualResult]], "OT") + SUMIFS(Table2[[HomeWon_]:[HomeWon_]], Table2[[GameIsOver]:[GameIsOver]],1,Table2[[AwayTeam]:[AwayTeam]],$T19, Table2[[HomeTeam]:[HomeTeam]], AL$11, Table2[[ActualResult]:[ActualResult]], "SO") + SUMIFS(Table2[[AwayWon]:[AwayWon]], Table2[[GameIsOver]:[GameIsOver]],1,Table2[[HomeTeam]:[HomeTeam]],$T19, Table2[[AwayTeam]:[AwayTeam]], AL$11, Table2[[ActualResult]:[ActualResult]], "SO")))</f>
        <v>0</v>
      </c>
      <c r="AM19">
        <f>(2*(SUMIFS(Table2[[AwayWon]:[AwayWon]], Table2[[GameIsOver]:[GameIsOver]],1,Table2[[AwayTeam]:[AwayTeam]],$T19, Table2[[HomeTeam]:[HomeTeam]], AM$11) + SUMIFS(Table2[[HomeWon_]:[HomeWon_]], Table2[[GameIsOver]:[GameIsOver]],1,Table2[[HomeTeam]:[HomeTeam]],$T19, Table2[[AwayTeam]:[AwayTeam]], AM$11))) + (0*(SUMIFS(Table2[[HomeWon_]:[HomeWon_]], Table2[[GameIsOver]:[GameIsOver]],1,Table2[[AwayTeam]:[AwayTeam]],$T19, Table2[[HomeTeam]:[HomeTeam]], AM$11, Table2[[ActualResult]:[ActualResult]], "REG") + SUMIFS(Table2[[AwayWon]:[AwayWon]], Table2[[GameIsOver]:[GameIsOver]],1,Table2[[HomeTeam]:[HomeTeam]],$T19, Table2[[AwayTeam]:[AwayTeam]], AM$11, Table2[[ActualResult]:[ActualResult]], "REG"))) + (1*(SUMIFS(Table2[[HomeWon_]:[HomeWon_]], Table2[[GameIsOver]:[GameIsOver]],1,Table2[[AwayTeam]:[AwayTeam]],$T19, Table2[[HomeTeam]:[HomeTeam]], AM$11, Table2[[ActualResult]:[ActualResult]], "OT") + SUMIFS(Table2[[AwayWon]:[AwayWon]], Table2[[GameIsOver]:[GameIsOver]],1,Table2[[HomeTeam]:[HomeTeam]],$T19, Table2[[AwayTeam]:[AwayTeam]], AM$11, Table2[[ActualResult]:[ActualResult]], "OT") + SUMIFS(Table2[[HomeWon_]:[HomeWon_]], Table2[[GameIsOver]:[GameIsOver]],1,Table2[[AwayTeam]:[AwayTeam]],$T19, Table2[[HomeTeam]:[HomeTeam]], AM$11, Table2[[ActualResult]:[ActualResult]], "SO") + SUMIFS(Table2[[AwayWon]:[AwayWon]], Table2[[GameIsOver]:[GameIsOver]],1,Table2[[HomeTeam]:[HomeTeam]],$T19, Table2[[AwayTeam]:[AwayTeam]], AM$11, Table2[[ActualResult]:[ActualResult]], "SO")))</f>
        <v>0</v>
      </c>
      <c r="AN19">
        <f>(2*(SUMIFS(Table2[[AwayWon]:[AwayWon]], Table2[[GameIsOver]:[GameIsOver]],1,Table2[[AwayTeam]:[AwayTeam]],$T19, Table2[[HomeTeam]:[HomeTeam]], AN$11) + SUMIFS(Table2[[HomeWon_]:[HomeWon_]], Table2[[GameIsOver]:[GameIsOver]],1,Table2[[HomeTeam]:[HomeTeam]],$T19, Table2[[AwayTeam]:[AwayTeam]], AN$11))) + (0*(SUMIFS(Table2[[HomeWon_]:[HomeWon_]], Table2[[GameIsOver]:[GameIsOver]],1,Table2[[AwayTeam]:[AwayTeam]],$T19, Table2[[HomeTeam]:[HomeTeam]], AN$11, Table2[[ActualResult]:[ActualResult]], "REG") + SUMIFS(Table2[[AwayWon]:[AwayWon]], Table2[[GameIsOver]:[GameIsOver]],1,Table2[[HomeTeam]:[HomeTeam]],$T19, Table2[[AwayTeam]:[AwayTeam]], AN$11, Table2[[ActualResult]:[ActualResult]], "REG"))) + (1*(SUMIFS(Table2[[HomeWon_]:[HomeWon_]], Table2[[GameIsOver]:[GameIsOver]],1,Table2[[AwayTeam]:[AwayTeam]],$T19, Table2[[HomeTeam]:[HomeTeam]], AN$11, Table2[[ActualResult]:[ActualResult]], "OT") + SUMIFS(Table2[[AwayWon]:[AwayWon]], Table2[[GameIsOver]:[GameIsOver]],1,Table2[[HomeTeam]:[HomeTeam]],$T19, Table2[[AwayTeam]:[AwayTeam]], AN$11, Table2[[ActualResult]:[ActualResult]], "OT") + SUMIFS(Table2[[HomeWon_]:[HomeWon_]], Table2[[GameIsOver]:[GameIsOver]],1,Table2[[AwayTeam]:[AwayTeam]],$T19, Table2[[HomeTeam]:[HomeTeam]], AN$11, Table2[[ActualResult]:[ActualResult]], "SO") + SUMIFS(Table2[[AwayWon]:[AwayWon]], Table2[[GameIsOver]:[GameIsOver]],1,Table2[[HomeTeam]:[HomeTeam]],$T19, Table2[[AwayTeam]:[AwayTeam]], AN$11, Table2[[ActualResult]:[ActualResult]], "SO")))</f>
        <v>0</v>
      </c>
      <c r="AO19">
        <f>(2*(SUMIFS(Table2[[AwayWon]:[AwayWon]], Table2[[GameIsOver]:[GameIsOver]],1,Table2[[AwayTeam]:[AwayTeam]],$T19, Table2[[HomeTeam]:[HomeTeam]], AO$11) + SUMIFS(Table2[[HomeWon_]:[HomeWon_]], Table2[[GameIsOver]:[GameIsOver]],1,Table2[[HomeTeam]:[HomeTeam]],$T19, Table2[[AwayTeam]:[AwayTeam]], AO$11))) + (0*(SUMIFS(Table2[[HomeWon_]:[HomeWon_]], Table2[[GameIsOver]:[GameIsOver]],1,Table2[[AwayTeam]:[AwayTeam]],$T19, Table2[[HomeTeam]:[HomeTeam]], AO$11, Table2[[ActualResult]:[ActualResult]], "REG") + SUMIFS(Table2[[AwayWon]:[AwayWon]], Table2[[GameIsOver]:[GameIsOver]],1,Table2[[HomeTeam]:[HomeTeam]],$T19, Table2[[AwayTeam]:[AwayTeam]], AO$11, Table2[[ActualResult]:[ActualResult]], "REG"))) + (1*(SUMIFS(Table2[[HomeWon_]:[HomeWon_]], Table2[[GameIsOver]:[GameIsOver]],1,Table2[[AwayTeam]:[AwayTeam]],$T19, Table2[[HomeTeam]:[HomeTeam]], AO$11, Table2[[ActualResult]:[ActualResult]], "OT") + SUMIFS(Table2[[AwayWon]:[AwayWon]], Table2[[GameIsOver]:[GameIsOver]],1,Table2[[HomeTeam]:[HomeTeam]],$T19, Table2[[AwayTeam]:[AwayTeam]], AO$11, Table2[[ActualResult]:[ActualResult]], "OT") + SUMIFS(Table2[[HomeWon_]:[HomeWon_]], Table2[[GameIsOver]:[GameIsOver]],1,Table2[[AwayTeam]:[AwayTeam]],$T19, Table2[[HomeTeam]:[HomeTeam]], AO$11, Table2[[ActualResult]:[ActualResult]], "SO") + SUMIFS(Table2[[AwayWon]:[AwayWon]], Table2[[GameIsOver]:[GameIsOver]],1,Table2[[HomeTeam]:[HomeTeam]],$T19, Table2[[AwayTeam]:[AwayTeam]], AO$11, Table2[[ActualResult]:[ActualResult]], "SO")))</f>
        <v>0</v>
      </c>
      <c r="AP19">
        <f>(2*(SUMIFS(Table2[[AwayWon]:[AwayWon]], Table2[[GameIsOver]:[GameIsOver]],1,Table2[[AwayTeam]:[AwayTeam]],$T19, Table2[[HomeTeam]:[HomeTeam]], AP$11) + SUMIFS(Table2[[HomeWon_]:[HomeWon_]], Table2[[GameIsOver]:[GameIsOver]],1,Table2[[HomeTeam]:[HomeTeam]],$T19, Table2[[AwayTeam]:[AwayTeam]], AP$11))) + (0*(SUMIFS(Table2[[HomeWon_]:[HomeWon_]], Table2[[GameIsOver]:[GameIsOver]],1,Table2[[AwayTeam]:[AwayTeam]],$T19, Table2[[HomeTeam]:[HomeTeam]], AP$11, Table2[[ActualResult]:[ActualResult]], "REG") + SUMIFS(Table2[[AwayWon]:[AwayWon]], Table2[[GameIsOver]:[GameIsOver]],1,Table2[[HomeTeam]:[HomeTeam]],$T19, Table2[[AwayTeam]:[AwayTeam]], AP$11, Table2[[ActualResult]:[ActualResult]], "REG"))) + (1*(SUMIFS(Table2[[HomeWon_]:[HomeWon_]], Table2[[GameIsOver]:[GameIsOver]],1,Table2[[AwayTeam]:[AwayTeam]],$T19, Table2[[HomeTeam]:[HomeTeam]], AP$11, Table2[[ActualResult]:[ActualResult]], "OT") + SUMIFS(Table2[[AwayWon]:[AwayWon]], Table2[[GameIsOver]:[GameIsOver]],1,Table2[[HomeTeam]:[HomeTeam]],$T19, Table2[[AwayTeam]:[AwayTeam]], AP$11, Table2[[ActualResult]:[ActualResult]], "OT") + SUMIFS(Table2[[HomeWon_]:[HomeWon_]], Table2[[GameIsOver]:[GameIsOver]],1,Table2[[AwayTeam]:[AwayTeam]],$T19, Table2[[HomeTeam]:[HomeTeam]], AP$11, Table2[[ActualResult]:[ActualResult]], "SO") + SUMIFS(Table2[[AwayWon]:[AwayWon]], Table2[[GameIsOver]:[GameIsOver]],1,Table2[[HomeTeam]:[HomeTeam]],$T19, Table2[[AwayTeam]:[AwayTeam]], AP$11, Table2[[ActualResult]:[ActualResult]], "SO")))</f>
        <v>0</v>
      </c>
      <c r="AQ19">
        <f>(2*(SUMIFS(Table2[[AwayWon]:[AwayWon]], Table2[[GameIsOver]:[GameIsOver]],1,Table2[[AwayTeam]:[AwayTeam]],$T19, Table2[[HomeTeam]:[HomeTeam]], AQ$11) + SUMIFS(Table2[[HomeWon_]:[HomeWon_]], Table2[[GameIsOver]:[GameIsOver]],1,Table2[[HomeTeam]:[HomeTeam]],$T19, Table2[[AwayTeam]:[AwayTeam]], AQ$11))) + (0*(SUMIFS(Table2[[HomeWon_]:[HomeWon_]], Table2[[GameIsOver]:[GameIsOver]],1,Table2[[AwayTeam]:[AwayTeam]],$T19, Table2[[HomeTeam]:[HomeTeam]], AQ$11, Table2[[ActualResult]:[ActualResult]], "REG") + SUMIFS(Table2[[AwayWon]:[AwayWon]], Table2[[GameIsOver]:[GameIsOver]],1,Table2[[HomeTeam]:[HomeTeam]],$T19, Table2[[AwayTeam]:[AwayTeam]], AQ$11, Table2[[ActualResult]:[ActualResult]], "REG"))) + (1*(SUMIFS(Table2[[HomeWon_]:[HomeWon_]], Table2[[GameIsOver]:[GameIsOver]],1,Table2[[AwayTeam]:[AwayTeam]],$T19, Table2[[HomeTeam]:[HomeTeam]], AQ$11, Table2[[ActualResult]:[ActualResult]], "OT") + SUMIFS(Table2[[AwayWon]:[AwayWon]], Table2[[GameIsOver]:[GameIsOver]],1,Table2[[HomeTeam]:[HomeTeam]],$T19, Table2[[AwayTeam]:[AwayTeam]], AQ$11, Table2[[ActualResult]:[ActualResult]], "OT") + SUMIFS(Table2[[HomeWon_]:[HomeWon_]], Table2[[GameIsOver]:[GameIsOver]],1,Table2[[AwayTeam]:[AwayTeam]],$T19, Table2[[HomeTeam]:[HomeTeam]], AQ$11, Table2[[ActualResult]:[ActualResult]], "SO") + SUMIFS(Table2[[AwayWon]:[AwayWon]], Table2[[GameIsOver]:[GameIsOver]],1,Table2[[HomeTeam]:[HomeTeam]],$T19, Table2[[AwayTeam]:[AwayTeam]], AQ$11, Table2[[ActualResult]:[ActualResult]], "SO")))</f>
        <v>0</v>
      </c>
      <c r="AR19">
        <f>(2*(SUMIFS(Table2[[AwayWon]:[AwayWon]], Table2[[GameIsOver]:[GameIsOver]],1,Table2[[AwayTeam]:[AwayTeam]],$T19, Table2[[HomeTeam]:[HomeTeam]], AR$11) + SUMIFS(Table2[[HomeWon_]:[HomeWon_]], Table2[[GameIsOver]:[GameIsOver]],1,Table2[[HomeTeam]:[HomeTeam]],$T19, Table2[[AwayTeam]:[AwayTeam]], AR$11))) + (0*(SUMIFS(Table2[[HomeWon_]:[HomeWon_]], Table2[[GameIsOver]:[GameIsOver]],1,Table2[[AwayTeam]:[AwayTeam]],$T19, Table2[[HomeTeam]:[HomeTeam]], AR$11, Table2[[ActualResult]:[ActualResult]], "REG") + SUMIFS(Table2[[AwayWon]:[AwayWon]], Table2[[GameIsOver]:[GameIsOver]],1,Table2[[HomeTeam]:[HomeTeam]],$T19, Table2[[AwayTeam]:[AwayTeam]], AR$11, Table2[[ActualResult]:[ActualResult]], "REG"))) + (1*(SUMIFS(Table2[[HomeWon_]:[HomeWon_]], Table2[[GameIsOver]:[GameIsOver]],1,Table2[[AwayTeam]:[AwayTeam]],$T19, Table2[[HomeTeam]:[HomeTeam]], AR$11, Table2[[ActualResult]:[ActualResult]], "OT") + SUMIFS(Table2[[AwayWon]:[AwayWon]], Table2[[GameIsOver]:[GameIsOver]],1,Table2[[HomeTeam]:[HomeTeam]],$T19, Table2[[AwayTeam]:[AwayTeam]], AR$11, Table2[[ActualResult]:[ActualResult]], "OT") + SUMIFS(Table2[[HomeWon_]:[HomeWon_]], Table2[[GameIsOver]:[GameIsOver]],1,Table2[[AwayTeam]:[AwayTeam]],$T19, Table2[[HomeTeam]:[HomeTeam]], AR$11, Table2[[ActualResult]:[ActualResult]], "SO") + SUMIFS(Table2[[AwayWon]:[AwayWon]], Table2[[GameIsOver]:[GameIsOver]],1,Table2[[HomeTeam]:[HomeTeam]],$T19, Table2[[AwayTeam]:[AwayTeam]], AR$11, Table2[[ActualResult]:[ActualResult]], "SO")))</f>
        <v>0</v>
      </c>
      <c r="AS19">
        <f>(2*(SUMIFS(Table2[[AwayWon]:[AwayWon]], Table2[[GameIsOver]:[GameIsOver]],1,Table2[[AwayTeam]:[AwayTeam]],$T19, Table2[[HomeTeam]:[HomeTeam]], AS$11) + SUMIFS(Table2[[HomeWon_]:[HomeWon_]], Table2[[GameIsOver]:[GameIsOver]],1,Table2[[HomeTeam]:[HomeTeam]],$T19, Table2[[AwayTeam]:[AwayTeam]], AS$11))) + (0*(SUMIFS(Table2[[HomeWon_]:[HomeWon_]], Table2[[GameIsOver]:[GameIsOver]],1,Table2[[AwayTeam]:[AwayTeam]],$T19, Table2[[HomeTeam]:[HomeTeam]], AS$11, Table2[[ActualResult]:[ActualResult]], "REG") + SUMIFS(Table2[[AwayWon]:[AwayWon]], Table2[[GameIsOver]:[GameIsOver]],1,Table2[[HomeTeam]:[HomeTeam]],$T19, Table2[[AwayTeam]:[AwayTeam]], AS$11, Table2[[ActualResult]:[ActualResult]], "REG"))) + (1*(SUMIFS(Table2[[HomeWon_]:[HomeWon_]], Table2[[GameIsOver]:[GameIsOver]],1,Table2[[AwayTeam]:[AwayTeam]],$T19, Table2[[HomeTeam]:[HomeTeam]], AS$11, Table2[[ActualResult]:[ActualResult]], "OT") + SUMIFS(Table2[[AwayWon]:[AwayWon]], Table2[[GameIsOver]:[GameIsOver]],1,Table2[[HomeTeam]:[HomeTeam]],$T19, Table2[[AwayTeam]:[AwayTeam]], AS$11, Table2[[ActualResult]:[ActualResult]], "OT") + SUMIFS(Table2[[HomeWon_]:[HomeWon_]], Table2[[GameIsOver]:[GameIsOver]],1,Table2[[AwayTeam]:[AwayTeam]],$T19, Table2[[HomeTeam]:[HomeTeam]], AS$11, Table2[[ActualResult]:[ActualResult]], "SO") + SUMIFS(Table2[[AwayWon]:[AwayWon]], Table2[[GameIsOver]:[GameIsOver]],1,Table2[[HomeTeam]:[HomeTeam]],$T19, Table2[[AwayTeam]:[AwayTeam]], AS$11, Table2[[ActualResult]:[ActualResult]], "SO")))</f>
        <v>0</v>
      </c>
      <c r="AT19">
        <f>(2*(SUMIFS(Table2[[AwayWon]:[AwayWon]], Table2[[GameIsOver]:[GameIsOver]],1,Table2[[AwayTeam]:[AwayTeam]],$T19, Table2[[HomeTeam]:[HomeTeam]], AT$11) + SUMIFS(Table2[[HomeWon_]:[HomeWon_]], Table2[[GameIsOver]:[GameIsOver]],1,Table2[[HomeTeam]:[HomeTeam]],$T19, Table2[[AwayTeam]:[AwayTeam]], AT$11))) + (0*(SUMIFS(Table2[[HomeWon_]:[HomeWon_]], Table2[[GameIsOver]:[GameIsOver]],1,Table2[[AwayTeam]:[AwayTeam]],$T19, Table2[[HomeTeam]:[HomeTeam]], AT$11, Table2[[ActualResult]:[ActualResult]], "REG") + SUMIFS(Table2[[AwayWon]:[AwayWon]], Table2[[GameIsOver]:[GameIsOver]],1,Table2[[HomeTeam]:[HomeTeam]],$T19, Table2[[AwayTeam]:[AwayTeam]], AT$11, Table2[[ActualResult]:[ActualResult]], "REG"))) + (1*(SUMIFS(Table2[[HomeWon_]:[HomeWon_]], Table2[[GameIsOver]:[GameIsOver]],1,Table2[[AwayTeam]:[AwayTeam]],$T19, Table2[[HomeTeam]:[HomeTeam]], AT$11, Table2[[ActualResult]:[ActualResult]], "OT") + SUMIFS(Table2[[AwayWon]:[AwayWon]], Table2[[GameIsOver]:[GameIsOver]],1,Table2[[HomeTeam]:[HomeTeam]],$T19, Table2[[AwayTeam]:[AwayTeam]], AT$11, Table2[[ActualResult]:[ActualResult]], "OT") + SUMIFS(Table2[[HomeWon_]:[HomeWon_]], Table2[[GameIsOver]:[GameIsOver]],1,Table2[[AwayTeam]:[AwayTeam]],$T19, Table2[[HomeTeam]:[HomeTeam]], AT$11, Table2[[ActualResult]:[ActualResult]], "SO") + SUMIFS(Table2[[AwayWon]:[AwayWon]], Table2[[GameIsOver]:[GameIsOver]],1,Table2[[HomeTeam]:[HomeTeam]],$T19, Table2[[AwayTeam]:[AwayTeam]], AT$11, Table2[[ActualResult]:[ActualResult]], "SO")))</f>
        <v>1</v>
      </c>
      <c r="AU19">
        <f>(2*(SUMIFS(Table2[[AwayWon]:[AwayWon]], Table2[[GameIsOver]:[GameIsOver]],1,Table2[[AwayTeam]:[AwayTeam]],$T19, Table2[[HomeTeam]:[HomeTeam]], AU$11) + SUMIFS(Table2[[HomeWon_]:[HomeWon_]], Table2[[GameIsOver]:[GameIsOver]],1,Table2[[HomeTeam]:[HomeTeam]],$T19, Table2[[AwayTeam]:[AwayTeam]], AU$11))) + (0*(SUMIFS(Table2[[HomeWon_]:[HomeWon_]], Table2[[GameIsOver]:[GameIsOver]],1,Table2[[AwayTeam]:[AwayTeam]],$T19, Table2[[HomeTeam]:[HomeTeam]], AU$11, Table2[[ActualResult]:[ActualResult]], "REG") + SUMIFS(Table2[[AwayWon]:[AwayWon]], Table2[[GameIsOver]:[GameIsOver]],1,Table2[[HomeTeam]:[HomeTeam]],$T19, Table2[[AwayTeam]:[AwayTeam]], AU$11, Table2[[ActualResult]:[ActualResult]], "REG"))) + (1*(SUMIFS(Table2[[HomeWon_]:[HomeWon_]], Table2[[GameIsOver]:[GameIsOver]],1,Table2[[AwayTeam]:[AwayTeam]],$T19, Table2[[HomeTeam]:[HomeTeam]], AU$11, Table2[[ActualResult]:[ActualResult]], "OT") + SUMIFS(Table2[[AwayWon]:[AwayWon]], Table2[[GameIsOver]:[GameIsOver]],1,Table2[[HomeTeam]:[HomeTeam]],$T19, Table2[[AwayTeam]:[AwayTeam]], AU$11, Table2[[ActualResult]:[ActualResult]], "OT") + SUMIFS(Table2[[HomeWon_]:[HomeWon_]], Table2[[GameIsOver]:[GameIsOver]],1,Table2[[AwayTeam]:[AwayTeam]],$T19, Table2[[HomeTeam]:[HomeTeam]], AU$11, Table2[[ActualResult]:[ActualResult]], "SO") + SUMIFS(Table2[[AwayWon]:[AwayWon]], Table2[[GameIsOver]:[GameIsOver]],1,Table2[[HomeTeam]:[HomeTeam]],$T19, Table2[[AwayTeam]:[AwayTeam]], AU$11, Table2[[ActualResult]:[ActualResult]], "SO")))</f>
        <v>0</v>
      </c>
      <c r="AV19">
        <f>(2*(SUMIFS(Table2[[AwayWon]:[AwayWon]], Table2[[GameIsOver]:[GameIsOver]],1,Table2[[AwayTeam]:[AwayTeam]],$T19, Table2[[HomeTeam]:[HomeTeam]], AV$11) + SUMIFS(Table2[[HomeWon_]:[HomeWon_]], Table2[[GameIsOver]:[GameIsOver]],1,Table2[[HomeTeam]:[HomeTeam]],$T19, Table2[[AwayTeam]:[AwayTeam]], AV$11))) + (0*(SUMIFS(Table2[[HomeWon_]:[HomeWon_]], Table2[[GameIsOver]:[GameIsOver]],1,Table2[[AwayTeam]:[AwayTeam]],$T19, Table2[[HomeTeam]:[HomeTeam]], AV$11, Table2[[ActualResult]:[ActualResult]], "REG") + SUMIFS(Table2[[AwayWon]:[AwayWon]], Table2[[GameIsOver]:[GameIsOver]],1,Table2[[HomeTeam]:[HomeTeam]],$T19, Table2[[AwayTeam]:[AwayTeam]], AV$11, Table2[[ActualResult]:[ActualResult]], "REG"))) + (1*(SUMIFS(Table2[[HomeWon_]:[HomeWon_]], Table2[[GameIsOver]:[GameIsOver]],1,Table2[[AwayTeam]:[AwayTeam]],$T19, Table2[[HomeTeam]:[HomeTeam]], AV$11, Table2[[ActualResult]:[ActualResult]], "OT") + SUMIFS(Table2[[AwayWon]:[AwayWon]], Table2[[GameIsOver]:[GameIsOver]],1,Table2[[HomeTeam]:[HomeTeam]],$T19, Table2[[AwayTeam]:[AwayTeam]], AV$11, Table2[[ActualResult]:[ActualResult]], "OT") + SUMIFS(Table2[[HomeWon_]:[HomeWon_]], Table2[[GameIsOver]:[GameIsOver]],1,Table2[[AwayTeam]:[AwayTeam]],$T19, Table2[[HomeTeam]:[HomeTeam]], AV$11, Table2[[ActualResult]:[ActualResult]], "SO") + SUMIFS(Table2[[AwayWon]:[AwayWon]], Table2[[GameIsOver]:[GameIsOver]],1,Table2[[HomeTeam]:[HomeTeam]],$T19, Table2[[AwayTeam]:[AwayTeam]], AV$11, Table2[[ActualResult]:[ActualResult]], "SO")))</f>
        <v>0</v>
      </c>
      <c r="AW19">
        <f>(2*(SUMIFS(Table2[[AwayWon]:[AwayWon]], Table2[[GameIsOver]:[GameIsOver]],1,Table2[[AwayTeam]:[AwayTeam]],$T19, Table2[[HomeTeam]:[HomeTeam]], AW$11) + SUMIFS(Table2[[HomeWon_]:[HomeWon_]], Table2[[GameIsOver]:[GameIsOver]],1,Table2[[HomeTeam]:[HomeTeam]],$T19, Table2[[AwayTeam]:[AwayTeam]], AW$11))) + (0*(SUMIFS(Table2[[HomeWon_]:[HomeWon_]], Table2[[GameIsOver]:[GameIsOver]],1,Table2[[AwayTeam]:[AwayTeam]],$T19, Table2[[HomeTeam]:[HomeTeam]], AW$11, Table2[[ActualResult]:[ActualResult]], "REG") + SUMIFS(Table2[[AwayWon]:[AwayWon]], Table2[[GameIsOver]:[GameIsOver]],1,Table2[[HomeTeam]:[HomeTeam]],$T19, Table2[[AwayTeam]:[AwayTeam]], AW$11, Table2[[ActualResult]:[ActualResult]], "REG"))) + (1*(SUMIFS(Table2[[HomeWon_]:[HomeWon_]], Table2[[GameIsOver]:[GameIsOver]],1,Table2[[AwayTeam]:[AwayTeam]],$T19, Table2[[HomeTeam]:[HomeTeam]], AW$11, Table2[[ActualResult]:[ActualResult]], "OT") + SUMIFS(Table2[[AwayWon]:[AwayWon]], Table2[[GameIsOver]:[GameIsOver]],1,Table2[[HomeTeam]:[HomeTeam]],$T19, Table2[[AwayTeam]:[AwayTeam]], AW$11, Table2[[ActualResult]:[ActualResult]], "OT") + SUMIFS(Table2[[HomeWon_]:[HomeWon_]], Table2[[GameIsOver]:[GameIsOver]],1,Table2[[AwayTeam]:[AwayTeam]],$T19, Table2[[HomeTeam]:[HomeTeam]], AW$11, Table2[[ActualResult]:[ActualResult]], "SO") + SUMIFS(Table2[[AwayWon]:[AwayWon]], Table2[[GameIsOver]:[GameIsOver]],1,Table2[[HomeTeam]:[HomeTeam]],$T19, Table2[[AwayTeam]:[AwayTeam]], AW$11, Table2[[ActualResult]:[ActualResult]], "SO")))</f>
        <v>0</v>
      </c>
      <c r="AX19">
        <f>(2*(SUMIFS(Table2[[AwayWon]:[AwayWon]], Table2[[GameIsOver]:[GameIsOver]],1,Table2[[AwayTeam]:[AwayTeam]],$T19, Table2[[HomeTeam]:[HomeTeam]], AX$11) + SUMIFS(Table2[[HomeWon_]:[HomeWon_]], Table2[[GameIsOver]:[GameIsOver]],1,Table2[[HomeTeam]:[HomeTeam]],$T19, Table2[[AwayTeam]:[AwayTeam]], AX$11))) + (0*(SUMIFS(Table2[[HomeWon_]:[HomeWon_]], Table2[[GameIsOver]:[GameIsOver]],1,Table2[[AwayTeam]:[AwayTeam]],$T19, Table2[[HomeTeam]:[HomeTeam]], AX$11, Table2[[ActualResult]:[ActualResult]], "REG") + SUMIFS(Table2[[AwayWon]:[AwayWon]], Table2[[GameIsOver]:[GameIsOver]],1,Table2[[HomeTeam]:[HomeTeam]],$T19, Table2[[AwayTeam]:[AwayTeam]], AX$11, Table2[[ActualResult]:[ActualResult]], "REG"))) + (1*(SUMIFS(Table2[[HomeWon_]:[HomeWon_]], Table2[[GameIsOver]:[GameIsOver]],1,Table2[[AwayTeam]:[AwayTeam]],$T19, Table2[[HomeTeam]:[HomeTeam]], AX$11, Table2[[ActualResult]:[ActualResult]], "OT") + SUMIFS(Table2[[AwayWon]:[AwayWon]], Table2[[GameIsOver]:[GameIsOver]],1,Table2[[HomeTeam]:[HomeTeam]],$T19, Table2[[AwayTeam]:[AwayTeam]], AX$11, Table2[[ActualResult]:[ActualResult]], "OT") + SUMIFS(Table2[[HomeWon_]:[HomeWon_]], Table2[[GameIsOver]:[GameIsOver]],1,Table2[[AwayTeam]:[AwayTeam]],$T19, Table2[[HomeTeam]:[HomeTeam]], AX$11, Table2[[ActualResult]:[ActualResult]], "SO") + SUMIFS(Table2[[AwayWon]:[AwayWon]], Table2[[GameIsOver]:[GameIsOver]],1,Table2[[HomeTeam]:[HomeTeam]],$T19, Table2[[AwayTeam]:[AwayTeam]], AX$11, Table2[[ActualResult]:[ActualResult]], "SO")))</f>
        <v>0</v>
      </c>
      <c r="AY19">
        <f>(2*(SUMIFS(Table2[[AwayWon]:[AwayWon]], Table2[[GameIsOver]:[GameIsOver]],1,Table2[[AwayTeam]:[AwayTeam]],$T19, Table2[[HomeTeam]:[HomeTeam]], AY$11) + SUMIFS(Table2[[HomeWon_]:[HomeWon_]], Table2[[GameIsOver]:[GameIsOver]],1,Table2[[HomeTeam]:[HomeTeam]],$T19, Table2[[AwayTeam]:[AwayTeam]], AY$11))) + (0*(SUMIFS(Table2[[HomeWon_]:[HomeWon_]], Table2[[GameIsOver]:[GameIsOver]],1,Table2[[AwayTeam]:[AwayTeam]],$T19, Table2[[HomeTeam]:[HomeTeam]], AY$11, Table2[[ActualResult]:[ActualResult]], "REG") + SUMIFS(Table2[[AwayWon]:[AwayWon]], Table2[[GameIsOver]:[GameIsOver]],1,Table2[[HomeTeam]:[HomeTeam]],$T19, Table2[[AwayTeam]:[AwayTeam]], AY$11, Table2[[ActualResult]:[ActualResult]], "REG"))) + (1*(SUMIFS(Table2[[HomeWon_]:[HomeWon_]], Table2[[GameIsOver]:[GameIsOver]],1,Table2[[AwayTeam]:[AwayTeam]],$T19, Table2[[HomeTeam]:[HomeTeam]], AY$11, Table2[[ActualResult]:[ActualResult]], "OT") + SUMIFS(Table2[[AwayWon]:[AwayWon]], Table2[[GameIsOver]:[GameIsOver]],1,Table2[[HomeTeam]:[HomeTeam]],$T19, Table2[[AwayTeam]:[AwayTeam]], AY$11, Table2[[ActualResult]:[ActualResult]], "OT") + SUMIFS(Table2[[HomeWon_]:[HomeWon_]], Table2[[GameIsOver]:[GameIsOver]],1,Table2[[AwayTeam]:[AwayTeam]],$T19, Table2[[HomeTeam]:[HomeTeam]], AY$11, Table2[[ActualResult]:[ActualResult]], "SO") + SUMIFS(Table2[[AwayWon]:[AwayWon]], Table2[[GameIsOver]:[GameIsOver]],1,Table2[[HomeTeam]:[HomeTeam]],$T19, Table2[[AwayTeam]:[AwayTeam]], AY$11, Table2[[ActualResult]:[ActualResult]], "SO")))</f>
        <v>0</v>
      </c>
      <c r="AZ19">
        <f>(2*(SUMIFS(Table2[[AwayWon]:[AwayWon]], Table2[[GameIsOver]:[GameIsOver]],1,Table2[[AwayTeam]:[AwayTeam]],$T19, Table2[[HomeTeam]:[HomeTeam]], AZ$11) + SUMIFS(Table2[[HomeWon_]:[HomeWon_]], Table2[[GameIsOver]:[GameIsOver]],1,Table2[[HomeTeam]:[HomeTeam]],$T19, Table2[[AwayTeam]:[AwayTeam]], AZ$11))) + (0*(SUMIFS(Table2[[HomeWon_]:[HomeWon_]], Table2[[GameIsOver]:[GameIsOver]],1,Table2[[AwayTeam]:[AwayTeam]],$T19, Table2[[HomeTeam]:[HomeTeam]], AZ$11, Table2[[ActualResult]:[ActualResult]], "REG") + SUMIFS(Table2[[AwayWon]:[AwayWon]], Table2[[GameIsOver]:[GameIsOver]],1,Table2[[HomeTeam]:[HomeTeam]],$T19, Table2[[AwayTeam]:[AwayTeam]], AZ$11, Table2[[ActualResult]:[ActualResult]], "REG"))) + (1*(SUMIFS(Table2[[HomeWon_]:[HomeWon_]], Table2[[GameIsOver]:[GameIsOver]],1,Table2[[AwayTeam]:[AwayTeam]],$T19, Table2[[HomeTeam]:[HomeTeam]], AZ$11, Table2[[ActualResult]:[ActualResult]], "OT") + SUMIFS(Table2[[AwayWon]:[AwayWon]], Table2[[GameIsOver]:[GameIsOver]],1,Table2[[HomeTeam]:[HomeTeam]],$T19, Table2[[AwayTeam]:[AwayTeam]], AZ$11, Table2[[ActualResult]:[ActualResult]], "OT") + SUMIFS(Table2[[HomeWon_]:[HomeWon_]], Table2[[GameIsOver]:[GameIsOver]],1,Table2[[AwayTeam]:[AwayTeam]],$T19, Table2[[HomeTeam]:[HomeTeam]], AZ$11, Table2[[ActualResult]:[ActualResult]], "SO") + SUMIFS(Table2[[AwayWon]:[AwayWon]], Table2[[GameIsOver]:[GameIsOver]],1,Table2[[HomeTeam]:[HomeTeam]],$T19, Table2[[AwayTeam]:[AwayTeam]], AZ$11, Table2[[ActualResult]:[ActualResult]], "SO")))</f>
        <v>0</v>
      </c>
      <c r="BA19">
        <f>(2*(SUMIFS(Table2[[AwayWon]:[AwayWon]], Table2[[GameIsOver]:[GameIsOver]],1,Table2[[AwayTeam]:[AwayTeam]],$T19, Table2[[HomeTeam]:[HomeTeam]], BA$11) + SUMIFS(Table2[[HomeWon_]:[HomeWon_]], Table2[[GameIsOver]:[GameIsOver]],1,Table2[[HomeTeam]:[HomeTeam]],$T19, Table2[[AwayTeam]:[AwayTeam]], BA$11))) + (0*(SUMIFS(Table2[[HomeWon_]:[HomeWon_]], Table2[[GameIsOver]:[GameIsOver]],1,Table2[[AwayTeam]:[AwayTeam]],$T19, Table2[[HomeTeam]:[HomeTeam]], BA$11, Table2[[ActualResult]:[ActualResult]], "REG") + SUMIFS(Table2[[AwayWon]:[AwayWon]], Table2[[GameIsOver]:[GameIsOver]],1,Table2[[HomeTeam]:[HomeTeam]],$T19, Table2[[AwayTeam]:[AwayTeam]], BA$11, Table2[[ActualResult]:[ActualResult]], "REG"))) + (1*(SUMIFS(Table2[[HomeWon_]:[HomeWon_]], Table2[[GameIsOver]:[GameIsOver]],1,Table2[[AwayTeam]:[AwayTeam]],$T19, Table2[[HomeTeam]:[HomeTeam]], BA$11, Table2[[ActualResult]:[ActualResult]], "OT") + SUMIFS(Table2[[AwayWon]:[AwayWon]], Table2[[GameIsOver]:[GameIsOver]],1,Table2[[HomeTeam]:[HomeTeam]],$T19, Table2[[AwayTeam]:[AwayTeam]], BA$11, Table2[[ActualResult]:[ActualResult]], "OT") + SUMIFS(Table2[[HomeWon_]:[HomeWon_]], Table2[[GameIsOver]:[GameIsOver]],1,Table2[[AwayTeam]:[AwayTeam]],$T19, Table2[[HomeTeam]:[HomeTeam]], BA$11, Table2[[ActualResult]:[ActualResult]], "SO") + SUMIFS(Table2[[AwayWon]:[AwayWon]], Table2[[GameIsOver]:[GameIsOver]],1,Table2[[HomeTeam]:[HomeTeam]],$T19, Table2[[AwayTeam]:[AwayTeam]], BA$11, Table2[[ActualResult]:[ActualResult]], "SO")))</f>
        <v>0</v>
      </c>
    </row>
    <row r="20" spans="1:53" x14ac:dyDescent="0.25">
      <c r="A20" s="61" t="s">
        <v>19</v>
      </c>
      <c r="B20" s="61" t="s">
        <v>91</v>
      </c>
      <c r="C20" s="61" t="s">
        <v>92</v>
      </c>
      <c r="D20" s="62">
        <f>INDEX(Table3[PTS], MATCH(Table6[[#This Row],[Teams]], Table3[Teams],0))</f>
        <v>7</v>
      </c>
      <c r="E20" s="62">
        <f>INDEX(Table3[PTS], MATCH(Table6[[#This Row],[Teams]], Table3[Teams],0))</f>
        <v>7</v>
      </c>
    </row>
    <row r="21" spans="1:53" x14ac:dyDescent="0.25">
      <c r="A21" s="62" t="s">
        <v>29</v>
      </c>
      <c r="B21" s="62" t="s">
        <v>91</v>
      </c>
      <c r="C21" s="62" t="s">
        <v>74</v>
      </c>
      <c r="D21" s="62">
        <f>INDEX(Table3[PTS], MATCH(Table6[[#This Row],[Teams]], Table3[Teams],0))</f>
        <v>5</v>
      </c>
      <c r="E21" s="62">
        <f>INDEX(Table3[PTS], MATCH(Table6[[#This Row],[Teams]], Table3[Teams],0))</f>
        <v>5</v>
      </c>
      <c r="S21" t="s">
        <v>523</v>
      </c>
      <c r="T21" t="s">
        <v>39</v>
      </c>
      <c r="U21" t="s">
        <v>512</v>
      </c>
      <c r="V21" t="s">
        <v>44</v>
      </c>
      <c r="W21" t="s">
        <v>23</v>
      </c>
      <c r="X21" t="s">
        <v>22</v>
      </c>
      <c r="Y21" t="s">
        <v>27</v>
      </c>
      <c r="Z21" t="s">
        <v>11</v>
      </c>
      <c r="AA21" t="s">
        <v>37</v>
      </c>
      <c r="AB21" t="s">
        <v>24</v>
      </c>
      <c r="AC21" t="s">
        <v>26</v>
      </c>
      <c r="AD21" t="s">
        <v>16</v>
      </c>
      <c r="AE21" t="s">
        <v>25</v>
      </c>
      <c r="AF21" t="s">
        <v>33</v>
      </c>
      <c r="AG21" t="s">
        <v>36</v>
      </c>
      <c r="AH21" t="s">
        <v>34</v>
      </c>
      <c r="AI21" t="s">
        <v>12</v>
      </c>
      <c r="AJ21" t="s">
        <v>14</v>
      </c>
      <c r="AK21" t="s">
        <v>21</v>
      </c>
      <c r="AL21" t="s">
        <v>41</v>
      </c>
      <c r="AM21" t="s">
        <v>35</v>
      </c>
      <c r="AN21" t="s">
        <v>31</v>
      </c>
      <c r="AO21" t="s">
        <v>32</v>
      </c>
      <c r="AP21" t="s">
        <v>19</v>
      </c>
      <c r="AQ21" t="s">
        <v>42</v>
      </c>
      <c r="AR21" t="s">
        <v>20</v>
      </c>
      <c r="AS21" t="s">
        <v>43</v>
      </c>
      <c r="AT21" t="s">
        <v>15</v>
      </c>
      <c r="AU21" t="s">
        <v>28</v>
      </c>
      <c r="AV21" t="s">
        <v>30</v>
      </c>
      <c r="AW21" t="s">
        <v>13</v>
      </c>
      <c r="AX21" t="s">
        <v>18</v>
      </c>
      <c r="AY21" t="s">
        <v>29</v>
      </c>
      <c r="AZ21" t="s">
        <v>40</v>
      </c>
      <c r="BA21" t="s">
        <v>17</v>
      </c>
    </row>
    <row r="22" spans="1:53" x14ac:dyDescent="0.25">
      <c r="A22" s="61" t="s">
        <v>42</v>
      </c>
      <c r="B22" s="61" t="s">
        <v>91</v>
      </c>
      <c r="C22" s="61" t="s">
        <v>92</v>
      </c>
      <c r="D22" s="62">
        <f>INDEX(Table3[PTS], MATCH(Table6[[#This Row],[Teams]], Table3[Teams],0))</f>
        <v>7</v>
      </c>
      <c r="E22" s="62">
        <f>INDEX(Table3[PTS], MATCH(Table6[[#This Row],[Teams]], Table3[Teams],0))</f>
        <v>7</v>
      </c>
      <c r="S22">
        <v>8</v>
      </c>
      <c r="T22" t="str" cm="1">
        <f t="array" ref="T22">INDEX(Table6[Teams], SMALL(IF(Table6[D]="M", ROW(Table6[Teams])-ROW(Table6[#Headers])), Table712[[#This Row],[MET]]))</f>
        <v>WSH</v>
      </c>
      <c r="U22">
        <f>INDEX(Table6[PTS], MATCH($T22, Table6[Teams], 0))</f>
        <v>10</v>
      </c>
      <c r="V22">
        <f>(2*(SUMIFS(Table2[[AwayWon]:[AwayWon]], Table2[[GameIsOver]:[GameIsOver]],1,Table2[[AwayTeam]:[AwayTeam]],$T22, Table2[[HomeTeam]:[HomeTeam]], V$21) + SUMIFS(Table2[[HomeWon_]:[HomeWon_]], Table2[[GameIsOver]:[GameIsOver]],1,Table2[[HomeTeam]:[HomeTeam]],$T22, Table2[[AwayTeam]:[AwayTeam]], V$21))) + (0*(SUMIFS(Table2[[HomeWon_]:[HomeWon_]], Table2[[GameIsOver]:[GameIsOver]],1,Table2[[AwayTeam]:[AwayTeam]],$T22, Table2[[HomeTeam]:[HomeTeam]], V$21, Table2[[ActualResult]:[ActualResult]], "REG") + SUMIFS(Table2[[AwayWon]:[AwayWon]], Table2[[GameIsOver]:[GameIsOver]],1,Table2[[HomeTeam]:[HomeTeam]],$T22, Table2[[AwayTeam]:[AwayTeam]], V$21, Table2[[ActualResult]:[ActualResult]], "REG"))) + (1*(SUMIFS(Table2[[HomeWon_]:[HomeWon_]], Table2[[GameIsOver]:[GameIsOver]],1,Table2[[AwayTeam]:[AwayTeam]],$T22, Table2[[HomeTeam]:[HomeTeam]], V$21, Table2[[ActualResult]:[ActualResult]], "OT") + SUMIFS(Table2[[AwayWon]:[AwayWon]], Table2[[GameIsOver]:[GameIsOver]],1,Table2[[HomeTeam]:[HomeTeam]],$T22, Table2[[AwayTeam]:[AwayTeam]], V$21, Table2[[ActualResult]:[ActualResult]], "OT") + SUMIFS(Table2[[HomeWon_]:[HomeWon_]], Table2[[GameIsOver]:[GameIsOver]],1,Table2[[AwayTeam]:[AwayTeam]],$T22, Table2[[HomeTeam]:[HomeTeam]], V$21, Table2[[ActualResult]:[ActualResult]], "SO") + SUMIFS(Table2[[AwayWon]:[AwayWon]], Table2[[GameIsOver]:[GameIsOver]],1,Table2[[HomeTeam]:[HomeTeam]],$T22, Table2[[AwayTeam]:[AwayTeam]], V$21, Table2[[ActualResult]:[ActualResult]], "SO")))</f>
        <v>0</v>
      </c>
      <c r="W22">
        <f>(2*(SUMIFS(Table2[[AwayWon]:[AwayWon]], Table2[[GameIsOver]:[GameIsOver]],1,Table2[[AwayTeam]:[AwayTeam]],$T22, Table2[[HomeTeam]:[HomeTeam]], W$21) + SUMIFS(Table2[[HomeWon_]:[HomeWon_]], Table2[[GameIsOver]:[GameIsOver]],1,Table2[[HomeTeam]:[HomeTeam]],$T22, Table2[[AwayTeam]:[AwayTeam]], W$21))) + (0*(SUMIFS(Table2[[HomeWon_]:[HomeWon_]], Table2[[GameIsOver]:[GameIsOver]],1,Table2[[AwayTeam]:[AwayTeam]],$T22, Table2[[HomeTeam]:[HomeTeam]], W$21, Table2[[ActualResult]:[ActualResult]], "REG") + SUMIFS(Table2[[AwayWon]:[AwayWon]], Table2[[GameIsOver]:[GameIsOver]],1,Table2[[HomeTeam]:[HomeTeam]],$T22, Table2[[AwayTeam]:[AwayTeam]], W$21, Table2[[ActualResult]:[ActualResult]], "REG"))) + (1*(SUMIFS(Table2[[HomeWon_]:[HomeWon_]], Table2[[GameIsOver]:[GameIsOver]],1,Table2[[AwayTeam]:[AwayTeam]],$T22, Table2[[HomeTeam]:[HomeTeam]], W$21, Table2[[ActualResult]:[ActualResult]], "OT") + SUMIFS(Table2[[AwayWon]:[AwayWon]], Table2[[GameIsOver]:[GameIsOver]],1,Table2[[HomeTeam]:[HomeTeam]],$T22, Table2[[AwayTeam]:[AwayTeam]], W$21, Table2[[ActualResult]:[ActualResult]], "OT") + SUMIFS(Table2[[HomeWon_]:[HomeWon_]], Table2[[GameIsOver]:[GameIsOver]],1,Table2[[AwayTeam]:[AwayTeam]],$T22, Table2[[HomeTeam]:[HomeTeam]], W$21, Table2[[ActualResult]:[ActualResult]], "SO") + SUMIFS(Table2[[AwayWon]:[AwayWon]], Table2[[GameIsOver]:[GameIsOver]],1,Table2[[HomeTeam]:[HomeTeam]],$T22, Table2[[AwayTeam]:[AwayTeam]], W$21, Table2[[ActualResult]:[ActualResult]], "SO")))</f>
        <v>0</v>
      </c>
      <c r="X22">
        <f>(2*(SUMIFS(Table2[[AwayWon]:[AwayWon]], Table2[[GameIsOver]:[GameIsOver]],1,Table2[[AwayTeam]:[AwayTeam]],$T22, Table2[[HomeTeam]:[HomeTeam]], X$21) + SUMIFS(Table2[[HomeWon_]:[HomeWon_]], Table2[[GameIsOver]:[GameIsOver]],1,Table2[[HomeTeam]:[HomeTeam]],$T22, Table2[[AwayTeam]:[AwayTeam]], X$21))) + (0*(SUMIFS(Table2[[HomeWon_]:[HomeWon_]], Table2[[GameIsOver]:[GameIsOver]],1,Table2[[AwayTeam]:[AwayTeam]],$T22, Table2[[HomeTeam]:[HomeTeam]], X$21, Table2[[ActualResult]:[ActualResult]], "REG") + SUMIFS(Table2[[AwayWon]:[AwayWon]], Table2[[GameIsOver]:[GameIsOver]],1,Table2[[HomeTeam]:[HomeTeam]],$T22, Table2[[AwayTeam]:[AwayTeam]], X$21, Table2[[ActualResult]:[ActualResult]], "REG"))) + (1*(SUMIFS(Table2[[HomeWon_]:[HomeWon_]], Table2[[GameIsOver]:[GameIsOver]],1,Table2[[AwayTeam]:[AwayTeam]],$T22, Table2[[HomeTeam]:[HomeTeam]], X$21, Table2[[ActualResult]:[ActualResult]], "OT") + SUMIFS(Table2[[AwayWon]:[AwayWon]], Table2[[GameIsOver]:[GameIsOver]],1,Table2[[HomeTeam]:[HomeTeam]],$T22, Table2[[AwayTeam]:[AwayTeam]], X$21, Table2[[ActualResult]:[ActualResult]], "OT") + SUMIFS(Table2[[HomeWon_]:[HomeWon_]], Table2[[GameIsOver]:[GameIsOver]],1,Table2[[AwayTeam]:[AwayTeam]],$T22, Table2[[HomeTeam]:[HomeTeam]], X$21, Table2[[ActualResult]:[ActualResult]], "SO") + SUMIFS(Table2[[AwayWon]:[AwayWon]], Table2[[GameIsOver]:[GameIsOver]],1,Table2[[HomeTeam]:[HomeTeam]],$T22, Table2[[AwayTeam]:[AwayTeam]], X$21, Table2[[ActualResult]:[ActualResult]], "SO")))</f>
        <v>0</v>
      </c>
      <c r="Y22">
        <f>(2*(SUMIFS(Table2[[AwayWon]:[AwayWon]], Table2[[GameIsOver]:[GameIsOver]],1,Table2[[AwayTeam]:[AwayTeam]],$T22, Table2[[HomeTeam]:[HomeTeam]], Y$21) + SUMIFS(Table2[[HomeWon_]:[HomeWon_]], Table2[[GameIsOver]:[GameIsOver]],1,Table2[[HomeTeam]:[HomeTeam]],$T22, Table2[[AwayTeam]:[AwayTeam]], Y$21))) + (0*(SUMIFS(Table2[[HomeWon_]:[HomeWon_]], Table2[[GameIsOver]:[GameIsOver]],1,Table2[[AwayTeam]:[AwayTeam]],$T22, Table2[[HomeTeam]:[HomeTeam]], Y$21, Table2[[ActualResult]:[ActualResult]], "REG") + SUMIFS(Table2[[AwayWon]:[AwayWon]], Table2[[GameIsOver]:[GameIsOver]],1,Table2[[HomeTeam]:[HomeTeam]],$T22, Table2[[AwayTeam]:[AwayTeam]], Y$21, Table2[[ActualResult]:[ActualResult]], "REG"))) + (1*(SUMIFS(Table2[[HomeWon_]:[HomeWon_]], Table2[[GameIsOver]:[GameIsOver]],1,Table2[[AwayTeam]:[AwayTeam]],$T22, Table2[[HomeTeam]:[HomeTeam]], Y$21, Table2[[ActualResult]:[ActualResult]], "OT") + SUMIFS(Table2[[AwayWon]:[AwayWon]], Table2[[GameIsOver]:[GameIsOver]],1,Table2[[HomeTeam]:[HomeTeam]],$T22, Table2[[AwayTeam]:[AwayTeam]], Y$21, Table2[[ActualResult]:[ActualResult]], "OT") + SUMIFS(Table2[[HomeWon_]:[HomeWon_]], Table2[[GameIsOver]:[GameIsOver]],1,Table2[[AwayTeam]:[AwayTeam]],$T22, Table2[[HomeTeam]:[HomeTeam]], Y$21, Table2[[ActualResult]:[ActualResult]], "SO") + SUMIFS(Table2[[AwayWon]:[AwayWon]], Table2[[GameIsOver]:[GameIsOver]],1,Table2[[HomeTeam]:[HomeTeam]],$T22, Table2[[AwayTeam]:[AwayTeam]], Y$21, Table2[[ActualResult]:[ActualResult]], "SO")))</f>
        <v>0</v>
      </c>
      <c r="Z22">
        <f>(2*(SUMIFS(Table2[[AwayWon]:[AwayWon]], Table2[[GameIsOver]:[GameIsOver]],1,Table2[[AwayTeam]:[AwayTeam]],$T22, Table2[[HomeTeam]:[HomeTeam]], Z$21) + SUMIFS(Table2[[HomeWon_]:[HomeWon_]], Table2[[GameIsOver]:[GameIsOver]],1,Table2[[HomeTeam]:[HomeTeam]],$T22, Table2[[AwayTeam]:[AwayTeam]], Z$21))) + (0*(SUMIFS(Table2[[HomeWon_]:[HomeWon_]], Table2[[GameIsOver]:[GameIsOver]],1,Table2[[AwayTeam]:[AwayTeam]],$T22, Table2[[HomeTeam]:[HomeTeam]], Z$21, Table2[[ActualResult]:[ActualResult]], "REG") + SUMIFS(Table2[[AwayWon]:[AwayWon]], Table2[[GameIsOver]:[GameIsOver]],1,Table2[[HomeTeam]:[HomeTeam]],$T22, Table2[[AwayTeam]:[AwayTeam]], Z$21, Table2[[ActualResult]:[ActualResult]], "REG"))) + (1*(SUMIFS(Table2[[HomeWon_]:[HomeWon_]], Table2[[GameIsOver]:[GameIsOver]],1,Table2[[AwayTeam]:[AwayTeam]],$T22, Table2[[HomeTeam]:[HomeTeam]], Z$21, Table2[[ActualResult]:[ActualResult]], "OT") + SUMIFS(Table2[[AwayWon]:[AwayWon]], Table2[[GameIsOver]:[GameIsOver]],1,Table2[[HomeTeam]:[HomeTeam]],$T22, Table2[[AwayTeam]:[AwayTeam]], Z$21, Table2[[ActualResult]:[ActualResult]], "OT") + SUMIFS(Table2[[HomeWon_]:[HomeWon_]], Table2[[GameIsOver]:[GameIsOver]],1,Table2[[AwayTeam]:[AwayTeam]],$T22, Table2[[HomeTeam]:[HomeTeam]], Z$21, Table2[[ActualResult]:[ActualResult]], "SO") + SUMIFS(Table2[[AwayWon]:[AwayWon]], Table2[[GameIsOver]:[GameIsOver]],1,Table2[[HomeTeam]:[HomeTeam]],$T22, Table2[[AwayTeam]:[AwayTeam]], Z$21, Table2[[ActualResult]:[ActualResult]], "SO")))</f>
        <v>2</v>
      </c>
      <c r="AA22">
        <f>(2*(SUMIFS(Table2[[AwayWon]:[AwayWon]], Table2[[GameIsOver]:[GameIsOver]],1,Table2[[AwayTeam]:[AwayTeam]],$T22, Table2[[HomeTeam]:[HomeTeam]], AA$21) + SUMIFS(Table2[[HomeWon_]:[HomeWon_]], Table2[[GameIsOver]:[GameIsOver]],1,Table2[[HomeTeam]:[HomeTeam]],$T22, Table2[[AwayTeam]:[AwayTeam]], AA$21))) + (0*(SUMIFS(Table2[[HomeWon_]:[HomeWon_]], Table2[[GameIsOver]:[GameIsOver]],1,Table2[[AwayTeam]:[AwayTeam]],$T22, Table2[[HomeTeam]:[HomeTeam]], AA$21, Table2[[ActualResult]:[ActualResult]], "REG") + SUMIFS(Table2[[AwayWon]:[AwayWon]], Table2[[GameIsOver]:[GameIsOver]],1,Table2[[HomeTeam]:[HomeTeam]],$T22, Table2[[AwayTeam]:[AwayTeam]], AA$21, Table2[[ActualResult]:[ActualResult]], "REG"))) + (1*(SUMIFS(Table2[[HomeWon_]:[HomeWon_]], Table2[[GameIsOver]:[GameIsOver]],1,Table2[[AwayTeam]:[AwayTeam]],$T22, Table2[[HomeTeam]:[HomeTeam]], AA$21, Table2[[ActualResult]:[ActualResult]], "OT") + SUMIFS(Table2[[AwayWon]:[AwayWon]], Table2[[GameIsOver]:[GameIsOver]],1,Table2[[HomeTeam]:[HomeTeam]],$T22, Table2[[AwayTeam]:[AwayTeam]], AA$21, Table2[[ActualResult]:[ActualResult]], "OT") + SUMIFS(Table2[[HomeWon_]:[HomeWon_]], Table2[[GameIsOver]:[GameIsOver]],1,Table2[[AwayTeam]:[AwayTeam]],$T22, Table2[[HomeTeam]:[HomeTeam]], AA$21, Table2[[ActualResult]:[ActualResult]], "SO") + SUMIFS(Table2[[AwayWon]:[AwayWon]], Table2[[GameIsOver]:[GameIsOver]],1,Table2[[HomeTeam]:[HomeTeam]],$T22, Table2[[AwayTeam]:[AwayTeam]], AA$21, Table2[[ActualResult]:[ActualResult]], "SO")))</f>
        <v>0</v>
      </c>
      <c r="AB22">
        <f>(2*(SUMIFS(Table2[[AwayWon]:[AwayWon]], Table2[[GameIsOver]:[GameIsOver]],1,Table2[[AwayTeam]:[AwayTeam]],$T22, Table2[[HomeTeam]:[HomeTeam]], AB$21) + SUMIFS(Table2[[HomeWon_]:[HomeWon_]], Table2[[GameIsOver]:[GameIsOver]],1,Table2[[HomeTeam]:[HomeTeam]],$T22, Table2[[AwayTeam]:[AwayTeam]], AB$21))) + (0*(SUMIFS(Table2[[HomeWon_]:[HomeWon_]], Table2[[GameIsOver]:[GameIsOver]],1,Table2[[AwayTeam]:[AwayTeam]],$T22, Table2[[HomeTeam]:[HomeTeam]], AB$21, Table2[[ActualResult]:[ActualResult]], "REG") + SUMIFS(Table2[[AwayWon]:[AwayWon]], Table2[[GameIsOver]:[GameIsOver]],1,Table2[[HomeTeam]:[HomeTeam]],$T22, Table2[[AwayTeam]:[AwayTeam]], AB$21, Table2[[ActualResult]:[ActualResult]], "REG"))) + (1*(SUMIFS(Table2[[HomeWon_]:[HomeWon_]], Table2[[GameIsOver]:[GameIsOver]],1,Table2[[AwayTeam]:[AwayTeam]],$T22, Table2[[HomeTeam]:[HomeTeam]], AB$21, Table2[[ActualResult]:[ActualResult]], "OT") + SUMIFS(Table2[[AwayWon]:[AwayWon]], Table2[[GameIsOver]:[GameIsOver]],1,Table2[[HomeTeam]:[HomeTeam]],$T22, Table2[[AwayTeam]:[AwayTeam]], AB$21, Table2[[ActualResult]:[ActualResult]], "OT") + SUMIFS(Table2[[HomeWon_]:[HomeWon_]], Table2[[GameIsOver]:[GameIsOver]],1,Table2[[AwayTeam]:[AwayTeam]],$T22, Table2[[HomeTeam]:[HomeTeam]], AB$21, Table2[[ActualResult]:[ActualResult]], "SO") + SUMIFS(Table2[[AwayWon]:[AwayWon]], Table2[[GameIsOver]:[GameIsOver]],1,Table2[[HomeTeam]:[HomeTeam]],$T22, Table2[[AwayTeam]:[AwayTeam]], AB$21, Table2[[ActualResult]:[ActualResult]], "SO")))</f>
        <v>0</v>
      </c>
      <c r="AC22">
        <f>(2*(SUMIFS(Table2[[AwayWon]:[AwayWon]], Table2[[GameIsOver]:[GameIsOver]],1,Table2[[AwayTeam]:[AwayTeam]],$T22, Table2[[HomeTeam]:[HomeTeam]], AC$21) + SUMIFS(Table2[[HomeWon_]:[HomeWon_]], Table2[[GameIsOver]:[GameIsOver]],1,Table2[[HomeTeam]:[HomeTeam]],$T22, Table2[[AwayTeam]:[AwayTeam]], AC$21))) + (0*(SUMIFS(Table2[[HomeWon_]:[HomeWon_]], Table2[[GameIsOver]:[GameIsOver]],1,Table2[[AwayTeam]:[AwayTeam]],$T22, Table2[[HomeTeam]:[HomeTeam]], AC$21, Table2[[ActualResult]:[ActualResult]], "REG") + SUMIFS(Table2[[AwayWon]:[AwayWon]], Table2[[GameIsOver]:[GameIsOver]],1,Table2[[HomeTeam]:[HomeTeam]],$T22, Table2[[AwayTeam]:[AwayTeam]], AC$21, Table2[[ActualResult]:[ActualResult]], "REG"))) + (1*(SUMIFS(Table2[[HomeWon_]:[HomeWon_]], Table2[[GameIsOver]:[GameIsOver]],1,Table2[[AwayTeam]:[AwayTeam]],$T22, Table2[[HomeTeam]:[HomeTeam]], AC$21, Table2[[ActualResult]:[ActualResult]], "OT") + SUMIFS(Table2[[AwayWon]:[AwayWon]], Table2[[GameIsOver]:[GameIsOver]],1,Table2[[HomeTeam]:[HomeTeam]],$T22, Table2[[AwayTeam]:[AwayTeam]], AC$21, Table2[[ActualResult]:[ActualResult]], "OT") + SUMIFS(Table2[[HomeWon_]:[HomeWon_]], Table2[[GameIsOver]:[GameIsOver]],1,Table2[[AwayTeam]:[AwayTeam]],$T22, Table2[[HomeTeam]:[HomeTeam]], AC$21, Table2[[ActualResult]:[ActualResult]], "SO") + SUMIFS(Table2[[AwayWon]:[AwayWon]], Table2[[GameIsOver]:[GameIsOver]],1,Table2[[HomeTeam]:[HomeTeam]],$T22, Table2[[AwayTeam]:[AwayTeam]], AC$21, Table2[[ActualResult]:[ActualResult]], "SO")))</f>
        <v>0</v>
      </c>
      <c r="AD22">
        <f>(2*(SUMIFS(Table2[[AwayWon]:[AwayWon]], Table2[[GameIsOver]:[GameIsOver]],1,Table2[[AwayTeam]:[AwayTeam]],$T22, Table2[[HomeTeam]:[HomeTeam]], AD$21) + SUMIFS(Table2[[HomeWon_]:[HomeWon_]], Table2[[GameIsOver]:[GameIsOver]],1,Table2[[HomeTeam]:[HomeTeam]],$T22, Table2[[AwayTeam]:[AwayTeam]], AD$21))) + (0*(SUMIFS(Table2[[HomeWon_]:[HomeWon_]], Table2[[GameIsOver]:[GameIsOver]],1,Table2[[AwayTeam]:[AwayTeam]],$T22, Table2[[HomeTeam]:[HomeTeam]], AD$21, Table2[[ActualResult]:[ActualResult]], "REG") + SUMIFS(Table2[[AwayWon]:[AwayWon]], Table2[[GameIsOver]:[GameIsOver]],1,Table2[[HomeTeam]:[HomeTeam]],$T22, Table2[[AwayTeam]:[AwayTeam]], AD$21, Table2[[ActualResult]:[ActualResult]], "REG"))) + (1*(SUMIFS(Table2[[HomeWon_]:[HomeWon_]], Table2[[GameIsOver]:[GameIsOver]],1,Table2[[AwayTeam]:[AwayTeam]],$T22, Table2[[HomeTeam]:[HomeTeam]], AD$21, Table2[[ActualResult]:[ActualResult]], "OT") + SUMIFS(Table2[[AwayWon]:[AwayWon]], Table2[[GameIsOver]:[GameIsOver]],1,Table2[[HomeTeam]:[HomeTeam]],$T22, Table2[[AwayTeam]:[AwayTeam]], AD$21, Table2[[ActualResult]:[ActualResult]], "OT") + SUMIFS(Table2[[HomeWon_]:[HomeWon_]], Table2[[GameIsOver]:[GameIsOver]],1,Table2[[AwayTeam]:[AwayTeam]],$T22, Table2[[HomeTeam]:[HomeTeam]], AD$21, Table2[[ActualResult]:[ActualResult]], "SO") + SUMIFS(Table2[[AwayWon]:[AwayWon]], Table2[[GameIsOver]:[GameIsOver]],1,Table2[[HomeTeam]:[HomeTeam]],$T22, Table2[[AwayTeam]:[AwayTeam]], AD$21, Table2[[ActualResult]:[ActualResult]], "SO")))</f>
        <v>0</v>
      </c>
      <c r="AE22">
        <f>(2*(SUMIFS(Table2[[AwayWon]:[AwayWon]], Table2[[GameIsOver]:[GameIsOver]],1,Table2[[AwayTeam]:[AwayTeam]],$T22, Table2[[HomeTeam]:[HomeTeam]], AE$21) + SUMIFS(Table2[[HomeWon_]:[HomeWon_]], Table2[[GameIsOver]:[GameIsOver]],1,Table2[[HomeTeam]:[HomeTeam]],$T22, Table2[[AwayTeam]:[AwayTeam]], AE$21))) + (0*(SUMIFS(Table2[[HomeWon_]:[HomeWon_]], Table2[[GameIsOver]:[GameIsOver]],1,Table2[[AwayTeam]:[AwayTeam]],$T22, Table2[[HomeTeam]:[HomeTeam]], AE$21, Table2[[ActualResult]:[ActualResult]], "REG") + SUMIFS(Table2[[AwayWon]:[AwayWon]], Table2[[GameIsOver]:[GameIsOver]],1,Table2[[HomeTeam]:[HomeTeam]],$T22, Table2[[AwayTeam]:[AwayTeam]], AE$21, Table2[[ActualResult]:[ActualResult]], "REG"))) + (1*(SUMIFS(Table2[[HomeWon_]:[HomeWon_]], Table2[[GameIsOver]:[GameIsOver]],1,Table2[[AwayTeam]:[AwayTeam]],$T22, Table2[[HomeTeam]:[HomeTeam]], AE$21, Table2[[ActualResult]:[ActualResult]], "OT") + SUMIFS(Table2[[AwayWon]:[AwayWon]], Table2[[GameIsOver]:[GameIsOver]],1,Table2[[HomeTeam]:[HomeTeam]],$T22, Table2[[AwayTeam]:[AwayTeam]], AE$21, Table2[[ActualResult]:[ActualResult]], "OT") + SUMIFS(Table2[[HomeWon_]:[HomeWon_]], Table2[[GameIsOver]:[GameIsOver]],1,Table2[[AwayTeam]:[AwayTeam]],$T22, Table2[[HomeTeam]:[HomeTeam]], AE$21, Table2[[ActualResult]:[ActualResult]], "SO") + SUMIFS(Table2[[AwayWon]:[AwayWon]], Table2[[GameIsOver]:[GameIsOver]],1,Table2[[HomeTeam]:[HomeTeam]],$T22, Table2[[AwayTeam]:[AwayTeam]], AE$21, Table2[[ActualResult]:[ActualResult]], "SO")))</f>
        <v>0</v>
      </c>
      <c r="AF22">
        <f>(2*(SUMIFS(Table2[[AwayWon]:[AwayWon]], Table2[[GameIsOver]:[GameIsOver]],1,Table2[[AwayTeam]:[AwayTeam]],$T22, Table2[[HomeTeam]:[HomeTeam]], AF$21) + SUMIFS(Table2[[HomeWon_]:[HomeWon_]], Table2[[GameIsOver]:[GameIsOver]],1,Table2[[HomeTeam]:[HomeTeam]],$T22, Table2[[AwayTeam]:[AwayTeam]], AF$21))) + (0*(SUMIFS(Table2[[HomeWon_]:[HomeWon_]], Table2[[GameIsOver]:[GameIsOver]],1,Table2[[AwayTeam]:[AwayTeam]],$T22, Table2[[HomeTeam]:[HomeTeam]], AF$21, Table2[[ActualResult]:[ActualResult]], "REG") + SUMIFS(Table2[[AwayWon]:[AwayWon]], Table2[[GameIsOver]:[GameIsOver]],1,Table2[[HomeTeam]:[HomeTeam]],$T22, Table2[[AwayTeam]:[AwayTeam]], AF$21, Table2[[ActualResult]:[ActualResult]], "REG"))) + (1*(SUMIFS(Table2[[HomeWon_]:[HomeWon_]], Table2[[GameIsOver]:[GameIsOver]],1,Table2[[AwayTeam]:[AwayTeam]],$T22, Table2[[HomeTeam]:[HomeTeam]], AF$21, Table2[[ActualResult]:[ActualResult]], "OT") + SUMIFS(Table2[[AwayWon]:[AwayWon]], Table2[[GameIsOver]:[GameIsOver]],1,Table2[[HomeTeam]:[HomeTeam]],$T22, Table2[[AwayTeam]:[AwayTeam]], AF$21, Table2[[ActualResult]:[ActualResult]], "OT") + SUMIFS(Table2[[HomeWon_]:[HomeWon_]], Table2[[GameIsOver]:[GameIsOver]],1,Table2[[AwayTeam]:[AwayTeam]],$T22, Table2[[HomeTeam]:[HomeTeam]], AF$21, Table2[[ActualResult]:[ActualResult]], "SO") + SUMIFS(Table2[[AwayWon]:[AwayWon]], Table2[[GameIsOver]:[GameIsOver]],1,Table2[[HomeTeam]:[HomeTeam]],$T22, Table2[[AwayTeam]:[AwayTeam]], AF$21, Table2[[ActualResult]:[ActualResult]], "SO")))</f>
        <v>0</v>
      </c>
      <c r="AG22">
        <f>(2*(SUMIFS(Table2[[AwayWon]:[AwayWon]], Table2[[GameIsOver]:[GameIsOver]],1,Table2[[AwayTeam]:[AwayTeam]],$T22, Table2[[HomeTeam]:[HomeTeam]], AG$21) + SUMIFS(Table2[[HomeWon_]:[HomeWon_]], Table2[[GameIsOver]:[GameIsOver]],1,Table2[[HomeTeam]:[HomeTeam]],$T22, Table2[[AwayTeam]:[AwayTeam]], AG$21))) + (0*(SUMIFS(Table2[[HomeWon_]:[HomeWon_]], Table2[[GameIsOver]:[GameIsOver]],1,Table2[[AwayTeam]:[AwayTeam]],$T22, Table2[[HomeTeam]:[HomeTeam]], AG$21, Table2[[ActualResult]:[ActualResult]], "REG") + SUMIFS(Table2[[AwayWon]:[AwayWon]], Table2[[GameIsOver]:[GameIsOver]],1,Table2[[HomeTeam]:[HomeTeam]],$T22, Table2[[AwayTeam]:[AwayTeam]], AG$21, Table2[[ActualResult]:[ActualResult]], "REG"))) + (1*(SUMIFS(Table2[[HomeWon_]:[HomeWon_]], Table2[[GameIsOver]:[GameIsOver]],1,Table2[[AwayTeam]:[AwayTeam]],$T22, Table2[[HomeTeam]:[HomeTeam]], AG$21, Table2[[ActualResult]:[ActualResult]], "OT") + SUMIFS(Table2[[AwayWon]:[AwayWon]], Table2[[GameIsOver]:[GameIsOver]],1,Table2[[HomeTeam]:[HomeTeam]],$T22, Table2[[AwayTeam]:[AwayTeam]], AG$21, Table2[[ActualResult]:[ActualResult]], "OT") + SUMIFS(Table2[[HomeWon_]:[HomeWon_]], Table2[[GameIsOver]:[GameIsOver]],1,Table2[[AwayTeam]:[AwayTeam]],$T22, Table2[[HomeTeam]:[HomeTeam]], AG$21, Table2[[ActualResult]:[ActualResult]], "SO") + SUMIFS(Table2[[AwayWon]:[AwayWon]], Table2[[GameIsOver]:[GameIsOver]],1,Table2[[HomeTeam]:[HomeTeam]],$T22, Table2[[AwayTeam]:[AwayTeam]], AG$21, Table2[[ActualResult]:[ActualResult]], "SO")))</f>
        <v>2</v>
      </c>
      <c r="AH22">
        <f>(2*(SUMIFS(Table2[[AwayWon]:[AwayWon]], Table2[[GameIsOver]:[GameIsOver]],1,Table2[[AwayTeam]:[AwayTeam]],$T22, Table2[[HomeTeam]:[HomeTeam]], AH$21) + SUMIFS(Table2[[HomeWon_]:[HomeWon_]], Table2[[GameIsOver]:[GameIsOver]],1,Table2[[HomeTeam]:[HomeTeam]],$T22, Table2[[AwayTeam]:[AwayTeam]], AH$21))) + (0*(SUMIFS(Table2[[HomeWon_]:[HomeWon_]], Table2[[GameIsOver]:[GameIsOver]],1,Table2[[AwayTeam]:[AwayTeam]],$T22, Table2[[HomeTeam]:[HomeTeam]], AH$21, Table2[[ActualResult]:[ActualResult]], "REG") + SUMIFS(Table2[[AwayWon]:[AwayWon]], Table2[[GameIsOver]:[GameIsOver]],1,Table2[[HomeTeam]:[HomeTeam]],$T22, Table2[[AwayTeam]:[AwayTeam]], AH$21, Table2[[ActualResult]:[ActualResult]], "REG"))) + (1*(SUMIFS(Table2[[HomeWon_]:[HomeWon_]], Table2[[GameIsOver]:[GameIsOver]],1,Table2[[AwayTeam]:[AwayTeam]],$T22, Table2[[HomeTeam]:[HomeTeam]], AH$21, Table2[[ActualResult]:[ActualResult]], "OT") + SUMIFS(Table2[[AwayWon]:[AwayWon]], Table2[[GameIsOver]:[GameIsOver]],1,Table2[[HomeTeam]:[HomeTeam]],$T22, Table2[[AwayTeam]:[AwayTeam]], AH$21, Table2[[ActualResult]:[ActualResult]], "OT") + SUMIFS(Table2[[HomeWon_]:[HomeWon_]], Table2[[GameIsOver]:[GameIsOver]],1,Table2[[AwayTeam]:[AwayTeam]],$T22, Table2[[HomeTeam]:[HomeTeam]], AH$21, Table2[[ActualResult]:[ActualResult]], "SO") + SUMIFS(Table2[[AwayWon]:[AwayWon]], Table2[[GameIsOver]:[GameIsOver]],1,Table2[[HomeTeam]:[HomeTeam]],$T22, Table2[[AwayTeam]:[AwayTeam]], AH$21, Table2[[ActualResult]:[ActualResult]], "SO")))</f>
        <v>0</v>
      </c>
      <c r="AI22">
        <f>(2*(SUMIFS(Table2[[AwayWon]:[AwayWon]], Table2[[GameIsOver]:[GameIsOver]],1,Table2[[AwayTeam]:[AwayTeam]],$T22, Table2[[HomeTeam]:[HomeTeam]], AI$21) + SUMIFS(Table2[[HomeWon_]:[HomeWon_]], Table2[[GameIsOver]:[GameIsOver]],1,Table2[[HomeTeam]:[HomeTeam]],$T22, Table2[[AwayTeam]:[AwayTeam]], AI$21))) + (0*(SUMIFS(Table2[[HomeWon_]:[HomeWon_]], Table2[[GameIsOver]:[GameIsOver]],1,Table2[[AwayTeam]:[AwayTeam]],$T22, Table2[[HomeTeam]:[HomeTeam]], AI$21, Table2[[ActualResult]:[ActualResult]], "REG") + SUMIFS(Table2[[AwayWon]:[AwayWon]], Table2[[GameIsOver]:[GameIsOver]],1,Table2[[HomeTeam]:[HomeTeam]],$T22, Table2[[AwayTeam]:[AwayTeam]], AI$21, Table2[[ActualResult]:[ActualResult]], "REG"))) + (1*(SUMIFS(Table2[[HomeWon_]:[HomeWon_]], Table2[[GameIsOver]:[GameIsOver]],1,Table2[[AwayTeam]:[AwayTeam]],$T22, Table2[[HomeTeam]:[HomeTeam]], AI$21, Table2[[ActualResult]:[ActualResult]], "OT") + SUMIFS(Table2[[AwayWon]:[AwayWon]], Table2[[GameIsOver]:[GameIsOver]],1,Table2[[HomeTeam]:[HomeTeam]],$T22, Table2[[AwayTeam]:[AwayTeam]], AI$21, Table2[[ActualResult]:[ActualResult]], "OT") + SUMIFS(Table2[[HomeWon_]:[HomeWon_]], Table2[[GameIsOver]:[GameIsOver]],1,Table2[[AwayTeam]:[AwayTeam]],$T22, Table2[[HomeTeam]:[HomeTeam]], AI$21, Table2[[ActualResult]:[ActualResult]], "SO") + SUMIFS(Table2[[AwayWon]:[AwayWon]], Table2[[GameIsOver]:[GameIsOver]],1,Table2[[HomeTeam]:[HomeTeam]],$T22, Table2[[AwayTeam]:[AwayTeam]], AI$21, Table2[[ActualResult]:[ActualResult]], "SO")))</f>
        <v>0</v>
      </c>
      <c r="AJ22">
        <f>(2*(SUMIFS(Table2[[AwayWon]:[AwayWon]], Table2[[GameIsOver]:[GameIsOver]],1,Table2[[AwayTeam]:[AwayTeam]],$T22, Table2[[HomeTeam]:[HomeTeam]], AJ$21) + SUMIFS(Table2[[HomeWon_]:[HomeWon_]], Table2[[GameIsOver]:[GameIsOver]],1,Table2[[HomeTeam]:[HomeTeam]],$T22, Table2[[AwayTeam]:[AwayTeam]], AJ$21))) + (0*(SUMIFS(Table2[[HomeWon_]:[HomeWon_]], Table2[[GameIsOver]:[GameIsOver]],1,Table2[[AwayTeam]:[AwayTeam]],$T22, Table2[[HomeTeam]:[HomeTeam]], AJ$21, Table2[[ActualResult]:[ActualResult]], "REG") + SUMIFS(Table2[[AwayWon]:[AwayWon]], Table2[[GameIsOver]:[GameIsOver]],1,Table2[[HomeTeam]:[HomeTeam]],$T22, Table2[[AwayTeam]:[AwayTeam]], AJ$21, Table2[[ActualResult]:[ActualResult]], "REG"))) + (1*(SUMIFS(Table2[[HomeWon_]:[HomeWon_]], Table2[[GameIsOver]:[GameIsOver]],1,Table2[[AwayTeam]:[AwayTeam]],$T22, Table2[[HomeTeam]:[HomeTeam]], AJ$21, Table2[[ActualResult]:[ActualResult]], "OT") + SUMIFS(Table2[[AwayWon]:[AwayWon]], Table2[[GameIsOver]:[GameIsOver]],1,Table2[[HomeTeam]:[HomeTeam]],$T22, Table2[[AwayTeam]:[AwayTeam]], AJ$21, Table2[[ActualResult]:[ActualResult]], "OT") + SUMIFS(Table2[[HomeWon_]:[HomeWon_]], Table2[[GameIsOver]:[GameIsOver]],1,Table2[[AwayTeam]:[AwayTeam]],$T22, Table2[[HomeTeam]:[HomeTeam]], AJ$21, Table2[[ActualResult]:[ActualResult]], "SO") + SUMIFS(Table2[[AwayWon]:[AwayWon]], Table2[[GameIsOver]:[GameIsOver]],1,Table2[[HomeTeam]:[HomeTeam]],$T22, Table2[[AwayTeam]:[AwayTeam]], AJ$21, Table2[[ActualResult]:[ActualResult]], "SO")))</f>
        <v>0</v>
      </c>
      <c r="AK22">
        <f>(2*(SUMIFS(Table2[[AwayWon]:[AwayWon]], Table2[[GameIsOver]:[GameIsOver]],1,Table2[[AwayTeam]:[AwayTeam]],$T22, Table2[[HomeTeam]:[HomeTeam]], AK$21) + SUMIFS(Table2[[HomeWon_]:[HomeWon_]], Table2[[GameIsOver]:[GameIsOver]],1,Table2[[HomeTeam]:[HomeTeam]],$T22, Table2[[AwayTeam]:[AwayTeam]], AK$21))) + (0*(SUMIFS(Table2[[HomeWon_]:[HomeWon_]], Table2[[GameIsOver]:[GameIsOver]],1,Table2[[AwayTeam]:[AwayTeam]],$T22, Table2[[HomeTeam]:[HomeTeam]], AK$21, Table2[[ActualResult]:[ActualResult]], "REG") + SUMIFS(Table2[[AwayWon]:[AwayWon]], Table2[[GameIsOver]:[GameIsOver]],1,Table2[[HomeTeam]:[HomeTeam]],$T22, Table2[[AwayTeam]:[AwayTeam]], AK$21, Table2[[ActualResult]:[ActualResult]], "REG"))) + (1*(SUMIFS(Table2[[HomeWon_]:[HomeWon_]], Table2[[GameIsOver]:[GameIsOver]],1,Table2[[AwayTeam]:[AwayTeam]],$T22, Table2[[HomeTeam]:[HomeTeam]], AK$21, Table2[[ActualResult]:[ActualResult]], "OT") + SUMIFS(Table2[[AwayWon]:[AwayWon]], Table2[[GameIsOver]:[GameIsOver]],1,Table2[[HomeTeam]:[HomeTeam]],$T22, Table2[[AwayTeam]:[AwayTeam]], AK$21, Table2[[ActualResult]:[ActualResult]], "OT") + SUMIFS(Table2[[HomeWon_]:[HomeWon_]], Table2[[GameIsOver]:[GameIsOver]],1,Table2[[AwayTeam]:[AwayTeam]],$T22, Table2[[HomeTeam]:[HomeTeam]], AK$21, Table2[[ActualResult]:[ActualResult]], "SO") + SUMIFS(Table2[[AwayWon]:[AwayWon]], Table2[[GameIsOver]:[GameIsOver]],1,Table2[[HomeTeam]:[HomeTeam]],$T22, Table2[[AwayTeam]:[AwayTeam]], AK$21, Table2[[ActualResult]:[ActualResult]], "SO")))</f>
        <v>0</v>
      </c>
      <c r="AL22">
        <f>(2*(SUMIFS(Table2[[AwayWon]:[AwayWon]], Table2[[GameIsOver]:[GameIsOver]],1,Table2[[AwayTeam]:[AwayTeam]],$T22, Table2[[HomeTeam]:[HomeTeam]], AL$21) + SUMIFS(Table2[[HomeWon_]:[HomeWon_]], Table2[[GameIsOver]:[GameIsOver]],1,Table2[[HomeTeam]:[HomeTeam]],$T22, Table2[[AwayTeam]:[AwayTeam]], AL$21))) + (0*(SUMIFS(Table2[[HomeWon_]:[HomeWon_]], Table2[[GameIsOver]:[GameIsOver]],1,Table2[[AwayTeam]:[AwayTeam]],$T22, Table2[[HomeTeam]:[HomeTeam]], AL$21, Table2[[ActualResult]:[ActualResult]], "REG") + SUMIFS(Table2[[AwayWon]:[AwayWon]], Table2[[GameIsOver]:[GameIsOver]],1,Table2[[HomeTeam]:[HomeTeam]],$T22, Table2[[AwayTeam]:[AwayTeam]], AL$21, Table2[[ActualResult]:[ActualResult]], "REG"))) + (1*(SUMIFS(Table2[[HomeWon_]:[HomeWon_]], Table2[[GameIsOver]:[GameIsOver]],1,Table2[[AwayTeam]:[AwayTeam]],$T22, Table2[[HomeTeam]:[HomeTeam]], AL$21, Table2[[ActualResult]:[ActualResult]], "OT") + SUMIFS(Table2[[AwayWon]:[AwayWon]], Table2[[GameIsOver]:[GameIsOver]],1,Table2[[HomeTeam]:[HomeTeam]],$T22, Table2[[AwayTeam]:[AwayTeam]], AL$21, Table2[[ActualResult]:[ActualResult]], "OT") + SUMIFS(Table2[[HomeWon_]:[HomeWon_]], Table2[[GameIsOver]:[GameIsOver]],1,Table2[[AwayTeam]:[AwayTeam]],$T22, Table2[[HomeTeam]:[HomeTeam]], AL$21, Table2[[ActualResult]:[ActualResult]], "SO") + SUMIFS(Table2[[AwayWon]:[AwayWon]], Table2[[GameIsOver]:[GameIsOver]],1,Table2[[HomeTeam]:[HomeTeam]],$T22, Table2[[AwayTeam]:[AwayTeam]], AL$21, Table2[[ActualResult]:[ActualResult]], "SO")))</f>
        <v>0</v>
      </c>
      <c r="AM22">
        <f>(2*(SUMIFS(Table2[[AwayWon]:[AwayWon]], Table2[[GameIsOver]:[GameIsOver]],1,Table2[[AwayTeam]:[AwayTeam]],$T22, Table2[[HomeTeam]:[HomeTeam]], AM$21) + SUMIFS(Table2[[HomeWon_]:[HomeWon_]], Table2[[GameIsOver]:[GameIsOver]],1,Table2[[HomeTeam]:[HomeTeam]],$T22, Table2[[AwayTeam]:[AwayTeam]], AM$21))) + (0*(SUMIFS(Table2[[HomeWon_]:[HomeWon_]], Table2[[GameIsOver]:[GameIsOver]],1,Table2[[AwayTeam]:[AwayTeam]],$T22, Table2[[HomeTeam]:[HomeTeam]], AM$21, Table2[[ActualResult]:[ActualResult]], "REG") + SUMIFS(Table2[[AwayWon]:[AwayWon]], Table2[[GameIsOver]:[GameIsOver]],1,Table2[[HomeTeam]:[HomeTeam]],$T22, Table2[[AwayTeam]:[AwayTeam]], AM$21, Table2[[ActualResult]:[ActualResult]], "REG"))) + (1*(SUMIFS(Table2[[HomeWon_]:[HomeWon_]], Table2[[GameIsOver]:[GameIsOver]],1,Table2[[AwayTeam]:[AwayTeam]],$T22, Table2[[HomeTeam]:[HomeTeam]], AM$21, Table2[[ActualResult]:[ActualResult]], "OT") + SUMIFS(Table2[[AwayWon]:[AwayWon]], Table2[[GameIsOver]:[GameIsOver]],1,Table2[[HomeTeam]:[HomeTeam]],$T22, Table2[[AwayTeam]:[AwayTeam]], AM$21, Table2[[ActualResult]:[ActualResult]], "OT") + SUMIFS(Table2[[HomeWon_]:[HomeWon_]], Table2[[GameIsOver]:[GameIsOver]],1,Table2[[AwayTeam]:[AwayTeam]],$T22, Table2[[HomeTeam]:[HomeTeam]], AM$21, Table2[[ActualResult]:[ActualResult]], "SO") + SUMIFS(Table2[[AwayWon]:[AwayWon]], Table2[[GameIsOver]:[GameIsOver]],1,Table2[[HomeTeam]:[HomeTeam]],$T22, Table2[[AwayTeam]:[AwayTeam]], AM$21, Table2[[ActualResult]:[ActualResult]], "SO")))</f>
        <v>0</v>
      </c>
      <c r="AN22">
        <f>(2*(SUMIFS(Table2[[AwayWon]:[AwayWon]], Table2[[GameIsOver]:[GameIsOver]],1,Table2[[AwayTeam]:[AwayTeam]],$T22, Table2[[HomeTeam]:[HomeTeam]], AN$21) + SUMIFS(Table2[[HomeWon_]:[HomeWon_]], Table2[[GameIsOver]:[GameIsOver]],1,Table2[[HomeTeam]:[HomeTeam]],$T22, Table2[[AwayTeam]:[AwayTeam]], AN$21))) + (0*(SUMIFS(Table2[[HomeWon_]:[HomeWon_]], Table2[[GameIsOver]:[GameIsOver]],1,Table2[[AwayTeam]:[AwayTeam]],$T22, Table2[[HomeTeam]:[HomeTeam]], AN$21, Table2[[ActualResult]:[ActualResult]], "REG") + SUMIFS(Table2[[AwayWon]:[AwayWon]], Table2[[GameIsOver]:[GameIsOver]],1,Table2[[HomeTeam]:[HomeTeam]],$T22, Table2[[AwayTeam]:[AwayTeam]], AN$21, Table2[[ActualResult]:[ActualResult]], "REG"))) + (1*(SUMIFS(Table2[[HomeWon_]:[HomeWon_]], Table2[[GameIsOver]:[GameIsOver]],1,Table2[[AwayTeam]:[AwayTeam]],$T22, Table2[[HomeTeam]:[HomeTeam]], AN$21, Table2[[ActualResult]:[ActualResult]], "OT") + SUMIFS(Table2[[AwayWon]:[AwayWon]], Table2[[GameIsOver]:[GameIsOver]],1,Table2[[HomeTeam]:[HomeTeam]],$T22, Table2[[AwayTeam]:[AwayTeam]], AN$21, Table2[[ActualResult]:[ActualResult]], "OT") + SUMIFS(Table2[[HomeWon_]:[HomeWon_]], Table2[[GameIsOver]:[GameIsOver]],1,Table2[[AwayTeam]:[AwayTeam]],$T22, Table2[[HomeTeam]:[HomeTeam]], AN$21, Table2[[ActualResult]:[ActualResult]], "SO") + SUMIFS(Table2[[AwayWon]:[AwayWon]], Table2[[GameIsOver]:[GameIsOver]],1,Table2[[HomeTeam]:[HomeTeam]],$T22, Table2[[AwayTeam]:[AwayTeam]], AN$21, Table2[[ActualResult]:[ActualResult]], "SO")))</f>
        <v>0</v>
      </c>
      <c r="AO22">
        <f>(2*(SUMIFS(Table2[[AwayWon]:[AwayWon]], Table2[[GameIsOver]:[GameIsOver]],1,Table2[[AwayTeam]:[AwayTeam]],$T22, Table2[[HomeTeam]:[HomeTeam]], AO$21) + SUMIFS(Table2[[HomeWon_]:[HomeWon_]], Table2[[GameIsOver]:[GameIsOver]],1,Table2[[HomeTeam]:[HomeTeam]],$T22, Table2[[AwayTeam]:[AwayTeam]], AO$21))) + (0*(SUMIFS(Table2[[HomeWon_]:[HomeWon_]], Table2[[GameIsOver]:[GameIsOver]],1,Table2[[AwayTeam]:[AwayTeam]],$T22, Table2[[HomeTeam]:[HomeTeam]], AO$21, Table2[[ActualResult]:[ActualResult]], "REG") + SUMIFS(Table2[[AwayWon]:[AwayWon]], Table2[[GameIsOver]:[GameIsOver]],1,Table2[[HomeTeam]:[HomeTeam]],$T22, Table2[[AwayTeam]:[AwayTeam]], AO$21, Table2[[ActualResult]:[ActualResult]], "REG"))) + (1*(SUMIFS(Table2[[HomeWon_]:[HomeWon_]], Table2[[GameIsOver]:[GameIsOver]],1,Table2[[AwayTeam]:[AwayTeam]],$T22, Table2[[HomeTeam]:[HomeTeam]], AO$21, Table2[[ActualResult]:[ActualResult]], "OT") + SUMIFS(Table2[[AwayWon]:[AwayWon]], Table2[[GameIsOver]:[GameIsOver]],1,Table2[[HomeTeam]:[HomeTeam]],$T22, Table2[[AwayTeam]:[AwayTeam]], AO$21, Table2[[ActualResult]:[ActualResult]], "OT") + SUMIFS(Table2[[HomeWon_]:[HomeWon_]], Table2[[GameIsOver]:[GameIsOver]],1,Table2[[AwayTeam]:[AwayTeam]],$T22, Table2[[HomeTeam]:[HomeTeam]], AO$21, Table2[[ActualResult]:[ActualResult]], "SO") + SUMIFS(Table2[[AwayWon]:[AwayWon]], Table2[[GameIsOver]:[GameIsOver]],1,Table2[[HomeTeam]:[HomeTeam]],$T22, Table2[[AwayTeam]:[AwayTeam]], AO$21, Table2[[ActualResult]:[ActualResult]], "SO")))</f>
        <v>2</v>
      </c>
      <c r="AP22">
        <f>(2*(SUMIFS(Table2[[AwayWon]:[AwayWon]], Table2[[GameIsOver]:[GameIsOver]],1,Table2[[AwayTeam]:[AwayTeam]],$T22, Table2[[HomeTeam]:[HomeTeam]], AP$21) + SUMIFS(Table2[[HomeWon_]:[HomeWon_]], Table2[[GameIsOver]:[GameIsOver]],1,Table2[[HomeTeam]:[HomeTeam]],$T22, Table2[[AwayTeam]:[AwayTeam]], AP$21))) + (0*(SUMIFS(Table2[[HomeWon_]:[HomeWon_]], Table2[[GameIsOver]:[GameIsOver]],1,Table2[[AwayTeam]:[AwayTeam]],$T22, Table2[[HomeTeam]:[HomeTeam]], AP$21, Table2[[ActualResult]:[ActualResult]], "REG") + SUMIFS(Table2[[AwayWon]:[AwayWon]], Table2[[GameIsOver]:[GameIsOver]],1,Table2[[HomeTeam]:[HomeTeam]],$T22, Table2[[AwayTeam]:[AwayTeam]], AP$21, Table2[[ActualResult]:[ActualResult]], "REG"))) + (1*(SUMIFS(Table2[[HomeWon_]:[HomeWon_]], Table2[[GameIsOver]:[GameIsOver]],1,Table2[[AwayTeam]:[AwayTeam]],$T22, Table2[[HomeTeam]:[HomeTeam]], AP$21, Table2[[ActualResult]:[ActualResult]], "OT") + SUMIFS(Table2[[AwayWon]:[AwayWon]], Table2[[GameIsOver]:[GameIsOver]],1,Table2[[HomeTeam]:[HomeTeam]],$T22, Table2[[AwayTeam]:[AwayTeam]], AP$21, Table2[[ActualResult]:[ActualResult]], "OT") + SUMIFS(Table2[[HomeWon_]:[HomeWon_]], Table2[[GameIsOver]:[GameIsOver]],1,Table2[[AwayTeam]:[AwayTeam]],$T22, Table2[[HomeTeam]:[HomeTeam]], AP$21, Table2[[ActualResult]:[ActualResult]], "SO") + SUMIFS(Table2[[AwayWon]:[AwayWon]], Table2[[GameIsOver]:[GameIsOver]],1,Table2[[HomeTeam]:[HomeTeam]],$T22, Table2[[AwayTeam]:[AwayTeam]], AP$21, Table2[[ActualResult]:[ActualResult]], "SO")))</f>
        <v>2</v>
      </c>
      <c r="AQ22">
        <f>(2*(SUMIFS(Table2[[AwayWon]:[AwayWon]], Table2[[GameIsOver]:[GameIsOver]],1,Table2[[AwayTeam]:[AwayTeam]],$T22, Table2[[HomeTeam]:[HomeTeam]], AQ$21) + SUMIFS(Table2[[HomeWon_]:[HomeWon_]], Table2[[GameIsOver]:[GameIsOver]],1,Table2[[HomeTeam]:[HomeTeam]],$T22, Table2[[AwayTeam]:[AwayTeam]], AQ$21))) + (0*(SUMIFS(Table2[[HomeWon_]:[HomeWon_]], Table2[[GameIsOver]:[GameIsOver]],1,Table2[[AwayTeam]:[AwayTeam]],$T22, Table2[[HomeTeam]:[HomeTeam]], AQ$21, Table2[[ActualResult]:[ActualResult]], "REG") + SUMIFS(Table2[[AwayWon]:[AwayWon]], Table2[[GameIsOver]:[GameIsOver]],1,Table2[[HomeTeam]:[HomeTeam]],$T22, Table2[[AwayTeam]:[AwayTeam]], AQ$21, Table2[[ActualResult]:[ActualResult]], "REG"))) + (1*(SUMIFS(Table2[[HomeWon_]:[HomeWon_]], Table2[[GameIsOver]:[GameIsOver]],1,Table2[[AwayTeam]:[AwayTeam]],$T22, Table2[[HomeTeam]:[HomeTeam]], AQ$21, Table2[[ActualResult]:[ActualResult]], "OT") + SUMIFS(Table2[[AwayWon]:[AwayWon]], Table2[[GameIsOver]:[GameIsOver]],1,Table2[[HomeTeam]:[HomeTeam]],$T22, Table2[[AwayTeam]:[AwayTeam]], AQ$21, Table2[[ActualResult]:[ActualResult]], "OT") + SUMIFS(Table2[[HomeWon_]:[HomeWon_]], Table2[[GameIsOver]:[GameIsOver]],1,Table2[[AwayTeam]:[AwayTeam]],$T22, Table2[[HomeTeam]:[HomeTeam]], AQ$21, Table2[[ActualResult]:[ActualResult]], "SO") + SUMIFS(Table2[[AwayWon]:[AwayWon]], Table2[[GameIsOver]:[GameIsOver]],1,Table2[[HomeTeam]:[HomeTeam]],$T22, Table2[[AwayTeam]:[AwayTeam]], AQ$21, Table2[[ActualResult]:[ActualResult]], "SO")))</f>
        <v>0</v>
      </c>
      <c r="AR22">
        <f>(2*(SUMIFS(Table2[[AwayWon]:[AwayWon]], Table2[[GameIsOver]:[GameIsOver]],1,Table2[[AwayTeam]:[AwayTeam]],$T22, Table2[[HomeTeam]:[HomeTeam]], AR$21) + SUMIFS(Table2[[HomeWon_]:[HomeWon_]], Table2[[GameIsOver]:[GameIsOver]],1,Table2[[HomeTeam]:[HomeTeam]],$T22, Table2[[AwayTeam]:[AwayTeam]], AR$21))) + (0*(SUMIFS(Table2[[HomeWon_]:[HomeWon_]], Table2[[GameIsOver]:[GameIsOver]],1,Table2[[AwayTeam]:[AwayTeam]],$T22, Table2[[HomeTeam]:[HomeTeam]], AR$21, Table2[[ActualResult]:[ActualResult]], "REG") + SUMIFS(Table2[[AwayWon]:[AwayWon]], Table2[[GameIsOver]:[GameIsOver]],1,Table2[[HomeTeam]:[HomeTeam]],$T22, Table2[[AwayTeam]:[AwayTeam]], AR$21, Table2[[ActualResult]:[ActualResult]], "REG"))) + (1*(SUMIFS(Table2[[HomeWon_]:[HomeWon_]], Table2[[GameIsOver]:[GameIsOver]],1,Table2[[AwayTeam]:[AwayTeam]],$T22, Table2[[HomeTeam]:[HomeTeam]], AR$21, Table2[[ActualResult]:[ActualResult]], "OT") + SUMIFS(Table2[[AwayWon]:[AwayWon]], Table2[[GameIsOver]:[GameIsOver]],1,Table2[[HomeTeam]:[HomeTeam]],$T22, Table2[[AwayTeam]:[AwayTeam]], AR$21, Table2[[ActualResult]:[ActualResult]], "OT") + SUMIFS(Table2[[HomeWon_]:[HomeWon_]], Table2[[GameIsOver]:[GameIsOver]],1,Table2[[AwayTeam]:[AwayTeam]],$T22, Table2[[HomeTeam]:[HomeTeam]], AR$21, Table2[[ActualResult]:[ActualResult]], "SO") + SUMIFS(Table2[[AwayWon]:[AwayWon]], Table2[[GameIsOver]:[GameIsOver]],1,Table2[[HomeTeam]:[HomeTeam]],$T22, Table2[[AwayTeam]:[AwayTeam]], AR$21, Table2[[ActualResult]:[ActualResult]], "SO")))</f>
        <v>0</v>
      </c>
      <c r="AS22">
        <f>(2*(SUMIFS(Table2[[AwayWon]:[AwayWon]], Table2[[GameIsOver]:[GameIsOver]],1,Table2[[AwayTeam]:[AwayTeam]],$T22, Table2[[HomeTeam]:[HomeTeam]], AS$21) + SUMIFS(Table2[[HomeWon_]:[HomeWon_]], Table2[[GameIsOver]:[GameIsOver]],1,Table2[[HomeTeam]:[HomeTeam]],$T22, Table2[[AwayTeam]:[AwayTeam]], AS$21))) + (0*(SUMIFS(Table2[[HomeWon_]:[HomeWon_]], Table2[[GameIsOver]:[GameIsOver]],1,Table2[[AwayTeam]:[AwayTeam]],$T22, Table2[[HomeTeam]:[HomeTeam]], AS$21, Table2[[ActualResult]:[ActualResult]], "REG") + SUMIFS(Table2[[AwayWon]:[AwayWon]], Table2[[GameIsOver]:[GameIsOver]],1,Table2[[HomeTeam]:[HomeTeam]],$T22, Table2[[AwayTeam]:[AwayTeam]], AS$21, Table2[[ActualResult]:[ActualResult]], "REG"))) + (1*(SUMIFS(Table2[[HomeWon_]:[HomeWon_]], Table2[[GameIsOver]:[GameIsOver]],1,Table2[[AwayTeam]:[AwayTeam]],$T22, Table2[[HomeTeam]:[HomeTeam]], AS$21, Table2[[ActualResult]:[ActualResult]], "OT") + SUMIFS(Table2[[AwayWon]:[AwayWon]], Table2[[GameIsOver]:[GameIsOver]],1,Table2[[HomeTeam]:[HomeTeam]],$T22, Table2[[AwayTeam]:[AwayTeam]], AS$21, Table2[[ActualResult]:[ActualResult]], "OT") + SUMIFS(Table2[[HomeWon_]:[HomeWon_]], Table2[[GameIsOver]:[GameIsOver]],1,Table2[[AwayTeam]:[AwayTeam]],$T22, Table2[[HomeTeam]:[HomeTeam]], AS$21, Table2[[ActualResult]:[ActualResult]], "SO") + SUMIFS(Table2[[AwayWon]:[AwayWon]], Table2[[GameIsOver]:[GameIsOver]],1,Table2[[HomeTeam]:[HomeTeam]],$T22, Table2[[AwayTeam]:[AwayTeam]], AS$21, Table2[[ActualResult]:[ActualResult]], "SO")))</f>
        <v>0</v>
      </c>
      <c r="AT22">
        <f>(2*(SUMIFS(Table2[[AwayWon]:[AwayWon]], Table2[[GameIsOver]:[GameIsOver]],1,Table2[[AwayTeam]:[AwayTeam]],$T22, Table2[[HomeTeam]:[HomeTeam]], AT$21) + SUMIFS(Table2[[HomeWon_]:[HomeWon_]], Table2[[GameIsOver]:[GameIsOver]],1,Table2[[HomeTeam]:[HomeTeam]],$T22, Table2[[AwayTeam]:[AwayTeam]], AT$21))) + (0*(SUMIFS(Table2[[HomeWon_]:[HomeWon_]], Table2[[GameIsOver]:[GameIsOver]],1,Table2[[AwayTeam]:[AwayTeam]],$T22, Table2[[HomeTeam]:[HomeTeam]], AT$21, Table2[[ActualResult]:[ActualResult]], "REG") + SUMIFS(Table2[[AwayWon]:[AwayWon]], Table2[[GameIsOver]:[GameIsOver]],1,Table2[[HomeTeam]:[HomeTeam]],$T22, Table2[[AwayTeam]:[AwayTeam]], AT$21, Table2[[ActualResult]:[ActualResult]], "REG"))) + (1*(SUMIFS(Table2[[HomeWon_]:[HomeWon_]], Table2[[GameIsOver]:[GameIsOver]],1,Table2[[AwayTeam]:[AwayTeam]],$T22, Table2[[HomeTeam]:[HomeTeam]], AT$21, Table2[[ActualResult]:[ActualResult]], "OT") + SUMIFS(Table2[[AwayWon]:[AwayWon]], Table2[[GameIsOver]:[GameIsOver]],1,Table2[[HomeTeam]:[HomeTeam]],$T22, Table2[[AwayTeam]:[AwayTeam]], AT$21, Table2[[ActualResult]:[ActualResult]], "OT") + SUMIFS(Table2[[HomeWon_]:[HomeWon_]], Table2[[GameIsOver]:[GameIsOver]],1,Table2[[AwayTeam]:[AwayTeam]],$T22, Table2[[HomeTeam]:[HomeTeam]], AT$21, Table2[[ActualResult]:[ActualResult]], "SO") + SUMIFS(Table2[[AwayWon]:[AwayWon]], Table2[[GameIsOver]:[GameIsOver]],1,Table2[[HomeTeam]:[HomeTeam]],$T22, Table2[[AwayTeam]:[AwayTeam]], AT$21, Table2[[ActualResult]:[ActualResult]], "SO")))</f>
        <v>0</v>
      </c>
      <c r="AU22">
        <f>(2*(SUMIFS(Table2[[AwayWon]:[AwayWon]], Table2[[GameIsOver]:[GameIsOver]],1,Table2[[AwayTeam]:[AwayTeam]],$T22, Table2[[HomeTeam]:[HomeTeam]], AU$21) + SUMIFS(Table2[[HomeWon_]:[HomeWon_]], Table2[[GameIsOver]:[GameIsOver]],1,Table2[[HomeTeam]:[HomeTeam]],$T22, Table2[[AwayTeam]:[AwayTeam]], AU$21))) + (0*(SUMIFS(Table2[[HomeWon_]:[HomeWon_]], Table2[[GameIsOver]:[GameIsOver]],1,Table2[[AwayTeam]:[AwayTeam]],$T22, Table2[[HomeTeam]:[HomeTeam]], AU$21, Table2[[ActualResult]:[ActualResult]], "REG") + SUMIFS(Table2[[AwayWon]:[AwayWon]], Table2[[GameIsOver]:[GameIsOver]],1,Table2[[HomeTeam]:[HomeTeam]],$T22, Table2[[AwayTeam]:[AwayTeam]], AU$21, Table2[[ActualResult]:[ActualResult]], "REG"))) + (1*(SUMIFS(Table2[[HomeWon_]:[HomeWon_]], Table2[[GameIsOver]:[GameIsOver]],1,Table2[[AwayTeam]:[AwayTeam]],$T22, Table2[[HomeTeam]:[HomeTeam]], AU$21, Table2[[ActualResult]:[ActualResult]], "OT") + SUMIFS(Table2[[AwayWon]:[AwayWon]], Table2[[GameIsOver]:[GameIsOver]],1,Table2[[HomeTeam]:[HomeTeam]],$T22, Table2[[AwayTeam]:[AwayTeam]], AU$21, Table2[[ActualResult]:[ActualResult]], "OT") + SUMIFS(Table2[[HomeWon_]:[HomeWon_]], Table2[[GameIsOver]:[GameIsOver]],1,Table2[[AwayTeam]:[AwayTeam]],$T22, Table2[[HomeTeam]:[HomeTeam]], AU$21, Table2[[ActualResult]:[ActualResult]], "SO") + SUMIFS(Table2[[AwayWon]:[AwayWon]], Table2[[GameIsOver]:[GameIsOver]],1,Table2[[HomeTeam]:[HomeTeam]],$T22, Table2[[AwayTeam]:[AwayTeam]], AU$21, Table2[[ActualResult]:[ActualResult]], "SO")))</f>
        <v>0</v>
      </c>
      <c r="AV22">
        <f>(2*(SUMIFS(Table2[[AwayWon]:[AwayWon]], Table2[[GameIsOver]:[GameIsOver]],1,Table2[[AwayTeam]:[AwayTeam]],$T22, Table2[[HomeTeam]:[HomeTeam]], AV$21) + SUMIFS(Table2[[HomeWon_]:[HomeWon_]], Table2[[GameIsOver]:[GameIsOver]],1,Table2[[HomeTeam]:[HomeTeam]],$T22, Table2[[AwayTeam]:[AwayTeam]], AV$21))) + (0*(SUMIFS(Table2[[HomeWon_]:[HomeWon_]], Table2[[GameIsOver]:[GameIsOver]],1,Table2[[AwayTeam]:[AwayTeam]],$T22, Table2[[HomeTeam]:[HomeTeam]], AV$21, Table2[[ActualResult]:[ActualResult]], "REG") + SUMIFS(Table2[[AwayWon]:[AwayWon]], Table2[[GameIsOver]:[GameIsOver]],1,Table2[[HomeTeam]:[HomeTeam]],$T22, Table2[[AwayTeam]:[AwayTeam]], AV$21, Table2[[ActualResult]:[ActualResult]], "REG"))) + (1*(SUMIFS(Table2[[HomeWon_]:[HomeWon_]], Table2[[GameIsOver]:[GameIsOver]],1,Table2[[AwayTeam]:[AwayTeam]],$T22, Table2[[HomeTeam]:[HomeTeam]], AV$21, Table2[[ActualResult]:[ActualResult]], "OT") + SUMIFS(Table2[[AwayWon]:[AwayWon]], Table2[[GameIsOver]:[GameIsOver]],1,Table2[[HomeTeam]:[HomeTeam]],$T22, Table2[[AwayTeam]:[AwayTeam]], AV$21, Table2[[ActualResult]:[ActualResult]], "OT") + SUMIFS(Table2[[HomeWon_]:[HomeWon_]], Table2[[GameIsOver]:[GameIsOver]],1,Table2[[AwayTeam]:[AwayTeam]],$T22, Table2[[HomeTeam]:[HomeTeam]], AV$21, Table2[[ActualResult]:[ActualResult]], "SO") + SUMIFS(Table2[[AwayWon]:[AwayWon]], Table2[[GameIsOver]:[GameIsOver]],1,Table2[[HomeTeam]:[HomeTeam]],$T22, Table2[[AwayTeam]:[AwayTeam]], AV$21, Table2[[ActualResult]:[ActualResult]], "SO")))</f>
        <v>0</v>
      </c>
      <c r="AW22">
        <f>(2*(SUMIFS(Table2[[AwayWon]:[AwayWon]], Table2[[GameIsOver]:[GameIsOver]],1,Table2[[AwayTeam]:[AwayTeam]],$T22, Table2[[HomeTeam]:[HomeTeam]], AW$21) + SUMIFS(Table2[[HomeWon_]:[HomeWon_]], Table2[[GameIsOver]:[GameIsOver]],1,Table2[[HomeTeam]:[HomeTeam]],$T22, Table2[[AwayTeam]:[AwayTeam]], AW$21))) + (0*(SUMIFS(Table2[[HomeWon_]:[HomeWon_]], Table2[[GameIsOver]:[GameIsOver]],1,Table2[[AwayTeam]:[AwayTeam]],$T22, Table2[[HomeTeam]:[HomeTeam]], AW$21, Table2[[ActualResult]:[ActualResult]], "REG") + SUMIFS(Table2[[AwayWon]:[AwayWon]], Table2[[GameIsOver]:[GameIsOver]],1,Table2[[HomeTeam]:[HomeTeam]],$T22, Table2[[AwayTeam]:[AwayTeam]], AW$21, Table2[[ActualResult]:[ActualResult]], "REG"))) + (1*(SUMIFS(Table2[[HomeWon_]:[HomeWon_]], Table2[[GameIsOver]:[GameIsOver]],1,Table2[[AwayTeam]:[AwayTeam]],$T22, Table2[[HomeTeam]:[HomeTeam]], AW$21, Table2[[ActualResult]:[ActualResult]], "OT") + SUMIFS(Table2[[AwayWon]:[AwayWon]], Table2[[GameIsOver]:[GameIsOver]],1,Table2[[HomeTeam]:[HomeTeam]],$T22, Table2[[AwayTeam]:[AwayTeam]], AW$21, Table2[[ActualResult]:[ActualResult]], "OT") + SUMIFS(Table2[[HomeWon_]:[HomeWon_]], Table2[[GameIsOver]:[GameIsOver]],1,Table2[[AwayTeam]:[AwayTeam]],$T22, Table2[[HomeTeam]:[HomeTeam]], AW$21, Table2[[ActualResult]:[ActualResult]], "SO") + SUMIFS(Table2[[AwayWon]:[AwayWon]], Table2[[GameIsOver]:[GameIsOver]],1,Table2[[HomeTeam]:[HomeTeam]],$T22, Table2[[AwayTeam]:[AwayTeam]], AW$21, Table2[[ActualResult]:[ActualResult]], "SO")))</f>
        <v>0</v>
      </c>
      <c r="AX22">
        <f>(2*(SUMIFS(Table2[[AwayWon]:[AwayWon]], Table2[[GameIsOver]:[GameIsOver]],1,Table2[[AwayTeam]:[AwayTeam]],$T22, Table2[[HomeTeam]:[HomeTeam]], AX$21) + SUMIFS(Table2[[HomeWon_]:[HomeWon_]], Table2[[GameIsOver]:[GameIsOver]],1,Table2[[HomeTeam]:[HomeTeam]],$T22, Table2[[AwayTeam]:[AwayTeam]], AX$21))) + (0*(SUMIFS(Table2[[HomeWon_]:[HomeWon_]], Table2[[GameIsOver]:[GameIsOver]],1,Table2[[AwayTeam]:[AwayTeam]],$T22, Table2[[HomeTeam]:[HomeTeam]], AX$21, Table2[[ActualResult]:[ActualResult]], "REG") + SUMIFS(Table2[[AwayWon]:[AwayWon]], Table2[[GameIsOver]:[GameIsOver]],1,Table2[[HomeTeam]:[HomeTeam]],$T22, Table2[[AwayTeam]:[AwayTeam]], AX$21, Table2[[ActualResult]:[ActualResult]], "REG"))) + (1*(SUMIFS(Table2[[HomeWon_]:[HomeWon_]], Table2[[GameIsOver]:[GameIsOver]],1,Table2[[AwayTeam]:[AwayTeam]],$T22, Table2[[HomeTeam]:[HomeTeam]], AX$21, Table2[[ActualResult]:[ActualResult]], "OT") + SUMIFS(Table2[[AwayWon]:[AwayWon]], Table2[[GameIsOver]:[GameIsOver]],1,Table2[[HomeTeam]:[HomeTeam]],$T22, Table2[[AwayTeam]:[AwayTeam]], AX$21, Table2[[ActualResult]:[ActualResult]], "OT") + SUMIFS(Table2[[HomeWon_]:[HomeWon_]], Table2[[GameIsOver]:[GameIsOver]],1,Table2[[AwayTeam]:[AwayTeam]],$T22, Table2[[HomeTeam]:[HomeTeam]], AX$21, Table2[[ActualResult]:[ActualResult]], "SO") + SUMIFS(Table2[[AwayWon]:[AwayWon]], Table2[[GameIsOver]:[GameIsOver]],1,Table2[[HomeTeam]:[HomeTeam]],$T22, Table2[[AwayTeam]:[AwayTeam]], AX$21, Table2[[ActualResult]:[ActualResult]], "SO")))</f>
        <v>0</v>
      </c>
      <c r="AY22">
        <f>(2*(SUMIFS(Table2[[AwayWon]:[AwayWon]], Table2[[GameIsOver]:[GameIsOver]],1,Table2[[AwayTeam]:[AwayTeam]],$T22, Table2[[HomeTeam]:[HomeTeam]], AY$21) + SUMIFS(Table2[[HomeWon_]:[HomeWon_]], Table2[[GameIsOver]:[GameIsOver]],1,Table2[[HomeTeam]:[HomeTeam]],$T22, Table2[[AwayTeam]:[AwayTeam]], AY$21))) + (0*(SUMIFS(Table2[[HomeWon_]:[HomeWon_]], Table2[[GameIsOver]:[GameIsOver]],1,Table2[[AwayTeam]:[AwayTeam]],$T22, Table2[[HomeTeam]:[HomeTeam]], AY$21, Table2[[ActualResult]:[ActualResult]], "REG") + SUMIFS(Table2[[AwayWon]:[AwayWon]], Table2[[GameIsOver]:[GameIsOver]],1,Table2[[HomeTeam]:[HomeTeam]],$T22, Table2[[AwayTeam]:[AwayTeam]], AY$21, Table2[[ActualResult]:[ActualResult]], "REG"))) + (1*(SUMIFS(Table2[[HomeWon_]:[HomeWon_]], Table2[[GameIsOver]:[GameIsOver]],1,Table2[[AwayTeam]:[AwayTeam]],$T22, Table2[[HomeTeam]:[HomeTeam]], AY$21, Table2[[ActualResult]:[ActualResult]], "OT") + SUMIFS(Table2[[AwayWon]:[AwayWon]], Table2[[GameIsOver]:[GameIsOver]],1,Table2[[HomeTeam]:[HomeTeam]],$T22, Table2[[AwayTeam]:[AwayTeam]], AY$21, Table2[[ActualResult]:[ActualResult]], "OT") + SUMIFS(Table2[[HomeWon_]:[HomeWon_]], Table2[[GameIsOver]:[GameIsOver]],1,Table2[[AwayTeam]:[AwayTeam]],$T22, Table2[[HomeTeam]:[HomeTeam]], AY$21, Table2[[ActualResult]:[ActualResult]], "SO") + SUMIFS(Table2[[AwayWon]:[AwayWon]], Table2[[GameIsOver]:[GameIsOver]],1,Table2[[HomeTeam]:[HomeTeam]],$T22, Table2[[AwayTeam]:[AwayTeam]], AY$21, Table2[[ActualResult]:[ActualResult]], "SO")))</f>
        <v>0</v>
      </c>
      <c r="AZ22">
        <f>(2*(SUMIFS(Table2[[AwayWon]:[AwayWon]], Table2[[GameIsOver]:[GameIsOver]],1,Table2[[AwayTeam]:[AwayTeam]],$T22, Table2[[HomeTeam]:[HomeTeam]], AZ$21) + SUMIFS(Table2[[HomeWon_]:[HomeWon_]], Table2[[GameIsOver]:[GameIsOver]],1,Table2[[HomeTeam]:[HomeTeam]],$T22, Table2[[AwayTeam]:[AwayTeam]], AZ$21))) + (0*(SUMIFS(Table2[[HomeWon_]:[HomeWon_]], Table2[[GameIsOver]:[GameIsOver]],1,Table2[[AwayTeam]:[AwayTeam]],$T22, Table2[[HomeTeam]:[HomeTeam]], AZ$21, Table2[[ActualResult]:[ActualResult]], "REG") + SUMIFS(Table2[[AwayWon]:[AwayWon]], Table2[[GameIsOver]:[GameIsOver]],1,Table2[[HomeTeam]:[HomeTeam]],$T22, Table2[[AwayTeam]:[AwayTeam]], AZ$21, Table2[[ActualResult]:[ActualResult]], "REG"))) + (1*(SUMIFS(Table2[[HomeWon_]:[HomeWon_]], Table2[[GameIsOver]:[GameIsOver]],1,Table2[[AwayTeam]:[AwayTeam]],$T22, Table2[[HomeTeam]:[HomeTeam]], AZ$21, Table2[[ActualResult]:[ActualResult]], "OT") + SUMIFS(Table2[[AwayWon]:[AwayWon]], Table2[[GameIsOver]:[GameIsOver]],1,Table2[[HomeTeam]:[HomeTeam]],$T22, Table2[[AwayTeam]:[AwayTeam]], AZ$21, Table2[[ActualResult]:[ActualResult]], "OT") + SUMIFS(Table2[[HomeWon_]:[HomeWon_]], Table2[[GameIsOver]:[GameIsOver]],1,Table2[[AwayTeam]:[AwayTeam]],$T22, Table2[[HomeTeam]:[HomeTeam]], AZ$21, Table2[[ActualResult]:[ActualResult]], "SO") + SUMIFS(Table2[[AwayWon]:[AwayWon]], Table2[[GameIsOver]:[GameIsOver]],1,Table2[[HomeTeam]:[HomeTeam]],$T22, Table2[[AwayTeam]:[AwayTeam]], AZ$21, Table2[[ActualResult]:[ActualResult]], "SO")))</f>
        <v>2</v>
      </c>
      <c r="BA22">
        <f>(2*(SUMIFS(Table2[[AwayWon]:[AwayWon]], Table2[[GameIsOver]:[GameIsOver]],1,Table2[[AwayTeam]:[AwayTeam]],$T22, Table2[[HomeTeam]:[HomeTeam]], BA$21) + SUMIFS(Table2[[HomeWon_]:[HomeWon_]], Table2[[GameIsOver]:[GameIsOver]],1,Table2[[HomeTeam]:[HomeTeam]],$T22, Table2[[AwayTeam]:[AwayTeam]], BA$21))) + (0*(SUMIFS(Table2[[HomeWon_]:[HomeWon_]], Table2[[GameIsOver]:[GameIsOver]],1,Table2[[AwayTeam]:[AwayTeam]],$T22, Table2[[HomeTeam]:[HomeTeam]], BA$21, Table2[[ActualResult]:[ActualResult]], "REG") + SUMIFS(Table2[[AwayWon]:[AwayWon]], Table2[[GameIsOver]:[GameIsOver]],1,Table2[[HomeTeam]:[HomeTeam]],$T22, Table2[[AwayTeam]:[AwayTeam]], BA$21, Table2[[ActualResult]:[ActualResult]], "REG"))) + (1*(SUMIFS(Table2[[HomeWon_]:[HomeWon_]], Table2[[GameIsOver]:[GameIsOver]],1,Table2[[AwayTeam]:[AwayTeam]],$T22, Table2[[HomeTeam]:[HomeTeam]], BA$21, Table2[[ActualResult]:[ActualResult]], "OT") + SUMIFS(Table2[[AwayWon]:[AwayWon]], Table2[[GameIsOver]:[GameIsOver]],1,Table2[[HomeTeam]:[HomeTeam]],$T22, Table2[[AwayTeam]:[AwayTeam]], BA$21, Table2[[ActualResult]:[ActualResult]], "OT") + SUMIFS(Table2[[HomeWon_]:[HomeWon_]], Table2[[GameIsOver]:[GameIsOver]],1,Table2[[AwayTeam]:[AwayTeam]],$T22, Table2[[HomeTeam]:[HomeTeam]], BA$21, Table2[[ActualResult]:[ActualResult]], "SO") + SUMIFS(Table2[[AwayWon]:[AwayWon]], Table2[[GameIsOver]:[GameIsOver]],1,Table2[[HomeTeam]:[HomeTeam]],$T22, Table2[[AwayTeam]:[AwayTeam]], BA$21, Table2[[ActualResult]:[ActualResult]], "SO")))</f>
        <v>0</v>
      </c>
    </row>
    <row r="23" spans="1:53" x14ac:dyDescent="0.25">
      <c r="A23" s="62" t="s">
        <v>20</v>
      </c>
      <c r="B23" s="62" t="s">
        <v>91</v>
      </c>
      <c r="C23" s="62" t="s">
        <v>92</v>
      </c>
      <c r="D23" s="62">
        <f>INDEX(Table3[PTS], MATCH(Table6[[#This Row],[Teams]], Table3[Teams],0))</f>
        <v>10</v>
      </c>
      <c r="E23" s="62">
        <f>INDEX(Table3[PTS], MATCH(Table6[[#This Row],[Teams]], Table3[Teams],0))</f>
        <v>10</v>
      </c>
      <c r="S23">
        <v>1</v>
      </c>
      <c r="T23" t="str" cm="1">
        <f t="array" ref="T23">INDEX(Table6[Teams], SMALL(IF(Table6[D]="M", ROW(Table6[Teams])-ROW(Table6[#Headers])), Table712[[#This Row],[MET]]))</f>
        <v>CAR</v>
      </c>
      <c r="U23">
        <f>INDEX(Table6[PTS], MATCH($T23, Table6[Teams], 0))</f>
        <v>10</v>
      </c>
      <c r="V23">
        <f>(2*(SUMIFS(Table2[[AwayWon]:[AwayWon]], Table2[[GameIsOver]:[GameIsOver]],1,Table2[[AwayTeam]:[AwayTeam]],$T23, Table2[[HomeTeam]:[HomeTeam]], V$21) + SUMIFS(Table2[[HomeWon_]:[HomeWon_]], Table2[[GameIsOver]:[GameIsOver]],1,Table2[[HomeTeam]:[HomeTeam]],$T23, Table2[[AwayTeam]:[AwayTeam]], V$21))) + (0*(SUMIFS(Table2[[HomeWon_]:[HomeWon_]], Table2[[GameIsOver]:[GameIsOver]],1,Table2[[AwayTeam]:[AwayTeam]],$T23, Table2[[HomeTeam]:[HomeTeam]], V$21, Table2[[ActualResult]:[ActualResult]], "REG") + SUMIFS(Table2[[AwayWon]:[AwayWon]], Table2[[GameIsOver]:[GameIsOver]],1,Table2[[HomeTeam]:[HomeTeam]],$T23, Table2[[AwayTeam]:[AwayTeam]], V$21, Table2[[ActualResult]:[ActualResult]], "REG"))) + (1*(SUMIFS(Table2[[HomeWon_]:[HomeWon_]], Table2[[GameIsOver]:[GameIsOver]],1,Table2[[AwayTeam]:[AwayTeam]],$T23, Table2[[HomeTeam]:[HomeTeam]], V$21, Table2[[ActualResult]:[ActualResult]], "OT") + SUMIFS(Table2[[AwayWon]:[AwayWon]], Table2[[GameIsOver]:[GameIsOver]],1,Table2[[HomeTeam]:[HomeTeam]],$T23, Table2[[AwayTeam]:[AwayTeam]], V$21, Table2[[ActualResult]:[ActualResult]], "OT") + SUMIFS(Table2[[HomeWon_]:[HomeWon_]], Table2[[GameIsOver]:[GameIsOver]],1,Table2[[AwayTeam]:[AwayTeam]],$T23, Table2[[HomeTeam]:[HomeTeam]], V$21, Table2[[ActualResult]:[ActualResult]], "SO") + SUMIFS(Table2[[AwayWon]:[AwayWon]], Table2[[GameIsOver]:[GameIsOver]],1,Table2[[HomeTeam]:[HomeTeam]],$T23, Table2[[AwayTeam]:[AwayTeam]], V$21, Table2[[ActualResult]:[ActualResult]], "SO")))</f>
        <v>2</v>
      </c>
      <c r="W23">
        <f>(2*(SUMIFS(Table2[[AwayWon]:[AwayWon]], Table2[[GameIsOver]:[GameIsOver]],1,Table2[[AwayTeam]:[AwayTeam]],$T23, Table2[[HomeTeam]:[HomeTeam]], W$21) + SUMIFS(Table2[[HomeWon_]:[HomeWon_]], Table2[[GameIsOver]:[GameIsOver]],1,Table2[[HomeTeam]:[HomeTeam]],$T23, Table2[[AwayTeam]:[AwayTeam]], W$21))) + (0*(SUMIFS(Table2[[HomeWon_]:[HomeWon_]], Table2[[GameIsOver]:[GameIsOver]],1,Table2[[AwayTeam]:[AwayTeam]],$T23, Table2[[HomeTeam]:[HomeTeam]], W$21, Table2[[ActualResult]:[ActualResult]], "REG") + SUMIFS(Table2[[AwayWon]:[AwayWon]], Table2[[GameIsOver]:[GameIsOver]],1,Table2[[HomeTeam]:[HomeTeam]],$T23, Table2[[AwayTeam]:[AwayTeam]], W$21, Table2[[ActualResult]:[ActualResult]], "REG"))) + (1*(SUMIFS(Table2[[HomeWon_]:[HomeWon_]], Table2[[GameIsOver]:[GameIsOver]],1,Table2[[AwayTeam]:[AwayTeam]],$T23, Table2[[HomeTeam]:[HomeTeam]], W$21, Table2[[ActualResult]:[ActualResult]], "OT") + SUMIFS(Table2[[AwayWon]:[AwayWon]], Table2[[GameIsOver]:[GameIsOver]],1,Table2[[HomeTeam]:[HomeTeam]],$T23, Table2[[AwayTeam]:[AwayTeam]], W$21, Table2[[ActualResult]:[ActualResult]], "OT") + SUMIFS(Table2[[HomeWon_]:[HomeWon_]], Table2[[GameIsOver]:[GameIsOver]],1,Table2[[AwayTeam]:[AwayTeam]],$T23, Table2[[HomeTeam]:[HomeTeam]], W$21, Table2[[ActualResult]:[ActualResult]], "SO") + SUMIFS(Table2[[AwayWon]:[AwayWon]], Table2[[GameIsOver]:[GameIsOver]],1,Table2[[HomeTeam]:[HomeTeam]],$T23, Table2[[AwayTeam]:[AwayTeam]], W$21, Table2[[ActualResult]:[ActualResult]], "SO")))</f>
        <v>0</v>
      </c>
      <c r="X23">
        <f>(2*(SUMIFS(Table2[[AwayWon]:[AwayWon]], Table2[[GameIsOver]:[GameIsOver]],1,Table2[[AwayTeam]:[AwayTeam]],$T23, Table2[[HomeTeam]:[HomeTeam]], X$21) + SUMIFS(Table2[[HomeWon_]:[HomeWon_]], Table2[[GameIsOver]:[GameIsOver]],1,Table2[[HomeTeam]:[HomeTeam]],$T23, Table2[[AwayTeam]:[AwayTeam]], X$21))) + (0*(SUMIFS(Table2[[HomeWon_]:[HomeWon_]], Table2[[GameIsOver]:[GameIsOver]],1,Table2[[AwayTeam]:[AwayTeam]],$T23, Table2[[HomeTeam]:[HomeTeam]], X$21, Table2[[ActualResult]:[ActualResult]], "REG") + SUMIFS(Table2[[AwayWon]:[AwayWon]], Table2[[GameIsOver]:[GameIsOver]],1,Table2[[HomeTeam]:[HomeTeam]],$T23, Table2[[AwayTeam]:[AwayTeam]], X$21, Table2[[ActualResult]:[ActualResult]], "REG"))) + (1*(SUMIFS(Table2[[HomeWon_]:[HomeWon_]], Table2[[GameIsOver]:[GameIsOver]],1,Table2[[AwayTeam]:[AwayTeam]],$T23, Table2[[HomeTeam]:[HomeTeam]], X$21, Table2[[ActualResult]:[ActualResult]], "OT") + SUMIFS(Table2[[AwayWon]:[AwayWon]], Table2[[GameIsOver]:[GameIsOver]],1,Table2[[HomeTeam]:[HomeTeam]],$T23, Table2[[AwayTeam]:[AwayTeam]], X$21, Table2[[ActualResult]:[ActualResult]], "OT") + SUMIFS(Table2[[HomeWon_]:[HomeWon_]], Table2[[GameIsOver]:[GameIsOver]],1,Table2[[AwayTeam]:[AwayTeam]],$T23, Table2[[HomeTeam]:[HomeTeam]], X$21, Table2[[ActualResult]:[ActualResult]], "SO") + SUMIFS(Table2[[AwayWon]:[AwayWon]], Table2[[GameIsOver]:[GameIsOver]],1,Table2[[HomeTeam]:[HomeTeam]],$T23, Table2[[AwayTeam]:[AwayTeam]], X$21, Table2[[ActualResult]:[ActualResult]], "SO")))</f>
        <v>0</v>
      </c>
      <c r="Y23">
        <f>(2*(SUMIFS(Table2[[AwayWon]:[AwayWon]], Table2[[GameIsOver]:[GameIsOver]],1,Table2[[AwayTeam]:[AwayTeam]],$T23, Table2[[HomeTeam]:[HomeTeam]], Y$21) + SUMIFS(Table2[[HomeWon_]:[HomeWon_]], Table2[[GameIsOver]:[GameIsOver]],1,Table2[[HomeTeam]:[HomeTeam]],$T23, Table2[[AwayTeam]:[AwayTeam]], Y$21))) + (0*(SUMIFS(Table2[[HomeWon_]:[HomeWon_]], Table2[[GameIsOver]:[GameIsOver]],1,Table2[[AwayTeam]:[AwayTeam]],$T23, Table2[[HomeTeam]:[HomeTeam]], Y$21, Table2[[ActualResult]:[ActualResult]], "REG") + SUMIFS(Table2[[AwayWon]:[AwayWon]], Table2[[GameIsOver]:[GameIsOver]],1,Table2[[HomeTeam]:[HomeTeam]],$T23, Table2[[AwayTeam]:[AwayTeam]], Y$21, Table2[[ActualResult]:[ActualResult]], "REG"))) + (1*(SUMIFS(Table2[[HomeWon_]:[HomeWon_]], Table2[[GameIsOver]:[GameIsOver]],1,Table2[[AwayTeam]:[AwayTeam]],$T23, Table2[[HomeTeam]:[HomeTeam]], Y$21, Table2[[ActualResult]:[ActualResult]], "OT") + SUMIFS(Table2[[AwayWon]:[AwayWon]], Table2[[GameIsOver]:[GameIsOver]],1,Table2[[HomeTeam]:[HomeTeam]],$T23, Table2[[AwayTeam]:[AwayTeam]], Y$21, Table2[[ActualResult]:[ActualResult]], "OT") + SUMIFS(Table2[[HomeWon_]:[HomeWon_]], Table2[[GameIsOver]:[GameIsOver]],1,Table2[[AwayTeam]:[AwayTeam]],$T23, Table2[[HomeTeam]:[HomeTeam]], Y$21, Table2[[ActualResult]:[ActualResult]], "SO") + SUMIFS(Table2[[AwayWon]:[AwayWon]], Table2[[GameIsOver]:[GameIsOver]],1,Table2[[HomeTeam]:[HomeTeam]],$T23, Table2[[AwayTeam]:[AwayTeam]], Y$21, Table2[[ActualResult]:[ActualResult]], "SO")))</f>
        <v>2</v>
      </c>
      <c r="Z23">
        <f>(2*(SUMIFS(Table2[[AwayWon]:[AwayWon]], Table2[[GameIsOver]:[GameIsOver]],1,Table2[[AwayTeam]:[AwayTeam]],$T23, Table2[[HomeTeam]:[HomeTeam]], Z$21) + SUMIFS(Table2[[HomeWon_]:[HomeWon_]], Table2[[GameIsOver]:[GameIsOver]],1,Table2[[HomeTeam]:[HomeTeam]],$T23, Table2[[AwayTeam]:[AwayTeam]], Z$21))) + (0*(SUMIFS(Table2[[HomeWon_]:[HomeWon_]], Table2[[GameIsOver]:[GameIsOver]],1,Table2[[AwayTeam]:[AwayTeam]],$T23, Table2[[HomeTeam]:[HomeTeam]], Z$21, Table2[[ActualResult]:[ActualResult]], "REG") + SUMIFS(Table2[[AwayWon]:[AwayWon]], Table2[[GameIsOver]:[GameIsOver]],1,Table2[[HomeTeam]:[HomeTeam]],$T23, Table2[[AwayTeam]:[AwayTeam]], Z$21, Table2[[ActualResult]:[ActualResult]], "REG"))) + (1*(SUMIFS(Table2[[HomeWon_]:[HomeWon_]], Table2[[GameIsOver]:[GameIsOver]],1,Table2[[AwayTeam]:[AwayTeam]],$T23, Table2[[HomeTeam]:[HomeTeam]], Z$21, Table2[[ActualResult]:[ActualResult]], "OT") + SUMIFS(Table2[[AwayWon]:[AwayWon]], Table2[[GameIsOver]:[GameIsOver]],1,Table2[[HomeTeam]:[HomeTeam]],$T23, Table2[[AwayTeam]:[AwayTeam]], Z$21, Table2[[ActualResult]:[ActualResult]], "OT") + SUMIFS(Table2[[HomeWon_]:[HomeWon_]], Table2[[GameIsOver]:[GameIsOver]],1,Table2[[AwayTeam]:[AwayTeam]],$T23, Table2[[HomeTeam]:[HomeTeam]], Z$21, Table2[[ActualResult]:[ActualResult]], "SO") + SUMIFS(Table2[[AwayWon]:[AwayWon]], Table2[[GameIsOver]:[GameIsOver]],1,Table2[[HomeTeam]:[HomeTeam]],$T23, Table2[[AwayTeam]:[AwayTeam]], Z$21, Table2[[ActualResult]:[ActualResult]], "SO")))</f>
        <v>0</v>
      </c>
      <c r="AA23">
        <f>(2*(SUMIFS(Table2[[AwayWon]:[AwayWon]], Table2[[GameIsOver]:[GameIsOver]],1,Table2[[AwayTeam]:[AwayTeam]],$T23, Table2[[HomeTeam]:[HomeTeam]], AA$21) + SUMIFS(Table2[[HomeWon_]:[HomeWon_]], Table2[[GameIsOver]:[GameIsOver]],1,Table2[[HomeTeam]:[HomeTeam]],$T23, Table2[[AwayTeam]:[AwayTeam]], AA$21))) + (0*(SUMIFS(Table2[[HomeWon_]:[HomeWon_]], Table2[[GameIsOver]:[GameIsOver]],1,Table2[[AwayTeam]:[AwayTeam]],$T23, Table2[[HomeTeam]:[HomeTeam]], AA$21, Table2[[ActualResult]:[ActualResult]], "REG") + SUMIFS(Table2[[AwayWon]:[AwayWon]], Table2[[GameIsOver]:[GameIsOver]],1,Table2[[HomeTeam]:[HomeTeam]],$T23, Table2[[AwayTeam]:[AwayTeam]], AA$21, Table2[[ActualResult]:[ActualResult]], "REG"))) + (1*(SUMIFS(Table2[[HomeWon_]:[HomeWon_]], Table2[[GameIsOver]:[GameIsOver]],1,Table2[[AwayTeam]:[AwayTeam]],$T23, Table2[[HomeTeam]:[HomeTeam]], AA$21, Table2[[ActualResult]:[ActualResult]], "OT") + SUMIFS(Table2[[AwayWon]:[AwayWon]], Table2[[GameIsOver]:[GameIsOver]],1,Table2[[HomeTeam]:[HomeTeam]],$T23, Table2[[AwayTeam]:[AwayTeam]], AA$21, Table2[[ActualResult]:[ActualResult]], "OT") + SUMIFS(Table2[[HomeWon_]:[HomeWon_]], Table2[[GameIsOver]:[GameIsOver]],1,Table2[[AwayTeam]:[AwayTeam]],$T23, Table2[[HomeTeam]:[HomeTeam]], AA$21, Table2[[ActualResult]:[ActualResult]], "SO") + SUMIFS(Table2[[AwayWon]:[AwayWon]], Table2[[GameIsOver]:[GameIsOver]],1,Table2[[HomeTeam]:[HomeTeam]],$T23, Table2[[AwayTeam]:[AwayTeam]], AA$21, Table2[[ActualResult]:[ActualResult]], "SO")))</f>
        <v>2</v>
      </c>
      <c r="AB23">
        <f>(2*(SUMIFS(Table2[[AwayWon]:[AwayWon]], Table2[[GameIsOver]:[GameIsOver]],1,Table2[[AwayTeam]:[AwayTeam]],$T23, Table2[[HomeTeam]:[HomeTeam]], AB$21) + SUMIFS(Table2[[HomeWon_]:[HomeWon_]], Table2[[GameIsOver]:[GameIsOver]],1,Table2[[HomeTeam]:[HomeTeam]],$T23, Table2[[AwayTeam]:[AwayTeam]], AB$21))) + (0*(SUMIFS(Table2[[HomeWon_]:[HomeWon_]], Table2[[GameIsOver]:[GameIsOver]],1,Table2[[AwayTeam]:[AwayTeam]],$T23, Table2[[HomeTeam]:[HomeTeam]], AB$21, Table2[[ActualResult]:[ActualResult]], "REG") + SUMIFS(Table2[[AwayWon]:[AwayWon]], Table2[[GameIsOver]:[GameIsOver]],1,Table2[[HomeTeam]:[HomeTeam]],$T23, Table2[[AwayTeam]:[AwayTeam]], AB$21, Table2[[ActualResult]:[ActualResult]], "REG"))) + (1*(SUMIFS(Table2[[HomeWon_]:[HomeWon_]], Table2[[GameIsOver]:[GameIsOver]],1,Table2[[AwayTeam]:[AwayTeam]],$T23, Table2[[HomeTeam]:[HomeTeam]], AB$21, Table2[[ActualResult]:[ActualResult]], "OT") + SUMIFS(Table2[[AwayWon]:[AwayWon]], Table2[[GameIsOver]:[GameIsOver]],1,Table2[[HomeTeam]:[HomeTeam]],$T23, Table2[[AwayTeam]:[AwayTeam]], AB$21, Table2[[ActualResult]:[ActualResult]], "OT") + SUMIFS(Table2[[HomeWon_]:[HomeWon_]], Table2[[GameIsOver]:[GameIsOver]],1,Table2[[AwayTeam]:[AwayTeam]],$T23, Table2[[HomeTeam]:[HomeTeam]], AB$21, Table2[[ActualResult]:[ActualResult]], "SO") + SUMIFS(Table2[[AwayWon]:[AwayWon]], Table2[[GameIsOver]:[GameIsOver]],1,Table2[[HomeTeam]:[HomeTeam]],$T23, Table2[[AwayTeam]:[AwayTeam]], AB$21, Table2[[ActualResult]:[ActualResult]], "SO")))</f>
        <v>0</v>
      </c>
      <c r="AC23">
        <f>(2*(SUMIFS(Table2[[AwayWon]:[AwayWon]], Table2[[GameIsOver]:[GameIsOver]],1,Table2[[AwayTeam]:[AwayTeam]],$T23, Table2[[HomeTeam]:[HomeTeam]], AC$21) + SUMIFS(Table2[[HomeWon_]:[HomeWon_]], Table2[[GameIsOver]:[GameIsOver]],1,Table2[[HomeTeam]:[HomeTeam]],$T23, Table2[[AwayTeam]:[AwayTeam]], AC$21))) + (0*(SUMIFS(Table2[[HomeWon_]:[HomeWon_]], Table2[[GameIsOver]:[GameIsOver]],1,Table2[[AwayTeam]:[AwayTeam]],$T23, Table2[[HomeTeam]:[HomeTeam]], AC$21, Table2[[ActualResult]:[ActualResult]], "REG") + SUMIFS(Table2[[AwayWon]:[AwayWon]], Table2[[GameIsOver]:[GameIsOver]],1,Table2[[HomeTeam]:[HomeTeam]],$T23, Table2[[AwayTeam]:[AwayTeam]], AC$21, Table2[[ActualResult]:[ActualResult]], "REG"))) + (1*(SUMIFS(Table2[[HomeWon_]:[HomeWon_]], Table2[[GameIsOver]:[GameIsOver]],1,Table2[[AwayTeam]:[AwayTeam]],$T23, Table2[[HomeTeam]:[HomeTeam]], AC$21, Table2[[ActualResult]:[ActualResult]], "OT") + SUMIFS(Table2[[AwayWon]:[AwayWon]], Table2[[GameIsOver]:[GameIsOver]],1,Table2[[HomeTeam]:[HomeTeam]],$T23, Table2[[AwayTeam]:[AwayTeam]], AC$21, Table2[[ActualResult]:[ActualResult]], "OT") + SUMIFS(Table2[[HomeWon_]:[HomeWon_]], Table2[[GameIsOver]:[GameIsOver]],1,Table2[[AwayTeam]:[AwayTeam]],$T23, Table2[[HomeTeam]:[HomeTeam]], AC$21, Table2[[ActualResult]:[ActualResult]], "SO") + SUMIFS(Table2[[AwayWon]:[AwayWon]], Table2[[GameIsOver]:[GameIsOver]],1,Table2[[HomeTeam]:[HomeTeam]],$T23, Table2[[AwayTeam]:[AwayTeam]], AC$21, Table2[[ActualResult]:[ActualResult]], "SO")))</f>
        <v>0</v>
      </c>
      <c r="AD23">
        <f>(2*(SUMIFS(Table2[[AwayWon]:[AwayWon]], Table2[[GameIsOver]:[GameIsOver]],1,Table2[[AwayTeam]:[AwayTeam]],$T23, Table2[[HomeTeam]:[HomeTeam]], AD$21) + SUMIFS(Table2[[HomeWon_]:[HomeWon_]], Table2[[GameIsOver]:[GameIsOver]],1,Table2[[HomeTeam]:[HomeTeam]],$T23, Table2[[AwayTeam]:[AwayTeam]], AD$21))) + (0*(SUMIFS(Table2[[HomeWon_]:[HomeWon_]], Table2[[GameIsOver]:[GameIsOver]],1,Table2[[AwayTeam]:[AwayTeam]],$T23, Table2[[HomeTeam]:[HomeTeam]], AD$21, Table2[[ActualResult]:[ActualResult]], "REG") + SUMIFS(Table2[[AwayWon]:[AwayWon]], Table2[[GameIsOver]:[GameIsOver]],1,Table2[[HomeTeam]:[HomeTeam]],$T23, Table2[[AwayTeam]:[AwayTeam]], AD$21, Table2[[ActualResult]:[ActualResult]], "REG"))) + (1*(SUMIFS(Table2[[HomeWon_]:[HomeWon_]], Table2[[GameIsOver]:[GameIsOver]],1,Table2[[AwayTeam]:[AwayTeam]],$T23, Table2[[HomeTeam]:[HomeTeam]], AD$21, Table2[[ActualResult]:[ActualResult]], "OT") + SUMIFS(Table2[[AwayWon]:[AwayWon]], Table2[[GameIsOver]:[GameIsOver]],1,Table2[[HomeTeam]:[HomeTeam]],$T23, Table2[[AwayTeam]:[AwayTeam]], AD$21, Table2[[ActualResult]:[ActualResult]], "OT") + SUMIFS(Table2[[HomeWon_]:[HomeWon_]], Table2[[GameIsOver]:[GameIsOver]],1,Table2[[AwayTeam]:[AwayTeam]],$T23, Table2[[HomeTeam]:[HomeTeam]], AD$21, Table2[[ActualResult]:[ActualResult]], "SO") + SUMIFS(Table2[[AwayWon]:[AwayWon]], Table2[[GameIsOver]:[GameIsOver]],1,Table2[[HomeTeam]:[HomeTeam]],$T23, Table2[[AwayTeam]:[AwayTeam]], AD$21, Table2[[ActualResult]:[ActualResult]], "SO")))</f>
        <v>0</v>
      </c>
      <c r="AE23">
        <f>(2*(SUMIFS(Table2[[AwayWon]:[AwayWon]], Table2[[GameIsOver]:[GameIsOver]],1,Table2[[AwayTeam]:[AwayTeam]],$T23, Table2[[HomeTeam]:[HomeTeam]], AE$21) + SUMIFS(Table2[[HomeWon_]:[HomeWon_]], Table2[[GameIsOver]:[GameIsOver]],1,Table2[[HomeTeam]:[HomeTeam]],$T23, Table2[[AwayTeam]:[AwayTeam]], AE$21))) + (0*(SUMIFS(Table2[[HomeWon_]:[HomeWon_]], Table2[[GameIsOver]:[GameIsOver]],1,Table2[[AwayTeam]:[AwayTeam]],$T23, Table2[[HomeTeam]:[HomeTeam]], AE$21, Table2[[ActualResult]:[ActualResult]], "REG") + SUMIFS(Table2[[AwayWon]:[AwayWon]], Table2[[GameIsOver]:[GameIsOver]],1,Table2[[HomeTeam]:[HomeTeam]],$T23, Table2[[AwayTeam]:[AwayTeam]], AE$21, Table2[[ActualResult]:[ActualResult]], "REG"))) + (1*(SUMIFS(Table2[[HomeWon_]:[HomeWon_]], Table2[[GameIsOver]:[GameIsOver]],1,Table2[[AwayTeam]:[AwayTeam]],$T23, Table2[[HomeTeam]:[HomeTeam]], AE$21, Table2[[ActualResult]:[ActualResult]], "OT") + SUMIFS(Table2[[AwayWon]:[AwayWon]], Table2[[GameIsOver]:[GameIsOver]],1,Table2[[HomeTeam]:[HomeTeam]],$T23, Table2[[AwayTeam]:[AwayTeam]], AE$21, Table2[[ActualResult]:[ActualResult]], "OT") + SUMIFS(Table2[[HomeWon_]:[HomeWon_]], Table2[[GameIsOver]:[GameIsOver]],1,Table2[[AwayTeam]:[AwayTeam]],$T23, Table2[[HomeTeam]:[HomeTeam]], AE$21, Table2[[ActualResult]:[ActualResult]], "SO") + SUMIFS(Table2[[AwayWon]:[AwayWon]], Table2[[GameIsOver]:[GameIsOver]],1,Table2[[HomeTeam]:[HomeTeam]],$T23, Table2[[AwayTeam]:[AwayTeam]], AE$21, Table2[[ActualResult]:[ActualResult]], "SO")))</f>
        <v>0</v>
      </c>
      <c r="AF23">
        <f>(2*(SUMIFS(Table2[[AwayWon]:[AwayWon]], Table2[[GameIsOver]:[GameIsOver]],1,Table2[[AwayTeam]:[AwayTeam]],$T23, Table2[[HomeTeam]:[HomeTeam]], AF$21) + SUMIFS(Table2[[HomeWon_]:[HomeWon_]], Table2[[GameIsOver]:[GameIsOver]],1,Table2[[HomeTeam]:[HomeTeam]],$T23, Table2[[AwayTeam]:[AwayTeam]], AF$21))) + (0*(SUMIFS(Table2[[HomeWon_]:[HomeWon_]], Table2[[GameIsOver]:[GameIsOver]],1,Table2[[AwayTeam]:[AwayTeam]],$T23, Table2[[HomeTeam]:[HomeTeam]], AF$21, Table2[[ActualResult]:[ActualResult]], "REG") + SUMIFS(Table2[[AwayWon]:[AwayWon]], Table2[[GameIsOver]:[GameIsOver]],1,Table2[[HomeTeam]:[HomeTeam]],$T23, Table2[[AwayTeam]:[AwayTeam]], AF$21, Table2[[ActualResult]:[ActualResult]], "REG"))) + (1*(SUMIFS(Table2[[HomeWon_]:[HomeWon_]], Table2[[GameIsOver]:[GameIsOver]],1,Table2[[AwayTeam]:[AwayTeam]],$T23, Table2[[HomeTeam]:[HomeTeam]], AF$21, Table2[[ActualResult]:[ActualResult]], "OT") + SUMIFS(Table2[[AwayWon]:[AwayWon]], Table2[[GameIsOver]:[GameIsOver]],1,Table2[[HomeTeam]:[HomeTeam]],$T23, Table2[[AwayTeam]:[AwayTeam]], AF$21, Table2[[ActualResult]:[ActualResult]], "OT") + SUMIFS(Table2[[HomeWon_]:[HomeWon_]], Table2[[GameIsOver]:[GameIsOver]],1,Table2[[AwayTeam]:[AwayTeam]],$T23, Table2[[HomeTeam]:[HomeTeam]], AF$21, Table2[[ActualResult]:[ActualResult]], "SO") + SUMIFS(Table2[[AwayWon]:[AwayWon]], Table2[[GameIsOver]:[GameIsOver]],1,Table2[[HomeTeam]:[HomeTeam]],$T23, Table2[[AwayTeam]:[AwayTeam]], AF$21, Table2[[ActualResult]:[ActualResult]], "SO")))</f>
        <v>0</v>
      </c>
      <c r="AG23">
        <f>(2*(SUMIFS(Table2[[AwayWon]:[AwayWon]], Table2[[GameIsOver]:[GameIsOver]],1,Table2[[AwayTeam]:[AwayTeam]],$T23, Table2[[HomeTeam]:[HomeTeam]], AG$21) + SUMIFS(Table2[[HomeWon_]:[HomeWon_]], Table2[[GameIsOver]:[GameIsOver]],1,Table2[[HomeTeam]:[HomeTeam]],$T23, Table2[[AwayTeam]:[AwayTeam]], AG$21))) + (0*(SUMIFS(Table2[[HomeWon_]:[HomeWon_]], Table2[[GameIsOver]:[GameIsOver]],1,Table2[[AwayTeam]:[AwayTeam]],$T23, Table2[[HomeTeam]:[HomeTeam]], AG$21, Table2[[ActualResult]:[ActualResult]], "REG") + SUMIFS(Table2[[AwayWon]:[AwayWon]], Table2[[GameIsOver]:[GameIsOver]],1,Table2[[HomeTeam]:[HomeTeam]],$T23, Table2[[AwayTeam]:[AwayTeam]], AG$21, Table2[[ActualResult]:[ActualResult]], "REG"))) + (1*(SUMIFS(Table2[[HomeWon_]:[HomeWon_]], Table2[[GameIsOver]:[GameIsOver]],1,Table2[[AwayTeam]:[AwayTeam]],$T23, Table2[[HomeTeam]:[HomeTeam]], AG$21, Table2[[ActualResult]:[ActualResult]], "OT") + SUMIFS(Table2[[AwayWon]:[AwayWon]], Table2[[GameIsOver]:[GameIsOver]],1,Table2[[HomeTeam]:[HomeTeam]],$T23, Table2[[AwayTeam]:[AwayTeam]], AG$21, Table2[[ActualResult]:[ActualResult]], "OT") + SUMIFS(Table2[[HomeWon_]:[HomeWon_]], Table2[[GameIsOver]:[GameIsOver]],1,Table2[[AwayTeam]:[AwayTeam]],$T23, Table2[[HomeTeam]:[HomeTeam]], AG$21, Table2[[ActualResult]:[ActualResult]], "SO") + SUMIFS(Table2[[AwayWon]:[AwayWon]], Table2[[GameIsOver]:[GameIsOver]],1,Table2[[HomeTeam]:[HomeTeam]],$T23, Table2[[AwayTeam]:[AwayTeam]], AG$21, Table2[[ActualResult]:[ActualResult]], "SO")))</f>
        <v>0</v>
      </c>
      <c r="AH23">
        <f>(2*(SUMIFS(Table2[[AwayWon]:[AwayWon]], Table2[[GameIsOver]:[GameIsOver]],1,Table2[[AwayTeam]:[AwayTeam]],$T23, Table2[[HomeTeam]:[HomeTeam]], AH$21) + SUMIFS(Table2[[HomeWon_]:[HomeWon_]], Table2[[GameIsOver]:[GameIsOver]],1,Table2[[HomeTeam]:[HomeTeam]],$T23, Table2[[AwayTeam]:[AwayTeam]], AH$21))) + (0*(SUMIFS(Table2[[HomeWon_]:[HomeWon_]], Table2[[GameIsOver]:[GameIsOver]],1,Table2[[AwayTeam]:[AwayTeam]],$T23, Table2[[HomeTeam]:[HomeTeam]], AH$21, Table2[[ActualResult]:[ActualResult]], "REG") + SUMIFS(Table2[[AwayWon]:[AwayWon]], Table2[[GameIsOver]:[GameIsOver]],1,Table2[[HomeTeam]:[HomeTeam]],$T23, Table2[[AwayTeam]:[AwayTeam]], AH$21, Table2[[ActualResult]:[ActualResult]], "REG"))) + (1*(SUMIFS(Table2[[HomeWon_]:[HomeWon_]], Table2[[GameIsOver]:[GameIsOver]],1,Table2[[AwayTeam]:[AwayTeam]],$T23, Table2[[HomeTeam]:[HomeTeam]], AH$21, Table2[[ActualResult]:[ActualResult]], "OT") + SUMIFS(Table2[[AwayWon]:[AwayWon]], Table2[[GameIsOver]:[GameIsOver]],1,Table2[[HomeTeam]:[HomeTeam]],$T23, Table2[[AwayTeam]:[AwayTeam]], AH$21, Table2[[ActualResult]:[ActualResult]], "OT") + SUMIFS(Table2[[HomeWon_]:[HomeWon_]], Table2[[GameIsOver]:[GameIsOver]],1,Table2[[AwayTeam]:[AwayTeam]],$T23, Table2[[HomeTeam]:[HomeTeam]], AH$21, Table2[[ActualResult]:[ActualResult]], "SO") + SUMIFS(Table2[[AwayWon]:[AwayWon]], Table2[[GameIsOver]:[GameIsOver]],1,Table2[[HomeTeam]:[HomeTeam]],$T23, Table2[[AwayTeam]:[AwayTeam]], AH$21, Table2[[ActualResult]:[ActualResult]], "SO")))</f>
        <v>0</v>
      </c>
      <c r="AI23">
        <f>(2*(SUMIFS(Table2[[AwayWon]:[AwayWon]], Table2[[GameIsOver]:[GameIsOver]],1,Table2[[AwayTeam]:[AwayTeam]],$T23, Table2[[HomeTeam]:[HomeTeam]], AI$21) + SUMIFS(Table2[[HomeWon_]:[HomeWon_]], Table2[[GameIsOver]:[GameIsOver]],1,Table2[[HomeTeam]:[HomeTeam]],$T23, Table2[[AwayTeam]:[AwayTeam]], AI$21))) + (0*(SUMIFS(Table2[[HomeWon_]:[HomeWon_]], Table2[[GameIsOver]:[GameIsOver]],1,Table2[[AwayTeam]:[AwayTeam]],$T23, Table2[[HomeTeam]:[HomeTeam]], AI$21, Table2[[ActualResult]:[ActualResult]], "REG") + SUMIFS(Table2[[AwayWon]:[AwayWon]], Table2[[GameIsOver]:[GameIsOver]],1,Table2[[HomeTeam]:[HomeTeam]],$T23, Table2[[AwayTeam]:[AwayTeam]], AI$21, Table2[[ActualResult]:[ActualResult]], "REG"))) + (1*(SUMIFS(Table2[[HomeWon_]:[HomeWon_]], Table2[[GameIsOver]:[GameIsOver]],1,Table2[[AwayTeam]:[AwayTeam]],$T23, Table2[[HomeTeam]:[HomeTeam]], AI$21, Table2[[ActualResult]:[ActualResult]], "OT") + SUMIFS(Table2[[AwayWon]:[AwayWon]], Table2[[GameIsOver]:[GameIsOver]],1,Table2[[HomeTeam]:[HomeTeam]],$T23, Table2[[AwayTeam]:[AwayTeam]], AI$21, Table2[[ActualResult]:[ActualResult]], "OT") + SUMIFS(Table2[[HomeWon_]:[HomeWon_]], Table2[[GameIsOver]:[GameIsOver]],1,Table2[[AwayTeam]:[AwayTeam]],$T23, Table2[[HomeTeam]:[HomeTeam]], AI$21, Table2[[ActualResult]:[ActualResult]], "SO") + SUMIFS(Table2[[AwayWon]:[AwayWon]], Table2[[GameIsOver]:[GameIsOver]],1,Table2[[HomeTeam]:[HomeTeam]],$T23, Table2[[AwayTeam]:[AwayTeam]], AI$21, Table2[[ActualResult]:[ActualResult]], "SO")))</f>
        <v>0</v>
      </c>
      <c r="AJ23">
        <f>(2*(SUMIFS(Table2[[AwayWon]:[AwayWon]], Table2[[GameIsOver]:[GameIsOver]],1,Table2[[AwayTeam]:[AwayTeam]],$T23, Table2[[HomeTeam]:[HomeTeam]], AJ$21) + SUMIFS(Table2[[HomeWon_]:[HomeWon_]], Table2[[GameIsOver]:[GameIsOver]],1,Table2[[HomeTeam]:[HomeTeam]],$T23, Table2[[AwayTeam]:[AwayTeam]], AJ$21))) + (0*(SUMIFS(Table2[[HomeWon_]:[HomeWon_]], Table2[[GameIsOver]:[GameIsOver]],1,Table2[[AwayTeam]:[AwayTeam]],$T23, Table2[[HomeTeam]:[HomeTeam]], AJ$21, Table2[[ActualResult]:[ActualResult]], "REG") + SUMIFS(Table2[[AwayWon]:[AwayWon]], Table2[[GameIsOver]:[GameIsOver]],1,Table2[[HomeTeam]:[HomeTeam]],$T23, Table2[[AwayTeam]:[AwayTeam]], AJ$21, Table2[[ActualResult]:[ActualResult]], "REG"))) + (1*(SUMIFS(Table2[[HomeWon_]:[HomeWon_]], Table2[[GameIsOver]:[GameIsOver]],1,Table2[[AwayTeam]:[AwayTeam]],$T23, Table2[[HomeTeam]:[HomeTeam]], AJ$21, Table2[[ActualResult]:[ActualResult]], "OT") + SUMIFS(Table2[[AwayWon]:[AwayWon]], Table2[[GameIsOver]:[GameIsOver]],1,Table2[[HomeTeam]:[HomeTeam]],$T23, Table2[[AwayTeam]:[AwayTeam]], AJ$21, Table2[[ActualResult]:[ActualResult]], "OT") + SUMIFS(Table2[[HomeWon_]:[HomeWon_]], Table2[[GameIsOver]:[GameIsOver]],1,Table2[[AwayTeam]:[AwayTeam]],$T23, Table2[[HomeTeam]:[HomeTeam]], AJ$21, Table2[[ActualResult]:[ActualResult]], "SO") + SUMIFS(Table2[[AwayWon]:[AwayWon]], Table2[[GameIsOver]:[GameIsOver]],1,Table2[[HomeTeam]:[HomeTeam]],$T23, Table2[[AwayTeam]:[AwayTeam]], AJ$21, Table2[[ActualResult]:[ActualResult]], "SO")))</f>
        <v>0</v>
      </c>
      <c r="AK23">
        <f>(2*(SUMIFS(Table2[[AwayWon]:[AwayWon]], Table2[[GameIsOver]:[GameIsOver]],1,Table2[[AwayTeam]:[AwayTeam]],$T23, Table2[[HomeTeam]:[HomeTeam]], AK$21) + SUMIFS(Table2[[HomeWon_]:[HomeWon_]], Table2[[GameIsOver]:[GameIsOver]],1,Table2[[HomeTeam]:[HomeTeam]],$T23, Table2[[AwayTeam]:[AwayTeam]], AK$21))) + (0*(SUMIFS(Table2[[HomeWon_]:[HomeWon_]], Table2[[GameIsOver]:[GameIsOver]],1,Table2[[AwayTeam]:[AwayTeam]],$T23, Table2[[HomeTeam]:[HomeTeam]], AK$21, Table2[[ActualResult]:[ActualResult]], "REG") + SUMIFS(Table2[[AwayWon]:[AwayWon]], Table2[[GameIsOver]:[GameIsOver]],1,Table2[[HomeTeam]:[HomeTeam]],$T23, Table2[[AwayTeam]:[AwayTeam]], AK$21, Table2[[ActualResult]:[ActualResult]], "REG"))) + (1*(SUMIFS(Table2[[HomeWon_]:[HomeWon_]], Table2[[GameIsOver]:[GameIsOver]],1,Table2[[AwayTeam]:[AwayTeam]],$T23, Table2[[HomeTeam]:[HomeTeam]], AK$21, Table2[[ActualResult]:[ActualResult]], "OT") + SUMIFS(Table2[[AwayWon]:[AwayWon]], Table2[[GameIsOver]:[GameIsOver]],1,Table2[[HomeTeam]:[HomeTeam]],$T23, Table2[[AwayTeam]:[AwayTeam]], AK$21, Table2[[ActualResult]:[ActualResult]], "OT") + SUMIFS(Table2[[HomeWon_]:[HomeWon_]], Table2[[GameIsOver]:[GameIsOver]],1,Table2[[AwayTeam]:[AwayTeam]],$T23, Table2[[HomeTeam]:[HomeTeam]], AK$21, Table2[[ActualResult]:[ActualResult]], "SO") + SUMIFS(Table2[[AwayWon]:[AwayWon]], Table2[[GameIsOver]:[GameIsOver]],1,Table2[[HomeTeam]:[HomeTeam]],$T23, Table2[[AwayTeam]:[AwayTeam]], AK$21, Table2[[ActualResult]:[ActualResult]], "SO")))</f>
        <v>0</v>
      </c>
      <c r="AL23">
        <f>(2*(SUMIFS(Table2[[AwayWon]:[AwayWon]], Table2[[GameIsOver]:[GameIsOver]],1,Table2[[AwayTeam]:[AwayTeam]],$T23, Table2[[HomeTeam]:[HomeTeam]], AL$21) + SUMIFS(Table2[[HomeWon_]:[HomeWon_]], Table2[[GameIsOver]:[GameIsOver]],1,Table2[[HomeTeam]:[HomeTeam]],$T23, Table2[[AwayTeam]:[AwayTeam]], AL$21))) + (0*(SUMIFS(Table2[[HomeWon_]:[HomeWon_]], Table2[[GameIsOver]:[GameIsOver]],1,Table2[[AwayTeam]:[AwayTeam]],$T23, Table2[[HomeTeam]:[HomeTeam]], AL$21, Table2[[ActualResult]:[ActualResult]], "REG") + SUMIFS(Table2[[AwayWon]:[AwayWon]], Table2[[GameIsOver]:[GameIsOver]],1,Table2[[HomeTeam]:[HomeTeam]],$T23, Table2[[AwayTeam]:[AwayTeam]], AL$21, Table2[[ActualResult]:[ActualResult]], "REG"))) + (1*(SUMIFS(Table2[[HomeWon_]:[HomeWon_]], Table2[[GameIsOver]:[GameIsOver]],1,Table2[[AwayTeam]:[AwayTeam]],$T23, Table2[[HomeTeam]:[HomeTeam]], AL$21, Table2[[ActualResult]:[ActualResult]], "OT") + SUMIFS(Table2[[AwayWon]:[AwayWon]], Table2[[GameIsOver]:[GameIsOver]],1,Table2[[HomeTeam]:[HomeTeam]],$T23, Table2[[AwayTeam]:[AwayTeam]], AL$21, Table2[[ActualResult]:[ActualResult]], "OT") + SUMIFS(Table2[[HomeWon_]:[HomeWon_]], Table2[[GameIsOver]:[GameIsOver]],1,Table2[[AwayTeam]:[AwayTeam]],$T23, Table2[[HomeTeam]:[HomeTeam]], AL$21, Table2[[ActualResult]:[ActualResult]], "SO") + SUMIFS(Table2[[AwayWon]:[AwayWon]], Table2[[GameIsOver]:[GameIsOver]],1,Table2[[HomeTeam]:[HomeTeam]],$T23, Table2[[AwayTeam]:[AwayTeam]], AL$21, Table2[[ActualResult]:[ActualResult]], "SO")))</f>
        <v>0</v>
      </c>
      <c r="AM23">
        <f>(2*(SUMIFS(Table2[[AwayWon]:[AwayWon]], Table2[[GameIsOver]:[GameIsOver]],1,Table2[[AwayTeam]:[AwayTeam]],$T23, Table2[[HomeTeam]:[HomeTeam]], AM$21) + SUMIFS(Table2[[HomeWon_]:[HomeWon_]], Table2[[GameIsOver]:[GameIsOver]],1,Table2[[HomeTeam]:[HomeTeam]],$T23, Table2[[AwayTeam]:[AwayTeam]], AM$21))) + (0*(SUMIFS(Table2[[HomeWon_]:[HomeWon_]], Table2[[GameIsOver]:[GameIsOver]],1,Table2[[AwayTeam]:[AwayTeam]],$T23, Table2[[HomeTeam]:[HomeTeam]], AM$21, Table2[[ActualResult]:[ActualResult]], "REG") + SUMIFS(Table2[[AwayWon]:[AwayWon]], Table2[[GameIsOver]:[GameIsOver]],1,Table2[[HomeTeam]:[HomeTeam]],$T23, Table2[[AwayTeam]:[AwayTeam]], AM$21, Table2[[ActualResult]:[ActualResult]], "REG"))) + (1*(SUMIFS(Table2[[HomeWon_]:[HomeWon_]], Table2[[GameIsOver]:[GameIsOver]],1,Table2[[AwayTeam]:[AwayTeam]],$T23, Table2[[HomeTeam]:[HomeTeam]], AM$21, Table2[[ActualResult]:[ActualResult]], "OT") + SUMIFS(Table2[[AwayWon]:[AwayWon]], Table2[[GameIsOver]:[GameIsOver]],1,Table2[[HomeTeam]:[HomeTeam]],$T23, Table2[[AwayTeam]:[AwayTeam]], AM$21, Table2[[ActualResult]:[ActualResult]], "OT") + SUMIFS(Table2[[HomeWon_]:[HomeWon_]], Table2[[GameIsOver]:[GameIsOver]],1,Table2[[AwayTeam]:[AwayTeam]],$T23, Table2[[HomeTeam]:[HomeTeam]], AM$21, Table2[[ActualResult]:[ActualResult]], "SO") + SUMIFS(Table2[[AwayWon]:[AwayWon]], Table2[[GameIsOver]:[GameIsOver]],1,Table2[[HomeTeam]:[HomeTeam]],$T23, Table2[[AwayTeam]:[AwayTeam]], AM$21, Table2[[ActualResult]:[ActualResult]], "SO")))</f>
        <v>0</v>
      </c>
      <c r="AN23">
        <f>(2*(SUMIFS(Table2[[AwayWon]:[AwayWon]], Table2[[GameIsOver]:[GameIsOver]],1,Table2[[AwayTeam]:[AwayTeam]],$T23, Table2[[HomeTeam]:[HomeTeam]], AN$21) + SUMIFS(Table2[[HomeWon_]:[HomeWon_]], Table2[[GameIsOver]:[GameIsOver]],1,Table2[[HomeTeam]:[HomeTeam]],$T23, Table2[[AwayTeam]:[AwayTeam]], AN$21))) + (0*(SUMIFS(Table2[[HomeWon_]:[HomeWon_]], Table2[[GameIsOver]:[GameIsOver]],1,Table2[[AwayTeam]:[AwayTeam]],$T23, Table2[[HomeTeam]:[HomeTeam]], AN$21, Table2[[ActualResult]:[ActualResult]], "REG") + SUMIFS(Table2[[AwayWon]:[AwayWon]], Table2[[GameIsOver]:[GameIsOver]],1,Table2[[HomeTeam]:[HomeTeam]],$T23, Table2[[AwayTeam]:[AwayTeam]], AN$21, Table2[[ActualResult]:[ActualResult]], "REG"))) + (1*(SUMIFS(Table2[[HomeWon_]:[HomeWon_]], Table2[[GameIsOver]:[GameIsOver]],1,Table2[[AwayTeam]:[AwayTeam]],$T23, Table2[[HomeTeam]:[HomeTeam]], AN$21, Table2[[ActualResult]:[ActualResult]], "OT") + SUMIFS(Table2[[AwayWon]:[AwayWon]], Table2[[GameIsOver]:[GameIsOver]],1,Table2[[HomeTeam]:[HomeTeam]],$T23, Table2[[AwayTeam]:[AwayTeam]], AN$21, Table2[[ActualResult]:[ActualResult]], "OT") + SUMIFS(Table2[[HomeWon_]:[HomeWon_]], Table2[[GameIsOver]:[GameIsOver]],1,Table2[[AwayTeam]:[AwayTeam]],$T23, Table2[[HomeTeam]:[HomeTeam]], AN$21, Table2[[ActualResult]:[ActualResult]], "SO") + SUMIFS(Table2[[AwayWon]:[AwayWon]], Table2[[GameIsOver]:[GameIsOver]],1,Table2[[HomeTeam]:[HomeTeam]],$T23, Table2[[AwayTeam]:[AwayTeam]], AN$21, Table2[[ActualResult]:[ActualResult]], "SO")))</f>
        <v>2</v>
      </c>
      <c r="AO23">
        <f>(2*(SUMIFS(Table2[[AwayWon]:[AwayWon]], Table2[[GameIsOver]:[GameIsOver]],1,Table2[[AwayTeam]:[AwayTeam]],$T23, Table2[[HomeTeam]:[HomeTeam]], AO$21) + SUMIFS(Table2[[HomeWon_]:[HomeWon_]], Table2[[GameIsOver]:[GameIsOver]],1,Table2[[HomeTeam]:[HomeTeam]],$T23, Table2[[AwayTeam]:[AwayTeam]], AO$21))) + (0*(SUMIFS(Table2[[HomeWon_]:[HomeWon_]], Table2[[GameIsOver]:[GameIsOver]],1,Table2[[AwayTeam]:[AwayTeam]],$T23, Table2[[HomeTeam]:[HomeTeam]], AO$21, Table2[[ActualResult]:[ActualResult]], "REG") + SUMIFS(Table2[[AwayWon]:[AwayWon]], Table2[[GameIsOver]:[GameIsOver]],1,Table2[[HomeTeam]:[HomeTeam]],$T23, Table2[[AwayTeam]:[AwayTeam]], AO$21, Table2[[ActualResult]:[ActualResult]], "REG"))) + (1*(SUMIFS(Table2[[HomeWon_]:[HomeWon_]], Table2[[GameIsOver]:[GameIsOver]],1,Table2[[AwayTeam]:[AwayTeam]],$T23, Table2[[HomeTeam]:[HomeTeam]], AO$21, Table2[[ActualResult]:[ActualResult]], "OT") + SUMIFS(Table2[[AwayWon]:[AwayWon]], Table2[[GameIsOver]:[GameIsOver]],1,Table2[[HomeTeam]:[HomeTeam]],$T23, Table2[[AwayTeam]:[AwayTeam]], AO$21, Table2[[ActualResult]:[ActualResult]], "OT") + SUMIFS(Table2[[HomeWon_]:[HomeWon_]], Table2[[GameIsOver]:[GameIsOver]],1,Table2[[AwayTeam]:[AwayTeam]],$T23, Table2[[HomeTeam]:[HomeTeam]], AO$21, Table2[[ActualResult]:[ActualResult]], "SO") + SUMIFS(Table2[[AwayWon]:[AwayWon]], Table2[[GameIsOver]:[GameIsOver]],1,Table2[[HomeTeam]:[HomeTeam]],$T23, Table2[[AwayTeam]:[AwayTeam]], AO$21, Table2[[ActualResult]:[ActualResult]], "SO")))</f>
        <v>0</v>
      </c>
      <c r="AP23">
        <f>(2*(SUMIFS(Table2[[AwayWon]:[AwayWon]], Table2[[GameIsOver]:[GameIsOver]],1,Table2[[AwayTeam]:[AwayTeam]],$T23, Table2[[HomeTeam]:[HomeTeam]], AP$21) + SUMIFS(Table2[[HomeWon_]:[HomeWon_]], Table2[[GameIsOver]:[GameIsOver]],1,Table2[[HomeTeam]:[HomeTeam]],$T23, Table2[[AwayTeam]:[AwayTeam]], AP$21))) + (0*(SUMIFS(Table2[[HomeWon_]:[HomeWon_]], Table2[[GameIsOver]:[GameIsOver]],1,Table2[[AwayTeam]:[AwayTeam]],$T23, Table2[[HomeTeam]:[HomeTeam]], AP$21, Table2[[ActualResult]:[ActualResult]], "REG") + SUMIFS(Table2[[AwayWon]:[AwayWon]], Table2[[GameIsOver]:[GameIsOver]],1,Table2[[HomeTeam]:[HomeTeam]],$T23, Table2[[AwayTeam]:[AwayTeam]], AP$21, Table2[[ActualResult]:[ActualResult]], "REG"))) + (1*(SUMIFS(Table2[[HomeWon_]:[HomeWon_]], Table2[[GameIsOver]:[GameIsOver]],1,Table2[[AwayTeam]:[AwayTeam]],$T23, Table2[[HomeTeam]:[HomeTeam]], AP$21, Table2[[ActualResult]:[ActualResult]], "OT") + SUMIFS(Table2[[AwayWon]:[AwayWon]], Table2[[GameIsOver]:[GameIsOver]],1,Table2[[HomeTeam]:[HomeTeam]],$T23, Table2[[AwayTeam]:[AwayTeam]], AP$21, Table2[[ActualResult]:[ActualResult]], "OT") + SUMIFS(Table2[[HomeWon_]:[HomeWon_]], Table2[[GameIsOver]:[GameIsOver]],1,Table2[[AwayTeam]:[AwayTeam]],$T23, Table2[[HomeTeam]:[HomeTeam]], AP$21, Table2[[ActualResult]:[ActualResult]], "SO") + SUMIFS(Table2[[AwayWon]:[AwayWon]], Table2[[GameIsOver]:[GameIsOver]],1,Table2[[HomeTeam]:[HomeTeam]],$T23, Table2[[AwayTeam]:[AwayTeam]], AP$21, Table2[[ActualResult]:[ActualResult]], "SO")))</f>
        <v>0</v>
      </c>
      <c r="AQ23">
        <f>(2*(SUMIFS(Table2[[AwayWon]:[AwayWon]], Table2[[GameIsOver]:[GameIsOver]],1,Table2[[AwayTeam]:[AwayTeam]],$T23, Table2[[HomeTeam]:[HomeTeam]], AQ$21) + SUMIFS(Table2[[HomeWon_]:[HomeWon_]], Table2[[GameIsOver]:[GameIsOver]],1,Table2[[HomeTeam]:[HomeTeam]],$T23, Table2[[AwayTeam]:[AwayTeam]], AQ$21))) + (0*(SUMIFS(Table2[[HomeWon_]:[HomeWon_]], Table2[[GameIsOver]:[GameIsOver]],1,Table2[[AwayTeam]:[AwayTeam]],$T23, Table2[[HomeTeam]:[HomeTeam]], AQ$21, Table2[[ActualResult]:[ActualResult]], "REG") + SUMIFS(Table2[[AwayWon]:[AwayWon]], Table2[[GameIsOver]:[GameIsOver]],1,Table2[[HomeTeam]:[HomeTeam]],$T23, Table2[[AwayTeam]:[AwayTeam]], AQ$21, Table2[[ActualResult]:[ActualResult]], "REG"))) + (1*(SUMIFS(Table2[[HomeWon_]:[HomeWon_]], Table2[[GameIsOver]:[GameIsOver]],1,Table2[[AwayTeam]:[AwayTeam]],$T23, Table2[[HomeTeam]:[HomeTeam]], AQ$21, Table2[[ActualResult]:[ActualResult]], "OT") + SUMIFS(Table2[[AwayWon]:[AwayWon]], Table2[[GameIsOver]:[GameIsOver]],1,Table2[[HomeTeam]:[HomeTeam]],$T23, Table2[[AwayTeam]:[AwayTeam]], AQ$21, Table2[[ActualResult]:[ActualResult]], "OT") + SUMIFS(Table2[[HomeWon_]:[HomeWon_]], Table2[[GameIsOver]:[GameIsOver]],1,Table2[[AwayTeam]:[AwayTeam]],$T23, Table2[[HomeTeam]:[HomeTeam]], AQ$21, Table2[[ActualResult]:[ActualResult]], "SO") + SUMIFS(Table2[[AwayWon]:[AwayWon]], Table2[[GameIsOver]:[GameIsOver]],1,Table2[[HomeTeam]:[HomeTeam]],$T23, Table2[[AwayTeam]:[AwayTeam]], AQ$21, Table2[[ActualResult]:[ActualResult]], "SO")))</f>
        <v>2</v>
      </c>
      <c r="AR23">
        <f>(2*(SUMIFS(Table2[[AwayWon]:[AwayWon]], Table2[[GameIsOver]:[GameIsOver]],1,Table2[[AwayTeam]:[AwayTeam]],$T23, Table2[[HomeTeam]:[HomeTeam]], AR$21) + SUMIFS(Table2[[HomeWon_]:[HomeWon_]], Table2[[GameIsOver]:[GameIsOver]],1,Table2[[HomeTeam]:[HomeTeam]],$T23, Table2[[AwayTeam]:[AwayTeam]], AR$21))) + (0*(SUMIFS(Table2[[HomeWon_]:[HomeWon_]], Table2[[GameIsOver]:[GameIsOver]],1,Table2[[AwayTeam]:[AwayTeam]],$T23, Table2[[HomeTeam]:[HomeTeam]], AR$21, Table2[[ActualResult]:[ActualResult]], "REG") + SUMIFS(Table2[[AwayWon]:[AwayWon]], Table2[[GameIsOver]:[GameIsOver]],1,Table2[[HomeTeam]:[HomeTeam]],$T23, Table2[[AwayTeam]:[AwayTeam]], AR$21, Table2[[ActualResult]:[ActualResult]], "REG"))) + (1*(SUMIFS(Table2[[HomeWon_]:[HomeWon_]], Table2[[GameIsOver]:[GameIsOver]],1,Table2[[AwayTeam]:[AwayTeam]],$T23, Table2[[HomeTeam]:[HomeTeam]], AR$21, Table2[[ActualResult]:[ActualResult]], "OT") + SUMIFS(Table2[[AwayWon]:[AwayWon]], Table2[[GameIsOver]:[GameIsOver]],1,Table2[[HomeTeam]:[HomeTeam]],$T23, Table2[[AwayTeam]:[AwayTeam]], AR$21, Table2[[ActualResult]:[ActualResult]], "OT") + SUMIFS(Table2[[HomeWon_]:[HomeWon_]], Table2[[GameIsOver]:[GameIsOver]],1,Table2[[AwayTeam]:[AwayTeam]],$T23, Table2[[HomeTeam]:[HomeTeam]], AR$21, Table2[[ActualResult]:[ActualResult]], "SO") + SUMIFS(Table2[[AwayWon]:[AwayWon]], Table2[[GameIsOver]:[GameIsOver]],1,Table2[[HomeTeam]:[HomeTeam]],$T23, Table2[[AwayTeam]:[AwayTeam]], AR$21, Table2[[ActualResult]:[ActualResult]], "SO")))</f>
        <v>0</v>
      </c>
      <c r="AS23">
        <f>(2*(SUMIFS(Table2[[AwayWon]:[AwayWon]], Table2[[GameIsOver]:[GameIsOver]],1,Table2[[AwayTeam]:[AwayTeam]],$T23, Table2[[HomeTeam]:[HomeTeam]], AS$21) + SUMIFS(Table2[[HomeWon_]:[HomeWon_]], Table2[[GameIsOver]:[GameIsOver]],1,Table2[[HomeTeam]:[HomeTeam]],$T23, Table2[[AwayTeam]:[AwayTeam]], AS$21))) + (0*(SUMIFS(Table2[[HomeWon_]:[HomeWon_]], Table2[[GameIsOver]:[GameIsOver]],1,Table2[[AwayTeam]:[AwayTeam]],$T23, Table2[[HomeTeam]:[HomeTeam]], AS$21, Table2[[ActualResult]:[ActualResult]], "REG") + SUMIFS(Table2[[AwayWon]:[AwayWon]], Table2[[GameIsOver]:[GameIsOver]],1,Table2[[HomeTeam]:[HomeTeam]],$T23, Table2[[AwayTeam]:[AwayTeam]], AS$21, Table2[[ActualResult]:[ActualResult]], "REG"))) + (1*(SUMIFS(Table2[[HomeWon_]:[HomeWon_]], Table2[[GameIsOver]:[GameIsOver]],1,Table2[[AwayTeam]:[AwayTeam]],$T23, Table2[[HomeTeam]:[HomeTeam]], AS$21, Table2[[ActualResult]:[ActualResult]], "OT") + SUMIFS(Table2[[AwayWon]:[AwayWon]], Table2[[GameIsOver]:[GameIsOver]],1,Table2[[HomeTeam]:[HomeTeam]],$T23, Table2[[AwayTeam]:[AwayTeam]], AS$21, Table2[[ActualResult]:[ActualResult]], "OT") + SUMIFS(Table2[[HomeWon_]:[HomeWon_]], Table2[[GameIsOver]:[GameIsOver]],1,Table2[[AwayTeam]:[AwayTeam]],$T23, Table2[[HomeTeam]:[HomeTeam]], AS$21, Table2[[ActualResult]:[ActualResult]], "SO") + SUMIFS(Table2[[AwayWon]:[AwayWon]], Table2[[GameIsOver]:[GameIsOver]],1,Table2[[HomeTeam]:[HomeTeam]],$T23, Table2[[AwayTeam]:[AwayTeam]], AS$21, Table2[[ActualResult]:[ActualResult]], "SO")))</f>
        <v>0</v>
      </c>
      <c r="AT23">
        <f>(2*(SUMIFS(Table2[[AwayWon]:[AwayWon]], Table2[[GameIsOver]:[GameIsOver]],1,Table2[[AwayTeam]:[AwayTeam]],$T23, Table2[[HomeTeam]:[HomeTeam]], AT$21) + SUMIFS(Table2[[HomeWon_]:[HomeWon_]], Table2[[GameIsOver]:[GameIsOver]],1,Table2[[HomeTeam]:[HomeTeam]],$T23, Table2[[AwayTeam]:[AwayTeam]], AT$21))) + (0*(SUMIFS(Table2[[HomeWon_]:[HomeWon_]], Table2[[GameIsOver]:[GameIsOver]],1,Table2[[AwayTeam]:[AwayTeam]],$T23, Table2[[HomeTeam]:[HomeTeam]], AT$21, Table2[[ActualResult]:[ActualResult]], "REG") + SUMIFS(Table2[[AwayWon]:[AwayWon]], Table2[[GameIsOver]:[GameIsOver]],1,Table2[[HomeTeam]:[HomeTeam]],$T23, Table2[[AwayTeam]:[AwayTeam]], AT$21, Table2[[ActualResult]:[ActualResult]], "REG"))) + (1*(SUMIFS(Table2[[HomeWon_]:[HomeWon_]], Table2[[GameIsOver]:[GameIsOver]],1,Table2[[AwayTeam]:[AwayTeam]],$T23, Table2[[HomeTeam]:[HomeTeam]], AT$21, Table2[[ActualResult]:[ActualResult]], "OT") + SUMIFS(Table2[[AwayWon]:[AwayWon]], Table2[[GameIsOver]:[GameIsOver]],1,Table2[[HomeTeam]:[HomeTeam]],$T23, Table2[[AwayTeam]:[AwayTeam]], AT$21, Table2[[ActualResult]:[ActualResult]], "OT") + SUMIFS(Table2[[HomeWon_]:[HomeWon_]], Table2[[GameIsOver]:[GameIsOver]],1,Table2[[AwayTeam]:[AwayTeam]],$T23, Table2[[HomeTeam]:[HomeTeam]], AT$21, Table2[[ActualResult]:[ActualResult]], "SO") + SUMIFS(Table2[[AwayWon]:[AwayWon]], Table2[[GameIsOver]:[GameIsOver]],1,Table2[[HomeTeam]:[HomeTeam]],$T23, Table2[[AwayTeam]:[AwayTeam]], AT$21, Table2[[ActualResult]:[ActualResult]], "SO")))</f>
        <v>0</v>
      </c>
      <c r="AU23">
        <f>(2*(SUMIFS(Table2[[AwayWon]:[AwayWon]], Table2[[GameIsOver]:[GameIsOver]],1,Table2[[AwayTeam]:[AwayTeam]],$T23, Table2[[HomeTeam]:[HomeTeam]], AU$21) + SUMIFS(Table2[[HomeWon_]:[HomeWon_]], Table2[[GameIsOver]:[GameIsOver]],1,Table2[[HomeTeam]:[HomeTeam]],$T23, Table2[[AwayTeam]:[AwayTeam]], AU$21))) + (0*(SUMIFS(Table2[[HomeWon_]:[HomeWon_]], Table2[[GameIsOver]:[GameIsOver]],1,Table2[[AwayTeam]:[AwayTeam]],$T23, Table2[[HomeTeam]:[HomeTeam]], AU$21, Table2[[ActualResult]:[ActualResult]], "REG") + SUMIFS(Table2[[AwayWon]:[AwayWon]], Table2[[GameIsOver]:[GameIsOver]],1,Table2[[HomeTeam]:[HomeTeam]],$T23, Table2[[AwayTeam]:[AwayTeam]], AU$21, Table2[[ActualResult]:[ActualResult]], "REG"))) + (1*(SUMIFS(Table2[[HomeWon_]:[HomeWon_]], Table2[[GameIsOver]:[GameIsOver]],1,Table2[[AwayTeam]:[AwayTeam]],$T23, Table2[[HomeTeam]:[HomeTeam]], AU$21, Table2[[ActualResult]:[ActualResult]], "OT") + SUMIFS(Table2[[AwayWon]:[AwayWon]], Table2[[GameIsOver]:[GameIsOver]],1,Table2[[HomeTeam]:[HomeTeam]],$T23, Table2[[AwayTeam]:[AwayTeam]], AU$21, Table2[[ActualResult]:[ActualResult]], "OT") + SUMIFS(Table2[[HomeWon_]:[HomeWon_]], Table2[[GameIsOver]:[GameIsOver]],1,Table2[[AwayTeam]:[AwayTeam]],$T23, Table2[[HomeTeam]:[HomeTeam]], AU$21, Table2[[ActualResult]:[ActualResult]], "SO") + SUMIFS(Table2[[AwayWon]:[AwayWon]], Table2[[GameIsOver]:[GameIsOver]],1,Table2[[HomeTeam]:[HomeTeam]],$T23, Table2[[AwayTeam]:[AwayTeam]], AU$21, Table2[[ActualResult]:[ActualResult]], "SO")))</f>
        <v>0</v>
      </c>
      <c r="AV23">
        <f>(2*(SUMIFS(Table2[[AwayWon]:[AwayWon]], Table2[[GameIsOver]:[GameIsOver]],1,Table2[[AwayTeam]:[AwayTeam]],$T23, Table2[[HomeTeam]:[HomeTeam]], AV$21) + SUMIFS(Table2[[HomeWon_]:[HomeWon_]], Table2[[GameIsOver]:[GameIsOver]],1,Table2[[HomeTeam]:[HomeTeam]],$T23, Table2[[AwayTeam]:[AwayTeam]], AV$21))) + (0*(SUMIFS(Table2[[HomeWon_]:[HomeWon_]], Table2[[GameIsOver]:[GameIsOver]],1,Table2[[AwayTeam]:[AwayTeam]],$T23, Table2[[HomeTeam]:[HomeTeam]], AV$21, Table2[[ActualResult]:[ActualResult]], "REG") + SUMIFS(Table2[[AwayWon]:[AwayWon]], Table2[[GameIsOver]:[GameIsOver]],1,Table2[[HomeTeam]:[HomeTeam]],$T23, Table2[[AwayTeam]:[AwayTeam]], AV$21, Table2[[ActualResult]:[ActualResult]], "REG"))) + (1*(SUMIFS(Table2[[HomeWon_]:[HomeWon_]], Table2[[GameIsOver]:[GameIsOver]],1,Table2[[AwayTeam]:[AwayTeam]],$T23, Table2[[HomeTeam]:[HomeTeam]], AV$21, Table2[[ActualResult]:[ActualResult]], "OT") + SUMIFS(Table2[[AwayWon]:[AwayWon]], Table2[[GameIsOver]:[GameIsOver]],1,Table2[[HomeTeam]:[HomeTeam]],$T23, Table2[[AwayTeam]:[AwayTeam]], AV$21, Table2[[ActualResult]:[ActualResult]], "OT") + SUMIFS(Table2[[HomeWon_]:[HomeWon_]], Table2[[GameIsOver]:[GameIsOver]],1,Table2[[AwayTeam]:[AwayTeam]],$T23, Table2[[HomeTeam]:[HomeTeam]], AV$21, Table2[[ActualResult]:[ActualResult]], "SO") + SUMIFS(Table2[[AwayWon]:[AwayWon]], Table2[[GameIsOver]:[GameIsOver]],1,Table2[[HomeTeam]:[HomeTeam]],$T23, Table2[[AwayTeam]:[AwayTeam]], AV$21, Table2[[ActualResult]:[ActualResult]], "SO")))</f>
        <v>0</v>
      </c>
      <c r="AW23">
        <f>(2*(SUMIFS(Table2[[AwayWon]:[AwayWon]], Table2[[GameIsOver]:[GameIsOver]],1,Table2[[AwayTeam]:[AwayTeam]],$T23, Table2[[HomeTeam]:[HomeTeam]], AW$21) + SUMIFS(Table2[[HomeWon_]:[HomeWon_]], Table2[[GameIsOver]:[GameIsOver]],1,Table2[[HomeTeam]:[HomeTeam]],$T23, Table2[[AwayTeam]:[AwayTeam]], AW$21))) + (0*(SUMIFS(Table2[[HomeWon_]:[HomeWon_]], Table2[[GameIsOver]:[GameIsOver]],1,Table2[[AwayTeam]:[AwayTeam]],$T23, Table2[[HomeTeam]:[HomeTeam]], AW$21, Table2[[ActualResult]:[ActualResult]], "REG") + SUMIFS(Table2[[AwayWon]:[AwayWon]], Table2[[GameIsOver]:[GameIsOver]],1,Table2[[HomeTeam]:[HomeTeam]],$T23, Table2[[AwayTeam]:[AwayTeam]], AW$21, Table2[[ActualResult]:[ActualResult]], "REG"))) + (1*(SUMIFS(Table2[[HomeWon_]:[HomeWon_]], Table2[[GameIsOver]:[GameIsOver]],1,Table2[[AwayTeam]:[AwayTeam]],$T23, Table2[[HomeTeam]:[HomeTeam]], AW$21, Table2[[ActualResult]:[ActualResult]], "OT") + SUMIFS(Table2[[AwayWon]:[AwayWon]], Table2[[GameIsOver]:[GameIsOver]],1,Table2[[HomeTeam]:[HomeTeam]],$T23, Table2[[AwayTeam]:[AwayTeam]], AW$21, Table2[[ActualResult]:[ActualResult]], "OT") + SUMIFS(Table2[[HomeWon_]:[HomeWon_]], Table2[[GameIsOver]:[GameIsOver]],1,Table2[[AwayTeam]:[AwayTeam]],$T23, Table2[[HomeTeam]:[HomeTeam]], AW$21, Table2[[ActualResult]:[ActualResult]], "SO") + SUMIFS(Table2[[AwayWon]:[AwayWon]], Table2[[GameIsOver]:[GameIsOver]],1,Table2[[HomeTeam]:[HomeTeam]],$T23, Table2[[AwayTeam]:[AwayTeam]], AW$21, Table2[[ActualResult]:[ActualResult]], "SO")))</f>
        <v>0</v>
      </c>
      <c r="AX23">
        <f>(2*(SUMIFS(Table2[[AwayWon]:[AwayWon]], Table2[[GameIsOver]:[GameIsOver]],1,Table2[[AwayTeam]:[AwayTeam]],$T23, Table2[[HomeTeam]:[HomeTeam]], AX$21) + SUMIFS(Table2[[HomeWon_]:[HomeWon_]], Table2[[GameIsOver]:[GameIsOver]],1,Table2[[HomeTeam]:[HomeTeam]],$T23, Table2[[AwayTeam]:[AwayTeam]], AX$21))) + (0*(SUMIFS(Table2[[HomeWon_]:[HomeWon_]], Table2[[GameIsOver]:[GameIsOver]],1,Table2[[AwayTeam]:[AwayTeam]],$T23, Table2[[HomeTeam]:[HomeTeam]], AX$21, Table2[[ActualResult]:[ActualResult]], "REG") + SUMIFS(Table2[[AwayWon]:[AwayWon]], Table2[[GameIsOver]:[GameIsOver]],1,Table2[[HomeTeam]:[HomeTeam]],$T23, Table2[[AwayTeam]:[AwayTeam]], AX$21, Table2[[ActualResult]:[ActualResult]], "REG"))) + (1*(SUMIFS(Table2[[HomeWon_]:[HomeWon_]], Table2[[GameIsOver]:[GameIsOver]],1,Table2[[AwayTeam]:[AwayTeam]],$T23, Table2[[HomeTeam]:[HomeTeam]], AX$21, Table2[[ActualResult]:[ActualResult]], "OT") + SUMIFS(Table2[[AwayWon]:[AwayWon]], Table2[[GameIsOver]:[GameIsOver]],1,Table2[[HomeTeam]:[HomeTeam]],$T23, Table2[[AwayTeam]:[AwayTeam]], AX$21, Table2[[ActualResult]:[ActualResult]], "OT") + SUMIFS(Table2[[HomeWon_]:[HomeWon_]], Table2[[GameIsOver]:[GameIsOver]],1,Table2[[AwayTeam]:[AwayTeam]],$T23, Table2[[HomeTeam]:[HomeTeam]], AX$21, Table2[[ActualResult]:[ActualResult]], "SO") + SUMIFS(Table2[[AwayWon]:[AwayWon]], Table2[[GameIsOver]:[GameIsOver]],1,Table2[[HomeTeam]:[HomeTeam]],$T23, Table2[[AwayTeam]:[AwayTeam]], AX$21, Table2[[ActualResult]:[ActualResult]], "SO")))</f>
        <v>0</v>
      </c>
      <c r="AY23">
        <f>(2*(SUMIFS(Table2[[AwayWon]:[AwayWon]], Table2[[GameIsOver]:[GameIsOver]],1,Table2[[AwayTeam]:[AwayTeam]],$T23, Table2[[HomeTeam]:[HomeTeam]], AY$21) + SUMIFS(Table2[[HomeWon_]:[HomeWon_]], Table2[[GameIsOver]:[GameIsOver]],1,Table2[[HomeTeam]:[HomeTeam]],$T23, Table2[[AwayTeam]:[AwayTeam]], AY$21))) + (0*(SUMIFS(Table2[[HomeWon_]:[HomeWon_]], Table2[[GameIsOver]:[GameIsOver]],1,Table2[[AwayTeam]:[AwayTeam]],$T23, Table2[[HomeTeam]:[HomeTeam]], AY$21, Table2[[ActualResult]:[ActualResult]], "REG") + SUMIFS(Table2[[AwayWon]:[AwayWon]], Table2[[GameIsOver]:[GameIsOver]],1,Table2[[HomeTeam]:[HomeTeam]],$T23, Table2[[AwayTeam]:[AwayTeam]], AY$21, Table2[[ActualResult]:[ActualResult]], "REG"))) + (1*(SUMIFS(Table2[[HomeWon_]:[HomeWon_]], Table2[[GameIsOver]:[GameIsOver]],1,Table2[[AwayTeam]:[AwayTeam]],$T23, Table2[[HomeTeam]:[HomeTeam]], AY$21, Table2[[ActualResult]:[ActualResult]], "OT") + SUMIFS(Table2[[AwayWon]:[AwayWon]], Table2[[GameIsOver]:[GameIsOver]],1,Table2[[HomeTeam]:[HomeTeam]],$T23, Table2[[AwayTeam]:[AwayTeam]], AY$21, Table2[[ActualResult]:[ActualResult]], "OT") + SUMIFS(Table2[[HomeWon_]:[HomeWon_]], Table2[[GameIsOver]:[GameIsOver]],1,Table2[[AwayTeam]:[AwayTeam]],$T23, Table2[[HomeTeam]:[HomeTeam]], AY$21, Table2[[ActualResult]:[ActualResult]], "SO") + SUMIFS(Table2[[AwayWon]:[AwayWon]], Table2[[GameIsOver]:[GameIsOver]],1,Table2[[HomeTeam]:[HomeTeam]],$T23, Table2[[AwayTeam]:[AwayTeam]], AY$21, Table2[[ActualResult]:[ActualResult]], "SO")))</f>
        <v>0</v>
      </c>
      <c r="AZ23">
        <f>(2*(SUMIFS(Table2[[AwayWon]:[AwayWon]], Table2[[GameIsOver]:[GameIsOver]],1,Table2[[AwayTeam]:[AwayTeam]],$T23, Table2[[HomeTeam]:[HomeTeam]], AZ$21) + SUMIFS(Table2[[HomeWon_]:[HomeWon_]], Table2[[GameIsOver]:[GameIsOver]],1,Table2[[HomeTeam]:[HomeTeam]],$T23, Table2[[AwayTeam]:[AwayTeam]], AZ$21))) + (0*(SUMIFS(Table2[[HomeWon_]:[HomeWon_]], Table2[[GameIsOver]:[GameIsOver]],1,Table2[[AwayTeam]:[AwayTeam]],$T23, Table2[[HomeTeam]:[HomeTeam]], AZ$21, Table2[[ActualResult]:[ActualResult]], "REG") + SUMIFS(Table2[[AwayWon]:[AwayWon]], Table2[[GameIsOver]:[GameIsOver]],1,Table2[[HomeTeam]:[HomeTeam]],$T23, Table2[[AwayTeam]:[AwayTeam]], AZ$21, Table2[[ActualResult]:[ActualResult]], "REG"))) + (1*(SUMIFS(Table2[[HomeWon_]:[HomeWon_]], Table2[[GameIsOver]:[GameIsOver]],1,Table2[[AwayTeam]:[AwayTeam]],$T23, Table2[[HomeTeam]:[HomeTeam]], AZ$21, Table2[[ActualResult]:[ActualResult]], "OT") + SUMIFS(Table2[[AwayWon]:[AwayWon]], Table2[[GameIsOver]:[GameIsOver]],1,Table2[[HomeTeam]:[HomeTeam]],$T23, Table2[[AwayTeam]:[AwayTeam]], AZ$21, Table2[[ActualResult]:[ActualResult]], "OT") + SUMIFS(Table2[[HomeWon_]:[HomeWon_]], Table2[[GameIsOver]:[GameIsOver]],1,Table2[[AwayTeam]:[AwayTeam]],$T23, Table2[[HomeTeam]:[HomeTeam]], AZ$21, Table2[[ActualResult]:[ActualResult]], "SO") + SUMIFS(Table2[[AwayWon]:[AwayWon]], Table2[[GameIsOver]:[GameIsOver]],1,Table2[[HomeTeam]:[HomeTeam]],$T23, Table2[[AwayTeam]:[AwayTeam]], AZ$21, Table2[[ActualResult]:[ActualResult]], "SO")))</f>
        <v>0</v>
      </c>
      <c r="BA23">
        <f>(2*(SUMIFS(Table2[[AwayWon]:[AwayWon]], Table2[[GameIsOver]:[GameIsOver]],1,Table2[[AwayTeam]:[AwayTeam]],$T23, Table2[[HomeTeam]:[HomeTeam]], BA$21) + SUMIFS(Table2[[HomeWon_]:[HomeWon_]], Table2[[GameIsOver]:[GameIsOver]],1,Table2[[HomeTeam]:[HomeTeam]],$T23, Table2[[AwayTeam]:[AwayTeam]], BA$21))) + (0*(SUMIFS(Table2[[HomeWon_]:[HomeWon_]], Table2[[GameIsOver]:[GameIsOver]],1,Table2[[AwayTeam]:[AwayTeam]],$T23, Table2[[HomeTeam]:[HomeTeam]], BA$21, Table2[[ActualResult]:[ActualResult]], "REG") + SUMIFS(Table2[[AwayWon]:[AwayWon]], Table2[[GameIsOver]:[GameIsOver]],1,Table2[[HomeTeam]:[HomeTeam]],$T23, Table2[[AwayTeam]:[AwayTeam]], BA$21, Table2[[ActualResult]:[ActualResult]], "REG"))) + (1*(SUMIFS(Table2[[HomeWon_]:[HomeWon_]], Table2[[GameIsOver]:[GameIsOver]],1,Table2[[AwayTeam]:[AwayTeam]],$T23, Table2[[HomeTeam]:[HomeTeam]], BA$21, Table2[[ActualResult]:[ActualResult]], "OT") + SUMIFS(Table2[[AwayWon]:[AwayWon]], Table2[[GameIsOver]:[GameIsOver]],1,Table2[[HomeTeam]:[HomeTeam]],$T23, Table2[[AwayTeam]:[AwayTeam]], BA$21, Table2[[ActualResult]:[ActualResult]], "OT") + SUMIFS(Table2[[HomeWon_]:[HomeWon_]], Table2[[GameIsOver]:[GameIsOver]],1,Table2[[AwayTeam]:[AwayTeam]],$T23, Table2[[HomeTeam]:[HomeTeam]], BA$21, Table2[[ActualResult]:[ActualResult]], "SO") + SUMIFS(Table2[[AwayWon]:[AwayWon]], Table2[[GameIsOver]:[GameIsOver]],1,Table2[[HomeTeam]:[HomeTeam]],$T23, Table2[[AwayTeam]:[AwayTeam]], BA$21, Table2[[ActualResult]:[ActualResult]], "SO")))</f>
        <v>0</v>
      </c>
    </row>
    <row r="24" spans="1:53" x14ac:dyDescent="0.25">
      <c r="A24" s="61" t="s">
        <v>11</v>
      </c>
      <c r="B24" s="61" t="s">
        <v>90</v>
      </c>
      <c r="C24" s="61" t="s">
        <v>93</v>
      </c>
      <c r="D24" s="62">
        <f>INDEX(Table3[PTS], MATCH(Table6[[#This Row],[Teams]], Table3[Teams],0))</f>
        <v>8</v>
      </c>
      <c r="E24" s="62">
        <f>INDEX(Table3[PTS], MATCH(Table6[[#This Row],[Teams]], Table3[Teams],0))</f>
        <v>8</v>
      </c>
      <c r="S24">
        <v>3</v>
      </c>
      <c r="T24" t="str" cm="1">
        <f t="array" ref="T24">INDEX(Table6[Teams], SMALL(IF(Table6[D]="M", ROW(Table6[Teams])-ROW(Table6[#Headers])), Table712[[#This Row],[MET]]))</f>
        <v>NJD</v>
      </c>
      <c r="U24">
        <f>INDEX(Table6[PTS], MATCH($T24, Table6[Teams], 0))</f>
        <v>10</v>
      </c>
      <c r="V24">
        <f>(2*(SUMIFS(Table2[[AwayWon]:[AwayWon]], Table2[[GameIsOver]:[GameIsOver]],1,Table2[[AwayTeam]:[AwayTeam]],$T24, Table2[[HomeTeam]:[HomeTeam]], V$21) + SUMIFS(Table2[[HomeWon_]:[HomeWon_]], Table2[[GameIsOver]:[GameIsOver]],1,Table2[[HomeTeam]:[HomeTeam]],$T24, Table2[[AwayTeam]:[AwayTeam]], V$21))) + (0*(SUMIFS(Table2[[HomeWon_]:[HomeWon_]], Table2[[GameIsOver]:[GameIsOver]],1,Table2[[AwayTeam]:[AwayTeam]],$T24, Table2[[HomeTeam]:[HomeTeam]], V$21, Table2[[ActualResult]:[ActualResult]], "REG") + SUMIFS(Table2[[AwayWon]:[AwayWon]], Table2[[GameIsOver]:[GameIsOver]],1,Table2[[HomeTeam]:[HomeTeam]],$T24, Table2[[AwayTeam]:[AwayTeam]], V$21, Table2[[ActualResult]:[ActualResult]], "REG"))) + (1*(SUMIFS(Table2[[HomeWon_]:[HomeWon_]], Table2[[GameIsOver]:[GameIsOver]],1,Table2[[AwayTeam]:[AwayTeam]],$T24, Table2[[HomeTeam]:[HomeTeam]], V$21, Table2[[ActualResult]:[ActualResult]], "OT") + SUMIFS(Table2[[AwayWon]:[AwayWon]], Table2[[GameIsOver]:[GameIsOver]],1,Table2[[HomeTeam]:[HomeTeam]],$T24, Table2[[AwayTeam]:[AwayTeam]], V$21, Table2[[ActualResult]:[ActualResult]], "OT") + SUMIFS(Table2[[HomeWon_]:[HomeWon_]], Table2[[GameIsOver]:[GameIsOver]],1,Table2[[AwayTeam]:[AwayTeam]],$T24, Table2[[HomeTeam]:[HomeTeam]], V$21, Table2[[ActualResult]:[ActualResult]], "SO") + SUMIFS(Table2[[AwayWon]:[AwayWon]], Table2[[GameIsOver]:[GameIsOver]],1,Table2[[HomeTeam]:[HomeTeam]],$T24, Table2[[AwayTeam]:[AwayTeam]], V$21, Table2[[ActualResult]:[ActualResult]], "SO")))</f>
        <v>0</v>
      </c>
      <c r="W24">
        <f>(2*(SUMIFS(Table2[[AwayWon]:[AwayWon]], Table2[[GameIsOver]:[GameIsOver]],1,Table2[[AwayTeam]:[AwayTeam]],$T24, Table2[[HomeTeam]:[HomeTeam]], W$21) + SUMIFS(Table2[[HomeWon_]:[HomeWon_]], Table2[[GameIsOver]:[GameIsOver]],1,Table2[[HomeTeam]:[HomeTeam]],$T24, Table2[[AwayTeam]:[AwayTeam]], W$21))) + (0*(SUMIFS(Table2[[HomeWon_]:[HomeWon_]], Table2[[GameIsOver]:[GameIsOver]],1,Table2[[AwayTeam]:[AwayTeam]],$T24, Table2[[HomeTeam]:[HomeTeam]], W$21, Table2[[ActualResult]:[ActualResult]], "REG") + SUMIFS(Table2[[AwayWon]:[AwayWon]], Table2[[GameIsOver]:[GameIsOver]],1,Table2[[HomeTeam]:[HomeTeam]],$T24, Table2[[AwayTeam]:[AwayTeam]], W$21, Table2[[ActualResult]:[ActualResult]], "REG"))) + (1*(SUMIFS(Table2[[HomeWon_]:[HomeWon_]], Table2[[GameIsOver]:[GameIsOver]],1,Table2[[AwayTeam]:[AwayTeam]],$T24, Table2[[HomeTeam]:[HomeTeam]], W$21, Table2[[ActualResult]:[ActualResult]], "OT") + SUMIFS(Table2[[AwayWon]:[AwayWon]], Table2[[GameIsOver]:[GameIsOver]],1,Table2[[HomeTeam]:[HomeTeam]],$T24, Table2[[AwayTeam]:[AwayTeam]], W$21, Table2[[ActualResult]:[ActualResult]], "OT") + SUMIFS(Table2[[HomeWon_]:[HomeWon_]], Table2[[GameIsOver]:[GameIsOver]],1,Table2[[AwayTeam]:[AwayTeam]],$T24, Table2[[HomeTeam]:[HomeTeam]], W$21, Table2[[ActualResult]:[ActualResult]], "SO") + SUMIFS(Table2[[AwayWon]:[AwayWon]], Table2[[GameIsOver]:[GameIsOver]],1,Table2[[HomeTeam]:[HomeTeam]],$T24, Table2[[AwayTeam]:[AwayTeam]], W$21, Table2[[ActualResult]:[ActualResult]], "SO")))</f>
        <v>0</v>
      </c>
      <c r="X24">
        <f>(2*(SUMIFS(Table2[[AwayWon]:[AwayWon]], Table2[[GameIsOver]:[GameIsOver]],1,Table2[[AwayTeam]:[AwayTeam]],$T24, Table2[[HomeTeam]:[HomeTeam]], X$21) + SUMIFS(Table2[[HomeWon_]:[HomeWon_]], Table2[[GameIsOver]:[GameIsOver]],1,Table2[[HomeTeam]:[HomeTeam]],$T24, Table2[[AwayTeam]:[AwayTeam]], X$21))) + (0*(SUMIFS(Table2[[HomeWon_]:[HomeWon_]], Table2[[GameIsOver]:[GameIsOver]],1,Table2[[AwayTeam]:[AwayTeam]],$T24, Table2[[HomeTeam]:[HomeTeam]], X$21, Table2[[ActualResult]:[ActualResult]], "REG") + SUMIFS(Table2[[AwayWon]:[AwayWon]], Table2[[GameIsOver]:[GameIsOver]],1,Table2[[HomeTeam]:[HomeTeam]],$T24, Table2[[AwayTeam]:[AwayTeam]], X$21, Table2[[ActualResult]:[ActualResult]], "REG"))) + (1*(SUMIFS(Table2[[HomeWon_]:[HomeWon_]], Table2[[GameIsOver]:[GameIsOver]],1,Table2[[AwayTeam]:[AwayTeam]],$T24, Table2[[HomeTeam]:[HomeTeam]], X$21, Table2[[ActualResult]:[ActualResult]], "OT") + SUMIFS(Table2[[AwayWon]:[AwayWon]], Table2[[GameIsOver]:[GameIsOver]],1,Table2[[HomeTeam]:[HomeTeam]],$T24, Table2[[AwayTeam]:[AwayTeam]], X$21, Table2[[ActualResult]:[ActualResult]], "OT") + SUMIFS(Table2[[HomeWon_]:[HomeWon_]], Table2[[GameIsOver]:[GameIsOver]],1,Table2[[AwayTeam]:[AwayTeam]],$T24, Table2[[HomeTeam]:[HomeTeam]], X$21, Table2[[ActualResult]:[ActualResult]], "SO") + SUMIFS(Table2[[AwayWon]:[AwayWon]], Table2[[GameIsOver]:[GameIsOver]],1,Table2[[HomeTeam]:[HomeTeam]],$T24, Table2[[AwayTeam]:[AwayTeam]], X$21, Table2[[ActualResult]:[ActualResult]], "SO")))</f>
        <v>2</v>
      </c>
      <c r="Y24">
        <f>(2*(SUMIFS(Table2[[AwayWon]:[AwayWon]], Table2[[GameIsOver]:[GameIsOver]],1,Table2[[AwayTeam]:[AwayTeam]],$T24, Table2[[HomeTeam]:[HomeTeam]], Y$21) + SUMIFS(Table2[[HomeWon_]:[HomeWon_]], Table2[[GameIsOver]:[GameIsOver]],1,Table2[[HomeTeam]:[HomeTeam]],$T24, Table2[[AwayTeam]:[AwayTeam]], Y$21))) + (0*(SUMIFS(Table2[[HomeWon_]:[HomeWon_]], Table2[[GameIsOver]:[GameIsOver]],1,Table2[[AwayTeam]:[AwayTeam]],$T24, Table2[[HomeTeam]:[HomeTeam]], Y$21, Table2[[ActualResult]:[ActualResult]], "REG") + SUMIFS(Table2[[AwayWon]:[AwayWon]], Table2[[GameIsOver]:[GameIsOver]],1,Table2[[HomeTeam]:[HomeTeam]],$T24, Table2[[AwayTeam]:[AwayTeam]], Y$21, Table2[[ActualResult]:[ActualResult]], "REG"))) + (1*(SUMIFS(Table2[[HomeWon_]:[HomeWon_]], Table2[[GameIsOver]:[GameIsOver]],1,Table2[[AwayTeam]:[AwayTeam]],$T24, Table2[[HomeTeam]:[HomeTeam]], Y$21, Table2[[ActualResult]:[ActualResult]], "OT") + SUMIFS(Table2[[AwayWon]:[AwayWon]], Table2[[GameIsOver]:[GameIsOver]],1,Table2[[HomeTeam]:[HomeTeam]],$T24, Table2[[AwayTeam]:[AwayTeam]], Y$21, Table2[[ActualResult]:[ActualResult]], "OT") + SUMIFS(Table2[[HomeWon_]:[HomeWon_]], Table2[[GameIsOver]:[GameIsOver]],1,Table2[[AwayTeam]:[AwayTeam]],$T24, Table2[[HomeTeam]:[HomeTeam]], Y$21, Table2[[ActualResult]:[ActualResult]], "SO") + SUMIFS(Table2[[AwayWon]:[AwayWon]], Table2[[GameIsOver]:[GameIsOver]],1,Table2[[HomeTeam]:[HomeTeam]],$T24, Table2[[AwayTeam]:[AwayTeam]], Y$21, Table2[[ActualResult]:[ActualResult]], "SO")))</f>
        <v>0</v>
      </c>
      <c r="Z24">
        <f>(2*(SUMIFS(Table2[[AwayWon]:[AwayWon]], Table2[[GameIsOver]:[GameIsOver]],1,Table2[[AwayTeam]:[AwayTeam]],$T24, Table2[[HomeTeam]:[HomeTeam]], Z$21) + SUMIFS(Table2[[HomeWon_]:[HomeWon_]], Table2[[GameIsOver]:[GameIsOver]],1,Table2[[HomeTeam]:[HomeTeam]],$T24, Table2[[AwayTeam]:[AwayTeam]], Z$21))) + (0*(SUMIFS(Table2[[HomeWon_]:[HomeWon_]], Table2[[GameIsOver]:[GameIsOver]],1,Table2[[AwayTeam]:[AwayTeam]],$T24, Table2[[HomeTeam]:[HomeTeam]], Z$21, Table2[[ActualResult]:[ActualResult]], "REG") + SUMIFS(Table2[[AwayWon]:[AwayWon]], Table2[[GameIsOver]:[GameIsOver]],1,Table2[[HomeTeam]:[HomeTeam]],$T24, Table2[[AwayTeam]:[AwayTeam]], Z$21, Table2[[ActualResult]:[ActualResult]], "REG"))) + (1*(SUMIFS(Table2[[HomeWon_]:[HomeWon_]], Table2[[GameIsOver]:[GameIsOver]],1,Table2[[AwayTeam]:[AwayTeam]],$T24, Table2[[HomeTeam]:[HomeTeam]], Z$21, Table2[[ActualResult]:[ActualResult]], "OT") + SUMIFS(Table2[[AwayWon]:[AwayWon]], Table2[[GameIsOver]:[GameIsOver]],1,Table2[[HomeTeam]:[HomeTeam]],$T24, Table2[[AwayTeam]:[AwayTeam]], Z$21, Table2[[ActualResult]:[ActualResult]], "OT") + SUMIFS(Table2[[HomeWon_]:[HomeWon_]], Table2[[GameIsOver]:[GameIsOver]],1,Table2[[AwayTeam]:[AwayTeam]],$T24, Table2[[HomeTeam]:[HomeTeam]], Z$21, Table2[[ActualResult]:[ActualResult]], "SO") + SUMIFS(Table2[[AwayWon]:[AwayWon]], Table2[[GameIsOver]:[GameIsOver]],1,Table2[[HomeTeam]:[HomeTeam]],$T24, Table2[[AwayTeam]:[AwayTeam]], Z$21, Table2[[ActualResult]:[ActualResult]], "SO")))</f>
        <v>0</v>
      </c>
      <c r="AA24">
        <f>(2*(SUMIFS(Table2[[AwayWon]:[AwayWon]], Table2[[GameIsOver]:[GameIsOver]],1,Table2[[AwayTeam]:[AwayTeam]],$T24, Table2[[HomeTeam]:[HomeTeam]], AA$21) + SUMIFS(Table2[[HomeWon_]:[HomeWon_]], Table2[[GameIsOver]:[GameIsOver]],1,Table2[[HomeTeam]:[HomeTeam]],$T24, Table2[[AwayTeam]:[AwayTeam]], AA$21))) + (0*(SUMIFS(Table2[[HomeWon_]:[HomeWon_]], Table2[[GameIsOver]:[GameIsOver]],1,Table2[[AwayTeam]:[AwayTeam]],$T24, Table2[[HomeTeam]:[HomeTeam]], AA$21, Table2[[ActualResult]:[ActualResult]], "REG") + SUMIFS(Table2[[AwayWon]:[AwayWon]], Table2[[GameIsOver]:[GameIsOver]],1,Table2[[HomeTeam]:[HomeTeam]],$T24, Table2[[AwayTeam]:[AwayTeam]], AA$21, Table2[[ActualResult]:[ActualResult]], "REG"))) + (1*(SUMIFS(Table2[[HomeWon_]:[HomeWon_]], Table2[[GameIsOver]:[GameIsOver]],1,Table2[[AwayTeam]:[AwayTeam]],$T24, Table2[[HomeTeam]:[HomeTeam]], AA$21, Table2[[ActualResult]:[ActualResult]], "OT") + SUMIFS(Table2[[AwayWon]:[AwayWon]], Table2[[GameIsOver]:[GameIsOver]],1,Table2[[HomeTeam]:[HomeTeam]],$T24, Table2[[AwayTeam]:[AwayTeam]], AA$21, Table2[[ActualResult]:[ActualResult]], "OT") + SUMIFS(Table2[[HomeWon_]:[HomeWon_]], Table2[[GameIsOver]:[GameIsOver]],1,Table2[[AwayTeam]:[AwayTeam]],$T24, Table2[[HomeTeam]:[HomeTeam]], AA$21, Table2[[ActualResult]:[ActualResult]], "SO") + SUMIFS(Table2[[AwayWon]:[AwayWon]], Table2[[GameIsOver]:[GameIsOver]],1,Table2[[HomeTeam]:[HomeTeam]],$T24, Table2[[AwayTeam]:[AwayTeam]], AA$21, Table2[[ActualResult]:[ActualResult]], "SO")))</f>
        <v>0</v>
      </c>
      <c r="AB24">
        <f>(2*(SUMIFS(Table2[[AwayWon]:[AwayWon]], Table2[[GameIsOver]:[GameIsOver]],1,Table2[[AwayTeam]:[AwayTeam]],$T24, Table2[[HomeTeam]:[HomeTeam]], AB$21) + SUMIFS(Table2[[HomeWon_]:[HomeWon_]], Table2[[GameIsOver]:[GameIsOver]],1,Table2[[HomeTeam]:[HomeTeam]],$T24, Table2[[AwayTeam]:[AwayTeam]], AB$21))) + (0*(SUMIFS(Table2[[HomeWon_]:[HomeWon_]], Table2[[GameIsOver]:[GameIsOver]],1,Table2[[AwayTeam]:[AwayTeam]],$T24, Table2[[HomeTeam]:[HomeTeam]], AB$21, Table2[[ActualResult]:[ActualResult]], "REG") + SUMIFS(Table2[[AwayWon]:[AwayWon]], Table2[[GameIsOver]:[GameIsOver]],1,Table2[[HomeTeam]:[HomeTeam]],$T24, Table2[[AwayTeam]:[AwayTeam]], AB$21, Table2[[ActualResult]:[ActualResult]], "REG"))) + (1*(SUMIFS(Table2[[HomeWon_]:[HomeWon_]], Table2[[GameIsOver]:[GameIsOver]],1,Table2[[AwayTeam]:[AwayTeam]],$T24, Table2[[HomeTeam]:[HomeTeam]], AB$21, Table2[[ActualResult]:[ActualResult]], "OT") + SUMIFS(Table2[[AwayWon]:[AwayWon]], Table2[[GameIsOver]:[GameIsOver]],1,Table2[[HomeTeam]:[HomeTeam]],$T24, Table2[[AwayTeam]:[AwayTeam]], AB$21, Table2[[ActualResult]:[ActualResult]], "OT") + SUMIFS(Table2[[HomeWon_]:[HomeWon_]], Table2[[GameIsOver]:[GameIsOver]],1,Table2[[AwayTeam]:[AwayTeam]],$T24, Table2[[HomeTeam]:[HomeTeam]], AB$21, Table2[[ActualResult]:[ActualResult]], "SO") + SUMIFS(Table2[[AwayWon]:[AwayWon]], Table2[[GameIsOver]:[GameIsOver]],1,Table2[[HomeTeam]:[HomeTeam]],$T24, Table2[[AwayTeam]:[AwayTeam]], AB$21, Table2[[ActualResult]:[ActualResult]], "SO")))</f>
        <v>0</v>
      </c>
      <c r="AC24">
        <f>(2*(SUMIFS(Table2[[AwayWon]:[AwayWon]], Table2[[GameIsOver]:[GameIsOver]],1,Table2[[AwayTeam]:[AwayTeam]],$T24, Table2[[HomeTeam]:[HomeTeam]], AC$21) + SUMIFS(Table2[[HomeWon_]:[HomeWon_]], Table2[[GameIsOver]:[GameIsOver]],1,Table2[[HomeTeam]:[HomeTeam]],$T24, Table2[[AwayTeam]:[AwayTeam]], AC$21))) + (0*(SUMIFS(Table2[[HomeWon_]:[HomeWon_]], Table2[[GameIsOver]:[GameIsOver]],1,Table2[[AwayTeam]:[AwayTeam]],$T24, Table2[[HomeTeam]:[HomeTeam]], AC$21, Table2[[ActualResult]:[ActualResult]], "REG") + SUMIFS(Table2[[AwayWon]:[AwayWon]], Table2[[GameIsOver]:[GameIsOver]],1,Table2[[HomeTeam]:[HomeTeam]],$T24, Table2[[AwayTeam]:[AwayTeam]], AC$21, Table2[[ActualResult]:[ActualResult]], "REG"))) + (1*(SUMIFS(Table2[[HomeWon_]:[HomeWon_]], Table2[[GameIsOver]:[GameIsOver]],1,Table2[[AwayTeam]:[AwayTeam]],$T24, Table2[[HomeTeam]:[HomeTeam]], AC$21, Table2[[ActualResult]:[ActualResult]], "OT") + SUMIFS(Table2[[AwayWon]:[AwayWon]], Table2[[GameIsOver]:[GameIsOver]],1,Table2[[HomeTeam]:[HomeTeam]],$T24, Table2[[AwayTeam]:[AwayTeam]], AC$21, Table2[[ActualResult]:[ActualResult]], "OT") + SUMIFS(Table2[[HomeWon_]:[HomeWon_]], Table2[[GameIsOver]:[GameIsOver]],1,Table2[[AwayTeam]:[AwayTeam]],$T24, Table2[[HomeTeam]:[HomeTeam]], AC$21, Table2[[ActualResult]:[ActualResult]], "SO") + SUMIFS(Table2[[AwayWon]:[AwayWon]], Table2[[GameIsOver]:[GameIsOver]],1,Table2[[HomeTeam]:[HomeTeam]],$T24, Table2[[AwayTeam]:[AwayTeam]], AC$21, Table2[[ActualResult]:[ActualResult]], "SO")))</f>
        <v>0</v>
      </c>
      <c r="AD24">
        <f>(2*(SUMIFS(Table2[[AwayWon]:[AwayWon]], Table2[[GameIsOver]:[GameIsOver]],1,Table2[[AwayTeam]:[AwayTeam]],$T24, Table2[[HomeTeam]:[HomeTeam]], AD$21) + SUMIFS(Table2[[HomeWon_]:[HomeWon_]], Table2[[GameIsOver]:[GameIsOver]],1,Table2[[HomeTeam]:[HomeTeam]],$T24, Table2[[AwayTeam]:[AwayTeam]], AD$21))) + (0*(SUMIFS(Table2[[HomeWon_]:[HomeWon_]], Table2[[GameIsOver]:[GameIsOver]],1,Table2[[AwayTeam]:[AwayTeam]],$T24, Table2[[HomeTeam]:[HomeTeam]], AD$21, Table2[[ActualResult]:[ActualResult]], "REG") + SUMIFS(Table2[[AwayWon]:[AwayWon]], Table2[[GameIsOver]:[GameIsOver]],1,Table2[[HomeTeam]:[HomeTeam]],$T24, Table2[[AwayTeam]:[AwayTeam]], AD$21, Table2[[ActualResult]:[ActualResult]], "REG"))) + (1*(SUMIFS(Table2[[HomeWon_]:[HomeWon_]], Table2[[GameIsOver]:[GameIsOver]],1,Table2[[AwayTeam]:[AwayTeam]],$T24, Table2[[HomeTeam]:[HomeTeam]], AD$21, Table2[[ActualResult]:[ActualResult]], "OT") + SUMIFS(Table2[[AwayWon]:[AwayWon]], Table2[[GameIsOver]:[GameIsOver]],1,Table2[[HomeTeam]:[HomeTeam]],$T24, Table2[[AwayTeam]:[AwayTeam]], AD$21, Table2[[ActualResult]:[ActualResult]], "OT") + SUMIFS(Table2[[HomeWon_]:[HomeWon_]], Table2[[GameIsOver]:[GameIsOver]],1,Table2[[AwayTeam]:[AwayTeam]],$T24, Table2[[HomeTeam]:[HomeTeam]], AD$21, Table2[[ActualResult]:[ActualResult]], "SO") + SUMIFS(Table2[[AwayWon]:[AwayWon]], Table2[[GameIsOver]:[GameIsOver]],1,Table2[[HomeTeam]:[HomeTeam]],$T24, Table2[[AwayTeam]:[AwayTeam]], AD$21, Table2[[ActualResult]:[ActualResult]], "SO")))</f>
        <v>0</v>
      </c>
      <c r="AE24">
        <f>(2*(SUMIFS(Table2[[AwayWon]:[AwayWon]], Table2[[GameIsOver]:[GameIsOver]],1,Table2[[AwayTeam]:[AwayTeam]],$T24, Table2[[HomeTeam]:[HomeTeam]], AE$21) + SUMIFS(Table2[[HomeWon_]:[HomeWon_]], Table2[[GameIsOver]:[GameIsOver]],1,Table2[[HomeTeam]:[HomeTeam]],$T24, Table2[[AwayTeam]:[AwayTeam]], AE$21))) + (0*(SUMIFS(Table2[[HomeWon_]:[HomeWon_]], Table2[[GameIsOver]:[GameIsOver]],1,Table2[[AwayTeam]:[AwayTeam]],$T24, Table2[[HomeTeam]:[HomeTeam]], AE$21, Table2[[ActualResult]:[ActualResult]], "REG") + SUMIFS(Table2[[AwayWon]:[AwayWon]], Table2[[GameIsOver]:[GameIsOver]],1,Table2[[HomeTeam]:[HomeTeam]],$T24, Table2[[AwayTeam]:[AwayTeam]], AE$21, Table2[[ActualResult]:[ActualResult]], "REG"))) + (1*(SUMIFS(Table2[[HomeWon_]:[HomeWon_]], Table2[[GameIsOver]:[GameIsOver]],1,Table2[[AwayTeam]:[AwayTeam]],$T24, Table2[[HomeTeam]:[HomeTeam]], AE$21, Table2[[ActualResult]:[ActualResult]], "OT") + SUMIFS(Table2[[AwayWon]:[AwayWon]], Table2[[GameIsOver]:[GameIsOver]],1,Table2[[HomeTeam]:[HomeTeam]],$T24, Table2[[AwayTeam]:[AwayTeam]], AE$21, Table2[[ActualResult]:[ActualResult]], "OT") + SUMIFS(Table2[[HomeWon_]:[HomeWon_]], Table2[[GameIsOver]:[GameIsOver]],1,Table2[[AwayTeam]:[AwayTeam]],$T24, Table2[[HomeTeam]:[HomeTeam]], AE$21, Table2[[ActualResult]:[ActualResult]], "SO") + SUMIFS(Table2[[AwayWon]:[AwayWon]], Table2[[GameIsOver]:[GameIsOver]],1,Table2[[HomeTeam]:[HomeTeam]],$T24, Table2[[AwayTeam]:[AwayTeam]], AE$21, Table2[[ActualResult]:[ActualResult]], "SO")))</f>
        <v>0</v>
      </c>
      <c r="AF24">
        <f>(2*(SUMIFS(Table2[[AwayWon]:[AwayWon]], Table2[[GameIsOver]:[GameIsOver]],1,Table2[[AwayTeam]:[AwayTeam]],$T24, Table2[[HomeTeam]:[HomeTeam]], AF$21) + SUMIFS(Table2[[HomeWon_]:[HomeWon_]], Table2[[GameIsOver]:[GameIsOver]],1,Table2[[HomeTeam]:[HomeTeam]],$T24, Table2[[AwayTeam]:[AwayTeam]], AF$21))) + (0*(SUMIFS(Table2[[HomeWon_]:[HomeWon_]], Table2[[GameIsOver]:[GameIsOver]],1,Table2[[AwayTeam]:[AwayTeam]],$T24, Table2[[HomeTeam]:[HomeTeam]], AF$21, Table2[[ActualResult]:[ActualResult]], "REG") + SUMIFS(Table2[[AwayWon]:[AwayWon]], Table2[[GameIsOver]:[GameIsOver]],1,Table2[[HomeTeam]:[HomeTeam]],$T24, Table2[[AwayTeam]:[AwayTeam]], AF$21, Table2[[ActualResult]:[ActualResult]], "REG"))) + (1*(SUMIFS(Table2[[HomeWon_]:[HomeWon_]], Table2[[GameIsOver]:[GameIsOver]],1,Table2[[AwayTeam]:[AwayTeam]],$T24, Table2[[HomeTeam]:[HomeTeam]], AF$21, Table2[[ActualResult]:[ActualResult]], "OT") + SUMIFS(Table2[[AwayWon]:[AwayWon]], Table2[[GameIsOver]:[GameIsOver]],1,Table2[[HomeTeam]:[HomeTeam]],$T24, Table2[[AwayTeam]:[AwayTeam]], AF$21, Table2[[ActualResult]:[ActualResult]], "OT") + SUMIFS(Table2[[HomeWon_]:[HomeWon_]], Table2[[GameIsOver]:[GameIsOver]],1,Table2[[AwayTeam]:[AwayTeam]],$T24, Table2[[HomeTeam]:[HomeTeam]], AF$21, Table2[[ActualResult]:[ActualResult]], "SO") + SUMIFS(Table2[[AwayWon]:[AwayWon]], Table2[[GameIsOver]:[GameIsOver]],1,Table2[[HomeTeam]:[HomeTeam]],$T24, Table2[[AwayTeam]:[AwayTeam]], AF$21, Table2[[ActualResult]:[ActualResult]], "SO")))</f>
        <v>0</v>
      </c>
      <c r="AG24">
        <f>(2*(SUMIFS(Table2[[AwayWon]:[AwayWon]], Table2[[GameIsOver]:[GameIsOver]],1,Table2[[AwayTeam]:[AwayTeam]],$T24, Table2[[HomeTeam]:[HomeTeam]], AG$21) + SUMIFS(Table2[[HomeWon_]:[HomeWon_]], Table2[[GameIsOver]:[GameIsOver]],1,Table2[[HomeTeam]:[HomeTeam]],$T24, Table2[[AwayTeam]:[AwayTeam]], AG$21))) + (0*(SUMIFS(Table2[[HomeWon_]:[HomeWon_]], Table2[[GameIsOver]:[GameIsOver]],1,Table2[[AwayTeam]:[AwayTeam]],$T24, Table2[[HomeTeam]:[HomeTeam]], AG$21, Table2[[ActualResult]:[ActualResult]], "REG") + SUMIFS(Table2[[AwayWon]:[AwayWon]], Table2[[GameIsOver]:[GameIsOver]],1,Table2[[HomeTeam]:[HomeTeam]],$T24, Table2[[AwayTeam]:[AwayTeam]], AG$21, Table2[[ActualResult]:[ActualResult]], "REG"))) + (1*(SUMIFS(Table2[[HomeWon_]:[HomeWon_]], Table2[[GameIsOver]:[GameIsOver]],1,Table2[[AwayTeam]:[AwayTeam]],$T24, Table2[[HomeTeam]:[HomeTeam]], AG$21, Table2[[ActualResult]:[ActualResult]], "OT") + SUMIFS(Table2[[AwayWon]:[AwayWon]], Table2[[GameIsOver]:[GameIsOver]],1,Table2[[HomeTeam]:[HomeTeam]],$T24, Table2[[AwayTeam]:[AwayTeam]], AG$21, Table2[[ActualResult]:[ActualResult]], "OT") + SUMIFS(Table2[[HomeWon_]:[HomeWon_]], Table2[[GameIsOver]:[GameIsOver]],1,Table2[[AwayTeam]:[AwayTeam]],$T24, Table2[[HomeTeam]:[HomeTeam]], AG$21, Table2[[ActualResult]:[ActualResult]], "SO") + SUMIFS(Table2[[AwayWon]:[AwayWon]], Table2[[GameIsOver]:[GameIsOver]],1,Table2[[HomeTeam]:[HomeTeam]],$T24, Table2[[AwayTeam]:[AwayTeam]], AG$21, Table2[[ActualResult]:[ActualResult]], "SO")))</f>
        <v>0</v>
      </c>
      <c r="AH24">
        <f>(2*(SUMIFS(Table2[[AwayWon]:[AwayWon]], Table2[[GameIsOver]:[GameIsOver]],1,Table2[[AwayTeam]:[AwayTeam]],$T24, Table2[[HomeTeam]:[HomeTeam]], AH$21) + SUMIFS(Table2[[HomeWon_]:[HomeWon_]], Table2[[GameIsOver]:[GameIsOver]],1,Table2[[HomeTeam]:[HomeTeam]],$T24, Table2[[AwayTeam]:[AwayTeam]], AH$21))) + (0*(SUMIFS(Table2[[HomeWon_]:[HomeWon_]], Table2[[GameIsOver]:[GameIsOver]],1,Table2[[AwayTeam]:[AwayTeam]],$T24, Table2[[HomeTeam]:[HomeTeam]], AH$21, Table2[[ActualResult]:[ActualResult]], "REG") + SUMIFS(Table2[[AwayWon]:[AwayWon]], Table2[[GameIsOver]:[GameIsOver]],1,Table2[[HomeTeam]:[HomeTeam]],$T24, Table2[[AwayTeam]:[AwayTeam]], AH$21, Table2[[ActualResult]:[ActualResult]], "REG"))) + (1*(SUMIFS(Table2[[HomeWon_]:[HomeWon_]], Table2[[GameIsOver]:[GameIsOver]],1,Table2[[AwayTeam]:[AwayTeam]],$T24, Table2[[HomeTeam]:[HomeTeam]], AH$21, Table2[[ActualResult]:[ActualResult]], "OT") + SUMIFS(Table2[[AwayWon]:[AwayWon]], Table2[[GameIsOver]:[GameIsOver]],1,Table2[[HomeTeam]:[HomeTeam]],$T24, Table2[[AwayTeam]:[AwayTeam]], AH$21, Table2[[ActualResult]:[ActualResult]], "OT") + SUMIFS(Table2[[HomeWon_]:[HomeWon_]], Table2[[GameIsOver]:[GameIsOver]],1,Table2[[AwayTeam]:[AwayTeam]],$T24, Table2[[HomeTeam]:[HomeTeam]], AH$21, Table2[[ActualResult]:[ActualResult]], "SO") + SUMIFS(Table2[[AwayWon]:[AwayWon]], Table2[[GameIsOver]:[GameIsOver]],1,Table2[[HomeTeam]:[HomeTeam]],$T24, Table2[[AwayTeam]:[AwayTeam]], AH$21, Table2[[ActualResult]:[ActualResult]], "SO")))</f>
        <v>0</v>
      </c>
      <c r="AI24">
        <f>(2*(SUMIFS(Table2[[AwayWon]:[AwayWon]], Table2[[GameIsOver]:[GameIsOver]],1,Table2[[AwayTeam]:[AwayTeam]],$T24, Table2[[HomeTeam]:[HomeTeam]], AI$21) + SUMIFS(Table2[[HomeWon_]:[HomeWon_]], Table2[[GameIsOver]:[GameIsOver]],1,Table2[[HomeTeam]:[HomeTeam]],$T24, Table2[[AwayTeam]:[AwayTeam]], AI$21))) + (0*(SUMIFS(Table2[[HomeWon_]:[HomeWon_]], Table2[[GameIsOver]:[GameIsOver]],1,Table2[[AwayTeam]:[AwayTeam]],$T24, Table2[[HomeTeam]:[HomeTeam]], AI$21, Table2[[ActualResult]:[ActualResult]], "REG") + SUMIFS(Table2[[AwayWon]:[AwayWon]], Table2[[GameIsOver]:[GameIsOver]],1,Table2[[HomeTeam]:[HomeTeam]],$T24, Table2[[AwayTeam]:[AwayTeam]], AI$21, Table2[[ActualResult]:[ActualResult]], "REG"))) + (1*(SUMIFS(Table2[[HomeWon_]:[HomeWon_]], Table2[[GameIsOver]:[GameIsOver]],1,Table2[[AwayTeam]:[AwayTeam]],$T24, Table2[[HomeTeam]:[HomeTeam]], AI$21, Table2[[ActualResult]:[ActualResult]], "OT") + SUMIFS(Table2[[AwayWon]:[AwayWon]], Table2[[GameIsOver]:[GameIsOver]],1,Table2[[HomeTeam]:[HomeTeam]],$T24, Table2[[AwayTeam]:[AwayTeam]], AI$21, Table2[[ActualResult]:[ActualResult]], "OT") + SUMIFS(Table2[[HomeWon_]:[HomeWon_]], Table2[[GameIsOver]:[GameIsOver]],1,Table2[[AwayTeam]:[AwayTeam]],$T24, Table2[[HomeTeam]:[HomeTeam]], AI$21, Table2[[ActualResult]:[ActualResult]], "SO") + SUMIFS(Table2[[AwayWon]:[AwayWon]], Table2[[GameIsOver]:[GameIsOver]],1,Table2[[HomeTeam]:[HomeTeam]],$T24, Table2[[AwayTeam]:[AwayTeam]], AI$21, Table2[[ActualResult]:[ActualResult]], "SO")))</f>
        <v>0</v>
      </c>
      <c r="AJ24">
        <f>(2*(SUMIFS(Table2[[AwayWon]:[AwayWon]], Table2[[GameIsOver]:[GameIsOver]],1,Table2[[AwayTeam]:[AwayTeam]],$T24, Table2[[HomeTeam]:[HomeTeam]], AJ$21) + SUMIFS(Table2[[HomeWon_]:[HomeWon_]], Table2[[GameIsOver]:[GameIsOver]],1,Table2[[HomeTeam]:[HomeTeam]],$T24, Table2[[AwayTeam]:[AwayTeam]], AJ$21))) + (0*(SUMIFS(Table2[[HomeWon_]:[HomeWon_]], Table2[[GameIsOver]:[GameIsOver]],1,Table2[[AwayTeam]:[AwayTeam]],$T24, Table2[[HomeTeam]:[HomeTeam]], AJ$21, Table2[[ActualResult]:[ActualResult]], "REG") + SUMIFS(Table2[[AwayWon]:[AwayWon]], Table2[[GameIsOver]:[GameIsOver]],1,Table2[[HomeTeam]:[HomeTeam]],$T24, Table2[[AwayTeam]:[AwayTeam]], AJ$21, Table2[[ActualResult]:[ActualResult]], "REG"))) + (1*(SUMIFS(Table2[[HomeWon_]:[HomeWon_]], Table2[[GameIsOver]:[GameIsOver]],1,Table2[[AwayTeam]:[AwayTeam]],$T24, Table2[[HomeTeam]:[HomeTeam]], AJ$21, Table2[[ActualResult]:[ActualResult]], "OT") + SUMIFS(Table2[[AwayWon]:[AwayWon]], Table2[[GameIsOver]:[GameIsOver]],1,Table2[[HomeTeam]:[HomeTeam]],$T24, Table2[[AwayTeam]:[AwayTeam]], AJ$21, Table2[[ActualResult]:[ActualResult]], "OT") + SUMIFS(Table2[[HomeWon_]:[HomeWon_]], Table2[[GameIsOver]:[GameIsOver]],1,Table2[[AwayTeam]:[AwayTeam]],$T24, Table2[[HomeTeam]:[HomeTeam]], AJ$21, Table2[[ActualResult]:[ActualResult]], "SO") + SUMIFS(Table2[[AwayWon]:[AwayWon]], Table2[[GameIsOver]:[GameIsOver]],1,Table2[[HomeTeam]:[HomeTeam]],$T24, Table2[[AwayTeam]:[AwayTeam]], AJ$21, Table2[[ActualResult]:[ActualResult]], "SO")))</f>
        <v>0</v>
      </c>
      <c r="AK24">
        <f>(2*(SUMIFS(Table2[[AwayWon]:[AwayWon]], Table2[[GameIsOver]:[GameIsOver]],1,Table2[[AwayTeam]:[AwayTeam]],$T24, Table2[[HomeTeam]:[HomeTeam]], AK$21) + SUMIFS(Table2[[HomeWon_]:[HomeWon_]], Table2[[GameIsOver]:[GameIsOver]],1,Table2[[HomeTeam]:[HomeTeam]],$T24, Table2[[AwayTeam]:[AwayTeam]], AK$21))) + (0*(SUMIFS(Table2[[HomeWon_]:[HomeWon_]], Table2[[GameIsOver]:[GameIsOver]],1,Table2[[AwayTeam]:[AwayTeam]],$T24, Table2[[HomeTeam]:[HomeTeam]], AK$21, Table2[[ActualResult]:[ActualResult]], "REG") + SUMIFS(Table2[[AwayWon]:[AwayWon]], Table2[[GameIsOver]:[GameIsOver]],1,Table2[[HomeTeam]:[HomeTeam]],$T24, Table2[[AwayTeam]:[AwayTeam]], AK$21, Table2[[ActualResult]:[ActualResult]], "REG"))) + (1*(SUMIFS(Table2[[HomeWon_]:[HomeWon_]], Table2[[GameIsOver]:[GameIsOver]],1,Table2[[AwayTeam]:[AwayTeam]],$T24, Table2[[HomeTeam]:[HomeTeam]], AK$21, Table2[[ActualResult]:[ActualResult]], "OT") + SUMIFS(Table2[[AwayWon]:[AwayWon]], Table2[[GameIsOver]:[GameIsOver]],1,Table2[[HomeTeam]:[HomeTeam]],$T24, Table2[[AwayTeam]:[AwayTeam]], AK$21, Table2[[ActualResult]:[ActualResult]], "OT") + SUMIFS(Table2[[HomeWon_]:[HomeWon_]], Table2[[GameIsOver]:[GameIsOver]],1,Table2[[AwayTeam]:[AwayTeam]],$T24, Table2[[HomeTeam]:[HomeTeam]], AK$21, Table2[[ActualResult]:[ActualResult]], "SO") + SUMIFS(Table2[[AwayWon]:[AwayWon]], Table2[[GameIsOver]:[GameIsOver]],1,Table2[[HomeTeam]:[HomeTeam]],$T24, Table2[[AwayTeam]:[AwayTeam]], AK$21, Table2[[ActualResult]:[ActualResult]], "SO")))</f>
        <v>0</v>
      </c>
      <c r="AL24">
        <f>(2*(SUMIFS(Table2[[AwayWon]:[AwayWon]], Table2[[GameIsOver]:[GameIsOver]],1,Table2[[AwayTeam]:[AwayTeam]],$T24, Table2[[HomeTeam]:[HomeTeam]], AL$21) + SUMIFS(Table2[[HomeWon_]:[HomeWon_]], Table2[[GameIsOver]:[GameIsOver]],1,Table2[[HomeTeam]:[HomeTeam]],$T24, Table2[[AwayTeam]:[AwayTeam]], AL$21))) + (0*(SUMIFS(Table2[[HomeWon_]:[HomeWon_]], Table2[[GameIsOver]:[GameIsOver]],1,Table2[[AwayTeam]:[AwayTeam]],$T24, Table2[[HomeTeam]:[HomeTeam]], AL$21, Table2[[ActualResult]:[ActualResult]], "REG") + SUMIFS(Table2[[AwayWon]:[AwayWon]], Table2[[GameIsOver]:[GameIsOver]],1,Table2[[HomeTeam]:[HomeTeam]],$T24, Table2[[AwayTeam]:[AwayTeam]], AL$21, Table2[[ActualResult]:[ActualResult]], "REG"))) + (1*(SUMIFS(Table2[[HomeWon_]:[HomeWon_]], Table2[[GameIsOver]:[GameIsOver]],1,Table2[[AwayTeam]:[AwayTeam]],$T24, Table2[[HomeTeam]:[HomeTeam]], AL$21, Table2[[ActualResult]:[ActualResult]], "OT") + SUMIFS(Table2[[AwayWon]:[AwayWon]], Table2[[GameIsOver]:[GameIsOver]],1,Table2[[HomeTeam]:[HomeTeam]],$T24, Table2[[AwayTeam]:[AwayTeam]], AL$21, Table2[[ActualResult]:[ActualResult]], "OT") + SUMIFS(Table2[[HomeWon_]:[HomeWon_]], Table2[[GameIsOver]:[GameIsOver]],1,Table2[[AwayTeam]:[AwayTeam]],$T24, Table2[[HomeTeam]:[HomeTeam]], AL$21, Table2[[ActualResult]:[ActualResult]], "SO") + SUMIFS(Table2[[AwayWon]:[AwayWon]], Table2[[GameIsOver]:[GameIsOver]],1,Table2[[HomeTeam]:[HomeTeam]],$T24, Table2[[AwayTeam]:[AwayTeam]], AL$21, Table2[[ActualResult]:[ActualResult]], "SO")))</f>
        <v>0</v>
      </c>
      <c r="AM24">
        <f>(2*(SUMIFS(Table2[[AwayWon]:[AwayWon]], Table2[[GameIsOver]:[GameIsOver]],1,Table2[[AwayTeam]:[AwayTeam]],$T24, Table2[[HomeTeam]:[HomeTeam]], AM$21) + SUMIFS(Table2[[HomeWon_]:[HomeWon_]], Table2[[GameIsOver]:[GameIsOver]],1,Table2[[HomeTeam]:[HomeTeam]],$T24, Table2[[AwayTeam]:[AwayTeam]], AM$21))) + (0*(SUMIFS(Table2[[HomeWon_]:[HomeWon_]], Table2[[GameIsOver]:[GameIsOver]],1,Table2[[AwayTeam]:[AwayTeam]],$T24, Table2[[HomeTeam]:[HomeTeam]], AM$21, Table2[[ActualResult]:[ActualResult]], "REG") + SUMIFS(Table2[[AwayWon]:[AwayWon]], Table2[[GameIsOver]:[GameIsOver]],1,Table2[[HomeTeam]:[HomeTeam]],$T24, Table2[[AwayTeam]:[AwayTeam]], AM$21, Table2[[ActualResult]:[ActualResult]], "REG"))) + (1*(SUMIFS(Table2[[HomeWon_]:[HomeWon_]], Table2[[GameIsOver]:[GameIsOver]],1,Table2[[AwayTeam]:[AwayTeam]],$T24, Table2[[HomeTeam]:[HomeTeam]], AM$21, Table2[[ActualResult]:[ActualResult]], "OT") + SUMIFS(Table2[[AwayWon]:[AwayWon]], Table2[[GameIsOver]:[GameIsOver]],1,Table2[[HomeTeam]:[HomeTeam]],$T24, Table2[[AwayTeam]:[AwayTeam]], AM$21, Table2[[ActualResult]:[ActualResult]], "OT") + SUMIFS(Table2[[HomeWon_]:[HomeWon_]], Table2[[GameIsOver]:[GameIsOver]],1,Table2[[AwayTeam]:[AwayTeam]],$T24, Table2[[HomeTeam]:[HomeTeam]], AM$21, Table2[[ActualResult]:[ActualResult]], "SO") + SUMIFS(Table2[[AwayWon]:[AwayWon]], Table2[[GameIsOver]:[GameIsOver]],1,Table2[[HomeTeam]:[HomeTeam]],$T24, Table2[[AwayTeam]:[AwayTeam]], AM$21, Table2[[ActualResult]:[ActualResult]], "SO")))</f>
        <v>2</v>
      </c>
      <c r="AN24">
        <f>(2*(SUMIFS(Table2[[AwayWon]:[AwayWon]], Table2[[GameIsOver]:[GameIsOver]],1,Table2[[AwayTeam]:[AwayTeam]],$T24, Table2[[HomeTeam]:[HomeTeam]], AN$21) + SUMIFS(Table2[[HomeWon_]:[HomeWon_]], Table2[[GameIsOver]:[GameIsOver]],1,Table2[[HomeTeam]:[HomeTeam]],$T24, Table2[[AwayTeam]:[AwayTeam]], AN$21))) + (0*(SUMIFS(Table2[[HomeWon_]:[HomeWon_]], Table2[[GameIsOver]:[GameIsOver]],1,Table2[[AwayTeam]:[AwayTeam]],$T24, Table2[[HomeTeam]:[HomeTeam]], AN$21, Table2[[ActualResult]:[ActualResult]], "REG") + SUMIFS(Table2[[AwayWon]:[AwayWon]], Table2[[GameIsOver]:[GameIsOver]],1,Table2[[HomeTeam]:[HomeTeam]],$T24, Table2[[AwayTeam]:[AwayTeam]], AN$21, Table2[[ActualResult]:[ActualResult]], "REG"))) + (1*(SUMIFS(Table2[[HomeWon_]:[HomeWon_]], Table2[[GameIsOver]:[GameIsOver]],1,Table2[[AwayTeam]:[AwayTeam]],$T24, Table2[[HomeTeam]:[HomeTeam]], AN$21, Table2[[ActualResult]:[ActualResult]], "OT") + SUMIFS(Table2[[AwayWon]:[AwayWon]], Table2[[GameIsOver]:[GameIsOver]],1,Table2[[HomeTeam]:[HomeTeam]],$T24, Table2[[AwayTeam]:[AwayTeam]], AN$21, Table2[[ActualResult]:[ActualResult]], "OT") + SUMIFS(Table2[[HomeWon_]:[HomeWon_]], Table2[[GameIsOver]:[GameIsOver]],1,Table2[[AwayTeam]:[AwayTeam]],$T24, Table2[[HomeTeam]:[HomeTeam]], AN$21, Table2[[ActualResult]:[ActualResult]], "SO") + SUMIFS(Table2[[AwayWon]:[AwayWon]], Table2[[GameIsOver]:[GameIsOver]],1,Table2[[HomeTeam]:[HomeTeam]],$T24, Table2[[AwayTeam]:[AwayTeam]], AN$21, Table2[[ActualResult]:[ActualResult]], "SO")))</f>
        <v>0</v>
      </c>
      <c r="AO24">
        <f>(2*(SUMIFS(Table2[[AwayWon]:[AwayWon]], Table2[[GameIsOver]:[GameIsOver]],1,Table2[[AwayTeam]:[AwayTeam]],$T24, Table2[[HomeTeam]:[HomeTeam]], AO$21) + SUMIFS(Table2[[HomeWon_]:[HomeWon_]], Table2[[GameIsOver]:[GameIsOver]],1,Table2[[HomeTeam]:[HomeTeam]],$T24, Table2[[AwayTeam]:[AwayTeam]], AO$21))) + (0*(SUMIFS(Table2[[HomeWon_]:[HomeWon_]], Table2[[GameIsOver]:[GameIsOver]],1,Table2[[AwayTeam]:[AwayTeam]],$T24, Table2[[HomeTeam]:[HomeTeam]], AO$21, Table2[[ActualResult]:[ActualResult]], "REG") + SUMIFS(Table2[[AwayWon]:[AwayWon]], Table2[[GameIsOver]:[GameIsOver]],1,Table2[[HomeTeam]:[HomeTeam]],$T24, Table2[[AwayTeam]:[AwayTeam]], AO$21, Table2[[ActualResult]:[ActualResult]], "REG"))) + (1*(SUMIFS(Table2[[HomeWon_]:[HomeWon_]], Table2[[GameIsOver]:[GameIsOver]],1,Table2[[AwayTeam]:[AwayTeam]],$T24, Table2[[HomeTeam]:[HomeTeam]], AO$21, Table2[[ActualResult]:[ActualResult]], "OT") + SUMIFS(Table2[[AwayWon]:[AwayWon]], Table2[[GameIsOver]:[GameIsOver]],1,Table2[[HomeTeam]:[HomeTeam]],$T24, Table2[[AwayTeam]:[AwayTeam]], AO$21, Table2[[ActualResult]:[ActualResult]], "OT") + SUMIFS(Table2[[HomeWon_]:[HomeWon_]], Table2[[GameIsOver]:[GameIsOver]],1,Table2[[AwayTeam]:[AwayTeam]],$T24, Table2[[HomeTeam]:[HomeTeam]], AO$21, Table2[[ActualResult]:[ActualResult]], "SO") + SUMIFS(Table2[[AwayWon]:[AwayWon]], Table2[[GameIsOver]:[GameIsOver]],1,Table2[[HomeTeam]:[HomeTeam]],$T24, Table2[[AwayTeam]:[AwayTeam]], AO$21, Table2[[ActualResult]:[ActualResult]], "SO")))</f>
        <v>0</v>
      </c>
      <c r="AP24">
        <f>(2*(SUMIFS(Table2[[AwayWon]:[AwayWon]], Table2[[GameIsOver]:[GameIsOver]],1,Table2[[AwayTeam]:[AwayTeam]],$T24, Table2[[HomeTeam]:[HomeTeam]], AP$21) + SUMIFS(Table2[[HomeWon_]:[HomeWon_]], Table2[[GameIsOver]:[GameIsOver]],1,Table2[[HomeTeam]:[HomeTeam]],$T24, Table2[[AwayTeam]:[AwayTeam]], AP$21))) + (0*(SUMIFS(Table2[[HomeWon_]:[HomeWon_]], Table2[[GameIsOver]:[GameIsOver]],1,Table2[[AwayTeam]:[AwayTeam]],$T24, Table2[[HomeTeam]:[HomeTeam]], AP$21, Table2[[ActualResult]:[ActualResult]], "REG") + SUMIFS(Table2[[AwayWon]:[AwayWon]], Table2[[GameIsOver]:[GameIsOver]],1,Table2[[HomeTeam]:[HomeTeam]],$T24, Table2[[AwayTeam]:[AwayTeam]], AP$21, Table2[[ActualResult]:[ActualResult]], "REG"))) + (1*(SUMIFS(Table2[[HomeWon_]:[HomeWon_]], Table2[[GameIsOver]:[GameIsOver]],1,Table2[[AwayTeam]:[AwayTeam]],$T24, Table2[[HomeTeam]:[HomeTeam]], AP$21, Table2[[ActualResult]:[ActualResult]], "OT") + SUMIFS(Table2[[AwayWon]:[AwayWon]], Table2[[GameIsOver]:[GameIsOver]],1,Table2[[HomeTeam]:[HomeTeam]],$T24, Table2[[AwayTeam]:[AwayTeam]], AP$21, Table2[[ActualResult]:[ActualResult]], "OT") + SUMIFS(Table2[[HomeWon_]:[HomeWon_]], Table2[[GameIsOver]:[GameIsOver]],1,Table2[[AwayTeam]:[AwayTeam]],$T24, Table2[[HomeTeam]:[HomeTeam]], AP$21, Table2[[ActualResult]:[ActualResult]], "SO") + SUMIFS(Table2[[AwayWon]:[AwayWon]], Table2[[GameIsOver]:[GameIsOver]],1,Table2[[HomeTeam]:[HomeTeam]],$T24, Table2[[AwayTeam]:[AwayTeam]], AP$21, Table2[[ActualResult]:[ActualResult]], "SO")))</f>
        <v>0</v>
      </c>
      <c r="AQ24">
        <f>(2*(SUMIFS(Table2[[AwayWon]:[AwayWon]], Table2[[GameIsOver]:[GameIsOver]],1,Table2[[AwayTeam]:[AwayTeam]],$T24, Table2[[HomeTeam]:[HomeTeam]], AQ$21) + SUMIFS(Table2[[HomeWon_]:[HomeWon_]], Table2[[GameIsOver]:[GameIsOver]],1,Table2[[HomeTeam]:[HomeTeam]],$T24, Table2[[AwayTeam]:[AwayTeam]], AQ$21))) + (0*(SUMIFS(Table2[[HomeWon_]:[HomeWon_]], Table2[[GameIsOver]:[GameIsOver]],1,Table2[[AwayTeam]:[AwayTeam]],$T24, Table2[[HomeTeam]:[HomeTeam]], AQ$21, Table2[[ActualResult]:[ActualResult]], "REG") + SUMIFS(Table2[[AwayWon]:[AwayWon]], Table2[[GameIsOver]:[GameIsOver]],1,Table2[[HomeTeam]:[HomeTeam]],$T24, Table2[[AwayTeam]:[AwayTeam]], AQ$21, Table2[[ActualResult]:[ActualResult]], "REG"))) + (1*(SUMIFS(Table2[[HomeWon_]:[HomeWon_]], Table2[[GameIsOver]:[GameIsOver]],1,Table2[[AwayTeam]:[AwayTeam]],$T24, Table2[[HomeTeam]:[HomeTeam]], AQ$21, Table2[[ActualResult]:[ActualResult]], "OT") + SUMIFS(Table2[[AwayWon]:[AwayWon]], Table2[[GameIsOver]:[GameIsOver]],1,Table2[[HomeTeam]:[HomeTeam]],$T24, Table2[[AwayTeam]:[AwayTeam]], AQ$21, Table2[[ActualResult]:[ActualResult]], "OT") + SUMIFS(Table2[[HomeWon_]:[HomeWon_]], Table2[[GameIsOver]:[GameIsOver]],1,Table2[[AwayTeam]:[AwayTeam]],$T24, Table2[[HomeTeam]:[HomeTeam]], AQ$21, Table2[[ActualResult]:[ActualResult]], "SO") + SUMIFS(Table2[[AwayWon]:[AwayWon]], Table2[[GameIsOver]:[GameIsOver]],1,Table2[[HomeTeam]:[HomeTeam]],$T24, Table2[[AwayTeam]:[AwayTeam]], AQ$21, Table2[[ActualResult]:[ActualResult]], "SO")))</f>
        <v>0</v>
      </c>
      <c r="AR24">
        <f>(2*(SUMIFS(Table2[[AwayWon]:[AwayWon]], Table2[[GameIsOver]:[GameIsOver]],1,Table2[[AwayTeam]:[AwayTeam]],$T24, Table2[[HomeTeam]:[HomeTeam]], AR$21) + SUMIFS(Table2[[HomeWon_]:[HomeWon_]], Table2[[GameIsOver]:[GameIsOver]],1,Table2[[HomeTeam]:[HomeTeam]],$T24, Table2[[AwayTeam]:[AwayTeam]], AR$21))) + (0*(SUMIFS(Table2[[HomeWon_]:[HomeWon_]], Table2[[GameIsOver]:[GameIsOver]],1,Table2[[AwayTeam]:[AwayTeam]],$T24, Table2[[HomeTeam]:[HomeTeam]], AR$21, Table2[[ActualResult]:[ActualResult]], "REG") + SUMIFS(Table2[[AwayWon]:[AwayWon]], Table2[[GameIsOver]:[GameIsOver]],1,Table2[[HomeTeam]:[HomeTeam]],$T24, Table2[[AwayTeam]:[AwayTeam]], AR$21, Table2[[ActualResult]:[ActualResult]], "REG"))) + (1*(SUMIFS(Table2[[HomeWon_]:[HomeWon_]], Table2[[GameIsOver]:[GameIsOver]],1,Table2[[AwayTeam]:[AwayTeam]],$T24, Table2[[HomeTeam]:[HomeTeam]], AR$21, Table2[[ActualResult]:[ActualResult]], "OT") + SUMIFS(Table2[[AwayWon]:[AwayWon]], Table2[[GameIsOver]:[GameIsOver]],1,Table2[[HomeTeam]:[HomeTeam]],$T24, Table2[[AwayTeam]:[AwayTeam]], AR$21, Table2[[ActualResult]:[ActualResult]], "OT") + SUMIFS(Table2[[HomeWon_]:[HomeWon_]], Table2[[GameIsOver]:[GameIsOver]],1,Table2[[AwayTeam]:[AwayTeam]],$T24, Table2[[HomeTeam]:[HomeTeam]], AR$21, Table2[[ActualResult]:[ActualResult]], "SO") + SUMIFS(Table2[[AwayWon]:[AwayWon]], Table2[[GameIsOver]:[GameIsOver]],1,Table2[[HomeTeam]:[HomeTeam]],$T24, Table2[[AwayTeam]:[AwayTeam]], AR$21, Table2[[ActualResult]:[ActualResult]], "SO")))</f>
        <v>0</v>
      </c>
      <c r="AS24">
        <f>(2*(SUMIFS(Table2[[AwayWon]:[AwayWon]], Table2[[GameIsOver]:[GameIsOver]],1,Table2[[AwayTeam]:[AwayTeam]],$T24, Table2[[HomeTeam]:[HomeTeam]], AS$21) + SUMIFS(Table2[[HomeWon_]:[HomeWon_]], Table2[[GameIsOver]:[GameIsOver]],1,Table2[[HomeTeam]:[HomeTeam]],$T24, Table2[[AwayTeam]:[AwayTeam]], AS$21))) + (0*(SUMIFS(Table2[[HomeWon_]:[HomeWon_]], Table2[[GameIsOver]:[GameIsOver]],1,Table2[[AwayTeam]:[AwayTeam]],$T24, Table2[[HomeTeam]:[HomeTeam]], AS$21, Table2[[ActualResult]:[ActualResult]], "REG") + SUMIFS(Table2[[AwayWon]:[AwayWon]], Table2[[GameIsOver]:[GameIsOver]],1,Table2[[HomeTeam]:[HomeTeam]],$T24, Table2[[AwayTeam]:[AwayTeam]], AS$21, Table2[[ActualResult]:[ActualResult]], "REG"))) + (1*(SUMIFS(Table2[[HomeWon_]:[HomeWon_]], Table2[[GameIsOver]:[GameIsOver]],1,Table2[[AwayTeam]:[AwayTeam]],$T24, Table2[[HomeTeam]:[HomeTeam]], AS$21, Table2[[ActualResult]:[ActualResult]], "OT") + SUMIFS(Table2[[AwayWon]:[AwayWon]], Table2[[GameIsOver]:[GameIsOver]],1,Table2[[HomeTeam]:[HomeTeam]],$T24, Table2[[AwayTeam]:[AwayTeam]], AS$21, Table2[[ActualResult]:[ActualResult]], "OT") + SUMIFS(Table2[[HomeWon_]:[HomeWon_]], Table2[[GameIsOver]:[GameIsOver]],1,Table2[[AwayTeam]:[AwayTeam]],$T24, Table2[[HomeTeam]:[HomeTeam]], AS$21, Table2[[ActualResult]:[ActualResult]], "SO") + SUMIFS(Table2[[AwayWon]:[AwayWon]], Table2[[GameIsOver]:[GameIsOver]],1,Table2[[HomeTeam]:[HomeTeam]],$T24, Table2[[AwayTeam]:[AwayTeam]], AS$21, Table2[[ActualResult]:[ActualResult]], "SO")))</f>
        <v>0</v>
      </c>
      <c r="AT24">
        <f>(2*(SUMIFS(Table2[[AwayWon]:[AwayWon]], Table2[[GameIsOver]:[GameIsOver]],1,Table2[[AwayTeam]:[AwayTeam]],$T24, Table2[[HomeTeam]:[HomeTeam]], AT$21) + SUMIFS(Table2[[HomeWon_]:[HomeWon_]], Table2[[GameIsOver]:[GameIsOver]],1,Table2[[HomeTeam]:[HomeTeam]],$T24, Table2[[AwayTeam]:[AwayTeam]], AT$21))) + (0*(SUMIFS(Table2[[HomeWon_]:[HomeWon_]], Table2[[GameIsOver]:[GameIsOver]],1,Table2[[AwayTeam]:[AwayTeam]],$T24, Table2[[HomeTeam]:[HomeTeam]], AT$21, Table2[[ActualResult]:[ActualResult]], "REG") + SUMIFS(Table2[[AwayWon]:[AwayWon]], Table2[[GameIsOver]:[GameIsOver]],1,Table2[[HomeTeam]:[HomeTeam]],$T24, Table2[[AwayTeam]:[AwayTeam]], AT$21, Table2[[ActualResult]:[ActualResult]], "REG"))) + (1*(SUMIFS(Table2[[HomeWon_]:[HomeWon_]], Table2[[GameIsOver]:[GameIsOver]],1,Table2[[AwayTeam]:[AwayTeam]],$T24, Table2[[HomeTeam]:[HomeTeam]], AT$21, Table2[[ActualResult]:[ActualResult]], "OT") + SUMIFS(Table2[[AwayWon]:[AwayWon]], Table2[[GameIsOver]:[GameIsOver]],1,Table2[[HomeTeam]:[HomeTeam]],$T24, Table2[[AwayTeam]:[AwayTeam]], AT$21, Table2[[ActualResult]:[ActualResult]], "OT") + SUMIFS(Table2[[HomeWon_]:[HomeWon_]], Table2[[GameIsOver]:[GameIsOver]],1,Table2[[AwayTeam]:[AwayTeam]],$T24, Table2[[HomeTeam]:[HomeTeam]], AT$21, Table2[[ActualResult]:[ActualResult]], "SO") + SUMIFS(Table2[[AwayWon]:[AwayWon]], Table2[[GameIsOver]:[GameIsOver]],1,Table2[[HomeTeam]:[HomeTeam]],$T24, Table2[[AwayTeam]:[AwayTeam]], AT$21, Table2[[ActualResult]:[ActualResult]], "SO")))</f>
        <v>0</v>
      </c>
      <c r="AU24">
        <f>(2*(SUMIFS(Table2[[AwayWon]:[AwayWon]], Table2[[GameIsOver]:[GameIsOver]],1,Table2[[AwayTeam]:[AwayTeam]],$T24, Table2[[HomeTeam]:[HomeTeam]], AU$21) + SUMIFS(Table2[[HomeWon_]:[HomeWon_]], Table2[[GameIsOver]:[GameIsOver]],1,Table2[[HomeTeam]:[HomeTeam]],$T24, Table2[[AwayTeam]:[AwayTeam]], AU$21))) + (0*(SUMIFS(Table2[[HomeWon_]:[HomeWon_]], Table2[[GameIsOver]:[GameIsOver]],1,Table2[[AwayTeam]:[AwayTeam]],$T24, Table2[[HomeTeam]:[HomeTeam]], AU$21, Table2[[ActualResult]:[ActualResult]], "REG") + SUMIFS(Table2[[AwayWon]:[AwayWon]], Table2[[GameIsOver]:[GameIsOver]],1,Table2[[HomeTeam]:[HomeTeam]],$T24, Table2[[AwayTeam]:[AwayTeam]], AU$21, Table2[[ActualResult]:[ActualResult]], "REG"))) + (1*(SUMIFS(Table2[[HomeWon_]:[HomeWon_]], Table2[[GameIsOver]:[GameIsOver]],1,Table2[[AwayTeam]:[AwayTeam]],$T24, Table2[[HomeTeam]:[HomeTeam]], AU$21, Table2[[ActualResult]:[ActualResult]], "OT") + SUMIFS(Table2[[AwayWon]:[AwayWon]], Table2[[GameIsOver]:[GameIsOver]],1,Table2[[HomeTeam]:[HomeTeam]],$T24, Table2[[AwayTeam]:[AwayTeam]], AU$21, Table2[[ActualResult]:[ActualResult]], "OT") + SUMIFS(Table2[[HomeWon_]:[HomeWon_]], Table2[[GameIsOver]:[GameIsOver]],1,Table2[[AwayTeam]:[AwayTeam]],$T24, Table2[[HomeTeam]:[HomeTeam]], AU$21, Table2[[ActualResult]:[ActualResult]], "SO") + SUMIFS(Table2[[AwayWon]:[AwayWon]], Table2[[GameIsOver]:[GameIsOver]],1,Table2[[HomeTeam]:[HomeTeam]],$T24, Table2[[AwayTeam]:[AwayTeam]], AU$21, Table2[[ActualResult]:[ActualResult]], "SO")))</f>
        <v>0</v>
      </c>
      <c r="AV24">
        <f>(2*(SUMIFS(Table2[[AwayWon]:[AwayWon]], Table2[[GameIsOver]:[GameIsOver]],1,Table2[[AwayTeam]:[AwayTeam]],$T24, Table2[[HomeTeam]:[HomeTeam]], AV$21) + SUMIFS(Table2[[HomeWon_]:[HomeWon_]], Table2[[GameIsOver]:[GameIsOver]],1,Table2[[HomeTeam]:[HomeTeam]],$T24, Table2[[AwayTeam]:[AwayTeam]], AV$21))) + (0*(SUMIFS(Table2[[HomeWon_]:[HomeWon_]], Table2[[GameIsOver]:[GameIsOver]],1,Table2[[AwayTeam]:[AwayTeam]],$T24, Table2[[HomeTeam]:[HomeTeam]], AV$21, Table2[[ActualResult]:[ActualResult]], "REG") + SUMIFS(Table2[[AwayWon]:[AwayWon]], Table2[[GameIsOver]:[GameIsOver]],1,Table2[[HomeTeam]:[HomeTeam]],$T24, Table2[[AwayTeam]:[AwayTeam]], AV$21, Table2[[ActualResult]:[ActualResult]], "REG"))) + (1*(SUMIFS(Table2[[HomeWon_]:[HomeWon_]], Table2[[GameIsOver]:[GameIsOver]],1,Table2[[AwayTeam]:[AwayTeam]],$T24, Table2[[HomeTeam]:[HomeTeam]], AV$21, Table2[[ActualResult]:[ActualResult]], "OT") + SUMIFS(Table2[[AwayWon]:[AwayWon]], Table2[[GameIsOver]:[GameIsOver]],1,Table2[[HomeTeam]:[HomeTeam]],$T24, Table2[[AwayTeam]:[AwayTeam]], AV$21, Table2[[ActualResult]:[ActualResult]], "OT") + SUMIFS(Table2[[HomeWon_]:[HomeWon_]], Table2[[GameIsOver]:[GameIsOver]],1,Table2[[AwayTeam]:[AwayTeam]],$T24, Table2[[HomeTeam]:[HomeTeam]], AV$21, Table2[[ActualResult]:[ActualResult]], "SO") + SUMIFS(Table2[[AwayWon]:[AwayWon]], Table2[[GameIsOver]:[GameIsOver]],1,Table2[[HomeTeam]:[HomeTeam]],$T24, Table2[[AwayTeam]:[AwayTeam]], AV$21, Table2[[ActualResult]:[ActualResult]], "SO")))</f>
        <v>0</v>
      </c>
      <c r="AW24">
        <f>(2*(SUMIFS(Table2[[AwayWon]:[AwayWon]], Table2[[GameIsOver]:[GameIsOver]],1,Table2[[AwayTeam]:[AwayTeam]],$T24, Table2[[HomeTeam]:[HomeTeam]], AW$21) + SUMIFS(Table2[[HomeWon_]:[HomeWon_]], Table2[[GameIsOver]:[GameIsOver]],1,Table2[[HomeTeam]:[HomeTeam]],$T24, Table2[[AwayTeam]:[AwayTeam]], AW$21))) + (0*(SUMIFS(Table2[[HomeWon_]:[HomeWon_]], Table2[[GameIsOver]:[GameIsOver]],1,Table2[[AwayTeam]:[AwayTeam]],$T24, Table2[[HomeTeam]:[HomeTeam]], AW$21, Table2[[ActualResult]:[ActualResult]], "REG") + SUMIFS(Table2[[AwayWon]:[AwayWon]], Table2[[GameIsOver]:[GameIsOver]],1,Table2[[HomeTeam]:[HomeTeam]],$T24, Table2[[AwayTeam]:[AwayTeam]], AW$21, Table2[[ActualResult]:[ActualResult]], "REG"))) + (1*(SUMIFS(Table2[[HomeWon_]:[HomeWon_]], Table2[[GameIsOver]:[GameIsOver]],1,Table2[[AwayTeam]:[AwayTeam]],$T24, Table2[[HomeTeam]:[HomeTeam]], AW$21, Table2[[ActualResult]:[ActualResult]], "OT") + SUMIFS(Table2[[AwayWon]:[AwayWon]], Table2[[GameIsOver]:[GameIsOver]],1,Table2[[HomeTeam]:[HomeTeam]],$T24, Table2[[AwayTeam]:[AwayTeam]], AW$21, Table2[[ActualResult]:[ActualResult]], "OT") + SUMIFS(Table2[[HomeWon_]:[HomeWon_]], Table2[[GameIsOver]:[GameIsOver]],1,Table2[[AwayTeam]:[AwayTeam]],$T24, Table2[[HomeTeam]:[HomeTeam]], AW$21, Table2[[ActualResult]:[ActualResult]], "SO") + SUMIFS(Table2[[AwayWon]:[AwayWon]], Table2[[GameIsOver]:[GameIsOver]],1,Table2[[HomeTeam]:[HomeTeam]],$T24, Table2[[AwayTeam]:[AwayTeam]], AW$21, Table2[[ActualResult]:[ActualResult]], "SO")))</f>
        <v>2</v>
      </c>
      <c r="AX24">
        <f>(2*(SUMIFS(Table2[[AwayWon]:[AwayWon]], Table2[[GameIsOver]:[GameIsOver]],1,Table2[[AwayTeam]:[AwayTeam]],$T24, Table2[[HomeTeam]:[HomeTeam]], AX$21) + SUMIFS(Table2[[HomeWon_]:[HomeWon_]], Table2[[GameIsOver]:[GameIsOver]],1,Table2[[HomeTeam]:[HomeTeam]],$T24, Table2[[AwayTeam]:[AwayTeam]], AX$21))) + (0*(SUMIFS(Table2[[HomeWon_]:[HomeWon_]], Table2[[GameIsOver]:[GameIsOver]],1,Table2[[AwayTeam]:[AwayTeam]],$T24, Table2[[HomeTeam]:[HomeTeam]], AX$21, Table2[[ActualResult]:[ActualResult]], "REG") + SUMIFS(Table2[[AwayWon]:[AwayWon]], Table2[[GameIsOver]:[GameIsOver]],1,Table2[[HomeTeam]:[HomeTeam]],$T24, Table2[[AwayTeam]:[AwayTeam]], AX$21, Table2[[ActualResult]:[ActualResult]], "REG"))) + (1*(SUMIFS(Table2[[HomeWon_]:[HomeWon_]], Table2[[GameIsOver]:[GameIsOver]],1,Table2[[AwayTeam]:[AwayTeam]],$T24, Table2[[HomeTeam]:[HomeTeam]], AX$21, Table2[[ActualResult]:[ActualResult]], "OT") + SUMIFS(Table2[[AwayWon]:[AwayWon]], Table2[[GameIsOver]:[GameIsOver]],1,Table2[[HomeTeam]:[HomeTeam]],$T24, Table2[[AwayTeam]:[AwayTeam]], AX$21, Table2[[ActualResult]:[ActualResult]], "OT") + SUMIFS(Table2[[HomeWon_]:[HomeWon_]], Table2[[GameIsOver]:[GameIsOver]],1,Table2[[AwayTeam]:[AwayTeam]],$T24, Table2[[HomeTeam]:[HomeTeam]], AX$21, Table2[[ActualResult]:[ActualResult]], "SO") + SUMIFS(Table2[[AwayWon]:[AwayWon]], Table2[[GameIsOver]:[GameIsOver]],1,Table2[[HomeTeam]:[HomeTeam]],$T24, Table2[[AwayTeam]:[AwayTeam]], AX$21, Table2[[ActualResult]:[ActualResult]], "SO")))</f>
        <v>0</v>
      </c>
      <c r="AY24">
        <f>(2*(SUMIFS(Table2[[AwayWon]:[AwayWon]], Table2[[GameIsOver]:[GameIsOver]],1,Table2[[AwayTeam]:[AwayTeam]],$T24, Table2[[HomeTeam]:[HomeTeam]], AY$21) + SUMIFS(Table2[[HomeWon_]:[HomeWon_]], Table2[[GameIsOver]:[GameIsOver]],1,Table2[[HomeTeam]:[HomeTeam]],$T24, Table2[[AwayTeam]:[AwayTeam]], AY$21))) + (0*(SUMIFS(Table2[[HomeWon_]:[HomeWon_]], Table2[[GameIsOver]:[GameIsOver]],1,Table2[[AwayTeam]:[AwayTeam]],$T24, Table2[[HomeTeam]:[HomeTeam]], AY$21, Table2[[ActualResult]:[ActualResult]], "REG") + SUMIFS(Table2[[AwayWon]:[AwayWon]], Table2[[GameIsOver]:[GameIsOver]],1,Table2[[HomeTeam]:[HomeTeam]],$T24, Table2[[AwayTeam]:[AwayTeam]], AY$21, Table2[[ActualResult]:[ActualResult]], "REG"))) + (1*(SUMIFS(Table2[[HomeWon_]:[HomeWon_]], Table2[[GameIsOver]:[GameIsOver]],1,Table2[[AwayTeam]:[AwayTeam]],$T24, Table2[[HomeTeam]:[HomeTeam]], AY$21, Table2[[ActualResult]:[ActualResult]], "OT") + SUMIFS(Table2[[AwayWon]:[AwayWon]], Table2[[GameIsOver]:[GameIsOver]],1,Table2[[HomeTeam]:[HomeTeam]],$T24, Table2[[AwayTeam]:[AwayTeam]], AY$21, Table2[[ActualResult]:[ActualResult]], "OT") + SUMIFS(Table2[[HomeWon_]:[HomeWon_]], Table2[[GameIsOver]:[GameIsOver]],1,Table2[[AwayTeam]:[AwayTeam]],$T24, Table2[[HomeTeam]:[HomeTeam]], AY$21, Table2[[ActualResult]:[ActualResult]], "SO") + SUMIFS(Table2[[AwayWon]:[AwayWon]], Table2[[GameIsOver]:[GameIsOver]],1,Table2[[HomeTeam]:[HomeTeam]],$T24, Table2[[AwayTeam]:[AwayTeam]], AY$21, Table2[[ActualResult]:[ActualResult]], "SO")))</f>
        <v>0</v>
      </c>
      <c r="AZ24">
        <f>(2*(SUMIFS(Table2[[AwayWon]:[AwayWon]], Table2[[GameIsOver]:[GameIsOver]],1,Table2[[AwayTeam]:[AwayTeam]],$T24, Table2[[HomeTeam]:[HomeTeam]], AZ$21) + SUMIFS(Table2[[HomeWon_]:[HomeWon_]], Table2[[GameIsOver]:[GameIsOver]],1,Table2[[HomeTeam]:[HomeTeam]],$T24, Table2[[AwayTeam]:[AwayTeam]], AZ$21))) + (0*(SUMIFS(Table2[[HomeWon_]:[HomeWon_]], Table2[[GameIsOver]:[GameIsOver]],1,Table2[[AwayTeam]:[AwayTeam]],$T24, Table2[[HomeTeam]:[HomeTeam]], AZ$21, Table2[[ActualResult]:[ActualResult]], "REG") + SUMIFS(Table2[[AwayWon]:[AwayWon]], Table2[[GameIsOver]:[GameIsOver]],1,Table2[[HomeTeam]:[HomeTeam]],$T24, Table2[[AwayTeam]:[AwayTeam]], AZ$21, Table2[[ActualResult]:[ActualResult]], "REG"))) + (1*(SUMIFS(Table2[[HomeWon_]:[HomeWon_]], Table2[[GameIsOver]:[GameIsOver]],1,Table2[[AwayTeam]:[AwayTeam]],$T24, Table2[[HomeTeam]:[HomeTeam]], AZ$21, Table2[[ActualResult]:[ActualResult]], "OT") + SUMIFS(Table2[[AwayWon]:[AwayWon]], Table2[[GameIsOver]:[GameIsOver]],1,Table2[[HomeTeam]:[HomeTeam]],$T24, Table2[[AwayTeam]:[AwayTeam]], AZ$21, Table2[[ActualResult]:[ActualResult]], "OT") + SUMIFS(Table2[[HomeWon_]:[HomeWon_]], Table2[[GameIsOver]:[GameIsOver]],1,Table2[[AwayTeam]:[AwayTeam]],$T24, Table2[[HomeTeam]:[HomeTeam]], AZ$21, Table2[[ActualResult]:[ActualResult]], "SO") + SUMIFS(Table2[[AwayWon]:[AwayWon]], Table2[[GameIsOver]:[GameIsOver]],1,Table2[[HomeTeam]:[HomeTeam]],$T24, Table2[[AwayTeam]:[AwayTeam]], AZ$21, Table2[[ActualResult]:[ActualResult]], "SO")))</f>
        <v>2</v>
      </c>
      <c r="BA24">
        <f>(2*(SUMIFS(Table2[[AwayWon]:[AwayWon]], Table2[[GameIsOver]:[GameIsOver]],1,Table2[[AwayTeam]:[AwayTeam]],$T24, Table2[[HomeTeam]:[HomeTeam]], BA$21) + SUMIFS(Table2[[HomeWon_]:[HomeWon_]], Table2[[GameIsOver]:[GameIsOver]],1,Table2[[HomeTeam]:[HomeTeam]],$T24, Table2[[AwayTeam]:[AwayTeam]], BA$21))) + (0*(SUMIFS(Table2[[HomeWon_]:[HomeWon_]], Table2[[GameIsOver]:[GameIsOver]],1,Table2[[AwayTeam]:[AwayTeam]],$T24, Table2[[HomeTeam]:[HomeTeam]], BA$21, Table2[[ActualResult]:[ActualResult]], "REG") + SUMIFS(Table2[[AwayWon]:[AwayWon]], Table2[[GameIsOver]:[GameIsOver]],1,Table2[[HomeTeam]:[HomeTeam]],$T24, Table2[[AwayTeam]:[AwayTeam]], BA$21, Table2[[ActualResult]:[ActualResult]], "REG"))) + (1*(SUMIFS(Table2[[HomeWon_]:[HomeWon_]], Table2[[GameIsOver]:[GameIsOver]],1,Table2[[AwayTeam]:[AwayTeam]],$T24, Table2[[HomeTeam]:[HomeTeam]], BA$21, Table2[[ActualResult]:[ActualResult]], "OT") + SUMIFS(Table2[[AwayWon]:[AwayWon]], Table2[[GameIsOver]:[GameIsOver]],1,Table2[[HomeTeam]:[HomeTeam]],$T24, Table2[[AwayTeam]:[AwayTeam]], BA$21, Table2[[ActualResult]:[ActualResult]], "OT") + SUMIFS(Table2[[HomeWon_]:[HomeWon_]], Table2[[GameIsOver]:[GameIsOver]],1,Table2[[AwayTeam]:[AwayTeam]],$T24, Table2[[HomeTeam]:[HomeTeam]], BA$21, Table2[[ActualResult]:[ActualResult]], "SO") + SUMIFS(Table2[[AwayWon]:[AwayWon]], Table2[[GameIsOver]:[GameIsOver]],1,Table2[[HomeTeam]:[HomeTeam]],$T24, Table2[[AwayTeam]:[AwayTeam]], BA$21, Table2[[ActualResult]:[ActualResult]], "SO")))</f>
        <v>2</v>
      </c>
    </row>
    <row r="25" spans="1:53" x14ac:dyDescent="0.25">
      <c r="A25" s="62" t="s">
        <v>37</v>
      </c>
      <c r="B25" s="62" t="s">
        <v>90</v>
      </c>
      <c r="C25" s="62" t="s">
        <v>93</v>
      </c>
      <c r="D25" s="62">
        <f>INDEX(Table3[PTS], MATCH(Table6[[#This Row],[Teams]], Table3[Teams],0))</f>
        <v>2</v>
      </c>
      <c r="E25" s="62">
        <f>INDEX(Table3[PTS], MATCH(Table6[[#This Row],[Teams]], Table3[Teams],0))</f>
        <v>2</v>
      </c>
      <c r="S25">
        <v>5</v>
      </c>
      <c r="T25" t="str" cm="1">
        <f t="array" ref="T25">INDEX(Table6[Teams], SMALL(IF(Table6[D]="M", ROW(Table6[Teams])-ROW(Table6[#Headers])), Table712[[#This Row],[MET]]))</f>
        <v>NYR</v>
      </c>
      <c r="U25">
        <f>INDEX(Table6[PTS], MATCH($T25, Table6[Teams], 0))</f>
        <v>7</v>
      </c>
      <c r="V25">
        <f>(2*(SUMIFS(Table2[[AwayWon]:[AwayWon]], Table2[[GameIsOver]:[GameIsOver]],1,Table2[[AwayTeam]:[AwayTeam]],$T25, Table2[[HomeTeam]:[HomeTeam]], V$21) + SUMIFS(Table2[[HomeWon_]:[HomeWon_]], Table2[[GameIsOver]:[GameIsOver]],1,Table2[[HomeTeam]:[HomeTeam]],$T25, Table2[[AwayTeam]:[AwayTeam]], V$21))) + (0*(SUMIFS(Table2[[HomeWon_]:[HomeWon_]], Table2[[GameIsOver]:[GameIsOver]],1,Table2[[AwayTeam]:[AwayTeam]],$T25, Table2[[HomeTeam]:[HomeTeam]], V$21, Table2[[ActualResult]:[ActualResult]], "REG") + SUMIFS(Table2[[AwayWon]:[AwayWon]], Table2[[GameIsOver]:[GameIsOver]],1,Table2[[HomeTeam]:[HomeTeam]],$T25, Table2[[AwayTeam]:[AwayTeam]], V$21, Table2[[ActualResult]:[ActualResult]], "REG"))) + (1*(SUMIFS(Table2[[HomeWon_]:[HomeWon_]], Table2[[GameIsOver]:[GameIsOver]],1,Table2[[AwayTeam]:[AwayTeam]],$T25, Table2[[HomeTeam]:[HomeTeam]], V$21, Table2[[ActualResult]:[ActualResult]], "OT") + SUMIFS(Table2[[AwayWon]:[AwayWon]], Table2[[GameIsOver]:[GameIsOver]],1,Table2[[HomeTeam]:[HomeTeam]],$T25, Table2[[AwayTeam]:[AwayTeam]], V$21, Table2[[ActualResult]:[ActualResult]], "OT") + SUMIFS(Table2[[HomeWon_]:[HomeWon_]], Table2[[GameIsOver]:[GameIsOver]],1,Table2[[AwayTeam]:[AwayTeam]],$T25, Table2[[HomeTeam]:[HomeTeam]], V$21, Table2[[ActualResult]:[ActualResult]], "SO") + SUMIFS(Table2[[AwayWon]:[AwayWon]], Table2[[GameIsOver]:[GameIsOver]],1,Table2[[HomeTeam]:[HomeTeam]],$T25, Table2[[AwayTeam]:[AwayTeam]], V$21, Table2[[ActualResult]:[ActualResult]], "SO")))</f>
        <v>0</v>
      </c>
      <c r="W25">
        <f>(2*(SUMIFS(Table2[[AwayWon]:[AwayWon]], Table2[[GameIsOver]:[GameIsOver]],1,Table2[[AwayTeam]:[AwayTeam]],$T25, Table2[[HomeTeam]:[HomeTeam]], W$21) + SUMIFS(Table2[[HomeWon_]:[HomeWon_]], Table2[[GameIsOver]:[GameIsOver]],1,Table2[[HomeTeam]:[HomeTeam]],$T25, Table2[[AwayTeam]:[AwayTeam]], W$21))) + (0*(SUMIFS(Table2[[HomeWon_]:[HomeWon_]], Table2[[GameIsOver]:[GameIsOver]],1,Table2[[AwayTeam]:[AwayTeam]],$T25, Table2[[HomeTeam]:[HomeTeam]], W$21, Table2[[ActualResult]:[ActualResult]], "REG") + SUMIFS(Table2[[AwayWon]:[AwayWon]], Table2[[GameIsOver]:[GameIsOver]],1,Table2[[HomeTeam]:[HomeTeam]],$T25, Table2[[AwayTeam]:[AwayTeam]], W$21, Table2[[ActualResult]:[ActualResult]], "REG"))) + (1*(SUMIFS(Table2[[HomeWon_]:[HomeWon_]], Table2[[GameIsOver]:[GameIsOver]],1,Table2[[AwayTeam]:[AwayTeam]],$T25, Table2[[HomeTeam]:[HomeTeam]], W$21, Table2[[ActualResult]:[ActualResult]], "OT") + SUMIFS(Table2[[AwayWon]:[AwayWon]], Table2[[GameIsOver]:[GameIsOver]],1,Table2[[HomeTeam]:[HomeTeam]],$T25, Table2[[AwayTeam]:[AwayTeam]], W$21, Table2[[ActualResult]:[ActualResult]], "OT") + SUMIFS(Table2[[HomeWon_]:[HomeWon_]], Table2[[GameIsOver]:[GameIsOver]],1,Table2[[AwayTeam]:[AwayTeam]],$T25, Table2[[HomeTeam]:[HomeTeam]], W$21, Table2[[ActualResult]:[ActualResult]], "SO") + SUMIFS(Table2[[AwayWon]:[AwayWon]], Table2[[GameIsOver]:[GameIsOver]],1,Table2[[HomeTeam]:[HomeTeam]],$T25, Table2[[AwayTeam]:[AwayTeam]], W$21, Table2[[ActualResult]:[ActualResult]], "SO")))</f>
        <v>0</v>
      </c>
      <c r="X25">
        <f>(2*(SUMIFS(Table2[[AwayWon]:[AwayWon]], Table2[[GameIsOver]:[GameIsOver]],1,Table2[[AwayTeam]:[AwayTeam]],$T25, Table2[[HomeTeam]:[HomeTeam]], X$21) + SUMIFS(Table2[[HomeWon_]:[HomeWon_]], Table2[[GameIsOver]:[GameIsOver]],1,Table2[[HomeTeam]:[HomeTeam]],$T25, Table2[[AwayTeam]:[AwayTeam]], X$21))) + (0*(SUMIFS(Table2[[HomeWon_]:[HomeWon_]], Table2[[GameIsOver]:[GameIsOver]],1,Table2[[AwayTeam]:[AwayTeam]],$T25, Table2[[HomeTeam]:[HomeTeam]], X$21, Table2[[ActualResult]:[ActualResult]], "REG") + SUMIFS(Table2[[AwayWon]:[AwayWon]], Table2[[GameIsOver]:[GameIsOver]],1,Table2[[HomeTeam]:[HomeTeam]],$T25, Table2[[AwayTeam]:[AwayTeam]], X$21, Table2[[ActualResult]:[ActualResult]], "REG"))) + (1*(SUMIFS(Table2[[HomeWon_]:[HomeWon_]], Table2[[GameIsOver]:[GameIsOver]],1,Table2[[AwayTeam]:[AwayTeam]],$T25, Table2[[HomeTeam]:[HomeTeam]], X$21, Table2[[ActualResult]:[ActualResult]], "OT") + SUMIFS(Table2[[AwayWon]:[AwayWon]], Table2[[GameIsOver]:[GameIsOver]],1,Table2[[HomeTeam]:[HomeTeam]],$T25, Table2[[AwayTeam]:[AwayTeam]], X$21, Table2[[ActualResult]:[ActualResult]], "OT") + SUMIFS(Table2[[HomeWon_]:[HomeWon_]], Table2[[GameIsOver]:[GameIsOver]],1,Table2[[AwayTeam]:[AwayTeam]],$T25, Table2[[HomeTeam]:[HomeTeam]], X$21, Table2[[ActualResult]:[ActualResult]], "SO") + SUMIFS(Table2[[AwayWon]:[AwayWon]], Table2[[GameIsOver]:[GameIsOver]],1,Table2[[HomeTeam]:[HomeTeam]],$T25, Table2[[AwayTeam]:[AwayTeam]], X$21, Table2[[ActualResult]:[ActualResult]], "SO")))</f>
        <v>0</v>
      </c>
      <c r="Y25">
        <f>(2*(SUMIFS(Table2[[AwayWon]:[AwayWon]], Table2[[GameIsOver]:[GameIsOver]],1,Table2[[AwayTeam]:[AwayTeam]],$T25, Table2[[HomeTeam]:[HomeTeam]], Y$21) + SUMIFS(Table2[[HomeWon_]:[HomeWon_]], Table2[[GameIsOver]:[GameIsOver]],1,Table2[[HomeTeam]:[HomeTeam]],$T25, Table2[[AwayTeam]:[AwayTeam]], Y$21))) + (0*(SUMIFS(Table2[[HomeWon_]:[HomeWon_]], Table2[[GameIsOver]:[GameIsOver]],1,Table2[[AwayTeam]:[AwayTeam]],$T25, Table2[[HomeTeam]:[HomeTeam]], Y$21, Table2[[ActualResult]:[ActualResult]], "REG") + SUMIFS(Table2[[AwayWon]:[AwayWon]], Table2[[GameIsOver]:[GameIsOver]],1,Table2[[HomeTeam]:[HomeTeam]],$T25, Table2[[AwayTeam]:[AwayTeam]], Y$21, Table2[[ActualResult]:[ActualResult]], "REG"))) + (1*(SUMIFS(Table2[[HomeWon_]:[HomeWon_]], Table2[[GameIsOver]:[GameIsOver]],1,Table2[[AwayTeam]:[AwayTeam]],$T25, Table2[[HomeTeam]:[HomeTeam]], Y$21, Table2[[ActualResult]:[ActualResult]], "OT") + SUMIFS(Table2[[AwayWon]:[AwayWon]], Table2[[GameIsOver]:[GameIsOver]],1,Table2[[HomeTeam]:[HomeTeam]],$T25, Table2[[AwayTeam]:[AwayTeam]], Y$21, Table2[[ActualResult]:[ActualResult]], "OT") + SUMIFS(Table2[[HomeWon_]:[HomeWon_]], Table2[[GameIsOver]:[GameIsOver]],1,Table2[[AwayTeam]:[AwayTeam]],$T25, Table2[[HomeTeam]:[HomeTeam]], Y$21, Table2[[ActualResult]:[ActualResult]], "SO") + SUMIFS(Table2[[AwayWon]:[AwayWon]], Table2[[GameIsOver]:[GameIsOver]],1,Table2[[HomeTeam]:[HomeTeam]],$T25, Table2[[AwayTeam]:[AwayTeam]], Y$21, Table2[[ActualResult]:[ActualResult]], "SO")))</f>
        <v>0</v>
      </c>
      <c r="Z25">
        <f>(2*(SUMIFS(Table2[[AwayWon]:[AwayWon]], Table2[[GameIsOver]:[GameIsOver]],1,Table2[[AwayTeam]:[AwayTeam]],$T25, Table2[[HomeTeam]:[HomeTeam]], Z$21) + SUMIFS(Table2[[HomeWon_]:[HomeWon_]], Table2[[GameIsOver]:[GameIsOver]],1,Table2[[HomeTeam]:[HomeTeam]],$T25, Table2[[AwayTeam]:[AwayTeam]], Z$21))) + (0*(SUMIFS(Table2[[HomeWon_]:[HomeWon_]], Table2[[GameIsOver]:[GameIsOver]],1,Table2[[AwayTeam]:[AwayTeam]],$T25, Table2[[HomeTeam]:[HomeTeam]], Z$21, Table2[[ActualResult]:[ActualResult]], "REG") + SUMIFS(Table2[[AwayWon]:[AwayWon]], Table2[[GameIsOver]:[GameIsOver]],1,Table2[[HomeTeam]:[HomeTeam]],$T25, Table2[[AwayTeam]:[AwayTeam]], Z$21, Table2[[ActualResult]:[ActualResult]], "REG"))) + (1*(SUMIFS(Table2[[HomeWon_]:[HomeWon_]], Table2[[GameIsOver]:[GameIsOver]],1,Table2[[AwayTeam]:[AwayTeam]],$T25, Table2[[HomeTeam]:[HomeTeam]], Z$21, Table2[[ActualResult]:[ActualResult]], "OT") + SUMIFS(Table2[[AwayWon]:[AwayWon]], Table2[[GameIsOver]:[GameIsOver]],1,Table2[[HomeTeam]:[HomeTeam]],$T25, Table2[[AwayTeam]:[AwayTeam]], Z$21, Table2[[ActualResult]:[ActualResult]], "OT") + SUMIFS(Table2[[HomeWon_]:[HomeWon_]], Table2[[GameIsOver]:[GameIsOver]],1,Table2[[AwayTeam]:[AwayTeam]],$T25, Table2[[HomeTeam]:[HomeTeam]], Z$21, Table2[[ActualResult]:[ActualResult]], "SO") + SUMIFS(Table2[[AwayWon]:[AwayWon]], Table2[[GameIsOver]:[GameIsOver]],1,Table2[[HomeTeam]:[HomeTeam]],$T25, Table2[[AwayTeam]:[AwayTeam]], Z$21, Table2[[ActualResult]:[ActualResult]], "SO")))</f>
        <v>0</v>
      </c>
      <c r="AA25">
        <f>(2*(SUMIFS(Table2[[AwayWon]:[AwayWon]], Table2[[GameIsOver]:[GameIsOver]],1,Table2[[AwayTeam]:[AwayTeam]],$T25, Table2[[HomeTeam]:[HomeTeam]], AA$21) + SUMIFS(Table2[[HomeWon_]:[HomeWon_]], Table2[[GameIsOver]:[GameIsOver]],1,Table2[[HomeTeam]:[HomeTeam]],$T25, Table2[[AwayTeam]:[AwayTeam]], AA$21))) + (0*(SUMIFS(Table2[[HomeWon_]:[HomeWon_]], Table2[[GameIsOver]:[GameIsOver]],1,Table2[[AwayTeam]:[AwayTeam]],$T25, Table2[[HomeTeam]:[HomeTeam]], AA$21, Table2[[ActualResult]:[ActualResult]], "REG") + SUMIFS(Table2[[AwayWon]:[AwayWon]], Table2[[GameIsOver]:[GameIsOver]],1,Table2[[HomeTeam]:[HomeTeam]],$T25, Table2[[AwayTeam]:[AwayTeam]], AA$21, Table2[[ActualResult]:[ActualResult]], "REG"))) + (1*(SUMIFS(Table2[[HomeWon_]:[HomeWon_]], Table2[[GameIsOver]:[GameIsOver]],1,Table2[[AwayTeam]:[AwayTeam]],$T25, Table2[[HomeTeam]:[HomeTeam]], AA$21, Table2[[ActualResult]:[ActualResult]], "OT") + SUMIFS(Table2[[AwayWon]:[AwayWon]], Table2[[GameIsOver]:[GameIsOver]],1,Table2[[HomeTeam]:[HomeTeam]],$T25, Table2[[AwayTeam]:[AwayTeam]], AA$21, Table2[[ActualResult]:[ActualResult]], "OT") + SUMIFS(Table2[[HomeWon_]:[HomeWon_]], Table2[[GameIsOver]:[GameIsOver]],1,Table2[[AwayTeam]:[AwayTeam]],$T25, Table2[[HomeTeam]:[HomeTeam]], AA$21, Table2[[ActualResult]:[ActualResult]], "SO") + SUMIFS(Table2[[AwayWon]:[AwayWon]], Table2[[GameIsOver]:[GameIsOver]],1,Table2[[HomeTeam]:[HomeTeam]],$T25, Table2[[AwayTeam]:[AwayTeam]], AA$21, Table2[[ActualResult]:[ActualResult]], "SO")))</f>
        <v>0</v>
      </c>
      <c r="AB25">
        <f>(2*(SUMIFS(Table2[[AwayWon]:[AwayWon]], Table2[[GameIsOver]:[GameIsOver]],1,Table2[[AwayTeam]:[AwayTeam]],$T25, Table2[[HomeTeam]:[HomeTeam]], AB$21) + SUMIFS(Table2[[HomeWon_]:[HomeWon_]], Table2[[GameIsOver]:[GameIsOver]],1,Table2[[HomeTeam]:[HomeTeam]],$T25, Table2[[AwayTeam]:[AwayTeam]], AB$21))) + (0*(SUMIFS(Table2[[HomeWon_]:[HomeWon_]], Table2[[GameIsOver]:[GameIsOver]],1,Table2[[AwayTeam]:[AwayTeam]],$T25, Table2[[HomeTeam]:[HomeTeam]], AB$21, Table2[[ActualResult]:[ActualResult]], "REG") + SUMIFS(Table2[[AwayWon]:[AwayWon]], Table2[[GameIsOver]:[GameIsOver]],1,Table2[[HomeTeam]:[HomeTeam]],$T25, Table2[[AwayTeam]:[AwayTeam]], AB$21, Table2[[ActualResult]:[ActualResult]], "REG"))) + (1*(SUMIFS(Table2[[HomeWon_]:[HomeWon_]], Table2[[GameIsOver]:[GameIsOver]],1,Table2[[AwayTeam]:[AwayTeam]],$T25, Table2[[HomeTeam]:[HomeTeam]], AB$21, Table2[[ActualResult]:[ActualResult]], "OT") + SUMIFS(Table2[[AwayWon]:[AwayWon]], Table2[[GameIsOver]:[GameIsOver]],1,Table2[[HomeTeam]:[HomeTeam]],$T25, Table2[[AwayTeam]:[AwayTeam]], AB$21, Table2[[ActualResult]:[ActualResult]], "OT") + SUMIFS(Table2[[HomeWon_]:[HomeWon_]], Table2[[GameIsOver]:[GameIsOver]],1,Table2[[AwayTeam]:[AwayTeam]],$T25, Table2[[HomeTeam]:[HomeTeam]], AB$21, Table2[[ActualResult]:[ActualResult]], "SO") + SUMIFS(Table2[[AwayWon]:[AwayWon]], Table2[[GameIsOver]:[GameIsOver]],1,Table2[[HomeTeam]:[HomeTeam]],$T25, Table2[[AwayTeam]:[AwayTeam]], AB$21, Table2[[ActualResult]:[ActualResult]], "SO")))</f>
        <v>0</v>
      </c>
      <c r="AC25">
        <f>(2*(SUMIFS(Table2[[AwayWon]:[AwayWon]], Table2[[GameIsOver]:[GameIsOver]],1,Table2[[AwayTeam]:[AwayTeam]],$T25, Table2[[HomeTeam]:[HomeTeam]], AC$21) + SUMIFS(Table2[[HomeWon_]:[HomeWon_]], Table2[[GameIsOver]:[GameIsOver]],1,Table2[[HomeTeam]:[HomeTeam]],$T25, Table2[[AwayTeam]:[AwayTeam]], AC$21))) + (0*(SUMIFS(Table2[[HomeWon_]:[HomeWon_]], Table2[[GameIsOver]:[GameIsOver]],1,Table2[[AwayTeam]:[AwayTeam]],$T25, Table2[[HomeTeam]:[HomeTeam]], AC$21, Table2[[ActualResult]:[ActualResult]], "REG") + SUMIFS(Table2[[AwayWon]:[AwayWon]], Table2[[GameIsOver]:[GameIsOver]],1,Table2[[HomeTeam]:[HomeTeam]],$T25, Table2[[AwayTeam]:[AwayTeam]], AC$21, Table2[[ActualResult]:[ActualResult]], "REG"))) + (1*(SUMIFS(Table2[[HomeWon_]:[HomeWon_]], Table2[[GameIsOver]:[GameIsOver]],1,Table2[[AwayTeam]:[AwayTeam]],$T25, Table2[[HomeTeam]:[HomeTeam]], AC$21, Table2[[ActualResult]:[ActualResult]], "OT") + SUMIFS(Table2[[AwayWon]:[AwayWon]], Table2[[GameIsOver]:[GameIsOver]],1,Table2[[HomeTeam]:[HomeTeam]],$T25, Table2[[AwayTeam]:[AwayTeam]], AC$21, Table2[[ActualResult]:[ActualResult]], "OT") + SUMIFS(Table2[[HomeWon_]:[HomeWon_]], Table2[[GameIsOver]:[GameIsOver]],1,Table2[[AwayTeam]:[AwayTeam]],$T25, Table2[[HomeTeam]:[HomeTeam]], AC$21, Table2[[ActualResult]:[ActualResult]], "SO") + SUMIFS(Table2[[AwayWon]:[AwayWon]], Table2[[GameIsOver]:[GameIsOver]],1,Table2[[HomeTeam]:[HomeTeam]],$T25, Table2[[AwayTeam]:[AwayTeam]], AC$21, Table2[[ActualResult]:[ActualResult]], "SO")))</f>
        <v>0</v>
      </c>
      <c r="AD25">
        <f>(2*(SUMIFS(Table2[[AwayWon]:[AwayWon]], Table2[[GameIsOver]:[GameIsOver]],1,Table2[[AwayTeam]:[AwayTeam]],$T25, Table2[[HomeTeam]:[HomeTeam]], AD$21) + SUMIFS(Table2[[HomeWon_]:[HomeWon_]], Table2[[GameIsOver]:[GameIsOver]],1,Table2[[HomeTeam]:[HomeTeam]],$T25, Table2[[AwayTeam]:[AwayTeam]], AD$21))) + (0*(SUMIFS(Table2[[HomeWon_]:[HomeWon_]], Table2[[GameIsOver]:[GameIsOver]],1,Table2[[AwayTeam]:[AwayTeam]],$T25, Table2[[HomeTeam]:[HomeTeam]], AD$21, Table2[[ActualResult]:[ActualResult]], "REG") + SUMIFS(Table2[[AwayWon]:[AwayWon]], Table2[[GameIsOver]:[GameIsOver]],1,Table2[[HomeTeam]:[HomeTeam]],$T25, Table2[[AwayTeam]:[AwayTeam]], AD$21, Table2[[ActualResult]:[ActualResult]], "REG"))) + (1*(SUMIFS(Table2[[HomeWon_]:[HomeWon_]], Table2[[GameIsOver]:[GameIsOver]],1,Table2[[AwayTeam]:[AwayTeam]],$T25, Table2[[HomeTeam]:[HomeTeam]], AD$21, Table2[[ActualResult]:[ActualResult]], "OT") + SUMIFS(Table2[[AwayWon]:[AwayWon]], Table2[[GameIsOver]:[GameIsOver]],1,Table2[[HomeTeam]:[HomeTeam]],$T25, Table2[[AwayTeam]:[AwayTeam]], AD$21, Table2[[ActualResult]:[ActualResult]], "OT") + SUMIFS(Table2[[HomeWon_]:[HomeWon_]], Table2[[GameIsOver]:[GameIsOver]],1,Table2[[AwayTeam]:[AwayTeam]],$T25, Table2[[HomeTeam]:[HomeTeam]], AD$21, Table2[[ActualResult]:[ActualResult]], "SO") + SUMIFS(Table2[[AwayWon]:[AwayWon]], Table2[[GameIsOver]:[GameIsOver]],1,Table2[[HomeTeam]:[HomeTeam]],$T25, Table2[[AwayTeam]:[AwayTeam]], AD$21, Table2[[ActualResult]:[ActualResult]], "SO")))</f>
        <v>0</v>
      </c>
      <c r="AE25">
        <f>(2*(SUMIFS(Table2[[AwayWon]:[AwayWon]], Table2[[GameIsOver]:[GameIsOver]],1,Table2[[AwayTeam]:[AwayTeam]],$T25, Table2[[HomeTeam]:[HomeTeam]], AE$21) + SUMIFS(Table2[[HomeWon_]:[HomeWon_]], Table2[[GameIsOver]:[GameIsOver]],1,Table2[[HomeTeam]:[HomeTeam]],$T25, Table2[[AwayTeam]:[AwayTeam]], AE$21))) + (0*(SUMIFS(Table2[[HomeWon_]:[HomeWon_]], Table2[[GameIsOver]:[GameIsOver]],1,Table2[[AwayTeam]:[AwayTeam]],$T25, Table2[[HomeTeam]:[HomeTeam]], AE$21, Table2[[ActualResult]:[ActualResult]], "REG") + SUMIFS(Table2[[AwayWon]:[AwayWon]], Table2[[GameIsOver]:[GameIsOver]],1,Table2[[HomeTeam]:[HomeTeam]],$T25, Table2[[AwayTeam]:[AwayTeam]], AE$21, Table2[[ActualResult]:[ActualResult]], "REG"))) + (1*(SUMIFS(Table2[[HomeWon_]:[HomeWon_]], Table2[[GameIsOver]:[GameIsOver]],1,Table2[[AwayTeam]:[AwayTeam]],$T25, Table2[[HomeTeam]:[HomeTeam]], AE$21, Table2[[ActualResult]:[ActualResult]], "OT") + SUMIFS(Table2[[AwayWon]:[AwayWon]], Table2[[GameIsOver]:[GameIsOver]],1,Table2[[HomeTeam]:[HomeTeam]],$T25, Table2[[AwayTeam]:[AwayTeam]], AE$21, Table2[[ActualResult]:[ActualResult]], "OT") + SUMIFS(Table2[[HomeWon_]:[HomeWon_]], Table2[[GameIsOver]:[GameIsOver]],1,Table2[[AwayTeam]:[AwayTeam]],$T25, Table2[[HomeTeam]:[HomeTeam]], AE$21, Table2[[ActualResult]:[ActualResult]], "SO") + SUMIFS(Table2[[AwayWon]:[AwayWon]], Table2[[GameIsOver]:[GameIsOver]],1,Table2[[HomeTeam]:[HomeTeam]],$T25, Table2[[AwayTeam]:[AwayTeam]], AE$21, Table2[[ActualResult]:[ActualResult]], "SO")))</f>
        <v>0</v>
      </c>
      <c r="AF25">
        <f>(2*(SUMIFS(Table2[[AwayWon]:[AwayWon]], Table2[[GameIsOver]:[GameIsOver]],1,Table2[[AwayTeam]:[AwayTeam]],$T25, Table2[[HomeTeam]:[HomeTeam]], AF$21) + SUMIFS(Table2[[HomeWon_]:[HomeWon_]], Table2[[GameIsOver]:[GameIsOver]],1,Table2[[HomeTeam]:[HomeTeam]],$T25, Table2[[AwayTeam]:[AwayTeam]], AF$21))) + (0*(SUMIFS(Table2[[HomeWon_]:[HomeWon_]], Table2[[GameIsOver]:[GameIsOver]],1,Table2[[AwayTeam]:[AwayTeam]],$T25, Table2[[HomeTeam]:[HomeTeam]], AF$21, Table2[[ActualResult]:[ActualResult]], "REG") + SUMIFS(Table2[[AwayWon]:[AwayWon]], Table2[[GameIsOver]:[GameIsOver]],1,Table2[[HomeTeam]:[HomeTeam]],$T25, Table2[[AwayTeam]:[AwayTeam]], AF$21, Table2[[ActualResult]:[ActualResult]], "REG"))) + (1*(SUMIFS(Table2[[HomeWon_]:[HomeWon_]], Table2[[GameIsOver]:[GameIsOver]],1,Table2[[AwayTeam]:[AwayTeam]],$T25, Table2[[HomeTeam]:[HomeTeam]], AF$21, Table2[[ActualResult]:[ActualResult]], "OT") + SUMIFS(Table2[[AwayWon]:[AwayWon]], Table2[[GameIsOver]:[GameIsOver]],1,Table2[[HomeTeam]:[HomeTeam]],$T25, Table2[[AwayTeam]:[AwayTeam]], AF$21, Table2[[ActualResult]:[ActualResult]], "OT") + SUMIFS(Table2[[HomeWon_]:[HomeWon_]], Table2[[GameIsOver]:[GameIsOver]],1,Table2[[AwayTeam]:[AwayTeam]],$T25, Table2[[HomeTeam]:[HomeTeam]], AF$21, Table2[[ActualResult]:[ActualResult]], "SO") + SUMIFS(Table2[[AwayWon]:[AwayWon]], Table2[[GameIsOver]:[GameIsOver]],1,Table2[[HomeTeam]:[HomeTeam]],$T25, Table2[[AwayTeam]:[AwayTeam]], AF$21, Table2[[ActualResult]:[ActualResult]], "SO")))</f>
        <v>0</v>
      </c>
      <c r="AG25">
        <f>(2*(SUMIFS(Table2[[AwayWon]:[AwayWon]], Table2[[GameIsOver]:[GameIsOver]],1,Table2[[AwayTeam]:[AwayTeam]],$T25, Table2[[HomeTeam]:[HomeTeam]], AG$21) + SUMIFS(Table2[[HomeWon_]:[HomeWon_]], Table2[[GameIsOver]:[GameIsOver]],1,Table2[[HomeTeam]:[HomeTeam]],$T25, Table2[[AwayTeam]:[AwayTeam]], AG$21))) + (0*(SUMIFS(Table2[[HomeWon_]:[HomeWon_]], Table2[[GameIsOver]:[GameIsOver]],1,Table2[[AwayTeam]:[AwayTeam]],$T25, Table2[[HomeTeam]:[HomeTeam]], AG$21, Table2[[ActualResult]:[ActualResult]], "REG") + SUMIFS(Table2[[AwayWon]:[AwayWon]], Table2[[GameIsOver]:[GameIsOver]],1,Table2[[HomeTeam]:[HomeTeam]],$T25, Table2[[AwayTeam]:[AwayTeam]], AG$21, Table2[[ActualResult]:[ActualResult]], "REG"))) + (1*(SUMIFS(Table2[[HomeWon_]:[HomeWon_]], Table2[[GameIsOver]:[GameIsOver]],1,Table2[[AwayTeam]:[AwayTeam]],$T25, Table2[[HomeTeam]:[HomeTeam]], AG$21, Table2[[ActualResult]:[ActualResult]], "OT") + SUMIFS(Table2[[AwayWon]:[AwayWon]], Table2[[GameIsOver]:[GameIsOver]],1,Table2[[HomeTeam]:[HomeTeam]],$T25, Table2[[AwayTeam]:[AwayTeam]], AG$21, Table2[[ActualResult]:[ActualResult]], "OT") + SUMIFS(Table2[[HomeWon_]:[HomeWon_]], Table2[[GameIsOver]:[GameIsOver]],1,Table2[[AwayTeam]:[AwayTeam]],$T25, Table2[[HomeTeam]:[HomeTeam]], AG$21, Table2[[ActualResult]:[ActualResult]], "SO") + SUMIFS(Table2[[AwayWon]:[AwayWon]], Table2[[GameIsOver]:[GameIsOver]],1,Table2[[HomeTeam]:[HomeTeam]],$T25, Table2[[AwayTeam]:[AwayTeam]], AG$21, Table2[[ActualResult]:[ActualResult]], "SO")))</f>
        <v>0</v>
      </c>
      <c r="AH25">
        <f>(2*(SUMIFS(Table2[[AwayWon]:[AwayWon]], Table2[[GameIsOver]:[GameIsOver]],1,Table2[[AwayTeam]:[AwayTeam]],$T25, Table2[[HomeTeam]:[HomeTeam]], AH$21) + SUMIFS(Table2[[HomeWon_]:[HomeWon_]], Table2[[GameIsOver]:[GameIsOver]],1,Table2[[HomeTeam]:[HomeTeam]],$T25, Table2[[AwayTeam]:[AwayTeam]], AH$21))) + (0*(SUMIFS(Table2[[HomeWon_]:[HomeWon_]], Table2[[GameIsOver]:[GameIsOver]],1,Table2[[AwayTeam]:[AwayTeam]],$T25, Table2[[HomeTeam]:[HomeTeam]], AH$21, Table2[[ActualResult]:[ActualResult]], "REG") + SUMIFS(Table2[[AwayWon]:[AwayWon]], Table2[[GameIsOver]:[GameIsOver]],1,Table2[[HomeTeam]:[HomeTeam]],$T25, Table2[[AwayTeam]:[AwayTeam]], AH$21, Table2[[ActualResult]:[ActualResult]], "REG"))) + (1*(SUMIFS(Table2[[HomeWon_]:[HomeWon_]], Table2[[GameIsOver]:[GameIsOver]],1,Table2[[AwayTeam]:[AwayTeam]],$T25, Table2[[HomeTeam]:[HomeTeam]], AH$21, Table2[[ActualResult]:[ActualResult]], "OT") + SUMIFS(Table2[[AwayWon]:[AwayWon]], Table2[[GameIsOver]:[GameIsOver]],1,Table2[[HomeTeam]:[HomeTeam]],$T25, Table2[[AwayTeam]:[AwayTeam]], AH$21, Table2[[ActualResult]:[ActualResult]], "OT") + SUMIFS(Table2[[HomeWon_]:[HomeWon_]], Table2[[GameIsOver]:[GameIsOver]],1,Table2[[AwayTeam]:[AwayTeam]],$T25, Table2[[HomeTeam]:[HomeTeam]], AH$21, Table2[[ActualResult]:[ActualResult]], "SO") + SUMIFS(Table2[[AwayWon]:[AwayWon]], Table2[[GameIsOver]:[GameIsOver]],1,Table2[[HomeTeam]:[HomeTeam]],$T25, Table2[[AwayTeam]:[AwayTeam]], AH$21, Table2[[ActualResult]:[ActualResult]], "SO")))</f>
        <v>0</v>
      </c>
      <c r="AI25">
        <f>(2*(SUMIFS(Table2[[AwayWon]:[AwayWon]], Table2[[GameIsOver]:[GameIsOver]],1,Table2[[AwayTeam]:[AwayTeam]],$T25, Table2[[HomeTeam]:[HomeTeam]], AI$21) + SUMIFS(Table2[[HomeWon_]:[HomeWon_]], Table2[[GameIsOver]:[GameIsOver]],1,Table2[[HomeTeam]:[HomeTeam]],$T25, Table2[[AwayTeam]:[AwayTeam]], AI$21))) + (0*(SUMIFS(Table2[[HomeWon_]:[HomeWon_]], Table2[[GameIsOver]:[GameIsOver]],1,Table2[[AwayTeam]:[AwayTeam]],$T25, Table2[[HomeTeam]:[HomeTeam]], AI$21, Table2[[ActualResult]:[ActualResult]], "REG") + SUMIFS(Table2[[AwayWon]:[AwayWon]], Table2[[GameIsOver]:[GameIsOver]],1,Table2[[HomeTeam]:[HomeTeam]],$T25, Table2[[AwayTeam]:[AwayTeam]], AI$21, Table2[[ActualResult]:[ActualResult]], "REG"))) + (1*(SUMIFS(Table2[[HomeWon_]:[HomeWon_]], Table2[[GameIsOver]:[GameIsOver]],1,Table2[[AwayTeam]:[AwayTeam]],$T25, Table2[[HomeTeam]:[HomeTeam]], AI$21, Table2[[ActualResult]:[ActualResult]], "OT") + SUMIFS(Table2[[AwayWon]:[AwayWon]], Table2[[GameIsOver]:[GameIsOver]],1,Table2[[HomeTeam]:[HomeTeam]],$T25, Table2[[AwayTeam]:[AwayTeam]], AI$21, Table2[[ActualResult]:[ActualResult]], "OT") + SUMIFS(Table2[[HomeWon_]:[HomeWon_]], Table2[[GameIsOver]:[GameIsOver]],1,Table2[[AwayTeam]:[AwayTeam]],$T25, Table2[[HomeTeam]:[HomeTeam]], AI$21, Table2[[ActualResult]:[ActualResult]], "SO") + SUMIFS(Table2[[AwayWon]:[AwayWon]], Table2[[GameIsOver]:[GameIsOver]],1,Table2[[HomeTeam]:[HomeTeam]],$T25, Table2[[AwayTeam]:[AwayTeam]], AI$21, Table2[[ActualResult]:[ActualResult]], "SO")))</f>
        <v>0</v>
      </c>
      <c r="AJ25">
        <f>(2*(SUMIFS(Table2[[AwayWon]:[AwayWon]], Table2[[GameIsOver]:[GameIsOver]],1,Table2[[AwayTeam]:[AwayTeam]],$T25, Table2[[HomeTeam]:[HomeTeam]], AJ$21) + SUMIFS(Table2[[HomeWon_]:[HomeWon_]], Table2[[GameIsOver]:[GameIsOver]],1,Table2[[HomeTeam]:[HomeTeam]],$T25, Table2[[AwayTeam]:[AwayTeam]], AJ$21))) + (0*(SUMIFS(Table2[[HomeWon_]:[HomeWon_]], Table2[[GameIsOver]:[GameIsOver]],1,Table2[[AwayTeam]:[AwayTeam]],$T25, Table2[[HomeTeam]:[HomeTeam]], AJ$21, Table2[[ActualResult]:[ActualResult]], "REG") + SUMIFS(Table2[[AwayWon]:[AwayWon]], Table2[[GameIsOver]:[GameIsOver]],1,Table2[[HomeTeam]:[HomeTeam]],$T25, Table2[[AwayTeam]:[AwayTeam]], AJ$21, Table2[[ActualResult]:[ActualResult]], "REG"))) + (1*(SUMIFS(Table2[[HomeWon_]:[HomeWon_]], Table2[[GameIsOver]:[GameIsOver]],1,Table2[[AwayTeam]:[AwayTeam]],$T25, Table2[[HomeTeam]:[HomeTeam]], AJ$21, Table2[[ActualResult]:[ActualResult]], "OT") + SUMIFS(Table2[[AwayWon]:[AwayWon]], Table2[[GameIsOver]:[GameIsOver]],1,Table2[[HomeTeam]:[HomeTeam]],$T25, Table2[[AwayTeam]:[AwayTeam]], AJ$21, Table2[[ActualResult]:[ActualResult]], "OT") + SUMIFS(Table2[[HomeWon_]:[HomeWon_]], Table2[[GameIsOver]:[GameIsOver]],1,Table2[[AwayTeam]:[AwayTeam]],$T25, Table2[[HomeTeam]:[HomeTeam]], AJ$21, Table2[[ActualResult]:[ActualResult]], "SO") + SUMIFS(Table2[[AwayWon]:[AwayWon]], Table2[[GameIsOver]:[GameIsOver]],1,Table2[[HomeTeam]:[HomeTeam]],$T25, Table2[[AwayTeam]:[AwayTeam]], AJ$21, Table2[[ActualResult]:[ActualResult]], "SO")))</f>
        <v>0</v>
      </c>
      <c r="AK25">
        <f>(2*(SUMIFS(Table2[[AwayWon]:[AwayWon]], Table2[[GameIsOver]:[GameIsOver]],1,Table2[[AwayTeam]:[AwayTeam]],$T25, Table2[[HomeTeam]:[HomeTeam]], AK$21) + SUMIFS(Table2[[HomeWon_]:[HomeWon_]], Table2[[GameIsOver]:[GameIsOver]],1,Table2[[HomeTeam]:[HomeTeam]],$T25, Table2[[AwayTeam]:[AwayTeam]], AK$21))) + (0*(SUMIFS(Table2[[HomeWon_]:[HomeWon_]], Table2[[GameIsOver]:[GameIsOver]],1,Table2[[AwayTeam]:[AwayTeam]],$T25, Table2[[HomeTeam]:[HomeTeam]], AK$21, Table2[[ActualResult]:[ActualResult]], "REG") + SUMIFS(Table2[[AwayWon]:[AwayWon]], Table2[[GameIsOver]:[GameIsOver]],1,Table2[[HomeTeam]:[HomeTeam]],$T25, Table2[[AwayTeam]:[AwayTeam]], AK$21, Table2[[ActualResult]:[ActualResult]], "REG"))) + (1*(SUMIFS(Table2[[HomeWon_]:[HomeWon_]], Table2[[GameIsOver]:[GameIsOver]],1,Table2[[AwayTeam]:[AwayTeam]],$T25, Table2[[HomeTeam]:[HomeTeam]], AK$21, Table2[[ActualResult]:[ActualResult]], "OT") + SUMIFS(Table2[[AwayWon]:[AwayWon]], Table2[[GameIsOver]:[GameIsOver]],1,Table2[[HomeTeam]:[HomeTeam]],$T25, Table2[[AwayTeam]:[AwayTeam]], AK$21, Table2[[ActualResult]:[ActualResult]], "OT") + SUMIFS(Table2[[HomeWon_]:[HomeWon_]], Table2[[GameIsOver]:[GameIsOver]],1,Table2[[AwayTeam]:[AwayTeam]],$T25, Table2[[HomeTeam]:[HomeTeam]], AK$21, Table2[[ActualResult]:[ActualResult]], "SO") + SUMIFS(Table2[[AwayWon]:[AwayWon]], Table2[[GameIsOver]:[GameIsOver]],1,Table2[[HomeTeam]:[HomeTeam]],$T25, Table2[[AwayTeam]:[AwayTeam]], AK$21, Table2[[ActualResult]:[ActualResult]], "SO")))</f>
        <v>0</v>
      </c>
      <c r="AL25">
        <f>(2*(SUMIFS(Table2[[AwayWon]:[AwayWon]], Table2[[GameIsOver]:[GameIsOver]],1,Table2[[AwayTeam]:[AwayTeam]],$T25, Table2[[HomeTeam]:[HomeTeam]], AL$21) + SUMIFS(Table2[[HomeWon_]:[HomeWon_]], Table2[[GameIsOver]:[GameIsOver]],1,Table2[[HomeTeam]:[HomeTeam]],$T25, Table2[[AwayTeam]:[AwayTeam]], AL$21))) + (0*(SUMIFS(Table2[[HomeWon_]:[HomeWon_]], Table2[[GameIsOver]:[GameIsOver]],1,Table2[[AwayTeam]:[AwayTeam]],$T25, Table2[[HomeTeam]:[HomeTeam]], AL$21, Table2[[ActualResult]:[ActualResult]], "REG") + SUMIFS(Table2[[AwayWon]:[AwayWon]], Table2[[GameIsOver]:[GameIsOver]],1,Table2[[HomeTeam]:[HomeTeam]],$T25, Table2[[AwayTeam]:[AwayTeam]], AL$21, Table2[[ActualResult]:[ActualResult]], "REG"))) + (1*(SUMIFS(Table2[[HomeWon_]:[HomeWon_]], Table2[[GameIsOver]:[GameIsOver]],1,Table2[[AwayTeam]:[AwayTeam]],$T25, Table2[[HomeTeam]:[HomeTeam]], AL$21, Table2[[ActualResult]:[ActualResult]], "OT") + SUMIFS(Table2[[AwayWon]:[AwayWon]], Table2[[GameIsOver]:[GameIsOver]],1,Table2[[HomeTeam]:[HomeTeam]],$T25, Table2[[AwayTeam]:[AwayTeam]], AL$21, Table2[[ActualResult]:[ActualResult]], "OT") + SUMIFS(Table2[[HomeWon_]:[HomeWon_]], Table2[[GameIsOver]:[GameIsOver]],1,Table2[[AwayTeam]:[AwayTeam]],$T25, Table2[[HomeTeam]:[HomeTeam]], AL$21, Table2[[ActualResult]:[ActualResult]], "SO") + SUMIFS(Table2[[AwayWon]:[AwayWon]], Table2[[GameIsOver]:[GameIsOver]],1,Table2[[HomeTeam]:[HomeTeam]],$T25, Table2[[AwayTeam]:[AwayTeam]], AL$21, Table2[[ActualResult]:[ActualResult]], "SO")))</f>
        <v>0</v>
      </c>
      <c r="AM25">
        <f>(2*(SUMIFS(Table2[[AwayWon]:[AwayWon]], Table2[[GameIsOver]:[GameIsOver]],1,Table2[[AwayTeam]:[AwayTeam]],$T25, Table2[[HomeTeam]:[HomeTeam]], AM$21) + SUMIFS(Table2[[HomeWon_]:[HomeWon_]], Table2[[GameIsOver]:[GameIsOver]],1,Table2[[HomeTeam]:[HomeTeam]],$T25, Table2[[AwayTeam]:[AwayTeam]], AM$21))) + (0*(SUMIFS(Table2[[HomeWon_]:[HomeWon_]], Table2[[GameIsOver]:[GameIsOver]],1,Table2[[AwayTeam]:[AwayTeam]],$T25, Table2[[HomeTeam]:[HomeTeam]], AM$21, Table2[[ActualResult]:[ActualResult]], "REG") + SUMIFS(Table2[[AwayWon]:[AwayWon]], Table2[[GameIsOver]:[GameIsOver]],1,Table2[[HomeTeam]:[HomeTeam]],$T25, Table2[[AwayTeam]:[AwayTeam]], AM$21, Table2[[ActualResult]:[ActualResult]], "REG"))) + (1*(SUMIFS(Table2[[HomeWon_]:[HomeWon_]], Table2[[GameIsOver]:[GameIsOver]],1,Table2[[AwayTeam]:[AwayTeam]],$T25, Table2[[HomeTeam]:[HomeTeam]], AM$21, Table2[[ActualResult]:[ActualResult]], "OT") + SUMIFS(Table2[[AwayWon]:[AwayWon]], Table2[[GameIsOver]:[GameIsOver]],1,Table2[[HomeTeam]:[HomeTeam]],$T25, Table2[[AwayTeam]:[AwayTeam]], AM$21, Table2[[ActualResult]:[ActualResult]], "OT") + SUMIFS(Table2[[HomeWon_]:[HomeWon_]], Table2[[GameIsOver]:[GameIsOver]],1,Table2[[AwayTeam]:[AwayTeam]],$T25, Table2[[HomeTeam]:[HomeTeam]], AM$21, Table2[[ActualResult]:[ActualResult]], "SO") + SUMIFS(Table2[[AwayWon]:[AwayWon]], Table2[[GameIsOver]:[GameIsOver]],1,Table2[[HomeTeam]:[HomeTeam]],$T25, Table2[[AwayTeam]:[AwayTeam]], AM$21, Table2[[ActualResult]:[ActualResult]], "SO")))</f>
        <v>0</v>
      </c>
      <c r="AN25">
        <f>(2*(SUMIFS(Table2[[AwayWon]:[AwayWon]], Table2[[GameIsOver]:[GameIsOver]],1,Table2[[AwayTeam]:[AwayTeam]],$T25, Table2[[HomeTeam]:[HomeTeam]], AN$21) + SUMIFS(Table2[[HomeWon_]:[HomeWon_]], Table2[[GameIsOver]:[GameIsOver]],1,Table2[[HomeTeam]:[HomeTeam]],$T25, Table2[[AwayTeam]:[AwayTeam]], AN$21))) + (0*(SUMIFS(Table2[[HomeWon_]:[HomeWon_]], Table2[[GameIsOver]:[GameIsOver]],1,Table2[[AwayTeam]:[AwayTeam]],$T25, Table2[[HomeTeam]:[HomeTeam]], AN$21, Table2[[ActualResult]:[ActualResult]], "REG") + SUMIFS(Table2[[AwayWon]:[AwayWon]], Table2[[GameIsOver]:[GameIsOver]],1,Table2[[HomeTeam]:[HomeTeam]],$T25, Table2[[AwayTeam]:[AwayTeam]], AN$21, Table2[[ActualResult]:[ActualResult]], "REG"))) + (1*(SUMIFS(Table2[[HomeWon_]:[HomeWon_]], Table2[[GameIsOver]:[GameIsOver]],1,Table2[[AwayTeam]:[AwayTeam]],$T25, Table2[[HomeTeam]:[HomeTeam]], AN$21, Table2[[ActualResult]:[ActualResult]], "OT") + SUMIFS(Table2[[AwayWon]:[AwayWon]], Table2[[GameIsOver]:[GameIsOver]],1,Table2[[HomeTeam]:[HomeTeam]],$T25, Table2[[AwayTeam]:[AwayTeam]], AN$21, Table2[[ActualResult]:[ActualResult]], "OT") + SUMIFS(Table2[[HomeWon_]:[HomeWon_]], Table2[[GameIsOver]:[GameIsOver]],1,Table2[[AwayTeam]:[AwayTeam]],$T25, Table2[[HomeTeam]:[HomeTeam]], AN$21, Table2[[ActualResult]:[ActualResult]], "SO") + SUMIFS(Table2[[AwayWon]:[AwayWon]], Table2[[GameIsOver]:[GameIsOver]],1,Table2[[HomeTeam]:[HomeTeam]],$T25, Table2[[AwayTeam]:[AwayTeam]], AN$21, Table2[[ActualResult]:[ActualResult]], "SO")))</f>
        <v>0</v>
      </c>
      <c r="AO25">
        <f>(2*(SUMIFS(Table2[[AwayWon]:[AwayWon]], Table2[[GameIsOver]:[GameIsOver]],1,Table2[[AwayTeam]:[AwayTeam]],$T25, Table2[[HomeTeam]:[HomeTeam]], AO$21) + SUMIFS(Table2[[HomeWon_]:[HomeWon_]], Table2[[GameIsOver]:[GameIsOver]],1,Table2[[HomeTeam]:[HomeTeam]],$T25, Table2[[AwayTeam]:[AwayTeam]], AO$21))) + (0*(SUMIFS(Table2[[HomeWon_]:[HomeWon_]], Table2[[GameIsOver]:[GameIsOver]],1,Table2[[AwayTeam]:[AwayTeam]],$T25, Table2[[HomeTeam]:[HomeTeam]], AO$21, Table2[[ActualResult]:[ActualResult]], "REG") + SUMIFS(Table2[[AwayWon]:[AwayWon]], Table2[[GameIsOver]:[GameIsOver]],1,Table2[[HomeTeam]:[HomeTeam]],$T25, Table2[[AwayTeam]:[AwayTeam]], AO$21, Table2[[ActualResult]:[ActualResult]], "REG"))) + (1*(SUMIFS(Table2[[HomeWon_]:[HomeWon_]], Table2[[GameIsOver]:[GameIsOver]],1,Table2[[AwayTeam]:[AwayTeam]],$T25, Table2[[HomeTeam]:[HomeTeam]], AO$21, Table2[[ActualResult]:[ActualResult]], "OT") + SUMIFS(Table2[[AwayWon]:[AwayWon]], Table2[[GameIsOver]:[GameIsOver]],1,Table2[[HomeTeam]:[HomeTeam]],$T25, Table2[[AwayTeam]:[AwayTeam]], AO$21, Table2[[ActualResult]:[ActualResult]], "OT") + SUMIFS(Table2[[HomeWon_]:[HomeWon_]], Table2[[GameIsOver]:[GameIsOver]],1,Table2[[AwayTeam]:[AwayTeam]],$T25, Table2[[HomeTeam]:[HomeTeam]], AO$21, Table2[[ActualResult]:[ActualResult]], "SO") + SUMIFS(Table2[[AwayWon]:[AwayWon]], Table2[[GameIsOver]:[GameIsOver]],1,Table2[[HomeTeam]:[HomeTeam]],$T25, Table2[[AwayTeam]:[AwayTeam]], AO$21, Table2[[ActualResult]:[ActualResult]], "SO")))</f>
        <v>0</v>
      </c>
      <c r="AP25">
        <f>(2*(SUMIFS(Table2[[AwayWon]:[AwayWon]], Table2[[GameIsOver]:[GameIsOver]],1,Table2[[AwayTeam]:[AwayTeam]],$T25, Table2[[HomeTeam]:[HomeTeam]], AP$21) + SUMIFS(Table2[[HomeWon_]:[HomeWon_]], Table2[[GameIsOver]:[GameIsOver]],1,Table2[[HomeTeam]:[HomeTeam]],$T25, Table2[[AwayTeam]:[AwayTeam]], AP$21))) + (0*(SUMIFS(Table2[[HomeWon_]:[HomeWon_]], Table2[[GameIsOver]:[GameIsOver]],1,Table2[[AwayTeam]:[AwayTeam]],$T25, Table2[[HomeTeam]:[HomeTeam]], AP$21, Table2[[ActualResult]:[ActualResult]], "REG") + SUMIFS(Table2[[AwayWon]:[AwayWon]], Table2[[GameIsOver]:[GameIsOver]],1,Table2[[HomeTeam]:[HomeTeam]],$T25, Table2[[AwayTeam]:[AwayTeam]], AP$21, Table2[[ActualResult]:[ActualResult]], "REG"))) + (1*(SUMIFS(Table2[[HomeWon_]:[HomeWon_]], Table2[[GameIsOver]:[GameIsOver]],1,Table2[[AwayTeam]:[AwayTeam]],$T25, Table2[[HomeTeam]:[HomeTeam]], AP$21, Table2[[ActualResult]:[ActualResult]], "OT") + SUMIFS(Table2[[AwayWon]:[AwayWon]], Table2[[GameIsOver]:[GameIsOver]],1,Table2[[HomeTeam]:[HomeTeam]],$T25, Table2[[AwayTeam]:[AwayTeam]], AP$21, Table2[[ActualResult]:[ActualResult]], "OT") + SUMIFS(Table2[[HomeWon_]:[HomeWon_]], Table2[[GameIsOver]:[GameIsOver]],1,Table2[[AwayTeam]:[AwayTeam]],$T25, Table2[[HomeTeam]:[HomeTeam]], AP$21, Table2[[ActualResult]:[ActualResult]], "SO") + SUMIFS(Table2[[AwayWon]:[AwayWon]], Table2[[GameIsOver]:[GameIsOver]],1,Table2[[HomeTeam]:[HomeTeam]],$T25, Table2[[AwayTeam]:[AwayTeam]], AP$21, Table2[[ActualResult]:[ActualResult]], "SO")))</f>
        <v>0</v>
      </c>
      <c r="AQ25">
        <f>(2*(SUMIFS(Table2[[AwayWon]:[AwayWon]], Table2[[GameIsOver]:[GameIsOver]],1,Table2[[AwayTeam]:[AwayTeam]],$T25, Table2[[HomeTeam]:[HomeTeam]], AQ$21) + SUMIFS(Table2[[HomeWon_]:[HomeWon_]], Table2[[GameIsOver]:[GameIsOver]],1,Table2[[HomeTeam]:[HomeTeam]],$T25, Table2[[AwayTeam]:[AwayTeam]], AQ$21))) + (0*(SUMIFS(Table2[[HomeWon_]:[HomeWon_]], Table2[[GameIsOver]:[GameIsOver]],1,Table2[[AwayTeam]:[AwayTeam]],$T25, Table2[[HomeTeam]:[HomeTeam]], AQ$21, Table2[[ActualResult]:[ActualResult]], "REG") + SUMIFS(Table2[[AwayWon]:[AwayWon]], Table2[[GameIsOver]:[GameIsOver]],1,Table2[[HomeTeam]:[HomeTeam]],$T25, Table2[[AwayTeam]:[AwayTeam]], AQ$21, Table2[[ActualResult]:[ActualResult]], "REG"))) + (1*(SUMIFS(Table2[[HomeWon_]:[HomeWon_]], Table2[[GameIsOver]:[GameIsOver]],1,Table2[[AwayTeam]:[AwayTeam]],$T25, Table2[[HomeTeam]:[HomeTeam]], AQ$21, Table2[[ActualResult]:[ActualResult]], "OT") + SUMIFS(Table2[[AwayWon]:[AwayWon]], Table2[[GameIsOver]:[GameIsOver]],1,Table2[[HomeTeam]:[HomeTeam]],$T25, Table2[[AwayTeam]:[AwayTeam]], AQ$21, Table2[[ActualResult]:[ActualResult]], "OT") + SUMIFS(Table2[[HomeWon_]:[HomeWon_]], Table2[[GameIsOver]:[GameIsOver]],1,Table2[[AwayTeam]:[AwayTeam]],$T25, Table2[[HomeTeam]:[HomeTeam]], AQ$21, Table2[[ActualResult]:[ActualResult]], "SO") + SUMIFS(Table2[[AwayWon]:[AwayWon]], Table2[[GameIsOver]:[GameIsOver]],1,Table2[[HomeTeam]:[HomeTeam]],$T25, Table2[[AwayTeam]:[AwayTeam]], AQ$21, Table2[[ActualResult]:[ActualResult]], "SO")))</f>
        <v>0</v>
      </c>
      <c r="AR25">
        <f>(2*(SUMIFS(Table2[[AwayWon]:[AwayWon]], Table2[[GameIsOver]:[GameIsOver]],1,Table2[[AwayTeam]:[AwayTeam]],$T25, Table2[[HomeTeam]:[HomeTeam]], AR$21) + SUMIFS(Table2[[HomeWon_]:[HomeWon_]], Table2[[GameIsOver]:[GameIsOver]],1,Table2[[HomeTeam]:[HomeTeam]],$T25, Table2[[AwayTeam]:[AwayTeam]], AR$21))) + (0*(SUMIFS(Table2[[HomeWon_]:[HomeWon_]], Table2[[GameIsOver]:[GameIsOver]],1,Table2[[AwayTeam]:[AwayTeam]],$T25, Table2[[HomeTeam]:[HomeTeam]], AR$21, Table2[[ActualResult]:[ActualResult]], "REG") + SUMIFS(Table2[[AwayWon]:[AwayWon]], Table2[[GameIsOver]:[GameIsOver]],1,Table2[[HomeTeam]:[HomeTeam]],$T25, Table2[[AwayTeam]:[AwayTeam]], AR$21, Table2[[ActualResult]:[ActualResult]], "REG"))) + (1*(SUMIFS(Table2[[HomeWon_]:[HomeWon_]], Table2[[GameIsOver]:[GameIsOver]],1,Table2[[AwayTeam]:[AwayTeam]],$T25, Table2[[HomeTeam]:[HomeTeam]], AR$21, Table2[[ActualResult]:[ActualResult]], "OT") + SUMIFS(Table2[[AwayWon]:[AwayWon]], Table2[[GameIsOver]:[GameIsOver]],1,Table2[[HomeTeam]:[HomeTeam]],$T25, Table2[[AwayTeam]:[AwayTeam]], AR$21, Table2[[ActualResult]:[ActualResult]], "OT") + SUMIFS(Table2[[HomeWon_]:[HomeWon_]], Table2[[GameIsOver]:[GameIsOver]],1,Table2[[AwayTeam]:[AwayTeam]],$T25, Table2[[HomeTeam]:[HomeTeam]], AR$21, Table2[[ActualResult]:[ActualResult]], "SO") + SUMIFS(Table2[[AwayWon]:[AwayWon]], Table2[[GameIsOver]:[GameIsOver]],1,Table2[[HomeTeam]:[HomeTeam]],$T25, Table2[[AwayTeam]:[AwayTeam]], AR$21, Table2[[ActualResult]:[ActualResult]], "SO")))</f>
        <v>2</v>
      </c>
      <c r="AS25">
        <f>(2*(SUMIFS(Table2[[AwayWon]:[AwayWon]], Table2[[GameIsOver]:[GameIsOver]],1,Table2[[AwayTeam]:[AwayTeam]],$T25, Table2[[HomeTeam]:[HomeTeam]], AS$21) + SUMIFS(Table2[[HomeWon_]:[HomeWon_]], Table2[[GameIsOver]:[GameIsOver]],1,Table2[[HomeTeam]:[HomeTeam]],$T25, Table2[[AwayTeam]:[AwayTeam]], AS$21))) + (0*(SUMIFS(Table2[[HomeWon_]:[HomeWon_]], Table2[[GameIsOver]:[GameIsOver]],1,Table2[[AwayTeam]:[AwayTeam]],$T25, Table2[[HomeTeam]:[HomeTeam]], AS$21, Table2[[ActualResult]:[ActualResult]], "REG") + SUMIFS(Table2[[AwayWon]:[AwayWon]], Table2[[GameIsOver]:[GameIsOver]],1,Table2[[HomeTeam]:[HomeTeam]],$T25, Table2[[AwayTeam]:[AwayTeam]], AS$21, Table2[[ActualResult]:[ActualResult]], "REG"))) + (1*(SUMIFS(Table2[[HomeWon_]:[HomeWon_]], Table2[[GameIsOver]:[GameIsOver]],1,Table2[[AwayTeam]:[AwayTeam]],$T25, Table2[[HomeTeam]:[HomeTeam]], AS$21, Table2[[ActualResult]:[ActualResult]], "OT") + SUMIFS(Table2[[AwayWon]:[AwayWon]], Table2[[GameIsOver]:[GameIsOver]],1,Table2[[HomeTeam]:[HomeTeam]],$T25, Table2[[AwayTeam]:[AwayTeam]], AS$21, Table2[[ActualResult]:[ActualResult]], "OT") + SUMIFS(Table2[[HomeWon_]:[HomeWon_]], Table2[[GameIsOver]:[GameIsOver]],1,Table2[[AwayTeam]:[AwayTeam]],$T25, Table2[[HomeTeam]:[HomeTeam]], AS$21, Table2[[ActualResult]:[ActualResult]], "SO") + SUMIFS(Table2[[AwayWon]:[AwayWon]], Table2[[GameIsOver]:[GameIsOver]],1,Table2[[HomeTeam]:[HomeTeam]],$T25, Table2[[AwayTeam]:[AwayTeam]], AS$21, Table2[[ActualResult]:[ActualResult]], "SO")))</f>
        <v>0</v>
      </c>
      <c r="AT25">
        <f>(2*(SUMIFS(Table2[[AwayWon]:[AwayWon]], Table2[[GameIsOver]:[GameIsOver]],1,Table2[[AwayTeam]:[AwayTeam]],$T25, Table2[[HomeTeam]:[HomeTeam]], AT$21) + SUMIFS(Table2[[HomeWon_]:[HomeWon_]], Table2[[GameIsOver]:[GameIsOver]],1,Table2[[HomeTeam]:[HomeTeam]],$T25, Table2[[AwayTeam]:[AwayTeam]], AT$21))) + (0*(SUMIFS(Table2[[HomeWon_]:[HomeWon_]], Table2[[GameIsOver]:[GameIsOver]],1,Table2[[AwayTeam]:[AwayTeam]],$T25, Table2[[HomeTeam]:[HomeTeam]], AT$21, Table2[[ActualResult]:[ActualResult]], "REG") + SUMIFS(Table2[[AwayWon]:[AwayWon]], Table2[[GameIsOver]:[GameIsOver]],1,Table2[[HomeTeam]:[HomeTeam]],$T25, Table2[[AwayTeam]:[AwayTeam]], AT$21, Table2[[ActualResult]:[ActualResult]], "REG"))) + (1*(SUMIFS(Table2[[HomeWon_]:[HomeWon_]], Table2[[GameIsOver]:[GameIsOver]],1,Table2[[AwayTeam]:[AwayTeam]],$T25, Table2[[HomeTeam]:[HomeTeam]], AT$21, Table2[[ActualResult]:[ActualResult]], "OT") + SUMIFS(Table2[[AwayWon]:[AwayWon]], Table2[[GameIsOver]:[GameIsOver]],1,Table2[[HomeTeam]:[HomeTeam]],$T25, Table2[[AwayTeam]:[AwayTeam]], AT$21, Table2[[ActualResult]:[ActualResult]], "OT") + SUMIFS(Table2[[HomeWon_]:[HomeWon_]], Table2[[GameIsOver]:[GameIsOver]],1,Table2[[AwayTeam]:[AwayTeam]],$T25, Table2[[HomeTeam]:[HomeTeam]], AT$21, Table2[[ActualResult]:[ActualResult]], "SO") + SUMIFS(Table2[[AwayWon]:[AwayWon]], Table2[[GameIsOver]:[GameIsOver]],1,Table2[[HomeTeam]:[HomeTeam]],$T25, Table2[[AwayTeam]:[AwayTeam]], AT$21, Table2[[ActualResult]:[ActualResult]], "SO")))</f>
        <v>0</v>
      </c>
      <c r="AU25">
        <f>(2*(SUMIFS(Table2[[AwayWon]:[AwayWon]], Table2[[GameIsOver]:[GameIsOver]],1,Table2[[AwayTeam]:[AwayTeam]],$T25, Table2[[HomeTeam]:[HomeTeam]], AU$21) + SUMIFS(Table2[[HomeWon_]:[HomeWon_]], Table2[[GameIsOver]:[GameIsOver]],1,Table2[[HomeTeam]:[HomeTeam]],$T25, Table2[[AwayTeam]:[AwayTeam]], AU$21))) + (0*(SUMIFS(Table2[[HomeWon_]:[HomeWon_]], Table2[[GameIsOver]:[GameIsOver]],1,Table2[[AwayTeam]:[AwayTeam]],$T25, Table2[[HomeTeam]:[HomeTeam]], AU$21, Table2[[ActualResult]:[ActualResult]], "REG") + SUMIFS(Table2[[AwayWon]:[AwayWon]], Table2[[GameIsOver]:[GameIsOver]],1,Table2[[HomeTeam]:[HomeTeam]],$T25, Table2[[AwayTeam]:[AwayTeam]], AU$21, Table2[[ActualResult]:[ActualResult]], "REG"))) + (1*(SUMIFS(Table2[[HomeWon_]:[HomeWon_]], Table2[[GameIsOver]:[GameIsOver]],1,Table2[[AwayTeam]:[AwayTeam]],$T25, Table2[[HomeTeam]:[HomeTeam]], AU$21, Table2[[ActualResult]:[ActualResult]], "OT") + SUMIFS(Table2[[AwayWon]:[AwayWon]], Table2[[GameIsOver]:[GameIsOver]],1,Table2[[HomeTeam]:[HomeTeam]],$T25, Table2[[AwayTeam]:[AwayTeam]], AU$21, Table2[[ActualResult]:[ActualResult]], "OT") + SUMIFS(Table2[[HomeWon_]:[HomeWon_]], Table2[[GameIsOver]:[GameIsOver]],1,Table2[[AwayTeam]:[AwayTeam]],$T25, Table2[[HomeTeam]:[HomeTeam]], AU$21, Table2[[ActualResult]:[ActualResult]], "SO") + SUMIFS(Table2[[AwayWon]:[AwayWon]], Table2[[GameIsOver]:[GameIsOver]],1,Table2[[HomeTeam]:[HomeTeam]],$T25, Table2[[AwayTeam]:[AwayTeam]], AU$21, Table2[[ActualResult]:[ActualResult]], "SO")))</f>
        <v>2</v>
      </c>
      <c r="AV25">
        <f>(2*(SUMIFS(Table2[[AwayWon]:[AwayWon]], Table2[[GameIsOver]:[GameIsOver]],1,Table2[[AwayTeam]:[AwayTeam]],$T25, Table2[[HomeTeam]:[HomeTeam]], AV$21) + SUMIFS(Table2[[HomeWon_]:[HomeWon_]], Table2[[GameIsOver]:[GameIsOver]],1,Table2[[HomeTeam]:[HomeTeam]],$T25, Table2[[AwayTeam]:[AwayTeam]], AV$21))) + (0*(SUMIFS(Table2[[HomeWon_]:[HomeWon_]], Table2[[GameIsOver]:[GameIsOver]],1,Table2[[AwayTeam]:[AwayTeam]],$T25, Table2[[HomeTeam]:[HomeTeam]], AV$21, Table2[[ActualResult]:[ActualResult]], "REG") + SUMIFS(Table2[[AwayWon]:[AwayWon]], Table2[[GameIsOver]:[GameIsOver]],1,Table2[[HomeTeam]:[HomeTeam]],$T25, Table2[[AwayTeam]:[AwayTeam]], AV$21, Table2[[ActualResult]:[ActualResult]], "REG"))) + (1*(SUMIFS(Table2[[HomeWon_]:[HomeWon_]], Table2[[GameIsOver]:[GameIsOver]],1,Table2[[AwayTeam]:[AwayTeam]],$T25, Table2[[HomeTeam]:[HomeTeam]], AV$21, Table2[[ActualResult]:[ActualResult]], "OT") + SUMIFS(Table2[[AwayWon]:[AwayWon]], Table2[[GameIsOver]:[GameIsOver]],1,Table2[[HomeTeam]:[HomeTeam]],$T25, Table2[[AwayTeam]:[AwayTeam]], AV$21, Table2[[ActualResult]:[ActualResult]], "OT") + SUMIFS(Table2[[HomeWon_]:[HomeWon_]], Table2[[GameIsOver]:[GameIsOver]],1,Table2[[AwayTeam]:[AwayTeam]],$T25, Table2[[HomeTeam]:[HomeTeam]], AV$21, Table2[[ActualResult]:[ActualResult]], "SO") + SUMIFS(Table2[[AwayWon]:[AwayWon]], Table2[[GameIsOver]:[GameIsOver]],1,Table2[[HomeTeam]:[HomeTeam]],$T25, Table2[[AwayTeam]:[AwayTeam]], AV$21, Table2[[ActualResult]:[ActualResult]], "SO")))</f>
        <v>0</v>
      </c>
      <c r="AW25">
        <f>(2*(SUMIFS(Table2[[AwayWon]:[AwayWon]], Table2[[GameIsOver]:[GameIsOver]],1,Table2[[AwayTeam]:[AwayTeam]],$T25, Table2[[HomeTeam]:[HomeTeam]], AW$21) + SUMIFS(Table2[[HomeWon_]:[HomeWon_]], Table2[[GameIsOver]:[GameIsOver]],1,Table2[[HomeTeam]:[HomeTeam]],$T25, Table2[[AwayTeam]:[AwayTeam]], AW$21))) + (0*(SUMIFS(Table2[[HomeWon_]:[HomeWon_]], Table2[[GameIsOver]:[GameIsOver]],1,Table2[[AwayTeam]:[AwayTeam]],$T25, Table2[[HomeTeam]:[HomeTeam]], AW$21, Table2[[ActualResult]:[ActualResult]], "REG") + SUMIFS(Table2[[AwayWon]:[AwayWon]], Table2[[GameIsOver]:[GameIsOver]],1,Table2[[HomeTeam]:[HomeTeam]],$T25, Table2[[AwayTeam]:[AwayTeam]], AW$21, Table2[[ActualResult]:[ActualResult]], "REG"))) + (1*(SUMIFS(Table2[[HomeWon_]:[HomeWon_]], Table2[[GameIsOver]:[GameIsOver]],1,Table2[[AwayTeam]:[AwayTeam]],$T25, Table2[[HomeTeam]:[HomeTeam]], AW$21, Table2[[ActualResult]:[ActualResult]], "OT") + SUMIFS(Table2[[AwayWon]:[AwayWon]], Table2[[GameIsOver]:[GameIsOver]],1,Table2[[HomeTeam]:[HomeTeam]],$T25, Table2[[AwayTeam]:[AwayTeam]], AW$21, Table2[[ActualResult]:[ActualResult]], "OT") + SUMIFS(Table2[[HomeWon_]:[HomeWon_]], Table2[[GameIsOver]:[GameIsOver]],1,Table2[[AwayTeam]:[AwayTeam]],$T25, Table2[[HomeTeam]:[HomeTeam]], AW$21, Table2[[ActualResult]:[ActualResult]], "SO") + SUMIFS(Table2[[AwayWon]:[AwayWon]], Table2[[GameIsOver]:[GameIsOver]],1,Table2[[HomeTeam]:[HomeTeam]],$T25, Table2[[AwayTeam]:[AwayTeam]], AW$21, Table2[[ActualResult]:[ActualResult]], "SO")))</f>
        <v>0</v>
      </c>
      <c r="AX25">
        <f>(2*(SUMIFS(Table2[[AwayWon]:[AwayWon]], Table2[[GameIsOver]:[GameIsOver]],1,Table2[[AwayTeam]:[AwayTeam]],$T25, Table2[[HomeTeam]:[HomeTeam]], AX$21) + SUMIFS(Table2[[HomeWon_]:[HomeWon_]], Table2[[GameIsOver]:[GameIsOver]],1,Table2[[HomeTeam]:[HomeTeam]],$T25, Table2[[AwayTeam]:[AwayTeam]], AX$21))) + (0*(SUMIFS(Table2[[HomeWon_]:[HomeWon_]], Table2[[GameIsOver]:[GameIsOver]],1,Table2[[AwayTeam]:[AwayTeam]],$T25, Table2[[HomeTeam]:[HomeTeam]], AX$21, Table2[[ActualResult]:[ActualResult]], "REG") + SUMIFS(Table2[[AwayWon]:[AwayWon]], Table2[[GameIsOver]:[GameIsOver]],1,Table2[[HomeTeam]:[HomeTeam]],$T25, Table2[[AwayTeam]:[AwayTeam]], AX$21, Table2[[ActualResult]:[ActualResult]], "REG"))) + (1*(SUMIFS(Table2[[HomeWon_]:[HomeWon_]], Table2[[GameIsOver]:[GameIsOver]],1,Table2[[AwayTeam]:[AwayTeam]],$T25, Table2[[HomeTeam]:[HomeTeam]], AX$21, Table2[[ActualResult]:[ActualResult]], "OT") + SUMIFS(Table2[[AwayWon]:[AwayWon]], Table2[[GameIsOver]:[GameIsOver]],1,Table2[[HomeTeam]:[HomeTeam]],$T25, Table2[[AwayTeam]:[AwayTeam]], AX$21, Table2[[ActualResult]:[ActualResult]], "OT") + SUMIFS(Table2[[HomeWon_]:[HomeWon_]], Table2[[GameIsOver]:[GameIsOver]],1,Table2[[AwayTeam]:[AwayTeam]],$T25, Table2[[HomeTeam]:[HomeTeam]], AX$21, Table2[[ActualResult]:[ActualResult]], "SO") + SUMIFS(Table2[[AwayWon]:[AwayWon]], Table2[[GameIsOver]:[GameIsOver]],1,Table2[[HomeTeam]:[HomeTeam]],$T25, Table2[[AwayTeam]:[AwayTeam]], AX$21, Table2[[ActualResult]:[ActualResult]], "SO")))</f>
        <v>2</v>
      </c>
      <c r="AY25">
        <f>(2*(SUMIFS(Table2[[AwayWon]:[AwayWon]], Table2[[GameIsOver]:[GameIsOver]],1,Table2[[AwayTeam]:[AwayTeam]],$T25, Table2[[HomeTeam]:[HomeTeam]], AY$21) + SUMIFS(Table2[[HomeWon_]:[HomeWon_]], Table2[[GameIsOver]:[GameIsOver]],1,Table2[[HomeTeam]:[HomeTeam]],$T25, Table2[[AwayTeam]:[AwayTeam]], AY$21))) + (0*(SUMIFS(Table2[[HomeWon_]:[HomeWon_]], Table2[[GameIsOver]:[GameIsOver]],1,Table2[[AwayTeam]:[AwayTeam]],$T25, Table2[[HomeTeam]:[HomeTeam]], AY$21, Table2[[ActualResult]:[ActualResult]], "REG") + SUMIFS(Table2[[AwayWon]:[AwayWon]], Table2[[GameIsOver]:[GameIsOver]],1,Table2[[HomeTeam]:[HomeTeam]],$T25, Table2[[AwayTeam]:[AwayTeam]], AY$21, Table2[[ActualResult]:[ActualResult]], "REG"))) + (1*(SUMIFS(Table2[[HomeWon_]:[HomeWon_]], Table2[[GameIsOver]:[GameIsOver]],1,Table2[[AwayTeam]:[AwayTeam]],$T25, Table2[[HomeTeam]:[HomeTeam]], AY$21, Table2[[ActualResult]:[ActualResult]], "OT") + SUMIFS(Table2[[AwayWon]:[AwayWon]], Table2[[GameIsOver]:[GameIsOver]],1,Table2[[HomeTeam]:[HomeTeam]],$T25, Table2[[AwayTeam]:[AwayTeam]], AY$21, Table2[[ActualResult]:[ActualResult]], "OT") + SUMIFS(Table2[[HomeWon_]:[HomeWon_]], Table2[[GameIsOver]:[GameIsOver]],1,Table2[[AwayTeam]:[AwayTeam]],$T25, Table2[[HomeTeam]:[HomeTeam]], AY$21, Table2[[ActualResult]:[ActualResult]], "SO") + SUMIFS(Table2[[AwayWon]:[AwayWon]], Table2[[GameIsOver]:[GameIsOver]],1,Table2[[HomeTeam]:[HomeTeam]],$T25, Table2[[AwayTeam]:[AwayTeam]], AY$21, Table2[[ActualResult]:[ActualResult]], "SO")))</f>
        <v>0</v>
      </c>
      <c r="AZ25">
        <f>(2*(SUMIFS(Table2[[AwayWon]:[AwayWon]], Table2[[GameIsOver]:[GameIsOver]],1,Table2[[AwayTeam]:[AwayTeam]],$T25, Table2[[HomeTeam]:[HomeTeam]], AZ$21) + SUMIFS(Table2[[HomeWon_]:[HomeWon_]], Table2[[GameIsOver]:[GameIsOver]],1,Table2[[HomeTeam]:[HomeTeam]],$T25, Table2[[AwayTeam]:[AwayTeam]], AZ$21))) + (0*(SUMIFS(Table2[[HomeWon_]:[HomeWon_]], Table2[[GameIsOver]:[GameIsOver]],1,Table2[[AwayTeam]:[AwayTeam]],$T25, Table2[[HomeTeam]:[HomeTeam]], AZ$21, Table2[[ActualResult]:[ActualResult]], "REG") + SUMIFS(Table2[[AwayWon]:[AwayWon]], Table2[[GameIsOver]:[GameIsOver]],1,Table2[[HomeTeam]:[HomeTeam]],$T25, Table2[[AwayTeam]:[AwayTeam]], AZ$21, Table2[[ActualResult]:[ActualResult]], "REG"))) + (1*(SUMIFS(Table2[[HomeWon_]:[HomeWon_]], Table2[[GameIsOver]:[GameIsOver]],1,Table2[[AwayTeam]:[AwayTeam]],$T25, Table2[[HomeTeam]:[HomeTeam]], AZ$21, Table2[[ActualResult]:[ActualResult]], "OT") + SUMIFS(Table2[[AwayWon]:[AwayWon]], Table2[[GameIsOver]:[GameIsOver]],1,Table2[[HomeTeam]:[HomeTeam]],$T25, Table2[[AwayTeam]:[AwayTeam]], AZ$21, Table2[[ActualResult]:[ActualResult]], "OT") + SUMIFS(Table2[[HomeWon_]:[HomeWon_]], Table2[[GameIsOver]:[GameIsOver]],1,Table2[[AwayTeam]:[AwayTeam]],$T25, Table2[[HomeTeam]:[HomeTeam]], AZ$21, Table2[[ActualResult]:[ActualResult]], "SO") + SUMIFS(Table2[[AwayWon]:[AwayWon]], Table2[[GameIsOver]:[GameIsOver]],1,Table2[[HomeTeam]:[HomeTeam]],$T25, Table2[[AwayTeam]:[AwayTeam]], AZ$21, Table2[[ActualResult]:[ActualResult]], "SO")))</f>
        <v>0</v>
      </c>
      <c r="BA25">
        <f>(2*(SUMIFS(Table2[[AwayWon]:[AwayWon]], Table2[[GameIsOver]:[GameIsOver]],1,Table2[[AwayTeam]:[AwayTeam]],$T25, Table2[[HomeTeam]:[HomeTeam]], BA$21) + SUMIFS(Table2[[HomeWon_]:[HomeWon_]], Table2[[GameIsOver]:[GameIsOver]],1,Table2[[HomeTeam]:[HomeTeam]],$T25, Table2[[AwayTeam]:[AwayTeam]], BA$21))) + (0*(SUMIFS(Table2[[HomeWon_]:[HomeWon_]], Table2[[GameIsOver]:[GameIsOver]],1,Table2[[AwayTeam]:[AwayTeam]],$T25, Table2[[HomeTeam]:[HomeTeam]], BA$21, Table2[[ActualResult]:[ActualResult]], "REG") + SUMIFS(Table2[[AwayWon]:[AwayWon]], Table2[[GameIsOver]:[GameIsOver]],1,Table2[[HomeTeam]:[HomeTeam]],$T25, Table2[[AwayTeam]:[AwayTeam]], BA$21, Table2[[ActualResult]:[ActualResult]], "REG"))) + (1*(SUMIFS(Table2[[HomeWon_]:[HomeWon_]], Table2[[GameIsOver]:[GameIsOver]],1,Table2[[AwayTeam]:[AwayTeam]],$T25, Table2[[HomeTeam]:[HomeTeam]], BA$21, Table2[[ActualResult]:[ActualResult]], "OT") + SUMIFS(Table2[[AwayWon]:[AwayWon]], Table2[[GameIsOver]:[GameIsOver]],1,Table2[[HomeTeam]:[HomeTeam]],$T25, Table2[[AwayTeam]:[AwayTeam]], BA$21, Table2[[ActualResult]:[ActualResult]], "OT") + SUMIFS(Table2[[HomeWon_]:[HomeWon_]], Table2[[GameIsOver]:[GameIsOver]],1,Table2[[AwayTeam]:[AwayTeam]],$T25, Table2[[HomeTeam]:[HomeTeam]], BA$21, Table2[[ActualResult]:[ActualResult]], "SO") + SUMIFS(Table2[[AwayWon]:[AwayWon]], Table2[[GameIsOver]:[GameIsOver]],1,Table2[[HomeTeam]:[HomeTeam]],$T25, Table2[[AwayTeam]:[AwayTeam]], BA$21, Table2[[ActualResult]:[ActualResult]], "SO")))</f>
        <v>1</v>
      </c>
    </row>
    <row r="26" spans="1:53" x14ac:dyDescent="0.25">
      <c r="A26" s="61" t="s">
        <v>12</v>
      </c>
      <c r="B26" s="61" t="s">
        <v>90</v>
      </c>
      <c r="C26" s="61" t="s">
        <v>88</v>
      </c>
      <c r="D26" s="62">
        <f>INDEX(Table3[PTS], MATCH(Table6[[#This Row],[Teams]], Table3[Teams],0))</f>
        <v>7</v>
      </c>
      <c r="E26" s="62">
        <f>INDEX(Table3[PTS], MATCH(Table6[[#This Row],[Teams]], Table3[Teams],0))</f>
        <v>7</v>
      </c>
      <c r="S26">
        <v>4</v>
      </c>
      <c r="T26" t="str" cm="1">
        <f t="array" ref="T26">INDEX(Table6[Teams], SMALL(IF(Table6[D]="M", ROW(Table6[Teams])-ROW(Table6[#Headers])), Table712[[#This Row],[MET]]))</f>
        <v>NYI</v>
      </c>
      <c r="U26">
        <f>INDEX(Table6[PTS], MATCH($T26, Table6[Teams], 0))</f>
        <v>6</v>
      </c>
      <c r="V26">
        <f>(2*(SUMIFS(Table2[[AwayWon]:[AwayWon]], Table2[[GameIsOver]:[GameIsOver]],1,Table2[[AwayTeam]:[AwayTeam]],$T26, Table2[[HomeTeam]:[HomeTeam]], V$21) + SUMIFS(Table2[[HomeWon_]:[HomeWon_]], Table2[[GameIsOver]:[GameIsOver]],1,Table2[[HomeTeam]:[HomeTeam]],$T26, Table2[[AwayTeam]:[AwayTeam]], V$21))) + (0*(SUMIFS(Table2[[HomeWon_]:[HomeWon_]], Table2[[GameIsOver]:[GameIsOver]],1,Table2[[AwayTeam]:[AwayTeam]],$T26, Table2[[HomeTeam]:[HomeTeam]], V$21, Table2[[ActualResult]:[ActualResult]], "REG") + SUMIFS(Table2[[AwayWon]:[AwayWon]], Table2[[GameIsOver]:[GameIsOver]],1,Table2[[HomeTeam]:[HomeTeam]],$T26, Table2[[AwayTeam]:[AwayTeam]], V$21, Table2[[ActualResult]:[ActualResult]], "REG"))) + (1*(SUMIFS(Table2[[HomeWon_]:[HomeWon_]], Table2[[GameIsOver]:[GameIsOver]],1,Table2[[AwayTeam]:[AwayTeam]],$T26, Table2[[HomeTeam]:[HomeTeam]], V$21, Table2[[ActualResult]:[ActualResult]], "OT") + SUMIFS(Table2[[AwayWon]:[AwayWon]], Table2[[GameIsOver]:[GameIsOver]],1,Table2[[HomeTeam]:[HomeTeam]],$T26, Table2[[AwayTeam]:[AwayTeam]], V$21, Table2[[ActualResult]:[ActualResult]], "OT") + SUMIFS(Table2[[HomeWon_]:[HomeWon_]], Table2[[GameIsOver]:[GameIsOver]],1,Table2[[AwayTeam]:[AwayTeam]],$T26, Table2[[HomeTeam]:[HomeTeam]], V$21, Table2[[ActualResult]:[ActualResult]], "SO") + SUMIFS(Table2[[AwayWon]:[AwayWon]], Table2[[GameIsOver]:[GameIsOver]],1,Table2[[HomeTeam]:[HomeTeam]],$T26, Table2[[AwayTeam]:[AwayTeam]], V$21, Table2[[ActualResult]:[ActualResult]], "SO")))</f>
        <v>0</v>
      </c>
      <c r="W26">
        <f>(2*(SUMIFS(Table2[[AwayWon]:[AwayWon]], Table2[[GameIsOver]:[GameIsOver]],1,Table2[[AwayTeam]:[AwayTeam]],$T26, Table2[[HomeTeam]:[HomeTeam]], W$21) + SUMIFS(Table2[[HomeWon_]:[HomeWon_]], Table2[[GameIsOver]:[GameIsOver]],1,Table2[[HomeTeam]:[HomeTeam]],$T26, Table2[[AwayTeam]:[AwayTeam]], W$21))) + (0*(SUMIFS(Table2[[HomeWon_]:[HomeWon_]], Table2[[GameIsOver]:[GameIsOver]],1,Table2[[AwayTeam]:[AwayTeam]],$T26, Table2[[HomeTeam]:[HomeTeam]], W$21, Table2[[ActualResult]:[ActualResult]], "REG") + SUMIFS(Table2[[AwayWon]:[AwayWon]], Table2[[GameIsOver]:[GameIsOver]],1,Table2[[HomeTeam]:[HomeTeam]],$T26, Table2[[AwayTeam]:[AwayTeam]], W$21, Table2[[ActualResult]:[ActualResult]], "REG"))) + (1*(SUMIFS(Table2[[HomeWon_]:[HomeWon_]], Table2[[GameIsOver]:[GameIsOver]],1,Table2[[AwayTeam]:[AwayTeam]],$T26, Table2[[HomeTeam]:[HomeTeam]], W$21, Table2[[ActualResult]:[ActualResult]], "OT") + SUMIFS(Table2[[AwayWon]:[AwayWon]], Table2[[GameIsOver]:[GameIsOver]],1,Table2[[HomeTeam]:[HomeTeam]],$T26, Table2[[AwayTeam]:[AwayTeam]], W$21, Table2[[ActualResult]:[ActualResult]], "OT") + SUMIFS(Table2[[HomeWon_]:[HomeWon_]], Table2[[GameIsOver]:[GameIsOver]],1,Table2[[AwayTeam]:[AwayTeam]],$T26, Table2[[HomeTeam]:[HomeTeam]], W$21, Table2[[ActualResult]:[ActualResult]], "SO") + SUMIFS(Table2[[AwayWon]:[AwayWon]], Table2[[GameIsOver]:[GameIsOver]],1,Table2[[HomeTeam]:[HomeTeam]],$T26, Table2[[AwayTeam]:[AwayTeam]], W$21, Table2[[ActualResult]:[ActualResult]], "SO")))</f>
        <v>0</v>
      </c>
      <c r="X26">
        <f>(2*(SUMIFS(Table2[[AwayWon]:[AwayWon]], Table2[[GameIsOver]:[GameIsOver]],1,Table2[[AwayTeam]:[AwayTeam]],$T26, Table2[[HomeTeam]:[HomeTeam]], X$21) + SUMIFS(Table2[[HomeWon_]:[HomeWon_]], Table2[[GameIsOver]:[GameIsOver]],1,Table2[[HomeTeam]:[HomeTeam]],$T26, Table2[[AwayTeam]:[AwayTeam]], X$21))) + (0*(SUMIFS(Table2[[HomeWon_]:[HomeWon_]], Table2[[GameIsOver]:[GameIsOver]],1,Table2[[AwayTeam]:[AwayTeam]],$T26, Table2[[HomeTeam]:[HomeTeam]], X$21, Table2[[ActualResult]:[ActualResult]], "REG") + SUMIFS(Table2[[AwayWon]:[AwayWon]], Table2[[GameIsOver]:[GameIsOver]],1,Table2[[HomeTeam]:[HomeTeam]],$T26, Table2[[AwayTeam]:[AwayTeam]], X$21, Table2[[ActualResult]:[ActualResult]], "REG"))) + (1*(SUMIFS(Table2[[HomeWon_]:[HomeWon_]], Table2[[GameIsOver]:[GameIsOver]],1,Table2[[AwayTeam]:[AwayTeam]],$T26, Table2[[HomeTeam]:[HomeTeam]], X$21, Table2[[ActualResult]:[ActualResult]], "OT") + SUMIFS(Table2[[AwayWon]:[AwayWon]], Table2[[GameIsOver]:[GameIsOver]],1,Table2[[HomeTeam]:[HomeTeam]],$T26, Table2[[AwayTeam]:[AwayTeam]], X$21, Table2[[ActualResult]:[ActualResult]], "OT") + SUMIFS(Table2[[HomeWon_]:[HomeWon_]], Table2[[GameIsOver]:[GameIsOver]],1,Table2[[AwayTeam]:[AwayTeam]],$T26, Table2[[HomeTeam]:[HomeTeam]], X$21, Table2[[ActualResult]:[ActualResult]], "SO") + SUMIFS(Table2[[AwayWon]:[AwayWon]], Table2[[GameIsOver]:[GameIsOver]],1,Table2[[HomeTeam]:[HomeTeam]],$T26, Table2[[AwayTeam]:[AwayTeam]], X$21, Table2[[ActualResult]:[ActualResult]], "SO")))</f>
        <v>2</v>
      </c>
      <c r="Y26">
        <f>(2*(SUMIFS(Table2[[AwayWon]:[AwayWon]], Table2[[GameIsOver]:[GameIsOver]],1,Table2[[AwayTeam]:[AwayTeam]],$T26, Table2[[HomeTeam]:[HomeTeam]], Y$21) + SUMIFS(Table2[[HomeWon_]:[HomeWon_]], Table2[[GameIsOver]:[GameIsOver]],1,Table2[[HomeTeam]:[HomeTeam]],$T26, Table2[[AwayTeam]:[AwayTeam]], Y$21))) + (0*(SUMIFS(Table2[[HomeWon_]:[HomeWon_]], Table2[[GameIsOver]:[GameIsOver]],1,Table2[[AwayTeam]:[AwayTeam]],$T26, Table2[[HomeTeam]:[HomeTeam]], Y$21, Table2[[ActualResult]:[ActualResult]], "REG") + SUMIFS(Table2[[AwayWon]:[AwayWon]], Table2[[GameIsOver]:[GameIsOver]],1,Table2[[HomeTeam]:[HomeTeam]],$T26, Table2[[AwayTeam]:[AwayTeam]], Y$21, Table2[[ActualResult]:[ActualResult]], "REG"))) + (1*(SUMIFS(Table2[[HomeWon_]:[HomeWon_]], Table2[[GameIsOver]:[GameIsOver]],1,Table2[[AwayTeam]:[AwayTeam]],$T26, Table2[[HomeTeam]:[HomeTeam]], Y$21, Table2[[ActualResult]:[ActualResult]], "OT") + SUMIFS(Table2[[AwayWon]:[AwayWon]], Table2[[GameIsOver]:[GameIsOver]],1,Table2[[HomeTeam]:[HomeTeam]],$T26, Table2[[AwayTeam]:[AwayTeam]], Y$21, Table2[[ActualResult]:[ActualResult]], "OT") + SUMIFS(Table2[[HomeWon_]:[HomeWon_]], Table2[[GameIsOver]:[GameIsOver]],1,Table2[[AwayTeam]:[AwayTeam]],$T26, Table2[[HomeTeam]:[HomeTeam]], Y$21, Table2[[ActualResult]:[ActualResult]], "SO") + SUMIFS(Table2[[AwayWon]:[AwayWon]], Table2[[GameIsOver]:[GameIsOver]],1,Table2[[HomeTeam]:[HomeTeam]],$T26, Table2[[AwayTeam]:[AwayTeam]], Y$21, Table2[[ActualResult]:[ActualResult]], "SO")))</f>
        <v>0</v>
      </c>
      <c r="Z26">
        <f>(2*(SUMIFS(Table2[[AwayWon]:[AwayWon]], Table2[[GameIsOver]:[GameIsOver]],1,Table2[[AwayTeam]:[AwayTeam]],$T26, Table2[[HomeTeam]:[HomeTeam]], Z$21) + SUMIFS(Table2[[HomeWon_]:[HomeWon_]], Table2[[GameIsOver]:[GameIsOver]],1,Table2[[HomeTeam]:[HomeTeam]],$T26, Table2[[AwayTeam]:[AwayTeam]], Z$21))) + (0*(SUMIFS(Table2[[HomeWon_]:[HomeWon_]], Table2[[GameIsOver]:[GameIsOver]],1,Table2[[AwayTeam]:[AwayTeam]],$T26, Table2[[HomeTeam]:[HomeTeam]], Z$21, Table2[[ActualResult]:[ActualResult]], "REG") + SUMIFS(Table2[[AwayWon]:[AwayWon]], Table2[[GameIsOver]:[GameIsOver]],1,Table2[[HomeTeam]:[HomeTeam]],$T26, Table2[[AwayTeam]:[AwayTeam]], Z$21, Table2[[ActualResult]:[ActualResult]], "REG"))) + (1*(SUMIFS(Table2[[HomeWon_]:[HomeWon_]], Table2[[GameIsOver]:[GameIsOver]],1,Table2[[AwayTeam]:[AwayTeam]],$T26, Table2[[HomeTeam]:[HomeTeam]], Z$21, Table2[[ActualResult]:[ActualResult]], "OT") + SUMIFS(Table2[[AwayWon]:[AwayWon]], Table2[[GameIsOver]:[GameIsOver]],1,Table2[[HomeTeam]:[HomeTeam]],$T26, Table2[[AwayTeam]:[AwayTeam]], Z$21, Table2[[ActualResult]:[ActualResult]], "OT") + SUMIFS(Table2[[HomeWon_]:[HomeWon_]], Table2[[GameIsOver]:[GameIsOver]],1,Table2[[AwayTeam]:[AwayTeam]],$T26, Table2[[HomeTeam]:[HomeTeam]], Z$21, Table2[[ActualResult]:[ActualResult]], "SO") + SUMIFS(Table2[[AwayWon]:[AwayWon]], Table2[[GameIsOver]:[GameIsOver]],1,Table2[[HomeTeam]:[HomeTeam]],$T26, Table2[[AwayTeam]:[AwayTeam]], Z$21, Table2[[ActualResult]:[ActualResult]], "SO")))</f>
        <v>0</v>
      </c>
      <c r="AA26">
        <f>(2*(SUMIFS(Table2[[AwayWon]:[AwayWon]], Table2[[GameIsOver]:[GameIsOver]],1,Table2[[AwayTeam]:[AwayTeam]],$T26, Table2[[HomeTeam]:[HomeTeam]], AA$21) + SUMIFS(Table2[[HomeWon_]:[HomeWon_]], Table2[[GameIsOver]:[GameIsOver]],1,Table2[[HomeTeam]:[HomeTeam]],$T26, Table2[[AwayTeam]:[AwayTeam]], AA$21))) + (0*(SUMIFS(Table2[[HomeWon_]:[HomeWon_]], Table2[[GameIsOver]:[GameIsOver]],1,Table2[[AwayTeam]:[AwayTeam]],$T26, Table2[[HomeTeam]:[HomeTeam]], AA$21, Table2[[ActualResult]:[ActualResult]], "REG") + SUMIFS(Table2[[AwayWon]:[AwayWon]], Table2[[GameIsOver]:[GameIsOver]],1,Table2[[HomeTeam]:[HomeTeam]],$T26, Table2[[AwayTeam]:[AwayTeam]], AA$21, Table2[[ActualResult]:[ActualResult]], "REG"))) + (1*(SUMIFS(Table2[[HomeWon_]:[HomeWon_]], Table2[[GameIsOver]:[GameIsOver]],1,Table2[[AwayTeam]:[AwayTeam]],$T26, Table2[[HomeTeam]:[HomeTeam]], AA$21, Table2[[ActualResult]:[ActualResult]], "OT") + SUMIFS(Table2[[AwayWon]:[AwayWon]], Table2[[GameIsOver]:[GameIsOver]],1,Table2[[HomeTeam]:[HomeTeam]],$T26, Table2[[AwayTeam]:[AwayTeam]], AA$21, Table2[[ActualResult]:[ActualResult]], "OT") + SUMIFS(Table2[[HomeWon_]:[HomeWon_]], Table2[[GameIsOver]:[GameIsOver]],1,Table2[[AwayTeam]:[AwayTeam]],$T26, Table2[[HomeTeam]:[HomeTeam]], AA$21, Table2[[ActualResult]:[ActualResult]], "SO") + SUMIFS(Table2[[AwayWon]:[AwayWon]], Table2[[GameIsOver]:[GameIsOver]],1,Table2[[HomeTeam]:[HomeTeam]],$T26, Table2[[AwayTeam]:[AwayTeam]], AA$21, Table2[[ActualResult]:[ActualResult]], "SO")))</f>
        <v>2</v>
      </c>
      <c r="AB26">
        <f>(2*(SUMIFS(Table2[[AwayWon]:[AwayWon]], Table2[[GameIsOver]:[GameIsOver]],1,Table2[[AwayTeam]:[AwayTeam]],$T26, Table2[[HomeTeam]:[HomeTeam]], AB$21) + SUMIFS(Table2[[HomeWon_]:[HomeWon_]], Table2[[GameIsOver]:[GameIsOver]],1,Table2[[HomeTeam]:[HomeTeam]],$T26, Table2[[AwayTeam]:[AwayTeam]], AB$21))) + (0*(SUMIFS(Table2[[HomeWon_]:[HomeWon_]], Table2[[GameIsOver]:[GameIsOver]],1,Table2[[AwayTeam]:[AwayTeam]],$T26, Table2[[HomeTeam]:[HomeTeam]], AB$21, Table2[[ActualResult]:[ActualResult]], "REG") + SUMIFS(Table2[[AwayWon]:[AwayWon]], Table2[[GameIsOver]:[GameIsOver]],1,Table2[[HomeTeam]:[HomeTeam]],$T26, Table2[[AwayTeam]:[AwayTeam]], AB$21, Table2[[ActualResult]:[ActualResult]], "REG"))) + (1*(SUMIFS(Table2[[HomeWon_]:[HomeWon_]], Table2[[GameIsOver]:[GameIsOver]],1,Table2[[AwayTeam]:[AwayTeam]],$T26, Table2[[HomeTeam]:[HomeTeam]], AB$21, Table2[[ActualResult]:[ActualResult]], "OT") + SUMIFS(Table2[[AwayWon]:[AwayWon]], Table2[[GameIsOver]:[GameIsOver]],1,Table2[[HomeTeam]:[HomeTeam]],$T26, Table2[[AwayTeam]:[AwayTeam]], AB$21, Table2[[ActualResult]:[ActualResult]], "OT") + SUMIFS(Table2[[HomeWon_]:[HomeWon_]], Table2[[GameIsOver]:[GameIsOver]],1,Table2[[AwayTeam]:[AwayTeam]],$T26, Table2[[HomeTeam]:[HomeTeam]], AB$21, Table2[[ActualResult]:[ActualResult]], "SO") + SUMIFS(Table2[[AwayWon]:[AwayWon]], Table2[[GameIsOver]:[GameIsOver]],1,Table2[[HomeTeam]:[HomeTeam]],$T26, Table2[[AwayTeam]:[AwayTeam]], AB$21, Table2[[ActualResult]:[ActualResult]], "SO")))</f>
        <v>0</v>
      </c>
      <c r="AC26">
        <f>(2*(SUMIFS(Table2[[AwayWon]:[AwayWon]], Table2[[GameIsOver]:[GameIsOver]],1,Table2[[AwayTeam]:[AwayTeam]],$T26, Table2[[HomeTeam]:[HomeTeam]], AC$21) + SUMIFS(Table2[[HomeWon_]:[HomeWon_]], Table2[[GameIsOver]:[GameIsOver]],1,Table2[[HomeTeam]:[HomeTeam]],$T26, Table2[[AwayTeam]:[AwayTeam]], AC$21))) + (0*(SUMIFS(Table2[[HomeWon_]:[HomeWon_]], Table2[[GameIsOver]:[GameIsOver]],1,Table2[[AwayTeam]:[AwayTeam]],$T26, Table2[[HomeTeam]:[HomeTeam]], AC$21, Table2[[ActualResult]:[ActualResult]], "REG") + SUMIFS(Table2[[AwayWon]:[AwayWon]], Table2[[GameIsOver]:[GameIsOver]],1,Table2[[HomeTeam]:[HomeTeam]],$T26, Table2[[AwayTeam]:[AwayTeam]], AC$21, Table2[[ActualResult]:[ActualResult]], "REG"))) + (1*(SUMIFS(Table2[[HomeWon_]:[HomeWon_]], Table2[[GameIsOver]:[GameIsOver]],1,Table2[[AwayTeam]:[AwayTeam]],$T26, Table2[[HomeTeam]:[HomeTeam]], AC$21, Table2[[ActualResult]:[ActualResult]], "OT") + SUMIFS(Table2[[AwayWon]:[AwayWon]], Table2[[GameIsOver]:[GameIsOver]],1,Table2[[HomeTeam]:[HomeTeam]],$T26, Table2[[AwayTeam]:[AwayTeam]], AC$21, Table2[[ActualResult]:[ActualResult]], "OT") + SUMIFS(Table2[[HomeWon_]:[HomeWon_]], Table2[[GameIsOver]:[GameIsOver]],1,Table2[[AwayTeam]:[AwayTeam]],$T26, Table2[[HomeTeam]:[HomeTeam]], AC$21, Table2[[ActualResult]:[ActualResult]], "SO") + SUMIFS(Table2[[AwayWon]:[AwayWon]], Table2[[GameIsOver]:[GameIsOver]],1,Table2[[HomeTeam]:[HomeTeam]],$T26, Table2[[AwayTeam]:[AwayTeam]], AC$21, Table2[[ActualResult]:[ActualResult]], "SO")))</f>
        <v>0</v>
      </c>
      <c r="AD26">
        <f>(2*(SUMIFS(Table2[[AwayWon]:[AwayWon]], Table2[[GameIsOver]:[GameIsOver]],1,Table2[[AwayTeam]:[AwayTeam]],$T26, Table2[[HomeTeam]:[HomeTeam]], AD$21) + SUMIFS(Table2[[HomeWon_]:[HomeWon_]], Table2[[GameIsOver]:[GameIsOver]],1,Table2[[HomeTeam]:[HomeTeam]],$T26, Table2[[AwayTeam]:[AwayTeam]], AD$21))) + (0*(SUMIFS(Table2[[HomeWon_]:[HomeWon_]], Table2[[GameIsOver]:[GameIsOver]],1,Table2[[AwayTeam]:[AwayTeam]],$T26, Table2[[HomeTeam]:[HomeTeam]], AD$21, Table2[[ActualResult]:[ActualResult]], "REG") + SUMIFS(Table2[[AwayWon]:[AwayWon]], Table2[[GameIsOver]:[GameIsOver]],1,Table2[[HomeTeam]:[HomeTeam]],$T26, Table2[[AwayTeam]:[AwayTeam]], AD$21, Table2[[ActualResult]:[ActualResult]], "REG"))) + (1*(SUMIFS(Table2[[HomeWon_]:[HomeWon_]], Table2[[GameIsOver]:[GameIsOver]],1,Table2[[AwayTeam]:[AwayTeam]],$T26, Table2[[HomeTeam]:[HomeTeam]], AD$21, Table2[[ActualResult]:[ActualResult]], "OT") + SUMIFS(Table2[[AwayWon]:[AwayWon]], Table2[[GameIsOver]:[GameIsOver]],1,Table2[[HomeTeam]:[HomeTeam]],$T26, Table2[[AwayTeam]:[AwayTeam]], AD$21, Table2[[ActualResult]:[ActualResult]], "OT") + SUMIFS(Table2[[HomeWon_]:[HomeWon_]], Table2[[GameIsOver]:[GameIsOver]],1,Table2[[AwayTeam]:[AwayTeam]],$T26, Table2[[HomeTeam]:[HomeTeam]], AD$21, Table2[[ActualResult]:[ActualResult]], "SO") + SUMIFS(Table2[[AwayWon]:[AwayWon]], Table2[[GameIsOver]:[GameIsOver]],1,Table2[[HomeTeam]:[HomeTeam]],$T26, Table2[[AwayTeam]:[AwayTeam]], AD$21, Table2[[ActualResult]:[ActualResult]], "SO")))</f>
        <v>0</v>
      </c>
      <c r="AE26">
        <f>(2*(SUMIFS(Table2[[AwayWon]:[AwayWon]], Table2[[GameIsOver]:[GameIsOver]],1,Table2[[AwayTeam]:[AwayTeam]],$T26, Table2[[HomeTeam]:[HomeTeam]], AE$21) + SUMIFS(Table2[[HomeWon_]:[HomeWon_]], Table2[[GameIsOver]:[GameIsOver]],1,Table2[[HomeTeam]:[HomeTeam]],$T26, Table2[[AwayTeam]:[AwayTeam]], AE$21))) + (0*(SUMIFS(Table2[[HomeWon_]:[HomeWon_]], Table2[[GameIsOver]:[GameIsOver]],1,Table2[[AwayTeam]:[AwayTeam]],$T26, Table2[[HomeTeam]:[HomeTeam]], AE$21, Table2[[ActualResult]:[ActualResult]], "REG") + SUMIFS(Table2[[AwayWon]:[AwayWon]], Table2[[GameIsOver]:[GameIsOver]],1,Table2[[HomeTeam]:[HomeTeam]],$T26, Table2[[AwayTeam]:[AwayTeam]], AE$21, Table2[[ActualResult]:[ActualResult]], "REG"))) + (1*(SUMIFS(Table2[[HomeWon_]:[HomeWon_]], Table2[[GameIsOver]:[GameIsOver]],1,Table2[[AwayTeam]:[AwayTeam]],$T26, Table2[[HomeTeam]:[HomeTeam]], AE$21, Table2[[ActualResult]:[ActualResult]], "OT") + SUMIFS(Table2[[AwayWon]:[AwayWon]], Table2[[GameIsOver]:[GameIsOver]],1,Table2[[HomeTeam]:[HomeTeam]],$T26, Table2[[AwayTeam]:[AwayTeam]], AE$21, Table2[[ActualResult]:[ActualResult]], "OT") + SUMIFS(Table2[[HomeWon_]:[HomeWon_]], Table2[[GameIsOver]:[GameIsOver]],1,Table2[[AwayTeam]:[AwayTeam]],$T26, Table2[[HomeTeam]:[HomeTeam]], AE$21, Table2[[ActualResult]:[ActualResult]], "SO") + SUMIFS(Table2[[AwayWon]:[AwayWon]], Table2[[GameIsOver]:[GameIsOver]],1,Table2[[HomeTeam]:[HomeTeam]],$T26, Table2[[AwayTeam]:[AwayTeam]], AE$21, Table2[[ActualResult]:[ActualResult]], "SO")))</f>
        <v>0</v>
      </c>
      <c r="AF26">
        <f>(2*(SUMIFS(Table2[[AwayWon]:[AwayWon]], Table2[[GameIsOver]:[GameIsOver]],1,Table2[[AwayTeam]:[AwayTeam]],$T26, Table2[[HomeTeam]:[HomeTeam]], AF$21) + SUMIFS(Table2[[HomeWon_]:[HomeWon_]], Table2[[GameIsOver]:[GameIsOver]],1,Table2[[HomeTeam]:[HomeTeam]],$T26, Table2[[AwayTeam]:[AwayTeam]], AF$21))) + (0*(SUMIFS(Table2[[HomeWon_]:[HomeWon_]], Table2[[GameIsOver]:[GameIsOver]],1,Table2[[AwayTeam]:[AwayTeam]],$T26, Table2[[HomeTeam]:[HomeTeam]], AF$21, Table2[[ActualResult]:[ActualResult]], "REG") + SUMIFS(Table2[[AwayWon]:[AwayWon]], Table2[[GameIsOver]:[GameIsOver]],1,Table2[[HomeTeam]:[HomeTeam]],$T26, Table2[[AwayTeam]:[AwayTeam]], AF$21, Table2[[ActualResult]:[ActualResult]], "REG"))) + (1*(SUMIFS(Table2[[HomeWon_]:[HomeWon_]], Table2[[GameIsOver]:[GameIsOver]],1,Table2[[AwayTeam]:[AwayTeam]],$T26, Table2[[HomeTeam]:[HomeTeam]], AF$21, Table2[[ActualResult]:[ActualResult]], "OT") + SUMIFS(Table2[[AwayWon]:[AwayWon]], Table2[[GameIsOver]:[GameIsOver]],1,Table2[[HomeTeam]:[HomeTeam]],$T26, Table2[[AwayTeam]:[AwayTeam]], AF$21, Table2[[ActualResult]:[ActualResult]], "OT") + SUMIFS(Table2[[HomeWon_]:[HomeWon_]], Table2[[GameIsOver]:[GameIsOver]],1,Table2[[AwayTeam]:[AwayTeam]],$T26, Table2[[HomeTeam]:[HomeTeam]], AF$21, Table2[[ActualResult]:[ActualResult]], "SO") + SUMIFS(Table2[[AwayWon]:[AwayWon]], Table2[[GameIsOver]:[GameIsOver]],1,Table2[[HomeTeam]:[HomeTeam]],$T26, Table2[[AwayTeam]:[AwayTeam]], AF$21, Table2[[ActualResult]:[ActualResult]], "SO")))</f>
        <v>0</v>
      </c>
      <c r="AG26">
        <f>(2*(SUMIFS(Table2[[AwayWon]:[AwayWon]], Table2[[GameIsOver]:[GameIsOver]],1,Table2[[AwayTeam]:[AwayTeam]],$T26, Table2[[HomeTeam]:[HomeTeam]], AG$21) + SUMIFS(Table2[[HomeWon_]:[HomeWon_]], Table2[[GameIsOver]:[GameIsOver]],1,Table2[[HomeTeam]:[HomeTeam]],$T26, Table2[[AwayTeam]:[AwayTeam]], AG$21))) + (0*(SUMIFS(Table2[[HomeWon_]:[HomeWon_]], Table2[[GameIsOver]:[GameIsOver]],1,Table2[[AwayTeam]:[AwayTeam]],$T26, Table2[[HomeTeam]:[HomeTeam]], AG$21, Table2[[ActualResult]:[ActualResult]], "REG") + SUMIFS(Table2[[AwayWon]:[AwayWon]], Table2[[GameIsOver]:[GameIsOver]],1,Table2[[HomeTeam]:[HomeTeam]],$T26, Table2[[AwayTeam]:[AwayTeam]], AG$21, Table2[[ActualResult]:[ActualResult]], "REG"))) + (1*(SUMIFS(Table2[[HomeWon_]:[HomeWon_]], Table2[[GameIsOver]:[GameIsOver]],1,Table2[[AwayTeam]:[AwayTeam]],$T26, Table2[[HomeTeam]:[HomeTeam]], AG$21, Table2[[ActualResult]:[ActualResult]], "OT") + SUMIFS(Table2[[AwayWon]:[AwayWon]], Table2[[GameIsOver]:[GameIsOver]],1,Table2[[HomeTeam]:[HomeTeam]],$T26, Table2[[AwayTeam]:[AwayTeam]], AG$21, Table2[[ActualResult]:[ActualResult]], "OT") + SUMIFS(Table2[[HomeWon_]:[HomeWon_]], Table2[[GameIsOver]:[GameIsOver]],1,Table2[[AwayTeam]:[AwayTeam]],$T26, Table2[[HomeTeam]:[HomeTeam]], AG$21, Table2[[ActualResult]:[ActualResult]], "SO") + SUMIFS(Table2[[AwayWon]:[AwayWon]], Table2[[GameIsOver]:[GameIsOver]],1,Table2[[HomeTeam]:[HomeTeam]],$T26, Table2[[AwayTeam]:[AwayTeam]], AG$21, Table2[[ActualResult]:[ActualResult]], "SO")))</f>
        <v>0</v>
      </c>
      <c r="AH26">
        <f>(2*(SUMIFS(Table2[[AwayWon]:[AwayWon]], Table2[[GameIsOver]:[GameIsOver]],1,Table2[[AwayTeam]:[AwayTeam]],$T26, Table2[[HomeTeam]:[HomeTeam]], AH$21) + SUMIFS(Table2[[HomeWon_]:[HomeWon_]], Table2[[GameIsOver]:[GameIsOver]],1,Table2[[HomeTeam]:[HomeTeam]],$T26, Table2[[AwayTeam]:[AwayTeam]], AH$21))) + (0*(SUMIFS(Table2[[HomeWon_]:[HomeWon_]], Table2[[GameIsOver]:[GameIsOver]],1,Table2[[AwayTeam]:[AwayTeam]],$T26, Table2[[HomeTeam]:[HomeTeam]], AH$21, Table2[[ActualResult]:[ActualResult]], "REG") + SUMIFS(Table2[[AwayWon]:[AwayWon]], Table2[[GameIsOver]:[GameIsOver]],1,Table2[[HomeTeam]:[HomeTeam]],$T26, Table2[[AwayTeam]:[AwayTeam]], AH$21, Table2[[ActualResult]:[ActualResult]], "REG"))) + (1*(SUMIFS(Table2[[HomeWon_]:[HomeWon_]], Table2[[GameIsOver]:[GameIsOver]],1,Table2[[AwayTeam]:[AwayTeam]],$T26, Table2[[HomeTeam]:[HomeTeam]], AH$21, Table2[[ActualResult]:[ActualResult]], "OT") + SUMIFS(Table2[[AwayWon]:[AwayWon]], Table2[[GameIsOver]:[GameIsOver]],1,Table2[[HomeTeam]:[HomeTeam]],$T26, Table2[[AwayTeam]:[AwayTeam]], AH$21, Table2[[ActualResult]:[ActualResult]], "OT") + SUMIFS(Table2[[HomeWon_]:[HomeWon_]], Table2[[GameIsOver]:[GameIsOver]],1,Table2[[AwayTeam]:[AwayTeam]],$T26, Table2[[HomeTeam]:[HomeTeam]], AH$21, Table2[[ActualResult]:[ActualResult]], "SO") + SUMIFS(Table2[[AwayWon]:[AwayWon]], Table2[[GameIsOver]:[GameIsOver]],1,Table2[[HomeTeam]:[HomeTeam]],$T26, Table2[[AwayTeam]:[AwayTeam]], AH$21, Table2[[ActualResult]:[ActualResult]], "SO")))</f>
        <v>0</v>
      </c>
      <c r="AI26">
        <f>(2*(SUMIFS(Table2[[AwayWon]:[AwayWon]], Table2[[GameIsOver]:[GameIsOver]],1,Table2[[AwayTeam]:[AwayTeam]],$T26, Table2[[HomeTeam]:[HomeTeam]], AI$21) + SUMIFS(Table2[[HomeWon_]:[HomeWon_]], Table2[[GameIsOver]:[GameIsOver]],1,Table2[[HomeTeam]:[HomeTeam]],$T26, Table2[[AwayTeam]:[AwayTeam]], AI$21))) + (0*(SUMIFS(Table2[[HomeWon_]:[HomeWon_]], Table2[[GameIsOver]:[GameIsOver]],1,Table2[[AwayTeam]:[AwayTeam]],$T26, Table2[[HomeTeam]:[HomeTeam]], AI$21, Table2[[ActualResult]:[ActualResult]], "REG") + SUMIFS(Table2[[AwayWon]:[AwayWon]], Table2[[GameIsOver]:[GameIsOver]],1,Table2[[HomeTeam]:[HomeTeam]],$T26, Table2[[AwayTeam]:[AwayTeam]], AI$21, Table2[[ActualResult]:[ActualResult]], "REG"))) + (1*(SUMIFS(Table2[[HomeWon_]:[HomeWon_]], Table2[[GameIsOver]:[GameIsOver]],1,Table2[[AwayTeam]:[AwayTeam]],$T26, Table2[[HomeTeam]:[HomeTeam]], AI$21, Table2[[ActualResult]:[ActualResult]], "OT") + SUMIFS(Table2[[AwayWon]:[AwayWon]], Table2[[GameIsOver]:[GameIsOver]],1,Table2[[HomeTeam]:[HomeTeam]],$T26, Table2[[AwayTeam]:[AwayTeam]], AI$21, Table2[[ActualResult]:[ActualResult]], "OT") + SUMIFS(Table2[[HomeWon_]:[HomeWon_]], Table2[[GameIsOver]:[GameIsOver]],1,Table2[[AwayTeam]:[AwayTeam]],$T26, Table2[[HomeTeam]:[HomeTeam]], AI$21, Table2[[ActualResult]:[ActualResult]], "SO") + SUMIFS(Table2[[AwayWon]:[AwayWon]], Table2[[GameIsOver]:[GameIsOver]],1,Table2[[HomeTeam]:[HomeTeam]],$T26, Table2[[AwayTeam]:[AwayTeam]], AI$21, Table2[[ActualResult]:[ActualResult]], "SO")))</f>
        <v>0</v>
      </c>
      <c r="AJ26">
        <f>(2*(SUMIFS(Table2[[AwayWon]:[AwayWon]], Table2[[GameIsOver]:[GameIsOver]],1,Table2[[AwayTeam]:[AwayTeam]],$T26, Table2[[HomeTeam]:[HomeTeam]], AJ$21) + SUMIFS(Table2[[HomeWon_]:[HomeWon_]], Table2[[GameIsOver]:[GameIsOver]],1,Table2[[HomeTeam]:[HomeTeam]],$T26, Table2[[AwayTeam]:[AwayTeam]], AJ$21))) + (0*(SUMIFS(Table2[[HomeWon_]:[HomeWon_]], Table2[[GameIsOver]:[GameIsOver]],1,Table2[[AwayTeam]:[AwayTeam]],$T26, Table2[[HomeTeam]:[HomeTeam]], AJ$21, Table2[[ActualResult]:[ActualResult]], "REG") + SUMIFS(Table2[[AwayWon]:[AwayWon]], Table2[[GameIsOver]:[GameIsOver]],1,Table2[[HomeTeam]:[HomeTeam]],$T26, Table2[[AwayTeam]:[AwayTeam]], AJ$21, Table2[[ActualResult]:[ActualResult]], "REG"))) + (1*(SUMIFS(Table2[[HomeWon_]:[HomeWon_]], Table2[[GameIsOver]:[GameIsOver]],1,Table2[[AwayTeam]:[AwayTeam]],$T26, Table2[[HomeTeam]:[HomeTeam]], AJ$21, Table2[[ActualResult]:[ActualResult]], "OT") + SUMIFS(Table2[[AwayWon]:[AwayWon]], Table2[[GameIsOver]:[GameIsOver]],1,Table2[[HomeTeam]:[HomeTeam]],$T26, Table2[[AwayTeam]:[AwayTeam]], AJ$21, Table2[[ActualResult]:[ActualResult]], "OT") + SUMIFS(Table2[[HomeWon_]:[HomeWon_]], Table2[[GameIsOver]:[GameIsOver]],1,Table2[[AwayTeam]:[AwayTeam]],$T26, Table2[[HomeTeam]:[HomeTeam]], AJ$21, Table2[[ActualResult]:[ActualResult]], "SO") + SUMIFS(Table2[[AwayWon]:[AwayWon]], Table2[[GameIsOver]:[GameIsOver]],1,Table2[[HomeTeam]:[HomeTeam]],$T26, Table2[[AwayTeam]:[AwayTeam]], AJ$21, Table2[[ActualResult]:[ActualResult]], "SO")))</f>
        <v>0</v>
      </c>
      <c r="AK26">
        <f>(2*(SUMIFS(Table2[[AwayWon]:[AwayWon]], Table2[[GameIsOver]:[GameIsOver]],1,Table2[[AwayTeam]:[AwayTeam]],$T26, Table2[[HomeTeam]:[HomeTeam]], AK$21) + SUMIFS(Table2[[HomeWon_]:[HomeWon_]], Table2[[GameIsOver]:[GameIsOver]],1,Table2[[HomeTeam]:[HomeTeam]],$T26, Table2[[AwayTeam]:[AwayTeam]], AK$21))) + (0*(SUMIFS(Table2[[HomeWon_]:[HomeWon_]], Table2[[GameIsOver]:[GameIsOver]],1,Table2[[AwayTeam]:[AwayTeam]],$T26, Table2[[HomeTeam]:[HomeTeam]], AK$21, Table2[[ActualResult]:[ActualResult]], "REG") + SUMIFS(Table2[[AwayWon]:[AwayWon]], Table2[[GameIsOver]:[GameIsOver]],1,Table2[[HomeTeam]:[HomeTeam]],$T26, Table2[[AwayTeam]:[AwayTeam]], AK$21, Table2[[ActualResult]:[ActualResult]], "REG"))) + (1*(SUMIFS(Table2[[HomeWon_]:[HomeWon_]], Table2[[GameIsOver]:[GameIsOver]],1,Table2[[AwayTeam]:[AwayTeam]],$T26, Table2[[HomeTeam]:[HomeTeam]], AK$21, Table2[[ActualResult]:[ActualResult]], "OT") + SUMIFS(Table2[[AwayWon]:[AwayWon]], Table2[[GameIsOver]:[GameIsOver]],1,Table2[[HomeTeam]:[HomeTeam]],$T26, Table2[[AwayTeam]:[AwayTeam]], AK$21, Table2[[ActualResult]:[ActualResult]], "OT") + SUMIFS(Table2[[HomeWon_]:[HomeWon_]], Table2[[GameIsOver]:[GameIsOver]],1,Table2[[AwayTeam]:[AwayTeam]],$T26, Table2[[HomeTeam]:[HomeTeam]], AK$21, Table2[[ActualResult]:[ActualResult]], "SO") + SUMIFS(Table2[[AwayWon]:[AwayWon]], Table2[[GameIsOver]:[GameIsOver]],1,Table2[[HomeTeam]:[HomeTeam]],$T26, Table2[[AwayTeam]:[AwayTeam]], AK$21, Table2[[ActualResult]:[ActualResult]], "SO")))</f>
        <v>0</v>
      </c>
      <c r="AL26">
        <f>(2*(SUMIFS(Table2[[AwayWon]:[AwayWon]], Table2[[GameIsOver]:[GameIsOver]],1,Table2[[AwayTeam]:[AwayTeam]],$T26, Table2[[HomeTeam]:[HomeTeam]], AL$21) + SUMIFS(Table2[[HomeWon_]:[HomeWon_]], Table2[[GameIsOver]:[GameIsOver]],1,Table2[[HomeTeam]:[HomeTeam]],$T26, Table2[[AwayTeam]:[AwayTeam]], AL$21))) + (0*(SUMIFS(Table2[[HomeWon_]:[HomeWon_]], Table2[[GameIsOver]:[GameIsOver]],1,Table2[[AwayTeam]:[AwayTeam]],$T26, Table2[[HomeTeam]:[HomeTeam]], AL$21, Table2[[ActualResult]:[ActualResult]], "REG") + SUMIFS(Table2[[AwayWon]:[AwayWon]], Table2[[GameIsOver]:[GameIsOver]],1,Table2[[HomeTeam]:[HomeTeam]],$T26, Table2[[AwayTeam]:[AwayTeam]], AL$21, Table2[[ActualResult]:[ActualResult]], "REG"))) + (1*(SUMIFS(Table2[[HomeWon_]:[HomeWon_]], Table2[[GameIsOver]:[GameIsOver]],1,Table2[[AwayTeam]:[AwayTeam]],$T26, Table2[[HomeTeam]:[HomeTeam]], AL$21, Table2[[ActualResult]:[ActualResult]], "OT") + SUMIFS(Table2[[AwayWon]:[AwayWon]], Table2[[GameIsOver]:[GameIsOver]],1,Table2[[HomeTeam]:[HomeTeam]],$T26, Table2[[AwayTeam]:[AwayTeam]], AL$21, Table2[[ActualResult]:[ActualResult]], "OT") + SUMIFS(Table2[[HomeWon_]:[HomeWon_]], Table2[[GameIsOver]:[GameIsOver]],1,Table2[[AwayTeam]:[AwayTeam]],$T26, Table2[[HomeTeam]:[HomeTeam]], AL$21, Table2[[ActualResult]:[ActualResult]], "SO") + SUMIFS(Table2[[AwayWon]:[AwayWon]], Table2[[GameIsOver]:[GameIsOver]],1,Table2[[HomeTeam]:[HomeTeam]],$T26, Table2[[AwayTeam]:[AwayTeam]], AL$21, Table2[[ActualResult]:[ActualResult]], "SO")))</f>
        <v>0</v>
      </c>
      <c r="AM26">
        <f>(2*(SUMIFS(Table2[[AwayWon]:[AwayWon]], Table2[[GameIsOver]:[GameIsOver]],1,Table2[[AwayTeam]:[AwayTeam]],$T26, Table2[[HomeTeam]:[HomeTeam]], AM$21) + SUMIFS(Table2[[HomeWon_]:[HomeWon_]], Table2[[GameIsOver]:[GameIsOver]],1,Table2[[HomeTeam]:[HomeTeam]],$T26, Table2[[AwayTeam]:[AwayTeam]], AM$21))) + (0*(SUMIFS(Table2[[HomeWon_]:[HomeWon_]], Table2[[GameIsOver]:[GameIsOver]],1,Table2[[AwayTeam]:[AwayTeam]],$T26, Table2[[HomeTeam]:[HomeTeam]], AM$21, Table2[[ActualResult]:[ActualResult]], "REG") + SUMIFS(Table2[[AwayWon]:[AwayWon]], Table2[[GameIsOver]:[GameIsOver]],1,Table2[[HomeTeam]:[HomeTeam]],$T26, Table2[[AwayTeam]:[AwayTeam]], AM$21, Table2[[ActualResult]:[ActualResult]], "REG"))) + (1*(SUMIFS(Table2[[HomeWon_]:[HomeWon_]], Table2[[GameIsOver]:[GameIsOver]],1,Table2[[AwayTeam]:[AwayTeam]],$T26, Table2[[HomeTeam]:[HomeTeam]], AM$21, Table2[[ActualResult]:[ActualResult]], "OT") + SUMIFS(Table2[[AwayWon]:[AwayWon]], Table2[[GameIsOver]:[GameIsOver]],1,Table2[[HomeTeam]:[HomeTeam]],$T26, Table2[[AwayTeam]:[AwayTeam]], AM$21, Table2[[ActualResult]:[ActualResult]], "OT") + SUMIFS(Table2[[HomeWon_]:[HomeWon_]], Table2[[GameIsOver]:[GameIsOver]],1,Table2[[AwayTeam]:[AwayTeam]],$T26, Table2[[HomeTeam]:[HomeTeam]], AM$21, Table2[[ActualResult]:[ActualResult]], "SO") + SUMIFS(Table2[[AwayWon]:[AwayWon]], Table2[[GameIsOver]:[GameIsOver]],1,Table2[[HomeTeam]:[HomeTeam]],$T26, Table2[[AwayTeam]:[AwayTeam]], AM$21, Table2[[ActualResult]:[ActualResult]], "SO")))</f>
        <v>0</v>
      </c>
      <c r="AN26">
        <f>(2*(SUMIFS(Table2[[AwayWon]:[AwayWon]], Table2[[GameIsOver]:[GameIsOver]],1,Table2[[AwayTeam]:[AwayTeam]],$T26, Table2[[HomeTeam]:[HomeTeam]], AN$21) + SUMIFS(Table2[[HomeWon_]:[HomeWon_]], Table2[[GameIsOver]:[GameIsOver]],1,Table2[[HomeTeam]:[HomeTeam]],$T26, Table2[[AwayTeam]:[AwayTeam]], AN$21))) + (0*(SUMIFS(Table2[[HomeWon_]:[HomeWon_]], Table2[[GameIsOver]:[GameIsOver]],1,Table2[[AwayTeam]:[AwayTeam]],$T26, Table2[[HomeTeam]:[HomeTeam]], AN$21, Table2[[ActualResult]:[ActualResult]], "REG") + SUMIFS(Table2[[AwayWon]:[AwayWon]], Table2[[GameIsOver]:[GameIsOver]],1,Table2[[HomeTeam]:[HomeTeam]],$T26, Table2[[AwayTeam]:[AwayTeam]], AN$21, Table2[[ActualResult]:[ActualResult]], "REG"))) + (1*(SUMIFS(Table2[[HomeWon_]:[HomeWon_]], Table2[[GameIsOver]:[GameIsOver]],1,Table2[[AwayTeam]:[AwayTeam]],$T26, Table2[[HomeTeam]:[HomeTeam]], AN$21, Table2[[ActualResult]:[ActualResult]], "OT") + SUMIFS(Table2[[AwayWon]:[AwayWon]], Table2[[GameIsOver]:[GameIsOver]],1,Table2[[HomeTeam]:[HomeTeam]],$T26, Table2[[AwayTeam]:[AwayTeam]], AN$21, Table2[[ActualResult]:[ActualResult]], "OT") + SUMIFS(Table2[[HomeWon_]:[HomeWon_]], Table2[[GameIsOver]:[GameIsOver]],1,Table2[[AwayTeam]:[AwayTeam]],$T26, Table2[[HomeTeam]:[HomeTeam]], AN$21, Table2[[ActualResult]:[ActualResult]], "SO") + SUMIFS(Table2[[AwayWon]:[AwayWon]], Table2[[GameIsOver]:[GameIsOver]],1,Table2[[HomeTeam]:[HomeTeam]],$T26, Table2[[AwayTeam]:[AwayTeam]], AN$21, Table2[[ActualResult]:[ActualResult]], "SO")))</f>
        <v>0</v>
      </c>
      <c r="AO26">
        <f>(2*(SUMIFS(Table2[[AwayWon]:[AwayWon]], Table2[[GameIsOver]:[GameIsOver]],1,Table2[[AwayTeam]:[AwayTeam]],$T26, Table2[[HomeTeam]:[HomeTeam]], AO$21) + SUMIFS(Table2[[HomeWon_]:[HomeWon_]], Table2[[GameIsOver]:[GameIsOver]],1,Table2[[HomeTeam]:[HomeTeam]],$T26, Table2[[AwayTeam]:[AwayTeam]], AO$21))) + (0*(SUMIFS(Table2[[HomeWon_]:[HomeWon_]], Table2[[GameIsOver]:[GameIsOver]],1,Table2[[AwayTeam]:[AwayTeam]],$T26, Table2[[HomeTeam]:[HomeTeam]], AO$21, Table2[[ActualResult]:[ActualResult]], "REG") + SUMIFS(Table2[[AwayWon]:[AwayWon]], Table2[[GameIsOver]:[GameIsOver]],1,Table2[[HomeTeam]:[HomeTeam]],$T26, Table2[[AwayTeam]:[AwayTeam]], AO$21, Table2[[ActualResult]:[ActualResult]], "REG"))) + (1*(SUMIFS(Table2[[HomeWon_]:[HomeWon_]], Table2[[GameIsOver]:[GameIsOver]],1,Table2[[AwayTeam]:[AwayTeam]],$T26, Table2[[HomeTeam]:[HomeTeam]], AO$21, Table2[[ActualResult]:[ActualResult]], "OT") + SUMIFS(Table2[[AwayWon]:[AwayWon]], Table2[[GameIsOver]:[GameIsOver]],1,Table2[[HomeTeam]:[HomeTeam]],$T26, Table2[[AwayTeam]:[AwayTeam]], AO$21, Table2[[ActualResult]:[ActualResult]], "OT") + SUMIFS(Table2[[HomeWon_]:[HomeWon_]], Table2[[GameIsOver]:[GameIsOver]],1,Table2[[AwayTeam]:[AwayTeam]],$T26, Table2[[HomeTeam]:[HomeTeam]], AO$21, Table2[[ActualResult]:[ActualResult]], "SO") + SUMIFS(Table2[[AwayWon]:[AwayWon]], Table2[[GameIsOver]:[GameIsOver]],1,Table2[[HomeTeam]:[HomeTeam]],$T26, Table2[[AwayTeam]:[AwayTeam]], AO$21, Table2[[ActualResult]:[ActualResult]], "SO")))</f>
        <v>0</v>
      </c>
      <c r="AP26">
        <f>(2*(SUMIFS(Table2[[AwayWon]:[AwayWon]], Table2[[GameIsOver]:[GameIsOver]],1,Table2[[AwayTeam]:[AwayTeam]],$T26, Table2[[HomeTeam]:[HomeTeam]], AP$21) + SUMIFS(Table2[[HomeWon_]:[HomeWon_]], Table2[[GameIsOver]:[GameIsOver]],1,Table2[[HomeTeam]:[HomeTeam]],$T26, Table2[[AwayTeam]:[AwayTeam]], AP$21))) + (0*(SUMIFS(Table2[[HomeWon_]:[HomeWon_]], Table2[[GameIsOver]:[GameIsOver]],1,Table2[[AwayTeam]:[AwayTeam]],$T26, Table2[[HomeTeam]:[HomeTeam]], AP$21, Table2[[ActualResult]:[ActualResult]], "REG") + SUMIFS(Table2[[AwayWon]:[AwayWon]], Table2[[GameIsOver]:[GameIsOver]],1,Table2[[HomeTeam]:[HomeTeam]],$T26, Table2[[AwayTeam]:[AwayTeam]], AP$21, Table2[[ActualResult]:[ActualResult]], "REG"))) + (1*(SUMIFS(Table2[[HomeWon_]:[HomeWon_]], Table2[[GameIsOver]:[GameIsOver]],1,Table2[[AwayTeam]:[AwayTeam]],$T26, Table2[[HomeTeam]:[HomeTeam]], AP$21, Table2[[ActualResult]:[ActualResult]], "OT") + SUMIFS(Table2[[AwayWon]:[AwayWon]], Table2[[GameIsOver]:[GameIsOver]],1,Table2[[HomeTeam]:[HomeTeam]],$T26, Table2[[AwayTeam]:[AwayTeam]], AP$21, Table2[[ActualResult]:[ActualResult]], "OT") + SUMIFS(Table2[[HomeWon_]:[HomeWon_]], Table2[[GameIsOver]:[GameIsOver]],1,Table2[[AwayTeam]:[AwayTeam]],$T26, Table2[[HomeTeam]:[HomeTeam]], AP$21, Table2[[ActualResult]:[ActualResult]], "SO") + SUMIFS(Table2[[AwayWon]:[AwayWon]], Table2[[GameIsOver]:[GameIsOver]],1,Table2[[HomeTeam]:[HomeTeam]],$T26, Table2[[AwayTeam]:[AwayTeam]], AP$21, Table2[[ActualResult]:[ActualResult]], "SO")))</f>
        <v>0</v>
      </c>
      <c r="AQ26">
        <f>(2*(SUMIFS(Table2[[AwayWon]:[AwayWon]], Table2[[GameIsOver]:[GameIsOver]],1,Table2[[AwayTeam]:[AwayTeam]],$T26, Table2[[HomeTeam]:[HomeTeam]], AQ$21) + SUMIFS(Table2[[HomeWon_]:[HomeWon_]], Table2[[GameIsOver]:[GameIsOver]],1,Table2[[HomeTeam]:[HomeTeam]],$T26, Table2[[AwayTeam]:[AwayTeam]], AQ$21))) + (0*(SUMIFS(Table2[[HomeWon_]:[HomeWon_]], Table2[[GameIsOver]:[GameIsOver]],1,Table2[[AwayTeam]:[AwayTeam]],$T26, Table2[[HomeTeam]:[HomeTeam]], AQ$21, Table2[[ActualResult]:[ActualResult]], "REG") + SUMIFS(Table2[[AwayWon]:[AwayWon]], Table2[[GameIsOver]:[GameIsOver]],1,Table2[[HomeTeam]:[HomeTeam]],$T26, Table2[[AwayTeam]:[AwayTeam]], AQ$21, Table2[[ActualResult]:[ActualResult]], "REG"))) + (1*(SUMIFS(Table2[[HomeWon_]:[HomeWon_]], Table2[[GameIsOver]:[GameIsOver]],1,Table2[[AwayTeam]:[AwayTeam]],$T26, Table2[[HomeTeam]:[HomeTeam]], AQ$21, Table2[[ActualResult]:[ActualResult]], "OT") + SUMIFS(Table2[[AwayWon]:[AwayWon]], Table2[[GameIsOver]:[GameIsOver]],1,Table2[[HomeTeam]:[HomeTeam]],$T26, Table2[[AwayTeam]:[AwayTeam]], AQ$21, Table2[[ActualResult]:[ActualResult]], "OT") + SUMIFS(Table2[[HomeWon_]:[HomeWon_]], Table2[[GameIsOver]:[GameIsOver]],1,Table2[[AwayTeam]:[AwayTeam]],$T26, Table2[[HomeTeam]:[HomeTeam]], AQ$21, Table2[[ActualResult]:[ActualResult]], "SO") + SUMIFS(Table2[[AwayWon]:[AwayWon]], Table2[[GameIsOver]:[GameIsOver]],1,Table2[[HomeTeam]:[HomeTeam]],$T26, Table2[[AwayTeam]:[AwayTeam]], AQ$21, Table2[[ActualResult]:[ActualResult]], "SO")))</f>
        <v>0</v>
      </c>
      <c r="AR26">
        <f>(2*(SUMIFS(Table2[[AwayWon]:[AwayWon]], Table2[[GameIsOver]:[GameIsOver]],1,Table2[[AwayTeam]:[AwayTeam]],$T26, Table2[[HomeTeam]:[HomeTeam]], AR$21) + SUMIFS(Table2[[HomeWon_]:[HomeWon_]], Table2[[GameIsOver]:[GameIsOver]],1,Table2[[HomeTeam]:[HomeTeam]],$T26, Table2[[AwayTeam]:[AwayTeam]], AR$21))) + (0*(SUMIFS(Table2[[HomeWon_]:[HomeWon_]], Table2[[GameIsOver]:[GameIsOver]],1,Table2[[AwayTeam]:[AwayTeam]],$T26, Table2[[HomeTeam]:[HomeTeam]], AR$21, Table2[[ActualResult]:[ActualResult]], "REG") + SUMIFS(Table2[[AwayWon]:[AwayWon]], Table2[[GameIsOver]:[GameIsOver]],1,Table2[[HomeTeam]:[HomeTeam]],$T26, Table2[[AwayTeam]:[AwayTeam]], AR$21, Table2[[ActualResult]:[ActualResult]], "REG"))) + (1*(SUMIFS(Table2[[HomeWon_]:[HomeWon_]], Table2[[GameIsOver]:[GameIsOver]],1,Table2[[AwayTeam]:[AwayTeam]],$T26, Table2[[HomeTeam]:[HomeTeam]], AR$21, Table2[[ActualResult]:[ActualResult]], "OT") + SUMIFS(Table2[[AwayWon]:[AwayWon]], Table2[[GameIsOver]:[GameIsOver]],1,Table2[[HomeTeam]:[HomeTeam]],$T26, Table2[[AwayTeam]:[AwayTeam]], AR$21, Table2[[ActualResult]:[ActualResult]], "OT") + SUMIFS(Table2[[HomeWon_]:[HomeWon_]], Table2[[GameIsOver]:[GameIsOver]],1,Table2[[AwayTeam]:[AwayTeam]],$T26, Table2[[HomeTeam]:[HomeTeam]], AR$21, Table2[[ActualResult]:[ActualResult]], "SO") + SUMIFS(Table2[[AwayWon]:[AwayWon]], Table2[[GameIsOver]:[GameIsOver]],1,Table2[[HomeTeam]:[HomeTeam]],$T26, Table2[[AwayTeam]:[AwayTeam]], AR$21, Table2[[ActualResult]:[ActualResult]], "SO")))</f>
        <v>0</v>
      </c>
      <c r="AS26">
        <f>(2*(SUMIFS(Table2[[AwayWon]:[AwayWon]], Table2[[GameIsOver]:[GameIsOver]],1,Table2[[AwayTeam]:[AwayTeam]],$T26, Table2[[HomeTeam]:[HomeTeam]], AS$21) + SUMIFS(Table2[[HomeWon_]:[HomeWon_]], Table2[[GameIsOver]:[GameIsOver]],1,Table2[[HomeTeam]:[HomeTeam]],$T26, Table2[[AwayTeam]:[AwayTeam]], AS$21))) + (0*(SUMIFS(Table2[[HomeWon_]:[HomeWon_]], Table2[[GameIsOver]:[GameIsOver]],1,Table2[[AwayTeam]:[AwayTeam]],$T26, Table2[[HomeTeam]:[HomeTeam]], AS$21, Table2[[ActualResult]:[ActualResult]], "REG") + SUMIFS(Table2[[AwayWon]:[AwayWon]], Table2[[GameIsOver]:[GameIsOver]],1,Table2[[HomeTeam]:[HomeTeam]],$T26, Table2[[AwayTeam]:[AwayTeam]], AS$21, Table2[[ActualResult]:[ActualResult]], "REG"))) + (1*(SUMIFS(Table2[[HomeWon_]:[HomeWon_]], Table2[[GameIsOver]:[GameIsOver]],1,Table2[[AwayTeam]:[AwayTeam]],$T26, Table2[[HomeTeam]:[HomeTeam]], AS$21, Table2[[ActualResult]:[ActualResult]], "OT") + SUMIFS(Table2[[AwayWon]:[AwayWon]], Table2[[GameIsOver]:[GameIsOver]],1,Table2[[HomeTeam]:[HomeTeam]],$T26, Table2[[AwayTeam]:[AwayTeam]], AS$21, Table2[[ActualResult]:[ActualResult]], "OT") + SUMIFS(Table2[[HomeWon_]:[HomeWon_]], Table2[[GameIsOver]:[GameIsOver]],1,Table2[[AwayTeam]:[AwayTeam]],$T26, Table2[[HomeTeam]:[HomeTeam]], AS$21, Table2[[ActualResult]:[ActualResult]], "SO") + SUMIFS(Table2[[AwayWon]:[AwayWon]], Table2[[GameIsOver]:[GameIsOver]],1,Table2[[HomeTeam]:[HomeTeam]],$T26, Table2[[AwayTeam]:[AwayTeam]], AS$21, Table2[[ActualResult]:[ActualResult]], "SO")))</f>
        <v>0</v>
      </c>
      <c r="AT26">
        <f>(2*(SUMIFS(Table2[[AwayWon]:[AwayWon]], Table2[[GameIsOver]:[GameIsOver]],1,Table2[[AwayTeam]:[AwayTeam]],$T26, Table2[[HomeTeam]:[HomeTeam]], AT$21) + SUMIFS(Table2[[HomeWon_]:[HomeWon_]], Table2[[GameIsOver]:[GameIsOver]],1,Table2[[HomeTeam]:[HomeTeam]],$T26, Table2[[AwayTeam]:[AwayTeam]], AT$21))) + (0*(SUMIFS(Table2[[HomeWon_]:[HomeWon_]], Table2[[GameIsOver]:[GameIsOver]],1,Table2[[AwayTeam]:[AwayTeam]],$T26, Table2[[HomeTeam]:[HomeTeam]], AT$21, Table2[[ActualResult]:[ActualResult]], "REG") + SUMIFS(Table2[[AwayWon]:[AwayWon]], Table2[[GameIsOver]:[GameIsOver]],1,Table2[[HomeTeam]:[HomeTeam]],$T26, Table2[[AwayTeam]:[AwayTeam]], AT$21, Table2[[ActualResult]:[ActualResult]], "REG"))) + (1*(SUMIFS(Table2[[HomeWon_]:[HomeWon_]], Table2[[GameIsOver]:[GameIsOver]],1,Table2[[AwayTeam]:[AwayTeam]],$T26, Table2[[HomeTeam]:[HomeTeam]], AT$21, Table2[[ActualResult]:[ActualResult]], "OT") + SUMIFS(Table2[[AwayWon]:[AwayWon]], Table2[[GameIsOver]:[GameIsOver]],1,Table2[[HomeTeam]:[HomeTeam]],$T26, Table2[[AwayTeam]:[AwayTeam]], AT$21, Table2[[ActualResult]:[ActualResult]], "OT") + SUMIFS(Table2[[HomeWon_]:[HomeWon_]], Table2[[GameIsOver]:[GameIsOver]],1,Table2[[AwayTeam]:[AwayTeam]],$T26, Table2[[HomeTeam]:[HomeTeam]], AT$21, Table2[[ActualResult]:[ActualResult]], "SO") + SUMIFS(Table2[[AwayWon]:[AwayWon]], Table2[[GameIsOver]:[GameIsOver]],1,Table2[[HomeTeam]:[HomeTeam]],$T26, Table2[[AwayTeam]:[AwayTeam]], AT$21, Table2[[ActualResult]:[ActualResult]], "SO")))</f>
        <v>0</v>
      </c>
      <c r="AU26">
        <f>(2*(SUMIFS(Table2[[AwayWon]:[AwayWon]], Table2[[GameIsOver]:[GameIsOver]],1,Table2[[AwayTeam]:[AwayTeam]],$T26, Table2[[HomeTeam]:[HomeTeam]], AU$21) + SUMIFS(Table2[[HomeWon_]:[HomeWon_]], Table2[[GameIsOver]:[GameIsOver]],1,Table2[[HomeTeam]:[HomeTeam]],$T26, Table2[[AwayTeam]:[AwayTeam]], AU$21))) + (0*(SUMIFS(Table2[[HomeWon_]:[HomeWon_]], Table2[[GameIsOver]:[GameIsOver]],1,Table2[[AwayTeam]:[AwayTeam]],$T26, Table2[[HomeTeam]:[HomeTeam]], AU$21, Table2[[ActualResult]:[ActualResult]], "REG") + SUMIFS(Table2[[AwayWon]:[AwayWon]], Table2[[GameIsOver]:[GameIsOver]],1,Table2[[HomeTeam]:[HomeTeam]],$T26, Table2[[AwayTeam]:[AwayTeam]], AU$21, Table2[[ActualResult]:[ActualResult]], "REG"))) + (1*(SUMIFS(Table2[[HomeWon_]:[HomeWon_]], Table2[[GameIsOver]:[GameIsOver]],1,Table2[[AwayTeam]:[AwayTeam]],$T26, Table2[[HomeTeam]:[HomeTeam]], AU$21, Table2[[ActualResult]:[ActualResult]], "OT") + SUMIFS(Table2[[AwayWon]:[AwayWon]], Table2[[GameIsOver]:[GameIsOver]],1,Table2[[HomeTeam]:[HomeTeam]],$T26, Table2[[AwayTeam]:[AwayTeam]], AU$21, Table2[[ActualResult]:[ActualResult]], "OT") + SUMIFS(Table2[[HomeWon_]:[HomeWon_]], Table2[[GameIsOver]:[GameIsOver]],1,Table2[[AwayTeam]:[AwayTeam]],$T26, Table2[[HomeTeam]:[HomeTeam]], AU$21, Table2[[ActualResult]:[ActualResult]], "SO") + SUMIFS(Table2[[AwayWon]:[AwayWon]], Table2[[GameIsOver]:[GameIsOver]],1,Table2[[HomeTeam]:[HomeTeam]],$T26, Table2[[AwayTeam]:[AwayTeam]], AU$21, Table2[[ActualResult]:[ActualResult]], "SO")))</f>
        <v>0</v>
      </c>
      <c r="AV26">
        <f>(2*(SUMIFS(Table2[[AwayWon]:[AwayWon]], Table2[[GameIsOver]:[GameIsOver]],1,Table2[[AwayTeam]:[AwayTeam]],$T26, Table2[[HomeTeam]:[HomeTeam]], AV$21) + SUMIFS(Table2[[HomeWon_]:[HomeWon_]], Table2[[GameIsOver]:[GameIsOver]],1,Table2[[HomeTeam]:[HomeTeam]],$T26, Table2[[AwayTeam]:[AwayTeam]], AV$21))) + (0*(SUMIFS(Table2[[HomeWon_]:[HomeWon_]], Table2[[GameIsOver]:[GameIsOver]],1,Table2[[AwayTeam]:[AwayTeam]],$T26, Table2[[HomeTeam]:[HomeTeam]], AV$21, Table2[[ActualResult]:[ActualResult]], "REG") + SUMIFS(Table2[[AwayWon]:[AwayWon]], Table2[[GameIsOver]:[GameIsOver]],1,Table2[[HomeTeam]:[HomeTeam]],$T26, Table2[[AwayTeam]:[AwayTeam]], AV$21, Table2[[ActualResult]:[ActualResult]], "REG"))) + (1*(SUMIFS(Table2[[HomeWon_]:[HomeWon_]], Table2[[GameIsOver]:[GameIsOver]],1,Table2[[AwayTeam]:[AwayTeam]],$T26, Table2[[HomeTeam]:[HomeTeam]], AV$21, Table2[[ActualResult]:[ActualResult]], "OT") + SUMIFS(Table2[[AwayWon]:[AwayWon]], Table2[[GameIsOver]:[GameIsOver]],1,Table2[[HomeTeam]:[HomeTeam]],$T26, Table2[[AwayTeam]:[AwayTeam]], AV$21, Table2[[ActualResult]:[ActualResult]], "OT") + SUMIFS(Table2[[HomeWon_]:[HomeWon_]], Table2[[GameIsOver]:[GameIsOver]],1,Table2[[AwayTeam]:[AwayTeam]],$T26, Table2[[HomeTeam]:[HomeTeam]], AV$21, Table2[[ActualResult]:[ActualResult]], "SO") + SUMIFS(Table2[[AwayWon]:[AwayWon]], Table2[[GameIsOver]:[GameIsOver]],1,Table2[[HomeTeam]:[HomeTeam]],$T26, Table2[[AwayTeam]:[AwayTeam]], AV$21, Table2[[ActualResult]:[ActualResult]], "SO")))</f>
        <v>0</v>
      </c>
      <c r="AW26">
        <f>(2*(SUMIFS(Table2[[AwayWon]:[AwayWon]], Table2[[GameIsOver]:[GameIsOver]],1,Table2[[AwayTeam]:[AwayTeam]],$T26, Table2[[HomeTeam]:[HomeTeam]], AW$21) + SUMIFS(Table2[[HomeWon_]:[HomeWon_]], Table2[[GameIsOver]:[GameIsOver]],1,Table2[[HomeTeam]:[HomeTeam]],$T26, Table2[[AwayTeam]:[AwayTeam]], AW$21))) + (0*(SUMIFS(Table2[[HomeWon_]:[HomeWon_]], Table2[[GameIsOver]:[GameIsOver]],1,Table2[[AwayTeam]:[AwayTeam]],$T26, Table2[[HomeTeam]:[HomeTeam]], AW$21, Table2[[ActualResult]:[ActualResult]], "REG") + SUMIFS(Table2[[AwayWon]:[AwayWon]], Table2[[GameIsOver]:[GameIsOver]],1,Table2[[HomeTeam]:[HomeTeam]],$T26, Table2[[AwayTeam]:[AwayTeam]], AW$21, Table2[[ActualResult]:[ActualResult]], "REG"))) + (1*(SUMIFS(Table2[[HomeWon_]:[HomeWon_]], Table2[[GameIsOver]:[GameIsOver]],1,Table2[[AwayTeam]:[AwayTeam]],$T26, Table2[[HomeTeam]:[HomeTeam]], AW$21, Table2[[ActualResult]:[ActualResult]], "OT") + SUMIFS(Table2[[AwayWon]:[AwayWon]], Table2[[GameIsOver]:[GameIsOver]],1,Table2[[HomeTeam]:[HomeTeam]],$T26, Table2[[AwayTeam]:[AwayTeam]], AW$21, Table2[[ActualResult]:[ActualResult]], "OT") + SUMIFS(Table2[[HomeWon_]:[HomeWon_]], Table2[[GameIsOver]:[GameIsOver]],1,Table2[[AwayTeam]:[AwayTeam]],$T26, Table2[[HomeTeam]:[HomeTeam]], AW$21, Table2[[ActualResult]:[ActualResult]], "SO") + SUMIFS(Table2[[AwayWon]:[AwayWon]], Table2[[GameIsOver]:[GameIsOver]],1,Table2[[HomeTeam]:[HomeTeam]],$T26, Table2[[AwayTeam]:[AwayTeam]], AW$21, Table2[[ActualResult]:[ActualResult]], "SO")))</f>
        <v>0</v>
      </c>
      <c r="AX26">
        <f>(2*(SUMIFS(Table2[[AwayWon]:[AwayWon]], Table2[[GameIsOver]:[GameIsOver]],1,Table2[[AwayTeam]:[AwayTeam]],$T26, Table2[[HomeTeam]:[HomeTeam]], AX$21) + SUMIFS(Table2[[HomeWon_]:[HomeWon_]], Table2[[GameIsOver]:[GameIsOver]],1,Table2[[HomeTeam]:[HomeTeam]],$T26, Table2[[AwayTeam]:[AwayTeam]], AX$21))) + (0*(SUMIFS(Table2[[HomeWon_]:[HomeWon_]], Table2[[GameIsOver]:[GameIsOver]],1,Table2[[AwayTeam]:[AwayTeam]],$T26, Table2[[HomeTeam]:[HomeTeam]], AX$21, Table2[[ActualResult]:[ActualResult]], "REG") + SUMIFS(Table2[[AwayWon]:[AwayWon]], Table2[[GameIsOver]:[GameIsOver]],1,Table2[[HomeTeam]:[HomeTeam]],$T26, Table2[[AwayTeam]:[AwayTeam]], AX$21, Table2[[ActualResult]:[ActualResult]], "REG"))) + (1*(SUMIFS(Table2[[HomeWon_]:[HomeWon_]], Table2[[GameIsOver]:[GameIsOver]],1,Table2[[AwayTeam]:[AwayTeam]],$T26, Table2[[HomeTeam]:[HomeTeam]], AX$21, Table2[[ActualResult]:[ActualResult]], "OT") + SUMIFS(Table2[[AwayWon]:[AwayWon]], Table2[[GameIsOver]:[GameIsOver]],1,Table2[[HomeTeam]:[HomeTeam]],$T26, Table2[[AwayTeam]:[AwayTeam]], AX$21, Table2[[ActualResult]:[ActualResult]], "OT") + SUMIFS(Table2[[HomeWon_]:[HomeWon_]], Table2[[GameIsOver]:[GameIsOver]],1,Table2[[AwayTeam]:[AwayTeam]],$T26, Table2[[HomeTeam]:[HomeTeam]], AX$21, Table2[[ActualResult]:[ActualResult]], "SO") + SUMIFS(Table2[[AwayWon]:[AwayWon]], Table2[[GameIsOver]:[GameIsOver]],1,Table2[[HomeTeam]:[HomeTeam]],$T26, Table2[[AwayTeam]:[AwayTeam]], AX$21, Table2[[ActualResult]:[ActualResult]], "SO")))</f>
        <v>0</v>
      </c>
      <c r="AY26">
        <f>(2*(SUMIFS(Table2[[AwayWon]:[AwayWon]], Table2[[GameIsOver]:[GameIsOver]],1,Table2[[AwayTeam]:[AwayTeam]],$T26, Table2[[HomeTeam]:[HomeTeam]], AY$21) + SUMIFS(Table2[[HomeWon_]:[HomeWon_]], Table2[[GameIsOver]:[GameIsOver]],1,Table2[[HomeTeam]:[HomeTeam]],$T26, Table2[[AwayTeam]:[AwayTeam]], AY$21))) + (0*(SUMIFS(Table2[[HomeWon_]:[HomeWon_]], Table2[[GameIsOver]:[GameIsOver]],1,Table2[[AwayTeam]:[AwayTeam]],$T26, Table2[[HomeTeam]:[HomeTeam]], AY$21, Table2[[ActualResult]:[ActualResult]], "REG") + SUMIFS(Table2[[AwayWon]:[AwayWon]], Table2[[GameIsOver]:[GameIsOver]],1,Table2[[HomeTeam]:[HomeTeam]],$T26, Table2[[AwayTeam]:[AwayTeam]], AY$21, Table2[[ActualResult]:[ActualResult]], "REG"))) + (1*(SUMIFS(Table2[[HomeWon_]:[HomeWon_]], Table2[[GameIsOver]:[GameIsOver]],1,Table2[[AwayTeam]:[AwayTeam]],$T26, Table2[[HomeTeam]:[HomeTeam]], AY$21, Table2[[ActualResult]:[ActualResult]], "OT") + SUMIFS(Table2[[AwayWon]:[AwayWon]], Table2[[GameIsOver]:[GameIsOver]],1,Table2[[HomeTeam]:[HomeTeam]],$T26, Table2[[AwayTeam]:[AwayTeam]], AY$21, Table2[[ActualResult]:[ActualResult]], "OT") + SUMIFS(Table2[[HomeWon_]:[HomeWon_]], Table2[[GameIsOver]:[GameIsOver]],1,Table2[[AwayTeam]:[AwayTeam]],$T26, Table2[[HomeTeam]:[HomeTeam]], AY$21, Table2[[ActualResult]:[ActualResult]], "SO") + SUMIFS(Table2[[AwayWon]:[AwayWon]], Table2[[GameIsOver]:[GameIsOver]],1,Table2[[HomeTeam]:[HomeTeam]],$T26, Table2[[AwayTeam]:[AwayTeam]], AY$21, Table2[[ActualResult]:[ActualResult]], "SO")))</f>
        <v>2</v>
      </c>
      <c r="AZ26">
        <f>(2*(SUMIFS(Table2[[AwayWon]:[AwayWon]], Table2[[GameIsOver]:[GameIsOver]],1,Table2[[AwayTeam]:[AwayTeam]],$T26, Table2[[HomeTeam]:[HomeTeam]], AZ$21) + SUMIFS(Table2[[HomeWon_]:[HomeWon_]], Table2[[GameIsOver]:[GameIsOver]],1,Table2[[HomeTeam]:[HomeTeam]],$T26, Table2[[AwayTeam]:[AwayTeam]], AZ$21))) + (0*(SUMIFS(Table2[[HomeWon_]:[HomeWon_]], Table2[[GameIsOver]:[GameIsOver]],1,Table2[[AwayTeam]:[AwayTeam]],$T26, Table2[[HomeTeam]:[HomeTeam]], AZ$21, Table2[[ActualResult]:[ActualResult]], "REG") + SUMIFS(Table2[[AwayWon]:[AwayWon]], Table2[[GameIsOver]:[GameIsOver]],1,Table2[[HomeTeam]:[HomeTeam]],$T26, Table2[[AwayTeam]:[AwayTeam]], AZ$21, Table2[[ActualResult]:[ActualResult]], "REG"))) + (1*(SUMIFS(Table2[[HomeWon_]:[HomeWon_]], Table2[[GameIsOver]:[GameIsOver]],1,Table2[[AwayTeam]:[AwayTeam]],$T26, Table2[[HomeTeam]:[HomeTeam]], AZ$21, Table2[[ActualResult]:[ActualResult]], "OT") + SUMIFS(Table2[[AwayWon]:[AwayWon]], Table2[[GameIsOver]:[GameIsOver]],1,Table2[[HomeTeam]:[HomeTeam]],$T26, Table2[[AwayTeam]:[AwayTeam]], AZ$21, Table2[[ActualResult]:[ActualResult]], "OT") + SUMIFS(Table2[[HomeWon_]:[HomeWon_]], Table2[[GameIsOver]:[GameIsOver]],1,Table2[[AwayTeam]:[AwayTeam]],$T26, Table2[[HomeTeam]:[HomeTeam]], AZ$21, Table2[[ActualResult]:[ActualResult]], "SO") + SUMIFS(Table2[[AwayWon]:[AwayWon]], Table2[[GameIsOver]:[GameIsOver]],1,Table2[[HomeTeam]:[HomeTeam]],$T26, Table2[[AwayTeam]:[AwayTeam]], AZ$21, Table2[[ActualResult]:[ActualResult]], "SO")))</f>
        <v>0</v>
      </c>
      <c r="BA26">
        <f>(2*(SUMIFS(Table2[[AwayWon]:[AwayWon]], Table2[[GameIsOver]:[GameIsOver]],1,Table2[[AwayTeam]:[AwayTeam]],$T26, Table2[[HomeTeam]:[HomeTeam]], BA$21) + SUMIFS(Table2[[HomeWon_]:[HomeWon_]], Table2[[GameIsOver]:[GameIsOver]],1,Table2[[HomeTeam]:[HomeTeam]],$T26, Table2[[AwayTeam]:[AwayTeam]], BA$21))) + (0*(SUMIFS(Table2[[HomeWon_]:[HomeWon_]], Table2[[GameIsOver]:[GameIsOver]],1,Table2[[AwayTeam]:[AwayTeam]],$T26, Table2[[HomeTeam]:[HomeTeam]], BA$21, Table2[[ActualResult]:[ActualResult]], "REG") + SUMIFS(Table2[[AwayWon]:[AwayWon]], Table2[[GameIsOver]:[GameIsOver]],1,Table2[[HomeTeam]:[HomeTeam]],$T26, Table2[[AwayTeam]:[AwayTeam]], BA$21, Table2[[ActualResult]:[ActualResult]], "REG"))) + (1*(SUMIFS(Table2[[HomeWon_]:[HomeWon_]], Table2[[GameIsOver]:[GameIsOver]],1,Table2[[AwayTeam]:[AwayTeam]],$T26, Table2[[HomeTeam]:[HomeTeam]], BA$21, Table2[[ActualResult]:[ActualResult]], "OT") + SUMIFS(Table2[[AwayWon]:[AwayWon]], Table2[[GameIsOver]:[GameIsOver]],1,Table2[[HomeTeam]:[HomeTeam]],$T26, Table2[[AwayTeam]:[AwayTeam]], BA$21, Table2[[ActualResult]:[ActualResult]], "OT") + SUMIFS(Table2[[HomeWon_]:[HomeWon_]], Table2[[GameIsOver]:[GameIsOver]],1,Table2[[AwayTeam]:[AwayTeam]],$T26, Table2[[HomeTeam]:[HomeTeam]], BA$21, Table2[[ActualResult]:[ActualResult]], "SO") + SUMIFS(Table2[[AwayWon]:[AwayWon]], Table2[[GameIsOver]:[GameIsOver]],1,Table2[[HomeTeam]:[HomeTeam]],$T26, Table2[[AwayTeam]:[AwayTeam]], BA$21, Table2[[ActualResult]:[ActualResult]], "SO")))</f>
        <v>0</v>
      </c>
    </row>
    <row r="27" spans="1:53" x14ac:dyDescent="0.25">
      <c r="A27" s="62" t="s">
        <v>40</v>
      </c>
      <c r="B27" s="62" t="s">
        <v>91</v>
      </c>
      <c r="C27" s="62" t="s">
        <v>74</v>
      </c>
      <c r="D27" s="62">
        <f>INDEX(Table3[PTS], MATCH(Table6[[#This Row],[Teams]], Table3[Teams],0))</f>
        <v>4</v>
      </c>
      <c r="E27" s="62">
        <f>INDEX(Table3[PTS], MATCH(Table6[[#This Row],[Teams]], Table3[Teams],0))</f>
        <v>4</v>
      </c>
      <c r="S27">
        <v>2</v>
      </c>
      <c r="T27" t="str" cm="1">
        <f t="array" ref="T27">INDEX(Table6[Teams], SMALL(IF(Table6[D]="M", ROW(Table6[Teams])-ROW(Table6[#Headers])), Table712[[#This Row],[MET]]))</f>
        <v>CBJ</v>
      </c>
      <c r="U27">
        <f>INDEX(Table6[PTS], MATCH($T27, Table6[Teams], 0))</f>
        <v>6</v>
      </c>
      <c r="V27">
        <f>(2*(SUMIFS(Table2[[AwayWon]:[AwayWon]], Table2[[GameIsOver]:[GameIsOver]],1,Table2[[AwayTeam]:[AwayTeam]],$T27, Table2[[HomeTeam]:[HomeTeam]], V$21) + SUMIFS(Table2[[HomeWon_]:[HomeWon_]], Table2[[GameIsOver]:[GameIsOver]],1,Table2[[HomeTeam]:[HomeTeam]],$T27, Table2[[AwayTeam]:[AwayTeam]], V$21))) + (0*(SUMIFS(Table2[[HomeWon_]:[HomeWon_]], Table2[[GameIsOver]:[GameIsOver]],1,Table2[[AwayTeam]:[AwayTeam]],$T27, Table2[[HomeTeam]:[HomeTeam]], V$21, Table2[[ActualResult]:[ActualResult]], "REG") + SUMIFS(Table2[[AwayWon]:[AwayWon]], Table2[[GameIsOver]:[GameIsOver]],1,Table2[[HomeTeam]:[HomeTeam]],$T27, Table2[[AwayTeam]:[AwayTeam]], V$21, Table2[[ActualResult]:[ActualResult]], "REG"))) + (1*(SUMIFS(Table2[[HomeWon_]:[HomeWon_]], Table2[[GameIsOver]:[GameIsOver]],1,Table2[[AwayTeam]:[AwayTeam]],$T27, Table2[[HomeTeam]:[HomeTeam]], V$21, Table2[[ActualResult]:[ActualResult]], "OT") + SUMIFS(Table2[[AwayWon]:[AwayWon]], Table2[[GameIsOver]:[GameIsOver]],1,Table2[[HomeTeam]:[HomeTeam]],$T27, Table2[[AwayTeam]:[AwayTeam]], V$21, Table2[[ActualResult]:[ActualResult]], "OT") + SUMIFS(Table2[[HomeWon_]:[HomeWon_]], Table2[[GameIsOver]:[GameIsOver]],1,Table2[[AwayTeam]:[AwayTeam]],$T27, Table2[[HomeTeam]:[HomeTeam]], V$21, Table2[[ActualResult]:[ActualResult]], "SO") + SUMIFS(Table2[[AwayWon]:[AwayWon]], Table2[[GameIsOver]:[GameIsOver]],1,Table2[[HomeTeam]:[HomeTeam]],$T27, Table2[[AwayTeam]:[AwayTeam]], V$21, Table2[[ActualResult]:[ActualResult]], "SO")))</f>
        <v>0</v>
      </c>
      <c r="W27">
        <f>(2*(SUMIFS(Table2[[AwayWon]:[AwayWon]], Table2[[GameIsOver]:[GameIsOver]],1,Table2[[AwayTeam]:[AwayTeam]],$T27, Table2[[HomeTeam]:[HomeTeam]], W$21) + SUMIFS(Table2[[HomeWon_]:[HomeWon_]], Table2[[GameIsOver]:[GameIsOver]],1,Table2[[HomeTeam]:[HomeTeam]],$T27, Table2[[AwayTeam]:[AwayTeam]], W$21))) + (0*(SUMIFS(Table2[[HomeWon_]:[HomeWon_]], Table2[[GameIsOver]:[GameIsOver]],1,Table2[[AwayTeam]:[AwayTeam]],$T27, Table2[[HomeTeam]:[HomeTeam]], W$21, Table2[[ActualResult]:[ActualResult]], "REG") + SUMIFS(Table2[[AwayWon]:[AwayWon]], Table2[[GameIsOver]:[GameIsOver]],1,Table2[[HomeTeam]:[HomeTeam]],$T27, Table2[[AwayTeam]:[AwayTeam]], W$21, Table2[[ActualResult]:[ActualResult]], "REG"))) + (1*(SUMIFS(Table2[[HomeWon_]:[HomeWon_]], Table2[[GameIsOver]:[GameIsOver]],1,Table2[[AwayTeam]:[AwayTeam]],$T27, Table2[[HomeTeam]:[HomeTeam]], W$21, Table2[[ActualResult]:[ActualResult]], "OT") + SUMIFS(Table2[[AwayWon]:[AwayWon]], Table2[[GameIsOver]:[GameIsOver]],1,Table2[[HomeTeam]:[HomeTeam]],$T27, Table2[[AwayTeam]:[AwayTeam]], W$21, Table2[[ActualResult]:[ActualResult]], "OT") + SUMIFS(Table2[[HomeWon_]:[HomeWon_]], Table2[[GameIsOver]:[GameIsOver]],1,Table2[[AwayTeam]:[AwayTeam]],$T27, Table2[[HomeTeam]:[HomeTeam]], W$21, Table2[[ActualResult]:[ActualResult]], "SO") + SUMIFS(Table2[[AwayWon]:[AwayWon]], Table2[[GameIsOver]:[GameIsOver]],1,Table2[[HomeTeam]:[HomeTeam]],$T27, Table2[[AwayTeam]:[AwayTeam]], W$21, Table2[[ActualResult]:[ActualResult]], "SO")))</f>
        <v>0</v>
      </c>
      <c r="X27">
        <f>(2*(SUMIFS(Table2[[AwayWon]:[AwayWon]], Table2[[GameIsOver]:[GameIsOver]],1,Table2[[AwayTeam]:[AwayTeam]],$T27, Table2[[HomeTeam]:[HomeTeam]], X$21) + SUMIFS(Table2[[HomeWon_]:[HomeWon_]], Table2[[GameIsOver]:[GameIsOver]],1,Table2[[HomeTeam]:[HomeTeam]],$T27, Table2[[AwayTeam]:[AwayTeam]], X$21))) + (0*(SUMIFS(Table2[[HomeWon_]:[HomeWon_]], Table2[[GameIsOver]:[GameIsOver]],1,Table2[[AwayTeam]:[AwayTeam]],$T27, Table2[[HomeTeam]:[HomeTeam]], X$21, Table2[[ActualResult]:[ActualResult]], "REG") + SUMIFS(Table2[[AwayWon]:[AwayWon]], Table2[[GameIsOver]:[GameIsOver]],1,Table2[[HomeTeam]:[HomeTeam]],$T27, Table2[[AwayTeam]:[AwayTeam]], X$21, Table2[[ActualResult]:[ActualResult]], "REG"))) + (1*(SUMIFS(Table2[[HomeWon_]:[HomeWon_]], Table2[[GameIsOver]:[GameIsOver]],1,Table2[[AwayTeam]:[AwayTeam]],$T27, Table2[[HomeTeam]:[HomeTeam]], X$21, Table2[[ActualResult]:[ActualResult]], "OT") + SUMIFS(Table2[[AwayWon]:[AwayWon]], Table2[[GameIsOver]:[GameIsOver]],1,Table2[[HomeTeam]:[HomeTeam]],$T27, Table2[[AwayTeam]:[AwayTeam]], X$21, Table2[[ActualResult]:[ActualResult]], "OT") + SUMIFS(Table2[[HomeWon_]:[HomeWon_]], Table2[[GameIsOver]:[GameIsOver]],1,Table2[[AwayTeam]:[AwayTeam]],$T27, Table2[[HomeTeam]:[HomeTeam]], X$21, Table2[[ActualResult]:[ActualResult]], "SO") + SUMIFS(Table2[[AwayWon]:[AwayWon]], Table2[[GameIsOver]:[GameIsOver]],1,Table2[[HomeTeam]:[HomeTeam]],$T27, Table2[[AwayTeam]:[AwayTeam]], X$21, Table2[[ActualResult]:[ActualResult]], "SO")))</f>
        <v>0</v>
      </c>
      <c r="Y27">
        <f>(2*(SUMIFS(Table2[[AwayWon]:[AwayWon]], Table2[[GameIsOver]:[GameIsOver]],1,Table2[[AwayTeam]:[AwayTeam]],$T27, Table2[[HomeTeam]:[HomeTeam]], Y$21) + SUMIFS(Table2[[HomeWon_]:[HomeWon_]], Table2[[GameIsOver]:[GameIsOver]],1,Table2[[HomeTeam]:[HomeTeam]],$T27, Table2[[AwayTeam]:[AwayTeam]], Y$21))) + (0*(SUMIFS(Table2[[HomeWon_]:[HomeWon_]], Table2[[GameIsOver]:[GameIsOver]],1,Table2[[AwayTeam]:[AwayTeam]],$T27, Table2[[HomeTeam]:[HomeTeam]], Y$21, Table2[[ActualResult]:[ActualResult]], "REG") + SUMIFS(Table2[[AwayWon]:[AwayWon]], Table2[[GameIsOver]:[GameIsOver]],1,Table2[[HomeTeam]:[HomeTeam]],$T27, Table2[[AwayTeam]:[AwayTeam]], Y$21, Table2[[ActualResult]:[ActualResult]], "REG"))) + (1*(SUMIFS(Table2[[HomeWon_]:[HomeWon_]], Table2[[GameIsOver]:[GameIsOver]],1,Table2[[AwayTeam]:[AwayTeam]],$T27, Table2[[HomeTeam]:[HomeTeam]], Y$21, Table2[[ActualResult]:[ActualResult]], "OT") + SUMIFS(Table2[[AwayWon]:[AwayWon]], Table2[[GameIsOver]:[GameIsOver]],1,Table2[[HomeTeam]:[HomeTeam]],$T27, Table2[[AwayTeam]:[AwayTeam]], Y$21, Table2[[ActualResult]:[ActualResult]], "OT") + SUMIFS(Table2[[HomeWon_]:[HomeWon_]], Table2[[GameIsOver]:[GameIsOver]],1,Table2[[AwayTeam]:[AwayTeam]],$T27, Table2[[HomeTeam]:[HomeTeam]], Y$21, Table2[[ActualResult]:[ActualResult]], "SO") + SUMIFS(Table2[[AwayWon]:[AwayWon]], Table2[[GameIsOver]:[GameIsOver]],1,Table2[[HomeTeam]:[HomeTeam]],$T27, Table2[[AwayTeam]:[AwayTeam]], Y$21, Table2[[ActualResult]:[ActualResult]], "SO")))</f>
        <v>0</v>
      </c>
      <c r="Z27">
        <f>(2*(SUMIFS(Table2[[AwayWon]:[AwayWon]], Table2[[GameIsOver]:[GameIsOver]],1,Table2[[AwayTeam]:[AwayTeam]],$T27, Table2[[HomeTeam]:[HomeTeam]], Z$21) + SUMIFS(Table2[[HomeWon_]:[HomeWon_]], Table2[[GameIsOver]:[GameIsOver]],1,Table2[[HomeTeam]:[HomeTeam]],$T27, Table2[[AwayTeam]:[AwayTeam]], Z$21))) + (0*(SUMIFS(Table2[[HomeWon_]:[HomeWon_]], Table2[[GameIsOver]:[GameIsOver]],1,Table2[[AwayTeam]:[AwayTeam]],$T27, Table2[[HomeTeam]:[HomeTeam]], Z$21, Table2[[ActualResult]:[ActualResult]], "REG") + SUMIFS(Table2[[AwayWon]:[AwayWon]], Table2[[GameIsOver]:[GameIsOver]],1,Table2[[HomeTeam]:[HomeTeam]],$T27, Table2[[AwayTeam]:[AwayTeam]], Z$21, Table2[[ActualResult]:[ActualResult]], "REG"))) + (1*(SUMIFS(Table2[[HomeWon_]:[HomeWon_]], Table2[[GameIsOver]:[GameIsOver]],1,Table2[[AwayTeam]:[AwayTeam]],$T27, Table2[[HomeTeam]:[HomeTeam]], Z$21, Table2[[ActualResult]:[ActualResult]], "OT") + SUMIFS(Table2[[AwayWon]:[AwayWon]], Table2[[GameIsOver]:[GameIsOver]],1,Table2[[HomeTeam]:[HomeTeam]],$T27, Table2[[AwayTeam]:[AwayTeam]], Z$21, Table2[[ActualResult]:[ActualResult]], "OT") + SUMIFS(Table2[[HomeWon_]:[HomeWon_]], Table2[[GameIsOver]:[GameIsOver]],1,Table2[[AwayTeam]:[AwayTeam]],$T27, Table2[[HomeTeam]:[HomeTeam]], Z$21, Table2[[ActualResult]:[ActualResult]], "SO") + SUMIFS(Table2[[AwayWon]:[AwayWon]], Table2[[GameIsOver]:[GameIsOver]],1,Table2[[HomeTeam]:[HomeTeam]],$T27, Table2[[AwayTeam]:[AwayTeam]], Z$21, Table2[[ActualResult]:[ActualResult]], "SO")))</f>
        <v>0</v>
      </c>
      <c r="AA27">
        <f>(2*(SUMIFS(Table2[[AwayWon]:[AwayWon]], Table2[[GameIsOver]:[GameIsOver]],1,Table2[[AwayTeam]:[AwayTeam]],$T27, Table2[[HomeTeam]:[HomeTeam]], AA$21) + SUMIFS(Table2[[HomeWon_]:[HomeWon_]], Table2[[GameIsOver]:[GameIsOver]],1,Table2[[HomeTeam]:[HomeTeam]],$T27, Table2[[AwayTeam]:[AwayTeam]], AA$21))) + (0*(SUMIFS(Table2[[HomeWon_]:[HomeWon_]], Table2[[GameIsOver]:[GameIsOver]],1,Table2[[AwayTeam]:[AwayTeam]],$T27, Table2[[HomeTeam]:[HomeTeam]], AA$21, Table2[[ActualResult]:[ActualResult]], "REG") + SUMIFS(Table2[[AwayWon]:[AwayWon]], Table2[[GameIsOver]:[GameIsOver]],1,Table2[[HomeTeam]:[HomeTeam]],$T27, Table2[[AwayTeam]:[AwayTeam]], AA$21, Table2[[ActualResult]:[ActualResult]], "REG"))) + (1*(SUMIFS(Table2[[HomeWon_]:[HomeWon_]], Table2[[GameIsOver]:[GameIsOver]],1,Table2[[AwayTeam]:[AwayTeam]],$T27, Table2[[HomeTeam]:[HomeTeam]], AA$21, Table2[[ActualResult]:[ActualResult]], "OT") + SUMIFS(Table2[[AwayWon]:[AwayWon]], Table2[[GameIsOver]:[GameIsOver]],1,Table2[[HomeTeam]:[HomeTeam]],$T27, Table2[[AwayTeam]:[AwayTeam]], AA$21, Table2[[ActualResult]:[ActualResult]], "OT") + SUMIFS(Table2[[HomeWon_]:[HomeWon_]], Table2[[GameIsOver]:[GameIsOver]],1,Table2[[AwayTeam]:[AwayTeam]],$T27, Table2[[HomeTeam]:[HomeTeam]], AA$21, Table2[[ActualResult]:[ActualResult]], "SO") + SUMIFS(Table2[[AwayWon]:[AwayWon]], Table2[[GameIsOver]:[GameIsOver]],1,Table2[[HomeTeam]:[HomeTeam]],$T27, Table2[[AwayTeam]:[AwayTeam]], AA$21, Table2[[ActualResult]:[ActualResult]], "SO")))</f>
        <v>0</v>
      </c>
      <c r="AB27">
        <f>(2*(SUMIFS(Table2[[AwayWon]:[AwayWon]], Table2[[GameIsOver]:[GameIsOver]],1,Table2[[AwayTeam]:[AwayTeam]],$T27, Table2[[HomeTeam]:[HomeTeam]], AB$21) + SUMIFS(Table2[[HomeWon_]:[HomeWon_]], Table2[[GameIsOver]:[GameIsOver]],1,Table2[[HomeTeam]:[HomeTeam]],$T27, Table2[[AwayTeam]:[AwayTeam]], AB$21))) + (0*(SUMIFS(Table2[[HomeWon_]:[HomeWon_]], Table2[[GameIsOver]:[GameIsOver]],1,Table2[[AwayTeam]:[AwayTeam]],$T27, Table2[[HomeTeam]:[HomeTeam]], AB$21, Table2[[ActualResult]:[ActualResult]], "REG") + SUMIFS(Table2[[AwayWon]:[AwayWon]], Table2[[GameIsOver]:[GameIsOver]],1,Table2[[HomeTeam]:[HomeTeam]],$T27, Table2[[AwayTeam]:[AwayTeam]], AB$21, Table2[[ActualResult]:[ActualResult]], "REG"))) + (1*(SUMIFS(Table2[[HomeWon_]:[HomeWon_]], Table2[[GameIsOver]:[GameIsOver]],1,Table2[[AwayTeam]:[AwayTeam]],$T27, Table2[[HomeTeam]:[HomeTeam]], AB$21, Table2[[ActualResult]:[ActualResult]], "OT") + SUMIFS(Table2[[AwayWon]:[AwayWon]], Table2[[GameIsOver]:[GameIsOver]],1,Table2[[HomeTeam]:[HomeTeam]],$T27, Table2[[AwayTeam]:[AwayTeam]], AB$21, Table2[[ActualResult]:[ActualResult]], "OT") + SUMIFS(Table2[[HomeWon_]:[HomeWon_]], Table2[[GameIsOver]:[GameIsOver]],1,Table2[[AwayTeam]:[AwayTeam]],$T27, Table2[[HomeTeam]:[HomeTeam]], AB$21, Table2[[ActualResult]:[ActualResult]], "SO") + SUMIFS(Table2[[AwayWon]:[AwayWon]], Table2[[GameIsOver]:[GameIsOver]],1,Table2[[HomeTeam]:[HomeTeam]],$T27, Table2[[AwayTeam]:[AwayTeam]], AB$21, Table2[[ActualResult]:[ActualResult]], "SO")))</f>
        <v>0</v>
      </c>
      <c r="AC27">
        <f>(2*(SUMIFS(Table2[[AwayWon]:[AwayWon]], Table2[[GameIsOver]:[GameIsOver]],1,Table2[[AwayTeam]:[AwayTeam]],$T27, Table2[[HomeTeam]:[HomeTeam]], AC$21) + SUMIFS(Table2[[HomeWon_]:[HomeWon_]], Table2[[GameIsOver]:[GameIsOver]],1,Table2[[HomeTeam]:[HomeTeam]],$T27, Table2[[AwayTeam]:[AwayTeam]], AC$21))) + (0*(SUMIFS(Table2[[HomeWon_]:[HomeWon_]], Table2[[GameIsOver]:[GameIsOver]],1,Table2[[AwayTeam]:[AwayTeam]],$T27, Table2[[HomeTeam]:[HomeTeam]], AC$21, Table2[[ActualResult]:[ActualResult]], "REG") + SUMIFS(Table2[[AwayWon]:[AwayWon]], Table2[[GameIsOver]:[GameIsOver]],1,Table2[[HomeTeam]:[HomeTeam]],$T27, Table2[[AwayTeam]:[AwayTeam]], AC$21, Table2[[ActualResult]:[ActualResult]], "REG"))) + (1*(SUMIFS(Table2[[HomeWon_]:[HomeWon_]], Table2[[GameIsOver]:[GameIsOver]],1,Table2[[AwayTeam]:[AwayTeam]],$T27, Table2[[HomeTeam]:[HomeTeam]], AC$21, Table2[[ActualResult]:[ActualResult]], "OT") + SUMIFS(Table2[[AwayWon]:[AwayWon]], Table2[[GameIsOver]:[GameIsOver]],1,Table2[[HomeTeam]:[HomeTeam]],$T27, Table2[[AwayTeam]:[AwayTeam]], AC$21, Table2[[ActualResult]:[ActualResult]], "OT") + SUMIFS(Table2[[HomeWon_]:[HomeWon_]], Table2[[GameIsOver]:[GameIsOver]],1,Table2[[AwayTeam]:[AwayTeam]],$T27, Table2[[HomeTeam]:[HomeTeam]], AC$21, Table2[[ActualResult]:[ActualResult]], "SO") + SUMIFS(Table2[[AwayWon]:[AwayWon]], Table2[[GameIsOver]:[GameIsOver]],1,Table2[[HomeTeam]:[HomeTeam]],$T27, Table2[[AwayTeam]:[AwayTeam]], AC$21, Table2[[ActualResult]:[ActualResult]], "SO")))</f>
        <v>0</v>
      </c>
      <c r="AD27">
        <f>(2*(SUMIFS(Table2[[AwayWon]:[AwayWon]], Table2[[GameIsOver]:[GameIsOver]],1,Table2[[AwayTeam]:[AwayTeam]],$T27, Table2[[HomeTeam]:[HomeTeam]], AD$21) + SUMIFS(Table2[[HomeWon_]:[HomeWon_]], Table2[[GameIsOver]:[GameIsOver]],1,Table2[[HomeTeam]:[HomeTeam]],$T27, Table2[[AwayTeam]:[AwayTeam]], AD$21))) + (0*(SUMIFS(Table2[[HomeWon_]:[HomeWon_]], Table2[[GameIsOver]:[GameIsOver]],1,Table2[[AwayTeam]:[AwayTeam]],$T27, Table2[[HomeTeam]:[HomeTeam]], AD$21, Table2[[ActualResult]:[ActualResult]], "REG") + SUMIFS(Table2[[AwayWon]:[AwayWon]], Table2[[GameIsOver]:[GameIsOver]],1,Table2[[HomeTeam]:[HomeTeam]],$T27, Table2[[AwayTeam]:[AwayTeam]], AD$21, Table2[[ActualResult]:[ActualResult]], "REG"))) + (1*(SUMIFS(Table2[[HomeWon_]:[HomeWon_]], Table2[[GameIsOver]:[GameIsOver]],1,Table2[[AwayTeam]:[AwayTeam]],$T27, Table2[[HomeTeam]:[HomeTeam]], AD$21, Table2[[ActualResult]:[ActualResult]], "OT") + SUMIFS(Table2[[AwayWon]:[AwayWon]], Table2[[GameIsOver]:[GameIsOver]],1,Table2[[HomeTeam]:[HomeTeam]],$T27, Table2[[AwayTeam]:[AwayTeam]], AD$21, Table2[[ActualResult]:[ActualResult]], "OT") + SUMIFS(Table2[[HomeWon_]:[HomeWon_]], Table2[[GameIsOver]:[GameIsOver]],1,Table2[[AwayTeam]:[AwayTeam]],$T27, Table2[[HomeTeam]:[HomeTeam]], AD$21, Table2[[ActualResult]:[ActualResult]], "SO") + SUMIFS(Table2[[AwayWon]:[AwayWon]], Table2[[GameIsOver]:[GameIsOver]],1,Table2[[HomeTeam]:[HomeTeam]],$T27, Table2[[AwayTeam]:[AwayTeam]], AD$21, Table2[[ActualResult]:[ActualResult]], "SO")))</f>
        <v>0</v>
      </c>
      <c r="AE27">
        <f>(2*(SUMIFS(Table2[[AwayWon]:[AwayWon]], Table2[[GameIsOver]:[GameIsOver]],1,Table2[[AwayTeam]:[AwayTeam]],$T27, Table2[[HomeTeam]:[HomeTeam]], AE$21) + SUMIFS(Table2[[HomeWon_]:[HomeWon_]], Table2[[GameIsOver]:[GameIsOver]],1,Table2[[HomeTeam]:[HomeTeam]],$T27, Table2[[AwayTeam]:[AwayTeam]], AE$21))) + (0*(SUMIFS(Table2[[HomeWon_]:[HomeWon_]], Table2[[GameIsOver]:[GameIsOver]],1,Table2[[AwayTeam]:[AwayTeam]],$T27, Table2[[HomeTeam]:[HomeTeam]], AE$21, Table2[[ActualResult]:[ActualResult]], "REG") + SUMIFS(Table2[[AwayWon]:[AwayWon]], Table2[[GameIsOver]:[GameIsOver]],1,Table2[[HomeTeam]:[HomeTeam]],$T27, Table2[[AwayTeam]:[AwayTeam]], AE$21, Table2[[ActualResult]:[ActualResult]], "REG"))) + (1*(SUMIFS(Table2[[HomeWon_]:[HomeWon_]], Table2[[GameIsOver]:[GameIsOver]],1,Table2[[AwayTeam]:[AwayTeam]],$T27, Table2[[HomeTeam]:[HomeTeam]], AE$21, Table2[[ActualResult]:[ActualResult]], "OT") + SUMIFS(Table2[[AwayWon]:[AwayWon]], Table2[[GameIsOver]:[GameIsOver]],1,Table2[[HomeTeam]:[HomeTeam]],$T27, Table2[[AwayTeam]:[AwayTeam]], AE$21, Table2[[ActualResult]:[ActualResult]], "OT") + SUMIFS(Table2[[HomeWon_]:[HomeWon_]], Table2[[GameIsOver]:[GameIsOver]],1,Table2[[AwayTeam]:[AwayTeam]],$T27, Table2[[HomeTeam]:[HomeTeam]], AE$21, Table2[[ActualResult]:[ActualResult]], "SO") + SUMIFS(Table2[[AwayWon]:[AwayWon]], Table2[[GameIsOver]:[GameIsOver]],1,Table2[[HomeTeam]:[HomeTeam]],$T27, Table2[[AwayTeam]:[AwayTeam]], AE$21, Table2[[ActualResult]:[ActualResult]], "SO")))</f>
        <v>0</v>
      </c>
      <c r="AF27">
        <f>(2*(SUMIFS(Table2[[AwayWon]:[AwayWon]], Table2[[GameIsOver]:[GameIsOver]],1,Table2[[AwayTeam]:[AwayTeam]],$T27, Table2[[HomeTeam]:[HomeTeam]], AF$21) + SUMIFS(Table2[[HomeWon_]:[HomeWon_]], Table2[[GameIsOver]:[GameIsOver]],1,Table2[[HomeTeam]:[HomeTeam]],$T27, Table2[[AwayTeam]:[AwayTeam]], AF$21))) + (0*(SUMIFS(Table2[[HomeWon_]:[HomeWon_]], Table2[[GameIsOver]:[GameIsOver]],1,Table2[[AwayTeam]:[AwayTeam]],$T27, Table2[[HomeTeam]:[HomeTeam]], AF$21, Table2[[ActualResult]:[ActualResult]], "REG") + SUMIFS(Table2[[AwayWon]:[AwayWon]], Table2[[GameIsOver]:[GameIsOver]],1,Table2[[HomeTeam]:[HomeTeam]],$T27, Table2[[AwayTeam]:[AwayTeam]], AF$21, Table2[[ActualResult]:[ActualResult]], "REG"))) + (1*(SUMIFS(Table2[[HomeWon_]:[HomeWon_]], Table2[[GameIsOver]:[GameIsOver]],1,Table2[[AwayTeam]:[AwayTeam]],$T27, Table2[[HomeTeam]:[HomeTeam]], AF$21, Table2[[ActualResult]:[ActualResult]], "OT") + SUMIFS(Table2[[AwayWon]:[AwayWon]], Table2[[GameIsOver]:[GameIsOver]],1,Table2[[HomeTeam]:[HomeTeam]],$T27, Table2[[AwayTeam]:[AwayTeam]], AF$21, Table2[[ActualResult]:[ActualResult]], "OT") + SUMIFS(Table2[[HomeWon_]:[HomeWon_]], Table2[[GameIsOver]:[GameIsOver]],1,Table2[[AwayTeam]:[AwayTeam]],$T27, Table2[[HomeTeam]:[HomeTeam]], AF$21, Table2[[ActualResult]:[ActualResult]], "SO") + SUMIFS(Table2[[AwayWon]:[AwayWon]], Table2[[GameIsOver]:[GameIsOver]],1,Table2[[HomeTeam]:[HomeTeam]],$T27, Table2[[AwayTeam]:[AwayTeam]], AF$21, Table2[[ActualResult]:[ActualResult]], "SO")))</f>
        <v>2</v>
      </c>
      <c r="AG27">
        <f>(2*(SUMIFS(Table2[[AwayWon]:[AwayWon]], Table2[[GameIsOver]:[GameIsOver]],1,Table2[[AwayTeam]:[AwayTeam]],$T27, Table2[[HomeTeam]:[HomeTeam]], AG$21) + SUMIFS(Table2[[HomeWon_]:[HomeWon_]], Table2[[GameIsOver]:[GameIsOver]],1,Table2[[HomeTeam]:[HomeTeam]],$T27, Table2[[AwayTeam]:[AwayTeam]], AG$21))) + (0*(SUMIFS(Table2[[HomeWon_]:[HomeWon_]], Table2[[GameIsOver]:[GameIsOver]],1,Table2[[AwayTeam]:[AwayTeam]],$T27, Table2[[HomeTeam]:[HomeTeam]], AG$21, Table2[[ActualResult]:[ActualResult]], "REG") + SUMIFS(Table2[[AwayWon]:[AwayWon]], Table2[[GameIsOver]:[GameIsOver]],1,Table2[[HomeTeam]:[HomeTeam]],$T27, Table2[[AwayTeam]:[AwayTeam]], AG$21, Table2[[ActualResult]:[ActualResult]], "REG"))) + (1*(SUMIFS(Table2[[HomeWon_]:[HomeWon_]], Table2[[GameIsOver]:[GameIsOver]],1,Table2[[AwayTeam]:[AwayTeam]],$T27, Table2[[HomeTeam]:[HomeTeam]], AG$21, Table2[[ActualResult]:[ActualResult]], "OT") + SUMIFS(Table2[[AwayWon]:[AwayWon]], Table2[[GameIsOver]:[GameIsOver]],1,Table2[[HomeTeam]:[HomeTeam]],$T27, Table2[[AwayTeam]:[AwayTeam]], AG$21, Table2[[ActualResult]:[ActualResult]], "OT") + SUMIFS(Table2[[HomeWon_]:[HomeWon_]], Table2[[GameIsOver]:[GameIsOver]],1,Table2[[AwayTeam]:[AwayTeam]],$T27, Table2[[HomeTeam]:[HomeTeam]], AG$21, Table2[[ActualResult]:[ActualResult]], "SO") + SUMIFS(Table2[[AwayWon]:[AwayWon]], Table2[[GameIsOver]:[GameIsOver]],1,Table2[[HomeTeam]:[HomeTeam]],$T27, Table2[[AwayTeam]:[AwayTeam]], AG$21, Table2[[ActualResult]:[ActualResult]], "SO")))</f>
        <v>2</v>
      </c>
      <c r="AH27">
        <f>(2*(SUMIFS(Table2[[AwayWon]:[AwayWon]], Table2[[GameIsOver]:[GameIsOver]],1,Table2[[AwayTeam]:[AwayTeam]],$T27, Table2[[HomeTeam]:[HomeTeam]], AH$21) + SUMIFS(Table2[[HomeWon_]:[HomeWon_]], Table2[[GameIsOver]:[GameIsOver]],1,Table2[[HomeTeam]:[HomeTeam]],$T27, Table2[[AwayTeam]:[AwayTeam]], AH$21))) + (0*(SUMIFS(Table2[[HomeWon_]:[HomeWon_]], Table2[[GameIsOver]:[GameIsOver]],1,Table2[[AwayTeam]:[AwayTeam]],$T27, Table2[[HomeTeam]:[HomeTeam]], AH$21, Table2[[ActualResult]:[ActualResult]], "REG") + SUMIFS(Table2[[AwayWon]:[AwayWon]], Table2[[GameIsOver]:[GameIsOver]],1,Table2[[HomeTeam]:[HomeTeam]],$T27, Table2[[AwayTeam]:[AwayTeam]], AH$21, Table2[[ActualResult]:[ActualResult]], "REG"))) + (1*(SUMIFS(Table2[[HomeWon_]:[HomeWon_]], Table2[[GameIsOver]:[GameIsOver]],1,Table2[[AwayTeam]:[AwayTeam]],$T27, Table2[[HomeTeam]:[HomeTeam]], AH$21, Table2[[ActualResult]:[ActualResult]], "OT") + SUMIFS(Table2[[AwayWon]:[AwayWon]], Table2[[GameIsOver]:[GameIsOver]],1,Table2[[HomeTeam]:[HomeTeam]],$T27, Table2[[AwayTeam]:[AwayTeam]], AH$21, Table2[[ActualResult]:[ActualResult]], "OT") + SUMIFS(Table2[[HomeWon_]:[HomeWon_]], Table2[[GameIsOver]:[GameIsOver]],1,Table2[[AwayTeam]:[AwayTeam]],$T27, Table2[[HomeTeam]:[HomeTeam]], AH$21, Table2[[ActualResult]:[ActualResult]], "SO") + SUMIFS(Table2[[AwayWon]:[AwayWon]], Table2[[GameIsOver]:[GameIsOver]],1,Table2[[HomeTeam]:[HomeTeam]],$T27, Table2[[AwayTeam]:[AwayTeam]], AH$21, Table2[[ActualResult]:[ActualResult]], "SO")))</f>
        <v>0</v>
      </c>
      <c r="AI27">
        <f>(2*(SUMIFS(Table2[[AwayWon]:[AwayWon]], Table2[[GameIsOver]:[GameIsOver]],1,Table2[[AwayTeam]:[AwayTeam]],$T27, Table2[[HomeTeam]:[HomeTeam]], AI$21) + SUMIFS(Table2[[HomeWon_]:[HomeWon_]], Table2[[GameIsOver]:[GameIsOver]],1,Table2[[HomeTeam]:[HomeTeam]],$T27, Table2[[AwayTeam]:[AwayTeam]], AI$21))) + (0*(SUMIFS(Table2[[HomeWon_]:[HomeWon_]], Table2[[GameIsOver]:[GameIsOver]],1,Table2[[AwayTeam]:[AwayTeam]],$T27, Table2[[HomeTeam]:[HomeTeam]], AI$21, Table2[[ActualResult]:[ActualResult]], "REG") + SUMIFS(Table2[[AwayWon]:[AwayWon]], Table2[[GameIsOver]:[GameIsOver]],1,Table2[[HomeTeam]:[HomeTeam]],$T27, Table2[[AwayTeam]:[AwayTeam]], AI$21, Table2[[ActualResult]:[ActualResult]], "REG"))) + (1*(SUMIFS(Table2[[HomeWon_]:[HomeWon_]], Table2[[GameIsOver]:[GameIsOver]],1,Table2[[AwayTeam]:[AwayTeam]],$T27, Table2[[HomeTeam]:[HomeTeam]], AI$21, Table2[[ActualResult]:[ActualResult]], "OT") + SUMIFS(Table2[[AwayWon]:[AwayWon]], Table2[[GameIsOver]:[GameIsOver]],1,Table2[[HomeTeam]:[HomeTeam]],$T27, Table2[[AwayTeam]:[AwayTeam]], AI$21, Table2[[ActualResult]:[ActualResult]], "OT") + SUMIFS(Table2[[HomeWon_]:[HomeWon_]], Table2[[GameIsOver]:[GameIsOver]],1,Table2[[AwayTeam]:[AwayTeam]],$T27, Table2[[HomeTeam]:[HomeTeam]], AI$21, Table2[[ActualResult]:[ActualResult]], "SO") + SUMIFS(Table2[[AwayWon]:[AwayWon]], Table2[[GameIsOver]:[GameIsOver]],1,Table2[[HomeTeam]:[HomeTeam]],$T27, Table2[[AwayTeam]:[AwayTeam]], AI$21, Table2[[ActualResult]:[ActualResult]], "SO")))</f>
        <v>0</v>
      </c>
      <c r="AJ27">
        <f>(2*(SUMIFS(Table2[[AwayWon]:[AwayWon]], Table2[[GameIsOver]:[GameIsOver]],1,Table2[[AwayTeam]:[AwayTeam]],$T27, Table2[[HomeTeam]:[HomeTeam]], AJ$21) + SUMIFS(Table2[[HomeWon_]:[HomeWon_]], Table2[[GameIsOver]:[GameIsOver]],1,Table2[[HomeTeam]:[HomeTeam]],$T27, Table2[[AwayTeam]:[AwayTeam]], AJ$21))) + (0*(SUMIFS(Table2[[HomeWon_]:[HomeWon_]], Table2[[GameIsOver]:[GameIsOver]],1,Table2[[AwayTeam]:[AwayTeam]],$T27, Table2[[HomeTeam]:[HomeTeam]], AJ$21, Table2[[ActualResult]:[ActualResult]], "REG") + SUMIFS(Table2[[AwayWon]:[AwayWon]], Table2[[GameIsOver]:[GameIsOver]],1,Table2[[HomeTeam]:[HomeTeam]],$T27, Table2[[AwayTeam]:[AwayTeam]], AJ$21, Table2[[ActualResult]:[ActualResult]], "REG"))) + (1*(SUMIFS(Table2[[HomeWon_]:[HomeWon_]], Table2[[GameIsOver]:[GameIsOver]],1,Table2[[AwayTeam]:[AwayTeam]],$T27, Table2[[HomeTeam]:[HomeTeam]], AJ$21, Table2[[ActualResult]:[ActualResult]], "OT") + SUMIFS(Table2[[AwayWon]:[AwayWon]], Table2[[GameIsOver]:[GameIsOver]],1,Table2[[HomeTeam]:[HomeTeam]],$T27, Table2[[AwayTeam]:[AwayTeam]], AJ$21, Table2[[ActualResult]:[ActualResult]], "OT") + SUMIFS(Table2[[HomeWon_]:[HomeWon_]], Table2[[GameIsOver]:[GameIsOver]],1,Table2[[AwayTeam]:[AwayTeam]],$T27, Table2[[HomeTeam]:[HomeTeam]], AJ$21, Table2[[ActualResult]:[ActualResult]], "SO") + SUMIFS(Table2[[AwayWon]:[AwayWon]], Table2[[GameIsOver]:[GameIsOver]],1,Table2[[HomeTeam]:[HomeTeam]],$T27, Table2[[AwayTeam]:[AwayTeam]], AJ$21, Table2[[ActualResult]:[ActualResult]], "SO")))</f>
        <v>0</v>
      </c>
      <c r="AK27">
        <f>(2*(SUMIFS(Table2[[AwayWon]:[AwayWon]], Table2[[GameIsOver]:[GameIsOver]],1,Table2[[AwayTeam]:[AwayTeam]],$T27, Table2[[HomeTeam]:[HomeTeam]], AK$21) + SUMIFS(Table2[[HomeWon_]:[HomeWon_]], Table2[[GameIsOver]:[GameIsOver]],1,Table2[[HomeTeam]:[HomeTeam]],$T27, Table2[[AwayTeam]:[AwayTeam]], AK$21))) + (0*(SUMIFS(Table2[[HomeWon_]:[HomeWon_]], Table2[[GameIsOver]:[GameIsOver]],1,Table2[[AwayTeam]:[AwayTeam]],$T27, Table2[[HomeTeam]:[HomeTeam]], AK$21, Table2[[ActualResult]:[ActualResult]], "REG") + SUMIFS(Table2[[AwayWon]:[AwayWon]], Table2[[GameIsOver]:[GameIsOver]],1,Table2[[HomeTeam]:[HomeTeam]],$T27, Table2[[AwayTeam]:[AwayTeam]], AK$21, Table2[[ActualResult]:[ActualResult]], "REG"))) + (1*(SUMIFS(Table2[[HomeWon_]:[HomeWon_]], Table2[[GameIsOver]:[GameIsOver]],1,Table2[[AwayTeam]:[AwayTeam]],$T27, Table2[[HomeTeam]:[HomeTeam]], AK$21, Table2[[ActualResult]:[ActualResult]], "OT") + SUMIFS(Table2[[AwayWon]:[AwayWon]], Table2[[GameIsOver]:[GameIsOver]],1,Table2[[HomeTeam]:[HomeTeam]],$T27, Table2[[AwayTeam]:[AwayTeam]], AK$21, Table2[[ActualResult]:[ActualResult]], "OT") + SUMIFS(Table2[[HomeWon_]:[HomeWon_]], Table2[[GameIsOver]:[GameIsOver]],1,Table2[[AwayTeam]:[AwayTeam]],$T27, Table2[[HomeTeam]:[HomeTeam]], AK$21, Table2[[ActualResult]:[ActualResult]], "SO") + SUMIFS(Table2[[AwayWon]:[AwayWon]], Table2[[GameIsOver]:[GameIsOver]],1,Table2[[HomeTeam]:[HomeTeam]],$T27, Table2[[AwayTeam]:[AwayTeam]], AK$21, Table2[[ActualResult]:[ActualResult]], "SO")))</f>
        <v>0</v>
      </c>
      <c r="AL27">
        <f>(2*(SUMIFS(Table2[[AwayWon]:[AwayWon]], Table2[[GameIsOver]:[GameIsOver]],1,Table2[[AwayTeam]:[AwayTeam]],$T27, Table2[[HomeTeam]:[HomeTeam]], AL$21) + SUMIFS(Table2[[HomeWon_]:[HomeWon_]], Table2[[GameIsOver]:[GameIsOver]],1,Table2[[HomeTeam]:[HomeTeam]],$T27, Table2[[AwayTeam]:[AwayTeam]], AL$21))) + (0*(SUMIFS(Table2[[HomeWon_]:[HomeWon_]], Table2[[GameIsOver]:[GameIsOver]],1,Table2[[AwayTeam]:[AwayTeam]],$T27, Table2[[HomeTeam]:[HomeTeam]], AL$21, Table2[[ActualResult]:[ActualResult]], "REG") + SUMIFS(Table2[[AwayWon]:[AwayWon]], Table2[[GameIsOver]:[GameIsOver]],1,Table2[[HomeTeam]:[HomeTeam]],$T27, Table2[[AwayTeam]:[AwayTeam]], AL$21, Table2[[ActualResult]:[ActualResult]], "REG"))) + (1*(SUMIFS(Table2[[HomeWon_]:[HomeWon_]], Table2[[GameIsOver]:[GameIsOver]],1,Table2[[AwayTeam]:[AwayTeam]],$T27, Table2[[HomeTeam]:[HomeTeam]], AL$21, Table2[[ActualResult]:[ActualResult]], "OT") + SUMIFS(Table2[[AwayWon]:[AwayWon]], Table2[[GameIsOver]:[GameIsOver]],1,Table2[[HomeTeam]:[HomeTeam]],$T27, Table2[[AwayTeam]:[AwayTeam]], AL$21, Table2[[ActualResult]:[ActualResult]], "OT") + SUMIFS(Table2[[HomeWon_]:[HomeWon_]], Table2[[GameIsOver]:[GameIsOver]],1,Table2[[AwayTeam]:[AwayTeam]],$T27, Table2[[HomeTeam]:[HomeTeam]], AL$21, Table2[[ActualResult]:[ActualResult]], "SO") + SUMIFS(Table2[[AwayWon]:[AwayWon]], Table2[[GameIsOver]:[GameIsOver]],1,Table2[[HomeTeam]:[HomeTeam]],$T27, Table2[[AwayTeam]:[AwayTeam]], AL$21, Table2[[ActualResult]:[ActualResult]], "SO")))</f>
        <v>0</v>
      </c>
      <c r="AM27">
        <f>(2*(SUMIFS(Table2[[AwayWon]:[AwayWon]], Table2[[GameIsOver]:[GameIsOver]],1,Table2[[AwayTeam]:[AwayTeam]],$T27, Table2[[HomeTeam]:[HomeTeam]], AM$21) + SUMIFS(Table2[[HomeWon_]:[HomeWon_]], Table2[[GameIsOver]:[GameIsOver]],1,Table2[[HomeTeam]:[HomeTeam]],$T27, Table2[[AwayTeam]:[AwayTeam]], AM$21))) + (0*(SUMIFS(Table2[[HomeWon_]:[HomeWon_]], Table2[[GameIsOver]:[GameIsOver]],1,Table2[[AwayTeam]:[AwayTeam]],$T27, Table2[[HomeTeam]:[HomeTeam]], AM$21, Table2[[ActualResult]:[ActualResult]], "REG") + SUMIFS(Table2[[AwayWon]:[AwayWon]], Table2[[GameIsOver]:[GameIsOver]],1,Table2[[HomeTeam]:[HomeTeam]],$T27, Table2[[AwayTeam]:[AwayTeam]], AM$21, Table2[[ActualResult]:[ActualResult]], "REG"))) + (1*(SUMIFS(Table2[[HomeWon_]:[HomeWon_]], Table2[[GameIsOver]:[GameIsOver]],1,Table2[[AwayTeam]:[AwayTeam]],$T27, Table2[[HomeTeam]:[HomeTeam]], AM$21, Table2[[ActualResult]:[ActualResult]], "OT") + SUMIFS(Table2[[AwayWon]:[AwayWon]], Table2[[GameIsOver]:[GameIsOver]],1,Table2[[HomeTeam]:[HomeTeam]],$T27, Table2[[AwayTeam]:[AwayTeam]], AM$21, Table2[[ActualResult]:[ActualResult]], "OT") + SUMIFS(Table2[[HomeWon_]:[HomeWon_]], Table2[[GameIsOver]:[GameIsOver]],1,Table2[[AwayTeam]:[AwayTeam]],$T27, Table2[[HomeTeam]:[HomeTeam]], AM$21, Table2[[ActualResult]:[ActualResult]], "SO") + SUMIFS(Table2[[AwayWon]:[AwayWon]], Table2[[GameIsOver]:[GameIsOver]],1,Table2[[HomeTeam]:[HomeTeam]],$T27, Table2[[AwayTeam]:[AwayTeam]], AM$21, Table2[[ActualResult]:[ActualResult]], "SO")))</f>
        <v>0</v>
      </c>
      <c r="AN27">
        <f>(2*(SUMIFS(Table2[[AwayWon]:[AwayWon]], Table2[[GameIsOver]:[GameIsOver]],1,Table2[[AwayTeam]:[AwayTeam]],$T27, Table2[[HomeTeam]:[HomeTeam]], AN$21) + SUMIFS(Table2[[HomeWon_]:[HomeWon_]], Table2[[GameIsOver]:[GameIsOver]],1,Table2[[HomeTeam]:[HomeTeam]],$T27, Table2[[AwayTeam]:[AwayTeam]], AN$21))) + (0*(SUMIFS(Table2[[HomeWon_]:[HomeWon_]], Table2[[GameIsOver]:[GameIsOver]],1,Table2[[AwayTeam]:[AwayTeam]],$T27, Table2[[HomeTeam]:[HomeTeam]], AN$21, Table2[[ActualResult]:[ActualResult]], "REG") + SUMIFS(Table2[[AwayWon]:[AwayWon]], Table2[[GameIsOver]:[GameIsOver]],1,Table2[[HomeTeam]:[HomeTeam]],$T27, Table2[[AwayTeam]:[AwayTeam]], AN$21, Table2[[ActualResult]:[ActualResult]], "REG"))) + (1*(SUMIFS(Table2[[HomeWon_]:[HomeWon_]], Table2[[GameIsOver]:[GameIsOver]],1,Table2[[AwayTeam]:[AwayTeam]],$T27, Table2[[HomeTeam]:[HomeTeam]], AN$21, Table2[[ActualResult]:[ActualResult]], "OT") + SUMIFS(Table2[[AwayWon]:[AwayWon]], Table2[[GameIsOver]:[GameIsOver]],1,Table2[[HomeTeam]:[HomeTeam]],$T27, Table2[[AwayTeam]:[AwayTeam]], AN$21, Table2[[ActualResult]:[ActualResult]], "OT") + SUMIFS(Table2[[HomeWon_]:[HomeWon_]], Table2[[GameIsOver]:[GameIsOver]],1,Table2[[AwayTeam]:[AwayTeam]],$T27, Table2[[HomeTeam]:[HomeTeam]], AN$21, Table2[[ActualResult]:[ActualResult]], "SO") + SUMIFS(Table2[[AwayWon]:[AwayWon]], Table2[[GameIsOver]:[GameIsOver]],1,Table2[[HomeTeam]:[HomeTeam]],$T27, Table2[[AwayTeam]:[AwayTeam]], AN$21, Table2[[ActualResult]:[ActualResult]], "SO")))</f>
        <v>0</v>
      </c>
      <c r="AO27">
        <f>(2*(SUMIFS(Table2[[AwayWon]:[AwayWon]], Table2[[GameIsOver]:[GameIsOver]],1,Table2[[AwayTeam]:[AwayTeam]],$T27, Table2[[HomeTeam]:[HomeTeam]], AO$21) + SUMIFS(Table2[[HomeWon_]:[HomeWon_]], Table2[[GameIsOver]:[GameIsOver]],1,Table2[[HomeTeam]:[HomeTeam]],$T27, Table2[[AwayTeam]:[AwayTeam]], AO$21))) + (0*(SUMIFS(Table2[[HomeWon_]:[HomeWon_]], Table2[[GameIsOver]:[GameIsOver]],1,Table2[[AwayTeam]:[AwayTeam]],$T27, Table2[[HomeTeam]:[HomeTeam]], AO$21, Table2[[ActualResult]:[ActualResult]], "REG") + SUMIFS(Table2[[AwayWon]:[AwayWon]], Table2[[GameIsOver]:[GameIsOver]],1,Table2[[HomeTeam]:[HomeTeam]],$T27, Table2[[AwayTeam]:[AwayTeam]], AO$21, Table2[[ActualResult]:[ActualResult]], "REG"))) + (1*(SUMIFS(Table2[[HomeWon_]:[HomeWon_]], Table2[[GameIsOver]:[GameIsOver]],1,Table2[[AwayTeam]:[AwayTeam]],$T27, Table2[[HomeTeam]:[HomeTeam]], AO$21, Table2[[ActualResult]:[ActualResult]], "OT") + SUMIFS(Table2[[AwayWon]:[AwayWon]], Table2[[GameIsOver]:[GameIsOver]],1,Table2[[HomeTeam]:[HomeTeam]],$T27, Table2[[AwayTeam]:[AwayTeam]], AO$21, Table2[[ActualResult]:[ActualResult]], "OT") + SUMIFS(Table2[[HomeWon_]:[HomeWon_]], Table2[[GameIsOver]:[GameIsOver]],1,Table2[[AwayTeam]:[AwayTeam]],$T27, Table2[[HomeTeam]:[HomeTeam]], AO$21, Table2[[ActualResult]:[ActualResult]], "SO") + SUMIFS(Table2[[AwayWon]:[AwayWon]], Table2[[GameIsOver]:[GameIsOver]],1,Table2[[HomeTeam]:[HomeTeam]],$T27, Table2[[AwayTeam]:[AwayTeam]], AO$21, Table2[[ActualResult]:[ActualResult]], "SO")))</f>
        <v>0</v>
      </c>
      <c r="AP27">
        <f>(2*(SUMIFS(Table2[[AwayWon]:[AwayWon]], Table2[[GameIsOver]:[GameIsOver]],1,Table2[[AwayTeam]:[AwayTeam]],$T27, Table2[[HomeTeam]:[HomeTeam]], AP$21) + SUMIFS(Table2[[HomeWon_]:[HomeWon_]], Table2[[GameIsOver]:[GameIsOver]],1,Table2[[HomeTeam]:[HomeTeam]],$T27, Table2[[AwayTeam]:[AwayTeam]], AP$21))) + (0*(SUMIFS(Table2[[HomeWon_]:[HomeWon_]], Table2[[GameIsOver]:[GameIsOver]],1,Table2[[AwayTeam]:[AwayTeam]],$T27, Table2[[HomeTeam]:[HomeTeam]], AP$21, Table2[[ActualResult]:[ActualResult]], "REG") + SUMIFS(Table2[[AwayWon]:[AwayWon]], Table2[[GameIsOver]:[GameIsOver]],1,Table2[[HomeTeam]:[HomeTeam]],$T27, Table2[[AwayTeam]:[AwayTeam]], AP$21, Table2[[ActualResult]:[ActualResult]], "REG"))) + (1*(SUMIFS(Table2[[HomeWon_]:[HomeWon_]], Table2[[GameIsOver]:[GameIsOver]],1,Table2[[AwayTeam]:[AwayTeam]],$T27, Table2[[HomeTeam]:[HomeTeam]], AP$21, Table2[[ActualResult]:[ActualResult]], "OT") + SUMIFS(Table2[[AwayWon]:[AwayWon]], Table2[[GameIsOver]:[GameIsOver]],1,Table2[[HomeTeam]:[HomeTeam]],$T27, Table2[[AwayTeam]:[AwayTeam]], AP$21, Table2[[ActualResult]:[ActualResult]], "OT") + SUMIFS(Table2[[HomeWon_]:[HomeWon_]], Table2[[GameIsOver]:[GameIsOver]],1,Table2[[AwayTeam]:[AwayTeam]],$T27, Table2[[HomeTeam]:[HomeTeam]], AP$21, Table2[[ActualResult]:[ActualResult]], "SO") + SUMIFS(Table2[[AwayWon]:[AwayWon]], Table2[[GameIsOver]:[GameIsOver]],1,Table2[[HomeTeam]:[HomeTeam]],$T27, Table2[[AwayTeam]:[AwayTeam]], AP$21, Table2[[ActualResult]:[ActualResult]], "SO")))</f>
        <v>0</v>
      </c>
      <c r="AQ27">
        <f>(2*(SUMIFS(Table2[[AwayWon]:[AwayWon]], Table2[[GameIsOver]:[GameIsOver]],1,Table2[[AwayTeam]:[AwayTeam]],$T27, Table2[[HomeTeam]:[HomeTeam]], AQ$21) + SUMIFS(Table2[[HomeWon_]:[HomeWon_]], Table2[[GameIsOver]:[GameIsOver]],1,Table2[[HomeTeam]:[HomeTeam]],$T27, Table2[[AwayTeam]:[AwayTeam]], AQ$21))) + (0*(SUMIFS(Table2[[HomeWon_]:[HomeWon_]], Table2[[GameIsOver]:[GameIsOver]],1,Table2[[AwayTeam]:[AwayTeam]],$T27, Table2[[HomeTeam]:[HomeTeam]], AQ$21, Table2[[ActualResult]:[ActualResult]], "REG") + SUMIFS(Table2[[AwayWon]:[AwayWon]], Table2[[GameIsOver]:[GameIsOver]],1,Table2[[HomeTeam]:[HomeTeam]],$T27, Table2[[AwayTeam]:[AwayTeam]], AQ$21, Table2[[ActualResult]:[ActualResult]], "REG"))) + (1*(SUMIFS(Table2[[HomeWon_]:[HomeWon_]], Table2[[GameIsOver]:[GameIsOver]],1,Table2[[AwayTeam]:[AwayTeam]],$T27, Table2[[HomeTeam]:[HomeTeam]], AQ$21, Table2[[ActualResult]:[ActualResult]], "OT") + SUMIFS(Table2[[AwayWon]:[AwayWon]], Table2[[GameIsOver]:[GameIsOver]],1,Table2[[HomeTeam]:[HomeTeam]],$T27, Table2[[AwayTeam]:[AwayTeam]], AQ$21, Table2[[ActualResult]:[ActualResult]], "OT") + SUMIFS(Table2[[HomeWon_]:[HomeWon_]], Table2[[GameIsOver]:[GameIsOver]],1,Table2[[AwayTeam]:[AwayTeam]],$T27, Table2[[HomeTeam]:[HomeTeam]], AQ$21, Table2[[ActualResult]:[ActualResult]], "SO") + SUMIFS(Table2[[AwayWon]:[AwayWon]], Table2[[GameIsOver]:[GameIsOver]],1,Table2[[HomeTeam]:[HomeTeam]],$T27, Table2[[AwayTeam]:[AwayTeam]], AQ$21, Table2[[ActualResult]:[ActualResult]], "SO")))</f>
        <v>0</v>
      </c>
      <c r="AR27">
        <f>(2*(SUMIFS(Table2[[AwayWon]:[AwayWon]], Table2[[GameIsOver]:[GameIsOver]],1,Table2[[AwayTeam]:[AwayTeam]],$T27, Table2[[HomeTeam]:[HomeTeam]], AR$21) + SUMIFS(Table2[[HomeWon_]:[HomeWon_]], Table2[[GameIsOver]:[GameIsOver]],1,Table2[[HomeTeam]:[HomeTeam]],$T27, Table2[[AwayTeam]:[AwayTeam]], AR$21))) + (0*(SUMIFS(Table2[[HomeWon_]:[HomeWon_]], Table2[[GameIsOver]:[GameIsOver]],1,Table2[[AwayTeam]:[AwayTeam]],$T27, Table2[[HomeTeam]:[HomeTeam]], AR$21, Table2[[ActualResult]:[ActualResult]], "REG") + SUMIFS(Table2[[AwayWon]:[AwayWon]], Table2[[GameIsOver]:[GameIsOver]],1,Table2[[HomeTeam]:[HomeTeam]],$T27, Table2[[AwayTeam]:[AwayTeam]], AR$21, Table2[[ActualResult]:[ActualResult]], "REG"))) + (1*(SUMIFS(Table2[[HomeWon_]:[HomeWon_]], Table2[[GameIsOver]:[GameIsOver]],1,Table2[[AwayTeam]:[AwayTeam]],$T27, Table2[[HomeTeam]:[HomeTeam]], AR$21, Table2[[ActualResult]:[ActualResult]], "OT") + SUMIFS(Table2[[AwayWon]:[AwayWon]], Table2[[GameIsOver]:[GameIsOver]],1,Table2[[HomeTeam]:[HomeTeam]],$T27, Table2[[AwayTeam]:[AwayTeam]], AR$21, Table2[[ActualResult]:[ActualResult]], "OT") + SUMIFS(Table2[[HomeWon_]:[HomeWon_]], Table2[[GameIsOver]:[GameIsOver]],1,Table2[[AwayTeam]:[AwayTeam]],$T27, Table2[[HomeTeam]:[HomeTeam]], AR$21, Table2[[ActualResult]:[ActualResult]], "SO") + SUMIFS(Table2[[AwayWon]:[AwayWon]], Table2[[GameIsOver]:[GameIsOver]],1,Table2[[HomeTeam]:[HomeTeam]],$T27, Table2[[AwayTeam]:[AwayTeam]], AR$21, Table2[[ActualResult]:[ActualResult]], "SO")))</f>
        <v>0</v>
      </c>
      <c r="AS27">
        <f>(2*(SUMIFS(Table2[[AwayWon]:[AwayWon]], Table2[[GameIsOver]:[GameIsOver]],1,Table2[[AwayTeam]:[AwayTeam]],$T27, Table2[[HomeTeam]:[HomeTeam]], AS$21) + SUMIFS(Table2[[HomeWon_]:[HomeWon_]], Table2[[GameIsOver]:[GameIsOver]],1,Table2[[HomeTeam]:[HomeTeam]],$T27, Table2[[AwayTeam]:[AwayTeam]], AS$21))) + (0*(SUMIFS(Table2[[HomeWon_]:[HomeWon_]], Table2[[GameIsOver]:[GameIsOver]],1,Table2[[AwayTeam]:[AwayTeam]],$T27, Table2[[HomeTeam]:[HomeTeam]], AS$21, Table2[[ActualResult]:[ActualResult]], "REG") + SUMIFS(Table2[[AwayWon]:[AwayWon]], Table2[[GameIsOver]:[GameIsOver]],1,Table2[[HomeTeam]:[HomeTeam]],$T27, Table2[[AwayTeam]:[AwayTeam]], AS$21, Table2[[ActualResult]:[ActualResult]], "REG"))) + (1*(SUMIFS(Table2[[HomeWon_]:[HomeWon_]], Table2[[GameIsOver]:[GameIsOver]],1,Table2[[AwayTeam]:[AwayTeam]],$T27, Table2[[HomeTeam]:[HomeTeam]], AS$21, Table2[[ActualResult]:[ActualResult]], "OT") + SUMIFS(Table2[[AwayWon]:[AwayWon]], Table2[[GameIsOver]:[GameIsOver]],1,Table2[[HomeTeam]:[HomeTeam]],$T27, Table2[[AwayTeam]:[AwayTeam]], AS$21, Table2[[ActualResult]:[ActualResult]], "OT") + SUMIFS(Table2[[HomeWon_]:[HomeWon_]], Table2[[GameIsOver]:[GameIsOver]],1,Table2[[AwayTeam]:[AwayTeam]],$T27, Table2[[HomeTeam]:[HomeTeam]], AS$21, Table2[[ActualResult]:[ActualResult]], "SO") + SUMIFS(Table2[[AwayWon]:[AwayWon]], Table2[[GameIsOver]:[GameIsOver]],1,Table2[[HomeTeam]:[HomeTeam]],$T27, Table2[[AwayTeam]:[AwayTeam]], AS$21, Table2[[ActualResult]:[ActualResult]], "SO")))</f>
        <v>0</v>
      </c>
      <c r="AT27">
        <f>(2*(SUMIFS(Table2[[AwayWon]:[AwayWon]], Table2[[GameIsOver]:[GameIsOver]],1,Table2[[AwayTeam]:[AwayTeam]],$T27, Table2[[HomeTeam]:[HomeTeam]], AT$21) + SUMIFS(Table2[[HomeWon_]:[HomeWon_]], Table2[[GameIsOver]:[GameIsOver]],1,Table2[[HomeTeam]:[HomeTeam]],$T27, Table2[[AwayTeam]:[AwayTeam]], AT$21))) + (0*(SUMIFS(Table2[[HomeWon_]:[HomeWon_]], Table2[[GameIsOver]:[GameIsOver]],1,Table2[[AwayTeam]:[AwayTeam]],$T27, Table2[[HomeTeam]:[HomeTeam]], AT$21, Table2[[ActualResult]:[ActualResult]], "REG") + SUMIFS(Table2[[AwayWon]:[AwayWon]], Table2[[GameIsOver]:[GameIsOver]],1,Table2[[HomeTeam]:[HomeTeam]],$T27, Table2[[AwayTeam]:[AwayTeam]], AT$21, Table2[[ActualResult]:[ActualResult]], "REG"))) + (1*(SUMIFS(Table2[[HomeWon_]:[HomeWon_]], Table2[[GameIsOver]:[GameIsOver]],1,Table2[[AwayTeam]:[AwayTeam]],$T27, Table2[[HomeTeam]:[HomeTeam]], AT$21, Table2[[ActualResult]:[ActualResult]], "OT") + SUMIFS(Table2[[AwayWon]:[AwayWon]], Table2[[GameIsOver]:[GameIsOver]],1,Table2[[HomeTeam]:[HomeTeam]],$T27, Table2[[AwayTeam]:[AwayTeam]], AT$21, Table2[[ActualResult]:[ActualResult]], "OT") + SUMIFS(Table2[[HomeWon_]:[HomeWon_]], Table2[[GameIsOver]:[GameIsOver]],1,Table2[[AwayTeam]:[AwayTeam]],$T27, Table2[[HomeTeam]:[HomeTeam]], AT$21, Table2[[ActualResult]:[ActualResult]], "SO") + SUMIFS(Table2[[AwayWon]:[AwayWon]], Table2[[GameIsOver]:[GameIsOver]],1,Table2[[HomeTeam]:[HomeTeam]],$T27, Table2[[AwayTeam]:[AwayTeam]], AT$21, Table2[[ActualResult]:[ActualResult]], "SO")))</f>
        <v>0</v>
      </c>
      <c r="AU27">
        <f>(2*(SUMIFS(Table2[[AwayWon]:[AwayWon]], Table2[[GameIsOver]:[GameIsOver]],1,Table2[[AwayTeam]:[AwayTeam]],$T27, Table2[[HomeTeam]:[HomeTeam]], AU$21) + SUMIFS(Table2[[HomeWon_]:[HomeWon_]], Table2[[GameIsOver]:[GameIsOver]],1,Table2[[HomeTeam]:[HomeTeam]],$T27, Table2[[AwayTeam]:[AwayTeam]], AU$21))) + (0*(SUMIFS(Table2[[HomeWon_]:[HomeWon_]], Table2[[GameIsOver]:[GameIsOver]],1,Table2[[AwayTeam]:[AwayTeam]],$T27, Table2[[HomeTeam]:[HomeTeam]], AU$21, Table2[[ActualResult]:[ActualResult]], "REG") + SUMIFS(Table2[[AwayWon]:[AwayWon]], Table2[[GameIsOver]:[GameIsOver]],1,Table2[[HomeTeam]:[HomeTeam]],$T27, Table2[[AwayTeam]:[AwayTeam]], AU$21, Table2[[ActualResult]:[ActualResult]], "REG"))) + (1*(SUMIFS(Table2[[HomeWon_]:[HomeWon_]], Table2[[GameIsOver]:[GameIsOver]],1,Table2[[AwayTeam]:[AwayTeam]],$T27, Table2[[HomeTeam]:[HomeTeam]], AU$21, Table2[[ActualResult]:[ActualResult]], "OT") + SUMIFS(Table2[[AwayWon]:[AwayWon]], Table2[[GameIsOver]:[GameIsOver]],1,Table2[[HomeTeam]:[HomeTeam]],$T27, Table2[[AwayTeam]:[AwayTeam]], AU$21, Table2[[ActualResult]:[ActualResult]], "OT") + SUMIFS(Table2[[HomeWon_]:[HomeWon_]], Table2[[GameIsOver]:[GameIsOver]],1,Table2[[AwayTeam]:[AwayTeam]],$T27, Table2[[HomeTeam]:[HomeTeam]], AU$21, Table2[[ActualResult]:[ActualResult]], "SO") + SUMIFS(Table2[[AwayWon]:[AwayWon]], Table2[[GameIsOver]:[GameIsOver]],1,Table2[[HomeTeam]:[HomeTeam]],$T27, Table2[[AwayTeam]:[AwayTeam]], AU$21, Table2[[ActualResult]:[ActualResult]], "SO")))</f>
        <v>0</v>
      </c>
      <c r="AV27">
        <f>(2*(SUMIFS(Table2[[AwayWon]:[AwayWon]], Table2[[GameIsOver]:[GameIsOver]],1,Table2[[AwayTeam]:[AwayTeam]],$T27, Table2[[HomeTeam]:[HomeTeam]], AV$21) + SUMIFS(Table2[[HomeWon_]:[HomeWon_]], Table2[[GameIsOver]:[GameIsOver]],1,Table2[[HomeTeam]:[HomeTeam]],$T27, Table2[[AwayTeam]:[AwayTeam]], AV$21))) + (0*(SUMIFS(Table2[[HomeWon_]:[HomeWon_]], Table2[[GameIsOver]:[GameIsOver]],1,Table2[[AwayTeam]:[AwayTeam]],$T27, Table2[[HomeTeam]:[HomeTeam]], AV$21, Table2[[ActualResult]:[ActualResult]], "REG") + SUMIFS(Table2[[AwayWon]:[AwayWon]], Table2[[GameIsOver]:[GameIsOver]],1,Table2[[HomeTeam]:[HomeTeam]],$T27, Table2[[AwayTeam]:[AwayTeam]], AV$21, Table2[[ActualResult]:[ActualResult]], "REG"))) + (1*(SUMIFS(Table2[[HomeWon_]:[HomeWon_]], Table2[[GameIsOver]:[GameIsOver]],1,Table2[[AwayTeam]:[AwayTeam]],$T27, Table2[[HomeTeam]:[HomeTeam]], AV$21, Table2[[ActualResult]:[ActualResult]], "OT") + SUMIFS(Table2[[AwayWon]:[AwayWon]], Table2[[GameIsOver]:[GameIsOver]],1,Table2[[HomeTeam]:[HomeTeam]],$T27, Table2[[AwayTeam]:[AwayTeam]], AV$21, Table2[[ActualResult]:[ActualResult]], "OT") + SUMIFS(Table2[[HomeWon_]:[HomeWon_]], Table2[[GameIsOver]:[GameIsOver]],1,Table2[[AwayTeam]:[AwayTeam]],$T27, Table2[[HomeTeam]:[HomeTeam]], AV$21, Table2[[ActualResult]:[ActualResult]], "SO") + SUMIFS(Table2[[AwayWon]:[AwayWon]], Table2[[GameIsOver]:[GameIsOver]],1,Table2[[HomeTeam]:[HomeTeam]],$T27, Table2[[AwayTeam]:[AwayTeam]], AV$21, Table2[[ActualResult]:[ActualResult]], "SO")))</f>
        <v>0</v>
      </c>
      <c r="AW27">
        <f>(2*(SUMIFS(Table2[[AwayWon]:[AwayWon]], Table2[[GameIsOver]:[GameIsOver]],1,Table2[[AwayTeam]:[AwayTeam]],$T27, Table2[[HomeTeam]:[HomeTeam]], AW$21) + SUMIFS(Table2[[HomeWon_]:[HomeWon_]], Table2[[GameIsOver]:[GameIsOver]],1,Table2[[HomeTeam]:[HomeTeam]],$T27, Table2[[AwayTeam]:[AwayTeam]], AW$21))) + (0*(SUMIFS(Table2[[HomeWon_]:[HomeWon_]], Table2[[GameIsOver]:[GameIsOver]],1,Table2[[AwayTeam]:[AwayTeam]],$T27, Table2[[HomeTeam]:[HomeTeam]], AW$21, Table2[[ActualResult]:[ActualResult]], "REG") + SUMIFS(Table2[[AwayWon]:[AwayWon]], Table2[[GameIsOver]:[GameIsOver]],1,Table2[[HomeTeam]:[HomeTeam]],$T27, Table2[[AwayTeam]:[AwayTeam]], AW$21, Table2[[ActualResult]:[ActualResult]], "REG"))) + (1*(SUMIFS(Table2[[HomeWon_]:[HomeWon_]], Table2[[GameIsOver]:[GameIsOver]],1,Table2[[AwayTeam]:[AwayTeam]],$T27, Table2[[HomeTeam]:[HomeTeam]], AW$21, Table2[[ActualResult]:[ActualResult]], "OT") + SUMIFS(Table2[[AwayWon]:[AwayWon]], Table2[[GameIsOver]:[GameIsOver]],1,Table2[[HomeTeam]:[HomeTeam]],$T27, Table2[[AwayTeam]:[AwayTeam]], AW$21, Table2[[ActualResult]:[ActualResult]], "OT") + SUMIFS(Table2[[HomeWon_]:[HomeWon_]], Table2[[GameIsOver]:[GameIsOver]],1,Table2[[AwayTeam]:[AwayTeam]],$T27, Table2[[HomeTeam]:[HomeTeam]], AW$21, Table2[[ActualResult]:[ActualResult]], "SO") + SUMIFS(Table2[[AwayWon]:[AwayWon]], Table2[[GameIsOver]:[GameIsOver]],1,Table2[[HomeTeam]:[HomeTeam]],$T27, Table2[[AwayTeam]:[AwayTeam]], AW$21, Table2[[ActualResult]:[ActualResult]], "SO")))</f>
        <v>0</v>
      </c>
      <c r="AX27">
        <f>(2*(SUMIFS(Table2[[AwayWon]:[AwayWon]], Table2[[GameIsOver]:[GameIsOver]],1,Table2[[AwayTeam]:[AwayTeam]],$T27, Table2[[HomeTeam]:[HomeTeam]], AX$21) + SUMIFS(Table2[[HomeWon_]:[HomeWon_]], Table2[[GameIsOver]:[GameIsOver]],1,Table2[[HomeTeam]:[HomeTeam]],$T27, Table2[[AwayTeam]:[AwayTeam]], AX$21))) + (0*(SUMIFS(Table2[[HomeWon_]:[HomeWon_]], Table2[[GameIsOver]:[GameIsOver]],1,Table2[[AwayTeam]:[AwayTeam]],$T27, Table2[[HomeTeam]:[HomeTeam]], AX$21, Table2[[ActualResult]:[ActualResult]], "REG") + SUMIFS(Table2[[AwayWon]:[AwayWon]], Table2[[GameIsOver]:[GameIsOver]],1,Table2[[HomeTeam]:[HomeTeam]],$T27, Table2[[AwayTeam]:[AwayTeam]], AX$21, Table2[[ActualResult]:[ActualResult]], "REG"))) + (1*(SUMIFS(Table2[[HomeWon_]:[HomeWon_]], Table2[[GameIsOver]:[GameIsOver]],1,Table2[[AwayTeam]:[AwayTeam]],$T27, Table2[[HomeTeam]:[HomeTeam]], AX$21, Table2[[ActualResult]:[ActualResult]], "OT") + SUMIFS(Table2[[AwayWon]:[AwayWon]], Table2[[GameIsOver]:[GameIsOver]],1,Table2[[HomeTeam]:[HomeTeam]],$T27, Table2[[AwayTeam]:[AwayTeam]], AX$21, Table2[[ActualResult]:[ActualResult]], "OT") + SUMIFS(Table2[[HomeWon_]:[HomeWon_]], Table2[[GameIsOver]:[GameIsOver]],1,Table2[[AwayTeam]:[AwayTeam]],$T27, Table2[[HomeTeam]:[HomeTeam]], AX$21, Table2[[ActualResult]:[ActualResult]], "SO") + SUMIFS(Table2[[AwayWon]:[AwayWon]], Table2[[GameIsOver]:[GameIsOver]],1,Table2[[HomeTeam]:[HomeTeam]],$T27, Table2[[AwayTeam]:[AwayTeam]], AX$21, Table2[[ActualResult]:[ActualResult]], "SO")))</f>
        <v>0</v>
      </c>
      <c r="AY27">
        <f>(2*(SUMIFS(Table2[[AwayWon]:[AwayWon]], Table2[[GameIsOver]:[GameIsOver]],1,Table2[[AwayTeam]:[AwayTeam]],$T27, Table2[[HomeTeam]:[HomeTeam]], AY$21) + SUMIFS(Table2[[HomeWon_]:[HomeWon_]], Table2[[GameIsOver]:[GameIsOver]],1,Table2[[HomeTeam]:[HomeTeam]],$T27, Table2[[AwayTeam]:[AwayTeam]], AY$21))) + (0*(SUMIFS(Table2[[HomeWon_]:[HomeWon_]], Table2[[GameIsOver]:[GameIsOver]],1,Table2[[AwayTeam]:[AwayTeam]],$T27, Table2[[HomeTeam]:[HomeTeam]], AY$21, Table2[[ActualResult]:[ActualResult]], "REG") + SUMIFS(Table2[[AwayWon]:[AwayWon]], Table2[[GameIsOver]:[GameIsOver]],1,Table2[[HomeTeam]:[HomeTeam]],$T27, Table2[[AwayTeam]:[AwayTeam]], AY$21, Table2[[ActualResult]:[ActualResult]], "REG"))) + (1*(SUMIFS(Table2[[HomeWon_]:[HomeWon_]], Table2[[GameIsOver]:[GameIsOver]],1,Table2[[AwayTeam]:[AwayTeam]],$T27, Table2[[HomeTeam]:[HomeTeam]], AY$21, Table2[[ActualResult]:[ActualResult]], "OT") + SUMIFS(Table2[[AwayWon]:[AwayWon]], Table2[[GameIsOver]:[GameIsOver]],1,Table2[[HomeTeam]:[HomeTeam]],$T27, Table2[[AwayTeam]:[AwayTeam]], AY$21, Table2[[ActualResult]:[ActualResult]], "OT") + SUMIFS(Table2[[HomeWon_]:[HomeWon_]], Table2[[GameIsOver]:[GameIsOver]],1,Table2[[AwayTeam]:[AwayTeam]],$T27, Table2[[HomeTeam]:[HomeTeam]], AY$21, Table2[[ActualResult]:[ActualResult]], "SO") + SUMIFS(Table2[[AwayWon]:[AwayWon]], Table2[[GameIsOver]:[GameIsOver]],1,Table2[[HomeTeam]:[HomeTeam]],$T27, Table2[[AwayTeam]:[AwayTeam]], AY$21, Table2[[ActualResult]:[ActualResult]], "SO")))</f>
        <v>0</v>
      </c>
      <c r="AZ27">
        <f>(2*(SUMIFS(Table2[[AwayWon]:[AwayWon]], Table2[[GameIsOver]:[GameIsOver]],1,Table2[[AwayTeam]:[AwayTeam]],$T27, Table2[[HomeTeam]:[HomeTeam]], AZ$21) + SUMIFS(Table2[[HomeWon_]:[HomeWon_]], Table2[[GameIsOver]:[GameIsOver]],1,Table2[[HomeTeam]:[HomeTeam]],$T27, Table2[[AwayTeam]:[AwayTeam]], AZ$21))) + (0*(SUMIFS(Table2[[HomeWon_]:[HomeWon_]], Table2[[GameIsOver]:[GameIsOver]],1,Table2[[AwayTeam]:[AwayTeam]],$T27, Table2[[HomeTeam]:[HomeTeam]], AZ$21, Table2[[ActualResult]:[ActualResult]], "REG") + SUMIFS(Table2[[AwayWon]:[AwayWon]], Table2[[GameIsOver]:[GameIsOver]],1,Table2[[HomeTeam]:[HomeTeam]],$T27, Table2[[AwayTeam]:[AwayTeam]], AZ$21, Table2[[ActualResult]:[ActualResult]], "REG"))) + (1*(SUMIFS(Table2[[HomeWon_]:[HomeWon_]], Table2[[GameIsOver]:[GameIsOver]],1,Table2[[AwayTeam]:[AwayTeam]],$T27, Table2[[HomeTeam]:[HomeTeam]], AZ$21, Table2[[ActualResult]:[ActualResult]], "OT") + SUMIFS(Table2[[AwayWon]:[AwayWon]], Table2[[GameIsOver]:[GameIsOver]],1,Table2[[HomeTeam]:[HomeTeam]],$T27, Table2[[AwayTeam]:[AwayTeam]], AZ$21, Table2[[ActualResult]:[ActualResult]], "OT") + SUMIFS(Table2[[HomeWon_]:[HomeWon_]], Table2[[GameIsOver]:[GameIsOver]],1,Table2[[AwayTeam]:[AwayTeam]],$T27, Table2[[HomeTeam]:[HomeTeam]], AZ$21, Table2[[ActualResult]:[ActualResult]], "SO") + SUMIFS(Table2[[AwayWon]:[AwayWon]], Table2[[GameIsOver]:[GameIsOver]],1,Table2[[HomeTeam]:[HomeTeam]],$T27, Table2[[AwayTeam]:[AwayTeam]], AZ$21, Table2[[ActualResult]:[ActualResult]], "SO")))</f>
        <v>2</v>
      </c>
      <c r="BA27">
        <f>(2*(SUMIFS(Table2[[AwayWon]:[AwayWon]], Table2[[GameIsOver]:[GameIsOver]],1,Table2[[AwayTeam]:[AwayTeam]],$T27, Table2[[HomeTeam]:[HomeTeam]], BA$21) + SUMIFS(Table2[[HomeWon_]:[HomeWon_]], Table2[[GameIsOver]:[GameIsOver]],1,Table2[[HomeTeam]:[HomeTeam]],$T27, Table2[[AwayTeam]:[AwayTeam]], BA$21))) + (0*(SUMIFS(Table2[[HomeWon_]:[HomeWon_]], Table2[[GameIsOver]:[GameIsOver]],1,Table2[[AwayTeam]:[AwayTeam]],$T27, Table2[[HomeTeam]:[HomeTeam]], BA$21, Table2[[ActualResult]:[ActualResult]], "REG") + SUMIFS(Table2[[AwayWon]:[AwayWon]], Table2[[GameIsOver]:[GameIsOver]],1,Table2[[HomeTeam]:[HomeTeam]],$T27, Table2[[AwayTeam]:[AwayTeam]], BA$21, Table2[[ActualResult]:[ActualResult]], "REG"))) + (1*(SUMIFS(Table2[[HomeWon_]:[HomeWon_]], Table2[[GameIsOver]:[GameIsOver]],1,Table2[[AwayTeam]:[AwayTeam]],$T27, Table2[[HomeTeam]:[HomeTeam]], BA$21, Table2[[ActualResult]:[ActualResult]], "OT") + SUMIFS(Table2[[AwayWon]:[AwayWon]], Table2[[GameIsOver]:[GameIsOver]],1,Table2[[HomeTeam]:[HomeTeam]],$T27, Table2[[AwayTeam]:[AwayTeam]], BA$21, Table2[[ActualResult]:[ActualResult]], "OT") + SUMIFS(Table2[[HomeWon_]:[HomeWon_]], Table2[[GameIsOver]:[GameIsOver]],1,Table2[[AwayTeam]:[AwayTeam]],$T27, Table2[[HomeTeam]:[HomeTeam]], BA$21, Table2[[ActualResult]:[ActualResult]], "SO") + SUMIFS(Table2[[AwayWon]:[AwayWon]], Table2[[GameIsOver]:[GameIsOver]],1,Table2[[HomeTeam]:[HomeTeam]],$T27, Table2[[AwayTeam]:[AwayTeam]], BA$21, Table2[[ActualResult]:[ActualResult]], "SO")))</f>
        <v>0</v>
      </c>
    </row>
    <row r="28" spans="1:53" x14ac:dyDescent="0.25">
      <c r="A28" s="61" t="s">
        <v>17</v>
      </c>
      <c r="B28" s="61" t="s">
        <v>91</v>
      </c>
      <c r="C28" s="61" t="s">
        <v>74</v>
      </c>
      <c r="D28" s="62">
        <f>INDEX(Table3[PTS], MATCH(Table6[[#This Row],[Teams]], Table3[Teams],0))</f>
        <v>7</v>
      </c>
      <c r="E28" s="62">
        <f>INDEX(Table3[PTS], MATCH(Table6[[#This Row],[Teams]], Table3[Teams],0))</f>
        <v>7</v>
      </c>
      <c r="S28">
        <v>7</v>
      </c>
      <c r="T28" t="str" cm="1">
        <f t="array" ref="T28">INDEX(Table6[Teams], SMALL(IF(Table6[D]="M", ROW(Table6[Teams])-ROW(Table6[#Headers])), Table712[[#This Row],[MET]]))</f>
        <v>PIT</v>
      </c>
      <c r="U28">
        <f>INDEX(Table6[PTS], MATCH($T28, Table6[Teams], 0))</f>
        <v>10</v>
      </c>
      <c r="V28">
        <f>(2*(SUMIFS(Table2[[AwayWon]:[AwayWon]], Table2[[GameIsOver]:[GameIsOver]],1,Table2[[AwayTeam]:[AwayTeam]],$T28, Table2[[HomeTeam]:[HomeTeam]], V$21) + SUMIFS(Table2[[HomeWon_]:[HomeWon_]], Table2[[GameIsOver]:[GameIsOver]],1,Table2[[HomeTeam]:[HomeTeam]],$T28, Table2[[AwayTeam]:[AwayTeam]], V$21))) + (0*(SUMIFS(Table2[[HomeWon_]:[HomeWon_]], Table2[[GameIsOver]:[GameIsOver]],1,Table2[[AwayTeam]:[AwayTeam]],$T28, Table2[[HomeTeam]:[HomeTeam]], V$21, Table2[[ActualResult]:[ActualResult]], "REG") + SUMIFS(Table2[[AwayWon]:[AwayWon]], Table2[[GameIsOver]:[GameIsOver]],1,Table2[[HomeTeam]:[HomeTeam]],$T28, Table2[[AwayTeam]:[AwayTeam]], V$21, Table2[[ActualResult]:[ActualResult]], "REG"))) + (1*(SUMIFS(Table2[[HomeWon_]:[HomeWon_]], Table2[[GameIsOver]:[GameIsOver]],1,Table2[[AwayTeam]:[AwayTeam]],$T28, Table2[[HomeTeam]:[HomeTeam]], V$21, Table2[[ActualResult]:[ActualResult]], "OT") + SUMIFS(Table2[[AwayWon]:[AwayWon]], Table2[[GameIsOver]:[GameIsOver]],1,Table2[[HomeTeam]:[HomeTeam]],$T28, Table2[[AwayTeam]:[AwayTeam]], V$21, Table2[[ActualResult]:[ActualResult]], "OT") + SUMIFS(Table2[[HomeWon_]:[HomeWon_]], Table2[[GameIsOver]:[GameIsOver]],1,Table2[[AwayTeam]:[AwayTeam]],$T28, Table2[[HomeTeam]:[HomeTeam]], V$21, Table2[[ActualResult]:[ActualResult]], "SO") + SUMIFS(Table2[[AwayWon]:[AwayWon]], Table2[[GameIsOver]:[GameIsOver]],1,Table2[[HomeTeam]:[HomeTeam]],$T28, Table2[[AwayTeam]:[AwayTeam]], V$21, Table2[[ActualResult]:[ActualResult]], "SO")))</f>
        <v>0</v>
      </c>
      <c r="W28">
        <f>(2*(SUMIFS(Table2[[AwayWon]:[AwayWon]], Table2[[GameIsOver]:[GameIsOver]],1,Table2[[AwayTeam]:[AwayTeam]],$T28, Table2[[HomeTeam]:[HomeTeam]], W$21) + SUMIFS(Table2[[HomeWon_]:[HomeWon_]], Table2[[GameIsOver]:[GameIsOver]],1,Table2[[HomeTeam]:[HomeTeam]],$T28, Table2[[AwayTeam]:[AwayTeam]], W$21))) + (0*(SUMIFS(Table2[[HomeWon_]:[HomeWon_]], Table2[[GameIsOver]:[GameIsOver]],1,Table2[[AwayTeam]:[AwayTeam]],$T28, Table2[[HomeTeam]:[HomeTeam]], W$21, Table2[[ActualResult]:[ActualResult]], "REG") + SUMIFS(Table2[[AwayWon]:[AwayWon]], Table2[[GameIsOver]:[GameIsOver]],1,Table2[[HomeTeam]:[HomeTeam]],$T28, Table2[[AwayTeam]:[AwayTeam]], W$21, Table2[[ActualResult]:[ActualResult]], "REG"))) + (1*(SUMIFS(Table2[[HomeWon_]:[HomeWon_]], Table2[[GameIsOver]:[GameIsOver]],1,Table2[[AwayTeam]:[AwayTeam]],$T28, Table2[[HomeTeam]:[HomeTeam]], W$21, Table2[[ActualResult]:[ActualResult]], "OT") + SUMIFS(Table2[[AwayWon]:[AwayWon]], Table2[[GameIsOver]:[GameIsOver]],1,Table2[[HomeTeam]:[HomeTeam]],$T28, Table2[[AwayTeam]:[AwayTeam]], W$21, Table2[[ActualResult]:[ActualResult]], "OT") + SUMIFS(Table2[[HomeWon_]:[HomeWon_]], Table2[[GameIsOver]:[GameIsOver]],1,Table2[[AwayTeam]:[AwayTeam]],$T28, Table2[[HomeTeam]:[HomeTeam]], W$21, Table2[[ActualResult]:[ActualResult]], "SO") + SUMIFS(Table2[[AwayWon]:[AwayWon]], Table2[[GameIsOver]:[GameIsOver]],1,Table2[[HomeTeam]:[HomeTeam]],$T28, Table2[[AwayTeam]:[AwayTeam]], W$21, Table2[[ActualResult]:[ActualResult]], "SO")))</f>
        <v>0</v>
      </c>
      <c r="X28">
        <f>(2*(SUMIFS(Table2[[AwayWon]:[AwayWon]], Table2[[GameIsOver]:[GameIsOver]],1,Table2[[AwayTeam]:[AwayTeam]],$T28, Table2[[HomeTeam]:[HomeTeam]], X$21) + SUMIFS(Table2[[HomeWon_]:[HomeWon_]], Table2[[GameIsOver]:[GameIsOver]],1,Table2[[HomeTeam]:[HomeTeam]],$T28, Table2[[AwayTeam]:[AwayTeam]], X$21))) + (0*(SUMIFS(Table2[[HomeWon_]:[HomeWon_]], Table2[[GameIsOver]:[GameIsOver]],1,Table2[[AwayTeam]:[AwayTeam]],$T28, Table2[[HomeTeam]:[HomeTeam]], X$21, Table2[[ActualResult]:[ActualResult]], "REG") + SUMIFS(Table2[[AwayWon]:[AwayWon]], Table2[[GameIsOver]:[GameIsOver]],1,Table2[[HomeTeam]:[HomeTeam]],$T28, Table2[[AwayTeam]:[AwayTeam]], X$21, Table2[[ActualResult]:[ActualResult]], "REG"))) + (1*(SUMIFS(Table2[[HomeWon_]:[HomeWon_]], Table2[[GameIsOver]:[GameIsOver]],1,Table2[[AwayTeam]:[AwayTeam]],$T28, Table2[[HomeTeam]:[HomeTeam]], X$21, Table2[[ActualResult]:[ActualResult]], "OT") + SUMIFS(Table2[[AwayWon]:[AwayWon]], Table2[[GameIsOver]:[GameIsOver]],1,Table2[[HomeTeam]:[HomeTeam]],$T28, Table2[[AwayTeam]:[AwayTeam]], X$21, Table2[[ActualResult]:[ActualResult]], "OT") + SUMIFS(Table2[[HomeWon_]:[HomeWon_]], Table2[[GameIsOver]:[GameIsOver]],1,Table2[[AwayTeam]:[AwayTeam]],$T28, Table2[[HomeTeam]:[HomeTeam]], X$21, Table2[[ActualResult]:[ActualResult]], "SO") + SUMIFS(Table2[[AwayWon]:[AwayWon]], Table2[[GameIsOver]:[GameIsOver]],1,Table2[[HomeTeam]:[HomeTeam]],$T28, Table2[[AwayTeam]:[AwayTeam]], X$21, Table2[[ActualResult]:[ActualResult]], "SO")))</f>
        <v>0</v>
      </c>
      <c r="Y28">
        <f>(2*(SUMIFS(Table2[[AwayWon]:[AwayWon]], Table2[[GameIsOver]:[GameIsOver]],1,Table2[[AwayTeam]:[AwayTeam]],$T28, Table2[[HomeTeam]:[HomeTeam]], Y$21) + SUMIFS(Table2[[HomeWon_]:[HomeWon_]], Table2[[GameIsOver]:[GameIsOver]],1,Table2[[HomeTeam]:[HomeTeam]],$T28, Table2[[AwayTeam]:[AwayTeam]], Y$21))) + (0*(SUMIFS(Table2[[HomeWon_]:[HomeWon_]], Table2[[GameIsOver]:[GameIsOver]],1,Table2[[AwayTeam]:[AwayTeam]],$T28, Table2[[HomeTeam]:[HomeTeam]], Y$21, Table2[[ActualResult]:[ActualResult]], "REG") + SUMIFS(Table2[[AwayWon]:[AwayWon]], Table2[[GameIsOver]:[GameIsOver]],1,Table2[[HomeTeam]:[HomeTeam]],$T28, Table2[[AwayTeam]:[AwayTeam]], Y$21, Table2[[ActualResult]:[ActualResult]], "REG"))) + (1*(SUMIFS(Table2[[HomeWon_]:[HomeWon_]], Table2[[GameIsOver]:[GameIsOver]],1,Table2[[AwayTeam]:[AwayTeam]],$T28, Table2[[HomeTeam]:[HomeTeam]], Y$21, Table2[[ActualResult]:[ActualResult]], "OT") + SUMIFS(Table2[[AwayWon]:[AwayWon]], Table2[[GameIsOver]:[GameIsOver]],1,Table2[[HomeTeam]:[HomeTeam]],$T28, Table2[[AwayTeam]:[AwayTeam]], Y$21, Table2[[ActualResult]:[ActualResult]], "OT") + SUMIFS(Table2[[HomeWon_]:[HomeWon_]], Table2[[GameIsOver]:[GameIsOver]],1,Table2[[AwayTeam]:[AwayTeam]],$T28, Table2[[HomeTeam]:[HomeTeam]], Y$21, Table2[[ActualResult]:[ActualResult]], "SO") + SUMIFS(Table2[[AwayWon]:[AwayWon]], Table2[[GameIsOver]:[GameIsOver]],1,Table2[[HomeTeam]:[HomeTeam]],$T28, Table2[[AwayTeam]:[AwayTeam]], Y$21, Table2[[ActualResult]:[ActualResult]], "SO")))</f>
        <v>2</v>
      </c>
      <c r="Z28">
        <f>(2*(SUMIFS(Table2[[AwayWon]:[AwayWon]], Table2[[GameIsOver]:[GameIsOver]],1,Table2[[AwayTeam]:[AwayTeam]],$T28, Table2[[HomeTeam]:[HomeTeam]], Z$21) + SUMIFS(Table2[[HomeWon_]:[HomeWon_]], Table2[[GameIsOver]:[GameIsOver]],1,Table2[[HomeTeam]:[HomeTeam]],$T28, Table2[[AwayTeam]:[AwayTeam]], Z$21))) + (0*(SUMIFS(Table2[[HomeWon_]:[HomeWon_]], Table2[[GameIsOver]:[GameIsOver]],1,Table2[[AwayTeam]:[AwayTeam]],$T28, Table2[[HomeTeam]:[HomeTeam]], Z$21, Table2[[ActualResult]:[ActualResult]], "REG") + SUMIFS(Table2[[AwayWon]:[AwayWon]], Table2[[GameIsOver]:[GameIsOver]],1,Table2[[HomeTeam]:[HomeTeam]],$T28, Table2[[AwayTeam]:[AwayTeam]], Z$21, Table2[[ActualResult]:[ActualResult]], "REG"))) + (1*(SUMIFS(Table2[[HomeWon_]:[HomeWon_]], Table2[[GameIsOver]:[GameIsOver]],1,Table2[[AwayTeam]:[AwayTeam]],$T28, Table2[[HomeTeam]:[HomeTeam]], Z$21, Table2[[ActualResult]:[ActualResult]], "OT") + SUMIFS(Table2[[AwayWon]:[AwayWon]], Table2[[GameIsOver]:[GameIsOver]],1,Table2[[HomeTeam]:[HomeTeam]],$T28, Table2[[AwayTeam]:[AwayTeam]], Z$21, Table2[[ActualResult]:[ActualResult]], "OT") + SUMIFS(Table2[[HomeWon_]:[HomeWon_]], Table2[[GameIsOver]:[GameIsOver]],1,Table2[[AwayTeam]:[AwayTeam]],$T28, Table2[[HomeTeam]:[HomeTeam]], Z$21, Table2[[ActualResult]:[ActualResult]], "SO") + SUMIFS(Table2[[AwayWon]:[AwayWon]], Table2[[GameIsOver]:[GameIsOver]],1,Table2[[HomeTeam]:[HomeTeam]],$T28, Table2[[AwayTeam]:[AwayTeam]], Z$21, Table2[[ActualResult]:[ActualResult]], "SO")))</f>
        <v>0</v>
      </c>
      <c r="AA28">
        <f>(2*(SUMIFS(Table2[[AwayWon]:[AwayWon]], Table2[[GameIsOver]:[GameIsOver]],1,Table2[[AwayTeam]:[AwayTeam]],$T28, Table2[[HomeTeam]:[HomeTeam]], AA$21) + SUMIFS(Table2[[HomeWon_]:[HomeWon_]], Table2[[GameIsOver]:[GameIsOver]],1,Table2[[HomeTeam]:[HomeTeam]],$T28, Table2[[AwayTeam]:[AwayTeam]], AA$21))) + (0*(SUMIFS(Table2[[HomeWon_]:[HomeWon_]], Table2[[GameIsOver]:[GameIsOver]],1,Table2[[AwayTeam]:[AwayTeam]],$T28, Table2[[HomeTeam]:[HomeTeam]], AA$21, Table2[[ActualResult]:[ActualResult]], "REG") + SUMIFS(Table2[[AwayWon]:[AwayWon]], Table2[[GameIsOver]:[GameIsOver]],1,Table2[[HomeTeam]:[HomeTeam]],$T28, Table2[[AwayTeam]:[AwayTeam]], AA$21, Table2[[ActualResult]:[ActualResult]], "REG"))) + (1*(SUMIFS(Table2[[HomeWon_]:[HomeWon_]], Table2[[GameIsOver]:[GameIsOver]],1,Table2[[AwayTeam]:[AwayTeam]],$T28, Table2[[HomeTeam]:[HomeTeam]], AA$21, Table2[[ActualResult]:[ActualResult]], "OT") + SUMIFS(Table2[[AwayWon]:[AwayWon]], Table2[[GameIsOver]:[GameIsOver]],1,Table2[[HomeTeam]:[HomeTeam]],$T28, Table2[[AwayTeam]:[AwayTeam]], AA$21, Table2[[ActualResult]:[ActualResult]], "OT") + SUMIFS(Table2[[HomeWon_]:[HomeWon_]], Table2[[GameIsOver]:[GameIsOver]],1,Table2[[AwayTeam]:[AwayTeam]],$T28, Table2[[HomeTeam]:[HomeTeam]], AA$21, Table2[[ActualResult]:[ActualResult]], "SO") + SUMIFS(Table2[[AwayWon]:[AwayWon]], Table2[[GameIsOver]:[GameIsOver]],1,Table2[[HomeTeam]:[HomeTeam]],$T28, Table2[[AwayTeam]:[AwayTeam]], AA$21, Table2[[ActualResult]:[ActualResult]], "SO")))</f>
        <v>2</v>
      </c>
      <c r="AB28">
        <f>(2*(SUMIFS(Table2[[AwayWon]:[AwayWon]], Table2[[GameIsOver]:[GameIsOver]],1,Table2[[AwayTeam]:[AwayTeam]],$T28, Table2[[HomeTeam]:[HomeTeam]], AB$21) + SUMIFS(Table2[[HomeWon_]:[HomeWon_]], Table2[[GameIsOver]:[GameIsOver]],1,Table2[[HomeTeam]:[HomeTeam]],$T28, Table2[[AwayTeam]:[AwayTeam]], AB$21))) + (0*(SUMIFS(Table2[[HomeWon_]:[HomeWon_]], Table2[[GameIsOver]:[GameIsOver]],1,Table2[[AwayTeam]:[AwayTeam]],$T28, Table2[[HomeTeam]:[HomeTeam]], AB$21, Table2[[ActualResult]:[ActualResult]], "REG") + SUMIFS(Table2[[AwayWon]:[AwayWon]], Table2[[GameIsOver]:[GameIsOver]],1,Table2[[HomeTeam]:[HomeTeam]],$T28, Table2[[AwayTeam]:[AwayTeam]], AB$21, Table2[[ActualResult]:[ActualResult]], "REG"))) + (1*(SUMIFS(Table2[[HomeWon_]:[HomeWon_]], Table2[[GameIsOver]:[GameIsOver]],1,Table2[[AwayTeam]:[AwayTeam]],$T28, Table2[[HomeTeam]:[HomeTeam]], AB$21, Table2[[ActualResult]:[ActualResult]], "OT") + SUMIFS(Table2[[AwayWon]:[AwayWon]], Table2[[GameIsOver]:[GameIsOver]],1,Table2[[HomeTeam]:[HomeTeam]],$T28, Table2[[AwayTeam]:[AwayTeam]], AB$21, Table2[[ActualResult]:[ActualResult]], "OT") + SUMIFS(Table2[[HomeWon_]:[HomeWon_]], Table2[[GameIsOver]:[GameIsOver]],1,Table2[[AwayTeam]:[AwayTeam]],$T28, Table2[[HomeTeam]:[HomeTeam]], AB$21, Table2[[ActualResult]:[ActualResult]], "SO") + SUMIFS(Table2[[AwayWon]:[AwayWon]], Table2[[GameIsOver]:[GameIsOver]],1,Table2[[HomeTeam]:[HomeTeam]],$T28, Table2[[AwayTeam]:[AwayTeam]], AB$21, Table2[[ActualResult]:[ActualResult]], "SO")))</f>
        <v>2</v>
      </c>
      <c r="AC28">
        <f>(2*(SUMIFS(Table2[[AwayWon]:[AwayWon]], Table2[[GameIsOver]:[GameIsOver]],1,Table2[[AwayTeam]:[AwayTeam]],$T28, Table2[[HomeTeam]:[HomeTeam]], AC$21) + SUMIFS(Table2[[HomeWon_]:[HomeWon_]], Table2[[GameIsOver]:[GameIsOver]],1,Table2[[HomeTeam]:[HomeTeam]],$T28, Table2[[AwayTeam]:[AwayTeam]], AC$21))) + (0*(SUMIFS(Table2[[HomeWon_]:[HomeWon_]], Table2[[GameIsOver]:[GameIsOver]],1,Table2[[AwayTeam]:[AwayTeam]],$T28, Table2[[HomeTeam]:[HomeTeam]], AC$21, Table2[[ActualResult]:[ActualResult]], "REG") + SUMIFS(Table2[[AwayWon]:[AwayWon]], Table2[[GameIsOver]:[GameIsOver]],1,Table2[[HomeTeam]:[HomeTeam]],$T28, Table2[[AwayTeam]:[AwayTeam]], AC$21, Table2[[ActualResult]:[ActualResult]], "REG"))) + (1*(SUMIFS(Table2[[HomeWon_]:[HomeWon_]], Table2[[GameIsOver]:[GameIsOver]],1,Table2[[AwayTeam]:[AwayTeam]],$T28, Table2[[HomeTeam]:[HomeTeam]], AC$21, Table2[[ActualResult]:[ActualResult]], "OT") + SUMIFS(Table2[[AwayWon]:[AwayWon]], Table2[[GameIsOver]:[GameIsOver]],1,Table2[[HomeTeam]:[HomeTeam]],$T28, Table2[[AwayTeam]:[AwayTeam]], AC$21, Table2[[ActualResult]:[ActualResult]], "OT") + SUMIFS(Table2[[HomeWon_]:[HomeWon_]], Table2[[GameIsOver]:[GameIsOver]],1,Table2[[AwayTeam]:[AwayTeam]],$T28, Table2[[HomeTeam]:[HomeTeam]], AC$21, Table2[[ActualResult]:[ActualResult]], "SO") + SUMIFS(Table2[[AwayWon]:[AwayWon]], Table2[[GameIsOver]:[GameIsOver]],1,Table2[[HomeTeam]:[HomeTeam]],$T28, Table2[[AwayTeam]:[AwayTeam]], AC$21, Table2[[ActualResult]:[ActualResult]], "SO")))</f>
        <v>0</v>
      </c>
      <c r="AD28">
        <f>(2*(SUMIFS(Table2[[AwayWon]:[AwayWon]], Table2[[GameIsOver]:[GameIsOver]],1,Table2[[AwayTeam]:[AwayTeam]],$T28, Table2[[HomeTeam]:[HomeTeam]], AD$21) + SUMIFS(Table2[[HomeWon_]:[HomeWon_]], Table2[[GameIsOver]:[GameIsOver]],1,Table2[[HomeTeam]:[HomeTeam]],$T28, Table2[[AwayTeam]:[AwayTeam]], AD$21))) + (0*(SUMIFS(Table2[[HomeWon_]:[HomeWon_]], Table2[[GameIsOver]:[GameIsOver]],1,Table2[[AwayTeam]:[AwayTeam]],$T28, Table2[[HomeTeam]:[HomeTeam]], AD$21, Table2[[ActualResult]:[ActualResult]], "REG") + SUMIFS(Table2[[AwayWon]:[AwayWon]], Table2[[GameIsOver]:[GameIsOver]],1,Table2[[HomeTeam]:[HomeTeam]],$T28, Table2[[AwayTeam]:[AwayTeam]], AD$21, Table2[[ActualResult]:[ActualResult]], "REG"))) + (1*(SUMIFS(Table2[[HomeWon_]:[HomeWon_]], Table2[[GameIsOver]:[GameIsOver]],1,Table2[[AwayTeam]:[AwayTeam]],$T28, Table2[[HomeTeam]:[HomeTeam]], AD$21, Table2[[ActualResult]:[ActualResult]], "OT") + SUMIFS(Table2[[AwayWon]:[AwayWon]], Table2[[GameIsOver]:[GameIsOver]],1,Table2[[HomeTeam]:[HomeTeam]],$T28, Table2[[AwayTeam]:[AwayTeam]], AD$21, Table2[[ActualResult]:[ActualResult]], "OT") + SUMIFS(Table2[[HomeWon_]:[HomeWon_]], Table2[[GameIsOver]:[GameIsOver]],1,Table2[[AwayTeam]:[AwayTeam]],$T28, Table2[[HomeTeam]:[HomeTeam]], AD$21, Table2[[ActualResult]:[ActualResult]], "SO") + SUMIFS(Table2[[AwayWon]:[AwayWon]], Table2[[GameIsOver]:[GameIsOver]],1,Table2[[HomeTeam]:[HomeTeam]],$T28, Table2[[AwayTeam]:[AwayTeam]], AD$21, Table2[[ActualResult]:[ActualResult]], "SO")))</f>
        <v>0</v>
      </c>
      <c r="AE28">
        <f>(2*(SUMIFS(Table2[[AwayWon]:[AwayWon]], Table2[[GameIsOver]:[GameIsOver]],1,Table2[[AwayTeam]:[AwayTeam]],$T28, Table2[[HomeTeam]:[HomeTeam]], AE$21) + SUMIFS(Table2[[HomeWon_]:[HomeWon_]], Table2[[GameIsOver]:[GameIsOver]],1,Table2[[HomeTeam]:[HomeTeam]],$T28, Table2[[AwayTeam]:[AwayTeam]], AE$21))) + (0*(SUMIFS(Table2[[HomeWon_]:[HomeWon_]], Table2[[GameIsOver]:[GameIsOver]],1,Table2[[AwayTeam]:[AwayTeam]],$T28, Table2[[HomeTeam]:[HomeTeam]], AE$21, Table2[[ActualResult]:[ActualResult]], "REG") + SUMIFS(Table2[[AwayWon]:[AwayWon]], Table2[[GameIsOver]:[GameIsOver]],1,Table2[[HomeTeam]:[HomeTeam]],$T28, Table2[[AwayTeam]:[AwayTeam]], AE$21, Table2[[ActualResult]:[ActualResult]], "REG"))) + (1*(SUMIFS(Table2[[HomeWon_]:[HomeWon_]], Table2[[GameIsOver]:[GameIsOver]],1,Table2[[AwayTeam]:[AwayTeam]],$T28, Table2[[HomeTeam]:[HomeTeam]], AE$21, Table2[[ActualResult]:[ActualResult]], "OT") + SUMIFS(Table2[[AwayWon]:[AwayWon]], Table2[[GameIsOver]:[GameIsOver]],1,Table2[[HomeTeam]:[HomeTeam]],$T28, Table2[[AwayTeam]:[AwayTeam]], AE$21, Table2[[ActualResult]:[ActualResult]], "OT") + SUMIFS(Table2[[HomeWon_]:[HomeWon_]], Table2[[GameIsOver]:[GameIsOver]],1,Table2[[AwayTeam]:[AwayTeam]],$T28, Table2[[HomeTeam]:[HomeTeam]], AE$21, Table2[[ActualResult]:[ActualResult]], "SO") + SUMIFS(Table2[[AwayWon]:[AwayWon]], Table2[[GameIsOver]:[GameIsOver]],1,Table2[[HomeTeam]:[HomeTeam]],$T28, Table2[[AwayTeam]:[AwayTeam]], AE$21, Table2[[ActualResult]:[ActualResult]], "SO")))</f>
        <v>0</v>
      </c>
      <c r="AF28">
        <f>(2*(SUMIFS(Table2[[AwayWon]:[AwayWon]], Table2[[GameIsOver]:[GameIsOver]],1,Table2[[AwayTeam]:[AwayTeam]],$T28, Table2[[HomeTeam]:[HomeTeam]], AF$21) + SUMIFS(Table2[[HomeWon_]:[HomeWon_]], Table2[[GameIsOver]:[GameIsOver]],1,Table2[[HomeTeam]:[HomeTeam]],$T28, Table2[[AwayTeam]:[AwayTeam]], AF$21))) + (0*(SUMIFS(Table2[[HomeWon_]:[HomeWon_]], Table2[[GameIsOver]:[GameIsOver]],1,Table2[[AwayTeam]:[AwayTeam]],$T28, Table2[[HomeTeam]:[HomeTeam]], AF$21, Table2[[ActualResult]:[ActualResult]], "REG") + SUMIFS(Table2[[AwayWon]:[AwayWon]], Table2[[GameIsOver]:[GameIsOver]],1,Table2[[HomeTeam]:[HomeTeam]],$T28, Table2[[AwayTeam]:[AwayTeam]], AF$21, Table2[[ActualResult]:[ActualResult]], "REG"))) + (1*(SUMIFS(Table2[[HomeWon_]:[HomeWon_]], Table2[[GameIsOver]:[GameIsOver]],1,Table2[[AwayTeam]:[AwayTeam]],$T28, Table2[[HomeTeam]:[HomeTeam]], AF$21, Table2[[ActualResult]:[ActualResult]], "OT") + SUMIFS(Table2[[AwayWon]:[AwayWon]], Table2[[GameIsOver]:[GameIsOver]],1,Table2[[HomeTeam]:[HomeTeam]],$T28, Table2[[AwayTeam]:[AwayTeam]], AF$21, Table2[[ActualResult]:[ActualResult]], "OT") + SUMIFS(Table2[[HomeWon_]:[HomeWon_]], Table2[[GameIsOver]:[GameIsOver]],1,Table2[[AwayTeam]:[AwayTeam]],$T28, Table2[[HomeTeam]:[HomeTeam]], AF$21, Table2[[ActualResult]:[ActualResult]], "SO") + SUMIFS(Table2[[AwayWon]:[AwayWon]], Table2[[GameIsOver]:[GameIsOver]],1,Table2[[HomeTeam]:[HomeTeam]],$T28, Table2[[AwayTeam]:[AwayTeam]], AF$21, Table2[[ActualResult]:[ActualResult]], "SO")))</f>
        <v>0</v>
      </c>
      <c r="AG28">
        <f>(2*(SUMIFS(Table2[[AwayWon]:[AwayWon]], Table2[[GameIsOver]:[GameIsOver]],1,Table2[[AwayTeam]:[AwayTeam]],$T28, Table2[[HomeTeam]:[HomeTeam]], AG$21) + SUMIFS(Table2[[HomeWon_]:[HomeWon_]], Table2[[GameIsOver]:[GameIsOver]],1,Table2[[HomeTeam]:[HomeTeam]],$T28, Table2[[AwayTeam]:[AwayTeam]], AG$21))) + (0*(SUMIFS(Table2[[HomeWon_]:[HomeWon_]], Table2[[GameIsOver]:[GameIsOver]],1,Table2[[AwayTeam]:[AwayTeam]],$T28, Table2[[HomeTeam]:[HomeTeam]], AG$21, Table2[[ActualResult]:[ActualResult]], "REG") + SUMIFS(Table2[[AwayWon]:[AwayWon]], Table2[[GameIsOver]:[GameIsOver]],1,Table2[[HomeTeam]:[HomeTeam]],$T28, Table2[[AwayTeam]:[AwayTeam]], AG$21, Table2[[ActualResult]:[ActualResult]], "REG"))) + (1*(SUMIFS(Table2[[HomeWon_]:[HomeWon_]], Table2[[GameIsOver]:[GameIsOver]],1,Table2[[AwayTeam]:[AwayTeam]],$T28, Table2[[HomeTeam]:[HomeTeam]], AG$21, Table2[[ActualResult]:[ActualResult]], "OT") + SUMIFS(Table2[[AwayWon]:[AwayWon]], Table2[[GameIsOver]:[GameIsOver]],1,Table2[[HomeTeam]:[HomeTeam]],$T28, Table2[[AwayTeam]:[AwayTeam]], AG$21, Table2[[ActualResult]:[ActualResult]], "OT") + SUMIFS(Table2[[HomeWon_]:[HomeWon_]], Table2[[GameIsOver]:[GameIsOver]],1,Table2[[AwayTeam]:[AwayTeam]],$T28, Table2[[HomeTeam]:[HomeTeam]], AG$21, Table2[[ActualResult]:[ActualResult]], "SO") + SUMIFS(Table2[[AwayWon]:[AwayWon]], Table2[[GameIsOver]:[GameIsOver]],1,Table2[[HomeTeam]:[HomeTeam]],$T28, Table2[[AwayTeam]:[AwayTeam]], AG$21, Table2[[ActualResult]:[ActualResult]], "SO")))</f>
        <v>0</v>
      </c>
      <c r="AH28">
        <f>(2*(SUMIFS(Table2[[AwayWon]:[AwayWon]], Table2[[GameIsOver]:[GameIsOver]],1,Table2[[AwayTeam]:[AwayTeam]],$T28, Table2[[HomeTeam]:[HomeTeam]], AH$21) + SUMIFS(Table2[[HomeWon_]:[HomeWon_]], Table2[[GameIsOver]:[GameIsOver]],1,Table2[[HomeTeam]:[HomeTeam]],$T28, Table2[[AwayTeam]:[AwayTeam]], AH$21))) + (0*(SUMIFS(Table2[[HomeWon_]:[HomeWon_]], Table2[[GameIsOver]:[GameIsOver]],1,Table2[[AwayTeam]:[AwayTeam]],$T28, Table2[[HomeTeam]:[HomeTeam]], AH$21, Table2[[ActualResult]:[ActualResult]], "REG") + SUMIFS(Table2[[AwayWon]:[AwayWon]], Table2[[GameIsOver]:[GameIsOver]],1,Table2[[HomeTeam]:[HomeTeam]],$T28, Table2[[AwayTeam]:[AwayTeam]], AH$21, Table2[[ActualResult]:[ActualResult]], "REG"))) + (1*(SUMIFS(Table2[[HomeWon_]:[HomeWon_]], Table2[[GameIsOver]:[GameIsOver]],1,Table2[[AwayTeam]:[AwayTeam]],$T28, Table2[[HomeTeam]:[HomeTeam]], AH$21, Table2[[ActualResult]:[ActualResult]], "OT") + SUMIFS(Table2[[AwayWon]:[AwayWon]], Table2[[GameIsOver]:[GameIsOver]],1,Table2[[HomeTeam]:[HomeTeam]],$T28, Table2[[AwayTeam]:[AwayTeam]], AH$21, Table2[[ActualResult]:[ActualResult]], "OT") + SUMIFS(Table2[[HomeWon_]:[HomeWon_]], Table2[[GameIsOver]:[GameIsOver]],1,Table2[[AwayTeam]:[AwayTeam]],$T28, Table2[[HomeTeam]:[HomeTeam]], AH$21, Table2[[ActualResult]:[ActualResult]], "SO") + SUMIFS(Table2[[AwayWon]:[AwayWon]], Table2[[GameIsOver]:[GameIsOver]],1,Table2[[HomeTeam]:[HomeTeam]],$T28, Table2[[AwayTeam]:[AwayTeam]], AH$21, Table2[[ActualResult]:[ActualResult]], "SO")))</f>
        <v>0</v>
      </c>
      <c r="AI28">
        <f>(2*(SUMIFS(Table2[[AwayWon]:[AwayWon]], Table2[[GameIsOver]:[GameIsOver]],1,Table2[[AwayTeam]:[AwayTeam]],$T28, Table2[[HomeTeam]:[HomeTeam]], AI$21) + SUMIFS(Table2[[HomeWon_]:[HomeWon_]], Table2[[GameIsOver]:[GameIsOver]],1,Table2[[HomeTeam]:[HomeTeam]],$T28, Table2[[AwayTeam]:[AwayTeam]], AI$21))) + (0*(SUMIFS(Table2[[HomeWon_]:[HomeWon_]], Table2[[GameIsOver]:[GameIsOver]],1,Table2[[AwayTeam]:[AwayTeam]],$T28, Table2[[HomeTeam]:[HomeTeam]], AI$21, Table2[[ActualResult]:[ActualResult]], "REG") + SUMIFS(Table2[[AwayWon]:[AwayWon]], Table2[[GameIsOver]:[GameIsOver]],1,Table2[[HomeTeam]:[HomeTeam]],$T28, Table2[[AwayTeam]:[AwayTeam]], AI$21, Table2[[ActualResult]:[ActualResult]], "REG"))) + (1*(SUMIFS(Table2[[HomeWon_]:[HomeWon_]], Table2[[GameIsOver]:[GameIsOver]],1,Table2[[AwayTeam]:[AwayTeam]],$T28, Table2[[HomeTeam]:[HomeTeam]], AI$21, Table2[[ActualResult]:[ActualResult]], "OT") + SUMIFS(Table2[[AwayWon]:[AwayWon]], Table2[[GameIsOver]:[GameIsOver]],1,Table2[[HomeTeam]:[HomeTeam]],$T28, Table2[[AwayTeam]:[AwayTeam]], AI$21, Table2[[ActualResult]:[ActualResult]], "OT") + SUMIFS(Table2[[HomeWon_]:[HomeWon_]], Table2[[GameIsOver]:[GameIsOver]],1,Table2[[AwayTeam]:[AwayTeam]],$T28, Table2[[HomeTeam]:[HomeTeam]], AI$21, Table2[[ActualResult]:[ActualResult]], "SO") + SUMIFS(Table2[[AwayWon]:[AwayWon]], Table2[[GameIsOver]:[GameIsOver]],1,Table2[[HomeTeam]:[HomeTeam]],$T28, Table2[[AwayTeam]:[AwayTeam]], AI$21, Table2[[ActualResult]:[ActualResult]], "SO")))</f>
        <v>0</v>
      </c>
      <c r="AJ28">
        <f>(2*(SUMIFS(Table2[[AwayWon]:[AwayWon]], Table2[[GameIsOver]:[GameIsOver]],1,Table2[[AwayTeam]:[AwayTeam]],$T28, Table2[[HomeTeam]:[HomeTeam]], AJ$21) + SUMIFS(Table2[[HomeWon_]:[HomeWon_]], Table2[[GameIsOver]:[GameIsOver]],1,Table2[[HomeTeam]:[HomeTeam]],$T28, Table2[[AwayTeam]:[AwayTeam]], AJ$21))) + (0*(SUMIFS(Table2[[HomeWon_]:[HomeWon_]], Table2[[GameIsOver]:[GameIsOver]],1,Table2[[AwayTeam]:[AwayTeam]],$T28, Table2[[HomeTeam]:[HomeTeam]], AJ$21, Table2[[ActualResult]:[ActualResult]], "REG") + SUMIFS(Table2[[AwayWon]:[AwayWon]], Table2[[GameIsOver]:[GameIsOver]],1,Table2[[HomeTeam]:[HomeTeam]],$T28, Table2[[AwayTeam]:[AwayTeam]], AJ$21, Table2[[ActualResult]:[ActualResult]], "REG"))) + (1*(SUMIFS(Table2[[HomeWon_]:[HomeWon_]], Table2[[GameIsOver]:[GameIsOver]],1,Table2[[AwayTeam]:[AwayTeam]],$T28, Table2[[HomeTeam]:[HomeTeam]], AJ$21, Table2[[ActualResult]:[ActualResult]], "OT") + SUMIFS(Table2[[AwayWon]:[AwayWon]], Table2[[GameIsOver]:[GameIsOver]],1,Table2[[HomeTeam]:[HomeTeam]],$T28, Table2[[AwayTeam]:[AwayTeam]], AJ$21, Table2[[ActualResult]:[ActualResult]], "OT") + SUMIFS(Table2[[HomeWon_]:[HomeWon_]], Table2[[GameIsOver]:[GameIsOver]],1,Table2[[AwayTeam]:[AwayTeam]],$T28, Table2[[HomeTeam]:[HomeTeam]], AJ$21, Table2[[ActualResult]:[ActualResult]], "SO") + SUMIFS(Table2[[AwayWon]:[AwayWon]], Table2[[GameIsOver]:[GameIsOver]],1,Table2[[HomeTeam]:[HomeTeam]],$T28, Table2[[AwayTeam]:[AwayTeam]], AJ$21, Table2[[ActualResult]:[ActualResult]], "SO")))</f>
        <v>0</v>
      </c>
      <c r="AK28">
        <f>(2*(SUMIFS(Table2[[AwayWon]:[AwayWon]], Table2[[GameIsOver]:[GameIsOver]],1,Table2[[AwayTeam]:[AwayTeam]],$T28, Table2[[HomeTeam]:[HomeTeam]], AK$21) + SUMIFS(Table2[[HomeWon_]:[HomeWon_]], Table2[[GameIsOver]:[GameIsOver]],1,Table2[[HomeTeam]:[HomeTeam]],$T28, Table2[[AwayTeam]:[AwayTeam]], AK$21))) + (0*(SUMIFS(Table2[[HomeWon_]:[HomeWon_]], Table2[[GameIsOver]:[GameIsOver]],1,Table2[[AwayTeam]:[AwayTeam]],$T28, Table2[[HomeTeam]:[HomeTeam]], AK$21, Table2[[ActualResult]:[ActualResult]], "REG") + SUMIFS(Table2[[AwayWon]:[AwayWon]], Table2[[GameIsOver]:[GameIsOver]],1,Table2[[HomeTeam]:[HomeTeam]],$T28, Table2[[AwayTeam]:[AwayTeam]], AK$21, Table2[[ActualResult]:[ActualResult]], "REG"))) + (1*(SUMIFS(Table2[[HomeWon_]:[HomeWon_]], Table2[[GameIsOver]:[GameIsOver]],1,Table2[[AwayTeam]:[AwayTeam]],$T28, Table2[[HomeTeam]:[HomeTeam]], AK$21, Table2[[ActualResult]:[ActualResult]], "OT") + SUMIFS(Table2[[AwayWon]:[AwayWon]], Table2[[GameIsOver]:[GameIsOver]],1,Table2[[HomeTeam]:[HomeTeam]],$T28, Table2[[AwayTeam]:[AwayTeam]], AK$21, Table2[[ActualResult]:[ActualResult]], "OT") + SUMIFS(Table2[[HomeWon_]:[HomeWon_]], Table2[[GameIsOver]:[GameIsOver]],1,Table2[[AwayTeam]:[AwayTeam]],$T28, Table2[[HomeTeam]:[HomeTeam]], AK$21, Table2[[ActualResult]:[ActualResult]], "SO") + SUMIFS(Table2[[AwayWon]:[AwayWon]], Table2[[GameIsOver]:[GameIsOver]],1,Table2[[HomeTeam]:[HomeTeam]],$T28, Table2[[AwayTeam]:[AwayTeam]], AK$21, Table2[[ActualResult]:[ActualResult]], "SO")))</f>
        <v>0</v>
      </c>
      <c r="AL28">
        <f>(2*(SUMIFS(Table2[[AwayWon]:[AwayWon]], Table2[[GameIsOver]:[GameIsOver]],1,Table2[[AwayTeam]:[AwayTeam]],$T28, Table2[[HomeTeam]:[HomeTeam]], AL$21) + SUMIFS(Table2[[HomeWon_]:[HomeWon_]], Table2[[GameIsOver]:[GameIsOver]],1,Table2[[HomeTeam]:[HomeTeam]],$T28, Table2[[AwayTeam]:[AwayTeam]], AL$21))) + (0*(SUMIFS(Table2[[HomeWon_]:[HomeWon_]], Table2[[GameIsOver]:[GameIsOver]],1,Table2[[AwayTeam]:[AwayTeam]],$T28, Table2[[HomeTeam]:[HomeTeam]], AL$21, Table2[[ActualResult]:[ActualResult]], "REG") + SUMIFS(Table2[[AwayWon]:[AwayWon]], Table2[[GameIsOver]:[GameIsOver]],1,Table2[[HomeTeam]:[HomeTeam]],$T28, Table2[[AwayTeam]:[AwayTeam]], AL$21, Table2[[ActualResult]:[ActualResult]], "REG"))) + (1*(SUMIFS(Table2[[HomeWon_]:[HomeWon_]], Table2[[GameIsOver]:[GameIsOver]],1,Table2[[AwayTeam]:[AwayTeam]],$T28, Table2[[HomeTeam]:[HomeTeam]], AL$21, Table2[[ActualResult]:[ActualResult]], "OT") + SUMIFS(Table2[[AwayWon]:[AwayWon]], Table2[[GameIsOver]:[GameIsOver]],1,Table2[[HomeTeam]:[HomeTeam]],$T28, Table2[[AwayTeam]:[AwayTeam]], AL$21, Table2[[ActualResult]:[ActualResult]], "OT") + SUMIFS(Table2[[HomeWon_]:[HomeWon_]], Table2[[GameIsOver]:[GameIsOver]],1,Table2[[AwayTeam]:[AwayTeam]],$T28, Table2[[HomeTeam]:[HomeTeam]], AL$21, Table2[[ActualResult]:[ActualResult]], "SO") + SUMIFS(Table2[[AwayWon]:[AwayWon]], Table2[[GameIsOver]:[GameIsOver]],1,Table2[[HomeTeam]:[HomeTeam]],$T28, Table2[[AwayTeam]:[AwayTeam]], AL$21, Table2[[ActualResult]:[ActualResult]], "SO")))</f>
        <v>0</v>
      </c>
      <c r="AM28">
        <f>(2*(SUMIFS(Table2[[AwayWon]:[AwayWon]], Table2[[GameIsOver]:[GameIsOver]],1,Table2[[AwayTeam]:[AwayTeam]],$T28, Table2[[HomeTeam]:[HomeTeam]], AM$21) + SUMIFS(Table2[[HomeWon_]:[HomeWon_]], Table2[[GameIsOver]:[GameIsOver]],1,Table2[[HomeTeam]:[HomeTeam]],$T28, Table2[[AwayTeam]:[AwayTeam]], AM$21))) + (0*(SUMIFS(Table2[[HomeWon_]:[HomeWon_]], Table2[[GameIsOver]:[GameIsOver]],1,Table2[[AwayTeam]:[AwayTeam]],$T28, Table2[[HomeTeam]:[HomeTeam]], AM$21, Table2[[ActualResult]:[ActualResult]], "REG") + SUMIFS(Table2[[AwayWon]:[AwayWon]], Table2[[GameIsOver]:[GameIsOver]],1,Table2[[HomeTeam]:[HomeTeam]],$T28, Table2[[AwayTeam]:[AwayTeam]], AM$21, Table2[[ActualResult]:[ActualResult]], "REG"))) + (1*(SUMIFS(Table2[[HomeWon_]:[HomeWon_]], Table2[[GameIsOver]:[GameIsOver]],1,Table2[[AwayTeam]:[AwayTeam]],$T28, Table2[[HomeTeam]:[HomeTeam]], AM$21, Table2[[ActualResult]:[ActualResult]], "OT") + SUMIFS(Table2[[AwayWon]:[AwayWon]], Table2[[GameIsOver]:[GameIsOver]],1,Table2[[HomeTeam]:[HomeTeam]],$T28, Table2[[AwayTeam]:[AwayTeam]], AM$21, Table2[[ActualResult]:[ActualResult]], "OT") + SUMIFS(Table2[[HomeWon_]:[HomeWon_]], Table2[[GameIsOver]:[GameIsOver]],1,Table2[[AwayTeam]:[AwayTeam]],$T28, Table2[[HomeTeam]:[HomeTeam]], AM$21, Table2[[ActualResult]:[ActualResult]], "SO") + SUMIFS(Table2[[AwayWon]:[AwayWon]], Table2[[GameIsOver]:[GameIsOver]],1,Table2[[HomeTeam]:[HomeTeam]],$T28, Table2[[AwayTeam]:[AwayTeam]], AM$21, Table2[[ActualResult]:[ActualResult]], "SO")))</f>
        <v>0</v>
      </c>
      <c r="AN28">
        <f>(2*(SUMIFS(Table2[[AwayWon]:[AwayWon]], Table2[[GameIsOver]:[GameIsOver]],1,Table2[[AwayTeam]:[AwayTeam]],$T28, Table2[[HomeTeam]:[HomeTeam]], AN$21) + SUMIFS(Table2[[HomeWon_]:[HomeWon_]], Table2[[GameIsOver]:[GameIsOver]],1,Table2[[HomeTeam]:[HomeTeam]],$T28, Table2[[AwayTeam]:[AwayTeam]], AN$21))) + (0*(SUMIFS(Table2[[HomeWon_]:[HomeWon_]], Table2[[GameIsOver]:[GameIsOver]],1,Table2[[AwayTeam]:[AwayTeam]],$T28, Table2[[HomeTeam]:[HomeTeam]], AN$21, Table2[[ActualResult]:[ActualResult]], "REG") + SUMIFS(Table2[[AwayWon]:[AwayWon]], Table2[[GameIsOver]:[GameIsOver]],1,Table2[[HomeTeam]:[HomeTeam]],$T28, Table2[[AwayTeam]:[AwayTeam]], AN$21, Table2[[ActualResult]:[ActualResult]], "REG"))) + (1*(SUMIFS(Table2[[HomeWon_]:[HomeWon_]], Table2[[GameIsOver]:[GameIsOver]],1,Table2[[AwayTeam]:[AwayTeam]],$T28, Table2[[HomeTeam]:[HomeTeam]], AN$21, Table2[[ActualResult]:[ActualResult]], "OT") + SUMIFS(Table2[[AwayWon]:[AwayWon]], Table2[[GameIsOver]:[GameIsOver]],1,Table2[[HomeTeam]:[HomeTeam]],$T28, Table2[[AwayTeam]:[AwayTeam]], AN$21, Table2[[ActualResult]:[ActualResult]], "OT") + SUMIFS(Table2[[HomeWon_]:[HomeWon_]], Table2[[GameIsOver]:[GameIsOver]],1,Table2[[AwayTeam]:[AwayTeam]],$T28, Table2[[HomeTeam]:[HomeTeam]], AN$21, Table2[[ActualResult]:[ActualResult]], "SO") + SUMIFS(Table2[[AwayWon]:[AwayWon]], Table2[[GameIsOver]:[GameIsOver]],1,Table2[[HomeTeam]:[HomeTeam]],$T28, Table2[[AwayTeam]:[AwayTeam]], AN$21, Table2[[ActualResult]:[ActualResult]], "SO")))</f>
        <v>0</v>
      </c>
      <c r="AO28">
        <f>(2*(SUMIFS(Table2[[AwayWon]:[AwayWon]], Table2[[GameIsOver]:[GameIsOver]],1,Table2[[AwayTeam]:[AwayTeam]],$T28, Table2[[HomeTeam]:[HomeTeam]], AO$21) + SUMIFS(Table2[[HomeWon_]:[HomeWon_]], Table2[[GameIsOver]:[GameIsOver]],1,Table2[[HomeTeam]:[HomeTeam]],$T28, Table2[[AwayTeam]:[AwayTeam]], AO$21))) + (0*(SUMIFS(Table2[[HomeWon_]:[HomeWon_]], Table2[[GameIsOver]:[GameIsOver]],1,Table2[[AwayTeam]:[AwayTeam]],$T28, Table2[[HomeTeam]:[HomeTeam]], AO$21, Table2[[ActualResult]:[ActualResult]], "REG") + SUMIFS(Table2[[AwayWon]:[AwayWon]], Table2[[GameIsOver]:[GameIsOver]],1,Table2[[HomeTeam]:[HomeTeam]],$T28, Table2[[AwayTeam]:[AwayTeam]], AO$21, Table2[[ActualResult]:[ActualResult]], "REG"))) + (1*(SUMIFS(Table2[[HomeWon_]:[HomeWon_]], Table2[[GameIsOver]:[GameIsOver]],1,Table2[[AwayTeam]:[AwayTeam]],$T28, Table2[[HomeTeam]:[HomeTeam]], AO$21, Table2[[ActualResult]:[ActualResult]], "OT") + SUMIFS(Table2[[AwayWon]:[AwayWon]], Table2[[GameIsOver]:[GameIsOver]],1,Table2[[HomeTeam]:[HomeTeam]],$T28, Table2[[AwayTeam]:[AwayTeam]], AO$21, Table2[[ActualResult]:[ActualResult]], "OT") + SUMIFS(Table2[[HomeWon_]:[HomeWon_]], Table2[[GameIsOver]:[GameIsOver]],1,Table2[[AwayTeam]:[AwayTeam]],$T28, Table2[[HomeTeam]:[HomeTeam]], AO$21, Table2[[ActualResult]:[ActualResult]], "SO") + SUMIFS(Table2[[AwayWon]:[AwayWon]], Table2[[GameIsOver]:[GameIsOver]],1,Table2[[HomeTeam]:[HomeTeam]],$T28, Table2[[AwayTeam]:[AwayTeam]], AO$21, Table2[[ActualResult]:[ActualResult]], "SO")))</f>
        <v>2</v>
      </c>
      <c r="AP28">
        <f>(2*(SUMIFS(Table2[[AwayWon]:[AwayWon]], Table2[[GameIsOver]:[GameIsOver]],1,Table2[[AwayTeam]:[AwayTeam]],$T28, Table2[[HomeTeam]:[HomeTeam]], AP$21) + SUMIFS(Table2[[HomeWon_]:[HomeWon_]], Table2[[GameIsOver]:[GameIsOver]],1,Table2[[HomeTeam]:[HomeTeam]],$T28, Table2[[AwayTeam]:[AwayTeam]], AP$21))) + (0*(SUMIFS(Table2[[HomeWon_]:[HomeWon_]], Table2[[GameIsOver]:[GameIsOver]],1,Table2[[AwayTeam]:[AwayTeam]],$T28, Table2[[HomeTeam]:[HomeTeam]], AP$21, Table2[[ActualResult]:[ActualResult]], "REG") + SUMIFS(Table2[[AwayWon]:[AwayWon]], Table2[[GameIsOver]:[GameIsOver]],1,Table2[[HomeTeam]:[HomeTeam]],$T28, Table2[[AwayTeam]:[AwayTeam]], AP$21, Table2[[ActualResult]:[ActualResult]], "REG"))) + (1*(SUMIFS(Table2[[HomeWon_]:[HomeWon_]], Table2[[GameIsOver]:[GameIsOver]],1,Table2[[AwayTeam]:[AwayTeam]],$T28, Table2[[HomeTeam]:[HomeTeam]], AP$21, Table2[[ActualResult]:[ActualResult]], "OT") + SUMIFS(Table2[[AwayWon]:[AwayWon]], Table2[[GameIsOver]:[GameIsOver]],1,Table2[[HomeTeam]:[HomeTeam]],$T28, Table2[[AwayTeam]:[AwayTeam]], AP$21, Table2[[ActualResult]:[ActualResult]], "OT") + SUMIFS(Table2[[HomeWon_]:[HomeWon_]], Table2[[GameIsOver]:[GameIsOver]],1,Table2[[AwayTeam]:[AwayTeam]],$T28, Table2[[HomeTeam]:[HomeTeam]], AP$21, Table2[[ActualResult]:[ActualResult]], "SO") + SUMIFS(Table2[[AwayWon]:[AwayWon]], Table2[[GameIsOver]:[GameIsOver]],1,Table2[[HomeTeam]:[HomeTeam]],$T28, Table2[[AwayTeam]:[AwayTeam]], AP$21, Table2[[ActualResult]:[ActualResult]], "SO")))</f>
        <v>2</v>
      </c>
      <c r="AQ28">
        <f>(2*(SUMIFS(Table2[[AwayWon]:[AwayWon]], Table2[[GameIsOver]:[GameIsOver]],1,Table2[[AwayTeam]:[AwayTeam]],$T28, Table2[[HomeTeam]:[HomeTeam]], AQ$21) + SUMIFS(Table2[[HomeWon_]:[HomeWon_]], Table2[[GameIsOver]:[GameIsOver]],1,Table2[[HomeTeam]:[HomeTeam]],$T28, Table2[[AwayTeam]:[AwayTeam]], AQ$21))) + (0*(SUMIFS(Table2[[HomeWon_]:[HomeWon_]], Table2[[GameIsOver]:[GameIsOver]],1,Table2[[AwayTeam]:[AwayTeam]],$T28, Table2[[HomeTeam]:[HomeTeam]], AQ$21, Table2[[ActualResult]:[ActualResult]], "REG") + SUMIFS(Table2[[AwayWon]:[AwayWon]], Table2[[GameIsOver]:[GameIsOver]],1,Table2[[HomeTeam]:[HomeTeam]],$T28, Table2[[AwayTeam]:[AwayTeam]], AQ$21, Table2[[ActualResult]:[ActualResult]], "REG"))) + (1*(SUMIFS(Table2[[HomeWon_]:[HomeWon_]], Table2[[GameIsOver]:[GameIsOver]],1,Table2[[AwayTeam]:[AwayTeam]],$T28, Table2[[HomeTeam]:[HomeTeam]], AQ$21, Table2[[ActualResult]:[ActualResult]], "OT") + SUMIFS(Table2[[AwayWon]:[AwayWon]], Table2[[GameIsOver]:[GameIsOver]],1,Table2[[HomeTeam]:[HomeTeam]],$T28, Table2[[AwayTeam]:[AwayTeam]], AQ$21, Table2[[ActualResult]:[ActualResult]], "OT") + SUMIFS(Table2[[HomeWon_]:[HomeWon_]], Table2[[GameIsOver]:[GameIsOver]],1,Table2[[AwayTeam]:[AwayTeam]],$T28, Table2[[HomeTeam]:[HomeTeam]], AQ$21, Table2[[ActualResult]:[ActualResult]], "SO") + SUMIFS(Table2[[AwayWon]:[AwayWon]], Table2[[GameIsOver]:[GameIsOver]],1,Table2[[HomeTeam]:[HomeTeam]],$T28, Table2[[AwayTeam]:[AwayTeam]], AQ$21, Table2[[ActualResult]:[ActualResult]], "SO")))</f>
        <v>0</v>
      </c>
      <c r="AR28">
        <f>(2*(SUMIFS(Table2[[AwayWon]:[AwayWon]], Table2[[GameIsOver]:[GameIsOver]],1,Table2[[AwayTeam]:[AwayTeam]],$T28, Table2[[HomeTeam]:[HomeTeam]], AR$21) + SUMIFS(Table2[[HomeWon_]:[HomeWon_]], Table2[[GameIsOver]:[GameIsOver]],1,Table2[[HomeTeam]:[HomeTeam]],$T28, Table2[[AwayTeam]:[AwayTeam]], AR$21))) + (0*(SUMIFS(Table2[[HomeWon_]:[HomeWon_]], Table2[[GameIsOver]:[GameIsOver]],1,Table2[[AwayTeam]:[AwayTeam]],$T28, Table2[[HomeTeam]:[HomeTeam]], AR$21, Table2[[ActualResult]:[ActualResult]], "REG") + SUMIFS(Table2[[AwayWon]:[AwayWon]], Table2[[GameIsOver]:[GameIsOver]],1,Table2[[HomeTeam]:[HomeTeam]],$T28, Table2[[AwayTeam]:[AwayTeam]], AR$21, Table2[[ActualResult]:[ActualResult]], "REG"))) + (1*(SUMIFS(Table2[[HomeWon_]:[HomeWon_]], Table2[[GameIsOver]:[GameIsOver]],1,Table2[[AwayTeam]:[AwayTeam]],$T28, Table2[[HomeTeam]:[HomeTeam]], AR$21, Table2[[ActualResult]:[ActualResult]], "OT") + SUMIFS(Table2[[AwayWon]:[AwayWon]], Table2[[GameIsOver]:[GameIsOver]],1,Table2[[HomeTeam]:[HomeTeam]],$T28, Table2[[AwayTeam]:[AwayTeam]], AR$21, Table2[[ActualResult]:[ActualResult]], "OT") + SUMIFS(Table2[[HomeWon_]:[HomeWon_]], Table2[[GameIsOver]:[GameIsOver]],1,Table2[[AwayTeam]:[AwayTeam]],$T28, Table2[[HomeTeam]:[HomeTeam]], AR$21, Table2[[ActualResult]:[ActualResult]], "SO") + SUMIFS(Table2[[AwayWon]:[AwayWon]], Table2[[GameIsOver]:[GameIsOver]],1,Table2[[HomeTeam]:[HomeTeam]],$T28, Table2[[AwayTeam]:[AwayTeam]], AR$21, Table2[[ActualResult]:[ActualResult]], "SO")))</f>
        <v>0</v>
      </c>
      <c r="AS28">
        <f>(2*(SUMIFS(Table2[[AwayWon]:[AwayWon]], Table2[[GameIsOver]:[GameIsOver]],1,Table2[[AwayTeam]:[AwayTeam]],$T28, Table2[[HomeTeam]:[HomeTeam]], AS$21) + SUMIFS(Table2[[HomeWon_]:[HomeWon_]], Table2[[GameIsOver]:[GameIsOver]],1,Table2[[HomeTeam]:[HomeTeam]],$T28, Table2[[AwayTeam]:[AwayTeam]], AS$21))) + (0*(SUMIFS(Table2[[HomeWon_]:[HomeWon_]], Table2[[GameIsOver]:[GameIsOver]],1,Table2[[AwayTeam]:[AwayTeam]],$T28, Table2[[HomeTeam]:[HomeTeam]], AS$21, Table2[[ActualResult]:[ActualResult]], "REG") + SUMIFS(Table2[[AwayWon]:[AwayWon]], Table2[[GameIsOver]:[GameIsOver]],1,Table2[[HomeTeam]:[HomeTeam]],$T28, Table2[[AwayTeam]:[AwayTeam]], AS$21, Table2[[ActualResult]:[ActualResult]], "REG"))) + (1*(SUMIFS(Table2[[HomeWon_]:[HomeWon_]], Table2[[GameIsOver]:[GameIsOver]],1,Table2[[AwayTeam]:[AwayTeam]],$T28, Table2[[HomeTeam]:[HomeTeam]], AS$21, Table2[[ActualResult]:[ActualResult]], "OT") + SUMIFS(Table2[[AwayWon]:[AwayWon]], Table2[[GameIsOver]:[GameIsOver]],1,Table2[[HomeTeam]:[HomeTeam]],$T28, Table2[[AwayTeam]:[AwayTeam]], AS$21, Table2[[ActualResult]:[ActualResult]], "OT") + SUMIFS(Table2[[HomeWon_]:[HomeWon_]], Table2[[GameIsOver]:[GameIsOver]],1,Table2[[AwayTeam]:[AwayTeam]],$T28, Table2[[HomeTeam]:[HomeTeam]], AS$21, Table2[[ActualResult]:[ActualResult]], "SO") + SUMIFS(Table2[[AwayWon]:[AwayWon]], Table2[[GameIsOver]:[GameIsOver]],1,Table2[[HomeTeam]:[HomeTeam]],$T28, Table2[[AwayTeam]:[AwayTeam]], AS$21, Table2[[ActualResult]:[ActualResult]], "SO")))</f>
        <v>0</v>
      </c>
      <c r="AT28">
        <f>(2*(SUMIFS(Table2[[AwayWon]:[AwayWon]], Table2[[GameIsOver]:[GameIsOver]],1,Table2[[AwayTeam]:[AwayTeam]],$T28, Table2[[HomeTeam]:[HomeTeam]], AT$21) + SUMIFS(Table2[[HomeWon_]:[HomeWon_]], Table2[[GameIsOver]:[GameIsOver]],1,Table2[[HomeTeam]:[HomeTeam]],$T28, Table2[[AwayTeam]:[AwayTeam]], AT$21))) + (0*(SUMIFS(Table2[[HomeWon_]:[HomeWon_]], Table2[[GameIsOver]:[GameIsOver]],1,Table2[[AwayTeam]:[AwayTeam]],$T28, Table2[[HomeTeam]:[HomeTeam]], AT$21, Table2[[ActualResult]:[ActualResult]], "REG") + SUMIFS(Table2[[AwayWon]:[AwayWon]], Table2[[GameIsOver]:[GameIsOver]],1,Table2[[HomeTeam]:[HomeTeam]],$T28, Table2[[AwayTeam]:[AwayTeam]], AT$21, Table2[[ActualResult]:[ActualResult]], "REG"))) + (1*(SUMIFS(Table2[[HomeWon_]:[HomeWon_]], Table2[[GameIsOver]:[GameIsOver]],1,Table2[[AwayTeam]:[AwayTeam]],$T28, Table2[[HomeTeam]:[HomeTeam]], AT$21, Table2[[ActualResult]:[ActualResult]], "OT") + SUMIFS(Table2[[AwayWon]:[AwayWon]], Table2[[GameIsOver]:[GameIsOver]],1,Table2[[HomeTeam]:[HomeTeam]],$T28, Table2[[AwayTeam]:[AwayTeam]], AT$21, Table2[[ActualResult]:[ActualResult]], "OT") + SUMIFS(Table2[[HomeWon_]:[HomeWon_]], Table2[[GameIsOver]:[GameIsOver]],1,Table2[[AwayTeam]:[AwayTeam]],$T28, Table2[[HomeTeam]:[HomeTeam]], AT$21, Table2[[ActualResult]:[ActualResult]], "SO") + SUMIFS(Table2[[AwayWon]:[AwayWon]], Table2[[GameIsOver]:[GameIsOver]],1,Table2[[HomeTeam]:[HomeTeam]],$T28, Table2[[AwayTeam]:[AwayTeam]], AT$21, Table2[[ActualResult]:[ActualResult]], "SO")))</f>
        <v>0</v>
      </c>
      <c r="AU28">
        <f>(2*(SUMIFS(Table2[[AwayWon]:[AwayWon]], Table2[[GameIsOver]:[GameIsOver]],1,Table2[[AwayTeam]:[AwayTeam]],$T28, Table2[[HomeTeam]:[HomeTeam]], AU$21) + SUMIFS(Table2[[HomeWon_]:[HomeWon_]], Table2[[GameIsOver]:[GameIsOver]],1,Table2[[HomeTeam]:[HomeTeam]],$T28, Table2[[AwayTeam]:[AwayTeam]], AU$21))) + (0*(SUMIFS(Table2[[HomeWon_]:[HomeWon_]], Table2[[GameIsOver]:[GameIsOver]],1,Table2[[AwayTeam]:[AwayTeam]],$T28, Table2[[HomeTeam]:[HomeTeam]], AU$21, Table2[[ActualResult]:[ActualResult]], "REG") + SUMIFS(Table2[[AwayWon]:[AwayWon]], Table2[[GameIsOver]:[GameIsOver]],1,Table2[[HomeTeam]:[HomeTeam]],$T28, Table2[[AwayTeam]:[AwayTeam]], AU$21, Table2[[ActualResult]:[ActualResult]], "REG"))) + (1*(SUMIFS(Table2[[HomeWon_]:[HomeWon_]], Table2[[GameIsOver]:[GameIsOver]],1,Table2[[AwayTeam]:[AwayTeam]],$T28, Table2[[HomeTeam]:[HomeTeam]], AU$21, Table2[[ActualResult]:[ActualResult]], "OT") + SUMIFS(Table2[[AwayWon]:[AwayWon]], Table2[[GameIsOver]:[GameIsOver]],1,Table2[[HomeTeam]:[HomeTeam]],$T28, Table2[[AwayTeam]:[AwayTeam]], AU$21, Table2[[ActualResult]:[ActualResult]], "OT") + SUMIFS(Table2[[HomeWon_]:[HomeWon_]], Table2[[GameIsOver]:[GameIsOver]],1,Table2[[AwayTeam]:[AwayTeam]],$T28, Table2[[HomeTeam]:[HomeTeam]], AU$21, Table2[[ActualResult]:[ActualResult]], "SO") + SUMIFS(Table2[[AwayWon]:[AwayWon]], Table2[[GameIsOver]:[GameIsOver]],1,Table2[[HomeTeam]:[HomeTeam]],$T28, Table2[[AwayTeam]:[AwayTeam]], AU$21, Table2[[ActualResult]:[ActualResult]], "SO")))</f>
        <v>0</v>
      </c>
      <c r="AV28">
        <f>(2*(SUMIFS(Table2[[AwayWon]:[AwayWon]], Table2[[GameIsOver]:[GameIsOver]],1,Table2[[AwayTeam]:[AwayTeam]],$T28, Table2[[HomeTeam]:[HomeTeam]], AV$21) + SUMIFS(Table2[[HomeWon_]:[HomeWon_]], Table2[[GameIsOver]:[GameIsOver]],1,Table2[[HomeTeam]:[HomeTeam]],$T28, Table2[[AwayTeam]:[AwayTeam]], AV$21))) + (0*(SUMIFS(Table2[[HomeWon_]:[HomeWon_]], Table2[[GameIsOver]:[GameIsOver]],1,Table2[[AwayTeam]:[AwayTeam]],$T28, Table2[[HomeTeam]:[HomeTeam]], AV$21, Table2[[ActualResult]:[ActualResult]], "REG") + SUMIFS(Table2[[AwayWon]:[AwayWon]], Table2[[GameIsOver]:[GameIsOver]],1,Table2[[HomeTeam]:[HomeTeam]],$T28, Table2[[AwayTeam]:[AwayTeam]], AV$21, Table2[[ActualResult]:[ActualResult]], "REG"))) + (1*(SUMIFS(Table2[[HomeWon_]:[HomeWon_]], Table2[[GameIsOver]:[GameIsOver]],1,Table2[[AwayTeam]:[AwayTeam]],$T28, Table2[[HomeTeam]:[HomeTeam]], AV$21, Table2[[ActualResult]:[ActualResult]], "OT") + SUMIFS(Table2[[AwayWon]:[AwayWon]], Table2[[GameIsOver]:[GameIsOver]],1,Table2[[HomeTeam]:[HomeTeam]],$T28, Table2[[AwayTeam]:[AwayTeam]], AV$21, Table2[[ActualResult]:[ActualResult]], "OT") + SUMIFS(Table2[[HomeWon_]:[HomeWon_]], Table2[[GameIsOver]:[GameIsOver]],1,Table2[[AwayTeam]:[AwayTeam]],$T28, Table2[[HomeTeam]:[HomeTeam]], AV$21, Table2[[ActualResult]:[ActualResult]], "SO") + SUMIFS(Table2[[AwayWon]:[AwayWon]], Table2[[GameIsOver]:[GameIsOver]],1,Table2[[HomeTeam]:[HomeTeam]],$T28, Table2[[AwayTeam]:[AwayTeam]], AV$21, Table2[[ActualResult]:[ActualResult]], "SO")))</f>
        <v>0</v>
      </c>
      <c r="AW28">
        <f>(2*(SUMIFS(Table2[[AwayWon]:[AwayWon]], Table2[[GameIsOver]:[GameIsOver]],1,Table2[[AwayTeam]:[AwayTeam]],$T28, Table2[[HomeTeam]:[HomeTeam]], AW$21) + SUMIFS(Table2[[HomeWon_]:[HomeWon_]], Table2[[GameIsOver]:[GameIsOver]],1,Table2[[HomeTeam]:[HomeTeam]],$T28, Table2[[AwayTeam]:[AwayTeam]], AW$21))) + (0*(SUMIFS(Table2[[HomeWon_]:[HomeWon_]], Table2[[GameIsOver]:[GameIsOver]],1,Table2[[AwayTeam]:[AwayTeam]],$T28, Table2[[HomeTeam]:[HomeTeam]], AW$21, Table2[[ActualResult]:[ActualResult]], "REG") + SUMIFS(Table2[[AwayWon]:[AwayWon]], Table2[[GameIsOver]:[GameIsOver]],1,Table2[[HomeTeam]:[HomeTeam]],$T28, Table2[[AwayTeam]:[AwayTeam]], AW$21, Table2[[ActualResult]:[ActualResult]], "REG"))) + (1*(SUMIFS(Table2[[HomeWon_]:[HomeWon_]], Table2[[GameIsOver]:[GameIsOver]],1,Table2[[AwayTeam]:[AwayTeam]],$T28, Table2[[HomeTeam]:[HomeTeam]], AW$21, Table2[[ActualResult]:[ActualResult]], "OT") + SUMIFS(Table2[[AwayWon]:[AwayWon]], Table2[[GameIsOver]:[GameIsOver]],1,Table2[[HomeTeam]:[HomeTeam]],$T28, Table2[[AwayTeam]:[AwayTeam]], AW$21, Table2[[ActualResult]:[ActualResult]], "OT") + SUMIFS(Table2[[HomeWon_]:[HomeWon_]], Table2[[GameIsOver]:[GameIsOver]],1,Table2[[AwayTeam]:[AwayTeam]],$T28, Table2[[HomeTeam]:[HomeTeam]], AW$21, Table2[[ActualResult]:[ActualResult]], "SO") + SUMIFS(Table2[[AwayWon]:[AwayWon]], Table2[[GameIsOver]:[GameIsOver]],1,Table2[[HomeTeam]:[HomeTeam]],$T28, Table2[[AwayTeam]:[AwayTeam]], AW$21, Table2[[ActualResult]:[ActualResult]], "SO")))</f>
        <v>0</v>
      </c>
      <c r="AX28">
        <f>(2*(SUMIFS(Table2[[AwayWon]:[AwayWon]], Table2[[GameIsOver]:[GameIsOver]],1,Table2[[AwayTeam]:[AwayTeam]],$T28, Table2[[HomeTeam]:[HomeTeam]], AX$21) + SUMIFS(Table2[[HomeWon_]:[HomeWon_]], Table2[[GameIsOver]:[GameIsOver]],1,Table2[[HomeTeam]:[HomeTeam]],$T28, Table2[[AwayTeam]:[AwayTeam]], AX$21))) + (0*(SUMIFS(Table2[[HomeWon_]:[HomeWon_]], Table2[[GameIsOver]:[GameIsOver]],1,Table2[[AwayTeam]:[AwayTeam]],$T28, Table2[[HomeTeam]:[HomeTeam]], AX$21, Table2[[ActualResult]:[ActualResult]], "REG") + SUMIFS(Table2[[AwayWon]:[AwayWon]], Table2[[GameIsOver]:[GameIsOver]],1,Table2[[HomeTeam]:[HomeTeam]],$T28, Table2[[AwayTeam]:[AwayTeam]], AX$21, Table2[[ActualResult]:[ActualResult]], "REG"))) + (1*(SUMIFS(Table2[[HomeWon_]:[HomeWon_]], Table2[[GameIsOver]:[GameIsOver]],1,Table2[[AwayTeam]:[AwayTeam]],$T28, Table2[[HomeTeam]:[HomeTeam]], AX$21, Table2[[ActualResult]:[ActualResult]], "OT") + SUMIFS(Table2[[AwayWon]:[AwayWon]], Table2[[GameIsOver]:[GameIsOver]],1,Table2[[HomeTeam]:[HomeTeam]],$T28, Table2[[AwayTeam]:[AwayTeam]], AX$21, Table2[[ActualResult]:[ActualResult]], "OT") + SUMIFS(Table2[[HomeWon_]:[HomeWon_]], Table2[[GameIsOver]:[GameIsOver]],1,Table2[[AwayTeam]:[AwayTeam]],$T28, Table2[[HomeTeam]:[HomeTeam]], AX$21, Table2[[ActualResult]:[ActualResult]], "SO") + SUMIFS(Table2[[AwayWon]:[AwayWon]], Table2[[GameIsOver]:[GameIsOver]],1,Table2[[HomeTeam]:[HomeTeam]],$T28, Table2[[AwayTeam]:[AwayTeam]], AX$21, Table2[[ActualResult]:[ActualResult]], "SO")))</f>
        <v>0</v>
      </c>
      <c r="AY28">
        <f>(2*(SUMIFS(Table2[[AwayWon]:[AwayWon]], Table2[[GameIsOver]:[GameIsOver]],1,Table2[[AwayTeam]:[AwayTeam]],$T28, Table2[[HomeTeam]:[HomeTeam]], AY$21) + SUMIFS(Table2[[HomeWon_]:[HomeWon_]], Table2[[GameIsOver]:[GameIsOver]],1,Table2[[HomeTeam]:[HomeTeam]],$T28, Table2[[AwayTeam]:[AwayTeam]], AY$21))) + (0*(SUMIFS(Table2[[HomeWon_]:[HomeWon_]], Table2[[GameIsOver]:[GameIsOver]],1,Table2[[AwayTeam]:[AwayTeam]],$T28, Table2[[HomeTeam]:[HomeTeam]], AY$21, Table2[[ActualResult]:[ActualResult]], "REG") + SUMIFS(Table2[[AwayWon]:[AwayWon]], Table2[[GameIsOver]:[GameIsOver]],1,Table2[[HomeTeam]:[HomeTeam]],$T28, Table2[[AwayTeam]:[AwayTeam]], AY$21, Table2[[ActualResult]:[ActualResult]], "REG"))) + (1*(SUMIFS(Table2[[HomeWon_]:[HomeWon_]], Table2[[GameIsOver]:[GameIsOver]],1,Table2[[AwayTeam]:[AwayTeam]],$T28, Table2[[HomeTeam]:[HomeTeam]], AY$21, Table2[[ActualResult]:[ActualResult]], "OT") + SUMIFS(Table2[[AwayWon]:[AwayWon]], Table2[[GameIsOver]:[GameIsOver]],1,Table2[[HomeTeam]:[HomeTeam]],$T28, Table2[[AwayTeam]:[AwayTeam]], AY$21, Table2[[ActualResult]:[ActualResult]], "OT") + SUMIFS(Table2[[HomeWon_]:[HomeWon_]], Table2[[GameIsOver]:[GameIsOver]],1,Table2[[AwayTeam]:[AwayTeam]],$T28, Table2[[HomeTeam]:[HomeTeam]], AY$21, Table2[[ActualResult]:[ActualResult]], "SO") + SUMIFS(Table2[[AwayWon]:[AwayWon]], Table2[[GameIsOver]:[GameIsOver]],1,Table2[[HomeTeam]:[HomeTeam]],$T28, Table2[[AwayTeam]:[AwayTeam]], AY$21, Table2[[ActualResult]:[ActualResult]], "SO")))</f>
        <v>0</v>
      </c>
      <c r="AZ28">
        <f>(2*(SUMIFS(Table2[[AwayWon]:[AwayWon]], Table2[[GameIsOver]:[GameIsOver]],1,Table2[[AwayTeam]:[AwayTeam]],$T28, Table2[[HomeTeam]:[HomeTeam]], AZ$21) + SUMIFS(Table2[[HomeWon_]:[HomeWon_]], Table2[[GameIsOver]:[GameIsOver]],1,Table2[[HomeTeam]:[HomeTeam]],$T28, Table2[[AwayTeam]:[AwayTeam]], AZ$21))) + (0*(SUMIFS(Table2[[HomeWon_]:[HomeWon_]], Table2[[GameIsOver]:[GameIsOver]],1,Table2[[AwayTeam]:[AwayTeam]],$T28, Table2[[HomeTeam]:[HomeTeam]], AZ$21, Table2[[ActualResult]:[ActualResult]], "REG") + SUMIFS(Table2[[AwayWon]:[AwayWon]], Table2[[GameIsOver]:[GameIsOver]],1,Table2[[HomeTeam]:[HomeTeam]],$T28, Table2[[AwayTeam]:[AwayTeam]], AZ$21, Table2[[ActualResult]:[ActualResult]], "REG"))) + (1*(SUMIFS(Table2[[HomeWon_]:[HomeWon_]], Table2[[GameIsOver]:[GameIsOver]],1,Table2[[AwayTeam]:[AwayTeam]],$T28, Table2[[HomeTeam]:[HomeTeam]], AZ$21, Table2[[ActualResult]:[ActualResult]], "OT") + SUMIFS(Table2[[AwayWon]:[AwayWon]], Table2[[GameIsOver]:[GameIsOver]],1,Table2[[HomeTeam]:[HomeTeam]],$T28, Table2[[AwayTeam]:[AwayTeam]], AZ$21, Table2[[ActualResult]:[ActualResult]], "OT") + SUMIFS(Table2[[HomeWon_]:[HomeWon_]], Table2[[GameIsOver]:[GameIsOver]],1,Table2[[AwayTeam]:[AwayTeam]],$T28, Table2[[HomeTeam]:[HomeTeam]], AZ$21, Table2[[ActualResult]:[ActualResult]], "SO") + SUMIFS(Table2[[AwayWon]:[AwayWon]], Table2[[GameIsOver]:[GameIsOver]],1,Table2[[HomeTeam]:[HomeTeam]],$T28, Table2[[AwayTeam]:[AwayTeam]], AZ$21, Table2[[ActualResult]:[ActualResult]], "SO")))</f>
        <v>0</v>
      </c>
      <c r="BA28">
        <f>(2*(SUMIFS(Table2[[AwayWon]:[AwayWon]], Table2[[GameIsOver]:[GameIsOver]],1,Table2[[AwayTeam]:[AwayTeam]],$T28, Table2[[HomeTeam]:[HomeTeam]], BA$21) + SUMIFS(Table2[[HomeWon_]:[HomeWon_]], Table2[[GameIsOver]:[GameIsOver]],1,Table2[[HomeTeam]:[HomeTeam]],$T28, Table2[[AwayTeam]:[AwayTeam]], BA$21))) + (0*(SUMIFS(Table2[[HomeWon_]:[HomeWon_]], Table2[[GameIsOver]:[GameIsOver]],1,Table2[[AwayTeam]:[AwayTeam]],$T28, Table2[[HomeTeam]:[HomeTeam]], BA$21, Table2[[ActualResult]:[ActualResult]], "REG") + SUMIFS(Table2[[AwayWon]:[AwayWon]], Table2[[GameIsOver]:[GameIsOver]],1,Table2[[HomeTeam]:[HomeTeam]],$T28, Table2[[AwayTeam]:[AwayTeam]], BA$21, Table2[[ActualResult]:[ActualResult]], "REG"))) + (1*(SUMIFS(Table2[[HomeWon_]:[HomeWon_]], Table2[[GameIsOver]:[GameIsOver]],1,Table2[[AwayTeam]:[AwayTeam]],$T28, Table2[[HomeTeam]:[HomeTeam]], BA$21, Table2[[ActualResult]:[ActualResult]], "OT") + SUMIFS(Table2[[AwayWon]:[AwayWon]], Table2[[GameIsOver]:[GameIsOver]],1,Table2[[HomeTeam]:[HomeTeam]],$T28, Table2[[AwayTeam]:[AwayTeam]], BA$21, Table2[[ActualResult]:[ActualResult]], "OT") + SUMIFS(Table2[[HomeWon_]:[HomeWon_]], Table2[[GameIsOver]:[GameIsOver]],1,Table2[[AwayTeam]:[AwayTeam]],$T28, Table2[[HomeTeam]:[HomeTeam]], BA$21, Table2[[ActualResult]:[ActualResult]], "SO") + SUMIFS(Table2[[AwayWon]:[AwayWon]], Table2[[GameIsOver]:[GameIsOver]],1,Table2[[HomeTeam]:[HomeTeam]],$T28, Table2[[AwayTeam]:[AwayTeam]], BA$21, Table2[[ActualResult]:[ActualResult]], "SO")))</f>
        <v>0</v>
      </c>
    </row>
    <row r="29" spans="1:53" x14ac:dyDescent="0.25">
      <c r="A29" s="62" t="s">
        <v>14</v>
      </c>
      <c r="B29" s="62" t="s">
        <v>90</v>
      </c>
      <c r="C29" s="62" t="s">
        <v>88</v>
      </c>
      <c r="D29" s="62">
        <f>INDEX(Table3[PTS], MATCH(Table6[[#This Row],[Teams]], Table3[Teams],0))</f>
        <v>10</v>
      </c>
      <c r="E29" s="62">
        <f>INDEX(Table3[PTS], MATCH(Table6[[#This Row],[Teams]], Table3[Teams],0))</f>
        <v>10</v>
      </c>
      <c r="S29">
        <v>6</v>
      </c>
      <c r="T29" t="str" cm="1">
        <f t="array" ref="T29">INDEX(Table6[Teams], SMALL(IF(Table6[D]="M", ROW(Table6[Teams])-ROW(Table6[#Headers])), Table712[[#This Row],[MET]]))</f>
        <v>PHI</v>
      </c>
      <c r="U29">
        <f>INDEX(Table6[PTS], MATCH($T29, Table6[Teams], 0))</f>
        <v>7</v>
      </c>
      <c r="V29">
        <f>(2*(SUMIFS(Table2[[AwayWon]:[AwayWon]], Table2[[GameIsOver]:[GameIsOver]],1,Table2[[AwayTeam]:[AwayTeam]],$T29, Table2[[HomeTeam]:[HomeTeam]], V$21) + SUMIFS(Table2[[HomeWon_]:[HomeWon_]], Table2[[GameIsOver]:[GameIsOver]],1,Table2[[HomeTeam]:[HomeTeam]],$T29, Table2[[AwayTeam]:[AwayTeam]], V$21))) + (0*(SUMIFS(Table2[[HomeWon_]:[HomeWon_]], Table2[[GameIsOver]:[GameIsOver]],1,Table2[[AwayTeam]:[AwayTeam]],$T29, Table2[[HomeTeam]:[HomeTeam]], V$21, Table2[[ActualResult]:[ActualResult]], "REG") + SUMIFS(Table2[[AwayWon]:[AwayWon]], Table2[[GameIsOver]:[GameIsOver]],1,Table2[[HomeTeam]:[HomeTeam]],$T29, Table2[[AwayTeam]:[AwayTeam]], V$21, Table2[[ActualResult]:[ActualResult]], "REG"))) + (1*(SUMIFS(Table2[[HomeWon_]:[HomeWon_]], Table2[[GameIsOver]:[GameIsOver]],1,Table2[[AwayTeam]:[AwayTeam]],$T29, Table2[[HomeTeam]:[HomeTeam]], V$21, Table2[[ActualResult]:[ActualResult]], "OT") + SUMIFS(Table2[[AwayWon]:[AwayWon]], Table2[[GameIsOver]:[GameIsOver]],1,Table2[[HomeTeam]:[HomeTeam]],$T29, Table2[[AwayTeam]:[AwayTeam]], V$21, Table2[[ActualResult]:[ActualResult]], "OT") + SUMIFS(Table2[[HomeWon_]:[HomeWon_]], Table2[[GameIsOver]:[GameIsOver]],1,Table2[[AwayTeam]:[AwayTeam]],$T29, Table2[[HomeTeam]:[HomeTeam]], V$21, Table2[[ActualResult]:[ActualResult]], "SO") + SUMIFS(Table2[[AwayWon]:[AwayWon]], Table2[[GameIsOver]:[GameIsOver]],1,Table2[[HomeTeam]:[HomeTeam]],$T29, Table2[[AwayTeam]:[AwayTeam]], V$21, Table2[[ActualResult]:[ActualResult]], "SO")))</f>
        <v>0</v>
      </c>
      <c r="W29">
        <f>(2*(SUMIFS(Table2[[AwayWon]:[AwayWon]], Table2[[GameIsOver]:[GameIsOver]],1,Table2[[AwayTeam]:[AwayTeam]],$T29, Table2[[HomeTeam]:[HomeTeam]], W$21) + SUMIFS(Table2[[HomeWon_]:[HomeWon_]], Table2[[GameIsOver]:[GameIsOver]],1,Table2[[HomeTeam]:[HomeTeam]],$T29, Table2[[AwayTeam]:[AwayTeam]], W$21))) + (0*(SUMIFS(Table2[[HomeWon_]:[HomeWon_]], Table2[[GameIsOver]:[GameIsOver]],1,Table2[[AwayTeam]:[AwayTeam]],$T29, Table2[[HomeTeam]:[HomeTeam]], W$21, Table2[[ActualResult]:[ActualResult]], "REG") + SUMIFS(Table2[[AwayWon]:[AwayWon]], Table2[[GameIsOver]:[GameIsOver]],1,Table2[[HomeTeam]:[HomeTeam]],$T29, Table2[[AwayTeam]:[AwayTeam]], W$21, Table2[[ActualResult]:[ActualResult]], "REG"))) + (1*(SUMIFS(Table2[[HomeWon_]:[HomeWon_]], Table2[[GameIsOver]:[GameIsOver]],1,Table2[[AwayTeam]:[AwayTeam]],$T29, Table2[[HomeTeam]:[HomeTeam]], W$21, Table2[[ActualResult]:[ActualResult]], "OT") + SUMIFS(Table2[[AwayWon]:[AwayWon]], Table2[[GameIsOver]:[GameIsOver]],1,Table2[[HomeTeam]:[HomeTeam]],$T29, Table2[[AwayTeam]:[AwayTeam]], W$21, Table2[[ActualResult]:[ActualResult]], "OT") + SUMIFS(Table2[[HomeWon_]:[HomeWon_]], Table2[[GameIsOver]:[GameIsOver]],1,Table2[[AwayTeam]:[AwayTeam]],$T29, Table2[[HomeTeam]:[HomeTeam]], W$21, Table2[[ActualResult]:[ActualResult]], "SO") + SUMIFS(Table2[[AwayWon]:[AwayWon]], Table2[[GameIsOver]:[GameIsOver]],1,Table2[[HomeTeam]:[HomeTeam]],$T29, Table2[[AwayTeam]:[AwayTeam]], W$21, Table2[[ActualResult]:[ActualResult]], "SO")))</f>
        <v>0</v>
      </c>
      <c r="X29">
        <f>(2*(SUMIFS(Table2[[AwayWon]:[AwayWon]], Table2[[GameIsOver]:[GameIsOver]],1,Table2[[AwayTeam]:[AwayTeam]],$T29, Table2[[HomeTeam]:[HomeTeam]], X$21) + SUMIFS(Table2[[HomeWon_]:[HomeWon_]], Table2[[GameIsOver]:[GameIsOver]],1,Table2[[HomeTeam]:[HomeTeam]],$T29, Table2[[AwayTeam]:[AwayTeam]], X$21))) + (0*(SUMIFS(Table2[[HomeWon_]:[HomeWon_]], Table2[[GameIsOver]:[GameIsOver]],1,Table2[[AwayTeam]:[AwayTeam]],$T29, Table2[[HomeTeam]:[HomeTeam]], X$21, Table2[[ActualResult]:[ActualResult]], "REG") + SUMIFS(Table2[[AwayWon]:[AwayWon]], Table2[[GameIsOver]:[GameIsOver]],1,Table2[[HomeTeam]:[HomeTeam]],$T29, Table2[[AwayTeam]:[AwayTeam]], X$21, Table2[[ActualResult]:[ActualResult]], "REG"))) + (1*(SUMIFS(Table2[[HomeWon_]:[HomeWon_]], Table2[[GameIsOver]:[GameIsOver]],1,Table2[[AwayTeam]:[AwayTeam]],$T29, Table2[[HomeTeam]:[HomeTeam]], X$21, Table2[[ActualResult]:[ActualResult]], "OT") + SUMIFS(Table2[[AwayWon]:[AwayWon]], Table2[[GameIsOver]:[GameIsOver]],1,Table2[[HomeTeam]:[HomeTeam]],$T29, Table2[[AwayTeam]:[AwayTeam]], X$21, Table2[[ActualResult]:[ActualResult]], "OT") + SUMIFS(Table2[[HomeWon_]:[HomeWon_]], Table2[[GameIsOver]:[GameIsOver]],1,Table2[[AwayTeam]:[AwayTeam]],$T29, Table2[[HomeTeam]:[HomeTeam]], X$21, Table2[[ActualResult]:[ActualResult]], "SO") + SUMIFS(Table2[[AwayWon]:[AwayWon]], Table2[[GameIsOver]:[GameIsOver]],1,Table2[[HomeTeam]:[HomeTeam]],$T29, Table2[[AwayTeam]:[AwayTeam]], X$21, Table2[[ActualResult]:[ActualResult]], "SO")))</f>
        <v>0</v>
      </c>
      <c r="Y29">
        <f>(2*(SUMIFS(Table2[[AwayWon]:[AwayWon]], Table2[[GameIsOver]:[GameIsOver]],1,Table2[[AwayTeam]:[AwayTeam]],$T29, Table2[[HomeTeam]:[HomeTeam]], Y$21) + SUMIFS(Table2[[HomeWon_]:[HomeWon_]], Table2[[GameIsOver]:[GameIsOver]],1,Table2[[HomeTeam]:[HomeTeam]],$T29, Table2[[AwayTeam]:[AwayTeam]], Y$21))) + (0*(SUMIFS(Table2[[HomeWon_]:[HomeWon_]], Table2[[GameIsOver]:[GameIsOver]],1,Table2[[AwayTeam]:[AwayTeam]],$T29, Table2[[HomeTeam]:[HomeTeam]], Y$21, Table2[[ActualResult]:[ActualResult]], "REG") + SUMIFS(Table2[[AwayWon]:[AwayWon]], Table2[[GameIsOver]:[GameIsOver]],1,Table2[[HomeTeam]:[HomeTeam]],$T29, Table2[[AwayTeam]:[AwayTeam]], Y$21, Table2[[ActualResult]:[ActualResult]], "REG"))) + (1*(SUMIFS(Table2[[HomeWon_]:[HomeWon_]], Table2[[GameIsOver]:[GameIsOver]],1,Table2[[AwayTeam]:[AwayTeam]],$T29, Table2[[HomeTeam]:[HomeTeam]], Y$21, Table2[[ActualResult]:[ActualResult]], "OT") + SUMIFS(Table2[[AwayWon]:[AwayWon]], Table2[[GameIsOver]:[GameIsOver]],1,Table2[[HomeTeam]:[HomeTeam]],$T29, Table2[[AwayTeam]:[AwayTeam]], Y$21, Table2[[ActualResult]:[ActualResult]], "OT") + SUMIFS(Table2[[HomeWon_]:[HomeWon_]], Table2[[GameIsOver]:[GameIsOver]],1,Table2[[AwayTeam]:[AwayTeam]],$T29, Table2[[HomeTeam]:[HomeTeam]], Y$21, Table2[[ActualResult]:[ActualResult]], "SO") + SUMIFS(Table2[[AwayWon]:[AwayWon]], Table2[[GameIsOver]:[GameIsOver]],1,Table2[[HomeTeam]:[HomeTeam]],$T29, Table2[[AwayTeam]:[AwayTeam]], Y$21, Table2[[ActualResult]:[ActualResult]], "SO")))</f>
        <v>0</v>
      </c>
      <c r="Z29">
        <f>(2*(SUMIFS(Table2[[AwayWon]:[AwayWon]], Table2[[GameIsOver]:[GameIsOver]],1,Table2[[AwayTeam]:[AwayTeam]],$T29, Table2[[HomeTeam]:[HomeTeam]], Z$21) + SUMIFS(Table2[[HomeWon_]:[HomeWon_]], Table2[[GameIsOver]:[GameIsOver]],1,Table2[[HomeTeam]:[HomeTeam]],$T29, Table2[[AwayTeam]:[AwayTeam]], Z$21))) + (0*(SUMIFS(Table2[[HomeWon_]:[HomeWon_]], Table2[[GameIsOver]:[GameIsOver]],1,Table2[[AwayTeam]:[AwayTeam]],$T29, Table2[[HomeTeam]:[HomeTeam]], Z$21, Table2[[ActualResult]:[ActualResult]], "REG") + SUMIFS(Table2[[AwayWon]:[AwayWon]], Table2[[GameIsOver]:[GameIsOver]],1,Table2[[HomeTeam]:[HomeTeam]],$T29, Table2[[AwayTeam]:[AwayTeam]], Z$21, Table2[[ActualResult]:[ActualResult]], "REG"))) + (1*(SUMIFS(Table2[[HomeWon_]:[HomeWon_]], Table2[[GameIsOver]:[GameIsOver]],1,Table2[[AwayTeam]:[AwayTeam]],$T29, Table2[[HomeTeam]:[HomeTeam]], Z$21, Table2[[ActualResult]:[ActualResult]], "OT") + SUMIFS(Table2[[AwayWon]:[AwayWon]], Table2[[GameIsOver]:[GameIsOver]],1,Table2[[HomeTeam]:[HomeTeam]],$T29, Table2[[AwayTeam]:[AwayTeam]], Z$21, Table2[[ActualResult]:[ActualResult]], "OT") + SUMIFS(Table2[[HomeWon_]:[HomeWon_]], Table2[[GameIsOver]:[GameIsOver]],1,Table2[[AwayTeam]:[AwayTeam]],$T29, Table2[[HomeTeam]:[HomeTeam]], Z$21, Table2[[ActualResult]:[ActualResult]], "SO") + SUMIFS(Table2[[AwayWon]:[AwayWon]], Table2[[GameIsOver]:[GameIsOver]],1,Table2[[HomeTeam]:[HomeTeam]],$T29, Table2[[AwayTeam]:[AwayTeam]], Z$21, Table2[[ActualResult]:[ActualResult]], "SO")))</f>
        <v>2</v>
      </c>
      <c r="AA29">
        <f>(2*(SUMIFS(Table2[[AwayWon]:[AwayWon]], Table2[[GameIsOver]:[GameIsOver]],1,Table2[[AwayTeam]:[AwayTeam]],$T29, Table2[[HomeTeam]:[HomeTeam]], AA$21) + SUMIFS(Table2[[HomeWon_]:[HomeWon_]], Table2[[GameIsOver]:[GameIsOver]],1,Table2[[HomeTeam]:[HomeTeam]],$T29, Table2[[AwayTeam]:[AwayTeam]], AA$21))) + (0*(SUMIFS(Table2[[HomeWon_]:[HomeWon_]], Table2[[GameIsOver]:[GameIsOver]],1,Table2[[AwayTeam]:[AwayTeam]],$T29, Table2[[HomeTeam]:[HomeTeam]], AA$21, Table2[[ActualResult]:[ActualResult]], "REG") + SUMIFS(Table2[[AwayWon]:[AwayWon]], Table2[[GameIsOver]:[GameIsOver]],1,Table2[[HomeTeam]:[HomeTeam]],$T29, Table2[[AwayTeam]:[AwayTeam]], AA$21, Table2[[ActualResult]:[ActualResult]], "REG"))) + (1*(SUMIFS(Table2[[HomeWon_]:[HomeWon_]], Table2[[GameIsOver]:[GameIsOver]],1,Table2[[AwayTeam]:[AwayTeam]],$T29, Table2[[HomeTeam]:[HomeTeam]], AA$21, Table2[[ActualResult]:[ActualResult]], "OT") + SUMIFS(Table2[[AwayWon]:[AwayWon]], Table2[[GameIsOver]:[GameIsOver]],1,Table2[[HomeTeam]:[HomeTeam]],$T29, Table2[[AwayTeam]:[AwayTeam]], AA$21, Table2[[ActualResult]:[ActualResult]], "OT") + SUMIFS(Table2[[HomeWon_]:[HomeWon_]], Table2[[GameIsOver]:[GameIsOver]],1,Table2[[AwayTeam]:[AwayTeam]],$T29, Table2[[HomeTeam]:[HomeTeam]], AA$21, Table2[[ActualResult]:[ActualResult]], "SO") + SUMIFS(Table2[[AwayWon]:[AwayWon]], Table2[[GameIsOver]:[GameIsOver]],1,Table2[[HomeTeam]:[HomeTeam]],$T29, Table2[[AwayTeam]:[AwayTeam]], AA$21, Table2[[ActualResult]:[ActualResult]], "SO")))</f>
        <v>0</v>
      </c>
      <c r="AB29">
        <f>(2*(SUMIFS(Table2[[AwayWon]:[AwayWon]], Table2[[GameIsOver]:[GameIsOver]],1,Table2[[AwayTeam]:[AwayTeam]],$T29, Table2[[HomeTeam]:[HomeTeam]], AB$21) + SUMIFS(Table2[[HomeWon_]:[HomeWon_]], Table2[[GameIsOver]:[GameIsOver]],1,Table2[[HomeTeam]:[HomeTeam]],$T29, Table2[[AwayTeam]:[AwayTeam]], AB$21))) + (0*(SUMIFS(Table2[[HomeWon_]:[HomeWon_]], Table2[[GameIsOver]:[GameIsOver]],1,Table2[[AwayTeam]:[AwayTeam]],$T29, Table2[[HomeTeam]:[HomeTeam]], AB$21, Table2[[ActualResult]:[ActualResult]], "REG") + SUMIFS(Table2[[AwayWon]:[AwayWon]], Table2[[GameIsOver]:[GameIsOver]],1,Table2[[HomeTeam]:[HomeTeam]],$T29, Table2[[AwayTeam]:[AwayTeam]], AB$21, Table2[[ActualResult]:[ActualResult]], "REG"))) + (1*(SUMIFS(Table2[[HomeWon_]:[HomeWon_]], Table2[[GameIsOver]:[GameIsOver]],1,Table2[[AwayTeam]:[AwayTeam]],$T29, Table2[[HomeTeam]:[HomeTeam]], AB$21, Table2[[ActualResult]:[ActualResult]], "OT") + SUMIFS(Table2[[AwayWon]:[AwayWon]], Table2[[GameIsOver]:[GameIsOver]],1,Table2[[HomeTeam]:[HomeTeam]],$T29, Table2[[AwayTeam]:[AwayTeam]], AB$21, Table2[[ActualResult]:[ActualResult]], "OT") + SUMIFS(Table2[[HomeWon_]:[HomeWon_]], Table2[[GameIsOver]:[GameIsOver]],1,Table2[[AwayTeam]:[AwayTeam]],$T29, Table2[[HomeTeam]:[HomeTeam]], AB$21, Table2[[ActualResult]:[ActualResult]], "SO") + SUMIFS(Table2[[AwayWon]:[AwayWon]], Table2[[GameIsOver]:[GameIsOver]],1,Table2[[HomeTeam]:[HomeTeam]],$T29, Table2[[AwayTeam]:[AwayTeam]], AB$21, Table2[[ActualResult]:[ActualResult]], "SO")))</f>
        <v>0</v>
      </c>
      <c r="AC29">
        <f>(2*(SUMIFS(Table2[[AwayWon]:[AwayWon]], Table2[[GameIsOver]:[GameIsOver]],1,Table2[[AwayTeam]:[AwayTeam]],$T29, Table2[[HomeTeam]:[HomeTeam]], AC$21) + SUMIFS(Table2[[HomeWon_]:[HomeWon_]], Table2[[GameIsOver]:[GameIsOver]],1,Table2[[HomeTeam]:[HomeTeam]],$T29, Table2[[AwayTeam]:[AwayTeam]], AC$21))) + (0*(SUMIFS(Table2[[HomeWon_]:[HomeWon_]], Table2[[GameIsOver]:[GameIsOver]],1,Table2[[AwayTeam]:[AwayTeam]],$T29, Table2[[HomeTeam]:[HomeTeam]], AC$21, Table2[[ActualResult]:[ActualResult]], "REG") + SUMIFS(Table2[[AwayWon]:[AwayWon]], Table2[[GameIsOver]:[GameIsOver]],1,Table2[[HomeTeam]:[HomeTeam]],$T29, Table2[[AwayTeam]:[AwayTeam]], AC$21, Table2[[ActualResult]:[ActualResult]], "REG"))) + (1*(SUMIFS(Table2[[HomeWon_]:[HomeWon_]], Table2[[GameIsOver]:[GameIsOver]],1,Table2[[AwayTeam]:[AwayTeam]],$T29, Table2[[HomeTeam]:[HomeTeam]], AC$21, Table2[[ActualResult]:[ActualResult]], "OT") + SUMIFS(Table2[[AwayWon]:[AwayWon]], Table2[[GameIsOver]:[GameIsOver]],1,Table2[[HomeTeam]:[HomeTeam]],$T29, Table2[[AwayTeam]:[AwayTeam]], AC$21, Table2[[ActualResult]:[ActualResult]], "OT") + SUMIFS(Table2[[HomeWon_]:[HomeWon_]], Table2[[GameIsOver]:[GameIsOver]],1,Table2[[AwayTeam]:[AwayTeam]],$T29, Table2[[HomeTeam]:[HomeTeam]], AC$21, Table2[[ActualResult]:[ActualResult]], "SO") + SUMIFS(Table2[[AwayWon]:[AwayWon]], Table2[[GameIsOver]:[GameIsOver]],1,Table2[[HomeTeam]:[HomeTeam]],$T29, Table2[[AwayTeam]:[AwayTeam]], AC$21, Table2[[ActualResult]:[ActualResult]], "SO")))</f>
        <v>0</v>
      </c>
      <c r="AD29">
        <f>(2*(SUMIFS(Table2[[AwayWon]:[AwayWon]], Table2[[GameIsOver]:[GameIsOver]],1,Table2[[AwayTeam]:[AwayTeam]],$T29, Table2[[HomeTeam]:[HomeTeam]], AD$21) + SUMIFS(Table2[[HomeWon_]:[HomeWon_]], Table2[[GameIsOver]:[GameIsOver]],1,Table2[[HomeTeam]:[HomeTeam]],$T29, Table2[[AwayTeam]:[AwayTeam]], AD$21))) + (0*(SUMIFS(Table2[[HomeWon_]:[HomeWon_]], Table2[[GameIsOver]:[GameIsOver]],1,Table2[[AwayTeam]:[AwayTeam]],$T29, Table2[[HomeTeam]:[HomeTeam]], AD$21, Table2[[ActualResult]:[ActualResult]], "REG") + SUMIFS(Table2[[AwayWon]:[AwayWon]], Table2[[GameIsOver]:[GameIsOver]],1,Table2[[HomeTeam]:[HomeTeam]],$T29, Table2[[AwayTeam]:[AwayTeam]], AD$21, Table2[[ActualResult]:[ActualResult]], "REG"))) + (1*(SUMIFS(Table2[[HomeWon_]:[HomeWon_]], Table2[[GameIsOver]:[GameIsOver]],1,Table2[[AwayTeam]:[AwayTeam]],$T29, Table2[[HomeTeam]:[HomeTeam]], AD$21, Table2[[ActualResult]:[ActualResult]], "OT") + SUMIFS(Table2[[AwayWon]:[AwayWon]], Table2[[GameIsOver]:[GameIsOver]],1,Table2[[HomeTeam]:[HomeTeam]],$T29, Table2[[AwayTeam]:[AwayTeam]], AD$21, Table2[[ActualResult]:[ActualResult]], "OT") + SUMIFS(Table2[[HomeWon_]:[HomeWon_]], Table2[[GameIsOver]:[GameIsOver]],1,Table2[[AwayTeam]:[AwayTeam]],$T29, Table2[[HomeTeam]:[HomeTeam]], AD$21, Table2[[ActualResult]:[ActualResult]], "SO") + SUMIFS(Table2[[AwayWon]:[AwayWon]], Table2[[GameIsOver]:[GameIsOver]],1,Table2[[HomeTeam]:[HomeTeam]],$T29, Table2[[AwayTeam]:[AwayTeam]], AD$21, Table2[[ActualResult]:[ActualResult]], "SO")))</f>
        <v>0</v>
      </c>
      <c r="AE29">
        <f>(2*(SUMIFS(Table2[[AwayWon]:[AwayWon]], Table2[[GameIsOver]:[GameIsOver]],1,Table2[[AwayTeam]:[AwayTeam]],$T29, Table2[[HomeTeam]:[HomeTeam]], AE$21) + SUMIFS(Table2[[HomeWon_]:[HomeWon_]], Table2[[GameIsOver]:[GameIsOver]],1,Table2[[HomeTeam]:[HomeTeam]],$T29, Table2[[AwayTeam]:[AwayTeam]], AE$21))) + (0*(SUMIFS(Table2[[HomeWon_]:[HomeWon_]], Table2[[GameIsOver]:[GameIsOver]],1,Table2[[AwayTeam]:[AwayTeam]],$T29, Table2[[HomeTeam]:[HomeTeam]], AE$21, Table2[[ActualResult]:[ActualResult]], "REG") + SUMIFS(Table2[[AwayWon]:[AwayWon]], Table2[[GameIsOver]:[GameIsOver]],1,Table2[[HomeTeam]:[HomeTeam]],$T29, Table2[[AwayTeam]:[AwayTeam]], AE$21, Table2[[ActualResult]:[ActualResult]], "REG"))) + (1*(SUMIFS(Table2[[HomeWon_]:[HomeWon_]], Table2[[GameIsOver]:[GameIsOver]],1,Table2[[AwayTeam]:[AwayTeam]],$T29, Table2[[HomeTeam]:[HomeTeam]], AE$21, Table2[[ActualResult]:[ActualResult]], "OT") + SUMIFS(Table2[[AwayWon]:[AwayWon]], Table2[[GameIsOver]:[GameIsOver]],1,Table2[[HomeTeam]:[HomeTeam]],$T29, Table2[[AwayTeam]:[AwayTeam]], AE$21, Table2[[ActualResult]:[ActualResult]], "OT") + SUMIFS(Table2[[HomeWon_]:[HomeWon_]], Table2[[GameIsOver]:[GameIsOver]],1,Table2[[AwayTeam]:[AwayTeam]],$T29, Table2[[HomeTeam]:[HomeTeam]], AE$21, Table2[[ActualResult]:[ActualResult]], "SO") + SUMIFS(Table2[[AwayWon]:[AwayWon]], Table2[[GameIsOver]:[GameIsOver]],1,Table2[[HomeTeam]:[HomeTeam]],$T29, Table2[[AwayTeam]:[AwayTeam]], AE$21, Table2[[ActualResult]:[ActualResult]], "SO")))</f>
        <v>0</v>
      </c>
      <c r="AF29">
        <f>(2*(SUMIFS(Table2[[AwayWon]:[AwayWon]], Table2[[GameIsOver]:[GameIsOver]],1,Table2[[AwayTeam]:[AwayTeam]],$T29, Table2[[HomeTeam]:[HomeTeam]], AF$21) + SUMIFS(Table2[[HomeWon_]:[HomeWon_]], Table2[[GameIsOver]:[GameIsOver]],1,Table2[[HomeTeam]:[HomeTeam]],$T29, Table2[[AwayTeam]:[AwayTeam]], AF$21))) + (0*(SUMIFS(Table2[[HomeWon_]:[HomeWon_]], Table2[[GameIsOver]:[GameIsOver]],1,Table2[[AwayTeam]:[AwayTeam]],$T29, Table2[[HomeTeam]:[HomeTeam]], AF$21, Table2[[ActualResult]:[ActualResult]], "REG") + SUMIFS(Table2[[AwayWon]:[AwayWon]], Table2[[GameIsOver]:[GameIsOver]],1,Table2[[HomeTeam]:[HomeTeam]],$T29, Table2[[AwayTeam]:[AwayTeam]], AF$21, Table2[[ActualResult]:[ActualResult]], "REG"))) + (1*(SUMIFS(Table2[[HomeWon_]:[HomeWon_]], Table2[[GameIsOver]:[GameIsOver]],1,Table2[[AwayTeam]:[AwayTeam]],$T29, Table2[[HomeTeam]:[HomeTeam]], AF$21, Table2[[ActualResult]:[ActualResult]], "OT") + SUMIFS(Table2[[AwayWon]:[AwayWon]], Table2[[GameIsOver]:[GameIsOver]],1,Table2[[HomeTeam]:[HomeTeam]],$T29, Table2[[AwayTeam]:[AwayTeam]], AF$21, Table2[[ActualResult]:[ActualResult]], "OT") + SUMIFS(Table2[[HomeWon_]:[HomeWon_]], Table2[[GameIsOver]:[GameIsOver]],1,Table2[[AwayTeam]:[AwayTeam]],$T29, Table2[[HomeTeam]:[HomeTeam]], AF$21, Table2[[ActualResult]:[ActualResult]], "SO") + SUMIFS(Table2[[AwayWon]:[AwayWon]], Table2[[GameIsOver]:[GameIsOver]],1,Table2[[HomeTeam]:[HomeTeam]],$T29, Table2[[AwayTeam]:[AwayTeam]], AF$21, Table2[[ActualResult]:[ActualResult]], "SO")))</f>
        <v>0</v>
      </c>
      <c r="AG29">
        <f>(2*(SUMIFS(Table2[[AwayWon]:[AwayWon]], Table2[[GameIsOver]:[GameIsOver]],1,Table2[[AwayTeam]:[AwayTeam]],$T29, Table2[[HomeTeam]:[HomeTeam]], AG$21) + SUMIFS(Table2[[HomeWon_]:[HomeWon_]], Table2[[GameIsOver]:[GameIsOver]],1,Table2[[HomeTeam]:[HomeTeam]],$T29, Table2[[AwayTeam]:[AwayTeam]], AG$21))) + (0*(SUMIFS(Table2[[HomeWon_]:[HomeWon_]], Table2[[GameIsOver]:[GameIsOver]],1,Table2[[AwayTeam]:[AwayTeam]],$T29, Table2[[HomeTeam]:[HomeTeam]], AG$21, Table2[[ActualResult]:[ActualResult]], "REG") + SUMIFS(Table2[[AwayWon]:[AwayWon]], Table2[[GameIsOver]:[GameIsOver]],1,Table2[[HomeTeam]:[HomeTeam]],$T29, Table2[[AwayTeam]:[AwayTeam]], AG$21, Table2[[ActualResult]:[ActualResult]], "REG"))) + (1*(SUMIFS(Table2[[HomeWon_]:[HomeWon_]], Table2[[GameIsOver]:[GameIsOver]],1,Table2[[AwayTeam]:[AwayTeam]],$T29, Table2[[HomeTeam]:[HomeTeam]], AG$21, Table2[[ActualResult]:[ActualResult]], "OT") + SUMIFS(Table2[[AwayWon]:[AwayWon]], Table2[[GameIsOver]:[GameIsOver]],1,Table2[[HomeTeam]:[HomeTeam]],$T29, Table2[[AwayTeam]:[AwayTeam]], AG$21, Table2[[ActualResult]:[ActualResult]], "OT") + SUMIFS(Table2[[HomeWon_]:[HomeWon_]], Table2[[GameIsOver]:[GameIsOver]],1,Table2[[AwayTeam]:[AwayTeam]],$T29, Table2[[HomeTeam]:[HomeTeam]], AG$21, Table2[[ActualResult]:[ActualResult]], "SO") + SUMIFS(Table2[[AwayWon]:[AwayWon]], Table2[[GameIsOver]:[GameIsOver]],1,Table2[[HomeTeam]:[HomeTeam]],$T29, Table2[[AwayTeam]:[AwayTeam]], AG$21, Table2[[ActualResult]:[ActualResult]], "SO")))</f>
        <v>2</v>
      </c>
      <c r="AH29">
        <f>(2*(SUMIFS(Table2[[AwayWon]:[AwayWon]], Table2[[GameIsOver]:[GameIsOver]],1,Table2[[AwayTeam]:[AwayTeam]],$T29, Table2[[HomeTeam]:[HomeTeam]], AH$21) + SUMIFS(Table2[[HomeWon_]:[HomeWon_]], Table2[[GameIsOver]:[GameIsOver]],1,Table2[[HomeTeam]:[HomeTeam]],$T29, Table2[[AwayTeam]:[AwayTeam]], AH$21))) + (0*(SUMIFS(Table2[[HomeWon_]:[HomeWon_]], Table2[[GameIsOver]:[GameIsOver]],1,Table2[[AwayTeam]:[AwayTeam]],$T29, Table2[[HomeTeam]:[HomeTeam]], AH$21, Table2[[ActualResult]:[ActualResult]], "REG") + SUMIFS(Table2[[AwayWon]:[AwayWon]], Table2[[GameIsOver]:[GameIsOver]],1,Table2[[HomeTeam]:[HomeTeam]],$T29, Table2[[AwayTeam]:[AwayTeam]], AH$21, Table2[[ActualResult]:[ActualResult]], "REG"))) + (1*(SUMIFS(Table2[[HomeWon_]:[HomeWon_]], Table2[[GameIsOver]:[GameIsOver]],1,Table2[[AwayTeam]:[AwayTeam]],$T29, Table2[[HomeTeam]:[HomeTeam]], AH$21, Table2[[ActualResult]:[ActualResult]], "OT") + SUMIFS(Table2[[AwayWon]:[AwayWon]], Table2[[GameIsOver]:[GameIsOver]],1,Table2[[HomeTeam]:[HomeTeam]],$T29, Table2[[AwayTeam]:[AwayTeam]], AH$21, Table2[[ActualResult]:[ActualResult]], "OT") + SUMIFS(Table2[[HomeWon_]:[HomeWon_]], Table2[[GameIsOver]:[GameIsOver]],1,Table2[[AwayTeam]:[AwayTeam]],$T29, Table2[[HomeTeam]:[HomeTeam]], AH$21, Table2[[ActualResult]:[ActualResult]], "SO") + SUMIFS(Table2[[AwayWon]:[AwayWon]], Table2[[GameIsOver]:[GameIsOver]],1,Table2[[HomeTeam]:[HomeTeam]],$T29, Table2[[AwayTeam]:[AwayTeam]], AH$21, Table2[[ActualResult]:[ActualResult]], "SO")))</f>
        <v>0</v>
      </c>
      <c r="AI29">
        <f>(2*(SUMIFS(Table2[[AwayWon]:[AwayWon]], Table2[[GameIsOver]:[GameIsOver]],1,Table2[[AwayTeam]:[AwayTeam]],$T29, Table2[[HomeTeam]:[HomeTeam]], AI$21) + SUMIFS(Table2[[HomeWon_]:[HomeWon_]], Table2[[GameIsOver]:[GameIsOver]],1,Table2[[HomeTeam]:[HomeTeam]],$T29, Table2[[AwayTeam]:[AwayTeam]], AI$21))) + (0*(SUMIFS(Table2[[HomeWon_]:[HomeWon_]], Table2[[GameIsOver]:[GameIsOver]],1,Table2[[AwayTeam]:[AwayTeam]],$T29, Table2[[HomeTeam]:[HomeTeam]], AI$21, Table2[[ActualResult]:[ActualResult]], "REG") + SUMIFS(Table2[[AwayWon]:[AwayWon]], Table2[[GameIsOver]:[GameIsOver]],1,Table2[[HomeTeam]:[HomeTeam]],$T29, Table2[[AwayTeam]:[AwayTeam]], AI$21, Table2[[ActualResult]:[ActualResult]], "REG"))) + (1*(SUMIFS(Table2[[HomeWon_]:[HomeWon_]], Table2[[GameIsOver]:[GameIsOver]],1,Table2[[AwayTeam]:[AwayTeam]],$T29, Table2[[HomeTeam]:[HomeTeam]], AI$21, Table2[[ActualResult]:[ActualResult]], "OT") + SUMIFS(Table2[[AwayWon]:[AwayWon]], Table2[[GameIsOver]:[GameIsOver]],1,Table2[[HomeTeam]:[HomeTeam]],$T29, Table2[[AwayTeam]:[AwayTeam]], AI$21, Table2[[ActualResult]:[ActualResult]], "OT") + SUMIFS(Table2[[HomeWon_]:[HomeWon_]], Table2[[GameIsOver]:[GameIsOver]],1,Table2[[AwayTeam]:[AwayTeam]],$T29, Table2[[HomeTeam]:[HomeTeam]], AI$21, Table2[[ActualResult]:[ActualResult]], "SO") + SUMIFS(Table2[[AwayWon]:[AwayWon]], Table2[[GameIsOver]:[GameIsOver]],1,Table2[[HomeTeam]:[HomeTeam]],$T29, Table2[[AwayTeam]:[AwayTeam]], AI$21, Table2[[ActualResult]:[ActualResult]], "SO")))</f>
        <v>0</v>
      </c>
      <c r="AJ29">
        <f>(2*(SUMIFS(Table2[[AwayWon]:[AwayWon]], Table2[[GameIsOver]:[GameIsOver]],1,Table2[[AwayTeam]:[AwayTeam]],$T29, Table2[[HomeTeam]:[HomeTeam]], AJ$21) + SUMIFS(Table2[[HomeWon_]:[HomeWon_]], Table2[[GameIsOver]:[GameIsOver]],1,Table2[[HomeTeam]:[HomeTeam]],$T29, Table2[[AwayTeam]:[AwayTeam]], AJ$21))) + (0*(SUMIFS(Table2[[HomeWon_]:[HomeWon_]], Table2[[GameIsOver]:[GameIsOver]],1,Table2[[AwayTeam]:[AwayTeam]],$T29, Table2[[HomeTeam]:[HomeTeam]], AJ$21, Table2[[ActualResult]:[ActualResult]], "REG") + SUMIFS(Table2[[AwayWon]:[AwayWon]], Table2[[GameIsOver]:[GameIsOver]],1,Table2[[HomeTeam]:[HomeTeam]],$T29, Table2[[AwayTeam]:[AwayTeam]], AJ$21, Table2[[ActualResult]:[ActualResult]], "REG"))) + (1*(SUMIFS(Table2[[HomeWon_]:[HomeWon_]], Table2[[GameIsOver]:[GameIsOver]],1,Table2[[AwayTeam]:[AwayTeam]],$T29, Table2[[HomeTeam]:[HomeTeam]], AJ$21, Table2[[ActualResult]:[ActualResult]], "OT") + SUMIFS(Table2[[AwayWon]:[AwayWon]], Table2[[GameIsOver]:[GameIsOver]],1,Table2[[HomeTeam]:[HomeTeam]],$T29, Table2[[AwayTeam]:[AwayTeam]], AJ$21, Table2[[ActualResult]:[ActualResult]], "OT") + SUMIFS(Table2[[HomeWon_]:[HomeWon_]], Table2[[GameIsOver]:[GameIsOver]],1,Table2[[AwayTeam]:[AwayTeam]],$T29, Table2[[HomeTeam]:[HomeTeam]], AJ$21, Table2[[ActualResult]:[ActualResult]], "SO") + SUMIFS(Table2[[AwayWon]:[AwayWon]], Table2[[GameIsOver]:[GameIsOver]],1,Table2[[HomeTeam]:[HomeTeam]],$T29, Table2[[AwayTeam]:[AwayTeam]], AJ$21, Table2[[ActualResult]:[ActualResult]], "SO")))</f>
        <v>0</v>
      </c>
      <c r="AK29">
        <f>(2*(SUMIFS(Table2[[AwayWon]:[AwayWon]], Table2[[GameIsOver]:[GameIsOver]],1,Table2[[AwayTeam]:[AwayTeam]],$T29, Table2[[HomeTeam]:[HomeTeam]], AK$21) + SUMIFS(Table2[[HomeWon_]:[HomeWon_]], Table2[[GameIsOver]:[GameIsOver]],1,Table2[[HomeTeam]:[HomeTeam]],$T29, Table2[[AwayTeam]:[AwayTeam]], AK$21))) + (0*(SUMIFS(Table2[[HomeWon_]:[HomeWon_]], Table2[[GameIsOver]:[GameIsOver]],1,Table2[[AwayTeam]:[AwayTeam]],$T29, Table2[[HomeTeam]:[HomeTeam]], AK$21, Table2[[ActualResult]:[ActualResult]], "REG") + SUMIFS(Table2[[AwayWon]:[AwayWon]], Table2[[GameIsOver]:[GameIsOver]],1,Table2[[HomeTeam]:[HomeTeam]],$T29, Table2[[AwayTeam]:[AwayTeam]], AK$21, Table2[[ActualResult]:[ActualResult]], "REG"))) + (1*(SUMIFS(Table2[[HomeWon_]:[HomeWon_]], Table2[[GameIsOver]:[GameIsOver]],1,Table2[[AwayTeam]:[AwayTeam]],$T29, Table2[[HomeTeam]:[HomeTeam]], AK$21, Table2[[ActualResult]:[ActualResult]], "OT") + SUMIFS(Table2[[AwayWon]:[AwayWon]], Table2[[GameIsOver]:[GameIsOver]],1,Table2[[HomeTeam]:[HomeTeam]],$T29, Table2[[AwayTeam]:[AwayTeam]], AK$21, Table2[[ActualResult]:[ActualResult]], "OT") + SUMIFS(Table2[[HomeWon_]:[HomeWon_]], Table2[[GameIsOver]:[GameIsOver]],1,Table2[[AwayTeam]:[AwayTeam]],$T29, Table2[[HomeTeam]:[HomeTeam]], AK$21, Table2[[ActualResult]:[ActualResult]], "SO") + SUMIFS(Table2[[AwayWon]:[AwayWon]], Table2[[GameIsOver]:[GameIsOver]],1,Table2[[HomeTeam]:[HomeTeam]],$T29, Table2[[AwayTeam]:[AwayTeam]], AK$21, Table2[[ActualResult]:[ActualResult]], "SO")))</f>
        <v>0</v>
      </c>
      <c r="AL29">
        <f>(2*(SUMIFS(Table2[[AwayWon]:[AwayWon]], Table2[[GameIsOver]:[GameIsOver]],1,Table2[[AwayTeam]:[AwayTeam]],$T29, Table2[[HomeTeam]:[HomeTeam]], AL$21) + SUMIFS(Table2[[HomeWon_]:[HomeWon_]], Table2[[GameIsOver]:[GameIsOver]],1,Table2[[HomeTeam]:[HomeTeam]],$T29, Table2[[AwayTeam]:[AwayTeam]], AL$21))) + (0*(SUMIFS(Table2[[HomeWon_]:[HomeWon_]], Table2[[GameIsOver]:[GameIsOver]],1,Table2[[AwayTeam]:[AwayTeam]],$T29, Table2[[HomeTeam]:[HomeTeam]], AL$21, Table2[[ActualResult]:[ActualResult]], "REG") + SUMIFS(Table2[[AwayWon]:[AwayWon]], Table2[[GameIsOver]:[GameIsOver]],1,Table2[[HomeTeam]:[HomeTeam]],$T29, Table2[[AwayTeam]:[AwayTeam]], AL$21, Table2[[ActualResult]:[ActualResult]], "REG"))) + (1*(SUMIFS(Table2[[HomeWon_]:[HomeWon_]], Table2[[GameIsOver]:[GameIsOver]],1,Table2[[AwayTeam]:[AwayTeam]],$T29, Table2[[HomeTeam]:[HomeTeam]], AL$21, Table2[[ActualResult]:[ActualResult]], "OT") + SUMIFS(Table2[[AwayWon]:[AwayWon]], Table2[[GameIsOver]:[GameIsOver]],1,Table2[[HomeTeam]:[HomeTeam]],$T29, Table2[[AwayTeam]:[AwayTeam]], AL$21, Table2[[ActualResult]:[ActualResult]], "OT") + SUMIFS(Table2[[HomeWon_]:[HomeWon_]], Table2[[GameIsOver]:[GameIsOver]],1,Table2[[AwayTeam]:[AwayTeam]],$T29, Table2[[HomeTeam]:[HomeTeam]], AL$21, Table2[[ActualResult]:[ActualResult]], "SO") + SUMIFS(Table2[[AwayWon]:[AwayWon]], Table2[[GameIsOver]:[GameIsOver]],1,Table2[[HomeTeam]:[HomeTeam]],$T29, Table2[[AwayTeam]:[AwayTeam]], AL$21, Table2[[ActualResult]:[ActualResult]], "SO")))</f>
        <v>1</v>
      </c>
      <c r="AM29">
        <f>(2*(SUMIFS(Table2[[AwayWon]:[AwayWon]], Table2[[GameIsOver]:[GameIsOver]],1,Table2[[AwayTeam]:[AwayTeam]],$T29, Table2[[HomeTeam]:[HomeTeam]], AM$21) + SUMIFS(Table2[[HomeWon_]:[HomeWon_]], Table2[[GameIsOver]:[GameIsOver]],1,Table2[[HomeTeam]:[HomeTeam]],$T29, Table2[[AwayTeam]:[AwayTeam]], AM$21))) + (0*(SUMIFS(Table2[[HomeWon_]:[HomeWon_]], Table2[[GameIsOver]:[GameIsOver]],1,Table2[[AwayTeam]:[AwayTeam]],$T29, Table2[[HomeTeam]:[HomeTeam]], AM$21, Table2[[ActualResult]:[ActualResult]], "REG") + SUMIFS(Table2[[AwayWon]:[AwayWon]], Table2[[GameIsOver]:[GameIsOver]],1,Table2[[HomeTeam]:[HomeTeam]],$T29, Table2[[AwayTeam]:[AwayTeam]], AM$21, Table2[[ActualResult]:[ActualResult]], "REG"))) + (1*(SUMIFS(Table2[[HomeWon_]:[HomeWon_]], Table2[[GameIsOver]:[GameIsOver]],1,Table2[[AwayTeam]:[AwayTeam]],$T29, Table2[[HomeTeam]:[HomeTeam]], AM$21, Table2[[ActualResult]:[ActualResult]], "OT") + SUMIFS(Table2[[AwayWon]:[AwayWon]], Table2[[GameIsOver]:[GameIsOver]],1,Table2[[HomeTeam]:[HomeTeam]],$T29, Table2[[AwayTeam]:[AwayTeam]], AM$21, Table2[[ActualResult]:[ActualResult]], "OT") + SUMIFS(Table2[[HomeWon_]:[HomeWon_]], Table2[[GameIsOver]:[GameIsOver]],1,Table2[[AwayTeam]:[AwayTeam]],$T29, Table2[[HomeTeam]:[HomeTeam]], AM$21, Table2[[ActualResult]:[ActualResult]], "SO") + SUMIFS(Table2[[AwayWon]:[AwayWon]], Table2[[GameIsOver]:[GameIsOver]],1,Table2[[HomeTeam]:[HomeTeam]],$T29, Table2[[AwayTeam]:[AwayTeam]], AM$21, Table2[[ActualResult]:[ActualResult]], "SO")))</f>
        <v>0</v>
      </c>
      <c r="AN29">
        <f>(2*(SUMIFS(Table2[[AwayWon]:[AwayWon]], Table2[[GameIsOver]:[GameIsOver]],1,Table2[[AwayTeam]:[AwayTeam]],$T29, Table2[[HomeTeam]:[HomeTeam]], AN$21) + SUMIFS(Table2[[HomeWon_]:[HomeWon_]], Table2[[GameIsOver]:[GameIsOver]],1,Table2[[HomeTeam]:[HomeTeam]],$T29, Table2[[AwayTeam]:[AwayTeam]], AN$21))) + (0*(SUMIFS(Table2[[HomeWon_]:[HomeWon_]], Table2[[GameIsOver]:[GameIsOver]],1,Table2[[AwayTeam]:[AwayTeam]],$T29, Table2[[HomeTeam]:[HomeTeam]], AN$21, Table2[[ActualResult]:[ActualResult]], "REG") + SUMIFS(Table2[[AwayWon]:[AwayWon]], Table2[[GameIsOver]:[GameIsOver]],1,Table2[[HomeTeam]:[HomeTeam]],$T29, Table2[[AwayTeam]:[AwayTeam]], AN$21, Table2[[ActualResult]:[ActualResult]], "REG"))) + (1*(SUMIFS(Table2[[HomeWon_]:[HomeWon_]], Table2[[GameIsOver]:[GameIsOver]],1,Table2[[AwayTeam]:[AwayTeam]],$T29, Table2[[HomeTeam]:[HomeTeam]], AN$21, Table2[[ActualResult]:[ActualResult]], "OT") + SUMIFS(Table2[[AwayWon]:[AwayWon]], Table2[[GameIsOver]:[GameIsOver]],1,Table2[[HomeTeam]:[HomeTeam]],$T29, Table2[[AwayTeam]:[AwayTeam]], AN$21, Table2[[ActualResult]:[ActualResult]], "OT") + SUMIFS(Table2[[HomeWon_]:[HomeWon_]], Table2[[GameIsOver]:[GameIsOver]],1,Table2[[AwayTeam]:[AwayTeam]],$T29, Table2[[HomeTeam]:[HomeTeam]], AN$21, Table2[[ActualResult]:[ActualResult]], "SO") + SUMIFS(Table2[[AwayWon]:[AwayWon]], Table2[[GameIsOver]:[GameIsOver]],1,Table2[[HomeTeam]:[HomeTeam]],$T29, Table2[[AwayTeam]:[AwayTeam]], AN$21, Table2[[ActualResult]:[ActualResult]], "SO")))</f>
        <v>0</v>
      </c>
      <c r="AO29">
        <f>(2*(SUMIFS(Table2[[AwayWon]:[AwayWon]], Table2[[GameIsOver]:[GameIsOver]],1,Table2[[AwayTeam]:[AwayTeam]],$T29, Table2[[HomeTeam]:[HomeTeam]], AO$21) + SUMIFS(Table2[[HomeWon_]:[HomeWon_]], Table2[[GameIsOver]:[GameIsOver]],1,Table2[[HomeTeam]:[HomeTeam]],$T29, Table2[[AwayTeam]:[AwayTeam]], AO$21))) + (0*(SUMIFS(Table2[[HomeWon_]:[HomeWon_]], Table2[[GameIsOver]:[GameIsOver]],1,Table2[[AwayTeam]:[AwayTeam]],$T29, Table2[[HomeTeam]:[HomeTeam]], AO$21, Table2[[ActualResult]:[ActualResult]], "REG") + SUMIFS(Table2[[AwayWon]:[AwayWon]], Table2[[GameIsOver]:[GameIsOver]],1,Table2[[HomeTeam]:[HomeTeam]],$T29, Table2[[AwayTeam]:[AwayTeam]], AO$21, Table2[[ActualResult]:[ActualResult]], "REG"))) + (1*(SUMIFS(Table2[[HomeWon_]:[HomeWon_]], Table2[[GameIsOver]:[GameIsOver]],1,Table2[[AwayTeam]:[AwayTeam]],$T29, Table2[[HomeTeam]:[HomeTeam]], AO$21, Table2[[ActualResult]:[ActualResult]], "OT") + SUMIFS(Table2[[AwayWon]:[AwayWon]], Table2[[GameIsOver]:[GameIsOver]],1,Table2[[HomeTeam]:[HomeTeam]],$T29, Table2[[AwayTeam]:[AwayTeam]], AO$21, Table2[[ActualResult]:[ActualResult]], "OT") + SUMIFS(Table2[[HomeWon_]:[HomeWon_]], Table2[[GameIsOver]:[GameIsOver]],1,Table2[[AwayTeam]:[AwayTeam]],$T29, Table2[[HomeTeam]:[HomeTeam]], AO$21, Table2[[ActualResult]:[ActualResult]], "SO") + SUMIFS(Table2[[AwayWon]:[AwayWon]], Table2[[GameIsOver]:[GameIsOver]],1,Table2[[HomeTeam]:[HomeTeam]],$T29, Table2[[AwayTeam]:[AwayTeam]], AO$21, Table2[[ActualResult]:[ActualResult]], "SO")))</f>
        <v>0</v>
      </c>
      <c r="AP29">
        <f>(2*(SUMIFS(Table2[[AwayWon]:[AwayWon]], Table2[[GameIsOver]:[GameIsOver]],1,Table2[[AwayTeam]:[AwayTeam]],$T29, Table2[[HomeTeam]:[HomeTeam]], AP$21) + SUMIFS(Table2[[HomeWon_]:[HomeWon_]], Table2[[GameIsOver]:[GameIsOver]],1,Table2[[HomeTeam]:[HomeTeam]],$T29, Table2[[AwayTeam]:[AwayTeam]], AP$21))) + (0*(SUMIFS(Table2[[HomeWon_]:[HomeWon_]], Table2[[GameIsOver]:[GameIsOver]],1,Table2[[AwayTeam]:[AwayTeam]],$T29, Table2[[HomeTeam]:[HomeTeam]], AP$21, Table2[[ActualResult]:[ActualResult]], "REG") + SUMIFS(Table2[[AwayWon]:[AwayWon]], Table2[[GameIsOver]:[GameIsOver]],1,Table2[[HomeTeam]:[HomeTeam]],$T29, Table2[[AwayTeam]:[AwayTeam]], AP$21, Table2[[ActualResult]:[ActualResult]], "REG"))) + (1*(SUMIFS(Table2[[HomeWon_]:[HomeWon_]], Table2[[GameIsOver]:[GameIsOver]],1,Table2[[AwayTeam]:[AwayTeam]],$T29, Table2[[HomeTeam]:[HomeTeam]], AP$21, Table2[[ActualResult]:[ActualResult]], "OT") + SUMIFS(Table2[[AwayWon]:[AwayWon]], Table2[[GameIsOver]:[GameIsOver]],1,Table2[[HomeTeam]:[HomeTeam]],$T29, Table2[[AwayTeam]:[AwayTeam]], AP$21, Table2[[ActualResult]:[ActualResult]], "OT") + SUMIFS(Table2[[HomeWon_]:[HomeWon_]], Table2[[GameIsOver]:[GameIsOver]],1,Table2[[AwayTeam]:[AwayTeam]],$T29, Table2[[HomeTeam]:[HomeTeam]], AP$21, Table2[[ActualResult]:[ActualResult]], "SO") + SUMIFS(Table2[[AwayWon]:[AwayWon]], Table2[[GameIsOver]:[GameIsOver]],1,Table2[[HomeTeam]:[HomeTeam]],$T29, Table2[[AwayTeam]:[AwayTeam]], AP$21, Table2[[ActualResult]:[ActualResult]], "SO")))</f>
        <v>0</v>
      </c>
      <c r="AQ29">
        <f>(2*(SUMIFS(Table2[[AwayWon]:[AwayWon]], Table2[[GameIsOver]:[GameIsOver]],1,Table2[[AwayTeam]:[AwayTeam]],$T29, Table2[[HomeTeam]:[HomeTeam]], AQ$21) + SUMIFS(Table2[[HomeWon_]:[HomeWon_]], Table2[[GameIsOver]:[GameIsOver]],1,Table2[[HomeTeam]:[HomeTeam]],$T29, Table2[[AwayTeam]:[AwayTeam]], AQ$21))) + (0*(SUMIFS(Table2[[HomeWon_]:[HomeWon_]], Table2[[GameIsOver]:[GameIsOver]],1,Table2[[AwayTeam]:[AwayTeam]],$T29, Table2[[HomeTeam]:[HomeTeam]], AQ$21, Table2[[ActualResult]:[ActualResult]], "REG") + SUMIFS(Table2[[AwayWon]:[AwayWon]], Table2[[GameIsOver]:[GameIsOver]],1,Table2[[HomeTeam]:[HomeTeam]],$T29, Table2[[AwayTeam]:[AwayTeam]], AQ$21, Table2[[ActualResult]:[ActualResult]], "REG"))) + (1*(SUMIFS(Table2[[HomeWon_]:[HomeWon_]], Table2[[GameIsOver]:[GameIsOver]],1,Table2[[AwayTeam]:[AwayTeam]],$T29, Table2[[HomeTeam]:[HomeTeam]], AQ$21, Table2[[ActualResult]:[ActualResult]], "OT") + SUMIFS(Table2[[AwayWon]:[AwayWon]], Table2[[GameIsOver]:[GameIsOver]],1,Table2[[HomeTeam]:[HomeTeam]],$T29, Table2[[AwayTeam]:[AwayTeam]], AQ$21, Table2[[ActualResult]:[ActualResult]], "OT") + SUMIFS(Table2[[HomeWon_]:[HomeWon_]], Table2[[GameIsOver]:[GameIsOver]],1,Table2[[AwayTeam]:[AwayTeam]],$T29, Table2[[HomeTeam]:[HomeTeam]], AQ$21, Table2[[ActualResult]:[ActualResult]], "SO") + SUMIFS(Table2[[AwayWon]:[AwayWon]], Table2[[GameIsOver]:[GameIsOver]],1,Table2[[HomeTeam]:[HomeTeam]],$T29, Table2[[AwayTeam]:[AwayTeam]], AQ$21, Table2[[ActualResult]:[ActualResult]], "SO")))</f>
        <v>0</v>
      </c>
      <c r="AR29">
        <f>(2*(SUMIFS(Table2[[AwayWon]:[AwayWon]], Table2[[GameIsOver]:[GameIsOver]],1,Table2[[AwayTeam]:[AwayTeam]],$T29, Table2[[HomeTeam]:[HomeTeam]], AR$21) + SUMIFS(Table2[[HomeWon_]:[HomeWon_]], Table2[[GameIsOver]:[GameIsOver]],1,Table2[[HomeTeam]:[HomeTeam]],$T29, Table2[[AwayTeam]:[AwayTeam]], AR$21))) + (0*(SUMIFS(Table2[[HomeWon_]:[HomeWon_]], Table2[[GameIsOver]:[GameIsOver]],1,Table2[[AwayTeam]:[AwayTeam]],$T29, Table2[[HomeTeam]:[HomeTeam]], AR$21, Table2[[ActualResult]:[ActualResult]], "REG") + SUMIFS(Table2[[AwayWon]:[AwayWon]], Table2[[GameIsOver]:[GameIsOver]],1,Table2[[HomeTeam]:[HomeTeam]],$T29, Table2[[AwayTeam]:[AwayTeam]], AR$21, Table2[[ActualResult]:[ActualResult]], "REG"))) + (1*(SUMIFS(Table2[[HomeWon_]:[HomeWon_]], Table2[[GameIsOver]:[GameIsOver]],1,Table2[[AwayTeam]:[AwayTeam]],$T29, Table2[[HomeTeam]:[HomeTeam]], AR$21, Table2[[ActualResult]:[ActualResult]], "OT") + SUMIFS(Table2[[AwayWon]:[AwayWon]], Table2[[GameIsOver]:[GameIsOver]],1,Table2[[HomeTeam]:[HomeTeam]],$T29, Table2[[AwayTeam]:[AwayTeam]], AR$21, Table2[[ActualResult]:[ActualResult]], "OT") + SUMIFS(Table2[[HomeWon_]:[HomeWon_]], Table2[[GameIsOver]:[GameIsOver]],1,Table2[[AwayTeam]:[AwayTeam]],$T29, Table2[[HomeTeam]:[HomeTeam]], AR$21, Table2[[ActualResult]:[ActualResult]], "SO") + SUMIFS(Table2[[AwayWon]:[AwayWon]], Table2[[GameIsOver]:[GameIsOver]],1,Table2[[HomeTeam]:[HomeTeam]],$T29, Table2[[AwayTeam]:[AwayTeam]], AR$21, Table2[[ActualResult]:[ActualResult]], "SO")))</f>
        <v>0</v>
      </c>
      <c r="AS29">
        <f>(2*(SUMIFS(Table2[[AwayWon]:[AwayWon]], Table2[[GameIsOver]:[GameIsOver]],1,Table2[[AwayTeam]:[AwayTeam]],$T29, Table2[[HomeTeam]:[HomeTeam]], AS$21) + SUMIFS(Table2[[HomeWon_]:[HomeWon_]], Table2[[GameIsOver]:[GameIsOver]],1,Table2[[HomeTeam]:[HomeTeam]],$T29, Table2[[AwayTeam]:[AwayTeam]], AS$21))) + (0*(SUMIFS(Table2[[HomeWon_]:[HomeWon_]], Table2[[GameIsOver]:[GameIsOver]],1,Table2[[AwayTeam]:[AwayTeam]],$T29, Table2[[HomeTeam]:[HomeTeam]], AS$21, Table2[[ActualResult]:[ActualResult]], "REG") + SUMIFS(Table2[[AwayWon]:[AwayWon]], Table2[[GameIsOver]:[GameIsOver]],1,Table2[[HomeTeam]:[HomeTeam]],$T29, Table2[[AwayTeam]:[AwayTeam]], AS$21, Table2[[ActualResult]:[ActualResult]], "REG"))) + (1*(SUMIFS(Table2[[HomeWon_]:[HomeWon_]], Table2[[GameIsOver]:[GameIsOver]],1,Table2[[AwayTeam]:[AwayTeam]],$T29, Table2[[HomeTeam]:[HomeTeam]], AS$21, Table2[[ActualResult]:[ActualResult]], "OT") + SUMIFS(Table2[[AwayWon]:[AwayWon]], Table2[[GameIsOver]:[GameIsOver]],1,Table2[[HomeTeam]:[HomeTeam]],$T29, Table2[[AwayTeam]:[AwayTeam]], AS$21, Table2[[ActualResult]:[ActualResult]], "OT") + SUMIFS(Table2[[HomeWon_]:[HomeWon_]], Table2[[GameIsOver]:[GameIsOver]],1,Table2[[AwayTeam]:[AwayTeam]],$T29, Table2[[HomeTeam]:[HomeTeam]], AS$21, Table2[[ActualResult]:[ActualResult]], "SO") + SUMIFS(Table2[[AwayWon]:[AwayWon]], Table2[[GameIsOver]:[GameIsOver]],1,Table2[[HomeTeam]:[HomeTeam]],$T29, Table2[[AwayTeam]:[AwayTeam]], AS$21, Table2[[ActualResult]:[ActualResult]], "SO")))</f>
        <v>0</v>
      </c>
      <c r="AT29">
        <f>(2*(SUMIFS(Table2[[AwayWon]:[AwayWon]], Table2[[GameIsOver]:[GameIsOver]],1,Table2[[AwayTeam]:[AwayTeam]],$T29, Table2[[HomeTeam]:[HomeTeam]], AT$21) + SUMIFS(Table2[[HomeWon_]:[HomeWon_]], Table2[[GameIsOver]:[GameIsOver]],1,Table2[[HomeTeam]:[HomeTeam]],$T29, Table2[[AwayTeam]:[AwayTeam]], AT$21))) + (0*(SUMIFS(Table2[[HomeWon_]:[HomeWon_]], Table2[[GameIsOver]:[GameIsOver]],1,Table2[[AwayTeam]:[AwayTeam]],$T29, Table2[[HomeTeam]:[HomeTeam]], AT$21, Table2[[ActualResult]:[ActualResult]], "REG") + SUMIFS(Table2[[AwayWon]:[AwayWon]], Table2[[GameIsOver]:[GameIsOver]],1,Table2[[HomeTeam]:[HomeTeam]],$T29, Table2[[AwayTeam]:[AwayTeam]], AT$21, Table2[[ActualResult]:[ActualResult]], "REG"))) + (1*(SUMIFS(Table2[[HomeWon_]:[HomeWon_]], Table2[[GameIsOver]:[GameIsOver]],1,Table2[[AwayTeam]:[AwayTeam]],$T29, Table2[[HomeTeam]:[HomeTeam]], AT$21, Table2[[ActualResult]:[ActualResult]], "OT") + SUMIFS(Table2[[AwayWon]:[AwayWon]], Table2[[GameIsOver]:[GameIsOver]],1,Table2[[HomeTeam]:[HomeTeam]],$T29, Table2[[AwayTeam]:[AwayTeam]], AT$21, Table2[[ActualResult]:[ActualResult]], "OT") + SUMIFS(Table2[[HomeWon_]:[HomeWon_]], Table2[[GameIsOver]:[GameIsOver]],1,Table2[[AwayTeam]:[AwayTeam]],$T29, Table2[[HomeTeam]:[HomeTeam]], AT$21, Table2[[ActualResult]:[ActualResult]], "SO") + SUMIFS(Table2[[AwayWon]:[AwayWon]], Table2[[GameIsOver]:[GameIsOver]],1,Table2[[HomeTeam]:[HomeTeam]],$T29, Table2[[AwayTeam]:[AwayTeam]], AT$21, Table2[[ActualResult]:[ActualResult]], "SO")))</f>
        <v>0</v>
      </c>
      <c r="AU29">
        <f>(2*(SUMIFS(Table2[[AwayWon]:[AwayWon]], Table2[[GameIsOver]:[GameIsOver]],1,Table2[[AwayTeam]:[AwayTeam]],$T29, Table2[[HomeTeam]:[HomeTeam]], AU$21) + SUMIFS(Table2[[HomeWon_]:[HomeWon_]], Table2[[GameIsOver]:[GameIsOver]],1,Table2[[HomeTeam]:[HomeTeam]],$T29, Table2[[AwayTeam]:[AwayTeam]], AU$21))) + (0*(SUMIFS(Table2[[HomeWon_]:[HomeWon_]], Table2[[GameIsOver]:[GameIsOver]],1,Table2[[AwayTeam]:[AwayTeam]],$T29, Table2[[HomeTeam]:[HomeTeam]], AU$21, Table2[[ActualResult]:[ActualResult]], "REG") + SUMIFS(Table2[[AwayWon]:[AwayWon]], Table2[[GameIsOver]:[GameIsOver]],1,Table2[[HomeTeam]:[HomeTeam]],$T29, Table2[[AwayTeam]:[AwayTeam]], AU$21, Table2[[ActualResult]:[ActualResult]], "REG"))) + (1*(SUMIFS(Table2[[HomeWon_]:[HomeWon_]], Table2[[GameIsOver]:[GameIsOver]],1,Table2[[AwayTeam]:[AwayTeam]],$T29, Table2[[HomeTeam]:[HomeTeam]], AU$21, Table2[[ActualResult]:[ActualResult]], "OT") + SUMIFS(Table2[[AwayWon]:[AwayWon]], Table2[[GameIsOver]:[GameIsOver]],1,Table2[[HomeTeam]:[HomeTeam]],$T29, Table2[[AwayTeam]:[AwayTeam]], AU$21, Table2[[ActualResult]:[ActualResult]], "OT") + SUMIFS(Table2[[HomeWon_]:[HomeWon_]], Table2[[GameIsOver]:[GameIsOver]],1,Table2[[AwayTeam]:[AwayTeam]],$T29, Table2[[HomeTeam]:[HomeTeam]], AU$21, Table2[[ActualResult]:[ActualResult]], "SO") + SUMIFS(Table2[[AwayWon]:[AwayWon]], Table2[[GameIsOver]:[GameIsOver]],1,Table2[[HomeTeam]:[HomeTeam]],$T29, Table2[[AwayTeam]:[AwayTeam]], AU$21, Table2[[ActualResult]:[ActualResult]], "SO")))</f>
        <v>0</v>
      </c>
      <c r="AV29">
        <f>(2*(SUMIFS(Table2[[AwayWon]:[AwayWon]], Table2[[GameIsOver]:[GameIsOver]],1,Table2[[AwayTeam]:[AwayTeam]],$T29, Table2[[HomeTeam]:[HomeTeam]], AV$21) + SUMIFS(Table2[[HomeWon_]:[HomeWon_]], Table2[[GameIsOver]:[GameIsOver]],1,Table2[[HomeTeam]:[HomeTeam]],$T29, Table2[[AwayTeam]:[AwayTeam]], AV$21))) + (0*(SUMIFS(Table2[[HomeWon_]:[HomeWon_]], Table2[[GameIsOver]:[GameIsOver]],1,Table2[[AwayTeam]:[AwayTeam]],$T29, Table2[[HomeTeam]:[HomeTeam]], AV$21, Table2[[ActualResult]:[ActualResult]], "REG") + SUMIFS(Table2[[AwayWon]:[AwayWon]], Table2[[GameIsOver]:[GameIsOver]],1,Table2[[HomeTeam]:[HomeTeam]],$T29, Table2[[AwayTeam]:[AwayTeam]], AV$21, Table2[[ActualResult]:[ActualResult]], "REG"))) + (1*(SUMIFS(Table2[[HomeWon_]:[HomeWon_]], Table2[[GameIsOver]:[GameIsOver]],1,Table2[[AwayTeam]:[AwayTeam]],$T29, Table2[[HomeTeam]:[HomeTeam]], AV$21, Table2[[ActualResult]:[ActualResult]], "OT") + SUMIFS(Table2[[AwayWon]:[AwayWon]], Table2[[GameIsOver]:[GameIsOver]],1,Table2[[HomeTeam]:[HomeTeam]],$T29, Table2[[AwayTeam]:[AwayTeam]], AV$21, Table2[[ActualResult]:[ActualResult]], "OT") + SUMIFS(Table2[[HomeWon_]:[HomeWon_]], Table2[[GameIsOver]:[GameIsOver]],1,Table2[[AwayTeam]:[AwayTeam]],$T29, Table2[[HomeTeam]:[HomeTeam]], AV$21, Table2[[ActualResult]:[ActualResult]], "SO") + SUMIFS(Table2[[AwayWon]:[AwayWon]], Table2[[GameIsOver]:[GameIsOver]],1,Table2[[HomeTeam]:[HomeTeam]],$T29, Table2[[AwayTeam]:[AwayTeam]], AV$21, Table2[[ActualResult]:[ActualResult]], "SO")))</f>
        <v>0</v>
      </c>
      <c r="AW29">
        <f>(2*(SUMIFS(Table2[[AwayWon]:[AwayWon]], Table2[[GameIsOver]:[GameIsOver]],1,Table2[[AwayTeam]:[AwayTeam]],$T29, Table2[[HomeTeam]:[HomeTeam]], AW$21) + SUMIFS(Table2[[HomeWon_]:[HomeWon_]], Table2[[GameIsOver]:[GameIsOver]],1,Table2[[HomeTeam]:[HomeTeam]],$T29, Table2[[AwayTeam]:[AwayTeam]], AW$21))) + (0*(SUMIFS(Table2[[HomeWon_]:[HomeWon_]], Table2[[GameIsOver]:[GameIsOver]],1,Table2[[AwayTeam]:[AwayTeam]],$T29, Table2[[HomeTeam]:[HomeTeam]], AW$21, Table2[[ActualResult]:[ActualResult]], "REG") + SUMIFS(Table2[[AwayWon]:[AwayWon]], Table2[[GameIsOver]:[GameIsOver]],1,Table2[[HomeTeam]:[HomeTeam]],$T29, Table2[[AwayTeam]:[AwayTeam]], AW$21, Table2[[ActualResult]:[ActualResult]], "REG"))) + (1*(SUMIFS(Table2[[HomeWon_]:[HomeWon_]], Table2[[GameIsOver]:[GameIsOver]],1,Table2[[AwayTeam]:[AwayTeam]],$T29, Table2[[HomeTeam]:[HomeTeam]], AW$21, Table2[[ActualResult]:[ActualResult]], "OT") + SUMIFS(Table2[[AwayWon]:[AwayWon]], Table2[[GameIsOver]:[GameIsOver]],1,Table2[[HomeTeam]:[HomeTeam]],$T29, Table2[[AwayTeam]:[AwayTeam]], AW$21, Table2[[ActualResult]:[ActualResult]], "OT") + SUMIFS(Table2[[HomeWon_]:[HomeWon_]], Table2[[GameIsOver]:[GameIsOver]],1,Table2[[AwayTeam]:[AwayTeam]],$T29, Table2[[HomeTeam]:[HomeTeam]], AW$21, Table2[[ActualResult]:[ActualResult]], "SO") + SUMIFS(Table2[[AwayWon]:[AwayWon]], Table2[[GameIsOver]:[GameIsOver]],1,Table2[[HomeTeam]:[HomeTeam]],$T29, Table2[[AwayTeam]:[AwayTeam]], AW$21, Table2[[ActualResult]:[ActualResult]], "SO")))</f>
        <v>2</v>
      </c>
      <c r="AX29">
        <f>(2*(SUMIFS(Table2[[AwayWon]:[AwayWon]], Table2[[GameIsOver]:[GameIsOver]],1,Table2[[AwayTeam]:[AwayTeam]],$T29, Table2[[HomeTeam]:[HomeTeam]], AX$21) + SUMIFS(Table2[[HomeWon_]:[HomeWon_]], Table2[[GameIsOver]:[GameIsOver]],1,Table2[[HomeTeam]:[HomeTeam]],$T29, Table2[[AwayTeam]:[AwayTeam]], AX$21))) + (0*(SUMIFS(Table2[[HomeWon_]:[HomeWon_]], Table2[[GameIsOver]:[GameIsOver]],1,Table2[[AwayTeam]:[AwayTeam]],$T29, Table2[[HomeTeam]:[HomeTeam]], AX$21, Table2[[ActualResult]:[ActualResult]], "REG") + SUMIFS(Table2[[AwayWon]:[AwayWon]], Table2[[GameIsOver]:[GameIsOver]],1,Table2[[HomeTeam]:[HomeTeam]],$T29, Table2[[AwayTeam]:[AwayTeam]], AX$21, Table2[[ActualResult]:[ActualResult]], "REG"))) + (1*(SUMIFS(Table2[[HomeWon_]:[HomeWon_]], Table2[[GameIsOver]:[GameIsOver]],1,Table2[[AwayTeam]:[AwayTeam]],$T29, Table2[[HomeTeam]:[HomeTeam]], AX$21, Table2[[ActualResult]:[ActualResult]], "OT") + SUMIFS(Table2[[AwayWon]:[AwayWon]], Table2[[GameIsOver]:[GameIsOver]],1,Table2[[HomeTeam]:[HomeTeam]],$T29, Table2[[AwayTeam]:[AwayTeam]], AX$21, Table2[[ActualResult]:[ActualResult]], "OT") + SUMIFS(Table2[[HomeWon_]:[HomeWon_]], Table2[[GameIsOver]:[GameIsOver]],1,Table2[[AwayTeam]:[AwayTeam]],$T29, Table2[[HomeTeam]:[HomeTeam]], AX$21, Table2[[ActualResult]:[ActualResult]], "SO") + SUMIFS(Table2[[AwayWon]:[AwayWon]], Table2[[GameIsOver]:[GameIsOver]],1,Table2[[HomeTeam]:[HomeTeam]],$T29, Table2[[AwayTeam]:[AwayTeam]], AX$21, Table2[[ActualResult]:[ActualResult]], "SO")))</f>
        <v>0</v>
      </c>
      <c r="AY29">
        <f>(2*(SUMIFS(Table2[[AwayWon]:[AwayWon]], Table2[[GameIsOver]:[GameIsOver]],1,Table2[[AwayTeam]:[AwayTeam]],$T29, Table2[[HomeTeam]:[HomeTeam]], AY$21) + SUMIFS(Table2[[HomeWon_]:[HomeWon_]], Table2[[GameIsOver]:[GameIsOver]],1,Table2[[HomeTeam]:[HomeTeam]],$T29, Table2[[AwayTeam]:[AwayTeam]], AY$21))) + (0*(SUMIFS(Table2[[HomeWon_]:[HomeWon_]], Table2[[GameIsOver]:[GameIsOver]],1,Table2[[AwayTeam]:[AwayTeam]],$T29, Table2[[HomeTeam]:[HomeTeam]], AY$21, Table2[[ActualResult]:[ActualResult]], "REG") + SUMIFS(Table2[[AwayWon]:[AwayWon]], Table2[[GameIsOver]:[GameIsOver]],1,Table2[[HomeTeam]:[HomeTeam]],$T29, Table2[[AwayTeam]:[AwayTeam]], AY$21, Table2[[ActualResult]:[ActualResult]], "REG"))) + (1*(SUMIFS(Table2[[HomeWon_]:[HomeWon_]], Table2[[GameIsOver]:[GameIsOver]],1,Table2[[AwayTeam]:[AwayTeam]],$T29, Table2[[HomeTeam]:[HomeTeam]], AY$21, Table2[[ActualResult]:[ActualResult]], "OT") + SUMIFS(Table2[[AwayWon]:[AwayWon]], Table2[[GameIsOver]:[GameIsOver]],1,Table2[[HomeTeam]:[HomeTeam]],$T29, Table2[[AwayTeam]:[AwayTeam]], AY$21, Table2[[ActualResult]:[ActualResult]], "OT") + SUMIFS(Table2[[HomeWon_]:[HomeWon_]], Table2[[GameIsOver]:[GameIsOver]],1,Table2[[AwayTeam]:[AwayTeam]],$T29, Table2[[HomeTeam]:[HomeTeam]], AY$21, Table2[[ActualResult]:[ActualResult]], "SO") + SUMIFS(Table2[[AwayWon]:[AwayWon]], Table2[[GameIsOver]:[GameIsOver]],1,Table2[[HomeTeam]:[HomeTeam]],$T29, Table2[[AwayTeam]:[AwayTeam]], AY$21, Table2[[ActualResult]:[ActualResult]], "SO")))</f>
        <v>0</v>
      </c>
      <c r="AZ29">
        <f>(2*(SUMIFS(Table2[[AwayWon]:[AwayWon]], Table2[[GameIsOver]:[GameIsOver]],1,Table2[[AwayTeam]:[AwayTeam]],$T29, Table2[[HomeTeam]:[HomeTeam]], AZ$21) + SUMIFS(Table2[[HomeWon_]:[HomeWon_]], Table2[[GameIsOver]:[GameIsOver]],1,Table2[[HomeTeam]:[HomeTeam]],$T29, Table2[[AwayTeam]:[AwayTeam]], AZ$21))) + (0*(SUMIFS(Table2[[HomeWon_]:[HomeWon_]], Table2[[GameIsOver]:[GameIsOver]],1,Table2[[AwayTeam]:[AwayTeam]],$T29, Table2[[HomeTeam]:[HomeTeam]], AZ$21, Table2[[ActualResult]:[ActualResult]], "REG") + SUMIFS(Table2[[AwayWon]:[AwayWon]], Table2[[GameIsOver]:[GameIsOver]],1,Table2[[HomeTeam]:[HomeTeam]],$T29, Table2[[AwayTeam]:[AwayTeam]], AZ$21, Table2[[ActualResult]:[ActualResult]], "REG"))) + (1*(SUMIFS(Table2[[HomeWon_]:[HomeWon_]], Table2[[GameIsOver]:[GameIsOver]],1,Table2[[AwayTeam]:[AwayTeam]],$T29, Table2[[HomeTeam]:[HomeTeam]], AZ$21, Table2[[ActualResult]:[ActualResult]], "OT") + SUMIFS(Table2[[AwayWon]:[AwayWon]], Table2[[GameIsOver]:[GameIsOver]],1,Table2[[HomeTeam]:[HomeTeam]],$T29, Table2[[AwayTeam]:[AwayTeam]], AZ$21, Table2[[ActualResult]:[ActualResult]], "OT") + SUMIFS(Table2[[HomeWon_]:[HomeWon_]], Table2[[GameIsOver]:[GameIsOver]],1,Table2[[AwayTeam]:[AwayTeam]],$T29, Table2[[HomeTeam]:[HomeTeam]], AZ$21, Table2[[ActualResult]:[ActualResult]], "SO") + SUMIFS(Table2[[AwayWon]:[AwayWon]], Table2[[GameIsOver]:[GameIsOver]],1,Table2[[HomeTeam]:[HomeTeam]],$T29, Table2[[AwayTeam]:[AwayTeam]], AZ$21, Table2[[ActualResult]:[ActualResult]], "SO")))</f>
        <v>0</v>
      </c>
      <c r="BA29">
        <f>(2*(SUMIFS(Table2[[AwayWon]:[AwayWon]], Table2[[GameIsOver]:[GameIsOver]],1,Table2[[AwayTeam]:[AwayTeam]],$T29, Table2[[HomeTeam]:[HomeTeam]], BA$21) + SUMIFS(Table2[[HomeWon_]:[HomeWon_]], Table2[[GameIsOver]:[GameIsOver]],1,Table2[[HomeTeam]:[HomeTeam]],$T29, Table2[[AwayTeam]:[AwayTeam]], BA$21))) + (0*(SUMIFS(Table2[[HomeWon_]:[HomeWon_]], Table2[[GameIsOver]:[GameIsOver]],1,Table2[[AwayTeam]:[AwayTeam]],$T29, Table2[[HomeTeam]:[HomeTeam]], BA$21, Table2[[ActualResult]:[ActualResult]], "REG") + SUMIFS(Table2[[AwayWon]:[AwayWon]], Table2[[GameIsOver]:[GameIsOver]],1,Table2[[HomeTeam]:[HomeTeam]],$T29, Table2[[AwayTeam]:[AwayTeam]], BA$21, Table2[[ActualResult]:[ActualResult]], "REG"))) + (1*(SUMIFS(Table2[[HomeWon_]:[HomeWon_]], Table2[[GameIsOver]:[GameIsOver]],1,Table2[[AwayTeam]:[AwayTeam]],$T29, Table2[[HomeTeam]:[HomeTeam]], BA$21, Table2[[ActualResult]:[ActualResult]], "OT") + SUMIFS(Table2[[AwayWon]:[AwayWon]], Table2[[GameIsOver]:[GameIsOver]],1,Table2[[HomeTeam]:[HomeTeam]],$T29, Table2[[AwayTeam]:[AwayTeam]], BA$21, Table2[[ActualResult]:[ActualResult]], "OT") + SUMIFS(Table2[[HomeWon_]:[HomeWon_]], Table2[[GameIsOver]:[GameIsOver]],1,Table2[[AwayTeam]:[AwayTeam]],$T29, Table2[[HomeTeam]:[HomeTeam]], BA$21, Table2[[ActualResult]:[ActualResult]], "SO") + SUMIFS(Table2[[AwayWon]:[AwayWon]], Table2[[GameIsOver]:[GameIsOver]],1,Table2[[HomeTeam]:[HomeTeam]],$T29, Table2[[AwayTeam]:[AwayTeam]], BA$21, Table2[[ActualResult]:[ActualResult]], "SO")))</f>
        <v>0</v>
      </c>
    </row>
    <row r="30" spans="1:53" x14ac:dyDescent="0.25">
      <c r="A30" s="61" t="s">
        <v>24</v>
      </c>
      <c r="B30" s="61" t="s">
        <v>90</v>
      </c>
      <c r="C30" s="61" t="s">
        <v>93</v>
      </c>
      <c r="D30" s="62">
        <f>INDEX(Table3[PTS], MATCH(Table6[[#This Row],[Teams]], Table3[Teams],0))</f>
        <v>8</v>
      </c>
      <c r="E30" s="62">
        <f>INDEX(Table3[PTS], MATCH(Table6[[#This Row],[Teams]], Table3[Teams],0))</f>
        <v>8</v>
      </c>
    </row>
    <row r="31" spans="1:53" x14ac:dyDescent="0.25">
      <c r="A31" s="62" t="s">
        <v>26</v>
      </c>
      <c r="B31" s="62" t="s">
        <v>90</v>
      </c>
      <c r="C31" s="62" t="s">
        <v>93</v>
      </c>
      <c r="D31" s="62">
        <f>INDEX(Table3[PTS], MATCH(Table6[[#This Row],[Teams]], Table3[Teams],0))</f>
        <v>12</v>
      </c>
      <c r="E31" s="62">
        <f>INDEX(Table3[PTS], MATCH(Table6[[#This Row],[Teams]], Table3[Teams],0))</f>
        <v>12</v>
      </c>
      <c r="S31" t="s">
        <v>524</v>
      </c>
      <c r="T31" t="s">
        <v>39</v>
      </c>
      <c r="U31" t="s">
        <v>512</v>
      </c>
      <c r="V31" t="s">
        <v>44</v>
      </c>
      <c r="W31" t="s">
        <v>23</v>
      </c>
      <c r="X31" t="s">
        <v>22</v>
      </c>
      <c r="Y31" t="s">
        <v>27</v>
      </c>
      <c r="Z31" t="s">
        <v>11</v>
      </c>
      <c r="AA31" t="s">
        <v>37</v>
      </c>
      <c r="AB31" t="s">
        <v>24</v>
      </c>
      <c r="AC31" t="s">
        <v>26</v>
      </c>
      <c r="AD31" t="s">
        <v>16</v>
      </c>
      <c r="AE31" t="s">
        <v>25</v>
      </c>
      <c r="AF31" t="s">
        <v>33</v>
      </c>
      <c r="AG31" t="s">
        <v>36</v>
      </c>
      <c r="AH31" t="s">
        <v>34</v>
      </c>
      <c r="AI31" t="s">
        <v>12</v>
      </c>
      <c r="AJ31" t="s">
        <v>14</v>
      </c>
      <c r="AK31" t="s">
        <v>21</v>
      </c>
      <c r="AL31" t="s">
        <v>41</v>
      </c>
      <c r="AM31" t="s">
        <v>35</v>
      </c>
      <c r="AN31" t="s">
        <v>31</v>
      </c>
      <c r="AO31" t="s">
        <v>32</v>
      </c>
      <c r="AP31" t="s">
        <v>19</v>
      </c>
      <c r="AQ31" t="s">
        <v>42</v>
      </c>
      <c r="AR31" t="s">
        <v>20</v>
      </c>
      <c r="AS31" t="s">
        <v>43</v>
      </c>
      <c r="AT31" t="s">
        <v>15</v>
      </c>
      <c r="AU31" t="s">
        <v>28</v>
      </c>
      <c r="AV31" t="s">
        <v>30</v>
      </c>
      <c r="AW31" t="s">
        <v>13</v>
      </c>
      <c r="AX31" t="s">
        <v>18</v>
      </c>
      <c r="AY31" t="s">
        <v>29</v>
      </c>
      <c r="AZ31" t="s">
        <v>40</v>
      </c>
      <c r="BA31" t="s">
        <v>17</v>
      </c>
    </row>
    <row r="32" spans="1:53" x14ac:dyDescent="0.25">
      <c r="A32" s="61" t="s">
        <v>21</v>
      </c>
      <c r="B32" s="61" t="s">
        <v>90</v>
      </c>
      <c r="C32" s="61" t="s">
        <v>88</v>
      </c>
      <c r="D32" s="62">
        <f>INDEX(Table3[PTS], MATCH(Table6[[#This Row],[Teams]], Table3[Teams],0))</f>
        <v>10</v>
      </c>
      <c r="E32" s="62">
        <f>INDEX(Table3[PTS], MATCH(Table6[[#This Row],[Teams]], Table3[Teams],0))</f>
        <v>10</v>
      </c>
      <c r="S32">
        <v>8</v>
      </c>
      <c r="T32" t="str" cm="1">
        <f t="array" ref="T32">INDEX(Table6[Teams], SMALL(IF(Table6[D]="A", ROW(Table6[Teams])-ROW(Table6[#Headers])), Table71214[[#This Row],[ATL]]))</f>
        <v>TOR</v>
      </c>
      <c r="U32">
        <f>INDEX(Table6[PTS], MATCH($T32, Table6[Teams], 0))</f>
        <v>7</v>
      </c>
      <c r="V32">
        <f>(2*(SUMIFS(Table2[[AwayWon]:[AwayWon]], Table2[[GameIsOver]:[GameIsOver]],1,Table2[[AwayTeam]:[AwayTeam]],$T32, Table2[[HomeTeam]:[HomeTeam]], V$31) + SUMIFS(Table2[[HomeWon_]:[HomeWon_]], Table2[[GameIsOver]:[GameIsOver]],1,Table2[[HomeTeam]:[HomeTeam]],$T2, Table2[[AwayTeam]:[AwayTeam]], V$31))) + (0*(SUMIFS(Table2[[HomeWon_]:[HomeWon_]], Table2[[GameIsOver]:[GameIsOver]],1,Table2[[AwayTeam]:[AwayTeam]],$T32, Table2[[HomeTeam]:[HomeTeam]], V$31, Table2[[ActualResult]:[ActualResult]], "REG") + SUMIFS(Table2[[AwayWon]:[AwayWon]], Table2[[GameIsOver]:[GameIsOver]],1,Table2[[HomeTeam]:[HomeTeam]],$T32, Table2[[AwayTeam]:[AwayTeam]], V$31, Table2[[ActualResult]:[ActualResult]], "REG"))) + (1*(SUMIFS(Table2[[HomeWon_]:[HomeWon_]], Table2[[GameIsOver]:[GameIsOver]],1,Table2[[AwayTeam]:[AwayTeam]],$T32, Table2[[HomeTeam]:[HomeTeam]], V$31, Table2[[ActualResult]:[ActualResult]], "OT") + SUMIFS(Table2[[AwayWon]:[AwayWon]], Table2[[GameIsOver]:[GameIsOver]],1,Table2[[HomeTeam]:[HomeTeam]],$T32, Table2[[AwayTeam]:[AwayTeam]], V$31, Table2[[ActualResult]:[ActualResult]], "OT") + SUMIFS(Table2[[HomeWon_]:[HomeWon_]], Table2[[GameIsOver]:[GameIsOver]],1,Table2[[AwayTeam]:[AwayTeam]],$T32, Table2[[HomeTeam]:[HomeTeam]], V$31, Table2[[ActualResult]:[ActualResult]], "SO") + SUMIFS(Table2[[AwayWon]:[AwayWon]], Table2[[GameIsOver]:[GameIsOver]],1,Table2[[HomeTeam]:[HomeTeam]],$T32, Table2[[AwayTeam]:[AwayTeam]], V$31, Table2[[ActualResult]:[ActualResult]], "SO")))</f>
        <v>0</v>
      </c>
      <c r="W32">
        <f>(2*(SUMIFS(Table2[[AwayWon]:[AwayWon]], Table2[[GameIsOver]:[GameIsOver]],1,Table2[[AwayTeam]:[AwayTeam]],$T32, Table2[[HomeTeam]:[HomeTeam]], W$31) + SUMIFS(Table2[[HomeWon_]:[HomeWon_]], Table2[[GameIsOver]:[GameIsOver]],1,Table2[[HomeTeam]:[HomeTeam]],$T2, Table2[[AwayTeam]:[AwayTeam]], W$31))) + (0*(SUMIFS(Table2[[HomeWon_]:[HomeWon_]], Table2[[GameIsOver]:[GameIsOver]],1,Table2[[AwayTeam]:[AwayTeam]],$T32, Table2[[HomeTeam]:[HomeTeam]], W$31, Table2[[ActualResult]:[ActualResult]], "REG") + SUMIFS(Table2[[AwayWon]:[AwayWon]], Table2[[GameIsOver]:[GameIsOver]],1,Table2[[HomeTeam]:[HomeTeam]],$T32, Table2[[AwayTeam]:[AwayTeam]], W$31, Table2[[ActualResult]:[ActualResult]], "REG"))) + (1*(SUMIFS(Table2[[HomeWon_]:[HomeWon_]], Table2[[GameIsOver]:[GameIsOver]],1,Table2[[AwayTeam]:[AwayTeam]],$T32, Table2[[HomeTeam]:[HomeTeam]], W$31, Table2[[ActualResult]:[ActualResult]], "OT") + SUMIFS(Table2[[AwayWon]:[AwayWon]], Table2[[GameIsOver]:[GameIsOver]],1,Table2[[HomeTeam]:[HomeTeam]],$T32, Table2[[AwayTeam]:[AwayTeam]], W$31, Table2[[ActualResult]:[ActualResult]], "OT") + SUMIFS(Table2[[HomeWon_]:[HomeWon_]], Table2[[GameIsOver]:[GameIsOver]],1,Table2[[AwayTeam]:[AwayTeam]],$T32, Table2[[HomeTeam]:[HomeTeam]], W$31, Table2[[ActualResult]:[ActualResult]], "SO") + SUMIFS(Table2[[AwayWon]:[AwayWon]], Table2[[GameIsOver]:[GameIsOver]],1,Table2[[HomeTeam]:[HomeTeam]],$T32, Table2[[AwayTeam]:[AwayTeam]], W$31, Table2[[ActualResult]:[ActualResult]], "SO")))</f>
        <v>2</v>
      </c>
      <c r="X32">
        <f>(2*(SUMIFS(Table2[[AwayWon]:[AwayWon]], Table2[[GameIsOver]:[GameIsOver]],1,Table2[[AwayTeam]:[AwayTeam]],$T32, Table2[[HomeTeam]:[HomeTeam]], X$31) + SUMIFS(Table2[[HomeWon_]:[HomeWon_]], Table2[[GameIsOver]:[GameIsOver]],1,Table2[[HomeTeam]:[HomeTeam]],$T2, Table2[[AwayTeam]:[AwayTeam]], X$31))) + (0*(SUMIFS(Table2[[HomeWon_]:[HomeWon_]], Table2[[GameIsOver]:[GameIsOver]],1,Table2[[AwayTeam]:[AwayTeam]],$T32, Table2[[HomeTeam]:[HomeTeam]], X$31, Table2[[ActualResult]:[ActualResult]], "REG") + SUMIFS(Table2[[AwayWon]:[AwayWon]], Table2[[GameIsOver]:[GameIsOver]],1,Table2[[HomeTeam]:[HomeTeam]],$T32, Table2[[AwayTeam]:[AwayTeam]], X$31, Table2[[ActualResult]:[ActualResult]], "REG"))) + (1*(SUMIFS(Table2[[HomeWon_]:[HomeWon_]], Table2[[GameIsOver]:[GameIsOver]],1,Table2[[AwayTeam]:[AwayTeam]],$T32, Table2[[HomeTeam]:[HomeTeam]], X$31, Table2[[ActualResult]:[ActualResult]], "OT") + SUMIFS(Table2[[AwayWon]:[AwayWon]], Table2[[GameIsOver]:[GameIsOver]],1,Table2[[HomeTeam]:[HomeTeam]],$T32, Table2[[AwayTeam]:[AwayTeam]], X$31, Table2[[ActualResult]:[ActualResult]], "OT") + SUMIFS(Table2[[HomeWon_]:[HomeWon_]], Table2[[GameIsOver]:[GameIsOver]],1,Table2[[AwayTeam]:[AwayTeam]],$T32, Table2[[HomeTeam]:[HomeTeam]], X$31, Table2[[ActualResult]:[ActualResult]], "SO") + SUMIFS(Table2[[AwayWon]:[AwayWon]], Table2[[GameIsOver]:[GameIsOver]],1,Table2[[HomeTeam]:[HomeTeam]],$T32, Table2[[AwayTeam]:[AwayTeam]], X$31, Table2[[ActualResult]:[ActualResult]], "SO")))</f>
        <v>0</v>
      </c>
      <c r="Y32">
        <f>(2*(SUMIFS(Table2[[AwayWon]:[AwayWon]], Table2[[GameIsOver]:[GameIsOver]],1,Table2[[AwayTeam]:[AwayTeam]],$T32, Table2[[HomeTeam]:[HomeTeam]], Y$31) + SUMIFS(Table2[[HomeWon_]:[HomeWon_]], Table2[[GameIsOver]:[GameIsOver]],1,Table2[[HomeTeam]:[HomeTeam]],$T2, Table2[[AwayTeam]:[AwayTeam]], Y$31))) + (0*(SUMIFS(Table2[[HomeWon_]:[HomeWon_]], Table2[[GameIsOver]:[GameIsOver]],1,Table2[[AwayTeam]:[AwayTeam]],$T32, Table2[[HomeTeam]:[HomeTeam]], Y$31, Table2[[ActualResult]:[ActualResult]], "REG") + SUMIFS(Table2[[AwayWon]:[AwayWon]], Table2[[GameIsOver]:[GameIsOver]],1,Table2[[HomeTeam]:[HomeTeam]],$T32, Table2[[AwayTeam]:[AwayTeam]], Y$31, Table2[[ActualResult]:[ActualResult]], "REG"))) + (1*(SUMIFS(Table2[[HomeWon_]:[HomeWon_]], Table2[[GameIsOver]:[GameIsOver]],1,Table2[[AwayTeam]:[AwayTeam]],$T32, Table2[[HomeTeam]:[HomeTeam]], Y$31, Table2[[ActualResult]:[ActualResult]], "OT") + SUMIFS(Table2[[AwayWon]:[AwayWon]], Table2[[GameIsOver]:[GameIsOver]],1,Table2[[HomeTeam]:[HomeTeam]],$T32, Table2[[AwayTeam]:[AwayTeam]], Y$31, Table2[[ActualResult]:[ActualResult]], "OT") + SUMIFS(Table2[[HomeWon_]:[HomeWon_]], Table2[[GameIsOver]:[GameIsOver]],1,Table2[[AwayTeam]:[AwayTeam]],$T32, Table2[[HomeTeam]:[HomeTeam]], Y$31, Table2[[ActualResult]:[ActualResult]], "SO") + SUMIFS(Table2[[AwayWon]:[AwayWon]], Table2[[GameIsOver]:[GameIsOver]],1,Table2[[HomeTeam]:[HomeTeam]],$T32, Table2[[AwayTeam]:[AwayTeam]], Y$31, Table2[[ActualResult]:[ActualResult]], "SO")))</f>
        <v>0</v>
      </c>
      <c r="Z32">
        <f>(2*(SUMIFS(Table2[[AwayWon]:[AwayWon]], Table2[[GameIsOver]:[GameIsOver]],1,Table2[[AwayTeam]:[AwayTeam]],$T32, Table2[[HomeTeam]:[HomeTeam]], Z$31) + SUMIFS(Table2[[HomeWon_]:[HomeWon_]], Table2[[GameIsOver]:[GameIsOver]],1,Table2[[HomeTeam]:[HomeTeam]],$T2, Table2[[AwayTeam]:[AwayTeam]], Z$31))) + (0*(SUMIFS(Table2[[HomeWon_]:[HomeWon_]], Table2[[GameIsOver]:[GameIsOver]],1,Table2[[AwayTeam]:[AwayTeam]],$T32, Table2[[HomeTeam]:[HomeTeam]], Z$31, Table2[[ActualResult]:[ActualResult]], "REG") + SUMIFS(Table2[[AwayWon]:[AwayWon]], Table2[[GameIsOver]:[GameIsOver]],1,Table2[[HomeTeam]:[HomeTeam]],$T32, Table2[[AwayTeam]:[AwayTeam]], Z$31, Table2[[ActualResult]:[ActualResult]], "REG"))) + (1*(SUMIFS(Table2[[HomeWon_]:[HomeWon_]], Table2[[GameIsOver]:[GameIsOver]],1,Table2[[AwayTeam]:[AwayTeam]],$T32, Table2[[HomeTeam]:[HomeTeam]], Z$31, Table2[[ActualResult]:[ActualResult]], "OT") + SUMIFS(Table2[[AwayWon]:[AwayWon]], Table2[[GameIsOver]:[GameIsOver]],1,Table2[[HomeTeam]:[HomeTeam]],$T32, Table2[[AwayTeam]:[AwayTeam]], Z$31, Table2[[ActualResult]:[ActualResult]], "OT") + SUMIFS(Table2[[HomeWon_]:[HomeWon_]], Table2[[GameIsOver]:[GameIsOver]],1,Table2[[AwayTeam]:[AwayTeam]],$T32, Table2[[HomeTeam]:[HomeTeam]], Z$31, Table2[[ActualResult]:[ActualResult]], "SO") + SUMIFS(Table2[[AwayWon]:[AwayWon]], Table2[[GameIsOver]:[GameIsOver]],1,Table2[[HomeTeam]:[HomeTeam]],$T32, Table2[[AwayTeam]:[AwayTeam]], Z$31, Table2[[ActualResult]:[ActualResult]], "SO")))</f>
        <v>1</v>
      </c>
      <c r="AA32">
        <f>(2*(SUMIFS(Table2[[AwayWon]:[AwayWon]], Table2[[GameIsOver]:[GameIsOver]],1,Table2[[AwayTeam]:[AwayTeam]],$T32, Table2[[HomeTeam]:[HomeTeam]], AA$31) + SUMIFS(Table2[[HomeWon_]:[HomeWon_]], Table2[[GameIsOver]:[GameIsOver]],1,Table2[[HomeTeam]:[HomeTeam]],$T2, Table2[[AwayTeam]:[AwayTeam]], AA$31))) + (0*(SUMIFS(Table2[[HomeWon_]:[HomeWon_]], Table2[[GameIsOver]:[GameIsOver]],1,Table2[[AwayTeam]:[AwayTeam]],$T32, Table2[[HomeTeam]:[HomeTeam]], AA$31, Table2[[ActualResult]:[ActualResult]], "REG") + SUMIFS(Table2[[AwayWon]:[AwayWon]], Table2[[GameIsOver]:[GameIsOver]],1,Table2[[HomeTeam]:[HomeTeam]],$T32, Table2[[AwayTeam]:[AwayTeam]], AA$31, Table2[[ActualResult]:[ActualResult]], "REG"))) + (1*(SUMIFS(Table2[[HomeWon_]:[HomeWon_]], Table2[[GameIsOver]:[GameIsOver]],1,Table2[[AwayTeam]:[AwayTeam]],$T32, Table2[[HomeTeam]:[HomeTeam]], AA$31, Table2[[ActualResult]:[ActualResult]], "OT") + SUMIFS(Table2[[AwayWon]:[AwayWon]], Table2[[GameIsOver]:[GameIsOver]],1,Table2[[HomeTeam]:[HomeTeam]],$T32, Table2[[AwayTeam]:[AwayTeam]], AA$31, Table2[[ActualResult]:[ActualResult]], "OT") + SUMIFS(Table2[[HomeWon_]:[HomeWon_]], Table2[[GameIsOver]:[GameIsOver]],1,Table2[[AwayTeam]:[AwayTeam]],$T32, Table2[[HomeTeam]:[HomeTeam]], AA$31, Table2[[ActualResult]:[ActualResult]], "SO") + SUMIFS(Table2[[AwayWon]:[AwayWon]], Table2[[GameIsOver]:[GameIsOver]],1,Table2[[HomeTeam]:[HomeTeam]],$T32, Table2[[AwayTeam]:[AwayTeam]], AA$31, Table2[[ActualResult]:[ActualResult]], "SO")))</f>
        <v>0</v>
      </c>
      <c r="AB32">
        <f>(2*(SUMIFS(Table2[[AwayWon]:[AwayWon]], Table2[[GameIsOver]:[GameIsOver]],1,Table2[[AwayTeam]:[AwayTeam]],$T32, Table2[[HomeTeam]:[HomeTeam]], AB$31) + SUMIFS(Table2[[HomeWon_]:[HomeWon_]], Table2[[GameIsOver]:[GameIsOver]],1,Table2[[HomeTeam]:[HomeTeam]],$T2, Table2[[AwayTeam]:[AwayTeam]], AB$31))) + (0*(SUMIFS(Table2[[HomeWon_]:[HomeWon_]], Table2[[GameIsOver]:[GameIsOver]],1,Table2[[AwayTeam]:[AwayTeam]],$T32, Table2[[HomeTeam]:[HomeTeam]], AB$31, Table2[[ActualResult]:[ActualResult]], "REG") + SUMIFS(Table2[[AwayWon]:[AwayWon]], Table2[[GameIsOver]:[GameIsOver]],1,Table2[[HomeTeam]:[HomeTeam]],$T32, Table2[[AwayTeam]:[AwayTeam]], AB$31, Table2[[ActualResult]:[ActualResult]], "REG"))) + (1*(SUMIFS(Table2[[HomeWon_]:[HomeWon_]], Table2[[GameIsOver]:[GameIsOver]],1,Table2[[AwayTeam]:[AwayTeam]],$T32, Table2[[HomeTeam]:[HomeTeam]], AB$31, Table2[[ActualResult]:[ActualResult]], "OT") + SUMIFS(Table2[[AwayWon]:[AwayWon]], Table2[[GameIsOver]:[GameIsOver]],1,Table2[[HomeTeam]:[HomeTeam]],$T32, Table2[[AwayTeam]:[AwayTeam]], AB$31, Table2[[ActualResult]:[ActualResult]], "OT") + SUMIFS(Table2[[HomeWon_]:[HomeWon_]], Table2[[GameIsOver]:[GameIsOver]],1,Table2[[AwayTeam]:[AwayTeam]],$T32, Table2[[HomeTeam]:[HomeTeam]], AB$31, Table2[[ActualResult]:[ActualResult]], "SO") + SUMIFS(Table2[[AwayWon]:[AwayWon]], Table2[[GameIsOver]:[GameIsOver]],1,Table2[[HomeTeam]:[HomeTeam]],$T32, Table2[[AwayTeam]:[AwayTeam]], AB$31, Table2[[ActualResult]:[ActualResult]], "SO")))</f>
        <v>0</v>
      </c>
      <c r="AC32">
        <f>(2*(SUMIFS(Table2[[AwayWon]:[AwayWon]], Table2[[GameIsOver]:[GameIsOver]],1,Table2[[AwayTeam]:[AwayTeam]],$T32, Table2[[HomeTeam]:[HomeTeam]], AC$31) + SUMIFS(Table2[[HomeWon_]:[HomeWon_]], Table2[[GameIsOver]:[GameIsOver]],1,Table2[[HomeTeam]:[HomeTeam]],$T2, Table2[[AwayTeam]:[AwayTeam]], AC$31))) + (0*(SUMIFS(Table2[[HomeWon_]:[HomeWon_]], Table2[[GameIsOver]:[GameIsOver]],1,Table2[[AwayTeam]:[AwayTeam]],$T32, Table2[[HomeTeam]:[HomeTeam]], AC$31, Table2[[ActualResult]:[ActualResult]], "REG") + SUMIFS(Table2[[AwayWon]:[AwayWon]], Table2[[GameIsOver]:[GameIsOver]],1,Table2[[HomeTeam]:[HomeTeam]],$T32, Table2[[AwayTeam]:[AwayTeam]], AC$31, Table2[[ActualResult]:[ActualResult]], "REG"))) + (1*(SUMIFS(Table2[[HomeWon_]:[HomeWon_]], Table2[[GameIsOver]:[GameIsOver]],1,Table2[[AwayTeam]:[AwayTeam]],$T32, Table2[[HomeTeam]:[HomeTeam]], AC$31, Table2[[ActualResult]:[ActualResult]], "OT") + SUMIFS(Table2[[AwayWon]:[AwayWon]], Table2[[GameIsOver]:[GameIsOver]],1,Table2[[HomeTeam]:[HomeTeam]],$T32, Table2[[AwayTeam]:[AwayTeam]], AC$31, Table2[[ActualResult]:[ActualResult]], "OT") + SUMIFS(Table2[[HomeWon_]:[HomeWon_]], Table2[[GameIsOver]:[GameIsOver]],1,Table2[[AwayTeam]:[AwayTeam]],$T32, Table2[[HomeTeam]:[HomeTeam]], AC$31, Table2[[ActualResult]:[ActualResult]], "SO") + SUMIFS(Table2[[AwayWon]:[AwayWon]], Table2[[GameIsOver]:[GameIsOver]],1,Table2[[HomeTeam]:[HomeTeam]],$T32, Table2[[AwayTeam]:[AwayTeam]], AC$31, Table2[[ActualResult]:[ActualResult]], "SO")))</f>
        <v>0</v>
      </c>
      <c r="AD32">
        <f>(2*(SUMIFS(Table2[[AwayWon]:[AwayWon]], Table2[[GameIsOver]:[GameIsOver]],1,Table2[[AwayTeam]:[AwayTeam]],$T32, Table2[[HomeTeam]:[HomeTeam]], AD$31) + SUMIFS(Table2[[HomeWon_]:[HomeWon_]], Table2[[GameIsOver]:[GameIsOver]],1,Table2[[HomeTeam]:[HomeTeam]],$T2, Table2[[AwayTeam]:[AwayTeam]], AD$31))) + (0*(SUMIFS(Table2[[HomeWon_]:[HomeWon_]], Table2[[GameIsOver]:[GameIsOver]],1,Table2[[AwayTeam]:[AwayTeam]],$T32, Table2[[HomeTeam]:[HomeTeam]], AD$31, Table2[[ActualResult]:[ActualResult]], "REG") + SUMIFS(Table2[[AwayWon]:[AwayWon]], Table2[[GameIsOver]:[GameIsOver]],1,Table2[[HomeTeam]:[HomeTeam]],$T32, Table2[[AwayTeam]:[AwayTeam]], AD$31, Table2[[ActualResult]:[ActualResult]], "REG"))) + (1*(SUMIFS(Table2[[HomeWon_]:[HomeWon_]], Table2[[GameIsOver]:[GameIsOver]],1,Table2[[AwayTeam]:[AwayTeam]],$T32, Table2[[HomeTeam]:[HomeTeam]], AD$31, Table2[[ActualResult]:[ActualResult]], "OT") + SUMIFS(Table2[[AwayWon]:[AwayWon]], Table2[[GameIsOver]:[GameIsOver]],1,Table2[[HomeTeam]:[HomeTeam]],$T32, Table2[[AwayTeam]:[AwayTeam]], AD$31, Table2[[ActualResult]:[ActualResult]], "OT") + SUMIFS(Table2[[HomeWon_]:[HomeWon_]], Table2[[GameIsOver]:[GameIsOver]],1,Table2[[AwayTeam]:[AwayTeam]],$T32, Table2[[HomeTeam]:[HomeTeam]], AD$31, Table2[[ActualResult]:[ActualResult]], "SO") + SUMIFS(Table2[[AwayWon]:[AwayWon]], Table2[[GameIsOver]:[GameIsOver]],1,Table2[[HomeTeam]:[HomeTeam]],$T32, Table2[[AwayTeam]:[AwayTeam]], AD$31, Table2[[ActualResult]:[ActualResult]], "SO")))</f>
        <v>0</v>
      </c>
      <c r="AE32">
        <f>(2*(SUMIFS(Table2[[AwayWon]:[AwayWon]], Table2[[GameIsOver]:[GameIsOver]],1,Table2[[AwayTeam]:[AwayTeam]],$T32, Table2[[HomeTeam]:[HomeTeam]], AE$31) + SUMIFS(Table2[[HomeWon_]:[HomeWon_]], Table2[[GameIsOver]:[GameIsOver]],1,Table2[[HomeTeam]:[HomeTeam]],$T2, Table2[[AwayTeam]:[AwayTeam]], AE$31))) + (0*(SUMIFS(Table2[[HomeWon_]:[HomeWon_]], Table2[[GameIsOver]:[GameIsOver]],1,Table2[[AwayTeam]:[AwayTeam]],$T32, Table2[[HomeTeam]:[HomeTeam]], AE$31, Table2[[ActualResult]:[ActualResult]], "REG") + SUMIFS(Table2[[AwayWon]:[AwayWon]], Table2[[GameIsOver]:[GameIsOver]],1,Table2[[HomeTeam]:[HomeTeam]],$T32, Table2[[AwayTeam]:[AwayTeam]], AE$31, Table2[[ActualResult]:[ActualResult]], "REG"))) + (1*(SUMIFS(Table2[[HomeWon_]:[HomeWon_]], Table2[[GameIsOver]:[GameIsOver]],1,Table2[[AwayTeam]:[AwayTeam]],$T32, Table2[[HomeTeam]:[HomeTeam]], AE$31, Table2[[ActualResult]:[ActualResult]], "OT") + SUMIFS(Table2[[AwayWon]:[AwayWon]], Table2[[GameIsOver]:[GameIsOver]],1,Table2[[HomeTeam]:[HomeTeam]],$T32, Table2[[AwayTeam]:[AwayTeam]], AE$31, Table2[[ActualResult]:[ActualResult]], "OT") + SUMIFS(Table2[[HomeWon_]:[HomeWon_]], Table2[[GameIsOver]:[GameIsOver]],1,Table2[[AwayTeam]:[AwayTeam]],$T32, Table2[[HomeTeam]:[HomeTeam]], AE$31, Table2[[ActualResult]:[ActualResult]], "SO") + SUMIFS(Table2[[AwayWon]:[AwayWon]], Table2[[GameIsOver]:[GameIsOver]],1,Table2[[HomeTeam]:[HomeTeam]],$T32, Table2[[AwayTeam]:[AwayTeam]], AE$31, Table2[[ActualResult]:[ActualResult]], "SO")))</f>
        <v>0</v>
      </c>
      <c r="AF32">
        <f>(2*(SUMIFS(Table2[[AwayWon]:[AwayWon]], Table2[[GameIsOver]:[GameIsOver]],1,Table2[[AwayTeam]:[AwayTeam]],$T32, Table2[[HomeTeam]:[HomeTeam]], AF$31) + SUMIFS(Table2[[HomeWon_]:[HomeWon_]], Table2[[GameIsOver]:[GameIsOver]],1,Table2[[HomeTeam]:[HomeTeam]],$T2, Table2[[AwayTeam]:[AwayTeam]], AF$31))) + (0*(SUMIFS(Table2[[HomeWon_]:[HomeWon_]], Table2[[GameIsOver]:[GameIsOver]],1,Table2[[AwayTeam]:[AwayTeam]],$T32, Table2[[HomeTeam]:[HomeTeam]], AF$31, Table2[[ActualResult]:[ActualResult]], "REG") + SUMIFS(Table2[[AwayWon]:[AwayWon]], Table2[[GameIsOver]:[GameIsOver]],1,Table2[[HomeTeam]:[HomeTeam]],$T32, Table2[[AwayTeam]:[AwayTeam]], AF$31, Table2[[ActualResult]:[ActualResult]], "REG"))) + (1*(SUMIFS(Table2[[HomeWon_]:[HomeWon_]], Table2[[GameIsOver]:[GameIsOver]],1,Table2[[AwayTeam]:[AwayTeam]],$T32, Table2[[HomeTeam]:[HomeTeam]], AF$31, Table2[[ActualResult]:[ActualResult]], "OT") + SUMIFS(Table2[[AwayWon]:[AwayWon]], Table2[[GameIsOver]:[GameIsOver]],1,Table2[[HomeTeam]:[HomeTeam]],$T32, Table2[[AwayTeam]:[AwayTeam]], AF$31, Table2[[ActualResult]:[ActualResult]], "OT") + SUMIFS(Table2[[HomeWon_]:[HomeWon_]], Table2[[GameIsOver]:[GameIsOver]],1,Table2[[AwayTeam]:[AwayTeam]],$T32, Table2[[HomeTeam]:[HomeTeam]], AF$31, Table2[[ActualResult]:[ActualResult]], "SO") + SUMIFS(Table2[[AwayWon]:[AwayWon]], Table2[[GameIsOver]:[GameIsOver]],1,Table2[[HomeTeam]:[HomeTeam]],$T32, Table2[[AwayTeam]:[AwayTeam]], AF$31, Table2[[ActualResult]:[ActualResult]], "SO")))</f>
        <v>0</v>
      </c>
      <c r="AG32">
        <f>(2*(SUMIFS(Table2[[AwayWon]:[AwayWon]], Table2[[GameIsOver]:[GameIsOver]],1,Table2[[AwayTeam]:[AwayTeam]],$T32, Table2[[HomeTeam]:[HomeTeam]], AG$31) + SUMIFS(Table2[[HomeWon_]:[HomeWon_]], Table2[[GameIsOver]:[GameIsOver]],1,Table2[[HomeTeam]:[HomeTeam]],$T2, Table2[[AwayTeam]:[AwayTeam]], AG$31))) + (0*(SUMIFS(Table2[[HomeWon_]:[HomeWon_]], Table2[[GameIsOver]:[GameIsOver]],1,Table2[[AwayTeam]:[AwayTeam]],$T32, Table2[[HomeTeam]:[HomeTeam]], AG$31, Table2[[ActualResult]:[ActualResult]], "REG") + SUMIFS(Table2[[AwayWon]:[AwayWon]], Table2[[GameIsOver]:[GameIsOver]],1,Table2[[HomeTeam]:[HomeTeam]],$T32, Table2[[AwayTeam]:[AwayTeam]], AG$31, Table2[[ActualResult]:[ActualResult]], "REG"))) + (1*(SUMIFS(Table2[[HomeWon_]:[HomeWon_]], Table2[[GameIsOver]:[GameIsOver]],1,Table2[[AwayTeam]:[AwayTeam]],$T32, Table2[[HomeTeam]:[HomeTeam]], AG$31, Table2[[ActualResult]:[ActualResult]], "OT") + SUMIFS(Table2[[AwayWon]:[AwayWon]], Table2[[GameIsOver]:[GameIsOver]],1,Table2[[HomeTeam]:[HomeTeam]],$T32, Table2[[AwayTeam]:[AwayTeam]], AG$31, Table2[[ActualResult]:[ActualResult]], "OT") + SUMIFS(Table2[[HomeWon_]:[HomeWon_]], Table2[[GameIsOver]:[GameIsOver]],1,Table2[[AwayTeam]:[AwayTeam]],$T32, Table2[[HomeTeam]:[HomeTeam]], AG$31, Table2[[ActualResult]:[ActualResult]], "SO") + SUMIFS(Table2[[AwayWon]:[AwayWon]], Table2[[GameIsOver]:[GameIsOver]],1,Table2[[HomeTeam]:[HomeTeam]],$T32, Table2[[AwayTeam]:[AwayTeam]], AG$31, Table2[[ActualResult]:[ActualResult]], "SO")))</f>
        <v>0</v>
      </c>
      <c r="AH32">
        <f>(2*(SUMIFS(Table2[[AwayWon]:[AwayWon]], Table2[[GameIsOver]:[GameIsOver]],1,Table2[[AwayTeam]:[AwayTeam]],$T32, Table2[[HomeTeam]:[HomeTeam]], AH$31) + SUMIFS(Table2[[HomeWon_]:[HomeWon_]], Table2[[GameIsOver]:[GameIsOver]],1,Table2[[HomeTeam]:[HomeTeam]],$T2, Table2[[AwayTeam]:[AwayTeam]], AH$31))) + (0*(SUMIFS(Table2[[HomeWon_]:[HomeWon_]], Table2[[GameIsOver]:[GameIsOver]],1,Table2[[AwayTeam]:[AwayTeam]],$T32, Table2[[HomeTeam]:[HomeTeam]], AH$31, Table2[[ActualResult]:[ActualResult]], "REG") + SUMIFS(Table2[[AwayWon]:[AwayWon]], Table2[[GameIsOver]:[GameIsOver]],1,Table2[[HomeTeam]:[HomeTeam]],$T32, Table2[[AwayTeam]:[AwayTeam]], AH$31, Table2[[ActualResult]:[ActualResult]], "REG"))) + (1*(SUMIFS(Table2[[HomeWon_]:[HomeWon_]], Table2[[GameIsOver]:[GameIsOver]],1,Table2[[AwayTeam]:[AwayTeam]],$T32, Table2[[HomeTeam]:[HomeTeam]], AH$31, Table2[[ActualResult]:[ActualResult]], "OT") + SUMIFS(Table2[[AwayWon]:[AwayWon]], Table2[[GameIsOver]:[GameIsOver]],1,Table2[[HomeTeam]:[HomeTeam]],$T32, Table2[[AwayTeam]:[AwayTeam]], AH$31, Table2[[ActualResult]:[ActualResult]], "OT") + SUMIFS(Table2[[HomeWon_]:[HomeWon_]], Table2[[GameIsOver]:[GameIsOver]],1,Table2[[AwayTeam]:[AwayTeam]],$T32, Table2[[HomeTeam]:[HomeTeam]], AH$31, Table2[[ActualResult]:[ActualResult]], "SO") + SUMIFS(Table2[[AwayWon]:[AwayWon]], Table2[[GameIsOver]:[GameIsOver]],1,Table2[[HomeTeam]:[HomeTeam]],$T32, Table2[[AwayTeam]:[AwayTeam]], AH$31, Table2[[ActualResult]:[ActualResult]], "SO")))</f>
        <v>0</v>
      </c>
      <c r="AI32">
        <f>(2*(SUMIFS(Table2[[AwayWon]:[AwayWon]], Table2[[GameIsOver]:[GameIsOver]],1,Table2[[AwayTeam]:[AwayTeam]],$T32, Table2[[HomeTeam]:[HomeTeam]], AI$31) + SUMIFS(Table2[[HomeWon_]:[HomeWon_]], Table2[[GameIsOver]:[GameIsOver]],1,Table2[[HomeTeam]:[HomeTeam]],$T2, Table2[[AwayTeam]:[AwayTeam]], AI$31))) + (0*(SUMIFS(Table2[[HomeWon_]:[HomeWon_]], Table2[[GameIsOver]:[GameIsOver]],1,Table2[[AwayTeam]:[AwayTeam]],$T32, Table2[[HomeTeam]:[HomeTeam]], AI$31, Table2[[ActualResult]:[ActualResult]], "REG") + SUMIFS(Table2[[AwayWon]:[AwayWon]], Table2[[GameIsOver]:[GameIsOver]],1,Table2[[HomeTeam]:[HomeTeam]],$T32, Table2[[AwayTeam]:[AwayTeam]], AI$31, Table2[[ActualResult]:[ActualResult]], "REG"))) + (1*(SUMIFS(Table2[[HomeWon_]:[HomeWon_]], Table2[[GameIsOver]:[GameIsOver]],1,Table2[[AwayTeam]:[AwayTeam]],$T32, Table2[[HomeTeam]:[HomeTeam]], AI$31, Table2[[ActualResult]:[ActualResult]], "OT") + SUMIFS(Table2[[AwayWon]:[AwayWon]], Table2[[GameIsOver]:[GameIsOver]],1,Table2[[HomeTeam]:[HomeTeam]],$T32, Table2[[AwayTeam]:[AwayTeam]], AI$31, Table2[[ActualResult]:[ActualResult]], "OT") + SUMIFS(Table2[[HomeWon_]:[HomeWon_]], Table2[[GameIsOver]:[GameIsOver]],1,Table2[[AwayTeam]:[AwayTeam]],$T32, Table2[[HomeTeam]:[HomeTeam]], AI$31, Table2[[ActualResult]:[ActualResult]], "SO") + SUMIFS(Table2[[AwayWon]:[AwayWon]], Table2[[GameIsOver]:[GameIsOver]],1,Table2[[HomeTeam]:[HomeTeam]],$T32, Table2[[AwayTeam]:[AwayTeam]], AI$31, Table2[[ActualResult]:[ActualResult]], "SO")))</f>
        <v>0</v>
      </c>
      <c r="AJ32">
        <f>(2*(SUMIFS(Table2[[AwayWon]:[AwayWon]], Table2[[GameIsOver]:[GameIsOver]],1,Table2[[AwayTeam]:[AwayTeam]],$T32, Table2[[HomeTeam]:[HomeTeam]], AJ$31) + SUMIFS(Table2[[HomeWon_]:[HomeWon_]], Table2[[GameIsOver]:[GameIsOver]],1,Table2[[HomeTeam]:[HomeTeam]],$T2, Table2[[AwayTeam]:[AwayTeam]], AJ$31))) + (0*(SUMIFS(Table2[[HomeWon_]:[HomeWon_]], Table2[[GameIsOver]:[GameIsOver]],1,Table2[[AwayTeam]:[AwayTeam]],$T32, Table2[[HomeTeam]:[HomeTeam]], AJ$31, Table2[[ActualResult]:[ActualResult]], "REG") + SUMIFS(Table2[[AwayWon]:[AwayWon]], Table2[[GameIsOver]:[GameIsOver]],1,Table2[[HomeTeam]:[HomeTeam]],$T32, Table2[[AwayTeam]:[AwayTeam]], AJ$31, Table2[[ActualResult]:[ActualResult]], "REG"))) + (1*(SUMIFS(Table2[[HomeWon_]:[HomeWon_]], Table2[[GameIsOver]:[GameIsOver]],1,Table2[[AwayTeam]:[AwayTeam]],$T32, Table2[[HomeTeam]:[HomeTeam]], AJ$31, Table2[[ActualResult]:[ActualResult]], "OT") + SUMIFS(Table2[[AwayWon]:[AwayWon]], Table2[[GameIsOver]:[GameIsOver]],1,Table2[[HomeTeam]:[HomeTeam]],$T32, Table2[[AwayTeam]:[AwayTeam]], AJ$31, Table2[[ActualResult]:[ActualResult]], "OT") + SUMIFS(Table2[[HomeWon_]:[HomeWon_]], Table2[[GameIsOver]:[GameIsOver]],1,Table2[[AwayTeam]:[AwayTeam]],$T32, Table2[[HomeTeam]:[HomeTeam]], AJ$31, Table2[[ActualResult]:[ActualResult]], "SO") + SUMIFS(Table2[[AwayWon]:[AwayWon]], Table2[[GameIsOver]:[GameIsOver]],1,Table2[[HomeTeam]:[HomeTeam]],$T32, Table2[[AwayTeam]:[AwayTeam]], AJ$31, Table2[[ActualResult]:[ActualResult]], "SO")))</f>
        <v>0</v>
      </c>
      <c r="AK32">
        <f>(2*(SUMIFS(Table2[[AwayWon]:[AwayWon]], Table2[[GameIsOver]:[GameIsOver]],1,Table2[[AwayTeam]:[AwayTeam]],$T32, Table2[[HomeTeam]:[HomeTeam]], AK$31) + SUMIFS(Table2[[HomeWon_]:[HomeWon_]], Table2[[GameIsOver]:[GameIsOver]],1,Table2[[HomeTeam]:[HomeTeam]],$T2, Table2[[AwayTeam]:[AwayTeam]], AK$31))) + (0*(SUMIFS(Table2[[HomeWon_]:[HomeWon_]], Table2[[GameIsOver]:[GameIsOver]],1,Table2[[AwayTeam]:[AwayTeam]],$T32, Table2[[HomeTeam]:[HomeTeam]], AK$31, Table2[[ActualResult]:[ActualResult]], "REG") + SUMIFS(Table2[[AwayWon]:[AwayWon]], Table2[[GameIsOver]:[GameIsOver]],1,Table2[[HomeTeam]:[HomeTeam]],$T32, Table2[[AwayTeam]:[AwayTeam]], AK$31, Table2[[ActualResult]:[ActualResult]], "REG"))) + (1*(SUMIFS(Table2[[HomeWon_]:[HomeWon_]], Table2[[GameIsOver]:[GameIsOver]],1,Table2[[AwayTeam]:[AwayTeam]],$T32, Table2[[HomeTeam]:[HomeTeam]], AK$31, Table2[[ActualResult]:[ActualResult]], "OT") + SUMIFS(Table2[[AwayWon]:[AwayWon]], Table2[[GameIsOver]:[GameIsOver]],1,Table2[[HomeTeam]:[HomeTeam]],$T32, Table2[[AwayTeam]:[AwayTeam]], AK$31, Table2[[ActualResult]:[ActualResult]], "OT") + SUMIFS(Table2[[HomeWon_]:[HomeWon_]], Table2[[GameIsOver]:[GameIsOver]],1,Table2[[AwayTeam]:[AwayTeam]],$T32, Table2[[HomeTeam]:[HomeTeam]], AK$31, Table2[[ActualResult]:[ActualResult]], "SO") + SUMIFS(Table2[[AwayWon]:[AwayWon]], Table2[[GameIsOver]:[GameIsOver]],1,Table2[[HomeTeam]:[HomeTeam]],$T32, Table2[[AwayTeam]:[AwayTeam]], AK$31, Table2[[ActualResult]:[ActualResult]], "SO")))</f>
        <v>0</v>
      </c>
      <c r="AL32">
        <f>(2*(SUMIFS(Table2[[AwayWon]:[AwayWon]], Table2[[GameIsOver]:[GameIsOver]],1,Table2[[AwayTeam]:[AwayTeam]],$T32, Table2[[HomeTeam]:[HomeTeam]], AL$31) + SUMIFS(Table2[[HomeWon_]:[HomeWon_]], Table2[[GameIsOver]:[GameIsOver]],1,Table2[[HomeTeam]:[HomeTeam]],$T2, Table2[[AwayTeam]:[AwayTeam]], AL$31))) + (0*(SUMIFS(Table2[[HomeWon_]:[HomeWon_]], Table2[[GameIsOver]:[GameIsOver]],1,Table2[[AwayTeam]:[AwayTeam]],$T32, Table2[[HomeTeam]:[HomeTeam]], AL$31, Table2[[ActualResult]:[ActualResult]], "REG") + SUMIFS(Table2[[AwayWon]:[AwayWon]], Table2[[GameIsOver]:[GameIsOver]],1,Table2[[HomeTeam]:[HomeTeam]],$T32, Table2[[AwayTeam]:[AwayTeam]], AL$31, Table2[[ActualResult]:[ActualResult]], "REG"))) + (1*(SUMIFS(Table2[[HomeWon_]:[HomeWon_]], Table2[[GameIsOver]:[GameIsOver]],1,Table2[[AwayTeam]:[AwayTeam]],$T32, Table2[[HomeTeam]:[HomeTeam]], AL$31, Table2[[ActualResult]:[ActualResult]], "OT") + SUMIFS(Table2[[AwayWon]:[AwayWon]], Table2[[GameIsOver]:[GameIsOver]],1,Table2[[HomeTeam]:[HomeTeam]],$T32, Table2[[AwayTeam]:[AwayTeam]], AL$31, Table2[[ActualResult]:[ActualResult]], "OT") + SUMIFS(Table2[[HomeWon_]:[HomeWon_]], Table2[[GameIsOver]:[GameIsOver]],1,Table2[[AwayTeam]:[AwayTeam]],$T32, Table2[[HomeTeam]:[HomeTeam]], AL$31, Table2[[ActualResult]:[ActualResult]], "SO") + SUMIFS(Table2[[AwayWon]:[AwayWon]], Table2[[GameIsOver]:[GameIsOver]],1,Table2[[HomeTeam]:[HomeTeam]],$T32, Table2[[AwayTeam]:[AwayTeam]], AL$31, Table2[[ActualResult]:[ActualResult]], "SO")))</f>
        <v>2</v>
      </c>
      <c r="AM32">
        <f>(2*(SUMIFS(Table2[[AwayWon]:[AwayWon]], Table2[[GameIsOver]:[GameIsOver]],1,Table2[[AwayTeam]:[AwayTeam]],$T32, Table2[[HomeTeam]:[HomeTeam]], AM$31) + SUMIFS(Table2[[HomeWon_]:[HomeWon_]], Table2[[GameIsOver]:[GameIsOver]],1,Table2[[HomeTeam]:[HomeTeam]],$T2, Table2[[AwayTeam]:[AwayTeam]], AM$31))) + (0*(SUMIFS(Table2[[HomeWon_]:[HomeWon_]], Table2[[GameIsOver]:[GameIsOver]],1,Table2[[AwayTeam]:[AwayTeam]],$T32, Table2[[HomeTeam]:[HomeTeam]], AM$31, Table2[[ActualResult]:[ActualResult]], "REG") + SUMIFS(Table2[[AwayWon]:[AwayWon]], Table2[[GameIsOver]:[GameIsOver]],1,Table2[[HomeTeam]:[HomeTeam]],$T32, Table2[[AwayTeam]:[AwayTeam]], AM$31, Table2[[ActualResult]:[ActualResult]], "REG"))) + (1*(SUMIFS(Table2[[HomeWon_]:[HomeWon_]], Table2[[GameIsOver]:[GameIsOver]],1,Table2[[AwayTeam]:[AwayTeam]],$T32, Table2[[HomeTeam]:[HomeTeam]], AM$31, Table2[[ActualResult]:[ActualResult]], "OT") + SUMIFS(Table2[[AwayWon]:[AwayWon]], Table2[[GameIsOver]:[GameIsOver]],1,Table2[[HomeTeam]:[HomeTeam]],$T32, Table2[[AwayTeam]:[AwayTeam]], AM$31, Table2[[ActualResult]:[ActualResult]], "OT") + SUMIFS(Table2[[HomeWon_]:[HomeWon_]], Table2[[GameIsOver]:[GameIsOver]],1,Table2[[AwayTeam]:[AwayTeam]],$T32, Table2[[HomeTeam]:[HomeTeam]], AM$31, Table2[[ActualResult]:[ActualResult]], "SO") + SUMIFS(Table2[[AwayWon]:[AwayWon]], Table2[[GameIsOver]:[GameIsOver]],1,Table2[[HomeTeam]:[HomeTeam]],$T32, Table2[[AwayTeam]:[AwayTeam]], AM$31, Table2[[ActualResult]:[ActualResult]], "SO")))</f>
        <v>0</v>
      </c>
      <c r="AN32">
        <f>(2*(SUMIFS(Table2[[AwayWon]:[AwayWon]], Table2[[GameIsOver]:[GameIsOver]],1,Table2[[AwayTeam]:[AwayTeam]],$T32, Table2[[HomeTeam]:[HomeTeam]], AN$31) + SUMIFS(Table2[[HomeWon_]:[HomeWon_]], Table2[[GameIsOver]:[GameIsOver]],1,Table2[[HomeTeam]:[HomeTeam]],$T2, Table2[[AwayTeam]:[AwayTeam]], AN$31))) + (0*(SUMIFS(Table2[[HomeWon_]:[HomeWon_]], Table2[[GameIsOver]:[GameIsOver]],1,Table2[[AwayTeam]:[AwayTeam]],$T32, Table2[[HomeTeam]:[HomeTeam]], AN$31, Table2[[ActualResult]:[ActualResult]], "REG") + SUMIFS(Table2[[AwayWon]:[AwayWon]], Table2[[GameIsOver]:[GameIsOver]],1,Table2[[HomeTeam]:[HomeTeam]],$T32, Table2[[AwayTeam]:[AwayTeam]], AN$31, Table2[[ActualResult]:[ActualResult]], "REG"))) + (1*(SUMIFS(Table2[[HomeWon_]:[HomeWon_]], Table2[[GameIsOver]:[GameIsOver]],1,Table2[[AwayTeam]:[AwayTeam]],$T32, Table2[[HomeTeam]:[HomeTeam]], AN$31, Table2[[ActualResult]:[ActualResult]], "OT") + SUMIFS(Table2[[AwayWon]:[AwayWon]], Table2[[GameIsOver]:[GameIsOver]],1,Table2[[HomeTeam]:[HomeTeam]],$T32, Table2[[AwayTeam]:[AwayTeam]], AN$31, Table2[[ActualResult]:[ActualResult]], "OT") + SUMIFS(Table2[[HomeWon_]:[HomeWon_]], Table2[[GameIsOver]:[GameIsOver]],1,Table2[[AwayTeam]:[AwayTeam]],$T32, Table2[[HomeTeam]:[HomeTeam]], AN$31, Table2[[ActualResult]:[ActualResult]], "SO") + SUMIFS(Table2[[AwayWon]:[AwayWon]], Table2[[GameIsOver]:[GameIsOver]],1,Table2[[HomeTeam]:[HomeTeam]],$T32, Table2[[AwayTeam]:[AwayTeam]], AN$31, Table2[[ActualResult]:[ActualResult]], "SO")))</f>
        <v>0</v>
      </c>
      <c r="AO32">
        <f>(2*(SUMIFS(Table2[[AwayWon]:[AwayWon]], Table2[[GameIsOver]:[GameIsOver]],1,Table2[[AwayTeam]:[AwayTeam]],$T32, Table2[[HomeTeam]:[HomeTeam]], AO$31) + SUMIFS(Table2[[HomeWon_]:[HomeWon_]], Table2[[GameIsOver]:[GameIsOver]],1,Table2[[HomeTeam]:[HomeTeam]],$T2, Table2[[AwayTeam]:[AwayTeam]], AO$31))) + (0*(SUMIFS(Table2[[HomeWon_]:[HomeWon_]], Table2[[GameIsOver]:[GameIsOver]],1,Table2[[AwayTeam]:[AwayTeam]],$T32, Table2[[HomeTeam]:[HomeTeam]], AO$31, Table2[[ActualResult]:[ActualResult]], "REG") + SUMIFS(Table2[[AwayWon]:[AwayWon]], Table2[[GameIsOver]:[GameIsOver]],1,Table2[[HomeTeam]:[HomeTeam]],$T32, Table2[[AwayTeam]:[AwayTeam]], AO$31, Table2[[ActualResult]:[ActualResult]], "REG"))) + (1*(SUMIFS(Table2[[HomeWon_]:[HomeWon_]], Table2[[GameIsOver]:[GameIsOver]],1,Table2[[AwayTeam]:[AwayTeam]],$T32, Table2[[HomeTeam]:[HomeTeam]], AO$31, Table2[[ActualResult]:[ActualResult]], "OT") + SUMIFS(Table2[[AwayWon]:[AwayWon]], Table2[[GameIsOver]:[GameIsOver]],1,Table2[[HomeTeam]:[HomeTeam]],$T32, Table2[[AwayTeam]:[AwayTeam]], AO$31, Table2[[ActualResult]:[ActualResult]], "OT") + SUMIFS(Table2[[HomeWon_]:[HomeWon_]], Table2[[GameIsOver]:[GameIsOver]],1,Table2[[AwayTeam]:[AwayTeam]],$T32, Table2[[HomeTeam]:[HomeTeam]], AO$31, Table2[[ActualResult]:[ActualResult]], "SO") + SUMIFS(Table2[[AwayWon]:[AwayWon]], Table2[[GameIsOver]:[GameIsOver]],1,Table2[[HomeTeam]:[HomeTeam]],$T32, Table2[[AwayTeam]:[AwayTeam]], AO$31, Table2[[ActualResult]:[ActualResult]], "SO")))</f>
        <v>0</v>
      </c>
      <c r="AP32">
        <f>(2*(SUMIFS(Table2[[AwayWon]:[AwayWon]], Table2[[GameIsOver]:[GameIsOver]],1,Table2[[AwayTeam]:[AwayTeam]],$T32, Table2[[HomeTeam]:[HomeTeam]], AP$31) + SUMIFS(Table2[[HomeWon_]:[HomeWon_]], Table2[[GameIsOver]:[GameIsOver]],1,Table2[[HomeTeam]:[HomeTeam]],$T2, Table2[[AwayTeam]:[AwayTeam]], AP$31))) + (0*(SUMIFS(Table2[[HomeWon_]:[HomeWon_]], Table2[[GameIsOver]:[GameIsOver]],1,Table2[[AwayTeam]:[AwayTeam]],$T32, Table2[[HomeTeam]:[HomeTeam]], AP$31, Table2[[ActualResult]:[ActualResult]], "REG") + SUMIFS(Table2[[AwayWon]:[AwayWon]], Table2[[GameIsOver]:[GameIsOver]],1,Table2[[HomeTeam]:[HomeTeam]],$T32, Table2[[AwayTeam]:[AwayTeam]], AP$31, Table2[[ActualResult]:[ActualResult]], "REG"))) + (1*(SUMIFS(Table2[[HomeWon_]:[HomeWon_]], Table2[[GameIsOver]:[GameIsOver]],1,Table2[[AwayTeam]:[AwayTeam]],$T32, Table2[[HomeTeam]:[HomeTeam]], AP$31, Table2[[ActualResult]:[ActualResult]], "OT") + SUMIFS(Table2[[AwayWon]:[AwayWon]], Table2[[GameIsOver]:[GameIsOver]],1,Table2[[HomeTeam]:[HomeTeam]],$T32, Table2[[AwayTeam]:[AwayTeam]], AP$31, Table2[[ActualResult]:[ActualResult]], "OT") + SUMIFS(Table2[[HomeWon_]:[HomeWon_]], Table2[[GameIsOver]:[GameIsOver]],1,Table2[[AwayTeam]:[AwayTeam]],$T32, Table2[[HomeTeam]:[HomeTeam]], AP$31, Table2[[ActualResult]:[ActualResult]], "SO") + SUMIFS(Table2[[AwayWon]:[AwayWon]], Table2[[GameIsOver]:[GameIsOver]],1,Table2[[HomeTeam]:[HomeTeam]],$T32, Table2[[AwayTeam]:[AwayTeam]], AP$31, Table2[[ActualResult]:[ActualResult]], "SO")))</f>
        <v>0</v>
      </c>
      <c r="AQ32">
        <f>(2*(SUMIFS(Table2[[AwayWon]:[AwayWon]], Table2[[GameIsOver]:[GameIsOver]],1,Table2[[AwayTeam]:[AwayTeam]],$T32, Table2[[HomeTeam]:[HomeTeam]], AQ$31) + SUMIFS(Table2[[HomeWon_]:[HomeWon_]], Table2[[GameIsOver]:[GameIsOver]],1,Table2[[HomeTeam]:[HomeTeam]],$T2, Table2[[AwayTeam]:[AwayTeam]], AQ$31))) + (0*(SUMIFS(Table2[[HomeWon_]:[HomeWon_]], Table2[[GameIsOver]:[GameIsOver]],1,Table2[[AwayTeam]:[AwayTeam]],$T32, Table2[[HomeTeam]:[HomeTeam]], AQ$31, Table2[[ActualResult]:[ActualResult]], "REG") + SUMIFS(Table2[[AwayWon]:[AwayWon]], Table2[[GameIsOver]:[GameIsOver]],1,Table2[[HomeTeam]:[HomeTeam]],$T32, Table2[[AwayTeam]:[AwayTeam]], AQ$31, Table2[[ActualResult]:[ActualResult]], "REG"))) + (1*(SUMIFS(Table2[[HomeWon_]:[HomeWon_]], Table2[[GameIsOver]:[GameIsOver]],1,Table2[[AwayTeam]:[AwayTeam]],$T32, Table2[[HomeTeam]:[HomeTeam]], AQ$31, Table2[[ActualResult]:[ActualResult]], "OT") + SUMIFS(Table2[[AwayWon]:[AwayWon]], Table2[[GameIsOver]:[GameIsOver]],1,Table2[[HomeTeam]:[HomeTeam]],$T32, Table2[[AwayTeam]:[AwayTeam]], AQ$31, Table2[[ActualResult]:[ActualResult]], "OT") + SUMIFS(Table2[[HomeWon_]:[HomeWon_]], Table2[[GameIsOver]:[GameIsOver]],1,Table2[[AwayTeam]:[AwayTeam]],$T32, Table2[[HomeTeam]:[HomeTeam]], AQ$31, Table2[[ActualResult]:[ActualResult]], "SO") + SUMIFS(Table2[[AwayWon]:[AwayWon]], Table2[[GameIsOver]:[GameIsOver]],1,Table2[[HomeTeam]:[HomeTeam]],$T32, Table2[[AwayTeam]:[AwayTeam]], AQ$31, Table2[[ActualResult]:[ActualResult]], "SO")))</f>
        <v>0</v>
      </c>
      <c r="AR32">
        <f>(2*(SUMIFS(Table2[[AwayWon]:[AwayWon]], Table2[[GameIsOver]:[GameIsOver]],1,Table2[[AwayTeam]:[AwayTeam]],$T32, Table2[[HomeTeam]:[HomeTeam]], AR$31) + SUMIFS(Table2[[HomeWon_]:[HomeWon_]], Table2[[GameIsOver]:[GameIsOver]],1,Table2[[HomeTeam]:[HomeTeam]],$T2, Table2[[AwayTeam]:[AwayTeam]], AR$31))) + (0*(SUMIFS(Table2[[HomeWon_]:[HomeWon_]], Table2[[GameIsOver]:[GameIsOver]],1,Table2[[AwayTeam]:[AwayTeam]],$T32, Table2[[HomeTeam]:[HomeTeam]], AR$31, Table2[[ActualResult]:[ActualResult]], "REG") + SUMIFS(Table2[[AwayWon]:[AwayWon]], Table2[[GameIsOver]:[GameIsOver]],1,Table2[[HomeTeam]:[HomeTeam]],$T32, Table2[[AwayTeam]:[AwayTeam]], AR$31, Table2[[ActualResult]:[ActualResult]], "REG"))) + (1*(SUMIFS(Table2[[HomeWon_]:[HomeWon_]], Table2[[GameIsOver]:[GameIsOver]],1,Table2[[AwayTeam]:[AwayTeam]],$T32, Table2[[HomeTeam]:[HomeTeam]], AR$31, Table2[[ActualResult]:[ActualResult]], "OT") + SUMIFS(Table2[[AwayWon]:[AwayWon]], Table2[[GameIsOver]:[GameIsOver]],1,Table2[[HomeTeam]:[HomeTeam]],$T32, Table2[[AwayTeam]:[AwayTeam]], AR$31, Table2[[ActualResult]:[ActualResult]], "OT") + SUMIFS(Table2[[HomeWon_]:[HomeWon_]], Table2[[GameIsOver]:[GameIsOver]],1,Table2[[AwayTeam]:[AwayTeam]],$T32, Table2[[HomeTeam]:[HomeTeam]], AR$31, Table2[[ActualResult]:[ActualResult]], "SO") + SUMIFS(Table2[[AwayWon]:[AwayWon]], Table2[[GameIsOver]:[GameIsOver]],1,Table2[[HomeTeam]:[HomeTeam]],$T32, Table2[[AwayTeam]:[AwayTeam]], AR$31, Table2[[ActualResult]:[ActualResult]], "SO")))</f>
        <v>0</v>
      </c>
      <c r="AS32">
        <f>(2*(SUMIFS(Table2[[AwayWon]:[AwayWon]], Table2[[GameIsOver]:[GameIsOver]],1,Table2[[AwayTeam]:[AwayTeam]],$T32, Table2[[HomeTeam]:[HomeTeam]], AS$31) + SUMIFS(Table2[[HomeWon_]:[HomeWon_]], Table2[[GameIsOver]:[GameIsOver]],1,Table2[[HomeTeam]:[HomeTeam]],$T2, Table2[[AwayTeam]:[AwayTeam]], AS$31))) + (0*(SUMIFS(Table2[[HomeWon_]:[HomeWon_]], Table2[[GameIsOver]:[GameIsOver]],1,Table2[[AwayTeam]:[AwayTeam]],$T32, Table2[[HomeTeam]:[HomeTeam]], AS$31, Table2[[ActualResult]:[ActualResult]], "REG") + SUMIFS(Table2[[AwayWon]:[AwayWon]], Table2[[GameIsOver]:[GameIsOver]],1,Table2[[HomeTeam]:[HomeTeam]],$T32, Table2[[AwayTeam]:[AwayTeam]], AS$31, Table2[[ActualResult]:[ActualResult]], "REG"))) + (1*(SUMIFS(Table2[[HomeWon_]:[HomeWon_]], Table2[[GameIsOver]:[GameIsOver]],1,Table2[[AwayTeam]:[AwayTeam]],$T32, Table2[[HomeTeam]:[HomeTeam]], AS$31, Table2[[ActualResult]:[ActualResult]], "OT") + SUMIFS(Table2[[AwayWon]:[AwayWon]], Table2[[GameIsOver]:[GameIsOver]],1,Table2[[HomeTeam]:[HomeTeam]],$T32, Table2[[AwayTeam]:[AwayTeam]], AS$31, Table2[[ActualResult]:[ActualResult]], "OT") + SUMIFS(Table2[[HomeWon_]:[HomeWon_]], Table2[[GameIsOver]:[GameIsOver]],1,Table2[[AwayTeam]:[AwayTeam]],$T32, Table2[[HomeTeam]:[HomeTeam]], AS$31, Table2[[ActualResult]:[ActualResult]], "SO") + SUMIFS(Table2[[AwayWon]:[AwayWon]], Table2[[GameIsOver]:[GameIsOver]],1,Table2[[HomeTeam]:[HomeTeam]],$T32, Table2[[AwayTeam]:[AwayTeam]], AS$31, Table2[[ActualResult]:[ActualResult]], "SO")))</f>
        <v>0</v>
      </c>
      <c r="AT32">
        <f>(2*(SUMIFS(Table2[[AwayWon]:[AwayWon]], Table2[[GameIsOver]:[GameIsOver]],1,Table2[[AwayTeam]:[AwayTeam]],$T32, Table2[[HomeTeam]:[HomeTeam]], AT$31) + SUMIFS(Table2[[HomeWon_]:[HomeWon_]], Table2[[GameIsOver]:[GameIsOver]],1,Table2[[HomeTeam]:[HomeTeam]],$T2, Table2[[AwayTeam]:[AwayTeam]], AT$31))) + (0*(SUMIFS(Table2[[HomeWon_]:[HomeWon_]], Table2[[GameIsOver]:[GameIsOver]],1,Table2[[AwayTeam]:[AwayTeam]],$T32, Table2[[HomeTeam]:[HomeTeam]], AT$31, Table2[[ActualResult]:[ActualResult]], "REG") + SUMIFS(Table2[[AwayWon]:[AwayWon]], Table2[[GameIsOver]:[GameIsOver]],1,Table2[[HomeTeam]:[HomeTeam]],$T32, Table2[[AwayTeam]:[AwayTeam]], AT$31, Table2[[ActualResult]:[ActualResult]], "REG"))) + (1*(SUMIFS(Table2[[HomeWon_]:[HomeWon_]], Table2[[GameIsOver]:[GameIsOver]],1,Table2[[AwayTeam]:[AwayTeam]],$T32, Table2[[HomeTeam]:[HomeTeam]], AT$31, Table2[[ActualResult]:[ActualResult]], "OT") + SUMIFS(Table2[[AwayWon]:[AwayWon]], Table2[[GameIsOver]:[GameIsOver]],1,Table2[[HomeTeam]:[HomeTeam]],$T32, Table2[[AwayTeam]:[AwayTeam]], AT$31, Table2[[ActualResult]:[ActualResult]], "OT") + SUMIFS(Table2[[HomeWon_]:[HomeWon_]], Table2[[GameIsOver]:[GameIsOver]],1,Table2[[AwayTeam]:[AwayTeam]],$T32, Table2[[HomeTeam]:[HomeTeam]], AT$31, Table2[[ActualResult]:[ActualResult]], "SO") + SUMIFS(Table2[[AwayWon]:[AwayWon]], Table2[[GameIsOver]:[GameIsOver]],1,Table2[[HomeTeam]:[HomeTeam]],$T32, Table2[[AwayTeam]:[AwayTeam]], AT$31, Table2[[ActualResult]:[ActualResult]], "SO")))</f>
        <v>2</v>
      </c>
      <c r="AU32">
        <f>(2*(SUMIFS(Table2[[AwayWon]:[AwayWon]], Table2[[GameIsOver]:[GameIsOver]],1,Table2[[AwayTeam]:[AwayTeam]],$T32, Table2[[HomeTeam]:[HomeTeam]], AU$31) + SUMIFS(Table2[[HomeWon_]:[HomeWon_]], Table2[[GameIsOver]:[GameIsOver]],1,Table2[[HomeTeam]:[HomeTeam]],$T2, Table2[[AwayTeam]:[AwayTeam]], AU$31))) + (0*(SUMIFS(Table2[[HomeWon_]:[HomeWon_]], Table2[[GameIsOver]:[GameIsOver]],1,Table2[[AwayTeam]:[AwayTeam]],$T32, Table2[[HomeTeam]:[HomeTeam]], AU$31, Table2[[ActualResult]:[ActualResult]], "REG") + SUMIFS(Table2[[AwayWon]:[AwayWon]], Table2[[GameIsOver]:[GameIsOver]],1,Table2[[HomeTeam]:[HomeTeam]],$T32, Table2[[AwayTeam]:[AwayTeam]], AU$31, Table2[[ActualResult]:[ActualResult]], "REG"))) + (1*(SUMIFS(Table2[[HomeWon_]:[HomeWon_]], Table2[[GameIsOver]:[GameIsOver]],1,Table2[[AwayTeam]:[AwayTeam]],$T32, Table2[[HomeTeam]:[HomeTeam]], AU$31, Table2[[ActualResult]:[ActualResult]], "OT") + SUMIFS(Table2[[AwayWon]:[AwayWon]], Table2[[GameIsOver]:[GameIsOver]],1,Table2[[HomeTeam]:[HomeTeam]],$T32, Table2[[AwayTeam]:[AwayTeam]], AU$31, Table2[[ActualResult]:[ActualResult]], "OT") + SUMIFS(Table2[[HomeWon_]:[HomeWon_]], Table2[[GameIsOver]:[GameIsOver]],1,Table2[[AwayTeam]:[AwayTeam]],$T32, Table2[[HomeTeam]:[HomeTeam]], AU$31, Table2[[ActualResult]:[ActualResult]], "SO") + SUMIFS(Table2[[AwayWon]:[AwayWon]], Table2[[GameIsOver]:[GameIsOver]],1,Table2[[HomeTeam]:[HomeTeam]],$T32, Table2[[AwayTeam]:[AwayTeam]], AU$31, Table2[[ActualResult]:[ActualResult]], "SO")))</f>
        <v>0</v>
      </c>
      <c r="AV32">
        <f>(2*(SUMIFS(Table2[[AwayWon]:[AwayWon]], Table2[[GameIsOver]:[GameIsOver]],1,Table2[[AwayTeam]:[AwayTeam]],$T32, Table2[[HomeTeam]:[HomeTeam]], AV$31) + SUMIFS(Table2[[HomeWon_]:[HomeWon_]], Table2[[GameIsOver]:[GameIsOver]],1,Table2[[HomeTeam]:[HomeTeam]],$T2, Table2[[AwayTeam]:[AwayTeam]], AV$31))) + (0*(SUMIFS(Table2[[HomeWon_]:[HomeWon_]], Table2[[GameIsOver]:[GameIsOver]],1,Table2[[AwayTeam]:[AwayTeam]],$T32, Table2[[HomeTeam]:[HomeTeam]], AV$31, Table2[[ActualResult]:[ActualResult]], "REG") + SUMIFS(Table2[[AwayWon]:[AwayWon]], Table2[[GameIsOver]:[GameIsOver]],1,Table2[[HomeTeam]:[HomeTeam]],$T32, Table2[[AwayTeam]:[AwayTeam]], AV$31, Table2[[ActualResult]:[ActualResult]], "REG"))) + (1*(SUMIFS(Table2[[HomeWon_]:[HomeWon_]], Table2[[GameIsOver]:[GameIsOver]],1,Table2[[AwayTeam]:[AwayTeam]],$T32, Table2[[HomeTeam]:[HomeTeam]], AV$31, Table2[[ActualResult]:[ActualResult]], "OT") + SUMIFS(Table2[[AwayWon]:[AwayWon]], Table2[[GameIsOver]:[GameIsOver]],1,Table2[[HomeTeam]:[HomeTeam]],$T32, Table2[[AwayTeam]:[AwayTeam]], AV$31, Table2[[ActualResult]:[ActualResult]], "OT") + SUMIFS(Table2[[HomeWon_]:[HomeWon_]], Table2[[GameIsOver]:[GameIsOver]],1,Table2[[AwayTeam]:[AwayTeam]],$T32, Table2[[HomeTeam]:[HomeTeam]], AV$31, Table2[[ActualResult]:[ActualResult]], "SO") + SUMIFS(Table2[[AwayWon]:[AwayWon]], Table2[[GameIsOver]:[GameIsOver]],1,Table2[[HomeTeam]:[HomeTeam]],$T32, Table2[[AwayTeam]:[AwayTeam]], AV$31, Table2[[ActualResult]:[ActualResult]], "SO")))</f>
        <v>0</v>
      </c>
      <c r="AW32">
        <f>(2*(SUMIFS(Table2[[AwayWon]:[AwayWon]], Table2[[GameIsOver]:[GameIsOver]],1,Table2[[AwayTeam]:[AwayTeam]],$T32, Table2[[HomeTeam]:[HomeTeam]], AW$31) + SUMIFS(Table2[[HomeWon_]:[HomeWon_]], Table2[[GameIsOver]:[GameIsOver]],1,Table2[[HomeTeam]:[HomeTeam]],$T2, Table2[[AwayTeam]:[AwayTeam]], AW$31))) + (0*(SUMIFS(Table2[[HomeWon_]:[HomeWon_]], Table2[[GameIsOver]:[GameIsOver]],1,Table2[[AwayTeam]:[AwayTeam]],$T32, Table2[[HomeTeam]:[HomeTeam]], AW$31, Table2[[ActualResult]:[ActualResult]], "REG") + SUMIFS(Table2[[AwayWon]:[AwayWon]], Table2[[GameIsOver]:[GameIsOver]],1,Table2[[HomeTeam]:[HomeTeam]],$T32, Table2[[AwayTeam]:[AwayTeam]], AW$31, Table2[[ActualResult]:[ActualResult]], "REG"))) + (1*(SUMIFS(Table2[[HomeWon_]:[HomeWon_]], Table2[[GameIsOver]:[GameIsOver]],1,Table2[[AwayTeam]:[AwayTeam]],$T32, Table2[[HomeTeam]:[HomeTeam]], AW$31, Table2[[ActualResult]:[ActualResult]], "OT") + SUMIFS(Table2[[AwayWon]:[AwayWon]], Table2[[GameIsOver]:[GameIsOver]],1,Table2[[HomeTeam]:[HomeTeam]],$T32, Table2[[AwayTeam]:[AwayTeam]], AW$31, Table2[[ActualResult]:[ActualResult]], "OT") + SUMIFS(Table2[[HomeWon_]:[HomeWon_]], Table2[[GameIsOver]:[GameIsOver]],1,Table2[[AwayTeam]:[AwayTeam]],$T32, Table2[[HomeTeam]:[HomeTeam]], AW$31, Table2[[ActualResult]:[ActualResult]], "SO") + SUMIFS(Table2[[AwayWon]:[AwayWon]], Table2[[GameIsOver]:[GameIsOver]],1,Table2[[HomeTeam]:[HomeTeam]],$T32, Table2[[AwayTeam]:[AwayTeam]], AW$31, Table2[[ActualResult]:[ActualResult]], "SO")))</f>
        <v>0</v>
      </c>
      <c r="AX32">
        <f>(2*(SUMIFS(Table2[[AwayWon]:[AwayWon]], Table2[[GameIsOver]:[GameIsOver]],1,Table2[[AwayTeam]:[AwayTeam]],$T32, Table2[[HomeTeam]:[HomeTeam]], AX$31) + SUMIFS(Table2[[HomeWon_]:[HomeWon_]], Table2[[GameIsOver]:[GameIsOver]],1,Table2[[HomeTeam]:[HomeTeam]],$T2, Table2[[AwayTeam]:[AwayTeam]], AX$31))) + (0*(SUMIFS(Table2[[HomeWon_]:[HomeWon_]], Table2[[GameIsOver]:[GameIsOver]],1,Table2[[AwayTeam]:[AwayTeam]],$T32, Table2[[HomeTeam]:[HomeTeam]], AX$31, Table2[[ActualResult]:[ActualResult]], "REG") + SUMIFS(Table2[[AwayWon]:[AwayWon]], Table2[[GameIsOver]:[GameIsOver]],1,Table2[[HomeTeam]:[HomeTeam]],$T32, Table2[[AwayTeam]:[AwayTeam]], AX$31, Table2[[ActualResult]:[ActualResult]], "REG"))) + (1*(SUMIFS(Table2[[HomeWon_]:[HomeWon_]], Table2[[GameIsOver]:[GameIsOver]],1,Table2[[AwayTeam]:[AwayTeam]],$T32, Table2[[HomeTeam]:[HomeTeam]], AX$31, Table2[[ActualResult]:[ActualResult]], "OT") + SUMIFS(Table2[[AwayWon]:[AwayWon]], Table2[[GameIsOver]:[GameIsOver]],1,Table2[[HomeTeam]:[HomeTeam]],$T32, Table2[[AwayTeam]:[AwayTeam]], AX$31, Table2[[ActualResult]:[ActualResult]], "OT") + SUMIFS(Table2[[HomeWon_]:[HomeWon_]], Table2[[GameIsOver]:[GameIsOver]],1,Table2[[AwayTeam]:[AwayTeam]],$T32, Table2[[HomeTeam]:[HomeTeam]], AX$31, Table2[[ActualResult]:[ActualResult]], "SO") + SUMIFS(Table2[[AwayWon]:[AwayWon]], Table2[[GameIsOver]:[GameIsOver]],1,Table2[[HomeTeam]:[HomeTeam]],$T32, Table2[[AwayTeam]:[AwayTeam]], AX$31, Table2[[ActualResult]:[ActualResult]], "SO")))</f>
        <v>0</v>
      </c>
      <c r="AY32">
        <f>(2*(SUMIFS(Table2[[AwayWon]:[AwayWon]], Table2[[GameIsOver]:[GameIsOver]],1,Table2[[AwayTeam]:[AwayTeam]],$T32, Table2[[HomeTeam]:[HomeTeam]], AY$31) + SUMIFS(Table2[[HomeWon_]:[HomeWon_]], Table2[[GameIsOver]:[GameIsOver]],1,Table2[[HomeTeam]:[HomeTeam]],$T2, Table2[[AwayTeam]:[AwayTeam]], AY$31))) + (0*(SUMIFS(Table2[[HomeWon_]:[HomeWon_]], Table2[[GameIsOver]:[GameIsOver]],1,Table2[[AwayTeam]:[AwayTeam]],$T32, Table2[[HomeTeam]:[HomeTeam]], AY$31, Table2[[ActualResult]:[ActualResult]], "REG") + SUMIFS(Table2[[AwayWon]:[AwayWon]], Table2[[GameIsOver]:[GameIsOver]],1,Table2[[HomeTeam]:[HomeTeam]],$T32, Table2[[AwayTeam]:[AwayTeam]], AY$31, Table2[[ActualResult]:[ActualResult]], "REG"))) + (1*(SUMIFS(Table2[[HomeWon_]:[HomeWon_]], Table2[[GameIsOver]:[GameIsOver]],1,Table2[[AwayTeam]:[AwayTeam]],$T32, Table2[[HomeTeam]:[HomeTeam]], AY$31, Table2[[ActualResult]:[ActualResult]], "OT") + SUMIFS(Table2[[AwayWon]:[AwayWon]], Table2[[GameIsOver]:[GameIsOver]],1,Table2[[HomeTeam]:[HomeTeam]],$T32, Table2[[AwayTeam]:[AwayTeam]], AY$31, Table2[[ActualResult]:[ActualResult]], "OT") + SUMIFS(Table2[[HomeWon_]:[HomeWon_]], Table2[[GameIsOver]:[GameIsOver]],1,Table2[[AwayTeam]:[AwayTeam]],$T32, Table2[[HomeTeam]:[HomeTeam]], AY$31, Table2[[ActualResult]:[ActualResult]], "SO") + SUMIFS(Table2[[AwayWon]:[AwayWon]], Table2[[GameIsOver]:[GameIsOver]],1,Table2[[HomeTeam]:[HomeTeam]],$T32, Table2[[AwayTeam]:[AwayTeam]], AY$31, Table2[[ActualResult]:[ActualResult]], "SO")))</f>
        <v>0</v>
      </c>
      <c r="AZ32">
        <f>(2*(SUMIFS(Table2[[AwayWon]:[AwayWon]], Table2[[GameIsOver]:[GameIsOver]],1,Table2[[AwayTeam]:[AwayTeam]],$T32, Table2[[HomeTeam]:[HomeTeam]], AZ$31) + SUMIFS(Table2[[HomeWon_]:[HomeWon_]], Table2[[GameIsOver]:[GameIsOver]],1,Table2[[HomeTeam]:[HomeTeam]],$T2, Table2[[AwayTeam]:[AwayTeam]], AZ$31))) + (0*(SUMIFS(Table2[[HomeWon_]:[HomeWon_]], Table2[[GameIsOver]:[GameIsOver]],1,Table2[[AwayTeam]:[AwayTeam]],$T32, Table2[[HomeTeam]:[HomeTeam]], AZ$31, Table2[[ActualResult]:[ActualResult]], "REG") + SUMIFS(Table2[[AwayWon]:[AwayWon]], Table2[[GameIsOver]:[GameIsOver]],1,Table2[[HomeTeam]:[HomeTeam]],$T32, Table2[[AwayTeam]:[AwayTeam]], AZ$31, Table2[[ActualResult]:[ActualResult]], "REG"))) + (1*(SUMIFS(Table2[[HomeWon_]:[HomeWon_]], Table2[[GameIsOver]:[GameIsOver]],1,Table2[[AwayTeam]:[AwayTeam]],$T32, Table2[[HomeTeam]:[HomeTeam]], AZ$31, Table2[[ActualResult]:[ActualResult]], "OT") + SUMIFS(Table2[[AwayWon]:[AwayWon]], Table2[[GameIsOver]:[GameIsOver]],1,Table2[[HomeTeam]:[HomeTeam]],$T32, Table2[[AwayTeam]:[AwayTeam]], AZ$31, Table2[[ActualResult]:[ActualResult]], "OT") + SUMIFS(Table2[[HomeWon_]:[HomeWon_]], Table2[[GameIsOver]:[GameIsOver]],1,Table2[[AwayTeam]:[AwayTeam]],$T32, Table2[[HomeTeam]:[HomeTeam]], AZ$31, Table2[[ActualResult]:[ActualResult]], "SO") + SUMIFS(Table2[[AwayWon]:[AwayWon]], Table2[[GameIsOver]:[GameIsOver]],1,Table2[[HomeTeam]:[HomeTeam]],$T32, Table2[[AwayTeam]:[AwayTeam]], AZ$31, Table2[[ActualResult]:[ActualResult]], "SO")))</f>
        <v>0</v>
      </c>
      <c r="BA32">
        <f>(2*(SUMIFS(Table2[[AwayWon]:[AwayWon]], Table2[[GameIsOver]:[GameIsOver]],1,Table2[[AwayTeam]:[AwayTeam]],$T32, Table2[[HomeTeam]:[HomeTeam]], BA$31) + SUMIFS(Table2[[HomeWon_]:[HomeWon_]], Table2[[GameIsOver]:[GameIsOver]],1,Table2[[HomeTeam]:[HomeTeam]],$T2, Table2[[AwayTeam]:[AwayTeam]], BA$31))) + (0*(SUMIFS(Table2[[HomeWon_]:[HomeWon_]], Table2[[GameIsOver]:[GameIsOver]],1,Table2[[AwayTeam]:[AwayTeam]],$T32, Table2[[HomeTeam]:[HomeTeam]], BA$31, Table2[[ActualResult]:[ActualResult]], "REG") + SUMIFS(Table2[[AwayWon]:[AwayWon]], Table2[[GameIsOver]:[GameIsOver]],1,Table2[[HomeTeam]:[HomeTeam]],$T32, Table2[[AwayTeam]:[AwayTeam]], BA$31, Table2[[ActualResult]:[ActualResult]], "REG"))) + (1*(SUMIFS(Table2[[HomeWon_]:[HomeWon_]], Table2[[GameIsOver]:[GameIsOver]],1,Table2[[AwayTeam]:[AwayTeam]],$T32, Table2[[HomeTeam]:[HomeTeam]], BA$31, Table2[[ActualResult]:[ActualResult]], "OT") + SUMIFS(Table2[[AwayWon]:[AwayWon]], Table2[[GameIsOver]:[GameIsOver]],1,Table2[[HomeTeam]:[HomeTeam]],$T32, Table2[[AwayTeam]:[AwayTeam]], BA$31, Table2[[ActualResult]:[ActualResult]], "OT") + SUMIFS(Table2[[HomeWon_]:[HomeWon_]], Table2[[GameIsOver]:[GameIsOver]],1,Table2[[AwayTeam]:[AwayTeam]],$T32, Table2[[HomeTeam]:[HomeTeam]], BA$31, Table2[[ActualResult]:[ActualResult]], "SO") + SUMIFS(Table2[[AwayWon]:[AwayWon]], Table2[[GameIsOver]:[GameIsOver]],1,Table2[[HomeTeam]:[HomeTeam]],$T32, Table2[[AwayTeam]:[AwayTeam]], BA$31, Table2[[ActualResult]:[ActualResult]], "SO")))</f>
        <v>0</v>
      </c>
    </row>
    <row r="33" spans="1:53" x14ac:dyDescent="0.25">
      <c r="A33" s="116" t="s">
        <v>43</v>
      </c>
      <c r="B33" s="116" t="s">
        <v>91</v>
      </c>
      <c r="C33" s="116" t="s">
        <v>92</v>
      </c>
      <c r="D33" s="116">
        <f>INDEX(Table3[PTS], MATCH(Table6[[#This Row],[Teams]], Table3[Teams],0))</f>
        <v>10</v>
      </c>
      <c r="E33" s="116">
        <f>INDEX(Table3[PTS], MATCH(Table6[[#This Row],[Teams]], Table3[Teams],0))</f>
        <v>10</v>
      </c>
      <c r="S33">
        <v>7</v>
      </c>
      <c r="T33" t="str" cm="1">
        <f t="array" ref="T33">INDEX(Table6[Teams], SMALL(IF(Table6[D]="A", ROW(Table6[Teams])-ROW(Table6[#Headers])), Table71214[[#This Row],[ATL]]))</f>
        <v>TBL</v>
      </c>
      <c r="U33">
        <f>INDEX(Table6[PTS], MATCH($T33, Table6[Teams], 0))</f>
        <v>4</v>
      </c>
      <c r="V33">
        <f>(2*(SUMIFS(Table2[[AwayWon]:[AwayWon]], Table2[[GameIsOver]:[GameIsOver]],1,Table2[[AwayTeam]:[AwayTeam]],$T33, Table2[[HomeTeam]:[HomeTeam]], V$31) + SUMIFS(Table2[[HomeWon_]:[HomeWon_]], Table2[[GameIsOver]:[GameIsOver]],1,Table2[[HomeTeam]:[HomeTeam]],$T3, Table2[[AwayTeam]:[AwayTeam]], V$31))) + (0*(SUMIFS(Table2[[HomeWon_]:[HomeWon_]], Table2[[GameIsOver]:[GameIsOver]],1,Table2[[AwayTeam]:[AwayTeam]],$T33, Table2[[HomeTeam]:[HomeTeam]], V$31, Table2[[ActualResult]:[ActualResult]], "REG") + SUMIFS(Table2[[AwayWon]:[AwayWon]], Table2[[GameIsOver]:[GameIsOver]],1,Table2[[HomeTeam]:[HomeTeam]],$T33, Table2[[AwayTeam]:[AwayTeam]], V$31, Table2[[ActualResult]:[ActualResult]], "REG"))) + (1*(SUMIFS(Table2[[HomeWon_]:[HomeWon_]], Table2[[GameIsOver]:[GameIsOver]],1,Table2[[AwayTeam]:[AwayTeam]],$T33, Table2[[HomeTeam]:[HomeTeam]], V$31, Table2[[ActualResult]:[ActualResult]], "OT") + SUMIFS(Table2[[AwayWon]:[AwayWon]], Table2[[GameIsOver]:[GameIsOver]],1,Table2[[HomeTeam]:[HomeTeam]],$T33, Table2[[AwayTeam]:[AwayTeam]], V$31, Table2[[ActualResult]:[ActualResult]], "OT") + SUMIFS(Table2[[HomeWon_]:[HomeWon_]], Table2[[GameIsOver]:[GameIsOver]],1,Table2[[AwayTeam]:[AwayTeam]],$T33, Table2[[HomeTeam]:[HomeTeam]], V$31, Table2[[ActualResult]:[ActualResult]], "SO") + SUMIFS(Table2[[AwayWon]:[AwayWon]], Table2[[GameIsOver]:[GameIsOver]],1,Table2[[HomeTeam]:[HomeTeam]],$T33, Table2[[AwayTeam]:[AwayTeam]], V$31, Table2[[ActualResult]:[ActualResult]], "SO")))</f>
        <v>0</v>
      </c>
      <c r="W33">
        <f>(2*(SUMIFS(Table2[[AwayWon]:[AwayWon]], Table2[[GameIsOver]:[GameIsOver]],1,Table2[[AwayTeam]:[AwayTeam]],$T33, Table2[[HomeTeam]:[HomeTeam]], W$31) + SUMIFS(Table2[[HomeWon_]:[HomeWon_]], Table2[[GameIsOver]:[GameIsOver]],1,Table2[[HomeTeam]:[HomeTeam]],$T3, Table2[[AwayTeam]:[AwayTeam]], W$31))) + (0*(SUMIFS(Table2[[HomeWon_]:[HomeWon_]], Table2[[GameIsOver]:[GameIsOver]],1,Table2[[AwayTeam]:[AwayTeam]],$T33, Table2[[HomeTeam]:[HomeTeam]], W$31, Table2[[ActualResult]:[ActualResult]], "REG") + SUMIFS(Table2[[AwayWon]:[AwayWon]], Table2[[GameIsOver]:[GameIsOver]],1,Table2[[HomeTeam]:[HomeTeam]],$T33, Table2[[AwayTeam]:[AwayTeam]], W$31, Table2[[ActualResult]:[ActualResult]], "REG"))) + (1*(SUMIFS(Table2[[HomeWon_]:[HomeWon_]], Table2[[GameIsOver]:[GameIsOver]],1,Table2[[AwayTeam]:[AwayTeam]],$T33, Table2[[HomeTeam]:[HomeTeam]], W$31, Table2[[ActualResult]:[ActualResult]], "OT") + SUMIFS(Table2[[AwayWon]:[AwayWon]], Table2[[GameIsOver]:[GameIsOver]],1,Table2[[HomeTeam]:[HomeTeam]],$T33, Table2[[AwayTeam]:[AwayTeam]], W$31, Table2[[ActualResult]:[ActualResult]], "OT") + SUMIFS(Table2[[HomeWon_]:[HomeWon_]], Table2[[GameIsOver]:[GameIsOver]],1,Table2[[AwayTeam]:[AwayTeam]],$T33, Table2[[HomeTeam]:[HomeTeam]], W$31, Table2[[ActualResult]:[ActualResult]], "SO") + SUMIFS(Table2[[AwayWon]:[AwayWon]], Table2[[GameIsOver]:[GameIsOver]],1,Table2[[HomeTeam]:[HomeTeam]],$T33, Table2[[AwayTeam]:[AwayTeam]], W$31, Table2[[ActualResult]:[ActualResult]], "SO")))</f>
        <v>0</v>
      </c>
      <c r="X33">
        <f>(2*(SUMIFS(Table2[[AwayWon]:[AwayWon]], Table2[[GameIsOver]:[GameIsOver]],1,Table2[[AwayTeam]:[AwayTeam]],$T33, Table2[[HomeTeam]:[HomeTeam]], X$31) + SUMIFS(Table2[[HomeWon_]:[HomeWon_]], Table2[[GameIsOver]:[GameIsOver]],1,Table2[[HomeTeam]:[HomeTeam]],$T3, Table2[[AwayTeam]:[AwayTeam]], X$31))) + (0*(SUMIFS(Table2[[HomeWon_]:[HomeWon_]], Table2[[GameIsOver]:[GameIsOver]],1,Table2[[AwayTeam]:[AwayTeam]],$T33, Table2[[HomeTeam]:[HomeTeam]], X$31, Table2[[ActualResult]:[ActualResult]], "REG") + SUMIFS(Table2[[AwayWon]:[AwayWon]], Table2[[GameIsOver]:[GameIsOver]],1,Table2[[HomeTeam]:[HomeTeam]],$T33, Table2[[AwayTeam]:[AwayTeam]], X$31, Table2[[ActualResult]:[ActualResult]], "REG"))) + (1*(SUMIFS(Table2[[HomeWon_]:[HomeWon_]], Table2[[GameIsOver]:[GameIsOver]],1,Table2[[AwayTeam]:[AwayTeam]],$T33, Table2[[HomeTeam]:[HomeTeam]], X$31, Table2[[ActualResult]:[ActualResult]], "OT") + SUMIFS(Table2[[AwayWon]:[AwayWon]], Table2[[GameIsOver]:[GameIsOver]],1,Table2[[HomeTeam]:[HomeTeam]],$T33, Table2[[AwayTeam]:[AwayTeam]], X$31, Table2[[ActualResult]:[ActualResult]], "OT") + SUMIFS(Table2[[HomeWon_]:[HomeWon_]], Table2[[GameIsOver]:[GameIsOver]],1,Table2[[AwayTeam]:[AwayTeam]],$T33, Table2[[HomeTeam]:[HomeTeam]], X$31, Table2[[ActualResult]:[ActualResult]], "SO") + SUMIFS(Table2[[AwayWon]:[AwayWon]], Table2[[GameIsOver]:[GameIsOver]],1,Table2[[HomeTeam]:[HomeTeam]],$T33, Table2[[AwayTeam]:[AwayTeam]], X$31, Table2[[ActualResult]:[ActualResult]], "SO")))</f>
        <v>0</v>
      </c>
      <c r="Y33">
        <f>(2*(SUMIFS(Table2[[AwayWon]:[AwayWon]], Table2[[GameIsOver]:[GameIsOver]],1,Table2[[AwayTeam]:[AwayTeam]],$T33, Table2[[HomeTeam]:[HomeTeam]], Y$31) + SUMIFS(Table2[[HomeWon_]:[HomeWon_]], Table2[[GameIsOver]:[GameIsOver]],1,Table2[[HomeTeam]:[HomeTeam]],$T3, Table2[[AwayTeam]:[AwayTeam]], Y$31))) + (0*(SUMIFS(Table2[[HomeWon_]:[HomeWon_]], Table2[[GameIsOver]:[GameIsOver]],1,Table2[[AwayTeam]:[AwayTeam]],$T33, Table2[[HomeTeam]:[HomeTeam]], Y$31, Table2[[ActualResult]:[ActualResult]], "REG") + SUMIFS(Table2[[AwayWon]:[AwayWon]], Table2[[GameIsOver]:[GameIsOver]],1,Table2[[HomeTeam]:[HomeTeam]],$T33, Table2[[AwayTeam]:[AwayTeam]], Y$31, Table2[[ActualResult]:[ActualResult]], "REG"))) + (1*(SUMIFS(Table2[[HomeWon_]:[HomeWon_]], Table2[[GameIsOver]:[GameIsOver]],1,Table2[[AwayTeam]:[AwayTeam]],$T33, Table2[[HomeTeam]:[HomeTeam]], Y$31, Table2[[ActualResult]:[ActualResult]], "OT") + SUMIFS(Table2[[AwayWon]:[AwayWon]], Table2[[GameIsOver]:[GameIsOver]],1,Table2[[HomeTeam]:[HomeTeam]],$T33, Table2[[AwayTeam]:[AwayTeam]], Y$31, Table2[[ActualResult]:[ActualResult]], "OT") + SUMIFS(Table2[[HomeWon_]:[HomeWon_]], Table2[[GameIsOver]:[GameIsOver]],1,Table2[[AwayTeam]:[AwayTeam]],$T33, Table2[[HomeTeam]:[HomeTeam]], Y$31, Table2[[ActualResult]:[ActualResult]], "SO") + SUMIFS(Table2[[AwayWon]:[AwayWon]], Table2[[GameIsOver]:[GameIsOver]],1,Table2[[HomeTeam]:[HomeTeam]],$T33, Table2[[AwayTeam]:[AwayTeam]], Y$31, Table2[[ActualResult]:[ActualResult]], "SO")))</f>
        <v>0</v>
      </c>
      <c r="Z33">
        <f>(2*(SUMIFS(Table2[[AwayWon]:[AwayWon]], Table2[[GameIsOver]:[GameIsOver]],1,Table2[[AwayTeam]:[AwayTeam]],$T33, Table2[[HomeTeam]:[HomeTeam]], Z$31) + SUMIFS(Table2[[HomeWon_]:[HomeWon_]], Table2[[GameIsOver]:[GameIsOver]],1,Table2[[HomeTeam]:[HomeTeam]],$T3, Table2[[AwayTeam]:[AwayTeam]], Z$31))) + (0*(SUMIFS(Table2[[HomeWon_]:[HomeWon_]], Table2[[GameIsOver]:[GameIsOver]],1,Table2[[AwayTeam]:[AwayTeam]],$T33, Table2[[HomeTeam]:[HomeTeam]], Z$31, Table2[[ActualResult]:[ActualResult]], "REG") + SUMIFS(Table2[[AwayWon]:[AwayWon]], Table2[[GameIsOver]:[GameIsOver]],1,Table2[[HomeTeam]:[HomeTeam]],$T33, Table2[[AwayTeam]:[AwayTeam]], Z$31, Table2[[ActualResult]:[ActualResult]], "REG"))) + (1*(SUMIFS(Table2[[HomeWon_]:[HomeWon_]], Table2[[GameIsOver]:[GameIsOver]],1,Table2[[AwayTeam]:[AwayTeam]],$T33, Table2[[HomeTeam]:[HomeTeam]], Z$31, Table2[[ActualResult]:[ActualResult]], "OT") + SUMIFS(Table2[[AwayWon]:[AwayWon]], Table2[[GameIsOver]:[GameIsOver]],1,Table2[[HomeTeam]:[HomeTeam]],$T33, Table2[[AwayTeam]:[AwayTeam]], Z$31, Table2[[ActualResult]:[ActualResult]], "OT") + SUMIFS(Table2[[HomeWon_]:[HomeWon_]], Table2[[GameIsOver]:[GameIsOver]],1,Table2[[AwayTeam]:[AwayTeam]],$T33, Table2[[HomeTeam]:[HomeTeam]], Z$31, Table2[[ActualResult]:[ActualResult]], "SO") + SUMIFS(Table2[[AwayWon]:[AwayWon]], Table2[[GameIsOver]:[GameIsOver]],1,Table2[[HomeTeam]:[HomeTeam]],$T33, Table2[[AwayTeam]:[AwayTeam]], Z$31, Table2[[ActualResult]:[ActualResult]], "SO")))</f>
        <v>0</v>
      </c>
      <c r="AA33">
        <f>(2*(SUMIFS(Table2[[AwayWon]:[AwayWon]], Table2[[GameIsOver]:[GameIsOver]],1,Table2[[AwayTeam]:[AwayTeam]],$T33, Table2[[HomeTeam]:[HomeTeam]], AA$31) + SUMIFS(Table2[[HomeWon_]:[HomeWon_]], Table2[[GameIsOver]:[GameIsOver]],1,Table2[[HomeTeam]:[HomeTeam]],$T3, Table2[[AwayTeam]:[AwayTeam]], AA$31))) + (0*(SUMIFS(Table2[[HomeWon_]:[HomeWon_]], Table2[[GameIsOver]:[GameIsOver]],1,Table2[[AwayTeam]:[AwayTeam]],$T33, Table2[[HomeTeam]:[HomeTeam]], AA$31, Table2[[ActualResult]:[ActualResult]], "REG") + SUMIFS(Table2[[AwayWon]:[AwayWon]], Table2[[GameIsOver]:[GameIsOver]],1,Table2[[HomeTeam]:[HomeTeam]],$T33, Table2[[AwayTeam]:[AwayTeam]], AA$31, Table2[[ActualResult]:[ActualResult]], "REG"))) + (1*(SUMIFS(Table2[[HomeWon_]:[HomeWon_]], Table2[[GameIsOver]:[GameIsOver]],1,Table2[[AwayTeam]:[AwayTeam]],$T33, Table2[[HomeTeam]:[HomeTeam]], AA$31, Table2[[ActualResult]:[ActualResult]], "OT") + SUMIFS(Table2[[AwayWon]:[AwayWon]], Table2[[GameIsOver]:[GameIsOver]],1,Table2[[HomeTeam]:[HomeTeam]],$T33, Table2[[AwayTeam]:[AwayTeam]], AA$31, Table2[[ActualResult]:[ActualResult]], "OT") + SUMIFS(Table2[[HomeWon_]:[HomeWon_]], Table2[[GameIsOver]:[GameIsOver]],1,Table2[[AwayTeam]:[AwayTeam]],$T33, Table2[[HomeTeam]:[HomeTeam]], AA$31, Table2[[ActualResult]:[ActualResult]], "SO") + SUMIFS(Table2[[AwayWon]:[AwayWon]], Table2[[GameIsOver]:[GameIsOver]],1,Table2[[HomeTeam]:[HomeTeam]],$T33, Table2[[AwayTeam]:[AwayTeam]], AA$31, Table2[[ActualResult]:[ActualResult]], "SO")))</f>
        <v>0</v>
      </c>
      <c r="AB33">
        <f>(2*(SUMIFS(Table2[[AwayWon]:[AwayWon]], Table2[[GameIsOver]:[GameIsOver]],1,Table2[[AwayTeam]:[AwayTeam]],$T33, Table2[[HomeTeam]:[HomeTeam]], AB$31) + SUMIFS(Table2[[HomeWon_]:[HomeWon_]], Table2[[GameIsOver]:[GameIsOver]],1,Table2[[HomeTeam]:[HomeTeam]],$T3, Table2[[AwayTeam]:[AwayTeam]], AB$31))) + (0*(SUMIFS(Table2[[HomeWon_]:[HomeWon_]], Table2[[GameIsOver]:[GameIsOver]],1,Table2[[AwayTeam]:[AwayTeam]],$T33, Table2[[HomeTeam]:[HomeTeam]], AB$31, Table2[[ActualResult]:[ActualResult]], "REG") + SUMIFS(Table2[[AwayWon]:[AwayWon]], Table2[[GameIsOver]:[GameIsOver]],1,Table2[[HomeTeam]:[HomeTeam]],$T33, Table2[[AwayTeam]:[AwayTeam]], AB$31, Table2[[ActualResult]:[ActualResult]], "REG"))) + (1*(SUMIFS(Table2[[HomeWon_]:[HomeWon_]], Table2[[GameIsOver]:[GameIsOver]],1,Table2[[AwayTeam]:[AwayTeam]],$T33, Table2[[HomeTeam]:[HomeTeam]], AB$31, Table2[[ActualResult]:[ActualResult]], "OT") + SUMIFS(Table2[[AwayWon]:[AwayWon]], Table2[[GameIsOver]:[GameIsOver]],1,Table2[[HomeTeam]:[HomeTeam]],$T33, Table2[[AwayTeam]:[AwayTeam]], AB$31, Table2[[ActualResult]:[ActualResult]], "OT") + SUMIFS(Table2[[HomeWon_]:[HomeWon_]], Table2[[GameIsOver]:[GameIsOver]],1,Table2[[AwayTeam]:[AwayTeam]],$T33, Table2[[HomeTeam]:[HomeTeam]], AB$31, Table2[[ActualResult]:[ActualResult]], "SO") + SUMIFS(Table2[[AwayWon]:[AwayWon]], Table2[[GameIsOver]:[GameIsOver]],1,Table2[[HomeTeam]:[HomeTeam]],$T33, Table2[[AwayTeam]:[AwayTeam]], AB$31, Table2[[ActualResult]:[ActualResult]], "SO")))</f>
        <v>0</v>
      </c>
      <c r="AC33">
        <f>(2*(SUMIFS(Table2[[AwayWon]:[AwayWon]], Table2[[GameIsOver]:[GameIsOver]],1,Table2[[AwayTeam]:[AwayTeam]],$T33, Table2[[HomeTeam]:[HomeTeam]], AC$31) + SUMIFS(Table2[[HomeWon_]:[HomeWon_]], Table2[[GameIsOver]:[GameIsOver]],1,Table2[[HomeTeam]:[HomeTeam]],$T3, Table2[[AwayTeam]:[AwayTeam]], AC$31))) + (0*(SUMIFS(Table2[[HomeWon_]:[HomeWon_]], Table2[[GameIsOver]:[GameIsOver]],1,Table2[[AwayTeam]:[AwayTeam]],$T33, Table2[[HomeTeam]:[HomeTeam]], AC$31, Table2[[ActualResult]:[ActualResult]], "REG") + SUMIFS(Table2[[AwayWon]:[AwayWon]], Table2[[GameIsOver]:[GameIsOver]],1,Table2[[HomeTeam]:[HomeTeam]],$T33, Table2[[AwayTeam]:[AwayTeam]], AC$31, Table2[[ActualResult]:[ActualResult]], "REG"))) + (1*(SUMIFS(Table2[[HomeWon_]:[HomeWon_]], Table2[[GameIsOver]:[GameIsOver]],1,Table2[[AwayTeam]:[AwayTeam]],$T33, Table2[[HomeTeam]:[HomeTeam]], AC$31, Table2[[ActualResult]:[ActualResult]], "OT") + SUMIFS(Table2[[AwayWon]:[AwayWon]], Table2[[GameIsOver]:[GameIsOver]],1,Table2[[HomeTeam]:[HomeTeam]],$T33, Table2[[AwayTeam]:[AwayTeam]], AC$31, Table2[[ActualResult]:[ActualResult]], "OT") + SUMIFS(Table2[[HomeWon_]:[HomeWon_]], Table2[[GameIsOver]:[GameIsOver]],1,Table2[[AwayTeam]:[AwayTeam]],$T33, Table2[[HomeTeam]:[HomeTeam]], AC$31, Table2[[ActualResult]:[ActualResult]], "SO") + SUMIFS(Table2[[AwayWon]:[AwayWon]], Table2[[GameIsOver]:[GameIsOver]],1,Table2[[HomeTeam]:[HomeTeam]],$T33, Table2[[AwayTeam]:[AwayTeam]], AC$31, Table2[[ActualResult]:[ActualResult]], "SO")))</f>
        <v>0</v>
      </c>
      <c r="AD33">
        <f>(2*(SUMIFS(Table2[[AwayWon]:[AwayWon]], Table2[[GameIsOver]:[GameIsOver]],1,Table2[[AwayTeam]:[AwayTeam]],$T33, Table2[[HomeTeam]:[HomeTeam]], AD$31) + SUMIFS(Table2[[HomeWon_]:[HomeWon_]], Table2[[GameIsOver]:[GameIsOver]],1,Table2[[HomeTeam]:[HomeTeam]],$T3, Table2[[AwayTeam]:[AwayTeam]], AD$31))) + (0*(SUMIFS(Table2[[HomeWon_]:[HomeWon_]], Table2[[GameIsOver]:[GameIsOver]],1,Table2[[AwayTeam]:[AwayTeam]],$T33, Table2[[HomeTeam]:[HomeTeam]], AD$31, Table2[[ActualResult]:[ActualResult]], "REG") + SUMIFS(Table2[[AwayWon]:[AwayWon]], Table2[[GameIsOver]:[GameIsOver]],1,Table2[[HomeTeam]:[HomeTeam]],$T33, Table2[[AwayTeam]:[AwayTeam]], AD$31, Table2[[ActualResult]:[ActualResult]], "REG"))) + (1*(SUMIFS(Table2[[HomeWon_]:[HomeWon_]], Table2[[GameIsOver]:[GameIsOver]],1,Table2[[AwayTeam]:[AwayTeam]],$T33, Table2[[HomeTeam]:[HomeTeam]], AD$31, Table2[[ActualResult]:[ActualResult]], "OT") + SUMIFS(Table2[[AwayWon]:[AwayWon]], Table2[[GameIsOver]:[GameIsOver]],1,Table2[[HomeTeam]:[HomeTeam]],$T33, Table2[[AwayTeam]:[AwayTeam]], AD$31, Table2[[ActualResult]:[ActualResult]], "OT") + SUMIFS(Table2[[HomeWon_]:[HomeWon_]], Table2[[GameIsOver]:[GameIsOver]],1,Table2[[AwayTeam]:[AwayTeam]],$T33, Table2[[HomeTeam]:[HomeTeam]], AD$31, Table2[[ActualResult]:[ActualResult]], "SO") + SUMIFS(Table2[[AwayWon]:[AwayWon]], Table2[[GameIsOver]:[GameIsOver]],1,Table2[[HomeTeam]:[HomeTeam]],$T33, Table2[[AwayTeam]:[AwayTeam]], AD$31, Table2[[ActualResult]:[ActualResult]], "SO")))</f>
        <v>0</v>
      </c>
      <c r="AE33">
        <f>(2*(SUMIFS(Table2[[AwayWon]:[AwayWon]], Table2[[GameIsOver]:[GameIsOver]],1,Table2[[AwayTeam]:[AwayTeam]],$T33, Table2[[HomeTeam]:[HomeTeam]], AE$31) + SUMIFS(Table2[[HomeWon_]:[HomeWon_]], Table2[[GameIsOver]:[GameIsOver]],1,Table2[[HomeTeam]:[HomeTeam]],$T3, Table2[[AwayTeam]:[AwayTeam]], AE$31))) + (0*(SUMIFS(Table2[[HomeWon_]:[HomeWon_]], Table2[[GameIsOver]:[GameIsOver]],1,Table2[[AwayTeam]:[AwayTeam]],$T33, Table2[[HomeTeam]:[HomeTeam]], AE$31, Table2[[ActualResult]:[ActualResult]], "REG") + SUMIFS(Table2[[AwayWon]:[AwayWon]], Table2[[GameIsOver]:[GameIsOver]],1,Table2[[HomeTeam]:[HomeTeam]],$T33, Table2[[AwayTeam]:[AwayTeam]], AE$31, Table2[[ActualResult]:[ActualResult]], "REG"))) + (1*(SUMIFS(Table2[[HomeWon_]:[HomeWon_]], Table2[[GameIsOver]:[GameIsOver]],1,Table2[[AwayTeam]:[AwayTeam]],$T33, Table2[[HomeTeam]:[HomeTeam]], AE$31, Table2[[ActualResult]:[ActualResult]], "OT") + SUMIFS(Table2[[AwayWon]:[AwayWon]], Table2[[GameIsOver]:[GameIsOver]],1,Table2[[HomeTeam]:[HomeTeam]],$T33, Table2[[AwayTeam]:[AwayTeam]], AE$31, Table2[[ActualResult]:[ActualResult]], "OT") + SUMIFS(Table2[[HomeWon_]:[HomeWon_]], Table2[[GameIsOver]:[GameIsOver]],1,Table2[[AwayTeam]:[AwayTeam]],$T33, Table2[[HomeTeam]:[HomeTeam]], AE$31, Table2[[ActualResult]:[ActualResult]], "SO") + SUMIFS(Table2[[AwayWon]:[AwayWon]], Table2[[GameIsOver]:[GameIsOver]],1,Table2[[HomeTeam]:[HomeTeam]],$T33, Table2[[AwayTeam]:[AwayTeam]], AE$31, Table2[[ActualResult]:[ActualResult]], "SO")))</f>
        <v>0</v>
      </c>
      <c r="AF33">
        <f>(2*(SUMIFS(Table2[[AwayWon]:[AwayWon]], Table2[[GameIsOver]:[GameIsOver]],1,Table2[[AwayTeam]:[AwayTeam]],$T33, Table2[[HomeTeam]:[HomeTeam]], AF$31) + SUMIFS(Table2[[HomeWon_]:[HomeWon_]], Table2[[GameIsOver]:[GameIsOver]],1,Table2[[HomeTeam]:[HomeTeam]],$T3, Table2[[AwayTeam]:[AwayTeam]], AF$31))) + (0*(SUMIFS(Table2[[HomeWon_]:[HomeWon_]], Table2[[GameIsOver]:[GameIsOver]],1,Table2[[AwayTeam]:[AwayTeam]],$T33, Table2[[HomeTeam]:[HomeTeam]], AF$31, Table2[[ActualResult]:[ActualResult]], "REG") + SUMIFS(Table2[[AwayWon]:[AwayWon]], Table2[[GameIsOver]:[GameIsOver]],1,Table2[[HomeTeam]:[HomeTeam]],$T33, Table2[[AwayTeam]:[AwayTeam]], AF$31, Table2[[ActualResult]:[ActualResult]], "REG"))) + (1*(SUMIFS(Table2[[HomeWon_]:[HomeWon_]], Table2[[GameIsOver]:[GameIsOver]],1,Table2[[AwayTeam]:[AwayTeam]],$T33, Table2[[HomeTeam]:[HomeTeam]], AF$31, Table2[[ActualResult]:[ActualResult]], "OT") + SUMIFS(Table2[[AwayWon]:[AwayWon]], Table2[[GameIsOver]:[GameIsOver]],1,Table2[[HomeTeam]:[HomeTeam]],$T33, Table2[[AwayTeam]:[AwayTeam]], AF$31, Table2[[ActualResult]:[ActualResult]], "OT") + SUMIFS(Table2[[HomeWon_]:[HomeWon_]], Table2[[GameIsOver]:[GameIsOver]],1,Table2[[AwayTeam]:[AwayTeam]],$T33, Table2[[HomeTeam]:[HomeTeam]], AF$31, Table2[[ActualResult]:[ActualResult]], "SO") + SUMIFS(Table2[[AwayWon]:[AwayWon]], Table2[[GameIsOver]:[GameIsOver]],1,Table2[[HomeTeam]:[HomeTeam]],$T33, Table2[[AwayTeam]:[AwayTeam]], AF$31, Table2[[ActualResult]:[ActualResult]], "SO")))</f>
        <v>0</v>
      </c>
      <c r="AG33">
        <f>(2*(SUMIFS(Table2[[AwayWon]:[AwayWon]], Table2[[GameIsOver]:[GameIsOver]],1,Table2[[AwayTeam]:[AwayTeam]],$T33, Table2[[HomeTeam]:[HomeTeam]], AG$31) + SUMIFS(Table2[[HomeWon_]:[HomeWon_]], Table2[[GameIsOver]:[GameIsOver]],1,Table2[[HomeTeam]:[HomeTeam]],$T3, Table2[[AwayTeam]:[AwayTeam]], AG$31))) + (0*(SUMIFS(Table2[[HomeWon_]:[HomeWon_]], Table2[[GameIsOver]:[GameIsOver]],1,Table2[[AwayTeam]:[AwayTeam]],$T33, Table2[[HomeTeam]:[HomeTeam]], AG$31, Table2[[ActualResult]:[ActualResult]], "REG") + SUMIFS(Table2[[AwayWon]:[AwayWon]], Table2[[GameIsOver]:[GameIsOver]],1,Table2[[HomeTeam]:[HomeTeam]],$T33, Table2[[AwayTeam]:[AwayTeam]], AG$31, Table2[[ActualResult]:[ActualResult]], "REG"))) + (1*(SUMIFS(Table2[[HomeWon_]:[HomeWon_]], Table2[[GameIsOver]:[GameIsOver]],1,Table2[[AwayTeam]:[AwayTeam]],$T33, Table2[[HomeTeam]:[HomeTeam]], AG$31, Table2[[ActualResult]:[ActualResult]], "OT") + SUMIFS(Table2[[AwayWon]:[AwayWon]], Table2[[GameIsOver]:[GameIsOver]],1,Table2[[HomeTeam]:[HomeTeam]],$T33, Table2[[AwayTeam]:[AwayTeam]], AG$31, Table2[[ActualResult]:[ActualResult]], "OT") + SUMIFS(Table2[[HomeWon_]:[HomeWon_]], Table2[[GameIsOver]:[GameIsOver]],1,Table2[[AwayTeam]:[AwayTeam]],$T33, Table2[[HomeTeam]:[HomeTeam]], AG$31, Table2[[ActualResult]:[ActualResult]], "SO") + SUMIFS(Table2[[AwayWon]:[AwayWon]], Table2[[GameIsOver]:[GameIsOver]],1,Table2[[HomeTeam]:[HomeTeam]],$T33, Table2[[AwayTeam]:[AwayTeam]], AG$31, Table2[[ActualResult]:[ActualResult]], "SO")))</f>
        <v>0</v>
      </c>
      <c r="AH33">
        <f>(2*(SUMIFS(Table2[[AwayWon]:[AwayWon]], Table2[[GameIsOver]:[GameIsOver]],1,Table2[[AwayTeam]:[AwayTeam]],$T33, Table2[[HomeTeam]:[HomeTeam]], AH$31) + SUMIFS(Table2[[HomeWon_]:[HomeWon_]], Table2[[GameIsOver]:[GameIsOver]],1,Table2[[HomeTeam]:[HomeTeam]],$T3, Table2[[AwayTeam]:[AwayTeam]], AH$31))) + (0*(SUMIFS(Table2[[HomeWon_]:[HomeWon_]], Table2[[GameIsOver]:[GameIsOver]],1,Table2[[AwayTeam]:[AwayTeam]],$T33, Table2[[HomeTeam]:[HomeTeam]], AH$31, Table2[[ActualResult]:[ActualResult]], "REG") + SUMIFS(Table2[[AwayWon]:[AwayWon]], Table2[[GameIsOver]:[GameIsOver]],1,Table2[[HomeTeam]:[HomeTeam]],$T33, Table2[[AwayTeam]:[AwayTeam]], AH$31, Table2[[ActualResult]:[ActualResult]], "REG"))) + (1*(SUMIFS(Table2[[HomeWon_]:[HomeWon_]], Table2[[GameIsOver]:[GameIsOver]],1,Table2[[AwayTeam]:[AwayTeam]],$T33, Table2[[HomeTeam]:[HomeTeam]], AH$31, Table2[[ActualResult]:[ActualResult]], "OT") + SUMIFS(Table2[[AwayWon]:[AwayWon]], Table2[[GameIsOver]:[GameIsOver]],1,Table2[[HomeTeam]:[HomeTeam]],$T33, Table2[[AwayTeam]:[AwayTeam]], AH$31, Table2[[ActualResult]:[ActualResult]], "OT") + SUMIFS(Table2[[HomeWon_]:[HomeWon_]], Table2[[GameIsOver]:[GameIsOver]],1,Table2[[AwayTeam]:[AwayTeam]],$T33, Table2[[HomeTeam]:[HomeTeam]], AH$31, Table2[[ActualResult]:[ActualResult]], "SO") + SUMIFS(Table2[[AwayWon]:[AwayWon]], Table2[[GameIsOver]:[GameIsOver]],1,Table2[[HomeTeam]:[HomeTeam]],$T33, Table2[[AwayTeam]:[AwayTeam]], AH$31, Table2[[ActualResult]:[ActualResult]], "SO")))</f>
        <v>0</v>
      </c>
      <c r="AI33">
        <f>(2*(SUMIFS(Table2[[AwayWon]:[AwayWon]], Table2[[GameIsOver]:[GameIsOver]],1,Table2[[AwayTeam]:[AwayTeam]],$T33, Table2[[HomeTeam]:[HomeTeam]], AI$31) + SUMIFS(Table2[[HomeWon_]:[HomeWon_]], Table2[[GameIsOver]:[GameIsOver]],1,Table2[[HomeTeam]:[HomeTeam]],$T3, Table2[[AwayTeam]:[AwayTeam]], AI$31))) + (0*(SUMIFS(Table2[[HomeWon_]:[HomeWon_]], Table2[[GameIsOver]:[GameIsOver]],1,Table2[[AwayTeam]:[AwayTeam]],$T33, Table2[[HomeTeam]:[HomeTeam]], AI$31, Table2[[ActualResult]:[ActualResult]], "REG") + SUMIFS(Table2[[AwayWon]:[AwayWon]], Table2[[GameIsOver]:[GameIsOver]],1,Table2[[HomeTeam]:[HomeTeam]],$T33, Table2[[AwayTeam]:[AwayTeam]], AI$31, Table2[[ActualResult]:[ActualResult]], "REG"))) + (1*(SUMIFS(Table2[[HomeWon_]:[HomeWon_]], Table2[[GameIsOver]:[GameIsOver]],1,Table2[[AwayTeam]:[AwayTeam]],$T33, Table2[[HomeTeam]:[HomeTeam]], AI$31, Table2[[ActualResult]:[ActualResult]], "OT") + SUMIFS(Table2[[AwayWon]:[AwayWon]], Table2[[GameIsOver]:[GameIsOver]],1,Table2[[HomeTeam]:[HomeTeam]],$T33, Table2[[AwayTeam]:[AwayTeam]], AI$31, Table2[[ActualResult]:[ActualResult]], "OT") + SUMIFS(Table2[[HomeWon_]:[HomeWon_]], Table2[[GameIsOver]:[GameIsOver]],1,Table2[[AwayTeam]:[AwayTeam]],$T33, Table2[[HomeTeam]:[HomeTeam]], AI$31, Table2[[ActualResult]:[ActualResult]], "SO") + SUMIFS(Table2[[AwayWon]:[AwayWon]], Table2[[GameIsOver]:[GameIsOver]],1,Table2[[HomeTeam]:[HomeTeam]],$T33, Table2[[AwayTeam]:[AwayTeam]], AI$31, Table2[[ActualResult]:[ActualResult]], "SO")))</f>
        <v>0</v>
      </c>
      <c r="AJ33">
        <f>(2*(SUMIFS(Table2[[AwayWon]:[AwayWon]], Table2[[GameIsOver]:[GameIsOver]],1,Table2[[AwayTeam]:[AwayTeam]],$T33, Table2[[HomeTeam]:[HomeTeam]], AJ$31) + SUMIFS(Table2[[HomeWon_]:[HomeWon_]], Table2[[GameIsOver]:[GameIsOver]],1,Table2[[HomeTeam]:[HomeTeam]],$T3, Table2[[AwayTeam]:[AwayTeam]], AJ$31))) + (0*(SUMIFS(Table2[[HomeWon_]:[HomeWon_]], Table2[[GameIsOver]:[GameIsOver]],1,Table2[[AwayTeam]:[AwayTeam]],$T33, Table2[[HomeTeam]:[HomeTeam]], AJ$31, Table2[[ActualResult]:[ActualResult]], "REG") + SUMIFS(Table2[[AwayWon]:[AwayWon]], Table2[[GameIsOver]:[GameIsOver]],1,Table2[[HomeTeam]:[HomeTeam]],$T33, Table2[[AwayTeam]:[AwayTeam]], AJ$31, Table2[[ActualResult]:[ActualResult]], "REG"))) + (1*(SUMIFS(Table2[[HomeWon_]:[HomeWon_]], Table2[[GameIsOver]:[GameIsOver]],1,Table2[[AwayTeam]:[AwayTeam]],$T33, Table2[[HomeTeam]:[HomeTeam]], AJ$31, Table2[[ActualResult]:[ActualResult]], "OT") + SUMIFS(Table2[[AwayWon]:[AwayWon]], Table2[[GameIsOver]:[GameIsOver]],1,Table2[[HomeTeam]:[HomeTeam]],$T33, Table2[[AwayTeam]:[AwayTeam]], AJ$31, Table2[[ActualResult]:[ActualResult]], "OT") + SUMIFS(Table2[[HomeWon_]:[HomeWon_]], Table2[[GameIsOver]:[GameIsOver]],1,Table2[[AwayTeam]:[AwayTeam]],$T33, Table2[[HomeTeam]:[HomeTeam]], AJ$31, Table2[[ActualResult]:[ActualResult]], "SO") + SUMIFS(Table2[[AwayWon]:[AwayWon]], Table2[[GameIsOver]:[GameIsOver]],1,Table2[[HomeTeam]:[HomeTeam]],$T33, Table2[[AwayTeam]:[AwayTeam]], AJ$31, Table2[[ActualResult]:[ActualResult]], "SO")))</f>
        <v>0</v>
      </c>
      <c r="AK33">
        <f>(2*(SUMIFS(Table2[[AwayWon]:[AwayWon]], Table2[[GameIsOver]:[GameIsOver]],1,Table2[[AwayTeam]:[AwayTeam]],$T33, Table2[[HomeTeam]:[HomeTeam]], AK$31) + SUMIFS(Table2[[HomeWon_]:[HomeWon_]], Table2[[GameIsOver]:[GameIsOver]],1,Table2[[HomeTeam]:[HomeTeam]],$T3, Table2[[AwayTeam]:[AwayTeam]], AK$31))) + (0*(SUMIFS(Table2[[HomeWon_]:[HomeWon_]], Table2[[GameIsOver]:[GameIsOver]],1,Table2[[AwayTeam]:[AwayTeam]],$T33, Table2[[HomeTeam]:[HomeTeam]], AK$31, Table2[[ActualResult]:[ActualResult]], "REG") + SUMIFS(Table2[[AwayWon]:[AwayWon]], Table2[[GameIsOver]:[GameIsOver]],1,Table2[[HomeTeam]:[HomeTeam]],$T33, Table2[[AwayTeam]:[AwayTeam]], AK$31, Table2[[ActualResult]:[ActualResult]], "REG"))) + (1*(SUMIFS(Table2[[HomeWon_]:[HomeWon_]], Table2[[GameIsOver]:[GameIsOver]],1,Table2[[AwayTeam]:[AwayTeam]],$T33, Table2[[HomeTeam]:[HomeTeam]], AK$31, Table2[[ActualResult]:[ActualResult]], "OT") + SUMIFS(Table2[[AwayWon]:[AwayWon]], Table2[[GameIsOver]:[GameIsOver]],1,Table2[[HomeTeam]:[HomeTeam]],$T33, Table2[[AwayTeam]:[AwayTeam]], AK$31, Table2[[ActualResult]:[ActualResult]], "OT") + SUMIFS(Table2[[HomeWon_]:[HomeWon_]], Table2[[GameIsOver]:[GameIsOver]],1,Table2[[AwayTeam]:[AwayTeam]],$T33, Table2[[HomeTeam]:[HomeTeam]], AK$31, Table2[[ActualResult]:[ActualResult]], "SO") + SUMIFS(Table2[[AwayWon]:[AwayWon]], Table2[[GameIsOver]:[GameIsOver]],1,Table2[[HomeTeam]:[HomeTeam]],$T33, Table2[[AwayTeam]:[AwayTeam]], AK$31, Table2[[ActualResult]:[ActualResult]], "SO")))</f>
        <v>0</v>
      </c>
      <c r="AL33">
        <f>(2*(SUMIFS(Table2[[AwayWon]:[AwayWon]], Table2[[GameIsOver]:[GameIsOver]],1,Table2[[AwayTeam]:[AwayTeam]],$T33, Table2[[HomeTeam]:[HomeTeam]], AL$31) + SUMIFS(Table2[[HomeWon_]:[HomeWon_]], Table2[[GameIsOver]:[GameIsOver]],1,Table2[[HomeTeam]:[HomeTeam]],$T3, Table2[[AwayTeam]:[AwayTeam]], AL$31))) + (0*(SUMIFS(Table2[[HomeWon_]:[HomeWon_]], Table2[[GameIsOver]:[GameIsOver]],1,Table2[[AwayTeam]:[AwayTeam]],$T33, Table2[[HomeTeam]:[HomeTeam]], AL$31, Table2[[ActualResult]:[ActualResult]], "REG") + SUMIFS(Table2[[AwayWon]:[AwayWon]], Table2[[GameIsOver]:[GameIsOver]],1,Table2[[HomeTeam]:[HomeTeam]],$T33, Table2[[AwayTeam]:[AwayTeam]], AL$31, Table2[[ActualResult]:[ActualResult]], "REG"))) + (1*(SUMIFS(Table2[[HomeWon_]:[HomeWon_]], Table2[[GameIsOver]:[GameIsOver]],1,Table2[[AwayTeam]:[AwayTeam]],$T33, Table2[[HomeTeam]:[HomeTeam]], AL$31, Table2[[ActualResult]:[ActualResult]], "OT") + SUMIFS(Table2[[AwayWon]:[AwayWon]], Table2[[GameIsOver]:[GameIsOver]],1,Table2[[HomeTeam]:[HomeTeam]],$T33, Table2[[AwayTeam]:[AwayTeam]], AL$31, Table2[[ActualResult]:[ActualResult]], "OT") + SUMIFS(Table2[[HomeWon_]:[HomeWon_]], Table2[[GameIsOver]:[GameIsOver]],1,Table2[[AwayTeam]:[AwayTeam]],$T33, Table2[[HomeTeam]:[HomeTeam]], AL$31, Table2[[ActualResult]:[ActualResult]], "SO") + SUMIFS(Table2[[AwayWon]:[AwayWon]], Table2[[GameIsOver]:[GameIsOver]],1,Table2[[HomeTeam]:[HomeTeam]],$T33, Table2[[AwayTeam]:[AwayTeam]], AL$31, Table2[[ActualResult]:[ActualResult]], "SO")))</f>
        <v>0</v>
      </c>
      <c r="AM33">
        <f>(2*(SUMIFS(Table2[[AwayWon]:[AwayWon]], Table2[[GameIsOver]:[GameIsOver]],1,Table2[[AwayTeam]:[AwayTeam]],$T33, Table2[[HomeTeam]:[HomeTeam]], AM$31) + SUMIFS(Table2[[HomeWon_]:[HomeWon_]], Table2[[GameIsOver]:[GameIsOver]],1,Table2[[HomeTeam]:[HomeTeam]],$T3, Table2[[AwayTeam]:[AwayTeam]], AM$31))) + (0*(SUMIFS(Table2[[HomeWon_]:[HomeWon_]], Table2[[GameIsOver]:[GameIsOver]],1,Table2[[AwayTeam]:[AwayTeam]],$T33, Table2[[HomeTeam]:[HomeTeam]], AM$31, Table2[[ActualResult]:[ActualResult]], "REG") + SUMIFS(Table2[[AwayWon]:[AwayWon]], Table2[[GameIsOver]:[GameIsOver]],1,Table2[[HomeTeam]:[HomeTeam]],$T33, Table2[[AwayTeam]:[AwayTeam]], AM$31, Table2[[ActualResult]:[ActualResult]], "REG"))) + (1*(SUMIFS(Table2[[HomeWon_]:[HomeWon_]], Table2[[GameIsOver]:[GameIsOver]],1,Table2[[AwayTeam]:[AwayTeam]],$T33, Table2[[HomeTeam]:[HomeTeam]], AM$31, Table2[[ActualResult]:[ActualResult]], "OT") + SUMIFS(Table2[[AwayWon]:[AwayWon]], Table2[[GameIsOver]:[GameIsOver]],1,Table2[[HomeTeam]:[HomeTeam]],$T33, Table2[[AwayTeam]:[AwayTeam]], AM$31, Table2[[ActualResult]:[ActualResult]], "OT") + SUMIFS(Table2[[HomeWon_]:[HomeWon_]], Table2[[GameIsOver]:[GameIsOver]],1,Table2[[AwayTeam]:[AwayTeam]],$T33, Table2[[HomeTeam]:[HomeTeam]], AM$31, Table2[[ActualResult]:[ActualResult]], "SO") + SUMIFS(Table2[[AwayWon]:[AwayWon]], Table2[[GameIsOver]:[GameIsOver]],1,Table2[[HomeTeam]:[HomeTeam]],$T33, Table2[[AwayTeam]:[AwayTeam]], AM$31, Table2[[ActualResult]:[ActualResult]], "SO")))</f>
        <v>0</v>
      </c>
      <c r="AN33">
        <f>(2*(SUMIFS(Table2[[AwayWon]:[AwayWon]], Table2[[GameIsOver]:[GameIsOver]],1,Table2[[AwayTeam]:[AwayTeam]],$T33, Table2[[HomeTeam]:[HomeTeam]], AN$31) + SUMIFS(Table2[[HomeWon_]:[HomeWon_]], Table2[[GameIsOver]:[GameIsOver]],1,Table2[[HomeTeam]:[HomeTeam]],$T3, Table2[[AwayTeam]:[AwayTeam]], AN$31))) + (0*(SUMIFS(Table2[[HomeWon_]:[HomeWon_]], Table2[[GameIsOver]:[GameIsOver]],1,Table2[[AwayTeam]:[AwayTeam]],$T33, Table2[[HomeTeam]:[HomeTeam]], AN$31, Table2[[ActualResult]:[ActualResult]], "REG") + SUMIFS(Table2[[AwayWon]:[AwayWon]], Table2[[GameIsOver]:[GameIsOver]],1,Table2[[HomeTeam]:[HomeTeam]],$T33, Table2[[AwayTeam]:[AwayTeam]], AN$31, Table2[[ActualResult]:[ActualResult]], "REG"))) + (1*(SUMIFS(Table2[[HomeWon_]:[HomeWon_]], Table2[[GameIsOver]:[GameIsOver]],1,Table2[[AwayTeam]:[AwayTeam]],$T33, Table2[[HomeTeam]:[HomeTeam]], AN$31, Table2[[ActualResult]:[ActualResult]], "OT") + SUMIFS(Table2[[AwayWon]:[AwayWon]], Table2[[GameIsOver]:[GameIsOver]],1,Table2[[HomeTeam]:[HomeTeam]],$T33, Table2[[AwayTeam]:[AwayTeam]], AN$31, Table2[[ActualResult]:[ActualResult]], "OT") + SUMIFS(Table2[[HomeWon_]:[HomeWon_]], Table2[[GameIsOver]:[GameIsOver]],1,Table2[[AwayTeam]:[AwayTeam]],$T33, Table2[[HomeTeam]:[HomeTeam]], AN$31, Table2[[ActualResult]:[ActualResult]], "SO") + SUMIFS(Table2[[AwayWon]:[AwayWon]], Table2[[GameIsOver]:[GameIsOver]],1,Table2[[HomeTeam]:[HomeTeam]],$T33, Table2[[AwayTeam]:[AwayTeam]], AN$31, Table2[[ActualResult]:[ActualResult]], "SO")))</f>
        <v>0</v>
      </c>
      <c r="AO33">
        <f>(2*(SUMIFS(Table2[[AwayWon]:[AwayWon]], Table2[[GameIsOver]:[GameIsOver]],1,Table2[[AwayTeam]:[AwayTeam]],$T33, Table2[[HomeTeam]:[HomeTeam]], AO$31) + SUMIFS(Table2[[HomeWon_]:[HomeWon_]], Table2[[GameIsOver]:[GameIsOver]],1,Table2[[HomeTeam]:[HomeTeam]],$T3, Table2[[AwayTeam]:[AwayTeam]], AO$31))) + (0*(SUMIFS(Table2[[HomeWon_]:[HomeWon_]], Table2[[GameIsOver]:[GameIsOver]],1,Table2[[AwayTeam]:[AwayTeam]],$T33, Table2[[HomeTeam]:[HomeTeam]], AO$31, Table2[[ActualResult]:[ActualResult]], "REG") + SUMIFS(Table2[[AwayWon]:[AwayWon]], Table2[[GameIsOver]:[GameIsOver]],1,Table2[[HomeTeam]:[HomeTeam]],$T33, Table2[[AwayTeam]:[AwayTeam]], AO$31, Table2[[ActualResult]:[ActualResult]], "REG"))) + (1*(SUMIFS(Table2[[HomeWon_]:[HomeWon_]], Table2[[GameIsOver]:[GameIsOver]],1,Table2[[AwayTeam]:[AwayTeam]],$T33, Table2[[HomeTeam]:[HomeTeam]], AO$31, Table2[[ActualResult]:[ActualResult]], "OT") + SUMIFS(Table2[[AwayWon]:[AwayWon]], Table2[[GameIsOver]:[GameIsOver]],1,Table2[[HomeTeam]:[HomeTeam]],$T33, Table2[[AwayTeam]:[AwayTeam]], AO$31, Table2[[ActualResult]:[ActualResult]], "OT") + SUMIFS(Table2[[HomeWon_]:[HomeWon_]], Table2[[GameIsOver]:[GameIsOver]],1,Table2[[AwayTeam]:[AwayTeam]],$T33, Table2[[HomeTeam]:[HomeTeam]], AO$31, Table2[[ActualResult]:[ActualResult]], "SO") + SUMIFS(Table2[[AwayWon]:[AwayWon]], Table2[[GameIsOver]:[GameIsOver]],1,Table2[[HomeTeam]:[HomeTeam]],$T33, Table2[[AwayTeam]:[AwayTeam]], AO$31, Table2[[ActualResult]:[ActualResult]], "SO")))</f>
        <v>0</v>
      </c>
      <c r="AP33">
        <f>(2*(SUMIFS(Table2[[AwayWon]:[AwayWon]], Table2[[GameIsOver]:[GameIsOver]],1,Table2[[AwayTeam]:[AwayTeam]],$T33, Table2[[HomeTeam]:[HomeTeam]], AP$31) + SUMIFS(Table2[[HomeWon_]:[HomeWon_]], Table2[[GameIsOver]:[GameIsOver]],1,Table2[[HomeTeam]:[HomeTeam]],$T3, Table2[[AwayTeam]:[AwayTeam]], AP$31))) + (0*(SUMIFS(Table2[[HomeWon_]:[HomeWon_]], Table2[[GameIsOver]:[GameIsOver]],1,Table2[[AwayTeam]:[AwayTeam]],$T33, Table2[[HomeTeam]:[HomeTeam]], AP$31, Table2[[ActualResult]:[ActualResult]], "REG") + SUMIFS(Table2[[AwayWon]:[AwayWon]], Table2[[GameIsOver]:[GameIsOver]],1,Table2[[HomeTeam]:[HomeTeam]],$T33, Table2[[AwayTeam]:[AwayTeam]], AP$31, Table2[[ActualResult]:[ActualResult]], "REG"))) + (1*(SUMIFS(Table2[[HomeWon_]:[HomeWon_]], Table2[[GameIsOver]:[GameIsOver]],1,Table2[[AwayTeam]:[AwayTeam]],$T33, Table2[[HomeTeam]:[HomeTeam]], AP$31, Table2[[ActualResult]:[ActualResult]], "OT") + SUMIFS(Table2[[AwayWon]:[AwayWon]], Table2[[GameIsOver]:[GameIsOver]],1,Table2[[HomeTeam]:[HomeTeam]],$T33, Table2[[AwayTeam]:[AwayTeam]], AP$31, Table2[[ActualResult]:[ActualResult]], "OT") + SUMIFS(Table2[[HomeWon_]:[HomeWon_]], Table2[[GameIsOver]:[GameIsOver]],1,Table2[[AwayTeam]:[AwayTeam]],$T33, Table2[[HomeTeam]:[HomeTeam]], AP$31, Table2[[ActualResult]:[ActualResult]], "SO") + SUMIFS(Table2[[AwayWon]:[AwayWon]], Table2[[GameIsOver]:[GameIsOver]],1,Table2[[HomeTeam]:[HomeTeam]],$T33, Table2[[AwayTeam]:[AwayTeam]], AP$31, Table2[[ActualResult]:[ActualResult]], "SO")))</f>
        <v>0</v>
      </c>
      <c r="AQ33">
        <f>(2*(SUMIFS(Table2[[AwayWon]:[AwayWon]], Table2[[GameIsOver]:[GameIsOver]],1,Table2[[AwayTeam]:[AwayTeam]],$T33, Table2[[HomeTeam]:[HomeTeam]], AQ$31) + SUMIFS(Table2[[HomeWon_]:[HomeWon_]], Table2[[GameIsOver]:[GameIsOver]],1,Table2[[HomeTeam]:[HomeTeam]],$T3, Table2[[AwayTeam]:[AwayTeam]], AQ$31))) + (0*(SUMIFS(Table2[[HomeWon_]:[HomeWon_]], Table2[[GameIsOver]:[GameIsOver]],1,Table2[[AwayTeam]:[AwayTeam]],$T33, Table2[[HomeTeam]:[HomeTeam]], AQ$31, Table2[[ActualResult]:[ActualResult]], "REG") + SUMIFS(Table2[[AwayWon]:[AwayWon]], Table2[[GameIsOver]:[GameIsOver]],1,Table2[[HomeTeam]:[HomeTeam]],$T33, Table2[[AwayTeam]:[AwayTeam]], AQ$31, Table2[[ActualResult]:[ActualResult]], "REG"))) + (1*(SUMIFS(Table2[[HomeWon_]:[HomeWon_]], Table2[[GameIsOver]:[GameIsOver]],1,Table2[[AwayTeam]:[AwayTeam]],$T33, Table2[[HomeTeam]:[HomeTeam]], AQ$31, Table2[[ActualResult]:[ActualResult]], "OT") + SUMIFS(Table2[[AwayWon]:[AwayWon]], Table2[[GameIsOver]:[GameIsOver]],1,Table2[[HomeTeam]:[HomeTeam]],$T33, Table2[[AwayTeam]:[AwayTeam]], AQ$31, Table2[[ActualResult]:[ActualResult]], "OT") + SUMIFS(Table2[[HomeWon_]:[HomeWon_]], Table2[[GameIsOver]:[GameIsOver]],1,Table2[[AwayTeam]:[AwayTeam]],$T33, Table2[[HomeTeam]:[HomeTeam]], AQ$31, Table2[[ActualResult]:[ActualResult]], "SO") + SUMIFS(Table2[[AwayWon]:[AwayWon]], Table2[[GameIsOver]:[GameIsOver]],1,Table2[[HomeTeam]:[HomeTeam]],$T33, Table2[[AwayTeam]:[AwayTeam]], AQ$31, Table2[[ActualResult]:[ActualResult]], "SO")))</f>
        <v>0</v>
      </c>
      <c r="AR33">
        <f>(2*(SUMIFS(Table2[[AwayWon]:[AwayWon]], Table2[[GameIsOver]:[GameIsOver]],1,Table2[[AwayTeam]:[AwayTeam]],$T33, Table2[[HomeTeam]:[HomeTeam]], AR$31) + SUMIFS(Table2[[HomeWon_]:[HomeWon_]], Table2[[GameIsOver]:[GameIsOver]],1,Table2[[HomeTeam]:[HomeTeam]],$T3, Table2[[AwayTeam]:[AwayTeam]], AR$31))) + (0*(SUMIFS(Table2[[HomeWon_]:[HomeWon_]], Table2[[GameIsOver]:[GameIsOver]],1,Table2[[AwayTeam]:[AwayTeam]],$T33, Table2[[HomeTeam]:[HomeTeam]], AR$31, Table2[[ActualResult]:[ActualResult]], "REG") + SUMIFS(Table2[[AwayWon]:[AwayWon]], Table2[[GameIsOver]:[GameIsOver]],1,Table2[[HomeTeam]:[HomeTeam]],$T33, Table2[[AwayTeam]:[AwayTeam]], AR$31, Table2[[ActualResult]:[ActualResult]], "REG"))) + (1*(SUMIFS(Table2[[HomeWon_]:[HomeWon_]], Table2[[GameIsOver]:[GameIsOver]],1,Table2[[AwayTeam]:[AwayTeam]],$T33, Table2[[HomeTeam]:[HomeTeam]], AR$31, Table2[[ActualResult]:[ActualResult]], "OT") + SUMIFS(Table2[[AwayWon]:[AwayWon]], Table2[[GameIsOver]:[GameIsOver]],1,Table2[[HomeTeam]:[HomeTeam]],$T33, Table2[[AwayTeam]:[AwayTeam]], AR$31, Table2[[ActualResult]:[ActualResult]], "OT") + SUMIFS(Table2[[HomeWon_]:[HomeWon_]], Table2[[GameIsOver]:[GameIsOver]],1,Table2[[AwayTeam]:[AwayTeam]],$T33, Table2[[HomeTeam]:[HomeTeam]], AR$31, Table2[[ActualResult]:[ActualResult]], "SO") + SUMIFS(Table2[[AwayWon]:[AwayWon]], Table2[[GameIsOver]:[GameIsOver]],1,Table2[[HomeTeam]:[HomeTeam]],$T33, Table2[[AwayTeam]:[AwayTeam]], AR$31, Table2[[ActualResult]:[ActualResult]], "SO")))</f>
        <v>0</v>
      </c>
      <c r="AS33">
        <f>(2*(SUMIFS(Table2[[AwayWon]:[AwayWon]], Table2[[GameIsOver]:[GameIsOver]],1,Table2[[AwayTeam]:[AwayTeam]],$T33, Table2[[HomeTeam]:[HomeTeam]], AS$31) + SUMIFS(Table2[[HomeWon_]:[HomeWon_]], Table2[[GameIsOver]:[GameIsOver]],1,Table2[[HomeTeam]:[HomeTeam]],$T3, Table2[[AwayTeam]:[AwayTeam]], AS$31))) + (0*(SUMIFS(Table2[[HomeWon_]:[HomeWon_]], Table2[[GameIsOver]:[GameIsOver]],1,Table2[[AwayTeam]:[AwayTeam]],$T33, Table2[[HomeTeam]:[HomeTeam]], AS$31, Table2[[ActualResult]:[ActualResult]], "REG") + SUMIFS(Table2[[AwayWon]:[AwayWon]], Table2[[GameIsOver]:[GameIsOver]],1,Table2[[HomeTeam]:[HomeTeam]],$T33, Table2[[AwayTeam]:[AwayTeam]], AS$31, Table2[[ActualResult]:[ActualResult]], "REG"))) + (1*(SUMIFS(Table2[[HomeWon_]:[HomeWon_]], Table2[[GameIsOver]:[GameIsOver]],1,Table2[[AwayTeam]:[AwayTeam]],$T33, Table2[[HomeTeam]:[HomeTeam]], AS$31, Table2[[ActualResult]:[ActualResult]], "OT") + SUMIFS(Table2[[AwayWon]:[AwayWon]], Table2[[GameIsOver]:[GameIsOver]],1,Table2[[HomeTeam]:[HomeTeam]],$T33, Table2[[AwayTeam]:[AwayTeam]], AS$31, Table2[[ActualResult]:[ActualResult]], "OT") + SUMIFS(Table2[[HomeWon_]:[HomeWon_]], Table2[[GameIsOver]:[GameIsOver]],1,Table2[[AwayTeam]:[AwayTeam]],$T33, Table2[[HomeTeam]:[HomeTeam]], AS$31, Table2[[ActualResult]:[ActualResult]], "SO") + SUMIFS(Table2[[AwayWon]:[AwayWon]], Table2[[GameIsOver]:[GameIsOver]],1,Table2[[HomeTeam]:[HomeTeam]],$T33, Table2[[AwayTeam]:[AwayTeam]], AS$31, Table2[[ActualResult]:[ActualResult]], "SO")))</f>
        <v>1</v>
      </c>
      <c r="AT33">
        <f>(2*(SUMIFS(Table2[[AwayWon]:[AwayWon]], Table2[[GameIsOver]:[GameIsOver]],1,Table2[[AwayTeam]:[AwayTeam]],$T33, Table2[[HomeTeam]:[HomeTeam]], AT$31) + SUMIFS(Table2[[HomeWon_]:[HomeWon_]], Table2[[GameIsOver]:[GameIsOver]],1,Table2[[HomeTeam]:[HomeTeam]],$T3, Table2[[AwayTeam]:[AwayTeam]], AT$31))) + (0*(SUMIFS(Table2[[HomeWon_]:[HomeWon_]], Table2[[GameIsOver]:[GameIsOver]],1,Table2[[AwayTeam]:[AwayTeam]],$T33, Table2[[HomeTeam]:[HomeTeam]], AT$31, Table2[[ActualResult]:[ActualResult]], "REG") + SUMIFS(Table2[[AwayWon]:[AwayWon]], Table2[[GameIsOver]:[GameIsOver]],1,Table2[[HomeTeam]:[HomeTeam]],$T33, Table2[[AwayTeam]:[AwayTeam]], AT$31, Table2[[ActualResult]:[ActualResult]], "REG"))) + (1*(SUMIFS(Table2[[HomeWon_]:[HomeWon_]], Table2[[GameIsOver]:[GameIsOver]],1,Table2[[AwayTeam]:[AwayTeam]],$T33, Table2[[HomeTeam]:[HomeTeam]], AT$31, Table2[[ActualResult]:[ActualResult]], "OT") + SUMIFS(Table2[[AwayWon]:[AwayWon]], Table2[[GameIsOver]:[GameIsOver]],1,Table2[[HomeTeam]:[HomeTeam]],$T33, Table2[[AwayTeam]:[AwayTeam]], AT$31, Table2[[ActualResult]:[ActualResult]], "OT") + SUMIFS(Table2[[HomeWon_]:[HomeWon_]], Table2[[GameIsOver]:[GameIsOver]],1,Table2[[AwayTeam]:[AwayTeam]],$T33, Table2[[HomeTeam]:[HomeTeam]], AT$31, Table2[[ActualResult]:[ActualResult]], "SO") + SUMIFS(Table2[[AwayWon]:[AwayWon]], Table2[[GameIsOver]:[GameIsOver]],1,Table2[[HomeTeam]:[HomeTeam]],$T33, Table2[[AwayTeam]:[AwayTeam]], AT$31, Table2[[ActualResult]:[ActualResult]], "SO")))</f>
        <v>2</v>
      </c>
      <c r="AU33">
        <f>(2*(SUMIFS(Table2[[AwayWon]:[AwayWon]], Table2[[GameIsOver]:[GameIsOver]],1,Table2[[AwayTeam]:[AwayTeam]],$T33, Table2[[HomeTeam]:[HomeTeam]], AU$31) + SUMIFS(Table2[[HomeWon_]:[HomeWon_]], Table2[[GameIsOver]:[GameIsOver]],1,Table2[[HomeTeam]:[HomeTeam]],$T3, Table2[[AwayTeam]:[AwayTeam]], AU$31))) + (0*(SUMIFS(Table2[[HomeWon_]:[HomeWon_]], Table2[[GameIsOver]:[GameIsOver]],1,Table2[[AwayTeam]:[AwayTeam]],$T33, Table2[[HomeTeam]:[HomeTeam]], AU$31, Table2[[ActualResult]:[ActualResult]], "REG") + SUMIFS(Table2[[AwayWon]:[AwayWon]], Table2[[GameIsOver]:[GameIsOver]],1,Table2[[HomeTeam]:[HomeTeam]],$T33, Table2[[AwayTeam]:[AwayTeam]], AU$31, Table2[[ActualResult]:[ActualResult]], "REG"))) + (1*(SUMIFS(Table2[[HomeWon_]:[HomeWon_]], Table2[[GameIsOver]:[GameIsOver]],1,Table2[[AwayTeam]:[AwayTeam]],$T33, Table2[[HomeTeam]:[HomeTeam]], AU$31, Table2[[ActualResult]:[ActualResult]], "OT") + SUMIFS(Table2[[AwayWon]:[AwayWon]], Table2[[GameIsOver]:[GameIsOver]],1,Table2[[HomeTeam]:[HomeTeam]],$T33, Table2[[AwayTeam]:[AwayTeam]], AU$31, Table2[[ActualResult]:[ActualResult]], "OT") + SUMIFS(Table2[[HomeWon_]:[HomeWon_]], Table2[[GameIsOver]:[GameIsOver]],1,Table2[[AwayTeam]:[AwayTeam]],$T33, Table2[[HomeTeam]:[HomeTeam]], AU$31, Table2[[ActualResult]:[ActualResult]], "SO") + SUMIFS(Table2[[AwayWon]:[AwayWon]], Table2[[GameIsOver]:[GameIsOver]],1,Table2[[HomeTeam]:[HomeTeam]],$T33, Table2[[AwayTeam]:[AwayTeam]], AU$31, Table2[[ActualResult]:[ActualResult]], "SO")))</f>
        <v>0</v>
      </c>
      <c r="AV33">
        <f>(2*(SUMIFS(Table2[[AwayWon]:[AwayWon]], Table2[[GameIsOver]:[GameIsOver]],1,Table2[[AwayTeam]:[AwayTeam]],$T33, Table2[[HomeTeam]:[HomeTeam]], AV$31) + SUMIFS(Table2[[HomeWon_]:[HomeWon_]], Table2[[GameIsOver]:[GameIsOver]],1,Table2[[HomeTeam]:[HomeTeam]],$T3, Table2[[AwayTeam]:[AwayTeam]], AV$31))) + (0*(SUMIFS(Table2[[HomeWon_]:[HomeWon_]], Table2[[GameIsOver]:[GameIsOver]],1,Table2[[AwayTeam]:[AwayTeam]],$T33, Table2[[HomeTeam]:[HomeTeam]], AV$31, Table2[[ActualResult]:[ActualResult]], "REG") + SUMIFS(Table2[[AwayWon]:[AwayWon]], Table2[[GameIsOver]:[GameIsOver]],1,Table2[[HomeTeam]:[HomeTeam]],$T33, Table2[[AwayTeam]:[AwayTeam]], AV$31, Table2[[ActualResult]:[ActualResult]], "REG"))) + (1*(SUMIFS(Table2[[HomeWon_]:[HomeWon_]], Table2[[GameIsOver]:[GameIsOver]],1,Table2[[AwayTeam]:[AwayTeam]],$T33, Table2[[HomeTeam]:[HomeTeam]], AV$31, Table2[[ActualResult]:[ActualResult]], "OT") + SUMIFS(Table2[[AwayWon]:[AwayWon]], Table2[[GameIsOver]:[GameIsOver]],1,Table2[[HomeTeam]:[HomeTeam]],$T33, Table2[[AwayTeam]:[AwayTeam]], AV$31, Table2[[ActualResult]:[ActualResult]], "OT") + SUMIFS(Table2[[HomeWon_]:[HomeWon_]], Table2[[GameIsOver]:[GameIsOver]],1,Table2[[AwayTeam]:[AwayTeam]],$T33, Table2[[HomeTeam]:[HomeTeam]], AV$31, Table2[[ActualResult]:[ActualResult]], "SO") + SUMIFS(Table2[[AwayWon]:[AwayWon]], Table2[[GameIsOver]:[GameIsOver]],1,Table2[[HomeTeam]:[HomeTeam]],$T33, Table2[[AwayTeam]:[AwayTeam]], AV$31, Table2[[ActualResult]:[ActualResult]], "SO")))</f>
        <v>1</v>
      </c>
      <c r="AW33">
        <f>(2*(SUMIFS(Table2[[AwayWon]:[AwayWon]], Table2[[GameIsOver]:[GameIsOver]],1,Table2[[AwayTeam]:[AwayTeam]],$T33, Table2[[HomeTeam]:[HomeTeam]], AW$31) + SUMIFS(Table2[[HomeWon_]:[HomeWon_]], Table2[[GameIsOver]:[GameIsOver]],1,Table2[[HomeTeam]:[HomeTeam]],$T3, Table2[[AwayTeam]:[AwayTeam]], AW$31))) + (0*(SUMIFS(Table2[[HomeWon_]:[HomeWon_]], Table2[[GameIsOver]:[GameIsOver]],1,Table2[[AwayTeam]:[AwayTeam]],$T33, Table2[[HomeTeam]:[HomeTeam]], AW$31, Table2[[ActualResult]:[ActualResult]], "REG") + SUMIFS(Table2[[AwayWon]:[AwayWon]], Table2[[GameIsOver]:[GameIsOver]],1,Table2[[HomeTeam]:[HomeTeam]],$T33, Table2[[AwayTeam]:[AwayTeam]], AW$31, Table2[[ActualResult]:[ActualResult]], "REG"))) + (1*(SUMIFS(Table2[[HomeWon_]:[HomeWon_]], Table2[[GameIsOver]:[GameIsOver]],1,Table2[[AwayTeam]:[AwayTeam]],$T33, Table2[[HomeTeam]:[HomeTeam]], AW$31, Table2[[ActualResult]:[ActualResult]], "OT") + SUMIFS(Table2[[AwayWon]:[AwayWon]], Table2[[GameIsOver]:[GameIsOver]],1,Table2[[HomeTeam]:[HomeTeam]],$T33, Table2[[AwayTeam]:[AwayTeam]], AW$31, Table2[[ActualResult]:[ActualResult]], "OT") + SUMIFS(Table2[[HomeWon_]:[HomeWon_]], Table2[[GameIsOver]:[GameIsOver]],1,Table2[[AwayTeam]:[AwayTeam]],$T33, Table2[[HomeTeam]:[HomeTeam]], AW$31, Table2[[ActualResult]:[ActualResult]], "SO") + SUMIFS(Table2[[AwayWon]:[AwayWon]], Table2[[GameIsOver]:[GameIsOver]],1,Table2[[HomeTeam]:[HomeTeam]],$T33, Table2[[AwayTeam]:[AwayTeam]], AW$31, Table2[[ActualResult]:[ActualResult]], "SO")))</f>
        <v>0</v>
      </c>
      <c r="AX33">
        <f>(2*(SUMIFS(Table2[[AwayWon]:[AwayWon]], Table2[[GameIsOver]:[GameIsOver]],1,Table2[[AwayTeam]:[AwayTeam]],$T33, Table2[[HomeTeam]:[HomeTeam]], AX$31) + SUMIFS(Table2[[HomeWon_]:[HomeWon_]], Table2[[GameIsOver]:[GameIsOver]],1,Table2[[HomeTeam]:[HomeTeam]],$T3, Table2[[AwayTeam]:[AwayTeam]], AX$31))) + (0*(SUMIFS(Table2[[HomeWon_]:[HomeWon_]], Table2[[GameIsOver]:[GameIsOver]],1,Table2[[AwayTeam]:[AwayTeam]],$T33, Table2[[HomeTeam]:[HomeTeam]], AX$31, Table2[[ActualResult]:[ActualResult]], "REG") + SUMIFS(Table2[[AwayWon]:[AwayWon]], Table2[[GameIsOver]:[GameIsOver]],1,Table2[[HomeTeam]:[HomeTeam]],$T33, Table2[[AwayTeam]:[AwayTeam]], AX$31, Table2[[ActualResult]:[ActualResult]], "REG"))) + (1*(SUMIFS(Table2[[HomeWon_]:[HomeWon_]], Table2[[GameIsOver]:[GameIsOver]],1,Table2[[AwayTeam]:[AwayTeam]],$T33, Table2[[HomeTeam]:[HomeTeam]], AX$31, Table2[[ActualResult]:[ActualResult]], "OT") + SUMIFS(Table2[[AwayWon]:[AwayWon]], Table2[[GameIsOver]:[GameIsOver]],1,Table2[[HomeTeam]:[HomeTeam]],$T33, Table2[[AwayTeam]:[AwayTeam]], AX$31, Table2[[ActualResult]:[ActualResult]], "OT") + SUMIFS(Table2[[HomeWon_]:[HomeWon_]], Table2[[GameIsOver]:[GameIsOver]],1,Table2[[AwayTeam]:[AwayTeam]],$T33, Table2[[HomeTeam]:[HomeTeam]], AX$31, Table2[[ActualResult]:[ActualResult]], "SO") + SUMIFS(Table2[[AwayWon]:[AwayWon]], Table2[[GameIsOver]:[GameIsOver]],1,Table2[[HomeTeam]:[HomeTeam]],$T33, Table2[[AwayTeam]:[AwayTeam]], AX$31, Table2[[ActualResult]:[ActualResult]], "SO")))</f>
        <v>0</v>
      </c>
      <c r="AY33">
        <f>(2*(SUMIFS(Table2[[AwayWon]:[AwayWon]], Table2[[GameIsOver]:[GameIsOver]],1,Table2[[AwayTeam]:[AwayTeam]],$T33, Table2[[HomeTeam]:[HomeTeam]], AY$31) + SUMIFS(Table2[[HomeWon_]:[HomeWon_]], Table2[[GameIsOver]:[GameIsOver]],1,Table2[[HomeTeam]:[HomeTeam]],$T3, Table2[[AwayTeam]:[AwayTeam]], AY$31))) + (0*(SUMIFS(Table2[[HomeWon_]:[HomeWon_]], Table2[[GameIsOver]:[GameIsOver]],1,Table2[[AwayTeam]:[AwayTeam]],$T33, Table2[[HomeTeam]:[HomeTeam]], AY$31, Table2[[ActualResult]:[ActualResult]], "REG") + SUMIFS(Table2[[AwayWon]:[AwayWon]], Table2[[GameIsOver]:[GameIsOver]],1,Table2[[HomeTeam]:[HomeTeam]],$T33, Table2[[AwayTeam]:[AwayTeam]], AY$31, Table2[[ActualResult]:[ActualResult]], "REG"))) + (1*(SUMIFS(Table2[[HomeWon_]:[HomeWon_]], Table2[[GameIsOver]:[GameIsOver]],1,Table2[[AwayTeam]:[AwayTeam]],$T33, Table2[[HomeTeam]:[HomeTeam]], AY$31, Table2[[ActualResult]:[ActualResult]], "OT") + SUMIFS(Table2[[AwayWon]:[AwayWon]], Table2[[GameIsOver]:[GameIsOver]],1,Table2[[HomeTeam]:[HomeTeam]],$T33, Table2[[AwayTeam]:[AwayTeam]], AY$31, Table2[[ActualResult]:[ActualResult]], "OT") + SUMIFS(Table2[[HomeWon_]:[HomeWon_]], Table2[[GameIsOver]:[GameIsOver]],1,Table2[[AwayTeam]:[AwayTeam]],$T33, Table2[[HomeTeam]:[HomeTeam]], AY$31, Table2[[ActualResult]:[ActualResult]], "SO") + SUMIFS(Table2[[AwayWon]:[AwayWon]], Table2[[GameIsOver]:[GameIsOver]],1,Table2[[HomeTeam]:[HomeTeam]],$T33, Table2[[AwayTeam]:[AwayTeam]], AY$31, Table2[[ActualResult]:[ActualResult]], "SO")))</f>
        <v>0</v>
      </c>
      <c r="AZ33">
        <f>(2*(SUMIFS(Table2[[AwayWon]:[AwayWon]], Table2[[GameIsOver]:[GameIsOver]],1,Table2[[AwayTeam]:[AwayTeam]],$T33, Table2[[HomeTeam]:[HomeTeam]], AZ$31) + SUMIFS(Table2[[HomeWon_]:[HomeWon_]], Table2[[GameIsOver]:[GameIsOver]],1,Table2[[HomeTeam]:[HomeTeam]],$T3, Table2[[AwayTeam]:[AwayTeam]], AZ$31))) + (0*(SUMIFS(Table2[[HomeWon_]:[HomeWon_]], Table2[[GameIsOver]:[GameIsOver]],1,Table2[[AwayTeam]:[AwayTeam]],$T33, Table2[[HomeTeam]:[HomeTeam]], AZ$31, Table2[[ActualResult]:[ActualResult]], "REG") + SUMIFS(Table2[[AwayWon]:[AwayWon]], Table2[[GameIsOver]:[GameIsOver]],1,Table2[[HomeTeam]:[HomeTeam]],$T33, Table2[[AwayTeam]:[AwayTeam]], AZ$31, Table2[[ActualResult]:[ActualResult]], "REG"))) + (1*(SUMIFS(Table2[[HomeWon_]:[HomeWon_]], Table2[[GameIsOver]:[GameIsOver]],1,Table2[[AwayTeam]:[AwayTeam]],$T33, Table2[[HomeTeam]:[HomeTeam]], AZ$31, Table2[[ActualResult]:[ActualResult]], "OT") + SUMIFS(Table2[[AwayWon]:[AwayWon]], Table2[[GameIsOver]:[GameIsOver]],1,Table2[[HomeTeam]:[HomeTeam]],$T33, Table2[[AwayTeam]:[AwayTeam]], AZ$31, Table2[[ActualResult]:[ActualResult]], "OT") + SUMIFS(Table2[[HomeWon_]:[HomeWon_]], Table2[[GameIsOver]:[GameIsOver]],1,Table2[[AwayTeam]:[AwayTeam]],$T33, Table2[[HomeTeam]:[HomeTeam]], AZ$31, Table2[[ActualResult]:[ActualResult]], "SO") + SUMIFS(Table2[[AwayWon]:[AwayWon]], Table2[[GameIsOver]:[GameIsOver]],1,Table2[[HomeTeam]:[HomeTeam]],$T33, Table2[[AwayTeam]:[AwayTeam]], AZ$31, Table2[[ActualResult]:[ActualResult]], "SO")))</f>
        <v>0</v>
      </c>
      <c r="BA33">
        <f>(2*(SUMIFS(Table2[[AwayWon]:[AwayWon]], Table2[[GameIsOver]:[GameIsOver]],1,Table2[[AwayTeam]:[AwayTeam]],$T33, Table2[[HomeTeam]:[HomeTeam]], BA$31) + SUMIFS(Table2[[HomeWon_]:[HomeWon_]], Table2[[GameIsOver]:[GameIsOver]],1,Table2[[HomeTeam]:[HomeTeam]],$T3, Table2[[AwayTeam]:[AwayTeam]], BA$31))) + (0*(SUMIFS(Table2[[HomeWon_]:[HomeWon_]], Table2[[GameIsOver]:[GameIsOver]],1,Table2[[AwayTeam]:[AwayTeam]],$T33, Table2[[HomeTeam]:[HomeTeam]], BA$31, Table2[[ActualResult]:[ActualResult]], "REG") + SUMIFS(Table2[[AwayWon]:[AwayWon]], Table2[[GameIsOver]:[GameIsOver]],1,Table2[[HomeTeam]:[HomeTeam]],$T33, Table2[[AwayTeam]:[AwayTeam]], BA$31, Table2[[ActualResult]:[ActualResult]], "REG"))) + (1*(SUMIFS(Table2[[HomeWon_]:[HomeWon_]], Table2[[GameIsOver]:[GameIsOver]],1,Table2[[AwayTeam]:[AwayTeam]],$T33, Table2[[HomeTeam]:[HomeTeam]], BA$31, Table2[[ActualResult]:[ActualResult]], "OT") + SUMIFS(Table2[[AwayWon]:[AwayWon]], Table2[[GameIsOver]:[GameIsOver]],1,Table2[[HomeTeam]:[HomeTeam]],$T33, Table2[[AwayTeam]:[AwayTeam]], BA$31, Table2[[ActualResult]:[ActualResult]], "OT") + SUMIFS(Table2[[HomeWon_]:[HomeWon_]], Table2[[GameIsOver]:[GameIsOver]],1,Table2[[AwayTeam]:[AwayTeam]],$T33, Table2[[HomeTeam]:[HomeTeam]], BA$31, Table2[[ActualResult]:[ActualResult]], "SO") + SUMIFS(Table2[[AwayWon]:[AwayWon]], Table2[[GameIsOver]:[GameIsOver]],1,Table2[[HomeTeam]:[HomeTeam]],$T33, Table2[[AwayTeam]:[AwayTeam]], BA$31, Table2[[ActualResult]:[ActualResult]], "SO")))</f>
        <v>0</v>
      </c>
    </row>
    <row r="34" spans="1:53" x14ac:dyDescent="0.25">
      <c r="S34">
        <v>4</v>
      </c>
      <c r="T34" t="str" cm="1">
        <f t="array" ref="T34">INDEX(Table6[Teams], SMALL(IF(Table6[D]="A", ROW(Table6[Teams])-ROW(Table6[#Headers])), Table71214[[#This Row],[ATL]]))</f>
        <v>FLA</v>
      </c>
      <c r="U34">
        <f>INDEX(Table6[PTS], MATCH($T34, Table6[Teams], 0))</f>
        <v>8</v>
      </c>
      <c r="V34">
        <f>(2*(SUMIFS(Table2[[AwayWon]:[AwayWon]], Table2[[GameIsOver]:[GameIsOver]],1,Table2[[AwayTeam]:[AwayTeam]],$T34, Table2[[HomeTeam]:[HomeTeam]], V$31) + SUMIFS(Table2[[HomeWon_]:[HomeWon_]], Table2[[GameIsOver]:[GameIsOver]],1,Table2[[HomeTeam]:[HomeTeam]],$T4, Table2[[AwayTeam]:[AwayTeam]], V$31))) + (0*(SUMIFS(Table2[[HomeWon_]:[HomeWon_]], Table2[[GameIsOver]:[GameIsOver]],1,Table2[[AwayTeam]:[AwayTeam]],$T34, Table2[[HomeTeam]:[HomeTeam]], V$31, Table2[[ActualResult]:[ActualResult]], "REG") + SUMIFS(Table2[[AwayWon]:[AwayWon]], Table2[[GameIsOver]:[GameIsOver]],1,Table2[[HomeTeam]:[HomeTeam]],$T34, Table2[[AwayTeam]:[AwayTeam]], V$31, Table2[[ActualResult]:[ActualResult]], "REG"))) + (1*(SUMIFS(Table2[[HomeWon_]:[HomeWon_]], Table2[[GameIsOver]:[GameIsOver]],1,Table2[[AwayTeam]:[AwayTeam]],$T34, Table2[[HomeTeam]:[HomeTeam]], V$31, Table2[[ActualResult]:[ActualResult]], "OT") + SUMIFS(Table2[[AwayWon]:[AwayWon]], Table2[[GameIsOver]:[GameIsOver]],1,Table2[[HomeTeam]:[HomeTeam]],$T34, Table2[[AwayTeam]:[AwayTeam]], V$31, Table2[[ActualResult]:[ActualResult]], "OT") + SUMIFS(Table2[[HomeWon_]:[HomeWon_]], Table2[[GameIsOver]:[GameIsOver]],1,Table2[[AwayTeam]:[AwayTeam]],$T34, Table2[[HomeTeam]:[HomeTeam]], V$31, Table2[[ActualResult]:[ActualResult]], "SO") + SUMIFS(Table2[[AwayWon]:[AwayWon]], Table2[[GameIsOver]:[GameIsOver]],1,Table2[[HomeTeam]:[HomeTeam]],$T34, Table2[[AwayTeam]:[AwayTeam]], V$31, Table2[[ActualResult]:[ActualResult]], "SO")))</f>
        <v>0</v>
      </c>
      <c r="W34">
        <f>(2*(SUMIFS(Table2[[AwayWon]:[AwayWon]], Table2[[GameIsOver]:[GameIsOver]],1,Table2[[AwayTeam]:[AwayTeam]],$T34, Table2[[HomeTeam]:[HomeTeam]], W$31) + SUMIFS(Table2[[HomeWon_]:[HomeWon_]], Table2[[GameIsOver]:[GameIsOver]],1,Table2[[HomeTeam]:[HomeTeam]],$T4, Table2[[AwayTeam]:[AwayTeam]], W$31))) + (0*(SUMIFS(Table2[[HomeWon_]:[HomeWon_]], Table2[[GameIsOver]:[GameIsOver]],1,Table2[[AwayTeam]:[AwayTeam]],$T34, Table2[[HomeTeam]:[HomeTeam]], W$31, Table2[[ActualResult]:[ActualResult]], "REG") + SUMIFS(Table2[[AwayWon]:[AwayWon]], Table2[[GameIsOver]:[GameIsOver]],1,Table2[[HomeTeam]:[HomeTeam]],$T34, Table2[[AwayTeam]:[AwayTeam]], W$31, Table2[[ActualResult]:[ActualResult]], "REG"))) + (1*(SUMIFS(Table2[[HomeWon_]:[HomeWon_]], Table2[[GameIsOver]:[GameIsOver]],1,Table2[[AwayTeam]:[AwayTeam]],$T34, Table2[[HomeTeam]:[HomeTeam]], W$31, Table2[[ActualResult]:[ActualResult]], "OT") + SUMIFS(Table2[[AwayWon]:[AwayWon]], Table2[[GameIsOver]:[GameIsOver]],1,Table2[[HomeTeam]:[HomeTeam]],$T34, Table2[[AwayTeam]:[AwayTeam]], W$31, Table2[[ActualResult]:[ActualResult]], "OT") + SUMIFS(Table2[[HomeWon_]:[HomeWon_]], Table2[[GameIsOver]:[GameIsOver]],1,Table2[[AwayTeam]:[AwayTeam]],$T34, Table2[[HomeTeam]:[HomeTeam]], W$31, Table2[[ActualResult]:[ActualResult]], "SO") + SUMIFS(Table2[[AwayWon]:[AwayWon]], Table2[[GameIsOver]:[GameIsOver]],1,Table2[[HomeTeam]:[HomeTeam]],$T34, Table2[[AwayTeam]:[AwayTeam]], W$31, Table2[[ActualResult]:[ActualResult]], "SO")))</f>
        <v>0</v>
      </c>
      <c r="X34">
        <f>(2*(SUMIFS(Table2[[AwayWon]:[AwayWon]], Table2[[GameIsOver]:[GameIsOver]],1,Table2[[AwayTeam]:[AwayTeam]],$T34, Table2[[HomeTeam]:[HomeTeam]], X$31) + SUMIFS(Table2[[HomeWon_]:[HomeWon_]], Table2[[GameIsOver]:[GameIsOver]],1,Table2[[HomeTeam]:[HomeTeam]],$T4, Table2[[AwayTeam]:[AwayTeam]], X$31))) + (0*(SUMIFS(Table2[[HomeWon_]:[HomeWon_]], Table2[[GameIsOver]:[GameIsOver]],1,Table2[[AwayTeam]:[AwayTeam]],$T34, Table2[[HomeTeam]:[HomeTeam]], X$31, Table2[[ActualResult]:[ActualResult]], "REG") + SUMIFS(Table2[[AwayWon]:[AwayWon]], Table2[[GameIsOver]:[GameIsOver]],1,Table2[[HomeTeam]:[HomeTeam]],$T34, Table2[[AwayTeam]:[AwayTeam]], X$31, Table2[[ActualResult]:[ActualResult]], "REG"))) + (1*(SUMIFS(Table2[[HomeWon_]:[HomeWon_]], Table2[[GameIsOver]:[GameIsOver]],1,Table2[[AwayTeam]:[AwayTeam]],$T34, Table2[[HomeTeam]:[HomeTeam]], X$31, Table2[[ActualResult]:[ActualResult]], "OT") + SUMIFS(Table2[[AwayWon]:[AwayWon]], Table2[[GameIsOver]:[GameIsOver]],1,Table2[[HomeTeam]:[HomeTeam]],$T34, Table2[[AwayTeam]:[AwayTeam]], X$31, Table2[[ActualResult]:[ActualResult]], "OT") + SUMIFS(Table2[[HomeWon_]:[HomeWon_]], Table2[[GameIsOver]:[GameIsOver]],1,Table2[[AwayTeam]:[AwayTeam]],$T34, Table2[[HomeTeam]:[HomeTeam]], X$31, Table2[[ActualResult]:[ActualResult]], "SO") + SUMIFS(Table2[[AwayWon]:[AwayWon]], Table2[[GameIsOver]:[GameIsOver]],1,Table2[[HomeTeam]:[HomeTeam]],$T34, Table2[[AwayTeam]:[AwayTeam]], X$31, Table2[[ActualResult]:[ActualResult]], "SO")))</f>
        <v>0</v>
      </c>
      <c r="Y34">
        <f>(2*(SUMIFS(Table2[[AwayWon]:[AwayWon]], Table2[[GameIsOver]:[GameIsOver]],1,Table2[[AwayTeam]:[AwayTeam]],$T34, Table2[[HomeTeam]:[HomeTeam]], Y$31) + SUMIFS(Table2[[HomeWon_]:[HomeWon_]], Table2[[GameIsOver]:[GameIsOver]],1,Table2[[HomeTeam]:[HomeTeam]],$T4, Table2[[AwayTeam]:[AwayTeam]], Y$31))) + (0*(SUMIFS(Table2[[HomeWon_]:[HomeWon_]], Table2[[GameIsOver]:[GameIsOver]],1,Table2[[AwayTeam]:[AwayTeam]],$T34, Table2[[HomeTeam]:[HomeTeam]], Y$31, Table2[[ActualResult]:[ActualResult]], "REG") + SUMIFS(Table2[[AwayWon]:[AwayWon]], Table2[[GameIsOver]:[GameIsOver]],1,Table2[[HomeTeam]:[HomeTeam]],$T34, Table2[[AwayTeam]:[AwayTeam]], Y$31, Table2[[ActualResult]:[ActualResult]], "REG"))) + (1*(SUMIFS(Table2[[HomeWon_]:[HomeWon_]], Table2[[GameIsOver]:[GameIsOver]],1,Table2[[AwayTeam]:[AwayTeam]],$T34, Table2[[HomeTeam]:[HomeTeam]], Y$31, Table2[[ActualResult]:[ActualResult]], "OT") + SUMIFS(Table2[[AwayWon]:[AwayWon]], Table2[[GameIsOver]:[GameIsOver]],1,Table2[[HomeTeam]:[HomeTeam]],$T34, Table2[[AwayTeam]:[AwayTeam]], Y$31, Table2[[ActualResult]:[ActualResult]], "OT") + SUMIFS(Table2[[HomeWon_]:[HomeWon_]], Table2[[GameIsOver]:[GameIsOver]],1,Table2[[AwayTeam]:[AwayTeam]],$T34, Table2[[HomeTeam]:[HomeTeam]], Y$31, Table2[[ActualResult]:[ActualResult]], "SO") + SUMIFS(Table2[[AwayWon]:[AwayWon]], Table2[[GameIsOver]:[GameIsOver]],1,Table2[[HomeTeam]:[HomeTeam]],$T34, Table2[[AwayTeam]:[AwayTeam]], Y$31, Table2[[ActualResult]:[ActualResult]], "SO")))</f>
        <v>0</v>
      </c>
      <c r="Z34">
        <f>(2*(SUMIFS(Table2[[AwayWon]:[AwayWon]], Table2[[GameIsOver]:[GameIsOver]],1,Table2[[AwayTeam]:[AwayTeam]],$T34, Table2[[HomeTeam]:[HomeTeam]], Z$31) + SUMIFS(Table2[[HomeWon_]:[HomeWon_]], Table2[[GameIsOver]:[GameIsOver]],1,Table2[[HomeTeam]:[HomeTeam]],$T4, Table2[[AwayTeam]:[AwayTeam]], Z$31))) + (0*(SUMIFS(Table2[[HomeWon_]:[HomeWon_]], Table2[[GameIsOver]:[GameIsOver]],1,Table2[[AwayTeam]:[AwayTeam]],$T34, Table2[[HomeTeam]:[HomeTeam]], Z$31, Table2[[ActualResult]:[ActualResult]], "REG") + SUMIFS(Table2[[AwayWon]:[AwayWon]], Table2[[GameIsOver]:[GameIsOver]],1,Table2[[HomeTeam]:[HomeTeam]],$T34, Table2[[AwayTeam]:[AwayTeam]], Z$31, Table2[[ActualResult]:[ActualResult]], "REG"))) + (1*(SUMIFS(Table2[[HomeWon_]:[HomeWon_]], Table2[[GameIsOver]:[GameIsOver]],1,Table2[[AwayTeam]:[AwayTeam]],$T34, Table2[[HomeTeam]:[HomeTeam]], Z$31, Table2[[ActualResult]:[ActualResult]], "OT") + SUMIFS(Table2[[AwayWon]:[AwayWon]], Table2[[GameIsOver]:[GameIsOver]],1,Table2[[HomeTeam]:[HomeTeam]],$T34, Table2[[AwayTeam]:[AwayTeam]], Z$31, Table2[[ActualResult]:[ActualResult]], "OT") + SUMIFS(Table2[[HomeWon_]:[HomeWon_]], Table2[[GameIsOver]:[GameIsOver]],1,Table2[[AwayTeam]:[AwayTeam]],$T34, Table2[[HomeTeam]:[HomeTeam]], Z$31, Table2[[ActualResult]:[ActualResult]], "SO") + SUMIFS(Table2[[AwayWon]:[AwayWon]], Table2[[GameIsOver]:[GameIsOver]],1,Table2[[HomeTeam]:[HomeTeam]],$T34, Table2[[AwayTeam]:[AwayTeam]], Z$31, Table2[[ActualResult]:[ActualResult]], "SO")))</f>
        <v>0</v>
      </c>
      <c r="AA34">
        <f>(2*(SUMIFS(Table2[[AwayWon]:[AwayWon]], Table2[[GameIsOver]:[GameIsOver]],1,Table2[[AwayTeam]:[AwayTeam]],$T34, Table2[[HomeTeam]:[HomeTeam]], AA$31) + SUMIFS(Table2[[HomeWon_]:[HomeWon_]], Table2[[GameIsOver]:[GameIsOver]],1,Table2[[HomeTeam]:[HomeTeam]],$T4, Table2[[AwayTeam]:[AwayTeam]], AA$31))) + (0*(SUMIFS(Table2[[HomeWon_]:[HomeWon_]], Table2[[GameIsOver]:[GameIsOver]],1,Table2[[AwayTeam]:[AwayTeam]],$T34, Table2[[HomeTeam]:[HomeTeam]], AA$31, Table2[[ActualResult]:[ActualResult]], "REG") + SUMIFS(Table2[[AwayWon]:[AwayWon]], Table2[[GameIsOver]:[GameIsOver]],1,Table2[[HomeTeam]:[HomeTeam]],$T34, Table2[[AwayTeam]:[AwayTeam]], AA$31, Table2[[ActualResult]:[ActualResult]], "REG"))) + (1*(SUMIFS(Table2[[HomeWon_]:[HomeWon_]], Table2[[GameIsOver]:[GameIsOver]],1,Table2[[AwayTeam]:[AwayTeam]],$T34, Table2[[HomeTeam]:[HomeTeam]], AA$31, Table2[[ActualResult]:[ActualResult]], "OT") + SUMIFS(Table2[[AwayWon]:[AwayWon]], Table2[[GameIsOver]:[GameIsOver]],1,Table2[[HomeTeam]:[HomeTeam]],$T34, Table2[[AwayTeam]:[AwayTeam]], AA$31, Table2[[ActualResult]:[ActualResult]], "OT") + SUMIFS(Table2[[HomeWon_]:[HomeWon_]], Table2[[GameIsOver]:[GameIsOver]],1,Table2[[AwayTeam]:[AwayTeam]],$T34, Table2[[HomeTeam]:[HomeTeam]], AA$31, Table2[[ActualResult]:[ActualResult]], "SO") + SUMIFS(Table2[[AwayWon]:[AwayWon]], Table2[[GameIsOver]:[GameIsOver]],1,Table2[[HomeTeam]:[HomeTeam]],$T34, Table2[[AwayTeam]:[AwayTeam]], AA$31, Table2[[ActualResult]:[ActualResult]], "SO")))</f>
        <v>0</v>
      </c>
      <c r="AB34">
        <f>(2*(SUMIFS(Table2[[AwayWon]:[AwayWon]], Table2[[GameIsOver]:[GameIsOver]],1,Table2[[AwayTeam]:[AwayTeam]],$T34, Table2[[HomeTeam]:[HomeTeam]], AB$31) + SUMIFS(Table2[[HomeWon_]:[HomeWon_]], Table2[[GameIsOver]:[GameIsOver]],1,Table2[[HomeTeam]:[HomeTeam]],$T4, Table2[[AwayTeam]:[AwayTeam]], AB$31))) + (0*(SUMIFS(Table2[[HomeWon_]:[HomeWon_]], Table2[[GameIsOver]:[GameIsOver]],1,Table2[[AwayTeam]:[AwayTeam]],$T34, Table2[[HomeTeam]:[HomeTeam]], AB$31, Table2[[ActualResult]:[ActualResult]], "REG") + SUMIFS(Table2[[AwayWon]:[AwayWon]], Table2[[GameIsOver]:[GameIsOver]],1,Table2[[HomeTeam]:[HomeTeam]],$T34, Table2[[AwayTeam]:[AwayTeam]], AB$31, Table2[[ActualResult]:[ActualResult]], "REG"))) + (1*(SUMIFS(Table2[[HomeWon_]:[HomeWon_]], Table2[[GameIsOver]:[GameIsOver]],1,Table2[[AwayTeam]:[AwayTeam]],$T34, Table2[[HomeTeam]:[HomeTeam]], AB$31, Table2[[ActualResult]:[ActualResult]], "OT") + SUMIFS(Table2[[AwayWon]:[AwayWon]], Table2[[GameIsOver]:[GameIsOver]],1,Table2[[HomeTeam]:[HomeTeam]],$T34, Table2[[AwayTeam]:[AwayTeam]], AB$31, Table2[[ActualResult]:[ActualResult]], "OT") + SUMIFS(Table2[[HomeWon_]:[HomeWon_]], Table2[[GameIsOver]:[GameIsOver]],1,Table2[[AwayTeam]:[AwayTeam]],$T34, Table2[[HomeTeam]:[HomeTeam]], AB$31, Table2[[ActualResult]:[ActualResult]], "SO") + SUMIFS(Table2[[AwayWon]:[AwayWon]], Table2[[GameIsOver]:[GameIsOver]],1,Table2[[HomeTeam]:[HomeTeam]],$T34, Table2[[AwayTeam]:[AwayTeam]], AB$31, Table2[[ActualResult]:[ActualResult]], "SO")))</f>
        <v>2</v>
      </c>
      <c r="AC34">
        <f>(2*(SUMIFS(Table2[[AwayWon]:[AwayWon]], Table2[[GameIsOver]:[GameIsOver]],1,Table2[[AwayTeam]:[AwayTeam]],$T34, Table2[[HomeTeam]:[HomeTeam]], AC$31) + SUMIFS(Table2[[HomeWon_]:[HomeWon_]], Table2[[GameIsOver]:[GameIsOver]],1,Table2[[HomeTeam]:[HomeTeam]],$T4, Table2[[AwayTeam]:[AwayTeam]], AC$31))) + (0*(SUMIFS(Table2[[HomeWon_]:[HomeWon_]], Table2[[GameIsOver]:[GameIsOver]],1,Table2[[AwayTeam]:[AwayTeam]],$T34, Table2[[HomeTeam]:[HomeTeam]], AC$31, Table2[[ActualResult]:[ActualResult]], "REG") + SUMIFS(Table2[[AwayWon]:[AwayWon]], Table2[[GameIsOver]:[GameIsOver]],1,Table2[[HomeTeam]:[HomeTeam]],$T34, Table2[[AwayTeam]:[AwayTeam]], AC$31, Table2[[ActualResult]:[ActualResult]], "REG"))) + (1*(SUMIFS(Table2[[HomeWon_]:[HomeWon_]], Table2[[GameIsOver]:[GameIsOver]],1,Table2[[AwayTeam]:[AwayTeam]],$T34, Table2[[HomeTeam]:[HomeTeam]], AC$31, Table2[[ActualResult]:[ActualResult]], "OT") + SUMIFS(Table2[[AwayWon]:[AwayWon]], Table2[[GameIsOver]:[GameIsOver]],1,Table2[[HomeTeam]:[HomeTeam]],$T34, Table2[[AwayTeam]:[AwayTeam]], AC$31, Table2[[ActualResult]:[ActualResult]], "OT") + SUMIFS(Table2[[HomeWon_]:[HomeWon_]], Table2[[GameIsOver]:[GameIsOver]],1,Table2[[AwayTeam]:[AwayTeam]],$T34, Table2[[HomeTeam]:[HomeTeam]], AC$31, Table2[[ActualResult]:[ActualResult]], "SO") + SUMIFS(Table2[[AwayWon]:[AwayWon]], Table2[[GameIsOver]:[GameIsOver]],1,Table2[[HomeTeam]:[HomeTeam]],$T34, Table2[[AwayTeam]:[AwayTeam]], AC$31, Table2[[ActualResult]:[ActualResult]], "SO")))</f>
        <v>0</v>
      </c>
      <c r="AD34">
        <f>(2*(SUMIFS(Table2[[AwayWon]:[AwayWon]], Table2[[GameIsOver]:[GameIsOver]],1,Table2[[AwayTeam]:[AwayTeam]],$T34, Table2[[HomeTeam]:[HomeTeam]], AD$31) + SUMIFS(Table2[[HomeWon_]:[HomeWon_]], Table2[[GameIsOver]:[GameIsOver]],1,Table2[[HomeTeam]:[HomeTeam]],$T4, Table2[[AwayTeam]:[AwayTeam]], AD$31))) + (0*(SUMIFS(Table2[[HomeWon_]:[HomeWon_]], Table2[[GameIsOver]:[GameIsOver]],1,Table2[[AwayTeam]:[AwayTeam]],$T34, Table2[[HomeTeam]:[HomeTeam]], AD$31, Table2[[ActualResult]:[ActualResult]], "REG") + SUMIFS(Table2[[AwayWon]:[AwayWon]], Table2[[GameIsOver]:[GameIsOver]],1,Table2[[HomeTeam]:[HomeTeam]],$T34, Table2[[AwayTeam]:[AwayTeam]], AD$31, Table2[[ActualResult]:[ActualResult]], "REG"))) + (1*(SUMIFS(Table2[[HomeWon_]:[HomeWon_]], Table2[[GameIsOver]:[GameIsOver]],1,Table2[[AwayTeam]:[AwayTeam]],$T34, Table2[[HomeTeam]:[HomeTeam]], AD$31, Table2[[ActualResult]:[ActualResult]], "OT") + SUMIFS(Table2[[AwayWon]:[AwayWon]], Table2[[GameIsOver]:[GameIsOver]],1,Table2[[HomeTeam]:[HomeTeam]],$T34, Table2[[AwayTeam]:[AwayTeam]], AD$31, Table2[[ActualResult]:[ActualResult]], "OT") + SUMIFS(Table2[[HomeWon_]:[HomeWon_]], Table2[[GameIsOver]:[GameIsOver]],1,Table2[[AwayTeam]:[AwayTeam]],$T34, Table2[[HomeTeam]:[HomeTeam]], AD$31, Table2[[ActualResult]:[ActualResult]], "SO") + SUMIFS(Table2[[AwayWon]:[AwayWon]], Table2[[GameIsOver]:[GameIsOver]],1,Table2[[HomeTeam]:[HomeTeam]],$T34, Table2[[AwayTeam]:[AwayTeam]], AD$31, Table2[[ActualResult]:[ActualResult]], "SO")))</f>
        <v>0</v>
      </c>
      <c r="AE34">
        <f>(2*(SUMIFS(Table2[[AwayWon]:[AwayWon]], Table2[[GameIsOver]:[GameIsOver]],1,Table2[[AwayTeam]:[AwayTeam]],$T34, Table2[[HomeTeam]:[HomeTeam]], AE$31) + SUMIFS(Table2[[HomeWon_]:[HomeWon_]], Table2[[GameIsOver]:[GameIsOver]],1,Table2[[HomeTeam]:[HomeTeam]],$T4, Table2[[AwayTeam]:[AwayTeam]], AE$31))) + (0*(SUMIFS(Table2[[HomeWon_]:[HomeWon_]], Table2[[GameIsOver]:[GameIsOver]],1,Table2[[AwayTeam]:[AwayTeam]],$T34, Table2[[HomeTeam]:[HomeTeam]], AE$31, Table2[[ActualResult]:[ActualResult]], "REG") + SUMIFS(Table2[[AwayWon]:[AwayWon]], Table2[[GameIsOver]:[GameIsOver]],1,Table2[[HomeTeam]:[HomeTeam]],$T34, Table2[[AwayTeam]:[AwayTeam]], AE$31, Table2[[ActualResult]:[ActualResult]], "REG"))) + (1*(SUMIFS(Table2[[HomeWon_]:[HomeWon_]], Table2[[GameIsOver]:[GameIsOver]],1,Table2[[AwayTeam]:[AwayTeam]],$T34, Table2[[HomeTeam]:[HomeTeam]], AE$31, Table2[[ActualResult]:[ActualResult]], "OT") + SUMIFS(Table2[[AwayWon]:[AwayWon]], Table2[[GameIsOver]:[GameIsOver]],1,Table2[[HomeTeam]:[HomeTeam]],$T34, Table2[[AwayTeam]:[AwayTeam]], AE$31, Table2[[ActualResult]:[ActualResult]], "OT") + SUMIFS(Table2[[HomeWon_]:[HomeWon_]], Table2[[GameIsOver]:[GameIsOver]],1,Table2[[AwayTeam]:[AwayTeam]],$T34, Table2[[HomeTeam]:[HomeTeam]], AE$31, Table2[[ActualResult]:[ActualResult]], "SO") + SUMIFS(Table2[[AwayWon]:[AwayWon]], Table2[[GameIsOver]:[GameIsOver]],1,Table2[[HomeTeam]:[HomeTeam]],$T34, Table2[[AwayTeam]:[AwayTeam]], AE$31, Table2[[ActualResult]:[ActualResult]], "SO")))</f>
        <v>0</v>
      </c>
      <c r="AF34">
        <f>(2*(SUMIFS(Table2[[AwayWon]:[AwayWon]], Table2[[GameIsOver]:[GameIsOver]],1,Table2[[AwayTeam]:[AwayTeam]],$T34, Table2[[HomeTeam]:[HomeTeam]], AF$31) + SUMIFS(Table2[[HomeWon_]:[HomeWon_]], Table2[[GameIsOver]:[GameIsOver]],1,Table2[[HomeTeam]:[HomeTeam]],$T4, Table2[[AwayTeam]:[AwayTeam]], AF$31))) + (0*(SUMIFS(Table2[[HomeWon_]:[HomeWon_]], Table2[[GameIsOver]:[GameIsOver]],1,Table2[[AwayTeam]:[AwayTeam]],$T34, Table2[[HomeTeam]:[HomeTeam]], AF$31, Table2[[ActualResult]:[ActualResult]], "REG") + SUMIFS(Table2[[AwayWon]:[AwayWon]], Table2[[GameIsOver]:[GameIsOver]],1,Table2[[HomeTeam]:[HomeTeam]],$T34, Table2[[AwayTeam]:[AwayTeam]], AF$31, Table2[[ActualResult]:[ActualResult]], "REG"))) + (1*(SUMIFS(Table2[[HomeWon_]:[HomeWon_]], Table2[[GameIsOver]:[GameIsOver]],1,Table2[[AwayTeam]:[AwayTeam]],$T34, Table2[[HomeTeam]:[HomeTeam]], AF$31, Table2[[ActualResult]:[ActualResult]], "OT") + SUMIFS(Table2[[AwayWon]:[AwayWon]], Table2[[GameIsOver]:[GameIsOver]],1,Table2[[HomeTeam]:[HomeTeam]],$T34, Table2[[AwayTeam]:[AwayTeam]], AF$31, Table2[[ActualResult]:[ActualResult]], "OT") + SUMIFS(Table2[[HomeWon_]:[HomeWon_]], Table2[[GameIsOver]:[GameIsOver]],1,Table2[[AwayTeam]:[AwayTeam]],$T34, Table2[[HomeTeam]:[HomeTeam]], AF$31, Table2[[ActualResult]:[ActualResult]], "SO") + SUMIFS(Table2[[AwayWon]:[AwayWon]], Table2[[GameIsOver]:[GameIsOver]],1,Table2[[HomeTeam]:[HomeTeam]],$T34, Table2[[AwayTeam]:[AwayTeam]], AF$31, Table2[[ActualResult]:[ActualResult]], "SO")))</f>
        <v>0</v>
      </c>
      <c r="AG34">
        <f>(2*(SUMIFS(Table2[[AwayWon]:[AwayWon]], Table2[[GameIsOver]:[GameIsOver]],1,Table2[[AwayTeam]:[AwayTeam]],$T34, Table2[[HomeTeam]:[HomeTeam]], AG$31) + SUMIFS(Table2[[HomeWon_]:[HomeWon_]], Table2[[GameIsOver]:[GameIsOver]],1,Table2[[HomeTeam]:[HomeTeam]],$T4, Table2[[AwayTeam]:[AwayTeam]], AG$31))) + (0*(SUMIFS(Table2[[HomeWon_]:[HomeWon_]], Table2[[GameIsOver]:[GameIsOver]],1,Table2[[AwayTeam]:[AwayTeam]],$T34, Table2[[HomeTeam]:[HomeTeam]], AG$31, Table2[[ActualResult]:[ActualResult]], "REG") + SUMIFS(Table2[[AwayWon]:[AwayWon]], Table2[[GameIsOver]:[GameIsOver]],1,Table2[[HomeTeam]:[HomeTeam]],$T34, Table2[[AwayTeam]:[AwayTeam]], AG$31, Table2[[ActualResult]:[ActualResult]], "REG"))) + (1*(SUMIFS(Table2[[HomeWon_]:[HomeWon_]], Table2[[GameIsOver]:[GameIsOver]],1,Table2[[AwayTeam]:[AwayTeam]],$T34, Table2[[HomeTeam]:[HomeTeam]], AG$31, Table2[[ActualResult]:[ActualResult]], "OT") + SUMIFS(Table2[[AwayWon]:[AwayWon]], Table2[[GameIsOver]:[GameIsOver]],1,Table2[[HomeTeam]:[HomeTeam]],$T34, Table2[[AwayTeam]:[AwayTeam]], AG$31, Table2[[ActualResult]:[ActualResult]], "OT") + SUMIFS(Table2[[HomeWon_]:[HomeWon_]], Table2[[GameIsOver]:[GameIsOver]],1,Table2[[AwayTeam]:[AwayTeam]],$T34, Table2[[HomeTeam]:[HomeTeam]], AG$31, Table2[[ActualResult]:[ActualResult]], "SO") + SUMIFS(Table2[[AwayWon]:[AwayWon]], Table2[[GameIsOver]:[GameIsOver]],1,Table2[[HomeTeam]:[HomeTeam]],$T34, Table2[[AwayTeam]:[AwayTeam]], AG$31, Table2[[ActualResult]:[ActualResult]], "SO")))</f>
        <v>0</v>
      </c>
      <c r="AH34">
        <f>(2*(SUMIFS(Table2[[AwayWon]:[AwayWon]], Table2[[GameIsOver]:[GameIsOver]],1,Table2[[AwayTeam]:[AwayTeam]],$T34, Table2[[HomeTeam]:[HomeTeam]], AH$31) + SUMIFS(Table2[[HomeWon_]:[HomeWon_]], Table2[[GameIsOver]:[GameIsOver]],1,Table2[[HomeTeam]:[HomeTeam]],$T4, Table2[[AwayTeam]:[AwayTeam]], AH$31))) + (0*(SUMIFS(Table2[[HomeWon_]:[HomeWon_]], Table2[[GameIsOver]:[GameIsOver]],1,Table2[[AwayTeam]:[AwayTeam]],$T34, Table2[[HomeTeam]:[HomeTeam]], AH$31, Table2[[ActualResult]:[ActualResult]], "REG") + SUMIFS(Table2[[AwayWon]:[AwayWon]], Table2[[GameIsOver]:[GameIsOver]],1,Table2[[HomeTeam]:[HomeTeam]],$T34, Table2[[AwayTeam]:[AwayTeam]], AH$31, Table2[[ActualResult]:[ActualResult]], "REG"))) + (1*(SUMIFS(Table2[[HomeWon_]:[HomeWon_]], Table2[[GameIsOver]:[GameIsOver]],1,Table2[[AwayTeam]:[AwayTeam]],$T34, Table2[[HomeTeam]:[HomeTeam]], AH$31, Table2[[ActualResult]:[ActualResult]], "OT") + SUMIFS(Table2[[AwayWon]:[AwayWon]], Table2[[GameIsOver]:[GameIsOver]],1,Table2[[HomeTeam]:[HomeTeam]],$T34, Table2[[AwayTeam]:[AwayTeam]], AH$31, Table2[[ActualResult]:[ActualResult]], "OT") + SUMIFS(Table2[[HomeWon_]:[HomeWon_]], Table2[[GameIsOver]:[GameIsOver]],1,Table2[[AwayTeam]:[AwayTeam]],$T34, Table2[[HomeTeam]:[HomeTeam]], AH$31, Table2[[ActualResult]:[ActualResult]], "SO") + SUMIFS(Table2[[AwayWon]:[AwayWon]], Table2[[GameIsOver]:[GameIsOver]],1,Table2[[HomeTeam]:[HomeTeam]],$T34, Table2[[AwayTeam]:[AwayTeam]], AH$31, Table2[[ActualResult]:[ActualResult]], "SO")))</f>
        <v>0</v>
      </c>
      <c r="AI34">
        <f>(2*(SUMIFS(Table2[[AwayWon]:[AwayWon]], Table2[[GameIsOver]:[GameIsOver]],1,Table2[[AwayTeam]:[AwayTeam]],$T34, Table2[[HomeTeam]:[HomeTeam]], AI$31) + SUMIFS(Table2[[HomeWon_]:[HomeWon_]], Table2[[GameIsOver]:[GameIsOver]],1,Table2[[HomeTeam]:[HomeTeam]],$T4, Table2[[AwayTeam]:[AwayTeam]], AI$31))) + (0*(SUMIFS(Table2[[HomeWon_]:[HomeWon_]], Table2[[GameIsOver]:[GameIsOver]],1,Table2[[AwayTeam]:[AwayTeam]],$T34, Table2[[HomeTeam]:[HomeTeam]], AI$31, Table2[[ActualResult]:[ActualResult]], "REG") + SUMIFS(Table2[[AwayWon]:[AwayWon]], Table2[[GameIsOver]:[GameIsOver]],1,Table2[[HomeTeam]:[HomeTeam]],$T34, Table2[[AwayTeam]:[AwayTeam]], AI$31, Table2[[ActualResult]:[ActualResult]], "REG"))) + (1*(SUMIFS(Table2[[HomeWon_]:[HomeWon_]], Table2[[GameIsOver]:[GameIsOver]],1,Table2[[AwayTeam]:[AwayTeam]],$T34, Table2[[HomeTeam]:[HomeTeam]], AI$31, Table2[[ActualResult]:[ActualResult]], "OT") + SUMIFS(Table2[[AwayWon]:[AwayWon]], Table2[[GameIsOver]:[GameIsOver]],1,Table2[[HomeTeam]:[HomeTeam]],$T34, Table2[[AwayTeam]:[AwayTeam]], AI$31, Table2[[ActualResult]:[ActualResult]], "OT") + SUMIFS(Table2[[HomeWon_]:[HomeWon_]], Table2[[GameIsOver]:[GameIsOver]],1,Table2[[AwayTeam]:[AwayTeam]],$T34, Table2[[HomeTeam]:[HomeTeam]], AI$31, Table2[[ActualResult]:[ActualResult]], "SO") + SUMIFS(Table2[[AwayWon]:[AwayWon]], Table2[[GameIsOver]:[GameIsOver]],1,Table2[[HomeTeam]:[HomeTeam]],$T34, Table2[[AwayTeam]:[AwayTeam]], AI$31, Table2[[ActualResult]:[ActualResult]], "SO")))</f>
        <v>0</v>
      </c>
      <c r="AJ34">
        <f>(2*(SUMIFS(Table2[[AwayWon]:[AwayWon]], Table2[[GameIsOver]:[GameIsOver]],1,Table2[[AwayTeam]:[AwayTeam]],$T34, Table2[[HomeTeam]:[HomeTeam]], AJ$31) + SUMIFS(Table2[[HomeWon_]:[HomeWon_]], Table2[[GameIsOver]:[GameIsOver]],1,Table2[[HomeTeam]:[HomeTeam]],$T4, Table2[[AwayTeam]:[AwayTeam]], AJ$31))) + (0*(SUMIFS(Table2[[HomeWon_]:[HomeWon_]], Table2[[GameIsOver]:[GameIsOver]],1,Table2[[AwayTeam]:[AwayTeam]],$T34, Table2[[HomeTeam]:[HomeTeam]], AJ$31, Table2[[ActualResult]:[ActualResult]], "REG") + SUMIFS(Table2[[AwayWon]:[AwayWon]], Table2[[GameIsOver]:[GameIsOver]],1,Table2[[HomeTeam]:[HomeTeam]],$T34, Table2[[AwayTeam]:[AwayTeam]], AJ$31, Table2[[ActualResult]:[ActualResult]], "REG"))) + (1*(SUMIFS(Table2[[HomeWon_]:[HomeWon_]], Table2[[GameIsOver]:[GameIsOver]],1,Table2[[AwayTeam]:[AwayTeam]],$T34, Table2[[HomeTeam]:[HomeTeam]], AJ$31, Table2[[ActualResult]:[ActualResult]], "OT") + SUMIFS(Table2[[AwayWon]:[AwayWon]], Table2[[GameIsOver]:[GameIsOver]],1,Table2[[HomeTeam]:[HomeTeam]],$T34, Table2[[AwayTeam]:[AwayTeam]], AJ$31, Table2[[ActualResult]:[ActualResult]], "OT") + SUMIFS(Table2[[HomeWon_]:[HomeWon_]], Table2[[GameIsOver]:[GameIsOver]],1,Table2[[AwayTeam]:[AwayTeam]],$T34, Table2[[HomeTeam]:[HomeTeam]], AJ$31, Table2[[ActualResult]:[ActualResult]], "SO") + SUMIFS(Table2[[AwayWon]:[AwayWon]], Table2[[GameIsOver]:[GameIsOver]],1,Table2[[HomeTeam]:[HomeTeam]],$T34, Table2[[AwayTeam]:[AwayTeam]], AJ$31, Table2[[ActualResult]:[ActualResult]], "SO")))</f>
        <v>0</v>
      </c>
      <c r="AK34">
        <f>(2*(SUMIFS(Table2[[AwayWon]:[AwayWon]], Table2[[GameIsOver]:[GameIsOver]],1,Table2[[AwayTeam]:[AwayTeam]],$T34, Table2[[HomeTeam]:[HomeTeam]], AK$31) + SUMIFS(Table2[[HomeWon_]:[HomeWon_]], Table2[[GameIsOver]:[GameIsOver]],1,Table2[[HomeTeam]:[HomeTeam]],$T4, Table2[[AwayTeam]:[AwayTeam]], AK$31))) + (0*(SUMIFS(Table2[[HomeWon_]:[HomeWon_]], Table2[[GameIsOver]:[GameIsOver]],1,Table2[[AwayTeam]:[AwayTeam]],$T34, Table2[[HomeTeam]:[HomeTeam]], AK$31, Table2[[ActualResult]:[ActualResult]], "REG") + SUMIFS(Table2[[AwayWon]:[AwayWon]], Table2[[GameIsOver]:[GameIsOver]],1,Table2[[HomeTeam]:[HomeTeam]],$T34, Table2[[AwayTeam]:[AwayTeam]], AK$31, Table2[[ActualResult]:[ActualResult]], "REG"))) + (1*(SUMIFS(Table2[[HomeWon_]:[HomeWon_]], Table2[[GameIsOver]:[GameIsOver]],1,Table2[[AwayTeam]:[AwayTeam]],$T34, Table2[[HomeTeam]:[HomeTeam]], AK$31, Table2[[ActualResult]:[ActualResult]], "OT") + SUMIFS(Table2[[AwayWon]:[AwayWon]], Table2[[GameIsOver]:[GameIsOver]],1,Table2[[HomeTeam]:[HomeTeam]],$T34, Table2[[AwayTeam]:[AwayTeam]], AK$31, Table2[[ActualResult]:[ActualResult]], "OT") + SUMIFS(Table2[[HomeWon_]:[HomeWon_]], Table2[[GameIsOver]:[GameIsOver]],1,Table2[[AwayTeam]:[AwayTeam]],$T34, Table2[[HomeTeam]:[HomeTeam]], AK$31, Table2[[ActualResult]:[ActualResult]], "SO") + SUMIFS(Table2[[AwayWon]:[AwayWon]], Table2[[GameIsOver]:[GameIsOver]],1,Table2[[HomeTeam]:[HomeTeam]],$T34, Table2[[AwayTeam]:[AwayTeam]], AK$31, Table2[[ActualResult]:[ActualResult]], "SO")))</f>
        <v>0</v>
      </c>
      <c r="AL34">
        <f>(2*(SUMIFS(Table2[[AwayWon]:[AwayWon]], Table2[[GameIsOver]:[GameIsOver]],1,Table2[[AwayTeam]:[AwayTeam]],$T34, Table2[[HomeTeam]:[HomeTeam]], AL$31) + SUMIFS(Table2[[HomeWon_]:[HomeWon_]], Table2[[GameIsOver]:[GameIsOver]],1,Table2[[HomeTeam]:[HomeTeam]],$T4, Table2[[AwayTeam]:[AwayTeam]], AL$31))) + (0*(SUMIFS(Table2[[HomeWon_]:[HomeWon_]], Table2[[GameIsOver]:[GameIsOver]],1,Table2[[AwayTeam]:[AwayTeam]],$T34, Table2[[HomeTeam]:[HomeTeam]], AL$31, Table2[[ActualResult]:[ActualResult]], "REG") + SUMIFS(Table2[[AwayWon]:[AwayWon]], Table2[[GameIsOver]:[GameIsOver]],1,Table2[[HomeTeam]:[HomeTeam]],$T34, Table2[[AwayTeam]:[AwayTeam]], AL$31, Table2[[ActualResult]:[ActualResult]], "REG"))) + (1*(SUMIFS(Table2[[HomeWon_]:[HomeWon_]], Table2[[GameIsOver]:[GameIsOver]],1,Table2[[AwayTeam]:[AwayTeam]],$T34, Table2[[HomeTeam]:[HomeTeam]], AL$31, Table2[[ActualResult]:[ActualResult]], "OT") + SUMIFS(Table2[[AwayWon]:[AwayWon]], Table2[[GameIsOver]:[GameIsOver]],1,Table2[[HomeTeam]:[HomeTeam]],$T34, Table2[[AwayTeam]:[AwayTeam]], AL$31, Table2[[ActualResult]:[ActualResult]], "OT") + SUMIFS(Table2[[HomeWon_]:[HomeWon_]], Table2[[GameIsOver]:[GameIsOver]],1,Table2[[AwayTeam]:[AwayTeam]],$T34, Table2[[HomeTeam]:[HomeTeam]], AL$31, Table2[[ActualResult]:[ActualResult]], "SO") + SUMIFS(Table2[[AwayWon]:[AwayWon]], Table2[[GameIsOver]:[GameIsOver]],1,Table2[[HomeTeam]:[HomeTeam]],$T34, Table2[[AwayTeam]:[AwayTeam]], AL$31, Table2[[ActualResult]:[ActualResult]], "SO")))</f>
        <v>0</v>
      </c>
      <c r="AM34">
        <f>(2*(SUMIFS(Table2[[AwayWon]:[AwayWon]], Table2[[GameIsOver]:[GameIsOver]],1,Table2[[AwayTeam]:[AwayTeam]],$T34, Table2[[HomeTeam]:[HomeTeam]], AM$31) + SUMIFS(Table2[[HomeWon_]:[HomeWon_]], Table2[[GameIsOver]:[GameIsOver]],1,Table2[[HomeTeam]:[HomeTeam]],$T4, Table2[[AwayTeam]:[AwayTeam]], AM$31))) + (0*(SUMIFS(Table2[[HomeWon_]:[HomeWon_]], Table2[[GameIsOver]:[GameIsOver]],1,Table2[[AwayTeam]:[AwayTeam]],$T34, Table2[[HomeTeam]:[HomeTeam]], AM$31, Table2[[ActualResult]:[ActualResult]], "REG") + SUMIFS(Table2[[AwayWon]:[AwayWon]], Table2[[GameIsOver]:[GameIsOver]],1,Table2[[HomeTeam]:[HomeTeam]],$T34, Table2[[AwayTeam]:[AwayTeam]], AM$31, Table2[[ActualResult]:[ActualResult]], "REG"))) + (1*(SUMIFS(Table2[[HomeWon_]:[HomeWon_]], Table2[[GameIsOver]:[GameIsOver]],1,Table2[[AwayTeam]:[AwayTeam]],$T34, Table2[[HomeTeam]:[HomeTeam]], AM$31, Table2[[ActualResult]:[ActualResult]], "OT") + SUMIFS(Table2[[AwayWon]:[AwayWon]], Table2[[GameIsOver]:[GameIsOver]],1,Table2[[HomeTeam]:[HomeTeam]],$T34, Table2[[AwayTeam]:[AwayTeam]], AM$31, Table2[[ActualResult]:[ActualResult]], "OT") + SUMIFS(Table2[[HomeWon_]:[HomeWon_]], Table2[[GameIsOver]:[GameIsOver]],1,Table2[[AwayTeam]:[AwayTeam]],$T34, Table2[[HomeTeam]:[HomeTeam]], AM$31, Table2[[ActualResult]:[ActualResult]], "SO") + SUMIFS(Table2[[AwayWon]:[AwayWon]], Table2[[GameIsOver]:[GameIsOver]],1,Table2[[HomeTeam]:[HomeTeam]],$T34, Table2[[AwayTeam]:[AwayTeam]], AM$31, Table2[[ActualResult]:[ActualResult]], "SO")))</f>
        <v>0</v>
      </c>
      <c r="AN34">
        <f>(2*(SUMIFS(Table2[[AwayWon]:[AwayWon]], Table2[[GameIsOver]:[GameIsOver]],1,Table2[[AwayTeam]:[AwayTeam]],$T34, Table2[[HomeTeam]:[HomeTeam]], AN$31) + SUMIFS(Table2[[HomeWon_]:[HomeWon_]], Table2[[GameIsOver]:[GameIsOver]],1,Table2[[HomeTeam]:[HomeTeam]],$T4, Table2[[AwayTeam]:[AwayTeam]], AN$31))) + (0*(SUMIFS(Table2[[HomeWon_]:[HomeWon_]], Table2[[GameIsOver]:[GameIsOver]],1,Table2[[AwayTeam]:[AwayTeam]],$T34, Table2[[HomeTeam]:[HomeTeam]], AN$31, Table2[[ActualResult]:[ActualResult]], "REG") + SUMIFS(Table2[[AwayWon]:[AwayWon]], Table2[[GameIsOver]:[GameIsOver]],1,Table2[[HomeTeam]:[HomeTeam]],$T34, Table2[[AwayTeam]:[AwayTeam]], AN$31, Table2[[ActualResult]:[ActualResult]], "REG"))) + (1*(SUMIFS(Table2[[HomeWon_]:[HomeWon_]], Table2[[GameIsOver]:[GameIsOver]],1,Table2[[AwayTeam]:[AwayTeam]],$T34, Table2[[HomeTeam]:[HomeTeam]], AN$31, Table2[[ActualResult]:[ActualResult]], "OT") + SUMIFS(Table2[[AwayWon]:[AwayWon]], Table2[[GameIsOver]:[GameIsOver]],1,Table2[[HomeTeam]:[HomeTeam]],$T34, Table2[[AwayTeam]:[AwayTeam]], AN$31, Table2[[ActualResult]:[ActualResult]], "OT") + SUMIFS(Table2[[HomeWon_]:[HomeWon_]], Table2[[GameIsOver]:[GameIsOver]],1,Table2[[AwayTeam]:[AwayTeam]],$T34, Table2[[HomeTeam]:[HomeTeam]], AN$31, Table2[[ActualResult]:[ActualResult]], "SO") + SUMIFS(Table2[[AwayWon]:[AwayWon]], Table2[[GameIsOver]:[GameIsOver]],1,Table2[[HomeTeam]:[HomeTeam]],$T34, Table2[[AwayTeam]:[AwayTeam]], AN$31, Table2[[ActualResult]:[ActualResult]], "SO")))</f>
        <v>0</v>
      </c>
      <c r="AO34">
        <f>(2*(SUMIFS(Table2[[AwayWon]:[AwayWon]], Table2[[GameIsOver]:[GameIsOver]],1,Table2[[AwayTeam]:[AwayTeam]],$T34, Table2[[HomeTeam]:[HomeTeam]], AO$31) + SUMIFS(Table2[[HomeWon_]:[HomeWon_]], Table2[[GameIsOver]:[GameIsOver]],1,Table2[[HomeTeam]:[HomeTeam]],$T4, Table2[[AwayTeam]:[AwayTeam]], AO$31))) + (0*(SUMIFS(Table2[[HomeWon_]:[HomeWon_]], Table2[[GameIsOver]:[GameIsOver]],1,Table2[[AwayTeam]:[AwayTeam]],$T34, Table2[[HomeTeam]:[HomeTeam]], AO$31, Table2[[ActualResult]:[ActualResult]], "REG") + SUMIFS(Table2[[AwayWon]:[AwayWon]], Table2[[GameIsOver]:[GameIsOver]],1,Table2[[HomeTeam]:[HomeTeam]],$T34, Table2[[AwayTeam]:[AwayTeam]], AO$31, Table2[[ActualResult]:[ActualResult]], "REG"))) + (1*(SUMIFS(Table2[[HomeWon_]:[HomeWon_]], Table2[[GameIsOver]:[GameIsOver]],1,Table2[[AwayTeam]:[AwayTeam]],$T34, Table2[[HomeTeam]:[HomeTeam]], AO$31, Table2[[ActualResult]:[ActualResult]], "OT") + SUMIFS(Table2[[AwayWon]:[AwayWon]], Table2[[GameIsOver]:[GameIsOver]],1,Table2[[HomeTeam]:[HomeTeam]],$T34, Table2[[AwayTeam]:[AwayTeam]], AO$31, Table2[[ActualResult]:[ActualResult]], "OT") + SUMIFS(Table2[[HomeWon_]:[HomeWon_]], Table2[[GameIsOver]:[GameIsOver]],1,Table2[[AwayTeam]:[AwayTeam]],$T34, Table2[[HomeTeam]:[HomeTeam]], AO$31, Table2[[ActualResult]:[ActualResult]], "SO") + SUMIFS(Table2[[AwayWon]:[AwayWon]], Table2[[GameIsOver]:[GameIsOver]],1,Table2[[HomeTeam]:[HomeTeam]],$T34, Table2[[AwayTeam]:[AwayTeam]], AO$31, Table2[[ActualResult]:[ActualResult]], "SO")))</f>
        <v>0</v>
      </c>
      <c r="AP34">
        <f>(2*(SUMIFS(Table2[[AwayWon]:[AwayWon]], Table2[[GameIsOver]:[GameIsOver]],1,Table2[[AwayTeam]:[AwayTeam]],$T34, Table2[[HomeTeam]:[HomeTeam]], AP$31) + SUMIFS(Table2[[HomeWon_]:[HomeWon_]], Table2[[GameIsOver]:[GameIsOver]],1,Table2[[HomeTeam]:[HomeTeam]],$T4, Table2[[AwayTeam]:[AwayTeam]], AP$31))) + (0*(SUMIFS(Table2[[HomeWon_]:[HomeWon_]], Table2[[GameIsOver]:[GameIsOver]],1,Table2[[AwayTeam]:[AwayTeam]],$T34, Table2[[HomeTeam]:[HomeTeam]], AP$31, Table2[[ActualResult]:[ActualResult]], "REG") + SUMIFS(Table2[[AwayWon]:[AwayWon]], Table2[[GameIsOver]:[GameIsOver]],1,Table2[[HomeTeam]:[HomeTeam]],$T34, Table2[[AwayTeam]:[AwayTeam]], AP$31, Table2[[ActualResult]:[ActualResult]], "REG"))) + (1*(SUMIFS(Table2[[HomeWon_]:[HomeWon_]], Table2[[GameIsOver]:[GameIsOver]],1,Table2[[AwayTeam]:[AwayTeam]],$T34, Table2[[HomeTeam]:[HomeTeam]], AP$31, Table2[[ActualResult]:[ActualResult]], "OT") + SUMIFS(Table2[[AwayWon]:[AwayWon]], Table2[[GameIsOver]:[GameIsOver]],1,Table2[[HomeTeam]:[HomeTeam]],$T34, Table2[[AwayTeam]:[AwayTeam]], AP$31, Table2[[ActualResult]:[ActualResult]], "OT") + SUMIFS(Table2[[HomeWon_]:[HomeWon_]], Table2[[GameIsOver]:[GameIsOver]],1,Table2[[AwayTeam]:[AwayTeam]],$T34, Table2[[HomeTeam]:[HomeTeam]], AP$31, Table2[[ActualResult]:[ActualResult]], "SO") + SUMIFS(Table2[[AwayWon]:[AwayWon]], Table2[[GameIsOver]:[GameIsOver]],1,Table2[[HomeTeam]:[HomeTeam]],$T34, Table2[[AwayTeam]:[AwayTeam]], AP$31, Table2[[ActualResult]:[ActualResult]], "SO")))</f>
        <v>0</v>
      </c>
      <c r="AQ34">
        <f>(2*(SUMIFS(Table2[[AwayWon]:[AwayWon]], Table2[[GameIsOver]:[GameIsOver]],1,Table2[[AwayTeam]:[AwayTeam]],$T34, Table2[[HomeTeam]:[HomeTeam]], AQ$31) + SUMIFS(Table2[[HomeWon_]:[HomeWon_]], Table2[[GameIsOver]:[GameIsOver]],1,Table2[[HomeTeam]:[HomeTeam]],$T4, Table2[[AwayTeam]:[AwayTeam]], AQ$31))) + (0*(SUMIFS(Table2[[HomeWon_]:[HomeWon_]], Table2[[GameIsOver]:[GameIsOver]],1,Table2[[AwayTeam]:[AwayTeam]],$T34, Table2[[HomeTeam]:[HomeTeam]], AQ$31, Table2[[ActualResult]:[ActualResult]], "REG") + SUMIFS(Table2[[AwayWon]:[AwayWon]], Table2[[GameIsOver]:[GameIsOver]],1,Table2[[HomeTeam]:[HomeTeam]],$T34, Table2[[AwayTeam]:[AwayTeam]], AQ$31, Table2[[ActualResult]:[ActualResult]], "REG"))) + (1*(SUMIFS(Table2[[HomeWon_]:[HomeWon_]], Table2[[GameIsOver]:[GameIsOver]],1,Table2[[AwayTeam]:[AwayTeam]],$T34, Table2[[HomeTeam]:[HomeTeam]], AQ$31, Table2[[ActualResult]:[ActualResult]], "OT") + SUMIFS(Table2[[AwayWon]:[AwayWon]], Table2[[GameIsOver]:[GameIsOver]],1,Table2[[HomeTeam]:[HomeTeam]],$T34, Table2[[AwayTeam]:[AwayTeam]], AQ$31, Table2[[ActualResult]:[ActualResult]], "OT") + SUMIFS(Table2[[HomeWon_]:[HomeWon_]], Table2[[GameIsOver]:[GameIsOver]],1,Table2[[AwayTeam]:[AwayTeam]],$T34, Table2[[HomeTeam]:[HomeTeam]], AQ$31, Table2[[ActualResult]:[ActualResult]], "SO") + SUMIFS(Table2[[AwayWon]:[AwayWon]], Table2[[GameIsOver]:[GameIsOver]],1,Table2[[HomeTeam]:[HomeTeam]],$T34, Table2[[AwayTeam]:[AwayTeam]], AQ$31, Table2[[ActualResult]:[ActualResult]], "SO")))</f>
        <v>0</v>
      </c>
      <c r="AR34">
        <f>(2*(SUMIFS(Table2[[AwayWon]:[AwayWon]], Table2[[GameIsOver]:[GameIsOver]],1,Table2[[AwayTeam]:[AwayTeam]],$T34, Table2[[HomeTeam]:[HomeTeam]], AR$31) + SUMIFS(Table2[[HomeWon_]:[HomeWon_]], Table2[[GameIsOver]:[GameIsOver]],1,Table2[[HomeTeam]:[HomeTeam]],$T4, Table2[[AwayTeam]:[AwayTeam]], AR$31))) + (0*(SUMIFS(Table2[[HomeWon_]:[HomeWon_]], Table2[[GameIsOver]:[GameIsOver]],1,Table2[[AwayTeam]:[AwayTeam]],$T34, Table2[[HomeTeam]:[HomeTeam]], AR$31, Table2[[ActualResult]:[ActualResult]], "REG") + SUMIFS(Table2[[AwayWon]:[AwayWon]], Table2[[GameIsOver]:[GameIsOver]],1,Table2[[HomeTeam]:[HomeTeam]],$T34, Table2[[AwayTeam]:[AwayTeam]], AR$31, Table2[[ActualResult]:[ActualResult]], "REG"))) + (1*(SUMIFS(Table2[[HomeWon_]:[HomeWon_]], Table2[[GameIsOver]:[GameIsOver]],1,Table2[[AwayTeam]:[AwayTeam]],$T34, Table2[[HomeTeam]:[HomeTeam]], AR$31, Table2[[ActualResult]:[ActualResult]], "OT") + SUMIFS(Table2[[AwayWon]:[AwayWon]], Table2[[GameIsOver]:[GameIsOver]],1,Table2[[HomeTeam]:[HomeTeam]],$T34, Table2[[AwayTeam]:[AwayTeam]], AR$31, Table2[[ActualResult]:[ActualResult]], "OT") + SUMIFS(Table2[[HomeWon_]:[HomeWon_]], Table2[[GameIsOver]:[GameIsOver]],1,Table2[[AwayTeam]:[AwayTeam]],$T34, Table2[[HomeTeam]:[HomeTeam]], AR$31, Table2[[ActualResult]:[ActualResult]], "SO") + SUMIFS(Table2[[AwayWon]:[AwayWon]], Table2[[GameIsOver]:[GameIsOver]],1,Table2[[HomeTeam]:[HomeTeam]],$T34, Table2[[AwayTeam]:[AwayTeam]], AR$31, Table2[[ActualResult]:[ActualResult]], "SO")))</f>
        <v>0</v>
      </c>
      <c r="AS34">
        <f>(2*(SUMIFS(Table2[[AwayWon]:[AwayWon]], Table2[[GameIsOver]:[GameIsOver]],1,Table2[[AwayTeam]:[AwayTeam]],$T34, Table2[[HomeTeam]:[HomeTeam]], AS$31) + SUMIFS(Table2[[HomeWon_]:[HomeWon_]], Table2[[GameIsOver]:[GameIsOver]],1,Table2[[HomeTeam]:[HomeTeam]],$T4, Table2[[AwayTeam]:[AwayTeam]], AS$31))) + (0*(SUMIFS(Table2[[HomeWon_]:[HomeWon_]], Table2[[GameIsOver]:[GameIsOver]],1,Table2[[AwayTeam]:[AwayTeam]],$T34, Table2[[HomeTeam]:[HomeTeam]], AS$31, Table2[[ActualResult]:[ActualResult]], "REG") + SUMIFS(Table2[[AwayWon]:[AwayWon]], Table2[[GameIsOver]:[GameIsOver]],1,Table2[[HomeTeam]:[HomeTeam]],$T34, Table2[[AwayTeam]:[AwayTeam]], AS$31, Table2[[ActualResult]:[ActualResult]], "REG"))) + (1*(SUMIFS(Table2[[HomeWon_]:[HomeWon_]], Table2[[GameIsOver]:[GameIsOver]],1,Table2[[AwayTeam]:[AwayTeam]],$T34, Table2[[HomeTeam]:[HomeTeam]], AS$31, Table2[[ActualResult]:[ActualResult]], "OT") + SUMIFS(Table2[[AwayWon]:[AwayWon]], Table2[[GameIsOver]:[GameIsOver]],1,Table2[[HomeTeam]:[HomeTeam]],$T34, Table2[[AwayTeam]:[AwayTeam]], AS$31, Table2[[ActualResult]:[ActualResult]], "OT") + SUMIFS(Table2[[HomeWon_]:[HomeWon_]], Table2[[GameIsOver]:[GameIsOver]],1,Table2[[AwayTeam]:[AwayTeam]],$T34, Table2[[HomeTeam]:[HomeTeam]], AS$31, Table2[[ActualResult]:[ActualResult]], "SO") + SUMIFS(Table2[[AwayWon]:[AwayWon]], Table2[[GameIsOver]:[GameIsOver]],1,Table2[[HomeTeam]:[HomeTeam]],$T34, Table2[[AwayTeam]:[AwayTeam]], AS$31, Table2[[ActualResult]:[ActualResult]], "SO")))</f>
        <v>0</v>
      </c>
      <c r="AT34">
        <f>(2*(SUMIFS(Table2[[AwayWon]:[AwayWon]], Table2[[GameIsOver]:[GameIsOver]],1,Table2[[AwayTeam]:[AwayTeam]],$T34, Table2[[HomeTeam]:[HomeTeam]], AT$31) + SUMIFS(Table2[[HomeWon_]:[HomeWon_]], Table2[[GameIsOver]:[GameIsOver]],1,Table2[[HomeTeam]:[HomeTeam]],$T4, Table2[[AwayTeam]:[AwayTeam]], AT$31))) + (0*(SUMIFS(Table2[[HomeWon_]:[HomeWon_]], Table2[[GameIsOver]:[GameIsOver]],1,Table2[[AwayTeam]:[AwayTeam]],$T34, Table2[[HomeTeam]:[HomeTeam]], AT$31, Table2[[ActualResult]:[ActualResult]], "REG") + SUMIFS(Table2[[AwayWon]:[AwayWon]], Table2[[GameIsOver]:[GameIsOver]],1,Table2[[HomeTeam]:[HomeTeam]],$T34, Table2[[AwayTeam]:[AwayTeam]], AT$31, Table2[[ActualResult]:[ActualResult]], "REG"))) + (1*(SUMIFS(Table2[[HomeWon_]:[HomeWon_]], Table2[[GameIsOver]:[GameIsOver]],1,Table2[[AwayTeam]:[AwayTeam]],$T34, Table2[[HomeTeam]:[HomeTeam]], AT$31, Table2[[ActualResult]:[ActualResult]], "OT") + SUMIFS(Table2[[AwayWon]:[AwayWon]], Table2[[GameIsOver]:[GameIsOver]],1,Table2[[HomeTeam]:[HomeTeam]],$T34, Table2[[AwayTeam]:[AwayTeam]], AT$31, Table2[[ActualResult]:[ActualResult]], "OT") + SUMIFS(Table2[[HomeWon_]:[HomeWon_]], Table2[[GameIsOver]:[GameIsOver]],1,Table2[[AwayTeam]:[AwayTeam]],$T34, Table2[[HomeTeam]:[HomeTeam]], AT$31, Table2[[ActualResult]:[ActualResult]], "SO") + SUMIFS(Table2[[AwayWon]:[AwayWon]], Table2[[GameIsOver]:[GameIsOver]],1,Table2[[HomeTeam]:[HomeTeam]],$T34, Table2[[AwayTeam]:[AwayTeam]], AT$31, Table2[[ActualResult]:[ActualResult]], "SO")))</f>
        <v>2</v>
      </c>
      <c r="AU34">
        <f>(2*(SUMIFS(Table2[[AwayWon]:[AwayWon]], Table2[[GameIsOver]:[GameIsOver]],1,Table2[[AwayTeam]:[AwayTeam]],$T34, Table2[[HomeTeam]:[HomeTeam]], AU$31) + SUMIFS(Table2[[HomeWon_]:[HomeWon_]], Table2[[GameIsOver]:[GameIsOver]],1,Table2[[HomeTeam]:[HomeTeam]],$T4, Table2[[AwayTeam]:[AwayTeam]], AU$31))) + (0*(SUMIFS(Table2[[HomeWon_]:[HomeWon_]], Table2[[GameIsOver]:[GameIsOver]],1,Table2[[AwayTeam]:[AwayTeam]],$T34, Table2[[HomeTeam]:[HomeTeam]], AU$31, Table2[[ActualResult]:[ActualResult]], "REG") + SUMIFS(Table2[[AwayWon]:[AwayWon]], Table2[[GameIsOver]:[GameIsOver]],1,Table2[[HomeTeam]:[HomeTeam]],$T34, Table2[[AwayTeam]:[AwayTeam]], AU$31, Table2[[ActualResult]:[ActualResult]], "REG"))) + (1*(SUMIFS(Table2[[HomeWon_]:[HomeWon_]], Table2[[GameIsOver]:[GameIsOver]],1,Table2[[AwayTeam]:[AwayTeam]],$T34, Table2[[HomeTeam]:[HomeTeam]], AU$31, Table2[[ActualResult]:[ActualResult]], "OT") + SUMIFS(Table2[[AwayWon]:[AwayWon]], Table2[[GameIsOver]:[GameIsOver]],1,Table2[[HomeTeam]:[HomeTeam]],$T34, Table2[[AwayTeam]:[AwayTeam]], AU$31, Table2[[ActualResult]:[ActualResult]], "OT") + SUMIFS(Table2[[HomeWon_]:[HomeWon_]], Table2[[GameIsOver]:[GameIsOver]],1,Table2[[AwayTeam]:[AwayTeam]],$T34, Table2[[HomeTeam]:[HomeTeam]], AU$31, Table2[[ActualResult]:[ActualResult]], "SO") + SUMIFS(Table2[[AwayWon]:[AwayWon]], Table2[[GameIsOver]:[GameIsOver]],1,Table2[[HomeTeam]:[HomeTeam]],$T34, Table2[[AwayTeam]:[AwayTeam]], AU$31, Table2[[ActualResult]:[ActualResult]], "SO")))</f>
        <v>0</v>
      </c>
      <c r="AV34">
        <f>(2*(SUMIFS(Table2[[AwayWon]:[AwayWon]], Table2[[GameIsOver]:[GameIsOver]],1,Table2[[AwayTeam]:[AwayTeam]],$T34, Table2[[HomeTeam]:[HomeTeam]], AV$31) + SUMIFS(Table2[[HomeWon_]:[HomeWon_]], Table2[[GameIsOver]:[GameIsOver]],1,Table2[[HomeTeam]:[HomeTeam]],$T4, Table2[[AwayTeam]:[AwayTeam]], AV$31))) + (0*(SUMIFS(Table2[[HomeWon_]:[HomeWon_]], Table2[[GameIsOver]:[GameIsOver]],1,Table2[[AwayTeam]:[AwayTeam]],$T34, Table2[[HomeTeam]:[HomeTeam]], AV$31, Table2[[ActualResult]:[ActualResult]], "REG") + SUMIFS(Table2[[AwayWon]:[AwayWon]], Table2[[GameIsOver]:[GameIsOver]],1,Table2[[HomeTeam]:[HomeTeam]],$T34, Table2[[AwayTeam]:[AwayTeam]], AV$31, Table2[[ActualResult]:[ActualResult]], "REG"))) + (1*(SUMIFS(Table2[[HomeWon_]:[HomeWon_]], Table2[[GameIsOver]:[GameIsOver]],1,Table2[[AwayTeam]:[AwayTeam]],$T34, Table2[[HomeTeam]:[HomeTeam]], AV$31, Table2[[ActualResult]:[ActualResult]], "OT") + SUMIFS(Table2[[AwayWon]:[AwayWon]], Table2[[GameIsOver]:[GameIsOver]],1,Table2[[HomeTeam]:[HomeTeam]],$T34, Table2[[AwayTeam]:[AwayTeam]], AV$31, Table2[[ActualResult]:[ActualResult]], "OT") + SUMIFS(Table2[[HomeWon_]:[HomeWon_]], Table2[[GameIsOver]:[GameIsOver]],1,Table2[[AwayTeam]:[AwayTeam]],$T34, Table2[[HomeTeam]:[HomeTeam]], AV$31, Table2[[ActualResult]:[ActualResult]], "SO") + SUMIFS(Table2[[AwayWon]:[AwayWon]], Table2[[GameIsOver]:[GameIsOver]],1,Table2[[HomeTeam]:[HomeTeam]],$T34, Table2[[AwayTeam]:[AwayTeam]], AV$31, Table2[[ActualResult]:[ActualResult]], "SO")))</f>
        <v>0</v>
      </c>
      <c r="AW34">
        <f>(2*(SUMIFS(Table2[[AwayWon]:[AwayWon]], Table2[[GameIsOver]:[GameIsOver]],1,Table2[[AwayTeam]:[AwayTeam]],$T34, Table2[[HomeTeam]:[HomeTeam]], AW$31) + SUMIFS(Table2[[HomeWon_]:[HomeWon_]], Table2[[GameIsOver]:[GameIsOver]],1,Table2[[HomeTeam]:[HomeTeam]],$T4, Table2[[AwayTeam]:[AwayTeam]], AW$31))) + (0*(SUMIFS(Table2[[HomeWon_]:[HomeWon_]], Table2[[GameIsOver]:[GameIsOver]],1,Table2[[AwayTeam]:[AwayTeam]],$T34, Table2[[HomeTeam]:[HomeTeam]], AW$31, Table2[[ActualResult]:[ActualResult]], "REG") + SUMIFS(Table2[[AwayWon]:[AwayWon]], Table2[[GameIsOver]:[GameIsOver]],1,Table2[[HomeTeam]:[HomeTeam]],$T34, Table2[[AwayTeam]:[AwayTeam]], AW$31, Table2[[ActualResult]:[ActualResult]], "REG"))) + (1*(SUMIFS(Table2[[HomeWon_]:[HomeWon_]], Table2[[GameIsOver]:[GameIsOver]],1,Table2[[AwayTeam]:[AwayTeam]],$T34, Table2[[HomeTeam]:[HomeTeam]], AW$31, Table2[[ActualResult]:[ActualResult]], "OT") + SUMIFS(Table2[[AwayWon]:[AwayWon]], Table2[[GameIsOver]:[GameIsOver]],1,Table2[[HomeTeam]:[HomeTeam]],$T34, Table2[[AwayTeam]:[AwayTeam]], AW$31, Table2[[ActualResult]:[ActualResult]], "OT") + SUMIFS(Table2[[HomeWon_]:[HomeWon_]], Table2[[GameIsOver]:[GameIsOver]],1,Table2[[AwayTeam]:[AwayTeam]],$T34, Table2[[HomeTeam]:[HomeTeam]], AW$31, Table2[[ActualResult]:[ActualResult]], "SO") + SUMIFS(Table2[[AwayWon]:[AwayWon]], Table2[[GameIsOver]:[GameIsOver]],1,Table2[[HomeTeam]:[HomeTeam]],$T34, Table2[[AwayTeam]:[AwayTeam]], AW$31, Table2[[ActualResult]:[ActualResult]], "SO")))</f>
        <v>0</v>
      </c>
      <c r="AX34">
        <f>(2*(SUMIFS(Table2[[AwayWon]:[AwayWon]], Table2[[GameIsOver]:[GameIsOver]],1,Table2[[AwayTeam]:[AwayTeam]],$T34, Table2[[HomeTeam]:[HomeTeam]], AX$31) + SUMIFS(Table2[[HomeWon_]:[HomeWon_]], Table2[[GameIsOver]:[GameIsOver]],1,Table2[[HomeTeam]:[HomeTeam]],$T4, Table2[[AwayTeam]:[AwayTeam]], AX$31))) + (0*(SUMIFS(Table2[[HomeWon_]:[HomeWon_]], Table2[[GameIsOver]:[GameIsOver]],1,Table2[[AwayTeam]:[AwayTeam]],$T34, Table2[[HomeTeam]:[HomeTeam]], AX$31, Table2[[ActualResult]:[ActualResult]], "REG") + SUMIFS(Table2[[AwayWon]:[AwayWon]], Table2[[GameIsOver]:[GameIsOver]],1,Table2[[HomeTeam]:[HomeTeam]],$T34, Table2[[AwayTeam]:[AwayTeam]], AX$31, Table2[[ActualResult]:[ActualResult]], "REG"))) + (1*(SUMIFS(Table2[[HomeWon_]:[HomeWon_]], Table2[[GameIsOver]:[GameIsOver]],1,Table2[[AwayTeam]:[AwayTeam]],$T34, Table2[[HomeTeam]:[HomeTeam]], AX$31, Table2[[ActualResult]:[ActualResult]], "OT") + SUMIFS(Table2[[AwayWon]:[AwayWon]], Table2[[GameIsOver]:[GameIsOver]],1,Table2[[HomeTeam]:[HomeTeam]],$T34, Table2[[AwayTeam]:[AwayTeam]], AX$31, Table2[[ActualResult]:[ActualResult]], "OT") + SUMIFS(Table2[[HomeWon_]:[HomeWon_]], Table2[[GameIsOver]:[GameIsOver]],1,Table2[[AwayTeam]:[AwayTeam]],$T34, Table2[[HomeTeam]:[HomeTeam]], AX$31, Table2[[ActualResult]:[ActualResult]], "SO") + SUMIFS(Table2[[AwayWon]:[AwayWon]], Table2[[GameIsOver]:[GameIsOver]],1,Table2[[HomeTeam]:[HomeTeam]],$T34, Table2[[AwayTeam]:[AwayTeam]], AX$31, Table2[[ActualResult]:[ActualResult]], "SO")))</f>
        <v>0</v>
      </c>
      <c r="AY34">
        <f>(2*(SUMIFS(Table2[[AwayWon]:[AwayWon]], Table2[[GameIsOver]:[GameIsOver]],1,Table2[[AwayTeam]:[AwayTeam]],$T34, Table2[[HomeTeam]:[HomeTeam]], AY$31) + SUMIFS(Table2[[HomeWon_]:[HomeWon_]], Table2[[GameIsOver]:[GameIsOver]],1,Table2[[HomeTeam]:[HomeTeam]],$T4, Table2[[AwayTeam]:[AwayTeam]], AY$31))) + (0*(SUMIFS(Table2[[HomeWon_]:[HomeWon_]], Table2[[GameIsOver]:[GameIsOver]],1,Table2[[AwayTeam]:[AwayTeam]],$T34, Table2[[HomeTeam]:[HomeTeam]], AY$31, Table2[[ActualResult]:[ActualResult]], "REG") + SUMIFS(Table2[[AwayWon]:[AwayWon]], Table2[[GameIsOver]:[GameIsOver]],1,Table2[[HomeTeam]:[HomeTeam]],$T34, Table2[[AwayTeam]:[AwayTeam]], AY$31, Table2[[ActualResult]:[ActualResult]], "REG"))) + (1*(SUMIFS(Table2[[HomeWon_]:[HomeWon_]], Table2[[GameIsOver]:[GameIsOver]],1,Table2[[AwayTeam]:[AwayTeam]],$T34, Table2[[HomeTeam]:[HomeTeam]], AY$31, Table2[[ActualResult]:[ActualResult]], "OT") + SUMIFS(Table2[[AwayWon]:[AwayWon]], Table2[[GameIsOver]:[GameIsOver]],1,Table2[[HomeTeam]:[HomeTeam]],$T34, Table2[[AwayTeam]:[AwayTeam]], AY$31, Table2[[ActualResult]:[ActualResult]], "OT") + SUMIFS(Table2[[HomeWon_]:[HomeWon_]], Table2[[GameIsOver]:[GameIsOver]],1,Table2[[AwayTeam]:[AwayTeam]],$T34, Table2[[HomeTeam]:[HomeTeam]], AY$31, Table2[[ActualResult]:[ActualResult]], "SO") + SUMIFS(Table2[[AwayWon]:[AwayWon]], Table2[[GameIsOver]:[GameIsOver]],1,Table2[[HomeTeam]:[HomeTeam]],$T34, Table2[[AwayTeam]:[AwayTeam]], AY$31, Table2[[ActualResult]:[ActualResult]], "SO")))</f>
        <v>0</v>
      </c>
      <c r="AZ34">
        <f>(2*(SUMIFS(Table2[[AwayWon]:[AwayWon]], Table2[[GameIsOver]:[GameIsOver]],1,Table2[[AwayTeam]:[AwayTeam]],$T34, Table2[[HomeTeam]:[HomeTeam]], AZ$31) + SUMIFS(Table2[[HomeWon_]:[HomeWon_]], Table2[[GameIsOver]:[GameIsOver]],1,Table2[[HomeTeam]:[HomeTeam]],$T4, Table2[[AwayTeam]:[AwayTeam]], AZ$31))) + (0*(SUMIFS(Table2[[HomeWon_]:[HomeWon_]], Table2[[GameIsOver]:[GameIsOver]],1,Table2[[AwayTeam]:[AwayTeam]],$T34, Table2[[HomeTeam]:[HomeTeam]], AZ$31, Table2[[ActualResult]:[ActualResult]], "REG") + SUMIFS(Table2[[AwayWon]:[AwayWon]], Table2[[GameIsOver]:[GameIsOver]],1,Table2[[HomeTeam]:[HomeTeam]],$T34, Table2[[AwayTeam]:[AwayTeam]], AZ$31, Table2[[ActualResult]:[ActualResult]], "REG"))) + (1*(SUMIFS(Table2[[HomeWon_]:[HomeWon_]], Table2[[GameIsOver]:[GameIsOver]],1,Table2[[AwayTeam]:[AwayTeam]],$T34, Table2[[HomeTeam]:[HomeTeam]], AZ$31, Table2[[ActualResult]:[ActualResult]], "OT") + SUMIFS(Table2[[AwayWon]:[AwayWon]], Table2[[GameIsOver]:[GameIsOver]],1,Table2[[HomeTeam]:[HomeTeam]],$T34, Table2[[AwayTeam]:[AwayTeam]], AZ$31, Table2[[ActualResult]:[ActualResult]], "OT") + SUMIFS(Table2[[HomeWon_]:[HomeWon_]], Table2[[GameIsOver]:[GameIsOver]],1,Table2[[AwayTeam]:[AwayTeam]],$T34, Table2[[HomeTeam]:[HomeTeam]], AZ$31, Table2[[ActualResult]:[ActualResult]], "SO") + SUMIFS(Table2[[AwayWon]:[AwayWon]], Table2[[GameIsOver]:[GameIsOver]],1,Table2[[HomeTeam]:[HomeTeam]],$T34, Table2[[AwayTeam]:[AwayTeam]], AZ$31, Table2[[ActualResult]:[ActualResult]], "SO")))</f>
        <v>0</v>
      </c>
      <c r="BA34">
        <f>(2*(SUMIFS(Table2[[AwayWon]:[AwayWon]], Table2[[GameIsOver]:[GameIsOver]],1,Table2[[AwayTeam]:[AwayTeam]],$T34, Table2[[HomeTeam]:[HomeTeam]], BA$31) + SUMIFS(Table2[[HomeWon_]:[HomeWon_]], Table2[[GameIsOver]:[GameIsOver]],1,Table2[[HomeTeam]:[HomeTeam]],$T4, Table2[[AwayTeam]:[AwayTeam]], BA$31))) + (0*(SUMIFS(Table2[[HomeWon_]:[HomeWon_]], Table2[[GameIsOver]:[GameIsOver]],1,Table2[[AwayTeam]:[AwayTeam]],$T34, Table2[[HomeTeam]:[HomeTeam]], BA$31, Table2[[ActualResult]:[ActualResult]], "REG") + SUMIFS(Table2[[AwayWon]:[AwayWon]], Table2[[GameIsOver]:[GameIsOver]],1,Table2[[HomeTeam]:[HomeTeam]],$T34, Table2[[AwayTeam]:[AwayTeam]], BA$31, Table2[[ActualResult]:[ActualResult]], "REG"))) + (1*(SUMIFS(Table2[[HomeWon_]:[HomeWon_]], Table2[[GameIsOver]:[GameIsOver]],1,Table2[[AwayTeam]:[AwayTeam]],$T34, Table2[[HomeTeam]:[HomeTeam]], BA$31, Table2[[ActualResult]:[ActualResult]], "OT") + SUMIFS(Table2[[AwayWon]:[AwayWon]], Table2[[GameIsOver]:[GameIsOver]],1,Table2[[HomeTeam]:[HomeTeam]],$T34, Table2[[AwayTeam]:[AwayTeam]], BA$31, Table2[[ActualResult]:[ActualResult]], "OT") + SUMIFS(Table2[[HomeWon_]:[HomeWon_]], Table2[[GameIsOver]:[GameIsOver]],1,Table2[[AwayTeam]:[AwayTeam]],$T34, Table2[[HomeTeam]:[HomeTeam]], BA$31, Table2[[ActualResult]:[ActualResult]], "SO") + SUMIFS(Table2[[AwayWon]:[AwayWon]], Table2[[GameIsOver]:[GameIsOver]],1,Table2[[HomeTeam]:[HomeTeam]],$T34, Table2[[AwayTeam]:[AwayTeam]], BA$31, Table2[[ActualResult]:[ActualResult]], "SO")))</f>
        <v>0</v>
      </c>
    </row>
    <row r="35" spans="1:53" x14ac:dyDescent="0.25">
      <c r="S35">
        <v>6</v>
      </c>
      <c r="T35" t="str" cm="1">
        <f t="array" ref="T35">INDEX(Table6[Teams], SMALL(IF(Table6[D]="A", ROW(Table6[Teams])-ROW(Table6[#Headers])), Table71214[[#This Row],[ATL]]))</f>
        <v>OTT</v>
      </c>
      <c r="U35">
        <f>INDEX(Table6[PTS], MATCH($T35, Table6[Teams], 0))</f>
        <v>5</v>
      </c>
      <c r="V35">
        <f>(2*(SUMIFS(Table2[[AwayWon]:[AwayWon]], Table2[[GameIsOver]:[GameIsOver]],1,Table2[[AwayTeam]:[AwayTeam]],$T35, Table2[[HomeTeam]:[HomeTeam]], V$31) + SUMIFS(Table2[[HomeWon_]:[HomeWon_]], Table2[[GameIsOver]:[GameIsOver]],1,Table2[[HomeTeam]:[HomeTeam]],$T5, Table2[[AwayTeam]:[AwayTeam]], V$31))) + (0*(SUMIFS(Table2[[HomeWon_]:[HomeWon_]], Table2[[GameIsOver]:[GameIsOver]],1,Table2[[AwayTeam]:[AwayTeam]],$T35, Table2[[HomeTeam]:[HomeTeam]], V$31, Table2[[ActualResult]:[ActualResult]], "REG") + SUMIFS(Table2[[AwayWon]:[AwayWon]], Table2[[GameIsOver]:[GameIsOver]],1,Table2[[HomeTeam]:[HomeTeam]],$T35, Table2[[AwayTeam]:[AwayTeam]], V$31, Table2[[ActualResult]:[ActualResult]], "REG"))) + (1*(SUMIFS(Table2[[HomeWon_]:[HomeWon_]], Table2[[GameIsOver]:[GameIsOver]],1,Table2[[AwayTeam]:[AwayTeam]],$T35, Table2[[HomeTeam]:[HomeTeam]], V$31, Table2[[ActualResult]:[ActualResult]], "OT") + SUMIFS(Table2[[AwayWon]:[AwayWon]], Table2[[GameIsOver]:[GameIsOver]],1,Table2[[HomeTeam]:[HomeTeam]],$T35, Table2[[AwayTeam]:[AwayTeam]], V$31, Table2[[ActualResult]:[ActualResult]], "OT") + SUMIFS(Table2[[HomeWon_]:[HomeWon_]], Table2[[GameIsOver]:[GameIsOver]],1,Table2[[AwayTeam]:[AwayTeam]],$T35, Table2[[HomeTeam]:[HomeTeam]], V$31, Table2[[ActualResult]:[ActualResult]], "SO") + SUMIFS(Table2[[AwayWon]:[AwayWon]], Table2[[GameIsOver]:[GameIsOver]],1,Table2[[HomeTeam]:[HomeTeam]],$T35, Table2[[AwayTeam]:[AwayTeam]], V$31, Table2[[ActualResult]:[ActualResult]], "SO")))</f>
        <v>0</v>
      </c>
      <c r="W35">
        <f>(2*(SUMIFS(Table2[[AwayWon]:[AwayWon]], Table2[[GameIsOver]:[GameIsOver]],1,Table2[[AwayTeam]:[AwayTeam]],$T35, Table2[[HomeTeam]:[HomeTeam]], W$31) + SUMIFS(Table2[[HomeWon_]:[HomeWon_]], Table2[[GameIsOver]:[GameIsOver]],1,Table2[[HomeTeam]:[HomeTeam]],$T5, Table2[[AwayTeam]:[AwayTeam]], W$31))) + (0*(SUMIFS(Table2[[HomeWon_]:[HomeWon_]], Table2[[GameIsOver]:[GameIsOver]],1,Table2[[AwayTeam]:[AwayTeam]],$T35, Table2[[HomeTeam]:[HomeTeam]], W$31, Table2[[ActualResult]:[ActualResult]], "REG") + SUMIFS(Table2[[AwayWon]:[AwayWon]], Table2[[GameIsOver]:[GameIsOver]],1,Table2[[HomeTeam]:[HomeTeam]],$T35, Table2[[AwayTeam]:[AwayTeam]], W$31, Table2[[ActualResult]:[ActualResult]], "REG"))) + (1*(SUMIFS(Table2[[HomeWon_]:[HomeWon_]], Table2[[GameIsOver]:[GameIsOver]],1,Table2[[AwayTeam]:[AwayTeam]],$T35, Table2[[HomeTeam]:[HomeTeam]], W$31, Table2[[ActualResult]:[ActualResult]], "OT") + SUMIFS(Table2[[AwayWon]:[AwayWon]], Table2[[GameIsOver]:[GameIsOver]],1,Table2[[HomeTeam]:[HomeTeam]],$T35, Table2[[AwayTeam]:[AwayTeam]], W$31, Table2[[ActualResult]:[ActualResult]], "OT") + SUMIFS(Table2[[HomeWon_]:[HomeWon_]], Table2[[GameIsOver]:[GameIsOver]],1,Table2[[AwayTeam]:[AwayTeam]],$T35, Table2[[HomeTeam]:[HomeTeam]], W$31, Table2[[ActualResult]:[ActualResult]], "SO") + SUMIFS(Table2[[AwayWon]:[AwayWon]], Table2[[GameIsOver]:[GameIsOver]],1,Table2[[HomeTeam]:[HomeTeam]],$T35, Table2[[AwayTeam]:[AwayTeam]], W$31, Table2[[ActualResult]:[ActualResult]], "SO")))</f>
        <v>0</v>
      </c>
      <c r="X35">
        <f>(2*(SUMIFS(Table2[[AwayWon]:[AwayWon]], Table2[[GameIsOver]:[GameIsOver]],1,Table2[[AwayTeam]:[AwayTeam]],$T35, Table2[[HomeTeam]:[HomeTeam]], X$31) + SUMIFS(Table2[[HomeWon_]:[HomeWon_]], Table2[[GameIsOver]:[GameIsOver]],1,Table2[[HomeTeam]:[HomeTeam]],$T5, Table2[[AwayTeam]:[AwayTeam]], X$31))) + (0*(SUMIFS(Table2[[HomeWon_]:[HomeWon_]], Table2[[GameIsOver]:[GameIsOver]],1,Table2[[AwayTeam]:[AwayTeam]],$T35, Table2[[HomeTeam]:[HomeTeam]], X$31, Table2[[ActualResult]:[ActualResult]], "REG") + SUMIFS(Table2[[AwayWon]:[AwayWon]], Table2[[GameIsOver]:[GameIsOver]],1,Table2[[HomeTeam]:[HomeTeam]],$T35, Table2[[AwayTeam]:[AwayTeam]], X$31, Table2[[ActualResult]:[ActualResult]], "REG"))) + (1*(SUMIFS(Table2[[HomeWon_]:[HomeWon_]], Table2[[GameIsOver]:[GameIsOver]],1,Table2[[AwayTeam]:[AwayTeam]],$T35, Table2[[HomeTeam]:[HomeTeam]], X$31, Table2[[ActualResult]:[ActualResult]], "OT") + SUMIFS(Table2[[AwayWon]:[AwayWon]], Table2[[GameIsOver]:[GameIsOver]],1,Table2[[HomeTeam]:[HomeTeam]],$T35, Table2[[AwayTeam]:[AwayTeam]], X$31, Table2[[ActualResult]:[ActualResult]], "OT") + SUMIFS(Table2[[HomeWon_]:[HomeWon_]], Table2[[GameIsOver]:[GameIsOver]],1,Table2[[AwayTeam]:[AwayTeam]],$T35, Table2[[HomeTeam]:[HomeTeam]], X$31, Table2[[ActualResult]:[ActualResult]], "SO") + SUMIFS(Table2[[AwayWon]:[AwayWon]], Table2[[GameIsOver]:[GameIsOver]],1,Table2[[HomeTeam]:[HomeTeam]],$T35, Table2[[AwayTeam]:[AwayTeam]], X$31, Table2[[ActualResult]:[ActualResult]], "SO")))</f>
        <v>1</v>
      </c>
      <c r="Y35">
        <f>(2*(SUMIFS(Table2[[AwayWon]:[AwayWon]], Table2[[GameIsOver]:[GameIsOver]],1,Table2[[AwayTeam]:[AwayTeam]],$T35, Table2[[HomeTeam]:[HomeTeam]], Y$31) + SUMIFS(Table2[[HomeWon_]:[HomeWon_]], Table2[[GameIsOver]:[GameIsOver]],1,Table2[[HomeTeam]:[HomeTeam]],$T5, Table2[[AwayTeam]:[AwayTeam]], Y$31))) + (0*(SUMIFS(Table2[[HomeWon_]:[HomeWon_]], Table2[[GameIsOver]:[GameIsOver]],1,Table2[[AwayTeam]:[AwayTeam]],$T35, Table2[[HomeTeam]:[HomeTeam]], Y$31, Table2[[ActualResult]:[ActualResult]], "REG") + SUMIFS(Table2[[AwayWon]:[AwayWon]], Table2[[GameIsOver]:[GameIsOver]],1,Table2[[HomeTeam]:[HomeTeam]],$T35, Table2[[AwayTeam]:[AwayTeam]], Y$31, Table2[[ActualResult]:[ActualResult]], "REG"))) + (1*(SUMIFS(Table2[[HomeWon_]:[HomeWon_]], Table2[[GameIsOver]:[GameIsOver]],1,Table2[[AwayTeam]:[AwayTeam]],$T35, Table2[[HomeTeam]:[HomeTeam]], Y$31, Table2[[ActualResult]:[ActualResult]], "OT") + SUMIFS(Table2[[AwayWon]:[AwayWon]], Table2[[GameIsOver]:[GameIsOver]],1,Table2[[HomeTeam]:[HomeTeam]],$T35, Table2[[AwayTeam]:[AwayTeam]], Y$31, Table2[[ActualResult]:[ActualResult]], "OT") + SUMIFS(Table2[[HomeWon_]:[HomeWon_]], Table2[[GameIsOver]:[GameIsOver]],1,Table2[[AwayTeam]:[AwayTeam]],$T35, Table2[[HomeTeam]:[HomeTeam]], Y$31, Table2[[ActualResult]:[ActualResult]], "SO") + SUMIFS(Table2[[AwayWon]:[AwayWon]], Table2[[GameIsOver]:[GameIsOver]],1,Table2[[HomeTeam]:[HomeTeam]],$T35, Table2[[AwayTeam]:[AwayTeam]], Y$31, Table2[[ActualResult]:[ActualResult]], "SO")))</f>
        <v>0</v>
      </c>
      <c r="Z35">
        <f>(2*(SUMIFS(Table2[[AwayWon]:[AwayWon]], Table2[[GameIsOver]:[GameIsOver]],1,Table2[[AwayTeam]:[AwayTeam]],$T35, Table2[[HomeTeam]:[HomeTeam]], Z$31) + SUMIFS(Table2[[HomeWon_]:[HomeWon_]], Table2[[GameIsOver]:[GameIsOver]],1,Table2[[HomeTeam]:[HomeTeam]],$T5, Table2[[AwayTeam]:[AwayTeam]], Z$31))) + (0*(SUMIFS(Table2[[HomeWon_]:[HomeWon_]], Table2[[GameIsOver]:[GameIsOver]],1,Table2[[AwayTeam]:[AwayTeam]],$T35, Table2[[HomeTeam]:[HomeTeam]], Z$31, Table2[[ActualResult]:[ActualResult]], "REG") + SUMIFS(Table2[[AwayWon]:[AwayWon]], Table2[[GameIsOver]:[GameIsOver]],1,Table2[[HomeTeam]:[HomeTeam]],$T35, Table2[[AwayTeam]:[AwayTeam]], Z$31, Table2[[ActualResult]:[ActualResult]], "REG"))) + (1*(SUMIFS(Table2[[HomeWon_]:[HomeWon_]], Table2[[GameIsOver]:[GameIsOver]],1,Table2[[AwayTeam]:[AwayTeam]],$T35, Table2[[HomeTeam]:[HomeTeam]], Z$31, Table2[[ActualResult]:[ActualResult]], "OT") + SUMIFS(Table2[[AwayWon]:[AwayWon]], Table2[[GameIsOver]:[GameIsOver]],1,Table2[[HomeTeam]:[HomeTeam]],$T35, Table2[[AwayTeam]:[AwayTeam]], Z$31, Table2[[ActualResult]:[ActualResult]], "OT") + SUMIFS(Table2[[HomeWon_]:[HomeWon_]], Table2[[GameIsOver]:[GameIsOver]],1,Table2[[AwayTeam]:[AwayTeam]],$T35, Table2[[HomeTeam]:[HomeTeam]], Z$31, Table2[[ActualResult]:[ActualResult]], "SO") + SUMIFS(Table2[[AwayWon]:[AwayWon]], Table2[[GameIsOver]:[GameIsOver]],1,Table2[[HomeTeam]:[HomeTeam]],$T35, Table2[[AwayTeam]:[AwayTeam]], Z$31, Table2[[ActualResult]:[ActualResult]], "SO")))</f>
        <v>0</v>
      </c>
      <c r="AA35">
        <f>(2*(SUMIFS(Table2[[AwayWon]:[AwayWon]], Table2[[GameIsOver]:[GameIsOver]],1,Table2[[AwayTeam]:[AwayTeam]],$T35, Table2[[HomeTeam]:[HomeTeam]], AA$31) + SUMIFS(Table2[[HomeWon_]:[HomeWon_]], Table2[[GameIsOver]:[GameIsOver]],1,Table2[[HomeTeam]:[HomeTeam]],$T5, Table2[[AwayTeam]:[AwayTeam]], AA$31))) + (0*(SUMIFS(Table2[[HomeWon_]:[HomeWon_]], Table2[[GameIsOver]:[GameIsOver]],1,Table2[[AwayTeam]:[AwayTeam]],$T35, Table2[[HomeTeam]:[HomeTeam]], AA$31, Table2[[ActualResult]:[ActualResult]], "REG") + SUMIFS(Table2[[AwayWon]:[AwayWon]], Table2[[GameIsOver]:[GameIsOver]],1,Table2[[HomeTeam]:[HomeTeam]],$T35, Table2[[AwayTeam]:[AwayTeam]], AA$31, Table2[[ActualResult]:[ActualResult]], "REG"))) + (1*(SUMIFS(Table2[[HomeWon_]:[HomeWon_]], Table2[[GameIsOver]:[GameIsOver]],1,Table2[[AwayTeam]:[AwayTeam]],$T35, Table2[[HomeTeam]:[HomeTeam]], AA$31, Table2[[ActualResult]:[ActualResult]], "OT") + SUMIFS(Table2[[AwayWon]:[AwayWon]], Table2[[GameIsOver]:[GameIsOver]],1,Table2[[HomeTeam]:[HomeTeam]],$T35, Table2[[AwayTeam]:[AwayTeam]], AA$31, Table2[[ActualResult]:[ActualResult]], "OT") + SUMIFS(Table2[[HomeWon_]:[HomeWon_]], Table2[[GameIsOver]:[GameIsOver]],1,Table2[[AwayTeam]:[AwayTeam]],$T35, Table2[[HomeTeam]:[HomeTeam]], AA$31, Table2[[ActualResult]:[ActualResult]], "SO") + SUMIFS(Table2[[AwayWon]:[AwayWon]], Table2[[GameIsOver]:[GameIsOver]],1,Table2[[HomeTeam]:[HomeTeam]],$T35, Table2[[AwayTeam]:[AwayTeam]], AA$31, Table2[[ActualResult]:[ActualResult]], "SO")))</f>
        <v>0</v>
      </c>
      <c r="AB35">
        <f>(2*(SUMIFS(Table2[[AwayWon]:[AwayWon]], Table2[[GameIsOver]:[GameIsOver]],1,Table2[[AwayTeam]:[AwayTeam]],$T35, Table2[[HomeTeam]:[HomeTeam]], AB$31) + SUMIFS(Table2[[HomeWon_]:[HomeWon_]], Table2[[GameIsOver]:[GameIsOver]],1,Table2[[HomeTeam]:[HomeTeam]],$T5, Table2[[AwayTeam]:[AwayTeam]], AB$31))) + (0*(SUMIFS(Table2[[HomeWon_]:[HomeWon_]], Table2[[GameIsOver]:[GameIsOver]],1,Table2[[AwayTeam]:[AwayTeam]],$T35, Table2[[HomeTeam]:[HomeTeam]], AB$31, Table2[[ActualResult]:[ActualResult]], "REG") + SUMIFS(Table2[[AwayWon]:[AwayWon]], Table2[[GameIsOver]:[GameIsOver]],1,Table2[[HomeTeam]:[HomeTeam]],$T35, Table2[[AwayTeam]:[AwayTeam]], AB$31, Table2[[ActualResult]:[ActualResult]], "REG"))) + (1*(SUMIFS(Table2[[HomeWon_]:[HomeWon_]], Table2[[GameIsOver]:[GameIsOver]],1,Table2[[AwayTeam]:[AwayTeam]],$T35, Table2[[HomeTeam]:[HomeTeam]], AB$31, Table2[[ActualResult]:[ActualResult]], "OT") + SUMIFS(Table2[[AwayWon]:[AwayWon]], Table2[[GameIsOver]:[GameIsOver]],1,Table2[[HomeTeam]:[HomeTeam]],$T35, Table2[[AwayTeam]:[AwayTeam]], AB$31, Table2[[ActualResult]:[ActualResult]], "OT") + SUMIFS(Table2[[HomeWon_]:[HomeWon_]], Table2[[GameIsOver]:[GameIsOver]],1,Table2[[AwayTeam]:[AwayTeam]],$T35, Table2[[HomeTeam]:[HomeTeam]], AB$31, Table2[[ActualResult]:[ActualResult]], "SO") + SUMIFS(Table2[[AwayWon]:[AwayWon]], Table2[[GameIsOver]:[GameIsOver]],1,Table2[[HomeTeam]:[HomeTeam]],$T35, Table2[[AwayTeam]:[AwayTeam]], AB$31, Table2[[ActualResult]:[ActualResult]], "SO")))</f>
        <v>0</v>
      </c>
      <c r="AC35">
        <f>(2*(SUMIFS(Table2[[AwayWon]:[AwayWon]], Table2[[GameIsOver]:[GameIsOver]],1,Table2[[AwayTeam]:[AwayTeam]],$T35, Table2[[HomeTeam]:[HomeTeam]], AC$31) + SUMIFS(Table2[[HomeWon_]:[HomeWon_]], Table2[[GameIsOver]:[GameIsOver]],1,Table2[[HomeTeam]:[HomeTeam]],$T5, Table2[[AwayTeam]:[AwayTeam]], AC$31))) + (0*(SUMIFS(Table2[[HomeWon_]:[HomeWon_]], Table2[[GameIsOver]:[GameIsOver]],1,Table2[[AwayTeam]:[AwayTeam]],$T35, Table2[[HomeTeam]:[HomeTeam]], AC$31, Table2[[ActualResult]:[ActualResult]], "REG") + SUMIFS(Table2[[AwayWon]:[AwayWon]], Table2[[GameIsOver]:[GameIsOver]],1,Table2[[HomeTeam]:[HomeTeam]],$T35, Table2[[AwayTeam]:[AwayTeam]], AC$31, Table2[[ActualResult]:[ActualResult]], "REG"))) + (1*(SUMIFS(Table2[[HomeWon_]:[HomeWon_]], Table2[[GameIsOver]:[GameIsOver]],1,Table2[[AwayTeam]:[AwayTeam]],$T35, Table2[[HomeTeam]:[HomeTeam]], AC$31, Table2[[ActualResult]:[ActualResult]], "OT") + SUMIFS(Table2[[AwayWon]:[AwayWon]], Table2[[GameIsOver]:[GameIsOver]],1,Table2[[HomeTeam]:[HomeTeam]],$T35, Table2[[AwayTeam]:[AwayTeam]], AC$31, Table2[[ActualResult]:[ActualResult]], "OT") + SUMIFS(Table2[[HomeWon_]:[HomeWon_]], Table2[[GameIsOver]:[GameIsOver]],1,Table2[[AwayTeam]:[AwayTeam]],$T35, Table2[[HomeTeam]:[HomeTeam]], AC$31, Table2[[ActualResult]:[ActualResult]], "SO") + SUMIFS(Table2[[AwayWon]:[AwayWon]], Table2[[GameIsOver]:[GameIsOver]],1,Table2[[HomeTeam]:[HomeTeam]],$T35, Table2[[AwayTeam]:[AwayTeam]], AC$31, Table2[[ActualResult]:[ActualResult]], "SO")))</f>
        <v>0</v>
      </c>
      <c r="AD35">
        <f>(2*(SUMIFS(Table2[[AwayWon]:[AwayWon]], Table2[[GameIsOver]:[GameIsOver]],1,Table2[[AwayTeam]:[AwayTeam]],$T35, Table2[[HomeTeam]:[HomeTeam]], AD$31) + SUMIFS(Table2[[HomeWon_]:[HomeWon_]], Table2[[GameIsOver]:[GameIsOver]],1,Table2[[HomeTeam]:[HomeTeam]],$T5, Table2[[AwayTeam]:[AwayTeam]], AD$31))) + (0*(SUMIFS(Table2[[HomeWon_]:[HomeWon_]], Table2[[GameIsOver]:[GameIsOver]],1,Table2[[AwayTeam]:[AwayTeam]],$T35, Table2[[HomeTeam]:[HomeTeam]], AD$31, Table2[[ActualResult]:[ActualResult]], "REG") + SUMIFS(Table2[[AwayWon]:[AwayWon]], Table2[[GameIsOver]:[GameIsOver]],1,Table2[[HomeTeam]:[HomeTeam]],$T35, Table2[[AwayTeam]:[AwayTeam]], AD$31, Table2[[ActualResult]:[ActualResult]], "REG"))) + (1*(SUMIFS(Table2[[HomeWon_]:[HomeWon_]], Table2[[GameIsOver]:[GameIsOver]],1,Table2[[AwayTeam]:[AwayTeam]],$T35, Table2[[HomeTeam]:[HomeTeam]], AD$31, Table2[[ActualResult]:[ActualResult]], "OT") + SUMIFS(Table2[[AwayWon]:[AwayWon]], Table2[[GameIsOver]:[GameIsOver]],1,Table2[[HomeTeam]:[HomeTeam]],$T35, Table2[[AwayTeam]:[AwayTeam]], AD$31, Table2[[ActualResult]:[ActualResult]], "OT") + SUMIFS(Table2[[HomeWon_]:[HomeWon_]], Table2[[GameIsOver]:[GameIsOver]],1,Table2[[AwayTeam]:[AwayTeam]],$T35, Table2[[HomeTeam]:[HomeTeam]], AD$31, Table2[[ActualResult]:[ActualResult]], "SO") + SUMIFS(Table2[[AwayWon]:[AwayWon]], Table2[[GameIsOver]:[GameIsOver]],1,Table2[[HomeTeam]:[HomeTeam]],$T35, Table2[[AwayTeam]:[AwayTeam]], AD$31, Table2[[ActualResult]:[ActualResult]], "SO")))</f>
        <v>0</v>
      </c>
      <c r="AE35">
        <f>(2*(SUMIFS(Table2[[AwayWon]:[AwayWon]], Table2[[GameIsOver]:[GameIsOver]],1,Table2[[AwayTeam]:[AwayTeam]],$T35, Table2[[HomeTeam]:[HomeTeam]], AE$31) + SUMIFS(Table2[[HomeWon_]:[HomeWon_]], Table2[[GameIsOver]:[GameIsOver]],1,Table2[[HomeTeam]:[HomeTeam]],$T5, Table2[[AwayTeam]:[AwayTeam]], AE$31))) + (0*(SUMIFS(Table2[[HomeWon_]:[HomeWon_]], Table2[[GameIsOver]:[GameIsOver]],1,Table2[[AwayTeam]:[AwayTeam]],$T35, Table2[[HomeTeam]:[HomeTeam]], AE$31, Table2[[ActualResult]:[ActualResult]], "REG") + SUMIFS(Table2[[AwayWon]:[AwayWon]], Table2[[GameIsOver]:[GameIsOver]],1,Table2[[HomeTeam]:[HomeTeam]],$T35, Table2[[AwayTeam]:[AwayTeam]], AE$31, Table2[[ActualResult]:[ActualResult]], "REG"))) + (1*(SUMIFS(Table2[[HomeWon_]:[HomeWon_]], Table2[[GameIsOver]:[GameIsOver]],1,Table2[[AwayTeam]:[AwayTeam]],$T35, Table2[[HomeTeam]:[HomeTeam]], AE$31, Table2[[ActualResult]:[ActualResult]], "OT") + SUMIFS(Table2[[AwayWon]:[AwayWon]], Table2[[GameIsOver]:[GameIsOver]],1,Table2[[HomeTeam]:[HomeTeam]],$T35, Table2[[AwayTeam]:[AwayTeam]], AE$31, Table2[[ActualResult]:[ActualResult]], "OT") + SUMIFS(Table2[[HomeWon_]:[HomeWon_]], Table2[[GameIsOver]:[GameIsOver]],1,Table2[[AwayTeam]:[AwayTeam]],$T35, Table2[[HomeTeam]:[HomeTeam]], AE$31, Table2[[ActualResult]:[ActualResult]], "SO") + SUMIFS(Table2[[AwayWon]:[AwayWon]], Table2[[GameIsOver]:[GameIsOver]],1,Table2[[HomeTeam]:[HomeTeam]],$T35, Table2[[AwayTeam]:[AwayTeam]], AE$31, Table2[[ActualResult]:[ActualResult]], "SO")))</f>
        <v>0</v>
      </c>
      <c r="AF35">
        <f>(2*(SUMIFS(Table2[[AwayWon]:[AwayWon]], Table2[[GameIsOver]:[GameIsOver]],1,Table2[[AwayTeam]:[AwayTeam]],$T35, Table2[[HomeTeam]:[HomeTeam]], AF$31) + SUMIFS(Table2[[HomeWon_]:[HomeWon_]], Table2[[GameIsOver]:[GameIsOver]],1,Table2[[HomeTeam]:[HomeTeam]],$T5, Table2[[AwayTeam]:[AwayTeam]], AF$31))) + (0*(SUMIFS(Table2[[HomeWon_]:[HomeWon_]], Table2[[GameIsOver]:[GameIsOver]],1,Table2[[AwayTeam]:[AwayTeam]],$T35, Table2[[HomeTeam]:[HomeTeam]], AF$31, Table2[[ActualResult]:[ActualResult]], "REG") + SUMIFS(Table2[[AwayWon]:[AwayWon]], Table2[[GameIsOver]:[GameIsOver]],1,Table2[[HomeTeam]:[HomeTeam]],$T35, Table2[[AwayTeam]:[AwayTeam]], AF$31, Table2[[ActualResult]:[ActualResult]], "REG"))) + (1*(SUMIFS(Table2[[HomeWon_]:[HomeWon_]], Table2[[GameIsOver]:[GameIsOver]],1,Table2[[AwayTeam]:[AwayTeam]],$T35, Table2[[HomeTeam]:[HomeTeam]], AF$31, Table2[[ActualResult]:[ActualResult]], "OT") + SUMIFS(Table2[[AwayWon]:[AwayWon]], Table2[[GameIsOver]:[GameIsOver]],1,Table2[[HomeTeam]:[HomeTeam]],$T35, Table2[[AwayTeam]:[AwayTeam]], AF$31, Table2[[ActualResult]:[ActualResult]], "OT") + SUMIFS(Table2[[HomeWon_]:[HomeWon_]], Table2[[GameIsOver]:[GameIsOver]],1,Table2[[AwayTeam]:[AwayTeam]],$T35, Table2[[HomeTeam]:[HomeTeam]], AF$31, Table2[[ActualResult]:[ActualResult]], "SO") + SUMIFS(Table2[[AwayWon]:[AwayWon]], Table2[[GameIsOver]:[GameIsOver]],1,Table2[[HomeTeam]:[HomeTeam]],$T35, Table2[[AwayTeam]:[AwayTeam]], AF$31, Table2[[ActualResult]:[ActualResult]], "SO")))</f>
        <v>0</v>
      </c>
      <c r="AG35">
        <f>(2*(SUMIFS(Table2[[AwayWon]:[AwayWon]], Table2[[GameIsOver]:[GameIsOver]],1,Table2[[AwayTeam]:[AwayTeam]],$T35, Table2[[HomeTeam]:[HomeTeam]], AG$31) + SUMIFS(Table2[[HomeWon_]:[HomeWon_]], Table2[[GameIsOver]:[GameIsOver]],1,Table2[[HomeTeam]:[HomeTeam]],$T5, Table2[[AwayTeam]:[AwayTeam]], AG$31))) + (0*(SUMIFS(Table2[[HomeWon_]:[HomeWon_]], Table2[[GameIsOver]:[GameIsOver]],1,Table2[[AwayTeam]:[AwayTeam]],$T35, Table2[[HomeTeam]:[HomeTeam]], AG$31, Table2[[ActualResult]:[ActualResult]], "REG") + SUMIFS(Table2[[AwayWon]:[AwayWon]], Table2[[GameIsOver]:[GameIsOver]],1,Table2[[HomeTeam]:[HomeTeam]],$T35, Table2[[AwayTeam]:[AwayTeam]], AG$31, Table2[[ActualResult]:[ActualResult]], "REG"))) + (1*(SUMIFS(Table2[[HomeWon_]:[HomeWon_]], Table2[[GameIsOver]:[GameIsOver]],1,Table2[[AwayTeam]:[AwayTeam]],$T35, Table2[[HomeTeam]:[HomeTeam]], AG$31, Table2[[ActualResult]:[ActualResult]], "OT") + SUMIFS(Table2[[AwayWon]:[AwayWon]], Table2[[GameIsOver]:[GameIsOver]],1,Table2[[HomeTeam]:[HomeTeam]],$T35, Table2[[AwayTeam]:[AwayTeam]], AG$31, Table2[[ActualResult]:[ActualResult]], "OT") + SUMIFS(Table2[[HomeWon_]:[HomeWon_]], Table2[[GameIsOver]:[GameIsOver]],1,Table2[[AwayTeam]:[AwayTeam]],$T35, Table2[[HomeTeam]:[HomeTeam]], AG$31, Table2[[ActualResult]:[ActualResult]], "SO") + SUMIFS(Table2[[AwayWon]:[AwayWon]], Table2[[GameIsOver]:[GameIsOver]],1,Table2[[HomeTeam]:[HomeTeam]],$T35, Table2[[AwayTeam]:[AwayTeam]], AG$31, Table2[[ActualResult]:[ActualResult]], "SO")))</f>
        <v>0</v>
      </c>
      <c r="AH35">
        <f>(2*(SUMIFS(Table2[[AwayWon]:[AwayWon]], Table2[[GameIsOver]:[GameIsOver]],1,Table2[[AwayTeam]:[AwayTeam]],$T35, Table2[[HomeTeam]:[HomeTeam]], AH$31) + SUMIFS(Table2[[HomeWon_]:[HomeWon_]], Table2[[GameIsOver]:[GameIsOver]],1,Table2[[HomeTeam]:[HomeTeam]],$T5, Table2[[AwayTeam]:[AwayTeam]], AH$31))) + (0*(SUMIFS(Table2[[HomeWon_]:[HomeWon_]], Table2[[GameIsOver]:[GameIsOver]],1,Table2[[AwayTeam]:[AwayTeam]],$T35, Table2[[HomeTeam]:[HomeTeam]], AH$31, Table2[[ActualResult]:[ActualResult]], "REG") + SUMIFS(Table2[[AwayWon]:[AwayWon]], Table2[[GameIsOver]:[GameIsOver]],1,Table2[[HomeTeam]:[HomeTeam]],$T35, Table2[[AwayTeam]:[AwayTeam]], AH$31, Table2[[ActualResult]:[ActualResult]], "REG"))) + (1*(SUMIFS(Table2[[HomeWon_]:[HomeWon_]], Table2[[GameIsOver]:[GameIsOver]],1,Table2[[AwayTeam]:[AwayTeam]],$T35, Table2[[HomeTeam]:[HomeTeam]], AH$31, Table2[[ActualResult]:[ActualResult]], "OT") + SUMIFS(Table2[[AwayWon]:[AwayWon]], Table2[[GameIsOver]:[GameIsOver]],1,Table2[[HomeTeam]:[HomeTeam]],$T35, Table2[[AwayTeam]:[AwayTeam]], AH$31, Table2[[ActualResult]:[ActualResult]], "OT") + SUMIFS(Table2[[HomeWon_]:[HomeWon_]], Table2[[GameIsOver]:[GameIsOver]],1,Table2[[AwayTeam]:[AwayTeam]],$T35, Table2[[HomeTeam]:[HomeTeam]], AH$31, Table2[[ActualResult]:[ActualResult]], "SO") + SUMIFS(Table2[[AwayWon]:[AwayWon]], Table2[[GameIsOver]:[GameIsOver]],1,Table2[[HomeTeam]:[HomeTeam]],$T35, Table2[[AwayTeam]:[AwayTeam]], AH$31, Table2[[ActualResult]:[ActualResult]], "SO")))</f>
        <v>0</v>
      </c>
      <c r="AI35">
        <f>(2*(SUMIFS(Table2[[AwayWon]:[AwayWon]], Table2[[GameIsOver]:[GameIsOver]],1,Table2[[AwayTeam]:[AwayTeam]],$T35, Table2[[HomeTeam]:[HomeTeam]], AI$31) + SUMIFS(Table2[[HomeWon_]:[HomeWon_]], Table2[[GameIsOver]:[GameIsOver]],1,Table2[[HomeTeam]:[HomeTeam]],$T5, Table2[[AwayTeam]:[AwayTeam]], AI$31))) + (0*(SUMIFS(Table2[[HomeWon_]:[HomeWon_]], Table2[[GameIsOver]:[GameIsOver]],1,Table2[[AwayTeam]:[AwayTeam]],$T35, Table2[[HomeTeam]:[HomeTeam]], AI$31, Table2[[ActualResult]:[ActualResult]], "REG") + SUMIFS(Table2[[AwayWon]:[AwayWon]], Table2[[GameIsOver]:[GameIsOver]],1,Table2[[HomeTeam]:[HomeTeam]],$T35, Table2[[AwayTeam]:[AwayTeam]], AI$31, Table2[[ActualResult]:[ActualResult]], "REG"))) + (1*(SUMIFS(Table2[[HomeWon_]:[HomeWon_]], Table2[[GameIsOver]:[GameIsOver]],1,Table2[[AwayTeam]:[AwayTeam]],$T35, Table2[[HomeTeam]:[HomeTeam]], AI$31, Table2[[ActualResult]:[ActualResult]], "OT") + SUMIFS(Table2[[AwayWon]:[AwayWon]], Table2[[GameIsOver]:[GameIsOver]],1,Table2[[HomeTeam]:[HomeTeam]],$T35, Table2[[AwayTeam]:[AwayTeam]], AI$31, Table2[[ActualResult]:[ActualResult]], "OT") + SUMIFS(Table2[[HomeWon_]:[HomeWon_]], Table2[[GameIsOver]:[GameIsOver]],1,Table2[[AwayTeam]:[AwayTeam]],$T35, Table2[[HomeTeam]:[HomeTeam]], AI$31, Table2[[ActualResult]:[ActualResult]], "SO") + SUMIFS(Table2[[AwayWon]:[AwayWon]], Table2[[GameIsOver]:[GameIsOver]],1,Table2[[HomeTeam]:[HomeTeam]],$T35, Table2[[AwayTeam]:[AwayTeam]], AI$31, Table2[[ActualResult]:[ActualResult]], "SO")))</f>
        <v>0</v>
      </c>
      <c r="AJ35">
        <f>(2*(SUMIFS(Table2[[AwayWon]:[AwayWon]], Table2[[GameIsOver]:[GameIsOver]],1,Table2[[AwayTeam]:[AwayTeam]],$T35, Table2[[HomeTeam]:[HomeTeam]], AJ$31) + SUMIFS(Table2[[HomeWon_]:[HomeWon_]], Table2[[GameIsOver]:[GameIsOver]],1,Table2[[HomeTeam]:[HomeTeam]],$T5, Table2[[AwayTeam]:[AwayTeam]], AJ$31))) + (0*(SUMIFS(Table2[[HomeWon_]:[HomeWon_]], Table2[[GameIsOver]:[GameIsOver]],1,Table2[[AwayTeam]:[AwayTeam]],$T35, Table2[[HomeTeam]:[HomeTeam]], AJ$31, Table2[[ActualResult]:[ActualResult]], "REG") + SUMIFS(Table2[[AwayWon]:[AwayWon]], Table2[[GameIsOver]:[GameIsOver]],1,Table2[[HomeTeam]:[HomeTeam]],$T35, Table2[[AwayTeam]:[AwayTeam]], AJ$31, Table2[[ActualResult]:[ActualResult]], "REG"))) + (1*(SUMIFS(Table2[[HomeWon_]:[HomeWon_]], Table2[[GameIsOver]:[GameIsOver]],1,Table2[[AwayTeam]:[AwayTeam]],$T35, Table2[[HomeTeam]:[HomeTeam]], AJ$31, Table2[[ActualResult]:[ActualResult]], "OT") + SUMIFS(Table2[[AwayWon]:[AwayWon]], Table2[[GameIsOver]:[GameIsOver]],1,Table2[[HomeTeam]:[HomeTeam]],$T35, Table2[[AwayTeam]:[AwayTeam]], AJ$31, Table2[[ActualResult]:[ActualResult]], "OT") + SUMIFS(Table2[[HomeWon_]:[HomeWon_]], Table2[[GameIsOver]:[GameIsOver]],1,Table2[[AwayTeam]:[AwayTeam]],$T35, Table2[[HomeTeam]:[HomeTeam]], AJ$31, Table2[[ActualResult]:[ActualResult]], "SO") + SUMIFS(Table2[[AwayWon]:[AwayWon]], Table2[[GameIsOver]:[GameIsOver]],1,Table2[[HomeTeam]:[HomeTeam]],$T35, Table2[[AwayTeam]:[AwayTeam]], AJ$31, Table2[[ActualResult]:[ActualResult]], "SO")))</f>
        <v>0</v>
      </c>
      <c r="AK35">
        <f>(2*(SUMIFS(Table2[[AwayWon]:[AwayWon]], Table2[[GameIsOver]:[GameIsOver]],1,Table2[[AwayTeam]:[AwayTeam]],$T35, Table2[[HomeTeam]:[HomeTeam]], AK$31) + SUMIFS(Table2[[HomeWon_]:[HomeWon_]], Table2[[GameIsOver]:[GameIsOver]],1,Table2[[HomeTeam]:[HomeTeam]],$T5, Table2[[AwayTeam]:[AwayTeam]], AK$31))) + (0*(SUMIFS(Table2[[HomeWon_]:[HomeWon_]], Table2[[GameIsOver]:[GameIsOver]],1,Table2[[AwayTeam]:[AwayTeam]],$T35, Table2[[HomeTeam]:[HomeTeam]], AK$31, Table2[[ActualResult]:[ActualResult]], "REG") + SUMIFS(Table2[[AwayWon]:[AwayWon]], Table2[[GameIsOver]:[GameIsOver]],1,Table2[[HomeTeam]:[HomeTeam]],$T35, Table2[[AwayTeam]:[AwayTeam]], AK$31, Table2[[ActualResult]:[ActualResult]], "REG"))) + (1*(SUMIFS(Table2[[HomeWon_]:[HomeWon_]], Table2[[GameIsOver]:[GameIsOver]],1,Table2[[AwayTeam]:[AwayTeam]],$T35, Table2[[HomeTeam]:[HomeTeam]], AK$31, Table2[[ActualResult]:[ActualResult]], "OT") + SUMIFS(Table2[[AwayWon]:[AwayWon]], Table2[[GameIsOver]:[GameIsOver]],1,Table2[[HomeTeam]:[HomeTeam]],$T35, Table2[[AwayTeam]:[AwayTeam]], AK$31, Table2[[ActualResult]:[ActualResult]], "OT") + SUMIFS(Table2[[HomeWon_]:[HomeWon_]], Table2[[GameIsOver]:[GameIsOver]],1,Table2[[AwayTeam]:[AwayTeam]],$T35, Table2[[HomeTeam]:[HomeTeam]], AK$31, Table2[[ActualResult]:[ActualResult]], "SO") + SUMIFS(Table2[[AwayWon]:[AwayWon]], Table2[[GameIsOver]:[GameIsOver]],1,Table2[[HomeTeam]:[HomeTeam]],$T35, Table2[[AwayTeam]:[AwayTeam]], AK$31, Table2[[ActualResult]:[ActualResult]], "SO")))</f>
        <v>0</v>
      </c>
      <c r="AL35">
        <f>(2*(SUMIFS(Table2[[AwayWon]:[AwayWon]], Table2[[GameIsOver]:[GameIsOver]],1,Table2[[AwayTeam]:[AwayTeam]],$T35, Table2[[HomeTeam]:[HomeTeam]], AL$31) + SUMIFS(Table2[[HomeWon_]:[HomeWon_]], Table2[[GameIsOver]:[GameIsOver]],1,Table2[[HomeTeam]:[HomeTeam]],$T5, Table2[[AwayTeam]:[AwayTeam]], AL$31))) + (0*(SUMIFS(Table2[[HomeWon_]:[HomeWon_]], Table2[[GameIsOver]:[GameIsOver]],1,Table2[[AwayTeam]:[AwayTeam]],$T35, Table2[[HomeTeam]:[HomeTeam]], AL$31, Table2[[ActualResult]:[ActualResult]], "REG") + SUMIFS(Table2[[AwayWon]:[AwayWon]], Table2[[GameIsOver]:[GameIsOver]],1,Table2[[HomeTeam]:[HomeTeam]],$T35, Table2[[AwayTeam]:[AwayTeam]], AL$31, Table2[[ActualResult]:[ActualResult]], "REG"))) + (1*(SUMIFS(Table2[[HomeWon_]:[HomeWon_]], Table2[[GameIsOver]:[GameIsOver]],1,Table2[[AwayTeam]:[AwayTeam]],$T35, Table2[[HomeTeam]:[HomeTeam]], AL$31, Table2[[ActualResult]:[ActualResult]], "OT") + SUMIFS(Table2[[AwayWon]:[AwayWon]], Table2[[GameIsOver]:[GameIsOver]],1,Table2[[HomeTeam]:[HomeTeam]],$T35, Table2[[AwayTeam]:[AwayTeam]], AL$31, Table2[[ActualResult]:[ActualResult]], "OT") + SUMIFS(Table2[[HomeWon_]:[HomeWon_]], Table2[[GameIsOver]:[GameIsOver]],1,Table2[[AwayTeam]:[AwayTeam]],$T35, Table2[[HomeTeam]:[HomeTeam]], AL$31, Table2[[ActualResult]:[ActualResult]], "SO") + SUMIFS(Table2[[AwayWon]:[AwayWon]], Table2[[GameIsOver]:[GameIsOver]],1,Table2[[HomeTeam]:[HomeTeam]],$T35, Table2[[AwayTeam]:[AwayTeam]], AL$31, Table2[[ActualResult]:[ActualResult]], "SO")))</f>
        <v>0</v>
      </c>
      <c r="AM35">
        <f>(2*(SUMIFS(Table2[[AwayWon]:[AwayWon]], Table2[[GameIsOver]:[GameIsOver]],1,Table2[[AwayTeam]:[AwayTeam]],$T35, Table2[[HomeTeam]:[HomeTeam]], AM$31) + SUMIFS(Table2[[HomeWon_]:[HomeWon_]], Table2[[GameIsOver]:[GameIsOver]],1,Table2[[HomeTeam]:[HomeTeam]],$T5, Table2[[AwayTeam]:[AwayTeam]], AM$31))) + (0*(SUMIFS(Table2[[HomeWon_]:[HomeWon_]], Table2[[GameIsOver]:[GameIsOver]],1,Table2[[AwayTeam]:[AwayTeam]],$T35, Table2[[HomeTeam]:[HomeTeam]], AM$31, Table2[[ActualResult]:[ActualResult]], "REG") + SUMIFS(Table2[[AwayWon]:[AwayWon]], Table2[[GameIsOver]:[GameIsOver]],1,Table2[[HomeTeam]:[HomeTeam]],$T35, Table2[[AwayTeam]:[AwayTeam]], AM$31, Table2[[ActualResult]:[ActualResult]], "REG"))) + (1*(SUMIFS(Table2[[HomeWon_]:[HomeWon_]], Table2[[GameIsOver]:[GameIsOver]],1,Table2[[AwayTeam]:[AwayTeam]],$T35, Table2[[HomeTeam]:[HomeTeam]], AM$31, Table2[[ActualResult]:[ActualResult]], "OT") + SUMIFS(Table2[[AwayWon]:[AwayWon]], Table2[[GameIsOver]:[GameIsOver]],1,Table2[[HomeTeam]:[HomeTeam]],$T35, Table2[[AwayTeam]:[AwayTeam]], AM$31, Table2[[ActualResult]:[ActualResult]], "OT") + SUMIFS(Table2[[HomeWon_]:[HomeWon_]], Table2[[GameIsOver]:[GameIsOver]],1,Table2[[AwayTeam]:[AwayTeam]],$T35, Table2[[HomeTeam]:[HomeTeam]], AM$31, Table2[[ActualResult]:[ActualResult]], "SO") + SUMIFS(Table2[[AwayWon]:[AwayWon]], Table2[[GameIsOver]:[GameIsOver]],1,Table2[[HomeTeam]:[HomeTeam]],$T35, Table2[[AwayTeam]:[AwayTeam]], AM$31, Table2[[ActualResult]:[ActualResult]], "SO")))</f>
        <v>0</v>
      </c>
      <c r="AN35">
        <f>(2*(SUMIFS(Table2[[AwayWon]:[AwayWon]], Table2[[GameIsOver]:[GameIsOver]],1,Table2[[AwayTeam]:[AwayTeam]],$T35, Table2[[HomeTeam]:[HomeTeam]], AN$31) + SUMIFS(Table2[[HomeWon_]:[HomeWon_]], Table2[[GameIsOver]:[GameIsOver]],1,Table2[[HomeTeam]:[HomeTeam]],$T5, Table2[[AwayTeam]:[AwayTeam]], AN$31))) + (0*(SUMIFS(Table2[[HomeWon_]:[HomeWon_]], Table2[[GameIsOver]:[GameIsOver]],1,Table2[[AwayTeam]:[AwayTeam]],$T35, Table2[[HomeTeam]:[HomeTeam]], AN$31, Table2[[ActualResult]:[ActualResult]], "REG") + SUMIFS(Table2[[AwayWon]:[AwayWon]], Table2[[GameIsOver]:[GameIsOver]],1,Table2[[HomeTeam]:[HomeTeam]],$T35, Table2[[AwayTeam]:[AwayTeam]], AN$31, Table2[[ActualResult]:[ActualResult]], "REG"))) + (1*(SUMIFS(Table2[[HomeWon_]:[HomeWon_]], Table2[[GameIsOver]:[GameIsOver]],1,Table2[[AwayTeam]:[AwayTeam]],$T35, Table2[[HomeTeam]:[HomeTeam]], AN$31, Table2[[ActualResult]:[ActualResult]], "OT") + SUMIFS(Table2[[AwayWon]:[AwayWon]], Table2[[GameIsOver]:[GameIsOver]],1,Table2[[HomeTeam]:[HomeTeam]],$T35, Table2[[AwayTeam]:[AwayTeam]], AN$31, Table2[[ActualResult]:[ActualResult]], "OT") + SUMIFS(Table2[[HomeWon_]:[HomeWon_]], Table2[[GameIsOver]:[GameIsOver]],1,Table2[[AwayTeam]:[AwayTeam]],$T35, Table2[[HomeTeam]:[HomeTeam]], AN$31, Table2[[ActualResult]:[ActualResult]], "SO") + SUMIFS(Table2[[AwayWon]:[AwayWon]], Table2[[GameIsOver]:[GameIsOver]],1,Table2[[HomeTeam]:[HomeTeam]],$T35, Table2[[AwayTeam]:[AwayTeam]], AN$31, Table2[[ActualResult]:[ActualResult]], "SO")))</f>
        <v>0</v>
      </c>
      <c r="AO35">
        <f>(2*(SUMIFS(Table2[[AwayWon]:[AwayWon]], Table2[[GameIsOver]:[GameIsOver]],1,Table2[[AwayTeam]:[AwayTeam]],$T35, Table2[[HomeTeam]:[HomeTeam]], AO$31) + SUMIFS(Table2[[HomeWon_]:[HomeWon_]], Table2[[GameIsOver]:[GameIsOver]],1,Table2[[HomeTeam]:[HomeTeam]],$T5, Table2[[AwayTeam]:[AwayTeam]], AO$31))) + (0*(SUMIFS(Table2[[HomeWon_]:[HomeWon_]], Table2[[GameIsOver]:[GameIsOver]],1,Table2[[AwayTeam]:[AwayTeam]],$T35, Table2[[HomeTeam]:[HomeTeam]], AO$31, Table2[[ActualResult]:[ActualResult]], "REG") + SUMIFS(Table2[[AwayWon]:[AwayWon]], Table2[[GameIsOver]:[GameIsOver]],1,Table2[[HomeTeam]:[HomeTeam]],$T35, Table2[[AwayTeam]:[AwayTeam]], AO$31, Table2[[ActualResult]:[ActualResult]], "REG"))) + (1*(SUMIFS(Table2[[HomeWon_]:[HomeWon_]], Table2[[GameIsOver]:[GameIsOver]],1,Table2[[AwayTeam]:[AwayTeam]],$T35, Table2[[HomeTeam]:[HomeTeam]], AO$31, Table2[[ActualResult]:[ActualResult]], "OT") + SUMIFS(Table2[[AwayWon]:[AwayWon]], Table2[[GameIsOver]:[GameIsOver]],1,Table2[[HomeTeam]:[HomeTeam]],$T35, Table2[[AwayTeam]:[AwayTeam]], AO$31, Table2[[ActualResult]:[ActualResult]], "OT") + SUMIFS(Table2[[HomeWon_]:[HomeWon_]], Table2[[GameIsOver]:[GameIsOver]],1,Table2[[AwayTeam]:[AwayTeam]],$T35, Table2[[HomeTeam]:[HomeTeam]], AO$31, Table2[[ActualResult]:[ActualResult]], "SO") + SUMIFS(Table2[[AwayWon]:[AwayWon]], Table2[[GameIsOver]:[GameIsOver]],1,Table2[[HomeTeam]:[HomeTeam]],$T35, Table2[[AwayTeam]:[AwayTeam]], AO$31, Table2[[ActualResult]:[ActualResult]], "SO")))</f>
        <v>0</v>
      </c>
      <c r="AP35">
        <f>(2*(SUMIFS(Table2[[AwayWon]:[AwayWon]], Table2[[GameIsOver]:[GameIsOver]],1,Table2[[AwayTeam]:[AwayTeam]],$T35, Table2[[HomeTeam]:[HomeTeam]], AP$31) + SUMIFS(Table2[[HomeWon_]:[HomeWon_]], Table2[[GameIsOver]:[GameIsOver]],1,Table2[[HomeTeam]:[HomeTeam]],$T5, Table2[[AwayTeam]:[AwayTeam]], AP$31))) + (0*(SUMIFS(Table2[[HomeWon_]:[HomeWon_]], Table2[[GameIsOver]:[GameIsOver]],1,Table2[[AwayTeam]:[AwayTeam]],$T35, Table2[[HomeTeam]:[HomeTeam]], AP$31, Table2[[ActualResult]:[ActualResult]], "REG") + SUMIFS(Table2[[AwayWon]:[AwayWon]], Table2[[GameIsOver]:[GameIsOver]],1,Table2[[HomeTeam]:[HomeTeam]],$T35, Table2[[AwayTeam]:[AwayTeam]], AP$31, Table2[[ActualResult]:[ActualResult]], "REG"))) + (1*(SUMIFS(Table2[[HomeWon_]:[HomeWon_]], Table2[[GameIsOver]:[GameIsOver]],1,Table2[[AwayTeam]:[AwayTeam]],$T35, Table2[[HomeTeam]:[HomeTeam]], AP$31, Table2[[ActualResult]:[ActualResult]], "OT") + SUMIFS(Table2[[AwayWon]:[AwayWon]], Table2[[GameIsOver]:[GameIsOver]],1,Table2[[HomeTeam]:[HomeTeam]],$T35, Table2[[AwayTeam]:[AwayTeam]], AP$31, Table2[[ActualResult]:[ActualResult]], "OT") + SUMIFS(Table2[[HomeWon_]:[HomeWon_]], Table2[[GameIsOver]:[GameIsOver]],1,Table2[[AwayTeam]:[AwayTeam]],$T35, Table2[[HomeTeam]:[HomeTeam]], AP$31, Table2[[ActualResult]:[ActualResult]], "SO") + SUMIFS(Table2[[AwayWon]:[AwayWon]], Table2[[GameIsOver]:[GameIsOver]],1,Table2[[HomeTeam]:[HomeTeam]],$T35, Table2[[AwayTeam]:[AwayTeam]], AP$31, Table2[[ActualResult]:[ActualResult]], "SO")))</f>
        <v>0</v>
      </c>
      <c r="AQ35">
        <f>(2*(SUMIFS(Table2[[AwayWon]:[AwayWon]], Table2[[GameIsOver]:[GameIsOver]],1,Table2[[AwayTeam]:[AwayTeam]],$T35, Table2[[HomeTeam]:[HomeTeam]], AQ$31) + SUMIFS(Table2[[HomeWon_]:[HomeWon_]], Table2[[GameIsOver]:[GameIsOver]],1,Table2[[HomeTeam]:[HomeTeam]],$T5, Table2[[AwayTeam]:[AwayTeam]], AQ$31))) + (0*(SUMIFS(Table2[[HomeWon_]:[HomeWon_]], Table2[[GameIsOver]:[GameIsOver]],1,Table2[[AwayTeam]:[AwayTeam]],$T35, Table2[[HomeTeam]:[HomeTeam]], AQ$31, Table2[[ActualResult]:[ActualResult]], "REG") + SUMIFS(Table2[[AwayWon]:[AwayWon]], Table2[[GameIsOver]:[GameIsOver]],1,Table2[[HomeTeam]:[HomeTeam]],$T35, Table2[[AwayTeam]:[AwayTeam]], AQ$31, Table2[[ActualResult]:[ActualResult]], "REG"))) + (1*(SUMIFS(Table2[[HomeWon_]:[HomeWon_]], Table2[[GameIsOver]:[GameIsOver]],1,Table2[[AwayTeam]:[AwayTeam]],$T35, Table2[[HomeTeam]:[HomeTeam]], AQ$31, Table2[[ActualResult]:[ActualResult]], "OT") + SUMIFS(Table2[[AwayWon]:[AwayWon]], Table2[[GameIsOver]:[GameIsOver]],1,Table2[[HomeTeam]:[HomeTeam]],$T35, Table2[[AwayTeam]:[AwayTeam]], AQ$31, Table2[[ActualResult]:[ActualResult]], "OT") + SUMIFS(Table2[[HomeWon_]:[HomeWon_]], Table2[[GameIsOver]:[GameIsOver]],1,Table2[[AwayTeam]:[AwayTeam]],$T35, Table2[[HomeTeam]:[HomeTeam]], AQ$31, Table2[[ActualResult]:[ActualResult]], "SO") + SUMIFS(Table2[[AwayWon]:[AwayWon]], Table2[[GameIsOver]:[GameIsOver]],1,Table2[[HomeTeam]:[HomeTeam]],$T35, Table2[[AwayTeam]:[AwayTeam]], AQ$31, Table2[[ActualResult]:[ActualResult]], "SO")))</f>
        <v>0</v>
      </c>
      <c r="AR35">
        <f>(2*(SUMIFS(Table2[[AwayWon]:[AwayWon]], Table2[[GameIsOver]:[GameIsOver]],1,Table2[[AwayTeam]:[AwayTeam]],$T35, Table2[[HomeTeam]:[HomeTeam]], AR$31) + SUMIFS(Table2[[HomeWon_]:[HomeWon_]], Table2[[GameIsOver]:[GameIsOver]],1,Table2[[HomeTeam]:[HomeTeam]],$T5, Table2[[AwayTeam]:[AwayTeam]], AR$31))) + (0*(SUMIFS(Table2[[HomeWon_]:[HomeWon_]], Table2[[GameIsOver]:[GameIsOver]],1,Table2[[AwayTeam]:[AwayTeam]],$T35, Table2[[HomeTeam]:[HomeTeam]], AR$31, Table2[[ActualResult]:[ActualResult]], "REG") + SUMIFS(Table2[[AwayWon]:[AwayWon]], Table2[[GameIsOver]:[GameIsOver]],1,Table2[[HomeTeam]:[HomeTeam]],$T35, Table2[[AwayTeam]:[AwayTeam]], AR$31, Table2[[ActualResult]:[ActualResult]], "REG"))) + (1*(SUMIFS(Table2[[HomeWon_]:[HomeWon_]], Table2[[GameIsOver]:[GameIsOver]],1,Table2[[AwayTeam]:[AwayTeam]],$T35, Table2[[HomeTeam]:[HomeTeam]], AR$31, Table2[[ActualResult]:[ActualResult]], "OT") + SUMIFS(Table2[[AwayWon]:[AwayWon]], Table2[[GameIsOver]:[GameIsOver]],1,Table2[[HomeTeam]:[HomeTeam]],$T35, Table2[[AwayTeam]:[AwayTeam]], AR$31, Table2[[ActualResult]:[ActualResult]], "OT") + SUMIFS(Table2[[HomeWon_]:[HomeWon_]], Table2[[GameIsOver]:[GameIsOver]],1,Table2[[AwayTeam]:[AwayTeam]],$T35, Table2[[HomeTeam]:[HomeTeam]], AR$31, Table2[[ActualResult]:[ActualResult]], "SO") + SUMIFS(Table2[[AwayWon]:[AwayWon]], Table2[[GameIsOver]:[GameIsOver]],1,Table2[[HomeTeam]:[HomeTeam]],$T35, Table2[[AwayTeam]:[AwayTeam]], AR$31, Table2[[ActualResult]:[ActualResult]], "SO")))</f>
        <v>0</v>
      </c>
      <c r="AS35">
        <f>(2*(SUMIFS(Table2[[AwayWon]:[AwayWon]], Table2[[GameIsOver]:[GameIsOver]],1,Table2[[AwayTeam]:[AwayTeam]],$T35, Table2[[HomeTeam]:[HomeTeam]], AS$31) + SUMIFS(Table2[[HomeWon_]:[HomeWon_]], Table2[[GameIsOver]:[GameIsOver]],1,Table2[[HomeTeam]:[HomeTeam]],$T5, Table2[[AwayTeam]:[AwayTeam]], AS$31))) + (0*(SUMIFS(Table2[[HomeWon_]:[HomeWon_]], Table2[[GameIsOver]:[GameIsOver]],1,Table2[[AwayTeam]:[AwayTeam]],$T35, Table2[[HomeTeam]:[HomeTeam]], AS$31, Table2[[ActualResult]:[ActualResult]], "REG") + SUMIFS(Table2[[AwayWon]:[AwayWon]], Table2[[GameIsOver]:[GameIsOver]],1,Table2[[HomeTeam]:[HomeTeam]],$T35, Table2[[AwayTeam]:[AwayTeam]], AS$31, Table2[[ActualResult]:[ActualResult]], "REG"))) + (1*(SUMIFS(Table2[[HomeWon_]:[HomeWon_]], Table2[[GameIsOver]:[GameIsOver]],1,Table2[[AwayTeam]:[AwayTeam]],$T35, Table2[[HomeTeam]:[HomeTeam]], AS$31, Table2[[ActualResult]:[ActualResult]], "OT") + SUMIFS(Table2[[AwayWon]:[AwayWon]], Table2[[GameIsOver]:[GameIsOver]],1,Table2[[HomeTeam]:[HomeTeam]],$T35, Table2[[AwayTeam]:[AwayTeam]], AS$31, Table2[[ActualResult]:[ActualResult]], "OT") + SUMIFS(Table2[[HomeWon_]:[HomeWon_]], Table2[[GameIsOver]:[GameIsOver]],1,Table2[[AwayTeam]:[AwayTeam]],$T35, Table2[[HomeTeam]:[HomeTeam]], AS$31, Table2[[ActualResult]:[ActualResult]], "SO") + SUMIFS(Table2[[AwayWon]:[AwayWon]], Table2[[GameIsOver]:[GameIsOver]],1,Table2[[HomeTeam]:[HomeTeam]],$T35, Table2[[AwayTeam]:[AwayTeam]], AS$31, Table2[[ActualResult]:[ActualResult]], "SO")))</f>
        <v>0</v>
      </c>
      <c r="AT35">
        <f>(2*(SUMIFS(Table2[[AwayWon]:[AwayWon]], Table2[[GameIsOver]:[GameIsOver]],1,Table2[[AwayTeam]:[AwayTeam]],$T35, Table2[[HomeTeam]:[HomeTeam]], AT$31) + SUMIFS(Table2[[HomeWon_]:[HomeWon_]], Table2[[GameIsOver]:[GameIsOver]],1,Table2[[HomeTeam]:[HomeTeam]],$T5, Table2[[AwayTeam]:[AwayTeam]], AT$31))) + (0*(SUMIFS(Table2[[HomeWon_]:[HomeWon_]], Table2[[GameIsOver]:[GameIsOver]],1,Table2[[AwayTeam]:[AwayTeam]],$T35, Table2[[HomeTeam]:[HomeTeam]], AT$31, Table2[[ActualResult]:[ActualResult]], "REG") + SUMIFS(Table2[[AwayWon]:[AwayWon]], Table2[[GameIsOver]:[GameIsOver]],1,Table2[[HomeTeam]:[HomeTeam]],$T35, Table2[[AwayTeam]:[AwayTeam]], AT$31, Table2[[ActualResult]:[ActualResult]], "REG"))) + (1*(SUMIFS(Table2[[HomeWon_]:[HomeWon_]], Table2[[GameIsOver]:[GameIsOver]],1,Table2[[AwayTeam]:[AwayTeam]],$T35, Table2[[HomeTeam]:[HomeTeam]], AT$31, Table2[[ActualResult]:[ActualResult]], "OT") + SUMIFS(Table2[[AwayWon]:[AwayWon]], Table2[[GameIsOver]:[GameIsOver]],1,Table2[[HomeTeam]:[HomeTeam]],$T35, Table2[[AwayTeam]:[AwayTeam]], AT$31, Table2[[ActualResult]:[ActualResult]], "OT") + SUMIFS(Table2[[HomeWon_]:[HomeWon_]], Table2[[GameIsOver]:[GameIsOver]],1,Table2[[AwayTeam]:[AwayTeam]],$T35, Table2[[HomeTeam]:[HomeTeam]], AT$31, Table2[[ActualResult]:[ActualResult]], "SO") + SUMIFS(Table2[[AwayWon]:[AwayWon]], Table2[[GameIsOver]:[GameIsOver]],1,Table2[[HomeTeam]:[HomeTeam]],$T35, Table2[[AwayTeam]:[AwayTeam]], AT$31, Table2[[ActualResult]:[ActualResult]], "SO")))</f>
        <v>0</v>
      </c>
      <c r="AU35">
        <f>(2*(SUMIFS(Table2[[AwayWon]:[AwayWon]], Table2[[GameIsOver]:[GameIsOver]],1,Table2[[AwayTeam]:[AwayTeam]],$T35, Table2[[HomeTeam]:[HomeTeam]], AU$31) + SUMIFS(Table2[[HomeWon_]:[HomeWon_]], Table2[[GameIsOver]:[GameIsOver]],1,Table2[[HomeTeam]:[HomeTeam]],$T5, Table2[[AwayTeam]:[AwayTeam]], AU$31))) + (0*(SUMIFS(Table2[[HomeWon_]:[HomeWon_]], Table2[[GameIsOver]:[GameIsOver]],1,Table2[[AwayTeam]:[AwayTeam]],$T35, Table2[[HomeTeam]:[HomeTeam]], AU$31, Table2[[ActualResult]:[ActualResult]], "REG") + SUMIFS(Table2[[AwayWon]:[AwayWon]], Table2[[GameIsOver]:[GameIsOver]],1,Table2[[HomeTeam]:[HomeTeam]],$T35, Table2[[AwayTeam]:[AwayTeam]], AU$31, Table2[[ActualResult]:[ActualResult]], "REG"))) + (1*(SUMIFS(Table2[[HomeWon_]:[HomeWon_]], Table2[[GameIsOver]:[GameIsOver]],1,Table2[[AwayTeam]:[AwayTeam]],$T35, Table2[[HomeTeam]:[HomeTeam]], AU$31, Table2[[ActualResult]:[ActualResult]], "OT") + SUMIFS(Table2[[AwayWon]:[AwayWon]], Table2[[GameIsOver]:[GameIsOver]],1,Table2[[HomeTeam]:[HomeTeam]],$T35, Table2[[AwayTeam]:[AwayTeam]], AU$31, Table2[[ActualResult]:[ActualResult]], "OT") + SUMIFS(Table2[[HomeWon_]:[HomeWon_]], Table2[[GameIsOver]:[GameIsOver]],1,Table2[[AwayTeam]:[AwayTeam]],$T35, Table2[[HomeTeam]:[HomeTeam]], AU$31, Table2[[ActualResult]:[ActualResult]], "SO") + SUMIFS(Table2[[AwayWon]:[AwayWon]], Table2[[GameIsOver]:[GameIsOver]],1,Table2[[HomeTeam]:[HomeTeam]],$T35, Table2[[AwayTeam]:[AwayTeam]], AU$31, Table2[[ActualResult]:[ActualResult]], "SO")))</f>
        <v>0</v>
      </c>
      <c r="AV35">
        <f>(2*(SUMIFS(Table2[[AwayWon]:[AwayWon]], Table2[[GameIsOver]:[GameIsOver]],1,Table2[[AwayTeam]:[AwayTeam]],$T35, Table2[[HomeTeam]:[HomeTeam]], AV$31) + SUMIFS(Table2[[HomeWon_]:[HomeWon_]], Table2[[GameIsOver]:[GameIsOver]],1,Table2[[HomeTeam]:[HomeTeam]],$T5, Table2[[AwayTeam]:[AwayTeam]], AV$31))) + (0*(SUMIFS(Table2[[HomeWon_]:[HomeWon_]], Table2[[GameIsOver]:[GameIsOver]],1,Table2[[AwayTeam]:[AwayTeam]],$T35, Table2[[HomeTeam]:[HomeTeam]], AV$31, Table2[[ActualResult]:[ActualResult]], "REG") + SUMIFS(Table2[[AwayWon]:[AwayWon]], Table2[[GameIsOver]:[GameIsOver]],1,Table2[[HomeTeam]:[HomeTeam]],$T35, Table2[[AwayTeam]:[AwayTeam]], AV$31, Table2[[ActualResult]:[ActualResult]], "REG"))) + (1*(SUMIFS(Table2[[HomeWon_]:[HomeWon_]], Table2[[GameIsOver]:[GameIsOver]],1,Table2[[AwayTeam]:[AwayTeam]],$T35, Table2[[HomeTeam]:[HomeTeam]], AV$31, Table2[[ActualResult]:[ActualResult]], "OT") + SUMIFS(Table2[[AwayWon]:[AwayWon]], Table2[[GameIsOver]:[GameIsOver]],1,Table2[[HomeTeam]:[HomeTeam]],$T35, Table2[[AwayTeam]:[AwayTeam]], AV$31, Table2[[ActualResult]:[ActualResult]], "OT") + SUMIFS(Table2[[HomeWon_]:[HomeWon_]], Table2[[GameIsOver]:[GameIsOver]],1,Table2[[AwayTeam]:[AwayTeam]],$T35, Table2[[HomeTeam]:[HomeTeam]], AV$31, Table2[[ActualResult]:[ActualResult]], "SO") + SUMIFS(Table2[[AwayWon]:[AwayWon]], Table2[[GameIsOver]:[GameIsOver]],1,Table2[[HomeTeam]:[HomeTeam]],$T35, Table2[[AwayTeam]:[AwayTeam]], AV$31, Table2[[ActualResult]:[ActualResult]], "SO")))</f>
        <v>0</v>
      </c>
      <c r="AW35">
        <f>(2*(SUMIFS(Table2[[AwayWon]:[AwayWon]], Table2[[GameIsOver]:[GameIsOver]],1,Table2[[AwayTeam]:[AwayTeam]],$T35, Table2[[HomeTeam]:[HomeTeam]], AW$31) + SUMIFS(Table2[[HomeWon_]:[HomeWon_]], Table2[[GameIsOver]:[GameIsOver]],1,Table2[[HomeTeam]:[HomeTeam]],$T5, Table2[[AwayTeam]:[AwayTeam]], AW$31))) + (0*(SUMIFS(Table2[[HomeWon_]:[HomeWon_]], Table2[[GameIsOver]:[GameIsOver]],1,Table2[[AwayTeam]:[AwayTeam]],$T35, Table2[[HomeTeam]:[HomeTeam]], AW$31, Table2[[ActualResult]:[ActualResult]], "REG") + SUMIFS(Table2[[AwayWon]:[AwayWon]], Table2[[GameIsOver]:[GameIsOver]],1,Table2[[HomeTeam]:[HomeTeam]],$T35, Table2[[AwayTeam]:[AwayTeam]], AW$31, Table2[[ActualResult]:[ActualResult]], "REG"))) + (1*(SUMIFS(Table2[[HomeWon_]:[HomeWon_]], Table2[[GameIsOver]:[GameIsOver]],1,Table2[[AwayTeam]:[AwayTeam]],$T35, Table2[[HomeTeam]:[HomeTeam]], AW$31, Table2[[ActualResult]:[ActualResult]], "OT") + SUMIFS(Table2[[AwayWon]:[AwayWon]], Table2[[GameIsOver]:[GameIsOver]],1,Table2[[HomeTeam]:[HomeTeam]],$T35, Table2[[AwayTeam]:[AwayTeam]], AW$31, Table2[[ActualResult]:[ActualResult]], "OT") + SUMIFS(Table2[[HomeWon_]:[HomeWon_]], Table2[[GameIsOver]:[GameIsOver]],1,Table2[[AwayTeam]:[AwayTeam]],$T35, Table2[[HomeTeam]:[HomeTeam]], AW$31, Table2[[ActualResult]:[ActualResult]], "SO") + SUMIFS(Table2[[AwayWon]:[AwayWon]], Table2[[GameIsOver]:[GameIsOver]],1,Table2[[HomeTeam]:[HomeTeam]],$T35, Table2[[AwayTeam]:[AwayTeam]], AW$31, Table2[[ActualResult]:[ActualResult]], "SO")))</f>
        <v>0</v>
      </c>
      <c r="AX35">
        <f>(2*(SUMIFS(Table2[[AwayWon]:[AwayWon]], Table2[[GameIsOver]:[GameIsOver]],1,Table2[[AwayTeam]:[AwayTeam]],$T35, Table2[[HomeTeam]:[HomeTeam]], AX$31) + SUMIFS(Table2[[HomeWon_]:[HomeWon_]], Table2[[GameIsOver]:[GameIsOver]],1,Table2[[HomeTeam]:[HomeTeam]],$T5, Table2[[AwayTeam]:[AwayTeam]], AX$31))) + (0*(SUMIFS(Table2[[HomeWon_]:[HomeWon_]], Table2[[GameIsOver]:[GameIsOver]],1,Table2[[AwayTeam]:[AwayTeam]],$T35, Table2[[HomeTeam]:[HomeTeam]], AX$31, Table2[[ActualResult]:[ActualResult]], "REG") + SUMIFS(Table2[[AwayWon]:[AwayWon]], Table2[[GameIsOver]:[GameIsOver]],1,Table2[[HomeTeam]:[HomeTeam]],$T35, Table2[[AwayTeam]:[AwayTeam]], AX$31, Table2[[ActualResult]:[ActualResult]], "REG"))) + (1*(SUMIFS(Table2[[HomeWon_]:[HomeWon_]], Table2[[GameIsOver]:[GameIsOver]],1,Table2[[AwayTeam]:[AwayTeam]],$T35, Table2[[HomeTeam]:[HomeTeam]], AX$31, Table2[[ActualResult]:[ActualResult]], "OT") + SUMIFS(Table2[[AwayWon]:[AwayWon]], Table2[[GameIsOver]:[GameIsOver]],1,Table2[[HomeTeam]:[HomeTeam]],$T35, Table2[[AwayTeam]:[AwayTeam]], AX$31, Table2[[ActualResult]:[ActualResult]], "OT") + SUMIFS(Table2[[HomeWon_]:[HomeWon_]], Table2[[GameIsOver]:[GameIsOver]],1,Table2[[AwayTeam]:[AwayTeam]],$T35, Table2[[HomeTeam]:[HomeTeam]], AX$31, Table2[[ActualResult]:[ActualResult]], "SO") + SUMIFS(Table2[[AwayWon]:[AwayWon]], Table2[[GameIsOver]:[GameIsOver]],1,Table2[[HomeTeam]:[HomeTeam]],$T35, Table2[[AwayTeam]:[AwayTeam]], AX$31, Table2[[ActualResult]:[ActualResult]], "SO")))</f>
        <v>0</v>
      </c>
      <c r="AY35">
        <f>(2*(SUMIFS(Table2[[AwayWon]:[AwayWon]], Table2[[GameIsOver]:[GameIsOver]],1,Table2[[AwayTeam]:[AwayTeam]],$T35, Table2[[HomeTeam]:[HomeTeam]], AY$31) + SUMIFS(Table2[[HomeWon_]:[HomeWon_]], Table2[[GameIsOver]:[GameIsOver]],1,Table2[[HomeTeam]:[HomeTeam]],$T5, Table2[[AwayTeam]:[AwayTeam]], AY$31))) + (0*(SUMIFS(Table2[[HomeWon_]:[HomeWon_]], Table2[[GameIsOver]:[GameIsOver]],1,Table2[[AwayTeam]:[AwayTeam]],$T35, Table2[[HomeTeam]:[HomeTeam]], AY$31, Table2[[ActualResult]:[ActualResult]], "REG") + SUMIFS(Table2[[AwayWon]:[AwayWon]], Table2[[GameIsOver]:[GameIsOver]],1,Table2[[HomeTeam]:[HomeTeam]],$T35, Table2[[AwayTeam]:[AwayTeam]], AY$31, Table2[[ActualResult]:[ActualResult]], "REG"))) + (1*(SUMIFS(Table2[[HomeWon_]:[HomeWon_]], Table2[[GameIsOver]:[GameIsOver]],1,Table2[[AwayTeam]:[AwayTeam]],$T35, Table2[[HomeTeam]:[HomeTeam]], AY$31, Table2[[ActualResult]:[ActualResult]], "OT") + SUMIFS(Table2[[AwayWon]:[AwayWon]], Table2[[GameIsOver]:[GameIsOver]],1,Table2[[HomeTeam]:[HomeTeam]],$T35, Table2[[AwayTeam]:[AwayTeam]], AY$31, Table2[[ActualResult]:[ActualResult]], "OT") + SUMIFS(Table2[[HomeWon_]:[HomeWon_]], Table2[[GameIsOver]:[GameIsOver]],1,Table2[[AwayTeam]:[AwayTeam]],$T35, Table2[[HomeTeam]:[HomeTeam]], AY$31, Table2[[ActualResult]:[ActualResult]], "SO") + SUMIFS(Table2[[AwayWon]:[AwayWon]], Table2[[GameIsOver]:[GameIsOver]],1,Table2[[HomeTeam]:[HomeTeam]],$T35, Table2[[AwayTeam]:[AwayTeam]], AY$31, Table2[[ActualResult]:[ActualResult]], "SO")))</f>
        <v>0</v>
      </c>
      <c r="AZ35">
        <f>(2*(SUMIFS(Table2[[AwayWon]:[AwayWon]], Table2[[GameIsOver]:[GameIsOver]],1,Table2[[AwayTeam]:[AwayTeam]],$T35, Table2[[HomeTeam]:[HomeTeam]], AZ$31) + SUMIFS(Table2[[HomeWon_]:[HomeWon_]], Table2[[GameIsOver]:[GameIsOver]],1,Table2[[HomeTeam]:[HomeTeam]],$T5, Table2[[AwayTeam]:[AwayTeam]], AZ$31))) + (0*(SUMIFS(Table2[[HomeWon_]:[HomeWon_]], Table2[[GameIsOver]:[GameIsOver]],1,Table2[[AwayTeam]:[AwayTeam]],$T35, Table2[[HomeTeam]:[HomeTeam]], AZ$31, Table2[[ActualResult]:[ActualResult]], "REG") + SUMIFS(Table2[[AwayWon]:[AwayWon]], Table2[[GameIsOver]:[GameIsOver]],1,Table2[[HomeTeam]:[HomeTeam]],$T35, Table2[[AwayTeam]:[AwayTeam]], AZ$31, Table2[[ActualResult]:[ActualResult]], "REG"))) + (1*(SUMIFS(Table2[[HomeWon_]:[HomeWon_]], Table2[[GameIsOver]:[GameIsOver]],1,Table2[[AwayTeam]:[AwayTeam]],$T35, Table2[[HomeTeam]:[HomeTeam]], AZ$31, Table2[[ActualResult]:[ActualResult]], "OT") + SUMIFS(Table2[[AwayWon]:[AwayWon]], Table2[[GameIsOver]:[GameIsOver]],1,Table2[[HomeTeam]:[HomeTeam]],$T35, Table2[[AwayTeam]:[AwayTeam]], AZ$31, Table2[[ActualResult]:[ActualResult]], "OT") + SUMIFS(Table2[[HomeWon_]:[HomeWon_]], Table2[[GameIsOver]:[GameIsOver]],1,Table2[[AwayTeam]:[AwayTeam]],$T35, Table2[[HomeTeam]:[HomeTeam]], AZ$31, Table2[[ActualResult]:[ActualResult]], "SO") + SUMIFS(Table2[[AwayWon]:[AwayWon]], Table2[[GameIsOver]:[GameIsOver]],1,Table2[[HomeTeam]:[HomeTeam]],$T35, Table2[[AwayTeam]:[AwayTeam]], AZ$31, Table2[[ActualResult]:[ActualResult]], "SO")))</f>
        <v>2</v>
      </c>
      <c r="BA35">
        <f>(2*(SUMIFS(Table2[[AwayWon]:[AwayWon]], Table2[[GameIsOver]:[GameIsOver]],1,Table2[[AwayTeam]:[AwayTeam]],$T35, Table2[[HomeTeam]:[HomeTeam]], BA$31) + SUMIFS(Table2[[HomeWon_]:[HomeWon_]], Table2[[GameIsOver]:[GameIsOver]],1,Table2[[HomeTeam]:[HomeTeam]],$T5, Table2[[AwayTeam]:[AwayTeam]], BA$31))) + (0*(SUMIFS(Table2[[HomeWon_]:[HomeWon_]], Table2[[GameIsOver]:[GameIsOver]],1,Table2[[AwayTeam]:[AwayTeam]],$T35, Table2[[HomeTeam]:[HomeTeam]], BA$31, Table2[[ActualResult]:[ActualResult]], "REG") + SUMIFS(Table2[[AwayWon]:[AwayWon]], Table2[[GameIsOver]:[GameIsOver]],1,Table2[[HomeTeam]:[HomeTeam]],$T35, Table2[[AwayTeam]:[AwayTeam]], BA$31, Table2[[ActualResult]:[ActualResult]], "REG"))) + (1*(SUMIFS(Table2[[HomeWon_]:[HomeWon_]], Table2[[GameIsOver]:[GameIsOver]],1,Table2[[AwayTeam]:[AwayTeam]],$T35, Table2[[HomeTeam]:[HomeTeam]], BA$31, Table2[[ActualResult]:[ActualResult]], "OT") + SUMIFS(Table2[[AwayWon]:[AwayWon]], Table2[[GameIsOver]:[GameIsOver]],1,Table2[[HomeTeam]:[HomeTeam]],$T35, Table2[[AwayTeam]:[AwayTeam]], BA$31, Table2[[ActualResult]:[ActualResult]], "OT") + SUMIFS(Table2[[HomeWon_]:[HomeWon_]], Table2[[GameIsOver]:[GameIsOver]],1,Table2[[AwayTeam]:[AwayTeam]],$T35, Table2[[HomeTeam]:[HomeTeam]], BA$31, Table2[[ActualResult]:[ActualResult]], "SO") + SUMIFS(Table2[[AwayWon]:[AwayWon]], Table2[[GameIsOver]:[GameIsOver]],1,Table2[[HomeTeam]:[HomeTeam]],$T35, Table2[[AwayTeam]:[AwayTeam]], BA$31, Table2[[ActualResult]:[ActualResult]], "SO")))</f>
        <v>0</v>
      </c>
    </row>
    <row r="36" spans="1:53" x14ac:dyDescent="0.25">
      <c r="S36">
        <v>5</v>
      </c>
      <c r="T36" t="str" cm="1">
        <f t="array" ref="T36">INDEX(Table6[Teams], SMALL(IF(Table6[D]="A", ROW(Table6[Teams])-ROW(Table6[#Headers])), Table71214[[#This Row],[ATL]]))</f>
        <v>MTL</v>
      </c>
      <c r="U36">
        <f>INDEX(Table6[PTS], MATCH($T36, Table6[Teams], 0))</f>
        <v>10</v>
      </c>
      <c r="V36">
        <f>(2*(SUMIFS(Table2[[AwayWon]:[AwayWon]], Table2[[GameIsOver]:[GameIsOver]],1,Table2[[AwayTeam]:[AwayTeam]],$T36, Table2[[HomeTeam]:[HomeTeam]], V$31) + SUMIFS(Table2[[HomeWon_]:[HomeWon_]], Table2[[GameIsOver]:[GameIsOver]],1,Table2[[HomeTeam]:[HomeTeam]],$T6, Table2[[AwayTeam]:[AwayTeam]], V$31))) + (0*(SUMIFS(Table2[[HomeWon_]:[HomeWon_]], Table2[[GameIsOver]:[GameIsOver]],1,Table2[[AwayTeam]:[AwayTeam]],$T36, Table2[[HomeTeam]:[HomeTeam]], V$31, Table2[[ActualResult]:[ActualResult]], "REG") + SUMIFS(Table2[[AwayWon]:[AwayWon]], Table2[[GameIsOver]:[GameIsOver]],1,Table2[[HomeTeam]:[HomeTeam]],$T36, Table2[[AwayTeam]:[AwayTeam]], V$31, Table2[[ActualResult]:[ActualResult]], "REG"))) + (1*(SUMIFS(Table2[[HomeWon_]:[HomeWon_]], Table2[[GameIsOver]:[GameIsOver]],1,Table2[[AwayTeam]:[AwayTeam]],$T36, Table2[[HomeTeam]:[HomeTeam]], V$31, Table2[[ActualResult]:[ActualResult]], "OT") + SUMIFS(Table2[[AwayWon]:[AwayWon]], Table2[[GameIsOver]:[GameIsOver]],1,Table2[[HomeTeam]:[HomeTeam]],$T36, Table2[[AwayTeam]:[AwayTeam]], V$31, Table2[[ActualResult]:[ActualResult]], "OT") + SUMIFS(Table2[[HomeWon_]:[HomeWon_]], Table2[[GameIsOver]:[GameIsOver]],1,Table2[[AwayTeam]:[AwayTeam]],$T36, Table2[[HomeTeam]:[HomeTeam]], V$31, Table2[[ActualResult]:[ActualResult]], "SO") + SUMIFS(Table2[[AwayWon]:[AwayWon]], Table2[[GameIsOver]:[GameIsOver]],1,Table2[[HomeTeam]:[HomeTeam]],$T36, Table2[[AwayTeam]:[AwayTeam]], V$31, Table2[[ActualResult]:[ActualResult]], "SO")))</f>
        <v>0</v>
      </c>
      <c r="W36">
        <f>(2*(SUMIFS(Table2[[AwayWon]:[AwayWon]], Table2[[GameIsOver]:[GameIsOver]],1,Table2[[AwayTeam]:[AwayTeam]],$T36, Table2[[HomeTeam]:[HomeTeam]], W$31) + SUMIFS(Table2[[HomeWon_]:[HomeWon_]], Table2[[GameIsOver]:[GameIsOver]],1,Table2[[HomeTeam]:[HomeTeam]],$T6, Table2[[AwayTeam]:[AwayTeam]], W$31))) + (0*(SUMIFS(Table2[[HomeWon_]:[HomeWon_]], Table2[[GameIsOver]:[GameIsOver]],1,Table2[[AwayTeam]:[AwayTeam]],$T36, Table2[[HomeTeam]:[HomeTeam]], W$31, Table2[[ActualResult]:[ActualResult]], "REG") + SUMIFS(Table2[[AwayWon]:[AwayWon]], Table2[[GameIsOver]:[GameIsOver]],1,Table2[[HomeTeam]:[HomeTeam]],$T36, Table2[[AwayTeam]:[AwayTeam]], W$31, Table2[[ActualResult]:[ActualResult]], "REG"))) + (1*(SUMIFS(Table2[[HomeWon_]:[HomeWon_]], Table2[[GameIsOver]:[GameIsOver]],1,Table2[[AwayTeam]:[AwayTeam]],$T36, Table2[[HomeTeam]:[HomeTeam]], W$31, Table2[[ActualResult]:[ActualResult]], "OT") + SUMIFS(Table2[[AwayWon]:[AwayWon]], Table2[[GameIsOver]:[GameIsOver]],1,Table2[[HomeTeam]:[HomeTeam]],$T36, Table2[[AwayTeam]:[AwayTeam]], W$31, Table2[[ActualResult]:[ActualResult]], "OT") + SUMIFS(Table2[[HomeWon_]:[HomeWon_]], Table2[[GameIsOver]:[GameIsOver]],1,Table2[[AwayTeam]:[AwayTeam]],$T36, Table2[[HomeTeam]:[HomeTeam]], W$31, Table2[[ActualResult]:[ActualResult]], "SO") + SUMIFS(Table2[[AwayWon]:[AwayWon]], Table2[[GameIsOver]:[GameIsOver]],1,Table2[[HomeTeam]:[HomeTeam]],$T36, Table2[[AwayTeam]:[AwayTeam]], W$31, Table2[[ActualResult]:[ActualResult]], "SO")))</f>
        <v>2</v>
      </c>
      <c r="X36">
        <f>(2*(SUMIFS(Table2[[AwayWon]:[AwayWon]], Table2[[GameIsOver]:[GameIsOver]],1,Table2[[AwayTeam]:[AwayTeam]],$T36, Table2[[HomeTeam]:[HomeTeam]], X$31) + SUMIFS(Table2[[HomeWon_]:[HomeWon_]], Table2[[GameIsOver]:[GameIsOver]],1,Table2[[HomeTeam]:[HomeTeam]],$T6, Table2[[AwayTeam]:[AwayTeam]], X$31))) + (0*(SUMIFS(Table2[[HomeWon_]:[HomeWon_]], Table2[[GameIsOver]:[GameIsOver]],1,Table2[[AwayTeam]:[AwayTeam]],$T36, Table2[[HomeTeam]:[HomeTeam]], X$31, Table2[[ActualResult]:[ActualResult]], "REG") + SUMIFS(Table2[[AwayWon]:[AwayWon]], Table2[[GameIsOver]:[GameIsOver]],1,Table2[[HomeTeam]:[HomeTeam]],$T36, Table2[[AwayTeam]:[AwayTeam]], X$31, Table2[[ActualResult]:[ActualResult]], "REG"))) + (1*(SUMIFS(Table2[[HomeWon_]:[HomeWon_]], Table2[[GameIsOver]:[GameIsOver]],1,Table2[[AwayTeam]:[AwayTeam]],$T36, Table2[[HomeTeam]:[HomeTeam]], X$31, Table2[[ActualResult]:[ActualResult]], "OT") + SUMIFS(Table2[[AwayWon]:[AwayWon]], Table2[[GameIsOver]:[GameIsOver]],1,Table2[[HomeTeam]:[HomeTeam]],$T36, Table2[[AwayTeam]:[AwayTeam]], X$31, Table2[[ActualResult]:[ActualResult]], "OT") + SUMIFS(Table2[[HomeWon_]:[HomeWon_]], Table2[[GameIsOver]:[GameIsOver]],1,Table2[[AwayTeam]:[AwayTeam]],$T36, Table2[[HomeTeam]:[HomeTeam]], X$31, Table2[[ActualResult]:[ActualResult]], "SO") + SUMIFS(Table2[[AwayWon]:[AwayWon]], Table2[[GameIsOver]:[GameIsOver]],1,Table2[[HomeTeam]:[HomeTeam]],$T36, Table2[[AwayTeam]:[AwayTeam]], X$31, Table2[[ActualResult]:[ActualResult]], "SO")))</f>
        <v>0</v>
      </c>
      <c r="Y36">
        <f>(2*(SUMIFS(Table2[[AwayWon]:[AwayWon]], Table2[[GameIsOver]:[GameIsOver]],1,Table2[[AwayTeam]:[AwayTeam]],$T36, Table2[[HomeTeam]:[HomeTeam]], Y$31) + SUMIFS(Table2[[HomeWon_]:[HomeWon_]], Table2[[GameIsOver]:[GameIsOver]],1,Table2[[HomeTeam]:[HomeTeam]],$T6, Table2[[AwayTeam]:[AwayTeam]], Y$31))) + (0*(SUMIFS(Table2[[HomeWon_]:[HomeWon_]], Table2[[GameIsOver]:[GameIsOver]],1,Table2[[AwayTeam]:[AwayTeam]],$T36, Table2[[HomeTeam]:[HomeTeam]], Y$31, Table2[[ActualResult]:[ActualResult]], "REG") + SUMIFS(Table2[[AwayWon]:[AwayWon]], Table2[[GameIsOver]:[GameIsOver]],1,Table2[[HomeTeam]:[HomeTeam]],$T36, Table2[[AwayTeam]:[AwayTeam]], Y$31, Table2[[ActualResult]:[ActualResult]], "REG"))) + (1*(SUMIFS(Table2[[HomeWon_]:[HomeWon_]], Table2[[GameIsOver]:[GameIsOver]],1,Table2[[AwayTeam]:[AwayTeam]],$T36, Table2[[HomeTeam]:[HomeTeam]], Y$31, Table2[[ActualResult]:[ActualResult]], "OT") + SUMIFS(Table2[[AwayWon]:[AwayWon]], Table2[[GameIsOver]:[GameIsOver]],1,Table2[[HomeTeam]:[HomeTeam]],$T36, Table2[[AwayTeam]:[AwayTeam]], Y$31, Table2[[ActualResult]:[ActualResult]], "OT") + SUMIFS(Table2[[HomeWon_]:[HomeWon_]], Table2[[GameIsOver]:[GameIsOver]],1,Table2[[AwayTeam]:[AwayTeam]],$T36, Table2[[HomeTeam]:[HomeTeam]], Y$31, Table2[[ActualResult]:[ActualResult]], "SO") + SUMIFS(Table2[[AwayWon]:[AwayWon]], Table2[[GameIsOver]:[GameIsOver]],1,Table2[[HomeTeam]:[HomeTeam]],$T36, Table2[[AwayTeam]:[AwayTeam]], Y$31, Table2[[ActualResult]:[ActualResult]], "SO")))</f>
        <v>0</v>
      </c>
      <c r="Z36">
        <f>(2*(SUMIFS(Table2[[AwayWon]:[AwayWon]], Table2[[GameIsOver]:[GameIsOver]],1,Table2[[AwayTeam]:[AwayTeam]],$T36, Table2[[HomeTeam]:[HomeTeam]], Z$31) + SUMIFS(Table2[[HomeWon_]:[HomeWon_]], Table2[[GameIsOver]:[GameIsOver]],1,Table2[[HomeTeam]:[HomeTeam]],$T6, Table2[[AwayTeam]:[AwayTeam]], Z$31))) + (0*(SUMIFS(Table2[[HomeWon_]:[HomeWon_]], Table2[[GameIsOver]:[GameIsOver]],1,Table2[[AwayTeam]:[AwayTeam]],$T36, Table2[[HomeTeam]:[HomeTeam]], Z$31, Table2[[ActualResult]:[ActualResult]], "REG") + SUMIFS(Table2[[AwayWon]:[AwayWon]], Table2[[GameIsOver]:[GameIsOver]],1,Table2[[HomeTeam]:[HomeTeam]],$T36, Table2[[AwayTeam]:[AwayTeam]], Z$31, Table2[[ActualResult]:[ActualResult]], "REG"))) + (1*(SUMIFS(Table2[[HomeWon_]:[HomeWon_]], Table2[[GameIsOver]:[GameIsOver]],1,Table2[[AwayTeam]:[AwayTeam]],$T36, Table2[[HomeTeam]:[HomeTeam]], Z$31, Table2[[ActualResult]:[ActualResult]], "OT") + SUMIFS(Table2[[AwayWon]:[AwayWon]], Table2[[GameIsOver]:[GameIsOver]],1,Table2[[HomeTeam]:[HomeTeam]],$T36, Table2[[AwayTeam]:[AwayTeam]], Z$31, Table2[[ActualResult]:[ActualResult]], "OT") + SUMIFS(Table2[[HomeWon_]:[HomeWon_]], Table2[[GameIsOver]:[GameIsOver]],1,Table2[[AwayTeam]:[AwayTeam]],$T36, Table2[[HomeTeam]:[HomeTeam]], Z$31, Table2[[ActualResult]:[ActualResult]], "SO") + SUMIFS(Table2[[AwayWon]:[AwayWon]], Table2[[GameIsOver]:[GameIsOver]],1,Table2[[HomeTeam]:[HomeTeam]],$T36, Table2[[AwayTeam]:[AwayTeam]], Z$31, Table2[[ActualResult]:[ActualResult]], "SO")))</f>
        <v>0</v>
      </c>
      <c r="AA36">
        <f>(2*(SUMIFS(Table2[[AwayWon]:[AwayWon]], Table2[[GameIsOver]:[GameIsOver]],1,Table2[[AwayTeam]:[AwayTeam]],$T36, Table2[[HomeTeam]:[HomeTeam]], AA$31) + SUMIFS(Table2[[HomeWon_]:[HomeWon_]], Table2[[GameIsOver]:[GameIsOver]],1,Table2[[HomeTeam]:[HomeTeam]],$T6, Table2[[AwayTeam]:[AwayTeam]], AA$31))) + (0*(SUMIFS(Table2[[HomeWon_]:[HomeWon_]], Table2[[GameIsOver]:[GameIsOver]],1,Table2[[AwayTeam]:[AwayTeam]],$T36, Table2[[HomeTeam]:[HomeTeam]], AA$31, Table2[[ActualResult]:[ActualResult]], "REG") + SUMIFS(Table2[[AwayWon]:[AwayWon]], Table2[[GameIsOver]:[GameIsOver]],1,Table2[[HomeTeam]:[HomeTeam]],$T36, Table2[[AwayTeam]:[AwayTeam]], AA$31, Table2[[ActualResult]:[ActualResult]], "REG"))) + (1*(SUMIFS(Table2[[HomeWon_]:[HomeWon_]], Table2[[GameIsOver]:[GameIsOver]],1,Table2[[AwayTeam]:[AwayTeam]],$T36, Table2[[HomeTeam]:[HomeTeam]], AA$31, Table2[[ActualResult]:[ActualResult]], "OT") + SUMIFS(Table2[[AwayWon]:[AwayWon]], Table2[[GameIsOver]:[GameIsOver]],1,Table2[[HomeTeam]:[HomeTeam]],$T36, Table2[[AwayTeam]:[AwayTeam]], AA$31, Table2[[ActualResult]:[ActualResult]], "OT") + SUMIFS(Table2[[HomeWon_]:[HomeWon_]], Table2[[GameIsOver]:[GameIsOver]],1,Table2[[AwayTeam]:[AwayTeam]],$T36, Table2[[HomeTeam]:[HomeTeam]], AA$31, Table2[[ActualResult]:[ActualResult]], "SO") + SUMIFS(Table2[[AwayWon]:[AwayWon]], Table2[[GameIsOver]:[GameIsOver]],1,Table2[[HomeTeam]:[HomeTeam]],$T36, Table2[[AwayTeam]:[AwayTeam]], AA$31, Table2[[ActualResult]:[ActualResult]], "SO")))</f>
        <v>0</v>
      </c>
      <c r="AB36">
        <f>(2*(SUMIFS(Table2[[AwayWon]:[AwayWon]], Table2[[GameIsOver]:[GameIsOver]],1,Table2[[AwayTeam]:[AwayTeam]],$T36, Table2[[HomeTeam]:[HomeTeam]], AB$31) + SUMIFS(Table2[[HomeWon_]:[HomeWon_]], Table2[[GameIsOver]:[GameIsOver]],1,Table2[[HomeTeam]:[HomeTeam]],$T6, Table2[[AwayTeam]:[AwayTeam]], AB$31))) + (0*(SUMIFS(Table2[[HomeWon_]:[HomeWon_]], Table2[[GameIsOver]:[GameIsOver]],1,Table2[[AwayTeam]:[AwayTeam]],$T36, Table2[[HomeTeam]:[HomeTeam]], AB$31, Table2[[ActualResult]:[ActualResult]], "REG") + SUMIFS(Table2[[AwayWon]:[AwayWon]], Table2[[GameIsOver]:[GameIsOver]],1,Table2[[HomeTeam]:[HomeTeam]],$T36, Table2[[AwayTeam]:[AwayTeam]], AB$31, Table2[[ActualResult]:[ActualResult]], "REG"))) + (1*(SUMIFS(Table2[[HomeWon_]:[HomeWon_]], Table2[[GameIsOver]:[GameIsOver]],1,Table2[[AwayTeam]:[AwayTeam]],$T36, Table2[[HomeTeam]:[HomeTeam]], AB$31, Table2[[ActualResult]:[ActualResult]], "OT") + SUMIFS(Table2[[AwayWon]:[AwayWon]], Table2[[GameIsOver]:[GameIsOver]],1,Table2[[HomeTeam]:[HomeTeam]],$T36, Table2[[AwayTeam]:[AwayTeam]], AB$31, Table2[[ActualResult]:[ActualResult]], "OT") + SUMIFS(Table2[[HomeWon_]:[HomeWon_]], Table2[[GameIsOver]:[GameIsOver]],1,Table2[[AwayTeam]:[AwayTeam]],$T36, Table2[[HomeTeam]:[HomeTeam]], AB$31, Table2[[ActualResult]:[ActualResult]], "SO") + SUMIFS(Table2[[AwayWon]:[AwayWon]], Table2[[GameIsOver]:[GameIsOver]],1,Table2[[HomeTeam]:[HomeTeam]],$T36, Table2[[AwayTeam]:[AwayTeam]], AB$31, Table2[[ActualResult]:[ActualResult]], "SO")))</f>
        <v>0</v>
      </c>
      <c r="AC36">
        <f>(2*(SUMIFS(Table2[[AwayWon]:[AwayWon]], Table2[[GameIsOver]:[GameIsOver]],1,Table2[[AwayTeam]:[AwayTeam]],$T36, Table2[[HomeTeam]:[HomeTeam]], AC$31) + SUMIFS(Table2[[HomeWon_]:[HomeWon_]], Table2[[GameIsOver]:[GameIsOver]],1,Table2[[HomeTeam]:[HomeTeam]],$T6, Table2[[AwayTeam]:[AwayTeam]], AC$31))) + (0*(SUMIFS(Table2[[HomeWon_]:[HomeWon_]], Table2[[GameIsOver]:[GameIsOver]],1,Table2[[AwayTeam]:[AwayTeam]],$T36, Table2[[HomeTeam]:[HomeTeam]], AC$31, Table2[[ActualResult]:[ActualResult]], "REG") + SUMIFS(Table2[[AwayWon]:[AwayWon]], Table2[[GameIsOver]:[GameIsOver]],1,Table2[[HomeTeam]:[HomeTeam]],$T36, Table2[[AwayTeam]:[AwayTeam]], AC$31, Table2[[ActualResult]:[ActualResult]], "REG"))) + (1*(SUMIFS(Table2[[HomeWon_]:[HomeWon_]], Table2[[GameIsOver]:[GameIsOver]],1,Table2[[AwayTeam]:[AwayTeam]],$T36, Table2[[HomeTeam]:[HomeTeam]], AC$31, Table2[[ActualResult]:[ActualResult]], "OT") + SUMIFS(Table2[[AwayWon]:[AwayWon]], Table2[[GameIsOver]:[GameIsOver]],1,Table2[[HomeTeam]:[HomeTeam]],$T36, Table2[[AwayTeam]:[AwayTeam]], AC$31, Table2[[ActualResult]:[ActualResult]], "OT") + SUMIFS(Table2[[HomeWon_]:[HomeWon_]], Table2[[GameIsOver]:[GameIsOver]],1,Table2[[AwayTeam]:[AwayTeam]],$T36, Table2[[HomeTeam]:[HomeTeam]], AC$31, Table2[[ActualResult]:[ActualResult]], "SO") + SUMIFS(Table2[[AwayWon]:[AwayWon]], Table2[[GameIsOver]:[GameIsOver]],1,Table2[[HomeTeam]:[HomeTeam]],$T36, Table2[[AwayTeam]:[AwayTeam]], AC$31, Table2[[ActualResult]:[ActualResult]], "SO")))</f>
        <v>0</v>
      </c>
      <c r="AD36">
        <f>(2*(SUMIFS(Table2[[AwayWon]:[AwayWon]], Table2[[GameIsOver]:[GameIsOver]],1,Table2[[AwayTeam]:[AwayTeam]],$T36, Table2[[HomeTeam]:[HomeTeam]], AD$31) + SUMIFS(Table2[[HomeWon_]:[HomeWon_]], Table2[[GameIsOver]:[GameIsOver]],1,Table2[[HomeTeam]:[HomeTeam]],$T6, Table2[[AwayTeam]:[AwayTeam]], AD$31))) + (0*(SUMIFS(Table2[[HomeWon_]:[HomeWon_]], Table2[[GameIsOver]:[GameIsOver]],1,Table2[[AwayTeam]:[AwayTeam]],$T36, Table2[[HomeTeam]:[HomeTeam]], AD$31, Table2[[ActualResult]:[ActualResult]], "REG") + SUMIFS(Table2[[AwayWon]:[AwayWon]], Table2[[GameIsOver]:[GameIsOver]],1,Table2[[HomeTeam]:[HomeTeam]],$T36, Table2[[AwayTeam]:[AwayTeam]], AD$31, Table2[[ActualResult]:[ActualResult]], "REG"))) + (1*(SUMIFS(Table2[[HomeWon_]:[HomeWon_]], Table2[[GameIsOver]:[GameIsOver]],1,Table2[[AwayTeam]:[AwayTeam]],$T36, Table2[[HomeTeam]:[HomeTeam]], AD$31, Table2[[ActualResult]:[ActualResult]], "OT") + SUMIFS(Table2[[AwayWon]:[AwayWon]], Table2[[GameIsOver]:[GameIsOver]],1,Table2[[HomeTeam]:[HomeTeam]],$T36, Table2[[AwayTeam]:[AwayTeam]], AD$31, Table2[[ActualResult]:[ActualResult]], "OT") + SUMIFS(Table2[[HomeWon_]:[HomeWon_]], Table2[[GameIsOver]:[GameIsOver]],1,Table2[[AwayTeam]:[AwayTeam]],$T36, Table2[[HomeTeam]:[HomeTeam]], AD$31, Table2[[ActualResult]:[ActualResult]], "SO") + SUMIFS(Table2[[AwayWon]:[AwayWon]], Table2[[GameIsOver]:[GameIsOver]],1,Table2[[HomeTeam]:[HomeTeam]],$T36, Table2[[AwayTeam]:[AwayTeam]], AD$31, Table2[[ActualResult]:[ActualResult]], "SO")))</f>
        <v>2</v>
      </c>
      <c r="AE36">
        <f>(2*(SUMIFS(Table2[[AwayWon]:[AwayWon]], Table2[[GameIsOver]:[GameIsOver]],1,Table2[[AwayTeam]:[AwayTeam]],$T36, Table2[[HomeTeam]:[HomeTeam]], AE$31) + SUMIFS(Table2[[HomeWon_]:[HomeWon_]], Table2[[GameIsOver]:[GameIsOver]],1,Table2[[HomeTeam]:[HomeTeam]],$T6, Table2[[AwayTeam]:[AwayTeam]], AE$31))) + (0*(SUMIFS(Table2[[HomeWon_]:[HomeWon_]], Table2[[GameIsOver]:[GameIsOver]],1,Table2[[AwayTeam]:[AwayTeam]],$T36, Table2[[HomeTeam]:[HomeTeam]], AE$31, Table2[[ActualResult]:[ActualResult]], "REG") + SUMIFS(Table2[[AwayWon]:[AwayWon]], Table2[[GameIsOver]:[GameIsOver]],1,Table2[[HomeTeam]:[HomeTeam]],$T36, Table2[[AwayTeam]:[AwayTeam]], AE$31, Table2[[ActualResult]:[ActualResult]], "REG"))) + (1*(SUMIFS(Table2[[HomeWon_]:[HomeWon_]], Table2[[GameIsOver]:[GameIsOver]],1,Table2[[AwayTeam]:[AwayTeam]],$T36, Table2[[HomeTeam]:[HomeTeam]], AE$31, Table2[[ActualResult]:[ActualResult]], "OT") + SUMIFS(Table2[[AwayWon]:[AwayWon]], Table2[[GameIsOver]:[GameIsOver]],1,Table2[[HomeTeam]:[HomeTeam]],$T36, Table2[[AwayTeam]:[AwayTeam]], AE$31, Table2[[ActualResult]:[ActualResult]], "OT") + SUMIFS(Table2[[HomeWon_]:[HomeWon_]], Table2[[GameIsOver]:[GameIsOver]],1,Table2[[AwayTeam]:[AwayTeam]],$T36, Table2[[HomeTeam]:[HomeTeam]], AE$31, Table2[[ActualResult]:[ActualResult]], "SO") + SUMIFS(Table2[[AwayWon]:[AwayWon]], Table2[[GameIsOver]:[GameIsOver]],1,Table2[[HomeTeam]:[HomeTeam]],$T36, Table2[[AwayTeam]:[AwayTeam]], AE$31, Table2[[ActualResult]:[ActualResult]], "SO")))</f>
        <v>0</v>
      </c>
      <c r="AF36">
        <f>(2*(SUMIFS(Table2[[AwayWon]:[AwayWon]], Table2[[GameIsOver]:[GameIsOver]],1,Table2[[AwayTeam]:[AwayTeam]],$T36, Table2[[HomeTeam]:[HomeTeam]], AF$31) + SUMIFS(Table2[[HomeWon_]:[HomeWon_]], Table2[[GameIsOver]:[GameIsOver]],1,Table2[[HomeTeam]:[HomeTeam]],$T6, Table2[[AwayTeam]:[AwayTeam]], AF$31))) + (0*(SUMIFS(Table2[[HomeWon_]:[HomeWon_]], Table2[[GameIsOver]:[GameIsOver]],1,Table2[[AwayTeam]:[AwayTeam]],$T36, Table2[[HomeTeam]:[HomeTeam]], AF$31, Table2[[ActualResult]:[ActualResult]], "REG") + SUMIFS(Table2[[AwayWon]:[AwayWon]], Table2[[GameIsOver]:[GameIsOver]],1,Table2[[HomeTeam]:[HomeTeam]],$T36, Table2[[AwayTeam]:[AwayTeam]], AF$31, Table2[[ActualResult]:[ActualResult]], "REG"))) + (1*(SUMIFS(Table2[[HomeWon_]:[HomeWon_]], Table2[[GameIsOver]:[GameIsOver]],1,Table2[[AwayTeam]:[AwayTeam]],$T36, Table2[[HomeTeam]:[HomeTeam]], AF$31, Table2[[ActualResult]:[ActualResult]], "OT") + SUMIFS(Table2[[AwayWon]:[AwayWon]], Table2[[GameIsOver]:[GameIsOver]],1,Table2[[HomeTeam]:[HomeTeam]],$T36, Table2[[AwayTeam]:[AwayTeam]], AF$31, Table2[[ActualResult]:[ActualResult]], "OT") + SUMIFS(Table2[[HomeWon_]:[HomeWon_]], Table2[[GameIsOver]:[GameIsOver]],1,Table2[[AwayTeam]:[AwayTeam]],$T36, Table2[[HomeTeam]:[HomeTeam]], AF$31, Table2[[ActualResult]:[ActualResult]], "SO") + SUMIFS(Table2[[AwayWon]:[AwayWon]], Table2[[GameIsOver]:[GameIsOver]],1,Table2[[HomeTeam]:[HomeTeam]],$T36, Table2[[AwayTeam]:[AwayTeam]], AF$31, Table2[[ActualResult]:[ActualResult]], "SO")))</f>
        <v>0</v>
      </c>
      <c r="AG36">
        <f>(2*(SUMIFS(Table2[[AwayWon]:[AwayWon]], Table2[[GameIsOver]:[GameIsOver]],1,Table2[[AwayTeam]:[AwayTeam]],$T36, Table2[[HomeTeam]:[HomeTeam]], AG$31) + SUMIFS(Table2[[HomeWon_]:[HomeWon_]], Table2[[GameIsOver]:[GameIsOver]],1,Table2[[HomeTeam]:[HomeTeam]],$T6, Table2[[AwayTeam]:[AwayTeam]], AG$31))) + (0*(SUMIFS(Table2[[HomeWon_]:[HomeWon_]], Table2[[GameIsOver]:[GameIsOver]],1,Table2[[AwayTeam]:[AwayTeam]],$T36, Table2[[HomeTeam]:[HomeTeam]], AG$31, Table2[[ActualResult]:[ActualResult]], "REG") + SUMIFS(Table2[[AwayWon]:[AwayWon]], Table2[[GameIsOver]:[GameIsOver]],1,Table2[[HomeTeam]:[HomeTeam]],$T36, Table2[[AwayTeam]:[AwayTeam]], AG$31, Table2[[ActualResult]:[ActualResult]], "REG"))) + (1*(SUMIFS(Table2[[HomeWon_]:[HomeWon_]], Table2[[GameIsOver]:[GameIsOver]],1,Table2[[AwayTeam]:[AwayTeam]],$T36, Table2[[HomeTeam]:[HomeTeam]], AG$31, Table2[[ActualResult]:[ActualResult]], "OT") + SUMIFS(Table2[[AwayWon]:[AwayWon]], Table2[[GameIsOver]:[GameIsOver]],1,Table2[[HomeTeam]:[HomeTeam]],$T36, Table2[[AwayTeam]:[AwayTeam]], AG$31, Table2[[ActualResult]:[ActualResult]], "OT") + SUMIFS(Table2[[HomeWon_]:[HomeWon_]], Table2[[GameIsOver]:[GameIsOver]],1,Table2[[AwayTeam]:[AwayTeam]],$T36, Table2[[HomeTeam]:[HomeTeam]], AG$31, Table2[[ActualResult]:[ActualResult]], "SO") + SUMIFS(Table2[[AwayWon]:[AwayWon]], Table2[[GameIsOver]:[GameIsOver]],1,Table2[[HomeTeam]:[HomeTeam]],$T36, Table2[[AwayTeam]:[AwayTeam]], AG$31, Table2[[ActualResult]:[ActualResult]], "SO")))</f>
        <v>0</v>
      </c>
      <c r="AH36">
        <f>(2*(SUMIFS(Table2[[AwayWon]:[AwayWon]], Table2[[GameIsOver]:[GameIsOver]],1,Table2[[AwayTeam]:[AwayTeam]],$T36, Table2[[HomeTeam]:[HomeTeam]], AH$31) + SUMIFS(Table2[[HomeWon_]:[HomeWon_]], Table2[[GameIsOver]:[GameIsOver]],1,Table2[[HomeTeam]:[HomeTeam]],$T6, Table2[[AwayTeam]:[AwayTeam]], AH$31))) + (0*(SUMIFS(Table2[[HomeWon_]:[HomeWon_]], Table2[[GameIsOver]:[GameIsOver]],1,Table2[[AwayTeam]:[AwayTeam]],$T36, Table2[[HomeTeam]:[HomeTeam]], AH$31, Table2[[ActualResult]:[ActualResult]], "REG") + SUMIFS(Table2[[AwayWon]:[AwayWon]], Table2[[GameIsOver]:[GameIsOver]],1,Table2[[HomeTeam]:[HomeTeam]],$T36, Table2[[AwayTeam]:[AwayTeam]], AH$31, Table2[[ActualResult]:[ActualResult]], "REG"))) + (1*(SUMIFS(Table2[[HomeWon_]:[HomeWon_]], Table2[[GameIsOver]:[GameIsOver]],1,Table2[[AwayTeam]:[AwayTeam]],$T36, Table2[[HomeTeam]:[HomeTeam]], AH$31, Table2[[ActualResult]:[ActualResult]], "OT") + SUMIFS(Table2[[AwayWon]:[AwayWon]], Table2[[GameIsOver]:[GameIsOver]],1,Table2[[HomeTeam]:[HomeTeam]],$T36, Table2[[AwayTeam]:[AwayTeam]], AH$31, Table2[[ActualResult]:[ActualResult]], "OT") + SUMIFS(Table2[[HomeWon_]:[HomeWon_]], Table2[[GameIsOver]:[GameIsOver]],1,Table2[[AwayTeam]:[AwayTeam]],$T36, Table2[[HomeTeam]:[HomeTeam]], AH$31, Table2[[ActualResult]:[ActualResult]], "SO") + SUMIFS(Table2[[AwayWon]:[AwayWon]], Table2[[GameIsOver]:[GameIsOver]],1,Table2[[HomeTeam]:[HomeTeam]],$T36, Table2[[AwayTeam]:[AwayTeam]], AH$31, Table2[[ActualResult]:[ActualResult]], "SO")))</f>
        <v>0</v>
      </c>
      <c r="AI36">
        <f>(2*(SUMIFS(Table2[[AwayWon]:[AwayWon]], Table2[[GameIsOver]:[GameIsOver]],1,Table2[[AwayTeam]:[AwayTeam]],$T36, Table2[[HomeTeam]:[HomeTeam]], AI$31) + SUMIFS(Table2[[HomeWon_]:[HomeWon_]], Table2[[GameIsOver]:[GameIsOver]],1,Table2[[HomeTeam]:[HomeTeam]],$T6, Table2[[AwayTeam]:[AwayTeam]], AI$31))) + (0*(SUMIFS(Table2[[HomeWon_]:[HomeWon_]], Table2[[GameIsOver]:[GameIsOver]],1,Table2[[AwayTeam]:[AwayTeam]],$T36, Table2[[HomeTeam]:[HomeTeam]], AI$31, Table2[[ActualResult]:[ActualResult]], "REG") + SUMIFS(Table2[[AwayWon]:[AwayWon]], Table2[[GameIsOver]:[GameIsOver]],1,Table2[[HomeTeam]:[HomeTeam]],$T36, Table2[[AwayTeam]:[AwayTeam]], AI$31, Table2[[ActualResult]:[ActualResult]], "REG"))) + (1*(SUMIFS(Table2[[HomeWon_]:[HomeWon_]], Table2[[GameIsOver]:[GameIsOver]],1,Table2[[AwayTeam]:[AwayTeam]],$T36, Table2[[HomeTeam]:[HomeTeam]], AI$31, Table2[[ActualResult]:[ActualResult]], "OT") + SUMIFS(Table2[[AwayWon]:[AwayWon]], Table2[[GameIsOver]:[GameIsOver]],1,Table2[[HomeTeam]:[HomeTeam]],$T36, Table2[[AwayTeam]:[AwayTeam]], AI$31, Table2[[ActualResult]:[ActualResult]], "OT") + SUMIFS(Table2[[HomeWon_]:[HomeWon_]], Table2[[GameIsOver]:[GameIsOver]],1,Table2[[AwayTeam]:[AwayTeam]],$T36, Table2[[HomeTeam]:[HomeTeam]], AI$31, Table2[[ActualResult]:[ActualResult]], "SO") + SUMIFS(Table2[[AwayWon]:[AwayWon]], Table2[[GameIsOver]:[GameIsOver]],1,Table2[[HomeTeam]:[HomeTeam]],$T36, Table2[[AwayTeam]:[AwayTeam]], AI$31, Table2[[ActualResult]:[ActualResult]], "SO")))</f>
        <v>0</v>
      </c>
      <c r="AJ36">
        <f>(2*(SUMIFS(Table2[[AwayWon]:[AwayWon]], Table2[[GameIsOver]:[GameIsOver]],1,Table2[[AwayTeam]:[AwayTeam]],$T36, Table2[[HomeTeam]:[HomeTeam]], AJ$31) + SUMIFS(Table2[[HomeWon_]:[HomeWon_]], Table2[[GameIsOver]:[GameIsOver]],1,Table2[[HomeTeam]:[HomeTeam]],$T6, Table2[[AwayTeam]:[AwayTeam]], AJ$31))) + (0*(SUMIFS(Table2[[HomeWon_]:[HomeWon_]], Table2[[GameIsOver]:[GameIsOver]],1,Table2[[AwayTeam]:[AwayTeam]],$T36, Table2[[HomeTeam]:[HomeTeam]], AJ$31, Table2[[ActualResult]:[ActualResult]], "REG") + SUMIFS(Table2[[AwayWon]:[AwayWon]], Table2[[GameIsOver]:[GameIsOver]],1,Table2[[HomeTeam]:[HomeTeam]],$T36, Table2[[AwayTeam]:[AwayTeam]], AJ$31, Table2[[ActualResult]:[ActualResult]], "REG"))) + (1*(SUMIFS(Table2[[HomeWon_]:[HomeWon_]], Table2[[GameIsOver]:[GameIsOver]],1,Table2[[AwayTeam]:[AwayTeam]],$T36, Table2[[HomeTeam]:[HomeTeam]], AJ$31, Table2[[ActualResult]:[ActualResult]], "OT") + SUMIFS(Table2[[AwayWon]:[AwayWon]], Table2[[GameIsOver]:[GameIsOver]],1,Table2[[HomeTeam]:[HomeTeam]],$T36, Table2[[AwayTeam]:[AwayTeam]], AJ$31, Table2[[ActualResult]:[ActualResult]], "OT") + SUMIFS(Table2[[HomeWon_]:[HomeWon_]], Table2[[GameIsOver]:[GameIsOver]],1,Table2[[AwayTeam]:[AwayTeam]],$T36, Table2[[HomeTeam]:[HomeTeam]], AJ$31, Table2[[ActualResult]:[ActualResult]], "SO") + SUMIFS(Table2[[AwayWon]:[AwayWon]], Table2[[GameIsOver]:[GameIsOver]],1,Table2[[HomeTeam]:[HomeTeam]],$T36, Table2[[AwayTeam]:[AwayTeam]], AJ$31, Table2[[ActualResult]:[ActualResult]], "SO")))</f>
        <v>0</v>
      </c>
      <c r="AK36">
        <f>(2*(SUMIFS(Table2[[AwayWon]:[AwayWon]], Table2[[GameIsOver]:[GameIsOver]],1,Table2[[AwayTeam]:[AwayTeam]],$T36, Table2[[HomeTeam]:[HomeTeam]], AK$31) + SUMIFS(Table2[[HomeWon_]:[HomeWon_]], Table2[[GameIsOver]:[GameIsOver]],1,Table2[[HomeTeam]:[HomeTeam]],$T6, Table2[[AwayTeam]:[AwayTeam]], AK$31))) + (0*(SUMIFS(Table2[[HomeWon_]:[HomeWon_]], Table2[[GameIsOver]:[GameIsOver]],1,Table2[[AwayTeam]:[AwayTeam]],$T36, Table2[[HomeTeam]:[HomeTeam]], AK$31, Table2[[ActualResult]:[ActualResult]], "REG") + SUMIFS(Table2[[AwayWon]:[AwayWon]], Table2[[GameIsOver]:[GameIsOver]],1,Table2[[HomeTeam]:[HomeTeam]],$T36, Table2[[AwayTeam]:[AwayTeam]], AK$31, Table2[[ActualResult]:[ActualResult]], "REG"))) + (1*(SUMIFS(Table2[[HomeWon_]:[HomeWon_]], Table2[[GameIsOver]:[GameIsOver]],1,Table2[[AwayTeam]:[AwayTeam]],$T36, Table2[[HomeTeam]:[HomeTeam]], AK$31, Table2[[ActualResult]:[ActualResult]], "OT") + SUMIFS(Table2[[AwayWon]:[AwayWon]], Table2[[GameIsOver]:[GameIsOver]],1,Table2[[HomeTeam]:[HomeTeam]],$T36, Table2[[AwayTeam]:[AwayTeam]], AK$31, Table2[[ActualResult]:[ActualResult]], "OT") + SUMIFS(Table2[[HomeWon_]:[HomeWon_]], Table2[[GameIsOver]:[GameIsOver]],1,Table2[[AwayTeam]:[AwayTeam]],$T36, Table2[[HomeTeam]:[HomeTeam]], AK$31, Table2[[ActualResult]:[ActualResult]], "SO") + SUMIFS(Table2[[AwayWon]:[AwayWon]], Table2[[GameIsOver]:[GameIsOver]],1,Table2[[HomeTeam]:[HomeTeam]],$T36, Table2[[AwayTeam]:[AwayTeam]], AK$31, Table2[[ActualResult]:[ActualResult]], "SO")))</f>
        <v>0</v>
      </c>
      <c r="AL36">
        <f>(2*(SUMIFS(Table2[[AwayWon]:[AwayWon]], Table2[[GameIsOver]:[GameIsOver]],1,Table2[[AwayTeam]:[AwayTeam]],$T36, Table2[[HomeTeam]:[HomeTeam]], AL$31) + SUMIFS(Table2[[HomeWon_]:[HomeWon_]], Table2[[GameIsOver]:[GameIsOver]],1,Table2[[HomeTeam]:[HomeTeam]],$T6, Table2[[AwayTeam]:[AwayTeam]], AL$31))) + (0*(SUMIFS(Table2[[HomeWon_]:[HomeWon_]], Table2[[GameIsOver]:[GameIsOver]],1,Table2[[AwayTeam]:[AwayTeam]],$T36, Table2[[HomeTeam]:[HomeTeam]], AL$31, Table2[[ActualResult]:[ActualResult]], "REG") + SUMIFS(Table2[[AwayWon]:[AwayWon]], Table2[[GameIsOver]:[GameIsOver]],1,Table2[[HomeTeam]:[HomeTeam]],$T36, Table2[[AwayTeam]:[AwayTeam]], AL$31, Table2[[ActualResult]:[ActualResult]], "REG"))) + (1*(SUMIFS(Table2[[HomeWon_]:[HomeWon_]], Table2[[GameIsOver]:[GameIsOver]],1,Table2[[AwayTeam]:[AwayTeam]],$T36, Table2[[HomeTeam]:[HomeTeam]], AL$31, Table2[[ActualResult]:[ActualResult]], "OT") + SUMIFS(Table2[[AwayWon]:[AwayWon]], Table2[[GameIsOver]:[GameIsOver]],1,Table2[[HomeTeam]:[HomeTeam]],$T36, Table2[[AwayTeam]:[AwayTeam]], AL$31, Table2[[ActualResult]:[ActualResult]], "OT") + SUMIFS(Table2[[HomeWon_]:[HomeWon_]], Table2[[GameIsOver]:[GameIsOver]],1,Table2[[AwayTeam]:[AwayTeam]],$T36, Table2[[HomeTeam]:[HomeTeam]], AL$31, Table2[[ActualResult]:[ActualResult]], "SO") + SUMIFS(Table2[[AwayWon]:[AwayWon]], Table2[[GameIsOver]:[GameIsOver]],1,Table2[[HomeTeam]:[HomeTeam]],$T36, Table2[[AwayTeam]:[AwayTeam]], AL$31, Table2[[ActualResult]:[ActualResult]], "SO")))</f>
        <v>0</v>
      </c>
      <c r="AM36">
        <f>(2*(SUMIFS(Table2[[AwayWon]:[AwayWon]], Table2[[GameIsOver]:[GameIsOver]],1,Table2[[AwayTeam]:[AwayTeam]],$T36, Table2[[HomeTeam]:[HomeTeam]], AM$31) + SUMIFS(Table2[[HomeWon_]:[HomeWon_]], Table2[[GameIsOver]:[GameIsOver]],1,Table2[[HomeTeam]:[HomeTeam]],$T6, Table2[[AwayTeam]:[AwayTeam]], AM$31))) + (0*(SUMIFS(Table2[[HomeWon_]:[HomeWon_]], Table2[[GameIsOver]:[GameIsOver]],1,Table2[[AwayTeam]:[AwayTeam]],$T36, Table2[[HomeTeam]:[HomeTeam]], AM$31, Table2[[ActualResult]:[ActualResult]], "REG") + SUMIFS(Table2[[AwayWon]:[AwayWon]], Table2[[GameIsOver]:[GameIsOver]],1,Table2[[HomeTeam]:[HomeTeam]],$T36, Table2[[AwayTeam]:[AwayTeam]], AM$31, Table2[[ActualResult]:[ActualResult]], "REG"))) + (1*(SUMIFS(Table2[[HomeWon_]:[HomeWon_]], Table2[[GameIsOver]:[GameIsOver]],1,Table2[[AwayTeam]:[AwayTeam]],$T36, Table2[[HomeTeam]:[HomeTeam]], AM$31, Table2[[ActualResult]:[ActualResult]], "OT") + SUMIFS(Table2[[AwayWon]:[AwayWon]], Table2[[GameIsOver]:[GameIsOver]],1,Table2[[HomeTeam]:[HomeTeam]],$T36, Table2[[AwayTeam]:[AwayTeam]], AM$31, Table2[[ActualResult]:[ActualResult]], "OT") + SUMIFS(Table2[[HomeWon_]:[HomeWon_]], Table2[[GameIsOver]:[GameIsOver]],1,Table2[[AwayTeam]:[AwayTeam]],$T36, Table2[[HomeTeam]:[HomeTeam]], AM$31, Table2[[ActualResult]:[ActualResult]], "SO") + SUMIFS(Table2[[AwayWon]:[AwayWon]], Table2[[GameIsOver]:[GameIsOver]],1,Table2[[HomeTeam]:[HomeTeam]],$T36, Table2[[AwayTeam]:[AwayTeam]], AM$31, Table2[[ActualResult]:[ActualResult]], "SO")))</f>
        <v>0</v>
      </c>
      <c r="AN36">
        <f>(2*(SUMIFS(Table2[[AwayWon]:[AwayWon]], Table2[[GameIsOver]:[GameIsOver]],1,Table2[[AwayTeam]:[AwayTeam]],$T36, Table2[[HomeTeam]:[HomeTeam]], AN$31) + SUMIFS(Table2[[HomeWon_]:[HomeWon_]], Table2[[GameIsOver]:[GameIsOver]],1,Table2[[HomeTeam]:[HomeTeam]],$T6, Table2[[AwayTeam]:[AwayTeam]], AN$31))) + (0*(SUMIFS(Table2[[HomeWon_]:[HomeWon_]], Table2[[GameIsOver]:[GameIsOver]],1,Table2[[AwayTeam]:[AwayTeam]],$T36, Table2[[HomeTeam]:[HomeTeam]], AN$31, Table2[[ActualResult]:[ActualResult]], "REG") + SUMIFS(Table2[[AwayWon]:[AwayWon]], Table2[[GameIsOver]:[GameIsOver]],1,Table2[[HomeTeam]:[HomeTeam]],$T36, Table2[[AwayTeam]:[AwayTeam]], AN$31, Table2[[ActualResult]:[ActualResult]], "REG"))) + (1*(SUMIFS(Table2[[HomeWon_]:[HomeWon_]], Table2[[GameIsOver]:[GameIsOver]],1,Table2[[AwayTeam]:[AwayTeam]],$T36, Table2[[HomeTeam]:[HomeTeam]], AN$31, Table2[[ActualResult]:[ActualResult]], "OT") + SUMIFS(Table2[[AwayWon]:[AwayWon]], Table2[[GameIsOver]:[GameIsOver]],1,Table2[[HomeTeam]:[HomeTeam]],$T36, Table2[[AwayTeam]:[AwayTeam]], AN$31, Table2[[ActualResult]:[ActualResult]], "OT") + SUMIFS(Table2[[HomeWon_]:[HomeWon_]], Table2[[GameIsOver]:[GameIsOver]],1,Table2[[AwayTeam]:[AwayTeam]],$T36, Table2[[HomeTeam]:[HomeTeam]], AN$31, Table2[[ActualResult]:[ActualResult]], "SO") + SUMIFS(Table2[[AwayWon]:[AwayWon]], Table2[[GameIsOver]:[GameIsOver]],1,Table2[[HomeTeam]:[HomeTeam]],$T36, Table2[[AwayTeam]:[AwayTeam]], AN$31, Table2[[ActualResult]:[ActualResult]], "SO")))</f>
        <v>0</v>
      </c>
      <c r="AO36">
        <f>(2*(SUMIFS(Table2[[AwayWon]:[AwayWon]], Table2[[GameIsOver]:[GameIsOver]],1,Table2[[AwayTeam]:[AwayTeam]],$T36, Table2[[HomeTeam]:[HomeTeam]], AO$31) + SUMIFS(Table2[[HomeWon_]:[HomeWon_]], Table2[[GameIsOver]:[GameIsOver]],1,Table2[[HomeTeam]:[HomeTeam]],$T6, Table2[[AwayTeam]:[AwayTeam]], AO$31))) + (0*(SUMIFS(Table2[[HomeWon_]:[HomeWon_]], Table2[[GameIsOver]:[GameIsOver]],1,Table2[[AwayTeam]:[AwayTeam]],$T36, Table2[[HomeTeam]:[HomeTeam]], AO$31, Table2[[ActualResult]:[ActualResult]], "REG") + SUMIFS(Table2[[AwayWon]:[AwayWon]], Table2[[GameIsOver]:[GameIsOver]],1,Table2[[HomeTeam]:[HomeTeam]],$T36, Table2[[AwayTeam]:[AwayTeam]], AO$31, Table2[[ActualResult]:[ActualResult]], "REG"))) + (1*(SUMIFS(Table2[[HomeWon_]:[HomeWon_]], Table2[[GameIsOver]:[GameIsOver]],1,Table2[[AwayTeam]:[AwayTeam]],$T36, Table2[[HomeTeam]:[HomeTeam]], AO$31, Table2[[ActualResult]:[ActualResult]], "OT") + SUMIFS(Table2[[AwayWon]:[AwayWon]], Table2[[GameIsOver]:[GameIsOver]],1,Table2[[HomeTeam]:[HomeTeam]],$T36, Table2[[AwayTeam]:[AwayTeam]], AO$31, Table2[[ActualResult]:[ActualResult]], "OT") + SUMIFS(Table2[[HomeWon_]:[HomeWon_]], Table2[[GameIsOver]:[GameIsOver]],1,Table2[[AwayTeam]:[AwayTeam]],$T36, Table2[[HomeTeam]:[HomeTeam]], AO$31, Table2[[ActualResult]:[ActualResult]], "SO") + SUMIFS(Table2[[AwayWon]:[AwayWon]], Table2[[GameIsOver]:[GameIsOver]],1,Table2[[HomeTeam]:[HomeTeam]],$T36, Table2[[AwayTeam]:[AwayTeam]], AO$31, Table2[[ActualResult]:[ActualResult]], "SO")))</f>
        <v>0</v>
      </c>
      <c r="AP36">
        <f>(2*(SUMIFS(Table2[[AwayWon]:[AwayWon]], Table2[[GameIsOver]:[GameIsOver]],1,Table2[[AwayTeam]:[AwayTeam]],$T36, Table2[[HomeTeam]:[HomeTeam]], AP$31) + SUMIFS(Table2[[HomeWon_]:[HomeWon_]], Table2[[GameIsOver]:[GameIsOver]],1,Table2[[HomeTeam]:[HomeTeam]],$T6, Table2[[AwayTeam]:[AwayTeam]], AP$31))) + (0*(SUMIFS(Table2[[HomeWon_]:[HomeWon_]], Table2[[GameIsOver]:[GameIsOver]],1,Table2[[AwayTeam]:[AwayTeam]],$T36, Table2[[HomeTeam]:[HomeTeam]], AP$31, Table2[[ActualResult]:[ActualResult]], "REG") + SUMIFS(Table2[[AwayWon]:[AwayWon]], Table2[[GameIsOver]:[GameIsOver]],1,Table2[[HomeTeam]:[HomeTeam]],$T36, Table2[[AwayTeam]:[AwayTeam]], AP$31, Table2[[ActualResult]:[ActualResult]], "REG"))) + (1*(SUMIFS(Table2[[HomeWon_]:[HomeWon_]], Table2[[GameIsOver]:[GameIsOver]],1,Table2[[AwayTeam]:[AwayTeam]],$T36, Table2[[HomeTeam]:[HomeTeam]], AP$31, Table2[[ActualResult]:[ActualResult]], "OT") + SUMIFS(Table2[[AwayWon]:[AwayWon]], Table2[[GameIsOver]:[GameIsOver]],1,Table2[[HomeTeam]:[HomeTeam]],$T36, Table2[[AwayTeam]:[AwayTeam]], AP$31, Table2[[ActualResult]:[ActualResult]], "OT") + SUMIFS(Table2[[HomeWon_]:[HomeWon_]], Table2[[GameIsOver]:[GameIsOver]],1,Table2[[AwayTeam]:[AwayTeam]],$T36, Table2[[HomeTeam]:[HomeTeam]], AP$31, Table2[[ActualResult]:[ActualResult]], "SO") + SUMIFS(Table2[[AwayWon]:[AwayWon]], Table2[[GameIsOver]:[GameIsOver]],1,Table2[[HomeTeam]:[HomeTeam]],$T36, Table2[[AwayTeam]:[AwayTeam]], AP$31, Table2[[ActualResult]:[ActualResult]], "SO")))</f>
        <v>0</v>
      </c>
      <c r="AQ36">
        <f>(2*(SUMIFS(Table2[[AwayWon]:[AwayWon]], Table2[[GameIsOver]:[GameIsOver]],1,Table2[[AwayTeam]:[AwayTeam]],$T36, Table2[[HomeTeam]:[HomeTeam]], AQ$31) + SUMIFS(Table2[[HomeWon_]:[HomeWon_]], Table2[[GameIsOver]:[GameIsOver]],1,Table2[[HomeTeam]:[HomeTeam]],$T6, Table2[[AwayTeam]:[AwayTeam]], AQ$31))) + (0*(SUMIFS(Table2[[HomeWon_]:[HomeWon_]], Table2[[GameIsOver]:[GameIsOver]],1,Table2[[AwayTeam]:[AwayTeam]],$T36, Table2[[HomeTeam]:[HomeTeam]], AQ$31, Table2[[ActualResult]:[ActualResult]], "REG") + SUMIFS(Table2[[AwayWon]:[AwayWon]], Table2[[GameIsOver]:[GameIsOver]],1,Table2[[HomeTeam]:[HomeTeam]],$T36, Table2[[AwayTeam]:[AwayTeam]], AQ$31, Table2[[ActualResult]:[ActualResult]], "REG"))) + (1*(SUMIFS(Table2[[HomeWon_]:[HomeWon_]], Table2[[GameIsOver]:[GameIsOver]],1,Table2[[AwayTeam]:[AwayTeam]],$T36, Table2[[HomeTeam]:[HomeTeam]], AQ$31, Table2[[ActualResult]:[ActualResult]], "OT") + SUMIFS(Table2[[AwayWon]:[AwayWon]], Table2[[GameIsOver]:[GameIsOver]],1,Table2[[HomeTeam]:[HomeTeam]],$T36, Table2[[AwayTeam]:[AwayTeam]], AQ$31, Table2[[ActualResult]:[ActualResult]], "OT") + SUMIFS(Table2[[HomeWon_]:[HomeWon_]], Table2[[GameIsOver]:[GameIsOver]],1,Table2[[AwayTeam]:[AwayTeam]],$T36, Table2[[HomeTeam]:[HomeTeam]], AQ$31, Table2[[ActualResult]:[ActualResult]], "SO") + SUMIFS(Table2[[AwayWon]:[AwayWon]], Table2[[GameIsOver]:[GameIsOver]],1,Table2[[HomeTeam]:[HomeTeam]],$T36, Table2[[AwayTeam]:[AwayTeam]], AQ$31, Table2[[ActualResult]:[ActualResult]], "SO")))</f>
        <v>0</v>
      </c>
      <c r="AR36">
        <f>(2*(SUMIFS(Table2[[AwayWon]:[AwayWon]], Table2[[GameIsOver]:[GameIsOver]],1,Table2[[AwayTeam]:[AwayTeam]],$T36, Table2[[HomeTeam]:[HomeTeam]], AR$31) + SUMIFS(Table2[[HomeWon_]:[HomeWon_]], Table2[[GameIsOver]:[GameIsOver]],1,Table2[[HomeTeam]:[HomeTeam]],$T6, Table2[[AwayTeam]:[AwayTeam]], AR$31))) + (0*(SUMIFS(Table2[[HomeWon_]:[HomeWon_]], Table2[[GameIsOver]:[GameIsOver]],1,Table2[[AwayTeam]:[AwayTeam]],$T36, Table2[[HomeTeam]:[HomeTeam]], AR$31, Table2[[ActualResult]:[ActualResult]], "REG") + SUMIFS(Table2[[AwayWon]:[AwayWon]], Table2[[GameIsOver]:[GameIsOver]],1,Table2[[HomeTeam]:[HomeTeam]],$T36, Table2[[AwayTeam]:[AwayTeam]], AR$31, Table2[[ActualResult]:[ActualResult]], "REG"))) + (1*(SUMIFS(Table2[[HomeWon_]:[HomeWon_]], Table2[[GameIsOver]:[GameIsOver]],1,Table2[[AwayTeam]:[AwayTeam]],$T36, Table2[[HomeTeam]:[HomeTeam]], AR$31, Table2[[ActualResult]:[ActualResult]], "OT") + SUMIFS(Table2[[AwayWon]:[AwayWon]], Table2[[GameIsOver]:[GameIsOver]],1,Table2[[HomeTeam]:[HomeTeam]],$T36, Table2[[AwayTeam]:[AwayTeam]], AR$31, Table2[[ActualResult]:[ActualResult]], "OT") + SUMIFS(Table2[[HomeWon_]:[HomeWon_]], Table2[[GameIsOver]:[GameIsOver]],1,Table2[[AwayTeam]:[AwayTeam]],$T36, Table2[[HomeTeam]:[HomeTeam]], AR$31, Table2[[ActualResult]:[ActualResult]], "SO") + SUMIFS(Table2[[AwayWon]:[AwayWon]], Table2[[GameIsOver]:[GameIsOver]],1,Table2[[HomeTeam]:[HomeTeam]],$T36, Table2[[AwayTeam]:[AwayTeam]], AR$31, Table2[[ActualResult]:[ActualResult]], "SO")))</f>
        <v>0</v>
      </c>
      <c r="AS36">
        <f>(2*(SUMIFS(Table2[[AwayWon]:[AwayWon]], Table2[[GameIsOver]:[GameIsOver]],1,Table2[[AwayTeam]:[AwayTeam]],$T36, Table2[[HomeTeam]:[HomeTeam]], AS$31) + SUMIFS(Table2[[HomeWon_]:[HomeWon_]], Table2[[GameIsOver]:[GameIsOver]],1,Table2[[HomeTeam]:[HomeTeam]],$T6, Table2[[AwayTeam]:[AwayTeam]], AS$31))) + (0*(SUMIFS(Table2[[HomeWon_]:[HomeWon_]], Table2[[GameIsOver]:[GameIsOver]],1,Table2[[AwayTeam]:[AwayTeam]],$T36, Table2[[HomeTeam]:[HomeTeam]], AS$31, Table2[[ActualResult]:[ActualResult]], "REG") + SUMIFS(Table2[[AwayWon]:[AwayWon]], Table2[[GameIsOver]:[GameIsOver]],1,Table2[[HomeTeam]:[HomeTeam]],$T36, Table2[[AwayTeam]:[AwayTeam]], AS$31, Table2[[ActualResult]:[ActualResult]], "REG"))) + (1*(SUMIFS(Table2[[HomeWon_]:[HomeWon_]], Table2[[GameIsOver]:[GameIsOver]],1,Table2[[AwayTeam]:[AwayTeam]],$T36, Table2[[HomeTeam]:[HomeTeam]], AS$31, Table2[[ActualResult]:[ActualResult]], "OT") + SUMIFS(Table2[[AwayWon]:[AwayWon]], Table2[[GameIsOver]:[GameIsOver]],1,Table2[[HomeTeam]:[HomeTeam]],$T36, Table2[[AwayTeam]:[AwayTeam]], AS$31, Table2[[ActualResult]:[ActualResult]], "OT") + SUMIFS(Table2[[HomeWon_]:[HomeWon_]], Table2[[GameIsOver]:[GameIsOver]],1,Table2[[AwayTeam]:[AwayTeam]],$T36, Table2[[HomeTeam]:[HomeTeam]], AS$31, Table2[[ActualResult]:[ActualResult]], "SO") + SUMIFS(Table2[[AwayWon]:[AwayWon]], Table2[[GameIsOver]:[GameIsOver]],1,Table2[[HomeTeam]:[HomeTeam]],$T36, Table2[[AwayTeam]:[AwayTeam]], AS$31, Table2[[ActualResult]:[ActualResult]], "SO")))</f>
        <v>0</v>
      </c>
      <c r="AT36">
        <f>(2*(SUMIFS(Table2[[AwayWon]:[AwayWon]], Table2[[GameIsOver]:[GameIsOver]],1,Table2[[AwayTeam]:[AwayTeam]],$T36, Table2[[HomeTeam]:[HomeTeam]], AT$31) + SUMIFS(Table2[[HomeWon_]:[HomeWon_]], Table2[[GameIsOver]:[GameIsOver]],1,Table2[[HomeTeam]:[HomeTeam]],$T6, Table2[[AwayTeam]:[AwayTeam]], AT$31))) + (0*(SUMIFS(Table2[[HomeWon_]:[HomeWon_]], Table2[[GameIsOver]:[GameIsOver]],1,Table2[[AwayTeam]:[AwayTeam]],$T36, Table2[[HomeTeam]:[HomeTeam]], AT$31, Table2[[ActualResult]:[ActualResult]], "REG") + SUMIFS(Table2[[AwayWon]:[AwayWon]], Table2[[GameIsOver]:[GameIsOver]],1,Table2[[HomeTeam]:[HomeTeam]],$T36, Table2[[AwayTeam]:[AwayTeam]], AT$31, Table2[[ActualResult]:[ActualResult]], "REG"))) + (1*(SUMIFS(Table2[[HomeWon_]:[HomeWon_]], Table2[[GameIsOver]:[GameIsOver]],1,Table2[[AwayTeam]:[AwayTeam]],$T36, Table2[[HomeTeam]:[HomeTeam]], AT$31, Table2[[ActualResult]:[ActualResult]], "OT") + SUMIFS(Table2[[AwayWon]:[AwayWon]], Table2[[GameIsOver]:[GameIsOver]],1,Table2[[HomeTeam]:[HomeTeam]],$T36, Table2[[AwayTeam]:[AwayTeam]], AT$31, Table2[[ActualResult]:[ActualResult]], "OT") + SUMIFS(Table2[[HomeWon_]:[HomeWon_]], Table2[[GameIsOver]:[GameIsOver]],1,Table2[[AwayTeam]:[AwayTeam]],$T36, Table2[[HomeTeam]:[HomeTeam]], AT$31, Table2[[ActualResult]:[ActualResult]], "SO") + SUMIFS(Table2[[AwayWon]:[AwayWon]], Table2[[GameIsOver]:[GameIsOver]],1,Table2[[HomeTeam]:[HomeTeam]],$T36, Table2[[AwayTeam]:[AwayTeam]], AT$31, Table2[[ActualResult]:[ActualResult]], "SO")))</f>
        <v>0</v>
      </c>
      <c r="AU36">
        <f>(2*(SUMIFS(Table2[[AwayWon]:[AwayWon]], Table2[[GameIsOver]:[GameIsOver]],1,Table2[[AwayTeam]:[AwayTeam]],$T36, Table2[[HomeTeam]:[HomeTeam]], AU$31) + SUMIFS(Table2[[HomeWon_]:[HomeWon_]], Table2[[GameIsOver]:[GameIsOver]],1,Table2[[HomeTeam]:[HomeTeam]],$T6, Table2[[AwayTeam]:[AwayTeam]], AU$31))) + (0*(SUMIFS(Table2[[HomeWon_]:[HomeWon_]], Table2[[GameIsOver]:[GameIsOver]],1,Table2[[AwayTeam]:[AwayTeam]],$T36, Table2[[HomeTeam]:[HomeTeam]], AU$31, Table2[[ActualResult]:[ActualResult]], "REG") + SUMIFS(Table2[[AwayWon]:[AwayWon]], Table2[[GameIsOver]:[GameIsOver]],1,Table2[[HomeTeam]:[HomeTeam]],$T36, Table2[[AwayTeam]:[AwayTeam]], AU$31, Table2[[ActualResult]:[ActualResult]], "REG"))) + (1*(SUMIFS(Table2[[HomeWon_]:[HomeWon_]], Table2[[GameIsOver]:[GameIsOver]],1,Table2[[AwayTeam]:[AwayTeam]],$T36, Table2[[HomeTeam]:[HomeTeam]], AU$31, Table2[[ActualResult]:[ActualResult]], "OT") + SUMIFS(Table2[[AwayWon]:[AwayWon]], Table2[[GameIsOver]:[GameIsOver]],1,Table2[[HomeTeam]:[HomeTeam]],$T36, Table2[[AwayTeam]:[AwayTeam]], AU$31, Table2[[ActualResult]:[ActualResult]], "OT") + SUMIFS(Table2[[HomeWon_]:[HomeWon_]], Table2[[GameIsOver]:[GameIsOver]],1,Table2[[AwayTeam]:[AwayTeam]],$T36, Table2[[HomeTeam]:[HomeTeam]], AU$31, Table2[[ActualResult]:[ActualResult]], "SO") + SUMIFS(Table2[[AwayWon]:[AwayWon]], Table2[[GameIsOver]:[GameIsOver]],1,Table2[[HomeTeam]:[HomeTeam]],$T36, Table2[[AwayTeam]:[AwayTeam]], AU$31, Table2[[ActualResult]:[ActualResult]], "SO")))</f>
        <v>0</v>
      </c>
      <c r="AV36">
        <f>(2*(SUMIFS(Table2[[AwayWon]:[AwayWon]], Table2[[GameIsOver]:[GameIsOver]],1,Table2[[AwayTeam]:[AwayTeam]],$T36, Table2[[HomeTeam]:[HomeTeam]], AV$31) + SUMIFS(Table2[[HomeWon_]:[HomeWon_]], Table2[[GameIsOver]:[GameIsOver]],1,Table2[[HomeTeam]:[HomeTeam]],$T6, Table2[[AwayTeam]:[AwayTeam]], AV$31))) + (0*(SUMIFS(Table2[[HomeWon_]:[HomeWon_]], Table2[[GameIsOver]:[GameIsOver]],1,Table2[[AwayTeam]:[AwayTeam]],$T36, Table2[[HomeTeam]:[HomeTeam]], AV$31, Table2[[ActualResult]:[ActualResult]], "REG") + SUMIFS(Table2[[AwayWon]:[AwayWon]], Table2[[GameIsOver]:[GameIsOver]],1,Table2[[HomeTeam]:[HomeTeam]],$T36, Table2[[AwayTeam]:[AwayTeam]], AV$31, Table2[[ActualResult]:[ActualResult]], "REG"))) + (1*(SUMIFS(Table2[[HomeWon_]:[HomeWon_]], Table2[[GameIsOver]:[GameIsOver]],1,Table2[[AwayTeam]:[AwayTeam]],$T36, Table2[[HomeTeam]:[HomeTeam]], AV$31, Table2[[ActualResult]:[ActualResult]], "OT") + SUMIFS(Table2[[AwayWon]:[AwayWon]], Table2[[GameIsOver]:[GameIsOver]],1,Table2[[HomeTeam]:[HomeTeam]],$T36, Table2[[AwayTeam]:[AwayTeam]], AV$31, Table2[[ActualResult]:[ActualResult]], "OT") + SUMIFS(Table2[[HomeWon_]:[HomeWon_]], Table2[[GameIsOver]:[GameIsOver]],1,Table2[[AwayTeam]:[AwayTeam]],$T36, Table2[[HomeTeam]:[HomeTeam]], AV$31, Table2[[ActualResult]:[ActualResult]], "SO") + SUMIFS(Table2[[AwayWon]:[AwayWon]], Table2[[GameIsOver]:[GameIsOver]],1,Table2[[HomeTeam]:[HomeTeam]],$T36, Table2[[AwayTeam]:[AwayTeam]], AV$31, Table2[[ActualResult]:[ActualResult]], "SO")))</f>
        <v>2</v>
      </c>
      <c r="AW36">
        <f>(2*(SUMIFS(Table2[[AwayWon]:[AwayWon]], Table2[[GameIsOver]:[GameIsOver]],1,Table2[[AwayTeam]:[AwayTeam]],$T36, Table2[[HomeTeam]:[HomeTeam]], AW$31) + SUMIFS(Table2[[HomeWon_]:[HomeWon_]], Table2[[GameIsOver]:[GameIsOver]],1,Table2[[HomeTeam]:[HomeTeam]],$T6, Table2[[AwayTeam]:[AwayTeam]], AW$31))) + (0*(SUMIFS(Table2[[HomeWon_]:[HomeWon_]], Table2[[GameIsOver]:[GameIsOver]],1,Table2[[AwayTeam]:[AwayTeam]],$T36, Table2[[HomeTeam]:[HomeTeam]], AW$31, Table2[[ActualResult]:[ActualResult]], "REG") + SUMIFS(Table2[[AwayWon]:[AwayWon]], Table2[[GameIsOver]:[GameIsOver]],1,Table2[[HomeTeam]:[HomeTeam]],$T36, Table2[[AwayTeam]:[AwayTeam]], AW$31, Table2[[ActualResult]:[ActualResult]], "REG"))) + (1*(SUMIFS(Table2[[HomeWon_]:[HomeWon_]], Table2[[GameIsOver]:[GameIsOver]],1,Table2[[AwayTeam]:[AwayTeam]],$T36, Table2[[HomeTeam]:[HomeTeam]], AW$31, Table2[[ActualResult]:[ActualResult]], "OT") + SUMIFS(Table2[[AwayWon]:[AwayWon]], Table2[[GameIsOver]:[GameIsOver]],1,Table2[[HomeTeam]:[HomeTeam]],$T36, Table2[[AwayTeam]:[AwayTeam]], AW$31, Table2[[ActualResult]:[ActualResult]], "OT") + SUMIFS(Table2[[HomeWon_]:[HomeWon_]], Table2[[GameIsOver]:[GameIsOver]],1,Table2[[AwayTeam]:[AwayTeam]],$T36, Table2[[HomeTeam]:[HomeTeam]], AW$31, Table2[[ActualResult]:[ActualResult]], "SO") + SUMIFS(Table2[[AwayWon]:[AwayWon]], Table2[[GameIsOver]:[GameIsOver]],1,Table2[[HomeTeam]:[HomeTeam]],$T36, Table2[[AwayTeam]:[AwayTeam]], AW$31, Table2[[ActualResult]:[ActualResult]], "SO")))</f>
        <v>0</v>
      </c>
      <c r="AX36">
        <f>(2*(SUMIFS(Table2[[AwayWon]:[AwayWon]], Table2[[GameIsOver]:[GameIsOver]],1,Table2[[AwayTeam]:[AwayTeam]],$T36, Table2[[HomeTeam]:[HomeTeam]], AX$31) + SUMIFS(Table2[[HomeWon_]:[HomeWon_]], Table2[[GameIsOver]:[GameIsOver]],1,Table2[[HomeTeam]:[HomeTeam]],$T6, Table2[[AwayTeam]:[AwayTeam]], AX$31))) + (0*(SUMIFS(Table2[[HomeWon_]:[HomeWon_]], Table2[[GameIsOver]:[GameIsOver]],1,Table2[[AwayTeam]:[AwayTeam]],$T36, Table2[[HomeTeam]:[HomeTeam]], AX$31, Table2[[ActualResult]:[ActualResult]], "REG") + SUMIFS(Table2[[AwayWon]:[AwayWon]], Table2[[GameIsOver]:[GameIsOver]],1,Table2[[HomeTeam]:[HomeTeam]],$T36, Table2[[AwayTeam]:[AwayTeam]], AX$31, Table2[[ActualResult]:[ActualResult]], "REG"))) + (1*(SUMIFS(Table2[[HomeWon_]:[HomeWon_]], Table2[[GameIsOver]:[GameIsOver]],1,Table2[[AwayTeam]:[AwayTeam]],$T36, Table2[[HomeTeam]:[HomeTeam]], AX$31, Table2[[ActualResult]:[ActualResult]], "OT") + SUMIFS(Table2[[AwayWon]:[AwayWon]], Table2[[GameIsOver]:[GameIsOver]],1,Table2[[HomeTeam]:[HomeTeam]],$T36, Table2[[AwayTeam]:[AwayTeam]], AX$31, Table2[[ActualResult]:[ActualResult]], "OT") + SUMIFS(Table2[[HomeWon_]:[HomeWon_]], Table2[[GameIsOver]:[GameIsOver]],1,Table2[[AwayTeam]:[AwayTeam]],$T36, Table2[[HomeTeam]:[HomeTeam]], AX$31, Table2[[ActualResult]:[ActualResult]], "SO") + SUMIFS(Table2[[AwayWon]:[AwayWon]], Table2[[GameIsOver]:[GameIsOver]],1,Table2[[HomeTeam]:[HomeTeam]],$T36, Table2[[AwayTeam]:[AwayTeam]], AX$31, Table2[[ActualResult]:[ActualResult]], "SO")))</f>
        <v>0</v>
      </c>
      <c r="AY36">
        <f>(2*(SUMIFS(Table2[[AwayWon]:[AwayWon]], Table2[[GameIsOver]:[GameIsOver]],1,Table2[[AwayTeam]:[AwayTeam]],$T36, Table2[[HomeTeam]:[HomeTeam]], AY$31) + SUMIFS(Table2[[HomeWon_]:[HomeWon_]], Table2[[GameIsOver]:[GameIsOver]],1,Table2[[HomeTeam]:[HomeTeam]],$T6, Table2[[AwayTeam]:[AwayTeam]], AY$31))) + (0*(SUMIFS(Table2[[HomeWon_]:[HomeWon_]], Table2[[GameIsOver]:[GameIsOver]],1,Table2[[AwayTeam]:[AwayTeam]],$T36, Table2[[HomeTeam]:[HomeTeam]], AY$31, Table2[[ActualResult]:[ActualResult]], "REG") + SUMIFS(Table2[[AwayWon]:[AwayWon]], Table2[[GameIsOver]:[GameIsOver]],1,Table2[[HomeTeam]:[HomeTeam]],$T36, Table2[[AwayTeam]:[AwayTeam]], AY$31, Table2[[ActualResult]:[ActualResult]], "REG"))) + (1*(SUMIFS(Table2[[HomeWon_]:[HomeWon_]], Table2[[GameIsOver]:[GameIsOver]],1,Table2[[AwayTeam]:[AwayTeam]],$T36, Table2[[HomeTeam]:[HomeTeam]], AY$31, Table2[[ActualResult]:[ActualResult]], "OT") + SUMIFS(Table2[[AwayWon]:[AwayWon]], Table2[[GameIsOver]:[GameIsOver]],1,Table2[[HomeTeam]:[HomeTeam]],$T36, Table2[[AwayTeam]:[AwayTeam]], AY$31, Table2[[ActualResult]:[ActualResult]], "OT") + SUMIFS(Table2[[HomeWon_]:[HomeWon_]], Table2[[GameIsOver]:[GameIsOver]],1,Table2[[AwayTeam]:[AwayTeam]],$T36, Table2[[HomeTeam]:[HomeTeam]], AY$31, Table2[[ActualResult]:[ActualResult]], "SO") + SUMIFS(Table2[[AwayWon]:[AwayWon]], Table2[[GameIsOver]:[GameIsOver]],1,Table2[[HomeTeam]:[HomeTeam]],$T36, Table2[[AwayTeam]:[AwayTeam]], AY$31, Table2[[ActualResult]:[ActualResult]], "SO")))</f>
        <v>0</v>
      </c>
      <c r="AZ36">
        <f>(2*(SUMIFS(Table2[[AwayWon]:[AwayWon]], Table2[[GameIsOver]:[GameIsOver]],1,Table2[[AwayTeam]:[AwayTeam]],$T36, Table2[[HomeTeam]:[HomeTeam]], AZ$31) + SUMIFS(Table2[[HomeWon_]:[HomeWon_]], Table2[[GameIsOver]:[GameIsOver]],1,Table2[[HomeTeam]:[HomeTeam]],$T6, Table2[[AwayTeam]:[AwayTeam]], AZ$31))) + (0*(SUMIFS(Table2[[HomeWon_]:[HomeWon_]], Table2[[GameIsOver]:[GameIsOver]],1,Table2[[AwayTeam]:[AwayTeam]],$T36, Table2[[HomeTeam]:[HomeTeam]], AZ$31, Table2[[ActualResult]:[ActualResult]], "REG") + SUMIFS(Table2[[AwayWon]:[AwayWon]], Table2[[GameIsOver]:[GameIsOver]],1,Table2[[HomeTeam]:[HomeTeam]],$T36, Table2[[AwayTeam]:[AwayTeam]], AZ$31, Table2[[ActualResult]:[ActualResult]], "REG"))) + (1*(SUMIFS(Table2[[HomeWon_]:[HomeWon_]], Table2[[GameIsOver]:[GameIsOver]],1,Table2[[AwayTeam]:[AwayTeam]],$T36, Table2[[HomeTeam]:[HomeTeam]], AZ$31, Table2[[ActualResult]:[ActualResult]], "OT") + SUMIFS(Table2[[AwayWon]:[AwayWon]], Table2[[GameIsOver]:[GameIsOver]],1,Table2[[HomeTeam]:[HomeTeam]],$T36, Table2[[AwayTeam]:[AwayTeam]], AZ$31, Table2[[ActualResult]:[ActualResult]], "OT") + SUMIFS(Table2[[HomeWon_]:[HomeWon_]], Table2[[GameIsOver]:[GameIsOver]],1,Table2[[AwayTeam]:[AwayTeam]],$T36, Table2[[HomeTeam]:[HomeTeam]], AZ$31, Table2[[ActualResult]:[ActualResult]], "SO") + SUMIFS(Table2[[AwayWon]:[AwayWon]], Table2[[GameIsOver]:[GameIsOver]],1,Table2[[HomeTeam]:[HomeTeam]],$T36, Table2[[AwayTeam]:[AwayTeam]], AZ$31, Table2[[ActualResult]:[ActualResult]], "SO")))</f>
        <v>0</v>
      </c>
      <c r="BA36">
        <f>(2*(SUMIFS(Table2[[AwayWon]:[AwayWon]], Table2[[GameIsOver]:[GameIsOver]],1,Table2[[AwayTeam]:[AwayTeam]],$T36, Table2[[HomeTeam]:[HomeTeam]], BA$31) + SUMIFS(Table2[[HomeWon_]:[HomeWon_]], Table2[[GameIsOver]:[GameIsOver]],1,Table2[[HomeTeam]:[HomeTeam]],$T6, Table2[[AwayTeam]:[AwayTeam]], BA$31))) + (0*(SUMIFS(Table2[[HomeWon_]:[HomeWon_]], Table2[[GameIsOver]:[GameIsOver]],1,Table2[[AwayTeam]:[AwayTeam]],$T36, Table2[[HomeTeam]:[HomeTeam]], BA$31, Table2[[ActualResult]:[ActualResult]], "REG") + SUMIFS(Table2[[AwayWon]:[AwayWon]], Table2[[GameIsOver]:[GameIsOver]],1,Table2[[HomeTeam]:[HomeTeam]],$T36, Table2[[AwayTeam]:[AwayTeam]], BA$31, Table2[[ActualResult]:[ActualResult]], "REG"))) + (1*(SUMIFS(Table2[[HomeWon_]:[HomeWon_]], Table2[[GameIsOver]:[GameIsOver]],1,Table2[[AwayTeam]:[AwayTeam]],$T36, Table2[[HomeTeam]:[HomeTeam]], BA$31, Table2[[ActualResult]:[ActualResult]], "OT") + SUMIFS(Table2[[AwayWon]:[AwayWon]], Table2[[GameIsOver]:[GameIsOver]],1,Table2[[HomeTeam]:[HomeTeam]],$T36, Table2[[AwayTeam]:[AwayTeam]], BA$31, Table2[[ActualResult]:[ActualResult]], "OT") + SUMIFS(Table2[[HomeWon_]:[HomeWon_]], Table2[[GameIsOver]:[GameIsOver]],1,Table2[[AwayTeam]:[AwayTeam]],$T36, Table2[[HomeTeam]:[HomeTeam]], BA$31, Table2[[ActualResult]:[ActualResult]], "SO") + SUMIFS(Table2[[AwayWon]:[AwayWon]], Table2[[GameIsOver]:[GameIsOver]],1,Table2[[HomeTeam]:[HomeTeam]],$T36, Table2[[AwayTeam]:[AwayTeam]], BA$31, Table2[[ActualResult]:[ActualResult]], "SO")))</f>
        <v>0</v>
      </c>
    </row>
    <row r="37" spans="1:53" x14ac:dyDescent="0.25">
      <c r="S37">
        <v>3</v>
      </c>
      <c r="T37" t="str" cm="1">
        <f t="array" ref="T37">INDEX(Table6[Teams], SMALL(IF(Table6[D]="A", ROW(Table6[Teams])-ROW(Table6[#Headers])), Table71214[[#This Row],[ATL]]))</f>
        <v>DET</v>
      </c>
      <c r="U37">
        <f>INDEX(Table6[PTS], MATCH($T37, Table6[Teams], 0))</f>
        <v>10</v>
      </c>
      <c r="V37">
        <f>(2*(SUMIFS(Table2[[AwayWon]:[AwayWon]], Table2[[GameIsOver]:[GameIsOver]],1,Table2[[AwayTeam]:[AwayTeam]],$T37, Table2[[HomeTeam]:[HomeTeam]], V$31) + SUMIFS(Table2[[HomeWon_]:[HomeWon_]], Table2[[GameIsOver]:[GameIsOver]],1,Table2[[HomeTeam]:[HomeTeam]],$T7, Table2[[AwayTeam]:[AwayTeam]], V$31))) + (0*(SUMIFS(Table2[[HomeWon_]:[HomeWon_]], Table2[[GameIsOver]:[GameIsOver]],1,Table2[[AwayTeam]:[AwayTeam]],$T37, Table2[[HomeTeam]:[HomeTeam]], V$31, Table2[[ActualResult]:[ActualResult]], "REG") + SUMIFS(Table2[[AwayWon]:[AwayWon]], Table2[[GameIsOver]:[GameIsOver]],1,Table2[[HomeTeam]:[HomeTeam]],$T37, Table2[[AwayTeam]:[AwayTeam]], V$31, Table2[[ActualResult]:[ActualResult]], "REG"))) + (1*(SUMIFS(Table2[[HomeWon_]:[HomeWon_]], Table2[[GameIsOver]:[GameIsOver]],1,Table2[[AwayTeam]:[AwayTeam]],$T37, Table2[[HomeTeam]:[HomeTeam]], V$31, Table2[[ActualResult]:[ActualResult]], "OT") + SUMIFS(Table2[[AwayWon]:[AwayWon]], Table2[[GameIsOver]:[GameIsOver]],1,Table2[[HomeTeam]:[HomeTeam]],$T37, Table2[[AwayTeam]:[AwayTeam]], V$31, Table2[[ActualResult]:[ActualResult]], "OT") + SUMIFS(Table2[[HomeWon_]:[HomeWon_]], Table2[[GameIsOver]:[GameIsOver]],1,Table2[[AwayTeam]:[AwayTeam]],$T37, Table2[[HomeTeam]:[HomeTeam]], V$31, Table2[[ActualResult]:[ActualResult]], "SO") + SUMIFS(Table2[[AwayWon]:[AwayWon]], Table2[[GameIsOver]:[GameIsOver]],1,Table2[[HomeTeam]:[HomeTeam]],$T37, Table2[[AwayTeam]:[AwayTeam]], V$31, Table2[[ActualResult]:[ActualResult]], "SO")))</f>
        <v>0</v>
      </c>
      <c r="W37">
        <f>(2*(SUMIFS(Table2[[AwayWon]:[AwayWon]], Table2[[GameIsOver]:[GameIsOver]],1,Table2[[AwayTeam]:[AwayTeam]],$T37, Table2[[HomeTeam]:[HomeTeam]], W$31) + SUMIFS(Table2[[HomeWon_]:[HomeWon_]], Table2[[GameIsOver]:[GameIsOver]],1,Table2[[HomeTeam]:[HomeTeam]],$T7, Table2[[AwayTeam]:[AwayTeam]], W$31))) + (0*(SUMIFS(Table2[[HomeWon_]:[HomeWon_]], Table2[[GameIsOver]:[GameIsOver]],1,Table2[[AwayTeam]:[AwayTeam]],$T37, Table2[[HomeTeam]:[HomeTeam]], W$31, Table2[[ActualResult]:[ActualResult]], "REG") + SUMIFS(Table2[[AwayWon]:[AwayWon]], Table2[[GameIsOver]:[GameIsOver]],1,Table2[[HomeTeam]:[HomeTeam]],$T37, Table2[[AwayTeam]:[AwayTeam]], W$31, Table2[[ActualResult]:[ActualResult]], "REG"))) + (1*(SUMIFS(Table2[[HomeWon_]:[HomeWon_]], Table2[[GameIsOver]:[GameIsOver]],1,Table2[[AwayTeam]:[AwayTeam]],$T37, Table2[[HomeTeam]:[HomeTeam]], W$31, Table2[[ActualResult]:[ActualResult]], "OT") + SUMIFS(Table2[[AwayWon]:[AwayWon]], Table2[[GameIsOver]:[GameIsOver]],1,Table2[[HomeTeam]:[HomeTeam]],$T37, Table2[[AwayTeam]:[AwayTeam]], W$31, Table2[[ActualResult]:[ActualResult]], "OT") + SUMIFS(Table2[[HomeWon_]:[HomeWon_]], Table2[[GameIsOver]:[GameIsOver]],1,Table2[[AwayTeam]:[AwayTeam]],$T37, Table2[[HomeTeam]:[HomeTeam]], W$31, Table2[[ActualResult]:[ActualResult]], "SO") + SUMIFS(Table2[[AwayWon]:[AwayWon]], Table2[[GameIsOver]:[GameIsOver]],1,Table2[[HomeTeam]:[HomeTeam]],$T37, Table2[[AwayTeam]:[AwayTeam]], W$31, Table2[[ActualResult]:[ActualResult]], "SO")))</f>
        <v>0</v>
      </c>
      <c r="X37">
        <f>(2*(SUMIFS(Table2[[AwayWon]:[AwayWon]], Table2[[GameIsOver]:[GameIsOver]],1,Table2[[AwayTeam]:[AwayTeam]],$T37, Table2[[HomeTeam]:[HomeTeam]], X$31) + SUMIFS(Table2[[HomeWon_]:[HomeWon_]], Table2[[GameIsOver]:[GameIsOver]],1,Table2[[HomeTeam]:[HomeTeam]],$T7, Table2[[AwayTeam]:[AwayTeam]], X$31))) + (0*(SUMIFS(Table2[[HomeWon_]:[HomeWon_]], Table2[[GameIsOver]:[GameIsOver]],1,Table2[[AwayTeam]:[AwayTeam]],$T37, Table2[[HomeTeam]:[HomeTeam]], X$31, Table2[[ActualResult]:[ActualResult]], "REG") + SUMIFS(Table2[[AwayWon]:[AwayWon]], Table2[[GameIsOver]:[GameIsOver]],1,Table2[[HomeTeam]:[HomeTeam]],$T37, Table2[[AwayTeam]:[AwayTeam]], X$31, Table2[[ActualResult]:[ActualResult]], "REG"))) + (1*(SUMIFS(Table2[[HomeWon_]:[HomeWon_]], Table2[[GameIsOver]:[GameIsOver]],1,Table2[[AwayTeam]:[AwayTeam]],$T37, Table2[[HomeTeam]:[HomeTeam]], X$31, Table2[[ActualResult]:[ActualResult]], "OT") + SUMIFS(Table2[[AwayWon]:[AwayWon]], Table2[[GameIsOver]:[GameIsOver]],1,Table2[[HomeTeam]:[HomeTeam]],$T37, Table2[[AwayTeam]:[AwayTeam]], X$31, Table2[[ActualResult]:[ActualResult]], "OT") + SUMIFS(Table2[[HomeWon_]:[HomeWon_]], Table2[[GameIsOver]:[GameIsOver]],1,Table2[[AwayTeam]:[AwayTeam]],$T37, Table2[[HomeTeam]:[HomeTeam]], X$31, Table2[[ActualResult]:[ActualResult]], "SO") + SUMIFS(Table2[[AwayWon]:[AwayWon]], Table2[[GameIsOver]:[GameIsOver]],1,Table2[[HomeTeam]:[HomeTeam]],$T37, Table2[[AwayTeam]:[AwayTeam]], X$31, Table2[[ActualResult]:[ActualResult]], "SO")))</f>
        <v>0</v>
      </c>
      <c r="Y37">
        <f>(2*(SUMIFS(Table2[[AwayWon]:[AwayWon]], Table2[[GameIsOver]:[GameIsOver]],1,Table2[[AwayTeam]:[AwayTeam]],$T37, Table2[[HomeTeam]:[HomeTeam]], Y$31) + SUMIFS(Table2[[HomeWon_]:[HomeWon_]], Table2[[GameIsOver]:[GameIsOver]],1,Table2[[HomeTeam]:[HomeTeam]],$T7, Table2[[AwayTeam]:[AwayTeam]], Y$31))) + (0*(SUMIFS(Table2[[HomeWon_]:[HomeWon_]], Table2[[GameIsOver]:[GameIsOver]],1,Table2[[AwayTeam]:[AwayTeam]],$T37, Table2[[HomeTeam]:[HomeTeam]], Y$31, Table2[[ActualResult]:[ActualResult]], "REG") + SUMIFS(Table2[[AwayWon]:[AwayWon]], Table2[[GameIsOver]:[GameIsOver]],1,Table2[[HomeTeam]:[HomeTeam]],$T37, Table2[[AwayTeam]:[AwayTeam]], Y$31, Table2[[ActualResult]:[ActualResult]], "REG"))) + (1*(SUMIFS(Table2[[HomeWon_]:[HomeWon_]], Table2[[GameIsOver]:[GameIsOver]],1,Table2[[AwayTeam]:[AwayTeam]],$T37, Table2[[HomeTeam]:[HomeTeam]], Y$31, Table2[[ActualResult]:[ActualResult]], "OT") + SUMIFS(Table2[[AwayWon]:[AwayWon]], Table2[[GameIsOver]:[GameIsOver]],1,Table2[[HomeTeam]:[HomeTeam]],$T37, Table2[[AwayTeam]:[AwayTeam]], Y$31, Table2[[ActualResult]:[ActualResult]], "OT") + SUMIFS(Table2[[HomeWon_]:[HomeWon_]], Table2[[GameIsOver]:[GameIsOver]],1,Table2[[AwayTeam]:[AwayTeam]],$T37, Table2[[HomeTeam]:[HomeTeam]], Y$31, Table2[[ActualResult]:[ActualResult]], "SO") + SUMIFS(Table2[[AwayWon]:[AwayWon]], Table2[[GameIsOver]:[GameIsOver]],1,Table2[[HomeTeam]:[HomeTeam]],$T37, Table2[[AwayTeam]:[AwayTeam]], Y$31, Table2[[ActualResult]:[ActualResult]], "SO")))</f>
        <v>0</v>
      </c>
      <c r="Z37">
        <f>(2*(SUMIFS(Table2[[AwayWon]:[AwayWon]], Table2[[GameIsOver]:[GameIsOver]],1,Table2[[AwayTeam]:[AwayTeam]],$T37, Table2[[HomeTeam]:[HomeTeam]], Z$31) + SUMIFS(Table2[[HomeWon_]:[HomeWon_]], Table2[[GameIsOver]:[GameIsOver]],1,Table2[[HomeTeam]:[HomeTeam]],$T7, Table2[[AwayTeam]:[AwayTeam]], Z$31))) + (0*(SUMIFS(Table2[[HomeWon_]:[HomeWon_]], Table2[[GameIsOver]:[GameIsOver]],1,Table2[[AwayTeam]:[AwayTeam]],$T37, Table2[[HomeTeam]:[HomeTeam]], Z$31, Table2[[ActualResult]:[ActualResult]], "REG") + SUMIFS(Table2[[AwayWon]:[AwayWon]], Table2[[GameIsOver]:[GameIsOver]],1,Table2[[HomeTeam]:[HomeTeam]],$T37, Table2[[AwayTeam]:[AwayTeam]], Z$31, Table2[[ActualResult]:[ActualResult]], "REG"))) + (1*(SUMIFS(Table2[[HomeWon_]:[HomeWon_]], Table2[[GameIsOver]:[GameIsOver]],1,Table2[[AwayTeam]:[AwayTeam]],$T37, Table2[[HomeTeam]:[HomeTeam]], Z$31, Table2[[ActualResult]:[ActualResult]], "OT") + SUMIFS(Table2[[AwayWon]:[AwayWon]], Table2[[GameIsOver]:[GameIsOver]],1,Table2[[HomeTeam]:[HomeTeam]],$T37, Table2[[AwayTeam]:[AwayTeam]], Z$31, Table2[[ActualResult]:[ActualResult]], "OT") + SUMIFS(Table2[[HomeWon_]:[HomeWon_]], Table2[[GameIsOver]:[GameIsOver]],1,Table2[[AwayTeam]:[AwayTeam]],$T37, Table2[[HomeTeam]:[HomeTeam]], Z$31, Table2[[ActualResult]:[ActualResult]], "SO") + SUMIFS(Table2[[AwayWon]:[AwayWon]], Table2[[GameIsOver]:[GameIsOver]],1,Table2[[HomeTeam]:[HomeTeam]],$T37, Table2[[AwayTeam]:[AwayTeam]], Z$31, Table2[[ActualResult]:[ActualResult]], "SO")))</f>
        <v>0</v>
      </c>
      <c r="AA37">
        <f>(2*(SUMIFS(Table2[[AwayWon]:[AwayWon]], Table2[[GameIsOver]:[GameIsOver]],1,Table2[[AwayTeam]:[AwayTeam]],$T37, Table2[[HomeTeam]:[HomeTeam]], AA$31) + SUMIFS(Table2[[HomeWon_]:[HomeWon_]], Table2[[GameIsOver]:[GameIsOver]],1,Table2[[HomeTeam]:[HomeTeam]],$T7, Table2[[AwayTeam]:[AwayTeam]], AA$31))) + (0*(SUMIFS(Table2[[HomeWon_]:[HomeWon_]], Table2[[GameIsOver]:[GameIsOver]],1,Table2[[AwayTeam]:[AwayTeam]],$T37, Table2[[HomeTeam]:[HomeTeam]], AA$31, Table2[[ActualResult]:[ActualResult]], "REG") + SUMIFS(Table2[[AwayWon]:[AwayWon]], Table2[[GameIsOver]:[GameIsOver]],1,Table2[[HomeTeam]:[HomeTeam]],$T37, Table2[[AwayTeam]:[AwayTeam]], AA$31, Table2[[ActualResult]:[ActualResult]], "REG"))) + (1*(SUMIFS(Table2[[HomeWon_]:[HomeWon_]], Table2[[GameIsOver]:[GameIsOver]],1,Table2[[AwayTeam]:[AwayTeam]],$T37, Table2[[HomeTeam]:[HomeTeam]], AA$31, Table2[[ActualResult]:[ActualResult]], "OT") + SUMIFS(Table2[[AwayWon]:[AwayWon]], Table2[[GameIsOver]:[GameIsOver]],1,Table2[[HomeTeam]:[HomeTeam]],$T37, Table2[[AwayTeam]:[AwayTeam]], AA$31, Table2[[ActualResult]:[ActualResult]], "OT") + SUMIFS(Table2[[HomeWon_]:[HomeWon_]], Table2[[GameIsOver]:[GameIsOver]],1,Table2[[AwayTeam]:[AwayTeam]],$T37, Table2[[HomeTeam]:[HomeTeam]], AA$31, Table2[[ActualResult]:[ActualResult]], "SO") + SUMIFS(Table2[[AwayWon]:[AwayWon]], Table2[[GameIsOver]:[GameIsOver]],1,Table2[[HomeTeam]:[HomeTeam]],$T37, Table2[[AwayTeam]:[AwayTeam]], AA$31, Table2[[ActualResult]:[ActualResult]], "SO")))</f>
        <v>0</v>
      </c>
      <c r="AB37">
        <f>(2*(SUMIFS(Table2[[AwayWon]:[AwayWon]], Table2[[GameIsOver]:[GameIsOver]],1,Table2[[AwayTeam]:[AwayTeam]],$T37, Table2[[HomeTeam]:[HomeTeam]], AB$31) + SUMIFS(Table2[[HomeWon_]:[HomeWon_]], Table2[[GameIsOver]:[GameIsOver]],1,Table2[[HomeTeam]:[HomeTeam]],$T7, Table2[[AwayTeam]:[AwayTeam]], AB$31))) + (0*(SUMIFS(Table2[[HomeWon_]:[HomeWon_]], Table2[[GameIsOver]:[GameIsOver]],1,Table2[[AwayTeam]:[AwayTeam]],$T37, Table2[[HomeTeam]:[HomeTeam]], AB$31, Table2[[ActualResult]:[ActualResult]], "REG") + SUMIFS(Table2[[AwayWon]:[AwayWon]], Table2[[GameIsOver]:[GameIsOver]],1,Table2[[HomeTeam]:[HomeTeam]],$T37, Table2[[AwayTeam]:[AwayTeam]], AB$31, Table2[[ActualResult]:[ActualResult]], "REG"))) + (1*(SUMIFS(Table2[[HomeWon_]:[HomeWon_]], Table2[[GameIsOver]:[GameIsOver]],1,Table2[[AwayTeam]:[AwayTeam]],$T37, Table2[[HomeTeam]:[HomeTeam]], AB$31, Table2[[ActualResult]:[ActualResult]], "OT") + SUMIFS(Table2[[AwayWon]:[AwayWon]], Table2[[GameIsOver]:[GameIsOver]],1,Table2[[HomeTeam]:[HomeTeam]],$T37, Table2[[AwayTeam]:[AwayTeam]], AB$31, Table2[[ActualResult]:[ActualResult]], "OT") + SUMIFS(Table2[[HomeWon_]:[HomeWon_]], Table2[[GameIsOver]:[GameIsOver]],1,Table2[[AwayTeam]:[AwayTeam]],$T37, Table2[[HomeTeam]:[HomeTeam]], AB$31, Table2[[ActualResult]:[ActualResult]], "SO") + SUMIFS(Table2[[AwayWon]:[AwayWon]], Table2[[GameIsOver]:[GameIsOver]],1,Table2[[HomeTeam]:[HomeTeam]],$T37, Table2[[AwayTeam]:[AwayTeam]], AB$31, Table2[[ActualResult]:[ActualResult]], "SO")))</f>
        <v>0</v>
      </c>
      <c r="AC37">
        <f>(2*(SUMIFS(Table2[[AwayWon]:[AwayWon]], Table2[[GameIsOver]:[GameIsOver]],1,Table2[[AwayTeam]:[AwayTeam]],$T37, Table2[[HomeTeam]:[HomeTeam]], AC$31) + SUMIFS(Table2[[HomeWon_]:[HomeWon_]], Table2[[GameIsOver]:[GameIsOver]],1,Table2[[HomeTeam]:[HomeTeam]],$T7, Table2[[AwayTeam]:[AwayTeam]], AC$31))) + (0*(SUMIFS(Table2[[HomeWon_]:[HomeWon_]], Table2[[GameIsOver]:[GameIsOver]],1,Table2[[AwayTeam]:[AwayTeam]],$T37, Table2[[HomeTeam]:[HomeTeam]], AC$31, Table2[[ActualResult]:[ActualResult]], "REG") + SUMIFS(Table2[[AwayWon]:[AwayWon]], Table2[[GameIsOver]:[GameIsOver]],1,Table2[[HomeTeam]:[HomeTeam]],$T37, Table2[[AwayTeam]:[AwayTeam]], AC$31, Table2[[ActualResult]:[ActualResult]], "REG"))) + (1*(SUMIFS(Table2[[HomeWon_]:[HomeWon_]], Table2[[GameIsOver]:[GameIsOver]],1,Table2[[AwayTeam]:[AwayTeam]],$T37, Table2[[HomeTeam]:[HomeTeam]], AC$31, Table2[[ActualResult]:[ActualResult]], "OT") + SUMIFS(Table2[[AwayWon]:[AwayWon]], Table2[[GameIsOver]:[GameIsOver]],1,Table2[[HomeTeam]:[HomeTeam]],$T37, Table2[[AwayTeam]:[AwayTeam]], AC$31, Table2[[ActualResult]:[ActualResult]], "OT") + SUMIFS(Table2[[HomeWon_]:[HomeWon_]], Table2[[GameIsOver]:[GameIsOver]],1,Table2[[AwayTeam]:[AwayTeam]],$T37, Table2[[HomeTeam]:[HomeTeam]], AC$31, Table2[[ActualResult]:[ActualResult]], "SO") + SUMIFS(Table2[[AwayWon]:[AwayWon]], Table2[[GameIsOver]:[GameIsOver]],1,Table2[[HomeTeam]:[HomeTeam]],$T37, Table2[[AwayTeam]:[AwayTeam]], AC$31, Table2[[ActualResult]:[ActualResult]], "SO")))</f>
        <v>0</v>
      </c>
      <c r="AD37">
        <f>(2*(SUMIFS(Table2[[AwayWon]:[AwayWon]], Table2[[GameIsOver]:[GameIsOver]],1,Table2[[AwayTeam]:[AwayTeam]],$T37, Table2[[HomeTeam]:[HomeTeam]], AD$31) + SUMIFS(Table2[[HomeWon_]:[HomeWon_]], Table2[[GameIsOver]:[GameIsOver]],1,Table2[[HomeTeam]:[HomeTeam]],$T7, Table2[[AwayTeam]:[AwayTeam]], AD$31))) + (0*(SUMIFS(Table2[[HomeWon_]:[HomeWon_]], Table2[[GameIsOver]:[GameIsOver]],1,Table2[[AwayTeam]:[AwayTeam]],$T37, Table2[[HomeTeam]:[HomeTeam]], AD$31, Table2[[ActualResult]:[ActualResult]], "REG") + SUMIFS(Table2[[AwayWon]:[AwayWon]], Table2[[GameIsOver]:[GameIsOver]],1,Table2[[HomeTeam]:[HomeTeam]],$T37, Table2[[AwayTeam]:[AwayTeam]], AD$31, Table2[[ActualResult]:[ActualResult]], "REG"))) + (1*(SUMIFS(Table2[[HomeWon_]:[HomeWon_]], Table2[[GameIsOver]:[GameIsOver]],1,Table2[[AwayTeam]:[AwayTeam]],$T37, Table2[[HomeTeam]:[HomeTeam]], AD$31, Table2[[ActualResult]:[ActualResult]], "OT") + SUMIFS(Table2[[AwayWon]:[AwayWon]], Table2[[GameIsOver]:[GameIsOver]],1,Table2[[HomeTeam]:[HomeTeam]],$T37, Table2[[AwayTeam]:[AwayTeam]], AD$31, Table2[[ActualResult]:[ActualResult]], "OT") + SUMIFS(Table2[[HomeWon_]:[HomeWon_]], Table2[[GameIsOver]:[GameIsOver]],1,Table2[[AwayTeam]:[AwayTeam]],$T37, Table2[[HomeTeam]:[HomeTeam]], AD$31, Table2[[ActualResult]:[ActualResult]], "SO") + SUMIFS(Table2[[AwayWon]:[AwayWon]], Table2[[GameIsOver]:[GameIsOver]],1,Table2[[HomeTeam]:[HomeTeam]],$T37, Table2[[AwayTeam]:[AwayTeam]], AD$31, Table2[[ActualResult]:[ActualResult]], "SO")))</f>
        <v>0</v>
      </c>
      <c r="AE37">
        <f>(2*(SUMIFS(Table2[[AwayWon]:[AwayWon]], Table2[[GameIsOver]:[GameIsOver]],1,Table2[[AwayTeam]:[AwayTeam]],$T37, Table2[[HomeTeam]:[HomeTeam]], AE$31) + SUMIFS(Table2[[HomeWon_]:[HomeWon_]], Table2[[GameIsOver]:[GameIsOver]],1,Table2[[HomeTeam]:[HomeTeam]],$T7, Table2[[AwayTeam]:[AwayTeam]], AE$31))) + (0*(SUMIFS(Table2[[HomeWon_]:[HomeWon_]], Table2[[GameIsOver]:[GameIsOver]],1,Table2[[AwayTeam]:[AwayTeam]],$T37, Table2[[HomeTeam]:[HomeTeam]], AE$31, Table2[[ActualResult]:[ActualResult]], "REG") + SUMIFS(Table2[[AwayWon]:[AwayWon]], Table2[[GameIsOver]:[GameIsOver]],1,Table2[[HomeTeam]:[HomeTeam]],$T37, Table2[[AwayTeam]:[AwayTeam]], AE$31, Table2[[ActualResult]:[ActualResult]], "REG"))) + (1*(SUMIFS(Table2[[HomeWon_]:[HomeWon_]], Table2[[GameIsOver]:[GameIsOver]],1,Table2[[AwayTeam]:[AwayTeam]],$T37, Table2[[HomeTeam]:[HomeTeam]], AE$31, Table2[[ActualResult]:[ActualResult]], "OT") + SUMIFS(Table2[[AwayWon]:[AwayWon]], Table2[[GameIsOver]:[GameIsOver]],1,Table2[[HomeTeam]:[HomeTeam]],$T37, Table2[[AwayTeam]:[AwayTeam]], AE$31, Table2[[ActualResult]:[ActualResult]], "OT") + SUMIFS(Table2[[HomeWon_]:[HomeWon_]], Table2[[GameIsOver]:[GameIsOver]],1,Table2[[AwayTeam]:[AwayTeam]],$T37, Table2[[HomeTeam]:[HomeTeam]], AE$31, Table2[[ActualResult]:[ActualResult]], "SO") + SUMIFS(Table2[[AwayWon]:[AwayWon]], Table2[[GameIsOver]:[GameIsOver]],1,Table2[[HomeTeam]:[HomeTeam]],$T37, Table2[[AwayTeam]:[AwayTeam]], AE$31, Table2[[ActualResult]:[ActualResult]], "SO")))</f>
        <v>0</v>
      </c>
      <c r="AF37">
        <f>(2*(SUMIFS(Table2[[AwayWon]:[AwayWon]], Table2[[GameIsOver]:[GameIsOver]],1,Table2[[AwayTeam]:[AwayTeam]],$T37, Table2[[HomeTeam]:[HomeTeam]], AF$31) + SUMIFS(Table2[[HomeWon_]:[HomeWon_]], Table2[[GameIsOver]:[GameIsOver]],1,Table2[[HomeTeam]:[HomeTeam]],$T7, Table2[[AwayTeam]:[AwayTeam]], AF$31))) + (0*(SUMIFS(Table2[[HomeWon_]:[HomeWon_]], Table2[[GameIsOver]:[GameIsOver]],1,Table2[[AwayTeam]:[AwayTeam]],$T37, Table2[[HomeTeam]:[HomeTeam]], AF$31, Table2[[ActualResult]:[ActualResult]], "REG") + SUMIFS(Table2[[AwayWon]:[AwayWon]], Table2[[GameIsOver]:[GameIsOver]],1,Table2[[HomeTeam]:[HomeTeam]],$T37, Table2[[AwayTeam]:[AwayTeam]], AF$31, Table2[[ActualResult]:[ActualResult]], "REG"))) + (1*(SUMIFS(Table2[[HomeWon_]:[HomeWon_]], Table2[[GameIsOver]:[GameIsOver]],1,Table2[[AwayTeam]:[AwayTeam]],$T37, Table2[[HomeTeam]:[HomeTeam]], AF$31, Table2[[ActualResult]:[ActualResult]], "OT") + SUMIFS(Table2[[AwayWon]:[AwayWon]], Table2[[GameIsOver]:[GameIsOver]],1,Table2[[HomeTeam]:[HomeTeam]],$T37, Table2[[AwayTeam]:[AwayTeam]], AF$31, Table2[[ActualResult]:[ActualResult]], "OT") + SUMIFS(Table2[[HomeWon_]:[HomeWon_]], Table2[[GameIsOver]:[GameIsOver]],1,Table2[[AwayTeam]:[AwayTeam]],$T37, Table2[[HomeTeam]:[HomeTeam]], AF$31, Table2[[ActualResult]:[ActualResult]], "SO") + SUMIFS(Table2[[AwayWon]:[AwayWon]], Table2[[GameIsOver]:[GameIsOver]],1,Table2[[HomeTeam]:[HomeTeam]],$T37, Table2[[AwayTeam]:[AwayTeam]], AF$31, Table2[[ActualResult]:[ActualResult]], "SO")))</f>
        <v>0</v>
      </c>
      <c r="AG37">
        <f>(2*(SUMIFS(Table2[[AwayWon]:[AwayWon]], Table2[[GameIsOver]:[GameIsOver]],1,Table2[[AwayTeam]:[AwayTeam]],$T37, Table2[[HomeTeam]:[HomeTeam]], AG$31) + SUMIFS(Table2[[HomeWon_]:[HomeWon_]], Table2[[GameIsOver]:[GameIsOver]],1,Table2[[HomeTeam]:[HomeTeam]],$T7, Table2[[AwayTeam]:[AwayTeam]], AG$31))) + (0*(SUMIFS(Table2[[HomeWon_]:[HomeWon_]], Table2[[GameIsOver]:[GameIsOver]],1,Table2[[AwayTeam]:[AwayTeam]],$T37, Table2[[HomeTeam]:[HomeTeam]], AG$31, Table2[[ActualResult]:[ActualResult]], "REG") + SUMIFS(Table2[[AwayWon]:[AwayWon]], Table2[[GameIsOver]:[GameIsOver]],1,Table2[[HomeTeam]:[HomeTeam]],$T37, Table2[[AwayTeam]:[AwayTeam]], AG$31, Table2[[ActualResult]:[ActualResult]], "REG"))) + (1*(SUMIFS(Table2[[HomeWon_]:[HomeWon_]], Table2[[GameIsOver]:[GameIsOver]],1,Table2[[AwayTeam]:[AwayTeam]],$T37, Table2[[HomeTeam]:[HomeTeam]], AG$31, Table2[[ActualResult]:[ActualResult]], "OT") + SUMIFS(Table2[[AwayWon]:[AwayWon]], Table2[[GameIsOver]:[GameIsOver]],1,Table2[[HomeTeam]:[HomeTeam]],$T37, Table2[[AwayTeam]:[AwayTeam]], AG$31, Table2[[ActualResult]:[ActualResult]], "OT") + SUMIFS(Table2[[HomeWon_]:[HomeWon_]], Table2[[GameIsOver]:[GameIsOver]],1,Table2[[AwayTeam]:[AwayTeam]],$T37, Table2[[HomeTeam]:[HomeTeam]], AG$31, Table2[[ActualResult]:[ActualResult]], "SO") + SUMIFS(Table2[[AwayWon]:[AwayWon]], Table2[[GameIsOver]:[GameIsOver]],1,Table2[[HomeTeam]:[HomeTeam]],$T37, Table2[[AwayTeam]:[AwayTeam]], AG$31, Table2[[ActualResult]:[ActualResult]], "SO")))</f>
        <v>0</v>
      </c>
      <c r="AH37">
        <f>(2*(SUMIFS(Table2[[AwayWon]:[AwayWon]], Table2[[GameIsOver]:[GameIsOver]],1,Table2[[AwayTeam]:[AwayTeam]],$T37, Table2[[HomeTeam]:[HomeTeam]], AH$31) + SUMIFS(Table2[[HomeWon_]:[HomeWon_]], Table2[[GameIsOver]:[GameIsOver]],1,Table2[[HomeTeam]:[HomeTeam]],$T7, Table2[[AwayTeam]:[AwayTeam]], AH$31))) + (0*(SUMIFS(Table2[[HomeWon_]:[HomeWon_]], Table2[[GameIsOver]:[GameIsOver]],1,Table2[[AwayTeam]:[AwayTeam]],$T37, Table2[[HomeTeam]:[HomeTeam]], AH$31, Table2[[ActualResult]:[ActualResult]], "REG") + SUMIFS(Table2[[AwayWon]:[AwayWon]], Table2[[GameIsOver]:[GameIsOver]],1,Table2[[HomeTeam]:[HomeTeam]],$T37, Table2[[AwayTeam]:[AwayTeam]], AH$31, Table2[[ActualResult]:[ActualResult]], "REG"))) + (1*(SUMIFS(Table2[[HomeWon_]:[HomeWon_]], Table2[[GameIsOver]:[GameIsOver]],1,Table2[[AwayTeam]:[AwayTeam]],$T37, Table2[[HomeTeam]:[HomeTeam]], AH$31, Table2[[ActualResult]:[ActualResult]], "OT") + SUMIFS(Table2[[AwayWon]:[AwayWon]], Table2[[GameIsOver]:[GameIsOver]],1,Table2[[HomeTeam]:[HomeTeam]],$T37, Table2[[AwayTeam]:[AwayTeam]], AH$31, Table2[[ActualResult]:[ActualResult]], "OT") + SUMIFS(Table2[[HomeWon_]:[HomeWon_]], Table2[[GameIsOver]:[GameIsOver]],1,Table2[[AwayTeam]:[AwayTeam]],$T37, Table2[[HomeTeam]:[HomeTeam]], AH$31, Table2[[ActualResult]:[ActualResult]], "SO") + SUMIFS(Table2[[AwayWon]:[AwayWon]], Table2[[GameIsOver]:[GameIsOver]],1,Table2[[HomeTeam]:[HomeTeam]],$T37, Table2[[AwayTeam]:[AwayTeam]], AH$31, Table2[[ActualResult]:[ActualResult]], "SO")))</f>
        <v>0</v>
      </c>
      <c r="AI37">
        <f>(2*(SUMIFS(Table2[[AwayWon]:[AwayWon]], Table2[[GameIsOver]:[GameIsOver]],1,Table2[[AwayTeam]:[AwayTeam]],$T37, Table2[[HomeTeam]:[HomeTeam]], AI$31) + SUMIFS(Table2[[HomeWon_]:[HomeWon_]], Table2[[GameIsOver]:[GameIsOver]],1,Table2[[HomeTeam]:[HomeTeam]],$T7, Table2[[AwayTeam]:[AwayTeam]], AI$31))) + (0*(SUMIFS(Table2[[HomeWon_]:[HomeWon_]], Table2[[GameIsOver]:[GameIsOver]],1,Table2[[AwayTeam]:[AwayTeam]],$T37, Table2[[HomeTeam]:[HomeTeam]], AI$31, Table2[[ActualResult]:[ActualResult]], "REG") + SUMIFS(Table2[[AwayWon]:[AwayWon]], Table2[[GameIsOver]:[GameIsOver]],1,Table2[[HomeTeam]:[HomeTeam]],$T37, Table2[[AwayTeam]:[AwayTeam]], AI$31, Table2[[ActualResult]:[ActualResult]], "REG"))) + (1*(SUMIFS(Table2[[HomeWon_]:[HomeWon_]], Table2[[GameIsOver]:[GameIsOver]],1,Table2[[AwayTeam]:[AwayTeam]],$T37, Table2[[HomeTeam]:[HomeTeam]], AI$31, Table2[[ActualResult]:[ActualResult]], "OT") + SUMIFS(Table2[[AwayWon]:[AwayWon]], Table2[[GameIsOver]:[GameIsOver]],1,Table2[[HomeTeam]:[HomeTeam]],$T37, Table2[[AwayTeam]:[AwayTeam]], AI$31, Table2[[ActualResult]:[ActualResult]], "OT") + SUMIFS(Table2[[HomeWon_]:[HomeWon_]], Table2[[GameIsOver]:[GameIsOver]],1,Table2[[AwayTeam]:[AwayTeam]],$T37, Table2[[HomeTeam]:[HomeTeam]], AI$31, Table2[[ActualResult]:[ActualResult]], "SO") + SUMIFS(Table2[[AwayWon]:[AwayWon]], Table2[[GameIsOver]:[GameIsOver]],1,Table2[[HomeTeam]:[HomeTeam]],$T37, Table2[[AwayTeam]:[AwayTeam]], AI$31, Table2[[ActualResult]:[ActualResult]], "SO")))</f>
        <v>0</v>
      </c>
      <c r="AJ37">
        <f>(2*(SUMIFS(Table2[[AwayWon]:[AwayWon]], Table2[[GameIsOver]:[GameIsOver]],1,Table2[[AwayTeam]:[AwayTeam]],$T37, Table2[[HomeTeam]:[HomeTeam]], AJ$31) + SUMIFS(Table2[[HomeWon_]:[HomeWon_]], Table2[[GameIsOver]:[GameIsOver]],1,Table2[[HomeTeam]:[HomeTeam]],$T7, Table2[[AwayTeam]:[AwayTeam]], AJ$31))) + (0*(SUMIFS(Table2[[HomeWon_]:[HomeWon_]], Table2[[GameIsOver]:[GameIsOver]],1,Table2[[AwayTeam]:[AwayTeam]],$T37, Table2[[HomeTeam]:[HomeTeam]], AJ$31, Table2[[ActualResult]:[ActualResult]], "REG") + SUMIFS(Table2[[AwayWon]:[AwayWon]], Table2[[GameIsOver]:[GameIsOver]],1,Table2[[HomeTeam]:[HomeTeam]],$T37, Table2[[AwayTeam]:[AwayTeam]], AJ$31, Table2[[ActualResult]:[ActualResult]], "REG"))) + (1*(SUMIFS(Table2[[HomeWon_]:[HomeWon_]], Table2[[GameIsOver]:[GameIsOver]],1,Table2[[AwayTeam]:[AwayTeam]],$T37, Table2[[HomeTeam]:[HomeTeam]], AJ$31, Table2[[ActualResult]:[ActualResult]], "OT") + SUMIFS(Table2[[AwayWon]:[AwayWon]], Table2[[GameIsOver]:[GameIsOver]],1,Table2[[HomeTeam]:[HomeTeam]],$T37, Table2[[AwayTeam]:[AwayTeam]], AJ$31, Table2[[ActualResult]:[ActualResult]], "OT") + SUMIFS(Table2[[HomeWon_]:[HomeWon_]], Table2[[GameIsOver]:[GameIsOver]],1,Table2[[AwayTeam]:[AwayTeam]],$T37, Table2[[HomeTeam]:[HomeTeam]], AJ$31, Table2[[ActualResult]:[ActualResult]], "SO") + SUMIFS(Table2[[AwayWon]:[AwayWon]], Table2[[GameIsOver]:[GameIsOver]],1,Table2[[HomeTeam]:[HomeTeam]],$T37, Table2[[AwayTeam]:[AwayTeam]], AJ$31, Table2[[ActualResult]:[ActualResult]], "SO")))</f>
        <v>0</v>
      </c>
      <c r="AK37">
        <f>(2*(SUMIFS(Table2[[AwayWon]:[AwayWon]], Table2[[GameIsOver]:[GameIsOver]],1,Table2[[AwayTeam]:[AwayTeam]],$T37, Table2[[HomeTeam]:[HomeTeam]], AK$31) + SUMIFS(Table2[[HomeWon_]:[HomeWon_]], Table2[[GameIsOver]:[GameIsOver]],1,Table2[[HomeTeam]:[HomeTeam]],$T7, Table2[[AwayTeam]:[AwayTeam]], AK$31))) + (0*(SUMIFS(Table2[[HomeWon_]:[HomeWon_]], Table2[[GameIsOver]:[GameIsOver]],1,Table2[[AwayTeam]:[AwayTeam]],$T37, Table2[[HomeTeam]:[HomeTeam]], AK$31, Table2[[ActualResult]:[ActualResult]], "REG") + SUMIFS(Table2[[AwayWon]:[AwayWon]], Table2[[GameIsOver]:[GameIsOver]],1,Table2[[HomeTeam]:[HomeTeam]],$T37, Table2[[AwayTeam]:[AwayTeam]], AK$31, Table2[[ActualResult]:[ActualResult]], "REG"))) + (1*(SUMIFS(Table2[[HomeWon_]:[HomeWon_]], Table2[[GameIsOver]:[GameIsOver]],1,Table2[[AwayTeam]:[AwayTeam]],$T37, Table2[[HomeTeam]:[HomeTeam]], AK$31, Table2[[ActualResult]:[ActualResult]], "OT") + SUMIFS(Table2[[AwayWon]:[AwayWon]], Table2[[GameIsOver]:[GameIsOver]],1,Table2[[HomeTeam]:[HomeTeam]],$T37, Table2[[AwayTeam]:[AwayTeam]], AK$31, Table2[[ActualResult]:[ActualResult]], "OT") + SUMIFS(Table2[[HomeWon_]:[HomeWon_]], Table2[[GameIsOver]:[GameIsOver]],1,Table2[[AwayTeam]:[AwayTeam]],$T37, Table2[[HomeTeam]:[HomeTeam]], AK$31, Table2[[ActualResult]:[ActualResult]], "SO") + SUMIFS(Table2[[AwayWon]:[AwayWon]], Table2[[GameIsOver]:[GameIsOver]],1,Table2[[HomeTeam]:[HomeTeam]],$T37, Table2[[AwayTeam]:[AwayTeam]], AK$31, Table2[[ActualResult]:[ActualResult]], "SO")))</f>
        <v>0</v>
      </c>
      <c r="AL37">
        <f>(2*(SUMIFS(Table2[[AwayWon]:[AwayWon]], Table2[[GameIsOver]:[GameIsOver]],1,Table2[[AwayTeam]:[AwayTeam]],$T37, Table2[[HomeTeam]:[HomeTeam]], AL$31) + SUMIFS(Table2[[HomeWon_]:[HomeWon_]], Table2[[GameIsOver]:[GameIsOver]],1,Table2[[HomeTeam]:[HomeTeam]],$T7, Table2[[AwayTeam]:[AwayTeam]], AL$31))) + (0*(SUMIFS(Table2[[HomeWon_]:[HomeWon_]], Table2[[GameIsOver]:[GameIsOver]],1,Table2[[AwayTeam]:[AwayTeam]],$T37, Table2[[HomeTeam]:[HomeTeam]], AL$31, Table2[[ActualResult]:[ActualResult]], "REG") + SUMIFS(Table2[[AwayWon]:[AwayWon]], Table2[[GameIsOver]:[GameIsOver]],1,Table2[[HomeTeam]:[HomeTeam]],$T37, Table2[[AwayTeam]:[AwayTeam]], AL$31, Table2[[ActualResult]:[ActualResult]], "REG"))) + (1*(SUMIFS(Table2[[HomeWon_]:[HomeWon_]], Table2[[GameIsOver]:[GameIsOver]],1,Table2[[AwayTeam]:[AwayTeam]],$T37, Table2[[HomeTeam]:[HomeTeam]], AL$31, Table2[[ActualResult]:[ActualResult]], "OT") + SUMIFS(Table2[[AwayWon]:[AwayWon]], Table2[[GameIsOver]:[GameIsOver]],1,Table2[[HomeTeam]:[HomeTeam]],$T37, Table2[[AwayTeam]:[AwayTeam]], AL$31, Table2[[ActualResult]:[ActualResult]], "OT") + SUMIFS(Table2[[HomeWon_]:[HomeWon_]], Table2[[GameIsOver]:[GameIsOver]],1,Table2[[AwayTeam]:[AwayTeam]],$T37, Table2[[HomeTeam]:[HomeTeam]], AL$31, Table2[[ActualResult]:[ActualResult]], "SO") + SUMIFS(Table2[[AwayWon]:[AwayWon]], Table2[[GameIsOver]:[GameIsOver]],1,Table2[[HomeTeam]:[HomeTeam]],$T37, Table2[[AwayTeam]:[AwayTeam]], AL$31, Table2[[ActualResult]:[ActualResult]], "SO")))</f>
        <v>0</v>
      </c>
      <c r="AM37">
        <f>(2*(SUMIFS(Table2[[AwayWon]:[AwayWon]], Table2[[GameIsOver]:[GameIsOver]],1,Table2[[AwayTeam]:[AwayTeam]],$T37, Table2[[HomeTeam]:[HomeTeam]], AM$31) + SUMIFS(Table2[[HomeWon_]:[HomeWon_]], Table2[[GameIsOver]:[GameIsOver]],1,Table2[[HomeTeam]:[HomeTeam]],$T7, Table2[[AwayTeam]:[AwayTeam]], AM$31))) + (0*(SUMIFS(Table2[[HomeWon_]:[HomeWon_]], Table2[[GameIsOver]:[GameIsOver]],1,Table2[[AwayTeam]:[AwayTeam]],$T37, Table2[[HomeTeam]:[HomeTeam]], AM$31, Table2[[ActualResult]:[ActualResult]], "REG") + SUMIFS(Table2[[AwayWon]:[AwayWon]], Table2[[GameIsOver]:[GameIsOver]],1,Table2[[HomeTeam]:[HomeTeam]],$T37, Table2[[AwayTeam]:[AwayTeam]], AM$31, Table2[[ActualResult]:[ActualResult]], "REG"))) + (1*(SUMIFS(Table2[[HomeWon_]:[HomeWon_]], Table2[[GameIsOver]:[GameIsOver]],1,Table2[[AwayTeam]:[AwayTeam]],$T37, Table2[[HomeTeam]:[HomeTeam]], AM$31, Table2[[ActualResult]:[ActualResult]], "OT") + SUMIFS(Table2[[AwayWon]:[AwayWon]], Table2[[GameIsOver]:[GameIsOver]],1,Table2[[HomeTeam]:[HomeTeam]],$T37, Table2[[AwayTeam]:[AwayTeam]], AM$31, Table2[[ActualResult]:[ActualResult]], "OT") + SUMIFS(Table2[[HomeWon_]:[HomeWon_]], Table2[[GameIsOver]:[GameIsOver]],1,Table2[[AwayTeam]:[AwayTeam]],$T37, Table2[[HomeTeam]:[HomeTeam]], AM$31, Table2[[ActualResult]:[ActualResult]], "SO") + SUMIFS(Table2[[AwayWon]:[AwayWon]], Table2[[GameIsOver]:[GameIsOver]],1,Table2[[HomeTeam]:[HomeTeam]],$T37, Table2[[AwayTeam]:[AwayTeam]], AM$31, Table2[[ActualResult]:[ActualResult]], "SO")))</f>
        <v>0</v>
      </c>
      <c r="AN37">
        <f>(2*(SUMIFS(Table2[[AwayWon]:[AwayWon]], Table2[[GameIsOver]:[GameIsOver]],1,Table2[[AwayTeam]:[AwayTeam]],$T37, Table2[[HomeTeam]:[HomeTeam]], AN$31) + SUMIFS(Table2[[HomeWon_]:[HomeWon_]], Table2[[GameIsOver]:[GameIsOver]],1,Table2[[HomeTeam]:[HomeTeam]],$T7, Table2[[AwayTeam]:[AwayTeam]], AN$31))) + (0*(SUMIFS(Table2[[HomeWon_]:[HomeWon_]], Table2[[GameIsOver]:[GameIsOver]],1,Table2[[AwayTeam]:[AwayTeam]],$T37, Table2[[HomeTeam]:[HomeTeam]], AN$31, Table2[[ActualResult]:[ActualResult]], "REG") + SUMIFS(Table2[[AwayWon]:[AwayWon]], Table2[[GameIsOver]:[GameIsOver]],1,Table2[[HomeTeam]:[HomeTeam]],$T37, Table2[[AwayTeam]:[AwayTeam]], AN$31, Table2[[ActualResult]:[ActualResult]], "REG"))) + (1*(SUMIFS(Table2[[HomeWon_]:[HomeWon_]], Table2[[GameIsOver]:[GameIsOver]],1,Table2[[AwayTeam]:[AwayTeam]],$T37, Table2[[HomeTeam]:[HomeTeam]], AN$31, Table2[[ActualResult]:[ActualResult]], "OT") + SUMIFS(Table2[[AwayWon]:[AwayWon]], Table2[[GameIsOver]:[GameIsOver]],1,Table2[[HomeTeam]:[HomeTeam]],$T37, Table2[[AwayTeam]:[AwayTeam]], AN$31, Table2[[ActualResult]:[ActualResult]], "OT") + SUMIFS(Table2[[HomeWon_]:[HomeWon_]], Table2[[GameIsOver]:[GameIsOver]],1,Table2[[AwayTeam]:[AwayTeam]],$T37, Table2[[HomeTeam]:[HomeTeam]], AN$31, Table2[[ActualResult]:[ActualResult]], "SO") + SUMIFS(Table2[[AwayWon]:[AwayWon]], Table2[[GameIsOver]:[GameIsOver]],1,Table2[[HomeTeam]:[HomeTeam]],$T37, Table2[[AwayTeam]:[AwayTeam]], AN$31, Table2[[ActualResult]:[ActualResult]], "SO")))</f>
        <v>0</v>
      </c>
      <c r="AO37">
        <f>(2*(SUMIFS(Table2[[AwayWon]:[AwayWon]], Table2[[GameIsOver]:[GameIsOver]],1,Table2[[AwayTeam]:[AwayTeam]],$T37, Table2[[HomeTeam]:[HomeTeam]], AO$31) + SUMIFS(Table2[[HomeWon_]:[HomeWon_]], Table2[[GameIsOver]:[GameIsOver]],1,Table2[[HomeTeam]:[HomeTeam]],$T7, Table2[[AwayTeam]:[AwayTeam]], AO$31))) + (0*(SUMIFS(Table2[[HomeWon_]:[HomeWon_]], Table2[[GameIsOver]:[GameIsOver]],1,Table2[[AwayTeam]:[AwayTeam]],$T37, Table2[[HomeTeam]:[HomeTeam]], AO$31, Table2[[ActualResult]:[ActualResult]], "REG") + SUMIFS(Table2[[AwayWon]:[AwayWon]], Table2[[GameIsOver]:[GameIsOver]],1,Table2[[HomeTeam]:[HomeTeam]],$T37, Table2[[AwayTeam]:[AwayTeam]], AO$31, Table2[[ActualResult]:[ActualResult]], "REG"))) + (1*(SUMIFS(Table2[[HomeWon_]:[HomeWon_]], Table2[[GameIsOver]:[GameIsOver]],1,Table2[[AwayTeam]:[AwayTeam]],$T37, Table2[[HomeTeam]:[HomeTeam]], AO$31, Table2[[ActualResult]:[ActualResult]], "OT") + SUMIFS(Table2[[AwayWon]:[AwayWon]], Table2[[GameIsOver]:[GameIsOver]],1,Table2[[HomeTeam]:[HomeTeam]],$T37, Table2[[AwayTeam]:[AwayTeam]], AO$31, Table2[[ActualResult]:[ActualResult]], "OT") + SUMIFS(Table2[[HomeWon_]:[HomeWon_]], Table2[[GameIsOver]:[GameIsOver]],1,Table2[[AwayTeam]:[AwayTeam]],$T37, Table2[[HomeTeam]:[HomeTeam]], AO$31, Table2[[ActualResult]:[ActualResult]], "SO") + SUMIFS(Table2[[AwayWon]:[AwayWon]], Table2[[GameIsOver]:[GameIsOver]],1,Table2[[HomeTeam]:[HomeTeam]],$T37, Table2[[AwayTeam]:[AwayTeam]], AO$31, Table2[[ActualResult]:[ActualResult]], "SO")))</f>
        <v>0</v>
      </c>
      <c r="AP37">
        <f>(2*(SUMIFS(Table2[[AwayWon]:[AwayWon]], Table2[[GameIsOver]:[GameIsOver]],1,Table2[[AwayTeam]:[AwayTeam]],$T37, Table2[[HomeTeam]:[HomeTeam]], AP$31) + SUMIFS(Table2[[HomeWon_]:[HomeWon_]], Table2[[GameIsOver]:[GameIsOver]],1,Table2[[HomeTeam]:[HomeTeam]],$T7, Table2[[AwayTeam]:[AwayTeam]], AP$31))) + (0*(SUMIFS(Table2[[HomeWon_]:[HomeWon_]], Table2[[GameIsOver]:[GameIsOver]],1,Table2[[AwayTeam]:[AwayTeam]],$T37, Table2[[HomeTeam]:[HomeTeam]], AP$31, Table2[[ActualResult]:[ActualResult]], "REG") + SUMIFS(Table2[[AwayWon]:[AwayWon]], Table2[[GameIsOver]:[GameIsOver]],1,Table2[[HomeTeam]:[HomeTeam]],$T37, Table2[[AwayTeam]:[AwayTeam]], AP$31, Table2[[ActualResult]:[ActualResult]], "REG"))) + (1*(SUMIFS(Table2[[HomeWon_]:[HomeWon_]], Table2[[GameIsOver]:[GameIsOver]],1,Table2[[AwayTeam]:[AwayTeam]],$T37, Table2[[HomeTeam]:[HomeTeam]], AP$31, Table2[[ActualResult]:[ActualResult]], "OT") + SUMIFS(Table2[[AwayWon]:[AwayWon]], Table2[[GameIsOver]:[GameIsOver]],1,Table2[[HomeTeam]:[HomeTeam]],$T37, Table2[[AwayTeam]:[AwayTeam]], AP$31, Table2[[ActualResult]:[ActualResult]], "OT") + SUMIFS(Table2[[HomeWon_]:[HomeWon_]], Table2[[GameIsOver]:[GameIsOver]],1,Table2[[AwayTeam]:[AwayTeam]],$T37, Table2[[HomeTeam]:[HomeTeam]], AP$31, Table2[[ActualResult]:[ActualResult]], "SO") + SUMIFS(Table2[[AwayWon]:[AwayWon]], Table2[[GameIsOver]:[GameIsOver]],1,Table2[[HomeTeam]:[HomeTeam]],$T37, Table2[[AwayTeam]:[AwayTeam]], AP$31, Table2[[ActualResult]:[ActualResult]], "SO")))</f>
        <v>0</v>
      </c>
      <c r="AQ37">
        <f>(2*(SUMIFS(Table2[[AwayWon]:[AwayWon]], Table2[[GameIsOver]:[GameIsOver]],1,Table2[[AwayTeam]:[AwayTeam]],$T37, Table2[[HomeTeam]:[HomeTeam]], AQ$31) + SUMIFS(Table2[[HomeWon_]:[HomeWon_]], Table2[[GameIsOver]:[GameIsOver]],1,Table2[[HomeTeam]:[HomeTeam]],$T7, Table2[[AwayTeam]:[AwayTeam]], AQ$31))) + (0*(SUMIFS(Table2[[HomeWon_]:[HomeWon_]], Table2[[GameIsOver]:[GameIsOver]],1,Table2[[AwayTeam]:[AwayTeam]],$T37, Table2[[HomeTeam]:[HomeTeam]], AQ$31, Table2[[ActualResult]:[ActualResult]], "REG") + SUMIFS(Table2[[AwayWon]:[AwayWon]], Table2[[GameIsOver]:[GameIsOver]],1,Table2[[HomeTeam]:[HomeTeam]],$T37, Table2[[AwayTeam]:[AwayTeam]], AQ$31, Table2[[ActualResult]:[ActualResult]], "REG"))) + (1*(SUMIFS(Table2[[HomeWon_]:[HomeWon_]], Table2[[GameIsOver]:[GameIsOver]],1,Table2[[AwayTeam]:[AwayTeam]],$T37, Table2[[HomeTeam]:[HomeTeam]], AQ$31, Table2[[ActualResult]:[ActualResult]], "OT") + SUMIFS(Table2[[AwayWon]:[AwayWon]], Table2[[GameIsOver]:[GameIsOver]],1,Table2[[HomeTeam]:[HomeTeam]],$T37, Table2[[AwayTeam]:[AwayTeam]], AQ$31, Table2[[ActualResult]:[ActualResult]], "OT") + SUMIFS(Table2[[HomeWon_]:[HomeWon_]], Table2[[GameIsOver]:[GameIsOver]],1,Table2[[AwayTeam]:[AwayTeam]],$T37, Table2[[HomeTeam]:[HomeTeam]], AQ$31, Table2[[ActualResult]:[ActualResult]], "SO") + SUMIFS(Table2[[AwayWon]:[AwayWon]], Table2[[GameIsOver]:[GameIsOver]],1,Table2[[HomeTeam]:[HomeTeam]],$T37, Table2[[AwayTeam]:[AwayTeam]], AQ$31, Table2[[ActualResult]:[ActualResult]], "SO")))</f>
        <v>0</v>
      </c>
      <c r="AR37">
        <f>(2*(SUMIFS(Table2[[AwayWon]:[AwayWon]], Table2[[GameIsOver]:[GameIsOver]],1,Table2[[AwayTeam]:[AwayTeam]],$T37, Table2[[HomeTeam]:[HomeTeam]], AR$31) + SUMIFS(Table2[[HomeWon_]:[HomeWon_]], Table2[[GameIsOver]:[GameIsOver]],1,Table2[[HomeTeam]:[HomeTeam]],$T7, Table2[[AwayTeam]:[AwayTeam]], AR$31))) + (0*(SUMIFS(Table2[[HomeWon_]:[HomeWon_]], Table2[[GameIsOver]:[GameIsOver]],1,Table2[[AwayTeam]:[AwayTeam]],$T37, Table2[[HomeTeam]:[HomeTeam]], AR$31, Table2[[ActualResult]:[ActualResult]], "REG") + SUMIFS(Table2[[AwayWon]:[AwayWon]], Table2[[GameIsOver]:[GameIsOver]],1,Table2[[HomeTeam]:[HomeTeam]],$T37, Table2[[AwayTeam]:[AwayTeam]], AR$31, Table2[[ActualResult]:[ActualResult]], "REG"))) + (1*(SUMIFS(Table2[[HomeWon_]:[HomeWon_]], Table2[[GameIsOver]:[GameIsOver]],1,Table2[[AwayTeam]:[AwayTeam]],$T37, Table2[[HomeTeam]:[HomeTeam]], AR$31, Table2[[ActualResult]:[ActualResult]], "OT") + SUMIFS(Table2[[AwayWon]:[AwayWon]], Table2[[GameIsOver]:[GameIsOver]],1,Table2[[HomeTeam]:[HomeTeam]],$T37, Table2[[AwayTeam]:[AwayTeam]], AR$31, Table2[[ActualResult]:[ActualResult]], "OT") + SUMIFS(Table2[[HomeWon_]:[HomeWon_]], Table2[[GameIsOver]:[GameIsOver]],1,Table2[[AwayTeam]:[AwayTeam]],$T37, Table2[[HomeTeam]:[HomeTeam]], AR$31, Table2[[ActualResult]:[ActualResult]], "SO") + SUMIFS(Table2[[AwayWon]:[AwayWon]], Table2[[GameIsOver]:[GameIsOver]],1,Table2[[HomeTeam]:[HomeTeam]],$T37, Table2[[AwayTeam]:[AwayTeam]], AR$31, Table2[[ActualResult]:[ActualResult]], "SO")))</f>
        <v>2</v>
      </c>
      <c r="AS37">
        <f>(2*(SUMIFS(Table2[[AwayWon]:[AwayWon]], Table2[[GameIsOver]:[GameIsOver]],1,Table2[[AwayTeam]:[AwayTeam]],$T37, Table2[[HomeTeam]:[HomeTeam]], AS$31) + SUMIFS(Table2[[HomeWon_]:[HomeWon_]], Table2[[GameIsOver]:[GameIsOver]],1,Table2[[HomeTeam]:[HomeTeam]],$T7, Table2[[AwayTeam]:[AwayTeam]], AS$31))) + (0*(SUMIFS(Table2[[HomeWon_]:[HomeWon_]], Table2[[GameIsOver]:[GameIsOver]],1,Table2[[AwayTeam]:[AwayTeam]],$T37, Table2[[HomeTeam]:[HomeTeam]], AS$31, Table2[[ActualResult]:[ActualResult]], "REG") + SUMIFS(Table2[[AwayWon]:[AwayWon]], Table2[[GameIsOver]:[GameIsOver]],1,Table2[[HomeTeam]:[HomeTeam]],$T37, Table2[[AwayTeam]:[AwayTeam]], AS$31, Table2[[ActualResult]:[ActualResult]], "REG"))) + (1*(SUMIFS(Table2[[HomeWon_]:[HomeWon_]], Table2[[GameIsOver]:[GameIsOver]],1,Table2[[AwayTeam]:[AwayTeam]],$T37, Table2[[HomeTeam]:[HomeTeam]], AS$31, Table2[[ActualResult]:[ActualResult]], "OT") + SUMIFS(Table2[[AwayWon]:[AwayWon]], Table2[[GameIsOver]:[GameIsOver]],1,Table2[[HomeTeam]:[HomeTeam]],$T37, Table2[[AwayTeam]:[AwayTeam]], AS$31, Table2[[ActualResult]:[ActualResult]], "OT") + SUMIFS(Table2[[HomeWon_]:[HomeWon_]], Table2[[GameIsOver]:[GameIsOver]],1,Table2[[AwayTeam]:[AwayTeam]],$T37, Table2[[HomeTeam]:[HomeTeam]], AS$31, Table2[[ActualResult]:[ActualResult]], "SO") + SUMIFS(Table2[[AwayWon]:[AwayWon]], Table2[[GameIsOver]:[GameIsOver]],1,Table2[[HomeTeam]:[HomeTeam]],$T37, Table2[[AwayTeam]:[AwayTeam]], AS$31, Table2[[ActualResult]:[ActualResult]], "SO")))</f>
        <v>0</v>
      </c>
      <c r="AT37">
        <f>(2*(SUMIFS(Table2[[AwayWon]:[AwayWon]], Table2[[GameIsOver]:[GameIsOver]],1,Table2[[AwayTeam]:[AwayTeam]],$T37, Table2[[HomeTeam]:[HomeTeam]], AT$31) + SUMIFS(Table2[[HomeWon_]:[HomeWon_]], Table2[[GameIsOver]:[GameIsOver]],1,Table2[[HomeTeam]:[HomeTeam]],$T7, Table2[[AwayTeam]:[AwayTeam]], AT$31))) + (0*(SUMIFS(Table2[[HomeWon_]:[HomeWon_]], Table2[[GameIsOver]:[GameIsOver]],1,Table2[[AwayTeam]:[AwayTeam]],$T37, Table2[[HomeTeam]:[HomeTeam]], AT$31, Table2[[ActualResult]:[ActualResult]], "REG") + SUMIFS(Table2[[AwayWon]:[AwayWon]], Table2[[GameIsOver]:[GameIsOver]],1,Table2[[HomeTeam]:[HomeTeam]],$T37, Table2[[AwayTeam]:[AwayTeam]], AT$31, Table2[[ActualResult]:[ActualResult]], "REG"))) + (1*(SUMIFS(Table2[[HomeWon_]:[HomeWon_]], Table2[[GameIsOver]:[GameIsOver]],1,Table2[[AwayTeam]:[AwayTeam]],$T37, Table2[[HomeTeam]:[HomeTeam]], AT$31, Table2[[ActualResult]:[ActualResult]], "OT") + SUMIFS(Table2[[AwayWon]:[AwayWon]], Table2[[GameIsOver]:[GameIsOver]],1,Table2[[HomeTeam]:[HomeTeam]],$T37, Table2[[AwayTeam]:[AwayTeam]], AT$31, Table2[[ActualResult]:[ActualResult]], "OT") + SUMIFS(Table2[[HomeWon_]:[HomeWon_]], Table2[[GameIsOver]:[GameIsOver]],1,Table2[[AwayTeam]:[AwayTeam]],$T37, Table2[[HomeTeam]:[HomeTeam]], AT$31, Table2[[ActualResult]:[ActualResult]], "SO") + SUMIFS(Table2[[AwayWon]:[AwayWon]], Table2[[GameIsOver]:[GameIsOver]],1,Table2[[HomeTeam]:[HomeTeam]],$T37, Table2[[AwayTeam]:[AwayTeam]], AT$31, Table2[[ActualResult]:[ActualResult]], "SO")))</f>
        <v>0</v>
      </c>
      <c r="AU37">
        <f>(2*(SUMIFS(Table2[[AwayWon]:[AwayWon]], Table2[[GameIsOver]:[GameIsOver]],1,Table2[[AwayTeam]:[AwayTeam]],$T37, Table2[[HomeTeam]:[HomeTeam]], AU$31) + SUMIFS(Table2[[HomeWon_]:[HomeWon_]], Table2[[GameIsOver]:[GameIsOver]],1,Table2[[HomeTeam]:[HomeTeam]],$T7, Table2[[AwayTeam]:[AwayTeam]], AU$31))) + (0*(SUMIFS(Table2[[HomeWon_]:[HomeWon_]], Table2[[GameIsOver]:[GameIsOver]],1,Table2[[AwayTeam]:[AwayTeam]],$T37, Table2[[HomeTeam]:[HomeTeam]], AU$31, Table2[[ActualResult]:[ActualResult]], "REG") + SUMIFS(Table2[[AwayWon]:[AwayWon]], Table2[[GameIsOver]:[GameIsOver]],1,Table2[[HomeTeam]:[HomeTeam]],$T37, Table2[[AwayTeam]:[AwayTeam]], AU$31, Table2[[ActualResult]:[ActualResult]], "REG"))) + (1*(SUMIFS(Table2[[HomeWon_]:[HomeWon_]], Table2[[GameIsOver]:[GameIsOver]],1,Table2[[AwayTeam]:[AwayTeam]],$T37, Table2[[HomeTeam]:[HomeTeam]], AU$31, Table2[[ActualResult]:[ActualResult]], "OT") + SUMIFS(Table2[[AwayWon]:[AwayWon]], Table2[[GameIsOver]:[GameIsOver]],1,Table2[[HomeTeam]:[HomeTeam]],$T37, Table2[[AwayTeam]:[AwayTeam]], AU$31, Table2[[ActualResult]:[ActualResult]], "OT") + SUMIFS(Table2[[HomeWon_]:[HomeWon_]], Table2[[GameIsOver]:[GameIsOver]],1,Table2[[AwayTeam]:[AwayTeam]],$T37, Table2[[HomeTeam]:[HomeTeam]], AU$31, Table2[[ActualResult]:[ActualResult]], "SO") + SUMIFS(Table2[[AwayWon]:[AwayWon]], Table2[[GameIsOver]:[GameIsOver]],1,Table2[[HomeTeam]:[HomeTeam]],$T37, Table2[[AwayTeam]:[AwayTeam]], AU$31, Table2[[ActualResult]:[ActualResult]], "SO")))</f>
        <v>0</v>
      </c>
      <c r="AV37">
        <f>(2*(SUMIFS(Table2[[AwayWon]:[AwayWon]], Table2[[GameIsOver]:[GameIsOver]],1,Table2[[AwayTeam]:[AwayTeam]],$T37, Table2[[HomeTeam]:[HomeTeam]], AV$31) + SUMIFS(Table2[[HomeWon_]:[HomeWon_]], Table2[[GameIsOver]:[GameIsOver]],1,Table2[[HomeTeam]:[HomeTeam]],$T7, Table2[[AwayTeam]:[AwayTeam]], AV$31))) + (0*(SUMIFS(Table2[[HomeWon_]:[HomeWon_]], Table2[[GameIsOver]:[GameIsOver]],1,Table2[[AwayTeam]:[AwayTeam]],$T37, Table2[[HomeTeam]:[HomeTeam]], AV$31, Table2[[ActualResult]:[ActualResult]], "REG") + SUMIFS(Table2[[AwayWon]:[AwayWon]], Table2[[GameIsOver]:[GameIsOver]],1,Table2[[HomeTeam]:[HomeTeam]],$T37, Table2[[AwayTeam]:[AwayTeam]], AV$31, Table2[[ActualResult]:[ActualResult]], "REG"))) + (1*(SUMIFS(Table2[[HomeWon_]:[HomeWon_]], Table2[[GameIsOver]:[GameIsOver]],1,Table2[[AwayTeam]:[AwayTeam]],$T37, Table2[[HomeTeam]:[HomeTeam]], AV$31, Table2[[ActualResult]:[ActualResult]], "OT") + SUMIFS(Table2[[AwayWon]:[AwayWon]], Table2[[GameIsOver]:[GameIsOver]],1,Table2[[HomeTeam]:[HomeTeam]],$T37, Table2[[AwayTeam]:[AwayTeam]], AV$31, Table2[[ActualResult]:[ActualResult]], "OT") + SUMIFS(Table2[[HomeWon_]:[HomeWon_]], Table2[[GameIsOver]:[GameIsOver]],1,Table2[[AwayTeam]:[AwayTeam]],$T37, Table2[[HomeTeam]:[HomeTeam]], AV$31, Table2[[ActualResult]:[ActualResult]], "SO") + SUMIFS(Table2[[AwayWon]:[AwayWon]], Table2[[GameIsOver]:[GameIsOver]],1,Table2[[HomeTeam]:[HomeTeam]],$T37, Table2[[AwayTeam]:[AwayTeam]], AV$31, Table2[[ActualResult]:[ActualResult]], "SO")))</f>
        <v>0</v>
      </c>
      <c r="AW37">
        <f>(2*(SUMIFS(Table2[[AwayWon]:[AwayWon]], Table2[[GameIsOver]:[GameIsOver]],1,Table2[[AwayTeam]:[AwayTeam]],$T37, Table2[[HomeTeam]:[HomeTeam]], AW$31) + SUMIFS(Table2[[HomeWon_]:[HomeWon_]], Table2[[GameIsOver]:[GameIsOver]],1,Table2[[HomeTeam]:[HomeTeam]],$T7, Table2[[AwayTeam]:[AwayTeam]], AW$31))) + (0*(SUMIFS(Table2[[HomeWon_]:[HomeWon_]], Table2[[GameIsOver]:[GameIsOver]],1,Table2[[AwayTeam]:[AwayTeam]],$T37, Table2[[HomeTeam]:[HomeTeam]], AW$31, Table2[[ActualResult]:[ActualResult]], "REG") + SUMIFS(Table2[[AwayWon]:[AwayWon]], Table2[[GameIsOver]:[GameIsOver]],1,Table2[[HomeTeam]:[HomeTeam]],$T37, Table2[[AwayTeam]:[AwayTeam]], AW$31, Table2[[ActualResult]:[ActualResult]], "REG"))) + (1*(SUMIFS(Table2[[HomeWon_]:[HomeWon_]], Table2[[GameIsOver]:[GameIsOver]],1,Table2[[AwayTeam]:[AwayTeam]],$T37, Table2[[HomeTeam]:[HomeTeam]], AW$31, Table2[[ActualResult]:[ActualResult]], "OT") + SUMIFS(Table2[[AwayWon]:[AwayWon]], Table2[[GameIsOver]:[GameIsOver]],1,Table2[[HomeTeam]:[HomeTeam]],$T37, Table2[[AwayTeam]:[AwayTeam]], AW$31, Table2[[ActualResult]:[ActualResult]], "OT") + SUMIFS(Table2[[HomeWon_]:[HomeWon_]], Table2[[GameIsOver]:[GameIsOver]],1,Table2[[AwayTeam]:[AwayTeam]],$T37, Table2[[HomeTeam]:[HomeTeam]], AW$31, Table2[[ActualResult]:[ActualResult]], "SO") + SUMIFS(Table2[[AwayWon]:[AwayWon]], Table2[[GameIsOver]:[GameIsOver]],1,Table2[[HomeTeam]:[HomeTeam]],$T37, Table2[[AwayTeam]:[AwayTeam]], AW$31, Table2[[ActualResult]:[ActualResult]], "SO")))</f>
        <v>0</v>
      </c>
      <c r="AX37">
        <f>(2*(SUMIFS(Table2[[AwayWon]:[AwayWon]], Table2[[GameIsOver]:[GameIsOver]],1,Table2[[AwayTeam]:[AwayTeam]],$T37, Table2[[HomeTeam]:[HomeTeam]], AX$31) + SUMIFS(Table2[[HomeWon_]:[HomeWon_]], Table2[[GameIsOver]:[GameIsOver]],1,Table2[[HomeTeam]:[HomeTeam]],$T7, Table2[[AwayTeam]:[AwayTeam]], AX$31))) + (0*(SUMIFS(Table2[[HomeWon_]:[HomeWon_]], Table2[[GameIsOver]:[GameIsOver]],1,Table2[[AwayTeam]:[AwayTeam]],$T37, Table2[[HomeTeam]:[HomeTeam]], AX$31, Table2[[ActualResult]:[ActualResult]], "REG") + SUMIFS(Table2[[AwayWon]:[AwayWon]], Table2[[GameIsOver]:[GameIsOver]],1,Table2[[HomeTeam]:[HomeTeam]],$T37, Table2[[AwayTeam]:[AwayTeam]], AX$31, Table2[[ActualResult]:[ActualResult]], "REG"))) + (1*(SUMIFS(Table2[[HomeWon_]:[HomeWon_]], Table2[[GameIsOver]:[GameIsOver]],1,Table2[[AwayTeam]:[AwayTeam]],$T37, Table2[[HomeTeam]:[HomeTeam]], AX$31, Table2[[ActualResult]:[ActualResult]], "OT") + SUMIFS(Table2[[AwayWon]:[AwayWon]], Table2[[GameIsOver]:[GameIsOver]],1,Table2[[HomeTeam]:[HomeTeam]],$T37, Table2[[AwayTeam]:[AwayTeam]], AX$31, Table2[[ActualResult]:[ActualResult]], "OT") + SUMIFS(Table2[[HomeWon_]:[HomeWon_]], Table2[[GameIsOver]:[GameIsOver]],1,Table2[[AwayTeam]:[AwayTeam]],$T37, Table2[[HomeTeam]:[HomeTeam]], AX$31, Table2[[ActualResult]:[ActualResult]], "SO") + SUMIFS(Table2[[AwayWon]:[AwayWon]], Table2[[GameIsOver]:[GameIsOver]],1,Table2[[HomeTeam]:[HomeTeam]],$T37, Table2[[AwayTeam]:[AwayTeam]], AX$31, Table2[[ActualResult]:[ActualResult]], "SO")))</f>
        <v>0</v>
      </c>
      <c r="AY37">
        <f>(2*(SUMIFS(Table2[[AwayWon]:[AwayWon]], Table2[[GameIsOver]:[GameIsOver]],1,Table2[[AwayTeam]:[AwayTeam]],$T37, Table2[[HomeTeam]:[HomeTeam]], AY$31) + SUMIFS(Table2[[HomeWon_]:[HomeWon_]], Table2[[GameIsOver]:[GameIsOver]],1,Table2[[HomeTeam]:[HomeTeam]],$T7, Table2[[AwayTeam]:[AwayTeam]], AY$31))) + (0*(SUMIFS(Table2[[HomeWon_]:[HomeWon_]], Table2[[GameIsOver]:[GameIsOver]],1,Table2[[AwayTeam]:[AwayTeam]],$T37, Table2[[HomeTeam]:[HomeTeam]], AY$31, Table2[[ActualResult]:[ActualResult]], "REG") + SUMIFS(Table2[[AwayWon]:[AwayWon]], Table2[[GameIsOver]:[GameIsOver]],1,Table2[[HomeTeam]:[HomeTeam]],$T37, Table2[[AwayTeam]:[AwayTeam]], AY$31, Table2[[ActualResult]:[ActualResult]], "REG"))) + (1*(SUMIFS(Table2[[HomeWon_]:[HomeWon_]], Table2[[GameIsOver]:[GameIsOver]],1,Table2[[AwayTeam]:[AwayTeam]],$T37, Table2[[HomeTeam]:[HomeTeam]], AY$31, Table2[[ActualResult]:[ActualResult]], "OT") + SUMIFS(Table2[[AwayWon]:[AwayWon]], Table2[[GameIsOver]:[GameIsOver]],1,Table2[[HomeTeam]:[HomeTeam]],$T37, Table2[[AwayTeam]:[AwayTeam]], AY$31, Table2[[ActualResult]:[ActualResult]], "OT") + SUMIFS(Table2[[HomeWon_]:[HomeWon_]], Table2[[GameIsOver]:[GameIsOver]],1,Table2[[AwayTeam]:[AwayTeam]],$T37, Table2[[HomeTeam]:[HomeTeam]], AY$31, Table2[[ActualResult]:[ActualResult]], "SO") + SUMIFS(Table2[[AwayWon]:[AwayWon]], Table2[[GameIsOver]:[GameIsOver]],1,Table2[[HomeTeam]:[HomeTeam]],$T37, Table2[[AwayTeam]:[AwayTeam]], AY$31, Table2[[ActualResult]:[ActualResult]], "SO")))</f>
        <v>0</v>
      </c>
      <c r="AZ37">
        <f>(2*(SUMIFS(Table2[[AwayWon]:[AwayWon]], Table2[[GameIsOver]:[GameIsOver]],1,Table2[[AwayTeam]:[AwayTeam]],$T37, Table2[[HomeTeam]:[HomeTeam]], AZ$31) + SUMIFS(Table2[[HomeWon_]:[HomeWon_]], Table2[[GameIsOver]:[GameIsOver]],1,Table2[[HomeTeam]:[HomeTeam]],$T7, Table2[[AwayTeam]:[AwayTeam]], AZ$31))) + (0*(SUMIFS(Table2[[HomeWon_]:[HomeWon_]], Table2[[GameIsOver]:[GameIsOver]],1,Table2[[AwayTeam]:[AwayTeam]],$T37, Table2[[HomeTeam]:[HomeTeam]], AZ$31, Table2[[ActualResult]:[ActualResult]], "REG") + SUMIFS(Table2[[AwayWon]:[AwayWon]], Table2[[GameIsOver]:[GameIsOver]],1,Table2[[HomeTeam]:[HomeTeam]],$T37, Table2[[AwayTeam]:[AwayTeam]], AZ$31, Table2[[ActualResult]:[ActualResult]], "REG"))) + (1*(SUMIFS(Table2[[HomeWon_]:[HomeWon_]], Table2[[GameIsOver]:[GameIsOver]],1,Table2[[AwayTeam]:[AwayTeam]],$T37, Table2[[HomeTeam]:[HomeTeam]], AZ$31, Table2[[ActualResult]:[ActualResult]], "OT") + SUMIFS(Table2[[AwayWon]:[AwayWon]], Table2[[GameIsOver]:[GameIsOver]],1,Table2[[HomeTeam]:[HomeTeam]],$T37, Table2[[AwayTeam]:[AwayTeam]], AZ$31, Table2[[ActualResult]:[ActualResult]], "OT") + SUMIFS(Table2[[HomeWon_]:[HomeWon_]], Table2[[GameIsOver]:[GameIsOver]],1,Table2[[AwayTeam]:[AwayTeam]],$T37, Table2[[HomeTeam]:[HomeTeam]], AZ$31, Table2[[ActualResult]:[ActualResult]], "SO") + SUMIFS(Table2[[AwayWon]:[AwayWon]], Table2[[GameIsOver]:[GameIsOver]],1,Table2[[HomeTeam]:[HomeTeam]],$T37, Table2[[AwayTeam]:[AwayTeam]], AZ$31, Table2[[ActualResult]:[ActualResult]], "SO")))</f>
        <v>0</v>
      </c>
      <c r="BA37">
        <f>(2*(SUMIFS(Table2[[AwayWon]:[AwayWon]], Table2[[GameIsOver]:[GameIsOver]],1,Table2[[AwayTeam]:[AwayTeam]],$T37, Table2[[HomeTeam]:[HomeTeam]], BA$31) + SUMIFS(Table2[[HomeWon_]:[HomeWon_]], Table2[[GameIsOver]:[GameIsOver]],1,Table2[[HomeTeam]:[HomeTeam]],$T7, Table2[[AwayTeam]:[AwayTeam]], BA$31))) + (0*(SUMIFS(Table2[[HomeWon_]:[HomeWon_]], Table2[[GameIsOver]:[GameIsOver]],1,Table2[[AwayTeam]:[AwayTeam]],$T37, Table2[[HomeTeam]:[HomeTeam]], BA$31, Table2[[ActualResult]:[ActualResult]], "REG") + SUMIFS(Table2[[AwayWon]:[AwayWon]], Table2[[GameIsOver]:[GameIsOver]],1,Table2[[HomeTeam]:[HomeTeam]],$T37, Table2[[AwayTeam]:[AwayTeam]], BA$31, Table2[[ActualResult]:[ActualResult]], "REG"))) + (1*(SUMIFS(Table2[[HomeWon_]:[HomeWon_]], Table2[[GameIsOver]:[GameIsOver]],1,Table2[[AwayTeam]:[AwayTeam]],$T37, Table2[[HomeTeam]:[HomeTeam]], BA$31, Table2[[ActualResult]:[ActualResult]], "OT") + SUMIFS(Table2[[AwayWon]:[AwayWon]], Table2[[GameIsOver]:[GameIsOver]],1,Table2[[HomeTeam]:[HomeTeam]],$T37, Table2[[AwayTeam]:[AwayTeam]], BA$31, Table2[[ActualResult]:[ActualResult]], "OT") + SUMIFS(Table2[[HomeWon_]:[HomeWon_]], Table2[[GameIsOver]:[GameIsOver]],1,Table2[[AwayTeam]:[AwayTeam]],$T37, Table2[[HomeTeam]:[HomeTeam]], BA$31, Table2[[ActualResult]:[ActualResult]], "SO") + SUMIFS(Table2[[AwayWon]:[AwayWon]], Table2[[GameIsOver]:[GameIsOver]],1,Table2[[HomeTeam]:[HomeTeam]],$T37, Table2[[AwayTeam]:[AwayTeam]], BA$31, Table2[[ActualResult]:[ActualResult]], "SO")))</f>
        <v>2</v>
      </c>
    </row>
    <row r="38" spans="1:53" x14ac:dyDescent="0.25">
      <c r="S38">
        <v>2</v>
      </c>
      <c r="T38" t="str" cm="1">
        <f t="array" ref="T38">INDEX(Table6[Teams], SMALL(IF(Table6[D]="A", ROW(Table6[Teams])-ROW(Table6[#Headers])), Table71214[[#This Row],[ATL]]))</f>
        <v>BUF</v>
      </c>
      <c r="U38">
        <f>INDEX(Table6[PTS], MATCH($T38, Table6[Teams], 0))</f>
        <v>4</v>
      </c>
      <c r="V38">
        <f>(2*(SUMIFS(Table2[[AwayWon]:[AwayWon]], Table2[[GameIsOver]:[GameIsOver]],1,Table2[[AwayTeam]:[AwayTeam]],$T38, Table2[[HomeTeam]:[HomeTeam]], V$31) + SUMIFS(Table2[[HomeWon_]:[HomeWon_]], Table2[[GameIsOver]:[GameIsOver]],1,Table2[[HomeTeam]:[HomeTeam]],$T8, Table2[[AwayTeam]:[AwayTeam]], V$31))) + (0*(SUMIFS(Table2[[HomeWon_]:[HomeWon_]], Table2[[GameIsOver]:[GameIsOver]],1,Table2[[AwayTeam]:[AwayTeam]],$T38, Table2[[HomeTeam]:[HomeTeam]], V$31, Table2[[ActualResult]:[ActualResult]], "REG") + SUMIFS(Table2[[AwayWon]:[AwayWon]], Table2[[GameIsOver]:[GameIsOver]],1,Table2[[HomeTeam]:[HomeTeam]],$T38, Table2[[AwayTeam]:[AwayTeam]], V$31, Table2[[ActualResult]:[ActualResult]], "REG"))) + (1*(SUMIFS(Table2[[HomeWon_]:[HomeWon_]], Table2[[GameIsOver]:[GameIsOver]],1,Table2[[AwayTeam]:[AwayTeam]],$T38, Table2[[HomeTeam]:[HomeTeam]], V$31, Table2[[ActualResult]:[ActualResult]], "OT") + SUMIFS(Table2[[AwayWon]:[AwayWon]], Table2[[GameIsOver]:[GameIsOver]],1,Table2[[HomeTeam]:[HomeTeam]],$T38, Table2[[AwayTeam]:[AwayTeam]], V$31, Table2[[ActualResult]:[ActualResult]], "OT") + SUMIFS(Table2[[HomeWon_]:[HomeWon_]], Table2[[GameIsOver]:[GameIsOver]],1,Table2[[AwayTeam]:[AwayTeam]],$T38, Table2[[HomeTeam]:[HomeTeam]], V$31, Table2[[ActualResult]:[ActualResult]], "SO") + SUMIFS(Table2[[AwayWon]:[AwayWon]], Table2[[GameIsOver]:[GameIsOver]],1,Table2[[HomeTeam]:[HomeTeam]],$T38, Table2[[AwayTeam]:[AwayTeam]], V$31, Table2[[ActualResult]:[ActualResult]], "SO")))</f>
        <v>2</v>
      </c>
      <c r="W38">
        <f>(2*(SUMIFS(Table2[[AwayWon]:[AwayWon]], Table2[[GameIsOver]:[GameIsOver]],1,Table2[[AwayTeam]:[AwayTeam]],$T38, Table2[[HomeTeam]:[HomeTeam]], W$31) + SUMIFS(Table2[[HomeWon_]:[HomeWon_]], Table2[[GameIsOver]:[GameIsOver]],1,Table2[[HomeTeam]:[HomeTeam]],$T8, Table2[[AwayTeam]:[AwayTeam]], W$31))) + (0*(SUMIFS(Table2[[HomeWon_]:[HomeWon_]], Table2[[GameIsOver]:[GameIsOver]],1,Table2[[AwayTeam]:[AwayTeam]],$T38, Table2[[HomeTeam]:[HomeTeam]], W$31, Table2[[ActualResult]:[ActualResult]], "REG") + SUMIFS(Table2[[AwayWon]:[AwayWon]], Table2[[GameIsOver]:[GameIsOver]],1,Table2[[HomeTeam]:[HomeTeam]],$T38, Table2[[AwayTeam]:[AwayTeam]], W$31, Table2[[ActualResult]:[ActualResult]], "REG"))) + (1*(SUMIFS(Table2[[HomeWon_]:[HomeWon_]], Table2[[GameIsOver]:[GameIsOver]],1,Table2[[AwayTeam]:[AwayTeam]],$T38, Table2[[HomeTeam]:[HomeTeam]], W$31, Table2[[ActualResult]:[ActualResult]], "OT") + SUMIFS(Table2[[AwayWon]:[AwayWon]], Table2[[GameIsOver]:[GameIsOver]],1,Table2[[HomeTeam]:[HomeTeam]],$T38, Table2[[AwayTeam]:[AwayTeam]], W$31, Table2[[ActualResult]:[ActualResult]], "OT") + SUMIFS(Table2[[HomeWon_]:[HomeWon_]], Table2[[GameIsOver]:[GameIsOver]],1,Table2[[AwayTeam]:[AwayTeam]],$T38, Table2[[HomeTeam]:[HomeTeam]], W$31, Table2[[ActualResult]:[ActualResult]], "SO") + SUMIFS(Table2[[AwayWon]:[AwayWon]], Table2[[GameIsOver]:[GameIsOver]],1,Table2[[HomeTeam]:[HomeTeam]],$T38, Table2[[AwayTeam]:[AwayTeam]], W$31, Table2[[ActualResult]:[ActualResult]], "SO")))</f>
        <v>0</v>
      </c>
      <c r="X38">
        <f>(2*(SUMIFS(Table2[[AwayWon]:[AwayWon]], Table2[[GameIsOver]:[GameIsOver]],1,Table2[[AwayTeam]:[AwayTeam]],$T38, Table2[[HomeTeam]:[HomeTeam]], X$31) + SUMIFS(Table2[[HomeWon_]:[HomeWon_]], Table2[[GameIsOver]:[GameIsOver]],1,Table2[[HomeTeam]:[HomeTeam]],$T8, Table2[[AwayTeam]:[AwayTeam]], X$31))) + (0*(SUMIFS(Table2[[HomeWon_]:[HomeWon_]], Table2[[GameIsOver]:[GameIsOver]],1,Table2[[AwayTeam]:[AwayTeam]],$T38, Table2[[HomeTeam]:[HomeTeam]], X$31, Table2[[ActualResult]:[ActualResult]], "REG") + SUMIFS(Table2[[AwayWon]:[AwayWon]], Table2[[GameIsOver]:[GameIsOver]],1,Table2[[HomeTeam]:[HomeTeam]],$T38, Table2[[AwayTeam]:[AwayTeam]], X$31, Table2[[ActualResult]:[ActualResult]], "REG"))) + (1*(SUMIFS(Table2[[HomeWon_]:[HomeWon_]], Table2[[GameIsOver]:[GameIsOver]],1,Table2[[AwayTeam]:[AwayTeam]],$T38, Table2[[HomeTeam]:[HomeTeam]], X$31, Table2[[ActualResult]:[ActualResult]], "OT") + SUMIFS(Table2[[AwayWon]:[AwayWon]], Table2[[GameIsOver]:[GameIsOver]],1,Table2[[HomeTeam]:[HomeTeam]],$T38, Table2[[AwayTeam]:[AwayTeam]], X$31, Table2[[ActualResult]:[ActualResult]], "OT") + SUMIFS(Table2[[HomeWon_]:[HomeWon_]], Table2[[GameIsOver]:[GameIsOver]],1,Table2[[AwayTeam]:[AwayTeam]],$T38, Table2[[HomeTeam]:[HomeTeam]], X$31, Table2[[ActualResult]:[ActualResult]], "SO") + SUMIFS(Table2[[AwayWon]:[AwayWon]], Table2[[GameIsOver]:[GameIsOver]],1,Table2[[HomeTeam]:[HomeTeam]],$T38, Table2[[AwayTeam]:[AwayTeam]], X$31, Table2[[ActualResult]:[ActualResult]], "SO")))</f>
        <v>0</v>
      </c>
      <c r="Y38">
        <f>(2*(SUMIFS(Table2[[AwayWon]:[AwayWon]], Table2[[GameIsOver]:[GameIsOver]],1,Table2[[AwayTeam]:[AwayTeam]],$T38, Table2[[HomeTeam]:[HomeTeam]], Y$31) + SUMIFS(Table2[[HomeWon_]:[HomeWon_]], Table2[[GameIsOver]:[GameIsOver]],1,Table2[[HomeTeam]:[HomeTeam]],$T8, Table2[[AwayTeam]:[AwayTeam]], Y$31))) + (0*(SUMIFS(Table2[[HomeWon_]:[HomeWon_]], Table2[[GameIsOver]:[GameIsOver]],1,Table2[[AwayTeam]:[AwayTeam]],$T38, Table2[[HomeTeam]:[HomeTeam]], Y$31, Table2[[ActualResult]:[ActualResult]], "REG") + SUMIFS(Table2[[AwayWon]:[AwayWon]], Table2[[GameIsOver]:[GameIsOver]],1,Table2[[HomeTeam]:[HomeTeam]],$T38, Table2[[AwayTeam]:[AwayTeam]], Y$31, Table2[[ActualResult]:[ActualResult]], "REG"))) + (1*(SUMIFS(Table2[[HomeWon_]:[HomeWon_]], Table2[[GameIsOver]:[GameIsOver]],1,Table2[[AwayTeam]:[AwayTeam]],$T38, Table2[[HomeTeam]:[HomeTeam]], Y$31, Table2[[ActualResult]:[ActualResult]], "OT") + SUMIFS(Table2[[AwayWon]:[AwayWon]], Table2[[GameIsOver]:[GameIsOver]],1,Table2[[HomeTeam]:[HomeTeam]],$T38, Table2[[AwayTeam]:[AwayTeam]], Y$31, Table2[[ActualResult]:[ActualResult]], "OT") + SUMIFS(Table2[[HomeWon_]:[HomeWon_]], Table2[[GameIsOver]:[GameIsOver]],1,Table2[[AwayTeam]:[AwayTeam]],$T38, Table2[[HomeTeam]:[HomeTeam]], Y$31, Table2[[ActualResult]:[ActualResult]], "SO") + SUMIFS(Table2[[AwayWon]:[AwayWon]], Table2[[GameIsOver]:[GameIsOver]],1,Table2[[HomeTeam]:[HomeTeam]],$T38, Table2[[AwayTeam]:[AwayTeam]], Y$31, Table2[[ActualResult]:[ActualResult]], "SO")))</f>
        <v>0</v>
      </c>
      <c r="Z38">
        <f>(2*(SUMIFS(Table2[[AwayWon]:[AwayWon]], Table2[[GameIsOver]:[GameIsOver]],1,Table2[[AwayTeam]:[AwayTeam]],$T38, Table2[[HomeTeam]:[HomeTeam]], Z$31) + SUMIFS(Table2[[HomeWon_]:[HomeWon_]], Table2[[GameIsOver]:[GameIsOver]],1,Table2[[HomeTeam]:[HomeTeam]],$T8, Table2[[AwayTeam]:[AwayTeam]], Z$31))) + (0*(SUMIFS(Table2[[HomeWon_]:[HomeWon_]], Table2[[GameIsOver]:[GameIsOver]],1,Table2[[AwayTeam]:[AwayTeam]],$T38, Table2[[HomeTeam]:[HomeTeam]], Z$31, Table2[[ActualResult]:[ActualResult]], "REG") + SUMIFS(Table2[[AwayWon]:[AwayWon]], Table2[[GameIsOver]:[GameIsOver]],1,Table2[[HomeTeam]:[HomeTeam]],$T38, Table2[[AwayTeam]:[AwayTeam]], Z$31, Table2[[ActualResult]:[ActualResult]], "REG"))) + (1*(SUMIFS(Table2[[HomeWon_]:[HomeWon_]], Table2[[GameIsOver]:[GameIsOver]],1,Table2[[AwayTeam]:[AwayTeam]],$T38, Table2[[HomeTeam]:[HomeTeam]], Z$31, Table2[[ActualResult]:[ActualResult]], "OT") + SUMIFS(Table2[[AwayWon]:[AwayWon]], Table2[[GameIsOver]:[GameIsOver]],1,Table2[[HomeTeam]:[HomeTeam]],$T38, Table2[[AwayTeam]:[AwayTeam]], Z$31, Table2[[ActualResult]:[ActualResult]], "OT") + SUMIFS(Table2[[HomeWon_]:[HomeWon_]], Table2[[GameIsOver]:[GameIsOver]],1,Table2[[AwayTeam]:[AwayTeam]],$T38, Table2[[HomeTeam]:[HomeTeam]], Z$31, Table2[[ActualResult]:[ActualResult]], "SO") + SUMIFS(Table2[[AwayWon]:[AwayWon]], Table2[[GameIsOver]:[GameIsOver]],1,Table2[[HomeTeam]:[HomeTeam]],$T38, Table2[[AwayTeam]:[AwayTeam]], Z$31, Table2[[ActualResult]:[ActualResult]], "SO")))</f>
        <v>0</v>
      </c>
      <c r="AA38">
        <f>(2*(SUMIFS(Table2[[AwayWon]:[AwayWon]], Table2[[GameIsOver]:[GameIsOver]],1,Table2[[AwayTeam]:[AwayTeam]],$T38, Table2[[HomeTeam]:[HomeTeam]], AA$31) + SUMIFS(Table2[[HomeWon_]:[HomeWon_]], Table2[[GameIsOver]:[GameIsOver]],1,Table2[[HomeTeam]:[HomeTeam]],$T8, Table2[[AwayTeam]:[AwayTeam]], AA$31))) + (0*(SUMIFS(Table2[[HomeWon_]:[HomeWon_]], Table2[[GameIsOver]:[GameIsOver]],1,Table2[[AwayTeam]:[AwayTeam]],$T38, Table2[[HomeTeam]:[HomeTeam]], AA$31, Table2[[ActualResult]:[ActualResult]], "REG") + SUMIFS(Table2[[AwayWon]:[AwayWon]], Table2[[GameIsOver]:[GameIsOver]],1,Table2[[HomeTeam]:[HomeTeam]],$T38, Table2[[AwayTeam]:[AwayTeam]], AA$31, Table2[[ActualResult]:[ActualResult]], "REG"))) + (1*(SUMIFS(Table2[[HomeWon_]:[HomeWon_]], Table2[[GameIsOver]:[GameIsOver]],1,Table2[[AwayTeam]:[AwayTeam]],$T38, Table2[[HomeTeam]:[HomeTeam]], AA$31, Table2[[ActualResult]:[ActualResult]], "OT") + SUMIFS(Table2[[AwayWon]:[AwayWon]], Table2[[GameIsOver]:[GameIsOver]],1,Table2[[HomeTeam]:[HomeTeam]],$T38, Table2[[AwayTeam]:[AwayTeam]], AA$31, Table2[[ActualResult]:[ActualResult]], "OT") + SUMIFS(Table2[[HomeWon_]:[HomeWon_]], Table2[[GameIsOver]:[GameIsOver]],1,Table2[[AwayTeam]:[AwayTeam]],$T38, Table2[[HomeTeam]:[HomeTeam]], AA$31, Table2[[ActualResult]:[ActualResult]], "SO") + SUMIFS(Table2[[AwayWon]:[AwayWon]], Table2[[GameIsOver]:[GameIsOver]],1,Table2[[HomeTeam]:[HomeTeam]],$T38, Table2[[AwayTeam]:[AwayTeam]], AA$31, Table2[[ActualResult]:[ActualResult]], "SO")))</f>
        <v>0</v>
      </c>
      <c r="AB38">
        <f>(2*(SUMIFS(Table2[[AwayWon]:[AwayWon]], Table2[[GameIsOver]:[GameIsOver]],1,Table2[[AwayTeam]:[AwayTeam]],$T38, Table2[[HomeTeam]:[HomeTeam]], AB$31) + SUMIFS(Table2[[HomeWon_]:[HomeWon_]], Table2[[GameIsOver]:[GameIsOver]],1,Table2[[HomeTeam]:[HomeTeam]],$T8, Table2[[AwayTeam]:[AwayTeam]], AB$31))) + (0*(SUMIFS(Table2[[HomeWon_]:[HomeWon_]], Table2[[GameIsOver]:[GameIsOver]],1,Table2[[AwayTeam]:[AwayTeam]],$T38, Table2[[HomeTeam]:[HomeTeam]], AB$31, Table2[[ActualResult]:[ActualResult]], "REG") + SUMIFS(Table2[[AwayWon]:[AwayWon]], Table2[[GameIsOver]:[GameIsOver]],1,Table2[[HomeTeam]:[HomeTeam]],$T38, Table2[[AwayTeam]:[AwayTeam]], AB$31, Table2[[ActualResult]:[ActualResult]], "REG"))) + (1*(SUMIFS(Table2[[HomeWon_]:[HomeWon_]], Table2[[GameIsOver]:[GameIsOver]],1,Table2[[AwayTeam]:[AwayTeam]],$T38, Table2[[HomeTeam]:[HomeTeam]], AB$31, Table2[[ActualResult]:[ActualResult]], "OT") + SUMIFS(Table2[[AwayWon]:[AwayWon]], Table2[[GameIsOver]:[GameIsOver]],1,Table2[[HomeTeam]:[HomeTeam]],$T38, Table2[[AwayTeam]:[AwayTeam]], AB$31, Table2[[ActualResult]:[ActualResult]], "OT") + SUMIFS(Table2[[HomeWon_]:[HomeWon_]], Table2[[GameIsOver]:[GameIsOver]],1,Table2[[AwayTeam]:[AwayTeam]],$T38, Table2[[HomeTeam]:[HomeTeam]], AB$31, Table2[[ActualResult]:[ActualResult]], "SO") + SUMIFS(Table2[[AwayWon]:[AwayWon]], Table2[[GameIsOver]:[GameIsOver]],1,Table2[[HomeTeam]:[HomeTeam]],$T38, Table2[[AwayTeam]:[AwayTeam]], AB$31, Table2[[ActualResult]:[ActualResult]], "SO")))</f>
        <v>0</v>
      </c>
      <c r="AC38">
        <f>(2*(SUMIFS(Table2[[AwayWon]:[AwayWon]], Table2[[GameIsOver]:[GameIsOver]],1,Table2[[AwayTeam]:[AwayTeam]],$T38, Table2[[HomeTeam]:[HomeTeam]], AC$31) + SUMIFS(Table2[[HomeWon_]:[HomeWon_]], Table2[[GameIsOver]:[GameIsOver]],1,Table2[[HomeTeam]:[HomeTeam]],$T8, Table2[[AwayTeam]:[AwayTeam]], AC$31))) + (0*(SUMIFS(Table2[[HomeWon_]:[HomeWon_]], Table2[[GameIsOver]:[GameIsOver]],1,Table2[[AwayTeam]:[AwayTeam]],$T38, Table2[[HomeTeam]:[HomeTeam]], AC$31, Table2[[ActualResult]:[ActualResult]], "REG") + SUMIFS(Table2[[AwayWon]:[AwayWon]], Table2[[GameIsOver]:[GameIsOver]],1,Table2[[HomeTeam]:[HomeTeam]],$T38, Table2[[AwayTeam]:[AwayTeam]], AC$31, Table2[[ActualResult]:[ActualResult]], "REG"))) + (1*(SUMIFS(Table2[[HomeWon_]:[HomeWon_]], Table2[[GameIsOver]:[GameIsOver]],1,Table2[[AwayTeam]:[AwayTeam]],$T38, Table2[[HomeTeam]:[HomeTeam]], AC$31, Table2[[ActualResult]:[ActualResult]], "OT") + SUMIFS(Table2[[AwayWon]:[AwayWon]], Table2[[GameIsOver]:[GameIsOver]],1,Table2[[HomeTeam]:[HomeTeam]],$T38, Table2[[AwayTeam]:[AwayTeam]], AC$31, Table2[[ActualResult]:[ActualResult]], "OT") + SUMIFS(Table2[[HomeWon_]:[HomeWon_]], Table2[[GameIsOver]:[GameIsOver]],1,Table2[[AwayTeam]:[AwayTeam]],$T38, Table2[[HomeTeam]:[HomeTeam]], AC$31, Table2[[ActualResult]:[ActualResult]], "SO") + SUMIFS(Table2[[AwayWon]:[AwayWon]], Table2[[GameIsOver]:[GameIsOver]],1,Table2[[HomeTeam]:[HomeTeam]],$T38, Table2[[AwayTeam]:[AwayTeam]], AC$31, Table2[[ActualResult]:[ActualResult]], "SO")))</f>
        <v>2</v>
      </c>
      <c r="AD38">
        <f>(2*(SUMIFS(Table2[[AwayWon]:[AwayWon]], Table2[[GameIsOver]:[GameIsOver]],1,Table2[[AwayTeam]:[AwayTeam]],$T38, Table2[[HomeTeam]:[HomeTeam]], AD$31) + SUMIFS(Table2[[HomeWon_]:[HomeWon_]], Table2[[GameIsOver]:[GameIsOver]],1,Table2[[HomeTeam]:[HomeTeam]],$T8, Table2[[AwayTeam]:[AwayTeam]], AD$31))) + (0*(SUMIFS(Table2[[HomeWon_]:[HomeWon_]], Table2[[GameIsOver]:[GameIsOver]],1,Table2[[AwayTeam]:[AwayTeam]],$T38, Table2[[HomeTeam]:[HomeTeam]], AD$31, Table2[[ActualResult]:[ActualResult]], "REG") + SUMIFS(Table2[[AwayWon]:[AwayWon]], Table2[[GameIsOver]:[GameIsOver]],1,Table2[[HomeTeam]:[HomeTeam]],$T38, Table2[[AwayTeam]:[AwayTeam]], AD$31, Table2[[ActualResult]:[ActualResult]], "REG"))) + (1*(SUMIFS(Table2[[HomeWon_]:[HomeWon_]], Table2[[GameIsOver]:[GameIsOver]],1,Table2[[AwayTeam]:[AwayTeam]],$T38, Table2[[HomeTeam]:[HomeTeam]], AD$31, Table2[[ActualResult]:[ActualResult]], "OT") + SUMIFS(Table2[[AwayWon]:[AwayWon]], Table2[[GameIsOver]:[GameIsOver]],1,Table2[[HomeTeam]:[HomeTeam]],$T38, Table2[[AwayTeam]:[AwayTeam]], AD$31, Table2[[ActualResult]:[ActualResult]], "OT") + SUMIFS(Table2[[HomeWon_]:[HomeWon_]], Table2[[GameIsOver]:[GameIsOver]],1,Table2[[AwayTeam]:[AwayTeam]],$T38, Table2[[HomeTeam]:[HomeTeam]], AD$31, Table2[[ActualResult]:[ActualResult]], "SO") + SUMIFS(Table2[[AwayWon]:[AwayWon]], Table2[[GameIsOver]:[GameIsOver]],1,Table2[[HomeTeam]:[HomeTeam]],$T38, Table2[[AwayTeam]:[AwayTeam]], AD$31, Table2[[ActualResult]:[ActualResult]], "SO")))</f>
        <v>0</v>
      </c>
      <c r="AE38">
        <f>(2*(SUMIFS(Table2[[AwayWon]:[AwayWon]], Table2[[GameIsOver]:[GameIsOver]],1,Table2[[AwayTeam]:[AwayTeam]],$T38, Table2[[HomeTeam]:[HomeTeam]], AE$31) + SUMIFS(Table2[[HomeWon_]:[HomeWon_]], Table2[[GameIsOver]:[GameIsOver]],1,Table2[[HomeTeam]:[HomeTeam]],$T8, Table2[[AwayTeam]:[AwayTeam]], AE$31))) + (0*(SUMIFS(Table2[[HomeWon_]:[HomeWon_]], Table2[[GameIsOver]:[GameIsOver]],1,Table2[[AwayTeam]:[AwayTeam]],$T38, Table2[[HomeTeam]:[HomeTeam]], AE$31, Table2[[ActualResult]:[ActualResult]], "REG") + SUMIFS(Table2[[AwayWon]:[AwayWon]], Table2[[GameIsOver]:[GameIsOver]],1,Table2[[HomeTeam]:[HomeTeam]],$T38, Table2[[AwayTeam]:[AwayTeam]], AE$31, Table2[[ActualResult]:[ActualResult]], "REG"))) + (1*(SUMIFS(Table2[[HomeWon_]:[HomeWon_]], Table2[[GameIsOver]:[GameIsOver]],1,Table2[[AwayTeam]:[AwayTeam]],$T38, Table2[[HomeTeam]:[HomeTeam]], AE$31, Table2[[ActualResult]:[ActualResult]], "OT") + SUMIFS(Table2[[AwayWon]:[AwayWon]], Table2[[GameIsOver]:[GameIsOver]],1,Table2[[HomeTeam]:[HomeTeam]],$T38, Table2[[AwayTeam]:[AwayTeam]], AE$31, Table2[[ActualResult]:[ActualResult]], "OT") + SUMIFS(Table2[[HomeWon_]:[HomeWon_]], Table2[[GameIsOver]:[GameIsOver]],1,Table2[[AwayTeam]:[AwayTeam]],$T38, Table2[[HomeTeam]:[HomeTeam]], AE$31, Table2[[ActualResult]:[ActualResult]], "SO") + SUMIFS(Table2[[AwayWon]:[AwayWon]], Table2[[GameIsOver]:[GameIsOver]],1,Table2[[HomeTeam]:[HomeTeam]],$T38, Table2[[AwayTeam]:[AwayTeam]], AE$31, Table2[[ActualResult]:[ActualResult]], "SO")))</f>
        <v>0</v>
      </c>
      <c r="AF38">
        <f>(2*(SUMIFS(Table2[[AwayWon]:[AwayWon]], Table2[[GameIsOver]:[GameIsOver]],1,Table2[[AwayTeam]:[AwayTeam]],$T38, Table2[[HomeTeam]:[HomeTeam]], AF$31) + SUMIFS(Table2[[HomeWon_]:[HomeWon_]], Table2[[GameIsOver]:[GameIsOver]],1,Table2[[HomeTeam]:[HomeTeam]],$T8, Table2[[AwayTeam]:[AwayTeam]], AF$31))) + (0*(SUMIFS(Table2[[HomeWon_]:[HomeWon_]], Table2[[GameIsOver]:[GameIsOver]],1,Table2[[AwayTeam]:[AwayTeam]],$T38, Table2[[HomeTeam]:[HomeTeam]], AF$31, Table2[[ActualResult]:[ActualResult]], "REG") + SUMIFS(Table2[[AwayWon]:[AwayWon]], Table2[[GameIsOver]:[GameIsOver]],1,Table2[[HomeTeam]:[HomeTeam]],$T38, Table2[[AwayTeam]:[AwayTeam]], AF$31, Table2[[ActualResult]:[ActualResult]], "REG"))) + (1*(SUMIFS(Table2[[HomeWon_]:[HomeWon_]], Table2[[GameIsOver]:[GameIsOver]],1,Table2[[AwayTeam]:[AwayTeam]],$T38, Table2[[HomeTeam]:[HomeTeam]], AF$31, Table2[[ActualResult]:[ActualResult]], "OT") + SUMIFS(Table2[[AwayWon]:[AwayWon]], Table2[[GameIsOver]:[GameIsOver]],1,Table2[[HomeTeam]:[HomeTeam]],$T38, Table2[[AwayTeam]:[AwayTeam]], AF$31, Table2[[ActualResult]:[ActualResult]], "OT") + SUMIFS(Table2[[HomeWon_]:[HomeWon_]], Table2[[GameIsOver]:[GameIsOver]],1,Table2[[AwayTeam]:[AwayTeam]],$T38, Table2[[HomeTeam]:[HomeTeam]], AF$31, Table2[[ActualResult]:[ActualResult]], "SO") + SUMIFS(Table2[[AwayWon]:[AwayWon]], Table2[[GameIsOver]:[GameIsOver]],1,Table2[[HomeTeam]:[HomeTeam]],$T38, Table2[[AwayTeam]:[AwayTeam]], AF$31, Table2[[ActualResult]:[ActualResult]], "SO")))</f>
        <v>0</v>
      </c>
      <c r="AG38">
        <f>(2*(SUMIFS(Table2[[AwayWon]:[AwayWon]], Table2[[GameIsOver]:[GameIsOver]],1,Table2[[AwayTeam]:[AwayTeam]],$T38, Table2[[HomeTeam]:[HomeTeam]], AG$31) + SUMIFS(Table2[[HomeWon_]:[HomeWon_]], Table2[[GameIsOver]:[GameIsOver]],1,Table2[[HomeTeam]:[HomeTeam]],$T8, Table2[[AwayTeam]:[AwayTeam]], AG$31))) + (0*(SUMIFS(Table2[[HomeWon_]:[HomeWon_]], Table2[[GameIsOver]:[GameIsOver]],1,Table2[[AwayTeam]:[AwayTeam]],$T38, Table2[[HomeTeam]:[HomeTeam]], AG$31, Table2[[ActualResult]:[ActualResult]], "REG") + SUMIFS(Table2[[AwayWon]:[AwayWon]], Table2[[GameIsOver]:[GameIsOver]],1,Table2[[HomeTeam]:[HomeTeam]],$T38, Table2[[AwayTeam]:[AwayTeam]], AG$31, Table2[[ActualResult]:[ActualResult]], "REG"))) + (1*(SUMIFS(Table2[[HomeWon_]:[HomeWon_]], Table2[[GameIsOver]:[GameIsOver]],1,Table2[[AwayTeam]:[AwayTeam]],$T38, Table2[[HomeTeam]:[HomeTeam]], AG$31, Table2[[ActualResult]:[ActualResult]], "OT") + SUMIFS(Table2[[AwayWon]:[AwayWon]], Table2[[GameIsOver]:[GameIsOver]],1,Table2[[HomeTeam]:[HomeTeam]],$T38, Table2[[AwayTeam]:[AwayTeam]], AG$31, Table2[[ActualResult]:[ActualResult]], "OT") + SUMIFS(Table2[[HomeWon_]:[HomeWon_]], Table2[[GameIsOver]:[GameIsOver]],1,Table2[[AwayTeam]:[AwayTeam]],$T38, Table2[[HomeTeam]:[HomeTeam]], AG$31, Table2[[ActualResult]:[ActualResult]], "SO") + SUMIFS(Table2[[AwayWon]:[AwayWon]], Table2[[GameIsOver]:[GameIsOver]],1,Table2[[HomeTeam]:[HomeTeam]],$T38, Table2[[AwayTeam]:[AwayTeam]], AG$31, Table2[[ActualResult]:[ActualResult]], "SO")))</f>
        <v>0</v>
      </c>
      <c r="AH38">
        <f>(2*(SUMIFS(Table2[[AwayWon]:[AwayWon]], Table2[[GameIsOver]:[GameIsOver]],1,Table2[[AwayTeam]:[AwayTeam]],$T38, Table2[[HomeTeam]:[HomeTeam]], AH$31) + SUMIFS(Table2[[HomeWon_]:[HomeWon_]], Table2[[GameIsOver]:[GameIsOver]],1,Table2[[HomeTeam]:[HomeTeam]],$T8, Table2[[AwayTeam]:[AwayTeam]], AH$31))) + (0*(SUMIFS(Table2[[HomeWon_]:[HomeWon_]], Table2[[GameIsOver]:[GameIsOver]],1,Table2[[AwayTeam]:[AwayTeam]],$T38, Table2[[HomeTeam]:[HomeTeam]], AH$31, Table2[[ActualResult]:[ActualResult]], "REG") + SUMIFS(Table2[[AwayWon]:[AwayWon]], Table2[[GameIsOver]:[GameIsOver]],1,Table2[[HomeTeam]:[HomeTeam]],$T38, Table2[[AwayTeam]:[AwayTeam]], AH$31, Table2[[ActualResult]:[ActualResult]], "REG"))) + (1*(SUMIFS(Table2[[HomeWon_]:[HomeWon_]], Table2[[GameIsOver]:[GameIsOver]],1,Table2[[AwayTeam]:[AwayTeam]],$T38, Table2[[HomeTeam]:[HomeTeam]], AH$31, Table2[[ActualResult]:[ActualResult]], "OT") + SUMIFS(Table2[[AwayWon]:[AwayWon]], Table2[[GameIsOver]:[GameIsOver]],1,Table2[[HomeTeam]:[HomeTeam]],$T38, Table2[[AwayTeam]:[AwayTeam]], AH$31, Table2[[ActualResult]:[ActualResult]], "OT") + SUMIFS(Table2[[HomeWon_]:[HomeWon_]], Table2[[GameIsOver]:[GameIsOver]],1,Table2[[AwayTeam]:[AwayTeam]],$T38, Table2[[HomeTeam]:[HomeTeam]], AH$31, Table2[[ActualResult]:[ActualResult]], "SO") + SUMIFS(Table2[[AwayWon]:[AwayWon]], Table2[[GameIsOver]:[GameIsOver]],1,Table2[[HomeTeam]:[HomeTeam]],$T38, Table2[[AwayTeam]:[AwayTeam]], AH$31, Table2[[ActualResult]:[ActualResult]], "SO")))</f>
        <v>0</v>
      </c>
      <c r="AI38">
        <f>(2*(SUMIFS(Table2[[AwayWon]:[AwayWon]], Table2[[GameIsOver]:[GameIsOver]],1,Table2[[AwayTeam]:[AwayTeam]],$T38, Table2[[HomeTeam]:[HomeTeam]], AI$31) + SUMIFS(Table2[[HomeWon_]:[HomeWon_]], Table2[[GameIsOver]:[GameIsOver]],1,Table2[[HomeTeam]:[HomeTeam]],$T8, Table2[[AwayTeam]:[AwayTeam]], AI$31))) + (0*(SUMIFS(Table2[[HomeWon_]:[HomeWon_]], Table2[[GameIsOver]:[GameIsOver]],1,Table2[[AwayTeam]:[AwayTeam]],$T38, Table2[[HomeTeam]:[HomeTeam]], AI$31, Table2[[ActualResult]:[ActualResult]], "REG") + SUMIFS(Table2[[AwayWon]:[AwayWon]], Table2[[GameIsOver]:[GameIsOver]],1,Table2[[HomeTeam]:[HomeTeam]],$T38, Table2[[AwayTeam]:[AwayTeam]], AI$31, Table2[[ActualResult]:[ActualResult]], "REG"))) + (1*(SUMIFS(Table2[[HomeWon_]:[HomeWon_]], Table2[[GameIsOver]:[GameIsOver]],1,Table2[[AwayTeam]:[AwayTeam]],$T38, Table2[[HomeTeam]:[HomeTeam]], AI$31, Table2[[ActualResult]:[ActualResult]], "OT") + SUMIFS(Table2[[AwayWon]:[AwayWon]], Table2[[GameIsOver]:[GameIsOver]],1,Table2[[HomeTeam]:[HomeTeam]],$T38, Table2[[AwayTeam]:[AwayTeam]], AI$31, Table2[[ActualResult]:[ActualResult]], "OT") + SUMIFS(Table2[[HomeWon_]:[HomeWon_]], Table2[[GameIsOver]:[GameIsOver]],1,Table2[[AwayTeam]:[AwayTeam]],$T38, Table2[[HomeTeam]:[HomeTeam]], AI$31, Table2[[ActualResult]:[ActualResult]], "SO") + SUMIFS(Table2[[AwayWon]:[AwayWon]], Table2[[GameIsOver]:[GameIsOver]],1,Table2[[HomeTeam]:[HomeTeam]],$T38, Table2[[AwayTeam]:[AwayTeam]], AI$31, Table2[[ActualResult]:[ActualResult]], "SO")))</f>
        <v>0</v>
      </c>
      <c r="AJ38">
        <f>(2*(SUMIFS(Table2[[AwayWon]:[AwayWon]], Table2[[GameIsOver]:[GameIsOver]],1,Table2[[AwayTeam]:[AwayTeam]],$T38, Table2[[HomeTeam]:[HomeTeam]], AJ$31) + SUMIFS(Table2[[HomeWon_]:[HomeWon_]], Table2[[GameIsOver]:[GameIsOver]],1,Table2[[HomeTeam]:[HomeTeam]],$T8, Table2[[AwayTeam]:[AwayTeam]], AJ$31))) + (0*(SUMIFS(Table2[[HomeWon_]:[HomeWon_]], Table2[[GameIsOver]:[GameIsOver]],1,Table2[[AwayTeam]:[AwayTeam]],$T38, Table2[[HomeTeam]:[HomeTeam]], AJ$31, Table2[[ActualResult]:[ActualResult]], "REG") + SUMIFS(Table2[[AwayWon]:[AwayWon]], Table2[[GameIsOver]:[GameIsOver]],1,Table2[[HomeTeam]:[HomeTeam]],$T38, Table2[[AwayTeam]:[AwayTeam]], AJ$31, Table2[[ActualResult]:[ActualResult]], "REG"))) + (1*(SUMIFS(Table2[[HomeWon_]:[HomeWon_]], Table2[[GameIsOver]:[GameIsOver]],1,Table2[[AwayTeam]:[AwayTeam]],$T38, Table2[[HomeTeam]:[HomeTeam]], AJ$31, Table2[[ActualResult]:[ActualResult]], "OT") + SUMIFS(Table2[[AwayWon]:[AwayWon]], Table2[[GameIsOver]:[GameIsOver]],1,Table2[[HomeTeam]:[HomeTeam]],$T38, Table2[[AwayTeam]:[AwayTeam]], AJ$31, Table2[[ActualResult]:[ActualResult]], "OT") + SUMIFS(Table2[[HomeWon_]:[HomeWon_]], Table2[[GameIsOver]:[GameIsOver]],1,Table2[[AwayTeam]:[AwayTeam]],$T38, Table2[[HomeTeam]:[HomeTeam]], AJ$31, Table2[[ActualResult]:[ActualResult]], "SO") + SUMIFS(Table2[[AwayWon]:[AwayWon]], Table2[[GameIsOver]:[GameIsOver]],1,Table2[[HomeTeam]:[HomeTeam]],$T38, Table2[[AwayTeam]:[AwayTeam]], AJ$31, Table2[[ActualResult]:[ActualResult]], "SO")))</f>
        <v>0</v>
      </c>
      <c r="AK38">
        <f>(2*(SUMIFS(Table2[[AwayWon]:[AwayWon]], Table2[[GameIsOver]:[GameIsOver]],1,Table2[[AwayTeam]:[AwayTeam]],$T38, Table2[[HomeTeam]:[HomeTeam]], AK$31) + SUMIFS(Table2[[HomeWon_]:[HomeWon_]], Table2[[GameIsOver]:[GameIsOver]],1,Table2[[HomeTeam]:[HomeTeam]],$T8, Table2[[AwayTeam]:[AwayTeam]], AK$31))) + (0*(SUMIFS(Table2[[HomeWon_]:[HomeWon_]], Table2[[GameIsOver]:[GameIsOver]],1,Table2[[AwayTeam]:[AwayTeam]],$T38, Table2[[HomeTeam]:[HomeTeam]], AK$31, Table2[[ActualResult]:[ActualResult]], "REG") + SUMIFS(Table2[[AwayWon]:[AwayWon]], Table2[[GameIsOver]:[GameIsOver]],1,Table2[[HomeTeam]:[HomeTeam]],$T38, Table2[[AwayTeam]:[AwayTeam]], AK$31, Table2[[ActualResult]:[ActualResult]], "REG"))) + (1*(SUMIFS(Table2[[HomeWon_]:[HomeWon_]], Table2[[GameIsOver]:[GameIsOver]],1,Table2[[AwayTeam]:[AwayTeam]],$T38, Table2[[HomeTeam]:[HomeTeam]], AK$31, Table2[[ActualResult]:[ActualResult]], "OT") + SUMIFS(Table2[[AwayWon]:[AwayWon]], Table2[[GameIsOver]:[GameIsOver]],1,Table2[[HomeTeam]:[HomeTeam]],$T38, Table2[[AwayTeam]:[AwayTeam]], AK$31, Table2[[ActualResult]:[ActualResult]], "OT") + SUMIFS(Table2[[HomeWon_]:[HomeWon_]], Table2[[GameIsOver]:[GameIsOver]],1,Table2[[AwayTeam]:[AwayTeam]],$T38, Table2[[HomeTeam]:[HomeTeam]], AK$31, Table2[[ActualResult]:[ActualResult]], "SO") + SUMIFS(Table2[[AwayWon]:[AwayWon]], Table2[[GameIsOver]:[GameIsOver]],1,Table2[[HomeTeam]:[HomeTeam]],$T38, Table2[[AwayTeam]:[AwayTeam]], AK$31, Table2[[ActualResult]:[ActualResult]], "SO")))</f>
        <v>0</v>
      </c>
      <c r="AL38">
        <f>(2*(SUMIFS(Table2[[AwayWon]:[AwayWon]], Table2[[GameIsOver]:[GameIsOver]],1,Table2[[AwayTeam]:[AwayTeam]],$T38, Table2[[HomeTeam]:[HomeTeam]], AL$31) + SUMIFS(Table2[[HomeWon_]:[HomeWon_]], Table2[[GameIsOver]:[GameIsOver]],1,Table2[[HomeTeam]:[HomeTeam]],$T8, Table2[[AwayTeam]:[AwayTeam]], AL$31))) + (0*(SUMIFS(Table2[[HomeWon_]:[HomeWon_]], Table2[[GameIsOver]:[GameIsOver]],1,Table2[[AwayTeam]:[AwayTeam]],$T38, Table2[[HomeTeam]:[HomeTeam]], AL$31, Table2[[ActualResult]:[ActualResult]], "REG") + SUMIFS(Table2[[AwayWon]:[AwayWon]], Table2[[GameIsOver]:[GameIsOver]],1,Table2[[HomeTeam]:[HomeTeam]],$T38, Table2[[AwayTeam]:[AwayTeam]], AL$31, Table2[[ActualResult]:[ActualResult]], "REG"))) + (1*(SUMIFS(Table2[[HomeWon_]:[HomeWon_]], Table2[[GameIsOver]:[GameIsOver]],1,Table2[[AwayTeam]:[AwayTeam]],$T38, Table2[[HomeTeam]:[HomeTeam]], AL$31, Table2[[ActualResult]:[ActualResult]], "OT") + SUMIFS(Table2[[AwayWon]:[AwayWon]], Table2[[GameIsOver]:[GameIsOver]],1,Table2[[HomeTeam]:[HomeTeam]],$T38, Table2[[AwayTeam]:[AwayTeam]], AL$31, Table2[[ActualResult]:[ActualResult]], "OT") + SUMIFS(Table2[[HomeWon_]:[HomeWon_]], Table2[[GameIsOver]:[GameIsOver]],1,Table2[[AwayTeam]:[AwayTeam]],$T38, Table2[[HomeTeam]:[HomeTeam]], AL$31, Table2[[ActualResult]:[ActualResult]], "SO") + SUMIFS(Table2[[AwayWon]:[AwayWon]], Table2[[GameIsOver]:[GameIsOver]],1,Table2[[HomeTeam]:[HomeTeam]],$T38, Table2[[AwayTeam]:[AwayTeam]], AL$31, Table2[[ActualResult]:[ActualResult]], "SO")))</f>
        <v>0</v>
      </c>
      <c r="AM38">
        <f>(2*(SUMIFS(Table2[[AwayWon]:[AwayWon]], Table2[[GameIsOver]:[GameIsOver]],1,Table2[[AwayTeam]:[AwayTeam]],$T38, Table2[[HomeTeam]:[HomeTeam]], AM$31) + SUMIFS(Table2[[HomeWon_]:[HomeWon_]], Table2[[GameIsOver]:[GameIsOver]],1,Table2[[HomeTeam]:[HomeTeam]],$T8, Table2[[AwayTeam]:[AwayTeam]], AM$31))) + (0*(SUMIFS(Table2[[HomeWon_]:[HomeWon_]], Table2[[GameIsOver]:[GameIsOver]],1,Table2[[AwayTeam]:[AwayTeam]],$T38, Table2[[HomeTeam]:[HomeTeam]], AM$31, Table2[[ActualResult]:[ActualResult]], "REG") + SUMIFS(Table2[[AwayWon]:[AwayWon]], Table2[[GameIsOver]:[GameIsOver]],1,Table2[[HomeTeam]:[HomeTeam]],$T38, Table2[[AwayTeam]:[AwayTeam]], AM$31, Table2[[ActualResult]:[ActualResult]], "REG"))) + (1*(SUMIFS(Table2[[HomeWon_]:[HomeWon_]], Table2[[GameIsOver]:[GameIsOver]],1,Table2[[AwayTeam]:[AwayTeam]],$T38, Table2[[HomeTeam]:[HomeTeam]], AM$31, Table2[[ActualResult]:[ActualResult]], "OT") + SUMIFS(Table2[[AwayWon]:[AwayWon]], Table2[[GameIsOver]:[GameIsOver]],1,Table2[[HomeTeam]:[HomeTeam]],$T38, Table2[[AwayTeam]:[AwayTeam]], AM$31, Table2[[ActualResult]:[ActualResult]], "OT") + SUMIFS(Table2[[HomeWon_]:[HomeWon_]], Table2[[GameIsOver]:[GameIsOver]],1,Table2[[AwayTeam]:[AwayTeam]],$T38, Table2[[HomeTeam]:[HomeTeam]], AM$31, Table2[[ActualResult]:[ActualResult]], "SO") + SUMIFS(Table2[[AwayWon]:[AwayWon]], Table2[[GameIsOver]:[GameIsOver]],1,Table2[[HomeTeam]:[HomeTeam]],$T38, Table2[[AwayTeam]:[AwayTeam]], AM$31, Table2[[ActualResult]:[ActualResult]], "SO")))</f>
        <v>0</v>
      </c>
      <c r="AN38">
        <f>(2*(SUMIFS(Table2[[AwayWon]:[AwayWon]], Table2[[GameIsOver]:[GameIsOver]],1,Table2[[AwayTeam]:[AwayTeam]],$T38, Table2[[HomeTeam]:[HomeTeam]], AN$31) + SUMIFS(Table2[[HomeWon_]:[HomeWon_]], Table2[[GameIsOver]:[GameIsOver]],1,Table2[[HomeTeam]:[HomeTeam]],$T8, Table2[[AwayTeam]:[AwayTeam]], AN$31))) + (0*(SUMIFS(Table2[[HomeWon_]:[HomeWon_]], Table2[[GameIsOver]:[GameIsOver]],1,Table2[[AwayTeam]:[AwayTeam]],$T38, Table2[[HomeTeam]:[HomeTeam]], AN$31, Table2[[ActualResult]:[ActualResult]], "REG") + SUMIFS(Table2[[AwayWon]:[AwayWon]], Table2[[GameIsOver]:[GameIsOver]],1,Table2[[HomeTeam]:[HomeTeam]],$T38, Table2[[AwayTeam]:[AwayTeam]], AN$31, Table2[[ActualResult]:[ActualResult]], "REG"))) + (1*(SUMIFS(Table2[[HomeWon_]:[HomeWon_]], Table2[[GameIsOver]:[GameIsOver]],1,Table2[[AwayTeam]:[AwayTeam]],$T38, Table2[[HomeTeam]:[HomeTeam]], AN$31, Table2[[ActualResult]:[ActualResult]], "OT") + SUMIFS(Table2[[AwayWon]:[AwayWon]], Table2[[GameIsOver]:[GameIsOver]],1,Table2[[HomeTeam]:[HomeTeam]],$T38, Table2[[AwayTeam]:[AwayTeam]], AN$31, Table2[[ActualResult]:[ActualResult]], "OT") + SUMIFS(Table2[[HomeWon_]:[HomeWon_]], Table2[[GameIsOver]:[GameIsOver]],1,Table2[[AwayTeam]:[AwayTeam]],$T38, Table2[[HomeTeam]:[HomeTeam]], AN$31, Table2[[ActualResult]:[ActualResult]], "SO") + SUMIFS(Table2[[AwayWon]:[AwayWon]], Table2[[GameIsOver]:[GameIsOver]],1,Table2[[HomeTeam]:[HomeTeam]],$T38, Table2[[AwayTeam]:[AwayTeam]], AN$31, Table2[[ActualResult]:[ActualResult]], "SO")))</f>
        <v>0</v>
      </c>
      <c r="AO38">
        <f>(2*(SUMIFS(Table2[[AwayWon]:[AwayWon]], Table2[[GameIsOver]:[GameIsOver]],1,Table2[[AwayTeam]:[AwayTeam]],$T38, Table2[[HomeTeam]:[HomeTeam]], AO$31) + SUMIFS(Table2[[HomeWon_]:[HomeWon_]], Table2[[GameIsOver]:[GameIsOver]],1,Table2[[HomeTeam]:[HomeTeam]],$T8, Table2[[AwayTeam]:[AwayTeam]], AO$31))) + (0*(SUMIFS(Table2[[HomeWon_]:[HomeWon_]], Table2[[GameIsOver]:[GameIsOver]],1,Table2[[AwayTeam]:[AwayTeam]],$T38, Table2[[HomeTeam]:[HomeTeam]], AO$31, Table2[[ActualResult]:[ActualResult]], "REG") + SUMIFS(Table2[[AwayWon]:[AwayWon]], Table2[[GameIsOver]:[GameIsOver]],1,Table2[[HomeTeam]:[HomeTeam]],$T38, Table2[[AwayTeam]:[AwayTeam]], AO$31, Table2[[ActualResult]:[ActualResult]], "REG"))) + (1*(SUMIFS(Table2[[HomeWon_]:[HomeWon_]], Table2[[GameIsOver]:[GameIsOver]],1,Table2[[AwayTeam]:[AwayTeam]],$T38, Table2[[HomeTeam]:[HomeTeam]], AO$31, Table2[[ActualResult]:[ActualResult]], "OT") + SUMIFS(Table2[[AwayWon]:[AwayWon]], Table2[[GameIsOver]:[GameIsOver]],1,Table2[[HomeTeam]:[HomeTeam]],$T38, Table2[[AwayTeam]:[AwayTeam]], AO$31, Table2[[ActualResult]:[ActualResult]], "OT") + SUMIFS(Table2[[HomeWon_]:[HomeWon_]], Table2[[GameIsOver]:[GameIsOver]],1,Table2[[AwayTeam]:[AwayTeam]],$T38, Table2[[HomeTeam]:[HomeTeam]], AO$31, Table2[[ActualResult]:[ActualResult]], "SO") + SUMIFS(Table2[[AwayWon]:[AwayWon]], Table2[[GameIsOver]:[GameIsOver]],1,Table2[[HomeTeam]:[HomeTeam]],$T38, Table2[[AwayTeam]:[AwayTeam]], AO$31, Table2[[ActualResult]:[ActualResult]], "SO")))</f>
        <v>0</v>
      </c>
      <c r="AP38">
        <f>(2*(SUMIFS(Table2[[AwayWon]:[AwayWon]], Table2[[GameIsOver]:[GameIsOver]],1,Table2[[AwayTeam]:[AwayTeam]],$T38, Table2[[HomeTeam]:[HomeTeam]], AP$31) + SUMIFS(Table2[[HomeWon_]:[HomeWon_]], Table2[[GameIsOver]:[GameIsOver]],1,Table2[[HomeTeam]:[HomeTeam]],$T8, Table2[[AwayTeam]:[AwayTeam]], AP$31))) + (0*(SUMIFS(Table2[[HomeWon_]:[HomeWon_]], Table2[[GameIsOver]:[GameIsOver]],1,Table2[[AwayTeam]:[AwayTeam]],$T38, Table2[[HomeTeam]:[HomeTeam]], AP$31, Table2[[ActualResult]:[ActualResult]], "REG") + SUMIFS(Table2[[AwayWon]:[AwayWon]], Table2[[GameIsOver]:[GameIsOver]],1,Table2[[HomeTeam]:[HomeTeam]],$T38, Table2[[AwayTeam]:[AwayTeam]], AP$31, Table2[[ActualResult]:[ActualResult]], "REG"))) + (1*(SUMIFS(Table2[[HomeWon_]:[HomeWon_]], Table2[[GameIsOver]:[GameIsOver]],1,Table2[[AwayTeam]:[AwayTeam]],$T38, Table2[[HomeTeam]:[HomeTeam]], AP$31, Table2[[ActualResult]:[ActualResult]], "OT") + SUMIFS(Table2[[AwayWon]:[AwayWon]], Table2[[GameIsOver]:[GameIsOver]],1,Table2[[HomeTeam]:[HomeTeam]],$T38, Table2[[AwayTeam]:[AwayTeam]], AP$31, Table2[[ActualResult]:[ActualResult]], "OT") + SUMIFS(Table2[[HomeWon_]:[HomeWon_]], Table2[[GameIsOver]:[GameIsOver]],1,Table2[[AwayTeam]:[AwayTeam]],$T38, Table2[[HomeTeam]:[HomeTeam]], AP$31, Table2[[ActualResult]:[ActualResult]], "SO") + SUMIFS(Table2[[AwayWon]:[AwayWon]], Table2[[GameIsOver]:[GameIsOver]],1,Table2[[HomeTeam]:[HomeTeam]],$T38, Table2[[AwayTeam]:[AwayTeam]], AP$31, Table2[[ActualResult]:[ActualResult]], "SO")))</f>
        <v>0</v>
      </c>
      <c r="AQ38">
        <f>(2*(SUMIFS(Table2[[AwayWon]:[AwayWon]], Table2[[GameIsOver]:[GameIsOver]],1,Table2[[AwayTeam]:[AwayTeam]],$T38, Table2[[HomeTeam]:[HomeTeam]], AQ$31) + SUMIFS(Table2[[HomeWon_]:[HomeWon_]], Table2[[GameIsOver]:[GameIsOver]],1,Table2[[HomeTeam]:[HomeTeam]],$T8, Table2[[AwayTeam]:[AwayTeam]], AQ$31))) + (0*(SUMIFS(Table2[[HomeWon_]:[HomeWon_]], Table2[[GameIsOver]:[GameIsOver]],1,Table2[[AwayTeam]:[AwayTeam]],$T38, Table2[[HomeTeam]:[HomeTeam]], AQ$31, Table2[[ActualResult]:[ActualResult]], "REG") + SUMIFS(Table2[[AwayWon]:[AwayWon]], Table2[[GameIsOver]:[GameIsOver]],1,Table2[[HomeTeam]:[HomeTeam]],$T38, Table2[[AwayTeam]:[AwayTeam]], AQ$31, Table2[[ActualResult]:[ActualResult]], "REG"))) + (1*(SUMIFS(Table2[[HomeWon_]:[HomeWon_]], Table2[[GameIsOver]:[GameIsOver]],1,Table2[[AwayTeam]:[AwayTeam]],$T38, Table2[[HomeTeam]:[HomeTeam]], AQ$31, Table2[[ActualResult]:[ActualResult]], "OT") + SUMIFS(Table2[[AwayWon]:[AwayWon]], Table2[[GameIsOver]:[GameIsOver]],1,Table2[[HomeTeam]:[HomeTeam]],$T38, Table2[[AwayTeam]:[AwayTeam]], AQ$31, Table2[[ActualResult]:[ActualResult]], "OT") + SUMIFS(Table2[[HomeWon_]:[HomeWon_]], Table2[[GameIsOver]:[GameIsOver]],1,Table2[[AwayTeam]:[AwayTeam]],$T38, Table2[[HomeTeam]:[HomeTeam]], AQ$31, Table2[[ActualResult]:[ActualResult]], "SO") + SUMIFS(Table2[[AwayWon]:[AwayWon]], Table2[[GameIsOver]:[GameIsOver]],1,Table2[[HomeTeam]:[HomeTeam]],$T38, Table2[[AwayTeam]:[AwayTeam]], AQ$31, Table2[[ActualResult]:[ActualResult]], "SO")))</f>
        <v>0</v>
      </c>
      <c r="AR38">
        <f>(2*(SUMIFS(Table2[[AwayWon]:[AwayWon]], Table2[[GameIsOver]:[GameIsOver]],1,Table2[[AwayTeam]:[AwayTeam]],$T38, Table2[[HomeTeam]:[HomeTeam]], AR$31) + SUMIFS(Table2[[HomeWon_]:[HomeWon_]], Table2[[GameIsOver]:[GameIsOver]],1,Table2[[HomeTeam]:[HomeTeam]],$T8, Table2[[AwayTeam]:[AwayTeam]], AR$31))) + (0*(SUMIFS(Table2[[HomeWon_]:[HomeWon_]], Table2[[GameIsOver]:[GameIsOver]],1,Table2[[AwayTeam]:[AwayTeam]],$T38, Table2[[HomeTeam]:[HomeTeam]], AR$31, Table2[[ActualResult]:[ActualResult]], "REG") + SUMIFS(Table2[[AwayWon]:[AwayWon]], Table2[[GameIsOver]:[GameIsOver]],1,Table2[[HomeTeam]:[HomeTeam]],$T38, Table2[[AwayTeam]:[AwayTeam]], AR$31, Table2[[ActualResult]:[ActualResult]], "REG"))) + (1*(SUMIFS(Table2[[HomeWon_]:[HomeWon_]], Table2[[GameIsOver]:[GameIsOver]],1,Table2[[AwayTeam]:[AwayTeam]],$T38, Table2[[HomeTeam]:[HomeTeam]], AR$31, Table2[[ActualResult]:[ActualResult]], "OT") + SUMIFS(Table2[[AwayWon]:[AwayWon]], Table2[[GameIsOver]:[GameIsOver]],1,Table2[[HomeTeam]:[HomeTeam]],$T38, Table2[[AwayTeam]:[AwayTeam]], AR$31, Table2[[ActualResult]:[ActualResult]], "OT") + SUMIFS(Table2[[HomeWon_]:[HomeWon_]], Table2[[GameIsOver]:[GameIsOver]],1,Table2[[AwayTeam]:[AwayTeam]],$T38, Table2[[HomeTeam]:[HomeTeam]], AR$31, Table2[[ActualResult]:[ActualResult]], "SO") + SUMIFS(Table2[[AwayWon]:[AwayWon]], Table2[[GameIsOver]:[GameIsOver]],1,Table2[[HomeTeam]:[HomeTeam]],$T38, Table2[[AwayTeam]:[AwayTeam]], AR$31, Table2[[ActualResult]:[ActualResult]], "SO")))</f>
        <v>0</v>
      </c>
      <c r="AS38">
        <f>(2*(SUMIFS(Table2[[AwayWon]:[AwayWon]], Table2[[GameIsOver]:[GameIsOver]],1,Table2[[AwayTeam]:[AwayTeam]],$T38, Table2[[HomeTeam]:[HomeTeam]], AS$31) + SUMIFS(Table2[[HomeWon_]:[HomeWon_]], Table2[[GameIsOver]:[GameIsOver]],1,Table2[[HomeTeam]:[HomeTeam]],$T8, Table2[[AwayTeam]:[AwayTeam]], AS$31))) + (0*(SUMIFS(Table2[[HomeWon_]:[HomeWon_]], Table2[[GameIsOver]:[GameIsOver]],1,Table2[[AwayTeam]:[AwayTeam]],$T38, Table2[[HomeTeam]:[HomeTeam]], AS$31, Table2[[ActualResult]:[ActualResult]], "REG") + SUMIFS(Table2[[AwayWon]:[AwayWon]], Table2[[GameIsOver]:[GameIsOver]],1,Table2[[HomeTeam]:[HomeTeam]],$T38, Table2[[AwayTeam]:[AwayTeam]], AS$31, Table2[[ActualResult]:[ActualResult]], "REG"))) + (1*(SUMIFS(Table2[[HomeWon_]:[HomeWon_]], Table2[[GameIsOver]:[GameIsOver]],1,Table2[[AwayTeam]:[AwayTeam]],$T38, Table2[[HomeTeam]:[HomeTeam]], AS$31, Table2[[ActualResult]:[ActualResult]], "OT") + SUMIFS(Table2[[AwayWon]:[AwayWon]], Table2[[GameIsOver]:[GameIsOver]],1,Table2[[HomeTeam]:[HomeTeam]],$T38, Table2[[AwayTeam]:[AwayTeam]], AS$31, Table2[[ActualResult]:[ActualResult]], "OT") + SUMIFS(Table2[[HomeWon_]:[HomeWon_]], Table2[[GameIsOver]:[GameIsOver]],1,Table2[[AwayTeam]:[AwayTeam]],$T38, Table2[[HomeTeam]:[HomeTeam]], AS$31, Table2[[ActualResult]:[ActualResult]], "SO") + SUMIFS(Table2[[AwayWon]:[AwayWon]], Table2[[GameIsOver]:[GameIsOver]],1,Table2[[HomeTeam]:[HomeTeam]],$T38, Table2[[AwayTeam]:[AwayTeam]], AS$31, Table2[[ActualResult]:[ActualResult]], "SO")))</f>
        <v>0</v>
      </c>
      <c r="AT38">
        <f>(2*(SUMIFS(Table2[[AwayWon]:[AwayWon]], Table2[[GameIsOver]:[GameIsOver]],1,Table2[[AwayTeam]:[AwayTeam]],$T38, Table2[[HomeTeam]:[HomeTeam]], AT$31) + SUMIFS(Table2[[HomeWon_]:[HomeWon_]], Table2[[GameIsOver]:[GameIsOver]],1,Table2[[HomeTeam]:[HomeTeam]],$T8, Table2[[AwayTeam]:[AwayTeam]], AT$31))) + (0*(SUMIFS(Table2[[HomeWon_]:[HomeWon_]], Table2[[GameIsOver]:[GameIsOver]],1,Table2[[AwayTeam]:[AwayTeam]],$T38, Table2[[HomeTeam]:[HomeTeam]], AT$31, Table2[[ActualResult]:[ActualResult]], "REG") + SUMIFS(Table2[[AwayWon]:[AwayWon]], Table2[[GameIsOver]:[GameIsOver]],1,Table2[[HomeTeam]:[HomeTeam]],$T38, Table2[[AwayTeam]:[AwayTeam]], AT$31, Table2[[ActualResult]:[ActualResult]], "REG"))) + (1*(SUMIFS(Table2[[HomeWon_]:[HomeWon_]], Table2[[GameIsOver]:[GameIsOver]],1,Table2[[AwayTeam]:[AwayTeam]],$T38, Table2[[HomeTeam]:[HomeTeam]], AT$31, Table2[[ActualResult]:[ActualResult]], "OT") + SUMIFS(Table2[[AwayWon]:[AwayWon]], Table2[[GameIsOver]:[GameIsOver]],1,Table2[[HomeTeam]:[HomeTeam]],$T38, Table2[[AwayTeam]:[AwayTeam]], AT$31, Table2[[ActualResult]:[ActualResult]], "OT") + SUMIFS(Table2[[HomeWon_]:[HomeWon_]], Table2[[GameIsOver]:[GameIsOver]],1,Table2[[AwayTeam]:[AwayTeam]],$T38, Table2[[HomeTeam]:[HomeTeam]], AT$31, Table2[[ActualResult]:[ActualResult]], "SO") + SUMIFS(Table2[[AwayWon]:[AwayWon]], Table2[[GameIsOver]:[GameIsOver]],1,Table2[[HomeTeam]:[HomeTeam]],$T38, Table2[[AwayTeam]:[AwayTeam]], AT$31, Table2[[ActualResult]:[ActualResult]], "SO")))</f>
        <v>0</v>
      </c>
      <c r="AU38">
        <f>(2*(SUMIFS(Table2[[AwayWon]:[AwayWon]], Table2[[GameIsOver]:[GameIsOver]],1,Table2[[AwayTeam]:[AwayTeam]],$T38, Table2[[HomeTeam]:[HomeTeam]], AU$31) + SUMIFS(Table2[[HomeWon_]:[HomeWon_]], Table2[[GameIsOver]:[GameIsOver]],1,Table2[[HomeTeam]:[HomeTeam]],$T8, Table2[[AwayTeam]:[AwayTeam]], AU$31))) + (0*(SUMIFS(Table2[[HomeWon_]:[HomeWon_]], Table2[[GameIsOver]:[GameIsOver]],1,Table2[[AwayTeam]:[AwayTeam]],$T38, Table2[[HomeTeam]:[HomeTeam]], AU$31, Table2[[ActualResult]:[ActualResult]], "REG") + SUMIFS(Table2[[AwayWon]:[AwayWon]], Table2[[GameIsOver]:[GameIsOver]],1,Table2[[HomeTeam]:[HomeTeam]],$T38, Table2[[AwayTeam]:[AwayTeam]], AU$31, Table2[[ActualResult]:[ActualResult]], "REG"))) + (1*(SUMIFS(Table2[[HomeWon_]:[HomeWon_]], Table2[[GameIsOver]:[GameIsOver]],1,Table2[[AwayTeam]:[AwayTeam]],$T38, Table2[[HomeTeam]:[HomeTeam]], AU$31, Table2[[ActualResult]:[ActualResult]], "OT") + SUMIFS(Table2[[AwayWon]:[AwayWon]], Table2[[GameIsOver]:[GameIsOver]],1,Table2[[HomeTeam]:[HomeTeam]],$T38, Table2[[AwayTeam]:[AwayTeam]], AU$31, Table2[[ActualResult]:[ActualResult]], "OT") + SUMIFS(Table2[[HomeWon_]:[HomeWon_]], Table2[[GameIsOver]:[GameIsOver]],1,Table2[[AwayTeam]:[AwayTeam]],$T38, Table2[[HomeTeam]:[HomeTeam]], AU$31, Table2[[ActualResult]:[ActualResult]], "SO") + SUMIFS(Table2[[AwayWon]:[AwayWon]], Table2[[GameIsOver]:[GameIsOver]],1,Table2[[HomeTeam]:[HomeTeam]],$T38, Table2[[AwayTeam]:[AwayTeam]], AU$31, Table2[[ActualResult]:[ActualResult]], "SO")))</f>
        <v>0</v>
      </c>
      <c r="AV38">
        <f>(2*(SUMIFS(Table2[[AwayWon]:[AwayWon]], Table2[[GameIsOver]:[GameIsOver]],1,Table2[[AwayTeam]:[AwayTeam]],$T38, Table2[[HomeTeam]:[HomeTeam]], AV$31) + SUMIFS(Table2[[HomeWon_]:[HomeWon_]], Table2[[GameIsOver]:[GameIsOver]],1,Table2[[HomeTeam]:[HomeTeam]],$T8, Table2[[AwayTeam]:[AwayTeam]], AV$31))) + (0*(SUMIFS(Table2[[HomeWon_]:[HomeWon_]], Table2[[GameIsOver]:[GameIsOver]],1,Table2[[AwayTeam]:[AwayTeam]],$T38, Table2[[HomeTeam]:[HomeTeam]], AV$31, Table2[[ActualResult]:[ActualResult]], "REG") + SUMIFS(Table2[[AwayWon]:[AwayWon]], Table2[[GameIsOver]:[GameIsOver]],1,Table2[[HomeTeam]:[HomeTeam]],$T38, Table2[[AwayTeam]:[AwayTeam]], AV$31, Table2[[ActualResult]:[ActualResult]], "REG"))) + (1*(SUMIFS(Table2[[HomeWon_]:[HomeWon_]], Table2[[GameIsOver]:[GameIsOver]],1,Table2[[AwayTeam]:[AwayTeam]],$T38, Table2[[HomeTeam]:[HomeTeam]], AV$31, Table2[[ActualResult]:[ActualResult]], "OT") + SUMIFS(Table2[[AwayWon]:[AwayWon]], Table2[[GameIsOver]:[GameIsOver]],1,Table2[[HomeTeam]:[HomeTeam]],$T38, Table2[[AwayTeam]:[AwayTeam]], AV$31, Table2[[ActualResult]:[ActualResult]], "OT") + SUMIFS(Table2[[HomeWon_]:[HomeWon_]], Table2[[GameIsOver]:[GameIsOver]],1,Table2[[AwayTeam]:[AwayTeam]],$T38, Table2[[HomeTeam]:[HomeTeam]], AV$31, Table2[[ActualResult]:[ActualResult]], "SO") + SUMIFS(Table2[[AwayWon]:[AwayWon]], Table2[[GameIsOver]:[GameIsOver]],1,Table2[[HomeTeam]:[HomeTeam]],$T38, Table2[[AwayTeam]:[AwayTeam]], AV$31, Table2[[ActualResult]:[ActualResult]], "SO")))</f>
        <v>0</v>
      </c>
      <c r="AW38">
        <f>(2*(SUMIFS(Table2[[AwayWon]:[AwayWon]], Table2[[GameIsOver]:[GameIsOver]],1,Table2[[AwayTeam]:[AwayTeam]],$T38, Table2[[HomeTeam]:[HomeTeam]], AW$31) + SUMIFS(Table2[[HomeWon_]:[HomeWon_]], Table2[[GameIsOver]:[GameIsOver]],1,Table2[[HomeTeam]:[HomeTeam]],$T8, Table2[[AwayTeam]:[AwayTeam]], AW$31))) + (0*(SUMIFS(Table2[[HomeWon_]:[HomeWon_]], Table2[[GameIsOver]:[GameIsOver]],1,Table2[[AwayTeam]:[AwayTeam]],$T38, Table2[[HomeTeam]:[HomeTeam]], AW$31, Table2[[ActualResult]:[ActualResult]], "REG") + SUMIFS(Table2[[AwayWon]:[AwayWon]], Table2[[GameIsOver]:[GameIsOver]],1,Table2[[HomeTeam]:[HomeTeam]],$T38, Table2[[AwayTeam]:[AwayTeam]], AW$31, Table2[[ActualResult]:[ActualResult]], "REG"))) + (1*(SUMIFS(Table2[[HomeWon_]:[HomeWon_]], Table2[[GameIsOver]:[GameIsOver]],1,Table2[[AwayTeam]:[AwayTeam]],$T38, Table2[[HomeTeam]:[HomeTeam]], AW$31, Table2[[ActualResult]:[ActualResult]], "OT") + SUMIFS(Table2[[AwayWon]:[AwayWon]], Table2[[GameIsOver]:[GameIsOver]],1,Table2[[HomeTeam]:[HomeTeam]],$T38, Table2[[AwayTeam]:[AwayTeam]], AW$31, Table2[[ActualResult]:[ActualResult]], "OT") + SUMIFS(Table2[[HomeWon_]:[HomeWon_]], Table2[[GameIsOver]:[GameIsOver]],1,Table2[[AwayTeam]:[AwayTeam]],$T38, Table2[[HomeTeam]:[HomeTeam]], AW$31, Table2[[ActualResult]:[ActualResult]], "SO") + SUMIFS(Table2[[AwayWon]:[AwayWon]], Table2[[GameIsOver]:[GameIsOver]],1,Table2[[HomeTeam]:[HomeTeam]],$T38, Table2[[AwayTeam]:[AwayTeam]], AW$31, Table2[[ActualResult]:[ActualResult]], "SO")))</f>
        <v>0</v>
      </c>
      <c r="AX38">
        <f>(2*(SUMIFS(Table2[[AwayWon]:[AwayWon]], Table2[[GameIsOver]:[GameIsOver]],1,Table2[[AwayTeam]:[AwayTeam]],$T38, Table2[[HomeTeam]:[HomeTeam]], AX$31) + SUMIFS(Table2[[HomeWon_]:[HomeWon_]], Table2[[GameIsOver]:[GameIsOver]],1,Table2[[HomeTeam]:[HomeTeam]],$T8, Table2[[AwayTeam]:[AwayTeam]], AX$31))) + (0*(SUMIFS(Table2[[HomeWon_]:[HomeWon_]], Table2[[GameIsOver]:[GameIsOver]],1,Table2[[AwayTeam]:[AwayTeam]],$T38, Table2[[HomeTeam]:[HomeTeam]], AX$31, Table2[[ActualResult]:[ActualResult]], "REG") + SUMIFS(Table2[[AwayWon]:[AwayWon]], Table2[[GameIsOver]:[GameIsOver]],1,Table2[[HomeTeam]:[HomeTeam]],$T38, Table2[[AwayTeam]:[AwayTeam]], AX$31, Table2[[ActualResult]:[ActualResult]], "REG"))) + (1*(SUMIFS(Table2[[HomeWon_]:[HomeWon_]], Table2[[GameIsOver]:[GameIsOver]],1,Table2[[AwayTeam]:[AwayTeam]],$T38, Table2[[HomeTeam]:[HomeTeam]], AX$31, Table2[[ActualResult]:[ActualResult]], "OT") + SUMIFS(Table2[[AwayWon]:[AwayWon]], Table2[[GameIsOver]:[GameIsOver]],1,Table2[[HomeTeam]:[HomeTeam]],$T38, Table2[[AwayTeam]:[AwayTeam]], AX$31, Table2[[ActualResult]:[ActualResult]], "OT") + SUMIFS(Table2[[HomeWon_]:[HomeWon_]], Table2[[GameIsOver]:[GameIsOver]],1,Table2[[AwayTeam]:[AwayTeam]],$T38, Table2[[HomeTeam]:[HomeTeam]], AX$31, Table2[[ActualResult]:[ActualResult]], "SO") + SUMIFS(Table2[[AwayWon]:[AwayWon]], Table2[[GameIsOver]:[GameIsOver]],1,Table2[[HomeTeam]:[HomeTeam]],$T38, Table2[[AwayTeam]:[AwayTeam]], AX$31, Table2[[ActualResult]:[ActualResult]], "SO")))</f>
        <v>0</v>
      </c>
      <c r="AY38">
        <f>(2*(SUMIFS(Table2[[AwayWon]:[AwayWon]], Table2[[GameIsOver]:[GameIsOver]],1,Table2[[AwayTeam]:[AwayTeam]],$T38, Table2[[HomeTeam]:[HomeTeam]], AY$31) + SUMIFS(Table2[[HomeWon_]:[HomeWon_]], Table2[[GameIsOver]:[GameIsOver]],1,Table2[[HomeTeam]:[HomeTeam]],$T8, Table2[[AwayTeam]:[AwayTeam]], AY$31))) + (0*(SUMIFS(Table2[[HomeWon_]:[HomeWon_]], Table2[[GameIsOver]:[GameIsOver]],1,Table2[[AwayTeam]:[AwayTeam]],$T38, Table2[[HomeTeam]:[HomeTeam]], AY$31, Table2[[ActualResult]:[ActualResult]], "REG") + SUMIFS(Table2[[AwayWon]:[AwayWon]], Table2[[GameIsOver]:[GameIsOver]],1,Table2[[HomeTeam]:[HomeTeam]],$T38, Table2[[AwayTeam]:[AwayTeam]], AY$31, Table2[[ActualResult]:[ActualResult]], "REG"))) + (1*(SUMIFS(Table2[[HomeWon_]:[HomeWon_]], Table2[[GameIsOver]:[GameIsOver]],1,Table2[[AwayTeam]:[AwayTeam]],$T38, Table2[[HomeTeam]:[HomeTeam]], AY$31, Table2[[ActualResult]:[ActualResult]], "OT") + SUMIFS(Table2[[AwayWon]:[AwayWon]], Table2[[GameIsOver]:[GameIsOver]],1,Table2[[HomeTeam]:[HomeTeam]],$T38, Table2[[AwayTeam]:[AwayTeam]], AY$31, Table2[[ActualResult]:[ActualResult]], "OT") + SUMIFS(Table2[[HomeWon_]:[HomeWon_]], Table2[[GameIsOver]:[GameIsOver]],1,Table2[[AwayTeam]:[AwayTeam]],$T38, Table2[[HomeTeam]:[HomeTeam]], AY$31, Table2[[ActualResult]:[ActualResult]], "SO") + SUMIFS(Table2[[AwayWon]:[AwayWon]], Table2[[GameIsOver]:[GameIsOver]],1,Table2[[HomeTeam]:[HomeTeam]],$T38, Table2[[AwayTeam]:[AwayTeam]], AY$31, Table2[[ActualResult]:[ActualResult]], "SO")))</f>
        <v>0</v>
      </c>
      <c r="AZ38">
        <f>(2*(SUMIFS(Table2[[AwayWon]:[AwayWon]], Table2[[GameIsOver]:[GameIsOver]],1,Table2[[AwayTeam]:[AwayTeam]],$T38, Table2[[HomeTeam]:[HomeTeam]], AZ$31) + SUMIFS(Table2[[HomeWon_]:[HomeWon_]], Table2[[GameIsOver]:[GameIsOver]],1,Table2[[HomeTeam]:[HomeTeam]],$T8, Table2[[AwayTeam]:[AwayTeam]], AZ$31))) + (0*(SUMIFS(Table2[[HomeWon_]:[HomeWon_]], Table2[[GameIsOver]:[GameIsOver]],1,Table2[[AwayTeam]:[AwayTeam]],$T38, Table2[[HomeTeam]:[HomeTeam]], AZ$31, Table2[[ActualResult]:[ActualResult]], "REG") + SUMIFS(Table2[[AwayWon]:[AwayWon]], Table2[[GameIsOver]:[GameIsOver]],1,Table2[[HomeTeam]:[HomeTeam]],$T38, Table2[[AwayTeam]:[AwayTeam]], AZ$31, Table2[[ActualResult]:[ActualResult]], "REG"))) + (1*(SUMIFS(Table2[[HomeWon_]:[HomeWon_]], Table2[[GameIsOver]:[GameIsOver]],1,Table2[[AwayTeam]:[AwayTeam]],$T38, Table2[[HomeTeam]:[HomeTeam]], AZ$31, Table2[[ActualResult]:[ActualResult]], "OT") + SUMIFS(Table2[[AwayWon]:[AwayWon]], Table2[[GameIsOver]:[GameIsOver]],1,Table2[[HomeTeam]:[HomeTeam]],$T38, Table2[[AwayTeam]:[AwayTeam]], AZ$31, Table2[[ActualResult]:[ActualResult]], "OT") + SUMIFS(Table2[[HomeWon_]:[HomeWon_]], Table2[[GameIsOver]:[GameIsOver]],1,Table2[[AwayTeam]:[AwayTeam]],$T38, Table2[[HomeTeam]:[HomeTeam]], AZ$31, Table2[[ActualResult]:[ActualResult]], "SO") + SUMIFS(Table2[[AwayWon]:[AwayWon]], Table2[[GameIsOver]:[GameIsOver]],1,Table2[[HomeTeam]:[HomeTeam]],$T38, Table2[[AwayTeam]:[AwayTeam]], AZ$31, Table2[[ActualResult]:[ActualResult]], "SO")))</f>
        <v>0</v>
      </c>
      <c r="BA38">
        <f>(2*(SUMIFS(Table2[[AwayWon]:[AwayWon]], Table2[[GameIsOver]:[GameIsOver]],1,Table2[[AwayTeam]:[AwayTeam]],$T38, Table2[[HomeTeam]:[HomeTeam]], BA$31) + SUMIFS(Table2[[HomeWon_]:[HomeWon_]], Table2[[GameIsOver]:[GameIsOver]],1,Table2[[HomeTeam]:[HomeTeam]],$T8, Table2[[AwayTeam]:[AwayTeam]], BA$31))) + (0*(SUMIFS(Table2[[HomeWon_]:[HomeWon_]], Table2[[GameIsOver]:[GameIsOver]],1,Table2[[AwayTeam]:[AwayTeam]],$T38, Table2[[HomeTeam]:[HomeTeam]], BA$31, Table2[[ActualResult]:[ActualResult]], "REG") + SUMIFS(Table2[[AwayWon]:[AwayWon]], Table2[[GameIsOver]:[GameIsOver]],1,Table2[[HomeTeam]:[HomeTeam]],$T38, Table2[[AwayTeam]:[AwayTeam]], BA$31, Table2[[ActualResult]:[ActualResult]], "REG"))) + (1*(SUMIFS(Table2[[HomeWon_]:[HomeWon_]], Table2[[GameIsOver]:[GameIsOver]],1,Table2[[AwayTeam]:[AwayTeam]],$T38, Table2[[HomeTeam]:[HomeTeam]], BA$31, Table2[[ActualResult]:[ActualResult]], "OT") + SUMIFS(Table2[[AwayWon]:[AwayWon]], Table2[[GameIsOver]:[GameIsOver]],1,Table2[[HomeTeam]:[HomeTeam]],$T38, Table2[[AwayTeam]:[AwayTeam]], BA$31, Table2[[ActualResult]:[ActualResult]], "OT") + SUMIFS(Table2[[HomeWon_]:[HomeWon_]], Table2[[GameIsOver]:[GameIsOver]],1,Table2[[AwayTeam]:[AwayTeam]],$T38, Table2[[HomeTeam]:[HomeTeam]], BA$31, Table2[[ActualResult]:[ActualResult]], "SO") + SUMIFS(Table2[[AwayWon]:[AwayWon]], Table2[[GameIsOver]:[GameIsOver]],1,Table2[[HomeTeam]:[HomeTeam]],$T38, Table2[[AwayTeam]:[AwayTeam]], BA$31, Table2[[ActualResult]:[ActualResult]], "SO")))</f>
        <v>0</v>
      </c>
    </row>
    <row r="39" spans="1:53" x14ac:dyDescent="0.25">
      <c r="S39">
        <v>1</v>
      </c>
      <c r="T39" t="str" cm="1">
        <f t="array" ref="T39">INDEX(Table6[Teams], SMALL(IF(Table6[D]="A", ROW(Table6[Teams])-ROW(Table6[#Headers])), Table71214[[#This Row],[ATL]]))</f>
        <v>BOS</v>
      </c>
      <c r="U39">
        <f>INDEX(Table6[PTS], MATCH($T39, Table6[Teams], 0))</f>
        <v>6</v>
      </c>
      <c r="V39">
        <f>(2*(SUMIFS(Table2[[AwayWon]:[AwayWon]], Table2[[GameIsOver]:[GameIsOver]],1,Table2[[AwayTeam]:[AwayTeam]],$T39, Table2[[HomeTeam]:[HomeTeam]], V$31) + SUMIFS(Table2[[HomeWon_]:[HomeWon_]], Table2[[GameIsOver]:[GameIsOver]],1,Table2[[HomeTeam]:[HomeTeam]],$T9, Table2[[AwayTeam]:[AwayTeam]], V$31))) + (0*(SUMIFS(Table2[[HomeWon_]:[HomeWon_]], Table2[[GameIsOver]:[GameIsOver]],1,Table2[[AwayTeam]:[AwayTeam]],$T39, Table2[[HomeTeam]:[HomeTeam]], V$31, Table2[[ActualResult]:[ActualResult]], "REG") + SUMIFS(Table2[[AwayWon]:[AwayWon]], Table2[[GameIsOver]:[GameIsOver]],1,Table2[[HomeTeam]:[HomeTeam]],$T39, Table2[[AwayTeam]:[AwayTeam]], V$31, Table2[[ActualResult]:[ActualResult]], "REG"))) + (1*(SUMIFS(Table2[[HomeWon_]:[HomeWon_]], Table2[[GameIsOver]:[GameIsOver]],1,Table2[[AwayTeam]:[AwayTeam]],$T39, Table2[[HomeTeam]:[HomeTeam]], V$31, Table2[[ActualResult]:[ActualResult]], "OT") + SUMIFS(Table2[[AwayWon]:[AwayWon]], Table2[[GameIsOver]:[GameIsOver]],1,Table2[[HomeTeam]:[HomeTeam]],$T39, Table2[[AwayTeam]:[AwayTeam]], V$31, Table2[[ActualResult]:[ActualResult]], "OT") + SUMIFS(Table2[[HomeWon_]:[HomeWon_]], Table2[[GameIsOver]:[GameIsOver]],1,Table2[[AwayTeam]:[AwayTeam]],$T39, Table2[[HomeTeam]:[HomeTeam]], V$31, Table2[[ActualResult]:[ActualResult]], "SO") + SUMIFS(Table2[[AwayWon]:[AwayWon]], Table2[[GameIsOver]:[GameIsOver]],1,Table2[[HomeTeam]:[HomeTeam]],$T39, Table2[[AwayTeam]:[AwayTeam]], V$31, Table2[[ActualResult]:[ActualResult]], "SO")))</f>
        <v>0</v>
      </c>
      <c r="W39">
        <f>(2*(SUMIFS(Table2[[AwayWon]:[AwayWon]], Table2[[GameIsOver]:[GameIsOver]],1,Table2[[AwayTeam]:[AwayTeam]],$T39, Table2[[HomeTeam]:[HomeTeam]], W$31) + SUMIFS(Table2[[HomeWon_]:[HomeWon_]], Table2[[GameIsOver]:[GameIsOver]],1,Table2[[HomeTeam]:[HomeTeam]],$T9, Table2[[AwayTeam]:[AwayTeam]], W$31))) + (0*(SUMIFS(Table2[[HomeWon_]:[HomeWon_]], Table2[[GameIsOver]:[GameIsOver]],1,Table2[[AwayTeam]:[AwayTeam]],$T39, Table2[[HomeTeam]:[HomeTeam]], W$31, Table2[[ActualResult]:[ActualResult]], "REG") + SUMIFS(Table2[[AwayWon]:[AwayWon]], Table2[[GameIsOver]:[GameIsOver]],1,Table2[[HomeTeam]:[HomeTeam]],$T39, Table2[[AwayTeam]:[AwayTeam]], W$31, Table2[[ActualResult]:[ActualResult]], "REG"))) + (1*(SUMIFS(Table2[[HomeWon_]:[HomeWon_]], Table2[[GameIsOver]:[GameIsOver]],1,Table2[[AwayTeam]:[AwayTeam]],$T39, Table2[[HomeTeam]:[HomeTeam]], W$31, Table2[[ActualResult]:[ActualResult]], "OT") + SUMIFS(Table2[[AwayWon]:[AwayWon]], Table2[[GameIsOver]:[GameIsOver]],1,Table2[[HomeTeam]:[HomeTeam]],$T39, Table2[[AwayTeam]:[AwayTeam]], W$31, Table2[[ActualResult]:[ActualResult]], "OT") + SUMIFS(Table2[[HomeWon_]:[HomeWon_]], Table2[[GameIsOver]:[GameIsOver]],1,Table2[[AwayTeam]:[AwayTeam]],$T39, Table2[[HomeTeam]:[HomeTeam]], W$31, Table2[[ActualResult]:[ActualResult]], "SO") + SUMIFS(Table2[[AwayWon]:[AwayWon]], Table2[[GameIsOver]:[GameIsOver]],1,Table2[[HomeTeam]:[HomeTeam]],$T39, Table2[[AwayTeam]:[AwayTeam]], W$31, Table2[[ActualResult]:[ActualResult]], "SO")))</f>
        <v>0</v>
      </c>
      <c r="X39">
        <f>(2*(SUMIFS(Table2[[AwayWon]:[AwayWon]], Table2[[GameIsOver]:[GameIsOver]],1,Table2[[AwayTeam]:[AwayTeam]],$T39, Table2[[HomeTeam]:[HomeTeam]], X$31) + SUMIFS(Table2[[HomeWon_]:[HomeWon_]], Table2[[GameIsOver]:[GameIsOver]],1,Table2[[HomeTeam]:[HomeTeam]],$T9, Table2[[AwayTeam]:[AwayTeam]], X$31))) + (0*(SUMIFS(Table2[[HomeWon_]:[HomeWon_]], Table2[[GameIsOver]:[GameIsOver]],1,Table2[[AwayTeam]:[AwayTeam]],$T39, Table2[[HomeTeam]:[HomeTeam]], X$31, Table2[[ActualResult]:[ActualResult]], "REG") + SUMIFS(Table2[[AwayWon]:[AwayWon]], Table2[[GameIsOver]:[GameIsOver]],1,Table2[[HomeTeam]:[HomeTeam]],$T39, Table2[[AwayTeam]:[AwayTeam]], X$31, Table2[[ActualResult]:[ActualResult]], "REG"))) + (1*(SUMIFS(Table2[[HomeWon_]:[HomeWon_]], Table2[[GameIsOver]:[GameIsOver]],1,Table2[[AwayTeam]:[AwayTeam]],$T39, Table2[[HomeTeam]:[HomeTeam]], X$31, Table2[[ActualResult]:[ActualResult]], "OT") + SUMIFS(Table2[[AwayWon]:[AwayWon]], Table2[[GameIsOver]:[GameIsOver]],1,Table2[[HomeTeam]:[HomeTeam]],$T39, Table2[[AwayTeam]:[AwayTeam]], X$31, Table2[[ActualResult]:[ActualResult]], "OT") + SUMIFS(Table2[[HomeWon_]:[HomeWon_]], Table2[[GameIsOver]:[GameIsOver]],1,Table2[[AwayTeam]:[AwayTeam]],$T39, Table2[[HomeTeam]:[HomeTeam]], X$31, Table2[[ActualResult]:[ActualResult]], "SO") + SUMIFS(Table2[[AwayWon]:[AwayWon]], Table2[[GameIsOver]:[GameIsOver]],1,Table2[[HomeTeam]:[HomeTeam]],$T39, Table2[[AwayTeam]:[AwayTeam]], X$31, Table2[[ActualResult]:[ActualResult]], "SO")))</f>
        <v>0</v>
      </c>
      <c r="Y39">
        <f>(2*(SUMIFS(Table2[[AwayWon]:[AwayWon]], Table2[[GameIsOver]:[GameIsOver]],1,Table2[[AwayTeam]:[AwayTeam]],$T39, Table2[[HomeTeam]:[HomeTeam]], Y$31) + SUMIFS(Table2[[HomeWon_]:[HomeWon_]], Table2[[GameIsOver]:[GameIsOver]],1,Table2[[HomeTeam]:[HomeTeam]],$T9, Table2[[AwayTeam]:[AwayTeam]], Y$31))) + (0*(SUMIFS(Table2[[HomeWon_]:[HomeWon_]], Table2[[GameIsOver]:[GameIsOver]],1,Table2[[AwayTeam]:[AwayTeam]],$T39, Table2[[HomeTeam]:[HomeTeam]], Y$31, Table2[[ActualResult]:[ActualResult]], "REG") + SUMIFS(Table2[[AwayWon]:[AwayWon]], Table2[[GameIsOver]:[GameIsOver]],1,Table2[[HomeTeam]:[HomeTeam]],$T39, Table2[[AwayTeam]:[AwayTeam]], Y$31, Table2[[ActualResult]:[ActualResult]], "REG"))) + (1*(SUMIFS(Table2[[HomeWon_]:[HomeWon_]], Table2[[GameIsOver]:[GameIsOver]],1,Table2[[AwayTeam]:[AwayTeam]],$T39, Table2[[HomeTeam]:[HomeTeam]], Y$31, Table2[[ActualResult]:[ActualResult]], "OT") + SUMIFS(Table2[[AwayWon]:[AwayWon]], Table2[[GameIsOver]:[GameIsOver]],1,Table2[[HomeTeam]:[HomeTeam]],$T39, Table2[[AwayTeam]:[AwayTeam]], Y$31, Table2[[ActualResult]:[ActualResult]], "OT") + SUMIFS(Table2[[HomeWon_]:[HomeWon_]], Table2[[GameIsOver]:[GameIsOver]],1,Table2[[AwayTeam]:[AwayTeam]],$T39, Table2[[HomeTeam]:[HomeTeam]], Y$31, Table2[[ActualResult]:[ActualResult]], "SO") + SUMIFS(Table2[[AwayWon]:[AwayWon]], Table2[[GameIsOver]:[GameIsOver]],1,Table2[[HomeTeam]:[HomeTeam]],$T39, Table2[[AwayTeam]:[AwayTeam]], Y$31, Table2[[ActualResult]:[ActualResult]], "SO")))</f>
        <v>0</v>
      </c>
      <c r="Z39">
        <f>(2*(SUMIFS(Table2[[AwayWon]:[AwayWon]], Table2[[GameIsOver]:[GameIsOver]],1,Table2[[AwayTeam]:[AwayTeam]],$T39, Table2[[HomeTeam]:[HomeTeam]], Z$31) + SUMIFS(Table2[[HomeWon_]:[HomeWon_]], Table2[[GameIsOver]:[GameIsOver]],1,Table2[[HomeTeam]:[HomeTeam]],$T9, Table2[[AwayTeam]:[AwayTeam]], Z$31))) + (0*(SUMIFS(Table2[[HomeWon_]:[HomeWon_]], Table2[[GameIsOver]:[GameIsOver]],1,Table2[[AwayTeam]:[AwayTeam]],$T39, Table2[[HomeTeam]:[HomeTeam]], Z$31, Table2[[ActualResult]:[ActualResult]], "REG") + SUMIFS(Table2[[AwayWon]:[AwayWon]], Table2[[GameIsOver]:[GameIsOver]],1,Table2[[HomeTeam]:[HomeTeam]],$T39, Table2[[AwayTeam]:[AwayTeam]], Z$31, Table2[[ActualResult]:[ActualResult]], "REG"))) + (1*(SUMIFS(Table2[[HomeWon_]:[HomeWon_]], Table2[[GameIsOver]:[GameIsOver]],1,Table2[[AwayTeam]:[AwayTeam]],$T39, Table2[[HomeTeam]:[HomeTeam]], Z$31, Table2[[ActualResult]:[ActualResult]], "OT") + SUMIFS(Table2[[AwayWon]:[AwayWon]], Table2[[GameIsOver]:[GameIsOver]],1,Table2[[HomeTeam]:[HomeTeam]],$T39, Table2[[AwayTeam]:[AwayTeam]], Z$31, Table2[[ActualResult]:[ActualResult]], "OT") + SUMIFS(Table2[[HomeWon_]:[HomeWon_]], Table2[[GameIsOver]:[GameIsOver]],1,Table2[[AwayTeam]:[AwayTeam]],$T39, Table2[[HomeTeam]:[HomeTeam]], Z$31, Table2[[ActualResult]:[ActualResult]], "SO") + SUMIFS(Table2[[AwayWon]:[AwayWon]], Table2[[GameIsOver]:[GameIsOver]],1,Table2[[HomeTeam]:[HomeTeam]],$T39, Table2[[AwayTeam]:[AwayTeam]], Z$31, Table2[[ActualResult]:[ActualResult]], "SO")))</f>
        <v>0</v>
      </c>
      <c r="AA39">
        <f>(2*(SUMIFS(Table2[[AwayWon]:[AwayWon]], Table2[[GameIsOver]:[GameIsOver]],1,Table2[[AwayTeam]:[AwayTeam]],$T39, Table2[[HomeTeam]:[HomeTeam]], AA$31) + SUMIFS(Table2[[HomeWon_]:[HomeWon_]], Table2[[GameIsOver]:[GameIsOver]],1,Table2[[HomeTeam]:[HomeTeam]],$T9, Table2[[AwayTeam]:[AwayTeam]], AA$31))) + (0*(SUMIFS(Table2[[HomeWon_]:[HomeWon_]], Table2[[GameIsOver]:[GameIsOver]],1,Table2[[AwayTeam]:[AwayTeam]],$T39, Table2[[HomeTeam]:[HomeTeam]], AA$31, Table2[[ActualResult]:[ActualResult]], "REG") + SUMIFS(Table2[[AwayWon]:[AwayWon]], Table2[[GameIsOver]:[GameIsOver]],1,Table2[[HomeTeam]:[HomeTeam]],$T39, Table2[[AwayTeam]:[AwayTeam]], AA$31, Table2[[ActualResult]:[ActualResult]], "REG"))) + (1*(SUMIFS(Table2[[HomeWon_]:[HomeWon_]], Table2[[GameIsOver]:[GameIsOver]],1,Table2[[AwayTeam]:[AwayTeam]],$T39, Table2[[HomeTeam]:[HomeTeam]], AA$31, Table2[[ActualResult]:[ActualResult]], "OT") + SUMIFS(Table2[[AwayWon]:[AwayWon]], Table2[[GameIsOver]:[GameIsOver]],1,Table2[[HomeTeam]:[HomeTeam]],$T39, Table2[[AwayTeam]:[AwayTeam]], AA$31, Table2[[ActualResult]:[ActualResult]], "OT") + SUMIFS(Table2[[HomeWon_]:[HomeWon_]], Table2[[GameIsOver]:[GameIsOver]],1,Table2[[AwayTeam]:[AwayTeam]],$T39, Table2[[HomeTeam]:[HomeTeam]], AA$31, Table2[[ActualResult]:[ActualResult]], "SO") + SUMIFS(Table2[[AwayWon]:[AwayWon]], Table2[[GameIsOver]:[GameIsOver]],1,Table2[[HomeTeam]:[HomeTeam]],$T39, Table2[[AwayTeam]:[AwayTeam]], AA$31, Table2[[ActualResult]:[ActualResult]], "SO")))</f>
        <v>0</v>
      </c>
      <c r="AB39">
        <f>(2*(SUMIFS(Table2[[AwayWon]:[AwayWon]], Table2[[GameIsOver]:[GameIsOver]],1,Table2[[AwayTeam]:[AwayTeam]],$T39, Table2[[HomeTeam]:[HomeTeam]], AB$31) + SUMIFS(Table2[[HomeWon_]:[HomeWon_]], Table2[[GameIsOver]:[GameIsOver]],1,Table2[[HomeTeam]:[HomeTeam]],$T9, Table2[[AwayTeam]:[AwayTeam]], AB$31))) + (0*(SUMIFS(Table2[[HomeWon_]:[HomeWon_]], Table2[[GameIsOver]:[GameIsOver]],1,Table2[[AwayTeam]:[AwayTeam]],$T39, Table2[[HomeTeam]:[HomeTeam]], AB$31, Table2[[ActualResult]:[ActualResult]], "REG") + SUMIFS(Table2[[AwayWon]:[AwayWon]], Table2[[GameIsOver]:[GameIsOver]],1,Table2[[HomeTeam]:[HomeTeam]],$T39, Table2[[AwayTeam]:[AwayTeam]], AB$31, Table2[[ActualResult]:[ActualResult]], "REG"))) + (1*(SUMIFS(Table2[[HomeWon_]:[HomeWon_]], Table2[[GameIsOver]:[GameIsOver]],1,Table2[[AwayTeam]:[AwayTeam]],$T39, Table2[[HomeTeam]:[HomeTeam]], AB$31, Table2[[ActualResult]:[ActualResult]], "OT") + SUMIFS(Table2[[AwayWon]:[AwayWon]], Table2[[GameIsOver]:[GameIsOver]],1,Table2[[HomeTeam]:[HomeTeam]],$T39, Table2[[AwayTeam]:[AwayTeam]], AB$31, Table2[[ActualResult]:[ActualResult]], "OT") + SUMIFS(Table2[[HomeWon_]:[HomeWon_]], Table2[[GameIsOver]:[GameIsOver]],1,Table2[[AwayTeam]:[AwayTeam]],$T39, Table2[[HomeTeam]:[HomeTeam]], AB$31, Table2[[ActualResult]:[ActualResult]], "SO") + SUMIFS(Table2[[AwayWon]:[AwayWon]], Table2[[GameIsOver]:[GameIsOver]],1,Table2[[HomeTeam]:[HomeTeam]],$T39, Table2[[AwayTeam]:[AwayTeam]], AB$31, Table2[[ActualResult]:[ActualResult]], "SO")))</f>
        <v>0</v>
      </c>
      <c r="AC39">
        <f>(2*(SUMIFS(Table2[[AwayWon]:[AwayWon]], Table2[[GameIsOver]:[GameIsOver]],1,Table2[[AwayTeam]:[AwayTeam]],$T39, Table2[[HomeTeam]:[HomeTeam]], AC$31) + SUMIFS(Table2[[HomeWon_]:[HomeWon_]], Table2[[GameIsOver]:[GameIsOver]],1,Table2[[HomeTeam]:[HomeTeam]],$T9, Table2[[AwayTeam]:[AwayTeam]], AC$31))) + (0*(SUMIFS(Table2[[HomeWon_]:[HomeWon_]], Table2[[GameIsOver]:[GameIsOver]],1,Table2[[AwayTeam]:[AwayTeam]],$T39, Table2[[HomeTeam]:[HomeTeam]], AC$31, Table2[[ActualResult]:[ActualResult]], "REG") + SUMIFS(Table2[[AwayWon]:[AwayWon]], Table2[[GameIsOver]:[GameIsOver]],1,Table2[[HomeTeam]:[HomeTeam]],$T39, Table2[[AwayTeam]:[AwayTeam]], AC$31, Table2[[ActualResult]:[ActualResult]], "REG"))) + (1*(SUMIFS(Table2[[HomeWon_]:[HomeWon_]], Table2[[GameIsOver]:[GameIsOver]],1,Table2[[AwayTeam]:[AwayTeam]],$T39, Table2[[HomeTeam]:[HomeTeam]], AC$31, Table2[[ActualResult]:[ActualResult]], "OT") + SUMIFS(Table2[[AwayWon]:[AwayWon]], Table2[[GameIsOver]:[GameIsOver]],1,Table2[[HomeTeam]:[HomeTeam]],$T39, Table2[[AwayTeam]:[AwayTeam]], AC$31, Table2[[ActualResult]:[ActualResult]], "OT") + SUMIFS(Table2[[HomeWon_]:[HomeWon_]], Table2[[GameIsOver]:[GameIsOver]],1,Table2[[AwayTeam]:[AwayTeam]],$T39, Table2[[HomeTeam]:[HomeTeam]], AC$31, Table2[[ActualResult]:[ActualResult]], "SO") + SUMIFS(Table2[[AwayWon]:[AwayWon]], Table2[[GameIsOver]:[GameIsOver]],1,Table2[[HomeTeam]:[HomeTeam]],$T39, Table2[[AwayTeam]:[AwayTeam]], AC$31, Table2[[ActualResult]:[ActualResult]], "SO")))</f>
        <v>0</v>
      </c>
      <c r="AD39">
        <f>(2*(SUMIFS(Table2[[AwayWon]:[AwayWon]], Table2[[GameIsOver]:[GameIsOver]],1,Table2[[AwayTeam]:[AwayTeam]],$T39, Table2[[HomeTeam]:[HomeTeam]], AD$31) + SUMIFS(Table2[[HomeWon_]:[HomeWon_]], Table2[[GameIsOver]:[GameIsOver]],1,Table2[[HomeTeam]:[HomeTeam]],$T9, Table2[[AwayTeam]:[AwayTeam]], AD$31))) + (0*(SUMIFS(Table2[[HomeWon_]:[HomeWon_]], Table2[[GameIsOver]:[GameIsOver]],1,Table2[[AwayTeam]:[AwayTeam]],$T39, Table2[[HomeTeam]:[HomeTeam]], AD$31, Table2[[ActualResult]:[ActualResult]], "REG") + SUMIFS(Table2[[AwayWon]:[AwayWon]], Table2[[GameIsOver]:[GameIsOver]],1,Table2[[HomeTeam]:[HomeTeam]],$T39, Table2[[AwayTeam]:[AwayTeam]], AD$31, Table2[[ActualResult]:[ActualResult]], "REG"))) + (1*(SUMIFS(Table2[[HomeWon_]:[HomeWon_]], Table2[[GameIsOver]:[GameIsOver]],1,Table2[[AwayTeam]:[AwayTeam]],$T39, Table2[[HomeTeam]:[HomeTeam]], AD$31, Table2[[ActualResult]:[ActualResult]], "OT") + SUMIFS(Table2[[AwayWon]:[AwayWon]], Table2[[GameIsOver]:[GameIsOver]],1,Table2[[HomeTeam]:[HomeTeam]],$T39, Table2[[AwayTeam]:[AwayTeam]], AD$31, Table2[[ActualResult]:[ActualResult]], "OT") + SUMIFS(Table2[[HomeWon_]:[HomeWon_]], Table2[[GameIsOver]:[GameIsOver]],1,Table2[[AwayTeam]:[AwayTeam]],$T39, Table2[[HomeTeam]:[HomeTeam]], AD$31, Table2[[ActualResult]:[ActualResult]], "SO") + SUMIFS(Table2[[AwayWon]:[AwayWon]], Table2[[GameIsOver]:[GameIsOver]],1,Table2[[HomeTeam]:[HomeTeam]],$T39, Table2[[AwayTeam]:[AwayTeam]], AD$31, Table2[[ActualResult]:[ActualResult]], "SO")))</f>
        <v>0</v>
      </c>
      <c r="AE39">
        <f>(2*(SUMIFS(Table2[[AwayWon]:[AwayWon]], Table2[[GameIsOver]:[GameIsOver]],1,Table2[[AwayTeam]:[AwayTeam]],$T39, Table2[[HomeTeam]:[HomeTeam]], AE$31) + SUMIFS(Table2[[HomeWon_]:[HomeWon_]], Table2[[GameIsOver]:[GameIsOver]],1,Table2[[HomeTeam]:[HomeTeam]],$T9, Table2[[AwayTeam]:[AwayTeam]], AE$31))) + (0*(SUMIFS(Table2[[HomeWon_]:[HomeWon_]], Table2[[GameIsOver]:[GameIsOver]],1,Table2[[AwayTeam]:[AwayTeam]],$T39, Table2[[HomeTeam]:[HomeTeam]], AE$31, Table2[[ActualResult]:[ActualResult]], "REG") + SUMIFS(Table2[[AwayWon]:[AwayWon]], Table2[[GameIsOver]:[GameIsOver]],1,Table2[[HomeTeam]:[HomeTeam]],$T39, Table2[[AwayTeam]:[AwayTeam]], AE$31, Table2[[ActualResult]:[ActualResult]], "REG"))) + (1*(SUMIFS(Table2[[HomeWon_]:[HomeWon_]], Table2[[GameIsOver]:[GameIsOver]],1,Table2[[AwayTeam]:[AwayTeam]],$T39, Table2[[HomeTeam]:[HomeTeam]], AE$31, Table2[[ActualResult]:[ActualResult]], "OT") + SUMIFS(Table2[[AwayWon]:[AwayWon]], Table2[[GameIsOver]:[GameIsOver]],1,Table2[[HomeTeam]:[HomeTeam]],$T39, Table2[[AwayTeam]:[AwayTeam]], AE$31, Table2[[ActualResult]:[ActualResult]], "OT") + SUMIFS(Table2[[HomeWon_]:[HomeWon_]], Table2[[GameIsOver]:[GameIsOver]],1,Table2[[AwayTeam]:[AwayTeam]],$T39, Table2[[HomeTeam]:[HomeTeam]], AE$31, Table2[[ActualResult]:[ActualResult]], "SO") + SUMIFS(Table2[[AwayWon]:[AwayWon]], Table2[[GameIsOver]:[GameIsOver]],1,Table2[[HomeTeam]:[HomeTeam]],$T39, Table2[[AwayTeam]:[AwayTeam]], AE$31, Table2[[ActualResult]:[ActualResult]], "SO")))</f>
        <v>0</v>
      </c>
      <c r="AF39">
        <f>(2*(SUMIFS(Table2[[AwayWon]:[AwayWon]], Table2[[GameIsOver]:[GameIsOver]],1,Table2[[AwayTeam]:[AwayTeam]],$T39, Table2[[HomeTeam]:[HomeTeam]], AF$31) + SUMIFS(Table2[[HomeWon_]:[HomeWon_]], Table2[[GameIsOver]:[GameIsOver]],1,Table2[[HomeTeam]:[HomeTeam]],$T9, Table2[[AwayTeam]:[AwayTeam]], AF$31))) + (0*(SUMIFS(Table2[[HomeWon_]:[HomeWon_]], Table2[[GameIsOver]:[GameIsOver]],1,Table2[[AwayTeam]:[AwayTeam]],$T39, Table2[[HomeTeam]:[HomeTeam]], AF$31, Table2[[ActualResult]:[ActualResult]], "REG") + SUMIFS(Table2[[AwayWon]:[AwayWon]], Table2[[GameIsOver]:[GameIsOver]],1,Table2[[HomeTeam]:[HomeTeam]],$T39, Table2[[AwayTeam]:[AwayTeam]], AF$31, Table2[[ActualResult]:[ActualResult]], "REG"))) + (1*(SUMIFS(Table2[[HomeWon_]:[HomeWon_]], Table2[[GameIsOver]:[GameIsOver]],1,Table2[[AwayTeam]:[AwayTeam]],$T39, Table2[[HomeTeam]:[HomeTeam]], AF$31, Table2[[ActualResult]:[ActualResult]], "OT") + SUMIFS(Table2[[AwayWon]:[AwayWon]], Table2[[GameIsOver]:[GameIsOver]],1,Table2[[HomeTeam]:[HomeTeam]],$T39, Table2[[AwayTeam]:[AwayTeam]], AF$31, Table2[[ActualResult]:[ActualResult]], "OT") + SUMIFS(Table2[[HomeWon_]:[HomeWon_]], Table2[[GameIsOver]:[GameIsOver]],1,Table2[[AwayTeam]:[AwayTeam]],$T39, Table2[[HomeTeam]:[HomeTeam]], AF$31, Table2[[ActualResult]:[ActualResult]], "SO") + SUMIFS(Table2[[AwayWon]:[AwayWon]], Table2[[GameIsOver]:[GameIsOver]],1,Table2[[HomeTeam]:[HomeTeam]],$T39, Table2[[AwayTeam]:[AwayTeam]], AF$31, Table2[[ActualResult]:[ActualResult]], "SO")))</f>
        <v>0</v>
      </c>
      <c r="AG39">
        <f>(2*(SUMIFS(Table2[[AwayWon]:[AwayWon]], Table2[[GameIsOver]:[GameIsOver]],1,Table2[[AwayTeam]:[AwayTeam]],$T39, Table2[[HomeTeam]:[HomeTeam]], AG$31) + SUMIFS(Table2[[HomeWon_]:[HomeWon_]], Table2[[GameIsOver]:[GameIsOver]],1,Table2[[HomeTeam]:[HomeTeam]],$T9, Table2[[AwayTeam]:[AwayTeam]], AG$31))) + (0*(SUMIFS(Table2[[HomeWon_]:[HomeWon_]], Table2[[GameIsOver]:[GameIsOver]],1,Table2[[AwayTeam]:[AwayTeam]],$T39, Table2[[HomeTeam]:[HomeTeam]], AG$31, Table2[[ActualResult]:[ActualResult]], "REG") + SUMIFS(Table2[[AwayWon]:[AwayWon]], Table2[[GameIsOver]:[GameIsOver]],1,Table2[[HomeTeam]:[HomeTeam]],$T39, Table2[[AwayTeam]:[AwayTeam]], AG$31, Table2[[ActualResult]:[ActualResult]], "REG"))) + (1*(SUMIFS(Table2[[HomeWon_]:[HomeWon_]], Table2[[GameIsOver]:[GameIsOver]],1,Table2[[AwayTeam]:[AwayTeam]],$T39, Table2[[HomeTeam]:[HomeTeam]], AG$31, Table2[[ActualResult]:[ActualResult]], "OT") + SUMIFS(Table2[[AwayWon]:[AwayWon]], Table2[[GameIsOver]:[GameIsOver]],1,Table2[[HomeTeam]:[HomeTeam]],$T39, Table2[[AwayTeam]:[AwayTeam]], AG$31, Table2[[ActualResult]:[ActualResult]], "OT") + SUMIFS(Table2[[HomeWon_]:[HomeWon_]], Table2[[GameIsOver]:[GameIsOver]],1,Table2[[AwayTeam]:[AwayTeam]],$T39, Table2[[HomeTeam]:[HomeTeam]], AG$31, Table2[[ActualResult]:[ActualResult]], "SO") + SUMIFS(Table2[[AwayWon]:[AwayWon]], Table2[[GameIsOver]:[GameIsOver]],1,Table2[[HomeTeam]:[HomeTeam]],$T39, Table2[[AwayTeam]:[AwayTeam]], AG$31, Table2[[ActualResult]:[ActualResult]], "SO")))</f>
        <v>0</v>
      </c>
      <c r="AH39">
        <f>(2*(SUMIFS(Table2[[AwayWon]:[AwayWon]], Table2[[GameIsOver]:[GameIsOver]],1,Table2[[AwayTeam]:[AwayTeam]],$T39, Table2[[HomeTeam]:[HomeTeam]], AH$31) + SUMIFS(Table2[[HomeWon_]:[HomeWon_]], Table2[[GameIsOver]:[GameIsOver]],1,Table2[[HomeTeam]:[HomeTeam]],$T9, Table2[[AwayTeam]:[AwayTeam]], AH$31))) + (0*(SUMIFS(Table2[[HomeWon_]:[HomeWon_]], Table2[[GameIsOver]:[GameIsOver]],1,Table2[[AwayTeam]:[AwayTeam]],$T39, Table2[[HomeTeam]:[HomeTeam]], AH$31, Table2[[ActualResult]:[ActualResult]], "REG") + SUMIFS(Table2[[AwayWon]:[AwayWon]], Table2[[GameIsOver]:[GameIsOver]],1,Table2[[HomeTeam]:[HomeTeam]],$T39, Table2[[AwayTeam]:[AwayTeam]], AH$31, Table2[[ActualResult]:[ActualResult]], "REG"))) + (1*(SUMIFS(Table2[[HomeWon_]:[HomeWon_]], Table2[[GameIsOver]:[GameIsOver]],1,Table2[[AwayTeam]:[AwayTeam]],$T39, Table2[[HomeTeam]:[HomeTeam]], AH$31, Table2[[ActualResult]:[ActualResult]], "OT") + SUMIFS(Table2[[AwayWon]:[AwayWon]], Table2[[GameIsOver]:[GameIsOver]],1,Table2[[HomeTeam]:[HomeTeam]],$T39, Table2[[AwayTeam]:[AwayTeam]], AH$31, Table2[[ActualResult]:[ActualResult]], "OT") + SUMIFS(Table2[[HomeWon_]:[HomeWon_]], Table2[[GameIsOver]:[GameIsOver]],1,Table2[[AwayTeam]:[AwayTeam]],$T39, Table2[[HomeTeam]:[HomeTeam]], AH$31, Table2[[ActualResult]:[ActualResult]], "SO") + SUMIFS(Table2[[AwayWon]:[AwayWon]], Table2[[GameIsOver]:[GameIsOver]],1,Table2[[HomeTeam]:[HomeTeam]],$T39, Table2[[AwayTeam]:[AwayTeam]], AH$31, Table2[[ActualResult]:[ActualResult]], "SO")))</f>
        <v>0</v>
      </c>
      <c r="AI39">
        <f>(2*(SUMIFS(Table2[[AwayWon]:[AwayWon]], Table2[[GameIsOver]:[GameIsOver]],1,Table2[[AwayTeam]:[AwayTeam]],$T39, Table2[[HomeTeam]:[HomeTeam]], AI$31) + SUMIFS(Table2[[HomeWon_]:[HomeWon_]], Table2[[GameIsOver]:[GameIsOver]],1,Table2[[HomeTeam]:[HomeTeam]],$T9, Table2[[AwayTeam]:[AwayTeam]], AI$31))) + (0*(SUMIFS(Table2[[HomeWon_]:[HomeWon_]], Table2[[GameIsOver]:[GameIsOver]],1,Table2[[AwayTeam]:[AwayTeam]],$T39, Table2[[HomeTeam]:[HomeTeam]], AI$31, Table2[[ActualResult]:[ActualResult]], "REG") + SUMIFS(Table2[[AwayWon]:[AwayWon]], Table2[[GameIsOver]:[GameIsOver]],1,Table2[[HomeTeam]:[HomeTeam]],$T39, Table2[[AwayTeam]:[AwayTeam]], AI$31, Table2[[ActualResult]:[ActualResult]], "REG"))) + (1*(SUMIFS(Table2[[HomeWon_]:[HomeWon_]], Table2[[GameIsOver]:[GameIsOver]],1,Table2[[AwayTeam]:[AwayTeam]],$T39, Table2[[HomeTeam]:[HomeTeam]], AI$31, Table2[[ActualResult]:[ActualResult]], "OT") + SUMIFS(Table2[[AwayWon]:[AwayWon]], Table2[[GameIsOver]:[GameIsOver]],1,Table2[[HomeTeam]:[HomeTeam]],$T39, Table2[[AwayTeam]:[AwayTeam]], AI$31, Table2[[ActualResult]:[ActualResult]], "OT") + SUMIFS(Table2[[HomeWon_]:[HomeWon_]], Table2[[GameIsOver]:[GameIsOver]],1,Table2[[AwayTeam]:[AwayTeam]],$T39, Table2[[HomeTeam]:[HomeTeam]], AI$31, Table2[[ActualResult]:[ActualResult]], "SO") + SUMIFS(Table2[[AwayWon]:[AwayWon]], Table2[[GameIsOver]:[GameIsOver]],1,Table2[[HomeTeam]:[HomeTeam]],$T39, Table2[[AwayTeam]:[AwayTeam]], AI$31, Table2[[ActualResult]:[ActualResult]], "SO")))</f>
        <v>0</v>
      </c>
      <c r="AJ39">
        <f>(2*(SUMIFS(Table2[[AwayWon]:[AwayWon]], Table2[[GameIsOver]:[GameIsOver]],1,Table2[[AwayTeam]:[AwayTeam]],$T39, Table2[[HomeTeam]:[HomeTeam]], AJ$31) + SUMIFS(Table2[[HomeWon_]:[HomeWon_]], Table2[[GameIsOver]:[GameIsOver]],1,Table2[[HomeTeam]:[HomeTeam]],$T9, Table2[[AwayTeam]:[AwayTeam]], AJ$31))) + (0*(SUMIFS(Table2[[HomeWon_]:[HomeWon_]], Table2[[GameIsOver]:[GameIsOver]],1,Table2[[AwayTeam]:[AwayTeam]],$T39, Table2[[HomeTeam]:[HomeTeam]], AJ$31, Table2[[ActualResult]:[ActualResult]], "REG") + SUMIFS(Table2[[AwayWon]:[AwayWon]], Table2[[GameIsOver]:[GameIsOver]],1,Table2[[HomeTeam]:[HomeTeam]],$T39, Table2[[AwayTeam]:[AwayTeam]], AJ$31, Table2[[ActualResult]:[ActualResult]], "REG"))) + (1*(SUMIFS(Table2[[HomeWon_]:[HomeWon_]], Table2[[GameIsOver]:[GameIsOver]],1,Table2[[AwayTeam]:[AwayTeam]],$T39, Table2[[HomeTeam]:[HomeTeam]], AJ$31, Table2[[ActualResult]:[ActualResult]], "OT") + SUMIFS(Table2[[AwayWon]:[AwayWon]], Table2[[GameIsOver]:[GameIsOver]],1,Table2[[HomeTeam]:[HomeTeam]],$T39, Table2[[AwayTeam]:[AwayTeam]], AJ$31, Table2[[ActualResult]:[ActualResult]], "OT") + SUMIFS(Table2[[HomeWon_]:[HomeWon_]], Table2[[GameIsOver]:[GameIsOver]],1,Table2[[AwayTeam]:[AwayTeam]],$T39, Table2[[HomeTeam]:[HomeTeam]], AJ$31, Table2[[ActualResult]:[ActualResult]], "SO") + SUMIFS(Table2[[AwayWon]:[AwayWon]], Table2[[GameIsOver]:[GameIsOver]],1,Table2[[HomeTeam]:[HomeTeam]],$T39, Table2[[AwayTeam]:[AwayTeam]], AJ$31, Table2[[ActualResult]:[ActualResult]], "SO")))</f>
        <v>0</v>
      </c>
      <c r="AK39">
        <f>(2*(SUMIFS(Table2[[AwayWon]:[AwayWon]], Table2[[GameIsOver]:[GameIsOver]],1,Table2[[AwayTeam]:[AwayTeam]],$T39, Table2[[HomeTeam]:[HomeTeam]], AK$31) + SUMIFS(Table2[[HomeWon_]:[HomeWon_]], Table2[[GameIsOver]:[GameIsOver]],1,Table2[[HomeTeam]:[HomeTeam]],$T9, Table2[[AwayTeam]:[AwayTeam]], AK$31))) + (0*(SUMIFS(Table2[[HomeWon_]:[HomeWon_]], Table2[[GameIsOver]:[GameIsOver]],1,Table2[[AwayTeam]:[AwayTeam]],$T39, Table2[[HomeTeam]:[HomeTeam]], AK$31, Table2[[ActualResult]:[ActualResult]], "REG") + SUMIFS(Table2[[AwayWon]:[AwayWon]], Table2[[GameIsOver]:[GameIsOver]],1,Table2[[HomeTeam]:[HomeTeam]],$T39, Table2[[AwayTeam]:[AwayTeam]], AK$31, Table2[[ActualResult]:[ActualResult]], "REG"))) + (1*(SUMIFS(Table2[[HomeWon_]:[HomeWon_]], Table2[[GameIsOver]:[GameIsOver]],1,Table2[[AwayTeam]:[AwayTeam]],$T39, Table2[[HomeTeam]:[HomeTeam]], AK$31, Table2[[ActualResult]:[ActualResult]], "OT") + SUMIFS(Table2[[AwayWon]:[AwayWon]], Table2[[GameIsOver]:[GameIsOver]],1,Table2[[HomeTeam]:[HomeTeam]],$T39, Table2[[AwayTeam]:[AwayTeam]], AK$31, Table2[[ActualResult]:[ActualResult]], "OT") + SUMIFS(Table2[[HomeWon_]:[HomeWon_]], Table2[[GameIsOver]:[GameIsOver]],1,Table2[[AwayTeam]:[AwayTeam]],$T39, Table2[[HomeTeam]:[HomeTeam]], AK$31, Table2[[ActualResult]:[ActualResult]], "SO") + SUMIFS(Table2[[AwayWon]:[AwayWon]], Table2[[GameIsOver]:[GameIsOver]],1,Table2[[HomeTeam]:[HomeTeam]],$T39, Table2[[AwayTeam]:[AwayTeam]], AK$31, Table2[[ActualResult]:[ActualResult]], "SO")))</f>
        <v>0</v>
      </c>
      <c r="AL39">
        <f>(2*(SUMIFS(Table2[[AwayWon]:[AwayWon]], Table2[[GameIsOver]:[GameIsOver]],1,Table2[[AwayTeam]:[AwayTeam]],$T39, Table2[[HomeTeam]:[HomeTeam]], AL$31) + SUMIFS(Table2[[HomeWon_]:[HomeWon_]], Table2[[GameIsOver]:[GameIsOver]],1,Table2[[HomeTeam]:[HomeTeam]],$T9, Table2[[AwayTeam]:[AwayTeam]], AL$31))) + (0*(SUMIFS(Table2[[HomeWon_]:[HomeWon_]], Table2[[GameIsOver]:[GameIsOver]],1,Table2[[AwayTeam]:[AwayTeam]],$T39, Table2[[HomeTeam]:[HomeTeam]], AL$31, Table2[[ActualResult]:[ActualResult]], "REG") + SUMIFS(Table2[[AwayWon]:[AwayWon]], Table2[[GameIsOver]:[GameIsOver]],1,Table2[[HomeTeam]:[HomeTeam]],$T39, Table2[[AwayTeam]:[AwayTeam]], AL$31, Table2[[ActualResult]:[ActualResult]], "REG"))) + (1*(SUMIFS(Table2[[HomeWon_]:[HomeWon_]], Table2[[GameIsOver]:[GameIsOver]],1,Table2[[AwayTeam]:[AwayTeam]],$T39, Table2[[HomeTeam]:[HomeTeam]], AL$31, Table2[[ActualResult]:[ActualResult]], "OT") + SUMIFS(Table2[[AwayWon]:[AwayWon]], Table2[[GameIsOver]:[GameIsOver]],1,Table2[[HomeTeam]:[HomeTeam]],$T39, Table2[[AwayTeam]:[AwayTeam]], AL$31, Table2[[ActualResult]:[ActualResult]], "OT") + SUMIFS(Table2[[HomeWon_]:[HomeWon_]], Table2[[GameIsOver]:[GameIsOver]],1,Table2[[AwayTeam]:[AwayTeam]],$T39, Table2[[HomeTeam]:[HomeTeam]], AL$31, Table2[[ActualResult]:[ActualResult]], "SO") + SUMIFS(Table2[[AwayWon]:[AwayWon]], Table2[[GameIsOver]:[GameIsOver]],1,Table2[[HomeTeam]:[HomeTeam]],$T39, Table2[[AwayTeam]:[AwayTeam]], AL$31, Table2[[ActualResult]:[ActualResult]], "SO")))</f>
        <v>0</v>
      </c>
      <c r="AM39">
        <f>(2*(SUMIFS(Table2[[AwayWon]:[AwayWon]], Table2[[GameIsOver]:[GameIsOver]],1,Table2[[AwayTeam]:[AwayTeam]],$T39, Table2[[HomeTeam]:[HomeTeam]], AM$31) + SUMIFS(Table2[[HomeWon_]:[HomeWon_]], Table2[[GameIsOver]:[GameIsOver]],1,Table2[[HomeTeam]:[HomeTeam]],$T9, Table2[[AwayTeam]:[AwayTeam]], AM$31))) + (0*(SUMIFS(Table2[[HomeWon_]:[HomeWon_]], Table2[[GameIsOver]:[GameIsOver]],1,Table2[[AwayTeam]:[AwayTeam]],$T39, Table2[[HomeTeam]:[HomeTeam]], AM$31, Table2[[ActualResult]:[ActualResult]], "REG") + SUMIFS(Table2[[AwayWon]:[AwayWon]], Table2[[GameIsOver]:[GameIsOver]],1,Table2[[HomeTeam]:[HomeTeam]],$T39, Table2[[AwayTeam]:[AwayTeam]], AM$31, Table2[[ActualResult]:[ActualResult]], "REG"))) + (1*(SUMIFS(Table2[[HomeWon_]:[HomeWon_]], Table2[[GameIsOver]:[GameIsOver]],1,Table2[[AwayTeam]:[AwayTeam]],$T39, Table2[[HomeTeam]:[HomeTeam]], AM$31, Table2[[ActualResult]:[ActualResult]], "OT") + SUMIFS(Table2[[AwayWon]:[AwayWon]], Table2[[GameIsOver]:[GameIsOver]],1,Table2[[HomeTeam]:[HomeTeam]],$T39, Table2[[AwayTeam]:[AwayTeam]], AM$31, Table2[[ActualResult]:[ActualResult]], "OT") + SUMIFS(Table2[[HomeWon_]:[HomeWon_]], Table2[[GameIsOver]:[GameIsOver]],1,Table2[[AwayTeam]:[AwayTeam]],$T39, Table2[[HomeTeam]:[HomeTeam]], AM$31, Table2[[ActualResult]:[ActualResult]], "SO") + SUMIFS(Table2[[AwayWon]:[AwayWon]], Table2[[GameIsOver]:[GameIsOver]],1,Table2[[HomeTeam]:[HomeTeam]],$T39, Table2[[AwayTeam]:[AwayTeam]], AM$31, Table2[[ActualResult]:[ActualResult]], "SO")))</f>
        <v>0</v>
      </c>
      <c r="AN39">
        <f>(2*(SUMIFS(Table2[[AwayWon]:[AwayWon]], Table2[[GameIsOver]:[GameIsOver]],1,Table2[[AwayTeam]:[AwayTeam]],$T39, Table2[[HomeTeam]:[HomeTeam]], AN$31) + SUMIFS(Table2[[HomeWon_]:[HomeWon_]], Table2[[GameIsOver]:[GameIsOver]],1,Table2[[HomeTeam]:[HomeTeam]],$T9, Table2[[AwayTeam]:[AwayTeam]], AN$31))) + (0*(SUMIFS(Table2[[HomeWon_]:[HomeWon_]], Table2[[GameIsOver]:[GameIsOver]],1,Table2[[AwayTeam]:[AwayTeam]],$T39, Table2[[HomeTeam]:[HomeTeam]], AN$31, Table2[[ActualResult]:[ActualResult]], "REG") + SUMIFS(Table2[[AwayWon]:[AwayWon]], Table2[[GameIsOver]:[GameIsOver]],1,Table2[[HomeTeam]:[HomeTeam]],$T39, Table2[[AwayTeam]:[AwayTeam]], AN$31, Table2[[ActualResult]:[ActualResult]], "REG"))) + (1*(SUMIFS(Table2[[HomeWon_]:[HomeWon_]], Table2[[GameIsOver]:[GameIsOver]],1,Table2[[AwayTeam]:[AwayTeam]],$T39, Table2[[HomeTeam]:[HomeTeam]], AN$31, Table2[[ActualResult]:[ActualResult]], "OT") + SUMIFS(Table2[[AwayWon]:[AwayWon]], Table2[[GameIsOver]:[GameIsOver]],1,Table2[[HomeTeam]:[HomeTeam]],$T39, Table2[[AwayTeam]:[AwayTeam]], AN$31, Table2[[ActualResult]:[ActualResult]], "OT") + SUMIFS(Table2[[HomeWon_]:[HomeWon_]], Table2[[GameIsOver]:[GameIsOver]],1,Table2[[AwayTeam]:[AwayTeam]],$T39, Table2[[HomeTeam]:[HomeTeam]], AN$31, Table2[[ActualResult]:[ActualResult]], "SO") + SUMIFS(Table2[[AwayWon]:[AwayWon]], Table2[[GameIsOver]:[GameIsOver]],1,Table2[[HomeTeam]:[HomeTeam]],$T39, Table2[[AwayTeam]:[AwayTeam]], AN$31, Table2[[ActualResult]:[ActualResult]], "SO")))</f>
        <v>0</v>
      </c>
      <c r="AO39">
        <f>(2*(SUMIFS(Table2[[AwayWon]:[AwayWon]], Table2[[GameIsOver]:[GameIsOver]],1,Table2[[AwayTeam]:[AwayTeam]],$T39, Table2[[HomeTeam]:[HomeTeam]], AO$31) + SUMIFS(Table2[[HomeWon_]:[HomeWon_]], Table2[[GameIsOver]:[GameIsOver]],1,Table2[[HomeTeam]:[HomeTeam]],$T9, Table2[[AwayTeam]:[AwayTeam]], AO$31))) + (0*(SUMIFS(Table2[[HomeWon_]:[HomeWon_]], Table2[[GameIsOver]:[GameIsOver]],1,Table2[[AwayTeam]:[AwayTeam]],$T39, Table2[[HomeTeam]:[HomeTeam]], AO$31, Table2[[ActualResult]:[ActualResult]], "REG") + SUMIFS(Table2[[AwayWon]:[AwayWon]], Table2[[GameIsOver]:[GameIsOver]],1,Table2[[HomeTeam]:[HomeTeam]],$T39, Table2[[AwayTeam]:[AwayTeam]], AO$31, Table2[[ActualResult]:[ActualResult]], "REG"))) + (1*(SUMIFS(Table2[[HomeWon_]:[HomeWon_]], Table2[[GameIsOver]:[GameIsOver]],1,Table2[[AwayTeam]:[AwayTeam]],$T39, Table2[[HomeTeam]:[HomeTeam]], AO$31, Table2[[ActualResult]:[ActualResult]], "OT") + SUMIFS(Table2[[AwayWon]:[AwayWon]], Table2[[GameIsOver]:[GameIsOver]],1,Table2[[HomeTeam]:[HomeTeam]],$T39, Table2[[AwayTeam]:[AwayTeam]], AO$31, Table2[[ActualResult]:[ActualResult]], "OT") + SUMIFS(Table2[[HomeWon_]:[HomeWon_]], Table2[[GameIsOver]:[GameIsOver]],1,Table2[[AwayTeam]:[AwayTeam]],$T39, Table2[[HomeTeam]:[HomeTeam]], AO$31, Table2[[ActualResult]:[ActualResult]], "SO") + SUMIFS(Table2[[AwayWon]:[AwayWon]], Table2[[GameIsOver]:[GameIsOver]],1,Table2[[HomeTeam]:[HomeTeam]],$T39, Table2[[AwayTeam]:[AwayTeam]], AO$31, Table2[[ActualResult]:[ActualResult]], "SO")))</f>
        <v>0</v>
      </c>
      <c r="AP39">
        <f>(2*(SUMIFS(Table2[[AwayWon]:[AwayWon]], Table2[[GameIsOver]:[GameIsOver]],1,Table2[[AwayTeam]:[AwayTeam]],$T39, Table2[[HomeTeam]:[HomeTeam]], AP$31) + SUMIFS(Table2[[HomeWon_]:[HomeWon_]], Table2[[GameIsOver]:[GameIsOver]],1,Table2[[HomeTeam]:[HomeTeam]],$T9, Table2[[AwayTeam]:[AwayTeam]], AP$31))) + (0*(SUMIFS(Table2[[HomeWon_]:[HomeWon_]], Table2[[GameIsOver]:[GameIsOver]],1,Table2[[AwayTeam]:[AwayTeam]],$T39, Table2[[HomeTeam]:[HomeTeam]], AP$31, Table2[[ActualResult]:[ActualResult]], "REG") + SUMIFS(Table2[[AwayWon]:[AwayWon]], Table2[[GameIsOver]:[GameIsOver]],1,Table2[[HomeTeam]:[HomeTeam]],$T39, Table2[[AwayTeam]:[AwayTeam]], AP$31, Table2[[ActualResult]:[ActualResult]], "REG"))) + (1*(SUMIFS(Table2[[HomeWon_]:[HomeWon_]], Table2[[GameIsOver]:[GameIsOver]],1,Table2[[AwayTeam]:[AwayTeam]],$T39, Table2[[HomeTeam]:[HomeTeam]], AP$31, Table2[[ActualResult]:[ActualResult]], "OT") + SUMIFS(Table2[[AwayWon]:[AwayWon]], Table2[[GameIsOver]:[GameIsOver]],1,Table2[[HomeTeam]:[HomeTeam]],$T39, Table2[[AwayTeam]:[AwayTeam]], AP$31, Table2[[ActualResult]:[ActualResult]], "OT") + SUMIFS(Table2[[HomeWon_]:[HomeWon_]], Table2[[GameIsOver]:[GameIsOver]],1,Table2[[AwayTeam]:[AwayTeam]],$T39, Table2[[HomeTeam]:[HomeTeam]], AP$31, Table2[[ActualResult]:[ActualResult]], "SO") + SUMIFS(Table2[[AwayWon]:[AwayWon]], Table2[[GameIsOver]:[GameIsOver]],1,Table2[[HomeTeam]:[HomeTeam]],$T39, Table2[[AwayTeam]:[AwayTeam]], AP$31, Table2[[ActualResult]:[ActualResult]], "SO")))</f>
        <v>0</v>
      </c>
      <c r="AQ39">
        <f>(2*(SUMIFS(Table2[[AwayWon]:[AwayWon]], Table2[[GameIsOver]:[GameIsOver]],1,Table2[[AwayTeam]:[AwayTeam]],$T39, Table2[[HomeTeam]:[HomeTeam]], AQ$31) + SUMIFS(Table2[[HomeWon_]:[HomeWon_]], Table2[[GameIsOver]:[GameIsOver]],1,Table2[[HomeTeam]:[HomeTeam]],$T9, Table2[[AwayTeam]:[AwayTeam]], AQ$31))) + (0*(SUMIFS(Table2[[HomeWon_]:[HomeWon_]], Table2[[GameIsOver]:[GameIsOver]],1,Table2[[AwayTeam]:[AwayTeam]],$T39, Table2[[HomeTeam]:[HomeTeam]], AQ$31, Table2[[ActualResult]:[ActualResult]], "REG") + SUMIFS(Table2[[AwayWon]:[AwayWon]], Table2[[GameIsOver]:[GameIsOver]],1,Table2[[HomeTeam]:[HomeTeam]],$T39, Table2[[AwayTeam]:[AwayTeam]], AQ$31, Table2[[ActualResult]:[ActualResult]], "REG"))) + (1*(SUMIFS(Table2[[HomeWon_]:[HomeWon_]], Table2[[GameIsOver]:[GameIsOver]],1,Table2[[AwayTeam]:[AwayTeam]],$T39, Table2[[HomeTeam]:[HomeTeam]], AQ$31, Table2[[ActualResult]:[ActualResult]], "OT") + SUMIFS(Table2[[AwayWon]:[AwayWon]], Table2[[GameIsOver]:[GameIsOver]],1,Table2[[HomeTeam]:[HomeTeam]],$T39, Table2[[AwayTeam]:[AwayTeam]], AQ$31, Table2[[ActualResult]:[ActualResult]], "OT") + SUMIFS(Table2[[HomeWon_]:[HomeWon_]], Table2[[GameIsOver]:[GameIsOver]],1,Table2[[AwayTeam]:[AwayTeam]],$T39, Table2[[HomeTeam]:[HomeTeam]], AQ$31, Table2[[ActualResult]:[ActualResult]], "SO") + SUMIFS(Table2[[AwayWon]:[AwayWon]], Table2[[GameIsOver]:[GameIsOver]],1,Table2[[HomeTeam]:[HomeTeam]],$T39, Table2[[AwayTeam]:[AwayTeam]], AQ$31, Table2[[ActualResult]:[ActualResult]], "SO")))</f>
        <v>0</v>
      </c>
      <c r="AR39">
        <f>(2*(SUMIFS(Table2[[AwayWon]:[AwayWon]], Table2[[GameIsOver]:[GameIsOver]],1,Table2[[AwayTeam]:[AwayTeam]],$T39, Table2[[HomeTeam]:[HomeTeam]], AR$31) + SUMIFS(Table2[[HomeWon_]:[HomeWon_]], Table2[[GameIsOver]:[GameIsOver]],1,Table2[[HomeTeam]:[HomeTeam]],$T9, Table2[[AwayTeam]:[AwayTeam]], AR$31))) + (0*(SUMIFS(Table2[[HomeWon_]:[HomeWon_]], Table2[[GameIsOver]:[GameIsOver]],1,Table2[[AwayTeam]:[AwayTeam]],$T39, Table2[[HomeTeam]:[HomeTeam]], AR$31, Table2[[ActualResult]:[ActualResult]], "REG") + SUMIFS(Table2[[AwayWon]:[AwayWon]], Table2[[GameIsOver]:[GameIsOver]],1,Table2[[HomeTeam]:[HomeTeam]],$T39, Table2[[AwayTeam]:[AwayTeam]], AR$31, Table2[[ActualResult]:[ActualResult]], "REG"))) + (1*(SUMIFS(Table2[[HomeWon_]:[HomeWon_]], Table2[[GameIsOver]:[GameIsOver]],1,Table2[[AwayTeam]:[AwayTeam]],$T39, Table2[[HomeTeam]:[HomeTeam]], AR$31, Table2[[ActualResult]:[ActualResult]], "OT") + SUMIFS(Table2[[AwayWon]:[AwayWon]], Table2[[GameIsOver]:[GameIsOver]],1,Table2[[HomeTeam]:[HomeTeam]],$T39, Table2[[AwayTeam]:[AwayTeam]], AR$31, Table2[[ActualResult]:[ActualResult]], "OT") + SUMIFS(Table2[[HomeWon_]:[HomeWon_]], Table2[[GameIsOver]:[GameIsOver]],1,Table2[[AwayTeam]:[AwayTeam]],$T39, Table2[[HomeTeam]:[HomeTeam]], AR$31, Table2[[ActualResult]:[ActualResult]], "SO") + SUMIFS(Table2[[AwayWon]:[AwayWon]], Table2[[GameIsOver]:[GameIsOver]],1,Table2[[HomeTeam]:[HomeTeam]],$T39, Table2[[AwayTeam]:[AwayTeam]], AR$31, Table2[[ActualResult]:[ActualResult]], "SO")))</f>
        <v>0</v>
      </c>
      <c r="AS39">
        <f>(2*(SUMIFS(Table2[[AwayWon]:[AwayWon]], Table2[[GameIsOver]:[GameIsOver]],1,Table2[[AwayTeam]:[AwayTeam]],$T39, Table2[[HomeTeam]:[HomeTeam]], AS$31) + SUMIFS(Table2[[HomeWon_]:[HomeWon_]], Table2[[GameIsOver]:[GameIsOver]],1,Table2[[HomeTeam]:[HomeTeam]],$T9, Table2[[AwayTeam]:[AwayTeam]], AS$31))) + (0*(SUMIFS(Table2[[HomeWon_]:[HomeWon_]], Table2[[GameIsOver]:[GameIsOver]],1,Table2[[AwayTeam]:[AwayTeam]],$T39, Table2[[HomeTeam]:[HomeTeam]], AS$31, Table2[[ActualResult]:[ActualResult]], "REG") + SUMIFS(Table2[[AwayWon]:[AwayWon]], Table2[[GameIsOver]:[GameIsOver]],1,Table2[[HomeTeam]:[HomeTeam]],$T39, Table2[[AwayTeam]:[AwayTeam]], AS$31, Table2[[ActualResult]:[ActualResult]], "REG"))) + (1*(SUMIFS(Table2[[HomeWon_]:[HomeWon_]], Table2[[GameIsOver]:[GameIsOver]],1,Table2[[AwayTeam]:[AwayTeam]],$T39, Table2[[HomeTeam]:[HomeTeam]], AS$31, Table2[[ActualResult]:[ActualResult]], "OT") + SUMIFS(Table2[[AwayWon]:[AwayWon]], Table2[[GameIsOver]:[GameIsOver]],1,Table2[[HomeTeam]:[HomeTeam]],$T39, Table2[[AwayTeam]:[AwayTeam]], AS$31, Table2[[ActualResult]:[ActualResult]], "OT") + SUMIFS(Table2[[HomeWon_]:[HomeWon_]], Table2[[GameIsOver]:[GameIsOver]],1,Table2[[AwayTeam]:[AwayTeam]],$T39, Table2[[HomeTeam]:[HomeTeam]], AS$31, Table2[[ActualResult]:[ActualResult]], "SO") + SUMIFS(Table2[[AwayWon]:[AwayWon]], Table2[[GameIsOver]:[GameIsOver]],1,Table2[[HomeTeam]:[HomeTeam]],$T39, Table2[[AwayTeam]:[AwayTeam]], AS$31, Table2[[ActualResult]:[ActualResult]], "SO")))</f>
        <v>2</v>
      </c>
      <c r="AT39">
        <f>(2*(SUMIFS(Table2[[AwayWon]:[AwayWon]], Table2[[GameIsOver]:[GameIsOver]],1,Table2[[AwayTeam]:[AwayTeam]],$T39, Table2[[HomeTeam]:[HomeTeam]], AT$31) + SUMIFS(Table2[[HomeWon_]:[HomeWon_]], Table2[[GameIsOver]:[GameIsOver]],1,Table2[[HomeTeam]:[HomeTeam]],$T9, Table2[[AwayTeam]:[AwayTeam]], AT$31))) + (0*(SUMIFS(Table2[[HomeWon_]:[HomeWon_]], Table2[[GameIsOver]:[GameIsOver]],1,Table2[[AwayTeam]:[AwayTeam]],$T39, Table2[[HomeTeam]:[HomeTeam]], AT$31, Table2[[ActualResult]:[ActualResult]], "REG") + SUMIFS(Table2[[AwayWon]:[AwayWon]], Table2[[GameIsOver]:[GameIsOver]],1,Table2[[HomeTeam]:[HomeTeam]],$T39, Table2[[AwayTeam]:[AwayTeam]], AT$31, Table2[[ActualResult]:[ActualResult]], "REG"))) + (1*(SUMIFS(Table2[[HomeWon_]:[HomeWon_]], Table2[[GameIsOver]:[GameIsOver]],1,Table2[[AwayTeam]:[AwayTeam]],$T39, Table2[[HomeTeam]:[HomeTeam]], AT$31, Table2[[ActualResult]:[ActualResult]], "OT") + SUMIFS(Table2[[AwayWon]:[AwayWon]], Table2[[GameIsOver]:[GameIsOver]],1,Table2[[HomeTeam]:[HomeTeam]],$T39, Table2[[AwayTeam]:[AwayTeam]], AT$31, Table2[[ActualResult]:[ActualResult]], "OT") + SUMIFS(Table2[[HomeWon_]:[HomeWon_]], Table2[[GameIsOver]:[GameIsOver]],1,Table2[[AwayTeam]:[AwayTeam]],$T39, Table2[[HomeTeam]:[HomeTeam]], AT$31, Table2[[ActualResult]:[ActualResult]], "SO") + SUMIFS(Table2[[AwayWon]:[AwayWon]], Table2[[GameIsOver]:[GameIsOver]],1,Table2[[HomeTeam]:[HomeTeam]],$T39, Table2[[AwayTeam]:[AwayTeam]], AT$31, Table2[[ActualResult]:[ActualResult]], "SO")))</f>
        <v>0</v>
      </c>
      <c r="AU39">
        <f>(2*(SUMIFS(Table2[[AwayWon]:[AwayWon]], Table2[[GameIsOver]:[GameIsOver]],1,Table2[[AwayTeam]:[AwayTeam]],$T39, Table2[[HomeTeam]:[HomeTeam]], AU$31) + SUMIFS(Table2[[HomeWon_]:[HomeWon_]], Table2[[GameIsOver]:[GameIsOver]],1,Table2[[HomeTeam]:[HomeTeam]],$T9, Table2[[AwayTeam]:[AwayTeam]], AU$31))) + (0*(SUMIFS(Table2[[HomeWon_]:[HomeWon_]], Table2[[GameIsOver]:[GameIsOver]],1,Table2[[AwayTeam]:[AwayTeam]],$T39, Table2[[HomeTeam]:[HomeTeam]], AU$31, Table2[[ActualResult]:[ActualResult]], "REG") + SUMIFS(Table2[[AwayWon]:[AwayWon]], Table2[[GameIsOver]:[GameIsOver]],1,Table2[[HomeTeam]:[HomeTeam]],$T39, Table2[[AwayTeam]:[AwayTeam]], AU$31, Table2[[ActualResult]:[ActualResult]], "REG"))) + (1*(SUMIFS(Table2[[HomeWon_]:[HomeWon_]], Table2[[GameIsOver]:[GameIsOver]],1,Table2[[AwayTeam]:[AwayTeam]],$T39, Table2[[HomeTeam]:[HomeTeam]], AU$31, Table2[[ActualResult]:[ActualResult]], "OT") + SUMIFS(Table2[[AwayWon]:[AwayWon]], Table2[[GameIsOver]:[GameIsOver]],1,Table2[[HomeTeam]:[HomeTeam]],$T39, Table2[[AwayTeam]:[AwayTeam]], AU$31, Table2[[ActualResult]:[ActualResult]], "OT") + SUMIFS(Table2[[HomeWon_]:[HomeWon_]], Table2[[GameIsOver]:[GameIsOver]],1,Table2[[AwayTeam]:[AwayTeam]],$T39, Table2[[HomeTeam]:[HomeTeam]], AU$31, Table2[[ActualResult]:[ActualResult]], "SO") + SUMIFS(Table2[[AwayWon]:[AwayWon]], Table2[[GameIsOver]:[GameIsOver]],1,Table2[[HomeTeam]:[HomeTeam]],$T39, Table2[[AwayTeam]:[AwayTeam]], AU$31, Table2[[ActualResult]:[ActualResult]], "SO")))</f>
        <v>0</v>
      </c>
      <c r="AV39">
        <f>(2*(SUMIFS(Table2[[AwayWon]:[AwayWon]], Table2[[GameIsOver]:[GameIsOver]],1,Table2[[AwayTeam]:[AwayTeam]],$T39, Table2[[HomeTeam]:[HomeTeam]], AV$31) + SUMIFS(Table2[[HomeWon_]:[HomeWon_]], Table2[[GameIsOver]:[GameIsOver]],1,Table2[[HomeTeam]:[HomeTeam]],$T9, Table2[[AwayTeam]:[AwayTeam]], AV$31))) + (0*(SUMIFS(Table2[[HomeWon_]:[HomeWon_]], Table2[[GameIsOver]:[GameIsOver]],1,Table2[[AwayTeam]:[AwayTeam]],$T39, Table2[[HomeTeam]:[HomeTeam]], AV$31, Table2[[ActualResult]:[ActualResult]], "REG") + SUMIFS(Table2[[AwayWon]:[AwayWon]], Table2[[GameIsOver]:[GameIsOver]],1,Table2[[HomeTeam]:[HomeTeam]],$T39, Table2[[AwayTeam]:[AwayTeam]], AV$31, Table2[[ActualResult]:[ActualResult]], "REG"))) + (1*(SUMIFS(Table2[[HomeWon_]:[HomeWon_]], Table2[[GameIsOver]:[GameIsOver]],1,Table2[[AwayTeam]:[AwayTeam]],$T39, Table2[[HomeTeam]:[HomeTeam]], AV$31, Table2[[ActualResult]:[ActualResult]], "OT") + SUMIFS(Table2[[AwayWon]:[AwayWon]], Table2[[GameIsOver]:[GameIsOver]],1,Table2[[HomeTeam]:[HomeTeam]],$T39, Table2[[AwayTeam]:[AwayTeam]], AV$31, Table2[[ActualResult]:[ActualResult]], "OT") + SUMIFS(Table2[[HomeWon_]:[HomeWon_]], Table2[[GameIsOver]:[GameIsOver]],1,Table2[[AwayTeam]:[AwayTeam]],$T39, Table2[[HomeTeam]:[HomeTeam]], AV$31, Table2[[ActualResult]:[ActualResult]], "SO") + SUMIFS(Table2[[AwayWon]:[AwayWon]], Table2[[GameIsOver]:[GameIsOver]],1,Table2[[HomeTeam]:[HomeTeam]],$T39, Table2[[AwayTeam]:[AwayTeam]], AV$31, Table2[[ActualResult]:[ActualResult]], "SO")))</f>
        <v>0</v>
      </c>
      <c r="AW39">
        <f>(2*(SUMIFS(Table2[[AwayWon]:[AwayWon]], Table2[[GameIsOver]:[GameIsOver]],1,Table2[[AwayTeam]:[AwayTeam]],$T39, Table2[[HomeTeam]:[HomeTeam]], AW$31) + SUMIFS(Table2[[HomeWon_]:[HomeWon_]], Table2[[GameIsOver]:[GameIsOver]],1,Table2[[HomeTeam]:[HomeTeam]],$T9, Table2[[AwayTeam]:[AwayTeam]], AW$31))) + (0*(SUMIFS(Table2[[HomeWon_]:[HomeWon_]], Table2[[GameIsOver]:[GameIsOver]],1,Table2[[AwayTeam]:[AwayTeam]],$T39, Table2[[HomeTeam]:[HomeTeam]], AW$31, Table2[[ActualResult]:[ActualResult]], "REG") + SUMIFS(Table2[[AwayWon]:[AwayWon]], Table2[[GameIsOver]:[GameIsOver]],1,Table2[[HomeTeam]:[HomeTeam]],$T39, Table2[[AwayTeam]:[AwayTeam]], AW$31, Table2[[ActualResult]:[ActualResult]], "REG"))) + (1*(SUMIFS(Table2[[HomeWon_]:[HomeWon_]], Table2[[GameIsOver]:[GameIsOver]],1,Table2[[AwayTeam]:[AwayTeam]],$T39, Table2[[HomeTeam]:[HomeTeam]], AW$31, Table2[[ActualResult]:[ActualResult]], "OT") + SUMIFS(Table2[[AwayWon]:[AwayWon]], Table2[[GameIsOver]:[GameIsOver]],1,Table2[[HomeTeam]:[HomeTeam]],$T39, Table2[[AwayTeam]:[AwayTeam]], AW$31, Table2[[ActualResult]:[ActualResult]], "OT") + SUMIFS(Table2[[HomeWon_]:[HomeWon_]], Table2[[GameIsOver]:[GameIsOver]],1,Table2[[AwayTeam]:[AwayTeam]],$T39, Table2[[HomeTeam]:[HomeTeam]], AW$31, Table2[[ActualResult]:[ActualResult]], "SO") + SUMIFS(Table2[[AwayWon]:[AwayWon]], Table2[[GameIsOver]:[GameIsOver]],1,Table2[[HomeTeam]:[HomeTeam]],$T39, Table2[[AwayTeam]:[AwayTeam]], AW$31, Table2[[ActualResult]:[ActualResult]], "SO")))</f>
        <v>0</v>
      </c>
      <c r="AX39">
        <f>(2*(SUMIFS(Table2[[AwayWon]:[AwayWon]], Table2[[GameIsOver]:[GameIsOver]],1,Table2[[AwayTeam]:[AwayTeam]],$T39, Table2[[HomeTeam]:[HomeTeam]], AX$31) + SUMIFS(Table2[[HomeWon_]:[HomeWon_]], Table2[[GameIsOver]:[GameIsOver]],1,Table2[[HomeTeam]:[HomeTeam]],$T9, Table2[[AwayTeam]:[AwayTeam]], AX$31))) + (0*(SUMIFS(Table2[[HomeWon_]:[HomeWon_]], Table2[[GameIsOver]:[GameIsOver]],1,Table2[[AwayTeam]:[AwayTeam]],$T39, Table2[[HomeTeam]:[HomeTeam]], AX$31, Table2[[ActualResult]:[ActualResult]], "REG") + SUMIFS(Table2[[AwayWon]:[AwayWon]], Table2[[GameIsOver]:[GameIsOver]],1,Table2[[HomeTeam]:[HomeTeam]],$T39, Table2[[AwayTeam]:[AwayTeam]], AX$31, Table2[[ActualResult]:[ActualResult]], "REG"))) + (1*(SUMIFS(Table2[[HomeWon_]:[HomeWon_]], Table2[[GameIsOver]:[GameIsOver]],1,Table2[[AwayTeam]:[AwayTeam]],$T39, Table2[[HomeTeam]:[HomeTeam]], AX$31, Table2[[ActualResult]:[ActualResult]], "OT") + SUMIFS(Table2[[AwayWon]:[AwayWon]], Table2[[GameIsOver]:[GameIsOver]],1,Table2[[HomeTeam]:[HomeTeam]],$T39, Table2[[AwayTeam]:[AwayTeam]], AX$31, Table2[[ActualResult]:[ActualResult]], "OT") + SUMIFS(Table2[[HomeWon_]:[HomeWon_]], Table2[[GameIsOver]:[GameIsOver]],1,Table2[[AwayTeam]:[AwayTeam]],$T39, Table2[[HomeTeam]:[HomeTeam]], AX$31, Table2[[ActualResult]:[ActualResult]], "SO") + SUMIFS(Table2[[AwayWon]:[AwayWon]], Table2[[GameIsOver]:[GameIsOver]],1,Table2[[HomeTeam]:[HomeTeam]],$T39, Table2[[AwayTeam]:[AwayTeam]], AX$31, Table2[[ActualResult]:[ActualResult]], "SO")))</f>
        <v>0</v>
      </c>
      <c r="AY39">
        <f>(2*(SUMIFS(Table2[[AwayWon]:[AwayWon]], Table2[[GameIsOver]:[GameIsOver]],1,Table2[[AwayTeam]:[AwayTeam]],$T39, Table2[[HomeTeam]:[HomeTeam]], AY$31) + SUMIFS(Table2[[HomeWon_]:[HomeWon_]], Table2[[GameIsOver]:[GameIsOver]],1,Table2[[HomeTeam]:[HomeTeam]],$T9, Table2[[AwayTeam]:[AwayTeam]], AY$31))) + (0*(SUMIFS(Table2[[HomeWon_]:[HomeWon_]], Table2[[GameIsOver]:[GameIsOver]],1,Table2[[AwayTeam]:[AwayTeam]],$T39, Table2[[HomeTeam]:[HomeTeam]], AY$31, Table2[[ActualResult]:[ActualResult]], "REG") + SUMIFS(Table2[[AwayWon]:[AwayWon]], Table2[[GameIsOver]:[GameIsOver]],1,Table2[[HomeTeam]:[HomeTeam]],$T39, Table2[[AwayTeam]:[AwayTeam]], AY$31, Table2[[ActualResult]:[ActualResult]], "REG"))) + (1*(SUMIFS(Table2[[HomeWon_]:[HomeWon_]], Table2[[GameIsOver]:[GameIsOver]],1,Table2[[AwayTeam]:[AwayTeam]],$T39, Table2[[HomeTeam]:[HomeTeam]], AY$31, Table2[[ActualResult]:[ActualResult]], "OT") + SUMIFS(Table2[[AwayWon]:[AwayWon]], Table2[[GameIsOver]:[GameIsOver]],1,Table2[[HomeTeam]:[HomeTeam]],$T39, Table2[[AwayTeam]:[AwayTeam]], AY$31, Table2[[ActualResult]:[ActualResult]], "OT") + SUMIFS(Table2[[HomeWon_]:[HomeWon_]], Table2[[GameIsOver]:[GameIsOver]],1,Table2[[AwayTeam]:[AwayTeam]],$T39, Table2[[HomeTeam]:[HomeTeam]], AY$31, Table2[[ActualResult]:[ActualResult]], "SO") + SUMIFS(Table2[[AwayWon]:[AwayWon]], Table2[[GameIsOver]:[GameIsOver]],1,Table2[[HomeTeam]:[HomeTeam]],$T39, Table2[[AwayTeam]:[AwayTeam]], AY$31, Table2[[ActualResult]:[ActualResult]], "SO")))</f>
        <v>0</v>
      </c>
      <c r="AZ39">
        <f>(2*(SUMIFS(Table2[[AwayWon]:[AwayWon]], Table2[[GameIsOver]:[GameIsOver]],1,Table2[[AwayTeam]:[AwayTeam]],$T39, Table2[[HomeTeam]:[HomeTeam]], AZ$31) + SUMIFS(Table2[[HomeWon_]:[HomeWon_]], Table2[[GameIsOver]:[GameIsOver]],1,Table2[[HomeTeam]:[HomeTeam]],$T9, Table2[[AwayTeam]:[AwayTeam]], AZ$31))) + (0*(SUMIFS(Table2[[HomeWon_]:[HomeWon_]], Table2[[GameIsOver]:[GameIsOver]],1,Table2[[AwayTeam]:[AwayTeam]],$T39, Table2[[HomeTeam]:[HomeTeam]], AZ$31, Table2[[ActualResult]:[ActualResult]], "REG") + SUMIFS(Table2[[AwayWon]:[AwayWon]], Table2[[GameIsOver]:[GameIsOver]],1,Table2[[HomeTeam]:[HomeTeam]],$T39, Table2[[AwayTeam]:[AwayTeam]], AZ$31, Table2[[ActualResult]:[ActualResult]], "REG"))) + (1*(SUMIFS(Table2[[HomeWon_]:[HomeWon_]], Table2[[GameIsOver]:[GameIsOver]],1,Table2[[AwayTeam]:[AwayTeam]],$T39, Table2[[HomeTeam]:[HomeTeam]], AZ$31, Table2[[ActualResult]:[ActualResult]], "OT") + SUMIFS(Table2[[AwayWon]:[AwayWon]], Table2[[GameIsOver]:[GameIsOver]],1,Table2[[HomeTeam]:[HomeTeam]],$T39, Table2[[AwayTeam]:[AwayTeam]], AZ$31, Table2[[ActualResult]:[ActualResult]], "OT") + SUMIFS(Table2[[HomeWon_]:[HomeWon_]], Table2[[GameIsOver]:[GameIsOver]],1,Table2[[AwayTeam]:[AwayTeam]],$T39, Table2[[HomeTeam]:[HomeTeam]], AZ$31, Table2[[ActualResult]:[ActualResult]], "SO") + SUMIFS(Table2[[AwayWon]:[AwayWon]], Table2[[GameIsOver]:[GameIsOver]],1,Table2[[HomeTeam]:[HomeTeam]],$T39, Table2[[AwayTeam]:[AwayTeam]], AZ$31, Table2[[ActualResult]:[ActualResult]], "SO")))</f>
        <v>0</v>
      </c>
      <c r="BA39">
        <f>(2*(SUMIFS(Table2[[AwayWon]:[AwayWon]], Table2[[GameIsOver]:[GameIsOver]],1,Table2[[AwayTeam]:[AwayTeam]],$T39, Table2[[HomeTeam]:[HomeTeam]], BA$31) + SUMIFS(Table2[[HomeWon_]:[HomeWon_]], Table2[[GameIsOver]:[GameIsOver]],1,Table2[[HomeTeam]:[HomeTeam]],$T9, Table2[[AwayTeam]:[AwayTeam]], BA$31))) + (0*(SUMIFS(Table2[[HomeWon_]:[HomeWon_]], Table2[[GameIsOver]:[GameIsOver]],1,Table2[[AwayTeam]:[AwayTeam]],$T39, Table2[[HomeTeam]:[HomeTeam]], BA$31, Table2[[ActualResult]:[ActualResult]], "REG") + SUMIFS(Table2[[AwayWon]:[AwayWon]], Table2[[GameIsOver]:[GameIsOver]],1,Table2[[HomeTeam]:[HomeTeam]],$T39, Table2[[AwayTeam]:[AwayTeam]], BA$31, Table2[[ActualResult]:[ActualResult]], "REG"))) + (1*(SUMIFS(Table2[[HomeWon_]:[HomeWon_]], Table2[[GameIsOver]:[GameIsOver]],1,Table2[[AwayTeam]:[AwayTeam]],$T39, Table2[[HomeTeam]:[HomeTeam]], BA$31, Table2[[ActualResult]:[ActualResult]], "OT") + SUMIFS(Table2[[AwayWon]:[AwayWon]], Table2[[GameIsOver]:[GameIsOver]],1,Table2[[HomeTeam]:[HomeTeam]],$T39, Table2[[AwayTeam]:[AwayTeam]], BA$31, Table2[[ActualResult]:[ActualResult]], "OT") + SUMIFS(Table2[[HomeWon_]:[HomeWon_]], Table2[[GameIsOver]:[GameIsOver]],1,Table2[[AwayTeam]:[AwayTeam]],$T39, Table2[[HomeTeam]:[HomeTeam]], BA$31, Table2[[ActualResult]:[ActualResult]], "SO") + SUMIFS(Table2[[AwayWon]:[AwayWon]], Table2[[GameIsOver]:[GameIsOver]],1,Table2[[HomeTeam]:[HomeTeam]],$T39, Table2[[AwayTeam]:[AwayTeam]], BA$31, Table2[[ActualResult]:[ActualResult]], "SO")))</f>
        <v>0</v>
      </c>
    </row>
    <row r="41" spans="1:53" x14ac:dyDescent="0.25">
      <c r="U41">
        <f>SMALL(U35:U39, 5)</f>
        <v>10</v>
      </c>
    </row>
    <row r="42" spans="1:53" x14ac:dyDescent="0.25">
      <c r="U42" cm="1">
        <f t="array" ref="U42">SMALL(U35:U39 + U25:U29,5)</f>
        <v>16</v>
      </c>
    </row>
    <row r="44" spans="1:53" x14ac:dyDescent="0.25">
      <c r="U44">
        <f>LARGE(_xlfn._xlws.SORT(_xlfn.VSTACK(U35:U39,U25:U29),1,-1), 1)</f>
        <v>10</v>
      </c>
    </row>
    <row r="45" spans="1:53" x14ac:dyDescent="0.25">
      <c r="U45">
        <f>LARGE(_xlfn._xlws.SORT(_xlfn.VSTACK(U35:U39,U25:U29),1,-1), 2)</f>
        <v>10</v>
      </c>
    </row>
    <row r="58" spans="19:33" x14ac:dyDescent="0.25">
      <c r="S58" s="118" t="s">
        <v>516</v>
      </c>
      <c r="T58" s="118" t="s">
        <v>517</v>
      </c>
    </row>
    <row r="59" spans="19:33" x14ac:dyDescent="0.25">
      <c r="T59" t="s">
        <v>74</v>
      </c>
      <c r="V59" t="s">
        <v>518</v>
      </c>
      <c r="W59" t="s">
        <v>88</v>
      </c>
      <c r="Y59" t="s">
        <v>519</v>
      </c>
      <c r="Z59" t="s">
        <v>92</v>
      </c>
      <c r="AB59" t="s">
        <v>520</v>
      </c>
      <c r="AC59" t="s">
        <v>93</v>
      </c>
      <c r="AF59" t="s">
        <v>521</v>
      </c>
      <c r="AG59" t="s">
        <v>515</v>
      </c>
    </row>
    <row r="60" spans="19:33" x14ac:dyDescent="0.25">
      <c r="S60" s="118" t="s">
        <v>514</v>
      </c>
      <c r="T60">
        <v>0</v>
      </c>
      <c r="U60">
        <v>2</v>
      </c>
      <c r="W60">
        <v>0</v>
      </c>
      <c r="X60">
        <v>2</v>
      </c>
      <c r="Z60">
        <v>0</v>
      </c>
      <c r="AA60">
        <v>2</v>
      </c>
      <c r="AC60">
        <v>0</v>
      </c>
      <c r="AD60">
        <v>2</v>
      </c>
      <c r="AE60">
        <v>1</v>
      </c>
    </row>
    <row r="61" spans="19:33" x14ac:dyDescent="0.25">
      <c r="S61" s="119" t="s">
        <v>44</v>
      </c>
      <c r="AC61">
        <v>0</v>
      </c>
      <c r="AF61">
        <v>0</v>
      </c>
      <c r="AG61">
        <v>0</v>
      </c>
    </row>
    <row r="62" spans="19:33" x14ac:dyDescent="0.25">
      <c r="S62" s="119" t="s">
        <v>15</v>
      </c>
      <c r="U62">
        <v>2</v>
      </c>
      <c r="V62">
        <v>2</v>
      </c>
      <c r="AG62">
        <v>2</v>
      </c>
    </row>
    <row r="63" spans="19:33" x14ac:dyDescent="0.25">
      <c r="S63" s="119" t="s">
        <v>28</v>
      </c>
      <c r="T63">
        <v>0</v>
      </c>
      <c r="V63">
        <v>0</v>
      </c>
      <c r="AG63">
        <v>0</v>
      </c>
    </row>
    <row r="64" spans="19:33" x14ac:dyDescent="0.25">
      <c r="S64" s="119" t="s">
        <v>41</v>
      </c>
      <c r="Z64">
        <v>0</v>
      </c>
      <c r="AB64">
        <v>0</v>
      </c>
      <c r="AG64">
        <v>0</v>
      </c>
    </row>
    <row r="65" spans="19:33" x14ac:dyDescent="0.25">
      <c r="S65" s="119" t="s">
        <v>35</v>
      </c>
      <c r="Z65">
        <v>0</v>
      </c>
      <c r="AB65">
        <v>0</v>
      </c>
      <c r="AG65">
        <v>0</v>
      </c>
    </row>
    <row r="66" spans="19:33" x14ac:dyDescent="0.25">
      <c r="S66" s="119" t="s">
        <v>23</v>
      </c>
      <c r="AD66">
        <v>2</v>
      </c>
      <c r="AF66">
        <v>2</v>
      </c>
      <c r="AG66">
        <v>2</v>
      </c>
    </row>
    <row r="67" spans="19:33" x14ac:dyDescent="0.25">
      <c r="S67" s="119" t="s">
        <v>16</v>
      </c>
      <c r="W67">
        <v>0</v>
      </c>
      <c r="Y67">
        <v>0</v>
      </c>
      <c r="AG67">
        <v>0</v>
      </c>
    </row>
    <row r="68" spans="19:33" x14ac:dyDescent="0.25">
      <c r="S68" s="119" t="s">
        <v>25</v>
      </c>
      <c r="X68">
        <v>2</v>
      </c>
      <c r="Y68">
        <v>2</v>
      </c>
      <c r="AG68">
        <v>2</v>
      </c>
    </row>
    <row r="69" spans="19:33" x14ac:dyDescent="0.25">
      <c r="S69" s="119" t="s">
        <v>33</v>
      </c>
      <c r="W69">
        <v>0</v>
      </c>
      <c r="Y69">
        <v>0</v>
      </c>
      <c r="AG69">
        <v>0</v>
      </c>
    </row>
    <row r="70" spans="19:33" x14ac:dyDescent="0.25">
      <c r="S70" s="119" t="s">
        <v>30</v>
      </c>
      <c r="T70">
        <v>0</v>
      </c>
      <c r="V70">
        <v>0</v>
      </c>
      <c r="AG70">
        <v>0</v>
      </c>
    </row>
    <row r="71" spans="19:33" x14ac:dyDescent="0.25">
      <c r="S71" s="119" t="s">
        <v>22</v>
      </c>
      <c r="AE71">
        <v>1</v>
      </c>
      <c r="AF71">
        <v>1</v>
      </c>
      <c r="AG71">
        <v>1</v>
      </c>
    </row>
    <row r="72" spans="19:33" x14ac:dyDescent="0.25">
      <c r="S72" s="119" t="s">
        <v>13</v>
      </c>
      <c r="U72">
        <v>2</v>
      </c>
      <c r="V72">
        <v>2</v>
      </c>
      <c r="AG72">
        <v>2</v>
      </c>
    </row>
    <row r="73" spans="19:33" x14ac:dyDescent="0.25">
      <c r="S73" s="119" t="s">
        <v>27</v>
      </c>
      <c r="AD73">
        <v>2</v>
      </c>
      <c r="AF73">
        <v>2</v>
      </c>
      <c r="AG73">
        <v>2</v>
      </c>
    </row>
    <row r="74" spans="19:33" x14ac:dyDescent="0.25">
      <c r="S74" s="119" t="s">
        <v>36</v>
      </c>
      <c r="W74">
        <v>0</v>
      </c>
      <c r="Y74">
        <v>0</v>
      </c>
      <c r="AG74">
        <v>0</v>
      </c>
    </row>
    <row r="75" spans="19:33" x14ac:dyDescent="0.25">
      <c r="S75" s="119" t="s">
        <v>18</v>
      </c>
      <c r="T75">
        <v>0</v>
      </c>
      <c r="V75">
        <v>0</v>
      </c>
      <c r="AG75">
        <v>0</v>
      </c>
    </row>
    <row r="76" spans="19:33" x14ac:dyDescent="0.25">
      <c r="S76" s="119" t="s">
        <v>31</v>
      </c>
      <c r="Z76">
        <v>0</v>
      </c>
      <c r="AB76">
        <v>0</v>
      </c>
      <c r="AG76">
        <v>0</v>
      </c>
    </row>
    <row r="77" spans="19:33" x14ac:dyDescent="0.25">
      <c r="S77" s="119" t="s">
        <v>34</v>
      </c>
      <c r="W77">
        <v>0</v>
      </c>
      <c r="Y77">
        <v>0</v>
      </c>
      <c r="AG77">
        <v>0</v>
      </c>
    </row>
    <row r="78" spans="19:33" x14ac:dyDescent="0.25">
      <c r="S78" s="119" t="s">
        <v>32</v>
      </c>
      <c r="Z78">
        <v>0</v>
      </c>
      <c r="AB78">
        <v>0</v>
      </c>
      <c r="AG78">
        <v>0</v>
      </c>
    </row>
    <row r="79" spans="19:33" x14ac:dyDescent="0.25">
      <c r="S79" s="119" t="s">
        <v>19</v>
      </c>
      <c r="Z79">
        <v>0</v>
      </c>
      <c r="AB79">
        <v>0</v>
      </c>
      <c r="AG79">
        <v>0</v>
      </c>
    </row>
    <row r="80" spans="19:33" x14ac:dyDescent="0.25">
      <c r="S80" s="119" t="s">
        <v>29</v>
      </c>
      <c r="T80">
        <v>0</v>
      </c>
      <c r="V80">
        <v>0</v>
      </c>
      <c r="AG80">
        <v>0</v>
      </c>
    </row>
    <row r="81" spans="19:33" x14ac:dyDescent="0.25">
      <c r="S81" s="119" t="s">
        <v>42</v>
      </c>
      <c r="Z81">
        <v>0</v>
      </c>
      <c r="AB81">
        <v>0</v>
      </c>
      <c r="AG81">
        <v>0</v>
      </c>
    </row>
    <row r="82" spans="19:33" x14ac:dyDescent="0.25">
      <c r="S82" s="119" t="s">
        <v>20</v>
      </c>
      <c r="AA82">
        <v>2</v>
      </c>
      <c r="AB82">
        <v>2</v>
      </c>
      <c r="AG82">
        <v>2</v>
      </c>
    </row>
    <row r="83" spans="19:33" x14ac:dyDescent="0.25">
      <c r="S83" s="119" t="s">
        <v>11</v>
      </c>
      <c r="AC83">
        <v>0</v>
      </c>
      <c r="AF83">
        <v>0</v>
      </c>
      <c r="AG83">
        <v>0</v>
      </c>
    </row>
    <row r="84" spans="19:33" x14ac:dyDescent="0.25">
      <c r="S84" s="119" t="s">
        <v>37</v>
      </c>
      <c r="AC84">
        <v>0</v>
      </c>
      <c r="AF84">
        <v>0</v>
      </c>
      <c r="AG84">
        <v>0</v>
      </c>
    </row>
    <row r="85" spans="19:33" x14ac:dyDescent="0.25">
      <c r="S85" s="119" t="s">
        <v>12</v>
      </c>
      <c r="W85">
        <v>0</v>
      </c>
      <c r="Y85">
        <v>0</v>
      </c>
      <c r="AG85">
        <v>0</v>
      </c>
    </row>
    <row r="86" spans="19:33" x14ac:dyDescent="0.25">
      <c r="S86" s="119" t="s">
        <v>40</v>
      </c>
      <c r="T86">
        <v>0</v>
      </c>
      <c r="V86">
        <v>0</v>
      </c>
      <c r="AG86">
        <v>0</v>
      </c>
    </row>
    <row r="87" spans="19:33" x14ac:dyDescent="0.25">
      <c r="S87" s="119" t="s">
        <v>17</v>
      </c>
      <c r="U87">
        <v>2</v>
      </c>
      <c r="V87">
        <v>2</v>
      </c>
      <c r="AG87">
        <v>2</v>
      </c>
    </row>
    <row r="88" spans="19:33" x14ac:dyDescent="0.25">
      <c r="S88" s="119" t="s">
        <v>14</v>
      </c>
      <c r="W88">
        <v>0</v>
      </c>
      <c r="Y88">
        <v>0</v>
      </c>
      <c r="AG88">
        <v>0</v>
      </c>
    </row>
    <row r="89" spans="19:33" x14ac:dyDescent="0.25">
      <c r="S89" s="119" t="s">
        <v>24</v>
      </c>
      <c r="AC89">
        <v>0</v>
      </c>
      <c r="AF89">
        <v>0</v>
      </c>
      <c r="AG89">
        <v>0</v>
      </c>
    </row>
    <row r="90" spans="19:33" x14ac:dyDescent="0.25">
      <c r="S90" s="119" t="s">
        <v>26</v>
      </c>
      <c r="AE90">
        <v>1</v>
      </c>
      <c r="AF90">
        <v>1</v>
      </c>
      <c r="AG90">
        <v>1</v>
      </c>
    </row>
    <row r="91" spans="19:33" x14ac:dyDescent="0.25">
      <c r="S91" s="119" t="s">
        <v>21</v>
      </c>
      <c r="W91">
        <v>0</v>
      </c>
      <c r="Y91">
        <v>0</v>
      </c>
      <c r="AG91">
        <v>0</v>
      </c>
    </row>
    <row r="92" spans="19:33" x14ac:dyDescent="0.25">
      <c r="S92" s="119" t="s">
        <v>43</v>
      </c>
      <c r="Z92">
        <v>0</v>
      </c>
      <c r="AB92">
        <v>0</v>
      </c>
      <c r="AG92">
        <v>0</v>
      </c>
    </row>
    <row r="93" spans="19:33" x14ac:dyDescent="0.25">
      <c r="S93" s="119" t="s">
        <v>515</v>
      </c>
      <c r="T93">
        <v>0</v>
      </c>
      <c r="U93">
        <v>6</v>
      </c>
      <c r="V93">
        <v>6</v>
      </c>
      <c r="W93">
        <v>0</v>
      </c>
      <c r="X93">
        <v>2</v>
      </c>
      <c r="Y93">
        <v>2</v>
      </c>
      <c r="Z93">
        <v>0</v>
      </c>
      <c r="AA93">
        <v>2</v>
      </c>
      <c r="AB93">
        <v>2</v>
      </c>
      <c r="AC93">
        <v>0</v>
      </c>
      <c r="AD93">
        <v>4</v>
      </c>
      <c r="AE93">
        <v>2</v>
      </c>
      <c r="AF93">
        <v>6</v>
      </c>
      <c r="AG93">
        <v>16</v>
      </c>
    </row>
  </sheetData>
  <phoneticPr fontId="1" type="noConversion"/>
  <conditionalFormatting sqref="U2:U9">
    <cfRule type="top10" dxfId="14" priority="4" rank="3"/>
  </conditionalFormatting>
  <conditionalFormatting sqref="U12:U19">
    <cfRule type="top10" dxfId="13" priority="3" rank="3"/>
  </conditionalFormatting>
  <conditionalFormatting sqref="U22:U29">
    <cfRule type="top10" dxfId="12" priority="2" rank="3"/>
  </conditionalFormatting>
  <conditionalFormatting sqref="U32:U39">
    <cfRule type="top10" dxfId="11" priority="1" rank="3"/>
  </conditionalFormatting>
  <pageMargins left="0.7" right="0.7" top="0.75" bottom="0.75" header="0.3" footer="0.3"/>
  <tableParts count="5">
    <tablePart r:id="rId2"/>
    <tablePart r:id="rId3"/>
    <tablePart r:id="rId4"/>
    <tablePart r:id="rId5"/>
    <tablePart r:id="rId6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1ED8F-CE4A-4C60-AC38-863C375958F6}">
  <dimension ref="A1:BQ68"/>
  <sheetViews>
    <sheetView workbookViewId="0">
      <selection activeCell="C1" sqref="C1:BN1"/>
    </sheetView>
  </sheetViews>
  <sheetFormatPr defaultRowHeight="15" x14ac:dyDescent="0.25"/>
  <cols>
    <col min="1" max="1" width="5.140625" customWidth="1"/>
    <col min="2" max="66" width="1.7109375" customWidth="1"/>
    <col min="67" max="67" width="2.7109375" bestFit="1" customWidth="1"/>
  </cols>
  <sheetData>
    <row r="1" spans="1:69" ht="12" customHeight="1" x14ac:dyDescent="0.25">
      <c r="A1" s="27" t="s">
        <v>75</v>
      </c>
      <c r="B1" s="28"/>
      <c r="C1" s="168" t="s">
        <v>44</v>
      </c>
      <c r="D1" s="169"/>
      <c r="E1" s="168" t="s">
        <v>23</v>
      </c>
      <c r="F1" s="169"/>
      <c r="G1" s="168" t="s">
        <v>22</v>
      </c>
      <c r="H1" s="169"/>
      <c r="I1" s="168" t="s">
        <v>27</v>
      </c>
      <c r="J1" s="169"/>
      <c r="K1" s="168" t="s">
        <v>11</v>
      </c>
      <c r="L1" s="169"/>
      <c r="M1" s="168" t="s">
        <v>37</v>
      </c>
      <c r="N1" s="169"/>
      <c r="O1" s="168" t="s">
        <v>24</v>
      </c>
      <c r="P1" s="169"/>
      <c r="Q1" s="168" t="s">
        <v>26</v>
      </c>
      <c r="R1" s="176"/>
      <c r="S1" s="168" t="s">
        <v>16</v>
      </c>
      <c r="T1" s="169"/>
      <c r="U1" s="168" t="s">
        <v>25</v>
      </c>
      <c r="V1" s="169"/>
      <c r="W1" s="168" t="s">
        <v>33</v>
      </c>
      <c r="X1" s="169"/>
      <c r="Y1" s="168" t="s">
        <v>36</v>
      </c>
      <c r="Z1" s="169"/>
      <c r="AA1" s="168" t="s">
        <v>34</v>
      </c>
      <c r="AB1" s="169"/>
      <c r="AC1" s="168" t="s">
        <v>12</v>
      </c>
      <c r="AD1" s="169"/>
      <c r="AE1" s="168" t="s">
        <v>14</v>
      </c>
      <c r="AF1" s="169"/>
      <c r="AG1" s="177" t="s">
        <v>21</v>
      </c>
      <c r="AH1" s="176"/>
      <c r="AI1" s="168" t="s">
        <v>41</v>
      </c>
      <c r="AJ1" s="169"/>
      <c r="AK1" s="168" t="s">
        <v>35</v>
      </c>
      <c r="AL1" s="169"/>
      <c r="AM1" s="168" t="s">
        <v>31</v>
      </c>
      <c r="AN1" s="169"/>
      <c r="AO1" s="168" t="s">
        <v>32</v>
      </c>
      <c r="AP1" s="169"/>
      <c r="AQ1" s="168" t="s">
        <v>19</v>
      </c>
      <c r="AR1" s="169"/>
      <c r="AS1" s="168" t="s">
        <v>42</v>
      </c>
      <c r="AT1" s="169"/>
      <c r="AU1" s="168" t="s">
        <v>20</v>
      </c>
      <c r="AV1" s="169"/>
      <c r="AW1" s="168" t="s">
        <v>43</v>
      </c>
      <c r="AX1" s="176"/>
      <c r="AY1" s="168" t="s">
        <v>15</v>
      </c>
      <c r="AZ1" s="169"/>
      <c r="BA1" s="168" t="s">
        <v>28</v>
      </c>
      <c r="BB1" s="169"/>
      <c r="BC1" s="168" t="s">
        <v>30</v>
      </c>
      <c r="BD1" s="169"/>
      <c r="BE1" s="168" t="s">
        <v>13</v>
      </c>
      <c r="BF1" s="168"/>
      <c r="BG1" s="170" t="s">
        <v>18</v>
      </c>
      <c r="BH1" s="171"/>
      <c r="BI1" s="168" t="s">
        <v>29</v>
      </c>
      <c r="BJ1" s="169"/>
      <c r="BK1" s="168" t="s">
        <v>40</v>
      </c>
      <c r="BL1" s="169"/>
      <c r="BM1" s="168" t="s">
        <v>17</v>
      </c>
      <c r="BN1" s="169"/>
      <c r="BO1" s="30"/>
      <c r="BP1" s="29" t="s">
        <v>57</v>
      </c>
      <c r="BQ1" s="27" t="s">
        <v>78</v>
      </c>
    </row>
    <row r="2" spans="1:69" ht="12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45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45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45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  <c r="BQ2" s="27"/>
    </row>
    <row r="3" spans="1:69" ht="12" customHeight="1" x14ac:dyDescent="0.25">
      <c r="A3" s="172" t="s">
        <v>44</v>
      </c>
      <c r="B3" s="28" t="s">
        <v>74</v>
      </c>
      <c r="C3" s="35"/>
      <c r="D3" s="36"/>
      <c r="E3" s="35"/>
      <c r="F3" s="28">
        <f>COUNTIFS(DataRegularSeason20242025!$E$2:$E$1315,E$1,DataRegularSeason20242025!$D$2:$D$1315,$A3,DataRegularSeason20242025!$N$2:$N$1315,1)</f>
        <v>0</v>
      </c>
      <c r="G3" s="35"/>
      <c r="H3" s="28">
        <f>COUNTIFS(DataRegularSeason20242025!$E$2:$E$1315,G$1,DataRegularSeason20242025!$D$2:$D$1315,$A3,DataRegularSeason20242025!$N$2:$N$1315,1)</f>
        <v>0</v>
      </c>
      <c r="I3" s="35"/>
      <c r="J3" s="28">
        <f>COUNTIFS(DataRegularSeason20242025!$E$2:$E$1315,I$1,DataRegularSeason20242025!$D$2:$D$1315,$A3,DataRegularSeason20242025!$N$2:$N$1315,1)</f>
        <v>0</v>
      </c>
      <c r="K3" s="35"/>
      <c r="L3" s="28">
        <f>COUNTIFS(DataRegularSeason20242025!$E$2:$E$1315,K$1,DataRegularSeason20242025!$D$2:$D$1315,$A3,DataRegularSeason20242025!$N$2:$N$1315,1)</f>
        <v>1</v>
      </c>
      <c r="M3" s="35"/>
      <c r="N3" s="28">
        <f>COUNTIFS(DataRegularSeason20242025!$E$2:$E$1315,M$1,DataRegularSeason20242025!$D$2:$D$1315,$A3,DataRegularSeason20242025!$N$2:$N$1315,1)</f>
        <v>1</v>
      </c>
      <c r="O3" s="35"/>
      <c r="P3" s="28">
        <f>COUNTIFS(DataRegularSeason20242025!$E$2:$E$1315,O$1,DataRegularSeason20242025!$D$2:$D$1315,$A3,DataRegularSeason20242025!$N$2:$N$1315,1)</f>
        <v>0</v>
      </c>
      <c r="Q3" s="35"/>
      <c r="R3" s="55">
        <f>COUNTIFS(DataRegularSeason20242025!$E$2:$E$1315,Q$1,DataRegularSeason20242025!$D$2:$D$1315,$A3,DataRegularSeason20242025!$N$2:$N$1315,1)</f>
        <v>0</v>
      </c>
      <c r="S3" s="35"/>
      <c r="T3" s="28">
        <f>COUNTIFS(DataRegularSeason20242025!$E$2:$E$1315,S$1,DataRegularSeason20242025!$D$2:$D$1315,$A3,DataRegularSeason20242025!$N$2:$N$1315,1)</f>
        <v>1</v>
      </c>
      <c r="U3" s="35"/>
      <c r="V3" s="28">
        <f>COUNTIFS(DataRegularSeason20242025!$E$2:$E$1315,U$1,DataRegularSeason20242025!$D$2:$D$1315,$A3,DataRegularSeason20242025!$N$2:$N$1315,1)</f>
        <v>0</v>
      </c>
      <c r="W3" s="35"/>
      <c r="X3" s="28">
        <f>COUNTIFS(DataRegularSeason20242025!$E$2:$E$1315,W$1,DataRegularSeason20242025!$D$2:$D$1315,$A3,DataRegularSeason20242025!$N$2:$N$1315,1)</f>
        <v>0</v>
      </c>
      <c r="Y3" s="35"/>
      <c r="Z3" s="28">
        <f>COUNTIFS(DataRegularSeason20242025!$E$2:$E$1315,Y$1,DataRegularSeason20242025!$D$2:$D$1315,$A3,DataRegularSeason20242025!$N$2:$N$1315,1)</f>
        <v>0</v>
      </c>
      <c r="AA3" s="35"/>
      <c r="AB3" s="28">
        <f>COUNTIFS(DataRegularSeason20242025!$E$2:$E$1315,AA$1,DataRegularSeason20242025!$D$2:$D$1315,$A3,DataRegularSeason20242025!$N$2:$N$1315,1)</f>
        <v>1</v>
      </c>
      <c r="AC3" s="35"/>
      <c r="AD3" s="28">
        <f>COUNTIFS(DataRegularSeason20242025!$E$2:$E$1315,AC$1,DataRegularSeason20242025!$D$2:$D$1315,$A3,DataRegularSeason20242025!$N$2:$N$1315,1)</f>
        <v>0</v>
      </c>
      <c r="AE3" s="35"/>
      <c r="AF3" s="28">
        <f>COUNTIFS(DataRegularSeason20242025!$E$2:$E$1315,AE$1,DataRegularSeason20242025!$D$2:$D$1315,$A3,DataRegularSeason20242025!$N$2:$N$1315,1)</f>
        <v>0</v>
      </c>
      <c r="AG3" s="35"/>
      <c r="AH3" s="46">
        <f>COUNTIFS(DataRegularSeason20242025!$E$2:$E$1315,AG$1,DataRegularSeason20242025!$D$2:$D$1315,$A3,DataRegularSeason20242025!$N$2:$N$1315,1)</f>
        <v>0</v>
      </c>
      <c r="AI3" s="35"/>
      <c r="AJ3" s="28">
        <f>COUNTIFS(DataRegularSeason20242025!$E$2:$E$1315,AI$1,DataRegularSeason20242025!$D$2:$D$1315,$A3,DataRegularSeason20242025!$N$2:$N$1315,1)</f>
        <v>0</v>
      </c>
      <c r="AK3" s="35"/>
      <c r="AL3" s="28">
        <f>COUNTIFS(DataRegularSeason20242025!$E$2:$E$1315,AK$1,DataRegularSeason20242025!$D$2:$D$1315,$A3,DataRegularSeason20242025!$N$2:$N$1315,1)</f>
        <v>0</v>
      </c>
      <c r="AM3" s="35"/>
      <c r="AN3" s="28">
        <f>COUNTIFS(DataRegularSeason20242025!$E$2:$E$1315,AM$1,DataRegularSeason20242025!$D$2:$D$1315,$A3,DataRegularSeason20242025!$N$2:$N$1315,1)</f>
        <v>0</v>
      </c>
      <c r="AO3" s="35"/>
      <c r="AP3" s="28">
        <f>COUNTIFS(DataRegularSeason20242025!$E$2:$E$1315,AO$1,DataRegularSeason20242025!$D$2:$D$1315,$A3,DataRegularSeason20242025!$N$2:$N$1315,1)</f>
        <v>0</v>
      </c>
      <c r="AQ3" s="35"/>
      <c r="AR3" s="28">
        <f>COUNTIFS(DataRegularSeason20242025!$E$2:$E$1315,AQ$1,DataRegularSeason20242025!$D$2:$D$1315,$A3,DataRegularSeason20242025!$N$2:$N$1315,1)</f>
        <v>0</v>
      </c>
      <c r="AS3" s="35"/>
      <c r="AT3" s="28">
        <f>COUNTIFS(DataRegularSeason20242025!$E$2:$E$1315,AS$1,DataRegularSeason20242025!$D$2:$D$1315,$A3,DataRegularSeason20242025!$N$2:$N$1315,1)</f>
        <v>0</v>
      </c>
      <c r="AU3" s="35"/>
      <c r="AV3" s="28">
        <f>COUNTIFS(DataRegularSeason20242025!$E$2:$E$1315,AU$1,DataRegularSeason20242025!$D$2:$D$1315,$A3,DataRegularSeason20242025!$N$2:$N$1315,1)</f>
        <v>0</v>
      </c>
      <c r="AW3" s="35"/>
      <c r="AX3" s="46">
        <f>COUNTIFS(DataRegularSeason20242025!$E$2:$E$1315,AW$1,DataRegularSeason20242025!$D$2:$D$1315,$A3,DataRegularSeason20242025!$N$2:$N$1315,1)</f>
        <v>0</v>
      </c>
      <c r="AY3" s="35"/>
      <c r="AZ3" s="28">
        <f>COUNTIFS(DataRegularSeason20242025!$E$2:$E$1315,AY$1,DataRegularSeason20242025!$D$2:$D$1315,$A3,DataRegularSeason20242025!$N$2:$N$1315,1)</f>
        <v>0</v>
      </c>
      <c r="BA3" s="35"/>
      <c r="BB3" s="28">
        <f>COUNTIFS(DataRegularSeason20242025!$E$2:$E$1315,BA$1,DataRegularSeason20242025!$D$2:$D$1315,$A3,DataRegularSeason20242025!$N$2:$N$1315,1)</f>
        <v>0</v>
      </c>
      <c r="BC3" s="35"/>
      <c r="BD3" s="28">
        <f>COUNTIFS(DataRegularSeason20242025!$E$2:$E$1315,BC$1,DataRegularSeason20242025!$D$2:$D$1315,$A3,DataRegularSeason20242025!$N$2:$N$1315,1)</f>
        <v>0</v>
      </c>
      <c r="BE3" s="35"/>
      <c r="BF3" s="28">
        <f>COUNTIFS(DataRegularSeason20242025!$E$2:$E$1315,BE$1,DataRegularSeason20242025!$D$2:$D$1315,$A3,DataRegularSeason20242025!$N$2:$N$1315,1)</f>
        <v>0</v>
      </c>
      <c r="BG3" s="35"/>
      <c r="BH3" s="28">
        <f>COUNTIFS(DataRegularSeason20242025!$E$2:$E$1315,BG$1,DataRegularSeason20242025!$D$2:$D$1315,$A3,DataRegularSeason20242025!$N$2:$N$1315,1)</f>
        <v>0</v>
      </c>
      <c r="BI3" s="35"/>
      <c r="BJ3" s="28">
        <f>COUNTIFS(DataRegularSeason20242025!$E$2:$E$1315,BI$1,DataRegularSeason20242025!$D$2:$D$1315,$A3,DataRegularSeason20242025!$N$2:$N$1315,1)</f>
        <v>0</v>
      </c>
      <c r="BK3" s="35"/>
      <c r="BL3" s="28">
        <f>COUNTIFS(DataRegularSeason20242025!$E$2:$E$1315,BK$1,DataRegularSeason20242025!$D$2:$D$1315,$A3,DataRegularSeason20242025!$N$2:$N$1315,1)</f>
        <v>0</v>
      </c>
      <c r="BM3" s="35"/>
      <c r="BN3" s="28">
        <f>COUNTIFS(DataRegularSeason20242025!$E$2:$E$1315,BM$1,DataRegularSeason20242025!$D$2:$D$1315,$A3,DataRegularSeason20242025!$N$2:$N$1315,1)</f>
        <v>0</v>
      </c>
      <c r="BO3" s="30">
        <f>SUM(C3:BN3)</f>
        <v>4</v>
      </c>
      <c r="BP3" s="165">
        <f>BO3+BO4</f>
        <v>6</v>
      </c>
      <c r="BQ3" s="166">
        <f>82-BP3</f>
        <v>76</v>
      </c>
    </row>
    <row r="4" spans="1:69" ht="12" customHeight="1" x14ac:dyDescent="0.25">
      <c r="A4" s="167"/>
      <c r="B4" s="32" t="s">
        <v>73</v>
      </c>
      <c r="C4" s="38"/>
      <c r="D4" s="39"/>
      <c r="E4" s="38">
        <f>COUNTIFS(DataRegularSeason20242025!$D$2:$D$1315,E$1,DataRegularSeason20242025!$E$2:$E$1315,$A3,DataRegularSeason20242025!$N$2:$N$1315,1)</f>
        <v>0</v>
      </c>
      <c r="F4" s="39"/>
      <c r="G4" s="38">
        <f>COUNTIFS(DataRegularSeason20242025!$D$2:$D$1315,G$1,DataRegularSeason20242025!$E$2:$E$1315,$A3,DataRegularSeason20242025!$N$2:$N$1315,1)</f>
        <v>0</v>
      </c>
      <c r="H4" s="39"/>
      <c r="I4" s="38">
        <f>COUNTIFS(DataRegularSeason20242025!$D$2:$D$1315,I$1,DataRegularSeason20242025!$E$2:$E$1315,$A3,DataRegularSeason20242025!$N$2:$N$1315,1)</f>
        <v>0</v>
      </c>
      <c r="J4" s="39"/>
      <c r="K4" s="38">
        <f>COUNTIFS(DataRegularSeason20242025!$D$2:$D$1315,K$1,DataRegularSeason20242025!$E$2:$E$1315,$A3,DataRegularSeason20242025!$N$2:$N$1315,1)</f>
        <v>0</v>
      </c>
      <c r="L4" s="39"/>
      <c r="M4" s="38">
        <f>COUNTIFS(DataRegularSeason20242025!$D$2:$D$1315,M$1,DataRegularSeason20242025!$E$2:$E$1315,$A3,DataRegularSeason20242025!$N$2:$N$1315,1)</f>
        <v>0</v>
      </c>
      <c r="N4" s="39"/>
      <c r="O4" s="38">
        <f>COUNTIFS(DataRegularSeason20242025!$D$2:$D$1315,O$1,DataRegularSeason20242025!$E$2:$E$1315,$A3,DataRegularSeason20242025!$N$2:$N$1315,1)</f>
        <v>0</v>
      </c>
      <c r="P4" s="39"/>
      <c r="Q4" s="38">
        <f>COUNTIFS(DataRegularSeason20242025!$D$2:$D$1315,Q$1,DataRegularSeason20242025!$E$2:$E$1315,$A3,DataRegularSeason20242025!$N$2:$N$1315,1)</f>
        <v>0</v>
      </c>
      <c r="R4" s="47"/>
      <c r="S4" s="38">
        <f>COUNTIFS(DataRegularSeason20242025!$D$2:$D$1315,S$1,DataRegularSeason20242025!$E$2:$E$1315,$A3,DataRegularSeason20242025!$N$2:$N$1315,1)</f>
        <v>0</v>
      </c>
      <c r="T4" s="39"/>
      <c r="U4" s="38">
        <f>COUNTIFS(DataRegularSeason20242025!$D$2:$D$1315,U$1,DataRegularSeason20242025!$E$2:$E$1315,$A3,DataRegularSeason20242025!$N$2:$N$1315,1)</f>
        <v>0</v>
      </c>
      <c r="V4" s="39"/>
      <c r="W4" s="38">
        <f>COUNTIFS(DataRegularSeason20242025!$D$2:$D$1315,W$1,DataRegularSeason20242025!$E$2:$E$1315,$A3,DataRegularSeason20242025!$N$2:$N$1315,1)</f>
        <v>0</v>
      </c>
      <c r="X4" s="39"/>
      <c r="Y4" s="38">
        <f>COUNTIFS(DataRegularSeason20242025!$D$2:$D$1315,Y$1,DataRegularSeason20242025!$E$2:$E$1315,$A3,DataRegularSeason20242025!$N$2:$N$1315,1)</f>
        <v>0</v>
      </c>
      <c r="Z4" s="39"/>
      <c r="AA4" s="38">
        <f>COUNTIFS(DataRegularSeason20242025!$D$2:$D$1315,AA$1,DataRegularSeason20242025!$E$2:$E$1315,$A3,DataRegularSeason20242025!$N$2:$N$1315,1)</f>
        <v>0</v>
      </c>
      <c r="AB4" s="39"/>
      <c r="AC4" s="38">
        <f>COUNTIFS(DataRegularSeason20242025!$D$2:$D$1315,AC$1,DataRegularSeason20242025!$E$2:$E$1315,$A3,DataRegularSeason20242025!$N$2:$N$1315,1)</f>
        <v>0</v>
      </c>
      <c r="AD4" s="39"/>
      <c r="AE4" s="38">
        <f>COUNTIFS(DataRegularSeason20242025!$D$2:$D$1315,AE$1,DataRegularSeason20242025!$E$2:$E$1315,$A3,DataRegularSeason20242025!$N$2:$N$1315,1)</f>
        <v>0</v>
      </c>
      <c r="AF4" s="39"/>
      <c r="AG4" s="38">
        <f>COUNTIFS(DataRegularSeason20242025!$D$2:$D$1315,AG$1,DataRegularSeason20242025!$E$2:$E$1315,$A3,DataRegularSeason20242025!$N$2:$N$1315,1)</f>
        <v>0</v>
      </c>
      <c r="AH4" s="47"/>
      <c r="AI4" s="38">
        <f>COUNTIFS(DataRegularSeason20242025!$D$2:$D$1315,AI$1,DataRegularSeason20242025!$E$2:$E$1315,$A3,DataRegularSeason20242025!$N$2:$N$1315,1)</f>
        <v>1</v>
      </c>
      <c r="AJ4" s="39"/>
      <c r="AK4" s="38">
        <f>COUNTIFS(DataRegularSeason20242025!$D$2:$D$1315,AK$1,DataRegularSeason20242025!$E$2:$E$1315,$A3,DataRegularSeason20242025!$N$2:$N$1315,1)</f>
        <v>0</v>
      </c>
      <c r="AL4" s="39"/>
      <c r="AM4" s="38">
        <f>COUNTIFS(DataRegularSeason20242025!$D$2:$D$1315,AM$1,DataRegularSeason20242025!$E$2:$E$1315,$A3,DataRegularSeason20242025!$N$2:$N$1315,1)</f>
        <v>0</v>
      </c>
      <c r="AN4" s="39"/>
      <c r="AO4" s="38">
        <f>COUNTIFS(DataRegularSeason20242025!$D$2:$D$1315,AO$1,DataRegularSeason20242025!$E$2:$E$1315,$A3,DataRegularSeason20242025!$N$2:$N$1315,1)</f>
        <v>0</v>
      </c>
      <c r="AP4" s="39"/>
      <c r="AQ4" s="38">
        <f>COUNTIFS(DataRegularSeason20242025!$D$2:$D$1315,AQ$1,DataRegularSeason20242025!$E$2:$E$1315,$A3,DataRegularSeason20242025!$N$2:$N$1315,1)</f>
        <v>0</v>
      </c>
      <c r="AR4" s="39"/>
      <c r="AS4" s="38">
        <f>COUNTIFS(DataRegularSeason20242025!$D$2:$D$1315,AS$1,DataRegularSeason20242025!$E$2:$E$1315,$A3,DataRegularSeason20242025!$N$2:$N$1315,1)</f>
        <v>0</v>
      </c>
      <c r="AT4" s="39"/>
      <c r="AU4" s="38">
        <f>COUNTIFS(DataRegularSeason20242025!$D$2:$D$1315,AU$1,DataRegularSeason20242025!$E$2:$E$1315,$A3,DataRegularSeason20242025!$N$2:$N$1315,1)</f>
        <v>1</v>
      </c>
      <c r="AV4" s="39"/>
      <c r="AW4" s="38">
        <f>COUNTIFS(DataRegularSeason20242025!$D$2:$D$1315,AW$1,DataRegularSeason20242025!$E$2:$E$1315,$A3,DataRegularSeason20242025!$N$2:$N$1315,1)</f>
        <v>0</v>
      </c>
      <c r="AX4" s="47"/>
      <c r="AY4" s="38">
        <f>COUNTIFS(DataRegularSeason20242025!$D$2:$D$1315,AY$1,DataRegularSeason20242025!$E$2:$E$1315,$A3,DataRegularSeason20242025!$N$2:$N$1315,1)</f>
        <v>0</v>
      </c>
      <c r="AZ4" s="39"/>
      <c r="BA4" s="38">
        <f>COUNTIFS(DataRegularSeason20242025!$D$2:$D$1315,BA$1,DataRegularSeason20242025!$E$2:$E$1315,$A3,DataRegularSeason20242025!$N$2:$N$1315,1)</f>
        <v>0</v>
      </c>
      <c r="BB4" s="39"/>
      <c r="BC4" s="38">
        <f>COUNTIFS(DataRegularSeason20242025!$D$2:$D$1315,BC$1,DataRegularSeason20242025!$E$2:$E$1315,$A3,DataRegularSeason20242025!$N$2:$N$1315,1)</f>
        <v>0</v>
      </c>
      <c r="BD4" s="39"/>
      <c r="BE4" s="38">
        <f>COUNTIFS(DataRegularSeason20242025!$D$2:$D$1315,BE$1,DataRegularSeason20242025!$E$2:$E$1315,$A3,DataRegularSeason20242025!$N$2:$N$1315,1)</f>
        <v>0</v>
      </c>
      <c r="BF4" s="39"/>
      <c r="BG4" s="38">
        <f>COUNTIFS(DataRegularSeason20242025!$D$2:$D$1315,BG$1,DataRegularSeason20242025!$E$2:$E$1315,$A3,DataRegularSeason20242025!$N$2:$N$1315,1)</f>
        <v>0</v>
      </c>
      <c r="BH4" s="39"/>
      <c r="BI4" s="38">
        <f>COUNTIFS(DataRegularSeason20242025!$D$2:$D$1315,BI$1,DataRegularSeason20242025!$E$2:$E$1315,$A3,DataRegularSeason20242025!$N$2:$N$1315,1)</f>
        <v>0</v>
      </c>
      <c r="BJ4" s="39"/>
      <c r="BK4" s="38">
        <f>COUNTIFS(DataRegularSeason20242025!$D$2:$D$1315,BK$1,DataRegularSeason20242025!$E$2:$E$1315,$A3,DataRegularSeason20242025!$N$2:$N$1315,1)</f>
        <v>0</v>
      </c>
      <c r="BL4" s="39"/>
      <c r="BM4" s="38">
        <f>COUNTIFS(DataRegularSeason20242025!$D$2:$D$1315,BM$1,DataRegularSeason20242025!$E$2:$E$1315,$A3,DataRegularSeason20242025!$N$2:$N$1315,1)</f>
        <v>0</v>
      </c>
      <c r="BN4" s="39"/>
      <c r="BO4" s="34">
        <f>SUM(C4:BN4)</f>
        <v>2</v>
      </c>
      <c r="BP4" s="165"/>
      <c r="BQ4" s="166"/>
    </row>
    <row r="5" spans="1:69" ht="12" customHeight="1" x14ac:dyDescent="0.25">
      <c r="A5" s="172" t="s">
        <v>23</v>
      </c>
      <c r="B5" s="28" t="s">
        <v>74</v>
      </c>
      <c r="C5" s="35"/>
      <c r="D5" s="28">
        <f>COUNTIFS(DataRegularSeason20242025!$E$2:$E$1315,C$1,DataRegularSeason20242025!$D$2:$D$1315,$A5,DataRegularSeason20242025!$N$2:$N$1315,1)</f>
        <v>0</v>
      </c>
      <c r="E5" s="35"/>
      <c r="F5" s="36"/>
      <c r="G5" s="35"/>
      <c r="H5" s="28">
        <f>COUNTIFS(DataRegularSeason20242025!$E$2:$E$1315,G$1,DataRegularSeason20242025!$D$2:$D$1315,$A5,DataRegularSeason20242025!$N$2:$N$1315,1)</f>
        <v>1</v>
      </c>
      <c r="I5" s="35"/>
      <c r="J5" s="28">
        <f>COUNTIFS(DataRegularSeason20242025!$E$2:$E$1315,I$1,DataRegularSeason20242025!$D$2:$D$1315,$A5,DataRegularSeason20242025!$N$2:$N$1315,1)</f>
        <v>0</v>
      </c>
      <c r="K5" s="35"/>
      <c r="L5" s="28">
        <f>COUNTIFS(DataRegularSeason20242025!$E$2:$E$1315,K$1,DataRegularSeason20242025!$D$2:$D$1315,$A5,DataRegularSeason20242025!$N$2:$N$1315,1)</f>
        <v>0</v>
      </c>
      <c r="M5" s="35"/>
      <c r="N5" s="28">
        <f>COUNTIFS(DataRegularSeason20242025!$E$2:$E$1315,M$1,DataRegularSeason20242025!$D$2:$D$1315,$A5,DataRegularSeason20242025!$N$2:$N$1315,1)</f>
        <v>0</v>
      </c>
      <c r="O5" s="35"/>
      <c r="P5" s="28">
        <f>COUNTIFS(DataRegularSeason20242025!$E$2:$E$1315,O$1,DataRegularSeason20242025!$D$2:$D$1315,$A5,DataRegularSeason20242025!$N$2:$N$1315,1)</f>
        <v>1</v>
      </c>
      <c r="Q5" s="35"/>
      <c r="R5" s="46">
        <f>COUNTIFS(DataRegularSeason20242025!$E$2:$E$1315,Q$1,DataRegularSeason20242025!$D$2:$D$1315,$A5,DataRegularSeason20242025!$N$2:$N$1315,1)</f>
        <v>1</v>
      </c>
      <c r="S5" s="35"/>
      <c r="T5" s="28">
        <f>COUNTIFS(DataRegularSeason20242025!$E$2:$E$1315,S$1,DataRegularSeason20242025!$D$2:$D$1315,$A5,DataRegularSeason20242025!$N$2:$N$1315,1)</f>
        <v>0</v>
      </c>
      <c r="U5" s="35"/>
      <c r="V5" s="28">
        <f>COUNTIFS(DataRegularSeason20242025!$E$2:$E$1315,U$1,DataRegularSeason20242025!$D$2:$D$1315,$A5,DataRegularSeason20242025!$N$2:$N$1315,1)</f>
        <v>0</v>
      </c>
      <c r="W5" s="35"/>
      <c r="X5" s="28">
        <f>COUNTIFS(DataRegularSeason20242025!$E$2:$E$1315,W$1,DataRegularSeason20242025!$D$2:$D$1315,$A5,DataRegularSeason20242025!$N$2:$N$1315,1)</f>
        <v>0</v>
      </c>
      <c r="Y5" s="35"/>
      <c r="Z5" s="28">
        <f>COUNTIFS(DataRegularSeason20242025!$E$2:$E$1315,Y$1,DataRegularSeason20242025!$D$2:$D$1315,$A5,DataRegularSeason20242025!$N$2:$N$1315,1)</f>
        <v>0</v>
      </c>
      <c r="AA5" s="35"/>
      <c r="AB5" s="28">
        <f>COUNTIFS(DataRegularSeason20242025!$E$2:$E$1315,AA$1,DataRegularSeason20242025!$D$2:$D$1315,$A5,DataRegularSeason20242025!$N$2:$N$1315,1)</f>
        <v>0</v>
      </c>
      <c r="AC5" s="35"/>
      <c r="AD5" s="28">
        <f>COUNTIFS(DataRegularSeason20242025!$E$2:$E$1315,AC$1,DataRegularSeason20242025!$D$2:$D$1315,$A5,DataRegularSeason20242025!$N$2:$N$1315,1)</f>
        <v>0</v>
      </c>
      <c r="AE5" s="35"/>
      <c r="AF5" s="28">
        <f>COUNTIFS(DataRegularSeason20242025!$E$2:$E$1315,AE$1,DataRegularSeason20242025!$D$2:$D$1315,$A5,DataRegularSeason20242025!$N$2:$N$1315,1)</f>
        <v>1</v>
      </c>
      <c r="AG5" s="35"/>
      <c r="AH5" s="46">
        <f>COUNTIFS(DataRegularSeason20242025!$E$2:$E$1315,AG$1,DataRegularSeason20242025!$D$2:$D$1315,$A5,DataRegularSeason20242025!$N$2:$N$1315,1)</f>
        <v>0</v>
      </c>
      <c r="AI5" s="35"/>
      <c r="AJ5" s="28">
        <f>COUNTIFS(DataRegularSeason20242025!$E$2:$E$1315,AI$1,DataRegularSeason20242025!$D$2:$D$1315,$A5,DataRegularSeason20242025!$N$2:$N$1315,1)</f>
        <v>0</v>
      </c>
      <c r="AK5" s="35"/>
      <c r="AL5" s="28">
        <f>COUNTIFS(DataRegularSeason20242025!$E$2:$E$1315,AK$1,DataRegularSeason20242025!$D$2:$D$1315,$A5,DataRegularSeason20242025!$N$2:$N$1315,1)</f>
        <v>0</v>
      </c>
      <c r="AM5" s="35"/>
      <c r="AN5" s="28">
        <f>COUNTIFS(DataRegularSeason20242025!$E$2:$E$1315,AM$1,DataRegularSeason20242025!$D$2:$D$1315,$A5,DataRegularSeason20242025!$N$2:$N$1315,1)</f>
        <v>0</v>
      </c>
      <c r="AO5" s="35"/>
      <c r="AP5" s="28">
        <f>COUNTIFS(DataRegularSeason20242025!$E$2:$E$1315,AO$1,DataRegularSeason20242025!$D$2:$D$1315,$A5,DataRegularSeason20242025!$N$2:$N$1315,1)</f>
        <v>0</v>
      </c>
      <c r="AQ5" s="35"/>
      <c r="AR5" s="28">
        <f>COUNTIFS(DataRegularSeason20242025!$E$2:$E$1315,AQ$1,DataRegularSeason20242025!$D$2:$D$1315,$A5,DataRegularSeason20242025!$N$2:$N$1315,1)</f>
        <v>0</v>
      </c>
      <c r="AS5" s="35"/>
      <c r="AT5" s="28">
        <f>COUNTIFS(DataRegularSeason20242025!$E$2:$E$1315,AS$1,DataRegularSeason20242025!$D$2:$D$1315,$A5,DataRegularSeason20242025!$N$2:$N$1315,1)</f>
        <v>0</v>
      </c>
      <c r="AU5" s="35"/>
      <c r="AV5" s="28">
        <f>COUNTIFS(DataRegularSeason20242025!$E$2:$E$1315,AU$1,DataRegularSeason20242025!$D$2:$D$1315,$A5,DataRegularSeason20242025!$N$2:$N$1315,1)</f>
        <v>0</v>
      </c>
      <c r="AW5" s="35"/>
      <c r="AX5" s="46">
        <f>COUNTIFS(DataRegularSeason20242025!$E$2:$E$1315,AW$1,DataRegularSeason20242025!$D$2:$D$1315,$A5,DataRegularSeason20242025!$N$2:$N$1315,1)</f>
        <v>0</v>
      </c>
      <c r="AY5" s="35"/>
      <c r="AZ5" s="28">
        <f>COUNTIFS(DataRegularSeason20242025!$E$2:$E$1315,AY$1,DataRegularSeason20242025!$D$2:$D$1315,$A5,DataRegularSeason20242025!$N$2:$N$1315,1)</f>
        <v>0</v>
      </c>
      <c r="BA5" s="35"/>
      <c r="BB5" s="28">
        <f>COUNTIFS(DataRegularSeason20242025!$E$2:$E$1315,BA$1,DataRegularSeason20242025!$D$2:$D$1315,$A5,DataRegularSeason20242025!$N$2:$N$1315,1)</f>
        <v>0</v>
      </c>
      <c r="BC5" s="35"/>
      <c r="BD5" s="28">
        <f>COUNTIFS(DataRegularSeason20242025!$E$2:$E$1315,BC$1,DataRegularSeason20242025!$D$2:$D$1315,$A5,DataRegularSeason20242025!$N$2:$N$1315,1)</f>
        <v>0</v>
      </c>
      <c r="BE5" s="35"/>
      <c r="BF5" s="28">
        <f>COUNTIFS(DataRegularSeason20242025!$E$2:$E$1315,BE$1,DataRegularSeason20242025!$D$2:$D$1315,$A5,DataRegularSeason20242025!$N$2:$N$1315,1)</f>
        <v>0</v>
      </c>
      <c r="BG5" s="35"/>
      <c r="BH5" s="28">
        <f>COUNTIFS(DataRegularSeason20242025!$E$2:$E$1315,BG$1,DataRegularSeason20242025!$D$2:$D$1315,$A5,DataRegularSeason20242025!$N$2:$N$1315,1)</f>
        <v>0</v>
      </c>
      <c r="BI5" s="35"/>
      <c r="BJ5" s="28">
        <f>COUNTIFS(DataRegularSeason20242025!$E$2:$E$1315,BI$1,DataRegularSeason20242025!$D$2:$D$1315,$A5,DataRegularSeason20242025!$N$2:$N$1315,1)</f>
        <v>0</v>
      </c>
      <c r="BK5" s="35"/>
      <c r="BL5" s="28">
        <f>COUNTIFS(DataRegularSeason20242025!$E$2:$E$1315,BK$1,DataRegularSeason20242025!$D$2:$D$1315,$A5,DataRegularSeason20242025!$N$2:$N$1315,1)</f>
        <v>0</v>
      </c>
      <c r="BM5" s="35"/>
      <c r="BN5" s="28">
        <f>COUNTIFS(DataRegularSeason20242025!$E$2:$E$1315,BM$1,DataRegularSeason20242025!$D$2:$D$1315,$A5,DataRegularSeason20242025!$N$2:$N$1315,1)</f>
        <v>0</v>
      </c>
      <c r="BO5" s="30">
        <f t="shared" ref="BO5:BO66" si="0">SUM(C5:BN5)</f>
        <v>4</v>
      </c>
      <c r="BP5" s="165">
        <f t="shared" ref="BP5" si="1">BO5+BO6</f>
        <v>7</v>
      </c>
      <c r="BQ5" s="166">
        <f t="shared" ref="BQ5" si="2">82-BP5</f>
        <v>75</v>
      </c>
    </row>
    <row r="6" spans="1:69" ht="12" customHeight="1" x14ac:dyDescent="0.25">
      <c r="A6" s="167"/>
      <c r="B6" s="32" t="s">
        <v>73</v>
      </c>
      <c r="C6" s="38">
        <f>COUNTIFS(DataRegularSeason20242025!$D$2:$D$1315,C$1,DataRegularSeason20242025!$E$2:$E$1315,$A5,DataRegularSeason20242025!$N$2:$N$1315,1)</f>
        <v>0</v>
      </c>
      <c r="D6" s="39"/>
      <c r="E6" s="38"/>
      <c r="F6" s="39"/>
      <c r="G6" s="38">
        <f>COUNTIFS(DataRegularSeason20242025!$D$2:$D$1315,G$1,DataRegularSeason20242025!$E$2:$E$1315,$A5,DataRegularSeason20242025!$N$2:$N$1315,1)</f>
        <v>0</v>
      </c>
      <c r="H6" s="39"/>
      <c r="I6" s="38">
        <f>COUNTIFS(DataRegularSeason20242025!$D$2:$D$1315,I$1,DataRegularSeason20242025!$E$2:$E$1315,$A5,DataRegularSeason20242025!$N$2:$N$1315,1)</f>
        <v>0</v>
      </c>
      <c r="J6" s="39"/>
      <c r="K6" s="38">
        <f>COUNTIFS(DataRegularSeason20242025!$D$2:$D$1315,K$1,DataRegularSeason20242025!$E$2:$E$1315,$A5,DataRegularSeason20242025!$N$2:$N$1315,1)</f>
        <v>0</v>
      </c>
      <c r="L6" s="39"/>
      <c r="M6" s="38">
        <f>COUNTIFS(DataRegularSeason20242025!$D$2:$D$1315,M$1,DataRegularSeason20242025!$E$2:$E$1315,$A5,DataRegularSeason20242025!$N$2:$N$1315,1)</f>
        <v>0</v>
      </c>
      <c r="N6" s="39"/>
      <c r="O6" s="38">
        <f>COUNTIFS(DataRegularSeason20242025!$D$2:$D$1315,O$1,DataRegularSeason20242025!$E$2:$E$1315,$A5,DataRegularSeason20242025!$N$2:$N$1315,1)</f>
        <v>0</v>
      </c>
      <c r="P6" s="39"/>
      <c r="Q6" s="38">
        <f>COUNTIFS(DataRegularSeason20242025!$D$2:$D$1315,Q$1,DataRegularSeason20242025!$E$2:$E$1315,$A5,DataRegularSeason20242025!$N$2:$N$1315,1)</f>
        <v>1</v>
      </c>
      <c r="R6" s="47"/>
      <c r="S6" s="38">
        <f>COUNTIFS(DataRegularSeason20242025!$D$2:$D$1315,S$1,DataRegularSeason20242025!$E$2:$E$1315,$A5,DataRegularSeason20242025!$N$2:$N$1315,1)</f>
        <v>0</v>
      </c>
      <c r="T6" s="39"/>
      <c r="U6" s="38">
        <f>COUNTIFS(DataRegularSeason20242025!$D$2:$D$1315,U$1,DataRegularSeason20242025!$E$2:$E$1315,$A5,DataRegularSeason20242025!$N$2:$N$1315,1)</f>
        <v>0</v>
      </c>
      <c r="V6" s="39"/>
      <c r="W6" s="38">
        <f>COUNTIFS(DataRegularSeason20242025!$D$2:$D$1315,W$1,DataRegularSeason20242025!$E$2:$E$1315,$A5,DataRegularSeason20242025!$N$2:$N$1315,1)</f>
        <v>0</v>
      </c>
      <c r="X6" s="39"/>
      <c r="Y6" s="38">
        <f>COUNTIFS(DataRegularSeason20242025!$D$2:$D$1315,Y$1,DataRegularSeason20242025!$E$2:$E$1315,$A5,DataRegularSeason20242025!$N$2:$N$1315,1)</f>
        <v>0</v>
      </c>
      <c r="Z6" s="39"/>
      <c r="AA6" s="38">
        <f>COUNTIFS(DataRegularSeason20242025!$D$2:$D$1315,AA$1,DataRegularSeason20242025!$E$2:$E$1315,$A5,DataRegularSeason20242025!$N$2:$N$1315,1)</f>
        <v>0</v>
      </c>
      <c r="AB6" s="39"/>
      <c r="AC6" s="38">
        <f>COUNTIFS(DataRegularSeason20242025!$D$2:$D$1315,AC$1,DataRegularSeason20242025!$E$2:$E$1315,$A5,DataRegularSeason20242025!$N$2:$N$1315,1)</f>
        <v>1</v>
      </c>
      <c r="AD6" s="39"/>
      <c r="AE6" s="38">
        <f>COUNTIFS(DataRegularSeason20242025!$D$2:$D$1315,AE$1,DataRegularSeason20242025!$E$2:$E$1315,$A5,DataRegularSeason20242025!$N$2:$N$1315,1)</f>
        <v>0</v>
      </c>
      <c r="AF6" s="39"/>
      <c r="AG6" s="38">
        <f>COUNTIFS(DataRegularSeason20242025!$D$2:$D$1315,AG$1,DataRegularSeason20242025!$E$2:$E$1315,$A5,DataRegularSeason20242025!$N$2:$N$1315,1)</f>
        <v>1</v>
      </c>
      <c r="AH6" s="47"/>
      <c r="AI6" s="38">
        <f>COUNTIFS(DataRegularSeason20242025!$D$2:$D$1315,AI$1,DataRegularSeason20242025!$E$2:$E$1315,$A5,DataRegularSeason20242025!$N$2:$N$1315,1)</f>
        <v>0</v>
      </c>
      <c r="AJ6" s="39"/>
      <c r="AK6" s="38">
        <f>COUNTIFS(DataRegularSeason20242025!$D$2:$D$1315,AK$1,DataRegularSeason20242025!$E$2:$E$1315,$A5,DataRegularSeason20242025!$N$2:$N$1315,1)</f>
        <v>0</v>
      </c>
      <c r="AL6" s="39"/>
      <c r="AM6" s="38">
        <f>COUNTIFS(DataRegularSeason20242025!$D$2:$D$1315,AM$1,DataRegularSeason20242025!$E$2:$E$1315,$A5,DataRegularSeason20242025!$N$2:$N$1315,1)</f>
        <v>0</v>
      </c>
      <c r="AN6" s="39"/>
      <c r="AO6" s="38">
        <f>COUNTIFS(DataRegularSeason20242025!$D$2:$D$1315,AO$1,DataRegularSeason20242025!$E$2:$E$1315,$A5,DataRegularSeason20242025!$N$2:$N$1315,1)</f>
        <v>0</v>
      </c>
      <c r="AP6" s="39"/>
      <c r="AQ6" s="38">
        <f>COUNTIFS(DataRegularSeason20242025!$D$2:$D$1315,AQ$1,DataRegularSeason20242025!$E$2:$E$1315,$A5,DataRegularSeason20242025!$N$2:$N$1315,1)</f>
        <v>0</v>
      </c>
      <c r="AR6" s="39"/>
      <c r="AS6" s="38">
        <f>COUNTIFS(DataRegularSeason20242025!$D$2:$D$1315,AS$1,DataRegularSeason20242025!$E$2:$E$1315,$A5,DataRegularSeason20242025!$N$2:$N$1315,1)</f>
        <v>0</v>
      </c>
      <c r="AT6" s="39"/>
      <c r="AU6" s="38">
        <f>COUNTIFS(DataRegularSeason20242025!$D$2:$D$1315,AU$1,DataRegularSeason20242025!$E$2:$E$1315,$A5,DataRegularSeason20242025!$N$2:$N$1315,1)</f>
        <v>0</v>
      </c>
      <c r="AV6" s="39"/>
      <c r="AW6" s="38">
        <f>COUNTIFS(DataRegularSeason20242025!$D$2:$D$1315,AW$1,DataRegularSeason20242025!$E$2:$E$1315,$A5,DataRegularSeason20242025!$N$2:$N$1315,1)</f>
        <v>0</v>
      </c>
      <c r="AX6" s="47"/>
      <c r="AY6" s="38">
        <f>COUNTIFS(DataRegularSeason20242025!$D$2:$D$1315,AY$1,DataRegularSeason20242025!$E$2:$E$1315,$A5,DataRegularSeason20242025!$N$2:$N$1315,1)</f>
        <v>0</v>
      </c>
      <c r="AZ6" s="39"/>
      <c r="BA6" s="38">
        <f>COUNTIFS(DataRegularSeason20242025!$D$2:$D$1315,BA$1,DataRegularSeason20242025!$E$2:$E$1315,$A5,DataRegularSeason20242025!$N$2:$N$1315,1)</f>
        <v>0</v>
      </c>
      <c r="BB6" s="39"/>
      <c r="BC6" s="38">
        <f>COUNTIFS(DataRegularSeason20242025!$D$2:$D$1315,BC$1,DataRegularSeason20242025!$E$2:$E$1315,$A5,DataRegularSeason20242025!$N$2:$N$1315,1)</f>
        <v>0</v>
      </c>
      <c r="BD6" s="39"/>
      <c r="BE6" s="38">
        <f>COUNTIFS(DataRegularSeason20242025!$D$2:$D$1315,BE$1,DataRegularSeason20242025!$E$2:$E$1315,$A5,DataRegularSeason20242025!$N$2:$N$1315,1)</f>
        <v>0</v>
      </c>
      <c r="BF6" s="39"/>
      <c r="BG6" s="38">
        <f>COUNTIFS(DataRegularSeason20242025!$D$2:$D$1315,BG$1,DataRegularSeason20242025!$E$2:$E$1315,$A5,DataRegularSeason20242025!$N$2:$N$1315,1)</f>
        <v>0</v>
      </c>
      <c r="BH6" s="39"/>
      <c r="BI6" s="38">
        <f>COUNTIFS(DataRegularSeason20242025!$D$2:$D$1315,BI$1,DataRegularSeason20242025!$E$2:$E$1315,$A5,DataRegularSeason20242025!$N$2:$N$1315,1)</f>
        <v>0</v>
      </c>
      <c r="BJ6" s="39"/>
      <c r="BK6" s="38">
        <f>COUNTIFS(DataRegularSeason20242025!$D$2:$D$1315,BK$1,DataRegularSeason20242025!$E$2:$E$1315,$A5,DataRegularSeason20242025!$N$2:$N$1315,1)</f>
        <v>0</v>
      </c>
      <c r="BL6" s="39"/>
      <c r="BM6" s="38">
        <f>COUNTIFS(DataRegularSeason20242025!$D$2:$D$1315,BM$1,DataRegularSeason20242025!$E$2:$E$1315,$A5,DataRegularSeason20242025!$N$2:$N$1315,1)</f>
        <v>0</v>
      </c>
      <c r="BN6" s="39"/>
      <c r="BO6" s="34">
        <f t="shared" si="0"/>
        <v>3</v>
      </c>
      <c r="BP6" s="165"/>
      <c r="BQ6" s="166"/>
    </row>
    <row r="7" spans="1:69" ht="12" customHeight="1" x14ac:dyDescent="0.25">
      <c r="A7" s="172" t="s">
        <v>22</v>
      </c>
      <c r="B7" s="28" t="s">
        <v>74</v>
      </c>
      <c r="C7" s="35"/>
      <c r="D7" s="28">
        <f>COUNTIFS(DataRegularSeason20242025!$E$2:$E$1315,C$1,DataRegularSeason20242025!$D$2:$D$1315,$A7,DataRegularSeason20242025!$N$2:$N$1315,1)</f>
        <v>0</v>
      </c>
      <c r="E7" s="35"/>
      <c r="F7" s="28">
        <f>COUNTIFS(DataRegularSeason20242025!$E$2:$E$1315,E$1,DataRegularSeason20242025!$D$2:$D$1315,$A7,DataRegularSeason20242025!$N$2:$N$1315,1)</f>
        <v>0</v>
      </c>
      <c r="G7" s="35"/>
      <c r="H7" s="36"/>
      <c r="I7" s="35"/>
      <c r="J7" s="28">
        <f>COUNTIFS(DataRegularSeason20242025!$E$2:$E$1315,I$1,DataRegularSeason20242025!$D$2:$D$1315,$A7,DataRegularSeason20242025!$N$2:$N$1315,1)</f>
        <v>0</v>
      </c>
      <c r="K7" s="35"/>
      <c r="L7" s="28">
        <f>COUNTIFS(DataRegularSeason20242025!$E$2:$E$1315,K$1,DataRegularSeason20242025!$D$2:$D$1315,$A7,DataRegularSeason20242025!$N$2:$N$1315,1)</f>
        <v>0</v>
      </c>
      <c r="M7" s="35"/>
      <c r="N7" s="28">
        <f>COUNTIFS(DataRegularSeason20242025!$E$2:$E$1315,M$1,DataRegularSeason20242025!$D$2:$D$1315,$A7,DataRegularSeason20242025!$N$2:$N$1315,1)</f>
        <v>0</v>
      </c>
      <c r="O7" s="35"/>
      <c r="P7" s="28">
        <f>COUNTIFS(DataRegularSeason20242025!$E$2:$E$1315,O$1,DataRegularSeason20242025!$D$2:$D$1315,$A7,DataRegularSeason20242025!$N$2:$N$1315,1)</f>
        <v>0</v>
      </c>
      <c r="Q7" s="35"/>
      <c r="R7" s="46">
        <f>COUNTIFS(DataRegularSeason20242025!$E$2:$E$1315,Q$1,DataRegularSeason20242025!$D$2:$D$1315,$A7,DataRegularSeason20242025!$N$2:$N$1315,1)</f>
        <v>0</v>
      </c>
      <c r="S7" s="35"/>
      <c r="T7" s="28">
        <f>COUNTIFS(DataRegularSeason20242025!$E$2:$E$1315,S$1,DataRegularSeason20242025!$D$2:$D$1315,$A7,DataRegularSeason20242025!$N$2:$N$1315,1)</f>
        <v>0</v>
      </c>
      <c r="U7" s="35"/>
      <c r="V7" s="28">
        <f>COUNTIFS(DataRegularSeason20242025!$E$2:$E$1315,U$1,DataRegularSeason20242025!$D$2:$D$1315,$A7,DataRegularSeason20242025!$N$2:$N$1315,1)</f>
        <v>0</v>
      </c>
      <c r="W7" s="35"/>
      <c r="X7" s="28">
        <f>COUNTIFS(DataRegularSeason20242025!$E$2:$E$1315,W$1,DataRegularSeason20242025!$D$2:$D$1315,$A7,DataRegularSeason20242025!$N$2:$N$1315,1)</f>
        <v>0</v>
      </c>
      <c r="Y7" s="35"/>
      <c r="Z7" s="28">
        <f>COUNTIFS(DataRegularSeason20242025!$E$2:$E$1315,Y$1,DataRegularSeason20242025!$D$2:$D$1315,$A7,DataRegularSeason20242025!$N$2:$N$1315,1)</f>
        <v>0</v>
      </c>
      <c r="AA7" s="35"/>
      <c r="AB7" s="28">
        <f>COUNTIFS(DataRegularSeason20242025!$E$2:$E$1315,AA$1,DataRegularSeason20242025!$D$2:$D$1315,$A7,DataRegularSeason20242025!$N$2:$N$1315,1)</f>
        <v>0</v>
      </c>
      <c r="AC7" s="35"/>
      <c r="AD7" s="28">
        <f>COUNTIFS(DataRegularSeason20242025!$E$2:$E$1315,AC$1,DataRegularSeason20242025!$D$2:$D$1315,$A7,DataRegularSeason20242025!$N$2:$N$1315,1)</f>
        <v>0</v>
      </c>
      <c r="AE7" s="35"/>
      <c r="AF7" s="28">
        <f>COUNTIFS(DataRegularSeason20242025!$E$2:$E$1315,AE$1,DataRegularSeason20242025!$D$2:$D$1315,$A7,DataRegularSeason20242025!$N$2:$N$1315,1)</f>
        <v>0</v>
      </c>
      <c r="AG7" s="35"/>
      <c r="AH7" s="46">
        <f>COUNTIFS(DataRegularSeason20242025!$E$2:$E$1315,AG$1,DataRegularSeason20242025!$D$2:$D$1315,$A7,DataRegularSeason20242025!$N$2:$N$1315,1)</f>
        <v>0</v>
      </c>
      <c r="AI7" s="35"/>
      <c r="AJ7" s="28">
        <f>COUNTIFS(DataRegularSeason20242025!$E$2:$E$1315,AI$1,DataRegularSeason20242025!$D$2:$D$1315,$A7,DataRegularSeason20242025!$N$2:$N$1315,1)</f>
        <v>0</v>
      </c>
      <c r="AK7" s="35"/>
      <c r="AL7" s="28">
        <f>COUNTIFS(DataRegularSeason20242025!$E$2:$E$1315,AK$1,DataRegularSeason20242025!$D$2:$D$1315,$A7,DataRegularSeason20242025!$N$2:$N$1315,1)</f>
        <v>0</v>
      </c>
      <c r="AM7" s="35"/>
      <c r="AN7" s="28">
        <f>COUNTIFS(DataRegularSeason20242025!$E$2:$E$1315,AM$1,DataRegularSeason20242025!$D$2:$D$1315,$A7,DataRegularSeason20242025!$N$2:$N$1315,1)</f>
        <v>1</v>
      </c>
      <c r="AO7" s="35"/>
      <c r="AP7" s="28">
        <f>COUNTIFS(DataRegularSeason20242025!$E$2:$E$1315,AO$1,DataRegularSeason20242025!$D$2:$D$1315,$A7,DataRegularSeason20242025!$N$2:$N$1315,1)</f>
        <v>1</v>
      </c>
      <c r="AQ7" s="35"/>
      <c r="AR7" s="28">
        <f>COUNTIFS(DataRegularSeason20242025!$E$2:$E$1315,AQ$1,DataRegularSeason20242025!$D$2:$D$1315,$A7,DataRegularSeason20242025!$N$2:$N$1315,1)</f>
        <v>1</v>
      </c>
      <c r="AS7" s="35"/>
      <c r="AT7" s="28">
        <f>COUNTIFS(DataRegularSeason20242025!$E$2:$E$1315,AS$1,DataRegularSeason20242025!$D$2:$D$1315,$A7,DataRegularSeason20242025!$N$2:$N$1315,1)</f>
        <v>0</v>
      </c>
      <c r="AU7" s="35"/>
      <c r="AV7" s="28">
        <f>COUNTIFS(DataRegularSeason20242025!$E$2:$E$1315,AU$1,DataRegularSeason20242025!$D$2:$D$1315,$A7,DataRegularSeason20242025!$N$2:$N$1315,1)</f>
        <v>0</v>
      </c>
      <c r="AW7" s="35"/>
      <c r="AX7" s="46">
        <f>COUNTIFS(DataRegularSeason20242025!$E$2:$E$1315,AW$1,DataRegularSeason20242025!$D$2:$D$1315,$A7,DataRegularSeason20242025!$N$2:$N$1315,1)</f>
        <v>0</v>
      </c>
      <c r="AY7" s="35"/>
      <c r="AZ7" s="28">
        <f>COUNTIFS(DataRegularSeason20242025!$E$2:$E$1315,AY$1,DataRegularSeason20242025!$D$2:$D$1315,$A7,DataRegularSeason20242025!$N$2:$N$1315,1)</f>
        <v>0</v>
      </c>
      <c r="BA7" s="35"/>
      <c r="BB7" s="28">
        <f>COUNTIFS(DataRegularSeason20242025!$E$2:$E$1315,BA$1,DataRegularSeason20242025!$D$2:$D$1315,$A7,DataRegularSeason20242025!$N$2:$N$1315,1)</f>
        <v>0</v>
      </c>
      <c r="BC7" s="35"/>
      <c r="BD7" s="28">
        <f>COUNTIFS(DataRegularSeason20242025!$E$2:$E$1315,BC$1,DataRegularSeason20242025!$D$2:$D$1315,$A7,DataRegularSeason20242025!$N$2:$N$1315,1)</f>
        <v>1</v>
      </c>
      <c r="BE7" s="35"/>
      <c r="BF7" s="28">
        <f>COUNTIFS(DataRegularSeason20242025!$E$2:$E$1315,BE$1,DataRegularSeason20242025!$D$2:$D$1315,$A7,DataRegularSeason20242025!$N$2:$N$1315,1)</f>
        <v>0</v>
      </c>
      <c r="BG7" s="35"/>
      <c r="BH7" s="28">
        <f>COUNTIFS(DataRegularSeason20242025!$E$2:$E$1315,BG$1,DataRegularSeason20242025!$D$2:$D$1315,$A7,DataRegularSeason20242025!$N$2:$N$1315,1)</f>
        <v>0</v>
      </c>
      <c r="BI7" s="35"/>
      <c r="BJ7" s="28">
        <f>COUNTIFS(DataRegularSeason20242025!$E$2:$E$1315,BI$1,DataRegularSeason20242025!$D$2:$D$1315,$A7,DataRegularSeason20242025!$N$2:$N$1315,1)</f>
        <v>1</v>
      </c>
      <c r="BK7" s="35"/>
      <c r="BL7" s="28">
        <f>COUNTIFS(DataRegularSeason20242025!$E$2:$E$1315,BK$1,DataRegularSeason20242025!$D$2:$D$1315,$A7,DataRegularSeason20242025!$N$2:$N$1315,1)</f>
        <v>0</v>
      </c>
      <c r="BM7" s="35"/>
      <c r="BN7" s="28">
        <f>COUNTIFS(DataRegularSeason20242025!$E$2:$E$1315,BM$1,DataRegularSeason20242025!$D$2:$D$1315,$A7,DataRegularSeason20242025!$N$2:$N$1315,1)</f>
        <v>0</v>
      </c>
      <c r="BO7" s="30">
        <f t="shared" si="0"/>
        <v>5</v>
      </c>
      <c r="BP7" s="165">
        <f t="shared" ref="BP7" si="3">BO7+BO8</f>
        <v>7</v>
      </c>
      <c r="BQ7" s="166">
        <f t="shared" ref="BQ7" si="4">82-BP7</f>
        <v>75</v>
      </c>
    </row>
    <row r="8" spans="1:69" ht="12" customHeight="1" x14ac:dyDescent="0.25">
      <c r="A8" s="167"/>
      <c r="B8" s="32" t="s">
        <v>73</v>
      </c>
      <c r="C8" s="38">
        <f>COUNTIFS(DataRegularSeason20242025!$D$2:$D$1315,C$1,DataRegularSeason20242025!$E$2:$E$1315,$A7,DataRegularSeason20242025!$N$2:$N$1315,1)</f>
        <v>0</v>
      </c>
      <c r="D8" s="39"/>
      <c r="E8" s="38">
        <f>COUNTIFS(DataRegularSeason20242025!$D$2:$D$1315,E$1,DataRegularSeason20242025!$E$2:$E$1315,$A7,DataRegularSeason20242025!$N$2:$N$1315,1)</f>
        <v>1</v>
      </c>
      <c r="F8" s="39"/>
      <c r="G8" s="38"/>
      <c r="H8" s="39"/>
      <c r="I8" s="38">
        <f>COUNTIFS(DataRegularSeason20242025!$D$2:$D$1315,I$1,DataRegularSeason20242025!$E$2:$E$1315,$A7,DataRegularSeason20242025!$N$2:$N$1315,1)</f>
        <v>0</v>
      </c>
      <c r="J8" s="39"/>
      <c r="K8" s="38">
        <f>COUNTIFS(DataRegularSeason20242025!$D$2:$D$1315,K$1,DataRegularSeason20242025!$E$2:$E$1315,$A7,DataRegularSeason20242025!$N$2:$N$1315,1)</f>
        <v>0</v>
      </c>
      <c r="L8" s="39"/>
      <c r="M8" s="38">
        <f>COUNTIFS(DataRegularSeason20242025!$D$2:$D$1315,M$1,DataRegularSeason20242025!$E$2:$E$1315,$A7,DataRegularSeason20242025!$N$2:$N$1315,1)</f>
        <v>0</v>
      </c>
      <c r="N8" s="39"/>
      <c r="O8" s="38">
        <f>COUNTIFS(DataRegularSeason20242025!$D$2:$D$1315,O$1,DataRegularSeason20242025!$E$2:$E$1315,$A7,DataRegularSeason20242025!$N$2:$N$1315,1)</f>
        <v>1</v>
      </c>
      <c r="P8" s="39"/>
      <c r="Q8" s="38">
        <f>COUNTIFS(DataRegularSeason20242025!$D$2:$D$1315,Q$1,DataRegularSeason20242025!$E$2:$E$1315,$A7,DataRegularSeason20242025!$N$2:$N$1315,1)</f>
        <v>0</v>
      </c>
      <c r="R8" s="47"/>
      <c r="S8" s="38">
        <f>COUNTIFS(DataRegularSeason20242025!$D$2:$D$1315,S$1,DataRegularSeason20242025!$E$2:$E$1315,$A7,DataRegularSeason20242025!$N$2:$N$1315,1)</f>
        <v>0</v>
      </c>
      <c r="T8" s="39"/>
      <c r="U8" s="38">
        <f>COUNTIFS(DataRegularSeason20242025!$D$2:$D$1315,U$1,DataRegularSeason20242025!$E$2:$E$1315,$A7,DataRegularSeason20242025!$N$2:$N$1315,1)</f>
        <v>0</v>
      </c>
      <c r="V8" s="39"/>
      <c r="W8" s="38">
        <f>COUNTIFS(DataRegularSeason20242025!$D$2:$D$1315,W$1,DataRegularSeason20242025!$E$2:$E$1315,$A7,DataRegularSeason20242025!$N$2:$N$1315,1)</f>
        <v>0</v>
      </c>
      <c r="X8" s="39"/>
      <c r="Y8" s="38">
        <f>COUNTIFS(DataRegularSeason20242025!$D$2:$D$1315,Y$1,DataRegularSeason20242025!$E$2:$E$1315,$A7,DataRegularSeason20242025!$N$2:$N$1315,1)</f>
        <v>0</v>
      </c>
      <c r="Z8" s="39"/>
      <c r="AA8" s="38">
        <f>COUNTIFS(DataRegularSeason20242025!$D$2:$D$1315,AA$1,DataRegularSeason20242025!$E$2:$E$1315,$A7,DataRegularSeason20242025!$N$2:$N$1315,1)</f>
        <v>0</v>
      </c>
      <c r="AB8" s="39"/>
      <c r="AC8" s="38">
        <f>COUNTIFS(DataRegularSeason20242025!$D$2:$D$1315,AC$1,DataRegularSeason20242025!$E$2:$E$1315,$A7,DataRegularSeason20242025!$N$2:$N$1315,1)</f>
        <v>0</v>
      </c>
      <c r="AD8" s="39"/>
      <c r="AE8" s="38">
        <f>COUNTIFS(DataRegularSeason20242025!$D$2:$D$1315,AE$1,DataRegularSeason20242025!$E$2:$E$1315,$A7,DataRegularSeason20242025!$N$2:$N$1315,1)</f>
        <v>0</v>
      </c>
      <c r="AF8" s="39"/>
      <c r="AG8" s="38">
        <f>COUNTIFS(DataRegularSeason20242025!$D$2:$D$1315,AG$1,DataRegularSeason20242025!$E$2:$E$1315,$A7,DataRegularSeason20242025!$N$2:$N$1315,1)</f>
        <v>0</v>
      </c>
      <c r="AH8" s="47"/>
      <c r="AI8" s="38">
        <f>COUNTIFS(DataRegularSeason20242025!$D$2:$D$1315,AI$1,DataRegularSeason20242025!$E$2:$E$1315,$A7,DataRegularSeason20242025!$N$2:$N$1315,1)</f>
        <v>0</v>
      </c>
      <c r="AJ8" s="39"/>
      <c r="AK8" s="38">
        <f>COUNTIFS(DataRegularSeason20242025!$D$2:$D$1315,AK$1,DataRegularSeason20242025!$E$2:$E$1315,$A7,DataRegularSeason20242025!$N$2:$N$1315,1)</f>
        <v>0</v>
      </c>
      <c r="AL8" s="39"/>
      <c r="AM8" s="38">
        <f>COUNTIFS(DataRegularSeason20242025!$D$2:$D$1315,AM$1,DataRegularSeason20242025!$E$2:$E$1315,$A7,DataRegularSeason20242025!$N$2:$N$1315,1)</f>
        <v>0</v>
      </c>
      <c r="AN8" s="39"/>
      <c r="AO8" s="38">
        <f>COUNTIFS(DataRegularSeason20242025!$D$2:$D$1315,AO$1,DataRegularSeason20242025!$E$2:$E$1315,$A7,DataRegularSeason20242025!$N$2:$N$1315,1)</f>
        <v>0</v>
      </c>
      <c r="AP8" s="39"/>
      <c r="AQ8" s="38">
        <f>COUNTIFS(DataRegularSeason20242025!$D$2:$D$1315,AQ$1,DataRegularSeason20242025!$E$2:$E$1315,$A7,DataRegularSeason20242025!$N$2:$N$1315,1)</f>
        <v>0</v>
      </c>
      <c r="AR8" s="39"/>
      <c r="AS8" s="38">
        <f>COUNTIFS(DataRegularSeason20242025!$D$2:$D$1315,AS$1,DataRegularSeason20242025!$E$2:$E$1315,$A7,DataRegularSeason20242025!$N$2:$N$1315,1)</f>
        <v>0</v>
      </c>
      <c r="AT8" s="39"/>
      <c r="AU8" s="38">
        <f>COUNTIFS(DataRegularSeason20242025!$D$2:$D$1315,AU$1,DataRegularSeason20242025!$E$2:$E$1315,$A7,DataRegularSeason20242025!$N$2:$N$1315,1)</f>
        <v>0</v>
      </c>
      <c r="AV8" s="39"/>
      <c r="AW8" s="38">
        <f>COUNTIFS(DataRegularSeason20242025!$D$2:$D$1315,AW$1,DataRegularSeason20242025!$E$2:$E$1315,$A7,DataRegularSeason20242025!$N$2:$N$1315,1)</f>
        <v>0</v>
      </c>
      <c r="AX8" s="47"/>
      <c r="AY8" s="38">
        <f>COUNTIFS(DataRegularSeason20242025!$D$2:$D$1315,AY$1,DataRegularSeason20242025!$E$2:$E$1315,$A7,DataRegularSeason20242025!$N$2:$N$1315,1)</f>
        <v>0</v>
      </c>
      <c r="AZ8" s="39"/>
      <c r="BA8" s="38">
        <f>COUNTIFS(DataRegularSeason20242025!$D$2:$D$1315,BA$1,DataRegularSeason20242025!$E$2:$E$1315,$A7,DataRegularSeason20242025!$N$2:$N$1315,1)</f>
        <v>0</v>
      </c>
      <c r="BB8" s="39"/>
      <c r="BC8" s="38">
        <f>COUNTIFS(DataRegularSeason20242025!$D$2:$D$1315,BC$1,DataRegularSeason20242025!$E$2:$E$1315,$A7,DataRegularSeason20242025!$N$2:$N$1315,1)</f>
        <v>0</v>
      </c>
      <c r="BD8" s="39"/>
      <c r="BE8" s="38">
        <f>COUNTIFS(DataRegularSeason20242025!$D$2:$D$1315,BE$1,DataRegularSeason20242025!$E$2:$E$1315,$A7,DataRegularSeason20242025!$N$2:$N$1315,1)</f>
        <v>0</v>
      </c>
      <c r="BF8" s="39"/>
      <c r="BG8" s="38">
        <f>COUNTIFS(DataRegularSeason20242025!$D$2:$D$1315,BG$1,DataRegularSeason20242025!$E$2:$E$1315,$A7,DataRegularSeason20242025!$N$2:$N$1315,1)</f>
        <v>0</v>
      </c>
      <c r="BH8" s="39"/>
      <c r="BI8" s="38">
        <f>COUNTIFS(DataRegularSeason20242025!$D$2:$D$1315,BI$1,DataRegularSeason20242025!$E$2:$E$1315,$A7,DataRegularSeason20242025!$N$2:$N$1315,1)</f>
        <v>0</v>
      </c>
      <c r="BJ8" s="39"/>
      <c r="BK8" s="38">
        <f>COUNTIFS(DataRegularSeason20242025!$D$2:$D$1315,BK$1,DataRegularSeason20242025!$E$2:$E$1315,$A7,DataRegularSeason20242025!$N$2:$N$1315,1)</f>
        <v>0</v>
      </c>
      <c r="BL8" s="39"/>
      <c r="BM8" s="38">
        <f>COUNTIFS(DataRegularSeason20242025!$D$2:$D$1315,BM$1,DataRegularSeason20242025!$E$2:$E$1315,$A7,DataRegularSeason20242025!$N$2:$N$1315,1)</f>
        <v>0</v>
      </c>
      <c r="BN8" s="39"/>
      <c r="BO8" s="34">
        <f t="shared" si="0"/>
        <v>2</v>
      </c>
      <c r="BP8" s="165"/>
      <c r="BQ8" s="166"/>
    </row>
    <row r="9" spans="1:69" ht="12" customHeight="1" x14ac:dyDescent="0.25">
      <c r="A9" s="172" t="s">
        <v>27</v>
      </c>
      <c r="B9" s="28" t="s">
        <v>74</v>
      </c>
      <c r="C9" s="35"/>
      <c r="D9" s="28">
        <f>COUNTIFS(DataRegularSeason20242025!$E$2:$E$1315,C$1,DataRegularSeason20242025!$D$2:$D$1315,$A9,DataRegularSeason20242025!$N$2:$N$1315,1)</f>
        <v>0</v>
      </c>
      <c r="E9" s="35"/>
      <c r="F9" s="28">
        <f>COUNTIFS(DataRegularSeason20242025!$E$2:$E$1315,E$1,DataRegularSeason20242025!$D$2:$D$1315,$A9,DataRegularSeason20242025!$N$2:$N$1315,1)</f>
        <v>0</v>
      </c>
      <c r="G9" s="35"/>
      <c r="H9" s="28">
        <f>COUNTIFS(DataRegularSeason20242025!$E$2:$E$1315,G$1,DataRegularSeason20242025!$D$2:$D$1315,$A9,DataRegularSeason20242025!$N$2:$N$1315,1)</f>
        <v>0</v>
      </c>
      <c r="I9" s="35"/>
      <c r="J9" s="36"/>
      <c r="K9" s="35"/>
      <c r="L9" s="28">
        <f>COUNTIFS(DataRegularSeason20242025!$E$2:$E$1315,K$1,DataRegularSeason20242025!$D$2:$D$1315,$A9,DataRegularSeason20242025!$N$2:$N$1315,1)</f>
        <v>0</v>
      </c>
      <c r="M9" s="35"/>
      <c r="N9" s="28">
        <f>COUNTIFS(DataRegularSeason20242025!$E$2:$E$1315,M$1,DataRegularSeason20242025!$D$2:$D$1315,$A9,DataRegularSeason20242025!$N$2:$N$1315,1)</f>
        <v>0</v>
      </c>
      <c r="O9" s="35"/>
      <c r="P9" s="28">
        <f>COUNTIFS(DataRegularSeason20242025!$E$2:$E$1315,O$1,DataRegularSeason20242025!$D$2:$D$1315,$A9,DataRegularSeason20242025!$N$2:$N$1315,1)</f>
        <v>0</v>
      </c>
      <c r="Q9" s="35"/>
      <c r="R9" s="46">
        <f>COUNTIFS(DataRegularSeason20242025!$E$2:$E$1315,Q$1,DataRegularSeason20242025!$D$2:$D$1315,$A9,DataRegularSeason20242025!$N$2:$N$1315,1)</f>
        <v>1</v>
      </c>
      <c r="S9" s="35"/>
      <c r="T9" s="28">
        <f>COUNTIFS(DataRegularSeason20242025!$E$2:$E$1315,S$1,DataRegularSeason20242025!$D$2:$D$1315,$A9,DataRegularSeason20242025!$N$2:$N$1315,1)</f>
        <v>0</v>
      </c>
      <c r="U9" s="35"/>
      <c r="V9" s="28">
        <f>COUNTIFS(DataRegularSeason20242025!$E$2:$E$1315,U$1,DataRegularSeason20242025!$D$2:$D$1315,$A9,DataRegularSeason20242025!$N$2:$N$1315,1)</f>
        <v>0</v>
      </c>
      <c r="W9" s="35"/>
      <c r="X9" s="28">
        <f>COUNTIFS(DataRegularSeason20242025!$E$2:$E$1315,W$1,DataRegularSeason20242025!$D$2:$D$1315,$A9,DataRegularSeason20242025!$N$2:$N$1315,1)</f>
        <v>0</v>
      </c>
      <c r="Y9" s="35"/>
      <c r="Z9" s="28">
        <f>COUNTIFS(DataRegularSeason20242025!$E$2:$E$1315,Y$1,DataRegularSeason20242025!$D$2:$D$1315,$A9,DataRegularSeason20242025!$N$2:$N$1315,1)</f>
        <v>1</v>
      </c>
      <c r="AA9" s="35"/>
      <c r="AB9" s="28">
        <f>COUNTIFS(DataRegularSeason20242025!$E$2:$E$1315,AA$1,DataRegularSeason20242025!$D$2:$D$1315,$A9,DataRegularSeason20242025!$N$2:$N$1315,1)</f>
        <v>0</v>
      </c>
      <c r="AC9" s="35"/>
      <c r="AD9" s="28">
        <f>COUNTIFS(DataRegularSeason20242025!$E$2:$E$1315,AC$1,DataRegularSeason20242025!$D$2:$D$1315,$A9,DataRegularSeason20242025!$N$2:$N$1315,1)</f>
        <v>1</v>
      </c>
      <c r="AE9" s="35"/>
      <c r="AF9" s="28">
        <f>COUNTIFS(DataRegularSeason20242025!$E$2:$E$1315,AE$1,DataRegularSeason20242025!$D$2:$D$1315,$A9,DataRegularSeason20242025!$N$2:$N$1315,1)</f>
        <v>0</v>
      </c>
      <c r="AG9" s="35"/>
      <c r="AH9" s="46">
        <f>COUNTIFS(DataRegularSeason20242025!$E$2:$E$1315,AG$1,DataRegularSeason20242025!$D$2:$D$1315,$A9,DataRegularSeason20242025!$N$2:$N$1315,1)</f>
        <v>1</v>
      </c>
      <c r="AI9" s="35"/>
      <c r="AJ9" s="28">
        <f>COUNTIFS(DataRegularSeason20242025!$E$2:$E$1315,AI$1,DataRegularSeason20242025!$D$2:$D$1315,$A9,DataRegularSeason20242025!$N$2:$N$1315,1)</f>
        <v>0</v>
      </c>
      <c r="AK9" s="35"/>
      <c r="AL9" s="28">
        <f>COUNTIFS(DataRegularSeason20242025!$E$2:$E$1315,AK$1,DataRegularSeason20242025!$D$2:$D$1315,$A9,DataRegularSeason20242025!$N$2:$N$1315,1)</f>
        <v>0</v>
      </c>
      <c r="AM9" s="35"/>
      <c r="AN9" s="28">
        <f>COUNTIFS(DataRegularSeason20242025!$E$2:$E$1315,AM$1,DataRegularSeason20242025!$D$2:$D$1315,$A9,DataRegularSeason20242025!$N$2:$N$1315,1)</f>
        <v>0</v>
      </c>
      <c r="AO9" s="35"/>
      <c r="AP9" s="28">
        <f>COUNTIFS(DataRegularSeason20242025!$E$2:$E$1315,AO$1,DataRegularSeason20242025!$D$2:$D$1315,$A9,DataRegularSeason20242025!$N$2:$N$1315,1)</f>
        <v>0</v>
      </c>
      <c r="AQ9" s="35"/>
      <c r="AR9" s="28">
        <f>COUNTIFS(DataRegularSeason20242025!$E$2:$E$1315,AQ$1,DataRegularSeason20242025!$D$2:$D$1315,$A9,DataRegularSeason20242025!$N$2:$N$1315,1)</f>
        <v>0</v>
      </c>
      <c r="AS9" s="35"/>
      <c r="AT9" s="28">
        <f>COUNTIFS(DataRegularSeason20242025!$E$2:$E$1315,AS$1,DataRegularSeason20242025!$D$2:$D$1315,$A9,DataRegularSeason20242025!$N$2:$N$1315,1)</f>
        <v>0</v>
      </c>
      <c r="AU9" s="35"/>
      <c r="AV9" s="28">
        <f>COUNTIFS(DataRegularSeason20242025!$E$2:$E$1315,AU$1,DataRegularSeason20242025!$D$2:$D$1315,$A9,DataRegularSeason20242025!$N$2:$N$1315,1)</f>
        <v>0</v>
      </c>
      <c r="AW9" s="35"/>
      <c r="AX9" s="46">
        <f>COUNTIFS(DataRegularSeason20242025!$E$2:$E$1315,AW$1,DataRegularSeason20242025!$D$2:$D$1315,$A9,DataRegularSeason20242025!$N$2:$N$1315,1)</f>
        <v>0</v>
      </c>
      <c r="AY9" s="35"/>
      <c r="AZ9" s="28">
        <f>COUNTIFS(DataRegularSeason20242025!$E$2:$E$1315,AY$1,DataRegularSeason20242025!$D$2:$D$1315,$A9,DataRegularSeason20242025!$N$2:$N$1315,1)</f>
        <v>0</v>
      </c>
      <c r="BA9" s="35"/>
      <c r="BB9" s="28">
        <f>COUNTIFS(DataRegularSeason20242025!$E$2:$E$1315,BA$1,DataRegularSeason20242025!$D$2:$D$1315,$A9,DataRegularSeason20242025!$N$2:$N$1315,1)</f>
        <v>0</v>
      </c>
      <c r="BC9" s="35"/>
      <c r="BD9" s="28">
        <f>COUNTIFS(DataRegularSeason20242025!$E$2:$E$1315,BC$1,DataRegularSeason20242025!$D$2:$D$1315,$A9,DataRegularSeason20242025!$N$2:$N$1315,1)</f>
        <v>0</v>
      </c>
      <c r="BE9" s="35"/>
      <c r="BF9" s="28">
        <f>COUNTIFS(DataRegularSeason20242025!$E$2:$E$1315,BE$1,DataRegularSeason20242025!$D$2:$D$1315,$A9,DataRegularSeason20242025!$N$2:$N$1315,1)</f>
        <v>0</v>
      </c>
      <c r="BG9" s="35"/>
      <c r="BH9" s="28">
        <f>COUNTIFS(DataRegularSeason20242025!$E$2:$E$1315,BG$1,DataRegularSeason20242025!$D$2:$D$1315,$A9,DataRegularSeason20242025!$N$2:$N$1315,1)</f>
        <v>0</v>
      </c>
      <c r="BI9" s="35"/>
      <c r="BJ9" s="28">
        <f>COUNTIFS(DataRegularSeason20242025!$E$2:$E$1315,BI$1,DataRegularSeason20242025!$D$2:$D$1315,$A9,DataRegularSeason20242025!$N$2:$N$1315,1)</f>
        <v>0</v>
      </c>
      <c r="BK9" s="35"/>
      <c r="BL9" s="28">
        <f>COUNTIFS(DataRegularSeason20242025!$E$2:$E$1315,BK$1,DataRegularSeason20242025!$D$2:$D$1315,$A9,DataRegularSeason20242025!$N$2:$N$1315,1)</f>
        <v>0</v>
      </c>
      <c r="BM9" s="35"/>
      <c r="BN9" s="28">
        <f>COUNTIFS(DataRegularSeason20242025!$E$2:$E$1315,BM$1,DataRegularSeason20242025!$D$2:$D$1315,$A9,DataRegularSeason20242025!$N$2:$N$1315,1)</f>
        <v>0</v>
      </c>
      <c r="BO9" s="30">
        <f t="shared" si="0"/>
        <v>4</v>
      </c>
      <c r="BP9" s="165">
        <f t="shared" ref="BP9" si="5">BO9+BO10</f>
        <v>7</v>
      </c>
      <c r="BQ9" s="166">
        <f t="shared" ref="BQ9" si="6">82-BP9</f>
        <v>75</v>
      </c>
    </row>
    <row r="10" spans="1:69" ht="12" customHeight="1" x14ac:dyDescent="0.25">
      <c r="A10" s="167"/>
      <c r="B10" s="32" t="s">
        <v>73</v>
      </c>
      <c r="C10" s="38">
        <f>COUNTIFS(DataRegularSeason20242025!$D$2:$D$1315,C$1,DataRegularSeason20242025!$E$2:$E$1315,$A9,DataRegularSeason20242025!$N$2:$N$1315,1)</f>
        <v>0</v>
      </c>
      <c r="D10" s="39"/>
      <c r="E10" s="38">
        <f>COUNTIFS(DataRegularSeason20242025!$D$2:$D$1315,E$1,DataRegularSeason20242025!$E$2:$E$1315,$A9,DataRegularSeason20242025!$N$2:$N$1315,1)</f>
        <v>0</v>
      </c>
      <c r="F10" s="39"/>
      <c r="G10" s="38">
        <f>COUNTIFS(DataRegularSeason20242025!$D$2:$D$1315,G$1,DataRegularSeason20242025!$E$2:$E$1315,$A9,DataRegularSeason20242025!$N$2:$N$1315,1)</f>
        <v>0</v>
      </c>
      <c r="H10" s="39"/>
      <c r="I10" s="38"/>
      <c r="J10" s="39"/>
      <c r="K10" s="38">
        <f>COUNTIFS(DataRegularSeason20242025!$D$2:$D$1315,K$1,DataRegularSeason20242025!$E$2:$E$1315,$A9,DataRegularSeason20242025!$N$2:$N$1315,1)</f>
        <v>0</v>
      </c>
      <c r="L10" s="39"/>
      <c r="M10" s="38">
        <f>COUNTIFS(DataRegularSeason20242025!$D$2:$D$1315,M$1,DataRegularSeason20242025!$E$2:$E$1315,$A9,DataRegularSeason20242025!$N$2:$N$1315,1)</f>
        <v>0</v>
      </c>
      <c r="N10" s="39"/>
      <c r="O10" s="38">
        <f>COUNTIFS(DataRegularSeason20242025!$D$2:$D$1315,O$1,DataRegularSeason20242025!$E$2:$E$1315,$A9,DataRegularSeason20242025!$N$2:$N$1315,1)</f>
        <v>0</v>
      </c>
      <c r="P10" s="39"/>
      <c r="Q10" s="38">
        <f>COUNTIFS(DataRegularSeason20242025!$D$2:$D$1315,Q$1,DataRegularSeason20242025!$E$2:$E$1315,$A9,DataRegularSeason20242025!$N$2:$N$1315,1)</f>
        <v>0</v>
      </c>
      <c r="R10" s="47"/>
      <c r="S10" s="38">
        <f>COUNTIFS(DataRegularSeason20242025!$D$2:$D$1315,S$1,DataRegularSeason20242025!$E$2:$E$1315,$A9,DataRegularSeason20242025!$N$2:$N$1315,1)</f>
        <v>0</v>
      </c>
      <c r="T10" s="39"/>
      <c r="U10" s="38">
        <f>COUNTIFS(DataRegularSeason20242025!$D$2:$D$1315,U$1,DataRegularSeason20242025!$E$2:$E$1315,$A9,DataRegularSeason20242025!$N$2:$N$1315,1)</f>
        <v>1</v>
      </c>
      <c r="V10" s="39"/>
      <c r="W10" s="38">
        <f>COUNTIFS(DataRegularSeason20242025!$D$2:$D$1315,W$1,DataRegularSeason20242025!$E$2:$E$1315,$A9,DataRegularSeason20242025!$N$2:$N$1315,1)</f>
        <v>0</v>
      </c>
      <c r="X10" s="39"/>
      <c r="Y10" s="38">
        <f>COUNTIFS(DataRegularSeason20242025!$D$2:$D$1315,Y$1,DataRegularSeason20242025!$E$2:$E$1315,$A9,DataRegularSeason20242025!$N$2:$N$1315,1)</f>
        <v>0</v>
      </c>
      <c r="Z10" s="39"/>
      <c r="AA10" s="38">
        <f>COUNTIFS(DataRegularSeason20242025!$D$2:$D$1315,AA$1,DataRegularSeason20242025!$E$2:$E$1315,$A9,DataRegularSeason20242025!$N$2:$N$1315,1)</f>
        <v>0</v>
      </c>
      <c r="AB10" s="39"/>
      <c r="AC10" s="38">
        <f>COUNTIFS(DataRegularSeason20242025!$D$2:$D$1315,AC$1,DataRegularSeason20242025!$E$2:$E$1315,$A9,DataRegularSeason20242025!$N$2:$N$1315,1)</f>
        <v>0</v>
      </c>
      <c r="AD10" s="39"/>
      <c r="AE10" s="38">
        <f>COUNTIFS(DataRegularSeason20242025!$D$2:$D$1315,AE$1,DataRegularSeason20242025!$E$2:$E$1315,$A9,DataRegularSeason20242025!$N$2:$N$1315,1)</f>
        <v>0</v>
      </c>
      <c r="AF10" s="39"/>
      <c r="AG10" s="38">
        <f>COUNTIFS(DataRegularSeason20242025!$D$2:$D$1315,AG$1,DataRegularSeason20242025!$E$2:$E$1315,$A9,DataRegularSeason20242025!$N$2:$N$1315,1)</f>
        <v>0</v>
      </c>
      <c r="AH10" s="47"/>
      <c r="AI10" s="38">
        <f>COUNTIFS(DataRegularSeason20242025!$D$2:$D$1315,AI$1,DataRegularSeason20242025!$E$2:$E$1315,$A9,DataRegularSeason20242025!$N$2:$N$1315,1)</f>
        <v>1</v>
      </c>
      <c r="AJ10" s="39"/>
      <c r="AK10" s="38">
        <f>COUNTIFS(DataRegularSeason20242025!$D$2:$D$1315,AK$1,DataRegularSeason20242025!$E$2:$E$1315,$A9,DataRegularSeason20242025!$N$2:$N$1315,1)</f>
        <v>0</v>
      </c>
      <c r="AL10" s="39"/>
      <c r="AM10" s="38">
        <f>COUNTIFS(DataRegularSeason20242025!$D$2:$D$1315,AM$1,DataRegularSeason20242025!$E$2:$E$1315,$A9,DataRegularSeason20242025!$N$2:$N$1315,1)</f>
        <v>0</v>
      </c>
      <c r="AN10" s="39"/>
      <c r="AO10" s="38">
        <f>COUNTIFS(DataRegularSeason20242025!$D$2:$D$1315,AO$1,DataRegularSeason20242025!$E$2:$E$1315,$A9,DataRegularSeason20242025!$N$2:$N$1315,1)</f>
        <v>0</v>
      </c>
      <c r="AP10" s="39"/>
      <c r="AQ10" s="38">
        <f>COUNTIFS(DataRegularSeason20242025!$D$2:$D$1315,AQ$1,DataRegularSeason20242025!$E$2:$E$1315,$A9,DataRegularSeason20242025!$N$2:$N$1315,1)</f>
        <v>0</v>
      </c>
      <c r="AR10" s="39"/>
      <c r="AS10" s="38">
        <f>COUNTIFS(DataRegularSeason20242025!$D$2:$D$1315,AS$1,DataRegularSeason20242025!$E$2:$E$1315,$A9,DataRegularSeason20242025!$N$2:$N$1315,1)</f>
        <v>0</v>
      </c>
      <c r="AT10" s="39"/>
      <c r="AU10" s="38">
        <f>COUNTIFS(DataRegularSeason20242025!$D$2:$D$1315,AU$1,DataRegularSeason20242025!$E$2:$E$1315,$A9,DataRegularSeason20242025!$N$2:$N$1315,1)</f>
        <v>1</v>
      </c>
      <c r="AV10" s="39"/>
      <c r="AW10" s="38">
        <f>COUNTIFS(DataRegularSeason20242025!$D$2:$D$1315,AW$1,DataRegularSeason20242025!$E$2:$E$1315,$A9,DataRegularSeason20242025!$N$2:$N$1315,1)</f>
        <v>0</v>
      </c>
      <c r="AX10" s="47"/>
      <c r="AY10" s="38">
        <f>COUNTIFS(DataRegularSeason20242025!$D$2:$D$1315,AY$1,DataRegularSeason20242025!$E$2:$E$1315,$A9,DataRegularSeason20242025!$N$2:$N$1315,1)</f>
        <v>0</v>
      </c>
      <c r="AZ10" s="39"/>
      <c r="BA10" s="38">
        <f>COUNTIFS(DataRegularSeason20242025!$D$2:$D$1315,BA$1,DataRegularSeason20242025!$E$2:$E$1315,$A9,DataRegularSeason20242025!$N$2:$N$1315,1)</f>
        <v>0</v>
      </c>
      <c r="BB10" s="39"/>
      <c r="BC10" s="38">
        <f>COUNTIFS(DataRegularSeason20242025!$D$2:$D$1315,BC$1,DataRegularSeason20242025!$E$2:$E$1315,$A9,DataRegularSeason20242025!$N$2:$N$1315,1)</f>
        <v>0</v>
      </c>
      <c r="BD10" s="39"/>
      <c r="BE10" s="38">
        <f>COUNTIFS(DataRegularSeason20242025!$D$2:$D$1315,BE$1,DataRegularSeason20242025!$E$2:$E$1315,$A9,DataRegularSeason20242025!$N$2:$N$1315,1)</f>
        <v>0</v>
      </c>
      <c r="BF10" s="39"/>
      <c r="BG10" s="38">
        <f>COUNTIFS(DataRegularSeason20242025!$D$2:$D$1315,BG$1,DataRegularSeason20242025!$E$2:$E$1315,$A9,DataRegularSeason20242025!$N$2:$N$1315,1)</f>
        <v>0</v>
      </c>
      <c r="BH10" s="39"/>
      <c r="BI10" s="38">
        <f>COUNTIFS(DataRegularSeason20242025!$D$2:$D$1315,BI$1,DataRegularSeason20242025!$E$2:$E$1315,$A9,DataRegularSeason20242025!$N$2:$N$1315,1)</f>
        <v>0</v>
      </c>
      <c r="BJ10" s="39"/>
      <c r="BK10" s="38">
        <f>COUNTIFS(DataRegularSeason20242025!$D$2:$D$1315,BK$1,DataRegularSeason20242025!$E$2:$E$1315,$A9,DataRegularSeason20242025!$N$2:$N$1315,1)</f>
        <v>0</v>
      </c>
      <c r="BL10" s="39"/>
      <c r="BM10" s="38">
        <f>COUNTIFS(DataRegularSeason20242025!$D$2:$D$1315,BM$1,DataRegularSeason20242025!$E$2:$E$1315,$A9,DataRegularSeason20242025!$N$2:$N$1315,1)</f>
        <v>0</v>
      </c>
      <c r="BN10" s="39"/>
      <c r="BO10" s="34">
        <f t="shared" si="0"/>
        <v>3</v>
      </c>
      <c r="BP10" s="165"/>
      <c r="BQ10" s="166"/>
    </row>
    <row r="11" spans="1:69" ht="12" customHeight="1" x14ac:dyDescent="0.25">
      <c r="A11" s="172" t="s">
        <v>11</v>
      </c>
      <c r="B11" s="28" t="s">
        <v>74</v>
      </c>
      <c r="C11" s="35"/>
      <c r="D11" s="28">
        <f>COUNTIFS(DataRegularSeason20242025!$E$2:$E$1315,C$1,DataRegularSeason20242025!$D$2:$D$1315,$A11,DataRegularSeason20242025!$N$2:$N$1315,1)</f>
        <v>0</v>
      </c>
      <c r="E11" s="35"/>
      <c r="F11" s="28">
        <f>COUNTIFS(DataRegularSeason20242025!$E$2:$E$1315,E$1,DataRegularSeason20242025!$D$2:$D$1315,$A11,DataRegularSeason20242025!$N$2:$N$1315,1)</f>
        <v>0</v>
      </c>
      <c r="G11" s="35"/>
      <c r="H11" s="28">
        <f>COUNTIFS(DataRegularSeason20242025!$E$2:$E$1315,G$1,DataRegularSeason20242025!$D$2:$D$1315,$A11,DataRegularSeason20242025!$N$2:$N$1315,1)</f>
        <v>0</v>
      </c>
      <c r="I11" s="35"/>
      <c r="J11" s="28">
        <f>COUNTIFS(DataRegularSeason20242025!$E$2:$E$1315,I$1,DataRegularSeason20242025!$D$2:$D$1315,$A11,DataRegularSeason20242025!$N$2:$N$1315,1)</f>
        <v>0</v>
      </c>
      <c r="K11" s="35"/>
      <c r="L11" s="36"/>
      <c r="M11" s="35"/>
      <c r="N11" s="28">
        <f>COUNTIFS(DataRegularSeason20242025!$E$2:$E$1315,M$1,DataRegularSeason20242025!$D$2:$D$1315,$A11,DataRegularSeason20242025!$N$2:$N$1315,1)</f>
        <v>0</v>
      </c>
      <c r="O11" s="35"/>
      <c r="P11" s="28">
        <f>COUNTIFS(DataRegularSeason20242025!$E$2:$E$1315,O$1,DataRegularSeason20242025!$D$2:$D$1315,$A11,DataRegularSeason20242025!$N$2:$N$1315,1)</f>
        <v>0</v>
      </c>
      <c r="Q11" s="35"/>
      <c r="R11" s="46">
        <f>COUNTIFS(DataRegularSeason20242025!$E$2:$E$1315,Q$1,DataRegularSeason20242025!$D$2:$D$1315,$A11,DataRegularSeason20242025!$N$2:$N$1315,1)</f>
        <v>0</v>
      </c>
      <c r="S11" s="35"/>
      <c r="T11" s="28">
        <f>COUNTIFS(DataRegularSeason20242025!$E$2:$E$1315,S$1,DataRegularSeason20242025!$D$2:$D$1315,$A11,DataRegularSeason20242025!$N$2:$N$1315,1)</f>
        <v>0</v>
      </c>
      <c r="U11" s="35"/>
      <c r="V11" s="28">
        <f>COUNTIFS(DataRegularSeason20242025!$E$2:$E$1315,U$1,DataRegularSeason20242025!$D$2:$D$1315,$A11,DataRegularSeason20242025!$N$2:$N$1315,1)</f>
        <v>0</v>
      </c>
      <c r="W11" s="35"/>
      <c r="X11" s="28">
        <f>COUNTIFS(DataRegularSeason20242025!$E$2:$E$1315,W$1,DataRegularSeason20242025!$D$2:$D$1315,$A11,DataRegularSeason20242025!$N$2:$N$1315,1)</f>
        <v>0</v>
      </c>
      <c r="Y11" s="35"/>
      <c r="Z11" s="28">
        <f>COUNTIFS(DataRegularSeason20242025!$E$2:$E$1315,Y$1,DataRegularSeason20242025!$D$2:$D$1315,$A11,DataRegularSeason20242025!$N$2:$N$1315,1)</f>
        <v>0</v>
      </c>
      <c r="AA11" s="35"/>
      <c r="AB11" s="28">
        <f>COUNTIFS(DataRegularSeason20242025!$E$2:$E$1315,AA$1,DataRegularSeason20242025!$D$2:$D$1315,$A11,DataRegularSeason20242025!$N$2:$N$1315,1)</f>
        <v>0</v>
      </c>
      <c r="AC11" s="35"/>
      <c r="AD11" s="28">
        <f>COUNTIFS(DataRegularSeason20242025!$E$2:$E$1315,AC$1,DataRegularSeason20242025!$D$2:$D$1315,$A11,DataRegularSeason20242025!$N$2:$N$1315,1)</f>
        <v>0</v>
      </c>
      <c r="AE11" s="35"/>
      <c r="AF11" s="28">
        <f>COUNTIFS(DataRegularSeason20242025!$E$2:$E$1315,AE$1,DataRegularSeason20242025!$D$2:$D$1315,$A11,DataRegularSeason20242025!$N$2:$N$1315,1)</f>
        <v>0</v>
      </c>
      <c r="AG11" s="35"/>
      <c r="AH11" s="46">
        <f>COUNTIFS(DataRegularSeason20242025!$E$2:$E$1315,AG$1,DataRegularSeason20242025!$D$2:$D$1315,$A11,DataRegularSeason20242025!$N$2:$N$1315,1)</f>
        <v>0</v>
      </c>
      <c r="AI11" s="35"/>
      <c r="AJ11" s="28">
        <f>COUNTIFS(DataRegularSeason20242025!$E$2:$E$1315,AI$1,DataRegularSeason20242025!$D$2:$D$1315,$A11,DataRegularSeason20242025!$N$2:$N$1315,1)</f>
        <v>0</v>
      </c>
      <c r="AK11" s="35"/>
      <c r="AL11" s="28">
        <f>COUNTIFS(DataRegularSeason20242025!$E$2:$E$1315,AK$1,DataRegularSeason20242025!$D$2:$D$1315,$A11,DataRegularSeason20242025!$N$2:$N$1315,1)</f>
        <v>0</v>
      </c>
      <c r="AM11" s="35"/>
      <c r="AN11" s="28">
        <f>COUNTIFS(DataRegularSeason20242025!$E$2:$E$1315,AM$1,DataRegularSeason20242025!$D$2:$D$1315,$A11,DataRegularSeason20242025!$N$2:$N$1315,1)</f>
        <v>0</v>
      </c>
      <c r="AO11" s="35"/>
      <c r="AP11" s="28">
        <f>COUNTIFS(DataRegularSeason20242025!$E$2:$E$1315,AO$1,DataRegularSeason20242025!$D$2:$D$1315,$A11,DataRegularSeason20242025!$N$2:$N$1315,1)</f>
        <v>0</v>
      </c>
      <c r="AQ11" s="35"/>
      <c r="AR11" s="28">
        <f>COUNTIFS(DataRegularSeason20242025!$E$2:$E$1315,AQ$1,DataRegularSeason20242025!$D$2:$D$1315,$A11,DataRegularSeason20242025!$N$2:$N$1315,1)</f>
        <v>0</v>
      </c>
      <c r="AS11" s="35"/>
      <c r="AT11" s="28">
        <f>COUNTIFS(DataRegularSeason20242025!$E$2:$E$1315,AS$1,DataRegularSeason20242025!$D$2:$D$1315,$A11,DataRegularSeason20242025!$N$2:$N$1315,1)</f>
        <v>1</v>
      </c>
      <c r="AU11" s="35"/>
      <c r="AV11" s="28">
        <f>COUNTIFS(DataRegularSeason20242025!$E$2:$E$1315,AU$1,DataRegularSeason20242025!$D$2:$D$1315,$A11,DataRegularSeason20242025!$N$2:$N$1315,1)</f>
        <v>0</v>
      </c>
      <c r="AW11" s="35"/>
      <c r="AX11" s="46">
        <f>COUNTIFS(DataRegularSeason20242025!$E$2:$E$1315,AW$1,DataRegularSeason20242025!$D$2:$D$1315,$A11,DataRegularSeason20242025!$N$2:$N$1315,1)</f>
        <v>1</v>
      </c>
      <c r="AY11" s="35"/>
      <c r="AZ11" s="28">
        <f>COUNTIFS(DataRegularSeason20242025!$E$2:$E$1315,AY$1,DataRegularSeason20242025!$D$2:$D$1315,$A11,DataRegularSeason20242025!$N$2:$N$1315,1)</f>
        <v>0</v>
      </c>
      <c r="BA11" s="35"/>
      <c r="BB11" s="28">
        <f>COUNTIFS(DataRegularSeason20242025!$E$2:$E$1315,BA$1,DataRegularSeason20242025!$D$2:$D$1315,$A11,DataRegularSeason20242025!$N$2:$N$1315,1)</f>
        <v>0</v>
      </c>
      <c r="BC11" s="35"/>
      <c r="BD11" s="28">
        <f>COUNTIFS(DataRegularSeason20242025!$E$2:$E$1315,BC$1,DataRegularSeason20242025!$D$2:$D$1315,$A11,DataRegularSeason20242025!$N$2:$N$1315,1)</f>
        <v>0</v>
      </c>
      <c r="BE11" s="35"/>
      <c r="BF11" s="28">
        <f>COUNTIFS(DataRegularSeason20242025!$E$2:$E$1315,BE$1,DataRegularSeason20242025!$D$2:$D$1315,$A11,DataRegularSeason20242025!$N$2:$N$1315,1)</f>
        <v>0</v>
      </c>
      <c r="BG11" s="35"/>
      <c r="BH11" s="28">
        <f>COUNTIFS(DataRegularSeason20242025!$E$2:$E$1315,BG$1,DataRegularSeason20242025!$D$2:$D$1315,$A11,DataRegularSeason20242025!$N$2:$N$1315,1)</f>
        <v>1</v>
      </c>
      <c r="BI11" s="35"/>
      <c r="BJ11" s="28">
        <f>COUNTIFS(DataRegularSeason20242025!$E$2:$E$1315,BI$1,DataRegularSeason20242025!$D$2:$D$1315,$A11,DataRegularSeason20242025!$N$2:$N$1315,1)</f>
        <v>1</v>
      </c>
      <c r="BK11" s="35"/>
      <c r="BL11" s="28">
        <f>COUNTIFS(DataRegularSeason20242025!$E$2:$E$1315,BK$1,DataRegularSeason20242025!$D$2:$D$1315,$A11,DataRegularSeason20242025!$N$2:$N$1315,1)</f>
        <v>0</v>
      </c>
      <c r="BM11" s="35"/>
      <c r="BN11" s="28">
        <f>COUNTIFS(DataRegularSeason20242025!$E$2:$E$1315,BM$1,DataRegularSeason20242025!$D$2:$D$1315,$A11,DataRegularSeason20242025!$N$2:$N$1315,1)</f>
        <v>1</v>
      </c>
      <c r="BO11" s="30">
        <f t="shared" si="0"/>
        <v>5</v>
      </c>
      <c r="BP11" s="165">
        <f t="shared" ref="BP11" si="7">BO11+BO12</f>
        <v>7</v>
      </c>
      <c r="BQ11" s="166">
        <f t="shared" ref="BQ11" si="8">82-BP11</f>
        <v>75</v>
      </c>
    </row>
    <row r="12" spans="1:69" ht="12" customHeight="1" x14ac:dyDescent="0.25">
      <c r="A12" s="167"/>
      <c r="B12" s="32" t="s">
        <v>73</v>
      </c>
      <c r="C12" s="38">
        <f>COUNTIFS(DataRegularSeason20242025!$D$2:$D$1315,C$1,DataRegularSeason20242025!$E$2:$E$1315,$A11,DataRegularSeason20242025!$N$2:$N$1315,1)</f>
        <v>1</v>
      </c>
      <c r="D12" s="39"/>
      <c r="E12" s="38">
        <f>COUNTIFS(DataRegularSeason20242025!$D$2:$D$1315,E$1,DataRegularSeason20242025!$E$2:$E$1315,$A11,DataRegularSeason20242025!$N$2:$N$1315,1)</f>
        <v>0</v>
      </c>
      <c r="F12" s="39"/>
      <c r="G12" s="38">
        <f>COUNTIFS(DataRegularSeason20242025!$D$2:$D$1315,G$1,DataRegularSeason20242025!$E$2:$E$1315,$A11,DataRegularSeason20242025!$N$2:$N$1315,1)</f>
        <v>0</v>
      </c>
      <c r="H12" s="39"/>
      <c r="I12" s="38">
        <f>COUNTIFS(DataRegularSeason20242025!$D$2:$D$1315,I$1,DataRegularSeason20242025!$E$2:$E$1315,$A11,DataRegularSeason20242025!$N$2:$N$1315,1)</f>
        <v>0</v>
      </c>
      <c r="J12" s="39"/>
      <c r="K12" s="38"/>
      <c r="L12" s="39"/>
      <c r="M12" s="38">
        <f>COUNTIFS(DataRegularSeason20242025!$D$2:$D$1315,M$1,DataRegularSeason20242025!$E$2:$E$1315,$A11,DataRegularSeason20242025!$N$2:$N$1315,1)</f>
        <v>0</v>
      </c>
      <c r="N12" s="39"/>
      <c r="O12" s="38">
        <f>COUNTIFS(DataRegularSeason20242025!$D$2:$D$1315,O$1,DataRegularSeason20242025!$E$2:$E$1315,$A11,DataRegularSeason20242025!$N$2:$N$1315,1)</f>
        <v>0</v>
      </c>
      <c r="P12" s="39"/>
      <c r="Q12" s="38">
        <f>COUNTIFS(DataRegularSeason20242025!$D$2:$D$1315,Q$1,DataRegularSeason20242025!$E$2:$E$1315,$A11,DataRegularSeason20242025!$N$2:$N$1315,1)</f>
        <v>1</v>
      </c>
      <c r="R12" s="47"/>
      <c r="S12" s="38">
        <f>COUNTIFS(DataRegularSeason20242025!$D$2:$D$1315,S$1,DataRegularSeason20242025!$E$2:$E$1315,$A11,DataRegularSeason20242025!$N$2:$N$1315,1)</f>
        <v>0</v>
      </c>
      <c r="T12" s="39"/>
      <c r="U12" s="38">
        <f>COUNTIFS(DataRegularSeason20242025!$D$2:$D$1315,U$1,DataRegularSeason20242025!$E$2:$E$1315,$A11,DataRegularSeason20242025!$N$2:$N$1315,1)</f>
        <v>0</v>
      </c>
      <c r="V12" s="39"/>
      <c r="W12" s="38">
        <f>COUNTIFS(DataRegularSeason20242025!$D$2:$D$1315,W$1,DataRegularSeason20242025!$E$2:$E$1315,$A11,DataRegularSeason20242025!$N$2:$N$1315,1)</f>
        <v>0</v>
      </c>
      <c r="X12" s="39"/>
      <c r="Y12" s="38">
        <f>COUNTIFS(DataRegularSeason20242025!$D$2:$D$1315,Y$1,DataRegularSeason20242025!$E$2:$E$1315,$A11,DataRegularSeason20242025!$N$2:$N$1315,1)</f>
        <v>0</v>
      </c>
      <c r="Z12" s="39"/>
      <c r="AA12" s="38">
        <f>COUNTIFS(DataRegularSeason20242025!$D$2:$D$1315,AA$1,DataRegularSeason20242025!$E$2:$E$1315,$A11,DataRegularSeason20242025!$N$2:$N$1315,1)</f>
        <v>0</v>
      </c>
      <c r="AB12" s="39"/>
      <c r="AC12" s="38">
        <f>COUNTIFS(DataRegularSeason20242025!$D$2:$D$1315,AC$1,DataRegularSeason20242025!$E$2:$E$1315,$A11,DataRegularSeason20242025!$N$2:$N$1315,1)</f>
        <v>0</v>
      </c>
      <c r="AD12" s="39"/>
      <c r="AE12" s="38">
        <f>COUNTIFS(DataRegularSeason20242025!$D$2:$D$1315,AE$1,DataRegularSeason20242025!$E$2:$E$1315,$A11,DataRegularSeason20242025!$N$2:$N$1315,1)</f>
        <v>0</v>
      </c>
      <c r="AF12" s="39"/>
      <c r="AG12" s="38">
        <f>COUNTIFS(DataRegularSeason20242025!$D$2:$D$1315,AG$1,DataRegularSeason20242025!$E$2:$E$1315,$A11,DataRegularSeason20242025!$N$2:$N$1315,1)</f>
        <v>0</v>
      </c>
      <c r="AH12" s="47"/>
      <c r="AI12" s="38">
        <f>COUNTIFS(DataRegularSeason20242025!$D$2:$D$1315,AI$1,DataRegularSeason20242025!$E$2:$E$1315,$A11,DataRegularSeason20242025!$N$2:$N$1315,1)</f>
        <v>0</v>
      </c>
      <c r="AJ12" s="39"/>
      <c r="AK12" s="38">
        <f>COUNTIFS(DataRegularSeason20242025!$D$2:$D$1315,AK$1,DataRegularSeason20242025!$E$2:$E$1315,$A11,DataRegularSeason20242025!$N$2:$N$1315,1)</f>
        <v>0</v>
      </c>
      <c r="AL12" s="39"/>
      <c r="AM12" s="38">
        <f>COUNTIFS(DataRegularSeason20242025!$D$2:$D$1315,AM$1,DataRegularSeason20242025!$E$2:$E$1315,$A11,DataRegularSeason20242025!$N$2:$N$1315,1)</f>
        <v>0</v>
      </c>
      <c r="AN12" s="39"/>
      <c r="AO12" s="38">
        <f>COUNTIFS(DataRegularSeason20242025!$D$2:$D$1315,AO$1,DataRegularSeason20242025!$E$2:$E$1315,$A11,DataRegularSeason20242025!$N$2:$N$1315,1)</f>
        <v>0</v>
      </c>
      <c r="AP12" s="39"/>
      <c r="AQ12" s="38">
        <f>COUNTIFS(DataRegularSeason20242025!$D$2:$D$1315,AQ$1,DataRegularSeason20242025!$E$2:$E$1315,$A11,DataRegularSeason20242025!$N$2:$N$1315,1)</f>
        <v>0</v>
      </c>
      <c r="AR12" s="39"/>
      <c r="AS12" s="38">
        <f>COUNTIFS(DataRegularSeason20242025!$D$2:$D$1315,AS$1,DataRegularSeason20242025!$E$2:$E$1315,$A11,DataRegularSeason20242025!$N$2:$N$1315,1)</f>
        <v>0</v>
      </c>
      <c r="AT12" s="39"/>
      <c r="AU12" s="38">
        <f>COUNTIFS(DataRegularSeason20242025!$D$2:$D$1315,AU$1,DataRegularSeason20242025!$E$2:$E$1315,$A11,DataRegularSeason20242025!$N$2:$N$1315,1)</f>
        <v>0</v>
      </c>
      <c r="AV12" s="39"/>
      <c r="AW12" s="38">
        <f>COUNTIFS(DataRegularSeason20242025!$D$2:$D$1315,AW$1,DataRegularSeason20242025!$E$2:$E$1315,$A11,DataRegularSeason20242025!$N$2:$N$1315,1)</f>
        <v>0</v>
      </c>
      <c r="AX12" s="47"/>
      <c r="AY12" s="38">
        <f>COUNTIFS(DataRegularSeason20242025!$D$2:$D$1315,AY$1,DataRegularSeason20242025!$E$2:$E$1315,$A11,DataRegularSeason20242025!$N$2:$N$1315,1)</f>
        <v>0</v>
      </c>
      <c r="AZ12" s="39"/>
      <c r="BA12" s="38">
        <f>COUNTIFS(DataRegularSeason20242025!$D$2:$D$1315,BA$1,DataRegularSeason20242025!$E$2:$E$1315,$A11,DataRegularSeason20242025!$N$2:$N$1315,1)</f>
        <v>0</v>
      </c>
      <c r="BB12" s="39"/>
      <c r="BC12" s="38">
        <f>COUNTIFS(DataRegularSeason20242025!$D$2:$D$1315,BC$1,DataRegularSeason20242025!$E$2:$E$1315,$A11,DataRegularSeason20242025!$N$2:$N$1315,1)</f>
        <v>0</v>
      </c>
      <c r="BD12" s="39"/>
      <c r="BE12" s="38">
        <f>COUNTIFS(DataRegularSeason20242025!$D$2:$D$1315,BE$1,DataRegularSeason20242025!$E$2:$E$1315,$A11,DataRegularSeason20242025!$N$2:$N$1315,1)</f>
        <v>0</v>
      </c>
      <c r="BF12" s="39"/>
      <c r="BG12" s="38">
        <f>COUNTIFS(DataRegularSeason20242025!$D$2:$D$1315,BG$1,DataRegularSeason20242025!$E$2:$E$1315,$A11,DataRegularSeason20242025!$N$2:$N$1315,1)</f>
        <v>0</v>
      </c>
      <c r="BH12" s="39"/>
      <c r="BI12" s="38">
        <f>COUNTIFS(DataRegularSeason20242025!$D$2:$D$1315,BI$1,DataRegularSeason20242025!$E$2:$E$1315,$A11,DataRegularSeason20242025!$N$2:$N$1315,1)</f>
        <v>0</v>
      </c>
      <c r="BJ12" s="39"/>
      <c r="BK12" s="38">
        <f>COUNTIFS(DataRegularSeason20242025!$D$2:$D$1315,BK$1,DataRegularSeason20242025!$E$2:$E$1315,$A11,DataRegularSeason20242025!$N$2:$N$1315,1)</f>
        <v>0</v>
      </c>
      <c r="BL12" s="39"/>
      <c r="BM12" s="38">
        <f>COUNTIFS(DataRegularSeason20242025!$D$2:$D$1315,BM$1,DataRegularSeason20242025!$E$2:$E$1315,$A11,DataRegularSeason20242025!$N$2:$N$1315,1)</f>
        <v>0</v>
      </c>
      <c r="BN12" s="39"/>
      <c r="BO12" s="34">
        <f t="shared" si="0"/>
        <v>2</v>
      </c>
      <c r="BP12" s="165"/>
      <c r="BQ12" s="166"/>
    </row>
    <row r="13" spans="1:69" ht="12" customHeight="1" x14ac:dyDescent="0.25">
      <c r="A13" s="172" t="s">
        <v>37</v>
      </c>
      <c r="B13" s="28" t="s">
        <v>74</v>
      </c>
      <c r="C13" s="35"/>
      <c r="D13" s="28">
        <f>COUNTIFS(DataRegularSeason20242025!$E$2:$E$1315,C$1,DataRegularSeason20242025!$D$2:$D$1315,$A13,DataRegularSeason20242025!$N$2:$N$1315,1)</f>
        <v>0</v>
      </c>
      <c r="E13" s="35"/>
      <c r="F13" s="28">
        <f>COUNTIFS(DataRegularSeason20242025!$E$2:$E$1315,E$1,DataRegularSeason20242025!$D$2:$D$1315,$A13,DataRegularSeason20242025!$N$2:$N$1315,1)</f>
        <v>0</v>
      </c>
      <c r="G13" s="35"/>
      <c r="H13" s="28">
        <f>COUNTIFS(DataRegularSeason20242025!$E$2:$E$1315,G$1,DataRegularSeason20242025!$D$2:$D$1315,$A13,DataRegularSeason20242025!$N$2:$N$1315,1)</f>
        <v>0</v>
      </c>
      <c r="I13" s="35"/>
      <c r="J13" s="28">
        <f>COUNTIFS(DataRegularSeason20242025!$E$2:$E$1315,I$1,DataRegularSeason20242025!$D$2:$D$1315,$A13,DataRegularSeason20242025!$N$2:$N$1315,1)</f>
        <v>0</v>
      </c>
      <c r="K13" s="35"/>
      <c r="L13" s="28">
        <f>COUNTIFS(DataRegularSeason20242025!$E$2:$E$1315,K$1,DataRegularSeason20242025!$D$2:$D$1315,$A13,DataRegularSeason20242025!$N$2:$N$1315,1)</f>
        <v>0</v>
      </c>
      <c r="M13" s="35"/>
      <c r="N13" s="36"/>
      <c r="O13" s="35"/>
      <c r="P13" s="28">
        <f>COUNTIFS(DataRegularSeason20242025!$E$2:$E$1315,O$1,DataRegularSeason20242025!$D$2:$D$1315,$A13,DataRegularSeason20242025!$N$2:$N$1315,1)</f>
        <v>0</v>
      </c>
      <c r="Q13" s="35"/>
      <c r="R13" s="46">
        <f>COUNTIFS(DataRegularSeason20242025!$E$2:$E$1315,Q$1,DataRegularSeason20242025!$D$2:$D$1315,$A13,DataRegularSeason20242025!$N$2:$N$1315,1)</f>
        <v>0</v>
      </c>
      <c r="S13" s="35"/>
      <c r="T13" s="28">
        <f>COUNTIFS(DataRegularSeason20242025!$E$2:$E$1315,S$1,DataRegularSeason20242025!$D$2:$D$1315,$A13,DataRegularSeason20242025!$N$2:$N$1315,1)</f>
        <v>0</v>
      </c>
      <c r="U13" s="35"/>
      <c r="V13" s="28">
        <f>COUNTIFS(DataRegularSeason20242025!$E$2:$E$1315,U$1,DataRegularSeason20242025!$D$2:$D$1315,$A13,DataRegularSeason20242025!$N$2:$N$1315,1)</f>
        <v>0</v>
      </c>
      <c r="W13" s="35"/>
      <c r="X13" s="28">
        <f>COUNTIFS(DataRegularSeason20242025!$E$2:$E$1315,W$1,DataRegularSeason20242025!$D$2:$D$1315,$A13,DataRegularSeason20242025!$N$2:$N$1315,1)</f>
        <v>0</v>
      </c>
      <c r="Y13" s="35"/>
      <c r="Z13" s="28">
        <f>COUNTIFS(DataRegularSeason20242025!$E$2:$E$1315,Y$1,DataRegularSeason20242025!$D$2:$D$1315,$A13,DataRegularSeason20242025!$N$2:$N$1315,1)</f>
        <v>0</v>
      </c>
      <c r="AA13" s="35"/>
      <c r="AB13" s="28">
        <f>COUNTIFS(DataRegularSeason20242025!$E$2:$E$1315,AA$1,DataRegularSeason20242025!$D$2:$D$1315,$A13,DataRegularSeason20242025!$N$2:$N$1315,1)</f>
        <v>0</v>
      </c>
      <c r="AC13" s="35"/>
      <c r="AD13" s="28">
        <f>COUNTIFS(DataRegularSeason20242025!$E$2:$E$1315,AC$1,DataRegularSeason20242025!$D$2:$D$1315,$A13,DataRegularSeason20242025!$N$2:$N$1315,1)</f>
        <v>0</v>
      </c>
      <c r="AE13" s="35"/>
      <c r="AF13" s="28">
        <f>COUNTIFS(DataRegularSeason20242025!$E$2:$E$1315,AE$1,DataRegularSeason20242025!$D$2:$D$1315,$A13,DataRegularSeason20242025!$N$2:$N$1315,1)</f>
        <v>1</v>
      </c>
      <c r="AG13" s="35"/>
      <c r="AH13" s="46">
        <f>COUNTIFS(DataRegularSeason20242025!$E$2:$E$1315,AG$1,DataRegularSeason20242025!$D$2:$D$1315,$A13,DataRegularSeason20242025!$N$2:$N$1315,1)</f>
        <v>0</v>
      </c>
      <c r="AI13" s="35"/>
      <c r="AJ13" s="28">
        <f>COUNTIFS(DataRegularSeason20242025!$E$2:$E$1315,AI$1,DataRegularSeason20242025!$D$2:$D$1315,$A13,DataRegularSeason20242025!$N$2:$N$1315,1)</f>
        <v>0</v>
      </c>
      <c r="AK13" s="35"/>
      <c r="AL13" s="28">
        <f>COUNTIFS(DataRegularSeason20242025!$E$2:$E$1315,AK$1,DataRegularSeason20242025!$D$2:$D$1315,$A13,DataRegularSeason20242025!$N$2:$N$1315,1)</f>
        <v>0</v>
      </c>
      <c r="AM13" s="35"/>
      <c r="AN13" s="28">
        <f>COUNTIFS(DataRegularSeason20242025!$E$2:$E$1315,AM$1,DataRegularSeason20242025!$D$2:$D$1315,$A13,DataRegularSeason20242025!$N$2:$N$1315,1)</f>
        <v>0</v>
      </c>
      <c r="AO13" s="35"/>
      <c r="AP13" s="28">
        <f>COUNTIFS(DataRegularSeason20242025!$E$2:$E$1315,AO$1,DataRegularSeason20242025!$D$2:$D$1315,$A13,DataRegularSeason20242025!$N$2:$N$1315,1)</f>
        <v>1</v>
      </c>
      <c r="AQ13" s="35"/>
      <c r="AR13" s="28">
        <f>COUNTIFS(DataRegularSeason20242025!$E$2:$E$1315,AQ$1,DataRegularSeason20242025!$D$2:$D$1315,$A13,DataRegularSeason20242025!$N$2:$N$1315,1)</f>
        <v>0</v>
      </c>
      <c r="AS13" s="35"/>
      <c r="AT13" s="28">
        <f>COUNTIFS(DataRegularSeason20242025!$E$2:$E$1315,AS$1,DataRegularSeason20242025!$D$2:$D$1315,$A13,DataRegularSeason20242025!$N$2:$N$1315,1)</f>
        <v>0</v>
      </c>
      <c r="AU13" s="35"/>
      <c r="AV13" s="28">
        <f>COUNTIFS(DataRegularSeason20242025!$E$2:$E$1315,AU$1,DataRegularSeason20242025!$D$2:$D$1315,$A13,DataRegularSeason20242025!$N$2:$N$1315,1)</f>
        <v>0</v>
      </c>
      <c r="AW13" s="35"/>
      <c r="AX13" s="46">
        <f>COUNTIFS(DataRegularSeason20242025!$E$2:$E$1315,AW$1,DataRegularSeason20242025!$D$2:$D$1315,$A13,DataRegularSeason20242025!$N$2:$N$1315,1)</f>
        <v>0</v>
      </c>
      <c r="AY13" s="35"/>
      <c r="AZ13" s="28">
        <f>COUNTIFS(DataRegularSeason20242025!$E$2:$E$1315,AY$1,DataRegularSeason20242025!$D$2:$D$1315,$A13,DataRegularSeason20242025!$N$2:$N$1315,1)</f>
        <v>0</v>
      </c>
      <c r="BA13" s="35"/>
      <c r="BB13" s="28">
        <f>COUNTIFS(DataRegularSeason20242025!$E$2:$E$1315,BA$1,DataRegularSeason20242025!$D$2:$D$1315,$A13,DataRegularSeason20242025!$N$2:$N$1315,1)</f>
        <v>0</v>
      </c>
      <c r="BC13" s="35"/>
      <c r="BD13" s="28">
        <f>COUNTIFS(DataRegularSeason20242025!$E$2:$E$1315,BC$1,DataRegularSeason20242025!$D$2:$D$1315,$A13,DataRegularSeason20242025!$N$2:$N$1315,1)</f>
        <v>0</v>
      </c>
      <c r="BE13" s="35"/>
      <c r="BF13" s="28">
        <f>COUNTIFS(DataRegularSeason20242025!$E$2:$E$1315,BE$1,DataRegularSeason20242025!$D$2:$D$1315,$A13,DataRegularSeason20242025!$N$2:$N$1315,1)</f>
        <v>0</v>
      </c>
      <c r="BG13" s="35"/>
      <c r="BH13" s="28">
        <f>COUNTIFS(DataRegularSeason20242025!$E$2:$E$1315,BG$1,DataRegularSeason20242025!$D$2:$D$1315,$A13,DataRegularSeason20242025!$N$2:$N$1315,1)</f>
        <v>0</v>
      </c>
      <c r="BI13" s="35"/>
      <c r="BJ13" s="28">
        <f>COUNTIFS(DataRegularSeason20242025!$E$2:$E$1315,BI$1,DataRegularSeason20242025!$D$2:$D$1315,$A13,DataRegularSeason20242025!$N$2:$N$1315,1)</f>
        <v>0</v>
      </c>
      <c r="BK13" s="35"/>
      <c r="BL13" s="28">
        <f>COUNTIFS(DataRegularSeason20242025!$E$2:$E$1315,BK$1,DataRegularSeason20242025!$D$2:$D$1315,$A13,DataRegularSeason20242025!$N$2:$N$1315,1)</f>
        <v>0</v>
      </c>
      <c r="BM13" s="35"/>
      <c r="BN13" s="28">
        <f>COUNTIFS(DataRegularSeason20242025!$E$2:$E$1315,BM$1,DataRegularSeason20242025!$D$2:$D$1315,$A13,DataRegularSeason20242025!$N$2:$N$1315,1)</f>
        <v>0</v>
      </c>
      <c r="BO13" s="30">
        <f t="shared" si="0"/>
        <v>2</v>
      </c>
      <c r="BP13" s="165">
        <f t="shared" ref="BP13" si="9">BO13+BO14</f>
        <v>6</v>
      </c>
      <c r="BQ13" s="166">
        <f t="shared" ref="BQ13" si="10">82-BP13</f>
        <v>76</v>
      </c>
    </row>
    <row r="14" spans="1:69" ht="12" customHeight="1" x14ac:dyDescent="0.25">
      <c r="A14" s="167"/>
      <c r="B14" s="32" t="s">
        <v>73</v>
      </c>
      <c r="C14" s="38">
        <f>COUNTIFS(DataRegularSeason20242025!$D$2:$D$1315,C$1,DataRegularSeason20242025!$E$2:$E$1315,$A13,DataRegularSeason20242025!$N$2:$N$1315,1)</f>
        <v>1</v>
      </c>
      <c r="D14" s="39"/>
      <c r="E14" s="38">
        <f>COUNTIFS(DataRegularSeason20242025!$D$2:$D$1315,E$1,DataRegularSeason20242025!$E$2:$E$1315,$A13,DataRegularSeason20242025!$N$2:$N$1315,1)</f>
        <v>0</v>
      </c>
      <c r="F14" s="39"/>
      <c r="G14" s="38">
        <f>COUNTIFS(DataRegularSeason20242025!$D$2:$D$1315,G$1,DataRegularSeason20242025!$E$2:$E$1315,$A13,DataRegularSeason20242025!$N$2:$N$1315,1)</f>
        <v>0</v>
      </c>
      <c r="H14" s="39"/>
      <c r="I14" s="38">
        <f>COUNTIFS(DataRegularSeason20242025!$D$2:$D$1315,I$1,DataRegularSeason20242025!$E$2:$E$1315,$A13,DataRegularSeason20242025!$N$2:$N$1315,1)</f>
        <v>0</v>
      </c>
      <c r="J14" s="39"/>
      <c r="K14" s="38">
        <f>COUNTIFS(DataRegularSeason20242025!$D$2:$D$1315,K$1,DataRegularSeason20242025!$E$2:$E$1315,$A13,DataRegularSeason20242025!$N$2:$N$1315,1)</f>
        <v>0</v>
      </c>
      <c r="L14" s="39"/>
      <c r="M14" s="38"/>
      <c r="N14" s="39"/>
      <c r="O14" s="38">
        <f>COUNTIFS(DataRegularSeason20242025!$D$2:$D$1315,O$1,DataRegularSeason20242025!$E$2:$E$1315,$A13,DataRegularSeason20242025!$N$2:$N$1315,1)</f>
        <v>0</v>
      </c>
      <c r="P14" s="39"/>
      <c r="Q14" s="38">
        <f>COUNTIFS(DataRegularSeason20242025!$D$2:$D$1315,Q$1,DataRegularSeason20242025!$E$2:$E$1315,$A13,DataRegularSeason20242025!$N$2:$N$1315,1)</f>
        <v>1</v>
      </c>
      <c r="R14" s="47"/>
      <c r="S14" s="38">
        <f>COUNTIFS(DataRegularSeason20242025!$D$2:$D$1315,S$1,DataRegularSeason20242025!$E$2:$E$1315,$A13,DataRegularSeason20242025!$N$2:$N$1315,1)</f>
        <v>0</v>
      </c>
      <c r="T14" s="39"/>
      <c r="U14" s="38">
        <f>COUNTIFS(DataRegularSeason20242025!$D$2:$D$1315,U$1,DataRegularSeason20242025!$E$2:$E$1315,$A13,DataRegularSeason20242025!$N$2:$N$1315,1)</f>
        <v>0</v>
      </c>
      <c r="V14" s="39"/>
      <c r="W14" s="38">
        <f>COUNTIFS(DataRegularSeason20242025!$D$2:$D$1315,W$1,DataRegularSeason20242025!$E$2:$E$1315,$A13,DataRegularSeason20242025!$N$2:$N$1315,1)</f>
        <v>0</v>
      </c>
      <c r="X14" s="39"/>
      <c r="Y14" s="38">
        <f>COUNTIFS(DataRegularSeason20242025!$D$2:$D$1315,Y$1,DataRegularSeason20242025!$E$2:$E$1315,$A13,DataRegularSeason20242025!$N$2:$N$1315,1)</f>
        <v>0</v>
      </c>
      <c r="Z14" s="39"/>
      <c r="AA14" s="38">
        <f>COUNTIFS(DataRegularSeason20242025!$D$2:$D$1315,AA$1,DataRegularSeason20242025!$E$2:$E$1315,$A13,DataRegularSeason20242025!$N$2:$N$1315,1)</f>
        <v>0</v>
      </c>
      <c r="AB14" s="39"/>
      <c r="AC14" s="38">
        <f>COUNTIFS(DataRegularSeason20242025!$D$2:$D$1315,AC$1,DataRegularSeason20242025!$E$2:$E$1315,$A13,DataRegularSeason20242025!$N$2:$N$1315,1)</f>
        <v>0</v>
      </c>
      <c r="AD14" s="39"/>
      <c r="AE14" s="38">
        <f>COUNTIFS(DataRegularSeason20242025!$D$2:$D$1315,AE$1,DataRegularSeason20242025!$E$2:$E$1315,$A13,DataRegularSeason20242025!$N$2:$N$1315,1)</f>
        <v>0</v>
      </c>
      <c r="AF14" s="39"/>
      <c r="AG14" s="38">
        <f>COUNTIFS(DataRegularSeason20242025!$D$2:$D$1315,AG$1,DataRegularSeason20242025!$E$2:$E$1315,$A13,DataRegularSeason20242025!$N$2:$N$1315,1)</f>
        <v>0</v>
      </c>
      <c r="AH14" s="47"/>
      <c r="AI14" s="38">
        <f>COUNTIFS(DataRegularSeason20242025!$D$2:$D$1315,AI$1,DataRegularSeason20242025!$E$2:$E$1315,$A13,DataRegularSeason20242025!$N$2:$N$1315,1)</f>
        <v>1</v>
      </c>
      <c r="AJ14" s="39"/>
      <c r="AK14" s="38">
        <f>COUNTIFS(DataRegularSeason20242025!$D$2:$D$1315,AK$1,DataRegularSeason20242025!$E$2:$E$1315,$A13,DataRegularSeason20242025!$N$2:$N$1315,1)</f>
        <v>0</v>
      </c>
      <c r="AL14" s="39"/>
      <c r="AM14" s="38">
        <f>COUNTIFS(DataRegularSeason20242025!$D$2:$D$1315,AM$1,DataRegularSeason20242025!$E$2:$E$1315,$A13,DataRegularSeason20242025!$N$2:$N$1315,1)</f>
        <v>0</v>
      </c>
      <c r="AN14" s="39"/>
      <c r="AO14" s="38">
        <f>COUNTIFS(DataRegularSeason20242025!$D$2:$D$1315,AO$1,DataRegularSeason20242025!$E$2:$E$1315,$A13,DataRegularSeason20242025!$N$2:$N$1315,1)</f>
        <v>0</v>
      </c>
      <c r="AP14" s="39"/>
      <c r="AQ14" s="38">
        <f>COUNTIFS(DataRegularSeason20242025!$D$2:$D$1315,AQ$1,DataRegularSeason20242025!$E$2:$E$1315,$A13,DataRegularSeason20242025!$N$2:$N$1315,1)</f>
        <v>0</v>
      </c>
      <c r="AR14" s="39"/>
      <c r="AS14" s="38">
        <f>COUNTIFS(DataRegularSeason20242025!$D$2:$D$1315,AS$1,DataRegularSeason20242025!$E$2:$E$1315,$A13,DataRegularSeason20242025!$N$2:$N$1315,1)</f>
        <v>0</v>
      </c>
      <c r="AT14" s="39"/>
      <c r="AU14" s="38">
        <f>COUNTIFS(DataRegularSeason20242025!$D$2:$D$1315,AU$1,DataRegularSeason20242025!$E$2:$E$1315,$A13,DataRegularSeason20242025!$N$2:$N$1315,1)</f>
        <v>1</v>
      </c>
      <c r="AV14" s="39"/>
      <c r="AW14" s="38">
        <f>COUNTIFS(DataRegularSeason20242025!$D$2:$D$1315,AW$1,DataRegularSeason20242025!$E$2:$E$1315,$A13,DataRegularSeason20242025!$N$2:$N$1315,1)</f>
        <v>0</v>
      </c>
      <c r="AX14" s="47"/>
      <c r="AY14" s="38">
        <f>COUNTIFS(DataRegularSeason20242025!$D$2:$D$1315,AY$1,DataRegularSeason20242025!$E$2:$E$1315,$A13,DataRegularSeason20242025!$N$2:$N$1315,1)</f>
        <v>0</v>
      </c>
      <c r="AZ14" s="39"/>
      <c r="BA14" s="38">
        <f>COUNTIFS(DataRegularSeason20242025!$D$2:$D$1315,BA$1,DataRegularSeason20242025!$E$2:$E$1315,$A13,DataRegularSeason20242025!$N$2:$N$1315,1)</f>
        <v>0</v>
      </c>
      <c r="BB14" s="39"/>
      <c r="BC14" s="38">
        <f>COUNTIFS(DataRegularSeason20242025!$D$2:$D$1315,BC$1,DataRegularSeason20242025!$E$2:$E$1315,$A13,DataRegularSeason20242025!$N$2:$N$1315,1)</f>
        <v>0</v>
      </c>
      <c r="BD14" s="39"/>
      <c r="BE14" s="38">
        <f>COUNTIFS(DataRegularSeason20242025!$D$2:$D$1315,BE$1,DataRegularSeason20242025!$E$2:$E$1315,$A13,DataRegularSeason20242025!$N$2:$N$1315,1)</f>
        <v>0</v>
      </c>
      <c r="BF14" s="39"/>
      <c r="BG14" s="38">
        <f>COUNTIFS(DataRegularSeason20242025!$D$2:$D$1315,BG$1,DataRegularSeason20242025!$E$2:$E$1315,$A13,DataRegularSeason20242025!$N$2:$N$1315,1)</f>
        <v>0</v>
      </c>
      <c r="BH14" s="39"/>
      <c r="BI14" s="38">
        <f>COUNTIFS(DataRegularSeason20242025!$D$2:$D$1315,BI$1,DataRegularSeason20242025!$E$2:$E$1315,$A13,DataRegularSeason20242025!$N$2:$N$1315,1)</f>
        <v>0</v>
      </c>
      <c r="BJ14" s="39"/>
      <c r="BK14" s="38">
        <f>COUNTIFS(DataRegularSeason20242025!$D$2:$D$1315,BK$1,DataRegularSeason20242025!$E$2:$E$1315,$A13,DataRegularSeason20242025!$N$2:$N$1315,1)</f>
        <v>0</v>
      </c>
      <c r="BL14" s="39"/>
      <c r="BM14" s="38">
        <f>COUNTIFS(DataRegularSeason20242025!$D$2:$D$1315,BM$1,DataRegularSeason20242025!$E$2:$E$1315,$A13,DataRegularSeason20242025!$N$2:$N$1315,1)</f>
        <v>0</v>
      </c>
      <c r="BN14" s="39"/>
      <c r="BO14" s="34">
        <f t="shared" si="0"/>
        <v>4</v>
      </c>
      <c r="BP14" s="165"/>
      <c r="BQ14" s="166"/>
    </row>
    <row r="15" spans="1:69" ht="12" customHeight="1" x14ac:dyDescent="0.25">
      <c r="A15" s="172" t="s">
        <v>24</v>
      </c>
      <c r="B15" s="28" t="s">
        <v>74</v>
      </c>
      <c r="C15" s="35"/>
      <c r="D15" s="28">
        <f>COUNTIFS(DataRegularSeason20242025!$E$2:$E$1315,C$1,DataRegularSeason20242025!$D$2:$D$1315,$A15,DataRegularSeason20242025!$N$2:$N$1315,1)</f>
        <v>0</v>
      </c>
      <c r="E15" s="35"/>
      <c r="F15" s="28">
        <f>COUNTIFS(DataRegularSeason20242025!$E$2:$E$1315,E$1,DataRegularSeason20242025!$D$2:$D$1315,$A15,DataRegularSeason20242025!$N$2:$N$1315,1)</f>
        <v>0</v>
      </c>
      <c r="G15" s="35"/>
      <c r="H15" s="28">
        <f>COUNTIFS(DataRegularSeason20242025!$E$2:$E$1315,G$1,DataRegularSeason20242025!$D$2:$D$1315,$A15,DataRegularSeason20242025!$N$2:$N$1315,1)</f>
        <v>1</v>
      </c>
      <c r="I15" s="35"/>
      <c r="J15" s="28">
        <f>COUNTIFS(DataRegularSeason20242025!$E$2:$E$1315,I$1,DataRegularSeason20242025!$D$2:$D$1315,$A15,DataRegularSeason20242025!$N$2:$N$1315,1)</f>
        <v>0</v>
      </c>
      <c r="K15" s="35"/>
      <c r="L15" s="28">
        <f>COUNTIFS(DataRegularSeason20242025!$E$2:$E$1315,K$1,DataRegularSeason20242025!$D$2:$D$1315,$A15,DataRegularSeason20242025!$N$2:$N$1315,1)</f>
        <v>0</v>
      </c>
      <c r="M15" s="35"/>
      <c r="N15" s="28">
        <f>COUNTIFS(DataRegularSeason20242025!$E$2:$E$1315,M$1,DataRegularSeason20242025!$D$2:$D$1315,$A15,DataRegularSeason20242025!$N$2:$N$1315,1)</f>
        <v>0</v>
      </c>
      <c r="O15" s="35"/>
      <c r="P15" s="36"/>
      <c r="Q15" s="35"/>
      <c r="R15" s="46">
        <f>COUNTIFS(DataRegularSeason20242025!$E$2:$E$1315,Q$1,DataRegularSeason20242025!$D$2:$D$1315,$A15,DataRegularSeason20242025!$N$2:$N$1315,1)</f>
        <v>0</v>
      </c>
      <c r="S15" s="35"/>
      <c r="T15" s="28">
        <f>COUNTIFS(DataRegularSeason20242025!$E$2:$E$1315,S$1,DataRegularSeason20242025!$D$2:$D$1315,$A15,DataRegularSeason20242025!$N$2:$N$1315,1)</f>
        <v>1</v>
      </c>
      <c r="U15" s="35"/>
      <c r="V15" s="28">
        <f>COUNTIFS(DataRegularSeason20242025!$E$2:$E$1315,U$1,DataRegularSeason20242025!$D$2:$D$1315,$A15,DataRegularSeason20242025!$N$2:$N$1315,1)</f>
        <v>0</v>
      </c>
      <c r="W15" s="35"/>
      <c r="X15" s="28">
        <f>COUNTIFS(DataRegularSeason20242025!$E$2:$E$1315,W$1,DataRegularSeason20242025!$D$2:$D$1315,$A15,DataRegularSeason20242025!$N$2:$N$1315,1)</f>
        <v>1</v>
      </c>
      <c r="Y15" s="35"/>
      <c r="Z15" s="28">
        <f>COUNTIFS(DataRegularSeason20242025!$E$2:$E$1315,Y$1,DataRegularSeason20242025!$D$2:$D$1315,$A15,DataRegularSeason20242025!$N$2:$N$1315,1)</f>
        <v>0</v>
      </c>
      <c r="AA15" s="35"/>
      <c r="AB15" s="28">
        <f>COUNTIFS(DataRegularSeason20242025!$E$2:$E$1315,AA$1,DataRegularSeason20242025!$D$2:$D$1315,$A15,DataRegularSeason20242025!$N$2:$N$1315,1)</f>
        <v>0</v>
      </c>
      <c r="AC15" s="35"/>
      <c r="AD15" s="28">
        <f>COUNTIFS(DataRegularSeason20242025!$E$2:$E$1315,AC$1,DataRegularSeason20242025!$D$2:$D$1315,$A15,DataRegularSeason20242025!$N$2:$N$1315,1)</f>
        <v>0</v>
      </c>
      <c r="AE15" s="35"/>
      <c r="AF15" s="28">
        <f>COUNTIFS(DataRegularSeason20242025!$E$2:$E$1315,AE$1,DataRegularSeason20242025!$D$2:$D$1315,$A15,DataRegularSeason20242025!$N$2:$N$1315,1)</f>
        <v>0</v>
      </c>
      <c r="AG15" s="35"/>
      <c r="AH15" s="46">
        <f>COUNTIFS(DataRegularSeason20242025!$E$2:$E$1315,AG$1,DataRegularSeason20242025!$D$2:$D$1315,$A15,DataRegularSeason20242025!$N$2:$N$1315,1)</f>
        <v>0</v>
      </c>
      <c r="AI15" s="35"/>
      <c r="AJ15" s="28">
        <f>COUNTIFS(DataRegularSeason20242025!$E$2:$E$1315,AI$1,DataRegularSeason20242025!$D$2:$D$1315,$A15,DataRegularSeason20242025!$N$2:$N$1315,1)</f>
        <v>0</v>
      </c>
      <c r="AK15" s="35"/>
      <c r="AL15" s="28">
        <f>COUNTIFS(DataRegularSeason20242025!$E$2:$E$1315,AK$1,DataRegularSeason20242025!$D$2:$D$1315,$A15,DataRegularSeason20242025!$N$2:$N$1315,1)</f>
        <v>0</v>
      </c>
      <c r="AM15" s="35"/>
      <c r="AN15" s="28">
        <f>COUNTIFS(DataRegularSeason20242025!$E$2:$E$1315,AM$1,DataRegularSeason20242025!$D$2:$D$1315,$A15,DataRegularSeason20242025!$N$2:$N$1315,1)</f>
        <v>0</v>
      </c>
      <c r="AO15" s="35"/>
      <c r="AP15" s="28">
        <f>COUNTIFS(DataRegularSeason20242025!$E$2:$E$1315,AO$1,DataRegularSeason20242025!$D$2:$D$1315,$A15,DataRegularSeason20242025!$N$2:$N$1315,1)</f>
        <v>0</v>
      </c>
      <c r="AQ15" s="35"/>
      <c r="AR15" s="28">
        <f>COUNTIFS(DataRegularSeason20242025!$E$2:$E$1315,AQ$1,DataRegularSeason20242025!$D$2:$D$1315,$A15,DataRegularSeason20242025!$N$2:$N$1315,1)</f>
        <v>0</v>
      </c>
      <c r="AS15" s="35"/>
      <c r="AT15" s="28">
        <f>COUNTIFS(DataRegularSeason20242025!$E$2:$E$1315,AS$1,DataRegularSeason20242025!$D$2:$D$1315,$A15,DataRegularSeason20242025!$N$2:$N$1315,1)</f>
        <v>0</v>
      </c>
      <c r="AU15" s="35"/>
      <c r="AV15" s="28">
        <f>COUNTIFS(DataRegularSeason20242025!$E$2:$E$1315,AU$1,DataRegularSeason20242025!$D$2:$D$1315,$A15,DataRegularSeason20242025!$N$2:$N$1315,1)</f>
        <v>1</v>
      </c>
      <c r="AW15" s="35"/>
      <c r="AX15" s="46">
        <f>COUNTIFS(DataRegularSeason20242025!$E$2:$E$1315,AW$1,DataRegularSeason20242025!$D$2:$D$1315,$A15,DataRegularSeason20242025!$N$2:$N$1315,1)</f>
        <v>1</v>
      </c>
      <c r="AY15" s="35"/>
      <c r="AZ15" s="28">
        <f>COUNTIFS(DataRegularSeason20242025!$E$2:$E$1315,AY$1,DataRegularSeason20242025!$D$2:$D$1315,$A15,DataRegularSeason20242025!$N$2:$N$1315,1)</f>
        <v>0</v>
      </c>
      <c r="BA15" s="35"/>
      <c r="BB15" s="28">
        <f>COUNTIFS(DataRegularSeason20242025!$E$2:$E$1315,BA$1,DataRegularSeason20242025!$D$2:$D$1315,$A15,DataRegularSeason20242025!$N$2:$N$1315,1)</f>
        <v>0</v>
      </c>
      <c r="BC15" s="35"/>
      <c r="BD15" s="28">
        <f>COUNTIFS(DataRegularSeason20242025!$E$2:$E$1315,BC$1,DataRegularSeason20242025!$D$2:$D$1315,$A15,DataRegularSeason20242025!$N$2:$N$1315,1)</f>
        <v>0</v>
      </c>
      <c r="BE15" s="35"/>
      <c r="BF15" s="28">
        <f>COUNTIFS(DataRegularSeason20242025!$E$2:$E$1315,BE$1,DataRegularSeason20242025!$D$2:$D$1315,$A15,DataRegularSeason20242025!$N$2:$N$1315,1)</f>
        <v>0</v>
      </c>
      <c r="BG15" s="35"/>
      <c r="BH15" s="28">
        <f>COUNTIFS(DataRegularSeason20242025!$E$2:$E$1315,BG$1,DataRegularSeason20242025!$D$2:$D$1315,$A15,DataRegularSeason20242025!$N$2:$N$1315,1)</f>
        <v>0</v>
      </c>
      <c r="BI15" s="35"/>
      <c r="BJ15" s="28">
        <f>COUNTIFS(DataRegularSeason20242025!$E$2:$E$1315,BI$1,DataRegularSeason20242025!$D$2:$D$1315,$A15,DataRegularSeason20242025!$N$2:$N$1315,1)</f>
        <v>0</v>
      </c>
      <c r="BK15" s="35"/>
      <c r="BL15" s="28">
        <f>COUNTIFS(DataRegularSeason20242025!$E$2:$E$1315,BK$1,DataRegularSeason20242025!$D$2:$D$1315,$A15,DataRegularSeason20242025!$N$2:$N$1315,1)</f>
        <v>0</v>
      </c>
      <c r="BM15" s="35"/>
      <c r="BN15" s="28">
        <f>COUNTIFS(DataRegularSeason20242025!$E$2:$E$1315,BM$1,DataRegularSeason20242025!$D$2:$D$1315,$A15,DataRegularSeason20242025!$N$2:$N$1315,1)</f>
        <v>0</v>
      </c>
      <c r="BO15" s="30">
        <f t="shared" si="0"/>
        <v>5</v>
      </c>
      <c r="BP15" s="165">
        <f t="shared" ref="BP15" si="11">BO15+BO16</f>
        <v>7</v>
      </c>
      <c r="BQ15" s="166">
        <f t="shared" ref="BQ15" si="12">82-BP15</f>
        <v>75</v>
      </c>
    </row>
    <row r="16" spans="1:69" ht="12" customHeight="1" x14ac:dyDescent="0.25">
      <c r="A16" s="167"/>
      <c r="B16" s="32" t="s">
        <v>73</v>
      </c>
      <c r="C16" s="38">
        <f>COUNTIFS(DataRegularSeason20242025!$D$2:$D$1315,C$1,DataRegularSeason20242025!$E$2:$E$1315,$A15,DataRegularSeason20242025!$N$2:$N$1315,1)</f>
        <v>0</v>
      </c>
      <c r="D16" s="39"/>
      <c r="E16" s="38">
        <f>COUNTIFS(DataRegularSeason20242025!$D$2:$D$1315,E$1,DataRegularSeason20242025!$E$2:$E$1315,$A15,DataRegularSeason20242025!$N$2:$N$1315,1)</f>
        <v>1</v>
      </c>
      <c r="F16" s="39"/>
      <c r="G16" s="38">
        <f>COUNTIFS(DataRegularSeason20242025!$D$2:$D$1315,G$1,DataRegularSeason20242025!$E$2:$E$1315,$A15,DataRegularSeason20242025!$N$2:$N$1315,1)</f>
        <v>0</v>
      </c>
      <c r="H16" s="39"/>
      <c r="I16" s="38">
        <f>COUNTIFS(DataRegularSeason20242025!$D$2:$D$1315,I$1,DataRegularSeason20242025!$E$2:$E$1315,$A15,DataRegularSeason20242025!$N$2:$N$1315,1)</f>
        <v>0</v>
      </c>
      <c r="J16" s="39"/>
      <c r="K16" s="38">
        <f>COUNTIFS(DataRegularSeason20242025!$D$2:$D$1315,K$1,DataRegularSeason20242025!$E$2:$E$1315,$A15,DataRegularSeason20242025!$N$2:$N$1315,1)</f>
        <v>0</v>
      </c>
      <c r="L16" s="39"/>
      <c r="M16" s="38">
        <f>COUNTIFS(DataRegularSeason20242025!$D$2:$D$1315,M$1,DataRegularSeason20242025!$E$2:$E$1315,$A15,DataRegularSeason20242025!$N$2:$N$1315,1)</f>
        <v>0</v>
      </c>
      <c r="N16" s="39"/>
      <c r="O16" s="38"/>
      <c r="P16" s="39"/>
      <c r="Q16" s="38">
        <f>COUNTIFS(DataRegularSeason20242025!$D$2:$D$1315,Q$1,DataRegularSeason20242025!$E$2:$E$1315,$A15,DataRegularSeason20242025!$N$2:$N$1315,1)</f>
        <v>0</v>
      </c>
      <c r="R16" s="47"/>
      <c r="S16" s="38">
        <f>COUNTIFS(DataRegularSeason20242025!$D$2:$D$1315,S$1,DataRegularSeason20242025!$E$2:$E$1315,$A15,DataRegularSeason20242025!$N$2:$N$1315,1)</f>
        <v>0</v>
      </c>
      <c r="T16" s="39"/>
      <c r="U16" s="38">
        <f>COUNTIFS(DataRegularSeason20242025!$D$2:$D$1315,U$1,DataRegularSeason20242025!$E$2:$E$1315,$A15,DataRegularSeason20242025!$N$2:$N$1315,1)</f>
        <v>0</v>
      </c>
      <c r="V16" s="39"/>
      <c r="W16" s="38">
        <f>COUNTIFS(DataRegularSeason20242025!$D$2:$D$1315,W$1,DataRegularSeason20242025!$E$2:$E$1315,$A15,DataRegularSeason20242025!$N$2:$N$1315,1)</f>
        <v>0</v>
      </c>
      <c r="X16" s="39"/>
      <c r="Y16" s="38">
        <f>COUNTIFS(DataRegularSeason20242025!$D$2:$D$1315,Y$1,DataRegularSeason20242025!$E$2:$E$1315,$A15,DataRegularSeason20242025!$N$2:$N$1315,1)</f>
        <v>0</v>
      </c>
      <c r="Z16" s="39"/>
      <c r="AA16" s="38">
        <f>COUNTIFS(DataRegularSeason20242025!$D$2:$D$1315,AA$1,DataRegularSeason20242025!$E$2:$E$1315,$A15,DataRegularSeason20242025!$N$2:$N$1315,1)</f>
        <v>0</v>
      </c>
      <c r="AB16" s="39"/>
      <c r="AC16" s="38">
        <f>COUNTIFS(DataRegularSeason20242025!$D$2:$D$1315,AC$1,DataRegularSeason20242025!$E$2:$E$1315,$A15,DataRegularSeason20242025!$N$2:$N$1315,1)</f>
        <v>1</v>
      </c>
      <c r="AD16" s="39"/>
      <c r="AE16" s="38">
        <f>COUNTIFS(DataRegularSeason20242025!$D$2:$D$1315,AE$1,DataRegularSeason20242025!$E$2:$E$1315,$A15,DataRegularSeason20242025!$N$2:$N$1315,1)</f>
        <v>0</v>
      </c>
      <c r="AF16" s="39"/>
      <c r="AG16" s="38">
        <f>COUNTIFS(DataRegularSeason20242025!$D$2:$D$1315,AG$1,DataRegularSeason20242025!$E$2:$E$1315,$A15,DataRegularSeason20242025!$N$2:$N$1315,1)</f>
        <v>0</v>
      </c>
      <c r="AH16" s="47"/>
      <c r="AI16" s="38">
        <f>COUNTIFS(DataRegularSeason20242025!$D$2:$D$1315,AI$1,DataRegularSeason20242025!$E$2:$E$1315,$A15,DataRegularSeason20242025!$N$2:$N$1315,1)</f>
        <v>0</v>
      </c>
      <c r="AJ16" s="39"/>
      <c r="AK16" s="38">
        <f>COUNTIFS(DataRegularSeason20242025!$D$2:$D$1315,AK$1,DataRegularSeason20242025!$E$2:$E$1315,$A15,DataRegularSeason20242025!$N$2:$N$1315,1)</f>
        <v>0</v>
      </c>
      <c r="AL16" s="39"/>
      <c r="AM16" s="38">
        <f>COUNTIFS(DataRegularSeason20242025!$D$2:$D$1315,AM$1,DataRegularSeason20242025!$E$2:$E$1315,$A15,DataRegularSeason20242025!$N$2:$N$1315,1)</f>
        <v>0</v>
      </c>
      <c r="AN16" s="39"/>
      <c r="AO16" s="38">
        <f>COUNTIFS(DataRegularSeason20242025!$D$2:$D$1315,AO$1,DataRegularSeason20242025!$E$2:$E$1315,$A15,DataRegularSeason20242025!$N$2:$N$1315,1)</f>
        <v>0</v>
      </c>
      <c r="AP16" s="39"/>
      <c r="AQ16" s="38">
        <f>COUNTIFS(DataRegularSeason20242025!$D$2:$D$1315,AQ$1,DataRegularSeason20242025!$E$2:$E$1315,$A15,DataRegularSeason20242025!$N$2:$N$1315,1)</f>
        <v>0</v>
      </c>
      <c r="AR16" s="39"/>
      <c r="AS16" s="38">
        <f>COUNTIFS(DataRegularSeason20242025!$D$2:$D$1315,AS$1,DataRegularSeason20242025!$E$2:$E$1315,$A15,DataRegularSeason20242025!$N$2:$N$1315,1)</f>
        <v>0</v>
      </c>
      <c r="AT16" s="39"/>
      <c r="AU16" s="38">
        <f>COUNTIFS(DataRegularSeason20242025!$D$2:$D$1315,AU$1,DataRegularSeason20242025!$E$2:$E$1315,$A15,DataRegularSeason20242025!$N$2:$N$1315,1)</f>
        <v>0</v>
      </c>
      <c r="AV16" s="39"/>
      <c r="AW16" s="38">
        <f>COUNTIFS(DataRegularSeason20242025!$D$2:$D$1315,AW$1,DataRegularSeason20242025!$E$2:$E$1315,$A15,DataRegularSeason20242025!$N$2:$N$1315,1)</f>
        <v>0</v>
      </c>
      <c r="AX16" s="47"/>
      <c r="AY16" s="38">
        <f>COUNTIFS(DataRegularSeason20242025!$D$2:$D$1315,AY$1,DataRegularSeason20242025!$E$2:$E$1315,$A15,DataRegularSeason20242025!$N$2:$N$1315,1)</f>
        <v>0</v>
      </c>
      <c r="AZ16" s="39"/>
      <c r="BA16" s="38">
        <f>COUNTIFS(DataRegularSeason20242025!$D$2:$D$1315,BA$1,DataRegularSeason20242025!$E$2:$E$1315,$A15,DataRegularSeason20242025!$N$2:$N$1315,1)</f>
        <v>0</v>
      </c>
      <c r="BB16" s="39"/>
      <c r="BC16" s="38">
        <f>COUNTIFS(DataRegularSeason20242025!$D$2:$D$1315,BC$1,DataRegularSeason20242025!$E$2:$E$1315,$A15,DataRegularSeason20242025!$N$2:$N$1315,1)</f>
        <v>0</v>
      </c>
      <c r="BD16" s="39"/>
      <c r="BE16" s="38">
        <f>COUNTIFS(DataRegularSeason20242025!$D$2:$D$1315,BE$1,DataRegularSeason20242025!$E$2:$E$1315,$A15,DataRegularSeason20242025!$N$2:$N$1315,1)</f>
        <v>0</v>
      </c>
      <c r="BF16" s="39"/>
      <c r="BG16" s="38">
        <f>COUNTIFS(DataRegularSeason20242025!$D$2:$D$1315,BG$1,DataRegularSeason20242025!$E$2:$E$1315,$A15,DataRegularSeason20242025!$N$2:$N$1315,1)</f>
        <v>0</v>
      </c>
      <c r="BH16" s="39"/>
      <c r="BI16" s="38">
        <f>COUNTIFS(DataRegularSeason20242025!$D$2:$D$1315,BI$1,DataRegularSeason20242025!$E$2:$E$1315,$A15,DataRegularSeason20242025!$N$2:$N$1315,1)</f>
        <v>0</v>
      </c>
      <c r="BJ16" s="39"/>
      <c r="BK16" s="38">
        <f>COUNTIFS(DataRegularSeason20242025!$D$2:$D$1315,BK$1,DataRegularSeason20242025!$E$2:$E$1315,$A15,DataRegularSeason20242025!$N$2:$N$1315,1)</f>
        <v>0</v>
      </c>
      <c r="BL16" s="39"/>
      <c r="BM16" s="38">
        <f>COUNTIFS(DataRegularSeason20242025!$D$2:$D$1315,BM$1,DataRegularSeason20242025!$E$2:$E$1315,$A15,DataRegularSeason20242025!$N$2:$N$1315,1)</f>
        <v>0</v>
      </c>
      <c r="BN16" s="39"/>
      <c r="BO16" s="34">
        <f t="shared" si="0"/>
        <v>2</v>
      </c>
      <c r="BP16" s="165"/>
      <c r="BQ16" s="166"/>
    </row>
    <row r="17" spans="1:69" ht="12" customHeight="1" x14ac:dyDescent="0.25">
      <c r="A17" s="172" t="s">
        <v>26</v>
      </c>
      <c r="B17" s="28" t="s">
        <v>74</v>
      </c>
      <c r="C17" s="35"/>
      <c r="D17" s="28">
        <f>COUNTIFS(DataRegularSeason20242025!$E$2:$E$1315,C$1,DataRegularSeason20242025!$D$2:$D$1315,$A17,DataRegularSeason20242025!$N$2:$N$1315,1)</f>
        <v>0</v>
      </c>
      <c r="E17" s="35"/>
      <c r="F17" s="28">
        <f>COUNTIFS(DataRegularSeason20242025!$E$2:$E$1315,E$1,DataRegularSeason20242025!$D$2:$D$1315,$A17,DataRegularSeason20242025!$N$2:$N$1315,1)</f>
        <v>1</v>
      </c>
      <c r="G17" s="35"/>
      <c r="H17" s="28">
        <f>COUNTIFS(DataRegularSeason20242025!$E$2:$E$1315,G$1,DataRegularSeason20242025!$D$2:$D$1315,$A17,DataRegularSeason20242025!$N$2:$N$1315,1)</f>
        <v>0</v>
      </c>
      <c r="I17" s="35"/>
      <c r="J17" s="28">
        <f>COUNTIFS(DataRegularSeason20242025!$E$2:$E$1315,I$1,DataRegularSeason20242025!$D$2:$D$1315,$A17,DataRegularSeason20242025!$N$2:$N$1315,1)</f>
        <v>0</v>
      </c>
      <c r="K17" s="35"/>
      <c r="L17" s="28">
        <f>COUNTIFS(DataRegularSeason20242025!$E$2:$E$1315,K$1,DataRegularSeason20242025!$D$2:$D$1315,$A17,DataRegularSeason20242025!$N$2:$N$1315,1)</f>
        <v>1</v>
      </c>
      <c r="M17" s="35"/>
      <c r="N17" s="28">
        <f>COUNTIFS(DataRegularSeason20242025!$E$2:$E$1315,M$1,DataRegularSeason20242025!$D$2:$D$1315,$A17,DataRegularSeason20242025!$N$2:$N$1315,1)</f>
        <v>1</v>
      </c>
      <c r="O17" s="35"/>
      <c r="P17" s="28">
        <f>COUNTIFS(DataRegularSeason20242025!$E$2:$E$1315,O$1,DataRegularSeason20242025!$D$2:$D$1315,$A17,DataRegularSeason20242025!$N$2:$N$1315,1)</f>
        <v>0</v>
      </c>
      <c r="Q17" s="35"/>
      <c r="R17" s="48"/>
      <c r="S17" s="35"/>
      <c r="T17" s="28">
        <f>COUNTIFS(DataRegularSeason20242025!$E$2:$E$1315,S$1,DataRegularSeason20242025!$D$2:$D$1315,$A17,DataRegularSeason20242025!$N$2:$N$1315,1)</f>
        <v>0</v>
      </c>
      <c r="U17" s="35"/>
      <c r="V17" s="28">
        <f>COUNTIFS(DataRegularSeason20242025!$E$2:$E$1315,U$1,DataRegularSeason20242025!$D$2:$D$1315,$A17,DataRegularSeason20242025!$N$2:$N$1315,1)</f>
        <v>0</v>
      </c>
      <c r="W17" s="35"/>
      <c r="X17" s="28">
        <f>COUNTIFS(DataRegularSeason20242025!$E$2:$E$1315,W$1,DataRegularSeason20242025!$D$2:$D$1315,$A17,DataRegularSeason20242025!$N$2:$N$1315,1)</f>
        <v>0</v>
      </c>
      <c r="Y17" s="35"/>
      <c r="Z17" s="28">
        <f>COUNTIFS(DataRegularSeason20242025!$E$2:$E$1315,Y$1,DataRegularSeason20242025!$D$2:$D$1315,$A17,DataRegularSeason20242025!$N$2:$N$1315,1)</f>
        <v>0</v>
      </c>
      <c r="AA17" s="35"/>
      <c r="AB17" s="28">
        <f>COUNTIFS(DataRegularSeason20242025!$E$2:$E$1315,AA$1,DataRegularSeason20242025!$D$2:$D$1315,$A17,DataRegularSeason20242025!$N$2:$N$1315,1)</f>
        <v>0</v>
      </c>
      <c r="AC17" s="35"/>
      <c r="AD17" s="28">
        <f>COUNTIFS(DataRegularSeason20242025!$E$2:$E$1315,AC$1,DataRegularSeason20242025!$D$2:$D$1315,$A17,DataRegularSeason20242025!$N$2:$N$1315,1)</f>
        <v>0</v>
      </c>
      <c r="AE17" s="35"/>
      <c r="AF17" s="28">
        <f>COUNTIFS(DataRegularSeason20242025!$E$2:$E$1315,AE$1,DataRegularSeason20242025!$D$2:$D$1315,$A17,DataRegularSeason20242025!$N$2:$N$1315,1)</f>
        <v>0</v>
      </c>
      <c r="AG17" s="35"/>
      <c r="AH17" s="46">
        <f>COUNTIFS(DataRegularSeason20242025!$E$2:$E$1315,AG$1,DataRegularSeason20242025!$D$2:$D$1315,$A17,DataRegularSeason20242025!$N$2:$N$1315,1)</f>
        <v>0</v>
      </c>
      <c r="AI17" s="35"/>
      <c r="AJ17" s="28">
        <f>COUNTIFS(DataRegularSeason20242025!$E$2:$E$1315,AI$1,DataRegularSeason20242025!$D$2:$D$1315,$A17,DataRegularSeason20242025!$N$2:$N$1315,1)</f>
        <v>0</v>
      </c>
      <c r="AK17" s="35"/>
      <c r="AL17" s="28">
        <f>COUNTIFS(DataRegularSeason20242025!$E$2:$E$1315,AK$1,DataRegularSeason20242025!$D$2:$D$1315,$A17,DataRegularSeason20242025!$N$2:$N$1315,1)</f>
        <v>0</v>
      </c>
      <c r="AM17" s="35"/>
      <c r="AN17" s="28">
        <f>COUNTIFS(DataRegularSeason20242025!$E$2:$E$1315,AM$1,DataRegularSeason20242025!$D$2:$D$1315,$A17,DataRegularSeason20242025!$N$2:$N$1315,1)</f>
        <v>0</v>
      </c>
      <c r="AO17" s="35"/>
      <c r="AP17" s="28">
        <f>COUNTIFS(DataRegularSeason20242025!$E$2:$E$1315,AO$1,DataRegularSeason20242025!$D$2:$D$1315,$A17,DataRegularSeason20242025!$N$2:$N$1315,1)</f>
        <v>0</v>
      </c>
      <c r="AQ17" s="35"/>
      <c r="AR17" s="28">
        <f>COUNTIFS(DataRegularSeason20242025!$E$2:$E$1315,AQ$1,DataRegularSeason20242025!$D$2:$D$1315,$A17,DataRegularSeason20242025!$N$2:$N$1315,1)</f>
        <v>0</v>
      </c>
      <c r="AS17" s="35"/>
      <c r="AT17" s="28">
        <f>COUNTIFS(DataRegularSeason20242025!$E$2:$E$1315,AS$1,DataRegularSeason20242025!$D$2:$D$1315,$A17,DataRegularSeason20242025!$N$2:$N$1315,1)</f>
        <v>0</v>
      </c>
      <c r="AU17" s="35"/>
      <c r="AV17" s="28">
        <f>COUNTIFS(DataRegularSeason20242025!$E$2:$E$1315,AU$1,DataRegularSeason20242025!$D$2:$D$1315,$A17,DataRegularSeason20242025!$N$2:$N$1315,1)</f>
        <v>0</v>
      </c>
      <c r="AW17" s="35"/>
      <c r="AX17" s="46">
        <f>COUNTIFS(DataRegularSeason20242025!$E$2:$E$1315,AW$1,DataRegularSeason20242025!$D$2:$D$1315,$A17,DataRegularSeason20242025!$N$2:$N$1315,1)</f>
        <v>0</v>
      </c>
      <c r="AY17" s="35"/>
      <c r="AZ17" s="28">
        <f>COUNTIFS(DataRegularSeason20242025!$E$2:$E$1315,AY$1,DataRegularSeason20242025!$D$2:$D$1315,$A17,DataRegularSeason20242025!$N$2:$N$1315,1)</f>
        <v>0</v>
      </c>
      <c r="BA17" s="35"/>
      <c r="BB17" s="28">
        <f>COUNTIFS(DataRegularSeason20242025!$E$2:$E$1315,BA$1,DataRegularSeason20242025!$D$2:$D$1315,$A17,DataRegularSeason20242025!$N$2:$N$1315,1)</f>
        <v>0</v>
      </c>
      <c r="BC17" s="35"/>
      <c r="BD17" s="28">
        <f>COUNTIFS(DataRegularSeason20242025!$E$2:$E$1315,BC$1,DataRegularSeason20242025!$D$2:$D$1315,$A17,DataRegularSeason20242025!$N$2:$N$1315,1)</f>
        <v>0</v>
      </c>
      <c r="BE17" s="35"/>
      <c r="BF17" s="28">
        <f>COUNTIFS(DataRegularSeason20242025!$E$2:$E$1315,BE$1,DataRegularSeason20242025!$D$2:$D$1315,$A17,DataRegularSeason20242025!$N$2:$N$1315,1)</f>
        <v>0</v>
      </c>
      <c r="BG17" s="35"/>
      <c r="BH17" s="28">
        <f>COUNTIFS(DataRegularSeason20242025!$E$2:$E$1315,BG$1,DataRegularSeason20242025!$D$2:$D$1315,$A17,DataRegularSeason20242025!$N$2:$N$1315,1)</f>
        <v>0</v>
      </c>
      <c r="BI17" s="35"/>
      <c r="BJ17" s="28">
        <f>COUNTIFS(DataRegularSeason20242025!$E$2:$E$1315,BI$1,DataRegularSeason20242025!$D$2:$D$1315,$A17,DataRegularSeason20242025!$N$2:$N$1315,1)</f>
        <v>0</v>
      </c>
      <c r="BK17" s="35"/>
      <c r="BL17" s="28">
        <f>COUNTIFS(DataRegularSeason20242025!$E$2:$E$1315,BK$1,DataRegularSeason20242025!$D$2:$D$1315,$A17,DataRegularSeason20242025!$N$2:$N$1315,1)</f>
        <v>0</v>
      </c>
      <c r="BM17" s="35"/>
      <c r="BN17" s="28">
        <f>COUNTIFS(DataRegularSeason20242025!$E$2:$E$1315,BM$1,DataRegularSeason20242025!$D$2:$D$1315,$A17,DataRegularSeason20242025!$N$2:$N$1315,1)</f>
        <v>0</v>
      </c>
      <c r="BO17" s="30">
        <f t="shared" si="0"/>
        <v>3</v>
      </c>
      <c r="BP17" s="165">
        <f t="shared" ref="BP17" si="13">BO17+BO18</f>
        <v>7</v>
      </c>
      <c r="BQ17" s="166">
        <f t="shared" ref="BQ17" si="14">82-BP17</f>
        <v>75</v>
      </c>
    </row>
    <row r="18" spans="1:69" ht="12" customHeight="1" thickBot="1" x14ac:dyDescent="0.3">
      <c r="A18" s="166"/>
      <c r="B18" s="28" t="s">
        <v>73</v>
      </c>
      <c r="C18" s="49">
        <f>COUNTIFS(DataRegularSeason20242025!$D$2:$D$1315,C$1,DataRegularSeason20242025!$E$2:$E$1315,$A17,DataRegularSeason20242025!$N$2:$N$1315,1)</f>
        <v>0</v>
      </c>
      <c r="D18" s="50"/>
      <c r="E18" s="51">
        <f>COUNTIFS(DataRegularSeason20242025!$D$2:$D$1315,E$1,DataRegularSeason20242025!$E$2:$E$1315,$A17,DataRegularSeason20242025!$N$2:$N$1315,1)</f>
        <v>1</v>
      </c>
      <c r="F18" s="50"/>
      <c r="G18" s="51">
        <f>COUNTIFS(DataRegularSeason20242025!$D$2:$D$1315,G$1,DataRegularSeason20242025!$E$2:$E$1315,$A17,DataRegularSeason20242025!$N$2:$N$1315,1)</f>
        <v>0</v>
      </c>
      <c r="H18" s="50"/>
      <c r="I18" s="51">
        <f>COUNTIFS(DataRegularSeason20242025!$D$2:$D$1315,I$1,DataRegularSeason20242025!$E$2:$E$1315,$A17,DataRegularSeason20242025!$N$2:$N$1315,1)</f>
        <v>1</v>
      </c>
      <c r="J18" s="50"/>
      <c r="K18" s="51">
        <f>COUNTIFS(DataRegularSeason20242025!$D$2:$D$1315,K$1,DataRegularSeason20242025!$E$2:$E$1315,$A17,DataRegularSeason20242025!$N$2:$N$1315,1)</f>
        <v>0</v>
      </c>
      <c r="L18" s="50"/>
      <c r="M18" s="51">
        <f>COUNTIFS(DataRegularSeason20242025!$D$2:$D$1315,M$1,DataRegularSeason20242025!$E$2:$E$1315,$A17,DataRegularSeason20242025!$N$2:$N$1315,1)</f>
        <v>0</v>
      </c>
      <c r="N18" s="50"/>
      <c r="O18" s="51">
        <f>COUNTIFS(DataRegularSeason20242025!$D$2:$D$1315,O$1,DataRegularSeason20242025!$E$2:$E$1315,$A17,DataRegularSeason20242025!$N$2:$N$1315,1)</f>
        <v>0</v>
      </c>
      <c r="P18" s="50"/>
      <c r="Q18" s="51"/>
      <c r="R18" s="52"/>
      <c r="S18" s="51">
        <f>COUNTIFS(DataRegularSeason20242025!$D$2:$D$1315,S$1,DataRegularSeason20242025!$E$2:$E$1315,$A17,DataRegularSeason20242025!$N$2:$N$1315,1)</f>
        <v>0</v>
      </c>
      <c r="T18" s="50"/>
      <c r="U18" s="51">
        <f>COUNTIFS(DataRegularSeason20242025!$D$2:$D$1315,U$1,DataRegularSeason20242025!$E$2:$E$1315,$A17,DataRegularSeason20242025!$N$2:$N$1315,1)</f>
        <v>0</v>
      </c>
      <c r="V18" s="50"/>
      <c r="W18" s="51">
        <f>COUNTIFS(DataRegularSeason20242025!$D$2:$D$1315,W$1,DataRegularSeason20242025!$E$2:$E$1315,$A17,DataRegularSeason20242025!$N$2:$N$1315,1)</f>
        <v>0</v>
      </c>
      <c r="X18" s="50"/>
      <c r="Y18" s="51">
        <f>COUNTIFS(DataRegularSeason20242025!$D$2:$D$1315,Y$1,DataRegularSeason20242025!$E$2:$E$1315,$A17,DataRegularSeason20242025!$N$2:$N$1315,1)</f>
        <v>0</v>
      </c>
      <c r="Z18" s="50"/>
      <c r="AA18" s="51">
        <f>COUNTIFS(DataRegularSeason20242025!$D$2:$D$1315,AA$1,DataRegularSeason20242025!$E$2:$E$1315,$A17,DataRegularSeason20242025!$N$2:$N$1315,1)</f>
        <v>0</v>
      </c>
      <c r="AB18" s="50"/>
      <c r="AC18" s="51">
        <f>COUNTIFS(DataRegularSeason20242025!$D$2:$D$1315,AC$1,DataRegularSeason20242025!$E$2:$E$1315,$A17,DataRegularSeason20242025!$N$2:$N$1315,1)</f>
        <v>0</v>
      </c>
      <c r="AD18" s="50"/>
      <c r="AE18" s="51">
        <f>COUNTIFS(DataRegularSeason20242025!$D$2:$D$1315,AE$1,DataRegularSeason20242025!$E$2:$E$1315,$A17,DataRegularSeason20242025!$N$2:$N$1315,1)</f>
        <v>0</v>
      </c>
      <c r="AF18" s="50"/>
      <c r="AG18" s="51">
        <f>COUNTIFS(DataRegularSeason20242025!$D$2:$D$1315,AG$1,DataRegularSeason20242025!$E$2:$E$1315,$A17,DataRegularSeason20242025!$N$2:$N$1315,1)</f>
        <v>0</v>
      </c>
      <c r="AH18" s="52"/>
      <c r="AI18" s="51">
        <f>COUNTIFS(DataRegularSeason20242025!$D$2:$D$1315,AI$1,DataRegularSeason20242025!$E$2:$E$1315,$A17,DataRegularSeason20242025!$N$2:$N$1315,1)</f>
        <v>1</v>
      </c>
      <c r="AJ18" s="50"/>
      <c r="AK18" s="51">
        <f>COUNTIFS(DataRegularSeason20242025!$D$2:$D$1315,AK$1,DataRegularSeason20242025!$E$2:$E$1315,$A17,DataRegularSeason20242025!$N$2:$N$1315,1)</f>
        <v>0</v>
      </c>
      <c r="AL18" s="50"/>
      <c r="AM18" s="51">
        <f>COUNTIFS(DataRegularSeason20242025!$D$2:$D$1315,AM$1,DataRegularSeason20242025!$E$2:$E$1315,$A17,DataRegularSeason20242025!$N$2:$N$1315,1)</f>
        <v>0</v>
      </c>
      <c r="AN18" s="50"/>
      <c r="AO18" s="51">
        <f>COUNTIFS(DataRegularSeason20242025!$D$2:$D$1315,AO$1,DataRegularSeason20242025!$E$2:$E$1315,$A17,DataRegularSeason20242025!$N$2:$N$1315,1)</f>
        <v>0</v>
      </c>
      <c r="AP18" s="50"/>
      <c r="AQ18" s="51">
        <f>COUNTIFS(DataRegularSeason20242025!$D$2:$D$1315,AQ$1,DataRegularSeason20242025!$E$2:$E$1315,$A17,DataRegularSeason20242025!$N$2:$N$1315,1)</f>
        <v>0</v>
      </c>
      <c r="AR18" s="50"/>
      <c r="AS18" s="51">
        <f>COUNTIFS(DataRegularSeason20242025!$D$2:$D$1315,AS$1,DataRegularSeason20242025!$E$2:$E$1315,$A17,DataRegularSeason20242025!$N$2:$N$1315,1)</f>
        <v>0</v>
      </c>
      <c r="AT18" s="50"/>
      <c r="AU18" s="51">
        <f>COUNTIFS(DataRegularSeason20242025!$D$2:$D$1315,AU$1,DataRegularSeason20242025!$E$2:$E$1315,$A17,DataRegularSeason20242025!$N$2:$N$1315,1)</f>
        <v>0</v>
      </c>
      <c r="AV18" s="50"/>
      <c r="AW18" s="51">
        <f>COUNTIFS(DataRegularSeason20242025!$D$2:$D$1315,AW$1,DataRegularSeason20242025!$E$2:$E$1315,$A17,DataRegularSeason20242025!$N$2:$N$1315,1)</f>
        <v>0</v>
      </c>
      <c r="AX18" s="52"/>
      <c r="AY18" s="51">
        <f>COUNTIFS(DataRegularSeason20242025!$D$2:$D$1315,AY$1,DataRegularSeason20242025!$E$2:$E$1315,$A17,DataRegularSeason20242025!$N$2:$N$1315,1)</f>
        <v>1</v>
      </c>
      <c r="AZ18" s="50"/>
      <c r="BA18" s="51">
        <f>COUNTIFS(DataRegularSeason20242025!$D$2:$D$1315,BA$1,DataRegularSeason20242025!$E$2:$E$1315,$A17,DataRegularSeason20242025!$N$2:$N$1315,1)</f>
        <v>0</v>
      </c>
      <c r="BB18" s="50"/>
      <c r="BC18" s="51">
        <f>COUNTIFS(DataRegularSeason20242025!$D$2:$D$1315,BC$1,DataRegularSeason20242025!$E$2:$E$1315,$A17,DataRegularSeason20242025!$N$2:$N$1315,1)</f>
        <v>0</v>
      </c>
      <c r="BD18" s="50"/>
      <c r="BE18" s="51">
        <f>COUNTIFS(DataRegularSeason20242025!$D$2:$D$1315,BE$1,DataRegularSeason20242025!$E$2:$E$1315,$A17,DataRegularSeason20242025!$N$2:$N$1315,1)</f>
        <v>0</v>
      </c>
      <c r="BF18" s="50"/>
      <c r="BG18" s="51">
        <f>COUNTIFS(DataRegularSeason20242025!$D$2:$D$1315,BG$1,DataRegularSeason20242025!$E$2:$E$1315,$A17,DataRegularSeason20242025!$N$2:$N$1315,1)</f>
        <v>0</v>
      </c>
      <c r="BH18" s="50"/>
      <c r="BI18" s="51">
        <f>COUNTIFS(DataRegularSeason20242025!$D$2:$D$1315,BI$1,DataRegularSeason20242025!$E$2:$E$1315,$A17,DataRegularSeason20242025!$N$2:$N$1315,1)</f>
        <v>0</v>
      </c>
      <c r="BJ18" s="50"/>
      <c r="BK18" s="51">
        <f>COUNTIFS(DataRegularSeason20242025!$D$2:$D$1315,BK$1,DataRegularSeason20242025!$E$2:$E$1315,$A17,DataRegularSeason20242025!$N$2:$N$1315,1)</f>
        <v>0</v>
      </c>
      <c r="BL18" s="50"/>
      <c r="BM18" s="51">
        <f>COUNTIFS(DataRegularSeason20242025!$D$2:$D$1315,BM$1,DataRegularSeason20242025!$E$2:$E$1315,$A17,DataRegularSeason20242025!$N$2:$N$1315,1)</f>
        <v>0</v>
      </c>
      <c r="BN18" s="50"/>
      <c r="BO18" s="63">
        <f t="shared" si="0"/>
        <v>4</v>
      </c>
      <c r="BP18" s="165"/>
      <c r="BQ18" s="166"/>
    </row>
    <row r="19" spans="1:69" ht="12" customHeight="1" thickTop="1" x14ac:dyDescent="0.25">
      <c r="A19" s="175" t="s">
        <v>16</v>
      </c>
      <c r="B19" s="56" t="s">
        <v>74</v>
      </c>
      <c r="C19" s="35"/>
      <c r="D19" s="28">
        <f>COUNTIFS(DataRegularSeason20242025!$E$2:$E$1315,C$1,DataRegularSeason20242025!$D$2:$D$1315,$A19,DataRegularSeason20242025!$N$2:$N$1315,1)</f>
        <v>0</v>
      </c>
      <c r="E19" s="35"/>
      <c r="F19" s="28">
        <f>COUNTIFS(DataRegularSeason20242025!$E$2:$E$1315,E$1,DataRegularSeason20242025!$D$2:$D$1315,$A19,DataRegularSeason20242025!$N$2:$N$1315,1)</f>
        <v>0</v>
      </c>
      <c r="G19" s="35"/>
      <c r="H19" s="28">
        <f>COUNTIFS(DataRegularSeason20242025!$E$2:$E$1315,G$1,DataRegularSeason20242025!$D$2:$D$1315,$A19,DataRegularSeason20242025!$N$2:$N$1315,1)</f>
        <v>0</v>
      </c>
      <c r="I19" s="35"/>
      <c r="J19" s="28">
        <f>COUNTIFS(DataRegularSeason20242025!$E$2:$E$1315,I$1,DataRegularSeason20242025!$D$2:$D$1315,$A19,DataRegularSeason20242025!$N$2:$N$1315,1)</f>
        <v>0</v>
      </c>
      <c r="K19" s="35"/>
      <c r="L19" s="28">
        <f>COUNTIFS(DataRegularSeason20242025!$E$2:$E$1315,K$1,DataRegularSeason20242025!$D$2:$D$1315,$A19,DataRegularSeason20242025!$N$2:$N$1315,1)</f>
        <v>0</v>
      </c>
      <c r="M19" s="35"/>
      <c r="N19" s="28">
        <f>COUNTIFS(DataRegularSeason20242025!$E$2:$E$1315,M$1,DataRegularSeason20242025!$D$2:$D$1315,$A19,DataRegularSeason20242025!$N$2:$N$1315,1)</f>
        <v>0</v>
      </c>
      <c r="O19" s="35"/>
      <c r="P19" s="28">
        <f>COUNTIFS(DataRegularSeason20242025!$E$2:$E$1315,O$1,DataRegularSeason20242025!$D$2:$D$1315,$A19,DataRegularSeason20242025!$N$2:$N$1315,1)</f>
        <v>0</v>
      </c>
      <c r="Q19" s="35"/>
      <c r="R19" s="54">
        <f>COUNTIFS(DataRegularSeason20242025!$E$2:$E$1315,Q$1,DataRegularSeason20242025!$D$2:$D$1315,$A19,DataRegularSeason20242025!$N$2:$N$1315,1)</f>
        <v>0</v>
      </c>
      <c r="S19" s="35"/>
      <c r="T19" s="36"/>
      <c r="U19" s="35"/>
      <c r="V19" s="28">
        <f>COUNTIFS(DataRegularSeason20242025!$E$2:$E$1315,U$1,DataRegularSeason20242025!$D$2:$D$1315,$A19,DataRegularSeason20242025!$N$2:$N$1315,1)</f>
        <v>0</v>
      </c>
      <c r="W19" s="35"/>
      <c r="X19" s="28">
        <f>COUNTIFS(DataRegularSeason20242025!$E$2:$E$1315,W$1,DataRegularSeason20242025!$D$2:$D$1315,$A19,DataRegularSeason20242025!$N$2:$N$1315,1)</f>
        <v>0</v>
      </c>
      <c r="Y19" s="35"/>
      <c r="Z19" s="28">
        <f>COUNTIFS(DataRegularSeason20242025!$E$2:$E$1315,Y$1,DataRegularSeason20242025!$D$2:$D$1315,$A19,DataRegularSeason20242025!$N$2:$N$1315,1)</f>
        <v>0</v>
      </c>
      <c r="AA19" s="35"/>
      <c r="AB19" s="28">
        <f>COUNTIFS(DataRegularSeason20242025!$E$2:$E$1315,AA$1,DataRegularSeason20242025!$D$2:$D$1315,$A19,DataRegularSeason20242025!$N$2:$N$1315,1)</f>
        <v>0</v>
      </c>
      <c r="AC19" s="35"/>
      <c r="AD19" s="28">
        <f>COUNTIFS(DataRegularSeason20242025!$E$2:$E$1315,AC$1,DataRegularSeason20242025!$D$2:$D$1315,$A19,DataRegularSeason20242025!$N$2:$N$1315,1)</f>
        <v>1</v>
      </c>
      <c r="AE19" s="35"/>
      <c r="AF19" s="28">
        <f>COUNTIFS(DataRegularSeason20242025!$E$2:$E$1315,AE$1,DataRegularSeason20242025!$D$2:$D$1315,$A19,DataRegularSeason20242025!$N$2:$N$1315,1)</f>
        <v>0</v>
      </c>
      <c r="AG19" s="35"/>
      <c r="AH19" s="46">
        <f>COUNTIFS(DataRegularSeason20242025!$E$2:$E$1315,AG$1,DataRegularSeason20242025!$D$2:$D$1315,$A19,DataRegularSeason20242025!$N$2:$N$1315,1)</f>
        <v>0</v>
      </c>
      <c r="AI19" s="35"/>
      <c r="AJ19" s="28">
        <f>COUNTIFS(DataRegularSeason20242025!$E$2:$E$1315,AI$1,DataRegularSeason20242025!$D$2:$D$1315,$A19,DataRegularSeason20242025!$N$2:$N$1315,1)</f>
        <v>0</v>
      </c>
      <c r="AK19" s="35"/>
      <c r="AL19" s="28">
        <f>COUNTIFS(DataRegularSeason20242025!$E$2:$E$1315,AK$1,DataRegularSeason20242025!$D$2:$D$1315,$A19,DataRegularSeason20242025!$N$2:$N$1315,1)</f>
        <v>0</v>
      </c>
      <c r="AM19" s="35"/>
      <c r="AN19" s="28">
        <f>COUNTIFS(DataRegularSeason20242025!$E$2:$E$1315,AM$1,DataRegularSeason20242025!$D$2:$D$1315,$A19,DataRegularSeason20242025!$N$2:$N$1315,1)</f>
        <v>0</v>
      </c>
      <c r="AO19" s="35"/>
      <c r="AP19" s="28">
        <f>COUNTIFS(DataRegularSeason20242025!$E$2:$E$1315,AO$1,DataRegularSeason20242025!$D$2:$D$1315,$A19,DataRegularSeason20242025!$N$2:$N$1315,1)</f>
        <v>0</v>
      </c>
      <c r="AQ19" s="35"/>
      <c r="AR19" s="28">
        <f>COUNTIFS(DataRegularSeason20242025!$E$2:$E$1315,AQ$1,DataRegularSeason20242025!$D$2:$D$1315,$A19,DataRegularSeason20242025!$N$2:$N$1315,1)</f>
        <v>0</v>
      </c>
      <c r="AS19" s="35"/>
      <c r="AT19" s="28">
        <f>COUNTIFS(DataRegularSeason20242025!$E$2:$E$1315,AS$1,DataRegularSeason20242025!$D$2:$D$1315,$A19,DataRegularSeason20242025!$N$2:$N$1315,1)</f>
        <v>0</v>
      </c>
      <c r="AU19" s="35"/>
      <c r="AV19" s="28">
        <f>COUNTIFS(DataRegularSeason20242025!$E$2:$E$1315,AU$1,DataRegularSeason20242025!$D$2:$D$1315,$A19,DataRegularSeason20242025!$N$2:$N$1315,1)</f>
        <v>0</v>
      </c>
      <c r="AW19" s="35"/>
      <c r="AX19" s="46">
        <f>COUNTIFS(DataRegularSeason20242025!$E$2:$E$1315,AW$1,DataRegularSeason20242025!$D$2:$D$1315,$A19,DataRegularSeason20242025!$N$2:$N$1315,1)</f>
        <v>0</v>
      </c>
      <c r="AY19" s="35"/>
      <c r="AZ19" s="28">
        <f>COUNTIFS(DataRegularSeason20242025!$E$2:$E$1315,AY$1,DataRegularSeason20242025!$D$2:$D$1315,$A19,DataRegularSeason20242025!$N$2:$N$1315,1)</f>
        <v>1</v>
      </c>
      <c r="BA19" s="35"/>
      <c r="BB19" s="28">
        <f>COUNTIFS(DataRegularSeason20242025!$E$2:$E$1315,BA$1,DataRegularSeason20242025!$D$2:$D$1315,$A19,DataRegularSeason20242025!$N$2:$N$1315,1)</f>
        <v>0</v>
      </c>
      <c r="BC19" s="35"/>
      <c r="BD19" s="28">
        <f>COUNTIFS(DataRegularSeason20242025!$E$2:$E$1315,BC$1,DataRegularSeason20242025!$D$2:$D$1315,$A19,DataRegularSeason20242025!$N$2:$N$1315,1)</f>
        <v>0</v>
      </c>
      <c r="BE19" s="35"/>
      <c r="BF19" s="28">
        <f>COUNTIFS(DataRegularSeason20242025!$E$2:$E$1315,BE$1,DataRegularSeason20242025!$D$2:$D$1315,$A19,DataRegularSeason20242025!$N$2:$N$1315,1)</f>
        <v>1</v>
      </c>
      <c r="BG19" s="35"/>
      <c r="BH19" s="28">
        <f>COUNTIFS(DataRegularSeason20242025!$E$2:$E$1315,BG$1,DataRegularSeason20242025!$D$2:$D$1315,$A19,DataRegularSeason20242025!$N$2:$N$1315,1)</f>
        <v>0</v>
      </c>
      <c r="BI19" s="35"/>
      <c r="BJ19" s="28">
        <f>COUNTIFS(DataRegularSeason20242025!$E$2:$E$1315,BI$1,DataRegularSeason20242025!$D$2:$D$1315,$A19,DataRegularSeason20242025!$N$2:$N$1315,1)</f>
        <v>0</v>
      </c>
      <c r="BK19" s="35"/>
      <c r="BL19" s="28">
        <f>COUNTIFS(DataRegularSeason20242025!$E$2:$E$1315,BK$1,DataRegularSeason20242025!$D$2:$D$1315,$A19,DataRegularSeason20242025!$N$2:$N$1315,1)</f>
        <v>0</v>
      </c>
      <c r="BM19" s="35"/>
      <c r="BN19" s="28">
        <f>COUNTIFS(DataRegularSeason20242025!$E$2:$E$1315,BM$1,DataRegularSeason20242025!$D$2:$D$1315,$A19,DataRegularSeason20242025!$N$2:$N$1315,1)</f>
        <v>0</v>
      </c>
      <c r="BO19" s="30">
        <f t="shared" si="0"/>
        <v>3</v>
      </c>
      <c r="BP19" s="165">
        <f t="shared" ref="BP19" si="15">BO19+BO20</f>
        <v>7</v>
      </c>
      <c r="BQ19" s="166">
        <f t="shared" ref="BQ19" si="16">82-BP19</f>
        <v>75</v>
      </c>
    </row>
    <row r="20" spans="1:69" ht="12" customHeight="1" x14ac:dyDescent="0.25">
      <c r="A20" s="167"/>
      <c r="B20" s="32" t="s">
        <v>73</v>
      </c>
      <c r="C20" s="38">
        <f>COUNTIFS(DataRegularSeason20242025!$D$2:$D$1315,C$1,DataRegularSeason20242025!$E$2:$E$1315,$A19,DataRegularSeason20242025!$N$2:$N$1315,1)</f>
        <v>1</v>
      </c>
      <c r="D20" s="39"/>
      <c r="E20" s="38">
        <f>COUNTIFS(DataRegularSeason20242025!$D$2:$D$1315,E$1,DataRegularSeason20242025!$E$2:$E$1315,$A19,DataRegularSeason20242025!$N$2:$N$1315,1)</f>
        <v>0</v>
      </c>
      <c r="F20" s="39"/>
      <c r="G20" s="38">
        <f>COUNTIFS(DataRegularSeason20242025!$D$2:$D$1315,G$1,DataRegularSeason20242025!$E$2:$E$1315,$A19,DataRegularSeason20242025!$N$2:$N$1315,1)</f>
        <v>0</v>
      </c>
      <c r="H20" s="39"/>
      <c r="I20" s="38">
        <f>COUNTIFS(DataRegularSeason20242025!$D$2:$D$1315,I$1,DataRegularSeason20242025!$E$2:$E$1315,$A19,DataRegularSeason20242025!$N$2:$N$1315,1)</f>
        <v>0</v>
      </c>
      <c r="J20" s="39"/>
      <c r="K20" s="38">
        <f>COUNTIFS(DataRegularSeason20242025!$D$2:$D$1315,K$1,DataRegularSeason20242025!$E$2:$E$1315,$A19,DataRegularSeason20242025!$N$2:$N$1315,1)</f>
        <v>0</v>
      </c>
      <c r="L20" s="39"/>
      <c r="M20" s="38">
        <f>COUNTIFS(DataRegularSeason20242025!$D$2:$D$1315,M$1,DataRegularSeason20242025!$E$2:$E$1315,$A19,DataRegularSeason20242025!$N$2:$N$1315,1)</f>
        <v>0</v>
      </c>
      <c r="N20" s="39"/>
      <c r="O20" s="38">
        <f>COUNTIFS(DataRegularSeason20242025!$D$2:$D$1315,O$1,DataRegularSeason20242025!$E$2:$E$1315,$A19,DataRegularSeason20242025!$N$2:$N$1315,1)</f>
        <v>1</v>
      </c>
      <c r="P20" s="39"/>
      <c r="Q20" s="38">
        <f>COUNTIFS(DataRegularSeason20242025!$D$2:$D$1315,Q$1,DataRegularSeason20242025!$E$2:$E$1315,$A19,DataRegularSeason20242025!$N$2:$N$1315,1)</f>
        <v>0</v>
      </c>
      <c r="R20" s="47"/>
      <c r="S20" s="38"/>
      <c r="T20" s="39"/>
      <c r="U20" s="38">
        <f>COUNTIFS(DataRegularSeason20242025!$D$2:$D$1315,U$1,DataRegularSeason20242025!$E$2:$E$1315,$A19,DataRegularSeason20242025!$N$2:$N$1315,1)</f>
        <v>0</v>
      </c>
      <c r="V20" s="39"/>
      <c r="W20" s="38">
        <f>COUNTIFS(DataRegularSeason20242025!$D$2:$D$1315,W$1,DataRegularSeason20242025!$E$2:$E$1315,$A19,DataRegularSeason20242025!$N$2:$N$1315,1)</f>
        <v>0</v>
      </c>
      <c r="X20" s="39"/>
      <c r="Y20" s="38">
        <f>COUNTIFS(DataRegularSeason20242025!$D$2:$D$1315,Y$1,DataRegularSeason20242025!$E$2:$E$1315,$A19,DataRegularSeason20242025!$N$2:$N$1315,1)</f>
        <v>0</v>
      </c>
      <c r="Z20" s="39"/>
      <c r="AA20" s="38">
        <f>COUNTIFS(DataRegularSeason20242025!$D$2:$D$1315,AA$1,DataRegularSeason20242025!$E$2:$E$1315,$A19,DataRegularSeason20242025!$N$2:$N$1315,1)</f>
        <v>0</v>
      </c>
      <c r="AB20" s="39"/>
      <c r="AC20" s="38">
        <f>COUNTIFS(DataRegularSeason20242025!$D$2:$D$1315,AC$1,DataRegularSeason20242025!$E$2:$E$1315,$A19,DataRegularSeason20242025!$N$2:$N$1315,1)</f>
        <v>0</v>
      </c>
      <c r="AD20" s="39"/>
      <c r="AE20" s="38">
        <f>COUNTIFS(DataRegularSeason20242025!$D$2:$D$1315,AE$1,DataRegularSeason20242025!$E$2:$E$1315,$A19,DataRegularSeason20242025!$N$2:$N$1315,1)</f>
        <v>1</v>
      </c>
      <c r="AF20" s="39"/>
      <c r="AG20" s="38">
        <f>COUNTIFS(DataRegularSeason20242025!$D$2:$D$1315,AG$1,DataRegularSeason20242025!$E$2:$E$1315,$A19,DataRegularSeason20242025!$N$2:$N$1315,1)</f>
        <v>0</v>
      </c>
      <c r="AH20" s="47"/>
      <c r="AI20" s="38">
        <f>COUNTIFS(DataRegularSeason20242025!$D$2:$D$1315,AI$1,DataRegularSeason20242025!$E$2:$E$1315,$A19,DataRegularSeason20242025!$N$2:$N$1315,1)</f>
        <v>0</v>
      </c>
      <c r="AJ20" s="39"/>
      <c r="AK20" s="38">
        <f>COUNTIFS(DataRegularSeason20242025!$D$2:$D$1315,AK$1,DataRegularSeason20242025!$E$2:$E$1315,$A19,DataRegularSeason20242025!$N$2:$N$1315,1)</f>
        <v>0</v>
      </c>
      <c r="AL20" s="39"/>
      <c r="AM20" s="38">
        <f>COUNTIFS(DataRegularSeason20242025!$D$2:$D$1315,AM$1,DataRegularSeason20242025!$E$2:$E$1315,$A19,DataRegularSeason20242025!$N$2:$N$1315,1)</f>
        <v>0</v>
      </c>
      <c r="AN20" s="39"/>
      <c r="AO20" s="38">
        <f>COUNTIFS(DataRegularSeason20242025!$D$2:$D$1315,AO$1,DataRegularSeason20242025!$E$2:$E$1315,$A19,DataRegularSeason20242025!$N$2:$N$1315,1)</f>
        <v>0</v>
      </c>
      <c r="AP20" s="39"/>
      <c r="AQ20" s="38">
        <f>COUNTIFS(DataRegularSeason20242025!$D$2:$D$1315,AQ$1,DataRegularSeason20242025!$E$2:$E$1315,$A19,DataRegularSeason20242025!$N$2:$N$1315,1)</f>
        <v>0</v>
      </c>
      <c r="AR20" s="39"/>
      <c r="AS20" s="38">
        <f>COUNTIFS(DataRegularSeason20242025!$D$2:$D$1315,AS$1,DataRegularSeason20242025!$E$2:$E$1315,$A19,DataRegularSeason20242025!$N$2:$N$1315,1)</f>
        <v>0</v>
      </c>
      <c r="AT20" s="39"/>
      <c r="AU20" s="38">
        <f>COUNTIFS(DataRegularSeason20242025!$D$2:$D$1315,AU$1,DataRegularSeason20242025!$E$2:$E$1315,$A19,DataRegularSeason20242025!$N$2:$N$1315,1)</f>
        <v>0</v>
      </c>
      <c r="AV20" s="39"/>
      <c r="AW20" s="38">
        <f>COUNTIFS(DataRegularSeason20242025!$D$2:$D$1315,AW$1,DataRegularSeason20242025!$E$2:$E$1315,$A19,DataRegularSeason20242025!$N$2:$N$1315,1)</f>
        <v>0</v>
      </c>
      <c r="AX20" s="47"/>
      <c r="AY20" s="38">
        <f>COUNTIFS(DataRegularSeason20242025!$D$2:$D$1315,AY$1,DataRegularSeason20242025!$E$2:$E$1315,$A19,DataRegularSeason20242025!$N$2:$N$1315,1)</f>
        <v>0</v>
      </c>
      <c r="AZ20" s="39"/>
      <c r="BA20" s="38">
        <f>COUNTIFS(DataRegularSeason20242025!$D$2:$D$1315,BA$1,DataRegularSeason20242025!$E$2:$E$1315,$A19,DataRegularSeason20242025!$N$2:$N$1315,1)</f>
        <v>0</v>
      </c>
      <c r="BB20" s="39"/>
      <c r="BC20" s="38">
        <f>COUNTIFS(DataRegularSeason20242025!$D$2:$D$1315,BC$1,DataRegularSeason20242025!$E$2:$E$1315,$A19,DataRegularSeason20242025!$N$2:$N$1315,1)</f>
        <v>0</v>
      </c>
      <c r="BD20" s="39"/>
      <c r="BE20" s="38">
        <f>COUNTIFS(DataRegularSeason20242025!$D$2:$D$1315,BE$1,DataRegularSeason20242025!$E$2:$E$1315,$A19,DataRegularSeason20242025!$N$2:$N$1315,1)</f>
        <v>0</v>
      </c>
      <c r="BF20" s="39"/>
      <c r="BG20" s="38">
        <f>COUNTIFS(DataRegularSeason20242025!$D$2:$D$1315,BG$1,DataRegularSeason20242025!$E$2:$E$1315,$A19,DataRegularSeason20242025!$N$2:$N$1315,1)</f>
        <v>1</v>
      </c>
      <c r="BH20" s="39"/>
      <c r="BI20" s="38">
        <f>COUNTIFS(DataRegularSeason20242025!$D$2:$D$1315,BI$1,DataRegularSeason20242025!$E$2:$E$1315,$A19,DataRegularSeason20242025!$N$2:$N$1315,1)</f>
        <v>0</v>
      </c>
      <c r="BJ20" s="39"/>
      <c r="BK20" s="38">
        <f>COUNTIFS(DataRegularSeason20242025!$D$2:$D$1315,BK$1,DataRegularSeason20242025!$E$2:$E$1315,$A19,DataRegularSeason20242025!$N$2:$N$1315,1)</f>
        <v>0</v>
      </c>
      <c r="BL20" s="39"/>
      <c r="BM20" s="38">
        <f>COUNTIFS(DataRegularSeason20242025!$D$2:$D$1315,BM$1,DataRegularSeason20242025!$E$2:$E$1315,$A19,DataRegularSeason20242025!$N$2:$N$1315,1)</f>
        <v>0</v>
      </c>
      <c r="BN20" s="39"/>
      <c r="BO20" s="34">
        <f t="shared" si="0"/>
        <v>4</v>
      </c>
      <c r="BP20" s="165"/>
      <c r="BQ20" s="166"/>
    </row>
    <row r="21" spans="1:69" ht="12" customHeight="1" x14ac:dyDescent="0.25">
      <c r="A21" s="172" t="s">
        <v>25</v>
      </c>
      <c r="B21" s="28" t="s">
        <v>74</v>
      </c>
      <c r="C21" s="35"/>
      <c r="D21" s="28">
        <f>COUNTIFS(DataRegularSeason20242025!$E$2:$E$1315,C$1,DataRegularSeason20242025!$D$2:$D$1315,$A21,DataRegularSeason20242025!$N$2:$N$1315,1)</f>
        <v>0</v>
      </c>
      <c r="E21" s="35"/>
      <c r="F21" s="28">
        <f>COUNTIFS(DataRegularSeason20242025!$E$2:$E$1315,E$1,DataRegularSeason20242025!$D$2:$D$1315,$A21,DataRegularSeason20242025!$N$2:$N$1315,1)</f>
        <v>0</v>
      </c>
      <c r="G21" s="35"/>
      <c r="H21" s="28">
        <f>COUNTIFS(DataRegularSeason20242025!$E$2:$E$1315,G$1,DataRegularSeason20242025!$D$2:$D$1315,$A21,DataRegularSeason20242025!$N$2:$N$1315,1)</f>
        <v>0</v>
      </c>
      <c r="I21" s="35"/>
      <c r="J21" s="28">
        <f>COUNTIFS(DataRegularSeason20242025!$E$2:$E$1315,I$1,DataRegularSeason20242025!$D$2:$D$1315,$A21,DataRegularSeason20242025!$N$2:$N$1315,1)</f>
        <v>1</v>
      </c>
      <c r="K21" s="35"/>
      <c r="L21" s="28">
        <f>COUNTIFS(DataRegularSeason20242025!$E$2:$E$1315,K$1,DataRegularSeason20242025!$D$2:$D$1315,$A21,DataRegularSeason20242025!$N$2:$N$1315,1)</f>
        <v>0</v>
      </c>
      <c r="M21" s="35"/>
      <c r="N21" s="28">
        <f>COUNTIFS(DataRegularSeason20242025!$E$2:$E$1315,M$1,DataRegularSeason20242025!$D$2:$D$1315,$A21,DataRegularSeason20242025!$N$2:$N$1315,1)</f>
        <v>0</v>
      </c>
      <c r="O21" s="35"/>
      <c r="P21" s="28">
        <f>COUNTIFS(DataRegularSeason20242025!$E$2:$E$1315,O$1,DataRegularSeason20242025!$D$2:$D$1315,$A21,DataRegularSeason20242025!$N$2:$N$1315,1)</f>
        <v>0</v>
      </c>
      <c r="Q21" s="35"/>
      <c r="R21" s="46">
        <f>COUNTIFS(DataRegularSeason20242025!$E$2:$E$1315,Q$1,DataRegularSeason20242025!$D$2:$D$1315,$A21,DataRegularSeason20242025!$N$2:$N$1315,1)</f>
        <v>0</v>
      </c>
      <c r="S21" s="35"/>
      <c r="T21" s="28">
        <f>COUNTIFS(DataRegularSeason20242025!$E$2:$E$1315,S$1,DataRegularSeason20242025!$D$2:$D$1315,$A21,DataRegularSeason20242025!$N$2:$N$1315,1)</f>
        <v>0</v>
      </c>
      <c r="U21" s="35"/>
      <c r="V21" s="36"/>
      <c r="W21" s="35"/>
      <c r="X21" s="28">
        <f>COUNTIFS(DataRegularSeason20242025!$E$2:$E$1315,W$1,DataRegularSeason20242025!$D$2:$D$1315,$A21,DataRegularSeason20242025!$N$2:$N$1315,1)</f>
        <v>0</v>
      </c>
      <c r="Y21" s="35"/>
      <c r="Z21" s="28">
        <f>COUNTIFS(DataRegularSeason20242025!$E$2:$E$1315,Y$1,DataRegularSeason20242025!$D$2:$D$1315,$A21,DataRegularSeason20242025!$N$2:$N$1315,1)</f>
        <v>0</v>
      </c>
      <c r="AA21" s="35"/>
      <c r="AB21" s="28">
        <f>COUNTIFS(DataRegularSeason20242025!$E$2:$E$1315,AA$1,DataRegularSeason20242025!$D$2:$D$1315,$A21,DataRegularSeason20242025!$N$2:$N$1315,1)</f>
        <v>0</v>
      </c>
      <c r="AC21" s="35"/>
      <c r="AD21" s="28">
        <f>COUNTIFS(DataRegularSeason20242025!$E$2:$E$1315,AC$1,DataRegularSeason20242025!$D$2:$D$1315,$A21,DataRegularSeason20242025!$N$2:$N$1315,1)</f>
        <v>0</v>
      </c>
      <c r="AE21" s="35"/>
      <c r="AF21" s="28">
        <f>COUNTIFS(DataRegularSeason20242025!$E$2:$E$1315,AE$1,DataRegularSeason20242025!$D$2:$D$1315,$A21,DataRegularSeason20242025!$N$2:$N$1315,1)</f>
        <v>1</v>
      </c>
      <c r="AG21" s="35"/>
      <c r="AH21" s="46">
        <f>COUNTIFS(DataRegularSeason20242025!$E$2:$E$1315,AG$1,DataRegularSeason20242025!$D$2:$D$1315,$A21,DataRegularSeason20242025!$N$2:$N$1315,1)</f>
        <v>0</v>
      </c>
      <c r="AI21" s="35"/>
      <c r="AJ21" s="28">
        <f>COUNTIFS(DataRegularSeason20242025!$E$2:$E$1315,AI$1,DataRegularSeason20242025!$D$2:$D$1315,$A21,DataRegularSeason20242025!$N$2:$N$1315,1)</f>
        <v>0</v>
      </c>
      <c r="AK21" s="35"/>
      <c r="AL21" s="28">
        <f>COUNTIFS(DataRegularSeason20242025!$E$2:$E$1315,AK$1,DataRegularSeason20242025!$D$2:$D$1315,$A21,DataRegularSeason20242025!$N$2:$N$1315,1)</f>
        <v>1</v>
      </c>
      <c r="AM21" s="35"/>
      <c r="AN21" s="28">
        <f>COUNTIFS(DataRegularSeason20242025!$E$2:$E$1315,AM$1,DataRegularSeason20242025!$D$2:$D$1315,$A21,DataRegularSeason20242025!$N$2:$N$1315,1)</f>
        <v>0</v>
      </c>
      <c r="AO21" s="35"/>
      <c r="AP21" s="28">
        <f>COUNTIFS(DataRegularSeason20242025!$E$2:$E$1315,AO$1,DataRegularSeason20242025!$D$2:$D$1315,$A21,DataRegularSeason20242025!$N$2:$N$1315,1)</f>
        <v>0</v>
      </c>
      <c r="AQ21" s="35"/>
      <c r="AR21" s="28">
        <f>COUNTIFS(DataRegularSeason20242025!$E$2:$E$1315,AQ$1,DataRegularSeason20242025!$D$2:$D$1315,$A21,DataRegularSeason20242025!$N$2:$N$1315,1)</f>
        <v>0</v>
      </c>
      <c r="AS21" s="35"/>
      <c r="AT21" s="28">
        <f>COUNTIFS(DataRegularSeason20242025!$E$2:$E$1315,AS$1,DataRegularSeason20242025!$D$2:$D$1315,$A21,DataRegularSeason20242025!$N$2:$N$1315,1)</f>
        <v>0</v>
      </c>
      <c r="AU21" s="35"/>
      <c r="AV21" s="28">
        <f>COUNTIFS(DataRegularSeason20242025!$E$2:$E$1315,AU$1,DataRegularSeason20242025!$D$2:$D$1315,$A21,DataRegularSeason20242025!$N$2:$N$1315,1)</f>
        <v>0</v>
      </c>
      <c r="AW21" s="35"/>
      <c r="AX21" s="46">
        <f>COUNTIFS(DataRegularSeason20242025!$E$2:$E$1315,AW$1,DataRegularSeason20242025!$D$2:$D$1315,$A21,DataRegularSeason20242025!$N$2:$N$1315,1)</f>
        <v>0</v>
      </c>
      <c r="AY21" s="35"/>
      <c r="AZ21" s="28">
        <f>COUNTIFS(DataRegularSeason20242025!$E$2:$E$1315,AY$1,DataRegularSeason20242025!$D$2:$D$1315,$A21,DataRegularSeason20242025!$N$2:$N$1315,1)</f>
        <v>0</v>
      </c>
      <c r="BA21" s="35"/>
      <c r="BB21" s="28">
        <f>COUNTIFS(DataRegularSeason20242025!$E$2:$E$1315,BA$1,DataRegularSeason20242025!$D$2:$D$1315,$A21,DataRegularSeason20242025!$N$2:$N$1315,1)</f>
        <v>1</v>
      </c>
      <c r="BC21" s="35"/>
      <c r="BD21" s="28">
        <f>COUNTIFS(DataRegularSeason20242025!$E$2:$E$1315,BC$1,DataRegularSeason20242025!$D$2:$D$1315,$A21,DataRegularSeason20242025!$N$2:$N$1315,1)</f>
        <v>0</v>
      </c>
      <c r="BE21" s="35"/>
      <c r="BF21" s="28">
        <f>COUNTIFS(DataRegularSeason20242025!$E$2:$E$1315,BE$1,DataRegularSeason20242025!$D$2:$D$1315,$A21,DataRegularSeason20242025!$N$2:$N$1315,1)</f>
        <v>0</v>
      </c>
      <c r="BG21" s="35"/>
      <c r="BH21" s="28">
        <f>COUNTIFS(DataRegularSeason20242025!$E$2:$E$1315,BG$1,DataRegularSeason20242025!$D$2:$D$1315,$A21,DataRegularSeason20242025!$N$2:$N$1315,1)</f>
        <v>0</v>
      </c>
      <c r="BI21" s="35"/>
      <c r="BJ21" s="28">
        <f>COUNTIFS(DataRegularSeason20242025!$E$2:$E$1315,BI$1,DataRegularSeason20242025!$D$2:$D$1315,$A21,DataRegularSeason20242025!$N$2:$N$1315,1)</f>
        <v>0</v>
      </c>
      <c r="BK21" s="35"/>
      <c r="BL21" s="28">
        <f>COUNTIFS(DataRegularSeason20242025!$E$2:$E$1315,BK$1,DataRegularSeason20242025!$D$2:$D$1315,$A21,DataRegularSeason20242025!$N$2:$N$1315,1)</f>
        <v>0</v>
      </c>
      <c r="BM21" s="35"/>
      <c r="BN21" s="28">
        <f>COUNTIFS(DataRegularSeason20242025!$E$2:$E$1315,BM$1,DataRegularSeason20242025!$D$2:$D$1315,$A21,DataRegularSeason20242025!$N$2:$N$1315,1)</f>
        <v>0</v>
      </c>
      <c r="BO21" s="30">
        <f t="shared" si="0"/>
        <v>4</v>
      </c>
      <c r="BP21" s="165">
        <f t="shared" ref="BP21" si="17">BO21+BO22</f>
        <v>7</v>
      </c>
      <c r="BQ21" s="166">
        <f t="shared" ref="BQ21" si="18">82-BP21</f>
        <v>75</v>
      </c>
    </row>
    <row r="22" spans="1:69" ht="12" customHeight="1" x14ac:dyDescent="0.25">
      <c r="A22" s="167"/>
      <c r="B22" s="32" t="s">
        <v>73</v>
      </c>
      <c r="C22" s="38">
        <f>COUNTIFS(DataRegularSeason20242025!$D$2:$D$1315,C$1,DataRegularSeason20242025!$E$2:$E$1315,$A21,DataRegularSeason20242025!$N$2:$N$1315,1)</f>
        <v>0</v>
      </c>
      <c r="D22" s="39"/>
      <c r="E22" s="38">
        <f>COUNTIFS(DataRegularSeason20242025!$D$2:$D$1315,E$1,DataRegularSeason20242025!$E$2:$E$1315,$A21,DataRegularSeason20242025!$N$2:$N$1315,1)</f>
        <v>0</v>
      </c>
      <c r="F22" s="39"/>
      <c r="G22" s="38">
        <f>COUNTIFS(DataRegularSeason20242025!$D$2:$D$1315,G$1,DataRegularSeason20242025!$E$2:$E$1315,$A21,DataRegularSeason20242025!$N$2:$N$1315,1)</f>
        <v>0</v>
      </c>
      <c r="H22" s="39"/>
      <c r="I22" s="38">
        <f>COUNTIFS(DataRegularSeason20242025!$D$2:$D$1315,I$1,DataRegularSeason20242025!$E$2:$E$1315,$A21,DataRegularSeason20242025!$N$2:$N$1315,1)</f>
        <v>0</v>
      </c>
      <c r="J22" s="39"/>
      <c r="K22" s="38">
        <f>COUNTIFS(DataRegularSeason20242025!$D$2:$D$1315,K$1,DataRegularSeason20242025!$E$2:$E$1315,$A21,DataRegularSeason20242025!$N$2:$N$1315,1)</f>
        <v>0</v>
      </c>
      <c r="L22" s="39"/>
      <c r="M22" s="38">
        <f>COUNTIFS(DataRegularSeason20242025!$D$2:$D$1315,M$1,DataRegularSeason20242025!$E$2:$E$1315,$A21,DataRegularSeason20242025!$N$2:$N$1315,1)</f>
        <v>0</v>
      </c>
      <c r="N22" s="39"/>
      <c r="O22" s="38">
        <f>COUNTIFS(DataRegularSeason20242025!$D$2:$D$1315,O$1,DataRegularSeason20242025!$E$2:$E$1315,$A21,DataRegularSeason20242025!$N$2:$N$1315,1)</f>
        <v>0</v>
      </c>
      <c r="P22" s="39"/>
      <c r="Q22" s="38">
        <f>COUNTIFS(DataRegularSeason20242025!$D$2:$D$1315,Q$1,DataRegularSeason20242025!$E$2:$E$1315,$A21,DataRegularSeason20242025!$N$2:$N$1315,1)</f>
        <v>0</v>
      </c>
      <c r="R22" s="47"/>
      <c r="S22" s="38">
        <f>COUNTIFS(DataRegularSeason20242025!$D$2:$D$1315,S$1,DataRegularSeason20242025!$E$2:$E$1315,$A21,DataRegularSeason20242025!$N$2:$N$1315,1)</f>
        <v>0</v>
      </c>
      <c r="T22" s="39"/>
      <c r="U22" s="38"/>
      <c r="V22" s="39"/>
      <c r="W22" s="38">
        <f>COUNTIFS(DataRegularSeason20242025!$D$2:$D$1315,W$1,DataRegularSeason20242025!$E$2:$E$1315,$A21,DataRegularSeason20242025!$N$2:$N$1315,1)</f>
        <v>1</v>
      </c>
      <c r="X22" s="39"/>
      <c r="Y22" s="38">
        <f>COUNTIFS(DataRegularSeason20242025!$D$2:$D$1315,Y$1,DataRegularSeason20242025!$E$2:$E$1315,$A21,DataRegularSeason20242025!$N$2:$N$1315,1)</f>
        <v>0</v>
      </c>
      <c r="Z22" s="39"/>
      <c r="AA22" s="38">
        <f>COUNTIFS(DataRegularSeason20242025!$D$2:$D$1315,AA$1,DataRegularSeason20242025!$E$2:$E$1315,$A21,DataRegularSeason20242025!$N$2:$N$1315,1)</f>
        <v>0</v>
      </c>
      <c r="AB22" s="39"/>
      <c r="AC22" s="38">
        <f>COUNTIFS(DataRegularSeason20242025!$D$2:$D$1315,AC$1,DataRegularSeason20242025!$E$2:$E$1315,$A21,DataRegularSeason20242025!$N$2:$N$1315,1)</f>
        <v>0</v>
      </c>
      <c r="AD22" s="39"/>
      <c r="AE22" s="38">
        <f>COUNTIFS(DataRegularSeason20242025!$D$2:$D$1315,AE$1,DataRegularSeason20242025!$E$2:$E$1315,$A21,DataRegularSeason20242025!$N$2:$N$1315,1)</f>
        <v>1</v>
      </c>
      <c r="AF22" s="39"/>
      <c r="AG22" s="38">
        <f>COUNTIFS(DataRegularSeason20242025!$D$2:$D$1315,AG$1,DataRegularSeason20242025!$E$2:$E$1315,$A21,DataRegularSeason20242025!$N$2:$N$1315,1)</f>
        <v>0</v>
      </c>
      <c r="AH22" s="47"/>
      <c r="AI22" s="38">
        <f>COUNTIFS(DataRegularSeason20242025!$D$2:$D$1315,AI$1,DataRegularSeason20242025!$E$2:$E$1315,$A21,DataRegularSeason20242025!$N$2:$N$1315,1)</f>
        <v>0</v>
      </c>
      <c r="AJ22" s="39"/>
      <c r="AK22" s="38">
        <f>COUNTIFS(DataRegularSeason20242025!$D$2:$D$1315,AK$1,DataRegularSeason20242025!$E$2:$E$1315,$A21,DataRegularSeason20242025!$N$2:$N$1315,1)</f>
        <v>0</v>
      </c>
      <c r="AL22" s="39"/>
      <c r="AM22" s="38">
        <f>COUNTIFS(DataRegularSeason20242025!$D$2:$D$1315,AM$1,DataRegularSeason20242025!$E$2:$E$1315,$A21,DataRegularSeason20242025!$N$2:$N$1315,1)</f>
        <v>0</v>
      </c>
      <c r="AN22" s="39"/>
      <c r="AO22" s="38">
        <f>COUNTIFS(DataRegularSeason20242025!$D$2:$D$1315,AO$1,DataRegularSeason20242025!$E$2:$E$1315,$A21,DataRegularSeason20242025!$N$2:$N$1315,1)</f>
        <v>0</v>
      </c>
      <c r="AP22" s="39"/>
      <c r="AQ22" s="38">
        <f>COUNTIFS(DataRegularSeason20242025!$D$2:$D$1315,AQ$1,DataRegularSeason20242025!$E$2:$E$1315,$A21,DataRegularSeason20242025!$N$2:$N$1315,1)</f>
        <v>0</v>
      </c>
      <c r="AR22" s="39"/>
      <c r="AS22" s="38">
        <f>COUNTIFS(DataRegularSeason20242025!$D$2:$D$1315,AS$1,DataRegularSeason20242025!$E$2:$E$1315,$A21,DataRegularSeason20242025!$N$2:$N$1315,1)</f>
        <v>0</v>
      </c>
      <c r="AT22" s="39"/>
      <c r="AU22" s="38">
        <f>COUNTIFS(DataRegularSeason20242025!$D$2:$D$1315,AU$1,DataRegularSeason20242025!$E$2:$E$1315,$A21,DataRegularSeason20242025!$N$2:$N$1315,1)</f>
        <v>0</v>
      </c>
      <c r="AV22" s="39"/>
      <c r="AW22" s="38">
        <f>COUNTIFS(DataRegularSeason20242025!$D$2:$D$1315,AW$1,DataRegularSeason20242025!$E$2:$E$1315,$A21,DataRegularSeason20242025!$N$2:$N$1315,1)</f>
        <v>0</v>
      </c>
      <c r="AX22" s="47"/>
      <c r="AY22" s="38">
        <f>COUNTIFS(DataRegularSeason20242025!$D$2:$D$1315,AY$1,DataRegularSeason20242025!$E$2:$E$1315,$A21,DataRegularSeason20242025!$N$2:$N$1315,1)</f>
        <v>1</v>
      </c>
      <c r="AZ22" s="39"/>
      <c r="BA22" s="38">
        <f>COUNTIFS(DataRegularSeason20242025!$D$2:$D$1315,BA$1,DataRegularSeason20242025!$E$2:$E$1315,$A21,DataRegularSeason20242025!$N$2:$N$1315,1)</f>
        <v>0</v>
      </c>
      <c r="BB22" s="39"/>
      <c r="BC22" s="38">
        <f>COUNTIFS(DataRegularSeason20242025!$D$2:$D$1315,BC$1,DataRegularSeason20242025!$E$2:$E$1315,$A21,DataRegularSeason20242025!$N$2:$N$1315,1)</f>
        <v>0</v>
      </c>
      <c r="BD22" s="39"/>
      <c r="BE22" s="38">
        <f>COUNTIFS(DataRegularSeason20242025!$D$2:$D$1315,BE$1,DataRegularSeason20242025!$E$2:$E$1315,$A21,DataRegularSeason20242025!$N$2:$N$1315,1)</f>
        <v>0</v>
      </c>
      <c r="BF22" s="39"/>
      <c r="BG22" s="38">
        <f>COUNTIFS(DataRegularSeason20242025!$D$2:$D$1315,BG$1,DataRegularSeason20242025!$E$2:$E$1315,$A21,DataRegularSeason20242025!$N$2:$N$1315,1)</f>
        <v>0</v>
      </c>
      <c r="BH22" s="39"/>
      <c r="BI22" s="38">
        <f>COUNTIFS(DataRegularSeason20242025!$D$2:$D$1315,BI$1,DataRegularSeason20242025!$E$2:$E$1315,$A21,DataRegularSeason20242025!$N$2:$N$1315,1)</f>
        <v>0</v>
      </c>
      <c r="BJ22" s="39"/>
      <c r="BK22" s="38">
        <f>COUNTIFS(DataRegularSeason20242025!$D$2:$D$1315,BK$1,DataRegularSeason20242025!$E$2:$E$1315,$A21,DataRegularSeason20242025!$N$2:$N$1315,1)</f>
        <v>0</v>
      </c>
      <c r="BL22" s="39"/>
      <c r="BM22" s="38">
        <f>COUNTIFS(DataRegularSeason20242025!$D$2:$D$1315,BM$1,DataRegularSeason20242025!$E$2:$E$1315,$A21,DataRegularSeason20242025!$N$2:$N$1315,1)</f>
        <v>0</v>
      </c>
      <c r="BN22" s="39"/>
      <c r="BO22" s="34">
        <f t="shared" si="0"/>
        <v>3</v>
      </c>
      <c r="BP22" s="165"/>
      <c r="BQ22" s="166"/>
    </row>
    <row r="23" spans="1:69" ht="12" customHeight="1" x14ac:dyDescent="0.25">
      <c r="A23" s="172" t="s">
        <v>33</v>
      </c>
      <c r="B23" s="28" t="s">
        <v>74</v>
      </c>
      <c r="C23" s="35"/>
      <c r="D23" s="28">
        <f>COUNTIFS(DataRegularSeason20242025!$E$2:$E$1315,C$1,DataRegularSeason20242025!$D$2:$D$1315,$A23,DataRegularSeason20242025!$N$2:$N$1315,1)</f>
        <v>0</v>
      </c>
      <c r="E23" s="35"/>
      <c r="F23" s="28">
        <f>COUNTIFS(DataRegularSeason20242025!$E$2:$E$1315,E$1,DataRegularSeason20242025!$D$2:$D$1315,$A23,DataRegularSeason20242025!$N$2:$N$1315,1)</f>
        <v>0</v>
      </c>
      <c r="G23" s="35"/>
      <c r="H23" s="28">
        <f>COUNTIFS(DataRegularSeason20242025!$E$2:$E$1315,G$1,DataRegularSeason20242025!$D$2:$D$1315,$A23,DataRegularSeason20242025!$N$2:$N$1315,1)</f>
        <v>0</v>
      </c>
      <c r="I23" s="35"/>
      <c r="J23" s="28">
        <f>COUNTIFS(DataRegularSeason20242025!$E$2:$E$1315,I$1,DataRegularSeason20242025!$D$2:$D$1315,$A23,DataRegularSeason20242025!$N$2:$N$1315,1)</f>
        <v>0</v>
      </c>
      <c r="K23" s="35"/>
      <c r="L23" s="28">
        <f>COUNTIFS(DataRegularSeason20242025!$E$2:$E$1315,K$1,DataRegularSeason20242025!$D$2:$D$1315,$A23,DataRegularSeason20242025!$N$2:$N$1315,1)</f>
        <v>0</v>
      </c>
      <c r="M23" s="35"/>
      <c r="N23" s="28">
        <f>COUNTIFS(DataRegularSeason20242025!$E$2:$E$1315,M$1,DataRegularSeason20242025!$D$2:$D$1315,$A23,DataRegularSeason20242025!$N$2:$N$1315,1)</f>
        <v>0</v>
      </c>
      <c r="O23" s="35"/>
      <c r="P23" s="28">
        <f>COUNTIFS(DataRegularSeason20242025!$E$2:$E$1315,O$1,DataRegularSeason20242025!$D$2:$D$1315,$A23,DataRegularSeason20242025!$N$2:$N$1315,1)</f>
        <v>0</v>
      </c>
      <c r="Q23" s="35"/>
      <c r="R23" s="46">
        <f>COUNTIFS(DataRegularSeason20242025!$E$2:$E$1315,Q$1,DataRegularSeason20242025!$D$2:$D$1315,$A23,DataRegularSeason20242025!$N$2:$N$1315,1)</f>
        <v>0</v>
      </c>
      <c r="S23" s="35"/>
      <c r="T23" s="28">
        <f>COUNTIFS(DataRegularSeason20242025!$E$2:$E$1315,S$1,DataRegularSeason20242025!$D$2:$D$1315,$A23,DataRegularSeason20242025!$N$2:$N$1315,1)</f>
        <v>0</v>
      </c>
      <c r="U23" s="35"/>
      <c r="V23" s="28">
        <f>COUNTIFS(DataRegularSeason20242025!$E$2:$E$1315,U$1,DataRegularSeason20242025!$D$2:$D$1315,$A23,DataRegularSeason20242025!$N$2:$N$1315,1)</f>
        <v>1</v>
      </c>
      <c r="W23" s="35"/>
      <c r="X23" s="36"/>
      <c r="Y23" s="35"/>
      <c r="Z23" s="28">
        <f>COUNTIFS(DataRegularSeason20242025!$E$2:$E$1315,Y$1,DataRegularSeason20242025!$D$2:$D$1315,$A23,DataRegularSeason20242025!$N$2:$N$1315,1)</f>
        <v>0</v>
      </c>
      <c r="AA23" s="35"/>
      <c r="AB23" s="28">
        <f>COUNTIFS(DataRegularSeason20242025!$E$2:$E$1315,AA$1,DataRegularSeason20242025!$D$2:$D$1315,$A23,DataRegularSeason20242025!$N$2:$N$1315,1)</f>
        <v>0</v>
      </c>
      <c r="AC23" s="35"/>
      <c r="AD23" s="28">
        <f>COUNTIFS(DataRegularSeason20242025!$E$2:$E$1315,AC$1,DataRegularSeason20242025!$D$2:$D$1315,$A23,DataRegularSeason20242025!$N$2:$N$1315,1)</f>
        <v>1</v>
      </c>
      <c r="AE23" s="35"/>
      <c r="AF23" s="28">
        <f>COUNTIFS(DataRegularSeason20242025!$E$2:$E$1315,AE$1,DataRegularSeason20242025!$D$2:$D$1315,$A23,DataRegularSeason20242025!$N$2:$N$1315,1)</f>
        <v>0</v>
      </c>
      <c r="AG23" s="35"/>
      <c r="AH23" s="46">
        <f>COUNTIFS(DataRegularSeason20242025!$E$2:$E$1315,AG$1,DataRegularSeason20242025!$D$2:$D$1315,$A23,DataRegularSeason20242025!$N$2:$N$1315,1)</f>
        <v>1</v>
      </c>
      <c r="AI23" s="35"/>
      <c r="AJ23" s="28">
        <f>COUNTIFS(DataRegularSeason20242025!$E$2:$E$1315,AI$1,DataRegularSeason20242025!$D$2:$D$1315,$A23,DataRegularSeason20242025!$N$2:$N$1315,1)</f>
        <v>0</v>
      </c>
      <c r="AK23" s="35"/>
      <c r="AL23" s="28">
        <f>COUNTIFS(DataRegularSeason20242025!$E$2:$E$1315,AK$1,DataRegularSeason20242025!$D$2:$D$1315,$A23,DataRegularSeason20242025!$N$2:$N$1315,1)</f>
        <v>0</v>
      </c>
      <c r="AM23" s="35"/>
      <c r="AN23" s="28">
        <f>COUNTIFS(DataRegularSeason20242025!$E$2:$E$1315,AM$1,DataRegularSeason20242025!$D$2:$D$1315,$A23,DataRegularSeason20242025!$N$2:$N$1315,1)</f>
        <v>0</v>
      </c>
      <c r="AO23" s="35"/>
      <c r="AP23" s="28">
        <f>COUNTIFS(DataRegularSeason20242025!$E$2:$E$1315,AO$1,DataRegularSeason20242025!$D$2:$D$1315,$A23,DataRegularSeason20242025!$N$2:$N$1315,1)</f>
        <v>0</v>
      </c>
      <c r="AQ23" s="35"/>
      <c r="AR23" s="28">
        <f>COUNTIFS(DataRegularSeason20242025!$E$2:$E$1315,AQ$1,DataRegularSeason20242025!$D$2:$D$1315,$A23,DataRegularSeason20242025!$N$2:$N$1315,1)</f>
        <v>0</v>
      </c>
      <c r="AS23" s="35"/>
      <c r="AT23" s="28">
        <f>COUNTIFS(DataRegularSeason20242025!$E$2:$E$1315,AS$1,DataRegularSeason20242025!$D$2:$D$1315,$A23,DataRegularSeason20242025!$N$2:$N$1315,1)</f>
        <v>0</v>
      </c>
      <c r="AU23" s="35"/>
      <c r="AV23" s="28">
        <f>COUNTIFS(DataRegularSeason20242025!$E$2:$E$1315,AU$1,DataRegularSeason20242025!$D$2:$D$1315,$A23,DataRegularSeason20242025!$N$2:$N$1315,1)</f>
        <v>0</v>
      </c>
      <c r="AW23" s="35"/>
      <c r="AX23" s="46">
        <f>COUNTIFS(DataRegularSeason20242025!$E$2:$E$1315,AW$1,DataRegularSeason20242025!$D$2:$D$1315,$A23,DataRegularSeason20242025!$N$2:$N$1315,1)</f>
        <v>0</v>
      </c>
      <c r="AY23" s="35"/>
      <c r="AZ23" s="28">
        <f>COUNTIFS(DataRegularSeason20242025!$E$2:$E$1315,AY$1,DataRegularSeason20242025!$D$2:$D$1315,$A23,DataRegularSeason20242025!$N$2:$N$1315,1)</f>
        <v>0</v>
      </c>
      <c r="BA23" s="35"/>
      <c r="BB23" s="28">
        <f>COUNTIFS(DataRegularSeason20242025!$E$2:$E$1315,BA$1,DataRegularSeason20242025!$D$2:$D$1315,$A23,DataRegularSeason20242025!$N$2:$N$1315,1)</f>
        <v>0</v>
      </c>
      <c r="BC23" s="35"/>
      <c r="BD23" s="28">
        <f>COUNTIFS(DataRegularSeason20242025!$E$2:$E$1315,BC$1,DataRegularSeason20242025!$D$2:$D$1315,$A23,DataRegularSeason20242025!$N$2:$N$1315,1)</f>
        <v>0</v>
      </c>
      <c r="BE23" s="35"/>
      <c r="BF23" s="28">
        <f>COUNTIFS(DataRegularSeason20242025!$E$2:$E$1315,BE$1,DataRegularSeason20242025!$D$2:$D$1315,$A23,DataRegularSeason20242025!$N$2:$N$1315,1)</f>
        <v>0</v>
      </c>
      <c r="BG23" s="35"/>
      <c r="BH23" s="28">
        <f>COUNTIFS(DataRegularSeason20242025!$E$2:$E$1315,BG$1,DataRegularSeason20242025!$D$2:$D$1315,$A23,DataRegularSeason20242025!$N$2:$N$1315,1)</f>
        <v>0</v>
      </c>
      <c r="BI23" s="35"/>
      <c r="BJ23" s="28">
        <f>COUNTIFS(DataRegularSeason20242025!$E$2:$E$1315,BI$1,DataRegularSeason20242025!$D$2:$D$1315,$A23,DataRegularSeason20242025!$N$2:$N$1315,1)</f>
        <v>0</v>
      </c>
      <c r="BK23" s="35"/>
      <c r="BL23" s="28">
        <f>COUNTIFS(DataRegularSeason20242025!$E$2:$E$1315,BK$1,DataRegularSeason20242025!$D$2:$D$1315,$A23,DataRegularSeason20242025!$N$2:$N$1315,1)</f>
        <v>0</v>
      </c>
      <c r="BM23" s="35"/>
      <c r="BN23" s="28">
        <f>COUNTIFS(DataRegularSeason20242025!$E$2:$E$1315,BM$1,DataRegularSeason20242025!$D$2:$D$1315,$A23,DataRegularSeason20242025!$N$2:$N$1315,1)</f>
        <v>0</v>
      </c>
      <c r="BO23" s="30">
        <f t="shared" si="0"/>
        <v>3</v>
      </c>
      <c r="BP23" s="165">
        <f t="shared" ref="BP23" si="19">BO23+BO24</f>
        <v>6</v>
      </c>
      <c r="BQ23" s="166">
        <f t="shared" ref="BQ23" si="20">82-BP23</f>
        <v>76</v>
      </c>
    </row>
    <row r="24" spans="1:69" ht="12" customHeight="1" x14ac:dyDescent="0.25">
      <c r="A24" s="167"/>
      <c r="B24" s="32" t="s">
        <v>73</v>
      </c>
      <c r="C24" s="38">
        <f>COUNTIFS(DataRegularSeason20242025!$D$2:$D$1315,C$1,DataRegularSeason20242025!$E$2:$E$1315,$A23,DataRegularSeason20242025!$N$2:$N$1315,1)</f>
        <v>0</v>
      </c>
      <c r="D24" s="39"/>
      <c r="E24" s="38">
        <f>COUNTIFS(DataRegularSeason20242025!$D$2:$D$1315,E$1,DataRegularSeason20242025!$E$2:$E$1315,$A23,DataRegularSeason20242025!$N$2:$N$1315,1)</f>
        <v>0</v>
      </c>
      <c r="F24" s="39"/>
      <c r="G24" s="38">
        <f>COUNTIFS(DataRegularSeason20242025!$D$2:$D$1315,G$1,DataRegularSeason20242025!$E$2:$E$1315,$A23,DataRegularSeason20242025!$N$2:$N$1315,1)</f>
        <v>0</v>
      </c>
      <c r="H24" s="39"/>
      <c r="I24" s="38">
        <f>COUNTIFS(DataRegularSeason20242025!$D$2:$D$1315,I$1,DataRegularSeason20242025!$E$2:$E$1315,$A23,DataRegularSeason20242025!$N$2:$N$1315,1)</f>
        <v>0</v>
      </c>
      <c r="J24" s="39"/>
      <c r="K24" s="38">
        <f>COUNTIFS(DataRegularSeason20242025!$D$2:$D$1315,K$1,DataRegularSeason20242025!$E$2:$E$1315,$A23,DataRegularSeason20242025!$N$2:$N$1315,1)</f>
        <v>0</v>
      </c>
      <c r="L24" s="39"/>
      <c r="M24" s="38">
        <f>COUNTIFS(DataRegularSeason20242025!$D$2:$D$1315,M$1,DataRegularSeason20242025!$E$2:$E$1315,$A23,DataRegularSeason20242025!$N$2:$N$1315,1)</f>
        <v>0</v>
      </c>
      <c r="N24" s="39"/>
      <c r="O24" s="38">
        <f>COUNTIFS(DataRegularSeason20242025!$D$2:$D$1315,O$1,DataRegularSeason20242025!$E$2:$E$1315,$A23,DataRegularSeason20242025!$N$2:$N$1315,1)</f>
        <v>1</v>
      </c>
      <c r="P24" s="39"/>
      <c r="Q24" s="38">
        <f>COUNTIFS(DataRegularSeason20242025!$D$2:$D$1315,Q$1,DataRegularSeason20242025!$E$2:$E$1315,$A23,DataRegularSeason20242025!$N$2:$N$1315,1)</f>
        <v>0</v>
      </c>
      <c r="R24" s="47"/>
      <c r="S24" s="38">
        <f>COUNTIFS(DataRegularSeason20242025!$D$2:$D$1315,S$1,DataRegularSeason20242025!$E$2:$E$1315,$A23,DataRegularSeason20242025!$N$2:$N$1315,1)</f>
        <v>0</v>
      </c>
      <c r="T24" s="39"/>
      <c r="U24" s="38">
        <f>COUNTIFS(DataRegularSeason20242025!$D$2:$D$1315,U$1,DataRegularSeason20242025!$E$2:$E$1315,$A23,DataRegularSeason20242025!$N$2:$N$1315,1)</f>
        <v>0</v>
      </c>
      <c r="V24" s="39"/>
      <c r="W24" s="38"/>
      <c r="X24" s="39"/>
      <c r="Y24" s="38">
        <f>COUNTIFS(DataRegularSeason20242025!$D$2:$D$1315,Y$1,DataRegularSeason20242025!$E$2:$E$1315,$A23,DataRegularSeason20242025!$N$2:$N$1315,1)</f>
        <v>1</v>
      </c>
      <c r="Z24" s="39"/>
      <c r="AA24" s="38">
        <f>COUNTIFS(DataRegularSeason20242025!$D$2:$D$1315,AA$1,DataRegularSeason20242025!$E$2:$E$1315,$A23,DataRegularSeason20242025!$N$2:$N$1315,1)</f>
        <v>0</v>
      </c>
      <c r="AB24" s="39"/>
      <c r="AC24" s="38">
        <f>COUNTIFS(DataRegularSeason20242025!$D$2:$D$1315,AC$1,DataRegularSeason20242025!$E$2:$E$1315,$A23,DataRegularSeason20242025!$N$2:$N$1315,1)</f>
        <v>0</v>
      </c>
      <c r="AD24" s="39"/>
      <c r="AE24" s="38">
        <f>COUNTIFS(DataRegularSeason20242025!$D$2:$D$1315,AE$1,DataRegularSeason20242025!$E$2:$E$1315,$A23,DataRegularSeason20242025!$N$2:$N$1315,1)</f>
        <v>0</v>
      </c>
      <c r="AF24" s="39"/>
      <c r="AG24" s="38">
        <f>COUNTIFS(DataRegularSeason20242025!$D$2:$D$1315,AG$1,DataRegularSeason20242025!$E$2:$E$1315,$A23,DataRegularSeason20242025!$N$2:$N$1315,1)</f>
        <v>0</v>
      </c>
      <c r="AH24" s="47"/>
      <c r="AI24" s="38">
        <f>COUNTIFS(DataRegularSeason20242025!$D$2:$D$1315,AI$1,DataRegularSeason20242025!$E$2:$E$1315,$A23,DataRegularSeason20242025!$N$2:$N$1315,1)</f>
        <v>0</v>
      </c>
      <c r="AJ24" s="39"/>
      <c r="AK24" s="38">
        <f>COUNTIFS(DataRegularSeason20242025!$D$2:$D$1315,AK$1,DataRegularSeason20242025!$E$2:$E$1315,$A23,DataRegularSeason20242025!$N$2:$N$1315,1)</f>
        <v>1</v>
      </c>
      <c r="AL24" s="39"/>
      <c r="AM24" s="38">
        <f>COUNTIFS(DataRegularSeason20242025!$D$2:$D$1315,AM$1,DataRegularSeason20242025!$E$2:$E$1315,$A23,DataRegularSeason20242025!$N$2:$N$1315,1)</f>
        <v>0</v>
      </c>
      <c r="AN24" s="39"/>
      <c r="AO24" s="38">
        <f>COUNTIFS(DataRegularSeason20242025!$D$2:$D$1315,AO$1,DataRegularSeason20242025!$E$2:$E$1315,$A23,DataRegularSeason20242025!$N$2:$N$1315,1)</f>
        <v>0</v>
      </c>
      <c r="AP24" s="39"/>
      <c r="AQ24" s="38">
        <f>COUNTIFS(DataRegularSeason20242025!$D$2:$D$1315,AQ$1,DataRegularSeason20242025!$E$2:$E$1315,$A23,DataRegularSeason20242025!$N$2:$N$1315,1)</f>
        <v>0</v>
      </c>
      <c r="AR24" s="39"/>
      <c r="AS24" s="38">
        <f>COUNTIFS(DataRegularSeason20242025!$D$2:$D$1315,AS$1,DataRegularSeason20242025!$E$2:$E$1315,$A23,DataRegularSeason20242025!$N$2:$N$1315,1)</f>
        <v>0</v>
      </c>
      <c r="AT24" s="39"/>
      <c r="AU24" s="38">
        <f>COUNTIFS(DataRegularSeason20242025!$D$2:$D$1315,AU$1,DataRegularSeason20242025!$E$2:$E$1315,$A23,DataRegularSeason20242025!$N$2:$N$1315,1)</f>
        <v>0</v>
      </c>
      <c r="AV24" s="39"/>
      <c r="AW24" s="38">
        <f>COUNTIFS(DataRegularSeason20242025!$D$2:$D$1315,AW$1,DataRegularSeason20242025!$E$2:$E$1315,$A23,DataRegularSeason20242025!$N$2:$N$1315,1)</f>
        <v>0</v>
      </c>
      <c r="AX24" s="47"/>
      <c r="AY24" s="38">
        <f>COUNTIFS(DataRegularSeason20242025!$D$2:$D$1315,AY$1,DataRegularSeason20242025!$E$2:$E$1315,$A23,DataRegularSeason20242025!$N$2:$N$1315,1)</f>
        <v>0</v>
      </c>
      <c r="AZ24" s="39"/>
      <c r="BA24" s="38">
        <f>COUNTIFS(DataRegularSeason20242025!$D$2:$D$1315,BA$1,DataRegularSeason20242025!$E$2:$E$1315,$A23,DataRegularSeason20242025!$N$2:$N$1315,1)</f>
        <v>0</v>
      </c>
      <c r="BB24" s="39"/>
      <c r="BC24" s="38">
        <f>COUNTIFS(DataRegularSeason20242025!$D$2:$D$1315,BC$1,DataRegularSeason20242025!$E$2:$E$1315,$A23,DataRegularSeason20242025!$N$2:$N$1315,1)</f>
        <v>0</v>
      </c>
      <c r="BD24" s="39"/>
      <c r="BE24" s="38">
        <f>COUNTIFS(DataRegularSeason20242025!$D$2:$D$1315,BE$1,DataRegularSeason20242025!$E$2:$E$1315,$A23,DataRegularSeason20242025!$N$2:$N$1315,1)</f>
        <v>0</v>
      </c>
      <c r="BF24" s="39"/>
      <c r="BG24" s="38">
        <f>COUNTIFS(DataRegularSeason20242025!$D$2:$D$1315,BG$1,DataRegularSeason20242025!$E$2:$E$1315,$A23,DataRegularSeason20242025!$N$2:$N$1315,1)</f>
        <v>0</v>
      </c>
      <c r="BH24" s="39"/>
      <c r="BI24" s="38">
        <f>COUNTIFS(DataRegularSeason20242025!$D$2:$D$1315,BI$1,DataRegularSeason20242025!$E$2:$E$1315,$A23,DataRegularSeason20242025!$N$2:$N$1315,1)</f>
        <v>0</v>
      </c>
      <c r="BJ24" s="39"/>
      <c r="BK24" s="38">
        <f>COUNTIFS(DataRegularSeason20242025!$D$2:$D$1315,BK$1,DataRegularSeason20242025!$E$2:$E$1315,$A23,DataRegularSeason20242025!$N$2:$N$1315,1)</f>
        <v>0</v>
      </c>
      <c r="BL24" s="39"/>
      <c r="BM24" s="38">
        <f>COUNTIFS(DataRegularSeason20242025!$D$2:$D$1315,BM$1,DataRegularSeason20242025!$E$2:$E$1315,$A23,DataRegularSeason20242025!$N$2:$N$1315,1)</f>
        <v>0</v>
      </c>
      <c r="BN24" s="39"/>
      <c r="BO24" s="34">
        <f t="shared" si="0"/>
        <v>3</v>
      </c>
      <c r="BP24" s="165"/>
      <c r="BQ24" s="166"/>
    </row>
    <row r="25" spans="1:69" ht="12" customHeight="1" x14ac:dyDescent="0.25">
      <c r="A25" s="172" t="s">
        <v>36</v>
      </c>
      <c r="B25" s="28" t="s">
        <v>74</v>
      </c>
      <c r="C25" s="35"/>
      <c r="D25" s="28">
        <f>COUNTIFS(DataRegularSeason20242025!$E$2:$E$1315,C$1,DataRegularSeason20242025!$D$2:$D$1315,$A25,DataRegularSeason20242025!$N$2:$N$1315,1)</f>
        <v>0</v>
      </c>
      <c r="E25" s="35"/>
      <c r="F25" s="28">
        <f>COUNTIFS(DataRegularSeason20242025!$E$2:$E$1315,E$1,DataRegularSeason20242025!$D$2:$D$1315,$A25,DataRegularSeason20242025!$N$2:$N$1315,1)</f>
        <v>0</v>
      </c>
      <c r="G25" s="35"/>
      <c r="H25" s="28">
        <f>COUNTIFS(DataRegularSeason20242025!$E$2:$E$1315,G$1,DataRegularSeason20242025!$D$2:$D$1315,$A25,DataRegularSeason20242025!$N$2:$N$1315,1)</f>
        <v>0</v>
      </c>
      <c r="I25" s="35"/>
      <c r="J25" s="28">
        <f>COUNTIFS(DataRegularSeason20242025!$E$2:$E$1315,I$1,DataRegularSeason20242025!$D$2:$D$1315,$A25,DataRegularSeason20242025!$N$2:$N$1315,1)</f>
        <v>0</v>
      </c>
      <c r="K25" s="35"/>
      <c r="L25" s="28">
        <f>COUNTIFS(DataRegularSeason20242025!$E$2:$E$1315,K$1,DataRegularSeason20242025!$D$2:$D$1315,$A25,DataRegularSeason20242025!$N$2:$N$1315,1)</f>
        <v>0</v>
      </c>
      <c r="M25" s="35"/>
      <c r="N25" s="28">
        <f>COUNTIFS(DataRegularSeason20242025!$E$2:$E$1315,M$1,DataRegularSeason20242025!$D$2:$D$1315,$A25,DataRegularSeason20242025!$N$2:$N$1315,1)</f>
        <v>0</v>
      </c>
      <c r="O25" s="35"/>
      <c r="P25" s="28">
        <f>COUNTIFS(DataRegularSeason20242025!$E$2:$E$1315,O$1,DataRegularSeason20242025!$D$2:$D$1315,$A25,DataRegularSeason20242025!$N$2:$N$1315,1)</f>
        <v>0</v>
      </c>
      <c r="Q25" s="35"/>
      <c r="R25" s="46">
        <f>COUNTIFS(DataRegularSeason20242025!$E$2:$E$1315,Q$1,DataRegularSeason20242025!$D$2:$D$1315,$A25,DataRegularSeason20242025!$N$2:$N$1315,1)</f>
        <v>0</v>
      </c>
      <c r="S25" s="35"/>
      <c r="T25" s="28">
        <f>COUNTIFS(DataRegularSeason20242025!$E$2:$E$1315,S$1,DataRegularSeason20242025!$D$2:$D$1315,$A25,DataRegularSeason20242025!$N$2:$N$1315,1)</f>
        <v>0</v>
      </c>
      <c r="U25" s="35"/>
      <c r="V25" s="28">
        <f>COUNTIFS(DataRegularSeason20242025!$E$2:$E$1315,U$1,DataRegularSeason20242025!$D$2:$D$1315,$A25,DataRegularSeason20242025!$N$2:$N$1315,1)</f>
        <v>0</v>
      </c>
      <c r="W25" s="35"/>
      <c r="X25" s="28">
        <f>COUNTIFS(DataRegularSeason20242025!$E$2:$E$1315,W$1,DataRegularSeason20242025!$D$2:$D$1315,$A25,DataRegularSeason20242025!$N$2:$N$1315,1)</f>
        <v>1</v>
      </c>
      <c r="Y25" s="35"/>
      <c r="Z25" s="36"/>
      <c r="AA25" s="35"/>
      <c r="AB25" s="28">
        <f>COUNTIFS(DataRegularSeason20242025!$E$2:$E$1315,AA$1,DataRegularSeason20242025!$D$2:$D$1315,$A25,DataRegularSeason20242025!$N$2:$N$1315,1)</f>
        <v>0</v>
      </c>
      <c r="AC25" s="35"/>
      <c r="AD25" s="28">
        <f>COUNTIFS(DataRegularSeason20242025!$E$2:$E$1315,AC$1,DataRegularSeason20242025!$D$2:$D$1315,$A25,DataRegularSeason20242025!$N$2:$N$1315,1)</f>
        <v>1</v>
      </c>
      <c r="AE25" s="35"/>
      <c r="AF25" s="28">
        <f>COUNTIFS(DataRegularSeason20242025!$E$2:$E$1315,AE$1,DataRegularSeason20242025!$D$2:$D$1315,$A25,DataRegularSeason20242025!$N$2:$N$1315,1)</f>
        <v>0</v>
      </c>
      <c r="AG25" s="35"/>
      <c r="AH25" s="46">
        <f>COUNTIFS(DataRegularSeason20242025!$E$2:$E$1315,AG$1,DataRegularSeason20242025!$D$2:$D$1315,$A25,DataRegularSeason20242025!$N$2:$N$1315,1)</f>
        <v>0</v>
      </c>
      <c r="AI25" s="35"/>
      <c r="AJ25" s="28">
        <f>COUNTIFS(DataRegularSeason20242025!$E$2:$E$1315,AI$1,DataRegularSeason20242025!$D$2:$D$1315,$A25,DataRegularSeason20242025!$N$2:$N$1315,1)</f>
        <v>0</v>
      </c>
      <c r="AK25" s="35"/>
      <c r="AL25" s="28">
        <f>COUNTIFS(DataRegularSeason20242025!$E$2:$E$1315,AK$1,DataRegularSeason20242025!$D$2:$D$1315,$A25,DataRegularSeason20242025!$N$2:$N$1315,1)</f>
        <v>0</v>
      </c>
      <c r="AM25" s="35"/>
      <c r="AN25" s="28">
        <f>COUNTIFS(DataRegularSeason20242025!$E$2:$E$1315,AM$1,DataRegularSeason20242025!$D$2:$D$1315,$A25,DataRegularSeason20242025!$N$2:$N$1315,1)</f>
        <v>0</v>
      </c>
      <c r="AO25" s="35"/>
      <c r="AP25" s="28">
        <f>COUNTIFS(DataRegularSeason20242025!$E$2:$E$1315,AO$1,DataRegularSeason20242025!$D$2:$D$1315,$A25,DataRegularSeason20242025!$N$2:$N$1315,1)</f>
        <v>0</v>
      </c>
      <c r="AQ25" s="35"/>
      <c r="AR25" s="28">
        <f>COUNTIFS(DataRegularSeason20242025!$E$2:$E$1315,AQ$1,DataRegularSeason20242025!$D$2:$D$1315,$A25,DataRegularSeason20242025!$N$2:$N$1315,1)</f>
        <v>1</v>
      </c>
      <c r="AS25" s="35"/>
      <c r="AT25" s="28">
        <f>COUNTIFS(DataRegularSeason20242025!$E$2:$E$1315,AS$1,DataRegularSeason20242025!$D$2:$D$1315,$A25,DataRegularSeason20242025!$N$2:$N$1315,1)</f>
        <v>1</v>
      </c>
      <c r="AU25" s="35"/>
      <c r="AV25" s="28">
        <f>COUNTIFS(DataRegularSeason20242025!$E$2:$E$1315,AU$1,DataRegularSeason20242025!$D$2:$D$1315,$A25,DataRegularSeason20242025!$N$2:$N$1315,1)</f>
        <v>0</v>
      </c>
      <c r="AW25" s="35"/>
      <c r="AX25" s="46">
        <f>COUNTIFS(DataRegularSeason20242025!$E$2:$E$1315,AW$1,DataRegularSeason20242025!$D$2:$D$1315,$A25,DataRegularSeason20242025!$N$2:$N$1315,1)</f>
        <v>1</v>
      </c>
      <c r="AY25" s="35"/>
      <c r="AZ25" s="28">
        <f>COUNTIFS(DataRegularSeason20242025!$E$2:$E$1315,AY$1,DataRegularSeason20242025!$D$2:$D$1315,$A25,DataRegularSeason20242025!$N$2:$N$1315,1)</f>
        <v>0</v>
      </c>
      <c r="BA25" s="35"/>
      <c r="BB25" s="28">
        <f>COUNTIFS(DataRegularSeason20242025!$E$2:$E$1315,BA$1,DataRegularSeason20242025!$D$2:$D$1315,$A25,DataRegularSeason20242025!$N$2:$N$1315,1)</f>
        <v>0</v>
      </c>
      <c r="BC25" s="35"/>
      <c r="BD25" s="28">
        <f>COUNTIFS(DataRegularSeason20242025!$E$2:$E$1315,BC$1,DataRegularSeason20242025!$D$2:$D$1315,$A25,DataRegularSeason20242025!$N$2:$N$1315,1)</f>
        <v>0</v>
      </c>
      <c r="BE25" s="35"/>
      <c r="BF25" s="28">
        <f>COUNTIFS(DataRegularSeason20242025!$E$2:$E$1315,BE$1,DataRegularSeason20242025!$D$2:$D$1315,$A25,DataRegularSeason20242025!$N$2:$N$1315,1)</f>
        <v>0</v>
      </c>
      <c r="BG25" s="35"/>
      <c r="BH25" s="28">
        <f>COUNTIFS(DataRegularSeason20242025!$E$2:$E$1315,BG$1,DataRegularSeason20242025!$D$2:$D$1315,$A25,DataRegularSeason20242025!$N$2:$N$1315,1)</f>
        <v>0</v>
      </c>
      <c r="BI25" s="35"/>
      <c r="BJ25" s="28">
        <f>COUNTIFS(DataRegularSeason20242025!$E$2:$E$1315,BI$1,DataRegularSeason20242025!$D$2:$D$1315,$A25,DataRegularSeason20242025!$N$2:$N$1315,1)</f>
        <v>0</v>
      </c>
      <c r="BK25" s="35"/>
      <c r="BL25" s="28">
        <f>COUNTIFS(DataRegularSeason20242025!$E$2:$E$1315,BK$1,DataRegularSeason20242025!$D$2:$D$1315,$A25,DataRegularSeason20242025!$N$2:$N$1315,1)</f>
        <v>0</v>
      </c>
      <c r="BM25" s="35"/>
      <c r="BN25" s="28">
        <f>COUNTIFS(DataRegularSeason20242025!$E$2:$E$1315,BM$1,DataRegularSeason20242025!$D$2:$D$1315,$A25,DataRegularSeason20242025!$N$2:$N$1315,1)</f>
        <v>0</v>
      </c>
      <c r="BO25" s="30">
        <f t="shared" si="0"/>
        <v>5</v>
      </c>
      <c r="BP25" s="165">
        <f t="shared" ref="BP25" si="21">BO25+BO26</f>
        <v>7</v>
      </c>
      <c r="BQ25" s="166">
        <f t="shared" ref="BQ25" si="22">82-BP25</f>
        <v>75</v>
      </c>
    </row>
    <row r="26" spans="1:69" ht="12" customHeight="1" x14ac:dyDescent="0.25">
      <c r="A26" s="167"/>
      <c r="B26" s="32" t="s">
        <v>73</v>
      </c>
      <c r="C26" s="38">
        <f>COUNTIFS(DataRegularSeason20242025!$D$2:$D$1315,C$1,DataRegularSeason20242025!$E$2:$E$1315,$A25,DataRegularSeason20242025!$N$2:$N$1315,1)</f>
        <v>0</v>
      </c>
      <c r="D26" s="39"/>
      <c r="E26" s="38">
        <f>COUNTIFS(DataRegularSeason20242025!$D$2:$D$1315,E$1,DataRegularSeason20242025!$E$2:$E$1315,$A25,DataRegularSeason20242025!$N$2:$N$1315,1)</f>
        <v>0</v>
      </c>
      <c r="F26" s="39"/>
      <c r="G26" s="38">
        <f>COUNTIFS(DataRegularSeason20242025!$D$2:$D$1315,G$1,DataRegularSeason20242025!$E$2:$E$1315,$A25,DataRegularSeason20242025!$N$2:$N$1315,1)</f>
        <v>0</v>
      </c>
      <c r="H26" s="39"/>
      <c r="I26" s="38">
        <f>COUNTIFS(DataRegularSeason20242025!$D$2:$D$1315,I$1,DataRegularSeason20242025!$E$2:$E$1315,$A25,DataRegularSeason20242025!$N$2:$N$1315,1)</f>
        <v>1</v>
      </c>
      <c r="J26" s="39"/>
      <c r="K26" s="38">
        <f>COUNTIFS(DataRegularSeason20242025!$D$2:$D$1315,K$1,DataRegularSeason20242025!$E$2:$E$1315,$A25,DataRegularSeason20242025!$N$2:$N$1315,1)</f>
        <v>0</v>
      </c>
      <c r="L26" s="39"/>
      <c r="M26" s="38">
        <f>COUNTIFS(DataRegularSeason20242025!$D$2:$D$1315,M$1,DataRegularSeason20242025!$E$2:$E$1315,$A25,DataRegularSeason20242025!$N$2:$N$1315,1)</f>
        <v>0</v>
      </c>
      <c r="N26" s="39"/>
      <c r="O26" s="38">
        <f>COUNTIFS(DataRegularSeason20242025!$D$2:$D$1315,O$1,DataRegularSeason20242025!$E$2:$E$1315,$A25,DataRegularSeason20242025!$N$2:$N$1315,1)</f>
        <v>0</v>
      </c>
      <c r="P26" s="39"/>
      <c r="Q26" s="38">
        <f>COUNTIFS(DataRegularSeason20242025!$D$2:$D$1315,Q$1,DataRegularSeason20242025!$E$2:$E$1315,$A25,DataRegularSeason20242025!$N$2:$N$1315,1)</f>
        <v>0</v>
      </c>
      <c r="R26" s="47"/>
      <c r="S26" s="38">
        <f>COUNTIFS(DataRegularSeason20242025!$D$2:$D$1315,S$1,DataRegularSeason20242025!$E$2:$E$1315,$A25,DataRegularSeason20242025!$N$2:$N$1315,1)</f>
        <v>0</v>
      </c>
      <c r="T26" s="39"/>
      <c r="U26" s="38">
        <f>COUNTIFS(DataRegularSeason20242025!$D$2:$D$1315,U$1,DataRegularSeason20242025!$E$2:$E$1315,$A25,DataRegularSeason20242025!$N$2:$N$1315,1)</f>
        <v>0</v>
      </c>
      <c r="V26" s="39"/>
      <c r="W26" s="38">
        <f>COUNTIFS(DataRegularSeason20242025!$D$2:$D$1315,W$1,DataRegularSeason20242025!$E$2:$E$1315,$A25,DataRegularSeason20242025!$N$2:$N$1315,1)</f>
        <v>0</v>
      </c>
      <c r="X26" s="39"/>
      <c r="Y26" s="38"/>
      <c r="Z26" s="39"/>
      <c r="AA26" s="38">
        <f>COUNTIFS(DataRegularSeason20242025!$D$2:$D$1315,AA$1,DataRegularSeason20242025!$E$2:$E$1315,$A25,DataRegularSeason20242025!$N$2:$N$1315,1)</f>
        <v>0</v>
      </c>
      <c r="AB26" s="39"/>
      <c r="AC26" s="38">
        <f>COUNTIFS(DataRegularSeason20242025!$D$2:$D$1315,AC$1,DataRegularSeason20242025!$E$2:$E$1315,$A25,DataRegularSeason20242025!$N$2:$N$1315,1)</f>
        <v>0</v>
      </c>
      <c r="AD26" s="39"/>
      <c r="AE26" s="38">
        <f>COUNTIFS(DataRegularSeason20242025!$D$2:$D$1315,AE$1,DataRegularSeason20242025!$E$2:$E$1315,$A25,DataRegularSeason20242025!$N$2:$N$1315,1)</f>
        <v>0</v>
      </c>
      <c r="AF26" s="39"/>
      <c r="AG26" s="38">
        <f>COUNTIFS(DataRegularSeason20242025!$D$2:$D$1315,AG$1,DataRegularSeason20242025!$E$2:$E$1315,$A25,DataRegularSeason20242025!$N$2:$N$1315,1)</f>
        <v>0</v>
      </c>
      <c r="AH26" s="47"/>
      <c r="AI26" s="38">
        <f>COUNTIFS(DataRegularSeason20242025!$D$2:$D$1315,AI$1,DataRegularSeason20242025!$E$2:$E$1315,$A25,DataRegularSeason20242025!$N$2:$N$1315,1)</f>
        <v>0</v>
      </c>
      <c r="AJ26" s="39"/>
      <c r="AK26" s="38">
        <f>COUNTIFS(DataRegularSeason20242025!$D$2:$D$1315,AK$1,DataRegularSeason20242025!$E$2:$E$1315,$A25,DataRegularSeason20242025!$N$2:$N$1315,1)</f>
        <v>1</v>
      </c>
      <c r="AL26" s="39"/>
      <c r="AM26" s="38">
        <f>COUNTIFS(DataRegularSeason20242025!$D$2:$D$1315,AM$1,DataRegularSeason20242025!$E$2:$E$1315,$A25,DataRegularSeason20242025!$N$2:$N$1315,1)</f>
        <v>0</v>
      </c>
      <c r="AN26" s="39"/>
      <c r="AO26" s="38">
        <f>COUNTIFS(DataRegularSeason20242025!$D$2:$D$1315,AO$1,DataRegularSeason20242025!$E$2:$E$1315,$A25,DataRegularSeason20242025!$N$2:$N$1315,1)</f>
        <v>0</v>
      </c>
      <c r="AP26" s="39"/>
      <c r="AQ26" s="38">
        <f>COUNTIFS(DataRegularSeason20242025!$D$2:$D$1315,AQ$1,DataRegularSeason20242025!$E$2:$E$1315,$A25,DataRegularSeason20242025!$N$2:$N$1315,1)</f>
        <v>0</v>
      </c>
      <c r="AR26" s="39"/>
      <c r="AS26" s="38">
        <f>COUNTIFS(DataRegularSeason20242025!$D$2:$D$1315,AS$1,DataRegularSeason20242025!$E$2:$E$1315,$A25,DataRegularSeason20242025!$N$2:$N$1315,1)</f>
        <v>0</v>
      </c>
      <c r="AT26" s="39"/>
      <c r="AU26" s="38">
        <f>COUNTIFS(DataRegularSeason20242025!$D$2:$D$1315,AU$1,DataRegularSeason20242025!$E$2:$E$1315,$A25,DataRegularSeason20242025!$N$2:$N$1315,1)</f>
        <v>0</v>
      </c>
      <c r="AV26" s="39"/>
      <c r="AW26" s="38">
        <f>COUNTIFS(DataRegularSeason20242025!$D$2:$D$1315,AW$1,DataRegularSeason20242025!$E$2:$E$1315,$A25,DataRegularSeason20242025!$N$2:$N$1315,1)</f>
        <v>0</v>
      </c>
      <c r="AX26" s="47"/>
      <c r="AY26" s="38">
        <f>COUNTIFS(DataRegularSeason20242025!$D$2:$D$1315,AY$1,DataRegularSeason20242025!$E$2:$E$1315,$A25,DataRegularSeason20242025!$N$2:$N$1315,1)</f>
        <v>0</v>
      </c>
      <c r="AZ26" s="39"/>
      <c r="BA26" s="38">
        <f>COUNTIFS(DataRegularSeason20242025!$D$2:$D$1315,BA$1,DataRegularSeason20242025!$E$2:$E$1315,$A25,DataRegularSeason20242025!$N$2:$N$1315,1)</f>
        <v>0</v>
      </c>
      <c r="BB26" s="39"/>
      <c r="BC26" s="38">
        <f>COUNTIFS(DataRegularSeason20242025!$D$2:$D$1315,BC$1,DataRegularSeason20242025!$E$2:$E$1315,$A25,DataRegularSeason20242025!$N$2:$N$1315,1)</f>
        <v>0</v>
      </c>
      <c r="BD26" s="39"/>
      <c r="BE26" s="38">
        <f>COUNTIFS(DataRegularSeason20242025!$D$2:$D$1315,BE$1,DataRegularSeason20242025!$E$2:$E$1315,$A25,DataRegularSeason20242025!$N$2:$N$1315,1)</f>
        <v>0</v>
      </c>
      <c r="BF26" s="39"/>
      <c r="BG26" s="38">
        <f>COUNTIFS(DataRegularSeason20242025!$D$2:$D$1315,BG$1,DataRegularSeason20242025!$E$2:$E$1315,$A25,DataRegularSeason20242025!$N$2:$N$1315,1)</f>
        <v>0</v>
      </c>
      <c r="BH26" s="39"/>
      <c r="BI26" s="38">
        <f>COUNTIFS(DataRegularSeason20242025!$D$2:$D$1315,BI$1,DataRegularSeason20242025!$E$2:$E$1315,$A25,DataRegularSeason20242025!$N$2:$N$1315,1)</f>
        <v>0</v>
      </c>
      <c r="BJ26" s="39"/>
      <c r="BK26" s="38">
        <f>COUNTIFS(DataRegularSeason20242025!$D$2:$D$1315,BK$1,DataRegularSeason20242025!$E$2:$E$1315,$A25,DataRegularSeason20242025!$N$2:$N$1315,1)</f>
        <v>0</v>
      </c>
      <c r="BL26" s="39"/>
      <c r="BM26" s="38">
        <f>COUNTIFS(DataRegularSeason20242025!$D$2:$D$1315,BM$1,DataRegularSeason20242025!$E$2:$E$1315,$A25,DataRegularSeason20242025!$N$2:$N$1315,1)</f>
        <v>0</v>
      </c>
      <c r="BN26" s="39"/>
      <c r="BO26" s="34">
        <f t="shared" si="0"/>
        <v>2</v>
      </c>
      <c r="BP26" s="165"/>
      <c r="BQ26" s="166"/>
    </row>
    <row r="27" spans="1:69" ht="12" customHeight="1" x14ac:dyDescent="0.25">
      <c r="A27" s="172" t="s">
        <v>34</v>
      </c>
      <c r="B27" s="28" t="s">
        <v>74</v>
      </c>
      <c r="C27" s="35"/>
      <c r="D27" s="28">
        <f>COUNTIFS(DataRegularSeason20242025!$E$2:$E$1315,C$1,DataRegularSeason20242025!$D$2:$D$1315,$A27,DataRegularSeason20242025!$N$2:$N$1315,1)</f>
        <v>0</v>
      </c>
      <c r="E27" s="35"/>
      <c r="F27" s="28">
        <f>COUNTIFS(DataRegularSeason20242025!$E$2:$E$1315,E$1,DataRegularSeason20242025!$D$2:$D$1315,$A27,DataRegularSeason20242025!$N$2:$N$1315,1)</f>
        <v>0</v>
      </c>
      <c r="G27" s="35"/>
      <c r="H27" s="28">
        <f>COUNTIFS(DataRegularSeason20242025!$E$2:$E$1315,G$1,DataRegularSeason20242025!$D$2:$D$1315,$A27,DataRegularSeason20242025!$N$2:$N$1315,1)</f>
        <v>0</v>
      </c>
      <c r="I27" s="35"/>
      <c r="J27" s="28">
        <f>COUNTIFS(DataRegularSeason20242025!$E$2:$E$1315,I$1,DataRegularSeason20242025!$D$2:$D$1315,$A27,DataRegularSeason20242025!$N$2:$N$1315,1)</f>
        <v>0</v>
      </c>
      <c r="K27" s="35"/>
      <c r="L27" s="28">
        <f>COUNTIFS(DataRegularSeason20242025!$E$2:$E$1315,K$1,DataRegularSeason20242025!$D$2:$D$1315,$A27,DataRegularSeason20242025!$N$2:$N$1315,1)</f>
        <v>0</v>
      </c>
      <c r="M27" s="35"/>
      <c r="N27" s="28">
        <f>COUNTIFS(DataRegularSeason20242025!$E$2:$E$1315,M$1,DataRegularSeason20242025!$D$2:$D$1315,$A27,DataRegularSeason20242025!$N$2:$N$1315,1)</f>
        <v>0</v>
      </c>
      <c r="O27" s="35"/>
      <c r="P27" s="28">
        <f>COUNTIFS(DataRegularSeason20242025!$E$2:$E$1315,O$1,DataRegularSeason20242025!$D$2:$D$1315,$A27,DataRegularSeason20242025!$N$2:$N$1315,1)</f>
        <v>0</v>
      </c>
      <c r="Q27" s="35"/>
      <c r="R27" s="46">
        <f>COUNTIFS(DataRegularSeason20242025!$E$2:$E$1315,Q$1,DataRegularSeason20242025!$D$2:$D$1315,$A27,DataRegularSeason20242025!$N$2:$N$1315,1)</f>
        <v>0</v>
      </c>
      <c r="S27" s="35"/>
      <c r="T27" s="28">
        <f>COUNTIFS(DataRegularSeason20242025!$E$2:$E$1315,S$1,DataRegularSeason20242025!$D$2:$D$1315,$A27,DataRegularSeason20242025!$N$2:$N$1315,1)</f>
        <v>0</v>
      </c>
      <c r="U27" s="35"/>
      <c r="V27" s="28">
        <f>COUNTIFS(DataRegularSeason20242025!$E$2:$E$1315,U$1,DataRegularSeason20242025!$D$2:$D$1315,$A27,DataRegularSeason20242025!$N$2:$N$1315,1)</f>
        <v>0</v>
      </c>
      <c r="W27" s="35"/>
      <c r="X27" s="28">
        <f>COUNTIFS(DataRegularSeason20242025!$E$2:$E$1315,W$1,DataRegularSeason20242025!$D$2:$D$1315,$A27,DataRegularSeason20242025!$N$2:$N$1315,1)</f>
        <v>0</v>
      </c>
      <c r="Y27" s="35"/>
      <c r="Z27" s="28">
        <f>COUNTIFS(DataRegularSeason20242025!$E$2:$E$1315,Y$1,DataRegularSeason20242025!$D$2:$D$1315,$A27,DataRegularSeason20242025!$N$2:$N$1315,1)</f>
        <v>0</v>
      </c>
      <c r="AA27" s="35"/>
      <c r="AB27" s="36"/>
      <c r="AC27" s="35"/>
      <c r="AD27" s="28">
        <f>COUNTIFS(DataRegularSeason20242025!$E$2:$E$1315,AC$1,DataRegularSeason20242025!$D$2:$D$1315,$A27,DataRegularSeason20242025!$N$2:$N$1315,1)</f>
        <v>0</v>
      </c>
      <c r="AE27" s="35"/>
      <c r="AF27" s="28">
        <f>COUNTIFS(DataRegularSeason20242025!$E$2:$E$1315,AE$1,DataRegularSeason20242025!$D$2:$D$1315,$A27,DataRegularSeason20242025!$N$2:$N$1315,1)</f>
        <v>0</v>
      </c>
      <c r="AG27" s="35"/>
      <c r="AH27" s="46">
        <f>COUNTIFS(DataRegularSeason20242025!$E$2:$E$1315,AG$1,DataRegularSeason20242025!$D$2:$D$1315,$A27,DataRegularSeason20242025!$N$2:$N$1315,1)</f>
        <v>1</v>
      </c>
      <c r="AI27" s="35"/>
      <c r="AJ27" s="28">
        <f>COUNTIFS(DataRegularSeason20242025!$E$2:$E$1315,AI$1,DataRegularSeason20242025!$D$2:$D$1315,$A27,DataRegularSeason20242025!$N$2:$N$1315,1)</f>
        <v>0</v>
      </c>
      <c r="AK27" s="35"/>
      <c r="AL27" s="28">
        <f>COUNTIFS(DataRegularSeason20242025!$E$2:$E$1315,AK$1,DataRegularSeason20242025!$D$2:$D$1315,$A27,DataRegularSeason20242025!$N$2:$N$1315,1)</f>
        <v>0</v>
      </c>
      <c r="AM27" s="35"/>
      <c r="AN27" s="28">
        <f>COUNTIFS(DataRegularSeason20242025!$E$2:$E$1315,AM$1,DataRegularSeason20242025!$D$2:$D$1315,$A27,DataRegularSeason20242025!$N$2:$N$1315,1)</f>
        <v>0</v>
      </c>
      <c r="AO27" s="35"/>
      <c r="AP27" s="28">
        <f>COUNTIFS(DataRegularSeason20242025!$E$2:$E$1315,AO$1,DataRegularSeason20242025!$D$2:$D$1315,$A27,DataRegularSeason20242025!$N$2:$N$1315,1)</f>
        <v>0</v>
      </c>
      <c r="AQ27" s="35"/>
      <c r="AR27" s="28">
        <f>COUNTIFS(DataRegularSeason20242025!$E$2:$E$1315,AQ$1,DataRegularSeason20242025!$D$2:$D$1315,$A27,DataRegularSeason20242025!$N$2:$N$1315,1)</f>
        <v>0</v>
      </c>
      <c r="AS27" s="35"/>
      <c r="AT27" s="28">
        <f>COUNTIFS(DataRegularSeason20242025!$E$2:$E$1315,AS$1,DataRegularSeason20242025!$D$2:$D$1315,$A27,DataRegularSeason20242025!$N$2:$N$1315,1)</f>
        <v>0</v>
      </c>
      <c r="AU27" s="35"/>
      <c r="AV27" s="28">
        <f>COUNTIFS(DataRegularSeason20242025!$E$2:$E$1315,AU$1,DataRegularSeason20242025!$D$2:$D$1315,$A27,DataRegularSeason20242025!$N$2:$N$1315,1)</f>
        <v>0</v>
      </c>
      <c r="AW27" s="35"/>
      <c r="AX27" s="46">
        <f>COUNTIFS(DataRegularSeason20242025!$E$2:$E$1315,AW$1,DataRegularSeason20242025!$D$2:$D$1315,$A27,DataRegularSeason20242025!$N$2:$N$1315,1)</f>
        <v>0</v>
      </c>
      <c r="AY27" s="35"/>
      <c r="AZ27" s="28">
        <f>COUNTIFS(DataRegularSeason20242025!$E$2:$E$1315,AY$1,DataRegularSeason20242025!$D$2:$D$1315,$A27,DataRegularSeason20242025!$N$2:$N$1315,1)</f>
        <v>0</v>
      </c>
      <c r="BA27" s="35"/>
      <c r="BB27" s="28">
        <f>COUNTIFS(DataRegularSeason20242025!$E$2:$E$1315,BA$1,DataRegularSeason20242025!$D$2:$D$1315,$A27,DataRegularSeason20242025!$N$2:$N$1315,1)</f>
        <v>0</v>
      </c>
      <c r="BC27" s="35"/>
      <c r="BD27" s="28">
        <f>COUNTIFS(DataRegularSeason20242025!$E$2:$E$1315,BC$1,DataRegularSeason20242025!$D$2:$D$1315,$A27,DataRegularSeason20242025!$N$2:$N$1315,1)</f>
        <v>0</v>
      </c>
      <c r="BE27" s="35"/>
      <c r="BF27" s="28">
        <f>COUNTIFS(DataRegularSeason20242025!$E$2:$E$1315,BE$1,DataRegularSeason20242025!$D$2:$D$1315,$A27,DataRegularSeason20242025!$N$2:$N$1315,1)</f>
        <v>0</v>
      </c>
      <c r="BG27" s="35"/>
      <c r="BH27" s="28">
        <f>COUNTIFS(DataRegularSeason20242025!$E$2:$E$1315,BG$1,DataRegularSeason20242025!$D$2:$D$1315,$A27,DataRegularSeason20242025!$N$2:$N$1315,1)</f>
        <v>1</v>
      </c>
      <c r="BI27" s="35"/>
      <c r="BJ27" s="28">
        <f>COUNTIFS(DataRegularSeason20242025!$E$2:$E$1315,BI$1,DataRegularSeason20242025!$D$2:$D$1315,$A27,DataRegularSeason20242025!$N$2:$N$1315,1)</f>
        <v>1</v>
      </c>
      <c r="BK27" s="35"/>
      <c r="BL27" s="28">
        <f>COUNTIFS(DataRegularSeason20242025!$E$2:$E$1315,BK$1,DataRegularSeason20242025!$D$2:$D$1315,$A27,DataRegularSeason20242025!$N$2:$N$1315,1)</f>
        <v>0</v>
      </c>
      <c r="BM27" s="35"/>
      <c r="BN27" s="28">
        <f>COUNTIFS(DataRegularSeason20242025!$E$2:$E$1315,BM$1,DataRegularSeason20242025!$D$2:$D$1315,$A27,DataRegularSeason20242025!$N$2:$N$1315,1)</f>
        <v>1</v>
      </c>
      <c r="BO27" s="30">
        <f t="shared" si="0"/>
        <v>4</v>
      </c>
      <c r="BP27" s="165">
        <f t="shared" ref="BP27" si="23">BO27+BO28</f>
        <v>7</v>
      </c>
      <c r="BQ27" s="166">
        <f t="shared" ref="BQ27" si="24">82-BP27</f>
        <v>75</v>
      </c>
    </row>
    <row r="28" spans="1:69" ht="12" customHeight="1" x14ac:dyDescent="0.25">
      <c r="A28" s="167"/>
      <c r="B28" s="32" t="s">
        <v>73</v>
      </c>
      <c r="C28" s="38">
        <f>COUNTIFS(DataRegularSeason20242025!$D$2:$D$1315,C$1,DataRegularSeason20242025!$E$2:$E$1315,$A27,DataRegularSeason20242025!$N$2:$N$1315,1)</f>
        <v>1</v>
      </c>
      <c r="D28" s="39"/>
      <c r="E28" s="38">
        <f>COUNTIFS(DataRegularSeason20242025!$D$2:$D$1315,E$1,DataRegularSeason20242025!$E$2:$E$1315,$A27,DataRegularSeason20242025!$N$2:$N$1315,1)</f>
        <v>0</v>
      </c>
      <c r="F28" s="39"/>
      <c r="G28" s="38">
        <f>COUNTIFS(DataRegularSeason20242025!$D$2:$D$1315,G$1,DataRegularSeason20242025!$E$2:$E$1315,$A27,DataRegularSeason20242025!$N$2:$N$1315,1)</f>
        <v>0</v>
      </c>
      <c r="H28" s="39"/>
      <c r="I28" s="38">
        <f>COUNTIFS(DataRegularSeason20242025!$D$2:$D$1315,I$1,DataRegularSeason20242025!$E$2:$E$1315,$A27,DataRegularSeason20242025!$N$2:$N$1315,1)</f>
        <v>0</v>
      </c>
      <c r="J28" s="39"/>
      <c r="K28" s="38">
        <f>COUNTIFS(DataRegularSeason20242025!$D$2:$D$1315,K$1,DataRegularSeason20242025!$E$2:$E$1315,$A27,DataRegularSeason20242025!$N$2:$N$1315,1)</f>
        <v>0</v>
      </c>
      <c r="L28" s="39"/>
      <c r="M28" s="38">
        <f>COUNTIFS(DataRegularSeason20242025!$D$2:$D$1315,M$1,DataRegularSeason20242025!$E$2:$E$1315,$A27,DataRegularSeason20242025!$N$2:$N$1315,1)</f>
        <v>0</v>
      </c>
      <c r="N28" s="39"/>
      <c r="O28" s="38">
        <f>COUNTIFS(DataRegularSeason20242025!$D$2:$D$1315,O$1,DataRegularSeason20242025!$E$2:$E$1315,$A27,DataRegularSeason20242025!$N$2:$N$1315,1)</f>
        <v>0</v>
      </c>
      <c r="P28" s="39"/>
      <c r="Q28" s="38">
        <f>COUNTIFS(DataRegularSeason20242025!$D$2:$D$1315,Q$1,DataRegularSeason20242025!$E$2:$E$1315,$A27,DataRegularSeason20242025!$N$2:$N$1315,1)</f>
        <v>0</v>
      </c>
      <c r="R28" s="47"/>
      <c r="S28" s="38">
        <f>COUNTIFS(DataRegularSeason20242025!$D$2:$D$1315,S$1,DataRegularSeason20242025!$E$2:$E$1315,$A27,DataRegularSeason20242025!$N$2:$N$1315,1)</f>
        <v>0</v>
      </c>
      <c r="T28" s="39"/>
      <c r="U28" s="38">
        <f>COUNTIFS(DataRegularSeason20242025!$D$2:$D$1315,U$1,DataRegularSeason20242025!$E$2:$E$1315,$A27,DataRegularSeason20242025!$N$2:$N$1315,1)</f>
        <v>0</v>
      </c>
      <c r="V28" s="39"/>
      <c r="W28" s="38">
        <f>COUNTIFS(DataRegularSeason20242025!$D$2:$D$1315,W$1,DataRegularSeason20242025!$E$2:$E$1315,$A27,DataRegularSeason20242025!$N$2:$N$1315,1)</f>
        <v>0</v>
      </c>
      <c r="X28" s="39"/>
      <c r="Y28" s="38">
        <f>COUNTIFS(DataRegularSeason20242025!$D$2:$D$1315,Y$1,DataRegularSeason20242025!$E$2:$E$1315,$A27,DataRegularSeason20242025!$N$2:$N$1315,1)</f>
        <v>0</v>
      </c>
      <c r="Z28" s="39"/>
      <c r="AA28" s="38"/>
      <c r="AB28" s="39"/>
      <c r="AC28" s="38">
        <f>COUNTIFS(DataRegularSeason20242025!$D$2:$D$1315,AC$1,DataRegularSeason20242025!$E$2:$E$1315,$A27,DataRegularSeason20242025!$N$2:$N$1315,1)</f>
        <v>0</v>
      </c>
      <c r="AD28" s="39"/>
      <c r="AE28" s="38">
        <f>COUNTIFS(DataRegularSeason20242025!$D$2:$D$1315,AE$1,DataRegularSeason20242025!$E$2:$E$1315,$A27,DataRegularSeason20242025!$N$2:$N$1315,1)</f>
        <v>1</v>
      </c>
      <c r="AF28" s="39"/>
      <c r="AG28" s="38">
        <f>COUNTIFS(DataRegularSeason20242025!$D$2:$D$1315,AG$1,DataRegularSeason20242025!$E$2:$E$1315,$A27,DataRegularSeason20242025!$N$2:$N$1315,1)</f>
        <v>0</v>
      </c>
      <c r="AH28" s="47"/>
      <c r="AI28" s="38">
        <f>COUNTIFS(DataRegularSeason20242025!$D$2:$D$1315,AI$1,DataRegularSeason20242025!$E$2:$E$1315,$A27,DataRegularSeason20242025!$N$2:$N$1315,1)</f>
        <v>0</v>
      </c>
      <c r="AJ28" s="39"/>
      <c r="AK28" s="38">
        <f>COUNTIFS(DataRegularSeason20242025!$D$2:$D$1315,AK$1,DataRegularSeason20242025!$E$2:$E$1315,$A27,DataRegularSeason20242025!$N$2:$N$1315,1)</f>
        <v>1</v>
      </c>
      <c r="AL28" s="39"/>
      <c r="AM28" s="38">
        <f>COUNTIFS(DataRegularSeason20242025!$D$2:$D$1315,AM$1,DataRegularSeason20242025!$E$2:$E$1315,$A27,DataRegularSeason20242025!$N$2:$N$1315,1)</f>
        <v>0</v>
      </c>
      <c r="AN28" s="39"/>
      <c r="AO28" s="38">
        <f>COUNTIFS(DataRegularSeason20242025!$D$2:$D$1315,AO$1,DataRegularSeason20242025!$E$2:$E$1315,$A27,DataRegularSeason20242025!$N$2:$N$1315,1)</f>
        <v>0</v>
      </c>
      <c r="AP28" s="39"/>
      <c r="AQ28" s="38">
        <f>COUNTIFS(DataRegularSeason20242025!$D$2:$D$1315,AQ$1,DataRegularSeason20242025!$E$2:$E$1315,$A27,DataRegularSeason20242025!$N$2:$N$1315,1)</f>
        <v>0</v>
      </c>
      <c r="AR28" s="39"/>
      <c r="AS28" s="38">
        <f>COUNTIFS(DataRegularSeason20242025!$D$2:$D$1315,AS$1,DataRegularSeason20242025!$E$2:$E$1315,$A27,DataRegularSeason20242025!$N$2:$N$1315,1)</f>
        <v>0</v>
      </c>
      <c r="AT28" s="39"/>
      <c r="AU28" s="38">
        <f>COUNTIFS(DataRegularSeason20242025!$D$2:$D$1315,AU$1,DataRegularSeason20242025!$E$2:$E$1315,$A27,DataRegularSeason20242025!$N$2:$N$1315,1)</f>
        <v>0</v>
      </c>
      <c r="AV28" s="39"/>
      <c r="AW28" s="38">
        <f>COUNTIFS(DataRegularSeason20242025!$D$2:$D$1315,AW$1,DataRegularSeason20242025!$E$2:$E$1315,$A27,DataRegularSeason20242025!$N$2:$N$1315,1)</f>
        <v>0</v>
      </c>
      <c r="AX28" s="47"/>
      <c r="AY28" s="38">
        <f>COUNTIFS(DataRegularSeason20242025!$D$2:$D$1315,AY$1,DataRegularSeason20242025!$E$2:$E$1315,$A27,DataRegularSeason20242025!$N$2:$N$1315,1)</f>
        <v>0</v>
      </c>
      <c r="AZ28" s="39"/>
      <c r="BA28" s="38">
        <f>COUNTIFS(DataRegularSeason20242025!$D$2:$D$1315,BA$1,DataRegularSeason20242025!$E$2:$E$1315,$A27,DataRegularSeason20242025!$N$2:$N$1315,1)</f>
        <v>0</v>
      </c>
      <c r="BB28" s="39"/>
      <c r="BC28" s="38">
        <f>COUNTIFS(DataRegularSeason20242025!$D$2:$D$1315,BC$1,DataRegularSeason20242025!$E$2:$E$1315,$A27,DataRegularSeason20242025!$N$2:$N$1315,1)</f>
        <v>0</v>
      </c>
      <c r="BD28" s="39"/>
      <c r="BE28" s="38">
        <f>COUNTIFS(DataRegularSeason20242025!$D$2:$D$1315,BE$1,DataRegularSeason20242025!$E$2:$E$1315,$A27,DataRegularSeason20242025!$N$2:$N$1315,1)</f>
        <v>0</v>
      </c>
      <c r="BF28" s="39"/>
      <c r="BG28" s="38">
        <f>COUNTIFS(DataRegularSeason20242025!$D$2:$D$1315,BG$1,DataRegularSeason20242025!$E$2:$E$1315,$A27,DataRegularSeason20242025!$N$2:$N$1315,1)</f>
        <v>0</v>
      </c>
      <c r="BH28" s="39"/>
      <c r="BI28" s="38">
        <f>COUNTIFS(DataRegularSeason20242025!$D$2:$D$1315,BI$1,DataRegularSeason20242025!$E$2:$E$1315,$A27,DataRegularSeason20242025!$N$2:$N$1315,1)</f>
        <v>0</v>
      </c>
      <c r="BJ28" s="39"/>
      <c r="BK28" s="38">
        <f>COUNTIFS(DataRegularSeason20242025!$D$2:$D$1315,BK$1,DataRegularSeason20242025!$E$2:$E$1315,$A27,DataRegularSeason20242025!$N$2:$N$1315,1)</f>
        <v>0</v>
      </c>
      <c r="BL28" s="39"/>
      <c r="BM28" s="38">
        <f>COUNTIFS(DataRegularSeason20242025!$D$2:$D$1315,BM$1,DataRegularSeason20242025!$E$2:$E$1315,$A27,DataRegularSeason20242025!$N$2:$N$1315,1)</f>
        <v>0</v>
      </c>
      <c r="BN28" s="39"/>
      <c r="BO28" s="34">
        <f t="shared" si="0"/>
        <v>3</v>
      </c>
      <c r="BP28" s="165"/>
      <c r="BQ28" s="166"/>
    </row>
    <row r="29" spans="1:69" ht="12" customHeight="1" x14ac:dyDescent="0.25">
      <c r="A29" s="172" t="s">
        <v>12</v>
      </c>
      <c r="B29" s="28" t="s">
        <v>74</v>
      </c>
      <c r="C29" s="35"/>
      <c r="D29" s="28">
        <f>COUNTIFS(DataRegularSeason20242025!$E$2:$E$1315,C$1,DataRegularSeason20242025!$D$2:$D$1315,$A29,DataRegularSeason20242025!$N$2:$N$1315,1)</f>
        <v>0</v>
      </c>
      <c r="E29" s="35"/>
      <c r="F29" s="28">
        <f>COUNTIFS(DataRegularSeason20242025!$E$2:$E$1315,E$1,DataRegularSeason20242025!$D$2:$D$1315,$A29,DataRegularSeason20242025!$N$2:$N$1315,1)</f>
        <v>1</v>
      </c>
      <c r="G29" s="35"/>
      <c r="H29" s="28">
        <f>COUNTIFS(DataRegularSeason20242025!$E$2:$E$1315,G$1,DataRegularSeason20242025!$D$2:$D$1315,$A29,DataRegularSeason20242025!$N$2:$N$1315,1)</f>
        <v>0</v>
      </c>
      <c r="I29" s="35"/>
      <c r="J29" s="28">
        <f>COUNTIFS(DataRegularSeason20242025!$E$2:$E$1315,I$1,DataRegularSeason20242025!$D$2:$D$1315,$A29,DataRegularSeason20242025!$N$2:$N$1315,1)</f>
        <v>0</v>
      </c>
      <c r="K29" s="35"/>
      <c r="L29" s="28">
        <f>COUNTIFS(DataRegularSeason20242025!$E$2:$E$1315,K$1,DataRegularSeason20242025!$D$2:$D$1315,$A29,DataRegularSeason20242025!$N$2:$N$1315,1)</f>
        <v>0</v>
      </c>
      <c r="M29" s="35"/>
      <c r="N29" s="28">
        <f>COUNTIFS(DataRegularSeason20242025!$E$2:$E$1315,M$1,DataRegularSeason20242025!$D$2:$D$1315,$A29,DataRegularSeason20242025!$N$2:$N$1315,1)</f>
        <v>0</v>
      </c>
      <c r="O29" s="35"/>
      <c r="P29" s="28">
        <f>COUNTIFS(DataRegularSeason20242025!$E$2:$E$1315,O$1,DataRegularSeason20242025!$D$2:$D$1315,$A29,DataRegularSeason20242025!$N$2:$N$1315,1)</f>
        <v>1</v>
      </c>
      <c r="Q29" s="35"/>
      <c r="R29" s="46">
        <f>COUNTIFS(DataRegularSeason20242025!$E$2:$E$1315,Q$1,DataRegularSeason20242025!$D$2:$D$1315,$A29,DataRegularSeason20242025!$N$2:$N$1315,1)</f>
        <v>0</v>
      </c>
      <c r="S29" s="35"/>
      <c r="T29" s="28">
        <f>COUNTIFS(DataRegularSeason20242025!$E$2:$E$1315,S$1,DataRegularSeason20242025!$D$2:$D$1315,$A29,DataRegularSeason20242025!$N$2:$N$1315,1)</f>
        <v>0</v>
      </c>
      <c r="U29" s="35"/>
      <c r="V29" s="28">
        <f>COUNTIFS(DataRegularSeason20242025!$E$2:$E$1315,U$1,DataRegularSeason20242025!$D$2:$D$1315,$A29,DataRegularSeason20242025!$N$2:$N$1315,1)</f>
        <v>0</v>
      </c>
      <c r="W29" s="35"/>
      <c r="X29" s="28">
        <f>COUNTIFS(DataRegularSeason20242025!$E$2:$E$1315,W$1,DataRegularSeason20242025!$D$2:$D$1315,$A29,DataRegularSeason20242025!$N$2:$N$1315,1)</f>
        <v>0</v>
      </c>
      <c r="Y29" s="35"/>
      <c r="Z29" s="28">
        <f>COUNTIFS(DataRegularSeason20242025!$E$2:$E$1315,Y$1,DataRegularSeason20242025!$D$2:$D$1315,$A29,DataRegularSeason20242025!$N$2:$N$1315,1)</f>
        <v>0</v>
      </c>
      <c r="AA29" s="35"/>
      <c r="AB29" s="28">
        <f>COUNTIFS(DataRegularSeason20242025!$E$2:$E$1315,AA$1,DataRegularSeason20242025!$D$2:$D$1315,$A29,DataRegularSeason20242025!$N$2:$N$1315,1)</f>
        <v>0</v>
      </c>
      <c r="AC29" s="35"/>
      <c r="AD29" s="36"/>
      <c r="AE29" s="35"/>
      <c r="AF29" s="28">
        <f>COUNTIFS(DataRegularSeason20242025!$E$2:$E$1315,AE$1,DataRegularSeason20242025!$D$2:$D$1315,$A29,DataRegularSeason20242025!$N$2:$N$1315,1)</f>
        <v>0</v>
      </c>
      <c r="AG29" s="35"/>
      <c r="AH29" s="46">
        <f>COUNTIFS(DataRegularSeason20242025!$E$2:$E$1315,AG$1,DataRegularSeason20242025!$D$2:$D$1315,$A29,DataRegularSeason20242025!$N$2:$N$1315,1)</f>
        <v>0</v>
      </c>
      <c r="AI29" s="35"/>
      <c r="AJ29" s="28">
        <f>COUNTIFS(DataRegularSeason20242025!$E$2:$E$1315,AI$1,DataRegularSeason20242025!$D$2:$D$1315,$A29,DataRegularSeason20242025!$N$2:$N$1315,1)</f>
        <v>0</v>
      </c>
      <c r="AK29" s="35"/>
      <c r="AL29" s="28">
        <f>COUNTIFS(DataRegularSeason20242025!$E$2:$E$1315,AK$1,DataRegularSeason20242025!$D$2:$D$1315,$A29,DataRegularSeason20242025!$N$2:$N$1315,1)</f>
        <v>0</v>
      </c>
      <c r="AM29" s="35"/>
      <c r="AN29" s="28">
        <f>COUNTIFS(DataRegularSeason20242025!$E$2:$E$1315,AM$1,DataRegularSeason20242025!$D$2:$D$1315,$A29,DataRegularSeason20242025!$N$2:$N$1315,1)</f>
        <v>0</v>
      </c>
      <c r="AO29" s="35"/>
      <c r="AP29" s="28">
        <f>COUNTIFS(DataRegularSeason20242025!$E$2:$E$1315,AO$1,DataRegularSeason20242025!$D$2:$D$1315,$A29,DataRegularSeason20242025!$N$2:$N$1315,1)</f>
        <v>0</v>
      </c>
      <c r="AQ29" s="35"/>
      <c r="AR29" s="28">
        <f>COUNTIFS(DataRegularSeason20242025!$E$2:$E$1315,AQ$1,DataRegularSeason20242025!$D$2:$D$1315,$A29,DataRegularSeason20242025!$N$2:$N$1315,1)</f>
        <v>0</v>
      </c>
      <c r="AS29" s="35"/>
      <c r="AT29" s="28">
        <f>COUNTIFS(DataRegularSeason20242025!$E$2:$E$1315,AS$1,DataRegularSeason20242025!$D$2:$D$1315,$A29,DataRegularSeason20242025!$N$2:$N$1315,1)</f>
        <v>0</v>
      </c>
      <c r="AU29" s="35"/>
      <c r="AV29" s="28">
        <f>COUNTIFS(DataRegularSeason20242025!$E$2:$E$1315,AU$1,DataRegularSeason20242025!$D$2:$D$1315,$A29,DataRegularSeason20242025!$N$2:$N$1315,1)</f>
        <v>0</v>
      </c>
      <c r="AW29" s="35"/>
      <c r="AX29" s="46">
        <f>COUNTIFS(DataRegularSeason20242025!$E$2:$E$1315,AW$1,DataRegularSeason20242025!$D$2:$D$1315,$A29,DataRegularSeason20242025!$N$2:$N$1315,1)</f>
        <v>0</v>
      </c>
      <c r="AY29" s="35"/>
      <c r="AZ29" s="28">
        <f>COUNTIFS(DataRegularSeason20242025!$E$2:$E$1315,AY$1,DataRegularSeason20242025!$D$2:$D$1315,$A29,DataRegularSeason20242025!$N$2:$N$1315,1)</f>
        <v>0</v>
      </c>
      <c r="BA29" s="35"/>
      <c r="BB29" s="28">
        <f>COUNTIFS(DataRegularSeason20242025!$E$2:$E$1315,BA$1,DataRegularSeason20242025!$D$2:$D$1315,$A29,DataRegularSeason20242025!$N$2:$N$1315,1)</f>
        <v>0</v>
      </c>
      <c r="BC29" s="35"/>
      <c r="BD29" s="28">
        <f>COUNTIFS(DataRegularSeason20242025!$E$2:$E$1315,BC$1,DataRegularSeason20242025!$D$2:$D$1315,$A29,DataRegularSeason20242025!$N$2:$N$1315,1)</f>
        <v>0</v>
      </c>
      <c r="BE29" s="35"/>
      <c r="BF29" s="28">
        <f>COUNTIFS(DataRegularSeason20242025!$E$2:$E$1315,BE$1,DataRegularSeason20242025!$D$2:$D$1315,$A29,DataRegularSeason20242025!$N$2:$N$1315,1)</f>
        <v>0</v>
      </c>
      <c r="BG29" s="35"/>
      <c r="BH29" s="28">
        <f>COUNTIFS(DataRegularSeason20242025!$E$2:$E$1315,BG$1,DataRegularSeason20242025!$D$2:$D$1315,$A29,DataRegularSeason20242025!$N$2:$N$1315,1)</f>
        <v>0</v>
      </c>
      <c r="BI29" s="35"/>
      <c r="BJ29" s="28">
        <f>COUNTIFS(DataRegularSeason20242025!$E$2:$E$1315,BI$1,DataRegularSeason20242025!$D$2:$D$1315,$A29,DataRegularSeason20242025!$N$2:$N$1315,1)</f>
        <v>0</v>
      </c>
      <c r="BK29" s="35"/>
      <c r="BL29" s="28">
        <f>COUNTIFS(DataRegularSeason20242025!$E$2:$E$1315,BK$1,DataRegularSeason20242025!$D$2:$D$1315,$A29,DataRegularSeason20242025!$N$2:$N$1315,1)</f>
        <v>0</v>
      </c>
      <c r="BM29" s="35"/>
      <c r="BN29" s="28">
        <f>COUNTIFS(DataRegularSeason20242025!$E$2:$E$1315,BM$1,DataRegularSeason20242025!$D$2:$D$1315,$A29,DataRegularSeason20242025!$N$2:$N$1315,1)</f>
        <v>0</v>
      </c>
      <c r="BO29" s="30">
        <f t="shared" si="0"/>
        <v>2</v>
      </c>
      <c r="BP29" s="165">
        <f t="shared" ref="BP29" si="25">BO29+BO30</f>
        <v>6</v>
      </c>
      <c r="BQ29" s="166">
        <f t="shared" ref="BQ29" si="26">82-BP29</f>
        <v>76</v>
      </c>
    </row>
    <row r="30" spans="1:69" ht="12" customHeight="1" x14ac:dyDescent="0.25">
      <c r="A30" s="167"/>
      <c r="B30" s="32" t="s">
        <v>73</v>
      </c>
      <c r="C30" s="38">
        <f>COUNTIFS(DataRegularSeason20242025!$D$2:$D$1315,C$1,DataRegularSeason20242025!$E$2:$E$1315,$A29,DataRegularSeason20242025!$N$2:$N$1315,1)</f>
        <v>0</v>
      </c>
      <c r="D30" s="39"/>
      <c r="E30" s="38">
        <f>COUNTIFS(DataRegularSeason20242025!$D$2:$D$1315,E$1,DataRegularSeason20242025!$E$2:$E$1315,$A29,DataRegularSeason20242025!$N$2:$N$1315,1)</f>
        <v>0</v>
      </c>
      <c r="F30" s="39"/>
      <c r="G30" s="38">
        <f>COUNTIFS(DataRegularSeason20242025!$D$2:$D$1315,G$1,DataRegularSeason20242025!$E$2:$E$1315,$A29,DataRegularSeason20242025!$N$2:$N$1315,1)</f>
        <v>0</v>
      </c>
      <c r="H30" s="39"/>
      <c r="I30" s="38">
        <f>COUNTIFS(DataRegularSeason20242025!$D$2:$D$1315,I$1,DataRegularSeason20242025!$E$2:$E$1315,$A29,DataRegularSeason20242025!$N$2:$N$1315,1)</f>
        <v>1</v>
      </c>
      <c r="J30" s="39"/>
      <c r="K30" s="38">
        <f>COUNTIFS(DataRegularSeason20242025!$D$2:$D$1315,K$1,DataRegularSeason20242025!$E$2:$E$1315,$A29,DataRegularSeason20242025!$N$2:$N$1315,1)</f>
        <v>0</v>
      </c>
      <c r="L30" s="39"/>
      <c r="M30" s="38">
        <f>COUNTIFS(DataRegularSeason20242025!$D$2:$D$1315,M$1,DataRegularSeason20242025!$E$2:$E$1315,$A29,DataRegularSeason20242025!$N$2:$N$1315,1)</f>
        <v>0</v>
      </c>
      <c r="N30" s="39"/>
      <c r="O30" s="38">
        <f>COUNTIFS(DataRegularSeason20242025!$D$2:$D$1315,O$1,DataRegularSeason20242025!$E$2:$E$1315,$A29,DataRegularSeason20242025!$N$2:$N$1315,1)</f>
        <v>0</v>
      </c>
      <c r="P30" s="39"/>
      <c r="Q30" s="38">
        <f>COUNTIFS(DataRegularSeason20242025!$D$2:$D$1315,Q$1,DataRegularSeason20242025!$E$2:$E$1315,$A29,DataRegularSeason20242025!$N$2:$N$1315,1)</f>
        <v>0</v>
      </c>
      <c r="R30" s="47"/>
      <c r="S30" s="38">
        <f>COUNTIFS(DataRegularSeason20242025!$D$2:$D$1315,S$1,DataRegularSeason20242025!$E$2:$E$1315,$A29,DataRegularSeason20242025!$N$2:$N$1315,1)</f>
        <v>1</v>
      </c>
      <c r="T30" s="39"/>
      <c r="U30" s="38">
        <f>COUNTIFS(DataRegularSeason20242025!$D$2:$D$1315,U$1,DataRegularSeason20242025!$E$2:$E$1315,$A29,DataRegularSeason20242025!$N$2:$N$1315,1)</f>
        <v>0</v>
      </c>
      <c r="V30" s="39"/>
      <c r="W30" s="38">
        <f>COUNTIFS(DataRegularSeason20242025!$D$2:$D$1315,W$1,DataRegularSeason20242025!$E$2:$E$1315,$A29,DataRegularSeason20242025!$N$2:$N$1315,1)</f>
        <v>1</v>
      </c>
      <c r="X30" s="39"/>
      <c r="Y30" s="38">
        <f>COUNTIFS(DataRegularSeason20242025!$D$2:$D$1315,Y$1,DataRegularSeason20242025!$E$2:$E$1315,$A29,DataRegularSeason20242025!$N$2:$N$1315,1)</f>
        <v>1</v>
      </c>
      <c r="Z30" s="39"/>
      <c r="AA30" s="38">
        <f>COUNTIFS(DataRegularSeason20242025!$D$2:$D$1315,AA$1,DataRegularSeason20242025!$E$2:$E$1315,$A29,DataRegularSeason20242025!$N$2:$N$1315,1)</f>
        <v>0</v>
      </c>
      <c r="AB30" s="39"/>
      <c r="AC30" s="38"/>
      <c r="AD30" s="39"/>
      <c r="AE30" s="38">
        <f>COUNTIFS(DataRegularSeason20242025!$D$2:$D$1315,AE$1,DataRegularSeason20242025!$E$2:$E$1315,$A29,DataRegularSeason20242025!$N$2:$N$1315,1)</f>
        <v>0</v>
      </c>
      <c r="AF30" s="39"/>
      <c r="AG30" s="38">
        <f>COUNTIFS(DataRegularSeason20242025!$D$2:$D$1315,AG$1,DataRegularSeason20242025!$E$2:$E$1315,$A29,DataRegularSeason20242025!$N$2:$N$1315,1)</f>
        <v>0</v>
      </c>
      <c r="AH30" s="47"/>
      <c r="AI30" s="38">
        <f>COUNTIFS(DataRegularSeason20242025!$D$2:$D$1315,AI$1,DataRegularSeason20242025!$E$2:$E$1315,$A29,DataRegularSeason20242025!$N$2:$N$1315,1)</f>
        <v>0</v>
      </c>
      <c r="AJ30" s="39"/>
      <c r="AK30" s="38">
        <f>COUNTIFS(DataRegularSeason20242025!$D$2:$D$1315,AK$1,DataRegularSeason20242025!$E$2:$E$1315,$A29,DataRegularSeason20242025!$N$2:$N$1315,1)</f>
        <v>0</v>
      </c>
      <c r="AL30" s="39"/>
      <c r="AM30" s="38">
        <f>COUNTIFS(DataRegularSeason20242025!$D$2:$D$1315,AM$1,DataRegularSeason20242025!$E$2:$E$1315,$A29,DataRegularSeason20242025!$N$2:$N$1315,1)</f>
        <v>0</v>
      </c>
      <c r="AN30" s="39"/>
      <c r="AO30" s="38">
        <f>COUNTIFS(DataRegularSeason20242025!$D$2:$D$1315,AO$1,DataRegularSeason20242025!$E$2:$E$1315,$A29,DataRegularSeason20242025!$N$2:$N$1315,1)</f>
        <v>0</v>
      </c>
      <c r="AP30" s="39"/>
      <c r="AQ30" s="38">
        <f>COUNTIFS(DataRegularSeason20242025!$D$2:$D$1315,AQ$1,DataRegularSeason20242025!$E$2:$E$1315,$A29,DataRegularSeason20242025!$N$2:$N$1315,1)</f>
        <v>0</v>
      </c>
      <c r="AR30" s="39"/>
      <c r="AS30" s="38">
        <f>COUNTIFS(DataRegularSeason20242025!$D$2:$D$1315,AS$1,DataRegularSeason20242025!$E$2:$E$1315,$A29,DataRegularSeason20242025!$N$2:$N$1315,1)</f>
        <v>0</v>
      </c>
      <c r="AT30" s="39"/>
      <c r="AU30" s="38">
        <f>COUNTIFS(DataRegularSeason20242025!$D$2:$D$1315,AU$1,DataRegularSeason20242025!$E$2:$E$1315,$A29,DataRegularSeason20242025!$N$2:$N$1315,1)</f>
        <v>0</v>
      </c>
      <c r="AV30" s="39"/>
      <c r="AW30" s="38">
        <f>COUNTIFS(DataRegularSeason20242025!$D$2:$D$1315,AW$1,DataRegularSeason20242025!$E$2:$E$1315,$A29,DataRegularSeason20242025!$N$2:$N$1315,1)</f>
        <v>0</v>
      </c>
      <c r="AX30" s="47"/>
      <c r="AY30" s="38">
        <f>COUNTIFS(DataRegularSeason20242025!$D$2:$D$1315,AY$1,DataRegularSeason20242025!$E$2:$E$1315,$A29,DataRegularSeason20242025!$N$2:$N$1315,1)</f>
        <v>0</v>
      </c>
      <c r="AZ30" s="39"/>
      <c r="BA30" s="38">
        <f>COUNTIFS(DataRegularSeason20242025!$D$2:$D$1315,BA$1,DataRegularSeason20242025!$E$2:$E$1315,$A29,DataRegularSeason20242025!$N$2:$N$1315,1)</f>
        <v>0</v>
      </c>
      <c r="BB30" s="39"/>
      <c r="BC30" s="38">
        <f>COUNTIFS(DataRegularSeason20242025!$D$2:$D$1315,BC$1,DataRegularSeason20242025!$E$2:$E$1315,$A29,DataRegularSeason20242025!$N$2:$N$1315,1)</f>
        <v>0</v>
      </c>
      <c r="BD30" s="39"/>
      <c r="BE30" s="38">
        <f>COUNTIFS(DataRegularSeason20242025!$D$2:$D$1315,BE$1,DataRegularSeason20242025!$E$2:$E$1315,$A29,DataRegularSeason20242025!$N$2:$N$1315,1)</f>
        <v>0</v>
      </c>
      <c r="BF30" s="39"/>
      <c r="BG30" s="38">
        <f>COUNTIFS(DataRegularSeason20242025!$D$2:$D$1315,BG$1,DataRegularSeason20242025!$E$2:$E$1315,$A29,DataRegularSeason20242025!$N$2:$N$1315,1)</f>
        <v>0</v>
      </c>
      <c r="BH30" s="39"/>
      <c r="BI30" s="38">
        <f>COUNTIFS(DataRegularSeason20242025!$D$2:$D$1315,BI$1,DataRegularSeason20242025!$E$2:$E$1315,$A29,DataRegularSeason20242025!$N$2:$N$1315,1)</f>
        <v>0</v>
      </c>
      <c r="BJ30" s="39"/>
      <c r="BK30" s="38">
        <f>COUNTIFS(DataRegularSeason20242025!$D$2:$D$1315,BK$1,DataRegularSeason20242025!$E$2:$E$1315,$A29,DataRegularSeason20242025!$N$2:$N$1315,1)</f>
        <v>0</v>
      </c>
      <c r="BL30" s="39"/>
      <c r="BM30" s="38">
        <f>COUNTIFS(DataRegularSeason20242025!$D$2:$D$1315,BM$1,DataRegularSeason20242025!$E$2:$E$1315,$A29,DataRegularSeason20242025!$N$2:$N$1315,1)</f>
        <v>0</v>
      </c>
      <c r="BN30" s="39"/>
      <c r="BO30" s="34">
        <f t="shared" si="0"/>
        <v>4</v>
      </c>
      <c r="BP30" s="165"/>
      <c r="BQ30" s="166"/>
    </row>
    <row r="31" spans="1:69" ht="12" customHeight="1" x14ac:dyDescent="0.25">
      <c r="A31" s="172" t="s">
        <v>14</v>
      </c>
      <c r="B31" s="28" t="s">
        <v>74</v>
      </c>
      <c r="C31" s="35"/>
      <c r="D31" s="28">
        <f>COUNTIFS(DataRegularSeason20242025!$E$2:$E$1315,C$1,DataRegularSeason20242025!$D$2:$D$1315,$A31,DataRegularSeason20242025!$N$2:$N$1315,1)</f>
        <v>0</v>
      </c>
      <c r="E31" s="35"/>
      <c r="F31" s="28">
        <f>COUNTIFS(DataRegularSeason20242025!$E$2:$E$1315,E$1,DataRegularSeason20242025!$D$2:$D$1315,$A31,DataRegularSeason20242025!$N$2:$N$1315,1)</f>
        <v>0</v>
      </c>
      <c r="G31" s="35"/>
      <c r="H31" s="28">
        <f>COUNTIFS(DataRegularSeason20242025!$E$2:$E$1315,G$1,DataRegularSeason20242025!$D$2:$D$1315,$A31,DataRegularSeason20242025!$N$2:$N$1315,1)</f>
        <v>0</v>
      </c>
      <c r="I31" s="35"/>
      <c r="J31" s="28">
        <f>COUNTIFS(DataRegularSeason20242025!$E$2:$E$1315,I$1,DataRegularSeason20242025!$D$2:$D$1315,$A31,DataRegularSeason20242025!$N$2:$N$1315,1)</f>
        <v>0</v>
      </c>
      <c r="K31" s="35"/>
      <c r="L31" s="28">
        <f>COUNTIFS(DataRegularSeason20242025!$E$2:$E$1315,K$1,DataRegularSeason20242025!$D$2:$D$1315,$A31,DataRegularSeason20242025!$N$2:$N$1315,1)</f>
        <v>0</v>
      </c>
      <c r="M31" s="35"/>
      <c r="N31" s="28">
        <f>COUNTIFS(DataRegularSeason20242025!$E$2:$E$1315,M$1,DataRegularSeason20242025!$D$2:$D$1315,$A31,DataRegularSeason20242025!$N$2:$N$1315,1)</f>
        <v>0</v>
      </c>
      <c r="O31" s="35"/>
      <c r="P31" s="28">
        <f>COUNTIFS(DataRegularSeason20242025!$E$2:$E$1315,O$1,DataRegularSeason20242025!$D$2:$D$1315,$A31,DataRegularSeason20242025!$N$2:$N$1315,1)</f>
        <v>0</v>
      </c>
      <c r="Q31" s="35"/>
      <c r="R31" s="46">
        <f>COUNTIFS(DataRegularSeason20242025!$E$2:$E$1315,Q$1,DataRegularSeason20242025!$D$2:$D$1315,$A31,DataRegularSeason20242025!$N$2:$N$1315,1)</f>
        <v>0</v>
      </c>
      <c r="S31" s="35"/>
      <c r="T31" s="28">
        <f>COUNTIFS(DataRegularSeason20242025!$E$2:$E$1315,S$1,DataRegularSeason20242025!$D$2:$D$1315,$A31,DataRegularSeason20242025!$N$2:$N$1315,1)</f>
        <v>1</v>
      </c>
      <c r="U31" s="35"/>
      <c r="V31" s="28">
        <f>COUNTIFS(DataRegularSeason20242025!$E$2:$E$1315,U$1,DataRegularSeason20242025!$D$2:$D$1315,$A31,DataRegularSeason20242025!$N$2:$N$1315,1)</f>
        <v>1</v>
      </c>
      <c r="W31" s="35"/>
      <c r="X31" s="28">
        <f>COUNTIFS(DataRegularSeason20242025!$E$2:$E$1315,W$1,DataRegularSeason20242025!$D$2:$D$1315,$A31,DataRegularSeason20242025!$N$2:$N$1315,1)</f>
        <v>0</v>
      </c>
      <c r="Y31" s="35"/>
      <c r="Z31" s="28">
        <f>COUNTIFS(DataRegularSeason20242025!$E$2:$E$1315,Y$1,DataRegularSeason20242025!$D$2:$D$1315,$A31,DataRegularSeason20242025!$N$2:$N$1315,1)</f>
        <v>0</v>
      </c>
      <c r="AA31" s="35"/>
      <c r="AB31" s="28">
        <f>COUNTIFS(DataRegularSeason20242025!$E$2:$E$1315,AA$1,DataRegularSeason20242025!$D$2:$D$1315,$A31,DataRegularSeason20242025!$N$2:$N$1315,1)</f>
        <v>1</v>
      </c>
      <c r="AC31" s="35"/>
      <c r="AD31" s="28">
        <f>COUNTIFS(DataRegularSeason20242025!$E$2:$E$1315,AC$1,DataRegularSeason20242025!$D$2:$D$1315,$A31,DataRegularSeason20242025!$N$2:$N$1315,1)</f>
        <v>0</v>
      </c>
      <c r="AE31" s="35"/>
      <c r="AF31" s="36"/>
      <c r="AG31" s="35"/>
      <c r="AH31" s="46">
        <f>COUNTIFS(DataRegularSeason20242025!$E$2:$E$1315,AG$1,DataRegularSeason20242025!$D$2:$D$1315,$A31,DataRegularSeason20242025!$N$2:$N$1315,1)</f>
        <v>0</v>
      </c>
      <c r="AI31" s="35"/>
      <c r="AJ31" s="28">
        <f>COUNTIFS(DataRegularSeason20242025!$E$2:$E$1315,AI$1,DataRegularSeason20242025!$D$2:$D$1315,$A31,DataRegularSeason20242025!$N$2:$N$1315,1)</f>
        <v>0</v>
      </c>
      <c r="AK31" s="35"/>
      <c r="AL31" s="28">
        <f>COUNTIFS(DataRegularSeason20242025!$E$2:$E$1315,AK$1,DataRegularSeason20242025!$D$2:$D$1315,$A31,DataRegularSeason20242025!$N$2:$N$1315,1)</f>
        <v>0</v>
      </c>
      <c r="AM31" s="35"/>
      <c r="AN31" s="28">
        <f>COUNTIFS(DataRegularSeason20242025!$E$2:$E$1315,AM$1,DataRegularSeason20242025!$D$2:$D$1315,$A31,DataRegularSeason20242025!$N$2:$N$1315,1)</f>
        <v>0</v>
      </c>
      <c r="AO31" s="35"/>
      <c r="AP31" s="28">
        <f>COUNTIFS(DataRegularSeason20242025!$E$2:$E$1315,AO$1,DataRegularSeason20242025!$D$2:$D$1315,$A31,DataRegularSeason20242025!$N$2:$N$1315,1)</f>
        <v>0</v>
      </c>
      <c r="AQ31" s="35"/>
      <c r="AR31" s="28">
        <f>COUNTIFS(DataRegularSeason20242025!$E$2:$E$1315,AQ$1,DataRegularSeason20242025!$D$2:$D$1315,$A31,DataRegularSeason20242025!$N$2:$N$1315,1)</f>
        <v>0</v>
      </c>
      <c r="AS31" s="35"/>
      <c r="AT31" s="28">
        <f>COUNTIFS(DataRegularSeason20242025!$E$2:$E$1315,AS$1,DataRegularSeason20242025!$D$2:$D$1315,$A31,DataRegularSeason20242025!$N$2:$N$1315,1)</f>
        <v>0</v>
      </c>
      <c r="AU31" s="35"/>
      <c r="AV31" s="28">
        <f>COUNTIFS(DataRegularSeason20242025!$E$2:$E$1315,AU$1,DataRegularSeason20242025!$D$2:$D$1315,$A31,DataRegularSeason20242025!$N$2:$N$1315,1)</f>
        <v>0</v>
      </c>
      <c r="AW31" s="35"/>
      <c r="AX31" s="46">
        <f>COUNTIFS(DataRegularSeason20242025!$E$2:$E$1315,AW$1,DataRegularSeason20242025!$D$2:$D$1315,$A31,DataRegularSeason20242025!$N$2:$N$1315,1)</f>
        <v>0</v>
      </c>
      <c r="AY31" s="35"/>
      <c r="AZ31" s="28">
        <f>COUNTIFS(DataRegularSeason20242025!$E$2:$E$1315,AY$1,DataRegularSeason20242025!$D$2:$D$1315,$A31,DataRegularSeason20242025!$N$2:$N$1315,1)</f>
        <v>0</v>
      </c>
      <c r="BA31" s="35"/>
      <c r="BB31" s="28">
        <f>COUNTIFS(DataRegularSeason20242025!$E$2:$E$1315,BA$1,DataRegularSeason20242025!$D$2:$D$1315,$A31,DataRegularSeason20242025!$N$2:$N$1315,1)</f>
        <v>0</v>
      </c>
      <c r="BC31" s="35"/>
      <c r="BD31" s="28">
        <f>COUNTIFS(DataRegularSeason20242025!$E$2:$E$1315,BC$1,DataRegularSeason20242025!$D$2:$D$1315,$A31,DataRegularSeason20242025!$N$2:$N$1315,1)</f>
        <v>0</v>
      </c>
      <c r="BE31" s="35"/>
      <c r="BF31" s="28">
        <f>COUNTIFS(DataRegularSeason20242025!$E$2:$E$1315,BE$1,DataRegularSeason20242025!$D$2:$D$1315,$A31,DataRegularSeason20242025!$N$2:$N$1315,1)</f>
        <v>0</v>
      </c>
      <c r="BG31" s="35"/>
      <c r="BH31" s="28">
        <f>COUNTIFS(DataRegularSeason20242025!$E$2:$E$1315,BG$1,DataRegularSeason20242025!$D$2:$D$1315,$A31,DataRegularSeason20242025!$N$2:$N$1315,1)</f>
        <v>0</v>
      </c>
      <c r="BI31" s="35"/>
      <c r="BJ31" s="28">
        <f>COUNTIFS(DataRegularSeason20242025!$E$2:$E$1315,BI$1,DataRegularSeason20242025!$D$2:$D$1315,$A31,DataRegularSeason20242025!$N$2:$N$1315,1)</f>
        <v>0</v>
      </c>
      <c r="BK31" s="35"/>
      <c r="BL31" s="28">
        <f>COUNTIFS(DataRegularSeason20242025!$E$2:$E$1315,BK$1,DataRegularSeason20242025!$D$2:$D$1315,$A31,DataRegularSeason20242025!$N$2:$N$1315,1)</f>
        <v>0</v>
      </c>
      <c r="BM31" s="35"/>
      <c r="BN31" s="28">
        <f>COUNTIFS(DataRegularSeason20242025!$E$2:$E$1315,BM$1,DataRegularSeason20242025!$D$2:$D$1315,$A31,DataRegularSeason20242025!$N$2:$N$1315,1)</f>
        <v>0</v>
      </c>
      <c r="BO31" s="30">
        <f t="shared" si="0"/>
        <v>3</v>
      </c>
      <c r="BP31" s="165">
        <f t="shared" ref="BP31" si="27">BO31+BO32</f>
        <v>7</v>
      </c>
      <c r="BQ31" s="166">
        <f t="shared" ref="BQ31" si="28">82-BP31</f>
        <v>75</v>
      </c>
    </row>
    <row r="32" spans="1:69" ht="12" customHeight="1" x14ac:dyDescent="0.25">
      <c r="A32" s="167"/>
      <c r="B32" s="32" t="s">
        <v>73</v>
      </c>
      <c r="C32" s="38">
        <f>COUNTIFS(DataRegularSeason20242025!$D$2:$D$1315,C$1,DataRegularSeason20242025!$E$2:$E$1315,$A31,DataRegularSeason20242025!$N$2:$N$1315,1)</f>
        <v>0</v>
      </c>
      <c r="D32" s="39"/>
      <c r="E32" s="38">
        <f>COUNTIFS(DataRegularSeason20242025!$D$2:$D$1315,E$1,DataRegularSeason20242025!$E$2:$E$1315,$A31,DataRegularSeason20242025!$N$2:$N$1315,1)</f>
        <v>1</v>
      </c>
      <c r="F32" s="39"/>
      <c r="G32" s="38">
        <f>COUNTIFS(DataRegularSeason20242025!$D$2:$D$1315,G$1,DataRegularSeason20242025!$E$2:$E$1315,$A31,DataRegularSeason20242025!$N$2:$N$1315,1)</f>
        <v>0</v>
      </c>
      <c r="H32" s="39"/>
      <c r="I32" s="38">
        <f>COUNTIFS(DataRegularSeason20242025!$D$2:$D$1315,I$1,DataRegularSeason20242025!$E$2:$E$1315,$A31,DataRegularSeason20242025!$N$2:$N$1315,1)</f>
        <v>0</v>
      </c>
      <c r="J32" s="39"/>
      <c r="K32" s="38">
        <f>COUNTIFS(DataRegularSeason20242025!$D$2:$D$1315,K$1,DataRegularSeason20242025!$E$2:$E$1315,$A31,DataRegularSeason20242025!$N$2:$N$1315,1)</f>
        <v>0</v>
      </c>
      <c r="L32" s="39"/>
      <c r="M32" s="38">
        <f>COUNTIFS(DataRegularSeason20242025!$D$2:$D$1315,M$1,DataRegularSeason20242025!$E$2:$E$1315,$A31,DataRegularSeason20242025!$N$2:$N$1315,1)</f>
        <v>1</v>
      </c>
      <c r="N32" s="39"/>
      <c r="O32" s="38">
        <f>COUNTIFS(DataRegularSeason20242025!$D$2:$D$1315,O$1,DataRegularSeason20242025!$E$2:$E$1315,$A31,DataRegularSeason20242025!$N$2:$N$1315,1)</f>
        <v>0</v>
      </c>
      <c r="P32" s="39"/>
      <c r="Q32" s="38">
        <f>COUNTIFS(DataRegularSeason20242025!$D$2:$D$1315,Q$1,DataRegularSeason20242025!$E$2:$E$1315,$A31,DataRegularSeason20242025!$N$2:$N$1315,1)</f>
        <v>0</v>
      </c>
      <c r="R32" s="47"/>
      <c r="S32" s="38">
        <f>COUNTIFS(DataRegularSeason20242025!$D$2:$D$1315,S$1,DataRegularSeason20242025!$E$2:$E$1315,$A31,DataRegularSeason20242025!$N$2:$N$1315,1)</f>
        <v>0</v>
      </c>
      <c r="T32" s="39"/>
      <c r="U32" s="38">
        <f>COUNTIFS(DataRegularSeason20242025!$D$2:$D$1315,U$1,DataRegularSeason20242025!$E$2:$E$1315,$A31,DataRegularSeason20242025!$N$2:$N$1315,1)</f>
        <v>1</v>
      </c>
      <c r="V32" s="39"/>
      <c r="W32" s="38">
        <f>COUNTIFS(DataRegularSeason20242025!$D$2:$D$1315,W$1,DataRegularSeason20242025!$E$2:$E$1315,$A31,DataRegularSeason20242025!$N$2:$N$1315,1)</f>
        <v>0</v>
      </c>
      <c r="X32" s="39"/>
      <c r="Y32" s="38">
        <f>COUNTIFS(DataRegularSeason20242025!$D$2:$D$1315,Y$1,DataRegularSeason20242025!$E$2:$E$1315,$A31,DataRegularSeason20242025!$N$2:$N$1315,1)</f>
        <v>0</v>
      </c>
      <c r="Z32" s="39"/>
      <c r="AA32" s="38">
        <f>COUNTIFS(DataRegularSeason20242025!$D$2:$D$1315,AA$1,DataRegularSeason20242025!$E$2:$E$1315,$A31,DataRegularSeason20242025!$N$2:$N$1315,1)</f>
        <v>0</v>
      </c>
      <c r="AB32" s="39"/>
      <c r="AC32" s="38">
        <f>COUNTIFS(DataRegularSeason20242025!$D$2:$D$1315,AC$1,DataRegularSeason20242025!$E$2:$E$1315,$A31,DataRegularSeason20242025!$N$2:$N$1315,1)</f>
        <v>0</v>
      </c>
      <c r="AD32" s="39"/>
      <c r="AE32" s="38"/>
      <c r="AF32" s="39"/>
      <c r="AG32" s="38">
        <f>COUNTIFS(DataRegularSeason20242025!$D$2:$D$1315,AG$1,DataRegularSeason20242025!$E$2:$E$1315,$A31,DataRegularSeason20242025!$N$2:$N$1315,1)</f>
        <v>0</v>
      </c>
      <c r="AH32" s="47"/>
      <c r="AI32" s="38">
        <f>COUNTIFS(DataRegularSeason20242025!$D$2:$D$1315,AI$1,DataRegularSeason20242025!$E$2:$E$1315,$A31,DataRegularSeason20242025!$N$2:$N$1315,1)</f>
        <v>0</v>
      </c>
      <c r="AJ32" s="39"/>
      <c r="AK32" s="38">
        <f>COUNTIFS(DataRegularSeason20242025!$D$2:$D$1315,AK$1,DataRegularSeason20242025!$E$2:$E$1315,$A31,DataRegularSeason20242025!$N$2:$N$1315,1)</f>
        <v>0</v>
      </c>
      <c r="AL32" s="39"/>
      <c r="AM32" s="38">
        <f>COUNTIFS(DataRegularSeason20242025!$D$2:$D$1315,AM$1,DataRegularSeason20242025!$E$2:$E$1315,$A31,DataRegularSeason20242025!$N$2:$N$1315,1)</f>
        <v>0</v>
      </c>
      <c r="AN32" s="39"/>
      <c r="AO32" s="38">
        <f>COUNTIFS(DataRegularSeason20242025!$D$2:$D$1315,AO$1,DataRegularSeason20242025!$E$2:$E$1315,$A31,DataRegularSeason20242025!$N$2:$N$1315,1)</f>
        <v>0</v>
      </c>
      <c r="AP32" s="39"/>
      <c r="AQ32" s="38">
        <f>COUNTIFS(DataRegularSeason20242025!$D$2:$D$1315,AQ$1,DataRegularSeason20242025!$E$2:$E$1315,$A31,DataRegularSeason20242025!$N$2:$N$1315,1)</f>
        <v>0</v>
      </c>
      <c r="AR32" s="39"/>
      <c r="AS32" s="38">
        <f>COUNTIFS(DataRegularSeason20242025!$D$2:$D$1315,AS$1,DataRegularSeason20242025!$E$2:$E$1315,$A31,DataRegularSeason20242025!$N$2:$N$1315,1)</f>
        <v>0</v>
      </c>
      <c r="AT32" s="39"/>
      <c r="AU32" s="38">
        <f>COUNTIFS(DataRegularSeason20242025!$D$2:$D$1315,AU$1,DataRegularSeason20242025!$E$2:$E$1315,$A31,DataRegularSeason20242025!$N$2:$N$1315,1)</f>
        <v>0</v>
      </c>
      <c r="AV32" s="39"/>
      <c r="AW32" s="38">
        <f>COUNTIFS(DataRegularSeason20242025!$D$2:$D$1315,AW$1,DataRegularSeason20242025!$E$2:$E$1315,$A31,DataRegularSeason20242025!$N$2:$N$1315,1)</f>
        <v>0</v>
      </c>
      <c r="AX32" s="47"/>
      <c r="AY32" s="38">
        <f>COUNTIFS(DataRegularSeason20242025!$D$2:$D$1315,AY$1,DataRegularSeason20242025!$E$2:$E$1315,$A31,DataRegularSeason20242025!$N$2:$N$1315,1)</f>
        <v>1</v>
      </c>
      <c r="AZ32" s="39"/>
      <c r="BA32" s="38">
        <f>COUNTIFS(DataRegularSeason20242025!$D$2:$D$1315,BA$1,DataRegularSeason20242025!$E$2:$E$1315,$A31,DataRegularSeason20242025!$N$2:$N$1315,1)</f>
        <v>0</v>
      </c>
      <c r="BB32" s="39"/>
      <c r="BC32" s="38">
        <f>COUNTIFS(DataRegularSeason20242025!$D$2:$D$1315,BC$1,DataRegularSeason20242025!$E$2:$E$1315,$A31,DataRegularSeason20242025!$N$2:$N$1315,1)</f>
        <v>0</v>
      </c>
      <c r="BD32" s="39"/>
      <c r="BE32" s="38">
        <f>COUNTIFS(DataRegularSeason20242025!$D$2:$D$1315,BE$1,DataRegularSeason20242025!$E$2:$E$1315,$A31,DataRegularSeason20242025!$N$2:$N$1315,1)</f>
        <v>0</v>
      </c>
      <c r="BF32" s="39"/>
      <c r="BG32" s="38">
        <f>COUNTIFS(DataRegularSeason20242025!$D$2:$D$1315,BG$1,DataRegularSeason20242025!$E$2:$E$1315,$A31,DataRegularSeason20242025!$N$2:$N$1315,1)</f>
        <v>0</v>
      </c>
      <c r="BH32" s="39"/>
      <c r="BI32" s="38">
        <f>COUNTIFS(DataRegularSeason20242025!$D$2:$D$1315,BI$1,DataRegularSeason20242025!$E$2:$E$1315,$A31,DataRegularSeason20242025!$N$2:$N$1315,1)</f>
        <v>0</v>
      </c>
      <c r="BJ32" s="39"/>
      <c r="BK32" s="38">
        <f>COUNTIFS(DataRegularSeason20242025!$D$2:$D$1315,BK$1,DataRegularSeason20242025!$E$2:$E$1315,$A31,DataRegularSeason20242025!$N$2:$N$1315,1)</f>
        <v>0</v>
      </c>
      <c r="BL32" s="39"/>
      <c r="BM32" s="38">
        <f>COUNTIFS(DataRegularSeason20242025!$D$2:$D$1315,BM$1,DataRegularSeason20242025!$E$2:$E$1315,$A31,DataRegularSeason20242025!$N$2:$N$1315,1)</f>
        <v>0</v>
      </c>
      <c r="BN32" s="39"/>
      <c r="BO32" s="34">
        <f t="shared" si="0"/>
        <v>4</v>
      </c>
      <c r="BP32" s="165"/>
      <c r="BQ32" s="166"/>
    </row>
    <row r="33" spans="1:69" ht="12" customHeight="1" x14ac:dyDescent="0.25">
      <c r="A33" s="172" t="s">
        <v>21</v>
      </c>
      <c r="B33" s="28" t="s">
        <v>74</v>
      </c>
      <c r="C33" s="35"/>
      <c r="D33" s="28">
        <f>COUNTIFS(DataRegularSeason20242025!$E$2:$E$1315,C$1,DataRegularSeason20242025!$D$2:$D$1315,$A33,DataRegularSeason20242025!$N$2:$N$1315,1)</f>
        <v>0</v>
      </c>
      <c r="E33" s="35"/>
      <c r="F33" s="28">
        <f>COUNTIFS(DataRegularSeason20242025!$E$2:$E$1315,E$1,DataRegularSeason20242025!$D$2:$D$1315,$A33,DataRegularSeason20242025!$N$2:$N$1315,1)</f>
        <v>1</v>
      </c>
      <c r="G33" s="35"/>
      <c r="H33" s="28">
        <f>COUNTIFS(DataRegularSeason20242025!$E$2:$E$1315,G$1,DataRegularSeason20242025!$D$2:$D$1315,$A33,DataRegularSeason20242025!$N$2:$N$1315,1)</f>
        <v>0</v>
      </c>
      <c r="I33" s="35"/>
      <c r="J33" s="28">
        <f>COUNTIFS(DataRegularSeason20242025!$E$2:$E$1315,I$1,DataRegularSeason20242025!$D$2:$D$1315,$A33,DataRegularSeason20242025!$N$2:$N$1315,1)</f>
        <v>0</v>
      </c>
      <c r="K33" s="35"/>
      <c r="L33" s="28">
        <f>COUNTIFS(DataRegularSeason20242025!$E$2:$E$1315,K$1,DataRegularSeason20242025!$D$2:$D$1315,$A33,DataRegularSeason20242025!$N$2:$N$1315,1)</f>
        <v>0</v>
      </c>
      <c r="M33" s="35"/>
      <c r="N33" s="28">
        <f>COUNTIFS(DataRegularSeason20242025!$E$2:$E$1315,M$1,DataRegularSeason20242025!$D$2:$D$1315,$A33,DataRegularSeason20242025!$N$2:$N$1315,1)</f>
        <v>0</v>
      </c>
      <c r="O33" s="35"/>
      <c r="P33" s="28">
        <f>COUNTIFS(DataRegularSeason20242025!$E$2:$E$1315,O$1,DataRegularSeason20242025!$D$2:$D$1315,$A33,DataRegularSeason20242025!$N$2:$N$1315,1)</f>
        <v>0</v>
      </c>
      <c r="Q33" s="35"/>
      <c r="R33" s="46">
        <f>COUNTIFS(DataRegularSeason20242025!$E$2:$E$1315,Q$1,DataRegularSeason20242025!$D$2:$D$1315,$A33,DataRegularSeason20242025!$N$2:$N$1315,1)</f>
        <v>0</v>
      </c>
      <c r="S33" s="35"/>
      <c r="T33" s="28">
        <f>COUNTIFS(DataRegularSeason20242025!$E$2:$E$1315,S$1,DataRegularSeason20242025!$D$2:$D$1315,$A33,DataRegularSeason20242025!$N$2:$N$1315,1)</f>
        <v>0</v>
      </c>
      <c r="U33" s="35"/>
      <c r="V33" s="28">
        <f>COUNTIFS(DataRegularSeason20242025!$E$2:$E$1315,U$1,DataRegularSeason20242025!$D$2:$D$1315,$A33,DataRegularSeason20242025!$N$2:$N$1315,1)</f>
        <v>0</v>
      </c>
      <c r="W33" s="35"/>
      <c r="X33" s="28">
        <f>COUNTIFS(DataRegularSeason20242025!$E$2:$E$1315,W$1,DataRegularSeason20242025!$D$2:$D$1315,$A33,DataRegularSeason20242025!$N$2:$N$1315,1)</f>
        <v>0</v>
      </c>
      <c r="Y33" s="35"/>
      <c r="Z33" s="28">
        <f>COUNTIFS(DataRegularSeason20242025!$E$2:$E$1315,Y$1,DataRegularSeason20242025!$D$2:$D$1315,$A33,DataRegularSeason20242025!$N$2:$N$1315,1)</f>
        <v>0</v>
      </c>
      <c r="AA33" s="35"/>
      <c r="AB33" s="28">
        <f>COUNTIFS(DataRegularSeason20242025!$E$2:$E$1315,AA$1,DataRegularSeason20242025!$D$2:$D$1315,$A33,DataRegularSeason20242025!$N$2:$N$1315,1)</f>
        <v>0</v>
      </c>
      <c r="AC33" s="35"/>
      <c r="AD33" s="28">
        <f>COUNTIFS(DataRegularSeason20242025!$E$2:$E$1315,AC$1,DataRegularSeason20242025!$D$2:$D$1315,$A33,DataRegularSeason20242025!$N$2:$N$1315,1)</f>
        <v>0</v>
      </c>
      <c r="AE33" s="35"/>
      <c r="AF33" s="28">
        <f>COUNTIFS(DataRegularSeason20242025!$E$2:$E$1315,AE$1,DataRegularSeason20242025!$D$2:$D$1315,$A33,DataRegularSeason20242025!$N$2:$N$1315,1)</f>
        <v>0</v>
      </c>
      <c r="AG33" s="35"/>
      <c r="AH33" s="48"/>
      <c r="AI33" s="35"/>
      <c r="AJ33" s="28">
        <f>COUNTIFS(DataRegularSeason20242025!$E$2:$E$1315,AI$1,DataRegularSeason20242025!$D$2:$D$1315,$A33,DataRegularSeason20242025!$N$2:$N$1315,1)</f>
        <v>0</v>
      </c>
      <c r="AK33" s="35"/>
      <c r="AL33" s="28">
        <f>COUNTIFS(DataRegularSeason20242025!$E$2:$E$1315,AK$1,DataRegularSeason20242025!$D$2:$D$1315,$A33,DataRegularSeason20242025!$N$2:$N$1315,1)</f>
        <v>0</v>
      </c>
      <c r="AM33" s="35"/>
      <c r="AN33" s="28">
        <f>COUNTIFS(DataRegularSeason20242025!$E$2:$E$1315,AM$1,DataRegularSeason20242025!$D$2:$D$1315,$A33,DataRegularSeason20242025!$N$2:$N$1315,1)</f>
        <v>0</v>
      </c>
      <c r="AO33" s="35"/>
      <c r="AP33" s="28">
        <f>COUNTIFS(DataRegularSeason20242025!$E$2:$E$1315,AO$1,DataRegularSeason20242025!$D$2:$D$1315,$A33,DataRegularSeason20242025!$N$2:$N$1315,1)</f>
        <v>1</v>
      </c>
      <c r="AQ33" s="35"/>
      <c r="AR33" s="28">
        <f>COUNTIFS(DataRegularSeason20242025!$E$2:$E$1315,AQ$1,DataRegularSeason20242025!$D$2:$D$1315,$A33,DataRegularSeason20242025!$N$2:$N$1315,1)</f>
        <v>0</v>
      </c>
      <c r="AS33" s="35"/>
      <c r="AT33" s="28">
        <f>COUNTIFS(DataRegularSeason20242025!$E$2:$E$1315,AS$1,DataRegularSeason20242025!$D$2:$D$1315,$A33,DataRegularSeason20242025!$N$2:$N$1315,1)</f>
        <v>1</v>
      </c>
      <c r="AU33" s="35"/>
      <c r="AV33" s="28">
        <f>COUNTIFS(DataRegularSeason20242025!$E$2:$E$1315,AU$1,DataRegularSeason20242025!$D$2:$D$1315,$A33,DataRegularSeason20242025!$N$2:$N$1315,1)</f>
        <v>0</v>
      </c>
      <c r="AW33" s="35"/>
      <c r="AX33" s="46">
        <f>COUNTIFS(DataRegularSeason20242025!$E$2:$E$1315,AW$1,DataRegularSeason20242025!$D$2:$D$1315,$A33,DataRegularSeason20242025!$N$2:$N$1315,1)</f>
        <v>0</v>
      </c>
      <c r="AY33" s="35"/>
      <c r="AZ33" s="28">
        <f>COUNTIFS(DataRegularSeason20242025!$E$2:$E$1315,AY$1,DataRegularSeason20242025!$D$2:$D$1315,$A33,DataRegularSeason20242025!$N$2:$N$1315,1)</f>
        <v>0</v>
      </c>
      <c r="BA33" s="35"/>
      <c r="BB33" s="28">
        <f>COUNTIFS(DataRegularSeason20242025!$E$2:$E$1315,BA$1,DataRegularSeason20242025!$D$2:$D$1315,$A33,DataRegularSeason20242025!$N$2:$N$1315,1)</f>
        <v>0</v>
      </c>
      <c r="BC33" s="35"/>
      <c r="BD33" s="28">
        <f>COUNTIFS(DataRegularSeason20242025!$E$2:$E$1315,BC$1,DataRegularSeason20242025!$D$2:$D$1315,$A33,DataRegularSeason20242025!$N$2:$N$1315,1)</f>
        <v>0</v>
      </c>
      <c r="BE33" s="35"/>
      <c r="BF33" s="28">
        <f>COUNTIFS(DataRegularSeason20242025!$E$2:$E$1315,BE$1,DataRegularSeason20242025!$D$2:$D$1315,$A33,DataRegularSeason20242025!$N$2:$N$1315,1)</f>
        <v>0</v>
      </c>
      <c r="BG33" s="35"/>
      <c r="BH33" s="28">
        <f>COUNTIFS(DataRegularSeason20242025!$E$2:$E$1315,BG$1,DataRegularSeason20242025!$D$2:$D$1315,$A33,DataRegularSeason20242025!$N$2:$N$1315,1)</f>
        <v>0</v>
      </c>
      <c r="BI33" s="35"/>
      <c r="BJ33" s="28">
        <f>COUNTIFS(DataRegularSeason20242025!$E$2:$E$1315,BI$1,DataRegularSeason20242025!$D$2:$D$1315,$A33,DataRegularSeason20242025!$N$2:$N$1315,1)</f>
        <v>0</v>
      </c>
      <c r="BK33" s="35"/>
      <c r="BL33" s="28">
        <f>COUNTIFS(DataRegularSeason20242025!$E$2:$E$1315,BK$1,DataRegularSeason20242025!$D$2:$D$1315,$A33,DataRegularSeason20242025!$N$2:$N$1315,1)</f>
        <v>0</v>
      </c>
      <c r="BM33" s="35"/>
      <c r="BN33" s="28">
        <f>COUNTIFS(DataRegularSeason20242025!$E$2:$E$1315,BM$1,DataRegularSeason20242025!$D$2:$D$1315,$A33,DataRegularSeason20242025!$N$2:$N$1315,1)</f>
        <v>0</v>
      </c>
      <c r="BO33" s="30">
        <f t="shared" si="0"/>
        <v>3</v>
      </c>
      <c r="BP33" s="165">
        <f t="shared" ref="BP33" si="29">BO33+BO34</f>
        <v>6</v>
      </c>
      <c r="BQ33" s="166">
        <f t="shared" ref="BQ33" si="30">82-BP33</f>
        <v>76</v>
      </c>
    </row>
    <row r="34" spans="1:69" ht="12" customHeight="1" thickBot="1" x14ac:dyDescent="0.3">
      <c r="A34" s="166"/>
      <c r="B34" s="28" t="s">
        <v>73</v>
      </c>
      <c r="C34" s="49">
        <f>COUNTIFS(DataRegularSeason20242025!$D$2:$D$1315,C$1,DataRegularSeason20242025!$E$2:$E$1315,$A33,DataRegularSeason20242025!$N$2:$N$1315,1)</f>
        <v>0</v>
      </c>
      <c r="D34" s="50"/>
      <c r="E34" s="51">
        <f>COUNTIFS(DataRegularSeason20242025!$D$2:$D$1315,E$1,DataRegularSeason20242025!$E$2:$E$1315,$A33,DataRegularSeason20242025!$N$2:$N$1315,1)</f>
        <v>0</v>
      </c>
      <c r="F34" s="50"/>
      <c r="G34" s="51">
        <f>COUNTIFS(DataRegularSeason20242025!$D$2:$D$1315,G$1,DataRegularSeason20242025!$E$2:$E$1315,$A33,DataRegularSeason20242025!$N$2:$N$1315,1)</f>
        <v>0</v>
      </c>
      <c r="H34" s="50"/>
      <c r="I34" s="51">
        <f>COUNTIFS(DataRegularSeason20242025!$D$2:$D$1315,I$1,DataRegularSeason20242025!$E$2:$E$1315,$A33,DataRegularSeason20242025!$N$2:$N$1315,1)</f>
        <v>1</v>
      </c>
      <c r="J34" s="50"/>
      <c r="K34" s="51">
        <f>COUNTIFS(DataRegularSeason20242025!$D$2:$D$1315,K$1,DataRegularSeason20242025!$E$2:$E$1315,$A33,DataRegularSeason20242025!$N$2:$N$1315,1)</f>
        <v>0</v>
      </c>
      <c r="L34" s="50"/>
      <c r="M34" s="51">
        <f>COUNTIFS(DataRegularSeason20242025!$D$2:$D$1315,M$1,DataRegularSeason20242025!$E$2:$E$1315,$A33,DataRegularSeason20242025!$N$2:$N$1315,1)</f>
        <v>0</v>
      </c>
      <c r="N34" s="50"/>
      <c r="O34" s="51">
        <f>COUNTIFS(DataRegularSeason20242025!$D$2:$D$1315,O$1,DataRegularSeason20242025!$E$2:$E$1315,$A33,DataRegularSeason20242025!$N$2:$N$1315,1)</f>
        <v>0</v>
      </c>
      <c r="P34" s="50"/>
      <c r="Q34" s="51">
        <f>COUNTIFS(DataRegularSeason20242025!$D$2:$D$1315,Q$1,DataRegularSeason20242025!$E$2:$E$1315,$A33,DataRegularSeason20242025!$N$2:$N$1315,1)</f>
        <v>0</v>
      </c>
      <c r="R34" s="52"/>
      <c r="S34" s="51">
        <f>COUNTIFS(DataRegularSeason20242025!$D$2:$D$1315,S$1,DataRegularSeason20242025!$E$2:$E$1315,$A33,DataRegularSeason20242025!$N$2:$N$1315,1)</f>
        <v>0</v>
      </c>
      <c r="T34" s="50"/>
      <c r="U34" s="51">
        <f>COUNTIFS(DataRegularSeason20242025!$D$2:$D$1315,U$1,DataRegularSeason20242025!$E$2:$E$1315,$A33,DataRegularSeason20242025!$N$2:$N$1315,1)</f>
        <v>0</v>
      </c>
      <c r="V34" s="50"/>
      <c r="W34" s="51">
        <f>COUNTIFS(DataRegularSeason20242025!$D$2:$D$1315,W$1,DataRegularSeason20242025!$E$2:$E$1315,$A33,DataRegularSeason20242025!$N$2:$N$1315,1)</f>
        <v>1</v>
      </c>
      <c r="X34" s="50"/>
      <c r="Y34" s="51">
        <f>COUNTIFS(DataRegularSeason20242025!$D$2:$D$1315,Y$1,DataRegularSeason20242025!$E$2:$E$1315,$A33,DataRegularSeason20242025!$N$2:$N$1315,1)</f>
        <v>0</v>
      </c>
      <c r="Z34" s="50"/>
      <c r="AA34" s="51">
        <f>COUNTIFS(DataRegularSeason20242025!$D$2:$D$1315,AA$1,DataRegularSeason20242025!$E$2:$E$1315,$A33,DataRegularSeason20242025!$N$2:$N$1315,1)</f>
        <v>1</v>
      </c>
      <c r="AB34" s="50"/>
      <c r="AC34" s="51">
        <f>COUNTIFS(DataRegularSeason20242025!$D$2:$D$1315,AC$1,DataRegularSeason20242025!$E$2:$E$1315,$A33,DataRegularSeason20242025!$N$2:$N$1315,1)</f>
        <v>0</v>
      </c>
      <c r="AD34" s="50"/>
      <c r="AE34" s="51">
        <f>COUNTIFS(DataRegularSeason20242025!$D$2:$D$1315,AE$1,DataRegularSeason20242025!$E$2:$E$1315,$A33,DataRegularSeason20242025!$N$2:$N$1315,1)</f>
        <v>0</v>
      </c>
      <c r="AF34" s="50"/>
      <c r="AG34" s="51"/>
      <c r="AH34" s="52"/>
      <c r="AI34" s="51">
        <f>COUNTIFS(DataRegularSeason20242025!$D$2:$D$1315,AI$1,DataRegularSeason20242025!$E$2:$E$1315,$A33,DataRegularSeason20242025!$N$2:$N$1315,1)</f>
        <v>0</v>
      </c>
      <c r="AJ34" s="50"/>
      <c r="AK34" s="51">
        <f>COUNTIFS(DataRegularSeason20242025!$D$2:$D$1315,AK$1,DataRegularSeason20242025!$E$2:$E$1315,$A33,DataRegularSeason20242025!$N$2:$N$1315,1)</f>
        <v>0</v>
      </c>
      <c r="AL34" s="50"/>
      <c r="AM34" s="51">
        <f>COUNTIFS(DataRegularSeason20242025!$D$2:$D$1315,AM$1,DataRegularSeason20242025!$E$2:$E$1315,$A33,DataRegularSeason20242025!$N$2:$N$1315,1)</f>
        <v>0</v>
      </c>
      <c r="AN34" s="50"/>
      <c r="AO34" s="51">
        <f>COUNTIFS(DataRegularSeason20242025!$D$2:$D$1315,AO$1,DataRegularSeason20242025!$E$2:$E$1315,$A33,DataRegularSeason20242025!$N$2:$N$1315,1)</f>
        <v>0</v>
      </c>
      <c r="AP34" s="50"/>
      <c r="AQ34" s="51">
        <f>COUNTIFS(DataRegularSeason20242025!$D$2:$D$1315,AQ$1,DataRegularSeason20242025!$E$2:$E$1315,$A33,DataRegularSeason20242025!$N$2:$N$1315,1)</f>
        <v>0</v>
      </c>
      <c r="AR34" s="50"/>
      <c r="AS34" s="51">
        <f>COUNTIFS(DataRegularSeason20242025!$D$2:$D$1315,AS$1,DataRegularSeason20242025!$E$2:$E$1315,$A33,DataRegularSeason20242025!$N$2:$N$1315,1)</f>
        <v>0</v>
      </c>
      <c r="AT34" s="50"/>
      <c r="AU34" s="51">
        <f>COUNTIFS(DataRegularSeason20242025!$D$2:$D$1315,AU$1,DataRegularSeason20242025!$E$2:$E$1315,$A33,DataRegularSeason20242025!$N$2:$N$1315,1)</f>
        <v>0</v>
      </c>
      <c r="AV34" s="50"/>
      <c r="AW34" s="51">
        <f>COUNTIFS(DataRegularSeason20242025!$D$2:$D$1315,AW$1,DataRegularSeason20242025!$E$2:$E$1315,$A33,DataRegularSeason20242025!$N$2:$N$1315,1)</f>
        <v>0</v>
      </c>
      <c r="AX34" s="52"/>
      <c r="AY34" s="51">
        <f>COUNTIFS(DataRegularSeason20242025!$D$2:$D$1315,AY$1,DataRegularSeason20242025!$E$2:$E$1315,$A33,DataRegularSeason20242025!$N$2:$N$1315,1)</f>
        <v>0</v>
      </c>
      <c r="AZ34" s="50"/>
      <c r="BA34" s="51">
        <f>COUNTIFS(DataRegularSeason20242025!$D$2:$D$1315,BA$1,DataRegularSeason20242025!$E$2:$E$1315,$A33,DataRegularSeason20242025!$N$2:$N$1315,1)</f>
        <v>0</v>
      </c>
      <c r="BB34" s="50"/>
      <c r="BC34" s="51">
        <f>COUNTIFS(DataRegularSeason20242025!$D$2:$D$1315,BC$1,DataRegularSeason20242025!$E$2:$E$1315,$A33,DataRegularSeason20242025!$N$2:$N$1315,1)</f>
        <v>0</v>
      </c>
      <c r="BD34" s="50"/>
      <c r="BE34" s="51">
        <f>COUNTIFS(DataRegularSeason20242025!$D$2:$D$1315,BE$1,DataRegularSeason20242025!$E$2:$E$1315,$A33,DataRegularSeason20242025!$N$2:$N$1315,1)</f>
        <v>0</v>
      </c>
      <c r="BF34" s="50"/>
      <c r="BG34" s="51">
        <f>COUNTIFS(DataRegularSeason20242025!$D$2:$D$1315,BG$1,DataRegularSeason20242025!$E$2:$E$1315,$A33,DataRegularSeason20242025!$N$2:$N$1315,1)</f>
        <v>0</v>
      </c>
      <c r="BH34" s="50"/>
      <c r="BI34" s="51">
        <f>COUNTIFS(DataRegularSeason20242025!$D$2:$D$1315,BI$1,DataRegularSeason20242025!$E$2:$E$1315,$A33,DataRegularSeason20242025!$N$2:$N$1315,1)</f>
        <v>0</v>
      </c>
      <c r="BJ34" s="50"/>
      <c r="BK34" s="51">
        <f>COUNTIFS(DataRegularSeason20242025!$D$2:$D$1315,BK$1,DataRegularSeason20242025!$E$2:$E$1315,$A33,DataRegularSeason20242025!$N$2:$N$1315,1)</f>
        <v>0</v>
      </c>
      <c r="BL34" s="50"/>
      <c r="BM34" s="51">
        <f>COUNTIFS(DataRegularSeason20242025!$D$2:$D$1315,BM$1,DataRegularSeason20242025!$E$2:$E$1315,$A33,DataRegularSeason20242025!$N$2:$N$1315,1)</f>
        <v>0</v>
      </c>
      <c r="BN34" s="50"/>
      <c r="BO34" s="34">
        <f t="shared" si="0"/>
        <v>3</v>
      </c>
      <c r="BP34" s="165"/>
      <c r="BQ34" s="166"/>
    </row>
    <row r="35" spans="1:69" ht="12" customHeight="1" thickTop="1" x14ac:dyDescent="0.25">
      <c r="A35" s="175" t="s">
        <v>41</v>
      </c>
      <c r="B35" s="56" t="s">
        <v>74</v>
      </c>
      <c r="C35" s="35"/>
      <c r="D35" s="28">
        <f>COUNTIFS(DataRegularSeason20242025!$E$2:$E$1315,C$1,DataRegularSeason20242025!$D$2:$D$1315,$A35,DataRegularSeason20242025!$N$2:$N$1315,1)</f>
        <v>1</v>
      </c>
      <c r="E35" s="35"/>
      <c r="F35" s="28">
        <f>COUNTIFS(DataRegularSeason20242025!$E$2:$E$1315,E$1,DataRegularSeason20242025!$D$2:$D$1315,$A35,DataRegularSeason20242025!$N$2:$N$1315,1)</f>
        <v>0</v>
      </c>
      <c r="G35" s="35"/>
      <c r="H35" s="28">
        <f>COUNTIFS(DataRegularSeason20242025!$E$2:$E$1315,G$1,DataRegularSeason20242025!$D$2:$D$1315,$A35,DataRegularSeason20242025!$N$2:$N$1315,1)</f>
        <v>0</v>
      </c>
      <c r="I35" s="35"/>
      <c r="J35" s="28">
        <f>COUNTIFS(DataRegularSeason20242025!$E$2:$E$1315,I$1,DataRegularSeason20242025!$D$2:$D$1315,$A35,DataRegularSeason20242025!$N$2:$N$1315,1)</f>
        <v>1</v>
      </c>
      <c r="K35" s="35"/>
      <c r="L35" s="28">
        <f>COUNTIFS(DataRegularSeason20242025!$E$2:$E$1315,K$1,DataRegularSeason20242025!$D$2:$D$1315,$A35,DataRegularSeason20242025!$N$2:$N$1315,1)</f>
        <v>0</v>
      </c>
      <c r="M35" s="35"/>
      <c r="N35" s="28">
        <f>COUNTIFS(DataRegularSeason20242025!$E$2:$E$1315,M$1,DataRegularSeason20242025!$D$2:$D$1315,$A35,DataRegularSeason20242025!$N$2:$N$1315,1)</f>
        <v>1</v>
      </c>
      <c r="O35" s="35"/>
      <c r="P35" s="28">
        <f>COUNTIFS(DataRegularSeason20242025!$E$2:$E$1315,O$1,DataRegularSeason20242025!$D$2:$D$1315,$A35,DataRegularSeason20242025!$N$2:$N$1315,1)</f>
        <v>0</v>
      </c>
      <c r="Q35" s="35"/>
      <c r="R35" s="46">
        <f>COUNTIFS(DataRegularSeason20242025!$E$2:$E$1315,Q$1,DataRegularSeason20242025!$D$2:$D$1315,$A35,DataRegularSeason20242025!$N$2:$N$1315,1)</f>
        <v>1</v>
      </c>
      <c r="S35" s="35"/>
      <c r="T35" s="28">
        <f>COUNTIFS(DataRegularSeason20242025!$E$2:$E$1315,S$1,DataRegularSeason20242025!$D$2:$D$1315,$A35,DataRegularSeason20242025!$N$2:$N$1315,1)</f>
        <v>0</v>
      </c>
      <c r="U35" s="35"/>
      <c r="V35" s="28">
        <f>COUNTIFS(DataRegularSeason20242025!$E$2:$E$1315,U$1,DataRegularSeason20242025!$D$2:$D$1315,$A35,DataRegularSeason20242025!$N$2:$N$1315,1)</f>
        <v>0</v>
      </c>
      <c r="W35" s="35"/>
      <c r="X35" s="28">
        <f>COUNTIFS(DataRegularSeason20242025!$E$2:$E$1315,W$1,DataRegularSeason20242025!$D$2:$D$1315,$A35,DataRegularSeason20242025!$N$2:$N$1315,1)</f>
        <v>0</v>
      </c>
      <c r="Y35" s="35"/>
      <c r="Z35" s="28">
        <f>COUNTIFS(DataRegularSeason20242025!$E$2:$E$1315,Y$1,DataRegularSeason20242025!$D$2:$D$1315,$A35,DataRegularSeason20242025!$N$2:$N$1315,1)</f>
        <v>0</v>
      </c>
      <c r="AA35" s="35"/>
      <c r="AB35" s="28">
        <f>COUNTIFS(DataRegularSeason20242025!$E$2:$E$1315,AA$1,DataRegularSeason20242025!$D$2:$D$1315,$A35,DataRegularSeason20242025!$N$2:$N$1315,1)</f>
        <v>0</v>
      </c>
      <c r="AC35" s="35"/>
      <c r="AD35" s="28">
        <f>COUNTIFS(DataRegularSeason20242025!$E$2:$E$1315,AC$1,DataRegularSeason20242025!$D$2:$D$1315,$A35,DataRegularSeason20242025!$N$2:$N$1315,1)</f>
        <v>0</v>
      </c>
      <c r="AE35" s="35"/>
      <c r="AF35" s="28">
        <f>COUNTIFS(DataRegularSeason20242025!$E$2:$E$1315,AE$1,DataRegularSeason20242025!$D$2:$D$1315,$A35,DataRegularSeason20242025!$N$2:$N$1315,1)</f>
        <v>0</v>
      </c>
      <c r="AG35" s="35"/>
      <c r="AH35" s="46">
        <f>COUNTIFS(DataRegularSeason20242025!$E$2:$E$1315,AG$1,DataRegularSeason20242025!$D$2:$D$1315,$A35,DataRegularSeason20242025!$N$2:$N$1315,1)</f>
        <v>0</v>
      </c>
      <c r="AI35" s="35"/>
      <c r="AJ35" s="36"/>
      <c r="AK35" s="35"/>
      <c r="AL35" s="28">
        <f>COUNTIFS(DataRegularSeason20242025!$E$2:$E$1315,AK$1,DataRegularSeason20242025!$D$2:$D$1315,$A35,DataRegularSeason20242025!$N$2:$N$1315,1)</f>
        <v>0</v>
      </c>
      <c r="AM35" s="35"/>
      <c r="AN35" s="28">
        <f>COUNTIFS(DataRegularSeason20242025!$E$2:$E$1315,AM$1,DataRegularSeason20242025!$D$2:$D$1315,$A35,DataRegularSeason20242025!$N$2:$N$1315,1)</f>
        <v>0</v>
      </c>
      <c r="AO35" s="35"/>
      <c r="AP35" s="28">
        <f>COUNTIFS(DataRegularSeason20242025!$E$2:$E$1315,AO$1,DataRegularSeason20242025!$D$2:$D$1315,$A35,DataRegularSeason20242025!$N$2:$N$1315,1)</f>
        <v>0</v>
      </c>
      <c r="AQ35" s="35"/>
      <c r="AR35" s="28">
        <f>COUNTIFS(DataRegularSeason20242025!$E$2:$E$1315,AQ$1,DataRegularSeason20242025!$D$2:$D$1315,$A35,DataRegularSeason20242025!$N$2:$N$1315,1)</f>
        <v>0</v>
      </c>
      <c r="AS35" s="35"/>
      <c r="AT35" s="28">
        <f>COUNTIFS(DataRegularSeason20242025!$E$2:$E$1315,AS$1,DataRegularSeason20242025!$D$2:$D$1315,$A35,DataRegularSeason20242025!$N$2:$N$1315,1)</f>
        <v>0</v>
      </c>
      <c r="AU35" s="35"/>
      <c r="AV35" s="28">
        <f>COUNTIFS(DataRegularSeason20242025!$E$2:$E$1315,AU$1,DataRegularSeason20242025!$D$2:$D$1315,$A35,DataRegularSeason20242025!$N$2:$N$1315,1)</f>
        <v>0</v>
      </c>
      <c r="AW35" s="35"/>
      <c r="AX35" s="54">
        <f>COUNTIFS(DataRegularSeason20242025!$E$2:$E$1315,AW$1,DataRegularSeason20242025!$D$2:$D$1315,$A35,DataRegularSeason20242025!$N$2:$N$1315,1)</f>
        <v>0</v>
      </c>
      <c r="AY35" s="35"/>
      <c r="AZ35" s="28">
        <f>COUNTIFS(DataRegularSeason20242025!$E$2:$E$1315,AY$1,DataRegularSeason20242025!$D$2:$D$1315,$A35,DataRegularSeason20242025!$N$2:$N$1315,1)</f>
        <v>0</v>
      </c>
      <c r="BA35" s="35"/>
      <c r="BB35" s="28">
        <f>COUNTIFS(DataRegularSeason20242025!$E$2:$E$1315,BA$1,DataRegularSeason20242025!$D$2:$D$1315,$A35,DataRegularSeason20242025!$N$2:$N$1315,1)</f>
        <v>0</v>
      </c>
      <c r="BC35" s="35"/>
      <c r="BD35" s="28">
        <f>COUNTIFS(DataRegularSeason20242025!$E$2:$E$1315,BC$1,DataRegularSeason20242025!$D$2:$D$1315,$A35,DataRegularSeason20242025!$N$2:$N$1315,1)</f>
        <v>0</v>
      </c>
      <c r="BE35" s="35"/>
      <c r="BF35" s="28">
        <f>COUNTIFS(DataRegularSeason20242025!$E$2:$E$1315,BE$1,DataRegularSeason20242025!$D$2:$D$1315,$A35,DataRegularSeason20242025!$N$2:$N$1315,1)</f>
        <v>0</v>
      </c>
      <c r="BG35" s="35"/>
      <c r="BH35" s="28">
        <f>COUNTIFS(DataRegularSeason20242025!$E$2:$E$1315,BG$1,DataRegularSeason20242025!$D$2:$D$1315,$A35,DataRegularSeason20242025!$N$2:$N$1315,1)</f>
        <v>0</v>
      </c>
      <c r="BI35" s="35"/>
      <c r="BJ35" s="28">
        <f>COUNTIFS(DataRegularSeason20242025!$E$2:$E$1315,BI$1,DataRegularSeason20242025!$D$2:$D$1315,$A35,DataRegularSeason20242025!$N$2:$N$1315,1)</f>
        <v>0</v>
      </c>
      <c r="BK35" s="35"/>
      <c r="BL35" s="28">
        <f>COUNTIFS(DataRegularSeason20242025!$E$2:$E$1315,BK$1,DataRegularSeason20242025!$D$2:$D$1315,$A35,DataRegularSeason20242025!$N$2:$N$1315,1)</f>
        <v>0</v>
      </c>
      <c r="BM35" s="35"/>
      <c r="BN35" s="28">
        <f>COUNTIFS(DataRegularSeason20242025!$E$2:$E$1315,BM$1,DataRegularSeason20242025!$D$2:$D$1315,$A35,DataRegularSeason20242025!$N$2:$N$1315,1)</f>
        <v>0</v>
      </c>
      <c r="BO35" s="30">
        <f t="shared" si="0"/>
        <v>4</v>
      </c>
      <c r="BP35" s="165">
        <f t="shared" ref="BP35" si="31">BO35+BO36</f>
        <v>6</v>
      </c>
      <c r="BQ35" s="166">
        <f t="shared" ref="BQ35" si="32">82-BP35</f>
        <v>76</v>
      </c>
    </row>
    <row r="36" spans="1:69" ht="12" customHeight="1" x14ac:dyDescent="0.25">
      <c r="A36" s="167"/>
      <c r="B36" s="32" t="s">
        <v>73</v>
      </c>
      <c r="C36" s="38">
        <f>COUNTIFS(DataRegularSeason20242025!$D$2:$D$1315,C$1,DataRegularSeason20242025!$E$2:$E$1315,$A35,DataRegularSeason20242025!$N$2:$N$1315,1)</f>
        <v>0</v>
      </c>
      <c r="D36" s="39"/>
      <c r="E36" s="38">
        <f>COUNTIFS(DataRegularSeason20242025!$D$2:$D$1315,E$1,DataRegularSeason20242025!$E$2:$E$1315,$A35,DataRegularSeason20242025!$N$2:$N$1315,1)</f>
        <v>0</v>
      </c>
      <c r="F36" s="39"/>
      <c r="G36" s="38">
        <f>COUNTIFS(DataRegularSeason20242025!$D$2:$D$1315,G$1,DataRegularSeason20242025!$E$2:$E$1315,$A35,DataRegularSeason20242025!$N$2:$N$1315,1)</f>
        <v>0</v>
      </c>
      <c r="H36" s="39"/>
      <c r="I36" s="38">
        <f>COUNTIFS(DataRegularSeason20242025!$D$2:$D$1315,I$1,DataRegularSeason20242025!$E$2:$E$1315,$A35,DataRegularSeason20242025!$N$2:$N$1315,1)</f>
        <v>0</v>
      </c>
      <c r="J36" s="39"/>
      <c r="K36" s="38">
        <f>COUNTIFS(DataRegularSeason20242025!$D$2:$D$1315,K$1,DataRegularSeason20242025!$E$2:$E$1315,$A35,DataRegularSeason20242025!$N$2:$N$1315,1)</f>
        <v>0</v>
      </c>
      <c r="L36" s="39"/>
      <c r="M36" s="38">
        <f>COUNTIFS(DataRegularSeason20242025!$D$2:$D$1315,M$1,DataRegularSeason20242025!$E$2:$E$1315,$A35,DataRegularSeason20242025!$N$2:$N$1315,1)</f>
        <v>0</v>
      </c>
      <c r="N36" s="39"/>
      <c r="O36" s="38">
        <f>COUNTIFS(DataRegularSeason20242025!$D$2:$D$1315,O$1,DataRegularSeason20242025!$E$2:$E$1315,$A35,DataRegularSeason20242025!$N$2:$N$1315,1)</f>
        <v>0</v>
      </c>
      <c r="P36" s="39"/>
      <c r="Q36" s="38">
        <f>COUNTIFS(DataRegularSeason20242025!$D$2:$D$1315,Q$1,DataRegularSeason20242025!$E$2:$E$1315,$A35,DataRegularSeason20242025!$N$2:$N$1315,1)</f>
        <v>0</v>
      </c>
      <c r="R36" s="47"/>
      <c r="S36" s="38">
        <f>COUNTIFS(DataRegularSeason20242025!$D$2:$D$1315,S$1,DataRegularSeason20242025!$E$2:$E$1315,$A35,DataRegularSeason20242025!$N$2:$N$1315,1)</f>
        <v>0</v>
      </c>
      <c r="T36" s="39"/>
      <c r="U36" s="38">
        <f>COUNTIFS(DataRegularSeason20242025!$D$2:$D$1315,U$1,DataRegularSeason20242025!$E$2:$E$1315,$A35,DataRegularSeason20242025!$N$2:$N$1315,1)</f>
        <v>0</v>
      </c>
      <c r="V36" s="39"/>
      <c r="W36" s="38">
        <f>COUNTIFS(DataRegularSeason20242025!$D$2:$D$1315,W$1,DataRegularSeason20242025!$E$2:$E$1315,$A35,DataRegularSeason20242025!$N$2:$N$1315,1)</f>
        <v>0</v>
      </c>
      <c r="X36" s="39"/>
      <c r="Y36" s="38">
        <f>COUNTIFS(DataRegularSeason20242025!$D$2:$D$1315,Y$1,DataRegularSeason20242025!$E$2:$E$1315,$A35,DataRegularSeason20242025!$N$2:$N$1315,1)</f>
        <v>0</v>
      </c>
      <c r="Z36" s="39"/>
      <c r="AA36" s="38">
        <f>COUNTIFS(DataRegularSeason20242025!$D$2:$D$1315,AA$1,DataRegularSeason20242025!$E$2:$E$1315,$A35,DataRegularSeason20242025!$N$2:$N$1315,1)</f>
        <v>0</v>
      </c>
      <c r="AB36" s="39"/>
      <c r="AC36" s="38">
        <f>COUNTIFS(DataRegularSeason20242025!$D$2:$D$1315,AC$1,DataRegularSeason20242025!$E$2:$E$1315,$A35,DataRegularSeason20242025!$N$2:$N$1315,1)</f>
        <v>0</v>
      </c>
      <c r="AD36" s="39"/>
      <c r="AE36" s="38">
        <f>COUNTIFS(DataRegularSeason20242025!$D$2:$D$1315,AE$1,DataRegularSeason20242025!$E$2:$E$1315,$A35,DataRegularSeason20242025!$N$2:$N$1315,1)</f>
        <v>0</v>
      </c>
      <c r="AF36" s="39"/>
      <c r="AG36" s="38">
        <f>COUNTIFS(DataRegularSeason20242025!$D$2:$D$1315,AG$1,DataRegularSeason20242025!$E$2:$E$1315,$A35,DataRegularSeason20242025!$N$2:$N$1315,1)</f>
        <v>0</v>
      </c>
      <c r="AH36" s="47"/>
      <c r="AI36" s="38"/>
      <c r="AJ36" s="39"/>
      <c r="AK36" s="38">
        <f>COUNTIFS(DataRegularSeason20242025!$D$2:$D$1315,AK$1,DataRegularSeason20242025!$E$2:$E$1315,$A35,DataRegularSeason20242025!$N$2:$N$1315,1)</f>
        <v>0</v>
      </c>
      <c r="AL36" s="39"/>
      <c r="AM36" s="38">
        <f>COUNTIFS(DataRegularSeason20242025!$D$2:$D$1315,AM$1,DataRegularSeason20242025!$E$2:$E$1315,$A35,DataRegularSeason20242025!$N$2:$N$1315,1)</f>
        <v>1</v>
      </c>
      <c r="AN36" s="39"/>
      <c r="AO36" s="38">
        <f>COUNTIFS(DataRegularSeason20242025!$D$2:$D$1315,AO$1,DataRegularSeason20242025!$E$2:$E$1315,$A35,DataRegularSeason20242025!$N$2:$N$1315,1)</f>
        <v>0</v>
      </c>
      <c r="AP36" s="39"/>
      <c r="AQ36" s="38">
        <f>COUNTIFS(DataRegularSeason20242025!$D$2:$D$1315,AQ$1,DataRegularSeason20242025!$E$2:$E$1315,$A35,DataRegularSeason20242025!$N$2:$N$1315,1)</f>
        <v>0</v>
      </c>
      <c r="AR36" s="39"/>
      <c r="AS36" s="38">
        <f>COUNTIFS(DataRegularSeason20242025!$D$2:$D$1315,AS$1,DataRegularSeason20242025!$E$2:$E$1315,$A35,DataRegularSeason20242025!$N$2:$N$1315,1)</f>
        <v>1</v>
      </c>
      <c r="AT36" s="39"/>
      <c r="AU36" s="38">
        <f>COUNTIFS(DataRegularSeason20242025!$D$2:$D$1315,AU$1,DataRegularSeason20242025!$E$2:$E$1315,$A35,DataRegularSeason20242025!$N$2:$N$1315,1)</f>
        <v>0</v>
      </c>
      <c r="AV36" s="39"/>
      <c r="AW36" s="38">
        <f>COUNTIFS(DataRegularSeason20242025!$D$2:$D$1315,AW$1,DataRegularSeason20242025!$E$2:$E$1315,$A35,DataRegularSeason20242025!$N$2:$N$1315,1)</f>
        <v>0</v>
      </c>
      <c r="AX36" s="47"/>
      <c r="AY36" s="38">
        <f>COUNTIFS(DataRegularSeason20242025!$D$2:$D$1315,AY$1,DataRegularSeason20242025!$E$2:$E$1315,$A35,DataRegularSeason20242025!$N$2:$N$1315,1)</f>
        <v>0</v>
      </c>
      <c r="AZ36" s="39"/>
      <c r="BA36" s="38">
        <f>COUNTIFS(DataRegularSeason20242025!$D$2:$D$1315,BA$1,DataRegularSeason20242025!$E$2:$E$1315,$A35,DataRegularSeason20242025!$N$2:$N$1315,1)</f>
        <v>0</v>
      </c>
      <c r="BB36" s="39"/>
      <c r="BC36" s="38">
        <f>COUNTIFS(DataRegularSeason20242025!$D$2:$D$1315,BC$1,DataRegularSeason20242025!$E$2:$E$1315,$A35,DataRegularSeason20242025!$N$2:$N$1315,1)</f>
        <v>0</v>
      </c>
      <c r="BD36" s="39"/>
      <c r="BE36" s="38">
        <f>COUNTIFS(DataRegularSeason20242025!$D$2:$D$1315,BE$1,DataRegularSeason20242025!$E$2:$E$1315,$A35,DataRegularSeason20242025!$N$2:$N$1315,1)</f>
        <v>0</v>
      </c>
      <c r="BF36" s="39"/>
      <c r="BG36" s="38">
        <f>COUNTIFS(DataRegularSeason20242025!$D$2:$D$1315,BG$1,DataRegularSeason20242025!$E$2:$E$1315,$A35,DataRegularSeason20242025!$N$2:$N$1315,1)</f>
        <v>0</v>
      </c>
      <c r="BH36" s="39"/>
      <c r="BI36" s="38">
        <f>COUNTIFS(DataRegularSeason20242025!$D$2:$D$1315,BI$1,DataRegularSeason20242025!$E$2:$E$1315,$A35,DataRegularSeason20242025!$N$2:$N$1315,1)</f>
        <v>0</v>
      </c>
      <c r="BJ36" s="39"/>
      <c r="BK36" s="38">
        <f>COUNTIFS(DataRegularSeason20242025!$D$2:$D$1315,BK$1,DataRegularSeason20242025!$E$2:$E$1315,$A35,DataRegularSeason20242025!$N$2:$N$1315,1)</f>
        <v>0</v>
      </c>
      <c r="BL36" s="39"/>
      <c r="BM36" s="38">
        <f>COUNTIFS(DataRegularSeason20242025!$D$2:$D$1315,BM$1,DataRegularSeason20242025!$E$2:$E$1315,$A35,DataRegularSeason20242025!$N$2:$N$1315,1)</f>
        <v>0</v>
      </c>
      <c r="BN36" s="39"/>
      <c r="BO36" s="34">
        <f t="shared" si="0"/>
        <v>2</v>
      </c>
      <c r="BP36" s="165"/>
      <c r="BQ36" s="166"/>
    </row>
    <row r="37" spans="1:69" ht="12" customHeight="1" x14ac:dyDescent="0.25">
      <c r="A37" s="172" t="s">
        <v>35</v>
      </c>
      <c r="B37" s="28" t="s">
        <v>74</v>
      </c>
      <c r="C37" s="35"/>
      <c r="D37" s="28">
        <f>COUNTIFS(DataRegularSeason20242025!$E$2:$E$1315,C$1,DataRegularSeason20242025!$D$2:$D$1315,$A37,DataRegularSeason20242025!$N$2:$N$1315,1)</f>
        <v>0</v>
      </c>
      <c r="E37" s="35"/>
      <c r="F37" s="28">
        <f>COUNTIFS(DataRegularSeason20242025!$E$2:$E$1315,E$1,DataRegularSeason20242025!$D$2:$D$1315,$A37,DataRegularSeason20242025!$N$2:$N$1315,1)</f>
        <v>0</v>
      </c>
      <c r="G37" s="35"/>
      <c r="H37" s="28">
        <f>COUNTIFS(DataRegularSeason20242025!$E$2:$E$1315,G$1,DataRegularSeason20242025!$D$2:$D$1315,$A37,DataRegularSeason20242025!$N$2:$N$1315,1)</f>
        <v>0</v>
      </c>
      <c r="I37" s="35"/>
      <c r="J37" s="28">
        <f>COUNTIFS(DataRegularSeason20242025!$E$2:$E$1315,I$1,DataRegularSeason20242025!$D$2:$D$1315,$A37,DataRegularSeason20242025!$N$2:$N$1315,1)</f>
        <v>0</v>
      </c>
      <c r="K37" s="35"/>
      <c r="L37" s="28">
        <f>COUNTIFS(DataRegularSeason20242025!$E$2:$E$1315,K$1,DataRegularSeason20242025!$D$2:$D$1315,$A37,DataRegularSeason20242025!$N$2:$N$1315,1)</f>
        <v>0</v>
      </c>
      <c r="M37" s="35"/>
      <c r="N37" s="28">
        <f>COUNTIFS(DataRegularSeason20242025!$E$2:$E$1315,M$1,DataRegularSeason20242025!$D$2:$D$1315,$A37,DataRegularSeason20242025!$N$2:$N$1315,1)</f>
        <v>0</v>
      </c>
      <c r="O37" s="35"/>
      <c r="P37" s="28">
        <f>COUNTIFS(DataRegularSeason20242025!$E$2:$E$1315,O$1,DataRegularSeason20242025!$D$2:$D$1315,$A37,DataRegularSeason20242025!$N$2:$N$1315,1)</f>
        <v>0</v>
      </c>
      <c r="Q37" s="35"/>
      <c r="R37" s="46">
        <f>COUNTIFS(DataRegularSeason20242025!$E$2:$E$1315,Q$1,DataRegularSeason20242025!$D$2:$D$1315,$A37,DataRegularSeason20242025!$N$2:$N$1315,1)</f>
        <v>0</v>
      </c>
      <c r="S37" s="35"/>
      <c r="T37" s="28">
        <f>COUNTIFS(DataRegularSeason20242025!$E$2:$E$1315,S$1,DataRegularSeason20242025!$D$2:$D$1315,$A37,DataRegularSeason20242025!$N$2:$N$1315,1)</f>
        <v>0</v>
      </c>
      <c r="U37" s="35"/>
      <c r="V37" s="28">
        <f>COUNTIFS(DataRegularSeason20242025!$E$2:$E$1315,U$1,DataRegularSeason20242025!$D$2:$D$1315,$A37,DataRegularSeason20242025!$N$2:$N$1315,1)</f>
        <v>0</v>
      </c>
      <c r="W37" s="35"/>
      <c r="X37" s="28">
        <f>COUNTIFS(DataRegularSeason20242025!$E$2:$E$1315,W$1,DataRegularSeason20242025!$D$2:$D$1315,$A37,DataRegularSeason20242025!$N$2:$N$1315,1)</f>
        <v>1</v>
      </c>
      <c r="Y37" s="35"/>
      <c r="Z37" s="28">
        <f>COUNTIFS(DataRegularSeason20242025!$E$2:$E$1315,Y$1,DataRegularSeason20242025!$D$2:$D$1315,$A37,DataRegularSeason20242025!$N$2:$N$1315,1)</f>
        <v>1</v>
      </c>
      <c r="AA37" s="35"/>
      <c r="AB37" s="28">
        <f>COUNTIFS(DataRegularSeason20242025!$E$2:$E$1315,AA$1,DataRegularSeason20242025!$D$2:$D$1315,$A37,DataRegularSeason20242025!$N$2:$N$1315,1)</f>
        <v>1</v>
      </c>
      <c r="AC37" s="35"/>
      <c r="AD37" s="28">
        <f>COUNTIFS(DataRegularSeason20242025!$E$2:$E$1315,AC$1,DataRegularSeason20242025!$D$2:$D$1315,$A37,DataRegularSeason20242025!$N$2:$N$1315,1)</f>
        <v>0</v>
      </c>
      <c r="AE37" s="35"/>
      <c r="AF37" s="28">
        <f>COUNTIFS(DataRegularSeason20242025!$E$2:$E$1315,AE$1,DataRegularSeason20242025!$D$2:$D$1315,$A37,DataRegularSeason20242025!$N$2:$N$1315,1)</f>
        <v>0</v>
      </c>
      <c r="AG37" s="35"/>
      <c r="AH37" s="46">
        <f>COUNTIFS(DataRegularSeason20242025!$E$2:$E$1315,AG$1,DataRegularSeason20242025!$D$2:$D$1315,$A37,DataRegularSeason20242025!$N$2:$N$1315,1)</f>
        <v>0</v>
      </c>
      <c r="AI37" s="35"/>
      <c r="AJ37" s="28">
        <f>COUNTIFS(DataRegularSeason20242025!$E$2:$E$1315,AI$1,DataRegularSeason20242025!$D$2:$D$1315,$A37,DataRegularSeason20242025!$N$2:$N$1315,1)</f>
        <v>0</v>
      </c>
      <c r="AK37" s="35"/>
      <c r="AL37" s="36"/>
      <c r="AM37" s="35"/>
      <c r="AN37" s="28">
        <f>COUNTIFS(DataRegularSeason20242025!$E$2:$E$1315,AM$1,DataRegularSeason20242025!$D$2:$D$1315,$A37,DataRegularSeason20242025!$N$2:$N$1315,1)</f>
        <v>0</v>
      </c>
      <c r="AO37" s="35"/>
      <c r="AP37" s="28">
        <f>COUNTIFS(DataRegularSeason20242025!$E$2:$E$1315,AO$1,DataRegularSeason20242025!$D$2:$D$1315,$A37,DataRegularSeason20242025!$N$2:$N$1315,1)</f>
        <v>0</v>
      </c>
      <c r="AQ37" s="35"/>
      <c r="AR37" s="28">
        <f>COUNTIFS(DataRegularSeason20242025!$E$2:$E$1315,AQ$1,DataRegularSeason20242025!$D$2:$D$1315,$A37,DataRegularSeason20242025!$N$2:$N$1315,1)</f>
        <v>0</v>
      </c>
      <c r="AS37" s="35"/>
      <c r="AT37" s="28">
        <f>COUNTIFS(DataRegularSeason20242025!$E$2:$E$1315,AS$1,DataRegularSeason20242025!$D$2:$D$1315,$A37,DataRegularSeason20242025!$N$2:$N$1315,1)</f>
        <v>0</v>
      </c>
      <c r="AU37" s="35"/>
      <c r="AV37" s="28">
        <f>COUNTIFS(DataRegularSeason20242025!$E$2:$E$1315,AU$1,DataRegularSeason20242025!$D$2:$D$1315,$A37,DataRegularSeason20242025!$N$2:$N$1315,1)</f>
        <v>0</v>
      </c>
      <c r="AW37" s="35"/>
      <c r="AX37" s="46">
        <f>COUNTIFS(DataRegularSeason20242025!$E$2:$E$1315,AW$1,DataRegularSeason20242025!$D$2:$D$1315,$A37,DataRegularSeason20242025!$N$2:$N$1315,1)</f>
        <v>0</v>
      </c>
      <c r="AY37" s="35"/>
      <c r="AZ37" s="28">
        <f>COUNTIFS(DataRegularSeason20242025!$E$2:$E$1315,AY$1,DataRegularSeason20242025!$D$2:$D$1315,$A37,DataRegularSeason20242025!$N$2:$N$1315,1)</f>
        <v>0</v>
      </c>
      <c r="BA37" s="35"/>
      <c r="BB37" s="28">
        <f>COUNTIFS(DataRegularSeason20242025!$E$2:$E$1315,BA$1,DataRegularSeason20242025!$D$2:$D$1315,$A37,DataRegularSeason20242025!$N$2:$N$1315,1)</f>
        <v>0</v>
      </c>
      <c r="BC37" s="35"/>
      <c r="BD37" s="28">
        <f>COUNTIFS(DataRegularSeason20242025!$E$2:$E$1315,BC$1,DataRegularSeason20242025!$D$2:$D$1315,$A37,DataRegularSeason20242025!$N$2:$N$1315,1)</f>
        <v>0</v>
      </c>
      <c r="BE37" s="35"/>
      <c r="BF37" s="28">
        <f>COUNTIFS(DataRegularSeason20242025!$E$2:$E$1315,BE$1,DataRegularSeason20242025!$D$2:$D$1315,$A37,DataRegularSeason20242025!$N$2:$N$1315,1)</f>
        <v>0</v>
      </c>
      <c r="BG37" s="35"/>
      <c r="BH37" s="28">
        <f>COUNTIFS(DataRegularSeason20242025!$E$2:$E$1315,BG$1,DataRegularSeason20242025!$D$2:$D$1315,$A37,DataRegularSeason20242025!$N$2:$N$1315,1)</f>
        <v>0</v>
      </c>
      <c r="BI37" s="35"/>
      <c r="BJ37" s="28">
        <f>COUNTIFS(DataRegularSeason20242025!$E$2:$E$1315,BI$1,DataRegularSeason20242025!$D$2:$D$1315,$A37,DataRegularSeason20242025!$N$2:$N$1315,1)</f>
        <v>0</v>
      </c>
      <c r="BK37" s="35"/>
      <c r="BL37" s="28">
        <f>COUNTIFS(DataRegularSeason20242025!$E$2:$E$1315,BK$1,DataRegularSeason20242025!$D$2:$D$1315,$A37,DataRegularSeason20242025!$N$2:$N$1315,1)</f>
        <v>0</v>
      </c>
      <c r="BM37" s="35"/>
      <c r="BN37" s="28">
        <f>COUNTIFS(DataRegularSeason20242025!$E$2:$E$1315,BM$1,DataRegularSeason20242025!$D$2:$D$1315,$A37,DataRegularSeason20242025!$N$2:$N$1315,1)</f>
        <v>0</v>
      </c>
      <c r="BO37" s="30">
        <f t="shared" si="0"/>
        <v>3</v>
      </c>
      <c r="BP37" s="165">
        <f t="shared" ref="BP37" si="33">BO37+BO38</f>
        <v>6</v>
      </c>
      <c r="BQ37" s="166">
        <f t="shared" ref="BQ37" si="34">82-BP37</f>
        <v>76</v>
      </c>
    </row>
    <row r="38" spans="1:69" ht="12" customHeight="1" x14ac:dyDescent="0.25">
      <c r="A38" s="167"/>
      <c r="B38" s="32" t="s">
        <v>73</v>
      </c>
      <c r="C38" s="38">
        <f>COUNTIFS(DataRegularSeason20242025!$D$2:$D$1315,C$1,DataRegularSeason20242025!$E$2:$E$1315,$A37,DataRegularSeason20242025!$N$2:$N$1315,1)</f>
        <v>0</v>
      </c>
      <c r="D38" s="39"/>
      <c r="E38" s="38">
        <f>COUNTIFS(DataRegularSeason20242025!$D$2:$D$1315,E$1,DataRegularSeason20242025!$E$2:$E$1315,$A37,DataRegularSeason20242025!$N$2:$N$1315,1)</f>
        <v>0</v>
      </c>
      <c r="F38" s="39"/>
      <c r="G38" s="38">
        <f>COUNTIFS(DataRegularSeason20242025!$D$2:$D$1315,G$1,DataRegularSeason20242025!$E$2:$E$1315,$A37,DataRegularSeason20242025!$N$2:$N$1315,1)</f>
        <v>0</v>
      </c>
      <c r="H38" s="39"/>
      <c r="I38" s="38">
        <f>COUNTIFS(DataRegularSeason20242025!$D$2:$D$1315,I$1,DataRegularSeason20242025!$E$2:$E$1315,$A37,DataRegularSeason20242025!$N$2:$N$1315,1)</f>
        <v>0</v>
      </c>
      <c r="J38" s="39"/>
      <c r="K38" s="38">
        <f>COUNTIFS(DataRegularSeason20242025!$D$2:$D$1315,K$1,DataRegularSeason20242025!$E$2:$E$1315,$A37,DataRegularSeason20242025!$N$2:$N$1315,1)</f>
        <v>0</v>
      </c>
      <c r="L38" s="39"/>
      <c r="M38" s="38">
        <f>COUNTIFS(DataRegularSeason20242025!$D$2:$D$1315,M$1,DataRegularSeason20242025!$E$2:$E$1315,$A37,DataRegularSeason20242025!$N$2:$N$1315,1)</f>
        <v>0</v>
      </c>
      <c r="N38" s="39"/>
      <c r="O38" s="38">
        <f>COUNTIFS(DataRegularSeason20242025!$D$2:$D$1315,O$1,DataRegularSeason20242025!$E$2:$E$1315,$A37,DataRegularSeason20242025!$N$2:$N$1315,1)</f>
        <v>0</v>
      </c>
      <c r="P38" s="39"/>
      <c r="Q38" s="38">
        <f>COUNTIFS(DataRegularSeason20242025!$D$2:$D$1315,Q$1,DataRegularSeason20242025!$E$2:$E$1315,$A37,DataRegularSeason20242025!$N$2:$N$1315,1)</f>
        <v>0</v>
      </c>
      <c r="R38" s="47"/>
      <c r="S38" s="38">
        <f>COUNTIFS(DataRegularSeason20242025!$D$2:$D$1315,S$1,DataRegularSeason20242025!$E$2:$E$1315,$A37,DataRegularSeason20242025!$N$2:$N$1315,1)</f>
        <v>0</v>
      </c>
      <c r="T38" s="39"/>
      <c r="U38" s="38">
        <f>COUNTIFS(DataRegularSeason20242025!$D$2:$D$1315,U$1,DataRegularSeason20242025!$E$2:$E$1315,$A37,DataRegularSeason20242025!$N$2:$N$1315,1)</f>
        <v>1</v>
      </c>
      <c r="V38" s="39"/>
      <c r="W38" s="38">
        <f>COUNTIFS(DataRegularSeason20242025!$D$2:$D$1315,W$1,DataRegularSeason20242025!$E$2:$E$1315,$A37,DataRegularSeason20242025!$N$2:$N$1315,1)</f>
        <v>0</v>
      </c>
      <c r="X38" s="39"/>
      <c r="Y38" s="38">
        <f>COUNTIFS(DataRegularSeason20242025!$D$2:$D$1315,Y$1,DataRegularSeason20242025!$E$2:$E$1315,$A37,DataRegularSeason20242025!$N$2:$N$1315,1)</f>
        <v>0</v>
      </c>
      <c r="Z38" s="39"/>
      <c r="AA38" s="38">
        <f>COUNTIFS(DataRegularSeason20242025!$D$2:$D$1315,AA$1,DataRegularSeason20242025!$E$2:$E$1315,$A37,DataRegularSeason20242025!$N$2:$N$1315,1)</f>
        <v>0</v>
      </c>
      <c r="AB38" s="39"/>
      <c r="AC38" s="38">
        <f>COUNTIFS(DataRegularSeason20242025!$D$2:$D$1315,AC$1,DataRegularSeason20242025!$E$2:$E$1315,$A37,DataRegularSeason20242025!$N$2:$N$1315,1)</f>
        <v>0</v>
      </c>
      <c r="AD38" s="39"/>
      <c r="AE38" s="38">
        <f>COUNTIFS(DataRegularSeason20242025!$D$2:$D$1315,AE$1,DataRegularSeason20242025!$E$2:$E$1315,$A37,DataRegularSeason20242025!$N$2:$N$1315,1)</f>
        <v>0</v>
      </c>
      <c r="AF38" s="39"/>
      <c r="AG38" s="38">
        <f>COUNTIFS(DataRegularSeason20242025!$D$2:$D$1315,AG$1,DataRegularSeason20242025!$E$2:$E$1315,$A37,DataRegularSeason20242025!$N$2:$N$1315,1)</f>
        <v>0</v>
      </c>
      <c r="AH38" s="47"/>
      <c r="AI38" s="38">
        <f>COUNTIFS(DataRegularSeason20242025!$D$2:$D$1315,AI$1,DataRegularSeason20242025!$E$2:$E$1315,$A37,DataRegularSeason20242025!$N$2:$N$1315,1)</f>
        <v>0</v>
      </c>
      <c r="AJ38" s="39"/>
      <c r="AK38" s="38"/>
      <c r="AL38" s="39"/>
      <c r="AM38" s="38">
        <f>COUNTIFS(DataRegularSeason20242025!$D$2:$D$1315,AM$1,DataRegularSeason20242025!$E$2:$E$1315,$A37,DataRegularSeason20242025!$N$2:$N$1315,1)</f>
        <v>1</v>
      </c>
      <c r="AN38" s="39"/>
      <c r="AO38" s="38">
        <f>COUNTIFS(DataRegularSeason20242025!$D$2:$D$1315,AO$1,DataRegularSeason20242025!$E$2:$E$1315,$A37,DataRegularSeason20242025!$N$2:$N$1315,1)</f>
        <v>0</v>
      </c>
      <c r="AP38" s="39"/>
      <c r="AQ38" s="38">
        <f>COUNTIFS(DataRegularSeason20242025!$D$2:$D$1315,AQ$1,DataRegularSeason20242025!$E$2:$E$1315,$A37,DataRegularSeason20242025!$N$2:$N$1315,1)</f>
        <v>0</v>
      </c>
      <c r="AR38" s="39"/>
      <c r="AS38" s="38">
        <f>COUNTIFS(DataRegularSeason20242025!$D$2:$D$1315,AS$1,DataRegularSeason20242025!$E$2:$E$1315,$A37,DataRegularSeason20242025!$N$2:$N$1315,1)</f>
        <v>0</v>
      </c>
      <c r="AT38" s="39"/>
      <c r="AU38" s="38">
        <f>COUNTIFS(DataRegularSeason20242025!$D$2:$D$1315,AU$1,DataRegularSeason20242025!$E$2:$E$1315,$A37,DataRegularSeason20242025!$N$2:$N$1315,1)</f>
        <v>0</v>
      </c>
      <c r="AV38" s="39"/>
      <c r="AW38" s="38">
        <f>COUNTIFS(DataRegularSeason20242025!$D$2:$D$1315,AW$1,DataRegularSeason20242025!$E$2:$E$1315,$A37,DataRegularSeason20242025!$N$2:$N$1315,1)</f>
        <v>0</v>
      </c>
      <c r="AX38" s="47"/>
      <c r="AY38" s="38">
        <f>COUNTIFS(DataRegularSeason20242025!$D$2:$D$1315,AY$1,DataRegularSeason20242025!$E$2:$E$1315,$A37,DataRegularSeason20242025!$N$2:$N$1315,1)</f>
        <v>0</v>
      </c>
      <c r="AZ38" s="39"/>
      <c r="BA38" s="38">
        <f>COUNTIFS(DataRegularSeason20242025!$D$2:$D$1315,BA$1,DataRegularSeason20242025!$E$2:$E$1315,$A37,DataRegularSeason20242025!$N$2:$N$1315,1)</f>
        <v>0</v>
      </c>
      <c r="BB38" s="39"/>
      <c r="BC38" s="38">
        <f>COUNTIFS(DataRegularSeason20242025!$D$2:$D$1315,BC$1,DataRegularSeason20242025!$E$2:$E$1315,$A37,DataRegularSeason20242025!$N$2:$N$1315,1)</f>
        <v>0</v>
      </c>
      <c r="BD38" s="39"/>
      <c r="BE38" s="38">
        <f>COUNTIFS(DataRegularSeason20242025!$D$2:$D$1315,BE$1,DataRegularSeason20242025!$E$2:$E$1315,$A37,DataRegularSeason20242025!$N$2:$N$1315,1)</f>
        <v>0</v>
      </c>
      <c r="BF38" s="39"/>
      <c r="BG38" s="38">
        <f>COUNTIFS(DataRegularSeason20242025!$D$2:$D$1315,BG$1,DataRegularSeason20242025!$E$2:$E$1315,$A37,DataRegularSeason20242025!$N$2:$N$1315,1)</f>
        <v>0</v>
      </c>
      <c r="BH38" s="39"/>
      <c r="BI38" s="38">
        <f>COUNTIFS(DataRegularSeason20242025!$D$2:$D$1315,BI$1,DataRegularSeason20242025!$E$2:$E$1315,$A37,DataRegularSeason20242025!$N$2:$N$1315,1)</f>
        <v>0</v>
      </c>
      <c r="BJ38" s="39"/>
      <c r="BK38" s="38">
        <f>COUNTIFS(DataRegularSeason20242025!$D$2:$D$1315,BK$1,DataRegularSeason20242025!$E$2:$E$1315,$A37,DataRegularSeason20242025!$N$2:$N$1315,1)</f>
        <v>1</v>
      </c>
      <c r="BL38" s="39"/>
      <c r="BM38" s="38">
        <f>COUNTIFS(DataRegularSeason20242025!$D$2:$D$1315,BM$1,DataRegularSeason20242025!$E$2:$E$1315,$A37,DataRegularSeason20242025!$N$2:$N$1315,1)</f>
        <v>0</v>
      </c>
      <c r="BN38" s="39"/>
      <c r="BO38" s="34">
        <f t="shared" si="0"/>
        <v>3</v>
      </c>
      <c r="BP38" s="165"/>
      <c r="BQ38" s="166"/>
    </row>
    <row r="39" spans="1:69" ht="12" customHeight="1" x14ac:dyDescent="0.25">
      <c r="A39" s="172" t="s">
        <v>31</v>
      </c>
      <c r="B39" s="28" t="s">
        <v>74</v>
      </c>
      <c r="C39" s="35"/>
      <c r="D39" s="28">
        <f>COUNTIFS(DataRegularSeason20242025!$E$2:$E$1315,C$1,DataRegularSeason20242025!$D$2:$D$1315,$A39,DataRegularSeason20242025!$N$2:$N$1315,1)</f>
        <v>0</v>
      </c>
      <c r="E39" s="35"/>
      <c r="F39" s="28">
        <f>COUNTIFS(DataRegularSeason20242025!$E$2:$E$1315,E$1,DataRegularSeason20242025!$D$2:$D$1315,$A39,DataRegularSeason20242025!$N$2:$N$1315,1)</f>
        <v>0</v>
      </c>
      <c r="G39" s="35"/>
      <c r="H39" s="28">
        <f>COUNTIFS(DataRegularSeason20242025!$E$2:$E$1315,G$1,DataRegularSeason20242025!$D$2:$D$1315,$A39,DataRegularSeason20242025!$N$2:$N$1315,1)</f>
        <v>0</v>
      </c>
      <c r="I39" s="35"/>
      <c r="J39" s="28">
        <f>COUNTIFS(DataRegularSeason20242025!$E$2:$E$1315,I$1,DataRegularSeason20242025!$D$2:$D$1315,$A39,DataRegularSeason20242025!$N$2:$N$1315,1)</f>
        <v>0</v>
      </c>
      <c r="K39" s="35"/>
      <c r="L39" s="28">
        <f>COUNTIFS(DataRegularSeason20242025!$E$2:$E$1315,K$1,DataRegularSeason20242025!$D$2:$D$1315,$A39,DataRegularSeason20242025!$N$2:$N$1315,1)</f>
        <v>0</v>
      </c>
      <c r="M39" s="35"/>
      <c r="N39" s="28">
        <f>COUNTIFS(DataRegularSeason20242025!$E$2:$E$1315,M$1,DataRegularSeason20242025!$D$2:$D$1315,$A39,DataRegularSeason20242025!$N$2:$N$1315,1)</f>
        <v>0</v>
      </c>
      <c r="O39" s="35"/>
      <c r="P39" s="28">
        <f>COUNTIFS(DataRegularSeason20242025!$E$2:$E$1315,O$1,DataRegularSeason20242025!$D$2:$D$1315,$A39,DataRegularSeason20242025!$N$2:$N$1315,1)</f>
        <v>0</v>
      </c>
      <c r="Q39" s="35"/>
      <c r="R39" s="46">
        <f>COUNTIFS(DataRegularSeason20242025!$E$2:$E$1315,Q$1,DataRegularSeason20242025!$D$2:$D$1315,$A39,DataRegularSeason20242025!$N$2:$N$1315,1)</f>
        <v>0</v>
      </c>
      <c r="S39" s="35"/>
      <c r="T39" s="28">
        <f>COUNTIFS(DataRegularSeason20242025!$E$2:$E$1315,S$1,DataRegularSeason20242025!$D$2:$D$1315,$A39,DataRegularSeason20242025!$N$2:$N$1315,1)</f>
        <v>0</v>
      </c>
      <c r="U39" s="35"/>
      <c r="V39" s="28">
        <f>COUNTIFS(DataRegularSeason20242025!$E$2:$E$1315,U$1,DataRegularSeason20242025!$D$2:$D$1315,$A39,DataRegularSeason20242025!$N$2:$N$1315,1)</f>
        <v>0</v>
      </c>
      <c r="W39" s="35"/>
      <c r="X39" s="28">
        <f>COUNTIFS(DataRegularSeason20242025!$E$2:$E$1315,W$1,DataRegularSeason20242025!$D$2:$D$1315,$A39,DataRegularSeason20242025!$N$2:$N$1315,1)</f>
        <v>0</v>
      </c>
      <c r="Y39" s="35"/>
      <c r="Z39" s="28">
        <f>COUNTIFS(DataRegularSeason20242025!$E$2:$E$1315,Y$1,DataRegularSeason20242025!$D$2:$D$1315,$A39,DataRegularSeason20242025!$N$2:$N$1315,1)</f>
        <v>0</v>
      </c>
      <c r="AA39" s="35"/>
      <c r="AB39" s="28">
        <f>COUNTIFS(DataRegularSeason20242025!$E$2:$E$1315,AA$1,DataRegularSeason20242025!$D$2:$D$1315,$A39,DataRegularSeason20242025!$N$2:$N$1315,1)</f>
        <v>0</v>
      </c>
      <c r="AC39" s="35"/>
      <c r="AD39" s="28">
        <f>COUNTIFS(DataRegularSeason20242025!$E$2:$E$1315,AC$1,DataRegularSeason20242025!$D$2:$D$1315,$A39,DataRegularSeason20242025!$N$2:$N$1315,1)</f>
        <v>0</v>
      </c>
      <c r="AE39" s="35"/>
      <c r="AF39" s="28">
        <f>COUNTIFS(DataRegularSeason20242025!$E$2:$E$1315,AE$1,DataRegularSeason20242025!$D$2:$D$1315,$A39,DataRegularSeason20242025!$N$2:$N$1315,1)</f>
        <v>0</v>
      </c>
      <c r="AG39" s="35"/>
      <c r="AH39" s="46">
        <f>COUNTIFS(DataRegularSeason20242025!$E$2:$E$1315,AG$1,DataRegularSeason20242025!$D$2:$D$1315,$A39,DataRegularSeason20242025!$N$2:$N$1315,1)</f>
        <v>0</v>
      </c>
      <c r="AI39" s="35"/>
      <c r="AJ39" s="28">
        <f>COUNTIFS(DataRegularSeason20242025!$E$2:$E$1315,AI$1,DataRegularSeason20242025!$D$2:$D$1315,$A39,DataRegularSeason20242025!$N$2:$N$1315,1)</f>
        <v>1</v>
      </c>
      <c r="AK39" s="35"/>
      <c r="AL39" s="28">
        <f>COUNTIFS(DataRegularSeason20242025!$E$2:$E$1315,AK$1,DataRegularSeason20242025!$D$2:$D$1315,$A39,DataRegularSeason20242025!$N$2:$N$1315,1)</f>
        <v>1</v>
      </c>
      <c r="AM39" s="35"/>
      <c r="AN39" s="36"/>
      <c r="AO39" s="35"/>
      <c r="AP39" s="28">
        <f>COUNTIFS(DataRegularSeason20242025!$E$2:$E$1315,AO$1,DataRegularSeason20242025!$D$2:$D$1315,$A39,DataRegularSeason20242025!$N$2:$N$1315,1)</f>
        <v>0</v>
      </c>
      <c r="AQ39" s="35"/>
      <c r="AR39" s="28">
        <f>COUNTIFS(DataRegularSeason20242025!$E$2:$E$1315,AQ$1,DataRegularSeason20242025!$D$2:$D$1315,$A39,DataRegularSeason20242025!$N$2:$N$1315,1)</f>
        <v>0</v>
      </c>
      <c r="AS39" s="35"/>
      <c r="AT39" s="28">
        <f>COUNTIFS(DataRegularSeason20242025!$E$2:$E$1315,AS$1,DataRegularSeason20242025!$D$2:$D$1315,$A39,DataRegularSeason20242025!$N$2:$N$1315,1)</f>
        <v>0</v>
      </c>
      <c r="AU39" s="35"/>
      <c r="AV39" s="28">
        <f>COUNTIFS(DataRegularSeason20242025!$E$2:$E$1315,AU$1,DataRegularSeason20242025!$D$2:$D$1315,$A39,DataRegularSeason20242025!$N$2:$N$1315,1)</f>
        <v>0</v>
      </c>
      <c r="AW39" s="35"/>
      <c r="AX39" s="46">
        <f>COUNTIFS(DataRegularSeason20242025!$E$2:$E$1315,AW$1,DataRegularSeason20242025!$D$2:$D$1315,$A39,DataRegularSeason20242025!$N$2:$N$1315,1)</f>
        <v>0</v>
      </c>
      <c r="AY39" s="35"/>
      <c r="AZ39" s="28">
        <f>COUNTIFS(DataRegularSeason20242025!$E$2:$E$1315,AY$1,DataRegularSeason20242025!$D$2:$D$1315,$A39,DataRegularSeason20242025!$N$2:$N$1315,1)</f>
        <v>0</v>
      </c>
      <c r="BA39" s="35"/>
      <c r="BB39" s="28">
        <f>COUNTIFS(DataRegularSeason20242025!$E$2:$E$1315,BA$1,DataRegularSeason20242025!$D$2:$D$1315,$A39,DataRegularSeason20242025!$N$2:$N$1315,1)</f>
        <v>0</v>
      </c>
      <c r="BC39" s="35"/>
      <c r="BD39" s="28">
        <f>COUNTIFS(DataRegularSeason20242025!$E$2:$E$1315,BC$1,DataRegularSeason20242025!$D$2:$D$1315,$A39,DataRegularSeason20242025!$N$2:$N$1315,1)</f>
        <v>0</v>
      </c>
      <c r="BE39" s="35"/>
      <c r="BF39" s="28">
        <f>COUNTIFS(DataRegularSeason20242025!$E$2:$E$1315,BE$1,DataRegularSeason20242025!$D$2:$D$1315,$A39,DataRegularSeason20242025!$N$2:$N$1315,1)</f>
        <v>0</v>
      </c>
      <c r="BG39" s="35"/>
      <c r="BH39" s="28">
        <f>COUNTIFS(DataRegularSeason20242025!$E$2:$E$1315,BG$1,DataRegularSeason20242025!$D$2:$D$1315,$A39,DataRegularSeason20242025!$N$2:$N$1315,1)</f>
        <v>0</v>
      </c>
      <c r="BI39" s="35"/>
      <c r="BJ39" s="28">
        <f>COUNTIFS(DataRegularSeason20242025!$E$2:$E$1315,BI$1,DataRegularSeason20242025!$D$2:$D$1315,$A39,DataRegularSeason20242025!$N$2:$N$1315,1)</f>
        <v>0</v>
      </c>
      <c r="BK39" s="35"/>
      <c r="BL39" s="28">
        <f>COUNTIFS(DataRegularSeason20242025!$E$2:$E$1315,BK$1,DataRegularSeason20242025!$D$2:$D$1315,$A39,DataRegularSeason20242025!$N$2:$N$1315,1)</f>
        <v>1</v>
      </c>
      <c r="BM39" s="35"/>
      <c r="BN39" s="28">
        <f>COUNTIFS(DataRegularSeason20242025!$E$2:$E$1315,BM$1,DataRegularSeason20242025!$D$2:$D$1315,$A39,DataRegularSeason20242025!$N$2:$N$1315,1)</f>
        <v>1</v>
      </c>
      <c r="BO39" s="30">
        <f t="shared" si="0"/>
        <v>4</v>
      </c>
      <c r="BP39" s="165">
        <f t="shared" ref="BP39" si="35">BO39+BO40</f>
        <v>6</v>
      </c>
      <c r="BQ39" s="166">
        <f t="shared" ref="BQ39" si="36">82-BP39</f>
        <v>76</v>
      </c>
    </row>
    <row r="40" spans="1:69" ht="12" customHeight="1" x14ac:dyDescent="0.25">
      <c r="A40" s="167"/>
      <c r="B40" s="32" t="s">
        <v>73</v>
      </c>
      <c r="C40" s="38">
        <f>COUNTIFS(DataRegularSeason20242025!$D$2:$D$1315,C$1,DataRegularSeason20242025!$E$2:$E$1315,$A39,DataRegularSeason20242025!$N$2:$N$1315,1)</f>
        <v>0</v>
      </c>
      <c r="D40" s="39"/>
      <c r="E40" s="38">
        <f>COUNTIFS(DataRegularSeason20242025!$D$2:$D$1315,E$1,DataRegularSeason20242025!$E$2:$E$1315,$A39,DataRegularSeason20242025!$N$2:$N$1315,1)</f>
        <v>0</v>
      </c>
      <c r="F40" s="39"/>
      <c r="G40" s="38">
        <f>COUNTIFS(DataRegularSeason20242025!$D$2:$D$1315,G$1,DataRegularSeason20242025!$E$2:$E$1315,$A39,DataRegularSeason20242025!$N$2:$N$1315,1)</f>
        <v>1</v>
      </c>
      <c r="H40" s="39"/>
      <c r="I40" s="38">
        <f>COUNTIFS(DataRegularSeason20242025!$D$2:$D$1315,I$1,DataRegularSeason20242025!$E$2:$E$1315,$A39,DataRegularSeason20242025!$N$2:$N$1315,1)</f>
        <v>0</v>
      </c>
      <c r="J40" s="39"/>
      <c r="K40" s="38">
        <f>COUNTIFS(DataRegularSeason20242025!$D$2:$D$1315,K$1,DataRegularSeason20242025!$E$2:$E$1315,$A39,DataRegularSeason20242025!$N$2:$N$1315,1)</f>
        <v>0</v>
      </c>
      <c r="L40" s="39"/>
      <c r="M40" s="38">
        <f>COUNTIFS(DataRegularSeason20242025!$D$2:$D$1315,M$1,DataRegularSeason20242025!$E$2:$E$1315,$A39,DataRegularSeason20242025!$N$2:$N$1315,1)</f>
        <v>0</v>
      </c>
      <c r="N40" s="39"/>
      <c r="O40" s="38">
        <f>COUNTIFS(DataRegularSeason20242025!$D$2:$D$1315,O$1,DataRegularSeason20242025!$E$2:$E$1315,$A39,DataRegularSeason20242025!$N$2:$N$1315,1)</f>
        <v>0</v>
      </c>
      <c r="P40" s="39"/>
      <c r="Q40" s="38">
        <f>COUNTIFS(DataRegularSeason20242025!$D$2:$D$1315,Q$1,DataRegularSeason20242025!$E$2:$E$1315,$A39,DataRegularSeason20242025!$N$2:$N$1315,1)</f>
        <v>0</v>
      </c>
      <c r="R40" s="47"/>
      <c r="S40" s="38">
        <f>COUNTIFS(DataRegularSeason20242025!$D$2:$D$1315,S$1,DataRegularSeason20242025!$E$2:$E$1315,$A39,DataRegularSeason20242025!$N$2:$N$1315,1)</f>
        <v>0</v>
      </c>
      <c r="T40" s="39"/>
      <c r="U40" s="38">
        <f>COUNTIFS(DataRegularSeason20242025!$D$2:$D$1315,U$1,DataRegularSeason20242025!$E$2:$E$1315,$A39,DataRegularSeason20242025!$N$2:$N$1315,1)</f>
        <v>0</v>
      </c>
      <c r="V40" s="39"/>
      <c r="W40" s="38">
        <f>COUNTIFS(DataRegularSeason20242025!$D$2:$D$1315,W$1,DataRegularSeason20242025!$E$2:$E$1315,$A39,DataRegularSeason20242025!$N$2:$N$1315,1)</f>
        <v>0</v>
      </c>
      <c r="X40" s="39"/>
      <c r="Y40" s="38">
        <f>COUNTIFS(DataRegularSeason20242025!$D$2:$D$1315,Y$1,DataRegularSeason20242025!$E$2:$E$1315,$A39,DataRegularSeason20242025!$N$2:$N$1315,1)</f>
        <v>0</v>
      </c>
      <c r="Z40" s="39"/>
      <c r="AA40" s="38">
        <f>COUNTIFS(DataRegularSeason20242025!$D$2:$D$1315,AA$1,DataRegularSeason20242025!$E$2:$E$1315,$A39,DataRegularSeason20242025!$N$2:$N$1315,1)</f>
        <v>0</v>
      </c>
      <c r="AB40" s="39"/>
      <c r="AC40" s="38">
        <f>COUNTIFS(DataRegularSeason20242025!$D$2:$D$1315,AC$1,DataRegularSeason20242025!$E$2:$E$1315,$A39,DataRegularSeason20242025!$N$2:$N$1315,1)</f>
        <v>0</v>
      </c>
      <c r="AD40" s="39"/>
      <c r="AE40" s="38">
        <f>COUNTIFS(DataRegularSeason20242025!$D$2:$D$1315,AE$1,DataRegularSeason20242025!$E$2:$E$1315,$A39,DataRegularSeason20242025!$N$2:$N$1315,1)</f>
        <v>0</v>
      </c>
      <c r="AF40" s="39"/>
      <c r="AG40" s="38">
        <f>COUNTIFS(DataRegularSeason20242025!$D$2:$D$1315,AG$1,DataRegularSeason20242025!$E$2:$E$1315,$A39,DataRegularSeason20242025!$N$2:$N$1315,1)</f>
        <v>0</v>
      </c>
      <c r="AH40" s="47"/>
      <c r="AI40" s="38">
        <f>COUNTIFS(DataRegularSeason20242025!$D$2:$D$1315,AI$1,DataRegularSeason20242025!$E$2:$E$1315,$A39,DataRegularSeason20242025!$N$2:$N$1315,1)</f>
        <v>0</v>
      </c>
      <c r="AJ40" s="39"/>
      <c r="AK40" s="38">
        <f>COUNTIFS(DataRegularSeason20242025!$D$2:$D$1315,AK$1,DataRegularSeason20242025!$E$2:$E$1315,$A39,DataRegularSeason20242025!$N$2:$N$1315,1)</f>
        <v>0</v>
      </c>
      <c r="AL40" s="39"/>
      <c r="AM40" s="38"/>
      <c r="AN40" s="39"/>
      <c r="AO40" s="38">
        <f>COUNTIFS(DataRegularSeason20242025!$D$2:$D$1315,AO$1,DataRegularSeason20242025!$E$2:$E$1315,$A39,DataRegularSeason20242025!$N$2:$N$1315,1)</f>
        <v>0</v>
      </c>
      <c r="AP40" s="39"/>
      <c r="AQ40" s="38">
        <f>COUNTIFS(DataRegularSeason20242025!$D$2:$D$1315,AQ$1,DataRegularSeason20242025!$E$2:$E$1315,$A39,DataRegularSeason20242025!$N$2:$N$1315,1)</f>
        <v>0</v>
      </c>
      <c r="AR40" s="39"/>
      <c r="AS40" s="38">
        <f>COUNTIFS(DataRegularSeason20242025!$D$2:$D$1315,AS$1,DataRegularSeason20242025!$E$2:$E$1315,$A39,DataRegularSeason20242025!$N$2:$N$1315,1)</f>
        <v>0</v>
      </c>
      <c r="AT40" s="39"/>
      <c r="AU40" s="38">
        <f>COUNTIFS(DataRegularSeason20242025!$D$2:$D$1315,AU$1,DataRegularSeason20242025!$E$2:$E$1315,$A39,DataRegularSeason20242025!$N$2:$N$1315,1)</f>
        <v>0</v>
      </c>
      <c r="AV40" s="39"/>
      <c r="AW40" s="38">
        <f>COUNTIFS(DataRegularSeason20242025!$D$2:$D$1315,AW$1,DataRegularSeason20242025!$E$2:$E$1315,$A39,DataRegularSeason20242025!$N$2:$N$1315,1)</f>
        <v>0</v>
      </c>
      <c r="AX40" s="47"/>
      <c r="AY40" s="38">
        <f>COUNTIFS(DataRegularSeason20242025!$D$2:$D$1315,AY$1,DataRegularSeason20242025!$E$2:$E$1315,$A39,DataRegularSeason20242025!$N$2:$N$1315,1)</f>
        <v>0</v>
      </c>
      <c r="AZ40" s="39"/>
      <c r="BA40" s="38">
        <f>COUNTIFS(DataRegularSeason20242025!$D$2:$D$1315,BA$1,DataRegularSeason20242025!$E$2:$E$1315,$A39,DataRegularSeason20242025!$N$2:$N$1315,1)</f>
        <v>0</v>
      </c>
      <c r="BB40" s="39"/>
      <c r="BC40" s="38">
        <f>COUNTIFS(DataRegularSeason20242025!$D$2:$D$1315,BC$1,DataRegularSeason20242025!$E$2:$E$1315,$A39,DataRegularSeason20242025!$N$2:$N$1315,1)</f>
        <v>0</v>
      </c>
      <c r="BD40" s="39"/>
      <c r="BE40" s="38">
        <f>COUNTIFS(DataRegularSeason20242025!$D$2:$D$1315,BE$1,DataRegularSeason20242025!$E$2:$E$1315,$A39,DataRegularSeason20242025!$N$2:$N$1315,1)</f>
        <v>1</v>
      </c>
      <c r="BF40" s="39"/>
      <c r="BG40" s="38">
        <f>COUNTIFS(DataRegularSeason20242025!$D$2:$D$1315,BG$1,DataRegularSeason20242025!$E$2:$E$1315,$A39,DataRegularSeason20242025!$N$2:$N$1315,1)</f>
        <v>0</v>
      </c>
      <c r="BH40" s="39"/>
      <c r="BI40" s="38">
        <f>COUNTIFS(DataRegularSeason20242025!$D$2:$D$1315,BI$1,DataRegularSeason20242025!$E$2:$E$1315,$A39,DataRegularSeason20242025!$N$2:$N$1315,1)</f>
        <v>0</v>
      </c>
      <c r="BJ40" s="39"/>
      <c r="BK40" s="38">
        <f>COUNTIFS(DataRegularSeason20242025!$D$2:$D$1315,BK$1,DataRegularSeason20242025!$E$2:$E$1315,$A39,DataRegularSeason20242025!$N$2:$N$1315,1)</f>
        <v>0</v>
      </c>
      <c r="BL40" s="39"/>
      <c r="BM40" s="38">
        <f>COUNTIFS(DataRegularSeason20242025!$D$2:$D$1315,BM$1,DataRegularSeason20242025!$E$2:$E$1315,$A39,DataRegularSeason20242025!$N$2:$N$1315,1)</f>
        <v>0</v>
      </c>
      <c r="BN40" s="39"/>
      <c r="BO40" s="34">
        <f t="shared" si="0"/>
        <v>2</v>
      </c>
      <c r="BP40" s="165"/>
      <c r="BQ40" s="166"/>
    </row>
    <row r="41" spans="1:69" ht="12" customHeight="1" x14ac:dyDescent="0.25">
      <c r="A41" s="172" t="s">
        <v>32</v>
      </c>
      <c r="B41" s="28" t="s">
        <v>74</v>
      </c>
      <c r="C41" s="35"/>
      <c r="D41" s="28">
        <f>COUNTIFS(DataRegularSeason20242025!$E$2:$E$1315,C$1,DataRegularSeason20242025!$D$2:$D$1315,$A41,DataRegularSeason20242025!$N$2:$N$1315,1)</f>
        <v>0</v>
      </c>
      <c r="E41" s="35"/>
      <c r="F41" s="28">
        <f>COUNTIFS(DataRegularSeason20242025!$E$2:$E$1315,E$1,DataRegularSeason20242025!$D$2:$D$1315,$A41,DataRegularSeason20242025!$N$2:$N$1315,1)</f>
        <v>0</v>
      </c>
      <c r="G41" s="35"/>
      <c r="H41" s="28">
        <f>COUNTIFS(DataRegularSeason20242025!$E$2:$E$1315,G$1,DataRegularSeason20242025!$D$2:$D$1315,$A41,DataRegularSeason20242025!$N$2:$N$1315,1)</f>
        <v>0</v>
      </c>
      <c r="I41" s="35"/>
      <c r="J41" s="28">
        <f>COUNTIFS(DataRegularSeason20242025!$E$2:$E$1315,I$1,DataRegularSeason20242025!$D$2:$D$1315,$A41,DataRegularSeason20242025!$N$2:$N$1315,1)</f>
        <v>0</v>
      </c>
      <c r="K41" s="35"/>
      <c r="L41" s="28">
        <f>COUNTIFS(DataRegularSeason20242025!$E$2:$E$1315,K$1,DataRegularSeason20242025!$D$2:$D$1315,$A41,DataRegularSeason20242025!$N$2:$N$1315,1)</f>
        <v>0</v>
      </c>
      <c r="M41" s="35"/>
      <c r="N41" s="28">
        <f>COUNTIFS(DataRegularSeason20242025!$E$2:$E$1315,M$1,DataRegularSeason20242025!$D$2:$D$1315,$A41,DataRegularSeason20242025!$N$2:$N$1315,1)</f>
        <v>0</v>
      </c>
      <c r="O41" s="35"/>
      <c r="P41" s="28">
        <f>COUNTIFS(DataRegularSeason20242025!$E$2:$E$1315,O$1,DataRegularSeason20242025!$D$2:$D$1315,$A41,DataRegularSeason20242025!$N$2:$N$1315,1)</f>
        <v>0</v>
      </c>
      <c r="Q41" s="35"/>
      <c r="R41" s="46">
        <f>COUNTIFS(DataRegularSeason20242025!$E$2:$E$1315,Q$1,DataRegularSeason20242025!$D$2:$D$1315,$A41,DataRegularSeason20242025!$N$2:$N$1315,1)</f>
        <v>0</v>
      </c>
      <c r="S41" s="35"/>
      <c r="T41" s="28">
        <f>COUNTIFS(DataRegularSeason20242025!$E$2:$E$1315,S$1,DataRegularSeason20242025!$D$2:$D$1315,$A41,DataRegularSeason20242025!$N$2:$N$1315,1)</f>
        <v>0</v>
      </c>
      <c r="U41" s="35"/>
      <c r="V41" s="28">
        <f>COUNTIFS(DataRegularSeason20242025!$E$2:$E$1315,U$1,DataRegularSeason20242025!$D$2:$D$1315,$A41,DataRegularSeason20242025!$N$2:$N$1315,1)</f>
        <v>0</v>
      </c>
      <c r="W41" s="35"/>
      <c r="X41" s="28">
        <f>COUNTIFS(DataRegularSeason20242025!$E$2:$E$1315,W$1,DataRegularSeason20242025!$D$2:$D$1315,$A41,DataRegularSeason20242025!$N$2:$N$1315,1)</f>
        <v>0</v>
      </c>
      <c r="Y41" s="35"/>
      <c r="Z41" s="28">
        <f>COUNTIFS(DataRegularSeason20242025!$E$2:$E$1315,Y$1,DataRegularSeason20242025!$D$2:$D$1315,$A41,DataRegularSeason20242025!$N$2:$N$1315,1)</f>
        <v>0</v>
      </c>
      <c r="AA41" s="35"/>
      <c r="AB41" s="28">
        <f>COUNTIFS(DataRegularSeason20242025!$E$2:$E$1315,AA$1,DataRegularSeason20242025!$D$2:$D$1315,$A41,DataRegularSeason20242025!$N$2:$N$1315,1)</f>
        <v>0</v>
      </c>
      <c r="AC41" s="35"/>
      <c r="AD41" s="28">
        <f>COUNTIFS(DataRegularSeason20242025!$E$2:$E$1315,AC$1,DataRegularSeason20242025!$D$2:$D$1315,$A41,DataRegularSeason20242025!$N$2:$N$1315,1)</f>
        <v>0</v>
      </c>
      <c r="AE41" s="35"/>
      <c r="AF41" s="28">
        <f>COUNTIFS(DataRegularSeason20242025!$E$2:$E$1315,AE$1,DataRegularSeason20242025!$D$2:$D$1315,$A41,DataRegularSeason20242025!$N$2:$N$1315,1)</f>
        <v>0</v>
      </c>
      <c r="AG41" s="35"/>
      <c r="AH41" s="46">
        <f>COUNTIFS(DataRegularSeason20242025!$E$2:$E$1315,AG$1,DataRegularSeason20242025!$D$2:$D$1315,$A41,DataRegularSeason20242025!$N$2:$N$1315,1)</f>
        <v>0</v>
      </c>
      <c r="AI41" s="35"/>
      <c r="AJ41" s="28">
        <f>COUNTIFS(DataRegularSeason20242025!$E$2:$E$1315,AI$1,DataRegularSeason20242025!$D$2:$D$1315,$A41,DataRegularSeason20242025!$N$2:$N$1315,1)</f>
        <v>0</v>
      </c>
      <c r="AK41" s="35"/>
      <c r="AL41" s="28">
        <f>COUNTIFS(DataRegularSeason20242025!$E$2:$E$1315,AK$1,DataRegularSeason20242025!$D$2:$D$1315,$A41,DataRegularSeason20242025!$N$2:$N$1315,1)</f>
        <v>0</v>
      </c>
      <c r="AM41" s="35"/>
      <c r="AN41" s="28">
        <f>COUNTIFS(DataRegularSeason20242025!$E$2:$E$1315,AM$1,DataRegularSeason20242025!$D$2:$D$1315,$A41,DataRegularSeason20242025!$N$2:$N$1315,1)</f>
        <v>0</v>
      </c>
      <c r="AO41" s="35"/>
      <c r="AP41" s="36"/>
      <c r="AQ41" s="35"/>
      <c r="AR41" s="28">
        <f>COUNTIFS(DataRegularSeason20242025!$E$2:$E$1315,AQ$1,DataRegularSeason20242025!$D$2:$D$1315,$A41,DataRegularSeason20242025!$N$2:$N$1315,1)</f>
        <v>0</v>
      </c>
      <c r="AS41" s="35"/>
      <c r="AT41" s="28">
        <f>COUNTIFS(DataRegularSeason20242025!$E$2:$E$1315,AS$1,DataRegularSeason20242025!$D$2:$D$1315,$A41,DataRegularSeason20242025!$N$2:$N$1315,1)</f>
        <v>0</v>
      </c>
      <c r="AU41" s="35"/>
      <c r="AV41" s="28">
        <f>COUNTIFS(DataRegularSeason20242025!$E$2:$E$1315,AU$1,DataRegularSeason20242025!$D$2:$D$1315,$A41,DataRegularSeason20242025!$N$2:$N$1315,1)</f>
        <v>1</v>
      </c>
      <c r="AW41" s="35"/>
      <c r="AX41" s="46">
        <f>COUNTIFS(DataRegularSeason20242025!$E$2:$E$1315,AW$1,DataRegularSeason20242025!$D$2:$D$1315,$A41,DataRegularSeason20242025!$N$2:$N$1315,1)</f>
        <v>0</v>
      </c>
      <c r="AY41" s="35"/>
      <c r="AZ41" s="28">
        <f>COUNTIFS(DataRegularSeason20242025!$E$2:$E$1315,AY$1,DataRegularSeason20242025!$D$2:$D$1315,$A41,DataRegularSeason20242025!$N$2:$N$1315,1)</f>
        <v>0</v>
      </c>
      <c r="BA41" s="35"/>
      <c r="BB41" s="28">
        <f>COUNTIFS(DataRegularSeason20242025!$E$2:$E$1315,BA$1,DataRegularSeason20242025!$D$2:$D$1315,$A41,DataRegularSeason20242025!$N$2:$N$1315,1)</f>
        <v>0</v>
      </c>
      <c r="BC41" s="35"/>
      <c r="BD41" s="28">
        <f>COUNTIFS(DataRegularSeason20242025!$E$2:$E$1315,BC$1,DataRegularSeason20242025!$D$2:$D$1315,$A41,DataRegularSeason20242025!$N$2:$N$1315,1)</f>
        <v>0</v>
      </c>
      <c r="BE41" s="35"/>
      <c r="BF41" s="28">
        <f>COUNTIFS(DataRegularSeason20242025!$E$2:$E$1315,BE$1,DataRegularSeason20242025!$D$2:$D$1315,$A41,DataRegularSeason20242025!$N$2:$N$1315,1)</f>
        <v>0</v>
      </c>
      <c r="BG41" s="35"/>
      <c r="BH41" s="28">
        <f>COUNTIFS(DataRegularSeason20242025!$E$2:$E$1315,BG$1,DataRegularSeason20242025!$D$2:$D$1315,$A41,DataRegularSeason20242025!$N$2:$N$1315,1)</f>
        <v>0</v>
      </c>
      <c r="BI41" s="35"/>
      <c r="BJ41" s="28">
        <f>COUNTIFS(DataRegularSeason20242025!$E$2:$E$1315,BI$1,DataRegularSeason20242025!$D$2:$D$1315,$A41,DataRegularSeason20242025!$N$2:$N$1315,1)</f>
        <v>1</v>
      </c>
      <c r="BK41" s="35"/>
      <c r="BL41" s="28">
        <f>COUNTIFS(DataRegularSeason20242025!$E$2:$E$1315,BK$1,DataRegularSeason20242025!$D$2:$D$1315,$A41,DataRegularSeason20242025!$N$2:$N$1315,1)</f>
        <v>0</v>
      </c>
      <c r="BM41" s="35"/>
      <c r="BN41" s="28">
        <f>COUNTIFS(DataRegularSeason20242025!$E$2:$E$1315,BM$1,DataRegularSeason20242025!$D$2:$D$1315,$A41,DataRegularSeason20242025!$N$2:$N$1315,1)</f>
        <v>0</v>
      </c>
      <c r="BO41" s="30">
        <f t="shared" si="0"/>
        <v>2</v>
      </c>
      <c r="BP41" s="165">
        <f t="shared" ref="BP41" si="37">BO41+BO42</f>
        <v>6</v>
      </c>
      <c r="BQ41" s="166">
        <f t="shared" ref="BQ41" si="38">82-BP41</f>
        <v>76</v>
      </c>
    </row>
    <row r="42" spans="1:69" ht="12" customHeight="1" x14ac:dyDescent="0.25">
      <c r="A42" s="167"/>
      <c r="B42" s="32" t="s">
        <v>73</v>
      </c>
      <c r="C42" s="38">
        <f>COUNTIFS(DataRegularSeason20242025!$D$2:$D$1315,C$1,DataRegularSeason20242025!$E$2:$E$1315,$A41,DataRegularSeason20242025!$N$2:$N$1315,1)</f>
        <v>0</v>
      </c>
      <c r="D42" s="39"/>
      <c r="E42" s="38">
        <f>COUNTIFS(DataRegularSeason20242025!$D$2:$D$1315,E$1,DataRegularSeason20242025!$E$2:$E$1315,$A41,DataRegularSeason20242025!$N$2:$N$1315,1)</f>
        <v>0</v>
      </c>
      <c r="F42" s="39"/>
      <c r="G42" s="38">
        <f>COUNTIFS(DataRegularSeason20242025!$D$2:$D$1315,G$1,DataRegularSeason20242025!$E$2:$E$1315,$A41,DataRegularSeason20242025!$N$2:$N$1315,1)</f>
        <v>1</v>
      </c>
      <c r="H42" s="39"/>
      <c r="I42" s="38">
        <f>COUNTIFS(DataRegularSeason20242025!$D$2:$D$1315,I$1,DataRegularSeason20242025!$E$2:$E$1315,$A41,DataRegularSeason20242025!$N$2:$N$1315,1)</f>
        <v>0</v>
      </c>
      <c r="J42" s="39"/>
      <c r="K42" s="38">
        <f>COUNTIFS(DataRegularSeason20242025!$D$2:$D$1315,K$1,DataRegularSeason20242025!$E$2:$E$1315,$A41,DataRegularSeason20242025!$N$2:$N$1315,1)</f>
        <v>0</v>
      </c>
      <c r="L42" s="39"/>
      <c r="M42" s="38">
        <f>COUNTIFS(DataRegularSeason20242025!$D$2:$D$1315,M$1,DataRegularSeason20242025!$E$2:$E$1315,$A41,DataRegularSeason20242025!$N$2:$N$1315,1)</f>
        <v>1</v>
      </c>
      <c r="N42" s="39"/>
      <c r="O42" s="38">
        <f>COUNTIFS(DataRegularSeason20242025!$D$2:$D$1315,O$1,DataRegularSeason20242025!$E$2:$E$1315,$A41,DataRegularSeason20242025!$N$2:$N$1315,1)</f>
        <v>0</v>
      </c>
      <c r="P42" s="39"/>
      <c r="Q42" s="38">
        <f>COUNTIFS(DataRegularSeason20242025!$D$2:$D$1315,Q$1,DataRegularSeason20242025!$E$2:$E$1315,$A41,DataRegularSeason20242025!$N$2:$N$1315,1)</f>
        <v>0</v>
      </c>
      <c r="R42" s="47"/>
      <c r="S42" s="38">
        <f>COUNTIFS(DataRegularSeason20242025!$D$2:$D$1315,S$1,DataRegularSeason20242025!$E$2:$E$1315,$A41,DataRegularSeason20242025!$N$2:$N$1315,1)</f>
        <v>0</v>
      </c>
      <c r="T42" s="39"/>
      <c r="U42" s="38">
        <f>COUNTIFS(DataRegularSeason20242025!$D$2:$D$1315,U$1,DataRegularSeason20242025!$E$2:$E$1315,$A41,DataRegularSeason20242025!$N$2:$N$1315,1)</f>
        <v>0</v>
      </c>
      <c r="V42" s="39"/>
      <c r="W42" s="38">
        <f>COUNTIFS(DataRegularSeason20242025!$D$2:$D$1315,W$1,DataRegularSeason20242025!$E$2:$E$1315,$A41,DataRegularSeason20242025!$N$2:$N$1315,1)</f>
        <v>0</v>
      </c>
      <c r="X42" s="39"/>
      <c r="Y42" s="38">
        <f>COUNTIFS(DataRegularSeason20242025!$D$2:$D$1315,Y$1,DataRegularSeason20242025!$E$2:$E$1315,$A41,DataRegularSeason20242025!$N$2:$N$1315,1)</f>
        <v>0</v>
      </c>
      <c r="Z42" s="39"/>
      <c r="AA42" s="38">
        <f>COUNTIFS(DataRegularSeason20242025!$D$2:$D$1315,AA$1,DataRegularSeason20242025!$E$2:$E$1315,$A41,DataRegularSeason20242025!$N$2:$N$1315,1)</f>
        <v>0</v>
      </c>
      <c r="AB42" s="39"/>
      <c r="AC42" s="38">
        <f>COUNTIFS(DataRegularSeason20242025!$D$2:$D$1315,AC$1,DataRegularSeason20242025!$E$2:$E$1315,$A41,DataRegularSeason20242025!$N$2:$N$1315,1)</f>
        <v>0</v>
      </c>
      <c r="AD42" s="39"/>
      <c r="AE42" s="38">
        <f>COUNTIFS(DataRegularSeason20242025!$D$2:$D$1315,AE$1,DataRegularSeason20242025!$E$2:$E$1315,$A41,DataRegularSeason20242025!$N$2:$N$1315,1)</f>
        <v>0</v>
      </c>
      <c r="AF42" s="39"/>
      <c r="AG42" s="38">
        <f>COUNTIFS(DataRegularSeason20242025!$D$2:$D$1315,AG$1,DataRegularSeason20242025!$E$2:$E$1315,$A41,DataRegularSeason20242025!$N$2:$N$1315,1)</f>
        <v>1</v>
      </c>
      <c r="AH42" s="47"/>
      <c r="AI42" s="38">
        <f>COUNTIFS(DataRegularSeason20242025!$D$2:$D$1315,AI$1,DataRegularSeason20242025!$E$2:$E$1315,$A41,DataRegularSeason20242025!$N$2:$N$1315,1)</f>
        <v>0</v>
      </c>
      <c r="AJ42" s="39"/>
      <c r="AK42" s="38">
        <f>COUNTIFS(DataRegularSeason20242025!$D$2:$D$1315,AK$1,DataRegularSeason20242025!$E$2:$E$1315,$A41,DataRegularSeason20242025!$N$2:$N$1315,1)</f>
        <v>0</v>
      </c>
      <c r="AL42" s="39"/>
      <c r="AM42" s="38">
        <f>COUNTIFS(DataRegularSeason20242025!$D$2:$D$1315,AM$1,DataRegularSeason20242025!$E$2:$E$1315,$A41,DataRegularSeason20242025!$N$2:$N$1315,1)</f>
        <v>0</v>
      </c>
      <c r="AN42" s="39"/>
      <c r="AO42" s="38"/>
      <c r="AP42" s="39"/>
      <c r="AQ42" s="38">
        <f>COUNTIFS(DataRegularSeason20242025!$D$2:$D$1315,AQ$1,DataRegularSeason20242025!$E$2:$E$1315,$A41,DataRegularSeason20242025!$N$2:$N$1315,1)</f>
        <v>0</v>
      </c>
      <c r="AR42" s="39"/>
      <c r="AS42" s="38">
        <f>COUNTIFS(DataRegularSeason20242025!$D$2:$D$1315,AS$1,DataRegularSeason20242025!$E$2:$E$1315,$A41,DataRegularSeason20242025!$N$2:$N$1315,1)</f>
        <v>0</v>
      </c>
      <c r="AT42" s="39"/>
      <c r="AU42" s="38">
        <f>COUNTIFS(DataRegularSeason20242025!$D$2:$D$1315,AU$1,DataRegularSeason20242025!$E$2:$E$1315,$A41,DataRegularSeason20242025!$N$2:$N$1315,1)</f>
        <v>0</v>
      </c>
      <c r="AV42" s="39"/>
      <c r="AW42" s="38">
        <f>COUNTIFS(DataRegularSeason20242025!$D$2:$D$1315,AW$1,DataRegularSeason20242025!$E$2:$E$1315,$A41,DataRegularSeason20242025!$N$2:$N$1315,1)</f>
        <v>1</v>
      </c>
      <c r="AX42" s="47"/>
      <c r="AY42" s="38">
        <f>COUNTIFS(DataRegularSeason20242025!$D$2:$D$1315,AY$1,DataRegularSeason20242025!$E$2:$E$1315,$A41,DataRegularSeason20242025!$N$2:$N$1315,1)</f>
        <v>0</v>
      </c>
      <c r="AZ42" s="39"/>
      <c r="BA42" s="38">
        <f>COUNTIFS(DataRegularSeason20242025!$D$2:$D$1315,BA$1,DataRegularSeason20242025!$E$2:$E$1315,$A41,DataRegularSeason20242025!$N$2:$N$1315,1)</f>
        <v>0</v>
      </c>
      <c r="BB42" s="39"/>
      <c r="BC42" s="38">
        <f>COUNTIFS(DataRegularSeason20242025!$D$2:$D$1315,BC$1,DataRegularSeason20242025!$E$2:$E$1315,$A41,DataRegularSeason20242025!$N$2:$N$1315,1)</f>
        <v>0</v>
      </c>
      <c r="BD42" s="39"/>
      <c r="BE42" s="38">
        <f>COUNTIFS(DataRegularSeason20242025!$D$2:$D$1315,BE$1,DataRegularSeason20242025!$E$2:$E$1315,$A41,DataRegularSeason20242025!$N$2:$N$1315,1)</f>
        <v>0</v>
      </c>
      <c r="BF42" s="39"/>
      <c r="BG42" s="38">
        <f>COUNTIFS(DataRegularSeason20242025!$D$2:$D$1315,BG$1,DataRegularSeason20242025!$E$2:$E$1315,$A41,DataRegularSeason20242025!$N$2:$N$1315,1)</f>
        <v>0</v>
      </c>
      <c r="BH42" s="39"/>
      <c r="BI42" s="38">
        <f>COUNTIFS(DataRegularSeason20242025!$D$2:$D$1315,BI$1,DataRegularSeason20242025!$E$2:$E$1315,$A41,DataRegularSeason20242025!$N$2:$N$1315,1)</f>
        <v>0</v>
      </c>
      <c r="BJ42" s="39"/>
      <c r="BK42" s="38">
        <f>COUNTIFS(DataRegularSeason20242025!$D$2:$D$1315,BK$1,DataRegularSeason20242025!$E$2:$E$1315,$A41,DataRegularSeason20242025!$N$2:$N$1315,1)</f>
        <v>0</v>
      </c>
      <c r="BL42" s="39"/>
      <c r="BM42" s="38">
        <f>COUNTIFS(DataRegularSeason20242025!$D$2:$D$1315,BM$1,DataRegularSeason20242025!$E$2:$E$1315,$A41,DataRegularSeason20242025!$N$2:$N$1315,1)</f>
        <v>0</v>
      </c>
      <c r="BN42" s="39"/>
      <c r="BO42" s="34">
        <f t="shared" si="0"/>
        <v>4</v>
      </c>
      <c r="BP42" s="165"/>
      <c r="BQ42" s="166"/>
    </row>
    <row r="43" spans="1:69" ht="12" customHeight="1" x14ac:dyDescent="0.25">
      <c r="A43" s="172" t="s">
        <v>19</v>
      </c>
      <c r="B43" s="28" t="s">
        <v>74</v>
      </c>
      <c r="C43" s="35"/>
      <c r="D43" s="28">
        <f>COUNTIFS(DataRegularSeason20242025!$E$2:$E$1315,C$1,DataRegularSeason20242025!$D$2:$D$1315,$A43,DataRegularSeason20242025!$N$2:$N$1315,1)</f>
        <v>0</v>
      </c>
      <c r="E43" s="35"/>
      <c r="F43" s="28">
        <f>COUNTIFS(DataRegularSeason20242025!$E$2:$E$1315,E$1,DataRegularSeason20242025!$D$2:$D$1315,$A43,DataRegularSeason20242025!$N$2:$N$1315,1)</f>
        <v>0</v>
      </c>
      <c r="G43" s="35"/>
      <c r="H43" s="28">
        <f>COUNTIFS(DataRegularSeason20242025!$E$2:$E$1315,G$1,DataRegularSeason20242025!$D$2:$D$1315,$A43,DataRegularSeason20242025!$N$2:$N$1315,1)</f>
        <v>0</v>
      </c>
      <c r="I43" s="35"/>
      <c r="J43" s="28">
        <f>COUNTIFS(DataRegularSeason20242025!$E$2:$E$1315,I$1,DataRegularSeason20242025!$D$2:$D$1315,$A43,DataRegularSeason20242025!$N$2:$N$1315,1)</f>
        <v>0</v>
      </c>
      <c r="K43" s="35"/>
      <c r="L43" s="28">
        <f>COUNTIFS(DataRegularSeason20242025!$E$2:$E$1315,K$1,DataRegularSeason20242025!$D$2:$D$1315,$A43,DataRegularSeason20242025!$N$2:$N$1315,1)</f>
        <v>0</v>
      </c>
      <c r="M43" s="35"/>
      <c r="N43" s="28">
        <f>COUNTIFS(DataRegularSeason20242025!$E$2:$E$1315,M$1,DataRegularSeason20242025!$D$2:$D$1315,$A43,DataRegularSeason20242025!$N$2:$N$1315,1)</f>
        <v>0</v>
      </c>
      <c r="O43" s="35"/>
      <c r="P43" s="28">
        <f>COUNTIFS(DataRegularSeason20242025!$E$2:$E$1315,O$1,DataRegularSeason20242025!$D$2:$D$1315,$A43,DataRegularSeason20242025!$N$2:$N$1315,1)</f>
        <v>0</v>
      </c>
      <c r="Q43" s="35"/>
      <c r="R43" s="46">
        <f>COUNTIFS(DataRegularSeason20242025!$E$2:$E$1315,Q$1,DataRegularSeason20242025!$D$2:$D$1315,$A43,DataRegularSeason20242025!$N$2:$N$1315,1)</f>
        <v>0</v>
      </c>
      <c r="S43" s="35"/>
      <c r="T43" s="28">
        <f>COUNTIFS(DataRegularSeason20242025!$E$2:$E$1315,S$1,DataRegularSeason20242025!$D$2:$D$1315,$A43,DataRegularSeason20242025!$N$2:$N$1315,1)</f>
        <v>0</v>
      </c>
      <c r="U43" s="35"/>
      <c r="V43" s="28">
        <f>COUNTIFS(DataRegularSeason20242025!$E$2:$E$1315,U$1,DataRegularSeason20242025!$D$2:$D$1315,$A43,DataRegularSeason20242025!$N$2:$N$1315,1)</f>
        <v>0</v>
      </c>
      <c r="W43" s="35"/>
      <c r="X43" s="28">
        <f>COUNTIFS(DataRegularSeason20242025!$E$2:$E$1315,W$1,DataRegularSeason20242025!$D$2:$D$1315,$A43,DataRegularSeason20242025!$N$2:$N$1315,1)</f>
        <v>0</v>
      </c>
      <c r="Y43" s="35"/>
      <c r="Z43" s="28">
        <f>COUNTIFS(DataRegularSeason20242025!$E$2:$E$1315,Y$1,DataRegularSeason20242025!$D$2:$D$1315,$A43,DataRegularSeason20242025!$N$2:$N$1315,1)</f>
        <v>0</v>
      </c>
      <c r="AA43" s="35"/>
      <c r="AB43" s="28">
        <f>COUNTIFS(DataRegularSeason20242025!$E$2:$E$1315,AA$1,DataRegularSeason20242025!$D$2:$D$1315,$A43,DataRegularSeason20242025!$N$2:$N$1315,1)</f>
        <v>0</v>
      </c>
      <c r="AC43" s="35"/>
      <c r="AD43" s="28">
        <f>COUNTIFS(DataRegularSeason20242025!$E$2:$E$1315,AC$1,DataRegularSeason20242025!$D$2:$D$1315,$A43,DataRegularSeason20242025!$N$2:$N$1315,1)</f>
        <v>0</v>
      </c>
      <c r="AE43" s="35"/>
      <c r="AF43" s="28">
        <f>COUNTIFS(DataRegularSeason20242025!$E$2:$E$1315,AE$1,DataRegularSeason20242025!$D$2:$D$1315,$A43,DataRegularSeason20242025!$N$2:$N$1315,1)</f>
        <v>0</v>
      </c>
      <c r="AG43" s="35"/>
      <c r="AH43" s="46">
        <f>COUNTIFS(DataRegularSeason20242025!$E$2:$E$1315,AG$1,DataRegularSeason20242025!$D$2:$D$1315,$A43,DataRegularSeason20242025!$N$2:$N$1315,1)</f>
        <v>0</v>
      </c>
      <c r="AI43" s="35"/>
      <c r="AJ43" s="28">
        <f>COUNTIFS(DataRegularSeason20242025!$E$2:$E$1315,AI$1,DataRegularSeason20242025!$D$2:$D$1315,$A43,DataRegularSeason20242025!$N$2:$N$1315,1)</f>
        <v>0</v>
      </c>
      <c r="AK43" s="35"/>
      <c r="AL43" s="28">
        <f>COUNTIFS(DataRegularSeason20242025!$E$2:$E$1315,AK$1,DataRegularSeason20242025!$D$2:$D$1315,$A43,DataRegularSeason20242025!$N$2:$N$1315,1)</f>
        <v>0</v>
      </c>
      <c r="AM43" s="35"/>
      <c r="AN43" s="28">
        <f>COUNTIFS(DataRegularSeason20242025!$E$2:$E$1315,AM$1,DataRegularSeason20242025!$D$2:$D$1315,$A43,DataRegularSeason20242025!$N$2:$N$1315,1)</f>
        <v>0</v>
      </c>
      <c r="AO43" s="35"/>
      <c r="AP43" s="28">
        <f>COUNTIFS(DataRegularSeason20242025!$E$2:$E$1315,AO$1,DataRegularSeason20242025!$D$2:$D$1315,$A43,DataRegularSeason20242025!$N$2:$N$1315,1)</f>
        <v>0</v>
      </c>
      <c r="AQ43" s="35"/>
      <c r="AR43" s="36"/>
      <c r="AS43" s="35"/>
      <c r="AT43" s="28">
        <f>COUNTIFS(DataRegularSeason20242025!$E$2:$E$1315,AS$1,DataRegularSeason20242025!$D$2:$D$1315,$A43,DataRegularSeason20242025!$N$2:$N$1315,1)</f>
        <v>0</v>
      </c>
      <c r="AU43" s="35"/>
      <c r="AV43" s="28">
        <f>COUNTIFS(DataRegularSeason20242025!$E$2:$E$1315,AU$1,DataRegularSeason20242025!$D$2:$D$1315,$A43,DataRegularSeason20242025!$N$2:$N$1315,1)</f>
        <v>1</v>
      </c>
      <c r="AW43" s="35"/>
      <c r="AX43" s="46">
        <f>COUNTIFS(DataRegularSeason20242025!$E$2:$E$1315,AW$1,DataRegularSeason20242025!$D$2:$D$1315,$A43,DataRegularSeason20242025!$N$2:$N$1315,1)</f>
        <v>0</v>
      </c>
      <c r="AY43" s="35"/>
      <c r="AZ43" s="28">
        <f>COUNTIFS(DataRegularSeason20242025!$E$2:$E$1315,AY$1,DataRegularSeason20242025!$D$2:$D$1315,$A43,DataRegularSeason20242025!$N$2:$N$1315,1)</f>
        <v>0</v>
      </c>
      <c r="BA43" s="35"/>
      <c r="BB43" s="28">
        <f>COUNTIFS(DataRegularSeason20242025!$E$2:$E$1315,BA$1,DataRegularSeason20242025!$D$2:$D$1315,$A43,DataRegularSeason20242025!$N$2:$N$1315,1)</f>
        <v>1</v>
      </c>
      <c r="BC43" s="35"/>
      <c r="BD43" s="28">
        <f>COUNTIFS(DataRegularSeason20242025!$E$2:$E$1315,BC$1,DataRegularSeason20242025!$D$2:$D$1315,$A43,DataRegularSeason20242025!$N$2:$N$1315,1)</f>
        <v>0</v>
      </c>
      <c r="BE43" s="35"/>
      <c r="BF43" s="28">
        <f>COUNTIFS(DataRegularSeason20242025!$E$2:$E$1315,BE$1,DataRegularSeason20242025!$D$2:$D$1315,$A43,DataRegularSeason20242025!$N$2:$N$1315,1)</f>
        <v>0</v>
      </c>
      <c r="BG43" s="35"/>
      <c r="BH43" s="28">
        <f>COUNTIFS(DataRegularSeason20242025!$E$2:$E$1315,BG$1,DataRegularSeason20242025!$D$2:$D$1315,$A43,DataRegularSeason20242025!$N$2:$N$1315,1)</f>
        <v>1</v>
      </c>
      <c r="BI43" s="35"/>
      <c r="BJ43" s="28">
        <f>COUNTIFS(DataRegularSeason20242025!$E$2:$E$1315,BI$1,DataRegularSeason20242025!$D$2:$D$1315,$A43,DataRegularSeason20242025!$N$2:$N$1315,1)</f>
        <v>0</v>
      </c>
      <c r="BK43" s="35"/>
      <c r="BL43" s="28">
        <f>COUNTIFS(DataRegularSeason20242025!$E$2:$E$1315,BK$1,DataRegularSeason20242025!$D$2:$D$1315,$A43,DataRegularSeason20242025!$N$2:$N$1315,1)</f>
        <v>0</v>
      </c>
      <c r="BM43" s="35"/>
      <c r="BN43" s="28">
        <f>COUNTIFS(DataRegularSeason20242025!$E$2:$E$1315,BM$1,DataRegularSeason20242025!$D$2:$D$1315,$A43,DataRegularSeason20242025!$N$2:$N$1315,1)</f>
        <v>1</v>
      </c>
      <c r="BO43" s="30">
        <f t="shared" si="0"/>
        <v>4</v>
      </c>
      <c r="BP43" s="165">
        <f t="shared" ref="BP43" si="39">BO43+BO44</f>
        <v>8</v>
      </c>
      <c r="BQ43" s="166">
        <f t="shared" ref="BQ43" si="40">82-BP43</f>
        <v>74</v>
      </c>
    </row>
    <row r="44" spans="1:69" ht="12" customHeight="1" x14ac:dyDescent="0.25">
      <c r="A44" s="167"/>
      <c r="B44" s="32" t="s">
        <v>73</v>
      </c>
      <c r="C44" s="38">
        <f>COUNTIFS(DataRegularSeason20242025!$D$2:$D$1315,C$1,DataRegularSeason20242025!$E$2:$E$1315,$A43,DataRegularSeason20242025!$N$2:$N$1315,1)</f>
        <v>0</v>
      </c>
      <c r="D44" s="39"/>
      <c r="E44" s="38">
        <f>COUNTIFS(DataRegularSeason20242025!$D$2:$D$1315,E$1,DataRegularSeason20242025!$E$2:$E$1315,$A43,DataRegularSeason20242025!$N$2:$N$1315,1)</f>
        <v>0</v>
      </c>
      <c r="F44" s="39"/>
      <c r="G44" s="38">
        <f>COUNTIFS(DataRegularSeason20242025!$D$2:$D$1315,G$1,DataRegularSeason20242025!$E$2:$E$1315,$A43,DataRegularSeason20242025!$N$2:$N$1315,1)</f>
        <v>1</v>
      </c>
      <c r="H44" s="39"/>
      <c r="I44" s="38">
        <f>COUNTIFS(DataRegularSeason20242025!$D$2:$D$1315,I$1,DataRegularSeason20242025!$E$2:$E$1315,$A43,DataRegularSeason20242025!$N$2:$N$1315,1)</f>
        <v>0</v>
      </c>
      <c r="J44" s="39"/>
      <c r="K44" s="38">
        <f>COUNTIFS(DataRegularSeason20242025!$D$2:$D$1315,K$1,DataRegularSeason20242025!$E$2:$E$1315,$A43,DataRegularSeason20242025!$N$2:$N$1315,1)</f>
        <v>0</v>
      </c>
      <c r="L44" s="39"/>
      <c r="M44" s="38">
        <f>COUNTIFS(DataRegularSeason20242025!$D$2:$D$1315,M$1,DataRegularSeason20242025!$E$2:$E$1315,$A43,DataRegularSeason20242025!$N$2:$N$1315,1)</f>
        <v>0</v>
      </c>
      <c r="N44" s="39"/>
      <c r="O44" s="38">
        <f>COUNTIFS(DataRegularSeason20242025!$D$2:$D$1315,O$1,DataRegularSeason20242025!$E$2:$E$1315,$A43,DataRegularSeason20242025!$N$2:$N$1315,1)</f>
        <v>0</v>
      </c>
      <c r="P44" s="39"/>
      <c r="Q44" s="38">
        <f>COUNTIFS(DataRegularSeason20242025!$D$2:$D$1315,Q$1,DataRegularSeason20242025!$E$2:$E$1315,$A43,DataRegularSeason20242025!$N$2:$N$1315,1)</f>
        <v>0</v>
      </c>
      <c r="R44" s="47"/>
      <c r="S44" s="38">
        <f>COUNTIFS(DataRegularSeason20242025!$D$2:$D$1315,S$1,DataRegularSeason20242025!$E$2:$E$1315,$A43,DataRegularSeason20242025!$N$2:$N$1315,1)</f>
        <v>0</v>
      </c>
      <c r="T44" s="39"/>
      <c r="U44" s="38">
        <f>COUNTIFS(DataRegularSeason20242025!$D$2:$D$1315,U$1,DataRegularSeason20242025!$E$2:$E$1315,$A43,DataRegularSeason20242025!$N$2:$N$1315,1)</f>
        <v>0</v>
      </c>
      <c r="V44" s="39"/>
      <c r="W44" s="38">
        <f>COUNTIFS(DataRegularSeason20242025!$D$2:$D$1315,W$1,DataRegularSeason20242025!$E$2:$E$1315,$A43,DataRegularSeason20242025!$N$2:$N$1315,1)</f>
        <v>0</v>
      </c>
      <c r="X44" s="39"/>
      <c r="Y44" s="38">
        <f>COUNTIFS(DataRegularSeason20242025!$D$2:$D$1315,Y$1,DataRegularSeason20242025!$E$2:$E$1315,$A43,DataRegularSeason20242025!$N$2:$N$1315,1)</f>
        <v>1</v>
      </c>
      <c r="Z44" s="39"/>
      <c r="AA44" s="38">
        <f>COUNTIFS(DataRegularSeason20242025!$D$2:$D$1315,AA$1,DataRegularSeason20242025!$E$2:$E$1315,$A43,DataRegularSeason20242025!$N$2:$N$1315,1)</f>
        <v>0</v>
      </c>
      <c r="AB44" s="39"/>
      <c r="AC44" s="38">
        <f>COUNTIFS(DataRegularSeason20242025!$D$2:$D$1315,AC$1,DataRegularSeason20242025!$E$2:$E$1315,$A43,DataRegularSeason20242025!$N$2:$N$1315,1)</f>
        <v>0</v>
      </c>
      <c r="AD44" s="39"/>
      <c r="AE44" s="38">
        <f>COUNTIFS(DataRegularSeason20242025!$D$2:$D$1315,AE$1,DataRegularSeason20242025!$E$2:$E$1315,$A43,DataRegularSeason20242025!$N$2:$N$1315,1)</f>
        <v>0</v>
      </c>
      <c r="AF44" s="39"/>
      <c r="AG44" s="38">
        <f>COUNTIFS(DataRegularSeason20242025!$D$2:$D$1315,AG$1,DataRegularSeason20242025!$E$2:$E$1315,$A43,DataRegularSeason20242025!$N$2:$N$1315,1)</f>
        <v>0</v>
      </c>
      <c r="AH44" s="47"/>
      <c r="AI44" s="38">
        <f>COUNTIFS(DataRegularSeason20242025!$D$2:$D$1315,AI$1,DataRegularSeason20242025!$E$2:$E$1315,$A43,DataRegularSeason20242025!$N$2:$N$1315,1)</f>
        <v>0</v>
      </c>
      <c r="AJ44" s="39"/>
      <c r="AK44" s="38">
        <f>COUNTIFS(DataRegularSeason20242025!$D$2:$D$1315,AK$1,DataRegularSeason20242025!$E$2:$E$1315,$A43,DataRegularSeason20242025!$N$2:$N$1315,1)</f>
        <v>0</v>
      </c>
      <c r="AL44" s="39"/>
      <c r="AM44" s="38">
        <f>COUNTIFS(DataRegularSeason20242025!$D$2:$D$1315,AM$1,DataRegularSeason20242025!$E$2:$E$1315,$A43,DataRegularSeason20242025!$N$2:$N$1315,1)</f>
        <v>0</v>
      </c>
      <c r="AN44" s="39"/>
      <c r="AO44" s="38">
        <f>COUNTIFS(DataRegularSeason20242025!$D$2:$D$1315,AO$1,DataRegularSeason20242025!$E$2:$E$1315,$A43,DataRegularSeason20242025!$N$2:$N$1315,1)</f>
        <v>0</v>
      </c>
      <c r="AP44" s="39"/>
      <c r="AQ44" s="38"/>
      <c r="AR44" s="39"/>
      <c r="AS44" s="38">
        <f>COUNTIFS(DataRegularSeason20242025!$D$2:$D$1315,AS$1,DataRegularSeason20242025!$E$2:$E$1315,$A43,DataRegularSeason20242025!$N$2:$N$1315,1)</f>
        <v>0</v>
      </c>
      <c r="AT44" s="39"/>
      <c r="AU44" s="38">
        <f>COUNTIFS(DataRegularSeason20242025!$D$2:$D$1315,AU$1,DataRegularSeason20242025!$E$2:$E$1315,$A43,DataRegularSeason20242025!$N$2:$N$1315,1)</f>
        <v>1</v>
      </c>
      <c r="AV44" s="39"/>
      <c r="AW44" s="38">
        <f>COUNTIFS(DataRegularSeason20242025!$D$2:$D$1315,AW$1,DataRegularSeason20242025!$E$2:$E$1315,$A43,DataRegularSeason20242025!$N$2:$N$1315,1)</f>
        <v>1</v>
      </c>
      <c r="AX44" s="47"/>
      <c r="AY44" s="38">
        <f>COUNTIFS(DataRegularSeason20242025!$D$2:$D$1315,AY$1,DataRegularSeason20242025!$E$2:$E$1315,$A43,DataRegularSeason20242025!$N$2:$N$1315,1)</f>
        <v>0</v>
      </c>
      <c r="AZ44" s="39"/>
      <c r="BA44" s="38">
        <f>COUNTIFS(DataRegularSeason20242025!$D$2:$D$1315,BA$1,DataRegularSeason20242025!$E$2:$E$1315,$A43,DataRegularSeason20242025!$N$2:$N$1315,1)</f>
        <v>0</v>
      </c>
      <c r="BB44" s="39"/>
      <c r="BC44" s="38">
        <f>COUNTIFS(DataRegularSeason20242025!$D$2:$D$1315,BC$1,DataRegularSeason20242025!$E$2:$E$1315,$A43,DataRegularSeason20242025!$N$2:$N$1315,1)</f>
        <v>0</v>
      </c>
      <c r="BD44" s="39"/>
      <c r="BE44" s="38">
        <f>COUNTIFS(DataRegularSeason20242025!$D$2:$D$1315,BE$1,DataRegularSeason20242025!$E$2:$E$1315,$A43,DataRegularSeason20242025!$N$2:$N$1315,1)</f>
        <v>0</v>
      </c>
      <c r="BF44" s="39"/>
      <c r="BG44" s="38">
        <f>COUNTIFS(DataRegularSeason20242025!$D$2:$D$1315,BG$1,DataRegularSeason20242025!$E$2:$E$1315,$A43,DataRegularSeason20242025!$N$2:$N$1315,1)</f>
        <v>0</v>
      </c>
      <c r="BH44" s="39"/>
      <c r="BI44" s="38">
        <f>COUNTIFS(DataRegularSeason20242025!$D$2:$D$1315,BI$1,DataRegularSeason20242025!$E$2:$E$1315,$A43,DataRegularSeason20242025!$N$2:$N$1315,1)</f>
        <v>0</v>
      </c>
      <c r="BJ44" s="39"/>
      <c r="BK44" s="38">
        <f>COUNTIFS(DataRegularSeason20242025!$D$2:$D$1315,BK$1,DataRegularSeason20242025!$E$2:$E$1315,$A43,DataRegularSeason20242025!$N$2:$N$1315,1)</f>
        <v>0</v>
      </c>
      <c r="BL44" s="39"/>
      <c r="BM44" s="38">
        <f>COUNTIFS(DataRegularSeason20242025!$D$2:$D$1315,BM$1,DataRegularSeason20242025!$E$2:$E$1315,$A43,DataRegularSeason20242025!$N$2:$N$1315,1)</f>
        <v>0</v>
      </c>
      <c r="BN44" s="39"/>
      <c r="BO44" s="34">
        <f t="shared" si="0"/>
        <v>4</v>
      </c>
      <c r="BP44" s="165"/>
      <c r="BQ44" s="166"/>
    </row>
    <row r="45" spans="1:69" ht="12" customHeight="1" x14ac:dyDescent="0.25">
      <c r="A45" s="172" t="s">
        <v>42</v>
      </c>
      <c r="B45" s="28" t="s">
        <v>74</v>
      </c>
      <c r="C45" s="35"/>
      <c r="D45" s="28">
        <f>COUNTIFS(DataRegularSeason20242025!$E$2:$E$1315,C$1,DataRegularSeason20242025!$D$2:$D$1315,$A45,DataRegularSeason20242025!$N$2:$N$1315,1)</f>
        <v>0</v>
      </c>
      <c r="E45" s="35"/>
      <c r="F45" s="28">
        <f>COUNTIFS(DataRegularSeason20242025!$E$2:$E$1315,E$1,DataRegularSeason20242025!$D$2:$D$1315,$A45,DataRegularSeason20242025!$N$2:$N$1315,1)</f>
        <v>0</v>
      </c>
      <c r="G45" s="35"/>
      <c r="H45" s="28">
        <f>COUNTIFS(DataRegularSeason20242025!$E$2:$E$1315,G$1,DataRegularSeason20242025!$D$2:$D$1315,$A45,DataRegularSeason20242025!$N$2:$N$1315,1)</f>
        <v>0</v>
      </c>
      <c r="I45" s="35"/>
      <c r="J45" s="28">
        <f>COUNTIFS(DataRegularSeason20242025!$E$2:$E$1315,I$1,DataRegularSeason20242025!$D$2:$D$1315,$A45,DataRegularSeason20242025!$N$2:$N$1315,1)</f>
        <v>0</v>
      </c>
      <c r="K45" s="35"/>
      <c r="L45" s="28">
        <f>COUNTIFS(DataRegularSeason20242025!$E$2:$E$1315,K$1,DataRegularSeason20242025!$D$2:$D$1315,$A45,DataRegularSeason20242025!$N$2:$N$1315,1)</f>
        <v>0</v>
      </c>
      <c r="M45" s="35"/>
      <c r="N45" s="28">
        <f>COUNTIFS(DataRegularSeason20242025!$E$2:$E$1315,M$1,DataRegularSeason20242025!$D$2:$D$1315,$A45,DataRegularSeason20242025!$N$2:$N$1315,1)</f>
        <v>0</v>
      </c>
      <c r="O45" s="35"/>
      <c r="P45" s="28">
        <f>COUNTIFS(DataRegularSeason20242025!$E$2:$E$1315,O$1,DataRegularSeason20242025!$D$2:$D$1315,$A45,DataRegularSeason20242025!$N$2:$N$1315,1)</f>
        <v>0</v>
      </c>
      <c r="Q45" s="35"/>
      <c r="R45" s="46">
        <f>COUNTIFS(DataRegularSeason20242025!$E$2:$E$1315,Q$1,DataRegularSeason20242025!$D$2:$D$1315,$A45,DataRegularSeason20242025!$N$2:$N$1315,1)</f>
        <v>0</v>
      </c>
      <c r="S45" s="35"/>
      <c r="T45" s="28">
        <f>COUNTIFS(DataRegularSeason20242025!$E$2:$E$1315,S$1,DataRegularSeason20242025!$D$2:$D$1315,$A45,DataRegularSeason20242025!$N$2:$N$1315,1)</f>
        <v>0</v>
      </c>
      <c r="U45" s="35"/>
      <c r="V45" s="28">
        <f>COUNTIFS(DataRegularSeason20242025!$E$2:$E$1315,U$1,DataRegularSeason20242025!$D$2:$D$1315,$A45,DataRegularSeason20242025!$N$2:$N$1315,1)</f>
        <v>0</v>
      </c>
      <c r="W45" s="35"/>
      <c r="X45" s="28">
        <f>COUNTIFS(DataRegularSeason20242025!$E$2:$E$1315,W$1,DataRegularSeason20242025!$D$2:$D$1315,$A45,DataRegularSeason20242025!$N$2:$N$1315,1)</f>
        <v>0</v>
      </c>
      <c r="Y45" s="35"/>
      <c r="Z45" s="28">
        <f>COUNTIFS(DataRegularSeason20242025!$E$2:$E$1315,Y$1,DataRegularSeason20242025!$D$2:$D$1315,$A45,DataRegularSeason20242025!$N$2:$N$1315,1)</f>
        <v>0</v>
      </c>
      <c r="AA45" s="35"/>
      <c r="AB45" s="28">
        <f>COUNTIFS(DataRegularSeason20242025!$E$2:$E$1315,AA$1,DataRegularSeason20242025!$D$2:$D$1315,$A45,DataRegularSeason20242025!$N$2:$N$1315,1)</f>
        <v>0</v>
      </c>
      <c r="AC45" s="35"/>
      <c r="AD45" s="28">
        <f>COUNTIFS(DataRegularSeason20242025!$E$2:$E$1315,AC$1,DataRegularSeason20242025!$D$2:$D$1315,$A45,DataRegularSeason20242025!$N$2:$N$1315,1)</f>
        <v>0</v>
      </c>
      <c r="AE45" s="35"/>
      <c r="AF45" s="28">
        <f>COUNTIFS(DataRegularSeason20242025!$E$2:$E$1315,AE$1,DataRegularSeason20242025!$D$2:$D$1315,$A45,DataRegularSeason20242025!$N$2:$N$1315,1)</f>
        <v>0</v>
      </c>
      <c r="AG45" s="35"/>
      <c r="AH45" s="46">
        <f>COUNTIFS(DataRegularSeason20242025!$E$2:$E$1315,AG$1,DataRegularSeason20242025!$D$2:$D$1315,$A45,DataRegularSeason20242025!$N$2:$N$1315,1)</f>
        <v>0</v>
      </c>
      <c r="AI45" s="35"/>
      <c r="AJ45" s="28">
        <f>COUNTIFS(DataRegularSeason20242025!$E$2:$E$1315,AI$1,DataRegularSeason20242025!$D$2:$D$1315,$A45,DataRegularSeason20242025!$N$2:$N$1315,1)</f>
        <v>1</v>
      </c>
      <c r="AK45" s="35"/>
      <c r="AL45" s="28">
        <f>COUNTIFS(DataRegularSeason20242025!$E$2:$E$1315,AK$1,DataRegularSeason20242025!$D$2:$D$1315,$A45,DataRegularSeason20242025!$N$2:$N$1315,1)</f>
        <v>0</v>
      </c>
      <c r="AM45" s="35"/>
      <c r="AN45" s="28">
        <f>COUNTIFS(DataRegularSeason20242025!$E$2:$E$1315,AM$1,DataRegularSeason20242025!$D$2:$D$1315,$A45,DataRegularSeason20242025!$N$2:$N$1315,1)</f>
        <v>0</v>
      </c>
      <c r="AO45" s="35"/>
      <c r="AP45" s="28">
        <f>COUNTIFS(DataRegularSeason20242025!$E$2:$E$1315,AO$1,DataRegularSeason20242025!$D$2:$D$1315,$A45,DataRegularSeason20242025!$N$2:$N$1315,1)</f>
        <v>0</v>
      </c>
      <c r="AQ45" s="35"/>
      <c r="AR45" s="28">
        <f>COUNTIFS(DataRegularSeason20242025!$E$2:$E$1315,AQ$1,DataRegularSeason20242025!$D$2:$D$1315,$A45,DataRegularSeason20242025!$N$2:$N$1315,1)</f>
        <v>0</v>
      </c>
      <c r="AS45" s="35"/>
      <c r="AT45" s="36"/>
      <c r="AU45" s="35"/>
      <c r="AV45" s="28">
        <f>COUNTIFS(DataRegularSeason20242025!$E$2:$E$1315,AU$1,DataRegularSeason20242025!$D$2:$D$1315,$A45,DataRegularSeason20242025!$N$2:$N$1315,1)</f>
        <v>0</v>
      </c>
      <c r="AW45" s="35"/>
      <c r="AX45" s="46">
        <f>COUNTIFS(DataRegularSeason20242025!$E$2:$E$1315,AW$1,DataRegularSeason20242025!$D$2:$D$1315,$A45,DataRegularSeason20242025!$N$2:$N$1315,1)</f>
        <v>0</v>
      </c>
      <c r="AY45" s="35"/>
      <c r="AZ45" s="28">
        <f>COUNTIFS(DataRegularSeason20242025!$E$2:$E$1315,AY$1,DataRegularSeason20242025!$D$2:$D$1315,$A45,DataRegularSeason20242025!$N$2:$N$1315,1)</f>
        <v>0</v>
      </c>
      <c r="BA45" s="35"/>
      <c r="BB45" s="28">
        <f>COUNTIFS(DataRegularSeason20242025!$E$2:$E$1315,BA$1,DataRegularSeason20242025!$D$2:$D$1315,$A45,DataRegularSeason20242025!$N$2:$N$1315,1)</f>
        <v>0</v>
      </c>
      <c r="BC45" s="35"/>
      <c r="BD45" s="28">
        <f>COUNTIFS(DataRegularSeason20242025!$E$2:$E$1315,BC$1,DataRegularSeason20242025!$D$2:$D$1315,$A45,DataRegularSeason20242025!$N$2:$N$1315,1)</f>
        <v>0</v>
      </c>
      <c r="BE45" s="35"/>
      <c r="BF45" s="28">
        <f>COUNTIFS(DataRegularSeason20242025!$E$2:$E$1315,BE$1,DataRegularSeason20242025!$D$2:$D$1315,$A45,DataRegularSeason20242025!$N$2:$N$1315,1)</f>
        <v>1</v>
      </c>
      <c r="BG45" s="35"/>
      <c r="BH45" s="28">
        <f>COUNTIFS(DataRegularSeason20242025!$E$2:$E$1315,BG$1,DataRegularSeason20242025!$D$2:$D$1315,$A45,DataRegularSeason20242025!$N$2:$N$1315,1)</f>
        <v>0</v>
      </c>
      <c r="BI45" s="35"/>
      <c r="BJ45" s="28">
        <f>COUNTIFS(DataRegularSeason20242025!$E$2:$E$1315,BI$1,DataRegularSeason20242025!$D$2:$D$1315,$A45,DataRegularSeason20242025!$N$2:$N$1315,1)</f>
        <v>0</v>
      </c>
      <c r="BK45" s="35"/>
      <c r="BL45" s="28">
        <f>COUNTIFS(DataRegularSeason20242025!$E$2:$E$1315,BK$1,DataRegularSeason20242025!$D$2:$D$1315,$A45,DataRegularSeason20242025!$N$2:$N$1315,1)</f>
        <v>0</v>
      </c>
      <c r="BM45" s="35"/>
      <c r="BN45" s="28">
        <f>COUNTIFS(DataRegularSeason20242025!$E$2:$E$1315,BM$1,DataRegularSeason20242025!$D$2:$D$1315,$A45,DataRegularSeason20242025!$N$2:$N$1315,1)</f>
        <v>0</v>
      </c>
      <c r="BO45" s="30">
        <f t="shared" si="0"/>
        <v>2</v>
      </c>
      <c r="BP45" s="165">
        <f t="shared" ref="BP45" si="41">BO45+BO46</f>
        <v>6</v>
      </c>
      <c r="BQ45" s="166">
        <f t="shared" ref="BQ45" si="42">82-BP45</f>
        <v>76</v>
      </c>
    </row>
    <row r="46" spans="1:69" ht="12" customHeight="1" x14ac:dyDescent="0.25">
      <c r="A46" s="167"/>
      <c r="B46" s="32" t="s">
        <v>73</v>
      </c>
      <c r="C46" s="38">
        <f>COUNTIFS(DataRegularSeason20242025!$D$2:$D$1315,C$1,DataRegularSeason20242025!$E$2:$E$1315,$A45,DataRegularSeason20242025!$N$2:$N$1315,1)</f>
        <v>0</v>
      </c>
      <c r="D46" s="39"/>
      <c r="E46" s="38">
        <f>COUNTIFS(DataRegularSeason20242025!$D$2:$D$1315,E$1,DataRegularSeason20242025!$E$2:$E$1315,$A45,DataRegularSeason20242025!$N$2:$N$1315,1)</f>
        <v>0</v>
      </c>
      <c r="F46" s="39"/>
      <c r="G46" s="38">
        <f>COUNTIFS(DataRegularSeason20242025!$D$2:$D$1315,G$1,DataRegularSeason20242025!$E$2:$E$1315,$A45,DataRegularSeason20242025!$N$2:$N$1315,1)</f>
        <v>0</v>
      </c>
      <c r="H46" s="39"/>
      <c r="I46" s="38">
        <f>COUNTIFS(DataRegularSeason20242025!$D$2:$D$1315,I$1,DataRegularSeason20242025!$E$2:$E$1315,$A45,DataRegularSeason20242025!$N$2:$N$1315,1)</f>
        <v>0</v>
      </c>
      <c r="J46" s="39"/>
      <c r="K46" s="38">
        <f>COUNTIFS(DataRegularSeason20242025!$D$2:$D$1315,K$1,DataRegularSeason20242025!$E$2:$E$1315,$A45,DataRegularSeason20242025!$N$2:$N$1315,1)</f>
        <v>1</v>
      </c>
      <c r="L46" s="39"/>
      <c r="M46" s="38">
        <f>COUNTIFS(DataRegularSeason20242025!$D$2:$D$1315,M$1,DataRegularSeason20242025!$E$2:$E$1315,$A45,DataRegularSeason20242025!$N$2:$N$1315,1)</f>
        <v>0</v>
      </c>
      <c r="N46" s="39"/>
      <c r="O46" s="38">
        <f>COUNTIFS(DataRegularSeason20242025!$D$2:$D$1315,O$1,DataRegularSeason20242025!$E$2:$E$1315,$A45,DataRegularSeason20242025!$N$2:$N$1315,1)</f>
        <v>0</v>
      </c>
      <c r="P46" s="39"/>
      <c r="Q46" s="38">
        <f>COUNTIFS(DataRegularSeason20242025!$D$2:$D$1315,Q$1,DataRegularSeason20242025!$E$2:$E$1315,$A45,DataRegularSeason20242025!$N$2:$N$1315,1)</f>
        <v>0</v>
      </c>
      <c r="R46" s="47"/>
      <c r="S46" s="38">
        <f>COUNTIFS(DataRegularSeason20242025!$D$2:$D$1315,S$1,DataRegularSeason20242025!$E$2:$E$1315,$A45,DataRegularSeason20242025!$N$2:$N$1315,1)</f>
        <v>0</v>
      </c>
      <c r="T46" s="39"/>
      <c r="U46" s="38">
        <f>COUNTIFS(DataRegularSeason20242025!$D$2:$D$1315,U$1,DataRegularSeason20242025!$E$2:$E$1315,$A45,DataRegularSeason20242025!$N$2:$N$1315,1)</f>
        <v>0</v>
      </c>
      <c r="V46" s="39"/>
      <c r="W46" s="38">
        <f>COUNTIFS(DataRegularSeason20242025!$D$2:$D$1315,W$1,DataRegularSeason20242025!$E$2:$E$1315,$A45,DataRegularSeason20242025!$N$2:$N$1315,1)</f>
        <v>0</v>
      </c>
      <c r="X46" s="39"/>
      <c r="Y46" s="38">
        <f>COUNTIFS(DataRegularSeason20242025!$D$2:$D$1315,Y$1,DataRegularSeason20242025!$E$2:$E$1315,$A45,DataRegularSeason20242025!$N$2:$N$1315,1)</f>
        <v>1</v>
      </c>
      <c r="Z46" s="39"/>
      <c r="AA46" s="38">
        <f>COUNTIFS(DataRegularSeason20242025!$D$2:$D$1315,AA$1,DataRegularSeason20242025!$E$2:$E$1315,$A45,DataRegularSeason20242025!$N$2:$N$1315,1)</f>
        <v>0</v>
      </c>
      <c r="AB46" s="39"/>
      <c r="AC46" s="38">
        <f>COUNTIFS(DataRegularSeason20242025!$D$2:$D$1315,AC$1,DataRegularSeason20242025!$E$2:$E$1315,$A45,DataRegularSeason20242025!$N$2:$N$1315,1)</f>
        <v>0</v>
      </c>
      <c r="AD46" s="39"/>
      <c r="AE46" s="38">
        <f>COUNTIFS(DataRegularSeason20242025!$D$2:$D$1315,AE$1,DataRegularSeason20242025!$E$2:$E$1315,$A45,DataRegularSeason20242025!$N$2:$N$1315,1)</f>
        <v>0</v>
      </c>
      <c r="AF46" s="39"/>
      <c r="AG46" s="38">
        <f>COUNTIFS(DataRegularSeason20242025!$D$2:$D$1315,AG$1,DataRegularSeason20242025!$E$2:$E$1315,$A45,DataRegularSeason20242025!$N$2:$N$1315,1)</f>
        <v>1</v>
      </c>
      <c r="AH46" s="47"/>
      <c r="AI46" s="38">
        <f>COUNTIFS(DataRegularSeason20242025!$D$2:$D$1315,AI$1,DataRegularSeason20242025!$E$2:$E$1315,$A45,DataRegularSeason20242025!$N$2:$N$1315,1)</f>
        <v>0</v>
      </c>
      <c r="AJ46" s="39"/>
      <c r="AK46" s="38">
        <f>COUNTIFS(DataRegularSeason20242025!$D$2:$D$1315,AK$1,DataRegularSeason20242025!$E$2:$E$1315,$A45,DataRegularSeason20242025!$N$2:$N$1315,1)</f>
        <v>0</v>
      </c>
      <c r="AL46" s="39"/>
      <c r="AM46" s="38">
        <f>COUNTIFS(DataRegularSeason20242025!$D$2:$D$1315,AM$1,DataRegularSeason20242025!$E$2:$E$1315,$A45,DataRegularSeason20242025!$N$2:$N$1315,1)</f>
        <v>0</v>
      </c>
      <c r="AN46" s="39"/>
      <c r="AO46" s="38">
        <f>COUNTIFS(DataRegularSeason20242025!$D$2:$D$1315,AO$1,DataRegularSeason20242025!$E$2:$E$1315,$A45,DataRegularSeason20242025!$N$2:$N$1315,1)</f>
        <v>0</v>
      </c>
      <c r="AP46" s="39"/>
      <c r="AQ46" s="38">
        <f>COUNTIFS(DataRegularSeason20242025!$D$2:$D$1315,AQ$1,DataRegularSeason20242025!$E$2:$E$1315,$A45,DataRegularSeason20242025!$N$2:$N$1315,1)</f>
        <v>0</v>
      </c>
      <c r="AR46" s="39"/>
      <c r="AS46" s="38"/>
      <c r="AT46" s="39"/>
      <c r="AU46" s="38">
        <f>COUNTIFS(DataRegularSeason20242025!$D$2:$D$1315,AU$1,DataRegularSeason20242025!$E$2:$E$1315,$A45,DataRegularSeason20242025!$N$2:$N$1315,1)</f>
        <v>0</v>
      </c>
      <c r="AV46" s="39"/>
      <c r="AW46" s="38">
        <f>COUNTIFS(DataRegularSeason20242025!$D$2:$D$1315,AW$1,DataRegularSeason20242025!$E$2:$E$1315,$A45,DataRegularSeason20242025!$N$2:$N$1315,1)</f>
        <v>0</v>
      </c>
      <c r="AX46" s="47"/>
      <c r="AY46" s="38">
        <f>COUNTIFS(DataRegularSeason20242025!$D$2:$D$1315,AY$1,DataRegularSeason20242025!$E$2:$E$1315,$A45,DataRegularSeason20242025!$N$2:$N$1315,1)</f>
        <v>0</v>
      </c>
      <c r="AZ46" s="39"/>
      <c r="BA46" s="38">
        <f>COUNTIFS(DataRegularSeason20242025!$D$2:$D$1315,BA$1,DataRegularSeason20242025!$E$2:$E$1315,$A45,DataRegularSeason20242025!$N$2:$N$1315,1)</f>
        <v>0</v>
      </c>
      <c r="BB46" s="39"/>
      <c r="BC46" s="38">
        <f>COUNTIFS(DataRegularSeason20242025!$D$2:$D$1315,BC$1,DataRegularSeason20242025!$E$2:$E$1315,$A45,DataRegularSeason20242025!$N$2:$N$1315,1)</f>
        <v>0</v>
      </c>
      <c r="BD46" s="39"/>
      <c r="BE46" s="38">
        <f>COUNTIFS(DataRegularSeason20242025!$D$2:$D$1315,BE$1,DataRegularSeason20242025!$E$2:$E$1315,$A45,DataRegularSeason20242025!$N$2:$N$1315,1)</f>
        <v>1</v>
      </c>
      <c r="BF46" s="39"/>
      <c r="BG46" s="38">
        <f>COUNTIFS(DataRegularSeason20242025!$D$2:$D$1315,BG$1,DataRegularSeason20242025!$E$2:$E$1315,$A45,DataRegularSeason20242025!$N$2:$N$1315,1)</f>
        <v>0</v>
      </c>
      <c r="BH46" s="39"/>
      <c r="BI46" s="38">
        <f>COUNTIFS(DataRegularSeason20242025!$D$2:$D$1315,BI$1,DataRegularSeason20242025!$E$2:$E$1315,$A45,DataRegularSeason20242025!$N$2:$N$1315,1)</f>
        <v>0</v>
      </c>
      <c r="BJ46" s="39"/>
      <c r="BK46" s="38">
        <f>COUNTIFS(DataRegularSeason20242025!$D$2:$D$1315,BK$1,DataRegularSeason20242025!$E$2:$E$1315,$A45,DataRegularSeason20242025!$N$2:$N$1315,1)</f>
        <v>0</v>
      </c>
      <c r="BL46" s="39"/>
      <c r="BM46" s="38">
        <f>COUNTIFS(DataRegularSeason20242025!$D$2:$D$1315,BM$1,DataRegularSeason20242025!$E$2:$E$1315,$A45,DataRegularSeason20242025!$N$2:$N$1315,1)</f>
        <v>0</v>
      </c>
      <c r="BN46" s="39"/>
      <c r="BO46" s="34">
        <f t="shared" si="0"/>
        <v>4</v>
      </c>
      <c r="BP46" s="165"/>
      <c r="BQ46" s="166"/>
    </row>
    <row r="47" spans="1:69" ht="12" customHeight="1" x14ac:dyDescent="0.25">
      <c r="A47" s="172" t="s">
        <v>20</v>
      </c>
      <c r="B47" s="28" t="s">
        <v>74</v>
      </c>
      <c r="C47" s="35"/>
      <c r="D47" s="28">
        <f>COUNTIFS(DataRegularSeason20242025!$E$2:$E$1315,C$1,DataRegularSeason20242025!$D$2:$D$1315,$A47,DataRegularSeason20242025!$N$2:$N$1315,1)</f>
        <v>1</v>
      </c>
      <c r="E47" s="35"/>
      <c r="F47" s="28">
        <f>COUNTIFS(DataRegularSeason20242025!$E$2:$E$1315,E$1,DataRegularSeason20242025!$D$2:$D$1315,$A47,DataRegularSeason20242025!$N$2:$N$1315,1)</f>
        <v>0</v>
      </c>
      <c r="G47" s="35"/>
      <c r="H47" s="28">
        <f>COUNTIFS(DataRegularSeason20242025!$E$2:$E$1315,G$1,DataRegularSeason20242025!$D$2:$D$1315,$A47,DataRegularSeason20242025!$N$2:$N$1315,1)</f>
        <v>0</v>
      </c>
      <c r="I47" s="35"/>
      <c r="J47" s="28">
        <f>COUNTIFS(DataRegularSeason20242025!$E$2:$E$1315,I$1,DataRegularSeason20242025!$D$2:$D$1315,$A47,DataRegularSeason20242025!$N$2:$N$1315,1)</f>
        <v>1</v>
      </c>
      <c r="K47" s="35"/>
      <c r="L47" s="28">
        <f>COUNTIFS(DataRegularSeason20242025!$E$2:$E$1315,K$1,DataRegularSeason20242025!$D$2:$D$1315,$A47,DataRegularSeason20242025!$N$2:$N$1315,1)</f>
        <v>0</v>
      </c>
      <c r="M47" s="35"/>
      <c r="N47" s="28">
        <f>COUNTIFS(DataRegularSeason20242025!$E$2:$E$1315,M$1,DataRegularSeason20242025!$D$2:$D$1315,$A47,DataRegularSeason20242025!$N$2:$N$1315,1)</f>
        <v>1</v>
      </c>
      <c r="O47" s="35"/>
      <c r="P47" s="28">
        <f>COUNTIFS(DataRegularSeason20242025!$E$2:$E$1315,O$1,DataRegularSeason20242025!$D$2:$D$1315,$A47,DataRegularSeason20242025!$N$2:$N$1315,1)</f>
        <v>0</v>
      </c>
      <c r="Q47" s="35"/>
      <c r="R47" s="46">
        <f>COUNTIFS(DataRegularSeason20242025!$E$2:$E$1315,Q$1,DataRegularSeason20242025!$D$2:$D$1315,$A47,DataRegularSeason20242025!$N$2:$N$1315,1)</f>
        <v>0</v>
      </c>
      <c r="S47" s="35"/>
      <c r="T47" s="28">
        <f>COUNTIFS(DataRegularSeason20242025!$E$2:$E$1315,S$1,DataRegularSeason20242025!$D$2:$D$1315,$A47,DataRegularSeason20242025!$N$2:$N$1315,1)</f>
        <v>0</v>
      </c>
      <c r="U47" s="35"/>
      <c r="V47" s="28">
        <f>COUNTIFS(DataRegularSeason20242025!$E$2:$E$1315,U$1,DataRegularSeason20242025!$D$2:$D$1315,$A47,DataRegularSeason20242025!$N$2:$N$1315,1)</f>
        <v>0</v>
      </c>
      <c r="W47" s="35"/>
      <c r="X47" s="28">
        <f>COUNTIFS(DataRegularSeason20242025!$E$2:$E$1315,W$1,DataRegularSeason20242025!$D$2:$D$1315,$A47,DataRegularSeason20242025!$N$2:$N$1315,1)</f>
        <v>0</v>
      </c>
      <c r="Y47" s="35"/>
      <c r="Z47" s="28">
        <f>COUNTIFS(DataRegularSeason20242025!$E$2:$E$1315,Y$1,DataRegularSeason20242025!$D$2:$D$1315,$A47,DataRegularSeason20242025!$N$2:$N$1315,1)</f>
        <v>0</v>
      </c>
      <c r="AA47" s="35"/>
      <c r="AB47" s="28">
        <f>COUNTIFS(DataRegularSeason20242025!$E$2:$E$1315,AA$1,DataRegularSeason20242025!$D$2:$D$1315,$A47,DataRegularSeason20242025!$N$2:$N$1315,1)</f>
        <v>0</v>
      </c>
      <c r="AC47" s="35"/>
      <c r="AD47" s="28">
        <f>COUNTIFS(DataRegularSeason20242025!$E$2:$E$1315,AC$1,DataRegularSeason20242025!$D$2:$D$1315,$A47,DataRegularSeason20242025!$N$2:$N$1315,1)</f>
        <v>0</v>
      </c>
      <c r="AE47" s="35"/>
      <c r="AF47" s="28">
        <f>COUNTIFS(DataRegularSeason20242025!$E$2:$E$1315,AE$1,DataRegularSeason20242025!$D$2:$D$1315,$A47,DataRegularSeason20242025!$N$2:$N$1315,1)</f>
        <v>0</v>
      </c>
      <c r="AG47" s="35"/>
      <c r="AH47" s="46">
        <f>COUNTIFS(DataRegularSeason20242025!$E$2:$E$1315,AG$1,DataRegularSeason20242025!$D$2:$D$1315,$A47,DataRegularSeason20242025!$N$2:$N$1315,1)</f>
        <v>0</v>
      </c>
      <c r="AI47" s="35"/>
      <c r="AJ47" s="28">
        <f>COUNTIFS(DataRegularSeason20242025!$E$2:$E$1315,AI$1,DataRegularSeason20242025!$D$2:$D$1315,$A47,DataRegularSeason20242025!$N$2:$N$1315,1)</f>
        <v>0</v>
      </c>
      <c r="AK47" s="35"/>
      <c r="AL47" s="28">
        <f>COUNTIFS(DataRegularSeason20242025!$E$2:$E$1315,AK$1,DataRegularSeason20242025!$D$2:$D$1315,$A47,DataRegularSeason20242025!$N$2:$N$1315,1)</f>
        <v>0</v>
      </c>
      <c r="AM47" s="35"/>
      <c r="AN47" s="28">
        <f>COUNTIFS(DataRegularSeason20242025!$E$2:$E$1315,AM$1,DataRegularSeason20242025!$D$2:$D$1315,$A47,DataRegularSeason20242025!$N$2:$N$1315,1)</f>
        <v>0</v>
      </c>
      <c r="AO47" s="35"/>
      <c r="AP47" s="28">
        <f>COUNTIFS(DataRegularSeason20242025!$E$2:$E$1315,AO$1,DataRegularSeason20242025!$D$2:$D$1315,$A47,DataRegularSeason20242025!$N$2:$N$1315,1)</f>
        <v>0</v>
      </c>
      <c r="AQ47" s="35"/>
      <c r="AR47" s="28">
        <f>COUNTIFS(DataRegularSeason20242025!$E$2:$E$1315,AQ$1,DataRegularSeason20242025!$D$2:$D$1315,$A47,DataRegularSeason20242025!$N$2:$N$1315,1)</f>
        <v>1</v>
      </c>
      <c r="AS47" s="35"/>
      <c r="AT47" s="28">
        <f>COUNTIFS(DataRegularSeason20242025!$E$2:$E$1315,AS$1,DataRegularSeason20242025!$D$2:$D$1315,$A47,DataRegularSeason20242025!$N$2:$N$1315,1)</f>
        <v>0</v>
      </c>
      <c r="AU47" s="35"/>
      <c r="AV47" s="36"/>
      <c r="AW47" s="35"/>
      <c r="AX47" s="46">
        <f>COUNTIFS(DataRegularSeason20242025!$E$2:$E$1315,AW$1,DataRegularSeason20242025!$D$2:$D$1315,$A47,DataRegularSeason20242025!$N$2:$N$1315,1)</f>
        <v>0</v>
      </c>
      <c r="AY47" s="35"/>
      <c r="AZ47" s="28">
        <f>COUNTIFS(DataRegularSeason20242025!$E$2:$E$1315,AY$1,DataRegularSeason20242025!$D$2:$D$1315,$A47,DataRegularSeason20242025!$N$2:$N$1315,1)</f>
        <v>0</v>
      </c>
      <c r="BA47" s="35"/>
      <c r="BB47" s="28">
        <f>COUNTIFS(DataRegularSeason20242025!$E$2:$E$1315,BA$1,DataRegularSeason20242025!$D$2:$D$1315,$A47,DataRegularSeason20242025!$N$2:$N$1315,1)</f>
        <v>0</v>
      </c>
      <c r="BC47" s="35"/>
      <c r="BD47" s="28">
        <f>COUNTIFS(DataRegularSeason20242025!$E$2:$E$1315,BC$1,DataRegularSeason20242025!$D$2:$D$1315,$A47,DataRegularSeason20242025!$N$2:$N$1315,1)</f>
        <v>0</v>
      </c>
      <c r="BE47" s="35"/>
      <c r="BF47" s="28">
        <f>COUNTIFS(DataRegularSeason20242025!$E$2:$E$1315,BE$1,DataRegularSeason20242025!$D$2:$D$1315,$A47,DataRegularSeason20242025!$N$2:$N$1315,1)</f>
        <v>0</v>
      </c>
      <c r="BG47" s="35"/>
      <c r="BH47" s="28">
        <f>COUNTIFS(DataRegularSeason20242025!$E$2:$E$1315,BG$1,DataRegularSeason20242025!$D$2:$D$1315,$A47,DataRegularSeason20242025!$N$2:$N$1315,1)</f>
        <v>0</v>
      </c>
      <c r="BI47" s="35"/>
      <c r="BJ47" s="28">
        <f>COUNTIFS(DataRegularSeason20242025!$E$2:$E$1315,BI$1,DataRegularSeason20242025!$D$2:$D$1315,$A47,DataRegularSeason20242025!$N$2:$N$1315,1)</f>
        <v>0</v>
      </c>
      <c r="BK47" s="35"/>
      <c r="BL47" s="28">
        <f>COUNTIFS(DataRegularSeason20242025!$E$2:$E$1315,BK$1,DataRegularSeason20242025!$D$2:$D$1315,$A47,DataRegularSeason20242025!$N$2:$N$1315,1)</f>
        <v>0</v>
      </c>
      <c r="BM47" s="35"/>
      <c r="BN47" s="28">
        <f>COUNTIFS(DataRegularSeason20242025!$E$2:$E$1315,BM$1,DataRegularSeason20242025!$D$2:$D$1315,$A47,DataRegularSeason20242025!$N$2:$N$1315,1)</f>
        <v>0</v>
      </c>
      <c r="BO47" s="30">
        <f t="shared" si="0"/>
        <v>4</v>
      </c>
      <c r="BP47" s="165">
        <f t="shared" ref="BP47" si="43">BO47+BO48</f>
        <v>7</v>
      </c>
      <c r="BQ47" s="166">
        <f t="shared" ref="BQ47" si="44">82-BP47</f>
        <v>75</v>
      </c>
    </row>
    <row r="48" spans="1:69" ht="12" customHeight="1" x14ac:dyDescent="0.25">
      <c r="A48" s="167"/>
      <c r="B48" s="32" t="s">
        <v>73</v>
      </c>
      <c r="C48" s="38">
        <f>COUNTIFS(DataRegularSeason20242025!$D$2:$D$1315,C$1,DataRegularSeason20242025!$E$2:$E$1315,$A47,DataRegularSeason20242025!$N$2:$N$1315,1)</f>
        <v>0</v>
      </c>
      <c r="D48" s="39"/>
      <c r="E48" s="38">
        <f>COUNTIFS(DataRegularSeason20242025!$D$2:$D$1315,E$1,DataRegularSeason20242025!$E$2:$E$1315,$A47,DataRegularSeason20242025!$N$2:$N$1315,1)</f>
        <v>0</v>
      </c>
      <c r="F48" s="39"/>
      <c r="G48" s="38">
        <f>COUNTIFS(DataRegularSeason20242025!$D$2:$D$1315,G$1,DataRegularSeason20242025!$E$2:$E$1315,$A47,DataRegularSeason20242025!$N$2:$N$1315,1)</f>
        <v>0</v>
      </c>
      <c r="H48" s="39"/>
      <c r="I48" s="38">
        <f>COUNTIFS(DataRegularSeason20242025!$D$2:$D$1315,I$1,DataRegularSeason20242025!$E$2:$E$1315,$A47,DataRegularSeason20242025!$N$2:$N$1315,1)</f>
        <v>0</v>
      </c>
      <c r="J48" s="39"/>
      <c r="K48" s="38">
        <f>COUNTIFS(DataRegularSeason20242025!$D$2:$D$1315,K$1,DataRegularSeason20242025!$E$2:$E$1315,$A47,DataRegularSeason20242025!$N$2:$N$1315,1)</f>
        <v>0</v>
      </c>
      <c r="L48" s="39"/>
      <c r="M48" s="38">
        <f>COUNTIFS(DataRegularSeason20242025!$D$2:$D$1315,M$1,DataRegularSeason20242025!$E$2:$E$1315,$A47,DataRegularSeason20242025!$N$2:$N$1315,1)</f>
        <v>0</v>
      </c>
      <c r="N48" s="39"/>
      <c r="O48" s="38">
        <f>COUNTIFS(DataRegularSeason20242025!$D$2:$D$1315,O$1,DataRegularSeason20242025!$E$2:$E$1315,$A47,DataRegularSeason20242025!$N$2:$N$1315,1)</f>
        <v>1</v>
      </c>
      <c r="P48" s="39"/>
      <c r="Q48" s="38">
        <f>COUNTIFS(DataRegularSeason20242025!$D$2:$D$1315,Q$1,DataRegularSeason20242025!$E$2:$E$1315,$A47,DataRegularSeason20242025!$N$2:$N$1315,1)</f>
        <v>0</v>
      </c>
      <c r="R48" s="47"/>
      <c r="S48" s="38">
        <f>COUNTIFS(DataRegularSeason20242025!$D$2:$D$1315,S$1,DataRegularSeason20242025!$E$2:$E$1315,$A47,DataRegularSeason20242025!$N$2:$N$1315,1)</f>
        <v>0</v>
      </c>
      <c r="T48" s="39"/>
      <c r="U48" s="38">
        <f>COUNTIFS(DataRegularSeason20242025!$D$2:$D$1315,U$1,DataRegularSeason20242025!$E$2:$E$1315,$A47,DataRegularSeason20242025!$N$2:$N$1315,1)</f>
        <v>0</v>
      </c>
      <c r="V48" s="39"/>
      <c r="W48" s="38">
        <f>COUNTIFS(DataRegularSeason20242025!$D$2:$D$1315,W$1,DataRegularSeason20242025!$E$2:$E$1315,$A47,DataRegularSeason20242025!$N$2:$N$1315,1)</f>
        <v>0</v>
      </c>
      <c r="X48" s="39"/>
      <c r="Y48" s="38">
        <f>COUNTIFS(DataRegularSeason20242025!$D$2:$D$1315,Y$1,DataRegularSeason20242025!$E$2:$E$1315,$A47,DataRegularSeason20242025!$N$2:$N$1315,1)</f>
        <v>0</v>
      </c>
      <c r="Z48" s="39"/>
      <c r="AA48" s="38">
        <f>COUNTIFS(DataRegularSeason20242025!$D$2:$D$1315,AA$1,DataRegularSeason20242025!$E$2:$E$1315,$A47,DataRegularSeason20242025!$N$2:$N$1315,1)</f>
        <v>0</v>
      </c>
      <c r="AB48" s="39"/>
      <c r="AC48" s="38">
        <f>COUNTIFS(DataRegularSeason20242025!$D$2:$D$1315,AC$1,DataRegularSeason20242025!$E$2:$E$1315,$A47,DataRegularSeason20242025!$N$2:$N$1315,1)</f>
        <v>0</v>
      </c>
      <c r="AD48" s="39"/>
      <c r="AE48" s="38">
        <f>COUNTIFS(DataRegularSeason20242025!$D$2:$D$1315,AE$1,DataRegularSeason20242025!$E$2:$E$1315,$A47,DataRegularSeason20242025!$N$2:$N$1315,1)</f>
        <v>0</v>
      </c>
      <c r="AF48" s="39"/>
      <c r="AG48" s="38">
        <f>COUNTIFS(DataRegularSeason20242025!$D$2:$D$1315,AG$1,DataRegularSeason20242025!$E$2:$E$1315,$A47,DataRegularSeason20242025!$N$2:$N$1315,1)</f>
        <v>0</v>
      </c>
      <c r="AH48" s="47"/>
      <c r="AI48" s="38">
        <f>COUNTIFS(DataRegularSeason20242025!$D$2:$D$1315,AI$1,DataRegularSeason20242025!$E$2:$E$1315,$A47,DataRegularSeason20242025!$N$2:$N$1315,1)</f>
        <v>0</v>
      </c>
      <c r="AJ48" s="39"/>
      <c r="AK48" s="38">
        <f>COUNTIFS(DataRegularSeason20242025!$D$2:$D$1315,AK$1,DataRegularSeason20242025!$E$2:$E$1315,$A47,DataRegularSeason20242025!$N$2:$N$1315,1)</f>
        <v>0</v>
      </c>
      <c r="AL48" s="39"/>
      <c r="AM48" s="38">
        <f>COUNTIFS(DataRegularSeason20242025!$D$2:$D$1315,AM$1,DataRegularSeason20242025!$E$2:$E$1315,$A47,DataRegularSeason20242025!$N$2:$N$1315,1)</f>
        <v>0</v>
      </c>
      <c r="AN48" s="39"/>
      <c r="AO48" s="38">
        <f>COUNTIFS(DataRegularSeason20242025!$D$2:$D$1315,AO$1,DataRegularSeason20242025!$E$2:$E$1315,$A47,DataRegularSeason20242025!$N$2:$N$1315,1)</f>
        <v>1</v>
      </c>
      <c r="AP48" s="39"/>
      <c r="AQ48" s="38">
        <f>COUNTIFS(DataRegularSeason20242025!$D$2:$D$1315,AQ$1,DataRegularSeason20242025!$E$2:$E$1315,$A47,DataRegularSeason20242025!$N$2:$N$1315,1)</f>
        <v>1</v>
      </c>
      <c r="AR48" s="39"/>
      <c r="AS48" s="38">
        <f>COUNTIFS(DataRegularSeason20242025!$D$2:$D$1315,AS$1,DataRegularSeason20242025!$E$2:$E$1315,$A47,DataRegularSeason20242025!$N$2:$N$1315,1)</f>
        <v>0</v>
      </c>
      <c r="AT48" s="39"/>
      <c r="AU48" s="38"/>
      <c r="AV48" s="39"/>
      <c r="AW48" s="38">
        <f>COUNTIFS(DataRegularSeason20242025!$D$2:$D$1315,AW$1,DataRegularSeason20242025!$E$2:$E$1315,$A47,DataRegularSeason20242025!$N$2:$N$1315,1)</f>
        <v>0</v>
      </c>
      <c r="AX48" s="47"/>
      <c r="AY48" s="38">
        <f>COUNTIFS(DataRegularSeason20242025!$D$2:$D$1315,AY$1,DataRegularSeason20242025!$E$2:$E$1315,$A47,DataRegularSeason20242025!$N$2:$N$1315,1)</f>
        <v>0</v>
      </c>
      <c r="AZ48" s="39"/>
      <c r="BA48" s="38">
        <f>COUNTIFS(DataRegularSeason20242025!$D$2:$D$1315,BA$1,DataRegularSeason20242025!$E$2:$E$1315,$A47,DataRegularSeason20242025!$N$2:$N$1315,1)</f>
        <v>0</v>
      </c>
      <c r="BB48" s="39"/>
      <c r="BC48" s="38">
        <f>COUNTIFS(DataRegularSeason20242025!$D$2:$D$1315,BC$1,DataRegularSeason20242025!$E$2:$E$1315,$A47,DataRegularSeason20242025!$N$2:$N$1315,1)</f>
        <v>0</v>
      </c>
      <c r="BD48" s="39"/>
      <c r="BE48" s="38">
        <f>COUNTIFS(DataRegularSeason20242025!$D$2:$D$1315,BE$1,DataRegularSeason20242025!$E$2:$E$1315,$A47,DataRegularSeason20242025!$N$2:$N$1315,1)</f>
        <v>0</v>
      </c>
      <c r="BF48" s="39"/>
      <c r="BG48" s="38">
        <f>COUNTIFS(DataRegularSeason20242025!$D$2:$D$1315,BG$1,DataRegularSeason20242025!$E$2:$E$1315,$A47,DataRegularSeason20242025!$N$2:$N$1315,1)</f>
        <v>0</v>
      </c>
      <c r="BH48" s="39"/>
      <c r="BI48" s="38">
        <f>COUNTIFS(DataRegularSeason20242025!$D$2:$D$1315,BI$1,DataRegularSeason20242025!$E$2:$E$1315,$A47,DataRegularSeason20242025!$N$2:$N$1315,1)</f>
        <v>0</v>
      </c>
      <c r="BJ48" s="39"/>
      <c r="BK48" s="38">
        <f>COUNTIFS(DataRegularSeason20242025!$D$2:$D$1315,BK$1,DataRegularSeason20242025!$E$2:$E$1315,$A47,DataRegularSeason20242025!$N$2:$N$1315,1)</f>
        <v>0</v>
      </c>
      <c r="BL48" s="39"/>
      <c r="BM48" s="38">
        <f>COUNTIFS(DataRegularSeason20242025!$D$2:$D$1315,BM$1,DataRegularSeason20242025!$E$2:$E$1315,$A47,DataRegularSeason20242025!$N$2:$N$1315,1)</f>
        <v>0</v>
      </c>
      <c r="BN48" s="39"/>
      <c r="BO48" s="34">
        <f t="shared" si="0"/>
        <v>3</v>
      </c>
      <c r="BP48" s="165"/>
      <c r="BQ48" s="166"/>
    </row>
    <row r="49" spans="1:69" ht="12" customHeight="1" x14ac:dyDescent="0.25">
      <c r="A49" s="172" t="s">
        <v>43</v>
      </c>
      <c r="B49" s="28" t="s">
        <v>74</v>
      </c>
      <c r="C49" s="35"/>
      <c r="D49" s="28">
        <f>COUNTIFS(DataRegularSeason20242025!$E$2:$E$1315,C$1,DataRegularSeason20242025!$D$2:$D$1315,$A49,DataRegularSeason20242025!$N$2:$N$1315,1)</f>
        <v>0</v>
      </c>
      <c r="E49" s="35"/>
      <c r="F49" s="28">
        <f>COUNTIFS(DataRegularSeason20242025!$E$2:$E$1315,E$1,DataRegularSeason20242025!$D$2:$D$1315,$A49,DataRegularSeason20242025!$N$2:$N$1315,1)</f>
        <v>0</v>
      </c>
      <c r="G49" s="35"/>
      <c r="H49" s="28">
        <f>COUNTIFS(DataRegularSeason20242025!$E$2:$E$1315,G$1,DataRegularSeason20242025!$D$2:$D$1315,$A49,DataRegularSeason20242025!$N$2:$N$1315,1)</f>
        <v>0</v>
      </c>
      <c r="I49" s="35"/>
      <c r="J49" s="28">
        <f>COUNTIFS(DataRegularSeason20242025!$E$2:$E$1315,I$1,DataRegularSeason20242025!$D$2:$D$1315,$A49,DataRegularSeason20242025!$N$2:$N$1315,1)</f>
        <v>0</v>
      </c>
      <c r="K49" s="35"/>
      <c r="L49" s="28">
        <f>COUNTIFS(DataRegularSeason20242025!$E$2:$E$1315,K$1,DataRegularSeason20242025!$D$2:$D$1315,$A49,DataRegularSeason20242025!$N$2:$N$1315,1)</f>
        <v>0</v>
      </c>
      <c r="M49" s="35"/>
      <c r="N49" s="28">
        <f>COUNTIFS(DataRegularSeason20242025!$E$2:$E$1315,M$1,DataRegularSeason20242025!$D$2:$D$1315,$A49,DataRegularSeason20242025!$N$2:$N$1315,1)</f>
        <v>0</v>
      </c>
      <c r="O49" s="35"/>
      <c r="P49" s="28">
        <f>COUNTIFS(DataRegularSeason20242025!$E$2:$E$1315,O$1,DataRegularSeason20242025!$D$2:$D$1315,$A49,DataRegularSeason20242025!$N$2:$N$1315,1)</f>
        <v>0</v>
      </c>
      <c r="Q49" s="35"/>
      <c r="R49" s="46">
        <f>COUNTIFS(DataRegularSeason20242025!$E$2:$E$1315,Q$1,DataRegularSeason20242025!$D$2:$D$1315,$A49,DataRegularSeason20242025!$N$2:$N$1315,1)</f>
        <v>0</v>
      </c>
      <c r="S49" s="35"/>
      <c r="T49" s="28">
        <f>COUNTIFS(DataRegularSeason20242025!$E$2:$E$1315,S$1,DataRegularSeason20242025!$D$2:$D$1315,$A49,DataRegularSeason20242025!$N$2:$N$1315,1)</f>
        <v>0</v>
      </c>
      <c r="U49" s="35"/>
      <c r="V49" s="28">
        <f>COUNTIFS(DataRegularSeason20242025!$E$2:$E$1315,U$1,DataRegularSeason20242025!$D$2:$D$1315,$A49,DataRegularSeason20242025!$N$2:$N$1315,1)</f>
        <v>0</v>
      </c>
      <c r="W49" s="35"/>
      <c r="X49" s="28">
        <f>COUNTIFS(DataRegularSeason20242025!$E$2:$E$1315,W$1,DataRegularSeason20242025!$D$2:$D$1315,$A49,DataRegularSeason20242025!$N$2:$N$1315,1)</f>
        <v>0</v>
      </c>
      <c r="Y49" s="35"/>
      <c r="Z49" s="28">
        <f>COUNTIFS(DataRegularSeason20242025!$E$2:$E$1315,Y$1,DataRegularSeason20242025!$D$2:$D$1315,$A49,DataRegularSeason20242025!$N$2:$N$1315,1)</f>
        <v>0</v>
      </c>
      <c r="AA49" s="35"/>
      <c r="AB49" s="28">
        <f>COUNTIFS(DataRegularSeason20242025!$E$2:$E$1315,AA$1,DataRegularSeason20242025!$D$2:$D$1315,$A49,DataRegularSeason20242025!$N$2:$N$1315,1)</f>
        <v>0</v>
      </c>
      <c r="AC49" s="35"/>
      <c r="AD49" s="28">
        <f>COUNTIFS(DataRegularSeason20242025!$E$2:$E$1315,AC$1,DataRegularSeason20242025!$D$2:$D$1315,$A49,DataRegularSeason20242025!$N$2:$N$1315,1)</f>
        <v>0</v>
      </c>
      <c r="AE49" s="35"/>
      <c r="AF49" s="28">
        <f>COUNTIFS(DataRegularSeason20242025!$E$2:$E$1315,AE$1,DataRegularSeason20242025!$D$2:$D$1315,$A49,DataRegularSeason20242025!$N$2:$N$1315,1)</f>
        <v>0</v>
      </c>
      <c r="AG49" s="35"/>
      <c r="AH49" s="46">
        <f>COUNTIFS(DataRegularSeason20242025!$E$2:$E$1315,AG$1,DataRegularSeason20242025!$D$2:$D$1315,$A49,DataRegularSeason20242025!$N$2:$N$1315,1)</f>
        <v>0</v>
      </c>
      <c r="AI49" s="35"/>
      <c r="AJ49" s="28">
        <f>COUNTIFS(DataRegularSeason20242025!$E$2:$E$1315,AI$1,DataRegularSeason20242025!$D$2:$D$1315,$A49,DataRegularSeason20242025!$N$2:$N$1315,1)</f>
        <v>0</v>
      </c>
      <c r="AK49" s="35"/>
      <c r="AL49" s="28">
        <f>COUNTIFS(DataRegularSeason20242025!$E$2:$E$1315,AK$1,DataRegularSeason20242025!$D$2:$D$1315,$A49,DataRegularSeason20242025!$N$2:$N$1315,1)</f>
        <v>0</v>
      </c>
      <c r="AM49" s="35"/>
      <c r="AN49" s="28">
        <f>COUNTIFS(DataRegularSeason20242025!$E$2:$E$1315,AM$1,DataRegularSeason20242025!$D$2:$D$1315,$A49,DataRegularSeason20242025!$N$2:$N$1315,1)</f>
        <v>0</v>
      </c>
      <c r="AO49" s="35"/>
      <c r="AP49" s="28">
        <f>COUNTIFS(DataRegularSeason20242025!$E$2:$E$1315,AO$1,DataRegularSeason20242025!$D$2:$D$1315,$A49,DataRegularSeason20242025!$N$2:$N$1315,1)</f>
        <v>1</v>
      </c>
      <c r="AQ49" s="35"/>
      <c r="AR49" s="28">
        <f>COUNTIFS(DataRegularSeason20242025!$E$2:$E$1315,AQ$1,DataRegularSeason20242025!$D$2:$D$1315,$A49,DataRegularSeason20242025!$N$2:$N$1315,1)</f>
        <v>1</v>
      </c>
      <c r="AS49" s="35"/>
      <c r="AT49" s="28">
        <f>COUNTIFS(DataRegularSeason20242025!$E$2:$E$1315,AS$1,DataRegularSeason20242025!$D$2:$D$1315,$A49,DataRegularSeason20242025!$N$2:$N$1315,1)</f>
        <v>0</v>
      </c>
      <c r="AU49" s="35"/>
      <c r="AV49" s="28">
        <f>COUNTIFS(DataRegularSeason20242025!$E$2:$E$1315,AU$1,DataRegularSeason20242025!$D$2:$D$1315,$A49,DataRegularSeason20242025!$N$2:$N$1315,1)</f>
        <v>0</v>
      </c>
      <c r="AW49" s="35"/>
      <c r="AX49" s="48"/>
      <c r="AY49" s="35"/>
      <c r="AZ49" s="28">
        <f>COUNTIFS(DataRegularSeason20242025!$E$2:$E$1315,AY$1,DataRegularSeason20242025!$D$2:$D$1315,$A49,DataRegularSeason20242025!$N$2:$N$1315,1)</f>
        <v>0</v>
      </c>
      <c r="BA49" s="35"/>
      <c r="BB49" s="28">
        <f>COUNTIFS(DataRegularSeason20242025!$E$2:$E$1315,BA$1,DataRegularSeason20242025!$D$2:$D$1315,$A49,DataRegularSeason20242025!$N$2:$N$1315,1)</f>
        <v>0</v>
      </c>
      <c r="BC49" s="35"/>
      <c r="BD49" s="28">
        <f>COUNTIFS(DataRegularSeason20242025!$E$2:$E$1315,BC$1,DataRegularSeason20242025!$D$2:$D$1315,$A49,DataRegularSeason20242025!$N$2:$N$1315,1)</f>
        <v>0</v>
      </c>
      <c r="BE49" s="35"/>
      <c r="BF49" s="28">
        <f>COUNTIFS(DataRegularSeason20242025!$E$2:$E$1315,BE$1,DataRegularSeason20242025!$D$2:$D$1315,$A49,DataRegularSeason20242025!$N$2:$N$1315,1)</f>
        <v>0</v>
      </c>
      <c r="BG49" s="35"/>
      <c r="BH49" s="28">
        <f>COUNTIFS(DataRegularSeason20242025!$E$2:$E$1315,BG$1,DataRegularSeason20242025!$D$2:$D$1315,$A49,DataRegularSeason20242025!$N$2:$N$1315,1)</f>
        <v>0</v>
      </c>
      <c r="BI49" s="35"/>
      <c r="BJ49" s="28">
        <f>COUNTIFS(DataRegularSeason20242025!$E$2:$E$1315,BI$1,DataRegularSeason20242025!$D$2:$D$1315,$A49,DataRegularSeason20242025!$N$2:$N$1315,1)</f>
        <v>0</v>
      </c>
      <c r="BK49" s="35"/>
      <c r="BL49" s="28">
        <f>COUNTIFS(DataRegularSeason20242025!$E$2:$E$1315,BK$1,DataRegularSeason20242025!$D$2:$D$1315,$A49,DataRegularSeason20242025!$N$2:$N$1315,1)</f>
        <v>0</v>
      </c>
      <c r="BM49" s="35"/>
      <c r="BN49" s="28">
        <f>COUNTIFS(DataRegularSeason20242025!$E$2:$E$1315,BM$1,DataRegularSeason20242025!$D$2:$D$1315,$A49,DataRegularSeason20242025!$N$2:$N$1315,1)</f>
        <v>0</v>
      </c>
      <c r="BO49" s="30">
        <f t="shared" si="0"/>
        <v>2</v>
      </c>
      <c r="BP49" s="165">
        <f t="shared" ref="BP49" si="45">BO49+BO50</f>
        <v>7</v>
      </c>
      <c r="BQ49" s="166">
        <f t="shared" ref="BQ49" si="46">82-BP49</f>
        <v>75</v>
      </c>
    </row>
    <row r="50" spans="1:69" ht="12" customHeight="1" thickBot="1" x14ac:dyDescent="0.3">
      <c r="A50" s="174"/>
      <c r="B50" s="64" t="s">
        <v>73</v>
      </c>
      <c r="C50" s="51">
        <f>COUNTIFS(DataRegularSeason20242025!$D$2:$D$1315,C$1,DataRegularSeason20242025!$E$2:$E$1315,$A49,DataRegularSeason20242025!$N$2:$N$1315,1)</f>
        <v>0</v>
      </c>
      <c r="D50" s="50"/>
      <c r="E50" s="51">
        <f>COUNTIFS(DataRegularSeason20242025!$D$2:$D$1315,E$1,DataRegularSeason20242025!$E$2:$E$1315,$A49,DataRegularSeason20242025!$N$2:$N$1315,1)</f>
        <v>0</v>
      </c>
      <c r="F50" s="50"/>
      <c r="G50" s="51">
        <f>COUNTIFS(DataRegularSeason20242025!$D$2:$D$1315,G$1,DataRegularSeason20242025!$E$2:$E$1315,$A49,DataRegularSeason20242025!$N$2:$N$1315,1)</f>
        <v>0</v>
      </c>
      <c r="H50" s="50"/>
      <c r="I50" s="51">
        <f>COUNTIFS(DataRegularSeason20242025!$D$2:$D$1315,I$1,DataRegularSeason20242025!$E$2:$E$1315,$A49,DataRegularSeason20242025!$N$2:$N$1315,1)</f>
        <v>0</v>
      </c>
      <c r="J50" s="50"/>
      <c r="K50" s="51">
        <f>COUNTIFS(DataRegularSeason20242025!$D$2:$D$1315,K$1,DataRegularSeason20242025!$E$2:$E$1315,$A49,DataRegularSeason20242025!$N$2:$N$1315,1)</f>
        <v>1</v>
      </c>
      <c r="L50" s="50"/>
      <c r="M50" s="51">
        <f>COUNTIFS(DataRegularSeason20242025!$D$2:$D$1315,M$1,DataRegularSeason20242025!$E$2:$E$1315,$A49,DataRegularSeason20242025!$N$2:$N$1315,1)</f>
        <v>0</v>
      </c>
      <c r="N50" s="50"/>
      <c r="O50" s="51">
        <f>COUNTIFS(DataRegularSeason20242025!$D$2:$D$1315,O$1,DataRegularSeason20242025!$E$2:$E$1315,$A49,DataRegularSeason20242025!$N$2:$N$1315,1)</f>
        <v>1</v>
      </c>
      <c r="P50" s="50"/>
      <c r="Q50" s="51">
        <f>COUNTIFS(DataRegularSeason20242025!$D$2:$D$1315,Q$1,DataRegularSeason20242025!$E$2:$E$1315,$A49,DataRegularSeason20242025!$N$2:$N$1315,1)</f>
        <v>0</v>
      </c>
      <c r="R50" s="52"/>
      <c r="S50" s="51">
        <f>COUNTIFS(DataRegularSeason20242025!$D$2:$D$1315,S$1,DataRegularSeason20242025!$E$2:$E$1315,$A49,DataRegularSeason20242025!$N$2:$N$1315,1)</f>
        <v>0</v>
      </c>
      <c r="T50" s="50"/>
      <c r="U50" s="51">
        <f>COUNTIFS(DataRegularSeason20242025!$D$2:$D$1315,U$1,DataRegularSeason20242025!$E$2:$E$1315,$A49,DataRegularSeason20242025!$N$2:$N$1315,1)</f>
        <v>0</v>
      </c>
      <c r="V50" s="50"/>
      <c r="W50" s="51">
        <f>COUNTIFS(DataRegularSeason20242025!$D$2:$D$1315,W$1,DataRegularSeason20242025!$E$2:$E$1315,$A49,DataRegularSeason20242025!$N$2:$N$1315,1)</f>
        <v>0</v>
      </c>
      <c r="X50" s="50"/>
      <c r="Y50" s="51">
        <f>COUNTIFS(DataRegularSeason20242025!$D$2:$D$1315,Y$1,DataRegularSeason20242025!$E$2:$E$1315,$A49,DataRegularSeason20242025!$N$2:$N$1315,1)</f>
        <v>1</v>
      </c>
      <c r="Z50" s="50"/>
      <c r="AA50" s="51">
        <f>COUNTIFS(DataRegularSeason20242025!$D$2:$D$1315,AA$1,DataRegularSeason20242025!$E$2:$E$1315,$A49,DataRegularSeason20242025!$N$2:$N$1315,1)</f>
        <v>0</v>
      </c>
      <c r="AB50" s="50"/>
      <c r="AC50" s="51">
        <f>COUNTIFS(DataRegularSeason20242025!$D$2:$D$1315,AC$1,DataRegularSeason20242025!$E$2:$E$1315,$A49,DataRegularSeason20242025!$N$2:$N$1315,1)</f>
        <v>0</v>
      </c>
      <c r="AD50" s="50"/>
      <c r="AE50" s="51">
        <f>COUNTIFS(DataRegularSeason20242025!$D$2:$D$1315,AE$1,DataRegularSeason20242025!$E$2:$E$1315,$A49,DataRegularSeason20242025!$N$2:$N$1315,1)</f>
        <v>0</v>
      </c>
      <c r="AF50" s="50"/>
      <c r="AG50" s="51">
        <f>COUNTIFS(DataRegularSeason20242025!$D$2:$D$1315,AG$1,DataRegularSeason20242025!$E$2:$E$1315,$A49,DataRegularSeason20242025!$N$2:$N$1315,1)</f>
        <v>0</v>
      </c>
      <c r="AH50" s="52"/>
      <c r="AI50" s="53">
        <f>COUNTIFS(DataRegularSeason20242025!$D$2:$D$1315,AI$1,DataRegularSeason20242025!$E$2:$E$1315,$A49,DataRegularSeason20242025!$N$2:$N$1315,1)</f>
        <v>0</v>
      </c>
      <c r="AJ50" s="50"/>
      <c r="AK50" s="51">
        <f>COUNTIFS(DataRegularSeason20242025!$D$2:$D$1315,AK$1,DataRegularSeason20242025!$E$2:$E$1315,$A49,DataRegularSeason20242025!$N$2:$N$1315,1)</f>
        <v>0</v>
      </c>
      <c r="AL50" s="50"/>
      <c r="AM50" s="51">
        <f>COUNTIFS(DataRegularSeason20242025!$D$2:$D$1315,AM$1,DataRegularSeason20242025!$E$2:$E$1315,$A49,DataRegularSeason20242025!$N$2:$N$1315,1)</f>
        <v>0</v>
      </c>
      <c r="AN50" s="50"/>
      <c r="AO50" s="51">
        <f>COUNTIFS(DataRegularSeason20242025!$D$2:$D$1315,AO$1,DataRegularSeason20242025!$E$2:$E$1315,$A49,DataRegularSeason20242025!$N$2:$N$1315,1)</f>
        <v>0</v>
      </c>
      <c r="AP50" s="50"/>
      <c r="AQ50" s="51">
        <f>COUNTIFS(DataRegularSeason20242025!$D$2:$D$1315,AQ$1,DataRegularSeason20242025!$E$2:$E$1315,$A49,DataRegularSeason20242025!$N$2:$N$1315,1)</f>
        <v>0</v>
      </c>
      <c r="AR50" s="50"/>
      <c r="AS50" s="51">
        <f>COUNTIFS(DataRegularSeason20242025!$D$2:$D$1315,AS$1,DataRegularSeason20242025!$E$2:$E$1315,$A49,DataRegularSeason20242025!$N$2:$N$1315,1)</f>
        <v>0</v>
      </c>
      <c r="AT50" s="50"/>
      <c r="AU50" s="51">
        <f>COUNTIFS(DataRegularSeason20242025!$D$2:$D$1315,AU$1,DataRegularSeason20242025!$E$2:$E$1315,$A49,DataRegularSeason20242025!$N$2:$N$1315,1)</f>
        <v>0</v>
      </c>
      <c r="AV50" s="50"/>
      <c r="AW50" s="51"/>
      <c r="AX50" s="52"/>
      <c r="AY50" s="53">
        <f>COUNTIFS(DataRegularSeason20242025!$D$2:$D$1315,AY$1,DataRegularSeason20242025!$E$2:$E$1315,$A49,DataRegularSeason20242025!$N$2:$N$1315,1)</f>
        <v>1</v>
      </c>
      <c r="AZ50" s="50"/>
      <c r="BA50" s="51">
        <f>COUNTIFS(DataRegularSeason20242025!$D$2:$D$1315,BA$1,DataRegularSeason20242025!$E$2:$E$1315,$A49,DataRegularSeason20242025!$N$2:$N$1315,1)</f>
        <v>0</v>
      </c>
      <c r="BB50" s="50"/>
      <c r="BC50" s="51">
        <f>COUNTIFS(DataRegularSeason20242025!$D$2:$D$1315,BC$1,DataRegularSeason20242025!$E$2:$E$1315,$A49,DataRegularSeason20242025!$N$2:$N$1315,1)</f>
        <v>0</v>
      </c>
      <c r="BD50" s="50"/>
      <c r="BE50" s="51">
        <f>COUNTIFS(DataRegularSeason20242025!$D$2:$D$1315,BE$1,DataRegularSeason20242025!$E$2:$E$1315,$A49,DataRegularSeason20242025!$N$2:$N$1315,1)</f>
        <v>0</v>
      </c>
      <c r="BF50" s="50"/>
      <c r="BG50" s="51">
        <f>COUNTIFS(DataRegularSeason20242025!$D$2:$D$1315,BG$1,DataRegularSeason20242025!$E$2:$E$1315,$A49,DataRegularSeason20242025!$N$2:$N$1315,1)</f>
        <v>0</v>
      </c>
      <c r="BH50" s="50"/>
      <c r="BI50" s="51">
        <f>COUNTIFS(DataRegularSeason20242025!$D$2:$D$1315,BI$1,DataRegularSeason20242025!$E$2:$E$1315,$A49,DataRegularSeason20242025!$N$2:$N$1315,1)</f>
        <v>0</v>
      </c>
      <c r="BJ50" s="50"/>
      <c r="BK50" s="51">
        <f>COUNTIFS(DataRegularSeason20242025!$D$2:$D$1315,BK$1,DataRegularSeason20242025!$E$2:$E$1315,$A49,DataRegularSeason20242025!$N$2:$N$1315,1)</f>
        <v>1</v>
      </c>
      <c r="BL50" s="50"/>
      <c r="BM50" s="51">
        <f>COUNTIFS(DataRegularSeason20242025!$D$2:$D$1315,BM$1,DataRegularSeason20242025!$E$2:$E$1315,$A49,DataRegularSeason20242025!$N$2:$N$1315,1)</f>
        <v>0</v>
      </c>
      <c r="BN50" s="50"/>
      <c r="BO50" s="34">
        <f t="shared" si="0"/>
        <v>5</v>
      </c>
      <c r="BP50" s="165"/>
      <c r="BQ50" s="166"/>
    </row>
    <row r="51" spans="1:69" ht="12" customHeight="1" thickTop="1" x14ac:dyDescent="0.25">
      <c r="A51" s="166" t="s">
        <v>15</v>
      </c>
      <c r="B51" s="28" t="s">
        <v>74</v>
      </c>
      <c r="C51" s="35"/>
      <c r="D51" s="28">
        <f>COUNTIFS(DataRegularSeason20242025!$E$2:$E$1315,C$1,DataRegularSeason20242025!$D$2:$D$1315,$A51,DataRegularSeason20242025!$N$2:$N$1315,1)</f>
        <v>0</v>
      </c>
      <c r="E51" s="35"/>
      <c r="F51" s="28">
        <f>COUNTIFS(DataRegularSeason20242025!$E$2:$E$1315,E$1,DataRegularSeason20242025!$D$2:$D$1315,$A51,DataRegularSeason20242025!$N$2:$N$1315,1)</f>
        <v>0</v>
      </c>
      <c r="G51" s="35"/>
      <c r="H51" s="28">
        <f>COUNTIFS(DataRegularSeason20242025!$E$2:$E$1315,G$1,DataRegularSeason20242025!$D$2:$D$1315,$A51,DataRegularSeason20242025!$N$2:$N$1315,1)</f>
        <v>0</v>
      </c>
      <c r="I51" s="35"/>
      <c r="J51" s="28">
        <f>COUNTIFS(DataRegularSeason20242025!$E$2:$E$1315,I$1,DataRegularSeason20242025!$D$2:$D$1315,$A51,DataRegularSeason20242025!$N$2:$N$1315,1)</f>
        <v>0</v>
      </c>
      <c r="K51" s="35"/>
      <c r="L51" s="28">
        <f>COUNTIFS(DataRegularSeason20242025!$E$2:$E$1315,K$1,DataRegularSeason20242025!$D$2:$D$1315,$A51,DataRegularSeason20242025!$N$2:$N$1315,1)</f>
        <v>0</v>
      </c>
      <c r="M51" s="35"/>
      <c r="N51" s="28">
        <f>COUNTIFS(DataRegularSeason20242025!$E$2:$E$1315,M$1,DataRegularSeason20242025!$D$2:$D$1315,$A51,DataRegularSeason20242025!$N$2:$N$1315,1)</f>
        <v>0</v>
      </c>
      <c r="O51" s="35"/>
      <c r="P51" s="28">
        <f>COUNTIFS(DataRegularSeason20242025!$E$2:$E$1315,O$1,DataRegularSeason20242025!$D$2:$D$1315,$A51,DataRegularSeason20242025!$N$2:$N$1315,1)</f>
        <v>0</v>
      </c>
      <c r="Q51" s="35"/>
      <c r="R51" s="46">
        <f>COUNTIFS(DataRegularSeason20242025!$E$2:$E$1315,Q$1,DataRegularSeason20242025!$D$2:$D$1315,$A51,DataRegularSeason20242025!$N$2:$N$1315,1)</f>
        <v>1</v>
      </c>
      <c r="S51" s="35"/>
      <c r="T51" s="28">
        <f>COUNTIFS(DataRegularSeason20242025!$E$2:$E$1315,S$1,DataRegularSeason20242025!$D$2:$D$1315,$A51,DataRegularSeason20242025!$N$2:$N$1315,1)</f>
        <v>0</v>
      </c>
      <c r="U51" s="35"/>
      <c r="V51" s="28">
        <f>COUNTIFS(DataRegularSeason20242025!$E$2:$E$1315,U$1,DataRegularSeason20242025!$D$2:$D$1315,$A51,DataRegularSeason20242025!$N$2:$N$1315,1)</f>
        <v>1</v>
      </c>
      <c r="W51" s="35"/>
      <c r="X51" s="28">
        <f>COUNTIFS(DataRegularSeason20242025!$E$2:$E$1315,W$1,DataRegularSeason20242025!$D$2:$D$1315,$A51,DataRegularSeason20242025!$N$2:$N$1315,1)</f>
        <v>0</v>
      </c>
      <c r="Y51" s="35"/>
      <c r="Z51" s="28">
        <f>COUNTIFS(DataRegularSeason20242025!$E$2:$E$1315,Y$1,DataRegularSeason20242025!$D$2:$D$1315,$A51,DataRegularSeason20242025!$N$2:$N$1315,1)</f>
        <v>0</v>
      </c>
      <c r="AA51" s="35"/>
      <c r="AB51" s="28">
        <f>COUNTIFS(DataRegularSeason20242025!$E$2:$E$1315,AA$1,DataRegularSeason20242025!$D$2:$D$1315,$A51,DataRegularSeason20242025!$N$2:$N$1315,1)</f>
        <v>0</v>
      </c>
      <c r="AC51" s="35"/>
      <c r="AD51" s="28">
        <f>COUNTIFS(DataRegularSeason20242025!$E$2:$E$1315,AC$1,DataRegularSeason20242025!$D$2:$D$1315,$A51,DataRegularSeason20242025!$N$2:$N$1315,1)</f>
        <v>0</v>
      </c>
      <c r="AE51" s="35"/>
      <c r="AF51" s="28">
        <f>COUNTIFS(DataRegularSeason20242025!$E$2:$E$1315,AE$1,DataRegularSeason20242025!$D$2:$D$1315,$A51,DataRegularSeason20242025!$N$2:$N$1315,1)</f>
        <v>1</v>
      </c>
      <c r="AG51" s="35"/>
      <c r="AH51" s="46">
        <f>COUNTIFS(DataRegularSeason20242025!$E$2:$E$1315,AG$1,DataRegularSeason20242025!$D$2:$D$1315,$A51,DataRegularSeason20242025!$N$2:$N$1315,1)</f>
        <v>0</v>
      </c>
      <c r="AI51" s="35"/>
      <c r="AJ51" s="28">
        <f>COUNTIFS(DataRegularSeason20242025!$E$2:$E$1315,AI$1,DataRegularSeason20242025!$D$2:$D$1315,$A51,DataRegularSeason20242025!$N$2:$N$1315,1)</f>
        <v>0</v>
      </c>
      <c r="AK51" s="35"/>
      <c r="AL51" s="28">
        <f>COUNTIFS(DataRegularSeason20242025!$E$2:$E$1315,AK$1,DataRegularSeason20242025!$D$2:$D$1315,$A51,DataRegularSeason20242025!$N$2:$N$1315,1)</f>
        <v>0</v>
      </c>
      <c r="AM51" s="35"/>
      <c r="AN51" s="28">
        <f>COUNTIFS(DataRegularSeason20242025!$E$2:$E$1315,AM$1,DataRegularSeason20242025!$D$2:$D$1315,$A51,DataRegularSeason20242025!$N$2:$N$1315,1)</f>
        <v>0</v>
      </c>
      <c r="AO51" s="35"/>
      <c r="AP51" s="28">
        <f>COUNTIFS(DataRegularSeason20242025!$E$2:$E$1315,AO$1,DataRegularSeason20242025!$D$2:$D$1315,$A51,DataRegularSeason20242025!$N$2:$N$1315,1)</f>
        <v>0</v>
      </c>
      <c r="AQ51" s="35"/>
      <c r="AR51" s="28">
        <f>COUNTIFS(DataRegularSeason20242025!$E$2:$E$1315,AQ$1,DataRegularSeason20242025!$D$2:$D$1315,$A51,DataRegularSeason20242025!$N$2:$N$1315,1)</f>
        <v>0</v>
      </c>
      <c r="AS51" s="35"/>
      <c r="AT51" s="28">
        <f>COUNTIFS(DataRegularSeason20242025!$E$2:$E$1315,AS$1,DataRegularSeason20242025!$D$2:$D$1315,$A51,DataRegularSeason20242025!$N$2:$N$1315,1)</f>
        <v>0</v>
      </c>
      <c r="AU51" s="35"/>
      <c r="AV51" s="28">
        <f>COUNTIFS(DataRegularSeason20242025!$E$2:$E$1315,AU$1,DataRegularSeason20242025!$D$2:$D$1315,$A51,DataRegularSeason20242025!$N$2:$N$1315,1)</f>
        <v>0</v>
      </c>
      <c r="AW51" s="35"/>
      <c r="AX51" s="54">
        <f>COUNTIFS(DataRegularSeason20242025!$E$2:$E$1315,AW$1,DataRegularSeason20242025!$D$2:$D$1315,$A51,DataRegularSeason20242025!$N$2:$N$1315,1)</f>
        <v>1</v>
      </c>
      <c r="AY51" s="35"/>
      <c r="AZ51" s="36"/>
      <c r="BA51" s="35"/>
      <c r="BB51" s="28">
        <f>COUNTIFS(DataRegularSeason20242025!$E$2:$E$1315,BA$1,DataRegularSeason20242025!$D$2:$D$1315,$A51,DataRegularSeason20242025!$N$2:$N$1315,1)</f>
        <v>0</v>
      </c>
      <c r="BC51" s="35"/>
      <c r="BD51" s="28">
        <f>COUNTIFS(DataRegularSeason20242025!$E$2:$E$1315,BC$1,DataRegularSeason20242025!$D$2:$D$1315,$A51,DataRegularSeason20242025!$N$2:$N$1315,1)</f>
        <v>0</v>
      </c>
      <c r="BE51" s="35"/>
      <c r="BF51" s="28">
        <f>COUNTIFS(DataRegularSeason20242025!$E$2:$E$1315,BE$1,DataRegularSeason20242025!$D$2:$D$1315,$A51,DataRegularSeason20242025!$N$2:$N$1315,1)</f>
        <v>0</v>
      </c>
      <c r="BG51" s="35"/>
      <c r="BH51" s="28">
        <f>COUNTIFS(DataRegularSeason20242025!$E$2:$E$1315,BG$1,DataRegularSeason20242025!$D$2:$D$1315,$A51,DataRegularSeason20242025!$N$2:$N$1315,1)</f>
        <v>0</v>
      </c>
      <c r="BI51" s="35"/>
      <c r="BJ51" s="28">
        <f>COUNTIFS(DataRegularSeason20242025!$E$2:$E$1315,BI$1,DataRegularSeason20242025!$D$2:$D$1315,$A51,DataRegularSeason20242025!$N$2:$N$1315,1)</f>
        <v>0</v>
      </c>
      <c r="BK51" s="35"/>
      <c r="BL51" s="28">
        <f>COUNTIFS(DataRegularSeason20242025!$E$2:$E$1315,BK$1,DataRegularSeason20242025!$D$2:$D$1315,$A51,DataRegularSeason20242025!$N$2:$N$1315,1)</f>
        <v>0</v>
      </c>
      <c r="BM51" s="35"/>
      <c r="BN51" s="28">
        <f>COUNTIFS(DataRegularSeason20242025!$E$2:$E$1315,BM$1,DataRegularSeason20242025!$D$2:$D$1315,$A51,DataRegularSeason20242025!$N$2:$N$1315,1)</f>
        <v>0</v>
      </c>
      <c r="BO51" s="30">
        <f t="shared" si="0"/>
        <v>4</v>
      </c>
      <c r="BP51" s="165">
        <f t="shared" ref="BP51" si="47">BO51+BO52</f>
        <v>8</v>
      </c>
      <c r="BQ51" s="166">
        <f t="shared" ref="BQ51" si="48">82-BP51</f>
        <v>74</v>
      </c>
    </row>
    <row r="52" spans="1:69" ht="12" customHeight="1" x14ac:dyDescent="0.25">
      <c r="A52" s="167"/>
      <c r="B52" s="32" t="s">
        <v>73</v>
      </c>
      <c r="C52" s="38">
        <f>COUNTIFS(DataRegularSeason20242025!$D$2:$D$1315,C$1,DataRegularSeason20242025!$E$2:$E$1315,$A51,DataRegularSeason20242025!$N$2:$N$1315,1)</f>
        <v>0</v>
      </c>
      <c r="D52" s="39"/>
      <c r="E52" s="38">
        <f>COUNTIFS(DataRegularSeason20242025!$D$2:$D$1315,E$1,DataRegularSeason20242025!$E$2:$E$1315,$A51,DataRegularSeason20242025!$N$2:$N$1315,1)</f>
        <v>0</v>
      </c>
      <c r="F52" s="39"/>
      <c r="G52" s="38">
        <f>COUNTIFS(DataRegularSeason20242025!$D$2:$D$1315,G$1,DataRegularSeason20242025!$E$2:$E$1315,$A51,DataRegularSeason20242025!$N$2:$N$1315,1)</f>
        <v>0</v>
      </c>
      <c r="H52" s="39"/>
      <c r="I52" s="38">
        <f>COUNTIFS(DataRegularSeason20242025!$D$2:$D$1315,I$1,DataRegularSeason20242025!$E$2:$E$1315,$A51,DataRegularSeason20242025!$N$2:$N$1315,1)</f>
        <v>0</v>
      </c>
      <c r="J52" s="39"/>
      <c r="K52" s="38">
        <f>COUNTIFS(DataRegularSeason20242025!$D$2:$D$1315,K$1,DataRegularSeason20242025!$E$2:$E$1315,$A51,DataRegularSeason20242025!$N$2:$N$1315,1)</f>
        <v>0</v>
      </c>
      <c r="L52" s="39"/>
      <c r="M52" s="38">
        <f>COUNTIFS(DataRegularSeason20242025!$D$2:$D$1315,M$1,DataRegularSeason20242025!$E$2:$E$1315,$A51,DataRegularSeason20242025!$N$2:$N$1315,1)</f>
        <v>0</v>
      </c>
      <c r="N52" s="39"/>
      <c r="O52" s="38">
        <f>COUNTIFS(DataRegularSeason20242025!$D$2:$D$1315,O$1,DataRegularSeason20242025!$E$2:$E$1315,$A51,DataRegularSeason20242025!$N$2:$N$1315,1)</f>
        <v>0</v>
      </c>
      <c r="P52" s="39"/>
      <c r="Q52" s="38">
        <f>COUNTIFS(DataRegularSeason20242025!$D$2:$D$1315,Q$1,DataRegularSeason20242025!$E$2:$E$1315,$A51,DataRegularSeason20242025!$N$2:$N$1315,1)</f>
        <v>0</v>
      </c>
      <c r="R52" s="47"/>
      <c r="S52" s="38">
        <f>COUNTIFS(DataRegularSeason20242025!$D$2:$D$1315,S$1,DataRegularSeason20242025!$E$2:$E$1315,$A51,DataRegularSeason20242025!$N$2:$N$1315,1)</f>
        <v>1</v>
      </c>
      <c r="T52" s="39"/>
      <c r="U52" s="38">
        <f>COUNTIFS(DataRegularSeason20242025!$D$2:$D$1315,U$1,DataRegularSeason20242025!$E$2:$E$1315,$A51,DataRegularSeason20242025!$N$2:$N$1315,1)</f>
        <v>0</v>
      </c>
      <c r="V52" s="39"/>
      <c r="W52" s="38">
        <f>COUNTIFS(DataRegularSeason20242025!$D$2:$D$1315,W$1,DataRegularSeason20242025!$E$2:$E$1315,$A51,DataRegularSeason20242025!$N$2:$N$1315,1)</f>
        <v>0</v>
      </c>
      <c r="X52" s="39"/>
      <c r="Y52" s="38">
        <f>COUNTIFS(DataRegularSeason20242025!$D$2:$D$1315,Y$1,DataRegularSeason20242025!$E$2:$E$1315,$A51,DataRegularSeason20242025!$N$2:$N$1315,1)</f>
        <v>0</v>
      </c>
      <c r="Z52" s="39"/>
      <c r="AA52" s="38">
        <f>COUNTIFS(DataRegularSeason20242025!$D$2:$D$1315,AA$1,DataRegularSeason20242025!$E$2:$E$1315,$A51,DataRegularSeason20242025!$N$2:$N$1315,1)</f>
        <v>0</v>
      </c>
      <c r="AB52" s="39"/>
      <c r="AC52" s="38">
        <f>COUNTIFS(DataRegularSeason20242025!$D$2:$D$1315,AC$1,DataRegularSeason20242025!$E$2:$E$1315,$A51,DataRegularSeason20242025!$N$2:$N$1315,1)</f>
        <v>0</v>
      </c>
      <c r="AD52" s="39"/>
      <c r="AE52" s="38">
        <f>COUNTIFS(DataRegularSeason20242025!$D$2:$D$1315,AE$1,DataRegularSeason20242025!$E$2:$E$1315,$A51,DataRegularSeason20242025!$N$2:$N$1315,1)</f>
        <v>0</v>
      </c>
      <c r="AF52" s="39"/>
      <c r="AG52" s="38">
        <f>COUNTIFS(DataRegularSeason20242025!$D$2:$D$1315,AG$1,DataRegularSeason20242025!$E$2:$E$1315,$A51,DataRegularSeason20242025!$N$2:$N$1315,1)</f>
        <v>0</v>
      </c>
      <c r="AH52" s="47"/>
      <c r="AI52" s="38">
        <f>COUNTIFS(DataRegularSeason20242025!$D$2:$D$1315,AI$1,DataRegularSeason20242025!$E$2:$E$1315,$A51,DataRegularSeason20242025!$N$2:$N$1315,1)</f>
        <v>0</v>
      </c>
      <c r="AJ52" s="39"/>
      <c r="AK52" s="38">
        <f>COUNTIFS(DataRegularSeason20242025!$D$2:$D$1315,AK$1,DataRegularSeason20242025!$E$2:$E$1315,$A51,DataRegularSeason20242025!$N$2:$N$1315,1)</f>
        <v>0</v>
      </c>
      <c r="AL52" s="39"/>
      <c r="AM52" s="38">
        <f>COUNTIFS(DataRegularSeason20242025!$D$2:$D$1315,AM$1,DataRegularSeason20242025!$E$2:$E$1315,$A51,DataRegularSeason20242025!$N$2:$N$1315,1)</f>
        <v>0</v>
      </c>
      <c r="AN52" s="39"/>
      <c r="AO52" s="38">
        <f>COUNTIFS(DataRegularSeason20242025!$D$2:$D$1315,AO$1,DataRegularSeason20242025!$E$2:$E$1315,$A51,DataRegularSeason20242025!$N$2:$N$1315,1)</f>
        <v>0</v>
      </c>
      <c r="AP52" s="39"/>
      <c r="AQ52" s="38">
        <f>COUNTIFS(DataRegularSeason20242025!$D$2:$D$1315,AQ$1,DataRegularSeason20242025!$E$2:$E$1315,$A51,DataRegularSeason20242025!$N$2:$N$1315,1)</f>
        <v>0</v>
      </c>
      <c r="AR52" s="39"/>
      <c r="AS52" s="38">
        <f>COUNTIFS(DataRegularSeason20242025!$D$2:$D$1315,AS$1,DataRegularSeason20242025!$E$2:$E$1315,$A51,DataRegularSeason20242025!$N$2:$N$1315,1)</f>
        <v>0</v>
      </c>
      <c r="AT52" s="39"/>
      <c r="AU52" s="38">
        <f>COUNTIFS(DataRegularSeason20242025!$D$2:$D$1315,AU$1,DataRegularSeason20242025!$E$2:$E$1315,$A51,DataRegularSeason20242025!$N$2:$N$1315,1)</f>
        <v>0</v>
      </c>
      <c r="AV52" s="39"/>
      <c r="AW52" s="38">
        <f>COUNTIFS(DataRegularSeason20242025!$D$2:$D$1315,AW$1,DataRegularSeason20242025!$E$2:$E$1315,$A51,DataRegularSeason20242025!$N$2:$N$1315,1)</f>
        <v>0</v>
      </c>
      <c r="AX52" s="47"/>
      <c r="AY52" s="38"/>
      <c r="AZ52" s="39"/>
      <c r="BA52" s="38">
        <f>COUNTIFS(DataRegularSeason20242025!$D$2:$D$1315,BA$1,DataRegularSeason20242025!$E$2:$E$1315,$A51,DataRegularSeason20242025!$N$2:$N$1315,1)</f>
        <v>1</v>
      </c>
      <c r="BB52" s="39"/>
      <c r="BC52" s="38">
        <f>COUNTIFS(DataRegularSeason20242025!$D$2:$D$1315,BC$1,DataRegularSeason20242025!$E$2:$E$1315,$A51,DataRegularSeason20242025!$N$2:$N$1315,1)</f>
        <v>0</v>
      </c>
      <c r="BD52" s="39"/>
      <c r="BE52" s="38">
        <f>COUNTIFS(DataRegularSeason20242025!$D$2:$D$1315,BE$1,DataRegularSeason20242025!$E$2:$E$1315,$A51,DataRegularSeason20242025!$N$2:$N$1315,1)</f>
        <v>1</v>
      </c>
      <c r="BF52" s="39"/>
      <c r="BG52" s="38">
        <f>COUNTIFS(DataRegularSeason20242025!$D$2:$D$1315,BG$1,DataRegularSeason20242025!$E$2:$E$1315,$A51,DataRegularSeason20242025!$N$2:$N$1315,1)</f>
        <v>0</v>
      </c>
      <c r="BH52" s="39"/>
      <c r="BI52" s="38">
        <f>COUNTIFS(DataRegularSeason20242025!$D$2:$D$1315,BI$1,DataRegularSeason20242025!$E$2:$E$1315,$A51,DataRegularSeason20242025!$N$2:$N$1315,1)</f>
        <v>0</v>
      </c>
      <c r="BJ52" s="39"/>
      <c r="BK52" s="38">
        <f>COUNTIFS(DataRegularSeason20242025!$D$2:$D$1315,BK$1,DataRegularSeason20242025!$E$2:$E$1315,$A51,DataRegularSeason20242025!$N$2:$N$1315,1)</f>
        <v>1</v>
      </c>
      <c r="BL52" s="39"/>
      <c r="BM52" s="38">
        <f>COUNTIFS(DataRegularSeason20242025!$D$2:$D$1315,BM$1,DataRegularSeason20242025!$E$2:$E$1315,$A51,DataRegularSeason20242025!$N$2:$N$1315,1)</f>
        <v>0</v>
      </c>
      <c r="BN52" s="39"/>
      <c r="BO52" s="34">
        <f t="shared" si="0"/>
        <v>4</v>
      </c>
      <c r="BP52" s="165"/>
      <c r="BQ52" s="166"/>
    </row>
    <row r="53" spans="1:69" ht="12" customHeight="1" x14ac:dyDescent="0.25">
      <c r="A53" s="172" t="s">
        <v>28</v>
      </c>
      <c r="B53" s="28" t="s">
        <v>74</v>
      </c>
      <c r="C53" s="35"/>
      <c r="D53" s="28">
        <f>COUNTIFS(DataRegularSeason20242025!$E$2:$E$1315,C$1,DataRegularSeason20242025!$D$2:$D$1315,$A53,DataRegularSeason20242025!$N$2:$N$1315,1)</f>
        <v>0</v>
      </c>
      <c r="E53" s="35"/>
      <c r="F53" s="28">
        <f>COUNTIFS(DataRegularSeason20242025!$E$2:$E$1315,E$1,DataRegularSeason20242025!$D$2:$D$1315,$A53,DataRegularSeason20242025!$N$2:$N$1315,1)</f>
        <v>0</v>
      </c>
      <c r="G53" s="35"/>
      <c r="H53" s="28">
        <f>COUNTIFS(DataRegularSeason20242025!$E$2:$E$1315,G$1,DataRegularSeason20242025!$D$2:$D$1315,$A53,DataRegularSeason20242025!$N$2:$N$1315,1)</f>
        <v>0</v>
      </c>
      <c r="I53" s="35"/>
      <c r="J53" s="28">
        <f>COUNTIFS(DataRegularSeason20242025!$E$2:$E$1315,I$1,DataRegularSeason20242025!$D$2:$D$1315,$A53,DataRegularSeason20242025!$N$2:$N$1315,1)</f>
        <v>0</v>
      </c>
      <c r="K53" s="35"/>
      <c r="L53" s="28">
        <f>COUNTIFS(DataRegularSeason20242025!$E$2:$E$1315,K$1,DataRegularSeason20242025!$D$2:$D$1315,$A53,DataRegularSeason20242025!$N$2:$N$1315,1)</f>
        <v>0</v>
      </c>
      <c r="M53" s="35"/>
      <c r="N53" s="28">
        <f>COUNTIFS(DataRegularSeason20242025!$E$2:$E$1315,M$1,DataRegularSeason20242025!$D$2:$D$1315,$A53,DataRegularSeason20242025!$N$2:$N$1315,1)</f>
        <v>0</v>
      </c>
      <c r="O53" s="35"/>
      <c r="P53" s="28">
        <f>COUNTIFS(DataRegularSeason20242025!$E$2:$E$1315,O$1,DataRegularSeason20242025!$D$2:$D$1315,$A53,DataRegularSeason20242025!$N$2:$N$1315,1)</f>
        <v>0</v>
      </c>
      <c r="Q53" s="35"/>
      <c r="R53" s="46">
        <f>COUNTIFS(DataRegularSeason20242025!$E$2:$E$1315,Q$1,DataRegularSeason20242025!$D$2:$D$1315,$A53,DataRegularSeason20242025!$N$2:$N$1315,1)</f>
        <v>0</v>
      </c>
      <c r="S53" s="35"/>
      <c r="T53" s="28">
        <f>COUNTIFS(DataRegularSeason20242025!$E$2:$E$1315,S$1,DataRegularSeason20242025!$D$2:$D$1315,$A53,DataRegularSeason20242025!$N$2:$N$1315,1)</f>
        <v>0</v>
      </c>
      <c r="U53" s="35"/>
      <c r="V53" s="28">
        <f>COUNTIFS(DataRegularSeason20242025!$E$2:$E$1315,U$1,DataRegularSeason20242025!$D$2:$D$1315,$A53,DataRegularSeason20242025!$N$2:$N$1315,1)</f>
        <v>0</v>
      </c>
      <c r="W53" s="35"/>
      <c r="X53" s="28">
        <f>COUNTIFS(DataRegularSeason20242025!$E$2:$E$1315,W$1,DataRegularSeason20242025!$D$2:$D$1315,$A53,DataRegularSeason20242025!$N$2:$N$1315,1)</f>
        <v>0</v>
      </c>
      <c r="Y53" s="35"/>
      <c r="Z53" s="28">
        <f>COUNTIFS(DataRegularSeason20242025!$E$2:$E$1315,Y$1,DataRegularSeason20242025!$D$2:$D$1315,$A53,DataRegularSeason20242025!$N$2:$N$1315,1)</f>
        <v>0</v>
      </c>
      <c r="AA53" s="35"/>
      <c r="AB53" s="28">
        <f>COUNTIFS(DataRegularSeason20242025!$E$2:$E$1315,AA$1,DataRegularSeason20242025!$D$2:$D$1315,$A53,DataRegularSeason20242025!$N$2:$N$1315,1)</f>
        <v>0</v>
      </c>
      <c r="AC53" s="35"/>
      <c r="AD53" s="28">
        <f>COUNTIFS(DataRegularSeason20242025!$E$2:$E$1315,AC$1,DataRegularSeason20242025!$D$2:$D$1315,$A53,DataRegularSeason20242025!$N$2:$N$1315,1)</f>
        <v>0</v>
      </c>
      <c r="AE53" s="35"/>
      <c r="AF53" s="28">
        <f>COUNTIFS(DataRegularSeason20242025!$E$2:$E$1315,AE$1,DataRegularSeason20242025!$D$2:$D$1315,$A53,DataRegularSeason20242025!$N$2:$N$1315,1)</f>
        <v>0</v>
      </c>
      <c r="AG53" s="35"/>
      <c r="AH53" s="46">
        <f>COUNTIFS(DataRegularSeason20242025!$E$2:$E$1315,AG$1,DataRegularSeason20242025!$D$2:$D$1315,$A53,DataRegularSeason20242025!$N$2:$N$1315,1)</f>
        <v>0</v>
      </c>
      <c r="AI53" s="35"/>
      <c r="AJ53" s="28">
        <f>COUNTIFS(DataRegularSeason20242025!$E$2:$E$1315,AI$1,DataRegularSeason20242025!$D$2:$D$1315,$A53,DataRegularSeason20242025!$N$2:$N$1315,1)</f>
        <v>0</v>
      </c>
      <c r="AK53" s="35"/>
      <c r="AL53" s="28">
        <f>COUNTIFS(DataRegularSeason20242025!$E$2:$E$1315,AK$1,DataRegularSeason20242025!$D$2:$D$1315,$A53,DataRegularSeason20242025!$N$2:$N$1315,1)</f>
        <v>0</v>
      </c>
      <c r="AM53" s="35"/>
      <c r="AN53" s="28">
        <f>COUNTIFS(DataRegularSeason20242025!$E$2:$E$1315,AM$1,DataRegularSeason20242025!$D$2:$D$1315,$A53,DataRegularSeason20242025!$N$2:$N$1315,1)</f>
        <v>0</v>
      </c>
      <c r="AO53" s="35"/>
      <c r="AP53" s="28">
        <f>COUNTIFS(DataRegularSeason20242025!$E$2:$E$1315,AO$1,DataRegularSeason20242025!$D$2:$D$1315,$A53,DataRegularSeason20242025!$N$2:$N$1315,1)</f>
        <v>0</v>
      </c>
      <c r="AQ53" s="35"/>
      <c r="AR53" s="28">
        <f>COUNTIFS(DataRegularSeason20242025!$E$2:$E$1315,AQ$1,DataRegularSeason20242025!$D$2:$D$1315,$A53,DataRegularSeason20242025!$N$2:$N$1315,1)</f>
        <v>0</v>
      </c>
      <c r="AS53" s="35"/>
      <c r="AT53" s="28">
        <f>COUNTIFS(DataRegularSeason20242025!$E$2:$E$1315,AS$1,DataRegularSeason20242025!$D$2:$D$1315,$A53,DataRegularSeason20242025!$N$2:$N$1315,1)</f>
        <v>0</v>
      </c>
      <c r="AU53" s="35"/>
      <c r="AV53" s="28">
        <f>COUNTIFS(DataRegularSeason20242025!$E$2:$E$1315,AU$1,DataRegularSeason20242025!$D$2:$D$1315,$A53,DataRegularSeason20242025!$N$2:$N$1315,1)</f>
        <v>0</v>
      </c>
      <c r="AW53" s="35"/>
      <c r="AX53" s="46">
        <f>COUNTIFS(DataRegularSeason20242025!$E$2:$E$1315,AW$1,DataRegularSeason20242025!$D$2:$D$1315,$A53,DataRegularSeason20242025!$N$2:$N$1315,1)</f>
        <v>0</v>
      </c>
      <c r="AY53" s="35"/>
      <c r="AZ53" s="28">
        <f>COUNTIFS(DataRegularSeason20242025!$E$2:$E$1315,AY$1,DataRegularSeason20242025!$D$2:$D$1315,$A53,DataRegularSeason20242025!$N$2:$N$1315,1)</f>
        <v>1</v>
      </c>
      <c r="BA53" s="35"/>
      <c r="BB53" s="36"/>
      <c r="BC53" s="35"/>
      <c r="BD53" s="28">
        <f>COUNTIFS(DataRegularSeason20242025!$E$2:$E$1315,BC$1,DataRegularSeason20242025!$D$2:$D$1315,$A53,DataRegularSeason20242025!$N$2:$N$1315,1)</f>
        <v>0</v>
      </c>
      <c r="BE53" s="35"/>
      <c r="BF53" s="28">
        <f>COUNTIFS(DataRegularSeason20242025!$E$2:$E$1315,BE$1,DataRegularSeason20242025!$D$2:$D$1315,$A53,DataRegularSeason20242025!$N$2:$N$1315,1)</f>
        <v>0</v>
      </c>
      <c r="BG53" s="35"/>
      <c r="BH53" s="28">
        <f>COUNTIFS(DataRegularSeason20242025!$E$2:$E$1315,BG$1,DataRegularSeason20242025!$D$2:$D$1315,$A53,DataRegularSeason20242025!$N$2:$N$1315,1)</f>
        <v>1</v>
      </c>
      <c r="BI53" s="35"/>
      <c r="BJ53" s="28">
        <f>COUNTIFS(DataRegularSeason20242025!$E$2:$E$1315,BI$1,DataRegularSeason20242025!$D$2:$D$1315,$A53,DataRegularSeason20242025!$N$2:$N$1315,1)</f>
        <v>0</v>
      </c>
      <c r="BK53" s="35"/>
      <c r="BL53" s="28">
        <f>COUNTIFS(DataRegularSeason20242025!$E$2:$E$1315,BK$1,DataRegularSeason20242025!$D$2:$D$1315,$A53,DataRegularSeason20242025!$N$2:$N$1315,1)</f>
        <v>0</v>
      </c>
      <c r="BM53" s="35"/>
      <c r="BN53" s="28">
        <f>COUNTIFS(DataRegularSeason20242025!$E$2:$E$1315,BM$1,DataRegularSeason20242025!$D$2:$D$1315,$A53,DataRegularSeason20242025!$N$2:$N$1315,1)</f>
        <v>0</v>
      </c>
      <c r="BO53" s="30">
        <f t="shared" si="0"/>
        <v>2</v>
      </c>
      <c r="BP53" s="165">
        <f t="shared" ref="BP53" si="49">BO53+BO54</f>
        <v>6</v>
      </c>
      <c r="BQ53" s="166">
        <f t="shared" ref="BQ53" si="50">82-BP53</f>
        <v>76</v>
      </c>
    </row>
    <row r="54" spans="1:69" ht="12" customHeight="1" x14ac:dyDescent="0.25">
      <c r="A54" s="167"/>
      <c r="B54" s="32" t="s">
        <v>73</v>
      </c>
      <c r="C54" s="38">
        <f>COUNTIFS(DataRegularSeason20242025!$D$2:$D$1315,C$1,DataRegularSeason20242025!$E$2:$E$1315,$A53,DataRegularSeason20242025!$N$2:$N$1315,1)</f>
        <v>0</v>
      </c>
      <c r="D54" s="39"/>
      <c r="E54" s="38">
        <f>COUNTIFS(DataRegularSeason20242025!$D$2:$D$1315,E$1,DataRegularSeason20242025!$E$2:$E$1315,$A53,DataRegularSeason20242025!$N$2:$N$1315,1)</f>
        <v>0</v>
      </c>
      <c r="F54" s="39"/>
      <c r="G54" s="38">
        <f>COUNTIFS(DataRegularSeason20242025!$D$2:$D$1315,G$1,DataRegularSeason20242025!$E$2:$E$1315,$A53,DataRegularSeason20242025!$N$2:$N$1315,1)</f>
        <v>0</v>
      </c>
      <c r="H54" s="39"/>
      <c r="I54" s="38">
        <f>COUNTIFS(DataRegularSeason20242025!$D$2:$D$1315,I$1,DataRegularSeason20242025!$E$2:$E$1315,$A53,DataRegularSeason20242025!$N$2:$N$1315,1)</f>
        <v>0</v>
      </c>
      <c r="J54" s="39"/>
      <c r="K54" s="38">
        <f>COUNTIFS(DataRegularSeason20242025!$D$2:$D$1315,K$1,DataRegularSeason20242025!$E$2:$E$1315,$A53,DataRegularSeason20242025!$N$2:$N$1315,1)</f>
        <v>0</v>
      </c>
      <c r="L54" s="39"/>
      <c r="M54" s="38">
        <f>COUNTIFS(DataRegularSeason20242025!$D$2:$D$1315,M$1,DataRegularSeason20242025!$E$2:$E$1315,$A53,DataRegularSeason20242025!$N$2:$N$1315,1)</f>
        <v>0</v>
      </c>
      <c r="N54" s="39"/>
      <c r="O54" s="38">
        <f>COUNTIFS(DataRegularSeason20242025!$D$2:$D$1315,O$1,DataRegularSeason20242025!$E$2:$E$1315,$A53,DataRegularSeason20242025!$N$2:$N$1315,1)</f>
        <v>0</v>
      </c>
      <c r="P54" s="39"/>
      <c r="Q54" s="38">
        <f>COUNTIFS(DataRegularSeason20242025!$D$2:$D$1315,Q$1,DataRegularSeason20242025!$E$2:$E$1315,$A53,DataRegularSeason20242025!$N$2:$N$1315,1)</f>
        <v>0</v>
      </c>
      <c r="R54" s="47"/>
      <c r="S54" s="38">
        <f>COUNTIFS(DataRegularSeason20242025!$D$2:$D$1315,S$1,DataRegularSeason20242025!$E$2:$E$1315,$A53,DataRegularSeason20242025!$N$2:$N$1315,1)</f>
        <v>0</v>
      </c>
      <c r="T54" s="39"/>
      <c r="U54" s="38">
        <f>COUNTIFS(DataRegularSeason20242025!$D$2:$D$1315,U$1,DataRegularSeason20242025!$E$2:$E$1315,$A53,DataRegularSeason20242025!$N$2:$N$1315,1)</f>
        <v>1</v>
      </c>
      <c r="V54" s="39"/>
      <c r="W54" s="38">
        <f>COUNTIFS(DataRegularSeason20242025!$D$2:$D$1315,W$1,DataRegularSeason20242025!$E$2:$E$1315,$A53,DataRegularSeason20242025!$N$2:$N$1315,1)</f>
        <v>0</v>
      </c>
      <c r="X54" s="39"/>
      <c r="Y54" s="38">
        <f>COUNTIFS(DataRegularSeason20242025!$D$2:$D$1315,Y$1,DataRegularSeason20242025!$E$2:$E$1315,$A53,DataRegularSeason20242025!$N$2:$N$1315,1)</f>
        <v>0</v>
      </c>
      <c r="Z54" s="39"/>
      <c r="AA54" s="38">
        <f>COUNTIFS(DataRegularSeason20242025!$D$2:$D$1315,AA$1,DataRegularSeason20242025!$E$2:$E$1315,$A53,DataRegularSeason20242025!$N$2:$N$1315,1)</f>
        <v>0</v>
      </c>
      <c r="AB54" s="39"/>
      <c r="AC54" s="38">
        <f>COUNTIFS(DataRegularSeason20242025!$D$2:$D$1315,AC$1,DataRegularSeason20242025!$E$2:$E$1315,$A53,DataRegularSeason20242025!$N$2:$N$1315,1)</f>
        <v>0</v>
      </c>
      <c r="AD54" s="39"/>
      <c r="AE54" s="38">
        <f>COUNTIFS(DataRegularSeason20242025!$D$2:$D$1315,AE$1,DataRegularSeason20242025!$E$2:$E$1315,$A53,DataRegularSeason20242025!$N$2:$N$1315,1)</f>
        <v>0</v>
      </c>
      <c r="AF54" s="39"/>
      <c r="AG54" s="38">
        <f>COUNTIFS(DataRegularSeason20242025!$D$2:$D$1315,AG$1,DataRegularSeason20242025!$E$2:$E$1315,$A53,DataRegularSeason20242025!$N$2:$N$1315,1)</f>
        <v>0</v>
      </c>
      <c r="AH54" s="47"/>
      <c r="AI54" s="38">
        <f>COUNTIFS(DataRegularSeason20242025!$D$2:$D$1315,AI$1,DataRegularSeason20242025!$E$2:$E$1315,$A53,DataRegularSeason20242025!$N$2:$N$1315,1)</f>
        <v>0</v>
      </c>
      <c r="AJ54" s="39"/>
      <c r="AK54" s="38">
        <f>COUNTIFS(DataRegularSeason20242025!$D$2:$D$1315,AK$1,DataRegularSeason20242025!$E$2:$E$1315,$A53,DataRegularSeason20242025!$N$2:$N$1315,1)</f>
        <v>0</v>
      </c>
      <c r="AL54" s="39"/>
      <c r="AM54" s="38">
        <f>COUNTIFS(DataRegularSeason20242025!$D$2:$D$1315,AM$1,DataRegularSeason20242025!$E$2:$E$1315,$A53,DataRegularSeason20242025!$N$2:$N$1315,1)</f>
        <v>0</v>
      </c>
      <c r="AN54" s="39"/>
      <c r="AO54" s="38">
        <f>COUNTIFS(DataRegularSeason20242025!$D$2:$D$1315,AO$1,DataRegularSeason20242025!$E$2:$E$1315,$A53,DataRegularSeason20242025!$N$2:$N$1315,1)</f>
        <v>0</v>
      </c>
      <c r="AP54" s="39"/>
      <c r="AQ54" s="38">
        <f>COUNTIFS(DataRegularSeason20242025!$D$2:$D$1315,AQ$1,DataRegularSeason20242025!$E$2:$E$1315,$A53,DataRegularSeason20242025!$N$2:$N$1315,1)</f>
        <v>1</v>
      </c>
      <c r="AR54" s="39"/>
      <c r="AS54" s="38">
        <f>COUNTIFS(DataRegularSeason20242025!$D$2:$D$1315,AS$1,DataRegularSeason20242025!$E$2:$E$1315,$A53,DataRegularSeason20242025!$N$2:$N$1315,1)</f>
        <v>0</v>
      </c>
      <c r="AT54" s="39"/>
      <c r="AU54" s="38">
        <f>COUNTIFS(DataRegularSeason20242025!$D$2:$D$1315,AU$1,DataRegularSeason20242025!$E$2:$E$1315,$A53,DataRegularSeason20242025!$N$2:$N$1315,1)</f>
        <v>0</v>
      </c>
      <c r="AV54" s="39"/>
      <c r="AW54" s="38">
        <f>COUNTIFS(DataRegularSeason20242025!$D$2:$D$1315,AW$1,DataRegularSeason20242025!$E$2:$E$1315,$A53,DataRegularSeason20242025!$N$2:$N$1315,1)</f>
        <v>0</v>
      </c>
      <c r="AX54" s="47"/>
      <c r="AY54" s="38">
        <f>COUNTIFS(DataRegularSeason20242025!$D$2:$D$1315,AY$1,DataRegularSeason20242025!$E$2:$E$1315,$A53,DataRegularSeason20242025!$N$2:$N$1315,1)</f>
        <v>0</v>
      </c>
      <c r="AZ54" s="39"/>
      <c r="BA54" s="38"/>
      <c r="BB54" s="39"/>
      <c r="BC54" s="38">
        <f>COUNTIFS(DataRegularSeason20242025!$D$2:$D$1315,BC$1,DataRegularSeason20242025!$E$2:$E$1315,$A53,DataRegularSeason20242025!$N$2:$N$1315,1)</f>
        <v>0</v>
      </c>
      <c r="BD54" s="39"/>
      <c r="BE54" s="38">
        <f>COUNTIFS(DataRegularSeason20242025!$D$2:$D$1315,BE$1,DataRegularSeason20242025!$E$2:$E$1315,$A53,DataRegularSeason20242025!$N$2:$N$1315,1)</f>
        <v>1</v>
      </c>
      <c r="BF54" s="39"/>
      <c r="BG54" s="38">
        <f>COUNTIFS(DataRegularSeason20242025!$D$2:$D$1315,BG$1,DataRegularSeason20242025!$E$2:$E$1315,$A53,DataRegularSeason20242025!$N$2:$N$1315,1)</f>
        <v>0</v>
      </c>
      <c r="BH54" s="39"/>
      <c r="BI54" s="38">
        <f>COUNTIFS(DataRegularSeason20242025!$D$2:$D$1315,BI$1,DataRegularSeason20242025!$E$2:$E$1315,$A53,DataRegularSeason20242025!$N$2:$N$1315,1)</f>
        <v>1</v>
      </c>
      <c r="BJ54" s="39"/>
      <c r="BK54" s="38">
        <f>COUNTIFS(DataRegularSeason20242025!$D$2:$D$1315,BK$1,DataRegularSeason20242025!$E$2:$E$1315,$A53,DataRegularSeason20242025!$N$2:$N$1315,1)</f>
        <v>0</v>
      </c>
      <c r="BL54" s="39"/>
      <c r="BM54" s="38">
        <f>COUNTIFS(DataRegularSeason20242025!$D$2:$D$1315,BM$1,DataRegularSeason20242025!$E$2:$E$1315,$A53,DataRegularSeason20242025!$N$2:$N$1315,1)</f>
        <v>0</v>
      </c>
      <c r="BN54" s="39"/>
      <c r="BO54" s="34">
        <f t="shared" si="0"/>
        <v>4</v>
      </c>
      <c r="BP54" s="165"/>
      <c r="BQ54" s="166"/>
    </row>
    <row r="55" spans="1:69" ht="12" customHeight="1" x14ac:dyDescent="0.25">
      <c r="A55" s="172" t="s">
        <v>30</v>
      </c>
      <c r="B55" s="28" t="s">
        <v>74</v>
      </c>
      <c r="C55" s="35"/>
      <c r="D55" s="28">
        <f>COUNTIFS(DataRegularSeason20242025!$E$2:$E$1315,C$1,DataRegularSeason20242025!$D$2:$D$1315,$A55,DataRegularSeason20242025!$N$2:$N$1315,1)</f>
        <v>0</v>
      </c>
      <c r="E55" s="35"/>
      <c r="F55" s="28">
        <f>COUNTIFS(DataRegularSeason20242025!$E$2:$E$1315,E$1,DataRegularSeason20242025!$D$2:$D$1315,$A55,DataRegularSeason20242025!$N$2:$N$1315,1)</f>
        <v>0</v>
      </c>
      <c r="G55" s="35"/>
      <c r="H55" s="28">
        <f>COUNTIFS(DataRegularSeason20242025!$E$2:$E$1315,G$1,DataRegularSeason20242025!$D$2:$D$1315,$A55,DataRegularSeason20242025!$N$2:$N$1315,1)</f>
        <v>0</v>
      </c>
      <c r="I55" s="35"/>
      <c r="J55" s="28">
        <f>COUNTIFS(DataRegularSeason20242025!$E$2:$E$1315,I$1,DataRegularSeason20242025!$D$2:$D$1315,$A55,DataRegularSeason20242025!$N$2:$N$1315,1)</f>
        <v>0</v>
      </c>
      <c r="K55" s="35"/>
      <c r="L55" s="28">
        <f>COUNTIFS(DataRegularSeason20242025!$E$2:$E$1315,K$1,DataRegularSeason20242025!$D$2:$D$1315,$A55,DataRegularSeason20242025!$N$2:$N$1315,1)</f>
        <v>0</v>
      </c>
      <c r="M55" s="35"/>
      <c r="N55" s="28">
        <f>COUNTIFS(DataRegularSeason20242025!$E$2:$E$1315,M$1,DataRegularSeason20242025!$D$2:$D$1315,$A55,DataRegularSeason20242025!$N$2:$N$1315,1)</f>
        <v>0</v>
      </c>
      <c r="O55" s="35"/>
      <c r="P55" s="28">
        <f>COUNTIFS(DataRegularSeason20242025!$E$2:$E$1315,O$1,DataRegularSeason20242025!$D$2:$D$1315,$A55,DataRegularSeason20242025!$N$2:$N$1315,1)</f>
        <v>0</v>
      </c>
      <c r="Q55" s="35"/>
      <c r="R55" s="46">
        <f>COUNTIFS(DataRegularSeason20242025!$E$2:$E$1315,Q$1,DataRegularSeason20242025!$D$2:$D$1315,$A55,DataRegularSeason20242025!$N$2:$N$1315,1)</f>
        <v>0</v>
      </c>
      <c r="S55" s="35"/>
      <c r="T55" s="28">
        <f>COUNTIFS(DataRegularSeason20242025!$E$2:$E$1315,S$1,DataRegularSeason20242025!$D$2:$D$1315,$A55,DataRegularSeason20242025!$N$2:$N$1315,1)</f>
        <v>0</v>
      </c>
      <c r="U55" s="35"/>
      <c r="V55" s="28">
        <f>COUNTIFS(DataRegularSeason20242025!$E$2:$E$1315,U$1,DataRegularSeason20242025!$D$2:$D$1315,$A55,DataRegularSeason20242025!$N$2:$N$1315,1)</f>
        <v>0</v>
      </c>
      <c r="W55" s="35"/>
      <c r="X55" s="28">
        <f>COUNTIFS(DataRegularSeason20242025!$E$2:$E$1315,W$1,DataRegularSeason20242025!$D$2:$D$1315,$A55,DataRegularSeason20242025!$N$2:$N$1315,1)</f>
        <v>0</v>
      </c>
      <c r="Y55" s="35"/>
      <c r="Z55" s="28">
        <f>COUNTIFS(DataRegularSeason20242025!$E$2:$E$1315,Y$1,DataRegularSeason20242025!$D$2:$D$1315,$A55,DataRegularSeason20242025!$N$2:$N$1315,1)</f>
        <v>0</v>
      </c>
      <c r="AA55" s="35"/>
      <c r="AB55" s="28">
        <f>COUNTIFS(DataRegularSeason20242025!$E$2:$E$1315,AA$1,DataRegularSeason20242025!$D$2:$D$1315,$A55,DataRegularSeason20242025!$N$2:$N$1315,1)</f>
        <v>0</v>
      </c>
      <c r="AC55" s="35"/>
      <c r="AD55" s="28">
        <f>COUNTIFS(DataRegularSeason20242025!$E$2:$E$1315,AC$1,DataRegularSeason20242025!$D$2:$D$1315,$A55,DataRegularSeason20242025!$N$2:$N$1315,1)</f>
        <v>0</v>
      </c>
      <c r="AE55" s="35"/>
      <c r="AF55" s="28">
        <f>COUNTIFS(DataRegularSeason20242025!$E$2:$E$1315,AE$1,DataRegularSeason20242025!$D$2:$D$1315,$A55,DataRegularSeason20242025!$N$2:$N$1315,1)</f>
        <v>0</v>
      </c>
      <c r="AG55" s="35"/>
      <c r="AH55" s="46">
        <f>COUNTIFS(DataRegularSeason20242025!$E$2:$E$1315,AG$1,DataRegularSeason20242025!$D$2:$D$1315,$A55,DataRegularSeason20242025!$N$2:$N$1315,1)</f>
        <v>0</v>
      </c>
      <c r="AI55" s="35"/>
      <c r="AJ55" s="28">
        <f>COUNTIFS(DataRegularSeason20242025!$E$2:$E$1315,AI$1,DataRegularSeason20242025!$D$2:$D$1315,$A55,DataRegularSeason20242025!$N$2:$N$1315,1)</f>
        <v>0</v>
      </c>
      <c r="AK55" s="35"/>
      <c r="AL55" s="28">
        <f>COUNTIFS(DataRegularSeason20242025!$E$2:$E$1315,AK$1,DataRegularSeason20242025!$D$2:$D$1315,$A55,DataRegularSeason20242025!$N$2:$N$1315,1)</f>
        <v>0</v>
      </c>
      <c r="AM55" s="35"/>
      <c r="AN55" s="28">
        <f>COUNTIFS(DataRegularSeason20242025!$E$2:$E$1315,AM$1,DataRegularSeason20242025!$D$2:$D$1315,$A55,DataRegularSeason20242025!$N$2:$N$1315,1)</f>
        <v>0</v>
      </c>
      <c r="AO55" s="35"/>
      <c r="AP55" s="28">
        <f>COUNTIFS(DataRegularSeason20242025!$E$2:$E$1315,AO$1,DataRegularSeason20242025!$D$2:$D$1315,$A55,DataRegularSeason20242025!$N$2:$N$1315,1)</f>
        <v>0</v>
      </c>
      <c r="AQ55" s="35"/>
      <c r="AR55" s="28">
        <f>COUNTIFS(DataRegularSeason20242025!$E$2:$E$1315,AQ$1,DataRegularSeason20242025!$D$2:$D$1315,$A55,DataRegularSeason20242025!$N$2:$N$1315,1)</f>
        <v>0</v>
      </c>
      <c r="AS55" s="35"/>
      <c r="AT55" s="28">
        <f>COUNTIFS(DataRegularSeason20242025!$E$2:$E$1315,AS$1,DataRegularSeason20242025!$D$2:$D$1315,$A55,DataRegularSeason20242025!$N$2:$N$1315,1)</f>
        <v>0</v>
      </c>
      <c r="AU55" s="35"/>
      <c r="AV55" s="28">
        <f>COUNTIFS(DataRegularSeason20242025!$E$2:$E$1315,AU$1,DataRegularSeason20242025!$D$2:$D$1315,$A55,DataRegularSeason20242025!$N$2:$N$1315,1)</f>
        <v>0</v>
      </c>
      <c r="AW55" s="35"/>
      <c r="AX55" s="46">
        <f>COUNTIFS(DataRegularSeason20242025!$E$2:$E$1315,AW$1,DataRegularSeason20242025!$D$2:$D$1315,$A55,DataRegularSeason20242025!$N$2:$N$1315,1)</f>
        <v>0</v>
      </c>
      <c r="AY55" s="35"/>
      <c r="AZ55" s="28">
        <f>COUNTIFS(DataRegularSeason20242025!$E$2:$E$1315,AY$1,DataRegularSeason20242025!$D$2:$D$1315,$A55,DataRegularSeason20242025!$N$2:$N$1315,1)</f>
        <v>0</v>
      </c>
      <c r="BA55" s="35"/>
      <c r="BB55" s="28">
        <f>COUNTIFS(DataRegularSeason20242025!$E$2:$E$1315,BA$1,DataRegularSeason20242025!$D$2:$D$1315,$A55,DataRegularSeason20242025!$N$2:$N$1315,1)</f>
        <v>0</v>
      </c>
      <c r="BC55" s="35"/>
      <c r="BD55" s="36"/>
      <c r="BE55" s="35"/>
      <c r="BF55" s="28">
        <f>COUNTIFS(DataRegularSeason20242025!$E$2:$E$1315,BE$1,DataRegularSeason20242025!$D$2:$D$1315,$A55,DataRegularSeason20242025!$N$2:$N$1315,1)</f>
        <v>0</v>
      </c>
      <c r="BG55" s="35"/>
      <c r="BH55" s="28">
        <f>COUNTIFS(DataRegularSeason20242025!$E$2:$E$1315,BG$1,DataRegularSeason20242025!$D$2:$D$1315,$A55,DataRegularSeason20242025!$N$2:$N$1315,1)</f>
        <v>0</v>
      </c>
      <c r="BI55" s="35"/>
      <c r="BJ55" s="28">
        <f>COUNTIFS(DataRegularSeason20242025!$E$2:$E$1315,BI$1,DataRegularSeason20242025!$D$2:$D$1315,$A55,DataRegularSeason20242025!$N$2:$N$1315,1)</f>
        <v>0</v>
      </c>
      <c r="BK55" s="35"/>
      <c r="BL55" s="28">
        <f>COUNTIFS(DataRegularSeason20242025!$E$2:$E$1315,BK$1,DataRegularSeason20242025!$D$2:$D$1315,$A55,DataRegularSeason20242025!$N$2:$N$1315,1)</f>
        <v>0</v>
      </c>
      <c r="BM55" s="35"/>
      <c r="BN55" s="28">
        <f>COUNTIFS(DataRegularSeason20242025!$E$2:$E$1315,BM$1,DataRegularSeason20242025!$D$2:$D$1315,$A55,DataRegularSeason20242025!$N$2:$N$1315,1)</f>
        <v>1</v>
      </c>
      <c r="BO55" s="30">
        <f t="shared" si="0"/>
        <v>1</v>
      </c>
      <c r="BP55" s="165">
        <f t="shared" ref="BP55" si="51">BO55+BO56</f>
        <v>6</v>
      </c>
      <c r="BQ55" s="166">
        <f t="shared" ref="BQ55" si="52">82-BP55</f>
        <v>76</v>
      </c>
    </row>
    <row r="56" spans="1:69" ht="12" customHeight="1" x14ac:dyDescent="0.25">
      <c r="A56" s="167"/>
      <c r="B56" s="32" t="s">
        <v>73</v>
      </c>
      <c r="C56" s="38">
        <f>COUNTIFS(DataRegularSeason20242025!$D$2:$D$1315,C$1,DataRegularSeason20242025!$E$2:$E$1315,$A55,DataRegularSeason20242025!$N$2:$N$1315,1)</f>
        <v>0</v>
      </c>
      <c r="D56" s="39"/>
      <c r="E56" s="38">
        <f>COUNTIFS(DataRegularSeason20242025!$D$2:$D$1315,E$1,DataRegularSeason20242025!$E$2:$E$1315,$A55,DataRegularSeason20242025!$N$2:$N$1315,1)</f>
        <v>0</v>
      </c>
      <c r="F56" s="39"/>
      <c r="G56" s="38">
        <f>COUNTIFS(DataRegularSeason20242025!$D$2:$D$1315,G$1,DataRegularSeason20242025!$E$2:$E$1315,$A55,DataRegularSeason20242025!$N$2:$N$1315,1)</f>
        <v>1</v>
      </c>
      <c r="H56" s="39"/>
      <c r="I56" s="38">
        <f>COUNTIFS(DataRegularSeason20242025!$D$2:$D$1315,I$1,DataRegularSeason20242025!$E$2:$E$1315,$A55,DataRegularSeason20242025!$N$2:$N$1315,1)</f>
        <v>0</v>
      </c>
      <c r="J56" s="39"/>
      <c r="K56" s="38">
        <f>COUNTIFS(DataRegularSeason20242025!$D$2:$D$1315,K$1,DataRegularSeason20242025!$E$2:$E$1315,$A55,DataRegularSeason20242025!$N$2:$N$1315,1)</f>
        <v>0</v>
      </c>
      <c r="L56" s="39"/>
      <c r="M56" s="38">
        <f>COUNTIFS(DataRegularSeason20242025!$D$2:$D$1315,M$1,DataRegularSeason20242025!$E$2:$E$1315,$A55,DataRegularSeason20242025!$N$2:$N$1315,1)</f>
        <v>0</v>
      </c>
      <c r="N56" s="39"/>
      <c r="O56" s="38">
        <f>COUNTIFS(DataRegularSeason20242025!$D$2:$D$1315,O$1,DataRegularSeason20242025!$E$2:$E$1315,$A55,DataRegularSeason20242025!$N$2:$N$1315,1)</f>
        <v>0</v>
      </c>
      <c r="P56" s="39"/>
      <c r="Q56" s="38">
        <f>COUNTIFS(DataRegularSeason20242025!$D$2:$D$1315,Q$1,DataRegularSeason20242025!$E$2:$E$1315,$A55,DataRegularSeason20242025!$N$2:$N$1315,1)</f>
        <v>0</v>
      </c>
      <c r="R56" s="47"/>
      <c r="S56" s="38">
        <f>COUNTIFS(DataRegularSeason20242025!$D$2:$D$1315,S$1,DataRegularSeason20242025!$E$2:$E$1315,$A55,DataRegularSeason20242025!$N$2:$N$1315,1)</f>
        <v>0</v>
      </c>
      <c r="T56" s="39"/>
      <c r="U56" s="38">
        <f>COUNTIFS(DataRegularSeason20242025!$D$2:$D$1315,U$1,DataRegularSeason20242025!$E$2:$E$1315,$A55,DataRegularSeason20242025!$N$2:$N$1315,1)</f>
        <v>0</v>
      </c>
      <c r="V56" s="39"/>
      <c r="W56" s="38">
        <f>COUNTIFS(DataRegularSeason20242025!$D$2:$D$1315,W$1,DataRegularSeason20242025!$E$2:$E$1315,$A55,DataRegularSeason20242025!$N$2:$N$1315,1)</f>
        <v>0</v>
      </c>
      <c r="X56" s="39"/>
      <c r="Y56" s="38">
        <f>COUNTIFS(DataRegularSeason20242025!$D$2:$D$1315,Y$1,DataRegularSeason20242025!$E$2:$E$1315,$A55,DataRegularSeason20242025!$N$2:$N$1315,1)</f>
        <v>0</v>
      </c>
      <c r="Z56" s="39"/>
      <c r="AA56" s="38">
        <f>COUNTIFS(DataRegularSeason20242025!$D$2:$D$1315,AA$1,DataRegularSeason20242025!$E$2:$E$1315,$A55,DataRegularSeason20242025!$N$2:$N$1315,1)</f>
        <v>0</v>
      </c>
      <c r="AB56" s="39"/>
      <c r="AC56" s="38">
        <f>COUNTIFS(DataRegularSeason20242025!$D$2:$D$1315,AC$1,DataRegularSeason20242025!$E$2:$E$1315,$A55,DataRegularSeason20242025!$N$2:$N$1315,1)</f>
        <v>0</v>
      </c>
      <c r="AD56" s="39"/>
      <c r="AE56" s="38">
        <f>COUNTIFS(DataRegularSeason20242025!$D$2:$D$1315,AE$1,DataRegularSeason20242025!$E$2:$E$1315,$A55,DataRegularSeason20242025!$N$2:$N$1315,1)</f>
        <v>0</v>
      </c>
      <c r="AF56" s="39"/>
      <c r="AG56" s="38">
        <f>COUNTIFS(DataRegularSeason20242025!$D$2:$D$1315,AG$1,DataRegularSeason20242025!$E$2:$E$1315,$A55,DataRegularSeason20242025!$N$2:$N$1315,1)</f>
        <v>0</v>
      </c>
      <c r="AH56" s="47"/>
      <c r="AI56" s="38">
        <f>COUNTIFS(DataRegularSeason20242025!$D$2:$D$1315,AI$1,DataRegularSeason20242025!$E$2:$E$1315,$A55,DataRegularSeason20242025!$N$2:$N$1315,1)</f>
        <v>0</v>
      </c>
      <c r="AJ56" s="39"/>
      <c r="AK56" s="38">
        <f>COUNTIFS(DataRegularSeason20242025!$D$2:$D$1315,AK$1,DataRegularSeason20242025!$E$2:$E$1315,$A55,DataRegularSeason20242025!$N$2:$N$1315,1)</f>
        <v>0</v>
      </c>
      <c r="AL56" s="39"/>
      <c r="AM56" s="38">
        <f>COUNTIFS(DataRegularSeason20242025!$D$2:$D$1315,AM$1,DataRegularSeason20242025!$E$2:$E$1315,$A55,DataRegularSeason20242025!$N$2:$N$1315,1)</f>
        <v>0</v>
      </c>
      <c r="AN56" s="39"/>
      <c r="AO56" s="38">
        <f>COUNTIFS(DataRegularSeason20242025!$D$2:$D$1315,AO$1,DataRegularSeason20242025!$E$2:$E$1315,$A55,DataRegularSeason20242025!$N$2:$N$1315,1)</f>
        <v>0</v>
      </c>
      <c r="AP56" s="39"/>
      <c r="AQ56" s="38">
        <f>COUNTIFS(DataRegularSeason20242025!$D$2:$D$1315,AQ$1,DataRegularSeason20242025!$E$2:$E$1315,$A55,DataRegularSeason20242025!$N$2:$N$1315,1)</f>
        <v>0</v>
      </c>
      <c r="AR56" s="39"/>
      <c r="AS56" s="38">
        <f>COUNTIFS(DataRegularSeason20242025!$D$2:$D$1315,AS$1,DataRegularSeason20242025!$E$2:$E$1315,$A55,DataRegularSeason20242025!$N$2:$N$1315,1)</f>
        <v>0</v>
      </c>
      <c r="AT56" s="39"/>
      <c r="AU56" s="38">
        <f>COUNTIFS(DataRegularSeason20242025!$D$2:$D$1315,AU$1,DataRegularSeason20242025!$E$2:$E$1315,$A55,DataRegularSeason20242025!$N$2:$N$1315,1)</f>
        <v>0</v>
      </c>
      <c r="AV56" s="39"/>
      <c r="AW56" s="38">
        <f>COUNTIFS(DataRegularSeason20242025!$D$2:$D$1315,AW$1,DataRegularSeason20242025!$E$2:$E$1315,$A55,DataRegularSeason20242025!$N$2:$N$1315,1)</f>
        <v>0</v>
      </c>
      <c r="AX56" s="47"/>
      <c r="AY56" s="38">
        <f>COUNTIFS(DataRegularSeason20242025!$D$2:$D$1315,AY$1,DataRegularSeason20242025!$E$2:$E$1315,$A55,DataRegularSeason20242025!$N$2:$N$1315,1)</f>
        <v>0</v>
      </c>
      <c r="AZ56" s="39"/>
      <c r="BA56" s="38">
        <f>COUNTIFS(DataRegularSeason20242025!$D$2:$D$1315,BA$1,DataRegularSeason20242025!$E$2:$E$1315,$A55,DataRegularSeason20242025!$N$2:$N$1315,1)</f>
        <v>0</v>
      </c>
      <c r="BB56" s="39"/>
      <c r="BC56" s="38"/>
      <c r="BD56" s="39"/>
      <c r="BE56" s="38">
        <f>COUNTIFS(DataRegularSeason20242025!$D$2:$D$1315,BE$1,DataRegularSeason20242025!$E$2:$E$1315,$A55,DataRegularSeason20242025!$N$2:$N$1315,1)</f>
        <v>1</v>
      </c>
      <c r="BF56" s="39"/>
      <c r="BG56" s="38">
        <f>COUNTIFS(DataRegularSeason20242025!$D$2:$D$1315,BG$1,DataRegularSeason20242025!$E$2:$E$1315,$A55,DataRegularSeason20242025!$N$2:$N$1315,1)</f>
        <v>1</v>
      </c>
      <c r="BH56" s="39"/>
      <c r="BI56" s="38">
        <f>COUNTIFS(DataRegularSeason20242025!$D$2:$D$1315,BI$1,DataRegularSeason20242025!$E$2:$E$1315,$A55,DataRegularSeason20242025!$N$2:$N$1315,1)</f>
        <v>0</v>
      </c>
      <c r="BJ56" s="39"/>
      <c r="BK56" s="38">
        <f>COUNTIFS(DataRegularSeason20242025!$D$2:$D$1315,BK$1,DataRegularSeason20242025!$E$2:$E$1315,$A55,DataRegularSeason20242025!$N$2:$N$1315,1)</f>
        <v>1</v>
      </c>
      <c r="BL56" s="39"/>
      <c r="BM56" s="38">
        <f>COUNTIFS(DataRegularSeason20242025!$D$2:$D$1315,BM$1,DataRegularSeason20242025!$E$2:$E$1315,$A55,DataRegularSeason20242025!$N$2:$N$1315,1)</f>
        <v>1</v>
      </c>
      <c r="BN56" s="39"/>
      <c r="BO56" s="34">
        <f t="shared" si="0"/>
        <v>5</v>
      </c>
      <c r="BP56" s="165"/>
      <c r="BQ56" s="166"/>
    </row>
    <row r="57" spans="1:69" ht="12" customHeight="1" x14ac:dyDescent="0.25">
      <c r="A57" s="172" t="s">
        <v>13</v>
      </c>
      <c r="B57" s="28" t="s">
        <v>74</v>
      </c>
      <c r="C57" s="35"/>
      <c r="D57" s="28">
        <f>COUNTIFS(DataRegularSeason20242025!$E$2:$E$1315,C$1,DataRegularSeason20242025!$D$2:$D$1315,$A57,DataRegularSeason20242025!$N$2:$N$1315,1)</f>
        <v>0</v>
      </c>
      <c r="E57" s="35"/>
      <c r="F57" s="28">
        <f>COUNTIFS(DataRegularSeason20242025!$E$2:$E$1315,E$1,DataRegularSeason20242025!$D$2:$D$1315,$A57,DataRegularSeason20242025!$N$2:$N$1315,1)</f>
        <v>0</v>
      </c>
      <c r="G57" s="35"/>
      <c r="H57" s="28">
        <f>COUNTIFS(DataRegularSeason20242025!$E$2:$E$1315,G$1,DataRegularSeason20242025!$D$2:$D$1315,$A57,DataRegularSeason20242025!$N$2:$N$1315,1)</f>
        <v>0</v>
      </c>
      <c r="I57" s="35"/>
      <c r="J57" s="28">
        <f>COUNTIFS(DataRegularSeason20242025!$E$2:$E$1315,I$1,DataRegularSeason20242025!$D$2:$D$1315,$A57,DataRegularSeason20242025!$N$2:$N$1315,1)</f>
        <v>0</v>
      </c>
      <c r="K57" s="35"/>
      <c r="L57" s="28">
        <f>COUNTIFS(DataRegularSeason20242025!$E$2:$E$1315,K$1,DataRegularSeason20242025!$D$2:$D$1315,$A57,DataRegularSeason20242025!$N$2:$N$1315,1)</f>
        <v>0</v>
      </c>
      <c r="M57" s="35"/>
      <c r="N57" s="28">
        <f>COUNTIFS(DataRegularSeason20242025!$E$2:$E$1315,M$1,DataRegularSeason20242025!$D$2:$D$1315,$A57,DataRegularSeason20242025!$N$2:$N$1315,1)</f>
        <v>0</v>
      </c>
      <c r="O57" s="35"/>
      <c r="P57" s="28">
        <f>COUNTIFS(DataRegularSeason20242025!$E$2:$E$1315,O$1,DataRegularSeason20242025!$D$2:$D$1315,$A57,DataRegularSeason20242025!$N$2:$N$1315,1)</f>
        <v>0</v>
      </c>
      <c r="Q57" s="35"/>
      <c r="R57" s="46">
        <f>COUNTIFS(DataRegularSeason20242025!$E$2:$E$1315,Q$1,DataRegularSeason20242025!$D$2:$D$1315,$A57,DataRegularSeason20242025!$N$2:$N$1315,1)</f>
        <v>0</v>
      </c>
      <c r="S57" s="35"/>
      <c r="T57" s="28">
        <f>COUNTIFS(DataRegularSeason20242025!$E$2:$E$1315,S$1,DataRegularSeason20242025!$D$2:$D$1315,$A57,DataRegularSeason20242025!$N$2:$N$1315,1)</f>
        <v>0</v>
      </c>
      <c r="U57" s="35"/>
      <c r="V57" s="28">
        <f>COUNTIFS(DataRegularSeason20242025!$E$2:$E$1315,U$1,DataRegularSeason20242025!$D$2:$D$1315,$A57,DataRegularSeason20242025!$N$2:$N$1315,1)</f>
        <v>0</v>
      </c>
      <c r="W57" s="35"/>
      <c r="X57" s="28">
        <f>COUNTIFS(DataRegularSeason20242025!$E$2:$E$1315,W$1,DataRegularSeason20242025!$D$2:$D$1315,$A57,DataRegularSeason20242025!$N$2:$N$1315,1)</f>
        <v>0</v>
      </c>
      <c r="Y57" s="35"/>
      <c r="Z57" s="28">
        <f>COUNTIFS(DataRegularSeason20242025!$E$2:$E$1315,Y$1,DataRegularSeason20242025!$D$2:$D$1315,$A57,DataRegularSeason20242025!$N$2:$N$1315,1)</f>
        <v>0</v>
      </c>
      <c r="AA57" s="35"/>
      <c r="AB57" s="28">
        <f>COUNTIFS(DataRegularSeason20242025!$E$2:$E$1315,AA$1,DataRegularSeason20242025!$D$2:$D$1315,$A57,DataRegularSeason20242025!$N$2:$N$1315,1)</f>
        <v>0</v>
      </c>
      <c r="AC57" s="35"/>
      <c r="AD57" s="28">
        <f>COUNTIFS(DataRegularSeason20242025!$E$2:$E$1315,AC$1,DataRegularSeason20242025!$D$2:$D$1315,$A57,DataRegularSeason20242025!$N$2:$N$1315,1)</f>
        <v>0</v>
      </c>
      <c r="AE57" s="35"/>
      <c r="AF57" s="28">
        <f>COUNTIFS(DataRegularSeason20242025!$E$2:$E$1315,AE$1,DataRegularSeason20242025!$D$2:$D$1315,$A57,DataRegularSeason20242025!$N$2:$N$1315,1)</f>
        <v>0</v>
      </c>
      <c r="AG57" s="35"/>
      <c r="AH57" s="46">
        <f>COUNTIFS(DataRegularSeason20242025!$E$2:$E$1315,AG$1,DataRegularSeason20242025!$D$2:$D$1315,$A57,DataRegularSeason20242025!$N$2:$N$1315,1)</f>
        <v>0</v>
      </c>
      <c r="AI57" s="35"/>
      <c r="AJ57" s="28">
        <f>COUNTIFS(DataRegularSeason20242025!$E$2:$E$1315,AI$1,DataRegularSeason20242025!$D$2:$D$1315,$A57,DataRegularSeason20242025!$N$2:$N$1315,1)</f>
        <v>0</v>
      </c>
      <c r="AK57" s="35"/>
      <c r="AL57" s="28">
        <f>COUNTIFS(DataRegularSeason20242025!$E$2:$E$1315,AK$1,DataRegularSeason20242025!$D$2:$D$1315,$A57,DataRegularSeason20242025!$N$2:$N$1315,1)</f>
        <v>0</v>
      </c>
      <c r="AM57" s="35"/>
      <c r="AN57" s="28">
        <f>COUNTIFS(DataRegularSeason20242025!$E$2:$E$1315,AM$1,DataRegularSeason20242025!$D$2:$D$1315,$A57,DataRegularSeason20242025!$N$2:$N$1315,1)</f>
        <v>1</v>
      </c>
      <c r="AO57" s="35"/>
      <c r="AP57" s="28">
        <f>COUNTIFS(DataRegularSeason20242025!$E$2:$E$1315,AO$1,DataRegularSeason20242025!$D$2:$D$1315,$A57,DataRegularSeason20242025!$N$2:$N$1315,1)</f>
        <v>0</v>
      </c>
      <c r="AQ57" s="35"/>
      <c r="AR57" s="28">
        <f>COUNTIFS(DataRegularSeason20242025!$E$2:$E$1315,AQ$1,DataRegularSeason20242025!$D$2:$D$1315,$A57,DataRegularSeason20242025!$N$2:$N$1315,1)</f>
        <v>0</v>
      </c>
      <c r="AS57" s="35"/>
      <c r="AT57" s="28">
        <f>COUNTIFS(DataRegularSeason20242025!$E$2:$E$1315,AS$1,DataRegularSeason20242025!$D$2:$D$1315,$A57,DataRegularSeason20242025!$N$2:$N$1315,1)</f>
        <v>1</v>
      </c>
      <c r="AU57" s="35"/>
      <c r="AV57" s="28">
        <f>COUNTIFS(DataRegularSeason20242025!$E$2:$E$1315,AU$1,DataRegularSeason20242025!$D$2:$D$1315,$A57,DataRegularSeason20242025!$N$2:$N$1315,1)</f>
        <v>0</v>
      </c>
      <c r="AW57" s="35"/>
      <c r="AX57" s="46">
        <f>COUNTIFS(DataRegularSeason20242025!$E$2:$E$1315,AW$1,DataRegularSeason20242025!$D$2:$D$1315,$A57,DataRegularSeason20242025!$N$2:$N$1315,1)</f>
        <v>0</v>
      </c>
      <c r="AY57" s="35"/>
      <c r="AZ57" s="28">
        <f>COUNTIFS(DataRegularSeason20242025!$E$2:$E$1315,AY$1,DataRegularSeason20242025!$D$2:$D$1315,$A57,DataRegularSeason20242025!$N$2:$N$1315,1)</f>
        <v>1</v>
      </c>
      <c r="BA57" s="35"/>
      <c r="BB57" s="28">
        <f>COUNTIFS(DataRegularSeason20242025!$E$2:$E$1315,BA$1,DataRegularSeason20242025!$D$2:$D$1315,$A57,DataRegularSeason20242025!$N$2:$N$1315,1)</f>
        <v>1</v>
      </c>
      <c r="BC57" s="35"/>
      <c r="BD57" s="28">
        <f>COUNTIFS(DataRegularSeason20242025!$E$2:$E$1315,BC$1,DataRegularSeason20242025!$D$2:$D$1315,$A57,DataRegularSeason20242025!$N$2:$N$1315,1)</f>
        <v>1</v>
      </c>
      <c r="BE57" s="35"/>
      <c r="BF57" s="36"/>
      <c r="BG57" s="35"/>
      <c r="BH57" s="28">
        <f>COUNTIFS(DataRegularSeason20242025!$E$2:$E$1315,BG$1,DataRegularSeason20242025!$D$2:$D$1315,$A57,DataRegularSeason20242025!$N$2:$N$1315,1)</f>
        <v>0</v>
      </c>
      <c r="BI57" s="35"/>
      <c r="BJ57" s="28">
        <f>COUNTIFS(DataRegularSeason20242025!$E$2:$E$1315,BI$1,DataRegularSeason20242025!$D$2:$D$1315,$A57,DataRegularSeason20242025!$N$2:$N$1315,1)</f>
        <v>0</v>
      </c>
      <c r="BK57" s="35"/>
      <c r="BL57" s="28">
        <f>COUNTIFS(DataRegularSeason20242025!$E$2:$E$1315,BK$1,DataRegularSeason20242025!$D$2:$D$1315,$A57,DataRegularSeason20242025!$N$2:$N$1315,1)</f>
        <v>0</v>
      </c>
      <c r="BM57" s="35"/>
      <c r="BN57" s="28">
        <f>COUNTIFS(DataRegularSeason20242025!$E$2:$E$1315,BM$1,DataRegularSeason20242025!$D$2:$D$1315,$A57,DataRegularSeason20242025!$N$2:$N$1315,1)</f>
        <v>0</v>
      </c>
      <c r="BO57" s="30">
        <f t="shared" si="0"/>
        <v>5</v>
      </c>
      <c r="BP57" s="165">
        <f t="shared" ref="BP57" si="53">BO57+BO58</f>
        <v>8</v>
      </c>
      <c r="BQ57" s="166">
        <f t="shared" ref="BQ57" si="54">82-BP57</f>
        <v>74</v>
      </c>
    </row>
    <row r="58" spans="1:69" ht="12" customHeight="1" x14ac:dyDescent="0.25">
      <c r="A58" s="167"/>
      <c r="B58" s="32" t="s">
        <v>73</v>
      </c>
      <c r="C58" s="38">
        <f>COUNTIFS(DataRegularSeason20242025!$D$2:$D$1315,C$1,DataRegularSeason20242025!$E$2:$E$1315,$A57,DataRegularSeason20242025!$N$2:$N$1315,1)</f>
        <v>0</v>
      </c>
      <c r="D58" s="39"/>
      <c r="E58" s="38">
        <f>COUNTIFS(DataRegularSeason20242025!$D$2:$D$1315,E$1,DataRegularSeason20242025!$E$2:$E$1315,$A57,DataRegularSeason20242025!$N$2:$N$1315,1)</f>
        <v>0</v>
      </c>
      <c r="F58" s="39"/>
      <c r="G58" s="38">
        <f>COUNTIFS(DataRegularSeason20242025!$D$2:$D$1315,G$1,DataRegularSeason20242025!$E$2:$E$1315,$A57,DataRegularSeason20242025!$N$2:$N$1315,1)</f>
        <v>0</v>
      </c>
      <c r="H58" s="39"/>
      <c r="I58" s="38">
        <f>COUNTIFS(DataRegularSeason20242025!$D$2:$D$1315,I$1,DataRegularSeason20242025!$E$2:$E$1315,$A57,DataRegularSeason20242025!$N$2:$N$1315,1)</f>
        <v>0</v>
      </c>
      <c r="J58" s="39"/>
      <c r="K58" s="38">
        <f>COUNTIFS(DataRegularSeason20242025!$D$2:$D$1315,K$1,DataRegularSeason20242025!$E$2:$E$1315,$A57,DataRegularSeason20242025!$N$2:$N$1315,1)</f>
        <v>0</v>
      </c>
      <c r="L58" s="39"/>
      <c r="M58" s="38">
        <f>COUNTIFS(DataRegularSeason20242025!$D$2:$D$1315,M$1,DataRegularSeason20242025!$E$2:$E$1315,$A57,DataRegularSeason20242025!$N$2:$N$1315,1)</f>
        <v>0</v>
      </c>
      <c r="N58" s="39"/>
      <c r="O58" s="38">
        <f>COUNTIFS(DataRegularSeason20242025!$D$2:$D$1315,O$1,DataRegularSeason20242025!$E$2:$E$1315,$A57,DataRegularSeason20242025!$N$2:$N$1315,1)</f>
        <v>0</v>
      </c>
      <c r="P58" s="39"/>
      <c r="Q58" s="38">
        <f>COUNTIFS(DataRegularSeason20242025!$D$2:$D$1315,Q$1,DataRegularSeason20242025!$E$2:$E$1315,$A57,DataRegularSeason20242025!$N$2:$N$1315,1)</f>
        <v>0</v>
      </c>
      <c r="R58" s="47"/>
      <c r="S58" s="38">
        <f>COUNTIFS(DataRegularSeason20242025!$D$2:$D$1315,S$1,DataRegularSeason20242025!$E$2:$E$1315,$A57,DataRegularSeason20242025!$N$2:$N$1315,1)</f>
        <v>1</v>
      </c>
      <c r="T58" s="39"/>
      <c r="U58" s="38">
        <f>COUNTIFS(DataRegularSeason20242025!$D$2:$D$1315,U$1,DataRegularSeason20242025!$E$2:$E$1315,$A57,DataRegularSeason20242025!$N$2:$N$1315,1)</f>
        <v>0</v>
      </c>
      <c r="V58" s="39"/>
      <c r="W58" s="38">
        <f>COUNTIFS(DataRegularSeason20242025!$D$2:$D$1315,W$1,DataRegularSeason20242025!$E$2:$E$1315,$A57,DataRegularSeason20242025!$N$2:$N$1315,1)</f>
        <v>0</v>
      </c>
      <c r="X58" s="39"/>
      <c r="Y58" s="38">
        <f>COUNTIFS(DataRegularSeason20242025!$D$2:$D$1315,Y$1,DataRegularSeason20242025!$E$2:$E$1315,$A57,DataRegularSeason20242025!$N$2:$N$1315,1)</f>
        <v>0</v>
      </c>
      <c r="Z58" s="39"/>
      <c r="AA58" s="38">
        <f>COUNTIFS(DataRegularSeason20242025!$D$2:$D$1315,AA$1,DataRegularSeason20242025!$E$2:$E$1315,$A57,DataRegularSeason20242025!$N$2:$N$1315,1)</f>
        <v>0</v>
      </c>
      <c r="AB58" s="39"/>
      <c r="AC58" s="38">
        <f>COUNTIFS(DataRegularSeason20242025!$D$2:$D$1315,AC$1,DataRegularSeason20242025!$E$2:$E$1315,$A57,DataRegularSeason20242025!$N$2:$N$1315,1)</f>
        <v>0</v>
      </c>
      <c r="AD58" s="39"/>
      <c r="AE58" s="38">
        <f>COUNTIFS(DataRegularSeason20242025!$D$2:$D$1315,AE$1,DataRegularSeason20242025!$E$2:$E$1315,$A57,DataRegularSeason20242025!$N$2:$N$1315,1)</f>
        <v>0</v>
      </c>
      <c r="AF58" s="39"/>
      <c r="AG58" s="38">
        <f>COUNTIFS(DataRegularSeason20242025!$D$2:$D$1315,AG$1,DataRegularSeason20242025!$E$2:$E$1315,$A57,DataRegularSeason20242025!$N$2:$N$1315,1)</f>
        <v>0</v>
      </c>
      <c r="AH58" s="47"/>
      <c r="AI58" s="38">
        <f>COUNTIFS(DataRegularSeason20242025!$D$2:$D$1315,AI$1,DataRegularSeason20242025!$E$2:$E$1315,$A57,DataRegularSeason20242025!$N$2:$N$1315,1)</f>
        <v>0</v>
      </c>
      <c r="AJ58" s="39"/>
      <c r="AK58" s="38">
        <f>COUNTIFS(DataRegularSeason20242025!$D$2:$D$1315,AK$1,DataRegularSeason20242025!$E$2:$E$1315,$A57,DataRegularSeason20242025!$N$2:$N$1315,1)</f>
        <v>0</v>
      </c>
      <c r="AL58" s="39"/>
      <c r="AM58" s="38">
        <f>COUNTIFS(DataRegularSeason20242025!$D$2:$D$1315,AM$1,DataRegularSeason20242025!$E$2:$E$1315,$A57,DataRegularSeason20242025!$N$2:$N$1315,1)</f>
        <v>0</v>
      </c>
      <c r="AN58" s="39"/>
      <c r="AO58" s="38">
        <f>COUNTIFS(DataRegularSeason20242025!$D$2:$D$1315,AO$1,DataRegularSeason20242025!$E$2:$E$1315,$A57,DataRegularSeason20242025!$N$2:$N$1315,1)</f>
        <v>0</v>
      </c>
      <c r="AP58" s="39"/>
      <c r="AQ58" s="38">
        <f>COUNTIFS(DataRegularSeason20242025!$D$2:$D$1315,AQ$1,DataRegularSeason20242025!$E$2:$E$1315,$A57,DataRegularSeason20242025!$N$2:$N$1315,1)</f>
        <v>0</v>
      </c>
      <c r="AR58" s="39"/>
      <c r="AS58" s="38">
        <f>COUNTIFS(DataRegularSeason20242025!$D$2:$D$1315,AS$1,DataRegularSeason20242025!$E$2:$E$1315,$A57,DataRegularSeason20242025!$N$2:$N$1315,1)</f>
        <v>1</v>
      </c>
      <c r="AT58" s="39"/>
      <c r="AU58" s="38">
        <f>COUNTIFS(DataRegularSeason20242025!$D$2:$D$1315,AU$1,DataRegularSeason20242025!$E$2:$E$1315,$A57,DataRegularSeason20242025!$N$2:$N$1315,1)</f>
        <v>0</v>
      </c>
      <c r="AV58" s="39"/>
      <c r="AW58" s="38">
        <f>COUNTIFS(DataRegularSeason20242025!$D$2:$D$1315,AW$1,DataRegularSeason20242025!$E$2:$E$1315,$A57,DataRegularSeason20242025!$N$2:$N$1315,1)</f>
        <v>0</v>
      </c>
      <c r="AX58" s="47"/>
      <c r="AY58" s="38">
        <f>COUNTIFS(DataRegularSeason20242025!$D$2:$D$1315,AY$1,DataRegularSeason20242025!$E$2:$E$1315,$A57,DataRegularSeason20242025!$N$2:$N$1315,1)</f>
        <v>0</v>
      </c>
      <c r="AZ58" s="39"/>
      <c r="BA58" s="38">
        <f>COUNTIFS(DataRegularSeason20242025!$D$2:$D$1315,BA$1,DataRegularSeason20242025!$E$2:$E$1315,$A57,DataRegularSeason20242025!$N$2:$N$1315,1)</f>
        <v>0</v>
      </c>
      <c r="BB58" s="39"/>
      <c r="BC58" s="38">
        <f>COUNTIFS(DataRegularSeason20242025!$D$2:$D$1315,BC$1,DataRegularSeason20242025!$E$2:$E$1315,$A57,DataRegularSeason20242025!$N$2:$N$1315,1)</f>
        <v>0</v>
      </c>
      <c r="BD58" s="39"/>
      <c r="BE58" s="38"/>
      <c r="BF58" s="39"/>
      <c r="BG58" s="38">
        <f>COUNTIFS(DataRegularSeason20242025!$D$2:$D$1315,BG$1,DataRegularSeason20242025!$E$2:$E$1315,$A57,DataRegularSeason20242025!$N$2:$N$1315,1)</f>
        <v>0</v>
      </c>
      <c r="BH58" s="39"/>
      <c r="BI58" s="38">
        <f>COUNTIFS(DataRegularSeason20242025!$D$2:$D$1315,BI$1,DataRegularSeason20242025!$E$2:$E$1315,$A57,DataRegularSeason20242025!$N$2:$N$1315,1)</f>
        <v>1</v>
      </c>
      <c r="BJ58" s="39"/>
      <c r="BK58" s="38">
        <f>COUNTIFS(DataRegularSeason20242025!$D$2:$D$1315,BK$1,DataRegularSeason20242025!$E$2:$E$1315,$A57,DataRegularSeason20242025!$N$2:$N$1315,1)</f>
        <v>0</v>
      </c>
      <c r="BL58" s="39"/>
      <c r="BM58" s="38">
        <f>COUNTIFS(DataRegularSeason20242025!$D$2:$D$1315,BM$1,DataRegularSeason20242025!$E$2:$E$1315,$A57,DataRegularSeason20242025!$N$2:$N$1315,1)</f>
        <v>0</v>
      </c>
      <c r="BN58" s="39"/>
      <c r="BO58" s="34">
        <f t="shared" si="0"/>
        <v>3</v>
      </c>
      <c r="BP58" s="165"/>
      <c r="BQ58" s="166"/>
    </row>
    <row r="59" spans="1:69" ht="12" customHeight="1" x14ac:dyDescent="0.25">
      <c r="A59" s="172" t="s">
        <v>18</v>
      </c>
      <c r="B59" s="28" t="s">
        <v>74</v>
      </c>
      <c r="C59" s="35"/>
      <c r="D59" s="28">
        <f>COUNTIFS(DataRegularSeason20242025!$E$2:$E$1315,C$1,DataRegularSeason20242025!$D$2:$D$1315,$A59,DataRegularSeason20242025!$N$2:$N$1315,1)</f>
        <v>0</v>
      </c>
      <c r="E59" s="35"/>
      <c r="F59" s="28">
        <f>COUNTIFS(DataRegularSeason20242025!$E$2:$E$1315,E$1,DataRegularSeason20242025!$D$2:$D$1315,$A59,DataRegularSeason20242025!$N$2:$N$1315,1)</f>
        <v>0</v>
      </c>
      <c r="G59" s="35"/>
      <c r="H59" s="28">
        <f>COUNTIFS(DataRegularSeason20242025!$E$2:$E$1315,G$1,DataRegularSeason20242025!$D$2:$D$1315,$A59,DataRegularSeason20242025!$N$2:$N$1315,1)</f>
        <v>0</v>
      </c>
      <c r="I59" s="35"/>
      <c r="J59" s="28">
        <f>COUNTIFS(DataRegularSeason20242025!$E$2:$E$1315,I$1,DataRegularSeason20242025!$D$2:$D$1315,$A59,DataRegularSeason20242025!$N$2:$N$1315,1)</f>
        <v>0</v>
      </c>
      <c r="K59" s="35"/>
      <c r="L59" s="28">
        <f>COUNTIFS(DataRegularSeason20242025!$E$2:$E$1315,K$1,DataRegularSeason20242025!$D$2:$D$1315,$A59,DataRegularSeason20242025!$N$2:$N$1315,1)</f>
        <v>0</v>
      </c>
      <c r="M59" s="35"/>
      <c r="N59" s="28">
        <f>COUNTIFS(DataRegularSeason20242025!$E$2:$E$1315,M$1,DataRegularSeason20242025!$D$2:$D$1315,$A59,DataRegularSeason20242025!$N$2:$N$1315,1)</f>
        <v>0</v>
      </c>
      <c r="O59" s="35"/>
      <c r="P59" s="28">
        <f>COUNTIFS(DataRegularSeason20242025!$E$2:$E$1315,O$1,DataRegularSeason20242025!$D$2:$D$1315,$A59,DataRegularSeason20242025!$N$2:$N$1315,1)</f>
        <v>0</v>
      </c>
      <c r="Q59" s="35"/>
      <c r="R59" s="46">
        <f>COUNTIFS(DataRegularSeason20242025!$E$2:$E$1315,Q$1,DataRegularSeason20242025!$D$2:$D$1315,$A59,DataRegularSeason20242025!$N$2:$N$1315,1)</f>
        <v>0</v>
      </c>
      <c r="S59" s="35"/>
      <c r="T59" s="28">
        <f>COUNTIFS(DataRegularSeason20242025!$E$2:$E$1315,S$1,DataRegularSeason20242025!$D$2:$D$1315,$A59,DataRegularSeason20242025!$N$2:$N$1315,1)</f>
        <v>1</v>
      </c>
      <c r="U59" s="35"/>
      <c r="V59" s="28">
        <f>COUNTIFS(DataRegularSeason20242025!$E$2:$E$1315,U$1,DataRegularSeason20242025!$D$2:$D$1315,$A59,DataRegularSeason20242025!$N$2:$N$1315,1)</f>
        <v>0</v>
      </c>
      <c r="W59" s="35"/>
      <c r="X59" s="28">
        <f>COUNTIFS(DataRegularSeason20242025!$E$2:$E$1315,W$1,DataRegularSeason20242025!$D$2:$D$1315,$A59,DataRegularSeason20242025!$N$2:$N$1315,1)</f>
        <v>0</v>
      </c>
      <c r="Y59" s="35"/>
      <c r="Z59" s="28">
        <f>COUNTIFS(DataRegularSeason20242025!$E$2:$E$1315,Y$1,DataRegularSeason20242025!$D$2:$D$1315,$A59,DataRegularSeason20242025!$N$2:$N$1315,1)</f>
        <v>0</v>
      </c>
      <c r="AA59" s="35"/>
      <c r="AB59" s="28">
        <f>COUNTIFS(DataRegularSeason20242025!$E$2:$E$1315,AA$1,DataRegularSeason20242025!$D$2:$D$1315,$A59,DataRegularSeason20242025!$N$2:$N$1315,1)</f>
        <v>0</v>
      </c>
      <c r="AC59" s="35"/>
      <c r="AD59" s="28">
        <f>COUNTIFS(DataRegularSeason20242025!$E$2:$E$1315,AC$1,DataRegularSeason20242025!$D$2:$D$1315,$A59,DataRegularSeason20242025!$N$2:$N$1315,1)</f>
        <v>0</v>
      </c>
      <c r="AE59" s="35"/>
      <c r="AF59" s="28">
        <f>COUNTIFS(DataRegularSeason20242025!$E$2:$E$1315,AE$1,DataRegularSeason20242025!$D$2:$D$1315,$A59,DataRegularSeason20242025!$N$2:$N$1315,1)</f>
        <v>0</v>
      </c>
      <c r="AG59" s="35"/>
      <c r="AH59" s="46">
        <f>COUNTIFS(DataRegularSeason20242025!$E$2:$E$1315,AG$1,DataRegularSeason20242025!$D$2:$D$1315,$A59,DataRegularSeason20242025!$N$2:$N$1315,1)</f>
        <v>0</v>
      </c>
      <c r="AI59" s="35"/>
      <c r="AJ59" s="28">
        <f>COUNTIFS(DataRegularSeason20242025!$E$2:$E$1315,AI$1,DataRegularSeason20242025!$D$2:$D$1315,$A59,DataRegularSeason20242025!$N$2:$N$1315,1)</f>
        <v>0</v>
      </c>
      <c r="AK59" s="35"/>
      <c r="AL59" s="28">
        <f>COUNTIFS(DataRegularSeason20242025!$E$2:$E$1315,AK$1,DataRegularSeason20242025!$D$2:$D$1315,$A59,DataRegularSeason20242025!$N$2:$N$1315,1)</f>
        <v>0</v>
      </c>
      <c r="AM59" s="35"/>
      <c r="AN59" s="28">
        <f>COUNTIFS(DataRegularSeason20242025!$E$2:$E$1315,AM$1,DataRegularSeason20242025!$D$2:$D$1315,$A59,DataRegularSeason20242025!$N$2:$N$1315,1)</f>
        <v>0</v>
      </c>
      <c r="AO59" s="35"/>
      <c r="AP59" s="28">
        <f>COUNTIFS(DataRegularSeason20242025!$E$2:$E$1315,AO$1,DataRegularSeason20242025!$D$2:$D$1315,$A59,DataRegularSeason20242025!$N$2:$N$1315,1)</f>
        <v>0</v>
      </c>
      <c r="AQ59" s="35"/>
      <c r="AR59" s="28">
        <f>COUNTIFS(DataRegularSeason20242025!$E$2:$E$1315,AQ$1,DataRegularSeason20242025!$D$2:$D$1315,$A59,DataRegularSeason20242025!$N$2:$N$1315,1)</f>
        <v>0</v>
      </c>
      <c r="AS59" s="35"/>
      <c r="AT59" s="28">
        <f>COUNTIFS(DataRegularSeason20242025!$E$2:$E$1315,AS$1,DataRegularSeason20242025!$D$2:$D$1315,$A59,DataRegularSeason20242025!$N$2:$N$1315,1)</f>
        <v>0</v>
      </c>
      <c r="AU59" s="35"/>
      <c r="AV59" s="28">
        <f>COUNTIFS(DataRegularSeason20242025!$E$2:$E$1315,AU$1,DataRegularSeason20242025!$D$2:$D$1315,$A59,DataRegularSeason20242025!$N$2:$N$1315,1)</f>
        <v>0</v>
      </c>
      <c r="AW59" s="35"/>
      <c r="AX59" s="46">
        <f>COUNTIFS(DataRegularSeason20242025!$E$2:$E$1315,AW$1,DataRegularSeason20242025!$D$2:$D$1315,$A59,DataRegularSeason20242025!$N$2:$N$1315,1)</f>
        <v>0</v>
      </c>
      <c r="AY59" s="35"/>
      <c r="AZ59" s="28">
        <f>COUNTIFS(DataRegularSeason20242025!$E$2:$E$1315,AY$1,DataRegularSeason20242025!$D$2:$D$1315,$A59,DataRegularSeason20242025!$N$2:$N$1315,1)</f>
        <v>0</v>
      </c>
      <c r="BA59" s="35"/>
      <c r="BB59" s="28">
        <f>COUNTIFS(DataRegularSeason20242025!$E$2:$E$1315,BA$1,DataRegularSeason20242025!$D$2:$D$1315,$A59,DataRegularSeason20242025!$N$2:$N$1315,1)</f>
        <v>0</v>
      </c>
      <c r="BC59" s="35"/>
      <c r="BD59" s="28">
        <f>COUNTIFS(DataRegularSeason20242025!$E$2:$E$1315,BC$1,DataRegularSeason20242025!$D$2:$D$1315,$A59,DataRegularSeason20242025!$N$2:$N$1315,1)</f>
        <v>1</v>
      </c>
      <c r="BE59" s="35"/>
      <c r="BF59" s="28">
        <f>COUNTIFS(DataRegularSeason20242025!$E$2:$E$1315,BE$1,DataRegularSeason20242025!$D$2:$D$1315,$A59,DataRegularSeason20242025!$N$2:$N$1315,1)</f>
        <v>0</v>
      </c>
      <c r="BG59" s="35"/>
      <c r="BH59" s="36"/>
      <c r="BI59" s="35"/>
      <c r="BJ59" s="28">
        <f>COUNTIFS(DataRegularSeason20242025!$E$2:$E$1315,BI$1,DataRegularSeason20242025!$D$2:$D$1315,$A59,DataRegularSeason20242025!$N$2:$N$1315,1)</f>
        <v>0</v>
      </c>
      <c r="BK59" s="35"/>
      <c r="BL59" s="28">
        <f>COUNTIFS(DataRegularSeason20242025!$E$2:$E$1315,BK$1,DataRegularSeason20242025!$D$2:$D$1315,$A59,DataRegularSeason20242025!$N$2:$N$1315,1)</f>
        <v>0</v>
      </c>
      <c r="BM59" s="35"/>
      <c r="BN59" s="28">
        <f>COUNTIFS(DataRegularSeason20242025!$E$2:$E$1315,BM$1,DataRegularSeason20242025!$D$2:$D$1315,$A59,DataRegularSeason20242025!$N$2:$N$1315,1)</f>
        <v>1</v>
      </c>
      <c r="BO59" s="30">
        <f t="shared" si="0"/>
        <v>3</v>
      </c>
      <c r="BP59" s="165">
        <f t="shared" ref="BP59" si="55">BO59+BO60</f>
        <v>7</v>
      </c>
      <c r="BQ59" s="166">
        <f t="shared" ref="BQ59" si="56">82-BP59</f>
        <v>75</v>
      </c>
    </row>
    <row r="60" spans="1:69" ht="12" customHeight="1" x14ac:dyDescent="0.25">
      <c r="A60" s="167"/>
      <c r="B60" s="32" t="s">
        <v>73</v>
      </c>
      <c r="C60" s="38">
        <f>COUNTIFS(DataRegularSeason20242025!$D$2:$D$1315,C$1,DataRegularSeason20242025!$E$2:$E$1315,$A59,DataRegularSeason20242025!$N$2:$N$1315,1)</f>
        <v>0</v>
      </c>
      <c r="D60" s="39"/>
      <c r="E60" s="38">
        <f>COUNTIFS(DataRegularSeason20242025!$D$2:$D$1315,E$1,DataRegularSeason20242025!$E$2:$E$1315,$A59,DataRegularSeason20242025!$N$2:$N$1315,1)</f>
        <v>0</v>
      </c>
      <c r="F60" s="39"/>
      <c r="G60" s="38">
        <f>COUNTIFS(DataRegularSeason20242025!$D$2:$D$1315,G$1,DataRegularSeason20242025!$E$2:$E$1315,$A59,DataRegularSeason20242025!$N$2:$N$1315,1)</f>
        <v>0</v>
      </c>
      <c r="H60" s="39"/>
      <c r="I60" s="38">
        <f>COUNTIFS(DataRegularSeason20242025!$D$2:$D$1315,I$1,DataRegularSeason20242025!$E$2:$E$1315,$A59,DataRegularSeason20242025!$N$2:$N$1315,1)</f>
        <v>0</v>
      </c>
      <c r="J60" s="39"/>
      <c r="K60" s="38">
        <f>COUNTIFS(DataRegularSeason20242025!$D$2:$D$1315,K$1,DataRegularSeason20242025!$E$2:$E$1315,$A59,DataRegularSeason20242025!$N$2:$N$1315,1)</f>
        <v>1</v>
      </c>
      <c r="L60" s="39"/>
      <c r="M60" s="38">
        <f>COUNTIFS(DataRegularSeason20242025!$D$2:$D$1315,M$1,DataRegularSeason20242025!$E$2:$E$1315,$A59,DataRegularSeason20242025!$N$2:$N$1315,1)</f>
        <v>0</v>
      </c>
      <c r="N60" s="39"/>
      <c r="O60" s="38">
        <f>COUNTIFS(DataRegularSeason20242025!$D$2:$D$1315,O$1,DataRegularSeason20242025!$E$2:$E$1315,$A59,DataRegularSeason20242025!$N$2:$N$1315,1)</f>
        <v>0</v>
      </c>
      <c r="P60" s="39"/>
      <c r="Q60" s="38">
        <f>COUNTIFS(DataRegularSeason20242025!$D$2:$D$1315,Q$1,DataRegularSeason20242025!$E$2:$E$1315,$A59,DataRegularSeason20242025!$N$2:$N$1315,1)</f>
        <v>0</v>
      </c>
      <c r="R60" s="47"/>
      <c r="S60" s="38">
        <f>COUNTIFS(DataRegularSeason20242025!$D$2:$D$1315,S$1,DataRegularSeason20242025!$E$2:$E$1315,$A59,DataRegularSeason20242025!$N$2:$N$1315,1)</f>
        <v>0</v>
      </c>
      <c r="T60" s="39"/>
      <c r="U60" s="38">
        <f>COUNTIFS(DataRegularSeason20242025!$D$2:$D$1315,U$1,DataRegularSeason20242025!$E$2:$E$1315,$A59,DataRegularSeason20242025!$N$2:$N$1315,1)</f>
        <v>0</v>
      </c>
      <c r="V60" s="39"/>
      <c r="W60" s="38">
        <f>COUNTIFS(DataRegularSeason20242025!$D$2:$D$1315,W$1,DataRegularSeason20242025!$E$2:$E$1315,$A59,DataRegularSeason20242025!$N$2:$N$1315,1)</f>
        <v>0</v>
      </c>
      <c r="X60" s="39"/>
      <c r="Y60" s="38">
        <f>COUNTIFS(DataRegularSeason20242025!$D$2:$D$1315,Y$1,DataRegularSeason20242025!$E$2:$E$1315,$A59,DataRegularSeason20242025!$N$2:$N$1315,1)</f>
        <v>0</v>
      </c>
      <c r="Z60" s="39"/>
      <c r="AA60" s="38">
        <f>COUNTIFS(DataRegularSeason20242025!$D$2:$D$1315,AA$1,DataRegularSeason20242025!$E$2:$E$1315,$A59,DataRegularSeason20242025!$N$2:$N$1315,1)</f>
        <v>1</v>
      </c>
      <c r="AB60" s="39"/>
      <c r="AC60" s="38">
        <f>COUNTIFS(DataRegularSeason20242025!$D$2:$D$1315,AC$1,DataRegularSeason20242025!$E$2:$E$1315,$A59,DataRegularSeason20242025!$N$2:$N$1315,1)</f>
        <v>0</v>
      </c>
      <c r="AD60" s="39"/>
      <c r="AE60" s="38">
        <f>COUNTIFS(DataRegularSeason20242025!$D$2:$D$1315,AE$1,DataRegularSeason20242025!$E$2:$E$1315,$A59,DataRegularSeason20242025!$N$2:$N$1315,1)</f>
        <v>0</v>
      </c>
      <c r="AF60" s="39"/>
      <c r="AG60" s="38">
        <f>COUNTIFS(DataRegularSeason20242025!$D$2:$D$1315,AG$1,DataRegularSeason20242025!$E$2:$E$1315,$A59,DataRegularSeason20242025!$N$2:$N$1315,1)</f>
        <v>0</v>
      </c>
      <c r="AH60" s="47"/>
      <c r="AI60" s="38">
        <f>COUNTIFS(DataRegularSeason20242025!$D$2:$D$1315,AI$1,DataRegularSeason20242025!$E$2:$E$1315,$A59,DataRegularSeason20242025!$N$2:$N$1315,1)</f>
        <v>0</v>
      </c>
      <c r="AJ60" s="39"/>
      <c r="AK60" s="38">
        <f>COUNTIFS(DataRegularSeason20242025!$D$2:$D$1315,AK$1,DataRegularSeason20242025!$E$2:$E$1315,$A59,DataRegularSeason20242025!$N$2:$N$1315,1)</f>
        <v>0</v>
      </c>
      <c r="AL60" s="39"/>
      <c r="AM60" s="38">
        <f>COUNTIFS(DataRegularSeason20242025!$D$2:$D$1315,AM$1,DataRegularSeason20242025!$E$2:$E$1315,$A59,DataRegularSeason20242025!$N$2:$N$1315,1)</f>
        <v>0</v>
      </c>
      <c r="AN60" s="39"/>
      <c r="AO60" s="38">
        <f>COUNTIFS(DataRegularSeason20242025!$D$2:$D$1315,AO$1,DataRegularSeason20242025!$E$2:$E$1315,$A59,DataRegularSeason20242025!$N$2:$N$1315,1)</f>
        <v>0</v>
      </c>
      <c r="AP60" s="39"/>
      <c r="AQ60" s="38">
        <f>COUNTIFS(DataRegularSeason20242025!$D$2:$D$1315,AQ$1,DataRegularSeason20242025!$E$2:$E$1315,$A59,DataRegularSeason20242025!$N$2:$N$1315,1)</f>
        <v>1</v>
      </c>
      <c r="AR60" s="39"/>
      <c r="AS60" s="38">
        <f>COUNTIFS(DataRegularSeason20242025!$D$2:$D$1315,AS$1,DataRegularSeason20242025!$E$2:$E$1315,$A59,DataRegularSeason20242025!$N$2:$N$1315,1)</f>
        <v>0</v>
      </c>
      <c r="AT60" s="39"/>
      <c r="AU60" s="38">
        <f>COUNTIFS(DataRegularSeason20242025!$D$2:$D$1315,AU$1,DataRegularSeason20242025!$E$2:$E$1315,$A59,DataRegularSeason20242025!$N$2:$N$1315,1)</f>
        <v>0</v>
      </c>
      <c r="AV60" s="39"/>
      <c r="AW60" s="38">
        <f>COUNTIFS(DataRegularSeason20242025!$D$2:$D$1315,AW$1,DataRegularSeason20242025!$E$2:$E$1315,$A59,DataRegularSeason20242025!$N$2:$N$1315,1)</f>
        <v>0</v>
      </c>
      <c r="AX60" s="47"/>
      <c r="AY60" s="38">
        <f>COUNTIFS(DataRegularSeason20242025!$D$2:$D$1315,AY$1,DataRegularSeason20242025!$E$2:$E$1315,$A59,DataRegularSeason20242025!$N$2:$N$1315,1)</f>
        <v>0</v>
      </c>
      <c r="AZ60" s="39"/>
      <c r="BA60" s="38">
        <f>COUNTIFS(DataRegularSeason20242025!$D$2:$D$1315,BA$1,DataRegularSeason20242025!$E$2:$E$1315,$A59,DataRegularSeason20242025!$N$2:$N$1315,1)</f>
        <v>1</v>
      </c>
      <c r="BB60" s="39"/>
      <c r="BC60" s="38">
        <f>COUNTIFS(DataRegularSeason20242025!$D$2:$D$1315,BC$1,DataRegularSeason20242025!$E$2:$E$1315,$A59,DataRegularSeason20242025!$N$2:$N$1315,1)</f>
        <v>0</v>
      </c>
      <c r="BD60" s="39"/>
      <c r="BE60" s="38">
        <f>COUNTIFS(DataRegularSeason20242025!$D$2:$D$1315,BE$1,DataRegularSeason20242025!$E$2:$E$1315,$A59,DataRegularSeason20242025!$N$2:$N$1315,1)</f>
        <v>0</v>
      </c>
      <c r="BF60" s="39"/>
      <c r="BG60" s="38"/>
      <c r="BH60" s="39"/>
      <c r="BI60" s="38">
        <f>COUNTIFS(DataRegularSeason20242025!$D$2:$D$1315,BI$1,DataRegularSeason20242025!$E$2:$E$1315,$A59,DataRegularSeason20242025!$N$2:$N$1315,1)</f>
        <v>0</v>
      </c>
      <c r="BJ60" s="39"/>
      <c r="BK60" s="38">
        <f>COUNTIFS(DataRegularSeason20242025!$D$2:$D$1315,BK$1,DataRegularSeason20242025!$E$2:$E$1315,$A59,DataRegularSeason20242025!$N$2:$N$1315,1)</f>
        <v>0</v>
      </c>
      <c r="BL60" s="39"/>
      <c r="BM60" s="38">
        <f>COUNTIFS(DataRegularSeason20242025!$D$2:$D$1315,BM$1,DataRegularSeason20242025!$E$2:$E$1315,$A59,DataRegularSeason20242025!$N$2:$N$1315,1)</f>
        <v>0</v>
      </c>
      <c r="BN60" s="39"/>
      <c r="BO60" s="34">
        <f t="shared" si="0"/>
        <v>4</v>
      </c>
      <c r="BP60" s="165"/>
      <c r="BQ60" s="166"/>
    </row>
    <row r="61" spans="1:69" ht="12" customHeight="1" x14ac:dyDescent="0.25">
      <c r="A61" s="172" t="s">
        <v>29</v>
      </c>
      <c r="B61" s="28" t="s">
        <v>74</v>
      </c>
      <c r="C61" s="35"/>
      <c r="D61" s="28">
        <f>COUNTIFS(DataRegularSeason20242025!$E$2:$E$1315,C$1,DataRegularSeason20242025!$D$2:$D$1315,$A61,DataRegularSeason20242025!$N$2:$N$1315,1)</f>
        <v>0</v>
      </c>
      <c r="E61" s="35"/>
      <c r="F61" s="28">
        <f>COUNTIFS(DataRegularSeason20242025!$E$2:$E$1315,E$1,DataRegularSeason20242025!$D$2:$D$1315,$A61,DataRegularSeason20242025!$N$2:$N$1315,1)</f>
        <v>0</v>
      </c>
      <c r="G61" s="35"/>
      <c r="H61" s="28">
        <f>COUNTIFS(DataRegularSeason20242025!$E$2:$E$1315,G$1,DataRegularSeason20242025!$D$2:$D$1315,$A61,DataRegularSeason20242025!$N$2:$N$1315,1)</f>
        <v>0</v>
      </c>
      <c r="I61" s="35"/>
      <c r="J61" s="28">
        <f>COUNTIFS(DataRegularSeason20242025!$E$2:$E$1315,I$1,DataRegularSeason20242025!$D$2:$D$1315,$A61,DataRegularSeason20242025!$N$2:$N$1315,1)</f>
        <v>0</v>
      </c>
      <c r="K61" s="35"/>
      <c r="L61" s="28">
        <f>COUNTIFS(DataRegularSeason20242025!$E$2:$E$1315,K$1,DataRegularSeason20242025!$D$2:$D$1315,$A61,DataRegularSeason20242025!$N$2:$N$1315,1)</f>
        <v>0</v>
      </c>
      <c r="M61" s="35"/>
      <c r="N61" s="28">
        <f>COUNTIFS(DataRegularSeason20242025!$E$2:$E$1315,M$1,DataRegularSeason20242025!$D$2:$D$1315,$A61,DataRegularSeason20242025!$N$2:$N$1315,1)</f>
        <v>0</v>
      </c>
      <c r="O61" s="35"/>
      <c r="P61" s="28">
        <f>COUNTIFS(DataRegularSeason20242025!$E$2:$E$1315,O$1,DataRegularSeason20242025!$D$2:$D$1315,$A61,DataRegularSeason20242025!$N$2:$N$1315,1)</f>
        <v>0</v>
      </c>
      <c r="Q61" s="35"/>
      <c r="R61" s="46">
        <f>COUNTIFS(DataRegularSeason20242025!$E$2:$E$1315,Q$1,DataRegularSeason20242025!$D$2:$D$1315,$A61,DataRegularSeason20242025!$N$2:$N$1315,1)</f>
        <v>0</v>
      </c>
      <c r="S61" s="35"/>
      <c r="T61" s="28">
        <f>COUNTIFS(DataRegularSeason20242025!$E$2:$E$1315,S$1,DataRegularSeason20242025!$D$2:$D$1315,$A61,DataRegularSeason20242025!$N$2:$N$1315,1)</f>
        <v>0</v>
      </c>
      <c r="U61" s="35"/>
      <c r="V61" s="28">
        <f>COUNTIFS(DataRegularSeason20242025!$E$2:$E$1315,U$1,DataRegularSeason20242025!$D$2:$D$1315,$A61,DataRegularSeason20242025!$N$2:$N$1315,1)</f>
        <v>0</v>
      </c>
      <c r="W61" s="35"/>
      <c r="X61" s="28">
        <f>COUNTIFS(DataRegularSeason20242025!$E$2:$E$1315,W$1,DataRegularSeason20242025!$D$2:$D$1315,$A61,DataRegularSeason20242025!$N$2:$N$1315,1)</f>
        <v>0</v>
      </c>
      <c r="Y61" s="35"/>
      <c r="Z61" s="28">
        <f>COUNTIFS(DataRegularSeason20242025!$E$2:$E$1315,Y$1,DataRegularSeason20242025!$D$2:$D$1315,$A61,DataRegularSeason20242025!$N$2:$N$1315,1)</f>
        <v>0</v>
      </c>
      <c r="AA61" s="35"/>
      <c r="AB61" s="28">
        <f>COUNTIFS(DataRegularSeason20242025!$E$2:$E$1315,AA$1,DataRegularSeason20242025!$D$2:$D$1315,$A61,DataRegularSeason20242025!$N$2:$N$1315,1)</f>
        <v>0</v>
      </c>
      <c r="AC61" s="35"/>
      <c r="AD61" s="28">
        <f>COUNTIFS(DataRegularSeason20242025!$E$2:$E$1315,AC$1,DataRegularSeason20242025!$D$2:$D$1315,$A61,DataRegularSeason20242025!$N$2:$N$1315,1)</f>
        <v>0</v>
      </c>
      <c r="AE61" s="35"/>
      <c r="AF61" s="28">
        <f>COUNTIFS(DataRegularSeason20242025!$E$2:$E$1315,AE$1,DataRegularSeason20242025!$D$2:$D$1315,$A61,DataRegularSeason20242025!$N$2:$N$1315,1)</f>
        <v>0</v>
      </c>
      <c r="AG61" s="35"/>
      <c r="AH61" s="46">
        <f>COUNTIFS(DataRegularSeason20242025!$E$2:$E$1315,AG$1,DataRegularSeason20242025!$D$2:$D$1315,$A61,DataRegularSeason20242025!$N$2:$N$1315,1)</f>
        <v>0</v>
      </c>
      <c r="AI61" s="35"/>
      <c r="AJ61" s="28">
        <f>COUNTIFS(DataRegularSeason20242025!$E$2:$E$1315,AI$1,DataRegularSeason20242025!$D$2:$D$1315,$A61,DataRegularSeason20242025!$N$2:$N$1315,1)</f>
        <v>0</v>
      </c>
      <c r="AK61" s="35"/>
      <c r="AL61" s="28">
        <f>COUNTIFS(DataRegularSeason20242025!$E$2:$E$1315,AK$1,DataRegularSeason20242025!$D$2:$D$1315,$A61,DataRegularSeason20242025!$N$2:$N$1315,1)</f>
        <v>0</v>
      </c>
      <c r="AM61" s="35"/>
      <c r="AN61" s="28">
        <f>COUNTIFS(DataRegularSeason20242025!$E$2:$E$1315,AM$1,DataRegularSeason20242025!$D$2:$D$1315,$A61,DataRegularSeason20242025!$N$2:$N$1315,1)</f>
        <v>0</v>
      </c>
      <c r="AO61" s="35"/>
      <c r="AP61" s="28">
        <f>COUNTIFS(DataRegularSeason20242025!$E$2:$E$1315,AO$1,DataRegularSeason20242025!$D$2:$D$1315,$A61,DataRegularSeason20242025!$N$2:$N$1315,1)</f>
        <v>0</v>
      </c>
      <c r="AQ61" s="35"/>
      <c r="AR61" s="28">
        <f>COUNTIFS(DataRegularSeason20242025!$E$2:$E$1315,AQ$1,DataRegularSeason20242025!$D$2:$D$1315,$A61,DataRegularSeason20242025!$N$2:$N$1315,1)</f>
        <v>0</v>
      </c>
      <c r="AS61" s="35"/>
      <c r="AT61" s="28">
        <f>COUNTIFS(DataRegularSeason20242025!$E$2:$E$1315,AS$1,DataRegularSeason20242025!$D$2:$D$1315,$A61,DataRegularSeason20242025!$N$2:$N$1315,1)</f>
        <v>0</v>
      </c>
      <c r="AU61" s="35"/>
      <c r="AV61" s="28">
        <f>COUNTIFS(DataRegularSeason20242025!$E$2:$E$1315,AU$1,DataRegularSeason20242025!$D$2:$D$1315,$A61,DataRegularSeason20242025!$N$2:$N$1315,1)</f>
        <v>0</v>
      </c>
      <c r="AW61" s="35"/>
      <c r="AX61" s="46">
        <f>COUNTIFS(DataRegularSeason20242025!$E$2:$E$1315,AW$1,DataRegularSeason20242025!$D$2:$D$1315,$A61,DataRegularSeason20242025!$N$2:$N$1315,1)</f>
        <v>0</v>
      </c>
      <c r="AY61" s="35"/>
      <c r="AZ61" s="28">
        <f>COUNTIFS(DataRegularSeason20242025!$E$2:$E$1315,AY$1,DataRegularSeason20242025!$D$2:$D$1315,$A61,DataRegularSeason20242025!$N$2:$N$1315,1)</f>
        <v>0</v>
      </c>
      <c r="BA61" s="35"/>
      <c r="BB61" s="28">
        <f>COUNTIFS(DataRegularSeason20242025!$E$2:$E$1315,BA$1,DataRegularSeason20242025!$D$2:$D$1315,$A61,DataRegularSeason20242025!$N$2:$N$1315,1)</f>
        <v>1</v>
      </c>
      <c r="BC61" s="35"/>
      <c r="BD61" s="28">
        <f>COUNTIFS(DataRegularSeason20242025!$E$2:$E$1315,BC$1,DataRegularSeason20242025!$D$2:$D$1315,$A61,DataRegularSeason20242025!$N$2:$N$1315,1)</f>
        <v>0</v>
      </c>
      <c r="BE61" s="35"/>
      <c r="BF61" s="28">
        <f>COUNTIFS(DataRegularSeason20242025!$E$2:$E$1315,BE$1,DataRegularSeason20242025!$D$2:$D$1315,$A61,DataRegularSeason20242025!$N$2:$N$1315,1)</f>
        <v>1</v>
      </c>
      <c r="BG61" s="35"/>
      <c r="BH61" s="28">
        <f>COUNTIFS(DataRegularSeason20242025!$E$2:$E$1315,BG$1,DataRegularSeason20242025!$D$2:$D$1315,$A61,DataRegularSeason20242025!$N$2:$N$1315,1)</f>
        <v>0</v>
      </c>
      <c r="BI61" s="35"/>
      <c r="BJ61" s="36"/>
      <c r="BK61" s="35"/>
      <c r="BL61" s="28">
        <f>COUNTIFS(DataRegularSeason20242025!$E$2:$E$1315,BK$1,DataRegularSeason20242025!$D$2:$D$1315,$A61,DataRegularSeason20242025!$N$2:$N$1315,1)</f>
        <v>1</v>
      </c>
      <c r="BM61" s="35"/>
      <c r="BN61" s="28">
        <f>COUNTIFS(DataRegularSeason20242025!$E$2:$E$1315,BM$1,DataRegularSeason20242025!$D$2:$D$1315,$A61,DataRegularSeason20242025!$N$2:$N$1315,1)</f>
        <v>0</v>
      </c>
      <c r="BO61" s="30">
        <f t="shared" si="0"/>
        <v>3</v>
      </c>
      <c r="BP61" s="165">
        <f t="shared" ref="BP61" si="57">BO61+BO62</f>
        <v>7</v>
      </c>
      <c r="BQ61" s="166">
        <f t="shared" ref="BQ61" si="58">82-BP61</f>
        <v>75</v>
      </c>
    </row>
    <row r="62" spans="1:69" ht="12" customHeight="1" x14ac:dyDescent="0.25">
      <c r="A62" s="167"/>
      <c r="B62" s="32" t="s">
        <v>73</v>
      </c>
      <c r="C62" s="38">
        <f>COUNTIFS(DataRegularSeason20242025!$D$2:$D$1315,C$1,DataRegularSeason20242025!$E$2:$E$1315,$A61,DataRegularSeason20242025!$N$2:$N$1315,1)</f>
        <v>0</v>
      </c>
      <c r="D62" s="39"/>
      <c r="E62" s="38">
        <f>COUNTIFS(DataRegularSeason20242025!$D$2:$D$1315,E$1,DataRegularSeason20242025!$E$2:$E$1315,$A61,DataRegularSeason20242025!$N$2:$N$1315,1)</f>
        <v>0</v>
      </c>
      <c r="F62" s="39"/>
      <c r="G62" s="38">
        <f>COUNTIFS(DataRegularSeason20242025!$D$2:$D$1315,G$1,DataRegularSeason20242025!$E$2:$E$1315,$A61,DataRegularSeason20242025!$N$2:$N$1315,1)</f>
        <v>1</v>
      </c>
      <c r="H62" s="39"/>
      <c r="I62" s="38">
        <f>COUNTIFS(DataRegularSeason20242025!$D$2:$D$1315,I$1,DataRegularSeason20242025!$E$2:$E$1315,$A61,DataRegularSeason20242025!$N$2:$N$1315,1)</f>
        <v>0</v>
      </c>
      <c r="J62" s="39"/>
      <c r="K62" s="38">
        <f>COUNTIFS(DataRegularSeason20242025!$D$2:$D$1315,K$1,DataRegularSeason20242025!$E$2:$E$1315,$A61,DataRegularSeason20242025!$N$2:$N$1315,1)</f>
        <v>1</v>
      </c>
      <c r="L62" s="39"/>
      <c r="M62" s="38">
        <f>COUNTIFS(DataRegularSeason20242025!$D$2:$D$1315,M$1,DataRegularSeason20242025!$E$2:$E$1315,$A61,DataRegularSeason20242025!$N$2:$N$1315,1)</f>
        <v>0</v>
      </c>
      <c r="N62" s="39"/>
      <c r="O62" s="38">
        <f>COUNTIFS(DataRegularSeason20242025!$D$2:$D$1315,O$1,DataRegularSeason20242025!$E$2:$E$1315,$A61,DataRegularSeason20242025!$N$2:$N$1315,1)</f>
        <v>0</v>
      </c>
      <c r="P62" s="39"/>
      <c r="Q62" s="38">
        <f>COUNTIFS(DataRegularSeason20242025!$D$2:$D$1315,Q$1,DataRegularSeason20242025!$E$2:$E$1315,$A61,DataRegularSeason20242025!$N$2:$N$1315,1)</f>
        <v>0</v>
      </c>
      <c r="R62" s="47"/>
      <c r="S62" s="38">
        <f>COUNTIFS(DataRegularSeason20242025!$D$2:$D$1315,S$1,DataRegularSeason20242025!$E$2:$E$1315,$A61,DataRegularSeason20242025!$N$2:$N$1315,1)</f>
        <v>0</v>
      </c>
      <c r="T62" s="39"/>
      <c r="U62" s="38">
        <f>COUNTIFS(DataRegularSeason20242025!$D$2:$D$1315,U$1,DataRegularSeason20242025!$E$2:$E$1315,$A61,DataRegularSeason20242025!$N$2:$N$1315,1)</f>
        <v>0</v>
      </c>
      <c r="V62" s="39"/>
      <c r="W62" s="38">
        <f>COUNTIFS(DataRegularSeason20242025!$D$2:$D$1315,W$1,DataRegularSeason20242025!$E$2:$E$1315,$A61,DataRegularSeason20242025!$N$2:$N$1315,1)</f>
        <v>0</v>
      </c>
      <c r="X62" s="39"/>
      <c r="Y62" s="38">
        <f>COUNTIFS(DataRegularSeason20242025!$D$2:$D$1315,Y$1,DataRegularSeason20242025!$E$2:$E$1315,$A61,DataRegularSeason20242025!$N$2:$N$1315,1)</f>
        <v>0</v>
      </c>
      <c r="Z62" s="39"/>
      <c r="AA62" s="38">
        <f>COUNTIFS(DataRegularSeason20242025!$D$2:$D$1315,AA$1,DataRegularSeason20242025!$E$2:$E$1315,$A61,DataRegularSeason20242025!$N$2:$N$1315,1)</f>
        <v>1</v>
      </c>
      <c r="AB62" s="39"/>
      <c r="AC62" s="38">
        <f>COUNTIFS(DataRegularSeason20242025!$D$2:$D$1315,AC$1,DataRegularSeason20242025!$E$2:$E$1315,$A61,DataRegularSeason20242025!$N$2:$N$1315,1)</f>
        <v>0</v>
      </c>
      <c r="AD62" s="39"/>
      <c r="AE62" s="38">
        <f>COUNTIFS(DataRegularSeason20242025!$D$2:$D$1315,AE$1,DataRegularSeason20242025!$E$2:$E$1315,$A61,DataRegularSeason20242025!$N$2:$N$1315,1)</f>
        <v>0</v>
      </c>
      <c r="AF62" s="39"/>
      <c r="AG62" s="38">
        <f>COUNTIFS(DataRegularSeason20242025!$D$2:$D$1315,AG$1,DataRegularSeason20242025!$E$2:$E$1315,$A61,DataRegularSeason20242025!$N$2:$N$1315,1)</f>
        <v>0</v>
      </c>
      <c r="AH62" s="47"/>
      <c r="AI62" s="38">
        <f>COUNTIFS(DataRegularSeason20242025!$D$2:$D$1315,AI$1,DataRegularSeason20242025!$E$2:$E$1315,$A61,DataRegularSeason20242025!$N$2:$N$1315,1)</f>
        <v>0</v>
      </c>
      <c r="AJ62" s="39"/>
      <c r="AK62" s="38">
        <f>COUNTIFS(DataRegularSeason20242025!$D$2:$D$1315,AK$1,DataRegularSeason20242025!$E$2:$E$1315,$A61,DataRegularSeason20242025!$N$2:$N$1315,1)</f>
        <v>0</v>
      </c>
      <c r="AL62" s="39"/>
      <c r="AM62" s="38">
        <f>COUNTIFS(DataRegularSeason20242025!$D$2:$D$1315,AM$1,DataRegularSeason20242025!$E$2:$E$1315,$A61,DataRegularSeason20242025!$N$2:$N$1315,1)</f>
        <v>0</v>
      </c>
      <c r="AN62" s="39"/>
      <c r="AO62" s="38">
        <f>COUNTIFS(DataRegularSeason20242025!$D$2:$D$1315,AO$1,DataRegularSeason20242025!$E$2:$E$1315,$A61,DataRegularSeason20242025!$N$2:$N$1315,1)</f>
        <v>1</v>
      </c>
      <c r="AP62" s="39"/>
      <c r="AQ62" s="38">
        <f>COUNTIFS(DataRegularSeason20242025!$D$2:$D$1315,AQ$1,DataRegularSeason20242025!$E$2:$E$1315,$A61,DataRegularSeason20242025!$N$2:$N$1315,1)</f>
        <v>0</v>
      </c>
      <c r="AR62" s="39"/>
      <c r="AS62" s="38">
        <f>COUNTIFS(DataRegularSeason20242025!$D$2:$D$1315,AS$1,DataRegularSeason20242025!$E$2:$E$1315,$A61,DataRegularSeason20242025!$N$2:$N$1315,1)</f>
        <v>0</v>
      </c>
      <c r="AT62" s="39"/>
      <c r="AU62" s="38">
        <f>COUNTIFS(DataRegularSeason20242025!$D$2:$D$1315,AU$1,DataRegularSeason20242025!$E$2:$E$1315,$A61,DataRegularSeason20242025!$N$2:$N$1315,1)</f>
        <v>0</v>
      </c>
      <c r="AV62" s="39"/>
      <c r="AW62" s="38">
        <f>COUNTIFS(DataRegularSeason20242025!$D$2:$D$1315,AW$1,DataRegularSeason20242025!$E$2:$E$1315,$A61,DataRegularSeason20242025!$N$2:$N$1315,1)</f>
        <v>0</v>
      </c>
      <c r="AX62" s="47"/>
      <c r="AY62" s="38">
        <f>COUNTIFS(DataRegularSeason20242025!$D$2:$D$1315,AY$1,DataRegularSeason20242025!$E$2:$E$1315,$A61,DataRegularSeason20242025!$N$2:$N$1315,1)</f>
        <v>0</v>
      </c>
      <c r="AZ62" s="39"/>
      <c r="BA62" s="38">
        <f>COUNTIFS(DataRegularSeason20242025!$D$2:$D$1315,BA$1,DataRegularSeason20242025!$E$2:$E$1315,$A61,DataRegularSeason20242025!$N$2:$N$1315,1)</f>
        <v>0</v>
      </c>
      <c r="BB62" s="39"/>
      <c r="BC62" s="38">
        <f>COUNTIFS(DataRegularSeason20242025!$D$2:$D$1315,BC$1,DataRegularSeason20242025!$E$2:$E$1315,$A61,DataRegularSeason20242025!$N$2:$N$1315,1)</f>
        <v>0</v>
      </c>
      <c r="BD62" s="39"/>
      <c r="BE62" s="38">
        <f>COUNTIFS(DataRegularSeason20242025!$D$2:$D$1315,BE$1,DataRegularSeason20242025!$E$2:$E$1315,$A61,DataRegularSeason20242025!$N$2:$N$1315,1)</f>
        <v>0</v>
      </c>
      <c r="BF62" s="39"/>
      <c r="BG62" s="38">
        <f>COUNTIFS(DataRegularSeason20242025!$D$2:$D$1315,BG$1,DataRegularSeason20242025!$E$2:$E$1315,$A61,DataRegularSeason20242025!$N$2:$N$1315,1)</f>
        <v>0</v>
      </c>
      <c r="BH62" s="39"/>
      <c r="BI62" s="38"/>
      <c r="BJ62" s="39"/>
      <c r="BK62" s="38">
        <f>COUNTIFS(DataRegularSeason20242025!$D$2:$D$1315,BK$1,DataRegularSeason20242025!$E$2:$E$1315,$A61,DataRegularSeason20242025!$N$2:$N$1315,1)</f>
        <v>0</v>
      </c>
      <c r="BL62" s="39"/>
      <c r="BM62" s="38">
        <f>COUNTIFS(DataRegularSeason20242025!$D$2:$D$1315,BM$1,DataRegularSeason20242025!$E$2:$E$1315,$A61,DataRegularSeason20242025!$N$2:$N$1315,1)</f>
        <v>0</v>
      </c>
      <c r="BN62" s="39"/>
      <c r="BO62" s="34">
        <f t="shared" si="0"/>
        <v>4</v>
      </c>
      <c r="BP62" s="165"/>
      <c r="BQ62" s="166"/>
    </row>
    <row r="63" spans="1:69" ht="12" customHeight="1" x14ac:dyDescent="0.25">
      <c r="A63" s="172" t="s">
        <v>40</v>
      </c>
      <c r="B63" s="28" t="s">
        <v>74</v>
      </c>
      <c r="C63" s="35"/>
      <c r="D63" s="28">
        <f>COUNTIFS(DataRegularSeason20242025!$E$2:$E$1315,C$1,DataRegularSeason20242025!$D$2:$D$1315,$A63,DataRegularSeason20242025!$N$2:$N$1315,1)</f>
        <v>0</v>
      </c>
      <c r="E63" s="35"/>
      <c r="F63" s="28">
        <f>COUNTIFS(DataRegularSeason20242025!$E$2:$E$1315,E$1,DataRegularSeason20242025!$D$2:$D$1315,$A63,DataRegularSeason20242025!$N$2:$N$1315,1)</f>
        <v>0</v>
      </c>
      <c r="G63" s="35"/>
      <c r="H63" s="28">
        <f>COUNTIFS(DataRegularSeason20242025!$E$2:$E$1315,G$1,DataRegularSeason20242025!$D$2:$D$1315,$A63,DataRegularSeason20242025!$N$2:$N$1315,1)</f>
        <v>0</v>
      </c>
      <c r="I63" s="35"/>
      <c r="J63" s="28">
        <f>COUNTIFS(DataRegularSeason20242025!$E$2:$E$1315,I$1,DataRegularSeason20242025!$D$2:$D$1315,$A63,DataRegularSeason20242025!$N$2:$N$1315,1)</f>
        <v>0</v>
      </c>
      <c r="K63" s="35"/>
      <c r="L63" s="28">
        <f>COUNTIFS(DataRegularSeason20242025!$E$2:$E$1315,K$1,DataRegularSeason20242025!$D$2:$D$1315,$A63,DataRegularSeason20242025!$N$2:$N$1315,1)</f>
        <v>0</v>
      </c>
      <c r="M63" s="35"/>
      <c r="N63" s="28">
        <f>COUNTIFS(DataRegularSeason20242025!$E$2:$E$1315,M$1,DataRegularSeason20242025!$D$2:$D$1315,$A63,DataRegularSeason20242025!$N$2:$N$1315,1)</f>
        <v>0</v>
      </c>
      <c r="O63" s="35"/>
      <c r="P63" s="28">
        <f>COUNTIFS(DataRegularSeason20242025!$E$2:$E$1315,O$1,DataRegularSeason20242025!$D$2:$D$1315,$A63,DataRegularSeason20242025!$N$2:$N$1315,1)</f>
        <v>0</v>
      </c>
      <c r="Q63" s="35"/>
      <c r="R63" s="46">
        <f>COUNTIFS(DataRegularSeason20242025!$E$2:$E$1315,Q$1,DataRegularSeason20242025!$D$2:$D$1315,$A63,DataRegularSeason20242025!$N$2:$N$1315,1)</f>
        <v>0</v>
      </c>
      <c r="S63" s="35"/>
      <c r="T63" s="28">
        <f>COUNTIFS(DataRegularSeason20242025!$E$2:$E$1315,S$1,DataRegularSeason20242025!$D$2:$D$1315,$A63,DataRegularSeason20242025!$N$2:$N$1315,1)</f>
        <v>0</v>
      </c>
      <c r="U63" s="35"/>
      <c r="V63" s="28">
        <f>COUNTIFS(DataRegularSeason20242025!$E$2:$E$1315,U$1,DataRegularSeason20242025!$D$2:$D$1315,$A63,DataRegularSeason20242025!$N$2:$N$1315,1)</f>
        <v>0</v>
      </c>
      <c r="W63" s="35"/>
      <c r="X63" s="28">
        <f>COUNTIFS(DataRegularSeason20242025!$E$2:$E$1315,W$1,DataRegularSeason20242025!$D$2:$D$1315,$A63,DataRegularSeason20242025!$N$2:$N$1315,1)</f>
        <v>0</v>
      </c>
      <c r="Y63" s="35"/>
      <c r="Z63" s="28">
        <f>COUNTIFS(DataRegularSeason20242025!$E$2:$E$1315,Y$1,DataRegularSeason20242025!$D$2:$D$1315,$A63,DataRegularSeason20242025!$N$2:$N$1315,1)</f>
        <v>0</v>
      </c>
      <c r="AA63" s="35"/>
      <c r="AB63" s="28">
        <f>COUNTIFS(DataRegularSeason20242025!$E$2:$E$1315,AA$1,DataRegularSeason20242025!$D$2:$D$1315,$A63,DataRegularSeason20242025!$N$2:$N$1315,1)</f>
        <v>0</v>
      </c>
      <c r="AC63" s="35"/>
      <c r="AD63" s="28">
        <f>COUNTIFS(DataRegularSeason20242025!$E$2:$E$1315,AC$1,DataRegularSeason20242025!$D$2:$D$1315,$A63,DataRegularSeason20242025!$N$2:$N$1315,1)</f>
        <v>0</v>
      </c>
      <c r="AE63" s="35"/>
      <c r="AF63" s="28">
        <f>COUNTIFS(DataRegularSeason20242025!$E$2:$E$1315,AE$1,DataRegularSeason20242025!$D$2:$D$1315,$A63,DataRegularSeason20242025!$N$2:$N$1315,1)</f>
        <v>0</v>
      </c>
      <c r="AG63" s="35"/>
      <c r="AH63" s="46">
        <f>COUNTIFS(DataRegularSeason20242025!$E$2:$E$1315,AG$1,DataRegularSeason20242025!$D$2:$D$1315,$A63,DataRegularSeason20242025!$N$2:$N$1315,1)</f>
        <v>0</v>
      </c>
      <c r="AI63" s="35"/>
      <c r="AJ63" s="28">
        <f>COUNTIFS(DataRegularSeason20242025!$E$2:$E$1315,AI$1,DataRegularSeason20242025!$D$2:$D$1315,$A63,DataRegularSeason20242025!$N$2:$N$1315,1)</f>
        <v>0</v>
      </c>
      <c r="AK63" s="35"/>
      <c r="AL63" s="28">
        <f>COUNTIFS(DataRegularSeason20242025!$E$2:$E$1315,AK$1,DataRegularSeason20242025!$D$2:$D$1315,$A63,DataRegularSeason20242025!$N$2:$N$1315,1)</f>
        <v>1</v>
      </c>
      <c r="AM63" s="35"/>
      <c r="AN63" s="28">
        <f>COUNTIFS(DataRegularSeason20242025!$E$2:$E$1315,AM$1,DataRegularSeason20242025!$D$2:$D$1315,$A63,DataRegularSeason20242025!$N$2:$N$1315,1)</f>
        <v>0</v>
      </c>
      <c r="AO63" s="35"/>
      <c r="AP63" s="28">
        <f>COUNTIFS(DataRegularSeason20242025!$E$2:$E$1315,AO$1,DataRegularSeason20242025!$D$2:$D$1315,$A63,DataRegularSeason20242025!$N$2:$N$1315,1)</f>
        <v>0</v>
      </c>
      <c r="AQ63" s="35"/>
      <c r="AR63" s="28">
        <f>COUNTIFS(DataRegularSeason20242025!$E$2:$E$1315,AQ$1,DataRegularSeason20242025!$D$2:$D$1315,$A63,DataRegularSeason20242025!$N$2:$N$1315,1)</f>
        <v>0</v>
      </c>
      <c r="AS63" s="35"/>
      <c r="AT63" s="28">
        <f>COUNTIFS(DataRegularSeason20242025!$E$2:$E$1315,AS$1,DataRegularSeason20242025!$D$2:$D$1315,$A63,DataRegularSeason20242025!$N$2:$N$1315,1)</f>
        <v>0</v>
      </c>
      <c r="AU63" s="35"/>
      <c r="AV63" s="28">
        <f>COUNTIFS(DataRegularSeason20242025!$E$2:$E$1315,AU$1,DataRegularSeason20242025!$D$2:$D$1315,$A63,DataRegularSeason20242025!$N$2:$N$1315,1)</f>
        <v>0</v>
      </c>
      <c r="AW63" s="35"/>
      <c r="AX63" s="46">
        <f>COUNTIFS(DataRegularSeason20242025!$E$2:$E$1315,AW$1,DataRegularSeason20242025!$D$2:$D$1315,$A63,DataRegularSeason20242025!$N$2:$N$1315,1)</f>
        <v>1</v>
      </c>
      <c r="AY63" s="35"/>
      <c r="AZ63" s="28">
        <f>COUNTIFS(DataRegularSeason20242025!$E$2:$E$1315,AY$1,DataRegularSeason20242025!$D$2:$D$1315,$A63,DataRegularSeason20242025!$N$2:$N$1315,1)</f>
        <v>1</v>
      </c>
      <c r="BA63" s="35"/>
      <c r="BB63" s="28">
        <f>COUNTIFS(DataRegularSeason20242025!$E$2:$E$1315,BA$1,DataRegularSeason20242025!$D$2:$D$1315,$A63,DataRegularSeason20242025!$N$2:$N$1315,1)</f>
        <v>0</v>
      </c>
      <c r="BC63" s="35"/>
      <c r="BD63" s="28">
        <f>COUNTIFS(DataRegularSeason20242025!$E$2:$E$1315,BC$1,DataRegularSeason20242025!$D$2:$D$1315,$A63,DataRegularSeason20242025!$N$2:$N$1315,1)</f>
        <v>1</v>
      </c>
      <c r="BE63" s="35"/>
      <c r="BF63" s="28">
        <f>COUNTIFS(DataRegularSeason20242025!$E$2:$E$1315,BE$1,DataRegularSeason20242025!$D$2:$D$1315,$A63,DataRegularSeason20242025!$N$2:$N$1315,1)</f>
        <v>0</v>
      </c>
      <c r="BG63" s="35"/>
      <c r="BH63" s="28">
        <f>COUNTIFS(DataRegularSeason20242025!$E$2:$E$1315,BG$1,DataRegularSeason20242025!$D$2:$D$1315,$A63,DataRegularSeason20242025!$N$2:$N$1315,1)</f>
        <v>0</v>
      </c>
      <c r="BI63" s="35"/>
      <c r="BJ63" s="28">
        <f>COUNTIFS(DataRegularSeason20242025!$E$2:$E$1315,BI$1,DataRegularSeason20242025!$D$2:$D$1315,$A63,DataRegularSeason20242025!$N$2:$N$1315,1)</f>
        <v>0</v>
      </c>
      <c r="BK63" s="35"/>
      <c r="BL63" s="36"/>
      <c r="BM63" s="35"/>
      <c r="BN63" s="28">
        <f>COUNTIFS(DataRegularSeason20242025!$E$2:$E$1315,BM$1,DataRegularSeason20242025!$D$2:$D$1315,$A63,DataRegularSeason20242025!$N$2:$N$1315,1)</f>
        <v>0</v>
      </c>
      <c r="BO63" s="30">
        <f t="shared" si="0"/>
        <v>4</v>
      </c>
      <c r="BP63" s="165">
        <f t="shared" ref="BP63" si="59">BO63+BO64</f>
        <v>6</v>
      </c>
      <c r="BQ63" s="166">
        <f t="shared" ref="BQ63" si="60">82-BP63</f>
        <v>76</v>
      </c>
    </row>
    <row r="64" spans="1:69" ht="12" customHeight="1" x14ac:dyDescent="0.25">
      <c r="A64" s="167"/>
      <c r="B64" s="32" t="s">
        <v>73</v>
      </c>
      <c r="C64" s="38">
        <f>COUNTIFS(DataRegularSeason20242025!$D$2:$D$1315,C$1,DataRegularSeason20242025!$E$2:$E$1315,$A63,DataRegularSeason20242025!$N$2:$N$1315,1)</f>
        <v>0</v>
      </c>
      <c r="D64" s="39"/>
      <c r="E64" s="38">
        <f>COUNTIFS(DataRegularSeason20242025!$D$2:$D$1315,E$1,DataRegularSeason20242025!$E$2:$E$1315,$A63,DataRegularSeason20242025!$N$2:$N$1315,1)</f>
        <v>0</v>
      </c>
      <c r="F64" s="39"/>
      <c r="G64" s="38">
        <f>COUNTIFS(DataRegularSeason20242025!$D$2:$D$1315,G$1,DataRegularSeason20242025!$E$2:$E$1315,$A63,DataRegularSeason20242025!$N$2:$N$1315,1)</f>
        <v>0</v>
      </c>
      <c r="H64" s="39"/>
      <c r="I64" s="38">
        <f>COUNTIFS(DataRegularSeason20242025!$D$2:$D$1315,I$1,DataRegularSeason20242025!$E$2:$E$1315,$A63,DataRegularSeason20242025!$N$2:$N$1315,1)</f>
        <v>0</v>
      </c>
      <c r="J64" s="39"/>
      <c r="K64" s="38">
        <f>COUNTIFS(DataRegularSeason20242025!$D$2:$D$1315,K$1,DataRegularSeason20242025!$E$2:$E$1315,$A63,DataRegularSeason20242025!$N$2:$N$1315,1)</f>
        <v>0</v>
      </c>
      <c r="L64" s="39"/>
      <c r="M64" s="38">
        <f>COUNTIFS(DataRegularSeason20242025!$D$2:$D$1315,M$1,DataRegularSeason20242025!$E$2:$E$1315,$A63,DataRegularSeason20242025!$N$2:$N$1315,1)</f>
        <v>0</v>
      </c>
      <c r="N64" s="39"/>
      <c r="O64" s="38">
        <f>COUNTIFS(DataRegularSeason20242025!$D$2:$D$1315,O$1,DataRegularSeason20242025!$E$2:$E$1315,$A63,DataRegularSeason20242025!$N$2:$N$1315,1)</f>
        <v>0</v>
      </c>
      <c r="P64" s="39"/>
      <c r="Q64" s="38">
        <f>COUNTIFS(DataRegularSeason20242025!$D$2:$D$1315,Q$1,DataRegularSeason20242025!$E$2:$E$1315,$A63,DataRegularSeason20242025!$N$2:$N$1315,1)</f>
        <v>0</v>
      </c>
      <c r="R64" s="47"/>
      <c r="S64" s="38">
        <f>COUNTIFS(DataRegularSeason20242025!$D$2:$D$1315,S$1,DataRegularSeason20242025!$E$2:$E$1315,$A63,DataRegularSeason20242025!$N$2:$N$1315,1)</f>
        <v>0</v>
      </c>
      <c r="T64" s="39"/>
      <c r="U64" s="38">
        <f>COUNTIFS(DataRegularSeason20242025!$D$2:$D$1315,U$1,DataRegularSeason20242025!$E$2:$E$1315,$A63,DataRegularSeason20242025!$N$2:$N$1315,1)</f>
        <v>0</v>
      </c>
      <c r="V64" s="39"/>
      <c r="W64" s="38">
        <f>COUNTIFS(DataRegularSeason20242025!$D$2:$D$1315,W$1,DataRegularSeason20242025!$E$2:$E$1315,$A63,DataRegularSeason20242025!$N$2:$N$1315,1)</f>
        <v>0</v>
      </c>
      <c r="X64" s="39"/>
      <c r="Y64" s="38">
        <f>COUNTIFS(DataRegularSeason20242025!$D$2:$D$1315,Y$1,DataRegularSeason20242025!$E$2:$E$1315,$A63,DataRegularSeason20242025!$N$2:$N$1315,1)</f>
        <v>0</v>
      </c>
      <c r="Z64" s="39"/>
      <c r="AA64" s="38">
        <f>COUNTIFS(DataRegularSeason20242025!$D$2:$D$1315,AA$1,DataRegularSeason20242025!$E$2:$E$1315,$A63,DataRegularSeason20242025!$N$2:$N$1315,1)</f>
        <v>0</v>
      </c>
      <c r="AB64" s="39"/>
      <c r="AC64" s="38">
        <f>COUNTIFS(DataRegularSeason20242025!$D$2:$D$1315,AC$1,DataRegularSeason20242025!$E$2:$E$1315,$A63,DataRegularSeason20242025!$N$2:$N$1315,1)</f>
        <v>0</v>
      </c>
      <c r="AD64" s="39"/>
      <c r="AE64" s="38">
        <f>COUNTIFS(DataRegularSeason20242025!$D$2:$D$1315,AE$1,DataRegularSeason20242025!$E$2:$E$1315,$A63,DataRegularSeason20242025!$N$2:$N$1315,1)</f>
        <v>0</v>
      </c>
      <c r="AF64" s="39"/>
      <c r="AG64" s="38">
        <f>COUNTIFS(DataRegularSeason20242025!$D$2:$D$1315,AG$1,DataRegularSeason20242025!$E$2:$E$1315,$A63,DataRegularSeason20242025!$N$2:$N$1315,1)</f>
        <v>0</v>
      </c>
      <c r="AH64" s="47"/>
      <c r="AI64" s="38">
        <f>COUNTIFS(DataRegularSeason20242025!$D$2:$D$1315,AI$1,DataRegularSeason20242025!$E$2:$E$1315,$A63,DataRegularSeason20242025!$N$2:$N$1315,1)</f>
        <v>0</v>
      </c>
      <c r="AJ64" s="39"/>
      <c r="AK64" s="38">
        <f>COUNTIFS(DataRegularSeason20242025!$D$2:$D$1315,AK$1,DataRegularSeason20242025!$E$2:$E$1315,$A63,DataRegularSeason20242025!$N$2:$N$1315,1)</f>
        <v>0</v>
      </c>
      <c r="AL64" s="39"/>
      <c r="AM64" s="38">
        <f>COUNTIFS(DataRegularSeason20242025!$D$2:$D$1315,AM$1,DataRegularSeason20242025!$E$2:$E$1315,$A63,DataRegularSeason20242025!$N$2:$N$1315,1)</f>
        <v>1</v>
      </c>
      <c r="AN64" s="39"/>
      <c r="AO64" s="38">
        <f>COUNTIFS(DataRegularSeason20242025!$D$2:$D$1315,AO$1,DataRegularSeason20242025!$E$2:$E$1315,$A63,DataRegularSeason20242025!$N$2:$N$1315,1)</f>
        <v>0</v>
      </c>
      <c r="AP64" s="39"/>
      <c r="AQ64" s="38">
        <f>COUNTIFS(DataRegularSeason20242025!$D$2:$D$1315,AQ$1,DataRegularSeason20242025!$E$2:$E$1315,$A63,DataRegularSeason20242025!$N$2:$N$1315,1)</f>
        <v>0</v>
      </c>
      <c r="AR64" s="39"/>
      <c r="AS64" s="38">
        <f>COUNTIFS(DataRegularSeason20242025!$D$2:$D$1315,AS$1,DataRegularSeason20242025!$E$2:$E$1315,$A63,DataRegularSeason20242025!$N$2:$N$1315,1)</f>
        <v>0</v>
      </c>
      <c r="AT64" s="39"/>
      <c r="AU64" s="38">
        <f>COUNTIFS(DataRegularSeason20242025!$D$2:$D$1315,AU$1,DataRegularSeason20242025!$E$2:$E$1315,$A63,DataRegularSeason20242025!$N$2:$N$1315,1)</f>
        <v>0</v>
      </c>
      <c r="AV64" s="39"/>
      <c r="AW64" s="38">
        <f>COUNTIFS(DataRegularSeason20242025!$D$2:$D$1315,AW$1,DataRegularSeason20242025!$E$2:$E$1315,$A63,DataRegularSeason20242025!$N$2:$N$1315,1)</f>
        <v>0</v>
      </c>
      <c r="AX64" s="47"/>
      <c r="AY64" s="38">
        <f>COUNTIFS(DataRegularSeason20242025!$D$2:$D$1315,AY$1,DataRegularSeason20242025!$E$2:$E$1315,$A63,DataRegularSeason20242025!$N$2:$N$1315,1)</f>
        <v>0</v>
      </c>
      <c r="AZ64" s="39"/>
      <c r="BA64" s="38">
        <f>COUNTIFS(DataRegularSeason20242025!$D$2:$D$1315,BA$1,DataRegularSeason20242025!$E$2:$E$1315,$A63,DataRegularSeason20242025!$N$2:$N$1315,1)</f>
        <v>0</v>
      </c>
      <c r="BB64" s="39"/>
      <c r="BC64" s="38">
        <f>COUNTIFS(DataRegularSeason20242025!$D$2:$D$1315,BC$1,DataRegularSeason20242025!$E$2:$E$1315,$A63,DataRegularSeason20242025!$N$2:$N$1315,1)</f>
        <v>0</v>
      </c>
      <c r="BD64" s="39"/>
      <c r="BE64" s="38">
        <f>COUNTIFS(DataRegularSeason20242025!$D$2:$D$1315,BE$1,DataRegularSeason20242025!$E$2:$E$1315,$A63,DataRegularSeason20242025!$N$2:$N$1315,1)</f>
        <v>0</v>
      </c>
      <c r="BF64" s="39"/>
      <c r="BG64" s="38">
        <f>COUNTIFS(DataRegularSeason20242025!$D$2:$D$1315,BG$1,DataRegularSeason20242025!$E$2:$E$1315,$A63,DataRegularSeason20242025!$N$2:$N$1315,1)</f>
        <v>0</v>
      </c>
      <c r="BH64" s="39"/>
      <c r="BI64" s="38">
        <f>COUNTIFS(DataRegularSeason20242025!$D$2:$D$1315,BI$1,DataRegularSeason20242025!$E$2:$E$1315,$A63,DataRegularSeason20242025!$N$2:$N$1315,1)</f>
        <v>1</v>
      </c>
      <c r="BJ64" s="39"/>
      <c r="BK64" s="38"/>
      <c r="BL64" s="39"/>
      <c r="BM64" s="38">
        <f>COUNTIFS(DataRegularSeason20242025!$D$2:$D$1315,BM$1,DataRegularSeason20242025!$E$2:$E$1315,$A63,DataRegularSeason20242025!$N$2:$N$1315,1)</f>
        <v>0</v>
      </c>
      <c r="BN64" s="39"/>
      <c r="BO64" s="34">
        <f t="shared" si="0"/>
        <v>2</v>
      </c>
      <c r="BP64" s="165"/>
      <c r="BQ64" s="166"/>
    </row>
    <row r="65" spans="1:69" ht="12" customHeight="1" x14ac:dyDescent="0.25">
      <c r="A65" s="172" t="s">
        <v>17</v>
      </c>
      <c r="B65" s="28" t="s">
        <v>74</v>
      </c>
      <c r="C65" s="35"/>
      <c r="D65" s="28">
        <f>COUNTIFS(DataRegularSeason20242025!$E$2:$E$1315,C$1,DataRegularSeason20242025!$D$2:$D$1315,$A65,DataRegularSeason20242025!$N$2:$N$1315,1)</f>
        <v>0</v>
      </c>
      <c r="E65" s="35"/>
      <c r="F65" s="28">
        <f>COUNTIFS(DataRegularSeason20242025!$E$2:$E$1315,E$1,DataRegularSeason20242025!$D$2:$D$1315,$A65,DataRegularSeason20242025!$N$2:$N$1315,1)</f>
        <v>0</v>
      </c>
      <c r="G65" s="35"/>
      <c r="H65" s="28">
        <f>COUNTIFS(DataRegularSeason20242025!$E$2:$E$1315,G$1,DataRegularSeason20242025!$D$2:$D$1315,$A65,DataRegularSeason20242025!$N$2:$N$1315,1)</f>
        <v>0</v>
      </c>
      <c r="I65" s="35"/>
      <c r="J65" s="28">
        <f>COUNTIFS(DataRegularSeason20242025!$E$2:$E$1315,I$1,DataRegularSeason20242025!$D$2:$D$1315,$A65,DataRegularSeason20242025!$N$2:$N$1315,1)</f>
        <v>0</v>
      </c>
      <c r="K65" s="35"/>
      <c r="L65" s="28">
        <f>COUNTIFS(DataRegularSeason20242025!$E$2:$E$1315,K$1,DataRegularSeason20242025!$D$2:$D$1315,$A65,DataRegularSeason20242025!$N$2:$N$1315,1)</f>
        <v>0</v>
      </c>
      <c r="M65" s="35"/>
      <c r="N65" s="28">
        <f>COUNTIFS(DataRegularSeason20242025!$E$2:$E$1315,M$1,DataRegularSeason20242025!$D$2:$D$1315,$A65,DataRegularSeason20242025!$N$2:$N$1315,1)</f>
        <v>0</v>
      </c>
      <c r="O65" s="35"/>
      <c r="P65" s="28">
        <f>COUNTIFS(DataRegularSeason20242025!$E$2:$E$1315,O$1,DataRegularSeason20242025!$D$2:$D$1315,$A65,DataRegularSeason20242025!$N$2:$N$1315,1)</f>
        <v>0</v>
      </c>
      <c r="Q65" s="35"/>
      <c r="R65" s="46">
        <f>COUNTIFS(DataRegularSeason20242025!$E$2:$E$1315,Q$1,DataRegularSeason20242025!$D$2:$D$1315,$A65,DataRegularSeason20242025!$N$2:$N$1315,1)</f>
        <v>0</v>
      </c>
      <c r="S65" s="35"/>
      <c r="T65" s="28">
        <f>COUNTIFS(DataRegularSeason20242025!$E$2:$E$1315,S$1,DataRegularSeason20242025!$D$2:$D$1315,$A65,DataRegularSeason20242025!$N$2:$N$1315,1)</f>
        <v>0</v>
      </c>
      <c r="U65" s="35"/>
      <c r="V65" s="28">
        <f>COUNTIFS(DataRegularSeason20242025!$E$2:$E$1315,U$1,DataRegularSeason20242025!$D$2:$D$1315,$A65,DataRegularSeason20242025!$N$2:$N$1315,1)</f>
        <v>0</v>
      </c>
      <c r="W65" s="35"/>
      <c r="X65" s="28">
        <f>COUNTIFS(DataRegularSeason20242025!$E$2:$E$1315,W$1,DataRegularSeason20242025!$D$2:$D$1315,$A65,DataRegularSeason20242025!$N$2:$N$1315,1)</f>
        <v>0</v>
      </c>
      <c r="Y65" s="35"/>
      <c r="Z65" s="28">
        <f>COUNTIFS(DataRegularSeason20242025!$E$2:$E$1315,Y$1,DataRegularSeason20242025!$D$2:$D$1315,$A65,DataRegularSeason20242025!$N$2:$N$1315,1)</f>
        <v>0</v>
      </c>
      <c r="AA65" s="35"/>
      <c r="AB65" s="28">
        <f>COUNTIFS(DataRegularSeason20242025!$E$2:$E$1315,AA$1,DataRegularSeason20242025!$D$2:$D$1315,$A65,DataRegularSeason20242025!$N$2:$N$1315,1)</f>
        <v>0</v>
      </c>
      <c r="AC65" s="35"/>
      <c r="AD65" s="28">
        <f>COUNTIFS(DataRegularSeason20242025!$E$2:$E$1315,AC$1,DataRegularSeason20242025!$D$2:$D$1315,$A65,DataRegularSeason20242025!$N$2:$N$1315,1)</f>
        <v>0</v>
      </c>
      <c r="AE65" s="35"/>
      <c r="AF65" s="28">
        <f>COUNTIFS(DataRegularSeason20242025!$E$2:$E$1315,AE$1,DataRegularSeason20242025!$D$2:$D$1315,$A65,DataRegularSeason20242025!$N$2:$N$1315,1)</f>
        <v>0</v>
      </c>
      <c r="AG65" s="35"/>
      <c r="AH65" s="46">
        <f>COUNTIFS(DataRegularSeason20242025!$E$2:$E$1315,AG$1,DataRegularSeason20242025!$D$2:$D$1315,$A65,DataRegularSeason20242025!$N$2:$N$1315,1)</f>
        <v>0</v>
      </c>
      <c r="AI65" s="35"/>
      <c r="AJ65" s="28">
        <f>COUNTIFS(DataRegularSeason20242025!$E$2:$E$1315,AI$1,DataRegularSeason20242025!$D$2:$D$1315,$A65,DataRegularSeason20242025!$N$2:$N$1315,1)</f>
        <v>0</v>
      </c>
      <c r="AK65" s="35"/>
      <c r="AL65" s="28">
        <f>COUNTIFS(DataRegularSeason20242025!$E$2:$E$1315,AK$1,DataRegularSeason20242025!$D$2:$D$1315,$A65,DataRegularSeason20242025!$N$2:$N$1315,1)</f>
        <v>0</v>
      </c>
      <c r="AM65" s="35"/>
      <c r="AN65" s="28">
        <f>COUNTIFS(DataRegularSeason20242025!$E$2:$E$1315,AM$1,DataRegularSeason20242025!$D$2:$D$1315,$A65,DataRegularSeason20242025!$N$2:$N$1315,1)</f>
        <v>0</v>
      </c>
      <c r="AO65" s="35"/>
      <c r="AP65" s="28">
        <f>COUNTIFS(DataRegularSeason20242025!$E$2:$E$1315,AO$1,DataRegularSeason20242025!$D$2:$D$1315,$A65,DataRegularSeason20242025!$N$2:$N$1315,1)</f>
        <v>0</v>
      </c>
      <c r="AQ65" s="35"/>
      <c r="AR65" s="28">
        <f>COUNTIFS(DataRegularSeason20242025!$E$2:$E$1315,AQ$1,DataRegularSeason20242025!$D$2:$D$1315,$A65,DataRegularSeason20242025!$N$2:$N$1315,1)</f>
        <v>0</v>
      </c>
      <c r="AS65" s="35"/>
      <c r="AT65" s="28">
        <f>COUNTIFS(DataRegularSeason20242025!$E$2:$E$1315,AS$1,DataRegularSeason20242025!$D$2:$D$1315,$A65,DataRegularSeason20242025!$N$2:$N$1315,1)</f>
        <v>0</v>
      </c>
      <c r="AU65" s="35"/>
      <c r="AV65" s="28">
        <f>COUNTIFS(DataRegularSeason20242025!$E$2:$E$1315,AU$1,DataRegularSeason20242025!$D$2:$D$1315,$A65,DataRegularSeason20242025!$N$2:$N$1315,1)</f>
        <v>0</v>
      </c>
      <c r="AW65" s="35"/>
      <c r="AX65" s="46">
        <f>COUNTIFS(DataRegularSeason20242025!$E$2:$E$1315,AW$1,DataRegularSeason20242025!$D$2:$D$1315,$A65,DataRegularSeason20242025!$N$2:$N$1315,1)</f>
        <v>0</v>
      </c>
      <c r="AY65" s="35"/>
      <c r="AZ65" s="28">
        <f>COUNTIFS(DataRegularSeason20242025!$E$2:$E$1315,AY$1,DataRegularSeason20242025!$D$2:$D$1315,$A65,DataRegularSeason20242025!$N$2:$N$1315,1)</f>
        <v>0</v>
      </c>
      <c r="BA65" s="35"/>
      <c r="BB65" s="28">
        <f>COUNTIFS(DataRegularSeason20242025!$E$2:$E$1315,BA$1,DataRegularSeason20242025!$D$2:$D$1315,$A65,DataRegularSeason20242025!$N$2:$N$1315,1)</f>
        <v>0</v>
      </c>
      <c r="BC65" s="35"/>
      <c r="BD65" s="28">
        <f>COUNTIFS(DataRegularSeason20242025!$E$2:$E$1315,BC$1,DataRegularSeason20242025!$D$2:$D$1315,$A65,DataRegularSeason20242025!$N$2:$N$1315,1)</f>
        <v>1</v>
      </c>
      <c r="BE65" s="35"/>
      <c r="BF65" s="28">
        <f>COUNTIFS(DataRegularSeason20242025!$E$2:$E$1315,BE$1,DataRegularSeason20242025!$D$2:$D$1315,$A65,DataRegularSeason20242025!$N$2:$N$1315,1)</f>
        <v>0</v>
      </c>
      <c r="BG65" s="35"/>
      <c r="BH65" s="28">
        <f>COUNTIFS(DataRegularSeason20242025!$E$2:$E$1315,BG$1,DataRegularSeason20242025!$D$2:$D$1315,$A65,DataRegularSeason20242025!$N$2:$N$1315,1)</f>
        <v>0</v>
      </c>
      <c r="BI65" s="35"/>
      <c r="BJ65" s="28">
        <f>COUNTIFS(DataRegularSeason20242025!$E$2:$E$1315,BI$1,DataRegularSeason20242025!$D$2:$D$1315,$A65,DataRegularSeason20242025!$N$2:$N$1315,1)</f>
        <v>0</v>
      </c>
      <c r="BK65" s="35"/>
      <c r="BL65" s="28">
        <f>COUNTIFS(DataRegularSeason20242025!$E$2:$E$1315,BK$1,DataRegularSeason20242025!$D$2:$D$1315,$A65,DataRegularSeason20242025!$N$2:$N$1315,1)</f>
        <v>0</v>
      </c>
      <c r="BM65" s="35"/>
      <c r="BN65" s="36"/>
      <c r="BO65" s="30">
        <f t="shared" si="0"/>
        <v>1</v>
      </c>
      <c r="BP65" s="165">
        <f t="shared" ref="BP65" si="61">BO65+BO66</f>
        <v>7</v>
      </c>
      <c r="BQ65" s="166">
        <f t="shared" ref="BQ65" si="62">82-BP65</f>
        <v>75</v>
      </c>
    </row>
    <row r="66" spans="1:69" ht="12" customHeight="1" x14ac:dyDescent="0.25">
      <c r="A66" s="167"/>
      <c r="B66" s="32" t="s">
        <v>73</v>
      </c>
      <c r="C66" s="38">
        <f>COUNTIFS(DataRegularSeason20242025!$D$2:$D$1315,C$1,DataRegularSeason20242025!$E$2:$E$1315,$A65,DataRegularSeason20242025!$N$2:$N$1315,1)</f>
        <v>0</v>
      </c>
      <c r="D66" s="39"/>
      <c r="E66" s="38">
        <f>COUNTIFS(DataRegularSeason20242025!$D$2:$D$1315,E$1,DataRegularSeason20242025!$E$2:$E$1315,$A65,DataRegularSeason20242025!$N$2:$N$1315,1)</f>
        <v>0</v>
      </c>
      <c r="F66" s="39"/>
      <c r="G66" s="38">
        <f>COUNTIFS(DataRegularSeason20242025!$D$2:$D$1315,G$1,DataRegularSeason20242025!$E$2:$E$1315,$A65,DataRegularSeason20242025!$N$2:$N$1315,1)</f>
        <v>0</v>
      </c>
      <c r="H66" s="39"/>
      <c r="I66" s="38">
        <f>COUNTIFS(DataRegularSeason20242025!$D$2:$D$1315,I$1,DataRegularSeason20242025!$E$2:$E$1315,$A65,DataRegularSeason20242025!$N$2:$N$1315,1)</f>
        <v>0</v>
      </c>
      <c r="J66" s="39"/>
      <c r="K66" s="38">
        <f>COUNTIFS(DataRegularSeason20242025!$D$2:$D$1315,K$1,DataRegularSeason20242025!$E$2:$E$1315,$A65,DataRegularSeason20242025!$N$2:$N$1315,1)</f>
        <v>1</v>
      </c>
      <c r="L66" s="39"/>
      <c r="M66" s="38">
        <f>COUNTIFS(DataRegularSeason20242025!$D$2:$D$1315,M$1,DataRegularSeason20242025!$E$2:$E$1315,$A65,DataRegularSeason20242025!$N$2:$N$1315,1)</f>
        <v>0</v>
      </c>
      <c r="N66" s="39"/>
      <c r="O66" s="38">
        <f>COUNTIFS(DataRegularSeason20242025!$D$2:$D$1315,O$1,DataRegularSeason20242025!$E$2:$E$1315,$A65,DataRegularSeason20242025!$N$2:$N$1315,1)</f>
        <v>0</v>
      </c>
      <c r="P66" s="39"/>
      <c r="Q66" s="38">
        <f>COUNTIFS(DataRegularSeason20242025!$D$2:$D$1315,Q$1,DataRegularSeason20242025!$E$2:$E$1315,$A65,DataRegularSeason20242025!$N$2:$N$1315,1)</f>
        <v>0</v>
      </c>
      <c r="R66" s="47"/>
      <c r="S66" s="38">
        <f>COUNTIFS(DataRegularSeason20242025!$D$2:$D$1315,S$1,DataRegularSeason20242025!$E$2:$E$1315,$A65,DataRegularSeason20242025!$N$2:$N$1315,1)</f>
        <v>0</v>
      </c>
      <c r="T66" s="39"/>
      <c r="U66" s="38">
        <f>COUNTIFS(DataRegularSeason20242025!$D$2:$D$1315,U$1,DataRegularSeason20242025!$E$2:$E$1315,$A65,DataRegularSeason20242025!$N$2:$N$1315,1)</f>
        <v>0</v>
      </c>
      <c r="V66" s="39"/>
      <c r="W66" s="38">
        <f>COUNTIFS(DataRegularSeason20242025!$D$2:$D$1315,W$1,DataRegularSeason20242025!$E$2:$E$1315,$A65,DataRegularSeason20242025!$N$2:$N$1315,1)</f>
        <v>0</v>
      </c>
      <c r="X66" s="39"/>
      <c r="Y66" s="38">
        <f>COUNTIFS(DataRegularSeason20242025!$D$2:$D$1315,Y$1,DataRegularSeason20242025!$E$2:$E$1315,$A65,DataRegularSeason20242025!$N$2:$N$1315,1)</f>
        <v>0</v>
      </c>
      <c r="Z66" s="39"/>
      <c r="AA66" s="38">
        <f>COUNTIFS(DataRegularSeason20242025!$D$2:$D$1315,AA$1,DataRegularSeason20242025!$E$2:$E$1315,$A65,DataRegularSeason20242025!$N$2:$N$1315,1)</f>
        <v>1</v>
      </c>
      <c r="AB66" s="39"/>
      <c r="AC66" s="38">
        <f>COUNTIFS(DataRegularSeason20242025!$D$2:$D$1315,AC$1,DataRegularSeason20242025!$E$2:$E$1315,$A65,DataRegularSeason20242025!$N$2:$N$1315,1)</f>
        <v>0</v>
      </c>
      <c r="AD66" s="39"/>
      <c r="AE66" s="38">
        <f>COUNTIFS(DataRegularSeason20242025!$D$2:$D$1315,AE$1,DataRegularSeason20242025!$E$2:$E$1315,$A65,DataRegularSeason20242025!$N$2:$N$1315,1)</f>
        <v>0</v>
      </c>
      <c r="AF66" s="39"/>
      <c r="AG66" s="38">
        <f>COUNTIFS(DataRegularSeason20242025!$D$2:$D$1315,AG$1,DataRegularSeason20242025!$E$2:$E$1315,$A65,DataRegularSeason20242025!$N$2:$N$1315,1)</f>
        <v>0</v>
      </c>
      <c r="AH66" s="47"/>
      <c r="AI66" s="38">
        <f>COUNTIFS(DataRegularSeason20242025!$D$2:$D$1315,AI$1,DataRegularSeason20242025!$E$2:$E$1315,$A65,DataRegularSeason20242025!$N$2:$N$1315,1)</f>
        <v>0</v>
      </c>
      <c r="AJ66" s="39"/>
      <c r="AK66" s="38">
        <f>COUNTIFS(DataRegularSeason20242025!$D$2:$D$1315,AK$1,DataRegularSeason20242025!$E$2:$E$1315,$A65,DataRegularSeason20242025!$N$2:$N$1315,1)</f>
        <v>0</v>
      </c>
      <c r="AL66" s="39"/>
      <c r="AM66" s="38">
        <f>COUNTIFS(DataRegularSeason20242025!$D$2:$D$1315,AM$1,DataRegularSeason20242025!$E$2:$E$1315,$A65,DataRegularSeason20242025!$N$2:$N$1315,1)</f>
        <v>1</v>
      </c>
      <c r="AN66" s="39"/>
      <c r="AO66" s="38">
        <f>COUNTIFS(DataRegularSeason20242025!$D$2:$D$1315,AO$1,DataRegularSeason20242025!$E$2:$E$1315,$A65,DataRegularSeason20242025!$N$2:$N$1315,1)</f>
        <v>0</v>
      </c>
      <c r="AP66" s="39"/>
      <c r="AQ66" s="38">
        <f>COUNTIFS(DataRegularSeason20242025!$D$2:$D$1315,AQ$1,DataRegularSeason20242025!$E$2:$E$1315,$A65,DataRegularSeason20242025!$N$2:$N$1315,1)</f>
        <v>1</v>
      </c>
      <c r="AR66" s="39"/>
      <c r="AS66" s="38">
        <f>COUNTIFS(DataRegularSeason20242025!$D$2:$D$1315,AS$1,DataRegularSeason20242025!$E$2:$E$1315,$A65,DataRegularSeason20242025!$N$2:$N$1315,1)</f>
        <v>0</v>
      </c>
      <c r="AT66" s="39"/>
      <c r="AU66" s="38">
        <f>COUNTIFS(DataRegularSeason20242025!$D$2:$D$1315,AU$1,DataRegularSeason20242025!$E$2:$E$1315,$A65,DataRegularSeason20242025!$N$2:$N$1315,1)</f>
        <v>0</v>
      </c>
      <c r="AV66" s="39"/>
      <c r="AW66" s="38">
        <f>COUNTIFS(DataRegularSeason20242025!$D$2:$D$1315,AW$1,DataRegularSeason20242025!$E$2:$E$1315,$A65,DataRegularSeason20242025!$N$2:$N$1315,1)</f>
        <v>0</v>
      </c>
      <c r="AX66" s="47"/>
      <c r="AY66" s="38">
        <f>COUNTIFS(DataRegularSeason20242025!$D$2:$D$1315,AY$1,DataRegularSeason20242025!$E$2:$E$1315,$A65,DataRegularSeason20242025!$N$2:$N$1315,1)</f>
        <v>0</v>
      </c>
      <c r="AZ66" s="39"/>
      <c r="BA66" s="38">
        <f>COUNTIFS(DataRegularSeason20242025!$D$2:$D$1315,BA$1,DataRegularSeason20242025!$E$2:$E$1315,$A65,DataRegularSeason20242025!$N$2:$N$1315,1)</f>
        <v>0</v>
      </c>
      <c r="BB66" s="39"/>
      <c r="BC66" s="38">
        <f>COUNTIFS(DataRegularSeason20242025!$D$2:$D$1315,BC$1,DataRegularSeason20242025!$E$2:$E$1315,$A65,DataRegularSeason20242025!$N$2:$N$1315,1)</f>
        <v>1</v>
      </c>
      <c r="BD66" s="39"/>
      <c r="BE66" s="38">
        <f>COUNTIFS(DataRegularSeason20242025!$D$2:$D$1315,BE$1,DataRegularSeason20242025!$E$2:$E$1315,$A65,DataRegularSeason20242025!$N$2:$N$1315,1)</f>
        <v>0</v>
      </c>
      <c r="BF66" s="39"/>
      <c r="BG66" s="38">
        <f>COUNTIFS(DataRegularSeason20242025!$D$2:$D$1315,BG$1,DataRegularSeason20242025!$E$2:$E$1315,$A65,DataRegularSeason20242025!$N$2:$N$1315,1)</f>
        <v>1</v>
      </c>
      <c r="BH66" s="39"/>
      <c r="BI66" s="38">
        <f>COUNTIFS(DataRegularSeason20242025!$D$2:$D$1315,BI$1,DataRegularSeason20242025!$E$2:$E$1315,$A65,DataRegularSeason20242025!$N$2:$N$1315,1)</f>
        <v>0</v>
      </c>
      <c r="BJ66" s="39"/>
      <c r="BK66" s="38">
        <f>COUNTIFS(DataRegularSeason20242025!$D$2:$D$1315,BK$1,DataRegularSeason20242025!$E$2:$E$1315,$A65,DataRegularSeason20242025!$N$2:$N$1315,1)</f>
        <v>0</v>
      </c>
      <c r="BL66" s="39"/>
      <c r="BM66" s="38"/>
      <c r="BN66" s="39"/>
      <c r="BO66" s="34">
        <f t="shared" si="0"/>
        <v>6</v>
      </c>
      <c r="BP66" s="165"/>
      <c r="BQ66" s="166"/>
    </row>
    <row r="67" spans="1:69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>
        <f>SUM(BP3:BP66)/2</f>
        <v>107</v>
      </c>
      <c r="BQ67" s="27">
        <f>SUM(BQ3:BQ66)/2</f>
        <v>1205</v>
      </c>
    </row>
    <row r="68" spans="1:69" x14ac:dyDescent="0.25">
      <c r="BP68" s="43">
        <f>2*BP67/SUM(BP3:BQ66)</f>
        <v>8.1554878048780491E-2</v>
      </c>
      <c r="BQ68" s="43">
        <f>2*BQ67/SUM(BP3:BQ66)</f>
        <v>0.91844512195121952</v>
      </c>
    </row>
  </sheetData>
  <mergeCells count="128">
    <mergeCell ref="C1:D1"/>
    <mergeCell ref="E1:F1"/>
    <mergeCell ref="G1:H1"/>
    <mergeCell ref="I1:J1"/>
    <mergeCell ref="K1:L1"/>
    <mergeCell ref="M1:N1"/>
    <mergeCell ref="AU1:AV1"/>
    <mergeCell ref="AW1:AX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  <mergeCell ref="A7:A8"/>
    <mergeCell ref="BP7:BP8"/>
    <mergeCell ref="BQ7:BQ8"/>
    <mergeCell ref="A9:A10"/>
    <mergeCell ref="BP9:BP10"/>
    <mergeCell ref="BQ9:BQ10"/>
    <mergeCell ref="BK1:BL1"/>
    <mergeCell ref="BM1:BN1"/>
    <mergeCell ref="A3:A4"/>
    <mergeCell ref="BP3:BP4"/>
    <mergeCell ref="BQ3:BQ4"/>
    <mergeCell ref="A5:A6"/>
    <mergeCell ref="BP5:BP6"/>
    <mergeCell ref="BQ5:BQ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A15:A16"/>
    <mergeCell ref="BP15:BP16"/>
    <mergeCell ref="BQ15:BQ16"/>
    <mergeCell ref="A17:A18"/>
    <mergeCell ref="BP17:BP18"/>
    <mergeCell ref="BQ17:BQ18"/>
    <mergeCell ref="A11:A12"/>
    <mergeCell ref="BP11:BP12"/>
    <mergeCell ref="BQ11:BQ12"/>
    <mergeCell ref="A13:A14"/>
    <mergeCell ref="BP13:BP14"/>
    <mergeCell ref="BQ13:BQ14"/>
    <mergeCell ref="A23:A24"/>
    <mergeCell ref="BP23:BP24"/>
    <mergeCell ref="BQ23:BQ24"/>
    <mergeCell ref="A25:A26"/>
    <mergeCell ref="BP25:BP26"/>
    <mergeCell ref="BQ25:BQ26"/>
    <mergeCell ref="A19:A20"/>
    <mergeCell ref="BP19:BP20"/>
    <mergeCell ref="BQ19:BQ20"/>
    <mergeCell ref="A21:A22"/>
    <mergeCell ref="BP21:BP22"/>
    <mergeCell ref="BQ21:BQ22"/>
    <mergeCell ref="A31:A32"/>
    <mergeCell ref="BP31:BP32"/>
    <mergeCell ref="BQ31:BQ32"/>
    <mergeCell ref="A33:A34"/>
    <mergeCell ref="BP33:BP34"/>
    <mergeCell ref="BQ33:BQ34"/>
    <mergeCell ref="A27:A28"/>
    <mergeCell ref="BP27:BP28"/>
    <mergeCell ref="BQ27:BQ28"/>
    <mergeCell ref="A29:A30"/>
    <mergeCell ref="BP29:BP30"/>
    <mergeCell ref="BQ29:BQ30"/>
    <mergeCell ref="A39:A40"/>
    <mergeCell ref="BP39:BP40"/>
    <mergeCell ref="BQ39:BQ40"/>
    <mergeCell ref="A41:A42"/>
    <mergeCell ref="BP41:BP42"/>
    <mergeCell ref="BQ41:BQ42"/>
    <mergeCell ref="A35:A36"/>
    <mergeCell ref="BP35:BP36"/>
    <mergeCell ref="BQ35:BQ36"/>
    <mergeCell ref="A37:A38"/>
    <mergeCell ref="BP37:BP38"/>
    <mergeCell ref="BQ37:BQ38"/>
    <mergeCell ref="A47:A48"/>
    <mergeCell ref="BP47:BP48"/>
    <mergeCell ref="BQ47:BQ48"/>
    <mergeCell ref="A49:A50"/>
    <mergeCell ref="BP49:BP50"/>
    <mergeCell ref="BQ49:BQ50"/>
    <mergeCell ref="A43:A44"/>
    <mergeCell ref="BP43:BP44"/>
    <mergeCell ref="BQ43:BQ44"/>
    <mergeCell ref="A45:A46"/>
    <mergeCell ref="BP45:BP46"/>
    <mergeCell ref="BQ45:BQ46"/>
    <mergeCell ref="A55:A56"/>
    <mergeCell ref="BP55:BP56"/>
    <mergeCell ref="BQ55:BQ56"/>
    <mergeCell ref="A57:A58"/>
    <mergeCell ref="BP57:BP58"/>
    <mergeCell ref="BQ57:BQ58"/>
    <mergeCell ref="A51:A52"/>
    <mergeCell ref="BP51:BP52"/>
    <mergeCell ref="BQ51:BQ52"/>
    <mergeCell ref="A53:A54"/>
    <mergeCell ref="BP53:BP54"/>
    <mergeCell ref="BQ53:BQ54"/>
    <mergeCell ref="A63:A64"/>
    <mergeCell ref="BP63:BP64"/>
    <mergeCell ref="BQ63:BQ64"/>
    <mergeCell ref="A65:A66"/>
    <mergeCell ref="BP65:BP66"/>
    <mergeCell ref="BQ65:BQ66"/>
    <mergeCell ref="A59:A60"/>
    <mergeCell ref="BP59:BP60"/>
    <mergeCell ref="BQ59:BQ60"/>
    <mergeCell ref="A61:A62"/>
    <mergeCell ref="BP61:BP62"/>
    <mergeCell ref="BQ61:BQ62"/>
  </mergeCells>
  <conditionalFormatting sqref="C3:R18">
    <cfRule type="colorScale" priority="29">
      <colorScale>
        <cfvo type="min"/>
        <cfvo type="max"/>
        <color rgb="FFFCFCFF"/>
        <color theme="9"/>
      </colorScale>
    </cfRule>
  </conditionalFormatting>
  <conditionalFormatting sqref="C3:BN66">
    <cfRule type="colorScale" priority="30">
      <colorScale>
        <cfvo type="min"/>
        <cfvo type="max"/>
        <color rgb="FFFCFCFF"/>
        <color theme="8" tint="-0.249977111117893"/>
      </colorScale>
    </cfRule>
  </conditionalFormatting>
  <conditionalFormatting sqref="S19:T20">
    <cfRule type="colorScale" priority="25">
      <colorScale>
        <cfvo type="min"/>
        <cfvo type="max"/>
        <color rgb="FFFCFCFF"/>
        <color theme="9"/>
      </colorScale>
    </cfRule>
  </conditionalFormatting>
  <conditionalFormatting sqref="S19:AH34">
    <cfRule type="colorScale" priority="28">
      <colorScale>
        <cfvo type="min"/>
        <cfvo type="max"/>
        <color theme="3" tint="0.89999084444715716"/>
        <color theme="3" tint="0.499984740745262"/>
      </colorScale>
    </cfRule>
  </conditionalFormatting>
  <conditionalFormatting sqref="U21:V22">
    <cfRule type="colorScale" priority="24">
      <colorScale>
        <cfvo type="min"/>
        <cfvo type="max"/>
        <color rgb="FFFCFCFF"/>
        <color theme="9"/>
      </colorScale>
    </cfRule>
  </conditionalFormatting>
  <conditionalFormatting sqref="W23:X24">
    <cfRule type="colorScale" priority="23">
      <colorScale>
        <cfvo type="min"/>
        <cfvo type="max"/>
        <color rgb="FFFCFCFF"/>
        <color theme="9"/>
      </colorScale>
    </cfRule>
  </conditionalFormatting>
  <conditionalFormatting sqref="Y25:Z26">
    <cfRule type="colorScale" priority="22">
      <colorScale>
        <cfvo type="min"/>
        <cfvo type="max"/>
        <color rgb="FFFCFCFF"/>
        <color theme="9"/>
      </colorScale>
    </cfRule>
  </conditionalFormatting>
  <conditionalFormatting sqref="AA27:AB28">
    <cfRule type="colorScale" priority="21">
      <colorScale>
        <cfvo type="min"/>
        <cfvo type="max"/>
        <color rgb="FFFCFCFF"/>
        <color theme="9"/>
      </colorScale>
    </cfRule>
  </conditionalFormatting>
  <conditionalFormatting sqref="AC29:AD30">
    <cfRule type="colorScale" priority="20">
      <colorScale>
        <cfvo type="min"/>
        <cfvo type="max"/>
        <color rgb="FFFCFCFF"/>
        <color theme="9"/>
      </colorScale>
    </cfRule>
  </conditionalFormatting>
  <conditionalFormatting sqref="AE31:AF32">
    <cfRule type="colorScale" priority="19">
      <colorScale>
        <cfvo type="min"/>
        <cfvo type="max"/>
        <color rgb="FFFCFCFF"/>
        <color theme="9"/>
      </colorScale>
    </cfRule>
  </conditionalFormatting>
  <conditionalFormatting sqref="AG33:AH34">
    <cfRule type="colorScale" priority="18">
      <colorScale>
        <cfvo type="min"/>
        <cfvo type="max"/>
        <color rgb="FFFCFCFF"/>
        <color theme="9"/>
      </colorScale>
    </cfRule>
  </conditionalFormatting>
  <conditionalFormatting sqref="AI35:AJ36">
    <cfRule type="colorScale" priority="17">
      <colorScale>
        <cfvo type="min"/>
        <cfvo type="max"/>
        <color rgb="FFFCFCFF"/>
        <color theme="9"/>
      </colorScale>
    </cfRule>
  </conditionalFormatting>
  <conditionalFormatting sqref="AI35:AX50">
    <cfRule type="colorScale" priority="27">
      <colorScale>
        <cfvo type="min"/>
        <cfvo type="max"/>
        <color rgb="FFFCFCFF"/>
        <color rgb="FFE9CF0D"/>
      </colorScale>
    </cfRule>
  </conditionalFormatting>
  <conditionalFormatting sqref="AK37:AL38">
    <cfRule type="colorScale" priority="16">
      <colorScale>
        <cfvo type="min"/>
        <cfvo type="max"/>
        <color rgb="FFFCFCFF"/>
        <color theme="9"/>
      </colorScale>
    </cfRule>
  </conditionalFormatting>
  <conditionalFormatting sqref="AM39:AN40">
    <cfRule type="colorScale" priority="15">
      <colorScale>
        <cfvo type="min"/>
        <cfvo type="max"/>
        <color rgb="FFFCFCFF"/>
        <color theme="9"/>
      </colorScale>
    </cfRule>
  </conditionalFormatting>
  <conditionalFormatting sqref="AO41:AP42">
    <cfRule type="colorScale" priority="14">
      <colorScale>
        <cfvo type="min"/>
        <cfvo type="max"/>
        <color rgb="FFFCFCFF"/>
        <color theme="9"/>
      </colorScale>
    </cfRule>
  </conditionalFormatting>
  <conditionalFormatting sqref="AQ43:AR44">
    <cfRule type="colorScale" priority="13">
      <colorScale>
        <cfvo type="min"/>
        <cfvo type="max"/>
        <color rgb="FFFCFCFF"/>
        <color theme="9"/>
      </colorScale>
    </cfRule>
  </conditionalFormatting>
  <conditionalFormatting sqref="AS45:AT46">
    <cfRule type="colorScale" priority="12">
      <colorScale>
        <cfvo type="min"/>
        <cfvo type="max"/>
        <color rgb="FFFCFCFF"/>
        <color theme="9"/>
      </colorScale>
    </cfRule>
  </conditionalFormatting>
  <conditionalFormatting sqref="AU47:AV48">
    <cfRule type="colorScale" priority="11">
      <colorScale>
        <cfvo type="min"/>
        <cfvo type="max"/>
        <color rgb="FFFCFCFF"/>
        <color theme="9"/>
      </colorScale>
    </cfRule>
  </conditionalFormatting>
  <conditionalFormatting sqref="AW49:AX50">
    <cfRule type="colorScale" priority="10">
      <colorScale>
        <cfvo type="min"/>
        <cfvo type="max"/>
        <color rgb="FFFCFCFF"/>
        <color theme="9"/>
      </colorScale>
    </cfRule>
  </conditionalFormatting>
  <conditionalFormatting sqref="AY51:AZ52">
    <cfRule type="colorScale" priority="9">
      <colorScale>
        <cfvo type="min"/>
        <cfvo type="max"/>
        <color rgb="FFFCFCFF"/>
        <color theme="9"/>
      </colorScale>
    </cfRule>
  </conditionalFormatting>
  <conditionalFormatting sqref="AY51:BN66">
    <cfRule type="colorScale" priority="26">
      <colorScale>
        <cfvo type="min"/>
        <cfvo type="max"/>
        <color rgb="FFFCFCFF"/>
        <color rgb="FFFF5050"/>
      </colorScale>
    </cfRule>
  </conditionalFormatting>
  <conditionalFormatting sqref="BA53:BB54">
    <cfRule type="colorScale" priority="8">
      <colorScale>
        <cfvo type="min"/>
        <cfvo type="max"/>
        <color rgb="FFFCFCFF"/>
        <color theme="9"/>
      </colorScale>
    </cfRule>
  </conditionalFormatting>
  <conditionalFormatting sqref="BC55:BD56">
    <cfRule type="colorScale" priority="7">
      <colorScale>
        <cfvo type="min"/>
        <cfvo type="max"/>
        <color rgb="FFFCFCFF"/>
        <color theme="9"/>
      </colorScale>
    </cfRule>
  </conditionalFormatting>
  <conditionalFormatting sqref="BE57:BF58">
    <cfRule type="colorScale" priority="6">
      <colorScale>
        <cfvo type="min"/>
        <cfvo type="max"/>
        <color rgb="FFFCFCFF"/>
        <color theme="9"/>
      </colorScale>
    </cfRule>
  </conditionalFormatting>
  <conditionalFormatting sqref="BG59:BH60">
    <cfRule type="colorScale" priority="5">
      <colorScale>
        <cfvo type="min"/>
        <cfvo type="max"/>
        <color rgb="FFFCFCFF"/>
        <color theme="9"/>
      </colorScale>
    </cfRule>
  </conditionalFormatting>
  <conditionalFormatting sqref="BI61:BJ62">
    <cfRule type="colorScale" priority="4">
      <colorScale>
        <cfvo type="min"/>
        <cfvo type="max"/>
        <color rgb="FFFCFCFF"/>
        <color theme="9"/>
      </colorScale>
    </cfRule>
  </conditionalFormatting>
  <conditionalFormatting sqref="BK63:BL64">
    <cfRule type="colorScale" priority="3">
      <colorScale>
        <cfvo type="min"/>
        <cfvo type="max"/>
        <color rgb="FFFCFCFF"/>
        <color theme="9"/>
      </colorScale>
    </cfRule>
  </conditionalFormatting>
  <conditionalFormatting sqref="BM65:BN66">
    <cfRule type="colorScale" priority="1">
      <colorScale>
        <cfvo type="min"/>
        <cfvo type="max"/>
        <color rgb="FFFCFCFF"/>
        <color theme="9"/>
      </colorScale>
    </cfRule>
    <cfRule type="colorScale" priority="2">
      <colorScale>
        <cfvo type="min"/>
        <cfvo type="max"/>
        <color rgb="FFFCFCFF"/>
        <color theme="9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BFB73-1C59-48E3-8011-20666F4AF797}">
  <dimension ref="A1:AM69"/>
  <sheetViews>
    <sheetView workbookViewId="0">
      <selection activeCell="D8" sqref="D8"/>
    </sheetView>
  </sheetViews>
  <sheetFormatPr defaultRowHeight="15" x14ac:dyDescent="0.25"/>
  <cols>
    <col min="2" max="6" width="5.42578125" bestFit="1" customWidth="1"/>
    <col min="7" max="7" width="5.42578125" customWidth="1"/>
    <col min="8" max="33" width="5.42578125" bestFit="1" customWidth="1"/>
  </cols>
  <sheetData>
    <row r="1" spans="1:33" ht="15.75" thickBot="1" x14ac:dyDescent="0.3">
      <c r="A1" s="59"/>
      <c r="B1" s="91" t="s">
        <v>44</v>
      </c>
      <c r="C1" s="91" t="s">
        <v>23</v>
      </c>
      <c r="D1" s="91" t="s">
        <v>22</v>
      </c>
      <c r="E1" s="91" t="s">
        <v>27</v>
      </c>
      <c r="F1" s="91" t="s">
        <v>11</v>
      </c>
      <c r="G1" s="91" t="s">
        <v>37</v>
      </c>
      <c r="H1" s="91" t="s">
        <v>24</v>
      </c>
      <c r="I1" s="92" t="s">
        <v>26</v>
      </c>
      <c r="J1" s="91" t="s">
        <v>16</v>
      </c>
      <c r="K1" s="91" t="s">
        <v>25</v>
      </c>
      <c r="L1" s="91" t="s">
        <v>33</v>
      </c>
      <c r="M1" s="91" t="s">
        <v>36</v>
      </c>
      <c r="N1" s="91" t="s">
        <v>34</v>
      </c>
      <c r="O1" s="91" t="s">
        <v>12</v>
      </c>
      <c r="P1" s="91" t="s">
        <v>14</v>
      </c>
      <c r="Q1" s="93" t="s">
        <v>21</v>
      </c>
      <c r="R1" s="91" t="s">
        <v>41</v>
      </c>
      <c r="S1" s="91" t="s">
        <v>35</v>
      </c>
      <c r="T1" s="91" t="s">
        <v>31</v>
      </c>
      <c r="U1" s="91" t="s">
        <v>32</v>
      </c>
      <c r="V1" s="91" t="s">
        <v>19</v>
      </c>
      <c r="W1" s="91" t="s">
        <v>42</v>
      </c>
      <c r="X1" s="91" t="s">
        <v>20</v>
      </c>
      <c r="Y1" s="92" t="s">
        <v>43</v>
      </c>
      <c r="Z1" s="91" t="s">
        <v>15</v>
      </c>
      <c r="AA1" s="91" t="s">
        <v>28</v>
      </c>
      <c r="AB1" s="91" t="s">
        <v>30</v>
      </c>
      <c r="AC1" s="91" t="s">
        <v>13</v>
      </c>
      <c r="AD1" s="94" t="s">
        <v>18</v>
      </c>
      <c r="AE1" s="91" t="s">
        <v>29</v>
      </c>
      <c r="AF1" s="91" t="s">
        <v>40</v>
      </c>
      <c r="AG1" s="91" t="s">
        <v>17</v>
      </c>
    </row>
    <row r="2" spans="1:33" ht="15.75" thickTop="1" x14ac:dyDescent="0.25">
      <c r="A2" s="57" t="s">
        <v>44</v>
      </c>
      <c r="B2" s="89"/>
      <c r="C2" t="str">
        <f>_xlfn.CONCAT(TEXT(SUMIFS(Table2[AwayWon], Table2[GameIsOver],1,Table2[AwayTeam],$A2, Table2[HomeTeam], C$1) + SUMIFS(Table2[HomeWon_], Table2[GameIsOver],1,Table2[HomeTeam],$A2, Table2[AwayTeam], C$1),0), "-", TEXT(SUMIFS(Table2[HomeWon_], Table2[GameIsOver],1,Table2[AwayTeam],$A2, Table2[HomeTeam], C$1, Table2[ActualResult], "REG") + SUMIFS(Table2[AwayWon], Table2[GameIsOver],1,Table2[HomeTeam],$A2, Table2[AwayTeam], C$1, Table2[ActualResult], "REG"),0), "-", TEXT(SUMIFS(Table2[HomeWon_], Table2[GameIsOver],1,Table2[AwayTeam],$A2, Table2[HomeTeam], C$1, Table2[ActualResult], "OT") + SUMIFS(Table2[AwayWon], Table2[GameIsOver],1,Table2[HomeTeam],$A2, Table2[AwayTeam], C$1, Table2[ActualResult], "OT") + SUMIFS(Table2[HomeWon_], Table2[GameIsOver],1,Table2[AwayTeam],$A2, Table2[HomeTeam], C$1, Table2[ActualResult], "SO") + SUMIFS(Table2[AwayWon], Table2[GameIsOver],1,Table2[HomeTeam],$A2, Table2[AwayTeam], C$1, Table2[ActualResult], "SO"),0))</f>
        <v>0-0-0</v>
      </c>
      <c r="D2" t="str">
        <f>_xlfn.CONCAT(TEXT(SUMIFS(Table2[AwayWon], Table2[GameIsOver],1,Table2[AwayTeam],$A2, Table2[HomeTeam], D$1) + SUMIFS(Table2[HomeWon_], Table2[GameIsOver],1,Table2[HomeTeam],$A2, Table2[AwayTeam], D$1),0), "-", TEXT(SUMIFS(Table2[HomeWon_], Table2[GameIsOver],1,Table2[AwayTeam],$A2, Table2[HomeTeam], D$1, Table2[ActualResult], "REG") + SUMIFS(Table2[AwayWon], Table2[GameIsOver],1,Table2[HomeTeam],$A2, Table2[AwayTeam], D$1, Table2[ActualResult], "REG"),0), "-", TEXT(SUMIFS(Table2[HomeWon_], Table2[GameIsOver],1,Table2[AwayTeam],$A2, Table2[HomeTeam], D$1, Table2[ActualResult], "OT") + SUMIFS(Table2[AwayWon], Table2[GameIsOver],1,Table2[HomeTeam],$A2, Table2[AwayTeam], D$1, Table2[ActualResult], "OT") + SUMIFS(Table2[HomeWon_], Table2[GameIsOver],1,Table2[AwayTeam],$A2, Table2[HomeTeam], D$1, Table2[ActualResult], "SO") + SUMIFS(Table2[AwayWon], Table2[GameIsOver],1,Table2[HomeTeam],$A2, Table2[AwayTeam], D$1, Table2[ActualResult], "SO"),0))</f>
        <v>0-0-0</v>
      </c>
      <c r="E2" t="str">
        <f>_xlfn.CONCAT(TEXT(SUMIFS(Table2[AwayWon], Table2[GameIsOver],1,Table2[AwayTeam],$A2, Table2[HomeTeam], E$1) + SUMIFS(Table2[HomeWon_], Table2[GameIsOver],1,Table2[HomeTeam],$A2, Table2[AwayTeam], E$1),0), "-", TEXT(SUMIFS(Table2[HomeWon_], Table2[GameIsOver],1,Table2[AwayTeam],$A2, Table2[HomeTeam], E$1, Table2[ActualResult], "REG") + SUMIFS(Table2[AwayWon], Table2[GameIsOver],1,Table2[HomeTeam],$A2, Table2[AwayTeam], E$1, Table2[ActualResult], "REG"),0), "-", TEXT(SUMIFS(Table2[HomeWon_], Table2[GameIsOver],1,Table2[AwayTeam],$A2, Table2[HomeTeam], E$1, Table2[ActualResult], "OT") + SUMIFS(Table2[AwayWon], Table2[GameIsOver],1,Table2[HomeTeam],$A2, Table2[AwayTeam], E$1, Table2[ActualResult], "OT") + SUMIFS(Table2[HomeWon_], Table2[GameIsOver],1,Table2[AwayTeam],$A2, Table2[HomeTeam], E$1, Table2[ActualResult], "SO") + SUMIFS(Table2[AwayWon], Table2[GameIsOver],1,Table2[HomeTeam],$A2, Table2[AwayTeam], E$1, Table2[ActualResult], "SO"),0))</f>
        <v>0-0-0</v>
      </c>
      <c r="F2" t="str">
        <f>_xlfn.CONCAT(TEXT(SUMIFS(Table2[AwayWon], Table2[GameIsOver],1,Table2[AwayTeam],$A2, Table2[HomeTeam], F$1) + SUMIFS(Table2[HomeWon_], Table2[GameIsOver],1,Table2[HomeTeam],$A2, Table2[AwayTeam], F$1),0), "-", TEXT(SUMIFS(Table2[HomeWon_], Table2[GameIsOver],1,Table2[AwayTeam],$A2, Table2[HomeTeam], F$1, Table2[ActualResult], "REG") + SUMIFS(Table2[AwayWon], Table2[GameIsOver],1,Table2[HomeTeam],$A2, Table2[AwayTeam], F$1, Table2[ActualResult], "REG"),0), "-", TEXT(SUMIFS(Table2[HomeWon_], Table2[GameIsOver],1,Table2[AwayTeam],$A2, Table2[HomeTeam], F$1, Table2[ActualResult], "OT") + SUMIFS(Table2[AwayWon], Table2[GameIsOver],1,Table2[HomeTeam],$A2, Table2[AwayTeam], F$1, Table2[ActualResult], "OT") + SUMIFS(Table2[HomeWon_], Table2[GameIsOver],1,Table2[AwayTeam],$A2, Table2[HomeTeam], F$1, Table2[ActualResult], "SO") + SUMIFS(Table2[AwayWon], Table2[GameIsOver],1,Table2[HomeTeam],$A2, Table2[AwayTeam], F$1, Table2[ActualResult], "SO"),0))</f>
        <v>0-1-0</v>
      </c>
      <c r="G2" t="str">
        <f>_xlfn.CONCAT(TEXT(SUMIFS(Table2[AwayWon], Table2[GameIsOver],1,Table2[AwayTeam],$A2, Table2[HomeTeam], G$1) + SUMIFS(Table2[HomeWon_], Table2[GameIsOver],1,Table2[HomeTeam],$A2, Table2[AwayTeam], G$1),0), "-", TEXT(SUMIFS(Table2[HomeWon_], Table2[GameIsOver],1,Table2[AwayTeam],$A2, Table2[HomeTeam], G$1, Table2[ActualResult], "REG") + SUMIFS(Table2[AwayWon], Table2[GameIsOver],1,Table2[HomeTeam],$A2, Table2[AwayTeam], G$1, Table2[ActualResult], "REG"),0), "-", TEXT(SUMIFS(Table2[HomeWon_], Table2[GameIsOver],1,Table2[AwayTeam],$A2, Table2[HomeTeam], G$1, Table2[ActualResult], "OT") + SUMIFS(Table2[AwayWon], Table2[GameIsOver],1,Table2[HomeTeam],$A2, Table2[AwayTeam], G$1, Table2[ActualResult], "OT") + SUMIFS(Table2[HomeWon_], Table2[GameIsOver],1,Table2[AwayTeam],$A2, Table2[HomeTeam], G$1, Table2[ActualResult], "SO") + SUMIFS(Table2[AwayWon], Table2[GameIsOver],1,Table2[HomeTeam],$A2, Table2[AwayTeam], G$1, Table2[ActualResult], "SO"),0))</f>
        <v>1-0-0</v>
      </c>
      <c r="H2" t="str">
        <f>_xlfn.CONCAT(TEXT(SUMIFS(Table2[AwayWon], Table2[GameIsOver],1,Table2[AwayTeam],$A2, Table2[HomeTeam], H$1) + SUMIFS(Table2[HomeWon_], Table2[GameIsOver],1,Table2[HomeTeam],$A2, Table2[AwayTeam], H$1),0), "-", TEXT(SUMIFS(Table2[HomeWon_], Table2[GameIsOver],1,Table2[AwayTeam],$A2, Table2[HomeTeam], H$1, Table2[ActualResult], "REG") + SUMIFS(Table2[AwayWon], Table2[GameIsOver],1,Table2[HomeTeam],$A2, Table2[AwayTeam], H$1, Table2[ActualResult], "REG"),0), "-", TEXT(SUMIFS(Table2[HomeWon_], Table2[GameIsOver],1,Table2[AwayTeam],$A2, Table2[HomeTeam], H$1, Table2[ActualResult], "OT") + SUMIFS(Table2[AwayWon], Table2[GameIsOver],1,Table2[HomeTeam],$A2, Table2[AwayTeam], H$1, Table2[ActualResult], "OT") + SUMIFS(Table2[HomeWon_], Table2[GameIsOver],1,Table2[AwayTeam],$A2, Table2[HomeTeam], H$1, Table2[ActualResult], "SO") + SUMIFS(Table2[AwayWon], Table2[GameIsOver],1,Table2[HomeTeam],$A2, Table2[AwayTeam], H$1, Table2[ActualResult], "SO"),0))</f>
        <v>0-0-0</v>
      </c>
      <c r="I2" s="57" t="str">
        <f>_xlfn.CONCAT(TEXT(SUMIFS(Table2[AwayWon], Table2[GameIsOver],1,Table2[AwayTeam],$A2, Table2[HomeTeam], I$1) + SUMIFS(Table2[HomeWon_], Table2[GameIsOver],1,Table2[HomeTeam],$A2, Table2[AwayTeam], I$1),0), "-", TEXT(SUMIFS(Table2[HomeWon_], Table2[GameIsOver],1,Table2[AwayTeam],$A2, Table2[HomeTeam], I$1, Table2[ActualResult], "REG") + SUMIFS(Table2[AwayWon], Table2[GameIsOver],1,Table2[HomeTeam],$A2, Table2[AwayTeam], I$1, Table2[ActualResult], "REG"),0), "-", TEXT(SUMIFS(Table2[HomeWon_], Table2[GameIsOver],1,Table2[AwayTeam],$A2, Table2[HomeTeam], I$1, Table2[ActualResult], "OT") + SUMIFS(Table2[AwayWon], Table2[GameIsOver],1,Table2[HomeTeam],$A2, Table2[AwayTeam], I$1, Table2[ActualResult], "OT") + SUMIFS(Table2[HomeWon_], Table2[GameIsOver],1,Table2[AwayTeam],$A2, Table2[HomeTeam], I$1, Table2[ActualResult], "SO") + SUMIFS(Table2[AwayWon], Table2[GameIsOver],1,Table2[HomeTeam],$A2, Table2[AwayTeam], I$1, Table2[ActualResult], "SO"),0))</f>
        <v>0-0-0</v>
      </c>
      <c r="J2" t="str">
        <f>_xlfn.CONCAT(TEXT(SUMIFS(Table2[AwayWon], Table2[GameIsOver],1,Table2[AwayTeam],$A2, Table2[HomeTeam], J$1) + SUMIFS(Table2[HomeWon_], Table2[GameIsOver],1,Table2[HomeTeam],$A2, Table2[AwayTeam], J$1),0), "-", TEXT(SUMIFS(Table2[HomeWon_], Table2[GameIsOver],1,Table2[AwayTeam],$A2, Table2[HomeTeam], J$1, Table2[ActualResult], "REG") + SUMIFS(Table2[AwayWon], Table2[GameIsOver],1,Table2[HomeTeam],$A2, Table2[AwayTeam], J$1, Table2[ActualResult], "REG"),0), "-", TEXT(SUMIFS(Table2[HomeWon_], Table2[GameIsOver],1,Table2[AwayTeam],$A2, Table2[HomeTeam], J$1, Table2[ActualResult], "OT") + SUMIFS(Table2[AwayWon], Table2[GameIsOver],1,Table2[HomeTeam],$A2, Table2[AwayTeam], J$1, Table2[ActualResult], "OT") + SUMIFS(Table2[HomeWon_], Table2[GameIsOver],1,Table2[AwayTeam],$A2, Table2[HomeTeam], J$1, Table2[ActualResult], "SO") + SUMIFS(Table2[AwayWon], Table2[GameIsOver],1,Table2[HomeTeam],$A2, Table2[AwayTeam], J$1, Table2[ActualResult], "SO"),0))</f>
        <v>0-0-1</v>
      </c>
      <c r="K2" t="str">
        <f>_xlfn.CONCAT(TEXT(SUMIFS(Table2[AwayWon], Table2[GameIsOver],1,Table2[AwayTeam],$A2, Table2[HomeTeam], K$1) + SUMIFS(Table2[HomeWon_], Table2[GameIsOver],1,Table2[HomeTeam],$A2, Table2[AwayTeam], K$1),0), "-", TEXT(SUMIFS(Table2[HomeWon_], Table2[GameIsOver],1,Table2[AwayTeam],$A2, Table2[HomeTeam], K$1, Table2[ActualResult], "REG") + SUMIFS(Table2[AwayWon], Table2[GameIsOver],1,Table2[HomeTeam],$A2, Table2[AwayTeam], K$1, Table2[ActualResult], "REG"),0), "-", TEXT(SUMIFS(Table2[HomeWon_], Table2[GameIsOver],1,Table2[AwayTeam],$A2, Table2[HomeTeam], K$1, Table2[ActualResult], "OT") + SUMIFS(Table2[AwayWon], Table2[GameIsOver],1,Table2[HomeTeam],$A2, Table2[AwayTeam], K$1, Table2[ActualResult], "OT") + SUMIFS(Table2[HomeWon_], Table2[GameIsOver],1,Table2[AwayTeam],$A2, Table2[HomeTeam], K$1, Table2[ActualResult], "SO") + SUMIFS(Table2[AwayWon], Table2[GameIsOver],1,Table2[HomeTeam],$A2, Table2[AwayTeam], K$1, Table2[ActualResult], "SO"),0))</f>
        <v>0-0-0</v>
      </c>
      <c r="L2" t="str">
        <f>_xlfn.CONCAT(TEXT(SUMIFS(Table2[AwayWon], Table2[GameIsOver],1,Table2[AwayTeam],$A2, Table2[HomeTeam], L$1) + SUMIFS(Table2[HomeWon_], Table2[GameIsOver],1,Table2[HomeTeam],$A2, Table2[AwayTeam], L$1),0), "-", TEXT(SUMIFS(Table2[HomeWon_], Table2[GameIsOver],1,Table2[AwayTeam],$A2, Table2[HomeTeam], L$1, Table2[ActualResult], "REG") + SUMIFS(Table2[AwayWon], Table2[GameIsOver],1,Table2[HomeTeam],$A2, Table2[AwayTeam], L$1, Table2[ActualResult], "REG"),0), "-", TEXT(SUMIFS(Table2[HomeWon_], Table2[GameIsOver],1,Table2[AwayTeam],$A2, Table2[HomeTeam], L$1, Table2[ActualResult], "OT") + SUMIFS(Table2[AwayWon], Table2[GameIsOver],1,Table2[HomeTeam],$A2, Table2[AwayTeam], L$1, Table2[ActualResult], "OT") + SUMIFS(Table2[HomeWon_], Table2[GameIsOver],1,Table2[AwayTeam],$A2, Table2[HomeTeam], L$1, Table2[ActualResult], "SO") + SUMIFS(Table2[AwayWon], Table2[GameIsOver],1,Table2[HomeTeam],$A2, Table2[AwayTeam], L$1, Table2[ActualResult], "SO"),0))</f>
        <v>0-0-0</v>
      </c>
      <c r="M2" t="str">
        <f>_xlfn.CONCAT(TEXT(SUMIFS(Table2[AwayWon], Table2[GameIsOver],1,Table2[AwayTeam],$A2, Table2[HomeTeam], M$1) + SUMIFS(Table2[HomeWon_], Table2[GameIsOver],1,Table2[HomeTeam],$A2, Table2[AwayTeam], M$1),0), "-", TEXT(SUMIFS(Table2[HomeWon_], Table2[GameIsOver],1,Table2[AwayTeam],$A2, Table2[HomeTeam], M$1, Table2[ActualResult], "REG") + SUMIFS(Table2[AwayWon], Table2[GameIsOver],1,Table2[HomeTeam],$A2, Table2[AwayTeam], M$1, Table2[ActualResult], "REG"),0), "-", TEXT(SUMIFS(Table2[HomeWon_], Table2[GameIsOver],1,Table2[AwayTeam],$A2, Table2[HomeTeam], M$1, Table2[ActualResult], "OT") + SUMIFS(Table2[AwayWon], Table2[GameIsOver],1,Table2[HomeTeam],$A2, Table2[AwayTeam], M$1, Table2[ActualResult], "OT") + SUMIFS(Table2[HomeWon_], Table2[GameIsOver],1,Table2[AwayTeam],$A2, Table2[HomeTeam], M$1, Table2[ActualResult], "SO") + SUMIFS(Table2[AwayWon], Table2[GameIsOver],1,Table2[HomeTeam],$A2, Table2[AwayTeam], M$1, Table2[ActualResult], "SO"),0))</f>
        <v>0-0-0</v>
      </c>
      <c r="N2" t="str">
        <f>_xlfn.CONCAT(TEXT(SUMIFS(Table2[AwayWon], Table2[GameIsOver],1,Table2[AwayTeam],$A2, Table2[HomeTeam], N$1) + SUMIFS(Table2[HomeWon_], Table2[GameIsOver],1,Table2[HomeTeam],$A2, Table2[AwayTeam], N$1),0), "-", TEXT(SUMIFS(Table2[HomeWon_], Table2[GameIsOver],1,Table2[AwayTeam],$A2, Table2[HomeTeam], N$1, Table2[ActualResult], "REG") + SUMIFS(Table2[AwayWon], Table2[GameIsOver],1,Table2[HomeTeam],$A2, Table2[AwayTeam], N$1, Table2[ActualResult], "REG"),0), "-", TEXT(SUMIFS(Table2[HomeWon_], Table2[GameIsOver],1,Table2[AwayTeam],$A2, Table2[HomeTeam], N$1, Table2[ActualResult], "OT") + SUMIFS(Table2[AwayWon], Table2[GameIsOver],1,Table2[HomeTeam],$A2, Table2[AwayTeam], N$1, Table2[ActualResult], "OT") + SUMIFS(Table2[HomeWon_], Table2[GameIsOver],1,Table2[AwayTeam],$A2, Table2[HomeTeam], N$1, Table2[ActualResult], "SO") + SUMIFS(Table2[AwayWon], Table2[GameIsOver],1,Table2[HomeTeam],$A2, Table2[AwayTeam], N$1, Table2[ActualResult], "SO"),0))</f>
        <v>1-0-0</v>
      </c>
      <c r="O2" t="str">
        <f>_xlfn.CONCAT(TEXT(SUMIFS(Table2[AwayWon], Table2[GameIsOver],1,Table2[AwayTeam],$A2, Table2[HomeTeam], O$1) + SUMIFS(Table2[HomeWon_], Table2[GameIsOver],1,Table2[HomeTeam],$A2, Table2[AwayTeam], O$1),0), "-", TEXT(SUMIFS(Table2[HomeWon_], Table2[GameIsOver],1,Table2[AwayTeam],$A2, Table2[HomeTeam], O$1, Table2[ActualResult], "REG") + SUMIFS(Table2[AwayWon], Table2[GameIsOver],1,Table2[HomeTeam],$A2, Table2[AwayTeam], O$1, Table2[ActualResult], "REG"),0), "-", TEXT(SUMIFS(Table2[HomeWon_], Table2[GameIsOver],1,Table2[AwayTeam],$A2, Table2[HomeTeam], O$1, Table2[ActualResult], "OT") + SUMIFS(Table2[AwayWon], Table2[GameIsOver],1,Table2[HomeTeam],$A2, Table2[AwayTeam], O$1, Table2[ActualResult], "OT") + SUMIFS(Table2[HomeWon_], Table2[GameIsOver],1,Table2[AwayTeam],$A2, Table2[HomeTeam], O$1, Table2[ActualResult], "SO") + SUMIFS(Table2[AwayWon], Table2[GameIsOver],1,Table2[HomeTeam],$A2, Table2[AwayTeam], O$1, Table2[ActualResult], "SO"),0))</f>
        <v>0-0-0</v>
      </c>
      <c r="P2" t="str">
        <f>_xlfn.CONCAT(TEXT(SUMIFS(Table2[AwayWon], Table2[GameIsOver],1,Table2[AwayTeam],$A2, Table2[HomeTeam], P$1) + SUMIFS(Table2[HomeWon_], Table2[GameIsOver],1,Table2[HomeTeam],$A2, Table2[AwayTeam], P$1),0), "-", TEXT(SUMIFS(Table2[HomeWon_], Table2[GameIsOver],1,Table2[AwayTeam],$A2, Table2[HomeTeam], P$1, Table2[ActualResult], "REG") + SUMIFS(Table2[AwayWon], Table2[GameIsOver],1,Table2[HomeTeam],$A2, Table2[AwayTeam], P$1, Table2[ActualResult], "REG"),0), "-", TEXT(SUMIFS(Table2[HomeWon_], Table2[GameIsOver],1,Table2[AwayTeam],$A2, Table2[HomeTeam], P$1, Table2[ActualResult], "OT") + SUMIFS(Table2[AwayWon], Table2[GameIsOver],1,Table2[HomeTeam],$A2, Table2[AwayTeam], P$1, Table2[ActualResult], "OT") + SUMIFS(Table2[HomeWon_], Table2[GameIsOver],1,Table2[AwayTeam],$A2, Table2[HomeTeam], P$1, Table2[ActualResult], "SO") + SUMIFS(Table2[AwayWon], Table2[GameIsOver],1,Table2[HomeTeam],$A2, Table2[AwayTeam], P$1, Table2[ActualResult], "SO"),0))</f>
        <v>0-0-0</v>
      </c>
      <c r="Q2" s="57" t="str">
        <f>_xlfn.CONCAT(TEXT(SUMIFS(Table2[AwayWon], Table2[GameIsOver],1,Table2[AwayTeam],$A2, Table2[HomeTeam], Q$1) + SUMIFS(Table2[HomeWon_], Table2[GameIsOver],1,Table2[HomeTeam],$A2, Table2[AwayTeam], Q$1),0), "-", TEXT(SUMIFS(Table2[HomeWon_], Table2[GameIsOver],1,Table2[AwayTeam],$A2, Table2[HomeTeam], Q$1, Table2[ActualResult], "REG") + SUMIFS(Table2[AwayWon], Table2[GameIsOver],1,Table2[HomeTeam],$A2, Table2[AwayTeam], Q$1, Table2[ActualResult], "REG"),0), "-", TEXT(SUMIFS(Table2[HomeWon_], Table2[GameIsOver],1,Table2[AwayTeam],$A2, Table2[HomeTeam], Q$1, Table2[ActualResult], "OT") + SUMIFS(Table2[AwayWon], Table2[GameIsOver],1,Table2[HomeTeam],$A2, Table2[AwayTeam], Q$1, Table2[ActualResult], "OT") + SUMIFS(Table2[HomeWon_], Table2[GameIsOver],1,Table2[AwayTeam],$A2, Table2[HomeTeam], Q$1, Table2[ActualResult], "SO") + SUMIFS(Table2[AwayWon], Table2[GameIsOver],1,Table2[HomeTeam],$A2, Table2[AwayTeam], Q$1, Table2[ActualResult], "SO"),0))</f>
        <v>0-0-0</v>
      </c>
      <c r="R2" t="str">
        <f>_xlfn.CONCAT(TEXT(SUMIFS(Table2[AwayWon], Table2[GameIsOver],1,Table2[AwayTeam],$A2, Table2[HomeTeam], R$1) + SUMIFS(Table2[HomeWon_], Table2[GameIsOver],1,Table2[HomeTeam],$A2, Table2[AwayTeam], R$1),0), "-", TEXT(SUMIFS(Table2[HomeWon_], Table2[GameIsOver],1,Table2[AwayTeam],$A2, Table2[HomeTeam], R$1, Table2[ActualResult], "REG") + SUMIFS(Table2[AwayWon], Table2[GameIsOver],1,Table2[HomeTeam],$A2, Table2[AwayTeam], R$1, Table2[ActualResult], "REG"),0), "-", TEXT(SUMIFS(Table2[HomeWon_], Table2[GameIsOver],1,Table2[AwayTeam],$A2, Table2[HomeTeam], R$1, Table2[ActualResult], "OT") + SUMIFS(Table2[AwayWon], Table2[GameIsOver],1,Table2[HomeTeam],$A2, Table2[AwayTeam], R$1, Table2[ActualResult], "OT") + SUMIFS(Table2[HomeWon_], Table2[GameIsOver],1,Table2[AwayTeam],$A2, Table2[HomeTeam], R$1, Table2[ActualResult], "SO") + SUMIFS(Table2[AwayWon], Table2[GameIsOver],1,Table2[HomeTeam],$A2, Table2[AwayTeam], R$1, Table2[ActualResult], "SO"),0))</f>
        <v>0-1-0</v>
      </c>
      <c r="S2" t="str">
        <f>_xlfn.CONCAT(TEXT(SUMIFS(Table2[AwayWon], Table2[GameIsOver],1,Table2[AwayTeam],$A2, Table2[HomeTeam], S$1) + SUMIFS(Table2[HomeWon_], Table2[GameIsOver],1,Table2[HomeTeam],$A2, Table2[AwayTeam], S$1),0), "-", TEXT(SUMIFS(Table2[HomeWon_], Table2[GameIsOver],1,Table2[AwayTeam],$A2, Table2[HomeTeam], S$1, Table2[ActualResult], "REG") + SUMIFS(Table2[AwayWon], Table2[GameIsOver],1,Table2[HomeTeam],$A2, Table2[AwayTeam], S$1, Table2[ActualResult], "REG"),0), "-", TEXT(SUMIFS(Table2[HomeWon_], Table2[GameIsOver],1,Table2[AwayTeam],$A2, Table2[HomeTeam], S$1, Table2[ActualResult], "OT") + SUMIFS(Table2[AwayWon], Table2[GameIsOver],1,Table2[HomeTeam],$A2, Table2[AwayTeam], S$1, Table2[ActualResult], "OT") + SUMIFS(Table2[HomeWon_], Table2[GameIsOver],1,Table2[AwayTeam],$A2, Table2[HomeTeam], S$1, Table2[ActualResult], "SO") + SUMIFS(Table2[AwayWon], Table2[GameIsOver],1,Table2[HomeTeam],$A2, Table2[AwayTeam], S$1, Table2[ActualResult], "SO"),0))</f>
        <v>0-0-0</v>
      </c>
      <c r="T2" t="str">
        <f>_xlfn.CONCAT(TEXT(SUMIFS(Table2[AwayWon], Table2[GameIsOver],1,Table2[AwayTeam],$A2, Table2[HomeTeam], T$1) + SUMIFS(Table2[HomeWon_], Table2[GameIsOver],1,Table2[HomeTeam],$A2, Table2[AwayTeam], T$1),0), "-", TEXT(SUMIFS(Table2[HomeWon_], Table2[GameIsOver],1,Table2[AwayTeam],$A2, Table2[HomeTeam], T$1, Table2[ActualResult], "REG") + SUMIFS(Table2[AwayWon], Table2[GameIsOver],1,Table2[HomeTeam],$A2, Table2[AwayTeam], T$1, Table2[ActualResult], "REG"),0), "-", TEXT(SUMIFS(Table2[HomeWon_], Table2[GameIsOver],1,Table2[AwayTeam],$A2, Table2[HomeTeam], T$1, Table2[ActualResult], "OT") + SUMIFS(Table2[AwayWon], Table2[GameIsOver],1,Table2[HomeTeam],$A2, Table2[AwayTeam], T$1, Table2[ActualResult], "OT") + SUMIFS(Table2[HomeWon_], Table2[GameIsOver],1,Table2[AwayTeam],$A2, Table2[HomeTeam], T$1, Table2[ActualResult], "SO") + SUMIFS(Table2[AwayWon], Table2[GameIsOver],1,Table2[HomeTeam],$A2, Table2[AwayTeam], T$1, Table2[ActualResult], "SO"),0))</f>
        <v>0-0-0</v>
      </c>
      <c r="U2" t="str">
        <f>_xlfn.CONCAT(TEXT(SUMIFS(Table2[AwayWon], Table2[GameIsOver],1,Table2[AwayTeam],$A2, Table2[HomeTeam], U$1) + SUMIFS(Table2[HomeWon_], Table2[GameIsOver],1,Table2[HomeTeam],$A2, Table2[AwayTeam], U$1),0), "-", TEXT(SUMIFS(Table2[HomeWon_], Table2[GameIsOver],1,Table2[AwayTeam],$A2, Table2[HomeTeam], U$1, Table2[ActualResult], "REG") + SUMIFS(Table2[AwayWon], Table2[GameIsOver],1,Table2[HomeTeam],$A2, Table2[AwayTeam], U$1, Table2[ActualResult], "REG"),0), "-", TEXT(SUMIFS(Table2[HomeWon_], Table2[GameIsOver],1,Table2[AwayTeam],$A2, Table2[HomeTeam], U$1, Table2[ActualResult], "OT") + SUMIFS(Table2[AwayWon], Table2[GameIsOver],1,Table2[HomeTeam],$A2, Table2[AwayTeam], U$1, Table2[ActualResult], "OT") + SUMIFS(Table2[HomeWon_], Table2[GameIsOver],1,Table2[AwayTeam],$A2, Table2[HomeTeam], U$1, Table2[ActualResult], "SO") + SUMIFS(Table2[AwayWon], Table2[GameIsOver],1,Table2[HomeTeam],$A2, Table2[AwayTeam], U$1, Table2[ActualResult], "SO"),0))</f>
        <v>0-0-0</v>
      </c>
      <c r="V2" t="str">
        <f>_xlfn.CONCAT(TEXT(SUMIFS(Table2[AwayWon], Table2[GameIsOver],1,Table2[AwayTeam],$A2, Table2[HomeTeam], V$1) + SUMIFS(Table2[HomeWon_], Table2[GameIsOver],1,Table2[HomeTeam],$A2, Table2[AwayTeam], V$1),0), "-", TEXT(SUMIFS(Table2[HomeWon_], Table2[GameIsOver],1,Table2[AwayTeam],$A2, Table2[HomeTeam], V$1, Table2[ActualResult], "REG") + SUMIFS(Table2[AwayWon], Table2[GameIsOver],1,Table2[HomeTeam],$A2, Table2[AwayTeam], V$1, Table2[ActualResult], "REG"),0), "-", TEXT(SUMIFS(Table2[HomeWon_], Table2[GameIsOver],1,Table2[AwayTeam],$A2, Table2[HomeTeam], V$1, Table2[ActualResult], "OT") + SUMIFS(Table2[AwayWon], Table2[GameIsOver],1,Table2[HomeTeam],$A2, Table2[AwayTeam], V$1, Table2[ActualResult], "OT") + SUMIFS(Table2[HomeWon_], Table2[GameIsOver],1,Table2[AwayTeam],$A2, Table2[HomeTeam], V$1, Table2[ActualResult], "SO") + SUMIFS(Table2[AwayWon], Table2[GameIsOver],1,Table2[HomeTeam],$A2, Table2[AwayTeam], V$1, Table2[ActualResult], "SO"),0))</f>
        <v>0-0-0</v>
      </c>
      <c r="W2" t="str">
        <f>_xlfn.CONCAT(TEXT(SUMIFS(Table2[AwayWon], Table2[GameIsOver],1,Table2[AwayTeam],$A2, Table2[HomeTeam], W$1) + SUMIFS(Table2[HomeWon_], Table2[GameIsOver],1,Table2[HomeTeam],$A2, Table2[AwayTeam], W$1),0), "-", TEXT(SUMIFS(Table2[HomeWon_], Table2[GameIsOver],1,Table2[AwayTeam],$A2, Table2[HomeTeam], W$1, Table2[ActualResult], "REG") + SUMIFS(Table2[AwayWon], Table2[GameIsOver],1,Table2[HomeTeam],$A2, Table2[AwayTeam], W$1, Table2[ActualResult], "REG"),0), "-", TEXT(SUMIFS(Table2[HomeWon_], Table2[GameIsOver],1,Table2[AwayTeam],$A2, Table2[HomeTeam], W$1, Table2[ActualResult], "OT") + SUMIFS(Table2[AwayWon], Table2[GameIsOver],1,Table2[HomeTeam],$A2, Table2[AwayTeam], W$1, Table2[ActualResult], "OT") + SUMIFS(Table2[HomeWon_], Table2[GameIsOver],1,Table2[AwayTeam],$A2, Table2[HomeTeam], W$1, Table2[ActualResult], "SO") + SUMIFS(Table2[AwayWon], Table2[GameIsOver],1,Table2[HomeTeam],$A2, Table2[AwayTeam], W$1, Table2[ActualResult], "SO"),0))</f>
        <v>0-0-0</v>
      </c>
      <c r="X2" t="str">
        <f>_xlfn.CONCAT(TEXT(SUMIFS(Table2[AwayWon], Table2[GameIsOver],1,Table2[AwayTeam],$A2, Table2[HomeTeam], X$1) + SUMIFS(Table2[HomeWon_], Table2[GameIsOver],1,Table2[HomeTeam],$A2, Table2[AwayTeam], X$1),0), "-", TEXT(SUMIFS(Table2[HomeWon_], Table2[GameIsOver],1,Table2[AwayTeam],$A2, Table2[HomeTeam], X$1, Table2[ActualResult], "REG") + SUMIFS(Table2[AwayWon], Table2[GameIsOver],1,Table2[HomeTeam],$A2, Table2[AwayTeam], X$1, Table2[ActualResult], "REG"),0), "-", TEXT(SUMIFS(Table2[HomeWon_], Table2[GameIsOver],1,Table2[AwayTeam],$A2, Table2[HomeTeam], X$1, Table2[ActualResult], "OT") + SUMIFS(Table2[AwayWon], Table2[GameIsOver],1,Table2[HomeTeam],$A2, Table2[AwayTeam], X$1, Table2[ActualResult], "OT") + SUMIFS(Table2[HomeWon_], Table2[GameIsOver],1,Table2[AwayTeam],$A2, Table2[HomeTeam], X$1, Table2[ActualResult], "SO") + SUMIFS(Table2[AwayWon], Table2[GameIsOver],1,Table2[HomeTeam],$A2, Table2[AwayTeam], X$1, Table2[ActualResult], "SO"),0))</f>
        <v>1-0-0</v>
      </c>
      <c r="Y2" s="57" t="str">
        <f>_xlfn.CONCAT(TEXT(SUMIFS(Table2[AwayWon], Table2[GameIsOver],1,Table2[AwayTeam],$A2, Table2[HomeTeam], Y$1) + SUMIFS(Table2[HomeWon_], Table2[GameIsOver],1,Table2[HomeTeam],$A2, Table2[AwayTeam], Y$1),0), "-", TEXT(SUMIFS(Table2[HomeWon_], Table2[GameIsOver],1,Table2[AwayTeam],$A2, Table2[HomeTeam], Y$1, Table2[ActualResult], "REG") + SUMIFS(Table2[AwayWon], Table2[GameIsOver],1,Table2[HomeTeam],$A2, Table2[AwayTeam], Y$1, Table2[ActualResult], "REG"),0), "-", TEXT(SUMIFS(Table2[HomeWon_], Table2[GameIsOver],1,Table2[AwayTeam],$A2, Table2[HomeTeam], Y$1, Table2[ActualResult], "OT") + SUMIFS(Table2[AwayWon], Table2[GameIsOver],1,Table2[HomeTeam],$A2, Table2[AwayTeam], Y$1, Table2[ActualResult], "OT") + SUMIFS(Table2[HomeWon_], Table2[GameIsOver],1,Table2[AwayTeam],$A2, Table2[HomeTeam], Y$1, Table2[ActualResult], "SO") + SUMIFS(Table2[AwayWon], Table2[GameIsOver],1,Table2[HomeTeam],$A2, Table2[AwayTeam], Y$1, Table2[ActualResult], "SO"),0))</f>
        <v>0-0-0</v>
      </c>
      <c r="Z2" t="str">
        <f>_xlfn.CONCAT(TEXT(SUMIFS(Table2[AwayWon], Table2[GameIsOver],1,Table2[AwayTeam],$A2, Table2[HomeTeam], Z$1) + SUMIFS(Table2[HomeWon_], Table2[GameIsOver],1,Table2[HomeTeam],$A2, Table2[AwayTeam], Z$1),0), "-", TEXT(SUMIFS(Table2[HomeWon_], Table2[GameIsOver],1,Table2[AwayTeam],$A2, Table2[HomeTeam], Z$1, Table2[ActualResult], "REG") + SUMIFS(Table2[AwayWon], Table2[GameIsOver],1,Table2[HomeTeam],$A2, Table2[AwayTeam], Z$1, Table2[ActualResult], "REG"),0), "-", TEXT(SUMIFS(Table2[HomeWon_], Table2[GameIsOver],1,Table2[AwayTeam],$A2, Table2[HomeTeam], Z$1, Table2[ActualResult], "OT") + SUMIFS(Table2[AwayWon], Table2[GameIsOver],1,Table2[HomeTeam],$A2, Table2[AwayTeam], Z$1, Table2[ActualResult], "OT") + SUMIFS(Table2[HomeWon_], Table2[GameIsOver],1,Table2[AwayTeam],$A2, Table2[HomeTeam], Z$1, Table2[ActualResult], "SO") + SUMIFS(Table2[AwayWon], Table2[GameIsOver],1,Table2[HomeTeam],$A2, Table2[AwayTeam], Z$1, Table2[ActualResult], "SO"),0))</f>
        <v>0-0-0</v>
      </c>
      <c r="AA2" t="str">
        <f>_xlfn.CONCAT(TEXT(SUMIFS(Table2[AwayWon], Table2[GameIsOver],1,Table2[AwayTeam],$A2, Table2[HomeTeam], AA$1) + SUMIFS(Table2[HomeWon_], Table2[GameIsOver],1,Table2[HomeTeam],$A2, Table2[AwayTeam], AA$1),0), "-", TEXT(SUMIFS(Table2[HomeWon_], Table2[GameIsOver],1,Table2[AwayTeam],$A2, Table2[HomeTeam], AA$1, Table2[ActualResult], "REG") + SUMIFS(Table2[AwayWon], Table2[GameIsOver],1,Table2[HomeTeam],$A2, Table2[AwayTeam], AA$1, Table2[ActualResult], "REG"),0), "-", TEXT(SUMIFS(Table2[HomeWon_], Table2[GameIsOver],1,Table2[AwayTeam],$A2, Table2[HomeTeam], AA$1, Table2[ActualResult], "OT") + SUMIFS(Table2[AwayWon], Table2[GameIsOver],1,Table2[HomeTeam],$A2, Table2[AwayTeam], AA$1, Table2[ActualResult], "OT") + SUMIFS(Table2[HomeWon_], Table2[GameIsOver],1,Table2[AwayTeam],$A2, Table2[HomeTeam], AA$1, Table2[ActualResult], "SO") + SUMIFS(Table2[AwayWon], Table2[GameIsOver],1,Table2[HomeTeam],$A2, Table2[AwayTeam], AA$1, Table2[ActualResult], "SO"),0))</f>
        <v>0-0-0</v>
      </c>
      <c r="AB2" t="str">
        <f>_xlfn.CONCAT(TEXT(SUMIFS(Table2[AwayWon], Table2[GameIsOver],1,Table2[AwayTeam],$A2, Table2[HomeTeam], AB$1) + SUMIFS(Table2[HomeWon_], Table2[GameIsOver],1,Table2[HomeTeam],$A2, Table2[AwayTeam], AB$1),0), "-", TEXT(SUMIFS(Table2[HomeWon_], Table2[GameIsOver],1,Table2[AwayTeam],$A2, Table2[HomeTeam], AB$1, Table2[ActualResult], "REG") + SUMIFS(Table2[AwayWon], Table2[GameIsOver],1,Table2[HomeTeam],$A2, Table2[AwayTeam], AB$1, Table2[ActualResult], "REG"),0), "-", TEXT(SUMIFS(Table2[HomeWon_], Table2[GameIsOver],1,Table2[AwayTeam],$A2, Table2[HomeTeam], AB$1, Table2[ActualResult], "OT") + SUMIFS(Table2[AwayWon], Table2[GameIsOver],1,Table2[HomeTeam],$A2, Table2[AwayTeam], AB$1, Table2[ActualResult], "OT") + SUMIFS(Table2[HomeWon_], Table2[GameIsOver],1,Table2[AwayTeam],$A2, Table2[HomeTeam], AB$1, Table2[ActualResult], "SO") + SUMIFS(Table2[AwayWon], Table2[GameIsOver],1,Table2[HomeTeam],$A2, Table2[AwayTeam], AB$1, Table2[ActualResult], "SO"),0))</f>
        <v>0-0-0</v>
      </c>
      <c r="AC2" t="str">
        <f>_xlfn.CONCAT(TEXT(SUMIFS(Table2[AwayWon], Table2[GameIsOver],1,Table2[AwayTeam],$A2, Table2[HomeTeam], AC$1) + SUMIFS(Table2[HomeWon_], Table2[GameIsOver],1,Table2[HomeTeam],$A2, Table2[AwayTeam], AC$1),0), "-", TEXT(SUMIFS(Table2[HomeWon_], Table2[GameIsOver],1,Table2[AwayTeam],$A2, Table2[HomeTeam], AC$1, Table2[ActualResult], "REG") + SUMIFS(Table2[AwayWon], Table2[GameIsOver],1,Table2[HomeTeam],$A2, Table2[AwayTeam], AC$1, Table2[ActualResult], "REG"),0), "-", TEXT(SUMIFS(Table2[HomeWon_], Table2[GameIsOver],1,Table2[AwayTeam],$A2, Table2[HomeTeam], AC$1, Table2[ActualResult], "OT") + SUMIFS(Table2[AwayWon], Table2[GameIsOver],1,Table2[HomeTeam],$A2, Table2[AwayTeam], AC$1, Table2[ActualResult], "OT") + SUMIFS(Table2[HomeWon_], Table2[GameIsOver],1,Table2[AwayTeam],$A2, Table2[HomeTeam], AC$1, Table2[ActualResult], "SO") + SUMIFS(Table2[AwayWon], Table2[GameIsOver],1,Table2[HomeTeam],$A2, Table2[AwayTeam], AC$1, Table2[ActualResult], "SO"),0))</f>
        <v>0-0-0</v>
      </c>
      <c r="AD2" t="str">
        <f>_xlfn.CONCAT(TEXT(SUMIFS(Table2[AwayWon], Table2[GameIsOver],1,Table2[AwayTeam],$A2, Table2[HomeTeam], AD$1) + SUMIFS(Table2[HomeWon_], Table2[GameIsOver],1,Table2[HomeTeam],$A2, Table2[AwayTeam], AD$1),0), "-", TEXT(SUMIFS(Table2[HomeWon_], Table2[GameIsOver],1,Table2[AwayTeam],$A2, Table2[HomeTeam], AD$1, Table2[ActualResult], "REG") + SUMIFS(Table2[AwayWon], Table2[GameIsOver],1,Table2[HomeTeam],$A2, Table2[AwayTeam], AD$1, Table2[ActualResult], "REG"),0), "-", TEXT(SUMIFS(Table2[HomeWon_], Table2[GameIsOver],1,Table2[AwayTeam],$A2, Table2[HomeTeam], AD$1, Table2[ActualResult], "OT") + SUMIFS(Table2[AwayWon], Table2[GameIsOver],1,Table2[HomeTeam],$A2, Table2[AwayTeam], AD$1, Table2[ActualResult], "OT") + SUMIFS(Table2[HomeWon_], Table2[GameIsOver],1,Table2[AwayTeam],$A2, Table2[HomeTeam], AD$1, Table2[ActualResult], "SO") + SUMIFS(Table2[AwayWon], Table2[GameIsOver],1,Table2[HomeTeam],$A2, Table2[AwayTeam], AD$1, Table2[ActualResult], "SO"),0))</f>
        <v>0-0-0</v>
      </c>
      <c r="AE2" t="str">
        <f>_xlfn.CONCAT(TEXT(SUMIFS(Table2[AwayWon], Table2[GameIsOver],1,Table2[AwayTeam],$A2, Table2[HomeTeam], AE$1) + SUMIFS(Table2[HomeWon_], Table2[GameIsOver],1,Table2[HomeTeam],$A2, Table2[AwayTeam], AE$1),0), "-", TEXT(SUMIFS(Table2[HomeWon_], Table2[GameIsOver],1,Table2[AwayTeam],$A2, Table2[HomeTeam], AE$1, Table2[ActualResult], "REG") + SUMIFS(Table2[AwayWon], Table2[GameIsOver],1,Table2[HomeTeam],$A2, Table2[AwayTeam], AE$1, Table2[ActualResult], "REG"),0), "-", TEXT(SUMIFS(Table2[HomeWon_], Table2[GameIsOver],1,Table2[AwayTeam],$A2, Table2[HomeTeam], AE$1, Table2[ActualResult], "OT") + SUMIFS(Table2[AwayWon], Table2[GameIsOver],1,Table2[HomeTeam],$A2, Table2[AwayTeam], AE$1, Table2[ActualResult], "OT") + SUMIFS(Table2[HomeWon_], Table2[GameIsOver],1,Table2[AwayTeam],$A2, Table2[HomeTeam], AE$1, Table2[ActualResult], "SO") + SUMIFS(Table2[AwayWon], Table2[GameIsOver],1,Table2[HomeTeam],$A2, Table2[AwayTeam], AE$1, Table2[ActualResult], "SO"),0))</f>
        <v>0-0-0</v>
      </c>
      <c r="AF2" t="str">
        <f>_xlfn.CONCAT(TEXT(SUMIFS(Table2[AwayWon], Table2[GameIsOver],1,Table2[AwayTeam],$A2, Table2[HomeTeam], AF$1) + SUMIFS(Table2[HomeWon_], Table2[GameIsOver],1,Table2[HomeTeam],$A2, Table2[AwayTeam], AF$1),0), "-", TEXT(SUMIFS(Table2[HomeWon_], Table2[GameIsOver],1,Table2[AwayTeam],$A2, Table2[HomeTeam], AF$1, Table2[ActualResult], "REG") + SUMIFS(Table2[AwayWon], Table2[GameIsOver],1,Table2[HomeTeam],$A2, Table2[AwayTeam], AF$1, Table2[ActualResult], "REG"),0), "-", TEXT(SUMIFS(Table2[HomeWon_], Table2[GameIsOver],1,Table2[AwayTeam],$A2, Table2[HomeTeam], AF$1, Table2[ActualResult], "OT") + SUMIFS(Table2[AwayWon], Table2[GameIsOver],1,Table2[HomeTeam],$A2, Table2[AwayTeam], AF$1, Table2[ActualResult], "OT") + SUMIFS(Table2[HomeWon_], Table2[GameIsOver],1,Table2[AwayTeam],$A2, Table2[HomeTeam], AF$1, Table2[ActualResult], "SO") + SUMIFS(Table2[AwayWon], Table2[GameIsOver],1,Table2[HomeTeam],$A2, Table2[AwayTeam], AF$1, Table2[ActualResult], "SO"),0))</f>
        <v>0-0-0</v>
      </c>
      <c r="AG2" t="str">
        <f>_xlfn.CONCAT(TEXT(SUMIFS(Table2[AwayWon], Table2[GameIsOver],1,Table2[AwayTeam],$A2, Table2[HomeTeam], AG$1) + SUMIFS(Table2[HomeWon_], Table2[GameIsOver],1,Table2[HomeTeam],$A2, Table2[AwayTeam], AG$1),0), "-", TEXT(SUMIFS(Table2[HomeWon_], Table2[GameIsOver],1,Table2[AwayTeam],$A2, Table2[HomeTeam], AG$1, Table2[ActualResult], "REG") + SUMIFS(Table2[AwayWon], Table2[GameIsOver],1,Table2[HomeTeam],$A2, Table2[AwayTeam], AG$1, Table2[ActualResult], "REG"),0), "-", TEXT(SUMIFS(Table2[HomeWon_], Table2[GameIsOver],1,Table2[AwayTeam],$A2, Table2[HomeTeam], AG$1, Table2[ActualResult], "OT") + SUMIFS(Table2[AwayWon], Table2[GameIsOver],1,Table2[HomeTeam],$A2, Table2[AwayTeam], AG$1, Table2[ActualResult], "OT") + SUMIFS(Table2[HomeWon_], Table2[GameIsOver],1,Table2[AwayTeam],$A2, Table2[HomeTeam], AG$1, Table2[ActualResult], "SO") + SUMIFS(Table2[AwayWon], Table2[GameIsOver],1,Table2[HomeTeam],$A2, Table2[AwayTeam], AG$1, Table2[ActualResult], "SO"),0))</f>
        <v>0-0-0</v>
      </c>
    </row>
    <row r="3" spans="1:33" x14ac:dyDescent="0.25">
      <c r="A3" s="57" t="s">
        <v>23</v>
      </c>
      <c r="B3" t="str">
        <f>_xlfn.CONCAT(TEXT(SUMIFS(Table2[AwayWon], Table2[GameIsOver],1,Table2[AwayTeam],$A3, Table2[HomeTeam], B$1) + SUMIFS(Table2[HomeWon_], Table2[GameIsOver],1,Table2[HomeTeam],$A3, Table2[AwayTeam], B$1),0), "-", TEXT(SUMIFS(Table2[HomeWon_], Table2[GameIsOver],1,Table2[AwayTeam],$A3, Table2[HomeTeam], B$1, Table2[ActualResult], "REG") + SUMIFS(Table2[AwayWon], Table2[GameIsOver],1,Table2[HomeTeam],$A3, Table2[AwayTeam], B$1, Table2[ActualResult], "REG"),0), "-", TEXT(SUMIFS(Table2[HomeWon_], Table2[GameIsOver],1,Table2[AwayTeam],$A3, Table2[HomeTeam], B$1, Table2[ActualResult], "OT") + SUMIFS(Table2[AwayWon], Table2[GameIsOver],1,Table2[HomeTeam],$A3, Table2[AwayTeam], B$1, Table2[ActualResult], "OT") + SUMIFS(Table2[HomeWon_], Table2[GameIsOver],1,Table2[AwayTeam],$A3, Table2[HomeTeam], B$1, Table2[ActualResult], "SO") + SUMIFS(Table2[AwayWon], Table2[GameIsOver],1,Table2[HomeTeam],$A3, Table2[AwayTeam], B$1, Table2[ActualResult], "SO"),0))</f>
        <v>0-0-0</v>
      </c>
      <c r="C3" s="89"/>
      <c r="D3" t="str">
        <f>_xlfn.CONCAT(TEXT(SUMIFS(Table2[AwayWon], Table2[GameIsOver],1,Table2[AwayTeam],$A3, Table2[HomeTeam], D$1) + SUMIFS(Table2[HomeWon_], Table2[GameIsOver],1,Table2[HomeTeam],$A3, Table2[AwayTeam], D$1),0), "-", TEXT(SUMIFS(Table2[HomeWon_], Table2[GameIsOver],1,Table2[AwayTeam],$A3, Table2[HomeTeam], D$1, Table2[ActualResult], "REG") + SUMIFS(Table2[AwayWon], Table2[GameIsOver],1,Table2[HomeTeam],$A3, Table2[AwayTeam], D$1, Table2[ActualResult], "REG"),0), "-", TEXT(SUMIFS(Table2[HomeWon_], Table2[GameIsOver],1,Table2[AwayTeam],$A3, Table2[HomeTeam], D$1, Table2[ActualResult], "OT") + SUMIFS(Table2[AwayWon], Table2[GameIsOver],1,Table2[HomeTeam],$A3, Table2[AwayTeam], D$1, Table2[ActualResult], "OT") + SUMIFS(Table2[HomeWon_], Table2[GameIsOver],1,Table2[AwayTeam],$A3, Table2[HomeTeam], D$1, Table2[ActualResult], "SO") + SUMIFS(Table2[AwayWon], Table2[GameIsOver],1,Table2[HomeTeam],$A3, Table2[AwayTeam], D$1, Table2[ActualResult], "SO"),0))</f>
        <v>1-0-0</v>
      </c>
      <c r="E3" t="str">
        <f>_xlfn.CONCAT(TEXT(SUMIFS(Table2[AwayWon], Table2[GameIsOver],1,Table2[AwayTeam],$A3, Table2[HomeTeam], E$1) + SUMIFS(Table2[HomeWon_], Table2[GameIsOver],1,Table2[HomeTeam],$A3, Table2[AwayTeam], E$1),0), "-", TEXT(SUMIFS(Table2[HomeWon_], Table2[GameIsOver],1,Table2[AwayTeam],$A3, Table2[HomeTeam], E$1, Table2[ActualResult], "REG") + SUMIFS(Table2[AwayWon], Table2[GameIsOver],1,Table2[HomeTeam],$A3, Table2[AwayTeam], E$1, Table2[ActualResult], "REG"),0), "-", TEXT(SUMIFS(Table2[HomeWon_], Table2[GameIsOver],1,Table2[AwayTeam],$A3, Table2[HomeTeam], E$1, Table2[ActualResult], "OT") + SUMIFS(Table2[AwayWon], Table2[GameIsOver],1,Table2[HomeTeam],$A3, Table2[AwayTeam], E$1, Table2[ActualResult], "OT") + SUMIFS(Table2[HomeWon_], Table2[GameIsOver],1,Table2[AwayTeam],$A3, Table2[HomeTeam], E$1, Table2[ActualResult], "SO") + SUMIFS(Table2[AwayWon], Table2[GameIsOver],1,Table2[HomeTeam],$A3, Table2[AwayTeam], E$1, Table2[ActualResult], "SO"),0))</f>
        <v>0-0-0</v>
      </c>
      <c r="F3" t="str">
        <f>_xlfn.CONCAT(TEXT(SUMIFS(Table2[AwayWon], Table2[GameIsOver],1,Table2[AwayTeam],$A3, Table2[HomeTeam], F$1) + SUMIFS(Table2[HomeWon_], Table2[GameIsOver],1,Table2[HomeTeam],$A3, Table2[AwayTeam], F$1),0), "-", TEXT(SUMIFS(Table2[HomeWon_], Table2[GameIsOver],1,Table2[AwayTeam],$A3, Table2[HomeTeam], F$1, Table2[ActualResult], "REG") + SUMIFS(Table2[AwayWon], Table2[GameIsOver],1,Table2[HomeTeam],$A3, Table2[AwayTeam], F$1, Table2[ActualResult], "REG"),0), "-", TEXT(SUMIFS(Table2[HomeWon_], Table2[GameIsOver],1,Table2[AwayTeam],$A3, Table2[HomeTeam], F$1, Table2[ActualResult], "OT") + SUMIFS(Table2[AwayWon], Table2[GameIsOver],1,Table2[HomeTeam],$A3, Table2[AwayTeam], F$1, Table2[ActualResult], "OT") + SUMIFS(Table2[HomeWon_], Table2[GameIsOver],1,Table2[AwayTeam],$A3, Table2[HomeTeam], F$1, Table2[ActualResult], "SO") + SUMIFS(Table2[AwayWon], Table2[GameIsOver],1,Table2[HomeTeam],$A3, Table2[AwayTeam], F$1, Table2[ActualResult], "SO"),0))</f>
        <v>0-0-0</v>
      </c>
      <c r="G3" t="str">
        <f>_xlfn.CONCAT(TEXT(SUMIFS(Table2[AwayWon], Table2[GameIsOver],1,Table2[AwayTeam],$A3, Table2[HomeTeam], G$1) + SUMIFS(Table2[HomeWon_], Table2[GameIsOver],1,Table2[HomeTeam],$A3, Table2[AwayTeam], G$1),0), "-", TEXT(SUMIFS(Table2[HomeWon_], Table2[GameIsOver],1,Table2[AwayTeam],$A3, Table2[HomeTeam], G$1, Table2[ActualResult], "REG") + SUMIFS(Table2[AwayWon], Table2[GameIsOver],1,Table2[HomeTeam],$A3, Table2[AwayTeam], G$1, Table2[ActualResult], "REG"),0), "-", TEXT(SUMIFS(Table2[HomeWon_], Table2[GameIsOver],1,Table2[AwayTeam],$A3, Table2[HomeTeam], G$1, Table2[ActualResult], "OT") + SUMIFS(Table2[AwayWon], Table2[GameIsOver],1,Table2[HomeTeam],$A3, Table2[AwayTeam], G$1, Table2[ActualResult], "OT") + SUMIFS(Table2[HomeWon_], Table2[GameIsOver],1,Table2[AwayTeam],$A3, Table2[HomeTeam], G$1, Table2[ActualResult], "SO") + SUMIFS(Table2[AwayWon], Table2[GameIsOver],1,Table2[HomeTeam],$A3, Table2[AwayTeam], G$1, Table2[ActualResult], "SO"),0))</f>
        <v>0-0-0</v>
      </c>
      <c r="H3" t="str">
        <f>_xlfn.CONCAT(TEXT(SUMIFS(Table2[AwayWon], Table2[GameIsOver],1,Table2[AwayTeam],$A3, Table2[HomeTeam], H$1) + SUMIFS(Table2[HomeWon_], Table2[GameIsOver],1,Table2[HomeTeam],$A3, Table2[AwayTeam], H$1),0), "-", TEXT(SUMIFS(Table2[HomeWon_], Table2[GameIsOver],1,Table2[AwayTeam],$A3, Table2[HomeTeam], H$1, Table2[ActualResult], "REG") + SUMIFS(Table2[AwayWon], Table2[GameIsOver],1,Table2[HomeTeam],$A3, Table2[AwayTeam], H$1, Table2[ActualResult], "REG"),0), "-", TEXT(SUMIFS(Table2[HomeWon_], Table2[GameIsOver],1,Table2[AwayTeam],$A3, Table2[HomeTeam], H$1, Table2[ActualResult], "OT") + SUMIFS(Table2[AwayWon], Table2[GameIsOver],1,Table2[HomeTeam],$A3, Table2[AwayTeam], H$1, Table2[ActualResult], "OT") + SUMIFS(Table2[HomeWon_], Table2[GameIsOver],1,Table2[AwayTeam],$A3, Table2[HomeTeam], H$1, Table2[ActualResult], "SO") + SUMIFS(Table2[AwayWon], Table2[GameIsOver],1,Table2[HomeTeam],$A3, Table2[AwayTeam], H$1, Table2[ActualResult], "SO"),0))</f>
        <v>0-1-0</v>
      </c>
      <c r="I3" s="57" t="str">
        <f>_xlfn.CONCAT(TEXT(SUMIFS(Table2[AwayWon], Table2[GameIsOver],1,Table2[AwayTeam],$A3, Table2[HomeTeam], I$1) + SUMIFS(Table2[HomeWon_], Table2[GameIsOver],1,Table2[HomeTeam],$A3, Table2[AwayTeam], I$1),0), "-", TEXT(SUMIFS(Table2[HomeWon_], Table2[GameIsOver],1,Table2[AwayTeam],$A3, Table2[HomeTeam], I$1, Table2[ActualResult], "REG") + SUMIFS(Table2[AwayWon], Table2[GameIsOver],1,Table2[HomeTeam],$A3, Table2[AwayTeam], I$1, Table2[ActualResult], "REG"),0), "-", TEXT(SUMIFS(Table2[HomeWon_], Table2[GameIsOver],1,Table2[AwayTeam],$A3, Table2[HomeTeam], I$1, Table2[ActualResult], "OT") + SUMIFS(Table2[AwayWon], Table2[GameIsOver],1,Table2[HomeTeam],$A3, Table2[AwayTeam], I$1, Table2[ActualResult], "OT") + SUMIFS(Table2[HomeWon_], Table2[GameIsOver],1,Table2[AwayTeam],$A3, Table2[HomeTeam], I$1, Table2[ActualResult], "SO") + SUMIFS(Table2[AwayWon], Table2[GameIsOver],1,Table2[HomeTeam],$A3, Table2[AwayTeam], I$1, Table2[ActualResult], "SO"),0))</f>
        <v>0-2-0</v>
      </c>
      <c r="J3" t="str">
        <f>_xlfn.CONCAT(TEXT(SUMIFS(Table2[AwayWon], Table2[GameIsOver],1,Table2[AwayTeam],$A3, Table2[HomeTeam], J$1) + SUMIFS(Table2[HomeWon_], Table2[GameIsOver],1,Table2[HomeTeam],$A3, Table2[AwayTeam], J$1),0), "-", TEXT(SUMIFS(Table2[HomeWon_], Table2[GameIsOver],1,Table2[AwayTeam],$A3, Table2[HomeTeam], J$1, Table2[ActualResult], "REG") + SUMIFS(Table2[AwayWon], Table2[GameIsOver],1,Table2[HomeTeam],$A3, Table2[AwayTeam], J$1, Table2[ActualResult], "REG"),0), "-", TEXT(SUMIFS(Table2[HomeWon_], Table2[GameIsOver],1,Table2[AwayTeam],$A3, Table2[HomeTeam], J$1, Table2[ActualResult], "OT") + SUMIFS(Table2[AwayWon], Table2[GameIsOver],1,Table2[HomeTeam],$A3, Table2[AwayTeam], J$1, Table2[ActualResult], "OT") + SUMIFS(Table2[HomeWon_], Table2[GameIsOver],1,Table2[AwayTeam],$A3, Table2[HomeTeam], J$1, Table2[ActualResult], "SO") + SUMIFS(Table2[AwayWon], Table2[GameIsOver],1,Table2[HomeTeam],$A3, Table2[AwayTeam], J$1, Table2[ActualResult], "SO"),0))</f>
        <v>0-0-0</v>
      </c>
      <c r="K3" t="str">
        <f>_xlfn.CONCAT(TEXT(SUMIFS(Table2[AwayWon], Table2[GameIsOver],1,Table2[AwayTeam],$A3, Table2[HomeTeam], K$1) + SUMIFS(Table2[HomeWon_], Table2[GameIsOver],1,Table2[HomeTeam],$A3, Table2[AwayTeam], K$1),0), "-", TEXT(SUMIFS(Table2[HomeWon_], Table2[GameIsOver],1,Table2[AwayTeam],$A3, Table2[HomeTeam], K$1, Table2[ActualResult], "REG") + SUMIFS(Table2[AwayWon], Table2[GameIsOver],1,Table2[HomeTeam],$A3, Table2[AwayTeam], K$1, Table2[ActualResult], "REG"),0), "-", TEXT(SUMIFS(Table2[HomeWon_], Table2[GameIsOver],1,Table2[AwayTeam],$A3, Table2[HomeTeam], K$1, Table2[ActualResult], "OT") + SUMIFS(Table2[AwayWon], Table2[GameIsOver],1,Table2[HomeTeam],$A3, Table2[AwayTeam], K$1, Table2[ActualResult], "OT") + SUMIFS(Table2[HomeWon_], Table2[GameIsOver],1,Table2[AwayTeam],$A3, Table2[HomeTeam], K$1, Table2[ActualResult], "SO") + SUMIFS(Table2[AwayWon], Table2[GameIsOver],1,Table2[HomeTeam],$A3, Table2[AwayTeam], K$1, Table2[ActualResult], "SO"),0))</f>
        <v>0-0-0</v>
      </c>
      <c r="L3" t="str">
        <f>_xlfn.CONCAT(TEXT(SUMIFS(Table2[AwayWon], Table2[GameIsOver],1,Table2[AwayTeam],$A3, Table2[HomeTeam], L$1) + SUMIFS(Table2[HomeWon_], Table2[GameIsOver],1,Table2[HomeTeam],$A3, Table2[AwayTeam], L$1),0), "-", TEXT(SUMIFS(Table2[HomeWon_], Table2[GameIsOver],1,Table2[AwayTeam],$A3, Table2[HomeTeam], L$1, Table2[ActualResult], "REG") + SUMIFS(Table2[AwayWon], Table2[GameIsOver],1,Table2[HomeTeam],$A3, Table2[AwayTeam], L$1, Table2[ActualResult], "REG"),0), "-", TEXT(SUMIFS(Table2[HomeWon_], Table2[GameIsOver],1,Table2[AwayTeam],$A3, Table2[HomeTeam], L$1, Table2[ActualResult], "OT") + SUMIFS(Table2[AwayWon], Table2[GameIsOver],1,Table2[HomeTeam],$A3, Table2[AwayTeam], L$1, Table2[ActualResult], "OT") + SUMIFS(Table2[HomeWon_], Table2[GameIsOver],1,Table2[AwayTeam],$A3, Table2[HomeTeam], L$1, Table2[ActualResult], "SO") + SUMIFS(Table2[AwayWon], Table2[GameIsOver],1,Table2[HomeTeam],$A3, Table2[AwayTeam], L$1, Table2[ActualResult], "SO"),0))</f>
        <v>0-0-0</v>
      </c>
      <c r="M3" t="str">
        <f>_xlfn.CONCAT(TEXT(SUMIFS(Table2[AwayWon], Table2[GameIsOver],1,Table2[AwayTeam],$A3, Table2[HomeTeam], M$1) + SUMIFS(Table2[HomeWon_], Table2[GameIsOver],1,Table2[HomeTeam],$A3, Table2[AwayTeam], M$1),0), "-", TEXT(SUMIFS(Table2[HomeWon_], Table2[GameIsOver],1,Table2[AwayTeam],$A3, Table2[HomeTeam], M$1, Table2[ActualResult], "REG") + SUMIFS(Table2[AwayWon], Table2[GameIsOver],1,Table2[HomeTeam],$A3, Table2[AwayTeam], M$1, Table2[ActualResult], "REG"),0), "-", TEXT(SUMIFS(Table2[HomeWon_], Table2[GameIsOver],1,Table2[AwayTeam],$A3, Table2[HomeTeam], M$1, Table2[ActualResult], "OT") + SUMIFS(Table2[AwayWon], Table2[GameIsOver],1,Table2[HomeTeam],$A3, Table2[AwayTeam], M$1, Table2[ActualResult], "OT") + SUMIFS(Table2[HomeWon_], Table2[GameIsOver],1,Table2[AwayTeam],$A3, Table2[HomeTeam], M$1, Table2[ActualResult], "SO") + SUMIFS(Table2[AwayWon], Table2[GameIsOver],1,Table2[HomeTeam],$A3, Table2[AwayTeam], M$1, Table2[ActualResult], "SO"),0))</f>
        <v>0-0-0</v>
      </c>
      <c r="N3" t="str">
        <f>_xlfn.CONCAT(TEXT(SUMIFS(Table2[AwayWon], Table2[GameIsOver],1,Table2[AwayTeam],$A3, Table2[HomeTeam], N$1) + SUMIFS(Table2[HomeWon_], Table2[GameIsOver],1,Table2[HomeTeam],$A3, Table2[AwayTeam], N$1),0), "-", TEXT(SUMIFS(Table2[HomeWon_], Table2[GameIsOver],1,Table2[AwayTeam],$A3, Table2[HomeTeam], N$1, Table2[ActualResult], "REG") + SUMIFS(Table2[AwayWon], Table2[GameIsOver],1,Table2[HomeTeam],$A3, Table2[AwayTeam], N$1, Table2[ActualResult], "REG"),0), "-", TEXT(SUMIFS(Table2[HomeWon_], Table2[GameIsOver],1,Table2[AwayTeam],$A3, Table2[HomeTeam], N$1, Table2[ActualResult], "OT") + SUMIFS(Table2[AwayWon], Table2[GameIsOver],1,Table2[HomeTeam],$A3, Table2[AwayTeam], N$1, Table2[ActualResult], "OT") + SUMIFS(Table2[HomeWon_], Table2[GameIsOver],1,Table2[AwayTeam],$A3, Table2[HomeTeam], N$1, Table2[ActualResult], "SO") + SUMIFS(Table2[AwayWon], Table2[GameIsOver],1,Table2[HomeTeam],$A3, Table2[AwayTeam], N$1, Table2[ActualResult], "SO"),0))</f>
        <v>0-0-0</v>
      </c>
      <c r="O3" t="str">
        <f>_xlfn.CONCAT(TEXT(SUMIFS(Table2[AwayWon], Table2[GameIsOver],1,Table2[AwayTeam],$A3, Table2[HomeTeam], O$1) + SUMIFS(Table2[HomeWon_], Table2[GameIsOver],1,Table2[HomeTeam],$A3, Table2[AwayTeam], O$1),0), "-", TEXT(SUMIFS(Table2[HomeWon_], Table2[GameIsOver],1,Table2[AwayTeam],$A3, Table2[HomeTeam], O$1, Table2[ActualResult], "REG") + SUMIFS(Table2[AwayWon], Table2[GameIsOver],1,Table2[HomeTeam],$A3, Table2[AwayTeam], O$1, Table2[ActualResult], "REG"),0), "-", TEXT(SUMIFS(Table2[HomeWon_], Table2[GameIsOver],1,Table2[AwayTeam],$A3, Table2[HomeTeam], O$1, Table2[ActualResult], "OT") + SUMIFS(Table2[AwayWon], Table2[GameIsOver],1,Table2[HomeTeam],$A3, Table2[AwayTeam], O$1, Table2[ActualResult], "OT") + SUMIFS(Table2[HomeWon_], Table2[GameIsOver],1,Table2[AwayTeam],$A3, Table2[HomeTeam], O$1, Table2[ActualResult], "SO") + SUMIFS(Table2[AwayWon], Table2[GameIsOver],1,Table2[HomeTeam],$A3, Table2[AwayTeam], O$1, Table2[ActualResult], "SO"),0))</f>
        <v>0-1-0</v>
      </c>
      <c r="P3" t="str">
        <f>_xlfn.CONCAT(TEXT(SUMIFS(Table2[AwayWon], Table2[GameIsOver],1,Table2[AwayTeam],$A3, Table2[HomeTeam], P$1) + SUMIFS(Table2[HomeWon_], Table2[GameIsOver],1,Table2[HomeTeam],$A3, Table2[AwayTeam], P$1),0), "-", TEXT(SUMIFS(Table2[HomeWon_], Table2[GameIsOver],1,Table2[AwayTeam],$A3, Table2[HomeTeam], P$1, Table2[ActualResult], "REG") + SUMIFS(Table2[AwayWon], Table2[GameIsOver],1,Table2[HomeTeam],$A3, Table2[AwayTeam], P$1, Table2[ActualResult], "REG"),0), "-", TEXT(SUMIFS(Table2[HomeWon_], Table2[GameIsOver],1,Table2[AwayTeam],$A3, Table2[HomeTeam], P$1, Table2[ActualResult], "OT") + SUMIFS(Table2[AwayWon], Table2[GameIsOver],1,Table2[HomeTeam],$A3, Table2[AwayTeam], P$1, Table2[ActualResult], "OT") + SUMIFS(Table2[HomeWon_], Table2[GameIsOver],1,Table2[AwayTeam],$A3, Table2[HomeTeam], P$1, Table2[ActualResult], "SO") + SUMIFS(Table2[AwayWon], Table2[GameIsOver],1,Table2[HomeTeam],$A3, Table2[AwayTeam], P$1, Table2[ActualResult], "SO"),0))</f>
        <v>0-1-0</v>
      </c>
      <c r="Q3" s="57" t="str">
        <f>_xlfn.CONCAT(TEXT(SUMIFS(Table2[AwayWon], Table2[GameIsOver],1,Table2[AwayTeam],$A3, Table2[HomeTeam], Q$1) + SUMIFS(Table2[HomeWon_], Table2[GameIsOver],1,Table2[HomeTeam],$A3, Table2[AwayTeam], Q$1),0), "-", TEXT(SUMIFS(Table2[HomeWon_], Table2[GameIsOver],1,Table2[AwayTeam],$A3, Table2[HomeTeam], Q$1, Table2[ActualResult], "REG") + SUMIFS(Table2[AwayWon], Table2[GameIsOver],1,Table2[HomeTeam],$A3, Table2[AwayTeam], Q$1, Table2[ActualResult], "REG"),0), "-", TEXT(SUMIFS(Table2[HomeWon_], Table2[GameIsOver],1,Table2[AwayTeam],$A3, Table2[HomeTeam], Q$1, Table2[ActualResult], "OT") + SUMIFS(Table2[AwayWon], Table2[GameIsOver],1,Table2[HomeTeam],$A3, Table2[AwayTeam], Q$1, Table2[ActualResult], "OT") + SUMIFS(Table2[HomeWon_], Table2[GameIsOver],1,Table2[AwayTeam],$A3, Table2[HomeTeam], Q$1, Table2[ActualResult], "SO") + SUMIFS(Table2[AwayWon], Table2[GameIsOver],1,Table2[HomeTeam],$A3, Table2[AwayTeam], Q$1, Table2[ActualResult], "SO"),0))</f>
        <v>0-1-0</v>
      </c>
      <c r="R3" t="str">
        <f>_xlfn.CONCAT(TEXT(SUMIFS(Table2[AwayWon], Table2[GameIsOver],1,Table2[AwayTeam],$A3, Table2[HomeTeam], R$1) + SUMIFS(Table2[HomeWon_], Table2[GameIsOver],1,Table2[HomeTeam],$A3, Table2[AwayTeam], R$1),0), "-", TEXT(SUMIFS(Table2[HomeWon_], Table2[GameIsOver],1,Table2[AwayTeam],$A3, Table2[HomeTeam], R$1, Table2[ActualResult], "REG") + SUMIFS(Table2[AwayWon], Table2[GameIsOver],1,Table2[HomeTeam],$A3, Table2[AwayTeam], R$1, Table2[ActualResult], "REG"),0), "-", TEXT(SUMIFS(Table2[HomeWon_], Table2[GameIsOver],1,Table2[AwayTeam],$A3, Table2[HomeTeam], R$1, Table2[ActualResult], "OT") + SUMIFS(Table2[AwayWon], Table2[GameIsOver],1,Table2[HomeTeam],$A3, Table2[AwayTeam], R$1, Table2[ActualResult], "OT") + SUMIFS(Table2[HomeWon_], Table2[GameIsOver],1,Table2[AwayTeam],$A3, Table2[HomeTeam], R$1, Table2[ActualResult], "SO") + SUMIFS(Table2[AwayWon], Table2[GameIsOver],1,Table2[HomeTeam],$A3, Table2[AwayTeam], R$1, Table2[ActualResult], "SO"),0))</f>
        <v>0-0-0</v>
      </c>
      <c r="S3" t="str">
        <f>_xlfn.CONCAT(TEXT(SUMIFS(Table2[AwayWon], Table2[GameIsOver],1,Table2[AwayTeam],$A3, Table2[HomeTeam], S$1) + SUMIFS(Table2[HomeWon_], Table2[GameIsOver],1,Table2[HomeTeam],$A3, Table2[AwayTeam], S$1),0), "-", TEXT(SUMIFS(Table2[HomeWon_], Table2[GameIsOver],1,Table2[AwayTeam],$A3, Table2[HomeTeam], S$1, Table2[ActualResult], "REG") + SUMIFS(Table2[AwayWon], Table2[GameIsOver],1,Table2[HomeTeam],$A3, Table2[AwayTeam], S$1, Table2[ActualResult], "REG"),0), "-", TEXT(SUMIFS(Table2[HomeWon_], Table2[GameIsOver],1,Table2[AwayTeam],$A3, Table2[HomeTeam], S$1, Table2[ActualResult], "OT") + SUMIFS(Table2[AwayWon], Table2[GameIsOver],1,Table2[HomeTeam],$A3, Table2[AwayTeam], S$1, Table2[ActualResult], "OT") + SUMIFS(Table2[HomeWon_], Table2[GameIsOver],1,Table2[AwayTeam],$A3, Table2[HomeTeam], S$1, Table2[ActualResult], "SO") + SUMIFS(Table2[AwayWon], Table2[GameIsOver],1,Table2[HomeTeam],$A3, Table2[AwayTeam], S$1, Table2[ActualResult], "SO"),0))</f>
        <v>0-0-0</v>
      </c>
      <c r="T3" t="str">
        <f>_xlfn.CONCAT(TEXT(SUMIFS(Table2[AwayWon], Table2[GameIsOver],1,Table2[AwayTeam],$A3, Table2[HomeTeam], T$1) + SUMIFS(Table2[HomeWon_], Table2[GameIsOver],1,Table2[HomeTeam],$A3, Table2[AwayTeam], T$1),0), "-", TEXT(SUMIFS(Table2[HomeWon_], Table2[GameIsOver],1,Table2[AwayTeam],$A3, Table2[HomeTeam], T$1, Table2[ActualResult], "REG") + SUMIFS(Table2[AwayWon], Table2[GameIsOver],1,Table2[HomeTeam],$A3, Table2[AwayTeam], T$1, Table2[ActualResult], "REG"),0), "-", TEXT(SUMIFS(Table2[HomeWon_], Table2[GameIsOver],1,Table2[AwayTeam],$A3, Table2[HomeTeam], T$1, Table2[ActualResult], "OT") + SUMIFS(Table2[AwayWon], Table2[GameIsOver],1,Table2[HomeTeam],$A3, Table2[AwayTeam], T$1, Table2[ActualResult], "OT") + SUMIFS(Table2[HomeWon_], Table2[GameIsOver],1,Table2[AwayTeam],$A3, Table2[HomeTeam], T$1, Table2[ActualResult], "SO") + SUMIFS(Table2[AwayWon], Table2[GameIsOver],1,Table2[HomeTeam],$A3, Table2[AwayTeam], T$1, Table2[ActualResult], "SO"),0))</f>
        <v>0-0-0</v>
      </c>
      <c r="U3" t="str">
        <f>_xlfn.CONCAT(TEXT(SUMIFS(Table2[AwayWon], Table2[GameIsOver],1,Table2[AwayTeam],$A3, Table2[HomeTeam], U$1) + SUMIFS(Table2[HomeWon_], Table2[GameIsOver],1,Table2[HomeTeam],$A3, Table2[AwayTeam], U$1),0), "-", TEXT(SUMIFS(Table2[HomeWon_], Table2[GameIsOver],1,Table2[AwayTeam],$A3, Table2[HomeTeam], U$1, Table2[ActualResult], "REG") + SUMIFS(Table2[AwayWon], Table2[GameIsOver],1,Table2[HomeTeam],$A3, Table2[AwayTeam], U$1, Table2[ActualResult], "REG"),0), "-", TEXT(SUMIFS(Table2[HomeWon_], Table2[GameIsOver],1,Table2[AwayTeam],$A3, Table2[HomeTeam], U$1, Table2[ActualResult], "OT") + SUMIFS(Table2[AwayWon], Table2[GameIsOver],1,Table2[HomeTeam],$A3, Table2[AwayTeam], U$1, Table2[ActualResult], "OT") + SUMIFS(Table2[HomeWon_], Table2[GameIsOver],1,Table2[AwayTeam],$A3, Table2[HomeTeam], U$1, Table2[ActualResult], "SO") + SUMIFS(Table2[AwayWon], Table2[GameIsOver],1,Table2[HomeTeam],$A3, Table2[AwayTeam], U$1, Table2[ActualResult], "SO"),0))</f>
        <v>0-0-0</v>
      </c>
      <c r="V3" t="str">
        <f>_xlfn.CONCAT(TEXT(SUMIFS(Table2[AwayWon], Table2[GameIsOver],1,Table2[AwayTeam],$A3, Table2[HomeTeam], V$1) + SUMIFS(Table2[HomeWon_], Table2[GameIsOver],1,Table2[HomeTeam],$A3, Table2[AwayTeam], V$1),0), "-", TEXT(SUMIFS(Table2[HomeWon_], Table2[GameIsOver],1,Table2[AwayTeam],$A3, Table2[HomeTeam], V$1, Table2[ActualResult], "REG") + SUMIFS(Table2[AwayWon], Table2[GameIsOver],1,Table2[HomeTeam],$A3, Table2[AwayTeam], V$1, Table2[ActualResult], "REG"),0), "-", TEXT(SUMIFS(Table2[HomeWon_], Table2[GameIsOver],1,Table2[AwayTeam],$A3, Table2[HomeTeam], V$1, Table2[ActualResult], "OT") + SUMIFS(Table2[AwayWon], Table2[GameIsOver],1,Table2[HomeTeam],$A3, Table2[AwayTeam], V$1, Table2[ActualResult], "OT") + SUMIFS(Table2[HomeWon_], Table2[GameIsOver],1,Table2[AwayTeam],$A3, Table2[HomeTeam], V$1, Table2[ActualResult], "SO") + SUMIFS(Table2[AwayWon], Table2[GameIsOver],1,Table2[HomeTeam],$A3, Table2[AwayTeam], V$1, Table2[ActualResult], "SO"),0))</f>
        <v>0-0-0</v>
      </c>
      <c r="W3" t="str">
        <f>_xlfn.CONCAT(TEXT(SUMIFS(Table2[AwayWon], Table2[GameIsOver],1,Table2[AwayTeam],$A3, Table2[HomeTeam], W$1) + SUMIFS(Table2[HomeWon_], Table2[GameIsOver],1,Table2[HomeTeam],$A3, Table2[AwayTeam], W$1),0), "-", TEXT(SUMIFS(Table2[HomeWon_], Table2[GameIsOver],1,Table2[AwayTeam],$A3, Table2[HomeTeam], W$1, Table2[ActualResult], "REG") + SUMIFS(Table2[AwayWon], Table2[GameIsOver],1,Table2[HomeTeam],$A3, Table2[AwayTeam], W$1, Table2[ActualResult], "REG"),0), "-", TEXT(SUMIFS(Table2[HomeWon_], Table2[GameIsOver],1,Table2[AwayTeam],$A3, Table2[HomeTeam], W$1, Table2[ActualResult], "OT") + SUMIFS(Table2[AwayWon], Table2[GameIsOver],1,Table2[HomeTeam],$A3, Table2[AwayTeam], W$1, Table2[ActualResult], "OT") + SUMIFS(Table2[HomeWon_], Table2[GameIsOver],1,Table2[AwayTeam],$A3, Table2[HomeTeam], W$1, Table2[ActualResult], "SO") + SUMIFS(Table2[AwayWon], Table2[GameIsOver],1,Table2[HomeTeam],$A3, Table2[AwayTeam], W$1, Table2[ActualResult], "SO"),0))</f>
        <v>0-0-0</v>
      </c>
      <c r="X3" t="str">
        <f>_xlfn.CONCAT(TEXT(SUMIFS(Table2[AwayWon], Table2[GameIsOver],1,Table2[AwayTeam],$A3, Table2[HomeTeam], X$1) + SUMIFS(Table2[HomeWon_], Table2[GameIsOver],1,Table2[HomeTeam],$A3, Table2[AwayTeam], X$1),0), "-", TEXT(SUMIFS(Table2[HomeWon_], Table2[GameIsOver],1,Table2[AwayTeam],$A3, Table2[HomeTeam], X$1, Table2[ActualResult], "REG") + SUMIFS(Table2[AwayWon], Table2[GameIsOver],1,Table2[HomeTeam],$A3, Table2[AwayTeam], X$1, Table2[ActualResult], "REG"),0), "-", TEXT(SUMIFS(Table2[HomeWon_], Table2[GameIsOver],1,Table2[AwayTeam],$A3, Table2[HomeTeam], X$1, Table2[ActualResult], "OT") + SUMIFS(Table2[AwayWon], Table2[GameIsOver],1,Table2[HomeTeam],$A3, Table2[AwayTeam], X$1, Table2[ActualResult], "OT") + SUMIFS(Table2[HomeWon_], Table2[GameIsOver],1,Table2[AwayTeam],$A3, Table2[HomeTeam], X$1, Table2[ActualResult], "SO") + SUMIFS(Table2[AwayWon], Table2[GameIsOver],1,Table2[HomeTeam],$A3, Table2[AwayTeam], X$1, Table2[ActualResult], "SO"),0))</f>
        <v>0-0-0</v>
      </c>
      <c r="Y3" s="57" t="str">
        <f>_xlfn.CONCAT(TEXT(SUMIFS(Table2[AwayWon], Table2[GameIsOver],1,Table2[AwayTeam],$A3, Table2[HomeTeam], Y$1) + SUMIFS(Table2[HomeWon_], Table2[GameIsOver],1,Table2[HomeTeam],$A3, Table2[AwayTeam], Y$1),0), "-", TEXT(SUMIFS(Table2[HomeWon_], Table2[GameIsOver],1,Table2[AwayTeam],$A3, Table2[HomeTeam], Y$1, Table2[ActualResult], "REG") + SUMIFS(Table2[AwayWon], Table2[GameIsOver],1,Table2[HomeTeam],$A3, Table2[AwayTeam], Y$1, Table2[ActualResult], "REG"),0), "-", TEXT(SUMIFS(Table2[HomeWon_], Table2[GameIsOver],1,Table2[AwayTeam],$A3, Table2[HomeTeam], Y$1, Table2[ActualResult], "OT") + SUMIFS(Table2[AwayWon], Table2[GameIsOver],1,Table2[HomeTeam],$A3, Table2[AwayTeam], Y$1, Table2[ActualResult], "OT") + SUMIFS(Table2[HomeWon_], Table2[GameIsOver],1,Table2[AwayTeam],$A3, Table2[HomeTeam], Y$1, Table2[ActualResult], "SO") + SUMIFS(Table2[AwayWon], Table2[GameIsOver],1,Table2[HomeTeam],$A3, Table2[AwayTeam], Y$1, Table2[ActualResult], "SO"),0))</f>
        <v>0-0-0</v>
      </c>
      <c r="Z3" t="str">
        <f>_xlfn.CONCAT(TEXT(SUMIFS(Table2[AwayWon], Table2[GameIsOver],1,Table2[AwayTeam],$A3, Table2[HomeTeam], Z$1) + SUMIFS(Table2[HomeWon_], Table2[GameIsOver],1,Table2[HomeTeam],$A3, Table2[AwayTeam], Z$1),0), "-", TEXT(SUMIFS(Table2[HomeWon_], Table2[GameIsOver],1,Table2[AwayTeam],$A3, Table2[HomeTeam], Z$1, Table2[ActualResult], "REG") + SUMIFS(Table2[AwayWon], Table2[GameIsOver],1,Table2[HomeTeam],$A3, Table2[AwayTeam], Z$1, Table2[ActualResult], "REG"),0), "-", TEXT(SUMIFS(Table2[HomeWon_], Table2[GameIsOver],1,Table2[AwayTeam],$A3, Table2[HomeTeam], Z$1, Table2[ActualResult], "OT") + SUMIFS(Table2[AwayWon], Table2[GameIsOver],1,Table2[HomeTeam],$A3, Table2[AwayTeam], Z$1, Table2[ActualResult], "OT") + SUMIFS(Table2[HomeWon_], Table2[GameIsOver],1,Table2[AwayTeam],$A3, Table2[HomeTeam], Z$1, Table2[ActualResult], "SO") + SUMIFS(Table2[AwayWon], Table2[GameIsOver],1,Table2[HomeTeam],$A3, Table2[AwayTeam], Z$1, Table2[ActualResult], "SO"),0))</f>
        <v>0-0-0</v>
      </c>
      <c r="AA3" t="str">
        <f>_xlfn.CONCAT(TEXT(SUMIFS(Table2[AwayWon], Table2[GameIsOver],1,Table2[AwayTeam],$A3, Table2[HomeTeam], AA$1) + SUMIFS(Table2[HomeWon_], Table2[GameIsOver],1,Table2[HomeTeam],$A3, Table2[AwayTeam], AA$1),0), "-", TEXT(SUMIFS(Table2[HomeWon_], Table2[GameIsOver],1,Table2[AwayTeam],$A3, Table2[HomeTeam], AA$1, Table2[ActualResult], "REG") + SUMIFS(Table2[AwayWon], Table2[GameIsOver],1,Table2[HomeTeam],$A3, Table2[AwayTeam], AA$1, Table2[ActualResult], "REG"),0), "-", TEXT(SUMIFS(Table2[HomeWon_], Table2[GameIsOver],1,Table2[AwayTeam],$A3, Table2[HomeTeam], AA$1, Table2[ActualResult], "OT") + SUMIFS(Table2[AwayWon], Table2[GameIsOver],1,Table2[HomeTeam],$A3, Table2[AwayTeam], AA$1, Table2[ActualResult], "OT") + SUMIFS(Table2[HomeWon_], Table2[GameIsOver],1,Table2[AwayTeam],$A3, Table2[HomeTeam], AA$1, Table2[ActualResult], "SO") + SUMIFS(Table2[AwayWon], Table2[GameIsOver],1,Table2[HomeTeam],$A3, Table2[AwayTeam], AA$1, Table2[ActualResult], "SO"),0))</f>
        <v>0-0-0</v>
      </c>
      <c r="AB3" t="str">
        <f>_xlfn.CONCAT(TEXT(SUMIFS(Table2[AwayWon], Table2[GameIsOver],1,Table2[AwayTeam],$A3, Table2[HomeTeam], AB$1) + SUMIFS(Table2[HomeWon_], Table2[GameIsOver],1,Table2[HomeTeam],$A3, Table2[AwayTeam], AB$1),0), "-", TEXT(SUMIFS(Table2[HomeWon_], Table2[GameIsOver],1,Table2[AwayTeam],$A3, Table2[HomeTeam], AB$1, Table2[ActualResult], "REG") + SUMIFS(Table2[AwayWon], Table2[GameIsOver],1,Table2[HomeTeam],$A3, Table2[AwayTeam], AB$1, Table2[ActualResult], "REG"),0), "-", TEXT(SUMIFS(Table2[HomeWon_], Table2[GameIsOver],1,Table2[AwayTeam],$A3, Table2[HomeTeam], AB$1, Table2[ActualResult], "OT") + SUMIFS(Table2[AwayWon], Table2[GameIsOver],1,Table2[HomeTeam],$A3, Table2[AwayTeam], AB$1, Table2[ActualResult], "OT") + SUMIFS(Table2[HomeWon_], Table2[GameIsOver],1,Table2[AwayTeam],$A3, Table2[HomeTeam], AB$1, Table2[ActualResult], "SO") + SUMIFS(Table2[AwayWon], Table2[GameIsOver],1,Table2[HomeTeam],$A3, Table2[AwayTeam], AB$1, Table2[ActualResult], "SO"),0))</f>
        <v>0-0-0</v>
      </c>
      <c r="AC3" t="str">
        <f>_xlfn.CONCAT(TEXT(SUMIFS(Table2[AwayWon], Table2[GameIsOver],1,Table2[AwayTeam],$A3, Table2[HomeTeam], AC$1) + SUMIFS(Table2[HomeWon_], Table2[GameIsOver],1,Table2[HomeTeam],$A3, Table2[AwayTeam], AC$1),0), "-", TEXT(SUMIFS(Table2[HomeWon_], Table2[GameIsOver],1,Table2[AwayTeam],$A3, Table2[HomeTeam], AC$1, Table2[ActualResult], "REG") + SUMIFS(Table2[AwayWon], Table2[GameIsOver],1,Table2[HomeTeam],$A3, Table2[AwayTeam], AC$1, Table2[ActualResult], "REG"),0), "-", TEXT(SUMIFS(Table2[HomeWon_], Table2[GameIsOver],1,Table2[AwayTeam],$A3, Table2[HomeTeam], AC$1, Table2[ActualResult], "OT") + SUMIFS(Table2[AwayWon], Table2[GameIsOver],1,Table2[HomeTeam],$A3, Table2[AwayTeam], AC$1, Table2[ActualResult], "OT") + SUMIFS(Table2[HomeWon_], Table2[GameIsOver],1,Table2[AwayTeam],$A3, Table2[HomeTeam], AC$1, Table2[ActualResult], "SO") + SUMIFS(Table2[AwayWon], Table2[GameIsOver],1,Table2[HomeTeam],$A3, Table2[AwayTeam], AC$1, Table2[ActualResult], "SO"),0))</f>
        <v>0-0-0</v>
      </c>
      <c r="AD3" t="str">
        <f>_xlfn.CONCAT(TEXT(SUMIFS(Table2[AwayWon], Table2[GameIsOver],1,Table2[AwayTeam],$A3, Table2[HomeTeam], AD$1) + SUMIFS(Table2[HomeWon_], Table2[GameIsOver],1,Table2[HomeTeam],$A3, Table2[AwayTeam], AD$1),0), "-", TEXT(SUMIFS(Table2[HomeWon_], Table2[GameIsOver],1,Table2[AwayTeam],$A3, Table2[HomeTeam], AD$1, Table2[ActualResult], "REG") + SUMIFS(Table2[AwayWon], Table2[GameIsOver],1,Table2[HomeTeam],$A3, Table2[AwayTeam], AD$1, Table2[ActualResult], "REG"),0), "-", TEXT(SUMIFS(Table2[HomeWon_], Table2[GameIsOver],1,Table2[AwayTeam],$A3, Table2[HomeTeam], AD$1, Table2[ActualResult], "OT") + SUMIFS(Table2[AwayWon], Table2[GameIsOver],1,Table2[HomeTeam],$A3, Table2[AwayTeam], AD$1, Table2[ActualResult], "OT") + SUMIFS(Table2[HomeWon_], Table2[GameIsOver],1,Table2[AwayTeam],$A3, Table2[HomeTeam], AD$1, Table2[ActualResult], "SO") + SUMIFS(Table2[AwayWon], Table2[GameIsOver],1,Table2[HomeTeam],$A3, Table2[AwayTeam], AD$1, Table2[ActualResult], "SO"),0))</f>
        <v>0-0-0</v>
      </c>
      <c r="AE3" t="str">
        <f>_xlfn.CONCAT(TEXT(SUMIFS(Table2[AwayWon], Table2[GameIsOver],1,Table2[AwayTeam],$A3, Table2[HomeTeam], AE$1) + SUMIFS(Table2[HomeWon_], Table2[GameIsOver],1,Table2[HomeTeam],$A3, Table2[AwayTeam], AE$1),0), "-", TEXT(SUMIFS(Table2[HomeWon_], Table2[GameIsOver],1,Table2[AwayTeam],$A3, Table2[HomeTeam], AE$1, Table2[ActualResult], "REG") + SUMIFS(Table2[AwayWon], Table2[GameIsOver],1,Table2[HomeTeam],$A3, Table2[AwayTeam], AE$1, Table2[ActualResult], "REG"),0), "-", TEXT(SUMIFS(Table2[HomeWon_], Table2[GameIsOver],1,Table2[AwayTeam],$A3, Table2[HomeTeam], AE$1, Table2[ActualResult], "OT") + SUMIFS(Table2[AwayWon], Table2[GameIsOver],1,Table2[HomeTeam],$A3, Table2[AwayTeam], AE$1, Table2[ActualResult], "OT") + SUMIFS(Table2[HomeWon_], Table2[GameIsOver],1,Table2[AwayTeam],$A3, Table2[HomeTeam], AE$1, Table2[ActualResult], "SO") + SUMIFS(Table2[AwayWon], Table2[GameIsOver],1,Table2[HomeTeam],$A3, Table2[AwayTeam], AE$1, Table2[ActualResult], "SO"),0))</f>
        <v>0-0-0</v>
      </c>
      <c r="AF3" t="str">
        <f>_xlfn.CONCAT(TEXT(SUMIFS(Table2[AwayWon], Table2[GameIsOver],1,Table2[AwayTeam],$A3, Table2[HomeTeam], AF$1) + SUMIFS(Table2[HomeWon_], Table2[GameIsOver],1,Table2[HomeTeam],$A3, Table2[AwayTeam], AF$1),0), "-", TEXT(SUMIFS(Table2[HomeWon_], Table2[GameIsOver],1,Table2[AwayTeam],$A3, Table2[HomeTeam], AF$1, Table2[ActualResult], "REG") + SUMIFS(Table2[AwayWon], Table2[GameIsOver],1,Table2[HomeTeam],$A3, Table2[AwayTeam], AF$1, Table2[ActualResult], "REG"),0), "-", TEXT(SUMIFS(Table2[HomeWon_], Table2[GameIsOver],1,Table2[AwayTeam],$A3, Table2[HomeTeam], AF$1, Table2[ActualResult], "OT") + SUMIFS(Table2[AwayWon], Table2[GameIsOver],1,Table2[HomeTeam],$A3, Table2[AwayTeam], AF$1, Table2[ActualResult], "OT") + SUMIFS(Table2[HomeWon_], Table2[GameIsOver],1,Table2[AwayTeam],$A3, Table2[HomeTeam], AF$1, Table2[ActualResult], "SO") + SUMIFS(Table2[AwayWon], Table2[GameIsOver],1,Table2[HomeTeam],$A3, Table2[AwayTeam], AF$1, Table2[ActualResult], "SO"),0))</f>
        <v>0-0-0</v>
      </c>
      <c r="AG3" t="str">
        <f>_xlfn.CONCAT(TEXT(SUMIFS(Table2[AwayWon], Table2[GameIsOver],1,Table2[AwayTeam],$A3, Table2[HomeTeam], AG$1) + SUMIFS(Table2[HomeWon_], Table2[GameIsOver],1,Table2[HomeTeam],$A3, Table2[AwayTeam], AG$1),0), "-", TEXT(SUMIFS(Table2[HomeWon_], Table2[GameIsOver],1,Table2[AwayTeam],$A3, Table2[HomeTeam], AG$1, Table2[ActualResult], "REG") + SUMIFS(Table2[AwayWon], Table2[GameIsOver],1,Table2[HomeTeam],$A3, Table2[AwayTeam], AG$1, Table2[ActualResult], "REG"),0), "-", TEXT(SUMIFS(Table2[HomeWon_], Table2[GameIsOver],1,Table2[AwayTeam],$A3, Table2[HomeTeam], AG$1, Table2[ActualResult], "OT") + SUMIFS(Table2[AwayWon], Table2[GameIsOver],1,Table2[HomeTeam],$A3, Table2[AwayTeam], AG$1, Table2[ActualResult], "OT") + SUMIFS(Table2[HomeWon_], Table2[GameIsOver],1,Table2[AwayTeam],$A3, Table2[HomeTeam], AG$1, Table2[ActualResult], "SO") + SUMIFS(Table2[AwayWon], Table2[GameIsOver],1,Table2[HomeTeam],$A3, Table2[AwayTeam], AG$1, Table2[ActualResult], "SO"),0))</f>
        <v>0-0-0</v>
      </c>
    </row>
    <row r="4" spans="1:33" x14ac:dyDescent="0.25">
      <c r="A4" s="57" t="s">
        <v>22</v>
      </c>
      <c r="B4" t="str">
        <f>_xlfn.CONCAT(TEXT(SUMIFS(Table2[AwayWon], Table2[GameIsOver],1,Table2[AwayTeam],$A4, Table2[HomeTeam], B$1) + SUMIFS(Table2[HomeWon_], Table2[GameIsOver],1,Table2[HomeTeam],$A4, Table2[AwayTeam], B$1),0), "-", TEXT(SUMIFS(Table2[HomeWon_], Table2[GameIsOver],1,Table2[AwayTeam],$A4, Table2[HomeTeam], B$1, Table2[ActualResult], "REG") + SUMIFS(Table2[AwayWon], Table2[GameIsOver],1,Table2[HomeTeam],$A4, Table2[AwayTeam], B$1, Table2[ActualResult], "REG"),0), "-", TEXT(SUMIFS(Table2[HomeWon_], Table2[GameIsOver],1,Table2[AwayTeam],$A4, Table2[HomeTeam], B$1, Table2[ActualResult], "OT") + SUMIFS(Table2[AwayWon], Table2[GameIsOver],1,Table2[HomeTeam],$A4, Table2[AwayTeam], B$1, Table2[ActualResult], "OT") + SUMIFS(Table2[HomeWon_], Table2[GameIsOver],1,Table2[AwayTeam],$A4, Table2[HomeTeam], B$1, Table2[ActualResult], "SO") + SUMIFS(Table2[AwayWon], Table2[GameIsOver],1,Table2[HomeTeam],$A4, Table2[AwayTeam], B$1, Table2[ActualResult], "SO"),0))</f>
        <v>0-0-0</v>
      </c>
      <c r="C4" t="str">
        <f>_xlfn.CONCAT(TEXT(SUMIFS(Table2[AwayWon], Table2[GameIsOver],1,Table2[AwayTeam],$A4, Table2[HomeTeam], C$1) + SUMIFS(Table2[HomeWon_], Table2[GameIsOver],1,Table2[HomeTeam],$A4, Table2[AwayTeam], C$1),0), "-", TEXT(SUMIFS(Table2[HomeWon_], Table2[GameIsOver],1,Table2[AwayTeam],$A4, Table2[HomeTeam], C$1, Table2[ActualResult], "REG") + SUMIFS(Table2[AwayWon], Table2[GameIsOver],1,Table2[HomeTeam],$A4, Table2[AwayTeam], C$1, Table2[ActualResult], "REG"),0), "-", TEXT(SUMIFS(Table2[HomeWon_], Table2[GameIsOver],1,Table2[AwayTeam],$A4, Table2[HomeTeam], C$1, Table2[ActualResult], "OT") + SUMIFS(Table2[AwayWon], Table2[GameIsOver],1,Table2[HomeTeam],$A4, Table2[AwayTeam], C$1, Table2[ActualResult], "OT") + SUMIFS(Table2[HomeWon_], Table2[GameIsOver],1,Table2[AwayTeam],$A4, Table2[HomeTeam], C$1, Table2[ActualResult], "SO") + SUMIFS(Table2[AwayWon], Table2[GameIsOver],1,Table2[HomeTeam],$A4, Table2[AwayTeam], C$1, Table2[ActualResult], "SO"),0))</f>
        <v>0-0-1</v>
      </c>
      <c r="D4" s="89"/>
      <c r="E4" t="str">
        <f>_xlfn.CONCAT(TEXT(SUMIFS(Table2[AwayWon], Table2[GameIsOver],1,Table2[AwayTeam],$A4, Table2[HomeTeam], E$1) + SUMIFS(Table2[HomeWon_], Table2[GameIsOver],1,Table2[HomeTeam],$A4, Table2[AwayTeam], E$1),0), "-", TEXT(SUMIFS(Table2[HomeWon_], Table2[GameIsOver],1,Table2[AwayTeam],$A4, Table2[HomeTeam], E$1, Table2[ActualResult], "REG") + SUMIFS(Table2[AwayWon], Table2[GameIsOver],1,Table2[HomeTeam],$A4, Table2[AwayTeam], E$1, Table2[ActualResult], "REG"),0), "-", TEXT(SUMIFS(Table2[HomeWon_], Table2[GameIsOver],1,Table2[AwayTeam],$A4, Table2[HomeTeam], E$1, Table2[ActualResult], "OT") + SUMIFS(Table2[AwayWon], Table2[GameIsOver],1,Table2[HomeTeam],$A4, Table2[AwayTeam], E$1, Table2[ActualResult], "OT") + SUMIFS(Table2[HomeWon_], Table2[GameIsOver],1,Table2[AwayTeam],$A4, Table2[HomeTeam], E$1, Table2[ActualResult], "SO") + SUMIFS(Table2[AwayWon], Table2[GameIsOver],1,Table2[HomeTeam],$A4, Table2[AwayTeam], E$1, Table2[ActualResult], "SO"),0))</f>
        <v>0-0-0</v>
      </c>
      <c r="F4" t="str">
        <f>_xlfn.CONCAT(TEXT(SUMIFS(Table2[AwayWon], Table2[GameIsOver],1,Table2[AwayTeam],$A4, Table2[HomeTeam], F$1) + SUMIFS(Table2[HomeWon_], Table2[GameIsOver],1,Table2[HomeTeam],$A4, Table2[AwayTeam], F$1),0), "-", TEXT(SUMIFS(Table2[HomeWon_], Table2[GameIsOver],1,Table2[AwayTeam],$A4, Table2[HomeTeam], F$1, Table2[ActualResult], "REG") + SUMIFS(Table2[AwayWon], Table2[GameIsOver],1,Table2[HomeTeam],$A4, Table2[AwayTeam], F$1, Table2[ActualResult], "REG"),0), "-", TEXT(SUMIFS(Table2[HomeWon_], Table2[GameIsOver],1,Table2[AwayTeam],$A4, Table2[HomeTeam], F$1, Table2[ActualResult], "OT") + SUMIFS(Table2[AwayWon], Table2[GameIsOver],1,Table2[HomeTeam],$A4, Table2[AwayTeam], F$1, Table2[ActualResult], "OT") + SUMIFS(Table2[HomeWon_], Table2[GameIsOver],1,Table2[AwayTeam],$A4, Table2[HomeTeam], F$1, Table2[ActualResult], "SO") + SUMIFS(Table2[AwayWon], Table2[GameIsOver],1,Table2[HomeTeam],$A4, Table2[AwayTeam], F$1, Table2[ActualResult], "SO"),0))</f>
        <v>0-0-0</v>
      </c>
      <c r="G4" t="str">
        <f>_xlfn.CONCAT(TEXT(SUMIFS(Table2[AwayWon], Table2[GameIsOver],1,Table2[AwayTeam],$A4, Table2[HomeTeam], G$1) + SUMIFS(Table2[HomeWon_], Table2[GameIsOver],1,Table2[HomeTeam],$A4, Table2[AwayTeam], G$1),0), "-", TEXT(SUMIFS(Table2[HomeWon_], Table2[GameIsOver],1,Table2[AwayTeam],$A4, Table2[HomeTeam], G$1, Table2[ActualResult], "REG") + SUMIFS(Table2[AwayWon], Table2[GameIsOver],1,Table2[HomeTeam],$A4, Table2[AwayTeam], G$1, Table2[ActualResult], "REG"),0), "-", TEXT(SUMIFS(Table2[HomeWon_], Table2[GameIsOver],1,Table2[AwayTeam],$A4, Table2[HomeTeam], G$1, Table2[ActualResult], "OT") + SUMIFS(Table2[AwayWon], Table2[GameIsOver],1,Table2[HomeTeam],$A4, Table2[AwayTeam], G$1, Table2[ActualResult], "OT") + SUMIFS(Table2[HomeWon_], Table2[GameIsOver],1,Table2[AwayTeam],$A4, Table2[HomeTeam], G$1, Table2[ActualResult], "SO") + SUMIFS(Table2[AwayWon], Table2[GameIsOver],1,Table2[HomeTeam],$A4, Table2[AwayTeam], G$1, Table2[ActualResult], "SO"),0))</f>
        <v>0-0-0</v>
      </c>
      <c r="H4" t="str">
        <f>_xlfn.CONCAT(TEXT(SUMIFS(Table2[AwayWon], Table2[GameIsOver],1,Table2[AwayTeam],$A4, Table2[HomeTeam], H$1) + SUMIFS(Table2[HomeWon_], Table2[GameIsOver],1,Table2[HomeTeam],$A4, Table2[AwayTeam], H$1),0), "-", TEXT(SUMIFS(Table2[HomeWon_], Table2[GameIsOver],1,Table2[AwayTeam],$A4, Table2[HomeTeam], H$1, Table2[ActualResult], "REG") + SUMIFS(Table2[AwayWon], Table2[GameIsOver],1,Table2[HomeTeam],$A4, Table2[AwayTeam], H$1, Table2[ActualResult], "REG"),0), "-", TEXT(SUMIFS(Table2[HomeWon_], Table2[GameIsOver],1,Table2[AwayTeam],$A4, Table2[HomeTeam], H$1, Table2[ActualResult], "OT") + SUMIFS(Table2[AwayWon], Table2[GameIsOver],1,Table2[HomeTeam],$A4, Table2[AwayTeam], H$1, Table2[ActualResult], "OT") + SUMIFS(Table2[HomeWon_], Table2[GameIsOver],1,Table2[AwayTeam],$A4, Table2[HomeTeam], H$1, Table2[ActualResult], "SO") + SUMIFS(Table2[AwayWon], Table2[GameIsOver],1,Table2[HomeTeam],$A4, Table2[AwayTeam], H$1, Table2[ActualResult], "SO"),0))</f>
        <v>1-0-0</v>
      </c>
      <c r="I4" s="57" t="str">
        <f>_xlfn.CONCAT(TEXT(SUMIFS(Table2[AwayWon], Table2[GameIsOver],1,Table2[AwayTeam],$A4, Table2[HomeTeam], I$1) + SUMIFS(Table2[HomeWon_], Table2[GameIsOver],1,Table2[HomeTeam],$A4, Table2[AwayTeam], I$1),0), "-", TEXT(SUMIFS(Table2[HomeWon_], Table2[GameIsOver],1,Table2[AwayTeam],$A4, Table2[HomeTeam], I$1, Table2[ActualResult], "REG") + SUMIFS(Table2[AwayWon], Table2[GameIsOver],1,Table2[HomeTeam],$A4, Table2[AwayTeam], I$1, Table2[ActualResult], "REG"),0), "-", TEXT(SUMIFS(Table2[HomeWon_], Table2[GameIsOver],1,Table2[AwayTeam],$A4, Table2[HomeTeam], I$1, Table2[ActualResult], "OT") + SUMIFS(Table2[AwayWon], Table2[GameIsOver],1,Table2[HomeTeam],$A4, Table2[AwayTeam], I$1, Table2[ActualResult], "OT") + SUMIFS(Table2[HomeWon_], Table2[GameIsOver],1,Table2[AwayTeam],$A4, Table2[HomeTeam], I$1, Table2[ActualResult], "SO") + SUMIFS(Table2[AwayWon], Table2[GameIsOver],1,Table2[HomeTeam],$A4, Table2[AwayTeam], I$1, Table2[ActualResult], "SO"),0))</f>
        <v>0-0-0</v>
      </c>
      <c r="J4" t="str">
        <f>_xlfn.CONCAT(TEXT(SUMIFS(Table2[AwayWon], Table2[GameIsOver],1,Table2[AwayTeam],$A4, Table2[HomeTeam], J$1) + SUMIFS(Table2[HomeWon_], Table2[GameIsOver],1,Table2[HomeTeam],$A4, Table2[AwayTeam], J$1),0), "-", TEXT(SUMIFS(Table2[HomeWon_], Table2[GameIsOver],1,Table2[AwayTeam],$A4, Table2[HomeTeam], J$1, Table2[ActualResult], "REG") + SUMIFS(Table2[AwayWon], Table2[GameIsOver],1,Table2[HomeTeam],$A4, Table2[AwayTeam], J$1, Table2[ActualResult], "REG"),0), "-", TEXT(SUMIFS(Table2[HomeWon_], Table2[GameIsOver],1,Table2[AwayTeam],$A4, Table2[HomeTeam], J$1, Table2[ActualResult], "OT") + SUMIFS(Table2[AwayWon], Table2[GameIsOver],1,Table2[HomeTeam],$A4, Table2[AwayTeam], J$1, Table2[ActualResult], "OT") + SUMIFS(Table2[HomeWon_], Table2[GameIsOver],1,Table2[AwayTeam],$A4, Table2[HomeTeam], J$1, Table2[ActualResult], "SO") + SUMIFS(Table2[AwayWon], Table2[GameIsOver],1,Table2[HomeTeam],$A4, Table2[AwayTeam], J$1, Table2[ActualResult], "SO"),0))</f>
        <v>0-0-0</v>
      </c>
      <c r="K4" t="str">
        <f>_xlfn.CONCAT(TEXT(SUMIFS(Table2[AwayWon], Table2[GameIsOver],1,Table2[AwayTeam],$A4, Table2[HomeTeam], K$1) + SUMIFS(Table2[HomeWon_], Table2[GameIsOver],1,Table2[HomeTeam],$A4, Table2[AwayTeam], K$1),0), "-", TEXT(SUMIFS(Table2[HomeWon_], Table2[GameIsOver],1,Table2[AwayTeam],$A4, Table2[HomeTeam], K$1, Table2[ActualResult], "REG") + SUMIFS(Table2[AwayWon], Table2[GameIsOver],1,Table2[HomeTeam],$A4, Table2[AwayTeam], K$1, Table2[ActualResult], "REG"),0), "-", TEXT(SUMIFS(Table2[HomeWon_], Table2[GameIsOver],1,Table2[AwayTeam],$A4, Table2[HomeTeam], K$1, Table2[ActualResult], "OT") + SUMIFS(Table2[AwayWon], Table2[GameIsOver],1,Table2[HomeTeam],$A4, Table2[AwayTeam], K$1, Table2[ActualResult], "OT") + SUMIFS(Table2[HomeWon_], Table2[GameIsOver],1,Table2[AwayTeam],$A4, Table2[HomeTeam], K$1, Table2[ActualResult], "SO") + SUMIFS(Table2[AwayWon], Table2[GameIsOver],1,Table2[HomeTeam],$A4, Table2[AwayTeam], K$1, Table2[ActualResult], "SO"),0))</f>
        <v>0-0-0</v>
      </c>
      <c r="L4" t="str">
        <f>_xlfn.CONCAT(TEXT(SUMIFS(Table2[AwayWon], Table2[GameIsOver],1,Table2[AwayTeam],$A4, Table2[HomeTeam], L$1) + SUMIFS(Table2[HomeWon_], Table2[GameIsOver],1,Table2[HomeTeam],$A4, Table2[AwayTeam], L$1),0), "-", TEXT(SUMIFS(Table2[HomeWon_], Table2[GameIsOver],1,Table2[AwayTeam],$A4, Table2[HomeTeam], L$1, Table2[ActualResult], "REG") + SUMIFS(Table2[AwayWon], Table2[GameIsOver],1,Table2[HomeTeam],$A4, Table2[AwayTeam], L$1, Table2[ActualResult], "REG"),0), "-", TEXT(SUMIFS(Table2[HomeWon_], Table2[GameIsOver],1,Table2[AwayTeam],$A4, Table2[HomeTeam], L$1, Table2[ActualResult], "OT") + SUMIFS(Table2[AwayWon], Table2[GameIsOver],1,Table2[HomeTeam],$A4, Table2[AwayTeam], L$1, Table2[ActualResult], "OT") + SUMIFS(Table2[HomeWon_], Table2[GameIsOver],1,Table2[AwayTeam],$A4, Table2[HomeTeam], L$1, Table2[ActualResult], "SO") + SUMIFS(Table2[AwayWon], Table2[GameIsOver],1,Table2[HomeTeam],$A4, Table2[AwayTeam], L$1, Table2[ActualResult], "SO"),0))</f>
        <v>0-0-0</v>
      </c>
      <c r="M4" t="str">
        <f>_xlfn.CONCAT(TEXT(SUMIFS(Table2[AwayWon], Table2[GameIsOver],1,Table2[AwayTeam],$A4, Table2[HomeTeam], M$1) + SUMIFS(Table2[HomeWon_], Table2[GameIsOver],1,Table2[HomeTeam],$A4, Table2[AwayTeam], M$1),0), "-", TEXT(SUMIFS(Table2[HomeWon_], Table2[GameIsOver],1,Table2[AwayTeam],$A4, Table2[HomeTeam], M$1, Table2[ActualResult], "REG") + SUMIFS(Table2[AwayWon], Table2[GameIsOver],1,Table2[HomeTeam],$A4, Table2[AwayTeam], M$1, Table2[ActualResult], "REG"),0), "-", TEXT(SUMIFS(Table2[HomeWon_], Table2[GameIsOver],1,Table2[AwayTeam],$A4, Table2[HomeTeam], M$1, Table2[ActualResult], "OT") + SUMIFS(Table2[AwayWon], Table2[GameIsOver],1,Table2[HomeTeam],$A4, Table2[AwayTeam], M$1, Table2[ActualResult], "OT") + SUMIFS(Table2[HomeWon_], Table2[GameIsOver],1,Table2[AwayTeam],$A4, Table2[HomeTeam], M$1, Table2[ActualResult], "SO") + SUMIFS(Table2[AwayWon], Table2[GameIsOver],1,Table2[HomeTeam],$A4, Table2[AwayTeam], M$1, Table2[ActualResult], "SO"),0))</f>
        <v>0-0-0</v>
      </c>
      <c r="N4" t="str">
        <f>_xlfn.CONCAT(TEXT(SUMIFS(Table2[AwayWon], Table2[GameIsOver],1,Table2[AwayTeam],$A4, Table2[HomeTeam], N$1) + SUMIFS(Table2[HomeWon_], Table2[GameIsOver],1,Table2[HomeTeam],$A4, Table2[AwayTeam], N$1),0), "-", TEXT(SUMIFS(Table2[HomeWon_], Table2[GameIsOver],1,Table2[AwayTeam],$A4, Table2[HomeTeam], N$1, Table2[ActualResult], "REG") + SUMIFS(Table2[AwayWon], Table2[GameIsOver],1,Table2[HomeTeam],$A4, Table2[AwayTeam], N$1, Table2[ActualResult], "REG"),0), "-", TEXT(SUMIFS(Table2[HomeWon_], Table2[GameIsOver],1,Table2[AwayTeam],$A4, Table2[HomeTeam], N$1, Table2[ActualResult], "OT") + SUMIFS(Table2[AwayWon], Table2[GameIsOver],1,Table2[HomeTeam],$A4, Table2[AwayTeam], N$1, Table2[ActualResult], "OT") + SUMIFS(Table2[HomeWon_], Table2[GameIsOver],1,Table2[AwayTeam],$A4, Table2[HomeTeam], N$1, Table2[ActualResult], "SO") + SUMIFS(Table2[AwayWon], Table2[GameIsOver],1,Table2[HomeTeam],$A4, Table2[AwayTeam], N$1, Table2[ActualResult], "SO"),0))</f>
        <v>0-0-0</v>
      </c>
      <c r="O4" t="str">
        <f>_xlfn.CONCAT(TEXT(SUMIFS(Table2[AwayWon], Table2[GameIsOver],1,Table2[AwayTeam],$A4, Table2[HomeTeam], O$1) + SUMIFS(Table2[HomeWon_], Table2[GameIsOver],1,Table2[HomeTeam],$A4, Table2[AwayTeam], O$1),0), "-", TEXT(SUMIFS(Table2[HomeWon_], Table2[GameIsOver],1,Table2[AwayTeam],$A4, Table2[HomeTeam], O$1, Table2[ActualResult], "REG") + SUMIFS(Table2[AwayWon], Table2[GameIsOver],1,Table2[HomeTeam],$A4, Table2[AwayTeam], O$1, Table2[ActualResult], "REG"),0), "-", TEXT(SUMIFS(Table2[HomeWon_], Table2[GameIsOver],1,Table2[AwayTeam],$A4, Table2[HomeTeam], O$1, Table2[ActualResult], "OT") + SUMIFS(Table2[AwayWon], Table2[GameIsOver],1,Table2[HomeTeam],$A4, Table2[AwayTeam], O$1, Table2[ActualResult], "OT") + SUMIFS(Table2[HomeWon_], Table2[GameIsOver],1,Table2[AwayTeam],$A4, Table2[HomeTeam], O$1, Table2[ActualResult], "SO") + SUMIFS(Table2[AwayWon], Table2[GameIsOver],1,Table2[HomeTeam],$A4, Table2[AwayTeam], O$1, Table2[ActualResult], "SO"),0))</f>
        <v>0-0-0</v>
      </c>
      <c r="P4" t="str">
        <f>_xlfn.CONCAT(TEXT(SUMIFS(Table2[AwayWon], Table2[GameIsOver],1,Table2[AwayTeam],$A4, Table2[HomeTeam], P$1) + SUMIFS(Table2[HomeWon_], Table2[GameIsOver],1,Table2[HomeTeam],$A4, Table2[AwayTeam], P$1),0), "-", TEXT(SUMIFS(Table2[HomeWon_], Table2[GameIsOver],1,Table2[AwayTeam],$A4, Table2[HomeTeam], P$1, Table2[ActualResult], "REG") + SUMIFS(Table2[AwayWon], Table2[GameIsOver],1,Table2[HomeTeam],$A4, Table2[AwayTeam], P$1, Table2[ActualResult], "REG"),0), "-", TEXT(SUMIFS(Table2[HomeWon_], Table2[GameIsOver],1,Table2[AwayTeam],$A4, Table2[HomeTeam], P$1, Table2[ActualResult], "OT") + SUMIFS(Table2[AwayWon], Table2[GameIsOver],1,Table2[HomeTeam],$A4, Table2[AwayTeam], P$1, Table2[ActualResult], "OT") + SUMIFS(Table2[HomeWon_], Table2[GameIsOver],1,Table2[AwayTeam],$A4, Table2[HomeTeam], P$1, Table2[ActualResult], "SO") + SUMIFS(Table2[AwayWon], Table2[GameIsOver],1,Table2[HomeTeam],$A4, Table2[AwayTeam], P$1, Table2[ActualResult], "SO"),0))</f>
        <v>0-0-0</v>
      </c>
      <c r="Q4" s="57" t="str">
        <f>_xlfn.CONCAT(TEXT(SUMIFS(Table2[AwayWon], Table2[GameIsOver],1,Table2[AwayTeam],$A4, Table2[HomeTeam], Q$1) + SUMIFS(Table2[HomeWon_], Table2[GameIsOver],1,Table2[HomeTeam],$A4, Table2[AwayTeam], Q$1),0), "-", TEXT(SUMIFS(Table2[HomeWon_], Table2[GameIsOver],1,Table2[AwayTeam],$A4, Table2[HomeTeam], Q$1, Table2[ActualResult], "REG") + SUMIFS(Table2[AwayWon], Table2[GameIsOver],1,Table2[HomeTeam],$A4, Table2[AwayTeam], Q$1, Table2[ActualResult], "REG"),0), "-", TEXT(SUMIFS(Table2[HomeWon_], Table2[GameIsOver],1,Table2[AwayTeam],$A4, Table2[HomeTeam], Q$1, Table2[ActualResult], "OT") + SUMIFS(Table2[AwayWon], Table2[GameIsOver],1,Table2[HomeTeam],$A4, Table2[AwayTeam], Q$1, Table2[ActualResult], "OT") + SUMIFS(Table2[HomeWon_], Table2[GameIsOver],1,Table2[AwayTeam],$A4, Table2[HomeTeam], Q$1, Table2[ActualResult], "SO") + SUMIFS(Table2[AwayWon], Table2[GameIsOver],1,Table2[HomeTeam],$A4, Table2[AwayTeam], Q$1, Table2[ActualResult], "SO"),0))</f>
        <v>0-0-0</v>
      </c>
      <c r="R4" t="str">
        <f>_xlfn.CONCAT(TEXT(SUMIFS(Table2[AwayWon], Table2[GameIsOver],1,Table2[AwayTeam],$A4, Table2[HomeTeam], R$1) + SUMIFS(Table2[HomeWon_], Table2[GameIsOver],1,Table2[HomeTeam],$A4, Table2[AwayTeam], R$1),0), "-", TEXT(SUMIFS(Table2[HomeWon_], Table2[GameIsOver],1,Table2[AwayTeam],$A4, Table2[HomeTeam], R$1, Table2[ActualResult], "REG") + SUMIFS(Table2[AwayWon], Table2[GameIsOver],1,Table2[HomeTeam],$A4, Table2[AwayTeam], R$1, Table2[ActualResult], "REG"),0), "-", TEXT(SUMIFS(Table2[HomeWon_], Table2[GameIsOver],1,Table2[AwayTeam],$A4, Table2[HomeTeam], R$1, Table2[ActualResult], "OT") + SUMIFS(Table2[AwayWon], Table2[GameIsOver],1,Table2[HomeTeam],$A4, Table2[AwayTeam], R$1, Table2[ActualResult], "OT") + SUMIFS(Table2[HomeWon_], Table2[GameIsOver],1,Table2[AwayTeam],$A4, Table2[HomeTeam], R$1, Table2[ActualResult], "SO") + SUMIFS(Table2[AwayWon], Table2[GameIsOver],1,Table2[HomeTeam],$A4, Table2[AwayTeam], R$1, Table2[ActualResult], "SO"),0))</f>
        <v>0-0-0</v>
      </c>
      <c r="S4" t="str">
        <f>_xlfn.CONCAT(TEXT(SUMIFS(Table2[AwayWon], Table2[GameIsOver],1,Table2[AwayTeam],$A4, Table2[HomeTeam], S$1) + SUMIFS(Table2[HomeWon_], Table2[GameIsOver],1,Table2[HomeTeam],$A4, Table2[AwayTeam], S$1),0), "-", TEXT(SUMIFS(Table2[HomeWon_], Table2[GameIsOver],1,Table2[AwayTeam],$A4, Table2[HomeTeam], S$1, Table2[ActualResult], "REG") + SUMIFS(Table2[AwayWon], Table2[GameIsOver],1,Table2[HomeTeam],$A4, Table2[AwayTeam], S$1, Table2[ActualResult], "REG"),0), "-", TEXT(SUMIFS(Table2[HomeWon_], Table2[GameIsOver],1,Table2[AwayTeam],$A4, Table2[HomeTeam], S$1, Table2[ActualResult], "OT") + SUMIFS(Table2[AwayWon], Table2[GameIsOver],1,Table2[HomeTeam],$A4, Table2[AwayTeam], S$1, Table2[ActualResult], "OT") + SUMIFS(Table2[HomeWon_], Table2[GameIsOver],1,Table2[AwayTeam],$A4, Table2[HomeTeam], S$1, Table2[ActualResult], "SO") + SUMIFS(Table2[AwayWon], Table2[GameIsOver],1,Table2[HomeTeam],$A4, Table2[AwayTeam], S$1, Table2[ActualResult], "SO"),0))</f>
        <v>0-0-0</v>
      </c>
      <c r="T4" t="str">
        <f>_xlfn.CONCAT(TEXT(SUMIFS(Table2[AwayWon], Table2[GameIsOver],1,Table2[AwayTeam],$A4, Table2[HomeTeam], T$1) + SUMIFS(Table2[HomeWon_], Table2[GameIsOver],1,Table2[HomeTeam],$A4, Table2[AwayTeam], T$1),0), "-", TEXT(SUMIFS(Table2[HomeWon_], Table2[GameIsOver],1,Table2[AwayTeam],$A4, Table2[HomeTeam], T$1, Table2[ActualResult], "REG") + SUMIFS(Table2[AwayWon], Table2[GameIsOver],1,Table2[HomeTeam],$A4, Table2[AwayTeam], T$1, Table2[ActualResult], "REG"),0), "-", TEXT(SUMIFS(Table2[HomeWon_], Table2[GameIsOver],1,Table2[AwayTeam],$A4, Table2[HomeTeam], T$1, Table2[ActualResult], "OT") + SUMIFS(Table2[AwayWon], Table2[GameIsOver],1,Table2[HomeTeam],$A4, Table2[AwayTeam], T$1, Table2[ActualResult], "OT") + SUMIFS(Table2[HomeWon_], Table2[GameIsOver],1,Table2[AwayTeam],$A4, Table2[HomeTeam], T$1, Table2[ActualResult], "SO") + SUMIFS(Table2[AwayWon], Table2[GameIsOver],1,Table2[HomeTeam],$A4, Table2[AwayTeam], T$1, Table2[ActualResult], "SO"),0))</f>
        <v>0-1-0</v>
      </c>
      <c r="U4" t="str">
        <f>_xlfn.CONCAT(TEXT(SUMIFS(Table2[AwayWon], Table2[GameIsOver],1,Table2[AwayTeam],$A4, Table2[HomeTeam], U$1) + SUMIFS(Table2[HomeWon_], Table2[GameIsOver],1,Table2[HomeTeam],$A4, Table2[AwayTeam], U$1),0), "-", TEXT(SUMIFS(Table2[HomeWon_], Table2[GameIsOver],1,Table2[AwayTeam],$A4, Table2[HomeTeam], U$1, Table2[ActualResult], "REG") + SUMIFS(Table2[AwayWon], Table2[GameIsOver],1,Table2[HomeTeam],$A4, Table2[AwayTeam], U$1, Table2[ActualResult], "REG"),0), "-", TEXT(SUMIFS(Table2[HomeWon_], Table2[GameIsOver],1,Table2[AwayTeam],$A4, Table2[HomeTeam], U$1, Table2[ActualResult], "OT") + SUMIFS(Table2[AwayWon], Table2[GameIsOver],1,Table2[HomeTeam],$A4, Table2[AwayTeam], U$1, Table2[ActualResult], "OT") + SUMIFS(Table2[HomeWon_], Table2[GameIsOver],1,Table2[AwayTeam],$A4, Table2[HomeTeam], U$1, Table2[ActualResult], "SO") + SUMIFS(Table2[AwayWon], Table2[GameIsOver],1,Table2[HomeTeam],$A4, Table2[AwayTeam], U$1, Table2[ActualResult], "SO"),0))</f>
        <v>0-1-0</v>
      </c>
      <c r="V4" t="str">
        <f>_xlfn.CONCAT(TEXT(SUMIFS(Table2[AwayWon], Table2[GameIsOver],1,Table2[AwayTeam],$A4, Table2[HomeTeam], V$1) + SUMIFS(Table2[HomeWon_], Table2[GameIsOver],1,Table2[HomeTeam],$A4, Table2[AwayTeam], V$1),0), "-", TEXT(SUMIFS(Table2[HomeWon_], Table2[GameIsOver],1,Table2[AwayTeam],$A4, Table2[HomeTeam], V$1, Table2[ActualResult], "REG") + SUMIFS(Table2[AwayWon], Table2[GameIsOver],1,Table2[HomeTeam],$A4, Table2[AwayTeam], V$1, Table2[ActualResult], "REG"),0), "-", TEXT(SUMIFS(Table2[HomeWon_], Table2[GameIsOver],1,Table2[AwayTeam],$A4, Table2[HomeTeam], V$1, Table2[ActualResult], "OT") + SUMIFS(Table2[AwayWon], Table2[GameIsOver],1,Table2[HomeTeam],$A4, Table2[AwayTeam], V$1, Table2[ActualResult], "OT") + SUMIFS(Table2[HomeWon_], Table2[GameIsOver],1,Table2[AwayTeam],$A4, Table2[HomeTeam], V$1, Table2[ActualResult], "SO") + SUMIFS(Table2[AwayWon], Table2[GameIsOver],1,Table2[HomeTeam],$A4, Table2[AwayTeam], V$1, Table2[ActualResult], "SO"),0))</f>
        <v>1-0-0</v>
      </c>
      <c r="W4" t="str">
        <f>_xlfn.CONCAT(TEXT(SUMIFS(Table2[AwayWon], Table2[GameIsOver],1,Table2[AwayTeam],$A4, Table2[HomeTeam], W$1) + SUMIFS(Table2[HomeWon_], Table2[GameIsOver],1,Table2[HomeTeam],$A4, Table2[AwayTeam], W$1),0), "-", TEXT(SUMIFS(Table2[HomeWon_], Table2[GameIsOver],1,Table2[AwayTeam],$A4, Table2[HomeTeam], W$1, Table2[ActualResult], "REG") + SUMIFS(Table2[AwayWon], Table2[GameIsOver],1,Table2[HomeTeam],$A4, Table2[AwayTeam], W$1, Table2[ActualResult], "REG"),0), "-", TEXT(SUMIFS(Table2[HomeWon_], Table2[GameIsOver],1,Table2[AwayTeam],$A4, Table2[HomeTeam], W$1, Table2[ActualResult], "OT") + SUMIFS(Table2[AwayWon], Table2[GameIsOver],1,Table2[HomeTeam],$A4, Table2[AwayTeam], W$1, Table2[ActualResult], "OT") + SUMIFS(Table2[HomeWon_], Table2[GameIsOver],1,Table2[AwayTeam],$A4, Table2[HomeTeam], W$1, Table2[ActualResult], "SO") + SUMIFS(Table2[AwayWon], Table2[GameIsOver],1,Table2[HomeTeam],$A4, Table2[AwayTeam], W$1, Table2[ActualResult], "SO"),0))</f>
        <v>0-0-0</v>
      </c>
      <c r="X4" t="str">
        <f>_xlfn.CONCAT(TEXT(SUMIFS(Table2[AwayWon], Table2[GameIsOver],1,Table2[AwayTeam],$A4, Table2[HomeTeam], X$1) + SUMIFS(Table2[HomeWon_], Table2[GameIsOver],1,Table2[HomeTeam],$A4, Table2[AwayTeam], X$1),0), "-", TEXT(SUMIFS(Table2[HomeWon_], Table2[GameIsOver],1,Table2[AwayTeam],$A4, Table2[HomeTeam], X$1, Table2[ActualResult], "REG") + SUMIFS(Table2[AwayWon], Table2[GameIsOver],1,Table2[HomeTeam],$A4, Table2[AwayTeam], X$1, Table2[ActualResult], "REG"),0), "-", TEXT(SUMIFS(Table2[HomeWon_], Table2[GameIsOver],1,Table2[AwayTeam],$A4, Table2[HomeTeam], X$1, Table2[ActualResult], "OT") + SUMIFS(Table2[AwayWon], Table2[GameIsOver],1,Table2[HomeTeam],$A4, Table2[AwayTeam], X$1, Table2[ActualResult], "OT") + SUMIFS(Table2[HomeWon_], Table2[GameIsOver],1,Table2[AwayTeam],$A4, Table2[HomeTeam], X$1, Table2[ActualResult], "SO") + SUMIFS(Table2[AwayWon], Table2[GameIsOver],1,Table2[HomeTeam],$A4, Table2[AwayTeam], X$1, Table2[ActualResult], "SO"),0))</f>
        <v>0-0-0</v>
      </c>
      <c r="Y4" s="57" t="str">
        <f>_xlfn.CONCAT(TEXT(SUMIFS(Table2[AwayWon], Table2[GameIsOver],1,Table2[AwayTeam],$A4, Table2[HomeTeam], Y$1) + SUMIFS(Table2[HomeWon_], Table2[GameIsOver],1,Table2[HomeTeam],$A4, Table2[AwayTeam], Y$1),0), "-", TEXT(SUMIFS(Table2[HomeWon_], Table2[GameIsOver],1,Table2[AwayTeam],$A4, Table2[HomeTeam], Y$1, Table2[ActualResult], "REG") + SUMIFS(Table2[AwayWon], Table2[GameIsOver],1,Table2[HomeTeam],$A4, Table2[AwayTeam], Y$1, Table2[ActualResult], "REG"),0), "-", TEXT(SUMIFS(Table2[HomeWon_], Table2[GameIsOver],1,Table2[AwayTeam],$A4, Table2[HomeTeam], Y$1, Table2[ActualResult], "OT") + SUMIFS(Table2[AwayWon], Table2[GameIsOver],1,Table2[HomeTeam],$A4, Table2[AwayTeam], Y$1, Table2[ActualResult], "OT") + SUMIFS(Table2[HomeWon_], Table2[GameIsOver],1,Table2[AwayTeam],$A4, Table2[HomeTeam], Y$1, Table2[ActualResult], "SO") + SUMIFS(Table2[AwayWon], Table2[GameIsOver],1,Table2[HomeTeam],$A4, Table2[AwayTeam], Y$1, Table2[ActualResult], "SO"),0))</f>
        <v>0-0-0</v>
      </c>
      <c r="Z4" t="str">
        <f>_xlfn.CONCAT(TEXT(SUMIFS(Table2[AwayWon], Table2[GameIsOver],1,Table2[AwayTeam],$A4, Table2[HomeTeam], Z$1) + SUMIFS(Table2[HomeWon_], Table2[GameIsOver],1,Table2[HomeTeam],$A4, Table2[AwayTeam], Z$1),0), "-", TEXT(SUMIFS(Table2[HomeWon_], Table2[GameIsOver],1,Table2[AwayTeam],$A4, Table2[HomeTeam], Z$1, Table2[ActualResult], "REG") + SUMIFS(Table2[AwayWon], Table2[GameIsOver],1,Table2[HomeTeam],$A4, Table2[AwayTeam], Z$1, Table2[ActualResult], "REG"),0), "-", TEXT(SUMIFS(Table2[HomeWon_], Table2[GameIsOver],1,Table2[AwayTeam],$A4, Table2[HomeTeam], Z$1, Table2[ActualResult], "OT") + SUMIFS(Table2[AwayWon], Table2[GameIsOver],1,Table2[HomeTeam],$A4, Table2[AwayTeam], Z$1, Table2[ActualResult], "OT") + SUMIFS(Table2[HomeWon_], Table2[GameIsOver],1,Table2[AwayTeam],$A4, Table2[HomeTeam], Z$1, Table2[ActualResult], "SO") + SUMIFS(Table2[AwayWon], Table2[GameIsOver],1,Table2[HomeTeam],$A4, Table2[AwayTeam], Z$1, Table2[ActualResult], "SO"),0))</f>
        <v>0-0-0</v>
      </c>
      <c r="AA4" t="str">
        <f>_xlfn.CONCAT(TEXT(SUMIFS(Table2[AwayWon], Table2[GameIsOver],1,Table2[AwayTeam],$A4, Table2[HomeTeam], AA$1) + SUMIFS(Table2[HomeWon_], Table2[GameIsOver],1,Table2[HomeTeam],$A4, Table2[AwayTeam], AA$1),0), "-", TEXT(SUMIFS(Table2[HomeWon_], Table2[GameIsOver],1,Table2[AwayTeam],$A4, Table2[HomeTeam], AA$1, Table2[ActualResult], "REG") + SUMIFS(Table2[AwayWon], Table2[GameIsOver],1,Table2[HomeTeam],$A4, Table2[AwayTeam], AA$1, Table2[ActualResult], "REG"),0), "-", TEXT(SUMIFS(Table2[HomeWon_], Table2[GameIsOver],1,Table2[AwayTeam],$A4, Table2[HomeTeam], AA$1, Table2[ActualResult], "OT") + SUMIFS(Table2[AwayWon], Table2[GameIsOver],1,Table2[HomeTeam],$A4, Table2[AwayTeam], AA$1, Table2[ActualResult], "OT") + SUMIFS(Table2[HomeWon_], Table2[GameIsOver],1,Table2[AwayTeam],$A4, Table2[HomeTeam], AA$1, Table2[ActualResult], "SO") + SUMIFS(Table2[AwayWon], Table2[GameIsOver],1,Table2[HomeTeam],$A4, Table2[AwayTeam], AA$1, Table2[ActualResult], "SO"),0))</f>
        <v>0-0-0</v>
      </c>
      <c r="AB4" t="str">
        <f>_xlfn.CONCAT(TEXT(SUMIFS(Table2[AwayWon], Table2[GameIsOver],1,Table2[AwayTeam],$A4, Table2[HomeTeam], AB$1) + SUMIFS(Table2[HomeWon_], Table2[GameIsOver],1,Table2[HomeTeam],$A4, Table2[AwayTeam], AB$1),0), "-", TEXT(SUMIFS(Table2[HomeWon_], Table2[GameIsOver],1,Table2[AwayTeam],$A4, Table2[HomeTeam], AB$1, Table2[ActualResult], "REG") + SUMIFS(Table2[AwayWon], Table2[GameIsOver],1,Table2[HomeTeam],$A4, Table2[AwayTeam], AB$1, Table2[ActualResult], "REG"),0), "-", TEXT(SUMIFS(Table2[HomeWon_], Table2[GameIsOver],1,Table2[AwayTeam],$A4, Table2[HomeTeam], AB$1, Table2[ActualResult], "OT") + SUMIFS(Table2[AwayWon], Table2[GameIsOver],1,Table2[HomeTeam],$A4, Table2[AwayTeam], AB$1, Table2[ActualResult], "OT") + SUMIFS(Table2[HomeWon_], Table2[GameIsOver],1,Table2[AwayTeam],$A4, Table2[HomeTeam], AB$1, Table2[ActualResult], "SO") + SUMIFS(Table2[AwayWon], Table2[GameIsOver],1,Table2[HomeTeam],$A4, Table2[AwayTeam], AB$1, Table2[ActualResult], "SO"),0))</f>
        <v>0-1-0</v>
      </c>
      <c r="AC4" t="str">
        <f>_xlfn.CONCAT(TEXT(SUMIFS(Table2[AwayWon], Table2[GameIsOver],1,Table2[AwayTeam],$A4, Table2[HomeTeam], AC$1) + SUMIFS(Table2[HomeWon_], Table2[GameIsOver],1,Table2[HomeTeam],$A4, Table2[AwayTeam], AC$1),0), "-", TEXT(SUMIFS(Table2[HomeWon_], Table2[GameIsOver],1,Table2[AwayTeam],$A4, Table2[HomeTeam], AC$1, Table2[ActualResult], "REG") + SUMIFS(Table2[AwayWon], Table2[GameIsOver],1,Table2[HomeTeam],$A4, Table2[AwayTeam], AC$1, Table2[ActualResult], "REG"),0), "-", TEXT(SUMIFS(Table2[HomeWon_], Table2[GameIsOver],1,Table2[AwayTeam],$A4, Table2[HomeTeam], AC$1, Table2[ActualResult], "OT") + SUMIFS(Table2[AwayWon], Table2[GameIsOver],1,Table2[HomeTeam],$A4, Table2[AwayTeam], AC$1, Table2[ActualResult], "OT") + SUMIFS(Table2[HomeWon_], Table2[GameIsOver],1,Table2[AwayTeam],$A4, Table2[HomeTeam], AC$1, Table2[ActualResult], "SO") + SUMIFS(Table2[AwayWon], Table2[GameIsOver],1,Table2[HomeTeam],$A4, Table2[AwayTeam], AC$1, Table2[ActualResult], "SO"),0))</f>
        <v>0-0-0</v>
      </c>
      <c r="AD4" t="str">
        <f>_xlfn.CONCAT(TEXT(SUMIFS(Table2[AwayWon], Table2[GameIsOver],1,Table2[AwayTeam],$A4, Table2[HomeTeam], AD$1) + SUMIFS(Table2[HomeWon_], Table2[GameIsOver],1,Table2[HomeTeam],$A4, Table2[AwayTeam], AD$1),0), "-", TEXT(SUMIFS(Table2[HomeWon_], Table2[GameIsOver],1,Table2[AwayTeam],$A4, Table2[HomeTeam], AD$1, Table2[ActualResult], "REG") + SUMIFS(Table2[AwayWon], Table2[GameIsOver],1,Table2[HomeTeam],$A4, Table2[AwayTeam], AD$1, Table2[ActualResult], "REG"),0), "-", TEXT(SUMIFS(Table2[HomeWon_], Table2[GameIsOver],1,Table2[AwayTeam],$A4, Table2[HomeTeam], AD$1, Table2[ActualResult], "OT") + SUMIFS(Table2[AwayWon], Table2[GameIsOver],1,Table2[HomeTeam],$A4, Table2[AwayTeam], AD$1, Table2[ActualResult], "OT") + SUMIFS(Table2[HomeWon_], Table2[GameIsOver],1,Table2[AwayTeam],$A4, Table2[HomeTeam], AD$1, Table2[ActualResult], "SO") + SUMIFS(Table2[AwayWon], Table2[GameIsOver],1,Table2[HomeTeam],$A4, Table2[AwayTeam], AD$1, Table2[ActualResult], "SO"),0))</f>
        <v>0-0-0</v>
      </c>
      <c r="AE4" t="str">
        <f>_xlfn.CONCAT(TEXT(SUMIFS(Table2[AwayWon], Table2[GameIsOver],1,Table2[AwayTeam],$A4, Table2[HomeTeam], AE$1) + SUMIFS(Table2[HomeWon_], Table2[GameIsOver],1,Table2[HomeTeam],$A4, Table2[AwayTeam], AE$1),0), "-", TEXT(SUMIFS(Table2[HomeWon_], Table2[GameIsOver],1,Table2[AwayTeam],$A4, Table2[HomeTeam], AE$1, Table2[ActualResult], "REG") + SUMIFS(Table2[AwayWon], Table2[GameIsOver],1,Table2[HomeTeam],$A4, Table2[AwayTeam], AE$1, Table2[ActualResult], "REG"),0), "-", TEXT(SUMIFS(Table2[HomeWon_], Table2[GameIsOver],1,Table2[AwayTeam],$A4, Table2[HomeTeam], AE$1, Table2[ActualResult], "OT") + SUMIFS(Table2[AwayWon], Table2[GameIsOver],1,Table2[HomeTeam],$A4, Table2[AwayTeam], AE$1, Table2[ActualResult], "OT") + SUMIFS(Table2[HomeWon_], Table2[GameIsOver],1,Table2[AwayTeam],$A4, Table2[HomeTeam], AE$1, Table2[ActualResult], "SO") + SUMIFS(Table2[AwayWon], Table2[GameIsOver],1,Table2[HomeTeam],$A4, Table2[AwayTeam], AE$1, Table2[ActualResult], "SO"),0))</f>
        <v>1-0-0</v>
      </c>
      <c r="AF4" t="str">
        <f>_xlfn.CONCAT(TEXT(SUMIFS(Table2[AwayWon], Table2[GameIsOver],1,Table2[AwayTeam],$A4, Table2[HomeTeam], AF$1) + SUMIFS(Table2[HomeWon_], Table2[GameIsOver],1,Table2[HomeTeam],$A4, Table2[AwayTeam], AF$1),0), "-", TEXT(SUMIFS(Table2[HomeWon_], Table2[GameIsOver],1,Table2[AwayTeam],$A4, Table2[HomeTeam], AF$1, Table2[ActualResult], "REG") + SUMIFS(Table2[AwayWon], Table2[GameIsOver],1,Table2[HomeTeam],$A4, Table2[AwayTeam], AF$1, Table2[ActualResult], "REG"),0), "-", TEXT(SUMIFS(Table2[HomeWon_], Table2[GameIsOver],1,Table2[AwayTeam],$A4, Table2[HomeTeam], AF$1, Table2[ActualResult], "OT") + SUMIFS(Table2[AwayWon], Table2[GameIsOver],1,Table2[HomeTeam],$A4, Table2[AwayTeam], AF$1, Table2[ActualResult], "OT") + SUMIFS(Table2[HomeWon_], Table2[GameIsOver],1,Table2[AwayTeam],$A4, Table2[HomeTeam], AF$1, Table2[ActualResult], "SO") + SUMIFS(Table2[AwayWon], Table2[GameIsOver],1,Table2[HomeTeam],$A4, Table2[AwayTeam], AF$1, Table2[ActualResult], "SO"),0))</f>
        <v>0-0-0</v>
      </c>
      <c r="AG4" t="str">
        <f>_xlfn.CONCAT(TEXT(SUMIFS(Table2[AwayWon], Table2[GameIsOver],1,Table2[AwayTeam],$A4, Table2[HomeTeam], AG$1) + SUMIFS(Table2[HomeWon_], Table2[GameIsOver],1,Table2[HomeTeam],$A4, Table2[AwayTeam], AG$1),0), "-", TEXT(SUMIFS(Table2[HomeWon_], Table2[GameIsOver],1,Table2[AwayTeam],$A4, Table2[HomeTeam], AG$1, Table2[ActualResult], "REG") + SUMIFS(Table2[AwayWon], Table2[GameIsOver],1,Table2[HomeTeam],$A4, Table2[AwayTeam], AG$1, Table2[ActualResult], "REG"),0), "-", TEXT(SUMIFS(Table2[HomeWon_], Table2[GameIsOver],1,Table2[AwayTeam],$A4, Table2[HomeTeam], AG$1, Table2[ActualResult], "OT") + SUMIFS(Table2[AwayWon], Table2[GameIsOver],1,Table2[HomeTeam],$A4, Table2[AwayTeam], AG$1, Table2[ActualResult], "OT") + SUMIFS(Table2[HomeWon_], Table2[GameIsOver],1,Table2[AwayTeam],$A4, Table2[HomeTeam], AG$1, Table2[ActualResult], "SO") + SUMIFS(Table2[AwayWon], Table2[GameIsOver],1,Table2[HomeTeam],$A4, Table2[AwayTeam], AG$1, Table2[ActualResult], "SO"),0))</f>
        <v>0-0-0</v>
      </c>
    </row>
    <row r="5" spans="1:33" x14ac:dyDescent="0.25">
      <c r="A5" s="57" t="s">
        <v>27</v>
      </c>
      <c r="B5" t="str">
        <f>_xlfn.CONCAT(TEXT(SUMIFS(Table2[AwayWon], Table2[GameIsOver],1,Table2[AwayTeam],$A5, Table2[HomeTeam], B$1) + SUMIFS(Table2[HomeWon_], Table2[GameIsOver],1,Table2[HomeTeam],$A5, Table2[AwayTeam], B$1),0), "-", TEXT(SUMIFS(Table2[HomeWon_], Table2[GameIsOver],1,Table2[AwayTeam],$A5, Table2[HomeTeam], B$1, Table2[ActualResult], "REG") + SUMIFS(Table2[AwayWon], Table2[GameIsOver],1,Table2[HomeTeam],$A5, Table2[AwayTeam], B$1, Table2[ActualResult], "REG"),0), "-", TEXT(SUMIFS(Table2[HomeWon_], Table2[GameIsOver],1,Table2[AwayTeam],$A5, Table2[HomeTeam], B$1, Table2[ActualResult], "OT") + SUMIFS(Table2[AwayWon], Table2[GameIsOver],1,Table2[HomeTeam],$A5, Table2[AwayTeam], B$1, Table2[ActualResult], "OT") + SUMIFS(Table2[HomeWon_], Table2[GameIsOver],1,Table2[AwayTeam],$A5, Table2[HomeTeam], B$1, Table2[ActualResult], "SO") + SUMIFS(Table2[AwayWon], Table2[GameIsOver],1,Table2[HomeTeam],$A5, Table2[AwayTeam], B$1, Table2[ActualResult], "SO"),0))</f>
        <v>0-0-0</v>
      </c>
      <c r="C5" t="str">
        <f>_xlfn.CONCAT(TEXT(SUMIFS(Table2[AwayWon], Table2[GameIsOver],1,Table2[AwayTeam],$A5, Table2[HomeTeam], C$1) + SUMIFS(Table2[HomeWon_], Table2[GameIsOver],1,Table2[HomeTeam],$A5, Table2[AwayTeam], C$1),0), "-", TEXT(SUMIFS(Table2[HomeWon_], Table2[GameIsOver],1,Table2[AwayTeam],$A5, Table2[HomeTeam], C$1, Table2[ActualResult], "REG") + SUMIFS(Table2[AwayWon], Table2[GameIsOver],1,Table2[HomeTeam],$A5, Table2[AwayTeam], C$1, Table2[ActualResult], "REG"),0), "-", TEXT(SUMIFS(Table2[HomeWon_], Table2[GameIsOver],1,Table2[AwayTeam],$A5, Table2[HomeTeam], C$1, Table2[ActualResult], "OT") + SUMIFS(Table2[AwayWon], Table2[GameIsOver],1,Table2[HomeTeam],$A5, Table2[AwayTeam], C$1, Table2[ActualResult], "OT") + SUMIFS(Table2[HomeWon_], Table2[GameIsOver],1,Table2[AwayTeam],$A5, Table2[HomeTeam], C$1, Table2[ActualResult], "SO") + SUMIFS(Table2[AwayWon], Table2[GameIsOver],1,Table2[HomeTeam],$A5, Table2[AwayTeam], C$1, Table2[ActualResult], "SO"),0))</f>
        <v>0-0-0</v>
      </c>
      <c r="D5" t="str">
        <f>_xlfn.CONCAT(TEXT(SUMIFS(Table2[AwayWon], Table2[GameIsOver],1,Table2[AwayTeam],$A5, Table2[HomeTeam], D$1) + SUMIFS(Table2[HomeWon_], Table2[GameIsOver],1,Table2[HomeTeam],$A5, Table2[AwayTeam], D$1),0), "-", TEXT(SUMIFS(Table2[HomeWon_], Table2[GameIsOver],1,Table2[AwayTeam],$A5, Table2[HomeTeam], D$1, Table2[ActualResult], "REG") + SUMIFS(Table2[AwayWon], Table2[GameIsOver],1,Table2[HomeTeam],$A5, Table2[AwayTeam], D$1, Table2[ActualResult], "REG"),0), "-", TEXT(SUMIFS(Table2[HomeWon_], Table2[GameIsOver],1,Table2[AwayTeam],$A5, Table2[HomeTeam], D$1, Table2[ActualResult], "OT") + SUMIFS(Table2[AwayWon], Table2[GameIsOver],1,Table2[HomeTeam],$A5, Table2[AwayTeam], D$1, Table2[ActualResult], "OT") + SUMIFS(Table2[HomeWon_], Table2[GameIsOver],1,Table2[AwayTeam],$A5, Table2[HomeTeam], D$1, Table2[ActualResult], "SO") + SUMIFS(Table2[AwayWon], Table2[GameIsOver],1,Table2[HomeTeam],$A5, Table2[AwayTeam], D$1, Table2[ActualResult], "SO"),0))</f>
        <v>0-0-0</v>
      </c>
      <c r="E5" s="89"/>
      <c r="F5" t="str">
        <f>_xlfn.CONCAT(TEXT(SUMIFS(Table2[AwayWon], Table2[GameIsOver],1,Table2[AwayTeam],$A5, Table2[HomeTeam], F$1) + SUMIFS(Table2[HomeWon_], Table2[GameIsOver],1,Table2[HomeTeam],$A5, Table2[AwayTeam], F$1),0), "-", TEXT(SUMIFS(Table2[HomeWon_], Table2[GameIsOver],1,Table2[AwayTeam],$A5, Table2[HomeTeam], F$1, Table2[ActualResult], "REG") + SUMIFS(Table2[AwayWon], Table2[GameIsOver],1,Table2[HomeTeam],$A5, Table2[AwayTeam], F$1, Table2[ActualResult], "REG"),0), "-", TEXT(SUMIFS(Table2[HomeWon_], Table2[GameIsOver],1,Table2[AwayTeam],$A5, Table2[HomeTeam], F$1, Table2[ActualResult], "OT") + SUMIFS(Table2[AwayWon], Table2[GameIsOver],1,Table2[HomeTeam],$A5, Table2[AwayTeam], F$1, Table2[ActualResult], "OT") + SUMIFS(Table2[HomeWon_], Table2[GameIsOver],1,Table2[AwayTeam],$A5, Table2[HomeTeam], F$1, Table2[ActualResult], "SO") + SUMIFS(Table2[AwayWon], Table2[GameIsOver],1,Table2[HomeTeam],$A5, Table2[AwayTeam], F$1, Table2[ActualResult], "SO"),0))</f>
        <v>0-0-0</v>
      </c>
      <c r="G5" t="str">
        <f>_xlfn.CONCAT(TEXT(SUMIFS(Table2[AwayWon], Table2[GameIsOver],1,Table2[AwayTeam],$A5, Table2[HomeTeam], G$1) + SUMIFS(Table2[HomeWon_], Table2[GameIsOver],1,Table2[HomeTeam],$A5, Table2[AwayTeam], G$1),0), "-", TEXT(SUMIFS(Table2[HomeWon_], Table2[GameIsOver],1,Table2[AwayTeam],$A5, Table2[HomeTeam], G$1, Table2[ActualResult], "REG") + SUMIFS(Table2[AwayWon], Table2[GameIsOver],1,Table2[HomeTeam],$A5, Table2[AwayTeam], G$1, Table2[ActualResult], "REG"),0), "-", TEXT(SUMIFS(Table2[HomeWon_], Table2[GameIsOver],1,Table2[AwayTeam],$A5, Table2[HomeTeam], G$1, Table2[ActualResult], "OT") + SUMIFS(Table2[AwayWon], Table2[GameIsOver],1,Table2[HomeTeam],$A5, Table2[AwayTeam], G$1, Table2[ActualResult], "OT") + SUMIFS(Table2[HomeWon_], Table2[GameIsOver],1,Table2[AwayTeam],$A5, Table2[HomeTeam], G$1, Table2[ActualResult], "SO") + SUMIFS(Table2[AwayWon], Table2[GameIsOver],1,Table2[HomeTeam],$A5, Table2[AwayTeam], G$1, Table2[ActualResult], "SO"),0))</f>
        <v>0-0-0</v>
      </c>
      <c r="H5" t="str">
        <f>_xlfn.CONCAT(TEXT(SUMIFS(Table2[AwayWon], Table2[GameIsOver],1,Table2[AwayTeam],$A5, Table2[HomeTeam], H$1) + SUMIFS(Table2[HomeWon_], Table2[GameIsOver],1,Table2[HomeTeam],$A5, Table2[AwayTeam], H$1),0), "-", TEXT(SUMIFS(Table2[HomeWon_], Table2[GameIsOver],1,Table2[AwayTeam],$A5, Table2[HomeTeam], H$1, Table2[ActualResult], "REG") + SUMIFS(Table2[AwayWon], Table2[GameIsOver],1,Table2[HomeTeam],$A5, Table2[AwayTeam], H$1, Table2[ActualResult], "REG"),0), "-", TEXT(SUMIFS(Table2[HomeWon_], Table2[GameIsOver],1,Table2[AwayTeam],$A5, Table2[HomeTeam], H$1, Table2[ActualResult], "OT") + SUMIFS(Table2[AwayWon], Table2[GameIsOver],1,Table2[HomeTeam],$A5, Table2[AwayTeam], H$1, Table2[ActualResult], "OT") + SUMIFS(Table2[HomeWon_], Table2[GameIsOver],1,Table2[AwayTeam],$A5, Table2[HomeTeam], H$1, Table2[ActualResult], "SO") + SUMIFS(Table2[AwayWon], Table2[GameIsOver],1,Table2[HomeTeam],$A5, Table2[AwayTeam], H$1, Table2[ActualResult], "SO"),0))</f>
        <v>0-0-0</v>
      </c>
      <c r="I5" s="57" t="str">
        <f>_xlfn.CONCAT(TEXT(SUMIFS(Table2[AwayWon], Table2[GameIsOver],1,Table2[AwayTeam],$A5, Table2[HomeTeam], I$1) + SUMIFS(Table2[HomeWon_], Table2[GameIsOver],1,Table2[HomeTeam],$A5, Table2[AwayTeam], I$1),0), "-", TEXT(SUMIFS(Table2[HomeWon_], Table2[GameIsOver],1,Table2[AwayTeam],$A5, Table2[HomeTeam], I$1, Table2[ActualResult], "REG") + SUMIFS(Table2[AwayWon], Table2[GameIsOver],1,Table2[HomeTeam],$A5, Table2[AwayTeam], I$1, Table2[ActualResult], "REG"),0), "-", TEXT(SUMIFS(Table2[HomeWon_], Table2[GameIsOver],1,Table2[AwayTeam],$A5, Table2[HomeTeam], I$1, Table2[ActualResult], "OT") + SUMIFS(Table2[AwayWon], Table2[GameIsOver],1,Table2[HomeTeam],$A5, Table2[AwayTeam], I$1, Table2[ActualResult], "OT") + SUMIFS(Table2[HomeWon_], Table2[GameIsOver],1,Table2[AwayTeam],$A5, Table2[HomeTeam], I$1, Table2[ActualResult], "SO") + SUMIFS(Table2[AwayWon], Table2[GameIsOver],1,Table2[HomeTeam],$A5, Table2[AwayTeam], I$1, Table2[ActualResult], "SO"),0))</f>
        <v>1-0-0</v>
      </c>
      <c r="J5" t="str">
        <f>_xlfn.CONCAT(TEXT(SUMIFS(Table2[AwayWon], Table2[GameIsOver],1,Table2[AwayTeam],$A5, Table2[HomeTeam], J$1) + SUMIFS(Table2[HomeWon_], Table2[GameIsOver],1,Table2[HomeTeam],$A5, Table2[AwayTeam], J$1),0), "-", TEXT(SUMIFS(Table2[HomeWon_], Table2[GameIsOver],1,Table2[AwayTeam],$A5, Table2[HomeTeam], J$1, Table2[ActualResult], "REG") + SUMIFS(Table2[AwayWon], Table2[GameIsOver],1,Table2[HomeTeam],$A5, Table2[AwayTeam], J$1, Table2[ActualResult], "REG"),0), "-", TEXT(SUMIFS(Table2[HomeWon_], Table2[GameIsOver],1,Table2[AwayTeam],$A5, Table2[HomeTeam], J$1, Table2[ActualResult], "OT") + SUMIFS(Table2[AwayWon], Table2[GameIsOver],1,Table2[HomeTeam],$A5, Table2[AwayTeam], J$1, Table2[ActualResult], "OT") + SUMIFS(Table2[HomeWon_], Table2[GameIsOver],1,Table2[AwayTeam],$A5, Table2[HomeTeam], J$1, Table2[ActualResult], "SO") + SUMIFS(Table2[AwayWon], Table2[GameIsOver],1,Table2[HomeTeam],$A5, Table2[AwayTeam], J$1, Table2[ActualResult], "SO"),0))</f>
        <v>0-0-0</v>
      </c>
      <c r="K5" t="str">
        <f>_xlfn.CONCAT(TEXT(SUMIFS(Table2[AwayWon], Table2[GameIsOver],1,Table2[AwayTeam],$A5, Table2[HomeTeam], K$1) + SUMIFS(Table2[HomeWon_], Table2[GameIsOver],1,Table2[HomeTeam],$A5, Table2[AwayTeam], K$1),0), "-", TEXT(SUMIFS(Table2[HomeWon_], Table2[GameIsOver],1,Table2[AwayTeam],$A5, Table2[HomeTeam], K$1, Table2[ActualResult], "REG") + SUMIFS(Table2[AwayWon], Table2[GameIsOver],1,Table2[HomeTeam],$A5, Table2[AwayTeam], K$1, Table2[ActualResult], "REG"),0), "-", TEXT(SUMIFS(Table2[HomeWon_], Table2[GameIsOver],1,Table2[AwayTeam],$A5, Table2[HomeTeam], K$1, Table2[ActualResult], "OT") + SUMIFS(Table2[AwayWon], Table2[GameIsOver],1,Table2[HomeTeam],$A5, Table2[AwayTeam], K$1, Table2[ActualResult], "OT") + SUMIFS(Table2[HomeWon_], Table2[GameIsOver],1,Table2[AwayTeam],$A5, Table2[HomeTeam], K$1, Table2[ActualResult], "SO") + SUMIFS(Table2[AwayWon], Table2[GameIsOver],1,Table2[HomeTeam],$A5, Table2[AwayTeam], K$1, Table2[ActualResult], "SO"),0))</f>
        <v>0-1-0</v>
      </c>
      <c r="L5" t="str">
        <f>_xlfn.CONCAT(TEXT(SUMIFS(Table2[AwayWon], Table2[GameIsOver],1,Table2[AwayTeam],$A5, Table2[HomeTeam], L$1) + SUMIFS(Table2[HomeWon_], Table2[GameIsOver],1,Table2[HomeTeam],$A5, Table2[AwayTeam], L$1),0), "-", TEXT(SUMIFS(Table2[HomeWon_], Table2[GameIsOver],1,Table2[AwayTeam],$A5, Table2[HomeTeam], L$1, Table2[ActualResult], "REG") + SUMIFS(Table2[AwayWon], Table2[GameIsOver],1,Table2[HomeTeam],$A5, Table2[AwayTeam], L$1, Table2[ActualResult], "REG"),0), "-", TEXT(SUMIFS(Table2[HomeWon_], Table2[GameIsOver],1,Table2[AwayTeam],$A5, Table2[HomeTeam], L$1, Table2[ActualResult], "OT") + SUMIFS(Table2[AwayWon], Table2[GameIsOver],1,Table2[HomeTeam],$A5, Table2[AwayTeam], L$1, Table2[ActualResult], "OT") + SUMIFS(Table2[HomeWon_], Table2[GameIsOver],1,Table2[AwayTeam],$A5, Table2[HomeTeam], L$1, Table2[ActualResult], "SO") + SUMIFS(Table2[AwayWon], Table2[GameIsOver],1,Table2[HomeTeam],$A5, Table2[AwayTeam], L$1, Table2[ActualResult], "SO"),0))</f>
        <v>0-0-0</v>
      </c>
      <c r="M5" t="str">
        <f>_xlfn.CONCAT(TEXT(SUMIFS(Table2[AwayWon], Table2[GameIsOver],1,Table2[AwayTeam],$A5, Table2[HomeTeam], M$1) + SUMIFS(Table2[HomeWon_], Table2[GameIsOver],1,Table2[HomeTeam],$A5, Table2[AwayTeam], M$1),0), "-", TEXT(SUMIFS(Table2[HomeWon_], Table2[GameIsOver],1,Table2[AwayTeam],$A5, Table2[HomeTeam], M$1, Table2[ActualResult], "REG") + SUMIFS(Table2[AwayWon], Table2[GameIsOver],1,Table2[HomeTeam],$A5, Table2[AwayTeam], M$1, Table2[ActualResult], "REG"),0), "-", TEXT(SUMIFS(Table2[HomeWon_], Table2[GameIsOver],1,Table2[AwayTeam],$A5, Table2[HomeTeam], M$1, Table2[ActualResult], "OT") + SUMIFS(Table2[AwayWon], Table2[GameIsOver],1,Table2[HomeTeam],$A5, Table2[AwayTeam], M$1, Table2[ActualResult], "OT") + SUMIFS(Table2[HomeWon_], Table2[GameIsOver],1,Table2[AwayTeam],$A5, Table2[HomeTeam], M$1, Table2[ActualResult], "SO") + SUMIFS(Table2[AwayWon], Table2[GameIsOver],1,Table2[HomeTeam],$A5, Table2[AwayTeam], M$1, Table2[ActualResult], "SO"),0))</f>
        <v>0-0-1</v>
      </c>
      <c r="N5" t="str">
        <f>_xlfn.CONCAT(TEXT(SUMIFS(Table2[AwayWon], Table2[GameIsOver],1,Table2[AwayTeam],$A5, Table2[HomeTeam], N$1) + SUMIFS(Table2[HomeWon_], Table2[GameIsOver],1,Table2[HomeTeam],$A5, Table2[AwayTeam], N$1),0), "-", TEXT(SUMIFS(Table2[HomeWon_], Table2[GameIsOver],1,Table2[AwayTeam],$A5, Table2[HomeTeam], N$1, Table2[ActualResult], "REG") + SUMIFS(Table2[AwayWon], Table2[GameIsOver],1,Table2[HomeTeam],$A5, Table2[AwayTeam], N$1, Table2[ActualResult], "REG"),0), "-", TEXT(SUMIFS(Table2[HomeWon_], Table2[GameIsOver],1,Table2[AwayTeam],$A5, Table2[HomeTeam], N$1, Table2[ActualResult], "OT") + SUMIFS(Table2[AwayWon], Table2[GameIsOver],1,Table2[HomeTeam],$A5, Table2[AwayTeam], N$1, Table2[ActualResult], "OT") + SUMIFS(Table2[HomeWon_], Table2[GameIsOver],1,Table2[AwayTeam],$A5, Table2[HomeTeam], N$1, Table2[ActualResult], "SO") + SUMIFS(Table2[AwayWon], Table2[GameIsOver],1,Table2[HomeTeam],$A5, Table2[AwayTeam], N$1, Table2[ActualResult], "SO"),0))</f>
        <v>0-0-0</v>
      </c>
      <c r="O5" t="str">
        <f>_xlfn.CONCAT(TEXT(SUMIFS(Table2[AwayWon], Table2[GameIsOver],1,Table2[AwayTeam],$A5, Table2[HomeTeam], O$1) + SUMIFS(Table2[HomeWon_], Table2[GameIsOver],1,Table2[HomeTeam],$A5, Table2[AwayTeam], O$1),0), "-", TEXT(SUMIFS(Table2[HomeWon_], Table2[GameIsOver],1,Table2[AwayTeam],$A5, Table2[HomeTeam], O$1, Table2[ActualResult], "REG") + SUMIFS(Table2[AwayWon], Table2[GameIsOver],1,Table2[HomeTeam],$A5, Table2[AwayTeam], O$1, Table2[ActualResult], "REG"),0), "-", TEXT(SUMIFS(Table2[HomeWon_], Table2[GameIsOver],1,Table2[AwayTeam],$A5, Table2[HomeTeam], O$1, Table2[ActualResult], "OT") + SUMIFS(Table2[AwayWon], Table2[GameIsOver],1,Table2[HomeTeam],$A5, Table2[AwayTeam], O$1, Table2[ActualResult], "OT") + SUMIFS(Table2[HomeWon_], Table2[GameIsOver],1,Table2[AwayTeam],$A5, Table2[HomeTeam], O$1, Table2[ActualResult], "SO") + SUMIFS(Table2[AwayWon], Table2[GameIsOver],1,Table2[HomeTeam],$A5, Table2[AwayTeam], O$1, Table2[ActualResult], "SO"),0))</f>
        <v>1-0-0</v>
      </c>
      <c r="P5" t="str">
        <f>_xlfn.CONCAT(TEXT(SUMIFS(Table2[AwayWon], Table2[GameIsOver],1,Table2[AwayTeam],$A5, Table2[HomeTeam], P$1) + SUMIFS(Table2[HomeWon_], Table2[GameIsOver],1,Table2[HomeTeam],$A5, Table2[AwayTeam], P$1),0), "-", TEXT(SUMIFS(Table2[HomeWon_], Table2[GameIsOver],1,Table2[AwayTeam],$A5, Table2[HomeTeam], P$1, Table2[ActualResult], "REG") + SUMIFS(Table2[AwayWon], Table2[GameIsOver],1,Table2[HomeTeam],$A5, Table2[AwayTeam], P$1, Table2[ActualResult], "REG"),0), "-", TEXT(SUMIFS(Table2[HomeWon_], Table2[GameIsOver],1,Table2[AwayTeam],$A5, Table2[HomeTeam], P$1, Table2[ActualResult], "OT") + SUMIFS(Table2[AwayWon], Table2[GameIsOver],1,Table2[HomeTeam],$A5, Table2[AwayTeam], P$1, Table2[ActualResult], "OT") + SUMIFS(Table2[HomeWon_], Table2[GameIsOver],1,Table2[AwayTeam],$A5, Table2[HomeTeam], P$1, Table2[ActualResult], "SO") + SUMIFS(Table2[AwayWon], Table2[GameIsOver],1,Table2[HomeTeam],$A5, Table2[AwayTeam], P$1, Table2[ActualResult], "SO"),0))</f>
        <v>0-0-0</v>
      </c>
      <c r="Q5" s="57" t="str">
        <f>_xlfn.CONCAT(TEXT(SUMIFS(Table2[AwayWon], Table2[GameIsOver],1,Table2[AwayTeam],$A5, Table2[HomeTeam], Q$1) + SUMIFS(Table2[HomeWon_], Table2[GameIsOver],1,Table2[HomeTeam],$A5, Table2[AwayTeam], Q$1),0), "-", TEXT(SUMIFS(Table2[HomeWon_], Table2[GameIsOver],1,Table2[AwayTeam],$A5, Table2[HomeTeam], Q$1, Table2[ActualResult], "REG") + SUMIFS(Table2[AwayWon], Table2[GameIsOver],1,Table2[HomeTeam],$A5, Table2[AwayTeam], Q$1, Table2[ActualResult], "REG"),0), "-", TEXT(SUMIFS(Table2[HomeWon_], Table2[GameIsOver],1,Table2[AwayTeam],$A5, Table2[HomeTeam], Q$1, Table2[ActualResult], "OT") + SUMIFS(Table2[AwayWon], Table2[GameIsOver],1,Table2[HomeTeam],$A5, Table2[AwayTeam], Q$1, Table2[ActualResult], "OT") + SUMIFS(Table2[HomeWon_], Table2[GameIsOver],1,Table2[AwayTeam],$A5, Table2[HomeTeam], Q$1, Table2[ActualResult], "SO") + SUMIFS(Table2[AwayWon], Table2[GameIsOver],1,Table2[HomeTeam],$A5, Table2[AwayTeam], Q$1, Table2[ActualResult], "SO"),0))</f>
        <v>0-1-0</v>
      </c>
      <c r="R5" t="str">
        <f>_xlfn.CONCAT(TEXT(SUMIFS(Table2[AwayWon], Table2[GameIsOver],1,Table2[AwayTeam],$A5, Table2[HomeTeam], R$1) + SUMIFS(Table2[HomeWon_], Table2[GameIsOver],1,Table2[HomeTeam],$A5, Table2[AwayTeam], R$1),0), "-", TEXT(SUMIFS(Table2[HomeWon_], Table2[GameIsOver],1,Table2[AwayTeam],$A5, Table2[HomeTeam], R$1, Table2[ActualResult], "REG") + SUMIFS(Table2[AwayWon], Table2[GameIsOver],1,Table2[HomeTeam],$A5, Table2[AwayTeam], R$1, Table2[ActualResult], "REG"),0), "-", TEXT(SUMIFS(Table2[HomeWon_], Table2[GameIsOver],1,Table2[AwayTeam],$A5, Table2[HomeTeam], R$1, Table2[ActualResult], "OT") + SUMIFS(Table2[AwayWon], Table2[GameIsOver],1,Table2[HomeTeam],$A5, Table2[AwayTeam], R$1, Table2[ActualResult], "OT") + SUMIFS(Table2[HomeWon_], Table2[GameIsOver],1,Table2[AwayTeam],$A5, Table2[HomeTeam], R$1, Table2[ActualResult], "SO") + SUMIFS(Table2[AwayWon], Table2[GameIsOver],1,Table2[HomeTeam],$A5, Table2[AwayTeam], R$1, Table2[ActualResult], "SO"),0))</f>
        <v>0-0-1</v>
      </c>
      <c r="S5" t="str">
        <f>_xlfn.CONCAT(TEXT(SUMIFS(Table2[AwayWon], Table2[GameIsOver],1,Table2[AwayTeam],$A5, Table2[HomeTeam], S$1) + SUMIFS(Table2[HomeWon_], Table2[GameIsOver],1,Table2[HomeTeam],$A5, Table2[AwayTeam], S$1),0), "-", TEXT(SUMIFS(Table2[HomeWon_], Table2[GameIsOver],1,Table2[AwayTeam],$A5, Table2[HomeTeam], S$1, Table2[ActualResult], "REG") + SUMIFS(Table2[AwayWon], Table2[GameIsOver],1,Table2[HomeTeam],$A5, Table2[AwayTeam], S$1, Table2[ActualResult], "REG"),0), "-", TEXT(SUMIFS(Table2[HomeWon_], Table2[GameIsOver],1,Table2[AwayTeam],$A5, Table2[HomeTeam], S$1, Table2[ActualResult], "OT") + SUMIFS(Table2[AwayWon], Table2[GameIsOver],1,Table2[HomeTeam],$A5, Table2[AwayTeam], S$1, Table2[ActualResult], "OT") + SUMIFS(Table2[HomeWon_], Table2[GameIsOver],1,Table2[AwayTeam],$A5, Table2[HomeTeam], S$1, Table2[ActualResult], "SO") + SUMIFS(Table2[AwayWon], Table2[GameIsOver],1,Table2[HomeTeam],$A5, Table2[AwayTeam], S$1, Table2[ActualResult], "SO"),0))</f>
        <v>0-0-0</v>
      </c>
      <c r="T5" t="str">
        <f>_xlfn.CONCAT(TEXT(SUMIFS(Table2[AwayWon], Table2[GameIsOver],1,Table2[AwayTeam],$A5, Table2[HomeTeam], T$1) + SUMIFS(Table2[HomeWon_], Table2[GameIsOver],1,Table2[HomeTeam],$A5, Table2[AwayTeam], T$1),0), "-", TEXT(SUMIFS(Table2[HomeWon_], Table2[GameIsOver],1,Table2[AwayTeam],$A5, Table2[HomeTeam], T$1, Table2[ActualResult], "REG") + SUMIFS(Table2[AwayWon], Table2[GameIsOver],1,Table2[HomeTeam],$A5, Table2[AwayTeam], T$1, Table2[ActualResult], "REG"),0), "-", TEXT(SUMIFS(Table2[HomeWon_], Table2[GameIsOver],1,Table2[AwayTeam],$A5, Table2[HomeTeam], T$1, Table2[ActualResult], "OT") + SUMIFS(Table2[AwayWon], Table2[GameIsOver],1,Table2[HomeTeam],$A5, Table2[AwayTeam], T$1, Table2[ActualResult], "OT") + SUMIFS(Table2[HomeWon_], Table2[GameIsOver],1,Table2[AwayTeam],$A5, Table2[HomeTeam], T$1, Table2[ActualResult], "SO") + SUMIFS(Table2[AwayWon], Table2[GameIsOver],1,Table2[HomeTeam],$A5, Table2[AwayTeam], T$1, Table2[ActualResult], "SO"),0))</f>
        <v>0-0-0</v>
      </c>
      <c r="U5" t="str">
        <f>_xlfn.CONCAT(TEXT(SUMIFS(Table2[AwayWon], Table2[GameIsOver],1,Table2[AwayTeam],$A5, Table2[HomeTeam], U$1) + SUMIFS(Table2[HomeWon_], Table2[GameIsOver],1,Table2[HomeTeam],$A5, Table2[AwayTeam], U$1),0), "-", TEXT(SUMIFS(Table2[HomeWon_], Table2[GameIsOver],1,Table2[AwayTeam],$A5, Table2[HomeTeam], U$1, Table2[ActualResult], "REG") + SUMIFS(Table2[AwayWon], Table2[GameIsOver],1,Table2[HomeTeam],$A5, Table2[AwayTeam], U$1, Table2[ActualResult], "REG"),0), "-", TEXT(SUMIFS(Table2[HomeWon_], Table2[GameIsOver],1,Table2[AwayTeam],$A5, Table2[HomeTeam], U$1, Table2[ActualResult], "OT") + SUMIFS(Table2[AwayWon], Table2[GameIsOver],1,Table2[HomeTeam],$A5, Table2[AwayTeam], U$1, Table2[ActualResult], "OT") + SUMIFS(Table2[HomeWon_], Table2[GameIsOver],1,Table2[AwayTeam],$A5, Table2[HomeTeam], U$1, Table2[ActualResult], "SO") + SUMIFS(Table2[AwayWon], Table2[GameIsOver],1,Table2[HomeTeam],$A5, Table2[AwayTeam], U$1, Table2[ActualResult], "SO"),0))</f>
        <v>0-0-0</v>
      </c>
      <c r="V5" t="str">
        <f>_xlfn.CONCAT(TEXT(SUMIFS(Table2[AwayWon], Table2[GameIsOver],1,Table2[AwayTeam],$A5, Table2[HomeTeam], V$1) + SUMIFS(Table2[HomeWon_], Table2[GameIsOver],1,Table2[HomeTeam],$A5, Table2[AwayTeam], V$1),0), "-", TEXT(SUMIFS(Table2[HomeWon_], Table2[GameIsOver],1,Table2[AwayTeam],$A5, Table2[HomeTeam], V$1, Table2[ActualResult], "REG") + SUMIFS(Table2[AwayWon], Table2[GameIsOver],1,Table2[HomeTeam],$A5, Table2[AwayTeam], V$1, Table2[ActualResult], "REG"),0), "-", TEXT(SUMIFS(Table2[HomeWon_], Table2[GameIsOver],1,Table2[AwayTeam],$A5, Table2[HomeTeam], V$1, Table2[ActualResult], "OT") + SUMIFS(Table2[AwayWon], Table2[GameIsOver],1,Table2[HomeTeam],$A5, Table2[AwayTeam], V$1, Table2[ActualResult], "OT") + SUMIFS(Table2[HomeWon_], Table2[GameIsOver],1,Table2[AwayTeam],$A5, Table2[HomeTeam], V$1, Table2[ActualResult], "SO") + SUMIFS(Table2[AwayWon], Table2[GameIsOver],1,Table2[HomeTeam],$A5, Table2[AwayTeam], V$1, Table2[ActualResult], "SO"),0))</f>
        <v>0-0-0</v>
      </c>
      <c r="W5" t="str">
        <f>_xlfn.CONCAT(TEXT(SUMIFS(Table2[AwayWon], Table2[GameIsOver],1,Table2[AwayTeam],$A5, Table2[HomeTeam], W$1) + SUMIFS(Table2[HomeWon_], Table2[GameIsOver],1,Table2[HomeTeam],$A5, Table2[AwayTeam], W$1),0), "-", TEXT(SUMIFS(Table2[HomeWon_], Table2[GameIsOver],1,Table2[AwayTeam],$A5, Table2[HomeTeam], W$1, Table2[ActualResult], "REG") + SUMIFS(Table2[AwayWon], Table2[GameIsOver],1,Table2[HomeTeam],$A5, Table2[AwayTeam], W$1, Table2[ActualResult], "REG"),0), "-", TEXT(SUMIFS(Table2[HomeWon_], Table2[GameIsOver],1,Table2[AwayTeam],$A5, Table2[HomeTeam], W$1, Table2[ActualResult], "OT") + SUMIFS(Table2[AwayWon], Table2[GameIsOver],1,Table2[HomeTeam],$A5, Table2[AwayTeam], W$1, Table2[ActualResult], "OT") + SUMIFS(Table2[HomeWon_], Table2[GameIsOver],1,Table2[AwayTeam],$A5, Table2[HomeTeam], W$1, Table2[ActualResult], "SO") + SUMIFS(Table2[AwayWon], Table2[GameIsOver],1,Table2[HomeTeam],$A5, Table2[AwayTeam], W$1, Table2[ActualResult], "SO"),0))</f>
        <v>0-0-0</v>
      </c>
      <c r="X5" t="str">
        <f>_xlfn.CONCAT(TEXT(SUMIFS(Table2[AwayWon], Table2[GameIsOver],1,Table2[AwayTeam],$A5, Table2[HomeTeam], X$1) + SUMIFS(Table2[HomeWon_], Table2[GameIsOver],1,Table2[HomeTeam],$A5, Table2[AwayTeam], X$1),0), "-", TEXT(SUMIFS(Table2[HomeWon_], Table2[GameIsOver],1,Table2[AwayTeam],$A5, Table2[HomeTeam], X$1, Table2[ActualResult], "REG") + SUMIFS(Table2[AwayWon], Table2[GameIsOver],1,Table2[HomeTeam],$A5, Table2[AwayTeam], X$1, Table2[ActualResult], "REG"),0), "-", TEXT(SUMIFS(Table2[HomeWon_], Table2[GameIsOver],1,Table2[AwayTeam],$A5, Table2[HomeTeam], X$1, Table2[ActualResult], "OT") + SUMIFS(Table2[AwayWon], Table2[GameIsOver],1,Table2[HomeTeam],$A5, Table2[AwayTeam], X$1, Table2[ActualResult], "OT") + SUMIFS(Table2[HomeWon_], Table2[GameIsOver],1,Table2[AwayTeam],$A5, Table2[HomeTeam], X$1, Table2[ActualResult], "SO") + SUMIFS(Table2[AwayWon], Table2[GameIsOver],1,Table2[HomeTeam],$A5, Table2[AwayTeam], X$1, Table2[ActualResult], "SO"),0))</f>
        <v>0-1-0</v>
      </c>
      <c r="Y5" s="57" t="str">
        <f>_xlfn.CONCAT(TEXT(SUMIFS(Table2[AwayWon], Table2[GameIsOver],1,Table2[AwayTeam],$A5, Table2[HomeTeam], Y$1) + SUMIFS(Table2[HomeWon_], Table2[GameIsOver],1,Table2[HomeTeam],$A5, Table2[AwayTeam], Y$1),0), "-", TEXT(SUMIFS(Table2[HomeWon_], Table2[GameIsOver],1,Table2[AwayTeam],$A5, Table2[HomeTeam], Y$1, Table2[ActualResult], "REG") + SUMIFS(Table2[AwayWon], Table2[GameIsOver],1,Table2[HomeTeam],$A5, Table2[AwayTeam], Y$1, Table2[ActualResult], "REG"),0), "-", TEXT(SUMIFS(Table2[HomeWon_], Table2[GameIsOver],1,Table2[AwayTeam],$A5, Table2[HomeTeam], Y$1, Table2[ActualResult], "OT") + SUMIFS(Table2[AwayWon], Table2[GameIsOver],1,Table2[HomeTeam],$A5, Table2[AwayTeam], Y$1, Table2[ActualResult], "OT") + SUMIFS(Table2[HomeWon_], Table2[GameIsOver],1,Table2[AwayTeam],$A5, Table2[HomeTeam], Y$1, Table2[ActualResult], "SO") + SUMIFS(Table2[AwayWon], Table2[GameIsOver],1,Table2[HomeTeam],$A5, Table2[AwayTeam], Y$1, Table2[ActualResult], "SO"),0))</f>
        <v>0-0-0</v>
      </c>
      <c r="Z5" t="str">
        <f>_xlfn.CONCAT(TEXT(SUMIFS(Table2[AwayWon], Table2[GameIsOver],1,Table2[AwayTeam],$A5, Table2[HomeTeam], Z$1) + SUMIFS(Table2[HomeWon_], Table2[GameIsOver],1,Table2[HomeTeam],$A5, Table2[AwayTeam], Z$1),0), "-", TEXT(SUMIFS(Table2[HomeWon_], Table2[GameIsOver],1,Table2[AwayTeam],$A5, Table2[HomeTeam], Z$1, Table2[ActualResult], "REG") + SUMIFS(Table2[AwayWon], Table2[GameIsOver],1,Table2[HomeTeam],$A5, Table2[AwayTeam], Z$1, Table2[ActualResult], "REG"),0), "-", TEXT(SUMIFS(Table2[HomeWon_], Table2[GameIsOver],1,Table2[AwayTeam],$A5, Table2[HomeTeam], Z$1, Table2[ActualResult], "OT") + SUMIFS(Table2[AwayWon], Table2[GameIsOver],1,Table2[HomeTeam],$A5, Table2[AwayTeam], Z$1, Table2[ActualResult], "OT") + SUMIFS(Table2[HomeWon_], Table2[GameIsOver],1,Table2[AwayTeam],$A5, Table2[HomeTeam], Z$1, Table2[ActualResult], "SO") + SUMIFS(Table2[AwayWon], Table2[GameIsOver],1,Table2[HomeTeam],$A5, Table2[AwayTeam], Z$1, Table2[ActualResult], "SO"),0))</f>
        <v>0-0-0</v>
      </c>
      <c r="AA5" t="str">
        <f>_xlfn.CONCAT(TEXT(SUMIFS(Table2[AwayWon], Table2[GameIsOver],1,Table2[AwayTeam],$A5, Table2[HomeTeam], AA$1) + SUMIFS(Table2[HomeWon_], Table2[GameIsOver],1,Table2[HomeTeam],$A5, Table2[AwayTeam], AA$1),0), "-", TEXT(SUMIFS(Table2[HomeWon_], Table2[GameIsOver],1,Table2[AwayTeam],$A5, Table2[HomeTeam], AA$1, Table2[ActualResult], "REG") + SUMIFS(Table2[AwayWon], Table2[GameIsOver],1,Table2[HomeTeam],$A5, Table2[AwayTeam], AA$1, Table2[ActualResult], "REG"),0), "-", TEXT(SUMIFS(Table2[HomeWon_], Table2[GameIsOver],1,Table2[AwayTeam],$A5, Table2[HomeTeam], AA$1, Table2[ActualResult], "OT") + SUMIFS(Table2[AwayWon], Table2[GameIsOver],1,Table2[HomeTeam],$A5, Table2[AwayTeam], AA$1, Table2[ActualResult], "OT") + SUMIFS(Table2[HomeWon_], Table2[GameIsOver],1,Table2[AwayTeam],$A5, Table2[HomeTeam], AA$1, Table2[ActualResult], "SO") + SUMIFS(Table2[AwayWon], Table2[GameIsOver],1,Table2[HomeTeam],$A5, Table2[AwayTeam], AA$1, Table2[ActualResult], "SO"),0))</f>
        <v>0-0-0</v>
      </c>
      <c r="AB5" t="str">
        <f>_xlfn.CONCAT(TEXT(SUMIFS(Table2[AwayWon], Table2[GameIsOver],1,Table2[AwayTeam],$A5, Table2[HomeTeam], AB$1) + SUMIFS(Table2[HomeWon_], Table2[GameIsOver],1,Table2[HomeTeam],$A5, Table2[AwayTeam], AB$1),0), "-", TEXT(SUMIFS(Table2[HomeWon_], Table2[GameIsOver],1,Table2[AwayTeam],$A5, Table2[HomeTeam], AB$1, Table2[ActualResult], "REG") + SUMIFS(Table2[AwayWon], Table2[GameIsOver],1,Table2[HomeTeam],$A5, Table2[AwayTeam], AB$1, Table2[ActualResult], "REG"),0), "-", TEXT(SUMIFS(Table2[HomeWon_], Table2[GameIsOver],1,Table2[AwayTeam],$A5, Table2[HomeTeam], AB$1, Table2[ActualResult], "OT") + SUMIFS(Table2[AwayWon], Table2[GameIsOver],1,Table2[HomeTeam],$A5, Table2[AwayTeam], AB$1, Table2[ActualResult], "OT") + SUMIFS(Table2[HomeWon_], Table2[GameIsOver],1,Table2[AwayTeam],$A5, Table2[HomeTeam], AB$1, Table2[ActualResult], "SO") + SUMIFS(Table2[AwayWon], Table2[GameIsOver],1,Table2[HomeTeam],$A5, Table2[AwayTeam], AB$1, Table2[ActualResult], "SO"),0))</f>
        <v>0-0-0</v>
      </c>
      <c r="AC5" t="str">
        <f>_xlfn.CONCAT(TEXT(SUMIFS(Table2[AwayWon], Table2[GameIsOver],1,Table2[AwayTeam],$A5, Table2[HomeTeam], AC$1) + SUMIFS(Table2[HomeWon_], Table2[GameIsOver],1,Table2[HomeTeam],$A5, Table2[AwayTeam], AC$1),0), "-", TEXT(SUMIFS(Table2[HomeWon_], Table2[GameIsOver],1,Table2[AwayTeam],$A5, Table2[HomeTeam], AC$1, Table2[ActualResult], "REG") + SUMIFS(Table2[AwayWon], Table2[GameIsOver],1,Table2[HomeTeam],$A5, Table2[AwayTeam], AC$1, Table2[ActualResult], "REG"),0), "-", TEXT(SUMIFS(Table2[HomeWon_], Table2[GameIsOver],1,Table2[AwayTeam],$A5, Table2[HomeTeam], AC$1, Table2[ActualResult], "OT") + SUMIFS(Table2[AwayWon], Table2[GameIsOver],1,Table2[HomeTeam],$A5, Table2[AwayTeam], AC$1, Table2[ActualResult], "OT") + SUMIFS(Table2[HomeWon_], Table2[GameIsOver],1,Table2[AwayTeam],$A5, Table2[HomeTeam], AC$1, Table2[ActualResult], "SO") + SUMIFS(Table2[AwayWon], Table2[GameIsOver],1,Table2[HomeTeam],$A5, Table2[AwayTeam], AC$1, Table2[ActualResult], "SO"),0))</f>
        <v>0-0-0</v>
      </c>
      <c r="AD5" t="str">
        <f>_xlfn.CONCAT(TEXT(SUMIFS(Table2[AwayWon], Table2[GameIsOver],1,Table2[AwayTeam],$A5, Table2[HomeTeam], AD$1) + SUMIFS(Table2[HomeWon_], Table2[GameIsOver],1,Table2[HomeTeam],$A5, Table2[AwayTeam], AD$1),0), "-", TEXT(SUMIFS(Table2[HomeWon_], Table2[GameIsOver],1,Table2[AwayTeam],$A5, Table2[HomeTeam], AD$1, Table2[ActualResult], "REG") + SUMIFS(Table2[AwayWon], Table2[GameIsOver],1,Table2[HomeTeam],$A5, Table2[AwayTeam], AD$1, Table2[ActualResult], "REG"),0), "-", TEXT(SUMIFS(Table2[HomeWon_], Table2[GameIsOver],1,Table2[AwayTeam],$A5, Table2[HomeTeam], AD$1, Table2[ActualResult], "OT") + SUMIFS(Table2[AwayWon], Table2[GameIsOver],1,Table2[HomeTeam],$A5, Table2[AwayTeam], AD$1, Table2[ActualResult], "OT") + SUMIFS(Table2[HomeWon_], Table2[GameIsOver],1,Table2[AwayTeam],$A5, Table2[HomeTeam], AD$1, Table2[ActualResult], "SO") + SUMIFS(Table2[AwayWon], Table2[GameIsOver],1,Table2[HomeTeam],$A5, Table2[AwayTeam], AD$1, Table2[ActualResult], "SO"),0))</f>
        <v>0-0-0</v>
      </c>
      <c r="AE5" t="str">
        <f>_xlfn.CONCAT(TEXT(SUMIFS(Table2[AwayWon], Table2[GameIsOver],1,Table2[AwayTeam],$A5, Table2[HomeTeam], AE$1) + SUMIFS(Table2[HomeWon_], Table2[GameIsOver],1,Table2[HomeTeam],$A5, Table2[AwayTeam], AE$1),0), "-", TEXT(SUMIFS(Table2[HomeWon_], Table2[GameIsOver],1,Table2[AwayTeam],$A5, Table2[HomeTeam], AE$1, Table2[ActualResult], "REG") + SUMIFS(Table2[AwayWon], Table2[GameIsOver],1,Table2[HomeTeam],$A5, Table2[AwayTeam], AE$1, Table2[ActualResult], "REG"),0), "-", TEXT(SUMIFS(Table2[HomeWon_], Table2[GameIsOver],1,Table2[AwayTeam],$A5, Table2[HomeTeam], AE$1, Table2[ActualResult], "OT") + SUMIFS(Table2[AwayWon], Table2[GameIsOver],1,Table2[HomeTeam],$A5, Table2[AwayTeam], AE$1, Table2[ActualResult], "OT") + SUMIFS(Table2[HomeWon_], Table2[GameIsOver],1,Table2[AwayTeam],$A5, Table2[HomeTeam], AE$1, Table2[ActualResult], "SO") + SUMIFS(Table2[AwayWon], Table2[GameIsOver],1,Table2[HomeTeam],$A5, Table2[AwayTeam], AE$1, Table2[ActualResult], "SO"),0))</f>
        <v>0-0-0</v>
      </c>
      <c r="AF5" t="str">
        <f>_xlfn.CONCAT(TEXT(SUMIFS(Table2[AwayWon], Table2[GameIsOver],1,Table2[AwayTeam],$A5, Table2[HomeTeam], AF$1) + SUMIFS(Table2[HomeWon_], Table2[GameIsOver],1,Table2[HomeTeam],$A5, Table2[AwayTeam], AF$1),0), "-", TEXT(SUMIFS(Table2[HomeWon_], Table2[GameIsOver],1,Table2[AwayTeam],$A5, Table2[HomeTeam], AF$1, Table2[ActualResult], "REG") + SUMIFS(Table2[AwayWon], Table2[GameIsOver],1,Table2[HomeTeam],$A5, Table2[AwayTeam], AF$1, Table2[ActualResult], "REG"),0), "-", TEXT(SUMIFS(Table2[HomeWon_], Table2[GameIsOver],1,Table2[AwayTeam],$A5, Table2[HomeTeam], AF$1, Table2[ActualResult], "OT") + SUMIFS(Table2[AwayWon], Table2[GameIsOver],1,Table2[HomeTeam],$A5, Table2[AwayTeam], AF$1, Table2[ActualResult], "OT") + SUMIFS(Table2[HomeWon_], Table2[GameIsOver],1,Table2[AwayTeam],$A5, Table2[HomeTeam], AF$1, Table2[ActualResult], "SO") + SUMIFS(Table2[AwayWon], Table2[GameIsOver],1,Table2[HomeTeam],$A5, Table2[AwayTeam], AF$1, Table2[ActualResult], "SO"),0))</f>
        <v>0-0-0</v>
      </c>
      <c r="AG5" t="str">
        <f>_xlfn.CONCAT(TEXT(SUMIFS(Table2[AwayWon], Table2[GameIsOver],1,Table2[AwayTeam],$A5, Table2[HomeTeam], AG$1) + SUMIFS(Table2[HomeWon_], Table2[GameIsOver],1,Table2[HomeTeam],$A5, Table2[AwayTeam], AG$1),0), "-", TEXT(SUMIFS(Table2[HomeWon_], Table2[GameIsOver],1,Table2[AwayTeam],$A5, Table2[HomeTeam], AG$1, Table2[ActualResult], "REG") + SUMIFS(Table2[AwayWon], Table2[GameIsOver],1,Table2[HomeTeam],$A5, Table2[AwayTeam], AG$1, Table2[ActualResult], "REG"),0), "-", TEXT(SUMIFS(Table2[HomeWon_], Table2[GameIsOver],1,Table2[AwayTeam],$A5, Table2[HomeTeam], AG$1, Table2[ActualResult], "OT") + SUMIFS(Table2[AwayWon], Table2[GameIsOver],1,Table2[HomeTeam],$A5, Table2[AwayTeam], AG$1, Table2[ActualResult], "OT") + SUMIFS(Table2[HomeWon_], Table2[GameIsOver],1,Table2[AwayTeam],$A5, Table2[HomeTeam], AG$1, Table2[ActualResult], "SO") + SUMIFS(Table2[AwayWon], Table2[GameIsOver],1,Table2[HomeTeam],$A5, Table2[AwayTeam], AG$1, Table2[ActualResult], "SO"),0))</f>
        <v>0-0-0</v>
      </c>
    </row>
    <row r="6" spans="1:33" x14ac:dyDescent="0.25">
      <c r="A6" s="57" t="s">
        <v>11</v>
      </c>
      <c r="B6" t="str">
        <f>_xlfn.CONCAT(TEXT(SUMIFS(Table2[AwayWon], Table2[GameIsOver],1,Table2[AwayTeam],$A6, Table2[HomeTeam], B$1) + SUMIFS(Table2[HomeWon_], Table2[GameIsOver],1,Table2[HomeTeam],$A6, Table2[AwayTeam], B$1),0), "-", TEXT(SUMIFS(Table2[HomeWon_], Table2[GameIsOver],1,Table2[AwayTeam],$A6, Table2[HomeTeam], B$1, Table2[ActualResult], "REG") + SUMIFS(Table2[AwayWon], Table2[GameIsOver],1,Table2[HomeTeam],$A6, Table2[AwayTeam], B$1, Table2[ActualResult], "REG"),0), "-", TEXT(SUMIFS(Table2[HomeWon_], Table2[GameIsOver],1,Table2[AwayTeam],$A6, Table2[HomeTeam], B$1, Table2[ActualResult], "OT") + SUMIFS(Table2[AwayWon], Table2[GameIsOver],1,Table2[HomeTeam],$A6, Table2[AwayTeam], B$1, Table2[ActualResult], "OT") + SUMIFS(Table2[HomeWon_], Table2[GameIsOver],1,Table2[AwayTeam],$A6, Table2[HomeTeam], B$1, Table2[ActualResult], "SO") + SUMIFS(Table2[AwayWon], Table2[GameIsOver],1,Table2[HomeTeam],$A6, Table2[AwayTeam], B$1, Table2[ActualResult], "SO"),0))</f>
        <v>1-0-0</v>
      </c>
      <c r="C6" t="str">
        <f>_xlfn.CONCAT(TEXT(SUMIFS(Table2[AwayWon], Table2[GameIsOver],1,Table2[AwayTeam],$A6, Table2[HomeTeam], C$1) + SUMIFS(Table2[HomeWon_], Table2[GameIsOver],1,Table2[HomeTeam],$A6, Table2[AwayTeam], C$1),0), "-", TEXT(SUMIFS(Table2[HomeWon_], Table2[GameIsOver],1,Table2[AwayTeam],$A6, Table2[HomeTeam], C$1, Table2[ActualResult], "REG") + SUMIFS(Table2[AwayWon], Table2[GameIsOver],1,Table2[HomeTeam],$A6, Table2[AwayTeam], C$1, Table2[ActualResult], "REG"),0), "-", TEXT(SUMIFS(Table2[HomeWon_], Table2[GameIsOver],1,Table2[AwayTeam],$A6, Table2[HomeTeam], C$1, Table2[ActualResult], "OT") + SUMIFS(Table2[AwayWon], Table2[GameIsOver],1,Table2[HomeTeam],$A6, Table2[AwayTeam], C$1, Table2[ActualResult], "OT") + SUMIFS(Table2[HomeWon_], Table2[GameIsOver],1,Table2[AwayTeam],$A6, Table2[HomeTeam], C$1, Table2[ActualResult], "SO") + SUMIFS(Table2[AwayWon], Table2[GameIsOver],1,Table2[HomeTeam],$A6, Table2[AwayTeam], C$1, Table2[ActualResult], "SO"),0))</f>
        <v>0-0-0</v>
      </c>
      <c r="D6" t="str">
        <f>_xlfn.CONCAT(TEXT(SUMIFS(Table2[AwayWon], Table2[GameIsOver],1,Table2[AwayTeam],$A6, Table2[HomeTeam], D$1) + SUMIFS(Table2[HomeWon_], Table2[GameIsOver],1,Table2[HomeTeam],$A6, Table2[AwayTeam], D$1),0), "-", TEXT(SUMIFS(Table2[HomeWon_], Table2[GameIsOver],1,Table2[AwayTeam],$A6, Table2[HomeTeam], D$1, Table2[ActualResult], "REG") + SUMIFS(Table2[AwayWon], Table2[GameIsOver],1,Table2[HomeTeam],$A6, Table2[AwayTeam], D$1, Table2[ActualResult], "REG"),0), "-", TEXT(SUMIFS(Table2[HomeWon_], Table2[GameIsOver],1,Table2[AwayTeam],$A6, Table2[HomeTeam], D$1, Table2[ActualResult], "OT") + SUMIFS(Table2[AwayWon], Table2[GameIsOver],1,Table2[HomeTeam],$A6, Table2[AwayTeam], D$1, Table2[ActualResult], "OT") + SUMIFS(Table2[HomeWon_], Table2[GameIsOver],1,Table2[AwayTeam],$A6, Table2[HomeTeam], D$1, Table2[ActualResult], "SO") + SUMIFS(Table2[AwayWon], Table2[GameIsOver],1,Table2[HomeTeam],$A6, Table2[AwayTeam], D$1, Table2[ActualResult], "SO"),0))</f>
        <v>0-0-0</v>
      </c>
      <c r="E6" t="str">
        <f>_xlfn.CONCAT(TEXT(SUMIFS(Table2[AwayWon], Table2[GameIsOver],1,Table2[AwayTeam],$A6, Table2[HomeTeam], E$1) + SUMIFS(Table2[HomeWon_], Table2[GameIsOver],1,Table2[HomeTeam],$A6, Table2[AwayTeam], E$1),0), "-", TEXT(SUMIFS(Table2[HomeWon_], Table2[GameIsOver],1,Table2[AwayTeam],$A6, Table2[HomeTeam], E$1, Table2[ActualResult], "REG") + SUMIFS(Table2[AwayWon], Table2[GameIsOver],1,Table2[HomeTeam],$A6, Table2[AwayTeam], E$1, Table2[ActualResult], "REG"),0), "-", TEXT(SUMIFS(Table2[HomeWon_], Table2[GameIsOver],1,Table2[AwayTeam],$A6, Table2[HomeTeam], E$1, Table2[ActualResult], "OT") + SUMIFS(Table2[AwayWon], Table2[GameIsOver],1,Table2[HomeTeam],$A6, Table2[AwayTeam], E$1, Table2[ActualResult], "OT") + SUMIFS(Table2[HomeWon_], Table2[GameIsOver],1,Table2[AwayTeam],$A6, Table2[HomeTeam], E$1, Table2[ActualResult], "SO") + SUMIFS(Table2[AwayWon], Table2[GameIsOver],1,Table2[HomeTeam],$A6, Table2[AwayTeam], E$1, Table2[ActualResult], "SO"),0))</f>
        <v>0-0-0</v>
      </c>
      <c r="F6" s="89"/>
      <c r="G6" t="str">
        <f>_xlfn.CONCAT(TEXT(SUMIFS(Table2[AwayWon], Table2[GameIsOver],1,Table2[AwayTeam],$A6, Table2[HomeTeam], G$1) + SUMIFS(Table2[HomeWon_], Table2[GameIsOver],1,Table2[HomeTeam],$A6, Table2[AwayTeam], G$1),0), "-", TEXT(SUMIFS(Table2[HomeWon_], Table2[GameIsOver],1,Table2[AwayTeam],$A6, Table2[HomeTeam], G$1, Table2[ActualResult], "REG") + SUMIFS(Table2[AwayWon], Table2[GameIsOver],1,Table2[HomeTeam],$A6, Table2[AwayTeam], G$1, Table2[ActualResult], "REG"),0), "-", TEXT(SUMIFS(Table2[HomeWon_], Table2[GameIsOver],1,Table2[AwayTeam],$A6, Table2[HomeTeam], G$1, Table2[ActualResult], "OT") + SUMIFS(Table2[AwayWon], Table2[GameIsOver],1,Table2[HomeTeam],$A6, Table2[AwayTeam], G$1, Table2[ActualResult], "OT") + SUMIFS(Table2[HomeWon_], Table2[GameIsOver],1,Table2[AwayTeam],$A6, Table2[HomeTeam], G$1, Table2[ActualResult], "SO") + SUMIFS(Table2[AwayWon], Table2[GameIsOver],1,Table2[HomeTeam],$A6, Table2[AwayTeam], G$1, Table2[ActualResult], "SO"),0))</f>
        <v>0-0-0</v>
      </c>
      <c r="H6" t="str">
        <f>_xlfn.CONCAT(TEXT(SUMIFS(Table2[AwayWon], Table2[GameIsOver],1,Table2[AwayTeam],$A6, Table2[HomeTeam], H$1) + SUMIFS(Table2[HomeWon_], Table2[GameIsOver],1,Table2[HomeTeam],$A6, Table2[AwayTeam], H$1),0), "-", TEXT(SUMIFS(Table2[HomeWon_], Table2[GameIsOver],1,Table2[AwayTeam],$A6, Table2[HomeTeam], H$1, Table2[ActualResult], "REG") + SUMIFS(Table2[AwayWon], Table2[GameIsOver],1,Table2[HomeTeam],$A6, Table2[AwayTeam], H$1, Table2[ActualResult], "REG"),0), "-", TEXT(SUMIFS(Table2[HomeWon_], Table2[GameIsOver],1,Table2[AwayTeam],$A6, Table2[HomeTeam], H$1, Table2[ActualResult], "OT") + SUMIFS(Table2[AwayWon], Table2[GameIsOver],1,Table2[HomeTeam],$A6, Table2[AwayTeam], H$1, Table2[ActualResult], "OT") + SUMIFS(Table2[HomeWon_], Table2[GameIsOver],1,Table2[AwayTeam],$A6, Table2[HomeTeam], H$1, Table2[ActualResult], "SO") + SUMIFS(Table2[AwayWon], Table2[GameIsOver],1,Table2[HomeTeam],$A6, Table2[AwayTeam], H$1, Table2[ActualResult], "SO"),0))</f>
        <v>0-0-0</v>
      </c>
      <c r="I6" s="57" t="str">
        <f>_xlfn.CONCAT(TEXT(SUMIFS(Table2[AwayWon], Table2[GameIsOver],1,Table2[AwayTeam],$A6, Table2[HomeTeam], I$1) + SUMIFS(Table2[HomeWon_], Table2[GameIsOver],1,Table2[HomeTeam],$A6, Table2[AwayTeam], I$1),0), "-", TEXT(SUMIFS(Table2[HomeWon_], Table2[GameIsOver],1,Table2[AwayTeam],$A6, Table2[HomeTeam], I$1, Table2[ActualResult], "REG") + SUMIFS(Table2[AwayWon], Table2[GameIsOver],1,Table2[HomeTeam],$A6, Table2[AwayTeam], I$1, Table2[ActualResult], "REG"),0), "-", TEXT(SUMIFS(Table2[HomeWon_], Table2[GameIsOver],1,Table2[AwayTeam],$A6, Table2[HomeTeam], I$1, Table2[ActualResult], "OT") + SUMIFS(Table2[AwayWon], Table2[GameIsOver],1,Table2[HomeTeam],$A6, Table2[AwayTeam], I$1, Table2[ActualResult], "OT") + SUMIFS(Table2[HomeWon_], Table2[GameIsOver],1,Table2[AwayTeam],$A6, Table2[HomeTeam], I$1, Table2[ActualResult], "SO") + SUMIFS(Table2[AwayWon], Table2[GameIsOver],1,Table2[HomeTeam],$A6, Table2[AwayTeam], I$1, Table2[ActualResult], "SO"),0))</f>
        <v>1-0-0</v>
      </c>
      <c r="J6" t="str">
        <f>_xlfn.CONCAT(TEXT(SUMIFS(Table2[AwayWon], Table2[GameIsOver],1,Table2[AwayTeam],$A6, Table2[HomeTeam], J$1) + SUMIFS(Table2[HomeWon_], Table2[GameIsOver],1,Table2[HomeTeam],$A6, Table2[AwayTeam], J$1),0), "-", TEXT(SUMIFS(Table2[HomeWon_], Table2[GameIsOver],1,Table2[AwayTeam],$A6, Table2[HomeTeam], J$1, Table2[ActualResult], "REG") + SUMIFS(Table2[AwayWon], Table2[GameIsOver],1,Table2[HomeTeam],$A6, Table2[AwayTeam], J$1, Table2[ActualResult], "REG"),0), "-", TEXT(SUMIFS(Table2[HomeWon_], Table2[GameIsOver],1,Table2[AwayTeam],$A6, Table2[HomeTeam], J$1, Table2[ActualResult], "OT") + SUMIFS(Table2[AwayWon], Table2[GameIsOver],1,Table2[HomeTeam],$A6, Table2[AwayTeam], J$1, Table2[ActualResult], "OT") + SUMIFS(Table2[HomeWon_], Table2[GameIsOver],1,Table2[AwayTeam],$A6, Table2[HomeTeam], J$1, Table2[ActualResult], "SO") + SUMIFS(Table2[AwayWon], Table2[GameIsOver],1,Table2[HomeTeam],$A6, Table2[AwayTeam], J$1, Table2[ActualResult], "SO"),0))</f>
        <v>0-0-0</v>
      </c>
      <c r="K6" t="str">
        <f>_xlfn.CONCAT(TEXT(SUMIFS(Table2[AwayWon], Table2[GameIsOver],1,Table2[AwayTeam],$A6, Table2[HomeTeam], K$1) + SUMIFS(Table2[HomeWon_], Table2[GameIsOver],1,Table2[HomeTeam],$A6, Table2[AwayTeam], K$1),0), "-", TEXT(SUMIFS(Table2[HomeWon_], Table2[GameIsOver],1,Table2[AwayTeam],$A6, Table2[HomeTeam], K$1, Table2[ActualResult], "REG") + SUMIFS(Table2[AwayWon], Table2[GameIsOver],1,Table2[HomeTeam],$A6, Table2[AwayTeam], K$1, Table2[ActualResult], "REG"),0), "-", TEXT(SUMIFS(Table2[HomeWon_], Table2[GameIsOver],1,Table2[AwayTeam],$A6, Table2[HomeTeam], K$1, Table2[ActualResult], "OT") + SUMIFS(Table2[AwayWon], Table2[GameIsOver],1,Table2[HomeTeam],$A6, Table2[AwayTeam], K$1, Table2[ActualResult], "OT") + SUMIFS(Table2[HomeWon_], Table2[GameIsOver],1,Table2[AwayTeam],$A6, Table2[HomeTeam], K$1, Table2[ActualResult], "SO") + SUMIFS(Table2[AwayWon], Table2[GameIsOver],1,Table2[HomeTeam],$A6, Table2[AwayTeam], K$1, Table2[ActualResult], "SO"),0))</f>
        <v>0-0-0</v>
      </c>
      <c r="L6" t="str">
        <f>_xlfn.CONCAT(TEXT(SUMIFS(Table2[AwayWon], Table2[GameIsOver],1,Table2[AwayTeam],$A6, Table2[HomeTeam], L$1) + SUMIFS(Table2[HomeWon_], Table2[GameIsOver],1,Table2[HomeTeam],$A6, Table2[AwayTeam], L$1),0), "-", TEXT(SUMIFS(Table2[HomeWon_], Table2[GameIsOver],1,Table2[AwayTeam],$A6, Table2[HomeTeam], L$1, Table2[ActualResult], "REG") + SUMIFS(Table2[AwayWon], Table2[GameIsOver],1,Table2[HomeTeam],$A6, Table2[AwayTeam], L$1, Table2[ActualResult], "REG"),0), "-", TEXT(SUMIFS(Table2[HomeWon_], Table2[GameIsOver],1,Table2[AwayTeam],$A6, Table2[HomeTeam], L$1, Table2[ActualResult], "OT") + SUMIFS(Table2[AwayWon], Table2[GameIsOver],1,Table2[HomeTeam],$A6, Table2[AwayTeam], L$1, Table2[ActualResult], "OT") + SUMIFS(Table2[HomeWon_], Table2[GameIsOver],1,Table2[AwayTeam],$A6, Table2[HomeTeam], L$1, Table2[ActualResult], "SO") + SUMIFS(Table2[AwayWon], Table2[GameIsOver],1,Table2[HomeTeam],$A6, Table2[AwayTeam], L$1, Table2[ActualResult], "SO"),0))</f>
        <v>0-0-0</v>
      </c>
      <c r="M6" t="str">
        <f>_xlfn.CONCAT(TEXT(SUMIFS(Table2[AwayWon], Table2[GameIsOver],1,Table2[AwayTeam],$A6, Table2[HomeTeam], M$1) + SUMIFS(Table2[HomeWon_], Table2[GameIsOver],1,Table2[HomeTeam],$A6, Table2[AwayTeam], M$1),0), "-", TEXT(SUMIFS(Table2[HomeWon_], Table2[GameIsOver],1,Table2[AwayTeam],$A6, Table2[HomeTeam], M$1, Table2[ActualResult], "REG") + SUMIFS(Table2[AwayWon], Table2[GameIsOver],1,Table2[HomeTeam],$A6, Table2[AwayTeam], M$1, Table2[ActualResult], "REG"),0), "-", TEXT(SUMIFS(Table2[HomeWon_], Table2[GameIsOver],1,Table2[AwayTeam],$A6, Table2[HomeTeam], M$1, Table2[ActualResult], "OT") + SUMIFS(Table2[AwayWon], Table2[GameIsOver],1,Table2[HomeTeam],$A6, Table2[AwayTeam], M$1, Table2[ActualResult], "OT") + SUMIFS(Table2[HomeWon_], Table2[GameIsOver],1,Table2[AwayTeam],$A6, Table2[HomeTeam], M$1, Table2[ActualResult], "SO") + SUMIFS(Table2[AwayWon], Table2[GameIsOver],1,Table2[HomeTeam],$A6, Table2[AwayTeam], M$1, Table2[ActualResult], "SO"),0))</f>
        <v>0-0-0</v>
      </c>
      <c r="N6" t="str">
        <f>_xlfn.CONCAT(TEXT(SUMIFS(Table2[AwayWon], Table2[GameIsOver],1,Table2[AwayTeam],$A6, Table2[HomeTeam], N$1) + SUMIFS(Table2[HomeWon_], Table2[GameIsOver],1,Table2[HomeTeam],$A6, Table2[AwayTeam], N$1),0), "-", TEXT(SUMIFS(Table2[HomeWon_], Table2[GameIsOver],1,Table2[AwayTeam],$A6, Table2[HomeTeam], N$1, Table2[ActualResult], "REG") + SUMIFS(Table2[AwayWon], Table2[GameIsOver],1,Table2[HomeTeam],$A6, Table2[AwayTeam], N$1, Table2[ActualResult], "REG"),0), "-", TEXT(SUMIFS(Table2[HomeWon_], Table2[GameIsOver],1,Table2[AwayTeam],$A6, Table2[HomeTeam], N$1, Table2[ActualResult], "OT") + SUMIFS(Table2[AwayWon], Table2[GameIsOver],1,Table2[HomeTeam],$A6, Table2[AwayTeam], N$1, Table2[ActualResult], "OT") + SUMIFS(Table2[HomeWon_], Table2[GameIsOver],1,Table2[AwayTeam],$A6, Table2[HomeTeam], N$1, Table2[ActualResult], "SO") + SUMIFS(Table2[AwayWon], Table2[GameIsOver],1,Table2[HomeTeam],$A6, Table2[AwayTeam], N$1, Table2[ActualResult], "SO"),0))</f>
        <v>0-0-0</v>
      </c>
      <c r="O6" t="str">
        <f>_xlfn.CONCAT(TEXT(SUMIFS(Table2[AwayWon], Table2[GameIsOver],1,Table2[AwayTeam],$A6, Table2[HomeTeam], O$1) + SUMIFS(Table2[HomeWon_], Table2[GameIsOver],1,Table2[HomeTeam],$A6, Table2[AwayTeam], O$1),0), "-", TEXT(SUMIFS(Table2[HomeWon_], Table2[GameIsOver],1,Table2[AwayTeam],$A6, Table2[HomeTeam], O$1, Table2[ActualResult], "REG") + SUMIFS(Table2[AwayWon], Table2[GameIsOver],1,Table2[HomeTeam],$A6, Table2[AwayTeam], O$1, Table2[ActualResult], "REG"),0), "-", TEXT(SUMIFS(Table2[HomeWon_], Table2[GameIsOver],1,Table2[AwayTeam],$A6, Table2[HomeTeam], O$1, Table2[ActualResult], "OT") + SUMIFS(Table2[AwayWon], Table2[GameIsOver],1,Table2[HomeTeam],$A6, Table2[AwayTeam], O$1, Table2[ActualResult], "OT") + SUMIFS(Table2[HomeWon_], Table2[GameIsOver],1,Table2[AwayTeam],$A6, Table2[HomeTeam], O$1, Table2[ActualResult], "SO") + SUMIFS(Table2[AwayWon], Table2[GameIsOver],1,Table2[HomeTeam],$A6, Table2[AwayTeam], O$1, Table2[ActualResult], "SO"),0))</f>
        <v>0-0-0</v>
      </c>
      <c r="P6" t="str">
        <f>_xlfn.CONCAT(TEXT(SUMIFS(Table2[AwayWon], Table2[GameIsOver],1,Table2[AwayTeam],$A6, Table2[HomeTeam], P$1) + SUMIFS(Table2[HomeWon_], Table2[GameIsOver],1,Table2[HomeTeam],$A6, Table2[AwayTeam], P$1),0), "-", TEXT(SUMIFS(Table2[HomeWon_], Table2[GameIsOver],1,Table2[AwayTeam],$A6, Table2[HomeTeam], P$1, Table2[ActualResult], "REG") + SUMIFS(Table2[AwayWon], Table2[GameIsOver],1,Table2[HomeTeam],$A6, Table2[AwayTeam], P$1, Table2[ActualResult], "REG"),0), "-", TEXT(SUMIFS(Table2[HomeWon_], Table2[GameIsOver],1,Table2[AwayTeam],$A6, Table2[HomeTeam], P$1, Table2[ActualResult], "OT") + SUMIFS(Table2[AwayWon], Table2[GameIsOver],1,Table2[HomeTeam],$A6, Table2[AwayTeam], P$1, Table2[ActualResult], "OT") + SUMIFS(Table2[HomeWon_], Table2[GameIsOver],1,Table2[AwayTeam],$A6, Table2[HomeTeam], P$1, Table2[ActualResult], "SO") + SUMIFS(Table2[AwayWon], Table2[GameIsOver],1,Table2[HomeTeam],$A6, Table2[AwayTeam], P$1, Table2[ActualResult], "SO"),0))</f>
        <v>0-0-0</v>
      </c>
      <c r="Q6" s="57" t="str">
        <f>_xlfn.CONCAT(TEXT(SUMIFS(Table2[AwayWon], Table2[GameIsOver],1,Table2[AwayTeam],$A6, Table2[HomeTeam], Q$1) + SUMIFS(Table2[HomeWon_], Table2[GameIsOver],1,Table2[HomeTeam],$A6, Table2[AwayTeam], Q$1),0), "-", TEXT(SUMIFS(Table2[HomeWon_], Table2[GameIsOver],1,Table2[AwayTeam],$A6, Table2[HomeTeam], Q$1, Table2[ActualResult], "REG") + SUMIFS(Table2[AwayWon], Table2[GameIsOver],1,Table2[HomeTeam],$A6, Table2[AwayTeam], Q$1, Table2[ActualResult], "REG"),0), "-", TEXT(SUMIFS(Table2[HomeWon_], Table2[GameIsOver],1,Table2[AwayTeam],$A6, Table2[HomeTeam], Q$1, Table2[ActualResult], "OT") + SUMIFS(Table2[AwayWon], Table2[GameIsOver],1,Table2[HomeTeam],$A6, Table2[AwayTeam], Q$1, Table2[ActualResult], "OT") + SUMIFS(Table2[HomeWon_], Table2[GameIsOver],1,Table2[AwayTeam],$A6, Table2[HomeTeam], Q$1, Table2[ActualResult], "SO") + SUMIFS(Table2[AwayWon], Table2[GameIsOver],1,Table2[HomeTeam],$A6, Table2[AwayTeam], Q$1, Table2[ActualResult], "SO"),0))</f>
        <v>0-0-0</v>
      </c>
      <c r="R6" t="str">
        <f>_xlfn.CONCAT(TEXT(SUMIFS(Table2[AwayWon], Table2[GameIsOver],1,Table2[AwayTeam],$A6, Table2[HomeTeam], R$1) + SUMIFS(Table2[HomeWon_], Table2[GameIsOver],1,Table2[HomeTeam],$A6, Table2[AwayTeam], R$1),0), "-", TEXT(SUMIFS(Table2[HomeWon_], Table2[GameIsOver],1,Table2[AwayTeam],$A6, Table2[HomeTeam], R$1, Table2[ActualResult], "REG") + SUMIFS(Table2[AwayWon], Table2[GameIsOver],1,Table2[HomeTeam],$A6, Table2[AwayTeam], R$1, Table2[ActualResult], "REG"),0), "-", TEXT(SUMIFS(Table2[HomeWon_], Table2[GameIsOver],1,Table2[AwayTeam],$A6, Table2[HomeTeam], R$1, Table2[ActualResult], "OT") + SUMIFS(Table2[AwayWon], Table2[GameIsOver],1,Table2[HomeTeam],$A6, Table2[AwayTeam], R$1, Table2[ActualResult], "OT") + SUMIFS(Table2[HomeWon_], Table2[GameIsOver],1,Table2[AwayTeam],$A6, Table2[HomeTeam], R$1, Table2[ActualResult], "SO") + SUMIFS(Table2[AwayWon], Table2[GameIsOver],1,Table2[HomeTeam],$A6, Table2[AwayTeam], R$1, Table2[ActualResult], "SO"),0))</f>
        <v>0-0-0</v>
      </c>
      <c r="S6" t="str">
        <f>_xlfn.CONCAT(TEXT(SUMIFS(Table2[AwayWon], Table2[GameIsOver],1,Table2[AwayTeam],$A6, Table2[HomeTeam], S$1) + SUMIFS(Table2[HomeWon_], Table2[GameIsOver],1,Table2[HomeTeam],$A6, Table2[AwayTeam], S$1),0), "-", TEXT(SUMIFS(Table2[HomeWon_], Table2[GameIsOver],1,Table2[AwayTeam],$A6, Table2[HomeTeam], S$1, Table2[ActualResult], "REG") + SUMIFS(Table2[AwayWon], Table2[GameIsOver],1,Table2[HomeTeam],$A6, Table2[AwayTeam], S$1, Table2[ActualResult], "REG"),0), "-", TEXT(SUMIFS(Table2[HomeWon_], Table2[GameIsOver],1,Table2[AwayTeam],$A6, Table2[HomeTeam], S$1, Table2[ActualResult], "OT") + SUMIFS(Table2[AwayWon], Table2[GameIsOver],1,Table2[HomeTeam],$A6, Table2[AwayTeam], S$1, Table2[ActualResult], "OT") + SUMIFS(Table2[HomeWon_], Table2[GameIsOver],1,Table2[AwayTeam],$A6, Table2[HomeTeam], S$1, Table2[ActualResult], "SO") + SUMIFS(Table2[AwayWon], Table2[GameIsOver],1,Table2[HomeTeam],$A6, Table2[AwayTeam], S$1, Table2[ActualResult], "SO"),0))</f>
        <v>0-0-0</v>
      </c>
      <c r="T6" t="str">
        <f>_xlfn.CONCAT(TEXT(SUMIFS(Table2[AwayWon], Table2[GameIsOver],1,Table2[AwayTeam],$A6, Table2[HomeTeam], T$1) + SUMIFS(Table2[HomeWon_], Table2[GameIsOver],1,Table2[HomeTeam],$A6, Table2[AwayTeam], T$1),0), "-", TEXT(SUMIFS(Table2[HomeWon_], Table2[GameIsOver],1,Table2[AwayTeam],$A6, Table2[HomeTeam], T$1, Table2[ActualResult], "REG") + SUMIFS(Table2[AwayWon], Table2[GameIsOver],1,Table2[HomeTeam],$A6, Table2[AwayTeam], T$1, Table2[ActualResult], "REG"),0), "-", TEXT(SUMIFS(Table2[HomeWon_], Table2[GameIsOver],1,Table2[AwayTeam],$A6, Table2[HomeTeam], T$1, Table2[ActualResult], "OT") + SUMIFS(Table2[AwayWon], Table2[GameIsOver],1,Table2[HomeTeam],$A6, Table2[AwayTeam], T$1, Table2[ActualResult], "OT") + SUMIFS(Table2[HomeWon_], Table2[GameIsOver],1,Table2[AwayTeam],$A6, Table2[HomeTeam], T$1, Table2[ActualResult], "SO") + SUMIFS(Table2[AwayWon], Table2[GameIsOver],1,Table2[HomeTeam],$A6, Table2[AwayTeam], T$1, Table2[ActualResult], "SO"),0))</f>
        <v>0-0-0</v>
      </c>
      <c r="U6" t="str">
        <f>_xlfn.CONCAT(TEXT(SUMIFS(Table2[AwayWon], Table2[GameIsOver],1,Table2[AwayTeam],$A6, Table2[HomeTeam], U$1) + SUMIFS(Table2[HomeWon_], Table2[GameIsOver],1,Table2[HomeTeam],$A6, Table2[AwayTeam], U$1),0), "-", TEXT(SUMIFS(Table2[HomeWon_], Table2[GameIsOver],1,Table2[AwayTeam],$A6, Table2[HomeTeam], U$1, Table2[ActualResult], "REG") + SUMIFS(Table2[AwayWon], Table2[GameIsOver],1,Table2[HomeTeam],$A6, Table2[AwayTeam], U$1, Table2[ActualResult], "REG"),0), "-", TEXT(SUMIFS(Table2[HomeWon_], Table2[GameIsOver],1,Table2[AwayTeam],$A6, Table2[HomeTeam], U$1, Table2[ActualResult], "OT") + SUMIFS(Table2[AwayWon], Table2[GameIsOver],1,Table2[HomeTeam],$A6, Table2[AwayTeam], U$1, Table2[ActualResult], "OT") + SUMIFS(Table2[HomeWon_], Table2[GameIsOver],1,Table2[AwayTeam],$A6, Table2[HomeTeam], U$1, Table2[ActualResult], "SO") + SUMIFS(Table2[AwayWon], Table2[GameIsOver],1,Table2[HomeTeam],$A6, Table2[AwayTeam], U$1, Table2[ActualResult], "SO"),0))</f>
        <v>0-0-0</v>
      </c>
      <c r="V6" t="str">
        <f>_xlfn.CONCAT(TEXT(SUMIFS(Table2[AwayWon], Table2[GameIsOver],1,Table2[AwayTeam],$A6, Table2[HomeTeam], V$1) + SUMIFS(Table2[HomeWon_], Table2[GameIsOver],1,Table2[HomeTeam],$A6, Table2[AwayTeam], V$1),0), "-", TEXT(SUMIFS(Table2[HomeWon_], Table2[GameIsOver],1,Table2[AwayTeam],$A6, Table2[HomeTeam], V$1, Table2[ActualResult], "REG") + SUMIFS(Table2[AwayWon], Table2[GameIsOver],1,Table2[HomeTeam],$A6, Table2[AwayTeam], V$1, Table2[ActualResult], "REG"),0), "-", TEXT(SUMIFS(Table2[HomeWon_], Table2[GameIsOver],1,Table2[AwayTeam],$A6, Table2[HomeTeam], V$1, Table2[ActualResult], "OT") + SUMIFS(Table2[AwayWon], Table2[GameIsOver],1,Table2[HomeTeam],$A6, Table2[AwayTeam], V$1, Table2[ActualResult], "OT") + SUMIFS(Table2[HomeWon_], Table2[GameIsOver],1,Table2[AwayTeam],$A6, Table2[HomeTeam], V$1, Table2[ActualResult], "SO") + SUMIFS(Table2[AwayWon], Table2[GameIsOver],1,Table2[HomeTeam],$A6, Table2[AwayTeam], V$1, Table2[ActualResult], "SO"),0))</f>
        <v>0-0-0</v>
      </c>
      <c r="W6" t="str">
        <f>_xlfn.CONCAT(TEXT(SUMIFS(Table2[AwayWon], Table2[GameIsOver],1,Table2[AwayTeam],$A6, Table2[HomeTeam], W$1) + SUMIFS(Table2[HomeWon_], Table2[GameIsOver],1,Table2[HomeTeam],$A6, Table2[AwayTeam], W$1),0), "-", TEXT(SUMIFS(Table2[HomeWon_], Table2[GameIsOver],1,Table2[AwayTeam],$A6, Table2[HomeTeam], W$1, Table2[ActualResult], "REG") + SUMIFS(Table2[AwayWon], Table2[GameIsOver],1,Table2[HomeTeam],$A6, Table2[AwayTeam], W$1, Table2[ActualResult], "REG"),0), "-", TEXT(SUMIFS(Table2[HomeWon_], Table2[GameIsOver],1,Table2[AwayTeam],$A6, Table2[HomeTeam], W$1, Table2[ActualResult], "OT") + SUMIFS(Table2[AwayWon], Table2[GameIsOver],1,Table2[HomeTeam],$A6, Table2[AwayTeam], W$1, Table2[ActualResult], "OT") + SUMIFS(Table2[HomeWon_], Table2[GameIsOver],1,Table2[AwayTeam],$A6, Table2[HomeTeam], W$1, Table2[ActualResult], "SO") + SUMIFS(Table2[AwayWon], Table2[GameIsOver],1,Table2[HomeTeam],$A6, Table2[AwayTeam], W$1, Table2[ActualResult], "SO"),0))</f>
        <v>0-1-0</v>
      </c>
      <c r="X6" t="str">
        <f>_xlfn.CONCAT(TEXT(SUMIFS(Table2[AwayWon], Table2[GameIsOver],1,Table2[AwayTeam],$A6, Table2[HomeTeam], X$1) + SUMIFS(Table2[HomeWon_], Table2[GameIsOver],1,Table2[HomeTeam],$A6, Table2[AwayTeam], X$1),0), "-", TEXT(SUMIFS(Table2[HomeWon_], Table2[GameIsOver],1,Table2[AwayTeam],$A6, Table2[HomeTeam], X$1, Table2[ActualResult], "REG") + SUMIFS(Table2[AwayWon], Table2[GameIsOver],1,Table2[HomeTeam],$A6, Table2[AwayTeam], X$1, Table2[ActualResult], "REG"),0), "-", TEXT(SUMIFS(Table2[HomeWon_], Table2[GameIsOver],1,Table2[AwayTeam],$A6, Table2[HomeTeam], X$1, Table2[ActualResult], "OT") + SUMIFS(Table2[AwayWon], Table2[GameIsOver],1,Table2[HomeTeam],$A6, Table2[AwayTeam], X$1, Table2[ActualResult], "OT") + SUMIFS(Table2[HomeWon_], Table2[GameIsOver],1,Table2[AwayTeam],$A6, Table2[HomeTeam], X$1, Table2[ActualResult], "SO") + SUMIFS(Table2[AwayWon], Table2[GameIsOver],1,Table2[HomeTeam],$A6, Table2[AwayTeam], X$1, Table2[ActualResult], "SO"),0))</f>
        <v>0-0-0</v>
      </c>
      <c r="Y6" s="57" t="str">
        <f>_xlfn.CONCAT(TEXT(SUMIFS(Table2[AwayWon], Table2[GameIsOver],1,Table2[AwayTeam],$A6, Table2[HomeTeam], Y$1) + SUMIFS(Table2[HomeWon_], Table2[GameIsOver],1,Table2[HomeTeam],$A6, Table2[AwayTeam], Y$1),0), "-", TEXT(SUMIFS(Table2[HomeWon_], Table2[GameIsOver],1,Table2[AwayTeam],$A6, Table2[HomeTeam], Y$1, Table2[ActualResult], "REG") + SUMIFS(Table2[AwayWon], Table2[GameIsOver],1,Table2[HomeTeam],$A6, Table2[AwayTeam], Y$1, Table2[ActualResult], "REG"),0), "-", TEXT(SUMIFS(Table2[HomeWon_], Table2[GameIsOver],1,Table2[AwayTeam],$A6, Table2[HomeTeam], Y$1, Table2[ActualResult], "OT") + SUMIFS(Table2[AwayWon], Table2[GameIsOver],1,Table2[HomeTeam],$A6, Table2[AwayTeam], Y$1, Table2[ActualResult], "OT") + SUMIFS(Table2[HomeWon_], Table2[GameIsOver],1,Table2[AwayTeam],$A6, Table2[HomeTeam], Y$1, Table2[ActualResult], "SO") + SUMIFS(Table2[AwayWon], Table2[GameIsOver],1,Table2[HomeTeam],$A6, Table2[AwayTeam], Y$1, Table2[ActualResult], "SO"),0))</f>
        <v>0-1-0</v>
      </c>
      <c r="Z6" t="str">
        <f>_xlfn.CONCAT(TEXT(SUMIFS(Table2[AwayWon], Table2[GameIsOver],1,Table2[AwayTeam],$A6, Table2[HomeTeam], Z$1) + SUMIFS(Table2[HomeWon_], Table2[GameIsOver],1,Table2[HomeTeam],$A6, Table2[AwayTeam], Z$1),0), "-", TEXT(SUMIFS(Table2[HomeWon_], Table2[GameIsOver],1,Table2[AwayTeam],$A6, Table2[HomeTeam], Z$1, Table2[ActualResult], "REG") + SUMIFS(Table2[AwayWon], Table2[GameIsOver],1,Table2[HomeTeam],$A6, Table2[AwayTeam], Z$1, Table2[ActualResult], "REG"),0), "-", TEXT(SUMIFS(Table2[HomeWon_], Table2[GameIsOver],1,Table2[AwayTeam],$A6, Table2[HomeTeam], Z$1, Table2[ActualResult], "OT") + SUMIFS(Table2[AwayWon], Table2[GameIsOver],1,Table2[HomeTeam],$A6, Table2[AwayTeam], Z$1, Table2[ActualResult], "OT") + SUMIFS(Table2[HomeWon_], Table2[GameIsOver],1,Table2[AwayTeam],$A6, Table2[HomeTeam], Z$1, Table2[ActualResult], "SO") + SUMIFS(Table2[AwayWon], Table2[GameIsOver],1,Table2[HomeTeam],$A6, Table2[AwayTeam], Z$1, Table2[ActualResult], "SO"),0))</f>
        <v>0-0-0</v>
      </c>
      <c r="AA6" t="str">
        <f>_xlfn.CONCAT(TEXT(SUMIFS(Table2[AwayWon], Table2[GameIsOver],1,Table2[AwayTeam],$A6, Table2[HomeTeam], AA$1) + SUMIFS(Table2[HomeWon_], Table2[GameIsOver],1,Table2[HomeTeam],$A6, Table2[AwayTeam], AA$1),0), "-", TEXT(SUMIFS(Table2[HomeWon_], Table2[GameIsOver],1,Table2[AwayTeam],$A6, Table2[HomeTeam], AA$1, Table2[ActualResult], "REG") + SUMIFS(Table2[AwayWon], Table2[GameIsOver],1,Table2[HomeTeam],$A6, Table2[AwayTeam], AA$1, Table2[ActualResult], "REG"),0), "-", TEXT(SUMIFS(Table2[HomeWon_], Table2[GameIsOver],1,Table2[AwayTeam],$A6, Table2[HomeTeam], AA$1, Table2[ActualResult], "OT") + SUMIFS(Table2[AwayWon], Table2[GameIsOver],1,Table2[HomeTeam],$A6, Table2[AwayTeam], AA$1, Table2[ActualResult], "OT") + SUMIFS(Table2[HomeWon_], Table2[GameIsOver],1,Table2[AwayTeam],$A6, Table2[HomeTeam], AA$1, Table2[ActualResult], "SO") + SUMIFS(Table2[AwayWon], Table2[GameIsOver],1,Table2[HomeTeam],$A6, Table2[AwayTeam], AA$1, Table2[ActualResult], "SO"),0))</f>
        <v>0-0-0</v>
      </c>
      <c r="AB6" t="str">
        <f>_xlfn.CONCAT(TEXT(SUMIFS(Table2[AwayWon], Table2[GameIsOver],1,Table2[AwayTeam],$A6, Table2[HomeTeam], AB$1) + SUMIFS(Table2[HomeWon_], Table2[GameIsOver],1,Table2[HomeTeam],$A6, Table2[AwayTeam], AB$1),0), "-", TEXT(SUMIFS(Table2[HomeWon_], Table2[GameIsOver],1,Table2[AwayTeam],$A6, Table2[HomeTeam], AB$1, Table2[ActualResult], "REG") + SUMIFS(Table2[AwayWon], Table2[GameIsOver],1,Table2[HomeTeam],$A6, Table2[AwayTeam], AB$1, Table2[ActualResult], "REG"),0), "-", TEXT(SUMIFS(Table2[HomeWon_], Table2[GameIsOver],1,Table2[AwayTeam],$A6, Table2[HomeTeam], AB$1, Table2[ActualResult], "OT") + SUMIFS(Table2[AwayWon], Table2[GameIsOver],1,Table2[HomeTeam],$A6, Table2[AwayTeam], AB$1, Table2[ActualResult], "OT") + SUMIFS(Table2[HomeWon_], Table2[GameIsOver],1,Table2[AwayTeam],$A6, Table2[HomeTeam], AB$1, Table2[ActualResult], "SO") + SUMIFS(Table2[AwayWon], Table2[GameIsOver],1,Table2[HomeTeam],$A6, Table2[AwayTeam], AB$1, Table2[ActualResult], "SO"),0))</f>
        <v>0-0-0</v>
      </c>
      <c r="AC6" t="str">
        <f>_xlfn.CONCAT(TEXT(SUMIFS(Table2[AwayWon], Table2[GameIsOver],1,Table2[AwayTeam],$A6, Table2[HomeTeam], AC$1) + SUMIFS(Table2[HomeWon_], Table2[GameIsOver],1,Table2[HomeTeam],$A6, Table2[AwayTeam], AC$1),0), "-", TEXT(SUMIFS(Table2[HomeWon_], Table2[GameIsOver],1,Table2[AwayTeam],$A6, Table2[HomeTeam], AC$1, Table2[ActualResult], "REG") + SUMIFS(Table2[AwayWon], Table2[GameIsOver],1,Table2[HomeTeam],$A6, Table2[AwayTeam], AC$1, Table2[ActualResult], "REG"),0), "-", TEXT(SUMIFS(Table2[HomeWon_], Table2[GameIsOver],1,Table2[AwayTeam],$A6, Table2[HomeTeam], AC$1, Table2[ActualResult], "OT") + SUMIFS(Table2[AwayWon], Table2[GameIsOver],1,Table2[HomeTeam],$A6, Table2[AwayTeam], AC$1, Table2[ActualResult], "OT") + SUMIFS(Table2[HomeWon_], Table2[GameIsOver],1,Table2[AwayTeam],$A6, Table2[HomeTeam], AC$1, Table2[ActualResult], "SO") + SUMIFS(Table2[AwayWon], Table2[GameIsOver],1,Table2[HomeTeam],$A6, Table2[AwayTeam], AC$1, Table2[ActualResult], "SO"),0))</f>
        <v>0-0-0</v>
      </c>
      <c r="AD6" t="str">
        <f>_xlfn.CONCAT(TEXT(SUMIFS(Table2[AwayWon], Table2[GameIsOver],1,Table2[AwayTeam],$A6, Table2[HomeTeam], AD$1) + SUMIFS(Table2[HomeWon_], Table2[GameIsOver],1,Table2[HomeTeam],$A6, Table2[AwayTeam], AD$1),0), "-", TEXT(SUMIFS(Table2[HomeWon_], Table2[GameIsOver],1,Table2[AwayTeam],$A6, Table2[HomeTeam], AD$1, Table2[ActualResult], "REG") + SUMIFS(Table2[AwayWon], Table2[GameIsOver],1,Table2[HomeTeam],$A6, Table2[AwayTeam], AD$1, Table2[ActualResult], "REG"),0), "-", TEXT(SUMIFS(Table2[HomeWon_], Table2[GameIsOver],1,Table2[AwayTeam],$A6, Table2[HomeTeam], AD$1, Table2[ActualResult], "OT") + SUMIFS(Table2[AwayWon], Table2[GameIsOver],1,Table2[HomeTeam],$A6, Table2[AwayTeam], AD$1, Table2[ActualResult], "OT") + SUMIFS(Table2[HomeWon_], Table2[GameIsOver],1,Table2[AwayTeam],$A6, Table2[HomeTeam], AD$1, Table2[ActualResult], "SO") + SUMIFS(Table2[AwayWon], Table2[GameIsOver],1,Table2[HomeTeam],$A6, Table2[AwayTeam], AD$1, Table2[ActualResult], "SO"),0))</f>
        <v>0-0-1</v>
      </c>
      <c r="AE6" t="str">
        <f>_xlfn.CONCAT(TEXT(SUMIFS(Table2[AwayWon], Table2[GameIsOver],1,Table2[AwayTeam],$A6, Table2[HomeTeam], AE$1) + SUMIFS(Table2[HomeWon_], Table2[GameIsOver],1,Table2[HomeTeam],$A6, Table2[AwayTeam], AE$1),0), "-", TEXT(SUMIFS(Table2[HomeWon_], Table2[GameIsOver],1,Table2[AwayTeam],$A6, Table2[HomeTeam], AE$1, Table2[ActualResult], "REG") + SUMIFS(Table2[AwayWon], Table2[GameIsOver],1,Table2[HomeTeam],$A6, Table2[AwayTeam], AE$1, Table2[ActualResult], "REG"),0), "-", TEXT(SUMIFS(Table2[HomeWon_], Table2[GameIsOver],1,Table2[AwayTeam],$A6, Table2[HomeTeam], AE$1, Table2[ActualResult], "OT") + SUMIFS(Table2[AwayWon], Table2[GameIsOver],1,Table2[HomeTeam],$A6, Table2[AwayTeam], AE$1, Table2[ActualResult], "OT") + SUMIFS(Table2[HomeWon_], Table2[GameIsOver],1,Table2[AwayTeam],$A6, Table2[HomeTeam], AE$1, Table2[ActualResult], "SO") + SUMIFS(Table2[AwayWon], Table2[GameIsOver],1,Table2[HomeTeam],$A6, Table2[AwayTeam], AE$1, Table2[ActualResult], "SO"),0))</f>
        <v>0-0-1</v>
      </c>
      <c r="AF6" t="str">
        <f>_xlfn.CONCAT(TEXT(SUMIFS(Table2[AwayWon], Table2[GameIsOver],1,Table2[AwayTeam],$A6, Table2[HomeTeam], AF$1) + SUMIFS(Table2[HomeWon_], Table2[GameIsOver],1,Table2[HomeTeam],$A6, Table2[AwayTeam], AF$1),0), "-", TEXT(SUMIFS(Table2[HomeWon_], Table2[GameIsOver],1,Table2[AwayTeam],$A6, Table2[HomeTeam], AF$1, Table2[ActualResult], "REG") + SUMIFS(Table2[AwayWon], Table2[GameIsOver],1,Table2[HomeTeam],$A6, Table2[AwayTeam], AF$1, Table2[ActualResult], "REG"),0), "-", TEXT(SUMIFS(Table2[HomeWon_], Table2[GameIsOver],1,Table2[AwayTeam],$A6, Table2[HomeTeam], AF$1, Table2[ActualResult], "OT") + SUMIFS(Table2[AwayWon], Table2[GameIsOver],1,Table2[HomeTeam],$A6, Table2[AwayTeam], AF$1, Table2[ActualResult], "OT") + SUMIFS(Table2[HomeWon_], Table2[GameIsOver],1,Table2[AwayTeam],$A6, Table2[HomeTeam], AF$1, Table2[ActualResult], "SO") + SUMIFS(Table2[AwayWon], Table2[GameIsOver],1,Table2[HomeTeam],$A6, Table2[AwayTeam], AF$1, Table2[ActualResult], "SO"),0))</f>
        <v>0-0-0</v>
      </c>
      <c r="AG6" t="str">
        <f>_xlfn.CONCAT(TEXT(SUMIFS(Table2[AwayWon], Table2[GameIsOver],1,Table2[AwayTeam],$A6, Table2[HomeTeam], AG$1) + SUMIFS(Table2[HomeWon_], Table2[GameIsOver],1,Table2[HomeTeam],$A6, Table2[AwayTeam], AG$1),0), "-", TEXT(SUMIFS(Table2[HomeWon_], Table2[GameIsOver],1,Table2[AwayTeam],$A6, Table2[HomeTeam], AG$1, Table2[ActualResult], "REG") + SUMIFS(Table2[AwayWon], Table2[GameIsOver],1,Table2[HomeTeam],$A6, Table2[AwayTeam], AG$1, Table2[ActualResult], "REG"),0), "-", TEXT(SUMIFS(Table2[HomeWon_], Table2[GameIsOver],1,Table2[AwayTeam],$A6, Table2[HomeTeam], AG$1, Table2[ActualResult], "OT") + SUMIFS(Table2[AwayWon], Table2[GameIsOver],1,Table2[HomeTeam],$A6, Table2[AwayTeam], AG$1, Table2[ActualResult], "OT") + SUMIFS(Table2[HomeWon_], Table2[GameIsOver],1,Table2[AwayTeam],$A6, Table2[HomeTeam], AG$1, Table2[ActualResult], "SO") + SUMIFS(Table2[AwayWon], Table2[GameIsOver],1,Table2[HomeTeam],$A6, Table2[AwayTeam], AG$1, Table2[ActualResult], "SO"),0))</f>
        <v>1-0-0</v>
      </c>
    </row>
    <row r="7" spans="1:33" x14ac:dyDescent="0.25">
      <c r="A7" s="57" t="s">
        <v>37</v>
      </c>
      <c r="B7" t="str">
        <f>_xlfn.CONCAT(TEXT(SUMIFS(Table2[AwayWon], Table2[GameIsOver],1,Table2[AwayTeam],$A7, Table2[HomeTeam], B$1) + SUMIFS(Table2[HomeWon_], Table2[GameIsOver],1,Table2[HomeTeam],$A7, Table2[AwayTeam], B$1),0), "-", TEXT(SUMIFS(Table2[HomeWon_], Table2[GameIsOver],1,Table2[AwayTeam],$A7, Table2[HomeTeam], B$1, Table2[ActualResult], "REG") + SUMIFS(Table2[AwayWon], Table2[GameIsOver],1,Table2[HomeTeam],$A7, Table2[AwayTeam], B$1, Table2[ActualResult], "REG"),0), "-", TEXT(SUMIFS(Table2[HomeWon_], Table2[GameIsOver],1,Table2[AwayTeam],$A7, Table2[HomeTeam], B$1, Table2[ActualResult], "OT") + SUMIFS(Table2[AwayWon], Table2[GameIsOver],1,Table2[HomeTeam],$A7, Table2[AwayTeam], B$1, Table2[ActualResult], "OT") + SUMIFS(Table2[HomeWon_], Table2[GameIsOver],1,Table2[AwayTeam],$A7, Table2[HomeTeam], B$1, Table2[ActualResult], "SO") + SUMIFS(Table2[AwayWon], Table2[GameIsOver],1,Table2[HomeTeam],$A7, Table2[AwayTeam], B$1, Table2[ActualResult], "SO"),0))</f>
        <v>0-0-1</v>
      </c>
      <c r="C7" t="str">
        <f>_xlfn.CONCAT(TEXT(SUMIFS(Table2[AwayWon], Table2[GameIsOver],1,Table2[AwayTeam],$A7, Table2[HomeTeam], C$1) + SUMIFS(Table2[HomeWon_], Table2[GameIsOver],1,Table2[HomeTeam],$A7, Table2[AwayTeam], C$1),0), "-", TEXT(SUMIFS(Table2[HomeWon_], Table2[GameIsOver],1,Table2[AwayTeam],$A7, Table2[HomeTeam], C$1, Table2[ActualResult], "REG") + SUMIFS(Table2[AwayWon], Table2[GameIsOver],1,Table2[HomeTeam],$A7, Table2[AwayTeam], C$1, Table2[ActualResult], "REG"),0), "-", TEXT(SUMIFS(Table2[HomeWon_], Table2[GameIsOver],1,Table2[AwayTeam],$A7, Table2[HomeTeam], C$1, Table2[ActualResult], "OT") + SUMIFS(Table2[AwayWon], Table2[GameIsOver],1,Table2[HomeTeam],$A7, Table2[AwayTeam], C$1, Table2[ActualResult], "OT") + SUMIFS(Table2[HomeWon_], Table2[GameIsOver],1,Table2[AwayTeam],$A7, Table2[HomeTeam], C$1, Table2[ActualResult], "SO") + SUMIFS(Table2[AwayWon], Table2[GameIsOver],1,Table2[HomeTeam],$A7, Table2[AwayTeam], C$1, Table2[ActualResult], "SO"),0))</f>
        <v>0-0-0</v>
      </c>
      <c r="D7" t="str">
        <f>_xlfn.CONCAT(TEXT(SUMIFS(Table2[AwayWon], Table2[GameIsOver],1,Table2[AwayTeam],$A7, Table2[HomeTeam], D$1) + SUMIFS(Table2[HomeWon_], Table2[GameIsOver],1,Table2[HomeTeam],$A7, Table2[AwayTeam], D$1),0), "-", TEXT(SUMIFS(Table2[HomeWon_], Table2[GameIsOver],1,Table2[AwayTeam],$A7, Table2[HomeTeam], D$1, Table2[ActualResult], "REG") + SUMIFS(Table2[AwayWon], Table2[GameIsOver],1,Table2[HomeTeam],$A7, Table2[AwayTeam], D$1, Table2[ActualResult], "REG"),0), "-", TEXT(SUMIFS(Table2[HomeWon_], Table2[GameIsOver],1,Table2[AwayTeam],$A7, Table2[HomeTeam], D$1, Table2[ActualResult], "OT") + SUMIFS(Table2[AwayWon], Table2[GameIsOver],1,Table2[HomeTeam],$A7, Table2[AwayTeam], D$1, Table2[ActualResult], "OT") + SUMIFS(Table2[HomeWon_], Table2[GameIsOver],1,Table2[AwayTeam],$A7, Table2[HomeTeam], D$1, Table2[ActualResult], "SO") + SUMIFS(Table2[AwayWon], Table2[GameIsOver],1,Table2[HomeTeam],$A7, Table2[AwayTeam], D$1, Table2[ActualResult], "SO"),0))</f>
        <v>0-0-0</v>
      </c>
      <c r="E7" t="str">
        <f>_xlfn.CONCAT(TEXT(SUMIFS(Table2[AwayWon], Table2[GameIsOver],1,Table2[AwayTeam],$A7, Table2[HomeTeam], E$1) + SUMIFS(Table2[HomeWon_], Table2[GameIsOver],1,Table2[HomeTeam],$A7, Table2[AwayTeam], E$1),0), "-", TEXT(SUMIFS(Table2[HomeWon_], Table2[GameIsOver],1,Table2[AwayTeam],$A7, Table2[HomeTeam], E$1, Table2[ActualResult], "REG") + SUMIFS(Table2[AwayWon], Table2[GameIsOver],1,Table2[HomeTeam],$A7, Table2[AwayTeam], E$1, Table2[ActualResult], "REG"),0), "-", TEXT(SUMIFS(Table2[HomeWon_], Table2[GameIsOver],1,Table2[AwayTeam],$A7, Table2[HomeTeam], E$1, Table2[ActualResult], "OT") + SUMIFS(Table2[AwayWon], Table2[GameIsOver],1,Table2[HomeTeam],$A7, Table2[AwayTeam], E$1, Table2[ActualResult], "OT") + SUMIFS(Table2[HomeWon_], Table2[GameIsOver],1,Table2[AwayTeam],$A7, Table2[HomeTeam], E$1, Table2[ActualResult], "SO") + SUMIFS(Table2[AwayWon], Table2[GameIsOver],1,Table2[HomeTeam],$A7, Table2[AwayTeam], E$1, Table2[ActualResult], "SO"),0))</f>
        <v>0-0-0</v>
      </c>
      <c r="F7" t="str">
        <f>_xlfn.CONCAT(TEXT(SUMIFS(Table2[AwayWon], Table2[GameIsOver],1,Table2[AwayTeam],$A7, Table2[HomeTeam], F$1) + SUMIFS(Table2[HomeWon_], Table2[GameIsOver],1,Table2[HomeTeam],$A7, Table2[AwayTeam], F$1),0), "-", TEXT(SUMIFS(Table2[HomeWon_], Table2[GameIsOver],1,Table2[AwayTeam],$A7, Table2[HomeTeam], F$1, Table2[ActualResult], "REG") + SUMIFS(Table2[AwayWon], Table2[GameIsOver],1,Table2[HomeTeam],$A7, Table2[AwayTeam], F$1, Table2[ActualResult], "REG"),0), "-", TEXT(SUMIFS(Table2[HomeWon_], Table2[GameIsOver],1,Table2[AwayTeam],$A7, Table2[HomeTeam], F$1, Table2[ActualResult], "OT") + SUMIFS(Table2[AwayWon], Table2[GameIsOver],1,Table2[HomeTeam],$A7, Table2[AwayTeam], F$1, Table2[ActualResult], "OT") + SUMIFS(Table2[HomeWon_], Table2[GameIsOver],1,Table2[AwayTeam],$A7, Table2[HomeTeam], F$1, Table2[ActualResult], "SO") + SUMIFS(Table2[AwayWon], Table2[GameIsOver],1,Table2[HomeTeam],$A7, Table2[AwayTeam], F$1, Table2[ActualResult], "SO"),0))</f>
        <v>0-0-0</v>
      </c>
      <c r="G7" s="89"/>
      <c r="H7" t="str">
        <f>_xlfn.CONCAT(TEXT(SUMIFS(Table2[AwayWon], Table2[GameIsOver],1,Table2[AwayTeam],$A7, Table2[HomeTeam], H$1) + SUMIFS(Table2[HomeWon_], Table2[GameIsOver],1,Table2[HomeTeam],$A7, Table2[AwayTeam], H$1),0), "-", TEXT(SUMIFS(Table2[HomeWon_], Table2[GameIsOver],1,Table2[AwayTeam],$A7, Table2[HomeTeam], H$1, Table2[ActualResult], "REG") + SUMIFS(Table2[AwayWon], Table2[GameIsOver],1,Table2[HomeTeam],$A7, Table2[AwayTeam], H$1, Table2[ActualResult], "REG"),0), "-", TEXT(SUMIFS(Table2[HomeWon_], Table2[GameIsOver],1,Table2[AwayTeam],$A7, Table2[HomeTeam], H$1, Table2[ActualResult], "OT") + SUMIFS(Table2[AwayWon], Table2[GameIsOver],1,Table2[HomeTeam],$A7, Table2[AwayTeam], H$1, Table2[ActualResult], "OT") + SUMIFS(Table2[HomeWon_], Table2[GameIsOver],1,Table2[AwayTeam],$A7, Table2[HomeTeam], H$1, Table2[ActualResult], "SO") + SUMIFS(Table2[AwayWon], Table2[GameIsOver],1,Table2[HomeTeam],$A7, Table2[AwayTeam], H$1, Table2[ActualResult], "SO"),0))</f>
        <v>0-0-0</v>
      </c>
      <c r="I7" s="57" t="str">
        <f>_xlfn.CONCAT(TEXT(SUMIFS(Table2[AwayWon], Table2[GameIsOver],1,Table2[AwayTeam],$A7, Table2[HomeTeam], I$1) + SUMIFS(Table2[HomeWon_], Table2[GameIsOver],1,Table2[HomeTeam],$A7, Table2[AwayTeam], I$1),0), "-", TEXT(SUMIFS(Table2[HomeWon_], Table2[GameIsOver],1,Table2[AwayTeam],$A7, Table2[HomeTeam], I$1, Table2[ActualResult], "REG") + SUMIFS(Table2[AwayWon], Table2[GameIsOver],1,Table2[HomeTeam],$A7, Table2[AwayTeam], I$1, Table2[ActualResult], "REG"),0), "-", TEXT(SUMIFS(Table2[HomeWon_], Table2[GameIsOver],1,Table2[AwayTeam],$A7, Table2[HomeTeam], I$1, Table2[ActualResult], "OT") + SUMIFS(Table2[AwayWon], Table2[GameIsOver],1,Table2[HomeTeam],$A7, Table2[AwayTeam], I$1, Table2[ActualResult], "OT") + SUMIFS(Table2[HomeWon_], Table2[GameIsOver],1,Table2[AwayTeam],$A7, Table2[HomeTeam], I$1, Table2[ActualResult], "SO") + SUMIFS(Table2[AwayWon], Table2[GameIsOver],1,Table2[HomeTeam],$A7, Table2[AwayTeam], I$1, Table2[ActualResult], "SO"),0))</f>
        <v>0-0-1</v>
      </c>
      <c r="J7" t="str">
        <f>_xlfn.CONCAT(TEXT(SUMIFS(Table2[AwayWon], Table2[GameIsOver],1,Table2[AwayTeam],$A7, Table2[HomeTeam], J$1) + SUMIFS(Table2[HomeWon_], Table2[GameIsOver],1,Table2[HomeTeam],$A7, Table2[AwayTeam], J$1),0), "-", TEXT(SUMIFS(Table2[HomeWon_], Table2[GameIsOver],1,Table2[AwayTeam],$A7, Table2[HomeTeam], J$1, Table2[ActualResult], "REG") + SUMIFS(Table2[AwayWon], Table2[GameIsOver],1,Table2[HomeTeam],$A7, Table2[AwayTeam], J$1, Table2[ActualResult], "REG"),0), "-", TEXT(SUMIFS(Table2[HomeWon_], Table2[GameIsOver],1,Table2[AwayTeam],$A7, Table2[HomeTeam], J$1, Table2[ActualResult], "OT") + SUMIFS(Table2[AwayWon], Table2[GameIsOver],1,Table2[HomeTeam],$A7, Table2[AwayTeam], J$1, Table2[ActualResult], "OT") + SUMIFS(Table2[HomeWon_], Table2[GameIsOver],1,Table2[AwayTeam],$A7, Table2[HomeTeam], J$1, Table2[ActualResult], "SO") + SUMIFS(Table2[AwayWon], Table2[GameIsOver],1,Table2[HomeTeam],$A7, Table2[AwayTeam], J$1, Table2[ActualResult], "SO"),0))</f>
        <v>0-0-0</v>
      </c>
      <c r="K7" t="str">
        <f>_xlfn.CONCAT(TEXT(SUMIFS(Table2[AwayWon], Table2[GameIsOver],1,Table2[AwayTeam],$A7, Table2[HomeTeam], K$1) + SUMIFS(Table2[HomeWon_], Table2[GameIsOver],1,Table2[HomeTeam],$A7, Table2[AwayTeam], K$1),0), "-", TEXT(SUMIFS(Table2[HomeWon_], Table2[GameIsOver],1,Table2[AwayTeam],$A7, Table2[HomeTeam], K$1, Table2[ActualResult], "REG") + SUMIFS(Table2[AwayWon], Table2[GameIsOver],1,Table2[HomeTeam],$A7, Table2[AwayTeam], K$1, Table2[ActualResult], "REG"),0), "-", TEXT(SUMIFS(Table2[HomeWon_], Table2[GameIsOver],1,Table2[AwayTeam],$A7, Table2[HomeTeam], K$1, Table2[ActualResult], "OT") + SUMIFS(Table2[AwayWon], Table2[GameIsOver],1,Table2[HomeTeam],$A7, Table2[AwayTeam], K$1, Table2[ActualResult], "OT") + SUMIFS(Table2[HomeWon_], Table2[GameIsOver],1,Table2[AwayTeam],$A7, Table2[HomeTeam], K$1, Table2[ActualResult], "SO") + SUMIFS(Table2[AwayWon], Table2[GameIsOver],1,Table2[HomeTeam],$A7, Table2[AwayTeam], K$1, Table2[ActualResult], "SO"),0))</f>
        <v>0-0-0</v>
      </c>
      <c r="L7" t="str">
        <f>_xlfn.CONCAT(TEXT(SUMIFS(Table2[AwayWon], Table2[GameIsOver],1,Table2[AwayTeam],$A7, Table2[HomeTeam], L$1) + SUMIFS(Table2[HomeWon_], Table2[GameIsOver],1,Table2[HomeTeam],$A7, Table2[AwayTeam], L$1),0), "-", TEXT(SUMIFS(Table2[HomeWon_], Table2[GameIsOver],1,Table2[AwayTeam],$A7, Table2[HomeTeam], L$1, Table2[ActualResult], "REG") + SUMIFS(Table2[AwayWon], Table2[GameIsOver],1,Table2[HomeTeam],$A7, Table2[AwayTeam], L$1, Table2[ActualResult], "REG"),0), "-", TEXT(SUMIFS(Table2[HomeWon_], Table2[GameIsOver],1,Table2[AwayTeam],$A7, Table2[HomeTeam], L$1, Table2[ActualResult], "OT") + SUMIFS(Table2[AwayWon], Table2[GameIsOver],1,Table2[HomeTeam],$A7, Table2[AwayTeam], L$1, Table2[ActualResult], "OT") + SUMIFS(Table2[HomeWon_], Table2[GameIsOver],1,Table2[AwayTeam],$A7, Table2[HomeTeam], L$1, Table2[ActualResult], "SO") + SUMIFS(Table2[AwayWon], Table2[GameIsOver],1,Table2[HomeTeam],$A7, Table2[AwayTeam], L$1, Table2[ActualResult], "SO"),0))</f>
        <v>0-0-0</v>
      </c>
      <c r="M7" t="str">
        <f>_xlfn.CONCAT(TEXT(SUMIFS(Table2[AwayWon], Table2[GameIsOver],1,Table2[AwayTeam],$A7, Table2[HomeTeam], M$1) + SUMIFS(Table2[HomeWon_], Table2[GameIsOver],1,Table2[HomeTeam],$A7, Table2[AwayTeam], M$1),0), "-", TEXT(SUMIFS(Table2[HomeWon_], Table2[GameIsOver],1,Table2[AwayTeam],$A7, Table2[HomeTeam], M$1, Table2[ActualResult], "REG") + SUMIFS(Table2[AwayWon], Table2[GameIsOver],1,Table2[HomeTeam],$A7, Table2[AwayTeam], M$1, Table2[ActualResult], "REG"),0), "-", TEXT(SUMIFS(Table2[HomeWon_], Table2[GameIsOver],1,Table2[AwayTeam],$A7, Table2[HomeTeam], M$1, Table2[ActualResult], "OT") + SUMIFS(Table2[AwayWon], Table2[GameIsOver],1,Table2[HomeTeam],$A7, Table2[AwayTeam], M$1, Table2[ActualResult], "OT") + SUMIFS(Table2[HomeWon_], Table2[GameIsOver],1,Table2[AwayTeam],$A7, Table2[HomeTeam], M$1, Table2[ActualResult], "SO") + SUMIFS(Table2[AwayWon], Table2[GameIsOver],1,Table2[HomeTeam],$A7, Table2[AwayTeam], M$1, Table2[ActualResult], "SO"),0))</f>
        <v>0-0-0</v>
      </c>
      <c r="N7" t="str">
        <f>_xlfn.CONCAT(TEXT(SUMIFS(Table2[AwayWon], Table2[GameIsOver],1,Table2[AwayTeam],$A7, Table2[HomeTeam], N$1) + SUMIFS(Table2[HomeWon_], Table2[GameIsOver],1,Table2[HomeTeam],$A7, Table2[AwayTeam], N$1),0), "-", TEXT(SUMIFS(Table2[HomeWon_], Table2[GameIsOver],1,Table2[AwayTeam],$A7, Table2[HomeTeam], N$1, Table2[ActualResult], "REG") + SUMIFS(Table2[AwayWon], Table2[GameIsOver],1,Table2[HomeTeam],$A7, Table2[AwayTeam], N$1, Table2[ActualResult], "REG"),0), "-", TEXT(SUMIFS(Table2[HomeWon_], Table2[GameIsOver],1,Table2[AwayTeam],$A7, Table2[HomeTeam], N$1, Table2[ActualResult], "OT") + SUMIFS(Table2[AwayWon], Table2[GameIsOver],1,Table2[HomeTeam],$A7, Table2[AwayTeam], N$1, Table2[ActualResult], "OT") + SUMIFS(Table2[HomeWon_], Table2[GameIsOver],1,Table2[AwayTeam],$A7, Table2[HomeTeam], N$1, Table2[ActualResult], "SO") + SUMIFS(Table2[AwayWon], Table2[GameIsOver],1,Table2[HomeTeam],$A7, Table2[AwayTeam], N$1, Table2[ActualResult], "SO"),0))</f>
        <v>0-0-0</v>
      </c>
      <c r="O7" t="str">
        <f>_xlfn.CONCAT(TEXT(SUMIFS(Table2[AwayWon], Table2[GameIsOver],1,Table2[AwayTeam],$A7, Table2[HomeTeam], O$1) + SUMIFS(Table2[HomeWon_], Table2[GameIsOver],1,Table2[HomeTeam],$A7, Table2[AwayTeam], O$1),0), "-", TEXT(SUMIFS(Table2[HomeWon_], Table2[GameIsOver],1,Table2[AwayTeam],$A7, Table2[HomeTeam], O$1, Table2[ActualResult], "REG") + SUMIFS(Table2[AwayWon], Table2[GameIsOver],1,Table2[HomeTeam],$A7, Table2[AwayTeam], O$1, Table2[ActualResult], "REG"),0), "-", TEXT(SUMIFS(Table2[HomeWon_], Table2[GameIsOver],1,Table2[AwayTeam],$A7, Table2[HomeTeam], O$1, Table2[ActualResult], "OT") + SUMIFS(Table2[AwayWon], Table2[GameIsOver],1,Table2[HomeTeam],$A7, Table2[AwayTeam], O$1, Table2[ActualResult], "OT") + SUMIFS(Table2[HomeWon_], Table2[GameIsOver],1,Table2[AwayTeam],$A7, Table2[HomeTeam], O$1, Table2[ActualResult], "SO") + SUMIFS(Table2[AwayWon], Table2[GameIsOver],1,Table2[HomeTeam],$A7, Table2[AwayTeam], O$1, Table2[ActualResult], "SO"),0))</f>
        <v>0-0-0</v>
      </c>
      <c r="P7" t="str">
        <f>_xlfn.CONCAT(TEXT(SUMIFS(Table2[AwayWon], Table2[GameIsOver],1,Table2[AwayTeam],$A7, Table2[HomeTeam], P$1) + SUMIFS(Table2[HomeWon_], Table2[GameIsOver],1,Table2[HomeTeam],$A7, Table2[AwayTeam], P$1),0), "-", TEXT(SUMIFS(Table2[HomeWon_], Table2[GameIsOver],1,Table2[AwayTeam],$A7, Table2[HomeTeam], P$1, Table2[ActualResult], "REG") + SUMIFS(Table2[AwayWon], Table2[GameIsOver],1,Table2[HomeTeam],$A7, Table2[AwayTeam], P$1, Table2[ActualResult], "REG"),0), "-", TEXT(SUMIFS(Table2[HomeWon_], Table2[GameIsOver],1,Table2[AwayTeam],$A7, Table2[HomeTeam], P$1, Table2[ActualResult], "OT") + SUMIFS(Table2[AwayWon], Table2[GameIsOver],1,Table2[HomeTeam],$A7, Table2[AwayTeam], P$1, Table2[ActualResult], "OT") + SUMIFS(Table2[HomeWon_], Table2[GameIsOver],1,Table2[AwayTeam],$A7, Table2[HomeTeam], P$1, Table2[ActualResult], "SO") + SUMIFS(Table2[AwayWon], Table2[GameIsOver],1,Table2[HomeTeam],$A7, Table2[AwayTeam], P$1, Table2[ActualResult], "SO"),0))</f>
        <v>0-1-0</v>
      </c>
      <c r="Q7" s="57" t="str">
        <f>_xlfn.CONCAT(TEXT(SUMIFS(Table2[AwayWon], Table2[GameIsOver],1,Table2[AwayTeam],$A7, Table2[HomeTeam], Q$1) + SUMIFS(Table2[HomeWon_], Table2[GameIsOver],1,Table2[HomeTeam],$A7, Table2[AwayTeam], Q$1),0), "-", TEXT(SUMIFS(Table2[HomeWon_], Table2[GameIsOver],1,Table2[AwayTeam],$A7, Table2[HomeTeam], Q$1, Table2[ActualResult], "REG") + SUMIFS(Table2[AwayWon], Table2[GameIsOver],1,Table2[HomeTeam],$A7, Table2[AwayTeam], Q$1, Table2[ActualResult], "REG"),0), "-", TEXT(SUMIFS(Table2[HomeWon_], Table2[GameIsOver],1,Table2[AwayTeam],$A7, Table2[HomeTeam], Q$1, Table2[ActualResult], "OT") + SUMIFS(Table2[AwayWon], Table2[GameIsOver],1,Table2[HomeTeam],$A7, Table2[AwayTeam], Q$1, Table2[ActualResult], "OT") + SUMIFS(Table2[HomeWon_], Table2[GameIsOver],1,Table2[AwayTeam],$A7, Table2[HomeTeam], Q$1, Table2[ActualResult], "SO") + SUMIFS(Table2[AwayWon], Table2[GameIsOver],1,Table2[HomeTeam],$A7, Table2[AwayTeam], Q$1, Table2[ActualResult], "SO"),0))</f>
        <v>0-0-0</v>
      </c>
      <c r="R7" t="str">
        <f>_xlfn.CONCAT(TEXT(SUMIFS(Table2[AwayWon], Table2[GameIsOver],1,Table2[AwayTeam],$A7, Table2[HomeTeam], R$1) + SUMIFS(Table2[HomeWon_], Table2[GameIsOver],1,Table2[HomeTeam],$A7, Table2[AwayTeam], R$1),0), "-", TEXT(SUMIFS(Table2[HomeWon_], Table2[GameIsOver],1,Table2[AwayTeam],$A7, Table2[HomeTeam], R$1, Table2[ActualResult], "REG") + SUMIFS(Table2[AwayWon], Table2[GameIsOver],1,Table2[HomeTeam],$A7, Table2[AwayTeam], R$1, Table2[ActualResult], "REG"),0), "-", TEXT(SUMIFS(Table2[HomeWon_], Table2[GameIsOver],1,Table2[AwayTeam],$A7, Table2[HomeTeam], R$1, Table2[ActualResult], "OT") + SUMIFS(Table2[AwayWon], Table2[GameIsOver],1,Table2[HomeTeam],$A7, Table2[AwayTeam], R$1, Table2[ActualResult], "OT") + SUMIFS(Table2[HomeWon_], Table2[GameIsOver],1,Table2[AwayTeam],$A7, Table2[HomeTeam], R$1, Table2[ActualResult], "SO") + SUMIFS(Table2[AwayWon], Table2[GameIsOver],1,Table2[HomeTeam],$A7, Table2[AwayTeam], R$1, Table2[ActualResult], "SO"),0))</f>
        <v>0-1-0</v>
      </c>
      <c r="S7" t="str">
        <f>_xlfn.CONCAT(TEXT(SUMIFS(Table2[AwayWon], Table2[GameIsOver],1,Table2[AwayTeam],$A7, Table2[HomeTeam], S$1) + SUMIFS(Table2[HomeWon_], Table2[GameIsOver],1,Table2[HomeTeam],$A7, Table2[AwayTeam], S$1),0), "-", TEXT(SUMIFS(Table2[HomeWon_], Table2[GameIsOver],1,Table2[AwayTeam],$A7, Table2[HomeTeam], S$1, Table2[ActualResult], "REG") + SUMIFS(Table2[AwayWon], Table2[GameIsOver],1,Table2[HomeTeam],$A7, Table2[AwayTeam], S$1, Table2[ActualResult], "REG"),0), "-", TEXT(SUMIFS(Table2[HomeWon_], Table2[GameIsOver],1,Table2[AwayTeam],$A7, Table2[HomeTeam], S$1, Table2[ActualResult], "OT") + SUMIFS(Table2[AwayWon], Table2[GameIsOver],1,Table2[HomeTeam],$A7, Table2[AwayTeam], S$1, Table2[ActualResult], "OT") + SUMIFS(Table2[HomeWon_], Table2[GameIsOver],1,Table2[AwayTeam],$A7, Table2[HomeTeam], S$1, Table2[ActualResult], "SO") + SUMIFS(Table2[AwayWon], Table2[GameIsOver],1,Table2[HomeTeam],$A7, Table2[AwayTeam], S$1, Table2[ActualResult], "SO"),0))</f>
        <v>0-0-0</v>
      </c>
      <c r="T7" t="str">
        <f>_xlfn.CONCAT(TEXT(SUMIFS(Table2[AwayWon], Table2[GameIsOver],1,Table2[AwayTeam],$A7, Table2[HomeTeam], T$1) + SUMIFS(Table2[HomeWon_], Table2[GameIsOver],1,Table2[HomeTeam],$A7, Table2[AwayTeam], T$1),0), "-", TEXT(SUMIFS(Table2[HomeWon_], Table2[GameIsOver],1,Table2[AwayTeam],$A7, Table2[HomeTeam], T$1, Table2[ActualResult], "REG") + SUMIFS(Table2[AwayWon], Table2[GameIsOver],1,Table2[HomeTeam],$A7, Table2[AwayTeam], T$1, Table2[ActualResult], "REG"),0), "-", TEXT(SUMIFS(Table2[HomeWon_], Table2[GameIsOver],1,Table2[AwayTeam],$A7, Table2[HomeTeam], T$1, Table2[ActualResult], "OT") + SUMIFS(Table2[AwayWon], Table2[GameIsOver],1,Table2[HomeTeam],$A7, Table2[AwayTeam], T$1, Table2[ActualResult], "OT") + SUMIFS(Table2[HomeWon_], Table2[GameIsOver],1,Table2[AwayTeam],$A7, Table2[HomeTeam], T$1, Table2[ActualResult], "SO") + SUMIFS(Table2[AwayWon], Table2[GameIsOver],1,Table2[HomeTeam],$A7, Table2[AwayTeam], T$1, Table2[ActualResult], "SO"),0))</f>
        <v>0-0-0</v>
      </c>
      <c r="U7" t="str">
        <f>_xlfn.CONCAT(TEXT(SUMIFS(Table2[AwayWon], Table2[GameIsOver],1,Table2[AwayTeam],$A7, Table2[HomeTeam], U$1) + SUMIFS(Table2[HomeWon_], Table2[GameIsOver],1,Table2[HomeTeam],$A7, Table2[AwayTeam], U$1),0), "-", TEXT(SUMIFS(Table2[HomeWon_], Table2[GameIsOver],1,Table2[AwayTeam],$A7, Table2[HomeTeam], U$1, Table2[ActualResult], "REG") + SUMIFS(Table2[AwayWon], Table2[GameIsOver],1,Table2[HomeTeam],$A7, Table2[AwayTeam], U$1, Table2[ActualResult], "REG"),0), "-", TEXT(SUMIFS(Table2[HomeWon_], Table2[GameIsOver],1,Table2[AwayTeam],$A7, Table2[HomeTeam], U$1, Table2[ActualResult], "OT") + SUMIFS(Table2[AwayWon], Table2[GameIsOver],1,Table2[HomeTeam],$A7, Table2[AwayTeam], U$1, Table2[ActualResult], "OT") + SUMIFS(Table2[HomeWon_], Table2[GameIsOver],1,Table2[AwayTeam],$A7, Table2[HomeTeam], U$1, Table2[ActualResult], "SO") + SUMIFS(Table2[AwayWon], Table2[GameIsOver],1,Table2[HomeTeam],$A7, Table2[AwayTeam], U$1, Table2[ActualResult], "SO"),0))</f>
        <v>0-1-0</v>
      </c>
      <c r="V7" t="str">
        <f>_xlfn.CONCAT(TEXT(SUMIFS(Table2[AwayWon], Table2[GameIsOver],1,Table2[AwayTeam],$A7, Table2[HomeTeam], V$1) + SUMIFS(Table2[HomeWon_], Table2[GameIsOver],1,Table2[HomeTeam],$A7, Table2[AwayTeam], V$1),0), "-", TEXT(SUMIFS(Table2[HomeWon_], Table2[GameIsOver],1,Table2[AwayTeam],$A7, Table2[HomeTeam], V$1, Table2[ActualResult], "REG") + SUMIFS(Table2[AwayWon], Table2[GameIsOver],1,Table2[HomeTeam],$A7, Table2[AwayTeam], V$1, Table2[ActualResult], "REG"),0), "-", TEXT(SUMIFS(Table2[HomeWon_], Table2[GameIsOver],1,Table2[AwayTeam],$A7, Table2[HomeTeam], V$1, Table2[ActualResult], "OT") + SUMIFS(Table2[AwayWon], Table2[GameIsOver],1,Table2[HomeTeam],$A7, Table2[AwayTeam], V$1, Table2[ActualResult], "OT") + SUMIFS(Table2[HomeWon_], Table2[GameIsOver],1,Table2[AwayTeam],$A7, Table2[HomeTeam], V$1, Table2[ActualResult], "SO") + SUMIFS(Table2[AwayWon], Table2[GameIsOver],1,Table2[HomeTeam],$A7, Table2[AwayTeam], V$1, Table2[ActualResult], "SO"),0))</f>
        <v>0-0-0</v>
      </c>
      <c r="W7" t="str">
        <f>_xlfn.CONCAT(TEXT(SUMIFS(Table2[AwayWon], Table2[GameIsOver],1,Table2[AwayTeam],$A7, Table2[HomeTeam], W$1) + SUMIFS(Table2[HomeWon_], Table2[GameIsOver],1,Table2[HomeTeam],$A7, Table2[AwayTeam], W$1),0), "-", TEXT(SUMIFS(Table2[HomeWon_], Table2[GameIsOver],1,Table2[AwayTeam],$A7, Table2[HomeTeam], W$1, Table2[ActualResult], "REG") + SUMIFS(Table2[AwayWon], Table2[GameIsOver],1,Table2[HomeTeam],$A7, Table2[AwayTeam], W$1, Table2[ActualResult], "REG"),0), "-", TEXT(SUMIFS(Table2[HomeWon_], Table2[GameIsOver],1,Table2[AwayTeam],$A7, Table2[HomeTeam], W$1, Table2[ActualResult], "OT") + SUMIFS(Table2[AwayWon], Table2[GameIsOver],1,Table2[HomeTeam],$A7, Table2[AwayTeam], W$1, Table2[ActualResult], "OT") + SUMIFS(Table2[HomeWon_], Table2[GameIsOver],1,Table2[AwayTeam],$A7, Table2[HomeTeam], W$1, Table2[ActualResult], "SO") + SUMIFS(Table2[AwayWon], Table2[GameIsOver],1,Table2[HomeTeam],$A7, Table2[AwayTeam], W$1, Table2[ActualResult], "SO"),0))</f>
        <v>0-0-0</v>
      </c>
      <c r="X7" t="str">
        <f>_xlfn.CONCAT(TEXT(SUMIFS(Table2[AwayWon], Table2[GameIsOver],1,Table2[AwayTeam],$A7, Table2[HomeTeam], X$1) + SUMIFS(Table2[HomeWon_], Table2[GameIsOver],1,Table2[HomeTeam],$A7, Table2[AwayTeam], X$1),0), "-", TEXT(SUMIFS(Table2[HomeWon_], Table2[GameIsOver],1,Table2[AwayTeam],$A7, Table2[HomeTeam], X$1, Table2[ActualResult], "REG") + SUMIFS(Table2[AwayWon], Table2[GameIsOver],1,Table2[HomeTeam],$A7, Table2[AwayTeam], X$1, Table2[ActualResult], "REG"),0), "-", TEXT(SUMIFS(Table2[HomeWon_], Table2[GameIsOver],1,Table2[AwayTeam],$A7, Table2[HomeTeam], X$1, Table2[ActualResult], "OT") + SUMIFS(Table2[AwayWon], Table2[GameIsOver],1,Table2[HomeTeam],$A7, Table2[AwayTeam], X$1, Table2[ActualResult], "OT") + SUMIFS(Table2[HomeWon_], Table2[GameIsOver],1,Table2[AwayTeam],$A7, Table2[HomeTeam], X$1, Table2[ActualResult], "SO") + SUMIFS(Table2[AwayWon], Table2[GameIsOver],1,Table2[HomeTeam],$A7, Table2[AwayTeam], X$1, Table2[ActualResult], "SO"),0))</f>
        <v>0-1-0</v>
      </c>
      <c r="Y7" s="57" t="str">
        <f>_xlfn.CONCAT(TEXT(SUMIFS(Table2[AwayWon], Table2[GameIsOver],1,Table2[AwayTeam],$A7, Table2[HomeTeam], Y$1) + SUMIFS(Table2[HomeWon_], Table2[GameIsOver],1,Table2[HomeTeam],$A7, Table2[AwayTeam], Y$1),0), "-", TEXT(SUMIFS(Table2[HomeWon_], Table2[GameIsOver],1,Table2[AwayTeam],$A7, Table2[HomeTeam], Y$1, Table2[ActualResult], "REG") + SUMIFS(Table2[AwayWon], Table2[GameIsOver],1,Table2[HomeTeam],$A7, Table2[AwayTeam], Y$1, Table2[ActualResult], "REG"),0), "-", TEXT(SUMIFS(Table2[HomeWon_], Table2[GameIsOver],1,Table2[AwayTeam],$A7, Table2[HomeTeam], Y$1, Table2[ActualResult], "OT") + SUMIFS(Table2[AwayWon], Table2[GameIsOver],1,Table2[HomeTeam],$A7, Table2[AwayTeam], Y$1, Table2[ActualResult], "OT") + SUMIFS(Table2[HomeWon_], Table2[GameIsOver],1,Table2[AwayTeam],$A7, Table2[HomeTeam], Y$1, Table2[ActualResult], "SO") + SUMIFS(Table2[AwayWon], Table2[GameIsOver],1,Table2[HomeTeam],$A7, Table2[AwayTeam], Y$1, Table2[ActualResult], "SO"),0))</f>
        <v>0-0-0</v>
      </c>
      <c r="Z7" t="str">
        <f>_xlfn.CONCAT(TEXT(SUMIFS(Table2[AwayWon], Table2[GameIsOver],1,Table2[AwayTeam],$A7, Table2[HomeTeam], Z$1) + SUMIFS(Table2[HomeWon_], Table2[GameIsOver],1,Table2[HomeTeam],$A7, Table2[AwayTeam], Z$1),0), "-", TEXT(SUMIFS(Table2[HomeWon_], Table2[GameIsOver],1,Table2[AwayTeam],$A7, Table2[HomeTeam], Z$1, Table2[ActualResult], "REG") + SUMIFS(Table2[AwayWon], Table2[GameIsOver],1,Table2[HomeTeam],$A7, Table2[AwayTeam], Z$1, Table2[ActualResult], "REG"),0), "-", TEXT(SUMIFS(Table2[HomeWon_], Table2[GameIsOver],1,Table2[AwayTeam],$A7, Table2[HomeTeam], Z$1, Table2[ActualResult], "OT") + SUMIFS(Table2[AwayWon], Table2[GameIsOver],1,Table2[HomeTeam],$A7, Table2[AwayTeam], Z$1, Table2[ActualResult], "OT") + SUMIFS(Table2[HomeWon_], Table2[GameIsOver],1,Table2[AwayTeam],$A7, Table2[HomeTeam], Z$1, Table2[ActualResult], "SO") + SUMIFS(Table2[AwayWon], Table2[GameIsOver],1,Table2[HomeTeam],$A7, Table2[AwayTeam], Z$1, Table2[ActualResult], "SO"),0))</f>
        <v>0-0-0</v>
      </c>
      <c r="AA7" t="str">
        <f>_xlfn.CONCAT(TEXT(SUMIFS(Table2[AwayWon], Table2[GameIsOver],1,Table2[AwayTeam],$A7, Table2[HomeTeam], AA$1) + SUMIFS(Table2[HomeWon_], Table2[GameIsOver],1,Table2[HomeTeam],$A7, Table2[AwayTeam], AA$1),0), "-", TEXT(SUMIFS(Table2[HomeWon_], Table2[GameIsOver],1,Table2[AwayTeam],$A7, Table2[HomeTeam], AA$1, Table2[ActualResult], "REG") + SUMIFS(Table2[AwayWon], Table2[GameIsOver],1,Table2[HomeTeam],$A7, Table2[AwayTeam], AA$1, Table2[ActualResult], "REG"),0), "-", TEXT(SUMIFS(Table2[HomeWon_], Table2[GameIsOver],1,Table2[AwayTeam],$A7, Table2[HomeTeam], AA$1, Table2[ActualResult], "OT") + SUMIFS(Table2[AwayWon], Table2[GameIsOver],1,Table2[HomeTeam],$A7, Table2[AwayTeam], AA$1, Table2[ActualResult], "OT") + SUMIFS(Table2[HomeWon_], Table2[GameIsOver],1,Table2[AwayTeam],$A7, Table2[HomeTeam], AA$1, Table2[ActualResult], "SO") + SUMIFS(Table2[AwayWon], Table2[GameIsOver],1,Table2[HomeTeam],$A7, Table2[AwayTeam], AA$1, Table2[ActualResult], "SO"),0))</f>
        <v>0-0-0</v>
      </c>
      <c r="AB7" t="str">
        <f>_xlfn.CONCAT(TEXT(SUMIFS(Table2[AwayWon], Table2[GameIsOver],1,Table2[AwayTeam],$A7, Table2[HomeTeam], AB$1) + SUMIFS(Table2[HomeWon_], Table2[GameIsOver],1,Table2[HomeTeam],$A7, Table2[AwayTeam], AB$1),0), "-", TEXT(SUMIFS(Table2[HomeWon_], Table2[GameIsOver],1,Table2[AwayTeam],$A7, Table2[HomeTeam], AB$1, Table2[ActualResult], "REG") + SUMIFS(Table2[AwayWon], Table2[GameIsOver],1,Table2[HomeTeam],$A7, Table2[AwayTeam], AB$1, Table2[ActualResult], "REG"),0), "-", TEXT(SUMIFS(Table2[HomeWon_], Table2[GameIsOver],1,Table2[AwayTeam],$A7, Table2[HomeTeam], AB$1, Table2[ActualResult], "OT") + SUMIFS(Table2[AwayWon], Table2[GameIsOver],1,Table2[HomeTeam],$A7, Table2[AwayTeam], AB$1, Table2[ActualResult], "OT") + SUMIFS(Table2[HomeWon_], Table2[GameIsOver],1,Table2[AwayTeam],$A7, Table2[HomeTeam], AB$1, Table2[ActualResult], "SO") + SUMIFS(Table2[AwayWon], Table2[GameIsOver],1,Table2[HomeTeam],$A7, Table2[AwayTeam], AB$1, Table2[ActualResult], "SO"),0))</f>
        <v>0-0-0</v>
      </c>
      <c r="AC7" t="str">
        <f>_xlfn.CONCAT(TEXT(SUMIFS(Table2[AwayWon], Table2[GameIsOver],1,Table2[AwayTeam],$A7, Table2[HomeTeam], AC$1) + SUMIFS(Table2[HomeWon_], Table2[GameIsOver],1,Table2[HomeTeam],$A7, Table2[AwayTeam], AC$1),0), "-", TEXT(SUMIFS(Table2[HomeWon_], Table2[GameIsOver],1,Table2[AwayTeam],$A7, Table2[HomeTeam], AC$1, Table2[ActualResult], "REG") + SUMIFS(Table2[AwayWon], Table2[GameIsOver],1,Table2[HomeTeam],$A7, Table2[AwayTeam], AC$1, Table2[ActualResult], "REG"),0), "-", TEXT(SUMIFS(Table2[HomeWon_], Table2[GameIsOver],1,Table2[AwayTeam],$A7, Table2[HomeTeam], AC$1, Table2[ActualResult], "OT") + SUMIFS(Table2[AwayWon], Table2[GameIsOver],1,Table2[HomeTeam],$A7, Table2[AwayTeam], AC$1, Table2[ActualResult], "OT") + SUMIFS(Table2[HomeWon_], Table2[GameIsOver],1,Table2[AwayTeam],$A7, Table2[HomeTeam], AC$1, Table2[ActualResult], "SO") + SUMIFS(Table2[AwayWon], Table2[GameIsOver],1,Table2[HomeTeam],$A7, Table2[AwayTeam], AC$1, Table2[ActualResult], "SO"),0))</f>
        <v>0-0-0</v>
      </c>
      <c r="AD7" t="str">
        <f>_xlfn.CONCAT(TEXT(SUMIFS(Table2[AwayWon], Table2[GameIsOver],1,Table2[AwayTeam],$A7, Table2[HomeTeam], AD$1) + SUMIFS(Table2[HomeWon_], Table2[GameIsOver],1,Table2[HomeTeam],$A7, Table2[AwayTeam], AD$1),0), "-", TEXT(SUMIFS(Table2[HomeWon_], Table2[GameIsOver],1,Table2[AwayTeam],$A7, Table2[HomeTeam], AD$1, Table2[ActualResult], "REG") + SUMIFS(Table2[AwayWon], Table2[GameIsOver],1,Table2[HomeTeam],$A7, Table2[AwayTeam], AD$1, Table2[ActualResult], "REG"),0), "-", TEXT(SUMIFS(Table2[HomeWon_], Table2[GameIsOver],1,Table2[AwayTeam],$A7, Table2[HomeTeam], AD$1, Table2[ActualResult], "OT") + SUMIFS(Table2[AwayWon], Table2[GameIsOver],1,Table2[HomeTeam],$A7, Table2[AwayTeam], AD$1, Table2[ActualResult], "OT") + SUMIFS(Table2[HomeWon_], Table2[GameIsOver],1,Table2[AwayTeam],$A7, Table2[HomeTeam], AD$1, Table2[ActualResult], "SO") + SUMIFS(Table2[AwayWon], Table2[GameIsOver],1,Table2[HomeTeam],$A7, Table2[AwayTeam], AD$1, Table2[ActualResult], "SO"),0))</f>
        <v>0-0-0</v>
      </c>
      <c r="AE7" t="str">
        <f>_xlfn.CONCAT(TEXT(SUMIFS(Table2[AwayWon], Table2[GameIsOver],1,Table2[AwayTeam],$A7, Table2[HomeTeam], AE$1) + SUMIFS(Table2[HomeWon_], Table2[GameIsOver],1,Table2[HomeTeam],$A7, Table2[AwayTeam], AE$1),0), "-", TEXT(SUMIFS(Table2[HomeWon_], Table2[GameIsOver],1,Table2[AwayTeam],$A7, Table2[HomeTeam], AE$1, Table2[ActualResult], "REG") + SUMIFS(Table2[AwayWon], Table2[GameIsOver],1,Table2[HomeTeam],$A7, Table2[AwayTeam], AE$1, Table2[ActualResult], "REG"),0), "-", TEXT(SUMIFS(Table2[HomeWon_], Table2[GameIsOver],1,Table2[AwayTeam],$A7, Table2[HomeTeam], AE$1, Table2[ActualResult], "OT") + SUMIFS(Table2[AwayWon], Table2[GameIsOver],1,Table2[HomeTeam],$A7, Table2[AwayTeam], AE$1, Table2[ActualResult], "OT") + SUMIFS(Table2[HomeWon_], Table2[GameIsOver],1,Table2[AwayTeam],$A7, Table2[HomeTeam], AE$1, Table2[ActualResult], "SO") + SUMIFS(Table2[AwayWon], Table2[GameIsOver],1,Table2[HomeTeam],$A7, Table2[AwayTeam], AE$1, Table2[ActualResult], "SO"),0))</f>
        <v>0-0-0</v>
      </c>
      <c r="AF7" t="str">
        <f>_xlfn.CONCAT(TEXT(SUMIFS(Table2[AwayWon], Table2[GameIsOver],1,Table2[AwayTeam],$A7, Table2[HomeTeam], AF$1) + SUMIFS(Table2[HomeWon_], Table2[GameIsOver],1,Table2[HomeTeam],$A7, Table2[AwayTeam], AF$1),0), "-", TEXT(SUMIFS(Table2[HomeWon_], Table2[GameIsOver],1,Table2[AwayTeam],$A7, Table2[HomeTeam], AF$1, Table2[ActualResult], "REG") + SUMIFS(Table2[AwayWon], Table2[GameIsOver],1,Table2[HomeTeam],$A7, Table2[AwayTeam], AF$1, Table2[ActualResult], "REG"),0), "-", TEXT(SUMIFS(Table2[HomeWon_], Table2[GameIsOver],1,Table2[AwayTeam],$A7, Table2[HomeTeam], AF$1, Table2[ActualResult], "OT") + SUMIFS(Table2[AwayWon], Table2[GameIsOver],1,Table2[HomeTeam],$A7, Table2[AwayTeam], AF$1, Table2[ActualResult], "OT") + SUMIFS(Table2[HomeWon_], Table2[GameIsOver],1,Table2[AwayTeam],$A7, Table2[HomeTeam], AF$1, Table2[ActualResult], "SO") + SUMIFS(Table2[AwayWon], Table2[GameIsOver],1,Table2[HomeTeam],$A7, Table2[AwayTeam], AF$1, Table2[ActualResult], "SO"),0))</f>
        <v>0-0-0</v>
      </c>
      <c r="AG7" t="str">
        <f>_xlfn.CONCAT(TEXT(SUMIFS(Table2[AwayWon], Table2[GameIsOver],1,Table2[AwayTeam],$A7, Table2[HomeTeam], AG$1) + SUMIFS(Table2[HomeWon_], Table2[GameIsOver],1,Table2[HomeTeam],$A7, Table2[AwayTeam], AG$1),0), "-", TEXT(SUMIFS(Table2[HomeWon_], Table2[GameIsOver],1,Table2[AwayTeam],$A7, Table2[HomeTeam], AG$1, Table2[ActualResult], "REG") + SUMIFS(Table2[AwayWon], Table2[GameIsOver],1,Table2[HomeTeam],$A7, Table2[AwayTeam], AG$1, Table2[ActualResult], "REG"),0), "-", TEXT(SUMIFS(Table2[HomeWon_], Table2[GameIsOver],1,Table2[AwayTeam],$A7, Table2[HomeTeam], AG$1, Table2[ActualResult], "OT") + SUMIFS(Table2[AwayWon], Table2[GameIsOver],1,Table2[HomeTeam],$A7, Table2[AwayTeam], AG$1, Table2[ActualResult], "OT") + SUMIFS(Table2[HomeWon_], Table2[GameIsOver],1,Table2[AwayTeam],$A7, Table2[HomeTeam], AG$1, Table2[ActualResult], "SO") + SUMIFS(Table2[AwayWon], Table2[GameIsOver],1,Table2[HomeTeam],$A7, Table2[AwayTeam], AG$1, Table2[ActualResult], "SO"),0))</f>
        <v>0-0-0</v>
      </c>
    </row>
    <row r="8" spans="1:33" x14ac:dyDescent="0.25">
      <c r="A8" s="57" t="s">
        <v>24</v>
      </c>
      <c r="B8" t="str">
        <f>_xlfn.CONCAT(TEXT(SUMIFS(Table2[AwayWon], Table2[GameIsOver],1,Table2[AwayTeam],$A8, Table2[HomeTeam], B$1) + SUMIFS(Table2[HomeWon_], Table2[GameIsOver],1,Table2[HomeTeam],$A8, Table2[AwayTeam], B$1),0), "-", TEXT(SUMIFS(Table2[HomeWon_], Table2[GameIsOver],1,Table2[AwayTeam],$A8, Table2[HomeTeam], B$1, Table2[ActualResult], "REG") + SUMIFS(Table2[AwayWon], Table2[GameIsOver],1,Table2[HomeTeam],$A8, Table2[AwayTeam], B$1, Table2[ActualResult], "REG"),0), "-", TEXT(SUMIFS(Table2[HomeWon_], Table2[GameIsOver],1,Table2[AwayTeam],$A8, Table2[HomeTeam], B$1, Table2[ActualResult], "OT") + SUMIFS(Table2[AwayWon], Table2[GameIsOver],1,Table2[HomeTeam],$A8, Table2[AwayTeam], B$1, Table2[ActualResult], "OT") + SUMIFS(Table2[HomeWon_], Table2[GameIsOver],1,Table2[AwayTeam],$A8, Table2[HomeTeam], B$1, Table2[ActualResult], "SO") + SUMIFS(Table2[AwayWon], Table2[GameIsOver],1,Table2[HomeTeam],$A8, Table2[AwayTeam], B$1, Table2[ActualResult], "SO"),0))</f>
        <v>0-0-0</v>
      </c>
      <c r="C8" t="str">
        <f>_xlfn.CONCAT(TEXT(SUMIFS(Table2[AwayWon], Table2[GameIsOver],1,Table2[AwayTeam],$A8, Table2[HomeTeam], C$1) + SUMIFS(Table2[HomeWon_], Table2[GameIsOver],1,Table2[HomeTeam],$A8, Table2[AwayTeam], C$1),0), "-", TEXT(SUMIFS(Table2[HomeWon_], Table2[GameIsOver],1,Table2[AwayTeam],$A8, Table2[HomeTeam], C$1, Table2[ActualResult], "REG") + SUMIFS(Table2[AwayWon], Table2[GameIsOver],1,Table2[HomeTeam],$A8, Table2[AwayTeam], C$1, Table2[ActualResult], "REG"),0), "-", TEXT(SUMIFS(Table2[HomeWon_], Table2[GameIsOver],1,Table2[AwayTeam],$A8, Table2[HomeTeam], C$1, Table2[ActualResult], "OT") + SUMIFS(Table2[AwayWon], Table2[GameIsOver],1,Table2[HomeTeam],$A8, Table2[AwayTeam], C$1, Table2[ActualResult], "OT") + SUMIFS(Table2[HomeWon_], Table2[GameIsOver],1,Table2[AwayTeam],$A8, Table2[HomeTeam], C$1, Table2[ActualResult], "SO") + SUMIFS(Table2[AwayWon], Table2[GameIsOver],1,Table2[HomeTeam],$A8, Table2[AwayTeam], C$1, Table2[ActualResult], "SO"),0))</f>
        <v>1-0-0</v>
      </c>
      <c r="D8" t="str">
        <f>_xlfn.CONCAT(TEXT(SUMIFS(Table2[AwayWon], Table2[GameIsOver],1,Table2[AwayTeam],$A8, Table2[HomeTeam], D$1) + SUMIFS(Table2[HomeWon_], Table2[GameIsOver],1,Table2[HomeTeam],$A8, Table2[AwayTeam], D$1),0), "-", TEXT(SUMIFS(Table2[HomeWon_], Table2[GameIsOver],1,Table2[AwayTeam],$A8, Table2[HomeTeam], D$1, Table2[ActualResult], "REG") + SUMIFS(Table2[AwayWon], Table2[GameIsOver],1,Table2[HomeTeam],$A8, Table2[AwayTeam], D$1, Table2[ActualResult], "REG"),0), "-", TEXT(SUMIFS(Table2[HomeWon_], Table2[GameIsOver],1,Table2[AwayTeam],$A8, Table2[HomeTeam], D$1, Table2[ActualResult], "OT") + SUMIFS(Table2[AwayWon], Table2[GameIsOver],1,Table2[HomeTeam],$A8, Table2[AwayTeam], D$1, Table2[ActualResult], "OT") + SUMIFS(Table2[HomeWon_], Table2[GameIsOver],1,Table2[AwayTeam],$A8, Table2[HomeTeam], D$1, Table2[ActualResult], "SO") + SUMIFS(Table2[AwayWon], Table2[GameIsOver],1,Table2[HomeTeam],$A8, Table2[AwayTeam], D$1, Table2[ActualResult], "SO"),0))</f>
        <v>0-1-0</v>
      </c>
      <c r="E8" t="str">
        <f>_xlfn.CONCAT(TEXT(SUMIFS(Table2[AwayWon], Table2[GameIsOver],1,Table2[AwayTeam],$A8, Table2[HomeTeam], E$1) + SUMIFS(Table2[HomeWon_], Table2[GameIsOver],1,Table2[HomeTeam],$A8, Table2[AwayTeam], E$1),0), "-", TEXT(SUMIFS(Table2[HomeWon_], Table2[GameIsOver],1,Table2[AwayTeam],$A8, Table2[HomeTeam], E$1, Table2[ActualResult], "REG") + SUMIFS(Table2[AwayWon], Table2[GameIsOver],1,Table2[HomeTeam],$A8, Table2[AwayTeam], E$1, Table2[ActualResult], "REG"),0), "-", TEXT(SUMIFS(Table2[HomeWon_], Table2[GameIsOver],1,Table2[AwayTeam],$A8, Table2[HomeTeam], E$1, Table2[ActualResult], "OT") + SUMIFS(Table2[AwayWon], Table2[GameIsOver],1,Table2[HomeTeam],$A8, Table2[AwayTeam], E$1, Table2[ActualResult], "OT") + SUMIFS(Table2[HomeWon_], Table2[GameIsOver],1,Table2[AwayTeam],$A8, Table2[HomeTeam], E$1, Table2[ActualResult], "SO") + SUMIFS(Table2[AwayWon], Table2[GameIsOver],1,Table2[HomeTeam],$A8, Table2[AwayTeam], E$1, Table2[ActualResult], "SO"),0))</f>
        <v>0-0-0</v>
      </c>
      <c r="F8" t="str">
        <f>_xlfn.CONCAT(TEXT(SUMIFS(Table2[AwayWon], Table2[GameIsOver],1,Table2[AwayTeam],$A8, Table2[HomeTeam], F$1) + SUMIFS(Table2[HomeWon_], Table2[GameIsOver],1,Table2[HomeTeam],$A8, Table2[AwayTeam], F$1),0), "-", TEXT(SUMIFS(Table2[HomeWon_], Table2[GameIsOver],1,Table2[AwayTeam],$A8, Table2[HomeTeam], F$1, Table2[ActualResult], "REG") + SUMIFS(Table2[AwayWon], Table2[GameIsOver],1,Table2[HomeTeam],$A8, Table2[AwayTeam], F$1, Table2[ActualResult], "REG"),0), "-", TEXT(SUMIFS(Table2[HomeWon_], Table2[GameIsOver],1,Table2[AwayTeam],$A8, Table2[HomeTeam], F$1, Table2[ActualResult], "OT") + SUMIFS(Table2[AwayWon], Table2[GameIsOver],1,Table2[HomeTeam],$A8, Table2[AwayTeam], F$1, Table2[ActualResult], "OT") + SUMIFS(Table2[HomeWon_], Table2[GameIsOver],1,Table2[AwayTeam],$A8, Table2[HomeTeam], F$1, Table2[ActualResult], "SO") + SUMIFS(Table2[AwayWon], Table2[GameIsOver],1,Table2[HomeTeam],$A8, Table2[AwayTeam], F$1, Table2[ActualResult], "SO"),0))</f>
        <v>0-0-0</v>
      </c>
      <c r="G8" t="str">
        <f>_xlfn.CONCAT(TEXT(SUMIFS(Table2[AwayWon], Table2[GameIsOver],1,Table2[AwayTeam],$A8, Table2[HomeTeam], G$1) + SUMIFS(Table2[HomeWon_], Table2[GameIsOver],1,Table2[HomeTeam],$A8, Table2[AwayTeam], G$1),0), "-", TEXT(SUMIFS(Table2[HomeWon_], Table2[GameIsOver],1,Table2[AwayTeam],$A8, Table2[HomeTeam], G$1, Table2[ActualResult], "REG") + SUMIFS(Table2[AwayWon], Table2[GameIsOver],1,Table2[HomeTeam],$A8, Table2[AwayTeam], G$1, Table2[ActualResult], "REG"),0), "-", TEXT(SUMIFS(Table2[HomeWon_], Table2[GameIsOver],1,Table2[AwayTeam],$A8, Table2[HomeTeam], G$1, Table2[ActualResult], "OT") + SUMIFS(Table2[AwayWon], Table2[GameIsOver],1,Table2[HomeTeam],$A8, Table2[AwayTeam], G$1, Table2[ActualResult], "OT") + SUMIFS(Table2[HomeWon_], Table2[GameIsOver],1,Table2[AwayTeam],$A8, Table2[HomeTeam], G$1, Table2[ActualResult], "SO") + SUMIFS(Table2[AwayWon], Table2[GameIsOver],1,Table2[HomeTeam],$A8, Table2[AwayTeam], G$1, Table2[ActualResult], "SO"),0))</f>
        <v>0-0-0</v>
      </c>
      <c r="H8" s="89"/>
      <c r="I8" s="57" t="str">
        <f>_xlfn.CONCAT(TEXT(SUMIFS(Table2[AwayWon], Table2[GameIsOver],1,Table2[AwayTeam],$A8, Table2[HomeTeam], I$1) + SUMIFS(Table2[HomeWon_], Table2[GameIsOver],1,Table2[HomeTeam],$A8, Table2[AwayTeam], I$1),0), "-", TEXT(SUMIFS(Table2[HomeWon_], Table2[GameIsOver],1,Table2[AwayTeam],$A8, Table2[HomeTeam], I$1, Table2[ActualResult], "REG") + SUMIFS(Table2[AwayWon], Table2[GameIsOver],1,Table2[HomeTeam],$A8, Table2[AwayTeam], I$1, Table2[ActualResult], "REG"),0), "-", TEXT(SUMIFS(Table2[HomeWon_], Table2[GameIsOver],1,Table2[AwayTeam],$A8, Table2[HomeTeam], I$1, Table2[ActualResult], "OT") + SUMIFS(Table2[AwayWon], Table2[GameIsOver],1,Table2[HomeTeam],$A8, Table2[AwayTeam], I$1, Table2[ActualResult], "OT") + SUMIFS(Table2[HomeWon_], Table2[GameIsOver],1,Table2[AwayTeam],$A8, Table2[HomeTeam], I$1, Table2[ActualResult], "SO") + SUMIFS(Table2[AwayWon], Table2[GameIsOver],1,Table2[HomeTeam],$A8, Table2[AwayTeam], I$1, Table2[ActualResult], "SO"),0))</f>
        <v>0-0-0</v>
      </c>
      <c r="J8" t="str">
        <f>_xlfn.CONCAT(TEXT(SUMIFS(Table2[AwayWon], Table2[GameIsOver],1,Table2[AwayTeam],$A8, Table2[HomeTeam], J$1) + SUMIFS(Table2[HomeWon_], Table2[GameIsOver],1,Table2[HomeTeam],$A8, Table2[AwayTeam], J$1),0), "-", TEXT(SUMIFS(Table2[HomeWon_], Table2[GameIsOver],1,Table2[AwayTeam],$A8, Table2[HomeTeam], J$1, Table2[ActualResult], "REG") + SUMIFS(Table2[AwayWon], Table2[GameIsOver],1,Table2[HomeTeam],$A8, Table2[AwayTeam], J$1, Table2[ActualResult], "REG"),0), "-", TEXT(SUMIFS(Table2[HomeWon_], Table2[GameIsOver],1,Table2[AwayTeam],$A8, Table2[HomeTeam], J$1, Table2[ActualResult], "OT") + SUMIFS(Table2[AwayWon], Table2[GameIsOver],1,Table2[HomeTeam],$A8, Table2[AwayTeam], J$1, Table2[ActualResult], "OT") + SUMIFS(Table2[HomeWon_], Table2[GameIsOver],1,Table2[AwayTeam],$A8, Table2[HomeTeam], J$1, Table2[ActualResult], "SO") + SUMIFS(Table2[AwayWon], Table2[GameIsOver],1,Table2[HomeTeam],$A8, Table2[AwayTeam], J$1, Table2[ActualResult], "SO"),0))</f>
        <v>1-0-0</v>
      </c>
      <c r="K8" t="str">
        <f>_xlfn.CONCAT(TEXT(SUMIFS(Table2[AwayWon], Table2[GameIsOver],1,Table2[AwayTeam],$A8, Table2[HomeTeam], K$1) + SUMIFS(Table2[HomeWon_], Table2[GameIsOver],1,Table2[HomeTeam],$A8, Table2[AwayTeam], K$1),0), "-", TEXT(SUMIFS(Table2[HomeWon_], Table2[GameIsOver],1,Table2[AwayTeam],$A8, Table2[HomeTeam], K$1, Table2[ActualResult], "REG") + SUMIFS(Table2[AwayWon], Table2[GameIsOver],1,Table2[HomeTeam],$A8, Table2[AwayTeam], K$1, Table2[ActualResult], "REG"),0), "-", TEXT(SUMIFS(Table2[HomeWon_], Table2[GameIsOver],1,Table2[AwayTeam],$A8, Table2[HomeTeam], K$1, Table2[ActualResult], "OT") + SUMIFS(Table2[AwayWon], Table2[GameIsOver],1,Table2[HomeTeam],$A8, Table2[AwayTeam], K$1, Table2[ActualResult], "OT") + SUMIFS(Table2[HomeWon_], Table2[GameIsOver],1,Table2[AwayTeam],$A8, Table2[HomeTeam], K$1, Table2[ActualResult], "SO") + SUMIFS(Table2[AwayWon], Table2[GameIsOver],1,Table2[HomeTeam],$A8, Table2[AwayTeam], K$1, Table2[ActualResult], "SO"),0))</f>
        <v>0-0-0</v>
      </c>
      <c r="L8" t="str">
        <f>_xlfn.CONCAT(TEXT(SUMIFS(Table2[AwayWon], Table2[GameIsOver],1,Table2[AwayTeam],$A8, Table2[HomeTeam], L$1) + SUMIFS(Table2[HomeWon_], Table2[GameIsOver],1,Table2[HomeTeam],$A8, Table2[AwayTeam], L$1),0), "-", TEXT(SUMIFS(Table2[HomeWon_], Table2[GameIsOver],1,Table2[AwayTeam],$A8, Table2[HomeTeam], L$1, Table2[ActualResult], "REG") + SUMIFS(Table2[AwayWon], Table2[GameIsOver],1,Table2[HomeTeam],$A8, Table2[AwayTeam], L$1, Table2[ActualResult], "REG"),0), "-", TEXT(SUMIFS(Table2[HomeWon_], Table2[GameIsOver],1,Table2[AwayTeam],$A8, Table2[HomeTeam], L$1, Table2[ActualResult], "OT") + SUMIFS(Table2[AwayWon], Table2[GameIsOver],1,Table2[HomeTeam],$A8, Table2[AwayTeam], L$1, Table2[ActualResult], "OT") + SUMIFS(Table2[HomeWon_], Table2[GameIsOver],1,Table2[AwayTeam],$A8, Table2[HomeTeam], L$1, Table2[ActualResult], "SO") + SUMIFS(Table2[AwayWon], Table2[GameIsOver],1,Table2[HomeTeam],$A8, Table2[AwayTeam], L$1, Table2[ActualResult], "SO"),0))</f>
        <v>1-0-0</v>
      </c>
      <c r="M8" t="str">
        <f>_xlfn.CONCAT(TEXT(SUMIFS(Table2[AwayWon], Table2[GameIsOver],1,Table2[AwayTeam],$A8, Table2[HomeTeam], M$1) + SUMIFS(Table2[HomeWon_], Table2[GameIsOver],1,Table2[HomeTeam],$A8, Table2[AwayTeam], M$1),0), "-", TEXT(SUMIFS(Table2[HomeWon_], Table2[GameIsOver],1,Table2[AwayTeam],$A8, Table2[HomeTeam], M$1, Table2[ActualResult], "REG") + SUMIFS(Table2[AwayWon], Table2[GameIsOver],1,Table2[HomeTeam],$A8, Table2[AwayTeam], M$1, Table2[ActualResult], "REG"),0), "-", TEXT(SUMIFS(Table2[HomeWon_], Table2[GameIsOver],1,Table2[AwayTeam],$A8, Table2[HomeTeam], M$1, Table2[ActualResult], "OT") + SUMIFS(Table2[AwayWon], Table2[GameIsOver],1,Table2[HomeTeam],$A8, Table2[AwayTeam], M$1, Table2[ActualResult], "OT") + SUMIFS(Table2[HomeWon_], Table2[GameIsOver],1,Table2[AwayTeam],$A8, Table2[HomeTeam], M$1, Table2[ActualResult], "SO") + SUMIFS(Table2[AwayWon], Table2[GameIsOver],1,Table2[HomeTeam],$A8, Table2[AwayTeam], M$1, Table2[ActualResult], "SO"),0))</f>
        <v>0-0-0</v>
      </c>
      <c r="N8" t="str">
        <f>_xlfn.CONCAT(TEXT(SUMIFS(Table2[AwayWon], Table2[GameIsOver],1,Table2[AwayTeam],$A8, Table2[HomeTeam], N$1) + SUMIFS(Table2[HomeWon_], Table2[GameIsOver],1,Table2[HomeTeam],$A8, Table2[AwayTeam], N$1),0), "-", TEXT(SUMIFS(Table2[HomeWon_], Table2[GameIsOver],1,Table2[AwayTeam],$A8, Table2[HomeTeam], N$1, Table2[ActualResult], "REG") + SUMIFS(Table2[AwayWon], Table2[GameIsOver],1,Table2[HomeTeam],$A8, Table2[AwayTeam], N$1, Table2[ActualResult], "REG"),0), "-", TEXT(SUMIFS(Table2[HomeWon_], Table2[GameIsOver],1,Table2[AwayTeam],$A8, Table2[HomeTeam], N$1, Table2[ActualResult], "OT") + SUMIFS(Table2[AwayWon], Table2[GameIsOver],1,Table2[HomeTeam],$A8, Table2[AwayTeam], N$1, Table2[ActualResult], "OT") + SUMIFS(Table2[HomeWon_], Table2[GameIsOver],1,Table2[AwayTeam],$A8, Table2[HomeTeam], N$1, Table2[ActualResult], "SO") + SUMIFS(Table2[AwayWon], Table2[GameIsOver],1,Table2[HomeTeam],$A8, Table2[AwayTeam], N$1, Table2[ActualResult], "SO"),0))</f>
        <v>0-0-0</v>
      </c>
      <c r="O8" t="str">
        <f>_xlfn.CONCAT(TEXT(SUMIFS(Table2[AwayWon], Table2[GameIsOver],1,Table2[AwayTeam],$A8, Table2[HomeTeam], O$1) + SUMIFS(Table2[HomeWon_], Table2[GameIsOver],1,Table2[HomeTeam],$A8, Table2[AwayTeam], O$1),0), "-", TEXT(SUMIFS(Table2[HomeWon_], Table2[GameIsOver],1,Table2[AwayTeam],$A8, Table2[HomeTeam], O$1, Table2[ActualResult], "REG") + SUMIFS(Table2[AwayWon], Table2[GameIsOver],1,Table2[HomeTeam],$A8, Table2[AwayTeam], O$1, Table2[ActualResult], "REG"),0), "-", TEXT(SUMIFS(Table2[HomeWon_], Table2[GameIsOver],1,Table2[AwayTeam],$A8, Table2[HomeTeam], O$1, Table2[ActualResult], "OT") + SUMIFS(Table2[AwayWon], Table2[GameIsOver],1,Table2[HomeTeam],$A8, Table2[AwayTeam], O$1, Table2[ActualResult], "OT") + SUMIFS(Table2[HomeWon_], Table2[GameIsOver],1,Table2[AwayTeam],$A8, Table2[HomeTeam], O$1, Table2[ActualResult], "SO") + SUMIFS(Table2[AwayWon], Table2[GameIsOver],1,Table2[HomeTeam],$A8, Table2[AwayTeam], O$1, Table2[ActualResult], "SO"),0))</f>
        <v>0-1-0</v>
      </c>
      <c r="P8" t="str">
        <f>_xlfn.CONCAT(TEXT(SUMIFS(Table2[AwayWon], Table2[GameIsOver],1,Table2[AwayTeam],$A8, Table2[HomeTeam], P$1) + SUMIFS(Table2[HomeWon_], Table2[GameIsOver],1,Table2[HomeTeam],$A8, Table2[AwayTeam], P$1),0), "-", TEXT(SUMIFS(Table2[HomeWon_], Table2[GameIsOver],1,Table2[AwayTeam],$A8, Table2[HomeTeam], P$1, Table2[ActualResult], "REG") + SUMIFS(Table2[AwayWon], Table2[GameIsOver],1,Table2[HomeTeam],$A8, Table2[AwayTeam], P$1, Table2[ActualResult], "REG"),0), "-", TEXT(SUMIFS(Table2[HomeWon_], Table2[GameIsOver],1,Table2[AwayTeam],$A8, Table2[HomeTeam], P$1, Table2[ActualResult], "OT") + SUMIFS(Table2[AwayWon], Table2[GameIsOver],1,Table2[HomeTeam],$A8, Table2[AwayTeam], P$1, Table2[ActualResult], "OT") + SUMIFS(Table2[HomeWon_], Table2[GameIsOver],1,Table2[AwayTeam],$A8, Table2[HomeTeam], P$1, Table2[ActualResult], "SO") + SUMIFS(Table2[AwayWon], Table2[GameIsOver],1,Table2[HomeTeam],$A8, Table2[AwayTeam], P$1, Table2[ActualResult], "SO"),0))</f>
        <v>0-0-0</v>
      </c>
      <c r="Q8" s="57" t="str">
        <f>_xlfn.CONCAT(TEXT(SUMIFS(Table2[AwayWon], Table2[GameIsOver],1,Table2[AwayTeam],$A8, Table2[HomeTeam], Q$1) + SUMIFS(Table2[HomeWon_], Table2[GameIsOver],1,Table2[HomeTeam],$A8, Table2[AwayTeam], Q$1),0), "-", TEXT(SUMIFS(Table2[HomeWon_], Table2[GameIsOver],1,Table2[AwayTeam],$A8, Table2[HomeTeam], Q$1, Table2[ActualResult], "REG") + SUMIFS(Table2[AwayWon], Table2[GameIsOver],1,Table2[HomeTeam],$A8, Table2[AwayTeam], Q$1, Table2[ActualResult], "REG"),0), "-", TEXT(SUMIFS(Table2[HomeWon_], Table2[GameIsOver],1,Table2[AwayTeam],$A8, Table2[HomeTeam], Q$1, Table2[ActualResult], "OT") + SUMIFS(Table2[AwayWon], Table2[GameIsOver],1,Table2[HomeTeam],$A8, Table2[AwayTeam], Q$1, Table2[ActualResult], "OT") + SUMIFS(Table2[HomeWon_], Table2[GameIsOver],1,Table2[AwayTeam],$A8, Table2[HomeTeam], Q$1, Table2[ActualResult], "SO") + SUMIFS(Table2[AwayWon], Table2[GameIsOver],1,Table2[HomeTeam],$A8, Table2[AwayTeam], Q$1, Table2[ActualResult], "SO"),0))</f>
        <v>0-0-0</v>
      </c>
      <c r="R8" t="str">
        <f>_xlfn.CONCAT(TEXT(SUMIFS(Table2[AwayWon], Table2[GameIsOver],1,Table2[AwayTeam],$A8, Table2[HomeTeam], R$1) + SUMIFS(Table2[HomeWon_], Table2[GameIsOver],1,Table2[HomeTeam],$A8, Table2[AwayTeam], R$1),0), "-", TEXT(SUMIFS(Table2[HomeWon_], Table2[GameIsOver],1,Table2[AwayTeam],$A8, Table2[HomeTeam], R$1, Table2[ActualResult], "REG") + SUMIFS(Table2[AwayWon], Table2[GameIsOver],1,Table2[HomeTeam],$A8, Table2[AwayTeam], R$1, Table2[ActualResult], "REG"),0), "-", TEXT(SUMIFS(Table2[HomeWon_], Table2[GameIsOver],1,Table2[AwayTeam],$A8, Table2[HomeTeam], R$1, Table2[ActualResult], "OT") + SUMIFS(Table2[AwayWon], Table2[GameIsOver],1,Table2[HomeTeam],$A8, Table2[AwayTeam], R$1, Table2[ActualResult], "OT") + SUMIFS(Table2[HomeWon_], Table2[GameIsOver],1,Table2[AwayTeam],$A8, Table2[HomeTeam], R$1, Table2[ActualResult], "SO") + SUMIFS(Table2[AwayWon], Table2[GameIsOver],1,Table2[HomeTeam],$A8, Table2[AwayTeam], R$1, Table2[ActualResult], "SO"),0))</f>
        <v>0-0-0</v>
      </c>
      <c r="S8" t="str">
        <f>_xlfn.CONCAT(TEXT(SUMIFS(Table2[AwayWon], Table2[GameIsOver],1,Table2[AwayTeam],$A8, Table2[HomeTeam], S$1) + SUMIFS(Table2[HomeWon_], Table2[GameIsOver],1,Table2[HomeTeam],$A8, Table2[AwayTeam], S$1),0), "-", TEXT(SUMIFS(Table2[HomeWon_], Table2[GameIsOver],1,Table2[AwayTeam],$A8, Table2[HomeTeam], S$1, Table2[ActualResult], "REG") + SUMIFS(Table2[AwayWon], Table2[GameIsOver],1,Table2[HomeTeam],$A8, Table2[AwayTeam], S$1, Table2[ActualResult], "REG"),0), "-", TEXT(SUMIFS(Table2[HomeWon_], Table2[GameIsOver],1,Table2[AwayTeam],$A8, Table2[HomeTeam], S$1, Table2[ActualResult], "OT") + SUMIFS(Table2[AwayWon], Table2[GameIsOver],1,Table2[HomeTeam],$A8, Table2[AwayTeam], S$1, Table2[ActualResult], "OT") + SUMIFS(Table2[HomeWon_], Table2[GameIsOver],1,Table2[AwayTeam],$A8, Table2[HomeTeam], S$1, Table2[ActualResult], "SO") + SUMIFS(Table2[AwayWon], Table2[GameIsOver],1,Table2[HomeTeam],$A8, Table2[AwayTeam], S$1, Table2[ActualResult], "SO"),0))</f>
        <v>0-0-0</v>
      </c>
      <c r="T8" t="str">
        <f>_xlfn.CONCAT(TEXT(SUMIFS(Table2[AwayWon], Table2[GameIsOver],1,Table2[AwayTeam],$A8, Table2[HomeTeam], T$1) + SUMIFS(Table2[HomeWon_], Table2[GameIsOver],1,Table2[HomeTeam],$A8, Table2[AwayTeam], T$1),0), "-", TEXT(SUMIFS(Table2[HomeWon_], Table2[GameIsOver],1,Table2[AwayTeam],$A8, Table2[HomeTeam], T$1, Table2[ActualResult], "REG") + SUMIFS(Table2[AwayWon], Table2[GameIsOver],1,Table2[HomeTeam],$A8, Table2[AwayTeam], T$1, Table2[ActualResult], "REG"),0), "-", TEXT(SUMIFS(Table2[HomeWon_], Table2[GameIsOver],1,Table2[AwayTeam],$A8, Table2[HomeTeam], T$1, Table2[ActualResult], "OT") + SUMIFS(Table2[AwayWon], Table2[GameIsOver],1,Table2[HomeTeam],$A8, Table2[AwayTeam], T$1, Table2[ActualResult], "OT") + SUMIFS(Table2[HomeWon_], Table2[GameIsOver],1,Table2[AwayTeam],$A8, Table2[HomeTeam], T$1, Table2[ActualResult], "SO") + SUMIFS(Table2[AwayWon], Table2[GameIsOver],1,Table2[HomeTeam],$A8, Table2[AwayTeam], T$1, Table2[ActualResult], "SO"),0))</f>
        <v>0-0-0</v>
      </c>
      <c r="U8" t="str">
        <f>_xlfn.CONCAT(TEXT(SUMIFS(Table2[AwayWon], Table2[GameIsOver],1,Table2[AwayTeam],$A8, Table2[HomeTeam], U$1) + SUMIFS(Table2[HomeWon_], Table2[GameIsOver],1,Table2[HomeTeam],$A8, Table2[AwayTeam], U$1),0), "-", TEXT(SUMIFS(Table2[HomeWon_], Table2[GameIsOver],1,Table2[AwayTeam],$A8, Table2[HomeTeam], U$1, Table2[ActualResult], "REG") + SUMIFS(Table2[AwayWon], Table2[GameIsOver],1,Table2[HomeTeam],$A8, Table2[AwayTeam], U$1, Table2[ActualResult], "REG"),0), "-", TEXT(SUMIFS(Table2[HomeWon_], Table2[GameIsOver],1,Table2[AwayTeam],$A8, Table2[HomeTeam], U$1, Table2[ActualResult], "OT") + SUMIFS(Table2[AwayWon], Table2[GameIsOver],1,Table2[HomeTeam],$A8, Table2[AwayTeam], U$1, Table2[ActualResult], "OT") + SUMIFS(Table2[HomeWon_], Table2[GameIsOver],1,Table2[AwayTeam],$A8, Table2[HomeTeam], U$1, Table2[ActualResult], "SO") + SUMIFS(Table2[AwayWon], Table2[GameIsOver],1,Table2[HomeTeam],$A8, Table2[AwayTeam], U$1, Table2[ActualResult], "SO"),0))</f>
        <v>0-0-0</v>
      </c>
      <c r="V8" t="str">
        <f>_xlfn.CONCAT(TEXT(SUMIFS(Table2[AwayWon], Table2[GameIsOver],1,Table2[AwayTeam],$A8, Table2[HomeTeam], V$1) + SUMIFS(Table2[HomeWon_], Table2[GameIsOver],1,Table2[HomeTeam],$A8, Table2[AwayTeam], V$1),0), "-", TEXT(SUMIFS(Table2[HomeWon_], Table2[GameIsOver],1,Table2[AwayTeam],$A8, Table2[HomeTeam], V$1, Table2[ActualResult], "REG") + SUMIFS(Table2[AwayWon], Table2[GameIsOver],1,Table2[HomeTeam],$A8, Table2[AwayTeam], V$1, Table2[ActualResult], "REG"),0), "-", TEXT(SUMIFS(Table2[HomeWon_], Table2[GameIsOver],1,Table2[AwayTeam],$A8, Table2[HomeTeam], V$1, Table2[ActualResult], "OT") + SUMIFS(Table2[AwayWon], Table2[GameIsOver],1,Table2[HomeTeam],$A8, Table2[AwayTeam], V$1, Table2[ActualResult], "OT") + SUMIFS(Table2[HomeWon_], Table2[GameIsOver],1,Table2[AwayTeam],$A8, Table2[HomeTeam], V$1, Table2[ActualResult], "SO") + SUMIFS(Table2[AwayWon], Table2[GameIsOver],1,Table2[HomeTeam],$A8, Table2[AwayTeam], V$1, Table2[ActualResult], "SO"),0))</f>
        <v>0-0-0</v>
      </c>
      <c r="W8" t="str">
        <f>_xlfn.CONCAT(TEXT(SUMIFS(Table2[AwayWon], Table2[GameIsOver],1,Table2[AwayTeam],$A8, Table2[HomeTeam], W$1) + SUMIFS(Table2[HomeWon_], Table2[GameIsOver],1,Table2[HomeTeam],$A8, Table2[AwayTeam], W$1),0), "-", TEXT(SUMIFS(Table2[HomeWon_], Table2[GameIsOver],1,Table2[AwayTeam],$A8, Table2[HomeTeam], W$1, Table2[ActualResult], "REG") + SUMIFS(Table2[AwayWon], Table2[GameIsOver],1,Table2[HomeTeam],$A8, Table2[AwayTeam], W$1, Table2[ActualResult], "REG"),0), "-", TEXT(SUMIFS(Table2[HomeWon_], Table2[GameIsOver],1,Table2[AwayTeam],$A8, Table2[HomeTeam], W$1, Table2[ActualResult], "OT") + SUMIFS(Table2[AwayWon], Table2[GameIsOver],1,Table2[HomeTeam],$A8, Table2[AwayTeam], W$1, Table2[ActualResult], "OT") + SUMIFS(Table2[HomeWon_], Table2[GameIsOver],1,Table2[AwayTeam],$A8, Table2[HomeTeam], W$1, Table2[ActualResult], "SO") + SUMIFS(Table2[AwayWon], Table2[GameIsOver],1,Table2[HomeTeam],$A8, Table2[AwayTeam], W$1, Table2[ActualResult], "SO"),0))</f>
        <v>0-0-0</v>
      </c>
      <c r="X8" t="str">
        <f>_xlfn.CONCAT(TEXT(SUMIFS(Table2[AwayWon], Table2[GameIsOver],1,Table2[AwayTeam],$A8, Table2[HomeTeam], X$1) + SUMIFS(Table2[HomeWon_], Table2[GameIsOver],1,Table2[HomeTeam],$A8, Table2[AwayTeam], X$1),0), "-", TEXT(SUMIFS(Table2[HomeWon_], Table2[GameIsOver],1,Table2[AwayTeam],$A8, Table2[HomeTeam], X$1, Table2[ActualResult], "REG") + SUMIFS(Table2[AwayWon], Table2[GameIsOver],1,Table2[HomeTeam],$A8, Table2[AwayTeam], X$1, Table2[ActualResult], "REG"),0), "-", TEXT(SUMIFS(Table2[HomeWon_], Table2[GameIsOver],1,Table2[AwayTeam],$A8, Table2[HomeTeam], X$1, Table2[ActualResult], "OT") + SUMIFS(Table2[AwayWon], Table2[GameIsOver],1,Table2[HomeTeam],$A8, Table2[AwayTeam], X$1, Table2[ActualResult], "OT") + SUMIFS(Table2[HomeWon_], Table2[GameIsOver],1,Table2[AwayTeam],$A8, Table2[HomeTeam], X$1, Table2[ActualResult], "SO") + SUMIFS(Table2[AwayWon], Table2[GameIsOver],1,Table2[HomeTeam],$A8, Table2[AwayTeam], X$1, Table2[ActualResult], "SO"),0))</f>
        <v>0-1-0</v>
      </c>
      <c r="Y8" s="57" t="str">
        <f>_xlfn.CONCAT(TEXT(SUMIFS(Table2[AwayWon], Table2[GameIsOver],1,Table2[AwayTeam],$A8, Table2[HomeTeam], Y$1) + SUMIFS(Table2[HomeWon_], Table2[GameIsOver],1,Table2[HomeTeam],$A8, Table2[AwayTeam], Y$1),0), "-", TEXT(SUMIFS(Table2[HomeWon_], Table2[GameIsOver],1,Table2[AwayTeam],$A8, Table2[HomeTeam], Y$1, Table2[ActualResult], "REG") + SUMIFS(Table2[AwayWon], Table2[GameIsOver],1,Table2[HomeTeam],$A8, Table2[AwayTeam], Y$1, Table2[ActualResult], "REG"),0), "-", TEXT(SUMIFS(Table2[HomeWon_], Table2[GameIsOver],1,Table2[AwayTeam],$A8, Table2[HomeTeam], Y$1, Table2[ActualResult], "OT") + SUMIFS(Table2[AwayWon], Table2[GameIsOver],1,Table2[HomeTeam],$A8, Table2[AwayTeam], Y$1, Table2[ActualResult], "OT") + SUMIFS(Table2[HomeWon_], Table2[GameIsOver],1,Table2[AwayTeam],$A8, Table2[HomeTeam], Y$1, Table2[ActualResult], "SO") + SUMIFS(Table2[AwayWon], Table2[GameIsOver],1,Table2[HomeTeam],$A8, Table2[AwayTeam], Y$1, Table2[ActualResult], "SO"),0))</f>
        <v>1-0-0</v>
      </c>
      <c r="Z8" t="str">
        <f>_xlfn.CONCAT(TEXT(SUMIFS(Table2[AwayWon], Table2[GameIsOver],1,Table2[AwayTeam],$A8, Table2[HomeTeam], Z$1) + SUMIFS(Table2[HomeWon_], Table2[GameIsOver],1,Table2[HomeTeam],$A8, Table2[AwayTeam], Z$1),0), "-", TEXT(SUMIFS(Table2[HomeWon_], Table2[GameIsOver],1,Table2[AwayTeam],$A8, Table2[HomeTeam], Z$1, Table2[ActualResult], "REG") + SUMIFS(Table2[AwayWon], Table2[GameIsOver],1,Table2[HomeTeam],$A8, Table2[AwayTeam], Z$1, Table2[ActualResult], "REG"),0), "-", TEXT(SUMIFS(Table2[HomeWon_], Table2[GameIsOver],1,Table2[AwayTeam],$A8, Table2[HomeTeam], Z$1, Table2[ActualResult], "OT") + SUMIFS(Table2[AwayWon], Table2[GameIsOver],1,Table2[HomeTeam],$A8, Table2[AwayTeam], Z$1, Table2[ActualResult], "OT") + SUMIFS(Table2[HomeWon_], Table2[GameIsOver],1,Table2[AwayTeam],$A8, Table2[HomeTeam], Z$1, Table2[ActualResult], "SO") + SUMIFS(Table2[AwayWon], Table2[GameIsOver],1,Table2[HomeTeam],$A8, Table2[AwayTeam], Z$1, Table2[ActualResult], "SO"),0))</f>
        <v>0-0-0</v>
      </c>
      <c r="AA8" t="str">
        <f>_xlfn.CONCAT(TEXT(SUMIFS(Table2[AwayWon], Table2[GameIsOver],1,Table2[AwayTeam],$A8, Table2[HomeTeam], AA$1) + SUMIFS(Table2[HomeWon_], Table2[GameIsOver],1,Table2[HomeTeam],$A8, Table2[AwayTeam], AA$1),0), "-", TEXT(SUMIFS(Table2[HomeWon_], Table2[GameIsOver],1,Table2[AwayTeam],$A8, Table2[HomeTeam], AA$1, Table2[ActualResult], "REG") + SUMIFS(Table2[AwayWon], Table2[GameIsOver],1,Table2[HomeTeam],$A8, Table2[AwayTeam], AA$1, Table2[ActualResult], "REG"),0), "-", TEXT(SUMIFS(Table2[HomeWon_], Table2[GameIsOver],1,Table2[AwayTeam],$A8, Table2[HomeTeam], AA$1, Table2[ActualResult], "OT") + SUMIFS(Table2[AwayWon], Table2[GameIsOver],1,Table2[HomeTeam],$A8, Table2[AwayTeam], AA$1, Table2[ActualResult], "OT") + SUMIFS(Table2[HomeWon_], Table2[GameIsOver],1,Table2[AwayTeam],$A8, Table2[HomeTeam], AA$1, Table2[ActualResult], "SO") + SUMIFS(Table2[AwayWon], Table2[GameIsOver],1,Table2[HomeTeam],$A8, Table2[AwayTeam], AA$1, Table2[ActualResult], "SO"),0))</f>
        <v>0-0-0</v>
      </c>
      <c r="AB8" t="str">
        <f>_xlfn.CONCAT(TEXT(SUMIFS(Table2[AwayWon], Table2[GameIsOver],1,Table2[AwayTeam],$A8, Table2[HomeTeam], AB$1) + SUMIFS(Table2[HomeWon_], Table2[GameIsOver],1,Table2[HomeTeam],$A8, Table2[AwayTeam], AB$1),0), "-", TEXT(SUMIFS(Table2[HomeWon_], Table2[GameIsOver],1,Table2[AwayTeam],$A8, Table2[HomeTeam], AB$1, Table2[ActualResult], "REG") + SUMIFS(Table2[AwayWon], Table2[GameIsOver],1,Table2[HomeTeam],$A8, Table2[AwayTeam], AB$1, Table2[ActualResult], "REG"),0), "-", TEXT(SUMIFS(Table2[HomeWon_], Table2[GameIsOver],1,Table2[AwayTeam],$A8, Table2[HomeTeam], AB$1, Table2[ActualResult], "OT") + SUMIFS(Table2[AwayWon], Table2[GameIsOver],1,Table2[HomeTeam],$A8, Table2[AwayTeam], AB$1, Table2[ActualResult], "OT") + SUMIFS(Table2[HomeWon_], Table2[GameIsOver],1,Table2[AwayTeam],$A8, Table2[HomeTeam], AB$1, Table2[ActualResult], "SO") + SUMIFS(Table2[AwayWon], Table2[GameIsOver],1,Table2[HomeTeam],$A8, Table2[AwayTeam], AB$1, Table2[ActualResult], "SO"),0))</f>
        <v>0-0-0</v>
      </c>
      <c r="AC8" t="str">
        <f>_xlfn.CONCAT(TEXT(SUMIFS(Table2[AwayWon], Table2[GameIsOver],1,Table2[AwayTeam],$A8, Table2[HomeTeam], AC$1) + SUMIFS(Table2[HomeWon_], Table2[GameIsOver],1,Table2[HomeTeam],$A8, Table2[AwayTeam], AC$1),0), "-", TEXT(SUMIFS(Table2[HomeWon_], Table2[GameIsOver],1,Table2[AwayTeam],$A8, Table2[HomeTeam], AC$1, Table2[ActualResult], "REG") + SUMIFS(Table2[AwayWon], Table2[GameIsOver],1,Table2[HomeTeam],$A8, Table2[AwayTeam], AC$1, Table2[ActualResult], "REG"),0), "-", TEXT(SUMIFS(Table2[HomeWon_], Table2[GameIsOver],1,Table2[AwayTeam],$A8, Table2[HomeTeam], AC$1, Table2[ActualResult], "OT") + SUMIFS(Table2[AwayWon], Table2[GameIsOver],1,Table2[HomeTeam],$A8, Table2[AwayTeam], AC$1, Table2[ActualResult], "OT") + SUMIFS(Table2[HomeWon_], Table2[GameIsOver],1,Table2[AwayTeam],$A8, Table2[HomeTeam], AC$1, Table2[ActualResult], "SO") + SUMIFS(Table2[AwayWon], Table2[GameIsOver],1,Table2[HomeTeam],$A8, Table2[AwayTeam], AC$1, Table2[ActualResult], "SO"),0))</f>
        <v>0-0-0</v>
      </c>
      <c r="AD8" t="str">
        <f>_xlfn.CONCAT(TEXT(SUMIFS(Table2[AwayWon], Table2[GameIsOver],1,Table2[AwayTeam],$A8, Table2[HomeTeam], AD$1) + SUMIFS(Table2[HomeWon_], Table2[GameIsOver],1,Table2[HomeTeam],$A8, Table2[AwayTeam], AD$1),0), "-", TEXT(SUMIFS(Table2[HomeWon_], Table2[GameIsOver],1,Table2[AwayTeam],$A8, Table2[HomeTeam], AD$1, Table2[ActualResult], "REG") + SUMIFS(Table2[AwayWon], Table2[GameIsOver],1,Table2[HomeTeam],$A8, Table2[AwayTeam], AD$1, Table2[ActualResult], "REG"),0), "-", TEXT(SUMIFS(Table2[HomeWon_], Table2[GameIsOver],1,Table2[AwayTeam],$A8, Table2[HomeTeam], AD$1, Table2[ActualResult], "OT") + SUMIFS(Table2[AwayWon], Table2[GameIsOver],1,Table2[HomeTeam],$A8, Table2[AwayTeam], AD$1, Table2[ActualResult], "OT") + SUMIFS(Table2[HomeWon_], Table2[GameIsOver],1,Table2[AwayTeam],$A8, Table2[HomeTeam], AD$1, Table2[ActualResult], "SO") + SUMIFS(Table2[AwayWon], Table2[GameIsOver],1,Table2[HomeTeam],$A8, Table2[AwayTeam], AD$1, Table2[ActualResult], "SO"),0))</f>
        <v>0-0-0</v>
      </c>
      <c r="AE8" t="str">
        <f>_xlfn.CONCAT(TEXT(SUMIFS(Table2[AwayWon], Table2[GameIsOver],1,Table2[AwayTeam],$A8, Table2[HomeTeam], AE$1) + SUMIFS(Table2[HomeWon_], Table2[GameIsOver],1,Table2[HomeTeam],$A8, Table2[AwayTeam], AE$1),0), "-", TEXT(SUMIFS(Table2[HomeWon_], Table2[GameIsOver],1,Table2[AwayTeam],$A8, Table2[HomeTeam], AE$1, Table2[ActualResult], "REG") + SUMIFS(Table2[AwayWon], Table2[GameIsOver],1,Table2[HomeTeam],$A8, Table2[AwayTeam], AE$1, Table2[ActualResult], "REG"),0), "-", TEXT(SUMIFS(Table2[HomeWon_], Table2[GameIsOver],1,Table2[AwayTeam],$A8, Table2[HomeTeam], AE$1, Table2[ActualResult], "OT") + SUMIFS(Table2[AwayWon], Table2[GameIsOver],1,Table2[HomeTeam],$A8, Table2[AwayTeam], AE$1, Table2[ActualResult], "OT") + SUMIFS(Table2[HomeWon_], Table2[GameIsOver],1,Table2[AwayTeam],$A8, Table2[HomeTeam], AE$1, Table2[ActualResult], "SO") + SUMIFS(Table2[AwayWon], Table2[GameIsOver],1,Table2[HomeTeam],$A8, Table2[AwayTeam], AE$1, Table2[ActualResult], "SO"),0))</f>
        <v>0-0-0</v>
      </c>
      <c r="AF8" t="str">
        <f>_xlfn.CONCAT(TEXT(SUMIFS(Table2[AwayWon], Table2[GameIsOver],1,Table2[AwayTeam],$A8, Table2[HomeTeam], AF$1) + SUMIFS(Table2[HomeWon_], Table2[GameIsOver],1,Table2[HomeTeam],$A8, Table2[AwayTeam], AF$1),0), "-", TEXT(SUMIFS(Table2[HomeWon_], Table2[GameIsOver],1,Table2[AwayTeam],$A8, Table2[HomeTeam], AF$1, Table2[ActualResult], "REG") + SUMIFS(Table2[AwayWon], Table2[GameIsOver],1,Table2[HomeTeam],$A8, Table2[AwayTeam], AF$1, Table2[ActualResult], "REG"),0), "-", TEXT(SUMIFS(Table2[HomeWon_], Table2[GameIsOver],1,Table2[AwayTeam],$A8, Table2[HomeTeam], AF$1, Table2[ActualResult], "OT") + SUMIFS(Table2[AwayWon], Table2[GameIsOver],1,Table2[HomeTeam],$A8, Table2[AwayTeam], AF$1, Table2[ActualResult], "OT") + SUMIFS(Table2[HomeWon_], Table2[GameIsOver],1,Table2[AwayTeam],$A8, Table2[HomeTeam], AF$1, Table2[ActualResult], "SO") + SUMIFS(Table2[AwayWon], Table2[GameIsOver],1,Table2[HomeTeam],$A8, Table2[AwayTeam], AF$1, Table2[ActualResult], "SO"),0))</f>
        <v>0-0-0</v>
      </c>
      <c r="AG8" t="str">
        <f>_xlfn.CONCAT(TEXT(SUMIFS(Table2[AwayWon], Table2[GameIsOver],1,Table2[AwayTeam],$A8, Table2[HomeTeam], AG$1) + SUMIFS(Table2[HomeWon_], Table2[GameIsOver],1,Table2[HomeTeam],$A8, Table2[AwayTeam], AG$1),0), "-", TEXT(SUMIFS(Table2[HomeWon_], Table2[GameIsOver],1,Table2[AwayTeam],$A8, Table2[HomeTeam], AG$1, Table2[ActualResult], "REG") + SUMIFS(Table2[AwayWon], Table2[GameIsOver],1,Table2[HomeTeam],$A8, Table2[AwayTeam], AG$1, Table2[ActualResult], "REG"),0), "-", TEXT(SUMIFS(Table2[HomeWon_], Table2[GameIsOver],1,Table2[AwayTeam],$A8, Table2[HomeTeam], AG$1, Table2[ActualResult], "OT") + SUMIFS(Table2[AwayWon], Table2[GameIsOver],1,Table2[HomeTeam],$A8, Table2[AwayTeam], AG$1, Table2[ActualResult], "OT") + SUMIFS(Table2[HomeWon_], Table2[GameIsOver],1,Table2[AwayTeam],$A8, Table2[HomeTeam], AG$1, Table2[ActualResult], "SO") + SUMIFS(Table2[AwayWon], Table2[GameIsOver],1,Table2[HomeTeam],$A8, Table2[AwayTeam], AG$1, Table2[ActualResult], "SO"),0))</f>
        <v>0-0-0</v>
      </c>
    </row>
    <row r="9" spans="1:33" ht="15.75" thickBot="1" x14ac:dyDescent="0.3">
      <c r="A9" s="59" t="s">
        <v>26</v>
      </c>
      <c r="B9" s="58" t="str">
        <f>_xlfn.CONCAT(TEXT(SUMIFS(Table2[AwayWon], Table2[GameIsOver],1,Table2[AwayTeam],$A9, Table2[HomeTeam], B$1) + SUMIFS(Table2[HomeWon_], Table2[GameIsOver],1,Table2[HomeTeam],$A9, Table2[AwayTeam], B$1),0), "-", TEXT(SUMIFS(Table2[HomeWon_], Table2[GameIsOver],1,Table2[AwayTeam],$A9, Table2[HomeTeam], B$1, Table2[ActualResult], "REG") + SUMIFS(Table2[AwayWon], Table2[GameIsOver],1,Table2[HomeTeam],$A9, Table2[AwayTeam], B$1, Table2[ActualResult], "REG"),0), "-", TEXT(SUMIFS(Table2[HomeWon_], Table2[GameIsOver],1,Table2[AwayTeam],$A9, Table2[HomeTeam], B$1, Table2[ActualResult], "OT") + SUMIFS(Table2[AwayWon], Table2[GameIsOver],1,Table2[HomeTeam],$A9, Table2[AwayTeam], B$1, Table2[ActualResult], "OT") + SUMIFS(Table2[HomeWon_], Table2[GameIsOver],1,Table2[AwayTeam],$A9, Table2[HomeTeam], B$1, Table2[ActualResult], "SO") + SUMIFS(Table2[AwayWon], Table2[GameIsOver],1,Table2[HomeTeam],$A9, Table2[AwayTeam], B$1, Table2[ActualResult], "SO"),0))</f>
        <v>0-0-0</v>
      </c>
      <c r="C9" s="58" t="str">
        <f>_xlfn.CONCAT(TEXT(SUMIFS(Table2[AwayWon], Table2[GameIsOver],1,Table2[AwayTeam],$A9, Table2[HomeTeam], C$1) + SUMIFS(Table2[HomeWon_], Table2[GameIsOver],1,Table2[HomeTeam],$A9, Table2[AwayTeam], C$1),0), "-", TEXT(SUMIFS(Table2[HomeWon_], Table2[GameIsOver],1,Table2[AwayTeam],$A9, Table2[HomeTeam], C$1, Table2[ActualResult], "REG") + SUMIFS(Table2[AwayWon], Table2[GameIsOver],1,Table2[HomeTeam],$A9, Table2[AwayTeam], C$1, Table2[ActualResult], "REG"),0), "-", TEXT(SUMIFS(Table2[HomeWon_], Table2[GameIsOver],1,Table2[AwayTeam],$A9, Table2[HomeTeam], C$1, Table2[ActualResult], "OT") + SUMIFS(Table2[AwayWon], Table2[GameIsOver],1,Table2[HomeTeam],$A9, Table2[AwayTeam], C$1, Table2[ActualResult], "OT") + SUMIFS(Table2[HomeWon_], Table2[GameIsOver],1,Table2[AwayTeam],$A9, Table2[HomeTeam], C$1, Table2[ActualResult], "SO") + SUMIFS(Table2[AwayWon], Table2[GameIsOver],1,Table2[HomeTeam],$A9, Table2[AwayTeam], C$1, Table2[ActualResult], "SO"),0))</f>
        <v>2-0-0</v>
      </c>
      <c r="D9" s="58" t="str">
        <f>_xlfn.CONCAT(TEXT(SUMIFS(Table2[AwayWon], Table2[GameIsOver],1,Table2[AwayTeam],$A9, Table2[HomeTeam], D$1) + SUMIFS(Table2[HomeWon_], Table2[GameIsOver],1,Table2[HomeTeam],$A9, Table2[AwayTeam], D$1),0), "-", TEXT(SUMIFS(Table2[HomeWon_], Table2[GameIsOver],1,Table2[AwayTeam],$A9, Table2[HomeTeam], D$1, Table2[ActualResult], "REG") + SUMIFS(Table2[AwayWon], Table2[GameIsOver],1,Table2[HomeTeam],$A9, Table2[AwayTeam], D$1, Table2[ActualResult], "REG"),0), "-", TEXT(SUMIFS(Table2[HomeWon_], Table2[GameIsOver],1,Table2[AwayTeam],$A9, Table2[HomeTeam], D$1, Table2[ActualResult], "OT") + SUMIFS(Table2[AwayWon], Table2[GameIsOver],1,Table2[HomeTeam],$A9, Table2[AwayTeam], D$1, Table2[ActualResult], "OT") + SUMIFS(Table2[HomeWon_], Table2[GameIsOver],1,Table2[AwayTeam],$A9, Table2[HomeTeam], D$1, Table2[ActualResult], "SO") + SUMIFS(Table2[AwayWon], Table2[GameIsOver],1,Table2[HomeTeam],$A9, Table2[AwayTeam], D$1, Table2[ActualResult], "SO"),0))</f>
        <v>0-0-0</v>
      </c>
      <c r="E9" s="58" t="str">
        <f>_xlfn.CONCAT(TEXT(SUMIFS(Table2[AwayWon], Table2[GameIsOver],1,Table2[AwayTeam],$A9, Table2[HomeTeam], E$1) + SUMIFS(Table2[HomeWon_], Table2[GameIsOver],1,Table2[HomeTeam],$A9, Table2[AwayTeam], E$1),0), "-", TEXT(SUMIFS(Table2[HomeWon_], Table2[GameIsOver],1,Table2[AwayTeam],$A9, Table2[HomeTeam], E$1, Table2[ActualResult], "REG") + SUMIFS(Table2[AwayWon], Table2[GameIsOver],1,Table2[HomeTeam],$A9, Table2[AwayTeam], E$1, Table2[ActualResult], "REG"),0), "-", TEXT(SUMIFS(Table2[HomeWon_], Table2[GameIsOver],1,Table2[AwayTeam],$A9, Table2[HomeTeam], E$1, Table2[ActualResult], "OT") + SUMIFS(Table2[AwayWon], Table2[GameIsOver],1,Table2[HomeTeam],$A9, Table2[AwayTeam], E$1, Table2[ActualResult], "OT") + SUMIFS(Table2[HomeWon_], Table2[GameIsOver],1,Table2[AwayTeam],$A9, Table2[HomeTeam], E$1, Table2[ActualResult], "SO") + SUMIFS(Table2[AwayWon], Table2[GameIsOver],1,Table2[HomeTeam],$A9, Table2[AwayTeam], E$1, Table2[ActualResult], "SO"),0))</f>
        <v>0-0-1</v>
      </c>
      <c r="F9" s="58" t="str">
        <f>_xlfn.CONCAT(TEXT(SUMIFS(Table2[AwayWon], Table2[GameIsOver],1,Table2[AwayTeam],$A9, Table2[HomeTeam], F$1) + SUMIFS(Table2[HomeWon_], Table2[GameIsOver],1,Table2[HomeTeam],$A9, Table2[AwayTeam], F$1),0), "-", TEXT(SUMIFS(Table2[HomeWon_], Table2[GameIsOver],1,Table2[AwayTeam],$A9, Table2[HomeTeam], F$1, Table2[ActualResult], "REG") + SUMIFS(Table2[AwayWon], Table2[GameIsOver],1,Table2[HomeTeam],$A9, Table2[AwayTeam], F$1, Table2[ActualResult], "REG"),0), "-", TEXT(SUMIFS(Table2[HomeWon_], Table2[GameIsOver],1,Table2[AwayTeam],$A9, Table2[HomeTeam], F$1, Table2[ActualResult], "OT") + SUMIFS(Table2[AwayWon], Table2[GameIsOver],1,Table2[HomeTeam],$A9, Table2[AwayTeam], F$1, Table2[ActualResult], "OT") + SUMIFS(Table2[HomeWon_], Table2[GameIsOver],1,Table2[AwayTeam],$A9, Table2[HomeTeam], F$1, Table2[ActualResult], "SO") + SUMIFS(Table2[AwayWon], Table2[GameIsOver],1,Table2[HomeTeam],$A9, Table2[AwayTeam], F$1, Table2[ActualResult], "SO"),0))</f>
        <v>0-0-1</v>
      </c>
      <c r="G9" s="58" t="str">
        <f>_xlfn.CONCAT(TEXT(SUMIFS(Table2[AwayWon], Table2[GameIsOver],1,Table2[AwayTeam],$A9, Table2[HomeTeam], G$1) + SUMIFS(Table2[HomeWon_], Table2[GameIsOver],1,Table2[HomeTeam],$A9, Table2[AwayTeam], G$1),0), "-", TEXT(SUMIFS(Table2[HomeWon_], Table2[GameIsOver],1,Table2[AwayTeam],$A9, Table2[HomeTeam], G$1, Table2[ActualResult], "REG") + SUMIFS(Table2[AwayWon], Table2[GameIsOver],1,Table2[HomeTeam],$A9, Table2[AwayTeam], G$1, Table2[ActualResult], "REG"),0), "-", TEXT(SUMIFS(Table2[HomeWon_], Table2[GameIsOver],1,Table2[AwayTeam],$A9, Table2[HomeTeam], G$1, Table2[ActualResult], "OT") + SUMIFS(Table2[AwayWon], Table2[GameIsOver],1,Table2[HomeTeam],$A9, Table2[AwayTeam], G$1, Table2[ActualResult], "OT") + SUMIFS(Table2[HomeWon_], Table2[GameIsOver],1,Table2[AwayTeam],$A9, Table2[HomeTeam], G$1, Table2[ActualResult], "SO") + SUMIFS(Table2[AwayWon], Table2[GameIsOver],1,Table2[HomeTeam],$A9, Table2[AwayTeam], G$1, Table2[ActualResult], "SO"),0))</f>
        <v>1-0-0</v>
      </c>
      <c r="H9" s="58" t="str">
        <f>_xlfn.CONCAT(TEXT(SUMIFS(Table2[AwayWon], Table2[GameIsOver],1,Table2[AwayTeam],$A9, Table2[HomeTeam], H$1) + SUMIFS(Table2[HomeWon_], Table2[GameIsOver],1,Table2[HomeTeam],$A9, Table2[AwayTeam], H$1),0), "-", TEXT(SUMIFS(Table2[HomeWon_], Table2[GameIsOver],1,Table2[AwayTeam],$A9, Table2[HomeTeam], H$1, Table2[ActualResult], "REG") + SUMIFS(Table2[AwayWon], Table2[GameIsOver],1,Table2[HomeTeam],$A9, Table2[AwayTeam], H$1, Table2[ActualResult], "REG"),0), "-", TEXT(SUMIFS(Table2[HomeWon_], Table2[GameIsOver],1,Table2[AwayTeam],$A9, Table2[HomeTeam], H$1, Table2[ActualResult], "OT") + SUMIFS(Table2[AwayWon], Table2[GameIsOver],1,Table2[HomeTeam],$A9, Table2[AwayTeam], H$1, Table2[ActualResult], "OT") + SUMIFS(Table2[HomeWon_], Table2[GameIsOver],1,Table2[AwayTeam],$A9, Table2[HomeTeam], H$1, Table2[ActualResult], "SO") + SUMIFS(Table2[AwayWon], Table2[GameIsOver],1,Table2[HomeTeam],$A9, Table2[AwayTeam], H$1, Table2[ActualResult], "SO"),0))</f>
        <v>0-0-0</v>
      </c>
      <c r="I9" s="90"/>
      <c r="J9" s="58" t="str">
        <f>_xlfn.CONCAT(TEXT(SUMIFS(Table2[AwayWon], Table2[GameIsOver],1,Table2[AwayTeam],$A9, Table2[HomeTeam], J$1) + SUMIFS(Table2[HomeWon_], Table2[GameIsOver],1,Table2[HomeTeam],$A9, Table2[AwayTeam], J$1),0), "-", TEXT(SUMIFS(Table2[HomeWon_], Table2[GameIsOver],1,Table2[AwayTeam],$A9, Table2[HomeTeam], J$1, Table2[ActualResult], "REG") + SUMIFS(Table2[AwayWon], Table2[GameIsOver],1,Table2[HomeTeam],$A9, Table2[AwayTeam], J$1, Table2[ActualResult], "REG"),0), "-", TEXT(SUMIFS(Table2[HomeWon_], Table2[GameIsOver],1,Table2[AwayTeam],$A9, Table2[HomeTeam], J$1, Table2[ActualResult], "OT") + SUMIFS(Table2[AwayWon], Table2[GameIsOver],1,Table2[HomeTeam],$A9, Table2[AwayTeam], J$1, Table2[ActualResult], "OT") + SUMIFS(Table2[HomeWon_], Table2[GameIsOver],1,Table2[AwayTeam],$A9, Table2[HomeTeam], J$1, Table2[ActualResult], "SO") + SUMIFS(Table2[AwayWon], Table2[GameIsOver],1,Table2[HomeTeam],$A9, Table2[AwayTeam], J$1, Table2[ActualResult], "SO"),0))</f>
        <v>0-0-0</v>
      </c>
      <c r="K9" s="58" t="str">
        <f>_xlfn.CONCAT(TEXT(SUMIFS(Table2[AwayWon], Table2[GameIsOver],1,Table2[AwayTeam],$A9, Table2[HomeTeam], K$1) + SUMIFS(Table2[HomeWon_], Table2[GameIsOver],1,Table2[HomeTeam],$A9, Table2[AwayTeam], K$1),0), "-", TEXT(SUMIFS(Table2[HomeWon_], Table2[GameIsOver],1,Table2[AwayTeam],$A9, Table2[HomeTeam], K$1, Table2[ActualResult], "REG") + SUMIFS(Table2[AwayWon], Table2[GameIsOver],1,Table2[HomeTeam],$A9, Table2[AwayTeam], K$1, Table2[ActualResult], "REG"),0), "-", TEXT(SUMIFS(Table2[HomeWon_], Table2[GameIsOver],1,Table2[AwayTeam],$A9, Table2[HomeTeam], K$1, Table2[ActualResult], "OT") + SUMIFS(Table2[AwayWon], Table2[GameIsOver],1,Table2[HomeTeam],$A9, Table2[AwayTeam], K$1, Table2[ActualResult], "OT") + SUMIFS(Table2[HomeWon_], Table2[GameIsOver],1,Table2[AwayTeam],$A9, Table2[HomeTeam], K$1, Table2[ActualResult], "SO") + SUMIFS(Table2[AwayWon], Table2[GameIsOver],1,Table2[HomeTeam],$A9, Table2[AwayTeam], K$1, Table2[ActualResult], "SO"),0))</f>
        <v>0-0-0</v>
      </c>
      <c r="L9" s="58" t="str">
        <f>_xlfn.CONCAT(TEXT(SUMIFS(Table2[AwayWon], Table2[GameIsOver],1,Table2[AwayTeam],$A9, Table2[HomeTeam], L$1) + SUMIFS(Table2[HomeWon_], Table2[GameIsOver],1,Table2[HomeTeam],$A9, Table2[AwayTeam], L$1),0), "-", TEXT(SUMIFS(Table2[HomeWon_], Table2[GameIsOver],1,Table2[AwayTeam],$A9, Table2[HomeTeam], L$1, Table2[ActualResult], "REG") + SUMIFS(Table2[AwayWon], Table2[GameIsOver],1,Table2[HomeTeam],$A9, Table2[AwayTeam], L$1, Table2[ActualResult], "REG"),0), "-", TEXT(SUMIFS(Table2[HomeWon_], Table2[GameIsOver],1,Table2[AwayTeam],$A9, Table2[HomeTeam], L$1, Table2[ActualResult], "OT") + SUMIFS(Table2[AwayWon], Table2[GameIsOver],1,Table2[HomeTeam],$A9, Table2[AwayTeam], L$1, Table2[ActualResult], "OT") + SUMIFS(Table2[HomeWon_], Table2[GameIsOver],1,Table2[AwayTeam],$A9, Table2[HomeTeam], L$1, Table2[ActualResult], "SO") + SUMIFS(Table2[AwayWon], Table2[GameIsOver],1,Table2[HomeTeam],$A9, Table2[AwayTeam], L$1, Table2[ActualResult], "SO"),0))</f>
        <v>0-0-0</v>
      </c>
      <c r="M9" s="58" t="str">
        <f>_xlfn.CONCAT(TEXT(SUMIFS(Table2[AwayWon], Table2[GameIsOver],1,Table2[AwayTeam],$A9, Table2[HomeTeam], M$1) + SUMIFS(Table2[HomeWon_], Table2[GameIsOver],1,Table2[HomeTeam],$A9, Table2[AwayTeam], M$1),0), "-", TEXT(SUMIFS(Table2[HomeWon_], Table2[GameIsOver],1,Table2[AwayTeam],$A9, Table2[HomeTeam], M$1, Table2[ActualResult], "REG") + SUMIFS(Table2[AwayWon], Table2[GameIsOver],1,Table2[HomeTeam],$A9, Table2[AwayTeam], M$1, Table2[ActualResult], "REG"),0), "-", TEXT(SUMIFS(Table2[HomeWon_], Table2[GameIsOver],1,Table2[AwayTeam],$A9, Table2[HomeTeam], M$1, Table2[ActualResult], "OT") + SUMIFS(Table2[AwayWon], Table2[GameIsOver],1,Table2[HomeTeam],$A9, Table2[AwayTeam], M$1, Table2[ActualResult], "OT") + SUMIFS(Table2[HomeWon_], Table2[GameIsOver],1,Table2[AwayTeam],$A9, Table2[HomeTeam], M$1, Table2[ActualResult], "SO") + SUMIFS(Table2[AwayWon], Table2[GameIsOver],1,Table2[HomeTeam],$A9, Table2[AwayTeam], M$1, Table2[ActualResult], "SO"),0))</f>
        <v>0-0-0</v>
      </c>
      <c r="N9" s="58" t="str">
        <f>_xlfn.CONCAT(TEXT(SUMIFS(Table2[AwayWon], Table2[GameIsOver],1,Table2[AwayTeam],$A9, Table2[HomeTeam], N$1) + SUMIFS(Table2[HomeWon_], Table2[GameIsOver],1,Table2[HomeTeam],$A9, Table2[AwayTeam], N$1),0), "-", TEXT(SUMIFS(Table2[HomeWon_], Table2[GameIsOver],1,Table2[AwayTeam],$A9, Table2[HomeTeam], N$1, Table2[ActualResult], "REG") + SUMIFS(Table2[AwayWon], Table2[GameIsOver],1,Table2[HomeTeam],$A9, Table2[AwayTeam], N$1, Table2[ActualResult], "REG"),0), "-", TEXT(SUMIFS(Table2[HomeWon_], Table2[GameIsOver],1,Table2[AwayTeam],$A9, Table2[HomeTeam], N$1, Table2[ActualResult], "OT") + SUMIFS(Table2[AwayWon], Table2[GameIsOver],1,Table2[HomeTeam],$A9, Table2[AwayTeam], N$1, Table2[ActualResult], "OT") + SUMIFS(Table2[HomeWon_], Table2[GameIsOver],1,Table2[AwayTeam],$A9, Table2[HomeTeam], N$1, Table2[ActualResult], "SO") + SUMIFS(Table2[AwayWon], Table2[GameIsOver],1,Table2[HomeTeam],$A9, Table2[AwayTeam], N$1, Table2[ActualResult], "SO"),0))</f>
        <v>0-0-0</v>
      </c>
      <c r="O9" s="58" t="str">
        <f>_xlfn.CONCAT(TEXT(SUMIFS(Table2[AwayWon], Table2[GameIsOver],1,Table2[AwayTeam],$A9, Table2[HomeTeam], O$1) + SUMIFS(Table2[HomeWon_], Table2[GameIsOver],1,Table2[HomeTeam],$A9, Table2[AwayTeam], O$1),0), "-", TEXT(SUMIFS(Table2[HomeWon_], Table2[GameIsOver],1,Table2[AwayTeam],$A9, Table2[HomeTeam], O$1, Table2[ActualResult], "REG") + SUMIFS(Table2[AwayWon], Table2[GameIsOver],1,Table2[HomeTeam],$A9, Table2[AwayTeam], O$1, Table2[ActualResult], "REG"),0), "-", TEXT(SUMIFS(Table2[HomeWon_], Table2[GameIsOver],1,Table2[AwayTeam],$A9, Table2[HomeTeam], O$1, Table2[ActualResult], "OT") + SUMIFS(Table2[AwayWon], Table2[GameIsOver],1,Table2[HomeTeam],$A9, Table2[AwayTeam], O$1, Table2[ActualResult], "OT") + SUMIFS(Table2[HomeWon_], Table2[GameIsOver],1,Table2[AwayTeam],$A9, Table2[HomeTeam], O$1, Table2[ActualResult], "SO") + SUMIFS(Table2[AwayWon], Table2[GameIsOver],1,Table2[HomeTeam],$A9, Table2[AwayTeam], O$1, Table2[ActualResult], "SO"),0))</f>
        <v>0-0-0</v>
      </c>
      <c r="P9" s="58" t="str">
        <f>_xlfn.CONCAT(TEXT(SUMIFS(Table2[AwayWon], Table2[GameIsOver],1,Table2[AwayTeam],$A9, Table2[HomeTeam], P$1) + SUMIFS(Table2[HomeWon_], Table2[GameIsOver],1,Table2[HomeTeam],$A9, Table2[AwayTeam], P$1),0), "-", TEXT(SUMIFS(Table2[HomeWon_], Table2[GameIsOver],1,Table2[AwayTeam],$A9, Table2[HomeTeam], P$1, Table2[ActualResult], "REG") + SUMIFS(Table2[AwayWon], Table2[GameIsOver],1,Table2[HomeTeam],$A9, Table2[AwayTeam], P$1, Table2[ActualResult], "REG"),0), "-", TEXT(SUMIFS(Table2[HomeWon_], Table2[GameIsOver],1,Table2[AwayTeam],$A9, Table2[HomeTeam], P$1, Table2[ActualResult], "OT") + SUMIFS(Table2[AwayWon], Table2[GameIsOver],1,Table2[HomeTeam],$A9, Table2[AwayTeam], P$1, Table2[ActualResult], "OT") + SUMIFS(Table2[HomeWon_], Table2[GameIsOver],1,Table2[AwayTeam],$A9, Table2[HomeTeam], P$1, Table2[ActualResult], "SO") + SUMIFS(Table2[AwayWon], Table2[GameIsOver],1,Table2[HomeTeam],$A9, Table2[AwayTeam], P$1, Table2[ActualResult], "SO"),0))</f>
        <v>0-0-0</v>
      </c>
      <c r="Q9" s="59" t="str">
        <f>_xlfn.CONCAT(TEXT(SUMIFS(Table2[AwayWon], Table2[GameIsOver],1,Table2[AwayTeam],$A9, Table2[HomeTeam], Q$1) + SUMIFS(Table2[HomeWon_], Table2[GameIsOver],1,Table2[HomeTeam],$A9, Table2[AwayTeam], Q$1),0), "-", TEXT(SUMIFS(Table2[HomeWon_], Table2[GameIsOver],1,Table2[AwayTeam],$A9, Table2[HomeTeam], Q$1, Table2[ActualResult], "REG") + SUMIFS(Table2[AwayWon], Table2[GameIsOver],1,Table2[HomeTeam],$A9, Table2[AwayTeam], Q$1, Table2[ActualResult], "REG"),0), "-", TEXT(SUMIFS(Table2[HomeWon_], Table2[GameIsOver],1,Table2[AwayTeam],$A9, Table2[HomeTeam], Q$1, Table2[ActualResult], "OT") + SUMIFS(Table2[AwayWon], Table2[GameIsOver],1,Table2[HomeTeam],$A9, Table2[AwayTeam], Q$1, Table2[ActualResult], "OT") + SUMIFS(Table2[HomeWon_], Table2[GameIsOver],1,Table2[AwayTeam],$A9, Table2[HomeTeam], Q$1, Table2[ActualResult], "SO") + SUMIFS(Table2[AwayWon], Table2[GameIsOver],1,Table2[HomeTeam],$A9, Table2[AwayTeam], Q$1, Table2[ActualResult], "SO"),0))</f>
        <v>0-0-0</v>
      </c>
      <c r="R9" s="58" t="str">
        <f>_xlfn.CONCAT(TEXT(SUMIFS(Table2[AwayWon], Table2[GameIsOver],1,Table2[AwayTeam],$A9, Table2[HomeTeam], R$1) + SUMIFS(Table2[HomeWon_], Table2[GameIsOver],1,Table2[HomeTeam],$A9, Table2[AwayTeam], R$1),0), "-", TEXT(SUMIFS(Table2[HomeWon_], Table2[GameIsOver],1,Table2[AwayTeam],$A9, Table2[HomeTeam], R$1, Table2[ActualResult], "REG") + SUMIFS(Table2[AwayWon], Table2[GameIsOver],1,Table2[HomeTeam],$A9, Table2[AwayTeam], R$1, Table2[ActualResult], "REG"),0), "-", TEXT(SUMIFS(Table2[HomeWon_], Table2[GameIsOver],1,Table2[AwayTeam],$A9, Table2[HomeTeam], R$1, Table2[ActualResult], "OT") + SUMIFS(Table2[AwayWon], Table2[GameIsOver],1,Table2[HomeTeam],$A9, Table2[AwayTeam], R$1, Table2[ActualResult], "OT") + SUMIFS(Table2[HomeWon_], Table2[GameIsOver],1,Table2[AwayTeam],$A9, Table2[HomeTeam], R$1, Table2[ActualResult], "SO") + SUMIFS(Table2[AwayWon], Table2[GameIsOver],1,Table2[HomeTeam],$A9, Table2[AwayTeam], R$1, Table2[ActualResult], "SO"),0))</f>
        <v>1-0-0</v>
      </c>
      <c r="S9" s="58" t="str">
        <f>_xlfn.CONCAT(TEXT(SUMIFS(Table2[AwayWon], Table2[GameIsOver],1,Table2[AwayTeam],$A9, Table2[HomeTeam], S$1) + SUMIFS(Table2[HomeWon_], Table2[GameIsOver],1,Table2[HomeTeam],$A9, Table2[AwayTeam], S$1),0), "-", TEXT(SUMIFS(Table2[HomeWon_], Table2[GameIsOver],1,Table2[AwayTeam],$A9, Table2[HomeTeam], S$1, Table2[ActualResult], "REG") + SUMIFS(Table2[AwayWon], Table2[GameIsOver],1,Table2[HomeTeam],$A9, Table2[AwayTeam], S$1, Table2[ActualResult], "REG"),0), "-", TEXT(SUMIFS(Table2[HomeWon_], Table2[GameIsOver],1,Table2[AwayTeam],$A9, Table2[HomeTeam], S$1, Table2[ActualResult], "OT") + SUMIFS(Table2[AwayWon], Table2[GameIsOver],1,Table2[HomeTeam],$A9, Table2[AwayTeam], S$1, Table2[ActualResult], "OT") + SUMIFS(Table2[HomeWon_], Table2[GameIsOver],1,Table2[AwayTeam],$A9, Table2[HomeTeam], S$1, Table2[ActualResult], "SO") + SUMIFS(Table2[AwayWon], Table2[GameIsOver],1,Table2[HomeTeam],$A9, Table2[AwayTeam], S$1, Table2[ActualResult], "SO"),0))</f>
        <v>0-0-0</v>
      </c>
      <c r="T9" s="58" t="str">
        <f>_xlfn.CONCAT(TEXT(SUMIFS(Table2[AwayWon], Table2[GameIsOver],1,Table2[AwayTeam],$A9, Table2[HomeTeam], T$1) + SUMIFS(Table2[HomeWon_], Table2[GameIsOver],1,Table2[HomeTeam],$A9, Table2[AwayTeam], T$1),0), "-", TEXT(SUMIFS(Table2[HomeWon_], Table2[GameIsOver],1,Table2[AwayTeam],$A9, Table2[HomeTeam], T$1, Table2[ActualResult], "REG") + SUMIFS(Table2[AwayWon], Table2[GameIsOver],1,Table2[HomeTeam],$A9, Table2[AwayTeam], T$1, Table2[ActualResult], "REG"),0), "-", TEXT(SUMIFS(Table2[HomeWon_], Table2[GameIsOver],1,Table2[AwayTeam],$A9, Table2[HomeTeam], T$1, Table2[ActualResult], "OT") + SUMIFS(Table2[AwayWon], Table2[GameIsOver],1,Table2[HomeTeam],$A9, Table2[AwayTeam], T$1, Table2[ActualResult], "OT") + SUMIFS(Table2[HomeWon_], Table2[GameIsOver],1,Table2[AwayTeam],$A9, Table2[HomeTeam], T$1, Table2[ActualResult], "SO") + SUMIFS(Table2[AwayWon], Table2[GameIsOver],1,Table2[HomeTeam],$A9, Table2[AwayTeam], T$1, Table2[ActualResult], "SO"),0))</f>
        <v>0-0-0</v>
      </c>
      <c r="U9" s="58" t="str">
        <f>_xlfn.CONCAT(TEXT(SUMIFS(Table2[AwayWon], Table2[GameIsOver],1,Table2[AwayTeam],$A9, Table2[HomeTeam], U$1) + SUMIFS(Table2[HomeWon_], Table2[GameIsOver],1,Table2[HomeTeam],$A9, Table2[AwayTeam], U$1),0), "-", TEXT(SUMIFS(Table2[HomeWon_], Table2[GameIsOver],1,Table2[AwayTeam],$A9, Table2[HomeTeam], U$1, Table2[ActualResult], "REG") + SUMIFS(Table2[AwayWon], Table2[GameIsOver],1,Table2[HomeTeam],$A9, Table2[AwayTeam], U$1, Table2[ActualResult], "REG"),0), "-", TEXT(SUMIFS(Table2[HomeWon_], Table2[GameIsOver],1,Table2[AwayTeam],$A9, Table2[HomeTeam], U$1, Table2[ActualResult], "OT") + SUMIFS(Table2[AwayWon], Table2[GameIsOver],1,Table2[HomeTeam],$A9, Table2[AwayTeam], U$1, Table2[ActualResult], "OT") + SUMIFS(Table2[HomeWon_], Table2[GameIsOver],1,Table2[AwayTeam],$A9, Table2[HomeTeam], U$1, Table2[ActualResult], "SO") + SUMIFS(Table2[AwayWon], Table2[GameIsOver],1,Table2[HomeTeam],$A9, Table2[AwayTeam], U$1, Table2[ActualResult], "SO"),0))</f>
        <v>0-0-0</v>
      </c>
      <c r="V9" s="58" t="str">
        <f>_xlfn.CONCAT(TEXT(SUMIFS(Table2[AwayWon], Table2[GameIsOver],1,Table2[AwayTeam],$A9, Table2[HomeTeam], V$1) + SUMIFS(Table2[HomeWon_], Table2[GameIsOver],1,Table2[HomeTeam],$A9, Table2[AwayTeam], V$1),0), "-", TEXT(SUMIFS(Table2[HomeWon_], Table2[GameIsOver],1,Table2[AwayTeam],$A9, Table2[HomeTeam], V$1, Table2[ActualResult], "REG") + SUMIFS(Table2[AwayWon], Table2[GameIsOver],1,Table2[HomeTeam],$A9, Table2[AwayTeam], V$1, Table2[ActualResult], "REG"),0), "-", TEXT(SUMIFS(Table2[HomeWon_], Table2[GameIsOver],1,Table2[AwayTeam],$A9, Table2[HomeTeam], V$1, Table2[ActualResult], "OT") + SUMIFS(Table2[AwayWon], Table2[GameIsOver],1,Table2[HomeTeam],$A9, Table2[AwayTeam], V$1, Table2[ActualResult], "OT") + SUMIFS(Table2[HomeWon_], Table2[GameIsOver],1,Table2[AwayTeam],$A9, Table2[HomeTeam], V$1, Table2[ActualResult], "SO") + SUMIFS(Table2[AwayWon], Table2[GameIsOver],1,Table2[HomeTeam],$A9, Table2[AwayTeam], V$1, Table2[ActualResult], "SO"),0))</f>
        <v>0-0-0</v>
      </c>
      <c r="W9" s="58" t="str">
        <f>_xlfn.CONCAT(TEXT(SUMIFS(Table2[AwayWon], Table2[GameIsOver],1,Table2[AwayTeam],$A9, Table2[HomeTeam], W$1) + SUMIFS(Table2[HomeWon_], Table2[GameIsOver],1,Table2[HomeTeam],$A9, Table2[AwayTeam], W$1),0), "-", TEXT(SUMIFS(Table2[HomeWon_], Table2[GameIsOver],1,Table2[AwayTeam],$A9, Table2[HomeTeam], W$1, Table2[ActualResult], "REG") + SUMIFS(Table2[AwayWon], Table2[GameIsOver],1,Table2[HomeTeam],$A9, Table2[AwayTeam], W$1, Table2[ActualResult], "REG"),0), "-", TEXT(SUMIFS(Table2[HomeWon_], Table2[GameIsOver],1,Table2[AwayTeam],$A9, Table2[HomeTeam], W$1, Table2[ActualResult], "OT") + SUMIFS(Table2[AwayWon], Table2[GameIsOver],1,Table2[HomeTeam],$A9, Table2[AwayTeam], W$1, Table2[ActualResult], "OT") + SUMIFS(Table2[HomeWon_], Table2[GameIsOver],1,Table2[AwayTeam],$A9, Table2[HomeTeam], W$1, Table2[ActualResult], "SO") + SUMIFS(Table2[AwayWon], Table2[GameIsOver],1,Table2[HomeTeam],$A9, Table2[AwayTeam], W$1, Table2[ActualResult], "SO"),0))</f>
        <v>0-0-0</v>
      </c>
      <c r="X9" s="58" t="str">
        <f>_xlfn.CONCAT(TEXT(SUMIFS(Table2[AwayWon], Table2[GameIsOver],1,Table2[AwayTeam],$A9, Table2[HomeTeam], X$1) + SUMIFS(Table2[HomeWon_], Table2[GameIsOver],1,Table2[HomeTeam],$A9, Table2[AwayTeam], X$1),0), "-", TEXT(SUMIFS(Table2[HomeWon_], Table2[GameIsOver],1,Table2[AwayTeam],$A9, Table2[HomeTeam], X$1, Table2[ActualResult], "REG") + SUMIFS(Table2[AwayWon], Table2[GameIsOver],1,Table2[HomeTeam],$A9, Table2[AwayTeam], X$1, Table2[ActualResult], "REG"),0), "-", TEXT(SUMIFS(Table2[HomeWon_], Table2[GameIsOver],1,Table2[AwayTeam],$A9, Table2[HomeTeam], X$1, Table2[ActualResult], "OT") + SUMIFS(Table2[AwayWon], Table2[GameIsOver],1,Table2[HomeTeam],$A9, Table2[AwayTeam], X$1, Table2[ActualResult], "OT") + SUMIFS(Table2[HomeWon_], Table2[GameIsOver],1,Table2[AwayTeam],$A9, Table2[HomeTeam], X$1, Table2[ActualResult], "SO") + SUMIFS(Table2[AwayWon], Table2[GameIsOver],1,Table2[HomeTeam],$A9, Table2[AwayTeam], X$1, Table2[ActualResult], "SO"),0))</f>
        <v>0-0-0</v>
      </c>
      <c r="Y9" s="59" t="str">
        <f>_xlfn.CONCAT(TEXT(SUMIFS(Table2[AwayWon], Table2[GameIsOver],1,Table2[AwayTeam],$A9, Table2[HomeTeam], Y$1) + SUMIFS(Table2[HomeWon_], Table2[GameIsOver],1,Table2[HomeTeam],$A9, Table2[AwayTeam], Y$1),0), "-", TEXT(SUMIFS(Table2[HomeWon_], Table2[GameIsOver],1,Table2[AwayTeam],$A9, Table2[HomeTeam], Y$1, Table2[ActualResult], "REG") + SUMIFS(Table2[AwayWon], Table2[GameIsOver],1,Table2[HomeTeam],$A9, Table2[AwayTeam], Y$1, Table2[ActualResult], "REG"),0), "-", TEXT(SUMIFS(Table2[HomeWon_], Table2[GameIsOver],1,Table2[AwayTeam],$A9, Table2[HomeTeam], Y$1, Table2[ActualResult], "OT") + SUMIFS(Table2[AwayWon], Table2[GameIsOver],1,Table2[HomeTeam],$A9, Table2[AwayTeam], Y$1, Table2[ActualResult], "OT") + SUMIFS(Table2[HomeWon_], Table2[GameIsOver],1,Table2[AwayTeam],$A9, Table2[HomeTeam], Y$1, Table2[ActualResult], "SO") + SUMIFS(Table2[AwayWon], Table2[GameIsOver],1,Table2[HomeTeam],$A9, Table2[AwayTeam], Y$1, Table2[ActualResult], "SO"),0))</f>
        <v>0-0-0</v>
      </c>
      <c r="Z9" s="58" t="str">
        <f>_xlfn.CONCAT(TEXT(SUMIFS(Table2[AwayWon], Table2[GameIsOver],1,Table2[AwayTeam],$A9, Table2[HomeTeam], Z$1) + SUMIFS(Table2[HomeWon_], Table2[GameIsOver],1,Table2[HomeTeam],$A9, Table2[AwayTeam], Z$1),0), "-", TEXT(SUMIFS(Table2[HomeWon_], Table2[GameIsOver],1,Table2[AwayTeam],$A9, Table2[HomeTeam], Z$1, Table2[ActualResult], "REG") + SUMIFS(Table2[AwayWon], Table2[GameIsOver],1,Table2[HomeTeam],$A9, Table2[AwayTeam], Z$1, Table2[ActualResult], "REG"),0), "-", TEXT(SUMIFS(Table2[HomeWon_], Table2[GameIsOver],1,Table2[AwayTeam],$A9, Table2[HomeTeam], Z$1, Table2[ActualResult], "OT") + SUMIFS(Table2[AwayWon], Table2[GameIsOver],1,Table2[HomeTeam],$A9, Table2[AwayTeam], Z$1, Table2[ActualResult], "OT") + SUMIFS(Table2[HomeWon_], Table2[GameIsOver],1,Table2[AwayTeam],$A9, Table2[HomeTeam], Z$1, Table2[ActualResult], "SO") + SUMIFS(Table2[AwayWon], Table2[GameIsOver],1,Table2[HomeTeam],$A9, Table2[AwayTeam], Z$1, Table2[ActualResult], "SO"),0))</f>
        <v>1-0-0</v>
      </c>
      <c r="AA9" s="58" t="str">
        <f>_xlfn.CONCAT(TEXT(SUMIFS(Table2[AwayWon], Table2[GameIsOver],1,Table2[AwayTeam],$A9, Table2[HomeTeam], AA$1) + SUMIFS(Table2[HomeWon_], Table2[GameIsOver],1,Table2[HomeTeam],$A9, Table2[AwayTeam], AA$1),0), "-", TEXT(SUMIFS(Table2[HomeWon_], Table2[GameIsOver],1,Table2[AwayTeam],$A9, Table2[HomeTeam], AA$1, Table2[ActualResult], "REG") + SUMIFS(Table2[AwayWon], Table2[GameIsOver],1,Table2[HomeTeam],$A9, Table2[AwayTeam], AA$1, Table2[ActualResult], "REG"),0), "-", TEXT(SUMIFS(Table2[HomeWon_], Table2[GameIsOver],1,Table2[AwayTeam],$A9, Table2[HomeTeam], AA$1, Table2[ActualResult], "OT") + SUMIFS(Table2[AwayWon], Table2[GameIsOver],1,Table2[HomeTeam],$A9, Table2[AwayTeam], AA$1, Table2[ActualResult], "OT") + SUMIFS(Table2[HomeWon_], Table2[GameIsOver],1,Table2[AwayTeam],$A9, Table2[HomeTeam], AA$1, Table2[ActualResult], "SO") + SUMIFS(Table2[AwayWon], Table2[GameIsOver],1,Table2[HomeTeam],$A9, Table2[AwayTeam], AA$1, Table2[ActualResult], "SO"),0))</f>
        <v>0-0-0</v>
      </c>
      <c r="AB9" s="58" t="str">
        <f>_xlfn.CONCAT(TEXT(SUMIFS(Table2[AwayWon], Table2[GameIsOver],1,Table2[AwayTeam],$A9, Table2[HomeTeam], AB$1) + SUMIFS(Table2[HomeWon_], Table2[GameIsOver],1,Table2[HomeTeam],$A9, Table2[AwayTeam], AB$1),0), "-", TEXT(SUMIFS(Table2[HomeWon_], Table2[GameIsOver],1,Table2[AwayTeam],$A9, Table2[HomeTeam], AB$1, Table2[ActualResult], "REG") + SUMIFS(Table2[AwayWon], Table2[GameIsOver],1,Table2[HomeTeam],$A9, Table2[AwayTeam], AB$1, Table2[ActualResult], "REG"),0), "-", TEXT(SUMIFS(Table2[HomeWon_], Table2[GameIsOver],1,Table2[AwayTeam],$A9, Table2[HomeTeam], AB$1, Table2[ActualResult], "OT") + SUMIFS(Table2[AwayWon], Table2[GameIsOver],1,Table2[HomeTeam],$A9, Table2[AwayTeam], AB$1, Table2[ActualResult], "OT") + SUMIFS(Table2[HomeWon_], Table2[GameIsOver],1,Table2[AwayTeam],$A9, Table2[HomeTeam], AB$1, Table2[ActualResult], "SO") + SUMIFS(Table2[AwayWon], Table2[GameIsOver],1,Table2[HomeTeam],$A9, Table2[AwayTeam], AB$1, Table2[ActualResult], "SO"),0))</f>
        <v>0-0-0</v>
      </c>
      <c r="AC9" s="58" t="str">
        <f>_xlfn.CONCAT(TEXT(SUMIFS(Table2[AwayWon], Table2[GameIsOver],1,Table2[AwayTeam],$A9, Table2[HomeTeam], AC$1) + SUMIFS(Table2[HomeWon_], Table2[GameIsOver],1,Table2[HomeTeam],$A9, Table2[AwayTeam], AC$1),0), "-", TEXT(SUMIFS(Table2[HomeWon_], Table2[GameIsOver],1,Table2[AwayTeam],$A9, Table2[HomeTeam], AC$1, Table2[ActualResult], "REG") + SUMIFS(Table2[AwayWon], Table2[GameIsOver],1,Table2[HomeTeam],$A9, Table2[AwayTeam], AC$1, Table2[ActualResult], "REG"),0), "-", TEXT(SUMIFS(Table2[HomeWon_], Table2[GameIsOver],1,Table2[AwayTeam],$A9, Table2[HomeTeam], AC$1, Table2[ActualResult], "OT") + SUMIFS(Table2[AwayWon], Table2[GameIsOver],1,Table2[HomeTeam],$A9, Table2[AwayTeam], AC$1, Table2[ActualResult], "OT") + SUMIFS(Table2[HomeWon_], Table2[GameIsOver],1,Table2[AwayTeam],$A9, Table2[HomeTeam], AC$1, Table2[ActualResult], "SO") + SUMIFS(Table2[AwayWon], Table2[GameIsOver],1,Table2[HomeTeam],$A9, Table2[AwayTeam], AC$1, Table2[ActualResult], "SO"),0))</f>
        <v>0-0-0</v>
      </c>
      <c r="AD9" s="58" t="str">
        <f>_xlfn.CONCAT(TEXT(SUMIFS(Table2[AwayWon], Table2[GameIsOver],1,Table2[AwayTeam],$A9, Table2[HomeTeam], AD$1) + SUMIFS(Table2[HomeWon_], Table2[GameIsOver],1,Table2[HomeTeam],$A9, Table2[AwayTeam], AD$1),0), "-", TEXT(SUMIFS(Table2[HomeWon_], Table2[GameIsOver],1,Table2[AwayTeam],$A9, Table2[HomeTeam], AD$1, Table2[ActualResult], "REG") + SUMIFS(Table2[AwayWon], Table2[GameIsOver],1,Table2[HomeTeam],$A9, Table2[AwayTeam], AD$1, Table2[ActualResult], "REG"),0), "-", TEXT(SUMIFS(Table2[HomeWon_], Table2[GameIsOver],1,Table2[AwayTeam],$A9, Table2[HomeTeam], AD$1, Table2[ActualResult], "OT") + SUMIFS(Table2[AwayWon], Table2[GameIsOver],1,Table2[HomeTeam],$A9, Table2[AwayTeam], AD$1, Table2[ActualResult], "OT") + SUMIFS(Table2[HomeWon_], Table2[GameIsOver],1,Table2[AwayTeam],$A9, Table2[HomeTeam], AD$1, Table2[ActualResult], "SO") + SUMIFS(Table2[AwayWon], Table2[GameIsOver],1,Table2[HomeTeam],$A9, Table2[AwayTeam], AD$1, Table2[ActualResult], "SO"),0))</f>
        <v>0-0-0</v>
      </c>
      <c r="AE9" s="58" t="str">
        <f>_xlfn.CONCAT(TEXT(SUMIFS(Table2[AwayWon], Table2[GameIsOver],1,Table2[AwayTeam],$A9, Table2[HomeTeam], AE$1) + SUMIFS(Table2[HomeWon_], Table2[GameIsOver],1,Table2[HomeTeam],$A9, Table2[AwayTeam], AE$1),0), "-", TEXT(SUMIFS(Table2[HomeWon_], Table2[GameIsOver],1,Table2[AwayTeam],$A9, Table2[HomeTeam], AE$1, Table2[ActualResult], "REG") + SUMIFS(Table2[AwayWon], Table2[GameIsOver],1,Table2[HomeTeam],$A9, Table2[AwayTeam], AE$1, Table2[ActualResult], "REG"),0), "-", TEXT(SUMIFS(Table2[HomeWon_], Table2[GameIsOver],1,Table2[AwayTeam],$A9, Table2[HomeTeam], AE$1, Table2[ActualResult], "OT") + SUMIFS(Table2[AwayWon], Table2[GameIsOver],1,Table2[HomeTeam],$A9, Table2[AwayTeam], AE$1, Table2[ActualResult], "OT") + SUMIFS(Table2[HomeWon_], Table2[GameIsOver],1,Table2[AwayTeam],$A9, Table2[HomeTeam], AE$1, Table2[ActualResult], "SO") + SUMIFS(Table2[AwayWon], Table2[GameIsOver],1,Table2[HomeTeam],$A9, Table2[AwayTeam], AE$1, Table2[ActualResult], "SO"),0))</f>
        <v>0-0-0</v>
      </c>
      <c r="AF9" s="58" t="str">
        <f>_xlfn.CONCAT(TEXT(SUMIFS(Table2[AwayWon], Table2[GameIsOver],1,Table2[AwayTeam],$A9, Table2[HomeTeam], AF$1) + SUMIFS(Table2[HomeWon_], Table2[GameIsOver],1,Table2[HomeTeam],$A9, Table2[AwayTeam], AF$1),0), "-", TEXT(SUMIFS(Table2[HomeWon_], Table2[GameIsOver],1,Table2[AwayTeam],$A9, Table2[HomeTeam], AF$1, Table2[ActualResult], "REG") + SUMIFS(Table2[AwayWon], Table2[GameIsOver],1,Table2[HomeTeam],$A9, Table2[AwayTeam], AF$1, Table2[ActualResult], "REG"),0), "-", TEXT(SUMIFS(Table2[HomeWon_], Table2[GameIsOver],1,Table2[AwayTeam],$A9, Table2[HomeTeam], AF$1, Table2[ActualResult], "OT") + SUMIFS(Table2[AwayWon], Table2[GameIsOver],1,Table2[HomeTeam],$A9, Table2[AwayTeam], AF$1, Table2[ActualResult], "OT") + SUMIFS(Table2[HomeWon_], Table2[GameIsOver],1,Table2[AwayTeam],$A9, Table2[HomeTeam], AF$1, Table2[ActualResult], "SO") + SUMIFS(Table2[AwayWon], Table2[GameIsOver],1,Table2[HomeTeam],$A9, Table2[AwayTeam], AF$1, Table2[ActualResult], "SO"),0))</f>
        <v>0-0-0</v>
      </c>
      <c r="AG9" s="58" t="str">
        <f>_xlfn.CONCAT(TEXT(SUMIFS(Table2[AwayWon], Table2[GameIsOver],1,Table2[AwayTeam],$A9, Table2[HomeTeam], AG$1) + SUMIFS(Table2[HomeWon_], Table2[GameIsOver],1,Table2[HomeTeam],$A9, Table2[AwayTeam], AG$1),0), "-", TEXT(SUMIFS(Table2[HomeWon_], Table2[GameIsOver],1,Table2[AwayTeam],$A9, Table2[HomeTeam], AG$1, Table2[ActualResult], "REG") + SUMIFS(Table2[AwayWon], Table2[GameIsOver],1,Table2[HomeTeam],$A9, Table2[AwayTeam], AG$1, Table2[ActualResult], "REG"),0), "-", TEXT(SUMIFS(Table2[HomeWon_], Table2[GameIsOver],1,Table2[AwayTeam],$A9, Table2[HomeTeam], AG$1, Table2[ActualResult], "OT") + SUMIFS(Table2[AwayWon], Table2[GameIsOver],1,Table2[HomeTeam],$A9, Table2[AwayTeam], AG$1, Table2[ActualResult], "OT") + SUMIFS(Table2[HomeWon_], Table2[GameIsOver],1,Table2[AwayTeam],$A9, Table2[HomeTeam], AG$1, Table2[ActualResult], "SO") + SUMIFS(Table2[AwayWon], Table2[GameIsOver],1,Table2[HomeTeam],$A9, Table2[AwayTeam], AG$1, Table2[ActualResult], "SO"),0))</f>
        <v>0-0-0</v>
      </c>
    </row>
    <row r="10" spans="1:33" ht="15.75" thickTop="1" x14ac:dyDescent="0.25">
      <c r="A10" s="57" t="s">
        <v>16</v>
      </c>
      <c r="B10" t="str">
        <f>_xlfn.CONCAT(TEXT(SUMIFS(Table2[AwayWon], Table2[GameIsOver],1,Table2[AwayTeam],$A10, Table2[HomeTeam], B$1) + SUMIFS(Table2[HomeWon_], Table2[GameIsOver],1,Table2[HomeTeam],$A10, Table2[AwayTeam], B$1),0), "-", TEXT(SUMIFS(Table2[HomeWon_], Table2[GameIsOver],1,Table2[AwayTeam],$A10, Table2[HomeTeam], B$1, Table2[ActualResult], "REG") + SUMIFS(Table2[AwayWon], Table2[GameIsOver],1,Table2[HomeTeam],$A10, Table2[AwayTeam], B$1, Table2[ActualResult], "REG"),0), "-", TEXT(SUMIFS(Table2[HomeWon_], Table2[GameIsOver],1,Table2[AwayTeam],$A10, Table2[HomeTeam], B$1, Table2[ActualResult], "OT") + SUMIFS(Table2[AwayWon], Table2[GameIsOver],1,Table2[HomeTeam],$A10, Table2[AwayTeam], B$1, Table2[ActualResult], "OT") + SUMIFS(Table2[HomeWon_], Table2[GameIsOver],1,Table2[AwayTeam],$A10, Table2[HomeTeam], B$1, Table2[ActualResult], "SO") + SUMIFS(Table2[AwayWon], Table2[GameIsOver],1,Table2[HomeTeam],$A10, Table2[AwayTeam], B$1, Table2[ActualResult], "SO"),0))</f>
        <v>1-0-0</v>
      </c>
      <c r="C10" t="str">
        <f>_xlfn.CONCAT(TEXT(SUMIFS(Table2[AwayWon], Table2[GameIsOver],1,Table2[AwayTeam],$A10, Table2[HomeTeam], C$1) + SUMIFS(Table2[HomeWon_], Table2[GameIsOver],1,Table2[HomeTeam],$A10, Table2[AwayTeam], C$1),0), "-", TEXT(SUMIFS(Table2[HomeWon_], Table2[GameIsOver],1,Table2[AwayTeam],$A10, Table2[HomeTeam], C$1, Table2[ActualResult], "REG") + SUMIFS(Table2[AwayWon], Table2[GameIsOver],1,Table2[HomeTeam],$A10, Table2[AwayTeam], C$1, Table2[ActualResult], "REG"),0), "-", TEXT(SUMIFS(Table2[HomeWon_], Table2[GameIsOver],1,Table2[AwayTeam],$A10, Table2[HomeTeam], C$1, Table2[ActualResult], "OT") + SUMIFS(Table2[AwayWon], Table2[GameIsOver],1,Table2[HomeTeam],$A10, Table2[AwayTeam], C$1, Table2[ActualResult], "OT") + SUMIFS(Table2[HomeWon_], Table2[GameIsOver],1,Table2[AwayTeam],$A10, Table2[HomeTeam], C$1, Table2[ActualResult], "SO") + SUMIFS(Table2[AwayWon], Table2[GameIsOver],1,Table2[HomeTeam],$A10, Table2[AwayTeam], C$1, Table2[ActualResult], "SO"),0))</f>
        <v>0-0-0</v>
      </c>
      <c r="D10" t="str">
        <f>_xlfn.CONCAT(TEXT(SUMIFS(Table2[AwayWon], Table2[GameIsOver],1,Table2[AwayTeam],$A10, Table2[HomeTeam], D$1) + SUMIFS(Table2[HomeWon_], Table2[GameIsOver],1,Table2[HomeTeam],$A10, Table2[AwayTeam], D$1),0), "-", TEXT(SUMIFS(Table2[HomeWon_], Table2[GameIsOver],1,Table2[AwayTeam],$A10, Table2[HomeTeam], D$1, Table2[ActualResult], "REG") + SUMIFS(Table2[AwayWon], Table2[GameIsOver],1,Table2[HomeTeam],$A10, Table2[AwayTeam], D$1, Table2[ActualResult], "REG"),0), "-", TEXT(SUMIFS(Table2[HomeWon_], Table2[GameIsOver],1,Table2[AwayTeam],$A10, Table2[HomeTeam], D$1, Table2[ActualResult], "OT") + SUMIFS(Table2[AwayWon], Table2[GameIsOver],1,Table2[HomeTeam],$A10, Table2[AwayTeam], D$1, Table2[ActualResult], "OT") + SUMIFS(Table2[HomeWon_], Table2[GameIsOver],1,Table2[AwayTeam],$A10, Table2[HomeTeam], D$1, Table2[ActualResult], "SO") + SUMIFS(Table2[AwayWon], Table2[GameIsOver],1,Table2[HomeTeam],$A10, Table2[AwayTeam], D$1, Table2[ActualResult], "SO"),0))</f>
        <v>0-0-0</v>
      </c>
      <c r="E10" t="str">
        <f>_xlfn.CONCAT(TEXT(SUMIFS(Table2[AwayWon], Table2[GameIsOver],1,Table2[AwayTeam],$A10, Table2[HomeTeam], E$1) + SUMIFS(Table2[HomeWon_], Table2[GameIsOver],1,Table2[HomeTeam],$A10, Table2[AwayTeam], E$1),0), "-", TEXT(SUMIFS(Table2[HomeWon_], Table2[GameIsOver],1,Table2[AwayTeam],$A10, Table2[HomeTeam], E$1, Table2[ActualResult], "REG") + SUMIFS(Table2[AwayWon], Table2[GameIsOver],1,Table2[HomeTeam],$A10, Table2[AwayTeam], E$1, Table2[ActualResult], "REG"),0), "-", TEXT(SUMIFS(Table2[HomeWon_], Table2[GameIsOver],1,Table2[AwayTeam],$A10, Table2[HomeTeam], E$1, Table2[ActualResult], "OT") + SUMIFS(Table2[AwayWon], Table2[GameIsOver],1,Table2[HomeTeam],$A10, Table2[AwayTeam], E$1, Table2[ActualResult], "OT") + SUMIFS(Table2[HomeWon_], Table2[GameIsOver],1,Table2[AwayTeam],$A10, Table2[HomeTeam], E$1, Table2[ActualResult], "SO") + SUMIFS(Table2[AwayWon], Table2[GameIsOver],1,Table2[HomeTeam],$A10, Table2[AwayTeam], E$1, Table2[ActualResult], "SO"),0))</f>
        <v>0-0-0</v>
      </c>
      <c r="F10" t="str">
        <f>_xlfn.CONCAT(TEXT(SUMIFS(Table2[AwayWon], Table2[GameIsOver],1,Table2[AwayTeam],$A10, Table2[HomeTeam], F$1) + SUMIFS(Table2[HomeWon_], Table2[GameIsOver],1,Table2[HomeTeam],$A10, Table2[AwayTeam], F$1),0), "-", TEXT(SUMIFS(Table2[HomeWon_], Table2[GameIsOver],1,Table2[AwayTeam],$A10, Table2[HomeTeam], F$1, Table2[ActualResult], "REG") + SUMIFS(Table2[AwayWon], Table2[GameIsOver],1,Table2[HomeTeam],$A10, Table2[AwayTeam], F$1, Table2[ActualResult], "REG"),0), "-", TEXT(SUMIFS(Table2[HomeWon_], Table2[GameIsOver],1,Table2[AwayTeam],$A10, Table2[HomeTeam], F$1, Table2[ActualResult], "OT") + SUMIFS(Table2[AwayWon], Table2[GameIsOver],1,Table2[HomeTeam],$A10, Table2[AwayTeam], F$1, Table2[ActualResult], "OT") + SUMIFS(Table2[HomeWon_], Table2[GameIsOver],1,Table2[AwayTeam],$A10, Table2[HomeTeam], F$1, Table2[ActualResult], "SO") + SUMIFS(Table2[AwayWon], Table2[GameIsOver],1,Table2[HomeTeam],$A10, Table2[AwayTeam], F$1, Table2[ActualResult], "SO"),0))</f>
        <v>0-0-0</v>
      </c>
      <c r="G10" t="str">
        <f>_xlfn.CONCAT(TEXT(SUMIFS(Table2[AwayWon], Table2[GameIsOver],1,Table2[AwayTeam],$A10, Table2[HomeTeam], G$1) + SUMIFS(Table2[HomeWon_], Table2[GameIsOver],1,Table2[HomeTeam],$A10, Table2[AwayTeam], G$1),0), "-", TEXT(SUMIFS(Table2[HomeWon_], Table2[GameIsOver],1,Table2[AwayTeam],$A10, Table2[HomeTeam], G$1, Table2[ActualResult], "REG") + SUMIFS(Table2[AwayWon], Table2[GameIsOver],1,Table2[HomeTeam],$A10, Table2[AwayTeam], G$1, Table2[ActualResult], "REG"),0), "-", TEXT(SUMIFS(Table2[HomeWon_], Table2[GameIsOver],1,Table2[AwayTeam],$A10, Table2[HomeTeam], G$1, Table2[ActualResult], "OT") + SUMIFS(Table2[AwayWon], Table2[GameIsOver],1,Table2[HomeTeam],$A10, Table2[AwayTeam], G$1, Table2[ActualResult], "OT") + SUMIFS(Table2[HomeWon_], Table2[GameIsOver],1,Table2[AwayTeam],$A10, Table2[HomeTeam], G$1, Table2[ActualResult], "SO") + SUMIFS(Table2[AwayWon], Table2[GameIsOver],1,Table2[HomeTeam],$A10, Table2[AwayTeam], G$1, Table2[ActualResult], "SO"),0))</f>
        <v>0-0-0</v>
      </c>
      <c r="H10" t="str">
        <f>_xlfn.CONCAT(TEXT(SUMIFS(Table2[AwayWon], Table2[GameIsOver],1,Table2[AwayTeam],$A10, Table2[HomeTeam], H$1) + SUMIFS(Table2[HomeWon_], Table2[GameIsOver],1,Table2[HomeTeam],$A10, Table2[AwayTeam], H$1),0), "-", TEXT(SUMIFS(Table2[HomeWon_], Table2[GameIsOver],1,Table2[AwayTeam],$A10, Table2[HomeTeam], H$1, Table2[ActualResult], "REG") + SUMIFS(Table2[AwayWon], Table2[GameIsOver],1,Table2[HomeTeam],$A10, Table2[AwayTeam], H$1, Table2[ActualResult], "REG"),0), "-", TEXT(SUMIFS(Table2[HomeWon_], Table2[GameIsOver],1,Table2[AwayTeam],$A10, Table2[HomeTeam], H$1, Table2[ActualResult], "OT") + SUMIFS(Table2[AwayWon], Table2[GameIsOver],1,Table2[HomeTeam],$A10, Table2[AwayTeam], H$1, Table2[ActualResult], "OT") + SUMIFS(Table2[HomeWon_], Table2[GameIsOver],1,Table2[AwayTeam],$A10, Table2[HomeTeam], H$1, Table2[ActualResult], "SO") + SUMIFS(Table2[AwayWon], Table2[GameIsOver],1,Table2[HomeTeam],$A10, Table2[AwayTeam], H$1, Table2[ActualResult], "SO"),0))</f>
        <v>0-0-1</v>
      </c>
      <c r="I10" s="57" t="str">
        <f>_xlfn.CONCAT(TEXT(SUMIFS(Table2[AwayWon], Table2[GameIsOver],1,Table2[AwayTeam],$A10, Table2[HomeTeam], I$1) + SUMIFS(Table2[HomeWon_], Table2[GameIsOver],1,Table2[HomeTeam],$A10, Table2[AwayTeam], I$1),0), "-", TEXT(SUMIFS(Table2[HomeWon_], Table2[GameIsOver],1,Table2[AwayTeam],$A10, Table2[HomeTeam], I$1, Table2[ActualResult], "REG") + SUMIFS(Table2[AwayWon], Table2[GameIsOver],1,Table2[HomeTeam],$A10, Table2[AwayTeam], I$1, Table2[ActualResult], "REG"),0), "-", TEXT(SUMIFS(Table2[HomeWon_], Table2[GameIsOver],1,Table2[AwayTeam],$A10, Table2[HomeTeam], I$1, Table2[ActualResult], "OT") + SUMIFS(Table2[AwayWon], Table2[GameIsOver],1,Table2[HomeTeam],$A10, Table2[AwayTeam], I$1, Table2[ActualResult], "OT") + SUMIFS(Table2[HomeWon_], Table2[GameIsOver],1,Table2[AwayTeam],$A10, Table2[HomeTeam], I$1, Table2[ActualResult], "SO") + SUMIFS(Table2[AwayWon], Table2[GameIsOver],1,Table2[HomeTeam],$A10, Table2[AwayTeam], I$1, Table2[ActualResult], "SO"),0))</f>
        <v>0-0-0</v>
      </c>
      <c r="J10" s="89"/>
      <c r="K10" t="str">
        <f>_xlfn.CONCAT(TEXT(SUMIFS(Table2[AwayWon], Table2[GameIsOver],1,Table2[AwayTeam],$A10, Table2[HomeTeam], K$1) + SUMIFS(Table2[HomeWon_], Table2[GameIsOver],1,Table2[HomeTeam],$A10, Table2[AwayTeam], K$1),0), "-", TEXT(SUMIFS(Table2[HomeWon_], Table2[GameIsOver],1,Table2[AwayTeam],$A10, Table2[HomeTeam], K$1, Table2[ActualResult], "REG") + SUMIFS(Table2[AwayWon], Table2[GameIsOver],1,Table2[HomeTeam],$A10, Table2[AwayTeam], K$1, Table2[ActualResult], "REG"),0), "-", TEXT(SUMIFS(Table2[HomeWon_], Table2[GameIsOver],1,Table2[AwayTeam],$A10, Table2[HomeTeam], K$1, Table2[ActualResult], "OT") + SUMIFS(Table2[AwayWon], Table2[GameIsOver],1,Table2[HomeTeam],$A10, Table2[AwayTeam], K$1, Table2[ActualResult], "OT") + SUMIFS(Table2[HomeWon_], Table2[GameIsOver],1,Table2[AwayTeam],$A10, Table2[HomeTeam], K$1, Table2[ActualResult], "SO") + SUMIFS(Table2[AwayWon], Table2[GameIsOver],1,Table2[HomeTeam],$A10, Table2[AwayTeam], K$1, Table2[ActualResult], "SO"),0))</f>
        <v>0-0-0</v>
      </c>
      <c r="L10" t="str">
        <f>_xlfn.CONCAT(TEXT(SUMIFS(Table2[AwayWon], Table2[GameIsOver],1,Table2[AwayTeam],$A10, Table2[HomeTeam], L$1) + SUMIFS(Table2[HomeWon_], Table2[GameIsOver],1,Table2[HomeTeam],$A10, Table2[AwayTeam], L$1),0), "-", TEXT(SUMIFS(Table2[HomeWon_], Table2[GameIsOver],1,Table2[AwayTeam],$A10, Table2[HomeTeam], L$1, Table2[ActualResult], "REG") + SUMIFS(Table2[AwayWon], Table2[GameIsOver],1,Table2[HomeTeam],$A10, Table2[AwayTeam], L$1, Table2[ActualResult], "REG"),0), "-", TEXT(SUMIFS(Table2[HomeWon_], Table2[GameIsOver],1,Table2[AwayTeam],$A10, Table2[HomeTeam], L$1, Table2[ActualResult], "OT") + SUMIFS(Table2[AwayWon], Table2[GameIsOver],1,Table2[HomeTeam],$A10, Table2[AwayTeam], L$1, Table2[ActualResult], "OT") + SUMIFS(Table2[HomeWon_], Table2[GameIsOver],1,Table2[AwayTeam],$A10, Table2[HomeTeam], L$1, Table2[ActualResult], "SO") + SUMIFS(Table2[AwayWon], Table2[GameIsOver],1,Table2[HomeTeam],$A10, Table2[AwayTeam], L$1, Table2[ActualResult], "SO"),0))</f>
        <v>0-0-0</v>
      </c>
      <c r="M10" t="str">
        <f>_xlfn.CONCAT(TEXT(SUMIFS(Table2[AwayWon], Table2[GameIsOver],1,Table2[AwayTeam],$A10, Table2[HomeTeam], M$1) + SUMIFS(Table2[HomeWon_], Table2[GameIsOver],1,Table2[HomeTeam],$A10, Table2[AwayTeam], M$1),0), "-", TEXT(SUMIFS(Table2[HomeWon_], Table2[GameIsOver],1,Table2[AwayTeam],$A10, Table2[HomeTeam], M$1, Table2[ActualResult], "REG") + SUMIFS(Table2[AwayWon], Table2[GameIsOver],1,Table2[HomeTeam],$A10, Table2[AwayTeam], M$1, Table2[ActualResult], "REG"),0), "-", TEXT(SUMIFS(Table2[HomeWon_], Table2[GameIsOver],1,Table2[AwayTeam],$A10, Table2[HomeTeam], M$1, Table2[ActualResult], "OT") + SUMIFS(Table2[AwayWon], Table2[GameIsOver],1,Table2[HomeTeam],$A10, Table2[AwayTeam], M$1, Table2[ActualResult], "OT") + SUMIFS(Table2[HomeWon_], Table2[GameIsOver],1,Table2[AwayTeam],$A10, Table2[HomeTeam], M$1, Table2[ActualResult], "SO") + SUMIFS(Table2[AwayWon], Table2[GameIsOver],1,Table2[HomeTeam],$A10, Table2[AwayTeam], M$1, Table2[ActualResult], "SO"),0))</f>
        <v>0-0-0</v>
      </c>
      <c r="N10" t="str">
        <f>_xlfn.CONCAT(TEXT(SUMIFS(Table2[AwayWon], Table2[GameIsOver],1,Table2[AwayTeam],$A10, Table2[HomeTeam], N$1) + SUMIFS(Table2[HomeWon_], Table2[GameIsOver],1,Table2[HomeTeam],$A10, Table2[AwayTeam], N$1),0), "-", TEXT(SUMIFS(Table2[HomeWon_], Table2[GameIsOver],1,Table2[AwayTeam],$A10, Table2[HomeTeam], N$1, Table2[ActualResult], "REG") + SUMIFS(Table2[AwayWon], Table2[GameIsOver],1,Table2[HomeTeam],$A10, Table2[AwayTeam], N$1, Table2[ActualResult], "REG"),0), "-", TEXT(SUMIFS(Table2[HomeWon_], Table2[GameIsOver],1,Table2[AwayTeam],$A10, Table2[HomeTeam], N$1, Table2[ActualResult], "OT") + SUMIFS(Table2[AwayWon], Table2[GameIsOver],1,Table2[HomeTeam],$A10, Table2[AwayTeam], N$1, Table2[ActualResult], "OT") + SUMIFS(Table2[HomeWon_], Table2[GameIsOver],1,Table2[AwayTeam],$A10, Table2[HomeTeam], N$1, Table2[ActualResult], "SO") + SUMIFS(Table2[AwayWon], Table2[GameIsOver],1,Table2[HomeTeam],$A10, Table2[AwayTeam], N$1, Table2[ActualResult], "SO"),0))</f>
        <v>0-0-0</v>
      </c>
      <c r="O10" t="str">
        <f>_xlfn.CONCAT(TEXT(SUMIFS(Table2[AwayWon], Table2[GameIsOver],1,Table2[AwayTeam],$A10, Table2[HomeTeam], O$1) + SUMIFS(Table2[HomeWon_], Table2[GameIsOver],1,Table2[HomeTeam],$A10, Table2[AwayTeam], O$1),0), "-", TEXT(SUMIFS(Table2[HomeWon_], Table2[GameIsOver],1,Table2[AwayTeam],$A10, Table2[HomeTeam], O$1, Table2[ActualResult], "REG") + SUMIFS(Table2[AwayWon], Table2[GameIsOver],1,Table2[HomeTeam],$A10, Table2[AwayTeam], O$1, Table2[ActualResult], "REG"),0), "-", TEXT(SUMIFS(Table2[HomeWon_], Table2[GameIsOver],1,Table2[AwayTeam],$A10, Table2[HomeTeam], O$1, Table2[ActualResult], "OT") + SUMIFS(Table2[AwayWon], Table2[GameIsOver],1,Table2[HomeTeam],$A10, Table2[AwayTeam], O$1, Table2[ActualResult], "OT") + SUMIFS(Table2[HomeWon_], Table2[GameIsOver],1,Table2[AwayTeam],$A10, Table2[HomeTeam], O$1, Table2[ActualResult], "SO") + SUMIFS(Table2[AwayWon], Table2[GameIsOver],1,Table2[HomeTeam],$A10, Table2[AwayTeam], O$1, Table2[ActualResult], "SO"),0))</f>
        <v>1-0-0</v>
      </c>
      <c r="P10" t="str">
        <f>_xlfn.CONCAT(TEXT(SUMIFS(Table2[AwayWon], Table2[GameIsOver],1,Table2[AwayTeam],$A10, Table2[HomeTeam], P$1) + SUMIFS(Table2[HomeWon_], Table2[GameIsOver],1,Table2[HomeTeam],$A10, Table2[AwayTeam], P$1),0), "-", TEXT(SUMIFS(Table2[HomeWon_], Table2[GameIsOver],1,Table2[AwayTeam],$A10, Table2[HomeTeam], P$1, Table2[ActualResult], "REG") + SUMIFS(Table2[AwayWon], Table2[GameIsOver],1,Table2[HomeTeam],$A10, Table2[AwayTeam], P$1, Table2[ActualResult], "REG"),0), "-", TEXT(SUMIFS(Table2[HomeWon_], Table2[GameIsOver],1,Table2[AwayTeam],$A10, Table2[HomeTeam], P$1, Table2[ActualResult], "OT") + SUMIFS(Table2[AwayWon], Table2[GameIsOver],1,Table2[HomeTeam],$A10, Table2[AwayTeam], P$1, Table2[ActualResult], "OT") + SUMIFS(Table2[HomeWon_], Table2[GameIsOver],1,Table2[AwayTeam],$A10, Table2[HomeTeam], P$1, Table2[ActualResult], "SO") + SUMIFS(Table2[AwayWon], Table2[GameIsOver],1,Table2[HomeTeam],$A10, Table2[AwayTeam], P$1, Table2[ActualResult], "SO"),0))</f>
        <v>1-0-0</v>
      </c>
      <c r="Q10" s="57" t="str">
        <f>_xlfn.CONCAT(TEXT(SUMIFS(Table2[AwayWon], Table2[GameIsOver],1,Table2[AwayTeam],$A10, Table2[HomeTeam], Q$1) + SUMIFS(Table2[HomeWon_], Table2[GameIsOver],1,Table2[HomeTeam],$A10, Table2[AwayTeam], Q$1),0), "-", TEXT(SUMIFS(Table2[HomeWon_], Table2[GameIsOver],1,Table2[AwayTeam],$A10, Table2[HomeTeam], Q$1, Table2[ActualResult], "REG") + SUMIFS(Table2[AwayWon], Table2[GameIsOver],1,Table2[HomeTeam],$A10, Table2[AwayTeam], Q$1, Table2[ActualResult], "REG"),0), "-", TEXT(SUMIFS(Table2[HomeWon_], Table2[GameIsOver],1,Table2[AwayTeam],$A10, Table2[HomeTeam], Q$1, Table2[ActualResult], "OT") + SUMIFS(Table2[AwayWon], Table2[GameIsOver],1,Table2[HomeTeam],$A10, Table2[AwayTeam], Q$1, Table2[ActualResult], "OT") + SUMIFS(Table2[HomeWon_], Table2[GameIsOver],1,Table2[AwayTeam],$A10, Table2[HomeTeam], Q$1, Table2[ActualResult], "SO") + SUMIFS(Table2[AwayWon], Table2[GameIsOver],1,Table2[HomeTeam],$A10, Table2[AwayTeam], Q$1, Table2[ActualResult], "SO"),0))</f>
        <v>0-0-0</v>
      </c>
      <c r="R10" t="str">
        <f>_xlfn.CONCAT(TEXT(SUMIFS(Table2[AwayWon], Table2[GameIsOver],1,Table2[AwayTeam],$A10, Table2[HomeTeam], R$1) + SUMIFS(Table2[HomeWon_], Table2[GameIsOver],1,Table2[HomeTeam],$A10, Table2[AwayTeam], R$1),0), "-", TEXT(SUMIFS(Table2[HomeWon_], Table2[GameIsOver],1,Table2[AwayTeam],$A10, Table2[HomeTeam], R$1, Table2[ActualResult], "REG") + SUMIFS(Table2[AwayWon], Table2[GameIsOver],1,Table2[HomeTeam],$A10, Table2[AwayTeam], R$1, Table2[ActualResult], "REG"),0), "-", TEXT(SUMIFS(Table2[HomeWon_], Table2[GameIsOver],1,Table2[AwayTeam],$A10, Table2[HomeTeam], R$1, Table2[ActualResult], "OT") + SUMIFS(Table2[AwayWon], Table2[GameIsOver],1,Table2[HomeTeam],$A10, Table2[AwayTeam], R$1, Table2[ActualResult], "OT") + SUMIFS(Table2[HomeWon_], Table2[GameIsOver],1,Table2[AwayTeam],$A10, Table2[HomeTeam], R$1, Table2[ActualResult], "SO") + SUMIFS(Table2[AwayWon], Table2[GameIsOver],1,Table2[HomeTeam],$A10, Table2[AwayTeam], R$1, Table2[ActualResult], "SO"),0))</f>
        <v>0-0-0</v>
      </c>
      <c r="S10" t="str">
        <f>_xlfn.CONCAT(TEXT(SUMIFS(Table2[AwayWon], Table2[GameIsOver],1,Table2[AwayTeam],$A10, Table2[HomeTeam], S$1) + SUMIFS(Table2[HomeWon_], Table2[GameIsOver],1,Table2[HomeTeam],$A10, Table2[AwayTeam], S$1),0), "-", TEXT(SUMIFS(Table2[HomeWon_], Table2[GameIsOver],1,Table2[AwayTeam],$A10, Table2[HomeTeam], S$1, Table2[ActualResult], "REG") + SUMIFS(Table2[AwayWon], Table2[GameIsOver],1,Table2[HomeTeam],$A10, Table2[AwayTeam], S$1, Table2[ActualResult], "REG"),0), "-", TEXT(SUMIFS(Table2[HomeWon_], Table2[GameIsOver],1,Table2[AwayTeam],$A10, Table2[HomeTeam], S$1, Table2[ActualResult], "OT") + SUMIFS(Table2[AwayWon], Table2[GameIsOver],1,Table2[HomeTeam],$A10, Table2[AwayTeam], S$1, Table2[ActualResult], "OT") + SUMIFS(Table2[HomeWon_], Table2[GameIsOver],1,Table2[AwayTeam],$A10, Table2[HomeTeam], S$1, Table2[ActualResult], "SO") + SUMIFS(Table2[AwayWon], Table2[GameIsOver],1,Table2[HomeTeam],$A10, Table2[AwayTeam], S$1, Table2[ActualResult], "SO"),0))</f>
        <v>0-0-0</v>
      </c>
      <c r="T10" t="str">
        <f>_xlfn.CONCAT(TEXT(SUMIFS(Table2[AwayWon], Table2[GameIsOver],1,Table2[AwayTeam],$A10, Table2[HomeTeam], T$1) + SUMIFS(Table2[HomeWon_], Table2[GameIsOver],1,Table2[HomeTeam],$A10, Table2[AwayTeam], T$1),0), "-", TEXT(SUMIFS(Table2[HomeWon_], Table2[GameIsOver],1,Table2[AwayTeam],$A10, Table2[HomeTeam], T$1, Table2[ActualResult], "REG") + SUMIFS(Table2[AwayWon], Table2[GameIsOver],1,Table2[HomeTeam],$A10, Table2[AwayTeam], T$1, Table2[ActualResult], "REG"),0), "-", TEXT(SUMIFS(Table2[HomeWon_], Table2[GameIsOver],1,Table2[AwayTeam],$A10, Table2[HomeTeam], T$1, Table2[ActualResult], "OT") + SUMIFS(Table2[AwayWon], Table2[GameIsOver],1,Table2[HomeTeam],$A10, Table2[AwayTeam], T$1, Table2[ActualResult], "OT") + SUMIFS(Table2[HomeWon_], Table2[GameIsOver],1,Table2[AwayTeam],$A10, Table2[HomeTeam], T$1, Table2[ActualResult], "SO") + SUMIFS(Table2[AwayWon], Table2[GameIsOver],1,Table2[HomeTeam],$A10, Table2[AwayTeam], T$1, Table2[ActualResult], "SO"),0))</f>
        <v>0-0-0</v>
      </c>
      <c r="U10" t="str">
        <f>_xlfn.CONCAT(TEXT(SUMIFS(Table2[AwayWon], Table2[GameIsOver],1,Table2[AwayTeam],$A10, Table2[HomeTeam], U$1) + SUMIFS(Table2[HomeWon_], Table2[GameIsOver],1,Table2[HomeTeam],$A10, Table2[AwayTeam], U$1),0), "-", TEXT(SUMIFS(Table2[HomeWon_], Table2[GameIsOver],1,Table2[AwayTeam],$A10, Table2[HomeTeam], U$1, Table2[ActualResult], "REG") + SUMIFS(Table2[AwayWon], Table2[GameIsOver],1,Table2[HomeTeam],$A10, Table2[AwayTeam], U$1, Table2[ActualResult], "REG"),0), "-", TEXT(SUMIFS(Table2[HomeWon_], Table2[GameIsOver],1,Table2[AwayTeam],$A10, Table2[HomeTeam], U$1, Table2[ActualResult], "OT") + SUMIFS(Table2[AwayWon], Table2[GameIsOver],1,Table2[HomeTeam],$A10, Table2[AwayTeam], U$1, Table2[ActualResult], "OT") + SUMIFS(Table2[HomeWon_], Table2[GameIsOver],1,Table2[AwayTeam],$A10, Table2[HomeTeam], U$1, Table2[ActualResult], "SO") + SUMIFS(Table2[AwayWon], Table2[GameIsOver],1,Table2[HomeTeam],$A10, Table2[AwayTeam], U$1, Table2[ActualResult], "SO"),0))</f>
        <v>0-0-0</v>
      </c>
      <c r="V10" t="str">
        <f>_xlfn.CONCAT(TEXT(SUMIFS(Table2[AwayWon], Table2[GameIsOver],1,Table2[AwayTeam],$A10, Table2[HomeTeam], V$1) + SUMIFS(Table2[HomeWon_], Table2[GameIsOver],1,Table2[HomeTeam],$A10, Table2[AwayTeam], V$1),0), "-", TEXT(SUMIFS(Table2[HomeWon_], Table2[GameIsOver],1,Table2[AwayTeam],$A10, Table2[HomeTeam], V$1, Table2[ActualResult], "REG") + SUMIFS(Table2[AwayWon], Table2[GameIsOver],1,Table2[HomeTeam],$A10, Table2[AwayTeam], V$1, Table2[ActualResult], "REG"),0), "-", TEXT(SUMIFS(Table2[HomeWon_], Table2[GameIsOver],1,Table2[AwayTeam],$A10, Table2[HomeTeam], V$1, Table2[ActualResult], "OT") + SUMIFS(Table2[AwayWon], Table2[GameIsOver],1,Table2[HomeTeam],$A10, Table2[AwayTeam], V$1, Table2[ActualResult], "OT") + SUMIFS(Table2[HomeWon_], Table2[GameIsOver],1,Table2[AwayTeam],$A10, Table2[HomeTeam], V$1, Table2[ActualResult], "SO") + SUMIFS(Table2[AwayWon], Table2[GameIsOver],1,Table2[HomeTeam],$A10, Table2[AwayTeam], V$1, Table2[ActualResult], "SO"),0))</f>
        <v>0-0-0</v>
      </c>
      <c r="W10" t="str">
        <f>_xlfn.CONCAT(TEXT(SUMIFS(Table2[AwayWon], Table2[GameIsOver],1,Table2[AwayTeam],$A10, Table2[HomeTeam], W$1) + SUMIFS(Table2[HomeWon_], Table2[GameIsOver],1,Table2[HomeTeam],$A10, Table2[AwayTeam], W$1),0), "-", TEXT(SUMIFS(Table2[HomeWon_], Table2[GameIsOver],1,Table2[AwayTeam],$A10, Table2[HomeTeam], W$1, Table2[ActualResult], "REG") + SUMIFS(Table2[AwayWon], Table2[GameIsOver],1,Table2[HomeTeam],$A10, Table2[AwayTeam], W$1, Table2[ActualResult], "REG"),0), "-", TEXT(SUMIFS(Table2[HomeWon_], Table2[GameIsOver],1,Table2[AwayTeam],$A10, Table2[HomeTeam], W$1, Table2[ActualResult], "OT") + SUMIFS(Table2[AwayWon], Table2[GameIsOver],1,Table2[HomeTeam],$A10, Table2[AwayTeam], W$1, Table2[ActualResult], "OT") + SUMIFS(Table2[HomeWon_], Table2[GameIsOver],1,Table2[AwayTeam],$A10, Table2[HomeTeam], W$1, Table2[ActualResult], "SO") + SUMIFS(Table2[AwayWon], Table2[GameIsOver],1,Table2[HomeTeam],$A10, Table2[AwayTeam], W$1, Table2[ActualResult], "SO"),0))</f>
        <v>0-0-0</v>
      </c>
      <c r="X10" t="str">
        <f>_xlfn.CONCAT(TEXT(SUMIFS(Table2[AwayWon], Table2[GameIsOver],1,Table2[AwayTeam],$A10, Table2[HomeTeam], X$1) + SUMIFS(Table2[HomeWon_], Table2[GameIsOver],1,Table2[HomeTeam],$A10, Table2[AwayTeam], X$1),0), "-", TEXT(SUMIFS(Table2[HomeWon_], Table2[GameIsOver],1,Table2[AwayTeam],$A10, Table2[HomeTeam], X$1, Table2[ActualResult], "REG") + SUMIFS(Table2[AwayWon], Table2[GameIsOver],1,Table2[HomeTeam],$A10, Table2[AwayTeam], X$1, Table2[ActualResult], "REG"),0), "-", TEXT(SUMIFS(Table2[HomeWon_], Table2[GameIsOver],1,Table2[AwayTeam],$A10, Table2[HomeTeam], X$1, Table2[ActualResult], "OT") + SUMIFS(Table2[AwayWon], Table2[GameIsOver],1,Table2[HomeTeam],$A10, Table2[AwayTeam], X$1, Table2[ActualResult], "OT") + SUMIFS(Table2[HomeWon_], Table2[GameIsOver],1,Table2[AwayTeam],$A10, Table2[HomeTeam], X$1, Table2[ActualResult], "SO") + SUMIFS(Table2[AwayWon], Table2[GameIsOver],1,Table2[HomeTeam],$A10, Table2[AwayTeam], X$1, Table2[ActualResult], "SO"),0))</f>
        <v>0-0-0</v>
      </c>
      <c r="Y10" s="57" t="str">
        <f>_xlfn.CONCAT(TEXT(SUMIFS(Table2[AwayWon], Table2[GameIsOver],1,Table2[AwayTeam],$A10, Table2[HomeTeam], Y$1) + SUMIFS(Table2[HomeWon_], Table2[GameIsOver],1,Table2[HomeTeam],$A10, Table2[AwayTeam], Y$1),0), "-", TEXT(SUMIFS(Table2[HomeWon_], Table2[GameIsOver],1,Table2[AwayTeam],$A10, Table2[HomeTeam], Y$1, Table2[ActualResult], "REG") + SUMIFS(Table2[AwayWon], Table2[GameIsOver],1,Table2[HomeTeam],$A10, Table2[AwayTeam], Y$1, Table2[ActualResult], "REG"),0), "-", TEXT(SUMIFS(Table2[HomeWon_], Table2[GameIsOver],1,Table2[AwayTeam],$A10, Table2[HomeTeam], Y$1, Table2[ActualResult], "OT") + SUMIFS(Table2[AwayWon], Table2[GameIsOver],1,Table2[HomeTeam],$A10, Table2[AwayTeam], Y$1, Table2[ActualResult], "OT") + SUMIFS(Table2[HomeWon_], Table2[GameIsOver],1,Table2[AwayTeam],$A10, Table2[HomeTeam], Y$1, Table2[ActualResult], "SO") + SUMIFS(Table2[AwayWon], Table2[GameIsOver],1,Table2[HomeTeam],$A10, Table2[AwayTeam], Y$1, Table2[ActualResult], "SO"),0))</f>
        <v>0-0-0</v>
      </c>
      <c r="Z10" t="str">
        <f>_xlfn.CONCAT(TEXT(SUMIFS(Table2[AwayWon], Table2[GameIsOver],1,Table2[AwayTeam],$A10, Table2[HomeTeam], Z$1) + SUMIFS(Table2[HomeWon_], Table2[GameIsOver],1,Table2[HomeTeam],$A10, Table2[AwayTeam], Z$1),0), "-", TEXT(SUMIFS(Table2[HomeWon_], Table2[GameIsOver],1,Table2[AwayTeam],$A10, Table2[HomeTeam], Z$1, Table2[ActualResult], "REG") + SUMIFS(Table2[AwayWon], Table2[GameIsOver],1,Table2[HomeTeam],$A10, Table2[AwayTeam], Z$1, Table2[ActualResult], "REG"),0), "-", TEXT(SUMIFS(Table2[HomeWon_], Table2[GameIsOver],1,Table2[AwayTeam],$A10, Table2[HomeTeam], Z$1, Table2[ActualResult], "OT") + SUMIFS(Table2[AwayWon], Table2[GameIsOver],1,Table2[HomeTeam],$A10, Table2[AwayTeam], Z$1, Table2[ActualResult], "OT") + SUMIFS(Table2[HomeWon_], Table2[GameIsOver],1,Table2[AwayTeam],$A10, Table2[HomeTeam], Z$1, Table2[ActualResult], "SO") + SUMIFS(Table2[AwayWon], Table2[GameIsOver],1,Table2[HomeTeam],$A10, Table2[AwayTeam], Z$1, Table2[ActualResult], "SO"),0))</f>
        <v>0-0-1</v>
      </c>
      <c r="AA10" t="str">
        <f>_xlfn.CONCAT(TEXT(SUMIFS(Table2[AwayWon], Table2[GameIsOver],1,Table2[AwayTeam],$A10, Table2[HomeTeam], AA$1) + SUMIFS(Table2[HomeWon_], Table2[GameIsOver],1,Table2[HomeTeam],$A10, Table2[AwayTeam], AA$1),0), "-", TEXT(SUMIFS(Table2[HomeWon_], Table2[GameIsOver],1,Table2[AwayTeam],$A10, Table2[HomeTeam], AA$1, Table2[ActualResult], "REG") + SUMIFS(Table2[AwayWon], Table2[GameIsOver],1,Table2[HomeTeam],$A10, Table2[AwayTeam], AA$1, Table2[ActualResult], "REG"),0), "-", TEXT(SUMIFS(Table2[HomeWon_], Table2[GameIsOver],1,Table2[AwayTeam],$A10, Table2[HomeTeam], AA$1, Table2[ActualResult], "OT") + SUMIFS(Table2[AwayWon], Table2[GameIsOver],1,Table2[HomeTeam],$A10, Table2[AwayTeam], AA$1, Table2[ActualResult], "OT") + SUMIFS(Table2[HomeWon_], Table2[GameIsOver],1,Table2[AwayTeam],$A10, Table2[HomeTeam], AA$1, Table2[ActualResult], "SO") + SUMIFS(Table2[AwayWon], Table2[GameIsOver],1,Table2[HomeTeam],$A10, Table2[AwayTeam], AA$1, Table2[ActualResult], "SO"),0))</f>
        <v>0-0-0</v>
      </c>
      <c r="AB10" t="str">
        <f>_xlfn.CONCAT(TEXT(SUMIFS(Table2[AwayWon], Table2[GameIsOver],1,Table2[AwayTeam],$A10, Table2[HomeTeam], AB$1) + SUMIFS(Table2[HomeWon_], Table2[GameIsOver],1,Table2[HomeTeam],$A10, Table2[AwayTeam], AB$1),0), "-", TEXT(SUMIFS(Table2[HomeWon_], Table2[GameIsOver],1,Table2[AwayTeam],$A10, Table2[HomeTeam], AB$1, Table2[ActualResult], "REG") + SUMIFS(Table2[AwayWon], Table2[GameIsOver],1,Table2[HomeTeam],$A10, Table2[AwayTeam], AB$1, Table2[ActualResult], "REG"),0), "-", TEXT(SUMIFS(Table2[HomeWon_], Table2[GameIsOver],1,Table2[AwayTeam],$A10, Table2[HomeTeam], AB$1, Table2[ActualResult], "OT") + SUMIFS(Table2[AwayWon], Table2[GameIsOver],1,Table2[HomeTeam],$A10, Table2[AwayTeam], AB$1, Table2[ActualResult], "OT") + SUMIFS(Table2[HomeWon_], Table2[GameIsOver],1,Table2[AwayTeam],$A10, Table2[HomeTeam], AB$1, Table2[ActualResult], "SO") + SUMIFS(Table2[AwayWon], Table2[GameIsOver],1,Table2[HomeTeam],$A10, Table2[AwayTeam], AB$1, Table2[ActualResult], "SO"),0))</f>
        <v>0-0-0</v>
      </c>
      <c r="AC10" t="str">
        <f>_xlfn.CONCAT(TEXT(SUMIFS(Table2[AwayWon], Table2[GameIsOver],1,Table2[AwayTeam],$A10, Table2[HomeTeam], AC$1) + SUMIFS(Table2[HomeWon_], Table2[GameIsOver],1,Table2[HomeTeam],$A10, Table2[AwayTeam], AC$1),0), "-", TEXT(SUMIFS(Table2[HomeWon_], Table2[GameIsOver],1,Table2[AwayTeam],$A10, Table2[HomeTeam], AC$1, Table2[ActualResult], "REG") + SUMIFS(Table2[AwayWon], Table2[GameIsOver],1,Table2[HomeTeam],$A10, Table2[AwayTeam], AC$1, Table2[ActualResult], "REG"),0), "-", TEXT(SUMIFS(Table2[HomeWon_], Table2[GameIsOver],1,Table2[AwayTeam],$A10, Table2[HomeTeam], AC$1, Table2[ActualResult], "OT") + SUMIFS(Table2[AwayWon], Table2[GameIsOver],1,Table2[HomeTeam],$A10, Table2[AwayTeam], AC$1, Table2[ActualResult], "OT") + SUMIFS(Table2[HomeWon_], Table2[GameIsOver],1,Table2[AwayTeam],$A10, Table2[HomeTeam], AC$1, Table2[ActualResult], "SO") + SUMIFS(Table2[AwayWon], Table2[GameIsOver],1,Table2[HomeTeam],$A10, Table2[AwayTeam], AC$1, Table2[ActualResult], "SO"),0))</f>
        <v>0-1-0</v>
      </c>
      <c r="AD10" t="str">
        <f>_xlfn.CONCAT(TEXT(SUMIFS(Table2[AwayWon], Table2[GameIsOver],1,Table2[AwayTeam],$A10, Table2[HomeTeam], AD$1) + SUMIFS(Table2[HomeWon_], Table2[GameIsOver],1,Table2[HomeTeam],$A10, Table2[AwayTeam], AD$1),0), "-", TEXT(SUMIFS(Table2[HomeWon_], Table2[GameIsOver],1,Table2[AwayTeam],$A10, Table2[HomeTeam], AD$1, Table2[ActualResult], "REG") + SUMIFS(Table2[AwayWon], Table2[GameIsOver],1,Table2[HomeTeam],$A10, Table2[AwayTeam], AD$1, Table2[ActualResult], "REG"),0), "-", TEXT(SUMIFS(Table2[HomeWon_], Table2[GameIsOver],1,Table2[AwayTeam],$A10, Table2[HomeTeam], AD$1, Table2[ActualResult], "OT") + SUMIFS(Table2[AwayWon], Table2[GameIsOver],1,Table2[HomeTeam],$A10, Table2[AwayTeam], AD$1, Table2[ActualResult], "OT") + SUMIFS(Table2[HomeWon_], Table2[GameIsOver],1,Table2[AwayTeam],$A10, Table2[HomeTeam], AD$1, Table2[ActualResult], "SO") + SUMIFS(Table2[AwayWon], Table2[GameIsOver],1,Table2[HomeTeam],$A10, Table2[AwayTeam], AD$1, Table2[ActualResult], "SO"),0))</f>
        <v>0-1-0</v>
      </c>
      <c r="AE10" t="str">
        <f>_xlfn.CONCAT(TEXT(SUMIFS(Table2[AwayWon], Table2[GameIsOver],1,Table2[AwayTeam],$A10, Table2[HomeTeam], AE$1) + SUMIFS(Table2[HomeWon_], Table2[GameIsOver],1,Table2[HomeTeam],$A10, Table2[AwayTeam], AE$1),0), "-", TEXT(SUMIFS(Table2[HomeWon_], Table2[GameIsOver],1,Table2[AwayTeam],$A10, Table2[HomeTeam], AE$1, Table2[ActualResult], "REG") + SUMIFS(Table2[AwayWon], Table2[GameIsOver],1,Table2[HomeTeam],$A10, Table2[AwayTeam], AE$1, Table2[ActualResult], "REG"),0), "-", TEXT(SUMIFS(Table2[HomeWon_], Table2[GameIsOver],1,Table2[AwayTeam],$A10, Table2[HomeTeam], AE$1, Table2[ActualResult], "OT") + SUMIFS(Table2[AwayWon], Table2[GameIsOver],1,Table2[HomeTeam],$A10, Table2[AwayTeam], AE$1, Table2[ActualResult], "OT") + SUMIFS(Table2[HomeWon_], Table2[GameIsOver],1,Table2[AwayTeam],$A10, Table2[HomeTeam], AE$1, Table2[ActualResult], "SO") + SUMIFS(Table2[AwayWon], Table2[GameIsOver],1,Table2[HomeTeam],$A10, Table2[AwayTeam], AE$1, Table2[ActualResult], "SO"),0))</f>
        <v>0-0-0</v>
      </c>
      <c r="AF10" t="str">
        <f>_xlfn.CONCAT(TEXT(SUMIFS(Table2[AwayWon], Table2[GameIsOver],1,Table2[AwayTeam],$A10, Table2[HomeTeam], AF$1) + SUMIFS(Table2[HomeWon_], Table2[GameIsOver],1,Table2[HomeTeam],$A10, Table2[AwayTeam], AF$1),0), "-", TEXT(SUMIFS(Table2[HomeWon_], Table2[GameIsOver],1,Table2[AwayTeam],$A10, Table2[HomeTeam], AF$1, Table2[ActualResult], "REG") + SUMIFS(Table2[AwayWon], Table2[GameIsOver],1,Table2[HomeTeam],$A10, Table2[AwayTeam], AF$1, Table2[ActualResult], "REG"),0), "-", TEXT(SUMIFS(Table2[HomeWon_], Table2[GameIsOver],1,Table2[AwayTeam],$A10, Table2[HomeTeam], AF$1, Table2[ActualResult], "OT") + SUMIFS(Table2[AwayWon], Table2[GameIsOver],1,Table2[HomeTeam],$A10, Table2[AwayTeam], AF$1, Table2[ActualResult], "OT") + SUMIFS(Table2[HomeWon_], Table2[GameIsOver],1,Table2[AwayTeam],$A10, Table2[HomeTeam], AF$1, Table2[ActualResult], "SO") + SUMIFS(Table2[AwayWon], Table2[GameIsOver],1,Table2[HomeTeam],$A10, Table2[AwayTeam], AF$1, Table2[ActualResult], "SO"),0))</f>
        <v>0-0-0</v>
      </c>
      <c r="AG10" t="str">
        <f>_xlfn.CONCAT(TEXT(SUMIFS(Table2[AwayWon], Table2[GameIsOver],1,Table2[AwayTeam],$A10, Table2[HomeTeam], AG$1) + SUMIFS(Table2[HomeWon_], Table2[GameIsOver],1,Table2[HomeTeam],$A10, Table2[AwayTeam], AG$1),0), "-", TEXT(SUMIFS(Table2[HomeWon_], Table2[GameIsOver],1,Table2[AwayTeam],$A10, Table2[HomeTeam], AG$1, Table2[ActualResult], "REG") + SUMIFS(Table2[AwayWon], Table2[GameIsOver],1,Table2[HomeTeam],$A10, Table2[AwayTeam], AG$1, Table2[ActualResult], "REG"),0), "-", TEXT(SUMIFS(Table2[HomeWon_], Table2[GameIsOver],1,Table2[AwayTeam],$A10, Table2[HomeTeam], AG$1, Table2[ActualResult], "OT") + SUMIFS(Table2[AwayWon], Table2[GameIsOver],1,Table2[HomeTeam],$A10, Table2[AwayTeam], AG$1, Table2[ActualResult], "OT") + SUMIFS(Table2[HomeWon_], Table2[GameIsOver],1,Table2[AwayTeam],$A10, Table2[HomeTeam], AG$1, Table2[ActualResult], "SO") + SUMIFS(Table2[AwayWon], Table2[GameIsOver],1,Table2[HomeTeam],$A10, Table2[AwayTeam], AG$1, Table2[ActualResult], "SO"),0))</f>
        <v>0-0-0</v>
      </c>
    </row>
    <row r="11" spans="1:33" x14ac:dyDescent="0.25">
      <c r="A11" s="57" t="s">
        <v>25</v>
      </c>
      <c r="B11" t="str">
        <f>_xlfn.CONCAT(TEXT(SUMIFS(Table2[AwayWon], Table2[GameIsOver],1,Table2[AwayTeam],$A11, Table2[HomeTeam], B$1) + SUMIFS(Table2[HomeWon_], Table2[GameIsOver],1,Table2[HomeTeam],$A11, Table2[AwayTeam], B$1),0), "-", TEXT(SUMIFS(Table2[HomeWon_], Table2[GameIsOver],1,Table2[AwayTeam],$A11, Table2[HomeTeam], B$1, Table2[ActualResult], "REG") + SUMIFS(Table2[AwayWon], Table2[GameIsOver],1,Table2[HomeTeam],$A11, Table2[AwayTeam], B$1, Table2[ActualResult], "REG"),0), "-", TEXT(SUMIFS(Table2[HomeWon_], Table2[GameIsOver],1,Table2[AwayTeam],$A11, Table2[HomeTeam], B$1, Table2[ActualResult], "OT") + SUMIFS(Table2[AwayWon], Table2[GameIsOver],1,Table2[HomeTeam],$A11, Table2[AwayTeam], B$1, Table2[ActualResult], "OT") + SUMIFS(Table2[HomeWon_], Table2[GameIsOver],1,Table2[AwayTeam],$A11, Table2[HomeTeam], B$1, Table2[ActualResult], "SO") + SUMIFS(Table2[AwayWon], Table2[GameIsOver],1,Table2[HomeTeam],$A11, Table2[AwayTeam], B$1, Table2[ActualResult], "SO"),0))</f>
        <v>0-0-0</v>
      </c>
      <c r="C11" t="str">
        <f>_xlfn.CONCAT(TEXT(SUMIFS(Table2[AwayWon], Table2[GameIsOver],1,Table2[AwayTeam],$A11, Table2[HomeTeam], C$1) + SUMIFS(Table2[HomeWon_], Table2[GameIsOver],1,Table2[HomeTeam],$A11, Table2[AwayTeam], C$1),0), "-", TEXT(SUMIFS(Table2[HomeWon_], Table2[GameIsOver],1,Table2[AwayTeam],$A11, Table2[HomeTeam], C$1, Table2[ActualResult], "REG") + SUMIFS(Table2[AwayWon], Table2[GameIsOver],1,Table2[HomeTeam],$A11, Table2[AwayTeam], C$1, Table2[ActualResult], "REG"),0), "-", TEXT(SUMIFS(Table2[HomeWon_], Table2[GameIsOver],1,Table2[AwayTeam],$A11, Table2[HomeTeam], C$1, Table2[ActualResult], "OT") + SUMIFS(Table2[AwayWon], Table2[GameIsOver],1,Table2[HomeTeam],$A11, Table2[AwayTeam], C$1, Table2[ActualResult], "OT") + SUMIFS(Table2[HomeWon_], Table2[GameIsOver],1,Table2[AwayTeam],$A11, Table2[HomeTeam], C$1, Table2[ActualResult], "SO") + SUMIFS(Table2[AwayWon], Table2[GameIsOver],1,Table2[HomeTeam],$A11, Table2[AwayTeam], C$1, Table2[ActualResult], "SO"),0))</f>
        <v>0-0-0</v>
      </c>
      <c r="D11" t="str">
        <f>_xlfn.CONCAT(TEXT(SUMIFS(Table2[AwayWon], Table2[GameIsOver],1,Table2[AwayTeam],$A11, Table2[HomeTeam], D$1) + SUMIFS(Table2[HomeWon_], Table2[GameIsOver],1,Table2[HomeTeam],$A11, Table2[AwayTeam], D$1),0), "-", TEXT(SUMIFS(Table2[HomeWon_], Table2[GameIsOver],1,Table2[AwayTeam],$A11, Table2[HomeTeam], D$1, Table2[ActualResult], "REG") + SUMIFS(Table2[AwayWon], Table2[GameIsOver],1,Table2[HomeTeam],$A11, Table2[AwayTeam], D$1, Table2[ActualResult], "REG"),0), "-", TEXT(SUMIFS(Table2[HomeWon_], Table2[GameIsOver],1,Table2[AwayTeam],$A11, Table2[HomeTeam], D$1, Table2[ActualResult], "OT") + SUMIFS(Table2[AwayWon], Table2[GameIsOver],1,Table2[HomeTeam],$A11, Table2[AwayTeam], D$1, Table2[ActualResult], "OT") + SUMIFS(Table2[HomeWon_], Table2[GameIsOver],1,Table2[AwayTeam],$A11, Table2[HomeTeam], D$1, Table2[ActualResult], "SO") + SUMIFS(Table2[AwayWon], Table2[GameIsOver],1,Table2[HomeTeam],$A11, Table2[AwayTeam], D$1, Table2[ActualResult], "SO"),0))</f>
        <v>0-0-0</v>
      </c>
      <c r="E11" t="str">
        <f>_xlfn.CONCAT(TEXT(SUMIFS(Table2[AwayWon], Table2[GameIsOver],1,Table2[AwayTeam],$A11, Table2[HomeTeam], E$1) + SUMIFS(Table2[HomeWon_], Table2[GameIsOver],1,Table2[HomeTeam],$A11, Table2[AwayTeam], E$1),0), "-", TEXT(SUMIFS(Table2[HomeWon_], Table2[GameIsOver],1,Table2[AwayTeam],$A11, Table2[HomeTeam], E$1, Table2[ActualResult], "REG") + SUMIFS(Table2[AwayWon], Table2[GameIsOver],1,Table2[HomeTeam],$A11, Table2[AwayTeam], E$1, Table2[ActualResult], "REG"),0), "-", TEXT(SUMIFS(Table2[HomeWon_], Table2[GameIsOver],1,Table2[AwayTeam],$A11, Table2[HomeTeam], E$1, Table2[ActualResult], "OT") + SUMIFS(Table2[AwayWon], Table2[GameIsOver],1,Table2[HomeTeam],$A11, Table2[AwayTeam], E$1, Table2[ActualResult], "OT") + SUMIFS(Table2[HomeWon_], Table2[GameIsOver],1,Table2[AwayTeam],$A11, Table2[HomeTeam], E$1, Table2[ActualResult], "SO") + SUMIFS(Table2[AwayWon], Table2[GameIsOver],1,Table2[HomeTeam],$A11, Table2[AwayTeam], E$1, Table2[ActualResult], "SO"),0))</f>
        <v>1-0-0</v>
      </c>
      <c r="F11" t="str">
        <f>_xlfn.CONCAT(TEXT(SUMIFS(Table2[AwayWon], Table2[GameIsOver],1,Table2[AwayTeam],$A11, Table2[HomeTeam], F$1) + SUMIFS(Table2[HomeWon_], Table2[GameIsOver],1,Table2[HomeTeam],$A11, Table2[AwayTeam], F$1),0), "-", TEXT(SUMIFS(Table2[HomeWon_], Table2[GameIsOver],1,Table2[AwayTeam],$A11, Table2[HomeTeam], F$1, Table2[ActualResult], "REG") + SUMIFS(Table2[AwayWon], Table2[GameIsOver],1,Table2[HomeTeam],$A11, Table2[AwayTeam], F$1, Table2[ActualResult], "REG"),0), "-", TEXT(SUMIFS(Table2[HomeWon_], Table2[GameIsOver],1,Table2[AwayTeam],$A11, Table2[HomeTeam], F$1, Table2[ActualResult], "OT") + SUMIFS(Table2[AwayWon], Table2[GameIsOver],1,Table2[HomeTeam],$A11, Table2[AwayTeam], F$1, Table2[ActualResult], "OT") + SUMIFS(Table2[HomeWon_], Table2[GameIsOver],1,Table2[AwayTeam],$A11, Table2[HomeTeam], F$1, Table2[ActualResult], "SO") + SUMIFS(Table2[AwayWon], Table2[GameIsOver],1,Table2[HomeTeam],$A11, Table2[AwayTeam], F$1, Table2[ActualResult], "SO"),0))</f>
        <v>0-0-0</v>
      </c>
      <c r="G11" t="str">
        <f>_xlfn.CONCAT(TEXT(SUMIFS(Table2[AwayWon], Table2[GameIsOver],1,Table2[AwayTeam],$A11, Table2[HomeTeam], G$1) + SUMIFS(Table2[HomeWon_], Table2[GameIsOver],1,Table2[HomeTeam],$A11, Table2[AwayTeam], G$1),0), "-", TEXT(SUMIFS(Table2[HomeWon_], Table2[GameIsOver],1,Table2[AwayTeam],$A11, Table2[HomeTeam], G$1, Table2[ActualResult], "REG") + SUMIFS(Table2[AwayWon], Table2[GameIsOver],1,Table2[HomeTeam],$A11, Table2[AwayTeam], G$1, Table2[ActualResult], "REG"),0), "-", TEXT(SUMIFS(Table2[HomeWon_], Table2[GameIsOver],1,Table2[AwayTeam],$A11, Table2[HomeTeam], G$1, Table2[ActualResult], "OT") + SUMIFS(Table2[AwayWon], Table2[GameIsOver],1,Table2[HomeTeam],$A11, Table2[AwayTeam], G$1, Table2[ActualResult], "OT") + SUMIFS(Table2[HomeWon_], Table2[GameIsOver],1,Table2[AwayTeam],$A11, Table2[HomeTeam], G$1, Table2[ActualResult], "SO") + SUMIFS(Table2[AwayWon], Table2[GameIsOver],1,Table2[HomeTeam],$A11, Table2[AwayTeam], G$1, Table2[ActualResult], "SO"),0))</f>
        <v>0-0-0</v>
      </c>
      <c r="H11" t="str">
        <f>_xlfn.CONCAT(TEXT(SUMIFS(Table2[AwayWon], Table2[GameIsOver],1,Table2[AwayTeam],$A11, Table2[HomeTeam], H$1) + SUMIFS(Table2[HomeWon_], Table2[GameIsOver],1,Table2[HomeTeam],$A11, Table2[AwayTeam], H$1),0), "-", TEXT(SUMIFS(Table2[HomeWon_], Table2[GameIsOver],1,Table2[AwayTeam],$A11, Table2[HomeTeam], H$1, Table2[ActualResult], "REG") + SUMIFS(Table2[AwayWon], Table2[GameIsOver],1,Table2[HomeTeam],$A11, Table2[AwayTeam], H$1, Table2[ActualResult], "REG"),0), "-", TEXT(SUMIFS(Table2[HomeWon_], Table2[GameIsOver],1,Table2[AwayTeam],$A11, Table2[HomeTeam], H$1, Table2[ActualResult], "OT") + SUMIFS(Table2[AwayWon], Table2[GameIsOver],1,Table2[HomeTeam],$A11, Table2[AwayTeam], H$1, Table2[ActualResult], "OT") + SUMIFS(Table2[HomeWon_], Table2[GameIsOver],1,Table2[AwayTeam],$A11, Table2[HomeTeam], H$1, Table2[ActualResult], "SO") + SUMIFS(Table2[AwayWon], Table2[GameIsOver],1,Table2[HomeTeam],$A11, Table2[AwayTeam], H$1, Table2[ActualResult], "SO"),0))</f>
        <v>0-0-0</v>
      </c>
      <c r="I11" s="57" t="str">
        <f>_xlfn.CONCAT(TEXT(SUMIFS(Table2[AwayWon], Table2[GameIsOver],1,Table2[AwayTeam],$A11, Table2[HomeTeam], I$1) + SUMIFS(Table2[HomeWon_], Table2[GameIsOver],1,Table2[HomeTeam],$A11, Table2[AwayTeam], I$1),0), "-", TEXT(SUMIFS(Table2[HomeWon_], Table2[GameIsOver],1,Table2[AwayTeam],$A11, Table2[HomeTeam], I$1, Table2[ActualResult], "REG") + SUMIFS(Table2[AwayWon], Table2[GameIsOver],1,Table2[HomeTeam],$A11, Table2[AwayTeam], I$1, Table2[ActualResult], "REG"),0), "-", TEXT(SUMIFS(Table2[HomeWon_], Table2[GameIsOver],1,Table2[AwayTeam],$A11, Table2[HomeTeam], I$1, Table2[ActualResult], "OT") + SUMIFS(Table2[AwayWon], Table2[GameIsOver],1,Table2[HomeTeam],$A11, Table2[AwayTeam], I$1, Table2[ActualResult], "OT") + SUMIFS(Table2[HomeWon_], Table2[GameIsOver],1,Table2[AwayTeam],$A11, Table2[HomeTeam], I$1, Table2[ActualResult], "SO") + SUMIFS(Table2[AwayWon], Table2[GameIsOver],1,Table2[HomeTeam],$A11, Table2[AwayTeam], I$1, Table2[ActualResult], "SO"),0))</f>
        <v>0-0-0</v>
      </c>
      <c r="J11" t="str">
        <f>_xlfn.CONCAT(TEXT(SUMIFS(Table2[AwayWon], Table2[GameIsOver],1,Table2[AwayTeam],$A11, Table2[HomeTeam], J$1) + SUMIFS(Table2[HomeWon_], Table2[GameIsOver],1,Table2[HomeTeam],$A11, Table2[AwayTeam], J$1),0), "-", TEXT(SUMIFS(Table2[HomeWon_], Table2[GameIsOver],1,Table2[AwayTeam],$A11, Table2[HomeTeam], J$1, Table2[ActualResult], "REG") + SUMIFS(Table2[AwayWon], Table2[GameIsOver],1,Table2[HomeTeam],$A11, Table2[AwayTeam], J$1, Table2[ActualResult], "REG"),0), "-", TEXT(SUMIFS(Table2[HomeWon_], Table2[GameIsOver],1,Table2[AwayTeam],$A11, Table2[HomeTeam], J$1, Table2[ActualResult], "OT") + SUMIFS(Table2[AwayWon], Table2[GameIsOver],1,Table2[HomeTeam],$A11, Table2[AwayTeam], J$1, Table2[ActualResult], "OT") + SUMIFS(Table2[HomeWon_], Table2[GameIsOver],1,Table2[AwayTeam],$A11, Table2[HomeTeam], J$1, Table2[ActualResult], "SO") + SUMIFS(Table2[AwayWon], Table2[GameIsOver],1,Table2[HomeTeam],$A11, Table2[AwayTeam], J$1, Table2[ActualResult], "SO"),0))</f>
        <v>0-0-0</v>
      </c>
      <c r="K11" s="89"/>
      <c r="L11" t="str">
        <f>_xlfn.CONCAT(TEXT(SUMIFS(Table2[AwayWon], Table2[GameIsOver],1,Table2[AwayTeam],$A11, Table2[HomeTeam], L$1) + SUMIFS(Table2[HomeWon_], Table2[GameIsOver],1,Table2[HomeTeam],$A11, Table2[AwayTeam], L$1),0), "-", TEXT(SUMIFS(Table2[HomeWon_], Table2[GameIsOver],1,Table2[AwayTeam],$A11, Table2[HomeTeam], L$1, Table2[ActualResult], "REG") + SUMIFS(Table2[AwayWon], Table2[GameIsOver],1,Table2[HomeTeam],$A11, Table2[AwayTeam], L$1, Table2[ActualResult], "REG"),0), "-", TEXT(SUMIFS(Table2[HomeWon_], Table2[GameIsOver],1,Table2[AwayTeam],$A11, Table2[HomeTeam], L$1, Table2[ActualResult], "OT") + SUMIFS(Table2[AwayWon], Table2[GameIsOver],1,Table2[HomeTeam],$A11, Table2[AwayTeam], L$1, Table2[ActualResult], "OT") + SUMIFS(Table2[HomeWon_], Table2[GameIsOver],1,Table2[AwayTeam],$A11, Table2[HomeTeam], L$1, Table2[ActualResult], "SO") + SUMIFS(Table2[AwayWon], Table2[GameIsOver],1,Table2[HomeTeam],$A11, Table2[AwayTeam], L$1, Table2[ActualResult], "SO"),0))</f>
        <v>0-0-1</v>
      </c>
      <c r="M11" t="str">
        <f>_xlfn.CONCAT(TEXT(SUMIFS(Table2[AwayWon], Table2[GameIsOver],1,Table2[AwayTeam],$A11, Table2[HomeTeam], M$1) + SUMIFS(Table2[HomeWon_], Table2[GameIsOver],1,Table2[HomeTeam],$A11, Table2[AwayTeam], M$1),0), "-", TEXT(SUMIFS(Table2[HomeWon_], Table2[GameIsOver],1,Table2[AwayTeam],$A11, Table2[HomeTeam], M$1, Table2[ActualResult], "REG") + SUMIFS(Table2[AwayWon], Table2[GameIsOver],1,Table2[HomeTeam],$A11, Table2[AwayTeam], M$1, Table2[ActualResult], "REG"),0), "-", TEXT(SUMIFS(Table2[HomeWon_], Table2[GameIsOver],1,Table2[AwayTeam],$A11, Table2[HomeTeam], M$1, Table2[ActualResult], "OT") + SUMIFS(Table2[AwayWon], Table2[GameIsOver],1,Table2[HomeTeam],$A11, Table2[AwayTeam], M$1, Table2[ActualResult], "OT") + SUMIFS(Table2[HomeWon_], Table2[GameIsOver],1,Table2[AwayTeam],$A11, Table2[HomeTeam], M$1, Table2[ActualResult], "SO") + SUMIFS(Table2[AwayWon], Table2[GameIsOver],1,Table2[HomeTeam],$A11, Table2[AwayTeam], M$1, Table2[ActualResult], "SO"),0))</f>
        <v>0-0-0</v>
      </c>
      <c r="N11" t="str">
        <f>_xlfn.CONCAT(TEXT(SUMIFS(Table2[AwayWon], Table2[GameIsOver],1,Table2[AwayTeam],$A11, Table2[HomeTeam], N$1) + SUMIFS(Table2[HomeWon_], Table2[GameIsOver],1,Table2[HomeTeam],$A11, Table2[AwayTeam], N$1),0), "-", TEXT(SUMIFS(Table2[HomeWon_], Table2[GameIsOver],1,Table2[AwayTeam],$A11, Table2[HomeTeam], N$1, Table2[ActualResult], "REG") + SUMIFS(Table2[AwayWon], Table2[GameIsOver],1,Table2[HomeTeam],$A11, Table2[AwayTeam], N$1, Table2[ActualResult], "REG"),0), "-", TEXT(SUMIFS(Table2[HomeWon_], Table2[GameIsOver],1,Table2[AwayTeam],$A11, Table2[HomeTeam], N$1, Table2[ActualResult], "OT") + SUMIFS(Table2[AwayWon], Table2[GameIsOver],1,Table2[HomeTeam],$A11, Table2[AwayTeam], N$1, Table2[ActualResult], "OT") + SUMIFS(Table2[HomeWon_], Table2[GameIsOver],1,Table2[AwayTeam],$A11, Table2[HomeTeam], N$1, Table2[ActualResult], "SO") + SUMIFS(Table2[AwayWon], Table2[GameIsOver],1,Table2[HomeTeam],$A11, Table2[AwayTeam], N$1, Table2[ActualResult], "SO"),0))</f>
        <v>0-0-0</v>
      </c>
      <c r="O11" t="str">
        <f>_xlfn.CONCAT(TEXT(SUMIFS(Table2[AwayWon], Table2[GameIsOver],1,Table2[AwayTeam],$A11, Table2[HomeTeam], O$1) + SUMIFS(Table2[HomeWon_], Table2[GameIsOver],1,Table2[HomeTeam],$A11, Table2[AwayTeam], O$1),0), "-", TEXT(SUMIFS(Table2[HomeWon_], Table2[GameIsOver],1,Table2[AwayTeam],$A11, Table2[HomeTeam], O$1, Table2[ActualResult], "REG") + SUMIFS(Table2[AwayWon], Table2[GameIsOver],1,Table2[HomeTeam],$A11, Table2[AwayTeam], O$1, Table2[ActualResult], "REG"),0), "-", TEXT(SUMIFS(Table2[HomeWon_], Table2[GameIsOver],1,Table2[AwayTeam],$A11, Table2[HomeTeam], O$1, Table2[ActualResult], "OT") + SUMIFS(Table2[AwayWon], Table2[GameIsOver],1,Table2[HomeTeam],$A11, Table2[AwayTeam], O$1, Table2[ActualResult], "OT") + SUMIFS(Table2[HomeWon_], Table2[GameIsOver],1,Table2[AwayTeam],$A11, Table2[HomeTeam], O$1, Table2[ActualResult], "SO") + SUMIFS(Table2[AwayWon], Table2[GameIsOver],1,Table2[HomeTeam],$A11, Table2[AwayTeam], O$1, Table2[ActualResult], "SO"),0))</f>
        <v>0-0-0</v>
      </c>
      <c r="P11" t="str">
        <f>_xlfn.CONCAT(TEXT(SUMIFS(Table2[AwayWon], Table2[GameIsOver],1,Table2[AwayTeam],$A11, Table2[HomeTeam], P$1) + SUMIFS(Table2[HomeWon_], Table2[GameIsOver],1,Table2[HomeTeam],$A11, Table2[AwayTeam], P$1),0), "-", TEXT(SUMIFS(Table2[HomeWon_], Table2[GameIsOver],1,Table2[AwayTeam],$A11, Table2[HomeTeam], P$1, Table2[ActualResult], "REG") + SUMIFS(Table2[AwayWon], Table2[GameIsOver],1,Table2[HomeTeam],$A11, Table2[AwayTeam], P$1, Table2[ActualResult], "REG"),0), "-", TEXT(SUMIFS(Table2[HomeWon_], Table2[GameIsOver],1,Table2[AwayTeam],$A11, Table2[HomeTeam], P$1, Table2[ActualResult], "OT") + SUMIFS(Table2[AwayWon], Table2[GameIsOver],1,Table2[HomeTeam],$A11, Table2[AwayTeam], P$1, Table2[ActualResult], "OT") + SUMIFS(Table2[HomeWon_], Table2[GameIsOver],1,Table2[AwayTeam],$A11, Table2[HomeTeam], P$1, Table2[ActualResult], "SO") + SUMIFS(Table2[AwayWon], Table2[GameIsOver],1,Table2[HomeTeam],$A11, Table2[AwayTeam], P$1, Table2[ActualResult], "SO"),0))</f>
        <v>1-0-1</v>
      </c>
      <c r="Q11" s="57" t="str">
        <f>_xlfn.CONCAT(TEXT(SUMIFS(Table2[AwayWon], Table2[GameIsOver],1,Table2[AwayTeam],$A11, Table2[HomeTeam], Q$1) + SUMIFS(Table2[HomeWon_], Table2[GameIsOver],1,Table2[HomeTeam],$A11, Table2[AwayTeam], Q$1),0), "-", TEXT(SUMIFS(Table2[HomeWon_], Table2[GameIsOver],1,Table2[AwayTeam],$A11, Table2[HomeTeam], Q$1, Table2[ActualResult], "REG") + SUMIFS(Table2[AwayWon], Table2[GameIsOver],1,Table2[HomeTeam],$A11, Table2[AwayTeam], Q$1, Table2[ActualResult], "REG"),0), "-", TEXT(SUMIFS(Table2[HomeWon_], Table2[GameIsOver],1,Table2[AwayTeam],$A11, Table2[HomeTeam], Q$1, Table2[ActualResult], "OT") + SUMIFS(Table2[AwayWon], Table2[GameIsOver],1,Table2[HomeTeam],$A11, Table2[AwayTeam], Q$1, Table2[ActualResult], "OT") + SUMIFS(Table2[HomeWon_], Table2[GameIsOver],1,Table2[AwayTeam],$A11, Table2[HomeTeam], Q$1, Table2[ActualResult], "SO") + SUMIFS(Table2[AwayWon], Table2[GameIsOver],1,Table2[HomeTeam],$A11, Table2[AwayTeam], Q$1, Table2[ActualResult], "SO"),0))</f>
        <v>0-0-0</v>
      </c>
      <c r="R11" t="str">
        <f>_xlfn.CONCAT(TEXT(SUMIFS(Table2[AwayWon], Table2[GameIsOver],1,Table2[AwayTeam],$A11, Table2[HomeTeam], R$1) + SUMIFS(Table2[HomeWon_], Table2[GameIsOver],1,Table2[HomeTeam],$A11, Table2[AwayTeam], R$1),0), "-", TEXT(SUMIFS(Table2[HomeWon_], Table2[GameIsOver],1,Table2[AwayTeam],$A11, Table2[HomeTeam], R$1, Table2[ActualResult], "REG") + SUMIFS(Table2[AwayWon], Table2[GameIsOver],1,Table2[HomeTeam],$A11, Table2[AwayTeam], R$1, Table2[ActualResult], "REG"),0), "-", TEXT(SUMIFS(Table2[HomeWon_], Table2[GameIsOver],1,Table2[AwayTeam],$A11, Table2[HomeTeam], R$1, Table2[ActualResult], "OT") + SUMIFS(Table2[AwayWon], Table2[GameIsOver],1,Table2[HomeTeam],$A11, Table2[AwayTeam], R$1, Table2[ActualResult], "OT") + SUMIFS(Table2[HomeWon_], Table2[GameIsOver],1,Table2[AwayTeam],$A11, Table2[HomeTeam], R$1, Table2[ActualResult], "SO") + SUMIFS(Table2[AwayWon], Table2[GameIsOver],1,Table2[HomeTeam],$A11, Table2[AwayTeam], R$1, Table2[ActualResult], "SO"),0))</f>
        <v>0-0-0</v>
      </c>
      <c r="S11" t="str">
        <f>_xlfn.CONCAT(TEXT(SUMIFS(Table2[AwayWon], Table2[GameIsOver],1,Table2[AwayTeam],$A11, Table2[HomeTeam], S$1) + SUMIFS(Table2[HomeWon_], Table2[GameIsOver],1,Table2[HomeTeam],$A11, Table2[AwayTeam], S$1),0), "-", TEXT(SUMIFS(Table2[HomeWon_], Table2[GameIsOver],1,Table2[AwayTeam],$A11, Table2[HomeTeam], S$1, Table2[ActualResult], "REG") + SUMIFS(Table2[AwayWon], Table2[GameIsOver],1,Table2[HomeTeam],$A11, Table2[AwayTeam], S$1, Table2[ActualResult], "REG"),0), "-", TEXT(SUMIFS(Table2[HomeWon_], Table2[GameIsOver],1,Table2[AwayTeam],$A11, Table2[HomeTeam], S$1, Table2[ActualResult], "OT") + SUMIFS(Table2[AwayWon], Table2[GameIsOver],1,Table2[HomeTeam],$A11, Table2[AwayTeam], S$1, Table2[ActualResult], "OT") + SUMIFS(Table2[HomeWon_], Table2[GameIsOver],1,Table2[AwayTeam],$A11, Table2[HomeTeam], S$1, Table2[ActualResult], "SO") + SUMIFS(Table2[AwayWon], Table2[GameIsOver],1,Table2[HomeTeam],$A11, Table2[AwayTeam], S$1, Table2[ActualResult], "SO"),0))</f>
        <v>1-0-0</v>
      </c>
      <c r="T11" t="str">
        <f>_xlfn.CONCAT(TEXT(SUMIFS(Table2[AwayWon], Table2[GameIsOver],1,Table2[AwayTeam],$A11, Table2[HomeTeam], T$1) + SUMIFS(Table2[HomeWon_], Table2[GameIsOver],1,Table2[HomeTeam],$A11, Table2[AwayTeam], T$1),0), "-", TEXT(SUMIFS(Table2[HomeWon_], Table2[GameIsOver],1,Table2[AwayTeam],$A11, Table2[HomeTeam], T$1, Table2[ActualResult], "REG") + SUMIFS(Table2[AwayWon], Table2[GameIsOver],1,Table2[HomeTeam],$A11, Table2[AwayTeam], T$1, Table2[ActualResult], "REG"),0), "-", TEXT(SUMIFS(Table2[HomeWon_], Table2[GameIsOver],1,Table2[AwayTeam],$A11, Table2[HomeTeam], T$1, Table2[ActualResult], "OT") + SUMIFS(Table2[AwayWon], Table2[GameIsOver],1,Table2[HomeTeam],$A11, Table2[AwayTeam], T$1, Table2[ActualResult], "OT") + SUMIFS(Table2[HomeWon_], Table2[GameIsOver],1,Table2[AwayTeam],$A11, Table2[HomeTeam], T$1, Table2[ActualResult], "SO") + SUMIFS(Table2[AwayWon], Table2[GameIsOver],1,Table2[HomeTeam],$A11, Table2[AwayTeam], T$1, Table2[ActualResult], "SO"),0))</f>
        <v>0-0-0</v>
      </c>
      <c r="U11" t="str">
        <f>_xlfn.CONCAT(TEXT(SUMIFS(Table2[AwayWon], Table2[GameIsOver],1,Table2[AwayTeam],$A11, Table2[HomeTeam], U$1) + SUMIFS(Table2[HomeWon_], Table2[GameIsOver],1,Table2[HomeTeam],$A11, Table2[AwayTeam], U$1),0), "-", TEXT(SUMIFS(Table2[HomeWon_], Table2[GameIsOver],1,Table2[AwayTeam],$A11, Table2[HomeTeam], U$1, Table2[ActualResult], "REG") + SUMIFS(Table2[AwayWon], Table2[GameIsOver],1,Table2[HomeTeam],$A11, Table2[AwayTeam], U$1, Table2[ActualResult], "REG"),0), "-", TEXT(SUMIFS(Table2[HomeWon_], Table2[GameIsOver],1,Table2[AwayTeam],$A11, Table2[HomeTeam], U$1, Table2[ActualResult], "OT") + SUMIFS(Table2[AwayWon], Table2[GameIsOver],1,Table2[HomeTeam],$A11, Table2[AwayTeam], U$1, Table2[ActualResult], "OT") + SUMIFS(Table2[HomeWon_], Table2[GameIsOver],1,Table2[AwayTeam],$A11, Table2[HomeTeam], U$1, Table2[ActualResult], "SO") + SUMIFS(Table2[AwayWon], Table2[GameIsOver],1,Table2[HomeTeam],$A11, Table2[AwayTeam], U$1, Table2[ActualResult], "SO"),0))</f>
        <v>0-0-0</v>
      </c>
      <c r="V11" t="str">
        <f>_xlfn.CONCAT(TEXT(SUMIFS(Table2[AwayWon], Table2[GameIsOver],1,Table2[AwayTeam],$A11, Table2[HomeTeam], V$1) + SUMIFS(Table2[HomeWon_], Table2[GameIsOver],1,Table2[HomeTeam],$A11, Table2[AwayTeam], V$1),0), "-", TEXT(SUMIFS(Table2[HomeWon_], Table2[GameIsOver],1,Table2[AwayTeam],$A11, Table2[HomeTeam], V$1, Table2[ActualResult], "REG") + SUMIFS(Table2[AwayWon], Table2[GameIsOver],1,Table2[HomeTeam],$A11, Table2[AwayTeam], V$1, Table2[ActualResult], "REG"),0), "-", TEXT(SUMIFS(Table2[HomeWon_], Table2[GameIsOver],1,Table2[AwayTeam],$A11, Table2[HomeTeam], V$1, Table2[ActualResult], "OT") + SUMIFS(Table2[AwayWon], Table2[GameIsOver],1,Table2[HomeTeam],$A11, Table2[AwayTeam], V$1, Table2[ActualResult], "OT") + SUMIFS(Table2[HomeWon_], Table2[GameIsOver],1,Table2[AwayTeam],$A11, Table2[HomeTeam], V$1, Table2[ActualResult], "SO") + SUMIFS(Table2[AwayWon], Table2[GameIsOver],1,Table2[HomeTeam],$A11, Table2[AwayTeam], V$1, Table2[ActualResult], "SO"),0))</f>
        <v>0-0-0</v>
      </c>
      <c r="W11" t="str">
        <f>_xlfn.CONCAT(TEXT(SUMIFS(Table2[AwayWon], Table2[GameIsOver],1,Table2[AwayTeam],$A11, Table2[HomeTeam], W$1) + SUMIFS(Table2[HomeWon_], Table2[GameIsOver],1,Table2[HomeTeam],$A11, Table2[AwayTeam], W$1),0), "-", TEXT(SUMIFS(Table2[HomeWon_], Table2[GameIsOver],1,Table2[AwayTeam],$A11, Table2[HomeTeam], W$1, Table2[ActualResult], "REG") + SUMIFS(Table2[AwayWon], Table2[GameIsOver],1,Table2[HomeTeam],$A11, Table2[AwayTeam], W$1, Table2[ActualResult], "REG"),0), "-", TEXT(SUMIFS(Table2[HomeWon_], Table2[GameIsOver],1,Table2[AwayTeam],$A11, Table2[HomeTeam], W$1, Table2[ActualResult], "OT") + SUMIFS(Table2[AwayWon], Table2[GameIsOver],1,Table2[HomeTeam],$A11, Table2[AwayTeam], W$1, Table2[ActualResult], "OT") + SUMIFS(Table2[HomeWon_], Table2[GameIsOver],1,Table2[AwayTeam],$A11, Table2[HomeTeam], W$1, Table2[ActualResult], "SO") + SUMIFS(Table2[AwayWon], Table2[GameIsOver],1,Table2[HomeTeam],$A11, Table2[AwayTeam], W$1, Table2[ActualResult], "SO"),0))</f>
        <v>0-0-0</v>
      </c>
      <c r="X11" t="str">
        <f>_xlfn.CONCAT(TEXT(SUMIFS(Table2[AwayWon], Table2[GameIsOver],1,Table2[AwayTeam],$A11, Table2[HomeTeam], X$1) + SUMIFS(Table2[HomeWon_], Table2[GameIsOver],1,Table2[HomeTeam],$A11, Table2[AwayTeam], X$1),0), "-", TEXT(SUMIFS(Table2[HomeWon_], Table2[GameIsOver],1,Table2[AwayTeam],$A11, Table2[HomeTeam], X$1, Table2[ActualResult], "REG") + SUMIFS(Table2[AwayWon], Table2[GameIsOver],1,Table2[HomeTeam],$A11, Table2[AwayTeam], X$1, Table2[ActualResult], "REG"),0), "-", TEXT(SUMIFS(Table2[HomeWon_], Table2[GameIsOver],1,Table2[AwayTeam],$A11, Table2[HomeTeam], X$1, Table2[ActualResult], "OT") + SUMIFS(Table2[AwayWon], Table2[GameIsOver],1,Table2[HomeTeam],$A11, Table2[AwayTeam], X$1, Table2[ActualResult], "OT") + SUMIFS(Table2[HomeWon_], Table2[GameIsOver],1,Table2[AwayTeam],$A11, Table2[HomeTeam], X$1, Table2[ActualResult], "SO") + SUMIFS(Table2[AwayWon], Table2[GameIsOver],1,Table2[HomeTeam],$A11, Table2[AwayTeam], X$1, Table2[ActualResult], "SO"),0))</f>
        <v>0-0-0</v>
      </c>
      <c r="Y11" s="57" t="str">
        <f>_xlfn.CONCAT(TEXT(SUMIFS(Table2[AwayWon], Table2[GameIsOver],1,Table2[AwayTeam],$A11, Table2[HomeTeam], Y$1) + SUMIFS(Table2[HomeWon_], Table2[GameIsOver],1,Table2[HomeTeam],$A11, Table2[AwayTeam], Y$1),0), "-", TEXT(SUMIFS(Table2[HomeWon_], Table2[GameIsOver],1,Table2[AwayTeam],$A11, Table2[HomeTeam], Y$1, Table2[ActualResult], "REG") + SUMIFS(Table2[AwayWon], Table2[GameIsOver],1,Table2[HomeTeam],$A11, Table2[AwayTeam], Y$1, Table2[ActualResult], "REG"),0), "-", TEXT(SUMIFS(Table2[HomeWon_], Table2[GameIsOver],1,Table2[AwayTeam],$A11, Table2[HomeTeam], Y$1, Table2[ActualResult], "OT") + SUMIFS(Table2[AwayWon], Table2[GameIsOver],1,Table2[HomeTeam],$A11, Table2[AwayTeam], Y$1, Table2[ActualResult], "OT") + SUMIFS(Table2[HomeWon_], Table2[GameIsOver],1,Table2[AwayTeam],$A11, Table2[HomeTeam], Y$1, Table2[ActualResult], "SO") + SUMIFS(Table2[AwayWon], Table2[GameIsOver],1,Table2[HomeTeam],$A11, Table2[AwayTeam], Y$1, Table2[ActualResult], "SO"),0))</f>
        <v>0-0-0</v>
      </c>
      <c r="Z11" t="str">
        <f>_xlfn.CONCAT(TEXT(SUMIFS(Table2[AwayWon], Table2[GameIsOver],1,Table2[AwayTeam],$A11, Table2[HomeTeam], Z$1) + SUMIFS(Table2[HomeWon_], Table2[GameIsOver],1,Table2[HomeTeam],$A11, Table2[AwayTeam], Z$1),0), "-", TEXT(SUMIFS(Table2[HomeWon_], Table2[GameIsOver],1,Table2[AwayTeam],$A11, Table2[HomeTeam], Z$1, Table2[ActualResult], "REG") + SUMIFS(Table2[AwayWon], Table2[GameIsOver],1,Table2[HomeTeam],$A11, Table2[AwayTeam], Z$1, Table2[ActualResult], "REG"),0), "-", TEXT(SUMIFS(Table2[HomeWon_], Table2[GameIsOver],1,Table2[AwayTeam],$A11, Table2[HomeTeam], Z$1, Table2[ActualResult], "OT") + SUMIFS(Table2[AwayWon], Table2[GameIsOver],1,Table2[HomeTeam],$A11, Table2[AwayTeam], Z$1, Table2[ActualResult], "OT") + SUMIFS(Table2[HomeWon_], Table2[GameIsOver],1,Table2[AwayTeam],$A11, Table2[HomeTeam], Z$1, Table2[ActualResult], "SO") + SUMIFS(Table2[AwayWon], Table2[GameIsOver],1,Table2[HomeTeam],$A11, Table2[AwayTeam], Z$1, Table2[ActualResult], "SO"),0))</f>
        <v>1-0-0</v>
      </c>
      <c r="AA11" t="str">
        <f>_xlfn.CONCAT(TEXT(SUMIFS(Table2[AwayWon], Table2[GameIsOver],1,Table2[AwayTeam],$A11, Table2[HomeTeam], AA$1) + SUMIFS(Table2[HomeWon_], Table2[GameIsOver],1,Table2[HomeTeam],$A11, Table2[AwayTeam], AA$1),0), "-", TEXT(SUMIFS(Table2[HomeWon_], Table2[GameIsOver],1,Table2[AwayTeam],$A11, Table2[HomeTeam], AA$1, Table2[ActualResult], "REG") + SUMIFS(Table2[AwayWon], Table2[GameIsOver],1,Table2[HomeTeam],$A11, Table2[AwayTeam], AA$1, Table2[ActualResult], "REG"),0), "-", TEXT(SUMIFS(Table2[HomeWon_], Table2[GameIsOver],1,Table2[AwayTeam],$A11, Table2[HomeTeam], AA$1, Table2[ActualResult], "OT") + SUMIFS(Table2[AwayWon], Table2[GameIsOver],1,Table2[HomeTeam],$A11, Table2[AwayTeam], AA$1, Table2[ActualResult], "OT") + SUMIFS(Table2[HomeWon_], Table2[GameIsOver],1,Table2[AwayTeam],$A11, Table2[HomeTeam], AA$1, Table2[ActualResult], "SO") + SUMIFS(Table2[AwayWon], Table2[GameIsOver],1,Table2[HomeTeam],$A11, Table2[AwayTeam], AA$1, Table2[ActualResult], "SO"),0))</f>
        <v>1-0-0</v>
      </c>
      <c r="AB11" t="str">
        <f>_xlfn.CONCAT(TEXT(SUMIFS(Table2[AwayWon], Table2[GameIsOver],1,Table2[AwayTeam],$A11, Table2[HomeTeam], AB$1) + SUMIFS(Table2[HomeWon_], Table2[GameIsOver],1,Table2[HomeTeam],$A11, Table2[AwayTeam], AB$1),0), "-", TEXT(SUMIFS(Table2[HomeWon_], Table2[GameIsOver],1,Table2[AwayTeam],$A11, Table2[HomeTeam], AB$1, Table2[ActualResult], "REG") + SUMIFS(Table2[AwayWon], Table2[GameIsOver],1,Table2[HomeTeam],$A11, Table2[AwayTeam], AB$1, Table2[ActualResult], "REG"),0), "-", TEXT(SUMIFS(Table2[HomeWon_], Table2[GameIsOver],1,Table2[AwayTeam],$A11, Table2[HomeTeam], AB$1, Table2[ActualResult], "OT") + SUMIFS(Table2[AwayWon], Table2[GameIsOver],1,Table2[HomeTeam],$A11, Table2[AwayTeam], AB$1, Table2[ActualResult], "OT") + SUMIFS(Table2[HomeWon_], Table2[GameIsOver],1,Table2[AwayTeam],$A11, Table2[HomeTeam], AB$1, Table2[ActualResult], "SO") + SUMIFS(Table2[AwayWon], Table2[GameIsOver],1,Table2[HomeTeam],$A11, Table2[AwayTeam], AB$1, Table2[ActualResult], "SO"),0))</f>
        <v>0-0-0</v>
      </c>
      <c r="AC11" t="str">
        <f>_xlfn.CONCAT(TEXT(SUMIFS(Table2[AwayWon], Table2[GameIsOver],1,Table2[AwayTeam],$A11, Table2[HomeTeam], AC$1) + SUMIFS(Table2[HomeWon_], Table2[GameIsOver],1,Table2[HomeTeam],$A11, Table2[AwayTeam], AC$1),0), "-", TEXT(SUMIFS(Table2[HomeWon_], Table2[GameIsOver],1,Table2[AwayTeam],$A11, Table2[HomeTeam], AC$1, Table2[ActualResult], "REG") + SUMIFS(Table2[AwayWon], Table2[GameIsOver],1,Table2[HomeTeam],$A11, Table2[AwayTeam], AC$1, Table2[ActualResult], "REG"),0), "-", TEXT(SUMIFS(Table2[HomeWon_], Table2[GameIsOver],1,Table2[AwayTeam],$A11, Table2[HomeTeam], AC$1, Table2[ActualResult], "OT") + SUMIFS(Table2[AwayWon], Table2[GameIsOver],1,Table2[HomeTeam],$A11, Table2[AwayTeam], AC$1, Table2[ActualResult], "OT") + SUMIFS(Table2[HomeWon_], Table2[GameIsOver],1,Table2[AwayTeam],$A11, Table2[HomeTeam], AC$1, Table2[ActualResult], "SO") + SUMIFS(Table2[AwayWon], Table2[GameIsOver],1,Table2[HomeTeam],$A11, Table2[AwayTeam], AC$1, Table2[ActualResult], "SO"),0))</f>
        <v>0-0-0</v>
      </c>
      <c r="AD11" t="str">
        <f>_xlfn.CONCAT(TEXT(SUMIFS(Table2[AwayWon], Table2[GameIsOver],1,Table2[AwayTeam],$A11, Table2[HomeTeam], AD$1) + SUMIFS(Table2[HomeWon_], Table2[GameIsOver],1,Table2[HomeTeam],$A11, Table2[AwayTeam], AD$1),0), "-", TEXT(SUMIFS(Table2[HomeWon_], Table2[GameIsOver],1,Table2[AwayTeam],$A11, Table2[HomeTeam], AD$1, Table2[ActualResult], "REG") + SUMIFS(Table2[AwayWon], Table2[GameIsOver],1,Table2[HomeTeam],$A11, Table2[AwayTeam], AD$1, Table2[ActualResult], "REG"),0), "-", TEXT(SUMIFS(Table2[HomeWon_], Table2[GameIsOver],1,Table2[AwayTeam],$A11, Table2[HomeTeam], AD$1, Table2[ActualResult], "OT") + SUMIFS(Table2[AwayWon], Table2[GameIsOver],1,Table2[HomeTeam],$A11, Table2[AwayTeam], AD$1, Table2[ActualResult], "OT") + SUMIFS(Table2[HomeWon_], Table2[GameIsOver],1,Table2[AwayTeam],$A11, Table2[HomeTeam], AD$1, Table2[ActualResult], "SO") + SUMIFS(Table2[AwayWon], Table2[GameIsOver],1,Table2[HomeTeam],$A11, Table2[AwayTeam], AD$1, Table2[ActualResult], "SO"),0))</f>
        <v>0-0-0</v>
      </c>
      <c r="AE11" t="str">
        <f>_xlfn.CONCAT(TEXT(SUMIFS(Table2[AwayWon], Table2[GameIsOver],1,Table2[AwayTeam],$A11, Table2[HomeTeam], AE$1) + SUMIFS(Table2[HomeWon_], Table2[GameIsOver],1,Table2[HomeTeam],$A11, Table2[AwayTeam], AE$1),0), "-", TEXT(SUMIFS(Table2[HomeWon_], Table2[GameIsOver],1,Table2[AwayTeam],$A11, Table2[HomeTeam], AE$1, Table2[ActualResult], "REG") + SUMIFS(Table2[AwayWon], Table2[GameIsOver],1,Table2[HomeTeam],$A11, Table2[AwayTeam], AE$1, Table2[ActualResult], "REG"),0), "-", TEXT(SUMIFS(Table2[HomeWon_], Table2[GameIsOver],1,Table2[AwayTeam],$A11, Table2[HomeTeam], AE$1, Table2[ActualResult], "OT") + SUMIFS(Table2[AwayWon], Table2[GameIsOver],1,Table2[HomeTeam],$A11, Table2[AwayTeam], AE$1, Table2[ActualResult], "OT") + SUMIFS(Table2[HomeWon_], Table2[GameIsOver],1,Table2[AwayTeam],$A11, Table2[HomeTeam], AE$1, Table2[ActualResult], "SO") + SUMIFS(Table2[AwayWon], Table2[GameIsOver],1,Table2[HomeTeam],$A11, Table2[AwayTeam], AE$1, Table2[ActualResult], "SO"),0))</f>
        <v>0-0-0</v>
      </c>
      <c r="AF11" t="str">
        <f>_xlfn.CONCAT(TEXT(SUMIFS(Table2[AwayWon], Table2[GameIsOver],1,Table2[AwayTeam],$A11, Table2[HomeTeam], AF$1) + SUMIFS(Table2[HomeWon_], Table2[GameIsOver],1,Table2[HomeTeam],$A11, Table2[AwayTeam], AF$1),0), "-", TEXT(SUMIFS(Table2[HomeWon_], Table2[GameIsOver],1,Table2[AwayTeam],$A11, Table2[HomeTeam], AF$1, Table2[ActualResult], "REG") + SUMIFS(Table2[AwayWon], Table2[GameIsOver],1,Table2[HomeTeam],$A11, Table2[AwayTeam], AF$1, Table2[ActualResult], "REG"),0), "-", TEXT(SUMIFS(Table2[HomeWon_], Table2[GameIsOver],1,Table2[AwayTeam],$A11, Table2[HomeTeam], AF$1, Table2[ActualResult], "OT") + SUMIFS(Table2[AwayWon], Table2[GameIsOver],1,Table2[HomeTeam],$A11, Table2[AwayTeam], AF$1, Table2[ActualResult], "OT") + SUMIFS(Table2[HomeWon_], Table2[GameIsOver],1,Table2[AwayTeam],$A11, Table2[HomeTeam], AF$1, Table2[ActualResult], "SO") + SUMIFS(Table2[AwayWon], Table2[GameIsOver],1,Table2[HomeTeam],$A11, Table2[AwayTeam], AF$1, Table2[ActualResult], "SO"),0))</f>
        <v>0-0-0</v>
      </c>
      <c r="AG11" t="str">
        <f>_xlfn.CONCAT(TEXT(SUMIFS(Table2[AwayWon], Table2[GameIsOver],1,Table2[AwayTeam],$A11, Table2[HomeTeam], AG$1) + SUMIFS(Table2[HomeWon_], Table2[GameIsOver],1,Table2[HomeTeam],$A11, Table2[AwayTeam], AG$1),0), "-", TEXT(SUMIFS(Table2[HomeWon_], Table2[GameIsOver],1,Table2[AwayTeam],$A11, Table2[HomeTeam], AG$1, Table2[ActualResult], "REG") + SUMIFS(Table2[AwayWon], Table2[GameIsOver],1,Table2[HomeTeam],$A11, Table2[AwayTeam], AG$1, Table2[ActualResult], "REG"),0), "-", TEXT(SUMIFS(Table2[HomeWon_], Table2[GameIsOver],1,Table2[AwayTeam],$A11, Table2[HomeTeam], AG$1, Table2[ActualResult], "OT") + SUMIFS(Table2[AwayWon], Table2[GameIsOver],1,Table2[HomeTeam],$A11, Table2[AwayTeam], AG$1, Table2[ActualResult], "OT") + SUMIFS(Table2[HomeWon_], Table2[GameIsOver],1,Table2[AwayTeam],$A11, Table2[HomeTeam], AG$1, Table2[ActualResult], "SO") + SUMIFS(Table2[AwayWon], Table2[GameIsOver],1,Table2[HomeTeam],$A11, Table2[AwayTeam], AG$1, Table2[ActualResult], "SO"),0))</f>
        <v>0-0-0</v>
      </c>
    </row>
    <row r="12" spans="1:33" x14ac:dyDescent="0.25">
      <c r="A12" s="57" t="s">
        <v>33</v>
      </c>
      <c r="B12" t="str">
        <f>_xlfn.CONCAT(TEXT(SUMIFS(Table2[AwayWon], Table2[GameIsOver],1,Table2[AwayTeam],$A12, Table2[HomeTeam], B$1) + SUMIFS(Table2[HomeWon_], Table2[GameIsOver],1,Table2[HomeTeam],$A12, Table2[AwayTeam], B$1),0), "-", TEXT(SUMIFS(Table2[HomeWon_], Table2[GameIsOver],1,Table2[AwayTeam],$A12, Table2[HomeTeam], B$1, Table2[ActualResult], "REG") + SUMIFS(Table2[AwayWon], Table2[GameIsOver],1,Table2[HomeTeam],$A12, Table2[AwayTeam], B$1, Table2[ActualResult], "REG"),0), "-", TEXT(SUMIFS(Table2[HomeWon_], Table2[GameIsOver],1,Table2[AwayTeam],$A12, Table2[HomeTeam], B$1, Table2[ActualResult], "OT") + SUMIFS(Table2[AwayWon], Table2[GameIsOver],1,Table2[HomeTeam],$A12, Table2[AwayTeam], B$1, Table2[ActualResult], "OT") + SUMIFS(Table2[HomeWon_], Table2[GameIsOver],1,Table2[AwayTeam],$A12, Table2[HomeTeam], B$1, Table2[ActualResult], "SO") + SUMIFS(Table2[AwayWon], Table2[GameIsOver],1,Table2[HomeTeam],$A12, Table2[AwayTeam], B$1, Table2[ActualResult], "SO"),0))</f>
        <v>0-0-0</v>
      </c>
      <c r="C12" t="str">
        <f>_xlfn.CONCAT(TEXT(SUMIFS(Table2[AwayWon], Table2[GameIsOver],1,Table2[AwayTeam],$A12, Table2[HomeTeam], C$1) + SUMIFS(Table2[HomeWon_], Table2[GameIsOver],1,Table2[HomeTeam],$A12, Table2[AwayTeam], C$1),0), "-", TEXT(SUMIFS(Table2[HomeWon_], Table2[GameIsOver],1,Table2[AwayTeam],$A12, Table2[HomeTeam], C$1, Table2[ActualResult], "REG") + SUMIFS(Table2[AwayWon], Table2[GameIsOver],1,Table2[HomeTeam],$A12, Table2[AwayTeam], C$1, Table2[ActualResult], "REG"),0), "-", TEXT(SUMIFS(Table2[HomeWon_], Table2[GameIsOver],1,Table2[AwayTeam],$A12, Table2[HomeTeam], C$1, Table2[ActualResult], "OT") + SUMIFS(Table2[AwayWon], Table2[GameIsOver],1,Table2[HomeTeam],$A12, Table2[AwayTeam], C$1, Table2[ActualResult], "OT") + SUMIFS(Table2[HomeWon_], Table2[GameIsOver],1,Table2[AwayTeam],$A12, Table2[HomeTeam], C$1, Table2[ActualResult], "SO") + SUMIFS(Table2[AwayWon], Table2[GameIsOver],1,Table2[HomeTeam],$A12, Table2[AwayTeam], C$1, Table2[ActualResult], "SO"),0))</f>
        <v>0-0-0</v>
      </c>
      <c r="D12" t="str">
        <f>_xlfn.CONCAT(TEXT(SUMIFS(Table2[AwayWon], Table2[GameIsOver],1,Table2[AwayTeam],$A12, Table2[HomeTeam], D$1) + SUMIFS(Table2[HomeWon_], Table2[GameIsOver],1,Table2[HomeTeam],$A12, Table2[AwayTeam], D$1),0), "-", TEXT(SUMIFS(Table2[HomeWon_], Table2[GameIsOver],1,Table2[AwayTeam],$A12, Table2[HomeTeam], D$1, Table2[ActualResult], "REG") + SUMIFS(Table2[AwayWon], Table2[GameIsOver],1,Table2[HomeTeam],$A12, Table2[AwayTeam], D$1, Table2[ActualResult], "REG"),0), "-", TEXT(SUMIFS(Table2[HomeWon_], Table2[GameIsOver],1,Table2[AwayTeam],$A12, Table2[HomeTeam], D$1, Table2[ActualResult], "OT") + SUMIFS(Table2[AwayWon], Table2[GameIsOver],1,Table2[HomeTeam],$A12, Table2[AwayTeam], D$1, Table2[ActualResult], "OT") + SUMIFS(Table2[HomeWon_], Table2[GameIsOver],1,Table2[AwayTeam],$A12, Table2[HomeTeam], D$1, Table2[ActualResult], "SO") + SUMIFS(Table2[AwayWon], Table2[GameIsOver],1,Table2[HomeTeam],$A12, Table2[AwayTeam], D$1, Table2[ActualResult], "SO"),0))</f>
        <v>0-0-0</v>
      </c>
      <c r="E12" t="str">
        <f>_xlfn.CONCAT(TEXT(SUMIFS(Table2[AwayWon], Table2[GameIsOver],1,Table2[AwayTeam],$A12, Table2[HomeTeam], E$1) + SUMIFS(Table2[HomeWon_], Table2[GameIsOver],1,Table2[HomeTeam],$A12, Table2[AwayTeam], E$1),0), "-", TEXT(SUMIFS(Table2[HomeWon_], Table2[GameIsOver],1,Table2[AwayTeam],$A12, Table2[HomeTeam], E$1, Table2[ActualResult], "REG") + SUMIFS(Table2[AwayWon], Table2[GameIsOver],1,Table2[HomeTeam],$A12, Table2[AwayTeam], E$1, Table2[ActualResult], "REG"),0), "-", TEXT(SUMIFS(Table2[HomeWon_], Table2[GameIsOver],1,Table2[AwayTeam],$A12, Table2[HomeTeam], E$1, Table2[ActualResult], "OT") + SUMIFS(Table2[AwayWon], Table2[GameIsOver],1,Table2[HomeTeam],$A12, Table2[AwayTeam], E$1, Table2[ActualResult], "OT") + SUMIFS(Table2[HomeWon_], Table2[GameIsOver],1,Table2[AwayTeam],$A12, Table2[HomeTeam], E$1, Table2[ActualResult], "SO") + SUMIFS(Table2[AwayWon], Table2[GameIsOver],1,Table2[HomeTeam],$A12, Table2[AwayTeam], E$1, Table2[ActualResult], "SO"),0))</f>
        <v>0-0-0</v>
      </c>
      <c r="F12" t="str">
        <f>_xlfn.CONCAT(TEXT(SUMIFS(Table2[AwayWon], Table2[GameIsOver],1,Table2[AwayTeam],$A12, Table2[HomeTeam], F$1) + SUMIFS(Table2[HomeWon_], Table2[GameIsOver],1,Table2[HomeTeam],$A12, Table2[AwayTeam], F$1),0), "-", TEXT(SUMIFS(Table2[HomeWon_], Table2[GameIsOver],1,Table2[AwayTeam],$A12, Table2[HomeTeam], F$1, Table2[ActualResult], "REG") + SUMIFS(Table2[AwayWon], Table2[GameIsOver],1,Table2[HomeTeam],$A12, Table2[AwayTeam], F$1, Table2[ActualResult], "REG"),0), "-", TEXT(SUMIFS(Table2[HomeWon_], Table2[GameIsOver],1,Table2[AwayTeam],$A12, Table2[HomeTeam], F$1, Table2[ActualResult], "OT") + SUMIFS(Table2[AwayWon], Table2[GameIsOver],1,Table2[HomeTeam],$A12, Table2[AwayTeam], F$1, Table2[ActualResult], "OT") + SUMIFS(Table2[HomeWon_], Table2[GameIsOver],1,Table2[AwayTeam],$A12, Table2[HomeTeam], F$1, Table2[ActualResult], "SO") + SUMIFS(Table2[AwayWon], Table2[GameIsOver],1,Table2[HomeTeam],$A12, Table2[AwayTeam], F$1, Table2[ActualResult], "SO"),0))</f>
        <v>0-0-0</v>
      </c>
      <c r="G12" t="str">
        <f>_xlfn.CONCAT(TEXT(SUMIFS(Table2[AwayWon], Table2[GameIsOver],1,Table2[AwayTeam],$A12, Table2[HomeTeam], G$1) + SUMIFS(Table2[HomeWon_], Table2[GameIsOver],1,Table2[HomeTeam],$A12, Table2[AwayTeam], G$1),0), "-", TEXT(SUMIFS(Table2[HomeWon_], Table2[GameIsOver],1,Table2[AwayTeam],$A12, Table2[HomeTeam], G$1, Table2[ActualResult], "REG") + SUMIFS(Table2[AwayWon], Table2[GameIsOver],1,Table2[HomeTeam],$A12, Table2[AwayTeam], G$1, Table2[ActualResult], "REG"),0), "-", TEXT(SUMIFS(Table2[HomeWon_], Table2[GameIsOver],1,Table2[AwayTeam],$A12, Table2[HomeTeam], G$1, Table2[ActualResult], "OT") + SUMIFS(Table2[AwayWon], Table2[GameIsOver],1,Table2[HomeTeam],$A12, Table2[AwayTeam], G$1, Table2[ActualResult], "OT") + SUMIFS(Table2[HomeWon_], Table2[GameIsOver],1,Table2[AwayTeam],$A12, Table2[HomeTeam], G$1, Table2[ActualResult], "SO") + SUMIFS(Table2[AwayWon], Table2[GameIsOver],1,Table2[HomeTeam],$A12, Table2[AwayTeam], G$1, Table2[ActualResult], "SO"),0))</f>
        <v>0-0-0</v>
      </c>
      <c r="H12" t="str">
        <f>_xlfn.CONCAT(TEXT(SUMIFS(Table2[AwayWon], Table2[GameIsOver],1,Table2[AwayTeam],$A12, Table2[HomeTeam], H$1) + SUMIFS(Table2[HomeWon_], Table2[GameIsOver],1,Table2[HomeTeam],$A12, Table2[AwayTeam], H$1),0), "-", TEXT(SUMIFS(Table2[HomeWon_], Table2[GameIsOver],1,Table2[AwayTeam],$A12, Table2[HomeTeam], H$1, Table2[ActualResult], "REG") + SUMIFS(Table2[AwayWon], Table2[GameIsOver],1,Table2[HomeTeam],$A12, Table2[AwayTeam], H$1, Table2[ActualResult], "REG"),0), "-", TEXT(SUMIFS(Table2[HomeWon_], Table2[GameIsOver],1,Table2[AwayTeam],$A12, Table2[HomeTeam], H$1, Table2[ActualResult], "OT") + SUMIFS(Table2[AwayWon], Table2[GameIsOver],1,Table2[HomeTeam],$A12, Table2[AwayTeam], H$1, Table2[ActualResult], "OT") + SUMIFS(Table2[HomeWon_], Table2[GameIsOver],1,Table2[AwayTeam],$A12, Table2[HomeTeam], H$1, Table2[ActualResult], "SO") + SUMIFS(Table2[AwayWon], Table2[GameIsOver],1,Table2[HomeTeam],$A12, Table2[AwayTeam], H$1, Table2[ActualResult], "SO"),0))</f>
        <v>0-1-0</v>
      </c>
      <c r="I12" s="57" t="str">
        <f>_xlfn.CONCAT(TEXT(SUMIFS(Table2[AwayWon], Table2[GameIsOver],1,Table2[AwayTeam],$A12, Table2[HomeTeam], I$1) + SUMIFS(Table2[HomeWon_], Table2[GameIsOver],1,Table2[HomeTeam],$A12, Table2[AwayTeam], I$1),0), "-", TEXT(SUMIFS(Table2[HomeWon_], Table2[GameIsOver],1,Table2[AwayTeam],$A12, Table2[HomeTeam], I$1, Table2[ActualResult], "REG") + SUMIFS(Table2[AwayWon], Table2[GameIsOver],1,Table2[HomeTeam],$A12, Table2[AwayTeam], I$1, Table2[ActualResult], "REG"),0), "-", TEXT(SUMIFS(Table2[HomeWon_], Table2[GameIsOver],1,Table2[AwayTeam],$A12, Table2[HomeTeam], I$1, Table2[ActualResult], "OT") + SUMIFS(Table2[AwayWon], Table2[GameIsOver],1,Table2[HomeTeam],$A12, Table2[AwayTeam], I$1, Table2[ActualResult], "OT") + SUMIFS(Table2[HomeWon_], Table2[GameIsOver],1,Table2[AwayTeam],$A12, Table2[HomeTeam], I$1, Table2[ActualResult], "SO") + SUMIFS(Table2[AwayWon], Table2[GameIsOver],1,Table2[HomeTeam],$A12, Table2[AwayTeam], I$1, Table2[ActualResult], "SO"),0))</f>
        <v>0-0-0</v>
      </c>
      <c r="J12" t="str">
        <f>_xlfn.CONCAT(TEXT(SUMIFS(Table2[AwayWon], Table2[GameIsOver],1,Table2[AwayTeam],$A12, Table2[HomeTeam], J$1) + SUMIFS(Table2[HomeWon_], Table2[GameIsOver],1,Table2[HomeTeam],$A12, Table2[AwayTeam], J$1),0), "-", TEXT(SUMIFS(Table2[HomeWon_], Table2[GameIsOver],1,Table2[AwayTeam],$A12, Table2[HomeTeam], J$1, Table2[ActualResult], "REG") + SUMIFS(Table2[AwayWon], Table2[GameIsOver],1,Table2[HomeTeam],$A12, Table2[AwayTeam], J$1, Table2[ActualResult], "REG"),0), "-", TEXT(SUMIFS(Table2[HomeWon_], Table2[GameIsOver],1,Table2[AwayTeam],$A12, Table2[HomeTeam], J$1, Table2[ActualResult], "OT") + SUMIFS(Table2[AwayWon], Table2[GameIsOver],1,Table2[HomeTeam],$A12, Table2[AwayTeam], J$1, Table2[ActualResult], "OT") + SUMIFS(Table2[HomeWon_], Table2[GameIsOver],1,Table2[AwayTeam],$A12, Table2[HomeTeam], J$1, Table2[ActualResult], "SO") + SUMIFS(Table2[AwayWon], Table2[GameIsOver],1,Table2[HomeTeam],$A12, Table2[AwayTeam], J$1, Table2[ActualResult], "SO"),0))</f>
        <v>0-0-0</v>
      </c>
      <c r="K12" t="str">
        <f>_xlfn.CONCAT(TEXT(SUMIFS(Table2[AwayWon], Table2[GameIsOver],1,Table2[AwayTeam],$A12, Table2[HomeTeam], K$1) + SUMIFS(Table2[HomeWon_], Table2[GameIsOver],1,Table2[HomeTeam],$A12, Table2[AwayTeam], K$1),0), "-", TEXT(SUMIFS(Table2[HomeWon_], Table2[GameIsOver],1,Table2[AwayTeam],$A12, Table2[HomeTeam], K$1, Table2[ActualResult], "REG") + SUMIFS(Table2[AwayWon], Table2[GameIsOver],1,Table2[HomeTeam],$A12, Table2[AwayTeam], K$1, Table2[ActualResult], "REG"),0), "-", TEXT(SUMIFS(Table2[HomeWon_], Table2[GameIsOver],1,Table2[AwayTeam],$A12, Table2[HomeTeam], K$1, Table2[ActualResult], "OT") + SUMIFS(Table2[AwayWon], Table2[GameIsOver],1,Table2[HomeTeam],$A12, Table2[AwayTeam], K$1, Table2[ActualResult], "OT") + SUMIFS(Table2[HomeWon_], Table2[GameIsOver],1,Table2[AwayTeam],$A12, Table2[HomeTeam], K$1, Table2[ActualResult], "SO") + SUMIFS(Table2[AwayWon], Table2[GameIsOver],1,Table2[HomeTeam],$A12, Table2[AwayTeam], K$1, Table2[ActualResult], "SO"),0))</f>
        <v>1-0-0</v>
      </c>
      <c r="L12" s="89"/>
      <c r="M12" t="str">
        <f>_xlfn.CONCAT(TEXT(SUMIFS(Table2[AwayWon], Table2[GameIsOver],1,Table2[AwayTeam],$A12, Table2[HomeTeam], M$1) + SUMIFS(Table2[HomeWon_], Table2[GameIsOver],1,Table2[HomeTeam],$A12, Table2[AwayTeam], M$1),0), "-", TEXT(SUMIFS(Table2[HomeWon_], Table2[GameIsOver],1,Table2[AwayTeam],$A12, Table2[HomeTeam], M$1, Table2[ActualResult], "REG") + SUMIFS(Table2[AwayWon], Table2[GameIsOver],1,Table2[HomeTeam],$A12, Table2[AwayTeam], M$1, Table2[ActualResult], "REG"),0), "-", TEXT(SUMIFS(Table2[HomeWon_], Table2[GameIsOver],1,Table2[AwayTeam],$A12, Table2[HomeTeam], M$1, Table2[ActualResult], "OT") + SUMIFS(Table2[AwayWon], Table2[GameIsOver],1,Table2[HomeTeam],$A12, Table2[AwayTeam], M$1, Table2[ActualResult], "OT") + SUMIFS(Table2[HomeWon_], Table2[GameIsOver],1,Table2[AwayTeam],$A12, Table2[HomeTeam], M$1, Table2[ActualResult], "SO") + SUMIFS(Table2[AwayWon], Table2[GameIsOver],1,Table2[HomeTeam],$A12, Table2[AwayTeam], M$1, Table2[ActualResult], "SO"),0))</f>
        <v>1-0-0</v>
      </c>
      <c r="N12" t="str">
        <f>_xlfn.CONCAT(TEXT(SUMIFS(Table2[AwayWon], Table2[GameIsOver],1,Table2[AwayTeam],$A12, Table2[HomeTeam], N$1) + SUMIFS(Table2[HomeWon_], Table2[GameIsOver],1,Table2[HomeTeam],$A12, Table2[AwayTeam], N$1),0), "-", TEXT(SUMIFS(Table2[HomeWon_], Table2[GameIsOver],1,Table2[AwayTeam],$A12, Table2[HomeTeam], N$1, Table2[ActualResult], "REG") + SUMIFS(Table2[AwayWon], Table2[GameIsOver],1,Table2[HomeTeam],$A12, Table2[AwayTeam], N$1, Table2[ActualResult], "REG"),0), "-", TEXT(SUMIFS(Table2[HomeWon_], Table2[GameIsOver],1,Table2[AwayTeam],$A12, Table2[HomeTeam], N$1, Table2[ActualResult], "OT") + SUMIFS(Table2[AwayWon], Table2[GameIsOver],1,Table2[HomeTeam],$A12, Table2[AwayTeam], N$1, Table2[ActualResult], "OT") + SUMIFS(Table2[HomeWon_], Table2[GameIsOver],1,Table2[AwayTeam],$A12, Table2[HomeTeam], N$1, Table2[ActualResult], "SO") + SUMIFS(Table2[AwayWon], Table2[GameIsOver],1,Table2[HomeTeam],$A12, Table2[AwayTeam], N$1, Table2[ActualResult], "SO"),0))</f>
        <v>0-0-0</v>
      </c>
      <c r="O12" t="str">
        <f>_xlfn.CONCAT(TEXT(SUMIFS(Table2[AwayWon], Table2[GameIsOver],1,Table2[AwayTeam],$A12, Table2[HomeTeam], O$1) + SUMIFS(Table2[HomeWon_], Table2[GameIsOver],1,Table2[HomeTeam],$A12, Table2[AwayTeam], O$1),0), "-", TEXT(SUMIFS(Table2[HomeWon_], Table2[GameIsOver],1,Table2[AwayTeam],$A12, Table2[HomeTeam], O$1, Table2[ActualResult], "REG") + SUMIFS(Table2[AwayWon], Table2[GameIsOver],1,Table2[HomeTeam],$A12, Table2[AwayTeam], O$1, Table2[ActualResult], "REG"),0), "-", TEXT(SUMIFS(Table2[HomeWon_], Table2[GameIsOver],1,Table2[AwayTeam],$A12, Table2[HomeTeam], O$1, Table2[ActualResult], "OT") + SUMIFS(Table2[AwayWon], Table2[GameIsOver],1,Table2[HomeTeam],$A12, Table2[AwayTeam], O$1, Table2[ActualResult], "OT") + SUMIFS(Table2[HomeWon_], Table2[GameIsOver],1,Table2[AwayTeam],$A12, Table2[HomeTeam], O$1, Table2[ActualResult], "SO") + SUMIFS(Table2[AwayWon], Table2[GameIsOver],1,Table2[HomeTeam],$A12, Table2[AwayTeam], O$1, Table2[ActualResult], "SO"),0))</f>
        <v>0-1-0</v>
      </c>
      <c r="P12" t="str">
        <f>_xlfn.CONCAT(TEXT(SUMIFS(Table2[AwayWon], Table2[GameIsOver],1,Table2[AwayTeam],$A12, Table2[HomeTeam], P$1) + SUMIFS(Table2[HomeWon_], Table2[GameIsOver],1,Table2[HomeTeam],$A12, Table2[AwayTeam], P$1),0), "-", TEXT(SUMIFS(Table2[HomeWon_], Table2[GameIsOver],1,Table2[AwayTeam],$A12, Table2[HomeTeam], P$1, Table2[ActualResult], "REG") + SUMIFS(Table2[AwayWon], Table2[GameIsOver],1,Table2[HomeTeam],$A12, Table2[AwayTeam], P$1, Table2[ActualResult], "REG"),0), "-", TEXT(SUMIFS(Table2[HomeWon_], Table2[GameIsOver],1,Table2[AwayTeam],$A12, Table2[HomeTeam], P$1, Table2[ActualResult], "OT") + SUMIFS(Table2[AwayWon], Table2[GameIsOver],1,Table2[HomeTeam],$A12, Table2[AwayTeam], P$1, Table2[ActualResult], "OT") + SUMIFS(Table2[HomeWon_], Table2[GameIsOver],1,Table2[AwayTeam],$A12, Table2[HomeTeam], P$1, Table2[ActualResult], "SO") + SUMIFS(Table2[AwayWon], Table2[GameIsOver],1,Table2[HomeTeam],$A12, Table2[AwayTeam], P$1, Table2[ActualResult], "SO"),0))</f>
        <v>0-0-0</v>
      </c>
      <c r="Q12" s="57" t="str">
        <f>_xlfn.CONCAT(TEXT(SUMIFS(Table2[AwayWon], Table2[GameIsOver],1,Table2[AwayTeam],$A12, Table2[HomeTeam], Q$1) + SUMIFS(Table2[HomeWon_], Table2[GameIsOver],1,Table2[HomeTeam],$A12, Table2[AwayTeam], Q$1),0), "-", TEXT(SUMIFS(Table2[HomeWon_], Table2[GameIsOver],1,Table2[AwayTeam],$A12, Table2[HomeTeam], Q$1, Table2[ActualResult], "REG") + SUMIFS(Table2[AwayWon], Table2[GameIsOver],1,Table2[HomeTeam],$A12, Table2[AwayTeam], Q$1, Table2[ActualResult], "REG"),0), "-", TEXT(SUMIFS(Table2[HomeWon_], Table2[GameIsOver],1,Table2[AwayTeam],$A12, Table2[HomeTeam], Q$1, Table2[ActualResult], "OT") + SUMIFS(Table2[AwayWon], Table2[GameIsOver],1,Table2[HomeTeam],$A12, Table2[AwayTeam], Q$1, Table2[ActualResult], "OT") + SUMIFS(Table2[HomeWon_], Table2[GameIsOver],1,Table2[AwayTeam],$A12, Table2[HomeTeam], Q$1, Table2[ActualResult], "SO") + SUMIFS(Table2[AwayWon], Table2[GameIsOver],1,Table2[HomeTeam],$A12, Table2[AwayTeam], Q$1, Table2[ActualResult], "SO"),0))</f>
        <v>1-0-0</v>
      </c>
      <c r="R12" t="str">
        <f>_xlfn.CONCAT(TEXT(SUMIFS(Table2[AwayWon], Table2[GameIsOver],1,Table2[AwayTeam],$A12, Table2[HomeTeam], R$1) + SUMIFS(Table2[HomeWon_], Table2[GameIsOver],1,Table2[HomeTeam],$A12, Table2[AwayTeam], R$1),0), "-", TEXT(SUMIFS(Table2[HomeWon_], Table2[GameIsOver],1,Table2[AwayTeam],$A12, Table2[HomeTeam], R$1, Table2[ActualResult], "REG") + SUMIFS(Table2[AwayWon], Table2[GameIsOver],1,Table2[HomeTeam],$A12, Table2[AwayTeam], R$1, Table2[ActualResult], "REG"),0), "-", TEXT(SUMIFS(Table2[HomeWon_], Table2[GameIsOver],1,Table2[AwayTeam],$A12, Table2[HomeTeam], R$1, Table2[ActualResult], "OT") + SUMIFS(Table2[AwayWon], Table2[GameIsOver],1,Table2[HomeTeam],$A12, Table2[AwayTeam], R$1, Table2[ActualResult], "OT") + SUMIFS(Table2[HomeWon_], Table2[GameIsOver],1,Table2[AwayTeam],$A12, Table2[HomeTeam], R$1, Table2[ActualResult], "SO") + SUMIFS(Table2[AwayWon], Table2[GameIsOver],1,Table2[HomeTeam],$A12, Table2[AwayTeam], R$1, Table2[ActualResult], "SO"),0))</f>
        <v>0-0-0</v>
      </c>
      <c r="S12" t="str">
        <f>_xlfn.CONCAT(TEXT(SUMIFS(Table2[AwayWon], Table2[GameIsOver],1,Table2[AwayTeam],$A12, Table2[HomeTeam], S$1) + SUMIFS(Table2[HomeWon_], Table2[GameIsOver],1,Table2[HomeTeam],$A12, Table2[AwayTeam], S$1),0), "-", TEXT(SUMIFS(Table2[HomeWon_], Table2[GameIsOver],1,Table2[AwayTeam],$A12, Table2[HomeTeam], S$1, Table2[ActualResult], "REG") + SUMIFS(Table2[AwayWon], Table2[GameIsOver],1,Table2[HomeTeam],$A12, Table2[AwayTeam], S$1, Table2[ActualResult], "REG"),0), "-", TEXT(SUMIFS(Table2[HomeWon_], Table2[GameIsOver],1,Table2[AwayTeam],$A12, Table2[HomeTeam], S$1, Table2[ActualResult], "OT") + SUMIFS(Table2[AwayWon], Table2[GameIsOver],1,Table2[HomeTeam],$A12, Table2[AwayTeam], S$1, Table2[ActualResult], "OT") + SUMIFS(Table2[HomeWon_], Table2[GameIsOver],1,Table2[AwayTeam],$A12, Table2[HomeTeam], S$1, Table2[ActualResult], "SO") + SUMIFS(Table2[AwayWon], Table2[GameIsOver],1,Table2[HomeTeam],$A12, Table2[AwayTeam], S$1, Table2[ActualResult], "SO"),0))</f>
        <v>0-1-0</v>
      </c>
      <c r="T12" t="str">
        <f>_xlfn.CONCAT(TEXT(SUMIFS(Table2[AwayWon], Table2[GameIsOver],1,Table2[AwayTeam],$A12, Table2[HomeTeam], T$1) + SUMIFS(Table2[HomeWon_], Table2[GameIsOver],1,Table2[HomeTeam],$A12, Table2[AwayTeam], T$1),0), "-", TEXT(SUMIFS(Table2[HomeWon_], Table2[GameIsOver],1,Table2[AwayTeam],$A12, Table2[HomeTeam], T$1, Table2[ActualResult], "REG") + SUMIFS(Table2[AwayWon], Table2[GameIsOver],1,Table2[HomeTeam],$A12, Table2[AwayTeam], T$1, Table2[ActualResult], "REG"),0), "-", TEXT(SUMIFS(Table2[HomeWon_], Table2[GameIsOver],1,Table2[AwayTeam],$A12, Table2[HomeTeam], T$1, Table2[ActualResult], "OT") + SUMIFS(Table2[AwayWon], Table2[GameIsOver],1,Table2[HomeTeam],$A12, Table2[AwayTeam], T$1, Table2[ActualResult], "OT") + SUMIFS(Table2[HomeWon_], Table2[GameIsOver],1,Table2[AwayTeam],$A12, Table2[HomeTeam], T$1, Table2[ActualResult], "SO") + SUMIFS(Table2[AwayWon], Table2[GameIsOver],1,Table2[HomeTeam],$A12, Table2[AwayTeam], T$1, Table2[ActualResult], "SO"),0))</f>
        <v>0-0-0</v>
      </c>
      <c r="U12" t="str">
        <f>_xlfn.CONCAT(TEXT(SUMIFS(Table2[AwayWon], Table2[GameIsOver],1,Table2[AwayTeam],$A12, Table2[HomeTeam], U$1) + SUMIFS(Table2[HomeWon_], Table2[GameIsOver],1,Table2[HomeTeam],$A12, Table2[AwayTeam], U$1),0), "-", TEXT(SUMIFS(Table2[HomeWon_], Table2[GameIsOver],1,Table2[AwayTeam],$A12, Table2[HomeTeam], U$1, Table2[ActualResult], "REG") + SUMIFS(Table2[AwayWon], Table2[GameIsOver],1,Table2[HomeTeam],$A12, Table2[AwayTeam], U$1, Table2[ActualResult], "REG"),0), "-", TEXT(SUMIFS(Table2[HomeWon_], Table2[GameIsOver],1,Table2[AwayTeam],$A12, Table2[HomeTeam], U$1, Table2[ActualResult], "OT") + SUMIFS(Table2[AwayWon], Table2[GameIsOver],1,Table2[HomeTeam],$A12, Table2[AwayTeam], U$1, Table2[ActualResult], "OT") + SUMIFS(Table2[HomeWon_], Table2[GameIsOver],1,Table2[AwayTeam],$A12, Table2[HomeTeam], U$1, Table2[ActualResult], "SO") + SUMIFS(Table2[AwayWon], Table2[GameIsOver],1,Table2[HomeTeam],$A12, Table2[AwayTeam], U$1, Table2[ActualResult], "SO"),0))</f>
        <v>0-0-0</v>
      </c>
      <c r="V12" t="str">
        <f>_xlfn.CONCAT(TEXT(SUMIFS(Table2[AwayWon], Table2[GameIsOver],1,Table2[AwayTeam],$A12, Table2[HomeTeam], V$1) + SUMIFS(Table2[HomeWon_], Table2[GameIsOver],1,Table2[HomeTeam],$A12, Table2[AwayTeam], V$1),0), "-", TEXT(SUMIFS(Table2[HomeWon_], Table2[GameIsOver],1,Table2[AwayTeam],$A12, Table2[HomeTeam], V$1, Table2[ActualResult], "REG") + SUMIFS(Table2[AwayWon], Table2[GameIsOver],1,Table2[HomeTeam],$A12, Table2[AwayTeam], V$1, Table2[ActualResult], "REG"),0), "-", TEXT(SUMIFS(Table2[HomeWon_], Table2[GameIsOver],1,Table2[AwayTeam],$A12, Table2[HomeTeam], V$1, Table2[ActualResult], "OT") + SUMIFS(Table2[AwayWon], Table2[GameIsOver],1,Table2[HomeTeam],$A12, Table2[AwayTeam], V$1, Table2[ActualResult], "OT") + SUMIFS(Table2[HomeWon_], Table2[GameIsOver],1,Table2[AwayTeam],$A12, Table2[HomeTeam], V$1, Table2[ActualResult], "SO") + SUMIFS(Table2[AwayWon], Table2[GameIsOver],1,Table2[HomeTeam],$A12, Table2[AwayTeam], V$1, Table2[ActualResult], "SO"),0))</f>
        <v>0-0-0</v>
      </c>
      <c r="W12" t="str">
        <f>_xlfn.CONCAT(TEXT(SUMIFS(Table2[AwayWon], Table2[GameIsOver],1,Table2[AwayTeam],$A12, Table2[HomeTeam], W$1) + SUMIFS(Table2[HomeWon_], Table2[GameIsOver],1,Table2[HomeTeam],$A12, Table2[AwayTeam], W$1),0), "-", TEXT(SUMIFS(Table2[HomeWon_], Table2[GameIsOver],1,Table2[AwayTeam],$A12, Table2[HomeTeam], W$1, Table2[ActualResult], "REG") + SUMIFS(Table2[AwayWon], Table2[GameIsOver],1,Table2[HomeTeam],$A12, Table2[AwayTeam], W$1, Table2[ActualResult], "REG"),0), "-", TEXT(SUMIFS(Table2[HomeWon_], Table2[GameIsOver],1,Table2[AwayTeam],$A12, Table2[HomeTeam], W$1, Table2[ActualResult], "OT") + SUMIFS(Table2[AwayWon], Table2[GameIsOver],1,Table2[HomeTeam],$A12, Table2[AwayTeam], W$1, Table2[ActualResult], "OT") + SUMIFS(Table2[HomeWon_], Table2[GameIsOver],1,Table2[AwayTeam],$A12, Table2[HomeTeam], W$1, Table2[ActualResult], "SO") + SUMIFS(Table2[AwayWon], Table2[GameIsOver],1,Table2[HomeTeam],$A12, Table2[AwayTeam], W$1, Table2[ActualResult], "SO"),0))</f>
        <v>0-0-0</v>
      </c>
      <c r="X12" t="str">
        <f>_xlfn.CONCAT(TEXT(SUMIFS(Table2[AwayWon], Table2[GameIsOver],1,Table2[AwayTeam],$A12, Table2[HomeTeam], X$1) + SUMIFS(Table2[HomeWon_], Table2[GameIsOver],1,Table2[HomeTeam],$A12, Table2[AwayTeam], X$1),0), "-", TEXT(SUMIFS(Table2[HomeWon_], Table2[GameIsOver],1,Table2[AwayTeam],$A12, Table2[HomeTeam], X$1, Table2[ActualResult], "REG") + SUMIFS(Table2[AwayWon], Table2[GameIsOver],1,Table2[HomeTeam],$A12, Table2[AwayTeam], X$1, Table2[ActualResult], "REG"),0), "-", TEXT(SUMIFS(Table2[HomeWon_], Table2[GameIsOver],1,Table2[AwayTeam],$A12, Table2[HomeTeam], X$1, Table2[ActualResult], "OT") + SUMIFS(Table2[AwayWon], Table2[GameIsOver],1,Table2[HomeTeam],$A12, Table2[AwayTeam], X$1, Table2[ActualResult], "OT") + SUMIFS(Table2[HomeWon_], Table2[GameIsOver],1,Table2[AwayTeam],$A12, Table2[HomeTeam], X$1, Table2[ActualResult], "SO") + SUMIFS(Table2[AwayWon], Table2[GameIsOver],1,Table2[HomeTeam],$A12, Table2[AwayTeam], X$1, Table2[ActualResult], "SO"),0))</f>
        <v>0-0-0</v>
      </c>
      <c r="Y12" s="57" t="str">
        <f>_xlfn.CONCAT(TEXT(SUMIFS(Table2[AwayWon], Table2[GameIsOver],1,Table2[AwayTeam],$A12, Table2[HomeTeam], Y$1) + SUMIFS(Table2[HomeWon_], Table2[GameIsOver],1,Table2[HomeTeam],$A12, Table2[AwayTeam], Y$1),0), "-", TEXT(SUMIFS(Table2[HomeWon_], Table2[GameIsOver],1,Table2[AwayTeam],$A12, Table2[HomeTeam], Y$1, Table2[ActualResult], "REG") + SUMIFS(Table2[AwayWon], Table2[GameIsOver],1,Table2[HomeTeam],$A12, Table2[AwayTeam], Y$1, Table2[ActualResult], "REG"),0), "-", TEXT(SUMIFS(Table2[HomeWon_], Table2[GameIsOver],1,Table2[AwayTeam],$A12, Table2[HomeTeam], Y$1, Table2[ActualResult], "OT") + SUMIFS(Table2[AwayWon], Table2[GameIsOver],1,Table2[HomeTeam],$A12, Table2[AwayTeam], Y$1, Table2[ActualResult], "OT") + SUMIFS(Table2[HomeWon_], Table2[GameIsOver],1,Table2[AwayTeam],$A12, Table2[HomeTeam], Y$1, Table2[ActualResult], "SO") + SUMIFS(Table2[AwayWon], Table2[GameIsOver],1,Table2[HomeTeam],$A12, Table2[AwayTeam], Y$1, Table2[ActualResult], "SO"),0))</f>
        <v>0-0-0</v>
      </c>
      <c r="Z12" t="str">
        <f>_xlfn.CONCAT(TEXT(SUMIFS(Table2[AwayWon], Table2[GameIsOver],1,Table2[AwayTeam],$A12, Table2[HomeTeam], Z$1) + SUMIFS(Table2[HomeWon_], Table2[GameIsOver],1,Table2[HomeTeam],$A12, Table2[AwayTeam], Z$1),0), "-", TEXT(SUMIFS(Table2[HomeWon_], Table2[GameIsOver],1,Table2[AwayTeam],$A12, Table2[HomeTeam], Z$1, Table2[ActualResult], "REG") + SUMIFS(Table2[AwayWon], Table2[GameIsOver],1,Table2[HomeTeam],$A12, Table2[AwayTeam], Z$1, Table2[ActualResult], "REG"),0), "-", TEXT(SUMIFS(Table2[HomeWon_], Table2[GameIsOver],1,Table2[AwayTeam],$A12, Table2[HomeTeam], Z$1, Table2[ActualResult], "OT") + SUMIFS(Table2[AwayWon], Table2[GameIsOver],1,Table2[HomeTeam],$A12, Table2[AwayTeam], Z$1, Table2[ActualResult], "OT") + SUMIFS(Table2[HomeWon_], Table2[GameIsOver],1,Table2[AwayTeam],$A12, Table2[HomeTeam], Z$1, Table2[ActualResult], "SO") + SUMIFS(Table2[AwayWon], Table2[GameIsOver],1,Table2[HomeTeam],$A12, Table2[AwayTeam], Z$1, Table2[ActualResult], "SO"),0))</f>
        <v>0-0-0</v>
      </c>
      <c r="AA12" t="str">
        <f>_xlfn.CONCAT(TEXT(SUMIFS(Table2[AwayWon], Table2[GameIsOver],1,Table2[AwayTeam],$A12, Table2[HomeTeam], AA$1) + SUMIFS(Table2[HomeWon_], Table2[GameIsOver],1,Table2[HomeTeam],$A12, Table2[AwayTeam], AA$1),0), "-", TEXT(SUMIFS(Table2[HomeWon_], Table2[GameIsOver],1,Table2[AwayTeam],$A12, Table2[HomeTeam], AA$1, Table2[ActualResult], "REG") + SUMIFS(Table2[AwayWon], Table2[GameIsOver],1,Table2[HomeTeam],$A12, Table2[AwayTeam], AA$1, Table2[ActualResult], "REG"),0), "-", TEXT(SUMIFS(Table2[HomeWon_], Table2[GameIsOver],1,Table2[AwayTeam],$A12, Table2[HomeTeam], AA$1, Table2[ActualResult], "OT") + SUMIFS(Table2[AwayWon], Table2[GameIsOver],1,Table2[HomeTeam],$A12, Table2[AwayTeam], AA$1, Table2[ActualResult], "OT") + SUMIFS(Table2[HomeWon_], Table2[GameIsOver],1,Table2[AwayTeam],$A12, Table2[HomeTeam], AA$1, Table2[ActualResult], "SO") + SUMIFS(Table2[AwayWon], Table2[GameIsOver],1,Table2[HomeTeam],$A12, Table2[AwayTeam], AA$1, Table2[ActualResult], "SO"),0))</f>
        <v>0-0-0</v>
      </c>
      <c r="AB12" t="str">
        <f>_xlfn.CONCAT(TEXT(SUMIFS(Table2[AwayWon], Table2[GameIsOver],1,Table2[AwayTeam],$A12, Table2[HomeTeam], AB$1) + SUMIFS(Table2[HomeWon_], Table2[GameIsOver],1,Table2[HomeTeam],$A12, Table2[AwayTeam], AB$1),0), "-", TEXT(SUMIFS(Table2[HomeWon_], Table2[GameIsOver],1,Table2[AwayTeam],$A12, Table2[HomeTeam], AB$1, Table2[ActualResult], "REG") + SUMIFS(Table2[AwayWon], Table2[GameIsOver],1,Table2[HomeTeam],$A12, Table2[AwayTeam], AB$1, Table2[ActualResult], "REG"),0), "-", TEXT(SUMIFS(Table2[HomeWon_], Table2[GameIsOver],1,Table2[AwayTeam],$A12, Table2[HomeTeam], AB$1, Table2[ActualResult], "OT") + SUMIFS(Table2[AwayWon], Table2[GameIsOver],1,Table2[HomeTeam],$A12, Table2[AwayTeam], AB$1, Table2[ActualResult], "OT") + SUMIFS(Table2[HomeWon_], Table2[GameIsOver],1,Table2[AwayTeam],$A12, Table2[HomeTeam], AB$1, Table2[ActualResult], "SO") + SUMIFS(Table2[AwayWon], Table2[GameIsOver],1,Table2[HomeTeam],$A12, Table2[AwayTeam], AB$1, Table2[ActualResult], "SO"),0))</f>
        <v>0-0-0</v>
      </c>
      <c r="AC12" t="str">
        <f>_xlfn.CONCAT(TEXT(SUMIFS(Table2[AwayWon], Table2[GameIsOver],1,Table2[AwayTeam],$A12, Table2[HomeTeam], AC$1) + SUMIFS(Table2[HomeWon_], Table2[GameIsOver],1,Table2[HomeTeam],$A12, Table2[AwayTeam], AC$1),0), "-", TEXT(SUMIFS(Table2[HomeWon_], Table2[GameIsOver],1,Table2[AwayTeam],$A12, Table2[HomeTeam], AC$1, Table2[ActualResult], "REG") + SUMIFS(Table2[AwayWon], Table2[GameIsOver],1,Table2[HomeTeam],$A12, Table2[AwayTeam], AC$1, Table2[ActualResult], "REG"),0), "-", TEXT(SUMIFS(Table2[HomeWon_], Table2[GameIsOver],1,Table2[AwayTeam],$A12, Table2[HomeTeam], AC$1, Table2[ActualResult], "OT") + SUMIFS(Table2[AwayWon], Table2[GameIsOver],1,Table2[HomeTeam],$A12, Table2[AwayTeam], AC$1, Table2[ActualResult], "OT") + SUMIFS(Table2[HomeWon_], Table2[GameIsOver],1,Table2[AwayTeam],$A12, Table2[HomeTeam], AC$1, Table2[ActualResult], "SO") + SUMIFS(Table2[AwayWon], Table2[GameIsOver],1,Table2[HomeTeam],$A12, Table2[AwayTeam], AC$1, Table2[ActualResult], "SO"),0))</f>
        <v>0-0-0</v>
      </c>
      <c r="AD12" t="str">
        <f>_xlfn.CONCAT(TEXT(SUMIFS(Table2[AwayWon], Table2[GameIsOver],1,Table2[AwayTeam],$A12, Table2[HomeTeam], AD$1) + SUMIFS(Table2[HomeWon_], Table2[GameIsOver],1,Table2[HomeTeam],$A12, Table2[AwayTeam], AD$1),0), "-", TEXT(SUMIFS(Table2[HomeWon_], Table2[GameIsOver],1,Table2[AwayTeam],$A12, Table2[HomeTeam], AD$1, Table2[ActualResult], "REG") + SUMIFS(Table2[AwayWon], Table2[GameIsOver],1,Table2[HomeTeam],$A12, Table2[AwayTeam], AD$1, Table2[ActualResult], "REG"),0), "-", TEXT(SUMIFS(Table2[HomeWon_], Table2[GameIsOver],1,Table2[AwayTeam],$A12, Table2[HomeTeam], AD$1, Table2[ActualResult], "OT") + SUMIFS(Table2[AwayWon], Table2[GameIsOver],1,Table2[HomeTeam],$A12, Table2[AwayTeam], AD$1, Table2[ActualResult], "OT") + SUMIFS(Table2[HomeWon_], Table2[GameIsOver],1,Table2[AwayTeam],$A12, Table2[HomeTeam], AD$1, Table2[ActualResult], "SO") + SUMIFS(Table2[AwayWon], Table2[GameIsOver],1,Table2[HomeTeam],$A12, Table2[AwayTeam], AD$1, Table2[ActualResult], "SO"),0))</f>
        <v>0-0-0</v>
      </c>
      <c r="AE12" t="str">
        <f>_xlfn.CONCAT(TEXT(SUMIFS(Table2[AwayWon], Table2[GameIsOver],1,Table2[AwayTeam],$A12, Table2[HomeTeam], AE$1) + SUMIFS(Table2[HomeWon_], Table2[GameIsOver],1,Table2[HomeTeam],$A12, Table2[AwayTeam], AE$1),0), "-", TEXT(SUMIFS(Table2[HomeWon_], Table2[GameIsOver],1,Table2[AwayTeam],$A12, Table2[HomeTeam], AE$1, Table2[ActualResult], "REG") + SUMIFS(Table2[AwayWon], Table2[GameIsOver],1,Table2[HomeTeam],$A12, Table2[AwayTeam], AE$1, Table2[ActualResult], "REG"),0), "-", TEXT(SUMIFS(Table2[HomeWon_], Table2[GameIsOver],1,Table2[AwayTeam],$A12, Table2[HomeTeam], AE$1, Table2[ActualResult], "OT") + SUMIFS(Table2[AwayWon], Table2[GameIsOver],1,Table2[HomeTeam],$A12, Table2[AwayTeam], AE$1, Table2[ActualResult], "OT") + SUMIFS(Table2[HomeWon_], Table2[GameIsOver],1,Table2[AwayTeam],$A12, Table2[HomeTeam], AE$1, Table2[ActualResult], "SO") + SUMIFS(Table2[AwayWon], Table2[GameIsOver],1,Table2[HomeTeam],$A12, Table2[AwayTeam], AE$1, Table2[ActualResult], "SO"),0))</f>
        <v>0-0-0</v>
      </c>
      <c r="AF12" t="str">
        <f>_xlfn.CONCAT(TEXT(SUMIFS(Table2[AwayWon], Table2[GameIsOver],1,Table2[AwayTeam],$A12, Table2[HomeTeam], AF$1) + SUMIFS(Table2[HomeWon_], Table2[GameIsOver],1,Table2[HomeTeam],$A12, Table2[AwayTeam], AF$1),0), "-", TEXT(SUMIFS(Table2[HomeWon_], Table2[GameIsOver],1,Table2[AwayTeam],$A12, Table2[HomeTeam], AF$1, Table2[ActualResult], "REG") + SUMIFS(Table2[AwayWon], Table2[GameIsOver],1,Table2[HomeTeam],$A12, Table2[AwayTeam], AF$1, Table2[ActualResult], "REG"),0), "-", TEXT(SUMIFS(Table2[HomeWon_], Table2[GameIsOver],1,Table2[AwayTeam],$A12, Table2[HomeTeam], AF$1, Table2[ActualResult], "OT") + SUMIFS(Table2[AwayWon], Table2[GameIsOver],1,Table2[HomeTeam],$A12, Table2[AwayTeam], AF$1, Table2[ActualResult], "OT") + SUMIFS(Table2[HomeWon_], Table2[GameIsOver],1,Table2[AwayTeam],$A12, Table2[HomeTeam], AF$1, Table2[ActualResult], "SO") + SUMIFS(Table2[AwayWon], Table2[GameIsOver],1,Table2[HomeTeam],$A12, Table2[AwayTeam], AF$1, Table2[ActualResult], "SO"),0))</f>
        <v>0-0-0</v>
      </c>
      <c r="AG12" t="str">
        <f>_xlfn.CONCAT(TEXT(SUMIFS(Table2[AwayWon], Table2[GameIsOver],1,Table2[AwayTeam],$A12, Table2[HomeTeam], AG$1) + SUMIFS(Table2[HomeWon_], Table2[GameIsOver],1,Table2[HomeTeam],$A12, Table2[AwayTeam], AG$1),0), "-", TEXT(SUMIFS(Table2[HomeWon_], Table2[GameIsOver],1,Table2[AwayTeam],$A12, Table2[HomeTeam], AG$1, Table2[ActualResult], "REG") + SUMIFS(Table2[AwayWon], Table2[GameIsOver],1,Table2[HomeTeam],$A12, Table2[AwayTeam], AG$1, Table2[ActualResult], "REG"),0), "-", TEXT(SUMIFS(Table2[HomeWon_], Table2[GameIsOver],1,Table2[AwayTeam],$A12, Table2[HomeTeam], AG$1, Table2[ActualResult], "OT") + SUMIFS(Table2[AwayWon], Table2[GameIsOver],1,Table2[HomeTeam],$A12, Table2[AwayTeam], AG$1, Table2[ActualResult], "OT") + SUMIFS(Table2[HomeWon_], Table2[GameIsOver],1,Table2[AwayTeam],$A12, Table2[HomeTeam], AG$1, Table2[ActualResult], "SO") + SUMIFS(Table2[AwayWon], Table2[GameIsOver],1,Table2[HomeTeam],$A12, Table2[AwayTeam], AG$1, Table2[ActualResult], "SO"),0))</f>
        <v>0-0-0</v>
      </c>
    </row>
    <row r="13" spans="1:33" x14ac:dyDescent="0.25">
      <c r="A13" s="57" t="s">
        <v>36</v>
      </c>
      <c r="B13" t="str">
        <f>_xlfn.CONCAT(TEXT(SUMIFS(Table2[AwayWon], Table2[GameIsOver],1,Table2[AwayTeam],$A13, Table2[HomeTeam], B$1) + SUMIFS(Table2[HomeWon_], Table2[GameIsOver],1,Table2[HomeTeam],$A13, Table2[AwayTeam], B$1),0), "-", TEXT(SUMIFS(Table2[HomeWon_], Table2[GameIsOver],1,Table2[AwayTeam],$A13, Table2[HomeTeam], B$1, Table2[ActualResult], "REG") + SUMIFS(Table2[AwayWon], Table2[GameIsOver],1,Table2[HomeTeam],$A13, Table2[AwayTeam], B$1, Table2[ActualResult], "REG"),0), "-", TEXT(SUMIFS(Table2[HomeWon_], Table2[GameIsOver],1,Table2[AwayTeam],$A13, Table2[HomeTeam], B$1, Table2[ActualResult], "OT") + SUMIFS(Table2[AwayWon], Table2[GameIsOver],1,Table2[HomeTeam],$A13, Table2[AwayTeam], B$1, Table2[ActualResult], "OT") + SUMIFS(Table2[HomeWon_], Table2[GameIsOver],1,Table2[AwayTeam],$A13, Table2[HomeTeam], B$1, Table2[ActualResult], "SO") + SUMIFS(Table2[AwayWon], Table2[GameIsOver],1,Table2[HomeTeam],$A13, Table2[AwayTeam], B$1, Table2[ActualResult], "SO"),0))</f>
        <v>0-0-0</v>
      </c>
      <c r="C13" t="str">
        <f>_xlfn.CONCAT(TEXT(SUMIFS(Table2[AwayWon], Table2[GameIsOver],1,Table2[AwayTeam],$A13, Table2[HomeTeam], C$1) + SUMIFS(Table2[HomeWon_], Table2[GameIsOver],1,Table2[HomeTeam],$A13, Table2[AwayTeam], C$1),0), "-", TEXT(SUMIFS(Table2[HomeWon_], Table2[GameIsOver],1,Table2[AwayTeam],$A13, Table2[HomeTeam], C$1, Table2[ActualResult], "REG") + SUMIFS(Table2[AwayWon], Table2[GameIsOver],1,Table2[HomeTeam],$A13, Table2[AwayTeam], C$1, Table2[ActualResult], "REG"),0), "-", TEXT(SUMIFS(Table2[HomeWon_], Table2[GameIsOver],1,Table2[AwayTeam],$A13, Table2[HomeTeam], C$1, Table2[ActualResult], "OT") + SUMIFS(Table2[AwayWon], Table2[GameIsOver],1,Table2[HomeTeam],$A13, Table2[AwayTeam], C$1, Table2[ActualResult], "OT") + SUMIFS(Table2[HomeWon_], Table2[GameIsOver],1,Table2[AwayTeam],$A13, Table2[HomeTeam], C$1, Table2[ActualResult], "SO") + SUMIFS(Table2[AwayWon], Table2[GameIsOver],1,Table2[HomeTeam],$A13, Table2[AwayTeam], C$1, Table2[ActualResult], "SO"),0))</f>
        <v>0-0-0</v>
      </c>
      <c r="D13" t="str">
        <f>_xlfn.CONCAT(TEXT(SUMIFS(Table2[AwayWon], Table2[GameIsOver],1,Table2[AwayTeam],$A13, Table2[HomeTeam], D$1) + SUMIFS(Table2[HomeWon_], Table2[GameIsOver],1,Table2[HomeTeam],$A13, Table2[AwayTeam], D$1),0), "-", TEXT(SUMIFS(Table2[HomeWon_], Table2[GameIsOver],1,Table2[AwayTeam],$A13, Table2[HomeTeam], D$1, Table2[ActualResult], "REG") + SUMIFS(Table2[AwayWon], Table2[GameIsOver],1,Table2[HomeTeam],$A13, Table2[AwayTeam], D$1, Table2[ActualResult], "REG"),0), "-", TEXT(SUMIFS(Table2[HomeWon_], Table2[GameIsOver],1,Table2[AwayTeam],$A13, Table2[HomeTeam], D$1, Table2[ActualResult], "OT") + SUMIFS(Table2[AwayWon], Table2[GameIsOver],1,Table2[HomeTeam],$A13, Table2[AwayTeam], D$1, Table2[ActualResult], "OT") + SUMIFS(Table2[HomeWon_], Table2[GameIsOver],1,Table2[AwayTeam],$A13, Table2[HomeTeam], D$1, Table2[ActualResult], "SO") + SUMIFS(Table2[AwayWon], Table2[GameIsOver],1,Table2[HomeTeam],$A13, Table2[AwayTeam], D$1, Table2[ActualResult], "SO"),0))</f>
        <v>0-0-0</v>
      </c>
      <c r="E13" t="str">
        <f>_xlfn.CONCAT(TEXT(SUMIFS(Table2[AwayWon], Table2[GameIsOver],1,Table2[AwayTeam],$A13, Table2[HomeTeam], E$1) + SUMIFS(Table2[HomeWon_], Table2[GameIsOver],1,Table2[HomeTeam],$A13, Table2[AwayTeam], E$1),0), "-", TEXT(SUMIFS(Table2[HomeWon_], Table2[GameIsOver],1,Table2[AwayTeam],$A13, Table2[HomeTeam], E$1, Table2[ActualResult], "REG") + SUMIFS(Table2[AwayWon], Table2[GameIsOver],1,Table2[HomeTeam],$A13, Table2[AwayTeam], E$1, Table2[ActualResult], "REG"),0), "-", TEXT(SUMIFS(Table2[HomeWon_], Table2[GameIsOver],1,Table2[AwayTeam],$A13, Table2[HomeTeam], E$1, Table2[ActualResult], "OT") + SUMIFS(Table2[AwayWon], Table2[GameIsOver],1,Table2[HomeTeam],$A13, Table2[AwayTeam], E$1, Table2[ActualResult], "OT") + SUMIFS(Table2[HomeWon_], Table2[GameIsOver],1,Table2[AwayTeam],$A13, Table2[HomeTeam], E$1, Table2[ActualResult], "SO") + SUMIFS(Table2[AwayWon], Table2[GameIsOver],1,Table2[HomeTeam],$A13, Table2[AwayTeam], E$1, Table2[ActualResult], "SO"),0))</f>
        <v>1-0-0</v>
      </c>
      <c r="F13" t="str">
        <f>_xlfn.CONCAT(TEXT(SUMIFS(Table2[AwayWon], Table2[GameIsOver],1,Table2[AwayTeam],$A13, Table2[HomeTeam], F$1) + SUMIFS(Table2[HomeWon_], Table2[GameIsOver],1,Table2[HomeTeam],$A13, Table2[AwayTeam], F$1),0), "-", TEXT(SUMIFS(Table2[HomeWon_], Table2[GameIsOver],1,Table2[AwayTeam],$A13, Table2[HomeTeam], F$1, Table2[ActualResult], "REG") + SUMIFS(Table2[AwayWon], Table2[GameIsOver],1,Table2[HomeTeam],$A13, Table2[AwayTeam], F$1, Table2[ActualResult], "REG"),0), "-", TEXT(SUMIFS(Table2[HomeWon_], Table2[GameIsOver],1,Table2[AwayTeam],$A13, Table2[HomeTeam], F$1, Table2[ActualResult], "OT") + SUMIFS(Table2[AwayWon], Table2[GameIsOver],1,Table2[HomeTeam],$A13, Table2[AwayTeam], F$1, Table2[ActualResult], "OT") + SUMIFS(Table2[HomeWon_], Table2[GameIsOver],1,Table2[AwayTeam],$A13, Table2[HomeTeam], F$1, Table2[ActualResult], "SO") + SUMIFS(Table2[AwayWon], Table2[GameIsOver],1,Table2[HomeTeam],$A13, Table2[AwayTeam], F$1, Table2[ActualResult], "SO"),0))</f>
        <v>0-0-0</v>
      </c>
      <c r="G13" t="str">
        <f>_xlfn.CONCAT(TEXT(SUMIFS(Table2[AwayWon], Table2[GameIsOver],1,Table2[AwayTeam],$A13, Table2[HomeTeam], G$1) + SUMIFS(Table2[HomeWon_], Table2[GameIsOver],1,Table2[HomeTeam],$A13, Table2[AwayTeam], G$1),0), "-", TEXT(SUMIFS(Table2[HomeWon_], Table2[GameIsOver],1,Table2[AwayTeam],$A13, Table2[HomeTeam], G$1, Table2[ActualResult], "REG") + SUMIFS(Table2[AwayWon], Table2[GameIsOver],1,Table2[HomeTeam],$A13, Table2[AwayTeam], G$1, Table2[ActualResult], "REG"),0), "-", TEXT(SUMIFS(Table2[HomeWon_], Table2[GameIsOver],1,Table2[AwayTeam],$A13, Table2[HomeTeam], G$1, Table2[ActualResult], "OT") + SUMIFS(Table2[AwayWon], Table2[GameIsOver],1,Table2[HomeTeam],$A13, Table2[AwayTeam], G$1, Table2[ActualResult], "OT") + SUMIFS(Table2[HomeWon_], Table2[GameIsOver],1,Table2[AwayTeam],$A13, Table2[HomeTeam], G$1, Table2[ActualResult], "SO") + SUMIFS(Table2[AwayWon], Table2[GameIsOver],1,Table2[HomeTeam],$A13, Table2[AwayTeam], G$1, Table2[ActualResult], "SO"),0))</f>
        <v>0-0-0</v>
      </c>
      <c r="H13" t="str">
        <f>_xlfn.CONCAT(TEXT(SUMIFS(Table2[AwayWon], Table2[GameIsOver],1,Table2[AwayTeam],$A13, Table2[HomeTeam], H$1) + SUMIFS(Table2[HomeWon_], Table2[GameIsOver],1,Table2[HomeTeam],$A13, Table2[AwayTeam], H$1),0), "-", TEXT(SUMIFS(Table2[HomeWon_], Table2[GameIsOver],1,Table2[AwayTeam],$A13, Table2[HomeTeam], H$1, Table2[ActualResult], "REG") + SUMIFS(Table2[AwayWon], Table2[GameIsOver],1,Table2[HomeTeam],$A13, Table2[AwayTeam], H$1, Table2[ActualResult], "REG"),0), "-", TEXT(SUMIFS(Table2[HomeWon_], Table2[GameIsOver],1,Table2[AwayTeam],$A13, Table2[HomeTeam], H$1, Table2[ActualResult], "OT") + SUMIFS(Table2[AwayWon], Table2[GameIsOver],1,Table2[HomeTeam],$A13, Table2[AwayTeam], H$1, Table2[ActualResult], "OT") + SUMIFS(Table2[HomeWon_], Table2[GameIsOver],1,Table2[AwayTeam],$A13, Table2[HomeTeam], H$1, Table2[ActualResult], "SO") + SUMIFS(Table2[AwayWon], Table2[GameIsOver],1,Table2[HomeTeam],$A13, Table2[AwayTeam], H$1, Table2[ActualResult], "SO"),0))</f>
        <v>0-0-0</v>
      </c>
      <c r="I13" s="57" t="str">
        <f>_xlfn.CONCAT(TEXT(SUMIFS(Table2[AwayWon], Table2[GameIsOver],1,Table2[AwayTeam],$A13, Table2[HomeTeam], I$1) + SUMIFS(Table2[HomeWon_], Table2[GameIsOver],1,Table2[HomeTeam],$A13, Table2[AwayTeam], I$1),0), "-", TEXT(SUMIFS(Table2[HomeWon_], Table2[GameIsOver],1,Table2[AwayTeam],$A13, Table2[HomeTeam], I$1, Table2[ActualResult], "REG") + SUMIFS(Table2[AwayWon], Table2[GameIsOver],1,Table2[HomeTeam],$A13, Table2[AwayTeam], I$1, Table2[ActualResult], "REG"),0), "-", TEXT(SUMIFS(Table2[HomeWon_], Table2[GameIsOver],1,Table2[AwayTeam],$A13, Table2[HomeTeam], I$1, Table2[ActualResult], "OT") + SUMIFS(Table2[AwayWon], Table2[GameIsOver],1,Table2[HomeTeam],$A13, Table2[AwayTeam], I$1, Table2[ActualResult], "OT") + SUMIFS(Table2[HomeWon_], Table2[GameIsOver],1,Table2[AwayTeam],$A13, Table2[HomeTeam], I$1, Table2[ActualResult], "SO") + SUMIFS(Table2[AwayWon], Table2[GameIsOver],1,Table2[HomeTeam],$A13, Table2[AwayTeam], I$1, Table2[ActualResult], "SO"),0))</f>
        <v>0-0-0</v>
      </c>
      <c r="J13" t="str">
        <f>_xlfn.CONCAT(TEXT(SUMIFS(Table2[AwayWon], Table2[GameIsOver],1,Table2[AwayTeam],$A13, Table2[HomeTeam], J$1) + SUMIFS(Table2[HomeWon_], Table2[GameIsOver],1,Table2[HomeTeam],$A13, Table2[AwayTeam], J$1),0), "-", TEXT(SUMIFS(Table2[HomeWon_], Table2[GameIsOver],1,Table2[AwayTeam],$A13, Table2[HomeTeam], J$1, Table2[ActualResult], "REG") + SUMIFS(Table2[AwayWon], Table2[GameIsOver],1,Table2[HomeTeam],$A13, Table2[AwayTeam], J$1, Table2[ActualResult], "REG"),0), "-", TEXT(SUMIFS(Table2[HomeWon_], Table2[GameIsOver],1,Table2[AwayTeam],$A13, Table2[HomeTeam], J$1, Table2[ActualResult], "OT") + SUMIFS(Table2[AwayWon], Table2[GameIsOver],1,Table2[HomeTeam],$A13, Table2[AwayTeam], J$1, Table2[ActualResult], "OT") + SUMIFS(Table2[HomeWon_], Table2[GameIsOver],1,Table2[AwayTeam],$A13, Table2[HomeTeam], J$1, Table2[ActualResult], "SO") + SUMIFS(Table2[AwayWon], Table2[GameIsOver],1,Table2[HomeTeam],$A13, Table2[AwayTeam], J$1, Table2[ActualResult], "SO"),0))</f>
        <v>0-0-0</v>
      </c>
      <c r="K13" t="str">
        <f>_xlfn.CONCAT(TEXT(SUMIFS(Table2[AwayWon], Table2[GameIsOver],1,Table2[AwayTeam],$A13, Table2[HomeTeam], K$1) + SUMIFS(Table2[HomeWon_], Table2[GameIsOver],1,Table2[HomeTeam],$A13, Table2[AwayTeam], K$1),0), "-", TEXT(SUMIFS(Table2[HomeWon_], Table2[GameIsOver],1,Table2[AwayTeam],$A13, Table2[HomeTeam], K$1, Table2[ActualResult], "REG") + SUMIFS(Table2[AwayWon], Table2[GameIsOver],1,Table2[HomeTeam],$A13, Table2[AwayTeam], K$1, Table2[ActualResult], "REG"),0), "-", TEXT(SUMIFS(Table2[HomeWon_], Table2[GameIsOver],1,Table2[AwayTeam],$A13, Table2[HomeTeam], K$1, Table2[ActualResult], "OT") + SUMIFS(Table2[AwayWon], Table2[GameIsOver],1,Table2[HomeTeam],$A13, Table2[AwayTeam], K$1, Table2[ActualResult], "OT") + SUMIFS(Table2[HomeWon_], Table2[GameIsOver],1,Table2[AwayTeam],$A13, Table2[HomeTeam], K$1, Table2[ActualResult], "SO") + SUMIFS(Table2[AwayWon], Table2[GameIsOver],1,Table2[HomeTeam],$A13, Table2[AwayTeam], K$1, Table2[ActualResult], "SO"),0))</f>
        <v>0-0-0</v>
      </c>
      <c r="L13" t="str">
        <f>_xlfn.CONCAT(TEXT(SUMIFS(Table2[AwayWon], Table2[GameIsOver],1,Table2[AwayTeam],$A13, Table2[HomeTeam], L$1) + SUMIFS(Table2[HomeWon_], Table2[GameIsOver],1,Table2[HomeTeam],$A13, Table2[AwayTeam], L$1),0), "-", TEXT(SUMIFS(Table2[HomeWon_], Table2[GameIsOver],1,Table2[AwayTeam],$A13, Table2[HomeTeam], L$1, Table2[ActualResult], "REG") + SUMIFS(Table2[AwayWon], Table2[GameIsOver],1,Table2[HomeTeam],$A13, Table2[AwayTeam], L$1, Table2[ActualResult], "REG"),0), "-", TEXT(SUMIFS(Table2[HomeWon_], Table2[GameIsOver],1,Table2[AwayTeam],$A13, Table2[HomeTeam], L$1, Table2[ActualResult], "OT") + SUMIFS(Table2[AwayWon], Table2[GameIsOver],1,Table2[HomeTeam],$A13, Table2[AwayTeam], L$1, Table2[ActualResult], "OT") + SUMIFS(Table2[HomeWon_], Table2[GameIsOver],1,Table2[AwayTeam],$A13, Table2[HomeTeam], L$1, Table2[ActualResult], "SO") + SUMIFS(Table2[AwayWon], Table2[GameIsOver],1,Table2[HomeTeam],$A13, Table2[AwayTeam], L$1, Table2[ActualResult], "SO"),0))</f>
        <v>0-1-0</v>
      </c>
      <c r="M13" s="89"/>
      <c r="N13" t="str">
        <f>_xlfn.CONCAT(TEXT(SUMIFS(Table2[AwayWon], Table2[GameIsOver],1,Table2[AwayTeam],$A13, Table2[HomeTeam], N$1) + SUMIFS(Table2[HomeWon_], Table2[GameIsOver],1,Table2[HomeTeam],$A13, Table2[AwayTeam], N$1),0), "-", TEXT(SUMIFS(Table2[HomeWon_], Table2[GameIsOver],1,Table2[AwayTeam],$A13, Table2[HomeTeam], N$1, Table2[ActualResult], "REG") + SUMIFS(Table2[AwayWon], Table2[GameIsOver],1,Table2[HomeTeam],$A13, Table2[AwayTeam], N$1, Table2[ActualResult], "REG"),0), "-", TEXT(SUMIFS(Table2[HomeWon_], Table2[GameIsOver],1,Table2[AwayTeam],$A13, Table2[HomeTeam], N$1, Table2[ActualResult], "OT") + SUMIFS(Table2[AwayWon], Table2[GameIsOver],1,Table2[HomeTeam],$A13, Table2[AwayTeam], N$1, Table2[ActualResult], "OT") + SUMIFS(Table2[HomeWon_], Table2[GameIsOver],1,Table2[AwayTeam],$A13, Table2[HomeTeam], N$1, Table2[ActualResult], "SO") + SUMIFS(Table2[AwayWon], Table2[GameIsOver],1,Table2[HomeTeam],$A13, Table2[AwayTeam], N$1, Table2[ActualResult], "SO"),0))</f>
        <v>0-0-0</v>
      </c>
      <c r="O13" t="str">
        <f>_xlfn.CONCAT(TEXT(SUMIFS(Table2[AwayWon], Table2[GameIsOver],1,Table2[AwayTeam],$A13, Table2[HomeTeam], O$1) + SUMIFS(Table2[HomeWon_], Table2[GameIsOver],1,Table2[HomeTeam],$A13, Table2[AwayTeam], O$1),0), "-", TEXT(SUMIFS(Table2[HomeWon_], Table2[GameIsOver],1,Table2[AwayTeam],$A13, Table2[HomeTeam], O$1, Table2[ActualResult], "REG") + SUMIFS(Table2[AwayWon], Table2[GameIsOver],1,Table2[HomeTeam],$A13, Table2[AwayTeam], O$1, Table2[ActualResult], "REG"),0), "-", TEXT(SUMIFS(Table2[HomeWon_], Table2[GameIsOver],1,Table2[AwayTeam],$A13, Table2[HomeTeam], O$1, Table2[ActualResult], "OT") + SUMIFS(Table2[AwayWon], Table2[GameIsOver],1,Table2[HomeTeam],$A13, Table2[AwayTeam], O$1, Table2[ActualResult], "OT") + SUMIFS(Table2[HomeWon_], Table2[GameIsOver],1,Table2[AwayTeam],$A13, Table2[HomeTeam], O$1, Table2[ActualResult], "SO") + SUMIFS(Table2[AwayWon], Table2[GameIsOver],1,Table2[HomeTeam],$A13, Table2[AwayTeam], O$1, Table2[ActualResult], "SO"),0))</f>
        <v>1-0-0</v>
      </c>
      <c r="P13" t="str">
        <f>_xlfn.CONCAT(TEXT(SUMIFS(Table2[AwayWon], Table2[GameIsOver],1,Table2[AwayTeam],$A13, Table2[HomeTeam], P$1) + SUMIFS(Table2[HomeWon_], Table2[GameIsOver],1,Table2[HomeTeam],$A13, Table2[AwayTeam], P$1),0), "-", TEXT(SUMIFS(Table2[HomeWon_], Table2[GameIsOver],1,Table2[AwayTeam],$A13, Table2[HomeTeam], P$1, Table2[ActualResult], "REG") + SUMIFS(Table2[AwayWon], Table2[GameIsOver],1,Table2[HomeTeam],$A13, Table2[AwayTeam], P$1, Table2[ActualResult], "REG"),0), "-", TEXT(SUMIFS(Table2[HomeWon_], Table2[GameIsOver],1,Table2[AwayTeam],$A13, Table2[HomeTeam], P$1, Table2[ActualResult], "OT") + SUMIFS(Table2[AwayWon], Table2[GameIsOver],1,Table2[HomeTeam],$A13, Table2[AwayTeam], P$1, Table2[ActualResult], "OT") + SUMIFS(Table2[HomeWon_], Table2[GameIsOver],1,Table2[AwayTeam],$A13, Table2[HomeTeam], P$1, Table2[ActualResult], "SO") + SUMIFS(Table2[AwayWon], Table2[GameIsOver],1,Table2[HomeTeam],$A13, Table2[AwayTeam], P$1, Table2[ActualResult], "SO"),0))</f>
        <v>0-0-0</v>
      </c>
      <c r="Q13" s="57" t="str">
        <f>_xlfn.CONCAT(TEXT(SUMIFS(Table2[AwayWon], Table2[GameIsOver],1,Table2[AwayTeam],$A13, Table2[HomeTeam], Q$1) + SUMIFS(Table2[HomeWon_], Table2[GameIsOver],1,Table2[HomeTeam],$A13, Table2[AwayTeam], Q$1),0), "-", TEXT(SUMIFS(Table2[HomeWon_], Table2[GameIsOver],1,Table2[AwayTeam],$A13, Table2[HomeTeam], Q$1, Table2[ActualResult], "REG") + SUMIFS(Table2[AwayWon], Table2[GameIsOver],1,Table2[HomeTeam],$A13, Table2[AwayTeam], Q$1, Table2[ActualResult], "REG"),0), "-", TEXT(SUMIFS(Table2[HomeWon_], Table2[GameIsOver],1,Table2[AwayTeam],$A13, Table2[HomeTeam], Q$1, Table2[ActualResult], "OT") + SUMIFS(Table2[AwayWon], Table2[GameIsOver],1,Table2[HomeTeam],$A13, Table2[AwayTeam], Q$1, Table2[ActualResult], "OT") + SUMIFS(Table2[HomeWon_], Table2[GameIsOver],1,Table2[AwayTeam],$A13, Table2[HomeTeam], Q$1, Table2[ActualResult], "SO") + SUMIFS(Table2[AwayWon], Table2[GameIsOver],1,Table2[HomeTeam],$A13, Table2[AwayTeam], Q$1, Table2[ActualResult], "SO"),0))</f>
        <v>0-0-0</v>
      </c>
      <c r="R13" t="str">
        <f>_xlfn.CONCAT(TEXT(SUMIFS(Table2[AwayWon], Table2[GameIsOver],1,Table2[AwayTeam],$A13, Table2[HomeTeam], R$1) + SUMIFS(Table2[HomeWon_], Table2[GameIsOver],1,Table2[HomeTeam],$A13, Table2[AwayTeam], R$1),0), "-", TEXT(SUMIFS(Table2[HomeWon_], Table2[GameIsOver],1,Table2[AwayTeam],$A13, Table2[HomeTeam], R$1, Table2[ActualResult], "REG") + SUMIFS(Table2[AwayWon], Table2[GameIsOver],1,Table2[HomeTeam],$A13, Table2[AwayTeam], R$1, Table2[ActualResult], "REG"),0), "-", TEXT(SUMIFS(Table2[HomeWon_], Table2[GameIsOver],1,Table2[AwayTeam],$A13, Table2[HomeTeam], R$1, Table2[ActualResult], "OT") + SUMIFS(Table2[AwayWon], Table2[GameIsOver],1,Table2[HomeTeam],$A13, Table2[AwayTeam], R$1, Table2[ActualResult], "OT") + SUMIFS(Table2[HomeWon_], Table2[GameIsOver],1,Table2[AwayTeam],$A13, Table2[HomeTeam], R$1, Table2[ActualResult], "SO") + SUMIFS(Table2[AwayWon], Table2[GameIsOver],1,Table2[HomeTeam],$A13, Table2[AwayTeam], R$1, Table2[ActualResult], "SO"),0))</f>
        <v>0-0-0</v>
      </c>
      <c r="S13" t="str">
        <f>_xlfn.CONCAT(TEXT(SUMIFS(Table2[AwayWon], Table2[GameIsOver],1,Table2[AwayTeam],$A13, Table2[HomeTeam], S$1) + SUMIFS(Table2[HomeWon_], Table2[GameIsOver],1,Table2[HomeTeam],$A13, Table2[AwayTeam], S$1),0), "-", TEXT(SUMIFS(Table2[HomeWon_], Table2[GameIsOver],1,Table2[AwayTeam],$A13, Table2[HomeTeam], S$1, Table2[ActualResult], "REG") + SUMIFS(Table2[AwayWon], Table2[GameIsOver],1,Table2[HomeTeam],$A13, Table2[AwayTeam], S$1, Table2[ActualResult], "REG"),0), "-", TEXT(SUMIFS(Table2[HomeWon_], Table2[GameIsOver],1,Table2[AwayTeam],$A13, Table2[HomeTeam], S$1, Table2[ActualResult], "OT") + SUMIFS(Table2[AwayWon], Table2[GameIsOver],1,Table2[HomeTeam],$A13, Table2[AwayTeam], S$1, Table2[ActualResult], "OT") + SUMIFS(Table2[HomeWon_], Table2[GameIsOver],1,Table2[AwayTeam],$A13, Table2[HomeTeam], S$1, Table2[ActualResult], "SO") + SUMIFS(Table2[AwayWon], Table2[GameIsOver],1,Table2[HomeTeam],$A13, Table2[AwayTeam], S$1, Table2[ActualResult], "SO"),0))</f>
        <v>0-1-0</v>
      </c>
      <c r="T13" t="str">
        <f>_xlfn.CONCAT(TEXT(SUMIFS(Table2[AwayWon], Table2[GameIsOver],1,Table2[AwayTeam],$A13, Table2[HomeTeam], T$1) + SUMIFS(Table2[HomeWon_], Table2[GameIsOver],1,Table2[HomeTeam],$A13, Table2[AwayTeam], T$1),0), "-", TEXT(SUMIFS(Table2[HomeWon_], Table2[GameIsOver],1,Table2[AwayTeam],$A13, Table2[HomeTeam], T$1, Table2[ActualResult], "REG") + SUMIFS(Table2[AwayWon], Table2[GameIsOver],1,Table2[HomeTeam],$A13, Table2[AwayTeam], T$1, Table2[ActualResult], "REG"),0), "-", TEXT(SUMIFS(Table2[HomeWon_], Table2[GameIsOver],1,Table2[AwayTeam],$A13, Table2[HomeTeam], T$1, Table2[ActualResult], "OT") + SUMIFS(Table2[AwayWon], Table2[GameIsOver],1,Table2[HomeTeam],$A13, Table2[AwayTeam], T$1, Table2[ActualResult], "OT") + SUMIFS(Table2[HomeWon_], Table2[GameIsOver],1,Table2[AwayTeam],$A13, Table2[HomeTeam], T$1, Table2[ActualResult], "SO") + SUMIFS(Table2[AwayWon], Table2[GameIsOver],1,Table2[HomeTeam],$A13, Table2[AwayTeam], T$1, Table2[ActualResult], "SO"),0))</f>
        <v>0-0-0</v>
      </c>
      <c r="U13" t="str">
        <f>_xlfn.CONCAT(TEXT(SUMIFS(Table2[AwayWon], Table2[GameIsOver],1,Table2[AwayTeam],$A13, Table2[HomeTeam], U$1) + SUMIFS(Table2[HomeWon_], Table2[GameIsOver],1,Table2[HomeTeam],$A13, Table2[AwayTeam], U$1),0), "-", TEXT(SUMIFS(Table2[HomeWon_], Table2[GameIsOver],1,Table2[AwayTeam],$A13, Table2[HomeTeam], U$1, Table2[ActualResult], "REG") + SUMIFS(Table2[AwayWon], Table2[GameIsOver],1,Table2[HomeTeam],$A13, Table2[AwayTeam], U$1, Table2[ActualResult], "REG"),0), "-", TEXT(SUMIFS(Table2[HomeWon_], Table2[GameIsOver],1,Table2[AwayTeam],$A13, Table2[HomeTeam], U$1, Table2[ActualResult], "OT") + SUMIFS(Table2[AwayWon], Table2[GameIsOver],1,Table2[HomeTeam],$A13, Table2[AwayTeam], U$1, Table2[ActualResult], "OT") + SUMIFS(Table2[HomeWon_], Table2[GameIsOver],1,Table2[AwayTeam],$A13, Table2[HomeTeam], U$1, Table2[ActualResult], "SO") + SUMIFS(Table2[AwayWon], Table2[GameIsOver],1,Table2[HomeTeam],$A13, Table2[AwayTeam], U$1, Table2[ActualResult], "SO"),0))</f>
        <v>0-0-0</v>
      </c>
      <c r="V13" t="str">
        <f>_xlfn.CONCAT(TEXT(SUMIFS(Table2[AwayWon], Table2[GameIsOver],1,Table2[AwayTeam],$A13, Table2[HomeTeam], V$1) + SUMIFS(Table2[HomeWon_], Table2[GameIsOver],1,Table2[HomeTeam],$A13, Table2[AwayTeam], V$1),0), "-", TEXT(SUMIFS(Table2[HomeWon_], Table2[GameIsOver],1,Table2[AwayTeam],$A13, Table2[HomeTeam], V$1, Table2[ActualResult], "REG") + SUMIFS(Table2[AwayWon], Table2[GameIsOver],1,Table2[HomeTeam],$A13, Table2[AwayTeam], V$1, Table2[ActualResult], "REG"),0), "-", TEXT(SUMIFS(Table2[HomeWon_], Table2[GameIsOver],1,Table2[AwayTeam],$A13, Table2[HomeTeam], V$1, Table2[ActualResult], "OT") + SUMIFS(Table2[AwayWon], Table2[GameIsOver],1,Table2[HomeTeam],$A13, Table2[AwayTeam], V$1, Table2[ActualResult], "OT") + SUMIFS(Table2[HomeWon_], Table2[GameIsOver],1,Table2[AwayTeam],$A13, Table2[HomeTeam], V$1, Table2[ActualResult], "SO") + SUMIFS(Table2[AwayWon], Table2[GameIsOver],1,Table2[HomeTeam],$A13, Table2[AwayTeam], V$1, Table2[ActualResult], "SO"),0))</f>
        <v>1-0-0</v>
      </c>
      <c r="W13" t="str">
        <f>_xlfn.CONCAT(TEXT(SUMIFS(Table2[AwayWon], Table2[GameIsOver],1,Table2[AwayTeam],$A13, Table2[HomeTeam], W$1) + SUMIFS(Table2[HomeWon_], Table2[GameIsOver],1,Table2[HomeTeam],$A13, Table2[AwayTeam], W$1),0), "-", TEXT(SUMIFS(Table2[HomeWon_], Table2[GameIsOver],1,Table2[AwayTeam],$A13, Table2[HomeTeam], W$1, Table2[ActualResult], "REG") + SUMIFS(Table2[AwayWon], Table2[GameIsOver],1,Table2[HomeTeam],$A13, Table2[AwayTeam], W$1, Table2[ActualResult], "REG"),0), "-", TEXT(SUMIFS(Table2[HomeWon_], Table2[GameIsOver],1,Table2[AwayTeam],$A13, Table2[HomeTeam], W$1, Table2[ActualResult], "OT") + SUMIFS(Table2[AwayWon], Table2[GameIsOver],1,Table2[HomeTeam],$A13, Table2[AwayTeam], W$1, Table2[ActualResult], "OT") + SUMIFS(Table2[HomeWon_], Table2[GameIsOver],1,Table2[AwayTeam],$A13, Table2[HomeTeam], W$1, Table2[ActualResult], "SO") + SUMIFS(Table2[AwayWon], Table2[GameIsOver],1,Table2[HomeTeam],$A13, Table2[AwayTeam], W$1, Table2[ActualResult], "SO"),0))</f>
        <v>0-0-1</v>
      </c>
      <c r="X13" t="str">
        <f>_xlfn.CONCAT(TEXT(SUMIFS(Table2[AwayWon], Table2[GameIsOver],1,Table2[AwayTeam],$A13, Table2[HomeTeam], X$1) + SUMIFS(Table2[HomeWon_], Table2[GameIsOver],1,Table2[HomeTeam],$A13, Table2[AwayTeam], X$1),0), "-", TEXT(SUMIFS(Table2[HomeWon_], Table2[GameIsOver],1,Table2[AwayTeam],$A13, Table2[HomeTeam], X$1, Table2[ActualResult], "REG") + SUMIFS(Table2[AwayWon], Table2[GameIsOver],1,Table2[HomeTeam],$A13, Table2[AwayTeam], X$1, Table2[ActualResult], "REG"),0), "-", TEXT(SUMIFS(Table2[HomeWon_], Table2[GameIsOver],1,Table2[AwayTeam],$A13, Table2[HomeTeam], X$1, Table2[ActualResult], "OT") + SUMIFS(Table2[AwayWon], Table2[GameIsOver],1,Table2[HomeTeam],$A13, Table2[AwayTeam], X$1, Table2[ActualResult], "OT") + SUMIFS(Table2[HomeWon_], Table2[GameIsOver],1,Table2[AwayTeam],$A13, Table2[HomeTeam], X$1, Table2[ActualResult], "SO") + SUMIFS(Table2[AwayWon], Table2[GameIsOver],1,Table2[HomeTeam],$A13, Table2[AwayTeam], X$1, Table2[ActualResult], "SO"),0))</f>
        <v>0-0-0</v>
      </c>
      <c r="Y13" s="57" t="str">
        <f>_xlfn.CONCAT(TEXT(SUMIFS(Table2[AwayWon], Table2[GameIsOver],1,Table2[AwayTeam],$A13, Table2[HomeTeam], Y$1) + SUMIFS(Table2[HomeWon_], Table2[GameIsOver],1,Table2[HomeTeam],$A13, Table2[AwayTeam], Y$1),0), "-", TEXT(SUMIFS(Table2[HomeWon_], Table2[GameIsOver],1,Table2[AwayTeam],$A13, Table2[HomeTeam], Y$1, Table2[ActualResult], "REG") + SUMIFS(Table2[AwayWon], Table2[GameIsOver],1,Table2[HomeTeam],$A13, Table2[AwayTeam], Y$1, Table2[ActualResult], "REG"),0), "-", TEXT(SUMIFS(Table2[HomeWon_], Table2[GameIsOver],1,Table2[AwayTeam],$A13, Table2[HomeTeam], Y$1, Table2[ActualResult], "OT") + SUMIFS(Table2[AwayWon], Table2[GameIsOver],1,Table2[HomeTeam],$A13, Table2[AwayTeam], Y$1, Table2[ActualResult], "OT") + SUMIFS(Table2[HomeWon_], Table2[GameIsOver],1,Table2[AwayTeam],$A13, Table2[HomeTeam], Y$1, Table2[ActualResult], "SO") + SUMIFS(Table2[AwayWon], Table2[GameIsOver],1,Table2[HomeTeam],$A13, Table2[AwayTeam], Y$1, Table2[ActualResult], "SO"),0))</f>
        <v>0-1-0</v>
      </c>
      <c r="Z13" t="str">
        <f>_xlfn.CONCAT(TEXT(SUMIFS(Table2[AwayWon], Table2[GameIsOver],1,Table2[AwayTeam],$A13, Table2[HomeTeam], Z$1) + SUMIFS(Table2[HomeWon_], Table2[GameIsOver],1,Table2[HomeTeam],$A13, Table2[AwayTeam], Z$1),0), "-", TEXT(SUMIFS(Table2[HomeWon_], Table2[GameIsOver],1,Table2[AwayTeam],$A13, Table2[HomeTeam], Z$1, Table2[ActualResult], "REG") + SUMIFS(Table2[AwayWon], Table2[GameIsOver],1,Table2[HomeTeam],$A13, Table2[AwayTeam], Z$1, Table2[ActualResult], "REG"),0), "-", TEXT(SUMIFS(Table2[HomeWon_], Table2[GameIsOver],1,Table2[AwayTeam],$A13, Table2[HomeTeam], Z$1, Table2[ActualResult], "OT") + SUMIFS(Table2[AwayWon], Table2[GameIsOver],1,Table2[HomeTeam],$A13, Table2[AwayTeam], Z$1, Table2[ActualResult], "OT") + SUMIFS(Table2[HomeWon_], Table2[GameIsOver],1,Table2[AwayTeam],$A13, Table2[HomeTeam], Z$1, Table2[ActualResult], "SO") + SUMIFS(Table2[AwayWon], Table2[GameIsOver],1,Table2[HomeTeam],$A13, Table2[AwayTeam], Z$1, Table2[ActualResult], "SO"),0))</f>
        <v>0-0-0</v>
      </c>
      <c r="AA13" t="str">
        <f>_xlfn.CONCAT(TEXT(SUMIFS(Table2[AwayWon], Table2[GameIsOver],1,Table2[AwayTeam],$A13, Table2[HomeTeam], AA$1) + SUMIFS(Table2[HomeWon_], Table2[GameIsOver],1,Table2[HomeTeam],$A13, Table2[AwayTeam], AA$1),0), "-", TEXT(SUMIFS(Table2[HomeWon_], Table2[GameIsOver],1,Table2[AwayTeam],$A13, Table2[HomeTeam], AA$1, Table2[ActualResult], "REG") + SUMIFS(Table2[AwayWon], Table2[GameIsOver],1,Table2[HomeTeam],$A13, Table2[AwayTeam], AA$1, Table2[ActualResult], "REG"),0), "-", TEXT(SUMIFS(Table2[HomeWon_], Table2[GameIsOver],1,Table2[AwayTeam],$A13, Table2[HomeTeam], AA$1, Table2[ActualResult], "OT") + SUMIFS(Table2[AwayWon], Table2[GameIsOver],1,Table2[HomeTeam],$A13, Table2[AwayTeam], AA$1, Table2[ActualResult], "OT") + SUMIFS(Table2[HomeWon_], Table2[GameIsOver],1,Table2[AwayTeam],$A13, Table2[HomeTeam], AA$1, Table2[ActualResult], "SO") + SUMIFS(Table2[AwayWon], Table2[GameIsOver],1,Table2[HomeTeam],$A13, Table2[AwayTeam], AA$1, Table2[ActualResult], "SO"),0))</f>
        <v>0-0-0</v>
      </c>
      <c r="AB13" t="str">
        <f>_xlfn.CONCAT(TEXT(SUMIFS(Table2[AwayWon], Table2[GameIsOver],1,Table2[AwayTeam],$A13, Table2[HomeTeam], AB$1) + SUMIFS(Table2[HomeWon_], Table2[GameIsOver],1,Table2[HomeTeam],$A13, Table2[AwayTeam], AB$1),0), "-", TEXT(SUMIFS(Table2[HomeWon_], Table2[GameIsOver],1,Table2[AwayTeam],$A13, Table2[HomeTeam], AB$1, Table2[ActualResult], "REG") + SUMIFS(Table2[AwayWon], Table2[GameIsOver],1,Table2[HomeTeam],$A13, Table2[AwayTeam], AB$1, Table2[ActualResult], "REG"),0), "-", TEXT(SUMIFS(Table2[HomeWon_], Table2[GameIsOver],1,Table2[AwayTeam],$A13, Table2[HomeTeam], AB$1, Table2[ActualResult], "OT") + SUMIFS(Table2[AwayWon], Table2[GameIsOver],1,Table2[HomeTeam],$A13, Table2[AwayTeam], AB$1, Table2[ActualResult], "OT") + SUMIFS(Table2[HomeWon_], Table2[GameIsOver],1,Table2[AwayTeam],$A13, Table2[HomeTeam], AB$1, Table2[ActualResult], "SO") + SUMIFS(Table2[AwayWon], Table2[GameIsOver],1,Table2[HomeTeam],$A13, Table2[AwayTeam], AB$1, Table2[ActualResult], "SO"),0))</f>
        <v>0-0-0</v>
      </c>
      <c r="AC13" t="str">
        <f>_xlfn.CONCAT(TEXT(SUMIFS(Table2[AwayWon], Table2[GameIsOver],1,Table2[AwayTeam],$A13, Table2[HomeTeam], AC$1) + SUMIFS(Table2[HomeWon_], Table2[GameIsOver],1,Table2[HomeTeam],$A13, Table2[AwayTeam], AC$1),0), "-", TEXT(SUMIFS(Table2[HomeWon_], Table2[GameIsOver],1,Table2[AwayTeam],$A13, Table2[HomeTeam], AC$1, Table2[ActualResult], "REG") + SUMIFS(Table2[AwayWon], Table2[GameIsOver],1,Table2[HomeTeam],$A13, Table2[AwayTeam], AC$1, Table2[ActualResult], "REG"),0), "-", TEXT(SUMIFS(Table2[HomeWon_], Table2[GameIsOver],1,Table2[AwayTeam],$A13, Table2[HomeTeam], AC$1, Table2[ActualResult], "OT") + SUMIFS(Table2[AwayWon], Table2[GameIsOver],1,Table2[HomeTeam],$A13, Table2[AwayTeam], AC$1, Table2[ActualResult], "OT") + SUMIFS(Table2[HomeWon_], Table2[GameIsOver],1,Table2[AwayTeam],$A13, Table2[HomeTeam], AC$1, Table2[ActualResult], "SO") + SUMIFS(Table2[AwayWon], Table2[GameIsOver],1,Table2[HomeTeam],$A13, Table2[AwayTeam], AC$1, Table2[ActualResult], "SO"),0))</f>
        <v>0-0-0</v>
      </c>
      <c r="AD13" t="str">
        <f>_xlfn.CONCAT(TEXT(SUMIFS(Table2[AwayWon], Table2[GameIsOver],1,Table2[AwayTeam],$A13, Table2[HomeTeam], AD$1) + SUMIFS(Table2[HomeWon_], Table2[GameIsOver],1,Table2[HomeTeam],$A13, Table2[AwayTeam], AD$1),0), "-", TEXT(SUMIFS(Table2[HomeWon_], Table2[GameIsOver],1,Table2[AwayTeam],$A13, Table2[HomeTeam], AD$1, Table2[ActualResult], "REG") + SUMIFS(Table2[AwayWon], Table2[GameIsOver],1,Table2[HomeTeam],$A13, Table2[AwayTeam], AD$1, Table2[ActualResult], "REG"),0), "-", TEXT(SUMIFS(Table2[HomeWon_], Table2[GameIsOver],1,Table2[AwayTeam],$A13, Table2[HomeTeam], AD$1, Table2[ActualResult], "OT") + SUMIFS(Table2[AwayWon], Table2[GameIsOver],1,Table2[HomeTeam],$A13, Table2[AwayTeam], AD$1, Table2[ActualResult], "OT") + SUMIFS(Table2[HomeWon_], Table2[GameIsOver],1,Table2[AwayTeam],$A13, Table2[HomeTeam], AD$1, Table2[ActualResult], "SO") + SUMIFS(Table2[AwayWon], Table2[GameIsOver],1,Table2[HomeTeam],$A13, Table2[AwayTeam], AD$1, Table2[ActualResult], "SO"),0))</f>
        <v>0-0-0</v>
      </c>
      <c r="AE13" t="str">
        <f>_xlfn.CONCAT(TEXT(SUMIFS(Table2[AwayWon], Table2[GameIsOver],1,Table2[AwayTeam],$A13, Table2[HomeTeam], AE$1) + SUMIFS(Table2[HomeWon_], Table2[GameIsOver],1,Table2[HomeTeam],$A13, Table2[AwayTeam], AE$1),0), "-", TEXT(SUMIFS(Table2[HomeWon_], Table2[GameIsOver],1,Table2[AwayTeam],$A13, Table2[HomeTeam], AE$1, Table2[ActualResult], "REG") + SUMIFS(Table2[AwayWon], Table2[GameIsOver],1,Table2[HomeTeam],$A13, Table2[AwayTeam], AE$1, Table2[ActualResult], "REG"),0), "-", TEXT(SUMIFS(Table2[HomeWon_], Table2[GameIsOver],1,Table2[AwayTeam],$A13, Table2[HomeTeam], AE$1, Table2[ActualResult], "OT") + SUMIFS(Table2[AwayWon], Table2[GameIsOver],1,Table2[HomeTeam],$A13, Table2[AwayTeam], AE$1, Table2[ActualResult], "OT") + SUMIFS(Table2[HomeWon_], Table2[GameIsOver],1,Table2[AwayTeam],$A13, Table2[HomeTeam], AE$1, Table2[ActualResult], "SO") + SUMIFS(Table2[AwayWon], Table2[GameIsOver],1,Table2[HomeTeam],$A13, Table2[AwayTeam], AE$1, Table2[ActualResult], "SO"),0))</f>
        <v>0-0-0</v>
      </c>
      <c r="AF13" t="str">
        <f>_xlfn.CONCAT(TEXT(SUMIFS(Table2[AwayWon], Table2[GameIsOver],1,Table2[AwayTeam],$A13, Table2[HomeTeam], AF$1) + SUMIFS(Table2[HomeWon_], Table2[GameIsOver],1,Table2[HomeTeam],$A13, Table2[AwayTeam], AF$1),0), "-", TEXT(SUMIFS(Table2[HomeWon_], Table2[GameIsOver],1,Table2[AwayTeam],$A13, Table2[HomeTeam], AF$1, Table2[ActualResult], "REG") + SUMIFS(Table2[AwayWon], Table2[GameIsOver],1,Table2[HomeTeam],$A13, Table2[AwayTeam], AF$1, Table2[ActualResult], "REG"),0), "-", TEXT(SUMIFS(Table2[HomeWon_], Table2[GameIsOver],1,Table2[AwayTeam],$A13, Table2[HomeTeam], AF$1, Table2[ActualResult], "OT") + SUMIFS(Table2[AwayWon], Table2[GameIsOver],1,Table2[HomeTeam],$A13, Table2[AwayTeam], AF$1, Table2[ActualResult], "OT") + SUMIFS(Table2[HomeWon_], Table2[GameIsOver],1,Table2[AwayTeam],$A13, Table2[HomeTeam], AF$1, Table2[ActualResult], "SO") + SUMIFS(Table2[AwayWon], Table2[GameIsOver],1,Table2[HomeTeam],$A13, Table2[AwayTeam], AF$1, Table2[ActualResult], "SO"),0))</f>
        <v>0-0-0</v>
      </c>
      <c r="AG13" t="str">
        <f>_xlfn.CONCAT(TEXT(SUMIFS(Table2[AwayWon], Table2[GameIsOver],1,Table2[AwayTeam],$A13, Table2[HomeTeam], AG$1) + SUMIFS(Table2[HomeWon_], Table2[GameIsOver],1,Table2[HomeTeam],$A13, Table2[AwayTeam], AG$1),0), "-", TEXT(SUMIFS(Table2[HomeWon_], Table2[GameIsOver],1,Table2[AwayTeam],$A13, Table2[HomeTeam], AG$1, Table2[ActualResult], "REG") + SUMIFS(Table2[AwayWon], Table2[GameIsOver],1,Table2[HomeTeam],$A13, Table2[AwayTeam], AG$1, Table2[ActualResult], "REG"),0), "-", TEXT(SUMIFS(Table2[HomeWon_], Table2[GameIsOver],1,Table2[AwayTeam],$A13, Table2[HomeTeam], AG$1, Table2[ActualResult], "OT") + SUMIFS(Table2[AwayWon], Table2[GameIsOver],1,Table2[HomeTeam],$A13, Table2[AwayTeam], AG$1, Table2[ActualResult], "OT") + SUMIFS(Table2[HomeWon_], Table2[GameIsOver],1,Table2[AwayTeam],$A13, Table2[HomeTeam], AG$1, Table2[ActualResult], "SO") + SUMIFS(Table2[AwayWon], Table2[GameIsOver],1,Table2[HomeTeam],$A13, Table2[AwayTeam], AG$1, Table2[ActualResult], "SO"),0))</f>
        <v>0-0-0</v>
      </c>
    </row>
    <row r="14" spans="1:33" x14ac:dyDescent="0.25">
      <c r="A14" s="57" t="s">
        <v>34</v>
      </c>
      <c r="B14" t="str">
        <f>_xlfn.CONCAT(TEXT(SUMIFS(Table2[AwayWon], Table2[GameIsOver],1,Table2[AwayTeam],$A14, Table2[HomeTeam], B$1) + SUMIFS(Table2[HomeWon_], Table2[GameIsOver],1,Table2[HomeTeam],$A14, Table2[AwayTeam], B$1),0), "-", TEXT(SUMIFS(Table2[HomeWon_], Table2[GameIsOver],1,Table2[AwayTeam],$A14, Table2[HomeTeam], B$1, Table2[ActualResult], "REG") + SUMIFS(Table2[AwayWon], Table2[GameIsOver],1,Table2[HomeTeam],$A14, Table2[AwayTeam], B$1, Table2[ActualResult], "REG"),0), "-", TEXT(SUMIFS(Table2[HomeWon_], Table2[GameIsOver],1,Table2[AwayTeam],$A14, Table2[HomeTeam], B$1, Table2[ActualResult], "OT") + SUMIFS(Table2[AwayWon], Table2[GameIsOver],1,Table2[HomeTeam],$A14, Table2[AwayTeam], B$1, Table2[ActualResult], "OT") + SUMIFS(Table2[HomeWon_], Table2[GameIsOver],1,Table2[AwayTeam],$A14, Table2[HomeTeam], B$1, Table2[ActualResult], "SO") + SUMIFS(Table2[AwayWon], Table2[GameIsOver],1,Table2[HomeTeam],$A14, Table2[AwayTeam], B$1, Table2[ActualResult], "SO"),0))</f>
        <v>0-1-0</v>
      </c>
      <c r="C14" t="str">
        <f>_xlfn.CONCAT(TEXT(SUMIFS(Table2[AwayWon], Table2[GameIsOver],1,Table2[AwayTeam],$A14, Table2[HomeTeam], C$1) + SUMIFS(Table2[HomeWon_], Table2[GameIsOver],1,Table2[HomeTeam],$A14, Table2[AwayTeam], C$1),0), "-", TEXT(SUMIFS(Table2[HomeWon_], Table2[GameIsOver],1,Table2[AwayTeam],$A14, Table2[HomeTeam], C$1, Table2[ActualResult], "REG") + SUMIFS(Table2[AwayWon], Table2[GameIsOver],1,Table2[HomeTeam],$A14, Table2[AwayTeam], C$1, Table2[ActualResult], "REG"),0), "-", TEXT(SUMIFS(Table2[HomeWon_], Table2[GameIsOver],1,Table2[AwayTeam],$A14, Table2[HomeTeam], C$1, Table2[ActualResult], "OT") + SUMIFS(Table2[AwayWon], Table2[GameIsOver],1,Table2[HomeTeam],$A14, Table2[AwayTeam], C$1, Table2[ActualResult], "OT") + SUMIFS(Table2[HomeWon_], Table2[GameIsOver],1,Table2[AwayTeam],$A14, Table2[HomeTeam], C$1, Table2[ActualResult], "SO") + SUMIFS(Table2[AwayWon], Table2[GameIsOver],1,Table2[HomeTeam],$A14, Table2[AwayTeam], C$1, Table2[ActualResult], "SO"),0))</f>
        <v>0-0-0</v>
      </c>
      <c r="D14" t="str">
        <f>_xlfn.CONCAT(TEXT(SUMIFS(Table2[AwayWon], Table2[GameIsOver],1,Table2[AwayTeam],$A14, Table2[HomeTeam], D$1) + SUMIFS(Table2[HomeWon_], Table2[GameIsOver],1,Table2[HomeTeam],$A14, Table2[AwayTeam], D$1),0), "-", TEXT(SUMIFS(Table2[HomeWon_], Table2[GameIsOver],1,Table2[AwayTeam],$A14, Table2[HomeTeam], D$1, Table2[ActualResult], "REG") + SUMIFS(Table2[AwayWon], Table2[GameIsOver],1,Table2[HomeTeam],$A14, Table2[AwayTeam], D$1, Table2[ActualResult], "REG"),0), "-", TEXT(SUMIFS(Table2[HomeWon_], Table2[GameIsOver],1,Table2[AwayTeam],$A14, Table2[HomeTeam], D$1, Table2[ActualResult], "OT") + SUMIFS(Table2[AwayWon], Table2[GameIsOver],1,Table2[HomeTeam],$A14, Table2[AwayTeam], D$1, Table2[ActualResult], "OT") + SUMIFS(Table2[HomeWon_], Table2[GameIsOver],1,Table2[AwayTeam],$A14, Table2[HomeTeam], D$1, Table2[ActualResult], "SO") + SUMIFS(Table2[AwayWon], Table2[GameIsOver],1,Table2[HomeTeam],$A14, Table2[AwayTeam], D$1, Table2[ActualResult], "SO"),0))</f>
        <v>0-0-0</v>
      </c>
      <c r="E14" t="str">
        <f>_xlfn.CONCAT(TEXT(SUMIFS(Table2[AwayWon], Table2[GameIsOver],1,Table2[AwayTeam],$A14, Table2[HomeTeam], E$1) + SUMIFS(Table2[HomeWon_], Table2[GameIsOver],1,Table2[HomeTeam],$A14, Table2[AwayTeam], E$1),0), "-", TEXT(SUMIFS(Table2[HomeWon_], Table2[GameIsOver],1,Table2[AwayTeam],$A14, Table2[HomeTeam], E$1, Table2[ActualResult], "REG") + SUMIFS(Table2[AwayWon], Table2[GameIsOver],1,Table2[HomeTeam],$A14, Table2[AwayTeam], E$1, Table2[ActualResult], "REG"),0), "-", TEXT(SUMIFS(Table2[HomeWon_], Table2[GameIsOver],1,Table2[AwayTeam],$A14, Table2[HomeTeam], E$1, Table2[ActualResult], "OT") + SUMIFS(Table2[AwayWon], Table2[GameIsOver],1,Table2[HomeTeam],$A14, Table2[AwayTeam], E$1, Table2[ActualResult], "OT") + SUMIFS(Table2[HomeWon_], Table2[GameIsOver],1,Table2[AwayTeam],$A14, Table2[HomeTeam], E$1, Table2[ActualResult], "SO") + SUMIFS(Table2[AwayWon], Table2[GameIsOver],1,Table2[HomeTeam],$A14, Table2[AwayTeam], E$1, Table2[ActualResult], "SO"),0))</f>
        <v>0-0-0</v>
      </c>
      <c r="F14" t="str">
        <f>_xlfn.CONCAT(TEXT(SUMIFS(Table2[AwayWon], Table2[GameIsOver],1,Table2[AwayTeam],$A14, Table2[HomeTeam], F$1) + SUMIFS(Table2[HomeWon_], Table2[GameIsOver],1,Table2[HomeTeam],$A14, Table2[AwayTeam], F$1),0), "-", TEXT(SUMIFS(Table2[HomeWon_], Table2[GameIsOver],1,Table2[AwayTeam],$A14, Table2[HomeTeam], F$1, Table2[ActualResult], "REG") + SUMIFS(Table2[AwayWon], Table2[GameIsOver],1,Table2[HomeTeam],$A14, Table2[AwayTeam], F$1, Table2[ActualResult], "REG"),0), "-", TEXT(SUMIFS(Table2[HomeWon_], Table2[GameIsOver],1,Table2[AwayTeam],$A14, Table2[HomeTeam], F$1, Table2[ActualResult], "OT") + SUMIFS(Table2[AwayWon], Table2[GameIsOver],1,Table2[HomeTeam],$A14, Table2[AwayTeam], F$1, Table2[ActualResult], "OT") + SUMIFS(Table2[HomeWon_], Table2[GameIsOver],1,Table2[AwayTeam],$A14, Table2[HomeTeam], F$1, Table2[ActualResult], "SO") + SUMIFS(Table2[AwayWon], Table2[GameIsOver],1,Table2[HomeTeam],$A14, Table2[AwayTeam], F$1, Table2[ActualResult], "SO"),0))</f>
        <v>0-0-0</v>
      </c>
      <c r="G14" t="str">
        <f>_xlfn.CONCAT(TEXT(SUMIFS(Table2[AwayWon], Table2[GameIsOver],1,Table2[AwayTeam],$A14, Table2[HomeTeam], G$1) + SUMIFS(Table2[HomeWon_], Table2[GameIsOver],1,Table2[HomeTeam],$A14, Table2[AwayTeam], G$1),0), "-", TEXT(SUMIFS(Table2[HomeWon_], Table2[GameIsOver],1,Table2[AwayTeam],$A14, Table2[HomeTeam], G$1, Table2[ActualResult], "REG") + SUMIFS(Table2[AwayWon], Table2[GameIsOver],1,Table2[HomeTeam],$A14, Table2[AwayTeam], G$1, Table2[ActualResult], "REG"),0), "-", TEXT(SUMIFS(Table2[HomeWon_], Table2[GameIsOver],1,Table2[AwayTeam],$A14, Table2[HomeTeam], G$1, Table2[ActualResult], "OT") + SUMIFS(Table2[AwayWon], Table2[GameIsOver],1,Table2[HomeTeam],$A14, Table2[AwayTeam], G$1, Table2[ActualResult], "OT") + SUMIFS(Table2[HomeWon_], Table2[GameIsOver],1,Table2[AwayTeam],$A14, Table2[HomeTeam], G$1, Table2[ActualResult], "SO") + SUMIFS(Table2[AwayWon], Table2[GameIsOver],1,Table2[HomeTeam],$A14, Table2[AwayTeam], G$1, Table2[ActualResult], "SO"),0))</f>
        <v>0-0-0</v>
      </c>
      <c r="H14" t="str">
        <f>_xlfn.CONCAT(TEXT(SUMIFS(Table2[AwayWon], Table2[GameIsOver],1,Table2[AwayTeam],$A14, Table2[HomeTeam], H$1) + SUMIFS(Table2[HomeWon_], Table2[GameIsOver],1,Table2[HomeTeam],$A14, Table2[AwayTeam], H$1),0), "-", TEXT(SUMIFS(Table2[HomeWon_], Table2[GameIsOver],1,Table2[AwayTeam],$A14, Table2[HomeTeam], H$1, Table2[ActualResult], "REG") + SUMIFS(Table2[AwayWon], Table2[GameIsOver],1,Table2[HomeTeam],$A14, Table2[AwayTeam], H$1, Table2[ActualResult], "REG"),0), "-", TEXT(SUMIFS(Table2[HomeWon_], Table2[GameIsOver],1,Table2[AwayTeam],$A14, Table2[HomeTeam], H$1, Table2[ActualResult], "OT") + SUMIFS(Table2[AwayWon], Table2[GameIsOver],1,Table2[HomeTeam],$A14, Table2[AwayTeam], H$1, Table2[ActualResult], "OT") + SUMIFS(Table2[HomeWon_], Table2[GameIsOver],1,Table2[AwayTeam],$A14, Table2[HomeTeam], H$1, Table2[ActualResult], "SO") + SUMIFS(Table2[AwayWon], Table2[GameIsOver],1,Table2[HomeTeam],$A14, Table2[AwayTeam], H$1, Table2[ActualResult], "SO"),0))</f>
        <v>0-0-0</v>
      </c>
      <c r="I14" s="57" t="str">
        <f>_xlfn.CONCAT(TEXT(SUMIFS(Table2[AwayWon], Table2[GameIsOver],1,Table2[AwayTeam],$A14, Table2[HomeTeam], I$1) + SUMIFS(Table2[HomeWon_], Table2[GameIsOver],1,Table2[HomeTeam],$A14, Table2[AwayTeam], I$1),0), "-", TEXT(SUMIFS(Table2[HomeWon_], Table2[GameIsOver],1,Table2[AwayTeam],$A14, Table2[HomeTeam], I$1, Table2[ActualResult], "REG") + SUMIFS(Table2[AwayWon], Table2[GameIsOver],1,Table2[HomeTeam],$A14, Table2[AwayTeam], I$1, Table2[ActualResult], "REG"),0), "-", TEXT(SUMIFS(Table2[HomeWon_], Table2[GameIsOver],1,Table2[AwayTeam],$A14, Table2[HomeTeam], I$1, Table2[ActualResult], "OT") + SUMIFS(Table2[AwayWon], Table2[GameIsOver],1,Table2[HomeTeam],$A14, Table2[AwayTeam], I$1, Table2[ActualResult], "OT") + SUMIFS(Table2[HomeWon_], Table2[GameIsOver],1,Table2[AwayTeam],$A14, Table2[HomeTeam], I$1, Table2[ActualResult], "SO") + SUMIFS(Table2[AwayWon], Table2[GameIsOver],1,Table2[HomeTeam],$A14, Table2[AwayTeam], I$1, Table2[ActualResult], "SO"),0))</f>
        <v>0-0-0</v>
      </c>
      <c r="J14" t="str">
        <f>_xlfn.CONCAT(TEXT(SUMIFS(Table2[AwayWon], Table2[GameIsOver],1,Table2[AwayTeam],$A14, Table2[HomeTeam], J$1) + SUMIFS(Table2[HomeWon_], Table2[GameIsOver],1,Table2[HomeTeam],$A14, Table2[AwayTeam], J$1),0), "-", TEXT(SUMIFS(Table2[HomeWon_], Table2[GameIsOver],1,Table2[AwayTeam],$A14, Table2[HomeTeam], J$1, Table2[ActualResult], "REG") + SUMIFS(Table2[AwayWon], Table2[GameIsOver],1,Table2[HomeTeam],$A14, Table2[AwayTeam], J$1, Table2[ActualResult], "REG"),0), "-", TEXT(SUMIFS(Table2[HomeWon_], Table2[GameIsOver],1,Table2[AwayTeam],$A14, Table2[HomeTeam], J$1, Table2[ActualResult], "OT") + SUMIFS(Table2[AwayWon], Table2[GameIsOver],1,Table2[HomeTeam],$A14, Table2[AwayTeam], J$1, Table2[ActualResult], "OT") + SUMIFS(Table2[HomeWon_], Table2[GameIsOver],1,Table2[AwayTeam],$A14, Table2[HomeTeam], J$1, Table2[ActualResult], "SO") + SUMIFS(Table2[AwayWon], Table2[GameIsOver],1,Table2[HomeTeam],$A14, Table2[AwayTeam], J$1, Table2[ActualResult], "SO"),0))</f>
        <v>0-0-0</v>
      </c>
      <c r="K14" t="str">
        <f>_xlfn.CONCAT(TEXT(SUMIFS(Table2[AwayWon], Table2[GameIsOver],1,Table2[AwayTeam],$A14, Table2[HomeTeam], K$1) + SUMIFS(Table2[HomeWon_], Table2[GameIsOver],1,Table2[HomeTeam],$A14, Table2[AwayTeam], K$1),0), "-", TEXT(SUMIFS(Table2[HomeWon_], Table2[GameIsOver],1,Table2[AwayTeam],$A14, Table2[HomeTeam], K$1, Table2[ActualResult], "REG") + SUMIFS(Table2[AwayWon], Table2[GameIsOver],1,Table2[HomeTeam],$A14, Table2[AwayTeam], K$1, Table2[ActualResult], "REG"),0), "-", TEXT(SUMIFS(Table2[HomeWon_], Table2[GameIsOver],1,Table2[AwayTeam],$A14, Table2[HomeTeam], K$1, Table2[ActualResult], "OT") + SUMIFS(Table2[AwayWon], Table2[GameIsOver],1,Table2[HomeTeam],$A14, Table2[AwayTeam], K$1, Table2[ActualResult], "OT") + SUMIFS(Table2[HomeWon_], Table2[GameIsOver],1,Table2[AwayTeam],$A14, Table2[HomeTeam], K$1, Table2[ActualResult], "SO") + SUMIFS(Table2[AwayWon], Table2[GameIsOver],1,Table2[HomeTeam],$A14, Table2[AwayTeam], K$1, Table2[ActualResult], "SO"),0))</f>
        <v>0-0-0</v>
      </c>
      <c r="L14" t="str">
        <f>_xlfn.CONCAT(TEXT(SUMIFS(Table2[AwayWon], Table2[GameIsOver],1,Table2[AwayTeam],$A14, Table2[HomeTeam], L$1) + SUMIFS(Table2[HomeWon_], Table2[GameIsOver],1,Table2[HomeTeam],$A14, Table2[AwayTeam], L$1),0), "-", TEXT(SUMIFS(Table2[HomeWon_], Table2[GameIsOver],1,Table2[AwayTeam],$A14, Table2[HomeTeam], L$1, Table2[ActualResult], "REG") + SUMIFS(Table2[AwayWon], Table2[GameIsOver],1,Table2[HomeTeam],$A14, Table2[AwayTeam], L$1, Table2[ActualResult], "REG"),0), "-", TEXT(SUMIFS(Table2[HomeWon_], Table2[GameIsOver],1,Table2[AwayTeam],$A14, Table2[HomeTeam], L$1, Table2[ActualResult], "OT") + SUMIFS(Table2[AwayWon], Table2[GameIsOver],1,Table2[HomeTeam],$A14, Table2[AwayTeam], L$1, Table2[ActualResult], "OT") + SUMIFS(Table2[HomeWon_], Table2[GameIsOver],1,Table2[AwayTeam],$A14, Table2[HomeTeam], L$1, Table2[ActualResult], "SO") + SUMIFS(Table2[AwayWon], Table2[GameIsOver],1,Table2[HomeTeam],$A14, Table2[AwayTeam], L$1, Table2[ActualResult], "SO"),0))</f>
        <v>0-0-0</v>
      </c>
      <c r="M14" t="str">
        <f>_xlfn.CONCAT(TEXT(SUMIFS(Table2[AwayWon], Table2[GameIsOver],1,Table2[AwayTeam],$A14, Table2[HomeTeam], M$1) + SUMIFS(Table2[HomeWon_], Table2[GameIsOver],1,Table2[HomeTeam],$A14, Table2[AwayTeam], M$1),0), "-", TEXT(SUMIFS(Table2[HomeWon_], Table2[GameIsOver],1,Table2[AwayTeam],$A14, Table2[HomeTeam], M$1, Table2[ActualResult], "REG") + SUMIFS(Table2[AwayWon], Table2[GameIsOver],1,Table2[HomeTeam],$A14, Table2[AwayTeam], M$1, Table2[ActualResult], "REG"),0), "-", TEXT(SUMIFS(Table2[HomeWon_], Table2[GameIsOver],1,Table2[AwayTeam],$A14, Table2[HomeTeam], M$1, Table2[ActualResult], "OT") + SUMIFS(Table2[AwayWon], Table2[GameIsOver],1,Table2[HomeTeam],$A14, Table2[AwayTeam], M$1, Table2[ActualResult], "OT") + SUMIFS(Table2[HomeWon_], Table2[GameIsOver],1,Table2[AwayTeam],$A14, Table2[HomeTeam], M$1, Table2[ActualResult], "SO") + SUMIFS(Table2[AwayWon], Table2[GameIsOver],1,Table2[HomeTeam],$A14, Table2[AwayTeam], M$1, Table2[ActualResult], "SO"),0))</f>
        <v>0-0-0</v>
      </c>
      <c r="N14" s="89"/>
      <c r="O14" t="str">
        <f>_xlfn.CONCAT(TEXT(SUMIFS(Table2[AwayWon], Table2[GameIsOver],1,Table2[AwayTeam],$A14, Table2[HomeTeam], O$1) + SUMIFS(Table2[HomeWon_], Table2[GameIsOver],1,Table2[HomeTeam],$A14, Table2[AwayTeam], O$1),0), "-", TEXT(SUMIFS(Table2[HomeWon_], Table2[GameIsOver],1,Table2[AwayTeam],$A14, Table2[HomeTeam], O$1, Table2[ActualResult], "REG") + SUMIFS(Table2[AwayWon], Table2[GameIsOver],1,Table2[HomeTeam],$A14, Table2[AwayTeam], O$1, Table2[ActualResult], "REG"),0), "-", TEXT(SUMIFS(Table2[HomeWon_], Table2[GameIsOver],1,Table2[AwayTeam],$A14, Table2[HomeTeam], O$1, Table2[ActualResult], "OT") + SUMIFS(Table2[AwayWon], Table2[GameIsOver],1,Table2[HomeTeam],$A14, Table2[AwayTeam], O$1, Table2[ActualResult], "OT") + SUMIFS(Table2[HomeWon_], Table2[GameIsOver],1,Table2[AwayTeam],$A14, Table2[HomeTeam], O$1, Table2[ActualResult], "SO") + SUMIFS(Table2[AwayWon], Table2[GameIsOver],1,Table2[HomeTeam],$A14, Table2[AwayTeam], O$1, Table2[ActualResult], "SO"),0))</f>
        <v>0-0-0</v>
      </c>
      <c r="P14" t="str">
        <f>_xlfn.CONCAT(TEXT(SUMIFS(Table2[AwayWon], Table2[GameIsOver],1,Table2[AwayTeam],$A14, Table2[HomeTeam], P$1) + SUMIFS(Table2[HomeWon_], Table2[GameIsOver],1,Table2[HomeTeam],$A14, Table2[AwayTeam], P$1),0), "-", TEXT(SUMIFS(Table2[HomeWon_], Table2[GameIsOver],1,Table2[AwayTeam],$A14, Table2[HomeTeam], P$1, Table2[ActualResult], "REG") + SUMIFS(Table2[AwayWon], Table2[GameIsOver],1,Table2[HomeTeam],$A14, Table2[AwayTeam], P$1, Table2[ActualResult], "REG"),0), "-", TEXT(SUMIFS(Table2[HomeWon_], Table2[GameIsOver],1,Table2[AwayTeam],$A14, Table2[HomeTeam], P$1, Table2[ActualResult], "OT") + SUMIFS(Table2[AwayWon], Table2[GameIsOver],1,Table2[HomeTeam],$A14, Table2[AwayTeam], P$1, Table2[ActualResult], "OT") + SUMIFS(Table2[HomeWon_], Table2[GameIsOver],1,Table2[AwayTeam],$A14, Table2[HomeTeam], P$1, Table2[ActualResult], "SO") + SUMIFS(Table2[AwayWon], Table2[GameIsOver],1,Table2[HomeTeam],$A14, Table2[AwayTeam], P$1, Table2[ActualResult], "SO"),0))</f>
        <v>0-0-1</v>
      </c>
      <c r="Q14" s="57" t="str">
        <f>_xlfn.CONCAT(TEXT(SUMIFS(Table2[AwayWon], Table2[GameIsOver],1,Table2[AwayTeam],$A14, Table2[HomeTeam], Q$1) + SUMIFS(Table2[HomeWon_], Table2[GameIsOver],1,Table2[HomeTeam],$A14, Table2[AwayTeam], Q$1),0), "-", TEXT(SUMIFS(Table2[HomeWon_], Table2[GameIsOver],1,Table2[AwayTeam],$A14, Table2[HomeTeam], Q$1, Table2[ActualResult], "REG") + SUMIFS(Table2[AwayWon], Table2[GameIsOver],1,Table2[HomeTeam],$A14, Table2[AwayTeam], Q$1, Table2[ActualResult], "REG"),0), "-", TEXT(SUMIFS(Table2[HomeWon_], Table2[GameIsOver],1,Table2[AwayTeam],$A14, Table2[HomeTeam], Q$1, Table2[ActualResult], "OT") + SUMIFS(Table2[AwayWon], Table2[GameIsOver],1,Table2[HomeTeam],$A14, Table2[AwayTeam], Q$1, Table2[ActualResult], "OT") + SUMIFS(Table2[HomeWon_], Table2[GameIsOver],1,Table2[AwayTeam],$A14, Table2[HomeTeam], Q$1, Table2[ActualResult], "SO") + SUMIFS(Table2[AwayWon], Table2[GameIsOver],1,Table2[HomeTeam],$A14, Table2[AwayTeam], Q$1, Table2[ActualResult], "SO"),0))</f>
        <v>0-1-0</v>
      </c>
      <c r="R14" t="str">
        <f>_xlfn.CONCAT(TEXT(SUMIFS(Table2[AwayWon], Table2[GameIsOver],1,Table2[AwayTeam],$A14, Table2[HomeTeam], R$1) + SUMIFS(Table2[HomeWon_], Table2[GameIsOver],1,Table2[HomeTeam],$A14, Table2[AwayTeam], R$1),0), "-", TEXT(SUMIFS(Table2[HomeWon_], Table2[GameIsOver],1,Table2[AwayTeam],$A14, Table2[HomeTeam], R$1, Table2[ActualResult], "REG") + SUMIFS(Table2[AwayWon], Table2[GameIsOver],1,Table2[HomeTeam],$A14, Table2[AwayTeam], R$1, Table2[ActualResult], "REG"),0), "-", TEXT(SUMIFS(Table2[HomeWon_], Table2[GameIsOver],1,Table2[AwayTeam],$A14, Table2[HomeTeam], R$1, Table2[ActualResult], "OT") + SUMIFS(Table2[AwayWon], Table2[GameIsOver],1,Table2[HomeTeam],$A14, Table2[AwayTeam], R$1, Table2[ActualResult], "OT") + SUMIFS(Table2[HomeWon_], Table2[GameIsOver],1,Table2[AwayTeam],$A14, Table2[HomeTeam], R$1, Table2[ActualResult], "SO") + SUMIFS(Table2[AwayWon], Table2[GameIsOver],1,Table2[HomeTeam],$A14, Table2[AwayTeam], R$1, Table2[ActualResult], "SO"),0))</f>
        <v>0-0-0</v>
      </c>
      <c r="S14" t="str">
        <f>_xlfn.CONCAT(TEXT(SUMIFS(Table2[AwayWon], Table2[GameIsOver],1,Table2[AwayTeam],$A14, Table2[HomeTeam], S$1) + SUMIFS(Table2[HomeWon_], Table2[GameIsOver],1,Table2[HomeTeam],$A14, Table2[AwayTeam], S$1),0), "-", TEXT(SUMIFS(Table2[HomeWon_], Table2[GameIsOver],1,Table2[AwayTeam],$A14, Table2[HomeTeam], S$1, Table2[ActualResult], "REG") + SUMIFS(Table2[AwayWon], Table2[GameIsOver],1,Table2[HomeTeam],$A14, Table2[AwayTeam], S$1, Table2[ActualResult], "REG"),0), "-", TEXT(SUMIFS(Table2[HomeWon_], Table2[GameIsOver],1,Table2[AwayTeam],$A14, Table2[HomeTeam], S$1, Table2[ActualResult], "OT") + SUMIFS(Table2[AwayWon], Table2[GameIsOver],1,Table2[HomeTeam],$A14, Table2[AwayTeam], S$1, Table2[ActualResult], "OT") + SUMIFS(Table2[HomeWon_], Table2[GameIsOver],1,Table2[AwayTeam],$A14, Table2[HomeTeam], S$1, Table2[ActualResult], "SO") + SUMIFS(Table2[AwayWon], Table2[GameIsOver],1,Table2[HomeTeam],$A14, Table2[AwayTeam], S$1, Table2[ActualResult], "SO"),0))</f>
        <v>1-0-0</v>
      </c>
      <c r="T14" t="str">
        <f>_xlfn.CONCAT(TEXT(SUMIFS(Table2[AwayWon], Table2[GameIsOver],1,Table2[AwayTeam],$A14, Table2[HomeTeam], T$1) + SUMIFS(Table2[HomeWon_], Table2[GameIsOver],1,Table2[HomeTeam],$A14, Table2[AwayTeam], T$1),0), "-", TEXT(SUMIFS(Table2[HomeWon_], Table2[GameIsOver],1,Table2[AwayTeam],$A14, Table2[HomeTeam], T$1, Table2[ActualResult], "REG") + SUMIFS(Table2[AwayWon], Table2[GameIsOver],1,Table2[HomeTeam],$A14, Table2[AwayTeam], T$1, Table2[ActualResult], "REG"),0), "-", TEXT(SUMIFS(Table2[HomeWon_], Table2[GameIsOver],1,Table2[AwayTeam],$A14, Table2[HomeTeam], T$1, Table2[ActualResult], "OT") + SUMIFS(Table2[AwayWon], Table2[GameIsOver],1,Table2[HomeTeam],$A14, Table2[AwayTeam], T$1, Table2[ActualResult], "OT") + SUMIFS(Table2[HomeWon_], Table2[GameIsOver],1,Table2[AwayTeam],$A14, Table2[HomeTeam], T$1, Table2[ActualResult], "SO") + SUMIFS(Table2[AwayWon], Table2[GameIsOver],1,Table2[HomeTeam],$A14, Table2[AwayTeam], T$1, Table2[ActualResult], "SO"),0))</f>
        <v>0-0-0</v>
      </c>
      <c r="U14" t="str">
        <f>_xlfn.CONCAT(TEXT(SUMIFS(Table2[AwayWon], Table2[GameIsOver],1,Table2[AwayTeam],$A14, Table2[HomeTeam], U$1) + SUMIFS(Table2[HomeWon_], Table2[GameIsOver],1,Table2[HomeTeam],$A14, Table2[AwayTeam], U$1),0), "-", TEXT(SUMIFS(Table2[HomeWon_], Table2[GameIsOver],1,Table2[AwayTeam],$A14, Table2[HomeTeam], U$1, Table2[ActualResult], "REG") + SUMIFS(Table2[AwayWon], Table2[GameIsOver],1,Table2[HomeTeam],$A14, Table2[AwayTeam], U$1, Table2[ActualResult], "REG"),0), "-", TEXT(SUMIFS(Table2[HomeWon_], Table2[GameIsOver],1,Table2[AwayTeam],$A14, Table2[HomeTeam], U$1, Table2[ActualResult], "OT") + SUMIFS(Table2[AwayWon], Table2[GameIsOver],1,Table2[HomeTeam],$A14, Table2[AwayTeam], U$1, Table2[ActualResult], "OT") + SUMIFS(Table2[HomeWon_], Table2[GameIsOver],1,Table2[AwayTeam],$A14, Table2[HomeTeam], U$1, Table2[ActualResult], "SO") + SUMIFS(Table2[AwayWon], Table2[GameIsOver],1,Table2[HomeTeam],$A14, Table2[AwayTeam], U$1, Table2[ActualResult], "SO"),0))</f>
        <v>0-0-0</v>
      </c>
      <c r="V14" t="str">
        <f>_xlfn.CONCAT(TEXT(SUMIFS(Table2[AwayWon], Table2[GameIsOver],1,Table2[AwayTeam],$A14, Table2[HomeTeam], V$1) + SUMIFS(Table2[HomeWon_], Table2[GameIsOver],1,Table2[HomeTeam],$A14, Table2[AwayTeam], V$1),0), "-", TEXT(SUMIFS(Table2[HomeWon_], Table2[GameIsOver],1,Table2[AwayTeam],$A14, Table2[HomeTeam], V$1, Table2[ActualResult], "REG") + SUMIFS(Table2[AwayWon], Table2[GameIsOver],1,Table2[HomeTeam],$A14, Table2[AwayTeam], V$1, Table2[ActualResult], "REG"),0), "-", TEXT(SUMIFS(Table2[HomeWon_], Table2[GameIsOver],1,Table2[AwayTeam],$A14, Table2[HomeTeam], V$1, Table2[ActualResult], "OT") + SUMIFS(Table2[AwayWon], Table2[GameIsOver],1,Table2[HomeTeam],$A14, Table2[AwayTeam], V$1, Table2[ActualResult], "OT") + SUMIFS(Table2[HomeWon_], Table2[GameIsOver],1,Table2[AwayTeam],$A14, Table2[HomeTeam], V$1, Table2[ActualResult], "SO") + SUMIFS(Table2[AwayWon], Table2[GameIsOver],1,Table2[HomeTeam],$A14, Table2[AwayTeam], V$1, Table2[ActualResult], "SO"),0))</f>
        <v>0-0-0</v>
      </c>
      <c r="W14" t="str">
        <f>_xlfn.CONCAT(TEXT(SUMIFS(Table2[AwayWon], Table2[GameIsOver],1,Table2[AwayTeam],$A14, Table2[HomeTeam], W$1) + SUMIFS(Table2[HomeWon_], Table2[GameIsOver],1,Table2[HomeTeam],$A14, Table2[AwayTeam], W$1),0), "-", TEXT(SUMIFS(Table2[HomeWon_], Table2[GameIsOver],1,Table2[AwayTeam],$A14, Table2[HomeTeam], W$1, Table2[ActualResult], "REG") + SUMIFS(Table2[AwayWon], Table2[GameIsOver],1,Table2[HomeTeam],$A14, Table2[AwayTeam], W$1, Table2[ActualResult], "REG"),0), "-", TEXT(SUMIFS(Table2[HomeWon_], Table2[GameIsOver],1,Table2[AwayTeam],$A14, Table2[HomeTeam], W$1, Table2[ActualResult], "OT") + SUMIFS(Table2[AwayWon], Table2[GameIsOver],1,Table2[HomeTeam],$A14, Table2[AwayTeam], W$1, Table2[ActualResult], "OT") + SUMIFS(Table2[HomeWon_], Table2[GameIsOver],1,Table2[AwayTeam],$A14, Table2[HomeTeam], W$1, Table2[ActualResult], "SO") + SUMIFS(Table2[AwayWon], Table2[GameIsOver],1,Table2[HomeTeam],$A14, Table2[AwayTeam], W$1, Table2[ActualResult], "SO"),0))</f>
        <v>0-0-0</v>
      </c>
      <c r="X14" t="str">
        <f>_xlfn.CONCAT(TEXT(SUMIFS(Table2[AwayWon], Table2[GameIsOver],1,Table2[AwayTeam],$A14, Table2[HomeTeam], X$1) + SUMIFS(Table2[HomeWon_], Table2[GameIsOver],1,Table2[HomeTeam],$A14, Table2[AwayTeam], X$1),0), "-", TEXT(SUMIFS(Table2[HomeWon_], Table2[GameIsOver],1,Table2[AwayTeam],$A14, Table2[HomeTeam], X$1, Table2[ActualResult], "REG") + SUMIFS(Table2[AwayWon], Table2[GameIsOver],1,Table2[HomeTeam],$A14, Table2[AwayTeam], X$1, Table2[ActualResult], "REG"),0), "-", TEXT(SUMIFS(Table2[HomeWon_], Table2[GameIsOver],1,Table2[AwayTeam],$A14, Table2[HomeTeam], X$1, Table2[ActualResult], "OT") + SUMIFS(Table2[AwayWon], Table2[GameIsOver],1,Table2[HomeTeam],$A14, Table2[AwayTeam], X$1, Table2[ActualResult], "OT") + SUMIFS(Table2[HomeWon_], Table2[GameIsOver],1,Table2[AwayTeam],$A14, Table2[HomeTeam], X$1, Table2[ActualResult], "SO") + SUMIFS(Table2[AwayWon], Table2[GameIsOver],1,Table2[HomeTeam],$A14, Table2[AwayTeam], X$1, Table2[ActualResult], "SO"),0))</f>
        <v>0-0-0</v>
      </c>
      <c r="Y14" s="57" t="str">
        <f>_xlfn.CONCAT(TEXT(SUMIFS(Table2[AwayWon], Table2[GameIsOver],1,Table2[AwayTeam],$A14, Table2[HomeTeam], Y$1) + SUMIFS(Table2[HomeWon_], Table2[GameIsOver],1,Table2[HomeTeam],$A14, Table2[AwayTeam], Y$1),0), "-", TEXT(SUMIFS(Table2[HomeWon_], Table2[GameIsOver],1,Table2[AwayTeam],$A14, Table2[HomeTeam], Y$1, Table2[ActualResult], "REG") + SUMIFS(Table2[AwayWon], Table2[GameIsOver],1,Table2[HomeTeam],$A14, Table2[AwayTeam], Y$1, Table2[ActualResult], "REG"),0), "-", TEXT(SUMIFS(Table2[HomeWon_], Table2[GameIsOver],1,Table2[AwayTeam],$A14, Table2[HomeTeam], Y$1, Table2[ActualResult], "OT") + SUMIFS(Table2[AwayWon], Table2[GameIsOver],1,Table2[HomeTeam],$A14, Table2[AwayTeam], Y$1, Table2[ActualResult], "OT") + SUMIFS(Table2[HomeWon_], Table2[GameIsOver],1,Table2[AwayTeam],$A14, Table2[HomeTeam], Y$1, Table2[ActualResult], "SO") + SUMIFS(Table2[AwayWon], Table2[GameIsOver],1,Table2[HomeTeam],$A14, Table2[AwayTeam], Y$1, Table2[ActualResult], "SO"),0))</f>
        <v>0-0-0</v>
      </c>
      <c r="Z14" t="str">
        <f>_xlfn.CONCAT(TEXT(SUMIFS(Table2[AwayWon], Table2[GameIsOver],1,Table2[AwayTeam],$A14, Table2[HomeTeam], Z$1) + SUMIFS(Table2[HomeWon_], Table2[GameIsOver],1,Table2[HomeTeam],$A14, Table2[AwayTeam], Z$1),0), "-", TEXT(SUMIFS(Table2[HomeWon_], Table2[GameIsOver],1,Table2[AwayTeam],$A14, Table2[HomeTeam], Z$1, Table2[ActualResult], "REG") + SUMIFS(Table2[AwayWon], Table2[GameIsOver],1,Table2[HomeTeam],$A14, Table2[AwayTeam], Z$1, Table2[ActualResult], "REG"),0), "-", TEXT(SUMIFS(Table2[HomeWon_], Table2[GameIsOver],1,Table2[AwayTeam],$A14, Table2[HomeTeam], Z$1, Table2[ActualResult], "OT") + SUMIFS(Table2[AwayWon], Table2[GameIsOver],1,Table2[HomeTeam],$A14, Table2[AwayTeam], Z$1, Table2[ActualResult], "OT") + SUMIFS(Table2[HomeWon_], Table2[GameIsOver],1,Table2[AwayTeam],$A14, Table2[HomeTeam], Z$1, Table2[ActualResult], "SO") + SUMIFS(Table2[AwayWon], Table2[GameIsOver],1,Table2[HomeTeam],$A14, Table2[AwayTeam], Z$1, Table2[ActualResult], "SO"),0))</f>
        <v>0-0-0</v>
      </c>
      <c r="AA14" t="str">
        <f>_xlfn.CONCAT(TEXT(SUMIFS(Table2[AwayWon], Table2[GameIsOver],1,Table2[AwayTeam],$A14, Table2[HomeTeam], AA$1) + SUMIFS(Table2[HomeWon_], Table2[GameIsOver],1,Table2[HomeTeam],$A14, Table2[AwayTeam], AA$1),0), "-", TEXT(SUMIFS(Table2[HomeWon_], Table2[GameIsOver],1,Table2[AwayTeam],$A14, Table2[HomeTeam], AA$1, Table2[ActualResult], "REG") + SUMIFS(Table2[AwayWon], Table2[GameIsOver],1,Table2[HomeTeam],$A14, Table2[AwayTeam], AA$1, Table2[ActualResult], "REG"),0), "-", TEXT(SUMIFS(Table2[HomeWon_], Table2[GameIsOver],1,Table2[AwayTeam],$A14, Table2[HomeTeam], AA$1, Table2[ActualResult], "OT") + SUMIFS(Table2[AwayWon], Table2[GameIsOver],1,Table2[HomeTeam],$A14, Table2[AwayTeam], AA$1, Table2[ActualResult], "OT") + SUMIFS(Table2[HomeWon_], Table2[GameIsOver],1,Table2[AwayTeam],$A14, Table2[HomeTeam], AA$1, Table2[ActualResult], "SO") + SUMIFS(Table2[AwayWon], Table2[GameIsOver],1,Table2[HomeTeam],$A14, Table2[AwayTeam], AA$1, Table2[ActualResult], "SO"),0))</f>
        <v>0-0-0</v>
      </c>
      <c r="AB14" t="str">
        <f>_xlfn.CONCAT(TEXT(SUMIFS(Table2[AwayWon], Table2[GameIsOver],1,Table2[AwayTeam],$A14, Table2[HomeTeam], AB$1) + SUMIFS(Table2[HomeWon_], Table2[GameIsOver],1,Table2[HomeTeam],$A14, Table2[AwayTeam], AB$1),0), "-", TEXT(SUMIFS(Table2[HomeWon_], Table2[GameIsOver],1,Table2[AwayTeam],$A14, Table2[HomeTeam], AB$1, Table2[ActualResult], "REG") + SUMIFS(Table2[AwayWon], Table2[GameIsOver],1,Table2[HomeTeam],$A14, Table2[AwayTeam], AB$1, Table2[ActualResult], "REG"),0), "-", TEXT(SUMIFS(Table2[HomeWon_], Table2[GameIsOver],1,Table2[AwayTeam],$A14, Table2[HomeTeam], AB$1, Table2[ActualResult], "OT") + SUMIFS(Table2[AwayWon], Table2[GameIsOver],1,Table2[HomeTeam],$A14, Table2[AwayTeam], AB$1, Table2[ActualResult], "OT") + SUMIFS(Table2[HomeWon_], Table2[GameIsOver],1,Table2[AwayTeam],$A14, Table2[HomeTeam], AB$1, Table2[ActualResult], "SO") + SUMIFS(Table2[AwayWon], Table2[GameIsOver],1,Table2[HomeTeam],$A14, Table2[AwayTeam], AB$1, Table2[ActualResult], "SO"),0))</f>
        <v>0-0-0</v>
      </c>
      <c r="AC14" t="str">
        <f>_xlfn.CONCAT(TEXT(SUMIFS(Table2[AwayWon], Table2[GameIsOver],1,Table2[AwayTeam],$A14, Table2[HomeTeam], AC$1) + SUMIFS(Table2[HomeWon_], Table2[GameIsOver],1,Table2[HomeTeam],$A14, Table2[AwayTeam], AC$1),0), "-", TEXT(SUMIFS(Table2[HomeWon_], Table2[GameIsOver],1,Table2[AwayTeam],$A14, Table2[HomeTeam], AC$1, Table2[ActualResult], "REG") + SUMIFS(Table2[AwayWon], Table2[GameIsOver],1,Table2[HomeTeam],$A14, Table2[AwayTeam], AC$1, Table2[ActualResult], "REG"),0), "-", TEXT(SUMIFS(Table2[HomeWon_], Table2[GameIsOver],1,Table2[AwayTeam],$A14, Table2[HomeTeam], AC$1, Table2[ActualResult], "OT") + SUMIFS(Table2[AwayWon], Table2[GameIsOver],1,Table2[HomeTeam],$A14, Table2[AwayTeam], AC$1, Table2[ActualResult], "OT") + SUMIFS(Table2[HomeWon_], Table2[GameIsOver],1,Table2[AwayTeam],$A14, Table2[HomeTeam], AC$1, Table2[ActualResult], "SO") + SUMIFS(Table2[AwayWon], Table2[GameIsOver],1,Table2[HomeTeam],$A14, Table2[AwayTeam], AC$1, Table2[ActualResult], "SO"),0))</f>
        <v>0-0-0</v>
      </c>
      <c r="AD14" t="str">
        <f>_xlfn.CONCAT(TEXT(SUMIFS(Table2[AwayWon], Table2[GameIsOver],1,Table2[AwayTeam],$A14, Table2[HomeTeam], AD$1) + SUMIFS(Table2[HomeWon_], Table2[GameIsOver],1,Table2[HomeTeam],$A14, Table2[AwayTeam], AD$1),0), "-", TEXT(SUMIFS(Table2[HomeWon_], Table2[GameIsOver],1,Table2[AwayTeam],$A14, Table2[HomeTeam], AD$1, Table2[ActualResult], "REG") + SUMIFS(Table2[AwayWon], Table2[GameIsOver],1,Table2[HomeTeam],$A14, Table2[AwayTeam], AD$1, Table2[ActualResult], "REG"),0), "-", TEXT(SUMIFS(Table2[HomeWon_], Table2[GameIsOver],1,Table2[AwayTeam],$A14, Table2[HomeTeam], AD$1, Table2[ActualResult], "OT") + SUMIFS(Table2[AwayWon], Table2[GameIsOver],1,Table2[HomeTeam],$A14, Table2[AwayTeam], AD$1, Table2[ActualResult], "OT") + SUMIFS(Table2[HomeWon_], Table2[GameIsOver],1,Table2[AwayTeam],$A14, Table2[HomeTeam], AD$1, Table2[ActualResult], "SO") + SUMIFS(Table2[AwayWon], Table2[GameIsOver],1,Table2[HomeTeam],$A14, Table2[AwayTeam], AD$1, Table2[ActualResult], "SO"),0))</f>
        <v>0-0-1</v>
      </c>
      <c r="AE14" t="str">
        <f>_xlfn.CONCAT(TEXT(SUMIFS(Table2[AwayWon], Table2[GameIsOver],1,Table2[AwayTeam],$A14, Table2[HomeTeam], AE$1) + SUMIFS(Table2[HomeWon_], Table2[GameIsOver],1,Table2[HomeTeam],$A14, Table2[AwayTeam], AE$1),0), "-", TEXT(SUMIFS(Table2[HomeWon_], Table2[GameIsOver],1,Table2[AwayTeam],$A14, Table2[HomeTeam], AE$1, Table2[ActualResult], "REG") + SUMIFS(Table2[AwayWon], Table2[GameIsOver],1,Table2[HomeTeam],$A14, Table2[AwayTeam], AE$1, Table2[ActualResult], "REG"),0), "-", TEXT(SUMIFS(Table2[HomeWon_], Table2[GameIsOver],1,Table2[AwayTeam],$A14, Table2[HomeTeam], AE$1, Table2[ActualResult], "OT") + SUMIFS(Table2[AwayWon], Table2[GameIsOver],1,Table2[HomeTeam],$A14, Table2[AwayTeam], AE$1, Table2[ActualResult], "OT") + SUMIFS(Table2[HomeWon_], Table2[GameIsOver],1,Table2[AwayTeam],$A14, Table2[HomeTeam], AE$1, Table2[ActualResult], "SO") + SUMIFS(Table2[AwayWon], Table2[GameIsOver],1,Table2[HomeTeam],$A14, Table2[AwayTeam], AE$1, Table2[ActualResult], "SO"),0))</f>
        <v>1-0-0</v>
      </c>
      <c r="AF14" t="str">
        <f>_xlfn.CONCAT(TEXT(SUMIFS(Table2[AwayWon], Table2[GameIsOver],1,Table2[AwayTeam],$A14, Table2[HomeTeam], AF$1) + SUMIFS(Table2[HomeWon_], Table2[GameIsOver],1,Table2[HomeTeam],$A14, Table2[AwayTeam], AF$1),0), "-", TEXT(SUMIFS(Table2[HomeWon_], Table2[GameIsOver],1,Table2[AwayTeam],$A14, Table2[HomeTeam], AF$1, Table2[ActualResult], "REG") + SUMIFS(Table2[AwayWon], Table2[GameIsOver],1,Table2[HomeTeam],$A14, Table2[AwayTeam], AF$1, Table2[ActualResult], "REG"),0), "-", TEXT(SUMIFS(Table2[HomeWon_], Table2[GameIsOver],1,Table2[AwayTeam],$A14, Table2[HomeTeam], AF$1, Table2[ActualResult], "OT") + SUMIFS(Table2[AwayWon], Table2[GameIsOver],1,Table2[HomeTeam],$A14, Table2[AwayTeam], AF$1, Table2[ActualResult], "OT") + SUMIFS(Table2[HomeWon_], Table2[GameIsOver],1,Table2[AwayTeam],$A14, Table2[HomeTeam], AF$1, Table2[ActualResult], "SO") + SUMIFS(Table2[AwayWon], Table2[GameIsOver],1,Table2[HomeTeam],$A14, Table2[AwayTeam], AF$1, Table2[ActualResult], "SO"),0))</f>
        <v>0-0-0</v>
      </c>
      <c r="AG14" t="str">
        <f>_xlfn.CONCAT(TEXT(SUMIFS(Table2[AwayWon], Table2[GameIsOver],1,Table2[AwayTeam],$A14, Table2[HomeTeam], AG$1) + SUMIFS(Table2[HomeWon_], Table2[GameIsOver],1,Table2[HomeTeam],$A14, Table2[AwayTeam], AG$1),0), "-", TEXT(SUMIFS(Table2[HomeWon_], Table2[GameIsOver],1,Table2[AwayTeam],$A14, Table2[HomeTeam], AG$1, Table2[ActualResult], "REG") + SUMIFS(Table2[AwayWon], Table2[GameIsOver],1,Table2[HomeTeam],$A14, Table2[AwayTeam], AG$1, Table2[ActualResult], "REG"),0), "-", TEXT(SUMIFS(Table2[HomeWon_], Table2[GameIsOver],1,Table2[AwayTeam],$A14, Table2[HomeTeam], AG$1, Table2[ActualResult], "OT") + SUMIFS(Table2[AwayWon], Table2[GameIsOver],1,Table2[HomeTeam],$A14, Table2[AwayTeam], AG$1, Table2[ActualResult], "OT") + SUMIFS(Table2[HomeWon_], Table2[GameIsOver],1,Table2[AwayTeam],$A14, Table2[HomeTeam], AG$1, Table2[ActualResult], "SO") + SUMIFS(Table2[AwayWon], Table2[GameIsOver],1,Table2[HomeTeam],$A14, Table2[AwayTeam], AG$1, Table2[ActualResult], "SO"),0))</f>
        <v>0-1-0</v>
      </c>
    </row>
    <row r="15" spans="1:33" x14ac:dyDescent="0.25">
      <c r="A15" s="57" t="s">
        <v>12</v>
      </c>
      <c r="B15" t="str">
        <f>_xlfn.CONCAT(TEXT(SUMIFS(Table2[AwayWon], Table2[GameIsOver],1,Table2[AwayTeam],$A15, Table2[HomeTeam], B$1) + SUMIFS(Table2[HomeWon_], Table2[GameIsOver],1,Table2[HomeTeam],$A15, Table2[AwayTeam], B$1),0), "-", TEXT(SUMIFS(Table2[HomeWon_], Table2[GameIsOver],1,Table2[AwayTeam],$A15, Table2[HomeTeam], B$1, Table2[ActualResult], "REG") + SUMIFS(Table2[AwayWon], Table2[GameIsOver],1,Table2[HomeTeam],$A15, Table2[AwayTeam], B$1, Table2[ActualResult], "REG"),0), "-", TEXT(SUMIFS(Table2[HomeWon_], Table2[GameIsOver],1,Table2[AwayTeam],$A15, Table2[HomeTeam], B$1, Table2[ActualResult], "OT") + SUMIFS(Table2[AwayWon], Table2[GameIsOver],1,Table2[HomeTeam],$A15, Table2[AwayTeam], B$1, Table2[ActualResult], "OT") + SUMIFS(Table2[HomeWon_], Table2[GameIsOver],1,Table2[AwayTeam],$A15, Table2[HomeTeam], B$1, Table2[ActualResult], "SO") + SUMIFS(Table2[AwayWon], Table2[GameIsOver],1,Table2[HomeTeam],$A15, Table2[AwayTeam], B$1, Table2[ActualResult], "SO"),0))</f>
        <v>0-0-0</v>
      </c>
      <c r="C15" t="str">
        <f>_xlfn.CONCAT(TEXT(SUMIFS(Table2[AwayWon], Table2[GameIsOver],1,Table2[AwayTeam],$A15, Table2[HomeTeam], C$1) + SUMIFS(Table2[HomeWon_], Table2[GameIsOver],1,Table2[HomeTeam],$A15, Table2[AwayTeam], C$1),0), "-", TEXT(SUMIFS(Table2[HomeWon_], Table2[GameIsOver],1,Table2[AwayTeam],$A15, Table2[HomeTeam], C$1, Table2[ActualResult], "REG") + SUMIFS(Table2[AwayWon], Table2[GameIsOver],1,Table2[HomeTeam],$A15, Table2[AwayTeam], C$1, Table2[ActualResult], "REG"),0), "-", TEXT(SUMIFS(Table2[HomeWon_], Table2[GameIsOver],1,Table2[AwayTeam],$A15, Table2[HomeTeam], C$1, Table2[ActualResult], "OT") + SUMIFS(Table2[AwayWon], Table2[GameIsOver],1,Table2[HomeTeam],$A15, Table2[AwayTeam], C$1, Table2[ActualResult], "OT") + SUMIFS(Table2[HomeWon_], Table2[GameIsOver],1,Table2[AwayTeam],$A15, Table2[HomeTeam], C$1, Table2[ActualResult], "SO") + SUMIFS(Table2[AwayWon], Table2[GameIsOver],1,Table2[HomeTeam],$A15, Table2[AwayTeam], C$1, Table2[ActualResult], "SO"),0))</f>
        <v>1-0-0</v>
      </c>
      <c r="D15" t="str">
        <f>_xlfn.CONCAT(TEXT(SUMIFS(Table2[AwayWon], Table2[GameIsOver],1,Table2[AwayTeam],$A15, Table2[HomeTeam], D$1) + SUMIFS(Table2[HomeWon_], Table2[GameIsOver],1,Table2[HomeTeam],$A15, Table2[AwayTeam], D$1),0), "-", TEXT(SUMIFS(Table2[HomeWon_], Table2[GameIsOver],1,Table2[AwayTeam],$A15, Table2[HomeTeam], D$1, Table2[ActualResult], "REG") + SUMIFS(Table2[AwayWon], Table2[GameIsOver],1,Table2[HomeTeam],$A15, Table2[AwayTeam], D$1, Table2[ActualResult], "REG"),0), "-", TEXT(SUMIFS(Table2[HomeWon_], Table2[GameIsOver],1,Table2[AwayTeam],$A15, Table2[HomeTeam], D$1, Table2[ActualResult], "OT") + SUMIFS(Table2[AwayWon], Table2[GameIsOver],1,Table2[HomeTeam],$A15, Table2[AwayTeam], D$1, Table2[ActualResult], "OT") + SUMIFS(Table2[HomeWon_], Table2[GameIsOver],1,Table2[AwayTeam],$A15, Table2[HomeTeam], D$1, Table2[ActualResult], "SO") + SUMIFS(Table2[AwayWon], Table2[GameIsOver],1,Table2[HomeTeam],$A15, Table2[AwayTeam], D$1, Table2[ActualResult], "SO"),0))</f>
        <v>0-0-0</v>
      </c>
      <c r="E15" t="str">
        <f>_xlfn.CONCAT(TEXT(SUMIFS(Table2[AwayWon], Table2[GameIsOver],1,Table2[AwayTeam],$A15, Table2[HomeTeam], E$1) + SUMIFS(Table2[HomeWon_], Table2[GameIsOver],1,Table2[HomeTeam],$A15, Table2[AwayTeam], E$1),0), "-", TEXT(SUMIFS(Table2[HomeWon_], Table2[GameIsOver],1,Table2[AwayTeam],$A15, Table2[HomeTeam], E$1, Table2[ActualResult], "REG") + SUMIFS(Table2[AwayWon], Table2[GameIsOver],1,Table2[HomeTeam],$A15, Table2[AwayTeam], E$1, Table2[ActualResult], "REG"),0), "-", TEXT(SUMIFS(Table2[HomeWon_], Table2[GameIsOver],1,Table2[AwayTeam],$A15, Table2[HomeTeam], E$1, Table2[ActualResult], "OT") + SUMIFS(Table2[AwayWon], Table2[GameIsOver],1,Table2[HomeTeam],$A15, Table2[AwayTeam], E$1, Table2[ActualResult], "OT") + SUMIFS(Table2[HomeWon_], Table2[GameIsOver],1,Table2[AwayTeam],$A15, Table2[HomeTeam], E$1, Table2[ActualResult], "SO") + SUMIFS(Table2[AwayWon], Table2[GameIsOver],1,Table2[HomeTeam],$A15, Table2[AwayTeam], E$1, Table2[ActualResult], "SO"),0))</f>
        <v>0-0-1</v>
      </c>
      <c r="F15" t="str">
        <f>_xlfn.CONCAT(TEXT(SUMIFS(Table2[AwayWon], Table2[GameIsOver],1,Table2[AwayTeam],$A15, Table2[HomeTeam], F$1) + SUMIFS(Table2[HomeWon_], Table2[GameIsOver],1,Table2[HomeTeam],$A15, Table2[AwayTeam], F$1),0), "-", TEXT(SUMIFS(Table2[HomeWon_], Table2[GameIsOver],1,Table2[AwayTeam],$A15, Table2[HomeTeam], F$1, Table2[ActualResult], "REG") + SUMIFS(Table2[AwayWon], Table2[GameIsOver],1,Table2[HomeTeam],$A15, Table2[AwayTeam], F$1, Table2[ActualResult], "REG"),0), "-", TEXT(SUMIFS(Table2[HomeWon_], Table2[GameIsOver],1,Table2[AwayTeam],$A15, Table2[HomeTeam], F$1, Table2[ActualResult], "OT") + SUMIFS(Table2[AwayWon], Table2[GameIsOver],1,Table2[HomeTeam],$A15, Table2[AwayTeam], F$1, Table2[ActualResult], "OT") + SUMIFS(Table2[HomeWon_], Table2[GameIsOver],1,Table2[AwayTeam],$A15, Table2[HomeTeam], F$1, Table2[ActualResult], "SO") + SUMIFS(Table2[AwayWon], Table2[GameIsOver],1,Table2[HomeTeam],$A15, Table2[AwayTeam], F$1, Table2[ActualResult], "SO"),0))</f>
        <v>0-0-0</v>
      </c>
      <c r="G15" t="str">
        <f>_xlfn.CONCAT(TEXT(SUMIFS(Table2[AwayWon], Table2[GameIsOver],1,Table2[AwayTeam],$A15, Table2[HomeTeam], G$1) + SUMIFS(Table2[HomeWon_], Table2[GameIsOver],1,Table2[HomeTeam],$A15, Table2[AwayTeam], G$1),0), "-", TEXT(SUMIFS(Table2[HomeWon_], Table2[GameIsOver],1,Table2[AwayTeam],$A15, Table2[HomeTeam], G$1, Table2[ActualResult], "REG") + SUMIFS(Table2[AwayWon], Table2[GameIsOver],1,Table2[HomeTeam],$A15, Table2[AwayTeam], G$1, Table2[ActualResult], "REG"),0), "-", TEXT(SUMIFS(Table2[HomeWon_], Table2[GameIsOver],1,Table2[AwayTeam],$A15, Table2[HomeTeam], G$1, Table2[ActualResult], "OT") + SUMIFS(Table2[AwayWon], Table2[GameIsOver],1,Table2[HomeTeam],$A15, Table2[AwayTeam], G$1, Table2[ActualResult], "OT") + SUMIFS(Table2[HomeWon_], Table2[GameIsOver],1,Table2[AwayTeam],$A15, Table2[HomeTeam], G$1, Table2[ActualResult], "SO") + SUMIFS(Table2[AwayWon], Table2[GameIsOver],1,Table2[HomeTeam],$A15, Table2[AwayTeam], G$1, Table2[ActualResult], "SO"),0))</f>
        <v>0-0-0</v>
      </c>
      <c r="H15" t="str">
        <f>_xlfn.CONCAT(TEXT(SUMIFS(Table2[AwayWon], Table2[GameIsOver],1,Table2[AwayTeam],$A15, Table2[HomeTeam], H$1) + SUMIFS(Table2[HomeWon_], Table2[GameIsOver],1,Table2[HomeTeam],$A15, Table2[AwayTeam], H$1),0), "-", TEXT(SUMIFS(Table2[HomeWon_], Table2[GameIsOver],1,Table2[AwayTeam],$A15, Table2[HomeTeam], H$1, Table2[ActualResult], "REG") + SUMIFS(Table2[AwayWon], Table2[GameIsOver],1,Table2[HomeTeam],$A15, Table2[AwayTeam], H$1, Table2[ActualResult], "REG"),0), "-", TEXT(SUMIFS(Table2[HomeWon_], Table2[GameIsOver],1,Table2[AwayTeam],$A15, Table2[HomeTeam], H$1, Table2[ActualResult], "OT") + SUMIFS(Table2[AwayWon], Table2[GameIsOver],1,Table2[HomeTeam],$A15, Table2[AwayTeam], H$1, Table2[ActualResult], "OT") + SUMIFS(Table2[HomeWon_], Table2[GameIsOver],1,Table2[AwayTeam],$A15, Table2[HomeTeam], H$1, Table2[ActualResult], "SO") + SUMIFS(Table2[AwayWon], Table2[GameIsOver],1,Table2[HomeTeam],$A15, Table2[AwayTeam], H$1, Table2[ActualResult], "SO"),0))</f>
        <v>1-0-0</v>
      </c>
      <c r="I15" s="57" t="str">
        <f>_xlfn.CONCAT(TEXT(SUMIFS(Table2[AwayWon], Table2[GameIsOver],1,Table2[AwayTeam],$A15, Table2[HomeTeam], I$1) + SUMIFS(Table2[HomeWon_], Table2[GameIsOver],1,Table2[HomeTeam],$A15, Table2[AwayTeam], I$1),0), "-", TEXT(SUMIFS(Table2[HomeWon_], Table2[GameIsOver],1,Table2[AwayTeam],$A15, Table2[HomeTeam], I$1, Table2[ActualResult], "REG") + SUMIFS(Table2[AwayWon], Table2[GameIsOver],1,Table2[HomeTeam],$A15, Table2[AwayTeam], I$1, Table2[ActualResult], "REG"),0), "-", TEXT(SUMIFS(Table2[HomeWon_], Table2[GameIsOver],1,Table2[AwayTeam],$A15, Table2[HomeTeam], I$1, Table2[ActualResult], "OT") + SUMIFS(Table2[AwayWon], Table2[GameIsOver],1,Table2[HomeTeam],$A15, Table2[AwayTeam], I$1, Table2[ActualResult], "OT") + SUMIFS(Table2[HomeWon_], Table2[GameIsOver],1,Table2[AwayTeam],$A15, Table2[HomeTeam], I$1, Table2[ActualResult], "SO") + SUMIFS(Table2[AwayWon], Table2[GameIsOver],1,Table2[HomeTeam],$A15, Table2[AwayTeam], I$1, Table2[ActualResult], "SO"),0))</f>
        <v>0-0-0</v>
      </c>
      <c r="J15" t="str">
        <f>_xlfn.CONCAT(TEXT(SUMIFS(Table2[AwayWon], Table2[GameIsOver],1,Table2[AwayTeam],$A15, Table2[HomeTeam], J$1) + SUMIFS(Table2[HomeWon_], Table2[GameIsOver],1,Table2[HomeTeam],$A15, Table2[AwayTeam], J$1),0), "-", TEXT(SUMIFS(Table2[HomeWon_], Table2[GameIsOver],1,Table2[AwayTeam],$A15, Table2[HomeTeam], J$1, Table2[ActualResult], "REG") + SUMIFS(Table2[AwayWon], Table2[GameIsOver],1,Table2[HomeTeam],$A15, Table2[AwayTeam], J$1, Table2[ActualResult], "REG"),0), "-", TEXT(SUMIFS(Table2[HomeWon_], Table2[GameIsOver],1,Table2[AwayTeam],$A15, Table2[HomeTeam], J$1, Table2[ActualResult], "OT") + SUMIFS(Table2[AwayWon], Table2[GameIsOver],1,Table2[HomeTeam],$A15, Table2[AwayTeam], J$1, Table2[ActualResult], "OT") + SUMIFS(Table2[HomeWon_], Table2[GameIsOver],1,Table2[AwayTeam],$A15, Table2[HomeTeam], J$1, Table2[ActualResult], "SO") + SUMIFS(Table2[AwayWon], Table2[GameIsOver],1,Table2[HomeTeam],$A15, Table2[AwayTeam], J$1, Table2[ActualResult], "SO"),0))</f>
        <v>0-1-0</v>
      </c>
      <c r="K15" t="str">
        <f>_xlfn.CONCAT(TEXT(SUMIFS(Table2[AwayWon], Table2[GameIsOver],1,Table2[AwayTeam],$A15, Table2[HomeTeam], K$1) + SUMIFS(Table2[HomeWon_], Table2[GameIsOver],1,Table2[HomeTeam],$A15, Table2[AwayTeam], K$1),0), "-", TEXT(SUMIFS(Table2[HomeWon_], Table2[GameIsOver],1,Table2[AwayTeam],$A15, Table2[HomeTeam], K$1, Table2[ActualResult], "REG") + SUMIFS(Table2[AwayWon], Table2[GameIsOver],1,Table2[HomeTeam],$A15, Table2[AwayTeam], K$1, Table2[ActualResult], "REG"),0), "-", TEXT(SUMIFS(Table2[HomeWon_], Table2[GameIsOver],1,Table2[AwayTeam],$A15, Table2[HomeTeam], K$1, Table2[ActualResult], "OT") + SUMIFS(Table2[AwayWon], Table2[GameIsOver],1,Table2[HomeTeam],$A15, Table2[AwayTeam], K$1, Table2[ActualResult], "OT") + SUMIFS(Table2[HomeWon_], Table2[GameIsOver],1,Table2[AwayTeam],$A15, Table2[HomeTeam], K$1, Table2[ActualResult], "SO") + SUMIFS(Table2[AwayWon], Table2[GameIsOver],1,Table2[HomeTeam],$A15, Table2[AwayTeam], K$1, Table2[ActualResult], "SO"),0))</f>
        <v>0-0-0</v>
      </c>
      <c r="L15" t="str">
        <f>_xlfn.CONCAT(TEXT(SUMIFS(Table2[AwayWon], Table2[GameIsOver],1,Table2[AwayTeam],$A15, Table2[HomeTeam], L$1) + SUMIFS(Table2[HomeWon_], Table2[GameIsOver],1,Table2[HomeTeam],$A15, Table2[AwayTeam], L$1),0), "-", TEXT(SUMIFS(Table2[HomeWon_], Table2[GameIsOver],1,Table2[AwayTeam],$A15, Table2[HomeTeam], L$1, Table2[ActualResult], "REG") + SUMIFS(Table2[AwayWon], Table2[GameIsOver],1,Table2[HomeTeam],$A15, Table2[AwayTeam], L$1, Table2[ActualResult], "REG"),0), "-", TEXT(SUMIFS(Table2[HomeWon_], Table2[GameIsOver],1,Table2[AwayTeam],$A15, Table2[HomeTeam], L$1, Table2[ActualResult], "OT") + SUMIFS(Table2[AwayWon], Table2[GameIsOver],1,Table2[HomeTeam],$A15, Table2[AwayTeam], L$1, Table2[ActualResult], "OT") + SUMIFS(Table2[HomeWon_], Table2[GameIsOver],1,Table2[AwayTeam],$A15, Table2[HomeTeam], L$1, Table2[ActualResult], "SO") + SUMIFS(Table2[AwayWon], Table2[GameIsOver],1,Table2[HomeTeam],$A15, Table2[AwayTeam], L$1, Table2[ActualResult], "SO"),0))</f>
        <v>1-0-0</v>
      </c>
      <c r="M15" t="str">
        <f>_xlfn.CONCAT(TEXT(SUMIFS(Table2[AwayWon], Table2[GameIsOver],1,Table2[AwayTeam],$A15, Table2[HomeTeam], M$1) + SUMIFS(Table2[HomeWon_], Table2[GameIsOver],1,Table2[HomeTeam],$A15, Table2[AwayTeam], M$1),0), "-", TEXT(SUMIFS(Table2[HomeWon_], Table2[GameIsOver],1,Table2[AwayTeam],$A15, Table2[HomeTeam], M$1, Table2[ActualResult], "REG") + SUMIFS(Table2[AwayWon], Table2[GameIsOver],1,Table2[HomeTeam],$A15, Table2[AwayTeam], M$1, Table2[ActualResult], "REG"),0), "-", TEXT(SUMIFS(Table2[HomeWon_], Table2[GameIsOver],1,Table2[AwayTeam],$A15, Table2[HomeTeam], M$1, Table2[ActualResult], "OT") + SUMIFS(Table2[AwayWon], Table2[GameIsOver],1,Table2[HomeTeam],$A15, Table2[AwayTeam], M$1, Table2[ActualResult], "OT") + SUMIFS(Table2[HomeWon_], Table2[GameIsOver],1,Table2[AwayTeam],$A15, Table2[HomeTeam], M$1, Table2[ActualResult], "SO") + SUMIFS(Table2[AwayWon], Table2[GameIsOver],1,Table2[HomeTeam],$A15, Table2[AwayTeam], M$1, Table2[ActualResult], "SO"),0))</f>
        <v>0-1-0</v>
      </c>
      <c r="N15" t="str">
        <f>_xlfn.CONCAT(TEXT(SUMIFS(Table2[AwayWon], Table2[GameIsOver],1,Table2[AwayTeam],$A15, Table2[HomeTeam], N$1) + SUMIFS(Table2[HomeWon_], Table2[GameIsOver],1,Table2[HomeTeam],$A15, Table2[AwayTeam], N$1),0), "-", TEXT(SUMIFS(Table2[HomeWon_], Table2[GameIsOver],1,Table2[AwayTeam],$A15, Table2[HomeTeam], N$1, Table2[ActualResult], "REG") + SUMIFS(Table2[AwayWon], Table2[GameIsOver],1,Table2[HomeTeam],$A15, Table2[AwayTeam], N$1, Table2[ActualResult], "REG"),0), "-", TEXT(SUMIFS(Table2[HomeWon_], Table2[GameIsOver],1,Table2[AwayTeam],$A15, Table2[HomeTeam], N$1, Table2[ActualResult], "OT") + SUMIFS(Table2[AwayWon], Table2[GameIsOver],1,Table2[HomeTeam],$A15, Table2[AwayTeam], N$1, Table2[ActualResult], "OT") + SUMIFS(Table2[HomeWon_], Table2[GameIsOver],1,Table2[AwayTeam],$A15, Table2[HomeTeam], N$1, Table2[ActualResult], "SO") + SUMIFS(Table2[AwayWon], Table2[GameIsOver],1,Table2[HomeTeam],$A15, Table2[AwayTeam], N$1, Table2[ActualResult], "SO"),0))</f>
        <v>0-0-0</v>
      </c>
      <c r="O15" s="89"/>
      <c r="P15" t="str">
        <f>_xlfn.CONCAT(TEXT(SUMIFS(Table2[AwayWon], Table2[GameIsOver],1,Table2[AwayTeam],$A15, Table2[HomeTeam], P$1) + SUMIFS(Table2[HomeWon_], Table2[GameIsOver],1,Table2[HomeTeam],$A15, Table2[AwayTeam], P$1),0), "-", TEXT(SUMIFS(Table2[HomeWon_], Table2[GameIsOver],1,Table2[AwayTeam],$A15, Table2[HomeTeam], P$1, Table2[ActualResult], "REG") + SUMIFS(Table2[AwayWon], Table2[GameIsOver],1,Table2[HomeTeam],$A15, Table2[AwayTeam], P$1, Table2[ActualResult], "REG"),0), "-", TEXT(SUMIFS(Table2[HomeWon_], Table2[GameIsOver],1,Table2[AwayTeam],$A15, Table2[HomeTeam], P$1, Table2[ActualResult], "OT") + SUMIFS(Table2[AwayWon], Table2[GameIsOver],1,Table2[HomeTeam],$A15, Table2[AwayTeam], P$1, Table2[ActualResult], "OT") + SUMIFS(Table2[HomeWon_], Table2[GameIsOver],1,Table2[AwayTeam],$A15, Table2[HomeTeam], P$1, Table2[ActualResult], "SO") + SUMIFS(Table2[AwayWon], Table2[GameIsOver],1,Table2[HomeTeam],$A15, Table2[AwayTeam], P$1, Table2[ActualResult], "SO"),0))</f>
        <v>0-0-0</v>
      </c>
      <c r="Q15" s="57" t="str">
        <f>_xlfn.CONCAT(TEXT(SUMIFS(Table2[AwayWon], Table2[GameIsOver],1,Table2[AwayTeam],$A15, Table2[HomeTeam], Q$1) + SUMIFS(Table2[HomeWon_], Table2[GameIsOver],1,Table2[HomeTeam],$A15, Table2[AwayTeam], Q$1),0), "-", TEXT(SUMIFS(Table2[HomeWon_], Table2[GameIsOver],1,Table2[AwayTeam],$A15, Table2[HomeTeam], Q$1, Table2[ActualResult], "REG") + SUMIFS(Table2[AwayWon], Table2[GameIsOver],1,Table2[HomeTeam],$A15, Table2[AwayTeam], Q$1, Table2[ActualResult], "REG"),0), "-", TEXT(SUMIFS(Table2[HomeWon_], Table2[GameIsOver],1,Table2[AwayTeam],$A15, Table2[HomeTeam], Q$1, Table2[ActualResult], "OT") + SUMIFS(Table2[AwayWon], Table2[GameIsOver],1,Table2[HomeTeam],$A15, Table2[AwayTeam], Q$1, Table2[ActualResult], "OT") + SUMIFS(Table2[HomeWon_], Table2[GameIsOver],1,Table2[AwayTeam],$A15, Table2[HomeTeam], Q$1, Table2[ActualResult], "SO") + SUMIFS(Table2[AwayWon], Table2[GameIsOver],1,Table2[HomeTeam],$A15, Table2[AwayTeam], Q$1, Table2[ActualResult], "SO"),0))</f>
        <v>0-0-0</v>
      </c>
      <c r="R15" t="str">
        <f>_xlfn.CONCAT(TEXT(SUMIFS(Table2[AwayWon], Table2[GameIsOver],1,Table2[AwayTeam],$A15, Table2[HomeTeam], R$1) + SUMIFS(Table2[HomeWon_], Table2[GameIsOver],1,Table2[HomeTeam],$A15, Table2[AwayTeam], R$1),0), "-", TEXT(SUMIFS(Table2[HomeWon_], Table2[GameIsOver],1,Table2[AwayTeam],$A15, Table2[HomeTeam], R$1, Table2[ActualResult], "REG") + SUMIFS(Table2[AwayWon], Table2[GameIsOver],1,Table2[HomeTeam],$A15, Table2[AwayTeam], R$1, Table2[ActualResult], "REG"),0), "-", TEXT(SUMIFS(Table2[HomeWon_], Table2[GameIsOver],1,Table2[AwayTeam],$A15, Table2[HomeTeam], R$1, Table2[ActualResult], "OT") + SUMIFS(Table2[AwayWon], Table2[GameIsOver],1,Table2[HomeTeam],$A15, Table2[AwayTeam], R$1, Table2[ActualResult], "OT") + SUMIFS(Table2[HomeWon_], Table2[GameIsOver],1,Table2[AwayTeam],$A15, Table2[HomeTeam], R$1, Table2[ActualResult], "SO") + SUMIFS(Table2[AwayWon], Table2[GameIsOver],1,Table2[HomeTeam],$A15, Table2[AwayTeam], R$1, Table2[ActualResult], "SO"),0))</f>
        <v>0-0-0</v>
      </c>
      <c r="S15" t="str">
        <f>_xlfn.CONCAT(TEXT(SUMIFS(Table2[AwayWon], Table2[GameIsOver],1,Table2[AwayTeam],$A15, Table2[HomeTeam], S$1) + SUMIFS(Table2[HomeWon_], Table2[GameIsOver],1,Table2[HomeTeam],$A15, Table2[AwayTeam], S$1),0), "-", TEXT(SUMIFS(Table2[HomeWon_], Table2[GameIsOver],1,Table2[AwayTeam],$A15, Table2[HomeTeam], S$1, Table2[ActualResult], "REG") + SUMIFS(Table2[AwayWon], Table2[GameIsOver],1,Table2[HomeTeam],$A15, Table2[AwayTeam], S$1, Table2[ActualResult], "REG"),0), "-", TEXT(SUMIFS(Table2[HomeWon_], Table2[GameIsOver],1,Table2[AwayTeam],$A15, Table2[HomeTeam], S$1, Table2[ActualResult], "OT") + SUMIFS(Table2[AwayWon], Table2[GameIsOver],1,Table2[HomeTeam],$A15, Table2[AwayTeam], S$1, Table2[ActualResult], "OT") + SUMIFS(Table2[HomeWon_], Table2[GameIsOver],1,Table2[AwayTeam],$A15, Table2[HomeTeam], S$1, Table2[ActualResult], "SO") + SUMIFS(Table2[AwayWon], Table2[GameIsOver],1,Table2[HomeTeam],$A15, Table2[AwayTeam], S$1, Table2[ActualResult], "SO"),0))</f>
        <v>0-0-0</v>
      </c>
      <c r="T15" t="str">
        <f>_xlfn.CONCAT(TEXT(SUMIFS(Table2[AwayWon], Table2[GameIsOver],1,Table2[AwayTeam],$A15, Table2[HomeTeam], T$1) + SUMIFS(Table2[HomeWon_], Table2[GameIsOver],1,Table2[HomeTeam],$A15, Table2[AwayTeam], T$1),0), "-", TEXT(SUMIFS(Table2[HomeWon_], Table2[GameIsOver],1,Table2[AwayTeam],$A15, Table2[HomeTeam], T$1, Table2[ActualResult], "REG") + SUMIFS(Table2[AwayWon], Table2[GameIsOver],1,Table2[HomeTeam],$A15, Table2[AwayTeam], T$1, Table2[ActualResult], "REG"),0), "-", TEXT(SUMIFS(Table2[HomeWon_], Table2[GameIsOver],1,Table2[AwayTeam],$A15, Table2[HomeTeam], T$1, Table2[ActualResult], "OT") + SUMIFS(Table2[AwayWon], Table2[GameIsOver],1,Table2[HomeTeam],$A15, Table2[AwayTeam], T$1, Table2[ActualResult], "OT") + SUMIFS(Table2[HomeWon_], Table2[GameIsOver],1,Table2[AwayTeam],$A15, Table2[HomeTeam], T$1, Table2[ActualResult], "SO") + SUMIFS(Table2[AwayWon], Table2[GameIsOver],1,Table2[HomeTeam],$A15, Table2[AwayTeam], T$1, Table2[ActualResult], "SO"),0))</f>
        <v>0-0-0</v>
      </c>
      <c r="U15" t="str">
        <f>_xlfn.CONCAT(TEXT(SUMIFS(Table2[AwayWon], Table2[GameIsOver],1,Table2[AwayTeam],$A15, Table2[HomeTeam], U$1) + SUMIFS(Table2[HomeWon_], Table2[GameIsOver],1,Table2[HomeTeam],$A15, Table2[AwayTeam], U$1),0), "-", TEXT(SUMIFS(Table2[HomeWon_], Table2[GameIsOver],1,Table2[AwayTeam],$A15, Table2[HomeTeam], U$1, Table2[ActualResult], "REG") + SUMIFS(Table2[AwayWon], Table2[GameIsOver],1,Table2[HomeTeam],$A15, Table2[AwayTeam], U$1, Table2[ActualResult], "REG"),0), "-", TEXT(SUMIFS(Table2[HomeWon_], Table2[GameIsOver],1,Table2[AwayTeam],$A15, Table2[HomeTeam], U$1, Table2[ActualResult], "OT") + SUMIFS(Table2[AwayWon], Table2[GameIsOver],1,Table2[HomeTeam],$A15, Table2[AwayTeam], U$1, Table2[ActualResult], "OT") + SUMIFS(Table2[HomeWon_], Table2[GameIsOver],1,Table2[AwayTeam],$A15, Table2[HomeTeam], U$1, Table2[ActualResult], "SO") + SUMIFS(Table2[AwayWon], Table2[GameIsOver],1,Table2[HomeTeam],$A15, Table2[AwayTeam], U$1, Table2[ActualResult], "SO"),0))</f>
        <v>0-0-0</v>
      </c>
      <c r="V15" t="str">
        <f>_xlfn.CONCAT(TEXT(SUMIFS(Table2[AwayWon], Table2[GameIsOver],1,Table2[AwayTeam],$A15, Table2[HomeTeam], V$1) + SUMIFS(Table2[HomeWon_], Table2[GameIsOver],1,Table2[HomeTeam],$A15, Table2[AwayTeam], V$1),0), "-", TEXT(SUMIFS(Table2[HomeWon_], Table2[GameIsOver],1,Table2[AwayTeam],$A15, Table2[HomeTeam], V$1, Table2[ActualResult], "REG") + SUMIFS(Table2[AwayWon], Table2[GameIsOver],1,Table2[HomeTeam],$A15, Table2[AwayTeam], V$1, Table2[ActualResult], "REG"),0), "-", TEXT(SUMIFS(Table2[HomeWon_], Table2[GameIsOver],1,Table2[AwayTeam],$A15, Table2[HomeTeam], V$1, Table2[ActualResult], "OT") + SUMIFS(Table2[AwayWon], Table2[GameIsOver],1,Table2[HomeTeam],$A15, Table2[AwayTeam], V$1, Table2[ActualResult], "OT") + SUMIFS(Table2[HomeWon_], Table2[GameIsOver],1,Table2[AwayTeam],$A15, Table2[HomeTeam], V$1, Table2[ActualResult], "SO") + SUMIFS(Table2[AwayWon], Table2[GameIsOver],1,Table2[HomeTeam],$A15, Table2[AwayTeam], V$1, Table2[ActualResult], "SO"),0))</f>
        <v>0-0-0</v>
      </c>
      <c r="W15" t="str">
        <f>_xlfn.CONCAT(TEXT(SUMIFS(Table2[AwayWon], Table2[GameIsOver],1,Table2[AwayTeam],$A15, Table2[HomeTeam], W$1) + SUMIFS(Table2[HomeWon_], Table2[GameIsOver],1,Table2[HomeTeam],$A15, Table2[AwayTeam], W$1),0), "-", TEXT(SUMIFS(Table2[HomeWon_], Table2[GameIsOver],1,Table2[AwayTeam],$A15, Table2[HomeTeam], W$1, Table2[ActualResult], "REG") + SUMIFS(Table2[AwayWon], Table2[GameIsOver],1,Table2[HomeTeam],$A15, Table2[AwayTeam], W$1, Table2[ActualResult], "REG"),0), "-", TEXT(SUMIFS(Table2[HomeWon_], Table2[GameIsOver],1,Table2[AwayTeam],$A15, Table2[HomeTeam], W$1, Table2[ActualResult], "OT") + SUMIFS(Table2[AwayWon], Table2[GameIsOver],1,Table2[HomeTeam],$A15, Table2[AwayTeam], W$1, Table2[ActualResult], "OT") + SUMIFS(Table2[HomeWon_], Table2[GameIsOver],1,Table2[AwayTeam],$A15, Table2[HomeTeam], W$1, Table2[ActualResult], "SO") + SUMIFS(Table2[AwayWon], Table2[GameIsOver],1,Table2[HomeTeam],$A15, Table2[AwayTeam], W$1, Table2[ActualResult], "SO"),0))</f>
        <v>0-0-0</v>
      </c>
      <c r="X15" t="str">
        <f>_xlfn.CONCAT(TEXT(SUMIFS(Table2[AwayWon], Table2[GameIsOver],1,Table2[AwayTeam],$A15, Table2[HomeTeam], X$1) + SUMIFS(Table2[HomeWon_], Table2[GameIsOver],1,Table2[HomeTeam],$A15, Table2[AwayTeam], X$1),0), "-", TEXT(SUMIFS(Table2[HomeWon_], Table2[GameIsOver],1,Table2[AwayTeam],$A15, Table2[HomeTeam], X$1, Table2[ActualResult], "REG") + SUMIFS(Table2[AwayWon], Table2[GameIsOver],1,Table2[HomeTeam],$A15, Table2[AwayTeam], X$1, Table2[ActualResult], "REG"),0), "-", TEXT(SUMIFS(Table2[HomeWon_], Table2[GameIsOver],1,Table2[AwayTeam],$A15, Table2[HomeTeam], X$1, Table2[ActualResult], "OT") + SUMIFS(Table2[AwayWon], Table2[GameIsOver],1,Table2[HomeTeam],$A15, Table2[AwayTeam], X$1, Table2[ActualResult], "OT") + SUMIFS(Table2[HomeWon_], Table2[GameIsOver],1,Table2[AwayTeam],$A15, Table2[HomeTeam], X$1, Table2[ActualResult], "SO") + SUMIFS(Table2[AwayWon], Table2[GameIsOver],1,Table2[HomeTeam],$A15, Table2[AwayTeam], X$1, Table2[ActualResult], "SO"),0))</f>
        <v>0-0-0</v>
      </c>
      <c r="Y15" s="57" t="str">
        <f>_xlfn.CONCAT(TEXT(SUMIFS(Table2[AwayWon], Table2[GameIsOver],1,Table2[AwayTeam],$A15, Table2[HomeTeam], Y$1) + SUMIFS(Table2[HomeWon_], Table2[GameIsOver],1,Table2[HomeTeam],$A15, Table2[AwayTeam], Y$1),0), "-", TEXT(SUMIFS(Table2[HomeWon_], Table2[GameIsOver],1,Table2[AwayTeam],$A15, Table2[HomeTeam], Y$1, Table2[ActualResult], "REG") + SUMIFS(Table2[AwayWon], Table2[GameIsOver],1,Table2[HomeTeam],$A15, Table2[AwayTeam], Y$1, Table2[ActualResult], "REG"),0), "-", TEXT(SUMIFS(Table2[HomeWon_], Table2[GameIsOver],1,Table2[AwayTeam],$A15, Table2[HomeTeam], Y$1, Table2[ActualResult], "OT") + SUMIFS(Table2[AwayWon], Table2[GameIsOver],1,Table2[HomeTeam],$A15, Table2[AwayTeam], Y$1, Table2[ActualResult], "OT") + SUMIFS(Table2[HomeWon_], Table2[GameIsOver],1,Table2[AwayTeam],$A15, Table2[HomeTeam], Y$1, Table2[ActualResult], "SO") + SUMIFS(Table2[AwayWon], Table2[GameIsOver],1,Table2[HomeTeam],$A15, Table2[AwayTeam], Y$1, Table2[ActualResult], "SO"),0))</f>
        <v>0-0-0</v>
      </c>
      <c r="Z15" t="str">
        <f>_xlfn.CONCAT(TEXT(SUMIFS(Table2[AwayWon], Table2[GameIsOver],1,Table2[AwayTeam],$A15, Table2[HomeTeam], Z$1) + SUMIFS(Table2[HomeWon_], Table2[GameIsOver],1,Table2[HomeTeam],$A15, Table2[AwayTeam], Z$1),0), "-", TEXT(SUMIFS(Table2[HomeWon_], Table2[GameIsOver],1,Table2[AwayTeam],$A15, Table2[HomeTeam], Z$1, Table2[ActualResult], "REG") + SUMIFS(Table2[AwayWon], Table2[GameIsOver],1,Table2[HomeTeam],$A15, Table2[AwayTeam], Z$1, Table2[ActualResult], "REG"),0), "-", TEXT(SUMIFS(Table2[HomeWon_], Table2[GameIsOver],1,Table2[AwayTeam],$A15, Table2[HomeTeam], Z$1, Table2[ActualResult], "OT") + SUMIFS(Table2[AwayWon], Table2[GameIsOver],1,Table2[HomeTeam],$A15, Table2[AwayTeam], Z$1, Table2[ActualResult], "OT") + SUMIFS(Table2[HomeWon_], Table2[GameIsOver],1,Table2[AwayTeam],$A15, Table2[HomeTeam], Z$1, Table2[ActualResult], "SO") + SUMIFS(Table2[AwayWon], Table2[GameIsOver],1,Table2[HomeTeam],$A15, Table2[AwayTeam], Z$1, Table2[ActualResult], "SO"),0))</f>
        <v>0-0-0</v>
      </c>
      <c r="AA15" t="str">
        <f>_xlfn.CONCAT(TEXT(SUMIFS(Table2[AwayWon], Table2[GameIsOver],1,Table2[AwayTeam],$A15, Table2[HomeTeam], AA$1) + SUMIFS(Table2[HomeWon_], Table2[GameIsOver],1,Table2[HomeTeam],$A15, Table2[AwayTeam], AA$1),0), "-", TEXT(SUMIFS(Table2[HomeWon_], Table2[GameIsOver],1,Table2[AwayTeam],$A15, Table2[HomeTeam], AA$1, Table2[ActualResult], "REG") + SUMIFS(Table2[AwayWon], Table2[GameIsOver],1,Table2[HomeTeam],$A15, Table2[AwayTeam], AA$1, Table2[ActualResult], "REG"),0), "-", TEXT(SUMIFS(Table2[HomeWon_], Table2[GameIsOver],1,Table2[AwayTeam],$A15, Table2[HomeTeam], AA$1, Table2[ActualResult], "OT") + SUMIFS(Table2[AwayWon], Table2[GameIsOver],1,Table2[HomeTeam],$A15, Table2[AwayTeam], AA$1, Table2[ActualResult], "OT") + SUMIFS(Table2[HomeWon_], Table2[GameIsOver],1,Table2[AwayTeam],$A15, Table2[HomeTeam], AA$1, Table2[ActualResult], "SO") + SUMIFS(Table2[AwayWon], Table2[GameIsOver],1,Table2[HomeTeam],$A15, Table2[AwayTeam], AA$1, Table2[ActualResult], "SO"),0))</f>
        <v>0-0-0</v>
      </c>
      <c r="AB15" t="str">
        <f>_xlfn.CONCAT(TEXT(SUMIFS(Table2[AwayWon], Table2[GameIsOver],1,Table2[AwayTeam],$A15, Table2[HomeTeam], AB$1) + SUMIFS(Table2[HomeWon_], Table2[GameIsOver],1,Table2[HomeTeam],$A15, Table2[AwayTeam], AB$1),0), "-", TEXT(SUMIFS(Table2[HomeWon_], Table2[GameIsOver],1,Table2[AwayTeam],$A15, Table2[HomeTeam], AB$1, Table2[ActualResult], "REG") + SUMIFS(Table2[AwayWon], Table2[GameIsOver],1,Table2[HomeTeam],$A15, Table2[AwayTeam], AB$1, Table2[ActualResult], "REG"),0), "-", TEXT(SUMIFS(Table2[HomeWon_], Table2[GameIsOver],1,Table2[AwayTeam],$A15, Table2[HomeTeam], AB$1, Table2[ActualResult], "OT") + SUMIFS(Table2[AwayWon], Table2[GameIsOver],1,Table2[HomeTeam],$A15, Table2[AwayTeam], AB$1, Table2[ActualResult], "OT") + SUMIFS(Table2[HomeWon_], Table2[GameIsOver],1,Table2[AwayTeam],$A15, Table2[HomeTeam], AB$1, Table2[ActualResult], "SO") + SUMIFS(Table2[AwayWon], Table2[GameIsOver],1,Table2[HomeTeam],$A15, Table2[AwayTeam], AB$1, Table2[ActualResult], "SO"),0))</f>
        <v>0-0-0</v>
      </c>
      <c r="AC15" t="str">
        <f>_xlfn.CONCAT(TEXT(SUMIFS(Table2[AwayWon], Table2[GameIsOver],1,Table2[AwayTeam],$A15, Table2[HomeTeam], AC$1) + SUMIFS(Table2[HomeWon_], Table2[GameIsOver],1,Table2[HomeTeam],$A15, Table2[AwayTeam], AC$1),0), "-", TEXT(SUMIFS(Table2[HomeWon_], Table2[GameIsOver],1,Table2[AwayTeam],$A15, Table2[HomeTeam], AC$1, Table2[ActualResult], "REG") + SUMIFS(Table2[AwayWon], Table2[GameIsOver],1,Table2[HomeTeam],$A15, Table2[AwayTeam], AC$1, Table2[ActualResult], "REG"),0), "-", TEXT(SUMIFS(Table2[HomeWon_], Table2[GameIsOver],1,Table2[AwayTeam],$A15, Table2[HomeTeam], AC$1, Table2[ActualResult], "OT") + SUMIFS(Table2[AwayWon], Table2[GameIsOver],1,Table2[HomeTeam],$A15, Table2[AwayTeam], AC$1, Table2[ActualResult], "OT") + SUMIFS(Table2[HomeWon_], Table2[GameIsOver],1,Table2[AwayTeam],$A15, Table2[HomeTeam], AC$1, Table2[ActualResult], "SO") + SUMIFS(Table2[AwayWon], Table2[GameIsOver],1,Table2[HomeTeam],$A15, Table2[AwayTeam], AC$1, Table2[ActualResult], "SO"),0))</f>
        <v>0-0-0</v>
      </c>
      <c r="AD15" t="str">
        <f>_xlfn.CONCAT(TEXT(SUMIFS(Table2[AwayWon], Table2[GameIsOver],1,Table2[AwayTeam],$A15, Table2[HomeTeam], AD$1) + SUMIFS(Table2[HomeWon_], Table2[GameIsOver],1,Table2[HomeTeam],$A15, Table2[AwayTeam], AD$1),0), "-", TEXT(SUMIFS(Table2[HomeWon_], Table2[GameIsOver],1,Table2[AwayTeam],$A15, Table2[HomeTeam], AD$1, Table2[ActualResult], "REG") + SUMIFS(Table2[AwayWon], Table2[GameIsOver],1,Table2[HomeTeam],$A15, Table2[AwayTeam], AD$1, Table2[ActualResult], "REG"),0), "-", TEXT(SUMIFS(Table2[HomeWon_], Table2[GameIsOver],1,Table2[AwayTeam],$A15, Table2[HomeTeam], AD$1, Table2[ActualResult], "OT") + SUMIFS(Table2[AwayWon], Table2[GameIsOver],1,Table2[HomeTeam],$A15, Table2[AwayTeam], AD$1, Table2[ActualResult], "OT") + SUMIFS(Table2[HomeWon_], Table2[GameIsOver],1,Table2[AwayTeam],$A15, Table2[HomeTeam], AD$1, Table2[ActualResult], "SO") + SUMIFS(Table2[AwayWon], Table2[GameIsOver],1,Table2[HomeTeam],$A15, Table2[AwayTeam], AD$1, Table2[ActualResult], "SO"),0))</f>
        <v>0-0-0</v>
      </c>
      <c r="AE15" t="str">
        <f>_xlfn.CONCAT(TEXT(SUMIFS(Table2[AwayWon], Table2[GameIsOver],1,Table2[AwayTeam],$A15, Table2[HomeTeam], AE$1) + SUMIFS(Table2[HomeWon_], Table2[GameIsOver],1,Table2[HomeTeam],$A15, Table2[AwayTeam], AE$1),0), "-", TEXT(SUMIFS(Table2[HomeWon_], Table2[GameIsOver],1,Table2[AwayTeam],$A15, Table2[HomeTeam], AE$1, Table2[ActualResult], "REG") + SUMIFS(Table2[AwayWon], Table2[GameIsOver],1,Table2[HomeTeam],$A15, Table2[AwayTeam], AE$1, Table2[ActualResult], "REG"),0), "-", TEXT(SUMIFS(Table2[HomeWon_], Table2[GameIsOver],1,Table2[AwayTeam],$A15, Table2[HomeTeam], AE$1, Table2[ActualResult], "OT") + SUMIFS(Table2[AwayWon], Table2[GameIsOver],1,Table2[HomeTeam],$A15, Table2[AwayTeam], AE$1, Table2[ActualResult], "OT") + SUMIFS(Table2[HomeWon_], Table2[GameIsOver],1,Table2[AwayTeam],$A15, Table2[HomeTeam], AE$1, Table2[ActualResult], "SO") + SUMIFS(Table2[AwayWon], Table2[GameIsOver],1,Table2[HomeTeam],$A15, Table2[AwayTeam], AE$1, Table2[ActualResult], "SO"),0))</f>
        <v>0-0-0</v>
      </c>
      <c r="AF15" t="str">
        <f>_xlfn.CONCAT(TEXT(SUMIFS(Table2[AwayWon], Table2[GameIsOver],1,Table2[AwayTeam],$A15, Table2[HomeTeam], AF$1) + SUMIFS(Table2[HomeWon_], Table2[GameIsOver],1,Table2[HomeTeam],$A15, Table2[AwayTeam], AF$1),0), "-", TEXT(SUMIFS(Table2[HomeWon_], Table2[GameIsOver],1,Table2[AwayTeam],$A15, Table2[HomeTeam], AF$1, Table2[ActualResult], "REG") + SUMIFS(Table2[AwayWon], Table2[GameIsOver],1,Table2[HomeTeam],$A15, Table2[AwayTeam], AF$1, Table2[ActualResult], "REG"),0), "-", TEXT(SUMIFS(Table2[HomeWon_], Table2[GameIsOver],1,Table2[AwayTeam],$A15, Table2[HomeTeam], AF$1, Table2[ActualResult], "OT") + SUMIFS(Table2[AwayWon], Table2[GameIsOver],1,Table2[HomeTeam],$A15, Table2[AwayTeam], AF$1, Table2[ActualResult], "OT") + SUMIFS(Table2[HomeWon_], Table2[GameIsOver],1,Table2[AwayTeam],$A15, Table2[HomeTeam], AF$1, Table2[ActualResult], "SO") + SUMIFS(Table2[AwayWon], Table2[GameIsOver],1,Table2[HomeTeam],$A15, Table2[AwayTeam], AF$1, Table2[ActualResult], "SO"),0))</f>
        <v>0-0-0</v>
      </c>
      <c r="AG15" t="str">
        <f>_xlfn.CONCAT(TEXT(SUMIFS(Table2[AwayWon], Table2[GameIsOver],1,Table2[AwayTeam],$A15, Table2[HomeTeam], AG$1) + SUMIFS(Table2[HomeWon_], Table2[GameIsOver],1,Table2[HomeTeam],$A15, Table2[AwayTeam], AG$1),0), "-", TEXT(SUMIFS(Table2[HomeWon_], Table2[GameIsOver],1,Table2[AwayTeam],$A15, Table2[HomeTeam], AG$1, Table2[ActualResult], "REG") + SUMIFS(Table2[AwayWon], Table2[GameIsOver],1,Table2[HomeTeam],$A15, Table2[AwayTeam], AG$1, Table2[ActualResult], "REG"),0), "-", TEXT(SUMIFS(Table2[HomeWon_], Table2[GameIsOver],1,Table2[AwayTeam],$A15, Table2[HomeTeam], AG$1, Table2[ActualResult], "OT") + SUMIFS(Table2[AwayWon], Table2[GameIsOver],1,Table2[HomeTeam],$A15, Table2[AwayTeam], AG$1, Table2[ActualResult], "OT") + SUMIFS(Table2[HomeWon_], Table2[GameIsOver],1,Table2[AwayTeam],$A15, Table2[HomeTeam], AG$1, Table2[ActualResult], "SO") + SUMIFS(Table2[AwayWon], Table2[GameIsOver],1,Table2[HomeTeam],$A15, Table2[AwayTeam], AG$1, Table2[ActualResult], "SO"),0))</f>
        <v>0-0-0</v>
      </c>
    </row>
    <row r="16" spans="1:33" x14ac:dyDescent="0.25">
      <c r="A16" s="57" t="s">
        <v>14</v>
      </c>
      <c r="B16" t="str">
        <f>_xlfn.CONCAT(TEXT(SUMIFS(Table2[AwayWon], Table2[GameIsOver],1,Table2[AwayTeam],$A16, Table2[HomeTeam], B$1) + SUMIFS(Table2[HomeWon_], Table2[GameIsOver],1,Table2[HomeTeam],$A16, Table2[AwayTeam], B$1),0), "-", TEXT(SUMIFS(Table2[HomeWon_], Table2[GameIsOver],1,Table2[AwayTeam],$A16, Table2[HomeTeam], B$1, Table2[ActualResult], "REG") + SUMIFS(Table2[AwayWon], Table2[GameIsOver],1,Table2[HomeTeam],$A16, Table2[AwayTeam], B$1, Table2[ActualResult], "REG"),0), "-", TEXT(SUMIFS(Table2[HomeWon_], Table2[GameIsOver],1,Table2[AwayTeam],$A16, Table2[HomeTeam], B$1, Table2[ActualResult], "OT") + SUMIFS(Table2[AwayWon], Table2[GameIsOver],1,Table2[HomeTeam],$A16, Table2[AwayTeam], B$1, Table2[ActualResult], "OT") + SUMIFS(Table2[HomeWon_], Table2[GameIsOver],1,Table2[AwayTeam],$A16, Table2[HomeTeam], B$1, Table2[ActualResult], "SO") + SUMIFS(Table2[AwayWon], Table2[GameIsOver],1,Table2[HomeTeam],$A16, Table2[AwayTeam], B$1, Table2[ActualResult], "SO"),0))</f>
        <v>0-0-0</v>
      </c>
      <c r="C16" t="str">
        <f>_xlfn.CONCAT(TEXT(SUMIFS(Table2[AwayWon], Table2[GameIsOver],1,Table2[AwayTeam],$A16, Table2[HomeTeam], C$1) + SUMIFS(Table2[HomeWon_], Table2[GameIsOver],1,Table2[HomeTeam],$A16, Table2[AwayTeam], C$1),0), "-", TEXT(SUMIFS(Table2[HomeWon_], Table2[GameIsOver],1,Table2[AwayTeam],$A16, Table2[HomeTeam], C$1, Table2[ActualResult], "REG") + SUMIFS(Table2[AwayWon], Table2[GameIsOver],1,Table2[HomeTeam],$A16, Table2[AwayTeam], C$1, Table2[ActualResult], "REG"),0), "-", TEXT(SUMIFS(Table2[HomeWon_], Table2[GameIsOver],1,Table2[AwayTeam],$A16, Table2[HomeTeam], C$1, Table2[ActualResult], "OT") + SUMIFS(Table2[AwayWon], Table2[GameIsOver],1,Table2[HomeTeam],$A16, Table2[AwayTeam], C$1, Table2[ActualResult], "OT") + SUMIFS(Table2[HomeWon_], Table2[GameIsOver],1,Table2[AwayTeam],$A16, Table2[HomeTeam], C$1, Table2[ActualResult], "SO") + SUMIFS(Table2[AwayWon], Table2[GameIsOver],1,Table2[HomeTeam],$A16, Table2[AwayTeam], C$1, Table2[ActualResult], "SO"),0))</f>
        <v>1-0-0</v>
      </c>
      <c r="D16" t="str">
        <f>_xlfn.CONCAT(TEXT(SUMIFS(Table2[AwayWon], Table2[GameIsOver],1,Table2[AwayTeam],$A16, Table2[HomeTeam], D$1) + SUMIFS(Table2[HomeWon_], Table2[GameIsOver],1,Table2[HomeTeam],$A16, Table2[AwayTeam], D$1),0), "-", TEXT(SUMIFS(Table2[HomeWon_], Table2[GameIsOver],1,Table2[AwayTeam],$A16, Table2[HomeTeam], D$1, Table2[ActualResult], "REG") + SUMIFS(Table2[AwayWon], Table2[GameIsOver],1,Table2[HomeTeam],$A16, Table2[AwayTeam], D$1, Table2[ActualResult], "REG"),0), "-", TEXT(SUMIFS(Table2[HomeWon_], Table2[GameIsOver],1,Table2[AwayTeam],$A16, Table2[HomeTeam], D$1, Table2[ActualResult], "OT") + SUMIFS(Table2[AwayWon], Table2[GameIsOver],1,Table2[HomeTeam],$A16, Table2[AwayTeam], D$1, Table2[ActualResult], "OT") + SUMIFS(Table2[HomeWon_], Table2[GameIsOver],1,Table2[AwayTeam],$A16, Table2[HomeTeam], D$1, Table2[ActualResult], "SO") + SUMIFS(Table2[AwayWon], Table2[GameIsOver],1,Table2[HomeTeam],$A16, Table2[AwayTeam], D$1, Table2[ActualResult], "SO"),0))</f>
        <v>0-0-0</v>
      </c>
      <c r="E16" t="str">
        <f>_xlfn.CONCAT(TEXT(SUMIFS(Table2[AwayWon], Table2[GameIsOver],1,Table2[AwayTeam],$A16, Table2[HomeTeam], E$1) + SUMIFS(Table2[HomeWon_], Table2[GameIsOver],1,Table2[HomeTeam],$A16, Table2[AwayTeam], E$1),0), "-", TEXT(SUMIFS(Table2[HomeWon_], Table2[GameIsOver],1,Table2[AwayTeam],$A16, Table2[HomeTeam], E$1, Table2[ActualResult], "REG") + SUMIFS(Table2[AwayWon], Table2[GameIsOver],1,Table2[HomeTeam],$A16, Table2[AwayTeam], E$1, Table2[ActualResult], "REG"),0), "-", TEXT(SUMIFS(Table2[HomeWon_], Table2[GameIsOver],1,Table2[AwayTeam],$A16, Table2[HomeTeam], E$1, Table2[ActualResult], "OT") + SUMIFS(Table2[AwayWon], Table2[GameIsOver],1,Table2[HomeTeam],$A16, Table2[AwayTeam], E$1, Table2[ActualResult], "OT") + SUMIFS(Table2[HomeWon_], Table2[GameIsOver],1,Table2[AwayTeam],$A16, Table2[HomeTeam], E$1, Table2[ActualResult], "SO") + SUMIFS(Table2[AwayWon], Table2[GameIsOver],1,Table2[HomeTeam],$A16, Table2[AwayTeam], E$1, Table2[ActualResult], "SO"),0))</f>
        <v>0-0-0</v>
      </c>
      <c r="F16" t="str">
        <f>_xlfn.CONCAT(TEXT(SUMIFS(Table2[AwayWon], Table2[GameIsOver],1,Table2[AwayTeam],$A16, Table2[HomeTeam], F$1) + SUMIFS(Table2[HomeWon_], Table2[GameIsOver],1,Table2[HomeTeam],$A16, Table2[AwayTeam], F$1),0), "-", TEXT(SUMIFS(Table2[HomeWon_], Table2[GameIsOver],1,Table2[AwayTeam],$A16, Table2[HomeTeam], F$1, Table2[ActualResult], "REG") + SUMIFS(Table2[AwayWon], Table2[GameIsOver],1,Table2[HomeTeam],$A16, Table2[AwayTeam], F$1, Table2[ActualResult], "REG"),0), "-", TEXT(SUMIFS(Table2[HomeWon_], Table2[GameIsOver],1,Table2[AwayTeam],$A16, Table2[HomeTeam], F$1, Table2[ActualResult], "OT") + SUMIFS(Table2[AwayWon], Table2[GameIsOver],1,Table2[HomeTeam],$A16, Table2[AwayTeam], F$1, Table2[ActualResult], "OT") + SUMIFS(Table2[HomeWon_], Table2[GameIsOver],1,Table2[AwayTeam],$A16, Table2[HomeTeam], F$1, Table2[ActualResult], "SO") + SUMIFS(Table2[AwayWon], Table2[GameIsOver],1,Table2[HomeTeam],$A16, Table2[AwayTeam], F$1, Table2[ActualResult], "SO"),0))</f>
        <v>0-0-0</v>
      </c>
      <c r="G16" t="str">
        <f>_xlfn.CONCAT(TEXT(SUMIFS(Table2[AwayWon], Table2[GameIsOver],1,Table2[AwayTeam],$A16, Table2[HomeTeam], G$1) + SUMIFS(Table2[HomeWon_], Table2[GameIsOver],1,Table2[HomeTeam],$A16, Table2[AwayTeam], G$1),0), "-", TEXT(SUMIFS(Table2[HomeWon_], Table2[GameIsOver],1,Table2[AwayTeam],$A16, Table2[HomeTeam], G$1, Table2[ActualResult], "REG") + SUMIFS(Table2[AwayWon], Table2[GameIsOver],1,Table2[HomeTeam],$A16, Table2[AwayTeam], G$1, Table2[ActualResult], "REG"),0), "-", TEXT(SUMIFS(Table2[HomeWon_], Table2[GameIsOver],1,Table2[AwayTeam],$A16, Table2[HomeTeam], G$1, Table2[ActualResult], "OT") + SUMIFS(Table2[AwayWon], Table2[GameIsOver],1,Table2[HomeTeam],$A16, Table2[AwayTeam], G$1, Table2[ActualResult], "OT") + SUMIFS(Table2[HomeWon_], Table2[GameIsOver],1,Table2[AwayTeam],$A16, Table2[HomeTeam], G$1, Table2[ActualResult], "SO") + SUMIFS(Table2[AwayWon], Table2[GameIsOver],1,Table2[HomeTeam],$A16, Table2[AwayTeam], G$1, Table2[ActualResult], "SO"),0))</f>
        <v>1-0-0</v>
      </c>
      <c r="H16" t="str">
        <f>_xlfn.CONCAT(TEXT(SUMIFS(Table2[AwayWon], Table2[GameIsOver],1,Table2[AwayTeam],$A16, Table2[HomeTeam], H$1) + SUMIFS(Table2[HomeWon_], Table2[GameIsOver],1,Table2[HomeTeam],$A16, Table2[AwayTeam], H$1),0), "-", TEXT(SUMIFS(Table2[HomeWon_], Table2[GameIsOver],1,Table2[AwayTeam],$A16, Table2[HomeTeam], H$1, Table2[ActualResult], "REG") + SUMIFS(Table2[AwayWon], Table2[GameIsOver],1,Table2[HomeTeam],$A16, Table2[AwayTeam], H$1, Table2[ActualResult], "REG"),0), "-", TEXT(SUMIFS(Table2[HomeWon_], Table2[GameIsOver],1,Table2[AwayTeam],$A16, Table2[HomeTeam], H$1, Table2[ActualResult], "OT") + SUMIFS(Table2[AwayWon], Table2[GameIsOver],1,Table2[HomeTeam],$A16, Table2[AwayTeam], H$1, Table2[ActualResult], "OT") + SUMIFS(Table2[HomeWon_], Table2[GameIsOver],1,Table2[AwayTeam],$A16, Table2[HomeTeam], H$1, Table2[ActualResult], "SO") + SUMIFS(Table2[AwayWon], Table2[GameIsOver],1,Table2[HomeTeam],$A16, Table2[AwayTeam], H$1, Table2[ActualResult], "SO"),0))</f>
        <v>0-0-0</v>
      </c>
      <c r="I16" s="57" t="str">
        <f>_xlfn.CONCAT(TEXT(SUMIFS(Table2[AwayWon], Table2[GameIsOver],1,Table2[AwayTeam],$A16, Table2[HomeTeam], I$1) + SUMIFS(Table2[HomeWon_], Table2[GameIsOver],1,Table2[HomeTeam],$A16, Table2[AwayTeam], I$1),0), "-", TEXT(SUMIFS(Table2[HomeWon_], Table2[GameIsOver],1,Table2[AwayTeam],$A16, Table2[HomeTeam], I$1, Table2[ActualResult], "REG") + SUMIFS(Table2[AwayWon], Table2[GameIsOver],1,Table2[HomeTeam],$A16, Table2[AwayTeam], I$1, Table2[ActualResult], "REG"),0), "-", TEXT(SUMIFS(Table2[HomeWon_], Table2[GameIsOver],1,Table2[AwayTeam],$A16, Table2[HomeTeam], I$1, Table2[ActualResult], "OT") + SUMIFS(Table2[AwayWon], Table2[GameIsOver],1,Table2[HomeTeam],$A16, Table2[AwayTeam], I$1, Table2[ActualResult], "OT") + SUMIFS(Table2[HomeWon_], Table2[GameIsOver],1,Table2[AwayTeam],$A16, Table2[HomeTeam], I$1, Table2[ActualResult], "SO") + SUMIFS(Table2[AwayWon], Table2[GameIsOver],1,Table2[HomeTeam],$A16, Table2[AwayTeam], I$1, Table2[ActualResult], "SO"),0))</f>
        <v>0-0-0</v>
      </c>
      <c r="J16" t="str">
        <f>_xlfn.CONCAT(TEXT(SUMIFS(Table2[AwayWon], Table2[GameIsOver],1,Table2[AwayTeam],$A16, Table2[HomeTeam], J$1) + SUMIFS(Table2[HomeWon_], Table2[GameIsOver],1,Table2[HomeTeam],$A16, Table2[AwayTeam], J$1),0), "-", TEXT(SUMIFS(Table2[HomeWon_], Table2[GameIsOver],1,Table2[AwayTeam],$A16, Table2[HomeTeam], J$1, Table2[ActualResult], "REG") + SUMIFS(Table2[AwayWon], Table2[GameIsOver],1,Table2[HomeTeam],$A16, Table2[AwayTeam], J$1, Table2[ActualResult], "REG"),0), "-", TEXT(SUMIFS(Table2[HomeWon_], Table2[GameIsOver],1,Table2[AwayTeam],$A16, Table2[HomeTeam], J$1, Table2[ActualResult], "OT") + SUMIFS(Table2[AwayWon], Table2[GameIsOver],1,Table2[HomeTeam],$A16, Table2[AwayTeam], J$1, Table2[ActualResult], "OT") + SUMIFS(Table2[HomeWon_], Table2[GameIsOver],1,Table2[AwayTeam],$A16, Table2[HomeTeam], J$1, Table2[ActualResult], "SO") + SUMIFS(Table2[AwayWon], Table2[GameIsOver],1,Table2[HomeTeam],$A16, Table2[AwayTeam], J$1, Table2[ActualResult], "SO"),0))</f>
        <v>0-1-0</v>
      </c>
      <c r="K16" t="str">
        <f>_xlfn.CONCAT(TEXT(SUMIFS(Table2[AwayWon], Table2[GameIsOver],1,Table2[AwayTeam],$A16, Table2[HomeTeam], K$1) + SUMIFS(Table2[HomeWon_], Table2[GameIsOver],1,Table2[HomeTeam],$A16, Table2[AwayTeam], K$1),0), "-", TEXT(SUMIFS(Table2[HomeWon_], Table2[GameIsOver],1,Table2[AwayTeam],$A16, Table2[HomeTeam], K$1, Table2[ActualResult], "REG") + SUMIFS(Table2[AwayWon], Table2[GameIsOver],1,Table2[HomeTeam],$A16, Table2[AwayTeam], K$1, Table2[ActualResult], "REG"),0), "-", TEXT(SUMIFS(Table2[HomeWon_], Table2[GameIsOver],1,Table2[AwayTeam],$A16, Table2[HomeTeam], K$1, Table2[ActualResult], "OT") + SUMIFS(Table2[AwayWon], Table2[GameIsOver],1,Table2[HomeTeam],$A16, Table2[AwayTeam], K$1, Table2[ActualResult], "OT") + SUMIFS(Table2[HomeWon_], Table2[GameIsOver],1,Table2[AwayTeam],$A16, Table2[HomeTeam], K$1, Table2[ActualResult], "SO") + SUMIFS(Table2[AwayWon], Table2[GameIsOver],1,Table2[HomeTeam],$A16, Table2[AwayTeam], K$1, Table2[ActualResult], "SO"),0))</f>
        <v>1-1-0</v>
      </c>
      <c r="L16" t="str">
        <f>_xlfn.CONCAT(TEXT(SUMIFS(Table2[AwayWon], Table2[GameIsOver],1,Table2[AwayTeam],$A16, Table2[HomeTeam], L$1) + SUMIFS(Table2[HomeWon_], Table2[GameIsOver],1,Table2[HomeTeam],$A16, Table2[AwayTeam], L$1),0), "-", TEXT(SUMIFS(Table2[HomeWon_], Table2[GameIsOver],1,Table2[AwayTeam],$A16, Table2[HomeTeam], L$1, Table2[ActualResult], "REG") + SUMIFS(Table2[AwayWon], Table2[GameIsOver],1,Table2[HomeTeam],$A16, Table2[AwayTeam], L$1, Table2[ActualResult], "REG"),0), "-", TEXT(SUMIFS(Table2[HomeWon_], Table2[GameIsOver],1,Table2[AwayTeam],$A16, Table2[HomeTeam], L$1, Table2[ActualResult], "OT") + SUMIFS(Table2[AwayWon], Table2[GameIsOver],1,Table2[HomeTeam],$A16, Table2[AwayTeam], L$1, Table2[ActualResult], "OT") + SUMIFS(Table2[HomeWon_], Table2[GameIsOver],1,Table2[AwayTeam],$A16, Table2[HomeTeam], L$1, Table2[ActualResult], "SO") + SUMIFS(Table2[AwayWon], Table2[GameIsOver],1,Table2[HomeTeam],$A16, Table2[AwayTeam], L$1, Table2[ActualResult], "SO"),0))</f>
        <v>0-0-0</v>
      </c>
      <c r="M16" t="str">
        <f>_xlfn.CONCAT(TEXT(SUMIFS(Table2[AwayWon], Table2[GameIsOver],1,Table2[AwayTeam],$A16, Table2[HomeTeam], M$1) + SUMIFS(Table2[HomeWon_], Table2[GameIsOver],1,Table2[HomeTeam],$A16, Table2[AwayTeam], M$1),0), "-", TEXT(SUMIFS(Table2[HomeWon_], Table2[GameIsOver],1,Table2[AwayTeam],$A16, Table2[HomeTeam], M$1, Table2[ActualResult], "REG") + SUMIFS(Table2[AwayWon], Table2[GameIsOver],1,Table2[HomeTeam],$A16, Table2[AwayTeam], M$1, Table2[ActualResult], "REG"),0), "-", TEXT(SUMIFS(Table2[HomeWon_], Table2[GameIsOver],1,Table2[AwayTeam],$A16, Table2[HomeTeam], M$1, Table2[ActualResult], "OT") + SUMIFS(Table2[AwayWon], Table2[GameIsOver],1,Table2[HomeTeam],$A16, Table2[AwayTeam], M$1, Table2[ActualResult], "OT") + SUMIFS(Table2[HomeWon_], Table2[GameIsOver],1,Table2[AwayTeam],$A16, Table2[HomeTeam], M$1, Table2[ActualResult], "SO") + SUMIFS(Table2[AwayWon], Table2[GameIsOver],1,Table2[HomeTeam],$A16, Table2[AwayTeam], M$1, Table2[ActualResult], "SO"),0))</f>
        <v>0-0-0</v>
      </c>
      <c r="N16" t="str">
        <f>_xlfn.CONCAT(TEXT(SUMIFS(Table2[AwayWon], Table2[GameIsOver],1,Table2[AwayTeam],$A16, Table2[HomeTeam], N$1) + SUMIFS(Table2[HomeWon_], Table2[GameIsOver],1,Table2[HomeTeam],$A16, Table2[AwayTeam], N$1),0), "-", TEXT(SUMIFS(Table2[HomeWon_], Table2[GameIsOver],1,Table2[AwayTeam],$A16, Table2[HomeTeam], N$1, Table2[ActualResult], "REG") + SUMIFS(Table2[AwayWon], Table2[GameIsOver],1,Table2[HomeTeam],$A16, Table2[AwayTeam], N$1, Table2[ActualResult], "REG"),0), "-", TEXT(SUMIFS(Table2[HomeWon_], Table2[GameIsOver],1,Table2[AwayTeam],$A16, Table2[HomeTeam], N$1, Table2[ActualResult], "OT") + SUMIFS(Table2[AwayWon], Table2[GameIsOver],1,Table2[HomeTeam],$A16, Table2[AwayTeam], N$1, Table2[ActualResult], "OT") + SUMIFS(Table2[HomeWon_], Table2[GameIsOver],1,Table2[AwayTeam],$A16, Table2[HomeTeam], N$1, Table2[ActualResult], "SO") + SUMIFS(Table2[AwayWon], Table2[GameIsOver],1,Table2[HomeTeam],$A16, Table2[AwayTeam], N$1, Table2[ActualResult], "SO"),0))</f>
        <v>1-0-0</v>
      </c>
      <c r="O16" t="str">
        <f>_xlfn.CONCAT(TEXT(SUMIFS(Table2[AwayWon], Table2[GameIsOver],1,Table2[AwayTeam],$A16, Table2[HomeTeam], O$1) + SUMIFS(Table2[HomeWon_], Table2[GameIsOver],1,Table2[HomeTeam],$A16, Table2[AwayTeam], O$1),0), "-", TEXT(SUMIFS(Table2[HomeWon_], Table2[GameIsOver],1,Table2[AwayTeam],$A16, Table2[HomeTeam], O$1, Table2[ActualResult], "REG") + SUMIFS(Table2[AwayWon], Table2[GameIsOver],1,Table2[HomeTeam],$A16, Table2[AwayTeam], O$1, Table2[ActualResult], "REG"),0), "-", TEXT(SUMIFS(Table2[HomeWon_], Table2[GameIsOver],1,Table2[AwayTeam],$A16, Table2[HomeTeam], O$1, Table2[ActualResult], "OT") + SUMIFS(Table2[AwayWon], Table2[GameIsOver],1,Table2[HomeTeam],$A16, Table2[AwayTeam], O$1, Table2[ActualResult], "OT") + SUMIFS(Table2[HomeWon_], Table2[GameIsOver],1,Table2[AwayTeam],$A16, Table2[HomeTeam], O$1, Table2[ActualResult], "SO") + SUMIFS(Table2[AwayWon], Table2[GameIsOver],1,Table2[HomeTeam],$A16, Table2[AwayTeam], O$1, Table2[ActualResult], "SO"),0))</f>
        <v>0-0-0</v>
      </c>
      <c r="P16" s="89"/>
      <c r="Q16" s="57" t="str">
        <f>_xlfn.CONCAT(TEXT(SUMIFS(Table2[AwayWon], Table2[GameIsOver],1,Table2[AwayTeam],$A16, Table2[HomeTeam], Q$1) + SUMIFS(Table2[HomeWon_], Table2[GameIsOver],1,Table2[HomeTeam],$A16, Table2[AwayTeam], Q$1),0), "-", TEXT(SUMIFS(Table2[HomeWon_], Table2[GameIsOver],1,Table2[AwayTeam],$A16, Table2[HomeTeam], Q$1, Table2[ActualResult], "REG") + SUMIFS(Table2[AwayWon], Table2[GameIsOver],1,Table2[HomeTeam],$A16, Table2[AwayTeam], Q$1, Table2[ActualResult], "REG"),0), "-", TEXT(SUMIFS(Table2[HomeWon_], Table2[GameIsOver],1,Table2[AwayTeam],$A16, Table2[HomeTeam], Q$1, Table2[ActualResult], "OT") + SUMIFS(Table2[AwayWon], Table2[GameIsOver],1,Table2[HomeTeam],$A16, Table2[AwayTeam], Q$1, Table2[ActualResult], "OT") + SUMIFS(Table2[HomeWon_], Table2[GameIsOver],1,Table2[AwayTeam],$A16, Table2[HomeTeam], Q$1, Table2[ActualResult], "SO") + SUMIFS(Table2[AwayWon], Table2[GameIsOver],1,Table2[HomeTeam],$A16, Table2[AwayTeam], Q$1, Table2[ActualResult], "SO"),0))</f>
        <v>0-0-0</v>
      </c>
      <c r="R16" t="str">
        <f>_xlfn.CONCAT(TEXT(SUMIFS(Table2[AwayWon], Table2[GameIsOver],1,Table2[AwayTeam],$A16, Table2[HomeTeam], R$1) + SUMIFS(Table2[HomeWon_], Table2[GameIsOver],1,Table2[HomeTeam],$A16, Table2[AwayTeam], R$1),0), "-", TEXT(SUMIFS(Table2[HomeWon_], Table2[GameIsOver],1,Table2[AwayTeam],$A16, Table2[HomeTeam], R$1, Table2[ActualResult], "REG") + SUMIFS(Table2[AwayWon], Table2[GameIsOver],1,Table2[HomeTeam],$A16, Table2[AwayTeam], R$1, Table2[ActualResult], "REG"),0), "-", TEXT(SUMIFS(Table2[HomeWon_], Table2[GameIsOver],1,Table2[AwayTeam],$A16, Table2[HomeTeam], R$1, Table2[ActualResult], "OT") + SUMIFS(Table2[AwayWon], Table2[GameIsOver],1,Table2[HomeTeam],$A16, Table2[AwayTeam], R$1, Table2[ActualResult], "OT") + SUMIFS(Table2[HomeWon_], Table2[GameIsOver],1,Table2[AwayTeam],$A16, Table2[HomeTeam], R$1, Table2[ActualResult], "SO") + SUMIFS(Table2[AwayWon], Table2[GameIsOver],1,Table2[HomeTeam],$A16, Table2[AwayTeam], R$1, Table2[ActualResult], "SO"),0))</f>
        <v>0-0-0</v>
      </c>
      <c r="S16" t="str">
        <f>_xlfn.CONCAT(TEXT(SUMIFS(Table2[AwayWon], Table2[GameIsOver],1,Table2[AwayTeam],$A16, Table2[HomeTeam], S$1) + SUMIFS(Table2[HomeWon_], Table2[GameIsOver],1,Table2[HomeTeam],$A16, Table2[AwayTeam], S$1),0), "-", TEXT(SUMIFS(Table2[HomeWon_], Table2[GameIsOver],1,Table2[AwayTeam],$A16, Table2[HomeTeam], S$1, Table2[ActualResult], "REG") + SUMIFS(Table2[AwayWon], Table2[GameIsOver],1,Table2[HomeTeam],$A16, Table2[AwayTeam], S$1, Table2[ActualResult], "REG"),0), "-", TEXT(SUMIFS(Table2[HomeWon_], Table2[GameIsOver],1,Table2[AwayTeam],$A16, Table2[HomeTeam], S$1, Table2[ActualResult], "OT") + SUMIFS(Table2[AwayWon], Table2[GameIsOver],1,Table2[HomeTeam],$A16, Table2[AwayTeam], S$1, Table2[ActualResult], "OT") + SUMIFS(Table2[HomeWon_], Table2[GameIsOver],1,Table2[AwayTeam],$A16, Table2[HomeTeam], S$1, Table2[ActualResult], "SO") + SUMIFS(Table2[AwayWon], Table2[GameIsOver],1,Table2[HomeTeam],$A16, Table2[AwayTeam], S$1, Table2[ActualResult], "SO"),0))</f>
        <v>0-0-0</v>
      </c>
      <c r="T16" t="str">
        <f>_xlfn.CONCAT(TEXT(SUMIFS(Table2[AwayWon], Table2[GameIsOver],1,Table2[AwayTeam],$A16, Table2[HomeTeam], T$1) + SUMIFS(Table2[HomeWon_], Table2[GameIsOver],1,Table2[HomeTeam],$A16, Table2[AwayTeam], T$1),0), "-", TEXT(SUMIFS(Table2[HomeWon_], Table2[GameIsOver],1,Table2[AwayTeam],$A16, Table2[HomeTeam], T$1, Table2[ActualResult], "REG") + SUMIFS(Table2[AwayWon], Table2[GameIsOver],1,Table2[HomeTeam],$A16, Table2[AwayTeam], T$1, Table2[ActualResult], "REG"),0), "-", TEXT(SUMIFS(Table2[HomeWon_], Table2[GameIsOver],1,Table2[AwayTeam],$A16, Table2[HomeTeam], T$1, Table2[ActualResult], "OT") + SUMIFS(Table2[AwayWon], Table2[GameIsOver],1,Table2[HomeTeam],$A16, Table2[AwayTeam], T$1, Table2[ActualResult], "OT") + SUMIFS(Table2[HomeWon_], Table2[GameIsOver],1,Table2[AwayTeam],$A16, Table2[HomeTeam], T$1, Table2[ActualResult], "SO") + SUMIFS(Table2[AwayWon], Table2[GameIsOver],1,Table2[HomeTeam],$A16, Table2[AwayTeam], T$1, Table2[ActualResult], "SO"),0))</f>
        <v>0-0-0</v>
      </c>
      <c r="U16" t="str">
        <f>_xlfn.CONCAT(TEXT(SUMIFS(Table2[AwayWon], Table2[GameIsOver],1,Table2[AwayTeam],$A16, Table2[HomeTeam], U$1) + SUMIFS(Table2[HomeWon_], Table2[GameIsOver],1,Table2[HomeTeam],$A16, Table2[AwayTeam], U$1),0), "-", TEXT(SUMIFS(Table2[HomeWon_], Table2[GameIsOver],1,Table2[AwayTeam],$A16, Table2[HomeTeam], U$1, Table2[ActualResult], "REG") + SUMIFS(Table2[AwayWon], Table2[GameIsOver],1,Table2[HomeTeam],$A16, Table2[AwayTeam], U$1, Table2[ActualResult], "REG"),0), "-", TEXT(SUMIFS(Table2[HomeWon_], Table2[GameIsOver],1,Table2[AwayTeam],$A16, Table2[HomeTeam], U$1, Table2[ActualResult], "OT") + SUMIFS(Table2[AwayWon], Table2[GameIsOver],1,Table2[HomeTeam],$A16, Table2[AwayTeam], U$1, Table2[ActualResult], "OT") + SUMIFS(Table2[HomeWon_], Table2[GameIsOver],1,Table2[AwayTeam],$A16, Table2[HomeTeam], U$1, Table2[ActualResult], "SO") + SUMIFS(Table2[AwayWon], Table2[GameIsOver],1,Table2[HomeTeam],$A16, Table2[AwayTeam], U$1, Table2[ActualResult], "SO"),0))</f>
        <v>0-0-0</v>
      </c>
      <c r="V16" t="str">
        <f>_xlfn.CONCAT(TEXT(SUMIFS(Table2[AwayWon], Table2[GameIsOver],1,Table2[AwayTeam],$A16, Table2[HomeTeam], V$1) + SUMIFS(Table2[HomeWon_], Table2[GameIsOver],1,Table2[HomeTeam],$A16, Table2[AwayTeam], V$1),0), "-", TEXT(SUMIFS(Table2[HomeWon_], Table2[GameIsOver],1,Table2[AwayTeam],$A16, Table2[HomeTeam], V$1, Table2[ActualResult], "REG") + SUMIFS(Table2[AwayWon], Table2[GameIsOver],1,Table2[HomeTeam],$A16, Table2[AwayTeam], V$1, Table2[ActualResult], "REG"),0), "-", TEXT(SUMIFS(Table2[HomeWon_], Table2[GameIsOver],1,Table2[AwayTeam],$A16, Table2[HomeTeam], V$1, Table2[ActualResult], "OT") + SUMIFS(Table2[AwayWon], Table2[GameIsOver],1,Table2[HomeTeam],$A16, Table2[AwayTeam], V$1, Table2[ActualResult], "OT") + SUMIFS(Table2[HomeWon_], Table2[GameIsOver],1,Table2[AwayTeam],$A16, Table2[HomeTeam], V$1, Table2[ActualResult], "SO") + SUMIFS(Table2[AwayWon], Table2[GameIsOver],1,Table2[HomeTeam],$A16, Table2[AwayTeam], V$1, Table2[ActualResult], "SO"),0))</f>
        <v>0-0-0</v>
      </c>
      <c r="W16" t="str">
        <f>_xlfn.CONCAT(TEXT(SUMIFS(Table2[AwayWon], Table2[GameIsOver],1,Table2[AwayTeam],$A16, Table2[HomeTeam], W$1) + SUMIFS(Table2[HomeWon_], Table2[GameIsOver],1,Table2[HomeTeam],$A16, Table2[AwayTeam], W$1),0), "-", TEXT(SUMIFS(Table2[HomeWon_], Table2[GameIsOver],1,Table2[AwayTeam],$A16, Table2[HomeTeam], W$1, Table2[ActualResult], "REG") + SUMIFS(Table2[AwayWon], Table2[GameIsOver],1,Table2[HomeTeam],$A16, Table2[AwayTeam], W$1, Table2[ActualResult], "REG"),0), "-", TEXT(SUMIFS(Table2[HomeWon_], Table2[GameIsOver],1,Table2[AwayTeam],$A16, Table2[HomeTeam], W$1, Table2[ActualResult], "OT") + SUMIFS(Table2[AwayWon], Table2[GameIsOver],1,Table2[HomeTeam],$A16, Table2[AwayTeam], W$1, Table2[ActualResult], "OT") + SUMIFS(Table2[HomeWon_], Table2[GameIsOver],1,Table2[AwayTeam],$A16, Table2[HomeTeam], W$1, Table2[ActualResult], "SO") + SUMIFS(Table2[AwayWon], Table2[GameIsOver],1,Table2[HomeTeam],$A16, Table2[AwayTeam], W$1, Table2[ActualResult], "SO"),0))</f>
        <v>0-0-0</v>
      </c>
      <c r="X16" t="str">
        <f>_xlfn.CONCAT(TEXT(SUMIFS(Table2[AwayWon], Table2[GameIsOver],1,Table2[AwayTeam],$A16, Table2[HomeTeam], X$1) + SUMIFS(Table2[HomeWon_], Table2[GameIsOver],1,Table2[HomeTeam],$A16, Table2[AwayTeam], X$1),0), "-", TEXT(SUMIFS(Table2[HomeWon_], Table2[GameIsOver],1,Table2[AwayTeam],$A16, Table2[HomeTeam], X$1, Table2[ActualResult], "REG") + SUMIFS(Table2[AwayWon], Table2[GameIsOver],1,Table2[HomeTeam],$A16, Table2[AwayTeam], X$1, Table2[ActualResult], "REG"),0), "-", TEXT(SUMIFS(Table2[HomeWon_], Table2[GameIsOver],1,Table2[AwayTeam],$A16, Table2[HomeTeam], X$1, Table2[ActualResult], "OT") + SUMIFS(Table2[AwayWon], Table2[GameIsOver],1,Table2[HomeTeam],$A16, Table2[AwayTeam], X$1, Table2[ActualResult], "OT") + SUMIFS(Table2[HomeWon_], Table2[GameIsOver],1,Table2[AwayTeam],$A16, Table2[HomeTeam], X$1, Table2[ActualResult], "SO") + SUMIFS(Table2[AwayWon], Table2[GameIsOver],1,Table2[HomeTeam],$A16, Table2[AwayTeam], X$1, Table2[ActualResult], "SO"),0))</f>
        <v>0-0-0</v>
      </c>
      <c r="Y16" s="57" t="str">
        <f>_xlfn.CONCAT(TEXT(SUMIFS(Table2[AwayWon], Table2[GameIsOver],1,Table2[AwayTeam],$A16, Table2[HomeTeam], Y$1) + SUMIFS(Table2[HomeWon_], Table2[GameIsOver],1,Table2[HomeTeam],$A16, Table2[AwayTeam], Y$1),0), "-", TEXT(SUMIFS(Table2[HomeWon_], Table2[GameIsOver],1,Table2[AwayTeam],$A16, Table2[HomeTeam], Y$1, Table2[ActualResult], "REG") + SUMIFS(Table2[AwayWon], Table2[GameIsOver],1,Table2[HomeTeam],$A16, Table2[AwayTeam], Y$1, Table2[ActualResult], "REG"),0), "-", TEXT(SUMIFS(Table2[HomeWon_], Table2[GameIsOver],1,Table2[AwayTeam],$A16, Table2[HomeTeam], Y$1, Table2[ActualResult], "OT") + SUMIFS(Table2[AwayWon], Table2[GameIsOver],1,Table2[HomeTeam],$A16, Table2[AwayTeam], Y$1, Table2[ActualResult], "OT") + SUMIFS(Table2[HomeWon_], Table2[GameIsOver],1,Table2[AwayTeam],$A16, Table2[HomeTeam], Y$1, Table2[ActualResult], "SO") + SUMIFS(Table2[AwayWon], Table2[GameIsOver],1,Table2[HomeTeam],$A16, Table2[AwayTeam], Y$1, Table2[ActualResult], "SO"),0))</f>
        <v>0-0-0</v>
      </c>
      <c r="Z16" t="str">
        <f>_xlfn.CONCAT(TEXT(SUMIFS(Table2[AwayWon], Table2[GameIsOver],1,Table2[AwayTeam],$A16, Table2[HomeTeam], Z$1) + SUMIFS(Table2[HomeWon_], Table2[GameIsOver],1,Table2[HomeTeam],$A16, Table2[AwayTeam], Z$1),0), "-", TEXT(SUMIFS(Table2[HomeWon_], Table2[GameIsOver],1,Table2[AwayTeam],$A16, Table2[HomeTeam], Z$1, Table2[ActualResult], "REG") + SUMIFS(Table2[AwayWon], Table2[GameIsOver],1,Table2[HomeTeam],$A16, Table2[AwayTeam], Z$1, Table2[ActualResult], "REG"),0), "-", TEXT(SUMIFS(Table2[HomeWon_], Table2[GameIsOver],1,Table2[AwayTeam],$A16, Table2[HomeTeam], Z$1, Table2[ActualResult], "OT") + SUMIFS(Table2[AwayWon], Table2[GameIsOver],1,Table2[HomeTeam],$A16, Table2[AwayTeam], Z$1, Table2[ActualResult], "OT") + SUMIFS(Table2[HomeWon_], Table2[GameIsOver],1,Table2[AwayTeam],$A16, Table2[HomeTeam], Z$1, Table2[ActualResult], "SO") + SUMIFS(Table2[AwayWon], Table2[GameIsOver],1,Table2[HomeTeam],$A16, Table2[AwayTeam], Z$1, Table2[ActualResult], "SO"),0))</f>
        <v>1-0-0</v>
      </c>
      <c r="AA16" t="str">
        <f>_xlfn.CONCAT(TEXT(SUMIFS(Table2[AwayWon], Table2[GameIsOver],1,Table2[AwayTeam],$A16, Table2[HomeTeam], AA$1) + SUMIFS(Table2[HomeWon_], Table2[GameIsOver],1,Table2[HomeTeam],$A16, Table2[AwayTeam], AA$1),0), "-", TEXT(SUMIFS(Table2[HomeWon_], Table2[GameIsOver],1,Table2[AwayTeam],$A16, Table2[HomeTeam], AA$1, Table2[ActualResult], "REG") + SUMIFS(Table2[AwayWon], Table2[GameIsOver],1,Table2[HomeTeam],$A16, Table2[AwayTeam], AA$1, Table2[ActualResult], "REG"),0), "-", TEXT(SUMIFS(Table2[HomeWon_], Table2[GameIsOver],1,Table2[AwayTeam],$A16, Table2[HomeTeam], AA$1, Table2[ActualResult], "OT") + SUMIFS(Table2[AwayWon], Table2[GameIsOver],1,Table2[HomeTeam],$A16, Table2[AwayTeam], AA$1, Table2[ActualResult], "OT") + SUMIFS(Table2[HomeWon_], Table2[GameIsOver],1,Table2[AwayTeam],$A16, Table2[HomeTeam], AA$1, Table2[ActualResult], "SO") + SUMIFS(Table2[AwayWon], Table2[GameIsOver],1,Table2[HomeTeam],$A16, Table2[AwayTeam], AA$1, Table2[ActualResult], "SO"),0))</f>
        <v>0-0-0</v>
      </c>
      <c r="AB16" t="str">
        <f>_xlfn.CONCAT(TEXT(SUMIFS(Table2[AwayWon], Table2[GameIsOver],1,Table2[AwayTeam],$A16, Table2[HomeTeam], AB$1) + SUMIFS(Table2[HomeWon_], Table2[GameIsOver],1,Table2[HomeTeam],$A16, Table2[AwayTeam], AB$1),0), "-", TEXT(SUMIFS(Table2[HomeWon_], Table2[GameIsOver],1,Table2[AwayTeam],$A16, Table2[HomeTeam], AB$1, Table2[ActualResult], "REG") + SUMIFS(Table2[AwayWon], Table2[GameIsOver],1,Table2[HomeTeam],$A16, Table2[AwayTeam], AB$1, Table2[ActualResult], "REG"),0), "-", TEXT(SUMIFS(Table2[HomeWon_], Table2[GameIsOver],1,Table2[AwayTeam],$A16, Table2[HomeTeam], AB$1, Table2[ActualResult], "OT") + SUMIFS(Table2[AwayWon], Table2[GameIsOver],1,Table2[HomeTeam],$A16, Table2[AwayTeam], AB$1, Table2[ActualResult], "OT") + SUMIFS(Table2[HomeWon_], Table2[GameIsOver],1,Table2[AwayTeam],$A16, Table2[HomeTeam], AB$1, Table2[ActualResult], "SO") + SUMIFS(Table2[AwayWon], Table2[GameIsOver],1,Table2[HomeTeam],$A16, Table2[AwayTeam], AB$1, Table2[ActualResult], "SO"),0))</f>
        <v>0-0-0</v>
      </c>
      <c r="AC16" t="str">
        <f>_xlfn.CONCAT(TEXT(SUMIFS(Table2[AwayWon], Table2[GameIsOver],1,Table2[AwayTeam],$A16, Table2[HomeTeam], AC$1) + SUMIFS(Table2[HomeWon_], Table2[GameIsOver],1,Table2[HomeTeam],$A16, Table2[AwayTeam], AC$1),0), "-", TEXT(SUMIFS(Table2[HomeWon_], Table2[GameIsOver],1,Table2[AwayTeam],$A16, Table2[HomeTeam], AC$1, Table2[ActualResult], "REG") + SUMIFS(Table2[AwayWon], Table2[GameIsOver],1,Table2[HomeTeam],$A16, Table2[AwayTeam], AC$1, Table2[ActualResult], "REG"),0), "-", TEXT(SUMIFS(Table2[HomeWon_], Table2[GameIsOver],1,Table2[AwayTeam],$A16, Table2[HomeTeam], AC$1, Table2[ActualResult], "OT") + SUMIFS(Table2[AwayWon], Table2[GameIsOver],1,Table2[HomeTeam],$A16, Table2[AwayTeam], AC$1, Table2[ActualResult], "OT") + SUMIFS(Table2[HomeWon_], Table2[GameIsOver],1,Table2[AwayTeam],$A16, Table2[HomeTeam], AC$1, Table2[ActualResult], "SO") + SUMIFS(Table2[AwayWon], Table2[GameIsOver],1,Table2[HomeTeam],$A16, Table2[AwayTeam], AC$1, Table2[ActualResult], "SO"),0))</f>
        <v>0-0-0</v>
      </c>
      <c r="AD16" t="str">
        <f>_xlfn.CONCAT(TEXT(SUMIFS(Table2[AwayWon], Table2[GameIsOver],1,Table2[AwayTeam],$A16, Table2[HomeTeam], AD$1) + SUMIFS(Table2[HomeWon_], Table2[GameIsOver],1,Table2[HomeTeam],$A16, Table2[AwayTeam], AD$1),0), "-", TEXT(SUMIFS(Table2[HomeWon_], Table2[GameIsOver],1,Table2[AwayTeam],$A16, Table2[HomeTeam], AD$1, Table2[ActualResult], "REG") + SUMIFS(Table2[AwayWon], Table2[GameIsOver],1,Table2[HomeTeam],$A16, Table2[AwayTeam], AD$1, Table2[ActualResult], "REG"),0), "-", TEXT(SUMIFS(Table2[HomeWon_], Table2[GameIsOver],1,Table2[AwayTeam],$A16, Table2[HomeTeam], AD$1, Table2[ActualResult], "OT") + SUMIFS(Table2[AwayWon], Table2[GameIsOver],1,Table2[HomeTeam],$A16, Table2[AwayTeam], AD$1, Table2[ActualResult], "OT") + SUMIFS(Table2[HomeWon_], Table2[GameIsOver],1,Table2[AwayTeam],$A16, Table2[HomeTeam], AD$1, Table2[ActualResult], "SO") + SUMIFS(Table2[AwayWon], Table2[GameIsOver],1,Table2[HomeTeam],$A16, Table2[AwayTeam], AD$1, Table2[ActualResult], "SO"),0))</f>
        <v>0-0-0</v>
      </c>
      <c r="AE16" t="str">
        <f>_xlfn.CONCAT(TEXT(SUMIFS(Table2[AwayWon], Table2[GameIsOver],1,Table2[AwayTeam],$A16, Table2[HomeTeam], AE$1) + SUMIFS(Table2[HomeWon_], Table2[GameIsOver],1,Table2[HomeTeam],$A16, Table2[AwayTeam], AE$1),0), "-", TEXT(SUMIFS(Table2[HomeWon_], Table2[GameIsOver],1,Table2[AwayTeam],$A16, Table2[HomeTeam], AE$1, Table2[ActualResult], "REG") + SUMIFS(Table2[AwayWon], Table2[GameIsOver],1,Table2[HomeTeam],$A16, Table2[AwayTeam], AE$1, Table2[ActualResult], "REG"),0), "-", TEXT(SUMIFS(Table2[HomeWon_], Table2[GameIsOver],1,Table2[AwayTeam],$A16, Table2[HomeTeam], AE$1, Table2[ActualResult], "OT") + SUMIFS(Table2[AwayWon], Table2[GameIsOver],1,Table2[HomeTeam],$A16, Table2[AwayTeam], AE$1, Table2[ActualResult], "OT") + SUMIFS(Table2[HomeWon_], Table2[GameIsOver],1,Table2[AwayTeam],$A16, Table2[HomeTeam], AE$1, Table2[ActualResult], "SO") + SUMIFS(Table2[AwayWon], Table2[GameIsOver],1,Table2[HomeTeam],$A16, Table2[AwayTeam], AE$1, Table2[ActualResult], "SO"),0))</f>
        <v>0-0-0</v>
      </c>
      <c r="AF16" t="str">
        <f>_xlfn.CONCAT(TEXT(SUMIFS(Table2[AwayWon], Table2[GameIsOver],1,Table2[AwayTeam],$A16, Table2[HomeTeam], AF$1) + SUMIFS(Table2[HomeWon_], Table2[GameIsOver],1,Table2[HomeTeam],$A16, Table2[AwayTeam], AF$1),0), "-", TEXT(SUMIFS(Table2[HomeWon_], Table2[GameIsOver],1,Table2[AwayTeam],$A16, Table2[HomeTeam], AF$1, Table2[ActualResult], "REG") + SUMIFS(Table2[AwayWon], Table2[GameIsOver],1,Table2[HomeTeam],$A16, Table2[AwayTeam], AF$1, Table2[ActualResult], "REG"),0), "-", TEXT(SUMIFS(Table2[HomeWon_], Table2[GameIsOver],1,Table2[AwayTeam],$A16, Table2[HomeTeam], AF$1, Table2[ActualResult], "OT") + SUMIFS(Table2[AwayWon], Table2[GameIsOver],1,Table2[HomeTeam],$A16, Table2[AwayTeam], AF$1, Table2[ActualResult], "OT") + SUMIFS(Table2[HomeWon_], Table2[GameIsOver],1,Table2[AwayTeam],$A16, Table2[HomeTeam], AF$1, Table2[ActualResult], "SO") + SUMIFS(Table2[AwayWon], Table2[GameIsOver],1,Table2[HomeTeam],$A16, Table2[AwayTeam], AF$1, Table2[ActualResult], "SO"),0))</f>
        <v>0-0-0</v>
      </c>
      <c r="AG16" t="str">
        <f>_xlfn.CONCAT(TEXT(SUMIFS(Table2[AwayWon], Table2[GameIsOver],1,Table2[AwayTeam],$A16, Table2[HomeTeam], AG$1) + SUMIFS(Table2[HomeWon_], Table2[GameIsOver],1,Table2[HomeTeam],$A16, Table2[AwayTeam], AG$1),0), "-", TEXT(SUMIFS(Table2[HomeWon_], Table2[GameIsOver],1,Table2[AwayTeam],$A16, Table2[HomeTeam], AG$1, Table2[ActualResult], "REG") + SUMIFS(Table2[AwayWon], Table2[GameIsOver],1,Table2[HomeTeam],$A16, Table2[AwayTeam], AG$1, Table2[ActualResult], "REG"),0), "-", TEXT(SUMIFS(Table2[HomeWon_], Table2[GameIsOver],1,Table2[AwayTeam],$A16, Table2[HomeTeam], AG$1, Table2[ActualResult], "OT") + SUMIFS(Table2[AwayWon], Table2[GameIsOver],1,Table2[HomeTeam],$A16, Table2[AwayTeam], AG$1, Table2[ActualResult], "OT") + SUMIFS(Table2[HomeWon_], Table2[GameIsOver],1,Table2[AwayTeam],$A16, Table2[HomeTeam], AG$1, Table2[ActualResult], "SO") + SUMIFS(Table2[AwayWon], Table2[GameIsOver],1,Table2[HomeTeam],$A16, Table2[AwayTeam], AG$1, Table2[ActualResult], "SO"),0))</f>
        <v>0-0-0</v>
      </c>
    </row>
    <row r="17" spans="1:33" ht="15.75" thickBot="1" x14ac:dyDescent="0.3">
      <c r="A17" s="59" t="s">
        <v>21</v>
      </c>
      <c r="B17" s="58" t="str">
        <f>_xlfn.CONCAT(TEXT(SUMIFS(Table2[AwayWon], Table2[GameIsOver],1,Table2[AwayTeam],$A17, Table2[HomeTeam], B$1) + SUMIFS(Table2[HomeWon_], Table2[GameIsOver],1,Table2[HomeTeam],$A17, Table2[AwayTeam], B$1),0), "-", TEXT(SUMIFS(Table2[HomeWon_], Table2[GameIsOver],1,Table2[AwayTeam],$A17, Table2[HomeTeam], B$1, Table2[ActualResult], "REG") + SUMIFS(Table2[AwayWon], Table2[GameIsOver],1,Table2[HomeTeam],$A17, Table2[AwayTeam], B$1, Table2[ActualResult], "REG"),0), "-", TEXT(SUMIFS(Table2[HomeWon_], Table2[GameIsOver],1,Table2[AwayTeam],$A17, Table2[HomeTeam], B$1, Table2[ActualResult], "OT") + SUMIFS(Table2[AwayWon], Table2[GameIsOver],1,Table2[HomeTeam],$A17, Table2[AwayTeam], B$1, Table2[ActualResult], "OT") + SUMIFS(Table2[HomeWon_], Table2[GameIsOver],1,Table2[AwayTeam],$A17, Table2[HomeTeam], B$1, Table2[ActualResult], "SO") + SUMIFS(Table2[AwayWon], Table2[GameIsOver],1,Table2[HomeTeam],$A17, Table2[AwayTeam], B$1, Table2[ActualResult], "SO"),0))</f>
        <v>0-0-0</v>
      </c>
      <c r="C17" s="58" t="str">
        <f>_xlfn.CONCAT(TEXT(SUMIFS(Table2[AwayWon], Table2[GameIsOver],1,Table2[AwayTeam],$A17, Table2[HomeTeam], C$1) + SUMIFS(Table2[HomeWon_], Table2[GameIsOver],1,Table2[HomeTeam],$A17, Table2[AwayTeam], C$1),0), "-", TEXT(SUMIFS(Table2[HomeWon_], Table2[GameIsOver],1,Table2[AwayTeam],$A17, Table2[HomeTeam], C$1, Table2[ActualResult], "REG") + SUMIFS(Table2[AwayWon], Table2[GameIsOver],1,Table2[HomeTeam],$A17, Table2[AwayTeam], C$1, Table2[ActualResult], "REG"),0), "-", TEXT(SUMIFS(Table2[HomeWon_], Table2[GameIsOver],1,Table2[AwayTeam],$A17, Table2[HomeTeam], C$1, Table2[ActualResult], "OT") + SUMIFS(Table2[AwayWon], Table2[GameIsOver],1,Table2[HomeTeam],$A17, Table2[AwayTeam], C$1, Table2[ActualResult], "OT") + SUMIFS(Table2[HomeWon_], Table2[GameIsOver],1,Table2[AwayTeam],$A17, Table2[HomeTeam], C$1, Table2[ActualResult], "SO") + SUMIFS(Table2[AwayWon], Table2[GameIsOver],1,Table2[HomeTeam],$A17, Table2[AwayTeam], C$1, Table2[ActualResult], "SO"),0))</f>
        <v>1-0-0</v>
      </c>
      <c r="D17" s="58" t="str">
        <f>_xlfn.CONCAT(TEXT(SUMIFS(Table2[AwayWon], Table2[GameIsOver],1,Table2[AwayTeam],$A17, Table2[HomeTeam], D$1) + SUMIFS(Table2[HomeWon_], Table2[GameIsOver],1,Table2[HomeTeam],$A17, Table2[AwayTeam], D$1),0), "-", TEXT(SUMIFS(Table2[HomeWon_], Table2[GameIsOver],1,Table2[AwayTeam],$A17, Table2[HomeTeam], D$1, Table2[ActualResult], "REG") + SUMIFS(Table2[AwayWon], Table2[GameIsOver],1,Table2[HomeTeam],$A17, Table2[AwayTeam], D$1, Table2[ActualResult], "REG"),0), "-", TEXT(SUMIFS(Table2[HomeWon_], Table2[GameIsOver],1,Table2[AwayTeam],$A17, Table2[HomeTeam], D$1, Table2[ActualResult], "OT") + SUMIFS(Table2[AwayWon], Table2[GameIsOver],1,Table2[HomeTeam],$A17, Table2[AwayTeam], D$1, Table2[ActualResult], "OT") + SUMIFS(Table2[HomeWon_], Table2[GameIsOver],1,Table2[AwayTeam],$A17, Table2[HomeTeam], D$1, Table2[ActualResult], "SO") + SUMIFS(Table2[AwayWon], Table2[GameIsOver],1,Table2[HomeTeam],$A17, Table2[AwayTeam], D$1, Table2[ActualResult], "SO"),0))</f>
        <v>0-0-0</v>
      </c>
      <c r="E17" s="58" t="str">
        <f>_xlfn.CONCAT(TEXT(SUMIFS(Table2[AwayWon], Table2[GameIsOver],1,Table2[AwayTeam],$A17, Table2[HomeTeam], E$1) + SUMIFS(Table2[HomeWon_], Table2[GameIsOver],1,Table2[HomeTeam],$A17, Table2[AwayTeam], E$1),0), "-", TEXT(SUMIFS(Table2[HomeWon_], Table2[GameIsOver],1,Table2[AwayTeam],$A17, Table2[HomeTeam], E$1, Table2[ActualResult], "REG") + SUMIFS(Table2[AwayWon], Table2[GameIsOver],1,Table2[HomeTeam],$A17, Table2[AwayTeam], E$1, Table2[ActualResult], "REG"),0), "-", TEXT(SUMIFS(Table2[HomeWon_], Table2[GameIsOver],1,Table2[AwayTeam],$A17, Table2[HomeTeam], E$1, Table2[ActualResult], "OT") + SUMIFS(Table2[AwayWon], Table2[GameIsOver],1,Table2[HomeTeam],$A17, Table2[AwayTeam], E$1, Table2[ActualResult], "OT") + SUMIFS(Table2[HomeWon_], Table2[GameIsOver],1,Table2[AwayTeam],$A17, Table2[HomeTeam], E$1, Table2[ActualResult], "SO") + SUMIFS(Table2[AwayWon], Table2[GameIsOver],1,Table2[HomeTeam],$A17, Table2[AwayTeam], E$1, Table2[ActualResult], "SO"),0))</f>
        <v>1-0-0</v>
      </c>
      <c r="F17" s="58" t="str">
        <f>_xlfn.CONCAT(TEXT(SUMIFS(Table2[AwayWon], Table2[GameIsOver],1,Table2[AwayTeam],$A17, Table2[HomeTeam], F$1) + SUMIFS(Table2[HomeWon_], Table2[GameIsOver],1,Table2[HomeTeam],$A17, Table2[AwayTeam], F$1),0), "-", TEXT(SUMIFS(Table2[HomeWon_], Table2[GameIsOver],1,Table2[AwayTeam],$A17, Table2[HomeTeam], F$1, Table2[ActualResult], "REG") + SUMIFS(Table2[AwayWon], Table2[GameIsOver],1,Table2[HomeTeam],$A17, Table2[AwayTeam], F$1, Table2[ActualResult], "REG"),0), "-", TEXT(SUMIFS(Table2[HomeWon_], Table2[GameIsOver],1,Table2[AwayTeam],$A17, Table2[HomeTeam], F$1, Table2[ActualResult], "OT") + SUMIFS(Table2[AwayWon], Table2[GameIsOver],1,Table2[HomeTeam],$A17, Table2[AwayTeam], F$1, Table2[ActualResult], "OT") + SUMIFS(Table2[HomeWon_], Table2[GameIsOver],1,Table2[AwayTeam],$A17, Table2[HomeTeam], F$1, Table2[ActualResult], "SO") + SUMIFS(Table2[AwayWon], Table2[GameIsOver],1,Table2[HomeTeam],$A17, Table2[AwayTeam], F$1, Table2[ActualResult], "SO"),0))</f>
        <v>0-0-0</v>
      </c>
      <c r="G17" s="58" t="str">
        <f>_xlfn.CONCAT(TEXT(SUMIFS(Table2[AwayWon], Table2[GameIsOver],1,Table2[AwayTeam],$A17, Table2[HomeTeam], G$1) + SUMIFS(Table2[HomeWon_], Table2[GameIsOver],1,Table2[HomeTeam],$A17, Table2[AwayTeam], G$1),0), "-", TEXT(SUMIFS(Table2[HomeWon_], Table2[GameIsOver],1,Table2[AwayTeam],$A17, Table2[HomeTeam], G$1, Table2[ActualResult], "REG") + SUMIFS(Table2[AwayWon], Table2[GameIsOver],1,Table2[HomeTeam],$A17, Table2[AwayTeam], G$1, Table2[ActualResult], "REG"),0), "-", TEXT(SUMIFS(Table2[HomeWon_], Table2[GameIsOver],1,Table2[AwayTeam],$A17, Table2[HomeTeam], G$1, Table2[ActualResult], "OT") + SUMIFS(Table2[AwayWon], Table2[GameIsOver],1,Table2[HomeTeam],$A17, Table2[AwayTeam], G$1, Table2[ActualResult], "OT") + SUMIFS(Table2[HomeWon_], Table2[GameIsOver],1,Table2[AwayTeam],$A17, Table2[HomeTeam], G$1, Table2[ActualResult], "SO") + SUMIFS(Table2[AwayWon], Table2[GameIsOver],1,Table2[HomeTeam],$A17, Table2[AwayTeam], G$1, Table2[ActualResult], "SO"),0))</f>
        <v>0-0-0</v>
      </c>
      <c r="H17" s="58" t="str">
        <f>_xlfn.CONCAT(TEXT(SUMIFS(Table2[AwayWon], Table2[GameIsOver],1,Table2[AwayTeam],$A17, Table2[HomeTeam], H$1) + SUMIFS(Table2[HomeWon_], Table2[GameIsOver],1,Table2[HomeTeam],$A17, Table2[AwayTeam], H$1),0), "-", TEXT(SUMIFS(Table2[HomeWon_], Table2[GameIsOver],1,Table2[AwayTeam],$A17, Table2[HomeTeam], H$1, Table2[ActualResult], "REG") + SUMIFS(Table2[AwayWon], Table2[GameIsOver],1,Table2[HomeTeam],$A17, Table2[AwayTeam], H$1, Table2[ActualResult], "REG"),0), "-", TEXT(SUMIFS(Table2[HomeWon_], Table2[GameIsOver],1,Table2[AwayTeam],$A17, Table2[HomeTeam], H$1, Table2[ActualResult], "OT") + SUMIFS(Table2[AwayWon], Table2[GameIsOver],1,Table2[HomeTeam],$A17, Table2[AwayTeam], H$1, Table2[ActualResult], "OT") + SUMIFS(Table2[HomeWon_], Table2[GameIsOver],1,Table2[AwayTeam],$A17, Table2[HomeTeam], H$1, Table2[ActualResult], "SO") + SUMIFS(Table2[AwayWon], Table2[GameIsOver],1,Table2[HomeTeam],$A17, Table2[AwayTeam], H$1, Table2[ActualResult], "SO"),0))</f>
        <v>0-0-0</v>
      </c>
      <c r="I17" s="59" t="str">
        <f>_xlfn.CONCAT(TEXT(SUMIFS(Table2[AwayWon], Table2[GameIsOver],1,Table2[AwayTeam],$A17, Table2[HomeTeam], I$1) + SUMIFS(Table2[HomeWon_], Table2[GameIsOver],1,Table2[HomeTeam],$A17, Table2[AwayTeam], I$1),0), "-", TEXT(SUMIFS(Table2[HomeWon_], Table2[GameIsOver],1,Table2[AwayTeam],$A17, Table2[HomeTeam], I$1, Table2[ActualResult], "REG") + SUMIFS(Table2[AwayWon], Table2[GameIsOver],1,Table2[HomeTeam],$A17, Table2[AwayTeam], I$1, Table2[ActualResult], "REG"),0), "-", TEXT(SUMIFS(Table2[HomeWon_], Table2[GameIsOver],1,Table2[AwayTeam],$A17, Table2[HomeTeam], I$1, Table2[ActualResult], "OT") + SUMIFS(Table2[AwayWon], Table2[GameIsOver],1,Table2[HomeTeam],$A17, Table2[AwayTeam], I$1, Table2[ActualResult], "OT") + SUMIFS(Table2[HomeWon_], Table2[GameIsOver],1,Table2[AwayTeam],$A17, Table2[HomeTeam], I$1, Table2[ActualResult], "SO") + SUMIFS(Table2[AwayWon], Table2[GameIsOver],1,Table2[HomeTeam],$A17, Table2[AwayTeam], I$1, Table2[ActualResult], "SO"),0))</f>
        <v>0-0-0</v>
      </c>
      <c r="J17" s="58" t="str">
        <f>_xlfn.CONCAT(TEXT(SUMIFS(Table2[AwayWon], Table2[GameIsOver],1,Table2[AwayTeam],$A17, Table2[HomeTeam], J$1) + SUMIFS(Table2[HomeWon_], Table2[GameIsOver],1,Table2[HomeTeam],$A17, Table2[AwayTeam], J$1),0), "-", TEXT(SUMIFS(Table2[HomeWon_], Table2[GameIsOver],1,Table2[AwayTeam],$A17, Table2[HomeTeam], J$1, Table2[ActualResult], "REG") + SUMIFS(Table2[AwayWon], Table2[GameIsOver],1,Table2[HomeTeam],$A17, Table2[AwayTeam], J$1, Table2[ActualResult], "REG"),0), "-", TEXT(SUMIFS(Table2[HomeWon_], Table2[GameIsOver],1,Table2[AwayTeam],$A17, Table2[HomeTeam], J$1, Table2[ActualResult], "OT") + SUMIFS(Table2[AwayWon], Table2[GameIsOver],1,Table2[HomeTeam],$A17, Table2[AwayTeam], J$1, Table2[ActualResult], "OT") + SUMIFS(Table2[HomeWon_], Table2[GameIsOver],1,Table2[AwayTeam],$A17, Table2[HomeTeam], J$1, Table2[ActualResult], "SO") + SUMIFS(Table2[AwayWon], Table2[GameIsOver],1,Table2[HomeTeam],$A17, Table2[AwayTeam], J$1, Table2[ActualResult], "SO"),0))</f>
        <v>0-0-0</v>
      </c>
      <c r="K17" s="58" t="str">
        <f>_xlfn.CONCAT(TEXT(SUMIFS(Table2[AwayWon], Table2[GameIsOver],1,Table2[AwayTeam],$A17, Table2[HomeTeam], K$1) + SUMIFS(Table2[HomeWon_], Table2[GameIsOver],1,Table2[HomeTeam],$A17, Table2[AwayTeam], K$1),0), "-", TEXT(SUMIFS(Table2[HomeWon_], Table2[GameIsOver],1,Table2[AwayTeam],$A17, Table2[HomeTeam], K$1, Table2[ActualResult], "REG") + SUMIFS(Table2[AwayWon], Table2[GameIsOver],1,Table2[HomeTeam],$A17, Table2[AwayTeam], K$1, Table2[ActualResult], "REG"),0), "-", TEXT(SUMIFS(Table2[HomeWon_], Table2[GameIsOver],1,Table2[AwayTeam],$A17, Table2[HomeTeam], K$1, Table2[ActualResult], "OT") + SUMIFS(Table2[AwayWon], Table2[GameIsOver],1,Table2[HomeTeam],$A17, Table2[AwayTeam], K$1, Table2[ActualResult], "OT") + SUMIFS(Table2[HomeWon_], Table2[GameIsOver],1,Table2[AwayTeam],$A17, Table2[HomeTeam], K$1, Table2[ActualResult], "SO") + SUMIFS(Table2[AwayWon], Table2[GameIsOver],1,Table2[HomeTeam],$A17, Table2[AwayTeam], K$1, Table2[ActualResult], "SO"),0))</f>
        <v>0-0-0</v>
      </c>
      <c r="L17" s="58" t="str">
        <f>_xlfn.CONCAT(TEXT(SUMIFS(Table2[AwayWon], Table2[GameIsOver],1,Table2[AwayTeam],$A17, Table2[HomeTeam], L$1) + SUMIFS(Table2[HomeWon_], Table2[GameIsOver],1,Table2[HomeTeam],$A17, Table2[AwayTeam], L$1),0), "-", TEXT(SUMIFS(Table2[HomeWon_], Table2[GameIsOver],1,Table2[AwayTeam],$A17, Table2[HomeTeam], L$1, Table2[ActualResult], "REG") + SUMIFS(Table2[AwayWon], Table2[GameIsOver],1,Table2[HomeTeam],$A17, Table2[AwayTeam], L$1, Table2[ActualResult], "REG"),0), "-", TEXT(SUMIFS(Table2[HomeWon_], Table2[GameIsOver],1,Table2[AwayTeam],$A17, Table2[HomeTeam], L$1, Table2[ActualResult], "OT") + SUMIFS(Table2[AwayWon], Table2[GameIsOver],1,Table2[HomeTeam],$A17, Table2[AwayTeam], L$1, Table2[ActualResult], "OT") + SUMIFS(Table2[HomeWon_], Table2[GameIsOver],1,Table2[AwayTeam],$A17, Table2[HomeTeam], L$1, Table2[ActualResult], "SO") + SUMIFS(Table2[AwayWon], Table2[GameIsOver],1,Table2[HomeTeam],$A17, Table2[AwayTeam], L$1, Table2[ActualResult], "SO"),0))</f>
        <v>0-1-0</v>
      </c>
      <c r="M17" s="58" t="str">
        <f>_xlfn.CONCAT(TEXT(SUMIFS(Table2[AwayWon], Table2[GameIsOver],1,Table2[AwayTeam],$A17, Table2[HomeTeam], M$1) + SUMIFS(Table2[HomeWon_], Table2[GameIsOver],1,Table2[HomeTeam],$A17, Table2[AwayTeam], M$1),0), "-", TEXT(SUMIFS(Table2[HomeWon_], Table2[GameIsOver],1,Table2[AwayTeam],$A17, Table2[HomeTeam], M$1, Table2[ActualResult], "REG") + SUMIFS(Table2[AwayWon], Table2[GameIsOver],1,Table2[HomeTeam],$A17, Table2[AwayTeam], M$1, Table2[ActualResult], "REG"),0), "-", TEXT(SUMIFS(Table2[HomeWon_], Table2[GameIsOver],1,Table2[AwayTeam],$A17, Table2[HomeTeam], M$1, Table2[ActualResult], "OT") + SUMIFS(Table2[AwayWon], Table2[GameIsOver],1,Table2[HomeTeam],$A17, Table2[AwayTeam], M$1, Table2[ActualResult], "OT") + SUMIFS(Table2[HomeWon_], Table2[GameIsOver],1,Table2[AwayTeam],$A17, Table2[HomeTeam], M$1, Table2[ActualResult], "SO") + SUMIFS(Table2[AwayWon], Table2[GameIsOver],1,Table2[HomeTeam],$A17, Table2[AwayTeam], M$1, Table2[ActualResult], "SO"),0))</f>
        <v>0-0-0</v>
      </c>
      <c r="N17" s="58" t="str">
        <f>_xlfn.CONCAT(TEXT(SUMIFS(Table2[AwayWon], Table2[GameIsOver],1,Table2[AwayTeam],$A17, Table2[HomeTeam], N$1) + SUMIFS(Table2[HomeWon_], Table2[GameIsOver],1,Table2[HomeTeam],$A17, Table2[AwayTeam], N$1),0), "-", TEXT(SUMIFS(Table2[HomeWon_], Table2[GameIsOver],1,Table2[AwayTeam],$A17, Table2[HomeTeam], N$1, Table2[ActualResult], "REG") + SUMIFS(Table2[AwayWon], Table2[GameIsOver],1,Table2[HomeTeam],$A17, Table2[AwayTeam], N$1, Table2[ActualResult], "REG"),0), "-", TEXT(SUMIFS(Table2[HomeWon_], Table2[GameIsOver],1,Table2[AwayTeam],$A17, Table2[HomeTeam], N$1, Table2[ActualResult], "OT") + SUMIFS(Table2[AwayWon], Table2[GameIsOver],1,Table2[HomeTeam],$A17, Table2[AwayTeam], N$1, Table2[ActualResult], "OT") + SUMIFS(Table2[HomeWon_], Table2[GameIsOver],1,Table2[AwayTeam],$A17, Table2[HomeTeam], N$1, Table2[ActualResult], "SO") + SUMIFS(Table2[AwayWon], Table2[GameIsOver],1,Table2[HomeTeam],$A17, Table2[AwayTeam], N$1, Table2[ActualResult], "SO"),0))</f>
        <v>1-0-0</v>
      </c>
      <c r="O17" s="58" t="str">
        <f>_xlfn.CONCAT(TEXT(SUMIFS(Table2[AwayWon], Table2[GameIsOver],1,Table2[AwayTeam],$A17, Table2[HomeTeam], O$1) + SUMIFS(Table2[HomeWon_], Table2[GameIsOver],1,Table2[HomeTeam],$A17, Table2[AwayTeam], O$1),0), "-", TEXT(SUMIFS(Table2[HomeWon_], Table2[GameIsOver],1,Table2[AwayTeam],$A17, Table2[HomeTeam], O$1, Table2[ActualResult], "REG") + SUMIFS(Table2[AwayWon], Table2[GameIsOver],1,Table2[HomeTeam],$A17, Table2[AwayTeam], O$1, Table2[ActualResult], "REG"),0), "-", TEXT(SUMIFS(Table2[HomeWon_], Table2[GameIsOver],1,Table2[AwayTeam],$A17, Table2[HomeTeam], O$1, Table2[ActualResult], "OT") + SUMIFS(Table2[AwayWon], Table2[GameIsOver],1,Table2[HomeTeam],$A17, Table2[AwayTeam], O$1, Table2[ActualResult], "OT") + SUMIFS(Table2[HomeWon_], Table2[GameIsOver],1,Table2[AwayTeam],$A17, Table2[HomeTeam], O$1, Table2[ActualResult], "SO") + SUMIFS(Table2[AwayWon], Table2[GameIsOver],1,Table2[HomeTeam],$A17, Table2[AwayTeam], O$1, Table2[ActualResult], "SO"),0))</f>
        <v>0-0-0</v>
      </c>
      <c r="P17" s="58" t="str">
        <f>_xlfn.CONCAT(TEXT(SUMIFS(Table2[AwayWon], Table2[GameIsOver],1,Table2[AwayTeam],$A17, Table2[HomeTeam], P$1) + SUMIFS(Table2[HomeWon_], Table2[GameIsOver],1,Table2[HomeTeam],$A17, Table2[AwayTeam], P$1),0), "-", TEXT(SUMIFS(Table2[HomeWon_], Table2[GameIsOver],1,Table2[AwayTeam],$A17, Table2[HomeTeam], P$1, Table2[ActualResult], "REG") + SUMIFS(Table2[AwayWon], Table2[GameIsOver],1,Table2[HomeTeam],$A17, Table2[AwayTeam], P$1, Table2[ActualResult], "REG"),0), "-", TEXT(SUMIFS(Table2[HomeWon_], Table2[GameIsOver],1,Table2[AwayTeam],$A17, Table2[HomeTeam], P$1, Table2[ActualResult], "OT") + SUMIFS(Table2[AwayWon], Table2[GameIsOver],1,Table2[HomeTeam],$A17, Table2[AwayTeam], P$1, Table2[ActualResult], "OT") + SUMIFS(Table2[HomeWon_], Table2[GameIsOver],1,Table2[AwayTeam],$A17, Table2[HomeTeam], P$1, Table2[ActualResult], "SO") + SUMIFS(Table2[AwayWon], Table2[GameIsOver],1,Table2[HomeTeam],$A17, Table2[AwayTeam], P$1, Table2[ActualResult], "SO"),0))</f>
        <v>0-0-0</v>
      </c>
      <c r="Q17" s="90"/>
      <c r="R17" s="58" t="str">
        <f>_xlfn.CONCAT(TEXT(SUMIFS(Table2[AwayWon], Table2[GameIsOver],1,Table2[AwayTeam],$A17, Table2[HomeTeam], R$1) + SUMIFS(Table2[HomeWon_], Table2[GameIsOver],1,Table2[HomeTeam],$A17, Table2[AwayTeam], R$1),0), "-", TEXT(SUMIFS(Table2[HomeWon_], Table2[GameIsOver],1,Table2[AwayTeam],$A17, Table2[HomeTeam], R$1, Table2[ActualResult], "REG") + SUMIFS(Table2[AwayWon], Table2[GameIsOver],1,Table2[HomeTeam],$A17, Table2[AwayTeam], R$1, Table2[ActualResult], "REG"),0), "-", TEXT(SUMIFS(Table2[HomeWon_], Table2[GameIsOver],1,Table2[AwayTeam],$A17, Table2[HomeTeam], R$1, Table2[ActualResult], "OT") + SUMIFS(Table2[AwayWon], Table2[GameIsOver],1,Table2[HomeTeam],$A17, Table2[AwayTeam], R$1, Table2[ActualResult], "OT") + SUMIFS(Table2[HomeWon_], Table2[GameIsOver],1,Table2[AwayTeam],$A17, Table2[HomeTeam], R$1, Table2[ActualResult], "SO") + SUMIFS(Table2[AwayWon], Table2[GameIsOver],1,Table2[HomeTeam],$A17, Table2[AwayTeam], R$1, Table2[ActualResult], "SO"),0))</f>
        <v>0-0-0</v>
      </c>
      <c r="S17" s="58" t="str">
        <f>_xlfn.CONCAT(TEXT(SUMIFS(Table2[AwayWon], Table2[GameIsOver],1,Table2[AwayTeam],$A17, Table2[HomeTeam], S$1) + SUMIFS(Table2[HomeWon_], Table2[GameIsOver],1,Table2[HomeTeam],$A17, Table2[AwayTeam], S$1),0), "-", TEXT(SUMIFS(Table2[HomeWon_], Table2[GameIsOver],1,Table2[AwayTeam],$A17, Table2[HomeTeam], S$1, Table2[ActualResult], "REG") + SUMIFS(Table2[AwayWon], Table2[GameIsOver],1,Table2[HomeTeam],$A17, Table2[AwayTeam], S$1, Table2[ActualResult], "REG"),0), "-", TEXT(SUMIFS(Table2[HomeWon_], Table2[GameIsOver],1,Table2[AwayTeam],$A17, Table2[HomeTeam], S$1, Table2[ActualResult], "OT") + SUMIFS(Table2[AwayWon], Table2[GameIsOver],1,Table2[HomeTeam],$A17, Table2[AwayTeam], S$1, Table2[ActualResult], "OT") + SUMIFS(Table2[HomeWon_], Table2[GameIsOver],1,Table2[AwayTeam],$A17, Table2[HomeTeam], S$1, Table2[ActualResult], "SO") + SUMIFS(Table2[AwayWon], Table2[GameIsOver],1,Table2[HomeTeam],$A17, Table2[AwayTeam], S$1, Table2[ActualResult], "SO"),0))</f>
        <v>0-0-0</v>
      </c>
      <c r="T17" s="58" t="str">
        <f>_xlfn.CONCAT(TEXT(SUMIFS(Table2[AwayWon], Table2[GameIsOver],1,Table2[AwayTeam],$A17, Table2[HomeTeam], T$1) + SUMIFS(Table2[HomeWon_], Table2[GameIsOver],1,Table2[HomeTeam],$A17, Table2[AwayTeam], T$1),0), "-", TEXT(SUMIFS(Table2[HomeWon_], Table2[GameIsOver],1,Table2[AwayTeam],$A17, Table2[HomeTeam], T$1, Table2[ActualResult], "REG") + SUMIFS(Table2[AwayWon], Table2[GameIsOver],1,Table2[HomeTeam],$A17, Table2[AwayTeam], T$1, Table2[ActualResult], "REG"),0), "-", TEXT(SUMIFS(Table2[HomeWon_], Table2[GameIsOver],1,Table2[AwayTeam],$A17, Table2[HomeTeam], T$1, Table2[ActualResult], "OT") + SUMIFS(Table2[AwayWon], Table2[GameIsOver],1,Table2[HomeTeam],$A17, Table2[AwayTeam], T$1, Table2[ActualResult], "OT") + SUMIFS(Table2[HomeWon_], Table2[GameIsOver],1,Table2[AwayTeam],$A17, Table2[HomeTeam], T$1, Table2[ActualResult], "SO") + SUMIFS(Table2[AwayWon], Table2[GameIsOver],1,Table2[HomeTeam],$A17, Table2[AwayTeam], T$1, Table2[ActualResult], "SO"),0))</f>
        <v>0-0-0</v>
      </c>
      <c r="U17" s="58" t="str">
        <f>_xlfn.CONCAT(TEXT(SUMIFS(Table2[AwayWon], Table2[GameIsOver],1,Table2[AwayTeam],$A17, Table2[HomeTeam], U$1) + SUMIFS(Table2[HomeWon_], Table2[GameIsOver],1,Table2[HomeTeam],$A17, Table2[AwayTeam], U$1),0), "-", TEXT(SUMIFS(Table2[HomeWon_], Table2[GameIsOver],1,Table2[AwayTeam],$A17, Table2[HomeTeam], U$1, Table2[ActualResult], "REG") + SUMIFS(Table2[AwayWon], Table2[GameIsOver],1,Table2[HomeTeam],$A17, Table2[AwayTeam], U$1, Table2[ActualResult], "REG"),0), "-", TEXT(SUMIFS(Table2[HomeWon_], Table2[GameIsOver],1,Table2[AwayTeam],$A17, Table2[HomeTeam], U$1, Table2[ActualResult], "OT") + SUMIFS(Table2[AwayWon], Table2[GameIsOver],1,Table2[HomeTeam],$A17, Table2[AwayTeam], U$1, Table2[ActualResult], "OT") + SUMIFS(Table2[HomeWon_], Table2[GameIsOver],1,Table2[AwayTeam],$A17, Table2[HomeTeam], U$1, Table2[ActualResult], "SO") + SUMIFS(Table2[AwayWon], Table2[GameIsOver],1,Table2[HomeTeam],$A17, Table2[AwayTeam], U$1, Table2[ActualResult], "SO"),0))</f>
        <v>1-0-0</v>
      </c>
      <c r="V17" s="58" t="str">
        <f>_xlfn.CONCAT(TEXT(SUMIFS(Table2[AwayWon], Table2[GameIsOver],1,Table2[AwayTeam],$A17, Table2[HomeTeam], V$1) + SUMIFS(Table2[HomeWon_], Table2[GameIsOver],1,Table2[HomeTeam],$A17, Table2[AwayTeam], V$1),0), "-", TEXT(SUMIFS(Table2[HomeWon_], Table2[GameIsOver],1,Table2[AwayTeam],$A17, Table2[HomeTeam], V$1, Table2[ActualResult], "REG") + SUMIFS(Table2[AwayWon], Table2[GameIsOver],1,Table2[HomeTeam],$A17, Table2[AwayTeam], V$1, Table2[ActualResult], "REG"),0), "-", TEXT(SUMIFS(Table2[HomeWon_], Table2[GameIsOver],1,Table2[AwayTeam],$A17, Table2[HomeTeam], V$1, Table2[ActualResult], "OT") + SUMIFS(Table2[AwayWon], Table2[GameIsOver],1,Table2[HomeTeam],$A17, Table2[AwayTeam], V$1, Table2[ActualResult], "OT") + SUMIFS(Table2[HomeWon_], Table2[GameIsOver],1,Table2[AwayTeam],$A17, Table2[HomeTeam], V$1, Table2[ActualResult], "SO") + SUMIFS(Table2[AwayWon], Table2[GameIsOver],1,Table2[HomeTeam],$A17, Table2[AwayTeam], V$1, Table2[ActualResult], "SO"),0))</f>
        <v>0-0-0</v>
      </c>
      <c r="W17" s="58" t="str">
        <f>_xlfn.CONCAT(TEXT(SUMIFS(Table2[AwayWon], Table2[GameIsOver],1,Table2[AwayTeam],$A17, Table2[HomeTeam], W$1) + SUMIFS(Table2[HomeWon_], Table2[GameIsOver],1,Table2[HomeTeam],$A17, Table2[AwayTeam], W$1),0), "-", TEXT(SUMIFS(Table2[HomeWon_], Table2[GameIsOver],1,Table2[AwayTeam],$A17, Table2[HomeTeam], W$1, Table2[ActualResult], "REG") + SUMIFS(Table2[AwayWon], Table2[GameIsOver],1,Table2[HomeTeam],$A17, Table2[AwayTeam], W$1, Table2[ActualResult], "REG"),0), "-", TEXT(SUMIFS(Table2[HomeWon_], Table2[GameIsOver],1,Table2[AwayTeam],$A17, Table2[HomeTeam], W$1, Table2[ActualResult], "OT") + SUMIFS(Table2[AwayWon], Table2[GameIsOver],1,Table2[HomeTeam],$A17, Table2[AwayTeam], W$1, Table2[ActualResult], "OT") + SUMIFS(Table2[HomeWon_], Table2[GameIsOver],1,Table2[AwayTeam],$A17, Table2[HomeTeam], W$1, Table2[ActualResult], "SO") + SUMIFS(Table2[AwayWon], Table2[GameIsOver],1,Table2[HomeTeam],$A17, Table2[AwayTeam], W$1, Table2[ActualResult], "SO"),0))</f>
        <v>1-0-0</v>
      </c>
      <c r="X17" s="58" t="str">
        <f>_xlfn.CONCAT(TEXT(SUMIFS(Table2[AwayWon], Table2[GameIsOver],1,Table2[AwayTeam],$A17, Table2[HomeTeam], X$1) + SUMIFS(Table2[HomeWon_], Table2[GameIsOver],1,Table2[HomeTeam],$A17, Table2[AwayTeam], X$1),0), "-", TEXT(SUMIFS(Table2[HomeWon_], Table2[GameIsOver],1,Table2[AwayTeam],$A17, Table2[HomeTeam], X$1, Table2[ActualResult], "REG") + SUMIFS(Table2[AwayWon], Table2[GameIsOver],1,Table2[HomeTeam],$A17, Table2[AwayTeam], X$1, Table2[ActualResult], "REG"),0), "-", TEXT(SUMIFS(Table2[HomeWon_], Table2[GameIsOver],1,Table2[AwayTeam],$A17, Table2[HomeTeam], X$1, Table2[ActualResult], "OT") + SUMIFS(Table2[AwayWon], Table2[GameIsOver],1,Table2[HomeTeam],$A17, Table2[AwayTeam], X$1, Table2[ActualResult], "OT") + SUMIFS(Table2[HomeWon_], Table2[GameIsOver],1,Table2[AwayTeam],$A17, Table2[HomeTeam], X$1, Table2[ActualResult], "SO") + SUMIFS(Table2[AwayWon], Table2[GameIsOver],1,Table2[HomeTeam],$A17, Table2[AwayTeam], X$1, Table2[ActualResult], "SO"),0))</f>
        <v>0-0-0</v>
      </c>
      <c r="Y17" s="59" t="str">
        <f>_xlfn.CONCAT(TEXT(SUMIFS(Table2[AwayWon], Table2[GameIsOver],1,Table2[AwayTeam],$A17, Table2[HomeTeam], Y$1) + SUMIFS(Table2[HomeWon_], Table2[GameIsOver],1,Table2[HomeTeam],$A17, Table2[AwayTeam], Y$1),0), "-", TEXT(SUMIFS(Table2[HomeWon_], Table2[GameIsOver],1,Table2[AwayTeam],$A17, Table2[HomeTeam], Y$1, Table2[ActualResult], "REG") + SUMIFS(Table2[AwayWon], Table2[GameIsOver],1,Table2[HomeTeam],$A17, Table2[AwayTeam], Y$1, Table2[ActualResult], "REG"),0), "-", TEXT(SUMIFS(Table2[HomeWon_], Table2[GameIsOver],1,Table2[AwayTeam],$A17, Table2[HomeTeam], Y$1, Table2[ActualResult], "OT") + SUMIFS(Table2[AwayWon], Table2[GameIsOver],1,Table2[HomeTeam],$A17, Table2[AwayTeam], Y$1, Table2[ActualResult], "OT") + SUMIFS(Table2[HomeWon_], Table2[GameIsOver],1,Table2[AwayTeam],$A17, Table2[HomeTeam], Y$1, Table2[ActualResult], "SO") + SUMIFS(Table2[AwayWon], Table2[GameIsOver],1,Table2[HomeTeam],$A17, Table2[AwayTeam], Y$1, Table2[ActualResult], "SO"),0))</f>
        <v>0-0-0</v>
      </c>
      <c r="Z17" s="58" t="str">
        <f>_xlfn.CONCAT(TEXT(SUMIFS(Table2[AwayWon], Table2[GameIsOver],1,Table2[AwayTeam],$A17, Table2[HomeTeam], Z$1) + SUMIFS(Table2[HomeWon_], Table2[GameIsOver],1,Table2[HomeTeam],$A17, Table2[AwayTeam], Z$1),0), "-", TEXT(SUMIFS(Table2[HomeWon_], Table2[GameIsOver],1,Table2[AwayTeam],$A17, Table2[HomeTeam], Z$1, Table2[ActualResult], "REG") + SUMIFS(Table2[AwayWon], Table2[GameIsOver],1,Table2[HomeTeam],$A17, Table2[AwayTeam], Z$1, Table2[ActualResult], "REG"),0), "-", TEXT(SUMIFS(Table2[HomeWon_], Table2[GameIsOver],1,Table2[AwayTeam],$A17, Table2[HomeTeam], Z$1, Table2[ActualResult], "OT") + SUMIFS(Table2[AwayWon], Table2[GameIsOver],1,Table2[HomeTeam],$A17, Table2[AwayTeam], Z$1, Table2[ActualResult], "OT") + SUMIFS(Table2[HomeWon_], Table2[GameIsOver],1,Table2[AwayTeam],$A17, Table2[HomeTeam], Z$1, Table2[ActualResult], "SO") + SUMIFS(Table2[AwayWon], Table2[GameIsOver],1,Table2[HomeTeam],$A17, Table2[AwayTeam], Z$1, Table2[ActualResult], "SO"),0))</f>
        <v>0-0-0</v>
      </c>
      <c r="AA17" s="58" t="str">
        <f>_xlfn.CONCAT(TEXT(SUMIFS(Table2[AwayWon], Table2[GameIsOver],1,Table2[AwayTeam],$A17, Table2[HomeTeam], AA$1) + SUMIFS(Table2[HomeWon_], Table2[GameIsOver],1,Table2[HomeTeam],$A17, Table2[AwayTeam], AA$1),0), "-", TEXT(SUMIFS(Table2[HomeWon_], Table2[GameIsOver],1,Table2[AwayTeam],$A17, Table2[HomeTeam], AA$1, Table2[ActualResult], "REG") + SUMIFS(Table2[AwayWon], Table2[GameIsOver],1,Table2[HomeTeam],$A17, Table2[AwayTeam], AA$1, Table2[ActualResult], "REG"),0), "-", TEXT(SUMIFS(Table2[HomeWon_], Table2[GameIsOver],1,Table2[AwayTeam],$A17, Table2[HomeTeam], AA$1, Table2[ActualResult], "OT") + SUMIFS(Table2[AwayWon], Table2[GameIsOver],1,Table2[HomeTeam],$A17, Table2[AwayTeam], AA$1, Table2[ActualResult], "OT") + SUMIFS(Table2[HomeWon_], Table2[GameIsOver],1,Table2[AwayTeam],$A17, Table2[HomeTeam], AA$1, Table2[ActualResult], "SO") + SUMIFS(Table2[AwayWon], Table2[GameIsOver],1,Table2[HomeTeam],$A17, Table2[AwayTeam], AA$1, Table2[ActualResult], "SO"),0))</f>
        <v>0-0-0</v>
      </c>
      <c r="AB17" s="58" t="str">
        <f>_xlfn.CONCAT(TEXT(SUMIFS(Table2[AwayWon], Table2[GameIsOver],1,Table2[AwayTeam],$A17, Table2[HomeTeam], AB$1) + SUMIFS(Table2[HomeWon_], Table2[GameIsOver],1,Table2[HomeTeam],$A17, Table2[AwayTeam], AB$1),0), "-", TEXT(SUMIFS(Table2[HomeWon_], Table2[GameIsOver],1,Table2[AwayTeam],$A17, Table2[HomeTeam], AB$1, Table2[ActualResult], "REG") + SUMIFS(Table2[AwayWon], Table2[GameIsOver],1,Table2[HomeTeam],$A17, Table2[AwayTeam], AB$1, Table2[ActualResult], "REG"),0), "-", TEXT(SUMIFS(Table2[HomeWon_], Table2[GameIsOver],1,Table2[AwayTeam],$A17, Table2[HomeTeam], AB$1, Table2[ActualResult], "OT") + SUMIFS(Table2[AwayWon], Table2[GameIsOver],1,Table2[HomeTeam],$A17, Table2[AwayTeam], AB$1, Table2[ActualResult], "OT") + SUMIFS(Table2[HomeWon_], Table2[GameIsOver],1,Table2[AwayTeam],$A17, Table2[HomeTeam], AB$1, Table2[ActualResult], "SO") + SUMIFS(Table2[AwayWon], Table2[GameIsOver],1,Table2[HomeTeam],$A17, Table2[AwayTeam], AB$1, Table2[ActualResult], "SO"),0))</f>
        <v>0-0-0</v>
      </c>
      <c r="AC17" s="58" t="str">
        <f>_xlfn.CONCAT(TEXT(SUMIFS(Table2[AwayWon], Table2[GameIsOver],1,Table2[AwayTeam],$A17, Table2[HomeTeam], AC$1) + SUMIFS(Table2[HomeWon_], Table2[GameIsOver],1,Table2[HomeTeam],$A17, Table2[AwayTeam], AC$1),0), "-", TEXT(SUMIFS(Table2[HomeWon_], Table2[GameIsOver],1,Table2[AwayTeam],$A17, Table2[HomeTeam], AC$1, Table2[ActualResult], "REG") + SUMIFS(Table2[AwayWon], Table2[GameIsOver],1,Table2[HomeTeam],$A17, Table2[AwayTeam], AC$1, Table2[ActualResult], "REG"),0), "-", TEXT(SUMIFS(Table2[HomeWon_], Table2[GameIsOver],1,Table2[AwayTeam],$A17, Table2[HomeTeam], AC$1, Table2[ActualResult], "OT") + SUMIFS(Table2[AwayWon], Table2[GameIsOver],1,Table2[HomeTeam],$A17, Table2[AwayTeam], AC$1, Table2[ActualResult], "OT") + SUMIFS(Table2[HomeWon_], Table2[GameIsOver],1,Table2[AwayTeam],$A17, Table2[HomeTeam], AC$1, Table2[ActualResult], "SO") + SUMIFS(Table2[AwayWon], Table2[GameIsOver],1,Table2[HomeTeam],$A17, Table2[AwayTeam], AC$1, Table2[ActualResult], "SO"),0))</f>
        <v>0-0-0</v>
      </c>
      <c r="AD17" s="58" t="str">
        <f>_xlfn.CONCAT(TEXT(SUMIFS(Table2[AwayWon], Table2[GameIsOver],1,Table2[AwayTeam],$A17, Table2[HomeTeam], AD$1) + SUMIFS(Table2[HomeWon_], Table2[GameIsOver],1,Table2[HomeTeam],$A17, Table2[AwayTeam], AD$1),0), "-", TEXT(SUMIFS(Table2[HomeWon_], Table2[GameIsOver],1,Table2[AwayTeam],$A17, Table2[HomeTeam], AD$1, Table2[ActualResult], "REG") + SUMIFS(Table2[AwayWon], Table2[GameIsOver],1,Table2[HomeTeam],$A17, Table2[AwayTeam], AD$1, Table2[ActualResult], "REG"),0), "-", TEXT(SUMIFS(Table2[HomeWon_], Table2[GameIsOver],1,Table2[AwayTeam],$A17, Table2[HomeTeam], AD$1, Table2[ActualResult], "OT") + SUMIFS(Table2[AwayWon], Table2[GameIsOver],1,Table2[HomeTeam],$A17, Table2[AwayTeam], AD$1, Table2[ActualResult], "OT") + SUMIFS(Table2[HomeWon_], Table2[GameIsOver],1,Table2[AwayTeam],$A17, Table2[HomeTeam], AD$1, Table2[ActualResult], "SO") + SUMIFS(Table2[AwayWon], Table2[GameIsOver],1,Table2[HomeTeam],$A17, Table2[AwayTeam], AD$1, Table2[ActualResult], "SO"),0))</f>
        <v>0-0-0</v>
      </c>
      <c r="AE17" s="58" t="str">
        <f>_xlfn.CONCAT(TEXT(SUMIFS(Table2[AwayWon], Table2[GameIsOver],1,Table2[AwayTeam],$A17, Table2[HomeTeam], AE$1) + SUMIFS(Table2[HomeWon_], Table2[GameIsOver],1,Table2[HomeTeam],$A17, Table2[AwayTeam], AE$1),0), "-", TEXT(SUMIFS(Table2[HomeWon_], Table2[GameIsOver],1,Table2[AwayTeam],$A17, Table2[HomeTeam], AE$1, Table2[ActualResult], "REG") + SUMIFS(Table2[AwayWon], Table2[GameIsOver],1,Table2[HomeTeam],$A17, Table2[AwayTeam], AE$1, Table2[ActualResult], "REG"),0), "-", TEXT(SUMIFS(Table2[HomeWon_], Table2[GameIsOver],1,Table2[AwayTeam],$A17, Table2[HomeTeam], AE$1, Table2[ActualResult], "OT") + SUMIFS(Table2[AwayWon], Table2[GameIsOver],1,Table2[HomeTeam],$A17, Table2[AwayTeam], AE$1, Table2[ActualResult], "OT") + SUMIFS(Table2[HomeWon_], Table2[GameIsOver],1,Table2[AwayTeam],$A17, Table2[HomeTeam], AE$1, Table2[ActualResult], "SO") + SUMIFS(Table2[AwayWon], Table2[GameIsOver],1,Table2[HomeTeam],$A17, Table2[AwayTeam], AE$1, Table2[ActualResult], "SO"),0))</f>
        <v>0-0-0</v>
      </c>
      <c r="AF17" s="58" t="str">
        <f>_xlfn.CONCAT(TEXT(SUMIFS(Table2[AwayWon], Table2[GameIsOver],1,Table2[AwayTeam],$A17, Table2[HomeTeam], AF$1) + SUMIFS(Table2[HomeWon_], Table2[GameIsOver],1,Table2[HomeTeam],$A17, Table2[AwayTeam], AF$1),0), "-", TEXT(SUMIFS(Table2[HomeWon_], Table2[GameIsOver],1,Table2[AwayTeam],$A17, Table2[HomeTeam], AF$1, Table2[ActualResult], "REG") + SUMIFS(Table2[AwayWon], Table2[GameIsOver],1,Table2[HomeTeam],$A17, Table2[AwayTeam], AF$1, Table2[ActualResult], "REG"),0), "-", TEXT(SUMIFS(Table2[HomeWon_], Table2[GameIsOver],1,Table2[AwayTeam],$A17, Table2[HomeTeam], AF$1, Table2[ActualResult], "OT") + SUMIFS(Table2[AwayWon], Table2[GameIsOver],1,Table2[HomeTeam],$A17, Table2[AwayTeam], AF$1, Table2[ActualResult], "OT") + SUMIFS(Table2[HomeWon_], Table2[GameIsOver],1,Table2[AwayTeam],$A17, Table2[HomeTeam], AF$1, Table2[ActualResult], "SO") + SUMIFS(Table2[AwayWon], Table2[GameIsOver],1,Table2[HomeTeam],$A17, Table2[AwayTeam], AF$1, Table2[ActualResult], "SO"),0))</f>
        <v>0-0-0</v>
      </c>
      <c r="AG17" s="58" t="str">
        <f>_xlfn.CONCAT(TEXT(SUMIFS(Table2[AwayWon], Table2[GameIsOver],1,Table2[AwayTeam],$A17, Table2[HomeTeam], AG$1) + SUMIFS(Table2[HomeWon_], Table2[GameIsOver],1,Table2[HomeTeam],$A17, Table2[AwayTeam], AG$1),0), "-", TEXT(SUMIFS(Table2[HomeWon_], Table2[GameIsOver],1,Table2[AwayTeam],$A17, Table2[HomeTeam], AG$1, Table2[ActualResult], "REG") + SUMIFS(Table2[AwayWon], Table2[GameIsOver],1,Table2[HomeTeam],$A17, Table2[AwayTeam], AG$1, Table2[ActualResult], "REG"),0), "-", TEXT(SUMIFS(Table2[HomeWon_], Table2[GameIsOver],1,Table2[AwayTeam],$A17, Table2[HomeTeam], AG$1, Table2[ActualResult], "OT") + SUMIFS(Table2[AwayWon], Table2[GameIsOver],1,Table2[HomeTeam],$A17, Table2[AwayTeam], AG$1, Table2[ActualResult], "OT") + SUMIFS(Table2[HomeWon_], Table2[GameIsOver],1,Table2[AwayTeam],$A17, Table2[HomeTeam], AG$1, Table2[ActualResult], "SO") + SUMIFS(Table2[AwayWon], Table2[GameIsOver],1,Table2[HomeTeam],$A17, Table2[AwayTeam], AG$1, Table2[ActualResult], "SO"),0))</f>
        <v>0-0-0</v>
      </c>
    </row>
    <row r="18" spans="1:33" ht="15.75" thickTop="1" x14ac:dyDescent="0.25">
      <c r="A18" s="57" t="s">
        <v>41</v>
      </c>
      <c r="B18" t="str">
        <f>_xlfn.CONCAT(TEXT(SUMIFS(Table2[AwayWon], Table2[GameIsOver],1,Table2[AwayTeam],$A18, Table2[HomeTeam], B$1) + SUMIFS(Table2[HomeWon_], Table2[GameIsOver],1,Table2[HomeTeam],$A18, Table2[AwayTeam], B$1),0), "-", TEXT(SUMIFS(Table2[HomeWon_], Table2[GameIsOver],1,Table2[AwayTeam],$A18, Table2[HomeTeam], B$1, Table2[ActualResult], "REG") + SUMIFS(Table2[AwayWon], Table2[GameIsOver],1,Table2[HomeTeam],$A18, Table2[AwayTeam], B$1, Table2[ActualResult], "REG"),0), "-", TEXT(SUMIFS(Table2[HomeWon_], Table2[GameIsOver],1,Table2[AwayTeam],$A18, Table2[HomeTeam], B$1, Table2[ActualResult], "OT") + SUMIFS(Table2[AwayWon], Table2[GameIsOver],1,Table2[HomeTeam],$A18, Table2[AwayTeam], B$1, Table2[ActualResult], "OT") + SUMIFS(Table2[HomeWon_], Table2[GameIsOver],1,Table2[AwayTeam],$A18, Table2[HomeTeam], B$1, Table2[ActualResult], "SO") + SUMIFS(Table2[AwayWon], Table2[GameIsOver],1,Table2[HomeTeam],$A18, Table2[AwayTeam], B$1, Table2[ActualResult], "SO"),0))</f>
        <v>1-0-0</v>
      </c>
      <c r="C18" t="str">
        <f>_xlfn.CONCAT(TEXT(SUMIFS(Table2[AwayWon], Table2[GameIsOver],1,Table2[AwayTeam],$A18, Table2[HomeTeam], C$1) + SUMIFS(Table2[HomeWon_], Table2[GameIsOver],1,Table2[HomeTeam],$A18, Table2[AwayTeam], C$1),0), "-", TEXT(SUMIFS(Table2[HomeWon_], Table2[GameIsOver],1,Table2[AwayTeam],$A18, Table2[HomeTeam], C$1, Table2[ActualResult], "REG") + SUMIFS(Table2[AwayWon], Table2[GameIsOver],1,Table2[HomeTeam],$A18, Table2[AwayTeam], C$1, Table2[ActualResult], "REG"),0), "-", TEXT(SUMIFS(Table2[HomeWon_], Table2[GameIsOver],1,Table2[AwayTeam],$A18, Table2[HomeTeam], C$1, Table2[ActualResult], "OT") + SUMIFS(Table2[AwayWon], Table2[GameIsOver],1,Table2[HomeTeam],$A18, Table2[AwayTeam], C$1, Table2[ActualResult], "OT") + SUMIFS(Table2[HomeWon_], Table2[GameIsOver],1,Table2[AwayTeam],$A18, Table2[HomeTeam], C$1, Table2[ActualResult], "SO") + SUMIFS(Table2[AwayWon], Table2[GameIsOver],1,Table2[HomeTeam],$A18, Table2[AwayTeam], C$1, Table2[ActualResult], "SO"),0))</f>
        <v>0-0-0</v>
      </c>
      <c r="D18" t="str">
        <f>_xlfn.CONCAT(TEXT(SUMIFS(Table2[AwayWon], Table2[GameIsOver],1,Table2[AwayTeam],$A18, Table2[HomeTeam], D$1) + SUMIFS(Table2[HomeWon_], Table2[GameIsOver],1,Table2[HomeTeam],$A18, Table2[AwayTeam], D$1),0), "-", TEXT(SUMIFS(Table2[HomeWon_], Table2[GameIsOver],1,Table2[AwayTeam],$A18, Table2[HomeTeam], D$1, Table2[ActualResult], "REG") + SUMIFS(Table2[AwayWon], Table2[GameIsOver],1,Table2[HomeTeam],$A18, Table2[AwayTeam], D$1, Table2[ActualResult], "REG"),0), "-", TEXT(SUMIFS(Table2[HomeWon_], Table2[GameIsOver],1,Table2[AwayTeam],$A18, Table2[HomeTeam], D$1, Table2[ActualResult], "OT") + SUMIFS(Table2[AwayWon], Table2[GameIsOver],1,Table2[HomeTeam],$A18, Table2[AwayTeam], D$1, Table2[ActualResult], "OT") + SUMIFS(Table2[HomeWon_], Table2[GameIsOver],1,Table2[AwayTeam],$A18, Table2[HomeTeam], D$1, Table2[ActualResult], "SO") + SUMIFS(Table2[AwayWon], Table2[GameIsOver],1,Table2[HomeTeam],$A18, Table2[AwayTeam], D$1, Table2[ActualResult], "SO"),0))</f>
        <v>0-0-0</v>
      </c>
      <c r="E18" t="str">
        <f>_xlfn.CONCAT(TEXT(SUMIFS(Table2[AwayWon], Table2[GameIsOver],1,Table2[AwayTeam],$A18, Table2[HomeTeam], E$1) + SUMIFS(Table2[HomeWon_], Table2[GameIsOver],1,Table2[HomeTeam],$A18, Table2[AwayTeam], E$1),0), "-", TEXT(SUMIFS(Table2[HomeWon_], Table2[GameIsOver],1,Table2[AwayTeam],$A18, Table2[HomeTeam], E$1, Table2[ActualResult], "REG") + SUMIFS(Table2[AwayWon], Table2[GameIsOver],1,Table2[HomeTeam],$A18, Table2[AwayTeam], E$1, Table2[ActualResult], "REG"),0), "-", TEXT(SUMIFS(Table2[HomeWon_], Table2[GameIsOver],1,Table2[AwayTeam],$A18, Table2[HomeTeam], E$1, Table2[ActualResult], "OT") + SUMIFS(Table2[AwayWon], Table2[GameIsOver],1,Table2[HomeTeam],$A18, Table2[AwayTeam], E$1, Table2[ActualResult], "OT") + SUMIFS(Table2[HomeWon_], Table2[GameIsOver],1,Table2[AwayTeam],$A18, Table2[HomeTeam], E$1, Table2[ActualResult], "SO") + SUMIFS(Table2[AwayWon], Table2[GameIsOver],1,Table2[HomeTeam],$A18, Table2[AwayTeam], E$1, Table2[ActualResult], "SO"),0))</f>
        <v>1-0-0</v>
      </c>
      <c r="F18" t="str">
        <f>_xlfn.CONCAT(TEXT(SUMIFS(Table2[AwayWon], Table2[GameIsOver],1,Table2[AwayTeam],$A18, Table2[HomeTeam], F$1) + SUMIFS(Table2[HomeWon_], Table2[GameIsOver],1,Table2[HomeTeam],$A18, Table2[AwayTeam], F$1),0), "-", TEXT(SUMIFS(Table2[HomeWon_], Table2[GameIsOver],1,Table2[AwayTeam],$A18, Table2[HomeTeam], F$1, Table2[ActualResult], "REG") + SUMIFS(Table2[AwayWon], Table2[GameIsOver],1,Table2[HomeTeam],$A18, Table2[AwayTeam], F$1, Table2[ActualResult], "REG"),0), "-", TEXT(SUMIFS(Table2[HomeWon_], Table2[GameIsOver],1,Table2[AwayTeam],$A18, Table2[HomeTeam], F$1, Table2[ActualResult], "OT") + SUMIFS(Table2[AwayWon], Table2[GameIsOver],1,Table2[HomeTeam],$A18, Table2[AwayTeam], F$1, Table2[ActualResult], "OT") + SUMIFS(Table2[HomeWon_], Table2[GameIsOver],1,Table2[AwayTeam],$A18, Table2[HomeTeam], F$1, Table2[ActualResult], "SO") + SUMIFS(Table2[AwayWon], Table2[GameIsOver],1,Table2[HomeTeam],$A18, Table2[AwayTeam], F$1, Table2[ActualResult], "SO"),0))</f>
        <v>0-0-0</v>
      </c>
      <c r="G18" t="str">
        <f>_xlfn.CONCAT(TEXT(SUMIFS(Table2[AwayWon], Table2[GameIsOver],1,Table2[AwayTeam],$A18, Table2[HomeTeam], G$1) + SUMIFS(Table2[HomeWon_], Table2[GameIsOver],1,Table2[HomeTeam],$A18, Table2[AwayTeam], G$1),0), "-", TEXT(SUMIFS(Table2[HomeWon_], Table2[GameIsOver],1,Table2[AwayTeam],$A18, Table2[HomeTeam], G$1, Table2[ActualResult], "REG") + SUMIFS(Table2[AwayWon], Table2[GameIsOver],1,Table2[HomeTeam],$A18, Table2[AwayTeam], G$1, Table2[ActualResult], "REG"),0), "-", TEXT(SUMIFS(Table2[HomeWon_], Table2[GameIsOver],1,Table2[AwayTeam],$A18, Table2[HomeTeam], G$1, Table2[ActualResult], "OT") + SUMIFS(Table2[AwayWon], Table2[GameIsOver],1,Table2[HomeTeam],$A18, Table2[AwayTeam], G$1, Table2[ActualResult], "OT") + SUMIFS(Table2[HomeWon_], Table2[GameIsOver],1,Table2[AwayTeam],$A18, Table2[HomeTeam], G$1, Table2[ActualResult], "SO") + SUMIFS(Table2[AwayWon], Table2[GameIsOver],1,Table2[HomeTeam],$A18, Table2[AwayTeam], G$1, Table2[ActualResult], "SO"),0))</f>
        <v>1-0-0</v>
      </c>
      <c r="H18" t="str">
        <f>_xlfn.CONCAT(TEXT(SUMIFS(Table2[AwayWon], Table2[GameIsOver],1,Table2[AwayTeam],$A18, Table2[HomeTeam], H$1) + SUMIFS(Table2[HomeWon_], Table2[GameIsOver],1,Table2[HomeTeam],$A18, Table2[AwayTeam], H$1),0), "-", TEXT(SUMIFS(Table2[HomeWon_], Table2[GameIsOver],1,Table2[AwayTeam],$A18, Table2[HomeTeam], H$1, Table2[ActualResult], "REG") + SUMIFS(Table2[AwayWon], Table2[GameIsOver],1,Table2[HomeTeam],$A18, Table2[AwayTeam], H$1, Table2[ActualResult], "REG"),0), "-", TEXT(SUMIFS(Table2[HomeWon_], Table2[GameIsOver],1,Table2[AwayTeam],$A18, Table2[HomeTeam], H$1, Table2[ActualResult], "OT") + SUMIFS(Table2[AwayWon], Table2[GameIsOver],1,Table2[HomeTeam],$A18, Table2[AwayTeam], H$1, Table2[ActualResult], "OT") + SUMIFS(Table2[HomeWon_], Table2[GameIsOver],1,Table2[AwayTeam],$A18, Table2[HomeTeam], H$1, Table2[ActualResult], "SO") + SUMIFS(Table2[AwayWon], Table2[GameIsOver],1,Table2[HomeTeam],$A18, Table2[AwayTeam], H$1, Table2[ActualResult], "SO"),0))</f>
        <v>0-0-0</v>
      </c>
      <c r="I18" s="57" t="str">
        <f>_xlfn.CONCAT(TEXT(SUMIFS(Table2[AwayWon], Table2[GameIsOver],1,Table2[AwayTeam],$A18, Table2[HomeTeam], I$1) + SUMIFS(Table2[HomeWon_], Table2[GameIsOver],1,Table2[HomeTeam],$A18, Table2[AwayTeam], I$1),0), "-", TEXT(SUMIFS(Table2[HomeWon_], Table2[GameIsOver],1,Table2[AwayTeam],$A18, Table2[HomeTeam], I$1, Table2[ActualResult], "REG") + SUMIFS(Table2[AwayWon], Table2[GameIsOver],1,Table2[HomeTeam],$A18, Table2[AwayTeam], I$1, Table2[ActualResult], "REG"),0), "-", TEXT(SUMIFS(Table2[HomeWon_], Table2[GameIsOver],1,Table2[AwayTeam],$A18, Table2[HomeTeam], I$1, Table2[ActualResult], "OT") + SUMIFS(Table2[AwayWon], Table2[GameIsOver],1,Table2[HomeTeam],$A18, Table2[AwayTeam], I$1, Table2[ActualResult], "OT") + SUMIFS(Table2[HomeWon_], Table2[GameIsOver],1,Table2[AwayTeam],$A18, Table2[HomeTeam], I$1, Table2[ActualResult], "SO") + SUMIFS(Table2[AwayWon], Table2[GameIsOver],1,Table2[HomeTeam],$A18, Table2[AwayTeam], I$1, Table2[ActualResult], "SO"),0))</f>
        <v>0-1-0</v>
      </c>
      <c r="J18" t="str">
        <f>_xlfn.CONCAT(TEXT(SUMIFS(Table2[AwayWon], Table2[GameIsOver],1,Table2[AwayTeam],$A18, Table2[HomeTeam], J$1) + SUMIFS(Table2[HomeWon_], Table2[GameIsOver],1,Table2[HomeTeam],$A18, Table2[AwayTeam], J$1),0), "-", TEXT(SUMIFS(Table2[HomeWon_], Table2[GameIsOver],1,Table2[AwayTeam],$A18, Table2[HomeTeam], J$1, Table2[ActualResult], "REG") + SUMIFS(Table2[AwayWon], Table2[GameIsOver],1,Table2[HomeTeam],$A18, Table2[AwayTeam], J$1, Table2[ActualResult], "REG"),0), "-", TEXT(SUMIFS(Table2[HomeWon_], Table2[GameIsOver],1,Table2[AwayTeam],$A18, Table2[HomeTeam], J$1, Table2[ActualResult], "OT") + SUMIFS(Table2[AwayWon], Table2[GameIsOver],1,Table2[HomeTeam],$A18, Table2[AwayTeam], J$1, Table2[ActualResult], "OT") + SUMIFS(Table2[HomeWon_], Table2[GameIsOver],1,Table2[AwayTeam],$A18, Table2[HomeTeam], J$1, Table2[ActualResult], "SO") + SUMIFS(Table2[AwayWon], Table2[GameIsOver],1,Table2[HomeTeam],$A18, Table2[AwayTeam], J$1, Table2[ActualResult], "SO"),0))</f>
        <v>0-0-0</v>
      </c>
      <c r="K18" t="str">
        <f>_xlfn.CONCAT(TEXT(SUMIFS(Table2[AwayWon], Table2[GameIsOver],1,Table2[AwayTeam],$A18, Table2[HomeTeam], K$1) + SUMIFS(Table2[HomeWon_], Table2[GameIsOver],1,Table2[HomeTeam],$A18, Table2[AwayTeam], K$1),0), "-", TEXT(SUMIFS(Table2[HomeWon_], Table2[GameIsOver],1,Table2[AwayTeam],$A18, Table2[HomeTeam], K$1, Table2[ActualResult], "REG") + SUMIFS(Table2[AwayWon], Table2[GameIsOver],1,Table2[HomeTeam],$A18, Table2[AwayTeam], K$1, Table2[ActualResult], "REG"),0), "-", TEXT(SUMIFS(Table2[HomeWon_], Table2[GameIsOver],1,Table2[AwayTeam],$A18, Table2[HomeTeam], K$1, Table2[ActualResult], "OT") + SUMIFS(Table2[AwayWon], Table2[GameIsOver],1,Table2[HomeTeam],$A18, Table2[AwayTeam], K$1, Table2[ActualResult], "OT") + SUMIFS(Table2[HomeWon_], Table2[GameIsOver],1,Table2[AwayTeam],$A18, Table2[HomeTeam], K$1, Table2[ActualResult], "SO") + SUMIFS(Table2[AwayWon], Table2[GameIsOver],1,Table2[HomeTeam],$A18, Table2[AwayTeam], K$1, Table2[ActualResult], "SO"),0))</f>
        <v>0-0-0</v>
      </c>
      <c r="L18" t="str">
        <f>_xlfn.CONCAT(TEXT(SUMIFS(Table2[AwayWon], Table2[GameIsOver],1,Table2[AwayTeam],$A18, Table2[HomeTeam], L$1) + SUMIFS(Table2[HomeWon_], Table2[GameIsOver],1,Table2[HomeTeam],$A18, Table2[AwayTeam], L$1),0), "-", TEXT(SUMIFS(Table2[HomeWon_], Table2[GameIsOver],1,Table2[AwayTeam],$A18, Table2[HomeTeam], L$1, Table2[ActualResult], "REG") + SUMIFS(Table2[AwayWon], Table2[GameIsOver],1,Table2[HomeTeam],$A18, Table2[AwayTeam], L$1, Table2[ActualResult], "REG"),0), "-", TEXT(SUMIFS(Table2[HomeWon_], Table2[GameIsOver],1,Table2[AwayTeam],$A18, Table2[HomeTeam], L$1, Table2[ActualResult], "OT") + SUMIFS(Table2[AwayWon], Table2[GameIsOver],1,Table2[HomeTeam],$A18, Table2[AwayTeam], L$1, Table2[ActualResult], "OT") + SUMIFS(Table2[HomeWon_], Table2[GameIsOver],1,Table2[AwayTeam],$A18, Table2[HomeTeam], L$1, Table2[ActualResult], "SO") + SUMIFS(Table2[AwayWon], Table2[GameIsOver],1,Table2[HomeTeam],$A18, Table2[AwayTeam], L$1, Table2[ActualResult], "SO"),0))</f>
        <v>0-0-0</v>
      </c>
      <c r="M18" t="str">
        <f>_xlfn.CONCAT(TEXT(SUMIFS(Table2[AwayWon], Table2[GameIsOver],1,Table2[AwayTeam],$A18, Table2[HomeTeam], M$1) + SUMIFS(Table2[HomeWon_], Table2[GameIsOver],1,Table2[HomeTeam],$A18, Table2[AwayTeam], M$1),0), "-", TEXT(SUMIFS(Table2[HomeWon_], Table2[GameIsOver],1,Table2[AwayTeam],$A18, Table2[HomeTeam], M$1, Table2[ActualResult], "REG") + SUMIFS(Table2[AwayWon], Table2[GameIsOver],1,Table2[HomeTeam],$A18, Table2[AwayTeam], M$1, Table2[ActualResult], "REG"),0), "-", TEXT(SUMIFS(Table2[HomeWon_], Table2[GameIsOver],1,Table2[AwayTeam],$A18, Table2[HomeTeam], M$1, Table2[ActualResult], "OT") + SUMIFS(Table2[AwayWon], Table2[GameIsOver],1,Table2[HomeTeam],$A18, Table2[AwayTeam], M$1, Table2[ActualResult], "OT") + SUMIFS(Table2[HomeWon_], Table2[GameIsOver],1,Table2[AwayTeam],$A18, Table2[HomeTeam], M$1, Table2[ActualResult], "SO") + SUMIFS(Table2[AwayWon], Table2[GameIsOver],1,Table2[HomeTeam],$A18, Table2[AwayTeam], M$1, Table2[ActualResult], "SO"),0))</f>
        <v>0-0-0</v>
      </c>
      <c r="N18" t="str">
        <f>_xlfn.CONCAT(TEXT(SUMIFS(Table2[AwayWon], Table2[GameIsOver],1,Table2[AwayTeam],$A18, Table2[HomeTeam], N$1) + SUMIFS(Table2[HomeWon_], Table2[GameIsOver],1,Table2[HomeTeam],$A18, Table2[AwayTeam], N$1),0), "-", TEXT(SUMIFS(Table2[HomeWon_], Table2[GameIsOver],1,Table2[AwayTeam],$A18, Table2[HomeTeam], N$1, Table2[ActualResult], "REG") + SUMIFS(Table2[AwayWon], Table2[GameIsOver],1,Table2[HomeTeam],$A18, Table2[AwayTeam], N$1, Table2[ActualResult], "REG"),0), "-", TEXT(SUMIFS(Table2[HomeWon_], Table2[GameIsOver],1,Table2[AwayTeam],$A18, Table2[HomeTeam], N$1, Table2[ActualResult], "OT") + SUMIFS(Table2[AwayWon], Table2[GameIsOver],1,Table2[HomeTeam],$A18, Table2[AwayTeam], N$1, Table2[ActualResult], "OT") + SUMIFS(Table2[HomeWon_], Table2[GameIsOver],1,Table2[AwayTeam],$A18, Table2[HomeTeam], N$1, Table2[ActualResult], "SO") + SUMIFS(Table2[AwayWon], Table2[GameIsOver],1,Table2[HomeTeam],$A18, Table2[AwayTeam], N$1, Table2[ActualResult], "SO"),0))</f>
        <v>0-0-0</v>
      </c>
      <c r="O18" t="str">
        <f>_xlfn.CONCAT(TEXT(SUMIFS(Table2[AwayWon], Table2[GameIsOver],1,Table2[AwayTeam],$A18, Table2[HomeTeam], O$1) + SUMIFS(Table2[HomeWon_], Table2[GameIsOver],1,Table2[HomeTeam],$A18, Table2[AwayTeam], O$1),0), "-", TEXT(SUMIFS(Table2[HomeWon_], Table2[GameIsOver],1,Table2[AwayTeam],$A18, Table2[HomeTeam], O$1, Table2[ActualResult], "REG") + SUMIFS(Table2[AwayWon], Table2[GameIsOver],1,Table2[HomeTeam],$A18, Table2[AwayTeam], O$1, Table2[ActualResult], "REG"),0), "-", TEXT(SUMIFS(Table2[HomeWon_], Table2[GameIsOver],1,Table2[AwayTeam],$A18, Table2[HomeTeam], O$1, Table2[ActualResult], "OT") + SUMIFS(Table2[AwayWon], Table2[GameIsOver],1,Table2[HomeTeam],$A18, Table2[AwayTeam], O$1, Table2[ActualResult], "OT") + SUMIFS(Table2[HomeWon_], Table2[GameIsOver],1,Table2[AwayTeam],$A18, Table2[HomeTeam], O$1, Table2[ActualResult], "SO") + SUMIFS(Table2[AwayWon], Table2[GameIsOver],1,Table2[HomeTeam],$A18, Table2[AwayTeam], O$1, Table2[ActualResult], "SO"),0))</f>
        <v>0-0-0</v>
      </c>
      <c r="P18" t="str">
        <f>_xlfn.CONCAT(TEXT(SUMIFS(Table2[AwayWon], Table2[GameIsOver],1,Table2[AwayTeam],$A18, Table2[HomeTeam], P$1) + SUMIFS(Table2[HomeWon_], Table2[GameIsOver],1,Table2[HomeTeam],$A18, Table2[AwayTeam], P$1),0), "-", TEXT(SUMIFS(Table2[HomeWon_], Table2[GameIsOver],1,Table2[AwayTeam],$A18, Table2[HomeTeam], P$1, Table2[ActualResult], "REG") + SUMIFS(Table2[AwayWon], Table2[GameIsOver],1,Table2[HomeTeam],$A18, Table2[AwayTeam], P$1, Table2[ActualResult], "REG"),0), "-", TEXT(SUMIFS(Table2[HomeWon_], Table2[GameIsOver],1,Table2[AwayTeam],$A18, Table2[HomeTeam], P$1, Table2[ActualResult], "OT") + SUMIFS(Table2[AwayWon], Table2[GameIsOver],1,Table2[HomeTeam],$A18, Table2[AwayTeam], P$1, Table2[ActualResult], "OT") + SUMIFS(Table2[HomeWon_], Table2[GameIsOver],1,Table2[AwayTeam],$A18, Table2[HomeTeam], P$1, Table2[ActualResult], "SO") + SUMIFS(Table2[AwayWon], Table2[GameIsOver],1,Table2[HomeTeam],$A18, Table2[AwayTeam], P$1, Table2[ActualResult], "SO"),0))</f>
        <v>0-0-0</v>
      </c>
      <c r="Q18" s="57" t="str">
        <f>_xlfn.CONCAT(TEXT(SUMIFS(Table2[AwayWon], Table2[GameIsOver],1,Table2[AwayTeam],$A18, Table2[HomeTeam], Q$1) + SUMIFS(Table2[HomeWon_], Table2[GameIsOver],1,Table2[HomeTeam],$A18, Table2[AwayTeam], Q$1),0), "-", TEXT(SUMIFS(Table2[HomeWon_], Table2[GameIsOver],1,Table2[AwayTeam],$A18, Table2[HomeTeam], Q$1, Table2[ActualResult], "REG") + SUMIFS(Table2[AwayWon], Table2[GameIsOver],1,Table2[HomeTeam],$A18, Table2[AwayTeam], Q$1, Table2[ActualResult], "REG"),0), "-", TEXT(SUMIFS(Table2[HomeWon_], Table2[GameIsOver],1,Table2[AwayTeam],$A18, Table2[HomeTeam], Q$1, Table2[ActualResult], "OT") + SUMIFS(Table2[AwayWon], Table2[GameIsOver],1,Table2[HomeTeam],$A18, Table2[AwayTeam], Q$1, Table2[ActualResult], "OT") + SUMIFS(Table2[HomeWon_], Table2[GameIsOver],1,Table2[AwayTeam],$A18, Table2[HomeTeam], Q$1, Table2[ActualResult], "SO") + SUMIFS(Table2[AwayWon], Table2[GameIsOver],1,Table2[HomeTeam],$A18, Table2[AwayTeam], Q$1, Table2[ActualResult], "SO"),0))</f>
        <v>0-0-0</v>
      </c>
      <c r="R18" s="89"/>
      <c r="S18" t="str">
        <f>_xlfn.CONCAT(TEXT(SUMIFS(Table2[AwayWon], Table2[GameIsOver],1,Table2[AwayTeam],$A18, Table2[HomeTeam], S$1) + SUMIFS(Table2[HomeWon_], Table2[GameIsOver],1,Table2[HomeTeam],$A18, Table2[AwayTeam], S$1),0), "-", TEXT(SUMIFS(Table2[HomeWon_], Table2[GameIsOver],1,Table2[AwayTeam],$A18, Table2[HomeTeam], S$1, Table2[ActualResult], "REG") + SUMIFS(Table2[AwayWon], Table2[GameIsOver],1,Table2[HomeTeam],$A18, Table2[AwayTeam], S$1, Table2[ActualResult], "REG"),0), "-", TEXT(SUMIFS(Table2[HomeWon_], Table2[GameIsOver],1,Table2[AwayTeam],$A18, Table2[HomeTeam], S$1, Table2[ActualResult], "OT") + SUMIFS(Table2[AwayWon], Table2[GameIsOver],1,Table2[HomeTeam],$A18, Table2[AwayTeam], S$1, Table2[ActualResult], "OT") + SUMIFS(Table2[HomeWon_], Table2[GameIsOver],1,Table2[AwayTeam],$A18, Table2[HomeTeam], S$1, Table2[ActualResult], "SO") + SUMIFS(Table2[AwayWon], Table2[GameIsOver],1,Table2[HomeTeam],$A18, Table2[AwayTeam], S$1, Table2[ActualResult], "SO"),0))</f>
        <v>0-0-0</v>
      </c>
      <c r="T18" t="str">
        <f>_xlfn.CONCAT(TEXT(SUMIFS(Table2[AwayWon], Table2[GameIsOver],1,Table2[AwayTeam],$A18, Table2[HomeTeam], T$1) + SUMIFS(Table2[HomeWon_], Table2[GameIsOver],1,Table2[HomeTeam],$A18, Table2[AwayTeam], T$1),0), "-", TEXT(SUMIFS(Table2[HomeWon_], Table2[GameIsOver],1,Table2[AwayTeam],$A18, Table2[HomeTeam], T$1, Table2[ActualResult], "REG") + SUMIFS(Table2[AwayWon], Table2[GameIsOver],1,Table2[HomeTeam],$A18, Table2[AwayTeam], T$1, Table2[ActualResult], "REG"),0), "-", TEXT(SUMIFS(Table2[HomeWon_], Table2[GameIsOver],1,Table2[AwayTeam],$A18, Table2[HomeTeam], T$1, Table2[ActualResult], "OT") + SUMIFS(Table2[AwayWon], Table2[GameIsOver],1,Table2[HomeTeam],$A18, Table2[AwayTeam], T$1, Table2[ActualResult], "OT") + SUMIFS(Table2[HomeWon_], Table2[GameIsOver],1,Table2[AwayTeam],$A18, Table2[HomeTeam], T$1, Table2[ActualResult], "SO") + SUMIFS(Table2[AwayWon], Table2[GameIsOver],1,Table2[HomeTeam],$A18, Table2[AwayTeam], T$1, Table2[ActualResult], "SO"),0))</f>
        <v>1-0-0</v>
      </c>
      <c r="U18" t="str">
        <f>_xlfn.CONCAT(TEXT(SUMIFS(Table2[AwayWon], Table2[GameIsOver],1,Table2[AwayTeam],$A18, Table2[HomeTeam], U$1) + SUMIFS(Table2[HomeWon_], Table2[GameIsOver],1,Table2[HomeTeam],$A18, Table2[AwayTeam], U$1),0), "-", TEXT(SUMIFS(Table2[HomeWon_], Table2[GameIsOver],1,Table2[AwayTeam],$A18, Table2[HomeTeam], U$1, Table2[ActualResult], "REG") + SUMIFS(Table2[AwayWon], Table2[GameIsOver],1,Table2[HomeTeam],$A18, Table2[AwayTeam], U$1, Table2[ActualResult], "REG"),0), "-", TEXT(SUMIFS(Table2[HomeWon_], Table2[GameIsOver],1,Table2[AwayTeam],$A18, Table2[HomeTeam], U$1, Table2[ActualResult], "OT") + SUMIFS(Table2[AwayWon], Table2[GameIsOver],1,Table2[HomeTeam],$A18, Table2[AwayTeam], U$1, Table2[ActualResult], "OT") + SUMIFS(Table2[HomeWon_], Table2[GameIsOver],1,Table2[AwayTeam],$A18, Table2[HomeTeam], U$1, Table2[ActualResult], "SO") + SUMIFS(Table2[AwayWon], Table2[GameIsOver],1,Table2[HomeTeam],$A18, Table2[AwayTeam], U$1, Table2[ActualResult], "SO"),0))</f>
        <v>0-0-0</v>
      </c>
      <c r="V18" t="str">
        <f>_xlfn.CONCAT(TEXT(SUMIFS(Table2[AwayWon], Table2[GameIsOver],1,Table2[AwayTeam],$A18, Table2[HomeTeam], V$1) + SUMIFS(Table2[HomeWon_], Table2[GameIsOver],1,Table2[HomeTeam],$A18, Table2[AwayTeam], V$1),0), "-", TEXT(SUMIFS(Table2[HomeWon_], Table2[GameIsOver],1,Table2[AwayTeam],$A18, Table2[HomeTeam], V$1, Table2[ActualResult], "REG") + SUMIFS(Table2[AwayWon], Table2[GameIsOver],1,Table2[HomeTeam],$A18, Table2[AwayTeam], V$1, Table2[ActualResult], "REG"),0), "-", TEXT(SUMIFS(Table2[HomeWon_], Table2[GameIsOver],1,Table2[AwayTeam],$A18, Table2[HomeTeam], V$1, Table2[ActualResult], "OT") + SUMIFS(Table2[AwayWon], Table2[GameIsOver],1,Table2[HomeTeam],$A18, Table2[AwayTeam], V$1, Table2[ActualResult], "OT") + SUMIFS(Table2[HomeWon_], Table2[GameIsOver],1,Table2[AwayTeam],$A18, Table2[HomeTeam], V$1, Table2[ActualResult], "SO") + SUMIFS(Table2[AwayWon], Table2[GameIsOver],1,Table2[HomeTeam],$A18, Table2[AwayTeam], V$1, Table2[ActualResult], "SO"),0))</f>
        <v>0-0-0</v>
      </c>
      <c r="W18" t="str">
        <f>_xlfn.CONCAT(TEXT(SUMIFS(Table2[AwayWon], Table2[GameIsOver],1,Table2[AwayTeam],$A18, Table2[HomeTeam], W$1) + SUMIFS(Table2[HomeWon_], Table2[GameIsOver],1,Table2[HomeTeam],$A18, Table2[AwayTeam], W$1),0), "-", TEXT(SUMIFS(Table2[HomeWon_], Table2[GameIsOver],1,Table2[AwayTeam],$A18, Table2[HomeTeam], W$1, Table2[ActualResult], "REG") + SUMIFS(Table2[AwayWon], Table2[GameIsOver],1,Table2[HomeTeam],$A18, Table2[AwayTeam], W$1, Table2[ActualResult], "REG"),0), "-", TEXT(SUMIFS(Table2[HomeWon_], Table2[GameIsOver],1,Table2[AwayTeam],$A18, Table2[HomeTeam], W$1, Table2[ActualResult], "OT") + SUMIFS(Table2[AwayWon], Table2[GameIsOver],1,Table2[HomeTeam],$A18, Table2[AwayTeam], W$1, Table2[ActualResult], "OT") + SUMIFS(Table2[HomeWon_], Table2[GameIsOver],1,Table2[AwayTeam],$A18, Table2[HomeTeam], W$1, Table2[ActualResult], "SO") + SUMIFS(Table2[AwayWon], Table2[GameIsOver],1,Table2[HomeTeam],$A18, Table2[AwayTeam], W$1, Table2[ActualResult], "SO"),0))</f>
        <v>1-0-0</v>
      </c>
      <c r="X18" t="str">
        <f>_xlfn.CONCAT(TEXT(SUMIFS(Table2[AwayWon], Table2[GameIsOver],1,Table2[AwayTeam],$A18, Table2[HomeTeam], X$1) + SUMIFS(Table2[HomeWon_], Table2[GameIsOver],1,Table2[HomeTeam],$A18, Table2[AwayTeam], X$1),0), "-", TEXT(SUMIFS(Table2[HomeWon_], Table2[GameIsOver],1,Table2[AwayTeam],$A18, Table2[HomeTeam], X$1, Table2[ActualResult], "REG") + SUMIFS(Table2[AwayWon], Table2[GameIsOver],1,Table2[HomeTeam],$A18, Table2[AwayTeam], X$1, Table2[ActualResult], "REG"),0), "-", TEXT(SUMIFS(Table2[HomeWon_], Table2[GameIsOver],1,Table2[AwayTeam],$A18, Table2[HomeTeam], X$1, Table2[ActualResult], "OT") + SUMIFS(Table2[AwayWon], Table2[GameIsOver],1,Table2[HomeTeam],$A18, Table2[AwayTeam], X$1, Table2[ActualResult], "OT") + SUMIFS(Table2[HomeWon_], Table2[GameIsOver],1,Table2[AwayTeam],$A18, Table2[HomeTeam], X$1, Table2[ActualResult], "SO") + SUMIFS(Table2[AwayWon], Table2[GameIsOver],1,Table2[HomeTeam],$A18, Table2[AwayTeam], X$1, Table2[ActualResult], "SO"),0))</f>
        <v>0-0-0</v>
      </c>
      <c r="Y18" s="57" t="str">
        <f>_xlfn.CONCAT(TEXT(SUMIFS(Table2[AwayWon], Table2[GameIsOver],1,Table2[AwayTeam],$A18, Table2[HomeTeam], Y$1) + SUMIFS(Table2[HomeWon_], Table2[GameIsOver],1,Table2[HomeTeam],$A18, Table2[AwayTeam], Y$1),0), "-", TEXT(SUMIFS(Table2[HomeWon_], Table2[GameIsOver],1,Table2[AwayTeam],$A18, Table2[HomeTeam], Y$1, Table2[ActualResult], "REG") + SUMIFS(Table2[AwayWon], Table2[GameIsOver],1,Table2[HomeTeam],$A18, Table2[AwayTeam], Y$1, Table2[ActualResult], "REG"),0), "-", TEXT(SUMIFS(Table2[HomeWon_], Table2[GameIsOver],1,Table2[AwayTeam],$A18, Table2[HomeTeam], Y$1, Table2[ActualResult], "OT") + SUMIFS(Table2[AwayWon], Table2[GameIsOver],1,Table2[HomeTeam],$A18, Table2[AwayTeam], Y$1, Table2[ActualResult], "OT") + SUMIFS(Table2[HomeWon_], Table2[GameIsOver],1,Table2[AwayTeam],$A18, Table2[HomeTeam], Y$1, Table2[ActualResult], "SO") + SUMIFS(Table2[AwayWon], Table2[GameIsOver],1,Table2[HomeTeam],$A18, Table2[AwayTeam], Y$1, Table2[ActualResult], "SO"),0))</f>
        <v>0-0-0</v>
      </c>
      <c r="Z18" t="str">
        <f>_xlfn.CONCAT(TEXT(SUMIFS(Table2[AwayWon], Table2[GameIsOver],1,Table2[AwayTeam],$A18, Table2[HomeTeam], Z$1) + SUMIFS(Table2[HomeWon_], Table2[GameIsOver],1,Table2[HomeTeam],$A18, Table2[AwayTeam], Z$1),0), "-", TEXT(SUMIFS(Table2[HomeWon_], Table2[GameIsOver],1,Table2[AwayTeam],$A18, Table2[HomeTeam], Z$1, Table2[ActualResult], "REG") + SUMIFS(Table2[AwayWon], Table2[GameIsOver],1,Table2[HomeTeam],$A18, Table2[AwayTeam], Z$1, Table2[ActualResult], "REG"),0), "-", TEXT(SUMIFS(Table2[HomeWon_], Table2[GameIsOver],1,Table2[AwayTeam],$A18, Table2[HomeTeam], Z$1, Table2[ActualResult], "OT") + SUMIFS(Table2[AwayWon], Table2[GameIsOver],1,Table2[HomeTeam],$A18, Table2[AwayTeam], Z$1, Table2[ActualResult], "OT") + SUMIFS(Table2[HomeWon_], Table2[GameIsOver],1,Table2[AwayTeam],$A18, Table2[HomeTeam], Z$1, Table2[ActualResult], "SO") + SUMIFS(Table2[AwayWon], Table2[GameIsOver],1,Table2[HomeTeam],$A18, Table2[AwayTeam], Z$1, Table2[ActualResult], "SO"),0))</f>
        <v>0-0-0</v>
      </c>
      <c r="AA18" t="str">
        <f>_xlfn.CONCAT(TEXT(SUMIFS(Table2[AwayWon], Table2[GameIsOver],1,Table2[AwayTeam],$A18, Table2[HomeTeam], AA$1) + SUMIFS(Table2[HomeWon_], Table2[GameIsOver],1,Table2[HomeTeam],$A18, Table2[AwayTeam], AA$1),0), "-", TEXT(SUMIFS(Table2[HomeWon_], Table2[GameIsOver],1,Table2[AwayTeam],$A18, Table2[HomeTeam], AA$1, Table2[ActualResult], "REG") + SUMIFS(Table2[AwayWon], Table2[GameIsOver],1,Table2[HomeTeam],$A18, Table2[AwayTeam], AA$1, Table2[ActualResult], "REG"),0), "-", TEXT(SUMIFS(Table2[HomeWon_], Table2[GameIsOver],1,Table2[AwayTeam],$A18, Table2[HomeTeam], AA$1, Table2[ActualResult], "OT") + SUMIFS(Table2[AwayWon], Table2[GameIsOver],1,Table2[HomeTeam],$A18, Table2[AwayTeam], AA$1, Table2[ActualResult], "OT") + SUMIFS(Table2[HomeWon_], Table2[GameIsOver],1,Table2[AwayTeam],$A18, Table2[HomeTeam], AA$1, Table2[ActualResult], "SO") + SUMIFS(Table2[AwayWon], Table2[GameIsOver],1,Table2[HomeTeam],$A18, Table2[AwayTeam], AA$1, Table2[ActualResult], "SO"),0))</f>
        <v>0-0-0</v>
      </c>
      <c r="AB18" t="str">
        <f>_xlfn.CONCAT(TEXT(SUMIFS(Table2[AwayWon], Table2[GameIsOver],1,Table2[AwayTeam],$A18, Table2[HomeTeam], AB$1) + SUMIFS(Table2[HomeWon_], Table2[GameIsOver],1,Table2[HomeTeam],$A18, Table2[AwayTeam], AB$1),0), "-", TEXT(SUMIFS(Table2[HomeWon_], Table2[GameIsOver],1,Table2[AwayTeam],$A18, Table2[HomeTeam], AB$1, Table2[ActualResult], "REG") + SUMIFS(Table2[AwayWon], Table2[GameIsOver],1,Table2[HomeTeam],$A18, Table2[AwayTeam], AB$1, Table2[ActualResult], "REG"),0), "-", TEXT(SUMIFS(Table2[HomeWon_], Table2[GameIsOver],1,Table2[AwayTeam],$A18, Table2[HomeTeam], AB$1, Table2[ActualResult], "OT") + SUMIFS(Table2[AwayWon], Table2[GameIsOver],1,Table2[HomeTeam],$A18, Table2[AwayTeam], AB$1, Table2[ActualResult], "OT") + SUMIFS(Table2[HomeWon_], Table2[GameIsOver],1,Table2[AwayTeam],$A18, Table2[HomeTeam], AB$1, Table2[ActualResult], "SO") + SUMIFS(Table2[AwayWon], Table2[GameIsOver],1,Table2[HomeTeam],$A18, Table2[AwayTeam], AB$1, Table2[ActualResult], "SO"),0))</f>
        <v>0-0-0</v>
      </c>
      <c r="AC18" t="str">
        <f>_xlfn.CONCAT(TEXT(SUMIFS(Table2[AwayWon], Table2[GameIsOver],1,Table2[AwayTeam],$A18, Table2[HomeTeam], AC$1) + SUMIFS(Table2[HomeWon_], Table2[GameIsOver],1,Table2[HomeTeam],$A18, Table2[AwayTeam], AC$1),0), "-", TEXT(SUMIFS(Table2[HomeWon_], Table2[GameIsOver],1,Table2[AwayTeam],$A18, Table2[HomeTeam], AC$1, Table2[ActualResult], "REG") + SUMIFS(Table2[AwayWon], Table2[GameIsOver],1,Table2[HomeTeam],$A18, Table2[AwayTeam], AC$1, Table2[ActualResult], "REG"),0), "-", TEXT(SUMIFS(Table2[HomeWon_], Table2[GameIsOver],1,Table2[AwayTeam],$A18, Table2[HomeTeam], AC$1, Table2[ActualResult], "OT") + SUMIFS(Table2[AwayWon], Table2[GameIsOver],1,Table2[HomeTeam],$A18, Table2[AwayTeam], AC$1, Table2[ActualResult], "OT") + SUMIFS(Table2[HomeWon_], Table2[GameIsOver],1,Table2[AwayTeam],$A18, Table2[HomeTeam], AC$1, Table2[ActualResult], "SO") + SUMIFS(Table2[AwayWon], Table2[GameIsOver],1,Table2[HomeTeam],$A18, Table2[AwayTeam], AC$1, Table2[ActualResult], "SO"),0))</f>
        <v>0-0-0</v>
      </c>
      <c r="AD18" t="str">
        <f>_xlfn.CONCAT(TEXT(SUMIFS(Table2[AwayWon], Table2[GameIsOver],1,Table2[AwayTeam],$A18, Table2[HomeTeam], AD$1) + SUMIFS(Table2[HomeWon_], Table2[GameIsOver],1,Table2[HomeTeam],$A18, Table2[AwayTeam], AD$1),0), "-", TEXT(SUMIFS(Table2[HomeWon_], Table2[GameIsOver],1,Table2[AwayTeam],$A18, Table2[HomeTeam], AD$1, Table2[ActualResult], "REG") + SUMIFS(Table2[AwayWon], Table2[GameIsOver],1,Table2[HomeTeam],$A18, Table2[AwayTeam], AD$1, Table2[ActualResult], "REG"),0), "-", TEXT(SUMIFS(Table2[HomeWon_], Table2[GameIsOver],1,Table2[AwayTeam],$A18, Table2[HomeTeam], AD$1, Table2[ActualResult], "OT") + SUMIFS(Table2[AwayWon], Table2[GameIsOver],1,Table2[HomeTeam],$A18, Table2[AwayTeam], AD$1, Table2[ActualResult], "OT") + SUMIFS(Table2[HomeWon_], Table2[GameIsOver],1,Table2[AwayTeam],$A18, Table2[HomeTeam], AD$1, Table2[ActualResult], "SO") + SUMIFS(Table2[AwayWon], Table2[GameIsOver],1,Table2[HomeTeam],$A18, Table2[AwayTeam], AD$1, Table2[ActualResult], "SO"),0))</f>
        <v>0-0-0</v>
      </c>
      <c r="AE18" t="str">
        <f>_xlfn.CONCAT(TEXT(SUMIFS(Table2[AwayWon], Table2[GameIsOver],1,Table2[AwayTeam],$A18, Table2[HomeTeam], AE$1) + SUMIFS(Table2[HomeWon_], Table2[GameIsOver],1,Table2[HomeTeam],$A18, Table2[AwayTeam], AE$1),0), "-", TEXT(SUMIFS(Table2[HomeWon_], Table2[GameIsOver],1,Table2[AwayTeam],$A18, Table2[HomeTeam], AE$1, Table2[ActualResult], "REG") + SUMIFS(Table2[AwayWon], Table2[GameIsOver],1,Table2[HomeTeam],$A18, Table2[AwayTeam], AE$1, Table2[ActualResult], "REG"),0), "-", TEXT(SUMIFS(Table2[HomeWon_], Table2[GameIsOver],1,Table2[AwayTeam],$A18, Table2[HomeTeam], AE$1, Table2[ActualResult], "OT") + SUMIFS(Table2[AwayWon], Table2[GameIsOver],1,Table2[HomeTeam],$A18, Table2[AwayTeam], AE$1, Table2[ActualResult], "OT") + SUMIFS(Table2[HomeWon_], Table2[GameIsOver],1,Table2[AwayTeam],$A18, Table2[HomeTeam], AE$1, Table2[ActualResult], "SO") + SUMIFS(Table2[AwayWon], Table2[GameIsOver],1,Table2[HomeTeam],$A18, Table2[AwayTeam], AE$1, Table2[ActualResult], "SO"),0))</f>
        <v>0-0-0</v>
      </c>
      <c r="AF18" t="str">
        <f>_xlfn.CONCAT(TEXT(SUMIFS(Table2[AwayWon], Table2[GameIsOver],1,Table2[AwayTeam],$A18, Table2[HomeTeam], AF$1) + SUMIFS(Table2[HomeWon_], Table2[GameIsOver],1,Table2[HomeTeam],$A18, Table2[AwayTeam], AF$1),0), "-", TEXT(SUMIFS(Table2[HomeWon_], Table2[GameIsOver],1,Table2[AwayTeam],$A18, Table2[HomeTeam], AF$1, Table2[ActualResult], "REG") + SUMIFS(Table2[AwayWon], Table2[GameIsOver],1,Table2[HomeTeam],$A18, Table2[AwayTeam], AF$1, Table2[ActualResult], "REG"),0), "-", TEXT(SUMIFS(Table2[HomeWon_], Table2[GameIsOver],1,Table2[AwayTeam],$A18, Table2[HomeTeam], AF$1, Table2[ActualResult], "OT") + SUMIFS(Table2[AwayWon], Table2[GameIsOver],1,Table2[HomeTeam],$A18, Table2[AwayTeam], AF$1, Table2[ActualResult], "OT") + SUMIFS(Table2[HomeWon_], Table2[GameIsOver],1,Table2[AwayTeam],$A18, Table2[HomeTeam], AF$1, Table2[ActualResult], "SO") + SUMIFS(Table2[AwayWon], Table2[GameIsOver],1,Table2[HomeTeam],$A18, Table2[AwayTeam], AF$1, Table2[ActualResult], "SO"),0))</f>
        <v>0-0-0</v>
      </c>
      <c r="AG18" t="str">
        <f>_xlfn.CONCAT(TEXT(SUMIFS(Table2[AwayWon], Table2[GameIsOver],1,Table2[AwayTeam],$A18, Table2[HomeTeam], AG$1) + SUMIFS(Table2[HomeWon_], Table2[GameIsOver],1,Table2[HomeTeam],$A18, Table2[AwayTeam], AG$1),0), "-", TEXT(SUMIFS(Table2[HomeWon_], Table2[GameIsOver],1,Table2[AwayTeam],$A18, Table2[HomeTeam], AG$1, Table2[ActualResult], "REG") + SUMIFS(Table2[AwayWon], Table2[GameIsOver],1,Table2[HomeTeam],$A18, Table2[AwayTeam], AG$1, Table2[ActualResult], "REG"),0), "-", TEXT(SUMIFS(Table2[HomeWon_], Table2[GameIsOver],1,Table2[AwayTeam],$A18, Table2[HomeTeam], AG$1, Table2[ActualResult], "OT") + SUMIFS(Table2[AwayWon], Table2[GameIsOver],1,Table2[HomeTeam],$A18, Table2[AwayTeam], AG$1, Table2[ActualResult], "OT") + SUMIFS(Table2[HomeWon_], Table2[GameIsOver],1,Table2[AwayTeam],$A18, Table2[HomeTeam], AG$1, Table2[ActualResult], "SO") + SUMIFS(Table2[AwayWon], Table2[GameIsOver],1,Table2[HomeTeam],$A18, Table2[AwayTeam], AG$1, Table2[ActualResult], "SO"),0))</f>
        <v>0-0-0</v>
      </c>
    </row>
    <row r="19" spans="1:33" x14ac:dyDescent="0.25">
      <c r="A19" s="57" t="s">
        <v>35</v>
      </c>
      <c r="B19" t="str">
        <f>_xlfn.CONCAT(TEXT(SUMIFS(Table2[AwayWon], Table2[GameIsOver],1,Table2[AwayTeam],$A19, Table2[HomeTeam], B$1) + SUMIFS(Table2[HomeWon_], Table2[GameIsOver],1,Table2[HomeTeam],$A19, Table2[AwayTeam], B$1),0), "-", TEXT(SUMIFS(Table2[HomeWon_], Table2[GameIsOver],1,Table2[AwayTeam],$A19, Table2[HomeTeam], B$1, Table2[ActualResult], "REG") + SUMIFS(Table2[AwayWon], Table2[GameIsOver],1,Table2[HomeTeam],$A19, Table2[AwayTeam], B$1, Table2[ActualResult], "REG"),0), "-", TEXT(SUMIFS(Table2[HomeWon_], Table2[GameIsOver],1,Table2[AwayTeam],$A19, Table2[HomeTeam], B$1, Table2[ActualResult], "OT") + SUMIFS(Table2[AwayWon], Table2[GameIsOver],1,Table2[HomeTeam],$A19, Table2[AwayTeam], B$1, Table2[ActualResult], "OT") + SUMIFS(Table2[HomeWon_], Table2[GameIsOver],1,Table2[AwayTeam],$A19, Table2[HomeTeam], B$1, Table2[ActualResult], "SO") + SUMIFS(Table2[AwayWon], Table2[GameIsOver],1,Table2[HomeTeam],$A19, Table2[AwayTeam], B$1, Table2[ActualResult], "SO"),0))</f>
        <v>0-0-0</v>
      </c>
      <c r="C19" t="str">
        <f>_xlfn.CONCAT(TEXT(SUMIFS(Table2[AwayWon], Table2[GameIsOver],1,Table2[AwayTeam],$A19, Table2[HomeTeam], C$1) + SUMIFS(Table2[HomeWon_], Table2[GameIsOver],1,Table2[HomeTeam],$A19, Table2[AwayTeam], C$1),0), "-", TEXT(SUMIFS(Table2[HomeWon_], Table2[GameIsOver],1,Table2[AwayTeam],$A19, Table2[HomeTeam], C$1, Table2[ActualResult], "REG") + SUMIFS(Table2[AwayWon], Table2[GameIsOver],1,Table2[HomeTeam],$A19, Table2[AwayTeam], C$1, Table2[ActualResult], "REG"),0), "-", TEXT(SUMIFS(Table2[HomeWon_], Table2[GameIsOver],1,Table2[AwayTeam],$A19, Table2[HomeTeam], C$1, Table2[ActualResult], "OT") + SUMIFS(Table2[AwayWon], Table2[GameIsOver],1,Table2[HomeTeam],$A19, Table2[AwayTeam], C$1, Table2[ActualResult], "OT") + SUMIFS(Table2[HomeWon_], Table2[GameIsOver],1,Table2[AwayTeam],$A19, Table2[HomeTeam], C$1, Table2[ActualResult], "SO") + SUMIFS(Table2[AwayWon], Table2[GameIsOver],1,Table2[HomeTeam],$A19, Table2[AwayTeam], C$1, Table2[ActualResult], "SO"),0))</f>
        <v>0-0-0</v>
      </c>
      <c r="D19" t="str">
        <f>_xlfn.CONCAT(TEXT(SUMIFS(Table2[AwayWon], Table2[GameIsOver],1,Table2[AwayTeam],$A19, Table2[HomeTeam], D$1) + SUMIFS(Table2[HomeWon_], Table2[GameIsOver],1,Table2[HomeTeam],$A19, Table2[AwayTeam], D$1),0), "-", TEXT(SUMIFS(Table2[HomeWon_], Table2[GameIsOver],1,Table2[AwayTeam],$A19, Table2[HomeTeam], D$1, Table2[ActualResult], "REG") + SUMIFS(Table2[AwayWon], Table2[GameIsOver],1,Table2[HomeTeam],$A19, Table2[AwayTeam], D$1, Table2[ActualResult], "REG"),0), "-", TEXT(SUMIFS(Table2[HomeWon_], Table2[GameIsOver],1,Table2[AwayTeam],$A19, Table2[HomeTeam], D$1, Table2[ActualResult], "OT") + SUMIFS(Table2[AwayWon], Table2[GameIsOver],1,Table2[HomeTeam],$A19, Table2[AwayTeam], D$1, Table2[ActualResult], "OT") + SUMIFS(Table2[HomeWon_], Table2[GameIsOver],1,Table2[AwayTeam],$A19, Table2[HomeTeam], D$1, Table2[ActualResult], "SO") + SUMIFS(Table2[AwayWon], Table2[GameIsOver],1,Table2[HomeTeam],$A19, Table2[AwayTeam], D$1, Table2[ActualResult], "SO"),0))</f>
        <v>0-0-0</v>
      </c>
      <c r="E19" t="str">
        <f>_xlfn.CONCAT(TEXT(SUMIFS(Table2[AwayWon], Table2[GameIsOver],1,Table2[AwayTeam],$A19, Table2[HomeTeam], E$1) + SUMIFS(Table2[HomeWon_], Table2[GameIsOver],1,Table2[HomeTeam],$A19, Table2[AwayTeam], E$1),0), "-", TEXT(SUMIFS(Table2[HomeWon_], Table2[GameIsOver],1,Table2[AwayTeam],$A19, Table2[HomeTeam], E$1, Table2[ActualResult], "REG") + SUMIFS(Table2[AwayWon], Table2[GameIsOver],1,Table2[HomeTeam],$A19, Table2[AwayTeam], E$1, Table2[ActualResult], "REG"),0), "-", TEXT(SUMIFS(Table2[HomeWon_], Table2[GameIsOver],1,Table2[AwayTeam],$A19, Table2[HomeTeam], E$1, Table2[ActualResult], "OT") + SUMIFS(Table2[AwayWon], Table2[GameIsOver],1,Table2[HomeTeam],$A19, Table2[AwayTeam], E$1, Table2[ActualResult], "OT") + SUMIFS(Table2[HomeWon_], Table2[GameIsOver],1,Table2[AwayTeam],$A19, Table2[HomeTeam], E$1, Table2[ActualResult], "SO") + SUMIFS(Table2[AwayWon], Table2[GameIsOver],1,Table2[HomeTeam],$A19, Table2[AwayTeam], E$1, Table2[ActualResult], "SO"),0))</f>
        <v>0-0-0</v>
      </c>
      <c r="F19" t="str">
        <f>_xlfn.CONCAT(TEXT(SUMIFS(Table2[AwayWon], Table2[GameIsOver],1,Table2[AwayTeam],$A19, Table2[HomeTeam], F$1) + SUMIFS(Table2[HomeWon_], Table2[GameIsOver],1,Table2[HomeTeam],$A19, Table2[AwayTeam], F$1),0), "-", TEXT(SUMIFS(Table2[HomeWon_], Table2[GameIsOver],1,Table2[AwayTeam],$A19, Table2[HomeTeam], F$1, Table2[ActualResult], "REG") + SUMIFS(Table2[AwayWon], Table2[GameIsOver],1,Table2[HomeTeam],$A19, Table2[AwayTeam], F$1, Table2[ActualResult], "REG"),0), "-", TEXT(SUMIFS(Table2[HomeWon_], Table2[GameIsOver],1,Table2[AwayTeam],$A19, Table2[HomeTeam], F$1, Table2[ActualResult], "OT") + SUMIFS(Table2[AwayWon], Table2[GameIsOver],1,Table2[HomeTeam],$A19, Table2[AwayTeam], F$1, Table2[ActualResult], "OT") + SUMIFS(Table2[HomeWon_], Table2[GameIsOver],1,Table2[AwayTeam],$A19, Table2[HomeTeam], F$1, Table2[ActualResult], "SO") + SUMIFS(Table2[AwayWon], Table2[GameIsOver],1,Table2[HomeTeam],$A19, Table2[AwayTeam], F$1, Table2[ActualResult], "SO"),0))</f>
        <v>0-0-0</v>
      </c>
      <c r="G19" t="str">
        <f>_xlfn.CONCAT(TEXT(SUMIFS(Table2[AwayWon], Table2[GameIsOver],1,Table2[AwayTeam],$A19, Table2[HomeTeam], G$1) + SUMIFS(Table2[HomeWon_], Table2[GameIsOver],1,Table2[HomeTeam],$A19, Table2[AwayTeam], G$1),0), "-", TEXT(SUMIFS(Table2[HomeWon_], Table2[GameIsOver],1,Table2[AwayTeam],$A19, Table2[HomeTeam], G$1, Table2[ActualResult], "REG") + SUMIFS(Table2[AwayWon], Table2[GameIsOver],1,Table2[HomeTeam],$A19, Table2[AwayTeam], G$1, Table2[ActualResult], "REG"),0), "-", TEXT(SUMIFS(Table2[HomeWon_], Table2[GameIsOver],1,Table2[AwayTeam],$A19, Table2[HomeTeam], G$1, Table2[ActualResult], "OT") + SUMIFS(Table2[AwayWon], Table2[GameIsOver],1,Table2[HomeTeam],$A19, Table2[AwayTeam], G$1, Table2[ActualResult], "OT") + SUMIFS(Table2[HomeWon_], Table2[GameIsOver],1,Table2[AwayTeam],$A19, Table2[HomeTeam], G$1, Table2[ActualResult], "SO") + SUMIFS(Table2[AwayWon], Table2[GameIsOver],1,Table2[HomeTeam],$A19, Table2[AwayTeam], G$1, Table2[ActualResult], "SO"),0))</f>
        <v>0-0-0</v>
      </c>
      <c r="H19" t="str">
        <f>_xlfn.CONCAT(TEXT(SUMIFS(Table2[AwayWon], Table2[GameIsOver],1,Table2[AwayTeam],$A19, Table2[HomeTeam], H$1) + SUMIFS(Table2[HomeWon_], Table2[GameIsOver],1,Table2[HomeTeam],$A19, Table2[AwayTeam], H$1),0), "-", TEXT(SUMIFS(Table2[HomeWon_], Table2[GameIsOver],1,Table2[AwayTeam],$A19, Table2[HomeTeam], H$1, Table2[ActualResult], "REG") + SUMIFS(Table2[AwayWon], Table2[GameIsOver],1,Table2[HomeTeam],$A19, Table2[AwayTeam], H$1, Table2[ActualResult], "REG"),0), "-", TEXT(SUMIFS(Table2[HomeWon_], Table2[GameIsOver],1,Table2[AwayTeam],$A19, Table2[HomeTeam], H$1, Table2[ActualResult], "OT") + SUMIFS(Table2[AwayWon], Table2[GameIsOver],1,Table2[HomeTeam],$A19, Table2[AwayTeam], H$1, Table2[ActualResult], "OT") + SUMIFS(Table2[HomeWon_], Table2[GameIsOver],1,Table2[AwayTeam],$A19, Table2[HomeTeam], H$1, Table2[ActualResult], "SO") + SUMIFS(Table2[AwayWon], Table2[GameIsOver],1,Table2[HomeTeam],$A19, Table2[AwayTeam], H$1, Table2[ActualResult], "SO"),0))</f>
        <v>0-0-0</v>
      </c>
      <c r="I19" s="57" t="str">
        <f>_xlfn.CONCAT(TEXT(SUMIFS(Table2[AwayWon], Table2[GameIsOver],1,Table2[AwayTeam],$A19, Table2[HomeTeam], I$1) + SUMIFS(Table2[HomeWon_], Table2[GameIsOver],1,Table2[HomeTeam],$A19, Table2[AwayTeam], I$1),0), "-", TEXT(SUMIFS(Table2[HomeWon_], Table2[GameIsOver],1,Table2[AwayTeam],$A19, Table2[HomeTeam], I$1, Table2[ActualResult], "REG") + SUMIFS(Table2[AwayWon], Table2[GameIsOver],1,Table2[HomeTeam],$A19, Table2[AwayTeam], I$1, Table2[ActualResult], "REG"),0), "-", TEXT(SUMIFS(Table2[HomeWon_], Table2[GameIsOver],1,Table2[AwayTeam],$A19, Table2[HomeTeam], I$1, Table2[ActualResult], "OT") + SUMIFS(Table2[AwayWon], Table2[GameIsOver],1,Table2[HomeTeam],$A19, Table2[AwayTeam], I$1, Table2[ActualResult], "OT") + SUMIFS(Table2[HomeWon_], Table2[GameIsOver],1,Table2[AwayTeam],$A19, Table2[HomeTeam], I$1, Table2[ActualResult], "SO") + SUMIFS(Table2[AwayWon], Table2[GameIsOver],1,Table2[HomeTeam],$A19, Table2[AwayTeam], I$1, Table2[ActualResult], "SO"),0))</f>
        <v>0-0-0</v>
      </c>
      <c r="J19" t="str">
        <f>_xlfn.CONCAT(TEXT(SUMIFS(Table2[AwayWon], Table2[GameIsOver],1,Table2[AwayTeam],$A19, Table2[HomeTeam], J$1) + SUMIFS(Table2[HomeWon_], Table2[GameIsOver],1,Table2[HomeTeam],$A19, Table2[AwayTeam], J$1),0), "-", TEXT(SUMIFS(Table2[HomeWon_], Table2[GameIsOver],1,Table2[AwayTeam],$A19, Table2[HomeTeam], J$1, Table2[ActualResult], "REG") + SUMIFS(Table2[AwayWon], Table2[GameIsOver],1,Table2[HomeTeam],$A19, Table2[AwayTeam], J$1, Table2[ActualResult], "REG"),0), "-", TEXT(SUMIFS(Table2[HomeWon_], Table2[GameIsOver],1,Table2[AwayTeam],$A19, Table2[HomeTeam], J$1, Table2[ActualResult], "OT") + SUMIFS(Table2[AwayWon], Table2[GameIsOver],1,Table2[HomeTeam],$A19, Table2[AwayTeam], J$1, Table2[ActualResult], "OT") + SUMIFS(Table2[HomeWon_], Table2[GameIsOver],1,Table2[AwayTeam],$A19, Table2[HomeTeam], J$1, Table2[ActualResult], "SO") + SUMIFS(Table2[AwayWon], Table2[GameIsOver],1,Table2[HomeTeam],$A19, Table2[AwayTeam], J$1, Table2[ActualResult], "SO"),0))</f>
        <v>0-0-0</v>
      </c>
      <c r="K19" t="str">
        <f>_xlfn.CONCAT(TEXT(SUMIFS(Table2[AwayWon], Table2[GameIsOver],1,Table2[AwayTeam],$A19, Table2[HomeTeam], K$1) + SUMIFS(Table2[HomeWon_], Table2[GameIsOver],1,Table2[HomeTeam],$A19, Table2[AwayTeam], K$1),0), "-", TEXT(SUMIFS(Table2[HomeWon_], Table2[GameIsOver],1,Table2[AwayTeam],$A19, Table2[HomeTeam], K$1, Table2[ActualResult], "REG") + SUMIFS(Table2[AwayWon], Table2[GameIsOver],1,Table2[HomeTeam],$A19, Table2[AwayTeam], K$1, Table2[ActualResult], "REG"),0), "-", TEXT(SUMIFS(Table2[HomeWon_], Table2[GameIsOver],1,Table2[AwayTeam],$A19, Table2[HomeTeam], K$1, Table2[ActualResult], "OT") + SUMIFS(Table2[AwayWon], Table2[GameIsOver],1,Table2[HomeTeam],$A19, Table2[AwayTeam], K$1, Table2[ActualResult], "OT") + SUMIFS(Table2[HomeWon_], Table2[GameIsOver],1,Table2[AwayTeam],$A19, Table2[HomeTeam], K$1, Table2[ActualResult], "SO") + SUMIFS(Table2[AwayWon], Table2[GameIsOver],1,Table2[HomeTeam],$A19, Table2[AwayTeam], K$1, Table2[ActualResult], "SO"),0))</f>
        <v>0-1-0</v>
      </c>
      <c r="L19" t="str">
        <f>_xlfn.CONCAT(TEXT(SUMIFS(Table2[AwayWon], Table2[GameIsOver],1,Table2[AwayTeam],$A19, Table2[HomeTeam], L$1) + SUMIFS(Table2[HomeWon_], Table2[GameIsOver],1,Table2[HomeTeam],$A19, Table2[AwayTeam], L$1),0), "-", TEXT(SUMIFS(Table2[HomeWon_], Table2[GameIsOver],1,Table2[AwayTeam],$A19, Table2[HomeTeam], L$1, Table2[ActualResult], "REG") + SUMIFS(Table2[AwayWon], Table2[GameIsOver],1,Table2[HomeTeam],$A19, Table2[AwayTeam], L$1, Table2[ActualResult], "REG"),0), "-", TEXT(SUMIFS(Table2[HomeWon_], Table2[GameIsOver],1,Table2[AwayTeam],$A19, Table2[HomeTeam], L$1, Table2[ActualResult], "OT") + SUMIFS(Table2[AwayWon], Table2[GameIsOver],1,Table2[HomeTeam],$A19, Table2[AwayTeam], L$1, Table2[ActualResult], "OT") + SUMIFS(Table2[HomeWon_], Table2[GameIsOver],1,Table2[AwayTeam],$A19, Table2[HomeTeam], L$1, Table2[ActualResult], "SO") + SUMIFS(Table2[AwayWon], Table2[GameIsOver],1,Table2[HomeTeam],$A19, Table2[AwayTeam], L$1, Table2[ActualResult], "SO"),0))</f>
        <v>1-0-0</v>
      </c>
      <c r="M19" t="str">
        <f>_xlfn.CONCAT(TEXT(SUMIFS(Table2[AwayWon], Table2[GameIsOver],1,Table2[AwayTeam],$A19, Table2[HomeTeam], M$1) + SUMIFS(Table2[HomeWon_], Table2[GameIsOver],1,Table2[HomeTeam],$A19, Table2[AwayTeam], M$1),0), "-", TEXT(SUMIFS(Table2[HomeWon_], Table2[GameIsOver],1,Table2[AwayTeam],$A19, Table2[HomeTeam], M$1, Table2[ActualResult], "REG") + SUMIFS(Table2[AwayWon], Table2[GameIsOver],1,Table2[HomeTeam],$A19, Table2[AwayTeam], M$1, Table2[ActualResult], "REG"),0), "-", TEXT(SUMIFS(Table2[HomeWon_], Table2[GameIsOver],1,Table2[AwayTeam],$A19, Table2[HomeTeam], M$1, Table2[ActualResult], "OT") + SUMIFS(Table2[AwayWon], Table2[GameIsOver],1,Table2[HomeTeam],$A19, Table2[AwayTeam], M$1, Table2[ActualResult], "OT") + SUMIFS(Table2[HomeWon_], Table2[GameIsOver],1,Table2[AwayTeam],$A19, Table2[HomeTeam], M$1, Table2[ActualResult], "SO") + SUMIFS(Table2[AwayWon], Table2[GameIsOver],1,Table2[HomeTeam],$A19, Table2[AwayTeam], M$1, Table2[ActualResult], "SO"),0))</f>
        <v>1-0-0</v>
      </c>
      <c r="N19" t="str">
        <f>_xlfn.CONCAT(TEXT(SUMIFS(Table2[AwayWon], Table2[GameIsOver],1,Table2[AwayTeam],$A19, Table2[HomeTeam], N$1) + SUMIFS(Table2[HomeWon_], Table2[GameIsOver],1,Table2[HomeTeam],$A19, Table2[AwayTeam], N$1),0), "-", TEXT(SUMIFS(Table2[HomeWon_], Table2[GameIsOver],1,Table2[AwayTeam],$A19, Table2[HomeTeam], N$1, Table2[ActualResult], "REG") + SUMIFS(Table2[AwayWon], Table2[GameIsOver],1,Table2[HomeTeam],$A19, Table2[AwayTeam], N$1, Table2[ActualResult], "REG"),0), "-", TEXT(SUMIFS(Table2[HomeWon_], Table2[GameIsOver],1,Table2[AwayTeam],$A19, Table2[HomeTeam], N$1, Table2[ActualResult], "OT") + SUMIFS(Table2[AwayWon], Table2[GameIsOver],1,Table2[HomeTeam],$A19, Table2[AwayTeam], N$1, Table2[ActualResult], "OT") + SUMIFS(Table2[HomeWon_], Table2[GameIsOver],1,Table2[AwayTeam],$A19, Table2[HomeTeam], N$1, Table2[ActualResult], "SO") + SUMIFS(Table2[AwayWon], Table2[GameIsOver],1,Table2[HomeTeam],$A19, Table2[AwayTeam], N$1, Table2[ActualResult], "SO"),0))</f>
        <v>0-1-0</v>
      </c>
      <c r="O19" t="str">
        <f>_xlfn.CONCAT(TEXT(SUMIFS(Table2[AwayWon], Table2[GameIsOver],1,Table2[AwayTeam],$A19, Table2[HomeTeam], O$1) + SUMIFS(Table2[HomeWon_], Table2[GameIsOver],1,Table2[HomeTeam],$A19, Table2[AwayTeam], O$1),0), "-", TEXT(SUMIFS(Table2[HomeWon_], Table2[GameIsOver],1,Table2[AwayTeam],$A19, Table2[HomeTeam], O$1, Table2[ActualResult], "REG") + SUMIFS(Table2[AwayWon], Table2[GameIsOver],1,Table2[HomeTeam],$A19, Table2[AwayTeam], O$1, Table2[ActualResult], "REG"),0), "-", TEXT(SUMIFS(Table2[HomeWon_], Table2[GameIsOver],1,Table2[AwayTeam],$A19, Table2[HomeTeam], O$1, Table2[ActualResult], "OT") + SUMIFS(Table2[AwayWon], Table2[GameIsOver],1,Table2[HomeTeam],$A19, Table2[AwayTeam], O$1, Table2[ActualResult], "OT") + SUMIFS(Table2[HomeWon_], Table2[GameIsOver],1,Table2[AwayTeam],$A19, Table2[HomeTeam], O$1, Table2[ActualResult], "SO") + SUMIFS(Table2[AwayWon], Table2[GameIsOver],1,Table2[HomeTeam],$A19, Table2[AwayTeam], O$1, Table2[ActualResult], "SO"),0))</f>
        <v>0-0-0</v>
      </c>
      <c r="P19" t="str">
        <f>_xlfn.CONCAT(TEXT(SUMIFS(Table2[AwayWon], Table2[GameIsOver],1,Table2[AwayTeam],$A19, Table2[HomeTeam], P$1) + SUMIFS(Table2[HomeWon_], Table2[GameIsOver],1,Table2[HomeTeam],$A19, Table2[AwayTeam], P$1),0), "-", TEXT(SUMIFS(Table2[HomeWon_], Table2[GameIsOver],1,Table2[AwayTeam],$A19, Table2[HomeTeam], P$1, Table2[ActualResult], "REG") + SUMIFS(Table2[AwayWon], Table2[GameIsOver],1,Table2[HomeTeam],$A19, Table2[AwayTeam], P$1, Table2[ActualResult], "REG"),0), "-", TEXT(SUMIFS(Table2[HomeWon_], Table2[GameIsOver],1,Table2[AwayTeam],$A19, Table2[HomeTeam], P$1, Table2[ActualResult], "OT") + SUMIFS(Table2[AwayWon], Table2[GameIsOver],1,Table2[HomeTeam],$A19, Table2[AwayTeam], P$1, Table2[ActualResult], "OT") + SUMIFS(Table2[HomeWon_], Table2[GameIsOver],1,Table2[AwayTeam],$A19, Table2[HomeTeam], P$1, Table2[ActualResult], "SO") + SUMIFS(Table2[AwayWon], Table2[GameIsOver],1,Table2[HomeTeam],$A19, Table2[AwayTeam], P$1, Table2[ActualResult], "SO"),0))</f>
        <v>0-0-0</v>
      </c>
      <c r="Q19" s="57" t="str">
        <f>_xlfn.CONCAT(TEXT(SUMIFS(Table2[AwayWon], Table2[GameIsOver],1,Table2[AwayTeam],$A19, Table2[HomeTeam], Q$1) + SUMIFS(Table2[HomeWon_], Table2[GameIsOver],1,Table2[HomeTeam],$A19, Table2[AwayTeam], Q$1),0), "-", TEXT(SUMIFS(Table2[HomeWon_], Table2[GameIsOver],1,Table2[AwayTeam],$A19, Table2[HomeTeam], Q$1, Table2[ActualResult], "REG") + SUMIFS(Table2[AwayWon], Table2[GameIsOver],1,Table2[HomeTeam],$A19, Table2[AwayTeam], Q$1, Table2[ActualResult], "REG"),0), "-", TEXT(SUMIFS(Table2[HomeWon_], Table2[GameIsOver],1,Table2[AwayTeam],$A19, Table2[HomeTeam], Q$1, Table2[ActualResult], "OT") + SUMIFS(Table2[AwayWon], Table2[GameIsOver],1,Table2[HomeTeam],$A19, Table2[AwayTeam], Q$1, Table2[ActualResult], "OT") + SUMIFS(Table2[HomeWon_], Table2[GameIsOver],1,Table2[AwayTeam],$A19, Table2[HomeTeam], Q$1, Table2[ActualResult], "SO") + SUMIFS(Table2[AwayWon], Table2[GameIsOver],1,Table2[HomeTeam],$A19, Table2[AwayTeam], Q$1, Table2[ActualResult], "SO"),0))</f>
        <v>0-0-0</v>
      </c>
      <c r="R19" t="str">
        <f>_xlfn.CONCAT(TEXT(SUMIFS(Table2[AwayWon], Table2[GameIsOver],1,Table2[AwayTeam],$A19, Table2[HomeTeam], R$1) + SUMIFS(Table2[HomeWon_], Table2[GameIsOver],1,Table2[HomeTeam],$A19, Table2[AwayTeam], R$1),0), "-", TEXT(SUMIFS(Table2[HomeWon_], Table2[GameIsOver],1,Table2[AwayTeam],$A19, Table2[HomeTeam], R$1, Table2[ActualResult], "REG") + SUMIFS(Table2[AwayWon], Table2[GameIsOver],1,Table2[HomeTeam],$A19, Table2[AwayTeam], R$1, Table2[ActualResult], "REG"),0), "-", TEXT(SUMIFS(Table2[HomeWon_], Table2[GameIsOver],1,Table2[AwayTeam],$A19, Table2[HomeTeam], R$1, Table2[ActualResult], "OT") + SUMIFS(Table2[AwayWon], Table2[GameIsOver],1,Table2[HomeTeam],$A19, Table2[AwayTeam], R$1, Table2[ActualResult], "OT") + SUMIFS(Table2[HomeWon_], Table2[GameIsOver],1,Table2[AwayTeam],$A19, Table2[HomeTeam], R$1, Table2[ActualResult], "SO") + SUMIFS(Table2[AwayWon], Table2[GameIsOver],1,Table2[HomeTeam],$A19, Table2[AwayTeam], R$1, Table2[ActualResult], "SO"),0))</f>
        <v>0-0-0</v>
      </c>
      <c r="S19" s="89"/>
      <c r="T19" t="str">
        <f>_xlfn.CONCAT(TEXT(SUMIFS(Table2[AwayWon], Table2[GameIsOver],1,Table2[AwayTeam],$A19, Table2[HomeTeam], T$1) + SUMIFS(Table2[HomeWon_], Table2[GameIsOver],1,Table2[HomeTeam],$A19, Table2[AwayTeam], T$1),0), "-", TEXT(SUMIFS(Table2[HomeWon_], Table2[GameIsOver],1,Table2[AwayTeam],$A19, Table2[HomeTeam], T$1, Table2[ActualResult], "REG") + SUMIFS(Table2[AwayWon], Table2[GameIsOver],1,Table2[HomeTeam],$A19, Table2[AwayTeam], T$1, Table2[ActualResult], "REG"),0), "-", TEXT(SUMIFS(Table2[HomeWon_], Table2[GameIsOver],1,Table2[AwayTeam],$A19, Table2[HomeTeam], T$1, Table2[ActualResult], "OT") + SUMIFS(Table2[AwayWon], Table2[GameIsOver],1,Table2[HomeTeam],$A19, Table2[AwayTeam], T$1, Table2[ActualResult], "OT") + SUMIFS(Table2[HomeWon_], Table2[GameIsOver],1,Table2[AwayTeam],$A19, Table2[HomeTeam], T$1, Table2[ActualResult], "SO") + SUMIFS(Table2[AwayWon], Table2[GameIsOver],1,Table2[HomeTeam],$A19, Table2[AwayTeam], T$1, Table2[ActualResult], "SO"),0))</f>
        <v>0-1-0</v>
      </c>
      <c r="U19" t="str">
        <f>_xlfn.CONCAT(TEXT(SUMIFS(Table2[AwayWon], Table2[GameIsOver],1,Table2[AwayTeam],$A19, Table2[HomeTeam], U$1) + SUMIFS(Table2[HomeWon_], Table2[GameIsOver],1,Table2[HomeTeam],$A19, Table2[AwayTeam], U$1),0), "-", TEXT(SUMIFS(Table2[HomeWon_], Table2[GameIsOver],1,Table2[AwayTeam],$A19, Table2[HomeTeam], U$1, Table2[ActualResult], "REG") + SUMIFS(Table2[AwayWon], Table2[GameIsOver],1,Table2[HomeTeam],$A19, Table2[AwayTeam], U$1, Table2[ActualResult], "REG"),0), "-", TEXT(SUMIFS(Table2[HomeWon_], Table2[GameIsOver],1,Table2[AwayTeam],$A19, Table2[HomeTeam], U$1, Table2[ActualResult], "OT") + SUMIFS(Table2[AwayWon], Table2[GameIsOver],1,Table2[HomeTeam],$A19, Table2[AwayTeam], U$1, Table2[ActualResult], "OT") + SUMIFS(Table2[HomeWon_], Table2[GameIsOver],1,Table2[AwayTeam],$A19, Table2[HomeTeam], U$1, Table2[ActualResult], "SO") + SUMIFS(Table2[AwayWon], Table2[GameIsOver],1,Table2[HomeTeam],$A19, Table2[AwayTeam], U$1, Table2[ActualResult], "SO"),0))</f>
        <v>0-0-0</v>
      </c>
      <c r="V19" t="str">
        <f>_xlfn.CONCAT(TEXT(SUMIFS(Table2[AwayWon], Table2[GameIsOver],1,Table2[AwayTeam],$A19, Table2[HomeTeam], V$1) + SUMIFS(Table2[HomeWon_], Table2[GameIsOver],1,Table2[HomeTeam],$A19, Table2[AwayTeam], V$1),0), "-", TEXT(SUMIFS(Table2[HomeWon_], Table2[GameIsOver],1,Table2[AwayTeam],$A19, Table2[HomeTeam], V$1, Table2[ActualResult], "REG") + SUMIFS(Table2[AwayWon], Table2[GameIsOver],1,Table2[HomeTeam],$A19, Table2[AwayTeam], V$1, Table2[ActualResult], "REG"),0), "-", TEXT(SUMIFS(Table2[HomeWon_], Table2[GameIsOver],1,Table2[AwayTeam],$A19, Table2[HomeTeam], V$1, Table2[ActualResult], "OT") + SUMIFS(Table2[AwayWon], Table2[GameIsOver],1,Table2[HomeTeam],$A19, Table2[AwayTeam], V$1, Table2[ActualResult], "OT") + SUMIFS(Table2[HomeWon_], Table2[GameIsOver],1,Table2[AwayTeam],$A19, Table2[HomeTeam], V$1, Table2[ActualResult], "SO") + SUMIFS(Table2[AwayWon], Table2[GameIsOver],1,Table2[HomeTeam],$A19, Table2[AwayTeam], V$1, Table2[ActualResult], "SO"),0))</f>
        <v>0-0-0</v>
      </c>
      <c r="W19" t="str">
        <f>_xlfn.CONCAT(TEXT(SUMIFS(Table2[AwayWon], Table2[GameIsOver],1,Table2[AwayTeam],$A19, Table2[HomeTeam], W$1) + SUMIFS(Table2[HomeWon_], Table2[GameIsOver],1,Table2[HomeTeam],$A19, Table2[AwayTeam], W$1),0), "-", TEXT(SUMIFS(Table2[HomeWon_], Table2[GameIsOver],1,Table2[AwayTeam],$A19, Table2[HomeTeam], W$1, Table2[ActualResult], "REG") + SUMIFS(Table2[AwayWon], Table2[GameIsOver],1,Table2[HomeTeam],$A19, Table2[AwayTeam], W$1, Table2[ActualResult], "REG"),0), "-", TEXT(SUMIFS(Table2[HomeWon_], Table2[GameIsOver],1,Table2[AwayTeam],$A19, Table2[HomeTeam], W$1, Table2[ActualResult], "OT") + SUMIFS(Table2[AwayWon], Table2[GameIsOver],1,Table2[HomeTeam],$A19, Table2[AwayTeam], W$1, Table2[ActualResult], "OT") + SUMIFS(Table2[HomeWon_], Table2[GameIsOver],1,Table2[AwayTeam],$A19, Table2[HomeTeam], W$1, Table2[ActualResult], "SO") + SUMIFS(Table2[AwayWon], Table2[GameIsOver],1,Table2[HomeTeam],$A19, Table2[AwayTeam], W$1, Table2[ActualResult], "SO"),0))</f>
        <v>0-0-0</v>
      </c>
      <c r="X19" t="str">
        <f>_xlfn.CONCAT(TEXT(SUMIFS(Table2[AwayWon], Table2[GameIsOver],1,Table2[AwayTeam],$A19, Table2[HomeTeam], X$1) + SUMIFS(Table2[HomeWon_], Table2[GameIsOver],1,Table2[HomeTeam],$A19, Table2[AwayTeam], X$1),0), "-", TEXT(SUMIFS(Table2[HomeWon_], Table2[GameIsOver],1,Table2[AwayTeam],$A19, Table2[HomeTeam], X$1, Table2[ActualResult], "REG") + SUMIFS(Table2[AwayWon], Table2[GameIsOver],1,Table2[HomeTeam],$A19, Table2[AwayTeam], X$1, Table2[ActualResult], "REG"),0), "-", TEXT(SUMIFS(Table2[HomeWon_], Table2[GameIsOver],1,Table2[AwayTeam],$A19, Table2[HomeTeam], X$1, Table2[ActualResult], "OT") + SUMIFS(Table2[AwayWon], Table2[GameIsOver],1,Table2[HomeTeam],$A19, Table2[AwayTeam], X$1, Table2[ActualResult], "OT") + SUMIFS(Table2[HomeWon_], Table2[GameIsOver],1,Table2[AwayTeam],$A19, Table2[HomeTeam], X$1, Table2[ActualResult], "SO") + SUMIFS(Table2[AwayWon], Table2[GameIsOver],1,Table2[HomeTeam],$A19, Table2[AwayTeam], X$1, Table2[ActualResult], "SO"),0))</f>
        <v>0-0-0</v>
      </c>
      <c r="Y19" s="57" t="str">
        <f>_xlfn.CONCAT(TEXT(SUMIFS(Table2[AwayWon], Table2[GameIsOver],1,Table2[AwayTeam],$A19, Table2[HomeTeam], Y$1) + SUMIFS(Table2[HomeWon_], Table2[GameIsOver],1,Table2[HomeTeam],$A19, Table2[AwayTeam], Y$1),0), "-", TEXT(SUMIFS(Table2[HomeWon_], Table2[GameIsOver],1,Table2[AwayTeam],$A19, Table2[HomeTeam], Y$1, Table2[ActualResult], "REG") + SUMIFS(Table2[AwayWon], Table2[GameIsOver],1,Table2[HomeTeam],$A19, Table2[AwayTeam], Y$1, Table2[ActualResult], "REG"),0), "-", TEXT(SUMIFS(Table2[HomeWon_], Table2[GameIsOver],1,Table2[AwayTeam],$A19, Table2[HomeTeam], Y$1, Table2[ActualResult], "OT") + SUMIFS(Table2[AwayWon], Table2[GameIsOver],1,Table2[HomeTeam],$A19, Table2[AwayTeam], Y$1, Table2[ActualResult], "OT") + SUMIFS(Table2[HomeWon_], Table2[GameIsOver],1,Table2[AwayTeam],$A19, Table2[HomeTeam], Y$1, Table2[ActualResult], "SO") + SUMIFS(Table2[AwayWon], Table2[GameIsOver],1,Table2[HomeTeam],$A19, Table2[AwayTeam], Y$1, Table2[ActualResult], "SO"),0))</f>
        <v>0-0-0</v>
      </c>
      <c r="Z19" t="str">
        <f>_xlfn.CONCAT(TEXT(SUMIFS(Table2[AwayWon], Table2[GameIsOver],1,Table2[AwayTeam],$A19, Table2[HomeTeam], Z$1) + SUMIFS(Table2[HomeWon_], Table2[GameIsOver],1,Table2[HomeTeam],$A19, Table2[AwayTeam], Z$1),0), "-", TEXT(SUMIFS(Table2[HomeWon_], Table2[GameIsOver],1,Table2[AwayTeam],$A19, Table2[HomeTeam], Z$1, Table2[ActualResult], "REG") + SUMIFS(Table2[AwayWon], Table2[GameIsOver],1,Table2[HomeTeam],$A19, Table2[AwayTeam], Z$1, Table2[ActualResult], "REG"),0), "-", TEXT(SUMIFS(Table2[HomeWon_], Table2[GameIsOver],1,Table2[AwayTeam],$A19, Table2[HomeTeam], Z$1, Table2[ActualResult], "OT") + SUMIFS(Table2[AwayWon], Table2[GameIsOver],1,Table2[HomeTeam],$A19, Table2[AwayTeam], Z$1, Table2[ActualResult], "OT") + SUMIFS(Table2[HomeWon_], Table2[GameIsOver],1,Table2[AwayTeam],$A19, Table2[HomeTeam], Z$1, Table2[ActualResult], "SO") + SUMIFS(Table2[AwayWon], Table2[GameIsOver],1,Table2[HomeTeam],$A19, Table2[AwayTeam], Z$1, Table2[ActualResult], "SO"),0))</f>
        <v>0-0-0</v>
      </c>
      <c r="AA19" t="str">
        <f>_xlfn.CONCAT(TEXT(SUMIFS(Table2[AwayWon], Table2[GameIsOver],1,Table2[AwayTeam],$A19, Table2[HomeTeam], AA$1) + SUMIFS(Table2[HomeWon_], Table2[GameIsOver],1,Table2[HomeTeam],$A19, Table2[AwayTeam], AA$1),0), "-", TEXT(SUMIFS(Table2[HomeWon_], Table2[GameIsOver],1,Table2[AwayTeam],$A19, Table2[HomeTeam], AA$1, Table2[ActualResult], "REG") + SUMIFS(Table2[AwayWon], Table2[GameIsOver],1,Table2[HomeTeam],$A19, Table2[AwayTeam], AA$1, Table2[ActualResult], "REG"),0), "-", TEXT(SUMIFS(Table2[HomeWon_], Table2[GameIsOver],1,Table2[AwayTeam],$A19, Table2[HomeTeam], AA$1, Table2[ActualResult], "OT") + SUMIFS(Table2[AwayWon], Table2[GameIsOver],1,Table2[HomeTeam],$A19, Table2[AwayTeam], AA$1, Table2[ActualResult], "OT") + SUMIFS(Table2[HomeWon_], Table2[GameIsOver],1,Table2[AwayTeam],$A19, Table2[HomeTeam], AA$1, Table2[ActualResult], "SO") + SUMIFS(Table2[AwayWon], Table2[GameIsOver],1,Table2[HomeTeam],$A19, Table2[AwayTeam], AA$1, Table2[ActualResult], "SO"),0))</f>
        <v>0-0-0</v>
      </c>
      <c r="AB19" t="str">
        <f>_xlfn.CONCAT(TEXT(SUMIFS(Table2[AwayWon], Table2[GameIsOver],1,Table2[AwayTeam],$A19, Table2[HomeTeam], AB$1) + SUMIFS(Table2[HomeWon_], Table2[GameIsOver],1,Table2[HomeTeam],$A19, Table2[AwayTeam], AB$1),0), "-", TEXT(SUMIFS(Table2[HomeWon_], Table2[GameIsOver],1,Table2[AwayTeam],$A19, Table2[HomeTeam], AB$1, Table2[ActualResult], "REG") + SUMIFS(Table2[AwayWon], Table2[GameIsOver],1,Table2[HomeTeam],$A19, Table2[AwayTeam], AB$1, Table2[ActualResult], "REG"),0), "-", TEXT(SUMIFS(Table2[HomeWon_], Table2[GameIsOver],1,Table2[AwayTeam],$A19, Table2[HomeTeam], AB$1, Table2[ActualResult], "OT") + SUMIFS(Table2[AwayWon], Table2[GameIsOver],1,Table2[HomeTeam],$A19, Table2[AwayTeam], AB$1, Table2[ActualResult], "OT") + SUMIFS(Table2[HomeWon_], Table2[GameIsOver],1,Table2[AwayTeam],$A19, Table2[HomeTeam], AB$1, Table2[ActualResult], "SO") + SUMIFS(Table2[AwayWon], Table2[GameIsOver],1,Table2[HomeTeam],$A19, Table2[AwayTeam], AB$1, Table2[ActualResult], "SO"),0))</f>
        <v>0-0-0</v>
      </c>
      <c r="AC19" t="str">
        <f>_xlfn.CONCAT(TEXT(SUMIFS(Table2[AwayWon], Table2[GameIsOver],1,Table2[AwayTeam],$A19, Table2[HomeTeam], AC$1) + SUMIFS(Table2[HomeWon_], Table2[GameIsOver],1,Table2[HomeTeam],$A19, Table2[AwayTeam], AC$1),0), "-", TEXT(SUMIFS(Table2[HomeWon_], Table2[GameIsOver],1,Table2[AwayTeam],$A19, Table2[HomeTeam], AC$1, Table2[ActualResult], "REG") + SUMIFS(Table2[AwayWon], Table2[GameIsOver],1,Table2[HomeTeam],$A19, Table2[AwayTeam], AC$1, Table2[ActualResult], "REG"),0), "-", TEXT(SUMIFS(Table2[HomeWon_], Table2[GameIsOver],1,Table2[AwayTeam],$A19, Table2[HomeTeam], AC$1, Table2[ActualResult], "OT") + SUMIFS(Table2[AwayWon], Table2[GameIsOver],1,Table2[HomeTeam],$A19, Table2[AwayTeam], AC$1, Table2[ActualResult], "OT") + SUMIFS(Table2[HomeWon_], Table2[GameIsOver],1,Table2[AwayTeam],$A19, Table2[HomeTeam], AC$1, Table2[ActualResult], "SO") + SUMIFS(Table2[AwayWon], Table2[GameIsOver],1,Table2[HomeTeam],$A19, Table2[AwayTeam], AC$1, Table2[ActualResult], "SO"),0))</f>
        <v>0-0-0</v>
      </c>
      <c r="AD19" t="str">
        <f>_xlfn.CONCAT(TEXT(SUMIFS(Table2[AwayWon], Table2[GameIsOver],1,Table2[AwayTeam],$A19, Table2[HomeTeam], AD$1) + SUMIFS(Table2[HomeWon_], Table2[GameIsOver],1,Table2[HomeTeam],$A19, Table2[AwayTeam], AD$1),0), "-", TEXT(SUMIFS(Table2[HomeWon_], Table2[GameIsOver],1,Table2[AwayTeam],$A19, Table2[HomeTeam], AD$1, Table2[ActualResult], "REG") + SUMIFS(Table2[AwayWon], Table2[GameIsOver],1,Table2[HomeTeam],$A19, Table2[AwayTeam], AD$1, Table2[ActualResult], "REG"),0), "-", TEXT(SUMIFS(Table2[HomeWon_], Table2[GameIsOver],1,Table2[AwayTeam],$A19, Table2[HomeTeam], AD$1, Table2[ActualResult], "OT") + SUMIFS(Table2[AwayWon], Table2[GameIsOver],1,Table2[HomeTeam],$A19, Table2[AwayTeam], AD$1, Table2[ActualResult], "OT") + SUMIFS(Table2[HomeWon_], Table2[GameIsOver],1,Table2[AwayTeam],$A19, Table2[HomeTeam], AD$1, Table2[ActualResult], "SO") + SUMIFS(Table2[AwayWon], Table2[GameIsOver],1,Table2[HomeTeam],$A19, Table2[AwayTeam], AD$1, Table2[ActualResult], "SO"),0))</f>
        <v>0-0-0</v>
      </c>
      <c r="AE19" t="str">
        <f>_xlfn.CONCAT(TEXT(SUMIFS(Table2[AwayWon], Table2[GameIsOver],1,Table2[AwayTeam],$A19, Table2[HomeTeam], AE$1) + SUMIFS(Table2[HomeWon_], Table2[GameIsOver],1,Table2[HomeTeam],$A19, Table2[AwayTeam], AE$1),0), "-", TEXT(SUMIFS(Table2[HomeWon_], Table2[GameIsOver],1,Table2[AwayTeam],$A19, Table2[HomeTeam], AE$1, Table2[ActualResult], "REG") + SUMIFS(Table2[AwayWon], Table2[GameIsOver],1,Table2[HomeTeam],$A19, Table2[AwayTeam], AE$1, Table2[ActualResult], "REG"),0), "-", TEXT(SUMIFS(Table2[HomeWon_], Table2[GameIsOver],1,Table2[AwayTeam],$A19, Table2[HomeTeam], AE$1, Table2[ActualResult], "OT") + SUMIFS(Table2[AwayWon], Table2[GameIsOver],1,Table2[HomeTeam],$A19, Table2[AwayTeam], AE$1, Table2[ActualResult], "OT") + SUMIFS(Table2[HomeWon_], Table2[GameIsOver],1,Table2[AwayTeam],$A19, Table2[HomeTeam], AE$1, Table2[ActualResult], "SO") + SUMIFS(Table2[AwayWon], Table2[GameIsOver],1,Table2[HomeTeam],$A19, Table2[AwayTeam], AE$1, Table2[ActualResult], "SO"),0))</f>
        <v>0-0-0</v>
      </c>
      <c r="AF19" t="str">
        <f>_xlfn.CONCAT(TEXT(SUMIFS(Table2[AwayWon], Table2[GameIsOver],1,Table2[AwayTeam],$A19, Table2[HomeTeam], AF$1) + SUMIFS(Table2[HomeWon_], Table2[GameIsOver],1,Table2[HomeTeam],$A19, Table2[AwayTeam], AF$1),0), "-", TEXT(SUMIFS(Table2[HomeWon_], Table2[GameIsOver],1,Table2[AwayTeam],$A19, Table2[HomeTeam], AF$1, Table2[ActualResult], "REG") + SUMIFS(Table2[AwayWon], Table2[GameIsOver],1,Table2[HomeTeam],$A19, Table2[AwayTeam], AF$1, Table2[ActualResult], "REG"),0), "-", TEXT(SUMIFS(Table2[HomeWon_], Table2[GameIsOver],1,Table2[AwayTeam],$A19, Table2[HomeTeam], AF$1, Table2[ActualResult], "OT") + SUMIFS(Table2[AwayWon], Table2[GameIsOver],1,Table2[HomeTeam],$A19, Table2[AwayTeam], AF$1, Table2[ActualResult], "OT") + SUMIFS(Table2[HomeWon_], Table2[GameIsOver],1,Table2[AwayTeam],$A19, Table2[HomeTeam], AF$1, Table2[ActualResult], "SO") + SUMIFS(Table2[AwayWon], Table2[GameIsOver],1,Table2[HomeTeam],$A19, Table2[AwayTeam], AF$1, Table2[ActualResult], "SO"),0))</f>
        <v>1-0-0</v>
      </c>
      <c r="AG19" t="str">
        <f>_xlfn.CONCAT(TEXT(SUMIFS(Table2[AwayWon], Table2[GameIsOver],1,Table2[AwayTeam],$A19, Table2[HomeTeam], AG$1) + SUMIFS(Table2[HomeWon_], Table2[GameIsOver],1,Table2[HomeTeam],$A19, Table2[AwayTeam], AG$1),0), "-", TEXT(SUMIFS(Table2[HomeWon_], Table2[GameIsOver],1,Table2[AwayTeam],$A19, Table2[HomeTeam], AG$1, Table2[ActualResult], "REG") + SUMIFS(Table2[AwayWon], Table2[GameIsOver],1,Table2[HomeTeam],$A19, Table2[AwayTeam], AG$1, Table2[ActualResult], "REG"),0), "-", TEXT(SUMIFS(Table2[HomeWon_], Table2[GameIsOver],1,Table2[AwayTeam],$A19, Table2[HomeTeam], AG$1, Table2[ActualResult], "OT") + SUMIFS(Table2[AwayWon], Table2[GameIsOver],1,Table2[HomeTeam],$A19, Table2[AwayTeam], AG$1, Table2[ActualResult], "OT") + SUMIFS(Table2[HomeWon_], Table2[GameIsOver],1,Table2[AwayTeam],$A19, Table2[HomeTeam], AG$1, Table2[ActualResult], "SO") + SUMIFS(Table2[AwayWon], Table2[GameIsOver],1,Table2[HomeTeam],$A19, Table2[AwayTeam], AG$1, Table2[ActualResult], "SO"),0))</f>
        <v>0-0-0</v>
      </c>
    </row>
    <row r="20" spans="1:33" x14ac:dyDescent="0.25">
      <c r="A20" s="57" t="s">
        <v>31</v>
      </c>
      <c r="B20" t="str">
        <f>_xlfn.CONCAT(TEXT(SUMIFS(Table2[AwayWon], Table2[GameIsOver],1,Table2[AwayTeam],$A20, Table2[HomeTeam], B$1) + SUMIFS(Table2[HomeWon_], Table2[GameIsOver],1,Table2[HomeTeam],$A20, Table2[AwayTeam], B$1),0), "-", TEXT(SUMIFS(Table2[HomeWon_], Table2[GameIsOver],1,Table2[AwayTeam],$A20, Table2[HomeTeam], B$1, Table2[ActualResult], "REG") + SUMIFS(Table2[AwayWon], Table2[GameIsOver],1,Table2[HomeTeam],$A20, Table2[AwayTeam], B$1, Table2[ActualResult], "REG"),0), "-", TEXT(SUMIFS(Table2[HomeWon_], Table2[GameIsOver],1,Table2[AwayTeam],$A20, Table2[HomeTeam], B$1, Table2[ActualResult], "OT") + SUMIFS(Table2[AwayWon], Table2[GameIsOver],1,Table2[HomeTeam],$A20, Table2[AwayTeam], B$1, Table2[ActualResult], "OT") + SUMIFS(Table2[HomeWon_], Table2[GameIsOver],1,Table2[AwayTeam],$A20, Table2[HomeTeam], B$1, Table2[ActualResult], "SO") + SUMIFS(Table2[AwayWon], Table2[GameIsOver],1,Table2[HomeTeam],$A20, Table2[AwayTeam], B$1, Table2[ActualResult], "SO"),0))</f>
        <v>0-0-0</v>
      </c>
      <c r="C20" t="str">
        <f>_xlfn.CONCAT(TEXT(SUMIFS(Table2[AwayWon], Table2[GameIsOver],1,Table2[AwayTeam],$A20, Table2[HomeTeam], C$1) + SUMIFS(Table2[HomeWon_], Table2[GameIsOver],1,Table2[HomeTeam],$A20, Table2[AwayTeam], C$1),0), "-", TEXT(SUMIFS(Table2[HomeWon_], Table2[GameIsOver],1,Table2[AwayTeam],$A20, Table2[HomeTeam], C$1, Table2[ActualResult], "REG") + SUMIFS(Table2[AwayWon], Table2[GameIsOver],1,Table2[HomeTeam],$A20, Table2[AwayTeam], C$1, Table2[ActualResult], "REG"),0), "-", TEXT(SUMIFS(Table2[HomeWon_], Table2[GameIsOver],1,Table2[AwayTeam],$A20, Table2[HomeTeam], C$1, Table2[ActualResult], "OT") + SUMIFS(Table2[AwayWon], Table2[GameIsOver],1,Table2[HomeTeam],$A20, Table2[AwayTeam], C$1, Table2[ActualResult], "OT") + SUMIFS(Table2[HomeWon_], Table2[GameIsOver],1,Table2[AwayTeam],$A20, Table2[HomeTeam], C$1, Table2[ActualResult], "SO") + SUMIFS(Table2[AwayWon], Table2[GameIsOver],1,Table2[HomeTeam],$A20, Table2[AwayTeam], C$1, Table2[ActualResult], "SO"),0))</f>
        <v>0-0-0</v>
      </c>
      <c r="D20" t="str">
        <f>_xlfn.CONCAT(TEXT(SUMIFS(Table2[AwayWon], Table2[GameIsOver],1,Table2[AwayTeam],$A20, Table2[HomeTeam], D$1) + SUMIFS(Table2[HomeWon_], Table2[GameIsOver],1,Table2[HomeTeam],$A20, Table2[AwayTeam], D$1),0), "-", TEXT(SUMIFS(Table2[HomeWon_], Table2[GameIsOver],1,Table2[AwayTeam],$A20, Table2[HomeTeam], D$1, Table2[ActualResult], "REG") + SUMIFS(Table2[AwayWon], Table2[GameIsOver],1,Table2[HomeTeam],$A20, Table2[AwayTeam], D$1, Table2[ActualResult], "REG"),0), "-", TEXT(SUMIFS(Table2[HomeWon_], Table2[GameIsOver],1,Table2[AwayTeam],$A20, Table2[HomeTeam], D$1, Table2[ActualResult], "OT") + SUMIFS(Table2[AwayWon], Table2[GameIsOver],1,Table2[HomeTeam],$A20, Table2[AwayTeam], D$1, Table2[ActualResult], "OT") + SUMIFS(Table2[HomeWon_], Table2[GameIsOver],1,Table2[AwayTeam],$A20, Table2[HomeTeam], D$1, Table2[ActualResult], "SO") + SUMIFS(Table2[AwayWon], Table2[GameIsOver],1,Table2[HomeTeam],$A20, Table2[AwayTeam], D$1, Table2[ActualResult], "SO"),0))</f>
        <v>1-0-0</v>
      </c>
      <c r="E20" t="str">
        <f>_xlfn.CONCAT(TEXT(SUMIFS(Table2[AwayWon], Table2[GameIsOver],1,Table2[AwayTeam],$A20, Table2[HomeTeam], E$1) + SUMIFS(Table2[HomeWon_], Table2[GameIsOver],1,Table2[HomeTeam],$A20, Table2[AwayTeam], E$1),0), "-", TEXT(SUMIFS(Table2[HomeWon_], Table2[GameIsOver],1,Table2[AwayTeam],$A20, Table2[HomeTeam], E$1, Table2[ActualResult], "REG") + SUMIFS(Table2[AwayWon], Table2[GameIsOver],1,Table2[HomeTeam],$A20, Table2[AwayTeam], E$1, Table2[ActualResult], "REG"),0), "-", TEXT(SUMIFS(Table2[HomeWon_], Table2[GameIsOver],1,Table2[AwayTeam],$A20, Table2[HomeTeam], E$1, Table2[ActualResult], "OT") + SUMIFS(Table2[AwayWon], Table2[GameIsOver],1,Table2[HomeTeam],$A20, Table2[AwayTeam], E$1, Table2[ActualResult], "OT") + SUMIFS(Table2[HomeWon_], Table2[GameIsOver],1,Table2[AwayTeam],$A20, Table2[HomeTeam], E$1, Table2[ActualResult], "SO") + SUMIFS(Table2[AwayWon], Table2[GameIsOver],1,Table2[HomeTeam],$A20, Table2[AwayTeam], E$1, Table2[ActualResult], "SO"),0))</f>
        <v>0-0-0</v>
      </c>
      <c r="F20" t="str">
        <f>_xlfn.CONCAT(TEXT(SUMIFS(Table2[AwayWon], Table2[GameIsOver],1,Table2[AwayTeam],$A20, Table2[HomeTeam], F$1) + SUMIFS(Table2[HomeWon_], Table2[GameIsOver],1,Table2[HomeTeam],$A20, Table2[AwayTeam], F$1),0), "-", TEXT(SUMIFS(Table2[HomeWon_], Table2[GameIsOver],1,Table2[AwayTeam],$A20, Table2[HomeTeam], F$1, Table2[ActualResult], "REG") + SUMIFS(Table2[AwayWon], Table2[GameIsOver],1,Table2[HomeTeam],$A20, Table2[AwayTeam], F$1, Table2[ActualResult], "REG"),0), "-", TEXT(SUMIFS(Table2[HomeWon_], Table2[GameIsOver],1,Table2[AwayTeam],$A20, Table2[HomeTeam], F$1, Table2[ActualResult], "OT") + SUMIFS(Table2[AwayWon], Table2[GameIsOver],1,Table2[HomeTeam],$A20, Table2[AwayTeam], F$1, Table2[ActualResult], "OT") + SUMIFS(Table2[HomeWon_], Table2[GameIsOver],1,Table2[AwayTeam],$A20, Table2[HomeTeam], F$1, Table2[ActualResult], "SO") + SUMIFS(Table2[AwayWon], Table2[GameIsOver],1,Table2[HomeTeam],$A20, Table2[AwayTeam], F$1, Table2[ActualResult], "SO"),0))</f>
        <v>0-0-0</v>
      </c>
      <c r="G20" t="str">
        <f>_xlfn.CONCAT(TEXT(SUMIFS(Table2[AwayWon], Table2[GameIsOver],1,Table2[AwayTeam],$A20, Table2[HomeTeam], G$1) + SUMIFS(Table2[HomeWon_], Table2[GameIsOver],1,Table2[HomeTeam],$A20, Table2[AwayTeam], G$1),0), "-", TEXT(SUMIFS(Table2[HomeWon_], Table2[GameIsOver],1,Table2[AwayTeam],$A20, Table2[HomeTeam], G$1, Table2[ActualResult], "REG") + SUMIFS(Table2[AwayWon], Table2[GameIsOver],1,Table2[HomeTeam],$A20, Table2[AwayTeam], G$1, Table2[ActualResult], "REG"),0), "-", TEXT(SUMIFS(Table2[HomeWon_], Table2[GameIsOver],1,Table2[AwayTeam],$A20, Table2[HomeTeam], G$1, Table2[ActualResult], "OT") + SUMIFS(Table2[AwayWon], Table2[GameIsOver],1,Table2[HomeTeam],$A20, Table2[AwayTeam], G$1, Table2[ActualResult], "OT") + SUMIFS(Table2[HomeWon_], Table2[GameIsOver],1,Table2[AwayTeam],$A20, Table2[HomeTeam], G$1, Table2[ActualResult], "SO") + SUMIFS(Table2[AwayWon], Table2[GameIsOver],1,Table2[HomeTeam],$A20, Table2[AwayTeam], G$1, Table2[ActualResult], "SO"),0))</f>
        <v>0-0-0</v>
      </c>
      <c r="H20" t="str">
        <f>_xlfn.CONCAT(TEXT(SUMIFS(Table2[AwayWon], Table2[GameIsOver],1,Table2[AwayTeam],$A20, Table2[HomeTeam], H$1) + SUMIFS(Table2[HomeWon_], Table2[GameIsOver],1,Table2[HomeTeam],$A20, Table2[AwayTeam], H$1),0), "-", TEXT(SUMIFS(Table2[HomeWon_], Table2[GameIsOver],1,Table2[AwayTeam],$A20, Table2[HomeTeam], H$1, Table2[ActualResult], "REG") + SUMIFS(Table2[AwayWon], Table2[GameIsOver],1,Table2[HomeTeam],$A20, Table2[AwayTeam], H$1, Table2[ActualResult], "REG"),0), "-", TEXT(SUMIFS(Table2[HomeWon_], Table2[GameIsOver],1,Table2[AwayTeam],$A20, Table2[HomeTeam], H$1, Table2[ActualResult], "OT") + SUMIFS(Table2[AwayWon], Table2[GameIsOver],1,Table2[HomeTeam],$A20, Table2[AwayTeam], H$1, Table2[ActualResult], "OT") + SUMIFS(Table2[HomeWon_], Table2[GameIsOver],1,Table2[AwayTeam],$A20, Table2[HomeTeam], H$1, Table2[ActualResult], "SO") + SUMIFS(Table2[AwayWon], Table2[GameIsOver],1,Table2[HomeTeam],$A20, Table2[AwayTeam], H$1, Table2[ActualResult], "SO"),0))</f>
        <v>0-0-0</v>
      </c>
      <c r="I20" s="57" t="str">
        <f>_xlfn.CONCAT(TEXT(SUMIFS(Table2[AwayWon], Table2[GameIsOver],1,Table2[AwayTeam],$A20, Table2[HomeTeam], I$1) + SUMIFS(Table2[HomeWon_], Table2[GameIsOver],1,Table2[HomeTeam],$A20, Table2[AwayTeam], I$1),0), "-", TEXT(SUMIFS(Table2[HomeWon_], Table2[GameIsOver],1,Table2[AwayTeam],$A20, Table2[HomeTeam], I$1, Table2[ActualResult], "REG") + SUMIFS(Table2[AwayWon], Table2[GameIsOver],1,Table2[HomeTeam],$A20, Table2[AwayTeam], I$1, Table2[ActualResult], "REG"),0), "-", TEXT(SUMIFS(Table2[HomeWon_], Table2[GameIsOver],1,Table2[AwayTeam],$A20, Table2[HomeTeam], I$1, Table2[ActualResult], "OT") + SUMIFS(Table2[AwayWon], Table2[GameIsOver],1,Table2[HomeTeam],$A20, Table2[AwayTeam], I$1, Table2[ActualResult], "OT") + SUMIFS(Table2[HomeWon_], Table2[GameIsOver],1,Table2[AwayTeam],$A20, Table2[HomeTeam], I$1, Table2[ActualResult], "SO") + SUMIFS(Table2[AwayWon], Table2[GameIsOver],1,Table2[HomeTeam],$A20, Table2[AwayTeam], I$1, Table2[ActualResult], "SO"),0))</f>
        <v>0-0-0</v>
      </c>
      <c r="J20" t="str">
        <f>_xlfn.CONCAT(TEXT(SUMIFS(Table2[AwayWon], Table2[GameIsOver],1,Table2[AwayTeam],$A20, Table2[HomeTeam], J$1) + SUMIFS(Table2[HomeWon_], Table2[GameIsOver],1,Table2[HomeTeam],$A20, Table2[AwayTeam], J$1),0), "-", TEXT(SUMIFS(Table2[HomeWon_], Table2[GameIsOver],1,Table2[AwayTeam],$A20, Table2[HomeTeam], J$1, Table2[ActualResult], "REG") + SUMIFS(Table2[AwayWon], Table2[GameIsOver],1,Table2[HomeTeam],$A20, Table2[AwayTeam], J$1, Table2[ActualResult], "REG"),0), "-", TEXT(SUMIFS(Table2[HomeWon_], Table2[GameIsOver],1,Table2[AwayTeam],$A20, Table2[HomeTeam], J$1, Table2[ActualResult], "OT") + SUMIFS(Table2[AwayWon], Table2[GameIsOver],1,Table2[HomeTeam],$A20, Table2[AwayTeam], J$1, Table2[ActualResult], "OT") + SUMIFS(Table2[HomeWon_], Table2[GameIsOver],1,Table2[AwayTeam],$A20, Table2[HomeTeam], J$1, Table2[ActualResult], "SO") + SUMIFS(Table2[AwayWon], Table2[GameIsOver],1,Table2[HomeTeam],$A20, Table2[AwayTeam], J$1, Table2[ActualResult], "SO"),0))</f>
        <v>0-0-0</v>
      </c>
      <c r="K20" t="str">
        <f>_xlfn.CONCAT(TEXT(SUMIFS(Table2[AwayWon], Table2[GameIsOver],1,Table2[AwayTeam],$A20, Table2[HomeTeam], K$1) + SUMIFS(Table2[HomeWon_], Table2[GameIsOver],1,Table2[HomeTeam],$A20, Table2[AwayTeam], K$1),0), "-", TEXT(SUMIFS(Table2[HomeWon_], Table2[GameIsOver],1,Table2[AwayTeam],$A20, Table2[HomeTeam], K$1, Table2[ActualResult], "REG") + SUMIFS(Table2[AwayWon], Table2[GameIsOver],1,Table2[HomeTeam],$A20, Table2[AwayTeam], K$1, Table2[ActualResult], "REG"),0), "-", TEXT(SUMIFS(Table2[HomeWon_], Table2[GameIsOver],1,Table2[AwayTeam],$A20, Table2[HomeTeam], K$1, Table2[ActualResult], "OT") + SUMIFS(Table2[AwayWon], Table2[GameIsOver],1,Table2[HomeTeam],$A20, Table2[AwayTeam], K$1, Table2[ActualResult], "OT") + SUMIFS(Table2[HomeWon_], Table2[GameIsOver],1,Table2[AwayTeam],$A20, Table2[HomeTeam], K$1, Table2[ActualResult], "SO") + SUMIFS(Table2[AwayWon], Table2[GameIsOver],1,Table2[HomeTeam],$A20, Table2[AwayTeam], K$1, Table2[ActualResult], "SO"),0))</f>
        <v>0-0-0</v>
      </c>
      <c r="L20" t="str">
        <f>_xlfn.CONCAT(TEXT(SUMIFS(Table2[AwayWon], Table2[GameIsOver],1,Table2[AwayTeam],$A20, Table2[HomeTeam], L$1) + SUMIFS(Table2[HomeWon_], Table2[GameIsOver],1,Table2[HomeTeam],$A20, Table2[AwayTeam], L$1),0), "-", TEXT(SUMIFS(Table2[HomeWon_], Table2[GameIsOver],1,Table2[AwayTeam],$A20, Table2[HomeTeam], L$1, Table2[ActualResult], "REG") + SUMIFS(Table2[AwayWon], Table2[GameIsOver],1,Table2[HomeTeam],$A20, Table2[AwayTeam], L$1, Table2[ActualResult], "REG"),0), "-", TEXT(SUMIFS(Table2[HomeWon_], Table2[GameIsOver],1,Table2[AwayTeam],$A20, Table2[HomeTeam], L$1, Table2[ActualResult], "OT") + SUMIFS(Table2[AwayWon], Table2[GameIsOver],1,Table2[HomeTeam],$A20, Table2[AwayTeam], L$1, Table2[ActualResult], "OT") + SUMIFS(Table2[HomeWon_], Table2[GameIsOver],1,Table2[AwayTeam],$A20, Table2[HomeTeam], L$1, Table2[ActualResult], "SO") + SUMIFS(Table2[AwayWon], Table2[GameIsOver],1,Table2[HomeTeam],$A20, Table2[AwayTeam], L$1, Table2[ActualResult], "SO"),0))</f>
        <v>0-0-0</v>
      </c>
      <c r="M20" t="str">
        <f>_xlfn.CONCAT(TEXT(SUMIFS(Table2[AwayWon], Table2[GameIsOver],1,Table2[AwayTeam],$A20, Table2[HomeTeam], M$1) + SUMIFS(Table2[HomeWon_], Table2[GameIsOver],1,Table2[HomeTeam],$A20, Table2[AwayTeam], M$1),0), "-", TEXT(SUMIFS(Table2[HomeWon_], Table2[GameIsOver],1,Table2[AwayTeam],$A20, Table2[HomeTeam], M$1, Table2[ActualResult], "REG") + SUMIFS(Table2[AwayWon], Table2[GameIsOver],1,Table2[HomeTeam],$A20, Table2[AwayTeam], M$1, Table2[ActualResult], "REG"),0), "-", TEXT(SUMIFS(Table2[HomeWon_], Table2[GameIsOver],1,Table2[AwayTeam],$A20, Table2[HomeTeam], M$1, Table2[ActualResult], "OT") + SUMIFS(Table2[AwayWon], Table2[GameIsOver],1,Table2[HomeTeam],$A20, Table2[AwayTeam], M$1, Table2[ActualResult], "OT") + SUMIFS(Table2[HomeWon_], Table2[GameIsOver],1,Table2[AwayTeam],$A20, Table2[HomeTeam], M$1, Table2[ActualResult], "SO") + SUMIFS(Table2[AwayWon], Table2[GameIsOver],1,Table2[HomeTeam],$A20, Table2[AwayTeam], M$1, Table2[ActualResult], "SO"),0))</f>
        <v>0-0-0</v>
      </c>
      <c r="N20" t="str">
        <f>_xlfn.CONCAT(TEXT(SUMIFS(Table2[AwayWon], Table2[GameIsOver],1,Table2[AwayTeam],$A20, Table2[HomeTeam], N$1) + SUMIFS(Table2[HomeWon_], Table2[GameIsOver],1,Table2[HomeTeam],$A20, Table2[AwayTeam], N$1),0), "-", TEXT(SUMIFS(Table2[HomeWon_], Table2[GameIsOver],1,Table2[AwayTeam],$A20, Table2[HomeTeam], N$1, Table2[ActualResult], "REG") + SUMIFS(Table2[AwayWon], Table2[GameIsOver],1,Table2[HomeTeam],$A20, Table2[AwayTeam], N$1, Table2[ActualResult], "REG"),0), "-", TEXT(SUMIFS(Table2[HomeWon_], Table2[GameIsOver],1,Table2[AwayTeam],$A20, Table2[HomeTeam], N$1, Table2[ActualResult], "OT") + SUMIFS(Table2[AwayWon], Table2[GameIsOver],1,Table2[HomeTeam],$A20, Table2[AwayTeam], N$1, Table2[ActualResult], "OT") + SUMIFS(Table2[HomeWon_], Table2[GameIsOver],1,Table2[AwayTeam],$A20, Table2[HomeTeam], N$1, Table2[ActualResult], "SO") + SUMIFS(Table2[AwayWon], Table2[GameIsOver],1,Table2[HomeTeam],$A20, Table2[AwayTeam], N$1, Table2[ActualResult], "SO"),0))</f>
        <v>0-0-0</v>
      </c>
      <c r="O20" t="str">
        <f>_xlfn.CONCAT(TEXT(SUMIFS(Table2[AwayWon], Table2[GameIsOver],1,Table2[AwayTeam],$A20, Table2[HomeTeam], O$1) + SUMIFS(Table2[HomeWon_], Table2[GameIsOver],1,Table2[HomeTeam],$A20, Table2[AwayTeam], O$1),0), "-", TEXT(SUMIFS(Table2[HomeWon_], Table2[GameIsOver],1,Table2[AwayTeam],$A20, Table2[HomeTeam], O$1, Table2[ActualResult], "REG") + SUMIFS(Table2[AwayWon], Table2[GameIsOver],1,Table2[HomeTeam],$A20, Table2[AwayTeam], O$1, Table2[ActualResult], "REG"),0), "-", TEXT(SUMIFS(Table2[HomeWon_], Table2[GameIsOver],1,Table2[AwayTeam],$A20, Table2[HomeTeam], O$1, Table2[ActualResult], "OT") + SUMIFS(Table2[AwayWon], Table2[GameIsOver],1,Table2[HomeTeam],$A20, Table2[AwayTeam], O$1, Table2[ActualResult], "OT") + SUMIFS(Table2[HomeWon_], Table2[GameIsOver],1,Table2[AwayTeam],$A20, Table2[HomeTeam], O$1, Table2[ActualResult], "SO") + SUMIFS(Table2[AwayWon], Table2[GameIsOver],1,Table2[HomeTeam],$A20, Table2[AwayTeam], O$1, Table2[ActualResult], "SO"),0))</f>
        <v>0-0-0</v>
      </c>
      <c r="P20" t="str">
        <f>_xlfn.CONCAT(TEXT(SUMIFS(Table2[AwayWon], Table2[GameIsOver],1,Table2[AwayTeam],$A20, Table2[HomeTeam], P$1) + SUMIFS(Table2[HomeWon_], Table2[GameIsOver],1,Table2[HomeTeam],$A20, Table2[AwayTeam], P$1),0), "-", TEXT(SUMIFS(Table2[HomeWon_], Table2[GameIsOver],1,Table2[AwayTeam],$A20, Table2[HomeTeam], P$1, Table2[ActualResult], "REG") + SUMIFS(Table2[AwayWon], Table2[GameIsOver],1,Table2[HomeTeam],$A20, Table2[AwayTeam], P$1, Table2[ActualResult], "REG"),0), "-", TEXT(SUMIFS(Table2[HomeWon_], Table2[GameIsOver],1,Table2[AwayTeam],$A20, Table2[HomeTeam], P$1, Table2[ActualResult], "OT") + SUMIFS(Table2[AwayWon], Table2[GameIsOver],1,Table2[HomeTeam],$A20, Table2[AwayTeam], P$1, Table2[ActualResult], "OT") + SUMIFS(Table2[HomeWon_], Table2[GameIsOver],1,Table2[AwayTeam],$A20, Table2[HomeTeam], P$1, Table2[ActualResult], "SO") + SUMIFS(Table2[AwayWon], Table2[GameIsOver],1,Table2[HomeTeam],$A20, Table2[AwayTeam], P$1, Table2[ActualResult], "SO"),0))</f>
        <v>0-0-0</v>
      </c>
      <c r="Q20" s="57" t="str">
        <f>_xlfn.CONCAT(TEXT(SUMIFS(Table2[AwayWon], Table2[GameIsOver],1,Table2[AwayTeam],$A20, Table2[HomeTeam], Q$1) + SUMIFS(Table2[HomeWon_], Table2[GameIsOver],1,Table2[HomeTeam],$A20, Table2[AwayTeam], Q$1),0), "-", TEXT(SUMIFS(Table2[HomeWon_], Table2[GameIsOver],1,Table2[AwayTeam],$A20, Table2[HomeTeam], Q$1, Table2[ActualResult], "REG") + SUMIFS(Table2[AwayWon], Table2[GameIsOver],1,Table2[HomeTeam],$A20, Table2[AwayTeam], Q$1, Table2[ActualResult], "REG"),0), "-", TEXT(SUMIFS(Table2[HomeWon_], Table2[GameIsOver],1,Table2[AwayTeam],$A20, Table2[HomeTeam], Q$1, Table2[ActualResult], "OT") + SUMIFS(Table2[AwayWon], Table2[GameIsOver],1,Table2[HomeTeam],$A20, Table2[AwayTeam], Q$1, Table2[ActualResult], "OT") + SUMIFS(Table2[HomeWon_], Table2[GameIsOver],1,Table2[AwayTeam],$A20, Table2[HomeTeam], Q$1, Table2[ActualResult], "SO") + SUMIFS(Table2[AwayWon], Table2[GameIsOver],1,Table2[HomeTeam],$A20, Table2[AwayTeam], Q$1, Table2[ActualResult], "SO"),0))</f>
        <v>0-0-0</v>
      </c>
      <c r="R20" t="str">
        <f>_xlfn.CONCAT(TEXT(SUMIFS(Table2[AwayWon], Table2[GameIsOver],1,Table2[AwayTeam],$A20, Table2[HomeTeam], R$1) + SUMIFS(Table2[HomeWon_], Table2[GameIsOver],1,Table2[HomeTeam],$A20, Table2[AwayTeam], R$1),0), "-", TEXT(SUMIFS(Table2[HomeWon_], Table2[GameIsOver],1,Table2[AwayTeam],$A20, Table2[HomeTeam], R$1, Table2[ActualResult], "REG") + SUMIFS(Table2[AwayWon], Table2[GameIsOver],1,Table2[HomeTeam],$A20, Table2[AwayTeam], R$1, Table2[ActualResult], "REG"),0), "-", TEXT(SUMIFS(Table2[HomeWon_], Table2[GameIsOver],1,Table2[AwayTeam],$A20, Table2[HomeTeam], R$1, Table2[ActualResult], "OT") + SUMIFS(Table2[AwayWon], Table2[GameIsOver],1,Table2[HomeTeam],$A20, Table2[AwayTeam], R$1, Table2[ActualResult], "OT") + SUMIFS(Table2[HomeWon_], Table2[GameIsOver],1,Table2[AwayTeam],$A20, Table2[HomeTeam], R$1, Table2[ActualResult], "SO") + SUMIFS(Table2[AwayWon], Table2[GameIsOver],1,Table2[HomeTeam],$A20, Table2[AwayTeam], R$1, Table2[ActualResult], "SO"),0))</f>
        <v>0-1-0</v>
      </c>
      <c r="S20" t="str">
        <f>_xlfn.CONCAT(TEXT(SUMIFS(Table2[AwayWon], Table2[GameIsOver],1,Table2[AwayTeam],$A20, Table2[HomeTeam], S$1) + SUMIFS(Table2[HomeWon_], Table2[GameIsOver],1,Table2[HomeTeam],$A20, Table2[AwayTeam], S$1),0), "-", TEXT(SUMIFS(Table2[HomeWon_], Table2[GameIsOver],1,Table2[AwayTeam],$A20, Table2[HomeTeam], S$1, Table2[ActualResult], "REG") + SUMIFS(Table2[AwayWon], Table2[GameIsOver],1,Table2[HomeTeam],$A20, Table2[AwayTeam], S$1, Table2[ActualResult], "REG"),0), "-", TEXT(SUMIFS(Table2[HomeWon_], Table2[GameIsOver],1,Table2[AwayTeam],$A20, Table2[HomeTeam], S$1, Table2[ActualResult], "OT") + SUMIFS(Table2[AwayWon], Table2[GameIsOver],1,Table2[HomeTeam],$A20, Table2[AwayTeam], S$1, Table2[ActualResult], "OT") + SUMIFS(Table2[HomeWon_], Table2[GameIsOver],1,Table2[AwayTeam],$A20, Table2[HomeTeam], S$1, Table2[ActualResult], "SO") + SUMIFS(Table2[AwayWon], Table2[GameIsOver],1,Table2[HomeTeam],$A20, Table2[AwayTeam], S$1, Table2[ActualResult], "SO"),0))</f>
        <v>1-0-0</v>
      </c>
      <c r="T20" s="89"/>
      <c r="U20" t="str">
        <f>_xlfn.CONCAT(TEXT(SUMIFS(Table2[AwayWon], Table2[GameIsOver],1,Table2[AwayTeam],$A20, Table2[HomeTeam], U$1) + SUMIFS(Table2[HomeWon_], Table2[GameIsOver],1,Table2[HomeTeam],$A20, Table2[AwayTeam], U$1),0), "-", TEXT(SUMIFS(Table2[HomeWon_], Table2[GameIsOver],1,Table2[AwayTeam],$A20, Table2[HomeTeam], U$1, Table2[ActualResult], "REG") + SUMIFS(Table2[AwayWon], Table2[GameIsOver],1,Table2[HomeTeam],$A20, Table2[AwayTeam], U$1, Table2[ActualResult], "REG"),0), "-", TEXT(SUMIFS(Table2[HomeWon_], Table2[GameIsOver],1,Table2[AwayTeam],$A20, Table2[HomeTeam], U$1, Table2[ActualResult], "OT") + SUMIFS(Table2[AwayWon], Table2[GameIsOver],1,Table2[HomeTeam],$A20, Table2[AwayTeam], U$1, Table2[ActualResult], "OT") + SUMIFS(Table2[HomeWon_], Table2[GameIsOver],1,Table2[AwayTeam],$A20, Table2[HomeTeam], U$1, Table2[ActualResult], "SO") + SUMIFS(Table2[AwayWon], Table2[GameIsOver],1,Table2[HomeTeam],$A20, Table2[AwayTeam], U$1, Table2[ActualResult], "SO"),0))</f>
        <v>0-0-0</v>
      </c>
      <c r="V20" t="str">
        <f>_xlfn.CONCAT(TEXT(SUMIFS(Table2[AwayWon], Table2[GameIsOver],1,Table2[AwayTeam],$A20, Table2[HomeTeam], V$1) + SUMIFS(Table2[HomeWon_], Table2[GameIsOver],1,Table2[HomeTeam],$A20, Table2[AwayTeam], V$1),0), "-", TEXT(SUMIFS(Table2[HomeWon_], Table2[GameIsOver],1,Table2[AwayTeam],$A20, Table2[HomeTeam], V$1, Table2[ActualResult], "REG") + SUMIFS(Table2[AwayWon], Table2[GameIsOver],1,Table2[HomeTeam],$A20, Table2[AwayTeam], V$1, Table2[ActualResult], "REG"),0), "-", TEXT(SUMIFS(Table2[HomeWon_], Table2[GameIsOver],1,Table2[AwayTeam],$A20, Table2[HomeTeam], V$1, Table2[ActualResult], "OT") + SUMIFS(Table2[AwayWon], Table2[GameIsOver],1,Table2[HomeTeam],$A20, Table2[AwayTeam], V$1, Table2[ActualResult], "OT") + SUMIFS(Table2[HomeWon_], Table2[GameIsOver],1,Table2[AwayTeam],$A20, Table2[HomeTeam], V$1, Table2[ActualResult], "SO") + SUMIFS(Table2[AwayWon], Table2[GameIsOver],1,Table2[HomeTeam],$A20, Table2[AwayTeam], V$1, Table2[ActualResult], "SO"),0))</f>
        <v>0-0-0</v>
      </c>
      <c r="W20" t="str">
        <f>_xlfn.CONCAT(TEXT(SUMIFS(Table2[AwayWon], Table2[GameIsOver],1,Table2[AwayTeam],$A20, Table2[HomeTeam], W$1) + SUMIFS(Table2[HomeWon_], Table2[GameIsOver],1,Table2[HomeTeam],$A20, Table2[AwayTeam], W$1),0), "-", TEXT(SUMIFS(Table2[HomeWon_], Table2[GameIsOver],1,Table2[AwayTeam],$A20, Table2[HomeTeam], W$1, Table2[ActualResult], "REG") + SUMIFS(Table2[AwayWon], Table2[GameIsOver],1,Table2[HomeTeam],$A20, Table2[AwayTeam], W$1, Table2[ActualResult], "REG"),0), "-", TEXT(SUMIFS(Table2[HomeWon_], Table2[GameIsOver],1,Table2[AwayTeam],$A20, Table2[HomeTeam], W$1, Table2[ActualResult], "OT") + SUMIFS(Table2[AwayWon], Table2[GameIsOver],1,Table2[HomeTeam],$A20, Table2[AwayTeam], W$1, Table2[ActualResult], "OT") + SUMIFS(Table2[HomeWon_], Table2[GameIsOver],1,Table2[AwayTeam],$A20, Table2[HomeTeam], W$1, Table2[ActualResult], "SO") + SUMIFS(Table2[AwayWon], Table2[GameIsOver],1,Table2[HomeTeam],$A20, Table2[AwayTeam], W$1, Table2[ActualResult], "SO"),0))</f>
        <v>0-0-0</v>
      </c>
      <c r="X20" t="str">
        <f>_xlfn.CONCAT(TEXT(SUMIFS(Table2[AwayWon], Table2[GameIsOver],1,Table2[AwayTeam],$A20, Table2[HomeTeam], X$1) + SUMIFS(Table2[HomeWon_], Table2[GameIsOver],1,Table2[HomeTeam],$A20, Table2[AwayTeam], X$1),0), "-", TEXT(SUMIFS(Table2[HomeWon_], Table2[GameIsOver],1,Table2[AwayTeam],$A20, Table2[HomeTeam], X$1, Table2[ActualResult], "REG") + SUMIFS(Table2[AwayWon], Table2[GameIsOver],1,Table2[HomeTeam],$A20, Table2[AwayTeam], X$1, Table2[ActualResult], "REG"),0), "-", TEXT(SUMIFS(Table2[HomeWon_], Table2[GameIsOver],1,Table2[AwayTeam],$A20, Table2[HomeTeam], X$1, Table2[ActualResult], "OT") + SUMIFS(Table2[AwayWon], Table2[GameIsOver],1,Table2[HomeTeam],$A20, Table2[AwayTeam], X$1, Table2[ActualResult], "OT") + SUMIFS(Table2[HomeWon_], Table2[GameIsOver],1,Table2[AwayTeam],$A20, Table2[HomeTeam], X$1, Table2[ActualResult], "SO") + SUMIFS(Table2[AwayWon], Table2[GameIsOver],1,Table2[HomeTeam],$A20, Table2[AwayTeam], X$1, Table2[ActualResult], "SO"),0))</f>
        <v>0-0-0</v>
      </c>
      <c r="Y20" s="57" t="str">
        <f>_xlfn.CONCAT(TEXT(SUMIFS(Table2[AwayWon], Table2[GameIsOver],1,Table2[AwayTeam],$A20, Table2[HomeTeam], Y$1) + SUMIFS(Table2[HomeWon_], Table2[GameIsOver],1,Table2[HomeTeam],$A20, Table2[AwayTeam], Y$1),0), "-", TEXT(SUMIFS(Table2[HomeWon_], Table2[GameIsOver],1,Table2[AwayTeam],$A20, Table2[HomeTeam], Y$1, Table2[ActualResult], "REG") + SUMIFS(Table2[AwayWon], Table2[GameIsOver],1,Table2[HomeTeam],$A20, Table2[AwayTeam], Y$1, Table2[ActualResult], "REG"),0), "-", TEXT(SUMIFS(Table2[HomeWon_], Table2[GameIsOver],1,Table2[AwayTeam],$A20, Table2[HomeTeam], Y$1, Table2[ActualResult], "OT") + SUMIFS(Table2[AwayWon], Table2[GameIsOver],1,Table2[HomeTeam],$A20, Table2[AwayTeam], Y$1, Table2[ActualResult], "OT") + SUMIFS(Table2[HomeWon_], Table2[GameIsOver],1,Table2[AwayTeam],$A20, Table2[HomeTeam], Y$1, Table2[ActualResult], "SO") + SUMIFS(Table2[AwayWon], Table2[GameIsOver],1,Table2[HomeTeam],$A20, Table2[AwayTeam], Y$1, Table2[ActualResult], "SO"),0))</f>
        <v>0-0-0</v>
      </c>
      <c r="Z20" t="str">
        <f>_xlfn.CONCAT(TEXT(SUMIFS(Table2[AwayWon], Table2[GameIsOver],1,Table2[AwayTeam],$A20, Table2[HomeTeam], Z$1) + SUMIFS(Table2[HomeWon_], Table2[GameIsOver],1,Table2[HomeTeam],$A20, Table2[AwayTeam], Z$1),0), "-", TEXT(SUMIFS(Table2[HomeWon_], Table2[GameIsOver],1,Table2[AwayTeam],$A20, Table2[HomeTeam], Z$1, Table2[ActualResult], "REG") + SUMIFS(Table2[AwayWon], Table2[GameIsOver],1,Table2[HomeTeam],$A20, Table2[AwayTeam], Z$1, Table2[ActualResult], "REG"),0), "-", TEXT(SUMIFS(Table2[HomeWon_], Table2[GameIsOver],1,Table2[AwayTeam],$A20, Table2[HomeTeam], Z$1, Table2[ActualResult], "OT") + SUMIFS(Table2[AwayWon], Table2[GameIsOver],1,Table2[HomeTeam],$A20, Table2[AwayTeam], Z$1, Table2[ActualResult], "OT") + SUMIFS(Table2[HomeWon_], Table2[GameIsOver],1,Table2[AwayTeam],$A20, Table2[HomeTeam], Z$1, Table2[ActualResult], "SO") + SUMIFS(Table2[AwayWon], Table2[GameIsOver],1,Table2[HomeTeam],$A20, Table2[AwayTeam], Z$1, Table2[ActualResult], "SO"),0))</f>
        <v>0-0-0</v>
      </c>
      <c r="AA20" t="str">
        <f>_xlfn.CONCAT(TEXT(SUMIFS(Table2[AwayWon], Table2[GameIsOver],1,Table2[AwayTeam],$A20, Table2[HomeTeam], AA$1) + SUMIFS(Table2[HomeWon_], Table2[GameIsOver],1,Table2[HomeTeam],$A20, Table2[AwayTeam], AA$1),0), "-", TEXT(SUMIFS(Table2[HomeWon_], Table2[GameIsOver],1,Table2[AwayTeam],$A20, Table2[HomeTeam], AA$1, Table2[ActualResult], "REG") + SUMIFS(Table2[AwayWon], Table2[GameIsOver],1,Table2[HomeTeam],$A20, Table2[AwayTeam], AA$1, Table2[ActualResult], "REG"),0), "-", TEXT(SUMIFS(Table2[HomeWon_], Table2[GameIsOver],1,Table2[AwayTeam],$A20, Table2[HomeTeam], AA$1, Table2[ActualResult], "OT") + SUMIFS(Table2[AwayWon], Table2[GameIsOver],1,Table2[HomeTeam],$A20, Table2[AwayTeam], AA$1, Table2[ActualResult], "OT") + SUMIFS(Table2[HomeWon_], Table2[GameIsOver],1,Table2[AwayTeam],$A20, Table2[HomeTeam], AA$1, Table2[ActualResult], "SO") + SUMIFS(Table2[AwayWon], Table2[GameIsOver],1,Table2[HomeTeam],$A20, Table2[AwayTeam], AA$1, Table2[ActualResult], "SO"),0))</f>
        <v>0-0-0</v>
      </c>
      <c r="AB20" t="str">
        <f>_xlfn.CONCAT(TEXT(SUMIFS(Table2[AwayWon], Table2[GameIsOver],1,Table2[AwayTeam],$A20, Table2[HomeTeam], AB$1) + SUMIFS(Table2[HomeWon_], Table2[GameIsOver],1,Table2[HomeTeam],$A20, Table2[AwayTeam], AB$1),0), "-", TEXT(SUMIFS(Table2[HomeWon_], Table2[GameIsOver],1,Table2[AwayTeam],$A20, Table2[HomeTeam], AB$1, Table2[ActualResult], "REG") + SUMIFS(Table2[AwayWon], Table2[GameIsOver],1,Table2[HomeTeam],$A20, Table2[AwayTeam], AB$1, Table2[ActualResult], "REG"),0), "-", TEXT(SUMIFS(Table2[HomeWon_], Table2[GameIsOver],1,Table2[AwayTeam],$A20, Table2[HomeTeam], AB$1, Table2[ActualResult], "OT") + SUMIFS(Table2[AwayWon], Table2[GameIsOver],1,Table2[HomeTeam],$A20, Table2[AwayTeam], AB$1, Table2[ActualResult], "OT") + SUMIFS(Table2[HomeWon_], Table2[GameIsOver],1,Table2[AwayTeam],$A20, Table2[HomeTeam], AB$1, Table2[ActualResult], "SO") + SUMIFS(Table2[AwayWon], Table2[GameIsOver],1,Table2[HomeTeam],$A20, Table2[AwayTeam], AB$1, Table2[ActualResult], "SO"),0))</f>
        <v>0-0-0</v>
      </c>
      <c r="AC20" t="str">
        <f>_xlfn.CONCAT(TEXT(SUMIFS(Table2[AwayWon], Table2[GameIsOver],1,Table2[AwayTeam],$A20, Table2[HomeTeam], AC$1) + SUMIFS(Table2[HomeWon_], Table2[GameIsOver],1,Table2[HomeTeam],$A20, Table2[AwayTeam], AC$1),0), "-", TEXT(SUMIFS(Table2[HomeWon_], Table2[GameIsOver],1,Table2[AwayTeam],$A20, Table2[HomeTeam], AC$1, Table2[ActualResult], "REG") + SUMIFS(Table2[AwayWon], Table2[GameIsOver],1,Table2[HomeTeam],$A20, Table2[AwayTeam], AC$1, Table2[ActualResult], "REG"),0), "-", TEXT(SUMIFS(Table2[HomeWon_], Table2[GameIsOver],1,Table2[AwayTeam],$A20, Table2[HomeTeam], AC$1, Table2[ActualResult], "OT") + SUMIFS(Table2[AwayWon], Table2[GameIsOver],1,Table2[HomeTeam],$A20, Table2[AwayTeam], AC$1, Table2[ActualResult], "OT") + SUMIFS(Table2[HomeWon_], Table2[GameIsOver],1,Table2[AwayTeam],$A20, Table2[HomeTeam], AC$1, Table2[ActualResult], "SO") + SUMIFS(Table2[AwayWon], Table2[GameIsOver],1,Table2[HomeTeam],$A20, Table2[AwayTeam], AC$1, Table2[ActualResult], "SO"),0))</f>
        <v>1-0-0</v>
      </c>
      <c r="AD20" t="str">
        <f>_xlfn.CONCAT(TEXT(SUMIFS(Table2[AwayWon], Table2[GameIsOver],1,Table2[AwayTeam],$A20, Table2[HomeTeam], AD$1) + SUMIFS(Table2[HomeWon_], Table2[GameIsOver],1,Table2[HomeTeam],$A20, Table2[AwayTeam], AD$1),0), "-", TEXT(SUMIFS(Table2[HomeWon_], Table2[GameIsOver],1,Table2[AwayTeam],$A20, Table2[HomeTeam], AD$1, Table2[ActualResult], "REG") + SUMIFS(Table2[AwayWon], Table2[GameIsOver],1,Table2[HomeTeam],$A20, Table2[AwayTeam], AD$1, Table2[ActualResult], "REG"),0), "-", TEXT(SUMIFS(Table2[HomeWon_], Table2[GameIsOver],1,Table2[AwayTeam],$A20, Table2[HomeTeam], AD$1, Table2[ActualResult], "OT") + SUMIFS(Table2[AwayWon], Table2[GameIsOver],1,Table2[HomeTeam],$A20, Table2[AwayTeam], AD$1, Table2[ActualResult], "OT") + SUMIFS(Table2[HomeWon_], Table2[GameIsOver],1,Table2[AwayTeam],$A20, Table2[HomeTeam], AD$1, Table2[ActualResult], "SO") + SUMIFS(Table2[AwayWon], Table2[GameIsOver],1,Table2[HomeTeam],$A20, Table2[AwayTeam], AD$1, Table2[ActualResult], "SO"),0))</f>
        <v>0-0-0</v>
      </c>
      <c r="AE20" t="str">
        <f>_xlfn.CONCAT(TEXT(SUMIFS(Table2[AwayWon], Table2[GameIsOver],1,Table2[AwayTeam],$A20, Table2[HomeTeam], AE$1) + SUMIFS(Table2[HomeWon_], Table2[GameIsOver],1,Table2[HomeTeam],$A20, Table2[AwayTeam], AE$1),0), "-", TEXT(SUMIFS(Table2[HomeWon_], Table2[GameIsOver],1,Table2[AwayTeam],$A20, Table2[HomeTeam], AE$1, Table2[ActualResult], "REG") + SUMIFS(Table2[AwayWon], Table2[GameIsOver],1,Table2[HomeTeam],$A20, Table2[AwayTeam], AE$1, Table2[ActualResult], "REG"),0), "-", TEXT(SUMIFS(Table2[HomeWon_], Table2[GameIsOver],1,Table2[AwayTeam],$A20, Table2[HomeTeam], AE$1, Table2[ActualResult], "OT") + SUMIFS(Table2[AwayWon], Table2[GameIsOver],1,Table2[HomeTeam],$A20, Table2[AwayTeam], AE$1, Table2[ActualResult], "OT") + SUMIFS(Table2[HomeWon_], Table2[GameIsOver],1,Table2[AwayTeam],$A20, Table2[HomeTeam], AE$1, Table2[ActualResult], "SO") + SUMIFS(Table2[AwayWon], Table2[GameIsOver],1,Table2[HomeTeam],$A20, Table2[AwayTeam], AE$1, Table2[ActualResult], "SO"),0))</f>
        <v>0-0-0</v>
      </c>
      <c r="AF20" t="str">
        <f>_xlfn.CONCAT(TEXT(SUMIFS(Table2[AwayWon], Table2[GameIsOver],1,Table2[AwayTeam],$A20, Table2[HomeTeam], AF$1) + SUMIFS(Table2[HomeWon_], Table2[GameIsOver],1,Table2[HomeTeam],$A20, Table2[AwayTeam], AF$1),0), "-", TEXT(SUMIFS(Table2[HomeWon_], Table2[GameIsOver],1,Table2[AwayTeam],$A20, Table2[HomeTeam], AF$1, Table2[ActualResult], "REG") + SUMIFS(Table2[AwayWon], Table2[GameIsOver],1,Table2[HomeTeam],$A20, Table2[AwayTeam], AF$1, Table2[ActualResult], "REG"),0), "-", TEXT(SUMIFS(Table2[HomeWon_], Table2[GameIsOver],1,Table2[AwayTeam],$A20, Table2[HomeTeam], AF$1, Table2[ActualResult], "OT") + SUMIFS(Table2[AwayWon], Table2[GameIsOver],1,Table2[HomeTeam],$A20, Table2[AwayTeam], AF$1, Table2[ActualResult], "OT") + SUMIFS(Table2[HomeWon_], Table2[GameIsOver],1,Table2[AwayTeam],$A20, Table2[HomeTeam], AF$1, Table2[ActualResult], "SO") + SUMIFS(Table2[AwayWon], Table2[GameIsOver],1,Table2[HomeTeam],$A20, Table2[AwayTeam], AF$1, Table2[ActualResult], "SO"),0))</f>
        <v>1-0-0</v>
      </c>
      <c r="AG20" t="str">
        <f>_xlfn.CONCAT(TEXT(SUMIFS(Table2[AwayWon], Table2[GameIsOver],1,Table2[AwayTeam],$A20, Table2[HomeTeam], AG$1) + SUMIFS(Table2[HomeWon_], Table2[GameIsOver],1,Table2[HomeTeam],$A20, Table2[AwayTeam], AG$1),0), "-", TEXT(SUMIFS(Table2[HomeWon_], Table2[GameIsOver],1,Table2[AwayTeam],$A20, Table2[HomeTeam], AG$1, Table2[ActualResult], "REG") + SUMIFS(Table2[AwayWon], Table2[GameIsOver],1,Table2[HomeTeam],$A20, Table2[AwayTeam], AG$1, Table2[ActualResult], "REG"),0), "-", TEXT(SUMIFS(Table2[HomeWon_], Table2[GameIsOver],1,Table2[AwayTeam],$A20, Table2[HomeTeam], AG$1, Table2[ActualResult], "OT") + SUMIFS(Table2[AwayWon], Table2[GameIsOver],1,Table2[HomeTeam],$A20, Table2[AwayTeam], AG$1, Table2[ActualResult], "OT") + SUMIFS(Table2[HomeWon_], Table2[GameIsOver],1,Table2[AwayTeam],$A20, Table2[HomeTeam], AG$1, Table2[ActualResult], "SO") + SUMIFS(Table2[AwayWon], Table2[GameIsOver],1,Table2[HomeTeam],$A20, Table2[AwayTeam], AG$1, Table2[ActualResult], "SO"),0))</f>
        <v>1-0-0</v>
      </c>
    </row>
    <row r="21" spans="1:33" x14ac:dyDescent="0.25">
      <c r="A21" s="57" t="s">
        <v>32</v>
      </c>
      <c r="B21" t="str">
        <f>_xlfn.CONCAT(TEXT(SUMIFS(Table2[AwayWon], Table2[GameIsOver],1,Table2[AwayTeam],$A21, Table2[HomeTeam], B$1) + SUMIFS(Table2[HomeWon_], Table2[GameIsOver],1,Table2[HomeTeam],$A21, Table2[AwayTeam], B$1),0), "-", TEXT(SUMIFS(Table2[HomeWon_], Table2[GameIsOver],1,Table2[AwayTeam],$A21, Table2[HomeTeam], B$1, Table2[ActualResult], "REG") + SUMIFS(Table2[AwayWon], Table2[GameIsOver],1,Table2[HomeTeam],$A21, Table2[AwayTeam], B$1, Table2[ActualResult], "REG"),0), "-", TEXT(SUMIFS(Table2[HomeWon_], Table2[GameIsOver],1,Table2[AwayTeam],$A21, Table2[HomeTeam], B$1, Table2[ActualResult], "OT") + SUMIFS(Table2[AwayWon], Table2[GameIsOver],1,Table2[HomeTeam],$A21, Table2[AwayTeam], B$1, Table2[ActualResult], "OT") + SUMIFS(Table2[HomeWon_], Table2[GameIsOver],1,Table2[AwayTeam],$A21, Table2[HomeTeam], B$1, Table2[ActualResult], "SO") + SUMIFS(Table2[AwayWon], Table2[GameIsOver],1,Table2[HomeTeam],$A21, Table2[AwayTeam], B$1, Table2[ActualResult], "SO"),0))</f>
        <v>0-0-0</v>
      </c>
      <c r="C21" t="str">
        <f>_xlfn.CONCAT(TEXT(SUMIFS(Table2[AwayWon], Table2[GameIsOver],1,Table2[AwayTeam],$A21, Table2[HomeTeam], C$1) + SUMIFS(Table2[HomeWon_], Table2[GameIsOver],1,Table2[HomeTeam],$A21, Table2[AwayTeam], C$1),0), "-", TEXT(SUMIFS(Table2[HomeWon_], Table2[GameIsOver],1,Table2[AwayTeam],$A21, Table2[HomeTeam], C$1, Table2[ActualResult], "REG") + SUMIFS(Table2[AwayWon], Table2[GameIsOver],1,Table2[HomeTeam],$A21, Table2[AwayTeam], C$1, Table2[ActualResult], "REG"),0), "-", TEXT(SUMIFS(Table2[HomeWon_], Table2[GameIsOver],1,Table2[AwayTeam],$A21, Table2[HomeTeam], C$1, Table2[ActualResult], "OT") + SUMIFS(Table2[AwayWon], Table2[GameIsOver],1,Table2[HomeTeam],$A21, Table2[AwayTeam], C$1, Table2[ActualResult], "OT") + SUMIFS(Table2[HomeWon_], Table2[GameIsOver],1,Table2[AwayTeam],$A21, Table2[HomeTeam], C$1, Table2[ActualResult], "SO") + SUMIFS(Table2[AwayWon], Table2[GameIsOver],1,Table2[HomeTeam],$A21, Table2[AwayTeam], C$1, Table2[ActualResult], "SO"),0))</f>
        <v>0-0-0</v>
      </c>
      <c r="D21" t="str">
        <f>_xlfn.CONCAT(TEXT(SUMIFS(Table2[AwayWon], Table2[GameIsOver],1,Table2[AwayTeam],$A21, Table2[HomeTeam], D$1) + SUMIFS(Table2[HomeWon_], Table2[GameIsOver],1,Table2[HomeTeam],$A21, Table2[AwayTeam], D$1),0), "-", TEXT(SUMIFS(Table2[HomeWon_], Table2[GameIsOver],1,Table2[AwayTeam],$A21, Table2[HomeTeam], D$1, Table2[ActualResult], "REG") + SUMIFS(Table2[AwayWon], Table2[GameIsOver],1,Table2[HomeTeam],$A21, Table2[AwayTeam], D$1, Table2[ActualResult], "REG"),0), "-", TEXT(SUMIFS(Table2[HomeWon_], Table2[GameIsOver],1,Table2[AwayTeam],$A21, Table2[HomeTeam], D$1, Table2[ActualResult], "OT") + SUMIFS(Table2[AwayWon], Table2[GameIsOver],1,Table2[HomeTeam],$A21, Table2[AwayTeam], D$1, Table2[ActualResult], "OT") + SUMIFS(Table2[HomeWon_], Table2[GameIsOver],1,Table2[AwayTeam],$A21, Table2[HomeTeam], D$1, Table2[ActualResult], "SO") + SUMIFS(Table2[AwayWon], Table2[GameIsOver],1,Table2[HomeTeam],$A21, Table2[AwayTeam], D$1, Table2[ActualResult], "SO"),0))</f>
        <v>1-0-0</v>
      </c>
      <c r="E21" t="str">
        <f>_xlfn.CONCAT(TEXT(SUMIFS(Table2[AwayWon], Table2[GameIsOver],1,Table2[AwayTeam],$A21, Table2[HomeTeam], E$1) + SUMIFS(Table2[HomeWon_], Table2[GameIsOver],1,Table2[HomeTeam],$A21, Table2[AwayTeam], E$1),0), "-", TEXT(SUMIFS(Table2[HomeWon_], Table2[GameIsOver],1,Table2[AwayTeam],$A21, Table2[HomeTeam], E$1, Table2[ActualResult], "REG") + SUMIFS(Table2[AwayWon], Table2[GameIsOver],1,Table2[HomeTeam],$A21, Table2[AwayTeam], E$1, Table2[ActualResult], "REG"),0), "-", TEXT(SUMIFS(Table2[HomeWon_], Table2[GameIsOver],1,Table2[AwayTeam],$A21, Table2[HomeTeam], E$1, Table2[ActualResult], "OT") + SUMIFS(Table2[AwayWon], Table2[GameIsOver],1,Table2[HomeTeam],$A21, Table2[AwayTeam], E$1, Table2[ActualResult], "OT") + SUMIFS(Table2[HomeWon_], Table2[GameIsOver],1,Table2[AwayTeam],$A21, Table2[HomeTeam], E$1, Table2[ActualResult], "SO") + SUMIFS(Table2[AwayWon], Table2[GameIsOver],1,Table2[HomeTeam],$A21, Table2[AwayTeam], E$1, Table2[ActualResult], "SO"),0))</f>
        <v>0-0-0</v>
      </c>
      <c r="F21" t="str">
        <f>_xlfn.CONCAT(TEXT(SUMIFS(Table2[AwayWon], Table2[GameIsOver],1,Table2[AwayTeam],$A21, Table2[HomeTeam], F$1) + SUMIFS(Table2[HomeWon_], Table2[GameIsOver],1,Table2[HomeTeam],$A21, Table2[AwayTeam], F$1),0), "-", TEXT(SUMIFS(Table2[HomeWon_], Table2[GameIsOver],1,Table2[AwayTeam],$A21, Table2[HomeTeam], F$1, Table2[ActualResult], "REG") + SUMIFS(Table2[AwayWon], Table2[GameIsOver],1,Table2[HomeTeam],$A21, Table2[AwayTeam], F$1, Table2[ActualResult], "REG"),0), "-", TEXT(SUMIFS(Table2[HomeWon_], Table2[GameIsOver],1,Table2[AwayTeam],$A21, Table2[HomeTeam], F$1, Table2[ActualResult], "OT") + SUMIFS(Table2[AwayWon], Table2[GameIsOver],1,Table2[HomeTeam],$A21, Table2[AwayTeam], F$1, Table2[ActualResult], "OT") + SUMIFS(Table2[HomeWon_], Table2[GameIsOver],1,Table2[AwayTeam],$A21, Table2[HomeTeam], F$1, Table2[ActualResult], "SO") + SUMIFS(Table2[AwayWon], Table2[GameIsOver],1,Table2[HomeTeam],$A21, Table2[AwayTeam], F$1, Table2[ActualResult], "SO"),0))</f>
        <v>0-0-0</v>
      </c>
      <c r="G21" t="str">
        <f>_xlfn.CONCAT(TEXT(SUMIFS(Table2[AwayWon], Table2[GameIsOver],1,Table2[AwayTeam],$A21, Table2[HomeTeam], G$1) + SUMIFS(Table2[HomeWon_], Table2[GameIsOver],1,Table2[HomeTeam],$A21, Table2[AwayTeam], G$1),0), "-", TEXT(SUMIFS(Table2[HomeWon_], Table2[GameIsOver],1,Table2[AwayTeam],$A21, Table2[HomeTeam], G$1, Table2[ActualResult], "REG") + SUMIFS(Table2[AwayWon], Table2[GameIsOver],1,Table2[HomeTeam],$A21, Table2[AwayTeam], G$1, Table2[ActualResult], "REG"),0), "-", TEXT(SUMIFS(Table2[HomeWon_], Table2[GameIsOver],1,Table2[AwayTeam],$A21, Table2[HomeTeam], G$1, Table2[ActualResult], "OT") + SUMIFS(Table2[AwayWon], Table2[GameIsOver],1,Table2[HomeTeam],$A21, Table2[AwayTeam], G$1, Table2[ActualResult], "OT") + SUMIFS(Table2[HomeWon_], Table2[GameIsOver],1,Table2[AwayTeam],$A21, Table2[HomeTeam], G$1, Table2[ActualResult], "SO") + SUMIFS(Table2[AwayWon], Table2[GameIsOver],1,Table2[HomeTeam],$A21, Table2[AwayTeam], G$1, Table2[ActualResult], "SO"),0))</f>
        <v>1-0-0</v>
      </c>
      <c r="H21" t="str">
        <f>_xlfn.CONCAT(TEXT(SUMIFS(Table2[AwayWon], Table2[GameIsOver],1,Table2[AwayTeam],$A21, Table2[HomeTeam], H$1) + SUMIFS(Table2[HomeWon_], Table2[GameIsOver],1,Table2[HomeTeam],$A21, Table2[AwayTeam], H$1),0), "-", TEXT(SUMIFS(Table2[HomeWon_], Table2[GameIsOver],1,Table2[AwayTeam],$A21, Table2[HomeTeam], H$1, Table2[ActualResult], "REG") + SUMIFS(Table2[AwayWon], Table2[GameIsOver],1,Table2[HomeTeam],$A21, Table2[AwayTeam], H$1, Table2[ActualResult], "REG"),0), "-", TEXT(SUMIFS(Table2[HomeWon_], Table2[GameIsOver],1,Table2[AwayTeam],$A21, Table2[HomeTeam], H$1, Table2[ActualResult], "OT") + SUMIFS(Table2[AwayWon], Table2[GameIsOver],1,Table2[HomeTeam],$A21, Table2[AwayTeam], H$1, Table2[ActualResult], "OT") + SUMIFS(Table2[HomeWon_], Table2[GameIsOver],1,Table2[AwayTeam],$A21, Table2[HomeTeam], H$1, Table2[ActualResult], "SO") + SUMIFS(Table2[AwayWon], Table2[GameIsOver],1,Table2[HomeTeam],$A21, Table2[AwayTeam], H$1, Table2[ActualResult], "SO"),0))</f>
        <v>0-0-0</v>
      </c>
      <c r="I21" s="57" t="str">
        <f>_xlfn.CONCAT(TEXT(SUMIFS(Table2[AwayWon], Table2[GameIsOver],1,Table2[AwayTeam],$A21, Table2[HomeTeam], I$1) + SUMIFS(Table2[HomeWon_], Table2[GameIsOver],1,Table2[HomeTeam],$A21, Table2[AwayTeam], I$1),0), "-", TEXT(SUMIFS(Table2[HomeWon_], Table2[GameIsOver],1,Table2[AwayTeam],$A21, Table2[HomeTeam], I$1, Table2[ActualResult], "REG") + SUMIFS(Table2[AwayWon], Table2[GameIsOver],1,Table2[HomeTeam],$A21, Table2[AwayTeam], I$1, Table2[ActualResult], "REG"),0), "-", TEXT(SUMIFS(Table2[HomeWon_], Table2[GameIsOver],1,Table2[AwayTeam],$A21, Table2[HomeTeam], I$1, Table2[ActualResult], "OT") + SUMIFS(Table2[AwayWon], Table2[GameIsOver],1,Table2[HomeTeam],$A21, Table2[AwayTeam], I$1, Table2[ActualResult], "OT") + SUMIFS(Table2[HomeWon_], Table2[GameIsOver],1,Table2[AwayTeam],$A21, Table2[HomeTeam], I$1, Table2[ActualResult], "SO") + SUMIFS(Table2[AwayWon], Table2[GameIsOver],1,Table2[HomeTeam],$A21, Table2[AwayTeam], I$1, Table2[ActualResult], "SO"),0))</f>
        <v>0-0-0</v>
      </c>
      <c r="J21" t="str">
        <f>_xlfn.CONCAT(TEXT(SUMIFS(Table2[AwayWon], Table2[GameIsOver],1,Table2[AwayTeam],$A21, Table2[HomeTeam], J$1) + SUMIFS(Table2[HomeWon_], Table2[GameIsOver],1,Table2[HomeTeam],$A21, Table2[AwayTeam], J$1),0), "-", TEXT(SUMIFS(Table2[HomeWon_], Table2[GameIsOver],1,Table2[AwayTeam],$A21, Table2[HomeTeam], J$1, Table2[ActualResult], "REG") + SUMIFS(Table2[AwayWon], Table2[GameIsOver],1,Table2[HomeTeam],$A21, Table2[AwayTeam], J$1, Table2[ActualResult], "REG"),0), "-", TEXT(SUMIFS(Table2[HomeWon_], Table2[GameIsOver],1,Table2[AwayTeam],$A21, Table2[HomeTeam], J$1, Table2[ActualResult], "OT") + SUMIFS(Table2[AwayWon], Table2[GameIsOver],1,Table2[HomeTeam],$A21, Table2[AwayTeam], J$1, Table2[ActualResult], "OT") + SUMIFS(Table2[HomeWon_], Table2[GameIsOver],1,Table2[AwayTeam],$A21, Table2[HomeTeam], J$1, Table2[ActualResult], "SO") + SUMIFS(Table2[AwayWon], Table2[GameIsOver],1,Table2[HomeTeam],$A21, Table2[AwayTeam], J$1, Table2[ActualResult], "SO"),0))</f>
        <v>0-0-0</v>
      </c>
      <c r="K21" t="str">
        <f>_xlfn.CONCAT(TEXT(SUMIFS(Table2[AwayWon], Table2[GameIsOver],1,Table2[AwayTeam],$A21, Table2[HomeTeam], K$1) + SUMIFS(Table2[HomeWon_], Table2[GameIsOver],1,Table2[HomeTeam],$A21, Table2[AwayTeam], K$1),0), "-", TEXT(SUMIFS(Table2[HomeWon_], Table2[GameIsOver],1,Table2[AwayTeam],$A21, Table2[HomeTeam], K$1, Table2[ActualResult], "REG") + SUMIFS(Table2[AwayWon], Table2[GameIsOver],1,Table2[HomeTeam],$A21, Table2[AwayTeam], K$1, Table2[ActualResult], "REG"),0), "-", TEXT(SUMIFS(Table2[HomeWon_], Table2[GameIsOver],1,Table2[AwayTeam],$A21, Table2[HomeTeam], K$1, Table2[ActualResult], "OT") + SUMIFS(Table2[AwayWon], Table2[GameIsOver],1,Table2[HomeTeam],$A21, Table2[AwayTeam], K$1, Table2[ActualResult], "OT") + SUMIFS(Table2[HomeWon_], Table2[GameIsOver],1,Table2[AwayTeam],$A21, Table2[HomeTeam], K$1, Table2[ActualResult], "SO") + SUMIFS(Table2[AwayWon], Table2[GameIsOver],1,Table2[HomeTeam],$A21, Table2[AwayTeam], K$1, Table2[ActualResult], "SO"),0))</f>
        <v>0-0-0</v>
      </c>
      <c r="L21" t="str">
        <f>_xlfn.CONCAT(TEXT(SUMIFS(Table2[AwayWon], Table2[GameIsOver],1,Table2[AwayTeam],$A21, Table2[HomeTeam], L$1) + SUMIFS(Table2[HomeWon_], Table2[GameIsOver],1,Table2[HomeTeam],$A21, Table2[AwayTeam], L$1),0), "-", TEXT(SUMIFS(Table2[HomeWon_], Table2[GameIsOver],1,Table2[AwayTeam],$A21, Table2[HomeTeam], L$1, Table2[ActualResult], "REG") + SUMIFS(Table2[AwayWon], Table2[GameIsOver],1,Table2[HomeTeam],$A21, Table2[AwayTeam], L$1, Table2[ActualResult], "REG"),0), "-", TEXT(SUMIFS(Table2[HomeWon_], Table2[GameIsOver],1,Table2[AwayTeam],$A21, Table2[HomeTeam], L$1, Table2[ActualResult], "OT") + SUMIFS(Table2[AwayWon], Table2[GameIsOver],1,Table2[HomeTeam],$A21, Table2[AwayTeam], L$1, Table2[ActualResult], "OT") + SUMIFS(Table2[HomeWon_], Table2[GameIsOver],1,Table2[AwayTeam],$A21, Table2[HomeTeam], L$1, Table2[ActualResult], "SO") + SUMIFS(Table2[AwayWon], Table2[GameIsOver],1,Table2[HomeTeam],$A21, Table2[AwayTeam], L$1, Table2[ActualResult], "SO"),0))</f>
        <v>0-0-0</v>
      </c>
      <c r="M21" t="str">
        <f>_xlfn.CONCAT(TEXT(SUMIFS(Table2[AwayWon], Table2[GameIsOver],1,Table2[AwayTeam],$A21, Table2[HomeTeam], M$1) + SUMIFS(Table2[HomeWon_], Table2[GameIsOver],1,Table2[HomeTeam],$A21, Table2[AwayTeam], M$1),0), "-", TEXT(SUMIFS(Table2[HomeWon_], Table2[GameIsOver],1,Table2[AwayTeam],$A21, Table2[HomeTeam], M$1, Table2[ActualResult], "REG") + SUMIFS(Table2[AwayWon], Table2[GameIsOver],1,Table2[HomeTeam],$A21, Table2[AwayTeam], M$1, Table2[ActualResult], "REG"),0), "-", TEXT(SUMIFS(Table2[HomeWon_], Table2[GameIsOver],1,Table2[AwayTeam],$A21, Table2[HomeTeam], M$1, Table2[ActualResult], "OT") + SUMIFS(Table2[AwayWon], Table2[GameIsOver],1,Table2[HomeTeam],$A21, Table2[AwayTeam], M$1, Table2[ActualResult], "OT") + SUMIFS(Table2[HomeWon_], Table2[GameIsOver],1,Table2[AwayTeam],$A21, Table2[HomeTeam], M$1, Table2[ActualResult], "SO") + SUMIFS(Table2[AwayWon], Table2[GameIsOver],1,Table2[HomeTeam],$A21, Table2[AwayTeam], M$1, Table2[ActualResult], "SO"),0))</f>
        <v>0-0-0</v>
      </c>
      <c r="N21" t="str">
        <f>_xlfn.CONCAT(TEXT(SUMIFS(Table2[AwayWon], Table2[GameIsOver],1,Table2[AwayTeam],$A21, Table2[HomeTeam], N$1) + SUMIFS(Table2[HomeWon_], Table2[GameIsOver],1,Table2[HomeTeam],$A21, Table2[AwayTeam], N$1),0), "-", TEXT(SUMIFS(Table2[HomeWon_], Table2[GameIsOver],1,Table2[AwayTeam],$A21, Table2[HomeTeam], N$1, Table2[ActualResult], "REG") + SUMIFS(Table2[AwayWon], Table2[GameIsOver],1,Table2[HomeTeam],$A21, Table2[AwayTeam], N$1, Table2[ActualResult], "REG"),0), "-", TEXT(SUMIFS(Table2[HomeWon_], Table2[GameIsOver],1,Table2[AwayTeam],$A21, Table2[HomeTeam], N$1, Table2[ActualResult], "OT") + SUMIFS(Table2[AwayWon], Table2[GameIsOver],1,Table2[HomeTeam],$A21, Table2[AwayTeam], N$1, Table2[ActualResult], "OT") + SUMIFS(Table2[HomeWon_], Table2[GameIsOver],1,Table2[AwayTeam],$A21, Table2[HomeTeam], N$1, Table2[ActualResult], "SO") + SUMIFS(Table2[AwayWon], Table2[GameIsOver],1,Table2[HomeTeam],$A21, Table2[AwayTeam], N$1, Table2[ActualResult], "SO"),0))</f>
        <v>0-0-0</v>
      </c>
      <c r="O21" t="str">
        <f>_xlfn.CONCAT(TEXT(SUMIFS(Table2[AwayWon], Table2[GameIsOver],1,Table2[AwayTeam],$A21, Table2[HomeTeam], O$1) + SUMIFS(Table2[HomeWon_], Table2[GameIsOver],1,Table2[HomeTeam],$A21, Table2[AwayTeam], O$1),0), "-", TEXT(SUMIFS(Table2[HomeWon_], Table2[GameIsOver],1,Table2[AwayTeam],$A21, Table2[HomeTeam], O$1, Table2[ActualResult], "REG") + SUMIFS(Table2[AwayWon], Table2[GameIsOver],1,Table2[HomeTeam],$A21, Table2[AwayTeam], O$1, Table2[ActualResult], "REG"),0), "-", TEXT(SUMIFS(Table2[HomeWon_], Table2[GameIsOver],1,Table2[AwayTeam],$A21, Table2[HomeTeam], O$1, Table2[ActualResult], "OT") + SUMIFS(Table2[AwayWon], Table2[GameIsOver],1,Table2[HomeTeam],$A21, Table2[AwayTeam], O$1, Table2[ActualResult], "OT") + SUMIFS(Table2[HomeWon_], Table2[GameIsOver],1,Table2[AwayTeam],$A21, Table2[HomeTeam], O$1, Table2[ActualResult], "SO") + SUMIFS(Table2[AwayWon], Table2[GameIsOver],1,Table2[HomeTeam],$A21, Table2[AwayTeam], O$1, Table2[ActualResult], "SO"),0))</f>
        <v>0-0-0</v>
      </c>
      <c r="P21" t="str">
        <f>_xlfn.CONCAT(TEXT(SUMIFS(Table2[AwayWon], Table2[GameIsOver],1,Table2[AwayTeam],$A21, Table2[HomeTeam], P$1) + SUMIFS(Table2[HomeWon_], Table2[GameIsOver],1,Table2[HomeTeam],$A21, Table2[AwayTeam], P$1),0), "-", TEXT(SUMIFS(Table2[HomeWon_], Table2[GameIsOver],1,Table2[AwayTeam],$A21, Table2[HomeTeam], P$1, Table2[ActualResult], "REG") + SUMIFS(Table2[AwayWon], Table2[GameIsOver],1,Table2[HomeTeam],$A21, Table2[AwayTeam], P$1, Table2[ActualResult], "REG"),0), "-", TEXT(SUMIFS(Table2[HomeWon_], Table2[GameIsOver],1,Table2[AwayTeam],$A21, Table2[HomeTeam], P$1, Table2[ActualResult], "OT") + SUMIFS(Table2[AwayWon], Table2[GameIsOver],1,Table2[HomeTeam],$A21, Table2[AwayTeam], P$1, Table2[ActualResult], "OT") + SUMIFS(Table2[HomeWon_], Table2[GameIsOver],1,Table2[AwayTeam],$A21, Table2[HomeTeam], P$1, Table2[ActualResult], "SO") + SUMIFS(Table2[AwayWon], Table2[GameIsOver],1,Table2[HomeTeam],$A21, Table2[AwayTeam], P$1, Table2[ActualResult], "SO"),0))</f>
        <v>0-0-0</v>
      </c>
      <c r="Q21" s="57" t="str">
        <f>_xlfn.CONCAT(TEXT(SUMIFS(Table2[AwayWon], Table2[GameIsOver],1,Table2[AwayTeam],$A21, Table2[HomeTeam], Q$1) + SUMIFS(Table2[HomeWon_], Table2[GameIsOver],1,Table2[HomeTeam],$A21, Table2[AwayTeam], Q$1),0), "-", TEXT(SUMIFS(Table2[HomeWon_], Table2[GameIsOver],1,Table2[AwayTeam],$A21, Table2[HomeTeam], Q$1, Table2[ActualResult], "REG") + SUMIFS(Table2[AwayWon], Table2[GameIsOver],1,Table2[HomeTeam],$A21, Table2[AwayTeam], Q$1, Table2[ActualResult], "REG"),0), "-", TEXT(SUMIFS(Table2[HomeWon_], Table2[GameIsOver],1,Table2[AwayTeam],$A21, Table2[HomeTeam], Q$1, Table2[ActualResult], "OT") + SUMIFS(Table2[AwayWon], Table2[GameIsOver],1,Table2[HomeTeam],$A21, Table2[AwayTeam], Q$1, Table2[ActualResult], "OT") + SUMIFS(Table2[HomeWon_], Table2[GameIsOver],1,Table2[AwayTeam],$A21, Table2[HomeTeam], Q$1, Table2[ActualResult], "SO") + SUMIFS(Table2[AwayWon], Table2[GameIsOver],1,Table2[HomeTeam],$A21, Table2[AwayTeam], Q$1, Table2[ActualResult], "SO"),0))</f>
        <v>0-1-0</v>
      </c>
      <c r="R21" t="str">
        <f>_xlfn.CONCAT(TEXT(SUMIFS(Table2[AwayWon], Table2[GameIsOver],1,Table2[AwayTeam],$A21, Table2[HomeTeam], R$1) + SUMIFS(Table2[HomeWon_], Table2[GameIsOver],1,Table2[HomeTeam],$A21, Table2[AwayTeam], R$1),0), "-", TEXT(SUMIFS(Table2[HomeWon_], Table2[GameIsOver],1,Table2[AwayTeam],$A21, Table2[HomeTeam], R$1, Table2[ActualResult], "REG") + SUMIFS(Table2[AwayWon], Table2[GameIsOver],1,Table2[HomeTeam],$A21, Table2[AwayTeam], R$1, Table2[ActualResult], "REG"),0), "-", TEXT(SUMIFS(Table2[HomeWon_], Table2[GameIsOver],1,Table2[AwayTeam],$A21, Table2[HomeTeam], R$1, Table2[ActualResult], "OT") + SUMIFS(Table2[AwayWon], Table2[GameIsOver],1,Table2[HomeTeam],$A21, Table2[AwayTeam], R$1, Table2[ActualResult], "OT") + SUMIFS(Table2[HomeWon_], Table2[GameIsOver],1,Table2[AwayTeam],$A21, Table2[HomeTeam], R$1, Table2[ActualResult], "SO") + SUMIFS(Table2[AwayWon], Table2[GameIsOver],1,Table2[HomeTeam],$A21, Table2[AwayTeam], R$1, Table2[ActualResult], "SO"),0))</f>
        <v>0-0-0</v>
      </c>
      <c r="S21" t="str">
        <f>_xlfn.CONCAT(TEXT(SUMIFS(Table2[AwayWon], Table2[GameIsOver],1,Table2[AwayTeam],$A21, Table2[HomeTeam], S$1) + SUMIFS(Table2[HomeWon_], Table2[GameIsOver],1,Table2[HomeTeam],$A21, Table2[AwayTeam], S$1),0), "-", TEXT(SUMIFS(Table2[HomeWon_], Table2[GameIsOver],1,Table2[AwayTeam],$A21, Table2[HomeTeam], S$1, Table2[ActualResult], "REG") + SUMIFS(Table2[AwayWon], Table2[GameIsOver],1,Table2[HomeTeam],$A21, Table2[AwayTeam], S$1, Table2[ActualResult], "REG"),0), "-", TEXT(SUMIFS(Table2[HomeWon_], Table2[GameIsOver],1,Table2[AwayTeam],$A21, Table2[HomeTeam], S$1, Table2[ActualResult], "OT") + SUMIFS(Table2[AwayWon], Table2[GameIsOver],1,Table2[HomeTeam],$A21, Table2[AwayTeam], S$1, Table2[ActualResult], "OT") + SUMIFS(Table2[HomeWon_], Table2[GameIsOver],1,Table2[AwayTeam],$A21, Table2[HomeTeam], S$1, Table2[ActualResult], "SO") + SUMIFS(Table2[AwayWon], Table2[GameIsOver],1,Table2[HomeTeam],$A21, Table2[AwayTeam], S$1, Table2[ActualResult], "SO"),0))</f>
        <v>0-0-0</v>
      </c>
      <c r="T21" t="str">
        <f>_xlfn.CONCAT(TEXT(SUMIFS(Table2[AwayWon], Table2[GameIsOver],1,Table2[AwayTeam],$A21, Table2[HomeTeam], T$1) + SUMIFS(Table2[HomeWon_], Table2[GameIsOver],1,Table2[HomeTeam],$A21, Table2[AwayTeam], T$1),0), "-", TEXT(SUMIFS(Table2[HomeWon_], Table2[GameIsOver],1,Table2[AwayTeam],$A21, Table2[HomeTeam], T$1, Table2[ActualResult], "REG") + SUMIFS(Table2[AwayWon], Table2[GameIsOver],1,Table2[HomeTeam],$A21, Table2[AwayTeam], T$1, Table2[ActualResult], "REG"),0), "-", TEXT(SUMIFS(Table2[HomeWon_], Table2[GameIsOver],1,Table2[AwayTeam],$A21, Table2[HomeTeam], T$1, Table2[ActualResult], "OT") + SUMIFS(Table2[AwayWon], Table2[GameIsOver],1,Table2[HomeTeam],$A21, Table2[AwayTeam], T$1, Table2[ActualResult], "OT") + SUMIFS(Table2[HomeWon_], Table2[GameIsOver],1,Table2[AwayTeam],$A21, Table2[HomeTeam], T$1, Table2[ActualResult], "SO") + SUMIFS(Table2[AwayWon], Table2[GameIsOver],1,Table2[HomeTeam],$A21, Table2[AwayTeam], T$1, Table2[ActualResult], "SO"),0))</f>
        <v>0-0-0</v>
      </c>
      <c r="U21" s="89"/>
      <c r="V21" t="str">
        <f>_xlfn.CONCAT(TEXT(SUMIFS(Table2[AwayWon], Table2[GameIsOver],1,Table2[AwayTeam],$A21, Table2[HomeTeam], V$1) + SUMIFS(Table2[HomeWon_], Table2[GameIsOver],1,Table2[HomeTeam],$A21, Table2[AwayTeam], V$1),0), "-", TEXT(SUMIFS(Table2[HomeWon_], Table2[GameIsOver],1,Table2[AwayTeam],$A21, Table2[HomeTeam], V$1, Table2[ActualResult], "REG") + SUMIFS(Table2[AwayWon], Table2[GameIsOver],1,Table2[HomeTeam],$A21, Table2[AwayTeam], V$1, Table2[ActualResult], "REG"),0), "-", TEXT(SUMIFS(Table2[HomeWon_], Table2[GameIsOver],1,Table2[AwayTeam],$A21, Table2[HomeTeam], V$1, Table2[ActualResult], "OT") + SUMIFS(Table2[AwayWon], Table2[GameIsOver],1,Table2[HomeTeam],$A21, Table2[AwayTeam], V$1, Table2[ActualResult], "OT") + SUMIFS(Table2[HomeWon_], Table2[GameIsOver],1,Table2[AwayTeam],$A21, Table2[HomeTeam], V$1, Table2[ActualResult], "SO") + SUMIFS(Table2[AwayWon], Table2[GameIsOver],1,Table2[HomeTeam],$A21, Table2[AwayTeam], V$1, Table2[ActualResult], "SO"),0))</f>
        <v>0-0-0</v>
      </c>
      <c r="W21" t="str">
        <f>_xlfn.CONCAT(TEXT(SUMIFS(Table2[AwayWon], Table2[GameIsOver],1,Table2[AwayTeam],$A21, Table2[HomeTeam], W$1) + SUMIFS(Table2[HomeWon_], Table2[GameIsOver],1,Table2[HomeTeam],$A21, Table2[AwayTeam], W$1),0), "-", TEXT(SUMIFS(Table2[HomeWon_], Table2[GameIsOver],1,Table2[AwayTeam],$A21, Table2[HomeTeam], W$1, Table2[ActualResult], "REG") + SUMIFS(Table2[AwayWon], Table2[GameIsOver],1,Table2[HomeTeam],$A21, Table2[AwayTeam], W$1, Table2[ActualResult], "REG"),0), "-", TEXT(SUMIFS(Table2[HomeWon_], Table2[GameIsOver],1,Table2[AwayTeam],$A21, Table2[HomeTeam], W$1, Table2[ActualResult], "OT") + SUMIFS(Table2[AwayWon], Table2[GameIsOver],1,Table2[HomeTeam],$A21, Table2[AwayTeam], W$1, Table2[ActualResult], "OT") + SUMIFS(Table2[HomeWon_], Table2[GameIsOver],1,Table2[AwayTeam],$A21, Table2[HomeTeam], W$1, Table2[ActualResult], "SO") + SUMIFS(Table2[AwayWon], Table2[GameIsOver],1,Table2[HomeTeam],$A21, Table2[AwayTeam], W$1, Table2[ActualResult], "SO"),0))</f>
        <v>0-0-0</v>
      </c>
      <c r="X21" t="str">
        <f>_xlfn.CONCAT(TEXT(SUMIFS(Table2[AwayWon], Table2[GameIsOver],1,Table2[AwayTeam],$A21, Table2[HomeTeam], X$1) + SUMIFS(Table2[HomeWon_], Table2[GameIsOver],1,Table2[HomeTeam],$A21, Table2[AwayTeam], X$1),0), "-", TEXT(SUMIFS(Table2[HomeWon_], Table2[GameIsOver],1,Table2[AwayTeam],$A21, Table2[HomeTeam], X$1, Table2[ActualResult], "REG") + SUMIFS(Table2[AwayWon], Table2[GameIsOver],1,Table2[HomeTeam],$A21, Table2[AwayTeam], X$1, Table2[ActualResult], "REG"),0), "-", TEXT(SUMIFS(Table2[HomeWon_], Table2[GameIsOver],1,Table2[AwayTeam],$A21, Table2[HomeTeam], X$1, Table2[ActualResult], "OT") + SUMIFS(Table2[AwayWon], Table2[GameIsOver],1,Table2[HomeTeam],$A21, Table2[AwayTeam], X$1, Table2[ActualResult], "OT") + SUMIFS(Table2[HomeWon_], Table2[GameIsOver],1,Table2[AwayTeam],$A21, Table2[HomeTeam], X$1, Table2[ActualResult], "SO") + SUMIFS(Table2[AwayWon], Table2[GameIsOver],1,Table2[HomeTeam],$A21, Table2[AwayTeam], X$1, Table2[ActualResult], "SO"),0))</f>
        <v>0-1-0</v>
      </c>
      <c r="Y21" s="57" t="str">
        <f>_xlfn.CONCAT(TEXT(SUMIFS(Table2[AwayWon], Table2[GameIsOver],1,Table2[AwayTeam],$A21, Table2[HomeTeam], Y$1) + SUMIFS(Table2[HomeWon_], Table2[GameIsOver],1,Table2[HomeTeam],$A21, Table2[AwayTeam], Y$1),0), "-", TEXT(SUMIFS(Table2[HomeWon_], Table2[GameIsOver],1,Table2[AwayTeam],$A21, Table2[HomeTeam], Y$1, Table2[ActualResult], "REG") + SUMIFS(Table2[AwayWon], Table2[GameIsOver],1,Table2[HomeTeam],$A21, Table2[AwayTeam], Y$1, Table2[ActualResult], "REG"),0), "-", TEXT(SUMIFS(Table2[HomeWon_], Table2[GameIsOver],1,Table2[AwayTeam],$A21, Table2[HomeTeam], Y$1, Table2[ActualResult], "OT") + SUMIFS(Table2[AwayWon], Table2[GameIsOver],1,Table2[HomeTeam],$A21, Table2[AwayTeam], Y$1, Table2[ActualResult], "OT") + SUMIFS(Table2[HomeWon_], Table2[GameIsOver],1,Table2[AwayTeam],$A21, Table2[HomeTeam], Y$1, Table2[ActualResult], "SO") + SUMIFS(Table2[AwayWon], Table2[GameIsOver],1,Table2[HomeTeam],$A21, Table2[AwayTeam], Y$1, Table2[ActualResult], "SO"),0))</f>
        <v>0-1-0</v>
      </c>
      <c r="Z21" t="str">
        <f>_xlfn.CONCAT(TEXT(SUMIFS(Table2[AwayWon], Table2[GameIsOver],1,Table2[AwayTeam],$A21, Table2[HomeTeam], Z$1) + SUMIFS(Table2[HomeWon_], Table2[GameIsOver],1,Table2[HomeTeam],$A21, Table2[AwayTeam], Z$1),0), "-", TEXT(SUMIFS(Table2[HomeWon_], Table2[GameIsOver],1,Table2[AwayTeam],$A21, Table2[HomeTeam], Z$1, Table2[ActualResult], "REG") + SUMIFS(Table2[AwayWon], Table2[GameIsOver],1,Table2[HomeTeam],$A21, Table2[AwayTeam], Z$1, Table2[ActualResult], "REG"),0), "-", TEXT(SUMIFS(Table2[HomeWon_], Table2[GameIsOver],1,Table2[AwayTeam],$A21, Table2[HomeTeam], Z$1, Table2[ActualResult], "OT") + SUMIFS(Table2[AwayWon], Table2[GameIsOver],1,Table2[HomeTeam],$A21, Table2[AwayTeam], Z$1, Table2[ActualResult], "OT") + SUMIFS(Table2[HomeWon_], Table2[GameIsOver],1,Table2[AwayTeam],$A21, Table2[HomeTeam], Z$1, Table2[ActualResult], "SO") + SUMIFS(Table2[AwayWon], Table2[GameIsOver],1,Table2[HomeTeam],$A21, Table2[AwayTeam], Z$1, Table2[ActualResult], "SO"),0))</f>
        <v>0-0-0</v>
      </c>
      <c r="AA21" t="str">
        <f>_xlfn.CONCAT(TEXT(SUMIFS(Table2[AwayWon], Table2[GameIsOver],1,Table2[AwayTeam],$A21, Table2[HomeTeam], AA$1) + SUMIFS(Table2[HomeWon_], Table2[GameIsOver],1,Table2[HomeTeam],$A21, Table2[AwayTeam], AA$1),0), "-", TEXT(SUMIFS(Table2[HomeWon_], Table2[GameIsOver],1,Table2[AwayTeam],$A21, Table2[HomeTeam], AA$1, Table2[ActualResult], "REG") + SUMIFS(Table2[AwayWon], Table2[GameIsOver],1,Table2[HomeTeam],$A21, Table2[AwayTeam], AA$1, Table2[ActualResult], "REG"),0), "-", TEXT(SUMIFS(Table2[HomeWon_], Table2[GameIsOver],1,Table2[AwayTeam],$A21, Table2[HomeTeam], AA$1, Table2[ActualResult], "OT") + SUMIFS(Table2[AwayWon], Table2[GameIsOver],1,Table2[HomeTeam],$A21, Table2[AwayTeam], AA$1, Table2[ActualResult], "OT") + SUMIFS(Table2[HomeWon_], Table2[GameIsOver],1,Table2[AwayTeam],$A21, Table2[HomeTeam], AA$1, Table2[ActualResult], "SO") + SUMIFS(Table2[AwayWon], Table2[GameIsOver],1,Table2[HomeTeam],$A21, Table2[AwayTeam], AA$1, Table2[ActualResult], "SO"),0))</f>
        <v>0-0-0</v>
      </c>
      <c r="AB21" t="str">
        <f>_xlfn.CONCAT(TEXT(SUMIFS(Table2[AwayWon], Table2[GameIsOver],1,Table2[AwayTeam],$A21, Table2[HomeTeam], AB$1) + SUMIFS(Table2[HomeWon_], Table2[GameIsOver],1,Table2[HomeTeam],$A21, Table2[AwayTeam], AB$1),0), "-", TEXT(SUMIFS(Table2[HomeWon_], Table2[GameIsOver],1,Table2[AwayTeam],$A21, Table2[HomeTeam], AB$1, Table2[ActualResult], "REG") + SUMIFS(Table2[AwayWon], Table2[GameIsOver],1,Table2[HomeTeam],$A21, Table2[AwayTeam], AB$1, Table2[ActualResult], "REG"),0), "-", TEXT(SUMIFS(Table2[HomeWon_], Table2[GameIsOver],1,Table2[AwayTeam],$A21, Table2[HomeTeam], AB$1, Table2[ActualResult], "OT") + SUMIFS(Table2[AwayWon], Table2[GameIsOver],1,Table2[HomeTeam],$A21, Table2[AwayTeam], AB$1, Table2[ActualResult], "OT") + SUMIFS(Table2[HomeWon_], Table2[GameIsOver],1,Table2[AwayTeam],$A21, Table2[HomeTeam], AB$1, Table2[ActualResult], "SO") + SUMIFS(Table2[AwayWon], Table2[GameIsOver],1,Table2[HomeTeam],$A21, Table2[AwayTeam], AB$1, Table2[ActualResult], "SO"),0))</f>
        <v>0-0-0</v>
      </c>
      <c r="AC21" t="str">
        <f>_xlfn.CONCAT(TEXT(SUMIFS(Table2[AwayWon], Table2[GameIsOver],1,Table2[AwayTeam],$A21, Table2[HomeTeam], AC$1) + SUMIFS(Table2[HomeWon_], Table2[GameIsOver],1,Table2[HomeTeam],$A21, Table2[AwayTeam], AC$1),0), "-", TEXT(SUMIFS(Table2[HomeWon_], Table2[GameIsOver],1,Table2[AwayTeam],$A21, Table2[HomeTeam], AC$1, Table2[ActualResult], "REG") + SUMIFS(Table2[AwayWon], Table2[GameIsOver],1,Table2[HomeTeam],$A21, Table2[AwayTeam], AC$1, Table2[ActualResult], "REG"),0), "-", TEXT(SUMIFS(Table2[HomeWon_], Table2[GameIsOver],1,Table2[AwayTeam],$A21, Table2[HomeTeam], AC$1, Table2[ActualResult], "OT") + SUMIFS(Table2[AwayWon], Table2[GameIsOver],1,Table2[HomeTeam],$A21, Table2[AwayTeam], AC$1, Table2[ActualResult], "OT") + SUMIFS(Table2[HomeWon_], Table2[GameIsOver],1,Table2[AwayTeam],$A21, Table2[HomeTeam], AC$1, Table2[ActualResult], "SO") + SUMIFS(Table2[AwayWon], Table2[GameIsOver],1,Table2[HomeTeam],$A21, Table2[AwayTeam], AC$1, Table2[ActualResult], "SO"),0))</f>
        <v>0-0-0</v>
      </c>
      <c r="AD21" t="str">
        <f>_xlfn.CONCAT(TEXT(SUMIFS(Table2[AwayWon], Table2[GameIsOver],1,Table2[AwayTeam],$A21, Table2[HomeTeam], AD$1) + SUMIFS(Table2[HomeWon_], Table2[GameIsOver],1,Table2[HomeTeam],$A21, Table2[AwayTeam], AD$1),0), "-", TEXT(SUMIFS(Table2[HomeWon_], Table2[GameIsOver],1,Table2[AwayTeam],$A21, Table2[HomeTeam], AD$1, Table2[ActualResult], "REG") + SUMIFS(Table2[AwayWon], Table2[GameIsOver],1,Table2[HomeTeam],$A21, Table2[AwayTeam], AD$1, Table2[ActualResult], "REG"),0), "-", TEXT(SUMIFS(Table2[HomeWon_], Table2[GameIsOver],1,Table2[AwayTeam],$A21, Table2[HomeTeam], AD$1, Table2[ActualResult], "OT") + SUMIFS(Table2[AwayWon], Table2[GameIsOver],1,Table2[HomeTeam],$A21, Table2[AwayTeam], AD$1, Table2[ActualResult], "OT") + SUMIFS(Table2[HomeWon_], Table2[GameIsOver],1,Table2[AwayTeam],$A21, Table2[HomeTeam], AD$1, Table2[ActualResult], "SO") + SUMIFS(Table2[AwayWon], Table2[GameIsOver],1,Table2[HomeTeam],$A21, Table2[AwayTeam], AD$1, Table2[ActualResult], "SO"),0))</f>
        <v>0-0-0</v>
      </c>
      <c r="AE21" t="str">
        <f>_xlfn.CONCAT(TEXT(SUMIFS(Table2[AwayWon], Table2[GameIsOver],1,Table2[AwayTeam],$A21, Table2[HomeTeam], AE$1) + SUMIFS(Table2[HomeWon_], Table2[GameIsOver],1,Table2[HomeTeam],$A21, Table2[AwayTeam], AE$1),0), "-", TEXT(SUMIFS(Table2[HomeWon_], Table2[GameIsOver],1,Table2[AwayTeam],$A21, Table2[HomeTeam], AE$1, Table2[ActualResult], "REG") + SUMIFS(Table2[AwayWon], Table2[GameIsOver],1,Table2[HomeTeam],$A21, Table2[AwayTeam], AE$1, Table2[ActualResult], "REG"),0), "-", TEXT(SUMIFS(Table2[HomeWon_], Table2[GameIsOver],1,Table2[AwayTeam],$A21, Table2[HomeTeam], AE$1, Table2[ActualResult], "OT") + SUMIFS(Table2[AwayWon], Table2[GameIsOver],1,Table2[HomeTeam],$A21, Table2[AwayTeam], AE$1, Table2[ActualResult], "OT") + SUMIFS(Table2[HomeWon_], Table2[GameIsOver],1,Table2[AwayTeam],$A21, Table2[HomeTeam], AE$1, Table2[ActualResult], "SO") + SUMIFS(Table2[AwayWon], Table2[GameIsOver],1,Table2[HomeTeam],$A21, Table2[AwayTeam], AE$1, Table2[ActualResult], "SO"),0))</f>
        <v>1-0-0</v>
      </c>
      <c r="AF21" t="str">
        <f>_xlfn.CONCAT(TEXT(SUMIFS(Table2[AwayWon], Table2[GameIsOver],1,Table2[AwayTeam],$A21, Table2[HomeTeam], AF$1) + SUMIFS(Table2[HomeWon_], Table2[GameIsOver],1,Table2[HomeTeam],$A21, Table2[AwayTeam], AF$1),0), "-", TEXT(SUMIFS(Table2[HomeWon_], Table2[GameIsOver],1,Table2[AwayTeam],$A21, Table2[HomeTeam], AF$1, Table2[ActualResult], "REG") + SUMIFS(Table2[AwayWon], Table2[GameIsOver],1,Table2[HomeTeam],$A21, Table2[AwayTeam], AF$1, Table2[ActualResult], "REG"),0), "-", TEXT(SUMIFS(Table2[HomeWon_], Table2[GameIsOver],1,Table2[AwayTeam],$A21, Table2[HomeTeam], AF$1, Table2[ActualResult], "OT") + SUMIFS(Table2[AwayWon], Table2[GameIsOver],1,Table2[HomeTeam],$A21, Table2[AwayTeam], AF$1, Table2[ActualResult], "OT") + SUMIFS(Table2[HomeWon_], Table2[GameIsOver],1,Table2[AwayTeam],$A21, Table2[HomeTeam], AF$1, Table2[ActualResult], "SO") + SUMIFS(Table2[AwayWon], Table2[GameIsOver],1,Table2[HomeTeam],$A21, Table2[AwayTeam], AF$1, Table2[ActualResult], "SO"),0))</f>
        <v>0-0-0</v>
      </c>
      <c r="AG21" t="str">
        <f>_xlfn.CONCAT(TEXT(SUMIFS(Table2[AwayWon], Table2[GameIsOver],1,Table2[AwayTeam],$A21, Table2[HomeTeam], AG$1) + SUMIFS(Table2[HomeWon_], Table2[GameIsOver],1,Table2[HomeTeam],$A21, Table2[AwayTeam], AG$1),0), "-", TEXT(SUMIFS(Table2[HomeWon_], Table2[GameIsOver],1,Table2[AwayTeam],$A21, Table2[HomeTeam], AG$1, Table2[ActualResult], "REG") + SUMIFS(Table2[AwayWon], Table2[GameIsOver],1,Table2[HomeTeam],$A21, Table2[AwayTeam], AG$1, Table2[ActualResult], "REG"),0), "-", TEXT(SUMIFS(Table2[HomeWon_], Table2[GameIsOver],1,Table2[AwayTeam],$A21, Table2[HomeTeam], AG$1, Table2[ActualResult], "OT") + SUMIFS(Table2[AwayWon], Table2[GameIsOver],1,Table2[HomeTeam],$A21, Table2[AwayTeam], AG$1, Table2[ActualResult], "OT") + SUMIFS(Table2[HomeWon_], Table2[GameIsOver],1,Table2[AwayTeam],$A21, Table2[HomeTeam], AG$1, Table2[ActualResult], "SO") + SUMIFS(Table2[AwayWon], Table2[GameIsOver],1,Table2[HomeTeam],$A21, Table2[AwayTeam], AG$1, Table2[ActualResult], "SO"),0))</f>
        <v>0-0-0</v>
      </c>
    </row>
    <row r="22" spans="1:33" x14ac:dyDescent="0.25">
      <c r="A22" s="57" t="s">
        <v>19</v>
      </c>
      <c r="B22" t="str">
        <f>_xlfn.CONCAT(TEXT(SUMIFS(Table2[AwayWon], Table2[GameIsOver],1,Table2[AwayTeam],$A22, Table2[HomeTeam], B$1) + SUMIFS(Table2[HomeWon_], Table2[GameIsOver],1,Table2[HomeTeam],$A22, Table2[AwayTeam], B$1),0), "-", TEXT(SUMIFS(Table2[HomeWon_], Table2[GameIsOver],1,Table2[AwayTeam],$A22, Table2[HomeTeam], B$1, Table2[ActualResult], "REG") + SUMIFS(Table2[AwayWon], Table2[GameIsOver],1,Table2[HomeTeam],$A22, Table2[AwayTeam], B$1, Table2[ActualResult], "REG"),0), "-", TEXT(SUMIFS(Table2[HomeWon_], Table2[GameIsOver],1,Table2[AwayTeam],$A22, Table2[HomeTeam], B$1, Table2[ActualResult], "OT") + SUMIFS(Table2[AwayWon], Table2[GameIsOver],1,Table2[HomeTeam],$A22, Table2[AwayTeam], B$1, Table2[ActualResult], "OT") + SUMIFS(Table2[HomeWon_], Table2[GameIsOver],1,Table2[AwayTeam],$A22, Table2[HomeTeam], B$1, Table2[ActualResult], "SO") + SUMIFS(Table2[AwayWon], Table2[GameIsOver],1,Table2[HomeTeam],$A22, Table2[AwayTeam], B$1, Table2[ActualResult], "SO"),0))</f>
        <v>0-0-0</v>
      </c>
      <c r="C22" t="str">
        <f>_xlfn.CONCAT(TEXT(SUMIFS(Table2[AwayWon], Table2[GameIsOver],1,Table2[AwayTeam],$A22, Table2[HomeTeam], C$1) + SUMIFS(Table2[HomeWon_], Table2[GameIsOver],1,Table2[HomeTeam],$A22, Table2[AwayTeam], C$1),0), "-", TEXT(SUMIFS(Table2[HomeWon_], Table2[GameIsOver],1,Table2[AwayTeam],$A22, Table2[HomeTeam], C$1, Table2[ActualResult], "REG") + SUMIFS(Table2[AwayWon], Table2[GameIsOver],1,Table2[HomeTeam],$A22, Table2[AwayTeam], C$1, Table2[ActualResult], "REG"),0), "-", TEXT(SUMIFS(Table2[HomeWon_], Table2[GameIsOver],1,Table2[AwayTeam],$A22, Table2[HomeTeam], C$1, Table2[ActualResult], "OT") + SUMIFS(Table2[AwayWon], Table2[GameIsOver],1,Table2[HomeTeam],$A22, Table2[AwayTeam], C$1, Table2[ActualResult], "OT") + SUMIFS(Table2[HomeWon_], Table2[GameIsOver],1,Table2[AwayTeam],$A22, Table2[HomeTeam], C$1, Table2[ActualResult], "SO") + SUMIFS(Table2[AwayWon], Table2[GameIsOver],1,Table2[HomeTeam],$A22, Table2[AwayTeam], C$1, Table2[ActualResult], "SO"),0))</f>
        <v>0-0-0</v>
      </c>
      <c r="D22" t="str">
        <f>_xlfn.CONCAT(TEXT(SUMIFS(Table2[AwayWon], Table2[GameIsOver],1,Table2[AwayTeam],$A22, Table2[HomeTeam], D$1) + SUMIFS(Table2[HomeWon_], Table2[GameIsOver],1,Table2[HomeTeam],$A22, Table2[AwayTeam], D$1),0), "-", TEXT(SUMIFS(Table2[HomeWon_], Table2[GameIsOver],1,Table2[AwayTeam],$A22, Table2[HomeTeam], D$1, Table2[ActualResult], "REG") + SUMIFS(Table2[AwayWon], Table2[GameIsOver],1,Table2[HomeTeam],$A22, Table2[AwayTeam], D$1, Table2[ActualResult], "REG"),0), "-", TEXT(SUMIFS(Table2[HomeWon_], Table2[GameIsOver],1,Table2[AwayTeam],$A22, Table2[HomeTeam], D$1, Table2[ActualResult], "OT") + SUMIFS(Table2[AwayWon], Table2[GameIsOver],1,Table2[HomeTeam],$A22, Table2[AwayTeam], D$1, Table2[ActualResult], "OT") + SUMIFS(Table2[HomeWon_], Table2[GameIsOver],1,Table2[AwayTeam],$A22, Table2[HomeTeam], D$1, Table2[ActualResult], "SO") + SUMIFS(Table2[AwayWon], Table2[GameIsOver],1,Table2[HomeTeam],$A22, Table2[AwayTeam], D$1, Table2[ActualResult], "SO"),0))</f>
        <v>0-1-0</v>
      </c>
      <c r="E22" t="str">
        <f>_xlfn.CONCAT(TEXT(SUMIFS(Table2[AwayWon], Table2[GameIsOver],1,Table2[AwayTeam],$A22, Table2[HomeTeam], E$1) + SUMIFS(Table2[HomeWon_], Table2[GameIsOver],1,Table2[HomeTeam],$A22, Table2[AwayTeam], E$1),0), "-", TEXT(SUMIFS(Table2[HomeWon_], Table2[GameIsOver],1,Table2[AwayTeam],$A22, Table2[HomeTeam], E$1, Table2[ActualResult], "REG") + SUMIFS(Table2[AwayWon], Table2[GameIsOver],1,Table2[HomeTeam],$A22, Table2[AwayTeam], E$1, Table2[ActualResult], "REG"),0), "-", TEXT(SUMIFS(Table2[HomeWon_], Table2[GameIsOver],1,Table2[AwayTeam],$A22, Table2[HomeTeam], E$1, Table2[ActualResult], "OT") + SUMIFS(Table2[AwayWon], Table2[GameIsOver],1,Table2[HomeTeam],$A22, Table2[AwayTeam], E$1, Table2[ActualResult], "OT") + SUMIFS(Table2[HomeWon_], Table2[GameIsOver],1,Table2[AwayTeam],$A22, Table2[HomeTeam], E$1, Table2[ActualResult], "SO") + SUMIFS(Table2[AwayWon], Table2[GameIsOver],1,Table2[HomeTeam],$A22, Table2[AwayTeam], E$1, Table2[ActualResult], "SO"),0))</f>
        <v>0-0-0</v>
      </c>
      <c r="F22" t="str">
        <f>_xlfn.CONCAT(TEXT(SUMIFS(Table2[AwayWon], Table2[GameIsOver],1,Table2[AwayTeam],$A22, Table2[HomeTeam], F$1) + SUMIFS(Table2[HomeWon_], Table2[GameIsOver],1,Table2[HomeTeam],$A22, Table2[AwayTeam], F$1),0), "-", TEXT(SUMIFS(Table2[HomeWon_], Table2[GameIsOver],1,Table2[AwayTeam],$A22, Table2[HomeTeam], F$1, Table2[ActualResult], "REG") + SUMIFS(Table2[AwayWon], Table2[GameIsOver],1,Table2[HomeTeam],$A22, Table2[AwayTeam], F$1, Table2[ActualResult], "REG"),0), "-", TEXT(SUMIFS(Table2[HomeWon_], Table2[GameIsOver],1,Table2[AwayTeam],$A22, Table2[HomeTeam], F$1, Table2[ActualResult], "OT") + SUMIFS(Table2[AwayWon], Table2[GameIsOver],1,Table2[HomeTeam],$A22, Table2[AwayTeam], F$1, Table2[ActualResult], "OT") + SUMIFS(Table2[HomeWon_], Table2[GameIsOver],1,Table2[AwayTeam],$A22, Table2[HomeTeam], F$1, Table2[ActualResult], "SO") + SUMIFS(Table2[AwayWon], Table2[GameIsOver],1,Table2[HomeTeam],$A22, Table2[AwayTeam], F$1, Table2[ActualResult], "SO"),0))</f>
        <v>0-0-0</v>
      </c>
      <c r="G22" t="str">
        <f>_xlfn.CONCAT(TEXT(SUMIFS(Table2[AwayWon], Table2[GameIsOver],1,Table2[AwayTeam],$A22, Table2[HomeTeam], G$1) + SUMIFS(Table2[HomeWon_], Table2[GameIsOver],1,Table2[HomeTeam],$A22, Table2[AwayTeam], G$1),0), "-", TEXT(SUMIFS(Table2[HomeWon_], Table2[GameIsOver],1,Table2[AwayTeam],$A22, Table2[HomeTeam], G$1, Table2[ActualResult], "REG") + SUMIFS(Table2[AwayWon], Table2[GameIsOver],1,Table2[HomeTeam],$A22, Table2[AwayTeam], G$1, Table2[ActualResult], "REG"),0), "-", TEXT(SUMIFS(Table2[HomeWon_], Table2[GameIsOver],1,Table2[AwayTeam],$A22, Table2[HomeTeam], G$1, Table2[ActualResult], "OT") + SUMIFS(Table2[AwayWon], Table2[GameIsOver],1,Table2[HomeTeam],$A22, Table2[AwayTeam], G$1, Table2[ActualResult], "OT") + SUMIFS(Table2[HomeWon_], Table2[GameIsOver],1,Table2[AwayTeam],$A22, Table2[HomeTeam], G$1, Table2[ActualResult], "SO") + SUMIFS(Table2[AwayWon], Table2[GameIsOver],1,Table2[HomeTeam],$A22, Table2[AwayTeam], G$1, Table2[ActualResult], "SO"),0))</f>
        <v>0-0-0</v>
      </c>
      <c r="H22" t="str">
        <f>_xlfn.CONCAT(TEXT(SUMIFS(Table2[AwayWon], Table2[GameIsOver],1,Table2[AwayTeam],$A22, Table2[HomeTeam], H$1) + SUMIFS(Table2[HomeWon_], Table2[GameIsOver],1,Table2[HomeTeam],$A22, Table2[AwayTeam], H$1),0), "-", TEXT(SUMIFS(Table2[HomeWon_], Table2[GameIsOver],1,Table2[AwayTeam],$A22, Table2[HomeTeam], H$1, Table2[ActualResult], "REG") + SUMIFS(Table2[AwayWon], Table2[GameIsOver],1,Table2[HomeTeam],$A22, Table2[AwayTeam], H$1, Table2[ActualResult], "REG"),0), "-", TEXT(SUMIFS(Table2[HomeWon_], Table2[GameIsOver],1,Table2[AwayTeam],$A22, Table2[HomeTeam], H$1, Table2[ActualResult], "OT") + SUMIFS(Table2[AwayWon], Table2[GameIsOver],1,Table2[HomeTeam],$A22, Table2[AwayTeam], H$1, Table2[ActualResult], "OT") + SUMIFS(Table2[HomeWon_], Table2[GameIsOver],1,Table2[AwayTeam],$A22, Table2[HomeTeam], H$1, Table2[ActualResult], "SO") + SUMIFS(Table2[AwayWon], Table2[GameIsOver],1,Table2[HomeTeam],$A22, Table2[AwayTeam], H$1, Table2[ActualResult], "SO"),0))</f>
        <v>0-0-0</v>
      </c>
      <c r="I22" s="57" t="str">
        <f>_xlfn.CONCAT(TEXT(SUMIFS(Table2[AwayWon], Table2[GameIsOver],1,Table2[AwayTeam],$A22, Table2[HomeTeam], I$1) + SUMIFS(Table2[HomeWon_], Table2[GameIsOver],1,Table2[HomeTeam],$A22, Table2[AwayTeam], I$1),0), "-", TEXT(SUMIFS(Table2[HomeWon_], Table2[GameIsOver],1,Table2[AwayTeam],$A22, Table2[HomeTeam], I$1, Table2[ActualResult], "REG") + SUMIFS(Table2[AwayWon], Table2[GameIsOver],1,Table2[HomeTeam],$A22, Table2[AwayTeam], I$1, Table2[ActualResult], "REG"),0), "-", TEXT(SUMIFS(Table2[HomeWon_], Table2[GameIsOver],1,Table2[AwayTeam],$A22, Table2[HomeTeam], I$1, Table2[ActualResult], "OT") + SUMIFS(Table2[AwayWon], Table2[GameIsOver],1,Table2[HomeTeam],$A22, Table2[AwayTeam], I$1, Table2[ActualResult], "OT") + SUMIFS(Table2[HomeWon_], Table2[GameIsOver],1,Table2[AwayTeam],$A22, Table2[HomeTeam], I$1, Table2[ActualResult], "SO") + SUMIFS(Table2[AwayWon], Table2[GameIsOver],1,Table2[HomeTeam],$A22, Table2[AwayTeam], I$1, Table2[ActualResult], "SO"),0))</f>
        <v>0-0-0</v>
      </c>
      <c r="J22" t="str">
        <f>_xlfn.CONCAT(TEXT(SUMIFS(Table2[AwayWon], Table2[GameIsOver],1,Table2[AwayTeam],$A22, Table2[HomeTeam], J$1) + SUMIFS(Table2[HomeWon_], Table2[GameIsOver],1,Table2[HomeTeam],$A22, Table2[AwayTeam], J$1),0), "-", TEXT(SUMIFS(Table2[HomeWon_], Table2[GameIsOver],1,Table2[AwayTeam],$A22, Table2[HomeTeam], J$1, Table2[ActualResult], "REG") + SUMIFS(Table2[AwayWon], Table2[GameIsOver],1,Table2[HomeTeam],$A22, Table2[AwayTeam], J$1, Table2[ActualResult], "REG"),0), "-", TEXT(SUMIFS(Table2[HomeWon_], Table2[GameIsOver],1,Table2[AwayTeam],$A22, Table2[HomeTeam], J$1, Table2[ActualResult], "OT") + SUMIFS(Table2[AwayWon], Table2[GameIsOver],1,Table2[HomeTeam],$A22, Table2[AwayTeam], J$1, Table2[ActualResult], "OT") + SUMIFS(Table2[HomeWon_], Table2[GameIsOver],1,Table2[AwayTeam],$A22, Table2[HomeTeam], J$1, Table2[ActualResult], "SO") + SUMIFS(Table2[AwayWon], Table2[GameIsOver],1,Table2[HomeTeam],$A22, Table2[AwayTeam], J$1, Table2[ActualResult], "SO"),0))</f>
        <v>0-0-0</v>
      </c>
      <c r="K22" t="str">
        <f>_xlfn.CONCAT(TEXT(SUMIFS(Table2[AwayWon], Table2[GameIsOver],1,Table2[AwayTeam],$A22, Table2[HomeTeam], K$1) + SUMIFS(Table2[HomeWon_], Table2[GameIsOver],1,Table2[HomeTeam],$A22, Table2[AwayTeam], K$1),0), "-", TEXT(SUMIFS(Table2[HomeWon_], Table2[GameIsOver],1,Table2[AwayTeam],$A22, Table2[HomeTeam], K$1, Table2[ActualResult], "REG") + SUMIFS(Table2[AwayWon], Table2[GameIsOver],1,Table2[HomeTeam],$A22, Table2[AwayTeam], K$1, Table2[ActualResult], "REG"),0), "-", TEXT(SUMIFS(Table2[HomeWon_], Table2[GameIsOver],1,Table2[AwayTeam],$A22, Table2[HomeTeam], K$1, Table2[ActualResult], "OT") + SUMIFS(Table2[AwayWon], Table2[GameIsOver],1,Table2[HomeTeam],$A22, Table2[AwayTeam], K$1, Table2[ActualResult], "OT") + SUMIFS(Table2[HomeWon_], Table2[GameIsOver],1,Table2[AwayTeam],$A22, Table2[HomeTeam], K$1, Table2[ActualResult], "SO") + SUMIFS(Table2[AwayWon], Table2[GameIsOver],1,Table2[HomeTeam],$A22, Table2[AwayTeam], K$1, Table2[ActualResult], "SO"),0))</f>
        <v>0-0-0</v>
      </c>
      <c r="L22" t="str">
        <f>_xlfn.CONCAT(TEXT(SUMIFS(Table2[AwayWon], Table2[GameIsOver],1,Table2[AwayTeam],$A22, Table2[HomeTeam], L$1) + SUMIFS(Table2[HomeWon_], Table2[GameIsOver],1,Table2[HomeTeam],$A22, Table2[AwayTeam], L$1),0), "-", TEXT(SUMIFS(Table2[HomeWon_], Table2[GameIsOver],1,Table2[AwayTeam],$A22, Table2[HomeTeam], L$1, Table2[ActualResult], "REG") + SUMIFS(Table2[AwayWon], Table2[GameIsOver],1,Table2[HomeTeam],$A22, Table2[AwayTeam], L$1, Table2[ActualResult], "REG"),0), "-", TEXT(SUMIFS(Table2[HomeWon_], Table2[GameIsOver],1,Table2[AwayTeam],$A22, Table2[HomeTeam], L$1, Table2[ActualResult], "OT") + SUMIFS(Table2[AwayWon], Table2[GameIsOver],1,Table2[HomeTeam],$A22, Table2[AwayTeam], L$1, Table2[ActualResult], "OT") + SUMIFS(Table2[HomeWon_], Table2[GameIsOver],1,Table2[AwayTeam],$A22, Table2[HomeTeam], L$1, Table2[ActualResult], "SO") + SUMIFS(Table2[AwayWon], Table2[GameIsOver],1,Table2[HomeTeam],$A22, Table2[AwayTeam], L$1, Table2[ActualResult], "SO"),0))</f>
        <v>0-0-0</v>
      </c>
      <c r="M22" t="str">
        <f>_xlfn.CONCAT(TEXT(SUMIFS(Table2[AwayWon], Table2[GameIsOver],1,Table2[AwayTeam],$A22, Table2[HomeTeam], M$1) + SUMIFS(Table2[HomeWon_], Table2[GameIsOver],1,Table2[HomeTeam],$A22, Table2[AwayTeam], M$1),0), "-", TEXT(SUMIFS(Table2[HomeWon_], Table2[GameIsOver],1,Table2[AwayTeam],$A22, Table2[HomeTeam], M$1, Table2[ActualResult], "REG") + SUMIFS(Table2[AwayWon], Table2[GameIsOver],1,Table2[HomeTeam],$A22, Table2[AwayTeam], M$1, Table2[ActualResult], "REG"),0), "-", TEXT(SUMIFS(Table2[HomeWon_], Table2[GameIsOver],1,Table2[AwayTeam],$A22, Table2[HomeTeam], M$1, Table2[ActualResult], "OT") + SUMIFS(Table2[AwayWon], Table2[GameIsOver],1,Table2[HomeTeam],$A22, Table2[AwayTeam], M$1, Table2[ActualResult], "OT") + SUMIFS(Table2[HomeWon_], Table2[GameIsOver],1,Table2[AwayTeam],$A22, Table2[HomeTeam], M$1, Table2[ActualResult], "SO") + SUMIFS(Table2[AwayWon], Table2[GameIsOver],1,Table2[HomeTeam],$A22, Table2[AwayTeam], M$1, Table2[ActualResult], "SO"),0))</f>
        <v>0-1-0</v>
      </c>
      <c r="N22" t="str">
        <f>_xlfn.CONCAT(TEXT(SUMIFS(Table2[AwayWon], Table2[GameIsOver],1,Table2[AwayTeam],$A22, Table2[HomeTeam], N$1) + SUMIFS(Table2[HomeWon_], Table2[GameIsOver],1,Table2[HomeTeam],$A22, Table2[AwayTeam], N$1),0), "-", TEXT(SUMIFS(Table2[HomeWon_], Table2[GameIsOver],1,Table2[AwayTeam],$A22, Table2[HomeTeam], N$1, Table2[ActualResult], "REG") + SUMIFS(Table2[AwayWon], Table2[GameIsOver],1,Table2[HomeTeam],$A22, Table2[AwayTeam], N$1, Table2[ActualResult], "REG"),0), "-", TEXT(SUMIFS(Table2[HomeWon_], Table2[GameIsOver],1,Table2[AwayTeam],$A22, Table2[HomeTeam], N$1, Table2[ActualResult], "OT") + SUMIFS(Table2[AwayWon], Table2[GameIsOver],1,Table2[HomeTeam],$A22, Table2[AwayTeam], N$1, Table2[ActualResult], "OT") + SUMIFS(Table2[HomeWon_], Table2[GameIsOver],1,Table2[AwayTeam],$A22, Table2[HomeTeam], N$1, Table2[ActualResult], "SO") + SUMIFS(Table2[AwayWon], Table2[GameIsOver],1,Table2[HomeTeam],$A22, Table2[AwayTeam], N$1, Table2[ActualResult], "SO"),0))</f>
        <v>0-0-0</v>
      </c>
      <c r="O22" t="str">
        <f>_xlfn.CONCAT(TEXT(SUMIFS(Table2[AwayWon], Table2[GameIsOver],1,Table2[AwayTeam],$A22, Table2[HomeTeam], O$1) + SUMIFS(Table2[HomeWon_], Table2[GameIsOver],1,Table2[HomeTeam],$A22, Table2[AwayTeam], O$1),0), "-", TEXT(SUMIFS(Table2[HomeWon_], Table2[GameIsOver],1,Table2[AwayTeam],$A22, Table2[HomeTeam], O$1, Table2[ActualResult], "REG") + SUMIFS(Table2[AwayWon], Table2[GameIsOver],1,Table2[HomeTeam],$A22, Table2[AwayTeam], O$1, Table2[ActualResult], "REG"),0), "-", TEXT(SUMIFS(Table2[HomeWon_], Table2[GameIsOver],1,Table2[AwayTeam],$A22, Table2[HomeTeam], O$1, Table2[ActualResult], "OT") + SUMIFS(Table2[AwayWon], Table2[GameIsOver],1,Table2[HomeTeam],$A22, Table2[AwayTeam], O$1, Table2[ActualResult], "OT") + SUMIFS(Table2[HomeWon_], Table2[GameIsOver],1,Table2[AwayTeam],$A22, Table2[HomeTeam], O$1, Table2[ActualResult], "SO") + SUMIFS(Table2[AwayWon], Table2[GameIsOver],1,Table2[HomeTeam],$A22, Table2[AwayTeam], O$1, Table2[ActualResult], "SO"),0))</f>
        <v>0-0-0</v>
      </c>
      <c r="P22" t="str">
        <f>_xlfn.CONCAT(TEXT(SUMIFS(Table2[AwayWon], Table2[GameIsOver],1,Table2[AwayTeam],$A22, Table2[HomeTeam], P$1) + SUMIFS(Table2[HomeWon_], Table2[GameIsOver],1,Table2[HomeTeam],$A22, Table2[AwayTeam], P$1),0), "-", TEXT(SUMIFS(Table2[HomeWon_], Table2[GameIsOver],1,Table2[AwayTeam],$A22, Table2[HomeTeam], P$1, Table2[ActualResult], "REG") + SUMIFS(Table2[AwayWon], Table2[GameIsOver],1,Table2[HomeTeam],$A22, Table2[AwayTeam], P$1, Table2[ActualResult], "REG"),0), "-", TEXT(SUMIFS(Table2[HomeWon_], Table2[GameIsOver],1,Table2[AwayTeam],$A22, Table2[HomeTeam], P$1, Table2[ActualResult], "OT") + SUMIFS(Table2[AwayWon], Table2[GameIsOver],1,Table2[HomeTeam],$A22, Table2[AwayTeam], P$1, Table2[ActualResult], "OT") + SUMIFS(Table2[HomeWon_], Table2[GameIsOver],1,Table2[AwayTeam],$A22, Table2[HomeTeam], P$1, Table2[ActualResult], "SO") + SUMIFS(Table2[AwayWon], Table2[GameIsOver],1,Table2[HomeTeam],$A22, Table2[AwayTeam], P$1, Table2[ActualResult], "SO"),0))</f>
        <v>0-0-0</v>
      </c>
      <c r="Q22" s="57" t="str">
        <f>_xlfn.CONCAT(TEXT(SUMIFS(Table2[AwayWon], Table2[GameIsOver],1,Table2[AwayTeam],$A22, Table2[HomeTeam], Q$1) + SUMIFS(Table2[HomeWon_], Table2[GameIsOver],1,Table2[HomeTeam],$A22, Table2[AwayTeam], Q$1),0), "-", TEXT(SUMIFS(Table2[HomeWon_], Table2[GameIsOver],1,Table2[AwayTeam],$A22, Table2[HomeTeam], Q$1, Table2[ActualResult], "REG") + SUMIFS(Table2[AwayWon], Table2[GameIsOver],1,Table2[HomeTeam],$A22, Table2[AwayTeam], Q$1, Table2[ActualResult], "REG"),0), "-", TEXT(SUMIFS(Table2[HomeWon_], Table2[GameIsOver],1,Table2[AwayTeam],$A22, Table2[HomeTeam], Q$1, Table2[ActualResult], "OT") + SUMIFS(Table2[AwayWon], Table2[GameIsOver],1,Table2[HomeTeam],$A22, Table2[AwayTeam], Q$1, Table2[ActualResult], "OT") + SUMIFS(Table2[HomeWon_], Table2[GameIsOver],1,Table2[AwayTeam],$A22, Table2[HomeTeam], Q$1, Table2[ActualResult], "SO") + SUMIFS(Table2[AwayWon], Table2[GameIsOver],1,Table2[HomeTeam],$A22, Table2[AwayTeam], Q$1, Table2[ActualResult], "SO"),0))</f>
        <v>0-0-0</v>
      </c>
      <c r="R22" t="str">
        <f>_xlfn.CONCAT(TEXT(SUMIFS(Table2[AwayWon], Table2[GameIsOver],1,Table2[AwayTeam],$A22, Table2[HomeTeam], R$1) + SUMIFS(Table2[HomeWon_], Table2[GameIsOver],1,Table2[HomeTeam],$A22, Table2[AwayTeam], R$1),0), "-", TEXT(SUMIFS(Table2[HomeWon_], Table2[GameIsOver],1,Table2[AwayTeam],$A22, Table2[HomeTeam], R$1, Table2[ActualResult], "REG") + SUMIFS(Table2[AwayWon], Table2[GameIsOver],1,Table2[HomeTeam],$A22, Table2[AwayTeam], R$1, Table2[ActualResult], "REG"),0), "-", TEXT(SUMIFS(Table2[HomeWon_], Table2[GameIsOver],1,Table2[AwayTeam],$A22, Table2[HomeTeam], R$1, Table2[ActualResult], "OT") + SUMIFS(Table2[AwayWon], Table2[GameIsOver],1,Table2[HomeTeam],$A22, Table2[AwayTeam], R$1, Table2[ActualResult], "OT") + SUMIFS(Table2[HomeWon_], Table2[GameIsOver],1,Table2[AwayTeam],$A22, Table2[HomeTeam], R$1, Table2[ActualResult], "SO") + SUMIFS(Table2[AwayWon], Table2[GameIsOver],1,Table2[HomeTeam],$A22, Table2[AwayTeam], R$1, Table2[ActualResult], "SO"),0))</f>
        <v>0-0-0</v>
      </c>
      <c r="S22" t="str">
        <f>_xlfn.CONCAT(TEXT(SUMIFS(Table2[AwayWon], Table2[GameIsOver],1,Table2[AwayTeam],$A22, Table2[HomeTeam], S$1) + SUMIFS(Table2[HomeWon_], Table2[GameIsOver],1,Table2[HomeTeam],$A22, Table2[AwayTeam], S$1),0), "-", TEXT(SUMIFS(Table2[HomeWon_], Table2[GameIsOver],1,Table2[AwayTeam],$A22, Table2[HomeTeam], S$1, Table2[ActualResult], "REG") + SUMIFS(Table2[AwayWon], Table2[GameIsOver],1,Table2[HomeTeam],$A22, Table2[AwayTeam], S$1, Table2[ActualResult], "REG"),0), "-", TEXT(SUMIFS(Table2[HomeWon_], Table2[GameIsOver],1,Table2[AwayTeam],$A22, Table2[HomeTeam], S$1, Table2[ActualResult], "OT") + SUMIFS(Table2[AwayWon], Table2[GameIsOver],1,Table2[HomeTeam],$A22, Table2[AwayTeam], S$1, Table2[ActualResult], "OT") + SUMIFS(Table2[HomeWon_], Table2[GameIsOver],1,Table2[AwayTeam],$A22, Table2[HomeTeam], S$1, Table2[ActualResult], "SO") + SUMIFS(Table2[AwayWon], Table2[GameIsOver],1,Table2[HomeTeam],$A22, Table2[AwayTeam], S$1, Table2[ActualResult], "SO"),0))</f>
        <v>0-0-0</v>
      </c>
      <c r="T22" t="str">
        <f>_xlfn.CONCAT(TEXT(SUMIFS(Table2[AwayWon], Table2[GameIsOver],1,Table2[AwayTeam],$A22, Table2[HomeTeam], T$1) + SUMIFS(Table2[HomeWon_], Table2[GameIsOver],1,Table2[HomeTeam],$A22, Table2[AwayTeam], T$1),0), "-", TEXT(SUMIFS(Table2[HomeWon_], Table2[GameIsOver],1,Table2[AwayTeam],$A22, Table2[HomeTeam], T$1, Table2[ActualResult], "REG") + SUMIFS(Table2[AwayWon], Table2[GameIsOver],1,Table2[HomeTeam],$A22, Table2[AwayTeam], T$1, Table2[ActualResult], "REG"),0), "-", TEXT(SUMIFS(Table2[HomeWon_], Table2[GameIsOver],1,Table2[AwayTeam],$A22, Table2[HomeTeam], T$1, Table2[ActualResult], "OT") + SUMIFS(Table2[AwayWon], Table2[GameIsOver],1,Table2[HomeTeam],$A22, Table2[AwayTeam], T$1, Table2[ActualResult], "OT") + SUMIFS(Table2[HomeWon_], Table2[GameIsOver],1,Table2[AwayTeam],$A22, Table2[HomeTeam], T$1, Table2[ActualResult], "SO") + SUMIFS(Table2[AwayWon], Table2[GameIsOver],1,Table2[HomeTeam],$A22, Table2[AwayTeam], T$1, Table2[ActualResult], "SO"),0))</f>
        <v>0-0-0</v>
      </c>
      <c r="U22" t="str">
        <f>_xlfn.CONCAT(TEXT(SUMIFS(Table2[AwayWon], Table2[GameIsOver],1,Table2[AwayTeam],$A22, Table2[HomeTeam], U$1) + SUMIFS(Table2[HomeWon_], Table2[GameIsOver],1,Table2[HomeTeam],$A22, Table2[AwayTeam], U$1),0), "-", TEXT(SUMIFS(Table2[HomeWon_], Table2[GameIsOver],1,Table2[AwayTeam],$A22, Table2[HomeTeam], U$1, Table2[ActualResult], "REG") + SUMIFS(Table2[AwayWon], Table2[GameIsOver],1,Table2[HomeTeam],$A22, Table2[AwayTeam], U$1, Table2[ActualResult], "REG"),0), "-", TEXT(SUMIFS(Table2[HomeWon_], Table2[GameIsOver],1,Table2[AwayTeam],$A22, Table2[HomeTeam], U$1, Table2[ActualResult], "OT") + SUMIFS(Table2[AwayWon], Table2[GameIsOver],1,Table2[HomeTeam],$A22, Table2[AwayTeam], U$1, Table2[ActualResult], "OT") + SUMIFS(Table2[HomeWon_], Table2[GameIsOver],1,Table2[AwayTeam],$A22, Table2[HomeTeam], U$1, Table2[ActualResult], "SO") + SUMIFS(Table2[AwayWon], Table2[GameIsOver],1,Table2[HomeTeam],$A22, Table2[AwayTeam], U$1, Table2[ActualResult], "SO"),0))</f>
        <v>0-0-0</v>
      </c>
      <c r="V22" s="89"/>
      <c r="W22" t="str">
        <f>_xlfn.CONCAT(TEXT(SUMIFS(Table2[AwayWon], Table2[GameIsOver],1,Table2[AwayTeam],$A22, Table2[HomeTeam], W$1) + SUMIFS(Table2[HomeWon_], Table2[GameIsOver],1,Table2[HomeTeam],$A22, Table2[AwayTeam], W$1),0), "-", TEXT(SUMIFS(Table2[HomeWon_], Table2[GameIsOver],1,Table2[AwayTeam],$A22, Table2[HomeTeam], W$1, Table2[ActualResult], "REG") + SUMIFS(Table2[AwayWon], Table2[GameIsOver],1,Table2[HomeTeam],$A22, Table2[AwayTeam], W$1, Table2[ActualResult], "REG"),0), "-", TEXT(SUMIFS(Table2[HomeWon_], Table2[GameIsOver],1,Table2[AwayTeam],$A22, Table2[HomeTeam], W$1, Table2[ActualResult], "OT") + SUMIFS(Table2[AwayWon], Table2[GameIsOver],1,Table2[HomeTeam],$A22, Table2[AwayTeam], W$1, Table2[ActualResult], "OT") + SUMIFS(Table2[HomeWon_], Table2[GameIsOver],1,Table2[AwayTeam],$A22, Table2[HomeTeam], W$1, Table2[ActualResult], "SO") + SUMIFS(Table2[AwayWon], Table2[GameIsOver],1,Table2[HomeTeam],$A22, Table2[AwayTeam], W$1, Table2[ActualResult], "SO"),0))</f>
        <v>0-0-0</v>
      </c>
      <c r="X22" t="str">
        <f>_xlfn.CONCAT(TEXT(SUMIFS(Table2[AwayWon], Table2[GameIsOver],1,Table2[AwayTeam],$A22, Table2[HomeTeam], X$1) + SUMIFS(Table2[HomeWon_], Table2[GameIsOver],1,Table2[HomeTeam],$A22, Table2[AwayTeam], X$1),0), "-", TEXT(SUMIFS(Table2[HomeWon_], Table2[GameIsOver],1,Table2[AwayTeam],$A22, Table2[HomeTeam], X$1, Table2[ActualResult], "REG") + SUMIFS(Table2[AwayWon], Table2[GameIsOver],1,Table2[HomeTeam],$A22, Table2[AwayTeam], X$1, Table2[ActualResult], "REG"),0), "-", TEXT(SUMIFS(Table2[HomeWon_], Table2[GameIsOver],1,Table2[AwayTeam],$A22, Table2[HomeTeam], X$1, Table2[ActualResult], "OT") + SUMIFS(Table2[AwayWon], Table2[GameIsOver],1,Table2[HomeTeam],$A22, Table2[AwayTeam], X$1, Table2[ActualResult], "OT") + SUMIFS(Table2[HomeWon_], Table2[GameIsOver],1,Table2[AwayTeam],$A22, Table2[HomeTeam], X$1, Table2[ActualResult], "SO") + SUMIFS(Table2[AwayWon], Table2[GameIsOver],1,Table2[HomeTeam],$A22, Table2[AwayTeam], X$1, Table2[ActualResult], "SO"),0))</f>
        <v>1-1-0</v>
      </c>
      <c r="Y22" s="57" t="str">
        <f>_xlfn.CONCAT(TEXT(SUMIFS(Table2[AwayWon], Table2[GameIsOver],1,Table2[AwayTeam],$A22, Table2[HomeTeam], Y$1) + SUMIFS(Table2[HomeWon_], Table2[GameIsOver],1,Table2[HomeTeam],$A22, Table2[AwayTeam], Y$1),0), "-", TEXT(SUMIFS(Table2[HomeWon_], Table2[GameIsOver],1,Table2[AwayTeam],$A22, Table2[HomeTeam], Y$1, Table2[ActualResult], "REG") + SUMIFS(Table2[AwayWon], Table2[GameIsOver],1,Table2[HomeTeam],$A22, Table2[AwayTeam], Y$1, Table2[ActualResult], "REG"),0), "-", TEXT(SUMIFS(Table2[HomeWon_], Table2[GameIsOver],1,Table2[AwayTeam],$A22, Table2[HomeTeam], Y$1, Table2[ActualResult], "OT") + SUMIFS(Table2[AwayWon], Table2[GameIsOver],1,Table2[HomeTeam],$A22, Table2[AwayTeam], Y$1, Table2[ActualResult], "OT") + SUMIFS(Table2[HomeWon_], Table2[GameIsOver],1,Table2[AwayTeam],$A22, Table2[HomeTeam], Y$1, Table2[ActualResult], "SO") + SUMIFS(Table2[AwayWon], Table2[GameIsOver],1,Table2[HomeTeam],$A22, Table2[AwayTeam], Y$1, Table2[ActualResult], "SO"),0))</f>
        <v>0-1-0</v>
      </c>
      <c r="Z22" t="str">
        <f>_xlfn.CONCAT(TEXT(SUMIFS(Table2[AwayWon], Table2[GameIsOver],1,Table2[AwayTeam],$A22, Table2[HomeTeam], Z$1) + SUMIFS(Table2[HomeWon_], Table2[GameIsOver],1,Table2[HomeTeam],$A22, Table2[AwayTeam], Z$1),0), "-", TEXT(SUMIFS(Table2[HomeWon_], Table2[GameIsOver],1,Table2[AwayTeam],$A22, Table2[HomeTeam], Z$1, Table2[ActualResult], "REG") + SUMIFS(Table2[AwayWon], Table2[GameIsOver],1,Table2[HomeTeam],$A22, Table2[AwayTeam], Z$1, Table2[ActualResult], "REG"),0), "-", TEXT(SUMIFS(Table2[HomeWon_], Table2[GameIsOver],1,Table2[AwayTeam],$A22, Table2[HomeTeam], Z$1, Table2[ActualResult], "OT") + SUMIFS(Table2[AwayWon], Table2[GameIsOver],1,Table2[HomeTeam],$A22, Table2[AwayTeam], Z$1, Table2[ActualResult], "OT") + SUMIFS(Table2[HomeWon_], Table2[GameIsOver],1,Table2[AwayTeam],$A22, Table2[HomeTeam], Z$1, Table2[ActualResult], "SO") + SUMIFS(Table2[AwayWon], Table2[GameIsOver],1,Table2[HomeTeam],$A22, Table2[AwayTeam], Z$1, Table2[ActualResult], "SO"),0))</f>
        <v>0-0-0</v>
      </c>
      <c r="AA22" t="str">
        <f>_xlfn.CONCAT(TEXT(SUMIFS(Table2[AwayWon], Table2[GameIsOver],1,Table2[AwayTeam],$A22, Table2[HomeTeam], AA$1) + SUMIFS(Table2[HomeWon_], Table2[GameIsOver],1,Table2[HomeTeam],$A22, Table2[AwayTeam], AA$1),0), "-", TEXT(SUMIFS(Table2[HomeWon_], Table2[GameIsOver],1,Table2[AwayTeam],$A22, Table2[HomeTeam], AA$1, Table2[ActualResult], "REG") + SUMIFS(Table2[AwayWon], Table2[GameIsOver],1,Table2[HomeTeam],$A22, Table2[AwayTeam], AA$1, Table2[ActualResult], "REG"),0), "-", TEXT(SUMIFS(Table2[HomeWon_], Table2[GameIsOver],1,Table2[AwayTeam],$A22, Table2[HomeTeam], AA$1, Table2[ActualResult], "OT") + SUMIFS(Table2[AwayWon], Table2[GameIsOver],1,Table2[HomeTeam],$A22, Table2[AwayTeam], AA$1, Table2[ActualResult], "OT") + SUMIFS(Table2[HomeWon_], Table2[GameIsOver],1,Table2[AwayTeam],$A22, Table2[HomeTeam], AA$1, Table2[ActualResult], "SO") + SUMIFS(Table2[AwayWon], Table2[GameIsOver],1,Table2[HomeTeam],$A22, Table2[AwayTeam], AA$1, Table2[ActualResult], "SO"),0))</f>
        <v>1-0-0</v>
      </c>
      <c r="AB22" t="str">
        <f>_xlfn.CONCAT(TEXT(SUMIFS(Table2[AwayWon], Table2[GameIsOver],1,Table2[AwayTeam],$A22, Table2[HomeTeam], AB$1) + SUMIFS(Table2[HomeWon_], Table2[GameIsOver],1,Table2[HomeTeam],$A22, Table2[AwayTeam], AB$1),0), "-", TEXT(SUMIFS(Table2[HomeWon_], Table2[GameIsOver],1,Table2[AwayTeam],$A22, Table2[HomeTeam], AB$1, Table2[ActualResult], "REG") + SUMIFS(Table2[AwayWon], Table2[GameIsOver],1,Table2[HomeTeam],$A22, Table2[AwayTeam], AB$1, Table2[ActualResult], "REG"),0), "-", TEXT(SUMIFS(Table2[HomeWon_], Table2[GameIsOver],1,Table2[AwayTeam],$A22, Table2[HomeTeam], AB$1, Table2[ActualResult], "OT") + SUMIFS(Table2[AwayWon], Table2[GameIsOver],1,Table2[HomeTeam],$A22, Table2[AwayTeam], AB$1, Table2[ActualResult], "OT") + SUMIFS(Table2[HomeWon_], Table2[GameIsOver],1,Table2[AwayTeam],$A22, Table2[HomeTeam], AB$1, Table2[ActualResult], "SO") + SUMIFS(Table2[AwayWon], Table2[GameIsOver],1,Table2[HomeTeam],$A22, Table2[AwayTeam], AB$1, Table2[ActualResult], "SO"),0))</f>
        <v>0-0-0</v>
      </c>
      <c r="AC22" t="str">
        <f>_xlfn.CONCAT(TEXT(SUMIFS(Table2[AwayWon], Table2[GameIsOver],1,Table2[AwayTeam],$A22, Table2[HomeTeam], AC$1) + SUMIFS(Table2[HomeWon_], Table2[GameIsOver],1,Table2[HomeTeam],$A22, Table2[AwayTeam], AC$1),0), "-", TEXT(SUMIFS(Table2[HomeWon_], Table2[GameIsOver],1,Table2[AwayTeam],$A22, Table2[HomeTeam], AC$1, Table2[ActualResult], "REG") + SUMIFS(Table2[AwayWon], Table2[GameIsOver],1,Table2[HomeTeam],$A22, Table2[AwayTeam], AC$1, Table2[ActualResult], "REG"),0), "-", TEXT(SUMIFS(Table2[HomeWon_], Table2[GameIsOver],1,Table2[AwayTeam],$A22, Table2[HomeTeam], AC$1, Table2[ActualResult], "OT") + SUMIFS(Table2[AwayWon], Table2[GameIsOver],1,Table2[HomeTeam],$A22, Table2[AwayTeam], AC$1, Table2[ActualResult], "OT") + SUMIFS(Table2[HomeWon_], Table2[GameIsOver],1,Table2[AwayTeam],$A22, Table2[HomeTeam], AC$1, Table2[ActualResult], "SO") + SUMIFS(Table2[AwayWon], Table2[GameIsOver],1,Table2[HomeTeam],$A22, Table2[AwayTeam], AC$1, Table2[ActualResult], "SO"),0))</f>
        <v>0-0-0</v>
      </c>
      <c r="AD22" t="str">
        <f>_xlfn.CONCAT(TEXT(SUMIFS(Table2[AwayWon], Table2[GameIsOver],1,Table2[AwayTeam],$A22, Table2[HomeTeam], AD$1) + SUMIFS(Table2[HomeWon_], Table2[GameIsOver],1,Table2[HomeTeam],$A22, Table2[AwayTeam], AD$1),0), "-", TEXT(SUMIFS(Table2[HomeWon_], Table2[GameIsOver],1,Table2[AwayTeam],$A22, Table2[HomeTeam], AD$1, Table2[ActualResult], "REG") + SUMIFS(Table2[AwayWon], Table2[GameIsOver],1,Table2[HomeTeam],$A22, Table2[AwayTeam], AD$1, Table2[ActualResult], "REG"),0), "-", TEXT(SUMIFS(Table2[HomeWon_], Table2[GameIsOver],1,Table2[AwayTeam],$A22, Table2[HomeTeam], AD$1, Table2[ActualResult], "OT") + SUMIFS(Table2[AwayWon], Table2[GameIsOver],1,Table2[HomeTeam],$A22, Table2[AwayTeam], AD$1, Table2[ActualResult], "OT") + SUMIFS(Table2[HomeWon_], Table2[GameIsOver],1,Table2[AwayTeam],$A22, Table2[HomeTeam], AD$1, Table2[ActualResult], "SO") + SUMIFS(Table2[AwayWon], Table2[GameIsOver],1,Table2[HomeTeam],$A22, Table2[AwayTeam], AD$1, Table2[ActualResult], "SO"),0))</f>
        <v>1-0-0</v>
      </c>
      <c r="AE22" t="str">
        <f>_xlfn.CONCAT(TEXT(SUMIFS(Table2[AwayWon], Table2[GameIsOver],1,Table2[AwayTeam],$A22, Table2[HomeTeam], AE$1) + SUMIFS(Table2[HomeWon_], Table2[GameIsOver],1,Table2[HomeTeam],$A22, Table2[AwayTeam], AE$1),0), "-", TEXT(SUMIFS(Table2[HomeWon_], Table2[GameIsOver],1,Table2[AwayTeam],$A22, Table2[HomeTeam], AE$1, Table2[ActualResult], "REG") + SUMIFS(Table2[AwayWon], Table2[GameIsOver],1,Table2[HomeTeam],$A22, Table2[AwayTeam], AE$1, Table2[ActualResult], "REG"),0), "-", TEXT(SUMIFS(Table2[HomeWon_], Table2[GameIsOver],1,Table2[AwayTeam],$A22, Table2[HomeTeam], AE$1, Table2[ActualResult], "OT") + SUMIFS(Table2[AwayWon], Table2[GameIsOver],1,Table2[HomeTeam],$A22, Table2[AwayTeam], AE$1, Table2[ActualResult], "OT") + SUMIFS(Table2[HomeWon_], Table2[GameIsOver],1,Table2[AwayTeam],$A22, Table2[HomeTeam], AE$1, Table2[ActualResult], "SO") + SUMIFS(Table2[AwayWon], Table2[GameIsOver],1,Table2[HomeTeam],$A22, Table2[AwayTeam], AE$1, Table2[ActualResult], "SO"),0))</f>
        <v>0-0-0</v>
      </c>
      <c r="AF22" t="str">
        <f>_xlfn.CONCAT(TEXT(SUMIFS(Table2[AwayWon], Table2[GameIsOver],1,Table2[AwayTeam],$A22, Table2[HomeTeam], AF$1) + SUMIFS(Table2[HomeWon_], Table2[GameIsOver],1,Table2[HomeTeam],$A22, Table2[AwayTeam], AF$1),0), "-", TEXT(SUMIFS(Table2[HomeWon_], Table2[GameIsOver],1,Table2[AwayTeam],$A22, Table2[HomeTeam], AF$1, Table2[ActualResult], "REG") + SUMIFS(Table2[AwayWon], Table2[GameIsOver],1,Table2[HomeTeam],$A22, Table2[AwayTeam], AF$1, Table2[ActualResult], "REG"),0), "-", TEXT(SUMIFS(Table2[HomeWon_], Table2[GameIsOver],1,Table2[AwayTeam],$A22, Table2[HomeTeam], AF$1, Table2[ActualResult], "OT") + SUMIFS(Table2[AwayWon], Table2[GameIsOver],1,Table2[HomeTeam],$A22, Table2[AwayTeam], AF$1, Table2[ActualResult], "OT") + SUMIFS(Table2[HomeWon_], Table2[GameIsOver],1,Table2[AwayTeam],$A22, Table2[HomeTeam], AF$1, Table2[ActualResult], "SO") + SUMIFS(Table2[AwayWon], Table2[GameIsOver],1,Table2[HomeTeam],$A22, Table2[AwayTeam], AF$1, Table2[ActualResult], "SO"),0))</f>
        <v>0-0-0</v>
      </c>
      <c r="AG22" t="str">
        <f>_xlfn.CONCAT(TEXT(SUMIFS(Table2[AwayWon], Table2[GameIsOver],1,Table2[AwayTeam],$A22, Table2[HomeTeam], AG$1) + SUMIFS(Table2[HomeWon_], Table2[GameIsOver],1,Table2[HomeTeam],$A22, Table2[AwayTeam], AG$1),0), "-", TEXT(SUMIFS(Table2[HomeWon_], Table2[GameIsOver],1,Table2[AwayTeam],$A22, Table2[HomeTeam], AG$1, Table2[ActualResult], "REG") + SUMIFS(Table2[AwayWon], Table2[GameIsOver],1,Table2[HomeTeam],$A22, Table2[AwayTeam], AG$1, Table2[ActualResult], "REG"),0), "-", TEXT(SUMIFS(Table2[HomeWon_], Table2[GameIsOver],1,Table2[AwayTeam],$A22, Table2[HomeTeam], AG$1, Table2[ActualResult], "OT") + SUMIFS(Table2[AwayWon], Table2[GameIsOver],1,Table2[HomeTeam],$A22, Table2[AwayTeam], AG$1, Table2[ActualResult], "OT") + SUMIFS(Table2[HomeWon_], Table2[GameIsOver],1,Table2[AwayTeam],$A22, Table2[HomeTeam], AG$1, Table2[ActualResult], "SO") + SUMIFS(Table2[AwayWon], Table2[GameIsOver],1,Table2[HomeTeam],$A22, Table2[AwayTeam], AG$1, Table2[ActualResult], "SO"),0))</f>
        <v>0-0-1</v>
      </c>
    </row>
    <row r="23" spans="1:33" x14ac:dyDescent="0.25">
      <c r="A23" s="57" t="s">
        <v>42</v>
      </c>
      <c r="B23" t="str">
        <f>_xlfn.CONCAT(TEXT(SUMIFS(Table2[AwayWon], Table2[GameIsOver],1,Table2[AwayTeam],$A23, Table2[HomeTeam], B$1) + SUMIFS(Table2[HomeWon_], Table2[GameIsOver],1,Table2[HomeTeam],$A23, Table2[AwayTeam], B$1),0), "-", TEXT(SUMIFS(Table2[HomeWon_], Table2[GameIsOver],1,Table2[AwayTeam],$A23, Table2[HomeTeam], B$1, Table2[ActualResult], "REG") + SUMIFS(Table2[AwayWon], Table2[GameIsOver],1,Table2[HomeTeam],$A23, Table2[AwayTeam], B$1, Table2[ActualResult], "REG"),0), "-", TEXT(SUMIFS(Table2[HomeWon_], Table2[GameIsOver],1,Table2[AwayTeam],$A23, Table2[HomeTeam], B$1, Table2[ActualResult], "OT") + SUMIFS(Table2[AwayWon], Table2[GameIsOver],1,Table2[HomeTeam],$A23, Table2[AwayTeam], B$1, Table2[ActualResult], "OT") + SUMIFS(Table2[HomeWon_], Table2[GameIsOver],1,Table2[AwayTeam],$A23, Table2[HomeTeam], B$1, Table2[ActualResult], "SO") + SUMIFS(Table2[AwayWon], Table2[GameIsOver],1,Table2[HomeTeam],$A23, Table2[AwayTeam], B$1, Table2[ActualResult], "SO"),0))</f>
        <v>0-0-0</v>
      </c>
      <c r="C23" t="str">
        <f>_xlfn.CONCAT(TEXT(SUMIFS(Table2[AwayWon], Table2[GameIsOver],1,Table2[AwayTeam],$A23, Table2[HomeTeam], C$1) + SUMIFS(Table2[HomeWon_], Table2[GameIsOver],1,Table2[HomeTeam],$A23, Table2[AwayTeam], C$1),0), "-", TEXT(SUMIFS(Table2[HomeWon_], Table2[GameIsOver],1,Table2[AwayTeam],$A23, Table2[HomeTeam], C$1, Table2[ActualResult], "REG") + SUMIFS(Table2[AwayWon], Table2[GameIsOver],1,Table2[HomeTeam],$A23, Table2[AwayTeam], C$1, Table2[ActualResult], "REG"),0), "-", TEXT(SUMIFS(Table2[HomeWon_], Table2[GameIsOver],1,Table2[AwayTeam],$A23, Table2[HomeTeam], C$1, Table2[ActualResult], "OT") + SUMIFS(Table2[AwayWon], Table2[GameIsOver],1,Table2[HomeTeam],$A23, Table2[AwayTeam], C$1, Table2[ActualResult], "OT") + SUMIFS(Table2[HomeWon_], Table2[GameIsOver],1,Table2[AwayTeam],$A23, Table2[HomeTeam], C$1, Table2[ActualResult], "SO") + SUMIFS(Table2[AwayWon], Table2[GameIsOver],1,Table2[HomeTeam],$A23, Table2[AwayTeam], C$1, Table2[ActualResult], "SO"),0))</f>
        <v>0-0-0</v>
      </c>
      <c r="D23" t="str">
        <f>_xlfn.CONCAT(TEXT(SUMIFS(Table2[AwayWon], Table2[GameIsOver],1,Table2[AwayTeam],$A23, Table2[HomeTeam], D$1) + SUMIFS(Table2[HomeWon_], Table2[GameIsOver],1,Table2[HomeTeam],$A23, Table2[AwayTeam], D$1),0), "-", TEXT(SUMIFS(Table2[HomeWon_], Table2[GameIsOver],1,Table2[AwayTeam],$A23, Table2[HomeTeam], D$1, Table2[ActualResult], "REG") + SUMIFS(Table2[AwayWon], Table2[GameIsOver],1,Table2[HomeTeam],$A23, Table2[AwayTeam], D$1, Table2[ActualResult], "REG"),0), "-", TEXT(SUMIFS(Table2[HomeWon_], Table2[GameIsOver],1,Table2[AwayTeam],$A23, Table2[HomeTeam], D$1, Table2[ActualResult], "OT") + SUMIFS(Table2[AwayWon], Table2[GameIsOver],1,Table2[HomeTeam],$A23, Table2[AwayTeam], D$1, Table2[ActualResult], "OT") + SUMIFS(Table2[HomeWon_], Table2[GameIsOver],1,Table2[AwayTeam],$A23, Table2[HomeTeam], D$1, Table2[ActualResult], "SO") + SUMIFS(Table2[AwayWon], Table2[GameIsOver],1,Table2[HomeTeam],$A23, Table2[AwayTeam], D$1, Table2[ActualResult], "SO"),0))</f>
        <v>0-0-0</v>
      </c>
      <c r="E23" t="str">
        <f>_xlfn.CONCAT(TEXT(SUMIFS(Table2[AwayWon], Table2[GameIsOver],1,Table2[AwayTeam],$A23, Table2[HomeTeam], E$1) + SUMIFS(Table2[HomeWon_], Table2[GameIsOver],1,Table2[HomeTeam],$A23, Table2[AwayTeam], E$1),0), "-", TEXT(SUMIFS(Table2[HomeWon_], Table2[GameIsOver],1,Table2[AwayTeam],$A23, Table2[HomeTeam], E$1, Table2[ActualResult], "REG") + SUMIFS(Table2[AwayWon], Table2[GameIsOver],1,Table2[HomeTeam],$A23, Table2[AwayTeam], E$1, Table2[ActualResult], "REG"),0), "-", TEXT(SUMIFS(Table2[HomeWon_], Table2[GameIsOver],1,Table2[AwayTeam],$A23, Table2[HomeTeam], E$1, Table2[ActualResult], "OT") + SUMIFS(Table2[AwayWon], Table2[GameIsOver],1,Table2[HomeTeam],$A23, Table2[AwayTeam], E$1, Table2[ActualResult], "OT") + SUMIFS(Table2[HomeWon_], Table2[GameIsOver],1,Table2[AwayTeam],$A23, Table2[HomeTeam], E$1, Table2[ActualResult], "SO") + SUMIFS(Table2[AwayWon], Table2[GameIsOver],1,Table2[HomeTeam],$A23, Table2[AwayTeam], E$1, Table2[ActualResult], "SO"),0))</f>
        <v>0-0-0</v>
      </c>
      <c r="F23" t="str">
        <f>_xlfn.CONCAT(TEXT(SUMIFS(Table2[AwayWon], Table2[GameIsOver],1,Table2[AwayTeam],$A23, Table2[HomeTeam], F$1) + SUMIFS(Table2[HomeWon_], Table2[GameIsOver],1,Table2[HomeTeam],$A23, Table2[AwayTeam], F$1),0), "-", TEXT(SUMIFS(Table2[HomeWon_], Table2[GameIsOver],1,Table2[AwayTeam],$A23, Table2[HomeTeam], F$1, Table2[ActualResult], "REG") + SUMIFS(Table2[AwayWon], Table2[GameIsOver],1,Table2[HomeTeam],$A23, Table2[AwayTeam], F$1, Table2[ActualResult], "REG"),0), "-", TEXT(SUMIFS(Table2[HomeWon_], Table2[GameIsOver],1,Table2[AwayTeam],$A23, Table2[HomeTeam], F$1, Table2[ActualResult], "OT") + SUMIFS(Table2[AwayWon], Table2[GameIsOver],1,Table2[HomeTeam],$A23, Table2[AwayTeam], F$1, Table2[ActualResult], "OT") + SUMIFS(Table2[HomeWon_], Table2[GameIsOver],1,Table2[AwayTeam],$A23, Table2[HomeTeam], F$1, Table2[ActualResult], "SO") + SUMIFS(Table2[AwayWon], Table2[GameIsOver],1,Table2[HomeTeam],$A23, Table2[AwayTeam], F$1, Table2[ActualResult], "SO"),0))</f>
        <v>1-0-0</v>
      </c>
      <c r="G23" t="str">
        <f>_xlfn.CONCAT(TEXT(SUMIFS(Table2[AwayWon], Table2[GameIsOver],1,Table2[AwayTeam],$A23, Table2[HomeTeam], G$1) + SUMIFS(Table2[HomeWon_], Table2[GameIsOver],1,Table2[HomeTeam],$A23, Table2[AwayTeam], G$1),0), "-", TEXT(SUMIFS(Table2[HomeWon_], Table2[GameIsOver],1,Table2[AwayTeam],$A23, Table2[HomeTeam], G$1, Table2[ActualResult], "REG") + SUMIFS(Table2[AwayWon], Table2[GameIsOver],1,Table2[HomeTeam],$A23, Table2[AwayTeam], G$1, Table2[ActualResult], "REG"),0), "-", TEXT(SUMIFS(Table2[HomeWon_], Table2[GameIsOver],1,Table2[AwayTeam],$A23, Table2[HomeTeam], G$1, Table2[ActualResult], "OT") + SUMIFS(Table2[AwayWon], Table2[GameIsOver],1,Table2[HomeTeam],$A23, Table2[AwayTeam], G$1, Table2[ActualResult], "OT") + SUMIFS(Table2[HomeWon_], Table2[GameIsOver],1,Table2[AwayTeam],$A23, Table2[HomeTeam], G$1, Table2[ActualResult], "SO") + SUMIFS(Table2[AwayWon], Table2[GameIsOver],1,Table2[HomeTeam],$A23, Table2[AwayTeam], G$1, Table2[ActualResult], "SO"),0))</f>
        <v>0-0-0</v>
      </c>
      <c r="H23" t="str">
        <f>_xlfn.CONCAT(TEXT(SUMIFS(Table2[AwayWon], Table2[GameIsOver],1,Table2[AwayTeam],$A23, Table2[HomeTeam], H$1) + SUMIFS(Table2[HomeWon_], Table2[GameIsOver],1,Table2[HomeTeam],$A23, Table2[AwayTeam], H$1),0), "-", TEXT(SUMIFS(Table2[HomeWon_], Table2[GameIsOver],1,Table2[AwayTeam],$A23, Table2[HomeTeam], H$1, Table2[ActualResult], "REG") + SUMIFS(Table2[AwayWon], Table2[GameIsOver],1,Table2[HomeTeam],$A23, Table2[AwayTeam], H$1, Table2[ActualResult], "REG"),0), "-", TEXT(SUMIFS(Table2[HomeWon_], Table2[GameIsOver],1,Table2[AwayTeam],$A23, Table2[HomeTeam], H$1, Table2[ActualResult], "OT") + SUMIFS(Table2[AwayWon], Table2[GameIsOver],1,Table2[HomeTeam],$A23, Table2[AwayTeam], H$1, Table2[ActualResult], "OT") + SUMIFS(Table2[HomeWon_], Table2[GameIsOver],1,Table2[AwayTeam],$A23, Table2[HomeTeam], H$1, Table2[ActualResult], "SO") + SUMIFS(Table2[AwayWon], Table2[GameIsOver],1,Table2[HomeTeam],$A23, Table2[AwayTeam], H$1, Table2[ActualResult], "SO"),0))</f>
        <v>0-0-0</v>
      </c>
      <c r="I23" s="57" t="str">
        <f>_xlfn.CONCAT(TEXT(SUMIFS(Table2[AwayWon], Table2[GameIsOver],1,Table2[AwayTeam],$A23, Table2[HomeTeam], I$1) + SUMIFS(Table2[HomeWon_], Table2[GameIsOver],1,Table2[HomeTeam],$A23, Table2[AwayTeam], I$1),0), "-", TEXT(SUMIFS(Table2[HomeWon_], Table2[GameIsOver],1,Table2[AwayTeam],$A23, Table2[HomeTeam], I$1, Table2[ActualResult], "REG") + SUMIFS(Table2[AwayWon], Table2[GameIsOver],1,Table2[HomeTeam],$A23, Table2[AwayTeam], I$1, Table2[ActualResult], "REG"),0), "-", TEXT(SUMIFS(Table2[HomeWon_], Table2[GameIsOver],1,Table2[AwayTeam],$A23, Table2[HomeTeam], I$1, Table2[ActualResult], "OT") + SUMIFS(Table2[AwayWon], Table2[GameIsOver],1,Table2[HomeTeam],$A23, Table2[AwayTeam], I$1, Table2[ActualResult], "OT") + SUMIFS(Table2[HomeWon_], Table2[GameIsOver],1,Table2[AwayTeam],$A23, Table2[HomeTeam], I$1, Table2[ActualResult], "SO") + SUMIFS(Table2[AwayWon], Table2[GameIsOver],1,Table2[HomeTeam],$A23, Table2[AwayTeam], I$1, Table2[ActualResult], "SO"),0))</f>
        <v>0-0-0</v>
      </c>
      <c r="J23" t="str">
        <f>_xlfn.CONCAT(TEXT(SUMIFS(Table2[AwayWon], Table2[GameIsOver],1,Table2[AwayTeam],$A23, Table2[HomeTeam], J$1) + SUMIFS(Table2[HomeWon_], Table2[GameIsOver],1,Table2[HomeTeam],$A23, Table2[AwayTeam], J$1),0), "-", TEXT(SUMIFS(Table2[HomeWon_], Table2[GameIsOver],1,Table2[AwayTeam],$A23, Table2[HomeTeam], J$1, Table2[ActualResult], "REG") + SUMIFS(Table2[AwayWon], Table2[GameIsOver],1,Table2[HomeTeam],$A23, Table2[AwayTeam], J$1, Table2[ActualResult], "REG"),0), "-", TEXT(SUMIFS(Table2[HomeWon_], Table2[GameIsOver],1,Table2[AwayTeam],$A23, Table2[HomeTeam], J$1, Table2[ActualResult], "OT") + SUMIFS(Table2[AwayWon], Table2[GameIsOver],1,Table2[HomeTeam],$A23, Table2[AwayTeam], J$1, Table2[ActualResult], "OT") + SUMIFS(Table2[HomeWon_], Table2[GameIsOver],1,Table2[AwayTeam],$A23, Table2[HomeTeam], J$1, Table2[ActualResult], "SO") + SUMIFS(Table2[AwayWon], Table2[GameIsOver],1,Table2[HomeTeam],$A23, Table2[AwayTeam], J$1, Table2[ActualResult], "SO"),0))</f>
        <v>0-0-0</v>
      </c>
      <c r="K23" t="str">
        <f>_xlfn.CONCAT(TEXT(SUMIFS(Table2[AwayWon], Table2[GameIsOver],1,Table2[AwayTeam],$A23, Table2[HomeTeam], K$1) + SUMIFS(Table2[HomeWon_], Table2[GameIsOver],1,Table2[HomeTeam],$A23, Table2[AwayTeam], K$1),0), "-", TEXT(SUMIFS(Table2[HomeWon_], Table2[GameIsOver],1,Table2[AwayTeam],$A23, Table2[HomeTeam], K$1, Table2[ActualResult], "REG") + SUMIFS(Table2[AwayWon], Table2[GameIsOver],1,Table2[HomeTeam],$A23, Table2[AwayTeam], K$1, Table2[ActualResult], "REG"),0), "-", TEXT(SUMIFS(Table2[HomeWon_], Table2[GameIsOver],1,Table2[AwayTeam],$A23, Table2[HomeTeam], K$1, Table2[ActualResult], "OT") + SUMIFS(Table2[AwayWon], Table2[GameIsOver],1,Table2[HomeTeam],$A23, Table2[AwayTeam], K$1, Table2[ActualResult], "OT") + SUMIFS(Table2[HomeWon_], Table2[GameIsOver],1,Table2[AwayTeam],$A23, Table2[HomeTeam], K$1, Table2[ActualResult], "SO") + SUMIFS(Table2[AwayWon], Table2[GameIsOver],1,Table2[HomeTeam],$A23, Table2[AwayTeam], K$1, Table2[ActualResult], "SO"),0))</f>
        <v>0-0-0</v>
      </c>
      <c r="L23" t="str">
        <f>_xlfn.CONCAT(TEXT(SUMIFS(Table2[AwayWon], Table2[GameIsOver],1,Table2[AwayTeam],$A23, Table2[HomeTeam], L$1) + SUMIFS(Table2[HomeWon_], Table2[GameIsOver],1,Table2[HomeTeam],$A23, Table2[AwayTeam], L$1),0), "-", TEXT(SUMIFS(Table2[HomeWon_], Table2[GameIsOver],1,Table2[AwayTeam],$A23, Table2[HomeTeam], L$1, Table2[ActualResult], "REG") + SUMIFS(Table2[AwayWon], Table2[GameIsOver],1,Table2[HomeTeam],$A23, Table2[AwayTeam], L$1, Table2[ActualResult], "REG"),0), "-", TEXT(SUMIFS(Table2[HomeWon_], Table2[GameIsOver],1,Table2[AwayTeam],$A23, Table2[HomeTeam], L$1, Table2[ActualResult], "OT") + SUMIFS(Table2[AwayWon], Table2[GameIsOver],1,Table2[HomeTeam],$A23, Table2[AwayTeam], L$1, Table2[ActualResult], "OT") + SUMIFS(Table2[HomeWon_], Table2[GameIsOver],1,Table2[AwayTeam],$A23, Table2[HomeTeam], L$1, Table2[ActualResult], "SO") + SUMIFS(Table2[AwayWon], Table2[GameIsOver],1,Table2[HomeTeam],$A23, Table2[AwayTeam], L$1, Table2[ActualResult], "SO"),0))</f>
        <v>0-0-0</v>
      </c>
      <c r="M23" t="str">
        <f>_xlfn.CONCAT(TEXT(SUMIFS(Table2[AwayWon], Table2[GameIsOver],1,Table2[AwayTeam],$A23, Table2[HomeTeam], M$1) + SUMIFS(Table2[HomeWon_], Table2[GameIsOver],1,Table2[HomeTeam],$A23, Table2[AwayTeam], M$1),0), "-", TEXT(SUMIFS(Table2[HomeWon_], Table2[GameIsOver],1,Table2[AwayTeam],$A23, Table2[HomeTeam], M$1, Table2[ActualResult], "REG") + SUMIFS(Table2[AwayWon], Table2[GameIsOver],1,Table2[HomeTeam],$A23, Table2[AwayTeam], M$1, Table2[ActualResult], "REG"),0), "-", TEXT(SUMIFS(Table2[HomeWon_], Table2[GameIsOver],1,Table2[AwayTeam],$A23, Table2[HomeTeam], M$1, Table2[ActualResult], "OT") + SUMIFS(Table2[AwayWon], Table2[GameIsOver],1,Table2[HomeTeam],$A23, Table2[AwayTeam], M$1, Table2[ActualResult], "OT") + SUMIFS(Table2[HomeWon_], Table2[GameIsOver],1,Table2[AwayTeam],$A23, Table2[HomeTeam], M$1, Table2[ActualResult], "SO") + SUMIFS(Table2[AwayWon], Table2[GameIsOver],1,Table2[HomeTeam],$A23, Table2[AwayTeam], M$1, Table2[ActualResult], "SO"),0))</f>
        <v>1-0-0</v>
      </c>
      <c r="N23" t="str">
        <f>_xlfn.CONCAT(TEXT(SUMIFS(Table2[AwayWon], Table2[GameIsOver],1,Table2[AwayTeam],$A23, Table2[HomeTeam], N$1) + SUMIFS(Table2[HomeWon_], Table2[GameIsOver],1,Table2[HomeTeam],$A23, Table2[AwayTeam], N$1),0), "-", TEXT(SUMIFS(Table2[HomeWon_], Table2[GameIsOver],1,Table2[AwayTeam],$A23, Table2[HomeTeam], N$1, Table2[ActualResult], "REG") + SUMIFS(Table2[AwayWon], Table2[GameIsOver],1,Table2[HomeTeam],$A23, Table2[AwayTeam], N$1, Table2[ActualResult], "REG"),0), "-", TEXT(SUMIFS(Table2[HomeWon_], Table2[GameIsOver],1,Table2[AwayTeam],$A23, Table2[HomeTeam], N$1, Table2[ActualResult], "OT") + SUMIFS(Table2[AwayWon], Table2[GameIsOver],1,Table2[HomeTeam],$A23, Table2[AwayTeam], N$1, Table2[ActualResult], "OT") + SUMIFS(Table2[HomeWon_], Table2[GameIsOver],1,Table2[AwayTeam],$A23, Table2[HomeTeam], N$1, Table2[ActualResult], "SO") + SUMIFS(Table2[AwayWon], Table2[GameIsOver],1,Table2[HomeTeam],$A23, Table2[AwayTeam], N$1, Table2[ActualResult], "SO"),0))</f>
        <v>0-0-0</v>
      </c>
      <c r="O23" t="str">
        <f>_xlfn.CONCAT(TEXT(SUMIFS(Table2[AwayWon], Table2[GameIsOver],1,Table2[AwayTeam],$A23, Table2[HomeTeam], O$1) + SUMIFS(Table2[HomeWon_], Table2[GameIsOver],1,Table2[HomeTeam],$A23, Table2[AwayTeam], O$1),0), "-", TEXT(SUMIFS(Table2[HomeWon_], Table2[GameIsOver],1,Table2[AwayTeam],$A23, Table2[HomeTeam], O$1, Table2[ActualResult], "REG") + SUMIFS(Table2[AwayWon], Table2[GameIsOver],1,Table2[HomeTeam],$A23, Table2[AwayTeam], O$1, Table2[ActualResult], "REG"),0), "-", TEXT(SUMIFS(Table2[HomeWon_], Table2[GameIsOver],1,Table2[AwayTeam],$A23, Table2[HomeTeam], O$1, Table2[ActualResult], "OT") + SUMIFS(Table2[AwayWon], Table2[GameIsOver],1,Table2[HomeTeam],$A23, Table2[AwayTeam], O$1, Table2[ActualResult], "OT") + SUMIFS(Table2[HomeWon_], Table2[GameIsOver],1,Table2[AwayTeam],$A23, Table2[HomeTeam], O$1, Table2[ActualResult], "SO") + SUMIFS(Table2[AwayWon], Table2[GameIsOver],1,Table2[HomeTeam],$A23, Table2[AwayTeam], O$1, Table2[ActualResult], "SO"),0))</f>
        <v>0-0-0</v>
      </c>
      <c r="P23" t="str">
        <f>_xlfn.CONCAT(TEXT(SUMIFS(Table2[AwayWon], Table2[GameIsOver],1,Table2[AwayTeam],$A23, Table2[HomeTeam], P$1) + SUMIFS(Table2[HomeWon_], Table2[GameIsOver],1,Table2[HomeTeam],$A23, Table2[AwayTeam], P$1),0), "-", TEXT(SUMIFS(Table2[HomeWon_], Table2[GameIsOver],1,Table2[AwayTeam],$A23, Table2[HomeTeam], P$1, Table2[ActualResult], "REG") + SUMIFS(Table2[AwayWon], Table2[GameIsOver],1,Table2[HomeTeam],$A23, Table2[AwayTeam], P$1, Table2[ActualResult], "REG"),0), "-", TEXT(SUMIFS(Table2[HomeWon_], Table2[GameIsOver],1,Table2[AwayTeam],$A23, Table2[HomeTeam], P$1, Table2[ActualResult], "OT") + SUMIFS(Table2[AwayWon], Table2[GameIsOver],1,Table2[HomeTeam],$A23, Table2[AwayTeam], P$1, Table2[ActualResult], "OT") + SUMIFS(Table2[HomeWon_], Table2[GameIsOver],1,Table2[AwayTeam],$A23, Table2[HomeTeam], P$1, Table2[ActualResult], "SO") + SUMIFS(Table2[AwayWon], Table2[GameIsOver],1,Table2[HomeTeam],$A23, Table2[AwayTeam], P$1, Table2[ActualResult], "SO"),0))</f>
        <v>0-0-0</v>
      </c>
      <c r="Q23" s="57" t="str">
        <f>_xlfn.CONCAT(TEXT(SUMIFS(Table2[AwayWon], Table2[GameIsOver],1,Table2[AwayTeam],$A23, Table2[HomeTeam], Q$1) + SUMIFS(Table2[HomeWon_], Table2[GameIsOver],1,Table2[HomeTeam],$A23, Table2[AwayTeam], Q$1),0), "-", TEXT(SUMIFS(Table2[HomeWon_], Table2[GameIsOver],1,Table2[AwayTeam],$A23, Table2[HomeTeam], Q$1, Table2[ActualResult], "REG") + SUMIFS(Table2[AwayWon], Table2[GameIsOver],1,Table2[HomeTeam],$A23, Table2[AwayTeam], Q$1, Table2[ActualResult], "REG"),0), "-", TEXT(SUMIFS(Table2[HomeWon_], Table2[GameIsOver],1,Table2[AwayTeam],$A23, Table2[HomeTeam], Q$1, Table2[ActualResult], "OT") + SUMIFS(Table2[AwayWon], Table2[GameIsOver],1,Table2[HomeTeam],$A23, Table2[AwayTeam], Q$1, Table2[ActualResult], "OT") + SUMIFS(Table2[HomeWon_], Table2[GameIsOver],1,Table2[AwayTeam],$A23, Table2[HomeTeam], Q$1, Table2[ActualResult], "SO") + SUMIFS(Table2[AwayWon], Table2[GameIsOver],1,Table2[HomeTeam],$A23, Table2[AwayTeam], Q$1, Table2[ActualResult], "SO"),0))</f>
        <v>0-1-0</v>
      </c>
      <c r="R23" t="str">
        <f>_xlfn.CONCAT(TEXT(SUMIFS(Table2[AwayWon], Table2[GameIsOver],1,Table2[AwayTeam],$A23, Table2[HomeTeam], R$1) + SUMIFS(Table2[HomeWon_], Table2[GameIsOver],1,Table2[HomeTeam],$A23, Table2[AwayTeam], R$1),0), "-", TEXT(SUMIFS(Table2[HomeWon_], Table2[GameIsOver],1,Table2[AwayTeam],$A23, Table2[HomeTeam], R$1, Table2[ActualResult], "REG") + SUMIFS(Table2[AwayWon], Table2[GameIsOver],1,Table2[HomeTeam],$A23, Table2[AwayTeam], R$1, Table2[ActualResult], "REG"),0), "-", TEXT(SUMIFS(Table2[HomeWon_], Table2[GameIsOver],1,Table2[AwayTeam],$A23, Table2[HomeTeam], R$1, Table2[ActualResult], "OT") + SUMIFS(Table2[AwayWon], Table2[GameIsOver],1,Table2[HomeTeam],$A23, Table2[AwayTeam], R$1, Table2[ActualResult], "OT") + SUMIFS(Table2[HomeWon_], Table2[GameIsOver],1,Table2[AwayTeam],$A23, Table2[HomeTeam], R$1, Table2[ActualResult], "SO") + SUMIFS(Table2[AwayWon], Table2[GameIsOver],1,Table2[HomeTeam],$A23, Table2[AwayTeam], R$1, Table2[ActualResult], "SO"),0))</f>
        <v>0-0-1</v>
      </c>
      <c r="S23" t="str">
        <f>_xlfn.CONCAT(TEXT(SUMIFS(Table2[AwayWon], Table2[GameIsOver],1,Table2[AwayTeam],$A23, Table2[HomeTeam], S$1) + SUMIFS(Table2[HomeWon_], Table2[GameIsOver],1,Table2[HomeTeam],$A23, Table2[AwayTeam], S$1),0), "-", TEXT(SUMIFS(Table2[HomeWon_], Table2[GameIsOver],1,Table2[AwayTeam],$A23, Table2[HomeTeam], S$1, Table2[ActualResult], "REG") + SUMIFS(Table2[AwayWon], Table2[GameIsOver],1,Table2[HomeTeam],$A23, Table2[AwayTeam], S$1, Table2[ActualResult], "REG"),0), "-", TEXT(SUMIFS(Table2[HomeWon_], Table2[GameIsOver],1,Table2[AwayTeam],$A23, Table2[HomeTeam], S$1, Table2[ActualResult], "OT") + SUMIFS(Table2[AwayWon], Table2[GameIsOver],1,Table2[HomeTeam],$A23, Table2[AwayTeam], S$1, Table2[ActualResult], "OT") + SUMIFS(Table2[HomeWon_], Table2[GameIsOver],1,Table2[AwayTeam],$A23, Table2[HomeTeam], S$1, Table2[ActualResult], "SO") + SUMIFS(Table2[AwayWon], Table2[GameIsOver],1,Table2[HomeTeam],$A23, Table2[AwayTeam], S$1, Table2[ActualResult], "SO"),0))</f>
        <v>0-0-0</v>
      </c>
      <c r="T23" t="str">
        <f>_xlfn.CONCAT(TEXT(SUMIFS(Table2[AwayWon], Table2[GameIsOver],1,Table2[AwayTeam],$A23, Table2[HomeTeam], T$1) + SUMIFS(Table2[HomeWon_], Table2[GameIsOver],1,Table2[HomeTeam],$A23, Table2[AwayTeam], T$1),0), "-", TEXT(SUMIFS(Table2[HomeWon_], Table2[GameIsOver],1,Table2[AwayTeam],$A23, Table2[HomeTeam], T$1, Table2[ActualResult], "REG") + SUMIFS(Table2[AwayWon], Table2[GameIsOver],1,Table2[HomeTeam],$A23, Table2[AwayTeam], T$1, Table2[ActualResult], "REG"),0), "-", TEXT(SUMIFS(Table2[HomeWon_], Table2[GameIsOver],1,Table2[AwayTeam],$A23, Table2[HomeTeam], T$1, Table2[ActualResult], "OT") + SUMIFS(Table2[AwayWon], Table2[GameIsOver],1,Table2[HomeTeam],$A23, Table2[AwayTeam], T$1, Table2[ActualResult], "OT") + SUMIFS(Table2[HomeWon_], Table2[GameIsOver],1,Table2[AwayTeam],$A23, Table2[HomeTeam], T$1, Table2[ActualResult], "SO") + SUMIFS(Table2[AwayWon], Table2[GameIsOver],1,Table2[HomeTeam],$A23, Table2[AwayTeam], T$1, Table2[ActualResult], "SO"),0))</f>
        <v>0-0-0</v>
      </c>
      <c r="U23" t="str">
        <f>_xlfn.CONCAT(TEXT(SUMIFS(Table2[AwayWon], Table2[GameIsOver],1,Table2[AwayTeam],$A23, Table2[HomeTeam], U$1) + SUMIFS(Table2[HomeWon_], Table2[GameIsOver],1,Table2[HomeTeam],$A23, Table2[AwayTeam], U$1),0), "-", TEXT(SUMIFS(Table2[HomeWon_], Table2[GameIsOver],1,Table2[AwayTeam],$A23, Table2[HomeTeam], U$1, Table2[ActualResult], "REG") + SUMIFS(Table2[AwayWon], Table2[GameIsOver],1,Table2[HomeTeam],$A23, Table2[AwayTeam], U$1, Table2[ActualResult], "REG"),0), "-", TEXT(SUMIFS(Table2[HomeWon_], Table2[GameIsOver],1,Table2[AwayTeam],$A23, Table2[HomeTeam], U$1, Table2[ActualResult], "OT") + SUMIFS(Table2[AwayWon], Table2[GameIsOver],1,Table2[HomeTeam],$A23, Table2[AwayTeam], U$1, Table2[ActualResult], "OT") + SUMIFS(Table2[HomeWon_], Table2[GameIsOver],1,Table2[AwayTeam],$A23, Table2[HomeTeam], U$1, Table2[ActualResult], "SO") + SUMIFS(Table2[AwayWon], Table2[GameIsOver],1,Table2[HomeTeam],$A23, Table2[AwayTeam], U$1, Table2[ActualResult], "SO"),0))</f>
        <v>0-0-0</v>
      </c>
      <c r="V23" t="str">
        <f>_xlfn.CONCAT(TEXT(SUMIFS(Table2[AwayWon], Table2[GameIsOver],1,Table2[AwayTeam],$A23, Table2[HomeTeam], V$1) + SUMIFS(Table2[HomeWon_], Table2[GameIsOver],1,Table2[HomeTeam],$A23, Table2[AwayTeam], V$1),0), "-", TEXT(SUMIFS(Table2[HomeWon_], Table2[GameIsOver],1,Table2[AwayTeam],$A23, Table2[HomeTeam], V$1, Table2[ActualResult], "REG") + SUMIFS(Table2[AwayWon], Table2[GameIsOver],1,Table2[HomeTeam],$A23, Table2[AwayTeam], V$1, Table2[ActualResult], "REG"),0), "-", TEXT(SUMIFS(Table2[HomeWon_], Table2[GameIsOver],1,Table2[AwayTeam],$A23, Table2[HomeTeam], V$1, Table2[ActualResult], "OT") + SUMIFS(Table2[AwayWon], Table2[GameIsOver],1,Table2[HomeTeam],$A23, Table2[AwayTeam], V$1, Table2[ActualResult], "OT") + SUMIFS(Table2[HomeWon_], Table2[GameIsOver],1,Table2[AwayTeam],$A23, Table2[HomeTeam], V$1, Table2[ActualResult], "SO") + SUMIFS(Table2[AwayWon], Table2[GameIsOver],1,Table2[HomeTeam],$A23, Table2[AwayTeam], V$1, Table2[ActualResult], "SO"),0))</f>
        <v>0-0-0</v>
      </c>
      <c r="W23" s="89"/>
      <c r="X23" t="str">
        <f>_xlfn.CONCAT(TEXT(SUMIFS(Table2[AwayWon], Table2[GameIsOver],1,Table2[AwayTeam],$A23, Table2[HomeTeam], X$1) + SUMIFS(Table2[HomeWon_], Table2[GameIsOver],1,Table2[HomeTeam],$A23, Table2[AwayTeam], X$1),0), "-", TEXT(SUMIFS(Table2[HomeWon_], Table2[GameIsOver],1,Table2[AwayTeam],$A23, Table2[HomeTeam], X$1, Table2[ActualResult], "REG") + SUMIFS(Table2[AwayWon], Table2[GameIsOver],1,Table2[HomeTeam],$A23, Table2[AwayTeam], X$1, Table2[ActualResult], "REG"),0), "-", TEXT(SUMIFS(Table2[HomeWon_], Table2[GameIsOver],1,Table2[AwayTeam],$A23, Table2[HomeTeam], X$1, Table2[ActualResult], "OT") + SUMIFS(Table2[AwayWon], Table2[GameIsOver],1,Table2[HomeTeam],$A23, Table2[AwayTeam], X$1, Table2[ActualResult], "OT") + SUMIFS(Table2[HomeWon_], Table2[GameIsOver],1,Table2[AwayTeam],$A23, Table2[HomeTeam], X$1, Table2[ActualResult], "SO") + SUMIFS(Table2[AwayWon], Table2[GameIsOver],1,Table2[HomeTeam],$A23, Table2[AwayTeam], X$1, Table2[ActualResult], "SO"),0))</f>
        <v>0-0-0</v>
      </c>
      <c r="Y23" s="57" t="str">
        <f>_xlfn.CONCAT(TEXT(SUMIFS(Table2[AwayWon], Table2[GameIsOver],1,Table2[AwayTeam],$A23, Table2[HomeTeam], Y$1) + SUMIFS(Table2[HomeWon_], Table2[GameIsOver],1,Table2[HomeTeam],$A23, Table2[AwayTeam], Y$1),0), "-", TEXT(SUMIFS(Table2[HomeWon_], Table2[GameIsOver],1,Table2[AwayTeam],$A23, Table2[HomeTeam], Y$1, Table2[ActualResult], "REG") + SUMIFS(Table2[AwayWon], Table2[GameIsOver],1,Table2[HomeTeam],$A23, Table2[AwayTeam], Y$1, Table2[ActualResult], "REG"),0), "-", TEXT(SUMIFS(Table2[HomeWon_], Table2[GameIsOver],1,Table2[AwayTeam],$A23, Table2[HomeTeam], Y$1, Table2[ActualResult], "OT") + SUMIFS(Table2[AwayWon], Table2[GameIsOver],1,Table2[HomeTeam],$A23, Table2[AwayTeam], Y$1, Table2[ActualResult], "OT") + SUMIFS(Table2[HomeWon_], Table2[GameIsOver],1,Table2[AwayTeam],$A23, Table2[HomeTeam], Y$1, Table2[ActualResult], "SO") + SUMIFS(Table2[AwayWon], Table2[GameIsOver],1,Table2[HomeTeam],$A23, Table2[AwayTeam], Y$1, Table2[ActualResult], "SO"),0))</f>
        <v>0-0-0</v>
      </c>
      <c r="Z23" t="str">
        <f>_xlfn.CONCAT(TEXT(SUMIFS(Table2[AwayWon], Table2[GameIsOver],1,Table2[AwayTeam],$A23, Table2[HomeTeam], Z$1) + SUMIFS(Table2[HomeWon_], Table2[GameIsOver],1,Table2[HomeTeam],$A23, Table2[AwayTeam], Z$1),0), "-", TEXT(SUMIFS(Table2[HomeWon_], Table2[GameIsOver],1,Table2[AwayTeam],$A23, Table2[HomeTeam], Z$1, Table2[ActualResult], "REG") + SUMIFS(Table2[AwayWon], Table2[GameIsOver],1,Table2[HomeTeam],$A23, Table2[AwayTeam], Z$1, Table2[ActualResult], "REG"),0), "-", TEXT(SUMIFS(Table2[HomeWon_], Table2[GameIsOver],1,Table2[AwayTeam],$A23, Table2[HomeTeam], Z$1, Table2[ActualResult], "OT") + SUMIFS(Table2[AwayWon], Table2[GameIsOver],1,Table2[HomeTeam],$A23, Table2[AwayTeam], Z$1, Table2[ActualResult], "OT") + SUMIFS(Table2[HomeWon_], Table2[GameIsOver],1,Table2[AwayTeam],$A23, Table2[HomeTeam], Z$1, Table2[ActualResult], "SO") + SUMIFS(Table2[AwayWon], Table2[GameIsOver],1,Table2[HomeTeam],$A23, Table2[AwayTeam], Z$1, Table2[ActualResult], "SO"),0))</f>
        <v>0-0-0</v>
      </c>
      <c r="AA23" t="str">
        <f>_xlfn.CONCAT(TEXT(SUMIFS(Table2[AwayWon], Table2[GameIsOver],1,Table2[AwayTeam],$A23, Table2[HomeTeam], AA$1) + SUMIFS(Table2[HomeWon_], Table2[GameIsOver],1,Table2[HomeTeam],$A23, Table2[AwayTeam], AA$1),0), "-", TEXT(SUMIFS(Table2[HomeWon_], Table2[GameIsOver],1,Table2[AwayTeam],$A23, Table2[HomeTeam], AA$1, Table2[ActualResult], "REG") + SUMIFS(Table2[AwayWon], Table2[GameIsOver],1,Table2[HomeTeam],$A23, Table2[AwayTeam], AA$1, Table2[ActualResult], "REG"),0), "-", TEXT(SUMIFS(Table2[HomeWon_], Table2[GameIsOver],1,Table2[AwayTeam],$A23, Table2[HomeTeam], AA$1, Table2[ActualResult], "OT") + SUMIFS(Table2[AwayWon], Table2[GameIsOver],1,Table2[HomeTeam],$A23, Table2[AwayTeam], AA$1, Table2[ActualResult], "OT") + SUMIFS(Table2[HomeWon_], Table2[GameIsOver],1,Table2[AwayTeam],$A23, Table2[HomeTeam], AA$1, Table2[ActualResult], "SO") + SUMIFS(Table2[AwayWon], Table2[GameIsOver],1,Table2[HomeTeam],$A23, Table2[AwayTeam], AA$1, Table2[ActualResult], "SO"),0))</f>
        <v>0-0-0</v>
      </c>
      <c r="AB23" t="str">
        <f>_xlfn.CONCAT(TEXT(SUMIFS(Table2[AwayWon], Table2[GameIsOver],1,Table2[AwayTeam],$A23, Table2[HomeTeam], AB$1) + SUMIFS(Table2[HomeWon_], Table2[GameIsOver],1,Table2[HomeTeam],$A23, Table2[AwayTeam], AB$1),0), "-", TEXT(SUMIFS(Table2[HomeWon_], Table2[GameIsOver],1,Table2[AwayTeam],$A23, Table2[HomeTeam], AB$1, Table2[ActualResult], "REG") + SUMIFS(Table2[AwayWon], Table2[GameIsOver],1,Table2[HomeTeam],$A23, Table2[AwayTeam], AB$1, Table2[ActualResult], "REG"),0), "-", TEXT(SUMIFS(Table2[HomeWon_], Table2[GameIsOver],1,Table2[AwayTeam],$A23, Table2[HomeTeam], AB$1, Table2[ActualResult], "OT") + SUMIFS(Table2[AwayWon], Table2[GameIsOver],1,Table2[HomeTeam],$A23, Table2[AwayTeam], AB$1, Table2[ActualResult], "OT") + SUMIFS(Table2[HomeWon_], Table2[GameIsOver],1,Table2[AwayTeam],$A23, Table2[HomeTeam], AB$1, Table2[ActualResult], "SO") + SUMIFS(Table2[AwayWon], Table2[GameIsOver],1,Table2[HomeTeam],$A23, Table2[AwayTeam], AB$1, Table2[ActualResult], "SO"),0))</f>
        <v>0-0-0</v>
      </c>
      <c r="AC23" t="str">
        <f>_xlfn.CONCAT(TEXT(SUMIFS(Table2[AwayWon], Table2[GameIsOver],1,Table2[AwayTeam],$A23, Table2[HomeTeam], AC$1) + SUMIFS(Table2[HomeWon_], Table2[GameIsOver],1,Table2[HomeTeam],$A23, Table2[AwayTeam], AC$1),0), "-", TEXT(SUMIFS(Table2[HomeWon_], Table2[GameIsOver],1,Table2[AwayTeam],$A23, Table2[HomeTeam], AC$1, Table2[ActualResult], "REG") + SUMIFS(Table2[AwayWon], Table2[GameIsOver],1,Table2[HomeTeam],$A23, Table2[AwayTeam], AC$1, Table2[ActualResult], "REG"),0), "-", TEXT(SUMIFS(Table2[HomeWon_], Table2[GameIsOver],1,Table2[AwayTeam],$A23, Table2[HomeTeam], AC$1, Table2[ActualResult], "OT") + SUMIFS(Table2[AwayWon], Table2[GameIsOver],1,Table2[HomeTeam],$A23, Table2[AwayTeam], AC$1, Table2[ActualResult], "OT") + SUMIFS(Table2[HomeWon_], Table2[GameIsOver],1,Table2[AwayTeam],$A23, Table2[HomeTeam], AC$1, Table2[ActualResult], "SO") + SUMIFS(Table2[AwayWon], Table2[GameIsOver],1,Table2[HomeTeam],$A23, Table2[AwayTeam], AC$1, Table2[ActualResult], "SO"),0))</f>
        <v>1-1-0</v>
      </c>
      <c r="AD23" t="str">
        <f>_xlfn.CONCAT(TEXT(SUMIFS(Table2[AwayWon], Table2[GameIsOver],1,Table2[AwayTeam],$A23, Table2[HomeTeam], AD$1) + SUMIFS(Table2[HomeWon_], Table2[GameIsOver],1,Table2[HomeTeam],$A23, Table2[AwayTeam], AD$1),0), "-", TEXT(SUMIFS(Table2[HomeWon_], Table2[GameIsOver],1,Table2[AwayTeam],$A23, Table2[HomeTeam], AD$1, Table2[ActualResult], "REG") + SUMIFS(Table2[AwayWon], Table2[GameIsOver],1,Table2[HomeTeam],$A23, Table2[AwayTeam], AD$1, Table2[ActualResult], "REG"),0), "-", TEXT(SUMIFS(Table2[HomeWon_], Table2[GameIsOver],1,Table2[AwayTeam],$A23, Table2[HomeTeam], AD$1, Table2[ActualResult], "OT") + SUMIFS(Table2[AwayWon], Table2[GameIsOver],1,Table2[HomeTeam],$A23, Table2[AwayTeam], AD$1, Table2[ActualResult], "OT") + SUMIFS(Table2[HomeWon_], Table2[GameIsOver],1,Table2[AwayTeam],$A23, Table2[HomeTeam], AD$1, Table2[ActualResult], "SO") + SUMIFS(Table2[AwayWon], Table2[GameIsOver],1,Table2[HomeTeam],$A23, Table2[AwayTeam], AD$1, Table2[ActualResult], "SO"),0))</f>
        <v>0-0-0</v>
      </c>
      <c r="AE23" t="str">
        <f>_xlfn.CONCAT(TEXT(SUMIFS(Table2[AwayWon], Table2[GameIsOver],1,Table2[AwayTeam],$A23, Table2[HomeTeam], AE$1) + SUMIFS(Table2[HomeWon_], Table2[GameIsOver],1,Table2[HomeTeam],$A23, Table2[AwayTeam], AE$1),0), "-", TEXT(SUMIFS(Table2[HomeWon_], Table2[GameIsOver],1,Table2[AwayTeam],$A23, Table2[HomeTeam], AE$1, Table2[ActualResult], "REG") + SUMIFS(Table2[AwayWon], Table2[GameIsOver],1,Table2[HomeTeam],$A23, Table2[AwayTeam], AE$1, Table2[ActualResult], "REG"),0), "-", TEXT(SUMIFS(Table2[HomeWon_], Table2[GameIsOver],1,Table2[AwayTeam],$A23, Table2[HomeTeam], AE$1, Table2[ActualResult], "OT") + SUMIFS(Table2[AwayWon], Table2[GameIsOver],1,Table2[HomeTeam],$A23, Table2[AwayTeam], AE$1, Table2[ActualResult], "OT") + SUMIFS(Table2[HomeWon_], Table2[GameIsOver],1,Table2[AwayTeam],$A23, Table2[HomeTeam], AE$1, Table2[ActualResult], "SO") + SUMIFS(Table2[AwayWon], Table2[GameIsOver],1,Table2[HomeTeam],$A23, Table2[AwayTeam], AE$1, Table2[ActualResult], "SO"),0))</f>
        <v>0-0-0</v>
      </c>
      <c r="AF23" t="str">
        <f>_xlfn.CONCAT(TEXT(SUMIFS(Table2[AwayWon], Table2[GameIsOver],1,Table2[AwayTeam],$A23, Table2[HomeTeam], AF$1) + SUMIFS(Table2[HomeWon_], Table2[GameIsOver],1,Table2[HomeTeam],$A23, Table2[AwayTeam], AF$1),0), "-", TEXT(SUMIFS(Table2[HomeWon_], Table2[GameIsOver],1,Table2[AwayTeam],$A23, Table2[HomeTeam], AF$1, Table2[ActualResult], "REG") + SUMIFS(Table2[AwayWon], Table2[GameIsOver],1,Table2[HomeTeam],$A23, Table2[AwayTeam], AF$1, Table2[ActualResult], "REG"),0), "-", TEXT(SUMIFS(Table2[HomeWon_], Table2[GameIsOver],1,Table2[AwayTeam],$A23, Table2[HomeTeam], AF$1, Table2[ActualResult], "OT") + SUMIFS(Table2[AwayWon], Table2[GameIsOver],1,Table2[HomeTeam],$A23, Table2[AwayTeam], AF$1, Table2[ActualResult], "OT") + SUMIFS(Table2[HomeWon_], Table2[GameIsOver],1,Table2[AwayTeam],$A23, Table2[HomeTeam], AF$1, Table2[ActualResult], "SO") + SUMIFS(Table2[AwayWon], Table2[GameIsOver],1,Table2[HomeTeam],$A23, Table2[AwayTeam], AF$1, Table2[ActualResult], "SO"),0))</f>
        <v>0-0-0</v>
      </c>
      <c r="AG23" t="str">
        <f>_xlfn.CONCAT(TEXT(SUMIFS(Table2[AwayWon], Table2[GameIsOver],1,Table2[AwayTeam],$A23, Table2[HomeTeam], AG$1) + SUMIFS(Table2[HomeWon_], Table2[GameIsOver],1,Table2[HomeTeam],$A23, Table2[AwayTeam], AG$1),0), "-", TEXT(SUMIFS(Table2[HomeWon_], Table2[GameIsOver],1,Table2[AwayTeam],$A23, Table2[HomeTeam], AG$1, Table2[ActualResult], "REG") + SUMIFS(Table2[AwayWon], Table2[GameIsOver],1,Table2[HomeTeam],$A23, Table2[AwayTeam], AG$1, Table2[ActualResult], "REG"),0), "-", TEXT(SUMIFS(Table2[HomeWon_], Table2[GameIsOver],1,Table2[AwayTeam],$A23, Table2[HomeTeam], AG$1, Table2[ActualResult], "OT") + SUMIFS(Table2[AwayWon], Table2[GameIsOver],1,Table2[HomeTeam],$A23, Table2[AwayTeam], AG$1, Table2[ActualResult], "OT") + SUMIFS(Table2[HomeWon_], Table2[GameIsOver],1,Table2[AwayTeam],$A23, Table2[HomeTeam], AG$1, Table2[ActualResult], "SO") + SUMIFS(Table2[AwayWon], Table2[GameIsOver],1,Table2[HomeTeam],$A23, Table2[AwayTeam], AG$1, Table2[ActualResult], "SO"),0))</f>
        <v>0-0-0</v>
      </c>
    </row>
    <row r="24" spans="1:33" x14ac:dyDescent="0.25">
      <c r="A24" s="57" t="s">
        <v>20</v>
      </c>
      <c r="B24" t="str">
        <f>_xlfn.CONCAT(TEXT(SUMIFS(Table2[AwayWon], Table2[GameIsOver],1,Table2[AwayTeam],$A24, Table2[HomeTeam], B$1) + SUMIFS(Table2[HomeWon_], Table2[GameIsOver],1,Table2[HomeTeam],$A24, Table2[AwayTeam], B$1),0), "-", TEXT(SUMIFS(Table2[HomeWon_], Table2[GameIsOver],1,Table2[AwayTeam],$A24, Table2[HomeTeam], B$1, Table2[ActualResult], "REG") + SUMIFS(Table2[AwayWon], Table2[GameIsOver],1,Table2[HomeTeam],$A24, Table2[AwayTeam], B$1, Table2[ActualResult], "REG"),0), "-", TEXT(SUMIFS(Table2[HomeWon_], Table2[GameIsOver],1,Table2[AwayTeam],$A24, Table2[HomeTeam], B$1, Table2[ActualResult], "OT") + SUMIFS(Table2[AwayWon], Table2[GameIsOver],1,Table2[HomeTeam],$A24, Table2[AwayTeam], B$1, Table2[ActualResult], "OT") + SUMIFS(Table2[HomeWon_], Table2[GameIsOver],1,Table2[AwayTeam],$A24, Table2[HomeTeam], B$1, Table2[ActualResult], "SO") + SUMIFS(Table2[AwayWon], Table2[GameIsOver],1,Table2[HomeTeam],$A24, Table2[AwayTeam], B$1, Table2[ActualResult], "SO"),0))</f>
        <v>0-1-0</v>
      </c>
      <c r="C24" t="str">
        <f>_xlfn.CONCAT(TEXT(SUMIFS(Table2[AwayWon], Table2[GameIsOver],1,Table2[AwayTeam],$A24, Table2[HomeTeam], C$1) + SUMIFS(Table2[HomeWon_], Table2[GameIsOver],1,Table2[HomeTeam],$A24, Table2[AwayTeam], C$1),0), "-", TEXT(SUMIFS(Table2[HomeWon_], Table2[GameIsOver],1,Table2[AwayTeam],$A24, Table2[HomeTeam], C$1, Table2[ActualResult], "REG") + SUMIFS(Table2[AwayWon], Table2[GameIsOver],1,Table2[HomeTeam],$A24, Table2[AwayTeam], C$1, Table2[ActualResult], "REG"),0), "-", TEXT(SUMIFS(Table2[HomeWon_], Table2[GameIsOver],1,Table2[AwayTeam],$A24, Table2[HomeTeam], C$1, Table2[ActualResult], "OT") + SUMIFS(Table2[AwayWon], Table2[GameIsOver],1,Table2[HomeTeam],$A24, Table2[AwayTeam], C$1, Table2[ActualResult], "OT") + SUMIFS(Table2[HomeWon_], Table2[GameIsOver],1,Table2[AwayTeam],$A24, Table2[HomeTeam], C$1, Table2[ActualResult], "SO") + SUMIFS(Table2[AwayWon], Table2[GameIsOver],1,Table2[HomeTeam],$A24, Table2[AwayTeam], C$1, Table2[ActualResult], "SO"),0))</f>
        <v>0-0-0</v>
      </c>
      <c r="D24" t="str">
        <f>_xlfn.CONCAT(TEXT(SUMIFS(Table2[AwayWon], Table2[GameIsOver],1,Table2[AwayTeam],$A24, Table2[HomeTeam], D$1) + SUMIFS(Table2[HomeWon_], Table2[GameIsOver],1,Table2[HomeTeam],$A24, Table2[AwayTeam], D$1),0), "-", TEXT(SUMIFS(Table2[HomeWon_], Table2[GameIsOver],1,Table2[AwayTeam],$A24, Table2[HomeTeam], D$1, Table2[ActualResult], "REG") + SUMIFS(Table2[AwayWon], Table2[GameIsOver],1,Table2[HomeTeam],$A24, Table2[AwayTeam], D$1, Table2[ActualResult], "REG"),0), "-", TEXT(SUMIFS(Table2[HomeWon_], Table2[GameIsOver],1,Table2[AwayTeam],$A24, Table2[HomeTeam], D$1, Table2[ActualResult], "OT") + SUMIFS(Table2[AwayWon], Table2[GameIsOver],1,Table2[HomeTeam],$A24, Table2[AwayTeam], D$1, Table2[ActualResult], "OT") + SUMIFS(Table2[HomeWon_], Table2[GameIsOver],1,Table2[AwayTeam],$A24, Table2[HomeTeam], D$1, Table2[ActualResult], "SO") + SUMIFS(Table2[AwayWon], Table2[GameIsOver],1,Table2[HomeTeam],$A24, Table2[AwayTeam], D$1, Table2[ActualResult], "SO"),0))</f>
        <v>0-0-0</v>
      </c>
      <c r="E24" t="str">
        <f>_xlfn.CONCAT(TEXT(SUMIFS(Table2[AwayWon], Table2[GameIsOver],1,Table2[AwayTeam],$A24, Table2[HomeTeam], E$1) + SUMIFS(Table2[HomeWon_], Table2[GameIsOver],1,Table2[HomeTeam],$A24, Table2[AwayTeam], E$1),0), "-", TEXT(SUMIFS(Table2[HomeWon_], Table2[GameIsOver],1,Table2[AwayTeam],$A24, Table2[HomeTeam], E$1, Table2[ActualResult], "REG") + SUMIFS(Table2[AwayWon], Table2[GameIsOver],1,Table2[HomeTeam],$A24, Table2[AwayTeam], E$1, Table2[ActualResult], "REG"),0), "-", TEXT(SUMIFS(Table2[HomeWon_], Table2[GameIsOver],1,Table2[AwayTeam],$A24, Table2[HomeTeam], E$1, Table2[ActualResult], "OT") + SUMIFS(Table2[AwayWon], Table2[GameIsOver],1,Table2[HomeTeam],$A24, Table2[AwayTeam], E$1, Table2[ActualResult], "OT") + SUMIFS(Table2[HomeWon_], Table2[GameIsOver],1,Table2[AwayTeam],$A24, Table2[HomeTeam], E$1, Table2[ActualResult], "SO") + SUMIFS(Table2[AwayWon], Table2[GameIsOver],1,Table2[HomeTeam],$A24, Table2[AwayTeam], E$1, Table2[ActualResult], "SO"),0))</f>
        <v>1-0-0</v>
      </c>
      <c r="F24" t="str">
        <f>_xlfn.CONCAT(TEXT(SUMIFS(Table2[AwayWon], Table2[GameIsOver],1,Table2[AwayTeam],$A24, Table2[HomeTeam], F$1) + SUMIFS(Table2[HomeWon_], Table2[GameIsOver],1,Table2[HomeTeam],$A24, Table2[AwayTeam], F$1),0), "-", TEXT(SUMIFS(Table2[HomeWon_], Table2[GameIsOver],1,Table2[AwayTeam],$A24, Table2[HomeTeam], F$1, Table2[ActualResult], "REG") + SUMIFS(Table2[AwayWon], Table2[GameIsOver],1,Table2[HomeTeam],$A24, Table2[AwayTeam], F$1, Table2[ActualResult], "REG"),0), "-", TEXT(SUMIFS(Table2[HomeWon_], Table2[GameIsOver],1,Table2[AwayTeam],$A24, Table2[HomeTeam], F$1, Table2[ActualResult], "OT") + SUMIFS(Table2[AwayWon], Table2[GameIsOver],1,Table2[HomeTeam],$A24, Table2[AwayTeam], F$1, Table2[ActualResult], "OT") + SUMIFS(Table2[HomeWon_], Table2[GameIsOver],1,Table2[AwayTeam],$A24, Table2[HomeTeam], F$1, Table2[ActualResult], "SO") + SUMIFS(Table2[AwayWon], Table2[GameIsOver],1,Table2[HomeTeam],$A24, Table2[AwayTeam], F$1, Table2[ActualResult], "SO"),0))</f>
        <v>0-0-0</v>
      </c>
      <c r="G24" t="str">
        <f>_xlfn.CONCAT(TEXT(SUMIFS(Table2[AwayWon], Table2[GameIsOver],1,Table2[AwayTeam],$A24, Table2[HomeTeam], G$1) + SUMIFS(Table2[HomeWon_], Table2[GameIsOver],1,Table2[HomeTeam],$A24, Table2[AwayTeam], G$1),0), "-", TEXT(SUMIFS(Table2[HomeWon_], Table2[GameIsOver],1,Table2[AwayTeam],$A24, Table2[HomeTeam], G$1, Table2[ActualResult], "REG") + SUMIFS(Table2[AwayWon], Table2[GameIsOver],1,Table2[HomeTeam],$A24, Table2[AwayTeam], G$1, Table2[ActualResult], "REG"),0), "-", TEXT(SUMIFS(Table2[HomeWon_], Table2[GameIsOver],1,Table2[AwayTeam],$A24, Table2[HomeTeam], G$1, Table2[ActualResult], "OT") + SUMIFS(Table2[AwayWon], Table2[GameIsOver],1,Table2[HomeTeam],$A24, Table2[AwayTeam], G$1, Table2[ActualResult], "OT") + SUMIFS(Table2[HomeWon_], Table2[GameIsOver],1,Table2[AwayTeam],$A24, Table2[HomeTeam], G$1, Table2[ActualResult], "SO") + SUMIFS(Table2[AwayWon], Table2[GameIsOver],1,Table2[HomeTeam],$A24, Table2[AwayTeam], G$1, Table2[ActualResult], "SO"),0))</f>
        <v>1-0-0</v>
      </c>
      <c r="H24" t="str">
        <f>_xlfn.CONCAT(TEXT(SUMIFS(Table2[AwayWon], Table2[GameIsOver],1,Table2[AwayTeam],$A24, Table2[HomeTeam], H$1) + SUMIFS(Table2[HomeWon_], Table2[GameIsOver],1,Table2[HomeTeam],$A24, Table2[AwayTeam], H$1),0), "-", TEXT(SUMIFS(Table2[HomeWon_], Table2[GameIsOver],1,Table2[AwayTeam],$A24, Table2[HomeTeam], H$1, Table2[ActualResult], "REG") + SUMIFS(Table2[AwayWon], Table2[GameIsOver],1,Table2[HomeTeam],$A24, Table2[AwayTeam], H$1, Table2[ActualResult], "REG"),0), "-", TEXT(SUMIFS(Table2[HomeWon_], Table2[GameIsOver],1,Table2[AwayTeam],$A24, Table2[HomeTeam], H$1, Table2[ActualResult], "OT") + SUMIFS(Table2[AwayWon], Table2[GameIsOver],1,Table2[HomeTeam],$A24, Table2[AwayTeam], H$1, Table2[ActualResult], "OT") + SUMIFS(Table2[HomeWon_], Table2[GameIsOver],1,Table2[AwayTeam],$A24, Table2[HomeTeam], H$1, Table2[ActualResult], "SO") + SUMIFS(Table2[AwayWon], Table2[GameIsOver],1,Table2[HomeTeam],$A24, Table2[AwayTeam], H$1, Table2[ActualResult], "SO"),0))</f>
        <v>1-0-0</v>
      </c>
      <c r="I24" s="57" t="str">
        <f>_xlfn.CONCAT(TEXT(SUMIFS(Table2[AwayWon], Table2[GameIsOver],1,Table2[AwayTeam],$A24, Table2[HomeTeam], I$1) + SUMIFS(Table2[HomeWon_], Table2[GameIsOver],1,Table2[HomeTeam],$A24, Table2[AwayTeam], I$1),0), "-", TEXT(SUMIFS(Table2[HomeWon_], Table2[GameIsOver],1,Table2[AwayTeam],$A24, Table2[HomeTeam], I$1, Table2[ActualResult], "REG") + SUMIFS(Table2[AwayWon], Table2[GameIsOver],1,Table2[HomeTeam],$A24, Table2[AwayTeam], I$1, Table2[ActualResult], "REG"),0), "-", TEXT(SUMIFS(Table2[HomeWon_], Table2[GameIsOver],1,Table2[AwayTeam],$A24, Table2[HomeTeam], I$1, Table2[ActualResult], "OT") + SUMIFS(Table2[AwayWon], Table2[GameIsOver],1,Table2[HomeTeam],$A24, Table2[AwayTeam], I$1, Table2[ActualResult], "OT") + SUMIFS(Table2[HomeWon_], Table2[GameIsOver],1,Table2[AwayTeam],$A24, Table2[HomeTeam], I$1, Table2[ActualResult], "SO") + SUMIFS(Table2[AwayWon], Table2[GameIsOver],1,Table2[HomeTeam],$A24, Table2[AwayTeam], I$1, Table2[ActualResult], "SO"),0))</f>
        <v>0-0-0</v>
      </c>
      <c r="J24" t="str">
        <f>_xlfn.CONCAT(TEXT(SUMIFS(Table2[AwayWon], Table2[GameIsOver],1,Table2[AwayTeam],$A24, Table2[HomeTeam], J$1) + SUMIFS(Table2[HomeWon_], Table2[GameIsOver],1,Table2[HomeTeam],$A24, Table2[AwayTeam], J$1),0), "-", TEXT(SUMIFS(Table2[HomeWon_], Table2[GameIsOver],1,Table2[AwayTeam],$A24, Table2[HomeTeam], J$1, Table2[ActualResult], "REG") + SUMIFS(Table2[AwayWon], Table2[GameIsOver],1,Table2[HomeTeam],$A24, Table2[AwayTeam], J$1, Table2[ActualResult], "REG"),0), "-", TEXT(SUMIFS(Table2[HomeWon_], Table2[GameIsOver],1,Table2[AwayTeam],$A24, Table2[HomeTeam], J$1, Table2[ActualResult], "OT") + SUMIFS(Table2[AwayWon], Table2[GameIsOver],1,Table2[HomeTeam],$A24, Table2[AwayTeam], J$1, Table2[ActualResult], "OT") + SUMIFS(Table2[HomeWon_], Table2[GameIsOver],1,Table2[AwayTeam],$A24, Table2[HomeTeam], J$1, Table2[ActualResult], "SO") + SUMIFS(Table2[AwayWon], Table2[GameIsOver],1,Table2[HomeTeam],$A24, Table2[AwayTeam], J$1, Table2[ActualResult], "SO"),0))</f>
        <v>0-0-0</v>
      </c>
      <c r="K24" t="str">
        <f>_xlfn.CONCAT(TEXT(SUMIFS(Table2[AwayWon], Table2[GameIsOver],1,Table2[AwayTeam],$A24, Table2[HomeTeam], K$1) + SUMIFS(Table2[HomeWon_], Table2[GameIsOver],1,Table2[HomeTeam],$A24, Table2[AwayTeam], K$1),0), "-", TEXT(SUMIFS(Table2[HomeWon_], Table2[GameIsOver],1,Table2[AwayTeam],$A24, Table2[HomeTeam], K$1, Table2[ActualResult], "REG") + SUMIFS(Table2[AwayWon], Table2[GameIsOver],1,Table2[HomeTeam],$A24, Table2[AwayTeam], K$1, Table2[ActualResult], "REG"),0), "-", TEXT(SUMIFS(Table2[HomeWon_], Table2[GameIsOver],1,Table2[AwayTeam],$A24, Table2[HomeTeam], K$1, Table2[ActualResult], "OT") + SUMIFS(Table2[AwayWon], Table2[GameIsOver],1,Table2[HomeTeam],$A24, Table2[AwayTeam], K$1, Table2[ActualResult], "OT") + SUMIFS(Table2[HomeWon_], Table2[GameIsOver],1,Table2[AwayTeam],$A24, Table2[HomeTeam], K$1, Table2[ActualResult], "SO") + SUMIFS(Table2[AwayWon], Table2[GameIsOver],1,Table2[HomeTeam],$A24, Table2[AwayTeam], K$1, Table2[ActualResult], "SO"),0))</f>
        <v>0-0-0</v>
      </c>
      <c r="L24" t="str">
        <f>_xlfn.CONCAT(TEXT(SUMIFS(Table2[AwayWon], Table2[GameIsOver],1,Table2[AwayTeam],$A24, Table2[HomeTeam], L$1) + SUMIFS(Table2[HomeWon_], Table2[GameIsOver],1,Table2[HomeTeam],$A24, Table2[AwayTeam], L$1),0), "-", TEXT(SUMIFS(Table2[HomeWon_], Table2[GameIsOver],1,Table2[AwayTeam],$A24, Table2[HomeTeam], L$1, Table2[ActualResult], "REG") + SUMIFS(Table2[AwayWon], Table2[GameIsOver],1,Table2[HomeTeam],$A24, Table2[AwayTeam], L$1, Table2[ActualResult], "REG"),0), "-", TEXT(SUMIFS(Table2[HomeWon_], Table2[GameIsOver],1,Table2[AwayTeam],$A24, Table2[HomeTeam], L$1, Table2[ActualResult], "OT") + SUMIFS(Table2[AwayWon], Table2[GameIsOver],1,Table2[HomeTeam],$A24, Table2[AwayTeam], L$1, Table2[ActualResult], "OT") + SUMIFS(Table2[HomeWon_], Table2[GameIsOver],1,Table2[AwayTeam],$A24, Table2[HomeTeam], L$1, Table2[ActualResult], "SO") + SUMIFS(Table2[AwayWon], Table2[GameIsOver],1,Table2[HomeTeam],$A24, Table2[AwayTeam], L$1, Table2[ActualResult], "SO"),0))</f>
        <v>0-0-0</v>
      </c>
      <c r="M24" t="str">
        <f>_xlfn.CONCAT(TEXT(SUMIFS(Table2[AwayWon], Table2[GameIsOver],1,Table2[AwayTeam],$A24, Table2[HomeTeam], M$1) + SUMIFS(Table2[HomeWon_], Table2[GameIsOver],1,Table2[HomeTeam],$A24, Table2[AwayTeam], M$1),0), "-", TEXT(SUMIFS(Table2[HomeWon_], Table2[GameIsOver],1,Table2[AwayTeam],$A24, Table2[HomeTeam], M$1, Table2[ActualResult], "REG") + SUMIFS(Table2[AwayWon], Table2[GameIsOver],1,Table2[HomeTeam],$A24, Table2[AwayTeam], M$1, Table2[ActualResult], "REG"),0), "-", TEXT(SUMIFS(Table2[HomeWon_], Table2[GameIsOver],1,Table2[AwayTeam],$A24, Table2[HomeTeam], M$1, Table2[ActualResult], "OT") + SUMIFS(Table2[AwayWon], Table2[GameIsOver],1,Table2[HomeTeam],$A24, Table2[AwayTeam], M$1, Table2[ActualResult], "OT") + SUMIFS(Table2[HomeWon_], Table2[GameIsOver],1,Table2[AwayTeam],$A24, Table2[HomeTeam], M$1, Table2[ActualResult], "SO") + SUMIFS(Table2[AwayWon], Table2[GameIsOver],1,Table2[HomeTeam],$A24, Table2[AwayTeam], M$1, Table2[ActualResult], "SO"),0))</f>
        <v>0-0-0</v>
      </c>
      <c r="N24" t="str">
        <f>_xlfn.CONCAT(TEXT(SUMIFS(Table2[AwayWon], Table2[GameIsOver],1,Table2[AwayTeam],$A24, Table2[HomeTeam], N$1) + SUMIFS(Table2[HomeWon_], Table2[GameIsOver],1,Table2[HomeTeam],$A24, Table2[AwayTeam], N$1),0), "-", TEXT(SUMIFS(Table2[HomeWon_], Table2[GameIsOver],1,Table2[AwayTeam],$A24, Table2[HomeTeam], N$1, Table2[ActualResult], "REG") + SUMIFS(Table2[AwayWon], Table2[GameIsOver],1,Table2[HomeTeam],$A24, Table2[AwayTeam], N$1, Table2[ActualResult], "REG"),0), "-", TEXT(SUMIFS(Table2[HomeWon_], Table2[GameIsOver],1,Table2[AwayTeam],$A24, Table2[HomeTeam], N$1, Table2[ActualResult], "OT") + SUMIFS(Table2[AwayWon], Table2[GameIsOver],1,Table2[HomeTeam],$A24, Table2[AwayTeam], N$1, Table2[ActualResult], "OT") + SUMIFS(Table2[HomeWon_], Table2[GameIsOver],1,Table2[AwayTeam],$A24, Table2[HomeTeam], N$1, Table2[ActualResult], "SO") + SUMIFS(Table2[AwayWon], Table2[GameIsOver],1,Table2[HomeTeam],$A24, Table2[AwayTeam], N$1, Table2[ActualResult], "SO"),0))</f>
        <v>0-0-0</v>
      </c>
      <c r="O24" t="str">
        <f>_xlfn.CONCAT(TEXT(SUMIFS(Table2[AwayWon], Table2[GameIsOver],1,Table2[AwayTeam],$A24, Table2[HomeTeam], O$1) + SUMIFS(Table2[HomeWon_], Table2[GameIsOver],1,Table2[HomeTeam],$A24, Table2[AwayTeam], O$1),0), "-", TEXT(SUMIFS(Table2[HomeWon_], Table2[GameIsOver],1,Table2[AwayTeam],$A24, Table2[HomeTeam], O$1, Table2[ActualResult], "REG") + SUMIFS(Table2[AwayWon], Table2[GameIsOver],1,Table2[HomeTeam],$A24, Table2[AwayTeam], O$1, Table2[ActualResult], "REG"),0), "-", TEXT(SUMIFS(Table2[HomeWon_], Table2[GameIsOver],1,Table2[AwayTeam],$A24, Table2[HomeTeam], O$1, Table2[ActualResult], "OT") + SUMIFS(Table2[AwayWon], Table2[GameIsOver],1,Table2[HomeTeam],$A24, Table2[AwayTeam], O$1, Table2[ActualResult], "OT") + SUMIFS(Table2[HomeWon_], Table2[GameIsOver],1,Table2[AwayTeam],$A24, Table2[HomeTeam], O$1, Table2[ActualResult], "SO") + SUMIFS(Table2[AwayWon], Table2[GameIsOver],1,Table2[HomeTeam],$A24, Table2[AwayTeam], O$1, Table2[ActualResult], "SO"),0))</f>
        <v>0-0-0</v>
      </c>
      <c r="P24" t="str">
        <f>_xlfn.CONCAT(TEXT(SUMIFS(Table2[AwayWon], Table2[GameIsOver],1,Table2[AwayTeam],$A24, Table2[HomeTeam], P$1) + SUMIFS(Table2[HomeWon_], Table2[GameIsOver],1,Table2[HomeTeam],$A24, Table2[AwayTeam], P$1),0), "-", TEXT(SUMIFS(Table2[HomeWon_], Table2[GameIsOver],1,Table2[AwayTeam],$A24, Table2[HomeTeam], P$1, Table2[ActualResult], "REG") + SUMIFS(Table2[AwayWon], Table2[GameIsOver],1,Table2[HomeTeam],$A24, Table2[AwayTeam], P$1, Table2[ActualResult], "REG"),0), "-", TEXT(SUMIFS(Table2[HomeWon_], Table2[GameIsOver],1,Table2[AwayTeam],$A24, Table2[HomeTeam], P$1, Table2[ActualResult], "OT") + SUMIFS(Table2[AwayWon], Table2[GameIsOver],1,Table2[HomeTeam],$A24, Table2[AwayTeam], P$1, Table2[ActualResult], "OT") + SUMIFS(Table2[HomeWon_], Table2[GameIsOver],1,Table2[AwayTeam],$A24, Table2[HomeTeam], P$1, Table2[ActualResult], "SO") + SUMIFS(Table2[AwayWon], Table2[GameIsOver],1,Table2[HomeTeam],$A24, Table2[AwayTeam], P$1, Table2[ActualResult], "SO"),0))</f>
        <v>0-0-0</v>
      </c>
      <c r="Q24" s="57" t="str">
        <f>_xlfn.CONCAT(TEXT(SUMIFS(Table2[AwayWon], Table2[GameIsOver],1,Table2[AwayTeam],$A24, Table2[HomeTeam], Q$1) + SUMIFS(Table2[HomeWon_], Table2[GameIsOver],1,Table2[HomeTeam],$A24, Table2[AwayTeam], Q$1),0), "-", TEXT(SUMIFS(Table2[HomeWon_], Table2[GameIsOver],1,Table2[AwayTeam],$A24, Table2[HomeTeam], Q$1, Table2[ActualResult], "REG") + SUMIFS(Table2[AwayWon], Table2[GameIsOver],1,Table2[HomeTeam],$A24, Table2[AwayTeam], Q$1, Table2[ActualResult], "REG"),0), "-", TEXT(SUMIFS(Table2[HomeWon_], Table2[GameIsOver],1,Table2[AwayTeam],$A24, Table2[HomeTeam], Q$1, Table2[ActualResult], "OT") + SUMIFS(Table2[AwayWon], Table2[GameIsOver],1,Table2[HomeTeam],$A24, Table2[AwayTeam], Q$1, Table2[ActualResult], "OT") + SUMIFS(Table2[HomeWon_], Table2[GameIsOver],1,Table2[AwayTeam],$A24, Table2[HomeTeam], Q$1, Table2[ActualResult], "SO") + SUMIFS(Table2[AwayWon], Table2[GameIsOver],1,Table2[HomeTeam],$A24, Table2[AwayTeam], Q$1, Table2[ActualResult], "SO"),0))</f>
        <v>0-0-0</v>
      </c>
      <c r="R24" t="str">
        <f>_xlfn.CONCAT(TEXT(SUMIFS(Table2[AwayWon], Table2[GameIsOver],1,Table2[AwayTeam],$A24, Table2[HomeTeam], R$1) + SUMIFS(Table2[HomeWon_], Table2[GameIsOver],1,Table2[HomeTeam],$A24, Table2[AwayTeam], R$1),0), "-", TEXT(SUMIFS(Table2[HomeWon_], Table2[GameIsOver],1,Table2[AwayTeam],$A24, Table2[HomeTeam], R$1, Table2[ActualResult], "REG") + SUMIFS(Table2[AwayWon], Table2[GameIsOver],1,Table2[HomeTeam],$A24, Table2[AwayTeam], R$1, Table2[ActualResult], "REG"),0), "-", TEXT(SUMIFS(Table2[HomeWon_], Table2[GameIsOver],1,Table2[AwayTeam],$A24, Table2[HomeTeam], R$1, Table2[ActualResult], "OT") + SUMIFS(Table2[AwayWon], Table2[GameIsOver],1,Table2[HomeTeam],$A24, Table2[AwayTeam], R$1, Table2[ActualResult], "OT") + SUMIFS(Table2[HomeWon_], Table2[GameIsOver],1,Table2[AwayTeam],$A24, Table2[HomeTeam], R$1, Table2[ActualResult], "SO") + SUMIFS(Table2[AwayWon], Table2[GameIsOver],1,Table2[HomeTeam],$A24, Table2[AwayTeam], R$1, Table2[ActualResult], "SO"),0))</f>
        <v>0-0-0</v>
      </c>
      <c r="S24" t="str">
        <f>_xlfn.CONCAT(TEXT(SUMIFS(Table2[AwayWon], Table2[GameIsOver],1,Table2[AwayTeam],$A24, Table2[HomeTeam], S$1) + SUMIFS(Table2[HomeWon_], Table2[GameIsOver],1,Table2[HomeTeam],$A24, Table2[AwayTeam], S$1),0), "-", TEXT(SUMIFS(Table2[HomeWon_], Table2[GameIsOver],1,Table2[AwayTeam],$A24, Table2[HomeTeam], S$1, Table2[ActualResult], "REG") + SUMIFS(Table2[AwayWon], Table2[GameIsOver],1,Table2[HomeTeam],$A24, Table2[AwayTeam], S$1, Table2[ActualResult], "REG"),0), "-", TEXT(SUMIFS(Table2[HomeWon_], Table2[GameIsOver],1,Table2[AwayTeam],$A24, Table2[HomeTeam], S$1, Table2[ActualResult], "OT") + SUMIFS(Table2[AwayWon], Table2[GameIsOver],1,Table2[HomeTeam],$A24, Table2[AwayTeam], S$1, Table2[ActualResult], "OT") + SUMIFS(Table2[HomeWon_], Table2[GameIsOver],1,Table2[AwayTeam],$A24, Table2[HomeTeam], S$1, Table2[ActualResult], "SO") + SUMIFS(Table2[AwayWon], Table2[GameIsOver],1,Table2[HomeTeam],$A24, Table2[AwayTeam], S$1, Table2[ActualResult], "SO"),0))</f>
        <v>0-0-0</v>
      </c>
      <c r="T24" t="str">
        <f>_xlfn.CONCAT(TEXT(SUMIFS(Table2[AwayWon], Table2[GameIsOver],1,Table2[AwayTeam],$A24, Table2[HomeTeam], T$1) + SUMIFS(Table2[HomeWon_], Table2[GameIsOver],1,Table2[HomeTeam],$A24, Table2[AwayTeam], T$1),0), "-", TEXT(SUMIFS(Table2[HomeWon_], Table2[GameIsOver],1,Table2[AwayTeam],$A24, Table2[HomeTeam], T$1, Table2[ActualResult], "REG") + SUMIFS(Table2[AwayWon], Table2[GameIsOver],1,Table2[HomeTeam],$A24, Table2[AwayTeam], T$1, Table2[ActualResult], "REG"),0), "-", TEXT(SUMIFS(Table2[HomeWon_], Table2[GameIsOver],1,Table2[AwayTeam],$A24, Table2[HomeTeam], T$1, Table2[ActualResult], "OT") + SUMIFS(Table2[AwayWon], Table2[GameIsOver],1,Table2[HomeTeam],$A24, Table2[AwayTeam], T$1, Table2[ActualResult], "OT") + SUMIFS(Table2[HomeWon_], Table2[GameIsOver],1,Table2[AwayTeam],$A24, Table2[HomeTeam], T$1, Table2[ActualResult], "SO") + SUMIFS(Table2[AwayWon], Table2[GameIsOver],1,Table2[HomeTeam],$A24, Table2[AwayTeam], T$1, Table2[ActualResult], "SO"),0))</f>
        <v>0-0-0</v>
      </c>
      <c r="U24" t="str">
        <f>_xlfn.CONCAT(TEXT(SUMIFS(Table2[AwayWon], Table2[GameIsOver],1,Table2[AwayTeam],$A24, Table2[HomeTeam], U$1) + SUMIFS(Table2[HomeWon_], Table2[GameIsOver],1,Table2[HomeTeam],$A24, Table2[AwayTeam], U$1),0), "-", TEXT(SUMIFS(Table2[HomeWon_], Table2[GameIsOver],1,Table2[AwayTeam],$A24, Table2[HomeTeam], U$1, Table2[ActualResult], "REG") + SUMIFS(Table2[AwayWon], Table2[GameIsOver],1,Table2[HomeTeam],$A24, Table2[AwayTeam], U$1, Table2[ActualResult], "REG"),0), "-", TEXT(SUMIFS(Table2[HomeWon_], Table2[GameIsOver],1,Table2[AwayTeam],$A24, Table2[HomeTeam], U$1, Table2[ActualResult], "OT") + SUMIFS(Table2[AwayWon], Table2[GameIsOver],1,Table2[HomeTeam],$A24, Table2[AwayTeam], U$1, Table2[ActualResult], "OT") + SUMIFS(Table2[HomeWon_], Table2[GameIsOver],1,Table2[AwayTeam],$A24, Table2[HomeTeam], U$1, Table2[ActualResult], "SO") + SUMIFS(Table2[AwayWon], Table2[GameIsOver],1,Table2[HomeTeam],$A24, Table2[AwayTeam], U$1, Table2[ActualResult], "SO"),0))</f>
        <v>1-0-0</v>
      </c>
      <c r="V24" t="str">
        <f>_xlfn.CONCAT(TEXT(SUMIFS(Table2[AwayWon], Table2[GameIsOver],1,Table2[AwayTeam],$A24, Table2[HomeTeam], V$1) + SUMIFS(Table2[HomeWon_], Table2[GameIsOver],1,Table2[HomeTeam],$A24, Table2[AwayTeam], V$1),0), "-", TEXT(SUMIFS(Table2[HomeWon_], Table2[GameIsOver],1,Table2[AwayTeam],$A24, Table2[HomeTeam], V$1, Table2[ActualResult], "REG") + SUMIFS(Table2[AwayWon], Table2[GameIsOver],1,Table2[HomeTeam],$A24, Table2[AwayTeam], V$1, Table2[ActualResult], "REG"),0), "-", TEXT(SUMIFS(Table2[HomeWon_], Table2[GameIsOver],1,Table2[AwayTeam],$A24, Table2[HomeTeam], V$1, Table2[ActualResult], "OT") + SUMIFS(Table2[AwayWon], Table2[GameIsOver],1,Table2[HomeTeam],$A24, Table2[AwayTeam], V$1, Table2[ActualResult], "OT") + SUMIFS(Table2[HomeWon_], Table2[GameIsOver],1,Table2[AwayTeam],$A24, Table2[HomeTeam], V$1, Table2[ActualResult], "SO") + SUMIFS(Table2[AwayWon], Table2[GameIsOver],1,Table2[HomeTeam],$A24, Table2[AwayTeam], V$1, Table2[ActualResult], "SO"),0))</f>
        <v>1-1-0</v>
      </c>
      <c r="W24" t="str">
        <f>_xlfn.CONCAT(TEXT(SUMIFS(Table2[AwayWon], Table2[GameIsOver],1,Table2[AwayTeam],$A24, Table2[HomeTeam], W$1) + SUMIFS(Table2[HomeWon_], Table2[GameIsOver],1,Table2[HomeTeam],$A24, Table2[AwayTeam], W$1),0), "-", TEXT(SUMIFS(Table2[HomeWon_], Table2[GameIsOver],1,Table2[AwayTeam],$A24, Table2[HomeTeam], W$1, Table2[ActualResult], "REG") + SUMIFS(Table2[AwayWon], Table2[GameIsOver],1,Table2[HomeTeam],$A24, Table2[AwayTeam], W$1, Table2[ActualResult], "REG"),0), "-", TEXT(SUMIFS(Table2[HomeWon_], Table2[GameIsOver],1,Table2[AwayTeam],$A24, Table2[HomeTeam], W$1, Table2[ActualResult], "OT") + SUMIFS(Table2[AwayWon], Table2[GameIsOver],1,Table2[HomeTeam],$A24, Table2[AwayTeam], W$1, Table2[ActualResult], "OT") + SUMIFS(Table2[HomeWon_], Table2[GameIsOver],1,Table2[AwayTeam],$A24, Table2[HomeTeam], W$1, Table2[ActualResult], "SO") + SUMIFS(Table2[AwayWon], Table2[GameIsOver],1,Table2[HomeTeam],$A24, Table2[AwayTeam], W$1, Table2[ActualResult], "SO"),0))</f>
        <v>0-0-0</v>
      </c>
      <c r="X24" s="89"/>
      <c r="Y24" s="57" t="str">
        <f>_xlfn.CONCAT(TEXT(SUMIFS(Table2[AwayWon], Table2[GameIsOver],1,Table2[AwayTeam],$A24, Table2[HomeTeam], Y$1) + SUMIFS(Table2[HomeWon_], Table2[GameIsOver],1,Table2[HomeTeam],$A24, Table2[AwayTeam], Y$1),0), "-", TEXT(SUMIFS(Table2[HomeWon_], Table2[GameIsOver],1,Table2[AwayTeam],$A24, Table2[HomeTeam], Y$1, Table2[ActualResult], "REG") + SUMIFS(Table2[AwayWon], Table2[GameIsOver],1,Table2[HomeTeam],$A24, Table2[AwayTeam], Y$1, Table2[ActualResult], "REG"),0), "-", TEXT(SUMIFS(Table2[HomeWon_], Table2[GameIsOver],1,Table2[AwayTeam],$A24, Table2[HomeTeam], Y$1, Table2[ActualResult], "OT") + SUMIFS(Table2[AwayWon], Table2[GameIsOver],1,Table2[HomeTeam],$A24, Table2[AwayTeam], Y$1, Table2[ActualResult], "OT") + SUMIFS(Table2[HomeWon_], Table2[GameIsOver],1,Table2[AwayTeam],$A24, Table2[HomeTeam], Y$1, Table2[ActualResult], "SO") + SUMIFS(Table2[AwayWon], Table2[GameIsOver],1,Table2[HomeTeam],$A24, Table2[AwayTeam], Y$1, Table2[ActualResult], "SO"),0))</f>
        <v>0-0-0</v>
      </c>
      <c r="Z24" t="str">
        <f>_xlfn.CONCAT(TEXT(SUMIFS(Table2[AwayWon], Table2[GameIsOver],1,Table2[AwayTeam],$A24, Table2[HomeTeam], Z$1) + SUMIFS(Table2[HomeWon_], Table2[GameIsOver],1,Table2[HomeTeam],$A24, Table2[AwayTeam], Z$1),0), "-", TEXT(SUMIFS(Table2[HomeWon_], Table2[GameIsOver],1,Table2[AwayTeam],$A24, Table2[HomeTeam], Z$1, Table2[ActualResult], "REG") + SUMIFS(Table2[AwayWon], Table2[GameIsOver],1,Table2[HomeTeam],$A24, Table2[AwayTeam], Z$1, Table2[ActualResult], "REG"),0), "-", TEXT(SUMIFS(Table2[HomeWon_], Table2[GameIsOver],1,Table2[AwayTeam],$A24, Table2[HomeTeam], Z$1, Table2[ActualResult], "OT") + SUMIFS(Table2[AwayWon], Table2[GameIsOver],1,Table2[HomeTeam],$A24, Table2[AwayTeam], Z$1, Table2[ActualResult], "OT") + SUMIFS(Table2[HomeWon_], Table2[GameIsOver],1,Table2[AwayTeam],$A24, Table2[HomeTeam], Z$1, Table2[ActualResult], "SO") + SUMIFS(Table2[AwayWon], Table2[GameIsOver],1,Table2[HomeTeam],$A24, Table2[AwayTeam], Z$1, Table2[ActualResult], "SO"),0))</f>
        <v>0-0-0</v>
      </c>
      <c r="AA24" t="str">
        <f>_xlfn.CONCAT(TEXT(SUMIFS(Table2[AwayWon], Table2[GameIsOver],1,Table2[AwayTeam],$A24, Table2[HomeTeam], AA$1) + SUMIFS(Table2[HomeWon_], Table2[GameIsOver],1,Table2[HomeTeam],$A24, Table2[AwayTeam], AA$1),0), "-", TEXT(SUMIFS(Table2[HomeWon_], Table2[GameIsOver],1,Table2[AwayTeam],$A24, Table2[HomeTeam], AA$1, Table2[ActualResult], "REG") + SUMIFS(Table2[AwayWon], Table2[GameIsOver],1,Table2[HomeTeam],$A24, Table2[AwayTeam], AA$1, Table2[ActualResult], "REG"),0), "-", TEXT(SUMIFS(Table2[HomeWon_], Table2[GameIsOver],1,Table2[AwayTeam],$A24, Table2[HomeTeam], AA$1, Table2[ActualResult], "OT") + SUMIFS(Table2[AwayWon], Table2[GameIsOver],1,Table2[HomeTeam],$A24, Table2[AwayTeam], AA$1, Table2[ActualResult], "OT") + SUMIFS(Table2[HomeWon_], Table2[GameIsOver],1,Table2[AwayTeam],$A24, Table2[HomeTeam], AA$1, Table2[ActualResult], "SO") + SUMIFS(Table2[AwayWon], Table2[GameIsOver],1,Table2[HomeTeam],$A24, Table2[AwayTeam], AA$1, Table2[ActualResult], "SO"),0))</f>
        <v>0-0-0</v>
      </c>
      <c r="AB24" t="str">
        <f>_xlfn.CONCAT(TEXT(SUMIFS(Table2[AwayWon], Table2[GameIsOver],1,Table2[AwayTeam],$A24, Table2[HomeTeam], AB$1) + SUMIFS(Table2[HomeWon_], Table2[GameIsOver],1,Table2[HomeTeam],$A24, Table2[AwayTeam], AB$1),0), "-", TEXT(SUMIFS(Table2[HomeWon_], Table2[GameIsOver],1,Table2[AwayTeam],$A24, Table2[HomeTeam], AB$1, Table2[ActualResult], "REG") + SUMIFS(Table2[AwayWon], Table2[GameIsOver],1,Table2[HomeTeam],$A24, Table2[AwayTeam], AB$1, Table2[ActualResult], "REG"),0), "-", TEXT(SUMIFS(Table2[HomeWon_], Table2[GameIsOver],1,Table2[AwayTeam],$A24, Table2[HomeTeam], AB$1, Table2[ActualResult], "OT") + SUMIFS(Table2[AwayWon], Table2[GameIsOver],1,Table2[HomeTeam],$A24, Table2[AwayTeam], AB$1, Table2[ActualResult], "OT") + SUMIFS(Table2[HomeWon_], Table2[GameIsOver],1,Table2[AwayTeam],$A24, Table2[HomeTeam], AB$1, Table2[ActualResult], "SO") + SUMIFS(Table2[AwayWon], Table2[GameIsOver],1,Table2[HomeTeam],$A24, Table2[AwayTeam], AB$1, Table2[ActualResult], "SO"),0))</f>
        <v>0-0-0</v>
      </c>
      <c r="AC24" t="str">
        <f>_xlfn.CONCAT(TEXT(SUMIFS(Table2[AwayWon], Table2[GameIsOver],1,Table2[AwayTeam],$A24, Table2[HomeTeam], AC$1) + SUMIFS(Table2[HomeWon_], Table2[GameIsOver],1,Table2[HomeTeam],$A24, Table2[AwayTeam], AC$1),0), "-", TEXT(SUMIFS(Table2[HomeWon_], Table2[GameIsOver],1,Table2[AwayTeam],$A24, Table2[HomeTeam], AC$1, Table2[ActualResult], "REG") + SUMIFS(Table2[AwayWon], Table2[GameIsOver],1,Table2[HomeTeam],$A24, Table2[AwayTeam], AC$1, Table2[ActualResult], "REG"),0), "-", TEXT(SUMIFS(Table2[HomeWon_], Table2[GameIsOver],1,Table2[AwayTeam],$A24, Table2[HomeTeam], AC$1, Table2[ActualResult], "OT") + SUMIFS(Table2[AwayWon], Table2[GameIsOver],1,Table2[HomeTeam],$A24, Table2[AwayTeam], AC$1, Table2[ActualResult], "OT") + SUMIFS(Table2[HomeWon_], Table2[GameIsOver],1,Table2[AwayTeam],$A24, Table2[HomeTeam], AC$1, Table2[ActualResult], "SO") + SUMIFS(Table2[AwayWon], Table2[GameIsOver],1,Table2[HomeTeam],$A24, Table2[AwayTeam], AC$1, Table2[ActualResult], "SO"),0))</f>
        <v>0-0-0</v>
      </c>
      <c r="AD24" t="str">
        <f>_xlfn.CONCAT(TEXT(SUMIFS(Table2[AwayWon], Table2[GameIsOver],1,Table2[AwayTeam],$A24, Table2[HomeTeam], AD$1) + SUMIFS(Table2[HomeWon_], Table2[GameIsOver],1,Table2[HomeTeam],$A24, Table2[AwayTeam], AD$1),0), "-", TEXT(SUMIFS(Table2[HomeWon_], Table2[GameIsOver],1,Table2[AwayTeam],$A24, Table2[HomeTeam], AD$1, Table2[ActualResult], "REG") + SUMIFS(Table2[AwayWon], Table2[GameIsOver],1,Table2[HomeTeam],$A24, Table2[AwayTeam], AD$1, Table2[ActualResult], "REG"),0), "-", TEXT(SUMIFS(Table2[HomeWon_], Table2[GameIsOver],1,Table2[AwayTeam],$A24, Table2[HomeTeam], AD$1, Table2[ActualResult], "OT") + SUMIFS(Table2[AwayWon], Table2[GameIsOver],1,Table2[HomeTeam],$A24, Table2[AwayTeam], AD$1, Table2[ActualResult], "OT") + SUMIFS(Table2[HomeWon_], Table2[GameIsOver],1,Table2[AwayTeam],$A24, Table2[HomeTeam], AD$1, Table2[ActualResult], "SO") + SUMIFS(Table2[AwayWon], Table2[GameIsOver],1,Table2[HomeTeam],$A24, Table2[AwayTeam], AD$1, Table2[ActualResult], "SO"),0))</f>
        <v>0-0-0</v>
      </c>
      <c r="AE24" t="str">
        <f>_xlfn.CONCAT(TEXT(SUMIFS(Table2[AwayWon], Table2[GameIsOver],1,Table2[AwayTeam],$A24, Table2[HomeTeam], AE$1) + SUMIFS(Table2[HomeWon_], Table2[GameIsOver],1,Table2[HomeTeam],$A24, Table2[AwayTeam], AE$1),0), "-", TEXT(SUMIFS(Table2[HomeWon_], Table2[GameIsOver],1,Table2[AwayTeam],$A24, Table2[HomeTeam], AE$1, Table2[ActualResult], "REG") + SUMIFS(Table2[AwayWon], Table2[GameIsOver],1,Table2[HomeTeam],$A24, Table2[AwayTeam], AE$1, Table2[ActualResult], "REG"),0), "-", TEXT(SUMIFS(Table2[HomeWon_], Table2[GameIsOver],1,Table2[AwayTeam],$A24, Table2[HomeTeam], AE$1, Table2[ActualResult], "OT") + SUMIFS(Table2[AwayWon], Table2[GameIsOver],1,Table2[HomeTeam],$A24, Table2[AwayTeam], AE$1, Table2[ActualResult], "OT") + SUMIFS(Table2[HomeWon_], Table2[GameIsOver],1,Table2[AwayTeam],$A24, Table2[HomeTeam], AE$1, Table2[ActualResult], "SO") + SUMIFS(Table2[AwayWon], Table2[GameIsOver],1,Table2[HomeTeam],$A24, Table2[AwayTeam], AE$1, Table2[ActualResult], "SO"),0))</f>
        <v>0-0-0</v>
      </c>
      <c r="AF24" t="str">
        <f>_xlfn.CONCAT(TEXT(SUMIFS(Table2[AwayWon], Table2[GameIsOver],1,Table2[AwayTeam],$A24, Table2[HomeTeam], AF$1) + SUMIFS(Table2[HomeWon_], Table2[GameIsOver],1,Table2[HomeTeam],$A24, Table2[AwayTeam], AF$1),0), "-", TEXT(SUMIFS(Table2[HomeWon_], Table2[GameIsOver],1,Table2[AwayTeam],$A24, Table2[HomeTeam], AF$1, Table2[ActualResult], "REG") + SUMIFS(Table2[AwayWon], Table2[GameIsOver],1,Table2[HomeTeam],$A24, Table2[AwayTeam], AF$1, Table2[ActualResult], "REG"),0), "-", TEXT(SUMIFS(Table2[HomeWon_], Table2[GameIsOver],1,Table2[AwayTeam],$A24, Table2[HomeTeam], AF$1, Table2[ActualResult], "OT") + SUMIFS(Table2[AwayWon], Table2[GameIsOver],1,Table2[HomeTeam],$A24, Table2[AwayTeam], AF$1, Table2[ActualResult], "OT") + SUMIFS(Table2[HomeWon_], Table2[GameIsOver],1,Table2[AwayTeam],$A24, Table2[HomeTeam], AF$1, Table2[ActualResult], "SO") + SUMIFS(Table2[AwayWon], Table2[GameIsOver],1,Table2[HomeTeam],$A24, Table2[AwayTeam], AF$1, Table2[ActualResult], "SO"),0))</f>
        <v>0-0-0</v>
      </c>
      <c r="AG24" t="str">
        <f>_xlfn.CONCAT(TEXT(SUMIFS(Table2[AwayWon], Table2[GameIsOver],1,Table2[AwayTeam],$A24, Table2[HomeTeam], AG$1) + SUMIFS(Table2[HomeWon_], Table2[GameIsOver],1,Table2[HomeTeam],$A24, Table2[AwayTeam], AG$1),0), "-", TEXT(SUMIFS(Table2[HomeWon_], Table2[GameIsOver],1,Table2[AwayTeam],$A24, Table2[HomeTeam], AG$1, Table2[ActualResult], "REG") + SUMIFS(Table2[AwayWon], Table2[GameIsOver],1,Table2[HomeTeam],$A24, Table2[AwayTeam], AG$1, Table2[ActualResult], "REG"),0), "-", TEXT(SUMIFS(Table2[HomeWon_], Table2[GameIsOver],1,Table2[AwayTeam],$A24, Table2[HomeTeam], AG$1, Table2[ActualResult], "OT") + SUMIFS(Table2[AwayWon], Table2[GameIsOver],1,Table2[HomeTeam],$A24, Table2[AwayTeam], AG$1, Table2[ActualResult], "OT") + SUMIFS(Table2[HomeWon_], Table2[GameIsOver],1,Table2[AwayTeam],$A24, Table2[HomeTeam], AG$1, Table2[ActualResult], "SO") + SUMIFS(Table2[AwayWon], Table2[GameIsOver],1,Table2[HomeTeam],$A24, Table2[AwayTeam], AG$1, Table2[ActualResult], "SO"),0))</f>
        <v>0-0-0</v>
      </c>
    </row>
    <row r="25" spans="1:33" ht="15.75" thickBot="1" x14ac:dyDescent="0.3">
      <c r="A25" s="59" t="s">
        <v>43</v>
      </c>
      <c r="B25" s="58" t="str">
        <f>_xlfn.CONCAT(TEXT(SUMIFS(Table2[AwayWon], Table2[GameIsOver],1,Table2[AwayTeam],$A25, Table2[HomeTeam], B$1) + SUMIFS(Table2[HomeWon_], Table2[GameIsOver],1,Table2[HomeTeam],$A25, Table2[AwayTeam], B$1),0), "-", TEXT(SUMIFS(Table2[HomeWon_], Table2[GameIsOver],1,Table2[AwayTeam],$A25, Table2[HomeTeam], B$1, Table2[ActualResult], "REG") + SUMIFS(Table2[AwayWon], Table2[GameIsOver],1,Table2[HomeTeam],$A25, Table2[AwayTeam], B$1, Table2[ActualResult], "REG"),0), "-", TEXT(SUMIFS(Table2[HomeWon_], Table2[GameIsOver],1,Table2[AwayTeam],$A25, Table2[HomeTeam], B$1, Table2[ActualResult], "OT") + SUMIFS(Table2[AwayWon], Table2[GameIsOver],1,Table2[HomeTeam],$A25, Table2[AwayTeam], B$1, Table2[ActualResult], "OT") + SUMIFS(Table2[HomeWon_], Table2[GameIsOver],1,Table2[AwayTeam],$A25, Table2[HomeTeam], B$1, Table2[ActualResult], "SO") + SUMIFS(Table2[AwayWon], Table2[GameIsOver],1,Table2[HomeTeam],$A25, Table2[AwayTeam], B$1, Table2[ActualResult], "SO"),0))</f>
        <v>0-0-0</v>
      </c>
      <c r="C25" s="58" t="str">
        <f>_xlfn.CONCAT(TEXT(SUMIFS(Table2[AwayWon], Table2[GameIsOver],1,Table2[AwayTeam],$A25, Table2[HomeTeam], C$1) + SUMIFS(Table2[HomeWon_], Table2[GameIsOver],1,Table2[HomeTeam],$A25, Table2[AwayTeam], C$1),0), "-", TEXT(SUMIFS(Table2[HomeWon_], Table2[GameIsOver],1,Table2[AwayTeam],$A25, Table2[HomeTeam], C$1, Table2[ActualResult], "REG") + SUMIFS(Table2[AwayWon], Table2[GameIsOver],1,Table2[HomeTeam],$A25, Table2[AwayTeam], C$1, Table2[ActualResult], "REG"),0), "-", TEXT(SUMIFS(Table2[HomeWon_], Table2[GameIsOver],1,Table2[AwayTeam],$A25, Table2[HomeTeam], C$1, Table2[ActualResult], "OT") + SUMIFS(Table2[AwayWon], Table2[GameIsOver],1,Table2[HomeTeam],$A25, Table2[AwayTeam], C$1, Table2[ActualResult], "OT") + SUMIFS(Table2[HomeWon_], Table2[GameIsOver],1,Table2[AwayTeam],$A25, Table2[HomeTeam], C$1, Table2[ActualResult], "SO") + SUMIFS(Table2[AwayWon], Table2[GameIsOver],1,Table2[HomeTeam],$A25, Table2[AwayTeam], C$1, Table2[ActualResult], "SO"),0))</f>
        <v>0-0-0</v>
      </c>
      <c r="D25" s="58" t="str">
        <f>_xlfn.CONCAT(TEXT(SUMIFS(Table2[AwayWon], Table2[GameIsOver],1,Table2[AwayTeam],$A25, Table2[HomeTeam], D$1) + SUMIFS(Table2[HomeWon_], Table2[GameIsOver],1,Table2[HomeTeam],$A25, Table2[AwayTeam], D$1),0), "-", TEXT(SUMIFS(Table2[HomeWon_], Table2[GameIsOver],1,Table2[AwayTeam],$A25, Table2[HomeTeam], D$1, Table2[ActualResult], "REG") + SUMIFS(Table2[AwayWon], Table2[GameIsOver],1,Table2[HomeTeam],$A25, Table2[AwayTeam], D$1, Table2[ActualResult], "REG"),0), "-", TEXT(SUMIFS(Table2[HomeWon_], Table2[GameIsOver],1,Table2[AwayTeam],$A25, Table2[HomeTeam], D$1, Table2[ActualResult], "OT") + SUMIFS(Table2[AwayWon], Table2[GameIsOver],1,Table2[HomeTeam],$A25, Table2[AwayTeam], D$1, Table2[ActualResult], "OT") + SUMIFS(Table2[HomeWon_], Table2[GameIsOver],1,Table2[AwayTeam],$A25, Table2[HomeTeam], D$1, Table2[ActualResult], "SO") + SUMIFS(Table2[AwayWon], Table2[GameIsOver],1,Table2[HomeTeam],$A25, Table2[AwayTeam], D$1, Table2[ActualResult], "SO"),0))</f>
        <v>0-0-0</v>
      </c>
      <c r="E25" s="58" t="str">
        <f>_xlfn.CONCAT(TEXT(SUMIFS(Table2[AwayWon], Table2[GameIsOver],1,Table2[AwayTeam],$A25, Table2[HomeTeam], E$1) + SUMIFS(Table2[HomeWon_], Table2[GameIsOver],1,Table2[HomeTeam],$A25, Table2[AwayTeam], E$1),0), "-", TEXT(SUMIFS(Table2[HomeWon_], Table2[GameIsOver],1,Table2[AwayTeam],$A25, Table2[HomeTeam], E$1, Table2[ActualResult], "REG") + SUMIFS(Table2[AwayWon], Table2[GameIsOver],1,Table2[HomeTeam],$A25, Table2[AwayTeam], E$1, Table2[ActualResult], "REG"),0), "-", TEXT(SUMIFS(Table2[HomeWon_], Table2[GameIsOver],1,Table2[AwayTeam],$A25, Table2[HomeTeam], E$1, Table2[ActualResult], "OT") + SUMIFS(Table2[AwayWon], Table2[GameIsOver],1,Table2[HomeTeam],$A25, Table2[AwayTeam], E$1, Table2[ActualResult], "OT") + SUMIFS(Table2[HomeWon_], Table2[GameIsOver],1,Table2[AwayTeam],$A25, Table2[HomeTeam], E$1, Table2[ActualResult], "SO") + SUMIFS(Table2[AwayWon], Table2[GameIsOver],1,Table2[HomeTeam],$A25, Table2[AwayTeam], E$1, Table2[ActualResult], "SO"),0))</f>
        <v>0-0-0</v>
      </c>
      <c r="F25" s="58" t="str">
        <f>_xlfn.CONCAT(TEXT(SUMIFS(Table2[AwayWon], Table2[GameIsOver],1,Table2[AwayTeam],$A25, Table2[HomeTeam], F$1) + SUMIFS(Table2[HomeWon_], Table2[GameIsOver],1,Table2[HomeTeam],$A25, Table2[AwayTeam], F$1),0), "-", TEXT(SUMIFS(Table2[HomeWon_], Table2[GameIsOver],1,Table2[AwayTeam],$A25, Table2[HomeTeam], F$1, Table2[ActualResult], "REG") + SUMIFS(Table2[AwayWon], Table2[GameIsOver],1,Table2[HomeTeam],$A25, Table2[AwayTeam], F$1, Table2[ActualResult], "REG"),0), "-", TEXT(SUMIFS(Table2[HomeWon_], Table2[GameIsOver],1,Table2[AwayTeam],$A25, Table2[HomeTeam], F$1, Table2[ActualResult], "OT") + SUMIFS(Table2[AwayWon], Table2[GameIsOver],1,Table2[HomeTeam],$A25, Table2[AwayTeam], F$1, Table2[ActualResult], "OT") + SUMIFS(Table2[HomeWon_], Table2[GameIsOver],1,Table2[AwayTeam],$A25, Table2[HomeTeam], F$1, Table2[ActualResult], "SO") + SUMIFS(Table2[AwayWon], Table2[GameIsOver],1,Table2[HomeTeam],$A25, Table2[AwayTeam], F$1, Table2[ActualResult], "SO"),0))</f>
        <v>1-0-0</v>
      </c>
      <c r="G25" s="58" t="str">
        <f>_xlfn.CONCAT(TEXT(SUMIFS(Table2[AwayWon], Table2[GameIsOver],1,Table2[AwayTeam],$A25, Table2[HomeTeam], G$1) + SUMIFS(Table2[HomeWon_], Table2[GameIsOver],1,Table2[HomeTeam],$A25, Table2[AwayTeam], G$1),0), "-", TEXT(SUMIFS(Table2[HomeWon_], Table2[GameIsOver],1,Table2[AwayTeam],$A25, Table2[HomeTeam], G$1, Table2[ActualResult], "REG") + SUMIFS(Table2[AwayWon], Table2[GameIsOver],1,Table2[HomeTeam],$A25, Table2[AwayTeam], G$1, Table2[ActualResult], "REG"),0), "-", TEXT(SUMIFS(Table2[HomeWon_], Table2[GameIsOver],1,Table2[AwayTeam],$A25, Table2[HomeTeam], G$1, Table2[ActualResult], "OT") + SUMIFS(Table2[AwayWon], Table2[GameIsOver],1,Table2[HomeTeam],$A25, Table2[AwayTeam], G$1, Table2[ActualResult], "OT") + SUMIFS(Table2[HomeWon_], Table2[GameIsOver],1,Table2[AwayTeam],$A25, Table2[HomeTeam], G$1, Table2[ActualResult], "SO") + SUMIFS(Table2[AwayWon], Table2[GameIsOver],1,Table2[HomeTeam],$A25, Table2[AwayTeam], G$1, Table2[ActualResult], "SO"),0))</f>
        <v>0-0-0</v>
      </c>
      <c r="H25" s="58" t="str">
        <f>_xlfn.CONCAT(TEXT(SUMIFS(Table2[AwayWon], Table2[GameIsOver],1,Table2[AwayTeam],$A25, Table2[HomeTeam], H$1) + SUMIFS(Table2[HomeWon_], Table2[GameIsOver],1,Table2[HomeTeam],$A25, Table2[AwayTeam], H$1),0), "-", TEXT(SUMIFS(Table2[HomeWon_], Table2[GameIsOver],1,Table2[AwayTeam],$A25, Table2[HomeTeam], H$1, Table2[ActualResult], "REG") + SUMIFS(Table2[AwayWon], Table2[GameIsOver],1,Table2[HomeTeam],$A25, Table2[AwayTeam], H$1, Table2[ActualResult], "REG"),0), "-", TEXT(SUMIFS(Table2[HomeWon_], Table2[GameIsOver],1,Table2[AwayTeam],$A25, Table2[HomeTeam], H$1, Table2[ActualResult], "OT") + SUMIFS(Table2[AwayWon], Table2[GameIsOver],1,Table2[HomeTeam],$A25, Table2[AwayTeam], H$1, Table2[ActualResult], "OT") + SUMIFS(Table2[HomeWon_], Table2[GameIsOver],1,Table2[AwayTeam],$A25, Table2[HomeTeam], H$1, Table2[ActualResult], "SO") + SUMIFS(Table2[AwayWon], Table2[GameIsOver],1,Table2[HomeTeam],$A25, Table2[AwayTeam], H$1, Table2[ActualResult], "SO"),0))</f>
        <v>0-1-0</v>
      </c>
      <c r="I25" s="59" t="str">
        <f>_xlfn.CONCAT(TEXT(SUMIFS(Table2[AwayWon], Table2[GameIsOver],1,Table2[AwayTeam],$A25, Table2[HomeTeam], I$1) + SUMIFS(Table2[HomeWon_], Table2[GameIsOver],1,Table2[HomeTeam],$A25, Table2[AwayTeam], I$1),0), "-", TEXT(SUMIFS(Table2[HomeWon_], Table2[GameIsOver],1,Table2[AwayTeam],$A25, Table2[HomeTeam], I$1, Table2[ActualResult], "REG") + SUMIFS(Table2[AwayWon], Table2[GameIsOver],1,Table2[HomeTeam],$A25, Table2[AwayTeam], I$1, Table2[ActualResult], "REG"),0), "-", TEXT(SUMIFS(Table2[HomeWon_], Table2[GameIsOver],1,Table2[AwayTeam],$A25, Table2[HomeTeam], I$1, Table2[ActualResult], "OT") + SUMIFS(Table2[AwayWon], Table2[GameIsOver],1,Table2[HomeTeam],$A25, Table2[AwayTeam], I$1, Table2[ActualResult], "OT") + SUMIFS(Table2[HomeWon_], Table2[GameIsOver],1,Table2[AwayTeam],$A25, Table2[HomeTeam], I$1, Table2[ActualResult], "SO") + SUMIFS(Table2[AwayWon], Table2[GameIsOver],1,Table2[HomeTeam],$A25, Table2[AwayTeam], I$1, Table2[ActualResult], "SO"),0))</f>
        <v>0-0-0</v>
      </c>
      <c r="J25" s="58" t="str">
        <f>_xlfn.CONCAT(TEXT(SUMIFS(Table2[AwayWon], Table2[GameIsOver],1,Table2[AwayTeam],$A25, Table2[HomeTeam], J$1) + SUMIFS(Table2[HomeWon_], Table2[GameIsOver],1,Table2[HomeTeam],$A25, Table2[AwayTeam], J$1),0), "-", TEXT(SUMIFS(Table2[HomeWon_], Table2[GameIsOver],1,Table2[AwayTeam],$A25, Table2[HomeTeam], J$1, Table2[ActualResult], "REG") + SUMIFS(Table2[AwayWon], Table2[GameIsOver],1,Table2[HomeTeam],$A25, Table2[AwayTeam], J$1, Table2[ActualResult], "REG"),0), "-", TEXT(SUMIFS(Table2[HomeWon_], Table2[GameIsOver],1,Table2[AwayTeam],$A25, Table2[HomeTeam], J$1, Table2[ActualResult], "OT") + SUMIFS(Table2[AwayWon], Table2[GameIsOver],1,Table2[HomeTeam],$A25, Table2[AwayTeam], J$1, Table2[ActualResult], "OT") + SUMIFS(Table2[HomeWon_], Table2[GameIsOver],1,Table2[AwayTeam],$A25, Table2[HomeTeam], J$1, Table2[ActualResult], "SO") + SUMIFS(Table2[AwayWon], Table2[GameIsOver],1,Table2[HomeTeam],$A25, Table2[AwayTeam], J$1, Table2[ActualResult], "SO"),0))</f>
        <v>0-0-0</v>
      </c>
      <c r="K25" s="58" t="str">
        <f>_xlfn.CONCAT(TEXT(SUMIFS(Table2[AwayWon], Table2[GameIsOver],1,Table2[AwayTeam],$A25, Table2[HomeTeam], K$1) + SUMIFS(Table2[HomeWon_], Table2[GameIsOver],1,Table2[HomeTeam],$A25, Table2[AwayTeam], K$1),0), "-", TEXT(SUMIFS(Table2[HomeWon_], Table2[GameIsOver],1,Table2[AwayTeam],$A25, Table2[HomeTeam], K$1, Table2[ActualResult], "REG") + SUMIFS(Table2[AwayWon], Table2[GameIsOver],1,Table2[HomeTeam],$A25, Table2[AwayTeam], K$1, Table2[ActualResult], "REG"),0), "-", TEXT(SUMIFS(Table2[HomeWon_], Table2[GameIsOver],1,Table2[AwayTeam],$A25, Table2[HomeTeam], K$1, Table2[ActualResult], "OT") + SUMIFS(Table2[AwayWon], Table2[GameIsOver],1,Table2[HomeTeam],$A25, Table2[AwayTeam], K$1, Table2[ActualResult], "OT") + SUMIFS(Table2[HomeWon_], Table2[GameIsOver],1,Table2[AwayTeam],$A25, Table2[HomeTeam], K$1, Table2[ActualResult], "SO") + SUMIFS(Table2[AwayWon], Table2[GameIsOver],1,Table2[HomeTeam],$A25, Table2[AwayTeam], K$1, Table2[ActualResult], "SO"),0))</f>
        <v>0-0-0</v>
      </c>
      <c r="L25" s="58" t="str">
        <f>_xlfn.CONCAT(TEXT(SUMIFS(Table2[AwayWon], Table2[GameIsOver],1,Table2[AwayTeam],$A25, Table2[HomeTeam], L$1) + SUMIFS(Table2[HomeWon_], Table2[GameIsOver],1,Table2[HomeTeam],$A25, Table2[AwayTeam], L$1),0), "-", TEXT(SUMIFS(Table2[HomeWon_], Table2[GameIsOver],1,Table2[AwayTeam],$A25, Table2[HomeTeam], L$1, Table2[ActualResult], "REG") + SUMIFS(Table2[AwayWon], Table2[GameIsOver],1,Table2[HomeTeam],$A25, Table2[AwayTeam], L$1, Table2[ActualResult], "REG"),0), "-", TEXT(SUMIFS(Table2[HomeWon_], Table2[GameIsOver],1,Table2[AwayTeam],$A25, Table2[HomeTeam], L$1, Table2[ActualResult], "OT") + SUMIFS(Table2[AwayWon], Table2[GameIsOver],1,Table2[HomeTeam],$A25, Table2[AwayTeam], L$1, Table2[ActualResult], "OT") + SUMIFS(Table2[HomeWon_], Table2[GameIsOver],1,Table2[AwayTeam],$A25, Table2[HomeTeam], L$1, Table2[ActualResult], "SO") + SUMIFS(Table2[AwayWon], Table2[GameIsOver],1,Table2[HomeTeam],$A25, Table2[AwayTeam], L$1, Table2[ActualResult], "SO"),0))</f>
        <v>0-0-0</v>
      </c>
      <c r="M25" s="58" t="str">
        <f>_xlfn.CONCAT(TEXT(SUMIFS(Table2[AwayWon], Table2[GameIsOver],1,Table2[AwayTeam],$A25, Table2[HomeTeam], M$1) + SUMIFS(Table2[HomeWon_], Table2[GameIsOver],1,Table2[HomeTeam],$A25, Table2[AwayTeam], M$1),0), "-", TEXT(SUMIFS(Table2[HomeWon_], Table2[GameIsOver],1,Table2[AwayTeam],$A25, Table2[HomeTeam], M$1, Table2[ActualResult], "REG") + SUMIFS(Table2[AwayWon], Table2[GameIsOver],1,Table2[HomeTeam],$A25, Table2[AwayTeam], M$1, Table2[ActualResult], "REG"),0), "-", TEXT(SUMIFS(Table2[HomeWon_], Table2[GameIsOver],1,Table2[AwayTeam],$A25, Table2[HomeTeam], M$1, Table2[ActualResult], "OT") + SUMIFS(Table2[AwayWon], Table2[GameIsOver],1,Table2[HomeTeam],$A25, Table2[AwayTeam], M$1, Table2[ActualResult], "OT") + SUMIFS(Table2[HomeWon_], Table2[GameIsOver],1,Table2[AwayTeam],$A25, Table2[HomeTeam], M$1, Table2[ActualResult], "SO") + SUMIFS(Table2[AwayWon], Table2[GameIsOver],1,Table2[HomeTeam],$A25, Table2[AwayTeam], M$1, Table2[ActualResult], "SO"),0))</f>
        <v>1-0-0</v>
      </c>
      <c r="N25" s="58" t="str">
        <f>_xlfn.CONCAT(TEXT(SUMIFS(Table2[AwayWon], Table2[GameIsOver],1,Table2[AwayTeam],$A25, Table2[HomeTeam], N$1) + SUMIFS(Table2[HomeWon_], Table2[GameIsOver],1,Table2[HomeTeam],$A25, Table2[AwayTeam], N$1),0), "-", TEXT(SUMIFS(Table2[HomeWon_], Table2[GameIsOver],1,Table2[AwayTeam],$A25, Table2[HomeTeam], N$1, Table2[ActualResult], "REG") + SUMIFS(Table2[AwayWon], Table2[GameIsOver],1,Table2[HomeTeam],$A25, Table2[AwayTeam], N$1, Table2[ActualResult], "REG"),0), "-", TEXT(SUMIFS(Table2[HomeWon_], Table2[GameIsOver],1,Table2[AwayTeam],$A25, Table2[HomeTeam], N$1, Table2[ActualResult], "OT") + SUMIFS(Table2[AwayWon], Table2[GameIsOver],1,Table2[HomeTeam],$A25, Table2[AwayTeam], N$1, Table2[ActualResult], "OT") + SUMIFS(Table2[HomeWon_], Table2[GameIsOver],1,Table2[AwayTeam],$A25, Table2[HomeTeam], N$1, Table2[ActualResult], "SO") + SUMIFS(Table2[AwayWon], Table2[GameIsOver],1,Table2[HomeTeam],$A25, Table2[AwayTeam], N$1, Table2[ActualResult], "SO"),0))</f>
        <v>0-0-0</v>
      </c>
      <c r="O25" s="58" t="str">
        <f>_xlfn.CONCAT(TEXT(SUMIFS(Table2[AwayWon], Table2[GameIsOver],1,Table2[AwayTeam],$A25, Table2[HomeTeam], O$1) + SUMIFS(Table2[HomeWon_], Table2[GameIsOver],1,Table2[HomeTeam],$A25, Table2[AwayTeam], O$1),0), "-", TEXT(SUMIFS(Table2[HomeWon_], Table2[GameIsOver],1,Table2[AwayTeam],$A25, Table2[HomeTeam], O$1, Table2[ActualResult], "REG") + SUMIFS(Table2[AwayWon], Table2[GameIsOver],1,Table2[HomeTeam],$A25, Table2[AwayTeam], O$1, Table2[ActualResult], "REG"),0), "-", TEXT(SUMIFS(Table2[HomeWon_], Table2[GameIsOver],1,Table2[AwayTeam],$A25, Table2[HomeTeam], O$1, Table2[ActualResult], "OT") + SUMIFS(Table2[AwayWon], Table2[GameIsOver],1,Table2[HomeTeam],$A25, Table2[AwayTeam], O$1, Table2[ActualResult], "OT") + SUMIFS(Table2[HomeWon_], Table2[GameIsOver],1,Table2[AwayTeam],$A25, Table2[HomeTeam], O$1, Table2[ActualResult], "SO") + SUMIFS(Table2[AwayWon], Table2[GameIsOver],1,Table2[HomeTeam],$A25, Table2[AwayTeam], O$1, Table2[ActualResult], "SO"),0))</f>
        <v>0-0-0</v>
      </c>
      <c r="P25" s="58" t="str">
        <f>_xlfn.CONCAT(TEXT(SUMIFS(Table2[AwayWon], Table2[GameIsOver],1,Table2[AwayTeam],$A25, Table2[HomeTeam], P$1) + SUMIFS(Table2[HomeWon_], Table2[GameIsOver],1,Table2[HomeTeam],$A25, Table2[AwayTeam], P$1),0), "-", TEXT(SUMIFS(Table2[HomeWon_], Table2[GameIsOver],1,Table2[AwayTeam],$A25, Table2[HomeTeam], P$1, Table2[ActualResult], "REG") + SUMIFS(Table2[AwayWon], Table2[GameIsOver],1,Table2[HomeTeam],$A25, Table2[AwayTeam], P$1, Table2[ActualResult], "REG"),0), "-", TEXT(SUMIFS(Table2[HomeWon_], Table2[GameIsOver],1,Table2[AwayTeam],$A25, Table2[HomeTeam], P$1, Table2[ActualResult], "OT") + SUMIFS(Table2[AwayWon], Table2[GameIsOver],1,Table2[HomeTeam],$A25, Table2[AwayTeam], P$1, Table2[ActualResult], "OT") + SUMIFS(Table2[HomeWon_], Table2[GameIsOver],1,Table2[AwayTeam],$A25, Table2[HomeTeam], P$1, Table2[ActualResult], "SO") + SUMIFS(Table2[AwayWon], Table2[GameIsOver],1,Table2[HomeTeam],$A25, Table2[AwayTeam], P$1, Table2[ActualResult], "SO"),0))</f>
        <v>0-0-0</v>
      </c>
      <c r="Q25" s="59" t="str">
        <f>_xlfn.CONCAT(TEXT(SUMIFS(Table2[AwayWon], Table2[GameIsOver],1,Table2[AwayTeam],$A25, Table2[HomeTeam], Q$1) + SUMIFS(Table2[HomeWon_], Table2[GameIsOver],1,Table2[HomeTeam],$A25, Table2[AwayTeam], Q$1),0), "-", TEXT(SUMIFS(Table2[HomeWon_], Table2[GameIsOver],1,Table2[AwayTeam],$A25, Table2[HomeTeam], Q$1, Table2[ActualResult], "REG") + SUMIFS(Table2[AwayWon], Table2[GameIsOver],1,Table2[HomeTeam],$A25, Table2[AwayTeam], Q$1, Table2[ActualResult], "REG"),0), "-", TEXT(SUMIFS(Table2[HomeWon_], Table2[GameIsOver],1,Table2[AwayTeam],$A25, Table2[HomeTeam], Q$1, Table2[ActualResult], "OT") + SUMIFS(Table2[AwayWon], Table2[GameIsOver],1,Table2[HomeTeam],$A25, Table2[AwayTeam], Q$1, Table2[ActualResult], "OT") + SUMIFS(Table2[HomeWon_], Table2[GameIsOver],1,Table2[AwayTeam],$A25, Table2[HomeTeam], Q$1, Table2[ActualResult], "SO") + SUMIFS(Table2[AwayWon], Table2[GameIsOver],1,Table2[HomeTeam],$A25, Table2[AwayTeam], Q$1, Table2[ActualResult], "SO"),0))</f>
        <v>0-0-0</v>
      </c>
      <c r="R25" s="58" t="str">
        <f>_xlfn.CONCAT(TEXT(SUMIFS(Table2[AwayWon], Table2[GameIsOver],1,Table2[AwayTeam],$A25, Table2[HomeTeam], R$1) + SUMIFS(Table2[HomeWon_], Table2[GameIsOver],1,Table2[HomeTeam],$A25, Table2[AwayTeam], R$1),0), "-", TEXT(SUMIFS(Table2[HomeWon_], Table2[GameIsOver],1,Table2[AwayTeam],$A25, Table2[HomeTeam], R$1, Table2[ActualResult], "REG") + SUMIFS(Table2[AwayWon], Table2[GameIsOver],1,Table2[HomeTeam],$A25, Table2[AwayTeam], R$1, Table2[ActualResult], "REG"),0), "-", TEXT(SUMIFS(Table2[HomeWon_], Table2[GameIsOver],1,Table2[AwayTeam],$A25, Table2[HomeTeam], R$1, Table2[ActualResult], "OT") + SUMIFS(Table2[AwayWon], Table2[GameIsOver],1,Table2[HomeTeam],$A25, Table2[AwayTeam], R$1, Table2[ActualResult], "OT") + SUMIFS(Table2[HomeWon_], Table2[GameIsOver],1,Table2[AwayTeam],$A25, Table2[HomeTeam], R$1, Table2[ActualResult], "SO") + SUMIFS(Table2[AwayWon], Table2[GameIsOver],1,Table2[HomeTeam],$A25, Table2[AwayTeam], R$1, Table2[ActualResult], "SO"),0))</f>
        <v>0-0-0</v>
      </c>
      <c r="S25" s="58" t="str">
        <f>_xlfn.CONCAT(TEXT(SUMIFS(Table2[AwayWon], Table2[GameIsOver],1,Table2[AwayTeam],$A25, Table2[HomeTeam], S$1) + SUMIFS(Table2[HomeWon_], Table2[GameIsOver],1,Table2[HomeTeam],$A25, Table2[AwayTeam], S$1),0), "-", TEXT(SUMIFS(Table2[HomeWon_], Table2[GameIsOver],1,Table2[AwayTeam],$A25, Table2[HomeTeam], S$1, Table2[ActualResult], "REG") + SUMIFS(Table2[AwayWon], Table2[GameIsOver],1,Table2[HomeTeam],$A25, Table2[AwayTeam], S$1, Table2[ActualResult], "REG"),0), "-", TEXT(SUMIFS(Table2[HomeWon_], Table2[GameIsOver],1,Table2[AwayTeam],$A25, Table2[HomeTeam], S$1, Table2[ActualResult], "OT") + SUMIFS(Table2[AwayWon], Table2[GameIsOver],1,Table2[HomeTeam],$A25, Table2[AwayTeam], S$1, Table2[ActualResult], "OT") + SUMIFS(Table2[HomeWon_], Table2[GameIsOver],1,Table2[AwayTeam],$A25, Table2[HomeTeam], S$1, Table2[ActualResult], "SO") + SUMIFS(Table2[AwayWon], Table2[GameIsOver],1,Table2[HomeTeam],$A25, Table2[AwayTeam], S$1, Table2[ActualResult], "SO"),0))</f>
        <v>0-0-0</v>
      </c>
      <c r="T25" s="58" t="str">
        <f>_xlfn.CONCAT(TEXT(SUMIFS(Table2[AwayWon], Table2[GameIsOver],1,Table2[AwayTeam],$A25, Table2[HomeTeam], T$1) + SUMIFS(Table2[HomeWon_], Table2[GameIsOver],1,Table2[HomeTeam],$A25, Table2[AwayTeam], T$1),0), "-", TEXT(SUMIFS(Table2[HomeWon_], Table2[GameIsOver],1,Table2[AwayTeam],$A25, Table2[HomeTeam], T$1, Table2[ActualResult], "REG") + SUMIFS(Table2[AwayWon], Table2[GameIsOver],1,Table2[HomeTeam],$A25, Table2[AwayTeam], T$1, Table2[ActualResult], "REG"),0), "-", TEXT(SUMIFS(Table2[HomeWon_], Table2[GameIsOver],1,Table2[AwayTeam],$A25, Table2[HomeTeam], T$1, Table2[ActualResult], "OT") + SUMIFS(Table2[AwayWon], Table2[GameIsOver],1,Table2[HomeTeam],$A25, Table2[AwayTeam], T$1, Table2[ActualResult], "OT") + SUMIFS(Table2[HomeWon_], Table2[GameIsOver],1,Table2[AwayTeam],$A25, Table2[HomeTeam], T$1, Table2[ActualResult], "SO") + SUMIFS(Table2[AwayWon], Table2[GameIsOver],1,Table2[HomeTeam],$A25, Table2[AwayTeam], T$1, Table2[ActualResult], "SO"),0))</f>
        <v>0-0-0</v>
      </c>
      <c r="U25" s="58" t="str">
        <f>_xlfn.CONCAT(TEXT(SUMIFS(Table2[AwayWon], Table2[GameIsOver],1,Table2[AwayTeam],$A25, Table2[HomeTeam], U$1) + SUMIFS(Table2[HomeWon_], Table2[GameIsOver],1,Table2[HomeTeam],$A25, Table2[AwayTeam], U$1),0), "-", TEXT(SUMIFS(Table2[HomeWon_], Table2[GameIsOver],1,Table2[AwayTeam],$A25, Table2[HomeTeam], U$1, Table2[ActualResult], "REG") + SUMIFS(Table2[AwayWon], Table2[GameIsOver],1,Table2[HomeTeam],$A25, Table2[AwayTeam], U$1, Table2[ActualResult], "REG"),0), "-", TEXT(SUMIFS(Table2[HomeWon_], Table2[GameIsOver],1,Table2[AwayTeam],$A25, Table2[HomeTeam], U$1, Table2[ActualResult], "OT") + SUMIFS(Table2[AwayWon], Table2[GameIsOver],1,Table2[HomeTeam],$A25, Table2[AwayTeam], U$1, Table2[ActualResult], "OT") + SUMIFS(Table2[HomeWon_], Table2[GameIsOver],1,Table2[AwayTeam],$A25, Table2[HomeTeam], U$1, Table2[ActualResult], "SO") + SUMIFS(Table2[AwayWon], Table2[GameIsOver],1,Table2[HomeTeam],$A25, Table2[AwayTeam], U$1, Table2[ActualResult], "SO"),0))</f>
        <v>1-0-0</v>
      </c>
      <c r="V25" s="58" t="str">
        <f>_xlfn.CONCAT(TEXT(SUMIFS(Table2[AwayWon], Table2[GameIsOver],1,Table2[AwayTeam],$A25, Table2[HomeTeam], V$1) + SUMIFS(Table2[HomeWon_], Table2[GameIsOver],1,Table2[HomeTeam],$A25, Table2[AwayTeam], V$1),0), "-", TEXT(SUMIFS(Table2[HomeWon_], Table2[GameIsOver],1,Table2[AwayTeam],$A25, Table2[HomeTeam], V$1, Table2[ActualResult], "REG") + SUMIFS(Table2[AwayWon], Table2[GameIsOver],1,Table2[HomeTeam],$A25, Table2[AwayTeam], V$1, Table2[ActualResult], "REG"),0), "-", TEXT(SUMIFS(Table2[HomeWon_], Table2[GameIsOver],1,Table2[AwayTeam],$A25, Table2[HomeTeam], V$1, Table2[ActualResult], "OT") + SUMIFS(Table2[AwayWon], Table2[GameIsOver],1,Table2[HomeTeam],$A25, Table2[AwayTeam], V$1, Table2[ActualResult], "OT") + SUMIFS(Table2[HomeWon_], Table2[GameIsOver],1,Table2[AwayTeam],$A25, Table2[HomeTeam], V$1, Table2[ActualResult], "SO") + SUMIFS(Table2[AwayWon], Table2[GameIsOver],1,Table2[HomeTeam],$A25, Table2[AwayTeam], V$1, Table2[ActualResult], "SO"),0))</f>
        <v>1-0-0</v>
      </c>
      <c r="W25" s="58" t="str">
        <f>_xlfn.CONCAT(TEXT(SUMIFS(Table2[AwayWon], Table2[GameIsOver],1,Table2[AwayTeam],$A25, Table2[HomeTeam], W$1) + SUMIFS(Table2[HomeWon_], Table2[GameIsOver],1,Table2[HomeTeam],$A25, Table2[AwayTeam], W$1),0), "-", TEXT(SUMIFS(Table2[HomeWon_], Table2[GameIsOver],1,Table2[AwayTeam],$A25, Table2[HomeTeam], W$1, Table2[ActualResult], "REG") + SUMIFS(Table2[AwayWon], Table2[GameIsOver],1,Table2[HomeTeam],$A25, Table2[AwayTeam], W$1, Table2[ActualResult], "REG"),0), "-", TEXT(SUMIFS(Table2[HomeWon_], Table2[GameIsOver],1,Table2[AwayTeam],$A25, Table2[HomeTeam], W$1, Table2[ActualResult], "OT") + SUMIFS(Table2[AwayWon], Table2[GameIsOver],1,Table2[HomeTeam],$A25, Table2[AwayTeam], W$1, Table2[ActualResult], "OT") + SUMIFS(Table2[HomeWon_], Table2[GameIsOver],1,Table2[AwayTeam],$A25, Table2[HomeTeam], W$1, Table2[ActualResult], "SO") + SUMIFS(Table2[AwayWon], Table2[GameIsOver],1,Table2[HomeTeam],$A25, Table2[AwayTeam], W$1, Table2[ActualResult], "SO"),0))</f>
        <v>0-0-0</v>
      </c>
      <c r="X25" s="58" t="str">
        <f>_xlfn.CONCAT(TEXT(SUMIFS(Table2[AwayWon], Table2[GameIsOver],1,Table2[AwayTeam],$A25, Table2[HomeTeam], X$1) + SUMIFS(Table2[HomeWon_], Table2[GameIsOver],1,Table2[HomeTeam],$A25, Table2[AwayTeam], X$1),0), "-", TEXT(SUMIFS(Table2[HomeWon_], Table2[GameIsOver],1,Table2[AwayTeam],$A25, Table2[HomeTeam], X$1, Table2[ActualResult], "REG") + SUMIFS(Table2[AwayWon], Table2[GameIsOver],1,Table2[HomeTeam],$A25, Table2[AwayTeam], X$1, Table2[ActualResult], "REG"),0), "-", TEXT(SUMIFS(Table2[HomeWon_], Table2[GameIsOver],1,Table2[AwayTeam],$A25, Table2[HomeTeam], X$1, Table2[ActualResult], "OT") + SUMIFS(Table2[AwayWon], Table2[GameIsOver],1,Table2[HomeTeam],$A25, Table2[AwayTeam], X$1, Table2[ActualResult], "OT") + SUMIFS(Table2[HomeWon_], Table2[GameIsOver],1,Table2[AwayTeam],$A25, Table2[HomeTeam], X$1, Table2[ActualResult], "SO") + SUMIFS(Table2[AwayWon], Table2[GameIsOver],1,Table2[HomeTeam],$A25, Table2[AwayTeam], X$1, Table2[ActualResult], "SO"),0))</f>
        <v>0-0-0</v>
      </c>
      <c r="Y25" s="90"/>
      <c r="Z25" s="58" t="str">
        <f>_xlfn.CONCAT(TEXT(SUMIFS(Table2[AwayWon], Table2[GameIsOver],1,Table2[AwayTeam],$A25, Table2[HomeTeam], Z$1) + SUMIFS(Table2[HomeWon_], Table2[GameIsOver],1,Table2[HomeTeam],$A25, Table2[AwayTeam], Z$1),0), "-", TEXT(SUMIFS(Table2[HomeWon_], Table2[GameIsOver],1,Table2[AwayTeam],$A25, Table2[HomeTeam], Z$1, Table2[ActualResult], "REG") + SUMIFS(Table2[AwayWon], Table2[GameIsOver],1,Table2[HomeTeam],$A25, Table2[AwayTeam], Z$1, Table2[ActualResult], "REG"),0), "-", TEXT(SUMIFS(Table2[HomeWon_], Table2[GameIsOver],1,Table2[AwayTeam],$A25, Table2[HomeTeam], Z$1, Table2[ActualResult], "OT") + SUMIFS(Table2[AwayWon], Table2[GameIsOver],1,Table2[HomeTeam],$A25, Table2[AwayTeam], Z$1, Table2[ActualResult], "OT") + SUMIFS(Table2[HomeWon_], Table2[GameIsOver],1,Table2[AwayTeam],$A25, Table2[HomeTeam], Z$1, Table2[ActualResult], "SO") + SUMIFS(Table2[AwayWon], Table2[GameIsOver],1,Table2[HomeTeam],$A25, Table2[AwayTeam], Z$1, Table2[ActualResult], "SO"),0))</f>
        <v>0-1-0</v>
      </c>
      <c r="AA25" s="58" t="str">
        <f>_xlfn.CONCAT(TEXT(SUMIFS(Table2[AwayWon], Table2[GameIsOver],1,Table2[AwayTeam],$A25, Table2[HomeTeam], AA$1) + SUMIFS(Table2[HomeWon_], Table2[GameIsOver],1,Table2[HomeTeam],$A25, Table2[AwayTeam], AA$1),0), "-", TEXT(SUMIFS(Table2[HomeWon_], Table2[GameIsOver],1,Table2[AwayTeam],$A25, Table2[HomeTeam], AA$1, Table2[ActualResult], "REG") + SUMIFS(Table2[AwayWon], Table2[GameIsOver],1,Table2[HomeTeam],$A25, Table2[AwayTeam], AA$1, Table2[ActualResult], "REG"),0), "-", TEXT(SUMIFS(Table2[HomeWon_], Table2[GameIsOver],1,Table2[AwayTeam],$A25, Table2[HomeTeam], AA$1, Table2[ActualResult], "OT") + SUMIFS(Table2[AwayWon], Table2[GameIsOver],1,Table2[HomeTeam],$A25, Table2[AwayTeam], AA$1, Table2[ActualResult], "OT") + SUMIFS(Table2[HomeWon_], Table2[GameIsOver],1,Table2[AwayTeam],$A25, Table2[HomeTeam], AA$1, Table2[ActualResult], "SO") + SUMIFS(Table2[AwayWon], Table2[GameIsOver],1,Table2[HomeTeam],$A25, Table2[AwayTeam], AA$1, Table2[ActualResult], "SO"),0))</f>
        <v>0-0-0</v>
      </c>
      <c r="AB25" s="58" t="str">
        <f>_xlfn.CONCAT(TEXT(SUMIFS(Table2[AwayWon], Table2[GameIsOver],1,Table2[AwayTeam],$A25, Table2[HomeTeam], AB$1) + SUMIFS(Table2[HomeWon_], Table2[GameIsOver],1,Table2[HomeTeam],$A25, Table2[AwayTeam], AB$1),0), "-", TEXT(SUMIFS(Table2[HomeWon_], Table2[GameIsOver],1,Table2[AwayTeam],$A25, Table2[HomeTeam], AB$1, Table2[ActualResult], "REG") + SUMIFS(Table2[AwayWon], Table2[GameIsOver],1,Table2[HomeTeam],$A25, Table2[AwayTeam], AB$1, Table2[ActualResult], "REG"),0), "-", TEXT(SUMIFS(Table2[HomeWon_], Table2[GameIsOver],1,Table2[AwayTeam],$A25, Table2[HomeTeam], AB$1, Table2[ActualResult], "OT") + SUMIFS(Table2[AwayWon], Table2[GameIsOver],1,Table2[HomeTeam],$A25, Table2[AwayTeam], AB$1, Table2[ActualResult], "OT") + SUMIFS(Table2[HomeWon_], Table2[GameIsOver],1,Table2[AwayTeam],$A25, Table2[HomeTeam], AB$1, Table2[ActualResult], "SO") + SUMIFS(Table2[AwayWon], Table2[GameIsOver],1,Table2[HomeTeam],$A25, Table2[AwayTeam], AB$1, Table2[ActualResult], "SO"),0))</f>
        <v>0-0-0</v>
      </c>
      <c r="AC25" s="58" t="str">
        <f>_xlfn.CONCAT(TEXT(SUMIFS(Table2[AwayWon], Table2[GameIsOver],1,Table2[AwayTeam],$A25, Table2[HomeTeam], AC$1) + SUMIFS(Table2[HomeWon_], Table2[GameIsOver],1,Table2[HomeTeam],$A25, Table2[AwayTeam], AC$1),0), "-", TEXT(SUMIFS(Table2[HomeWon_], Table2[GameIsOver],1,Table2[AwayTeam],$A25, Table2[HomeTeam], AC$1, Table2[ActualResult], "REG") + SUMIFS(Table2[AwayWon], Table2[GameIsOver],1,Table2[HomeTeam],$A25, Table2[AwayTeam], AC$1, Table2[ActualResult], "REG"),0), "-", TEXT(SUMIFS(Table2[HomeWon_], Table2[GameIsOver],1,Table2[AwayTeam],$A25, Table2[HomeTeam], AC$1, Table2[ActualResult], "OT") + SUMIFS(Table2[AwayWon], Table2[GameIsOver],1,Table2[HomeTeam],$A25, Table2[AwayTeam], AC$1, Table2[ActualResult], "OT") + SUMIFS(Table2[HomeWon_], Table2[GameIsOver],1,Table2[AwayTeam],$A25, Table2[HomeTeam], AC$1, Table2[ActualResult], "SO") + SUMIFS(Table2[AwayWon], Table2[GameIsOver],1,Table2[HomeTeam],$A25, Table2[AwayTeam], AC$1, Table2[ActualResult], "SO"),0))</f>
        <v>0-0-0</v>
      </c>
      <c r="AD25" s="58" t="str">
        <f>_xlfn.CONCAT(TEXT(SUMIFS(Table2[AwayWon], Table2[GameIsOver],1,Table2[AwayTeam],$A25, Table2[HomeTeam], AD$1) + SUMIFS(Table2[HomeWon_], Table2[GameIsOver],1,Table2[HomeTeam],$A25, Table2[AwayTeam], AD$1),0), "-", TEXT(SUMIFS(Table2[HomeWon_], Table2[GameIsOver],1,Table2[AwayTeam],$A25, Table2[HomeTeam], AD$1, Table2[ActualResult], "REG") + SUMIFS(Table2[AwayWon], Table2[GameIsOver],1,Table2[HomeTeam],$A25, Table2[AwayTeam], AD$1, Table2[ActualResult], "REG"),0), "-", TEXT(SUMIFS(Table2[HomeWon_], Table2[GameIsOver],1,Table2[AwayTeam],$A25, Table2[HomeTeam], AD$1, Table2[ActualResult], "OT") + SUMIFS(Table2[AwayWon], Table2[GameIsOver],1,Table2[HomeTeam],$A25, Table2[AwayTeam], AD$1, Table2[ActualResult], "OT") + SUMIFS(Table2[HomeWon_], Table2[GameIsOver],1,Table2[AwayTeam],$A25, Table2[HomeTeam], AD$1, Table2[ActualResult], "SO") + SUMIFS(Table2[AwayWon], Table2[GameIsOver],1,Table2[HomeTeam],$A25, Table2[AwayTeam], AD$1, Table2[ActualResult], "SO"),0))</f>
        <v>0-0-0</v>
      </c>
      <c r="AE25" s="58" t="str">
        <f>_xlfn.CONCAT(TEXT(SUMIFS(Table2[AwayWon], Table2[GameIsOver],1,Table2[AwayTeam],$A25, Table2[HomeTeam], AE$1) + SUMIFS(Table2[HomeWon_], Table2[GameIsOver],1,Table2[HomeTeam],$A25, Table2[AwayTeam], AE$1),0), "-", TEXT(SUMIFS(Table2[HomeWon_], Table2[GameIsOver],1,Table2[AwayTeam],$A25, Table2[HomeTeam], AE$1, Table2[ActualResult], "REG") + SUMIFS(Table2[AwayWon], Table2[GameIsOver],1,Table2[HomeTeam],$A25, Table2[AwayTeam], AE$1, Table2[ActualResult], "REG"),0), "-", TEXT(SUMIFS(Table2[HomeWon_], Table2[GameIsOver],1,Table2[AwayTeam],$A25, Table2[HomeTeam], AE$1, Table2[ActualResult], "OT") + SUMIFS(Table2[AwayWon], Table2[GameIsOver],1,Table2[HomeTeam],$A25, Table2[AwayTeam], AE$1, Table2[ActualResult], "OT") + SUMIFS(Table2[HomeWon_], Table2[GameIsOver],1,Table2[AwayTeam],$A25, Table2[HomeTeam], AE$1, Table2[ActualResult], "SO") + SUMIFS(Table2[AwayWon], Table2[GameIsOver],1,Table2[HomeTeam],$A25, Table2[AwayTeam], AE$1, Table2[ActualResult], "SO"),0))</f>
        <v>0-0-0</v>
      </c>
      <c r="AF25" s="58" t="str">
        <f>_xlfn.CONCAT(TEXT(SUMIFS(Table2[AwayWon], Table2[GameIsOver],1,Table2[AwayTeam],$A25, Table2[HomeTeam], AF$1) + SUMIFS(Table2[HomeWon_], Table2[GameIsOver],1,Table2[HomeTeam],$A25, Table2[AwayTeam], AF$1),0), "-", TEXT(SUMIFS(Table2[HomeWon_], Table2[GameIsOver],1,Table2[AwayTeam],$A25, Table2[HomeTeam], AF$1, Table2[ActualResult], "REG") + SUMIFS(Table2[AwayWon], Table2[GameIsOver],1,Table2[HomeTeam],$A25, Table2[AwayTeam], AF$1, Table2[ActualResult], "REG"),0), "-", TEXT(SUMIFS(Table2[HomeWon_], Table2[GameIsOver],1,Table2[AwayTeam],$A25, Table2[HomeTeam], AF$1, Table2[ActualResult], "OT") + SUMIFS(Table2[AwayWon], Table2[GameIsOver],1,Table2[HomeTeam],$A25, Table2[AwayTeam], AF$1, Table2[ActualResult], "OT") + SUMIFS(Table2[HomeWon_], Table2[GameIsOver],1,Table2[AwayTeam],$A25, Table2[HomeTeam], AF$1, Table2[ActualResult], "SO") + SUMIFS(Table2[AwayWon], Table2[GameIsOver],1,Table2[HomeTeam],$A25, Table2[AwayTeam], AF$1, Table2[ActualResult], "SO"),0))</f>
        <v>1-0-0</v>
      </c>
      <c r="AG25" s="58" t="str">
        <f>_xlfn.CONCAT(TEXT(SUMIFS(Table2[AwayWon], Table2[GameIsOver],1,Table2[AwayTeam],$A25, Table2[HomeTeam], AG$1) + SUMIFS(Table2[HomeWon_], Table2[GameIsOver],1,Table2[HomeTeam],$A25, Table2[AwayTeam], AG$1),0), "-", TEXT(SUMIFS(Table2[HomeWon_], Table2[GameIsOver],1,Table2[AwayTeam],$A25, Table2[HomeTeam], AG$1, Table2[ActualResult], "REG") + SUMIFS(Table2[AwayWon], Table2[GameIsOver],1,Table2[HomeTeam],$A25, Table2[AwayTeam], AG$1, Table2[ActualResult], "REG"),0), "-", TEXT(SUMIFS(Table2[HomeWon_], Table2[GameIsOver],1,Table2[AwayTeam],$A25, Table2[HomeTeam], AG$1, Table2[ActualResult], "OT") + SUMIFS(Table2[AwayWon], Table2[GameIsOver],1,Table2[HomeTeam],$A25, Table2[AwayTeam], AG$1, Table2[ActualResult], "OT") + SUMIFS(Table2[HomeWon_], Table2[GameIsOver],1,Table2[AwayTeam],$A25, Table2[HomeTeam], AG$1, Table2[ActualResult], "SO") + SUMIFS(Table2[AwayWon], Table2[GameIsOver],1,Table2[HomeTeam],$A25, Table2[AwayTeam], AG$1, Table2[ActualResult], "SO"),0))</f>
        <v>0-0-0</v>
      </c>
    </row>
    <row r="26" spans="1:33" ht="15.75" thickTop="1" x14ac:dyDescent="0.25">
      <c r="A26" s="57" t="s">
        <v>15</v>
      </c>
      <c r="B26" t="str">
        <f>_xlfn.CONCAT(TEXT(SUMIFS(Table2[AwayWon], Table2[GameIsOver],1,Table2[AwayTeam],$A26, Table2[HomeTeam], B$1) + SUMIFS(Table2[HomeWon_], Table2[GameIsOver],1,Table2[HomeTeam],$A26, Table2[AwayTeam], B$1),0), "-", TEXT(SUMIFS(Table2[HomeWon_], Table2[GameIsOver],1,Table2[AwayTeam],$A26, Table2[HomeTeam], B$1, Table2[ActualResult], "REG") + SUMIFS(Table2[AwayWon], Table2[GameIsOver],1,Table2[HomeTeam],$A26, Table2[AwayTeam], B$1, Table2[ActualResult], "REG"),0), "-", TEXT(SUMIFS(Table2[HomeWon_], Table2[GameIsOver],1,Table2[AwayTeam],$A26, Table2[HomeTeam], B$1, Table2[ActualResult], "OT") + SUMIFS(Table2[AwayWon], Table2[GameIsOver],1,Table2[HomeTeam],$A26, Table2[AwayTeam], B$1, Table2[ActualResult], "OT") + SUMIFS(Table2[HomeWon_], Table2[GameIsOver],1,Table2[AwayTeam],$A26, Table2[HomeTeam], B$1, Table2[ActualResult], "SO") + SUMIFS(Table2[AwayWon], Table2[GameIsOver],1,Table2[HomeTeam],$A26, Table2[AwayTeam], B$1, Table2[ActualResult], "SO"),0))</f>
        <v>0-0-0</v>
      </c>
      <c r="C26" t="str">
        <f>_xlfn.CONCAT(TEXT(SUMIFS(Table2[AwayWon], Table2[GameIsOver],1,Table2[AwayTeam],$A26, Table2[HomeTeam], C$1) + SUMIFS(Table2[HomeWon_], Table2[GameIsOver],1,Table2[HomeTeam],$A26, Table2[AwayTeam], C$1),0), "-", TEXT(SUMIFS(Table2[HomeWon_], Table2[GameIsOver],1,Table2[AwayTeam],$A26, Table2[HomeTeam], C$1, Table2[ActualResult], "REG") + SUMIFS(Table2[AwayWon], Table2[GameIsOver],1,Table2[HomeTeam],$A26, Table2[AwayTeam], C$1, Table2[ActualResult], "REG"),0), "-", TEXT(SUMIFS(Table2[HomeWon_], Table2[GameIsOver],1,Table2[AwayTeam],$A26, Table2[HomeTeam], C$1, Table2[ActualResult], "OT") + SUMIFS(Table2[AwayWon], Table2[GameIsOver],1,Table2[HomeTeam],$A26, Table2[AwayTeam], C$1, Table2[ActualResult], "OT") + SUMIFS(Table2[HomeWon_], Table2[GameIsOver],1,Table2[AwayTeam],$A26, Table2[HomeTeam], C$1, Table2[ActualResult], "SO") + SUMIFS(Table2[AwayWon], Table2[GameIsOver],1,Table2[HomeTeam],$A26, Table2[AwayTeam], C$1, Table2[ActualResult], "SO"),0))</f>
        <v>0-0-0</v>
      </c>
      <c r="D26" t="str">
        <f>_xlfn.CONCAT(TEXT(SUMIFS(Table2[AwayWon], Table2[GameIsOver],1,Table2[AwayTeam],$A26, Table2[HomeTeam], D$1) + SUMIFS(Table2[HomeWon_], Table2[GameIsOver],1,Table2[HomeTeam],$A26, Table2[AwayTeam], D$1),0), "-", TEXT(SUMIFS(Table2[HomeWon_], Table2[GameIsOver],1,Table2[AwayTeam],$A26, Table2[HomeTeam], D$1, Table2[ActualResult], "REG") + SUMIFS(Table2[AwayWon], Table2[GameIsOver],1,Table2[HomeTeam],$A26, Table2[AwayTeam], D$1, Table2[ActualResult], "REG"),0), "-", TEXT(SUMIFS(Table2[HomeWon_], Table2[GameIsOver],1,Table2[AwayTeam],$A26, Table2[HomeTeam], D$1, Table2[ActualResult], "OT") + SUMIFS(Table2[AwayWon], Table2[GameIsOver],1,Table2[HomeTeam],$A26, Table2[AwayTeam], D$1, Table2[ActualResult], "OT") + SUMIFS(Table2[HomeWon_], Table2[GameIsOver],1,Table2[AwayTeam],$A26, Table2[HomeTeam], D$1, Table2[ActualResult], "SO") + SUMIFS(Table2[AwayWon], Table2[GameIsOver],1,Table2[HomeTeam],$A26, Table2[AwayTeam], D$1, Table2[ActualResult], "SO"),0))</f>
        <v>0-0-0</v>
      </c>
      <c r="E26" t="str">
        <f>_xlfn.CONCAT(TEXT(SUMIFS(Table2[AwayWon], Table2[GameIsOver],1,Table2[AwayTeam],$A26, Table2[HomeTeam], E$1) + SUMIFS(Table2[HomeWon_], Table2[GameIsOver],1,Table2[HomeTeam],$A26, Table2[AwayTeam], E$1),0), "-", TEXT(SUMIFS(Table2[HomeWon_], Table2[GameIsOver],1,Table2[AwayTeam],$A26, Table2[HomeTeam], E$1, Table2[ActualResult], "REG") + SUMIFS(Table2[AwayWon], Table2[GameIsOver],1,Table2[HomeTeam],$A26, Table2[AwayTeam], E$1, Table2[ActualResult], "REG"),0), "-", TEXT(SUMIFS(Table2[HomeWon_], Table2[GameIsOver],1,Table2[AwayTeam],$A26, Table2[HomeTeam], E$1, Table2[ActualResult], "OT") + SUMIFS(Table2[AwayWon], Table2[GameIsOver],1,Table2[HomeTeam],$A26, Table2[AwayTeam], E$1, Table2[ActualResult], "OT") + SUMIFS(Table2[HomeWon_], Table2[GameIsOver],1,Table2[AwayTeam],$A26, Table2[HomeTeam], E$1, Table2[ActualResult], "SO") + SUMIFS(Table2[AwayWon], Table2[GameIsOver],1,Table2[HomeTeam],$A26, Table2[AwayTeam], E$1, Table2[ActualResult], "SO"),0))</f>
        <v>0-0-0</v>
      </c>
      <c r="F26" t="str">
        <f>_xlfn.CONCAT(TEXT(SUMIFS(Table2[AwayWon], Table2[GameIsOver],1,Table2[AwayTeam],$A26, Table2[HomeTeam], F$1) + SUMIFS(Table2[HomeWon_], Table2[GameIsOver],1,Table2[HomeTeam],$A26, Table2[AwayTeam], F$1),0), "-", TEXT(SUMIFS(Table2[HomeWon_], Table2[GameIsOver],1,Table2[AwayTeam],$A26, Table2[HomeTeam], F$1, Table2[ActualResult], "REG") + SUMIFS(Table2[AwayWon], Table2[GameIsOver],1,Table2[HomeTeam],$A26, Table2[AwayTeam], F$1, Table2[ActualResult], "REG"),0), "-", TEXT(SUMIFS(Table2[HomeWon_], Table2[GameIsOver],1,Table2[AwayTeam],$A26, Table2[HomeTeam], F$1, Table2[ActualResult], "OT") + SUMIFS(Table2[AwayWon], Table2[GameIsOver],1,Table2[HomeTeam],$A26, Table2[AwayTeam], F$1, Table2[ActualResult], "OT") + SUMIFS(Table2[HomeWon_], Table2[GameIsOver],1,Table2[AwayTeam],$A26, Table2[HomeTeam], F$1, Table2[ActualResult], "SO") + SUMIFS(Table2[AwayWon], Table2[GameIsOver],1,Table2[HomeTeam],$A26, Table2[AwayTeam], F$1, Table2[ActualResult], "SO"),0))</f>
        <v>0-0-0</v>
      </c>
      <c r="G26" t="str">
        <f>_xlfn.CONCAT(TEXT(SUMIFS(Table2[AwayWon], Table2[GameIsOver],1,Table2[AwayTeam],$A26, Table2[HomeTeam], G$1) + SUMIFS(Table2[HomeWon_], Table2[GameIsOver],1,Table2[HomeTeam],$A26, Table2[AwayTeam], G$1),0), "-", TEXT(SUMIFS(Table2[HomeWon_], Table2[GameIsOver],1,Table2[AwayTeam],$A26, Table2[HomeTeam], G$1, Table2[ActualResult], "REG") + SUMIFS(Table2[AwayWon], Table2[GameIsOver],1,Table2[HomeTeam],$A26, Table2[AwayTeam], G$1, Table2[ActualResult], "REG"),0), "-", TEXT(SUMIFS(Table2[HomeWon_], Table2[GameIsOver],1,Table2[AwayTeam],$A26, Table2[HomeTeam], G$1, Table2[ActualResult], "OT") + SUMIFS(Table2[AwayWon], Table2[GameIsOver],1,Table2[HomeTeam],$A26, Table2[AwayTeam], G$1, Table2[ActualResult], "OT") + SUMIFS(Table2[HomeWon_], Table2[GameIsOver],1,Table2[AwayTeam],$A26, Table2[HomeTeam], G$1, Table2[ActualResult], "SO") + SUMIFS(Table2[AwayWon], Table2[GameIsOver],1,Table2[HomeTeam],$A26, Table2[AwayTeam], G$1, Table2[ActualResult], "SO"),0))</f>
        <v>0-0-0</v>
      </c>
      <c r="H26" t="str">
        <f>_xlfn.CONCAT(TEXT(SUMIFS(Table2[AwayWon], Table2[GameIsOver],1,Table2[AwayTeam],$A26, Table2[HomeTeam], H$1) + SUMIFS(Table2[HomeWon_], Table2[GameIsOver],1,Table2[HomeTeam],$A26, Table2[AwayTeam], H$1),0), "-", TEXT(SUMIFS(Table2[HomeWon_], Table2[GameIsOver],1,Table2[AwayTeam],$A26, Table2[HomeTeam], H$1, Table2[ActualResult], "REG") + SUMIFS(Table2[AwayWon], Table2[GameIsOver],1,Table2[HomeTeam],$A26, Table2[AwayTeam], H$1, Table2[ActualResult], "REG"),0), "-", TEXT(SUMIFS(Table2[HomeWon_], Table2[GameIsOver],1,Table2[AwayTeam],$A26, Table2[HomeTeam], H$1, Table2[ActualResult], "OT") + SUMIFS(Table2[AwayWon], Table2[GameIsOver],1,Table2[HomeTeam],$A26, Table2[AwayTeam], H$1, Table2[ActualResult], "OT") + SUMIFS(Table2[HomeWon_], Table2[GameIsOver],1,Table2[AwayTeam],$A26, Table2[HomeTeam], H$1, Table2[ActualResult], "SO") + SUMIFS(Table2[AwayWon], Table2[GameIsOver],1,Table2[HomeTeam],$A26, Table2[AwayTeam], H$1, Table2[ActualResult], "SO"),0))</f>
        <v>0-0-0</v>
      </c>
      <c r="I26" s="57" t="str">
        <f>_xlfn.CONCAT(TEXT(SUMIFS(Table2[AwayWon], Table2[GameIsOver],1,Table2[AwayTeam],$A26, Table2[HomeTeam], I$1) + SUMIFS(Table2[HomeWon_], Table2[GameIsOver],1,Table2[HomeTeam],$A26, Table2[AwayTeam], I$1),0), "-", TEXT(SUMIFS(Table2[HomeWon_], Table2[GameIsOver],1,Table2[AwayTeam],$A26, Table2[HomeTeam], I$1, Table2[ActualResult], "REG") + SUMIFS(Table2[AwayWon], Table2[GameIsOver],1,Table2[HomeTeam],$A26, Table2[AwayTeam], I$1, Table2[ActualResult], "REG"),0), "-", TEXT(SUMIFS(Table2[HomeWon_], Table2[GameIsOver],1,Table2[AwayTeam],$A26, Table2[HomeTeam], I$1, Table2[ActualResult], "OT") + SUMIFS(Table2[AwayWon], Table2[GameIsOver],1,Table2[HomeTeam],$A26, Table2[AwayTeam], I$1, Table2[ActualResult], "OT") + SUMIFS(Table2[HomeWon_], Table2[GameIsOver],1,Table2[AwayTeam],$A26, Table2[HomeTeam], I$1, Table2[ActualResult], "SO") + SUMIFS(Table2[AwayWon], Table2[GameIsOver],1,Table2[HomeTeam],$A26, Table2[AwayTeam], I$1, Table2[ActualResult], "SO"),0))</f>
        <v>0-1-0</v>
      </c>
      <c r="J26" t="str">
        <f>_xlfn.CONCAT(TEXT(SUMIFS(Table2[AwayWon], Table2[GameIsOver],1,Table2[AwayTeam],$A26, Table2[HomeTeam], J$1) + SUMIFS(Table2[HomeWon_], Table2[GameIsOver],1,Table2[HomeTeam],$A26, Table2[AwayTeam], J$1),0), "-", TEXT(SUMIFS(Table2[HomeWon_], Table2[GameIsOver],1,Table2[AwayTeam],$A26, Table2[HomeTeam], J$1, Table2[ActualResult], "REG") + SUMIFS(Table2[AwayWon], Table2[GameIsOver],1,Table2[HomeTeam],$A26, Table2[AwayTeam], J$1, Table2[ActualResult], "REG"),0), "-", TEXT(SUMIFS(Table2[HomeWon_], Table2[GameIsOver],1,Table2[AwayTeam],$A26, Table2[HomeTeam], J$1, Table2[ActualResult], "OT") + SUMIFS(Table2[AwayWon], Table2[GameIsOver],1,Table2[HomeTeam],$A26, Table2[AwayTeam], J$1, Table2[ActualResult], "OT") + SUMIFS(Table2[HomeWon_], Table2[GameIsOver],1,Table2[AwayTeam],$A26, Table2[HomeTeam], J$1, Table2[ActualResult], "SO") + SUMIFS(Table2[AwayWon], Table2[GameIsOver],1,Table2[HomeTeam],$A26, Table2[AwayTeam], J$1, Table2[ActualResult], "SO"),0))</f>
        <v>1-0-0</v>
      </c>
      <c r="K26" t="str">
        <f>_xlfn.CONCAT(TEXT(SUMIFS(Table2[AwayWon], Table2[GameIsOver],1,Table2[AwayTeam],$A26, Table2[HomeTeam], K$1) + SUMIFS(Table2[HomeWon_], Table2[GameIsOver],1,Table2[HomeTeam],$A26, Table2[AwayTeam], K$1),0), "-", TEXT(SUMIFS(Table2[HomeWon_], Table2[GameIsOver],1,Table2[AwayTeam],$A26, Table2[HomeTeam], K$1, Table2[ActualResult], "REG") + SUMIFS(Table2[AwayWon], Table2[GameIsOver],1,Table2[HomeTeam],$A26, Table2[AwayTeam], K$1, Table2[ActualResult], "REG"),0), "-", TEXT(SUMIFS(Table2[HomeWon_], Table2[GameIsOver],1,Table2[AwayTeam],$A26, Table2[HomeTeam], K$1, Table2[ActualResult], "OT") + SUMIFS(Table2[AwayWon], Table2[GameIsOver],1,Table2[HomeTeam],$A26, Table2[AwayTeam], K$1, Table2[ActualResult], "OT") + SUMIFS(Table2[HomeWon_], Table2[GameIsOver],1,Table2[AwayTeam],$A26, Table2[HomeTeam], K$1, Table2[ActualResult], "SO") + SUMIFS(Table2[AwayWon], Table2[GameIsOver],1,Table2[HomeTeam],$A26, Table2[AwayTeam], K$1, Table2[ActualResult], "SO"),0))</f>
        <v>0-1-0</v>
      </c>
      <c r="L26" t="str">
        <f>_xlfn.CONCAT(TEXT(SUMIFS(Table2[AwayWon], Table2[GameIsOver],1,Table2[AwayTeam],$A26, Table2[HomeTeam], L$1) + SUMIFS(Table2[HomeWon_], Table2[GameIsOver],1,Table2[HomeTeam],$A26, Table2[AwayTeam], L$1),0), "-", TEXT(SUMIFS(Table2[HomeWon_], Table2[GameIsOver],1,Table2[AwayTeam],$A26, Table2[HomeTeam], L$1, Table2[ActualResult], "REG") + SUMIFS(Table2[AwayWon], Table2[GameIsOver],1,Table2[HomeTeam],$A26, Table2[AwayTeam], L$1, Table2[ActualResult], "REG"),0), "-", TEXT(SUMIFS(Table2[HomeWon_], Table2[GameIsOver],1,Table2[AwayTeam],$A26, Table2[HomeTeam], L$1, Table2[ActualResult], "OT") + SUMIFS(Table2[AwayWon], Table2[GameIsOver],1,Table2[HomeTeam],$A26, Table2[AwayTeam], L$1, Table2[ActualResult], "OT") + SUMIFS(Table2[HomeWon_], Table2[GameIsOver],1,Table2[AwayTeam],$A26, Table2[HomeTeam], L$1, Table2[ActualResult], "SO") + SUMIFS(Table2[AwayWon], Table2[GameIsOver],1,Table2[HomeTeam],$A26, Table2[AwayTeam], L$1, Table2[ActualResult], "SO"),0))</f>
        <v>0-0-0</v>
      </c>
      <c r="M26" t="str">
        <f>_xlfn.CONCAT(TEXT(SUMIFS(Table2[AwayWon], Table2[GameIsOver],1,Table2[AwayTeam],$A26, Table2[HomeTeam], M$1) + SUMIFS(Table2[HomeWon_], Table2[GameIsOver],1,Table2[HomeTeam],$A26, Table2[AwayTeam], M$1),0), "-", TEXT(SUMIFS(Table2[HomeWon_], Table2[GameIsOver],1,Table2[AwayTeam],$A26, Table2[HomeTeam], M$1, Table2[ActualResult], "REG") + SUMIFS(Table2[AwayWon], Table2[GameIsOver],1,Table2[HomeTeam],$A26, Table2[AwayTeam], M$1, Table2[ActualResult], "REG"),0), "-", TEXT(SUMIFS(Table2[HomeWon_], Table2[GameIsOver],1,Table2[AwayTeam],$A26, Table2[HomeTeam], M$1, Table2[ActualResult], "OT") + SUMIFS(Table2[AwayWon], Table2[GameIsOver],1,Table2[HomeTeam],$A26, Table2[AwayTeam], M$1, Table2[ActualResult], "OT") + SUMIFS(Table2[HomeWon_], Table2[GameIsOver],1,Table2[AwayTeam],$A26, Table2[HomeTeam], M$1, Table2[ActualResult], "SO") + SUMIFS(Table2[AwayWon], Table2[GameIsOver],1,Table2[HomeTeam],$A26, Table2[AwayTeam], M$1, Table2[ActualResult], "SO"),0))</f>
        <v>0-0-0</v>
      </c>
      <c r="N26" t="str">
        <f>_xlfn.CONCAT(TEXT(SUMIFS(Table2[AwayWon], Table2[GameIsOver],1,Table2[AwayTeam],$A26, Table2[HomeTeam], N$1) + SUMIFS(Table2[HomeWon_], Table2[GameIsOver],1,Table2[HomeTeam],$A26, Table2[AwayTeam], N$1),0), "-", TEXT(SUMIFS(Table2[HomeWon_], Table2[GameIsOver],1,Table2[AwayTeam],$A26, Table2[HomeTeam], N$1, Table2[ActualResult], "REG") + SUMIFS(Table2[AwayWon], Table2[GameIsOver],1,Table2[HomeTeam],$A26, Table2[AwayTeam], N$1, Table2[ActualResult], "REG"),0), "-", TEXT(SUMIFS(Table2[HomeWon_], Table2[GameIsOver],1,Table2[AwayTeam],$A26, Table2[HomeTeam], N$1, Table2[ActualResult], "OT") + SUMIFS(Table2[AwayWon], Table2[GameIsOver],1,Table2[HomeTeam],$A26, Table2[AwayTeam], N$1, Table2[ActualResult], "OT") + SUMIFS(Table2[HomeWon_], Table2[GameIsOver],1,Table2[AwayTeam],$A26, Table2[HomeTeam], N$1, Table2[ActualResult], "SO") + SUMIFS(Table2[AwayWon], Table2[GameIsOver],1,Table2[HomeTeam],$A26, Table2[AwayTeam], N$1, Table2[ActualResult], "SO"),0))</f>
        <v>0-0-0</v>
      </c>
      <c r="O26" t="str">
        <f>_xlfn.CONCAT(TEXT(SUMIFS(Table2[AwayWon], Table2[GameIsOver],1,Table2[AwayTeam],$A26, Table2[HomeTeam], O$1) + SUMIFS(Table2[HomeWon_], Table2[GameIsOver],1,Table2[HomeTeam],$A26, Table2[AwayTeam], O$1),0), "-", TEXT(SUMIFS(Table2[HomeWon_], Table2[GameIsOver],1,Table2[AwayTeam],$A26, Table2[HomeTeam], O$1, Table2[ActualResult], "REG") + SUMIFS(Table2[AwayWon], Table2[GameIsOver],1,Table2[HomeTeam],$A26, Table2[AwayTeam], O$1, Table2[ActualResult], "REG"),0), "-", TEXT(SUMIFS(Table2[HomeWon_], Table2[GameIsOver],1,Table2[AwayTeam],$A26, Table2[HomeTeam], O$1, Table2[ActualResult], "OT") + SUMIFS(Table2[AwayWon], Table2[GameIsOver],1,Table2[HomeTeam],$A26, Table2[AwayTeam], O$1, Table2[ActualResult], "OT") + SUMIFS(Table2[HomeWon_], Table2[GameIsOver],1,Table2[AwayTeam],$A26, Table2[HomeTeam], O$1, Table2[ActualResult], "SO") + SUMIFS(Table2[AwayWon], Table2[GameIsOver],1,Table2[HomeTeam],$A26, Table2[AwayTeam], O$1, Table2[ActualResult], "SO"),0))</f>
        <v>0-0-0</v>
      </c>
      <c r="P26" t="str">
        <f>_xlfn.CONCAT(TEXT(SUMIFS(Table2[AwayWon], Table2[GameIsOver],1,Table2[AwayTeam],$A26, Table2[HomeTeam], P$1) + SUMIFS(Table2[HomeWon_], Table2[GameIsOver],1,Table2[HomeTeam],$A26, Table2[AwayTeam], P$1),0), "-", TEXT(SUMIFS(Table2[HomeWon_], Table2[GameIsOver],1,Table2[AwayTeam],$A26, Table2[HomeTeam], P$1, Table2[ActualResult], "REG") + SUMIFS(Table2[AwayWon], Table2[GameIsOver],1,Table2[HomeTeam],$A26, Table2[AwayTeam], P$1, Table2[ActualResult], "REG"),0), "-", TEXT(SUMIFS(Table2[HomeWon_], Table2[GameIsOver],1,Table2[AwayTeam],$A26, Table2[HomeTeam], P$1, Table2[ActualResult], "OT") + SUMIFS(Table2[AwayWon], Table2[GameIsOver],1,Table2[HomeTeam],$A26, Table2[AwayTeam], P$1, Table2[ActualResult], "OT") + SUMIFS(Table2[HomeWon_], Table2[GameIsOver],1,Table2[AwayTeam],$A26, Table2[HomeTeam], P$1, Table2[ActualResult], "SO") + SUMIFS(Table2[AwayWon], Table2[GameIsOver],1,Table2[HomeTeam],$A26, Table2[AwayTeam], P$1, Table2[ActualResult], "SO"),0))</f>
        <v>0-1-0</v>
      </c>
      <c r="Q26" s="57" t="str">
        <f>_xlfn.CONCAT(TEXT(SUMIFS(Table2[AwayWon], Table2[GameIsOver],1,Table2[AwayTeam],$A26, Table2[HomeTeam], Q$1) + SUMIFS(Table2[HomeWon_], Table2[GameIsOver],1,Table2[HomeTeam],$A26, Table2[AwayTeam], Q$1),0), "-", TEXT(SUMIFS(Table2[HomeWon_], Table2[GameIsOver],1,Table2[AwayTeam],$A26, Table2[HomeTeam], Q$1, Table2[ActualResult], "REG") + SUMIFS(Table2[AwayWon], Table2[GameIsOver],1,Table2[HomeTeam],$A26, Table2[AwayTeam], Q$1, Table2[ActualResult], "REG"),0), "-", TEXT(SUMIFS(Table2[HomeWon_], Table2[GameIsOver],1,Table2[AwayTeam],$A26, Table2[HomeTeam], Q$1, Table2[ActualResult], "OT") + SUMIFS(Table2[AwayWon], Table2[GameIsOver],1,Table2[HomeTeam],$A26, Table2[AwayTeam], Q$1, Table2[ActualResult], "OT") + SUMIFS(Table2[HomeWon_], Table2[GameIsOver],1,Table2[AwayTeam],$A26, Table2[HomeTeam], Q$1, Table2[ActualResult], "SO") + SUMIFS(Table2[AwayWon], Table2[GameIsOver],1,Table2[HomeTeam],$A26, Table2[AwayTeam], Q$1, Table2[ActualResult], "SO"),0))</f>
        <v>0-0-0</v>
      </c>
      <c r="R26" t="str">
        <f>_xlfn.CONCAT(TEXT(SUMIFS(Table2[AwayWon], Table2[GameIsOver],1,Table2[AwayTeam],$A26, Table2[HomeTeam], R$1) + SUMIFS(Table2[HomeWon_], Table2[GameIsOver],1,Table2[HomeTeam],$A26, Table2[AwayTeam], R$1),0), "-", TEXT(SUMIFS(Table2[HomeWon_], Table2[GameIsOver],1,Table2[AwayTeam],$A26, Table2[HomeTeam], R$1, Table2[ActualResult], "REG") + SUMIFS(Table2[AwayWon], Table2[GameIsOver],1,Table2[HomeTeam],$A26, Table2[AwayTeam], R$1, Table2[ActualResult], "REG"),0), "-", TEXT(SUMIFS(Table2[HomeWon_], Table2[GameIsOver],1,Table2[AwayTeam],$A26, Table2[HomeTeam], R$1, Table2[ActualResult], "OT") + SUMIFS(Table2[AwayWon], Table2[GameIsOver],1,Table2[HomeTeam],$A26, Table2[AwayTeam], R$1, Table2[ActualResult], "OT") + SUMIFS(Table2[HomeWon_], Table2[GameIsOver],1,Table2[AwayTeam],$A26, Table2[HomeTeam], R$1, Table2[ActualResult], "SO") + SUMIFS(Table2[AwayWon], Table2[GameIsOver],1,Table2[HomeTeam],$A26, Table2[AwayTeam], R$1, Table2[ActualResult], "SO"),0))</f>
        <v>0-0-0</v>
      </c>
      <c r="S26" t="str">
        <f>_xlfn.CONCAT(TEXT(SUMIFS(Table2[AwayWon], Table2[GameIsOver],1,Table2[AwayTeam],$A26, Table2[HomeTeam], S$1) + SUMIFS(Table2[HomeWon_], Table2[GameIsOver],1,Table2[HomeTeam],$A26, Table2[AwayTeam], S$1),0), "-", TEXT(SUMIFS(Table2[HomeWon_], Table2[GameIsOver],1,Table2[AwayTeam],$A26, Table2[HomeTeam], S$1, Table2[ActualResult], "REG") + SUMIFS(Table2[AwayWon], Table2[GameIsOver],1,Table2[HomeTeam],$A26, Table2[AwayTeam], S$1, Table2[ActualResult], "REG"),0), "-", TEXT(SUMIFS(Table2[HomeWon_], Table2[GameIsOver],1,Table2[AwayTeam],$A26, Table2[HomeTeam], S$1, Table2[ActualResult], "OT") + SUMIFS(Table2[AwayWon], Table2[GameIsOver],1,Table2[HomeTeam],$A26, Table2[AwayTeam], S$1, Table2[ActualResult], "OT") + SUMIFS(Table2[HomeWon_], Table2[GameIsOver],1,Table2[AwayTeam],$A26, Table2[HomeTeam], S$1, Table2[ActualResult], "SO") + SUMIFS(Table2[AwayWon], Table2[GameIsOver],1,Table2[HomeTeam],$A26, Table2[AwayTeam], S$1, Table2[ActualResult], "SO"),0))</f>
        <v>0-0-0</v>
      </c>
      <c r="T26" t="str">
        <f>_xlfn.CONCAT(TEXT(SUMIFS(Table2[AwayWon], Table2[GameIsOver],1,Table2[AwayTeam],$A26, Table2[HomeTeam], T$1) + SUMIFS(Table2[HomeWon_], Table2[GameIsOver],1,Table2[HomeTeam],$A26, Table2[AwayTeam], T$1),0), "-", TEXT(SUMIFS(Table2[HomeWon_], Table2[GameIsOver],1,Table2[AwayTeam],$A26, Table2[HomeTeam], T$1, Table2[ActualResult], "REG") + SUMIFS(Table2[AwayWon], Table2[GameIsOver],1,Table2[HomeTeam],$A26, Table2[AwayTeam], T$1, Table2[ActualResult], "REG"),0), "-", TEXT(SUMIFS(Table2[HomeWon_], Table2[GameIsOver],1,Table2[AwayTeam],$A26, Table2[HomeTeam], T$1, Table2[ActualResult], "OT") + SUMIFS(Table2[AwayWon], Table2[GameIsOver],1,Table2[HomeTeam],$A26, Table2[AwayTeam], T$1, Table2[ActualResult], "OT") + SUMIFS(Table2[HomeWon_], Table2[GameIsOver],1,Table2[AwayTeam],$A26, Table2[HomeTeam], T$1, Table2[ActualResult], "SO") + SUMIFS(Table2[AwayWon], Table2[GameIsOver],1,Table2[HomeTeam],$A26, Table2[AwayTeam], T$1, Table2[ActualResult], "SO"),0))</f>
        <v>0-0-0</v>
      </c>
      <c r="U26" t="str">
        <f>_xlfn.CONCAT(TEXT(SUMIFS(Table2[AwayWon], Table2[GameIsOver],1,Table2[AwayTeam],$A26, Table2[HomeTeam], U$1) + SUMIFS(Table2[HomeWon_], Table2[GameIsOver],1,Table2[HomeTeam],$A26, Table2[AwayTeam], U$1),0), "-", TEXT(SUMIFS(Table2[HomeWon_], Table2[GameIsOver],1,Table2[AwayTeam],$A26, Table2[HomeTeam], U$1, Table2[ActualResult], "REG") + SUMIFS(Table2[AwayWon], Table2[GameIsOver],1,Table2[HomeTeam],$A26, Table2[AwayTeam], U$1, Table2[ActualResult], "REG"),0), "-", TEXT(SUMIFS(Table2[HomeWon_], Table2[GameIsOver],1,Table2[AwayTeam],$A26, Table2[HomeTeam], U$1, Table2[ActualResult], "OT") + SUMIFS(Table2[AwayWon], Table2[GameIsOver],1,Table2[HomeTeam],$A26, Table2[AwayTeam], U$1, Table2[ActualResult], "OT") + SUMIFS(Table2[HomeWon_], Table2[GameIsOver],1,Table2[AwayTeam],$A26, Table2[HomeTeam], U$1, Table2[ActualResult], "SO") + SUMIFS(Table2[AwayWon], Table2[GameIsOver],1,Table2[HomeTeam],$A26, Table2[AwayTeam], U$1, Table2[ActualResult], "SO"),0))</f>
        <v>0-0-0</v>
      </c>
      <c r="V26" t="str">
        <f>_xlfn.CONCAT(TEXT(SUMIFS(Table2[AwayWon], Table2[GameIsOver],1,Table2[AwayTeam],$A26, Table2[HomeTeam], V$1) + SUMIFS(Table2[HomeWon_], Table2[GameIsOver],1,Table2[HomeTeam],$A26, Table2[AwayTeam], V$1),0), "-", TEXT(SUMIFS(Table2[HomeWon_], Table2[GameIsOver],1,Table2[AwayTeam],$A26, Table2[HomeTeam], V$1, Table2[ActualResult], "REG") + SUMIFS(Table2[AwayWon], Table2[GameIsOver],1,Table2[HomeTeam],$A26, Table2[AwayTeam], V$1, Table2[ActualResult], "REG"),0), "-", TEXT(SUMIFS(Table2[HomeWon_], Table2[GameIsOver],1,Table2[AwayTeam],$A26, Table2[HomeTeam], V$1, Table2[ActualResult], "OT") + SUMIFS(Table2[AwayWon], Table2[GameIsOver],1,Table2[HomeTeam],$A26, Table2[AwayTeam], V$1, Table2[ActualResult], "OT") + SUMIFS(Table2[HomeWon_], Table2[GameIsOver],1,Table2[AwayTeam],$A26, Table2[HomeTeam], V$1, Table2[ActualResult], "SO") + SUMIFS(Table2[AwayWon], Table2[GameIsOver],1,Table2[HomeTeam],$A26, Table2[AwayTeam], V$1, Table2[ActualResult], "SO"),0))</f>
        <v>0-0-0</v>
      </c>
      <c r="W26" t="str">
        <f>_xlfn.CONCAT(TEXT(SUMIFS(Table2[AwayWon], Table2[GameIsOver],1,Table2[AwayTeam],$A26, Table2[HomeTeam], W$1) + SUMIFS(Table2[HomeWon_], Table2[GameIsOver],1,Table2[HomeTeam],$A26, Table2[AwayTeam], W$1),0), "-", TEXT(SUMIFS(Table2[HomeWon_], Table2[GameIsOver],1,Table2[AwayTeam],$A26, Table2[HomeTeam], W$1, Table2[ActualResult], "REG") + SUMIFS(Table2[AwayWon], Table2[GameIsOver],1,Table2[HomeTeam],$A26, Table2[AwayTeam], W$1, Table2[ActualResult], "REG"),0), "-", TEXT(SUMIFS(Table2[HomeWon_], Table2[GameIsOver],1,Table2[AwayTeam],$A26, Table2[HomeTeam], W$1, Table2[ActualResult], "OT") + SUMIFS(Table2[AwayWon], Table2[GameIsOver],1,Table2[HomeTeam],$A26, Table2[AwayTeam], W$1, Table2[ActualResult], "OT") + SUMIFS(Table2[HomeWon_], Table2[GameIsOver],1,Table2[AwayTeam],$A26, Table2[HomeTeam], W$1, Table2[ActualResult], "SO") + SUMIFS(Table2[AwayWon], Table2[GameIsOver],1,Table2[HomeTeam],$A26, Table2[AwayTeam], W$1, Table2[ActualResult], "SO"),0))</f>
        <v>0-0-0</v>
      </c>
      <c r="X26" t="str">
        <f>_xlfn.CONCAT(TEXT(SUMIFS(Table2[AwayWon], Table2[GameIsOver],1,Table2[AwayTeam],$A26, Table2[HomeTeam], X$1) + SUMIFS(Table2[HomeWon_], Table2[GameIsOver],1,Table2[HomeTeam],$A26, Table2[AwayTeam], X$1),0), "-", TEXT(SUMIFS(Table2[HomeWon_], Table2[GameIsOver],1,Table2[AwayTeam],$A26, Table2[HomeTeam], X$1, Table2[ActualResult], "REG") + SUMIFS(Table2[AwayWon], Table2[GameIsOver],1,Table2[HomeTeam],$A26, Table2[AwayTeam], X$1, Table2[ActualResult], "REG"),0), "-", TEXT(SUMIFS(Table2[HomeWon_], Table2[GameIsOver],1,Table2[AwayTeam],$A26, Table2[HomeTeam], X$1, Table2[ActualResult], "OT") + SUMIFS(Table2[AwayWon], Table2[GameIsOver],1,Table2[HomeTeam],$A26, Table2[AwayTeam], X$1, Table2[ActualResult], "OT") + SUMIFS(Table2[HomeWon_], Table2[GameIsOver],1,Table2[AwayTeam],$A26, Table2[HomeTeam], X$1, Table2[ActualResult], "SO") + SUMIFS(Table2[AwayWon], Table2[GameIsOver],1,Table2[HomeTeam],$A26, Table2[AwayTeam], X$1, Table2[ActualResult], "SO"),0))</f>
        <v>0-0-0</v>
      </c>
      <c r="Y26" s="57" t="str">
        <f>_xlfn.CONCAT(TEXT(SUMIFS(Table2[AwayWon], Table2[GameIsOver],1,Table2[AwayTeam],$A26, Table2[HomeTeam], Y$1) + SUMIFS(Table2[HomeWon_], Table2[GameIsOver],1,Table2[HomeTeam],$A26, Table2[AwayTeam], Y$1),0), "-", TEXT(SUMIFS(Table2[HomeWon_], Table2[GameIsOver],1,Table2[AwayTeam],$A26, Table2[HomeTeam], Y$1, Table2[ActualResult], "REG") + SUMIFS(Table2[AwayWon], Table2[GameIsOver],1,Table2[HomeTeam],$A26, Table2[AwayTeam], Y$1, Table2[ActualResult], "REG"),0), "-", TEXT(SUMIFS(Table2[HomeWon_], Table2[GameIsOver],1,Table2[AwayTeam],$A26, Table2[HomeTeam], Y$1, Table2[ActualResult], "OT") + SUMIFS(Table2[AwayWon], Table2[GameIsOver],1,Table2[HomeTeam],$A26, Table2[AwayTeam], Y$1, Table2[ActualResult], "OT") + SUMIFS(Table2[HomeWon_], Table2[GameIsOver],1,Table2[AwayTeam],$A26, Table2[HomeTeam], Y$1, Table2[ActualResult], "SO") + SUMIFS(Table2[AwayWon], Table2[GameIsOver],1,Table2[HomeTeam],$A26, Table2[AwayTeam], Y$1, Table2[ActualResult], "SO"),0))</f>
        <v>1-0-0</v>
      </c>
      <c r="Z26" s="89"/>
      <c r="AA26" t="str">
        <f>_xlfn.CONCAT(TEXT(SUMIFS(Table2[AwayWon], Table2[GameIsOver],1,Table2[AwayTeam],$A26, Table2[HomeTeam], AA$1) + SUMIFS(Table2[HomeWon_], Table2[GameIsOver],1,Table2[HomeTeam],$A26, Table2[AwayTeam], AA$1),0), "-", TEXT(SUMIFS(Table2[HomeWon_], Table2[GameIsOver],1,Table2[AwayTeam],$A26, Table2[HomeTeam], AA$1, Table2[ActualResult], "REG") + SUMIFS(Table2[AwayWon], Table2[GameIsOver],1,Table2[HomeTeam],$A26, Table2[AwayTeam], AA$1, Table2[ActualResult], "REG"),0), "-", TEXT(SUMIFS(Table2[HomeWon_], Table2[GameIsOver],1,Table2[AwayTeam],$A26, Table2[HomeTeam], AA$1, Table2[ActualResult], "OT") + SUMIFS(Table2[AwayWon], Table2[GameIsOver],1,Table2[HomeTeam],$A26, Table2[AwayTeam], AA$1, Table2[ActualResult], "OT") + SUMIFS(Table2[HomeWon_], Table2[GameIsOver],1,Table2[AwayTeam],$A26, Table2[HomeTeam], AA$1, Table2[ActualResult], "SO") + SUMIFS(Table2[AwayWon], Table2[GameIsOver],1,Table2[HomeTeam],$A26, Table2[AwayTeam], AA$1, Table2[ActualResult], "SO"),0))</f>
        <v>1-0-0</v>
      </c>
      <c r="AB26" t="str">
        <f>_xlfn.CONCAT(TEXT(SUMIFS(Table2[AwayWon], Table2[GameIsOver],1,Table2[AwayTeam],$A26, Table2[HomeTeam], AB$1) + SUMIFS(Table2[HomeWon_], Table2[GameIsOver],1,Table2[HomeTeam],$A26, Table2[AwayTeam], AB$1),0), "-", TEXT(SUMIFS(Table2[HomeWon_], Table2[GameIsOver],1,Table2[AwayTeam],$A26, Table2[HomeTeam], AB$1, Table2[ActualResult], "REG") + SUMIFS(Table2[AwayWon], Table2[GameIsOver],1,Table2[HomeTeam],$A26, Table2[AwayTeam], AB$1, Table2[ActualResult], "REG"),0), "-", TEXT(SUMIFS(Table2[HomeWon_], Table2[GameIsOver],1,Table2[AwayTeam],$A26, Table2[HomeTeam], AB$1, Table2[ActualResult], "OT") + SUMIFS(Table2[AwayWon], Table2[GameIsOver],1,Table2[HomeTeam],$A26, Table2[AwayTeam], AB$1, Table2[ActualResult], "OT") + SUMIFS(Table2[HomeWon_], Table2[GameIsOver],1,Table2[AwayTeam],$A26, Table2[HomeTeam], AB$1, Table2[ActualResult], "SO") + SUMIFS(Table2[AwayWon], Table2[GameIsOver],1,Table2[HomeTeam],$A26, Table2[AwayTeam], AB$1, Table2[ActualResult], "SO"),0))</f>
        <v>0-0-0</v>
      </c>
      <c r="AC26" t="str">
        <f>_xlfn.CONCAT(TEXT(SUMIFS(Table2[AwayWon], Table2[GameIsOver],1,Table2[AwayTeam],$A26, Table2[HomeTeam], AC$1) + SUMIFS(Table2[HomeWon_], Table2[GameIsOver],1,Table2[HomeTeam],$A26, Table2[AwayTeam], AC$1),0), "-", TEXT(SUMIFS(Table2[HomeWon_], Table2[GameIsOver],1,Table2[AwayTeam],$A26, Table2[HomeTeam], AC$1, Table2[ActualResult], "REG") + SUMIFS(Table2[AwayWon], Table2[GameIsOver],1,Table2[HomeTeam],$A26, Table2[AwayTeam], AC$1, Table2[ActualResult], "REG"),0), "-", TEXT(SUMIFS(Table2[HomeWon_], Table2[GameIsOver],1,Table2[AwayTeam],$A26, Table2[HomeTeam], AC$1, Table2[ActualResult], "OT") + SUMIFS(Table2[AwayWon], Table2[GameIsOver],1,Table2[HomeTeam],$A26, Table2[AwayTeam], AC$1, Table2[ActualResult], "OT") + SUMIFS(Table2[HomeWon_], Table2[GameIsOver],1,Table2[AwayTeam],$A26, Table2[HomeTeam], AC$1, Table2[ActualResult], "SO") + SUMIFS(Table2[AwayWon], Table2[GameIsOver],1,Table2[HomeTeam],$A26, Table2[AwayTeam], AC$1, Table2[ActualResult], "SO"),0))</f>
        <v>0-1-0</v>
      </c>
      <c r="AD26" t="str">
        <f>_xlfn.CONCAT(TEXT(SUMIFS(Table2[AwayWon], Table2[GameIsOver],1,Table2[AwayTeam],$A26, Table2[HomeTeam], AD$1) + SUMIFS(Table2[HomeWon_], Table2[GameIsOver],1,Table2[HomeTeam],$A26, Table2[AwayTeam], AD$1),0), "-", TEXT(SUMIFS(Table2[HomeWon_], Table2[GameIsOver],1,Table2[AwayTeam],$A26, Table2[HomeTeam], AD$1, Table2[ActualResult], "REG") + SUMIFS(Table2[AwayWon], Table2[GameIsOver],1,Table2[HomeTeam],$A26, Table2[AwayTeam], AD$1, Table2[ActualResult], "REG"),0), "-", TEXT(SUMIFS(Table2[HomeWon_], Table2[GameIsOver],1,Table2[AwayTeam],$A26, Table2[HomeTeam], AD$1, Table2[ActualResult], "OT") + SUMIFS(Table2[AwayWon], Table2[GameIsOver],1,Table2[HomeTeam],$A26, Table2[AwayTeam], AD$1, Table2[ActualResult], "OT") + SUMIFS(Table2[HomeWon_], Table2[GameIsOver],1,Table2[AwayTeam],$A26, Table2[HomeTeam], AD$1, Table2[ActualResult], "SO") + SUMIFS(Table2[AwayWon], Table2[GameIsOver],1,Table2[HomeTeam],$A26, Table2[AwayTeam], AD$1, Table2[ActualResult], "SO"),0))</f>
        <v>0-0-0</v>
      </c>
      <c r="AE26" t="str">
        <f>_xlfn.CONCAT(TEXT(SUMIFS(Table2[AwayWon], Table2[GameIsOver],1,Table2[AwayTeam],$A26, Table2[HomeTeam], AE$1) + SUMIFS(Table2[HomeWon_], Table2[GameIsOver],1,Table2[HomeTeam],$A26, Table2[AwayTeam], AE$1),0), "-", TEXT(SUMIFS(Table2[HomeWon_], Table2[GameIsOver],1,Table2[AwayTeam],$A26, Table2[HomeTeam], AE$1, Table2[ActualResult], "REG") + SUMIFS(Table2[AwayWon], Table2[GameIsOver],1,Table2[HomeTeam],$A26, Table2[AwayTeam], AE$1, Table2[ActualResult], "REG"),0), "-", TEXT(SUMIFS(Table2[HomeWon_], Table2[GameIsOver],1,Table2[AwayTeam],$A26, Table2[HomeTeam], AE$1, Table2[ActualResult], "OT") + SUMIFS(Table2[AwayWon], Table2[GameIsOver],1,Table2[HomeTeam],$A26, Table2[AwayTeam], AE$1, Table2[ActualResult], "OT") + SUMIFS(Table2[HomeWon_], Table2[GameIsOver],1,Table2[AwayTeam],$A26, Table2[HomeTeam], AE$1, Table2[ActualResult], "SO") + SUMIFS(Table2[AwayWon], Table2[GameIsOver],1,Table2[HomeTeam],$A26, Table2[AwayTeam], AE$1, Table2[ActualResult], "SO"),0))</f>
        <v>0-0-0</v>
      </c>
      <c r="AF26" t="str">
        <f>_xlfn.CONCAT(TEXT(SUMIFS(Table2[AwayWon], Table2[GameIsOver],1,Table2[AwayTeam],$A26, Table2[HomeTeam], AF$1) + SUMIFS(Table2[HomeWon_], Table2[GameIsOver],1,Table2[HomeTeam],$A26, Table2[AwayTeam], AF$1),0), "-", TEXT(SUMIFS(Table2[HomeWon_], Table2[GameIsOver],1,Table2[AwayTeam],$A26, Table2[HomeTeam], AF$1, Table2[ActualResult], "REG") + SUMIFS(Table2[AwayWon], Table2[GameIsOver],1,Table2[HomeTeam],$A26, Table2[AwayTeam], AF$1, Table2[ActualResult], "REG"),0), "-", TEXT(SUMIFS(Table2[HomeWon_], Table2[GameIsOver],1,Table2[AwayTeam],$A26, Table2[HomeTeam], AF$1, Table2[ActualResult], "OT") + SUMIFS(Table2[AwayWon], Table2[GameIsOver],1,Table2[HomeTeam],$A26, Table2[AwayTeam], AF$1, Table2[ActualResult], "OT") + SUMIFS(Table2[HomeWon_], Table2[GameIsOver],1,Table2[AwayTeam],$A26, Table2[HomeTeam], AF$1, Table2[ActualResult], "SO") + SUMIFS(Table2[AwayWon], Table2[GameIsOver],1,Table2[HomeTeam],$A26, Table2[AwayTeam], AF$1, Table2[ActualResult], "SO"),0))</f>
        <v>0-1-0</v>
      </c>
      <c r="AG26" t="str">
        <f>_xlfn.CONCAT(TEXT(SUMIFS(Table2[AwayWon], Table2[GameIsOver],1,Table2[AwayTeam],$A26, Table2[HomeTeam], AG$1) + SUMIFS(Table2[HomeWon_], Table2[GameIsOver],1,Table2[HomeTeam],$A26, Table2[AwayTeam], AG$1),0), "-", TEXT(SUMIFS(Table2[HomeWon_], Table2[GameIsOver],1,Table2[AwayTeam],$A26, Table2[HomeTeam], AG$1, Table2[ActualResult], "REG") + SUMIFS(Table2[AwayWon], Table2[GameIsOver],1,Table2[HomeTeam],$A26, Table2[AwayTeam], AG$1, Table2[ActualResult], "REG"),0), "-", TEXT(SUMIFS(Table2[HomeWon_], Table2[GameIsOver],1,Table2[AwayTeam],$A26, Table2[HomeTeam], AG$1, Table2[ActualResult], "OT") + SUMIFS(Table2[AwayWon], Table2[GameIsOver],1,Table2[HomeTeam],$A26, Table2[AwayTeam], AG$1, Table2[ActualResult], "OT") + SUMIFS(Table2[HomeWon_], Table2[GameIsOver],1,Table2[AwayTeam],$A26, Table2[HomeTeam], AG$1, Table2[ActualResult], "SO") + SUMIFS(Table2[AwayWon], Table2[GameIsOver],1,Table2[HomeTeam],$A26, Table2[AwayTeam], AG$1, Table2[ActualResult], "SO"),0))</f>
        <v>0-0-0</v>
      </c>
    </row>
    <row r="27" spans="1:33" x14ac:dyDescent="0.25">
      <c r="A27" s="57" t="s">
        <v>28</v>
      </c>
      <c r="B27" t="str">
        <f>_xlfn.CONCAT(TEXT(SUMIFS(Table2[AwayWon], Table2[GameIsOver],1,Table2[AwayTeam],$A27, Table2[HomeTeam], B$1) + SUMIFS(Table2[HomeWon_], Table2[GameIsOver],1,Table2[HomeTeam],$A27, Table2[AwayTeam], B$1),0), "-", TEXT(SUMIFS(Table2[HomeWon_], Table2[GameIsOver],1,Table2[AwayTeam],$A27, Table2[HomeTeam], B$1, Table2[ActualResult], "REG") + SUMIFS(Table2[AwayWon], Table2[GameIsOver],1,Table2[HomeTeam],$A27, Table2[AwayTeam], B$1, Table2[ActualResult], "REG"),0), "-", TEXT(SUMIFS(Table2[HomeWon_], Table2[GameIsOver],1,Table2[AwayTeam],$A27, Table2[HomeTeam], B$1, Table2[ActualResult], "OT") + SUMIFS(Table2[AwayWon], Table2[GameIsOver],1,Table2[HomeTeam],$A27, Table2[AwayTeam], B$1, Table2[ActualResult], "OT") + SUMIFS(Table2[HomeWon_], Table2[GameIsOver],1,Table2[AwayTeam],$A27, Table2[HomeTeam], B$1, Table2[ActualResult], "SO") + SUMIFS(Table2[AwayWon], Table2[GameIsOver],1,Table2[HomeTeam],$A27, Table2[AwayTeam], B$1, Table2[ActualResult], "SO"),0))</f>
        <v>0-0-0</v>
      </c>
      <c r="C27" t="str">
        <f>_xlfn.CONCAT(TEXT(SUMIFS(Table2[AwayWon], Table2[GameIsOver],1,Table2[AwayTeam],$A27, Table2[HomeTeam], C$1) + SUMIFS(Table2[HomeWon_], Table2[GameIsOver],1,Table2[HomeTeam],$A27, Table2[AwayTeam], C$1),0), "-", TEXT(SUMIFS(Table2[HomeWon_], Table2[GameIsOver],1,Table2[AwayTeam],$A27, Table2[HomeTeam], C$1, Table2[ActualResult], "REG") + SUMIFS(Table2[AwayWon], Table2[GameIsOver],1,Table2[HomeTeam],$A27, Table2[AwayTeam], C$1, Table2[ActualResult], "REG"),0), "-", TEXT(SUMIFS(Table2[HomeWon_], Table2[GameIsOver],1,Table2[AwayTeam],$A27, Table2[HomeTeam], C$1, Table2[ActualResult], "OT") + SUMIFS(Table2[AwayWon], Table2[GameIsOver],1,Table2[HomeTeam],$A27, Table2[AwayTeam], C$1, Table2[ActualResult], "OT") + SUMIFS(Table2[HomeWon_], Table2[GameIsOver],1,Table2[AwayTeam],$A27, Table2[HomeTeam], C$1, Table2[ActualResult], "SO") + SUMIFS(Table2[AwayWon], Table2[GameIsOver],1,Table2[HomeTeam],$A27, Table2[AwayTeam], C$1, Table2[ActualResult], "SO"),0))</f>
        <v>0-0-0</v>
      </c>
      <c r="D27" t="str">
        <f>_xlfn.CONCAT(TEXT(SUMIFS(Table2[AwayWon], Table2[GameIsOver],1,Table2[AwayTeam],$A27, Table2[HomeTeam], D$1) + SUMIFS(Table2[HomeWon_], Table2[GameIsOver],1,Table2[HomeTeam],$A27, Table2[AwayTeam], D$1),0), "-", TEXT(SUMIFS(Table2[HomeWon_], Table2[GameIsOver],1,Table2[AwayTeam],$A27, Table2[HomeTeam], D$1, Table2[ActualResult], "REG") + SUMIFS(Table2[AwayWon], Table2[GameIsOver],1,Table2[HomeTeam],$A27, Table2[AwayTeam], D$1, Table2[ActualResult], "REG"),0), "-", TEXT(SUMIFS(Table2[HomeWon_], Table2[GameIsOver],1,Table2[AwayTeam],$A27, Table2[HomeTeam], D$1, Table2[ActualResult], "OT") + SUMIFS(Table2[AwayWon], Table2[GameIsOver],1,Table2[HomeTeam],$A27, Table2[AwayTeam], D$1, Table2[ActualResult], "OT") + SUMIFS(Table2[HomeWon_], Table2[GameIsOver],1,Table2[AwayTeam],$A27, Table2[HomeTeam], D$1, Table2[ActualResult], "SO") + SUMIFS(Table2[AwayWon], Table2[GameIsOver],1,Table2[HomeTeam],$A27, Table2[AwayTeam], D$1, Table2[ActualResult], "SO"),0))</f>
        <v>0-0-0</v>
      </c>
      <c r="E27" t="str">
        <f>_xlfn.CONCAT(TEXT(SUMIFS(Table2[AwayWon], Table2[GameIsOver],1,Table2[AwayTeam],$A27, Table2[HomeTeam], E$1) + SUMIFS(Table2[HomeWon_], Table2[GameIsOver],1,Table2[HomeTeam],$A27, Table2[AwayTeam], E$1),0), "-", TEXT(SUMIFS(Table2[HomeWon_], Table2[GameIsOver],1,Table2[AwayTeam],$A27, Table2[HomeTeam], E$1, Table2[ActualResult], "REG") + SUMIFS(Table2[AwayWon], Table2[GameIsOver],1,Table2[HomeTeam],$A27, Table2[AwayTeam], E$1, Table2[ActualResult], "REG"),0), "-", TEXT(SUMIFS(Table2[HomeWon_], Table2[GameIsOver],1,Table2[AwayTeam],$A27, Table2[HomeTeam], E$1, Table2[ActualResult], "OT") + SUMIFS(Table2[AwayWon], Table2[GameIsOver],1,Table2[HomeTeam],$A27, Table2[AwayTeam], E$1, Table2[ActualResult], "OT") + SUMIFS(Table2[HomeWon_], Table2[GameIsOver],1,Table2[AwayTeam],$A27, Table2[HomeTeam], E$1, Table2[ActualResult], "SO") + SUMIFS(Table2[AwayWon], Table2[GameIsOver],1,Table2[HomeTeam],$A27, Table2[AwayTeam], E$1, Table2[ActualResult], "SO"),0))</f>
        <v>0-0-0</v>
      </c>
      <c r="F27" t="str">
        <f>_xlfn.CONCAT(TEXT(SUMIFS(Table2[AwayWon], Table2[GameIsOver],1,Table2[AwayTeam],$A27, Table2[HomeTeam], F$1) + SUMIFS(Table2[HomeWon_], Table2[GameIsOver],1,Table2[HomeTeam],$A27, Table2[AwayTeam], F$1),0), "-", TEXT(SUMIFS(Table2[HomeWon_], Table2[GameIsOver],1,Table2[AwayTeam],$A27, Table2[HomeTeam], F$1, Table2[ActualResult], "REG") + SUMIFS(Table2[AwayWon], Table2[GameIsOver],1,Table2[HomeTeam],$A27, Table2[AwayTeam], F$1, Table2[ActualResult], "REG"),0), "-", TEXT(SUMIFS(Table2[HomeWon_], Table2[GameIsOver],1,Table2[AwayTeam],$A27, Table2[HomeTeam], F$1, Table2[ActualResult], "OT") + SUMIFS(Table2[AwayWon], Table2[GameIsOver],1,Table2[HomeTeam],$A27, Table2[AwayTeam], F$1, Table2[ActualResult], "OT") + SUMIFS(Table2[HomeWon_], Table2[GameIsOver],1,Table2[AwayTeam],$A27, Table2[HomeTeam], F$1, Table2[ActualResult], "SO") + SUMIFS(Table2[AwayWon], Table2[GameIsOver],1,Table2[HomeTeam],$A27, Table2[AwayTeam], F$1, Table2[ActualResult], "SO"),0))</f>
        <v>0-0-0</v>
      </c>
      <c r="G27" t="str">
        <f>_xlfn.CONCAT(TEXT(SUMIFS(Table2[AwayWon], Table2[GameIsOver],1,Table2[AwayTeam],$A27, Table2[HomeTeam], G$1) + SUMIFS(Table2[HomeWon_], Table2[GameIsOver],1,Table2[HomeTeam],$A27, Table2[AwayTeam], G$1),0), "-", TEXT(SUMIFS(Table2[HomeWon_], Table2[GameIsOver],1,Table2[AwayTeam],$A27, Table2[HomeTeam], G$1, Table2[ActualResult], "REG") + SUMIFS(Table2[AwayWon], Table2[GameIsOver],1,Table2[HomeTeam],$A27, Table2[AwayTeam], G$1, Table2[ActualResult], "REG"),0), "-", TEXT(SUMIFS(Table2[HomeWon_], Table2[GameIsOver],1,Table2[AwayTeam],$A27, Table2[HomeTeam], G$1, Table2[ActualResult], "OT") + SUMIFS(Table2[AwayWon], Table2[GameIsOver],1,Table2[HomeTeam],$A27, Table2[AwayTeam], G$1, Table2[ActualResult], "OT") + SUMIFS(Table2[HomeWon_], Table2[GameIsOver],1,Table2[AwayTeam],$A27, Table2[HomeTeam], G$1, Table2[ActualResult], "SO") + SUMIFS(Table2[AwayWon], Table2[GameIsOver],1,Table2[HomeTeam],$A27, Table2[AwayTeam], G$1, Table2[ActualResult], "SO"),0))</f>
        <v>0-0-0</v>
      </c>
      <c r="H27" t="str">
        <f>_xlfn.CONCAT(TEXT(SUMIFS(Table2[AwayWon], Table2[GameIsOver],1,Table2[AwayTeam],$A27, Table2[HomeTeam], H$1) + SUMIFS(Table2[HomeWon_], Table2[GameIsOver],1,Table2[HomeTeam],$A27, Table2[AwayTeam], H$1),0), "-", TEXT(SUMIFS(Table2[HomeWon_], Table2[GameIsOver],1,Table2[AwayTeam],$A27, Table2[HomeTeam], H$1, Table2[ActualResult], "REG") + SUMIFS(Table2[AwayWon], Table2[GameIsOver],1,Table2[HomeTeam],$A27, Table2[AwayTeam], H$1, Table2[ActualResult], "REG"),0), "-", TEXT(SUMIFS(Table2[HomeWon_], Table2[GameIsOver],1,Table2[AwayTeam],$A27, Table2[HomeTeam], H$1, Table2[ActualResult], "OT") + SUMIFS(Table2[AwayWon], Table2[GameIsOver],1,Table2[HomeTeam],$A27, Table2[AwayTeam], H$1, Table2[ActualResult], "OT") + SUMIFS(Table2[HomeWon_], Table2[GameIsOver],1,Table2[AwayTeam],$A27, Table2[HomeTeam], H$1, Table2[ActualResult], "SO") + SUMIFS(Table2[AwayWon], Table2[GameIsOver],1,Table2[HomeTeam],$A27, Table2[AwayTeam], H$1, Table2[ActualResult], "SO"),0))</f>
        <v>0-0-0</v>
      </c>
      <c r="I27" s="57" t="str">
        <f>_xlfn.CONCAT(TEXT(SUMIFS(Table2[AwayWon], Table2[GameIsOver],1,Table2[AwayTeam],$A27, Table2[HomeTeam], I$1) + SUMIFS(Table2[HomeWon_], Table2[GameIsOver],1,Table2[HomeTeam],$A27, Table2[AwayTeam], I$1),0), "-", TEXT(SUMIFS(Table2[HomeWon_], Table2[GameIsOver],1,Table2[AwayTeam],$A27, Table2[HomeTeam], I$1, Table2[ActualResult], "REG") + SUMIFS(Table2[AwayWon], Table2[GameIsOver],1,Table2[HomeTeam],$A27, Table2[AwayTeam], I$1, Table2[ActualResult], "REG"),0), "-", TEXT(SUMIFS(Table2[HomeWon_], Table2[GameIsOver],1,Table2[AwayTeam],$A27, Table2[HomeTeam], I$1, Table2[ActualResult], "OT") + SUMIFS(Table2[AwayWon], Table2[GameIsOver],1,Table2[HomeTeam],$A27, Table2[AwayTeam], I$1, Table2[ActualResult], "OT") + SUMIFS(Table2[HomeWon_], Table2[GameIsOver],1,Table2[AwayTeam],$A27, Table2[HomeTeam], I$1, Table2[ActualResult], "SO") + SUMIFS(Table2[AwayWon], Table2[GameIsOver],1,Table2[HomeTeam],$A27, Table2[AwayTeam], I$1, Table2[ActualResult], "SO"),0))</f>
        <v>0-0-0</v>
      </c>
      <c r="J27" t="str">
        <f>_xlfn.CONCAT(TEXT(SUMIFS(Table2[AwayWon], Table2[GameIsOver],1,Table2[AwayTeam],$A27, Table2[HomeTeam], J$1) + SUMIFS(Table2[HomeWon_], Table2[GameIsOver],1,Table2[HomeTeam],$A27, Table2[AwayTeam], J$1),0), "-", TEXT(SUMIFS(Table2[HomeWon_], Table2[GameIsOver],1,Table2[AwayTeam],$A27, Table2[HomeTeam], J$1, Table2[ActualResult], "REG") + SUMIFS(Table2[AwayWon], Table2[GameIsOver],1,Table2[HomeTeam],$A27, Table2[AwayTeam], J$1, Table2[ActualResult], "REG"),0), "-", TEXT(SUMIFS(Table2[HomeWon_], Table2[GameIsOver],1,Table2[AwayTeam],$A27, Table2[HomeTeam], J$1, Table2[ActualResult], "OT") + SUMIFS(Table2[AwayWon], Table2[GameIsOver],1,Table2[HomeTeam],$A27, Table2[AwayTeam], J$1, Table2[ActualResult], "OT") + SUMIFS(Table2[HomeWon_], Table2[GameIsOver],1,Table2[AwayTeam],$A27, Table2[HomeTeam], J$1, Table2[ActualResult], "SO") + SUMIFS(Table2[AwayWon], Table2[GameIsOver],1,Table2[HomeTeam],$A27, Table2[AwayTeam], J$1, Table2[ActualResult], "SO"),0))</f>
        <v>0-0-0</v>
      </c>
      <c r="K27" t="str">
        <f>_xlfn.CONCAT(TEXT(SUMIFS(Table2[AwayWon], Table2[GameIsOver],1,Table2[AwayTeam],$A27, Table2[HomeTeam], K$1) + SUMIFS(Table2[HomeWon_], Table2[GameIsOver],1,Table2[HomeTeam],$A27, Table2[AwayTeam], K$1),0), "-", TEXT(SUMIFS(Table2[HomeWon_], Table2[GameIsOver],1,Table2[AwayTeam],$A27, Table2[HomeTeam], K$1, Table2[ActualResult], "REG") + SUMIFS(Table2[AwayWon], Table2[GameIsOver],1,Table2[HomeTeam],$A27, Table2[AwayTeam], K$1, Table2[ActualResult], "REG"),0), "-", TEXT(SUMIFS(Table2[HomeWon_], Table2[GameIsOver],1,Table2[AwayTeam],$A27, Table2[HomeTeam], K$1, Table2[ActualResult], "OT") + SUMIFS(Table2[AwayWon], Table2[GameIsOver],1,Table2[HomeTeam],$A27, Table2[AwayTeam], K$1, Table2[ActualResult], "OT") + SUMIFS(Table2[HomeWon_], Table2[GameIsOver],1,Table2[AwayTeam],$A27, Table2[HomeTeam], K$1, Table2[ActualResult], "SO") + SUMIFS(Table2[AwayWon], Table2[GameIsOver],1,Table2[HomeTeam],$A27, Table2[AwayTeam], K$1, Table2[ActualResult], "SO"),0))</f>
        <v>0-1-0</v>
      </c>
      <c r="L27" t="str">
        <f>_xlfn.CONCAT(TEXT(SUMIFS(Table2[AwayWon], Table2[GameIsOver],1,Table2[AwayTeam],$A27, Table2[HomeTeam], L$1) + SUMIFS(Table2[HomeWon_], Table2[GameIsOver],1,Table2[HomeTeam],$A27, Table2[AwayTeam], L$1),0), "-", TEXT(SUMIFS(Table2[HomeWon_], Table2[GameIsOver],1,Table2[AwayTeam],$A27, Table2[HomeTeam], L$1, Table2[ActualResult], "REG") + SUMIFS(Table2[AwayWon], Table2[GameIsOver],1,Table2[HomeTeam],$A27, Table2[AwayTeam], L$1, Table2[ActualResult], "REG"),0), "-", TEXT(SUMIFS(Table2[HomeWon_], Table2[GameIsOver],1,Table2[AwayTeam],$A27, Table2[HomeTeam], L$1, Table2[ActualResult], "OT") + SUMIFS(Table2[AwayWon], Table2[GameIsOver],1,Table2[HomeTeam],$A27, Table2[AwayTeam], L$1, Table2[ActualResult], "OT") + SUMIFS(Table2[HomeWon_], Table2[GameIsOver],1,Table2[AwayTeam],$A27, Table2[HomeTeam], L$1, Table2[ActualResult], "SO") + SUMIFS(Table2[AwayWon], Table2[GameIsOver],1,Table2[HomeTeam],$A27, Table2[AwayTeam], L$1, Table2[ActualResult], "SO"),0))</f>
        <v>0-0-0</v>
      </c>
      <c r="M27" t="str">
        <f>_xlfn.CONCAT(TEXT(SUMIFS(Table2[AwayWon], Table2[GameIsOver],1,Table2[AwayTeam],$A27, Table2[HomeTeam], M$1) + SUMIFS(Table2[HomeWon_], Table2[GameIsOver],1,Table2[HomeTeam],$A27, Table2[AwayTeam], M$1),0), "-", TEXT(SUMIFS(Table2[HomeWon_], Table2[GameIsOver],1,Table2[AwayTeam],$A27, Table2[HomeTeam], M$1, Table2[ActualResult], "REG") + SUMIFS(Table2[AwayWon], Table2[GameIsOver],1,Table2[HomeTeam],$A27, Table2[AwayTeam], M$1, Table2[ActualResult], "REG"),0), "-", TEXT(SUMIFS(Table2[HomeWon_], Table2[GameIsOver],1,Table2[AwayTeam],$A27, Table2[HomeTeam], M$1, Table2[ActualResult], "OT") + SUMIFS(Table2[AwayWon], Table2[GameIsOver],1,Table2[HomeTeam],$A27, Table2[AwayTeam], M$1, Table2[ActualResult], "OT") + SUMIFS(Table2[HomeWon_], Table2[GameIsOver],1,Table2[AwayTeam],$A27, Table2[HomeTeam], M$1, Table2[ActualResult], "SO") + SUMIFS(Table2[AwayWon], Table2[GameIsOver],1,Table2[HomeTeam],$A27, Table2[AwayTeam], M$1, Table2[ActualResult], "SO"),0))</f>
        <v>0-0-0</v>
      </c>
      <c r="N27" t="str">
        <f>_xlfn.CONCAT(TEXT(SUMIFS(Table2[AwayWon], Table2[GameIsOver],1,Table2[AwayTeam],$A27, Table2[HomeTeam], N$1) + SUMIFS(Table2[HomeWon_], Table2[GameIsOver],1,Table2[HomeTeam],$A27, Table2[AwayTeam], N$1),0), "-", TEXT(SUMIFS(Table2[HomeWon_], Table2[GameIsOver],1,Table2[AwayTeam],$A27, Table2[HomeTeam], N$1, Table2[ActualResult], "REG") + SUMIFS(Table2[AwayWon], Table2[GameIsOver],1,Table2[HomeTeam],$A27, Table2[AwayTeam], N$1, Table2[ActualResult], "REG"),0), "-", TEXT(SUMIFS(Table2[HomeWon_], Table2[GameIsOver],1,Table2[AwayTeam],$A27, Table2[HomeTeam], N$1, Table2[ActualResult], "OT") + SUMIFS(Table2[AwayWon], Table2[GameIsOver],1,Table2[HomeTeam],$A27, Table2[AwayTeam], N$1, Table2[ActualResult], "OT") + SUMIFS(Table2[HomeWon_], Table2[GameIsOver],1,Table2[AwayTeam],$A27, Table2[HomeTeam], N$1, Table2[ActualResult], "SO") + SUMIFS(Table2[AwayWon], Table2[GameIsOver],1,Table2[HomeTeam],$A27, Table2[AwayTeam], N$1, Table2[ActualResult], "SO"),0))</f>
        <v>0-0-0</v>
      </c>
      <c r="O27" t="str">
        <f>_xlfn.CONCAT(TEXT(SUMIFS(Table2[AwayWon], Table2[GameIsOver],1,Table2[AwayTeam],$A27, Table2[HomeTeam], O$1) + SUMIFS(Table2[HomeWon_], Table2[GameIsOver],1,Table2[HomeTeam],$A27, Table2[AwayTeam], O$1),0), "-", TEXT(SUMIFS(Table2[HomeWon_], Table2[GameIsOver],1,Table2[AwayTeam],$A27, Table2[HomeTeam], O$1, Table2[ActualResult], "REG") + SUMIFS(Table2[AwayWon], Table2[GameIsOver],1,Table2[HomeTeam],$A27, Table2[AwayTeam], O$1, Table2[ActualResult], "REG"),0), "-", TEXT(SUMIFS(Table2[HomeWon_], Table2[GameIsOver],1,Table2[AwayTeam],$A27, Table2[HomeTeam], O$1, Table2[ActualResult], "OT") + SUMIFS(Table2[AwayWon], Table2[GameIsOver],1,Table2[HomeTeam],$A27, Table2[AwayTeam], O$1, Table2[ActualResult], "OT") + SUMIFS(Table2[HomeWon_], Table2[GameIsOver],1,Table2[AwayTeam],$A27, Table2[HomeTeam], O$1, Table2[ActualResult], "SO") + SUMIFS(Table2[AwayWon], Table2[GameIsOver],1,Table2[HomeTeam],$A27, Table2[AwayTeam], O$1, Table2[ActualResult], "SO"),0))</f>
        <v>0-0-0</v>
      </c>
      <c r="P27" t="str">
        <f>_xlfn.CONCAT(TEXT(SUMIFS(Table2[AwayWon], Table2[GameIsOver],1,Table2[AwayTeam],$A27, Table2[HomeTeam], P$1) + SUMIFS(Table2[HomeWon_], Table2[GameIsOver],1,Table2[HomeTeam],$A27, Table2[AwayTeam], P$1),0), "-", TEXT(SUMIFS(Table2[HomeWon_], Table2[GameIsOver],1,Table2[AwayTeam],$A27, Table2[HomeTeam], P$1, Table2[ActualResult], "REG") + SUMIFS(Table2[AwayWon], Table2[GameIsOver],1,Table2[HomeTeam],$A27, Table2[AwayTeam], P$1, Table2[ActualResult], "REG"),0), "-", TEXT(SUMIFS(Table2[HomeWon_], Table2[GameIsOver],1,Table2[AwayTeam],$A27, Table2[HomeTeam], P$1, Table2[ActualResult], "OT") + SUMIFS(Table2[AwayWon], Table2[GameIsOver],1,Table2[HomeTeam],$A27, Table2[AwayTeam], P$1, Table2[ActualResult], "OT") + SUMIFS(Table2[HomeWon_], Table2[GameIsOver],1,Table2[AwayTeam],$A27, Table2[HomeTeam], P$1, Table2[ActualResult], "SO") + SUMIFS(Table2[AwayWon], Table2[GameIsOver],1,Table2[HomeTeam],$A27, Table2[AwayTeam], P$1, Table2[ActualResult], "SO"),0))</f>
        <v>0-0-0</v>
      </c>
      <c r="Q27" s="57" t="str">
        <f>_xlfn.CONCAT(TEXT(SUMIFS(Table2[AwayWon], Table2[GameIsOver],1,Table2[AwayTeam],$A27, Table2[HomeTeam], Q$1) + SUMIFS(Table2[HomeWon_], Table2[GameIsOver],1,Table2[HomeTeam],$A27, Table2[AwayTeam], Q$1),0), "-", TEXT(SUMIFS(Table2[HomeWon_], Table2[GameIsOver],1,Table2[AwayTeam],$A27, Table2[HomeTeam], Q$1, Table2[ActualResult], "REG") + SUMIFS(Table2[AwayWon], Table2[GameIsOver],1,Table2[HomeTeam],$A27, Table2[AwayTeam], Q$1, Table2[ActualResult], "REG"),0), "-", TEXT(SUMIFS(Table2[HomeWon_], Table2[GameIsOver],1,Table2[AwayTeam],$A27, Table2[HomeTeam], Q$1, Table2[ActualResult], "OT") + SUMIFS(Table2[AwayWon], Table2[GameIsOver],1,Table2[HomeTeam],$A27, Table2[AwayTeam], Q$1, Table2[ActualResult], "OT") + SUMIFS(Table2[HomeWon_], Table2[GameIsOver],1,Table2[AwayTeam],$A27, Table2[HomeTeam], Q$1, Table2[ActualResult], "SO") + SUMIFS(Table2[AwayWon], Table2[GameIsOver],1,Table2[HomeTeam],$A27, Table2[AwayTeam], Q$1, Table2[ActualResult], "SO"),0))</f>
        <v>0-0-0</v>
      </c>
      <c r="R27" t="str">
        <f>_xlfn.CONCAT(TEXT(SUMIFS(Table2[AwayWon], Table2[GameIsOver],1,Table2[AwayTeam],$A27, Table2[HomeTeam], R$1) + SUMIFS(Table2[HomeWon_], Table2[GameIsOver],1,Table2[HomeTeam],$A27, Table2[AwayTeam], R$1),0), "-", TEXT(SUMIFS(Table2[HomeWon_], Table2[GameIsOver],1,Table2[AwayTeam],$A27, Table2[HomeTeam], R$1, Table2[ActualResult], "REG") + SUMIFS(Table2[AwayWon], Table2[GameIsOver],1,Table2[HomeTeam],$A27, Table2[AwayTeam], R$1, Table2[ActualResult], "REG"),0), "-", TEXT(SUMIFS(Table2[HomeWon_], Table2[GameIsOver],1,Table2[AwayTeam],$A27, Table2[HomeTeam], R$1, Table2[ActualResult], "OT") + SUMIFS(Table2[AwayWon], Table2[GameIsOver],1,Table2[HomeTeam],$A27, Table2[AwayTeam], R$1, Table2[ActualResult], "OT") + SUMIFS(Table2[HomeWon_], Table2[GameIsOver],1,Table2[AwayTeam],$A27, Table2[HomeTeam], R$1, Table2[ActualResult], "SO") + SUMIFS(Table2[AwayWon], Table2[GameIsOver],1,Table2[HomeTeam],$A27, Table2[AwayTeam], R$1, Table2[ActualResult], "SO"),0))</f>
        <v>0-0-0</v>
      </c>
      <c r="S27" t="str">
        <f>_xlfn.CONCAT(TEXT(SUMIFS(Table2[AwayWon], Table2[GameIsOver],1,Table2[AwayTeam],$A27, Table2[HomeTeam], S$1) + SUMIFS(Table2[HomeWon_], Table2[GameIsOver],1,Table2[HomeTeam],$A27, Table2[AwayTeam], S$1),0), "-", TEXT(SUMIFS(Table2[HomeWon_], Table2[GameIsOver],1,Table2[AwayTeam],$A27, Table2[HomeTeam], S$1, Table2[ActualResult], "REG") + SUMIFS(Table2[AwayWon], Table2[GameIsOver],1,Table2[HomeTeam],$A27, Table2[AwayTeam], S$1, Table2[ActualResult], "REG"),0), "-", TEXT(SUMIFS(Table2[HomeWon_], Table2[GameIsOver],1,Table2[AwayTeam],$A27, Table2[HomeTeam], S$1, Table2[ActualResult], "OT") + SUMIFS(Table2[AwayWon], Table2[GameIsOver],1,Table2[HomeTeam],$A27, Table2[AwayTeam], S$1, Table2[ActualResult], "OT") + SUMIFS(Table2[HomeWon_], Table2[GameIsOver],1,Table2[AwayTeam],$A27, Table2[HomeTeam], S$1, Table2[ActualResult], "SO") + SUMIFS(Table2[AwayWon], Table2[GameIsOver],1,Table2[HomeTeam],$A27, Table2[AwayTeam], S$1, Table2[ActualResult], "SO"),0))</f>
        <v>0-0-0</v>
      </c>
      <c r="T27" t="str">
        <f>_xlfn.CONCAT(TEXT(SUMIFS(Table2[AwayWon], Table2[GameIsOver],1,Table2[AwayTeam],$A27, Table2[HomeTeam], T$1) + SUMIFS(Table2[HomeWon_], Table2[GameIsOver],1,Table2[HomeTeam],$A27, Table2[AwayTeam], T$1),0), "-", TEXT(SUMIFS(Table2[HomeWon_], Table2[GameIsOver],1,Table2[AwayTeam],$A27, Table2[HomeTeam], T$1, Table2[ActualResult], "REG") + SUMIFS(Table2[AwayWon], Table2[GameIsOver],1,Table2[HomeTeam],$A27, Table2[AwayTeam], T$1, Table2[ActualResult], "REG"),0), "-", TEXT(SUMIFS(Table2[HomeWon_], Table2[GameIsOver],1,Table2[AwayTeam],$A27, Table2[HomeTeam], T$1, Table2[ActualResult], "OT") + SUMIFS(Table2[AwayWon], Table2[GameIsOver],1,Table2[HomeTeam],$A27, Table2[AwayTeam], T$1, Table2[ActualResult], "OT") + SUMIFS(Table2[HomeWon_], Table2[GameIsOver],1,Table2[AwayTeam],$A27, Table2[HomeTeam], T$1, Table2[ActualResult], "SO") + SUMIFS(Table2[AwayWon], Table2[GameIsOver],1,Table2[HomeTeam],$A27, Table2[AwayTeam], T$1, Table2[ActualResult], "SO"),0))</f>
        <v>0-0-0</v>
      </c>
      <c r="U27" t="str">
        <f>_xlfn.CONCAT(TEXT(SUMIFS(Table2[AwayWon], Table2[GameIsOver],1,Table2[AwayTeam],$A27, Table2[HomeTeam], U$1) + SUMIFS(Table2[HomeWon_], Table2[GameIsOver],1,Table2[HomeTeam],$A27, Table2[AwayTeam], U$1),0), "-", TEXT(SUMIFS(Table2[HomeWon_], Table2[GameIsOver],1,Table2[AwayTeam],$A27, Table2[HomeTeam], U$1, Table2[ActualResult], "REG") + SUMIFS(Table2[AwayWon], Table2[GameIsOver],1,Table2[HomeTeam],$A27, Table2[AwayTeam], U$1, Table2[ActualResult], "REG"),0), "-", TEXT(SUMIFS(Table2[HomeWon_], Table2[GameIsOver],1,Table2[AwayTeam],$A27, Table2[HomeTeam], U$1, Table2[ActualResult], "OT") + SUMIFS(Table2[AwayWon], Table2[GameIsOver],1,Table2[HomeTeam],$A27, Table2[AwayTeam], U$1, Table2[ActualResult], "OT") + SUMIFS(Table2[HomeWon_], Table2[GameIsOver],1,Table2[AwayTeam],$A27, Table2[HomeTeam], U$1, Table2[ActualResult], "SO") + SUMIFS(Table2[AwayWon], Table2[GameIsOver],1,Table2[HomeTeam],$A27, Table2[AwayTeam], U$1, Table2[ActualResult], "SO"),0))</f>
        <v>0-0-0</v>
      </c>
      <c r="V27" t="str">
        <f>_xlfn.CONCAT(TEXT(SUMIFS(Table2[AwayWon], Table2[GameIsOver],1,Table2[AwayTeam],$A27, Table2[HomeTeam], V$1) + SUMIFS(Table2[HomeWon_], Table2[GameIsOver],1,Table2[HomeTeam],$A27, Table2[AwayTeam], V$1),0), "-", TEXT(SUMIFS(Table2[HomeWon_], Table2[GameIsOver],1,Table2[AwayTeam],$A27, Table2[HomeTeam], V$1, Table2[ActualResult], "REG") + SUMIFS(Table2[AwayWon], Table2[GameIsOver],1,Table2[HomeTeam],$A27, Table2[AwayTeam], V$1, Table2[ActualResult], "REG"),0), "-", TEXT(SUMIFS(Table2[HomeWon_], Table2[GameIsOver],1,Table2[AwayTeam],$A27, Table2[HomeTeam], V$1, Table2[ActualResult], "OT") + SUMIFS(Table2[AwayWon], Table2[GameIsOver],1,Table2[HomeTeam],$A27, Table2[AwayTeam], V$1, Table2[ActualResult], "OT") + SUMIFS(Table2[HomeWon_], Table2[GameIsOver],1,Table2[AwayTeam],$A27, Table2[HomeTeam], V$1, Table2[ActualResult], "SO") + SUMIFS(Table2[AwayWon], Table2[GameIsOver],1,Table2[HomeTeam],$A27, Table2[AwayTeam], V$1, Table2[ActualResult], "SO"),0))</f>
        <v>0-1-0</v>
      </c>
      <c r="W27" t="str">
        <f>_xlfn.CONCAT(TEXT(SUMIFS(Table2[AwayWon], Table2[GameIsOver],1,Table2[AwayTeam],$A27, Table2[HomeTeam], W$1) + SUMIFS(Table2[HomeWon_], Table2[GameIsOver],1,Table2[HomeTeam],$A27, Table2[AwayTeam], W$1),0), "-", TEXT(SUMIFS(Table2[HomeWon_], Table2[GameIsOver],1,Table2[AwayTeam],$A27, Table2[HomeTeam], W$1, Table2[ActualResult], "REG") + SUMIFS(Table2[AwayWon], Table2[GameIsOver],1,Table2[HomeTeam],$A27, Table2[AwayTeam], W$1, Table2[ActualResult], "REG"),0), "-", TEXT(SUMIFS(Table2[HomeWon_], Table2[GameIsOver],1,Table2[AwayTeam],$A27, Table2[HomeTeam], W$1, Table2[ActualResult], "OT") + SUMIFS(Table2[AwayWon], Table2[GameIsOver],1,Table2[HomeTeam],$A27, Table2[AwayTeam], W$1, Table2[ActualResult], "OT") + SUMIFS(Table2[HomeWon_], Table2[GameIsOver],1,Table2[AwayTeam],$A27, Table2[HomeTeam], W$1, Table2[ActualResult], "SO") + SUMIFS(Table2[AwayWon], Table2[GameIsOver],1,Table2[HomeTeam],$A27, Table2[AwayTeam], W$1, Table2[ActualResult], "SO"),0))</f>
        <v>0-0-0</v>
      </c>
      <c r="X27" t="str">
        <f>_xlfn.CONCAT(TEXT(SUMIFS(Table2[AwayWon], Table2[GameIsOver],1,Table2[AwayTeam],$A27, Table2[HomeTeam], X$1) + SUMIFS(Table2[HomeWon_], Table2[GameIsOver],1,Table2[HomeTeam],$A27, Table2[AwayTeam], X$1),0), "-", TEXT(SUMIFS(Table2[HomeWon_], Table2[GameIsOver],1,Table2[AwayTeam],$A27, Table2[HomeTeam], X$1, Table2[ActualResult], "REG") + SUMIFS(Table2[AwayWon], Table2[GameIsOver],1,Table2[HomeTeam],$A27, Table2[AwayTeam], X$1, Table2[ActualResult], "REG"),0), "-", TEXT(SUMIFS(Table2[HomeWon_], Table2[GameIsOver],1,Table2[AwayTeam],$A27, Table2[HomeTeam], X$1, Table2[ActualResult], "OT") + SUMIFS(Table2[AwayWon], Table2[GameIsOver],1,Table2[HomeTeam],$A27, Table2[AwayTeam], X$1, Table2[ActualResult], "OT") + SUMIFS(Table2[HomeWon_], Table2[GameIsOver],1,Table2[AwayTeam],$A27, Table2[HomeTeam], X$1, Table2[ActualResult], "SO") + SUMIFS(Table2[AwayWon], Table2[GameIsOver],1,Table2[HomeTeam],$A27, Table2[AwayTeam], X$1, Table2[ActualResult], "SO"),0))</f>
        <v>0-0-0</v>
      </c>
      <c r="Y27" s="57" t="str">
        <f>_xlfn.CONCAT(TEXT(SUMIFS(Table2[AwayWon], Table2[GameIsOver],1,Table2[AwayTeam],$A27, Table2[HomeTeam], Y$1) + SUMIFS(Table2[HomeWon_], Table2[GameIsOver],1,Table2[HomeTeam],$A27, Table2[AwayTeam], Y$1),0), "-", TEXT(SUMIFS(Table2[HomeWon_], Table2[GameIsOver],1,Table2[AwayTeam],$A27, Table2[HomeTeam], Y$1, Table2[ActualResult], "REG") + SUMIFS(Table2[AwayWon], Table2[GameIsOver],1,Table2[HomeTeam],$A27, Table2[AwayTeam], Y$1, Table2[ActualResult], "REG"),0), "-", TEXT(SUMIFS(Table2[HomeWon_], Table2[GameIsOver],1,Table2[AwayTeam],$A27, Table2[HomeTeam], Y$1, Table2[ActualResult], "OT") + SUMIFS(Table2[AwayWon], Table2[GameIsOver],1,Table2[HomeTeam],$A27, Table2[AwayTeam], Y$1, Table2[ActualResult], "OT") + SUMIFS(Table2[HomeWon_], Table2[GameIsOver],1,Table2[AwayTeam],$A27, Table2[HomeTeam], Y$1, Table2[ActualResult], "SO") + SUMIFS(Table2[AwayWon], Table2[GameIsOver],1,Table2[HomeTeam],$A27, Table2[AwayTeam], Y$1, Table2[ActualResult], "SO"),0))</f>
        <v>0-0-0</v>
      </c>
      <c r="Z27" t="str">
        <f>_xlfn.CONCAT(TEXT(SUMIFS(Table2[AwayWon], Table2[GameIsOver],1,Table2[AwayTeam],$A27, Table2[HomeTeam], Z$1) + SUMIFS(Table2[HomeWon_], Table2[GameIsOver],1,Table2[HomeTeam],$A27, Table2[AwayTeam], Z$1),0), "-", TEXT(SUMIFS(Table2[HomeWon_], Table2[GameIsOver],1,Table2[AwayTeam],$A27, Table2[HomeTeam], Z$1, Table2[ActualResult], "REG") + SUMIFS(Table2[AwayWon], Table2[GameIsOver],1,Table2[HomeTeam],$A27, Table2[AwayTeam], Z$1, Table2[ActualResult], "REG"),0), "-", TEXT(SUMIFS(Table2[HomeWon_], Table2[GameIsOver],1,Table2[AwayTeam],$A27, Table2[HomeTeam], Z$1, Table2[ActualResult], "OT") + SUMIFS(Table2[AwayWon], Table2[GameIsOver],1,Table2[HomeTeam],$A27, Table2[AwayTeam], Z$1, Table2[ActualResult], "OT") + SUMIFS(Table2[HomeWon_], Table2[GameIsOver],1,Table2[AwayTeam],$A27, Table2[HomeTeam], Z$1, Table2[ActualResult], "SO") + SUMIFS(Table2[AwayWon], Table2[GameIsOver],1,Table2[HomeTeam],$A27, Table2[AwayTeam], Z$1, Table2[ActualResult], "SO"),0))</f>
        <v>0-1-0</v>
      </c>
      <c r="AA27" s="89"/>
      <c r="AB27" t="str">
        <f>_xlfn.CONCAT(TEXT(SUMIFS(Table2[AwayWon], Table2[GameIsOver],1,Table2[AwayTeam],$A27, Table2[HomeTeam], AB$1) + SUMIFS(Table2[HomeWon_], Table2[GameIsOver],1,Table2[HomeTeam],$A27, Table2[AwayTeam], AB$1),0), "-", TEXT(SUMIFS(Table2[HomeWon_], Table2[GameIsOver],1,Table2[AwayTeam],$A27, Table2[HomeTeam], AB$1, Table2[ActualResult], "REG") + SUMIFS(Table2[AwayWon], Table2[GameIsOver],1,Table2[HomeTeam],$A27, Table2[AwayTeam], AB$1, Table2[ActualResult], "REG"),0), "-", TEXT(SUMIFS(Table2[HomeWon_], Table2[GameIsOver],1,Table2[AwayTeam],$A27, Table2[HomeTeam], AB$1, Table2[ActualResult], "OT") + SUMIFS(Table2[AwayWon], Table2[GameIsOver],1,Table2[HomeTeam],$A27, Table2[AwayTeam], AB$1, Table2[ActualResult], "OT") + SUMIFS(Table2[HomeWon_], Table2[GameIsOver],1,Table2[AwayTeam],$A27, Table2[HomeTeam], AB$1, Table2[ActualResult], "SO") + SUMIFS(Table2[AwayWon], Table2[GameIsOver],1,Table2[HomeTeam],$A27, Table2[AwayTeam], AB$1, Table2[ActualResult], "SO"),0))</f>
        <v>0-0-0</v>
      </c>
      <c r="AC27" t="str">
        <f>_xlfn.CONCAT(TEXT(SUMIFS(Table2[AwayWon], Table2[GameIsOver],1,Table2[AwayTeam],$A27, Table2[HomeTeam], AC$1) + SUMIFS(Table2[HomeWon_], Table2[GameIsOver],1,Table2[HomeTeam],$A27, Table2[AwayTeam], AC$1),0), "-", TEXT(SUMIFS(Table2[HomeWon_], Table2[GameIsOver],1,Table2[AwayTeam],$A27, Table2[HomeTeam], AC$1, Table2[ActualResult], "REG") + SUMIFS(Table2[AwayWon], Table2[GameIsOver],1,Table2[HomeTeam],$A27, Table2[AwayTeam], AC$1, Table2[ActualResult], "REG"),0), "-", TEXT(SUMIFS(Table2[HomeWon_], Table2[GameIsOver],1,Table2[AwayTeam],$A27, Table2[HomeTeam], AC$1, Table2[ActualResult], "OT") + SUMIFS(Table2[AwayWon], Table2[GameIsOver],1,Table2[HomeTeam],$A27, Table2[AwayTeam], AC$1, Table2[ActualResult], "OT") + SUMIFS(Table2[HomeWon_], Table2[GameIsOver],1,Table2[AwayTeam],$A27, Table2[HomeTeam], AC$1, Table2[ActualResult], "SO") + SUMIFS(Table2[AwayWon], Table2[GameIsOver],1,Table2[HomeTeam],$A27, Table2[AwayTeam], AC$1, Table2[ActualResult], "SO"),0))</f>
        <v>1-0-0</v>
      </c>
      <c r="AD27" t="str">
        <f>_xlfn.CONCAT(TEXT(SUMIFS(Table2[AwayWon], Table2[GameIsOver],1,Table2[AwayTeam],$A27, Table2[HomeTeam], AD$1) + SUMIFS(Table2[HomeWon_], Table2[GameIsOver],1,Table2[HomeTeam],$A27, Table2[AwayTeam], AD$1),0), "-", TEXT(SUMIFS(Table2[HomeWon_], Table2[GameIsOver],1,Table2[AwayTeam],$A27, Table2[HomeTeam], AD$1, Table2[ActualResult], "REG") + SUMIFS(Table2[AwayWon], Table2[GameIsOver],1,Table2[HomeTeam],$A27, Table2[AwayTeam], AD$1, Table2[ActualResult], "REG"),0), "-", TEXT(SUMIFS(Table2[HomeWon_], Table2[GameIsOver],1,Table2[AwayTeam],$A27, Table2[HomeTeam], AD$1, Table2[ActualResult], "OT") + SUMIFS(Table2[AwayWon], Table2[GameIsOver],1,Table2[HomeTeam],$A27, Table2[AwayTeam], AD$1, Table2[ActualResult], "OT") + SUMIFS(Table2[HomeWon_], Table2[GameIsOver],1,Table2[AwayTeam],$A27, Table2[HomeTeam], AD$1, Table2[ActualResult], "SO") + SUMIFS(Table2[AwayWon], Table2[GameIsOver],1,Table2[HomeTeam],$A27, Table2[AwayTeam], AD$1, Table2[ActualResult], "SO"),0))</f>
        <v>0-1-0</v>
      </c>
      <c r="AE27" t="str">
        <f>_xlfn.CONCAT(TEXT(SUMIFS(Table2[AwayWon], Table2[GameIsOver],1,Table2[AwayTeam],$A27, Table2[HomeTeam], AE$1) + SUMIFS(Table2[HomeWon_], Table2[GameIsOver],1,Table2[HomeTeam],$A27, Table2[AwayTeam], AE$1),0), "-", TEXT(SUMIFS(Table2[HomeWon_], Table2[GameIsOver],1,Table2[AwayTeam],$A27, Table2[HomeTeam], AE$1, Table2[ActualResult], "REG") + SUMIFS(Table2[AwayWon], Table2[GameIsOver],1,Table2[HomeTeam],$A27, Table2[AwayTeam], AE$1, Table2[ActualResult], "REG"),0), "-", TEXT(SUMIFS(Table2[HomeWon_], Table2[GameIsOver],1,Table2[AwayTeam],$A27, Table2[HomeTeam], AE$1, Table2[ActualResult], "OT") + SUMIFS(Table2[AwayWon], Table2[GameIsOver],1,Table2[HomeTeam],$A27, Table2[AwayTeam], AE$1, Table2[ActualResult], "OT") + SUMIFS(Table2[HomeWon_], Table2[GameIsOver],1,Table2[AwayTeam],$A27, Table2[HomeTeam], AE$1, Table2[ActualResult], "SO") + SUMIFS(Table2[AwayWon], Table2[GameIsOver],1,Table2[HomeTeam],$A27, Table2[AwayTeam], AE$1, Table2[ActualResult], "SO"),0))</f>
        <v>1-0-0</v>
      </c>
      <c r="AF27" t="str">
        <f>_xlfn.CONCAT(TEXT(SUMIFS(Table2[AwayWon], Table2[GameIsOver],1,Table2[AwayTeam],$A27, Table2[HomeTeam], AF$1) + SUMIFS(Table2[HomeWon_], Table2[GameIsOver],1,Table2[HomeTeam],$A27, Table2[AwayTeam], AF$1),0), "-", TEXT(SUMIFS(Table2[HomeWon_], Table2[GameIsOver],1,Table2[AwayTeam],$A27, Table2[HomeTeam], AF$1, Table2[ActualResult], "REG") + SUMIFS(Table2[AwayWon], Table2[GameIsOver],1,Table2[HomeTeam],$A27, Table2[AwayTeam], AF$1, Table2[ActualResult], "REG"),0), "-", TEXT(SUMIFS(Table2[HomeWon_], Table2[GameIsOver],1,Table2[AwayTeam],$A27, Table2[HomeTeam], AF$1, Table2[ActualResult], "OT") + SUMIFS(Table2[AwayWon], Table2[GameIsOver],1,Table2[HomeTeam],$A27, Table2[AwayTeam], AF$1, Table2[ActualResult], "OT") + SUMIFS(Table2[HomeWon_], Table2[GameIsOver],1,Table2[AwayTeam],$A27, Table2[HomeTeam], AF$1, Table2[ActualResult], "SO") + SUMIFS(Table2[AwayWon], Table2[GameIsOver],1,Table2[HomeTeam],$A27, Table2[AwayTeam], AF$1, Table2[ActualResult], "SO"),0))</f>
        <v>0-0-0</v>
      </c>
      <c r="AG27" t="str">
        <f>_xlfn.CONCAT(TEXT(SUMIFS(Table2[AwayWon], Table2[GameIsOver],1,Table2[AwayTeam],$A27, Table2[HomeTeam], AG$1) + SUMIFS(Table2[HomeWon_], Table2[GameIsOver],1,Table2[HomeTeam],$A27, Table2[AwayTeam], AG$1),0), "-", TEXT(SUMIFS(Table2[HomeWon_], Table2[GameIsOver],1,Table2[AwayTeam],$A27, Table2[HomeTeam], AG$1, Table2[ActualResult], "REG") + SUMIFS(Table2[AwayWon], Table2[GameIsOver],1,Table2[HomeTeam],$A27, Table2[AwayTeam], AG$1, Table2[ActualResult], "REG"),0), "-", TEXT(SUMIFS(Table2[HomeWon_], Table2[GameIsOver],1,Table2[AwayTeam],$A27, Table2[HomeTeam], AG$1, Table2[ActualResult], "OT") + SUMIFS(Table2[AwayWon], Table2[GameIsOver],1,Table2[HomeTeam],$A27, Table2[AwayTeam], AG$1, Table2[ActualResult], "OT") + SUMIFS(Table2[HomeWon_], Table2[GameIsOver],1,Table2[AwayTeam],$A27, Table2[HomeTeam], AG$1, Table2[ActualResult], "SO") + SUMIFS(Table2[AwayWon], Table2[GameIsOver],1,Table2[HomeTeam],$A27, Table2[AwayTeam], AG$1, Table2[ActualResult], "SO"),0))</f>
        <v>0-0-0</v>
      </c>
    </row>
    <row r="28" spans="1:33" x14ac:dyDescent="0.25">
      <c r="A28" s="57" t="s">
        <v>30</v>
      </c>
      <c r="B28" t="str">
        <f>_xlfn.CONCAT(TEXT(SUMIFS(Table2[AwayWon], Table2[GameIsOver],1,Table2[AwayTeam],$A28, Table2[HomeTeam], B$1) + SUMIFS(Table2[HomeWon_], Table2[GameIsOver],1,Table2[HomeTeam],$A28, Table2[AwayTeam], B$1),0), "-", TEXT(SUMIFS(Table2[HomeWon_], Table2[GameIsOver],1,Table2[AwayTeam],$A28, Table2[HomeTeam], B$1, Table2[ActualResult], "REG") + SUMIFS(Table2[AwayWon], Table2[GameIsOver],1,Table2[HomeTeam],$A28, Table2[AwayTeam], B$1, Table2[ActualResult], "REG"),0), "-", TEXT(SUMIFS(Table2[HomeWon_], Table2[GameIsOver],1,Table2[AwayTeam],$A28, Table2[HomeTeam], B$1, Table2[ActualResult], "OT") + SUMIFS(Table2[AwayWon], Table2[GameIsOver],1,Table2[HomeTeam],$A28, Table2[AwayTeam], B$1, Table2[ActualResult], "OT") + SUMIFS(Table2[HomeWon_], Table2[GameIsOver],1,Table2[AwayTeam],$A28, Table2[HomeTeam], B$1, Table2[ActualResult], "SO") + SUMIFS(Table2[AwayWon], Table2[GameIsOver],1,Table2[HomeTeam],$A28, Table2[AwayTeam], B$1, Table2[ActualResult], "SO"),0))</f>
        <v>0-0-0</v>
      </c>
      <c r="C28" t="str">
        <f>_xlfn.CONCAT(TEXT(SUMIFS(Table2[AwayWon], Table2[GameIsOver],1,Table2[AwayTeam],$A28, Table2[HomeTeam], C$1) + SUMIFS(Table2[HomeWon_], Table2[GameIsOver],1,Table2[HomeTeam],$A28, Table2[AwayTeam], C$1),0), "-", TEXT(SUMIFS(Table2[HomeWon_], Table2[GameIsOver],1,Table2[AwayTeam],$A28, Table2[HomeTeam], C$1, Table2[ActualResult], "REG") + SUMIFS(Table2[AwayWon], Table2[GameIsOver],1,Table2[HomeTeam],$A28, Table2[AwayTeam], C$1, Table2[ActualResult], "REG"),0), "-", TEXT(SUMIFS(Table2[HomeWon_], Table2[GameIsOver],1,Table2[AwayTeam],$A28, Table2[HomeTeam], C$1, Table2[ActualResult], "OT") + SUMIFS(Table2[AwayWon], Table2[GameIsOver],1,Table2[HomeTeam],$A28, Table2[AwayTeam], C$1, Table2[ActualResult], "OT") + SUMIFS(Table2[HomeWon_], Table2[GameIsOver],1,Table2[AwayTeam],$A28, Table2[HomeTeam], C$1, Table2[ActualResult], "SO") + SUMIFS(Table2[AwayWon], Table2[GameIsOver],1,Table2[HomeTeam],$A28, Table2[AwayTeam], C$1, Table2[ActualResult], "SO"),0))</f>
        <v>0-0-0</v>
      </c>
      <c r="D28" t="str">
        <f>_xlfn.CONCAT(TEXT(SUMIFS(Table2[AwayWon], Table2[GameIsOver],1,Table2[AwayTeam],$A28, Table2[HomeTeam], D$1) + SUMIFS(Table2[HomeWon_], Table2[GameIsOver],1,Table2[HomeTeam],$A28, Table2[AwayTeam], D$1),0), "-", TEXT(SUMIFS(Table2[HomeWon_], Table2[GameIsOver],1,Table2[AwayTeam],$A28, Table2[HomeTeam], D$1, Table2[ActualResult], "REG") + SUMIFS(Table2[AwayWon], Table2[GameIsOver],1,Table2[HomeTeam],$A28, Table2[AwayTeam], D$1, Table2[ActualResult], "REG"),0), "-", TEXT(SUMIFS(Table2[HomeWon_], Table2[GameIsOver],1,Table2[AwayTeam],$A28, Table2[HomeTeam], D$1, Table2[ActualResult], "OT") + SUMIFS(Table2[AwayWon], Table2[GameIsOver],1,Table2[HomeTeam],$A28, Table2[AwayTeam], D$1, Table2[ActualResult], "OT") + SUMIFS(Table2[HomeWon_], Table2[GameIsOver],1,Table2[AwayTeam],$A28, Table2[HomeTeam], D$1, Table2[ActualResult], "SO") + SUMIFS(Table2[AwayWon], Table2[GameIsOver],1,Table2[HomeTeam],$A28, Table2[AwayTeam], D$1, Table2[ActualResult], "SO"),0))</f>
        <v>1-0-0</v>
      </c>
      <c r="E28" t="str">
        <f>_xlfn.CONCAT(TEXT(SUMIFS(Table2[AwayWon], Table2[GameIsOver],1,Table2[AwayTeam],$A28, Table2[HomeTeam], E$1) + SUMIFS(Table2[HomeWon_], Table2[GameIsOver],1,Table2[HomeTeam],$A28, Table2[AwayTeam], E$1),0), "-", TEXT(SUMIFS(Table2[HomeWon_], Table2[GameIsOver],1,Table2[AwayTeam],$A28, Table2[HomeTeam], E$1, Table2[ActualResult], "REG") + SUMIFS(Table2[AwayWon], Table2[GameIsOver],1,Table2[HomeTeam],$A28, Table2[AwayTeam], E$1, Table2[ActualResult], "REG"),0), "-", TEXT(SUMIFS(Table2[HomeWon_], Table2[GameIsOver],1,Table2[AwayTeam],$A28, Table2[HomeTeam], E$1, Table2[ActualResult], "OT") + SUMIFS(Table2[AwayWon], Table2[GameIsOver],1,Table2[HomeTeam],$A28, Table2[AwayTeam], E$1, Table2[ActualResult], "OT") + SUMIFS(Table2[HomeWon_], Table2[GameIsOver],1,Table2[AwayTeam],$A28, Table2[HomeTeam], E$1, Table2[ActualResult], "SO") + SUMIFS(Table2[AwayWon], Table2[GameIsOver],1,Table2[HomeTeam],$A28, Table2[AwayTeam], E$1, Table2[ActualResult], "SO"),0))</f>
        <v>0-0-0</v>
      </c>
      <c r="F28" t="str">
        <f>_xlfn.CONCAT(TEXT(SUMIFS(Table2[AwayWon], Table2[GameIsOver],1,Table2[AwayTeam],$A28, Table2[HomeTeam], F$1) + SUMIFS(Table2[HomeWon_], Table2[GameIsOver],1,Table2[HomeTeam],$A28, Table2[AwayTeam], F$1),0), "-", TEXT(SUMIFS(Table2[HomeWon_], Table2[GameIsOver],1,Table2[AwayTeam],$A28, Table2[HomeTeam], F$1, Table2[ActualResult], "REG") + SUMIFS(Table2[AwayWon], Table2[GameIsOver],1,Table2[HomeTeam],$A28, Table2[AwayTeam], F$1, Table2[ActualResult], "REG"),0), "-", TEXT(SUMIFS(Table2[HomeWon_], Table2[GameIsOver],1,Table2[AwayTeam],$A28, Table2[HomeTeam], F$1, Table2[ActualResult], "OT") + SUMIFS(Table2[AwayWon], Table2[GameIsOver],1,Table2[HomeTeam],$A28, Table2[AwayTeam], F$1, Table2[ActualResult], "OT") + SUMIFS(Table2[HomeWon_], Table2[GameIsOver],1,Table2[AwayTeam],$A28, Table2[HomeTeam], F$1, Table2[ActualResult], "SO") + SUMIFS(Table2[AwayWon], Table2[GameIsOver],1,Table2[HomeTeam],$A28, Table2[AwayTeam], F$1, Table2[ActualResult], "SO"),0))</f>
        <v>0-0-0</v>
      </c>
      <c r="G28" t="str">
        <f>_xlfn.CONCAT(TEXT(SUMIFS(Table2[AwayWon], Table2[GameIsOver],1,Table2[AwayTeam],$A28, Table2[HomeTeam], G$1) + SUMIFS(Table2[HomeWon_], Table2[GameIsOver],1,Table2[HomeTeam],$A28, Table2[AwayTeam], G$1),0), "-", TEXT(SUMIFS(Table2[HomeWon_], Table2[GameIsOver],1,Table2[AwayTeam],$A28, Table2[HomeTeam], G$1, Table2[ActualResult], "REG") + SUMIFS(Table2[AwayWon], Table2[GameIsOver],1,Table2[HomeTeam],$A28, Table2[AwayTeam], G$1, Table2[ActualResult], "REG"),0), "-", TEXT(SUMIFS(Table2[HomeWon_], Table2[GameIsOver],1,Table2[AwayTeam],$A28, Table2[HomeTeam], G$1, Table2[ActualResult], "OT") + SUMIFS(Table2[AwayWon], Table2[GameIsOver],1,Table2[HomeTeam],$A28, Table2[AwayTeam], G$1, Table2[ActualResult], "OT") + SUMIFS(Table2[HomeWon_], Table2[GameIsOver],1,Table2[AwayTeam],$A28, Table2[HomeTeam], G$1, Table2[ActualResult], "SO") + SUMIFS(Table2[AwayWon], Table2[GameIsOver],1,Table2[HomeTeam],$A28, Table2[AwayTeam], G$1, Table2[ActualResult], "SO"),0))</f>
        <v>0-0-0</v>
      </c>
      <c r="H28" t="str">
        <f>_xlfn.CONCAT(TEXT(SUMIFS(Table2[AwayWon], Table2[GameIsOver],1,Table2[AwayTeam],$A28, Table2[HomeTeam], H$1) + SUMIFS(Table2[HomeWon_], Table2[GameIsOver],1,Table2[HomeTeam],$A28, Table2[AwayTeam], H$1),0), "-", TEXT(SUMIFS(Table2[HomeWon_], Table2[GameIsOver],1,Table2[AwayTeam],$A28, Table2[HomeTeam], H$1, Table2[ActualResult], "REG") + SUMIFS(Table2[AwayWon], Table2[GameIsOver],1,Table2[HomeTeam],$A28, Table2[AwayTeam], H$1, Table2[ActualResult], "REG"),0), "-", TEXT(SUMIFS(Table2[HomeWon_], Table2[GameIsOver],1,Table2[AwayTeam],$A28, Table2[HomeTeam], H$1, Table2[ActualResult], "OT") + SUMIFS(Table2[AwayWon], Table2[GameIsOver],1,Table2[HomeTeam],$A28, Table2[AwayTeam], H$1, Table2[ActualResult], "OT") + SUMIFS(Table2[HomeWon_], Table2[GameIsOver],1,Table2[AwayTeam],$A28, Table2[HomeTeam], H$1, Table2[ActualResult], "SO") + SUMIFS(Table2[AwayWon], Table2[GameIsOver],1,Table2[HomeTeam],$A28, Table2[AwayTeam], H$1, Table2[ActualResult], "SO"),0))</f>
        <v>0-0-0</v>
      </c>
      <c r="I28" s="57" t="str">
        <f>_xlfn.CONCAT(TEXT(SUMIFS(Table2[AwayWon], Table2[GameIsOver],1,Table2[AwayTeam],$A28, Table2[HomeTeam], I$1) + SUMIFS(Table2[HomeWon_], Table2[GameIsOver],1,Table2[HomeTeam],$A28, Table2[AwayTeam], I$1),0), "-", TEXT(SUMIFS(Table2[HomeWon_], Table2[GameIsOver],1,Table2[AwayTeam],$A28, Table2[HomeTeam], I$1, Table2[ActualResult], "REG") + SUMIFS(Table2[AwayWon], Table2[GameIsOver],1,Table2[HomeTeam],$A28, Table2[AwayTeam], I$1, Table2[ActualResult], "REG"),0), "-", TEXT(SUMIFS(Table2[HomeWon_], Table2[GameIsOver],1,Table2[AwayTeam],$A28, Table2[HomeTeam], I$1, Table2[ActualResult], "OT") + SUMIFS(Table2[AwayWon], Table2[GameIsOver],1,Table2[HomeTeam],$A28, Table2[AwayTeam], I$1, Table2[ActualResult], "OT") + SUMIFS(Table2[HomeWon_], Table2[GameIsOver],1,Table2[AwayTeam],$A28, Table2[HomeTeam], I$1, Table2[ActualResult], "SO") + SUMIFS(Table2[AwayWon], Table2[GameIsOver],1,Table2[HomeTeam],$A28, Table2[AwayTeam], I$1, Table2[ActualResult], "SO"),0))</f>
        <v>0-0-0</v>
      </c>
      <c r="J28" t="str">
        <f>_xlfn.CONCAT(TEXT(SUMIFS(Table2[AwayWon], Table2[GameIsOver],1,Table2[AwayTeam],$A28, Table2[HomeTeam], J$1) + SUMIFS(Table2[HomeWon_], Table2[GameIsOver],1,Table2[HomeTeam],$A28, Table2[AwayTeam], J$1),0), "-", TEXT(SUMIFS(Table2[HomeWon_], Table2[GameIsOver],1,Table2[AwayTeam],$A28, Table2[HomeTeam], J$1, Table2[ActualResult], "REG") + SUMIFS(Table2[AwayWon], Table2[GameIsOver],1,Table2[HomeTeam],$A28, Table2[AwayTeam], J$1, Table2[ActualResult], "REG"),0), "-", TEXT(SUMIFS(Table2[HomeWon_], Table2[GameIsOver],1,Table2[AwayTeam],$A28, Table2[HomeTeam], J$1, Table2[ActualResult], "OT") + SUMIFS(Table2[AwayWon], Table2[GameIsOver],1,Table2[HomeTeam],$A28, Table2[AwayTeam], J$1, Table2[ActualResult], "OT") + SUMIFS(Table2[HomeWon_], Table2[GameIsOver],1,Table2[AwayTeam],$A28, Table2[HomeTeam], J$1, Table2[ActualResult], "SO") + SUMIFS(Table2[AwayWon], Table2[GameIsOver],1,Table2[HomeTeam],$A28, Table2[AwayTeam], J$1, Table2[ActualResult], "SO"),0))</f>
        <v>0-0-0</v>
      </c>
      <c r="K28" t="str">
        <f>_xlfn.CONCAT(TEXT(SUMIFS(Table2[AwayWon], Table2[GameIsOver],1,Table2[AwayTeam],$A28, Table2[HomeTeam], K$1) + SUMIFS(Table2[HomeWon_], Table2[GameIsOver],1,Table2[HomeTeam],$A28, Table2[AwayTeam], K$1),0), "-", TEXT(SUMIFS(Table2[HomeWon_], Table2[GameIsOver],1,Table2[AwayTeam],$A28, Table2[HomeTeam], K$1, Table2[ActualResult], "REG") + SUMIFS(Table2[AwayWon], Table2[GameIsOver],1,Table2[HomeTeam],$A28, Table2[AwayTeam], K$1, Table2[ActualResult], "REG"),0), "-", TEXT(SUMIFS(Table2[HomeWon_], Table2[GameIsOver],1,Table2[AwayTeam],$A28, Table2[HomeTeam], K$1, Table2[ActualResult], "OT") + SUMIFS(Table2[AwayWon], Table2[GameIsOver],1,Table2[HomeTeam],$A28, Table2[AwayTeam], K$1, Table2[ActualResult], "OT") + SUMIFS(Table2[HomeWon_], Table2[GameIsOver],1,Table2[AwayTeam],$A28, Table2[HomeTeam], K$1, Table2[ActualResult], "SO") + SUMIFS(Table2[AwayWon], Table2[GameIsOver],1,Table2[HomeTeam],$A28, Table2[AwayTeam], K$1, Table2[ActualResult], "SO"),0))</f>
        <v>0-0-0</v>
      </c>
      <c r="L28" t="str">
        <f>_xlfn.CONCAT(TEXT(SUMIFS(Table2[AwayWon], Table2[GameIsOver],1,Table2[AwayTeam],$A28, Table2[HomeTeam], L$1) + SUMIFS(Table2[HomeWon_], Table2[GameIsOver],1,Table2[HomeTeam],$A28, Table2[AwayTeam], L$1),0), "-", TEXT(SUMIFS(Table2[HomeWon_], Table2[GameIsOver],1,Table2[AwayTeam],$A28, Table2[HomeTeam], L$1, Table2[ActualResult], "REG") + SUMIFS(Table2[AwayWon], Table2[GameIsOver],1,Table2[HomeTeam],$A28, Table2[AwayTeam], L$1, Table2[ActualResult], "REG"),0), "-", TEXT(SUMIFS(Table2[HomeWon_], Table2[GameIsOver],1,Table2[AwayTeam],$A28, Table2[HomeTeam], L$1, Table2[ActualResult], "OT") + SUMIFS(Table2[AwayWon], Table2[GameIsOver],1,Table2[HomeTeam],$A28, Table2[AwayTeam], L$1, Table2[ActualResult], "OT") + SUMIFS(Table2[HomeWon_], Table2[GameIsOver],1,Table2[AwayTeam],$A28, Table2[HomeTeam], L$1, Table2[ActualResult], "SO") + SUMIFS(Table2[AwayWon], Table2[GameIsOver],1,Table2[HomeTeam],$A28, Table2[AwayTeam], L$1, Table2[ActualResult], "SO"),0))</f>
        <v>0-0-0</v>
      </c>
      <c r="M28" t="str">
        <f>_xlfn.CONCAT(TEXT(SUMIFS(Table2[AwayWon], Table2[GameIsOver],1,Table2[AwayTeam],$A28, Table2[HomeTeam], M$1) + SUMIFS(Table2[HomeWon_], Table2[GameIsOver],1,Table2[HomeTeam],$A28, Table2[AwayTeam], M$1),0), "-", TEXT(SUMIFS(Table2[HomeWon_], Table2[GameIsOver],1,Table2[AwayTeam],$A28, Table2[HomeTeam], M$1, Table2[ActualResult], "REG") + SUMIFS(Table2[AwayWon], Table2[GameIsOver],1,Table2[HomeTeam],$A28, Table2[AwayTeam], M$1, Table2[ActualResult], "REG"),0), "-", TEXT(SUMIFS(Table2[HomeWon_], Table2[GameIsOver],1,Table2[AwayTeam],$A28, Table2[HomeTeam], M$1, Table2[ActualResult], "OT") + SUMIFS(Table2[AwayWon], Table2[GameIsOver],1,Table2[HomeTeam],$A28, Table2[AwayTeam], M$1, Table2[ActualResult], "OT") + SUMIFS(Table2[HomeWon_], Table2[GameIsOver],1,Table2[AwayTeam],$A28, Table2[HomeTeam], M$1, Table2[ActualResult], "SO") + SUMIFS(Table2[AwayWon], Table2[GameIsOver],1,Table2[HomeTeam],$A28, Table2[AwayTeam], M$1, Table2[ActualResult], "SO"),0))</f>
        <v>0-0-0</v>
      </c>
      <c r="N28" t="str">
        <f>_xlfn.CONCAT(TEXT(SUMIFS(Table2[AwayWon], Table2[GameIsOver],1,Table2[AwayTeam],$A28, Table2[HomeTeam], N$1) + SUMIFS(Table2[HomeWon_], Table2[GameIsOver],1,Table2[HomeTeam],$A28, Table2[AwayTeam], N$1),0), "-", TEXT(SUMIFS(Table2[HomeWon_], Table2[GameIsOver],1,Table2[AwayTeam],$A28, Table2[HomeTeam], N$1, Table2[ActualResult], "REG") + SUMIFS(Table2[AwayWon], Table2[GameIsOver],1,Table2[HomeTeam],$A28, Table2[AwayTeam], N$1, Table2[ActualResult], "REG"),0), "-", TEXT(SUMIFS(Table2[HomeWon_], Table2[GameIsOver],1,Table2[AwayTeam],$A28, Table2[HomeTeam], N$1, Table2[ActualResult], "OT") + SUMIFS(Table2[AwayWon], Table2[GameIsOver],1,Table2[HomeTeam],$A28, Table2[AwayTeam], N$1, Table2[ActualResult], "OT") + SUMIFS(Table2[HomeWon_], Table2[GameIsOver],1,Table2[AwayTeam],$A28, Table2[HomeTeam], N$1, Table2[ActualResult], "SO") + SUMIFS(Table2[AwayWon], Table2[GameIsOver],1,Table2[HomeTeam],$A28, Table2[AwayTeam], N$1, Table2[ActualResult], "SO"),0))</f>
        <v>0-0-0</v>
      </c>
      <c r="O28" t="str">
        <f>_xlfn.CONCAT(TEXT(SUMIFS(Table2[AwayWon], Table2[GameIsOver],1,Table2[AwayTeam],$A28, Table2[HomeTeam], O$1) + SUMIFS(Table2[HomeWon_], Table2[GameIsOver],1,Table2[HomeTeam],$A28, Table2[AwayTeam], O$1),0), "-", TEXT(SUMIFS(Table2[HomeWon_], Table2[GameIsOver],1,Table2[AwayTeam],$A28, Table2[HomeTeam], O$1, Table2[ActualResult], "REG") + SUMIFS(Table2[AwayWon], Table2[GameIsOver],1,Table2[HomeTeam],$A28, Table2[AwayTeam], O$1, Table2[ActualResult], "REG"),0), "-", TEXT(SUMIFS(Table2[HomeWon_], Table2[GameIsOver],1,Table2[AwayTeam],$A28, Table2[HomeTeam], O$1, Table2[ActualResult], "OT") + SUMIFS(Table2[AwayWon], Table2[GameIsOver],1,Table2[HomeTeam],$A28, Table2[AwayTeam], O$1, Table2[ActualResult], "OT") + SUMIFS(Table2[HomeWon_], Table2[GameIsOver],1,Table2[AwayTeam],$A28, Table2[HomeTeam], O$1, Table2[ActualResult], "SO") + SUMIFS(Table2[AwayWon], Table2[GameIsOver],1,Table2[HomeTeam],$A28, Table2[AwayTeam], O$1, Table2[ActualResult], "SO"),0))</f>
        <v>0-0-0</v>
      </c>
      <c r="P28" t="str">
        <f>_xlfn.CONCAT(TEXT(SUMIFS(Table2[AwayWon], Table2[GameIsOver],1,Table2[AwayTeam],$A28, Table2[HomeTeam], P$1) + SUMIFS(Table2[HomeWon_], Table2[GameIsOver],1,Table2[HomeTeam],$A28, Table2[AwayTeam], P$1),0), "-", TEXT(SUMIFS(Table2[HomeWon_], Table2[GameIsOver],1,Table2[AwayTeam],$A28, Table2[HomeTeam], P$1, Table2[ActualResult], "REG") + SUMIFS(Table2[AwayWon], Table2[GameIsOver],1,Table2[HomeTeam],$A28, Table2[AwayTeam], P$1, Table2[ActualResult], "REG"),0), "-", TEXT(SUMIFS(Table2[HomeWon_], Table2[GameIsOver],1,Table2[AwayTeam],$A28, Table2[HomeTeam], P$1, Table2[ActualResult], "OT") + SUMIFS(Table2[AwayWon], Table2[GameIsOver],1,Table2[HomeTeam],$A28, Table2[AwayTeam], P$1, Table2[ActualResult], "OT") + SUMIFS(Table2[HomeWon_], Table2[GameIsOver],1,Table2[AwayTeam],$A28, Table2[HomeTeam], P$1, Table2[ActualResult], "SO") + SUMIFS(Table2[AwayWon], Table2[GameIsOver],1,Table2[HomeTeam],$A28, Table2[AwayTeam], P$1, Table2[ActualResult], "SO"),0))</f>
        <v>0-0-0</v>
      </c>
      <c r="Q28" s="57" t="str">
        <f>_xlfn.CONCAT(TEXT(SUMIFS(Table2[AwayWon], Table2[GameIsOver],1,Table2[AwayTeam],$A28, Table2[HomeTeam], Q$1) + SUMIFS(Table2[HomeWon_], Table2[GameIsOver],1,Table2[HomeTeam],$A28, Table2[AwayTeam], Q$1),0), "-", TEXT(SUMIFS(Table2[HomeWon_], Table2[GameIsOver],1,Table2[AwayTeam],$A28, Table2[HomeTeam], Q$1, Table2[ActualResult], "REG") + SUMIFS(Table2[AwayWon], Table2[GameIsOver],1,Table2[HomeTeam],$A28, Table2[AwayTeam], Q$1, Table2[ActualResult], "REG"),0), "-", TEXT(SUMIFS(Table2[HomeWon_], Table2[GameIsOver],1,Table2[AwayTeam],$A28, Table2[HomeTeam], Q$1, Table2[ActualResult], "OT") + SUMIFS(Table2[AwayWon], Table2[GameIsOver],1,Table2[HomeTeam],$A28, Table2[AwayTeam], Q$1, Table2[ActualResult], "OT") + SUMIFS(Table2[HomeWon_], Table2[GameIsOver],1,Table2[AwayTeam],$A28, Table2[HomeTeam], Q$1, Table2[ActualResult], "SO") + SUMIFS(Table2[AwayWon], Table2[GameIsOver],1,Table2[HomeTeam],$A28, Table2[AwayTeam], Q$1, Table2[ActualResult], "SO"),0))</f>
        <v>0-0-0</v>
      </c>
      <c r="R28" t="str">
        <f>_xlfn.CONCAT(TEXT(SUMIFS(Table2[AwayWon], Table2[GameIsOver],1,Table2[AwayTeam],$A28, Table2[HomeTeam], R$1) + SUMIFS(Table2[HomeWon_], Table2[GameIsOver],1,Table2[HomeTeam],$A28, Table2[AwayTeam], R$1),0), "-", TEXT(SUMIFS(Table2[HomeWon_], Table2[GameIsOver],1,Table2[AwayTeam],$A28, Table2[HomeTeam], R$1, Table2[ActualResult], "REG") + SUMIFS(Table2[AwayWon], Table2[GameIsOver],1,Table2[HomeTeam],$A28, Table2[AwayTeam], R$1, Table2[ActualResult], "REG"),0), "-", TEXT(SUMIFS(Table2[HomeWon_], Table2[GameIsOver],1,Table2[AwayTeam],$A28, Table2[HomeTeam], R$1, Table2[ActualResult], "OT") + SUMIFS(Table2[AwayWon], Table2[GameIsOver],1,Table2[HomeTeam],$A28, Table2[AwayTeam], R$1, Table2[ActualResult], "OT") + SUMIFS(Table2[HomeWon_], Table2[GameIsOver],1,Table2[AwayTeam],$A28, Table2[HomeTeam], R$1, Table2[ActualResult], "SO") + SUMIFS(Table2[AwayWon], Table2[GameIsOver],1,Table2[HomeTeam],$A28, Table2[AwayTeam], R$1, Table2[ActualResult], "SO"),0))</f>
        <v>0-0-0</v>
      </c>
      <c r="S28" t="str">
        <f>_xlfn.CONCAT(TEXT(SUMIFS(Table2[AwayWon], Table2[GameIsOver],1,Table2[AwayTeam],$A28, Table2[HomeTeam], S$1) + SUMIFS(Table2[HomeWon_], Table2[GameIsOver],1,Table2[HomeTeam],$A28, Table2[AwayTeam], S$1),0), "-", TEXT(SUMIFS(Table2[HomeWon_], Table2[GameIsOver],1,Table2[AwayTeam],$A28, Table2[HomeTeam], S$1, Table2[ActualResult], "REG") + SUMIFS(Table2[AwayWon], Table2[GameIsOver],1,Table2[HomeTeam],$A28, Table2[AwayTeam], S$1, Table2[ActualResult], "REG"),0), "-", TEXT(SUMIFS(Table2[HomeWon_], Table2[GameIsOver],1,Table2[AwayTeam],$A28, Table2[HomeTeam], S$1, Table2[ActualResult], "OT") + SUMIFS(Table2[AwayWon], Table2[GameIsOver],1,Table2[HomeTeam],$A28, Table2[AwayTeam], S$1, Table2[ActualResult], "OT") + SUMIFS(Table2[HomeWon_], Table2[GameIsOver],1,Table2[AwayTeam],$A28, Table2[HomeTeam], S$1, Table2[ActualResult], "SO") + SUMIFS(Table2[AwayWon], Table2[GameIsOver],1,Table2[HomeTeam],$A28, Table2[AwayTeam], S$1, Table2[ActualResult], "SO"),0))</f>
        <v>0-0-0</v>
      </c>
      <c r="T28" t="str">
        <f>_xlfn.CONCAT(TEXT(SUMIFS(Table2[AwayWon], Table2[GameIsOver],1,Table2[AwayTeam],$A28, Table2[HomeTeam], T$1) + SUMIFS(Table2[HomeWon_], Table2[GameIsOver],1,Table2[HomeTeam],$A28, Table2[AwayTeam], T$1),0), "-", TEXT(SUMIFS(Table2[HomeWon_], Table2[GameIsOver],1,Table2[AwayTeam],$A28, Table2[HomeTeam], T$1, Table2[ActualResult], "REG") + SUMIFS(Table2[AwayWon], Table2[GameIsOver],1,Table2[HomeTeam],$A28, Table2[AwayTeam], T$1, Table2[ActualResult], "REG"),0), "-", TEXT(SUMIFS(Table2[HomeWon_], Table2[GameIsOver],1,Table2[AwayTeam],$A28, Table2[HomeTeam], T$1, Table2[ActualResult], "OT") + SUMIFS(Table2[AwayWon], Table2[GameIsOver],1,Table2[HomeTeam],$A28, Table2[AwayTeam], T$1, Table2[ActualResult], "OT") + SUMIFS(Table2[HomeWon_], Table2[GameIsOver],1,Table2[AwayTeam],$A28, Table2[HomeTeam], T$1, Table2[ActualResult], "SO") + SUMIFS(Table2[AwayWon], Table2[GameIsOver],1,Table2[HomeTeam],$A28, Table2[AwayTeam], T$1, Table2[ActualResult], "SO"),0))</f>
        <v>0-0-0</v>
      </c>
      <c r="U28" t="str">
        <f>_xlfn.CONCAT(TEXT(SUMIFS(Table2[AwayWon], Table2[GameIsOver],1,Table2[AwayTeam],$A28, Table2[HomeTeam], U$1) + SUMIFS(Table2[HomeWon_], Table2[GameIsOver],1,Table2[HomeTeam],$A28, Table2[AwayTeam], U$1),0), "-", TEXT(SUMIFS(Table2[HomeWon_], Table2[GameIsOver],1,Table2[AwayTeam],$A28, Table2[HomeTeam], U$1, Table2[ActualResult], "REG") + SUMIFS(Table2[AwayWon], Table2[GameIsOver],1,Table2[HomeTeam],$A28, Table2[AwayTeam], U$1, Table2[ActualResult], "REG"),0), "-", TEXT(SUMIFS(Table2[HomeWon_], Table2[GameIsOver],1,Table2[AwayTeam],$A28, Table2[HomeTeam], U$1, Table2[ActualResult], "OT") + SUMIFS(Table2[AwayWon], Table2[GameIsOver],1,Table2[HomeTeam],$A28, Table2[AwayTeam], U$1, Table2[ActualResult], "OT") + SUMIFS(Table2[HomeWon_], Table2[GameIsOver],1,Table2[AwayTeam],$A28, Table2[HomeTeam], U$1, Table2[ActualResult], "SO") + SUMIFS(Table2[AwayWon], Table2[GameIsOver],1,Table2[HomeTeam],$A28, Table2[AwayTeam], U$1, Table2[ActualResult], "SO"),0))</f>
        <v>0-0-0</v>
      </c>
      <c r="V28" t="str">
        <f>_xlfn.CONCAT(TEXT(SUMIFS(Table2[AwayWon], Table2[GameIsOver],1,Table2[AwayTeam],$A28, Table2[HomeTeam], V$1) + SUMIFS(Table2[HomeWon_], Table2[GameIsOver],1,Table2[HomeTeam],$A28, Table2[AwayTeam], V$1),0), "-", TEXT(SUMIFS(Table2[HomeWon_], Table2[GameIsOver],1,Table2[AwayTeam],$A28, Table2[HomeTeam], V$1, Table2[ActualResult], "REG") + SUMIFS(Table2[AwayWon], Table2[GameIsOver],1,Table2[HomeTeam],$A28, Table2[AwayTeam], V$1, Table2[ActualResult], "REG"),0), "-", TEXT(SUMIFS(Table2[HomeWon_], Table2[GameIsOver],1,Table2[AwayTeam],$A28, Table2[HomeTeam], V$1, Table2[ActualResult], "OT") + SUMIFS(Table2[AwayWon], Table2[GameIsOver],1,Table2[HomeTeam],$A28, Table2[AwayTeam], V$1, Table2[ActualResult], "OT") + SUMIFS(Table2[HomeWon_], Table2[GameIsOver],1,Table2[AwayTeam],$A28, Table2[HomeTeam], V$1, Table2[ActualResult], "SO") + SUMIFS(Table2[AwayWon], Table2[GameIsOver],1,Table2[HomeTeam],$A28, Table2[AwayTeam], V$1, Table2[ActualResult], "SO"),0))</f>
        <v>0-0-0</v>
      </c>
      <c r="W28" t="str">
        <f>_xlfn.CONCAT(TEXT(SUMIFS(Table2[AwayWon], Table2[GameIsOver],1,Table2[AwayTeam],$A28, Table2[HomeTeam], W$1) + SUMIFS(Table2[HomeWon_], Table2[GameIsOver],1,Table2[HomeTeam],$A28, Table2[AwayTeam], W$1),0), "-", TEXT(SUMIFS(Table2[HomeWon_], Table2[GameIsOver],1,Table2[AwayTeam],$A28, Table2[HomeTeam], W$1, Table2[ActualResult], "REG") + SUMIFS(Table2[AwayWon], Table2[GameIsOver],1,Table2[HomeTeam],$A28, Table2[AwayTeam], W$1, Table2[ActualResult], "REG"),0), "-", TEXT(SUMIFS(Table2[HomeWon_], Table2[GameIsOver],1,Table2[AwayTeam],$A28, Table2[HomeTeam], W$1, Table2[ActualResult], "OT") + SUMIFS(Table2[AwayWon], Table2[GameIsOver],1,Table2[HomeTeam],$A28, Table2[AwayTeam], W$1, Table2[ActualResult], "OT") + SUMIFS(Table2[HomeWon_], Table2[GameIsOver],1,Table2[AwayTeam],$A28, Table2[HomeTeam], W$1, Table2[ActualResult], "SO") + SUMIFS(Table2[AwayWon], Table2[GameIsOver],1,Table2[HomeTeam],$A28, Table2[AwayTeam], W$1, Table2[ActualResult], "SO"),0))</f>
        <v>0-0-0</v>
      </c>
      <c r="X28" t="str">
        <f>_xlfn.CONCAT(TEXT(SUMIFS(Table2[AwayWon], Table2[GameIsOver],1,Table2[AwayTeam],$A28, Table2[HomeTeam], X$1) + SUMIFS(Table2[HomeWon_], Table2[GameIsOver],1,Table2[HomeTeam],$A28, Table2[AwayTeam], X$1),0), "-", TEXT(SUMIFS(Table2[HomeWon_], Table2[GameIsOver],1,Table2[AwayTeam],$A28, Table2[HomeTeam], X$1, Table2[ActualResult], "REG") + SUMIFS(Table2[AwayWon], Table2[GameIsOver],1,Table2[HomeTeam],$A28, Table2[AwayTeam], X$1, Table2[ActualResult], "REG"),0), "-", TEXT(SUMIFS(Table2[HomeWon_], Table2[GameIsOver],1,Table2[AwayTeam],$A28, Table2[HomeTeam], X$1, Table2[ActualResult], "OT") + SUMIFS(Table2[AwayWon], Table2[GameIsOver],1,Table2[HomeTeam],$A28, Table2[AwayTeam], X$1, Table2[ActualResult], "OT") + SUMIFS(Table2[HomeWon_], Table2[GameIsOver],1,Table2[AwayTeam],$A28, Table2[HomeTeam], X$1, Table2[ActualResult], "SO") + SUMIFS(Table2[AwayWon], Table2[GameIsOver],1,Table2[HomeTeam],$A28, Table2[AwayTeam], X$1, Table2[ActualResult], "SO"),0))</f>
        <v>0-0-0</v>
      </c>
      <c r="Y28" s="57" t="str">
        <f>_xlfn.CONCAT(TEXT(SUMIFS(Table2[AwayWon], Table2[GameIsOver],1,Table2[AwayTeam],$A28, Table2[HomeTeam], Y$1) + SUMIFS(Table2[HomeWon_], Table2[GameIsOver],1,Table2[HomeTeam],$A28, Table2[AwayTeam], Y$1),0), "-", TEXT(SUMIFS(Table2[HomeWon_], Table2[GameIsOver],1,Table2[AwayTeam],$A28, Table2[HomeTeam], Y$1, Table2[ActualResult], "REG") + SUMIFS(Table2[AwayWon], Table2[GameIsOver],1,Table2[HomeTeam],$A28, Table2[AwayTeam], Y$1, Table2[ActualResult], "REG"),0), "-", TEXT(SUMIFS(Table2[HomeWon_], Table2[GameIsOver],1,Table2[AwayTeam],$A28, Table2[HomeTeam], Y$1, Table2[ActualResult], "OT") + SUMIFS(Table2[AwayWon], Table2[GameIsOver],1,Table2[HomeTeam],$A28, Table2[AwayTeam], Y$1, Table2[ActualResult], "OT") + SUMIFS(Table2[HomeWon_], Table2[GameIsOver],1,Table2[AwayTeam],$A28, Table2[HomeTeam], Y$1, Table2[ActualResult], "SO") + SUMIFS(Table2[AwayWon], Table2[GameIsOver],1,Table2[HomeTeam],$A28, Table2[AwayTeam], Y$1, Table2[ActualResult], "SO"),0))</f>
        <v>0-0-0</v>
      </c>
      <c r="Z28" t="str">
        <f>_xlfn.CONCAT(TEXT(SUMIFS(Table2[AwayWon], Table2[GameIsOver],1,Table2[AwayTeam],$A28, Table2[HomeTeam], Z$1) + SUMIFS(Table2[HomeWon_], Table2[GameIsOver],1,Table2[HomeTeam],$A28, Table2[AwayTeam], Z$1),0), "-", TEXT(SUMIFS(Table2[HomeWon_], Table2[GameIsOver],1,Table2[AwayTeam],$A28, Table2[HomeTeam], Z$1, Table2[ActualResult], "REG") + SUMIFS(Table2[AwayWon], Table2[GameIsOver],1,Table2[HomeTeam],$A28, Table2[AwayTeam], Z$1, Table2[ActualResult], "REG"),0), "-", TEXT(SUMIFS(Table2[HomeWon_], Table2[GameIsOver],1,Table2[AwayTeam],$A28, Table2[HomeTeam], Z$1, Table2[ActualResult], "OT") + SUMIFS(Table2[AwayWon], Table2[GameIsOver],1,Table2[HomeTeam],$A28, Table2[AwayTeam], Z$1, Table2[ActualResult], "OT") + SUMIFS(Table2[HomeWon_], Table2[GameIsOver],1,Table2[AwayTeam],$A28, Table2[HomeTeam], Z$1, Table2[ActualResult], "SO") + SUMIFS(Table2[AwayWon], Table2[GameIsOver],1,Table2[HomeTeam],$A28, Table2[AwayTeam], Z$1, Table2[ActualResult], "SO"),0))</f>
        <v>0-0-0</v>
      </c>
      <c r="AA28" t="str">
        <f>_xlfn.CONCAT(TEXT(SUMIFS(Table2[AwayWon], Table2[GameIsOver],1,Table2[AwayTeam],$A28, Table2[HomeTeam], AA$1) + SUMIFS(Table2[HomeWon_], Table2[GameIsOver],1,Table2[HomeTeam],$A28, Table2[AwayTeam], AA$1),0), "-", TEXT(SUMIFS(Table2[HomeWon_], Table2[GameIsOver],1,Table2[AwayTeam],$A28, Table2[HomeTeam], AA$1, Table2[ActualResult], "REG") + SUMIFS(Table2[AwayWon], Table2[GameIsOver],1,Table2[HomeTeam],$A28, Table2[AwayTeam], AA$1, Table2[ActualResult], "REG"),0), "-", TEXT(SUMIFS(Table2[HomeWon_], Table2[GameIsOver],1,Table2[AwayTeam],$A28, Table2[HomeTeam], AA$1, Table2[ActualResult], "OT") + SUMIFS(Table2[AwayWon], Table2[GameIsOver],1,Table2[HomeTeam],$A28, Table2[AwayTeam], AA$1, Table2[ActualResult], "OT") + SUMIFS(Table2[HomeWon_], Table2[GameIsOver],1,Table2[AwayTeam],$A28, Table2[HomeTeam], AA$1, Table2[ActualResult], "SO") + SUMIFS(Table2[AwayWon], Table2[GameIsOver],1,Table2[HomeTeam],$A28, Table2[AwayTeam], AA$1, Table2[ActualResult], "SO"),0))</f>
        <v>0-0-0</v>
      </c>
      <c r="AB28" s="89"/>
      <c r="AC28" t="str">
        <f>_xlfn.CONCAT(TEXT(SUMIFS(Table2[AwayWon], Table2[GameIsOver],1,Table2[AwayTeam],$A28, Table2[HomeTeam], AC$1) + SUMIFS(Table2[HomeWon_], Table2[GameIsOver],1,Table2[HomeTeam],$A28, Table2[AwayTeam], AC$1),0), "-", TEXT(SUMIFS(Table2[HomeWon_], Table2[GameIsOver],1,Table2[AwayTeam],$A28, Table2[HomeTeam], AC$1, Table2[ActualResult], "REG") + SUMIFS(Table2[AwayWon], Table2[GameIsOver],1,Table2[HomeTeam],$A28, Table2[AwayTeam], AC$1, Table2[ActualResult], "REG"),0), "-", TEXT(SUMIFS(Table2[HomeWon_], Table2[GameIsOver],1,Table2[AwayTeam],$A28, Table2[HomeTeam], AC$1, Table2[ActualResult], "OT") + SUMIFS(Table2[AwayWon], Table2[GameIsOver],1,Table2[HomeTeam],$A28, Table2[AwayTeam], AC$1, Table2[ActualResult], "OT") + SUMIFS(Table2[HomeWon_], Table2[GameIsOver],1,Table2[AwayTeam],$A28, Table2[HomeTeam], AC$1, Table2[ActualResult], "SO") + SUMIFS(Table2[AwayWon], Table2[GameIsOver],1,Table2[HomeTeam],$A28, Table2[AwayTeam], AC$1, Table2[ActualResult], "SO"),0))</f>
        <v>1-0-0</v>
      </c>
      <c r="AD28" t="str">
        <f>_xlfn.CONCAT(TEXT(SUMIFS(Table2[AwayWon], Table2[GameIsOver],1,Table2[AwayTeam],$A28, Table2[HomeTeam], AD$1) + SUMIFS(Table2[HomeWon_], Table2[GameIsOver],1,Table2[HomeTeam],$A28, Table2[AwayTeam], AD$1),0), "-", TEXT(SUMIFS(Table2[HomeWon_], Table2[GameIsOver],1,Table2[AwayTeam],$A28, Table2[HomeTeam], AD$1, Table2[ActualResult], "REG") + SUMIFS(Table2[AwayWon], Table2[GameIsOver],1,Table2[HomeTeam],$A28, Table2[AwayTeam], AD$1, Table2[ActualResult], "REG"),0), "-", TEXT(SUMIFS(Table2[HomeWon_], Table2[GameIsOver],1,Table2[AwayTeam],$A28, Table2[HomeTeam], AD$1, Table2[ActualResult], "OT") + SUMIFS(Table2[AwayWon], Table2[GameIsOver],1,Table2[HomeTeam],$A28, Table2[AwayTeam], AD$1, Table2[ActualResult], "OT") + SUMIFS(Table2[HomeWon_], Table2[GameIsOver],1,Table2[AwayTeam],$A28, Table2[HomeTeam], AD$1, Table2[ActualResult], "SO") + SUMIFS(Table2[AwayWon], Table2[GameIsOver],1,Table2[HomeTeam],$A28, Table2[AwayTeam], AD$1, Table2[ActualResult], "SO"),0))</f>
        <v>0-1-0</v>
      </c>
      <c r="AE28" t="str">
        <f>_xlfn.CONCAT(TEXT(SUMIFS(Table2[AwayWon], Table2[GameIsOver],1,Table2[AwayTeam],$A28, Table2[HomeTeam], AE$1) + SUMIFS(Table2[HomeWon_], Table2[GameIsOver],1,Table2[HomeTeam],$A28, Table2[AwayTeam], AE$1),0), "-", TEXT(SUMIFS(Table2[HomeWon_], Table2[GameIsOver],1,Table2[AwayTeam],$A28, Table2[HomeTeam], AE$1, Table2[ActualResult], "REG") + SUMIFS(Table2[AwayWon], Table2[GameIsOver],1,Table2[HomeTeam],$A28, Table2[AwayTeam], AE$1, Table2[ActualResult], "REG"),0), "-", TEXT(SUMIFS(Table2[HomeWon_], Table2[GameIsOver],1,Table2[AwayTeam],$A28, Table2[HomeTeam], AE$1, Table2[ActualResult], "OT") + SUMIFS(Table2[AwayWon], Table2[GameIsOver],1,Table2[HomeTeam],$A28, Table2[AwayTeam], AE$1, Table2[ActualResult], "OT") + SUMIFS(Table2[HomeWon_], Table2[GameIsOver],1,Table2[AwayTeam],$A28, Table2[HomeTeam], AE$1, Table2[ActualResult], "SO") + SUMIFS(Table2[AwayWon], Table2[GameIsOver],1,Table2[HomeTeam],$A28, Table2[AwayTeam], AE$1, Table2[ActualResult], "SO"),0))</f>
        <v>0-0-0</v>
      </c>
      <c r="AF28" t="str">
        <f>_xlfn.CONCAT(TEXT(SUMIFS(Table2[AwayWon], Table2[GameIsOver],1,Table2[AwayTeam],$A28, Table2[HomeTeam], AF$1) + SUMIFS(Table2[HomeWon_], Table2[GameIsOver],1,Table2[HomeTeam],$A28, Table2[AwayTeam], AF$1),0), "-", TEXT(SUMIFS(Table2[HomeWon_], Table2[GameIsOver],1,Table2[AwayTeam],$A28, Table2[HomeTeam], AF$1, Table2[ActualResult], "REG") + SUMIFS(Table2[AwayWon], Table2[GameIsOver],1,Table2[HomeTeam],$A28, Table2[AwayTeam], AF$1, Table2[ActualResult], "REG"),0), "-", TEXT(SUMIFS(Table2[HomeWon_], Table2[GameIsOver],1,Table2[AwayTeam],$A28, Table2[HomeTeam], AF$1, Table2[ActualResult], "OT") + SUMIFS(Table2[AwayWon], Table2[GameIsOver],1,Table2[HomeTeam],$A28, Table2[AwayTeam], AF$1, Table2[ActualResult], "OT") + SUMIFS(Table2[HomeWon_], Table2[GameIsOver],1,Table2[AwayTeam],$A28, Table2[HomeTeam], AF$1, Table2[ActualResult], "SO") + SUMIFS(Table2[AwayWon], Table2[GameIsOver],1,Table2[HomeTeam],$A28, Table2[AwayTeam], AF$1, Table2[ActualResult], "SO"),0))</f>
        <v>1-0-0</v>
      </c>
      <c r="AG28" t="str">
        <f>_xlfn.CONCAT(TEXT(SUMIFS(Table2[AwayWon], Table2[GameIsOver],1,Table2[AwayTeam],$A28, Table2[HomeTeam], AG$1) + SUMIFS(Table2[HomeWon_], Table2[GameIsOver],1,Table2[HomeTeam],$A28, Table2[AwayTeam], AG$1),0), "-", TEXT(SUMIFS(Table2[HomeWon_], Table2[GameIsOver],1,Table2[AwayTeam],$A28, Table2[HomeTeam], AG$1, Table2[ActualResult], "REG") + SUMIFS(Table2[AwayWon], Table2[GameIsOver],1,Table2[HomeTeam],$A28, Table2[AwayTeam], AG$1, Table2[ActualResult], "REG"),0), "-", TEXT(SUMIFS(Table2[HomeWon_], Table2[GameIsOver],1,Table2[AwayTeam],$A28, Table2[HomeTeam], AG$1, Table2[ActualResult], "OT") + SUMIFS(Table2[AwayWon], Table2[GameIsOver],1,Table2[HomeTeam],$A28, Table2[AwayTeam], AG$1, Table2[ActualResult], "OT") + SUMIFS(Table2[HomeWon_], Table2[GameIsOver],1,Table2[AwayTeam],$A28, Table2[HomeTeam], AG$1, Table2[ActualResult], "SO") + SUMIFS(Table2[AwayWon], Table2[GameIsOver],1,Table2[HomeTeam],$A28, Table2[AwayTeam], AG$1, Table2[ActualResult], "SO"),0))</f>
        <v>2-0-0</v>
      </c>
    </row>
    <row r="29" spans="1:33" x14ac:dyDescent="0.25">
      <c r="A29" s="57" t="s">
        <v>13</v>
      </c>
      <c r="B29" t="str">
        <f>_xlfn.CONCAT(TEXT(SUMIFS(Table2[AwayWon], Table2[GameIsOver],1,Table2[AwayTeam],$A29, Table2[HomeTeam], B$1) + SUMIFS(Table2[HomeWon_], Table2[GameIsOver],1,Table2[HomeTeam],$A29, Table2[AwayTeam], B$1),0), "-", TEXT(SUMIFS(Table2[HomeWon_], Table2[GameIsOver],1,Table2[AwayTeam],$A29, Table2[HomeTeam], B$1, Table2[ActualResult], "REG") + SUMIFS(Table2[AwayWon], Table2[GameIsOver],1,Table2[HomeTeam],$A29, Table2[AwayTeam], B$1, Table2[ActualResult], "REG"),0), "-", TEXT(SUMIFS(Table2[HomeWon_], Table2[GameIsOver],1,Table2[AwayTeam],$A29, Table2[HomeTeam], B$1, Table2[ActualResult], "OT") + SUMIFS(Table2[AwayWon], Table2[GameIsOver],1,Table2[HomeTeam],$A29, Table2[AwayTeam], B$1, Table2[ActualResult], "OT") + SUMIFS(Table2[HomeWon_], Table2[GameIsOver],1,Table2[AwayTeam],$A29, Table2[HomeTeam], B$1, Table2[ActualResult], "SO") + SUMIFS(Table2[AwayWon], Table2[GameIsOver],1,Table2[HomeTeam],$A29, Table2[AwayTeam], B$1, Table2[ActualResult], "SO"),0))</f>
        <v>0-0-0</v>
      </c>
      <c r="C29" t="str">
        <f>_xlfn.CONCAT(TEXT(SUMIFS(Table2[AwayWon], Table2[GameIsOver],1,Table2[AwayTeam],$A29, Table2[HomeTeam], C$1) + SUMIFS(Table2[HomeWon_], Table2[GameIsOver],1,Table2[HomeTeam],$A29, Table2[AwayTeam], C$1),0), "-", TEXT(SUMIFS(Table2[HomeWon_], Table2[GameIsOver],1,Table2[AwayTeam],$A29, Table2[HomeTeam], C$1, Table2[ActualResult], "REG") + SUMIFS(Table2[AwayWon], Table2[GameIsOver],1,Table2[HomeTeam],$A29, Table2[AwayTeam], C$1, Table2[ActualResult], "REG"),0), "-", TEXT(SUMIFS(Table2[HomeWon_], Table2[GameIsOver],1,Table2[AwayTeam],$A29, Table2[HomeTeam], C$1, Table2[ActualResult], "OT") + SUMIFS(Table2[AwayWon], Table2[GameIsOver],1,Table2[HomeTeam],$A29, Table2[AwayTeam], C$1, Table2[ActualResult], "OT") + SUMIFS(Table2[HomeWon_], Table2[GameIsOver],1,Table2[AwayTeam],$A29, Table2[HomeTeam], C$1, Table2[ActualResult], "SO") + SUMIFS(Table2[AwayWon], Table2[GameIsOver],1,Table2[HomeTeam],$A29, Table2[AwayTeam], C$1, Table2[ActualResult], "SO"),0))</f>
        <v>0-0-0</v>
      </c>
      <c r="D29" t="str">
        <f>_xlfn.CONCAT(TEXT(SUMIFS(Table2[AwayWon], Table2[GameIsOver],1,Table2[AwayTeam],$A29, Table2[HomeTeam], D$1) + SUMIFS(Table2[HomeWon_], Table2[GameIsOver],1,Table2[HomeTeam],$A29, Table2[AwayTeam], D$1),0), "-", TEXT(SUMIFS(Table2[HomeWon_], Table2[GameIsOver],1,Table2[AwayTeam],$A29, Table2[HomeTeam], D$1, Table2[ActualResult], "REG") + SUMIFS(Table2[AwayWon], Table2[GameIsOver],1,Table2[HomeTeam],$A29, Table2[AwayTeam], D$1, Table2[ActualResult], "REG"),0), "-", TEXT(SUMIFS(Table2[HomeWon_], Table2[GameIsOver],1,Table2[AwayTeam],$A29, Table2[HomeTeam], D$1, Table2[ActualResult], "OT") + SUMIFS(Table2[AwayWon], Table2[GameIsOver],1,Table2[HomeTeam],$A29, Table2[AwayTeam], D$1, Table2[ActualResult], "OT") + SUMIFS(Table2[HomeWon_], Table2[GameIsOver],1,Table2[AwayTeam],$A29, Table2[HomeTeam], D$1, Table2[ActualResult], "SO") + SUMIFS(Table2[AwayWon], Table2[GameIsOver],1,Table2[HomeTeam],$A29, Table2[AwayTeam], D$1, Table2[ActualResult], "SO"),0))</f>
        <v>0-0-0</v>
      </c>
      <c r="E29" t="str">
        <f>_xlfn.CONCAT(TEXT(SUMIFS(Table2[AwayWon], Table2[GameIsOver],1,Table2[AwayTeam],$A29, Table2[HomeTeam], E$1) + SUMIFS(Table2[HomeWon_], Table2[GameIsOver],1,Table2[HomeTeam],$A29, Table2[AwayTeam], E$1),0), "-", TEXT(SUMIFS(Table2[HomeWon_], Table2[GameIsOver],1,Table2[AwayTeam],$A29, Table2[HomeTeam], E$1, Table2[ActualResult], "REG") + SUMIFS(Table2[AwayWon], Table2[GameIsOver],1,Table2[HomeTeam],$A29, Table2[AwayTeam], E$1, Table2[ActualResult], "REG"),0), "-", TEXT(SUMIFS(Table2[HomeWon_], Table2[GameIsOver],1,Table2[AwayTeam],$A29, Table2[HomeTeam], E$1, Table2[ActualResult], "OT") + SUMIFS(Table2[AwayWon], Table2[GameIsOver],1,Table2[HomeTeam],$A29, Table2[AwayTeam], E$1, Table2[ActualResult], "OT") + SUMIFS(Table2[HomeWon_], Table2[GameIsOver],1,Table2[AwayTeam],$A29, Table2[HomeTeam], E$1, Table2[ActualResult], "SO") + SUMIFS(Table2[AwayWon], Table2[GameIsOver],1,Table2[HomeTeam],$A29, Table2[AwayTeam], E$1, Table2[ActualResult], "SO"),0))</f>
        <v>0-0-0</v>
      </c>
      <c r="F29" t="str">
        <f>_xlfn.CONCAT(TEXT(SUMIFS(Table2[AwayWon], Table2[GameIsOver],1,Table2[AwayTeam],$A29, Table2[HomeTeam], F$1) + SUMIFS(Table2[HomeWon_], Table2[GameIsOver],1,Table2[HomeTeam],$A29, Table2[AwayTeam], F$1),0), "-", TEXT(SUMIFS(Table2[HomeWon_], Table2[GameIsOver],1,Table2[AwayTeam],$A29, Table2[HomeTeam], F$1, Table2[ActualResult], "REG") + SUMIFS(Table2[AwayWon], Table2[GameIsOver],1,Table2[HomeTeam],$A29, Table2[AwayTeam], F$1, Table2[ActualResult], "REG"),0), "-", TEXT(SUMIFS(Table2[HomeWon_], Table2[GameIsOver],1,Table2[AwayTeam],$A29, Table2[HomeTeam], F$1, Table2[ActualResult], "OT") + SUMIFS(Table2[AwayWon], Table2[GameIsOver],1,Table2[HomeTeam],$A29, Table2[AwayTeam], F$1, Table2[ActualResult], "OT") + SUMIFS(Table2[HomeWon_], Table2[GameIsOver],1,Table2[AwayTeam],$A29, Table2[HomeTeam], F$1, Table2[ActualResult], "SO") + SUMIFS(Table2[AwayWon], Table2[GameIsOver],1,Table2[HomeTeam],$A29, Table2[AwayTeam], F$1, Table2[ActualResult], "SO"),0))</f>
        <v>0-0-0</v>
      </c>
      <c r="G29" t="str">
        <f>_xlfn.CONCAT(TEXT(SUMIFS(Table2[AwayWon], Table2[GameIsOver],1,Table2[AwayTeam],$A29, Table2[HomeTeam], G$1) + SUMIFS(Table2[HomeWon_], Table2[GameIsOver],1,Table2[HomeTeam],$A29, Table2[AwayTeam], G$1),0), "-", TEXT(SUMIFS(Table2[HomeWon_], Table2[GameIsOver],1,Table2[AwayTeam],$A29, Table2[HomeTeam], G$1, Table2[ActualResult], "REG") + SUMIFS(Table2[AwayWon], Table2[GameIsOver],1,Table2[HomeTeam],$A29, Table2[AwayTeam], G$1, Table2[ActualResult], "REG"),0), "-", TEXT(SUMIFS(Table2[HomeWon_], Table2[GameIsOver],1,Table2[AwayTeam],$A29, Table2[HomeTeam], G$1, Table2[ActualResult], "OT") + SUMIFS(Table2[AwayWon], Table2[GameIsOver],1,Table2[HomeTeam],$A29, Table2[AwayTeam], G$1, Table2[ActualResult], "OT") + SUMIFS(Table2[HomeWon_], Table2[GameIsOver],1,Table2[AwayTeam],$A29, Table2[HomeTeam], G$1, Table2[ActualResult], "SO") + SUMIFS(Table2[AwayWon], Table2[GameIsOver],1,Table2[HomeTeam],$A29, Table2[AwayTeam], G$1, Table2[ActualResult], "SO"),0))</f>
        <v>0-0-0</v>
      </c>
      <c r="H29" t="str">
        <f>_xlfn.CONCAT(TEXT(SUMIFS(Table2[AwayWon], Table2[GameIsOver],1,Table2[AwayTeam],$A29, Table2[HomeTeam], H$1) + SUMIFS(Table2[HomeWon_], Table2[GameIsOver],1,Table2[HomeTeam],$A29, Table2[AwayTeam], H$1),0), "-", TEXT(SUMIFS(Table2[HomeWon_], Table2[GameIsOver],1,Table2[AwayTeam],$A29, Table2[HomeTeam], H$1, Table2[ActualResult], "REG") + SUMIFS(Table2[AwayWon], Table2[GameIsOver],1,Table2[HomeTeam],$A29, Table2[AwayTeam], H$1, Table2[ActualResult], "REG"),0), "-", TEXT(SUMIFS(Table2[HomeWon_], Table2[GameIsOver],1,Table2[AwayTeam],$A29, Table2[HomeTeam], H$1, Table2[ActualResult], "OT") + SUMIFS(Table2[AwayWon], Table2[GameIsOver],1,Table2[HomeTeam],$A29, Table2[AwayTeam], H$1, Table2[ActualResult], "OT") + SUMIFS(Table2[HomeWon_], Table2[GameIsOver],1,Table2[AwayTeam],$A29, Table2[HomeTeam], H$1, Table2[ActualResult], "SO") + SUMIFS(Table2[AwayWon], Table2[GameIsOver],1,Table2[HomeTeam],$A29, Table2[AwayTeam], H$1, Table2[ActualResult], "SO"),0))</f>
        <v>0-0-0</v>
      </c>
      <c r="I29" s="57" t="str">
        <f>_xlfn.CONCAT(TEXT(SUMIFS(Table2[AwayWon], Table2[GameIsOver],1,Table2[AwayTeam],$A29, Table2[HomeTeam], I$1) + SUMIFS(Table2[HomeWon_], Table2[GameIsOver],1,Table2[HomeTeam],$A29, Table2[AwayTeam], I$1),0), "-", TEXT(SUMIFS(Table2[HomeWon_], Table2[GameIsOver],1,Table2[AwayTeam],$A29, Table2[HomeTeam], I$1, Table2[ActualResult], "REG") + SUMIFS(Table2[AwayWon], Table2[GameIsOver],1,Table2[HomeTeam],$A29, Table2[AwayTeam], I$1, Table2[ActualResult], "REG"),0), "-", TEXT(SUMIFS(Table2[HomeWon_], Table2[GameIsOver],1,Table2[AwayTeam],$A29, Table2[HomeTeam], I$1, Table2[ActualResult], "OT") + SUMIFS(Table2[AwayWon], Table2[GameIsOver],1,Table2[HomeTeam],$A29, Table2[AwayTeam], I$1, Table2[ActualResult], "OT") + SUMIFS(Table2[HomeWon_], Table2[GameIsOver],1,Table2[AwayTeam],$A29, Table2[HomeTeam], I$1, Table2[ActualResult], "SO") + SUMIFS(Table2[AwayWon], Table2[GameIsOver],1,Table2[HomeTeam],$A29, Table2[AwayTeam], I$1, Table2[ActualResult], "SO"),0))</f>
        <v>0-0-0</v>
      </c>
      <c r="J29" t="str">
        <f>_xlfn.CONCAT(TEXT(SUMIFS(Table2[AwayWon], Table2[GameIsOver],1,Table2[AwayTeam],$A29, Table2[HomeTeam], J$1) + SUMIFS(Table2[HomeWon_], Table2[GameIsOver],1,Table2[HomeTeam],$A29, Table2[AwayTeam], J$1),0), "-", TEXT(SUMIFS(Table2[HomeWon_], Table2[GameIsOver],1,Table2[AwayTeam],$A29, Table2[HomeTeam], J$1, Table2[ActualResult], "REG") + SUMIFS(Table2[AwayWon], Table2[GameIsOver],1,Table2[HomeTeam],$A29, Table2[AwayTeam], J$1, Table2[ActualResult], "REG"),0), "-", TEXT(SUMIFS(Table2[HomeWon_], Table2[GameIsOver],1,Table2[AwayTeam],$A29, Table2[HomeTeam], J$1, Table2[ActualResult], "OT") + SUMIFS(Table2[AwayWon], Table2[GameIsOver],1,Table2[HomeTeam],$A29, Table2[AwayTeam], J$1, Table2[ActualResult], "OT") + SUMIFS(Table2[HomeWon_], Table2[GameIsOver],1,Table2[AwayTeam],$A29, Table2[HomeTeam], J$1, Table2[ActualResult], "SO") + SUMIFS(Table2[AwayWon], Table2[GameIsOver],1,Table2[HomeTeam],$A29, Table2[AwayTeam], J$1, Table2[ActualResult], "SO"),0))</f>
        <v>1-0-0</v>
      </c>
      <c r="K29" t="str">
        <f>_xlfn.CONCAT(TEXT(SUMIFS(Table2[AwayWon], Table2[GameIsOver],1,Table2[AwayTeam],$A29, Table2[HomeTeam], K$1) + SUMIFS(Table2[HomeWon_], Table2[GameIsOver],1,Table2[HomeTeam],$A29, Table2[AwayTeam], K$1),0), "-", TEXT(SUMIFS(Table2[HomeWon_], Table2[GameIsOver],1,Table2[AwayTeam],$A29, Table2[HomeTeam], K$1, Table2[ActualResult], "REG") + SUMIFS(Table2[AwayWon], Table2[GameIsOver],1,Table2[HomeTeam],$A29, Table2[AwayTeam], K$1, Table2[ActualResult], "REG"),0), "-", TEXT(SUMIFS(Table2[HomeWon_], Table2[GameIsOver],1,Table2[AwayTeam],$A29, Table2[HomeTeam], K$1, Table2[ActualResult], "OT") + SUMIFS(Table2[AwayWon], Table2[GameIsOver],1,Table2[HomeTeam],$A29, Table2[AwayTeam], K$1, Table2[ActualResult], "OT") + SUMIFS(Table2[HomeWon_], Table2[GameIsOver],1,Table2[AwayTeam],$A29, Table2[HomeTeam], K$1, Table2[ActualResult], "SO") + SUMIFS(Table2[AwayWon], Table2[GameIsOver],1,Table2[HomeTeam],$A29, Table2[AwayTeam], K$1, Table2[ActualResult], "SO"),0))</f>
        <v>0-0-0</v>
      </c>
      <c r="L29" t="str">
        <f>_xlfn.CONCAT(TEXT(SUMIFS(Table2[AwayWon], Table2[GameIsOver],1,Table2[AwayTeam],$A29, Table2[HomeTeam], L$1) + SUMIFS(Table2[HomeWon_], Table2[GameIsOver],1,Table2[HomeTeam],$A29, Table2[AwayTeam], L$1),0), "-", TEXT(SUMIFS(Table2[HomeWon_], Table2[GameIsOver],1,Table2[AwayTeam],$A29, Table2[HomeTeam], L$1, Table2[ActualResult], "REG") + SUMIFS(Table2[AwayWon], Table2[GameIsOver],1,Table2[HomeTeam],$A29, Table2[AwayTeam], L$1, Table2[ActualResult], "REG"),0), "-", TEXT(SUMIFS(Table2[HomeWon_], Table2[GameIsOver],1,Table2[AwayTeam],$A29, Table2[HomeTeam], L$1, Table2[ActualResult], "OT") + SUMIFS(Table2[AwayWon], Table2[GameIsOver],1,Table2[HomeTeam],$A29, Table2[AwayTeam], L$1, Table2[ActualResult], "OT") + SUMIFS(Table2[HomeWon_], Table2[GameIsOver],1,Table2[AwayTeam],$A29, Table2[HomeTeam], L$1, Table2[ActualResult], "SO") + SUMIFS(Table2[AwayWon], Table2[GameIsOver],1,Table2[HomeTeam],$A29, Table2[AwayTeam], L$1, Table2[ActualResult], "SO"),0))</f>
        <v>0-0-0</v>
      </c>
      <c r="M29" t="str">
        <f>_xlfn.CONCAT(TEXT(SUMIFS(Table2[AwayWon], Table2[GameIsOver],1,Table2[AwayTeam],$A29, Table2[HomeTeam], M$1) + SUMIFS(Table2[HomeWon_], Table2[GameIsOver],1,Table2[HomeTeam],$A29, Table2[AwayTeam], M$1),0), "-", TEXT(SUMIFS(Table2[HomeWon_], Table2[GameIsOver],1,Table2[AwayTeam],$A29, Table2[HomeTeam], M$1, Table2[ActualResult], "REG") + SUMIFS(Table2[AwayWon], Table2[GameIsOver],1,Table2[HomeTeam],$A29, Table2[AwayTeam], M$1, Table2[ActualResult], "REG"),0), "-", TEXT(SUMIFS(Table2[HomeWon_], Table2[GameIsOver],1,Table2[AwayTeam],$A29, Table2[HomeTeam], M$1, Table2[ActualResult], "OT") + SUMIFS(Table2[AwayWon], Table2[GameIsOver],1,Table2[HomeTeam],$A29, Table2[AwayTeam], M$1, Table2[ActualResult], "OT") + SUMIFS(Table2[HomeWon_], Table2[GameIsOver],1,Table2[AwayTeam],$A29, Table2[HomeTeam], M$1, Table2[ActualResult], "SO") + SUMIFS(Table2[AwayWon], Table2[GameIsOver],1,Table2[HomeTeam],$A29, Table2[AwayTeam], M$1, Table2[ActualResult], "SO"),0))</f>
        <v>0-0-0</v>
      </c>
      <c r="N29" t="str">
        <f>_xlfn.CONCAT(TEXT(SUMIFS(Table2[AwayWon], Table2[GameIsOver],1,Table2[AwayTeam],$A29, Table2[HomeTeam], N$1) + SUMIFS(Table2[HomeWon_], Table2[GameIsOver],1,Table2[HomeTeam],$A29, Table2[AwayTeam], N$1),0), "-", TEXT(SUMIFS(Table2[HomeWon_], Table2[GameIsOver],1,Table2[AwayTeam],$A29, Table2[HomeTeam], N$1, Table2[ActualResult], "REG") + SUMIFS(Table2[AwayWon], Table2[GameIsOver],1,Table2[HomeTeam],$A29, Table2[AwayTeam], N$1, Table2[ActualResult], "REG"),0), "-", TEXT(SUMIFS(Table2[HomeWon_], Table2[GameIsOver],1,Table2[AwayTeam],$A29, Table2[HomeTeam], N$1, Table2[ActualResult], "OT") + SUMIFS(Table2[AwayWon], Table2[GameIsOver],1,Table2[HomeTeam],$A29, Table2[AwayTeam], N$1, Table2[ActualResult], "OT") + SUMIFS(Table2[HomeWon_], Table2[GameIsOver],1,Table2[AwayTeam],$A29, Table2[HomeTeam], N$1, Table2[ActualResult], "SO") + SUMIFS(Table2[AwayWon], Table2[GameIsOver],1,Table2[HomeTeam],$A29, Table2[AwayTeam], N$1, Table2[ActualResult], "SO"),0))</f>
        <v>0-0-0</v>
      </c>
      <c r="O29" t="str">
        <f>_xlfn.CONCAT(TEXT(SUMIFS(Table2[AwayWon], Table2[GameIsOver],1,Table2[AwayTeam],$A29, Table2[HomeTeam], O$1) + SUMIFS(Table2[HomeWon_], Table2[GameIsOver],1,Table2[HomeTeam],$A29, Table2[AwayTeam], O$1),0), "-", TEXT(SUMIFS(Table2[HomeWon_], Table2[GameIsOver],1,Table2[AwayTeam],$A29, Table2[HomeTeam], O$1, Table2[ActualResult], "REG") + SUMIFS(Table2[AwayWon], Table2[GameIsOver],1,Table2[HomeTeam],$A29, Table2[AwayTeam], O$1, Table2[ActualResult], "REG"),0), "-", TEXT(SUMIFS(Table2[HomeWon_], Table2[GameIsOver],1,Table2[AwayTeam],$A29, Table2[HomeTeam], O$1, Table2[ActualResult], "OT") + SUMIFS(Table2[AwayWon], Table2[GameIsOver],1,Table2[HomeTeam],$A29, Table2[AwayTeam], O$1, Table2[ActualResult], "OT") + SUMIFS(Table2[HomeWon_], Table2[GameIsOver],1,Table2[AwayTeam],$A29, Table2[HomeTeam], O$1, Table2[ActualResult], "SO") + SUMIFS(Table2[AwayWon], Table2[GameIsOver],1,Table2[HomeTeam],$A29, Table2[AwayTeam], O$1, Table2[ActualResult], "SO"),0))</f>
        <v>0-0-0</v>
      </c>
      <c r="P29" t="str">
        <f>_xlfn.CONCAT(TEXT(SUMIFS(Table2[AwayWon], Table2[GameIsOver],1,Table2[AwayTeam],$A29, Table2[HomeTeam], P$1) + SUMIFS(Table2[HomeWon_], Table2[GameIsOver],1,Table2[HomeTeam],$A29, Table2[AwayTeam], P$1),0), "-", TEXT(SUMIFS(Table2[HomeWon_], Table2[GameIsOver],1,Table2[AwayTeam],$A29, Table2[HomeTeam], P$1, Table2[ActualResult], "REG") + SUMIFS(Table2[AwayWon], Table2[GameIsOver],1,Table2[HomeTeam],$A29, Table2[AwayTeam], P$1, Table2[ActualResult], "REG"),0), "-", TEXT(SUMIFS(Table2[HomeWon_], Table2[GameIsOver],1,Table2[AwayTeam],$A29, Table2[HomeTeam], P$1, Table2[ActualResult], "OT") + SUMIFS(Table2[AwayWon], Table2[GameIsOver],1,Table2[HomeTeam],$A29, Table2[AwayTeam], P$1, Table2[ActualResult], "OT") + SUMIFS(Table2[HomeWon_], Table2[GameIsOver],1,Table2[AwayTeam],$A29, Table2[HomeTeam], P$1, Table2[ActualResult], "SO") + SUMIFS(Table2[AwayWon], Table2[GameIsOver],1,Table2[HomeTeam],$A29, Table2[AwayTeam], P$1, Table2[ActualResult], "SO"),0))</f>
        <v>0-0-0</v>
      </c>
      <c r="Q29" s="57" t="str">
        <f>_xlfn.CONCAT(TEXT(SUMIFS(Table2[AwayWon], Table2[GameIsOver],1,Table2[AwayTeam],$A29, Table2[HomeTeam], Q$1) + SUMIFS(Table2[HomeWon_], Table2[GameIsOver],1,Table2[HomeTeam],$A29, Table2[AwayTeam], Q$1),0), "-", TEXT(SUMIFS(Table2[HomeWon_], Table2[GameIsOver],1,Table2[AwayTeam],$A29, Table2[HomeTeam], Q$1, Table2[ActualResult], "REG") + SUMIFS(Table2[AwayWon], Table2[GameIsOver],1,Table2[HomeTeam],$A29, Table2[AwayTeam], Q$1, Table2[ActualResult], "REG"),0), "-", TEXT(SUMIFS(Table2[HomeWon_], Table2[GameIsOver],1,Table2[AwayTeam],$A29, Table2[HomeTeam], Q$1, Table2[ActualResult], "OT") + SUMIFS(Table2[AwayWon], Table2[GameIsOver],1,Table2[HomeTeam],$A29, Table2[AwayTeam], Q$1, Table2[ActualResult], "OT") + SUMIFS(Table2[HomeWon_], Table2[GameIsOver],1,Table2[AwayTeam],$A29, Table2[HomeTeam], Q$1, Table2[ActualResult], "SO") + SUMIFS(Table2[AwayWon], Table2[GameIsOver],1,Table2[HomeTeam],$A29, Table2[AwayTeam], Q$1, Table2[ActualResult], "SO"),0))</f>
        <v>0-0-0</v>
      </c>
      <c r="R29" t="str">
        <f>_xlfn.CONCAT(TEXT(SUMIFS(Table2[AwayWon], Table2[GameIsOver],1,Table2[AwayTeam],$A29, Table2[HomeTeam], R$1) + SUMIFS(Table2[HomeWon_], Table2[GameIsOver],1,Table2[HomeTeam],$A29, Table2[AwayTeam], R$1),0), "-", TEXT(SUMIFS(Table2[HomeWon_], Table2[GameIsOver],1,Table2[AwayTeam],$A29, Table2[HomeTeam], R$1, Table2[ActualResult], "REG") + SUMIFS(Table2[AwayWon], Table2[GameIsOver],1,Table2[HomeTeam],$A29, Table2[AwayTeam], R$1, Table2[ActualResult], "REG"),0), "-", TEXT(SUMIFS(Table2[HomeWon_], Table2[GameIsOver],1,Table2[AwayTeam],$A29, Table2[HomeTeam], R$1, Table2[ActualResult], "OT") + SUMIFS(Table2[AwayWon], Table2[GameIsOver],1,Table2[HomeTeam],$A29, Table2[AwayTeam], R$1, Table2[ActualResult], "OT") + SUMIFS(Table2[HomeWon_], Table2[GameIsOver],1,Table2[AwayTeam],$A29, Table2[HomeTeam], R$1, Table2[ActualResult], "SO") + SUMIFS(Table2[AwayWon], Table2[GameIsOver],1,Table2[HomeTeam],$A29, Table2[AwayTeam], R$1, Table2[ActualResult], "SO"),0))</f>
        <v>0-0-0</v>
      </c>
      <c r="S29" t="str">
        <f>_xlfn.CONCAT(TEXT(SUMIFS(Table2[AwayWon], Table2[GameIsOver],1,Table2[AwayTeam],$A29, Table2[HomeTeam], S$1) + SUMIFS(Table2[HomeWon_], Table2[GameIsOver],1,Table2[HomeTeam],$A29, Table2[AwayTeam], S$1),0), "-", TEXT(SUMIFS(Table2[HomeWon_], Table2[GameIsOver],1,Table2[AwayTeam],$A29, Table2[HomeTeam], S$1, Table2[ActualResult], "REG") + SUMIFS(Table2[AwayWon], Table2[GameIsOver],1,Table2[HomeTeam],$A29, Table2[AwayTeam], S$1, Table2[ActualResult], "REG"),0), "-", TEXT(SUMIFS(Table2[HomeWon_], Table2[GameIsOver],1,Table2[AwayTeam],$A29, Table2[HomeTeam], S$1, Table2[ActualResult], "OT") + SUMIFS(Table2[AwayWon], Table2[GameIsOver],1,Table2[HomeTeam],$A29, Table2[AwayTeam], S$1, Table2[ActualResult], "OT") + SUMIFS(Table2[HomeWon_], Table2[GameIsOver],1,Table2[AwayTeam],$A29, Table2[HomeTeam], S$1, Table2[ActualResult], "SO") + SUMIFS(Table2[AwayWon], Table2[GameIsOver],1,Table2[HomeTeam],$A29, Table2[AwayTeam], S$1, Table2[ActualResult], "SO"),0))</f>
        <v>0-0-0</v>
      </c>
      <c r="T29" t="str">
        <f>_xlfn.CONCAT(TEXT(SUMIFS(Table2[AwayWon], Table2[GameIsOver],1,Table2[AwayTeam],$A29, Table2[HomeTeam], T$1) + SUMIFS(Table2[HomeWon_], Table2[GameIsOver],1,Table2[HomeTeam],$A29, Table2[AwayTeam], T$1),0), "-", TEXT(SUMIFS(Table2[HomeWon_], Table2[GameIsOver],1,Table2[AwayTeam],$A29, Table2[HomeTeam], T$1, Table2[ActualResult], "REG") + SUMIFS(Table2[AwayWon], Table2[GameIsOver],1,Table2[HomeTeam],$A29, Table2[AwayTeam], T$1, Table2[ActualResult], "REG"),0), "-", TEXT(SUMIFS(Table2[HomeWon_], Table2[GameIsOver],1,Table2[AwayTeam],$A29, Table2[HomeTeam], T$1, Table2[ActualResult], "OT") + SUMIFS(Table2[AwayWon], Table2[GameIsOver],1,Table2[HomeTeam],$A29, Table2[AwayTeam], T$1, Table2[ActualResult], "OT") + SUMIFS(Table2[HomeWon_], Table2[GameIsOver],1,Table2[AwayTeam],$A29, Table2[HomeTeam], T$1, Table2[ActualResult], "SO") + SUMIFS(Table2[AwayWon], Table2[GameIsOver],1,Table2[HomeTeam],$A29, Table2[AwayTeam], T$1, Table2[ActualResult], "SO"),0))</f>
        <v>0-1-0</v>
      </c>
      <c r="U29" t="str">
        <f>_xlfn.CONCAT(TEXT(SUMIFS(Table2[AwayWon], Table2[GameIsOver],1,Table2[AwayTeam],$A29, Table2[HomeTeam], U$1) + SUMIFS(Table2[HomeWon_], Table2[GameIsOver],1,Table2[HomeTeam],$A29, Table2[AwayTeam], U$1),0), "-", TEXT(SUMIFS(Table2[HomeWon_], Table2[GameIsOver],1,Table2[AwayTeam],$A29, Table2[HomeTeam], U$1, Table2[ActualResult], "REG") + SUMIFS(Table2[AwayWon], Table2[GameIsOver],1,Table2[HomeTeam],$A29, Table2[AwayTeam], U$1, Table2[ActualResult], "REG"),0), "-", TEXT(SUMIFS(Table2[HomeWon_], Table2[GameIsOver],1,Table2[AwayTeam],$A29, Table2[HomeTeam], U$1, Table2[ActualResult], "OT") + SUMIFS(Table2[AwayWon], Table2[GameIsOver],1,Table2[HomeTeam],$A29, Table2[AwayTeam], U$1, Table2[ActualResult], "OT") + SUMIFS(Table2[HomeWon_], Table2[GameIsOver],1,Table2[AwayTeam],$A29, Table2[HomeTeam], U$1, Table2[ActualResult], "SO") + SUMIFS(Table2[AwayWon], Table2[GameIsOver],1,Table2[HomeTeam],$A29, Table2[AwayTeam], U$1, Table2[ActualResult], "SO"),0))</f>
        <v>0-0-0</v>
      </c>
      <c r="V29" t="str">
        <f>_xlfn.CONCAT(TEXT(SUMIFS(Table2[AwayWon], Table2[GameIsOver],1,Table2[AwayTeam],$A29, Table2[HomeTeam], V$1) + SUMIFS(Table2[HomeWon_], Table2[GameIsOver],1,Table2[HomeTeam],$A29, Table2[AwayTeam], V$1),0), "-", TEXT(SUMIFS(Table2[HomeWon_], Table2[GameIsOver],1,Table2[AwayTeam],$A29, Table2[HomeTeam], V$1, Table2[ActualResult], "REG") + SUMIFS(Table2[AwayWon], Table2[GameIsOver],1,Table2[HomeTeam],$A29, Table2[AwayTeam], V$1, Table2[ActualResult], "REG"),0), "-", TEXT(SUMIFS(Table2[HomeWon_], Table2[GameIsOver],1,Table2[AwayTeam],$A29, Table2[HomeTeam], V$1, Table2[ActualResult], "OT") + SUMIFS(Table2[AwayWon], Table2[GameIsOver],1,Table2[HomeTeam],$A29, Table2[AwayTeam], V$1, Table2[ActualResult], "OT") + SUMIFS(Table2[HomeWon_], Table2[GameIsOver],1,Table2[AwayTeam],$A29, Table2[HomeTeam], V$1, Table2[ActualResult], "SO") + SUMIFS(Table2[AwayWon], Table2[GameIsOver],1,Table2[HomeTeam],$A29, Table2[AwayTeam], V$1, Table2[ActualResult], "SO"),0))</f>
        <v>0-0-0</v>
      </c>
      <c r="W29" t="str">
        <f>_xlfn.CONCAT(TEXT(SUMIFS(Table2[AwayWon], Table2[GameIsOver],1,Table2[AwayTeam],$A29, Table2[HomeTeam], W$1) + SUMIFS(Table2[HomeWon_], Table2[GameIsOver],1,Table2[HomeTeam],$A29, Table2[AwayTeam], W$1),0), "-", TEXT(SUMIFS(Table2[HomeWon_], Table2[GameIsOver],1,Table2[AwayTeam],$A29, Table2[HomeTeam], W$1, Table2[ActualResult], "REG") + SUMIFS(Table2[AwayWon], Table2[GameIsOver],1,Table2[HomeTeam],$A29, Table2[AwayTeam], W$1, Table2[ActualResult], "REG"),0), "-", TEXT(SUMIFS(Table2[HomeWon_], Table2[GameIsOver],1,Table2[AwayTeam],$A29, Table2[HomeTeam], W$1, Table2[ActualResult], "OT") + SUMIFS(Table2[AwayWon], Table2[GameIsOver],1,Table2[HomeTeam],$A29, Table2[AwayTeam], W$1, Table2[ActualResult], "OT") + SUMIFS(Table2[HomeWon_], Table2[GameIsOver],1,Table2[AwayTeam],$A29, Table2[HomeTeam], W$1, Table2[ActualResult], "SO") + SUMIFS(Table2[AwayWon], Table2[GameIsOver],1,Table2[HomeTeam],$A29, Table2[AwayTeam], W$1, Table2[ActualResult], "SO"),0))</f>
        <v>1-1-0</v>
      </c>
      <c r="X29" t="str">
        <f>_xlfn.CONCAT(TEXT(SUMIFS(Table2[AwayWon], Table2[GameIsOver],1,Table2[AwayTeam],$A29, Table2[HomeTeam], X$1) + SUMIFS(Table2[HomeWon_], Table2[GameIsOver],1,Table2[HomeTeam],$A29, Table2[AwayTeam], X$1),0), "-", TEXT(SUMIFS(Table2[HomeWon_], Table2[GameIsOver],1,Table2[AwayTeam],$A29, Table2[HomeTeam], X$1, Table2[ActualResult], "REG") + SUMIFS(Table2[AwayWon], Table2[GameIsOver],1,Table2[HomeTeam],$A29, Table2[AwayTeam], X$1, Table2[ActualResult], "REG"),0), "-", TEXT(SUMIFS(Table2[HomeWon_], Table2[GameIsOver],1,Table2[AwayTeam],$A29, Table2[HomeTeam], X$1, Table2[ActualResult], "OT") + SUMIFS(Table2[AwayWon], Table2[GameIsOver],1,Table2[HomeTeam],$A29, Table2[AwayTeam], X$1, Table2[ActualResult], "OT") + SUMIFS(Table2[HomeWon_], Table2[GameIsOver],1,Table2[AwayTeam],$A29, Table2[HomeTeam], X$1, Table2[ActualResult], "SO") + SUMIFS(Table2[AwayWon], Table2[GameIsOver],1,Table2[HomeTeam],$A29, Table2[AwayTeam], X$1, Table2[ActualResult], "SO"),0))</f>
        <v>0-0-0</v>
      </c>
      <c r="Y29" s="57" t="str">
        <f>_xlfn.CONCAT(TEXT(SUMIFS(Table2[AwayWon], Table2[GameIsOver],1,Table2[AwayTeam],$A29, Table2[HomeTeam], Y$1) + SUMIFS(Table2[HomeWon_], Table2[GameIsOver],1,Table2[HomeTeam],$A29, Table2[AwayTeam], Y$1),0), "-", TEXT(SUMIFS(Table2[HomeWon_], Table2[GameIsOver],1,Table2[AwayTeam],$A29, Table2[HomeTeam], Y$1, Table2[ActualResult], "REG") + SUMIFS(Table2[AwayWon], Table2[GameIsOver],1,Table2[HomeTeam],$A29, Table2[AwayTeam], Y$1, Table2[ActualResult], "REG"),0), "-", TEXT(SUMIFS(Table2[HomeWon_], Table2[GameIsOver],1,Table2[AwayTeam],$A29, Table2[HomeTeam], Y$1, Table2[ActualResult], "OT") + SUMIFS(Table2[AwayWon], Table2[GameIsOver],1,Table2[HomeTeam],$A29, Table2[AwayTeam], Y$1, Table2[ActualResult], "OT") + SUMIFS(Table2[HomeWon_], Table2[GameIsOver],1,Table2[AwayTeam],$A29, Table2[HomeTeam], Y$1, Table2[ActualResult], "SO") + SUMIFS(Table2[AwayWon], Table2[GameIsOver],1,Table2[HomeTeam],$A29, Table2[AwayTeam], Y$1, Table2[ActualResult], "SO"),0))</f>
        <v>0-0-0</v>
      </c>
      <c r="Z29" t="str">
        <f>_xlfn.CONCAT(TEXT(SUMIFS(Table2[AwayWon], Table2[GameIsOver],1,Table2[AwayTeam],$A29, Table2[HomeTeam], Z$1) + SUMIFS(Table2[HomeWon_], Table2[GameIsOver],1,Table2[HomeTeam],$A29, Table2[AwayTeam], Z$1),0), "-", TEXT(SUMIFS(Table2[HomeWon_], Table2[GameIsOver],1,Table2[AwayTeam],$A29, Table2[HomeTeam], Z$1, Table2[ActualResult], "REG") + SUMIFS(Table2[AwayWon], Table2[GameIsOver],1,Table2[HomeTeam],$A29, Table2[AwayTeam], Z$1, Table2[ActualResult], "REG"),0), "-", TEXT(SUMIFS(Table2[HomeWon_], Table2[GameIsOver],1,Table2[AwayTeam],$A29, Table2[HomeTeam], Z$1, Table2[ActualResult], "OT") + SUMIFS(Table2[AwayWon], Table2[GameIsOver],1,Table2[HomeTeam],$A29, Table2[AwayTeam], Z$1, Table2[ActualResult], "OT") + SUMIFS(Table2[HomeWon_], Table2[GameIsOver],1,Table2[AwayTeam],$A29, Table2[HomeTeam], Z$1, Table2[ActualResult], "SO") + SUMIFS(Table2[AwayWon], Table2[GameIsOver],1,Table2[HomeTeam],$A29, Table2[AwayTeam], Z$1, Table2[ActualResult], "SO"),0))</f>
        <v>1-0-0</v>
      </c>
      <c r="AA29" t="str">
        <f>_xlfn.CONCAT(TEXT(SUMIFS(Table2[AwayWon], Table2[GameIsOver],1,Table2[AwayTeam],$A29, Table2[HomeTeam], AA$1) + SUMIFS(Table2[HomeWon_], Table2[GameIsOver],1,Table2[HomeTeam],$A29, Table2[AwayTeam], AA$1),0), "-", TEXT(SUMIFS(Table2[HomeWon_], Table2[GameIsOver],1,Table2[AwayTeam],$A29, Table2[HomeTeam], AA$1, Table2[ActualResult], "REG") + SUMIFS(Table2[AwayWon], Table2[GameIsOver],1,Table2[HomeTeam],$A29, Table2[AwayTeam], AA$1, Table2[ActualResult], "REG"),0), "-", TEXT(SUMIFS(Table2[HomeWon_], Table2[GameIsOver],1,Table2[AwayTeam],$A29, Table2[HomeTeam], AA$1, Table2[ActualResult], "OT") + SUMIFS(Table2[AwayWon], Table2[GameIsOver],1,Table2[HomeTeam],$A29, Table2[AwayTeam], AA$1, Table2[ActualResult], "OT") + SUMIFS(Table2[HomeWon_], Table2[GameIsOver],1,Table2[AwayTeam],$A29, Table2[HomeTeam], AA$1, Table2[ActualResult], "SO") + SUMIFS(Table2[AwayWon], Table2[GameIsOver],1,Table2[HomeTeam],$A29, Table2[AwayTeam], AA$1, Table2[ActualResult], "SO"),0))</f>
        <v>0-1-0</v>
      </c>
      <c r="AB29" t="str">
        <f>_xlfn.CONCAT(TEXT(SUMIFS(Table2[AwayWon], Table2[GameIsOver],1,Table2[AwayTeam],$A29, Table2[HomeTeam], AB$1) + SUMIFS(Table2[HomeWon_], Table2[GameIsOver],1,Table2[HomeTeam],$A29, Table2[AwayTeam], AB$1),0), "-", TEXT(SUMIFS(Table2[HomeWon_], Table2[GameIsOver],1,Table2[AwayTeam],$A29, Table2[HomeTeam], AB$1, Table2[ActualResult], "REG") + SUMIFS(Table2[AwayWon], Table2[GameIsOver],1,Table2[HomeTeam],$A29, Table2[AwayTeam], AB$1, Table2[ActualResult], "REG"),0), "-", TEXT(SUMIFS(Table2[HomeWon_], Table2[GameIsOver],1,Table2[AwayTeam],$A29, Table2[HomeTeam], AB$1, Table2[ActualResult], "OT") + SUMIFS(Table2[AwayWon], Table2[GameIsOver],1,Table2[HomeTeam],$A29, Table2[AwayTeam], AB$1, Table2[ActualResult], "OT") + SUMIFS(Table2[HomeWon_], Table2[GameIsOver],1,Table2[AwayTeam],$A29, Table2[HomeTeam], AB$1, Table2[ActualResult], "SO") + SUMIFS(Table2[AwayWon], Table2[GameIsOver],1,Table2[HomeTeam],$A29, Table2[AwayTeam], AB$1, Table2[ActualResult], "SO"),0))</f>
        <v>0-1-0</v>
      </c>
      <c r="AC29" s="89"/>
      <c r="AD29" t="str">
        <f>_xlfn.CONCAT(TEXT(SUMIFS(Table2[AwayWon], Table2[GameIsOver],1,Table2[AwayTeam],$A29, Table2[HomeTeam], AD$1) + SUMIFS(Table2[HomeWon_], Table2[GameIsOver],1,Table2[HomeTeam],$A29, Table2[AwayTeam], AD$1),0), "-", TEXT(SUMIFS(Table2[HomeWon_], Table2[GameIsOver],1,Table2[AwayTeam],$A29, Table2[HomeTeam], AD$1, Table2[ActualResult], "REG") + SUMIFS(Table2[AwayWon], Table2[GameIsOver],1,Table2[HomeTeam],$A29, Table2[AwayTeam], AD$1, Table2[ActualResult], "REG"),0), "-", TEXT(SUMIFS(Table2[HomeWon_], Table2[GameIsOver],1,Table2[AwayTeam],$A29, Table2[HomeTeam], AD$1, Table2[ActualResult], "OT") + SUMIFS(Table2[AwayWon], Table2[GameIsOver],1,Table2[HomeTeam],$A29, Table2[AwayTeam], AD$1, Table2[ActualResult], "OT") + SUMIFS(Table2[HomeWon_], Table2[GameIsOver],1,Table2[AwayTeam],$A29, Table2[HomeTeam], AD$1, Table2[ActualResult], "SO") + SUMIFS(Table2[AwayWon], Table2[GameIsOver],1,Table2[HomeTeam],$A29, Table2[AwayTeam], AD$1, Table2[ActualResult], "SO"),0))</f>
        <v>0-0-0</v>
      </c>
      <c r="AE29" t="str">
        <f>_xlfn.CONCAT(TEXT(SUMIFS(Table2[AwayWon], Table2[GameIsOver],1,Table2[AwayTeam],$A29, Table2[HomeTeam], AE$1) + SUMIFS(Table2[HomeWon_], Table2[GameIsOver],1,Table2[HomeTeam],$A29, Table2[AwayTeam], AE$1),0), "-", TEXT(SUMIFS(Table2[HomeWon_], Table2[GameIsOver],1,Table2[AwayTeam],$A29, Table2[HomeTeam], AE$1, Table2[ActualResult], "REG") + SUMIFS(Table2[AwayWon], Table2[GameIsOver],1,Table2[HomeTeam],$A29, Table2[AwayTeam], AE$1, Table2[ActualResult], "REG"),0), "-", TEXT(SUMIFS(Table2[HomeWon_], Table2[GameIsOver],1,Table2[AwayTeam],$A29, Table2[HomeTeam], AE$1, Table2[ActualResult], "OT") + SUMIFS(Table2[AwayWon], Table2[GameIsOver],1,Table2[HomeTeam],$A29, Table2[AwayTeam], AE$1, Table2[ActualResult], "OT") + SUMIFS(Table2[HomeWon_], Table2[GameIsOver],1,Table2[AwayTeam],$A29, Table2[HomeTeam], AE$1, Table2[ActualResult], "SO") + SUMIFS(Table2[AwayWon], Table2[GameIsOver],1,Table2[HomeTeam],$A29, Table2[AwayTeam], AE$1, Table2[ActualResult], "SO"),0))</f>
        <v>1-0-0</v>
      </c>
      <c r="AF29" t="str">
        <f>_xlfn.CONCAT(TEXT(SUMIFS(Table2[AwayWon], Table2[GameIsOver],1,Table2[AwayTeam],$A29, Table2[HomeTeam], AF$1) + SUMIFS(Table2[HomeWon_], Table2[GameIsOver],1,Table2[HomeTeam],$A29, Table2[AwayTeam], AF$1),0), "-", TEXT(SUMIFS(Table2[HomeWon_], Table2[GameIsOver],1,Table2[AwayTeam],$A29, Table2[HomeTeam], AF$1, Table2[ActualResult], "REG") + SUMIFS(Table2[AwayWon], Table2[GameIsOver],1,Table2[HomeTeam],$A29, Table2[AwayTeam], AF$1, Table2[ActualResult], "REG"),0), "-", TEXT(SUMIFS(Table2[HomeWon_], Table2[GameIsOver],1,Table2[AwayTeam],$A29, Table2[HomeTeam], AF$1, Table2[ActualResult], "OT") + SUMIFS(Table2[AwayWon], Table2[GameIsOver],1,Table2[HomeTeam],$A29, Table2[AwayTeam], AF$1, Table2[ActualResult], "OT") + SUMIFS(Table2[HomeWon_], Table2[GameIsOver],1,Table2[AwayTeam],$A29, Table2[HomeTeam], AF$1, Table2[ActualResult], "SO") + SUMIFS(Table2[AwayWon], Table2[GameIsOver],1,Table2[HomeTeam],$A29, Table2[AwayTeam], AF$1, Table2[ActualResult], "SO"),0))</f>
        <v>0-0-0</v>
      </c>
      <c r="AG29" t="str">
        <f>_xlfn.CONCAT(TEXT(SUMIFS(Table2[AwayWon], Table2[GameIsOver],1,Table2[AwayTeam],$A29, Table2[HomeTeam], AG$1) + SUMIFS(Table2[HomeWon_], Table2[GameIsOver],1,Table2[HomeTeam],$A29, Table2[AwayTeam], AG$1),0), "-", TEXT(SUMIFS(Table2[HomeWon_], Table2[GameIsOver],1,Table2[AwayTeam],$A29, Table2[HomeTeam], AG$1, Table2[ActualResult], "REG") + SUMIFS(Table2[AwayWon], Table2[GameIsOver],1,Table2[HomeTeam],$A29, Table2[AwayTeam], AG$1, Table2[ActualResult], "REG"),0), "-", TEXT(SUMIFS(Table2[HomeWon_], Table2[GameIsOver],1,Table2[AwayTeam],$A29, Table2[HomeTeam], AG$1, Table2[ActualResult], "OT") + SUMIFS(Table2[AwayWon], Table2[GameIsOver],1,Table2[HomeTeam],$A29, Table2[AwayTeam], AG$1, Table2[ActualResult], "OT") + SUMIFS(Table2[HomeWon_], Table2[GameIsOver],1,Table2[AwayTeam],$A29, Table2[HomeTeam], AG$1, Table2[ActualResult], "SO") + SUMIFS(Table2[AwayWon], Table2[GameIsOver],1,Table2[HomeTeam],$A29, Table2[AwayTeam], AG$1, Table2[ActualResult], "SO"),0))</f>
        <v>0-0-0</v>
      </c>
    </row>
    <row r="30" spans="1:33" x14ac:dyDescent="0.25">
      <c r="A30" s="57" t="s">
        <v>18</v>
      </c>
      <c r="B30" t="str">
        <f>_xlfn.CONCAT(TEXT(SUMIFS(Table2[AwayWon], Table2[GameIsOver],1,Table2[AwayTeam],$A30, Table2[HomeTeam], B$1) + SUMIFS(Table2[HomeWon_], Table2[GameIsOver],1,Table2[HomeTeam],$A30, Table2[AwayTeam], B$1),0), "-", TEXT(SUMIFS(Table2[HomeWon_], Table2[GameIsOver],1,Table2[AwayTeam],$A30, Table2[HomeTeam], B$1, Table2[ActualResult], "REG") + SUMIFS(Table2[AwayWon], Table2[GameIsOver],1,Table2[HomeTeam],$A30, Table2[AwayTeam], B$1, Table2[ActualResult], "REG"),0), "-", TEXT(SUMIFS(Table2[HomeWon_], Table2[GameIsOver],1,Table2[AwayTeam],$A30, Table2[HomeTeam], B$1, Table2[ActualResult], "OT") + SUMIFS(Table2[AwayWon], Table2[GameIsOver],1,Table2[HomeTeam],$A30, Table2[AwayTeam], B$1, Table2[ActualResult], "OT") + SUMIFS(Table2[HomeWon_], Table2[GameIsOver],1,Table2[AwayTeam],$A30, Table2[HomeTeam], B$1, Table2[ActualResult], "SO") + SUMIFS(Table2[AwayWon], Table2[GameIsOver],1,Table2[HomeTeam],$A30, Table2[AwayTeam], B$1, Table2[ActualResult], "SO"),0))</f>
        <v>0-0-0</v>
      </c>
      <c r="C30" t="str">
        <f>_xlfn.CONCAT(TEXT(SUMIFS(Table2[AwayWon], Table2[GameIsOver],1,Table2[AwayTeam],$A30, Table2[HomeTeam], C$1) + SUMIFS(Table2[HomeWon_], Table2[GameIsOver],1,Table2[HomeTeam],$A30, Table2[AwayTeam], C$1),0), "-", TEXT(SUMIFS(Table2[HomeWon_], Table2[GameIsOver],1,Table2[AwayTeam],$A30, Table2[HomeTeam], C$1, Table2[ActualResult], "REG") + SUMIFS(Table2[AwayWon], Table2[GameIsOver],1,Table2[HomeTeam],$A30, Table2[AwayTeam], C$1, Table2[ActualResult], "REG"),0), "-", TEXT(SUMIFS(Table2[HomeWon_], Table2[GameIsOver],1,Table2[AwayTeam],$A30, Table2[HomeTeam], C$1, Table2[ActualResult], "OT") + SUMIFS(Table2[AwayWon], Table2[GameIsOver],1,Table2[HomeTeam],$A30, Table2[AwayTeam], C$1, Table2[ActualResult], "OT") + SUMIFS(Table2[HomeWon_], Table2[GameIsOver],1,Table2[AwayTeam],$A30, Table2[HomeTeam], C$1, Table2[ActualResult], "SO") + SUMIFS(Table2[AwayWon], Table2[GameIsOver],1,Table2[HomeTeam],$A30, Table2[AwayTeam], C$1, Table2[ActualResult], "SO"),0))</f>
        <v>0-0-0</v>
      </c>
      <c r="D30" t="str">
        <f>_xlfn.CONCAT(TEXT(SUMIFS(Table2[AwayWon], Table2[GameIsOver],1,Table2[AwayTeam],$A30, Table2[HomeTeam], D$1) + SUMIFS(Table2[HomeWon_], Table2[GameIsOver],1,Table2[HomeTeam],$A30, Table2[AwayTeam], D$1),0), "-", TEXT(SUMIFS(Table2[HomeWon_], Table2[GameIsOver],1,Table2[AwayTeam],$A30, Table2[HomeTeam], D$1, Table2[ActualResult], "REG") + SUMIFS(Table2[AwayWon], Table2[GameIsOver],1,Table2[HomeTeam],$A30, Table2[AwayTeam], D$1, Table2[ActualResult], "REG"),0), "-", TEXT(SUMIFS(Table2[HomeWon_], Table2[GameIsOver],1,Table2[AwayTeam],$A30, Table2[HomeTeam], D$1, Table2[ActualResult], "OT") + SUMIFS(Table2[AwayWon], Table2[GameIsOver],1,Table2[HomeTeam],$A30, Table2[AwayTeam], D$1, Table2[ActualResult], "OT") + SUMIFS(Table2[HomeWon_], Table2[GameIsOver],1,Table2[AwayTeam],$A30, Table2[HomeTeam], D$1, Table2[ActualResult], "SO") + SUMIFS(Table2[AwayWon], Table2[GameIsOver],1,Table2[HomeTeam],$A30, Table2[AwayTeam], D$1, Table2[ActualResult], "SO"),0))</f>
        <v>0-0-0</v>
      </c>
      <c r="E30" t="str">
        <f>_xlfn.CONCAT(TEXT(SUMIFS(Table2[AwayWon], Table2[GameIsOver],1,Table2[AwayTeam],$A30, Table2[HomeTeam], E$1) + SUMIFS(Table2[HomeWon_], Table2[GameIsOver],1,Table2[HomeTeam],$A30, Table2[AwayTeam], E$1),0), "-", TEXT(SUMIFS(Table2[HomeWon_], Table2[GameIsOver],1,Table2[AwayTeam],$A30, Table2[HomeTeam], E$1, Table2[ActualResult], "REG") + SUMIFS(Table2[AwayWon], Table2[GameIsOver],1,Table2[HomeTeam],$A30, Table2[AwayTeam], E$1, Table2[ActualResult], "REG"),0), "-", TEXT(SUMIFS(Table2[HomeWon_], Table2[GameIsOver],1,Table2[AwayTeam],$A30, Table2[HomeTeam], E$1, Table2[ActualResult], "OT") + SUMIFS(Table2[AwayWon], Table2[GameIsOver],1,Table2[HomeTeam],$A30, Table2[AwayTeam], E$1, Table2[ActualResult], "OT") + SUMIFS(Table2[HomeWon_], Table2[GameIsOver],1,Table2[AwayTeam],$A30, Table2[HomeTeam], E$1, Table2[ActualResult], "SO") + SUMIFS(Table2[AwayWon], Table2[GameIsOver],1,Table2[HomeTeam],$A30, Table2[AwayTeam], E$1, Table2[ActualResult], "SO"),0))</f>
        <v>0-0-0</v>
      </c>
      <c r="F30" t="str">
        <f>_xlfn.CONCAT(TEXT(SUMIFS(Table2[AwayWon], Table2[GameIsOver],1,Table2[AwayTeam],$A30, Table2[HomeTeam], F$1) + SUMIFS(Table2[HomeWon_], Table2[GameIsOver],1,Table2[HomeTeam],$A30, Table2[AwayTeam], F$1),0), "-", TEXT(SUMIFS(Table2[HomeWon_], Table2[GameIsOver],1,Table2[AwayTeam],$A30, Table2[HomeTeam], F$1, Table2[ActualResult], "REG") + SUMIFS(Table2[AwayWon], Table2[GameIsOver],1,Table2[HomeTeam],$A30, Table2[AwayTeam], F$1, Table2[ActualResult], "REG"),0), "-", TEXT(SUMIFS(Table2[HomeWon_], Table2[GameIsOver],1,Table2[AwayTeam],$A30, Table2[HomeTeam], F$1, Table2[ActualResult], "OT") + SUMIFS(Table2[AwayWon], Table2[GameIsOver],1,Table2[HomeTeam],$A30, Table2[AwayTeam], F$1, Table2[ActualResult], "OT") + SUMIFS(Table2[HomeWon_], Table2[GameIsOver],1,Table2[AwayTeam],$A30, Table2[HomeTeam], F$1, Table2[ActualResult], "SO") + SUMIFS(Table2[AwayWon], Table2[GameIsOver],1,Table2[HomeTeam],$A30, Table2[AwayTeam], F$1, Table2[ActualResult], "SO"),0))</f>
        <v>1-0-0</v>
      </c>
      <c r="G30" t="str">
        <f>_xlfn.CONCAT(TEXT(SUMIFS(Table2[AwayWon], Table2[GameIsOver],1,Table2[AwayTeam],$A30, Table2[HomeTeam], G$1) + SUMIFS(Table2[HomeWon_], Table2[GameIsOver],1,Table2[HomeTeam],$A30, Table2[AwayTeam], G$1),0), "-", TEXT(SUMIFS(Table2[HomeWon_], Table2[GameIsOver],1,Table2[AwayTeam],$A30, Table2[HomeTeam], G$1, Table2[ActualResult], "REG") + SUMIFS(Table2[AwayWon], Table2[GameIsOver],1,Table2[HomeTeam],$A30, Table2[AwayTeam], G$1, Table2[ActualResult], "REG"),0), "-", TEXT(SUMIFS(Table2[HomeWon_], Table2[GameIsOver],1,Table2[AwayTeam],$A30, Table2[HomeTeam], G$1, Table2[ActualResult], "OT") + SUMIFS(Table2[AwayWon], Table2[GameIsOver],1,Table2[HomeTeam],$A30, Table2[AwayTeam], G$1, Table2[ActualResult], "OT") + SUMIFS(Table2[HomeWon_], Table2[GameIsOver],1,Table2[AwayTeam],$A30, Table2[HomeTeam], G$1, Table2[ActualResult], "SO") + SUMIFS(Table2[AwayWon], Table2[GameIsOver],1,Table2[HomeTeam],$A30, Table2[AwayTeam], G$1, Table2[ActualResult], "SO"),0))</f>
        <v>0-0-0</v>
      </c>
      <c r="H30" t="str">
        <f>_xlfn.CONCAT(TEXT(SUMIFS(Table2[AwayWon], Table2[GameIsOver],1,Table2[AwayTeam],$A30, Table2[HomeTeam], H$1) + SUMIFS(Table2[HomeWon_], Table2[GameIsOver],1,Table2[HomeTeam],$A30, Table2[AwayTeam], H$1),0), "-", TEXT(SUMIFS(Table2[HomeWon_], Table2[GameIsOver],1,Table2[AwayTeam],$A30, Table2[HomeTeam], H$1, Table2[ActualResult], "REG") + SUMIFS(Table2[AwayWon], Table2[GameIsOver],1,Table2[HomeTeam],$A30, Table2[AwayTeam], H$1, Table2[ActualResult], "REG"),0), "-", TEXT(SUMIFS(Table2[HomeWon_], Table2[GameIsOver],1,Table2[AwayTeam],$A30, Table2[HomeTeam], H$1, Table2[ActualResult], "OT") + SUMIFS(Table2[AwayWon], Table2[GameIsOver],1,Table2[HomeTeam],$A30, Table2[AwayTeam], H$1, Table2[ActualResult], "OT") + SUMIFS(Table2[HomeWon_], Table2[GameIsOver],1,Table2[AwayTeam],$A30, Table2[HomeTeam], H$1, Table2[ActualResult], "SO") + SUMIFS(Table2[AwayWon], Table2[GameIsOver],1,Table2[HomeTeam],$A30, Table2[AwayTeam], H$1, Table2[ActualResult], "SO"),0))</f>
        <v>0-0-0</v>
      </c>
      <c r="I30" s="57" t="str">
        <f>_xlfn.CONCAT(TEXT(SUMIFS(Table2[AwayWon], Table2[GameIsOver],1,Table2[AwayTeam],$A30, Table2[HomeTeam], I$1) + SUMIFS(Table2[HomeWon_], Table2[GameIsOver],1,Table2[HomeTeam],$A30, Table2[AwayTeam], I$1),0), "-", TEXT(SUMIFS(Table2[HomeWon_], Table2[GameIsOver],1,Table2[AwayTeam],$A30, Table2[HomeTeam], I$1, Table2[ActualResult], "REG") + SUMIFS(Table2[AwayWon], Table2[GameIsOver],1,Table2[HomeTeam],$A30, Table2[AwayTeam], I$1, Table2[ActualResult], "REG"),0), "-", TEXT(SUMIFS(Table2[HomeWon_], Table2[GameIsOver],1,Table2[AwayTeam],$A30, Table2[HomeTeam], I$1, Table2[ActualResult], "OT") + SUMIFS(Table2[AwayWon], Table2[GameIsOver],1,Table2[HomeTeam],$A30, Table2[AwayTeam], I$1, Table2[ActualResult], "OT") + SUMIFS(Table2[HomeWon_], Table2[GameIsOver],1,Table2[AwayTeam],$A30, Table2[HomeTeam], I$1, Table2[ActualResult], "SO") + SUMIFS(Table2[AwayWon], Table2[GameIsOver],1,Table2[HomeTeam],$A30, Table2[AwayTeam], I$1, Table2[ActualResult], "SO"),0))</f>
        <v>0-0-0</v>
      </c>
      <c r="J30" t="str">
        <f>_xlfn.CONCAT(TEXT(SUMIFS(Table2[AwayWon], Table2[GameIsOver],1,Table2[AwayTeam],$A30, Table2[HomeTeam], J$1) + SUMIFS(Table2[HomeWon_], Table2[GameIsOver],1,Table2[HomeTeam],$A30, Table2[AwayTeam], J$1),0), "-", TEXT(SUMIFS(Table2[HomeWon_], Table2[GameIsOver],1,Table2[AwayTeam],$A30, Table2[HomeTeam], J$1, Table2[ActualResult], "REG") + SUMIFS(Table2[AwayWon], Table2[GameIsOver],1,Table2[HomeTeam],$A30, Table2[AwayTeam], J$1, Table2[ActualResult], "REG"),0), "-", TEXT(SUMIFS(Table2[HomeWon_], Table2[GameIsOver],1,Table2[AwayTeam],$A30, Table2[HomeTeam], J$1, Table2[ActualResult], "OT") + SUMIFS(Table2[AwayWon], Table2[GameIsOver],1,Table2[HomeTeam],$A30, Table2[AwayTeam], J$1, Table2[ActualResult], "OT") + SUMIFS(Table2[HomeWon_], Table2[GameIsOver],1,Table2[AwayTeam],$A30, Table2[HomeTeam], J$1, Table2[ActualResult], "SO") + SUMIFS(Table2[AwayWon], Table2[GameIsOver],1,Table2[HomeTeam],$A30, Table2[AwayTeam], J$1, Table2[ActualResult], "SO"),0))</f>
        <v>1-0-0</v>
      </c>
      <c r="K30" t="str">
        <f>_xlfn.CONCAT(TEXT(SUMIFS(Table2[AwayWon], Table2[GameIsOver],1,Table2[AwayTeam],$A30, Table2[HomeTeam], K$1) + SUMIFS(Table2[HomeWon_], Table2[GameIsOver],1,Table2[HomeTeam],$A30, Table2[AwayTeam], K$1),0), "-", TEXT(SUMIFS(Table2[HomeWon_], Table2[GameIsOver],1,Table2[AwayTeam],$A30, Table2[HomeTeam], K$1, Table2[ActualResult], "REG") + SUMIFS(Table2[AwayWon], Table2[GameIsOver],1,Table2[HomeTeam],$A30, Table2[AwayTeam], K$1, Table2[ActualResult], "REG"),0), "-", TEXT(SUMIFS(Table2[HomeWon_], Table2[GameIsOver],1,Table2[AwayTeam],$A30, Table2[HomeTeam], K$1, Table2[ActualResult], "OT") + SUMIFS(Table2[AwayWon], Table2[GameIsOver],1,Table2[HomeTeam],$A30, Table2[AwayTeam], K$1, Table2[ActualResult], "OT") + SUMIFS(Table2[HomeWon_], Table2[GameIsOver],1,Table2[AwayTeam],$A30, Table2[HomeTeam], K$1, Table2[ActualResult], "SO") + SUMIFS(Table2[AwayWon], Table2[GameIsOver],1,Table2[HomeTeam],$A30, Table2[AwayTeam], K$1, Table2[ActualResult], "SO"),0))</f>
        <v>0-0-0</v>
      </c>
      <c r="L30" t="str">
        <f>_xlfn.CONCAT(TEXT(SUMIFS(Table2[AwayWon], Table2[GameIsOver],1,Table2[AwayTeam],$A30, Table2[HomeTeam], L$1) + SUMIFS(Table2[HomeWon_], Table2[GameIsOver],1,Table2[HomeTeam],$A30, Table2[AwayTeam], L$1),0), "-", TEXT(SUMIFS(Table2[HomeWon_], Table2[GameIsOver],1,Table2[AwayTeam],$A30, Table2[HomeTeam], L$1, Table2[ActualResult], "REG") + SUMIFS(Table2[AwayWon], Table2[GameIsOver],1,Table2[HomeTeam],$A30, Table2[AwayTeam], L$1, Table2[ActualResult], "REG"),0), "-", TEXT(SUMIFS(Table2[HomeWon_], Table2[GameIsOver],1,Table2[AwayTeam],$A30, Table2[HomeTeam], L$1, Table2[ActualResult], "OT") + SUMIFS(Table2[AwayWon], Table2[GameIsOver],1,Table2[HomeTeam],$A30, Table2[AwayTeam], L$1, Table2[ActualResult], "OT") + SUMIFS(Table2[HomeWon_], Table2[GameIsOver],1,Table2[AwayTeam],$A30, Table2[HomeTeam], L$1, Table2[ActualResult], "SO") + SUMIFS(Table2[AwayWon], Table2[GameIsOver],1,Table2[HomeTeam],$A30, Table2[AwayTeam], L$1, Table2[ActualResult], "SO"),0))</f>
        <v>0-0-0</v>
      </c>
      <c r="M30" t="str">
        <f>_xlfn.CONCAT(TEXT(SUMIFS(Table2[AwayWon], Table2[GameIsOver],1,Table2[AwayTeam],$A30, Table2[HomeTeam], M$1) + SUMIFS(Table2[HomeWon_], Table2[GameIsOver],1,Table2[HomeTeam],$A30, Table2[AwayTeam], M$1),0), "-", TEXT(SUMIFS(Table2[HomeWon_], Table2[GameIsOver],1,Table2[AwayTeam],$A30, Table2[HomeTeam], M$1, Table2[ActualResult], "REG") + SUMIFS(Table2[AwayWon], Table2[GameIsOver],1,Table2[HomeTeam],$A30, Table2[AwayTeam], M$1, Table2[ActualResult], "REG"),0), "-", TEXT(SUMIFS(Table2[HomeWon_], Table2[GameIsOver],1,Table2[AwayTeam],$A30, Table2[HomeTeam], M$1, Table2[ActualResult], "OT") + SUMIFS(Table2[AwayWon], Table2[GameIsOver],1,Table2[HomeTeam],$A30, Table2[AwayTeam], M$1, Table2[ActualResult], "OT") + SUMIFS(Table2[HomeWon_], Table2[GameIsOver],1,Table2[AwayTeam],$A30, Table2[HomeTeam], M$1, Table2[ActualResult], "SO") + SUMIFS(Table2[AwayWon], Table2[GameIsOver],1,Table2[HomeTeam],$A30, Table2[AwayTeam], M$1, Table2[ActualResult], "SO"),0))</f>
        <v>0-0-0</v>
      </c>
      <c r="N30" t="str">
        <f>_xlfn.CONCAT(TEXT(SUMIFS(Table2[AwayWon], Table2[GameIsOver],1,Table2[AwayTeam],$A30, Table2[HomeTeam], N$1) + SUMIFS(Table2[HomeWon_], Table2[GameIsOver],1,Table2[HomeTeam],$A30, Table2[AwayTeam], N$1),0), "-", TEXT(SUMIFS(Table2[HomeWon_], Table2[GameIsOver],1,Table2[AwayTeam],$A30, Table2[HomeTeam], N$1, Table2[ActualResult], "REG") + SUMIFS(Table2[AwayWon], Table2[GameIsOver],1,Table2[HomeTeam],$A30, Table2[AwayTeam], N$1, Table2[ActualResult], "REG"),0), "-", TEXT(SUMIFS(Table2[HomeWon_], Table2[GameIsOver],1,Table2[AwayTeam],$A30, Table2[HomeTeam], N$1, Table2[ActualResult], "OT") + SUMIFS(Table2[AwayWon], Table2[GameIsOver],1,Table2[HomeTeam],$A30, Table2[AwayTeam], N$1, Table2[ActualResult], "OT") + SUMIFS(Table2[HomeWon_], Table2[GameIsOver],1,Table2[AwayTeam],$A30, Table2[HomeTeam], N$1, Table2[ActualResult], "SO") + SUMIFS(Table2[AwayWon], Table2[GameIsOver],1,Table2[HomeTeam],$A30, Table2[AwayTeam], N$1, Table2[ActualResult], "SO"),0))</f>
        <v>1-0-0</v>
      </c>
      <c r="O30" t="str">
        <f>_xlfn.CONCAT(TEXT(SUMIFS(Table2[AwayWon], Table2[GameIsOver],1,Table2[AwayTeam],$A30, Table2[HomeTeam], O$1) + SUMIFS(Table2[HomeWon_], Table2[GameIsOver],1,Table2[HomeTeam],$A30, Table2[AwayTeam], O$1),0), "-", TEXT(SUMIFS(Table2[HomeWon_], Table2[GameIsOver],1,Table2[AwayTeam],$A30, Table2[HomeTeam], O$1, Table2[ActualResult], "REG") + SUMIFS(Table2[AwayWon], Table2[GameIsOver],1,Table2[HomeTeam],$A30, Table2[AwayTeam], O$1, Table2[ActualResult], "REG"),0), "-", TEXT(SUMIFS(Table2[HomeWon_], Table2[GameIsOver],1,Table2[AwayTeam],$A30, Table2[HomeTeam], O$1, Table2[ActualResult], "OT") + SUMIFS(Table2[AwayWon], Table2[GameIsOver],1,Table2[HomeTeam],$A30, Table2[AwayTeam], O$1, Table2[ActualResult], "OT") + SUMIFS(Table2[HomeWon_], Table2[GameIsOver],1,Table2[AwayTeam],$A30, Table2[HomeTeam], O$1, Table2[ActualResult], "SO") + SUMIFS(Table2[AwayWon], Table2[GameIsOver],1,Table2[HomeTeam],$A30, Table2[AwayTeam], O$1, Table2[ActualResult], "SO"),0))</f>
        <v>0-0-0</v>
      </c>
      <c r="P30" t="str">
        <f>_xlfn.CONCAT(TEXT(SUMIFS(Table2[AwayWon], Table2[GameIsOver],1,Table2[AwayTeam],$A30, Table2[HomeTeam], P$1) + SUMIFS(Table2[HomeWon_], Table2[GameIsOver],1,Table2[HomeTeam],$A30, Table2[AwayTeam], P$1),0), "-", TEXT(SUMIFS(Table2[HomeWon_], Table2[GameIsOver],1,Table2[AwayTeam],$A30, Table2[HomeTeam], P$1, Table2[ActualResult], "REG") + SUMIFS(Table2[AwayWon], Table2[GameIsOver],1,Table2[HomeTeam],$A30, Table2[AwayTeam], P$1, Table2[ActualResult], "REG"),0), "-", TEXT(SUMIFS(Table2[HomeWon_], Table2[GameIsOver],1,Table2[AwayTeam],$A30, Table2[HomeTeam], P$1, Table2[ActualResult], "OT") + SUMIFS(Table2[AwayWon], Table2[GameIsOver],1,Table2[HomeTeam],$A30, Table2[AwayTeam], P$1, Table2[ActualResult], "OT") + SUMIFS(Table2[HomeWon_], Table2[GameIsOver],1,Table2[AwayTeam],$A30, Table2[HomeTeam], P$1, Table2[ActualResult], "SO") + SUMIFS(Table2[AwayWon], Table2[GameIsOver],1,Table2[HomeTeam],$A30, Table2[AwayTeam], P$1, Table2[ActualResult], "SO"),0))</f>
        <v>0-0-0</v>
      </c>
      <c r="Q30" s="57" t="str">
        <f>_xlfn.CONCAT(TEXT(SUMIFS(Table2[AwayWon], Table2[GameIsOver],1,Table2[AwayTeam],$A30, Table2[HomeTeam], Q$1) + SUMIFS(Table2[HomeWon_], Table2[GameIsOver],1,Table2[HomeTeam],$A30, Table2[AwayTeam], Q$1),0), "-", TEXT(SUMIFS(Table2[HomeWon_], Table2[GameIsOver],1,Table2[AwayTeam],$A30, Table2[HomeTeam], Q$1, Table2[ActualResult], "REG") + SUMIFS(Table2[AwayWon], Table2[GameIsOver],1,Table2[HomeTeam],$A30, Table2[AwayTeam], Q$1, Table2[ActualResult], "REG"),0), "-", TEXT(SUMIFS(Table2[HomeWon_], Table2[GameIsOver],1,Table2[AwayTeam],$A30, Table2[HomeTeam], Q$1, Table2[ActualResult], "OT") + SUMIFS(Table2[AwayWon], Table2[GameIsOver],1,Table2[HomeTeam],$A30, Table2[AwayTeam], Q$1, Table2[ActualResult], "OT") + SUMIFS(Table2[HomeWon_], Table2[GameIsOver],1,Table2[AwayTeam],$A30, Table2[HomeTeam], Q$1, Table2[ActualResult], "SO") + SUMIFS(Table2[AwayWon], Table2[GameIsOver],1,Table2[HomeTeam],$A30, Table2[AwayTeam], Q$1, Table2[ActualResult], "SO"),0))</f>
        <v>0-0-0</v>
      </c>
      <c r="R30" t="str">
        <f>_xlfn.CONCAT(TEXT(SUMIFS(Table2[AwayWon], Table2[GameIsOver],1,Table2[AwayTeam],$A30, Table2[HomeTeam], R$1) + SUMIFS(Table2[HomeWon_], Table2[GameIsOver],1,Table2[HomeTeam],$A30, Table2[AwayTeam], R$1),0), "-", TEXT(SUMIFS(Table2[HomeWon_], Table2[GameIsOver],1,Table2[AwayTeam],$A30, Table2[HomeTeam], R$1, Table2[ActualResult], "REG") + SUMIFS(Table2[AwayWon], Table2[GameIsOver],1,Table2[HomeTeam],$A30, Table2[AwayTeam], R$1, Table2[ActualResult], "REG"),0), "-", TEXT(SUMIFS(Table2[HomeWon_], Table2[GameIsOver],1,Table2[AwayTeam],$A30, Table2[HomeTeam], R$1, Table2[ActualResult], "OT") + SUMIFS(Table2[AwayWon], Table2[GameIsOver],1,Table2[HomeTeam],$A30, Table2[AwayTeam], R$1, Table2[ActualResult], "OT") + SUMIFS(Table2[HomeWon_], Table2[GameIsOver],1,Table2[AwayTeam],$A30, Table2[HomeTeam], R$1, Table2[ActualResult], "SO") + SUMIFS(Table2[AwayWon], Table2[GameIsOver],1,Table2[HomeTeam],$A30, Table2[AwayTeam], R$1, Table2[ActualResult], "SO"),0))</f>
        <v>0-0-0</v>
      </c>
      <c r="S30" t="str">
        <f>_xlfn.CONCAT(TEXT(SUMIFS(Table2[AwayWon], Table2[GameIsOver],1,Table2[AwayTeam],$A30, Table2[HomeTeam], S$1) + SUMIFS(Table2[HomeWon_], Table2[GameIsOver],1,Table2[HomeTeam],$A30, Table2[AwayTeam], S$1),0), "-", TEXT(SUMIFS(Table2[HomeWon_], Table2[GameIsOver],1,Table2[AwayTeam],$A30, Table2[HomeTeam], S$1, Table2[ActualResult], "REG") + SUMIFS(Table2[AwayWon], Table2[GameIsOver],1,Table2[HomeTeam],$A30, Table2[AwayTeam], S$1, Table2[ActualResult], "REG"),0), "-", TEXT(SUMIFS(Table2[HomeWon_], Table2[GameIsOver],1,Table2[AwayTeam],$A30, Table2[HomeTeam], S$1, Table2[ActualResult], "OT") + SUMIFS(Table2[AwayWon], Table2[GameIsOver],1,Table2[HomeTeam],$A30, Table2[AwayTeam], S$1, Table2[ActualResult], "OT") + SUMIFS(Table2[HomeWon_], Table2[GameIsOver],1,Table2[AwayTeam],$A30, Table2[HomeTeam], S$1, Table2[ActualResult], "SO") + SUMIFS(Table2[AwayWon], Table2[GameIsOver],1,Table2[HomeTeam],$A30, Table2[AwayTeam], S$1, Table2[ActualResult], "SO"),0))</f>
        <v>0-0-0</v>
      </c>
      <c r="T30" t="str">
        <f>_xlfn.CONCAT(TEXT(SUMIFS(Table2[AwayWon], Table2[GameIsOver],1,Table2[AwayTeam],$A30, Table2[HomeTeam], T$1) + SUMIFS(Table2[HomeWon_], Table2[GameIsOver],1,Table2[HomeTeam],$A30, Table2[AwayTeam], T$1),0), "-", TEXT(SUMIFS(Table2[HomeWon_], Table2[GameIsOver],1,Table2[AwayTeam],$A30, Table2[HomeTeam], T$1, Table2[ActualResult], "REG") + SUMIFS(Table2[AwayWon], Table2[GameIsOver],1,Table2[HomeTeam],$A30, Table2[AwayTeam], T$1, Table2[ActualResult], "REG"),0), "-", TEXT(SUMIFS(Table2[HomeWon_], Table2[GameIsOver],1,Table2[AwayTeam],$A30, Table2[HomeTeam], T$1, Table2[ActualResult], "OT") + SUMIFS(Table2[AwayWon], Table2[GameIsOver],1,Table2[HomeTeam],$A30, Table2[AwayTeam], T$1, Table2[ActualResult], "OT") + SUMIFS(Table2[HomeWon_], Table2[GameIsOver],1,Table2[AwayTeam],$A30, Table2[HomeTeam], T$1, Table2[ActualResult], "SO") + SUMIFS(Table2[AwayWon], Table2[GameIsOver],1,Table2[HomeTeam],$A30, Table2[AwayTeam], T$1, Table2[ActualResult], "SO"),0))</f>
        <v>0-0-0</v>
      </c>
      <c r="U30" t="str">
        <f>_xlfn.CONCAT(TEXT(SUMIFS(Table2[AwayWon], Table2[GameIsOver],1,Table2[AwayTeam],$A30, Table2[HomeTeam], U$1) + SUMIFS(Table2[HomeWon_], Table2[GameIsOver],1,Table2[HomeTeam],$A30, Table2[AwayTeam], U$1),0), "-", TEXT(SUMIFS(Table2[HomeWon_], Table2[GameIsOver],1,Table2[AwayTeam],$A30, Table2[HomeTeam], U$1, Table2[ActualResult], "REG") + SUMIFS(Table2[AwayWon], Table2[GameIsOver],1,Table2[HomeTeam],$A30, Table2[AwayTeam], U$1, Table2[ActualResult], "REG"),0), "-", TEXT(SUMIFS(Table2[HomeWon_], Table2[GameIsOver],1,Table2[AwayTeam],$A30, Table2[HomeTeam], U$1, Table2[ActualResult], "OT") + SUMIFS(Table2[AwayWon], Table2[GameIsOver],1,Table2[HomeTeam],$A30, Table2[AwayTeam], U$1, Table2[ActualResult], "OT") + SUMIFS(Table2[HomeWon_], Table2[GameIsOver],1,Table2[AwayTeam],$A30, Table2[HomeTeam], U$1, Table2[ActualResult], "SO") + SUMIFS(Table2[AwayWon], Table2[GameIsOver],1,Table2[HomeTeam],$A30, Table2[AwayTeam], U$1, Table2[ActualResult], "SO"),0))</f>
        <v>0-0-0</v>
      </c>
      <c r="V30" t="str">
        <f>_xlfn.CONCAT(TEXT(SUMIFS(Table2[AwayWon], Table2[GameIsOver],1,Table2[AwayTeam],$A30, Table2[HomeTeam], V$1) + SUMIFS(Table2[HomeWon_], Table2[GameIsOver],1,Table2[HomeTeam],$A30, Table2[AwayTeam], V$1),0), "-", TEXT(SUMIFS(Table2[HomeWon_], Table2[GameIsOver],1,Table2[AwayTeam],$A30, Table2[HomeTeam], V$1, Table2[ActualResult], "REG") + SUMIFS(Table2[AwayWon], Table2[GameIsOver],1,Table2[HomeTeam],$A30, Table2[AwayTeam], V$1, Table2[ActualResult], "REG"),0), "-", TEXT(SUMIFS(Table2[HomeWon_], Table2[GameIsOver],1,Table2[AwayTeam],$A30, Table2[HomeTeam], V$1, Table2[ActualResult], "OT") + SUMIFS(Table2[AwayWon], Table2[GameIsOver],1,Table2[HomeTeam],$A30, Table2[AwayTeam], V$1, Table2[ActualResult], "OT") + SUMIFS(Table2[HomeWon_], Table2[GameIsOver],1,Table2[AwayTeam],$A30, Table2[HomeTeam], V$1, Table2[ActualResult], "SO") + SUMIFS(Table2[AwayWon], Table2[GameIsOver],1,Table2[HomeTeam],$A30, Table2[AwayTeam], V$1, Table2[ActualResult], "SO"),0))</f>
        <v>0-1-0</v>
      </c>
      <c r="W30" t="str">
        <f>_xlfn.CONCAT(TEXT(SUMIFS(Table2[AwayWon], Table2[GameIsOver],1,Table2[AwayTeam],$A30, Table2[HomeTeam], W$1) + SUMIFS(Table2[HomeWon_], Table2[GameIsOver],1,Table2[HomeTeam],$A30, Table2[AwayTeam], W$1),0), "-", TEXT(SUMIFS(Table2[HomeWon_], Table2[GameIsOver],1,Table2[AwayTeam],$A30, Table2[HomeTeam], W$1, Table2[ActualResult], "REG") + SUMIFS(Table2[AwayWon], Table2[GameIsOver],1,Table2[HomeTeam],$A30, Table2[AwayTeam], W$1, Table2[ActualResult], "REG"),0), "-", TEXT(SUMIFS(Table2[HomeWon_], Table2[GameIsOver],1,Table2[AwayTeam],$A30, Table2[HomeTeam], W$1, Table2[ActualResult], "OT") + SUMIFS(Table2[AwayWon], Table2[GameIsOver],1,Table2[HomeTeam],$A30, Table2[AwayTeam], W$1, Table2[ActualResult], "OT") + SUMIFS(Table2[HomeWon_], Table2[GameIsOver],1,Table2[AwayTeam],$A30, Table2[HomeTeam], W$1, Table2[ActualResult], "SO") + SUMIFS(Table2[AwayWon], Table2[GameIsOver],1,Table2[HomeTeam],$A30, Table2[AwayTeam], W$1, Table2[ActualResult], "SO"),0))</f>
        <v>0-0-0</v>
      </c>
      <c r="X30" t="str">
        <f>_xlfn.CONCAT(TEXT(SUMIFS(Table2[AwayWon], Table2[GameIsOver],1,Table2[AwayTeam],$A30, Table2[HomeTeam], X$1) + SUMIFS(Table2[HomeWon_], Table2[GameIsOver],1,Table2[HomeTeam],$A30, Table2[AwayTeam], X$1),0), "-", TEXT(SUMIFS(Table2[HomeWon_], Table2[GameIsOver],1,Table2[AwayTeam],$A30, Table2[HomeTeam], X$1, Table2[ActualResult], "REG") + SUMIFS(Table2[AwayWon], Table2[GameIsOver],1,Table2[HomeTeam],$A30, Table2[AwayTeam], X$1, Table2[ActualResult], "REG"),0), "-", TEXT(SUMIFS(Table2[HomeWon_], Table2[GameIsOver],1,Table2[AwayTeam],$A30, Table2[HomeTeam], X$1, Table2[ActualResult], "OT") + SUMIFS(Table2[AwayWon], Table2[GameIsOver],1,Table2[HomeTeam],$A30, Table2[AwayTeam], X$1, Table2[ActualResult], "OT") + SUMIFS(Table2[HomeWon_], Table2[GameIsOver],1,Table2[AwayTeam],$A30, Table2[HomeTeam], X$1, Table2[ActualResult], "SO") + SUMIFS(Table2[AwayWon], Table2[GameIsOver],1,Table2[HomeTeam],$A30, Table2[AwayTeam], X$1, Table2[ActualResult], "SO"),0))</f>
        <v>0-0-0</v>
      </c>
      <c r="Y30" s="57" t="str">
        <f>_xlfn.CONCAT(TEXT(SUMIFS(Table2[AwayWon], Table2[GameIsOver],1,Table2[AwayTeam],$A30, Table2[HomeTeam], Y$1) + SUMIFS(Table2[HomeWon_], Table2[GameIsOver],1,Table2[HomeTeam],$A30, Table2[AwayTeam], Y$1),0), "-", TEXT(SUMIFS(Table2[HomeWon_], Table2[GameIsOver],1,Table2[AwayTeam],$A30, Table2[HomeTeam], Y$1, Table2[ActualResult], "REG") + SUMIFS(Table2[AwayWon], Table2[GameIsOver],1,Table2[HomeTeam],$A30, Table2[AwayTeam], Y$1, Table2[ActualResult], "REG"),0), "-", TEXT(SUMIFS(Table2[HomeWon_], Table2[GameIsOver],1,Table2[AwayTeam],$A30, Table2[HomeTeam], Y$1, Table2[ActualResult], "OT") + SUMIFS(Table2[AwayWon], Table2[GameIsOver],1,Table2[HomeTeam],$A30, Table2[AwayTeam], Y$1, Table2[ActualResult], "OT") + SUMIFS(Table2[HomeWon_], Table2[GameIsOver],1,Table2[AwayTeam],$A30, Table2[HomeTeam], Y$1, Table2[ActualResult], "SO") + SUMIFS(Table2[AwayWon], Table2[GameIsOver],1,Table2[HomeTeam],$A30, Table2[AwayTeam], Y$1, Table2[ActualResult], "SO"),0))</f>
        <v>0-0-0</v>
      </c>
      <c r="Z30" t="str">
        <f>_xlfn.CONCAT(TEXT(SUMIFS(Table2[AwayWon], Table2[GameIsOver],1,Table2[AwayTeam],$A30, Table2[HomeTeam], Z$1) + SUMIFS(Table2[HomeWon_], Table2[GameIsOver],1,Table2[HomeTeam],$A30, Table2[AwayTeam], Z$1),0), "-", TEXT(SUMIFS(Table2[HomeWon_], Table2[GameIsOver],1,Table2[AwayTeam],$A30, Table2[HomeTeam], Z$1, Table2[ActualResult], "REG") + SUMIFS(Table2[AwayWon], Table2[GameIsOver],1,Table2[HomeTeam],$A30, Table2[AwayTeam], Z$1, Table2[ActualResult], "REG"),0), "-", TEXT(SUMIFS(Table2[HomeWon_], Table2[GameIsOver],1,Table2[AwayTeam],$A30, Table2[HomeTeam], Z$1, Table2[ActualResult], "OT") + SUMIFS(Table2[AwayWon], Table2[GameIsOver],1,Table2[HomeTeam],$A30, Table2[AwayTeam], Z$1, Table2[ActualResult], "OT") + SUMIFS(Table2[HomeWon_], Table2[GameIsOver],1,Table2[AwayTeam],$A30, Table2[HomeTeam], Z$1, Table2[ActualResult], "SO") + SUMIFS(Table2[AwayWon], Table2[GameIsOver],1,Table2[HomeTeam],$A30, Table2[AwayTeam], Z$1, Table2[ActualResult], "SO"),0))</f>
        <v>0-0-0</v>
      </c>
      <c r="AA30" t="str">
        <f>_xlfn.CONCAT(TEXT(SUMIFS(Table2[AwayWon], Table2[GameIsOver],1,Table2[AwayTeam],$A30, Table2[HomeTeam], AA$1) + SUMIFS(Table2[HomeWon_], Table2[GameIsOver],1,Table2[HomeTeam],$A30, Table2[AwayTeam], AA$1),0), "-", TEXT(SUMIFS(Table2[HomeWon_], Table2[GameIsOver],1,Table2[AwayTeam],$A30, Table2[HomeTeam], AA$1, Table2[ActualResult], "REG") + SUMIFS(Table2[AwayWon], Table2[GameIsOver],1,Table2[HomeTeam],$A30, Table2[AwayTeam], AA$1, Table2[ActualResult], "REG"),0), "-", TEXT(SUMIFS(Table2[HomeWon_], Table2[GameIsOver],1,Table2[AwayTeam],$A30, Table2[HomeTeam], AA$1, Table2[ActualResult], "OT") + SUMIFS(Table2[AwayWon], Table2[GameIsOver],1,Table2[HomeTeam],$A30, Table2[AwayTeam], AA$1, Table2[ActualResult], "OT") + SUMIFS(Table2[HomeWon_], Table2[GameIsOver],1,Table2[AwayTeam],$A30, Table2[HomeTeam], AA$1, Table2[ActualResult], "SO") + SUMIFS(Table2[AwayWon], Table2[GameIsOver],1,Table2[HomeTeam],$A30, Table2[AwayTeam], AA$1, Table2[ActualResult], "SO"),0))</f>
        <v>1-0-0</v>
      </c>
      <c r="AB30" t="str">
        <f>_xlfn.CONCAT(TEXT(SUMIFS(Table2[AwayWon], Table2[GameIsOver],1,Table2[AwayTeam],$A30, Table2[HomeTeam], AB$1) + SUMIFS(Table2[HomeWon_], Table2[GameIsOver],1,Table2[HomeTeam],$A30, Table2[AwayTeam], AB$1),0), "-", TEXT(SUMIFS(Table2[HomeWon_], Table2[GameIsOver],1,Table2[AwayTeam],$A30, Table2[HomeTeam], AB$1, Table2[ActualResult], "REG") + SUMIFS(Table2[AwayWon], Table2[GameIsOver],1,Table2[HomeTeam],$A30, Table2[AwayTeam], AB$1, Table2[ActualResult], "REG"),0), "-", TEXT(SUMIFS(Table2[HomeWon_], Table2[GameIsOver],1,Table2[AwayTeam],$A30, Table2[HomeTeam], AB$1, Table2[ActualResult], "OT") + SUMIFS(Table2[AwayWon], Table2[GameIsOver],1,Table2[HomeTeam],$A30, Table2[AwayTeam], AB$1, Table2[ActualResult], "OT") + SUMIFS(Table2[HomeWon_], Table2[GameIsOver],1,Table2[AwayTeam],$A30, Table2[HomeTeam], AB$1, Table2[ActualResult], "SO") + SUMIFS(Table2[AwayWon], Table2[GameIsOver],1,Table2[HomeTeam],$A30, Table2[AwayTeam], AB$1, Table2[ActualResult], "SO"),0))</f>
        <v>1-0-0</v>
      </c>
      <c r="AC30" t="str">
        <f>_xlfn.CONCAT(TEXT(SUMIFS(Table2[AwayWon], Table2[GameIsOver],1,Table2[AwayTeam],$A30, Table2[HomeTeam], AC$1) + SUMIFS(Table2[HomeWon_], Table2[GameIsOver],1,Table2[HomeTeam],$A30, Table2[AwayTeam], AC$1),0), "-", TEXT(SUMIFS(Table2[HomeWon_], Table2[GameIsOver],1,Table2[AwayTeam],$A30, Table2[HomeTeam], AC$1, Table2[ActualResult], "REG") + SUMIFS(Table2[AwayWon], Table2[GameIsOver],1,Table2[HomeTeam],$A30, Table2[AwayTeam], AC$1, Table2[ActualResult], "REG"),0), "-", TEXT(SUMIFS(Table2[HomeWon_], Table2[GameIsOver],1,Table2[AwayTeam],$A30, Table2[HomeTeam], AC$1, Table2[ActualResult], "OT") + SUMIFS(Table2[AwayWon], Table2[GameIsOver],1,Table2[HomeTeam],$A30, Table2[AwayTeam], AC$1, Table2[ActualResult], "OT") + SUMIFS(Table2[HomeWon_], Table2[GameIsOver],1,Table2[AwayTeam],$A30, Table2[HomeTeam], AC$1, Table2[ActualResult], "SO") + SUMIFS(Table2[AwayWon], Table2[GameIsOver],1,Table2[HomeTeam],$A30, Table2[AwayTeam], AC$1, Table2[ActualResult], "SO"),0))</f>
        <v>0-0-0</v>
      </c>
      <c r="AD30" s="89"/>
      <c r="AE30" t="str">
        <f>_xlfn.CONCAT(TEXT(SUMIFS(Table2[AwayWon], Table2[GameIsOver],1,Table2[AwayTeam],$A30, Table2[HomeTeam], AE$1) + SUMIFS(Table2[HomeWon_], Table2[GameIsOver],1,Table2[HomeTeam],$A30, Table2[AwayTeam], AE$1),0), "-", TEXT(SUMIFS(Table2[HomeWon_], Table2[GameIsOver],1,Table2[AwayTeam],$A30, Table2[HomeTeam], AE$1, Table2[ActualResult], "REG") + SUMIFS(Table2[AwayWon], Table2[GameIsOver],1,Table2[HomeTeam],$A30, Table2[AwayTeam], AE$1, Table2[ActualResult], "REG"),0), "-", TEXT(SUMIFS(Table2[HomeWon_], Table2[GameIsOver],1,Table2[AwayTeam],$A30, Table2[HomeTeam], AE$1, Table2[ActualResult], "OT") + SUMIFS(Table2[AwayWon], Table2[GameIsOver],1,Table2[HomeTeam],$A30, Table2[AwayTeam], AE$1, Table2[ActualResult], "OT") + SUMIFS(Table2[HomeWon_], Table2[GameIsOver],1,Table2[AwayTeam],$A30, Table2[HomeTeam], AE$1, Table2[ActualResult], "SO") + SUMIFS(Table2[AwayWon], Table2[GameIsOver],1,Table2[HomeTeam],$A30, Table2[AwayTeam], AE$1, Table2[ActualResult], "SO"),0))</f>
        <v>0-0-0</v>
      </c>
      <c r="AF30" t="str">
        <f>_xlfn.CONCAT(TEXT(SUMIFS(Table2[AwayWon], Table2[GameIsOver],1,Table2[AwayTeam],$A30, Table2[HomeTeam], AF$1) + SUMIFS(Table2[HomeWon_], Table2[GameIsOver],1,Table2[HomeTeam],$A30, Table2[AwayTeam], AF$1),0), "-", TEXT(SUMIFS(Table2[HomeWon_], Table2[GameIsOver],1,Table2[AwayTeam],$A30, Table2[HomeTeam], AF$1, Table2[ActualResult], "REG") + SUMIFS(Table2[AwayWon], Table2[GameIsOver],1,Table2[HomeTeam],$A30, Table2[AwayTeam], AF$1, Table2[ActualResult], "REG"),0), "-", TEXT(SUMIFS(Table2[HomeWon_], Table2[GameIsOver],1,Table2[AwayTeam],$A30, Table2[HomeTeam], AF$1, Table2[ActualResult], "OT") + SUMIFS(Table2[AwayWon], Table2[GameIsOver],1,Table2[HomeTeam],$A30, Table2[AwayTeam], AF$1, Table2[ActualResult], "OT") + SUMIFS(Table2[HomeWon_], Table2[GameIsOver],1,Table2[AwayTeam],$A30, Table2[HomeTeam], AF$1, Table2[ActualResult], "SO") + SUMIFS(Table2[AwayWon], Table2[GameIsOver],1,Table2[HomeTeam],$A30, Table2[AwayTeam], AF$1, Table2[ActualResult], "SO"),0))</f>
        <v>0-0-0</v>
      </c>
      <c r="AG30" t="str">
        <f>_xlfn.CONCAT(TEXT(SUMIFS(Table2[AwayWon], Table2[GameIsOver],1,Table2[AwayTeam],$A30, Table2[HomeTeam], AG$1) + SUMIFS(Table2[HomeWon_], Table2[GameIsOver],1,Table2[HomeTeam],$A30, Table2[AwayTeam], AG$1),0), "-", TEXT(SUMIFS(Table2[HomeWon_], Table2[GameIsOver],1,Table2[AwayTeam],$A30, Table2[HomeTeam], AG$1, Table2[ActualResult], "REG") + SUMIFS(Table2[AwayWon], Table2[GameIsOver],1,Table2[HomeTeam],$A30, Table2[AwayTeam], AG$1, Table2[ActualResult], "REG"),0), "-", TEXT(SUMIFS(Table2[HomeWon_], Table2[GameIsOver],1,Table2[AwayTeam],$A30, Table2[HomeTeam], AG$1, Table2[ActualResult], "OT") + SUMIFS(Table2[AwayWon], Table2[GameIsOver],1,Table2[HomeTeam],$A30, Table2[AwayTeam], AG$1, Table2[ActualResult], "OT") + SUMIFS(Table2[HomeWon_], Table2[GameIsOver],1,Table2[AwayTeam],$A30, Table2[HomeTeam], AG$1, Table2[ActualResult], "SO") + SUMIFS(Table2[AwayWon], Table2[GameIsOver],1,Table2[HomeTeam],$A30, Table2[AwayTeam], AG$1, Table2[ActualResult], "SO"),0))</f>
        <v>0-1-0</v>
      </c>
    </row>
    <row r="31" spans="1:33" x14ac:dyDescent="0.25">
      <c r="A31" s="57" t="s">
        <v>29</v>
      </c>
      <c r="B31" t="str">
        <f>_xlfn.CONCAT(TEXT(SUMIFS(Table2[AwayWon], Table2[GameIsOver],1,Table2[AwayTeam],$A31, Table2[HomeTeam], B$1) + SUMIFS(Table2[HomeWon_], Table2[GameIsOver],1,Table2[HomeTeam],$A31, Table2[AwayTeam], B$1),0), "-", TEXT(SUMIFS(Table2[HomeWon_], Table2[GameIsOver],1,Table2[AwayTeam],$A31, Table2[HomeTeam], B$1, Table2[ActualResult], "REG") + SUMIFS(Table2[AwayWon], Table2[GameIsOver],1,Table2[HomeTeam],$A31, Table2[AwayTeam], B$1, Table2[ActualResult], "REG"),0), "-", TEXT(SUMIFS(Table2[HomeWon_], Table2[GameIsOver],1,Table2[AwayTeam],$A31, Table2[HomeTeam], B$1, Table2[ActualResult], "OT") + SUMIFS(Table2[AwayWon], Table2[GameIsOver],1,Table2[HomeTeam],$A31, Table2[AwayTeam], B$1, Table2[ActualResult], "OT") + SUMIFS(Table2[HomeWon_], Table2[GameIsOver],1,Table2[AwayTeam],$A31, Table2[HomeTeam], B$1, Table2[ActualResult], "SO") + SUMIFS(Table2[AwayWon], Table2[GameIsOver],1,Table2[HomeTeam],$A31, Table2[AwayTeam], B$1, Table2[ActualResult], "SO"),0))</f>
        <v>0-0-0</v>
      </c>
      <c r="C31" t="str">
        <f>_xlfn.CONCAT(TEXT(SUMIFS(Table2[AwayWon], Table2[GameIsOver],1,Table2[AwayTeam],$A31, Table2[HomeTeam], C$1) + SUMIFS(Table2[HomeWon_], Table2[GameIsOver],1,Table2[HomeTeam],$A31, Table2[AwayTeam], C$1),0), "-", TEXT(SUMIFS(Table2[HomeWon_], Table2[GameIsOver],1,Table2[AwayTeam],$A31, Table2[HomeTeam], C$1, Table2[ActualResult], "REG") + SUMIFS(Table2[AwayWon], Table2[GameIsOver],1,Table2[HomeTeam],$A31, Table2[AwayTeam], C$1, Table2[ActualResult], "REG"),0), "-", TEXT(SUMIFS(Table2[HomeWon_], Table2[GameIsOver],1,Table2[AwayTeam],$A31, Table2[HomeTeam], C$1, Table2[ActualResult], "OT") + SUMIFS(Table2[AwayWon], Table2[GameIsOver],1,Table2[HomeTeam],$A31, Table2[AwayTeam], C$1, Table2[ActualResult], "OT") + SUMIFS(Table2[HomeWon_], Table2[GameIsOver],1,Table2[AwayTeam],$A31, Table2[HomeTeam], C$1, Table2[ActualResult], "SO") + SUMIFS(Table2[AwayWon], Table2[GameIsOver],1,Table2[HomeTeam],$A31, Table2[AwayTeam], C$1, Table2[ActualResult], "SO"),0))</f>
        <v>0-0-0</v>
      </c>
      <c r="D31" t="str">
        <f>_xlfn.CONCAT(TEXT(SUMIFS(Table2[AwayWon], Table2[GameIsOver],1,Table2[AwayTeam],$A31, Table2[HomeTeam], D$1) + SUMIFS(Table2[HomeWon_], Table2[GameIsOver],1,Table2[HomeTeam],$A31, Table2[AwayTeam], D$1),0), "-", TEXT(SUMIFS(Table2[HomeWon_], Table2[GameIsOver],1,Table2[AwayTeam],$A31, Table2[HomeTeam], D$1, Table2[ActualResult], "REG") + SUMIFS(Table2[AwayWon], Table2[GameIsOver],1,Table2[HomeTeam],$A31, Table2[AwayTeam], D$1, Table2[ActualResult], "REG"),0), "-", TEXT(SUMIFS(Table2[HomeWon_], Table2[GameIsOver],1,Table2[AwayTeam],$A31, Table2[HomeTeam], D$1, Table2[ActualResult], "OT") + SUMIFS(Table2[AwayWon], Table2[GameIsOver],1,Table2[HomeTeam],$A31, Table2[AwayTeam], D$1, Table2[ActualResult], "OT") + SUMIFS(Table2[HomeWon_], Table2[GameIsOver],1,Table2[AwayTeam],$A31, Table2[HomeTeam], D$1, Table2[ActualResult], "SO") + SUMIFS(Table2[AwayWon], Table2[GameIsOver],1,Table2[HomeTeam],$A31, Table2[AwayTeam], D$1, Table2[ActualResult], "SO"),0))</f>
        <v>0-0-1</v>
      </c>
      <c r="E31" t="str">
        <f>_xlfn.CONCAT(TEXT(SUMIFS(Table2[AwayWon], Table2[GameIsOver],1,Table2[AwayTeam],$A31, Table2[HomeTeam], E$1) + SUMIFS(Table2[HomeWon_], Table2[GameIsOver],1,Table2[HomeTeam],$A31, Table2[AwayTeam], E$1),0), "-", TEXT(SUMIFS(Table2[HomeWon_], Table2[GameIsOver],1,Table2[AwayTeam],$A31, Table2[HomeTeam], E$1, Table2[ActualResult], "REG") + SUMIFS(Table2[AwayWon], Table2[GameIsOver],1,Table2[HomeTeam],$A31, Table2[AwayTeam], E$1, Table2[ActualResult], "REG"),0), "-", TEXT(SUMIFS(Table2[HomeWon_], Table2[GameIsOver],1,Table2[AwayTeam],$A31, Table2[HomeTeam], E$1, Table2[ActualResult], "OT") + SUMIFS(Table2[AwayWon], Table2[GameIsOver],1,Table2[HomeTeam],$A31, Table2[AwayTeam], E$1, Table2[ActualResult], "OT") + SUMIFS(Table2[HomeWon_], Table2[GameIsOver],1,Table2[AwayTeam],$A31, Table2[HomeTeam], E$1, Table2[ActualResult], "SO") + SUMIFS(Table2[AwayWon], Table2[GameIsOver],1,Table2[HomeTeam],$A31, Table2[AwayTeam], E$1, Table2[ActualResult], "SO"),0))</f>
        <v>0-0-0</v>
      </c>
      <c r="F31" t="str">
        <f>_xlfn.CONCAT(TEXT(SUMIFS(Table2[AwayWon], Table2[GameIsOver],1,Table2[AwayTeam],$A31, Table2[HomeTeam], F$1) + SUMIFS(Table2[HomeWon_], Table2[GameIsOver],1,Table2[HomeTeam],$A31, Table2[AwayTeam], F$1),0), "-", TEXT(SUMIFS(Table2[HomeWon_], Table2[GameIsOver],1,Table2[AwayTeam],$A31, Table2[HomeTeam], F$1, Table2[ActualResult], "REG") + SUMIFS(Table2[AwayWon], Table2[GameIsOver],1,Table2[HomeTeam],$A31, Table2[AwayTeam], F$1, Table2[ActualResult], "REG"),0), "-", TEXT(SUMIFS(Table2[HomeWon_], Table2[GameIsOver],1,Table2[AwayTeam],$A31, Table2[HomeTeam], F$1, Table2[ActualResult], "OT") + SUMIFS(Table2[AwayWon], Table2[GameIsOver],1,Table2[HomeTeam],$A31, Table2[AwayTeam], F$1, Table2[ActualResult], "OT") + SUMIFS(Table2[HomeWon_], Table2[GameIsOver],1,Table2[AwayTeam],$A31, Table2[HomeTeam], F$1, Table2[ActualResult], "SO") + SUMIFS(Table2[AwayWon], Table2[GameIsOver],1,Table2[HomeTeam],$A31, Table2[AwayTeam], F$1, Table2[ActualResult], "SO"),0))</f>
        <v>1-0-0</v>
      </c>
      <c r="G31" t="str">
        <f>_xlfn.CONCAT(TEXT(SUMIFS(Table2[AwayWon], Table2[GameIsOver],1,Table2[AwayTeam],$A31, Table2[HomeTeam], G$1) + SUMIFS(Table2[HomeWon_], Table2[GameIsOver],1,Table2[HomeTeam],$A31, Table2[AwayTeam], G$1),0), "-", TEXT(SUMIFS(Table2[HomeWon_], Table2[GameIsOver],1,Table2[AwayTeam],$A31, Table2[HomeTeam], G$1, Table2[ActualResult], "REG") + SUMIFS(Table2[AwayWon], Table2[GameIsOver],1,Table2[HomeTeam],$A31, Table2[AwayTeam], G$1, Table2[ActualResult], "REG"),0), "-", TEXT(SUMIFS(Table2[HomeWon_], Table2[GameIsOver],1,Table2[AwayTeam],$A31, Table2[HomeTeam], G$1, Table2[ActualResult], "OT") + SUMIFS(Table2[AwayWon], Table2[GameIsOver],1,Table2[HomeTeam],$A31, Table2[AwayTeam], G$1, Table2[ActualResult], "OT") + SUMIFS(Table2[HomeWon_], Table2[GameIsOver],1,Table2[AwayTeam],$A31, Table2[HomeTeam], G$1, Table2[ActualResult], "SO") + SUMIFS(Table2[AwayWon], Table2[GameIsOver],1,Table2[HomeTeam],$A31, Table2[AwayTeam], G$1, Table2[ActualResult], "SO"),0))</f>
        <v>0-0-0</v>
      </c>
      <c r="H31" t="str">
        <f>_xlfn.CONCAT(TEXT(SUMIFS(Table2[AwayWon], Table2[GameIsOver],1,Table2[AwayTeam],$A31, Table2[HomeTeam], H$1) + SUMIFS(Table2[HomeWon_], Table2[GameIsOver],1,Table2[HomeTeam],$A31, Table2[AwayTeam], H$1),0), "-", TEXT(SUMIFS(Table2[HomeWon_], Table2[GameIsOver],1,Table2[AwayTeam],$A31, Table2[HomeTeam], H$1, Table2[ActualResult], "REG") + SUMIFS(Table2[AwayWon], Table2[GameIsOver],1,Table2[HomeTeam],$A31, Table2[AwayTeam], H$1, Table2[ActualResult], "REG"),0), "-", TEXT(SUMIFS(Table2[HomeWon_], Table2[GameIsOver],1,Table2[AwayTeam],$A31, Table2[HomeTeam], H$1, Table2[ActualResult], "OT") + SUMIFS(Table2[AwayWon], Table2[GameIsOver],1,Table2[HomeTeam],$A31, Table2[AwayTeam], H$1, Table2[ActualResult], "OT") + SUMIFS(Table2[HomeWon_], Table2[GameIsOver],1,Table2[AwayTeam],$A31, Table2[HomeTeam], H$1, Table2[ActualResult], "SO") + SUMIFS(Table2[AwayWon], Table2[GameIsOver],1,Table2[HomeTeam],$A31, Table2[AwayTeam], H$1, Table2[ActualResult], "SO"),0))</f>
        <v>0-0-0</v>
      </c>
      <c r="I31" s="57" t="str">
        <f>_xlfn.CONCAT(TEXT(SUMIFS(Table2[AwayWon], Table2[GameIsOver],1,Table2[AwayTeam],$A31, Table2[HomeTeam], I$1) + SUMIFS(Table2[HomeWon_], Table2[GameIsOver],1,Table2[HomeTeam],$A31, Table2[AwayTeam], I$1),0), "-", TEXT(SUMIFS(Table2[HomeWon_], Table2[GameIsOver],1,Table2[AwayTeam],$A31, Table2[HomeTeam], I$1, Table2[ActualResult], "REG") + SUMIFS(Table2[AwayWon], Table2[GameIsOver],1,Table2[HomeTeam],$A31, Table2[AwayTeam], I$1, Table2[ActualResult], "REG"),0), "-", TEXT(SUMIFS(Table2[HomeWon_], Table2[GameIsOver],1,Table2[AwayTeam],$A31, Table2[HomeTeam], I$1, Table2[ActualResult], "OT") + SUMIFS(Table2[AwayWon], Table2[GameIsOver],1,Table2[HomeTeam],$A31, Table2[AwayTeam], I$1, Table2[ActualResult], "OT") + SUMIFS(Table2[HomeWon_], Table2[GameIsOver],1,Table2[AwayTeam],$A31, Table2[HomeTeam], I$1, Table2[ActualResult], "SO") + SUMIFS(Table2[AwayWon], Table2[GameIsOver],1,Table2[HomeTeam],$A31, Table2[AwayTeam], I$1, Table2[ActualResult], "SO"),0))</f>
        <v>0-0-0</v>
      </c>
      <c r="J31" t="str">
        <f>_xlfn.CONCAT(TEXT(SUMIFS(Table2[AwayWon], Table2[GameIsOver],1,Table2[AwayTeam],$A31, Table2[HomeTeam], J$1) + SUMIFS(Table2[HomeWon_], Table2[GameIsOver],1,Table2[HomeTeam],$A31, Table2[AwayTeam], J$1),0), "-", TEXT(SUMIFS(Table2[HomeWon_], Table2[GameIsOver],1,Table2[AwayTeam],$A31, Table2[HomeTeam], J$1, Table2[ActualResult], "REG") + SUMIFS(Table2[AwayWon], Table2[GameIsOver],1,Table2[HomeTeam],$A31, Table2[AwayTeam], J$1, Table2[ActualResult], "REG"),0), "-", TEXT(SUMIFS(Table2[HomeWon_], Table2[GameIsOver],1,Table2[AwayTeam],$A31, Table2[HomeTeam], J$1, Table2[ActualResult], "OT") + SUMIFS(Table2[AwayWon], Table2[GameIsOver],1,Table2[HomeTeam],$A31, Table2[AwayTeam], J$1, Table2[ActualResult], "OT") + SUMIFS(Table2[HomeWon_], Table2[GameIsOver],1,Table2[AwayTeam],$A31, Table2[HomeTeam], J$1, Table2[ActualResult], "SO") + SUMIFS(Table2[AwayWon], Table2[GameIsOver],1,Table2[HomeTeam],$A31, Table2[AwayTeam], J$1, Table2[ActualResult], "SO"),0))</f>
        <v>0-0-0</v>
      </c>
      <c r="K31" t="str">
        <f>_xlfn.CONCAT(TEXT(SUMIFS(Table2[AwayWon], Table2[GameIsOver],1,Table2[AwayTeam],$A31, Table2[HomeTeam], K$1) + SUMIFS(Table2[HomeWon_], Table2[GameIsOver],1,Table2[HomeTeam],$A31, Table2[AwayTeam], K$1),0), "-", TEXT(SUMIFS(Table2[HomeWon_], Table2[GameIsOver],1,Table2[AwayTeam],$A31, Table2[HomeTeam], K$1, Table2[ActualResult], "REG") + SUMIFS(Table2[AwayWon], Table2[GameIsOver],1,Table2[HomeTeam],$A31, Table2[AwayTeam], K$1, Table2[ActualResult], "REG"),0), "-", TEXT(SUMIFS(Table2[HomeWon_], Table2[GameIsOver],1,Table2[AwayTeam],$A31, Table2[HomeTeam], K$1, Table2[ActualResult], "OT") + SUMIFS(Table2[AwayWon], Table2[GameIsOver],1,Table2[HomeTeam],$A31, Table2[AwayTeam], K$1, Table2[ActualResult], "OT") + SUMIFS(Table2[HomeWon_], Table2[GameIsOver],1,Table2[AwayTeam],$A31, Table2[HomeTeam], K$1, Table2[ActualResult], "SO") + SUMIFS(Table2[AwayWon], Table2[GameIsOver],1,Table2[HomeTeam],$A31, Table2[AwayTeam], K$1, Table2[ActualResult], "SO"),0))</f>
        <v>0-0-0</v>
      </c>
      <c r="L31" t="str">
        <f>_xlfn.CONCAT(TEXT(SUMIFS(Table2[AwayWon], Table2[GameIsOver],1,Table2[AwayTeam],$A31, Table2[HomeTeam], L$1) + SUMIFS(Table2[HomeWon_], Table2[GameIsOver],1,Table2[HomeTeam],$A31, Table2[AwayTeam], L$1),0), "-", TEXT(SUMIFS(Table2[HomeWon_], Table2[GameIsOver],1,Table2[AwayTeam],$A31, Table2[HomeTeam], L$1, Table2[ActualResult], "REG") + SUMIFS(Table2[AwayWon], Table2[GameIsOver],1,Table2[HomeTeam],$A31, Table2[AwayTeam], L$1, Table2[ActualResult], "REG"),0), "-", TEXT(SUMIFS(Table2[HomeWon_], Table2[GameIsOver],1,Table2[AwayTeam],$A31, Table2[HomeTeam], L$1, Table2[ActualResult], "OT") + SUMIFS(Table2[AwayWon], Table2[GameIsOver],1,Table2[HomeTeam],$A31, Table2[AwayTeam], L$1, Table2[ActualResult], "OT") + SUMIFS(Table2[HomeWon_], Table2[GameIsOver],1,Table2[AwayTeam],$A31, Table2[HomeTeam], L$1, Table2[ActualResult], "SO") + SUMIFS(Table2[AwayWon], Table2[GameIsOver],1,Table2[HomeTeam],$A31, Table2[AwayTeam], L$1, Table2[ActualResult], "SO"),0))</f>
        <v>0-0-0</v>
      </c>
      <c r="M31" t="str">
        <f>_xlfn.CONCAT(TEXT(SUMIFS(Table2[AwayWon], Table2[GameIsOver],1,Table2[AwayTeam],$A31, Table2[HomeTeam], M$1) + SUMIFS(Table2[HomeWon_], Table2[GameIsOver],1,Table2[HomeTeam],$A31, Table2[AwayTeam], M$1),0), "-", TEXT(SUMIFS(Table2[HomeWon_], Table2[GameIsOver],1,Table2[AwayTeam],$A31, Table2[HomeTeam], M$1, Table2[ActualResult], "REG") + SUMIFS(Table2[AwayWon], Table2[GameIsOver],1,Table2[HomeTeam],$A31, Table2[AwayTeam], M$1, Table2[ActualResult], "REG"),0), "-", TEXT(SUMIFS(Table2[HomeWon_], Table2[GameIsOver],1,Table2[AwayTeam],$A31, Table2[HomeTeam], M$1, Table2[ActualResult], "OT") + SUMIFS(Table2[AwayWon], Table2[GameIsOver],1,Table2[HomeTeam],$A31, Table2[AwayTeam], M$1, Table2[ActualResult], "OT") + SUMIFS(Table2[HomeWon_], Table2[GameIsOver],1,Table2[AwayTeam],$A31, Table2[HomeTeam], M$1, Table2[ActualResult], "SO") + SUMIFS(Table2[AwayWon], Table2[GameIsOver],1,Table2[HomeTeam],$A31, Table2[AwayTeam], M$1, Table2[ActualResult], "SO"),0))</f>
        <v>0-0-0</v>
      </c>
      <c r="N31" t="str">
        <f>_xlfn.CONCAT(TEXT(SUMIFS(Table2[AwayWon], Table2[GameIsOver],1,Table2[AwayTeam],$A31, Table2[HomeTeam], N$1) + SUMIFS(Table2[HomeWon_], Table2[GameIsOver],1,Table2[HomeTeam],$A31, Table2[AwayTeam], N$1),0), "-", TEXT(SUMIFS(Table2[HomeWon_], Table2[GameIsOver],1,Table2[AwayTeam],$A31, Table2[HomeTeam], N$1, Table2[ActualResult], "REG") + SUMIFS(Table2[AwayWon], Table2[GameIsOver],1,Table2[HomeTeam],$A31, Table2[AwayTeam], N$1, Table2[ActualResult], "REG"),0), "-", TEXT(SUMIFS(Table2[HomeWon_], Table2[GameIsOver],1,Table2[AwayTeam],$A31, Table2[HomeTeam], N$1, Table2[ActualResult], "OT") + SUMIFS(Table2[AwayWon], Table2[GameIsOver],1,Table2[HomeTeam],$A31, Table2[AwayTeam], N$1, Table2[ActualResult], "OT") + SUMIFS(Table2[HomeWon_], Table2[GameIsOver],1,Table2[AwayTeam],$A31, Table2[HomeTeam], N$1, Table2[ActualResult], "SO") + SUMIFS(Table2[AwayWon], Table2[GameIsOver],1,Table2[HomeTeam],$A31, Table2[AwayTeam], N$1, Table2[ActualResult], "SO"),0))</f>
        <v>0-1-0</v>
      </c>
      <c r="O31" t="str">
        <f>_xlfn.CONCAT(TEXT(SUMIFS(Table2[AwayWon], Table2[GameIsOver],1,Table2[AwayTeam],$A31, Table2[HomeTeam], O$1) + SUMIFS(Table2[HomeWon_], Table2[GameIsOver],1,Table2[HomeTeam],$A31, Table2[AwayTeam], O$1),0), "-", TEXT(SUMIFS(Table2[HomeWon_], Table2[GameIsOver],1,Table2[AwayTeam],$A31, Table2[HomeTeam], O$1, Table2[ActualResult], "REG") + SUMIFS(Table2[AwayWon], Table2[GameIsOver],1,Table2[HomeTeam],$A31, Table2[AwayTeam], O$1, Table2[ActualResult], "REG"),0), "-", TEXT(SUMIFS(Table2[HomeWon_], Table2[GameIsOver],1,Table2[AwayTeam],$A31, Table2[HomeTeam], O$1, Table2[ActualResult], "OT") + SUMIFS(Table2[AwayWon], Table2[GameIsOver],1,Table2[HomeTeam],$A31, Table2[AwayTeam], O$1, Table2[ActualResult], "OT") + SUMIFS(Table2[HomeWon_], Table2[GameIsOver],1,Table2[AwayTeam],$A31, Table2[HomeTeam], O$1, Table2[ActualResult], "SO") + SUMIFS(Table2[AwayWon], Table2[GameIsOver],1,Table2[HomeTeam],$A31, Table2[AwayTeam], O$1, Table2[ActualResult], "SO"),0))</f>
        <v>0-0-0</v>
      </c>
      <c r="P31" t="str">
        <f>_xlfn.CONCAT(TEXT(SUMIFS(Table2[AwayWon], Table2[GameIsOver],1,Table2[AwayTeam],$A31, Table2[HomeTeam], P$1) + SUMIFS(Table2[HomeWon_], Table2[GameIsOver],1,Table2[HomeTeam],$A31, Table2[AwayTeam], P$1),0), "-", TEXT(SUMIFS(Table2[HomeWon_], Table2[GameIsOver],1,Table2[AwayTeam],$A31, Table2[HomeTeam], P$1, Table2[ActualResult], "REG") + SUMIFS(Table2[AwayWon], Table2[GameIsOver],1,Table2[HomeTeam],$A31, Table2[AwayTeam], P$1, Table2[ActualResult], "REG"),0), "-", TEXT(SUMIFS(Table2[HomeWon_], Table2[GameIsOver],1,Table2[AwayTeam],$A31, Table2[HomeTeam], P$1, Table2[ActualResult], "OT") + SUMIFS(Table2[AwayWon], Table2[GameIsOver],1,Table2[HomeTeam],$A31, Table2[AwayTeam], P$1, Table2[ActualResult], "OT") + SUMIFS(Table2[HomeWon_], Table2[GameIsOver],1,Table2[AwayTeam],$A31, Table2[HomeTeam], P$1, Table2[ActualResult], "SO") + SUMIFS(Table2[AwayWon], Table2[GameIsOver],1,Table2[HomeTeam],$A31, Table2[AwayTeam], P$1, Table2[ActualResult], "SO"),0))</f>
        <v>0-0-0</v>
      </c>
      <c r="Q31" s="57" t="str">
        <f>_xlfn.CONCAT(TEXT(SUMIFS(Table2[AwayWon], Table2[GameIsOver],1,Table2[AwayTeam],$A31, Table2[HomeTeam], Q$1) + SUMIFS(Table2[HomeWon_], Table2[GameIsOver],1,Table2[HomeTeam],$A31, Table2[AwayTeam], Q$1),0), "-", TEXT(SUMIFS(Table2[HomeWon_], Table2[GameIsOver],1,Table2[AwayTeam],$A31, Table2[HomeTeam], Q$1, Table2[ActualResult], "REG") + SUMIFS(Table2[AwayWon], Table2[GameIsOver],1,Table2[HomeTeam],$A31, Table2[AwayTeam], Q$1, Table2[ActualResult], "REG"),0), "-", TEXT(SUMIFS(Table2[HomeWon_], Table2[GameIsOver],1,Table2[AwayTeam],$A31, Table2[HomeTeam], Q$1, Table2[ActualResult], "OT") + SUMIFS(Table2[AwayWon], Table2[GameIsOver],1,Table2[HomeTeam],$A31, Table2[AwayTeam], Q$1, Table2[ActualResult], "OT") + SUMIFS(Table2[HomeWon_], Table2[GameIsOver],1,Table2[AwayTeam],$A31, Table2[HomeTeam], Q$1, Table2[ActualResult], "SO") + SUMIFS(Table2[AwayWon], Table2[GameIsOver],1,Table2[HomeTeam],$A31, Table2[AwayTeam], Q$1, Table2[ActualResult], "SO"),0))</f>
        <v>0-0-0</v>
      </c>
      <c r="R31" t="str">
        <f>_xlfn.CONCAT(TEXT(SUMIFS(Table2[AwayWon], Table2[GameIsOver],1,Table2[AwayTeam],$A31, Table2[HomeTeam], R$1) + SUMIFS(Table2[HomeWon_], Table2[GameIsOver],1,Table2[HomeTeam],$A31, Table2[AwayTeam], R$1),0), "-", TEXT(SUMIFS(Table2[HomeWon_], Table2[GameIsOver],1,Table2[AwayTeam],$A31, Table2[HomeTeam], R$1, Table2[ActualResult], "REG") + SUMIFS(Table2[AwayWon], Table2[GameIsOver],1,Table2[HomeTeam],$A31, Table2[AwayTeam], R$1, Table2[ActualResult], "REG"),0), "-", TEXT(SUMIFS(Table2[HomeWon_], Table2[GameIsOver],1,Table2[AwayTeam],$A31, Table2[HomeTeam], R$1, Table2[ActualResult], "OT") + SUMIFS(Table2[AwayWon], Table2[GameIsOver],1,Table2[HomeTeam],$A31, Table2[AwayTeam], R$1, Table2[ActualResult], "OT") + SUMIFS(Table2[HomeWon_], Table2[GameIsOver],1,Table2[AwayTeam],$A31, Table2[HomeTeam], R$1, Table2[ActualResult], "SO") + SUMIFS(Table2[AwayWon], Table2[GameIsOver],1,Table2[HomeTeam],$A31, Table2[AwayTeam], R$1, Table2[ActualResult], "SO"),0))</f>
        <v>0-0-0</v>
      </c>
      <c r="S31" t="str">
        <f>_xlfn.CONCAT(TEXT(SUMIFS(Table2[AwayWon], Table2[GameIsOver],1,Table2[AwayTeam],$A31, Table2[HomeTeam], S$1) + SUMIFS(Table2[HomeWon_], Table2[GameIsOver],1,Table2[HomeTeam],$A31, Table2[AwayTeam], S$1),0), "-", TEXT(SUMIFS(Table2[HomeWon_], Table2[GameIsOver],1,Table2[AwayTeam],$A31, Table2[HomeTeam], S$1, Table2[ActualResult], "REG") + SUMIFS(Table2[AwayWon], Table2[GameIsOver],1,Table2[HomeTeam],$A31, Table2[AwayTeam], S$1, Table2[ActualResult], "REG"),0), "-", TEXT(SUMIFS(Table2[HomeWon_], Table2[GameIsOver],1,Table2[AwayTeam],$A31, Table2[HomeTeam], S$1, Table2[ActualResult], "OT") + SUMIFS(Table2[AwayWon], Table2[GameIsOver],1,Table2[HomeTeam],$A31, Table2[AwayTeam], S$1, Table2[ActualResult], "OT") + SUMIFS(Table2[HomeWon_], Table2[GameIsOver],1,Table2[AwayTeam],$A31, Table2[HomeTeam], S$1, Table2[ActualResult], "SO") + SUMIFS(Table2[AwayWon], Table2[GameIsOver],1,Table2[HomeTeam],$A31, Table2[AwayTeam], S$1, Table2[ActualResult], "SO"),0))</f>
        <v>0-0-0</v>
      </c>
      <c r="T31" t="str">
        <f>_xlfn.CONCAT(TEXT(SUMIFS(Table2[AwayWon], Table2[GameIsOver],1,Table2[AwayTeam],$A31, Table2[HomeTeam], T$1) + SUMIFS(Table2[HomeWon_], Table2[GameIsOver],1,Table2[HomeTeam],$A31, Table2[AwayTeam], T$1),0), "-", TEXT(SUMIFS(Table2[HomeWon_], Table2[GameIsOver],1,Table2[AwayTeam],$A31, Table2[HomeTeam], T$1, Table2[ActualResult], "REG") + SUMIFS(Table2[AwayWon], Table2[GameIsOver],1,Table2[HomeTeam],$A31, Table2[AwayTeam], T$1, Table2[ActualResult], "REG"),0), "-", TEXT(SUMIFS(Table2[HomeWon_], Table2[GameIsOver],1,Table2[AwayTeam],$A31, Table2[HomeTeam], T$1, Table2[ActualResult], "OT") + SUMIFS(Table2[AwayWon], Table2[GameIsOver],1,Table2[HomeTeam],$A31, Table2[AwayTeam], T$1, Table2[ActualResult], "OT") + SUMIFS(Table2[HomeWon_], Table2[GameIsOver],1,Table2[AwayTeam],$A31, Table2[HomeTeam], T$1, Table2[ActualResult], "SO") + SUMIFS(Table2[AwayWon], Table2[GameIsOver],1,Table2[HomeTeam],$A31, Table2[AwayTeam], T$1, Table2[ActualResult], "SO"),0))</f>
        <v>0-0-0</v>
      </c>
      <c r="U31" t="str">
        <f>_xlfn.CONCAT(TEXT(SUMIFS(Table2[AwayWon], Table2[GameIsOver],1,Table2[AwayTeam],$A31, Table2[HomeTeam], U$1) + SUMIFS(Table2[HomeWon_], Table2[GameIsOver],1,Table2[HomeTeam],$A31, Table2[AwayTeam], U$1),0), "-", TEXT(SUMIFS(Table2[HomeWon_], Table2[GameIsOver],1,Table2[AwayTeam],$A31, Table2[HomeTeam], U$1, Table2[ActualResult], "REG") + SUMIFS(Table2[AwayWon], Table2[GameIsOver],1,Table2[HomeTeam],$A31, Table2[AwayTeam], U$1, Table2[ActualResult], "REG"),0), "-", TEXT(SUMIFS(Table2[HomeWon_], Table2[GameIsOver],1,Table2[AwayTeam],$A31, Table2[HomeTeam], U$1, Table2[ActualResult], "OT") + SUMIFS(Table2[AwayWon], Table2[GameIsOver],1,Table2[HomeTeam],$A31, Table2[AwayTeam], U$1, Table2[ActualResult], "OT") + SUMIFS(Table2[HomeWon_], Table2[GameIsOver],1,Table2[AwayTeam],$A31, Table2[HomeTeam], U$1, Table2[ActualResult], "SO") + SUMIFS(Table2[AwayWon], Table2[GameIsOver],1,Table2[HomeTeam],$A31, Table2[AwayTeam], U$1, Table2[ActualResult], "SO"),0))</f>
        <v>0-1-0</v>
      </c>
      <c r="V31" t="str">
        <f>_xlfn.CONCAT(TEXT(SUMIFS(Table2[AwayWon], Table2[GameIsOver],1,Table2[AwayTeam],$A31, Table2[HomeTeam], V$1) + SUMIFS(Table2[HomeWon_], Table2[GameIsOver],1,Table2[HomeTeam],$A31, Table2[AwayTeam], V$1),0), "-", TEXT(SUMIFS(Table2[HomeWon_], Table2[GameIsOver],1,Table2[AwayTeam],$A31, Table2[HomeTeam], V$1, Table2[ActualResult], "REG") + SUMIFS(Table2[AwayWon], Table2[GameIsOver],1,Table2[HomeTeam],$A31, Table2[AwayTeam], V$1, Table2[ActualResult], "REG"),0), "-", TEXT(SUMIFS(Table2[HomeWon_], Table2[GameIsOver],1,Table2[AwayTeam],$A31, Table2[HomeTeam], V$1, Table2[ActualResult], "OT") + SUMIFS(Table2[AwayWon], Table2[GameIsOver],1,Table2[HomeTeam],$A31, Table2[AwayTeam], V$1, Table2[ActualResult], "OT") + SUMIFS(Table2[HomeWon_], Table2[GameIsOver],1,Table2[AwayTeam],$A31, Table2[HomeTeam], V$1, Table2[ActualResult], "SO") + SUMIFS(Table2[AwayWon], Table2[GameIsOver],1,Table2[HomeTeam],$A31, Table2[AwayTeam], V$1, Table2[ActualResult], "SO"),0))</f>
        <v>0-0-0</v>
      </c>
      <c r="W31" t="str">
        <f>_xlfn.CONCAT(TEXT(SUMIFS(Table2[AwayWon], Table2[GameIsOver],1,Table2[AwayTeam],$A31, Table2[HomeTeam], W$1) + SUMIFS(Table2[HomeWon_], Table2[GameIsOver],1,Table2[HomeTeam],$A31, Table2[AwayTeam], W$1),0), "-", TEXT(SUMIFS(Table2[HomeWon_], Table2[GameIsOver],1,Table2[AwayTeam],$A31, Table2[HomeTeam], W$1, Table2[ActualResult], "REG") + SUMIFS(Table2[AwayWon], Table2[GameIsOver],1,Table2[HomeTeam],$A31, Table2[AwayTeam], W$1, Table2[ActualResult], "REG"),0), "-", TEXT(SUMIFS(Table2[HomeWon_], Table2[GameIsOver],1,Table2[AwayTeam],$A31, Table2[HomeTeam], W$1, Table2[ActualResult], "OT") + SUMIFS(Table2[AwayWon], Table2[GameIsOver],1,Table2[HomeTeam],$A31, Table2[AwayTeam], W$1, Table2[ActualResult], "OT") + SUMIFS(Table2[HomeWon_], Table2[GameIsOver],1,Table2[AwayTeam],$A31, Table2[HomeTeam], W$1, Table2[ActualResult], "SO") + SUMIFS(Table2[AwayWon], Table2[GameIsOver],1,Table2[HomeTeam],$A31, Table2[AwayTeam], W$1, Table2[ActualResult], "SO"),0))</f>
        <v>0-0-0</v>
      </c>
      <c r="X31" t="str">
        <f>_xlfn.CONCAT(TEXT(SUMIFS(Table2[AwayWon], Table2[GameIsOver],1,Table2[AwayTeam],$A31, Table2[HomeTeam], X$1) + SUMIFS(Table2[HomeWon_], Table2[GameIsOver],1,Table2[HomeTeam],$A31, Table2[AwayTeam], X$1),0), "-", TEXT(SUMIFS(Table2[HomeWon_], Table2[GameIsOver],1,Table2[AwayTeam],$A31, Table2[HomeTeam], X$1, Table2[ActualResult], "REG") + SUMIFS(Table2[AwayWon], Table2[GameIsOver],1,Table2[HomeTeam],$A31, Table2[AwayTeam], X$1, Table2[ActualResult], "REG"),0), "-", TEXT(SUMIFS(Table2[HomeWon_], Table2[GameIsOver],1,Table2[AwayTeam],$A31, Table2[HomeTeam], X$1, Table2[ActualResult], "OT") + SUMIFS(Table2[AwayWon], Table2[GameIsOver],1,Table2[HomeTeam],$A31, Table2[AwayTeam], X$1, Table2[ActualResult], "OT") + SUMIFS(Table2[HomeWon_], Table2[GameIsOver],1,Table2[AwayTeam],$A31, Table2[HomeTeam], X$1, Table2[ActualResult], "SO") + SUMIFS(Table2[AwayWon], Table2[GameIsOver],1,Table2[HomeTeam],$A31, Table2[AwayTeam], X$1, Table2[ActualResult], "SO"),0))</f>
        <v>0-0-0</v>
      </c>
      <c r="Y31" s="57" t="str">
        <f>_xlfn.CONCAT(TEXT(SUMIFS(Table2[AwayWon], Table2[GameIsOver],1,Table2[AwayTeam],$A31, Table2[HomeTeam], Y$1) + SUMIFS(Table2[HomeWon_], Table2[GameIsOver],1,Table2[HomeTeam],$A31, Table2[AwayTeam], Y$1),0), "-", TEXT(SUMIFS(Table2[HomeWon_], Table2[GameIsOver],1,Table2[AwayTeam],$A31, Table2[HomeTeam], Y$1, Table2[ActualResult], "REG") + SUMIFS(Table2[AwayWon], Table2[GameIsOver],1,Table2[HomeTeam],$A31, Table2[AwayTeam], Y$1, Table2[ActualResult], "REG"),0), "-", TEXT(SUMIFS(Table2[HomeWon_], Table2[GameIsOver],1,Table2[AwayTeam],$A31, Table2[HomeTeam], Y$1, Table2[ActualResult], "OT") + SUMIFS(Table2[AwayWon], Table2[GameIsOver],1,Table2[HomeTeam],$A31, Table2[AwayTeam], Y$1, Table2[ActualResult], "OT") + SUMIFS(Table2[HomeWon_], Table2[GameIsOver],1,Table2[AwayTeam],$A31, Table2[HomeTeam], Y$1, Table2[ActualResult], "SO") + SUMIFS(Table2[AwayWon], Table2[GameIsOver],1,Table2[HomeTeam],$A31, Table2[AwayTeam], Y$1, Table2[ActualResult], "SO"),0))</f>
        <v>0-0-0</v>
      </c>
      <c r="Z31" t="str">
        <f>_xlfn.CONCAT(TEXT(SUMIFS(Table2[AwayWon], Table2[GameIsOver],1,Table2[AwayTeam],$A31, Table2[HomeTeam], Z$1) + SUMIFS(Table2[HomeWon_], Table2[GameIsOver],1,Table2[HomeTeam],$A31, Table2[AwayTeam], Z$1),0), "-", TEXT(SUMIFS(Table2[HomeWon_], Table2[GameIsOver],1,Table2[AwayTeam],$A31, Table2[HomeTeam], Z$1, Table2[ActualResult], "REG") + SUMIFS(Table2[AwayWon], Table2[GameIsOver],1,Table2[HomeTeam],$A31, Table2[AwayTeam], Z$1, Table2[ActualResult], "REG"),0), "-", TEXT(SUMIFS(Table2[HomeWon_], Table2[GameIsOver],1,Table2[AwayTeam],$A31, Table2[HomeTeam], Z$1, Table2[ActualResult], "OT") + SUMIFS(Table2[AwayWon], Table2[GameIsOver],1,Table2[HomeTeam],$A31, Table2[AwayTeam], Z$1, Table2[ActualResult], "OT") + SUMIFS(Table2[HomeWon_], Table2[GameIsOver],1,Table2[AwayTeam],$A31, Table2[HomeTeam], Z$1, Table2[ActualResult], "SO") + SUMIFS(Table2[AwayWon], Table2[GameIsOver],1,Table2[HomeTeam],$A31, Table2[AwayTeam], Z$1, Table2[ActualResult], "SO"),0))</f>
        <v>0-0-0</v>
      </c>
      <c r="AA31" t="str">
        <f>_xlfn.CONCAT(TEXT(SUMIFS(Table2[AwayWon], Table2[GameIsOver],1,Table2[AwayTeam],$A31, Table2[HomeTeam], AA$1) + SUMIFS(Table2[HomeWon_], Table2[GameIsOver],1,Table2[HomeTeam],$A31, Table2[AwayTeam], AA$1),0), "-", TEXT(SUMIFS(Table2[HomeWon_], Table2[GameIsOver],1,Table2[AwayTeam],$A31, Table2[HomeTeam], AA$1, Table2[ActualResult], "REG") + SUMIFS(Table2[AwayWon], Table2[GameIsOver],1,Table2[HomeTeam],$A31, Table2[AwayTeam], AA$1, Table2[ActualResult], "REG"),0), "-", TEXT(SUMIFS(Table2[HomeWon_], Table2[GameIsOver],1,Table2[AwayTeam],$A31, Table2[HomeTeam], AA$1, Table2[ActualResult], "OT") + SUMIFS(Table2[AwayWon], Table2[GameIsOver],1,Table2[HomeTeam],$A31, Table2[AwayTeam], AA$1, Table2[ActualResult], "OT") + SUMIFS(Table2[HomeWon_], Table2[GameIsOver],1,Table2[AwayTeam],$A31, Table2[HomeTeam], AA$1, Table2[ActualResult], "SO") + SUMIFS(Table2[AwayWon], Table2[GameIsOver],1,Table2[HomeTeam],$A31, Table2[AwayTeam], AA$1, Table2[ActualResult], "SO"),0))</f>
        <v>0-1-0</v>
      </c>
      <c r="AB31" t="str">
        <f>_xlfn.CONCAT(TEXT(SUMIFS(Table2[AwayWon], Table2[GameIsOver],1,Table2[AwayTeam],$A31, Table2[HomeTeam], AB$1) + SUMIFS(Table2[HomeWon_], Table2[GameIsOver],1,Table2[HomeTeam],$A31, Table2[AwayTeam], AB$1),0), "-", TEXT(SUMIFS(Table2[HomeWon_], Table2[GameIsOver],1,Table2[AwayTeam],$A31, Table2[HomeTeam], AB$1, Table2[ActualResult], "REG") + SUMIFS(Table2[AwayWon], Table2[GameIsOver],1,Table2[HomeTeam],$A31, Table2[AwayTeam], AB$1, Table2[ActualResult], "REG"),0), "-", TEXT(SUMIFS(Table2[HomeWon_], Table2[GameIsOver],1,Table2[AwayTeam],$A31, Table2[HomeTeam], AB$1, Table2[ActualResult], "OT") + SUMIFS(Table2[AwayWon], Table2[GameIsOver],1,Table2[HomeTeam],$A31, Table2[AwayTeam], AB$1, Table2[ActualResult], "OT") + SUMIFS(Table2[HomeWon_], Table2[GameIsOver],1,Table2[AwayTeam],$A31, Table2[HomeTeam], AB$1, Table2[ActualResult], "SO") + SUMIFS(Table2[AwayWon], Table2[GameIsOver],1,Table2[HomeTeam],$A31, Table2[AwayTeam], AB$1, Table2[ActualResult], "SO"),0))</f>
        <v>0-0-0</v>
      </c>
      <c r="AC31" t="str">
        <f>_xlfn.CONCAT(TEXT(SUMIFS(Table2[AwayWon], Table2[GameIsOver],1,Table2[AwayTeam],$A31, Table2[HomeTeam], AC$1) + SUMIFS(Table2[HomeWon_], Table2[GameIsOver],1,Table2[HomeTeam],$A31, Table2[AwayTeam], AC$1),0), "-", TEXT(SUMIFS(Table2[HomeWon_], Table2[GameIsOver],1,Table2[AwayTeam],$A31, Table2[HomeTeam], AC$1, Table2[ActualResult], "REG") + SUMIFS(Table2[AwayWon], Table2[GameIsOver],1,Table2[HomeTeam],$A31, Table2[AwayTeam], AC$1, Table2[ActualResult], "REG"),0), "-", TEXT(SUMIFS(Table2[HomeWon_], Table2[GameIsOver],1,Table2[AwayTeam],$A31, Table2[HomeTeam], AC$1, Table2[ActualResult], "OT") + SUMIFS(Table2[AwayWon], Table2[GameIsOver],1,Table2[HomeTeam],$A31, Table2[AwayTeam], AC$1, Table2[ActualResult], "OT") + SUMIFS(Table2[HomeWon_], Table2[GameIsOver],1,Table2[AwayTeam],$A31, Table2[HomeTeam], AC$1, Table2[ActualResult], "SO") + SUMIFS(Table2[AwayWon], Table2[GameIsOver],1,Table2[HomeTeam],$A31, Table2[AwayTeam], AC$1, Table2[ActualResult], "SO"),0))</f>
        <v>0-1-0</v>
      </c>
      <c r="AD31" t="str">
        <f>_xlfn.CONCAT(TEXT(SUMIFS(Table2[AwayWon], Table2[GameIsOver],1,Table2[AwayTeam],$A31, Table2[HomeTeam], AD$1) + SUMIFS(Table2[HomeWon_], Table2[GameIsOver],1,Table2[HomeTeam],$A31, Table2[AwayTeam], AD$1),0), "-", TEXT(SUMIFS(Table2[HomeWon_], Table2[GameIsOver],1,Table2[AwayTeam],$A31, Table2[HomeTeam], AD$1, Table2[ActualResult], "REG") + SUMIFS(Table2[AwayWon], Table2[GameIsOver],1,Table2[HomeTeam],$A31, Table2[AwayTeam], AD$1, Table2[ActualResult], "REG"),0), "-", TEXT(SUMIFS(Table2[HomeWon_], Table2[GameIsOver],1,Table2[AwayTeam],$A31, Table2[HomeTeam], AD$1, Table2[ActualResult], "OT") + SUMIFS(Table2[AwayWon], Table2[GameIsOver],1,Table2[HomeTeam],$A31, Table2[AwayTeam], AD$1, Table2[ActualResult], "OT") + SUMIFS(Table2[HomeWon_], Table2[GameIsOver],1,Table2[AwayTeam],$A31, Table2[HomeTeam], AD$1, Table2[ActualResult], "SO") + SUMIFS(Table2[AwayWon], Table2[GameIsOver],1,Table2[HomeTeam],$A31, Table2[AwayTeam], AD$1, Table2[ActualResult], "SO"),0))</f>
        <v>0-0-0</v>
      </c>
      <c r="AE31" s="89"/>
      <c r="AF31" t="str">
        <f>_xlfn.CONCAT(TEXT(SUMIFS(Table2[AwayWon], Table2[GameIsOver],1,Table2[AwayTeam],$A31, Table2[HomeTeam], AF$1) + SUMIFS(Table2[HomeWon_], Table2[GameIsOver],1,Table2[HomeTeam],$A31, Table2[AwayTeam], AF$1),0), "-", TEXT(SUMIFS(Table2[HomeWon_], Table2[GameIsOver],1,Table2[AwayTeam],$A31, Table2[HomeTeam], AF$1, Table2[ActualResult], "REG") + SUMIFS(Table2[AwayWon], Table2[GameIsOver],1,Table2[HomeTeam],$A31, Table2[AwayTeam], AF$1, Table2[ActualResult], "REG"),0), "-", TEXT(SUMIFS(Table2[HomeWon_], Table2[GameIsOver],1,Table2[AwayTeam],$A31, Table2[HomeTeam], AF$1, Table2[ActualResult], "OT") + SUMIFS(Table2[AwayWon], Table2[GameIsOver],1,Table2[HomeTeam],$A31, Table2[AwayTeam], AF$1, Table2[ActualResult], "OT") + SUMIFS(Table2[HomeWon_], Table2[GameIsOver],1,Table2[AwayTeam],$A31, Table2[HomeTeam], AF$1, Table2[ActualResult], "SO") + SUMIFS(Table2[AwayWon], Table2[GameIsOver],1,Table2[HomeTeam],$A31, Table2[AwayTeam], AF$1, Table2[ActualResult], "SO"),0))</f>
        <v>1-0-0</v>
      </c>
      <c r="AG31" t="str">
        <f>_xlfn.CONCAT(TEXT(SUMIFS(Table2[AwayWon], Table2[GameIsOver],1,Table2[AwayTeam],$A31, Table2[HomeTeam], AG$1) + SUMIFS(Table2[HomeWon_], Table2[GameIsOver],1,Table2[HomeTeam],$A31, Table2[AwayTeam], AG$1),0), "-", TEXT(SUMIFS(Table2[HomeWon_], Table2[GameIsOver],1,Table2[AwayTeam],$A31, Table2[HomeTeam], AG$1, Table2[ActualResult], "REG") + SUMIFS(Table2[AwayWon], Table2[GameIsOver],1,Table2[HomeTeam],$A31, Table2[AwayTeam], AG$1, Table2[ActualResult], "REG"),0), "-", TEXT(SUMIFS(Table2[HomeWon_], Table2[GameIsOver],1,Table2[AwayTeam],$A31, Table2[HomeTeam], AG$1, Table2[ActualResult], "OT") + SUMIFS(Table2[AwayWon], Table2[GameIsOver],1,Table2[HomeTeam],$A31, Table2[AwayTeam], AG$1, Table2[ActualResult], "OT") + SUMIFS(Table2[HomeWon_], Table2[GameIsOver],1,Table2[AwayTeam],$A31, Table2[HomeTeam], AG$1, Table2[ActualResult], "SO") + SUMIFS(Table2[AwayWon], Table2[GameIsOver],1,Table2[HomeTeam],$A31, Table2[AwayTeam], AG$1, Table2[ActualResult], "SO"),0))</f>
        <v>0-0-0</v>
      </c>
    </row>
    <row r="32" spans="1:33" x14ac:dyDescent="0.25">
      <c r="A32" s="57" t="s">
        <v>40</v>
      </c>
      <c r="B32" t="str">
        <f>_xlfn.CONCAT(TEXT(SUMIFS(Table2[AwayWon], Table2[GameIsOver],1,Table2[AwayTeam],$A32, Table2[HomeTeam], B$1) + SUMIFS(Table2[HomeWon_], Table2[GameIsOver],1,Table2[HomeTeam],$A32, Table2[AwayTeam], B$1),0), "-", TEXT(SUMIFS(Table2[HomeWon_], Table2[GameIsOver],1,Table2[AwayTeam],$A32, Table2[HomeTeam], B$1, Table2[ActualResult], "REG") + SUMIFS(Table2[AwayWon], Table2[GameIsOver],1,Table2[HomeTeam],$A32, Table2[AwayTeam], B$1, Table2[ActualResult], "REG"),0), "-", TEXT(SUMIFS(Table2[HomeWon_], Table2[GameIsOver],1,Table2[AwayTeam],$A32, Table2[HomeTeam], B$1, Table2[ActualResult], "OT") + SUMIFS(Table2[AwayWon], Table2[GameIsOver],1,Table2[HomeTeam],$A32, Table2[AwayTeam], B$1, Table2[ActualResult], "OT") + SUMIFS(Table2[HomeWon_], Table2[GameIsOver],1,Table2[AwayTeam],$A32, Table2[HomeTeam], B$1, Table2[ActualResult], "SO") + SUMIFS(Table2[AwayWon], Table2[GameIsOver],1,Table2[HomeTeam],$A32, Table2[AwayTeam], B$1, Table2[ActualResult], "SO"),0))</f>
        <v>0-0-0</v>
      </c>
      <c r="C32" t="str">
        <f>_xlfn.CONCAT(TEXT(SUMIFS(Table2[AwayWon], Table2[GameIsOver],1,Table2[AwayTeam],$A32, Table2[HomeTeam], C$1) + SUMIFS(Table2[HomeWon_], Table2[GameIsOver],1,Table2[HomeTeam],$A32, Table2[AwayTeam], C$1),0), "-", TEXT(SUMIFS(Table2[HomeWon_], Table2[GameIsOver],1,Table2[AwayTeam],$A32, Table2[HomeTeam], C$1, Table2[ActualResult], "REG") + SUMIFS(Table2[AwayWon], Table2[GameIsOver],1,Table2[HomeTeam],$A32, Table2[AwayTeam], C$1, Table2[ActualResult], "REG"),0), "-", TEXT(SUMIFS(Table2[HomeWon_], Table2[GameIsOver],1,Table2[AwayTeam],$A32, Table2[HomeTeam], C$1, Table2[ActualResult], "OT") + SUMIFS(Table2[AwayWon], Table2[GameIsOver],1,Table2[HomeTeam],$A32, Table2[AwayTeam], C$1, Table2[ActualResult], "OT") + SUMIFS(Table2[HomeWon_], Table2[GameIsOver],1,Table2[AwayTeam],$A32, Table2[HomeTeam], C$1, Table2[ActualResult], "SO") + SUMIFS(Table2[AwayWon], Table2[GameIsOver],1,Table2[HomeTeam],$A32, Table2[AwayTeam], C$1, Table2[ActualResult], "SO"),0))</f>
        <v>0-0-0</v>
      </c>
      <c r="D32" t="str">
        <f>_xlfn.CONCAT(TEXT(SUMIFS(Table2[AwayWon], Table2[GameIsOver],1,Table2[AwayTeam],$A32, Table2[HomeTeam], D$1) + SUMIFS(Table2[HomeWon_], Table2[GameIsOver],1,Table2[HomeTeam],$A32, Table2[AwayTeam], D$1),0), "-", TEXT(SUMIFS(Table2[HomeWon_], Table2[GameIsOver],1,Table2[AwayTeam],$A32, Table2[HomeTeam], D$1, Table2[ActualResult], "REG") + SUMIFS(Table2[AwayWon], Table2[GameIsOver],1,Table2[HomeTeam],$A32, Table2[AwayTeam], D$1, Table2[ActualResult], "REG"),0), "-", TEXT(SUMIFS(Table2[HomeWon_], Table2[GameIsOver],1,Table2[AwayTeam],$A32, Table2[HomeTeam], D$1, Table2[ActualResult], "OT") + SUMIFS(Table2[AwayWon], Table2[GameIsOver],1,Table2[HomeTeam],$A32, Table2[AwayTeam], D$1, Table2[ActualResult], "OT") + SUMIFS(Table2[HomeWon_], Table2[GameIsOver],1,Table2[AwayTeam],$A32, Table2[HomeTeam], D$1, Table2[ActualResult], "SO") + SUMIFS(Table2[AwayWon], Table2[GameIsOver],1,Table2[HomeTeam],$A32, Table2[AwayTeam], D$1, Table2[ActualResult], "SO"),0))</f>
        <v>0-0-0</v>
      </c>
      <c r="E32" t="str">
        <f>_xlfn.CONCAT(TEXT(SUMIFS(Table2[AwayWon], Table2[GameIsOver],1,Table2[AwayTeam],$A32, Table2[HomeTeam], E$1) + SUMIFS(Table2[HomeWon_], Table2[GameIsOver],1,Table2[HomeTeam],$A32, Table2[AwayTeam], E$1),0), "-", TEXT(SUMIFS(Table2[HomeWon_], Table2[GameIsOver],1,Table2[AwayTeam],$A32, Table2[HomeTeam], E$1, Table2[ActualResult], "REG") + SUMIFS(Table2[AwayWon], Table2[GameIsOver],1,Table2[HomeTeam],$A32, Table2[AwayTeam], E$1, Table2[ActualResult], "REG"),0), "-", TEXT(SUMIFS(Table2[HomeWon_], Table2[GameIsOver],1,Table2[AwayTeam],$A32, Table2[HomeTeam], E$1, Table2[ActualResult], "OT") + SUMIFS(Table2[AwayWon], Table2[GameIsOver],1,Table2[HomeTeam],$A32, Table2[AwayTeam], E$1, Table2[ActualResult], "OT") + SUMIFS(Table2[HomeWon_], Table2[GameIsOver],1,Table2[AwayTeam],$A32, Table2[HomeTeam], E$1, Table2[ActualResult], "SO") + SUMIFS(Table2[AwayWon], Table2[GameIsOver],1,Table2[HomeTeam],$A32, Table2[AwayTeam], E$1, Table2[ActualResult], "SO"),0))</f>
        <v>0-0-0</v>
      </c>
      <c r="F32" t="str">
        <f>_xlfn.CONCAT(TEXT(SUMIFS(Table2[AwayWon], Table2[GameIsOver],1,Table2[AwayTeam],$A32, Table2[HomeTeam], F$1) + SUMIFS(Table2[HomeWon_], Table2[GameIsOver],1,Table2[HomeTeam],$A32, Table2[AwayTeam], F$1),0), "-", TEXT(SUMIFS(Table2[HomeWon_], Table2[GameIsOver],1,Table2[AwayTeam],$A32, Table2[HomeTeam], F$1, Table2[ActualResult], "REG") + SUMIFS(Table2[AwayWon], Table2[GameIsOver],1,Table2[HomeTeam],$A32, Table2[AwayTeam], F$1, Table2[ActualResult], "REG"),0), "-", TEXT(SUMIFS(Table2[HomeWon_], Table2[GameIsOver],1,Table2[AwayTeam],$A32, Table2[HomeTeam], F$1, Table2[ActualResult], "OT") + SUMIFS(Table2[AwayWon], Table2[GameIsOver],1,Table2[HomeTeam],$A32, Table2[AwayTeam], F$1, Table2[ActualResult], "OT") + SUMIFS(Table2[HomeWon_], Table2[GameIsOver],1,Table2[AwayTeam],$A32, Table2[HomeTeam], F$1, Table2[ActualResult], "SO") + SUMIFS(Table2[AwayWon], Table2[GameIsOver],1,Table2[HomeTeam],$A32, Table2[AwayTeam], F$1, Table2[ActualResult], "SO"),0))</f>
        <v>0-0-0</v>
      </c>
      <c r="G32" t="str">
        <f>_xlfn.CONCAT(TEXT(SUMIFS(Table2[AwayWon], Table2[GameIsOver],1,Table2[AwayTeam],$A32, Table2[HomeTeam], G$1) + SUMIFS(Table2[HomeWon_], Table2[GameIsOver],1,Table2[HomeTeam],$A32, Table2[AwayTeam], G$1),0), "-", TEXT(SUMIFS(Table2[HomeWon_], Table2[GameIsOver],1,Table2[AwayTeam],$A32, Table2[HomeTeam], G$1, Table2[ActualResult], "REG") + SUMIFS(Table2[AwayWon], Table2[GameIsOver],1,Table2[HomeTeam],$A32, Table2[AwayTeam], G$1, Table2[ActualResult], "REG"),0), "-", TEXT(SUMIFS(Table2[HomeWon_], Table2[GameIsOver],1,Table2[AwayTeam],$A32, Table2[HomeTeam], G$1, Table2[ActualResult], "OT") + SUMIFS(Table2[AwayWon], Table2[GameIsOver],1,Table2[HomeTeam],$A32, Table2[AwayTeam], G$1, Table2[ActualResult], "OT") + SUMIFS(Table2[HomeWon_], Table2[GameIsOver],1,Table2[AwayTeam],$A32, Table2[HomeTeam], G$1, Table2[ActualResult], "SO") + SUMIFS(Table2[AwayWon], Table2[GameIsOver],1,Table2[HomeTeam],$A32, Table2[AwayTeam], G$1, Table2[ActualResult], "SO"),0))</f>
        <v>0-0-0</v>
      </c>
      <c r="H32" t="str">
        <f>_xlfn.CONCAT(TEXT(SUMIFS(Table2[AwayWon], Table2[GameIsOver],1,Table2[AwayTeam],$A32, Table2[HomeTeam], H$1) + SUMIFS(Table2[HomeWon_], Table2[GameIsOver],1,Table2[HomeTeam],$A32, Table2[AwayTeam], H$1),0), "-", TEXT(SUMIFS(Table2[HomeWon_], Table2[GameIsOver],1,Table2[AwayTeam],$A32, Table2[HomeTeam], H$1, Table2[ActualResult], "REG") + SUMIFS(Table2[AwayWon], Table2[GameIsOver],1,Table2[HomeTeam],$A32, Table2[AwayTeam], H$1, Table2[ActualResult], "REG"),0), "-", TEXT(SUMIFS(Table2[HomeWon_], Table2[GameIsOver],1,Table2[AwayTeam],$A32, Table2[HomeTeam], H$1, Table2[ActualResult], "OT") + SUMIFS(Table2[AwayWon], Table2[GameIsOver],1,Table2[HomeTeam],$A32, Table2[AwayTeam], H$1, Table2[ActualResult], "OT") + SUMIFS(Table2[HomeWon_], Table2[GameIsOver],1,Table2[AwayTeam],$A32, Table2[HomeTeam], H$1, Table2[ActualResult], "SO") + SUMIFS(Table2[AwayWon], Table2[GameIsOver],1,Table2[HomeTeam],$A32, Table2[AwayTeam], H$1, Table2[ActualResult], "SO"),0))</f>
        <v>0-0-0</v>
      </c>
      <c r="I32" s="57" t="str">
        <f>_xlfn.CONCAT(TEXT(SUMIFS(Table2[AwayWon], Table2[GameIsOver],1,Table2[AwayTeam],$A32, Table2[HomeTeam], I$1) + SUMIFS(Table2[HomeWon_], Table2[GameIsOver],1,Table2[HomeTeam],$A32, Table2[AwayTeam], I$1),0), "-", TEXT(SUMIFS(Table2[HomeWon_], Table2[GameIsOver],1,Table2[AwayTeam],$A32, Table2[HomeTeam], I$1, Table2[ActualResult], "REG") + SUMIFS(Table2[AwayWon], Table2[GameIsOver],1,Table2[HomeTeam],$A32, Table2[AwayTeam], I$1, Table2[ActualResult], "REG"),0), "-", TEXT(SUMIFS(Table2[HomeWon_], Table2[GameIsOver],1,Table2[AwayTeam],$A32, Table2[HomeTeam], I$1, Table2[ActualResult], "OT") + SUMIFS(Table2[AwayWon], Table2[GameIsOver],1,Table2[HomeTeam],$A32, Table2[AwayTeam], I$1, Table2[ActualResult], "OT") + SUMIFS(Table2[HomeWon_], Table2[GameIsOver],1,Table2[AwayTeam],$A32, Table2[HomeTeam], I$1, Table2[ActualResult], "SO") + SUMIFS(Table2[AwayWon], Table2[GameIsOver],1,Table2[HomeTeam],$A32, Table2[AwayTeam], I$1, Table2[ActualResult], "SO"),0))</f>
        <v>0-0-0</v>
      </c>
      <c r="J32" t="str">
        <f>_xlfn.CONCAT(TEXT(SUMIFS(Table2[AwayWon], Table2[GameIsOver],1,Table2[AwayTeam],$A32, Table2[HomeTeam], J$1) + SUMIFS(Table2[HomeWon_], Table2[GameIsOver],1,Table2[HomeTeam],$A32, Table2[AwayTeam], J$1),0), "-", TEXT(SUMIFS(Table2[HomeWon_], Table2[GameIsOver],1,Table2[AwayTeam],$A32, Table2[HomeTeam], J$1, Table2[ActualResult], "REG") + SUMIFS(Table2[AwayWon], Table2[GameIsOver],1,Table2[HomeTeam],$A32, Table2[AwayTeam], J$1, Table2[ActualResult], "REG"),0), "-", TEXT(SUMIFS(Table2[HomeWon_], Table2[GameIsOver],1,Table2[AwayTeam],$A32, Table2[HomeTeam], J$1, Table2[ActualResult], "OT") + SUMIFS(Table2[AwayWon], Table2[GameIsOver],1,Table2[HomeTeam],$A32, Table2[AwayTeam], J$1, Table2[ActualResult], "OT") + SUMIFS(Table2[HomeWon_], Table2[GameIsOver],1,Table2[AwayTeam],$A32, Table2[HomeTeam], J$1, Table2[ActualResult], "SO") + SUMIFS(Table2[AwayWon], Table2[GameIsOver],1,Table2[HomeTeam],$A32, Table2[AwayTeam], J$1, Table2[ActualResult], "SO"),0))</f>
        <v>0-0-0</v>
      </c>
      <c r="K32" t="str">
        <f>_xlfn.CONCAT(TEXT(SUMIFS(Table2[AwayWon], Table2[GameIsOver],1,Table2[AwayTeam],$A32, Table2[HomeTeam], K$1) + SUMIFS(Table2[HomeWon_], Table2[GameIsOver],1,Table2[HomeTeam],$A32, Table2[AwayTeam], K$1),0), "-", TEXT(SUMIFS(Table2[HomeWon_], Table2[GameIsOver],1,Table2[AwayTeam],$A32, Table2[HomeTeam], K$1, Table2[ActualResult], "REG") + SUMIFS(Table2[AwayWon], Table2[GameIsOver],1,Table2[HomeTeam],$A32, Table2[AwayTeam], K$1, Table2[ActualResult], "REG"),0), "-", TEXT(SUMIFS(Table2[HomeWon_], Table2[GameIsOver],1,Table2[AwayTeam],$A32, Table2[HomeTeam], K$1, Table2[ActualResult], "OT") + SUMIFS(Table2[AwayWon], Table2[GameIsOver],1,Table2[HomeTeam],$A32, Table2[AwayTeam], K$1, Table2[ActualResult], "OT") + SUMIFS(Table2[HomeWon_], Table2[GameIsOver],1,Table2[AwayTeam],$A32, Table2[HomeTeam], K$1, Table2[ActualResult], "SO") + SUMIFS(Table2[AwayWon], Table2[GameIsOver],1,Table2[HomeTeam],$A32, Table2[AwayTeam], K$1, Table2[ActualResult], "SO"),0))</f>
        <v>0-0-0</v>
      </c>
      <c r="L32" t="str">
        <f>_xlfn.CONCAT(TEXT(SUMIFS(Table2[AwayWon], Table2[GameIsOver],1,Table2[AwayTeam],$A32, Table2[HomeTeam], L$1) + SUMIFS(Table2[HomeWon_], Table2[GameIsOver],1,Table2[HomeTeam],$A32, Table2[AwayTeam], L$1),0), "-", TEXT(SUMIFS(Table2[HomeWon_], Table2[GameIsOver],1,Table2[AwayTeam],$A32, Table2[HomeTeam], L$1, Table2[ActualResult], "REG") + SUMIFS(Table2[AwayWon], Table2[GameIsOver],1,Table2[HomeTeam],$A32, Table2[AwayTeam], L$1, Table2[ActualResult], "REG"),0), "-", TEXT(SUMIFS(Table2[HomeWon_], Table2[GameIsOver],1,Table2[AwayTeam],$A32, Table2[HomeTeam], L$1, Table2[ActualResult], "OT") + SUMIFS(Table2[AwayWon], Table2[GameIsOver],1,Table2[HomeTeam],$A32, Table2[AwayTeam], L$1, Table2[ActualResult], "OT") + SUMIFS(Table2[HomeWon_], Table2[GameIsOver],1,Table2[AwayTeam],$A32, Table2[HomeTeam], L$1, Table2[ActualResult], "SO") + SUMIFS(Table2[AwayWon], Table2[GameIsOver],1,Table2[HomeTeam],$A32, Table2[AwayTeam], L$1, Table2[ActualResult], "SO"),0))</f>
        <v>0-0-0</v>
      </c>
      <c r="M32" t="str">
        <f>_xlfn.CONCAT(TEXT(SUMIFS(Table2[AwayWon], Table2[GameIsOver],1,Table2[AwayTeam],$A32, Table2[HomeTeam], M$1) + SUMIFS(Table2[HomeWon_], Table2[GameIsOver],1,Table2[HomeTeam],$A32, Table2[AwayTeam], M$1),0), "-", TEXT(SUMIFS(Table2[HomeWon_], Table2[GameIsOver],1,Table2[AwayTeam],$A32, Table2[HomeTeam], M$1, Table2[ActualResult], "REG") + SUMIFS(Table2[AwayWon], Table2[GameIsOver],1,Table2[HomeTeam],$A32, Table2[AwayTeam], M$1, Table2[ActualResult], "REG"),0), "-", TEXT(SUMIFS(Table2[HomeWon_], Table2[GameIsOver],1,Table2[AwayTeam],$A32, Table2[HomeTeam], M$1, Table2[ActualResult], "OT") + SUMIFS(Table2[AwayWon], Table2[GameIsOver],1,Table2[HomeTeam],$A32, Table2[AwayTeam], M$1, Table2[ActualResult], "OT") + SUMIFS(Table2[HomeWon_], Table2[GameIsOver],1,Table2[AwayTeam],$A32, Table2[HomeTeam], M$1, Table2[ActualResult], "SO") + SUMIFS(Table2[AwayWon], Table2[GameIsOver],1,Table2[HomeTeam],$A32, Table2[AwayTeam], M$1, Table2[ActualResult], "SO"),0))</f>
        <v>0-0-0</v>
      </c>
      <c r="N32" t="str">
        <f>_xlfn.CONCAT(TEXT(SUMIFS(Table2[AwayWon], Table2[GameIsOver],1,Table2[AwayTeam],$A32, Table2[HomeTeam], N$1) + SUMIFS(Table2[HomeWon_], Table2[GameIsOver],1,Table2[HomeTeam],$A32, Table2[AwayTeam], N$1),0), "-", TEXT(SUMIFS(Table2[HomeWon_], Table2[GameIsOver],1,Table2[AwayTeam],$A32, Table2[HomeTeam], N$1, Table2[ActualResult], "REG") + SUMIFS(Table2[AwayWon], Table2[GameIsOver],1,Table2[HomeTeam],$A32, Table2[AwayTeam], N$1, Table2[ActualResult], "REG"),0), "-", TEXT(SUMIFS(Table2[HomeWon_], Table2[GameIsOver],1,Table2[AwayTeam],$A32, Table2[HomeTeam], N$1, Table2[ActualResult], "OT") + SUMIFS(Table2[AwayWon], Table2[GameIsOver],1,Table2[HomeTeam],$A32, Table2[AwayTeam], N$1, Table2[ActualResult], "OT") + SUMIFS(Table2[HomeWon_], Table2[GameIsOver],1,Table2[AwayTeam],$A32, Table2[HomeTeam], N$1, Table2[ActualResult], "SO") + SUMIFS(Table2[AwayWon], Table2[GameIsOver],1,Table2[HomeTeam],$A32, Table2[AwayTeam], N$1, Table2[ActualResult], "SO"),0))</f>
        <v>0-0-0</v>
      </c>
      <c r="O32" t="str">
        <f>_xlfn.CONCAT(TEXT(SUMIFS(Table2[AwayWon], Table2[GameIsOver],1,Table2[AwayTeam],$A32, Table2[HomeTeam], O$1) + SUMIFS(Table2[HomeWon_], Table2[GameIsOver],1,Table2[HomeTeam],$A32, Table2[AwayTeam], O$1),0), "-", TEXT(SUMIFS(Table2[HomeWon_], Table2[GameIsOver],1,Table2[AwayTeam],$A32, Table2[HomeTeam], O$1, Table2[ActualResult], "REG") + SUMIFS(Table2[AwayWon], Table2[GameIsOver],1,Table2[HomeTeam],$A32, Table2[AwayTeam], O$1, Table2[ActualResult], "REG"),0), "-", TEXT(SUMIFS(Table2[HomeWon_], Table2[GameIsOver],1,Table2[AwayTeam],$A32, Table2[HomeTeam], O$1, Table2[ActualResult], "OT") + SUMIFS(Table2[AwayWon], Table2[GameIsOver],1,Table2[HomeTeam],$A32, Table2[AwayTeam], O$1, Table2[ActualResult], "OT") + SUMIFS(Table2[HomeWon_], Table2[GameIsOver],1,Table2[AwayTeam],$A32, Table2[HomeTeam], O$1, Table2[ActualResult], "SO") + SUMIFS(Table2[AwayWon], Table2[GameIsOver],1,Table2[HomeTeam],$A32, Table2[AwayTeam], O$1, Table2[ActualResult], "SO"),0))</f>
        <v>0-0-0</v>
      </c>
      <c r="P32" t="str">
        <f>_xlfn.CONCAT(TEXT(SUMIFS(Table2[AwayWon], Table2[GameIsOver],1,Table2[AwayTeam],$A32, Table2[HomeTeam], P$1) + SUMIFS(Table2[HomeWon_], Table2[GameIsOver],1,Table2[HomeTeam],$A32, Table2[AwayTeam], P$1),0), "-", TEXT(SUMIFS(Table2[HomeWon_], Table2[GameIsOver],1,Table2[AwayTeam],$A32, Table2[HomeTeam], P$1, Table2[ActualResult], "REG") + SUMIFS(Table2[AwayWon], Table2[GameIsOver],1,Table2[HomeTeam],$A32, Table2[AwayTeam], P$1, Table2[ActualResult], "REG"),0), "-", TEXT(SUMIFS(Table2[HomeWon_], Table2[GameIsOver],1,Table2[AwayTeam],$A32, Table2[HomeTeam], P$1, Table2[ActualResult], "OT") + SUMIFS(Table2[AwayWon], Table2[GameIsOver],1,Table2[HomeTeam],$A32, Table2[AwayTeam], P$1, Table2[ActualResult], "OT") + SUMIFS(Table2[HomeWon_], Table2[GameIsOver],1,Table2[AwayTeam],$A32, Table2[HomeTeam], P$1, Table2[ActualResult], "SO") + SUMIFS(Table2[AwayWon], Table2[GameIsOver],1,Table2[HomeTeam],$A32, Table2[AwayTeam], P$1, Table2[ActualResult], "SO"),0))</f>
        <v>0-0-0</v>
      </c>
      <c r="Q32" s="57" t="str">
        <f>_xlfn.CONCAT(TEXT(SUMIFS(Table2[AwayWon], Table2[GameIsOver],1,Table2[AwayTeam],$A32, Table2[HomeTeam], Q$1) + SUMIFS(Table2[HomeWon_], Table2[GameIsOver],1,Table2[HomeTeam],$A32, Table2[AwayTeam], Q$1),0), "-", TEXT(SUMIFS(Table2[HomeWon_], Table2[GameIsOver],1,Table2[AwayTeam],$A32, Table2[HomeTeam], Q$1, Table2[ActualResult], "REG") + SUMIFS(Table2[AwayWon], Table2[GameIsOver],1,Table2[HomeTeam],$A32, Table2[AwayTeam], Q$1, Table2[ActualResult], "REG"),0), "-", TEXT(SUMIFS(Table2[HomeWon_], Table2[GameIsOver],1,Table2[AwayTeam],$A32, Table2[HomeTeam], Q$1, Table2[ActualResult], "OT") + SUMIFS(Table2[AwayWon], Table2[GameIsOver],1,Table2[HomeTeam],$A32, Table2[AwayTeam], Q$1, Table2[ActualResult], "OT") + SUMIFS(Table2[HomeWon_], Table2[GameIsOver],1,Table2[AwayTeam],$A32, Table2[HomeTeam], Q$1, Table2[ActualResult], "SO") + SUMIFS(Table2[AwayWon], Table2[GameIsOver],1,Table2[HomeTeam],$A32, Table2[AwayTeam], Q$1, Table2[ActualResult], "SO"),0))</f>
        <v>0-0-0</v>
      </c>
      <c r="R32" t="str">
        <f>_xlfn.CONCAT(TEXT(SUMIFS(Table2[AwayWon], Table2[GameIsOver],1,Table2[AwayTeam],$A32, Table2[HomeTeam], R$1) + SUMIFS(Table2[HomeWon_], Table2[GameIsOver],1,Table2[HomeTeam],$A32, Table2[AwayTeam], R$1),0), "-", TEXT(SUMIFS(Table2[HomeWon_], Table2[GameIsOver],1,Table2[AwayTeam],$A32, Table2[HomeTeam], R$1, Table2[ActualResult], "REG") + SUMIFS(Table2[AwayWon], Table2[GameIsOver],1,Table2[HomeTeam],$A32, Table2[AwayTeam], R$1, Table2[ActualResult], "REG"),0), "-", TEXT(SUMIFS(Table2[HomeWon_], Table2[GameIsOver],1,Table2[AwayTeam],$A32, Table2[HomeTeam], R$1, Table2[ActualResult], "OT") + SUMIFS(Table2[AwayWon], Table2[GameIsOver],1,Table2[HomeTeam],$A32, Table2[AwayTeam], R$1, Table2[ActualResult], "OT") + SUMIFS(Table2[HomeWon_], Table2[GameIsOver],1,Table2[AwayTeam],$A32, Table2[HomeTeam], R$1, Table2[ActualResult], "SO") + SUMIFS(Table2[AwayWon], Table2[GameIsOver],1,Table2[HomeTeam],$A32, Table2[AwayTeam], R$1, Table2[ActualResult], "SO"),0))</f>
        <v>0-0-0</v>
      </c>
      <c r="S32" t="str">
        <f>_xlfn.CONCAT(TEXT(SUMIFS(Table2[AwayWon], Table2[GameIsOver],1,Table2[AwayTeam],$A32, Table2[HomeTeam], S$1) + SUMIFS(Table2[HomeWon_], Table2[GameIsOver],1,Table2[HomeTeam],$A32, Table2[AwayTeam], S$1),0), "-", TEXT(SUMIFS(Table2[HomeWon_], Table2[GameIsOver],1,Table2[AwayTeam],$A32, Table2[HomeTeam], S$1, Table2[ActualResult], "REG") + SUMIFS(Table2[AwayWon], Table2[GameIsOver],1,Table2[HomeTeam],$A32, Table2[AwayTeam], S$1, Table2[ActualResult], "REG"),0), "-", TEXT(SUMIFS(Table2[HomeWon_], Table2[GameIsOver],1,Table2[AwayTeam],$A32, Table2[HomeTeam], S$1, Table2[ActualResult], "OT") + SUMIFS(Table2[AwayWon], Table2[GameIsOver],1,Table2[HomeTeam],$A32, Table2[AwayTeam], S$1, Table2[ActualResult], "OT") + SUMIFS(Table2[HomeWon_], Table2[GameIsOver],1,Table2[AwayTeam],$A32, Table2[HomeTeam], S$1, Table2[ActualResult], "SO") + SUMIFS(Table2[AwayWon], Table2[GameIsOver],1,Table2[HomeTeam],$A32, Table2[AwayTeam], S$1, Table2[ActualResult], "SO"),0))</f>
        <v>0-1-0</v>
      </c>
      <c r="T32" t="str">
        <f>_xlfn.CONCAT(TEXT(SUMIFS(Table2[AwayWon], Table2[GameIsOver],1,Table2[AwayTeam],$A32, Table2[HomeTeam], T$1) + SUMIFS(Table2[HomeWon_], Table2[GameIsOver],1,Table2[HomeTeam],$A32, Table2[AwayTeam], T$1),0), "-", TEXT(SUMIFS(Table2[HomeWon_], Table2[GameIsOver],1,Table2[AwayTeam],$A32, Table2[HomeTeam], T$1, Table2[ActualResult], "REG") + SUMIFS(Table2[AwayWon], Table2[GameIsOver],1,Table2[HomeTeam],$A32, Table2[AwayTeam], T$1, Table2[ActualResult], "REG"),0), "-", TEXT(SUMIFS(Table2[HomeWon_], Table2[GameIsOver],1,Table2[AwayTeam],$A32, Table2[HomeTeam], T$1, Table2[ActualResult], "OT") + SUMIFS(Table2[AwayWon], Table2[GameIsOver],1,Table2[HomeTeam],$A32, Table2[AwayTeam], T$1, Table2[ActualResult], "OT") + SUMIFS(Table2[HomeWon_], Table2[GameIsOver],1,Table2[AwayTeam],$A32, Table2[HomeTeam], T$1, Table2[ActualResult], "SO") + SUMIFS(Table2[AwayWon], Table2[GameIsOver],1,Table2[HomeTeam],$A32, Table2[AwayTeam], T$1, Table2[ActualResult], "SO"),0))</f>
        <v>0-1-0</v>
      </c>
      <c r="U32" t="str">
        <f>_xlfn.CONCAT(TEXT(SUMIFS(Table2[AwayWon], Table2[GameIsOver],1,Table2[AwayTeam],$A32, Table2[HomeTeam], U$1) + SUMIFS(Table2[HomeWon_], Table2[GameIsOver],1,Table2[HomeTeam],$A32, Table2[AwayTeam], U$1),0), "-", TEXT(SUMIFS(Table2[HomeWon_], Table2[GameIsOver],1,Table2[AwayTeam],$A32, Table2[HomeTeam], U$1, Table2[ActualResult], "REG") + SUMIFS(Table2[AwayWon], Table2[GameIsOver],1,Table2[HomeTeam],$A32, Table2[AwayTeam], U$1, Table2[ActualResult], "REG"),0), "-", TEXT(SUMIFS(Table2[HomeWon_], Table2[GameIsOver],1,Table2[AwayTeam],$A32, Table2[HomeTeam], U$1, Table2[ActualResult], "OT") + SUMIFS(Table2[AwayWon], Table2[GameIsOver],1,Table2[HomeTeam],$A32, Table2[AwayTeam], U$1, Table2[ActualResult], "OT") + SUMIFS(Table2[HomeWon_], Table2[GameIsOver],1,Table2[AwayTeam],$A32, Table2[HomeTeam], U$1, Table2[ActualResult], "SO") + SUMIFS(Table2[AwayWon], Table2[GameIsOver],1,Table2[HomeTeam],$A32, Table2[AwayTeam], U$1, Table2[ActualResult], "SO"),0))</f>
        <v>0-0-0</v>
      </c>
      <c r="V32" t="str">
        <f>_xlfn.CONCAT(TEXT(SUMIFS(Table2[AwayWon], Table2[GameIsOver],1,Table2[AwayTeam],$A32, Table2[HomeTeam], V$1) + SUMIFS(Table2[HomeWon_], Table2[GameIsOver],1,Table2[HomeTeam],$A32, Table2[AwayTeam], V$1),0), "-", TEXT(SUMIFS(Table2[HomeWon_], Table2[GameIsOver],1,Table2[AwayTeam],$A32, Table2[HomeTeam], V$1, Table2[ActualResult], "REG") + SUMIFS(Table2[AwayWon], Table2[GameIsOver],1,Table2[HomeTeam],$A32, Table2[AwayTeam], V$1, Table2[ActualResult], "REG"),0), "-", TEXT(SUMIFS(Table2[HomeWon_], Table2[GameIsOver],1,Table2[AwayTeam],$A32, Table2[HomeTeam], V$1, Table2[ActualResult], "OT") + SUMIFS(Table2[AwayWon], Table2[GameIsOver],1,Table2[HomeTeam],$A32, Table2[AwayTeam], V$1, Table2[ActualResult], "OT") + SUMIFS(Table2[HomeWon_], Table2[GameIsOver],1,Table2[AwayTeam],$A32, Table2[HomeTeam], V$1, Table2[ActualResult], "SO") + SUMIFS(Table2[AwayWon], Table2[GameIsOver],1,Table2[HomeTeam],$A32, Table2[AwayTeam], V$1, Table2[ActualResult], "SO"),0))</f>
        <v>0-0-0</v>
      </c>
      <c r="W32" t="str">
        <f>_xlfn.CONCAT(TEXT(SUMIFS(Table2[AwayWon], Table2[GameIsOver],1,Table2[AwayTeam],$A32, Table2[HomeTeam], W$1) + SUMIFS(Table2[HomeWon_], Table2[GameIsOver],1,Table2[HomeTeam],$A32, Table2[AwayTeam], W$1),0), "-", TEXT(SUMIFS(Table2[HomeWon_], Table2[GameIsOver],1,Table2[AwayTeam],$A32, Table2[HomeTeam], W$1, Table2[ActualResult], "REG") + SUMIFS(Table2[AwayWon], Table2[GameIsOver],1,Table2[HomeTeam],$A32, Table2[AwayTeam], W$1, Table2[ActualResult], "REG"),0), "-", TEXT(SUMIFS(Table2[HomeWon_], Table2[GameIsOver],1,Table2[AwayTeam],$A32, Table2[HomeTeam], W$1, Table2[ActualResult], "OT") + SUMIFS(Table2[AwayWon], Table2[GameIsOver],1,Table2[HomeTeam],$A32, Table2[AwayTeam], W$1, Table2[ActualResult], "OT") + SUMIFS(Table2[HomeWon_], Table2[GameIsOver],1,Table2[AwayTeam],$A32, Table2[HomeTeam], W$1, Table2[ActualResult], "SO") + SUMIFS(Table2[AwayWon], Table2[GameIsOver],1,Table2[HomeTeam],$A32, Table2[AwayTeam], W$1, Table2[ActualResult], "SO"),0))</f>
        <v>0-0-0</v>
      </c>
      <c r="X32" t="str">
        <f>_xlfn.CONCAT(TEXT(SUMIFS(Table2[AwayWon], Table2[GameIsOver],1,Table2[AwayTeam],$A32, Table2[HomeTeam], X$1) + SUMIFS(Table2[HomeWon_], Table2[GameIsOver],1,Table2[HomeTeam],$A32, Table2[AwayTeam], X$1),0), "-", TEXT(SUMIFS(Table2[HomeWon_], Table2[GameIsOver],1,Table2[AwayTeam],$A32, Table2[HomeTeam], X$1, Table2[ActualResult], "REG") + SUMIFS(Table2[AwayWon], Table2[GameIsOver],1,Table2[HomeTeam],$A32, Table2[AwayTeam], X$1, Table2[ActualResult], "REG"),0), "-", TEXT(SUMIFS(Table2[HomeWon_], Table2[GameIsOver],1,Table2[AwayTeam],$A32, Table2[HomeTeam], X$1, Table2[ActualResult], "OT") + SUMIFS(Table2[AwayWon], Table2[GameIsOver],1,Table2[HomeTeam],$A32, Table2[AwayTeam], X$1, Table2[ActualResult], "OT") + SUMIFS(Table2[HomeWon_], Table2[GameIsOver],1,Table2[AwayTeam],$A32, Table2[HomeTeam], X$1, Table2[ActualResult], "SO") + SUMIFS(Table2[AwayWon], Table2[GameIsOver],1,Table2[HomeTeam],$A32, Table2[AwayTeam], X$1, Table2[ActualResult], "SO"),0))</f>
        <v>0-0-0</v>
      </c>
      <c r="Y32" s="57" t="str">
        <f>_xlfn.CONCAT(TEXT(SUMIFS(Table2[AwayWon], Table2[GameIsOver],1,Table2[AwayTeam],$A32, Table2[HomeTeam], Y$1) + SUMIFS(Table2[HomeWon_], Table2[GameIsOver],1,Table2[HomeTeam],$A32, Table2[AwayTeam], Y$1),0), "-", TEXT(SUMIFS(Table2[HomeWon_], Table2[GameIsOver],1,Table2[AwayTeam],$A32, Table2[HomeTeam], Y$1, Table2[ActualResult], "REG") + SUMIFS(Table2[AwayWon], Table2[GameIsOver],1,Table2[HomeTeam],$A32, Table2[AwayTeam], Y$1, Table2[ActualResult], "REG"),0), "-", TEXT(SUMIFS(Table2[HomeWon_], Table2[GameIsOver],1,Table2[AwayTeam],$A32, Table2[HomeTeam], Y$1, Table2[ActualResult], "OT") + SUMIFS(Table2[AwayWon], Table2[GameIsOver],1,Table2[HomeTeam],$A32, Table2[AwayTeam], Y$1, Table2[ActualResult], "OT") + SUMIFS(Table2[HomeWon_], Table2[GameIsOver],1,Table2[AwayTeam],$A32, Table2[HomeTeam], Y$1, Table2[ActualResult], "SO") + SUMIFS(Table2[AwayWon], Table2[GameIsOver],1,Table2[HomeTeam],$A32, Table2[AwayTeam], Y$1, Table2[ActualResult], "SO"),0))</f>
        <v>0-0-1</v>
      </c>
      <c r="Z32" t="str">
        <f>_xlfn.CONCAT(TEXT(SUMIFS(Table2[AwayWon], Table2[GameIsOver],1,Table2[AwayTeam],$A32, Table2[HomeTeam], Z$1) + SUMIFS(Table2[HomeWon_], Table2[GameIsOver],1,Table2[HomeTeam],$A32, Table2[AwayTeam], Z$1),0), "-", TEXT(SUMIFS(Table2[HomeWon_], Table2[GameIsOver],1,Table2[AwayTeam],$A32, Table2[HomeTeam], Z$1, Table2[ActualResult], "REG") + SUMIFS(Table2[AwayWon], Table2[GameIsOver],1,Table2[HomeTeam],$A32, Table2[AwayTeam], Z$1, Table2[ActualResult], "REG"),0), "-", TEXT(SUMIFS(Table2[HomeWon_], Table2[GameIsOver],1,Table2[AwayTeam],$A32, Table2[HomeTeam], Z$1, Table2[ActualResult], "OT") + SUMIFS(Table2[AwayWon], Table2[GameIsOver],1,Table2[HomeTeam],$A32, Table2[AwayTeam], Z$1, Table2[ActualResult], "OT") + SUMIFS(Table2[HomeWon_], Table2[GameIsOver],1,Table2[AwayTeam],$A32, Table2[HomeTeam], Z$1, Table2[ActualResult], "SO") + SUMIFS(Table2[AwayWon], Table2[GameIsOver],1,Table2[HomeTeam],$A32, Table2[AwayTeam], Z$1, Table2[ActualResult], "SO"),0))</f>
        <v>1-0-0</v>
      </c>
      <c r="AA32" t="str">
        <f>_xlfn.CONCAT(TEXT(SUMIFS(Table2[AwayWon], Table2[GameIsOver],1,Table2[AwayTeam],$A32, Table2[HomeTeam], AA$1) + SUMIFS(Table2[HomeWon_], Table2[GameIsOver],1,Table2[HomeTeam],$A32, Table2[AwayTeam], AA$1),0), "-", TEXT(SUMIFS(Table2[HomeWon_], Table2[GameIsOver],1,Table2[AwayTeam],$A32, Table2[HomeTeam], AA$1, Table2[ActualResult], "REG") + SUMIFS(Table2[AwayWon], Table2[GameIsOver],1,Table2[HomeTeam],$A32, Table2[AwayTeam], AA$1, Table2[ActualResult], "REG"),0), "-", TEXT(SUMIFS(Table2[HomeWon_], Table2[GameIsOver],1,Table2[AwayTeam],$A32, Table2[HomeTeam], AA$1, Table2[ActualResult], "OT") + SUMIFS(Table2[AwayWon], Table2[GameIsOver],1,Table2[HomeTeam],$A32, Table2[AwayTeam], AA$1, Table2[ActualResult], "OT") + SUMIFS(Table2[HomeWon_], Table2[GameIsOver],1,Table2[AwayTeam],$A32, Table2[HomeTeam], AA$1, Table2[ActualResult], "SO") + SUMIFS(Table2[AwayWon], Table2[GameIsOver],1,Table2[HomeTeam],$A32, Table2[AwayTeam], AA$1, Table2[ActualResult], "SO"),0))</f>
        <v>0-0-0</v>
      </c>
      <c r="AB32" t="str">
        <f>_xlfn.CONCAT(TEXT(SUMIFS(Table2[AwayWon], Table2[GameIsOver],1,Table2[AwayTeam],$A32, Table2[HomeTeam], AB$1) + SUMIFS(Table2[HomeWon_], Table2[GameIsOver],1,Table2[HomeTeam],$A32, Table2[AwayTeam], AB$1),0), "-", TEXT(SUMIFS(Table2[HomeWon_], Table2[GameIsOver],1,Table2[AwayTeam],$A32, Table2[HomeTeam], AB$1, Table2[ActualResult], "REG") + SUMIFS(Table2[AwayWon], Table2[GameIsOver],1,Table2[HomeTeam],$A32, Table2[AwayTeam], AB$1, Table2[ActualResult], "REG"),0), "-", TEXT(SUMIFS(Table2[HomeWon_], Table2[GameIsOver],1,Table2[AwayTeam],$A32, Table2[HomeTeam], AB$1, Table2[ActualResult], "OT") + SUMIFS(Table2[AwayWon], Table2[GameIsOver],1,Table2[HomeTeam],$A32, Table2[AwayTeam], AB$1, Table2[ActualResult], "OT") + SUMIFS(Table2[HomeWon_], Table2[GameIsOver],1,Table2[AwayTeam],$A32, Table2[HomeTeam], AB$1, Table2[ActualResult], "SO") + SUMIFS(Table2[AwayWon], Table2[GameIsOver],1,Table2[HomeTeam],$A32, Table2[AwayTeam], AB$1, Table2[ActualResult], "SO"),0))</f>
        <v>0-0-1</v>
      </c>
      <c r="AC32" t="str">
        <f>_xlfn.CONCAT(TEXT(SUMIFS(Table2[AwayWon], Table2[GameIsOver],1,Table2[AwayTeam],$A32, Table2[HomeTeam], AC$1) + SUMIFS(Table2[HomeWon_], Table2[GameIsOver],1,Table2[HomeTeam],$A32, Table2[AwayTeam], AC$1),0), "-", TEXT(SUMIFS(Table2[HomeWon_], Table2[GameIsOver],1,Table2[AwayTeam],$A32, Table2[HomeTeam], AC$1, Table2[ActualResult], "REG") + SUMIFS(Table2[AwayWon], Table2[GameIsOver],1,Table2[HomeTeam],$A32, Table2[AwayTeam], AC$1, Table2[ActualResult], "REG"),0), "-", TEXT(SUMIFS(Table2[HomeWon_], Table2[GameIsOver],1,Table2[AwayTeam],$A32, Table2[HomeTeam], AC$1, Table2[ActualResult], "OT") + SUMIFS(Table2[AwayWon], Table2[GameIsOver],1,Table2[HomeTeam],$A32, Table2[AwayTeam], AC$1, Table2[ActualResult], "OT") + SUMIFS(Table2[HomeWon_], Table2[GameIsOver],1,Table2[AwayTeam],$A32, Table2[HomeTeam], AC$1, Table2[ActualResult], "SO") + SUMIFS(Table2[AwayWon], Table2[GameIsOver],1,Table2[HomeTeam],$A32, Table2[AwayTeam], AC$1, Table2[ActualResult], "SO"),0))</f>
        <v>0-0-0</v>
      </c>
      <c r="AD32" t="str">
        <f>_xlfn.CONCAT(TEXT(SUMIFS(Table2[AwayWon], Table2[GameIsOver],1,Table2[AwayTeam],$A32, Table2[HomeTeam], AD$1) + SUMIFS(Table2[HomeWon_], Table2[GameIsOver],1,Table2[HomeTeam],$A32, Table2[AwayTeam], AD$1),0), "-", TEXT(SUMIFS(Table2[HomeWon_], Table2[GameIsOver],1,Table2[AwayTeam],$A32, Table2[HomeTeam], AD$1, Table2[ActualResult], "REG") + SUMIFS(Table2[AwayWon], Table2[GameIsOver],1,Table2[HomeTeam],$A32, Table2[AwayTeam], AD$1, Table2[ActualResult], "REG"),0), "-", TEXT(SUMIFS(Table2[HomeWon_], Table2[GameIsOver],1,Table2[AwayTeam],$A32, Table2[HomeTeam], AD$1, Table2[ActualResult], "OT") + SUMIFS(Table2[AwayWon], Table2[GameIsOver],1,Table2[HomeTeam],$A32, Table2[AwayTeam], AD$1, Table2[ActualResult], "OT") + SUMIFS(Table2[HomeWon_], Table2[GameIsOver],1,Table2[AwayTeam],$A32, Table2[HomeTeam], AD$1, Table2[ActualResult], "SO") + SUMIFS(Table2[AwayWon], Table2[GameIsOver],1,Table2[HomeTeam],$A32, Table2[AwayTeam], AD$1, Table2[ActualResult], "SO"),0))</f>
        <v>0-0-0</v>
      </c>
      <c r="AE32" t="str">
        <f>_xlfn.CONCAT(TEXT(SUMIFS(Table2[AwayWon], Table2[GameIsOver],1,Table2[AwayTeam],$A32, Table2[HomeTeam], AE$1) + SUMIFS(Table2[HomeWon_], Table2[GameIsOver],1,Table2[HomeTeam],$A32, Table2[AwayTeam], AE$1),0), "-", TEXT(SUMIFS(Table2[HomeWon_], Table2[GameIsOver],1,Table2[AwayTeam],$A32, Table2[HomeTeam], AE$1, Table2[ActualResult], "REG") + SUMIFS(Table2[AwayWon], Table2[GameIsOver],1,Table2[HomeTeam],$A32, Table2[AwayTeam], AE$1, Table2[ActualResult], "REG"),0), "-", TEXT(SUMIFS(Table2[HomeWon_], Table2[GameIsOver],1,Table2[AwayTeam],$A32, Table2[HomeTeam], AE$1, Table2[ActualResult], "OT") + SUMIFS(Table2[AwayWon], Table2[GameIsOver],1,Table2[HomeTeam],$A32, Table2[AwayTeam], AE$1, Table2[ActualResult], "OT") + SUMIFS(Table2[HomeWon_], Table2[GameIsOver],1,Table2[AwayTeam],$A32, Table2[HomeTeam], AE$1, Table2[ActualResult], "SO") + SUMIFS(Table2[AwayWon], Table2[GameIsOver],1,Table2[HomeTeam],$A32, Table2[AwayTeam], AE$1, Table2[ActualResult], "SO"),0))</f>
        <v>0-1-0</v>
      </c>
      <c r="AF32" s="89"/>
      <c r="AG32" t="str">
        <f>_xlfn.CONCAT(TEXT(SUMIFS(Table2[AwayWon], Table2[GameIsOver],1,Table2[AwayTeam],$A32, Table2[HomeTeam], AG$1) + SUMIFS(Table2[HomeWon_], Table2[GameIsOver],1,Table2[HomeTeam],$A32, Table2[AwayTeam], AG$1),0), "-", TEXT(SUMIFS(Table2[HomeWon_], Table2[GameIsOver],1,Table2[AwayTeam],$A32, Table2[HomeTeam], AG$1, Table2[ActualResult], "REG") + SUMIFS(Table2[AwayWon], Table2[GameIsOver],1,Table2[HomeTeam],$A32, Table2[AwayTeam], AG$1, Table2[ActualResult], "REG"),0), "-", TEXT(SUMIFS(Table2[HomeWon_], Table2[GameIsOver],1,Table2[AwayTeam],$A32, Table2[HomeTeam], AG$1, Table2[ActualResult], "OT") + SUMIFS(Table2[AwayWon], Table2[GameIsOver],1,Table2[HomeTeam],$A32, Table2[AwayTeam], AG$1, Table2[ActualResult], "OT") + SUMIFS(Table2[HomeWon_], Table2[GameIsOver],1,Table2[AwayTeam],$A32, Table2[HomeTeam], AG$1, Table2[ActualResult], "SO") + SUMIFS(Table2[AwayWon], Table2[GameIsOver],1,Table2[HomeTeam],$A32, Table2[AwayTeam], AG$1, Table2[ActualResult], "SO"),0))</f>
        <v>0-0-0</v>
      </c>
    </row>
    <row r="33" spans="1:39" x14ac:dyDescent="0.25">
      <c r="A33" s="57" t="s">
        <v>17</v>
      </c>
      <c r="B33" t="str">
        <f>_xlfn.CONCAT(TEXT(SUMIFS(Table2[AwayWon], Table2[GameIsOver],1,Table2[AwayTeam],$A33, Table2[HomeTeam], B$1) + SUMIFS(Table2[HomeWon_], Table2[GameIsOver],1,Table2[HomeTeam],$A33, Table2[AwayTeam], B$1),0), "-", TEXT(SUMIFS(Table2[HomeWon_], Table2[GameIsOver],1,Table2[AwayTeam],$A33, Table2[HomeTeam], B$1, Table2[ActualResult], "REG") + SUMIFS(Table2[AwayWon], Table2[GameIsOver],1,Table2[HomeTeam],$A33, Table2[AwayTeam], B$1, Table2[ActualResult], "REG"),0), "-", TEXT(SUMIFS(Table2[HomeWon_], Table2[GameIsOver],1,Table2[AwayTeam],$A33, Table2[HomeTeam], B$1, Table2[ActualResult], "OT") + SUMIFS(Table2[AwayWon], Table2[GameIsOver],1,Table2[HomeTeam],$A33, Table2[AwayTeam], B$1, Table2[ActualResult], "OT") + SUMIFS(Table2[HomeWon_], Table2[GameIsOver],1,Table2[AwayTeam],$A33, Table2[HomeTeam], B$1, Table2[ActualResult], "SO") + SUMIFS(Table2[AwayWon], Table2[GameIsOver],1,Table2[HomeTeam],$A33, Table2[AwayTeam], B$1, Table2[ActualResult], "SO"),0))</f>
        <v>0-0-0</v>
      </c>
      <c r="C33" t="str">
        <f>_xlfn.CONCAT(TEXT(SUMIFS(Table2[AwayWon], Table2[GameIsOver],1,Table2[AwayTeam],$A33, Table2[HomeTeam], C$1) + SUMIFS(Table2[HomeWon_], Table2[GameIsOver],1,Table2[HomeTeam],$A33, Table2[AwayTeam], C$1),0), "-", TEXT(SUMIFS(Table2[HomeWon_], Table2[GameIsOver],1,Table2[AwayTeam],$A33, Table2[HomeTeam], C$1, Table2[ActualResult], "REG") + SUMIFS(Table2[AwayWon], Table2[GameIsOver],1,Table2[HomeTeam],$A33, Table2[AwayTeam], C$1, Table2[ActualResult], "REG"),0), "-", TEXT(SUMIFS(Table2[HomeWon_], Table2[GameIsOver],1,Table2[AwayTeam],$A33, Table2[HomeTeam], C$1, Table2[ActualResult], "OT") + SUMIFS(Table2[AwayWon], Table2[GameIsOver],1,Table2[HomeTeam],$A33, Table2[AwayTeam], C$1, Table2[ActualResult], "OT") + SUMIFS(Table2[HomeWon_], Table2[GameIsOver],1,Table2[AwayTeam],$A33, Table2[HomeTeam], C$1, Table2[ActualResult], "SO") + SUMIFS(Table2[AwayWon], Table2[GameIsOver],1,Table2[HomeTeam],$A33, Table2[AwayTeam], C$1, Table2[ActualResult], "SO"),0))</f>
        <v>0-0-0</v>
      </c>
      <c r="D33" t="str">
        <f>_xlfn.CONCAT(TEXT(SUMIFS(Table2[AwayWon], Table2[GameIsOver],1,Table2[AwayTeam],$A33, Table2[HomeTeam], D$1) + SUMIFS(Table2[HomeWon_], Table2[GameIsOver],1,Table2[HomeTeam],$A33, Table2[AwayTeam], D$1),0), "-", TEXT(SUMIFS(Table2[HomeWon_], Table2[GameIsOver],1,Table2[AwayTeam],$A33, Table2[HomeTeam], D$1, Table2[ActualResult], "REG") + SUMIFS(Table2[AwayWon], Table2[GameIsOver],1,Table2[HomeTeam],$A33, Table2[AwayTeam], D$1, Table2[ActualResult], "REG"),0), "-", TEXT(SUMIFS(Table2[HomeWon_], Table2[GameIsOver],1,Table2[AwayTeam],$A33, Table2[HomeTeam], D$1, Table2[ActualResult], "OT") + SUMIFS(Table2[AwayWon], Table2[GameIsOver],1,Table2[HomeTeam],$A33, Table2[AwayTeam], D$1, Table2[ActualResult], "OT") + SUMIFS(Table2[HomeWon_], Table2[GameIsOver],1,Table2[AwayTeam],$A33, Table2[HomeTeam], D$1, Table2[ActualResult], "SO") + SUMIFS(Table2[AwayWon], Table2[GameIsOver],1,Table2[HomeTeam],$A33, Table2[AwayTeam], D$1, Table2[ActualResult], "SO"),0))</f>
        <v>0-0-0</v>
      </c>
      <c r="E33" t="str">
        <f>_xlfn.CONCAT(TEXT(SUMIFS(Table2[AwayWon], Table2[GameIsOver],1,Table2[AwayTeam],$A33, Table2[HomeTeam], E$1) + SUMIFS(Table2[HomeWon_], Table2[GameIsOver],1,Table2[HomeTeam],$A33, Table2[AwayTeam], E$1),0), "-", TEXT(SUMIFS(Table2[HomeWon_], Table2[GameIsOver],1,Table2[AwayTeam],$A33, Table2[HomeTeam], E$1, Table2[ActualResult], "REG") + SUMIFS(Table2[AwayWon], Table2[GameIsOver],1,Table2[HomeTeam],$A33, Table2[AwayTeam], E$1, Table2[ActualResult], "REG"),0), "-", TEXT(SUMIFS(Table2[HomeWon_], Table2[GameIsOver],1,Table2[AwayTeam],$A33, Table2[HomeTeam], E$1, Table2[ActualResult], "OT") + SUMIFS(Table2[AwayWon], Table2[GameIsOver],1,Table2[HomeTeam],$A33, Table2[AwayTeam], E$1, Table2[ActualResult], "OT") + SUMIFS(Table2[HomeWon_], Table2[GameIsOver],1,Table2[AwayTeam],$A33, Table2[HomeTeam], E$1, Table2[ActualResult], "SO") + SUMIFS(Table2[AwayWon], Table2[GameIsOver],1,Table2[HomeTeam],$A33, Table2[AwayTeam], E$1, Table2[ActualResult], "SO"),0))</f>
        <v>0-0-0</v>
      </c>
      <c r="F33" t="str">
        <f>_xlfn.CONCAT(TEXT(SUMIFS(Table2[AwayWon], Table2[GameIsOver],1,Table2[AwayTeam],$A33, Table2[HomeTeam], F$1) + SUMIFS(Table2[HomeWon_], Table2[GameIsOver],1,Table2[HomeTeam],$A33, Table2[AwayTeam], F$1),0), "-", TEXT(SUMIFS(Table2[HomeWon_], Table2[GameIsOver],1,Table2[AwayTeam],$A33, Table2[HomeTeam], F$1, Table2[ActualResult], "REG") + SUMIFS(Table2[AwayWon], Table2[GameIsOver],1,Table2[HomeTeam],$A33, Table2[AwayTeam], F$1, Table2[ActualResult], "REG"),0), "-", TEXT(SUMIFS(Table2[HomeWon_], Table2[GameIsOver],1,Table2[AwayTeam],$A33, Table2[HomeTeam], F$1, Table2[ActualResult], "OT") + SUMIFS(Table2[AwayWon], Table2[GameIsOver],1,Table2[HomeTeam],$A33, Table2[AwayTeam], F$1, Table2[ActualResult], "OT") + SUMIFS(Table2[HomeWon_], Table2[GameIsOver],1,Table2[AwayTeam],$A33, Table2[HomeTeam], F$1, Table2[ActualResult], "SO") + SUMIFS(Table2[AwayWon], Table2[GameIsOver],1,Table2[HomeTeam],$A33, Table2[AwayTeam], F$1, Table2[ActualResult], "SO"),0))</f>
        <v>0-0-1</v>
      </c>
      <c r="G33" t="str">
        <f>_xlfn.CONCAT(TEXT(SUMIFS(Table2[AwayWon], Table2[GameIsOver],1,Table2[AwayTeam],$A33, Table2[HomeTeam], G$1) + SUMIFS(Table2[HomeWon_], Table2[GameIsOver],1,Table2[HomeTeam],$A33, Table2[AwayTeam], G$1),0), "-", TEXT(SUMIFS(Table2[HomeWon_], Table2[GameIsOver],1,Table2[AwayTeam],$A33, Table2[HomeTeam], G$1, Table2[ActualResult], "REG") + SUMIFS(Table2[AwayWon], Table2[GameIsOver],1,Table2[HomeTeam],$A33, Table2[AwayTeam], G$1, Table2[ActualResult], "REG"),0), "-", TEXT(SUMIFS(Table2[HomeWon_], Table2[GameIsOver],1,Table2[AwayTeam],$A33, Table2[HomeTeam], G$1, Table2[ActualResult], "OT") + SUMIFS(Table2[AwayWon], Table2[GameIsOver],1,Table2[HomeTeam],$A33, Table2[AwayTeam], G$1, Table2[ActualResult], "OT") + SUMIFS(Table2[HomeWon_], Table2[GameIsOver],1,Table2[AwayTeam],$A33, Table2[HomeTeam], G$1, Table2[ActualResult], "SO") + SUMIFS(Table2[AwayWon], Table2[GameIsOver],1,Table2[HomeTeam],$A33, Table2[AwayTeam], G$1, Table2[ActualResult], "SO"),0))</f>
        <v>0-0-0</v>
      </c>
      <c r="H33" t="str">
        <f>_xlfn.CONCAT(TEXT(SUMIFS(Table2[AwayWon], Table2[GameIsOver],1,Table2[AwayTeam],$A33, Table2[HomeTeam], H$1) + SUMIFS(Table2[HomeWon_], Table2[GameIsOver],1,Table2[HomeTeam],$A33, Table2[AwayTeam], H$1),0), "-", TEXT(SUMIFS(Table2[HomeWon_], Table2[GameIsOver],1,Table2[AwayTeam],$A33, Table2[HomeTeam], H$1, Table2[ActualResult], "REG") + SUMIFS(Table2[AwayWon], Table2[GameIsOver],1,Table2[HomeTeam],$A33, Table2[AwayTeam], H$1, Table2[ActualResult], "REG"),0), "-", TEXT(SUMIFS(Table2[HomeWon_], Table2[GameIsOver],1,Table2[AwayTeam],$A33, Table2[HomeTeam], H$1, Table2[ActualResult], "OT") + SUMIFS(Table2[AwayWon], Table2[GameIsOver],1,Table2[HomeTeam],$A33, Table2[AwayTeam], H$1, Table2[ActualResult], "OT") + SUMIFS(Table2[HomeWon_], Table2[GameIsOver],1,Table2[AwayTeam],$A33, Table2[HomeTeam], H$1, Table2[ActualResult], "SO") + SUMIFS(Table2[AwayWon], Table2[GameIsOver],1,Table2[HomeTeam],$A33, Table2[AwayTeam], H$1, Table2[ActualResult], "SO"),0))</f>
        <v>0-0-0</v>
      </c>
      <c r="I33" s="57" t="str">
        <f>_xlfn.CONCAT(TEXT(SUMIFS(Table2[AwayWon], Table2[GameIsOver],1,Table2[AwayTeam],$A33, Table2[HomeTeam], I$1) + SUMIFS(Table2[HomeWon_], Table2[GameIsOver],1,Table2[HomeTeam],$A33, Table2[AwayTeam], I$1),0), "-", TEXT(SUMIFS(Table2[HomeWon_], Table2[GameIsOver],1,Table2[AwayTeam],$A33, Table2[HomeTeam], I$1, Table2[ActualResult], "REG") + SUMIFS(Table2[AwayWon], Table2[GameIsOver],1,Table2[HomeTeam],$A33, Table2[AwayTeam], I$1, Table2[ActualResult], "REG"),0), "-", TEXT(SUMIFS(Table2[HomeWon_], Table2[GameIsOver],1,Table2[AwayTeam],$A33, Table2[HomeTeam], I$1, Table2[ActualResult], "OT") + SUMIFS(Table2[AwayWon], Table2[GameIsOver],1,Table2[HomeTeam],$A33, Table2[AwayTeam], I$1, Table2[ActualResult], "OT") + SUMIFS(Table2[HomeWon_], Table2[GameIsOver],1,Table2[AwayTeam],$A33, Table2[HomeTeam], I$1, Table2[ActualResult], "SO") + SUMIFS(Table2[AwayWon], Table2[GameIsOver],1,Table2[HomeTeam],$A33, Table2[AwayTeam], I$1, Table2[ActualResult], "SO"),0))</f>
        <v>0-0-0</v>
      </c>
      <c r="J33" t="str">
        <f>_xlfn.CONCAT(TEXT(SUMIFS(Table2[AwayWon], Table2[GameIsOver],1,Table2[AwayTeam],$A33, Table2[HomeTeam], J$1) + SUMIFS(Table2[HomeWon_], Table2[GameIsOver],1,Table2[HomeTeam],$A33, Table2[AwayTeam], J$1),0), "-", TEXT(SUMIFS(Table2[HomeWon_], Table2[GameIsOver],1,Table2[AwayTeam],$A33, Table2[HomeTeam], J$1, Table2[ActualResult], "REG") + SUMIFS(Table2[AwayWon], Table2[GameIsOver],1,Table2[HomeTeam],$A33, Table2[AwayTeam], J$1, Table2[ActualResult], "REG"),0), "-", TEXT(SUMIFS(Table2[HomeWon_], Table2[GameIsOver],1,Table2[AwayTeam],$A33, Table2[HomeTeam], J$1, Table2[ActualResult], "OT") + SUMIFS(Table2[AwayWon], Table2[GameIsOver],1,Table2[HomeTeam],$A33, Table2[AwayTeam], J$1, Table2[ActualResult], "OT") + SUMIFS(Table2[HomeWon_], Table2[GameIsOver],1,Table2[AwayTeam],$A33, Table2[HomeTeam], J$1, Table2[ActualResult], "SO") + SUMIFS(Table2[AwayWon], Table2[GameIsOver],1,Table2[HomeTeam],$A33, Table2[AwayTeam], J$1, Table2[ActualResult], "SO"),0))</f>
        <v>0-0-0</v>
      </c>
      <c r="K33" t="str">
        <f>_xlfn.CONCAT(TEXT(SUMIFS(Table2[AwayWon], Table2[GameIsOver],1,Table2[AwayTeam],$A33, Table2[HomeTeam], K$1) + SUMIFS(Table2[HomeWon_], Table2[GameIsOver],1,Table2[HomeTeam],$A33, Table2[AwayTeam], K$1),0), "-", TEXT(SUMIFS(Table2[HomeWon_], Table2[GameIsOver],1,Table2[AwayTeam],$A33, Table2[HomeTeam], K$1, Table2[ActualResult], "REG") + SUMIFS(Table2[AwayWon], Table2[GameIsOver],1,Table2[HomeTeam],$A33, Table2[AwayTeam], K$1, Table2[ActualResult], "REG"),0), "-", TEXT(SUMIFS(Table2[HomeWon_], Table2[GameIsOver],1,Table2[AwayTeam],$A33, Table2[HomeTeam], K$1, Table2[ActualResult], "OT") + SUMIFS(Table2[AwayWon], Table2[GameIsOver],1,Table2[HomeTeam],$A33, Table2[AwayTeam], K$1, Table2[ActualResult], "OT") + SUMIFS(Table2[HomeWon_], Table2[GameIsOver],1,Table2[AwayTeam],$A33, Table2[HomeTeam], K$1, Table2[ActualResult], "SO") + SUMIFS(Table2[AwayWon], Table2[GameIsOver],1,Table2[HomeTeam],$A33, Table2[AwayTeam], K$1, Table2[ActualResult], "SO"),0))</f>
        <v>0-0-0</v>
      </c>
      <c r="L33" t="str">
        <f>_xlfn.CONCAT(TEXT(SUMIFS(Table2[AwayWon], Table2[GameIsOver],1,Table2[AwayTeam],$A33, Table2[HomeTeam], L$1) + SUMIFS(Table2[HomeWon_], Table2[GameIsOver],1,Table2[HomeTeam],$A33, Table2[AwayTeam], L$1),0), "-", TEXT(SUMIFS(Table2[HomeWon_], Table2[GameIsOver],1,Table2[AwayTeam],$A33, Table2[HomeTeam], L$1, Table2[ActualResult], "REG") + SUMIFS(Table2[AwayWon], Table2[GameIsOver],1,Table2[HomeTeam],$A33, Table2[AwayTeam], L$1, Table2[ActualResult], "REG"),0), "-", TEXT(SUMIFS(Table2[HomeWon_], Table2[GameIsOver],1,Table2[AwayTeam],$A33, Table2[HomeTeam], L$1, Table2[ActualResult], "OT") + SUMIFS(Table2[AwayWon], Table2[GameIsOver],1,Table2[HomeTeam],$A33, Table2[AwayTeam], L$1, Table2[ActualResult], "OT") + SUMIFS(Table2[HomeWon_], Table2[GameIsOver],1,Table2[AwayTeam],$A33, Table2[HomeTeam], L$1, Table2[ActualResult], "SO") + SUMIFS(Table2[AwayWon], Table2[GameIsOver],1,Table2[HomeTeam],$A33, Table2[AwayTeam], L$1, Table2[ActualResult], "SO"),0))</f>
        <v>0-0-0</v>
      </c>
      <c r="M33" t="str">
        <f>_xlfn.CONCAT(TEXT(SUMIFS(Table2[AwayWon], Table2[GameIsOver],1,Table2[AwayTeam],$A33, Table2[HomeTeam], M$1) + SUMIFS(Table2[HomeWon_], Table2[GameIsOver],1,Table2[HomeTeam],$A33, Table2[AwayTeam], M$1),0), "-", TEXT(SUMIFS(Table2[HomeWon_], Table2[GameIsOver],1,Table2[AwayTeam],$A33, Table2[HomeTeam], M$1, Table2[ActualResult], "REG") + SUMIFS(Table2[AwayWon], Table2[GameIsOver],1,Table2[HomeTeam],$A33, Table2[AwayTeam], M$1, Table2[ActualResult], "REG"),0), "-", TEXT(SUMIFS(Table2[HomeWon_], Table2[GameIsOver],1,Table2[AwayTeam],$A33, Table2[HomeTeam], M$1, Table2[ActualResult], "OT") + SUMIFS(Table2[AwayWon], Table2[GameIsOver],1,Table2[HomeTeam],$A33, Table2[AwayTeam], M$1, Table2[ActualResult], "OT") + SUMIFS(Table2[HomeWon_], Table2[GameIsOver],1,Table2[AwayTeam],$A33, Table2[HomeTeam], M$1, Table2[ActualResult], "SO") + SUMIFS(Table2[AwayWon], Table2[GameIsOver],1,Table2[HomeTeam],$A33, Table2[AwayTeam], M$1, Table2[ActualResult], "SO"),0))</f>
        <v>0-0-0</v>
      </c>
      <c r="N33" t="str">
        <f>_xlfn.CONCAT(TEXT(SUMIFS(Table2[AwayWon], Table2[GameIsOver],1,Table2[AwayTeam],$A33, Table2[HomeTeam], N$1) + SUMIFS(Table2[HomeWon_], Table2[GameIsOver],1,Table2[HomeTeam],$A33, Table2[AwayTeam], N$1),0), "-", TEXT(SUMIFS(Table2[HomeWon_], Table2[GameIsOver],1,Table2[AwayTeam],$A33, Table2[HomeTeam], N$1, Table2[ActualResult], "REG") + SUMIFS(Table2[AwayWon], Table2[GameIsOver],1,Table2[HomeTeam],$A33, Table2[AwayTeam], N$1, Table2[ActualResult], "REG"),0), "-", TEXT(SUMIFS(Table2[HomeWon_], Table2[GameIsOver],1,Table2[AwayTeam],$A33, Table2[HomeTeam], N$1, Table2[ActualResult], "OT") + SUMIFS(Table2[AwayWon], Table2[GameIsOver],1,Table2[HomeTeam],$A33, Table2[AwayTeam], N$1, Table2[ActualResult], "OT") + SUMIFS(Table2[HomeWon_], Table2[GameIsOver],1,Table2[AwayTeam],$A33, Table2[HomeTeam], N$1, Table2[ActualResult], "SO") + SUMIFS(Table2[AwayWon], Table2[GameIsOver],1,Table2[HomeTeam],$A33, Table2[AwayTeam], N$1, Table2[ActualResult], "SO"),0))</f>
        <v>1-0-0</v>
      </c>
      <c r="O33" t="str">
        <f>_xlfn.CONCAT(TEXT(SUMIFS(Table2[AwayWon], Table2[GameIsOver],1,Table2[AwayTeam],$A33, Table2[HomeTeam], O$1) + SUMIFS(Table2[HomeWon_], Table2[GameIsOver],1,Table2[HomeTeam],$A33, Table2[AwayTeam], O$1),0), "-", TEXT(SUMIFS(Table2[HomeWon_], Table2[GameIsOver],1,Table2[AwayTeam],$A33, Table2[HomeTeam], O$1, Table2[ActualResult], "REG") + SUMIFS(Table2[AwayWon], Table2[GameIsOver],1,Table2[HomeTeam],$A33, Table2[AwayTeam], O$1, Table2[ActualResult], "REG"),0), "-", TEXT(SUMIFS(Table2[HomeWon_], Table2[GameIsOver],1,Table2[AwayTeam],$A33, Table2[HomeTeam], O$1, Table2[ActualResult], "OT") + SUMIFS(Table2[AwayWon], Table2[GameIsOver],1,Table2[HomeTeam],$A33, Table2[AwayTeam], O$1, Table2[ActualResult], "OT") + SUMIFS(Table2[HomeWon_], Table2[GameIsOver],1,Table2[AwayTeam],$A33, Table2[HomeTeam], O$1, Table2[ActualResult], "SO") + SUMIFS(Table2[AwayWon], Table2[GameIsOver],1,Table2[HomeTeam],$A33, Table2[AwayTeam], O$1, Table2[ActualResult], "SO"),0))</f>
        <v>0-0-0</v>
      </c>
      <c r="P33" t="str">
        <f>_xlfn.CONCAT(TEXT(SUMIFS(Table2[AwayWon], Table2[GameIsOver],1,Table2[AwayTeam],$A33, Table2[HomeTeam], P$1) + SUMIFS(Table2[HomeWon_], Table2[GameIsOver],1,Table2[HomeTeam],$A33, Table2[AwayTeam], P$1),0), "-", TEXT(SUMIFS(Table2[HomeWon_], Table2[GameIsOver],1,Table2[AwayTeam],$A33, Table2[HomeTeam], P$1, Table2[ActualResult], "REG") + SUMIFS(Table2[AwayWon], Table2[GameIsOver],1,Table2[HomeTeam],$A33, Table2[AwayTeam], P$1, Table2[ActualResult], "REG"),0), "-", TEXT(SUMIFS(Table2[HomeWon_], Table2[GameIsOver],1,Table2[AwayTeam],$A33, Table2[HomeTeam], P$1, Table2[ActualResult], "OT") + SUMIFS(Table2[AwayWon], Table2[GameIsOver],1,Table2[HomeTeam],$A33, Table2[AwayTeam], P$1, Table2[ActualResult], "OT") + SUMIFS(Table2[HomeWon_], Table2[GameIsOver],1,Table2[AwayTeam],$A33, Table2[HomeTeam], P$1, Table2[ActualResult], "SO") + SUMIFS(Table2[AwayWon], Table2[GameIsOver],1,Table2[HomeTeam],$A33, Table2[AwayTeam], P$1, Table2[ActualResult], "SO"),0))</f>
        <v>0-0-0</v>
      </c>
      <c r="Q33" s="57" t="str">
        <f>_xlfn.CONCAT(TEXT(SUMIFS(Table2[AwayWon], Table2[GameIsOver],1,Table2[AwayTeam],$A33, Table2[HomeTeam], Q$1) + SUMIFS(Table2[HomeWon_], Table2[GameIsOver],1,Table2[HomeTeam],$A33, Table2[AwayTeam], Q$1),0), "-", TEXT(SUMIFS(Table2[HomeWon_], Table2[GameIsOver],1,Table2[AwayTeam],$A33, Table2[HomeTeam], Q$1, Table2[ActualResult], "REG") + SUMIFS(Table2[AwayWon], Table2[GameIsOver],1,Table2[HomeTeam],$A33, Table2[AwayTeam], Q$1, Table2[ActualResult], "REG"),0), "-", TEXT(SUMIFS(Table2[HomeWon_], Table2[GameIsOver],1,Table2[AwayTeam],$A33, Table2[HomeTeam], Q$1, Table2[ActualResult], "OT") + SUMIFS(Table2[AwayWon], Table2[GameIsOver],1,Table2[HomeTeam],$A33, Table2[AwayTeam], Q$1, Table2[ActualResult], "OT") + SUMIFS(Table2[HomeWon_], Table2[GameIsOver],1,Table2[AwayTeam],$A33, Table2[HomeTeam], Q$1, Table2[ActualResult], "SO") + SUMIFS(Table2[AwayWon], Table2[GameIsOver],1,Table2[HomeTeam],$A33, Table2[AwayTeam], Q$1, Table2[ActualResult], "SO"),0))</f>
        <v>0-0-0</v>
      </c>
      <c r="R33" t="str">
        <f>_xlfn.CONCAT(TEXT(SUMIFS(Table2[AwayWon], Table2[GameIsOver],1,Table2[AwayTeam],$A33, Table2[HomeTeam], R$1) + SUMIFS(Table2[HomeWon_], Table2[GameIsOver],1,Table2[HomeTeam],$A33, Table2[AwayTeam], R$1),0), "-", TEXT(SUMIFS(Table2[HomeWon_], Table2[GameIsOver],1,Table2[AwayTeam],$A33, Table2[HomeTeam], R$1, Table2[ActualResult], "REG") + SUMIFS(Table2[AwayWon], Table2[GameIsOver],1,Table2[HomeTeam],$A33, Table2[AwayTeam], R$1, Table2[ActualResult], "REG"),0), "-", TEXT(SUMIFS(Table2[HomeWon_], Table2[GameIsOver],1,Table2[AwayTeam],$A33, Table2[HomeTeam], R$1, Table2[ActualResult], "OT") + SUMIFS(Table2[AwayWon], Table2[GameIsOver],1,Table2[HomeTeam],$A33, Table2[AwayTeam], R$1, Table2[ActualResult], "OT") + SUMIFS(Table2[HomeWon_], Table2[GameIsOver],1,Table2[AwayTeam],$A33, Table2[HomeTeam], R$1, Table2[ActualResult], "SO") + SUMIFS(Table2[AwayWon], Table2[GameIsOver],1,Table2[HomeTeam],$A33, Table2[AwayTeam], R$1, Table2[ActualResult], "SO"),0))</f>
        <v>0-0-0</v>
      </c>
      <c r="S33" t="str">
        <f>_xlfn.CONCAT(TEXT(SUMIFS(Table2[AwayWon], Table2[GameIsOver],1,Table2[AwayTeam],$A33, Table2[HomeTeam], S$1) + SUMIFS(Table2[HomeWon_], Table2[GameIsOver],1,Table2[HomeTeam],$A33, Table2[AwayTeam], S$1),0), "-", TEXT(SUMIFS(Table2[HomeWon_], Table2[GameIsOver],1,Table2[AwayTeam],$A33, Table2[HomeTeam], S$1, Table2[ActualResult], "REG") + SUMIFS(Table2[AwayWon], Table2[GameIsOver],1,Table2[HomeTeam],$A33, Table2[AwayTeam], S$1, Table2[ActualResult], "REG"),0), "-", TEXT(SUMIFS(Table2[HomeWon_], Table2[GameIsOver],1,Table2[AwayTeam],$A33, Table2[HomeTeam], S$1, Table2[ActualResult], "OT") + SUMIFS(Table2[AwayWon], Table2[GameIsOver],1,Table2[HomeTeam],$A33, Table2[AwayTeam], S$1, Table2[ActualResult], "OT") + SUMIFS(Table2[HomeWon_], Table2[GameIsOver],1,Table2[AwayTeam],$A33, Table2[HomeTeam], S$1, Table2[ActualResult], "SO") + SUMIFS(Table2[AwayWon], Table2[GameIsOver],1,Table2[HomeTeam],$A33, Table2[AwayTeam], S$1, Table2[ActualResult], "SO"),0))</f>
        <v>0-0-0</v>
      </c>
      <c r="T33" t="str">
        <f>_xlfn.CONCAT(TEXT(SUMIFS(Table2[AwayWon], Table2[GameIsOver],1,Table2[AwayTeam],$A33, Table2[HomeTeam], T$1) + SUMIFS(Table2[HomeWon_], Table2[GameIsOver],1,Table2[HomeTeam],$A33, Table2[AwayTeam], T$1),0), "-", TEXT(SUMIFS(Table2[HomeWon_], Table2[GameIsOver],1,Table2[AwayTeam],$A33, Table2[HomeTeam], T$1, Table2[ActualResult], "REG") + SUMIFS(Table2[AwayWon], Table2[GameIsOver],1,Table2[HomeTeam],$A33, Table2[AwayTeam], T$1, Table2[ActualResult], "REG"),0), "-", TEXT(SUMIFS(Table2[HomeWon_], Table2[GameIsOver],1,Table2[AwayTeam],$A33, Table2[HomeTeam], T$1, Table2[ActualResult], "OT") + SUMIFS(Table2[AwayWon], Table2[GameIsOver],1,Table2[HomeTeam],$A33, Table2[AwayTeam], T$1, Table2[ActualResult], "OT") + SUMIFS(Table2[HomeWon_], Table2[GameIsOver],1,Table2[AwayTeam],$A33, Table2[HomeTeam], T$1, Table2[ActualResult], "SO") + SUMIFS(Table2[AwayWon], Table2[GameIsOver],1,Table2[HomeTeam],$A33, Table2[AwayTeam], T$1, Table2[ActualResult], "SO"),0))</f>
        <v>0-1-0</v>
      </c>
      <c r="U33" t="str">
        <f>_xlfn.CONCAT(TEXT(SUMIFS(Table2[AwayWon], Table2[GameIsOver],1,Table2[AwayTeam],$A33, Table2[HomeTeam], U$1) + SUMIFS(Table2[HomeWon_], Table2[GameIsOver],1,Table2[HomeTeam],$A33, Table2[AwayTeam], U$1),0), "-", TEXT(SUMIFS(Table2[HomeWon_], Table2[GameIsOver],1,Table2[AwayTeam],$A33, Table2[HomeTeam], U$1, Table2[ActualResult], "REG") + SUMIFS(Table2[AwayWon], Table2[GameIsOver],1,Table2[HomeTeam],$A33, Table2[AwayTeam], U$1, Table2[ActualResult], "REG"),0), "-", TEXT(SUMIFS(Table2[HomeWon_], Table2[GameIsOver],1,Table2[AwayTeam],$A33, Table2[HomeTeam], U$1, Table2[ActualResult], "OT") + SUMIFS(Table2[AwayWon], Table2[GameIsOver],1,Table2[HomeTeam],$A33, Table2[AwayTeam], U$1, Table2[ActualResult], "OT") + SUMIFS(Table2[HomeWon_], Table2[GameIsOver],1,Table2[AwayTeam],$A33, Table2[HomeTeam], U$1, Table2[ActualResult], "SO") + SUMIFS(Table2[AwayWon], Table2[GameIsOver],1,Table2[HomeTeam],$A33, Table2[AwayTeam], U$1, Table2[ActualResult], "SO"),0))</f>
        <v>0-0-0</v>
      </c>
      <c r="V33" t="str">
        <f>_xlfn.CONCAT(TEXT(SUMIFS(Table2[AwayWon], Table2[GameIsOver],1,Table2[AwayTeam],$A33, Table2[HomeTeam], V$1) + SUMIFS(Table2[HomeWon_], Table2[GameIsOver],1,Table2[HomeTeam],$A33, Table2[AwayTeam], V$1),0), "-", TEXT(SUMIFS(Table2[HomeWon_], Table2[GameIsOver],1,Table2[AwayTeam],$A33, Table2[HomeTeam], V$1, Table2[ActualResult], "REG") + SUMIFS(Table2[AwayWon], Table2[GameIsOver],1,Table2[HomeTeam],$A33, Table2[AwayTeam], V$1, Table2[ActualResult], "REG"),0), "-", TEXT(SUMIFS(Table2[HomeWon_], Table2[GameIsOver],1,Table2[AwayTeam],$A33, Table2[HomeTeam], V$1, Table2[ActualResult], "OT") + SUMIFS(Table2[AwayWon], Table2[GameIsOver],1,Table2[HomeTeam],$A33, Table2[AwayTeam], V$1, Table2[ActualResult], "OT") + SUMIFS(Table2[HomeWon_], Table2[GameIsOver],1,Table2[AwayTeam],$A33, Table2[HomeTeam], V$1, Table2[ActualResult], "SO") + SUMIFS(Table2[AwayWon], Table2[GameIsOver],1,Table2[HomeTeam],$A33, Table2[AwayTeam], V$1, Table2[ActualResult], "SO"),0))</f>
        <v>1-0-0</v>
      </c>
      <c r="W33" t="str">
        <f>_xlfn.CONCAT(TEXT(SUMIFS(Table2[AwayWon], Table2[GameIsOver],1,Table2[AwayTeam],$A33, Table2[HomeTeam], W$1) + SUMIFS(Table2[HomeWon_], Table2[GameIsOver],1,Table2[HomeTeam],$A33, Table2[AwayTeam], W$1),0), "-", TEXT(SUMIFS(Table2[HomeWon_], Table2[GameIsOver],1,Table2[AwayTeam],$A33, Table2[HomeTeam], W$1, Table2[ActualResult], "REG") + SUMIFS(Table2[AwayWon], Table2[GameIsOver],1,Table2[HomeTeam],$A33, Table2[AwayTeam], W$1, Table2[ActualResult], "REG"),0), "-", TEXT(SUMIFS(Table2[HomeWon_], Table2[GameIsOver],1,Table2[AwayTeam],$A33, Table2[HomeTeam], W$1, Table2[ActualResult], "OT") + SUMIFS(Table2[AwayWon], Table2[GameIsOver],1,Table2[HomeTeam],$A33, Table2[AwayTeam], W$1, Table2[ActualResult], "OT") + SUMIFS(Table2[HomeWon_], Table2[GameIsOver],1,Table2[AwayTeam],$A33, Table2[HomeTeam], W$1, Table2[ActualResult], "SO") + SUMIFS(Table2[AwayWon], Table2[GameIsOver],1,Table2[HomeTeam],$A33, Table2[AwayTeam], W$1, Table2[ActualResult], "SO"),0))</f>
        <v>0-0-0</v>
      </c>
      <c r="X33" t="str">
        <f>_xlfn.CONCAT(TEXT(SUMIFS(Table2[AwayWon], Table2[GameIsOver],1,Table2[AwayTeam],$A33, Table2[HomeTeam], X$1) + SUMIFS(Table2[HomeWon_], Table2[GameIsOver],1,Table2[HomeTeam],$A33, Table2[AwayTeam], X$1),0), "-", TEXT(SUMIFS(Table2[HomeWon_], Table2[GameIsOver],1,Table2[AwayTeam],$A33, Table2[HomeTeam], X$1, Table2[ActualResult], "REG") + SUMIFS(Table2[AwayWon], Table2[GameIsOver],1,Table2[HomeTeam],$A33, Table2[AwayTeam], X$1, Table2[ActualResult], "REG"),0), "-", TEXT(SUMIFS(Table2[HomeWon_], Table2[GameIsOver],1,Table2[AwayTeam],$A33, Table2[HomeTeam], X$1, Table2[ActualResult], "OT") + SUMIFS(Table2[AwayWon], Table2[GameIsOver],1,Table2[HomeTeam],$A33, Table2[AwayTeam], X$1, Table2[ActualResult], "OT") + SUMIFS(Table2[HomeWon_], Table2[GameIsOver],1,Table2[AwayTeam],$A33, Table2[HomeTeam], X$1, Table2[ActualResult], "SO") + SUMIFS(Table2[AwayWon], Table2[GameIsOver],1,Table2[HomeTeam],$A33, Table2[AwayTeam], X$1, Table2[ActualResult], "SO"),0))</f>
        <v>0-0-0</v>
      </c>
      <c r="Y33" s="57" t="str">
        <f>_xlfn.CONCAT(TEXT(SUMIFS(Table2[AwayWon], Table2[GameIsOver],1,Table2[AwayTeam],$A33, Table2[HomeTeam], Y$1) + SUMIFS(Table2[HomeWon_], Table2[GameIsOver],1,Table2[HomeTeam],$A33, Table2[AwayTeam], Y$1),0), "-", TEXT(SUMIFS(Table2[HomeWon_], Table2[GameIsOver],1,Table2[AwayTeam],$A33, Table2[HomeTeam], Y$1, Table2[ActualResult], "REG") + SUMIFS(Table2[AwayWon], Table2[GameIsOver],1,Table2[HomeTeam],$A33, Table2[AwayTeam], Y$1, Table2[ActualResult], "REG"),0), "-", TEXT(SUMIFS(Table2[HomeWon_], Table2[GameIsOver],1,Table2[AwayTeam],$A33, Table2[HomeTeam], Y$1, Table2[ActualResult], "OT") + SUMIFS(Table2[AwayWon], Table2[GameIsOver],1,Table2[HomeTeam],$A33, Table2[AwayTeam], Y$1, Table2[ActualResult], "OT") + SUMIFS(Table2[HomeWon_], Table2[GameIsOver],1,Table2[AwayTeam],$A33, Table2[HomeTeam], Y$1, Table2[ActualResult], "SO") + SUMIFS(Table2[AwayWon], Table2[GameIsOver],1,Table2[HomeTeam],$A33, Table2[AwayTeam], Y$1, Table2[ActualResult], "SO"),0))</f>
        <v>0-0-0</v>
      </c>
      <c r="Z33" t="str">
        <f>_xlfn.CONCAT(TEXT(SUMIFS(Table2[AwayWon], Table2[GameIsOver],1,Table2[AwayTeam],$A33, Table2[HomeTeam], Z$1) + SUMIFS(Table2[HomeWon_], Table2[GameIsOver],1,Table2[HomeTeam],$A33, Table2[AwayTeam], Z$1),0), "-", TEXT(SUMIFS(Table2[HomeWon_], Table2[GameIsOver],1,Table2[AwayTeam],$A33, Table2[HomeTeam], Z$1, Table2[ActualResult], "REG") + SUMIFS(Table2[AwayWon], Table2[GameIsOver],1,Table2[HomeTeam],$A33, Table2[AwayTeam], Z$1, Table2[ActualResult], "REG"),0), "-", TEXT(SUMIFS(Table2[HomeWon_], Table2[GameIsOver],1,Table2[AwayTeam],$A33, Table2[HomeTeam], Z$1, Table2[ActualResult], "OT") + SUMIFS(Table2[AwayWon], Table2[GameIsOver],1,Table2[HomeTeam],$A33, Table2[AwayTeam], Z$1, Table2[ActualResult], "OT") + SUMIFS(Table2[HomeWon_], Table2[GameIsOver],1,Table2[AwayTeam],$A33, Table2[HomeTeam], Z$1, Table2[ActualResult], "SO") + SUMIFS(Table2[AwayWon], Table2[GameIsOver],1,Table2[HomeTeam],$A33, Table2[AwayTeam], Z$1, Table2[ActualResult], "SO"),0))</f>
        <v>0-0-0</v>
      </c>
      <c r="AA33" t="str">
        <f>_xlfn.CONCAT(TEXT(SUMIFS(Table2[AwayWon], Table2[GameIsOver],1,Table2[AwayTeam],$A33, Table2[HomeTeam], AA$1) + SUMIFS(Table2[HomeWon_], Table2[GameIsOver],1,Table2[HomeTeam],$A33, Table2[AwayTeam], AA$1),0), "-", TEXT(SUMIFS(Table2[HomeWon_], Table2[GameIsOver],1,Table2[AwayTeam],$A33, Table2[HomeTeam], AA$1, Table2[ActualResult], "REG") + SUMIFS(Table2[AwayWon], Table2[GameIsOver],1,Table2[HomeTeam],$A33, Table2[AwayTeam], AA$1, Table2[ActualResult], "REG"),0), "-", TEXT(SUMIFS(Table2[HomeWon_], Table2[GameIsOver],1,Table2[AwayTeam],$A33, Table2[HomeTeam], AA$1, Table2[ActualResult], "OT") + SUMIFS(Table2[AwayWon], Table2[GameIsOver],1,Table2[HomeTeam],$A33, Table2[AwayTeam], AA$1, Table2[ActualResult], "OT") + SUMIFS(Table2[HomeWon_], Table2[GameIsOver],1,Table2[AwayTeam],$A33, Table2[HomeTeam], AA$1, Table2[ActualResult], "SO") + SUMIFS(Table2[AwayWon], Table2[GameIsOver],1,Table2[HomeTeam],$A33, Table2[AwayTeam], AA$1, Table2[ActualResult], "SO"),0))</f>
        <v>0-0-0</v>
      </c>
      <c r="AB33" t="str">
        <f>_xlfn.CONCAT(TEXT(SUMIFS(Table2[AwayWon], Table2[GameIsOver],1,Table2[AwayTeam],$A33, Table2[HomeTeam], AB$1) + SUMIFS(Table2[HomeWon_], Table2[GameIsOver],1,Table2[HomeTeam],$A33, Table2[AwayTeam], AB$1),0), "-", TEXT(SUMIFS(Table2[HomeWon_], Table2[GameIsOver],1,Table2[AwayTeam],$A33, Table2[HomeTeam], AB$1, Table2[ActualResult], "REG") + SUMIFS(Table2[AwayWon], Table2[GameIsOver],1,Table2[HomeTeam],$A33, Table2[AwayTeam], AB$1, Table2[ActualResult], "REG"),0), "-", TEXT(SUMIFS(Table2[HomeWon_], Table2[GameIsOver],1,Table2[AwayTeam],$A33, Table2[HomeTeam], AB$1, Table2[ActualResult], "OT") + SUMIFS(Table2[AwayWon], Table2[GameIsOver],1,Table2[HomeTeam],$A33, Table2[AwayTeam], AB$1, Table2[ActualResult], "OT") + SUMIFS(Table2[HomeWon_], Table2[GameIsOver],1,Table2[AwayTeam],$A33, Table2[HomeTeam], AB$1, Table2[ActualResult], "SO") + SUMIFS(Table2[AwayWon], Table2[GameIsOver],1,Table2[HomeTeam],$A33, Table2[AwayTeam], AB$1, Table2[ActualResult], "SO"),0))</f>
        <v>0-2-0</v>
      </c>
      <c r="AC33" t="str">
        <f>_xlfn.CONCAT(TEXT(SUMIFS(Table2[AwayWon], Table2[GameIsOver],1,Table2[AwayTeam],$A33, Table2[HomeTeam], AC$1) + SUMIFS(Table2[HomeWon_], Table2[GameIsOver],1,Table2[HomeTeam],$A33, Table2[AwayTeam], AC$1),0), "-", TEXT(SUMIFS(Table2[HomeWon_], Table2[GameIsOver],1,Table2[AwayTeam],$A33, Table2[HomeTeam], AC$1, Table2[ActualResult], "REG") + SUMIFS(Table2[AwayWon], Table2[GameIsOver],1,Table2[HomeTeam],$A33, Table2[AwayTeam], AC$1, Table2[ActualResult], "REG"),0), "-", TEXT(SUMIFS(Table2[HomeWon_], Table2[GameIsOver],1,Table2[AwayTeam],$A33, Table2[HomeTeam], AC$1, Table2[ActualResult], "OT") + SUMIFS(Table2[AwayWon], Table2[GameIsOver],1,Table2[HomeTeam],$A33, Table2[AwayTeam], AC$1, Table2[ActualResult], "OT") + SUMIFS(Table2[HomeWon_], Table2[GameIsOver],1,Table2[AwayTeam],$A33, Table2[HomeTeam], AC$1, Table2[ActualResult], "SO") + SUMIFS(Table2[AwayWon], Table2[GameIsOver],1,Table2[HomeTeam],$A33, Table2[AwayTeam], AC$1, Table2[ActualResult], "SO"),0))</f>
        <v>0-0-0</v>
      </c>
      <c r="AD33" t="str">
        <f>_xlfn.CONCAT(TEXT(SUMIFS(Table2[AwayWon], Table2[GameIsOver],1,Table2[AwayTeam],$A33, Table2[HomeTeam], AD$1) + SUMIFS(Table2[HomeWon_], Table2[GameIsOver],1,Table2[HomeTeam],$A33, Table2[AwayTeam], AD$1),0), "-", TEXT(SUMIFS(Table2[HomeWon_], Table2[GameIsOver],1,Table2[AwayTeam],$A33, Table2[HomeTeam], AD$1, Table2[ActualResult], "REG") + SUMIFS(Table2[AwayWon], Table2[GameIsOver],1,Table2[HomeTeam],$A33, Table2[AwayTeam], AD$1, Table2[ActualResult], "REG"),0), "-", TEXT(SUMIFS(Table2[HomeWon_], Table2[GameIsOver],1,Table2[AwayTeam],$A33, Table2[HomeTeam], AD$1, Table2[ActualResult], "OT") + SUMIFS(Table2[AwayWon], Table2[GameIsOver],1,Table2[HomeTeam],$A33, Table2[AwayTeam], AD$1, Table2[ActualResult], "OT") + SUMIFS(Table2[HomeWon_], Table2[GameIsOver],1,Table2[AwayTeam],$A33, Table2[HomeTeam], AD$1, Table2[ActualResult], "SO") + SUMIFS(Table2[AwayWon], Table2[GameIsOver],1,Table2[HomeTeam],$A33, Table2[AwayTeam], AD$1, Table2[ActualResult], "SO"),0))</f>
        <v>1-0-0</v>
      </c>
      <c r="AE33" t="str">
        <f>_xlfn.CONCAT(TEXT(SUMIFS(Table2[AwayWon], Table2[GameIsOver],1,Table2[AwayTeam],$A33, Table2[HomeTeam], AE$1) + SUMIFS(Table2[HomeWon_], Table2[GameIsOver],1,Table2[HomeTeam],$A33, Table2[AwayTeam], AE$1),0), "-", TEXT(SUMIFS(Table2[HomeWon_], Table2[GameIsOver],1,Table2[AwayTeam],$A33, Table2[HomeTeam], AE$1, Table2[ActualResult], "REG") + SUMIFS(Table2[AwayWon], Table2[GameIsOver],1,Table2[HomeTeam],$A33, Table2[AwayTeam], AE$1, Table2[ActualResult], "REG"),0), "-", TEXT(SUMIFS(Table2[HomeWon_], Table2[GameIsOver],1,Table2[AwayTeam],$A33, Table2[HomeTeam], AE$1, Table2[ActualResult], "OT") + SUMIFS(Table2[AwayWon], Table2[GameIsOver],1,Table2[HomeTeam],$A33, Table2[AwayTeam], AE$1, Table2[ActualResult], "OT") + SUMIFS(Table2[HomeWon_], Table2[GameIsOver],1,Table2[AwayTeam],$A33, Table2[HomeTeam], AE$1, Table2[ActualResult], "SO") + SUMIFS(Table2[AwayWon], Table2[GameIsOver],1,Table2[HomeTeam],$A33, Table2[AwayTeam], AE$1, Table2[ActualResult], "SO"),0))</f>
        <v>0-0-0</v>
      </c>
      <c r="AF33" t="str">
        <f>_xlfn.CONCAT(TEXT(SUMIFS(Table2[AwayWon], Table2[GameIsOver],1,Table2[AwayTeam],$A33, Table2[HomeTeam], AF$1) + SUMIFS(Table2[HomeWon_], Table2[GameIsOver],1,Table2[HomeTeam],$A33, Table2[AwayTeam], AF$1),0), "-", TEXT(SUMIFS(Table2[HomeWon_], Table2[GameIsOver],1,Table2[AwayTeam],$A33, Table2[HomeTeam], AF$1, Table2[ActualResult], "REG") + SUMIFS(Table2[AwayWon], Table2[GameIsOver],1,Table2[HomeTeam],$A33, Table2[AwayTeam], AF$1, Table2[ActualResult], "REG"),0), "-", TEXT(SUMIFS(Table2[HomeWon_], Table2[GameIsOver],1,Table2[AwayTeam],$A33, Table2[HomeTeam], AF$1, Table2[ActualResult], "OT") + SUMIFS(Table2[AwayWon], Table2[GameIsOver],1,Table2[HomeTeam],$A33, Table2[AwayTeam], AF$1, Table2[ActualResult], "OT") + SUMIFS(Table2[HomeWon_], Table2[GameIsOver],1,Table2[AwayTeam],$A33, Table2[HomeTeam], AF$1, Table2[ActualResult], "SO") + SUMIFS(Table2[AwayWon], Table2[GameIsOver],1,Table2[HomeTeam],$A33, Table2[AwayTeam], AF$1, Table2[ActualResult], "SO"),0))</f>
        <v>0-0-0</v>
      </c>
      <c r="AG33" s="89"/>
    </row>
    <row r="36" spans="1:39" ht="15.75" thickBot="1" x14ac:dyDescent="0.3">
      <c r="A36" s="59"/>
      <c r="B36" s="91" t="s">
        <v>44</v>
      </c>
      <c r="C36" s="91" t="s">
        <v>23</v>
      </c>
      <c r="D36" s="91" t="s">
        <v>22</v>
      </c>
      <c r="E36" s="91" t="s">
        <v>27</v>
      </c>
      <c r="F36" s="91" t="s">
        <v>11</v>
      </c>
      <c r="G36" s="91" t="s">
        <v>37</v>
      </c>
      <c r="H36" s="91" t="s">
        <v>24</v>
      </c>
      <c r="I36" s="92" t="s">
        <v>26</v>
      </c>
      <c r="J36" s="91" t="s">
        <v>16</v>
      </c>
      <c r="K36" s="91" t="s">
        <v>25</v>
      </c>
      <c r="L36" s="91" t="s">
        <v>33</v>
      </c>
      <c r="M36" s="91" t="s">
        <v>36</v>
      </c>
      <c r="N36" s="91" t="s">
        <v>34</v>
      </c>
      <c r="O36" s="91" t="s">
        <v>12</v>
      </c>
      <c r="P36" s="91" t="s">
        <v>14</v>
      </c>
      <c r="Q36" s="93" t="s">
        <v>21</v>
      </c>
      <c r="R36" s="91" t="s">
        <v>41</v>
      </c>
      <c r="S36" s="91" t="s">
        <v>35</v>
      </c>
      <c r="T36" s="91" t="s">
        <v>31</v>
      </c>
      <c r="U36" s="91" t="s">
        <v>32</v>
      </c>
      <c r="V36" s="91" t="s">
        <v>19</v>
      </c>
      <c r="W36" s="91" t="s">
        <v>42</v>
      </c>
      <c r="X36" s="91" t="s">
        <v>20</v>
      </c>
      <c r="Y36" s="92" t="s">
        <v>43</v>
      </c>
      <c r="Z36" s="91" t="s">
        <v>15</v>
      </c>
      <c r="AA36" s="91" t="s">
        <v>28</v>
      </c>
      <c r="AB36" s="91" t="s">
        <v>30</v>
      </c>
      <c r="AC36" s="91" t="s">
        <v>13</v>
      </c>
      <c r="AD36" s="94" t="s">
        <v>18</v>
      </c>
      <c r="AE36" s="91" t="s">
        <v>29</v>
      </c>
      <c r="AF36" s="91" t="s">
        <v>40</v>
      </c>
      <c r="AG36" s="92" t="s">
        <v>17</v>
      </c>
      <c r="AH36" s="100" t="s">
        <v>496</v>
      </c>
      <c r="AI36" s="100" t="s">
        <v>497</v>
      </c>
      <c r="AJ36" s="92" t="s">
        <v>498</v>
      </c>
      <c r="AK36" s="92" t="s">
        <v>499</v>
      </c>
      <c r="AL36" s="92" t="s">
        <v>500</v>
      </c>
      <c r="AM36" s="92" t="s">
        <v>501</v>
      </c>
    </row>
    <row r="37" spans="1:39" ht="15.75" thickTop="1" x14ac:dyDescent="0.25">
      <c r="A37" s="57" t="s">
        <v>44</v>
      </c>
      <c r="B37" s="97" t="str">
        <f>IFERROR(((2*SUMIFS(Table2[AwayWon], Table2[GameIsOver],1,Table2[AwayTeam],$A37, Table2[HomeTeam], B$36) + SUMIFS(Table2[HomeWon_], Table2[GameIsOver],1,Table2[HomeTeam],$A37, Table2[AwayTeam], B$36)) + SUMIFS(Table2[AwayWon], Table2[GameIsOver],1,Table2[HomeTeam],$A37, Table2[AwayTeam], B$36, Table2[ActualResult], "REG") + SUMIFS(Table2[HomeWon_], Table2[GameIsOver],1,Table2[AwayTeam],$A37, Table2[HomeTeam], B$36, Table2[ActualResult], "OT") + SUMIFS(Table2[AwayWon], Table2[GameIsOver],1,Table2[HomeTeam],$A37, Table2[AwayTeam], B$36, Table2[ActualResult], "OT") + SUMIFS(Table2[HomeWon_], Table2[GameIsOver],1,Table2[AwayTeam],$A37, Table2[HomeTeam], B$36, Table2[ActualResult], "SO") + SUMIFS(Table2[AwayWon], Table2[GameIsOver],1,Table2[HomeTeam],$A37, Table2[AwayTeam], B$36, Table2[ActualResult], "SO")) / (2*(SUMIFS(Table2[AwayWon], Table2[GameIsOver],1,Table2[AwayTeam],$A37, Table2[HomeTeam], B$36) + SUMIFS(Table2[HomeWon_], Table2[GameIsOver],1,Table2[HomeTeam],$A37, Table2[AwayTeam], B$36) + SUMIFS(Table2[HomeWon_], Table2[GameIsOver],1,Table2[AwayTeam],$A37, Table2[HomeTeam], B$36, Table2[ActualResult], "REG") + SUMIFS(Table2[AwayWon], Table2[GameIsOver],1,Table2[HomeTeam],$A37, Table2[AwayTeam], B$36, Table2[ActualResult], "REG") + SUMIFS(Table2[HomeWon_], Table2[GameIsOver],1,Table2[AwayTeam],$A37, Table2[HomeTeam], B$36, Table2[ActualResult], "OT") + SUMIFS(Table2[AwayWon], Table2[GameIsOver],1,Table2[HomeTeam],$A37, Table2[AwayTeam], B$36, Table2[ActualResult], "OT") + SUMIFS(Table2[HomeWon_], Table2[GameIsOver],1,Table2[AwayTeam],$A37, Table2[HomeTeam], B$36, Table2[ActualResult], "SO") + SUMIFS(Table2[AwayWon], Table2[GameIsOver],1,Table2[HomeTeam],$A37, Table2[AwayTeam], B$36, Table2[ActualResult], "SO"))), "")</f>
        <v/>
      </c>
      <c r="C37" s="24" t="str">
        <f>IFERROR(((2*SUMIFS(Table2[AwayWon], Table2[GameIsOver],1,Table2[AwayTeam],$A37, Table2[HomeTeam], C$36) + SUMIFS(Table2[HomeWon_], Table2[GameIsOver],1,Table2[HomeTeam],$A37, Table2[AwayTeam], C$36)) + SUMIFS(Table2[AwayWon], Table2[GameIsOver],1,Table2[HomeTeam],$A37, Table2[AwayTeam], C$36, Table2[ActualResult], "REG") + SUMIFS(Table2[HomeWon_], Table2[GameIsOver],1,Table2[AwayTeam],$A37, Table2[HomeTeam], C$36, Table2[ActualResult], "OT") + SUMIFS(Table2[AwayWon], Table2[GameIsOver],1,Table2[HomeTeam],$A37, Table2[AwayTeam], C$36, Table2[ActualResult], "OT") + SUMIFS(Table2[HomeWon_], Table2[GameIsOver],1,Table2[AwayTeam],$A37, Table2[HomeTeam], C$36, Table2[ActualResult], "SO") + SUMIFS(Table2[AwayWon], Table2[GameIsOver],1,Table2[HomeTeam],$A37, Table2[AwayTeam], C$36, Table2[ActualResult], "SO")) / (2*(SUMIFS(Table2[AwayWon], Table2[GameIsOver],1,Table2[AwayTeam],$A37, Table2[HomeTeam], C$36) + SUMIFS(Table2[HomeWon_], Table2[GameIsOver],1,Table2[HomeTeam],$A37, Table2[AwayTeam], C$36) + SUMIFS(Table2[HomeWon_], Table2[GameIsOver],1,Table2[AwayTeam],$A37, Table2[HomeTeam], C$36, Table2[ActualResult], "REG") + SUMIFS(Table2[AwayWon], Table2[GameIsOver],1,Table2[HomeTeam],$A37, Table2[AwayTeam], C$36, Table2[ActualResult], "REG") + SUMIFS(Table2[HomeWon_], Table2[GameIsOver],1,Table2[AwayTeam],$A37, Table2[HomeTeam], C$36, Table2[ActualResult], "OT") + SUMIFS(Table2[AwayWon], Table2[GameIsOver],1,Table2[HomeTeam],$A37, Table2[AwayTeam], C$36, Table2[ActualResult], "OT") + SUMIFS(Table2[HomeWon_], Table2[GameIsOver],1,Table2[AwayTeam],$A37, Table2[HomeTeam], C$36, Table2[ActualResult], "SO") + SUMIFS(Table2[AwayWon], Table2[GameIsOver],1,Table2[HomeTeam],$A37, Table2[AwayTeam], C$36, Table2[ActualResult], "SO"))), "")</f>
        <v/>
      </c>
      <c r="D37" t="str">
        <f>IFERROR(((2*SUMIFS(Table2[AwayWon], Table2[GameIsOver],1,Table2[AwayTeam],$A37, Table2[HomeTeam], D$36) + SUMIFS(Table2[HomeWon_], Table2[GameIsOver],1,Table2[HomeTeam],$A37, Table2[AwayTeam], D$36)) + SUMIFS(Table2[AwayWon], Table2[GameIsOver],1,Table2[HomeTeam],$A37, Table2[AwayTeam], D$36, Table2[ActualResult], "REG") + SUMIFS(Table2[HomeWon_], Table2[GameIsOver],1,Table2[AwayTeam],$A37, Table2[HomeTeam], D$36, Table2[ActualResult], "OT") + SUMIFS(Table2[AwayWon], Table2[GameIsOver],1,Table2[HomeTeam],$A37, Table2[AwayTeam], D$36, Table2[ActualResult], "OT") + SUMIFS(Table2[HomeWon_], Table2[GameIsOver],1,Table2[AwayTeam],$A37, Table2[HomeTeam], D$36, Table2[ActualResult], "SO") + SUMIFS(Table2[AwayWon], Table2[GameIsOver],1,Table2[HomeTeam],$A37, Table2[AwayTeam], D$36, Table2[ActualResult], "SO")) / (2*(SUMIFS(Table2[AwayWon], Table2[GameIsOver],1,Table2[AwayTeam],$A37, Table2[HomeTeam], D$36) + SUMIFS(Table2[HomeWon_], Table2[GameIsOver],1,Table2[HomeTeam],$A37, Table2[AwayTeam], D$36) + SUMIFS(Table2[HomeWon_], Table2[GameIsOver],1,Table2[AwayTeam],$A37, Table2[HomeTeam], D$36, Table2[ActualResult], "REG") + SUMIFS(Table2[AwayWon], Table2[GameIsOver],1,Table2[HomeTeam],$A37, Table2[AwayTeam], D$36, Table2[ActualResult], "REG") + SUMIFS(Table2[HomeWon_], Table2[GameIsOver],1,Table2[AwayTeam],$A37, Table2[HomeTeam], D$36, Table2[ActualResult], "OT") + SUMIFS(Table2[AwayWon], Table2[GameIsOver],1,Table2[HomeTeam],$A37, Table2[AwayTeam], D$36, Table2[ActualResult], "OT") + SUMIFS(Table2[HomeWon_], Table2[GameIsOver],1,Table2[AwayTeam],$A37, Table2[HomeTeam], D$36, Table2[ActualResult], "SO") + SUMIFS(Table2[AwayWon], Table2[GameIsOver],1,Table2[HomeTeam],$A37, Table2[AwayTeam], D$36, Table2[ActualResult], "SO"))), "")</f>
        <v/>
      </c>
      <c r="E37" t="str">
        <f>IFERROR(((2*SUMIFS(Table2[AwayWon], Table2[GameIsOver],1,Table2[AwayTeam],$A37, Table2[HomeTeam], E$36) + SUMIFS(Table2[HomeWon_], Table2[GameIsOver],1,Table2[HomeTeam],$A37, Table2[AwayTeam], E$36)) + SUMIFS(Table2[AwayWon], Table2[GameIsOver],1,Table2[HomeTeam],$A37, Table2[AwayTeam], E$36, Table2[ActualResult], "REG") + SUMIFS(Table2[HomeWon_], Table2[GameIsOver],1,Table2[AwayTeam],$A37, Table2[HomeTeam], E$36, Table2[ActualResult], "OT") + SUMIFS(Table2[AwayWon], Table2[GameIsOver],1,Table2[HomeTeam],$A37, Table2[AwayTeam], E$36, Table2[ActualResult], "OT") + SUMIFS(Table2[HomeWon_], Table2[GameIsOver],1,Table2[AwayTeam],$A37, Table2[HomeTeam], E$36, Table2[ActualResult], "SO") + SUMIFS(Table2[AwayWon], Table2[GameIsOver],1,Table2[HomeTeam],$A37, Table2[AwayTeam], E$36, Table2[ActualResult], "SO")) / (2*(SUMIFS(Table2[AwayWon], Table2[GameIsOver],1,Table2[AwayTeam],$A37, Table2[HomeTeam], E$36) + SUMIFS(Table2[HomeWon_], Table2[GameIsOver],1,Table2[HomeTeam],$A37, Table2[AwayTeam], E$36) + SUMIFS(Table2[HomeWon_], Table2[GameIsOver],1,Table2[AwayTeam],$A37, Table2[HomeTeam], E$36, Table2[ActualResult], "REG") + SUMIFS(Table2[AwayWon], Table2[GameIsOver],1,Table2[HomeTeam],$A37, Table2[AwayTeam], E$36, Table2[ActualResult], "REG") + SUMIFS(Table2[HomeWon_], Table2[GameIsOver],1,Table2[AwayTeam],$A37, Table2[HomeTeam], E$36, Table2[ActualResult], "OT") + SUMIFS(Table2[AwayWon], Table2[GameIsOver],1,Table2[HomeTeam],$A37, Table2[AwayTeam], E$36, Table2[ActualResult], "OT") + SUMIFS(Table2[HomeWon_], Table2[GameIsOver],1,Table2[AwayTeam],$A37, Table2[HomeTeam], E$36, Table2[ActualResult], "SO") + SUMIFS(Table2[AwayWon], Table2[GameIsOver],1,Table2[HomeTeam],$A37, Table2[AwayTeam], E$36, Table2[ActualResult], "SO"))), "")</f>
        <v/>
      </c>
      <c r="F37">
        <f>IFERROR(((2*SUMIFS(Table2[AwayWon], Table2[GameIsOver],1,Table2[AwayTeam],$A37, Table2[HomeTeam], F$36) + SUMIFS(Table2[HomeWon_], Table2[GameIsOver],1,Table2[HomeTeam],$A37, Table2[AwayTeam], F$36)) + SUMIFS(Table2[AwayWon], Table2[GameIsOver],1,Table2[HomeTeam],$A37, Table2[AwayTeam], F$36, Table2[ActualResult], "REG") + SUMIFS(Table2[HomeWon_], Table2[GameIsOver],1,Table2[AwayTeam],$A37, Table2[HomeTeam], F$36, Table2[ActualResult], "OT") + SUMIFS(Table2[AwayWon], Table2[GameIsOver],1,Table2[HomeTeam],$A37, Table2[AwayTeam], F$36, Table2[ActualResult], "OT") + SUMIFS(Table2[HomeWon_], Table2[GameIsOver],1,Table2[AwayTeam],$A37, Table2[HomeTeam], F$36, Table2[ActualResult], "SO") + SUMIFS(Table2[AwayWon], Table2[GameIsOver],1,Table2[HomeTeam],$A37, Table2[AwayTeam], F$36, Table2[ActualResult], "SO")) / (2*(SUMIFS(Table2[AwayWon], Table2[GameIsOver],1,Table2[AwayTeam],$A37, Table2[HomeTeam], F$36) + SUMIFS(Table2[HomeWon_], Table2[GameIsOver],1,Table2[HomeTeam],$A37, Table2[AwayTeam], F$36) + SUMIFS(Table2[HomeWon_], Table2[GameIsOver],1,Table2[AwayTeam],$A37, Table2[HomeTeam], F$36, Table2[ActualResult], "REG") + SUMIFS(Table2[AwayWon], Table2[GameIsOver],1,Table2[HomeTeam],$A37, Table2[AwayTeam], F$36, Table2[ActualResult], "REG") + SUMIFS(Table2[HomeWon_], Table2[GameIsOver],1,Table2[AwayTeam],$A37, Table2[HomeTeam], F$36, Table2[ActualResult], "OT") + SUMIFS(Table2[AwayWon], Table2[GameIsOver],1,Table2[HomeTeam],$A37, Table2[AwayTeam], F$36, Table2[ActualResult], "OT") + SUMIFS(Table2[HomeWon_], Table2[GameIsOver],1,Table2[AwayTeam],$A37, Table2[HomeTeam], F$36, Table2[ActualResult], "SO") + SUMIFS(Table2[AwayWon], Table2[GameIsOver],1,Table2[HomeTeam],$A37, Table2[AwayTeam], F$36, Table2[ActualResult], "SO"))), "")</f>
        <v>0</v>
      </c>
      <c r="G37">
        <f>IFERROR(((2*SUMIFS(Table2[AwayWon], Table2[GameIsOver],1,Table2[AwayTeam],$A37, Table2[HomeTeam], G$36) + SUMIFS(Table2[HomeWon_], Table2[GameIsOver],1,Table2[HomeTeam],$A37, Table2[AwayTeam], G$36)) + SUMIFS(Table2[AwayWon], Table2[GameIsOver],1,Table2[HomeTeam],$A37, Table2[AwayTeam], G$36, Table2[ActualResult], "REG") + SUMIFS(Table2[HomeWon_], Table2[GameIsOver],1,Table2[AwayTeam],$A37, Table2[HomeTeam], G$36, Table2[ActualResult], "OT") + SUMIFS(Table2[AwayWon], Table2[GameIsOver],1,Table2[HomeTeam],$A37, Table2[AwayTeam], G$36, Table2[ActualResult], "OT") + SUMIFS(Table2[HomeWon_], Table2[GameIsOver],1,Table2[AwayTeam],$A37, Table2[HomeTeam], G$36, Table2[ActualResult], "SO") + SUMIFS(Table2[AwayWon], Table2[GameIsOver],1,Table2[HomeTeam],$A37, Table2[AwayTeam], G$36, Table2[ActualResult], "SO")) / (2*(SUMIFS(Table2[AwayWon], Table2[GameIsOver],1,Table2[AwayTeam],$A37, Table2[HomeTeam], G$36) + SUMIFS(Table2[HomeWon_], Table2[GameIsOver],1,Table2[HomeTeam],$A37, Table2[AwayTeam], G$36) + SUMIFS(Table2[HomeWon_], Table2[GameIsOver],1,Table2[AwayTeam],$A37, Table2[HomeTeam], G$36, Table2[ActualResult], "REG") + SUMIFS(Table2[AwayWon], Table2[GameIsOver],1,Table2[HomeTeam],$A37, Table2[AwayTeam], G$36, Table2[ActualResult], "REG") + SUMIFS(Table2[HomeWon_], Table2[GameIsOver],1,Table2[AwayTeam],$A37, Table2[HomeTeam], G$36, Table2[ActualResult], "OT") + SUMIFS(Table2[AwayWon], Table2[GameIsOver],1,Table2[HomeTeam],$A37, Table2[AwayTeam], G$36, Table2[ActualResult], "OT") + SUMIFS(Table2[HomeWon_], Table2[GameIsOver],1,Table2[AwayTeam],$A37, Table2[HomeTeam], G$36, Table2[ActualResult], "SO") + SUMIFS(Table2[AwayWon], Table2[GameIsOver],1,Table2[HomeTeam],$A37, Table2[AwayTeam], G$36, Table2[ActualResult], "SO"))), "")</f>
        <v>1</v>
      </c>
      <c r="H37" t="str">
        <f>IFERROR(((2*SUMIFS(Table2[AwayWon], Table2[GameIsOver],1,Table2[AwayTeam],$A37, Table2[HomeTeam], H$36) + SUMIFS(Table2[HomeWon_], Table2[GameIsOver],1,Table2[HomeTeam],$A37, Table2[AwayTeam], H$36)) + SUMIFS(Table2[AwayWon], Table2[GameIsOver],1,Table2[HomeTeam],$A37, Table2[AwayTeam], H$36, Table2[ActualResult], "REG") + SUMIFS(Table2[HomeWon_], Table2[GameIsOver],1,Table2[AwayTeam],$A37, Table2[HomeTeam], H$36, Table2[ActualResult], "OT") + SUMIFS(Table2[AwayWon], Table2[GameIsOver],1,Table2[HomeTeam],$A37, Table2[AwayTeam], H$36, Table2[ActualResult], "OT") + SUMIFS(Table2[HomeWon_], Table2[GameIsOver],1,Table2[AwayTeam],$A37, Table2[HomeTeam], H$36, Table2[ActualResult], "SO") + SUMIFS(Table2[AwayWon], Table2[GameIsOver],1,Table2[HomeTeam],$A37, Table2[AwayTeam], H$36, Table2[ActualResult], "SO")) / (2*(SUMIFS(Table2[AwayWon], Table2[GameIsOver],1,Table2[AwayTeam],$A37, Table2[HomeTeam], H$36) + SUMIFS(Table2[HomeWon_], Table2[GameIsOver],1,Table2[HomeTeam],$A37, Table2[AwayTeam], H$36) + SUMIFS(Table2[HomeWon_], Table2[GameIsOver],1,Table2[AwayTeam],$A37, Table2[HomeTeam], H$36, Table2[ActualResult], "REG") + SUMIFS(Table2[AwayWon], Table2[GameIsOver],1,Table2[HomeTeam],$A37, Table2[AwayTeam], H$36, Table2[ActualResult], "REG") + SUMIFS(Table2[HomeWon_], Table2[GameIsOver],1,Table2[AwayTeam],$A37, Table2[HomeTeam], H$36, Table2[ActualResult], "OT") + SUMIFS(Table2[AwayWon], Table2[GameIsOver],1,Table2[HomeTeam],$A37, Table2[AwayTeam], H$36, Table2[ActualResult], "OT") + SUMIFS(Table2[HomeWon_], Table2[GameIsOver],1,Table2[AwayTeam],$A37, Table2[HomeTeam], H$36, Table2[ActualResult], "SO") + SUMIFS(Table2[AwayWon], Table2[GameIsOver],1,Table2[HomeTeam],$A37, Table2[AwayTeam], H$36, Table2[ActualResult], "SO"))), "")</f>
        <v/>
      </c>
      <c r="I37" s="57" t="str">
        <f>IFERROR(((2*SUMIFS(Table2[AwayWon], Table2[GameIsOver],1,Table2[AwayTeam],$A37, Table2[HomeTeam], I$36) + SUMIFS(Table2[HomeWon_], Table2[GameIsOver],1,Table2[HomeTeam],$A37, Table2[AwayTeam], I$36)) + SUMIFS(Table2[AwayWon], Table2[GameIsOver],1,Table2[HomeTeam],$A37, Table2[AwayTeam], I$36, Table2[ActualResult], "REG") + SUMIFS(Table2[HomeWon_], Table2[GameIsOver],1,Table2[AwayTeam],$A37, Table2[HomeTeam], I$36, Table2[ActualResult], "OT") + SUMIFS(Table2[AwayWon], Table2[GameIsOver],1,Table2[HomeTeam],$A37, Table2[AwayTeam], I$36, Table2[ActualResult], "OT") + SUMIFS(Table2[HomeWon_], Table2[GameIsOver],1,Table2[AwayTeam],$A37, Table2[HomeTeam], I$36, Table2[ActualResult], "SO") + SUMIFS(Table2[AwayWon], Table2[GameIsOver],1,Table2[HomeTeam],$A37, Table2[AwayTeam], I$36, Table2[ActualResult], "SO")) / (2*(SUMIFS(Table2[AwayWon], Table2[GameIsOver],1,Table2[AwayTeam],$A37, Table2[HomeTeam], I$36) + SUMIFS(Table2[HomeWon_], Table2[GameIsOver],1,Table2[HomeTeam],$A37, Table2[AwayTeam], I$36) + SUMIFS(Table2[HomeWon_], Table2[GameIsOver],1,Table2[AwayTeam],$A37, Table2[HomeTeam], I$36, Table2[ActualResult], "REG") + SUMIFS(Table2[AwayWon], Table2[GameIsOver],1,Table2[HomeTeam],$A37, Table2[AwayTeam], I$36, Table2[ActualResult], "REG") + SUMIFS(Table2[HomeWon_], Table2[GameIsOver],1,Table2[AwayTeam],$A37, Table2[HomeTeam], I$36, Table2[ActualResult], "OT") + SUMIFS(Table2[AwayWon], Table2[GameIsOver],1,Table2[HomeTeam],$A37, Table2[AwayTeam], I$36, Table2[ActualResult], "OT") + SUMIFS(Table2[HomeWon_], Table2[GameIsOver],1,Table2[AwayTeam],$A37, Table2[HomeTeam], I$36, Table2[ActualResult], "SO") + SUMIFS(Table2[AwayWon], Table2[GameIsOver],1,Table2[HomeTeam],$A37, Table2[AwayTeam], I$36, Table2[ActualResult], "SO"))), "")</f>
        <v/>
      </c>
      <c r="J37">
        <f>IFERROR(((2*SUMIFS(Table2[AwayWon], Table2[GameIsOver],1,Table2[AwayTeam],$A37, Table2[HomeTeam], J$36) + SUMIFS(Table2[HomeWon_], Table2[GameIsOver],1,Table2[HomeTeam],$A37, Table2[AwayTeam], J$36)) + SUMIFS(Table2[AwayWon], Table2[GameIsOver],1,Table2[HomeTeam],$A37, Table2[AwayTeam], J$36, Table2[ActualResult], "REG") + SUMIFS(Table2[HomeWon_], Table2[GameIsOver],1,Table2[AwayTeam],$A37, Table2[HomeTeam], J$36, Table2[ActualResult], "OT") + SUMIFS(Table2[AwayWon], Table2[GameIsOver],1,Table2[HomeTeam],$A37, Table2[AwayTeam], J$36, Table2[ActualResult], "OT") + SUMIFS(Table2[HomeWon_], Table2[GameIsOver],1,Table2[AwayTeam],$A37, Table2[HomeTeam], J$36, Table2[ActualResult], "SO") + SUMIFS(Table2[AwayWon], Table2[GameIsOver],1,Table2[HomeTeam],$A37, Table2[AwayTeam], J$36, Table2[ActualResult], "SO")) / (2*(SUMIFS(Table2[AwayWon], Table2[GameIsOver],1,Table2[AwayTeam],$A37, Table2[HomeTeam], J$36) + SUMIFS(Table2[HomeWon_], Table2[GameIsOver],1,Table2[HomeTeam],$A37, Table2[AwayTeam], J$36) + SUMIFS(Table2[HomeWon_], Table2[GameIsOver],1,Table2[AwayTeam],$A37, Table2[HomeTeam], J$36, Table2[ActualResult], "REG") + SUMIFS(Table2[AwayWon], Table2[GameIsOver],1,Table2[HomeTeam],$A37, Table2[AwayTeam], J$36, Table2[ActualResult], "REG") + SUMIFS(Table2[HomeWon_], Table2[GameIsOver],1,Table2[AwayTeam],$A37, Table2[HomeTeam], J$36, Table2[ActualResult], "OT") + SUMIFS(Table2[AwayWon], Table2[GameIsOver],1,Table2[HomeTeam],$A37, Table2[AwayTeam], J$36, Table2[ActualResult], "OT") + SUMIFS(Table2[HomeWon_], Table2[GameIsOver],1,Table2[AwayTeam],$A37, Table2[HomeTeam], J$36, Table2[ActualResult], "SO") + SUMIFS(Table2[AwayWon], Table2[GameIsOver],1,Table2[HomeTeam],$A37, Table2[AwayTeam], J$36, Table2[ActualResult], "SO"))), "")</f>
        <v>0.5</v>
      </c>
      <c r="K37" t="str">
        <f>IFERROR(((2*SUMIFS(Table2[AwayWon], Table2[GameIsOver],1,Table2[AwayTeam],$A37, Table2[HomeTeam], K$36) + SUMIFS(Table2[HomeWon_], Table2[GameIsOver],1,Table2[HomeTeam],$A37, Table2[AwayTeam], K$36)) + SUMIFS(Table2[AwayWon], Table2[GameIsOver],1,Table2[HomeTeam],$A37, Table2[AwayTeam], K$36, Table2[ActualResult], "REG") + SUMIFS(Table2[HomeWon_], Table2[GameIsOver],1,Table2[AwayTeam],$A37, Table2[HomeTeam], K$36, Table2[ActualResult], "OT") + SUMIFS(Table2[AwayWon], Table2[GameIsOver],1,Table2[HomeTeam],$A37, Table2[AwayTeam], K$36, Table2[ActualResult], "OT") + SUMIFS(Table2[HomeWon_], Table2[GameIsOver],1,Table2[AwayTeam],$A37, Table2[HomeTeam], K$36, Table2[ActualResult], "SO") + SUMIFS(Table2[AwayWon], Table2[GameIsOver],1,Table2[HomeTeam],$A37, Table2[AwayTeam], K$36, Table2[ActualResult], "SO")) / (2*(SUMIFS(Table2[AwayWon], Table2[GameIsOver],1,Table2[AwayTeam],$A37, Table2[HomeTeam], K$36) + SUMIFS(Table2[HomeWon_], Table2[GameIsOver],1,Table2[HomeTeam],$A37, Table2[AwayTeam], K$36) + SUMIFS(Table2[HomeWon_], Table2[GameIsOver],1,Table2[AwayTeam],$A37, Table2[HomeTeam], K$36, Table2[ActualResult], "REG") + SUMIFS(Table2[AwayWon], Table2[GameIsOver],1,Table2[HomeTeam],$A37, Table2[AwayTeam], K$36, Table2[ActualResult], "REG") + SUMIFS(Table2[HomeWon_], Table2[GameIsOver],1,Table2[AwayTeam],$A37, Table2[HomeTeam], K$36, Table2[ActualResult], "OT") + SUMIFS(Table2[AwayWon], Table2[GameIsOver],1,Table2[HomeTeam],$A37, Table2[AwayTeam], K$36, Table2[ActualResult], "OT") + SUMIFS(Table2[HomeWon_], Table2[GameIsOver],1,Table2[AwayTeam],$A37, Table2[HomeTeam], K$36, Table2[ActualResult], "SO") + SUMIFS(Table2[AwayWon], Table2[GameIsOver],1,Table2[HomeTeam],$A37, Table2[AwayTeam], K$36, Table2[ActualResult], "SO"))), "")</f>
        <v/>
      </c>
      <c r="L37" t="str">
        <f>IFERROR(((2*SUMIFS(Table2[AwayWon], Table2[GameIsOver],1,Table2[AwayTeam],$A37, Table2[HomeTeam], L$36) + SUMIFS(Table2[HomeWon_], Table2[GameIsOver],1,Table2[HomeTeam],$A37, Table2[AwayTeam], L$36)) + SUMIFS(Table2[AwayWon], Table2[GameIsOver],1,Table2[HomeTeam],$A37, Table2[AwayTeam], L$36, Table2[ActualResult], "REG") + SUMIFS(Table2[HomeWon_], Table2[GameIsOver],1,Table2[AwayTeam],$A37, Table2[HomeTeam], L$36, Table2[ActualResult], "OT") + SUMIFS(Table2[AwayWon], Table2[GameIsOver],1,Table2[HomeTeam],$A37, Table2[AwayTeam], L$36, Table2[ActualResult], "OT") + SUMIFS(Table2[HomeWon_], Table2[GameIsOver],1,Table2[AwayTeam],$A37, Table2[HomeTeam], L$36, Table2[ActualResult], "SO") + SUMIFS(Table2[AwayWon], Table2[GameIsOver],1,Table2[HomeTeam],$A37, Table2[AwayTeam], L$36, Table2[ActualResult], "SO")) / (2*(SUMIFS(Table2[AwayWon], Table2[GameIsOver],1,Table2[AwayTeam],$A37, Table2[HomeTeam], L$36) + SUMIFS(Table2[HomeWon_], Table2[GameIsOver],1,Table2[HomeTeam],$A37, Table2[AwayTeam], L$36) + SUMIFS(Table2[HomeWon_], Table2[GameIsOver],1,Table2[AwayTeam],$A37, Table2[HomeTeam], L$36, Table2[ActualResult], "REG") + SUMIFS(Table2[AwayWon], Table2[GameIsOver],1,Table2[HomeTeam],$A37, Table2[AwayTeam], L$36, Table2[ActualResult], "REG") + SUMIFS(Table2[HomeWon_], Table2[GameIsOver],1,Table2[AwayTeam],$A37, Table2[HomeTeam], L$36, Table2[ActualResult], "OT") + SUMIFS(Table2[AwayWon], Table2[GameIsOver],1,Table2[HomeTeam],$A37, Table2[AwayTeam], L$36, Table2[ActualResult], "OT") + SUMIFS(Table2[HomeWon_], Table2[GameIsOver],1,Table2[AwayTeam],$A37, Table2[HomeTeam], L$36, Table2[ActualResult], "SO") + SUMIFS(Table2[AwayWon], Table2[GameIsOver],1,Table2[HomeTeam],$A37, Table2[AwayTeam], L$36, Table2[ActualResult], "SO"))), "")</f>
        <v/>
      </c>
      <c r="M37" t="str">
        <f>IFERROR(((2*SUMIFS(Table2[AwayWon], Table2[GameIsOver],1,Table2[AwayTeam],$A37, Table2[HomeTeam], M$36) + SUMIFS(Table2[HomeWon_], Table2[GameIsOver],1,Table2[HomeTeam],$A37, Table2[AwayTeam], M$36)) + SUMIFS(Table2[AwayWon], Table2[GameIsOver],1,Table2[HomeTeam],$A37, Table2[AwayTeam], M$36, Table2[ActualResult], "REG") + SUMIFS(Table2[HomeWon_], Table2[GameIsOver],1,Table2[AwayTeam],$A37, Table2[HomeTeam], M$36, Table2[ActualResult], "OT") + SUMIFS(Table2[AwayWon], Table2[GameIsOver],1,Table2[HomeTeam],$A37, Table2[AwayTeam], M$36, Table2[ActualResult], "OT") + SUMIFS(Table2[HomeWon_], Table2[GameIsOver],1,Table2[AwayTeam],$A37, Table2[HomeTeam], M$36, Table2[ActualResult], "SO") + SUMIFS(Table2[AwayWon], Table2[GameIsOver],1,Table2[HomeTeam],$A37, Table2[AwayTeam], M$36, Table2[ActualResult], "SO")) / (2*(SUMIFS(Table2[AwayWon], Table2[GameIsOver],1,Table2[AwayTeam],$A37, Table2[HomeTeam], M$36) + SUMIFS(Table2[HomeWon_], Table2[GameIsOver],1,Table2[HomeTeam],$A37, Table2[AwayTeam], M$36) + SUMIFS(Table2[HomeWon_], Table2[GameIsOver],1,Table2[AwayTeam],$A37, Table2[HomeTeam], M$36, Table2[ActualResult], "REG") + SUMIFS(Table2[AwayWon], Table2[GameIsOver],1,Table2[HomeTeam],$A37, Table2[AwayTeam], M$36, Table2[ActualResult], "REG") + SUMIFS(Table2[HomeWon_], Table2[GameIsOver],1,Table2[AwayTeam],$A37, Table2[HomeTeam], M$36, Table2[ActualResult], "OT") + SUMIFS(Table2[AwayWon], Table2[GameIsOver],1,Table2[HomeTeam],$A37, Table2[AwayTeam], M$36, Table2[ActualResult], "OT") + SUMIFS(Table2[HomeWon_], Table2[GameIsOver],1,Table2[AwayTeam],$A37, Table2[HomeTeam], M$36, Table2[ActualResult], "SO") + SUMIFS(Table2[AwayWon], Table2[GameIsOver],1,Table2[HomeTeam],$A37, Table2[AwayTeam], M$36, Table2[ActualResult], "SO"))), "")</f>
        <v/>
      </c>
      <c r="N37">
        <f>IFERROR(((2*SUMIFS(Table2[AwayWon], Table2[GameIsOver],1,Table2[AwayTeam],$A37, Table2[HomeTeam], N$36) + SUMIFS(Table2[HomeWon_], Table2[GameIsOver],1,Table2[HomeTeam],$A37, Table2[AwayTeam], N$36)) + SUMIFS(Table2[AwayWon], Table2[GameIsOver],1,Table2[HomeTeam],$A37, Table2[AwayTeam], N$36, Table2[ActualResult], "REG") + SUMIFS(Table2[HomeWon_], Table2[GameIsOver],1,Table2[AwayTeam],$A37, Table2[HomeTeam], N$36, Table2[ActualResult], "OT") + SUMIFS(Table2[AwayWon], Table2[GameIsOver],1,Table2[HomeTeam],$A37, Table2[AwayTeam], N$36, Table2[ActualResult], "OT") + SUMIFS(Table2[HomeWon_], Table2[GameIsOver],1,Table2[AwayTeam],$A37, Table2[HomeTeam], N$36, Table2[ActualResult], "SO") + SUMIFS(Table2[AwayWon], Table2[GameIsOver],1,Table2[HomeTeam],$A37, Table2[AwayTeam], N$36, Table2[ActualResult], "SO")) / (2*(SUMIFS(Table2[AwayWon], Table2[GameIsOver],1,Table2[AwayTeam],$A37, Table2[HomeTeam], N$36) + SUMIFS(Table2[HomeWon_], Table2[GameIsOver],1,Table2[HomeTeam],$A37, Table2[AwayTeam], N$36) + SUMIFS(Table2[HomeWon_], Table2[GameIsOver],1,Table2[AwayTeam],$A37, Table2[HomeTeam], N$36, Table2[ActualResult], "REG") + SUMIFS(Table2[AwayWon], Table2[GameIsOver],1,Table2[HomeTeam],$A37, Table2[AwayTeam], N$36, Table2[ActualResult], "REG") + SUMIFS(Table2[HomeWon_], Table2[GameIsOver],1,Table2[AwayTeam],$A37, Table2[HomeTeam], N$36, Table2[ActualResult], "OT") + SUMIFS(Table2[AwayWon], Table2[GameIsOver],1,Table2[HomeTeam],$A37, Table2[AwayTeam], N$36, Table2[ActualResult], "OT") + SUMIFS(Table2[HomeWon_], Table2[GameIsOver],1,Table2[AwayTeam],$A37, Table2[HomeTeam], N$36, Table2[ActualResult], "SO") + SUMIFS(Table2[AwayWon], Table2[GameIsOver],1,Table2[HomeTeam],$A37, Table2[AwayTeam], N$36, Table2[ActualResult], "SO"))), "")</f>
        <v>1</v>
      </c>
      <c r="O37" t="str">
        <f>IFERROR(((2*SUMIFS(Table2[AwayWon], Table2[GameIsOver],1,Table2[AwayTeam],$A37, Table2[HomeTeam], O$36) + SUMIFS(Table2[HomeWon_], Table2[GameIsOver],1,Table2[HomeTeam],$A37, Table2[AwayTeam], O$36)) + SUMIFS(Table2[AwayWon], Table2[GameIsOver],1,Table2[HomeTeam],$A37, Table2[AwayTeam], O$36, Table2[ActualResult], "REG") + SUMIFS(Table2[HomeWon_], Table2[GameIsOver],1,Table2[AwayTeam],$A37, Table2[HomeTeam], O$36, Table2[ActualResult], "OT") + SUMIFS(Table2[AwayWon], Table2[GameIsOver],1,Table2[HomeTeam],$A37, Table2[AwayTeam], O$36, Table2[ActualResult], "OT") + SUMIFS(Table2[HomeWon_], Table2[GameIsOver],1,Table2[AwayTeam],$A37, Table2[HomeTeam], O$36, Table2[ActualResult], "SO") + SUMIFS(Table2[AwayWon], Table2[GameIsOver],1,Table2[HomeTeam],$A37, Table2[AwayTeam], O$36, Table2[ActualResult], "SO")) / (2*(SUMIFS(Table2[AwayWon], Table2[GameIsOver],1,Table2[AwayTeam],$A37, Table2[HomeTeam], O$36) + SUMIFS(Table2[HomeWon_], Table2[GameIsOver],1,Table2[HomeTeam],$A37, Table2[AwayTeam], O$36) + SUMIFS(Table2[HomeWon_], Table2[GameIsOver],1,Table2[AwayTeam],$A37, Table2[HomeTeam], O$36, Table2[ActualResult], "REG") + SUMIFS(Table2[AwayWon], Table2[GameIsOver],1,Table2[HomeTeam],$A37, Table2[AwayTeam], O$36, Table2[ActualResult], "REG") + SUMIFS(Table2[HomeWon_], Table2[GameIsOver],1,Table2[AwayTeam],$A37, Table2[HomeTeam], O$36, Table2[ActualResult], "OT") + SUMIFS(Table2[AwayWon], Table2[GameIsOver],1,Table2[HomeTeam],$A37, Table2[AwayTeam], O$36, Table2[ActualResult], "OT") + SUMIFS(Table2[HomeWon_], Table2[GameIsOver],1,Table2[AwayTeam],$A37, Table2[HomeTeam], O$36, Table2[ActualResult], "SO") + SUMIFS(Table2[AwayWon], Table2[GameIsOver],1,Table2[HomeTeam],$A37, Table2[AwayTeam], O$36, Table2[ActualResult], "SO"))), "")</f>
        <v/>
      </c>
      <c r="P37" t="str">
        <f>IFERROR(((2*SUMIFS(Table2[AwayWon], Table2[GameIsOver],1,Table2[AwayTeam],$A37, Table2[HomeTeam], P$36) + SUMIFS(Table2[HomeWon_], Table2[GameIsOver],1,Table2[HomeTeam],$A37, Table2[AwayTeam], P$36)) + SUMIFS(Table2[AwayWon], Table2[GameIsOver],1,Table2[HomeTeam],$A37, Table2[AwayTeam], P$36, Table2[ActualResult], "REG") + SUMIFS(Table2[HomeWon_], Table2[GameIsOver],1,Table2[AwayTeam],$A37, Table2[HomeTeam], P$36, Table2[ActualResult], "OT") + SUMIFS(Table2[AwayWon], Table2[GameIsOver],1,Table2[HomeTeam],$A37, Table2[AwayTeam], P$36, Table2[ActualResult], "OT") + SUMIFS(Table2[HomeWon_], Table2[GameIsOver],1,Table2[AwayTeam],$A37, Table2[HomeTeam], P$36, Table2[ActualResult], "SO") + SUMIFS(Table2[AwayWon], Table2[GameIsOver],1,Table2[HomeTeam],$A37, Table2[AwayTeam], P$36, Table2[ActualResult], "SO")) / (2*(SUMIFS(Table2[AwayWon], Table2[GameIsOver],1,Table2[AwayTeam],$A37, Table2[HomeTeam], P$36) + SUMIFS(Table2[HomeWon_], Table2[GameIsOver],1,Table2[HomeTeam],$A37, Table2[AwayTeam], P$36) + SUMIFS(Table2[HomeWon_], Table2[GameIsOver],1,Table2[AwayTeam],$A37, Table2[HomeTeam], P$36, Table2[ActualResult], "REG") + SUMIFS(Table2[AwayWon], Table2[GameIsOver],1,Table2[HomeTeam],$A37, Table2[AwayTeam], P$36, Table2[ActualResult], "REG") + SUMIFS(Table2[HomeWon_], Table2[GameIsOver],1,Table2[AwayTeam],$A37, Table2[HomeTeam], P$36, Table2[ActualResult], "OT") + SUMIFS(Table2[AwayWon], Table2[GameIsOver],1,Table2[HomeTeam],$A37, Table2[AwayTeam], P$36, Table2[ActualResult], "OT") + SUMIFS(Table2[HomeWon_], Table2[GameIsOver],1,Table2[AwayTeam],$A37, Table2[HomeTeam], P$36, Table2[ActualResult], "SO") + SUMIFS(Table2[AwayWon], Table2[GameIsOver],1,Table2[HomeTeam],$A37, Table2[AwayTeam], P$36, Table2[ActualResult], "SO"))), "")</f>
        <v/>
      </c>
      <c r="Q37" s="57" t="str">
        <f>IFERROR(((2*SUMIFS(Table2[AwayWon], Table2[GameIsOver],1,Table2[AwayTeam],$A37, Table2[HomeTeam], Q$36) + SUMIFS(Table2[HomeWon_], Table2[GameIsOver],1,Table2[HomeTeam],$A37, Table2[AwayTeam], Q$36)) + SUMIFS(Table2[AwayWon], Table2[GameIsOver],1,Table2[HomeTeam],$A37, Table2[AwayTeam], Q$36, Table2[ActualResult], "REG") + SUMIFS(Table2[HomeWon_], Table2[GameIsOver],1,Table2[AwayTeam],$A37, Table2[HomeTeam], Q$36, Table2[ActualResult], "OT") + SUMIFS(Table2[AwayWon], Table2[GameIsOver],1,Table2[HomeTeam],$A37, Table2[AwayTeam], Q$36, Table2[ActualResult], "OT") + SUMIFS(Table2[HomeWon_], Table2[GameIsOver],1,Table2[AwayTeam],$A37, Table2[HomeTeam], Q$36, Table2[ActualResult], "SO") + SUMIFS(Table2[AwayWon], Table2[GameIsOver],1,Table2[HomeTeam],$A37, Table2[AwayTeam], Q$36, Table2[ActualResult], "SO")) / (2*(SUMIFS(Table2[AwayWon], Table2[GameIsOver],1,Table2[AwayTeam],$A37, Table2[HomeTeam], Q$36) + SUMIFS(Table2[HomeWon_], Table2[GameIsOver],1,Table2[HomeTeam],$A37, Table2[AwayTeam], Q$36) + SUMIFS(Table2[HomeWon_], Table2[GameIsOver],1,Table2[AwayTeam],$A37, Table2[HomeTeam], Q$36, Table2[ActualResult], "REG") + SUMIFS(Table2[AwayWon], Table2[GameIsOver],1,Table2[HomeTeam],$A37, Table2[AwayTeam], Q$36, Table2[ActualResult], "REG") + SUMIFS(Table2[HomeWon_], Table2[GameIsOver],1,Table2[AwayTeam],$A37, Table2[HomeTeam], Q$36, Table2[ActualResult], "OT") + SUMIFS(Table2[AwayWon], Table2[GameIsOver],1,Table2[HomeTeam],$A37, Table2[AwayTeam], Q$36, Table2[ActualResult], "OT") + SUMIFS(Table2[HomeWon_], Table2[GameIsOver],1,Table2[AwayTeam],$A37, Table2[HomeTeam], Q$36, Table2[ActualResult], "SO") + SUMIFS(Table2[AwayWon], Table2[GameIsOver],1,Table2[HomeTeam],$A37, Table2[AwayTeam], Q$36, Table2[ActualResult], "SO"))), "")</f>
        <v/>
      </c>
      <c r="R37">
        <f>IFERROR(((2*SUMIFS(Table2[AwayWon], Table2[GameIsOver],1,Table2[AwayTeam],$A37, Table2[HomeTeam], R$36) + SUMIFS(Table2[HomeWon_], Table2[GameIsOver],1,Table2[HomeTeam],$A37, Table2[AwayTeam], R$36)) + SUMIFS(Table2[AwayWon], Table2[GameIsOver],1,Table2[HomeTeam],$A37, Table2[AwayTeam], R$36, Table2[ActualResult], "REG") + SUMIFS(Table2[HomeWon_], Table2[GameIsOver],1,Table2[AwayTeam],$A37, Table2[HomeTeam], R$36, Table2[ActualResult], "OT") + SUMIFS(Table2[AwayWon], Table2[GameIsOver],1,Table2[HomeTeam],$A37, Table2[AwayTeam], R$36, Table2[ActualResult], "OT") + SUMIFS(Table2[HomeWon_], Table2[GameIsOver],1,Table2[AwayTeam],$A37, Table2[HomeTeam], R$36, Table2[ActualResult], "SO") + SUMIFS(Table2[AwayWon], Table2[GameIsOver],1,Table2[HomeTeam],$A37, Table2[AwayTeam], R$36, Table2[ActualResult], "SO")) / (2*(SUMIFS(Table2[AwayWon], Table2[GameIsOver],1,Table2[AwayTeam],$A37, Table2[HomeTeam], R$36) + SUMIFS(Table2[HomeWon_], Table2[GameIsOver],1,Table2[HomeTeam],$A37, Table2[AwayTeam], R$36) + SUMIFS(Table2[HomeWon_], Table2[GameIsOver],1,Table2[AwayTeam],$A37, Table2[HomeTeam], R$36, Table2[ActualResult], "REG") + SUMIFS(Table2[AwayWon], Table2[GameIsOver],1,Table2[HomeTeam],$A37, Table2[AwayTeam], R$36, Table2[ActualResult], "REG") + SUMIFS(Table2[HomeWon_], Table2[GameIsOver],1,Table2[AwayTeam],$A37, Table2[HomeTeam], R$36, Table2[ActualResult], "OT") + SUMIFS(Table2[AwayWon], Table2[GameIsOver],1,Table2[HomeTeam],$A37, Table2[AwayTeam], R$36, Table2[ActualResult], "OT") + SUMIFS(Table2[HomeWon_], Table2[GameIsOver],1,Table2[AwayTeam],$A37, Table2[HomeTeam], R$36, Table2[ActualResult], "SO") + SUMIFS(Table2[AwayWon], Table2[GameIsOver],1,Table2[HomeTeam],$A37, Table2[AwayTeam], R$36, Table2[ActualResult], "SO"))), "")</f>
        <v>0.5</v>
      </c>
      <c r="S37" t="str">
        <f>IFERROR(((2*SUMIFS(Table2[AwayWon], Table2[GameIsOver],1,Table2[AwayTeam],$A37, Table2[HomeTeam], S$36) + SUMIFS(Table2[HomeWon_], Table2[GameIsOver],1,Table2[HomeTeam],$A37, Table2[AwayTeam], S$36)) + SUMIFS(Table2[AwayWon], Table2[GameIsOver],1,Table2[HomeTeam],$A37, Table2[AwayTeam], S$36, Table2[ActualResult], "REG") + SUMIFS(Table2[HomeWon_], Table2[GameIsOver],1,Table2[AwayTeam],$A37, Table2[HomeTeam], S$36, Table2[ActualResult], "OT") + SUMIFS(Table2[AwayWon], Table2[GameIsOver],1,Table2[HomeTeam],$A37, Table2[AwayTeam], S$36, Table2[ActualResult], "OT") + SUMIFS(Table2[HomeWon_], Table2[GameIsOver],1,Table2[AwayTeam],$A37, Table2[HomeTeam], S$36, Table2[ActualResult], "SO") + SUMIFS(Table2[AwayWon], Table2[GameIsOver],1,Table2[HomeTeam],$A37, Table2[AwayTeam], S$36, Table2[ActualResult], "SO")) / (2*(SUMIFS(Table2[AwayWon], Table2[GameIsOver],1,Table2[AwayTeam],$A37, Table2[HomeTeam], S$36) + SUMIFS(Table2[HomeWon_], Table2[GameIsOver],1,Table2[HomeTeam],$A37, Table2[AwayTeam], S$36) + SUMIFS(Table2[HomeWon_], Table2[GameIsOver],1,Table2[AwayTeam],$A37, Table2[HomeTeam], S$36, Table2[ActualResult], "REG") + SUMIFS(Table2[AwayWon], Table2[GameIsOver],1,Table2[HomeTeam],$A37, Table2[AwayTeam], S$36, Table2[ActualResult], "REG") + SUMIFS(Table2[HomeWon_], Table2[GameIsOver],1,Table2[AwayTeam],$A37, Table2[HomeTeam], S$36, Table2[ActualResult], "OT") + SUMIFS(Table2[AwayWon], Table2[GameIsOver],1,Table2[HomeTeam],$A37, Table2[AwayTeam], S$36, Table2[ActualResult], "OT") + SUMIFS(Table2[HomeWon_], Table2[GameIsOver],1,Table2[AwayTeam],$A37, Table2[HomeTeam], S$36, Table2[ActualResult], "SO") + SUMIFS(Table2[AwayWon], Table2[GameIsOver],1,Table2[HomeTeam],$A37, Table2[AwayTeam], S$36, Table2[ActualResult], "SO"))), "")</f>
        <v/>
      </c>
      <c r="T37" t="str">
        <f>IFERROR(((2*SUMIFS(Table2[AwayWon], Table2[GameIsOver],1,Table2[AwayTeam],$A37, Table2[HomeTeam], T$36) + SUMIFS(Table2[HomeWon_], Table2[GameIsOver],1,Table2[HomeTeam],$A37, Table2[AwayTeam], T$36)) + SUMIFS(Table2[AwayWon], Table2[GameIsOver],1,Table2[HomeTeam],$A37, Table2[AwayTeam], T$36, Table2[ActualResult], "REG") + SUMIFS(Table2[HomeWon_], Table2[GameIsOver],1,Table2[AwayTeam],$A37, Table2[HomeTeam], T$36, Table2[ActualResult], "OT") + SUMIFS(Table2[AwayWon], Table2[GameIsOver],1,Table2[HomeTeam],$A37, Table2[AwayTeam], T$36, Table2[ActualResult], "OT") + SUMIFS(Table2[HomeWon_], Table2[GameIsOver],1,Table2[AwayTeam],$A37, Table2[HomeTeam], T$36, Table2[ActualResult], "SO") + SUMIFS(Table2[AwayWon], Table2[GameIsOver],1,Table2[HomeTeam],$A37, Table2[AwayTeam], T$36, Table2[ActualResult], "SO")) / (2*(SUMIFS(Table2[AwayWon], Table2[GameIsOver],1,Table2[AwayTeam],$A37, Table2[HomeTeam], T$36) + SUMIFS(Table2[HomeWon_], Table2[GameIsOver],1,Table2[HomeTeam],$A37, Table2[AwayTeam], T$36) + SUMIFS(Table2[HomeWon_], Table2[GameIsOver],1,Table2[AwayTeam],$A37, Table2[HomeTeam], T$36, Table2[ActualResult], "REG") + SUMIFS(Table2[AwayWon], Table2[GameIsOver],1,Table2[HomeTeam],$A37, Table2[AwayTeam], T$36, Table2[ActualResult], "REG") + SUMIFS(Table2[HomeWon_], Table2[GameIsOver],1,Table2[AwayTeam],$A37, Table2[HomeTeam], T$36, Table2[ActualResult], "OT") + SUMIFS(Table2[AwayWon], Table2[GameIsOver],1,Table2[HomeTeam],$A37, Table2[AwayTeam], T$36, Table2[ActualResult], "OT") + SUMIFS(Table2[HomeWon_], Table2[GameIsOver],1,Table2[AwayTeam],$A37, Table2[HomeTeam], T$36, Table2[ActualResult], "SO") + SUMIFS(Table2[AwayWon], Table2[GameIsOver],1,Table2[HomeTeam],$A37, Table2[AwayTeam], T$36, Table2[ActualResult], "SO"))), "")</f>
        <v/>
      </c>
      <c r="U37" t="str">
        <f>IFERROR(((2*SUMIFS(Table2[AwayWon], Table2[GameIsOver],1,Table2[AwayTeam],$A37, Table2[HomeTeam], U$36) + SUMIFS(Table2[HomeWon_], Table2[GameIsOver],1,Table2[HomeTeam],$A37, Table2[AwayTeam], U$36)) + SUMIFS(Table2[AwayWon], Table2[GameIsOver],1,Table2[HomeTeam],$A37, Table2[AwayTeam], U$36, Table2[ActualResult], "REG") + SUMIFS(Table2[HomeWon_], Table2[GameIsOver],1,Table2[AwayTeam],$A37, Table2[HomeTeam], U$36, Table2[ActualResult], "OT") + SUMIFS(Table2[AwayWon], Table2[GameIsOver],1,Table2[HomeTeam],$A37, Table2[AwayTeam], U$36, Table2[ActualResult], "OT") + SUMIFS(Table2[HomeWon_], Table2[GameIsOver],1,Table2[AwayTeam],$A37, Table2[HomeTeam], U$36, Table2[ActualResult], "SO") + SUMIFS(Table2[AwayWon], Table2[GameIsOver],1,Table2[HomeTeam],$A37, Table2[AwayTeam], U$36, Table2[ActualResult], "SO")) / (2*(SUMIFS(Table2[AwayWon], Table2[GameIsOver],1,Table2[AwayTeam],$A37, Table2[HomeTeam], U$36) + SUMIFS(Table2[HomeWon_], Table2[GameIsOver],1,Table2[HomeTeam],$A37, Table2[AwayTeam], U$36) + SUMIFS(Table2[HomeWon_], Table2[GameIsOver],1,Table2[AwayTeam],$A37, Table2[HomeTeam], U$36, Table2[ActualResult], "REG") + SUMIFS(Table2[AwayWon], Table2[GameIsOver],1,Table2[HomeTeam],$A37, Table2[AwayTeam], U$36, Table2[ActualResult], "REG") + SUMIFS(Table2[HomeWon_], Table2[GameIsOver],1,Table2[AwayTeam],$A37, Table2[HomeTeam], U$36, Table2[ActualResult], "OT") + SUMIFS(Table2[AwayWon], Table2[GameIsOver],1,Table2[HomeTeam],$A37, Table2[AwayTeam], U$36, Table2[ActualResult], "OT") + SUMIFS(Table2[HomeWon_], Table2[GameIsOver],1,Table2[AwayTeam],$A37, Table2[HomeTeam], U$36, Table2[ActualResult], "SO") + SUMIFS(Table2[AwayWon], Table2[GameIsOver],1,Table2[HomeTeam],$A37, Table2[AwayTeam], U$36, Table2[ActualResult], "SO"))), "")</f>
        <v/>
      </c>
      <c r="V37" t="str">
        <f>IFERROR(((2*SUMIFS(Table2[AwayWon], Table2[GameIsOver],1,Table2[AwayTeam],$A37, Table2[HomeTeam], V$36) + SUMIFS(Table2[HomeWon_], Table2[GameIsOver],1,Table2[HomeTeam],$A37, Table2[AwayTeam], V$36)) + SUMIFS(Table2[AwayWon], Table2[GameIsOver],1,Table2[HomeTeam],$A37, Table2[AwayTeam], V$36, Table2[ActualResult], "REG") + SUMIFS(Table2[HomeWon_], Table2[GameIsOver],1,Table2[AwayTeam],$A37, Table2[HomeTeam], V$36, Table2[ActualResult], "OT") + SUMIFS(Table2[AwayWon], Table2[GameIsOver],1,Table2[HomeTeam],$A37, Table2[AwayTeam], V$36, Table2[ActualResult], "OT") + SUMIFS(Table2[HomeWon_], Table2[GameIsOver],1,Table2[AwayTeam],$A37, Table2[HomeTeam], V$36, Table2[ActualResult], "SO") + SUMIFS(Table2[AwayWon], Table2[GameIsOver],1,Table2[HomeTeam],$A37, Table2[AwayTeam], V$36, Table2[ActualResult], "SO")) / (2*(SUMIFS(Table2[AwayWon], Table2[GameIsOver],1,Table2[AwayTeam],$A37, Table2[HomeTeam], V$36) + SUMIFS(Table2[HomeWon_], Table2[GameIsOver],1,Table2[HomeTeam],$A37, Table2[AwayTeam], V$36) + SUMIFS(Table2[HomeWon_], Table2[GameIsOver],1,Table2[AwayTeam],$A37, Table2[HomeTeam], V$36, Table2[ActualResult], "REG") + SUMIFS(Table2[AwayWon], Table2[GameIsOver],1,Table2[HomeTeam],$A37, Table2[AwayTeam], V$36, Table2[ActualResult], "REG") + SUMIFS(Table2[HomeWon_], Table2[GameIsOver],1,Table2[AwayTeam],$A37, Table2[HomeTeam], V$36, Table2[ActualResult], "OT") + SUMIFS(Table2[AwayWon], Table2[GameIsOver],1,Table2[HomeTeam],$A37, Table2[AwayTeam], V$36, Table2[ActualResult], "OT") + SUMIFS(Table2[HomeWon_], Table2[GameIsOver],1,Table2[AwayTeam],$A37, Table2[HomeTeam], V$36, Table2[ActualResult], "SO") + SUMIFS(Table2[AwayWon], Table2[GameIsOver],1,Table2[HomeTeam],$A37, Table2[AwayTeam], V$36, Table2[ActualResult], "SO"))), "")</f>
        <v/>
      </c>
      <c r="W37" t="str">
        <f>IFERROR(((2*SUMIFS(Table2[AwayWon], Table2[GameIsOver],1,Table2[AwayTeam],$A37, Table2[HomeTeam], W$36) + SUMIFS(Table2[HomeWon_], Table2[GameIsOver],1,Table2[HomeTeam],$A37, Table2[AwayTeam], W$36)) + SUMIFS(Table2[AwayWon], Table2[GameIsOver],1,Table2[HomeTeam],$A37, Table2[AwayTeam], W$36, Table2[ActualResult], "REG") + SUMIFS(Table2[HomeWon_], Table2[GameIsOver],1,Table2[AwayTeam],$A37, Table2[HomeTeam], W$36, Table2[ActualResult], "OT") + SUMIFS(Table2[AwayWon], Table2[GameIsOver],1,Table2[HomeTeam],$A37, Table2[AwayTeam], W$36, Table2[ActualResult], "OT") + SUMIFS(Table2[HomeWon_], Table2[GameIsOver],1,Table2[AwayTeam],$A37, Table2[HomeTeam], W$36, Table2[ActualResult], "SO") + SUMIFS(Table2[AwayWon], Table2[GameIsOver],1,Table2[HomeTeam],$A37, Table2[AwayTeam], W$36, Table2[ActualResult], "SO")) / (2*(SUMIFS(Table2[AwayWon], Table2[GameIsOver],1,Table2[AwayTeam],$A37, Table2[HomeTeam], W$36) + SUMIFS(Table2[HomeWon_], Table2[GameIsOver],1,Table2[HomeTeam],$A37, Table2[AwayTeam], W$36) + SUMIFS(Table2[HomeWon_], Table2[GameIsOver],1,Table2[AwayTeam],$A37, Table2[HomeTeam], W$36, Table2[ActualResult], "REG") + SUMIFS(Table2[AwayWon], Table2[GameIsOver],1,Table2[HomeTeam],$A37, Table2[AwayTeam], W$36, Table2[ActualResult], "REG") + SUMIFS(Table2[HomeWon_], Table2[GameIsOver],1,Table2[AwayTeam],$A37, Table2[HomeTeam], W$36, Table2[ActualResult], "OT") + SUMIFS(Table2[AwayWon], Table2[GameIsOver],1,Table2[HomeTeam],$A37, Table2[AwayTeam], W$36, Table2[ActualResult], "OT") + SUMIFS(Table2[HomeWon_], Table2[GameIsOver],1,Table2[AwayTeam],$A37, Table2[HomeTeam], W$36, Table2[ActualResult], "SO") + SUMIFS(Table2[AwayWon], Table2[GameIsOver],1,Table2[HomeTeam],$A37, Table2[AwayTeam], W$36, Table2[ActualResult], "SO"))), "")</f>
        <v/>
      </c>
      <c r="X37">
        <f>IFERROR(((2*SUMIFS(Table2[AwayWon], Table2[GameIsOver],1,Table2[AwayTeam],$A37, Table2[HomeTeam], X$36) + SUMIFS(Table2[HomeWon_], Table2[GameIsOver],1,Table2[HomeTeam],$A37, Table2[AwayTeam], X$36)) + SUMIFS(Table2[AwayWon], Table2[GameIsOver],1,Table2[HomeTeam],$A37, Table2[AwayTeam], X$36, Table2[ActualResult], "REG") + SUMIFS(Table2[HomeWon_], Table2[GameIsOver],1,Table2[AwayTeam],$A37, Table2[HomeTeam], X$36, Table2[ActualResult], "OT") + SUMIFS(Table2[AwayWon], Table2[GameIsOver],1,Table2[HomeTeam],$A37, Table2[AwayTeam], X$36, Table2[ActualResult], "OT") + SUMIFS(Table2[HomeWon_], Table2[GameIsOver],1,Table2[AwayTeam],$A37, Table2[HomeTeam], X$36, Table2[ActualResult], "SO") + SUMIFS(Table2[AwayWon], Table2[GameIsOver],1,Table2[HomeTeam],$A37, Table2[AwayTeam], X$36, Table2[ActualResult], "SO")) / (2*(SUMIFS(Table2[AwayWon], Table2[GameIsOver],1,Table2[AwayTeam],$A37, Table2[HomeTeam], X$36) + SUMIFS(Table2[HomeWon_], Table2[GameIsOver],1,Table2[HomeTeam],$A37, Table2[AwayTeam], X$36) + SUMIFS(Table2[HomeWon_], Table2[GameIsOver],1,Table2[AwayTeam],$A37, Table2[HomeTeam], X$36, Table2[ActualResult], "REG") + SUMIFS(Table2[AwayWon], Table2[GameIsOver],1,Table2[HomeTeam],$A37, Table2[AwayTeam], X$36, Table2[ActualResult], "REG") + SUMIFS(Table2[HomeWon_], Table2[GameIsOver],1,Table2[AwayTeam],$A37, Table2[HomeTeam], X$36, Table2[ActualResult], "OT") + SUMIFS(Table2[AwayWon], Table2[GameIsOver],1,Table2[HomeTeam],$A37, Table2[AwayTeam], X$36, Table2[ActualResult], "OT") + SUMIFS(Table2[HomeWon_], Table2[GameIsOver],1,Table2[AwayTeam],$A37, Table2[HomeTeam], X$36, Table2[ActualResult], "SO") + SUMIFS(Table2[AwayWon], Table2[GameIsOver],1,Table2[HomeTeam],$A37, Table2[AwayTeam], X$36, Table2[ActualResult], "SO"))), "")</f>
        <v>0.5</v>
      </c>
      <c r="Y37" s="57" t="str">
        <f>IFERROR(((2*SUMIFS(Table2[AwayWon], Table2[GameIsOver],1,Table2[AwayTeam],$A37, Table2[HomeTeam], Y$36) + SUMIFS(Table2[HomeWon_], Table2[GameIsOver],1,Table2[HomeTeam],$A37, Table2[AwayTeam], Y$36)) + SUMIFS(Table2[AwayWon], Table2[GameIsOver],1,Table2[HomeTeam],$A37, Table2[AwayTeam], Y$36, Table2[ActualResult], "REG") + SUMIFS(Table2[HomeWon_], Table2[GameIsOver],1,Table2[AwayTeam],$A37, Table2[HomeTeam], Y$36, Table2[ActualResult], "OT") + SUMIFS(Table2[AwayWon], Table2[GameIsOver],1,Table2[HomeTeam],$A37, Table2[AwayTeam], Y$36, Table2[ActualResult], "OT") + SUMIFS(Table2[HomeWon_], Table2[GameIsOver],1,Table2[AwayTeam],$A37, Table2[HomeTeam], Y$36, Table2[ActualResult], "SO") + SUMIFS(Table2[AwayWon], Table2[GameIsOver],1,Table2[HomeTeam],$A37, Table2[AwayTeam], Y$36, Table2[ActualResult], "SO")) / (2*(SUMIFS(Table2[AwayWon], Table2[GameIsOver],1,Table2[AwayTeam],$A37, Table2[HomeTeam], Y$36) + SUMIFS(Table2[HomeWon_], Table2[GameIsOver],1,Table2[HomeTeam],$A37, Table2[AwayTeam], Y$36) + SUMIFS(Table2[HomeWon_], Table2[GameIsOver],1,Table2[AwayTeam],$A37, Table2[HomeTeam], Y$36, Table2[ActualResult], "REG") + SUMIFS(Table2[AwayWon], Table2[GameIsOver],1,Table2[HomeTeam],$A37, Table2[AwayTeam], Y$36, Table2[ActualResult], "REG") + SUMIFS(Table2[HomeWon_], Table2[GameIsOver],1,Table2[AwayTeam],$A37, Table2[HomeTeam], Y$36, Table2[ActualResult], "OT") + SUMIFS(Table2[AwayWon], Table2[GameIsOver],1,Table2[HomeTeam],$A37, Table2[AwayTeam], Y$36, Table2[ActualResult], "OT") + SUMIFS(Table2[HomeWon_], Table2[GameIsOver],1,Table2[AwayTeam],$A37, Table2[HomeTeam], Y$36, Table2[ActualResult], "SO") + SUMIFS(Table2[AwayWon], Table2[GameIsOver],1,Table2[HomeTeam],$A37, Table2[AwayTeam], Y$36, Table2[ActualResult], "SO"))), "")</f>
        <v/>
      </c>
      <c r="Z37" t="str">
        <f>IFERROR(((2*SUMIFS(Table2[AwayWon], Table2[GameIsOver],1,Table2[AwayTeam],$A37, Table2[HomeTeam], Z$36) + SUMIFS(Table2[HomeWon_], Table2[GameIsOver],1,Table2[HomeTeam],$A37, Table2[AwayTeam], Z$36)) + SUMIFS(Table2[AwayWon], Table2[GameIsOver],1,Table2[HomeTeam],$A37, Table2[AwayTeam], Z$36, Table2[ActualResult], "REG") + SUMIFS(Table2[HomeWon_], Table2[GameIsOver],1,Table2[AwayTeam],$A37, Table2[HomeTeam], Z$36, Table2[ActualResult], "OT") + SUMIFS(Table2[AwayWon], Table2[GameIsOver],1,Table2[HomeTeam],$A37, Table2[AwayTeam], Z$36, Table2[ActualResult], "OT") + SUMIFS(Table2[HomeWon_], Table2[GameIsOver],1,Table2[AwayTeam],$A37, Table2[HomeTeam], Z$36, Table2[ActualResult], "SO") + SUMIFS(Table2[AwayWon], Table2[GameIsOver],1,Table2[HomeTeam],$A37, Table2[AwayTeam], Z$36, Table2[ActualResult], "SO")) / (2*(SUMIFS(Table2[AwayWon], Table2[GameIsOver],1,Table2[AwayTeam],$A37, Table2[HomeTeam], Z$36) + SUMIFS(Table2[HomeWon_], Table2[GameIsOver],1,Table2[HomeTeam],$A37, Table2[AwayTeam], Z$36) + SUMIFS(Table2[HomeWon_], Table2[GameIsOver],1,Table2[AwayTeam],$A37, Table2[HomeTeam], Z$36, Table2[ActualResult], "REG") + SUMIFS(Table2[AwayWon], Table2[GameIsOver],1,Table2[HomeTeam],$A37, Table2[AwayTeam], Z$36, Table2[ActualResult], "REG") + SUMIFS(Table2[HomeWon_], Table2[GameIsOver],1,Table2[AwayTeam],$A37, Table2[HomeTeam], Z$36, Table2[ActualResult], "OT") + SUMIFS(Table2[AwayWon], Table2[GameIsOver],1,Table2[HomeTeam],$A37, Table2[AwayTeam], Z$36, Table2[ActualResult], "OT") + SUMIFS(Table2[HomeWon_], Table2[GameIsOver],1,Table2[AwayTeam],$A37, Table2[HomeTeam], Z$36, Table2[ActualResult], "SO") + SUMIFS(Table2[AwayWon], Table2[GameIsOver],1,Table2[HomeTeam],$A37, Table2[AwayTeam], Z$36, Table2[ActualResult], "SO"))), "")</f>
        <v/>
      </c>
      <c r="AA37" t="str">
        <f>IFERROR(((2*SUMIFS(Table2[AwayWon], Table2[GameIsOver],1,Table2[AwayTeam],$A37, Table2[HomeTeam], AA$36) + SUMIFS(Table2[HomeWon_], Table2[GameIsOver],1,Table2[HomeTeam],$A37, Table2[AwayTeam], AA$36)) + SUMIFS(Table2[AwayWon], Table2[GameIsOver],1,Table2[HomeTeam],$A37, Table2[AwayTeam], AA$36, Table2[ActualResult], "REG") + SUMIFS(Table2[HomeWon_], Table2[GameIsOver],1,Table2[AwayTeam],$A37, Table2[HomeTeam], AA$36, Table2[ActualResult], "OT") + SUMIFS(Table2[AwayWon], Table2[GameIsOver],1,Table2[HomeTeam],$A37, Table2[AwayTeam], AA$36, Table2[ActualResult], "OT") + SUMIFS(Table2[HomeWon_], Table2[GameIsOver],1,Table2[AwayTeam],$A37, Table2[HomeTeam], AA$36, Table2[ActualResult], "SO") + SUMIFS(Table2[AwayWon], Table2[GameIsOver],1,Table2[HomeTeam],$A37, Table2[AwayTeam], AA$36, Table2[ActualResult], "SO")) / (2*(SUMIFS(Table2[AwayWon], Table2[GameIsOver],1,Table2[AwayTeam],$A37, Table2[HomeTeam], AA$36) + SUMIFS(Table2[HomeWon_], Table2[GameIsOver],1,Table2[HomeTeam],$A37, Table2[AwayTeam], AA$36) + SUMIFS(Table2[HomeWon_], Table2[GameIsOver],1,Table2[AwayTeam],$A37, Table2[HomeTeam], AA$36, Table2[ActualResult], "REG") + SUMIFS(Table2[AwayWon], Table2[GameIsOver],1,Table2[HomeTeam],$A37, Table2[AwayTeam], AA$36, Table2[ActualResult], "REG") + SUMIFS(Table2[HomeWon_], Table2[GameIsOver],1,Table2[AwayTeam],$A37, Table2[HomeTeam], AA$36, Table2[ActualResult], "OT") + SUMIFS(Table2[AwayWon], Table2[GameIsOver],1,Table2[HomeTeam],$A37, Table2[AwayTeam], AA$36, Table2[ActualResult], "OT") + SUMIFS(Table2[HomeWon_], Table2[GameIsOver],1,Table2[AwayTeam],$A37, Table2[HomeTeam], AA$36, Table2[ActualResult], "SO") + SUMIFS(Table2[AwayWon], Table2[GameIsOver],1,Table2[HomeTeam],$A37, Table2[AwayTeam], AA$36, Table2[ActualResult], "SO"))), "")</f>
        <v/>
      </c>
      <c r="AB37" t="str">
        <f>IFERROR(((2*SUMIFS(Table2[AwayWon], Table2[GameIsOver],1,Table2[AwayTeam],$A37, Table2[HomeTeam], AB$36) + SUMIFS(Table2[HomeWon_], Table2[GameIsOver],1,Table2[HomeTeam],$A37, Table2[AwayTeam], AB$36)) + SUMIFS(Table2[AwayWon], Table2[GameIsOver],1,Table2[HomeTeam],$A37, Table2[AwayTeam], AB$36, Table2[ActualResult], "REG") + SUMIFS(Table2[HomeWon_], Table2[GameIsOver],1,Table2[AwayTeam],$A37, Table2[HomeTeam], AB$36, Table2[ActualResult], "OT") + SUMIFS(Table2[AwayWon], Table2[GameIsOver],1,Table2[HomeTeam],$A37, Table2[AwayTeam], AB$36, Table2[ActualResult], "OT") + SUMIFS(Table2[HomeWon_], Table2[GameIsOver],1,Table2[AwayTeam],$A37, Table2[HomeTeam], AB$36, Table2[ActualResult], "SO") + SUMIFS(Table2[AwayWon], Table2[GameIsOver],1,Table2[HomeTeam],$A37, Table2[AwayTeam], AB$36, Table2[ActualResult], "SO")) / (2*(SUMIFS(Table2[AwayWon], Table2[GameIsOver],1,Table2[AwayTeam],$A37, Table2[HomeTeam], AB$36) + SUMIFS(Table2[HomeWon_], Table2[GameIsOver],1,Table2[HomeTeam],$A37, Table2[AwayTeam], AB$36) + SUMIFS(Table2[HomeWon_], Table2[GameIsOver],1,Table2[AwayTeam],$A37, Table2[HomeTeam], AB$36, Table2[ActualResult], "REG") + SUMIFS(Table2[AwayWon], Table2[GameIsOver],1,Table2[HomeTeam],$A37, Table2[AwayTeam], AB$36, Table2[ActualResult], "REG") + SUMIFS(Table2[HomeWon_], Table2[GameIsOver],1,Table2[AwayTeam],$A37, Table2[HomeTeam], AB$36, Table2[ActualResult], "OT") + SUMIFS(Table2[AwayWon], Table2[GameIsOver],1,Table2[HomeTeam],$A37, Table2[AwayTeam], AB$36, Table2[ActualResult], "OT") + SUMIFS(Table2[HomeWon_], Table2[GameIsOver],1,Table2[AwayTeam],$A37, Table2[HomeTeam], AB$36, Table2[ActualResult], "SO") + SUMIFS(Table2[AwayWon], Table2[GameIsOver],1,Table2[HomeTeam],$A37, Table2[AwayTeam], AB$36, Table2[ActualResult], "SO"))), "")</f>
        <v/>
      </c>
      <c r="AC37" t="str">
        <f>IFERROR(((2*SUMIFS(Table2[AwayWon], Table2[GameIsOver],1,Table2[AwayTeam],$A37, Table2[HomeTeam], AC$36) + SUMIFS(Table2[HomeWon_], Table2[GameIsOver],1,Table2[HomeTeam],$A37, Table2[AwayTeam], AC$36)) + SUMIFS(Table2[AwayWon], Table2[GameIsOver],1,Table2[HomeTeam],$A37, Table2[AwayTeam], AC$36, Table2[ActualResult], "REG") + SUMIFS(Table2[HomeWon_], Table2[GameIsOver],1,Table2[AwayTeam],$A37, Table2[HomeTeam], AC$36, Table2[ActualResult], "OT") + SUMIFS(Table2[AwayWon], Table2[GameIsOver],1,Table2[HomeTeam],$A37, Table2[AwayTeam], AC$36, Table2[ActualResult], "OT") + SUMIFS(Table2[HomeWon_], Table2[GameIsOver],1,Table2[AwayTeam],$A37, Table2[HomeTeam], AC$36, Table2[ActualResult], "SO") + SUMIFS(Table2[AwayWon], Table2[GameIsOver],1,Table2[HomeTeam],$A37, Table2[AwayTeam], AC$36, Table2[ActualResult], "SO")) / (2*(SUMIFS(Table2[AwayWon], Table2[GameIsOver],1,Table2[AwayTeam],$A37, Table2[HomeTeam], AC$36) + SUMIFS(Table2[HomeWon_], Table2[GameIsOver],1,Table2[HomeTeam],$A37, Table2[AwayTeam], AC$36) + SUMIFS(Table2[HomeWon_], Table2[GameIsOver],1,Table2[AwayTeam],$A37, Table2[HomeTeam], AC$36, Table2[ActualResult], "REG") + SUMIFS(Table2[AwayWon], Table2[GameIsOver],1,Table2[HomeTeam],$A37, Table2[AwayTeam], AC$36, Table2[ActualResult], "REG") + SUMIFS(Table2[HomeWon_], Table2[GameIsOver],1,Table2[AwayTeam],$A37, Table2[HomeTeam], AC$36, Table2[ActualResult], "OT") + SUMIFS(Table2[AwayWon], Table2[GameIsOver],1,Table2[HomeTeam],$A37, Table2[AwayTeam], AC$36, Table2[ActualResult], "OT") + SUMIFS(Table2[HomeWon_], Table2[GameIsOver],1,Table2[AwayTeam],$A37, Table2[HomeTeam], AC$36, Table2[ActualResult], "SO") + SUMIFS(Table2[AwayWon], Table2[GameIsOver],1,Table2[HomeTeam],$A37, Table2[AwayTeam], AC$36, Table2[ActualResult], "SO"))), "")</f>
        <v/>
      </c>
      <c r="AD37" t="str">
        <f>IFERROR(((2*SUMIFS(Table2[AwayWon], Table2[GameIsOver],1,Table2[AwayTeam],$A37, Table2[HomeTeam], AD$36) + SUMIFS(Table2[HomeWon_], Table2[GameIsOver],1,Table2[HomeTeam],$A37, Table2[AwayTeam], AD$36)) + SUMIFS(Table2[AwayWon], Table2[GameIsOver],1,Table2[HomeTeam],$A37, Table2[AwayTeam], AD$36, Table2[ActualResult], "REG") + SUMIFS(Table2[HomeWon_], Table2[GameIsOver],1,Table2[AwayTeam],$A37, Table2[HomeTeam], AD$36, Table2[ActualResult], "OT") + SUMIFS(Table2[AwayWon], Table2[GameIsOver],1,Table2[HomeTeam],$A37, Table2[AwayTeam], AD$36, Table2[ActualResult], "OT") + SUMIFS(Table2[HomeWon_], Table2[GameIsOver],1,Table2[AwayTeam],$A37, Table2[HomeTeam], AD$36, Table2[ActualResult], "SO") + SUMIFS(Table2[AwayWon], Table2[GameIsOver],1,Table2[HomeTeam],$A37, Table2[AwayTeam], AD$36, Table2[ActualResult], "SO")) / (2*(SUMIFS(Table2[AwayWon], Table2[GameIsOver],1,Table2[AwayTeam],$A37, Table2[HomeTeam], AD$36) + SUMIFS(Table2[HomeWon_], Table2[GameIsOver],1,Table2[HomeTeam],$A37, Table2[AwayTeam], AD$36) + SUMIFS(Table2[HomeWon_], Table2[GameIsOver],1,Table2[AwayTeam],$A37, Table2[HomeTeam], AD$36, Table2[ActualResult], "REG") + SUMIFS(Table2[AwayWon], Table2[GameIsOver],1,Table2[HomeTeam],$A37, Table2[AwayTeam], AD$36, Table2[ActualResult], "REG") + SUMIFS(Table2[HomeWon_], Table2[GameIsOver],1,Table2[AwayTeam],$A37, Table2[HomeTeam], AD$36, Table2[ActualResult], "OT") + SUMIFS(Table2[AwayWon], Table2[GameIsOver],1,Table2[HomeTeam],$A37, Table2[AwayTeam], AD$36, Table2[ActualResult], "OT") + SUMIFS(Table2[HomeWon_], Table2[GameIsOver],1,Table2[AwayTeam],$A37, Table2[HomeTeam], AD$36, Table2[ActualResult], "SO") + SUMIFS(Table2[AwayWon], Table2[GameIsOver],1,Table2[HomeTeam],$A37, Table2[AwayTeam], AD$36, Table2[ActualResult], "SO"))), "")</f>
        <v/>
      </c>
      <c r="AE37" t="str">
        <f>IFERROR(((2*SUMIFS(Table2[AwayWon], Table2[GameIsOver],1,Table2[AwayTeam],$A37, Table2[HomeTeam], AE$36) + SUMIFS(Table2[HomeWon_], Table2[GameIsOver],1,Table2[HomeTeam],$A37, Table2[AwayTeam], AE$36)) + SUMIFS(Table2[AwayWon], Table2[GameIsOver],1,Table2[HomeTeam],$A37, Table2[AwayTeam], AE$36, Table2[ActualResult], "REG") + SUMIFS(Table2[HomeWon_], Table2[GameIsOver],1,Table2[AwayTeam],$A37, Table2[HomeTeam], AE$36, Table2[ActualResult], "OT") + SUMIFS(Table2[AwayWon], Table2[GameIsOver],1,Table2[HomeTeam],$A37, Table2[AwayTeam], AE$36, Table2[ActualResult], "OT") + SUMIFS(Table2[HomeWon_], Table2[GameIsOver],1,Table2[AwayTeam],$A37, Table2[HomeTeam], AE$36, Table2[ActualResult], "SO") + SUMIFS(Table2[AwayWon], Table2[GameIsOver],1,Table2[HomeTeam],$A37, Table2[AwayTeam], AE$36, Table2[ActualResult], "SO")) / (2*(SUMIFS(Table2[AwayWon], Table2[GameIsOver],1,Table2[AwayTeam],$A37, Table2[HomeTeam], AE$36) + SUMIFS(Table2[HomeWon_], Table2[GameIsOver],1,Table2[HomeTeam],$A37, Table2[AwayTeam], AE$36) + SUMIFS(Table2[HomeWon_], Table2[GameIsOver],1,Table2[AwayTeam],$A37, Table2[HomeTeam], AE$36, Table2[ActualResult], "REG") + SUMIFS(Table2[AwayWon], Table2[GameIsOver],1,Table2[HomeTeam],$A37, Table2[AwayTeam], AE$36, Table2[ActualResult], "REG") + SUMIFS(Table2[HomeWon_], Table2[GameIsOver],1,Table2[AwayTeam],$A37, Table2[HomeTeam], AE$36, Table2[ActualResult], "OT") + SUMIFS(Table2[AwayWon], Table2[GameIsOver],1,Table2[HomeTeam],$A37, Table2[AwayTeam], AE$36, Table2[ActualResult], "OT") + SUMIFS(Table2[HomeWon_], Table2[GameIsOver],1,Table2[AwayTeam],$A37, Table2[HomeTeam], AE$36, Table2[ActualResult], "SO") + SUMIFS(Table2[AwayWon], Table2[GameIsOver],1,Table2[HomeTeam],$A37, Table2[AwayTeam], AE$36, Table2[ActualResult], "SO"))), "")</f>
        <v/>
      </c>
      <c r="AF37" t="str">
        <f>IFERROR(((2*SUMIFS(Table2[AwayWon], Table2[GameIsOver],1,Table2[AwayTeam],$A37, Table2[HomeTeam], AF$36) + SUMIFS(Table2[HomeWon_], Table2[GameIsOver],1,Table2[HomeTeam],$A37, Table2[AwayTeam], AF$36)) + SUMIFS(Table2[AwayWon], Table2[GameIsOver],1,Table2[HomeTeam],$A37, Table2[AwayTeam], AF$36, Table2[ActualResult], "REG") + SUMIFS(Table2[HomeWon_], Table2[GameIsOver],1,Table2[AwayTeam],$A37, Table2[HomeTeam], AF$36, Table2[ActualResult], "OT") + SUMIFS(Table2[AwayWon], Table2[GameIsOver],1,Table2[HomeTeam],$A37, Table2[AwayTeam], AF$36, Table2[ActualResult], "OT") + SUMIFS(Table2[HomeWon_], Table2[GameIsOver],1,Table2[AwayTeam],$A37, Table2[HomeTeam], AF$36, Table2[ActualResult], "SO") + SUMIFS(Table2[AwayWon], Table2[GameIsOver],1,Table2[HomeTeam],$A37, Table2[AwayTeam], AF$36, Table2[ActualResult], "SO")) / (2*(SUMIFS(Table2[AwayWon], Table2[GameIsOver],1,Table2[AwayTeam],$A37, Table2[HomeTeam], AF$36) + SUMIFS(Table2[HomeWon_], Table2[GameIsOver],1,Table2[HomeTeam],$A37, Table2[AwayTeam], AF$36) + SUMIFS(Table2[HomeWon_], Table2[GameIsOver],1,Table2[AwayTeam],$A37, Table2[HomeTeam], AF$36, Table2[ActualResult], "REG") + SUMIFS(Table2[AwayWon], Table2[GameIsOver],1,Table2[HomeTeam],$A37, Table2[AwayTeam], AF$36, Table2[ActualResult], "REG") + SUMIFS(Table2[HomeWon_], Table2[GameIsOver],1,Table2[AwayTeam],$A37, Table2[HomeTeam], AF$36, Table2[ActualResult], "OT") + SUMIFS(Table2[AwayWon], Table2[GameIsOver],1,Table2[HomeTeam],$A37, Table2[AwayTeam], AF$36, Table2[ActualResult], "OT") + SUMIFS(Table2[HomeWon_], Table2[GameIsOver],1,Table2[AwayTeam],$A37, Table2[HomeTeam], AF$36, Table2[ActualResult], "SO") + SUMIFS(Table2[AwayWon], Table2[GameIsOver],1,Table2[HomeTeam],$A37, Table2[AwayTeam], AF$36, Table2[ActualResult], "SO"))), "")</f>
        <v/>
      </c>
      <c r="AG37" s="57" t="str">
        <f>IFERROR(((2*SUMIFS(Table2[AwayWon], Table2[GameIsOver],1,Table2[AwayTeam],$A37, Table2[HomeTeam], AG$36) + SUMIFS(Table2[HomeWon_], Table2[GameIsOver],1,Table2[HomeTeam],$A37, Table2[AwayTeam], AG$36)) + SUMIFS(Table2[AwayWon], Table2[GameIsOver],1,Table2[HomeTeam],$A37, Table2[AwayTeam], AG$36, Table2[ActualResult], "REG") + SUMIFS(Table2[HomeWon_], Table2[GameIsOver],1,Table2[AwayTeam],$A37, Table2[HomeTeam], AG$36, Table2[ActualResult], "OT") + SUMIFS(Table2[AwayWon], Table2[GameIsOver],1,Table2[HomeTeam],$A37, Table2[AwayTeam], AG$36, Table2[ActualResult], "OT") + SUMIFS(Table2[HomeWon_], Table2[GameIsOver],1,Table2[AwayTeam],$A37, Table2[HomeTeam], AG$36, Table2[ActualResult], "SO") + SUMIFS(Table2[AwayWon], Table2[GameIsOver],1,Table2[HomeTeam],$A37, Table2[AwayTeam], AG$36, Table2[ActualResult], "SO")) / (2*(SUMIFS(Table2[AwayWon], Table2[GameIsOver],1,Table2[AwayTeam],$A37, Table2[HomeTeam], AG$36) + SUMIFS(Table2[HomeWon_], Table2[GameIsOver],1,Table2[HomeTeam],$A37, Table2[AwayTeam], AG$36) + SUMIFS(Table2[HomeWon_], Table2[GameIsOver],1,Table2[AwayTeam],$A37, Table2[HomeTeam], AG$36, Table2[ActualResult], "REG") + SUMIFS(Table2[AwayWon], Table2[GameIsOver],1,Table2[HomeTeam],$A37, Table2[AwayTeam], AG$36, Table2[ActualResult], "REG") + SUMIFS(Table2[HomeWon_], Table2[GameIsOver],1,Table2[AwayTeam],$A37, Table2[HomeTeam], AG$36, Table2[ActualResult], "OT") + SUMIFS(Table2[AwayWon], Table2[GameIsOver],1,Table2[HomeTeam],$A37, Table2[AwayTeam], AG$36, Table2[ActualResult], "OT") + SUMIFS(Table2[HomeWon_], Table2[GameIsOver],1,Table2[AwayTeam],$A37, Table2[HomeTeam], AG$36, Table2[ActualResult], "SO") + SUMIFS(Table2[AwayWon], Table2[GameIsOver],1,Table2[HomeTeam],$A37, Table2[AwayTeam], AG$36, Table2[ActualResult], "SO"))), "")</f>
        <v/>
      </c>
      <c r="AH37" s="101">
        <f>AVERAGE($R37:$AG37)</f>
        <v>0.5</v>
      </c>
      <c r="AI37" s="101">
        <f>AVERAGE($B37:$Q37)</f>
        <v>0.625</v>
      </c>
      <c r="AJ37" s="103" t="e">
        <f>AVERAGE($Z37:$AG37)</f>
        <v>#DIV/0!</v>
      </c>
      <c r="AK37" s="103">
        <f>AVERAGE($R37:$Y37)</f>
        <v>0.5</v>
      </c>
      <c r="AL37" s="103">
        <f>AVERAGE($J37:$Q37)</f>
        <v>0.75</v>
      </c>
      <c r="AM37" s="103">
        <f>AVERAGE($B37:$I37)</f>
        <v>0.5</v>
      </c>
    </row>
    <row r="38" spans="1:39" x14ac:dyDescent="0.25">
      <c r="A38" s="57" t="s">
        <v>23</v>
      </c>
      <c r="B38" s="24" t="str">
        <f>IFERROR(((2*SUMIFS(Table2[AwayWon], Table2[GameIsOver],1,Table2[AwayTeam],$A38, Table2[HomeTeam], B$36) + SUMIFS(Table2[HomeWon_], Table2[GameIsOver],1,Table2[HomeTeam],$A38, Table2[AwayTeam], B$36)) + SUMIFS(Table2[AwayWon], Table2[GameIsOver],1,Table2[HomeTeam],$A38, Table2[AwayTeam], B$36, Table2[ActualResult], "REG") + SUMIFS(Table2[HomeWon_], Table2[GameIsOver],1,Table2[AwayTeam],$A38, Table2[HomeTeam], B$36, Table2[ActualResult], "OT") + SUMIFS(Table2[AwayWon], Table2[GameIsOver],1,Table2[HomeTeam],$A38, Table2[AwayTeam], B$36, Table2[ActualResult], "OT") + SUMIFS(Table2[HomeWon_], Table2[GameIsOver],1,Table2[AwayTeam],$A38, Table2[HomeTeam], B$36, Table2[ActualResult], "SO") + SUMIFS(Table2[AwayWon], Table2[GameIsOver],1,Table2[HomeTeam],$A38, Table2[AwayTeam], B$36, Table2[ActualResult], "SO")) / (2*(SUMIFS(Table2[AwayWon], Table2[GameIsOver],1,Table2[AwayTeam],$A38, Table2[HomeTeam], B$36) + SUMIFS(Table2[HomeWon_], Table2[GameIsOver],1,Table2[HomeTeam],$A38, Table2[AwayTeam], B$36) + SUMIFS(Table2[HomeWon_], Table2[GameIsOver],1,Table2[AwayTeam],$A38, Table2[HomeTeam], B$36, Table2[ActualResult], "REG") + SUMIFS(Table2[AwayWon], Table2[GameIsOver],1,Table2[HomeTeam],$A38, Table2[AwayTeam], B$36, Table2[ActualResult], "REG") + SUMIFS(Table2[HomeWon_], Table2[GameIsOver],1,Table2[AwayTeam],$A38, Table2[HomeTeam], B$36, Table2[ActualResult], "OT") + SUMIFS(Table2[AwayWon], Table2[GameIsOver],1,Table2[HomeTeam],$A38, Table2[AwayTeam], B$36, Table2[ActualResult], "OT") + SUMIFS(Table2[HomeWon_], Table2[GameIsOver],1,Table2[AwayTeam],$A38, Table2[HomeTeam], B$36, Table2[ActualResult], "SO") + SUMIFS(Table2[AwayWon], Table2[GameIsOver],1,Table2[HomeTeam],$A38, Table2[AwayTeam], B$36, Table2[ActualResult], "SO"))), "")</f>
        <v/>
      </c>
      <c r="C38" s="97" t="str">
        <f>IFERROR(((2*SUMIFS(Table2[AwayWon], Table2[GameIsOver],1,Table2[AwayTeam],$A38, Table2[HomeTeam], C$36) + SUMIFS(Table2[HomeWon_], Table2[GameIsOver],1,Table2[HomeTeam],$A38, Table2[AwayTeam], C$36)) + SUMIFS(Table2[AwayWon], Table2[GameIsOver],1,Table2[HomeTeam],$A38, Table2[AwayTeam], C$36, Table2[ActualResult], "REG") + SUMIFS(Table2[HomeWon_], Table2[GameIsOver],1,Table2[AwayTeam],$A38, Table2[HomeTeam], C$36, Table2[ActualResult], "OT") + SUMIFS(Table2[AwayWon], Table2[GameIsOver],1,Table2[HomeTeam],$A38, Table2[AwayTeam], C$36, Table2[ActualResult], "OT") + SUMIFS(Table2[HomeWon_], Table2[GameIsOver],1,Table2[AwayTeam],$A38, Table2[HomeTeam], C$36, Table2[ActualResult], "SO") + SUMIFS(Table2[AwayWon], Table2[GameIsOver],1,Table2[HomeTeam],$A38, Table2[AwayTeam], C$36, Table2[ActualResult], "SO")) / (2*(SUMIFS(Table2[AwayWon], Table2[GameIsOver],1,Table2[AwayTeam],$A38, Table2[HomeTeam], C$36) + SUMIFS(Table2[HomeWon_], Table2[GameIsOver],1,Table2[HomeTeam],$A38, Table2[AwayTeam], C$36) + SUMIFS(Table2[HomeWon_], Table2[GameIsOver],1,Table2[AwayTeam],$A38, Table2[HomeTeam], C$36, Table2[ActualResult], "REG") + SUMIFS(Table2[AwayWon], Table2[GameIsOver],1,Table2[HomeTeam],$A38, Table2[AwayTeam], C$36, Table2[ActualResult], "REG") + SUMIFS(Table2[HomeWon_], Table2[GameIsOver],1,Table2[AwayTeam],$A38, Table2[HomeTeam], C$36, Table2[ActualResult], "OT") + SUMIFS(Table2[AwayWon], Table2[GameIsOver],1,Table2[HomeTeam],$A38, Table2[AwayTeam], C$36, Table2[ActualResult], "OT") + SUMIFS(Table2[HomeWon_], Table2[GameIsOver],1,Table2[AwayTeam],$A38, Table2[HomeTeam], C$36, Table2[ActualResult], "SO") + SUMIFS(Table2[AwayWon], Table2[GameIsOver],1,Table2[HomeTeam],$A38, Table2[AwayTeam], C$36, Table2[ActualResult], "SO"))), "")</f>
        <v/>
      </c>
      <c r="D38">
        <f>IFERROR(((2*SUMIFS(Table2[AwayWon], Table2[GameIsOver],1,Table2[AwayTeam],$A38, Table2[HomeTeam], D$36) + SUMIFS(Table2[HomeWon_], Table2[GameIsOver],1,Table2[HomeTeam],$A38, Table2[AwayTeam], D$36)) + SUMIFS(Table2[AwayWon], Table2[GameIsOver],1,Table2[HomeTeam],$A38, Table2[AwayTeam], D$36, Table2[ActualResult], "REG") + SUMIFS(Table2[HomeWon_], Table2[GameIsOver],1,Table2[AwayTeam],$A38, Table2[HomeTeam], D$36, Table2[ActualResult], "OT") + SUMIFS(Table2[AwayWon], Table2[GameIsOver],1,Table2[HomeTeam],$A38, Table2[AwayTeam], D$36, Table2[ActualResult], "OT") + SUMIFS(Table2[HomeWon_], Table2[GameIsOver],1,Table2[AwayTeam],$A38, Table2[HomeTeam], D$36, Table2[ActualResult], "SO") + SUMIFS(Table2[AwayWon], Table2[GameIsOver],1,Table2[HomeTeam],$A38, Table2[AwayTeam], D$36, Table2[ActualResult], "SO")) / (2*(SUMIFS(Table2[AwayWon], Table2[GameIsOver],1,Table2[AwayTeam],$A38, Table2[HomeTeam], D$36) + SUMIFS(Table2[HomeWon_], Table2[GameIsOver],1,Table2[HomeTeam],$A38, Table2[AwayTeam], D$36) + SUMIFS(Table2[HomeWon_], Table2[GameIsOver],1,Table2[AwayTeam],$A38, Table2[HomeTeam], D$36, Table2[ActualResult], "REG") + SUMIFS(Table2[AwayWon], Table2[GameIsOver],1,Table2[HomeTeam],$A38, Table2[AwayTeam], D$36, Table2[ActualResult], "REG") + SUMIFS(Table2[HomeWon_], Table2[GameIsOver],1,Table2[AwayTeam],$A38, Table2[HomeTeam], D$36, Table2[ActualResult], "OT") + SUMIFS(Table2[AwayWon], Table2[GameIsOver],1,Table2[HomeTeam],$A38, Table2[AwayTeam], D$36, Table2[ActualResult], "OT") + SUMIFS(Table2[HomeWon_], Table2[GameIsOver],1,Table2[AwayTeam],$A38, Table2[HomeTeam], D$36, Table2[ActualResult], "SO") + SUMIFS(Table2[AwayWon], Table2[GameIsOver],1,Table2[HomeTeam],$A38, Table2[AwayTeam], D$36, Table2[ActualResult], "SO"))), "")</f>
        <v>1</v>
      </c>
      <c r="E38" t="str">
        <f>IFERROR(((2*SUMIFS(Table2[AwayWon], Table2[GameIsOver],1,Table2[AwayTeam],$A38, Table2[HomeTeam], E$36) + SUMIFS(Table2[HomeWon_], Table2[GameIsOver],1,Table2[HomeTeam],$A38, Table2[AwayTeam], E$36)) + SUMIFS(Table2[AwayWon], Table2[GameIsOver],1,Table2[HomeTeam],$A38, Table2[AwayTeam], E$36, Table2[ActualResult], "REG") + SUMIFS(Table2[HomeWon_], Table2[GameIsOver],1,Table2[AwayTeam],$A38, Table2[HomeTeam], E$36, Table2[ActualResult], "OT") + SUMIFS(Table2[AwayWon], Table2[GameIsOver],1,Table2[HomeTeam],$A38, Table2[AwayTeam], E$36, Table2[ActualResult], "OT") + SUMIFS(Table2[HomeWon_], Table2[GameIsOver],1,Table2[AwayTeam],$A38, Table2[HomeTeam], E$36, Table2[ActualResult], "SO") + SUMIFS(Table2[AwayWon], Table2[GameIsOver],1,Table2[HomeTeam],$A38, Table2[AwayTeam], E$36, Table2[ActualResult], "SO")) / (2*(SUMIFS(Table2[AwayWon], Table2[GameIsOver],1,Table2[AwayTeam],$A38, Table2[HomeTeam], E$36) + SUMIFS(Table2[HomeWon_], Table2[GameIsOver],1,Table2[HomeTeam],$A38, Table2[AwayTeam], E$36) + SUMIFS(Table2[HomeWon_], Table2[GameIsOver],1,Table2[AwayTeam],$A38, Table2[HomeTeam], E$36, Table2[ActualResult], "REG") + SUMIFS(Table2[AwayWon], Table2[GameIsOver],1,Table2[HomeTeam],$A38, Table2[AwayTeam], E$36, Table2[ActualResult], "REG") + SUMIFS(Table2[HomeWon_], Table2[GameIsOver],1,Table2[AwayTeam],$A38, Table2[HomeTeam], E$36, Table2[ActualResult], "OT") + SUMIFS(Table2[AwayWon], Table2[GameIsOver],1,Table2[HomeTeam],$A38, Table2[AwayTeam], E$36, Table2[ActualResult], "OT") + SUMIFS(Table2[HomeWon_], Table2[GameIsOver],1,Table2[AwayTeam],$A38, Table2[HomeTeam], E$36, Table2[ActualResult], "SO") + SUMIFS(Table2[AwayWon], Table2[GameIsOver],1,Table2[HomeTeam],$A38, Table2[AwayTeam], E$36, Table2[ActualResult], "SO"))), "")</f>
        <v/>
      </c>
      <c r="F38" t="str">
        <f>IFERROR(((2*SUMIFS(Table2[AwayWon], Table2[GameIsOver],1,Table2[AwayTeam],$A38, Table2[HomeTeam], F$36) + SUMIFS(Table2[HomeWon_], Table2[GameIsOver],1,Table2[HomeTeam],$A38, Table2[AwayTeam], F$36)) + SUMIFS(Table2[AwayWon], Table2[GameIsOver],1,Table2[HomeTeam],$A38, Table2[AwayTeam], F$36, Table2[ActualResult], "REG") + SUMIFS(Table2[HomeWon_], Table2[GameIsOver],1,Table2[AwayTeam],$A38, Table2[HomeTeam], F$36, Table2[ActualResult], "OT") + SUMIFS(Table2[AwayWon], Table2[GameIsOver],1,Table2[HomeTeam],$A38, Table2[AwayTeam], F$36, Table2[ActualResult], "OT") + SUMIFS(Table2[HomeWon_], Table2[GameIsOver],1,Table2[AwayTeam],$A38, Table2[HomeTeam], F$36, Table2[ActualResult], "SO") + SUMIFS(Table2[AwayWon], Table2[GameIsOver],1,Table2[HomeTeam],$A38, Table2[AwayTeam], F$36, Table2[ActualResult], "SO")) / (2*(SUMIFS(Table2[AwayWon], Table2[GameIsOver],1,Table2[AwayTeam],$A38, Table2[HomeTeam], F$36) + SUMIFS(Table2[HomeWon_], Table2[GameIsOver],1,Table2[HomeTeam],$A38, Table2[AwayTeam], F$36) + SUMIFS(Table2[HomeWon_], Table2[GameIsOver],1,Table2[AwayTeam],$A38, Table2[HomeTeam], F$36, Table2[ActualResult], "REG") + SUMIFS(Table2[AwayWon], Table2[GameIsOver],1,Table2[HomeTeam],$A38, Table2[AwayTeam], F$36, Table2[ActualResult], "REG") + SUMIFS(Table2[HomeWon_], Table2[GameIsOver],1,Table2[AwayTeam],$A38, Table2[HomeTeam], F$36, Table2[ActualResult], "OT") + SUMIFS(Table2[AwayWon], Table2[GameIsOver],1,Table2[HomeTeam],$A38, Table2[AwayTeam], F$36, Table2[ActualResult], "OT") + SUMIFS(Table2[HomeWon_], Table2[GameIsOver],1,Table2[AwayTeam],$A38, Table2[HomeTeam], F$36, Table2[ActualResult], "SO") + SUMIFS(Table2[AwayWon], Table2[GameIsOver],1,Table2[HomeTeam],$A38, Table2[AwayTeam], F$36, Table2[ActualResult], "SO"))), "")</f>
        <v/>
      </c>
      <c r="G38" t="str">
        <f>IFERROR(((2*SUMIFS(Table2[AwayWon], Table2[GameIsOver],1,Table2[AwayTeam],$A38, Table2[HomeTeam], G$36) + SUMIFS(Table2[HomeWon_], Table2[GameIsOver],1,Table2[HomeTeam],$A38, Table2[AwayTeam], G$36)) + SUMIFS(Table2[AwayWon], Table2[GameIsOver],1,Table2[HomeTeam],$A38, Table2[AwayTeam], G$36, Table2[ActualResult], "REG") + SUMIFS(Table2[HomeWon_], Table2[GameIsOver],1,Table2[AwayTeam],$A38, Table2[HomeTeam], G$36, Table2[ActualResult], "OT") + SUMIFS(Table2[AwayWon], Table2[GameIsOver],1,Table2[HomeTeam],$A38, Table2[AwayTeam], G$36, Table2[ActualResult], "OT") + SUMIFS(Table2[HomeWon_], Table2[GameIsOver],1,Table2[AwayTeam],$A38, Table2[HomeTeam], G$36, Table2[ActualResult], "SO") + SUMIFS(Table2[AwayWon], Table2[GameIsOver],1,Table2[HomeTeam],$A38, Table2[AwayTeam], G$36, Table2[ActualResult], "SO")) / (2*(SUMIFS(Table2[AwayWon], Table2[GameIsOver],1,Table2[AwayTeam],$A38, Table2[HomeTeam], G$36) + SUMIFS(Table2[HomeWon_], Table2[GameIsOver],1,Table2[HomeTeam],$A38, Table2[AwayTeam], G$36) + SUMIFS(Table2[HomeWon_], Table2[GameIsOver],1,Table2[AwayTeam],$A38, Table2[HomeTeam], G$36, Table2[ActualResult], "REG") + SUMIFS(Table2[AwayWon], Table2[GameIsOver],1,Table2[HomeTeam],$A38, Table2[AwayTeam], G$36, Table2[ActualResult], "REG") + SUMIFS(Table2[HomeWon_], Table2[GameIsOver],1,Table2[AwayTeam],$A38, Table2[HomeTeam], G$36, Table2[ActualResult], "OT") + SUMIFS(Table2[AwayWon], Table2[GameIsOver],1,Table2[HomeTeam],$A38, Table2[AwayTeam], G$36, Table2[ActualResult], "OT") + SUMIFS(Table2[HomeWon_], Table2[GameIsOver],1,Table2[AwayTeam],$A38, Table2[HomeTeam], G$36, Table2[ActualResult], "SO") + SUMIFS(Table2[AwayWon], Table2[GameIsOver],1,Table2[HomeTeam],$A38, Table2[AwayTeam], G$36, Table2[ActualResult], "SO"))), "")</f>
        <v/>
      </c>
      <c r="H38">
        <f>IFERROR(((2*SUMIFS(Table2[AwayWon], Table2[GameIsOver],1,Table2[AwayTeam],$A38, Table2[HomeTeam], H$36) + SUMIFS(Table2[HomeWon_], Table2[GameIsOver],1,Table2[HomeTeam],$A38, Table2[AwayTeam], H$36)) + SUMIFS(Table2[AwayWon], Table2[GameIsOver],1,Table2[HomeTeam],$A38, Table2[AwayTeam], H$36, Table2[ActualResult], "REG") + SUMIFS(Table2[HomeWon_], Table2[GameIsOver],1,Table2[AwayTeam],$A38, Table2[HomeTeam], H$36, Table2[ActualResult], "OT") + SUMIFS(Table2[AwayWon], Table2[GameIsOver],1,Table2[HomeTeam],$A38, Table2[AwayTeam], H$36, Table2[ActualResult], "OT") + SUMIFS(Table2[HomeWon_], Table2[GameIsOver],1,Table2[AwayTeam],$A38, Table2[HomeTeam], H$36, Table2[ActualResult], "SO") + SUMIFS(Table2[AwayWon], Table2[GameIsOver],1,Table2[HomeTeam],$A38, Table2[AwayTeam], H$36, Table2[ActualResult], "SO")) / (2*(SUMIFS(Table2[AwayWon], Table2[GameIsOver],1,Table2[AwayTeam],$A38, Table2[HomeTeam], H$36) + SUMIFS(Table2[HomeWon_], Table2[GameIsOver],1,Table2[HomeTeam],$A38, Table2[AwayTeam], H$36) + SUMIFS(Table2[HomeWon_], Table2[GameIsOver],1,Table2[AwayTeam],$A38, Table2[HomeTeam], H$36, Table2[ActualResult], "REG") + SUMIFS(Table2[AwayWon], Table2[GameIsOver],1,Table2[HomeTeam],$A38, Table2[AwayTeam], H$36, Table2[ActualResult], "REG") + SUMIFS(Table2[HomeWon_], Table2[GameIsOver],1,Table2[AwayTeam],$A38, Table2[HomeTeam], H$36, Table2[ActualResult], "OT") + SUMIFS(Table2[AwayWon], Table2[GameIsOver],1,Table2[HomeTeam],$A38, Table2[AwayTeam], H$36, Table2[ActualResult], "OT") + SUMIFS(Table2[HomeWon_], Table2[GameIsOver],1,Table2[AwayTeam],$A38, Table2[HomeTeam], H$36, Table2[ActualResult], "SO") + SUMIFS(Table2[AwayWon], Table2[GameIsOver],1,Table2[HomeTeam],$A38, Table2[AwayTeam], H$36, Table2[ActualResult], "SO"))), "")</f>
        <v>0</v>
      </c>
      <c r="I38" s="57">
        <f>IFERROR(((2*SUMIFS(Table2[AwayWon], Table2[GameIsOver],1,Table2[AwayTeam],$A38, Table2[HomeTeam], I$36) + SUMIFS(Table2[HomeWon_], Table2[GameIsOver],1,Table2[HomeTeam],$A38, Table2[AwayTeam], I$36)) + SUMIFS(Table2[AwayWon], Table2[GameIsOver],1,Table2[HomeTeam],$A38, Table2[AwayTeam], I$36, Table2[ActualResult], "REG") + SUMIFS(Table2[HomeWon_], Table2[GameIsOver],1,Table2[AwayTeam],$A38, Table2[HomeTeam], I$36, Table2[ActualResult], "OT") + SUMIFS(Table2[AwayWon], Table2[GameIsOver],1,Table2[HomeTeam],$A38, Table2[AwayTeam], I$36, Table2[ActualResult], "OT") + SUMIFS(Table2[HomeWon_], Table2[GameIsOver],1,Table2[AwayTeam],$A38, Table2[HomeTeam], I$36, Table2[ActualResult], "SO") + SUMIFS(Table2[AwayWon], Table2[GameIsOver],1,Table2[HomeTeam],$A38, Table2[AwayTeam], I$36, Table2[ActualResult], "SO")) / (2*(SUMIFS(Table2[AwayWon], Table2[GameIsOver],1,Table2[AwayTeam],$A38, Table2[HomeTeam], I$36) + SUMIFS(Table2[HomeWon_], Table2[GameIsOver],1,Table2[HomeTeam],$A38, Table2[AwayTeam], I$36) + SUMIFS(Table2[HomeWon_], Table2[GameIsOver],1,Table2[AwayTeam],$A38, Table2[HomeTeam], I$36, Table2[ActualResult], "REG") + SUMIFS(Table2[AwayWon], Table2[GameIsOver],1,Table2[HomeTeam],$A38, Table2[AwayTeam], I$36, Table2[ActualResult], "REG") + SUMIFS(Table2[HomeWon_], Table2[GameIsOver],1,Table2[AwayTeam],$A38, Table2[HomeTeam], I$36, Table2[ActualResult], "OT") + SUMIFS(Table2[AwayWon], Table2[GameIsOver],1,Table2[HomeTeam],$A38, Table2[AwayTeam], I$36, Table2[ActualResult], "OT") + SUMIFS(Table2[HomeWon_], Table2[GameIsOver],1,Table2[AwayTeam],$A38, Table2[HomeTeam], I$36, Table2[ActualResult], "SO") + SUMIFS(Table2[AwayWon], Table2[GameIsOver],1,Table2[HomeTeam],$A38, Table2[AwayTeam], I$36, Table2[ActualResult], "SO"))), "")</f>
        <v>0.25</v>
      </c>
      <c r="J38" t="str">
        <f>IFERROR(((2*SUMIFS(Table2[AwayWon], Table2[GameIsOver],1,Table2[AwayTeam],$A38, Table2[HomeTeam], J$36) + SUMIFS(Table2[HomeWon_], Table2[GameIsOver],1,Table2[HomeTeam],$A38, Table2[AwayTeam], J$36)) + SUMIFS(Table2[AwayWon], Table2[GameIsOver],1,Table2[HomeTeam],$A38, Table2[AwayTeam], J$36, Table2[ActualResult], "REG") + SUMIFS(Table2[HomeWon_], Table2[GameIsOver],1,Table2[AwayTeam],$A38, Table2[HomeTeam], J$36, Table2[ActualResult], "OT") + SUMIFS(Table2[AwayWon], Table2[GameIsOver],1,Table2[HomeTeam],$A38, Table2[AwayTeam], J$36, Table2[ActualResult], "OT") + SUMIFS(Table2[HomeWon_], Table2[GameIsOver],1,Table2[AwayTeam],$A38, Table2[HomeTeam], J$36, Table2[ActualResult], "SO") + SUMIFS(Table2[AwayWon], Table2[GameIsOver],1,Table2[HomeTeam],$A38, Table2[AwayTeam], J$36, Table2[ActualResult], "SO")) / (2*(SUMIFS(Table2[AwayWon], Table2[GameIsOver],1,Table2[AwayTeam],$A38, Table2[HomeTeam], J$36) + SUMIFS(Table2[HomeWon_], Table2[GameIsOver],1,Table2[HomeTeam],$A38, Table2[AwayTeam], J$36) + SUMIFS(Table2[HomeWon_], Table2[GameIsOver],1,Table2[AwayTeam],$A38, Table2[HomeTeam], J$36, Table2[ActualResult], "REG") + SUMIFS(Table2[AwayWon], Table2[GameIsOver],1,Table2[HomeTeam],$A38, Table2[AwayTeam], J$36, Table2[ActualResult], "REG") + SUMIFS(Table2[HomeWon_], Table2[GameIsOver],1,Table2[AwayTeam],$A38, Table2[HomeTeam], J$36, Table2[ActualResult], "OT") + SUMIFS(Table2[AwayWon], Table2[GameIsOver],1,Table2[HomeTeam],$A38, Table2[AwayTeam], J$36, Table2[ActualResult], "OT") + SUMIFS(Table2[HomeWon_], Table2[GameIsOver],1,Table2[AwayTeam],$A38, Table2[HomeTeam], J$36, Table2[ActualResult], "SO") + SUMIFS(Table2[AwayWon], Table2[GameIsOver],1,Table2[HomeTeam],$A38, Table2[AwayTeam], J$36, Table2[ActualResult], "SO"))), "")</f>
        <v/>
      </c>
      <c r="K38" t="str">
        <f>IFERROR(((2*SUMIFS(Table2[AwayWon], Table2[GameIsOver],1,Table2[AwayTeam],$A38, Table2[HomeTeam], K$36) + SUMIFS(Table2[HomeWon_], Table2[GameIsOver],1,Table2[HomeTeam],$A38, Table2[AwayTeam], K$36)) + SUMIFS(Table2[AwayWon], Table2[GameIsOver],1,Table2[HomeTeam],$A38, Table2[AwayTeam], K$36, Table2[ActualResult], "REG") + SUMIFS(Table2[HomeWon_], Table2[GameIsOver],1,Table2[AwayTeam],$A38, Table2[HomeTeam], K$36, Table2[ActualResult], "OT") + SUMIFS(Table2[AwayWon], Table2[GameIsOver],1,Table2[HomeTeam],$A38, Table2[AwayTeam], K$36, Table2[ActualResult], "OT") + SUMIFS(Table2[HomeWon_], Table2[GameIsOver],1,Table2[AwayTeam],$A38, Table2[HomeTeam], K$36, Table2[ActualResult], "SO") + SUMIFS(Table2[AwayWon], Table2[GameIsOver],1,Table2[HomeTeam],$A38, Table2[AwayTeam], K$36, Table2[ActualResult], "SO")) / (2*(SUMIFS(Table2[AwayWon], Table2[GameIsOver],1,Table2[AwayTeam],$A38, Table2[HomeTeam], K$36) + SUMIFS(Table2[HomeWon_], Table2[GameIsOver],1,Table2[HomeTeam],$A38, Table2[AwayTeam], K$36) + SUMIFS(Table2[HomeWon_], Table2[GameIsOver],1,Table2[AwayTeam],$A38, Table2[HomeTeam], K$36, Table2[ActualResult], "REG") + SUMIFS(Table2[AwayWon], Table2[GameIsOver],1,Table2[HomeTeam],$A38, Table2[AwayTeam], K$36, Table2[ActualResult], "REG") + SUMIFS(Table2[HomeWon_], Table2[GameIsOver],1,Table2[AwayTeam],$A38, Table2[HomeTeam], K$36, Table2[ActualResult], "OT") + SUMIFS(Table2[AwayWon], Table2[GameIsOver],1,Table2[HomeTeam],$A38, Table2[AwayTeam], K$36, Table2[ActualResult], "OT") + SUMIFS(Table2[HomeWon_], Table2[GameIsOver],1,Table2[AwayTeam],$A38, Table2[HomeTeam], K$36, Table2[ActualResult], "SO") + SUMIFS(Table2[AwayWon], Table2[GameIsOver],1,Table2[HomeTeam],$A38, Table2[AwayTeam], K$36, Table2[ActualResult], "SO"))), "")</f>
        <v/>
      </c>
      <c r="L38" t="str">
        <f>IFERROR(((2*SUMIFS(Table2[AwayWon], Table2[GameIsOver],1,Table2[AwayTeam],$A38, Table2[HomeTeam], L$36) + SUMIFS(Table2[HomeWon_], Table2[GameIsOver],1,Table2[HomeTeam],$A38, Table2[AwayTeam], L$36)) + SUMIFS(Table2[AwayWon], Table2[GameIsOver],1,Table2[HomeTeam],$A38, Table2[AwayTeam], L$36, Table2[ActualResult], "REG") + SUMIFS(Table2[HomeWon_], Table2[GameIsOver],1,Table2[AwayTeam],$A38, Table2[HomeTeam], L$36, Table2[ActualResult], "OT") + SUMIFS(Table2[AwayWon], Table2[GameIsOver],1,Table2[HomeTeam],$A38, Table2[AwayTeam], L$36, Table2[ActualResult], "OT") + SUMIFS(Table2[HomeWon_], Table2[GameIsOver],1,Table2[AwayTeam],$A38, Table2[HomeTeam], L$36, Table2[ActualResult], "SO") + SUMIFS(Table2[AwayWon], Table2[GameIsOver],1,Table2[HomeTeam],$A38, Table2[AwayTeam], L$36, Table2[ActualResult], "SO")) / (2*(SUMIFS(Table2[AwayWon], Table2[GameIsOver],1,Table2[AwayTeam],$A38, Table2[HomeTeam], L$36) + SUMIFS(Table2[HomeWon_], Table2[GameIsOver],1,Table2[HomeTeam],$A38, Table2[AwayTeam], L$36) + SUMIFS(Table2[HomeWon_], Table2[GameIsOver],1,Table2[AwayTeam],$A38, Table2[HomeTeam], L$36, Table2[ActualResult], "REG") + SUMIFS(Table2[AwayWon], Table2[GameIsOver],1,Table2[HomeTeam],$A38, Table2[AwayTeam], L$36, Table2[ActualResult], "REG") + SUMIFS(Table2[HomeWon_], Table2[GameIsOver],1,Table2[AwayTeam],$A38, Table2[HomeTeam], L$36, Table2[ActualResult], "OT") + SUMIFS(Table2[AwayWon], Table2[GameIsOver],1,Table2[HomeTeam],$A38, Table2[AwayTeam], L$36, Table2[ActualResult], "OT") + SUMIFS(Table2[HomeWon_], Table2[GameIsOver],1,Table2[AwayTeam],$A38, Table2[HomeTeam], L$36, Table2[ActualResult], "SO") + SUMIFS(Table2[AwayWon], Table2[GameIsOver],1,Table2[HomeTeam],$A38, Table2[AwayTeam], L$36, Table2[ActualResult], "SO"))), "")</f>
        <v/>
      </c>
      <c r="M38" t="str">
        <f>IFERROR(((2*SUMIFS(Table2[AwayWon], Table2[GameIsOver],1,Table2[AwayTeam],$A38, Table2[HomeTeam], M$36) + SUMIFS(Table2[HomeWon_], Table2[GameIsOver],1,Table2[HomeTeam],$A38, Table2[AwayTeam], M$36)) + SUMIFS(Table2[AwayWon], Table2[GameIsOver],1,Table2[HomeTeam],$A38, Table2[AwayTeam], M$36, Table2[ActualResult], "REG") + SUMIFS(Table2[HomeWon_], Table2[GameIsOver],1,Table2[AwayTeam],$A38, Table2[HomeTeam], M$36, Table2[ActualResult], "OT") + SUMIFS(Table2[AwayWon], Table2[GameIsOver],1,Table2[HomeTeam],$A38, Table2[AwayTeam], M$36, Table2[ActualResult], "OT") + SUMIFS(Table2[HomeWon_], Table2[GameIsOver],1,Table2[AwayTeam],$A38, Table2[HomeTeam], M$36, Table2[ActualResult], "SO") + SUMIFS(Table2[AwayWon], Table2[GameIsOver],1,Table2[HomeTeam],$A38, Table2[AwayTeam], M$36, Table2[ActualResult], "SO")) / (2*(SUMIFS(Table2[AwayWon], Table2[GameIsOver],1,Table2[AwayTeam],$A38, Table2[HomeTeam], M$36) + SUMIFS(Table2[HomeWon_], Table2[GameIsOver],1,Table2[HomeTeam],$A38, Table2[AwayTeam], M$36) + SUMIFS(Table2[HomeWon_], Table2[GameIsOver],1,Table2[AwayTeam],$A38, Table2[HomeTeam], M$36, Table2[ActualResult], "REG") + SUMIFS(Table2[AwayWon], Table2[GameIsOver],1,Table2[HomeTeam],$A38, Table2[AwayTeam], M$36, Table2[ActualResult], "REG") + SUMIFS(Table2[HomeWon_], Table2[GameIsOver],1,Table2[AwayTeam],$A38, Table2[HomeTeam], M$36, Table2[ActualResult], "OT") + SUMIFS(Table2[AwayWon], Table2[GameIsOver],1,Table2[HomeTeam],$A38, Table2[AwayTeam], M$36, Table2[ActualResult], "OT") + SUMIFS(Table2[HomeWon_], Table2[GameIsOver],1,Table2[AwayTeam],$A38, Table2[HomeTeam], M$36, Table2[ActualResult], "SO") + SUMIFS(Table2[AwayWon], Table2[GameIsOver],1,Table2[HomeTeam],$A38, Table2[AwayTeam], M$36, Table2[ActualResult], "SO"))), "")</f>
        <v/>
      </c>
      <c r="N38" t="str">
        <f>IFERROR(((2*SUMIFS(Table2[AwayWon], Table2[GameIsOver],1,Table2[AwayTeam],$A38, Table2[HomeTeam], N$36) + SUMIFS(Table2[HomeWon_], Table2[GameIsOver],1,Table2[HomeTeam],$A38, Table2[AwayTeam], N$36)) + SUMIFS(Table2[AwayWon], Table2[GameIsOver],1,Table2[HomeTeam],$A38, Table2[AwayTeam], N$36, Table2[ActualResult], "REG") + SUMIFS(Table2[HomeWon_], Table2[GameIsOver],1,Table2[AwayTeam],$A38, Table2[HomeTeam], N$36, Table2[ActualResult], "OT") + SUMIFS(Table2[AwayWon], Table2[GameIsOver],1,Table2[HomeTeam],$A38, Table2[AwayTeam], N$36, Table2[ActualResult], "OT") + SUMIFS(Table2[HomeWon_], Table2[GameIsOver],1,Table2[AwayTeam],$A38, Table2[HomeTeam], N$36, Table2[ActualResult], "SO") + SUMIFS(Table2[AwayWon], Table2[GameIsOver],1,Table2[HomeTeam],$A38, Table2[AwayTeam], N$36, Table2[ActualResult], "SO")) / (2*(SUMIFS(Table2[AwayWon], Table2[GameIsOver],1,Table2[AwayTeam],$A38, Table2[HomeTeam], N$36) + SUMIFS(Table2[HomeWon_], Table2[GameIsOver],1,Table2[HomeTeam],$A38, Table2[AwayTeam], N$36) + SUMIFS(Table2[HomeWon_], Table2[GameIsOver],1,Table2[AwayTeam],$A38, Table2[HomeTeam], N$36, Table2[ActualResult], "REG") + SUMIFS(Table2[AwayWon], Table2[GameIsOver],1,Table2[HomeTeam],$A38, Table2[AwayTeam], N$36, Table2[ActualResult], "REG") + SUMIFS(Table2[HomeWon_], Table2[GameIsOver],1,Table2[AwayTeam],$A38, Table2[HomeTeam], N$36, Table2[ActualResult], "OT") + SUMIFS(Table2[AwayWon], Table2[GameIsOver],1,Table2[HomeTeam],$A38, Table2[AwayTeam], N$36, Table2[ActualResult], "OT") + SUMIFS(Table2[HomeWon_], Table2[GameIsOver],1,Table2[AwayTeam],$A38, Table2[HomeTeam], N$36, Table2[ActualResult], "SO") + SUMIFS(Table2[AwayWon], Table2[GameIsOver],1,Table2[HomeTeam],$A38, Table2[AwayTeam], N$36, Table2[ActualResult], "SO"))), "")</f>
        <v/>
      </c>
      <c r="O38">
        <f>IFERROR(((2*SUMIFS(Table2[AwayWon], Table2[GameIsOver],1,Table2[AwayTeam],$A38, Table2[HomeTeam], O$36) + SUMIFS(Table2[HomeWon_], Table2[GameIsOver],1,Table2[HomeTeam],$A38, Table2[AwayTeam], O$36)) + SUMIFS(Table2[AwayWon], Table2[GameIsOver],1,Table2[HomeTeam],$A38, Table2[AwayTeam], O$36, Table2[ActualResult], "REG") + SUMIFS(Table2[HomeWon_], Table2[GameIsOver],1,Table2[AwayTeam],$A38, Table2[HomeTeam], O$36, Table2[ActualResult], "OT") + SUMIFS(Table2[AwayWon], Table2[GameIsOver],1,Table2[HomeTeam],$A38, Table2[AwayTeam], O$36, Table2[ActualResult], "OT") + SUMIFS(Table2[HomeWon_], Table2[GameIsOver],1,Table2[AwayTeam],$A38, Table2[HomeTeam], O$36, Table2[ActualResult], "SO") + SUMIFS(Table2[AwayWon], Table2[GameIsOver],1,Table2[HomeTeam],$A38, Table2[AwayTeam], O$36, Table2[ActualResult], "SO")) / (2*(SUMIFS(Table2[AwayWon], Table2[GameIsOver],1,Table2[AwayTeam],$A38, Table2[HomeTeam], O$36) + SUMIFS(Table2[HomeWon_], Table2[GameIsOver],1,Table2[HomeTeam],$A38, Table2[AwayTeam], O$36) + SUMIFS(Table2[HomeWon_], Table2[GameIsOver],1,Table2[AwayTeam],$A38, Table2[HomeTeam], O$36, Table2[ActualResult], "REG") + SUMIFS(Table2[AwayWon], Table2[GameIsOver],1,Table2[HomeTeam],$A38, Table2[AwayTeam], O$36, Table2[ActualResult], "REG") + SUMIFS(Table2[HomeWon_], Table2[GameIsOver],1,Table2[AwayTeam],$A38, Table2[HomeTeam], O$36, Table2[ActualResult], "OT") + SUMIFS(Table2[AwayWon], Table2[GameIsOver],1,Table2[HomeTeam],$A38, Table2[AwayTeam], O$36, Table2[ActualResult], "OT") + SUMIFS(Table2[HomeWon_], Table2[GameIsOver],1,Table2[AwayTeam],$A38, Table2[HomeTeam], O$36, Table2[ActualResult], "SO") + SUMIFS(Table2[AwayWon], Table2[GameIsOver],1,Table2[HomeTeam],$A38, Table2[AwayTeam], O$36, Table2[ActualResult], "SO"))), "")</f>
        <v>0.5</v>
      </c>
      <c r="P38">
        <f>IFERROR(((2*SUMIFS(Table2[AwayWon], Table2[GameIsOver],1,Table2[AwayTeam],$A38, Table2[HomeTeam], P$36) + SUMIFS(Table2[HomeWon_], Table2[GameIsOver],1,Table2[HomeTeam],$A38, Table2[AwayTeam], P$36)) + SUMIFS(Table2[AwayWon], Table2[GameIsOver],1,Table2[HomeTeam],$A38, Table2[AwayTeam], P$36, Table2[ActualResult], "REG") + SUMIFS(Table2[HomeWon_], Table2[GameIsOver],1,Table2[AwayTeam],$A38, Table2[HomeTeam], P$36, Table2[ActualResult], "OT") + SUMIFS(Table2[AwayWon], Table2[GameIsOver],1,Table2[HomeTeam],$A38, Table2[AwayTeam], P$36, Table2[ActualResult], "OT") + SUMIFS(Table2[HomeWon_], Table2[GameIsOver],1,Table2[AwayTeam],$A38, Table2[HomeTeam], P$36, Table2[ActualResult], "SO") + SUMIFS(Table2[AwayWon], Table2[GameIsOver],1,Table2[HomeTeam],$A38, Table2[AwayTeam], P$36, Table2[ActualResult], "SO")) / (2*(SUMIFS(Table2[AwayWon], Table2[GameIsOver],1,Table2[AwayTeam],$A38, Table2[HomeTeam], P$36) + SUMIFS(Table2[HomeWon_], Table2[GameIsOver],1,Table2[HomeTeam],$A38, Table2[AwayTeam], P$36) + SUMIFS(Table2[HomeWon_], Table2[GameIsOver],1,Table2[AwayTeam],$A38, Table2[HomeTeam], P$36, Table2[ActualResult], "REG") + SUMIFS(Table2[AwayWon], Table2[GameIsOver],1,Table2[HomeTeam],$A38, Table2[AwayTeam], P$36, Table2[ActualResult], "REG") + SUMIFS(Table2[HomeWon_], Table2[GameIsOver],1,Table2[AwayTeam],$A38, Table2[HomeTeam], P$36, Table2[ActualResult], "OT") + SUMIFS(Table2[AwayWon], Table2[GameIsOver],1,Table2[HomeTeam],$A38, Table2[AwayTeam], P$36, Table2[ActualResult], "OT") + SUMIFS(Table2[HomeWon_], Table2[GameIsOver],1,Table2[AwayTeam],$A38, Table2[HomeTeam], P$36, Table2[ActualResult], "SO") + SUMIFS(Table2[AwayWon], Table2[GameIsOver],1,Table2[HomeTeam],$A38, Table2[AwayTeam], P$36, Table2[ActualResult], "SO"))), "")</f>
        <v>0</v>
      </c>
      <c r="Q38" s="57">
        <f>IFERROR(((2*SUMIFS(Table2[AwayWon], Table2[GameIsOver],1,Table2[AwayTeam],$A38, Table2[HomeTeam], Q$36) + SUMIFS(Table2[HomeWon_], Table2[GameIsOver],1,Table2[HomeTeam],$A38, Table2[AwayTeam], Q$36)) + SUMIFS(Table2[AwayWon], Table2[GameIsOver],1,Table2[HomeTeam],$A38, Table2[AwayTeam], Q$36, Table2[ActualResult], "REG") + SUMIFS(Table2[HomeWon_], Table2[GameIsOver],1,Table2[AwayTeam],$A38, Table2[HomeTeam], Q$36, Table2[ActualResult], "OT") + SUMIFS(Table2[AwayWon], Table2[GameIsOver],1,Table2[HomeTeam],$A38, Table2[AwayTeam], Q$36, Table2[ActualResult], "OT") + SUMIFS(Table2[HomeWon_], Table2[GameIsOver],1,Table2[AwayTeam],$A38, Table2[HomeTeam], Q$36, Table2[ActualResult], "SO") + SUMIFS(Table2[AwayWon], Table2[GameIsOver],1,Table2[HomeTeam],$A38, Table2[AwayTeam], Q$36, Table2[ActualResult], "SO")) / (2*(SUMIFS(Table2[AwayWon], Table2[GameIsOver],1,Table2[AwayTeam],$A38, Table2[HomeTeam], Q$36) + SUMIFS(Table2[HomeWon_], Table2[GameIsOver],1,Table2[HomeTeam],$A38, Table2[AwayTeam], Q$36) + SUMIFS(Table2[HomeWon_], Table2[GameIsOver],1,Table2[AwayTeam],$A38, Table2[HomeTeam], Q$36, Table2[ActualResult], "REG") + SUMIFS(Table2[AwayWon], Table2[GameIsOver],1,Table2[HomeTeam],$A38, Table2[AwayTeam], Q$36, Table2[ActualResult], "REG") + SUMIFS(Table2[HomeWon_], Table2[GameIsOver],1,Table2[AwayTeam],$A38, Table2[HomeTeam], Q$36, Table2[ActualResult], "OT") + SUMIFS(Table2[AwayWon], Table2[GameIsOver],1,Table2[HomeTeam],$A38, Table2[AwayTeam], Q$36, Table2[ActualResult], "OT") + SUMIFS(Table2[HomeWon_], Table2[GameIsOver],1,Table2[AwayTeam],$A38, Table2[HomeTeam], Q$36, Table2[ActualResult], "SO") + SUMIFS(Table2[AwayWon], Table2[GameIsOver],1,Table2[HomeTeam],$A38, Table2[AwayTeam], Q$36, Table2[ActualResult], "SO"))), "")</f>
        <v>0.5</v>
      </c>
      <c r="R38" t="str">
        <f>IFERROR(((2*SUMIFS(Table2[AwayWon], Table2[GameIsOver],1,Table2[AwayTeam],$A38, Table2[HomeTeam], R$36) + SUMIFS(Table2[HomeWon_], Table2[GameIsOver],1,Table2[HomeTeam],$A38, Table2[AwayTeam], R$36)) + SUMIFS(Table2[AwayWon], Table2[GameIsOver],1,Table2[HomeTeam],$A38, Table2[AwayTeam], R$36, Table2[ActualResult], "REG") + SUMIFS(Table2[HomeWon_], Table2[GameIsOver],1,Table2[AwayTeam],$A38, Table2[HomeTeam], R$36, Table2[ActualResult], "OT") + SUMIFS(Table2[AwayWon], Table2[GameIsOver],1,Table2[HomeTeam],$A38, Table2[AwayTeam], R$36, Table2[ActualResult], "OT") + SUMIFS(Table2[HomeWon_], Table2[GameIsOver],1,Table2[AwayTeam],$A38, Table2[HomeTeam], R$36, Table2[ActualResult], "SO") + SUMIFS(Table2[AwayWon], Table2[GameIsOver],1,Table2[HomeTeam],$A38, Table2[AwayTeam], R$36, Table2[ActualResult], "SO")) / (2*(SUMIFS(Table2[AwayWon], Table2[GameIsOver],1,Table2[AwayTeam],$A38, Table2[HomeTeam], R$36) + SUMIFS(Table2[HomeWon_], Table2[GameIsOver],1,Table2[HomeTeam],$A38, Table2[AwayTeam], R$36) + SUMIFS(Table2[HomeWon_], Table2[GameIsOver],1,Table2[AwayTeam],$A38, Table2[HomeTeam], R$36, Table2[ActualResult], "REG") + SUMIFS(Table2[AwayWon], Table2[GameIsOver],1,Table2[HomeTeam],$A38, Table2[AwayTeam], R$36, Table2[ActualResult], "REG") + SUMIFS(Table2[HomeWon_], Table2[GameIsOver],1,Table2[AwayTeam],$A38, Table2[HomeTeam], R$36, Table2[ActualResult], "OT") + SUMIFS(Table2[AwayWon], Table2[GameIsOver],1,Table2[HomeTeam],$A38, Table2[AwayTeam], R$36, Table2[ActualResult], "OT") + SUMIFS(Table2[HomeWon_], Table2[GameIsOver],1,Table2[AwayTeam],$A38, Table2[HomeTeam], R$36, Table2[ActualResult], "SO") + SUMIFS(Table2[AwayWon], Table2[GameIsOver],1,Table2[HomeTeam],$A38, Table2[AwayTeam], R$36, Table2[ActualResult], "SO"))), "")</f>
        <v/>
      </c>
      <c r="S38" t="str">
        <f>IFERROR(((2*SUMIFS(Table2[AwayWon], Table2[GameIsOver],1,Table2[AwayTeam],$A38, Table2[HomeTeam], S$36) + SUMIFS(Table2[HomeWon_], Table2[GameIsOver],1,Table2[HomeTeam],$A38, Table2[AwayTeam], S$36)) + SUMIFS(Table2[AwayWon], Table2[GameIsOver],1,Table2[HomeTeam],$A38, Table2[AwayTeam], S$36, Table2[ActualResult], "REG") + SUMIFS(Table2[HomeWon_], Table2[GameIsOver],1,Table2[AwayTeam],$A38, Table2[HomeTeam], S$36, Table2[ActualResult], "OT") + SUMIFS(Table2[AwayWon], Table2[GameIsOver],1,Table2[HomeTeam],$A38, Table2[AwayTeam], S$36, Table2[ActualResult], "OT") + SUMIFS(Table2[HomeWon_], Table2[GameIsOver],1,Table2[AwayTeam],$A38, Table2[HomeTeam], S$36, Table2[ActualResult], "SO") + SUMIFS(Table2[AwayWon], Table2[GameIsOver],1,Table2[HomeTeam],$A38, Table2[AwayTeam], S$36, Table2[ActualResult], "SO")) / (2*(SUMIFS(Table2[AwayWon], Table2[GameIsOver],1,Table2[AwayTeam],$A38, Table2[HomeTeam], S$36) + SUMIFS(Table2[HomeWon_], Table2[GameIsOver],1,Table2[HomeTeam],$A38, Table2[AwayTeam], S$36) + SUMIFS(Table2[HomeWon_], Table2[GameIsOver],1,Table2[AwayTeam],$A38, Table2[HomeTeam], S$36, Table2[ActualResult], "REG") + SUMIFS(Table2[AwayWon], Table2[GameIsOver],1,Table2[HomeTeam],$A38, Table2[AwayTeam], S$36, Table2[ActualResult], "REG") + SUMIFS(Table2[HomeWon_], Table2[GameIsOver],1,Table2[AwayTeam],$A38, Table2[HomeTeam], S$36, Table2[ActualResult], "OT") + SUMIFS(Table2[AwayWon], Table2[GameIsOver],1,Table2[HomeTeam],$A38, Table2[AwayTeam], S$36, Table2[ActualResult], "OT") + SUMIFS(Table2[HomeWon_], Table2[GameIsOver],1,Table2[AwayTeam],$A38, Table2[HomeTeam], S$36, Table2[ActualResult], "SO") + SUMIFS(Table2[AwayWon], Table2[GameIsOver],1,Table2[HomeTeam],$A38, Table2[AwayTeam], S$36, Table2[ActualResult], "SO"))), "")</f>
        <v/>
      </c>
      <c r="T38" t="str">
        <f>IFERROR(((2*SUMIFS(Table2[AwayWon], Table2[GameIsOver],1,Table2[AwayTeam],$A38, Table2[HomeTeam], T$36) + SUMIFS(Table2[HomeWon_], Table2[GameIsOver],1,Table2[HomeTeam],$A38, Table2[AwayTeam], T$36)) + SUMIFS(Table2[AwayWon], Table2[GameIsOver],1,Table2[HomeTeam],$A38, Table2[AwayTeam], T$36, Table2[ActualResult], "REG") + SUMIFS(Table2[HomeWon_], Table2[GameIsOver],1,Table2[AwayTeam],$A38, Table2[HomeTeam], T$36, Table2[ActualResult], "OT") + SUMIFS(Table2[AwayWon], Table2[GameIsOver],1,Table2[HomeTeam],$A38, Table2[AwayTeam], T$36, Table2[ActualResult], "OT") + SUMIFS(Table2[HomeWon_], Table2[GameIsOver],1,Table2[AwayTeam],$A38, Table2[HomeTeam], T$36, Table2[ActualResult], "SO") + SUMIFS(Table2[AwayWon], Table2[GameIsOver],1,Table2[HomeTeam],$A38, Table2[AwayTeam], T$36, Table2[ActualResult], "SO")) / (2*(SUMIFS(Table2[AwayWon], Table2[GameIsOver],1,Table2[AwayTeam],$A38, Table2[HomeTeam], T$36) + SUMIFS(Table2[HomeWon_], Table2[GameIsOver],1,Table2[HomeTeam],$A38, Table2[AwayTeam], T$36) + SUMIFS(Table2[HomeWon_], Table2[GameIsOver],1,Table2[AwayTeam],$A38, Table2[HomeTeam], T$36, Table2[ActualResult], "REG") + SUMIFS(Table2[AwayWon], Table2[GameIsOver],1,Table2[HomeTeam],$A38, Table2[AwayTeam], T$36, Table2[ActualResult], "REG") + SUMIFS(Table2[HomeWon_], Table2[GameIsOver],1,Table2[AwayTeam],$A38, Table2[HomeTeam], T$36, Table2[ActualResult], "OT") + SUMIFS(Table2[AwayWon], Table2[GameIsOver],1,Table2[HomeTeam],$A38, Table2[AwayTeam], T$36, Table2[ActualResult], "OT") + SUMIFS(Table2[HomeWon_], Table2[GameIsOver],1,Table2[AwayTeam],$A38, Table2[HomeTeam], T$36, Table2[ActualResult], "SO") + SUMIFS(Table2[AwayWon], Table2[GameIsOver],1,Table2[HomeTeam],$A38, Table2[AwayTeam], T$36, Table2[ActualResult], "SO"))), "")</f>
        <v/>
      </c>
      <c r="U38" t="str">
        <f>IFERROR(((2*SUMIFS(Table2[AwayWon], Table2[GameIsOver],1,Table2[AwayTeam],$A38, Table2[HomeTeam], U$36) + SUMIFS(Table2[HomeWon_], Table2[GameIsOver],1,Table2[HomeTeam],$A38, Table2[AwayTeam], U$36)) + SUMIFS(Table2[AwayWon], Table2[GameIsOver],1,Table2[HomeTeam],$A38, Table2[AwayTeam], U$36, Table2[ActualResult], "REG") + SUMIFS(Table2[HomeWon_], Table2[GameIsOver],1,Table2[AwayTeam],$A38, Table2[HomeTeam], U$36, Table2[ActualResult], "OT") + SUMIFS(Table2[AwayWon], Table2[GameIsOver],1,Table2[HomeTeam],$A38, Table2[AwayTeam], U$36, Table2[ActualResult], "OT") + SUMIFS(Table2[HomeWon_], Table2[GameIsOver],1,Table2[AwayTeam],$A38, Table2[HomeTeam], U$36, Table2[ActualResult], "SO") + SUMIFS(Table2[AwayWon], Table2[GameIsOver],1,Table2[HomeTeam],$A38, Table2[AwayTeam], U$36, Table2[ActualResult], "SO")) / (2*(SUMIFS(Table2[AwayWon], Table2[GameIsOver],1,Table2[AwayTeam],$A38, Table2[HomeTeam], U$36) + SUMIFS(Table2[HomeWon_], Table2[GameIsOver],1,Table2[HomeTeam],$A38, Table2[AwayTeam], U$36) + SUMIFS(Table2[HomeWon_], Table2[GameIsOver],1,Table2[AwayTeam],$A38, Table2[HomeTeam], U$36, Table2[ActualResult], "REG") + SUMIFS(Table2[AwayWon], Table2[GameIsOver],1,Table2[HomeTeam],$A38, Table2[AwayTeam], U$36, Table2[ActualResult], "REG") + SUMIFS(Table2[HomeWon_], Table2[GameIsOver],1,Table2[AwayTeam],$A38, Table2[HomeTeam], U$36, Table2[ActualResult], "OT") + SUMIFS(Table2[AwayWon], Table2[GameIsOver],1,Table2[HomeTeam],$A38, Table2[AwayTeam], U$36, Table2[ActualResult], "OT") + SUMIFS(Table2[HomeWon_], Table2[GameIsOver],1,Table2[AwayTeam],$A38, Table2[HomeTeam], U$36, Table2[ActualResult], "SO") + SUMIFS(Table2[AwayWon], Table2[GameIsOver],1,Table2[HomeTeam],$A38, Table2[AwayTeam], U$36, Table2[ActualResult], "SO"))), "")</f>
        <v/>
      </c>
      <c r="V38" t="str">
        <f>IFERROR(((2*SUMIFS(Table2[AwayWon], Table2[GameIsOver],1,Table2[AwayTeam],$A38, Table2[HomeTeam], V$36) + SUMIFS(Table2[HomeWon_], Table2[GameIsOver],1,Table2[HomeTeam],$A38, Table2[AwayTeam], V$36)) + SUMIFS(Table2[AwayWon], Table2[GameIsOver],1,Table2[HomeTeam],$A38, Table2[AwayTeam], V$36, Table2[ActualResult], "REG") + SUMIFS(Table2[HomeWon_], Table2[GameIsOver],1,Table2[AwayTeam],$A38, Table2[HomeTeam], V$36, Table2[ActualResult], "OT") + SUMIFS(Table2[AwayWon], Table2[GameIsOver],1,Table2[HomeTeam],$A38, Table2[AwayTeam], V$36, Table2[ActualResult], "OT") + SUMIFS(Table2[HomeWon_], Table2[GameIsOver],1,Table2[AwayTeam],$A38, Table2[HomeTeam], V$36, Table2[ActualResult], "SO") + SUMIFS(Table2[AwayWon], Table2[GameIsOver],1,Table2[HomeTeam],$A38, Table2[AwayTeam], V$36, Table2[ActualResult], "SO")) / (2*(SUMIFS(Table2[AwayWon], Table2[GameIsOver],1,Table2[AwayTeam],$A38, Table2[HomeTeam], V$36) + SUMIFS(Table2[HomeWon_], Table2[GameIsOver],1,Table2[HomeTeam],$A38, Table2[AwayTeam], V$36) + SUMIFS(Table2[HomeWon_], Table2[GameIsOver],1,Table2[AwayTeam],$A38, Table2[HomeTeam], V$36, Table2[ActualResult], "REG") + SUMIFS(Table2[AwayWon], Table2[GameIsOver],1,Table2[HomeTeam],$A38, Table2[AwayTeam], V$36, Table2[ActualResult], "REG") + SUMIFS(Table2[HomeWon_], Table2[GameIsOver],1,Table2[AwayTeam],$A38, Table2[HomeTeam], V$36, Table2[ActualResult], "OT") + SUMIFS(Table2[AwayWon], Table2[GameIsOver],1,Table2[HomeTeam],$A38, Table2[AwayTeam], V$36, Table2[ActualResult], "OT") + SUMIFS(Table2[HomeWon_], Table2[GameIsOver],1,Table2[AwayTeam],$A38, Table2[HomeTeam], V$36, Table2[ActualResult], "SO") + SUMIFS(Table2[AwayWon], Table2[GameIsOver],1,Table2[HomeTeam],$A38, Table2[AwayTeam], V$36, Table2[ActualResult], "SO"))), "")</f>
        <v/>
      </c>
      <c r="W38" t="str">
        <f>IFERROR(((2*SUMIFS(Table2[AwayWon], Table2[GameIsOver],1,Table2[AwayTeam],$A38, Table2[HomeTeam], W$36) + SUMIFS(Table2[HomeWon_], Table2[GameIsOver],1,Table2[HomeTeam],$A38, Table2[AwayTeam], W$36)) + SUMIFS(Table2[AwayWon], Table2[GameIsOver],1,Table2[HomeTeam],$A38, Table2[AwayTeam], W$36, Table2[ActualResult], "REG") + SUMIFS(Table2[HomeWon_], Table2[GameIsOver],1,Table2[AwayTeam],$A38, Table2[HomeTeam], W$36, Table2[ActualResult], "OT") + SUMIFS(Table2[AwayWon], Table2[GameIsOver],1,Table2[HomeTeam],$A38, Table2[AwayTeam], W$36, Table2[ActualResult], "OT") + SUMIFS(Table2[HomeWon_], Table2[GameIsOver],1,Table2[AwayTeam],$A38, Table2[HomeTeam], W$36, Table2[ActualResult], "SO") + SUMIFS(Table2[AwayWon], Table2[GameIsOver],1,Table2[HomeTeam],$A38, Table2[AwayTeam], W$36, Table2[ActualResult], "SO")) / (2*(SUMIFS(Table2[AwayWon], Table2[GameIsOver],1,Table2[AwayTeam],$A38, Table2[HomeTeam], W$36) + SUMIFS(Table2[HomeWon_], Table2[GameIsOver],1,Table2[HomeTeam],$A38, Table2[AwayTeam], W$36) + SUMIFS(Table2[HomeWon_], Table2[GameIsOver],1,Table2[AwayTeam],$A38, Table2[HomeTeam], W$36, Table2[ActualResult], "REG") + SUMIFS(Table2[AwayWon], Table2[GameIsOver],1,Table2[HomeTeam],$A38, Table2[AwayTeam], W$36, Table2[ActualResult], "REG") + SUMIFS(Table2[HomeWon_], Table2[GameIsOver],1,Table2[AwayTeam],$A38, Table2[HomeTeam], W$36, Table2[ActualResult], "OT") + SUMIFS(Table2[AwayWon], Table2[GameIsOver],1,Table2[HomeTeam],$A38, Table2[AwayTeam], W$36, Table2[ActualResult], "OT") + SUMIFS(Table2[HomeWon_], Table2[GameIsOver],1,Table2[AwayTeam],$A38, Table2[HomeTeam], W$36, Table2[ActualResult], "SO") + SUMIFS(Table2[AwayWon], Table2[GameIsOver],1,Table2[HomeTeam],$A38, Table2[AwayTeam], W$36, Table2[ActualResult], "SO"))), "")</f>
        <v/>
      </c>
      <c r="X38" t="str">
        <f>IFERROR(((2*SUMIFS(Table2[AwayWon], Table2[GameIsOver],1,Table2[AwayTeam],$A38, Table2[HomeTeam], X$36) + SUMIFS(Table2[HomeWon_], Table2[GameIsOver],1,Table2[HomeTeam],$A38, Table2[AwayTeam], X$36)) + SUMIFS(Table2[AwayWon], Table2[GameIsOver],1,Table2[HomeTeam],$A38, Table2[AwayTeam], X$36, Table2[ActualResult], "REG") + SUMIFS(Table2[HomeWon_], Table2[GameIsOver],1,Table2[AwayTeam],$A38, Table2[HomeTeam], X$36, Table2[ActualResult], "OT") + SUMIFS(Table2[AwayWon], Table2[GameIsOver],1,Table2[HomeTeam],$A38, Table2[AwayTeam], X$36, Table2[ActualResult], "OT") + SUMIFS(Table2[HomeWon_], Table2[GameIsOver],1,Table2[AwayTeam],$A38, Table2[HomeTeam], X$36, Table2[ActualResult], "SO") + SUMIFS(Table2[AwayWon], Table2[GameIsOver],1,Table2[HomeTeam],$A38, Table2[AwayTeam], X$36, Table2[ActualResult], "SO")) / (2*(SUMIFS(Table2[AwayWon], Table2[GameIsOver],1,Table2[AwayTeam],$A38, Table2[HomeTeam], X$36) + SUMIFS(Table2[HomeWon_], Table2[GameIsOver],1,Table2[HomeTeam],$A38, Table2[AwayTeam], X$36) + SUMIFS(Table2[HomeWon_], Table2[GameIsOver],1,Table2[AwayTeam],$A38, Table2[HomeTeam], X$36, Table2[ActualResult], "REG") + SUMIFS(Table2[AwayWon], Table2[GameIsOver],1,Table2[HomeTeam],$A38, Table2[AwayTeam], X$36, Table2[ActualResult], "REG") + SUMIFS(Table2[HomeWon_], Table2[GameIsOver],1,Table2[AwayTeam],$A38, Table2[HomeTeam], X$36, Table2[ActualResult], "OT") + SUMIFS(Table2[AwayWon], Table2[GameIsOver],1,Table2[HomeTeam],$A38, Table2[AwayTeam], X$36, Table2[ActualResult], "OT") + SUMIFS(Table2[HomeWon_], Table2[GameIsOver],1,Table2[AwayTeam],$A38, Table2[HomeTeam], X$36, Table2[ActualResult], "SO") + SUMIFS(Table2[AwayWon], Table2[GameIsOver],1,Table2[HomeTeam],$A38, Table2[AwayTeam], X$36, Table2[ActualResult], "SO"))), "")</f>
        <v/>
      </c>
      <c r="Y38" s="57" t="str">
        <f>IFERROR(((2*SUMIFS(Table2[AwayWon], Table2[GameIsOver],1,Table2[AwayTeam],$A38, Table2[HomeTeam], Y$36) + SUMIFS(Table2[HomeWon_], Table2[GameIsOver],1,Table2[HomeTeam],$A38, Table2[AwayTeam], Y$36)) + SUMIFS(Table2[AwayWon], Table2[GameIsOver],1,Table2[HomeTeam],$A38, Table2[AwayTeam], Y$36, Table2[ActualResult], "REG") + SUMIFS(Table2[HomeWon_], Table2[GameIsOver],1,Table2[AwayTeam],$A38, Table2[HomeTeam], Y$36, Table2[ActualResult], "OT") + SUMIFS(Table2[AwayWon], Table2[GameIsOver],1,Table2[HomeTeam],$A38, Table2[AwayTeam], Y$36, Table2[ActualResult], "OT") + SUMIFS(Table2[HomeWon_], Table2[GameIsOver],1,Table2[AwayTeam],$A38, Table2[HomeTeam], Y$36, Table2[ActualResult], "SO") + SUMIFS(Table2[AwayWon], Table2[GameIsOver],1,Table2[HomeTeam],$A38, Table2[AwayTeam], Y$36, Table2[ActualResult], "SO")) / (2*(SUMIFS(Table2[AwayWon], Table2[GameIsOver],1,Table2[AwayTeam],$A38, Table2[HomeTeam], Y$36) + SUMIFS(Table2[HomeWon_], Table2[GameIsOver],1,Table2[HomeTeam],$A38, Table2[AwayTeam], Y$36) + SUMIFS(Table2[HomeWon_], Table2[GameIsOver],1,Table2[AwayTeam],$A38, Table2[HomeTeam], Y$36, Table2[ActualResult], "REG") + SUMIFS(Table2[AwayWon], Table2[GameIsOver],1,Table2[HomeTeam],$A38, Table2[AwayTeam], Y$36, Table2[ActualResult], "REG") + SUMIFS(Table2[HomeWon_], Table2[GameIsOver],1,Table2[AwayTeam],$A38, Table2[HomeTeam], Y$36, Table2[ActualResult], "OT") + SUMIFS(Table2[AwayWon], Table2[GameIsOver],1,Table2[HomeTeam],$A38, Table2[AwayTeam], Y$36, Table2[ActualResult], "OT") + SUMIFS(Table2[HomeWon_], Table2[GameIsOver],1,Table2[AwayTeam],$A38, Table2[HomeTeam], Y$36, Table2[ActualResult], "SO") + SUMIFS(Table2[AwayWon], Table2[GameIsOver],1,Table2[HomeTeam],$A38, Table2[AwayTeam], Y$36, Table2[ActualResult], "SO"))), "")</f>
        <v/>
      </c>
      <c r="Z38" t="str">
        <f>IFERROR(((2*SUMIFS(Table2[AwayWon], Table2[GameIsOver],1,Table2[AwayTeam],$A38, Table2[HomeTeam], Z$36) + SUMIFS(Table2[HomeWon_], Table2[GameIsOver],1,Table2[HomeTeam],$A38, Table2[AwayTeam], Z$36)) + SUMIFS(Table2[AwayWon], Table2[GameIsOver],1,Table2[HomeTeam],$A38, Table2[AwayTeam], Z$36, Table2[ActualResult], "REG") + SUMIFS(Table2[HomeWon_], Table2[GameIsOver],1,Table2[AwayTeam],$A38, Table2[HomeTeam], Z$36, Table2[ActualResult], "OT") + SUMIFS(Table2[AwayWon], Table2[GameIsOver],1,Table2[HomeTeam],$A38, Table2[AwayTeam], Z$36, Table2[ActualResult], "OT") + SUMIFS(Table2[HomeWon_], Table2[GameIsOver],1,Table2[AwayTeam],$A38, Table2[HomeTeam], Z$36, Table2[ActualResult], "SO") + SUMIFS(Table2[AwayWon], Table2[GameIsOver],1,Table2[HomeTeam],$A38, Table2[AwayTeam], Z$36, Table2[ActualResult], "SO")) / (2*(SUMIFS(Table2[AwayWon], Table2[GameIsOver],1,Table2[AwayTeam],$A38, Table2[HomeTeam], Z$36) + SUMIFS(Table2[HomeWon_], Table2[GameIsOver],1,Table2[HomeTeam],$A38, Table2[AwayTeam], Z$36) + SUMIFS(Table2[HomeWon_], Table2[GameIsOver],1,Table2[AwayTeam],$A38, Table2[HomeTeam], Z$36, Table2[ActualResult], "REG") + SUMIFS(Table2[AwayWon], Table2[GameIsOver],1,Table2[HomeTeam],$A38, Table2[AwayTeam], Z$36, Table2[ActualResult], "REG") + SUMIFS(Table2[HomeWon_], Table2[GameIsOver],1,Table2[AwayTeam],$A38, Table2[HomeTeam], Z$36, Table2[ActualResult], "OT") + SUMIFS(Table2[AwayWon], Table2[GameIsOver],1,Table2[HomeTeam],$A38, Table2[AwayTeam], Z$36, Table2[ActualResult], "OT") + SUMIFS(Table2[HomeWon_], Table2[GameIsOver],1,Table2[AwayTeam],$A38, Table2[HomeTeam], Z$36, Table2[ActualResult], "SO") + SUMIFS(Table2[AwayWon], Table2[GameIsOver],1,Table2[HomeTeam],$A38, Table2[AwayTeam], Z$36, Table2[ActualResult], "SO"))), "")</f>
        <v/>
      </c>
      <c r="AA38" t="str">
        <f>IFERROR(((2*SUMIFS(Table2[AwayWon], Table2[GameIsOver],1,Table2[AwayTeam],$A38, Table2[HomeTeam], AA$36) + SUMIFS(Table2[HomeWon_], Table2[GameIsOver],1,Table2[HomeTeam],$A38, Table2[AwayTeam], AA$36)) + SUMIFS(Table2[AwayWon], Table2[GameIsOver],1,Table2[HomeTeam],$A38, Table2[AwayTeam], AA$36, Table2[ActualResult], "REG") + SUMIFS(Table2[HomeWon_], Table2[GameIsOver],1,Table2[AwayTeam],$A38, Table2[HomeTeam], AA$36, Table2[ActualResult], "OT") + SUMIFS(Table2[AwayWon], Table2[GameIsOver],1,Table2[HomeTeam],$A38, Table2[AwayTeam], AA$36, Table2[ActualResult], "OT") + SUMIFS(Table2[HomeWon_], Table2[GameIsOver],1,Table2[AwayTeam],$A38, Table2[HomeTeam], AA$36, Table2[ActualResult], "SO") + SUMIFS(Table2[AwayWon], Table2[GameIsOver],1,Table2[HomeTeam],$A38, Table2[AwayTeam], AA$36, Table2[ActualResult], "SO")) / (2*(SUMIFS(Table2[AwayWon], Table2[GameIsOver],1,Table2[AwayTeam],$A38, Table2[HomeTeam], AA$36) + SUMIFS(Table2[HomeWon_], Table2[GameIsOver],1,Table2[HomeTeam],$A38, Table2[AwayTeam], AA$36) + SUMIFS(Table2[HomeWon_], Table2[GameIsOver],1,Table2[AwayTeam],$A38, Table2[HomeTeam], AA$36, Table2[ActualResult], "REG") + SUMIFS(Table2[AwayWon], Table2[GameIsOver],1,Table2[HomeTeam],$A38, Table2[AwayTeam], AA$36, Table2[ActualResult], "REG") + SUMIFS(Table2[HomeWon_], Table2[GameIsOver],1,Table2[AwayTeam],$A38, Table2[HomeTeam], AA$36, Table2[ActualResult], "OT") + SUMIFS(Table2[AwayWon], Table2[GameIsOver],1,Table2[HomeTeam],$A38, Table2[AwayTeam], AA$36, Table2[ActualResult], "OT") + SUMIFS(Table2[HomeWon_], Table2[GameIsOver],1,Table2[AwayTeam],$A38, Table2[HomeTeam], AA$36, Table2[ActualResult], "SO") + SUMIFS(Table2[AwayWon], Table2[GameIsOver],1,Table2[HomeTeam],$A38, Table2[AwayTeam], AA$36, Table2[ActualResult], "SO"))), "")</f>
        <v/>
      </c>
      <c r="AB38" t="str">
        <f>IFERROR(((2*SUMIFS(Table2[AwayWon], Table2[GameIsOver],1,Table2[AwayTeam],$A38, Table2[HomeTeam], AB$36) + SUMIFS(Table2[HomeWon_], Table2[GameIsOver],1,Table2[HomeTeam],$A38, Table2[AwayTeam], AB$36)) + SUMIFS(Table2[AwayWon], Table2[GameIsOver],1,Table2[HomeTeam],$A38, Table2[AwayTeam], AB$36, Table2[ActualResult], "REG") + SUMIFS(Table2[HomeWon_], Table2[GameIsOver],1,Table2[AwayTeam],$A38, Table2[HomeTeam], AB$36, Table2[ActualResult], "OT") + SUMIFS(Table2[AwayWon], Table2[GameIsOver],1,Table2[HomeTeam],$A38, Table2[AwayTeam], AB$36, Table2[ActualResult], "OT") + SUMIFS(Table2[HomeWon_], Table2[GameIsOver],1,Table2[AwayTeam],$A38, Table2[HomeTeam], AB$36, Table2[ActualResult], "SO") + SUMIFS(Table2[AwayWon], Table2[GameIsOver],1,Table2[HomeTeam],$A38, Table2[AwayTeam], AB$36, Table2[ActualResult], "SO")) / (2*(SUMIFS(Table2[AwayWon], Table2[GameIsOver],1,Table2[AwayTeam],$A38, Table2[HomeTeam], AB$36) + SUMIFS(Table2[HomeWon_], Table2[GameIsOver],1,Table2[HomeTeam],$A38, Table2[AwayTeam], AB$36) + SUMIFS(Table2[HomeWon_], Table2[GameIsOver],1,Table2[AwayTeam],$A38, Table2[HomeTeam], AB$36, Table2[ActualResult], "REG") + SUMIFS(Table2[AwayWon], Table2[GameIsOver],1,Table2[HomeTeam],$A38, Table2[AwayTeam], AB$36, Table2[ActualResult], "REG") + SUMIFS(Table2[HomeWon_], Table2[GameIsOver],1,Table2[AwayTeam],$A38, Table2[HomeTeam], AB$36, Table2[ActualResult], "OT") + SUMIFS(Table2[AwayWon], Table2[GameIsOver],1,Table2[HomeTeam],$A38, Table2[AwayTeam], AB$36, Table2[ActualResult], "OT") + SUMIFS(Table2[HomeWon_], Table2[GameIsOver],1,Table2[AwayTeam],$A38, Table2[HomeTeam], AB$36, Table2[ActualResult], "SO") + SUMIFS(Table2[AwayWon], Table2[GameIsOver],1,Table2[HomeTeam],$A38, Table2[AwayTeam], AB$36, Table2[ActualResult], "SO"))), "")</f>
        <v/>
      </c>
      <c r="AC38" t="str">
        <f>IFERROR(((2*SUMIFS(Table2[AwayWon], Table2[GameIsOver],1,Table2[AwayTeam],$A38, Table2[HomeTeam], AC$36) + SUMIFS(Table2[HomeWon_], Table2[GameIsOver],1,Table2[HomeTeam],$A38, Table2[AwayTeam], AC$36)) + SUMIFS(Table2[AwayWon], Table2[GameIsOver],1,Table2[HomeTeam],$A38, Table2[AwayTeam], AC$36, Table2[ActualResult], "REG") + SUMIFS(Table2[HomeWon_], Table2[GameIsOver],1,Table2[AwayTeam],$A38, Table2[HomeTeam], AC$36, Table2[ActualResult], "OT") + SUMIFS(Table2[AwayWon], Table2[GameIsOver],1,Table2[HomeTeam],$A38, Table2[AwayTeam], AC$36, Table2[ActualResult], "OT") + SUMIFS(Table2[HomeWon_], Table2[GameIsOver],1,Table2[AwayTeam],$A38, Table2[HomeTeam], AC$36, Table2[ActualResult], "SO") + SUMIFS(Table2[AwayWon], Table2[GameIsOver],1,Table2[HomeTeam],$A38, Table2[AwayTeam], AC$36, Table2[ActualResult], "SO")) / (2*(SUMIFS(Table2[AwayWon], Table2[GameIsOver],1,Table2[AwayTeam],$A38, Table2[HomeTeam], AC$36) + SUMIFS(Table2[HomeWon_], Table2[GameIsOver],1,Table2[HomeTeam],$A38, Table2[AwayTeam], AC$36) + SUMIFS(Table2[HomeWon_], Table2[GameIsOver],1,Table2[AwayTeam],$A38, Table2[HomeTeam], AC$36, Table2[ActualResult], "REG") + SUMIFS(Table2[AwayWon], Table2[GameIsOver],1,Table2[HomeTeam],$A38, Table2[AwayTeam], AC$36, Table2[ActualResult], "REG") + SUMIFS(Table2[HomeWon_], Table2[GameIsOver],1,Table2[AwayTeam],$A38, Table2[HomeTeam], AC$36, Table2[ActualResult], "OT") + SUMIFS(Table2[AwayWon], Table2[GameIsOver],1,Table2[HomeTeam],$A38, Table2[AwayTeam], AC$36, Table2[ActualResult], "OT") + SUMIFS(Table2[HomeWon_], Table2[GameIsOver],1,Table2[AwayTeam],$A38, Table2[HomeTeam], AC$36, Table2[ActualResult], "SO") + SUMIFS(Table2[AwayWon], Table2[GameIsOver],1,Table2[HomeTeam],$A38, Table2[AwayTeam], AC$36, Table2[ActualResult], "SO"))), "")</f>
        <v/>
      </c>
      <c r="AD38" t="str">
        <f>IFERROR(((2*SUMIFS(Table2[AwayWon], Table2[GameIsOver],1,Table2[AwayTeam],$A38, Table2[HomeTeam], AD$36) + SUMIFS(Table2[HomeWon_], Table2[GameIsOver],1,Table2[HomeTeam],$A38, Table2[AwayTeam], AD$36)) + SUMIFS(Table2[AwayWon], Table2[GameIsOver],1,Table2[HomeTeam],$A38, Table2[AwayTeam], AD$36, Table2[ActualResult], "REG") + SUMIFS(Table2[HomeWon_], Table2[GameIsOver],1,Table2[AwayTeam],$A38, Table2[HomeTeam], AD$36, Table2[ActualResult], "OT") + SUMIFS(Table2[AwayWon], Table2[GameIsOver],1,Table2[HomeTeam],$A38, Table2[AwayTeam], AD$36, Table2[ActualResult], "OT") + SUMIFS(Table2[HomeWon_], Table2[GameIsOver],1,Table2[AwayTeam],$A38, Table2[HomeTeam], AD$36, Table2[ActualResult], "SO") + SUMIFS(Table2[AwayWon], Table2[GameIsOver],1,Table2[HomeTeam],$A38, Table2[AwayTeam], AD$36, Table2[ActualResult], "SO")) / (2*(SUMIFS(Table2[AwayWon], Table2[GameIsOver],1,Table2[AwayTeam],$A38, Table2[HomeTeam], AD$36) + SUMIFS(Table2[HomeWon_], Table2[GameIsOver],1,Table2[HomeTeam],$A38, Table2[AwayTeam], AD$36) + SUMIFS(Table2[HomeWon_], Table2[GameIsOver],1,Table2[AwayTeam],$A38, Table2[HomeTeam], AD$36, Table2[ActualResult], "REG") + SUMIFS(Table2[AwayWon], Table2[GameIsOver],1,Table2[HomeTeam],$A38, Table2[AwayTeam], AD$36, Table2[ActualResult], "REG") + SUMIFS(Table2[HomeWon_], Table2[GameIsOver],1,Table2[AwayTeam],$A38, Table2[HomeTeam], AD$36, Table2[ActualResult], "OT") + SUMIFS(Table2[AwayWon], Table2[GameIsOver],1,Table2[HomeTeam],$A38, Table2[AwayTeam], AD$36, Table2[ActualResult], "OT") + SUMIFS(Table2[HomeWon_], Table2[GameIsOver],1,Table2[AwayTeam],$A38, Table2[HomeTeam], AD$36, Table2[ActualResult], "SO") + SUMIFS(Table2[AwayWon], Table2[GameIsOver],1,Table2[HomeTeam],$A38, Table2[AwayTeam], AD$36, Table2[ActualResult], "SO"))), "")</f>
        <v/>
      </c>
      <c r="AE38" t="str">
        <f>IFERROR(((2*SUMIFS(Table2[AwayWon], Table2[GameIsOver],1,Table2[AwayTeam],$A38, Table2[HomeTeam], AE$36) + SUMIFS(Table2[HomeWon_], Table2[GameIsOver],1,Table2[HomeTeam],$A38, Table2[AwayTeam], AE$36)) + SUMIFS(Table2[AwayWon], Table2[GameIsOver],1,Table2[HomeTeam],$A38, Table2[AwayTeam], AE$36, Table2[ActualResult], "REG") + SUMIFS(Table2[HomeWon_], Table2[GameIsOver],1,Table2[AwayTeam],$A38, Table2[HomeTeam], AE$36, Table2[ActualResult], "OT") + SUMIFS(Table2[AwayWon], Table2[GameIsOver],1,Table2[HomeTeam],$A38, Table2[AwayTeam], AE$36, Table2[ActualResult], "OT") + SUMIFS(Table2[HomeWon_], Table2[GameIsOver],1,Table2[AwayTeam],$A38, Table2[HomeTeam], AE$36, Table2[ActualResult], "SO") + SUMIFS(Table2[AwayWon], Table2[GameIsOver],1,Table2[HomeTeam],$A38, Table2[AwayTeam], AE$36, Table2[ActualResult], "SO")) / (2*(SUMIFS(Table2[AwayWon], Table2[GameIsOver],1,Table2[AwayTeam],$A38, Table2[HomeTeam], AE$36) + SUMIFS(Table2[HomeWon_], Table2[GameIsOver],1,Table2[HomeTeam],$A38, Table2[AwayTeam], AE$36) + SUMIFS(Table2[HomeWon_], Table2[GameIsOver],1,Table2[AwayTeam],$A38, Table2[HomeTeam], AE$36, Table2[ActualResult], "REG") + SUMIFS(Table2[AwayWon], Table2[GameIsOver],1,Table2[HomeTeam],$A38, Table2[AwayTeam], AE$36, Table2[ActualResult], "REG") + SUMIFS(Table2[HomeWon_], Table2[GameIsOver],1,Table2[AwayTeam],$A38, Table2[HomeTeam], AE$36, Table2[ActualResult], "OT") + SUMIFS(Table2[AwayWon], Table2[GameIsOver],1,Table2[HomeTeam],$A38, Table2[AwayTeam], AE$36, Table2[ActualResult], "OT") + SUMIFS(Table2[HomeWon_], Table2[GameIsOver],1,Table2[AwayTeam],$A38, Table2[HomeTeam], AE$36, Table2[ActualResult], "SO") + SUMIFS(Table2[AwayWon], Table2[GameIsOver],1,Table2[HomeTeam],$A38, Table2[AwayTeam], AE$36, Table2[ActualResult], "SO"))), "")</f>
        <v/>
      </c>
      <c r="AF38" t="str">
        <f>IFERROR(((2*SUMIFS(Table2[AwayWon], Table2[GameIsOver],1,Table2[AwayTeam],$A38, Table2[HomeTeam], AF$36) + SUMIFS(Table2[HomeWon_], Table2[GameIsOver],1,Table2[HomeTeam],$A38, Table2[AwayTeam], AF$36)) + SUMIFS(Table2[AwayWon], Table2[GameIsOver],1,Table2[HomeTeam],$A38, Table2[AwayTeam], AF$36, Table2[ActualResult], "REG") + SUMIFS(Table2[HomeWon_], Table2[GameIsOver],1,Table2[AwayTeam],$A38, Table2[HomeTeam], AF$36, Table2[ActualResult], "OT") + SUMIFS(Table2[AwayWon], Table2[GameIsOver],1,Table2[HomeTeam],$A38, Table2[AwayTeam], AF$36, Table2[ActualResult], "OT") + SUMIFS(Table2[HomeWon_], Table2[GameIsOver],1,Table2[AwayTeam],$A38, Table2[HomeTeam], AF$36, Table2[ActualResult], "SO") + SUMIFS(Table2[AwayWon], Table2[GameIsOver],1,Table2[HomeTeam],$A38, Table2[AwayTeam], AF$36, Table2[ActualResult], "SO")) / (2*(SUMIFS(Table2[AwayWon], Table2[GameIsOver],1,Table2[AwayTeam],$A38, Table2[HomeTeam], AF$36) + SUMIFS(Table2[HomeWon_], Table2[GameIsOver],1,Table2[HomeTeam],$A38, Table2[AwayTeam], AF$36) + SUMIFS(Table2[HomeWon_], Table2[GameIsOver],1,Table2[AwayTeam],$A38, Table2[HomeTeam], AF$36, Table2[ActualResult], "REG") + SUMIFS(Table2[AwayWon], Table2[GameIsOver],1,Table2[HomeTeam],$A38, Table2[AwayTeam], AF$36, Table2[ActualResult], "REG") + SUMIFS(Table2[HomeWon_], Table2[GameIsOver],1,Table2[AwayTeam],$A38, Table2[HomeTeam], AF$36, Table2[ActualResult], "OT") + SUMIFS(Table2[AwayWon], Table2[GameIsOver],1,Table2[HomeTeam],$A38, Table2[AwayTeam], AF$36, Table2[ActualResult], "OT") + SUMIFS(Table2[HomeWon_], Table2[GameIsOver],1,Table2[AwayTeam],$A38, Table2[HomeTeam], AF$36, Table2[ActualResult], "SO") + SUMIFS(Table2[AwayWon], Table2[GameIsOver],1,Table2[HomeTeam],$A38, Table2[AwayTeam], AF$36, Table2[ActualResult], "SO"))), "")</f>
        <v/>
      </c>
      <c r="AG38" s="57" t="str">
        <f>IFERROR(((2*SUMIFS(Table2[AwayWon], Table2[GameIsOver],1,Table2[AwayTeam],$A38, Table2[HomeTeam], AG$36) + SUMIFS(Table2[HomeWon_], Table2[GameIsOver],1,Table2[HomeTeam],$A38, Table2[AwayTeam], AG$36)) + SUMIFS(Table2[AwayWon], Table2[GameIsOver],1,Table2[HomeTeam],$A38, Table2[AwayTeam], AG$36, Table2[ActualResult], "REG") + SUMIFS(Table2[HomeWon_], Table2[GameIsOver],1,Table2[AwayTeam],$A38, Table2[HomeTeam], AG$36, Table2[ActualResult], "OT") + SUMIFS(Table2[AwayWon], Table2[GameIsOver],1,Table2[HomeTeam],$A38, Table2[AwayTeam], AG$36, Table2[ActualResult], "OT") + SUMIFS(Table2[HomeWon_], Table2[GameIsOver],1,Table2[AwayTeam],$A38, Table2[HomeTeam], AG$36, Table2[ActualResult], "SO") + SUMIFS(Table2[AwayWon], Table2[GameIsOver],1,Table2[HomeTeam],$A38, Table2[AwayTeam], AG$36, Table2[ActualResult], "SO")) / (2*(SUMIFS(Table2[AwayWon], Table2[GameIsOver],1,Table2[AwayTeam],$A38, Table2[HomeTeam], AG$36) + SUMIFS(Table2[HomeWon_], Table2[GameIsOver],1,Table2[HomeTeam],$A38, Table2[AwayTeam], AG$36) + SUMIFS(Table2[HomeWon_], Table2[GameIsOver],1,Table2[AwayTeam],$A38, Table2[HomeTeam], AG$36, Table2[ActualResult], "REG") + SUMIFS(Table2[AwayWon], Table2[GameIsOver],1,Table2[HomeTeam],$A38, Table2[AwayTeam], AG$36, Table2[ActualResult], "REG") + SUMIFS(Table2[HomeWon_], Table2[GameIsOver],1,Table2[AwayTeam],$A38, Table2[HomeTeam], AG$36, Table2[ActualResult], "OT") + SUMIFS(Table2[AwayWon], Table2[GameIsOver],1,Table2[HomeTeam],$A38, Table2[AwayTeam], AG$36, Table2[ActualResult], "OT") + SUMIFS(Table2[HomeWon_], Table2[GameIsOver],1,Table2[AwayTeam],$A38, Table2[HomeTeam], AG$36, Table2[ActualResult], "SO") + SUMIFS(Table2[AwayWon], Table2[GameIsOver],1,Table2[HomeTeam],$A38, Table2[AwayTeam], AG$36, Table2[ActualResult], "SO"))), "")</f>
        <v/>
      </c>
      <c r="AH38" s="101" t="e">
        <f t="shared" ref="AH38:AH68" si="0">AVERAGE($R38:$AG38)</f>
        <v>#DIV/0!</v>
      </c>
      <c r="AI38" s="101">
        <f t="shared" ref="AI38:AI68" si="1">AVERAGE($B38:$Q38)</f>
        <v>0.375</v>
      </c>
      <c r="AJ38" s="103" t="e">
        <f t="shared" ref="AJ38:AJ68" si="2">AVERAGE($Z38:$AG38)</f>
        <v>#DIV/0!</v>
      </c>
      <c r="AK38" s="103" t="e">
        <f t="shared" ref="AK38:AK68" si="3">AVERAGE($R38:$Y38)</f>
        <v>#DIV/0!</v>
      </c>
      <c r="AL38" s="103">
        <f t="shared" ref="AL38:AL68" si="4">AVERAGE($J38:$Q38)</f>
        <v>0.33333333333333331</v>
      </c>
      <c r="AM38" s="103">
        <f t="shared" ref="AM38:AM68" si="5">AVERAGE($B38:$I38)</f>
        <v>0.41666666666666669</v>
      </c>
    </row>
    <row r="39" spans="1:39" x14ac:dyDescent="0.25">
      <c r="A39" s="57" t="s">
        <v>22</v>
      </c>
      <c r="B39" s="24" t="str">
        <f>IFERROR(((2*SUMIFS(Table2[AwayWon], Table2[GameIsOver],1,Table2[AwayTeam],$A39, Table2[HomeTeam], B$36) + SUMIFS(Table2[HomeWon_], Table2[GameIsOver],1,Table2[HomeTeam],$A39, Table2[AwayTeam], B$36)) + SUMIFS(Table2[AwayWon], Table2[GameIsOver],1,Table2[HomeTeam],$A39, Table2[AwayTeam], B$36, Table2[ActualResult], "REG") + SUMIFS(Table2[HomeWon_], Table2[GameIsOver],1,Table2[AwayTeam],$A39, Table2[HomeTeam], B$36, Table2[ActualResult], "OT") + SUMIFS(Table2[AwayWon], Table2[GameIsOver],1,Table2[HomeTeam],$A39, Table2[AwayTeam], B$36, Table2[ActualResult], "OT") + SUMIFS(Table2[HomeWon_], Table2[GameIsOver],1,Table2[AwayTeam],$A39, Table2[HomeTeam], B$36, Table2[ActualResult], "SO") + SUMIFS(Table2[AwayWon], Table2[GameIsOver],1,Table2[HomeTeam],$A39, Table2[AwayTeam], B$36, Table2[ActualResult], "SO")) / (2*(SUMIFS(Table2[AwayWon], Table2[GameIsOver],1,Table2[AwayTeam],$A39, Table2[HomeTeam], B$36) + SUMIFS(Table2[HomeWon_], Table2[GameIsOver],1,Table2[HomeTeam],$A39, Table2[AwayTeam], B$36) + SUMIFS(Table2[HomeWon_], Table2[GameIsOver],1,Table2[AwayTeam],$A39, Table2[HomeTeam], B$36, Table2[ActualResult], "REG") + SUMIFS(Table2[AwayWon], Table2[GameIsOver],1,Table2[HomeTeam],$A39, Table2[AwayTeam], B$36, Table2[ActualResult], "REG") + SUMIFS(Table2[HomeWon_], Table2[GameIsOver],1,Table2[AwayTeam],$A39, Table2[HomeTeam], B$36, Table2[ActualResult], "OT") + SUMIFS(Table2[AwayWon], Table2[GameIsOver],1,Table2[HomeTeam],$A39, Table2[AwayTeam], B$36, Table2[ActualResult], "OT") + SUMIFS(Table2[HomeWon_], Table2[GameIsOver],1,Table2[AwayTeam],$A39, Table2[HomeTeam], B$36, Table2[ActualResult], "SO") + SUMIFS(Table2[AwayWon], Table2[GameIsOver],1,Table2[HomeTeam],$A39, Table2[AwayTeam], B$36, Table2[ActualResult], "SO"))), "")</f>
        <v/>
      </c>
      <c r="C39" s="24">
        <f>IFERROR(((2*SUMIFS(Table2[AwayWon], Table2[GameIsOver],1,Table2[AwayTeam],$A39, Table2[HomeTeam], C$36) + SUMIFS(Table2[HomeWon_], Table2[GameIsOver],1,Table2[HomeTeam],$A39, Table2[AwayTeam], C$36)) + SUMIFS(Table2[AwayWon], Table2[GameIsOver],1,Table2[HomeTeam],$A39, Table2[AwayTeam], C$36, Table2[ActualResult], "REG") + SUMIFS(Table2[HomeWon_], Table2[GameIsOver],1,Table2[AwayTeam],$A39, Table2[HomeTeam], C$36, Table2[ActualResult], "OT") + SUMIFS(Table2[AwayWon], Table2[GameIsOver],1,Table2[HomeTeam],$A39, Table2[AwayTeam], C$36, Table2[ActualResult], "OT") + SUMIFS(Table2[HomeWon_], Table2[GameIsOver],1,Table2[AwayTeam],$A39, Table2[HomeTeam], C$36, Table2[ActualResult], "SO") + SUMIFS(Table2[AwayWon], Table2[GameIsOver],1,Table2[HomeTeam],$A39, Table2[AwayTeam], C$36, Table2[ActualResult], "SO")) / (2*(SUMIFS(Table2[AwayWon], Table2[GameIsOver],1,Table2[AwayTeam],$A39, Table2[HomeTeam], C$36) + SUMIFS(Table2[HomeWon_], Table2[GameIsOver],1,Table2[HomeTeam],$A39, Table2[AwayTeam], C$36) + SUMIFS(Table2[HomeWon_], Table2[GameIsOver],1,Table2[AwayTeam],$A39, Table2[HomeTeam], C$36, Table2[ActualResult], "REG") + SUMIFS(Table2[AwayWon], Table2[GameIsOver],1,Table2[HomeTeam],$A39, Table2[AwayTeam], C$36, Table2[ActualResult], "REG") + SUMIFS(Table2[HomeWon_], Table2[GameIsOver],1,Table2[AwayTeam],$A39, Table2[HomeTeam], C$36, Table2[ActualResult], "OT") + SUMIFS(Table2[AwayWon], Table2[GameIsOver],1,Table2[HomeTeam],$A39, Table2[AwayTeam], C$36, Table2[ActualResult], "OT") + SUMIFS(Table2[HomeWon_], Table2[GameIsOver],1,Table2[AwayTeam],$A39, Table2[HomeTeam], C$36, Table2[ActualResult], "SO") + SUMIFS(Table2[AwayWon], Table2[GameIsOver],1,Table2[HomeTeam],$A39, Table2[AwayTeam], C$36, Table2[ActualResult], "SO"))), "")</f>
        <v>0.5</v>
      </c>
      <c r="D39" s="98" t="str">
        <f>IFERROR(((2*SUMIFS(Table2[AwayWon], Table2[GameIsOver],1,Table2[AwayTeam],$A39, Table2[HomeTeam], D$36) + SUMIFS(Table2[HomeWon_], Table2[GameIsOver],1,Table2[HomeTeam],$A39, Table2[AwayTeam], D$36)) + SUMIFS(Table2[AwayWon], Table2[GameIsOver],1,Table2[HomeTeam],$A39, Table2[AwayTeam], D$36, Table2[ActualResult], "REG") + SUMIFS(Table2[HomeWon_], Table2[GameIsOver],1,Table2[AwayTeam],$A39, Table2[HomeTeam], D$36, Table2[ActualResult], "OT") + SUMIFS(Table2[AwayWon], Table2[GameIsOver],1,Table2[HomeTeam],$A39, Table2[AwayTeam], D$36, Table2[ActualResult], "OT") + SUMIFS(Table2[HomeWon_], Table2[GameIsOver],1,Table2[AwayTeam],$A39, Table2[HomeTeam], D$36, Table2[ActualResult], "SO") + SUMIFS(Table2[AwayWon], Table2[GameIsOver],1,Table2[HomeTeam],$A39, Table2[AwayTeam], D$36, Table2[ActualResult], "SO")) / (2*(SUMIFS(Table2[AwayWon], Table2[GameIsOver],1,Table2[AwayTeam],$A39, Table2[HomeTeam], D$36) + SUMIFS(Table2[HomeWon_], Table2[GameIsOver],1,Table2[HomeTeam],$A39, Table2[AwayTeam], D$36) + SUMIFS(Table2[HomeWon_], Table2[GameIsOver],1,Table2[AwayTeam],$A39, Table2[HomeTeam], D$36, Table2[ActualResult], "REG") + SUMIFS(Table2[AwayWon], Table2[GameIsOver],1,Table2[HomeTeam],$A39, Table2[AwayTeam], D$36, Table2[ActualResult], "REG") + SUMIFS(Table2[HomeWon_], Table2[GameIsOver],1,Table2[AwayTeam],$A39, Table2[HomeTeam], D$36, Table2[ActualResult], "OT") + SUMIFS(Table2[AwayWon], Table2[GameIsOver],1,Table2[HomeTeam],$A39, Table2[AwayTeam], D$36, Table2[ActualResult], "OT") + SUMIFS(Table2[HomeWon_], Table2[GameIsOver],1,Table2[AwayTeam],$A39, Table2[HomeTeam], D$36, Table2[ActualResult], "SO") + SUMIFS(Table2[AwayWon], Table2[GameIsOver],1,Table2[HomeTeam],$A39, Table2[AwayTeam], D$36, Table2[ActualResult], "SO"))), "")</f>
        <v/>
      </c>
      <c r="E39" t="str">
        <f>IFERROR(((2*SUMIFS(Table2[AwayWon], Table2[GameIsOver],1,Table2[AwayTeam],$A39, Table2[HomeTeam], E$36) + SUMIFS(Table2[HomeWon_], Table2[GameIsOver],1,Table2[HomeTeam],$A39, Table2[AwayTeam], E$36)) + SUMIFS(Table2[AwayWon], Table2[GameIsOver],1,Table2[HomeTeam],$A39, Table2[AwayTeam], E$36, Table2[ActualResult], "REG") + SUMIFS(Table2[HomeWon_], Table2[GameIsOver],1,Table2[AwayTeam],$A39, Table2[HomeTeam], E$36, Table2[ActualResult], "OT") + SUMIFS(Table2[AwayWon], Table2[GameIsOver],1,Table2[HomeTeam],$A39, Table2[AwayTeam], E$36, Table2[ActualResult], "OT") + SUMIFS(Table2[HomeWon_], Table2[GameIsOver],1,Table2[AwayTeam],$A39, Table2[HomeTeam], E$36, Table2[ActualResult], "SO") + SUMIFS(Table2[AwayWon], Table2[GameIsOver],1,Table2[HomeTeam],$A39, Table2[AwayTeam], E$36, Table2[ActualResult], "SO")) / (2*(SUMIFS(Table2[AwayWon], Table2[GameIsOver],1,Table2[AwayTeam],$A39, Table2[HomeTeam], E$36) + SUMIFS(Table2[HomeWon_], Table2[GameIsOver],1,Table2[HomeTeam],$A39, Table2[AwayTeam], E$36) + SUMIFS(Table2[HomeWon_], Table2[GameIsOver],1,Table2[AwayTeam],$A39, Table2[HomeTeam], E$36, Table2[ActualResult], "REG") + SUMIFS(Table2[AwayWon], Table2[GameIsOver],1,Table2[HomeTeam],$A39, Table2[AwayTeam], E$36, Table2[ActualResult], "REG") + SUMIFS(Table2[HomeWon_], Table2[GameIsOver],1,Table2[AwayTeam],$A39, Table2[HomeTeam], E$36, Table2[ActualResult], "OT") + SUMIFS(Table2[AwayWon], Table2[GameIsOver],1,Table2[HomeTeam],$A39, Table2[AwayTeam], E$36, Table2[ActualResult], "OT") + SUMIFS(Table2[HomeWon_], Table2[GameIsOver],1,Table2[AwayTeam],$A39, Table2[HomeTeam], E$36, Table2[ActualResult], "SO") + SUMIFS(Table2[AwayWon], Table2[GameIsOver],1,Table2[HomeTeam],$A39, Table2[AwayTeam], E$36, Table2[ActualResult], "SO"))), "")</f>
        <v/>
      </c>
      <c r="F39" t="str">
        <f>IFERROR(((2*SUMIFS(Table2[AwayWon], Table2[GameIsOver],1,Table2[AwayTeam],$A39, Table2[HomeTeam], F$36) + SUMIFS(Table2[HomeWon_], Table2[GameIsOver],1,Table2[HomeTeam],$A39, Table2[AwayTeam], F$36)) + SUMIFS(Table2[AwayWon], Table2[GameIsOver],1,Table2[HomeTeam],$A39, Table2[AwayTeam], F$36, Table2[ActualResult], "REG") + SUMIFS(Table2[HomeWon_], Table2[GameIsOver],1,Table2[AwayTeam],$A39, Table2[HomeTeam], F$36, Table2[ActualResult], "OT") + SUMIFS(Table2[AwayWon], Table2[GameIsOver],1,Table2[HomeTeam],$A39, Table2[AwayTeam], F$36, Table2[ActualResult], "OT") + SUMIFS(Table2[HomeWon_], Table2[GameIsOver],1,Table2[AwayTeam],$A39, Table2[HomeTeam], F$36, Table2[ActualResult], "SO") + SUMIFS(Table2[AwayWon], Table2[GameIsOver],1,Table2[HomeTeam],$A39, Table2[AwayTeam], F$36, Table2[ActualResult], "SO")) / (2*(SUMIFS(Table2[AwayWon], Table2[GameIsOver],1,Table2[AwayTeam],$A39, Table2[HomeTeam], F$36) + SUMIFS(Table2[HomeWon_], Table2[GameIsOver],1,Table2[HomeTeam],$A39, Table2[AwayTeam], F$36) + SUMIFS(Table2[HomeWon_], Table2[GameIsOver],1,Table2[AwayTeam],$A39, Table2[HomeTeam], F$36, Table2[ActualResult], "REG") + SUMIFS(Table2[AwayWon], Table2[GameIsOver],1,Table2[HomeTeam],$A39, Table2[AwayTeam], F$36, Table2[ActualResult], "REG") + SUMIFS(Table2[HomeWon_], Table2[GameIsOver],1,Table2[AwayTeam],$A39, Table2[HomeTeam], F$36, Table2[ActualResult], "OT") + SUMIFS(Table2[AwayWon], Table2[GameIsOver],1,Table2[HomeTeam],$A39, Table2[AwayTeam], F$36, Table2[ActualResult], "OT") + SUMIFS(Table2[HomeWon_], Table2[GameIsOver],1,Table2[AwayTeam],$A39, Table2[HomeTeam], F$36, Table2[ActualResult], "SO") + SUMIFS(Table2[AwayWon], Table2[GameIsOver],1,Table2[HomeTeam],$A39, Table2[AwayTeam], F$36, Table2[ActualResult], "SO"))), "")</f>
        <v/>
      </c>
      <c r="G39" t="str">
        <f>IFERROR(((2*SUMIFS(Table2[AwayWon], Table2[GameIsOver],1,Table2[AwayTeam],$A39, Table2[HomeTeam], G$36) + SUMIFS(Table2[HomeWon_], Table2[GameIsOver],1,Table2[HomeTeam],$A39, Table2[AwayTeam], G$36)) + SUMIFS(Table2[AwayWon], Table2[GameIsOver],1,Table2[HomeTeam],$A39, Table2[AwayTeam], G$36, Table2[ActualResult], "REG") + SUMIFS(Table2[HomeWon_], Table2[GameIsOver],1,Table2[AwayTeam],$A39, Table2[HomeTeam], G$36, Table2[ActualResult], "OT") + SUMIFS(Table2[AwayWon], Table2[GameIsOver],1,Table2[HomeTeam],$A39, Table2[AwayTeam], G$36, Table2[ActualResult], "OT") + SUMIFS(Table2[HomeWon_], Table2[GameIsOver],1,Table2[AwayTeam],$A39, Table2[HomeTeam], G$36, Table2[ActualResult], "SO") + SUMIFS(Table2[AwayWon], Table2[GameIsOver],1,Table2[HomeTeam],$A39, Table2[AwayTeam], G$36, Table2[ActualResult], "SO")) / (2*(SUMIFS(Table2[AwayWon], Table2[GameIsOver],1,Table2[AwayTeam],$A39, Table2[HomeTeam], G$36) + SUMIFS(Table2[HomeWon_], Table2[GameIsOver],1,Table2[HomeTeam],$A39, Table2[AwayTeam], G$36) + SUMIFS(Table2[HomeWon_], Table2[GameIsOver],1,Table2[AwayTeam],$A39, Table2[HomeTeam], G$36, Table2[ActualResult], "REG") + SUMIFS(Table2[AwayWon], Table2[GameIsOver],1,Table2[HomeTeam],$A39, Table2[AwayTeam], G$36, Table2[ActualResult], "REG") + SUMIFS(Table2[HomeWon_], Table2[GameIsOver],1,Table2[AwayTeam],$A39, Table2[HomeTeam], G$36, Table2[ActualResult], "OT") + SUMIFS(Table2[AwayWon], Table2[GameIsOver],1,Table2[HomeTeam],$A39, Table2[AwayTeam], G$36, Table2[ActualResult], "OT") + SUMIFS(Table2[HomeWon_], Table2[GameIsOver],1,Table2[AwayTeam],$A39, Table2[HomeTeam], G$36, Table2[ActualResult], "SO") + SUMIFS(Table2[AwayWon], Table2[GameIsOver],1,Table2[HomeTeam],$A39, Table2[AwayTeam], G$36, Table2[ActualResult], "SO"))), "")</f>
        <v/>
      </c>
      <c r="H39">
        <f>IFERROR(((2*SUMIFS(Table2[AwayWon], Table2[GameIsOver],1,Table2[AwayTeam],$A39, Table2[HomeTeam], H$36) + SUMIFS(Table2[HomeWon_], Table2[GameIsOver],1,Table2[HomeTeam],$A39, Table2[AwayTeam], H$36)) + SUMIFS(Table2[AwayWon], Table2[GameIsOver],1,Table2[HomeTeam],$A39, Table2[AwayTeam], H$36, Table2[ActualResult], "REG") + SUMIFS(Table2[HomeWon_], Table2[GameIsOver],1,Table2[AwayTeam],$A39, Table2[HomeTeam], H$36, Table2[ActualResult], "OT") + SUMIFS(Table2[AwayWon], Table2[GameIsOver],1,Table2[HomeTeam],$A39, Table2[AwayTeam], H$36, Table2[ActualResult], "OT") + SUMIFS(Table2[HomeWon_], Table2[GameIsOver],1,Table2[AwayTeam],$A39, Table2[HomeTeam], H$36, Table2[ActualResult], "SO") + SUMIFS(Table2[AwayWon], Table2[GameIsOver],1,Table2[HomeTeam],$A39, Table2[AwayTeam], H$36, Table2[ActualResult], "SO")) / (2*(SUMIFS(Table2[AwayWon], Table2[GameIsOver],1,Table2[AwayTeam],$A39, Table2[HomeTeam], H$36) + SUMIFS(Table2[HomeWon_], Table2[GameIsOver],1,Table2[HomeTeam],$A39, Table2[AwayTeam], H$36) + SUMIFS(Table2[HomeWon_], Table2[GameIsOver],1,Table2[AwayTeam],$A39, Table2[HomeTeam], H$36, Table2[ActualResult], "REG") + SUMIFS(Table2[AwayWon], Table2[GameIsOver],1,Table2[HomeTeam],$A39, Table2[AwayTeam], H$36, Table2[ActualResult], "REG") + SUMIFS(Table2[HomeWon_], Table2[GameIsOver],1,Table2[AwayTeam],$A39, Table2[HomeTeam], H$36, Table2[ActualResult], "OT") + SUMIFS(Table2[AwayWon], Table2[GameIsOver],1,Table2[HomeTeam],$A39, Table2[AwayTeam], H$36, Table2[ActualResult], "OT") + SUMIFS(Table2[HomeWon_], Table2[GameIsOver],1,Table2[AwayTeam],$A39, Table2[HomeTeam], H$36, Table2[ActualResult], "SO") + SUMIFS(Table2[AwayWon], Table2[GameIsOver],1,Table2[HomeTeam],$A39, Table2[AwayTeam], H$36, Table2[ActualResult], "SO"))), "")</f>
        <v>0.5</v>
      </c>
      <c r="I39" s="57" t="str">
        <f>IFERROR(((2*SUMIFS(Table2[AwayWon], Table2[GameIsOver],1,Table2[AwayTeam],$A39, Table2[HomeTeam], I$36) + SUMIFS(Table2[HomeWon_], Table2[GameIsOver],1,Table2[HomeTeam],$A39, Table2[AwayTeam], I$36)) + SUMIFS(Table2[AwayWon], Table2[GameIsOver],1,Table2[HomeTeam],$A39, Table2[AwayTeam], I$36, Table2[ActualResult], "REG") + SUMIFS(Table2[HomeWon_], Table2[GameIsOver],1,Table2[AwayTeam],$A39, Table2[HomeTeam], I$36, Table2[ActualResult], "OT") + SUMIFS(Table2[AwayWon], Table2[GameIsOver],1,Table2[HomeTeam],$A39, Table2[AwayTeam], I$36, Table2[ActualResult], "OT") + SUMIFS(Table2[HomeWon_], Table2[GameIsOver],1,Table2[AwayTeam],$A39, Table2[HomeTeam], I$36, Table2[ActualResult], "SO") + SUMIFS(Table2[AwayWon], Table2[GameIsOver],1,Table2[HomeTeam],$A39, Table2[AwayTeam], I$36, Table2[ActualResult], "SO")) / (2*(SUMIFS(Table2[AwayWon], Table2[GameIsOver],1,Table2[AwayTeam],$A39, Table2[HomeTeam], I$36) + SUMIFS(Table2[HomeWon_], Table2[GameIsOver],1,Table2[HomeTeam],$A39, Table2[AwayTeam], I$36) + SUMIFS(Table2[HomeWon_], Table2[GameIsOver],1,Table2[AwayTeam],$A39, Table2[HomeTeam], I$36, Table2[ActualResult], "REG") + SUMIFS(Table2[AwayWon], Table2[GameIsOver],1,Table2[HomeTeam],$A39, Table2[AwayTeam], I$36, Table2[ActualResult], "REG") + SUMIFS(Table2[HomeWon_], Table2[GameIsOver],1,Table2[AwayTeam],$A39, Table2[HomeTeam], I$36, Table2[ActualResult], "OT") + SUMIFS(Table2[AwayWon], Table2[GameIsOver],1,Table2[HomeTeam],$A39, Table2[AwayTeam], I$36, Table2[ActualResult], "OT") + SUMIFS(Table2[HomeWon_], Table2[GameIsOver],1,Table2[AwayTeam],$A39, Table2[HomeTeam], I$36, Table2[ActualResult], "SO") + SUMIFS(Table2[AwayWon], Table2[GameIsOver],1,Table2[HomeTeam],$A39, Table2[AwayTeam], I$36, Table2[ActualResult], "SO"))), "")</f>
        <v/>
      </c>
      <c r="J39" t="str">
        <f>IFERROR(((2*SUMIFS(Table2[AwayWon], Table2[GameIsOver],1,Table2[AwayTeam],$A39, Table2[HomeTeam], J$36) + SUMIFS(Table2[HomeWon_], Table2[GameIsOver],1,Table2[HomeTeam],$A39, Table2[AwayTeam], J$36)) + SUMIFS(Table2[AwayWon], Table2[GameIsOver],1,Table2[HomeTeam],$A39, Table2[AwayTeam], J$36, Table2[ActualResult], "REG") + SUMIFS(Table2[HomeWon_], Table2[GameIsOver],1,Table2[AwayTeam],$A39, Table2[HomeTeam], J$36, Table2[ActualResult], "OT") + SUMIFS(Table2[AwayWon], Table2[GameIsOver],1,Table2[HomeTeam],$A39, Table2[AwayTeam], J$36, Table2[ActualResult], "OT") + SUMIFS(Table2[HomeWon_], Table2[GameIsOver],1,Table2[AwayTeam],$A39, Table2[HomeTeam], J$36, Table2[ActualResult], "SO") + SUMIFS(Table2[AwayWon], Table2[GameIsOver],1,Table2[HomeTeam],$A39, Table2[AwayTeam], J$36, Table2[ActualResult], "SO")) / (2*(SUMIFS(Table2[AwayWon], Table2[GameIsOver],1,Table2[AwayTeam],$A39, Table2[HomeTeam], J$36) + SUMIFS(Table2[HomeWon_], Table2[GameIsOver],1,Table2[HomeTeam],$A39, Table2[AwayTeam], J$36) + SUMIFS(Table2[HomeWon_], Table2[GameIsOver],1,Table2[AwayTeam],$A39, Table2[HomeTeam], J$36, Table2[ActualResult], "REG") + SUMIFS(Table2[AwayWon], Table2[GameIsOver],1,Table2[HomeTeam],$A39, Table2[AwayTeam], J$36, Table2[ActualResult], "REG") + SUMIFS(Table2[HomeWon_], Table2[GameIsOver],1,Table2[AwayTeam],$A39, Table2[HomeTeam], J$36, Table2[ActualResult], "OT") + SUMIFS(Table2[AwayWon], Table2[GameIsOver],1,Table2[HomeTeam],$A39, Table2[AwayTeam], J$36, Table2[ActualResult], "OT") + SUMIFS(Table2[HomeWon_], Table2[GameIsOver],1,Table2[AwayTeam],$A39, Table2[HomeTeam], J$36, Table2[ActualResult], "SO") + SUMIFS(Table2[AwayWon], Table2[GameIsOver],1,Table2[HomeTeam],$A39, Table2[AwayTeam], J$36, Table2[ActualResult], "SO"))), "")</f>
        <v/>
      </c>
      <c r="K39" t="str">
        <f>IFERROR(((2*SUMIFS(Table2[AwayWon], Table2[GameIsOver],1,Table2[AwayTeam],$A39, Table2[HomeTeam], K$36) + SUMIFS(Table2[HomeWon_], Table2[GameIsOver],1,Table2[HomeTeam],$A39, Table2[AwayTeam], K$36)) + SUMIFS(Table2[AwayWon], Table2[GameIsOver],1,Table2[HomeTeam],$A39, Table2[AwayTeam], K$36, Table2[ActualResult], "REG") + SUMIFS(Table2[HomeWon_], Table2[GameIsOver],1,Table2[AwayTeam],$A39, Table2[HomeTeam], K$36, Table2[ActualResult], "OT") + SUMIFS(Table2[AwayWon], Table2[GameIsOver],1,Table2[HomeTeam],$A39, Table2[AwayTeam], K$36, Table2[ActualResult], "OT") + SUMIFS(Table2[HomeWon_], Table2[GameIsOver],1,Table2[AwayTeam],$A39, Table2[HomeTeam], K$36, Table2[ActualResult], "SO") + SUMIFS(Table2[AwayWon], Table2[GameIsOver],1,Table2[HomeTeam],$A39, Table2[AwayTeam], K$36, Table2[ActualResult], "SO")) / (2*(SUMIFS(Table2[AwayWon], Table2[GameIsOver],1,Table2[AwayTeam],$A39, Table2[HomeTeam], K$36) + SUMIFS(Table2[HomeWon_], Table2[GameIsOver],1,Table2[HomeTeam],$A39, Table2[AwayTeam], K$36) + SUMIFS(Table2[HomeWon_], Table2[GameIsOver],1,Table2[AwayTeam],$A39, Table2[HomeTeam], K$36, Table2[ActualResult], "REG") + SUMIFS(Table2[AwayWon], Table2[GameIsOver],1,Table2[HomeTeam],$A39, Table2[AwayTeam], K$36, Table2[ActualResult], "REG") + SUMIFS(Table2[HomeWon_], Table2[GameIsOver],1,Table2[AwayTeam],$A39, Table2[HomeTeam], K$36, Table2[ActualResult], "OT") + SUMIFS(Table2[AwayWon], Table2[GameIsOver],1,Table2[HomeTeam],$A39, Table2[AwayTeam], K$36, Table2[ActualResult], "OT") + SUMIFS(Table2[HomeWon_], Table2[GameIsOver],1,Table2[AwayTeam],$A39, Table2[HomeTeam], K$36, Table2[ActualResult], "SO") + SUMIFS(Table2[AwayWon], Table2[GameIsOver],1,Table2[HomeTeam],$A39, Table2[AwayTeam], K$36, Table2[ActualResult], "SO"))), "")</f>
        <v/>
      </c>
      <c r="L39" t="str">
        <f>IFERROR(((2*SUMIFS(Table2[AwayWon], Table2[GameIsOver],1,Table2[AwayTeam],$A39, Table2[HomeTeam], L$36) + SUMIFS(Table2[HomeWon_], Table2[GameIsOver],1,Table2[HomeTeam],$A39, Table2[AwayTeam], L$36)) + SUMIFS(Table2[AwayWon], Table2[GameIsOver],1,Table2[HomeTeam],$A39, Table2[AwayTeam], L$36, Table2[ActualResult], "REG") + SUMIFS(Table2[HomeWon_], Table2[GameIsOver],1,Table2[AwayTeam],$A39, Table2[HomeTeam], L$36, Table2[ActualResult], "OT") + SUMIFS(Table2[AwayWon], Table2[GameIsOver],1,Table2[HomeTeam],$A39, Table2[AwayTeam], L$36, Table2[ActualResult], "OT") + SUMIFS(Table2[HomeWon_], Table2[GameIsOver],1,Table2[AwayTeam],$A39, Table2[HomeTeam], L$36, Table2[ActualResult], "SO") + SUMIFS(Table2[AwayWon], Table2[GameIsOver],1,Table2[HomeTeam],$A39, Table2[AwayTeam], L$36, Table2[ActualResult], "SO")) / (2*(SUMIFS(Table2[AwayWon], Table2[GameIsOver],1,Table2[AwayTeam],$A39, Table2[HomeTeam], L$36) + SUMIFS(Table2[HomeWon_], Table2[GameIsOver],1,Table2[HomeTeam],$A39, Table2[AwayTeam], L$36) + SUMIFS(Table2[HomeWon_], Table2[GameIsOver],1,Table2[AwayTeam],$A39, Table2[HomeTeam], L$36, Table2[ActualResult], "REG") + SUMIFS(Table2[AwayWon], Table2[GameIsOver],1,Table2[HomeTeam],$A39, Table2[AwayTeam], L$36, Table2[ActualResult], "REG") + SUMIFS(Table2[HomeWon_], Table2[GameIsOver],1,Table2[AwayTeam],$A39, Table2[HomeTeam], L$36, Table2[ActualResult], "OT") + SUMIFS(Table2[AwayWon], Table2[GameIsOver],1,Table2[HomeTeam],$A39, Table2[AwayTeam], L$36, Table2[ActualResult], "OT") + SUMIFS(Table2[HomeWon_], Table2[GameIsOver],1,Table2[AwayTeam],$A39, Table2[HomeTeam], L$36, Table2[ActualResult], "SO") + SUMIFS(Table2[AwayWon], Table2[GameIsOver],1,Table2[HomeTeam],$A39, Table2[AwayTeam], L$36, Table2[ActualResult], "SO"))), "")</f>
        <v/>
      </c>
      <c r="M39" t="str">
        <f>IFERROR(((2*SUMIFS(Table2[AwayWon], Table2[GameIsOver],1,Table2[AwayTeam],$A39, Table2[HomeTeam], M$36) + SUMIFS(Table2[HomeWon_], Table2[GameIsOver],1,Table2[HomeTeam],$A39, Table2[AwayTeam], M$36)) + SUMIFS(Table2[AwayWon], Table2[GameIsOver],1,Table2[HomeTeam],$A39, Table2[AwayTeam], M$36, Table2[ActualResult], "REG") + SUMIFS(Table2[HomeWon_], Table2[GameIsOver],1,Table2[AwayTeam],$A39, Table2[HomeTeam], M$36, Table2[ActualResult], "OT") + SUMIFS(Table2[AwayWon], Table2[GameIsOver],1,Table2[HomeTeam],$A39, Table2[AwayTeam], M$36, Table2[ActualResult], "OT") + SUMIFS(Table2[HomeWon_], Table2[GameIsOver],1,Table2[AwayTeam],$A39, Table2[HomeTeam], M$36, Table2[ActualResult], "SO") + SUMIFS(Table2[AwayWon], Table2[GameIsOver],1,Table2[HomeTeam],$A39, Table2[AwayTeam], M$36, Table2[ActualResult], "SO")) / (2*(SUMIFS(Table2[AwayWon], Table2[GameIsOver],1,Table2[AwayTeam],$A39, Table2[HomeTeam], M$36) + SUMIFS(Table2[HomeWon_], Table2[GameIsOver],1,Table2[HomeTeam],$A39, Table2[AwayTeam], M$36) + SUMIFS(Table2[HomeWon_], Table2[GameIsOver],1,Table2[AwayTeam],$A39, Table2[HomeTeam], M$36, Table2[ActualResult], "REG") + SUMIFS(Table2[AwayWon], Table2[GameIsOver],1,Table2[HomeTeam],$A39, Table2[AwayTeam], M$36, Table2[ActualResult], "REG") + SUMIFS(Table2[HomeWon_], Table2[GameIsOver],1,Table2[AwayTeam],$A39, Table2[HomeTeam], M$36, Table2[ActualResult], "OT") + SUMIFS(Table2[AwayWon], Table2[GameIsOver],1,Table2[HomeTeam],$A39, Table2[AwayTeam], M$36, Table2[ActualResult], "OT") + SUMIFS(Table2[HomeWon_], Table2[GameIsOver],1,Table2[AwayTeam],$A39, Table2[HomeTeam], M$36, Table2[ActualResult], "SO") + SUMIFS(Table2[AwayWon], Table2[GameIsOver],1,Table2[HomeTeam],$A39, Table2[AwayTeam], M$36, Table2[ActualResult], "SO"))), "")</f>
        <v/>
      </c>
      <c r="N39" t="str">
        <f>IFERROR(((2*SUMIFS(Table2[AwayWon], Table2[GameIsOver],1,Table2[AwayTeam],$A39, Table2[HomeTeam], N$36) + SUMIFS(Table2[HomeWon_], Table2[GameIsOver],1,Table2[HomeTeam],$A39, Table2[AwayTeam], N$36)) + SUMIFS(Table2[AwayWon], Table2[GameIsOver],1,Table2[HomeTeam],$A39, Table2[AwayTeam], N$36, Table2[ActualResult], "REG") + SUMIFS(Table2[HomeWon_], Table2[GameIsOver],1,Table2[AwayTeam],$A39, Table2[HomeTeam], N$36, Table2[ActualResult], "OT") + SUMIFS(Table2[AwayWon], Table2[GameIsOver],1,Table2[HomeTeam],$A39, Table2[AwayTeam], N$36, Table2[ActualResult], "OT") + SUMIFS(Table2[HomeWon_], Table2[GameIsOver],1,Table2[AwayTeam],$A39, Table2[HomeTeam], N$36, Table2[ActualResult], "SO") + SUMIFS(Table2[AwayWon], Table2[GameIsOver],1,Table2[HomeTeam],$A39, Table2[AwayTeam], N$36, Table2[ActualResult], "SO")) / (2*(SUMIFS(Table2[AwayWon], Table2[GameIsOver],1,Table2[AwayTeam],$A39, Table2[HomeTeam], N$36) + SUMIFS(Table2[HomeWon_], Table2[GameIsOver],1,Table2[HomeTeam],$A39, Table2[AwayTeam], N$36) + SUMIFS(Table2[HomeWon_], Table2[GameIsOver],1,Table2[AwayTeam],$A39, Table2[HomeTeam], N$36, Table2[ActualResult], "REG") + SUMIFS(Table2[AwayWon], Table2[GameIsOver],1,Table2[HomeTeam],$A39, Table2[AwayTeam], N$36, Table2[ActualResult], "REG") + SUMIFS(Table2[HomeWon_], Table2[GameIsOver],1,Table2[AwayTeam],$A39, Table2[HomeTeam], N$36, Table2[ActualResult], "OT") + SUMIFS(Table2[AwayWon], Table2[GameIsOver],1,Table2[HomeTeam],$A39, Table2[AwayTeam], N$36, Table2[ActualResult], "OT") + SUMIFS(Table2[HomeWon_], Table2[GameIsOver],1,Table2[AwayTeam],$A39, Table2[HomeTeam], N$36, Table2[ActualResult], "SO") + SUMIFS(Table2[AwayWon], Table2[GameIsOver],1,Table2[HomeTeam],$A39, Table2[AwayTeam], N$36, Table2[ActualResult], "SO"))), "")</f>
        <v/>
      </c>
      <c r="O39" t="str">
        <f>IFERROR(((2*SUMIFS(Table2[AwayWon], Table2[GameIsOver],1,Table2[AwayTeam],$A39, Table2[HomeTeam], O$36) + SUMIFS(Table2[HomeWon_], Table2[GameIsOver],1,Table2[HomeTeam],$A39, Table2[AwayTeam], O$36)) + SUMIFS(Table2[AwayWon], Table2[GameIsOver],1,Table2[HomeTeam],$A39, Table2[AwayTeam], O$36, Table2[ActualResult], "REG") + SUMIFS(Table2[HomeWon_], Table2[GameIsOver],1,Table2[AwayTeam],$A39, Table2[HomeTeam], O$36, Table2[ActualResult], "OT") + SUMIFS(Table2[AwayWon], Table2[GameIsOver],1,Table2[HomeTeam],$A39, Table2[AwayTeam], O$36, Table2[ActualResult], "OT") + SUMIFS(Table2[HomeWon_], Table2[GameIsOver],1,Table2[AwayTeam],$A39, Table2[HomeTeam], O$36, Table2[ActualResult], "SO") + SUMIFS(Table2[AwayWon], Table2[GameIsOver],1,Table2[HomeTeam],$A39, Table2[AwayTeam], O$36, Table2[ActualResult], "SO")) / (2*(SUMIFS(Table2[AwayWon], Table2[GameIsOver],1,Table2[AwayTeam],$A39, Table2[HomeTeam], O$36) + SUMIFS(Table2[HomeWon_], Table2[GameIsOver],1,Table2[HomeTeam],$A39, Table2[AwayTeam], O$36) + SUMIFS(Table2[HomeWon_], Table2[GameIsOver],1,Table2[AwayTeam],$A39, Table2[HomeTeam], O$36, Table2[ActualResult], "REG") + SUMIFS(Table2[AwayWon], Table2[GameIsOver],1,Table2[HomeTeam],$A39, Table2[AwayTeam], O$36, Table2[ActualResult], "REG") + SUMIFS(Table2[HomeWon_], Table2[GameIsOver],1,Table2[AwayTeam],$A39, Table2[HomeTeam], O$36, Table2[ActualResult], "OT") + SUMIFS(Table2[AwayWon], Table2[GameIsOver],1,Table2[HomeTeam],$A39, Table2[AwayTeam], O$36, Table2[ActualResult], "OT") + SUMIFS(Table2[HomeWon_], Table2[GameIsOver],1,Table2[AwayTeam],$A39, Table2[HomeTeam], O$36, Table2[ActualResult], "SO") + SUMIFS(Table2[AwayWon], Table2[GameIsOver],1,Table2[HomeTeam],$A39, Table2[AwayTeam], O$36, Table2[ActualResult], "SO"))), "")</f>
        <v/>
      </c>
      <c r="P39" t="str">
        <f>IFERROR(((2*SUMIFS(Table2[AwayWon], Table2[GameIsOver],1,Table2[AwayTeam],$A39, Table2[HomeTeam], P$36) + SUMIFS(Table2[HomeWon_], Table2[GameIsOver],1,Table2[HomeTeam],$A39, Table2[AwayTeam], P$36)) + SUMIFS(Table2[AwayWon], Table2[GameIsOver],1,Table2[HomeTeam],$A39, Table2[AwayTeam], P$36, Table2[ActualResult], "REG") + SUMIFS(Table2[HomeWon_], Table2[GameIsOver],1,Table2[AwayTeam],$A39, Table2[HomeTeam], P$36, Table2[ActualResult], "OT") + SUMIFS(Table2[AwayWon], Table2[GameIsOver],1,Table2[HomeTeam],$A39, Table2[AwayTeam], P$36, Table2[ActualResult], "OT") + SUMIFS(Table2[HomeWon_], Table2[GameIsOver],1,Table2[AwayTeam],$A39, Table2[HomeTeam], P$36, Table2[ActualResult], "SO") + SUMIFS(Table2[AwayWon], Table2[GameIsOver],1,Table2[HomeTeam],$A39, Table2[AwayTeam], P$36, Table2[ActualResult], "SO")) / (2*(SUMIFS(Table2[AwayWon], Table2[GameIsOver],1,Table2[AwayTeam],$A39, Table2[HomeTeam], P$36) + SUMIFS(Table2[HomeWon_], Table2[GameIsOver],1,Table2[HomeTeam],$A39, Table2[AwayTeam], P$36) + SUMIFS(Table2[HomeWon_], Table2[GameIsOver],1,Table2[AwayTeam],$A39, Table2[HomeTeam], P$36, Table2[ActualResult], "REG") + SUMIFS(Table2[AwayWon], Table2[GameIsOver],1,Table2[HomeTeam],$A39, Table2[AwayTeam], P$36, Table2[ActualResult], "REG") + SUMIFS(Table2[HomeWon_], Table2[GameIsOver],1,Table2[AwayTeam],$A39, Table2[HomeTeam], P$36, Table2[ActualResult], "OT") + SUMIFS(Table2[AwayWon], Table2[GameIsOver],1,Table2[HomeTeam],$A39, Table2[AwayTeam], P$36, Table2[ActualResult], "OT") + SUMIFS(Table2[HomeWon_], Table2[GameIsOver],1,Table2[AwayTeam],$A39, Table2[HomeTeam], P$36, Table2[ActualResult], "SO") + SUMIFS(Table2[AwayWon], Table2[GameIsOver],1,Table2[HomeTeam],$A39, Table2[AwayTeam], P$36, Table2[ActualResult], "SO"))), "")</f>
        <v/>
      </c>
      <c r="Q39" s="57" t="str">
        <f>IFERROR(((2*SUMIFS(Table2[AwayWon], Table2[GameIsOver],1,Table2[AwayTeam],$A39, Table2[HomeTeam], Q$36) + SUMIFS(Table2[HomeWon_], Table2[GameIsOver],1,Table2[HomeTeam],$A39, Table2[AwayTeam], Q$36)) + SUMIFS(Table2[AwayWon], Table2[GameIsOver],1,Table2[HomeTeam],$A39, Table2[AwayTeam], Q$36, Table2[ActualResult], "REG") + SUMIFS(Table2[HomeWon_], Table2[GameIsOver],1,Table2[AwayTeam],$A39, Table2[HomeTeam], Q$36, Table2[ActualResult], "OT") + SUMIFS(Table2[AwayWon], Table2[GameIsOver],1,Table2[HomeTeam],$A39, Table2[AwayTeam], Q$36, Table2[ActualResult], "OT") + SUMIFS(Table2[HomeWon_], Table2[GameIsOver],1,Table2[AwayTeam],$A39, Table2[HomeTeam], Q$36, Table2[ActualResult], "SO") + SUMIFS(Table2[AwayWon], Table2[GameIsOver],1,Table2[HomeTeam],$A39, Table2[AwayTeam], Q$36, Table2[ActualResult], "SO")) / (2*(SUMIFS(Table2[AwayWon], Table2[GameIsOver],1,Table2[AwayTeam],$A39, Table2[HomeTeam], Q$36) + SUMIFS(Table2[HomeWon_], Table2[GameIsOver],1,Table2[HomeTeam],$A39, Table2[AwayTeam], Q$36) + SUMIFS(Table2[HomeWon_], Table2[GameIsOver],1,Table2[AwayTeam],$A39, Table2[HomeTeam], Q$36, Table2[ActualResult], "REG") + SUMIFS(Table2[AwayWon], Table2[GameIsOver],1,Table2[HomeTeam],$A39, Table2[AwayTeam], Q$36, Table2[ActualResult], "REG") + SUMIFS(Table2[HomeWon_], Table2[GameIsOver],1,Table2[AwayTeam],$A39, Table2[HomeTeam], Q$36, Table2[ActualResult], "OT") + SUMIFS(Table2[AwayWon], Table2[GameIsOver],1,Table2[HomeTeam],$A39, Table2[AwayTeam], Q$36, Table2[ActualResult], "OT") + SUMIFS(Table2[HomeWon_], Table2[GameIsOver],1,Table2[AwayTeam],$A39, Table2[HomeTeam], Q$36, Table2[ActualResult], "SO") + SUMIFS(Table2[AwayWon], Table2[GameIsOver],1,Table2[HomeTeam],$A39, Table2[AwayTeam], Q$36, Table2[ActualResult], "SO"))), "")</f>
        <v/>
      </c>
      <c r="R39" t="str">
        <f>IFERROR(((2*SUMIFS(Table2[AwayWon], Table2[GameIsOver],1,Table2[AwayTeam],$A39, Table2[HomeTeam], R$36) + SUMIFS(Table2[HomeWon_], Table2[GameIsOver],1,Table2[HomeTeam],$A39, Table2[AwayTeam], R$36)) + SUMIFS(Table2[AwayWon], Table2[GameIsOver],1,Table2[HomeTeam],$A39, Table2[AwayTeam], R$36, Table2[ActualResult], "REG") + SUMIFS(Table2[HomeWon_], Table2[GameIsOver],1,Table2[AwayTeam],$A39, Table2[HomeTeam], R$36, Table2[ActualResult], "OT") + SUMIFS(Table2[AwayWon], Table2[GameIsOver],1,Table2[HomeTeam],$A39, Table2[AwayTeam], R$36, Table2[ActualResult], "OT") + SUMIFS(Table2[HomeWon_], Table2[GameIsOver],1,Table2[AwayTeam],$A39, Table2[HomeTeam], R$36, Table2[ActualResult], "SO") + SUMIFS(Table2[AwayWon], Table2[GameIsOver],1,Table2[HomeTeam],$A39, Table2[AwayTeam], R$36, Table2[ActualResult], "SO")) / (2*(SUMIFS(Table2[AwayWon], Table2[GameIsOver],1,Table2[AwayTeam],$A39, Table2[HomeTeam], R$36) + SUMIFS(Table2[HomeWon_], Table2[GameIsOver],1,Table2[HomeTeam],$A39, Table2[AwayTeam], R$36) + SUMIFS(Table2[HomeWon_], Table2[GameIsOver],1,Table2[AwayTeam],$A39, Table2[HomeTeam], R$36, Table2[ActualResult], "REG") + SUMIFS(Table2[AwayWon], Table2[GameIsOver],1,Table2[HomeTeam],$A39, Table2[AwayTeam], R$36, Table2[ActualResult], "REG") + SUMIFS(Table2[HomeWon_], Table2[GameIsOver],1,Table2[AwayTeam],$A39, Table2[HomeTeam], R$36, Table2[ActualResult], "OT") + SUMIFS(Table2[AwayWon], Table2[GameIsOver],1,Table2[HomeTeam],$A39, Table2[AwayTeam], R$36, Table2[ActualResult], "OT") + SUMIFS(Table2[HomeWon_], Table2[GameIsOver],1,Table2[AwayTeam],$A39, Table2[HomeTeam], R$36, Table2[ActualResult], "SO") + SUMIFS(Table2[AwayWon], Table2[GameIsOver],1,Table2[HomeTeam],$A39, Table2[AwayTeam], R$36, Table2[ActualResult], "SO"))), "")</f>
        <v/>
      </c>
      <c r="S39" t="str">
        <f>IFERROR(((2*SUMIFS(Table2[AwayWon], Table2[GameIsOver],1,Table2[AwayTeam],$A39, Table2[HomeTeam], S$36) + SUMIFS(Table2[HomeWon_], Table2[GameIsOver],1,Table2[HomeTeam],$A39, Table2[AwayTeam], S$36)) + SUMIFS(Table2[AwayWon], Table2[GameIsOver],1,Table2[HomeTeam],$A39, Table2[AwayTeam], S$36, Table2[ActualResult], "REG") + SUMIFS(Table2[HomeWon_], Table2[GameIsOver],1,Table2[AwayTeam],$A39, Table2[HomeTeam], S$36, Table2[ActualResult], "OT") + SUMIFS(Table2[AwayWon], Table2[GameIsOver],1,Table2[HomeTeam],$A39, Table2[AwayTeam], S$36, Table2[ActualResult], "OT") + SUMIFS(Table2[HomeWon_], Table2[GameIsOver],1,Table2[AwayTeam],$A39, Table2[HomeTeam], S$36, Table2[ActualResult], "SO") + SUMIFS(Table2[AwayWon], Table2[GameIsOver],1,Table2[HomeTeam],$A39, Table2[AwayTeam], S$36, Table2[ActualResult], "SO")) / (2*(SUMIFS(Table2[AwayWon], Table2[GameIsOver],1,Table2[AwayTeam],$A39, Table2[HomeTeam], S$36) + SUMIFS(Table2[HomeWon_], Table2[GameIsOver],1,Table2[HomeTeam],$A39, Table2[AwayTeam], S$36) + SUMIFS(Table2[HomeWon_], Table2[GameIsOver],1,Table2[AwayTeam],$A39, Table2[HomeTeam], S$36, Table2[ActualResult], "REG") + SUMIFS(Table2[AwayWon], Table2[GameIsOver],1,Table2[HomeTeam],$A39, Table2[AwayTeam], S$36, Table2[ActualResult], "REG") + SUMIFS(Table2[HomeWon_], Table2[GameIsOver],1,Table2[AwayTeam],$A39, Table2[HomeTeam], S$36, Table2[ActualResult], "OT") + SUMIFS(Table2[AwayWon], Table2[GameIsOver],1,Table2[HomeTeam],$A39, Table2[AwayTeam], S$36, Table2[ActualResult], "OT") + SUMIFS(Table2[HomeWon_], Table2[GameIsOver],1,Table2[AwayTeam],$A39, Table2[HomeTeam], S$36, Table2[ActualResult], "SO") + SUMIFS(Table2[AwayWon], Table2[GameIsOver],1,Table2[HomeTeam],$A39, Table2[AwayTeam], S$36, Table2[ActualResult], "SO"))), "")</f>
        <v/>
      </c>
      <c r="T39">
        <f>IFERROR(((2*SUMIFS(Table2[AwayWon], Table2[GameIsOver],1,Table2[AwayTeam],$A39, Table2[HomeTeam], T$36) + SUMIFS(Table2[HomeWon_], Table2[GameIsOver],1,Table2[HomeTeam],$A39, Table2[AwayTeam], T$36)) + SUMIFS(Table2[AwayWon], Table2[GameIsOver],1,Table2[HomeTeam],$A39, Table2[AwayTeam], T$36, Table2[ActualResult], "REG") + SUMIFS(Table2[HomeWon_], Table2[GameIsOver],1,Table2[AwayTeam],$A39, Table2[HomeTeam], T$36, Table2[ActualResult], "OT") + SUMIFS(Table2[AwayWon], Table2[GameIsOver],1,Table2[HomeTeam],$A39, Table2[AwayTeam], T$36, Table2[ActualResult], "OT") + SUMIFS(Table2[HomeWon_], Table2[GameIsOver],1,Table2[AwayTeam],$A39, Table2[HomeTeam], T$36, Table2[ActualResult], "SO") + SUMIFS(Table2[AwayWon], Table2[GameIsOver],1,Table2[HomeTeam],$A39, Table2[AwayTeam], T$36, Table2[ActualResult], "SO")) / (2*(SUMIFS(Table2[AwayWon], Table2[GameIsOver],1,Table2[AwayTeam],$A39, Table2[HomeTeam], T$36) + SUMIFS(Table2[HomeWon_], Table2[GameIsOver],1,Table2[HomeTeam],$A39, Table2[AwayTeam], T$36) + SUMIFS(Table2[HomeWon_], Table2[GameIsOver],1,Table2[AwayTeam],$A39, Table2[HomeTeam], T$36, Table2[ActualResult], "REG") + SUMIFS(Table2[AwayWon], Table2[GameIsOver],1,Table2[HomeTeam],$A39, Table2[AwayTeam], T$36, Table2[ActualResult], "REG") + SUMIFS(Table2[HomeWon_], Table2[GameIsOver],1,Table2[AwayTeam],$A39, Table2[HomeTeam], T$36, Table2[ActualResult], "OT") + SUMIFS(Table2[AwayWon], Table2[GameIsOver],1,Table2[HomeTeam],$A39, Table2[AwayTeam], T$36, Table2[ActualResult], "OT") + SUMIFS(Table2[HomeWon_], Table2[GameIsOver],1,Table2[AwayTeam],$A39, Table2[HomeTeam], T$36, Table2[ActualResult], "SO") + SUMIFS(Table2[AwayWon], Table2[GameIsOver],1,Table2[HomeTeam],$A39, Table2[AwayTeam], T$36, Table2[ActualResult], "SO"))), "")</f>
        <v>0</v>
      </c>
      <c r="U39">
        <f>IFERROR(((2*SUMIFS(Table2[AwayWon], Table2[GameIsOver],1,Table2[AwayTeam],$A39, Table2[HomeTeam], U$36) + SUMIFS(Table2[HomeWon_], Table2[GameIsOver],1,Table2[HomeTeam],$A39, Table2[AwayTeam], U$36)) + SUMIFS(Table2[AwayWon], Table2[GameIsOver],1,Table2[HomeTeam],$A39, Table2[AwayTeam], U$36, Table2[ActualResult], "REG") + SUMIFS(Table2[HomeWon_], Table2[GameIsOver],1,Table2[AwayTeam],$A39, Table2[HomeTeam], U$36, Table2[ActualResult], "OT") + SUMIFS(Table2[AwayWon], Table2[GameIsOver],1,Table2[HomeTeam],$A39, Table2[AwayTeam], U$36, Table2[ActualResult], "OT") + SUMIFS(Table2[HomeWon_], Table2[GameIsOver],1,Table2[AwayTeam],$A39, Table2[HomeTeam], U$36, Table2[ActualResult], "SO") + SUMIFS(Table2[AwayWon], Table2[GameIsOver],1,Table2[HomeTeam],$A39, Table2[AwayTeam], U$36, Table2[ActualResult], "SO")) / (2*(SUMIFS(Table2[AwayWon], Table2[GameIsOver],1,Table2[AwayTeam],$A39, Table2[HomeTeam], U$36) + SUMIFS(Table2[HomeWon_], Table2[GameIsOver],1,Table2[HomeTeam],$A39, Table2[AwayTeam], U$36) + SUMIFS(Table2[HomeWon_], Table2[GameIsOver],1,Table2[AwayTeam],$A39, Table2[HomeTeam], U$36, Table2[ActualResult], "REG") + SUMIFS(Table2[AwayWon], Table2[GameIsOver],1,Table2[HomeTeam],$A39, Table2[AwayTeam], U$36, Table2[ActualResult], "REG") + SUMIFS(Table2[HomeWon_], Table2[GameIsOver],1,Table2[AwayTeam],$A39, Table2[HomeTeam], U$36, Table2[ActualResult], "OT") + SUMIFS(Table2[AwayWon], Table2[GameIsOver],1,Table2[HomeTeam],$A39, Table2[AwayTeam], U$36, Table2[ActualResult], "OT") + SUMIFS(Table2[HomeWon_], Table2[GameIsOver],1,Table2[AwayTeam],$A39, Table2[HomeTeam], U$36, Table2[ActualResult], "SO") + SUMIFS(Table2[AwayWon], Table2[GameIsOver],1,Table2[HomeTeam],$A39, Table2[AwayTeam], U$36, Table2[ActualResult], "SO"))), "")</f>
        <v>0</v>
      </c>
      <c r="V39">
        <f>IFERROR(((2*SUMIFS(Table2[AwayWon], Table2[GameIsOver],1,Table2[AwayTeam],$A39, Table2[HomeTeam], V$36) + SUMIFS(Table2[HomeWon_], Table2[GameIsOver],1,Table2[HomeTeam],$A39, Table2[AwayTeam], V$36)) + SUMIFS(Table2[AwayWon], Table2[GameIsOver],1,Table2[HomeTeam],$A39, Table2[AwayTeam], V$36, Table2[ActualResult], "REG") + SUMIFS(Table2[HomeWon_], Table2[GameIsOver],1,Table2[AwayTeam],$A39, Table2[HomeTeam], V$36, Table2[ActualResult], "OT") + SUMIFS(Table2[AwayWon], Table2[GameIsOver],1,Table2[HomeTeam],$A39, Table2[AwayTeam], V$36, Table2[ActualResult], "OT") + SUMIFS(Table2[HomeWon_], Table2[GameIsOver],1,Table2[AwayTeam],$A39, Table2[HomeTeam], V$36, Table2[ActualResult], "SO") + SUMIFS(Table2[AwayWon], Table2[GameIsOver],1,Table2[HomeTeam],$A39, Table2[AwayTeam], V$36, Table2[ActualResult], "SO")) / (2*(SUMIFS(Table2[AwayWon], Table2[GameIsOver],1,Table2[AwayTeam],$A39, Table2[HomeTeam], V$36) + SUMIFS(Table2[HomeWon_], Table2[GameIsOver],1,Table2[HomeTeam],$A39, Table2[AwayTeam], V$36) + SUMIFS(Table2[HomeWon_], Table2[GameIsOver],1,Table2[AwayTeam],$A39, Table2[HomeTeam], V$36, Table2[ActualResult], "REG") + SUMIFS(Table2[AwayWon], Table2[GameIsOver],1,Table2[HomeTeam],$A39, Table2[AwayTeam], V$36, Table2[ActualResult], "REG") + SUMIFS(Table2[HomeWon_], Table2[GameIsOver],1,Table2[AwayTeam],$A39, Table2[HomeTeam], V$36, Table2[ActualResult], "OT") + SUMIFS(Table2[AwayWon], Table2[GameIsOver],1,Table2[HomeTeam],$A39, Table2[AwayTeam], V$36, Table2[ActualResult], "OT") + SUMIFS(Table2[HomeWon_], Table2[GameIsOver],1,Table2[AwayTeam],$A39, Table2[HomeTeam], V$36, Table2[ActualResult], "SO") + SUMIFS(Table2[AwayWon], Table2[GameIsOver],1,Table2[HomeTeam],$A39, Table2[AwayTeam], V$36, Table2[ActualResult], "SO"))), "")</f>
        <v>1</v>
      </c>
      <c r="W39" t="str">
        <f>IFERROR(((2*SUMIFS(Table2[AwayWon], Table2[GameIsOver],1,Table2[AwayTeam],$A39, Table2[HomeTeam], W$36) + SUMIFS(Table2[HomeWon_], Table2[GameIsOver],1,Table2[HomeTeam],$A39, Table2[AwayTeam], W$36)) + SUMIFS(Table2[AwayWon], Table2[GameIsOver],1,Table2[HomeTeam],$A39, Table2[AwayTeam], W$36, Table2[ActualResult], "REG") + SUMIFS(Table2[HomeWon_], Table2[GameIsOver],1,Table2[AwayTeam],$A39, Table2[HomeTeam], W$36, Table2[ActualResult], "OT") + SUMIFS(Table2[AwayWon], Table2[GameIsOver],1,Table2[HomeTeam],$A39, Table2[AwayTeam], W$36, Table2[ActualResult], "OT") + SUMIFS(Table2[HomeWon_], Table2[GameIsOver],1,Table2[AwayTeam],$A39, Table2[HomeTeam], W$36, Table2[ActualResult], "SO") + SUMIFS(Table2[AwayWon], Table2[GameIsOver],1,Table2[HomeTeam],$A39, Table2[AwayTeam], W$36, Table2[ActualResult], "SO")) / (2*(SUMIFS(Table2[AwayWon], Table2[GameIsOver],1,Table2[AwayTeam],$A39, Table2[HomeTeam], W$36) + SUMIFS(Table2[HomeWon_], Table2[GameIsOver],1,Table2[HomeTeam],$A39, Table2[AwayTeam], W$36) + SUMIFS(Table2[HomeWon_], Table2[GameIsOver],1,Table2[AwayTeam],$A39, Table2[HomeTeam], W$36, Table2[ActualResult], "REG") + SUMIFS(Table2[AwayWon], Table2[GameIsOver],1,Table2[HomeTeam],$A39, Table2[AwayTeam], W$36, Table2[ActualResult], "REG") + SUMIFS(Table2[HomeWon_], Table2[GameIsOver],1,Table2[AwayTeam],$A39, Table2[HomeTeam], W$36, Table2[ActualResult], "OT") + SUMIFS(Table2[AwayWon], Table2[GameIsOver],1,Table2[HomeTeam],$A39, Table2[AwayTeam], W$36, Table2[ActualResult], "OT") + SUMIFS(Table2[HomeWon_], Table2[GameIsOver],1,Table2[AwayTeam],$A39, Table2[HomeTeam], W$36, Table2[ActualResult], "SO") + SUMIFS(Table2[AwayWon], Table2[GameIsOver],1,Table2[HomeTeam],$A39, Table2[AwayTeam], W$36, Table2[ActualResult], "SO"))), "")</f>
        <v/>
      </c>
      <c r="X39" t="str">
        <f>IFERROR(((2*SUMIFS(Table2[AwayWon], Table2[GameIsOver],1,Table2[AwayTeam],$A39, Table2[HomeTeam], X$36) + SUMIFS(Table2[HomeWon_], Table2[GameIsOver],1,Table2[HomeTeam],$A39, Table2[AwayTeam], X$36)) + SUMIFS(Table2[AwayWon], Table2[GameIsOver],1,Table2[HomeTeam],$A39, Table2[AwayTeam], X$36, Table2[ActualResult], "REG") + SUMIFS(Table2[HomeWon_], Table2[GameIsOver],1,Table2[AwayTeam],$A39, Table2[HomeTeam], X$36, Table2[ActualResult], "OT") + SUMIFS(Table2[AwayWon], Table2[GameIsOver],1,Table2[HomeTeam],$A39, Table2[AwayTeam], X$36, Table2[ActualResult], "OT") + SUMIFS(Table2[HomeWon_], Table2[GameIsOver],1,Table2[AwayTeam],$A39, Table2[HomeTeam], X$36, Table2[ActualResult], "SO") + SUMIFS(Table2[AwayWon], Table2[GameIsOver],1,Table2[HomeTeam],$A39, Table2[AwayTeam], X$36, Table2[ActualResult], "SO")) / (2*(SUMIFS(Table2[AwayWon], Table2[GameIsOver],1,Table2[AwayTeam],$A39, Table2[HomeTeam], X$36) + SUMIFS(Table2[HomeWon_], Table2[GameIsOver],1,Table2[HomeTeam],$A39, Table2[AwayTeam], X$36) + SUMIFS(Table2[HomeWon_], Table2[GameIsOver],1,Table2[AwayTeam],$A39, Table2[HomeTeam], X$36, Table2[ActualResult], "REG") + SUMIFS(Table2[AwayWon], Table2[GameIsOver],1,Table2[HomeTeam],$A39, Table2[AwayTeam], X$36, Table2[ActualResult], "REG") + SUMIFS(Table2[HomeWon_], Table2[GameIsOver],1,Table2[AwayTeam],$A39, Table2[HomeTeam], X$36, Table2[ActualResult], "OT") + SUMIFS(Table2[AwayWon], Table2[GameIsOver],1,Table2[HomeTeam],$A39, Table2[AwayTeam], X$36, Table2[ActualResult], "OT") + SUMIFS(Table2[HomeWon_], Table2[GameIsOver],1,Table2[AwayTeam],$A39, Table2[HomeTeam], X$36, Table2[ActualResult], "SO") + SUMIFS(Table2[AwayWon], Table2[GameIsOver],1,Table2[HomeTeam],$A39, Table2[AwayTeam], X$36, Table2[ActualResult], "SO"))), "")</f>
        <v/>
      </c>
      <c r="Y39" s="57" t="str">
        <f>IFERROR(((2*SUMIFS(Table2[AwayWon], Table2[GameIsOver],1,Table2[AwayTeam],$A39, Table2[HomeTeam], Y$36) + SUMIFS(Table2[HomeWon_], Table2[GameIsOver],1,Table2[HomeTeam],$A39, Table2[AwayTeam], Y$36)) + SUMIFS(Table2[AwayWon], Table2[GameIsOver],1,Table2[HomeTeam],$A39, Table2[AwayTeam], Y$36, Table2[ActualResult], "REG") + SUMIFS(Table2[HomeWon_], Table2[GameIsOver],1,Table2[AwayTeam],$A39, Table2[HomeTeam], Y$36, Table2[ActualResult], "OT") + SUMIFS(Table2[AwayWon], Table2[GameIsOver],1,Table2[HomeTeam],$A39, Table2[AwayTeam], Y$36, Table2[ActualResult], "OT") + SUMIFS(Table2[HomeWon_], Table2[GameIsOver],1,Table2[AwayTeam],$A39, Table2[HomeTeam], Y$36, Table2[ActualResult], "SO") + SUMIFS(Table2[AwayWon], Table2[GameIsOver],1,Table2[HomeTeam],$A39, Table2[AwayTeam], Y$36, Table2[ActualResult], "SO")) / (2*(SUMIFS(Table2[AwayWon], Table2[GameIsOver],1,Table2[AwayTeam],$A39, Table2[HomeTeam], Y$36) + SUMIFS(Table2[HomeWon_], Table2[GameIsOver],1,Table2[HomeTeam],$A39, Table2[AwayTeam], Y$36) + SUMIFS(Table2[HomeWon_], Table2[GameIsOver],1,Table2[AwayTeam],$A39, Table2[HomeTeam], Y$36, Table2[ActualResult], "REG") + SUMIFS(Table2[AwayWon], Table2[GameIsOver],1,Table2[HomeTeam],$A39, Table2[AwayTeam], Y$36, Table2[ActualResult], "REG") + SUMIFS(Table2[HomeWon_], Table2[GameIsOver],1,Table2[AwayTeam],$A39, Table2[HomeTeam], Y$36, Table2[ActualResult], "OT") + SUMIFS(Table2[AwayWon], Table2[GameIsOver],1,Table2[HomeTeam],$A39, Table2[AwayTeam], Y$36, Table2[ActualResult], "OT") + SUMIFS(Table2[HomeWon_], Table2[GameIsOver],1,Table2[AwayTeam],$A39, Table2[HomeTeam], Y$36, Table2[ActualResult], "SO") + SUMIFS(Table2[AwayWon], Table2[GameIsOver],1,Table2[HomeTeam],$A39, Table2[AwayTeam], Y$36, Table2[ActualResult], "SO"))), "")</f>
        <v/>
      </c>
      <c r="Z39" t="str">
        <f>IFERROR(((2*SUMIFS(Table2[AwayWon], Table2[GameIsOver],1,Table2[AwayTeam],$A39, Table2[HomeTeam], Z$36) + SUMIFS(Table2[HomeWon_], Table2[GameIsOver],1,Table2[HomeTeam],$A39, Table2[AwayTeam], Z$36)) + SUMIFS(Table2[AwayWon], Table2[GameIsOver],1,Table2[HomeTeam],$A39, Table2[AwayTeam], Z$36, Table2[ActualResult], "REG") + SUMIFS(Table2[HomeWon_], Table2[GameIsOver],1,Table2[AwayTeam],$A39, Table2[HomeTeam], Z$36, Table2[ActualResult], "OT") + SUMIFS(Table2[AwayWon], Table2[GameIsOver],1,Table2[HomeTeam],$A39, Table2[AwayTeam], Z$36, Table2[ActualResult], "OT") + SUMIFS(Table2[HomeWon_], Table2[GameIsOver],1,Table2[AwayTeam],$A39, Table2[HomeTeam], Z$36, Table2[ActualResult], "SO") + SUMIFS(Table2[AwayWon], Table2[GameIsOver],1,Table2[HomeTeam],$A39, Table2[AwayTeam], Z$36, Table2[ActualResult], "SO")) / (2*(SUMIFS(Table2[AwayWon], Table2[GameIsOver],1,Table2[AwayTeam],$A39, Table2[HomeTeam], Z$36) + SUMIFS(Table2[HomeWon_], Table2[GameIsOver],1,Table2[HomeTeam],$A39, Table2[AwayTeam], Z$36) + SUMIFS(Table2[HomeWon_], Table2[GameIsOver],1,Table2[AwayTeam],$A39, Table2[HomeTeam], Z$36, Table2[ActualResult], "REG") + SUMIFS(Table2[AwayWon], Table2[GameIsOver],1,Table2[HomeTeam],$A39, Table2[AwayTeam], Z$36, Table2[ActualResult], "REG") + SUMIFS(Table2[HomeWon_], Table2[GameIsOver],1,Table2[AwayTeam],$A39, Table2[HomeTeam], Z$36, Table2[ActualResult], "OT") + SUMIFS(Table2[AwayWon], Table2[GameIsOver],1,Table2[HomeTeam],$A39, Table2[AwayTeam], Z$36, Table2[ActualResult], "OT") + SUMIFS(Table2[HomeWon_], Table2[GameIsOver],1,Table2[AwayTeam],$A39, Table2[HomeTeam], Z$36, Table2[ActualResult], "SO") + SUMIFS(Table2[AwayWon], Table2[GameIsOver],1,Table2[HomeTeam],$A39, Table2[AwayTeam], Z$36, Table2[ActualResult], "SO"))), "")</f>
        <v/>
      </c>
      <c r="AA39" t="str">
        <f>IFERROR(((2*SUMIFS(Table2[AwayWon], Table2[GameIsOver],1,Table2[AwayTeam],$A39, Table2[HomeTeam], AA$36) + SUMIFS(Table2[HomeWon_], Table2[GameIsOver],1,Table2[HomeTeam],$A39, Table2[AwayTeam], AA$36)) + SUMIFS(Table2[AwayWon], Table2[GameIsOver],1,Table2[HomeTeam],$A39, Table2[AwayTeam], AA$36, Table2[ActualResult], "REG") + SUMIFS(Table2[HomeWon_], Table2[GameIsOver],1,Table2[AwayTeam],$A39, Table2[HomeTeam], AA$36, Table2[ActualResult], "OT") + SUMIFS(Table2[AwayWon], Table2[GameIsOver],1,Table2[HomeTeam],$A39, Table2[AwayTeam], AA$36, Table2[ActualResult], "OT") + SUMIFS(Table2[HomeWon_], Table2[GameIsOver],1,Table2[AwayTeam],$A39, Table2[HomeTeam], AA$36, Table2[ActualResult], "SO") + SUMIFS(Table2[AwayWon], Table2[GameIsOver],1,Table2[HomeTeam],$A39, Table2[AwayTeam], AA$36, Table2[ActualResult], "SO")) / (2*(SUMIFS(Table2[AwayWon], Table2[GameIsOver],1,Table2[AwayTeam],$A39, Table2[HomeTeam], AA$36) + SUMIFS(Table2[HomeWon_], Table2[GameIsOver],1,Table2[HomeTeam],$A39, Table2[AwayTeam], AA$36) + SUMIFS(Table2[HomeWon_], Table2[GameIsOver],1,Table2[AwayTeam],$A39, Table2[HomeTeam], AA$36, Table2[ActualResult], "REG") + SUMIFS(Table2[AwayWon], Table2[GameIsOver],1,Table2[HomeTeam],$A39, Table2[AwayTeam], AA$36, Table2[ActualResult], "REG") + SUMIFS(Table2[HomeWon_], Table2[GameIsOver],1,Table2[AwayTeam],$A39, Table2[HomeTeam], AA$36, Table2[ActualResult], "OT") + SUMIFS(Table2[AwayWon], Table2[GameIsOver],1,Table2[HomeTeam],$A39, Table2[AwayTeam], AA$36, Table2[ActualResult], "OT") + SUMIFS(Table2[HomeWon_], Table2[GameIsOver],1,Table2[AwayTeam],$A39, Table2[HomeTeam], AA$36, Table2[ActualResult], "SO") + SUMIFS(Table2[AwayWon], Table2[GameIsOver],1,Table2[HomeTeam],$A39, Table2[AwayTeam], AA$36, Table2[ActualResult], "SO"))), "")</f>
        <v/>
      </c>
      <c r="AB39">
        <f>IFERROR(((2*SUMIFS(Table2[AwayWon], Table2[GameIsOver],1,Table2[AwayTeam],$A39, Table2[HomeTeam], AB$36) + SUMIFS(Table2[HomeWon_], Table2[GameIsOver],1,Table2[HomeTeam],$A39, Table2[AwayTeam], AB$36)) + SUMIFS(Table2[AwayWon], Table2[GameIsOver],1,Table2[HomeTeam],$A39, Table2[AwayTeam], AB$36, Table2[ActualResult], "REG") + SUMIFS(Table2[HomeWon_], Table2[GameIsOver],1,Table2[AwayTeam],$A39, Table2[HomeTeam], AB$36, Table2[ActualResult], "OT") + SUMIFS(Table2[AwayWon], Table2[GameIsOver],1,Table2[HomeTeam],$A39, Table2[AwayTeam], AB$36, Table2[ActualResult], "OT") + SUMIFS(Table2[HomeWon_], Table2[GameIsOver],1,Table2[AwayTeam],$A39, Table2[HomeTeam], AB$36, Table2[ActualResult], "SO") + SUMIFS(Table2[AwayWon], Table2[GameIsOver],1,Table2[HomeTeam],$A39, Table2[AwayTeam], AB$36, Table2[ActualResult], "SO")) / (2*(SUMIFS(Table2[AwayWon], Table2[GameIsOver],1,Table2[AwayTeam],$A39, Table2[HomeTeam], AB$36) + SUMIFS(Table2[HomeWon_], Table2[GameIsOver],1,Table2[HomeTeam],$A39, Table2[AwayTeam], AB$36) + SUMIFS(Table2[HomeWon_], Table2[GameIsOver],1,Table2[AwayTeam],$A39, Table2[HomeTeam], AB$36, Table2[ActualResult], "REG") + SUMIFS(Table2[AwayWon], Table2[GameIsOver],1,Table2[HomeTeam],$A39, Table2[AwayTeam], AB$36, Table2[ActualResult], "REG") + SUMIFS(Table2[HomeWon_], Table2[GameIsOver],1,Table2[AwayTeam],$A39, Table2[HomeTeam], AB$36, Table2[ActualResult], "OT") + SUMIFS(Table2[AwayWon], Table2[GameIsOver],1,Table2[HomeTeam],$A39, Table2[AwayTeam], AB$36, Table2[ActualResult], "OT") + SUMIFS(Table2[HomeWon_], Table2[GameIsOver],1,Table2[AwayTeam],$A39, Table2[HomeTeam], AB$36, Table2[ActualResult], "SO") + SUMIFS(Table2[AwayWon], Table2[GameIsOver],1,Table2[HomeTeam],$A39, Table2[AwayTeam], AB$36, Table2[ActualResult], "SO"))), "")</f>
        <v>0</v>
      </c>
      <c r="AC39" t="str">
        <f>IFERROR(((2*SUMIFS(Table2[AwayWon], Table2[GameIsOver],1,Table2[AwayTeam],$A39, Table2[HomeTeam], AC$36) + SUMIFS(Table2[HomeWon_], Table2[GameIsOver],1,Table2[HomeTeam],$A39, Table2[AwayTeam], AC$36)) + SUMIFS(Table2[AwayWon], Table2[GameIsOver],1,Table2[HomeTeam],$A39, Table2[AwayTeam], AC$36, Table2[ActualResult], "REG") + SUMIFS(Table2[HomeWon_], Table2[GameIsOver],1,Table2[AwayTeam],$A39, Table2[HomeTeam], AC$36, Table2[ActualResult], "OT") + SUMIFS(Table2[AwayWon], Table2[GameIsOver],1,Table2[HomeTeam],$A39, Table2[AwayTeam], AC$36, Table2[ActualResult], "OT") + SUMIFS(Table2[HomeWon_], Table2[GameIsOver],1,Table2[AwayTeam],$A39, Table2[HomeTeam], AC$36, Table2[ActualResult], "SO") + SUMIFS(Table2[AwayWon], Table2[GameIsOver],1,Table2[HomeTeam],$A39, Table2[AwayTeam], AC$36, Table2[ActualResult], "SO")) / (2*(SUMIFS(Table2[AwayWon], Table2[GameIsOver],1,Table2[AwayTeam],$A39, Table2[HomeTeam], AC$36) + SUMIFS(Table2[HomeWon_], Table2[GameIsOver],1,Table2[HomeTeam],$A39, Table2[AwayTeam], AC$36) + SUMIFS(Table2[HomeWon_], Table2[GameIsOver],1,Table2[AwayTeam],$A39, Table2[HomeTeam], AC$36, Table2[ActualResult], "REG") + SUMIFS(Table2[AwayWon], Table2[GameIsOver],1,Table2[HomeTeam],$A39, Table2[AwayTeam], AC$36, Table2[ActualResult], "REG") + SUMIFS(Table2[HomeWon_], Table2[GameIsOver],1,Table2[AwayTeam],$A39, Table2[HomeTeam], AC$36, Table2[ActualResult], "OT") + SUMIFS(Table2[AwayWon], Table2[GameIsOver],1,Table2[HomeTeam],$A39, Table2[AwayTeam], AC$36, Table2[ActualResult], "OT") + SUMIFS(Table2[HomeWon_], Table2[GameIsOver],1,Table2[AwayTeam],$A39, Table2[HomeTeam], AC$36, Table2[ActualResult], "SO") + SUMIFS(Table2[AwayWon], Table2[GameIsOver],1,Table2[HomeTeam],$A39, Table2[AwayTeam], AC$36, Table2[ActualResult], "SO"))), "")</f>
        <v/>
      </c>
      <c r="AD39" t="str">
        <f>IFERROR(((2*SUMIFS(Table2[AwayWon], Table2[GameIsOver],1,Table2[AwayTeam],$A39, Table2[HomeTeam], AD$36) + SUMIFS(Table2[HomeWon_], Table2[GameIsOver],1,Table2[HomeTeam],$A39, Table2[AwayTeam], AD$36)) + SUMIFS(Table2[AwayWon], Table2[GameIsOver],1,Table2[HomeTeam],$A39, Table2[AwayTeam], AD$36, Table2[ActualResult], "REG") + SUMIFS(Table2[HomeWon_], Table2[GameIsOver],1,Table2[AwayTeam],$A39, Table2[HomeTeam], AD$36, Table2[ActualResult], "OT") + SUMIFS(Table2[AwayWon], Table2[GameIsOver],1,Table2[HomeTeam],$A39, Table2[AwayTeam], AD$36, Table2[ActualResult], "OT") + SUMIFS(Table2[HomeWon_], Table2[GameIsOver],1,Table2[AwayTeam],$A39, Table2[HomeTeam], AD$36, Table2[ActualResult], "SO") + SUMIFS(Table2[AwayWon], Table2[GameIsOver],1,Table2[HomeTeam],$A39, Table2[AwayTeam], AD$36, Table2[ActualResult], "SO")) / (2*(SUMIFS(Table2[AwayWon], Table2[GameIsOver],1,Table2[AwayTeam],$A39, Table2[HomeTeam], AD$36) + SUMIFS(Table2[HomeWon_], Table2[GameIsOver],1,Table2[HomeTeam],$A39, Table2[AwayTeam], AD$36) + SUMIFS(Table2[HomeWon_], Table2[GameIsOver],1,Table2[AwayTeam],$A39, Table2[HomeTeam], AD$36, Table2[ActualResult], "REG") + SUMIFS(Table2[AwayWon], Table2[GameIsOver],1,Table2[HomeTeam],$A39, Table2[AwayTeam], AD$36, Table2[ActualResult], "REG") + SUMIFS(Table2[HomeWon_], Table2[GameIsOver],1,Table2[AwayTeam],$A39, Table2[HomeTeam], AD$36, Table2[ActualResult], "OT") + SUMIFS(Table2[AwayWon], Table2[GameIsOver],1,Table2[HomeTeam],$A39, Table2[AwayTeam], AD$36, Table2[ActualResult], "OT") + SUMIFS(Table2[HomeWon_], Table2[GameIsOver],1,Table2[AwayTeam],$A39, Table2[HomeTeam], AD$36, Table2[ActualResult], "SO") + SUMIFS(Table2[AwayWon], Table2[GameIsOver],1,Table2[HomeTeam],$A39, Table2[AwayTeam], AD$36, Table2[ActualResult], "SO"))), "")</f>
        <v/>
      </c>
      <c r="AE39">
        <f>IFERROR(((2*SUMIFS(Table2[AwayWon], Table2[GameIsOver],1,Table2[AwayTeam],$A39, Table2[HomeTeam], AE$36) + SUMIFS(Table2[HomeWon_], Table2[GameIsOver],1,Table2[HomeTeam],$A39, Table2[AwayTeam], AE$36)) + SUMIFS(Table2[AwayWon], Table2[GameIsOver],1,Table2[HomeTeam],$A39, Table2[AwayTeam], AE$36, Table2[ActualResult], "REG") + SUMIFS(Table2[HomeWon_], Table2[GameIsOver],1,Table2[AwayTeam],$A39, Table2[HomeTeam], AE$36, Table2[ActualResult], "OT") + SUMIFS(Table2[AwayWon], Table2[GameIsOver],1,Table2[HomeTeam],$A39, Table2[AwayTeam], AE$36, Table2[ActualResult], "OT") + SUMIFS(Table2[HomeWon_], Table2[GameIsOver],1,Table2[AwayTeam],$A39, Table2[HomeTeam], AE$36, Table2[ActualResult], "SO") + SUMIFS(Table2[AwayWon], Table2[GameIsOver],1,Table2[HomeTeam],$A39, Table2[AwayTeam], AE$36, Table2[ActualResult], "SO")) / (2*(SUMIFS(Table2[AwayWon], Table2[GameIsOver],1,Table2[AwayTeam],$A39, Table2[HomeTeam], AE$36) + SUMIFS(Table2[HomeWon_], Table2[GameIsOver],1,Table2[HomeTeam],$A39, Table2[AwayTeam], AE$36) + SUMIFS(Table2[HomeWon_], Table2[GameIsOver],1,Table2[AwayTeam],$A39, Table2[HomeTeam], AE$36, Table2[ActualResult], "REG") + SUMIFS(Table2[AwayWon], Table2[GameIsOver],1,Table2[HomeTeam],$A39, Table2[AwayTeam], AE$36, Table2[ActualResult], "REG") + SUMIFS(Table2[HomeWon_], Table2[GameIsOver],1,Table2[AwayTeam],$A39, Table2[HomeTeam], AE$36, Table2[ActualResult], "OT") + SUMIFS(Table2[AwayWon], Table2[GameIsOver],1,Table2[HomeTeam],$A39, Table2[AwayTeam], AE$36, Table2[ActualResult], "OT") + SUMIFS(Table2[HomeWon_], Table2[GameIsOver],1,Table2[AwayTeam],$A39, Table2[HomeTeam], AE$36, Table2[ActualResult], "SO") + SUMIFS(Table2[AwayWon], Table2[GameIsOver],1,Table2[HomeTeam],$A39, Table2[AwayTeam], AE$36, Table2[ActualResult], "SO"))), "")</f>
        <v>1</v>
      </c>
      <c r="AF39" t="str">
        <f>IFERROR(((2*SUMIFS(Table2[AwayWon], Table2[GameIsOver],1,Table2[AwayTeam],$A39, Table2[HomeTeam], AF$36) + SUMIFS(Table2[HomeWon_], Table2[GameIsOver],1,Table2[HomeTeam],$A39, Table2[AwayTeam], AF$36)) + SUMIFS(Table2[AwayWon], Table2[GameIsOver],1,Table2[HomeTeam],$A39, Table2[AwayTeam], AF$36, Table2[ActualResult], "REG") + SUMIFS(Table2[HomeWon_], Table2[GameIsOver],1,Table2[AwayTeam],$A39, Table2[HomeTeam], AF$36, Table2[ActualResult], "OT") + SUMIFS(Table2[AwayWon], Table2[GameIsOver],1,Table2[HomeTeam],$A39, Table2[AwayTeam], AF$36, Table2[ActualResult], "OT") + SUMIFS(Table2[HomeWon_], Table2[GameIsOver],1,Table2[AwayTeam],$A39, Table2[HomeTeam], AF$36, Table2[ActualResult], "SO") + SUMIFS(Table2[AwayWon], Table2[GameIsOver],1,Table2[HomeTeam],$A39, Table2[AwayTeam], AF$36, Table2[ActualResult], "SO")) / (2*(SUMIFS(Table2[AwayWon], Table2[GameIsOver],1,Table2[AwayTeam],$A39, Table2[HomeTeam], AF$36) + SUMIFS(Table2[HomeWon_], Table2[GameIsOver],1,Table2[HomeTeam],$A39, Table2[AwayTeam], AF$36) + SUMIFS(Table2[HomeWon_], Table2[GameIsOver],1,Table2[AwayTeam],$A39, Table2[HomeTeam], AF$36, Table2[ActualResult], "REG") + SUMIFS(Table2[AwayWon], Table2[GameIsOver],1,Table2[HomeTeam],$A39, Table2[AwayTeam], AF$36, Table2[ActualResult], "REG") + SUMIFS(Table2[HomeWon_], Table2[GameIsOver],1,Table2[AwayTeam],$A39, Table2[HomeTeam], AF$36, Table2[ActualResult], "OT") + SUMIFS(Table2[AwayWon], Table2[GameIsOver],1,Table2[HomeTeam],$A39, Table2[AwayTeam], AF$36, Table2[ActualResult], "OT") + SUMIFS(Table2[HomeWon_], Table2[GameIsOver],1,Table2[AwayTeam],$A39, Table2[HomeTeam], AF$36, Table2[ActualResult], "SO") + SUMIFS(Table2[AwayWon], Table2[GameIsOver],1,Table2[HomeTeam],$A39, Table2[AwayTeam], AF$36, Table2[ActualResult], "SO"))), "")</f>
        <v/>
      </c>
      <c r="AG39" s="57" t="str">
        <f>IFERROR(((2*SUMIFS(Table2[AwayWon], Table2[GameIsOver],1,Table2[AwayTeam],$A39, Table2[HomeTeam], AG$36) + SUMIFS(Table2[HomeWon_], Table2[GameIsOver],1,Table2[HomeTeam],$A39, Table2[AwayTeam], AG$36)) + SUMIFS(Table2[AwayWon], Table2[GameIsOver],1,Table2[HomeTeam],$A39, Table2[AwayTeam], AG$36, Table2[ActualResult], "REG") + SUMIFS(Table2[HomeWon_], Table2[GameIsOver],1,Table2[AwayTeam],$A39, Table2[HomeTeam], AG$36, Table2[ActualResult], "OT") + SUMIFS(Table2[AwayWon], Table2[GameIsOver],1,Table2[HomeTeam],$A39, Table2[AwayTeam], AG$36, Table2[ActualResult], "OT") + SUMIFS(Table2[HomeWon_], Table2[GameIsOver],1,Table2[AwayTeam],$A39, Table2[HomeTeam], AG$36, Table2[ActualResult], "SO") + SUMIFS(Table2[AwayWon], Table2[GameIsOver],1,Table2[HomeTeam],$A39, Table2[AwayTeam], AG$36, Table2[ActualResult], "SO")) / (2*(SUMIFS(Table2[AwayWon], Table2[GameIsOver],1,Table2[AwayTeam],$A39, Table2[HomeTeam], AG$36) + SUMIFS(Table2[HomeWon_], Table2[GameIsOver],1,Table2[HomeTeam],$A39, Table2[AwayTeam], AG$36) + SUMIFS(Table2[HomeWon_], Table2[GameIsOver],1,Table2[AwayTeam],$A39, Table2[HomeTeam], AG$36, Table2[ActualResult], "REG") + SUMIFS(Table2[AwayWon], Table2[GameIsOver],1,Table2[HomeTeam],$A39, Table2[AwayTeam], AG$36, Table2[ActualResult], "REG") + SUMIFS(Table2[HomeWon_], Table2[GameIsOver],1,Table2[AwayTeam],$A39, Table2[HomeTeam], AG$36, Table2[ActualResult], "OT") + SUMIFS(Table2[AwayWon], Table2[GameIsOver],1,Table2[HomeTeam],$A39, Table2[AwayTeam], AG$36, Table2[ActualResult], "OT") + SUMIFS(Table2[HomeWon_], Table2[GameIsOver],1,Table2[AwayTeam],$A39, Table2[HomeTeam], AG$36, Table2[ActualResult], "SO") + SUMIFS(Table2[AwayWon], Table2[GameIsOver],1,Table2[HomeTeam],$A39, Table2[AwayTeam], AG$36, Table2[ActualResult], "SO"))), "")</f>
        <v/>
      </c>
      <c r="AH39" s="101">
        <f t="shared" si="0"/>
        <v>0.4</v>
      </c>
      <c r="AI39" s="101">
        <f t="shared" si="1"/>
        <v>0.5</v>
      </c>
      <c r="AJ39" s="103">
        <f t="shared" si="2"/>
        <v>0.5</v>
      </c>
      <c r="AK39" s="103">
        <f t="shared" si="3"/>
        <v>0.33333333333333331</v>
      </c>
      <c r="AL39" s="103" t="e">
        <f t="shared" si="4"/>
        <v>#DIV/0!</v>
      </c>
      <c r="AM39" s="103">
        <f t="shared" si="5"/>
        <v>0.5</v>
      </c>
    </row>
    <row r="40" spans="1:39" x14ac:dyDescent="0.25">
      <c r="A40" s="57" t="s">
        <v>27</v>
      </c>
      <c r="B40" s="24" t="str">
        <f>IFERROR(((2*SUMIFS(Table2[AwayWon], Table2[GameIsOver],1,Table2[AwayTeam],$A40, Table2[HomeTeam], B$36) + SUMIFS(Table2[HomeWon_], Table2[GameIsOver],1,Table2[HomeTeam],$A40, Table2[AwayTeam], B$36)) + SUMIFS(Table2[AwayWon], Table2[GameIsOver],1,Table2[HomeTeam],$A40, Table2[AwayTeam], B$36, Table2[ActualResult], "REG") + SUMIFS(Table2[HomeWon_], Table2[GameIsOver],1,Table2[AwayTeam],$A40, Table2[HomeTeam], B$36, Table2[ActualResult], "OT") + SUMIFS(Table2[AwayWon], Table2[GameIsOver],1,Table2[HomeTeam],$A40, Table2[AwayTeam], B$36, Table2[ActualResult], "OT") + SUMIFS(Table2[HomeWon_], Table2[GameIsOver],1,Table2[AwayTeam],$A40, Table2[HomeTeam], B$36, Table2[ActualResult], "SO") + SUMIFS(Table2[AwayWon], Table2[GameIsOver],1,Table2[HomeTeam],$A40, Table2[AwayTeam], B$36, Table2[ActualResult], "SO")) / (2*(SUMIFS(Table2[AwayWon], Table2[GameIsOver],1,Table2[AwayTeam],$A40, Table2[HomeTeam], B$36) + SUMIFS(Table2[HomeWon_], Table2[GameIsOver],1,Table2[HomeTeam],$A40, Table2[AwayTeam], B$36) + SUMIFS(Table2[HomeWon_], Table2[GameIsOver],1,Table2[AwayTeam],$A40, Table2[HomeTeam], B$36, Table2[ActualResult], "REG") + SUMIFS(Table2[AwayWon], Table2[GameIsOver],1,Table2[HomeTeam],$A40, Table2[AwayTeam], B$36, Table2[ActualResult], "REG") + SUMIFS(Table2[HomeWon_], Table2[GameIsOver],1,Table2[AwayTeam],$A40, Table2[HomeTeam], B$36, Table2[ActualResult], "OT") + SUMIFS(Table2[AwayWon], Table2[GameIsOver],1,Table2[HomeTeam],$A40, Table2[AwayTeam], B$36, Table2[ActualResult], "OT") + SUMIFS(Table2[HomeWon_], Table2[GameIsOver],1,Table2[AwayTeam],$A40, Table2[HomeTeam], B$36, Table2[ActualResult], "SO") + SUMIFS(Table2[AwayWon], Table2[GameIsOver],1,Table2[HomeTeam],$A40, Table2[AwayTeam], B$36, Table2[ActualResult], "SO"))), "")</f>
        <v/>
      </c>
      <c r="C40" s="24" t="str">
        <f>IFERROR(((2*SUMIFS(Table2[AwayWon], Table2[GameIsOver],1,Table2[AwayTeam],$A40, Table2[HomeTeam], C$36) + SUMIFS(Table2[HomeWon_], Table2[GameIsOver],1,Table2[HomeTeam],$A40, Table2[AwayTeam], C$36)) + SUMIFS(Table2[AwayWon], Table2[GameIsOver],1,Table2[HomeTeam],$A40, Table2[AwayTeam], C$36, Table2[ActualResult], "REG") + SUMIFS(Table2[HomeWon_], Table2[GameIsOver],1,Table2[AwayTeam],$A40, Table2[HomeTeam], C$36, Table2[ActualResult], "OT") + SUMIFS(Table2[AwayWon], Table2[GameIsOver],1,Table2[HomeTeam],$A40, Table2[AwayTeam], C$36, Table2[ActualResult], "OT") + SUMIFS(Table2[HomeWon_], Table2[GameIsOver],1,Table2[AwayTeam],$A40, Table2[HomeTeam], C$36, Table2[ActualResult], "SO") + SUMIFS(Table2[AwayWon], Table2[GameIsOver],1,Table2[HomeTeam],$A40, Table2[AwayTeam], C$36, Table2[ActualResult], "SO")) / (2*(SUMIFS(Table2[AwayWon], Table2[GameIsOver],1,Table2[AwayTeam],$A40, Table2[HomeTeam], C$36) + SUMIFS(Table2[HomeWon_], Table2[GameIsOver],1,Table2[HomeTeam],$A40, Table2[AwayTeam], C$36) + SUMIFS(Table2[HomeWon_], Table2[GameIsOver],1,Table2[AwayTeam],$A40, Table2[HomeTeam], C$36, Table2[ActualResult], "REG") + SUMIFS(Table2[AwayWon], Table2[GameIsOver],1,Table2[HomeTeam],$A40, Table2[AwayTeam], C$36, Table2[ActualResult], "REG") + SUMIFS(Table2[HomeWon_], Table2[GameIsOver],1,Table2[AwayTeam],$A40, Table2[HomeTeam], C$36, Table2[ActualResult], "OT") + SUMIFS(Table2[AwayWon], Table2[GameIsOver],1,Table2[HomeTeam],$A40, Table2[AwayTeam], C$36, Table2[ActualResult], "OT") + SUMIFS(Table2[HomeWon_], Table2[GameIsOver],1,Table2[AwayTeam],$A40, Table2[HomeTeam], C$36, Table2[ActualResult], "SO") + SUMIFS(Table2[AwayWon], Table2[GameIsOver],1,Table2[HomeTeam],$A40, Table2[AwayTeam], C$36, Table2[ActualResult], "SO"))), "")</f>
        <v/>
      </c>
      <c r="D40" t="str">
        <f>IFERROR(((2*SUMIFS(Table2[AwayWon], Table2[GameIsOver],1,Table2[AwayTeam],$A40, Table2[HomeTeam], D$36) + SUMIFS(Table2[HomeWon_], Table2[GameIsOver],1,Table2[HomeTeam],$A40, Table2[AwayTeam], D$36)) + SUMIFS(Table2[AwayWon], Table2[GameIsOver],1,Table2[HomeTeam],$A40, Table2[AwayTeam], D$36, Table2[ActualResult], "REG") + SUMIFS(Table2[HomeWon_], Table2[GameIsOver],1,Table2[AwayTeam],$A40, Table2[HomeTeam], D$36, Table2[ActualResult], "OT") + SUMIFS(Table2[AwayWon], Table2[GameIsOver],1,Table2[HomeTeam],$A40, Table2[AwayTeam], D$36, Table2[ActualResult], "OT") + SUMIFS(Table2[HomeWon_], Table2[GameIsOver],1,Table2[AwayTeam],$A40, Table2[HomeTeam], D$36, Table2[ActualResult], "SO") + SUMIFS(Table2[AwayWon], Table2[GameIsOver],1,Table2[HomeTeam],$A40, Table2[AwayTeam], D$36, Table2[ActualResult], "SO")) / (2*(SUMIFS(Table2[AwayWon], Table2[GameIsOver],1,Table2[AwayTeam],$A40, Table2[HomeTeam], D$36) + SUMIFS(Table2[HomeWon_], Table2[GameIsOver],1,Table2[HomeTeam],$A40, Table2[AwayTeam], D$36) + SUMIFS(Table2[HomeWon_], Table2[GameIsOver],1,Table2[AwayTeam],$A40, Table2[HomeTeam], D$36, Table2[ActualResult], "REG") + SUMIFS(Table2[AwayWon], Table2[GameIsOver],1,Table2[HomeTeam],$A40, Table2[AwayTeam], D$36, Table2[ActualResult], "REG") + SUMIFS(Table2[HomeWon_], Table2[GameIsOver],1,Table2[AwayTeam],$A40, Table2[HomeTeam], D$36, Table2[ActualResult], "OT") + SUMIFS(Table2[AwayWon], Table2[GameIsOver],1,Table2[HomeTeam],$A40, Table2[AwayTeam], D$36, Table2[ActualResult], "OT") + SUMIFS(Table2[HomeWon_], Table2[GameIsOver],1,Table2[AwayTeam],$A40, Table2[HomeTeam], D$36, Table2[ActualResult], "SO") + SUMIFS(Table2[AwayWon], Table2[GameIsOver],1,Table2[HomeTeam],$A40, Table2[AwayTeam], D$36, Table2[ActualResult], "SO"))), "")</f>
        <v/>
      </c>
      <c r="E40" s="98" t="str">
        <f>IFERROR(((2*SUMIFS(Table2[AwayWon], Table2[GameIsOver],1,Table2[AwayTeam],$A40, Table2[HomeTeam], E$36) + SUMIFS(Table2[HomeWon_], Table2[GameIsOver],1,Table2[HomeTeam],$A40, Table2[AwayTeam], E$36)) + SUMIFS(Table2[AwayWon], Table2[GameIsOver],1,Table2[HomeTeam],$A40, Table2[AwayTeam], E$36, Table2[ActualResult], "REG") + SUMIFS(Table2[HomeWon_], Table2[GameIsOver],1,Table2[AwayTeam],$A40, Table2[HomeTeam], E$36, Table2[ActualResult], "OT") + SUMIFS(Table2[AwayWon], Table2[GameIsOver],1,Table2[HomeTeam],$A40, Table2[AwayTeam], E$36, Table2[ActualResult], "OT") + SUMIFS(Table2[HomeWon_], Table2[GameIsOver],1,Table2[AwayTeam],$A40, Table2[HomeTeam], E$36, Table2[ActualResult], "SO") + SUMIFS(Table2[AwayWon], Table2[GameIsOver],1,Table2[HomeTeam],$A40, Table2[AwayTeam], E$36, Table2[ActualResult], "SO")) / (2*(SUMIFS(Table2[AwayWon], Table2[GameIsOver],1,Table2[AwayTeam],$A40, Table2[HomeTeam], E$36) + SUMIFS(Table2[HomeWon_], Table2[GameIsOver],1,Table2[HomeTeam],$A40, Table2[AwayTeam], E$36) + SUMIFS(Table2[HomeWon_], Table2[GameIsOver],1,Table2[AwayTeam],$A40, Table2[HomeTeam], E$36, Table2[ActualResult], "REG") + SUMIFS(Table2[AwayWon], Table2[GameIsOver],1,Table2[HomeTeam],$A40, Table2[AwayTeam], E$36, Table2[ActualResult], "REG") + SUMIFS(Table2[HomeWon_], Table2[GameIsOver],1,Table2[AwayTeam],$A40, Table2[HomeTeam], E$36, Table2[ActualResult], "OT") + SUMIFS(Table2[AwayWon], Table2[GameIsOver],1,Table2[HomeTeam],$A40, Table2[AwayTeam], E$36, Table2[ActualResult], "OT") + SUMIFS(Table2[HomeWon_], Table2[GameIsOver],1,Table2[AwayTeam],$A40, Table2[HomeTeam], E$36, Table2[ActualResult], "SO") + SUMIFS(Table2[AwayWon], Table2[GameIsOver],1,Table2[HomeTeam],$A40, Table2[AwayTeam], E$36, Table2[ActualResult], "SO"))), "")</f>
        <v/>
      </c>
      <c r="F40" t="str">
        <f>IFERROR(((2*SUMIFS(Table2[AwayWon], Table2[GameIsOver],1,Table2[AwayTeam],$A40, Table2[HomeTeam], F$36) + SUMIFS(Table2[HomeWon_], Table2[GameIsOver],1,Table2[HomeTeam],$A40, Table2[AwayTeam], F$36)) + SUMIFS(Table2[AwayWon], Table2[GameIsOver],1,Table2[HomeTeam],$A40, Table2[AwayTeam], F$36, Table2[ActualResult], "REG") + SUMIFS(Table2[HomeWon_], Table2[GameIsOver],1,Table2[AwayTeam],$A40, Table2[HomeTeam], F$36, Table2[ActualResult], "OT") + SUMIFS(Table2[AwayWon], Table2[GameIsOver],1,Table2[HomeTeam],$A40, Table2[AwayTeam], F$36, Table2[ActualResult], "OT") + SUMIFS(Table2[HomeWon_], Table2[GameIsOver],1,Table2[AwayTeam],$A40, Table2[HomeTeam], F$36, Table2[ActualResult], "SO") + SUMIFS(Table2[AwayWon], Table2[GameIsOver],1,Table2[HomeTeam],$A40, Table2[AwayTeam], F$36, Table2[ActualResult], "SO")) / (2*(SUMIFS(Table2[AwayWon], Table2[GameIsOver],1,Table2[AwayTeam],$A40, Table2[HomeTeam], F$36) + SUMIFS(Table2[HomeWon_], Table2[GameIsOver],1,Table2[HomeTeam],$A40, Table2[AwayTeam], F$36) + SUMIFS(Table2[HomeWon_], Table2[GameIsOver],1,Table2[AwayTeam],$A40, Table2[HomeTeam], F$36, Table2[ActualResult], "REG") + SUMIFS(Table2[AwayWon], Table2[GameIsOver],1,Table2[HomeTeam],$A40, Table2[AwayTeam], F$36, Table2[ActualResult], "REG") + SUMIFS(Table2[HomeWon_], Table2[GameIsOver],1,Table2[AwayTeam],$A40, Table2[HomeTeam], F$36, Table2[ActualResult], "OT") + SUMIFS(Table2[AwayWon], Table2[GameIsOver],1,Table2[HomeTeam],$A40, Table2[AwayTeam], F$36, Table2[ActualResult], "OT") + SUMIFS(Table2[HomeWon_], Table2[GameIsOver],1,Table2[AwayTeam],$A40, Table2[HomeTeam], F$36, Table2[ActualResult], "SO") + SUMIFS(Table2[AwayWon], Table2[GameIsOver],1,Table2[HomeTeam],$A40, Table2[AwayTeam], F$36, Table2[ActualResult], "SO"))), "")</f>
        <v/>
      </c>
      <c r="G40" t="str">
        <f>IFERROR(((2*SUMIFS(Table2[AwayWon], Table2[GameIsOver],1,Table2[AwayTeam],$A40, Table2[HomeTeam], G$36) + SUMIFS(Table2[HomeWon_], Table2[GameIsOver],1,Table2[HomeTeam],$A40, Table2[AwayTeam], G$36)) + SUMIFS(Table2[AwayWon], Table2[GameIsOver],1,Table2[HomeTeam],$A40, Table2[AwayTeam], G$36, Table2[ActualResult], "REG") + SUMIFS(Table2[HomeWon_], Table2[GameIsOver],1,Table2[AwayTeam],$A40, Table2[HomeTeam], G$36, Table2[ActualResult], "OT") + SUMIFS(Table2[AwayWon], Table2[GameIsOver],1,Table2[HomeTeam],$A40, Table2[AwayTeam], G$36, Table2[ActualResult], "OT") + SUMIFS(Table2[HomeWon_], Table2[GameIsOver],1,Table2[AwayTeam],$A40, Table2[HomeTeam], G$36, Table2[ActualResult], "SO") + SUMIFS(Table2[AwayWon], Table2[GameIsOver],1,Table2[HomeTeam],$A40, Table2[AwayTeam], G$36, Table2[ActualResult], "SO")) / (2*(SUMIFS(Table2[AwayWon], Table2[GameIsOver],1,Table2[AwayTeam],$A40, Table2[HomeTeam], G$36) + SUMIFS(Table2[HomeWon_], Table2[GameIsOver],1,Table2[HomeTeam],$A40, Table2[AwayTeam], G$36) + SUMIFS(Table2[HomeWon_], Table2[GameIsOver],1,Table2[AwayTeam],$A40, Table2[HomeTeam], G$36, Table2[ActualResult], "REG") + SUMIFS(Table2[AwayWon], Table2[GameIsOver],1,Table2[HomeTeam],$A40, Table2[AwayTeam], G$36, Table2[ActualResult], "REG") + SUMIFS(Table2[HomeWon_], Table2[GameIsOver],1,Table2[AwayTeam],$A40, Table2[HomeTeam], G$36, Table2[ActualResult], "OT") + SUMIFS(Table2[AwayWon], Table2[GameIsOver],1,Table2[HomeTeam],$A40, Table2[AwayTeam], G$36, Table2[ActualResult], "OT") + SUMIFS(Table2[HomeWon_], Table2[GameIsOver],1,Table2[AwayTeam],$A40, Table2[HomeTeam], G$36, Table2[ActualResult], "SO") + SUMIFS(Table2[AwayWon], Table2[GameIsOver],1,Table2[HomeTeam],$A40, Table2[AwayTeam], G$36, Table2[ActualResult], "SO"))), "")</f>
        <v/>
      </c>
      <c r="H40" t="str">
        <f>IFERROR(((2*SUMIFS(Table2[AwayWon], Table2[GameIsOver],1,Table2[AwayTeam],$A40, Table2[HomeTeam], H$36) + SUMIFS(Table2[HomeWon_], Table2[GameIsOver],1,Table2[HomeTeam],$A40, Table2[AwayTeam], H$36)) + SUMIFS(Table2[AwayWon], Table2[GameIsOver],1,Table2[HomeTeam],$A40, Table2[AwayTeam], H$36, Table2[ActualResult], "REG") + SUMIFS(Table2[HomeWon_], Table2[GameIsOver],1,Table2[AwayTeam],$A40, Table2[HomeTeam], H$36, Table2[ActualResult], "OT") + SUMIFS(Table2[AwayWon], Table2[GameIsOver],1,Table2[HomeTeam],$A40, Table2[AwayTeam], H$36, Table2[ActualResult], "OT") + SUMIFS(Table2[HomeWon_], Table2[GameIsOver],1,Table2[AwayTeam],$A40, Table2[HomeTeam], H$36, Table2[ActualResult], "SO") + SUMIFS(Table2[AwayWon], Table2[GameIsOver],1,Table2[HomeTeam],$A40, Table2[AwayTeam], H$36, Table2[ActualResult], "SO")) / (2*(SUMIFS(Table2[AwayWon], Table2[GameIsOver],1,Table2[AwayTeam],$A40, Table2[HomeTeam], H$36) + SUMIFS(Table2[HomeWon_], Table2[GameIsOver],1,Table2[HomeTeam],$A40, Table2[AwayTeam], H$36) + SUMIFS(Table2[HomeWon_], Table2[GameIsOver],1,Table2[AwayTeam],$A40, Table2[HomeTeam], H$36, Table2[ActualResult], "REG") + SUMIFS(Table2[AwayWon], Table2[GameIsOver],1,Table2[HomeTeam],$A40, Table2[AwayTeam], H$36, Table2[ActualResult], "REG") + SUMIFS(Table2[HomeWon_], Table2[GameIsOver],1,Table2[AwayTeam],$A40, Table2[HomeTeam], H$36, Table2[ActualResult], "OT") + SUMIFS(Table2[AwayWon], Table2[GameIsOver],1,Table2[HomeTeam],$A40, Table2[AwayTeam], H$36, Table2[ActualResult], "OT") + SUMIFS(Table2[HomeWon_], Table2[GameIsOver],1,Table2[AwayTeam],$A40, Table2[HomeTeam], H$36, Table2[ActualResult], "SO") + SUMIFS(Table2[AwayWon], Table2[GameIsOver],1,Table2[HomeTeam],$A40, Table2[AwayTeam], H$36, Table2[ActualResult], "SO"))), "")</f>
        <v/>
      </c>
      <c r="I40" s="57">
        <f>IFERROR(((2*SUMIFS(Table2[AwayWon], Table2[GameIsOver],1,Table2[AwayTeam],$A40, Table2[HomeTeam], I$36) + SUMIFS(Table2[HomeWon_], Table2[GameIsOver],1,Table2[HomeTeam],$A40, Table2[AwayTeam], I$36)) + SUMIFS(Table2[AwayWon], Table2[GameIsOver],1,Table2[HomeTeam],$A40, Table2[AwayTeam], I$36, Table2[ActualResult], "REG") + SUMIFS(Table2[HomeWon_], Table2[GameIsOver],1,Table2[AwayTeam],$A40, Table2[HomeTeam], I$36, Table2[ActualResult], "OT") + SUMIFS(Table2[AwayWon], Table2[GameIsOver],1,Table2[HomeTeam],$A40, Table2[AwayTeam], I$36, Table2[ActualResult], "OT") + SUMIFS(Table2[HomeWon_], Table2[GameIsOver],1,Table2[AwayTeam],$A40, Table2[HomeTeam], I$36, Table2[ActualResult], "SO") + SUMIFS(Table2[AwayWon], Table2[GameIsOver],1,Table2[HomeTeam],$A40, Table2[AwayTeam], I$36, Table2[ActualResult], "SO")) / (2*(SUMIFS(Table2[AwayWon], Table2[GameIsOver],1,Table2[AwayTeam],$A40, Table2[HomeTeam], I$36) + SUMIFS(Table2[HomeWon_], Table2[GameIsOver],1,Table2[HomeTeam],$A40, Table2[AwayTeam], I$36) + SUMIFS(Table2[HomeWon_], Table2[GameIsOver],1,Table2[AwayTeam],$A40, Table2[HomeTeam], I$36, Table2[ActualResult], "REG") + SUMIFS(Table2[AwayWon], Table2[GameIsOver],1,Table2[HomeTeam],$A40, Table2[AwayTeam], I$36, Table2[ActualResult], "REG") + SUMIFS(Table2[HomeWon_], Table2[GameIsOver],1,Table2[AwayTeam],$A40, Table2[HomeTeam], I$36, Table2[ActualResult], "OT") + SUMIFS(Table2[AwayWon], Table2[GameIsOver],1,Table2[HomeTeam],$A40, Table2[AwayTeam], I$36, Table2[ActualResult], "OT") + SUMIFS(Table2[HomeWon_], Table2[GameIsOver],1,Table2[AwayTeam],$A40, Table2[HomeTeam], I$36, Table2[ActualResult], "SO") + SUMIFS(Table2[AwayWon], Table2[GameIsOver],1,Table2[HomeTeam],$A40, Table2[AwayTeam], I$36, Table2[ActualResult], "SO"))), "")</f>
        <v>1</v>
      </c>
      <c r="J40" t="str">
        <f>IFERROR(((2*SUMIFS(Table2[AwayWon], Table2[GameIsOver],1,Table2[AwayTeam],$A40, Table2[HomeTeam], J$36) + SUMIFS(Table2[HomeWon_], Table2[GameIsOver],1,Table2[HomeTeam],$A40, Table2[AwayTeam], J$36)) + SUMIFS(Table2[AwayWon], Table2[GameIsOver],1,Table2[HomeTeam],$A40, Table2[AwayTeam], J$36, Table2[ActualResult], "REG") + SUMIFS(Table2[HomeWon_], Table2[GameIsOver],1,Table2[AwayTeam],$A40, Table2[HomeTeam], J$36, Table2[ActualResult], "OT") + SUMIFS(Table2[AwayWon], Table2[GameIsOver],1,Table2[HomeTeam],$A40, Table2[AwayTeam], J$36, Table2[ActualResult], "OT") + SUMIFS(Table2[HomeWon_], Table2[GameIsOver],1,Table2[AwayTeam],$A40, Table2[HomeTeam], J$36, Table2[ActualResult], "SO") + SUMIFS(Table2[AwayWon], Table2[GameIsOver],1,Table2[HomeTeam],$A40, Table2[AwayTeam], J$36, Table2[ActualResult], "SO")) / (2*(SUMIFS(Table2[AwayWon], Table2[GameIsOver],1,Table2[AwayTeam],$A40, Table2[HomeTeam], J$36) + SUMIFS(Table2[HomeWon_], Table2[GameIsOver],1,Table2[HomeTeam],$A40, Table2[AwayTeam], J$36) + SUMIFS(Table2[HomeWon_], Table2[GameIsOver],1,Table2[AwayTeam],$A40, Table2[HomeTeam], J$36, Table2[ActualResult], "REG") + SUMIFS(Table2[AwayWon], Table2[GameIsOver],1,Table2[HomeTeam],$A40, Table2[AwayTeam], J$36, Table2[ActualResult], "REG") + SUMIFS(Table2[HomeWon_], Table2[GameIsOver],1,Table2[AwayTeam],$A40, Table2[HomeTeam], J$36, Table2[ActualResult], "OT") + SUMIFS(Table2[AwayWon], Table2[GameIsOver],1,Table2[HomeTeam],$A40, Table2[AwayTeam], J$36, Table2[ActualResult], "OT") + SUMIFS(Table2[HomeWon_], Table2[GameIsOver],1,Table2[AwayTeam],$A40, Table2[HomeTeam], J$36, Table2[ActualResult], "SO") + SUMIFS(Table2[AwayWon], Table2[GameIsOver],1,Table2[HomeTeam],$A40, Table2[AwayTeam], J$36, Table2[ActualResult], "SO"))), "")</f>
        <v/>
      </c>
      <c r="K40">
        <f>IFERROR(((2*SUMIFS(Table2[AwayWon], Table2[GameIsOver],1,Table2[AwayTeam],$A40, Table2[HomeTeam], K$36) + SUMIFS(Table2[HomeWon_], Table2[GameIsOver],1,Table2[HomeTeam],$A40, Table2[AwayTeam], K$36)) + SUMIFS(Table2[AwayWon], Table2[GameIsOver],1,Table2[HomeTeam],$A40, Table2[AwayTeam], K$36, Table2[ActualResult], "REG") + SUMIFS(Table2[HomeWon_], Table2[GameIsOver],1,Table2[AwayTeam],$A40, Table2[HomeTeam], K$36, Table2[ActualResult], "OT") + SUMIFS(Table2[AwayWon], Table2[GameIsOver],1,Table2[HomeTeam],$A40, Table2[AwayTeam], K$36, Table2[ActualResult], "OT") + SUMIFS(Table2[HomeWon_], Table2[GameIsOver],1,Table2[AwayTeam],$A40, Table2[HomeTeam], K$36, Table2[ActualResult], "SO") + SUMIFS(Table2[AwayWon], Table2[GameIsOver],1,Table2[HomeTeam],$A40, Table2[AwayTeam], K$36, Table2[ActualResult], "SO")) / (2*(SUMIFS(Table2[AwayWon], Table2[GameIsOver],1,Table2[AwayTeam],$A40, Table2[HomeTeam], K$36) + SUMIFS(Table2[HomeWon_], Table2[GameIsOver],1,Table2[HomeTeam],$A40, Table2[AwayTeam], K$36) + SUMIFS(Table2[HomeWon_], Table2[GameIsOver],1,Table2[AwayTeam],$A40, Table2[HomeTeam], K$36, Table2[ActualResult], "REG") + SUMIFS(Table2[AwayWon], Table2[GameIsOver],1,Table2[HomeTeam],$A40, Table2[AwayTeam], K$36, Table2[ActualResult], "REG") + SUMIFS(Table2[HomeWon_], Table2[GameIsOver],1,Table2[AwayTeam],$A40, Table2[HomeTeam], K$36, Table2[ActualResult], "OT") + SUMIFS(Table2[AwayWon], Table2[GameIsOver],1,Table2[HomeTeam],$A40, Table2[AwayTeam], K$36, Table2[ActualResult], "OT") + SUMIFS(Table2[HomeWon_], Table2[GameIsOver],1,Table2[AwayTeam],$A40, Table2[HomeTeam], K$36, Table2[ActualResult], "SO") + SUMIFS(Table2[AwayWon], Table2[GameIsOver],1,Table2[HomeTeam],$A40, Table2[AwayTeam], K$36, Table2[ActualResult], "SO"))), "")</f>
        <v>0.5</v>
      </c>
      <c r="L40" t="str">
        <f>IFERROR(((2*SUMIFS(Table2[AwayWon], Table2[GameIsOver],1,Table2[AwayTeam],$A40, Table2[HomeTeam], L$36) + SUMIFS(Table2[HomeWon_], Table2[GameIsOver],1,Table2[HomeTeam],$A40, Table2[AwayTeam], L$36)) + SUMIFS(Table2[AwayWon], Table2[GameIsOver],1,Table2[HomeTeam],$A40, Table2[AwayTeam], L$36, Table2[ActualResult], "REG") + SUMIFS(Table2[HomeWon_], Table2[GameIsOver],1,Table2[AwayTeam],$A40, Table2[HomeTeam], L$36, Table2[ActualResult], "OT") + SUMIFS(Table2[AwayWon], Table2[GameIsOver],1,Table2[HomeTeam],$A40, Table2[AwayTeam], L$36, Table2[ActualResult], "OT") + SUMIFS(Table2[HomeWon_], Table2[GameIsOver],1,Table2[AwayTeam],$A40, Table2[HomeTeam], L$36, Table2[ActualResult], "SO") + SUMIFS(Table2[AwayWon], Table2[GameIsOver],1,Table2[HomeTeam],$A40, Table2[AwayTeam], L$36, Table2[ActualResult], "SO")) / (2*(SUMIFS(Table2[AwayWon], Table2[GameIsOver],1,Table2[AwayTeam],$A40, Table2[HomeTeam], L$36) + SUMIFS(Table2[HomeWon_], Table2[GameIsOver],1,Table2[HomeTeam],$A40, Table2[AwayTeam], L$36) + SUMIFS(Table2[HomeWon_], Table2[GameIsOver],1,Table2[AwayTeam],$A40, Table2[HomeTeam], L$36, Table2[ActualResult], "REG") + SUMIFS(Table2[AwayWon], Table2[GameIsOver],1,Table2[HomeTeam],$A40, Table2[AwayTeam], L$36, Table2[ActualResult], "REG") + SUMIFS(Table2[HomeWon_], Table2[GameIsOver],1,Table2[AwayTeam],$A40, Table2[HomeTeam], L$36, Table2[ActualResult], "OT") + SUMIFS(Table2[AwayWon], Table2[GameIsOver],1,Table2[HomeTeam],$A40, Table2[AwayTeam], L$36, Table2[ActualResult], "OT") + SUMIFS(Table2[HomeWon_], Table2[GameIsOver],1,Table2[AwayTeam],$A40, Table2[HomeTeam], L$36, Table2[ActualResult], "SO") + SUMIFS(Table2[AwayWon], Table2[GameIsOver],1,Table2[HomeTeam],$A40, Table2[AwayTeam], L$36, Table2[ActualResult], "SO"))), "")</f>
        <v/>
      </c>
      <c r="M40">
        <f>IFERROR(((2*SUMIFS(Table2[AwayWon], Table2[GameIsOver],1,Table2[AwayTeam],$A40, Table2[HomeTeam], M$36) + SUMIFS(Table2[HomeWon_], Table2[GameIsOver],1,Table2[HomeTeam],$A40, Table2[AwayTeam], M$36)) + SUMIFS(Table2[AwayWon], Table2[GameIsOver],1,Table2[HomeTeam],$A40, Table2[AwayTeam], M$36, Table2[ActualResult], "REG") + SUMIFS(Table2[HomeWon_], Table2[GameIsOver],1,Table2[AwayTeam],$A40, Table2[HomeTeam], M$36, Table2[ActualResult], "OT") + SUMIFS(Table2[AwayWon], Table2[GameIsOver],1,Table2[HomeTeam],$A40, Table2[AwayTeam], M$36, Table2[ActualResult], "OT") + SUMIFS(Table2[HomeWon_], Table2[GameIsOver],1,Table2[AwayTeam],$A40, Table2[HomeTeam], M$36, Table2[ActualResult], "SO") + SUMIFS(Table2[AwayWon], Table2[GameIsOver],1,Table2[HomeTeam],$A40, Table2[AwayTeam], M$36, Table2[ActualResult], "SO")) / (2*(SUMIFS(Table2[AwayWon], Table2[GameIsOver],1,Table2[AwayTeam],$A40, Table2[HomeTeam], M$36) + SUMIFS(Table2[HomeWon_], Table2[GameIsOver],1,Table2[HomeTeam],$A40, Table2[AwayTeam], M$36) + SUMIFS(Table2[HomeWon_], Table2[GameIsOver],1,Table2[AwayTeam],$A40, Table2[HomeTeam], M$36, Table2[ActualResult], "REG") + SUMIFS(Table2[AwayWon], Table2[GameIsOver],1,Table2[HomeTeam],$A40, Table2[AwayTeam], M$36, Table2[ActualResult], "REG") + SUMIFS(Table2[HomeWon_], Table2[GameIsOver],1,Table2[AwayTeam],$A40, Table2[HomeTeam], M$36, Table2[ActualResult], "OT") + SUMIFS(Table2[AwayWon], Table2[GameIsOver],1,Table2[HomeTeam],$A40, Table2[AwayTeam], M$36, Table2[ActualResult], "OT") + SUMIFS(Table2[HomeWon_], Table2[GameIsOver],1,Table2[AwayTeam],$A40, Table2[HomeTeam], M$36, Table2[ActualResult], "SO") + SUMIFS(Table2[AwayWon], Table2[GameIsOver],1,Table2[HomeTeam],$A40, Table2[AwayTeam], M$36, Table2[ActualResult], "SO"))), "")</f>
        <v>0.5</v>
      </c>
      <c r="N40" t="str">
        <f>IFERROR(((2*SUMIFS(Table2[AwayWon], Table2[GameIsOver],1,Table2[AwayTeam],$A40, Table2[HomeTeam], N$36) + SUMIFS(Table2[HomeWon_], Table2[GameIsOver],1,Table2[HomeTeam],$A40, Table2[AwayTeam], N$36)) + SUMIFS(Table2[AwayWon], Table2[GameIsOver],1,Table2[HomeTeam],$A40, Table2[AwayTeam], N$36, Table2[ActualResult], "REG") + SUMIFS(Table2[HomeWon_], Table2[GameIsOver],1,Table2[AwayTeam],$A40, Table2[HomeTeam], N$36, Table2[ActualResult], "OT") + SUMIFS(Table2[AwayWon], Table2[GameIsOver],1,Table2[HomeTeam],$A40, Table2[AwayTeam], N$36, Table2[ActualResult], "OT") + SUMIFS(Table2[HomeWon_], Table2[GameIsOver],1,Table2[AwayTeam],$A40, Table2[HomeTeam], N$36, Table2[ActualResult], "SO") + SUMIFS(Table2[AwayWon], Table2[GameIsOver],1,Table2[HomeTeam],$A40, Table2[AwayTeam], N$36, Table2[ActualResult], "SO")) / (2*(SUMIFS(Table2[AwayWon], Table2[GameIsOver],1,Table2[AwayTeam],$A40, Table2[HomeTeam], N$36) + SUMIFS(Table2[HomeWon_], Table2[GameIsOver],1,Table2[HomeTeam],$A40, Table2[AwayTeam], N$36) + SUMIFS(Table2[HomeWon_], Table2[GameIsOver],1,Table2[AwayTeam],$A40, Table2[HomeTeam], N$36, Table2[ActualResult], "REG") + SUMIFS(Table2[AwayWon], Table2[GameIsOver],1,Table2[HomeTeam],$A40, Table2[AwayTeam], N$36, Table2[ActualResult], "REG") + SUMIFS(Table2[HomeWon_], Table2[GameIsOver],1,Table2[AwayTeam],$A40, Table2[HomeTeam], N$36, Table2[ActualResult], "OT") + SUMIFS(Table2[AwayWon], Table2[GameIsOver],1,Table2[HomeTeam],$A40, Table2[AwayTeam], N$36, Table2[ActualResult], "OT") + SUMIFS(Table2[HomeWon_], Table2[GameIsOver],1,Table2[AwayTeam],$A40, Table2[HomeTeam], N$36, Table2[ActualResult], "SO") + SUMIFS(Table2[AwayWon], Table2[GameIsOver],1,Table2[HomeTeam],$A40, Table2[AwayTeam], N$36, Table2[ActualResult], "SO"))), "")</f>
        <v/>
      </c>
      <c r="O40">
        <f>IFERROR(((2*SUMIFS(Table2[AwayWon], Table2[GameIsOver],1,Table2[AwayTeam],$A40, Table2[HomeTeam], O$36) + SUMIFS(Table2[HomeWon_], Table2[GameIsOver],1,Table2[HomeTeam],$A40, Table2[AwayTeam], O$36)) + SUMIFS(Table2[AwayWon], Table2[GameIsOver],1,Table2[HomeTeam],$A40, Table2[AwayTeam], O$36, Table2[ActualResult], "REG") + SUMIFS(Table2[HomeWon_], Table2[GameIsOver],1,Table2[AwayTeam],$A40, Table2[HomeTeam], O$36, Table2[ActualResult], "OT") + SUMIFS(Table2[AwayWon], Table2[GameIsOver],1,Table2[HomeTeam],$A40, Table2[AwayTeam], O$36, Table2[ActualResult], "OT") + SUMIFS(Table2[HomeWon_], Table2[GameIsOver],1,Table2[AwayTeam],$A40, Table2[HomeTeam], O$36, Table2[ActualResult], "SO") + SUMIFS(Table2[AwayWon], Table2[GameIsOver],1,Table2[HomeTeam],$A40, Table2[AwayTeam], O$36, Table2[ActualResult], "SO")) / (2*(SUMIFS(Table2[AwayWon], Table2[GameIsOver],1,Table2[AwayTeam],$A40, Table2[HomeTeam], O$36) + SUMIFS(Table2[HomeWon_], Table2[GameIsOver],1,Table2[HomeTeam],$A40, Table2[AwayTeam], O$36) + SUMIFS(Table2[HomeWon_], Table2[GameIsOver],1,Table2[AwayTeam],$A40, Table2[HomeTeam], O$36, Table2[ActualResult], "REG") + SUMIFS(Table2[AwayWon], Table2[GameIsOver],1,Table2[HomeTeam],$A40, Table2[AwayTeam], O$36, Table2[ActualResult], "REG") + SUMIFS(Table2[HomeWon_], Table2[GameIsOver],1,Table2[AwayTeam],$A40, Table2[HomeTeam], O$36, Table2[ActualResult], "OT") + SUMIFS(Table2[AwayWon], Table2[GameIsOver],1,Table2[HomeTeam],$A40, Table2[AwayTeam], O$36, Table2[ActualResult], "OT") + SUMIFS(Table2[HomeWon_], Table2[GameIsOver],1,Table2[AwayTeam],$A40, Table2[HomeTeam], O$36, Table2[ActualResult], "SO") + SUMIFS(Table2[AwayWon], Table2[GameIsOver],1,Table2[HomeTeam],$A40, Table2[AwayTeam], O$36, Table2[ActualResult], "SO"))), "")</f>
        <v>1</v>
      </c>
      <c r="P40" t="str">
        <f>IFERROR(((2*SUMIFS(Table2[AwayWon], Table2[GameIsOver],1,Table2[AwayTeam],$A40, Table2[HomeTeam], P$36) + SUMIFS(Table2[HomeWon_], Table2[GameIsOver],1,Table2[HomeTeam],$A40, Table2[AwayTeam], P$36)) + SUMIFS(Table2[AwayWon], Table2[GameIsOver],1,Table2[HomeTeam],$A40, Table2[AwayTeam], P$36, Table2[ActualResult], "REG") + SUMIFS(Table2[HomeWon_], Table2[GameIsOver],1,Table2[AwayTeam],$A40, Table2[HomeTeam], P$36, Table2[ActualResult], "OT") + SUMIFS(Table2[AwayWon], Table2[GameIsOver],1,Table2[HomeTeam],$A40, Table2[AwayTeam], P$36, Table2[ActualResult], "OT") + SUMIFS(Table2[HomeWon_], Table2[GameIsOver],1,Table2[AwayTeam],$A40, Table2[HomeTeam], P$36, Table2[ActualResult], "SO") + SUMIFS(Table2[AwayWon], Table2[GameIsOver],1,Table2[HomeTeam],$A40, Table2[AwayTeam], P$36, Table2[ActualResult], "SO")) / (2*(SUMIFS(Table2[AwayWon], Table2[GameIsOver],1,Table2[AwayTeam],$A40, Table2[HomeTeam], P$36) + SUMIFS(Table2[HomeWon_], Table2[GameIsOver],1,Table2[HomeTeam],$A40, Table2[AwayTeam], P$36) + SUMIFS(Table2[HomeWon_], Table2[GameIsOver],1,Table2[AwayTeam],$A40, Table2[HomeTeam], P$36, Table2[ActualResult], "REG") + SUMIFS(Table2[AwayWon], Table2[GameIsOver],1,Table2[HomeTeam],$A40, Table2[AwayTeam], P$36, Table2[ActualResult], "REG") + SUMIFS(Table2[HomeWon_], Table2[GameIsOver],1,Table2[AwayTeam],$A40, Table2[HomeTeam], P$36, Table2[ActualResult], "OT") + SUMIFS(Table2[AwayWon], Table2[GameIsOver],1,Table2[HomeTeam],$A40, Table2[AwayTeam], P$36, Table2[ActualResult], "OT") + SUMIFS(Table2[HomeWon_], Table2[GameIsOver],1,Table2[AwayTeam],$A40, Table2[HomeTeam], P$36, Table2[ActualResult], "SO") + SUMIFS(Table2[AwayWon], Table2[GameIsOver],1,Table2[HomeTeam],$A40, Table2[AwayTeam], P$36, Table2[ActualResult], "SO"))), "")</f>
        <v/>
      </c>
      <c r="Q40" s="57">
        <f>IFERROR(((2*SUMIFS(Table2[AwayWon], Table2[GameIsOver],1,Table2[AwayTeam],$A40, Table2[HomeTeam], Q$36) + SUMIFS(Table2[HomeWon_], Table2[GameIsOver],1,Table2[HomeTeam],$A40, Table2[AwayTeam], Q$36)) + SUMIFS(Table2[AwayWon], Table2[GameIsOver],1,Table2[HomeTeam],$A40, Table2[AwayTeam], Q$36, Table2[ActualResult], "REG") + SUMIFS(Table2[HomeWon_], Table2[GameIsOver],1,Table2[AwayTeam],$A40, Table2[HomeTeam], Q$36, Table2[ActualResult], "OT") + SUMIFS(Table2[AwayWon], Table2[GameIsOver],1,Table2[HomeTeam],$A40, Table2[AwayTeam], Q$36, Table2[ActualResult], "OT") + SUMIFS(Table2[HomeWon_], Table2[GameIsOver],1,Table2[AwayTeam],$A40, Table2[HomeTeam], Q$36, Table2[ActualResult], "SO") + SUMIFS(Table2[AwayWon], Table2[GameIsOver],1,Table2[HomeTeam],$A40, Table2[AwayTeam], Q$36, Table2[ActualResult], "SO")) / (2*(SUMIFS(Table2[AwayWon], Table2[GameIsOver],1,Table2[AwayTeam],$A40, Table2[HomeTeam], Q$36) + SUMIFS(Table2[HomeWon_], Table2[GameIsOver],1,Table2[HomeTeam],$A40, Table2[AwayTeam], Q$36) + SUMIFS(Table2[HomeWon_], Table2[GameIsOver],1,Table2[AwayTeam],$A40, Table2[HomeTeam], Q$36, Table2[ActualResult], "REG") + SUMIFS(Table2[AwayWon], Table2[GameIsOver],1,Table2[HomeTeam],$A40, Table2[AwayTeam], Q$36, Table2[ActualResult], "REG") + SUMIFS(Table2[HomeWon_], Table2[GameIsOver],1,Table2[AwayTeam],$A40, Table2[HomeTeam], Q$36, Table2[ActualResult], "OT") + SUMIFS(Table2[AwayWon], Table2[GameIsOver],1,Table2[HomeTeam],$A40, Table2[AwayTeam], Q$36, Table2[ActualResult], "OT") + SUMIFS(Table2[HomeWon_], Table2[GameIsOver],1,Table2[AwayTeam],$A40, Table2[HomeTeam], Q$36, Table2[ActualResult], "SO") + SUMIFS(Table2[AwayWon], Table2[GameIsOver],1,Table2[HomeTeam],$A40, Table2[AwayTeam], Q$36, Table2[ActualResult], "SO"))), "")</f>
        <v>0</v>
      </c>
      <c r="R40">
        <f>IFERROR(((2*SUMIFS(Table2[AwayWon], Table2[GameIsOver],1,Table2[AwayTeam],$A40, Table2[HomeTeam], R$36) + SUMIFS(Table2[HomeWon_], Table2[GameIsOver],1,Table2[HomeTeam],$A40, Table2[AwayTeam], R$36)) + SUMIFS(Table2[AwayWon], Table2[GameIsOver],1,Table2[HomeTeam],$A40, Table2[AwayTeam], R$36, Table2[ActualResult], "REG") + SUMIFS(Table2[HomeWon_], Table2[GameIsOver],1,Table2[AwayTeam],$A40, Table2[HomeTeam], R$36, Table2[ActualResult], "OT") + SUMIFS(Table2[AwayWon], Table2[GameIsOver],1,Table2[HomeTeam],$A40, Table2[AwayTeam], R$36, Table2[ActualResult], "OT") + SUMIFS(Table2[HomeWon_], Table2[GameIsOver],1,Table2[AwayTeam],$A40, Table2[HomeTeam], R$36, Table2[ActualResult], "SO") + SUMIFS(Table2[AwayWon], Table2[GameIsOver],1,Table2[HomeTeam],$A40, Table2[AwayTeam], R$36, Table2[ActualResult], "SO")) / (2*(SUMIFS(Table2[AwayWon], Table2[GameIsOver],1,Table2[AwayTeam],$A40, Table2[HomeTeam], R$36) + SUMIFS(Table2[HomeWon_], Table2[GameIsOver],1,Table2[HomeTeam],$A40, Table2[AwayTeam], R$36) + SUMIFS(Table2[HomeWon_], Table2[GameIsOver],1,Table2[AwayTeam],$A40, Table2[HomeTeam], R$36, Table2[ActualResult], "REG") + SUMIFS(Table2[AwayWon], Table2[GameIsOver],1,Table2[HomeTeam],$A40, Table2[AwayTeam], R$36, Table2[ActualResult], "REG") + SUMIFS(Table2[HomeWon_], Table2[GameIsOver],1,Table2[AwayTeam],$A40, Table2[HomeTeam], R$36, Table2[ActualResult], "OT") + SUMIFS(Table2[AwayWon], Table2[GameIsOver],1,Table2[HomeTeam],$A40, Table2[AwayTeam], R$36, Table2[ActualResult], "OT") + SUMIFS(Table2[HomeWon_], Table2[GameIsOver],1,Table2[AwayTeam],$A40, Table2[HomeTeam], R$36, Table2[ActualResult], "SO") + SUMIFS(Table2[AwayWon], Table2[GameIsOver],1,Table2[HomeTeam],$A40, Table2[AwayTeam], R$36, Table2[ActualResult], "SO"))), "")</f>
        <v>0.5</v>
      </c>
      <c r="S40" t="str">
        <f>IFERROR(((2*SUMIFS(Table2[AwayWon], Table2[GameIsOver],1,Table2[AwayTeam],$A40, Table2[HomeTeam], S$36) + SUMIFS(Table2[HomeWon_], Table2[GameIsOver],1,Table2[HomeTeam],$A40, Table2[AwayTeam], S$36)) + SUMIFS(Table2[AwayWon], Table2[GameIsOver],1,Table2[HomeTeam],$A40, Table2[AwayTeam], S$36, Table2[ActualResult], "REG") + SUMIFS(Table2[HomeWon_], Table2[GameIsOver],1,Table2[AwayTeam],$A40, Table2[HomeTeam], S$36, Table2[ActualResult], "OT") + SUMIFS(Table2[AwayWon], Table2[GameIsOver],1,Table2[HomeTeam],$A40, Table2[AwayTeam], S$36, Table2[ActualResult], "OT") + SUMIFS(Table2[HomeWon_], Table2[GameIsOver],1,Table2[AwayTeam],$A40, Table2[HomeTeam], S$36, Table2[ActualResult], "SO") + SUMIFS(Table2[AwayWon], Table2[GameIsOver],1,Table2[HomeTeam],$A40, Table2[AwayTeam], S$36, Table2[ActualResult], "SO")) / (2*(SUMIFS(Table2[AwayWon], Table2[GameIsOver],1,Table2[AwayTeam],$A40, Table2[HomeTeam], S$36) + SUMIFS(Table2[HomeWon_], Table2[GameIsOver],1,Table2[HomeTeam],$A40, Table2[AwayTeam], S$36) + SUMIFS(Table2[HomeWon_], Table2[GameIsOver],1,Table2[AwayTeam],$A40, Table2[HomeTeam], S$36, Table2[ActualResult], "REG") + SUMIFS(Table2[AwayWon], Table2[GameIsOver],1,Table2[HomeTeam],$A40, Table2[AwayTeam], S$36, Table2[ActualResult], "REG") + SUMIFS(Table2[HomeWon_], Table2[GameIsOver],1,Table2[AwayTeam],$A40, Table2[HomeTeam], S$36, Table2[ActualResult], "OT") + SUMIFS(Table2[AwayWon], Table2[GameIsOver],1,Table2[HomeTeam],$A40, Table2[AwayTeam], S$36, Table2[ActualResult], "OT") + SUMIFS(Table2[HomeWon_], Table2[GameIsOver],1,Table2[AwayTeam],$A40, Table2[HomeTeam], S$36, Table2[ActualResult], "SO") + SUMIFS(Table2[AwayWon], Table2[GameIsOver],1,Table2[HomeTeam],$A40, Table2[AwayTeam], S$36, Table2[ActualResult], "SO"))), "")</f>
        <v/>
      </c>
      <c r="T40" t="str">
        <f>IFERROR(((2*SUMIFS(Table2[AwayWon], Table2[GameIsOver],1,Table2[AwayTeam],$A40, Table2[HomeTeam], T$36) + SUMIFS(Table2[HomeWon_], Table2[GameIsOver],1,Table2[HomeTeam],$A40, Table2[AwayTeam], T$36)) + SUMIFS(Table2[AwayWon], Table2[GameIsOver],1,Table2[HomeTeam],$A40, Table2[AwayTeam], T$36, Table2[ActualResult], "REG") + SUMIFS(Table2[HomeWon_], Table2[GameIsOver],1,Table2[AwayTeam],$A40, Table2[HomeTeam], T$36, Table2[ActualResult], "OT") + SUMIFS(Table2[AwayWon], Table2[GameIsOver],1,Table2[HomeTeam],$A40, Table2[AwayTeam], T$36, Table2[ActualResult], "OT") + SUMIFS(Table2[HomeWon_], Table2[GameIsOver],1,Table2[AwayTeam],$A40, Table2[HomeTeam], T$36, Table2[ActualResult], "SO") + SUMIFS(Table2[AwayWon], Table2[GameIsOver],1,Table2[HomeTeam],$A40, Table2[AwayTeam], T$36, Table2[ActualResult], "SO")) / (2*(SUMIFS(Table2[AwayWon], Table2[GameIsOver],1,Table2[AwayTeam],$A40, Table2[HomeTeam], T$36) + SUMIFS(Table2[HomeWon_], Table2[GameIsOver],1,Table2[HomeTeam],$A40, Table2[AwayTeam], T$36) + SUMIFS(Table2[HomeWon_], Table2[GameIsOver],1,Table2[AwayTeam],$A40, Table2[HomeTeam], T$36, Table2[ActualResult], "REG") + SUMIFS(Table2[AwayWon], Table2[GameIsOver],1,Table2[HomeTeam],$A40, Table2[AwayTeam], T$36, Table2[ActualResult], "REG") + SUMIFS(Table2[HomeWon_], Table2[GameIsOver],1,Table2[AwayTeam],$A40, Table2[HomeTeam], T$36, Table2[ActualResult], "OT") + SUMIFS(Table2[AwayWon], Table2[GameIsOver],1,Table2[HomeTeam],$A40, Table2[AwayTeam], T$36, Table2[ActualResult], "OT") + SUMIFS(Table2[HomeWon_], Table2[GameIsOver],1,Table2[AwayTeam],$A40, Table2[HomeTeam], T$36, Table2[ActualResult], "SO") + SUMIFS(Table2[AwayWon], Table2[GameIsOver],1,Table2[HomeTeam],$A40, Table2[AwayTeam], T$36, Table2[ActualResult], "SO"))), "")</f>
        <v/>
      </c>
      <c r="U40" t="str">
        <f>IFERROR(((2*SUMIFS(Table2[AwayWon], Table2[GameIsOver],1,Table2[AwayTeam],$A40, Table2[HomeTeam], U$36) + SUMIFS(Table2[HomeWon_], Table2[GameIsOver],1,Table2[HomeTeam],$A40, Table2[AwayTeam], U$36)) + SUMIFS(Table2[AwayWon], Table2[GameIsOver],1,Table2[HomeTeam],$A40, Table2[AwayTeam], U$36, Table2[ActualResult], "REG") + SUMIFS(Table2[HomeWon_], Table2[GameIsOver],1,Table2[AwayTeam],$A40, Table2[HomeTeam], U$36, Table2[ActualResult], "OT") + SUMIFS(Table2[AwayWon], Table2[GameIsOver],1,Table2[HomeTeam],$A40, Table2[AwayTeam], U$36, Table2[ActualResult], "OT") + SUMIFS(Table2[HomeWon_], Table2[GameIsOver],1,Table2[AwayTeam],$A40, Table2[HomeTeam], U$36, Table2[ActualResult], "SO") + SUMIFS(Table2[AwayWon], Table2[GameIsOver],1,Table2[HomeTeam],$A40, Table2[AwayTeam], U$36, Table2[ActualResult], "SO")) / (2*(SUMIFS(Table2[AwayWon], Table2[GameIsOver],1,Table2[AwayTeam],$A40, Table2[HomeTeam], U$36) + SUMIFS(Table2[HomeWon_], Table2[GameIsOver],1,Table2[HomeTeam],$A40, Table2[AwayTeam], U$36) + SUMIFS(Table2[HomeWon_], Table2[GameIsOver],1,Table2[AwayTeam],$A40, Table2[HomeTeam], U$36, Table2[ActualResult], "REG") + SUMIFS(Table2[AwayWon], Table2[GameIsOver],1,Table2[HomeTeam],$A40, Table2[AwayTeam], U$36, Table2[ActualResult], "REG") + SUMIFS(Table2[HomeWon_], Table2[GameIsOver],1,Table2[AwayTeam],$A40, Table2[HomeTeam], U$36, Table2[ActualResult], "OT") + SUMIFS(Table2[AwayWon], Table2[GameIsOver],1,Table2[HomeTeam],$A40, Table2[AwayTeam], U$36, Table2[ActualResult], "OT") + SUMIFS(Table2[HomeWon_], Table2[GameIsOver],1,Table2[AwayTeam],$A40, Table2[HomeTeam], U$36, Table2[ActualResult], "SO") + SUMIFS(Table2[AwayWon], Table2[GameIsOver],1,Table2[HomeTeam],$A40, Table2[AwayTeam], U$36, Table2[ActualResult], "SO"))), "")</f>
        <v/>
      </c>
      <c r="V40" t="str">
        <f>IFERROR(((2*SUMIFS(Table2[AwayWon], Table2[GameIsOver],1,Table2[AwayTeam],$A40, Table2[HomeTeam], V$36) + SUMIFS(Table2[HomeWon_], Table2[GameIsOver],1,Table2[HomeTeam],$A40, Table2[AwayTeam], V$36)) + SUMIFS(Table2[AwayWon], Table2[GameIsOver],1,Table2[HomeTeam],$A40, Table2[AwayTeam], V$36, Table2[ActualResult], "REG") + SUMIFS(Table2[HomeWon_], Table2[GameIsOver],1,Table2[AwayTeam],$A40, Table2[HomeTeam], V$36, Table2[ActualResult], "OT") + SUMIFS(Table2[AwayWon], Table2[GameIsOver],1,Table2[HomeTeam],$A40, Table2[AwayTeam], V$36, Table2[ActualResult], "OT") + SUMIFS(Table2[HomeWon_], Table2[GameIsOver],1,Table2[AwayTeam],$A40, Table2[HomeTeam], V$36, Table2[ActualResult], "SO") + SUMIFS(Table2[AwayWon], Table2[GameIsOver],1,Table2[HomeTeam],$A40, Table2[AwayTeam], V$36, Table2[ActualResult], "SO")) / (2*(SUMIFS(Table2[AwayWon], Table2[GameIsOver],1,Table2[AwayTeam],$A40, Table2[HomeTeam], V$36) + SUMIFS(Table2[HomeWon_], Table2[GameIsOver],1,Table2[HomeTeam],$A40, Table2[AwayTeam], V$36) + SUMIFS(Table2[HomeWon_], Table2[GameIsOver],1,Table2[AwayTeam],$A40, Table2[HomeTeam], V$36, Table2[ActualResult], "REG") + SUMIFS(Table2[AwayWon], Table2[GameIsOver],1,Table2[HomeTeam],$A40, Table2[AwayTeam], V$36, Table2[ActualResult], "REG") + SUMIFS(Table2[HomeWon_], Table2[GameIsOver],1,Table2[AwayTeam],$A40, Table2[HomeTeam], V$36, Table2[ActualResult], "OT") + SUMIFS(Table2[AwayWon], Table2[GameIsOver],1,Table2[HomeTeam],$A40, Table2[AwayTeam], V$36, Table2[ActualResult], "OT") + SUMIFS(Table2[HomeWon_], Table2[GameIsOver],1,Table2[AwayTeam],$A40, Table2[HomeTeam], V$36, Table2[ActualResult], "SO") + SUMIFS(Table2[AwayWon], Table2[GameIsOver],1,Table2[HomeTeam],$A40, Table2[AwayTeam], V$36, Table2[ActualResult], "SO"))), "")</f>
        <v/>
      </c>
      <c r="W40" t="str">
        <f>IFERROR(((2*SUMIFS(Table2[AwayWon], Table2[GameIsOver],1,Table2[AwayTeam],$A40, Table2[HomeTeam], W$36) + SUMIFS(Table2[HomeWon_], Table2[GameIsOver],1,Table2[HomeTeam],$A40, Table2[AwayTeam], W$36)) + SUMIFS(Table2[AwayWon], Table2[GameIsOver],1,Table2[HomeTeam],$A40, Table2[AwayTeam], W$36, Table2[ActualResult], "REG") + SUMIFS(Table2[HomeWon_], Table2[GameIsOver],1,Table2[AwayTeam],$A40, Table2[HomeTeam], W$36, Table2[ActualResult], "OT") + SUMIFS(Table2[AwayWon], Table2[GameIsOver],1,Table2[HomeTeam],$A40, Table2[AwayTeam], W$36, Table2[ActualResult], "OT") + SUMIFS(Table2[HomeWon_], Table2[GameIsOver],1,Table2[AwayTeam],$A40, Table2[HomeTeam], W$36, Table2[ActualResult], "SO") + SUMIFS(Table2[AwayWon], Table2[GameIsOver],1,Table2[HomeTeam],$A40, Table2[AwayTeam], W$36, Table2[ActualResult], "SO")) / (2*(SUMIFS(Table2[AwayWon], Table2[GameIsOver],1,Table2[AwayTeam],$A40, Table2[HomeTeam], W$36) + SUMIFS(Table2[HomeWon_], Table2[GameIsOver],1,Table2[HomeTeam],$A40, Table2[AwayTeam], W$36) + SUMIFS(Table2[HomeWon_], Table2[GameIsOver],1,Table2[AwayTeam],$A40, Table2[HomeTeam], W$36, Table2[ActualResult], "REG") + SUMIFS(Table2[AwayWon], Table2[GameIsOver],1,Table2[HomeTeam],$A40, Table2[AwayTeam], W$36, Table2[ActualResult], "REG") + SUMIFS(Table2[HomeWon_], Table2[GameIsOver],1,Table2[AwayTeam],$A40, Table2[HomeTeam], W$36, Table2[ActualResult], "OT") + SUMIFS(Table2[AwayWon], Table2[GameIsOver],1,Table2[HomeTeam],$A40, Table2[AwayTeam], W$36, Table2[ActualResult], "OT") + SUMIFS(Table2[HomeWon_], Table2[GameIsOver],1,Table2[AwayTeam],$A40, Table2[HomeTeam], W$36, Table2[ActualResult], "SO") + SUMIFS(Table2[AwayWon], Table2[GameIsOver],1,Table2[HomeTeam],$A40, Table2[AwayTeam], W$36, Table2[ActualResult], "SO"))), "")</f>
        <v/>
      </c>
      <c r="X40">
        <f>IFERROR(((2*SUMIFS(Table2[AwayWon], Table2[GameIsOver],1,Table2[AwayTeam],$A40, Table2[HomeTeam], X$36) + SUMIFS(Table2[HomeWon_], Table2[GameIsOver],1,Table2[HomeTeam],$A40, Table2[AwayTeam], X$36)) + SUMIFS(Table2[AwayWon], Table2[GameIsOver],1,Table2[HomeTeam],$A40, Table2[AwayTeam], X$36, Table2[ActualResult], "REG") + SUMIFS(Table2[HomeWon_], Table2[GameIsOver],1,Table2[AwayTeam],$A40, Table2[HomeTeam], X$36, Table2[ActualResult], "OT") + SUMIFS(Table2[AwayWon], Table2[GameIsOver],1,Table2[HomeTeam],$A40, Table2[AwayTeam], X$36, Table2[ActualResult], "OT") + SUMIFS(Table2[HomeWon_], Table2[GameIsOver],1,Table2[AwayTeam],$A40, Table2[HomeTeam], X$36, Table2[ActualResult], "SO") + SUMIFS(Table2[AwayWon], Table2[GameIsOver],1,Table2[HomeTeam],$A40, Table2[AwayTeam], X$36, Table2[ActualResult], "SO")) / (2*(SUMIFS(Table2[AwayWon], Table2[GameIsOver],1,Table2[AwayTeam],$A40, Table2[HomeTeam], X$36) + SUMIFS(Table2[HomeWon_], Table2[GameIsOver],1,Table2[HomeTeam],$A40, Table2[AwayTeam], X$36) + SUMIFS(Table2[HomeWon_], Table2[GameIsOver],1,Table2[AwayTeam],$A40, Table2[HomeTeam], X$36, Table2[ActualResult], "REG") + SUMIFS(Table2[AwayWon], Table2[GameIsOver],1,Table2[HomeTeam],$A40, Table2[AwayTeam], X$36, Table2[ActualResult], "REG") + SUMIFS(Table2[HomeWon_], Table2[GameIsOver],1,Table2[AwayTeam],$A40, Table2[HomeTeam], X$36, Table2[ActualResult], "OT") + SUMIFS(Table2[AwayWon], Table2[GameIsOver],1,Table2[HomeTeam],$A40, Table2[AwayTeam], X$36, Table2[ActualResult], "OT") + SUMIFS(Table2[HomeWon_], Table2[GameIsOver],1,Table2[AwayTeam],$A40, Table2[HomeTeam], X$36, Table2[ActualResult], "SO") + SUMIFS(Table2[AwayWon], Table2[GameIsOver],1,Table2[HomeTeam],$A40, Table2[AwayTeam], X$36, Table2[ActualResult], "SO"))), "")</f>
        <v>0.5</v>
      </c>
      <c r="Y40" s="57" t="str">
        <f>IFERROR(((2*SUMIFS(Table2[AwayWon], Table2[GameIsOver],1,Table2[AwayTeam],$A40, Table2[HomeTeam], Y$36) + SUMIFS(Table2[HomeWon_], Table2[GameIsOver],1,Table2[HomeTeam],$A40, Table2[AwayTeam], Y$36)) + SUMIFS(Table2[AwayWon], Table2[GameIsOver],1,Table2[HomeTeam],$A40, Table2[AwayTeam], Y$36, Table2[ActualResult], "REG") + SUMIFS(Table2[HomeWon_], Table2[GameIsOver],1,Table2[AwayTeam],$A40, Table2[HomeTeam], Y$36, Table2[ActualResult], "OT") + SUMIFS(Table2[AwayWon], Table2[GameIsOver],1,Table2[HomeTeam],$A40, Table2[AwayTeam], Y$36, Table2[ActualResult], "OT") + SUMIFS(Table2[HomeWon_], Table2[GameIsOver],1,Table2[AwayTeam],$A40, Table2[HomeTeam], Y$36, Table2[ActualResult], "SO") + SUMIFS(Table2[AwayWon], Table2[GameIsOver],1,Table2[HomeTeam],$A40, Table2[AwayTeam], Y$36, Table2[ActualResult], "SO")) / (2*(SUMIFS(Table2[AwayWon], Table2[GameIsOver],1,Table2[AwayTeam],$A40, Table2[HomeTeam], Y$36) + SUMIFS(Table2[HomeWon_], Table2[GameIsOver],1,Table2[HomeTeam],$A40, Table2[AwayTeam], Y$36) + SUMIFS(Table2[HomeWon_], Table2[GameIsOver],1,Table2[AwayTeam],$A40, Table2[HomeTeam], Y$36, Table2[ActualResult], "REG") + SUMIFS(Table2[AwayWon], Table2[GameIsOver],1,Table2[HomeTeam],$A40, Table2[AwayTeam], Y$36, Table2[ActualResult], "REG") + SUMIFS(Table2[HomeWon_], Table2[GameIsOver],1,Table2[AwayTeam],$A40, Table2[HomeTeam], Y$36, Table2[ActualResult], "OT") + SUMIFS(Table2[AwayWon], Table2[GameIsOver],1,Table2[HomeTeam],$A40, Table2[AwayTeam], Y$36, Table2[ActualResult], "OT") + SUMIFS(Table2[HomeWon_], Table2[GameIsOver],1,Table2[AwayTeam],$A40, Table2[HomeTeam], Y$36, Table2[ActualResult], "SO") + SUMIFS(Table2[AwayWon], Table2[GameIsOver],1,Table2[HomeTeam],$A40, Table2[AwayTeam], Y$36, Table2[ActualResult], "SO"))), "")</f>
        <v/>
      </c>
      <c r="Z40" t="str">
        <f>IFERROR(((2*SUMIFS(Table2[AwayWon], Table2[GameIsOver],1,Table2[AwayTeam],$A40, Table2[HomeTeam], Z$36) + SUMIFS(Table2[HomeWon_], Table2[GameIsOver],1,Table2[HomeTeam],$A40, Table2[AwayTeam], Z$36)) + SUMIFS(Table2[AwayWon], Table2[GameIsOver],1,Table2[HomeTeam],$A40, Table2[AwayTeam], Z$36, Table2[ActualResult], "REG") + SUMIFS(Table2[HomeWon_], Table2[GameIsOver],1,Table2[AwayTeam],$A40, Table2[HomeTeam], Z$36, Table2[ActualResult], "OT") + SUMIFS(Table2[AwayWon], Table2[GameIsOver],1,Table2[HomeTeam],$A40, Table2[AwayTeam], Z$36, Table2[ActualResult], "OT") + SUMIFS(Table2[HomeWon_], Table2[GameIsOver],1,Table2[AwayTeam],$A40, Table2[HomeTeam], Z$36, Table2[ActualResult], "SO") + SUMIFS(Table2[AwayWon], Table2[GameIsOver],1,Table2[HomeTeam],$A40, Table2[AwayTeam], Z$36, Table2[ActualResult], "SO")) / (2*(SUMIFS(Table2[AwayWon], Table2[GameIsOver],1,Table2[AwayTeam],$A40, Table2[HomeTeam], Z$36) + SUMIFS(Table2[HomeWon_], Table2[GameIsOver],1,Table2[HomeTeam],$A40, Table2[AwayTeam], Z$36) + SUMIFS(Table2[HomeWon_], Table2[GameIsOver],1,Table2[AwayTeam],$A40, Table2[HomeTeam], Z$36, Table2[ActualResult], "REG") + SUMIFS(Table2[AwayWon], Table2[GameIsOver],1,Table2[HomeTeam],$A40, Table2[AwayTeam], Z$36, Table2[ActualResult], "REG") + SUMIFS(Table2[HomeWon_], Table2[GameIsOver],1,Table2[AwayTeam],$A40, Table2[HomeTeam], Z$36, Table2[ActualResult], "OT") + SUMIFS(Table2[AwayWon], Table2[GameIsOver],1,Table2[HomeTeam],$A40, Table2[AwayTeam], Z$36, Table2[ActualResult], "OT") + SUMIFS(Table2[HomeWon_], Table2[GameIsOver],1,Table2[AwayTeam],$A40, Table2[HomeTeam], Z$36, Table2[ActualResult], "SO") + SUMIFS(Table2[AwayWon], Table2[GameIsOver],1,Table2[HomeTeam],$A40, Table2[AwayTeam], Z$36, Table2[ActualResult], "SO"))), "")</f>
        <v/>
      </c>
      <c r="AA40" t="str">
        <f>IFERROR(((2*SUMIFS(Table2[AwayWon], Table2[GameIsOver],1,Table2[AwayTeam],$A40, Table2[HomeTeam], AA$36) + SUMIFS(Table2[HomeWon_], Table2[GameIsOver],1,Table2[HomeTeam],$A40, Table2[AwayTeam], AA$36)) + SUMIFS(Table2[AwayWon], Table2[GameIsOver],1,Table2[HomeTeam],$A40, Table2[AwayTeam], AA$36, Table2[ActualResult], "REG") + SUMIFS(Table2[HomeWon_], Table2[GameIsOver],1,Table2[AwayTeam],$A40, Table2[HomeTeam], AA$36, Table2[ActualResult], "OT") + SUMIFS(Table2[AwayWon], Table2[GameIsOver],1,Table2[HomeTeam],$A40, Table2[AwayTeam], AA$36, Table2[ActualResult], "OT") + SUMIFS(Table2[HomeWon_], Table2[GameIsOver],1,Table2[AwayTeam],$A40, Table2[HomeTeam], AA$36, Table2[ActualResult], "SO") + SUMIFS(Table2[AwayWon], Table2[GameIsOver],1,Table2[HomeTeam],$A40, Table2[AwayTeam], AA$36, Table2[ActualResult], "SO")) / (2*(SUMIFS(Table2[AwayWon], Table2[GameIsOver],1,Table2[AwayTeam],$A40, Table2[HomeTeam], AA$36) + SUMIFS(Table2[HomeWon_], Table2[GameIsOver],1,Table2[HomeTeam],$A40, Table2[AwayTeam], AA$36) + SUMIFS(Table2[HomeWon_], Table2[GameIsOver],1,Table2[AwayTeam],$A40, Table2[HomeTeam], AA$36, Table2[ActualResult], "REG") + SUMIFS(Table2[AwayWon], Table2[GameIsOver],1,Table2[HomeTeam],$A40, Table2[AwayTeam], AA$36, Table2[ActualResult], "REG") + SUMIFS(Table2[HomeWon_], Table2[GameIsOver],1,Table2[AwayTeam],$A40, Table2[HomeTeam], AA$36, Table2[ActualResult], "OT") + SUMIFS(Table2[AwayWon], Table2[GameIsOver],1,Table2[HomeTeam],$A40, Table2[AwayTeam], AA$36, Table2[ActualResult], "OT") + SUMIFS(Table2[HomeWon_], Table2[GameIsOver],1,Table2[AwayTeam],$A40, Table2[HomeTeam], AA$36, Table2[ActualResult], "SO") + SUMIFS(Table2[AwayWon], Table2[GameIsOver],1,Table2[HomeTeam],$A40, Table2[AwayTeam], AA$36, Table2[ActualResult], "SO"))), "")</f>
        <v/>
      </c>
      <c r="AB40" t="str">
        <f>IFERROR(((2*SUMIFS(Table2[AwayWon], Table2[GameIsOver],1,Table2[AwayTeam],$A40, Table2[HomeTeam], AB$36) + SUMIFS(Table2[HomeWon_], Table2[GameIsOver],1,Table2[HomeTeam],$A40, Table2[AwayTeam], AB$36)) + SUMIFS(Table2[AwayWon], Table2[GameIsOver],1,Table2[HomeTeam],$A40, Table2[AwayTeam], AB$36, Table2[ActualResult], "REG") + SUMIFS(Table2[HomeWon_], Table2[GameIsOver],1,Table2[AwayTeam],$A40, Table2[HomeTeam], AB$36, Table2[ActualResult], "OT") + SUMIFS(Table2[AwayWon], Table2[GameIsOver],1,Table2[HomeTeam],$A40, Table2[AwayTeam], AB$36, Table2[ActualResult], "OT") + SUMIFS(Table2[HomeWon_], Table2[GameIsOver],1,Table2[AwayTeam],$A40, Table2[HomeTeam], AB$36, Table2[ActualResult], "SO") + SUMIFS(Table2[AwayWon], Table2[GameIsOver],1,Table2[HomeTeam],$A40, Table2[AwayTeam], AB$36, Table2[ActualResult], "SO")) / (2*(SUMIFS(Table2[AwayWon], Table2[GameIsOver],1,Table2[AwayTeam],$A40, Table2[HomeTeam], AB$36) + SUMIFS(Table2[HomeWon_], Table2[GameIsOver],1,Table2[HomeTeam],$A40, Table2[AwayTeam], AB$36) + SUMIFS(Table2[HomeWon_], Table2[GameIsOver],1,Table2[AwayTeam],$A40, Table2[HomeTeam], AB$36, Table2[ActualResult], "REG") + SUMIFS(Table2[AwayWon], Table2[GameIsOver],1,Table2[HomeTeam],$A40, Table2[AwayTeam], AB$36, Table2[ActualResult], "REG") + SUMIFS(Table2[HomeWon_], Table2[GameIsOver],1,Table2[AwayTeam],$A40, Table2[HomeTeam], AB$36, Table2[ActualResult], "OT") + SUMIFS(Table2[AwayWon], Table2[GameIsOver],1,Table2[HomeTeam],$A40, Table2[AwayTeam], AB$36, Table2[ActualResult], "OT") + SUMIFS(Table2[HomeWon_], Table2[GameIsOver],1,Table2[AwayTeam],$A40, Table2[HomeTeam], AB$36, Table2[ActualResult], "SO") + SUMIFS(Table2[AwayWon], Table2[GameIsOver],1,Table2[HomeTeam],$A40, Table2[AwayTeam], AB$36, Table2[ActualResult], "SO"))), "")</f>
        <v/>
      </c>
      <c r="AC40" t="str">
        <f>IFERROR(((2*SUMIFS(Table2[AwayWon], Table2[GameIsOver],1,Table2[AwayTeam],$A40, Table2[HomeTeam], AC$36) + SUMIFS(Table2[HomeWon_], Table2[GameIsOver],1,Table2[HomeTeam],$A40, Table2[AwayTeam], AC$36)) + SUMIFS(Table2[AwayWon], Table2[GameIsOver],1,Table2[HomeTeam],$A40, Table2[AwayTeam], AC$36, Table2[ActualResult], "REG") + SUMIFS(Table2[HomeWon_], Table2[GameIsOver],1,Table2[AwayTeam],$A40, Table2[HomeTeam], AC$36, Table2[ActualResult], "OT") + SUMIFS(Table2[AwayWon], Table2[GameIsOver],1,Table2[HomeTeam],$A40, Table2[AwayTeam], AC$36, Table2[ActualResult], "OT") + SUMIFS(Table2[HomeWon_], Table2[GameIsOver],1,Table2[AwayTeam],$A40, Table2[HomeTeam], AC$36, Table2[ActualResult], "SO") + SUMIFS(Table2[AwayWon], Table2[GameIsOver],1,Table2[HomeTeam],$A40, Table2[AwayTeam], AC$36, Table2[ActualResult], "SO")) / (2*(SUMIFS(Table2[AwayWon], Table2[GameIsOver],1,Table2[AwayTeam],$A40, Table2[HomeTeam], AC$36) + SUMIFS(Table2[HomeWon_], Table2[GameIsOver],1,Table2[HomeTeam],$A40, Table2[AwayTeam], AC$36) + SUMIFS(Table2[HomeWon_], Table2[GameIsOver],1,Table2[AwayTeam],$A40, Table2[HomeTeam], AC$36, Table2[ActualResult], "REG") + SUMIFS(Table2[AwayWon], Table2[GameIsOver],1,Table2[HomeTeam],$A40, Table2[AwayTeam], AC$36, Table2[ActualResult], "REG") + SUMIFS(Table2[HomeWon_], Table2[GameIsOver],1,Table2[AwayTeam],$A40, Table2[HomeTeam], AC$36, Table2[ActualResult], "OT") + SUMIFS(Table2[AwayWon], Table2[GameIsOver],1,Table2[HomeTeam],$A40, Table2[AwayTeam], AC$36, Table2[ActualResult], "OT") + SUMIFS(Table2[HomeWon_], Table2[GameIsOver],1,Table2[AwayTeam],$A40, Table2[HomeTeam], AC$36, Table2[ActualResult], "SO") + SUMIFS(Table2[AwayWon], Table2[GameIsOver],1,Table2[HomeTeam],$A40, Table2[AwayTeam], AC$36, Table2[ActualResult], "SO"))), "")</f>
        <v/>
      </c>
      <c r="AD40" t="str">
        <f>IFERROR(((2*SUMIFS(Table2[AwayWon], Table2[GameIsOver],1,Table2[AwayTeam],$A40, Table2[HomeTeam], AD$36) + SUMIFS(Table2[HomeWon_], Table2[GameIsOver],1,Table2[HomeTeam],$A40, Table2[AwayTeam], AD$36)) + SUMIFS(Table2[AwayWon], Table2[GameIsOver],1,Table2[HomeTeam],$A40, Table2[AwayTeam], AD$36, Table2[ActualResult], "REG") + SUMIFS(Table2[HomeWon_], Table2[GameIsOver],1,Table2[AwayTeam],$A40, Table2[HomeTeam], AD$36, Table2[ActualResult], "OT") + SUMIFS(Table2[AwayWon], Table2[GameIsOver],1,Table2[HomeTeam],$A40, Table2[AwayTeam], AD$36, Table2[ActualResult], "OT") + SUMIFS(Table2[HomeWon_], Table2[GameIsOver],1,Table2[AwayTeam],$A40, Table2[HomeTeam], AD$36, Table2[ActualResult], "SO") + SUMIFS(Table2[AwayWon], Table2[GameIsOver],1,Table2[HomeTeam],$A40, Table2[AwayTeam], AD$36, Table2[ActualResult], "SO")) / (2*(SUMIFS(Table2[AwayWon], Table2[GameIsOver],1,Table2[AwayTeam],$A40, Table2[HomeTeam], AD$36) + SUMIFS(Table2[HomeWon_], Table2[GameIsOver],1,Table2[HomeTeam],$A40, Table2[AwayTeam], AD$36) + SUMIFS(Table2[HomeWon_], Table2[GameIsOver],1,Table2[AwayTeam],$A40, Table2[HomeTeam], AD$36, Table2[ActualResult], "REG") + SUMIFS(Table2[AwayWon], Table2[GameIsOver],1,Table2[HomeTeam],$A40, Table2[AwayTeam], AD$36, Table2[ActualResult], "REG") + SUMIFS(Table2[HomeWon_], Table2[GameIsOver],1,Table2[AwayTeam],$A40, Table2[HomeTeam], AD$36, Table2[ActualResult], "OT") + SUMIFS(Table2[AwayWon], Table2[GameIsOver],1,Table2[HomeTeam],$A40, Table2[AwayTeam], AD$36, Table2[ActualResult], "OT") + SUMIFS(Table2[HomeWon_], Table2[GameIsOver],1,Table2[AwayTeam],$A40, Table2[HomeTeam], AD$36, Table2[ActualResult], "SO") + SUMIFS(Table2[AwayWon], Table2[GameIsOver],1,Table2[HomeTeam],$A40, Table2[AwayTeam], AD$36, Table2[ActualResult], "SO"))), "")</f>
        <v/>
      </c>
      <c r="AE40" t="str">
        <f>IFERROR(((2*SUMIFS(Table2[AwayWon], Table2[GameIsOver],1,Table2[AwayTeam],$A40, Table2[HomeTeam], AE$36) + SUMIFS(Table2[HomeWon_], Table2[GameIsOver],1,Table2[HomeTeam],$A40, Table2[AwayTeam], AE$36)) + SUMIFS(Table2[AwayWon], Table2[GameIsOver],1,Table2[HomeTeam],$A40, Table2[AwayTeam], AE$36, Table2[ActualResult], "REG") + SUMIFS(Table2[HomeWon_], Table2[GameIsOver],1,Table2[AwayTeam],$A40, Table2[HomeTeam], AE$36, Table2[ActualResult], "OT") + SUMIFS(Table2[AwayWon], Table2[GameIsOver],1,Table2[HomeTeam],$A40, Table2[AwayTeam], AE$36, Table2[ActualResult], "OT") + SUMIFS(Table2[HomeWon_], Table2[GameIsOver],1,Table2[AwayTeam],$A40, Table2[HomeTeam], AE$36, Table2[ActualResult], "SO") + SUMIFS(Table2[AwayWon], Table2[GameIsOver],1,Table2[HomeTeam],$A40, Table2[AwayTeam], AE$36, Table2[ActualResult], "SO")) / (2*(SUMIFS(Table2[AwayWon], Table2[GameIsOver],1,Table2[AwayTeam],$A40, Table2[HomeTeam], AE$36) + SUMIFS(Table2[HomeWon_], Table2[GameIsOver],1,Table2[HomeTeam],$A40, Table2[AwayTeam], AE$36) + SUMIFS(Table2[HomeWon_], Table2[GameIsOver],1,Table2[AwayTeam],$A40, Table2[HomeTeam], AE$36, Table2[ActualResult], "REG") + SUMIFS(Table2[AwayWon], Table2[GameIsOver],1,Table2[HomeTeam],$A40, Table2[AwayTeam], AE$36, Table2[ActualResult], "REG") + SUMIFS(Table2[HomeWon_], Table2[GameIsOver],1,Table2[AwayTeam],$A40, Table2[HomeTeam], AE$36, Table2[ActualResult], "OT") + SUMIFS(Table2[AwayWon], Table2[GameIsOver],1,Table2[HomeTeam],$A40, Table2[AwayTeam], AE$36, Table2[ActualResult], "OT") + SUMIFS(Table2[HomeWon_], Table2[GameIsOver],1,Table2[AwayTeam],$A40, Table2[HomeTeam], AE$36, Table2[ActualResult], "SO") + SUMIFS(Table2[AwayWon], Table2[GameIsOver],1,Table2[HomeTeam],$A40, Table2[AwayTeam], AE$36, Table2[ActualResult], "SO"))), "")</f>
        <v/>
      </c>
      <c r="AF40" t="str">
        <f>IFERROR(((2*SUMIFS(Table2[AwayWon], Table2[GameIsOver],1,Table2[AwayTeam],$A40, Table2[HomeTeam], AF$36) + SUMIFS(Table2[HomeWon_], Table2[GameIsOver],1,Table2[HomeTeam],$A40, Table2[AwayTeam], AF$36)) + SUMIFS(Table2[AwayWon], Table2[GameIsOver],1,Table2[HomeTeam],$A40, Table2[AwayTeam], AF$36, Table2[ActualResult], "REG") + SUMIFS(Table2[HomeWon_], Table2[GameIsOver],1,Table2[AwayTeam],$A40, Table2[HomeTeam], AF$36, Table2[ActualResult], "OT") + SUMIFS(Table2[AwayWon], Table2[GameIsOver],1,Table2[HomeTeam],$A40, Table2[AwayTeam], AF$36, Table2[ActualResult], "OT") + SUMIFS(Table2[HomeWon_], Table2[GameIsOver],1,Table2[AwayTeam],$A40, Table2[HomeTeam], AF$36, Table2[ActualResult], "SO") + SUMIFS(Table2[AwayWon], Table2[GameIsOver],1,Table2[HomeTeam],$A40, Table2[AwayTeam], AF$36, Table2[ActualResult], "SO")) / (2*(SUMIFS(Table2[AwayWon], Table2[GameIsOver],1,Table2[AwayTeam],$A40, Table2[HomeTeam], AF$36) + SUMIFS(Table2[HomeWon_], Table2[GameIsOver],1,Table2[HomeTeam],$A40, Table2[AwayTeam], AF$36) + SUMIFS(Table2[HomeWon_], Table2[GameIsOver],1,Table2[AwayTeam],$A40, Table2[HomeTeam], AF$36, Table2[ActualResult], "REG") + SUMIFS(Table2[AwayWon], Table2[GameIsOver],1,Table2[HomeTeam],$A40, Table2[AwayTeam], AF$36, Table2[ActualResult], "REG") + SUMIFS(Table2[HomeWon_], Table2[GameIsOver],1,Table2[AwayTeam],$A40, Table2[HomeTeam], AF$36, Table2[ActualResult], "OT") + SUMIFS(Table2[AwayWon], Table2[GameIsOver],1,Table2[HomeTeam],$A40, Table2[AwayTeam], AF$36, Table2[ActualResult], "OT") + SUMIFS(Table2[HomeWon_], Table2[GameIsOver],1,Table2[AwayTeam],$A40, Table2[HomeTeam], AF$36, Table2[ActualResult], "SO") + SUMIFS(Table2[AwayWon], Table2[GameIsOver],1,Table2[HomeTeam],$A40, Table2[AwayTeam], AF$36, Table2[ActualResult], "SO"))), "")</f>
        <v/>
      </c>
      <c r="AG40" s="57" t="str">
        <f>IFERROR(((2*SUMIFS(Table2[AwayWon], Table2[GameIsOver],1,Table2[AwayTeam],$A40, Table2[HomeTeam], AG$36) + SUMIFS(Table2[HomeWon_], Table2[GameIsOver],1,Table2[HomeTeam],$A40, Table2[AwayTeam], AG$36)) + SUMIFS(Table2[AwayWon], Table2[GameIsOver],1,Table2[HomeTeam],$A40, Table2[AwayTeam], AG$36, Table2[ActualResult], "REG") + SUMIFS(Table2[HomeWon_], Table2[GameIsOver],1,Table2[AwayTeam],$A40, Table2[HomeTeam], AG$36, Table2[ActualResult], "OT") + SUMIFS(Table2[AwayWon], Table2[GameIsOver],1,Table2[HomeTeam],$A40, Table2[AwayTeam], AG$36, Table2[ActualResult], "OT") + SUMIFS(Table2[HomeWon_], Table2[GameIsOver],1,Table2[AwayTeam],$A40, Table2[HomeTeam], AG$36, Table2[ActualResult], "SO") + SUMIFS(Table2[AwayWon], Table2[GameIsOver],1,Table2[HomeTeam],$A40, Table2[AwayTeam], AG$36, Table2[ActualResult], "SO")) / (2*(SUMIFS(Table2[AwayWon], Table2[GameIsOver],1,Table2[AwayTeam],$A40, Table2[HomeTeam], AG$36) + SUMIFS(Table2[HomeWon_], Table2[GameIsOver],1,Table2[HomeTeam],$A40, Table2[AwayTeam], AG$36) + SUMIFS(Table2[HomeWon_], Table2[GameIsOver],1,Table2[AwayTeam],$A40, Table2[HomeTeam], AG$36, Table2[ActualResult], "REG") + SUMIFS(Table2[AwayWon], Table2[GameIsOver],1,Table2[HomeTeam],$A40, Table2[AwayTeam], AG$36, Table2[ActualResult], "REG") + SUMIFS(Table2[HomeWon_], Table2[GameIsOver],1,Table2[AwayTeam],$A40, Table2[HomeTeam], AG$36, Table2[ActualResult], "OT") + SUMIFS(Table2[AwayWon], Table2[GameIsOver],1,Table2[HomeTeam],$A40, Table2[AwayTeam], AG$36, Table2[ActualResult], "OT") + SUMIFS(Table2[HomeWon_], Table2[GameIsOver],1,Table2[AwayTeam],$A40, Table2[HomeTeam], AG$36, Table2[ActualResult], "SO") + SUMIFS(Table2[AwayWon], Table2[GameIsOver],1,Table2[HomeTeam],$A40, Table2[AwayTeam], AG$36, Table2[ActualResult], "SO"))), "")</f>
        <v/>
      </c>
      <c r="AH40" s="101">
        <f t="shared" si="0"/>
        <v>0.5</v>
      </c>
      <c r="AI40" s="101">
        <f t="shared" si="1"/>
        <v>0.6</v>
      </c>
      <c r="AJ40" s="103" t="e">
        <f t="shared" si="2"/>
        <v>#DIV/0!</v>
      </c>
      <c r="AK40" s="103">
        <f t="shared" si="3"/>
        <v>0.5</v>
      </c>
      <c r="AL40" s="103">
        <f t="shared" si="4"/>
        <v>0.5</v>
      </c>
      <c r="AM40" s="103">
        <f t="shared" si="5"/>
        <v>1</v>
      </c>
    </row>
    <row r="41" spans="1:39" x14ac:dyDescent="0.25">
      <c r="A41" s="57" t="s">
        <v>11</v>
      </c>
      <c r="B41" s="24">
        <f>IFERROR(((2*SUMIFS(Table2[AwayWon], Table2[GameIsOver],1,Table2[AwayTeam],$A41, Table2[HomeTeam], B$36) + SUMIFS(Table2[HomeWon_], Table2[GameIsOver],1,Table2[HomeTeam],$A41, Table2[AwayTeam], B$36)) + SUMIFS(Table2[AwayWon], Table2[GameIsOver],1,Table2[HomeTeam],$A41, Table2[AwayTeam], B$36, Table2[ActualResult], "REG") + SUMIFS(Table2[HomeWon_], Table2[GameIsOver],1,Table2[AwayTeam],$A41, Table2[HomeTeam], B$36, Table2[ActualResult], "OT") + SUMIFS(Table2[AwayWon], Table2[GameIsOver],1,Table2[HomeTeam],$A41, Table2[AwayTeam], B$36, Table2[ActualResult], "OT") + SUMIFS(Table2[HomeWon_], Table2[GameIsOver],1,Table2[AwayTeam],$A41, Table2[HomeTeam], B$36, Table2[ActualResult], "SO") + SUMIFS(Table2[AwayWon], Table2[GameIsOver],1,Table2[HomeTeam],$A41, Table2[AwayTeam], B$36, Table2[ActualResult], "SO")) / (2*(SUMIFS(Table2[AwayWon], Table2[GameIsOver],1,Table2[AwayTeam],$A41, Table2[HomeTeam], B$36) + SUMIFS(Table2[HomeWon_], Table2[GameIsOver],1,Table2[HomeTeam],$A41, Table2[AwayTeam], B$36) + SUMIFS(Table2[HomeWon_], Table2[GameIsOver],1,Table2[AwayTeam],$A41, Table2[HomeTeam], B$36, Table2[ActualResult], "REG") + SUMIFS(Table2[AwayWon], Table2[GameIsOver],1,Table2[HomeTeam],$A41, Table2[AwayTeam], B$36, Table2[ActualResult], "REG") + SUMIFS(Table2[HomeWon_], Table2[GameIsOver],1,Table2[AwayTeam],$A41, Table2[HomeTeam], B$36, Table2[ActualResult], "OT") + SUMIFS(Table2[AwayWon], Table2[GameIsOver],1,Table2[HomeTeam],$A41, Table2[AwayTeam], B$36, Table2[ActualResult], "OT") + SUMIFS(Table2[HomeWon_], Table2[GameIsOver],1,Table2[AwayTeam],$A41, Table2[HomeTeam], B$36, Table2[ActualResult], "SO") + SUMIFS(Table2[AwayWon], Table2[GameIsOver],1,Table2[HomeTeam],$A41, Table2[AwayTeam], B$36, Table2[ActualResult], "SO"))), "")</f>
        <v>0.5</v>
      </c>
      <c r="C41" s="24" t="str">
        <f>IFERROR(((2*SUMIFS(Table2[AwayWon], Table2[GameIsOver],1,Table2[AwayTeam],$A41, Table2[HomeTeam], C$36) + SUMIFS(Table2[HomeWon_], Table2[GameIsOver],1,Table2[HomeTeam],$A41, Table2[AwayTeam], C$36)) + SUMIFS(Table2[AwayWon], Table2[GameIsOver],1,Table2[HomeTeam],$A41, Table2[AwayTeam], C$36, Table2[ActualResult], "REG") + SUMIFS(Table2[HomeWon_], Table2[GameIsOver],1,Table2[AwayTeam],$A41, Table2[HomeTeam], C$36, Table2[ActualResult], "OT") + SUMIFS(Table2[AwayWon], Table2[GameIsOver],1,Table2[HomeTeam],$A41, Table2[AwayTeam], C$36, Table2[ActualResult], "OT") + SUMIFS(Table2[HomeWon_], Table2[GameIsOver],1,Table2[AwayTeam],$A41, Table2[HomeTeam], C$36, Table2[ActualResult], "SO") + SUMIFS(Table2[AwayWon], Table2[GameIsOver],1,Table2[HomeTeam],$A41, Table2[AwayTeam], C$36, Table2[ActualResult], "SO")) / (2*(SUMIFS(Table2[AwayWon], Table2[GameIsOver],1,Table2[AwayTeam],$A41, Table2[HomeTeam], C$36) + SUMIFS(Table2[HomeWon_], Table2[GameIsOver],1,Table2[HomeTeam],$A41, Table2[AwayTeam], C$36) + SUMIFS(Table2[HomeWon_], Table2[GameIsOver],1,Table2[AwayTeam],$A41, Table2[HomeTeam], C$36, Table2[ActualResult], "REG") + SUMIFS(Table2[AwayWon], Table2[GameIsOver],1,Table2[HomeTeam],$A41, Table2[AwayTeam], C$36, Table2[ActualResult], "REG") + SUMIFS(Table2[HomeWon_], Table2[GameIsOver],1,Table2[AwayTeam],$A41, Table2[HomeTeam], C$36, Table2[ActualResult], "OT") + SUMIFS(Table2[AwayWon], Table2[GameIsOver],1,Table2[HomeTeam],$A41, Table2[AwayTeam], C$36, Table2[ActualResult], "OT") + SUMIFS(Table2[HomeWon_], Table2[GameIsOver],1,Table2[AwayTeam],$A41, Table2[HomeTeam], C$36, Table2[ActualResult], "SO") + SUMIFS(Table2[AwayWon], Table2[GameIsOver],1,Table2[HomeTeam],$A41, Table2[AwayTeam], C$36, Table2[ActualResult], "SO"))), "")</f>
        <v/>
      </c>
      <c r="D41" t="str">
        <f>IFERROR(((2*SUMIFS(Table2[AwayWon], Table2[GameIsOver],1,Table2[AwayTeam],$A41, Table2[HomeTeam], D$36) + SUMIFS(Table2[HomeWon_], Table2[GameIsOver],1,Table2[HomeTeam],$A41, Table2[AwayTeam], D$36)) + SUMIFS(Table2[AwayWon], Table2[GameIsOver],1,Table2[HomeTeam],$A41, Table2[AwayTeam], D$36, Table2[ActualResult], "REG") + SUMIFS(Table2[HomeWon_], Table2[GameIsOver],1,Table2[AwayTeam],$A41, Table2[HomeTeam], D$36, Table2[ActualResult], "OT") + SUMIFS(Table2[AwayWon], Table2[GameIsOver],1,Table2[HomeTeam],$A41, Table2[AwayTeam], D$36, Table2[ActualResult], "OT") + SUMIFS(Table2[HomeWon_], Table2[GameIsOver],1,Table2[AwayTeam],$A41, Table2[HomeTeam], D$36, Table2[ActualResult], "SO") + SUMIFS(Table2[AwayWon], Table2[GameIsOver],1,Table2[HomeTeam],$A41, Table2[AwayTeam], D$36, Table2[ActualResult], "SO")) / (2*(SUMIFS(Table2[AwayWon], Table2[GameIsOver],1,Table2[AwayTeam],$A41, Table2[HomeTeam], D$36) + SUMIFS(Table2[HomeWon_], Table2[GameIsOver],1,Table2[HomeTeam],$A41, Table2[AwayTeam], D$36) + SUMIFS(Table2[HomeWon_], Table2[GameIsOver],1,Table2[AwayTeam],$A41, Table2[HomeTeam], D$36, Table2[ActualResult], "REG") + SUMIFS(Table2[AwayWon], Table2[GameIsOver],1,Table2[HomeTeam],$A41, Table2[AwayTeam], D$36, Table2[ActualResult], "REG") + SUMIFS(Table2[HomeWon_], Table2[GameIsOver],1,Table2[AwayTeam],$A41, Table2[HomeTeam], D$36, Table2[ActualResult], "OT") + SUMIFS(Table2[AwayWon], Table2[GameIsOver],1,Table2[HomeTeam],$A41, Table2[AwayTeam], D$36, Table2[ActualResult], "OT") + SUMIFS(Table2[HomeWon_], Table2[GameIsOver],1,Table2[AwayTeam],$A41, Table2[HomeTeam], D$36, Table2[ActualResult], "SO") + SUMIFS(Table2[AwayWon], Table2[GameIsOver],1,Table2[HomeTeam],$A41, Table2[AwayTeam], D$36, Table2[ActualResult], "SO"))), "")</f>
        <v/>
      </c>
      <c r="E41" t="str">
        <f>IFERROR(((2*SUMIFS(Table2[AwayWon], Table2[GameIsOver],1,Table2[AwayTeam],$A41, Table2[HomeTeam], E$36) + SUMIFS(Table2[HomeWon_], Table2[GameIsOver],1,Table2[HomeTeam],$A41, Table2[AwayTeam], E$36)) + SUMIFS(Table2[AwayWon], Table2[GameIsOver],1,Table2[HomeTeam],$A41, Table2[AwayTeam], E$36, Table2[ActualResult], "REG") + SUMIFS(Table2[HomeWon_], Table2[GameIsOver],1,Table2[AwayTeam],$A41, Table2[HomeTeam], E$36, Table2[ActualResult], "OT") + SUMIFS(Table2[AwayWon], Table2[GameIsOver],1,Table2[HomeTeam],$A41, Table2[AwayTeam], E$36, Table2[ActualResult], "OT") + SUMIFS(Table2[HomeWon_], Table2[GameIsOver],1,Table2[AwayTeam],$A41, Table2[HomeTeam], E$36, Table2[ActualResult], "SO") + SUMIFS(Table2[AwayWon], Table2[GameIsOver],1,Table2[HomeTeam],$A41, Table2[AwayTeam], E$36, Table2[ActualResult], "SO")) / (2*(SUMIFS(Table2[AwayWon], Table2[GameIsOver],1,Table2[AwayTeam],$A41, Table2[HomeTeam], E$36) + SUMIFS(Table2[HomeWon_], Table2[GameIsOver],1,Table2[HomeTeam],$A41, Table2[AwayTeam], E$36) + SUMIFS(Table2[HomeWon_], Table2[GameIsOver],1,Table2[AwayTeam],$A41, Table2[HomeTeam], E$36, Table2[ActualResult], "REG") + SUMIFS(Table2[AwayWon], Table2[GameIsOver],1,Table2[HomeTeam],$A41, Table2[AwayTeam], E$36, Table2[ActualResult], "REG") + SUMIFS(Table2[HomeWon_], Table2[GameIsOver],1,Table2[AwayTeam],$A41, Table2[HomeTeam], E$36, Table2[ActualResult], "OT") + SUMIFS(Table2[AwayWon], Table2[GameIsOver],1,Table2[HomeTeam],$A41, Table2[AwayTeam], E$36, Table2[ActualResult], "OT") + SUMIFS(Table2[HomeWon_], Table2[GameIsOver],1,Table2[AwayTeam],$A41, Table2[HomeTeam], E$36, Table2[ActualResult], "SO") + SUMIFS(Table2[AwayWon], Table2[GameIsOver],1,Table2[HomeTeam],$A41, Table2[AwayTeam], E$36, Table2[ActualResult], "SO"))), "")</f>
        <v/>
      </c>
      <c r="F41" s="98" t="str">
        <f>IFERROR(((2*SUMIFS(Table2[AwayWon], Table2[GameIsOver],1,Table2[AwayTeam],$A41, Table2[HomeTeam], F$36) + SUMIFS(Table2[HomeWon_], Table2[GameIsOver],1,Table2[HomeTeam],$A41, Table2[AwayTeam], F$36)) + SUMIFS(Table2[AwayWon], Table2[GameIsOver],1,Table2[HomeTeam],$A41, Table2[AwayTeam], F$36, Table2[ActualResult], "REG") + SUMIFS(Table2[HomeWon_], Table2[GameIsOver],1,Table2[AwayTeam],$A41, Table2[HomeTeam], F$36, Table2[ActualResult], "OT") + SUMIFS(Table2[AwayWon], Table2[GameIsOver],1,Table2[HomeTeam],$A41, Table2[AwayTeam], F$36, Table2[ActualResult], "OT") + SUMIFS(Table2[HomeWon_], Table2[GameIsOver],1,Table2[AwayTeam],$A41, Table2[HomeTeam], F$36, Table2[ActualResult], "SO") + SUMIFS(Table2[AwayWon], Table2[GameIsOver],1,Table2[HomeTeam],$A41, Table2[AwayTeam], F$36, Table2[ActualResult], "SO")) / (2*(SUMIFS(Table2[AwayWon], Table2[GameIsOver],1,Table2[AwayTeam],$A41, Table2[HomeTeam], F$36) + SUMIFS(Table2[HomeWon_], Table2[GameIsOver],1,Table2[HomeTeam],$A41, Table2[AwayTeam], F$36) + SUMIFS(Table2[HomeWon_], Table2[GameIsOver],1,Table2[AwayTeam],$A41, Table2[HomeTeam], F$36, Table2[ActualResult], "REG") + SUMIFS(Table2[AwayWon], Table2[GameIsOver],1,Table2[HomeTeam],$A41, Table2[AwayTeam], F$36, Table2[ActualResult], "REG") + SUMIFS(Table2[HomeWon_], Table2[GameIsOver],1,Table2[AwayTeam],$A41, Table2[HomeTeam], F$36, Table2[ActualResult], "OT") + SUMIFS(Table2[AwayWon], Table2[GameIsOver],1,Table2[HomeTeam],$A41, Table2[AwayTeam], F$36, Table2[ActualResult], "OT") + SUMIFS(Table2[HomeWon_], Table2[GameIsOver],1,Table2[AwayTeam],$A41, Table2[HomeTeam], F$36, Table2[ActualResult], "SO") + SUMIFS(Table2[AwayWon], Table2[GameIsOver],1,Table2[HomeTeam],$A41, Table2[AwayTeam], F$36, Table2[ActualResult], "SO"))), "")</f>
        <v/>
      </c>
      <c r="G41" t="str">
        <f>IFERROR(((2*SUMIFS(Table2[AwayWon], Table2[GameIsOver],1,Table2[AwayTeam],$A41, Table2[HomeTeam], G$36) + SUMIFS(Table2[HomeWon_], Table2[GameIsOver],1,Table2[HomeTeam],$A41, Table2[AwayTeam], G$36)) + SUMIFS(Table2[AwayWon], Table2[GameIsOver],1,Table2[HomeTeam],$A41, Table2[AwayTeam], G$36, Table2[ActualResult], "REG") + SUMIFS(Table2[HomeWon_], Table2[GameIsOver],1,Table2[AwayTeam],$A41, Table2[HomeTeam], G$36, Table2[ActualResult], "OT") + SUMIFS(Table2[AwayWon], Table2[GameIsOver],1,Table2[HomeTeam],$A41, Table2[AwayTeam], G$36, Table2[ActualResult], "OT") + SUMIFS(Table2[HomeWon_], Table2[GameIsOver],1,Table2[AwayTeam],$A41, Table2[HomeTeam], G$36, Table2[ActualResult], "SO") + SUMIFS(Table2[AwayWon], Table2[GameIsOver],1,Table2[HomeTeam],$A41, Table2[AwayTeam], G$36, Table2[ActualResult], "SO")) / (2*(SUMIFS(Table2[AwayWon], Table2[GameIsOver],1,Table2[AwayTeam],$A41, Table2[HomeTeam], G$36) + SUMIFS(Table2[HomeWon_], Table2[GameIsOver],1,Table2[HomeTeam],$A41, Table2[AwayTeam], G$36) + SUMIFS(Table2[HomeWon_], Table2[GameIsOver],1,Table2[AwayTeam],$A41, Table2[HomeTeam], G$36, Table2[ActualResult], "REG") + SUMIFS(Table2[AwayWon], Table2[GameIsOver],1,Table2[HomeTeam],$A41, Table2[AwayTeam], G$36, Table2[ActualResult], "REG") + SUMIFS(Table2[HomeWon_], Table2[GameIsOver],1,Table2[AwayTeam],$A41, Table2[HomeTeam], G$36, Table2[ActualResult], "OT") + SUMIFS(Table2[AwayWon], Table2[GameIsOver],1,Table2[HomeTeam],$A41, Table2[AwayTeam], G$36, Table2[ActualResult], "OT") + SUMIFS(Table2[HomeWon_], Table2[GameIsOver],1,Table2[AwayTeam],$A41, Table2[HomeTeam], G$36, Table2[ActualResult], "SO") + SUMIFS(Table2[AwayWon], Table2[GameIsOver],1,Table2[HomeTeam],$A41, Table2[AwayTeam], G$36, Table2[ActualResult], "SO"))), "")</f>
        <v/>
      </c>
      <c r="H41" t="str">
        <f>IFERROR(((2*SUMIFS(Table2[AwayWon], Table2[GameIsOver],1,Table2[AwayTeam],$A41, Table2[HomeTeam], H$36) + SUMIFS(Table2[HomeWon_], Table2[GameIsOver],1,Table2[HomeTeam],$A41, Table2[AwayTeam], H$36)) + SUMIFS(Table2[AwayWon], Table2[GameIsOver],1,Table2[HomeTeam],$A41, Table2[AwayTeam], H$36, Table2[ActualResult], "REG") + SUMIFS(Table2[HomeWon_], Table2[GameIsOver],1,Table2[AwayTeam],$A41, Table2[HomeTeam], H$36, Table2[ActualResult], "OT") + SUMIFS(Table2[AwayWon], Table2[GameIsOver],1,Table2[HomeTeam],$A41, Table2[AwayTeam], H$36, Table2[ActualResult], "OT") + SUMIFS(Table2[HomeWon_], Table2[GameIsOver],1,Table2[AwayTeam],$A41, Table2[HomeTeam], H$36, Table2[ActualResult], "SO") + SUMIFS(Table2[AwayWon], Table2[GameIsOver],1,Table2[HomeTeam],$A41, Table2[AwayTeam], H$36, Table2[ActualResult], "SO")) / (2*(SUMIFS(Table2[AwayWon], Table2[GameIsOver],1,Table2[AwayTeam],$A41, Table2[HomeTeam], H$36) + SUMIFS(Table2[HomeWon_], Table2[GameIsOver],1,Table2[HomeTeam],$A41, Table2[AwayTeam], H$36) + SUMIFS(Table2[HomeWon_], Table2[GameIsOver],1,Table2[AwayTeam],$A41, Table2[HomeTeam], H$36, Table2[ActualResult], "REG") + SUMIFS(Table2[AwayWon], Table2[GameIsOver],1,Table2[HomeTeam],$A41, Table2[AwayTeam], H$36, Table2[ActualResult], "REG") + SUMIFS(Table2[HomeWon_], Table2[GameIsOver],1,Table2[AwayTeam],$A41, Table2[HomeTeam], H$36, Table2[ActualResult], "OT") + SUMIFS(Table2[AwayWon], Table2[GameIsOver],1,Table2[HomeTeam],$A41, Table2[AwayTeam], H$36, Table2[ActualResult], "OT") + SUMIFS(Table2[HomeWon_], Table2[GameIsOver],1,Table2[AwayTeam],$A41, Table2[HomeTeam], H$36, Table2[ActualResult], "SO") + SUMIFS(Table2[AwayWon], Table2[GameIsOver],1,Table2[HomeTeam],$A41, Table2[AwayTeam], H$36, Table2[ActualResult], "SO"))), "")</f>
        <v/>
      </c>
      <c r="I41" s="57">
        <f>IFERROR(((2*SUMIFS(Table2[AwayWon], Table2[GameIsOver],1,Table2[AwayTeam],$A41, Table2[HomeTeam], I$36) + SUMIFS(Table2[HomeWon_], Table2[GameIsOver],1,Table2[HomeTeam],$A41, Table2[AwayTeam], I$36)) + SUMIFS(Table2[AwayWon], Table2[GameIsOver],1,Table2[HomeTeam],$A41, Table2[AwayTeam], I$36, Table2[ActualResult], "REG") + SUMIFS(Table2[HomeWon_], Table2[GameIsOver],1,Table2[AwayTeam],$A41, Table2[HomeTeam], I$36, Table2[ActualResult], "OT") + SUMIFS(Table2[AwayWon], Table2[GameIsOver],1,Table2[HomeTeam],$A41, Table2[AwayTeam], I$36, Table2[ActualResult], "OT") + SUMIFS(Table2[HomeWon_], Table2[GameIsOver],1,Table2[AwayTeam],$A41, Table2[HomeTeam], I$36, Table2[ActualResult], "SO") + SUMIFS(Table2[AwayWon], Table2[GameIsOver],1,Table2[HomeTeam],$A41, Table2[AwayTeam], I$36, Table2[ActualResult], "SO")) / (2*(SUMIFS(Table2[AwayWon], Table2[GameIsOver],1,Table2[AwayTeam],$A41, Table2[HomeTeam], I$36) + SUMIFS(Table2[HomeWon_], Table2[GameIsOver],1,Table2[HomeTeam],$A41, Table2[AwayTeam], I$36) + SUMIFS(Table2[HomeWon_], Table2[GameIsOver],1,Table2[AwayTeam],$A41, Table2[HomeTeam], I$36, Table2[ActualResult], "REG") + SUMIFS(Table2[AwayWon], Table2[GameIsOver],1,Table2[HomeTeam],$A41, Table2[AwayTeam], I$36, Table2[ActualResult], "REG") + SUMIFS(Table2[HomeWon_], Table2[GameIsOver],1,Table2[AwayTeam],$A41, Table2[HomeTeam], I$36, Table2[ActualResult], "OT") + SUMIFS(Table2[AwayWon], Table2[GameIsOver],1,Table2[HomeTeam],$A41, Table2[AwayTeam], I$36, Table2[ActualResult], "OT") + SUMIFS(Table2[HomeWon_], Table2[GameIsOver],1,Table2[AwayTeam],$A41, Table2[HomeTeam], I$36, Table2[ActualResult], "SO") + SUMIFS(Table2[AwayWon], Table2[GameIsOver],1,Table2[HomeTeam],$A41, Table2[AwayTeam], I$36, Table2[ActualResult], "SO"))), "")</f>
        <v>0.5</v>
      </c>
      <c r="J41" t="str">
        <f>IFERROR(((2*SUMIFS(Table2[AwayWon], Table2[GameIsOver],1,Table2[AwayTeam],$A41, Table2[HomeTeam], J$36) + SUMIFS(Table2[HomeWon_], Table2[GameIsOver],1,Table2[HomeTeam],$A41, Table2[AwayTeam], J$36)) + SUMIFS(Table2[AwayWon], Table2[GameIsOver],1,Table2[HomeTeam],$A41, Table2[AwayTeam], J$36, Table2[ActualResult], "REG") + SUMIFS(Table2[HomeWon_], Table2[GameIsOver],1,Table2[AwayTeam],$A41, Table2[HomeTeam], J$36, Table2[ActualResult], "OT") + SUMIFS(Table2[AwayWon], Table2[GameIsOver],1,Table2[HomeTeam],$A41, Table2[AwayTeam], J$36, Table2[ActualResult], "OT") + SUMIFS(Table2[HomeWon_], Table2[GameIsOver],1,Table2[AwayTeam],$A41, Table2[HomeTeam], J$36, Table2[ActualResult], "SO") + SUMIFS(Table2[AwayWon], Table2[GameIsOver],1,Table2[HomeTeam],$A41, Table2[AwayTeam], J$36, Table2[ActualResult], "SO")) / (2*(SUMIFS(Table2[AwayWon], Table2[GameIsOver],1,Table2[AwayTeam],$A41, Table2[HomeTeam], J$36) + SUMIFS(Table2[HomeWon_], Table2[GameIsOver],1,Table2[HomeTeam],$A41, Table2[AwayTeam], J$36) + SUMIFS(Table2[HomeWon_], Table2[GameIsOver],1,Table2[AwayTeam],$A41, Table2[HomeTeam], J$36, Table2[ActualResult], "REG") + SUMIFS(Table2[AwayWon], Table2[GameIsOver],1,Table2[HomeTeam],$A41, Table2[AwayTeam], J$36, Table2[ActualResult], "REG") + SUMIFS(Table2[HomeWon_], Table2[GameIsOver],1,Table2[AwayTeam],$A41, Table2[HomeTeam], J$36, Table2[ActualResult], "OT") + SUMIFS(Table2[AwayWon], Table2[GameIsOver],1,Table2[HomeTeam],$A41, Table2[AwayTeam], J$36, Table2[ActualResult], "OT") + SUMIFS(Table2[HomeWon_], Table2[GameIsOver],1,Table2[AwayTeam],$A41, Table2[HomeTeam], J$36, Table2[ActualResult], "SO") + SUMIFS(Table2[AwayWon], Table2[GameIsOver],1,Table2[HomeTeam],$A41, Table2[AwayTeam], J$36, Table2[ActualResult], "SO"))), "")</f>
        <v/>
      </c>
      <c r="K41" t="str">
        <f>IFERROR(((2*SUMIFS(Table2[AwayWon], Table2[GameIsOver],1,Table2[AwayTeam],$A41, Table2[HomeTeam], K$36) + SUMIFS(Table2[HomeWon_], Table2[GameIsOver],1,Table2[HomeTeam],$A41, Table2[AwayTeam], K$36)) + SUMIFS(Table2[AwayWon], Table2[GameIsOver],1,Table2[HomeTeam],$A41, Table2[AwayTeam], K$36, Table2[ActualResult], "REG") + SUMIFS(Table2[HomeWon_], Table2[GameIsOver],1,Table2[AwayTeam],$A41, Table2[HomeTeam], K$36, Table2[ActualResult], "OT") + SUMIFS(Table2[AwayWon], Table2[GameIsOver],1,Table2[HomeTeam],$A41, Table2[AwayTeam], K$36, Table2[ActualResult], "OT") + SUMIFS(Table2[HomeWon_], Table2[GameIsOver],1,Table2[AwayTeam],$A41, Table2[HomeTeam], K$36, Table2[ActualResult], "SO") + SUMIFS(Table2[AwayWon], Table2[GameIsOver],1,Table2[HomeTeam],$A41, Table2[AwayTeam], K$36, Table2[ActualResult], "SO")) / (2*(SUMIFS(Table2[AwayWon], Table2[GameIsOver],1,Table2[AwayTeam],$A41, Table2[HomeTeam], K$36) + SUMIFS(Table2[HomeWon_], Table2[GameIsOver],1,Table2[HomeTeam],$A41, Table2[AwayTeam], K$36) + SUMIFS(Table2[HomeWon_], Table2[GameIsOver],1,Table2[AwayTeam],$A41, Table2[HomeTeam], K$36, Table2[ActualResult], "REG") + SUMIFS(Table2[AwayWon], Table2[GameIsOver],1,Table2[HomeTeam],$A41, Table2[AwayTeam], K$36, Table2[ActualResult], "REG") + SUMIFS(Table2[HomeWon_], Table2[GameIsOver],1,Table2[AwayTeam],$A41, Table2[HomeTeam], K$36, Table2[ActualResult], "OT") + SUMIFS(Table2[AwayWon], Table2[GameIsOver],1,Table2[HomeTeam],$A41, Table2[AwayTeam], K$36, Table2[ActualResult], "OT") + SUMIFS(Table2[HomeWon_], Table2[GameIsOver],1,Table2[AwayTeam],$A41, Table2[HomeTeam], K$36, Table2[ActualResult], "SO") + SUMIFS(Table2[AwayWon], Table2[GameIsOver],1,Table2[HomeTeam],$A41, Table2[AwayTeam], K$36, Table2[ActualResult], "SO"))), "")</f>
        <v/>
      </c>
      <c r="L41" t="str">
        <f>IFERROR(((2*SUMIFS(Table2[AwayWon], Table2[GameIsOver],1,Table2[AwayTeam],$A41, Table2[HomeTeam], L$36) + SUMIFS(Table2[HomeWon_], Table2[GameIsOver],1,Table2[HomeTeam],$A41, Table2[AwayTeam], L$36)) + SUMIFS(Table2[AwayWon], Table2[GameIsOver],1,Table2[HomeTeam],$A41, Table2[AwayTeam], L$36, Table2[ActualResult], "REG") + SUMIFS(Table2[HomeWon_], Table2[GameIsOver],1,Table2[AwayTeam],$A41, Table2[HomeTeam], L$36, Table2[ActualResult], "OT") + SUMIFS(Table2[AwayWon], Table2[GameIsOver],1,Table2[HomeTeam],$A41, Table2[AwayTeam], L$36, Table2[ActualResult], "OT") + SUMIFS(Table2[HomeWon_], Table2[GameIsOver],1,Table2[AwayTeam],$A41, Table2[HomeTeam], L$36, Table2[ActualResult], "SO") + SUMIFS(Table2[AwayWon], Table2[GameIsOver],1,Table2[HomeTeam],$A41, Table2[AwayTeam], L$36, Table2[ActualResult], "SO")) / (2*(SUMIFS(Table2[AwayWon], Table2[GameIsOver],1,Table2[AwayTeam],$A41, Table2[HomeTeam], L$36) + SUMIFS(Table2[HomeWon_], Table2[GameIsOver],1,Table2[HomeTeam],$A41, Table2[AwayTeam], L$36) + SUMIFS(Table2[HomeWon_], Table2[GameIsOver],1,Table2[AwayTeam],$A41, Table2[HomeTeam], L$36, Table2[ActualResult], "REG") + SUMIFS(Table2[AwayWon], Table2[GameIsOver],1,Table2[HomeTeam],$A41, Table2[AwayTeam], L$36, Table2[ActualResult], "REG") + SUMIFS(Table2[HomeWon_], Table2[GameIsOver],1,Table2[AwayTeam],$A41, Table2[HomeTeam], L$36, Table2[ActualResult], "OT") + SUMIFS(Table2[AwayWon], Table2[GameIsOver],1,Table2[HomeTeam],$A41, Table2[AwayTeam], L$36, Table2[ActualResult], "OT") + SUMIFS(Table2[HomeWon_], Table2[GameIsOver],1,Table2[AwayTeam],$A41, Table2[HomeTeam], L$36, Table2[ActualResult], "SO") + SUMIFS(Table2[AwayWon], Table2[GameIsOver],1,Table2[HomeTeam],$A41, Table2[AwayTeam], L$36, Table2[ActualResult], "SO"))), "")</f>
        <v/>
      </c>
      <c r="M41" t="str">
        <f>IFERROR(((2*SUMIFS(Table2[AwayWon], Table2[GameIsOver],1,Table2[AwayTeam],$A41, Table2[HomeTeam], M$36) + SUMIFS(Table2[HomeWon_], Table2[GameIsOver],1,Table2[HomeTeam],$A41, Table2[AwayTeam], M$36)) + SUMIFS(Table2[AwayWon], Table2[GameIsOver],1,Table2[HomeTeam],$A41, Table2[AwayTeam], M$36, Table2[ActualResult], "REG") + SUMIFS(Table2[HomeWon_], Table2[GameIsOver],1,Table2[AwayTeam],$A41, Table2[HomeTeam], M$36, Table2[ActualResult], "OT") + SUMIFS(Table2[AwayWon], Table2[GameIsOver],1,Table2[HomeTeam],$A41, Table2[AwayTeam], M$36, Table2[ActualResult], "OT") + SUMIFS(Table2[HomeWon_], Table2[GameIsOver],1,Table2[AwayTeam],$A41, Table2[HomeTeam], M$36, Table2[ActualResult], "SO") + SUMIFS(Table2[AwayWon], Table2[GameIsOver],1,Table2[HomeTeam],$A41, Table2[AwayTeam], M$36, Table2[ActualResult], "SO")) / (2*(SUMIFS(Table2[AwayWon], Table2[GameIsOver],1,Table2[AwayTeam],$A41, Table2[HomeTeam], M$36) + SUMIFS(Table2[HomeWon_], Table2[GameIsOver],1,Table2[HomeTeam],$A41, Table2[AwayTeam], M$36) + SUMIFS(Table2[HomeWon_], Table2[GameIsOver],1,Table2[AwayTeam],$A41, Table2[HomeTeam], M$36, Table2[ActualResult], "REG") + SUMIFS(Table2[AwayWon], Table2[GameIsOver],1,Table2[HomeTeam],$A41, Table2[AwayTeam], M$36, Table2[ActualResult], "REG") + SUMIFS(Table2[HomeWon_], Table2[GameIsOver],1,Table2[AwayTeam],$A41, Table2[HomeTeam], M$36, Table2[ActualResult], "OT") + SUMIFS(Table2[AwayWon], Table2[GameIsOver],1,Table2[HomeTeam],$A41, Table2[AwayTeam], M$36, Table2[ActualResult], "OT") + SUMIFS(Table2[HomeWon_], Table2[GameIsOver],1,Table2[AwayTeam],$A41, Table2[HomeTeam], M$36, Table2[ActualResult], "SO") + SUMIFS(Table2[AwayWon], Table2[GameIsOver],1,Table2[HomeTeam],$A41, Table2[AwayTeam], M$36, Table2[ActualResult], "SO"))), "")</f>
        <v/>
      </c>
      <c r="N41" t="str">
        <f>IFERROR(((2*SUMIFS(Table2[AwayWon], Table2[GameIsOver],1,Table2[AwayTeam],$A41, Table2[HomeTeam], N$36) + SUMIFS(Table2[HomeWon_], Table2[GameIsOver],1,Table2[HomeTeam],$A41, Table2[AwayTeam], N$36)) + SUMIFS(Table2[AwayWon], Table2[GameIsOver],1,Table2[HomeTeam],$A41, Table2[AwayTeam], N$36, Table2[ActualResult], "REG") + SUMIFS(Table2[HomeWon_], Table2[GameIsOver],1,Table2[AwayTeam],$A41, Table2[HomeTeam], N$36, Table2[ActualResult], "OT") + SUMIFS(Table2[AwayWon], Table2[GameIsOver],1,Table2[HomeTeam],$A41, Table2[AwayTeam], N$36, Table2[ActualResult], "OT") + SUMIFS(Table2[HomeWon_], Table2[GameIsOver],1,Table2[AwayTeam],$A41, Table2[HomeTeam], N$36, Table2[ActualResult], "SO") + SUMIFS(Table2[AwayWon], Table2[GameIsOver],1,Table2[HomeTeam],$A41, Table2[AwayTeam], N$36, Table2[ActualResult], "SO")) / (2*(SUMIFS(Table2[AwayWon], Table2[GameIsOver],1,Table2[AwayTeam],$A41, Table2[HomeTeam], N$36) + SUMIFS(Table2[HomeWon_], Table2[GameIsOver],1,Table2[HomeTeam],$A41, Table2[AwayTeam], N$36) + SUMIFS(Table2[HomeWon_], Table2[GameIsOver],1,Table2[AwayTeam],$A41, Table2[HomeTeam], N$36, Table2[ActualResult], "REG") + SUMIFS(Table2[AwayWon], Table2[GameIsOver],1,Table2[HomeTeam],$A41, Table2[AwayTeam], N$36, Table2[ActualResult], "REG") + SUMIFS(Table2[HomeWon_], Table2[GameIsOver],1,Table2[AwayTeam],$A41, Table2[HomeTeam], N$36, Table2[ActualResult], "OT") + SUMIFS(Table2[AwayWon], Table2[GameIsOver],1,Table2[HomeTeam],$A41, Table2[AwayTeam], N$36, Table2[ActualResult], "OT") + SUMIFS(Table2[HomeWon_], Table2[GameIsOver],1,Table2[AwayTeam],$A41, Table2[HomeTeam], N$36, Table2[ActualResult], "SO") + SUMIFS(Table2[AwayWon], Table2[GameIsOver],1,Table2[HomeTeam],$A41, Table2[AwayTeam], N$36, Table2[ActualResult], "SO"))), "")</f>
        <v/>
      </c>
      <c r="O41" t="str">
        <f>IFERROR(((2*SUMIFS(Table2[AwayWon], Table2[GameIsOver],1,Table2[AwayTeam],$A41, Table2[HomeTeam], O$36) + SUMIFS(Table2[HomeWon_], Table2[GameIsOver],1,Table2[HomeTeam],$A41, Table2[AwayTeam], O$36)) + SUMIFS(Table2[AwayWon], Table2[GameIsOver],1,Table2[HomeTeam],$A41, Table2[AwayTeam], O$36, Table2[ActualResult], "REG") + SUMIFS(Table2[HomeWon_], Table2[GameIsOver],1,Table2[AwayTeam],$A41, Table2[HomeTeam], O$36, Table2[ActualResult], "OT") + SUMIFS(Table2[AwayWon], Table2[GameIsOver],1,Table2[HomeTeam],$A41, Table2[AwayTeam], O$36, Table2[ActualResult], "OT") + SUMIFS(Table2[HomeWon_], Table2[GameIsOver],1,Table2[AwayTeam],$A41, Table2[HomeTeam], O$36, Table2[ActualResult], "SO") + SUMIFS(Table2[AwayWon], Table2[GameIsOver],1,Table2[HomeTeam],$A41, Table2[AwayTeam], O$36, Table2[ActualResult], "SO")) / (2*(SUMIFS(Table2[AwayWon], Table2[GameIsOver],1,Table2[AwayTeam],$A41, Table2[HomeTeam], O$36) + SUMIFS(Table2[HomeWon_], Table2[GameIsOver],1,Table2[HomeTeam],$A41, Table2[AwayTeam], O$36) + SUMIFS(Table2[HomeWon_], Table2[GameIsOver],1,Table2[AwayTeam],$A41, Table2[HomeTeam], O$36, Table2[ActualResult], "REG") + SUMIFS(Table2[AwayWon], Table2[GameIsOver],1,Table2[HomeTeam],$A41, Table2[AwayTeam], O$36, Table2[ActualResult], "REG") + SUMIFS(Table2[HomeWon_], Table2[GameIsOver],1,Table2[AwayTeam],$A41, Table2[HomeTeam], O$36, Table2[ActualResult], "OT") + SUMIFS(Table2[AwayWon], Table2[GameIsOver],1,Table2[HomeTeam],$A41, Table2[AwayTeam], O$36, Table2[ActualResult], "OT") + SUMIFS(Table2[HomeWon_], Table2[GameIsOver],1,Table2[AwayTeam],$A41, Table2[HomeTeam], O$36, Table2[ActualResult], "SO") + SUMIFS(Table2[AwayWon], Table2[GameIsOver],1,Table2[HomeTeam],$A41, Table2[AwayTeam], O$36, Table2[ActualResult], "SO"))), "")</f>
        <v/>
      </c>
      <c r="P41" t="str">
        <f>IFERROR(((2*SUMIFS(Table2[AwayWon], Table2[GameIsOver],1,Table2[AwayTeam],$A41, Table2[HomeTeam], P$36) + SUMIFS(Table2[HomeWon_], Table2[GameIsOver],1,Table2[HomeTeam],$A41, Table2[AwayTeam], P$36)) + SUMIFS(Table2[AwayWon], Table2[GameIsOver],1,Table2[HomeTeam],$A41, Table2[AwayTeam], P$36, Table2[ActualResult], "REG") + SUMIFS(Table2[HomeWon_], Table2[GameIsOver],1,Table2[AwayTeam],$A41, Table2[HomeTeam], P$36, Table2[ActualResult], "OT") + SUMIFS(Table2[AwayWon], Table2[GameIsOver],1,Table2[HomeTeam],$A41, Table2[AwayTeam], P$36, Table2[ActualResult], "OT") + SUMIFS(Table2[HomeWon_], Table2[GameIsOver],1,Table2[AwayTeam],$A41, Table2[HomeTeam], P$36, Table2[ActualResult], "SO") + SUMIFS(Table2[AwayWon], Table2[GameIsOver],1,Table2[HomeTeam],$A41, Table2[AwayTeam], P$36, Table2[ActualResult], "SO")) / (2*(SUMIFS(Table2[AwayWon], Table2[GameIsOver],1,Table2[AwayTeam],$A41, Table2[HomeTeam], P$36) + SUMIFS(Table2[HomeWon_], Table2[GameIsOver],1,Table2[HomeTeam],$A41, Table2[AwayTeam], P$36) + SUMIFS(Table2[HomeWon_], Table2[GameIsOver],1,Table2[AwayTeam],$A41, Table2[HomeTeam], P$36, Table2[ActualResult], "REG") + SUMIFS(Table2[AwayWon], Table2[GameIsOver],1,Table2[HomeTeam],$A41, Table2[AwayTeam], P$36, Table2[ActualResult], "REG") + SUMIFS(Table2[HomeWon_], Table2[GameIsOver],1,Table2[AwayTeam],$A41, Table2[HomeTeam], P$36, Table2[ActualResult], "OT") + SUMIFS(Table2[AwayWon], Table2[GameIsOver],1,Table2[HomeTeam],$A41, Table2[AwayTeam], P$36, Table2[ActualResult], "OT") + SUMIFS(Table2[HomeWon_], Table2[GameIsOver],1,Table2[AwayTeam],$A41, Table2[HomeTeam], P$36, Table2[ActualResult], "SO") + SUMIFS(Table2[AwayWon], Table2[GameIsOver],1,Table2[HomeTeam],$A41, Table2[AwayTeam], P$36, Table2[ActualResult], "SO"))), "")</f>
        <v/>
      </c>
      <c r="Q41" s="57" t="str">
        <f>IFERROR(((2*SUMIFS(Table2[AwayWon], Table2[GameIsOver],1,Table2[AwayTeam],$A41, Table2[HomeTeam], Q$36) + SUMIFS(Table2[HomeWon_], Table2[GameIsOver],1,Table2[HomeTeam],$A41, Table2[AwayTeam], Q$36)) + SUMIFS(Table2[AwayWon], Table2[GameIsOver],1,Table2[HomeTeam],$A41, Table2[AwayTeam], Q$36, Table2[ActualResult], "REG") + SUMIFS(Table2[HomeWon_], Table2[GameIsOver],1,Table2[AwayTeam],$A41, Table2[HomeTeam], Q$36, Table2[ActualResult], "OT") + SUMIFS(Table2[AwayWon], Table2[GameIsOver],1,Table2[HomeTeam],$A41, Table2[AwayTeam], Q$36, Table2[ActualResult], "OT") + SUMIFS(Table2[HomeWon_], Table2[GameIsOver],1,Table2[AwayTeam],$A41, Table2[HomeTeam], Q$36, Table2[ActualResult], "SO") + SUMIFS(Table2[AwayWon], Table2[GameIsOver],1,Table2[HomeTeam],$A41, Table2[AwayTeam], Q$36, Table2[ActualResult], "SO")) / (2*(SUMIFS(Table2[AwayWon], Table2[GameIsOver],1,Table2[AwayTeam],$A41, Table2[HomeTeam], Q$36) + SUMIFS(Table2[HomeWon_], Table2[GameIsOver],1,Table2[HomeTeam],$A41, Table2[AwayTeam], Q$36) + SUMIFS(Table2[HomeWon_], Table2[GameIsOver],1,Table2[AwayTeam],$A41, Table2[HomeTeam], Q$36, Table2[ActualResult], "REG") + SUMIFS(Table2[AwayWon], Table2[GameIsOver],1,Table2[HomeTeam],$A41, Table2[AwayTeam], Q$36, Table2[ActualResult], "REG") + SUMIFS(Table2[HomeWon_], Table2[GameIsOver],1,Table2[AwayTeam],$A41, Table2[HomeTeam], Q$36, Table2[ActualResult], "OT") + SUMIFS(Table2[AwayWon], Table2[GameIsOver],1,Table2[HomeTeam],$A41, Table2[AwayTeam], Q$36, Table2[ActualResult], "OT") + SUMIFS(Table2[HomeWon_], Table2[GameIsOver],1,Table2[AwayTeam],$A41, Table2[HomeTeam], Q$36, Table2[ActualResult], "SO") + SUMIFS(Table2[AwayWon], Table2[GameIsOver],1,Table2[HomeTeam],$A41, Table2[AwayTeam], Q$36, Table2[ActualResult], "SO"))), "")</f>
        <v/>
      </c>
      <c r="R41" t="str">
        <f>IFERROR(((2*SUMIFS(Table2[AwayWon], Table2[GameIsOver],1,Table2[AwayTeam],$A41, Table2[HomeTeam], R$36) + SUMIFS(Table2[HomeWon_], Table2[GameIsOver],1,Table2[HomeTeam],$A41, Table2[AwayTeam], R$36)) + SUMIFS(Table2[AwayWon], Table2[GameIsOver],1,Table2[HomeTeam],$A41, Table2[AwayTeam], R$36, Table2[ActualResult], "REG") + SUMIFS(Table2[HomeWon_], Table2[GameIsOver],1,Table2[AwayTeam],$A41, Table2[HomeTeam], R$36, Table2[ActualResult], "OT") + SUMIFS(Table2[AwayWon], Table2[GameIsOver],1,Table2[HomeTeam],$A41, Table2[AwayTeam], R$36, Table2[ActualResult], "OT") + SUMIFS(Table2[HomeWon_], Table2[GameIsOver],1,Table2[AwayTeam],$A41, Table2[HomeTeam], R$36, Table2[ActualResult], "SO") + SUMIFS(Table2[AwayWon], Table2[GameIsOver],1,Table2[HomeTeam],$A41, Table2[AwayTeam], R$36, Table2[ActualResult], "SO")) / (2*(SUMIFS(Table2[AwayWon], Table2[GameIsOver],1,Table2[AwayTeam],$A41, Table2[HomeTeam], R$36) + SUMIFS(Table2[HomeWon_], Table2[GameIsOver],1,Table2[HomeTeam],$A41, Table2[AwayTeam], R$36) + SUMIFS(Table2[HomeWon_], Table2[GameIsOver],1,Table2[AwayTeam],$A41, Table2[HomeTeam], R$36, Table2[ActualResult], "REG") + SUMIFS(Table2[AwayWon], Table2[GameIsOver],1,Table2[HomeTeam],$A41, Table2[AwayTeam], R$36, Table2[ActualResult], "REG") + SUMIFS(Table2[HomeWon_], Table2[GameIsOver],1,Table2[AwayTeam],$A41, Table2[HomeTeam], R$36, Table2[ActualResult], "OT") + SUMIFS(Table2[AwayWon], Table2[GameIsOver],1,Table2[HomeTeam],$A41, Table2[AwayTeam], R$36, Table2[ActualResult], "OT") + SUMIFS(Table2[HomeWon_], Table2[GameIsOver],1,Table2[AwayTeam],$A41, Table2[HomeTeam], R$36, Table2[ActualResult], "SO") + SUMIFS(Table2[AwayWon], Table2[GameIsOver],1,Table2[HomeTeam],$A41, Table2[AwayTeam], R$36, Table2[ActualResult], "SO"))), "")</f>
        <v/>
      </c>
      <c r="S41" t="str">
        <f>IFERROR(((2*SUMIFS(Table2[AwayWon], Table2[GameIsOver],1,Table2[AwayTeam],$A41, Table2[HomeTeam], S$36) + SUMIFS(Table2[HomeWon_], Table2[GameIsOver],1,Table2[HomeTeam],$A41, Table2[AwayTeam], S$36)) + SUMIFS(Table2[AwayWon], Table2[GameIsOver],1,Table2[HomeTeam],$A41, Table2[AwayTeam], S$36, Table2[ActualResult], "REG") + SUMIFS(Table2[HomeWon_], Table2[GameIsOver],1,Table2[AwayTeam],$A41, Table2[HomeTeam], S$36, Table2[ActualResult], "OT") + SUMIFS(Table2[AwayWon], Table2[GameIsOver],1,Table2[HomeTeam],$A41, Table2[AwayTeam], S$36, Table2[ActualResult], "OT") + SUMIFS(Table2[HomeWon_], Table2[GameIsOver],1,Table2[AwayTeam],$A41, Table2[HomeTeam], S$36, Table2[ActualResult], "SO") + SUMIFS(Table2[AwayWon], Table2[GameIsOver],1,Table2[HomeTeam],$A41, Table2[AwayTeam], S$36, Table2[ActualResult], "SO")) / (2*(SUMIFS(Table2[AwayWon], Table2[GameIsOver],1,Table2[AwayTeam],$A41, Table2[HomeTeam], S$36) + SUMIFS(Table2[HomeWon_], Table2[GameIsOver],1,Table2[HomeTeam],$A41, Table2[AwayTeam], S$36) + SUMIFS(Table2[HomeWon_], Table2[GameIsOver],1,Table2[AwayTeam],$A41, Table2[HomeTeam], S$36, Table2[ActualResult], "REG") + SUMIFS(Table2[AwayWon], Table2[GameIsOver],1,Table2[HomeTeam],$A41, Table2[AwayTeam], S$36, Table2[ActualResult], "REG") + SUMIFS(Table2[HomeWon_], Table2[GameIsOver],1,Table2[AwayTeam],$A41, Table2[HomeTeam], S$36, Table2[ActualResult], "OT") + SUMIFS(Table2[AwayWon], Table2[GameIsOver],1,Table2[HomeTeam],$A41, Table2[AwayTeam], S$36, Table2[ActualResult], "OT") + SUMIFS(Table2[HomeWon_], Table2[GameIsOver],1,Table2[AwayTeam],$A41, Table2[HomeTeam], S$36, Table2[ActualResult], "SO") + SUMIFS(Table2[AwayWon], Table2[GameIsOver],1,Table2[HomeTeam],$A41, Table2[AwayTeam], S$36, Table2[ActualResult], "SO"))), "")</f>
        <v/>
      </c>
      <c r="T41" t="str">
        <f>IFERROR(((2*SUMIFS(Table2[AwayWon], Table2[GameIsOver],1,Table2[AwayTeam],$A41, Table2[HomeTeam], T$36) + SUMIFS(Table2[HomeWon_], Table2[GameIsOver],1,Table2[HomeTeam],$A41, Table2[AwayTeam], T$36)) + SUMIFS(Table2[AwayWon], Table2[GameIsOver],1,Table2[HomeTeam],$A41, Table2[AwayTeam], T$36, Table2[ActualResult], "REG") + SUMIFS(Table2[HomeWon_], Table2[GameIsOver],1,Table2[AwayTeam],$A41, Table2[HomeTeam], T$36, Table2[ActualResult], "OT") + SUMIFS(Table2[AwayWon], Table2[GameIsOver],1,Table2[HomeTeam],$A41, Table2[AwayTeam], T$36, Table2[ActualResult], "OT") + SUMIFS(Table2[HomeWon_], Table2[GameIsOver],1,Table2[AwayTeam],$A41, Table2[HomeTeam], T$36, Table2[ActualResult], "SO") + SUMIFS(Table2[AwayWon], Table2[GameIsOver],1,Table2[HomeTeam],$A41, Table2[AwayTeam], T$36, Table2[ActualResult], "SO")) / (2*(SUMIFS(Table2[AwayWon], Table2[GameIsOver],1,Table2[AwayTeam],$A41, Table2[HomeTeam], T$36) + SUMIFS(Table2[HomeWon_], Table2[GameIsOver],1,Table2[HomeTeam],$A41, Table2[AwayTeam], T$36) + SUMIFS(Table2[HomeWon_], Table2[GameIsOver],1,Table2[AwayTeam],$A41, Table2[HomeTeam], T$36, Table2[ActualResult], "REG") + SUMIFS(Table2[AwayWon], Table2[GameIsOver],1,Table2[HomeTeam],$A41, Table2[AwayTeam], T$36, Table2[ActualResult], "REG") + SUMIFS(Table2[HomeWon_], Table2[GameIsOver],1,Table2[AwayTeam],$A41, Table2[HomeTeam], T$36, Table2[ActualResult], "OT") + SUMIFS(Table2[AwayWon], Table2[GameIsOver],1,Table2[HomeTeam],$A41, Table2[AwayTeam], T$36, Table2[ActualResult], "OT") + SUMIFS(Table2[HomeWon_], Table2[GameIsOver],1,Table2[AwayTeam],$A41, Table2[HomeTeam], T$36, Table2[ActualResult], "SO") + SUMIFS(Table2[AwayWon], Table2[GameIsOver],1,Table2[HomeTeam],$A41, Table2[AwayTeam], T$36, Table2[ActualResult], "SO"))), "")</f>
        <v/>
      </c>
      <c r="U41" t="str">
        <f>IFERROR(((2*SUMIFS(Table2[AwayWon], Table2[GameIsOver],1,Table2[AwayTeam],$A41, Table2[HomeTeam], U$36) + SUMIFS(Table2[HomeWon_], Table2[GameIsOver],1,Table2[HomeTeam],$A41, Table2[AwayTeam], U$36)) + SUMIFS(Table2[AwayWon], Table2[GameIsOver],1,Table2[HomeTeam],$A41, Table2[AwayTeam], U$36, Table2[ActualResult], "REG") + SUMIFS(Table2[HomeWon_], Table2[GameIsOver],1,Table2[AwayTeam],$A41, Table2[HomeTeam], U$36, Table2[ActualResult], "OT") + SUMIFS(Table2[AwayWon], Table2[GameIsOver],1,Table2[HomeTeam],$A41, Table2[AwayTeam], U$36, Table2[ActualResult], "OT") + SUMIFS(Table2[HomeWon_], Table2[GameIsOver],1,Table2[AwayTeam],$A41, Table2[HomeTeam], U$36, Table2[ActualResult], "SO") + SUMIFS(Table2[AwayWon], Table2[GameIsOver],1,Table2[HomeTeam],$A41, Table2[AwayTeam], U$36, Table2[ActualResult], "SO")) / (2*(SUMIFS(Table2[AwayWon], Table2[GameIsOver],1,Table2[AwayTeam],$A41, Table2[HomeTeam], U$36) + SUMIFS(Table2[HomeWon_], Table2[GameIsOver],1,Table2[HomeTeam],$A41, Table2[AwayTeam], U$36) + SUMIFS(Table2[HomeWon_], Table2[GameIsOver],1,Table2[AwayTeam],$A41, Table2[HomeTeam], U$36, Table2[ActualResult], "REG") + SUMIFS(Table2[AwayWon], Table2[GameIsOver],1,Table2[HomeTeam],$A41, Table2[AwayTeam], U$36, Table2[ActualResult], "REG") + SUMIFS(Table2[HomeWon_], Table2[GameIsOver],1,Table2[AwayTeam],$A41, Table2[HomeTeam], U$36, Table2[ActualResult], "OT") + SUMIFS(Table2[AwayWon], Table2[GameIsOver],1,Table2[HomeTeam],$A41, Table2[AwayTeam], U$36, Table2[ActualResult], "OT") + SUMIFS(Table2[HomeWon_], Table2[GameIsOver],1,Table2[AwayTeam],$A41, Table2[HomeTeam], U$36, Table2[ActualResult], "SO") + SUMIFS(Table2[AwayWon], Table2[GameIsOver],1,Table2[HomeTeam],$A41, Table2[AwayTeam], U$36, Table2[ActualResult], "SO"))), "")</f>
        <v/>
      </c>
      <c r="V41" t="str">
        <f>IFERROR(((2*SUMIFS(Table2[AwayWon], Table2[GameIsOver],1,Table2[AwayTeam],$A41, Table2[HomeTeam], V$36) + SUMIFS(Table2[HomeWon_], Table2[GameIsOver],1,Table2[HomeTeam],$A41, Table2[AwayTeam], V$36)) + SUMIFS(Table2[AwayWon], Table2[GameIsOver],1,Table2[HomeTeam],$A41, Table2[AwayTeam], V$36, Table2[ActualResult], "REG") + SUMIFS(Table2[HomeWon_], Table2[GameIsOver],1,Table2[AwayTeam],$A41, Table2[HomeTeam], V$36, Table2[ActualResult], "OT") + SUMIFS(Table2[AwayWon], Table2[GameIsOver],1,Table2[HomeTeam],$A41, Table2[AwayTeam], V$36, Table2[ActualResult], "OT") + SUMIFS(Table2[HomeWon_], Table2[GameIsOver],1,Table2[AwayTeam],$A41, Table2[HomeTeam], V$36, Table2[ActualResult], "SO") + SUMIFS(Table2[AwayWon], Table2[GameIsOver],1,Table2[HomeTeam],$A41, Table2[AwayTeam], V$36, Table2[ActualResult], "SO")) / (2*(SUMIFS(Table2[AwayWon], Table2[GameIsOver],1,Table2[AwayTeam],$A41, Table2[HomeTeam], V$36) + SUMIFS(Table2[HomeWon_], Table2[GameIsOver],1,Table2[HomeTeam],$A41, Table2[AwayTeam], V$36) + SUMIFS(Table2[HomeWon_], Table2[GameIsOver],1,Table2[AwayTeam],$A41, Table2[HomeTeam], V$36, Table2[ActualResult], "REG") + SUMIFS(Table2[AwayWon], Table2[GameIsOver],1,Table2[HomeTeam],$A41, Table2[AwayTeam], V$36, Table2[ActualResult], "REG") + SUMIFS(Table2[HomeWon_], Table2[GameIsOver],1,Table2[AwayTeam],$A41, Table2[HomeTeam], V$36, Table2[ActualResult], "OT") + SUMIFS(Table2[AwayWon], Table2[GameIsOver],1,Table2[HomeTeam],$A41, Table2[AwayTeam], V$36, Table2[ActualResult], "OT") + SUMIFS(Table2[HomeWon_], Table2[GameIsOver],1,Table2[AwayTeam],$A41, Table2[HomeTeam], V$36, Table2[ActualResult], "SO") + SUMIFS(Table2[AwayWon], Table2[GameIsOver],1,Table2[HomeTeam],$A41, Table2[AwayTeam], V$36, Table2[ActualResult], "SO"))), "")</f>
        <v/>
      </c>
      <c r="W41">
        <f>IFERROR(((2*SUMIFS(Table2[AwayWon], Table2[GameIsOver],1,Table2[AwayTeam],$A41, Table2[HomeTeam], W$36) + SUMIFS(Table2[HomeWon_], Table2[GameIsOver],1,Table2[HomeTeam],$A41, Table2[AwayTeam], W$36)) + SUMIFS(Table2[AwayWon], Table2[GameIsOver],1,Table2[HomeTeam],$A41, Table2[AwayTeam], W$36, Table2[ActualResult], "REG") + SUMIFS(Table2[HomeWon_], Table2[GameIsOver],1,Table2[AwayTeam],$A41, Table2[HomeTeam], W$36, Table2[ActualResult], "OT") + SUMIFS(Table2[AwayWon], Table2[GameIsOver],1,Table2[HomeTeam],$A41, Table2[AwayTeam], W$36, Table2[ActualResult], "OT") + SUMIFS(Table2[HomeWon_], Table2[GameIsOver],1,Table2[AwayTeam],$A41, Table2[HomeTeam], W$36, Table2[ActualResult], "SO") + SUMIFS(Table2[AwayWon], Table2[GameIsOver],1,Table2[HomeTeam],$A41, Table2[AwayTeam], W$36, Table2[ActualResult], "SO")) / (2*(SUMIFS(Table2[AwayWon], Table2[GameIsOver],1,Table2[AwayTeam],$A41, Table2[HomeTeam], W$36) + SUMIFS(Table2[HomeWon_], Table2[GameIsOver],1,Table2[HomeTeam],$A41, Table2[AwayTeam], W$36) + SUMIFS(Table2[HomeWon_], Table2[GameIsOver],1,Table2[AwayTeam],$A41, Table2[HomeTeam], W$36, Table2[ActualResult], "REG") + SUMIFS(Table2[AwayWon], Table2[GameIsOver],1,Table2[HomeTeam],$A41, Table2[AwayTeam], W$36, Table2[ActualResult], "REG") + SUMIFS(Table2[HomeWon_], Table2[GameIsOver],1,Table2[AwayTeam],$A41, Table2[HomeTeam], W$36, Table2[ActualResult], "OT") + SUMIFS(Table2[AwayWon], Table2[GameIsOver],1,Table2[HomeTeam],$A41, Table2[AwayTeam], W$36, Table2[ActualResult], "OT") + SUMIFS(Table2[HomeWon_], Table2[GameIsOver],1,Table2[AwayTeam],$A41, Table2[HomeTeam], W$36, Table2[ActualResult], "SO") + SUMIFS(Table2[AwayWon], Table2[GameIsOver],1,Table2[HomeTeam],$A41, Table2[AwayTeam], W$36, Table2[ActualResult], "SO"))), "")</f>
        <v>0</v>
      </c>
      <c r="X41" t="str">
        <f>IFERROR(((2*SUMIFS(Table2[AwayWon], Table2[GameIsOver],1,Table2[AwayTeam],$A41, Table2[HomeTeam], X$36) + SUMIFS(Table2[HomeWon_], Table2[GameIsOver],1,Table2[HomeTeam],$A41, Table2[AwayTeam], X$36)) + SUMIFS(Table2[AwayWon], Table2[GameIsOver],1,Table2[HomeTeam],$A41, Table2[AwayTeam], X$36, Table2[ActualResult], "REG") + SUMIFS(Table2[HomeWon_], Table2[GameIsOver],1,Table2[AwayTeam],$A41, Table2[HomeTeam], X$36, Table2[ActualResult], "OT") + SUMIFS(Table2[AwayWon], Table2[GameIsOver],1,Table2[HomeTeam],$A41, Table2[AwayTeam], X$36, Table2[ActualResult], "OT") + SUMIFS(Table2[HomeWon_], Table2[GameIsOver],1,Table2[AwayTeam],$A41, Table2[HomeTeam], X$36, Table2[ActualResult], "SO") + SUMIFS(Table2[AwayWon], Table2[GameIsOver],1,Table2[HomeTeam],$A41, Table2[AwayTeam], X$36, Table2[ActualResult], "SO")) / (2*(SUMIFS(Table2[AwayWon], Table2[GameIsOver],1,Table2[AwayTeam],$A41, Table2[HomeTeam], X$36) + SUMIFS(Table2[HomeWon_], Table2[GameIsOver],1,Table2[HomeTeam],$A41, Table2[AwayTeam], X$36) + SUMIFS(Table2[HomeWon_], Table2[GameIsOver],1,Table2[AwayTeam],$A41, Table2[HomeTeam], X$36, Table2[ActualResult], "REG") + SUMIFS(Table2[AwayWon], Table2[GameIsOver],1,Table2[HomeTeam],$A41, Table2[AwayTeam], X$36, Table2[ActualResult], "REG") + SUMIFS(Table2[HomeWon_], Table2[GameIsOver],1,Table2[AwayTeam],$A41, Table2[HomeTeam], X$36, Table2[ActualResult], "OT") + SUMIFS(Table2[AwayWon], Table2[GameIsOver],1,Table2[HomeTeam],$A41, Table2[AwayTeam], X$36, Table2[ActualResult], "OT") + SUMIFS(Table2[HomeWon_], Table2[GameIsOver],1,Table2[AwayTeam],$A41, Table2[HomeTeam], X$36, Table2[ActualResult], "SO") + SUMIFS(Table2[AwayWon], Table2[GameIsOver],1,Table2[HomeTeam],$A41, Table2[AwayTeam], X$36, Table2[ActualResult], "SO"))), "")</f>
        <v/>
      </c>
      <c r="Y41" s="57">
        <f>IFERROR(((2*SUMIFS(Table2[AwayWon], Table2[GameIsOver],1,Table2[AwayTeam],$A41, Table2[HomeTeam], Y$36) + SUMIFS(Table2[HomeWon_], Table2[GameIsOver],1,Table2[HomeTeam],$A41, Table2[AwayTeam], Y$36)) + SUMIFS(Table2[AwayWon], Table2[GameIsOver],1,Table2[HomeTeam],$A41, Table2[AwayTeam], Y$36, Table2[ActualResult], "REG") + SUMIFS(Table2[HomeWon_], Table2[GameIsOver],1,Table2[AwayTeam],$A41, Table2[HomeTeam], Y$36, Table2[ActualResult], "OT") + SUMIFS(Table2[AwayWon], Table2[GameIsOver],1,Table2[HomeTeam],$A41, Table2[AwayTeam], Y$36, Table2[ActualResult], "OT") + SUMIFS(Table2[HomeWon_], Table2[GameIsOver],1,Table2[AwayTeam],$A41, Table2[HomeTeam], Y$36, Table2[ActualResult], "SO") + SUMIFS(Table2[AwayWon], Table2[GameIsOver],1,Table2[HomeTeam],$A41, Table2[AwayTeam], Y$36, Table2[ActualResult], "SO")) / (2*(SUMIFS(Table2[AwayWon], Table2[GameIsOver],1,Table2[AwayTeam],$A41, Table2[HomeTeam], Y$36) + SUMIFS(Table2[HomeWon_], Table2[GameIsOver],1,Table2[HomeTeam],$A41, Table2[AwayTeam], Y$36) + SUMIFS(Table2[HomeWon_], Table2[GameIsOver],1,Table2[AwayTeam],$A41, Table2[HomeTeam], Y$36, Table2[ActualResult], "REG") + SUMIFS(Table2[AwayWon], Table2[GameIsOver],1,Table2[HomeTeam],$A41, Table2[AwayTeam], Y$36, Table2[ActualResult], "REG") + SUMIFS(Table2[HomeWon_], Table2[GameIsOver],1,Table2[AwayTeam],$A41, Table2[HomeTeam], Y$36, Table2[ActualResult], "OT") + SUMIFS(Table2[AwayWon], Table2[GameIsOver],1,Table2[HomeTeam],$A41, Table2[AwayTeam], Y$36, Table2[ActualResult], "OT") + SUMIFS(Table2[HomeWon_], Table2[GameIsOver],1,Table2[AwayTeam],$A41, Table2[HomeTeam], Y$36, Table2[ActualResult], "SO") + SUMIFS(Table2[AwayWon], Table2[GameIsOver],1,Table2[HomeTeam],$A41, Table2[AwayTeam], Y$36, Table2[ActualResult], "SO"))), "")</f>
        <v>0</v>
      </c>
      <c r="Z41" t="str">
        <f>IFERROR(((2*SUMIFS(Table2[AwayWon], Table2[GameIsOver],1,Table2[AwayTeam],$A41, Table2[HomeTeam], Z$36) + SUMIFS(Table2[HomeWon_], Table2[GameIsOver],1,Table2[HomeTeam],$A41, Table2[AwayTeam], Z$36)) + SUMIFS(Table2[AwayWon], Table2[GameIsOver],1,Table2[HomeTeam],$A41, Table2[AwayTeam], Z$36, Table2[ActualResult], "REG") + SUMIFS(Table2[HomeWon_], Table2[GameIsOver],1,Table2[AwayTeam],$A41, Table2[HomeTeam], Z$36, Table2[ActualResult], "OT") + SUMIFS(Table2[AwayWon], Table2[GameIsOver],1,Table2[HomeTeam],$A41, Table2[AwayTeam], Z$36, Table2[ActualResult], "OT") + SUMIFS(Table2[HomeWon_], Table2[GameIsOver],1,Table2[AwayTeam],$A41, Table2[HomeTeam], Z$36, Table2[ActualResult], "SO") + SUMIFS(Table2[AwayWon], Table2[GameIsOver],1,Table2[HomeTeam],$A41, Table2[AwayTeam], Z$36, Table2[ActualResult], "SO")) / (2*(SUMIFS(Table2[AwayWon], Table2[GameIsOver],1,Table2[AwayTeam],$A41, Table2[HomeTeam], Z$36) + SUMIFS(Table2[HomeWon_], Table2[GameIsOver],1,Table2[HomeTeam],$A41, Table2[AwayTeam], Z$36) + SUMIFS(Table2[HomeWon_], Table2[GameIsOver],1,Table2[AwayTeam],$A41, Table2[HomeTeam], Z$36, Table2[ActualResult], "REG") + SUMIFS(Table2[AwayWon], Table2[GameIsOver],1,Table2[HomeTeam],$A41, Table2[AwayTeam], Z$36, Table2[ActualResult], "REG") + SUMIFS(Table2[HomeWon_], Table2[GameIsOver],1,Table2[AwayTeam],$A41, Table2[HomeTeam], Z$36, Table2[ActualResult], "OT") + SUMIFS(Table2[AwayWon], Table2[GameIsOver],1,Table2[HomeTeam],$A41, Table2[AwayTeam], Z$36, Table2[ActualResult], "OT") + SUMIFS(Table2[HomeWon_], Table2[GameIsOver],1,Table2[AwayTeam],$A41, Table2[HomeTeam], Z$36, Table2[ActualResult], "SO") + SUMIFS(Table2[AwayWon], Table2[GameIsOver],1,Table2[HomeTeam],$A41, Table2[AwayTeam], Z$36, Table2[ActualResult], "SO"))), "")</f>
        <v/>
      </c>
      <c r="AA41" t="str">
        <f>IFERROR(((2*SUMIFS(Table2[AwayWon], Table2[GameIsOver],1,Table2[AwayTeam],$A41, Table2[HomeTeam], AA$36) + SUMIFS(Table2[HomeWon_], Table2[GameIsOver],1,Table2[HomeTeam],$A41, Table2[AwayTeam], AA$36)) + SUMIFS(Table2[AwayWon], Table2[GameIsOver],1,Table2[HomeTeam],$A41, Table2[AwayTeam], AA$36, Table2[ActualResult], "REG") + SUMIFS(Table2[HomeWon_], Table2[GameIsOver],1,Table2[AwayTeam],$A41, Table2[HomeTeam], AA$36, Table2[ActualResult], "OT") + SUMIFS(Table2[AwayWon], Table2[GameIsOver],1,Table2[HomeTeam],$A41, Table2[AwayTeam], AA$36, Table2[ActualResult], "OT") + SUMIFS(Table2[HomeWon_], Table2[GameIsOver],1,Table2[AwayTeam],$A41, Table2[HomeTeam], AA$36, Table2[ActualResult], "SO") + SUMIFS(Table2[AwayWon], Table2[GameIsOver],1,Table2[HomeTeam],$A41, Table2[AwayTeam], AA$36, Table2[ActualResult], "SO")) / (2*(SUMIFS(Table2[AwayWon], Table2[GameIsOver],1,Table2[AwayTeam],$A41, Table2[HomeTeam], AA$36) + SUMIFS(Table2[HomeWon_], Table2[GameIsOver],1,Table2[HomeTeam],$A41, Table2[AwayTeam], AA$36) + SUMIFS(Table2[HomeWon_], Table2[GameIsOver],1,Table2[AwayTeam],$A41, Table2[HomeTeam], AA$36, Table2[ActualResult], "REG") + SUMIFS(Table2[AwayWon], Table2[GameIsOver],1,Table2[HomeTeam],$A41, Table2[AwayTeam], AA$36, Table2[ActualResult], "REG") + SUMIFS(Table2[HomeWon_], Table2[GameIsOver],1,Table2[AwayTeam],$A41, Table2[HomeTeam], AA$36, Table2[ActualResult], "OT") + SUMIFS(Table2[AwayWon], Table2[GameIsOver],1,Table2[HomeTeam],$A41, Table2[AwayTeam], AA$36, Table2[ActualResult], "OT") + SUMIFS(Table2[HomeWon_], Table2[GameIsOver],1,Table2[AwayTeam],$A41, Table2[HomeTeam], AA$36, Table2[ActualResult], "SO") + SUMIFS(Table2[AwayWon], Table2[GameIsOver],1,Table2[HomeTeam],$A41, Table2[AwayTeam], AA$36, Table2[ActualResult], "SO"))), "")</f>
        <v/>
      </c>
      <c r="AB41" t="str">
        <f>IFERROR(((2*SUMIFS(Table2[AwayWon], Table2[GameIsOver],1,Table2[AwayTeam],$A41, Table2[HomeTeam], AB$36) + SUMIFS(Table2[HomeWon_], Table2[GameIsOver],1,Table2[HomeTeam],$A41, Table2[AwayTeam], AB$36)) + SUMIFS(Table2[AwayWon], Table2[GameIsOver],1,Table2[HomeTeam],$A41, Table2[AwayTeam], AB$36, Table2[ActualResult], "REG") + SUMIFS(Table2[HomeWon_], Table2[GameIsOver],1,Table2[AwayTeam],$A41, Table2[HomeTeam], AB$36, Table2[ActualResult], "OT") + SUMIFS(Table2[AwayWon], Table2[GameIsOver],1,Table2[HomeTeam],$A41, Table2[AwayTeam], AB$36, Table2[ActualResult], "OT") + SUMIFS(Table2[HomeWon_], Table2[GameIsOver],1,Table2[AwayTeam],$A41, Table2[HomeTeam], AB$36, Table2[ActualResult], "SO") + SUMIFS(Table2[AwayWon], Table2[GameIsOver],1,Table2[HomeTeam],$A41, Table2[AwayTeam], AB$36, Table2[ActualResult], "SO")) / (2*(SUMIFS(Table2[AwayWon], Table2[GameIsOver],1,Table2[AwayTeam],$A41, Table2[HomeTeam], AB$36) + SUMIFS(Table2[HomeWon_], Table2[GameIsOver],1,Table2[HomeTeam],$A41, Table2[AwayTeam], AB$36) + SUMIFS(Table2[HomeWon_], Table2[GameIsOver],1,Table2[AwayTeam],$A41, Table2[HomeTeam], AB$36, Table2[ActualResult], "REG") + SUMIFS(Table2[AwayWon], Table2[GameIsOver],1,Table2[HomeTeam],$A41, Table2[AwayTeam], AB$36, Table2[ActualResult], "REG") + SUMIFS(Table2[HomeWon_], Table2[GameIsOver],1,Table2[AwayTeam],$A41, Table2[HomeTeam], AB$36, Table2[ActualResult], "OT") + SUMIFS(Table2[AwayWon], Table2[GameIsOver],1,Table2[HomeTeam],$A41, Table2[AwayTeam], AB$36, Table2[ActualResult], "OT") + SUMIFS(Table2[HomeWon_], Table2[GameIsOver],1,Table2[AwayTeam],$A41, Table2[HomeTeam], AB$36, Table2[ActualResult], "SO") + SUMIFS(Table2[AwayWon], Table2[GameIsOver],1,Table2[HomeTeam],$A41, Table2[AwayTeam], AB$36, Table2[ActualResult], "SO"))), "")</f>
        <v/>
      </c>
      <c r="AC41" t="str">
        <f>IFERROR(((2*SUMIFS(Table2[AwayWon], Table2[GameIsOver],1,Table2[AwayTeam],$A41, Table2[HomeTeam], AC$36) + SUMIFS(Table2[HomeWon_], Table2[GameIsOver],1,Table2[HomeTeam],$A41, Table2[AwayTeam], AC$36)) + SUMIFS(Table2[AwayWon], Table2[GameIsOver],1,Table2[HomeTeam],$A41, Table2[AwayTeam], AC$36, Table2[ActualResult], "REG") + SUMIFS(Table2[HomeWon_], Table2[GameIsOver],1,Table2[AwayTeam],$A41, Table2[HomeTeam], AC$36, Table2[ActualResult], "OT") + SUMIFS(Table2[AwayWon], Table2[GameIsOver],1,Table2[HomeTeam],$A41, Table2[AwayTeam], AC$36, Table2[ActualResult], "OT") + SUMIFS(Table2[HomeWon_], Table2[GameIsOver],1,Table2[AwayTeam],$A41, Table2[HomeTeam], AC$36, Table2[ActualResult], "SO") + SUMIFS(Table2[AwayWon], Table2[GameIsOver],1,Table2[HomeTeam],$A41, Table2[AwayTeam], AC$36, Table2[ActualResult], "SO")) / (2*(SUMIFS(Table2[AwayWon], Table2[GameIsOver],1,Table2[AwayTeam],$A41, Table2[HomeTeam], AC$36) + SUMIFS(Table2[HomeWon_], Table2[GameIsOver],1,Table2[HomeTeam],$A41, Table2[AwayTeam], AC$36) + SUMIFS(Table2[HomeWon_], Table2[GameIsOver],1,Table2[AwayTeam],$A41, Table2[HomeTeam], AC$36, Table2[ActualResult], "REG") + SUMIFS(Table2[AwayWon], Table2[GameIsOver],1,Table2[HomeTeam],$A41, Table2[AwayTeam], AC$36, Table2[ActualResult], "REG") + SUMIFS(Table2[HomeWon_], Table2[GameIsOver],1,Table2[AwayTeam],$A41, Table2[HomeTeam], AC$36, Table2[ActualResult], "OT") + SUMIFS(Table2[AwayWon], Table2[GameIsOver],1,Table2[HomeTeam],$A41, Table2[AwayTeam], AC$36, Table2[ActualResult], "OT") + SUMIFS(Table2[HomeWon_], Table2[GameIsOver],1,Table2[AwayTeam],$A41, Table2[HomeTeam], AC$36, Table2[ActualResult], "SO") + SUMIFS(Table2[AwayWon], Table2[GameIsOver],1,Table2[HomeTeam],$A41, Table2[AwayTeam], AC$36, Table2[ActualResult], "SO"))), "")</f>
        <v/>
      </c>
      <c r="AD41">
        <f>IFERROR(((2*SUMIFS(Table2[AwayWon], Table2[GameIsOver],1,Table2[AwayTeam],$A41, Table2[HomeTeam], AD$36) + SUMIFS(Table2[HomeWon_], Table2[GameIsOver],1,Table2[HomeTeam],$A41, Table2[AwayTeam], AD$36)) + SUMIFS(Table2[AwayWon], Table2[GameIsOver],1,Table2[HomeTeam],$A41, Table2[AwayTeam], AD$36, Table2[ActualResult], "REG") + SUMIFS(Table2[HomeWon_], Table2[GameIsOver],1,Table2[AwayTeam],$A41, Table2[HomeTeam], AD$36, Table2[ActualResult], "OT") + SUMIFS(Table2[AwayWon], Table2[GameIsOver],1,Table2[HomeTeam],$A41, Table2[AwayTeam], AD$36, Table2[ActualResult], "OT") + SUMIFS(Table2[HomeWon_], Table2[GameIsOver],1,Table2[AwayTeam],$A41, Table2[HomeTeam], AD$36, Table2[ActualResult], "SO") + SUMIFS(Table2[AwayWon], Table2[GameIsOver],1,Table2[HomeTeam],$A41, Table2[AwayTeam], AD$36, Table2[ActualResult], "SO")) / (2*(SUMIFS(Table2[AwayWon], Table2[GameIsOver],1,Table2[AwayTeam],$A41, Table2[HomeTeam], AD$36) + SUMIFS(Table2[HomeWon_], Table2[GameIsOver],1,Table2[HomeTeam],$A41, Table2[AwayTeam], AD$36) + SUMIFS(Table2[HomeWon_], Table2[GameIsOver],1,Table2[AwayTeam],$A41, Table2[HomeTeam], AD$36, Table2[ActualResult], "REG") + SUMIFS(Table2[AwayWon], Table2[GameIsOver],1,Table2[HomeTeam],$A41, Table2[AwayTeam], AD$36, Table2[ActualResult], "REG") + SUMIFS(Table2[HomeWon_], Table2[GameIsOver],1,Table2[AwayTeam],$A41, Table2[HomeTeam], AD$36, Table2[ActualResult], "OT") + SUMIFS(Table2[AwayWon], Table2[GameIsOver],1,Table2[HomeTeam],$A41, Table2[AwayTeam], AD$36, Table2[ActualResult], "OT") + SUMIFS(Table2[HomeWon_], Table2[GameIsOver],1,Table2[AwayTeam],$A41, Table2[HomeTeam], AD$36, Table2[ActualResult], "SO") + SUMIFS(Table2[AwayWon], Table2[GameIsOver],1,Table2[HomeTeam],$A41, Table2[AwayTeam], AD$36, Table2[ActualResult], "SO"))), "")</f>
        <v>0.5</v>
      </c>
      <c r="AE41">
        <f>IFERROR(((2*SUMIFS(Table2[AwayWon], Table2[GameIsOver],1,Table2[AwayTeam],$A41, Table2[HomeTeam], AE$36) + SUMIFS(Table2[HomeWon_], Table2[GameIsOver],1,Table2[HomeTeam],$A41, Table2[AwayTeam], AE$36)) + SUMIFS(Table2[AwayWon], Table2[GameIsOver],1,Table2[HomeTeam],$A41, Table2[AwayTeam], AE$36, Table2[ActualResult], "REG") + SUMIFS(Table2[HomeWon_], Table2[GameIsOver],1,Table2[AwayTeam],$A41, Table2[HomeTeam], AE$36, Table2[ActualResult], "OT") + SUMIFS(Table2[AwayWon], Table2[GameIsOver],1,Table2[HomeTeam],$A41, Table2[AwayTeam], AE$36, Table2[ActualResult], "OT") + SUMIFS(Table2[HomeWon_], Table2[GameIsOver],1,Table2[AwayTeam],$A41, Table2[HomeTeam], AE$36, Table2[ActualResult], "SO") + SUMIFS(Table2[AwayWon], Table2[GameIsOver],1,Table2[HomeTeam],$A41, Table2[AwayTeam], AE$36, Table2[ActualResult], "SO")) / (2*(SUMIFS(Table2[AwayWon], Table2[GameIsOver],1,Table2[AwayTeam],$A41, Table2[HomeTeam], AE$36) + SUMIFS(Table2[HomeWon_], Table2[GameIsOver],1,Table2[HomeTeam],$A41, Table2[AwayTeam], AE$36) + SUMIFS(Table2[HomeWon_], Table2[GameIsOver],1,Table2[AwayTeam],$A41, Table2[HomeTeam], AE$36, Table2[ActualResult], "REG") + SUMIFS(Table2[AwayWon], Table2[GameIsOver],1,Table2[HomeTeam],$A41, Table2[AwayTeam], AE$36, Table2[ActualResult], "REG") + SUMIFS(Table2[HomeWon_], Table2[GameIsOver],1,Table2[AwayTeam],$A41, Table2[HomeTeam], AE$36, Table2[ActualResult], "OT") + SUMIFS(Table2[AwayWon], Table2[GameIsOver],1,Table2[HomeTeam],$A41, Table2[AwayTeam], AE$36, Table2[ActualResult], "OT") + SUMIFS(Table2[HomeWon_], Table2[GameIsOver],1,Table2[AwayTeam],$A41, Table2[HomeTeam], AE$36, Table2[ActualResult], "SO") + SUMIFS(Table2[AwayWon], Table2[GameIsOver],1,Table2[HomeTeam],$A41, Table2[AwayTeam], AE$36, Table2[ActualResult], "SO"))), "")</f>
        <v>0.5</v>
      </c>
      <c r="AF41" t="str">
        <f>IFERROR(((2*SUMIFS(Table2[AwayWon], Table2[GameIsOver],1,Table2[AwayTeam],$A41, Table2[HomeTeam], AF$36) + SUMIFS(Table2[HomeWon_], Table2[GameIsOver],1,Table2[HomeTeam],$A41, Table2[AwayTeam], AF$36)) + SUMIFS(Table2[AwayWon], Table2[GameIsOver],1,Table2[HomeTeam],$A41, Table2[AwayTeam], AF$36, Table2[ActualResult], "REG") + SUMIFS(Table2[HomeWon_], Table2[GameIsOver],1,Table2[AwayTeam],$A41, Table2[HomeTeam], AF$36, Table2[ActualResult], "OT") + SUMIFS(Table2[AwayWon], Table2[GameIsOver],1,Table2[HomeTeam],$A41, Table2[AwayTeam], AF$36, Table2[ActualResult], "OT") + SUMIFS(Table2[HomeWon_], Table2[GameIsOver],1,Table2[AwayTeam],$A41, Table2[HomeTeam], AF$36, Table2[ActualResult], "SO") + SUMIFS(Table2[AwayWon], Table2[GameIsOver],1,Table2[HomeTeam],$A41, Table2[AwayTeam], AF$36, Table2[ActualResult], "SO")) / (2*(SUMIFS(Table2[AwayWon], Table2[GameIsOver],1,Table2[AwayTeam],$A41, Table2[HomeTeam], AF$36) + SUMIFS(Table2[HomeWon_], Table2[GameIsOver],1,Table2[HomeTeam],$A41, Table2[AwayTeam], AF$36) + SUMIFS(Table2[HomeWon_], Table2[GameIsOver],1,Table2[AwayTeam],$A41, Table2[HomeTeam], AF$36, Table2[ActualResult], "REG") + SUMIFS(Table2[AwayWon], Table2[GameIsOver],1,Table2[HomeTeam],$A41, Table2[AwayTeam], AF$36, Table2[ActualResult], "REG") + SUMIFS(Table2[HomeWon_], Table2[GameIsOver],1,Table2[AwayTeam],$A41, Table2[HomeTeam], AF$36, Table2[ActualResult], "OT") + SUMIFS(Table2[AwayWon], Table2[GameIsOver],1,Table2[HomeTeam],$A41, Table2[AwayTeam], AF$36, Table2[ActualResult], "OT") + SUMIFS(Table2[HomeWon_], Table2[GameIsOver],1,Table2[AwayTeam],$A41, Table2[HomeTeam], AF$36, Table2[ActualResult], "SO") + SUMIFS(Table2[AwayWon], Table2[GameIsOver],1,Table2[HomeTeam],$A41, Table2[AwayTeam], AF$36, Table2[ActualResult], "SO"))), "")</f>
        <v/>
      </c>
      <c r="AG41" s="57">
        <f>IFERROR(((2*SUMIFS(Table2[AwayWon], Table2[GameIsOver],1,Table2[AwayTeam],$A41, Table2[HomeTeam], AG$36) + SUMIFS(Table2[HomeWon_], Table2[GameIsOver],1,Table2[HomeTeam],$A41, Table2[AwayTeam], AG$36)) + SUMIFS(Table2[AwayWon], Table2[GameIsOver],1,Table2[HomeTeam],$A41, Table2[AwayTeam], AG$36, Table2[ActualResult], "REG") + SUMIFS(Table2[HomeWon_], Table2[GameIsOver],1,Table2[AwayTeam],$A41, Table2[HomeTeam], AG$36, Table2[ActualResult], "OT") + SUMIFS(Table2[AwayWon], Table2[GameIsOver],1,Table2[HomeTeam],$A41, Table2[AwayTeam], AG$36, Table2[ActualResult], "OT") + SUMIFS(Table2[HomeWon_], Table2[GameIsOver],1,Table2[AwayTeam],$A41, Table2[HomeTeam], AG$36, Table2[ActualResult], "SO") + SUMIFS(Table2[AwayWon], Table2[GameIsOver],1,Table2[HomeTeam],$A41, Table2[AwayTeam], AG$36, Table2[ActualResult], "SO")) / (2*(SUMIFS(Table2[AwayWon], Table2[GameIsOver],1,Table2[AwayTeam],$A41, Table2[HomeTeam], AG$36) + SUMIFS(Table2[HomeWon_], Table2[GameIsOver],1,Table2[HomeTeam],$A41, Table2[AwayTeam], AG$36) + SUMIFS(Table2[HomeWon_], Table2[GameIsOver],1,Table2[AwayTeam],$A41, Table2[HomeTeam], AG$36, Table2[ActualResult], "REG") + SUMIFS(Table2[AwayWon], Table2[GameIsOver],1,Table2[HomeTeam],$A41, Table2[AwayTeam], AG$36, Table2[ActualResult], "REG") + SUMIFS(Table2[HomeWon_], Table2[GameIsOver],1,Table2[AwayTeam],$A41, Table2[HomeTeam], AG$36, Table2[ActualResult], "OT") + SUMIFS(Table2[AwayWon], Table2[GameIsOver],1,Table2[HomeTeam],$A41, Table2[AwayTeam], AG$36, Table2[ActualResult], "OT") + SUMIFS(Table2[HomeWon_], Table2[GameIsOver],1,Table2[AwayTeam],$A41, Table2[HomeTeam], AG$36, Table2[ActualResult], "SO") + SUMIFS(Table2[AwayWon], Table2[GameIsOver],1,Table2[HomeTeam],$A41, Table2[AwayTeam], AG$36, Table2[ActualResult], "SO"))), "")</f>
        <v>1</v>
      </c>
      <c r="AH41" s="101">
        <f t="shared" si="0"/>
        <v>0.4</v>
      </c>
      <c r="AI41" s="101">
        <f t="shared" si="1"/>
        <v>0.5</v>
      </c>
      <c r="AJ41" s="103">
        <f t="shared" si="2"/>
        <v>0.66666666666666663</v>
      </c>
      <c r="AK41" s="103">
        <f t="shared" si="3"/>
        <v>0</v>
      </c>
      <c r="AL41" s="103" t="e">
        <f t="shared" si="4"/>
        <v>#DIV/0!</v>
      </c>
      <c r="AM41" s="103">
        <f t="shared" si="5"/>
        <v>0.5</v>
      </c>
    </row>
    <row r="42" spans="1:39" x14ac:dyDescent="0.25">
      <c r="A42" s="57" t="s">
        <v>37</v>
      </c>
      <c r="B42" s="24">
        <f>IFERROR(((2*SUMIFS(Table2[AwayWon], Table2[GameIsOver],1,Table2[AwayTeam],$A42, Table2[HomeTeam], B$36) + SUMIFS(Table2[HomeWon_], Table2[GameIsOver],1,Table2[HomeTeam],$A42, Table2[AwayTeam], B$36)) + SUMIFS(Table2[AwayWon], Table2[GameIsOver],1,Table2[HomeTeam],$A42, Table2[AwayTeam], B$36, Table2[ActualResult], "REG") + SUMIFS(Table2[HomeWon_], Table2[GameIsOver],1,Table2[AwayTeam],$A42, Table2[HomeTeam], B$36, Table2[ActualResult], "OT") + SUMIFS(Table2[AwayWon], Table2[GameIsOver],1,Table2[HomeTeam],$A42, Table2[AwayTeam], B$36, Table2[ActualResult], "OT") + SUMIFS(Table2[HomeWon_], Table2[GameIsOver],1,Table2[AwayTeam],$A42, Table2[HomeTeam], B$36, Table2[ActualResult], "SO") + SUMIFS(Table2[AwayWon], Table2[GameIsOver],1,Table2[HomeTeam],$A42, Table2[AwayTeam], B$36, Table2[ActualResult], "SO")) / (2*(SUMIFS(Table2[AwayWon], Table2[GameIsOver],1,Table2[AwayTeam],$A42, Table2[HomeTeam], B$36) + SUMIFS(Table2[HomeWon_], Table2[GameIsOver],1,Table2[HomeTeam],$A42, Table2[AwayTeam], B$36) + SUMIFS(Table2[HomeWon_], Table2[GameIsOver],1,Table2[AwayTeam],$A42, Table2[HomeTeam], B$36, Table2[ActualResult], "REG") + SUMIFS(Table2[AwayWon], Table2[GameIsOver],1,Table2[HomeTeam],$A42, Table2[AwayTeam], B$36, Table2[ActualResult], "REG") + SUMIFS(Table2[HomeWon_], Table2[GameIsOver],1,Table2[AwayTeam],$A42, Table2[HomeTeam], B$36, Table2[ActualResult], "OT") + SUMIFS(Table2[AwayWon], Table2[GameIsOver],1,Table2[HomeTeam],$A42, Table2[AwayTeam], B$36, Table2[ActualResult], "OT") + SUMIFS(Table2[HomeWon_], Table2[GameIsOver],1,Table2[AwayTeam],$A42, Table2[HomeTeam], B$36, Table2[ActualResult], "SO") + SUMIFS(Table2[AwayWon], Table2[GameIsOver],1,Table2[HomeTeam],$A42, Table2[AwayTeam], B$36, Table2[ActualResult], "SO"))), "")</f>
        <v>0.5</v>
      </c>
      <c r="C42" s="24" t="str">
        <f>IFERROR(((2*SUMIFS(Table2[AwayWon], Table2[GameIsOver],1,Table2[AwayTeam],$A42, Table2[HomeTeam], C$36) + SUMIFS(Table2[HomeWon_], Table2[GameIsOver],1,Table2[HomeTeam],$A42, Table2[AwayTeam], C$36)) + SUMIFS(Table2[AwayWon], Table2[GameIsOver],1,Table2[HomeTeam],$A42, Table2[AwayTeam], C$36, Table2[ActualResult], "REG") + SUMIFS(Table2[HomeWon_], Table2[GameIsOver],1,Table2[AwayTeam],$A42, Table2[HomeTeam], C$36, Table2[ActualResult], "OT") + SUMIFS(Table2[AwayWon], Table2[GameIsOver],1,Table2[HomeTeam],$A42, Table2[AwayTeam], C$36, Table2[ActualResult], "OT") + SUMIFS(Table2[HomeWon_], Table2[GameIsOver],1,Table2[AwayTeam],$A42, Table2[HomeTeam], C$36, Table2[ActualResult], "SO") + SUMIFS(Table2[AwayWon], Table2[GameIsOver],1,Table2[HomeTeam],$A42, Table2[AwayTeam], C$36, Table2[ActualResult], "SO")) / (2*(SUMIFS(Table2[AwayWon], Table2[GameIsOver],1,Table2[AwayTeam],$A42, Table2[HomeTeam], C$36) + SUMIFS(Table2[HomeWon_], Table2[GameIsOver],1,Table2[HomeTeam],$A42, Table2[AwayTeam], C$36) + SUMIFS(Table2[HomeWon_], Table2[GameIsOver],1,Table2[AwayTeam],$A42, Table2[HomeTeam], C$36, Table2[ActualResult], "REG") + SUMIFS(Table2[AwayWon], Table2[GameIsOver],1,Table2[HomeTeam],$A42, Table2[AwayTeam], C$36, Table2[ActualResult], "REG") + SUMIFS(Table2[HomeWon_], Table2[GameIsOver],1,Table2[AwayTeam],$A42, Table2[HomeTeam], C$36, Table2[ActualResult], "OT") + SUMIFS(Table2[AwayWon], Table2[GameIsOver],1,Table2[HomeTeam],$A42, Table2[AwayTeam], C$36, Table2[ActualResult], "OT") + SUMIFS(Table2[HomeWon_], Table2[GameIsOver],1,Table2[AwayTeam],$A42, Table2[HomeTeam], C$36, Table2[ActualResult], "SO") + SUMIFS(Table2[AwayWon], Table2[GameIsOver],1,Table2[HomeTeam],$A42, Table2[AwayTeam], C$36, Table2[ActualResult], "SO"))), "")</f>
        <v/>
      </c>
      <c r="D42" t="str">
        <f>IFERROR(((2*SUMIFS(Table2[AwayWon], Table2[GameIsOver],1,Table2[AwayTeam],$A42, Table2[HomeTeam], D$36) + SUMIFS(Table2[HomeWon_], Table2[GameIsOver],1,Table2[HomeTeam],$A42, Table2[AwayTeam], D$36)) + SUMIFS(Table2[AwayWon], Table2[GameIsOver],1,Table2[HomeTeam],$A42, Table2[AwayTeam], D$36, Table2[ActualResult], "REG") + SUMIFS(Table2[HomeWon_], Table2[GameIsOver],1,Table2[AwayTeam],$A42, Table2[HomeTeam], D$36, Table2[ActualResult], "OT") + SUMIFS(Table2[AwayWon], Table2[GameIsOver],1,Table2[HomeTeam],$A42, Table2[AwayTeam], D$36, Table2[ActualResult], "OT") + SUMIFS(Table2[HomeWon_], Table2[GameIsOver],1,Table2[AwayTeam],$A42, Table2[HomeTeam], D$36, Table2[ActualResult], "SO") + SUMIFS(Table2[AwayWon], Table2[GameIsOver],1,Table2[HomeTeam],$A42, Table2[AwayTeam], D$36, Table2[ActualResult], "SO")) / (2*(SUMIFS(Table2[AwayWon], Table2[GameIsOver],1,Table2[AwayTeam],$A42, Table2[HomeTeam], D$36) + SUMIFS(Table2[HomeWon_], Table2[GameIsOver],1,Table2[HomeTeam],$A42, Table2[AwayTeam], D$36) + SUMIFS(Table2[HomeWon_], Table2[GameIsOver],1,Table2[AwayTeam],$A42, Table2[HomeTeam], D$36, Table2[ActualResult], "REG") + SUMIFS(Table2[AwayWon], Table2[GameIsOver],1,Table2[HomeTeam],$A42, Table2[AwayTeam], D$36, Table2[ActualResult], "REG") + SUMIFS(Table2[HomeWon_], Table2[GameIsOver],1,Table2[AwayTeam],$A42, Table2[HomeTeam], D$36, Table2[ActualResult], "OT") + SUMIFS(Table2[AwayWon], Table2[GameIsOver],1,Table2[HomeTeam],$A42, Table2[AwayTeam], D$36, Table2[ActualResult], "OT") + SUMIFS(Table2[HomeWon_], Table2[GameIsOver],1,Table2[AwayTeam],$A42, Table2[HomeTeam], D$36, Table2[ActualResult], "SO") + SUMIFS(Table2[AwayWon], Table2[GameIsOver],1,Table2[HomeTeam],$A42, Table2[AwayTeam], D$36, Table2[ActualResult], "SO"))), "")</f>
        <v/>
      </c>
      <c r="E42" t="str">
        <f>IFERROR(((2*SUMIFS(Table2[AwayWon], Table2[GameIsOver],1,Table2[AwayTeam],$A42, Table2[HomeTeam], E$36) + SUMIFS(Table2[HomeWon_], Table2[GameIsOver],1,Table2[HomeTeam],$A42, Table2[AwayTeam], E$36)) + SUMIFS(Table2[AwayWon], Table2[GameIsOver],1,Table2[HomeTeam],$A42, Table2[AwayTeam], E$36, Table2[ActualResult], "REG") + SUMIFS(Table2[HomeWon_], Table2[GameIsOver],1,Table2[AwayTeam],$A42, Table2[HomeTeam], E$36, Table2[ActualResult], "OT") + SUMIFS(Table2[AwayWon], Table2[GameIsOver],1,Table2[HomeTeam],$A42, Table2[AwayTeam], E$36, Table2[ActualResult], "OT") + SUMIFS(Table2[HomeWon_], Table2[GameIsOver],1,Table2[AwayTeam],$A42, Table2[HomeTeam], E$36, Table2[ActualResult], "SO") + SUMIFS(Table2[AwayWon], Table2[GameIsOver],1,Table2[HomeTeam],$A42, Table2[AwayTeam], E$36, Table2[ActualResult], "SO")) / (2*(SUMIFS(Table2[AwayWon], Table2[GameIsOver],1,Table2[AwayTeam],$A42, Table2[HomeTeam], E$36) + SUMIFS(Table2[HomeWon_], Table2[GameIsOver],1,Table2[HomeTeam],$A42, Table2[AwayTeam], E$36) + SUMIFS(Table2[HomeWon_], Table2[GameIsOver],1,Table2[AwayTeam],$A42, Table2[HomeTeam], E$36, Table2[ActualResult], "REG") + SUMIFS(Table2[AwayWon], Table2[GameIsOver],1,Table2[HomeTeam],$A42, Table2[AwayTeam], E$36, Table2[ActualResult], "REG") + SUMIFS(Table2[HomeWon_], Table2[GameIsOver],1,Table2[AwayTeam],$A42, Table2[HomeTeam], E$36, Table2[ActualResult], "OT") + SUMIFS(Table2[AwayWon], Table2[GameIsOver],1,Table2[HomeTeam],$A42, Table2[AwayTeam], E$36, Table2[ActualResult], "OT") + SUMIFS(Table2[HomeWon_], Table2[GameIsOver],1,Table2[AwayTeam],$A42, Table2[HomeTeam], E$36, Table2[ActualResult], "SO") + SUMIFS(Table2[AwayWon], Table2[GameIsOver],1,Table2[HomeTeam],$A42, Table2[AwayTeam], E$36, Table2[ActualResult], "SO"))), "")</f>
        <v/>
      </c>
      <c r="F42" t="str">
        <f>IFERROR(((2*SUMIFS(Table2[AwayWon], Table2[GameIsOver],1,Table2[AwayTeam],$A42, Table2[HomeTeam], F$36) + SUMIFS(Table2[HomeWon_], Table2[GameIsOver],1,Table2[HomeTeam],$A42, Table2[AwayTeam], F$36)) + SUMIFS(Table2[AwayWon], Table2[GameIsOver],1,Table2[HomeTeam],$A42, Table2[AwayTeam], F$36, Table2[ActualResult], "REG") + SUMIFS(Table2[HomeWon_], Table2[GameIsOver],1,Table2[AwayTeam],$A42, Table2[HomeTeam], F$36, Table2[ActualResult], "OT") + SUMIFS(Table2[AwayWon], Table2[GameIsOver],1,Table2[HomeTeam],$A42, Table2[AwayTeam], F$36, Table2[ActualResult], "OT") + SUMIFS(Table2[HomeWon_], Table2[GameIsOver],1,Table2[AwayTeam],$A42, Table2[HomeTeam], F$36, Table2[ActualResult], "SO") + SUMIFS(Table2[AwayWon], Table2[GameIsOver],1,Table2[HomeTeam],$A42, Table2[AwayTeam], F$36, Table2[ActualResult], "SO")) / (2*(SUMIFS(Table2[AwayWon], Table2[GameIsOver],1,Table2[AwayTeam],$A42, Table2[HomeTeam], F$36) + SUMIFS(Table2[HomeWon_], Table2[GameIsOver],1,Table2[HomeTeam],$A42, Table2[AwayTeam], F$36) + SUMIFS(Table2[HomeWon_], Table2[GameIsOver],1,Table2[AwayTeam],$A42, Table2[HomeTeam], F$36, Table2[ActualResult], "REG") + SUMIFS(Table2[AwayWon], Table2[GameIsOver],1,Table2[HomeTeam],$A42, Table2[AwayTeam], F$36, Table2[ActualResult], "REG") + SUMIFS(Table2[HomeWon_], Table2[GameIsOver],1,Table2[AwayTeam],$A42, Table2[HomeTeam], F$36, Table2[ActualResult], "OT") + SUMIFS(Table2[AwayWon], Table2[GameIsOver],1,Table2[HomeTeam],$A42, Table2[AwayTeam], F$36, Table2[ActualResult], "OT") + SUMIFS(Table2[HomeWon_], Table2[GameIsOver],1,Table2[AwayTeam],$A42, Table2[HomeTeam], F$36, Table2[ActualResult], "SO") + SUMIFS(Table2[AwayWon], Table2[GameIsOver],1,Table2[HomeTeam],$A42, Table2[AwayTeam], F$36, Table2[ActualResult], "SO"))), "")</f>
        <v/>
      </c>
      <c r="G42" s="98" t="str">
        <f>IFERROR(((2*SUMIFS(Table2[AwayWon], Table2[GameIsOver],1,Table2[AwayTeam],$A42, Table2[HomeTeam], G$36) + SUMIFS(Table2[HomeWon_], Table2[GameIsOver],1,Table2[HomeTeam],$A42, Table2[AwayTeam], G$36)) + SUMIFS(Table2[AwayWon], Table2[GameIsOver],1,Table2[HomeTeam],$A42, Table2[AwayTeam], G$36, Table2[ActualResult], "REG") + SUMIFS(Table2[HomeWon_], Table2[GameIsOver],1,Table2[AwayTeam],$A42, Table2[HomeTeam], G$36, Table2[ActualResult], "OT") + SUMIFS(Table2[AwayWon], Table2[GameIsOver],1,Table2[HomeTeam],$A42, Table2[AwayTeam], G$36, Table2[ActualResult], "OT") + SUMIFS(Table2[HomeWon_], Table2[GameIsOver],1,Table2[AwayTeam],$A42, Table2[HomeTeam], G$36, Table2[ActualResult], "SO") + SUMIFS(Table2[AwayWon], Table2[GameIsOver],1,Table2[HomeTeam],$A42, Table2[AwayTeam], G$36, Table2[ActualResult], "SO")) / (2*(SUMIFS(Table2[AwayWon], Table2[GameIsOver],1,Table2[AwayTeam],$A42, Table2[HomeTeam], G$36) + SUMIFS(Table2[HomeWon_], Table2[GameIsOver],1,Table2[HomeTeam],$A42, Table2[AwayTeam], G$36) + SUMIFS(Table2[HomeWon_], Table2[GameIsOver],1,Table2[AwayTeam],$A42, Table2[HomeTeam], G$36, Table2[ActualResult], "REG") + SUMIFS(Table2[AwayWon], Table2[GameIsOver],1,Table2[HomeTeam],$A42, Table2[AwayTeam], G$36, Table2[ActualResult], "REG") + SUMIFS(Table2[HomeWon_], Table2[GameIsOver],1,Table2[AwayTeam],$A42, Table2[HomeTeam], G$36, Table2[ActualResult], "OT") + SUMIFS(Table2[AwayWon], Table2[GameIsOver],1,Table2[HomeTeam],$A42, Table2[AwayTeam], G$36, Table2[ActualResult], "OT") + SUMIFS(Table2[HomeWon_], Table2[GameIsOver],1,Table2[AwayTeam],$A42, Table2[HomeTeam], G$36, Table2[ActualResult], "SO") + SUMIFS(Table2[AwayWon], Table2[GameIsOver],1,Table2[HomeTeam],$A42, Table2[AwayTeam], G$36, Table2[ActualResult], "SO"))), "")</f>
        <v/>
      </c>
      <c r="H42" t="str">
        <f>IFERROR(((2*SUMIFS(Table2[AwayWon], Table2[GameIsOver],1,Table2[AwayTeam],$A42, Table2[HomeTeam], H$36) + SUMIFS(Table2[HomeWon_], Table2[GameIsOver],1,Table2[HomeTeam],$A42, Table2[AwayTeam], H$36)) + SUMIFS(Table2[AwayWon], Table2[GameIsOver],1,Table2[HomeTeam],$A42, Table2[AwayTeam], H$36, Table2[ActualResult], "REG") + SUMIFS(Table2[HomeWon_], Table2[GameIsOver],1,Table2[AwayTeam],$A42, Table2[HomeTeam], H$36, Table2[ActualResult], "OT") + SUMIFS(Table2[AwayWon], Table2[GameIsOver],1,Table2[HomeTeam],$A42, Table2[AwayTeam], H$36, Table2[ActualResult], "OT") + SUMIFS(Table2[HomeWon_], Table2[GameIsOver],1,Table2[AwayTeam],$A42, Table2[HomeTeam], H$36, Table2[ActualResult], "SO") + SUMIFS(Table2[AwayWon], Table2[GameIsOver],1,Table2[HomeTeam],$A42, Table2[AwayTeam], H$36, Table2[ActualResult], "SO")) / (2*(SUMIFS(Table2[AwayWon], Table2[GameIsOver],1,Table2[AwayTeam],$A42, Table2[HomeTeam], H$36) + SUMIFS(Table2[HomeWon_], Table2[GameIsOver],1,Table2[HomeTeam],$A42, Table2[AwayTeam], H$36) + SUMIFS(Table2[HomeWon_], Table2[GameIsOver],1,Table2[AwayTeam],$A42, Table2[HomeTeam], H$36, Table2[ActualResult], "REG") + SUMIFS(Table2[AwayWon], Table2[GameIsOver],1,Table2[HomeTeam],$A42, Table2[AwayTeam], H$36, Table2[ActualResult], "REG") + SUMIFS(Table2[HomeWon_], Table2[GameIsOver],1,Table2[AwayTeam],$A42, Table2[HomeTeam], H$36, Table2[ActualResult], "OT") + SUMIFS(Table2[AwayWon], Table2[GameIsOver],1,Table2[HomeTeam],$A42, Table2[AwayTeam], H$36, Table2[ActualResult], "OT") + SUMIFS(Table2[HomeWon_], Table2[GameIsOver],1,Table2[AwayTeam],$A42, Table2[HomeTeam], H$36, Table2[ActualResult], "SO") + SUMIFS(Table2[AwayWon], Table2[GameIsOver],1,Table2[HomeTeam],$A42, Table2[AwayTeam], H$36, Table2[ActualResult], "SO"))), "")</f>
        <v/>
      </c>
      <c r="I42" s="57">
        <f>IFERROR(((2*SUMIFS(Table2[AwayWon], Table2[GameIsOver],1,Table2[AwayTeam],$A42, Table2[HomeTeam], I$36) + SUMIFS(Table2[HomeWon_], Table2[GameIsOver],1,Table2[HomeTeam],$A42, Table2[AwayTeam], I$36)) + SUMIFS(Table2[AwayWon], Table2[GameIsOver],1,Table2[HomeTeam],$A42, Table2[AwayTeam], I$36, Table2[ActualResult], "REG") + SUMIFS(Table2[HomeWon_], Table2[GameIsOver],1,Table2[AwayTeam],$A42, Table2[HomeTeam], I$36, Table2[ActualResult], "OT") + SUMIFS(Table2[AwayWon], Table2[GameIsOver],1,Table2[HomeTeam],$A42, Table2[AwayTeam], I$36, Table2[ActualResult], "OT") + SUMIFS(Table2[HomeWon_], Table2[GameIsOver],1,Table2[AwayTeam],$A42, Table2[HomeTeam], I$36, Table2[ActualResult], "SO") + SUMIFS(Table2[AwayWon], Table2[GameIsOver],1,Table2[HomeTeam],$A42, Table2[AwayTeam], I$36, Table2[ActualResult], "SO")) / (2*(SUMIFS(Table2[AwayWon], Table2[GameIsOver],1,Table2[AwayTeam],$A42, Table2[HomeTeam], I$36) + SUMIFS(Table2[HomeWon_], Table2[GameIsOver],1,Table2[HomeTeam],$A42, Table2[AwayTeam], I$36) + SUMIFS(Table2[HomeWon_], Table2[GameIsOver],1,Table2[AwayTeam],$A42, Table2[HomeTeam], I$36, Table2[ActualResult], "REG") + SUMIFS(Table2[AwayWon], Table2[GameIsOver],1,Table2[HomeTeam],$A42, Table2[AwayTeam], I$36, Table2[ActualResult], "REG") + SUMIFS(Table2[HomeWon_], Table2[GameIsOver],1,Table2[AwayTeam],$A42, Table2[HomeTeam], I$36, Table2[ActualResult], "OT") + SUMIFS(Table2[AwayWon], Table2[GameIsOver],1,Table2[HomeTeam],$A42, Table2[AwayTeam], I$36, Table2[ActualResult], "OT") + SUMIFS(Table2[HomeWon_], Table2[GameIsOver],1,Table2[AwayTeam],$A42, Table2[HomeTeam], I$36, Table2[ActualResult], "SO") + SUMIFS(Table2[AwayWon], Table2[GameIsOver],1,Table2[HomeTeam],$A42, Table2[AwayTeam], I$36, Table2[ActualResult], "SO"))), "")</f>
        <v>0.5</v>
      </c>
      <c r="J42" t="str">
        <f>IFERROR(((2*SUMIFS(Table2[AwayWon], Table2[GameIsOver],1,Table2[AwayTeam],$A42, Table2[HomeTeam], J$36) + SUMIFS(Table2[HomeWon_], Table2[GameIsOver],1,Table2[HomeTeam],$A42, Table2[AwayTeam], J$36)) + SUMIFS(Table2[AwayWon], Table2[GameIsOver],1,Table2[HomeTeam],$A42, Table2[AwayTeam], J$36, Table2[ActualResult], "REG") + SUMIFS(Table2[HomeWon_], Table2[GameIsOver],1,Table2[AwayTeam],$A42, Table2[HomeTeam], J$36, Table2[ActualResult], "OT") + SUMIFS(Table2[AwayWon], Table2[GameIsOver],1,Table2[HomeTeam],$A42, Table2[AwayTeam], J$36, Table2[ActualResult], "OT") + SUMIFS(Table2[HomeWon_], Table2[GameIsOver],1,Table2[AwayTeam],$A42, Table2[HomeTeam], J$36, Table2[ActualResult], "SO") + SUMIFS(Table2[AwayWon], Table2[GameIsOver],1,Table2[HomeTeam],$A42, Table2[AwayTeam], J$36, Table2[ActualResult], "SO")) / (2*(SUMIFS(Table2[AwayWon], Table2[GameIsOver],1,Table2[AwayTeam],$A42, Table2[HomeTeam], J$36) + SUMIFS(Table2[HomeWon_], Table2[GameIsOver],1,Table2[HomeTeam],$A42, Table2[AwayTeam], J$36) + SUMIFS(Table2[HomeWon_], Table2[GameIsOver],1,Table2[AwayTeam],$A42, Table2[HomeTeam], J$36, Table2[ActualResult], "REG") + SUMIFS(Table2[AwayWon], Table2[GameIsOver],1,Table2[HomeTeam],$A42, Table2[AwayTeam], J$36, Table2[ActualResult], "REG") + SUMIFS(Table2[HomeWon_], Table2[GameIsOver],1,Table2[AwayTeam],$A42, Table2[HomeTeam], J$36, Table2[ActualResult], "OT") + SUMIFS(Table2[AwayWon], Table2[GameIsOver],1,Table2[HomeTeam],$A42, Table2[AwayTeam], J$36, Table2[ActualResult], "OT") + SUMIFS(Table2[HomeWon_], Table2[GameIsOver],1,Table2[AwayTeam],$A42, Table2[HomeTeam], J$36, Table2[ActualResult], "SO") + SUMIFS(Table2[AwayWon], Table2[GameIsOver],1,Table2[HomeTeam],$A42, Table2[AwayTeam], J$36, Table2[ActualResult], "SO"))), "")</f>
        <v/>
      </c>
      <c r="K42" t="str">
        <f>IFERROR(((2*SUMIFS(Table2[AwayWon], Table2[GameIsOver],1,Table2[AwayTeam],$A42, Table2[HomeTeam], K$36) + SUMIFS(Table2[HomeWon_], Table2[GameIsOver],1,Table2[HomeTeam],$A42, Table2[AwayTeam], K$36)) + SUMIFS(Table2[AwayWon], Table2[GameIsOver],1,Table2[HomeTeam],$A42, Table2[AwayTeam], K$36, Table2[ActualResult], "REG") + SUMIFS(Table2[HomeWon_], Table2[GameIsOver],1,Table2[AwayTeam],$A42, Table2[HomeTeam], K$36, Table2[ActualResult], "OT") + SUMIFS(Table2[AwayWon], Table2[GameIsOver],1,Table2[HomeTeam],$A42, Table2[AwayTeam], K$36, Table2[ActualResult], "OT") + SUMIFS(Table2[HomeWon_], Table2[GameIsOver],1,Table2[AwayTeam],$A42, Table2[HomeTeam], K$36, Table2[ActualResult], "SO") + SUMIFS(Table2[AwayWon], Table2[GameIsOver],1,Table2[HomeTeam],$A42, Table2[AwayTeam], K$36, Table2[ActualResult], "SO")) / (2*(SUMIFS(Table2[AwayWon], Table2[GameIsOver],1,Table2[AwayTeam],$A42, Table2[HomeTeam], K$36) + SUMIFS(Table2[HomeWon_], Table2[GameIsOver],1,Table2[HomeTeam],$A42, Table2[AwayTeam], K$36) + SUMIFS(Table2[HomeWon_], Table2[GameIsOver],1,Table2[AwayTeam],$A42, Table2[HomeTeam], K$36, Table2[ActualResult], "REG") + SUMIFS(Table2[AwayWon], Table2[GameIsOver],1,Table2[HomeTeam],$A42, Table2[AwayTeam], K$36, Table2[ActualResult], "REG") + SUMIFS(Table2[HomeWon_], Table2[GameIsOver],1,Table2[AwayTeam],$A42, Table2[HomeTeam], K$36, Table2[ActualResult], "OT") + SUMIFS(Table2[AwayWon], Table2[GameIsOver],1,Table2[HomeTeam],$A42, Table2[AwayTeam], K$36, Table2[ActualResult], "OT") + SUMIFS(Table2[HomeWon_], Table2[GameIsOver],1,Table2[AwayTeam],$A42, Table2[HomeTeam], K$36, Table2[ActualResult], "SO") + SUMIFS(Table2[AwayWon], Table2[GameIsOver],1,Table2[HomeTeam],$A42, Table2[AwayTeam], K$36, Table2[ActualResult], "SO"))), "")</f>
        <v/>
      </c>
      <c r="L42" t="str">
        <f>IFERROR(((2*SUMIFS(Table2[AwayWon], Table2[GameIsOver],1,Table2[AwayTeam],$A42, Table2[HomeTeam], L$36) + SUMIFS(Table2[HomeWon_], Table2[GameIsOver],1,Table2[HomeTeam],$A42, Table2[AwayTeam], L$36)) + SUMIFS(Table2[AwayWon], Table2[GameIsOver],1,Table2[HomeTeam],$A42, Table2[AwayTeam], L$36, Table2[ActualResult], "REG") + SUMIFS(Table2[HomeWon_], Table2[GameIsOver],1,Table2[AwayTeam],$A42, Table2[HomeTeam], L$36, Table2[ActualResult], "OT") + SUMIFS(Table2[AwayWon], Table2[GameIsOver],1,Table2[HomeTeam],$A42, Table2[AwayTeam], L$36, Table2[ActualResult], "OT") + SUMIFS(Table2[HomeWon_], Table2[GameIsOver],1,Table2[AwayTeam],$A42, Table2[HomeTeam], L$36, Table2[ActualResult], "SO") + SUMIFS(Table2[AwayWon], Table2[GameIsOver],1,Table2[HomeTeam],$A42, Table2[AwayTeam], L$36, Table2[ActualResult], "SO")) / (2*(SUMIFS(Table2[AwayWon], Table2[GameIsOver],1,Table2[AwayTeam],$A42, Table2[HomeTeam], L$36) + SUMIFS(Table2[HomeWon_], Table2[GameIsOver],1,Table2[HomeTeam],$A42, Table2[AwayTeam], L$36) + SUMIFS(Table2[HomeWon_], Table2[GameIsOver],1,Table2[AwayTeam],$A42, Table2[HomeTeam], L$36, Table2[ActualResult], "REG") + SUMIFS(Table2[AwayWon], Table2[GameIsOver],1,Table2[HomeTeam],$A42, Table2[AwayTeam], L$36, Table2[ActualResult], "REG") + SUMIFS(Table2[HomeWon_], Table2[GameIsOver],1,Table2[AwayTeam],$A42, Table2[HomeTeam], L$36, Table2[ActualResult], "OT") + SUMIFS(Table2[AwayWon], Table2[GameIsOver],1,Table2[HomeTeam],$A42, Table2[AwayTeam], L$36, Table2[ActualResult], "OT") + SUMIFS(Table2[HomeWon_], Table2[GameIsOver],1,Table2[AwayTeam],$A42, Table2[HomeTeam], L$36, Table2[ActualResult], "SO") + SUMIFS(Table2[AwayWon], Table2[GameIsOver],1,Table2[HomeTeam],$A42, Table2[AwayTeam], L$36, Table2[ActualResult], "SO"))), "")</f>
        <v/>
      </c>
      <c r="M42" t="str">
        <f>IFERROR(((2*SUMIFS(Table2[AwayWon], Table2[GameIsOver],1,Table2[AwayTeam],$A42, Table2[HomeTeam], M$36) + SUMIFS(Table2[HomeWon_], Table2[GameIsOver],1,Table2[HomeTeam],$A42, Table2[AwayTeam], M$36)) + SUMIFS(Table2[AwayWon], Table2[GameIsOver],1,Table2[HomeTeam],$A42, Table2[AwayTeam], M$36, Table2[ActualResult], "REG") + SUMIFS(Table2[HomeWon_], Table2[GameIsOver],1,Table2[AwayTeam],$A42, Table2[HomeTeam], M$36, Table2[ActualResult], "OT") + SUMIFS(Table2[AwayWon], Table2[GameIsOver],1,Table2[HomeTeam],$A42, Table2[AwayTeam], M$36, Table2[ActualResult], "OT") + SUMIFS(Table2[HomeWon_], Table2[GameIsOver],1,Table2[AwayTeam],$A42, Table2[HomeTeam], M$36, Table2[ActualResult], "SO") + SUMIFS(Table2[AwayWon], Table2[GameIsOver],1,Table2[HomeTeam],$A42, Table2[AwayTeam], M$36, Table2[ActualResult], "SO")) / (2*(SUMIFS(Table2[AwayWon], Table2[GameIsOver],1,Table2[AwayTeam],$A42, Table2[HomeTeam], M$36) + SUMIFS(Table2[HomeWon_], Table2[GameIsOver],1,Table2[HomeTeam],$A42, Table2[AwayTeam], M$36) + SUMIFS(Table2[HomeWon_], Table2[GameIsOver],1,Table2[AwayTeam],$A42, Table2[HomeTeam], M$36, Table2[ActualResult], "REG") + SUMIFS(Table2[AwayWon], Table2[GameIsOver],1,Table2[HomeTeam],$A42, Table2[AwayTeam], M$36, Table2[ActualResult], "REG") + SUMIFS(Table2[HomeWon_], Table2[GameIsOver],1,Table2[AwayTeam],$A42, Table2[HomeTeam], M$36, Table2[ActualResult], "OT") + SUMIFS(Table2[AwayWon], Table2[GameIsOver],1,Table2[HomeTeam],$A42, Table2[AwayTeam], M$36, Table2[ActualResult], "OT") + SUMIFS(Table2[HomeWon_], Table2[GameIsOver],1,Table2[AwayTeam],$A42, Table2[HomeTeam], M$36, Table2[ActualResult], "SO") + SUMIFS(Table2[AwayWon], Table2[GameIsOver],1,Table2[HomeTeam],$A42, Table2[AwayTeam], M$36, Table2[ActualResult], "SO"))), "")</f>
        <v/>
      </c>
      <c r="N42" t="str">
        <f>IFERROR(((2*SUMIFS(Table2[AwayWon], Table2[GameIsOver],1,Table2[AwayTeam],$A42, Table2[HomeTeam], N$36) + SUMIFS(Table2[HomeWon_], Table2[GameIsOver],1,Table2[HomeTeam],$A42, Table2[AwayTeam], N$36)) + SUMIFS(Table2[AwayWon], Table2[GameIsOver],1,Table2[HomeTeam],$A42, Table2[AwayTeam], N$36, Table2[ActualResult], "REG") + SUMIFS(Table2[HomeWon_], Table2[GameIsOver],1,Table2[AwayTeam],$A42, Table2[HomeTeam], N$36, Table2[ActualResult], "OT") + SUMIFS(Table2[AwayWon], Table2[GameIsOver],1,Table2[HomeTeam],$A42, Table2[AwayTeam], N$36, Table2[ActualResult], "OT") + SUMIFS(Table2[HomeWon_], Table2[GameIsOver],1,Table2[AwayTeam],$A42, Table2[HomeTeam], N$36, Table2[ActualResult], "SO") + SUMIFS(Table2[AwayWon], Table2[GameIsOver],1,Table2[HomeTeam],$A42, Table2[AwayTeam], N$36, Table2[ActualResult], "SO")) / (2*(SUMIFS(Table2[AwayWon], Table2[GameIsOver],1,Table2[AwayTeam],$A42, Table2[HomeTeam], N$36) + SUMIFS(Table2[HomeWon_], Table2[GameIsOver],1,Table2[HomeTeam],$A42, Table2[AwayTeam], N$36) + SUMIFS(Table2[HomeWon_], Table2[GameIsOver],1,Table2[AwayTeam],$A42, Table2[HomeTeam], N$36, Table2[ActualResult], "REG") + SUMIFS(Table2[AwayWon], Table2[GameIsOver],1,Table2[HomeTeam],$A42, Table2[AwayTeam], N$36, Table2[ActualResult], "REG") + SUMIFS(Table2[HomeWon_], Table2[GameIsOver],1,Table2[AwayTeam],$A42, Table2[HomeTeam], N$36, Table2[ActualResult], "OT") + SUMIFS(Table2[AwayWon], Table2[GameIsOver],1,Table2[HomeTeam],$A42, Table2[AwayTeam], N$36, Table2[ActualResult], "OT") + SUMIFS(Table2[HomeWon_], Table2[GameIsOver],1,Table2[AwayTeam],$A42, Table2[HomeTeam], N$36, Table2[ActualResult], "SO") + SUMIFS(Table2[AwayWon], Table2[GameIsOver],1,Table2[HomeTeam],$A42, Table2[AwayTeam], N$36, Table2[ActualResult], "SO"))), "")</f>
        <v/>
      </c>
      <c r="O42" t="str">
        <f>IFERROR(((2*SUMIFS(Table2[AwayWon], Table2[GameIsOver],1,Table2[AwayTeam],$A42, Table2[HomeTeam], O$36) + SUMIFS(Table2[HomeWon_], Table2[GameIsOver],1,Table2[HomeTeam],$A42, Table2[AwayTeam], O$36)) + SUMIFS(Table2[AwayWon], Table2[GameIsOver],1,Table2[HomeTeam],$A42, Table2[AwayTeam], O$36, Table2[ActualResult], "REG") + SUMIFS(Table2[HomeWon_], Table2[GameIsOver],1,Table2[AwayTeam],$A42, Table2[HomeTeam], O$36, Table2[ActualResult], "OT") + SUMIFS(Table2[AwayWon], Table2[GameIsOver],1,Table2[HomeTeam],$A42, Table2[AwayTeam], O$36, Table2[ActualResult], "OT") + SUMIFS(Table2[HomeWon_], Table2[GameIsOver],1,Table2[AwayTeam],$A42, Table2[HomeTeam], O$36, Table2[ActualResult], "SO") + SUMIFS(Table2[AwayWon], Table2[GameIsOver],1,Table2[HomeTeam],$A42, Table2[AwayTeam], O$36, Table2[ActualResult], "SO")) / (2*(SUMIFS(Table2[AwayWon], Table2[GameIsOver],1,Table2[AwayTeam],$A42, Table2[HomeTeam], O$36) + SUMIFS(Table2[HomeWon_], Table2[GameIsOver],1,Table2[HomeTeam],$A42, Table2[AwayTeam], O$36) + SUMIFS(Table2[HomeWon_], Table2[GameIsOver],1,Table2[AwayTeam],$A42, Table2[HomeTeam], O$36, Table2[ActualResult], "REG") + SUMIFS(Table2[AwayWon], Table2[GameIsOver],1,Table2[HomeTeam],$A42, Table2[AwayTeam], O$36, Table2[ActualResult], "REG") + SUMIFS(Table2[HomeWon_], Table2[GameIsOver],1,Table2[AwayTeam],$A42, Table2[HomeTeam], O$36, Table2[ActualResult], "OT") + SUMIFS(Table2[AwayWon], Table2[GameIsOver],1,Table2[HomeTeam],$A42, Table2[AwayTeam], O$36, Table2[ActualResult], "OT") + SUMIFS(Table2[HomeWon_], Table2[GameIsOver],1,Table2[AwayTeam],$A42, Table2[HomeTeam], O$36, Table2[ActualResult], "SO") + SUMIFS(Table2[AwayWon], Table2[GameIsOver],1,Table2[HomeTeam],$A42, Table2[AwayTeam], O$36, Table2[ActualResult], "SO"))), "")</f>
        <v/>
      </c>
      <c r="P42">
        <f>IFERROR(((2*SUMIFS(Table2[AwayWon], Table2[GameIsOver],1,Table2[AwayTeam],$A42, Table2[HomeTeam], P$36) + SUMIFS(Table2[HomeWon_], Table2[GameIsOver],1,Table2[HomeTeam],$A42, Table2[AwayTeam], P$36)) + SUMIFS(Table2[AwayWon], Table2[GameIsOver],1,Table2[HomeTeam],$A42, Table2[AwayTeam], P$36, Table2[ActualResult], "REG") + SUMIFS(Table2[HomeWon_], Table2[GameIsOver],1,Table2[AwayTeam],$A42, Table2[HomeTeam], P$36, Table2[ActualResult], "OT") + SUMIFS(Table2[AwayWon], Table2[GameIsOver],1,Table2[HomeTeam],$A42, Table2[AwayTeam], P$36, Table2[ActualResult], "OT") + SUMIFS(Table2[HomeWon_], Table2[GameIsOver],1,Table2[AwayTeam],$A42, Table2[HomeTeam], P$36, Table2[ActualResult], "SO") + SUMIFS(Table2[AwayWon], Table2[GameIsOver],1,Table2[HomeTeam],$A42, Table2[AwayTeam], P$36, Table2[ActualResult], "SO")) / (2*(SUMIFS(Table2[AwayWon], Table2[GameIsOver],1,Table2[AwayTeam],$A42, Table2[HomeTeam], P$36) + SUMIFS(Table2[HomeWon_], Table2[GameIsOver],1,Table2[HomeTeam],$A42, Table2[AwayTeam], P$36) + SUMIFS(Table2[HomeWon_], Table2[GameIsOver],1,Table2[AwayTeam],$A42, Table2[HomeTeam], P$36, Table2[ActualResult], "REG") + SUMIFS(Table2[AwayWon], Table2[GameIsOver],1,Table2[HomeTeam],$A42, Table2[AwayTeam], P$36, Table2[ActualResult], "REG") + SUMIFS(Table2[HomeWon_], Table2[GameIsOver],1,Table2[AwayTeam],$A42, Table2[HomeTeam], P$36, Table2[ActualResult], "OT") + SUMIFS(Table2[AwayWon], Table2[GameIsOver],1,Table2[HomeTeam],$A42, Table2[AwayTeam], P$36, Table2[ActualResult], "OT") + SUMIFS(Table2[HomeWon_], Table2[GameIsOver],1,Table2[AwayTeam],$A42, Table2[HomeTeam], P$36, Table2[ActualResult], "SO") + SUMIFS(Table2[AwayWon], Table2[GameIsOver],1,Table2[HomeTeam],$A42, Table2[AwayTeam], P$36, Table2[ActualResult], "SO"))), "")</f>
        <v>0</v>
      </c>
      <c r="Q42" s="57" t="str">
        <f>IFERROR(((2*SUMIFS(Table2[AwayWon], Table2[GameIsOver],1,Table2[AwayTeam],$A42, Table2[HomeTeam], Q$36) + SUMIFS(Table2[HomeWon_], Table2[GameIsOver],1,Table2[HomeTeam],$A42, Table2[AwayTeam], Q$36)) + SUMIFS(Table2[AwayWon], Table2[GameIsOver],1,Table2[HomeTeam],$A42, Table2[AwayTeam], Q$36, Table2[ActualResult], "REG") + SUMIFS(Table2[HomeWon_], Table2[GameIsOver],1,Table2[AwayTeam],$A42, Table2[HomeTeam], Q$36, Table2[ActualResult], "OT") + SUMIFS(Table2[AwayWon], Table2[GameIsOver],1,Table2[HomeTeam],$A42, Table2[AwayTeam], Q$36, Table2[ActualResult], "OT") + SUMIFS(Table2[HomeWon_], Table2[GameIsOver],1,Table2[AwayTeam],$A42, Table2[HomeTeam], Q$36, Table2[ActualResult], "SO") + SUMIFS(Table2[AwayWon], Table2[GameIsOver],1,Table2[HomeTeam],$A42, Table2[AwayTeam], Q$36, Table2[ActualResult], "SO")) / (2*(SUMIFS(Table2[AwayWon], Table2[GameIsOver],1,Table2[AwayTeam],$A42, Table2[HomeTeam], Q$36) + SUMIFS(Table2[HomeWon_], Table2[GameIsOver],1,Table2[HomeTeam],$A42, Table2[AwayTeam], Q$36) + SUMIFS(Table2[HomeWon_], Table2[GameIsOver],1,Table2[AwayTeam],$A42, Table2[HomeTeam], Q$36, Table2[ActualResult], "REG") + SUMIFS(Table2[AwayWon], Table2[GameIsOver],1,Table2[HomeTeam],$A42, Table2[AwayTeam], Q$36, Table2[ActualResult], "REG") + SUMIFS(Table2[HomeWon_], Table2[GameIsOver],1,Table2[AwayTeam],$A42, Table2[HomeTeam], Q$36, Table2[ActualResult], "OT") + SUMIFS(Table2[AwayWon], Table2[GameIsOver],1,Table2[HomeTeam],$A42, Table2[AwayTeam], Q$36, Table2[ActualResult], "OT") + SUMIFS(Table2[HomeWon_], Table2[GameIsOver],1,Table2[AwayTeam],$A42, Table2[HomeTeam], Q$36, Table2[ActualResult], "SO") + SUMIFS(Table2[AwayWon], Table2[GameIsOver],1,Table2[HomeTeam],$A42, Table2[AwayTeam], Q$36, Table2[ActualResult], "SO"))), "")</f>
        <v/>
      </c>
      <c r="R42">
        <f>IFERROR(((2*SUMIFS(Table2[AwayWon], Table2[GameIsOver],1,Table2[AwayTeam],$A42, Table2[HomeTeam], R$36) + SUMIFS(Table2[HomeWon_], Table2[GameIsOver],1,Table2[HomeTeam],$A42, Table2[AwayTeam], R$36)) + SUMIFS(Table2[AwayWon], Table2[GameIsOver],1,Table2[HomeTeam],$A42, Table2[AwayTeam], R$36, Table2[ActualResult], "REG") + SUMIFS(Table2[HomeWon_], Table2[GameIsOver],1,Table2[AwayTeam],$A42, Table2[HomeTeam], R$36, Table2[ActualResult], "OT") + SUMIFS(Table2[AwayWon], Table2[GameIsOver],1,Table2[HomeTeam],$A42, Table2[AwayTeam], R$36, Table2[ActualResult], "OT") + SUMIFS(Table2[HomeWon_], Table2[GameIsOver],1,Table2[AwayTeam],$A42, Table2[HomeTeam], R$36, Table2[ActualResult], "SO") + SUMIFS(Table2[AwayWon], Table2[GameIsOver],1,Table2[HomeTeam],$A42, Table2[AwayTeam], R$36, Table2[ActualResult], "SO")) / (2*(SUMIFS(Table2[AwayWon], Table2[GameIsOver],1,Table2[AwayTeam],$A42, Table2[HomeTeam], R$36) + SUMIFS(Table2[HomeWon_], Table2[GameIsOver],1,Table2[HomeTeam],$A42, Table2[AwayTeam], R$36) + SUMIFS(Table2[HomeWon_], Table2[GameIsOver],1,Table2[AwayTeam],$A42, Table2[HomeTeam], R$36, Table2[ActualResult], "REG") + SUMIFS(Table2[AwayWon], Table2[GameIsOver],1,Table2[HomeTeam],$A42, Table2[AwayTeam], R$36, Table2[ActualResult], "REG") + SUMIFS(Table2[HomeWon_], Table2[GameIsOver],1,Table2[AwayTeam],$A42, Table2[HomeTeam], R$36, Table2[ActualResult], "OT") + SUMIFS(Table2[AwayWon], Table2[GameIsOver],1,Table2[HomeTeam],$A42, Table2[AwayTeam], R$36, Table2[ActualResult], "OT") + SUMIFS(Table2[HomeWon_], Table2[GameIsOver],1,Table2[AwayTeam],$A42, Table2[HomeTeam], R$36, Table2[ActualResult], "SO") + SUMIFS(Table2[AwayWon], Table2[GameIsOver],1,Table2[HomeTeam],$A42, Table2[AwayTeam], R$36, Table2[ActualResult], "SO"))), "")</f>
        <v>0.5</v>
      </c>
      <c r="S42" t="str">
        <f>IFERROR(((2*SUMIFS(Table2[AwayWon], Table2[GameIsOver],1,Table2[AwayTeam],$A42, Table2[HomeTeam], S$36) + SUMIFS(Table2[HomeWon_], Table2[GameIsOver],1,Table2[HomeTeam],$A42, Table2[AwayTeam], S$36)) + SUMIFS(Table2[AwayWon], Table2[GameIsOver],1,Table2[HomeTeam],$A42, Table2[AwayTeam], S$36, Table2[ActualResult], "REG") + SUMIFS(Table2[HomeWon_], Table2[GameIsOver],1,Table2[AwayTeam],$A42, Table2[HomeTeam], S$36, Table2[ActualResult], "OT") + SUMIFS(Table2[AwayWon], Table2[GameIsOver],1,Table2[HomeTeam],$A42, Table2[AwayTeam], S$36, Table2[ActualResult], "OT") + SUMIFS(Table2[HomeWon_], Table2[GameIsOver],1,Table2[AwayTeam],$A42, Table2[HomeTeam], S$36, Table2[ActualResult], "SO") + SUMIFS(Table2[AwayWon], Table2[GameIsOver],1,Table2[HomeTeam],$A42, Table2[AwayTeam], S$36, Table2[ActualResult], "SO")) / (2*(SUMIFS(Table2[AwayWon], Table2[GameIsOver],1,Table2[AwayTeam],$A42, Table2[HomeTeam], S$36) + SUMIFS(Table2[HomeWon_], Table2[GameIsOver],1,Table2[HomeTeam],$A42, Table2[AwayTeam], S$36) + SUMIFS(Table2[HomeWon_], Table2[GameIsOver],1,Table2[AwayTeam],$A42, Table2[HomeTeam], S$36, Table2[ActualResult], "REG") + SUMIFS(Table2[AwayWon], Table2[GameIsOver],1,Table2[HomeTeam],$A42, Table2[AwayTeam], S$36, Table2[ActualResult], "REG") + SUMIFS(Table2[HomeWon_], Table2[GameIsOver],1,Table2[AwayTeam],$A42, Table2[HomeTeam], S$36, Table2[ActualResult], "OT") + SUMIFS(Table2[AwayWon], Table2[GameIsOver],1,Table2[HomeTeam],$A42, Table2[AwayTeam], S$36, Table2[ActualResult], "OT") + SUMIFS(Table2[HomeWon_], Table2[GameIsOver],1,Table2[AwayTeam],$A42, Table2[HomeTeam], S$36, Table2[ActualResult], "SO") + SUMIFS(Table2[AwayWon], Table2[GameIsOver],1,Table2[HomeTeam],$A42, Table2[AwayTeam], S$36, Table2[ActualResult], "SO"))), "")</f>
        <v/>
      </c>
      <c r="T42" t="str">
        <f>IFERROR(((2*SUMIFS(Table2[AwayWon], Table2[GameIsOver],1,Table2[AwayTeam],$A42, Table2[HomeTeam], T$36) + SUMIFS(Table2[HomeWon_], Table2[GameIsOver],1,Table2[HomeTeam],$A42, Table2[AwayTeam], T$36)) + SUMIFS(Table2[AwayWon], Table2[GameIsOver],1,Table2[HomeTeam],$A42, Table2[AwayTeam], T$36, Table2[ActualResult], "REG") + SUMIFS(Table2[HomeWon_], Table2[GameIsOver],1,Table2[AwayTeam],$A42, Table2[HomeTeam], T$36, Table2[ActualResult], "OT") + SUMIFS(Table2[AwayWon], Table2[GameIsOver],1,Table2[HomeTeam],$A42, Table2[AwayTeam], T$36, Table2[ActualResult], "OT") + SUMIFS(Table2[HomeWon_], Table2[GameIsOver],1,Table2[AwayTeam],$A42, Table2[HomeTeam], T$36, Table2[ActualResult], "SO") + SUMIFS(Table2[AwayWon], Table2[GameIsOver],1,Table2[HomeTeam],$A42, Table2[AwayTeam], T$36, Table2[ActualResult], "SO")) / (2*(SUMIFS(Table2[AwayWon], Table2[GameIsOver],1,Table2[AwayTeam],$A42, Table2[HomeTeam], T$36) + SUMIFS(Table2[HomeWon_], Table2[GameIsOver],1,Table2[HomeTeam],$A42, Table2[AwayTeam], T$36) + SUMIFS(Table2[HomeWon_], Table2[GameIsOver],1,Table2[AwayTeam],$A42, Table2[HomeTeam], T$36, Table2[ActualResult], "REG") + SUMIFS(Table2[AwayWon], Table2[GameIsOver],1,Table2[HomeTeam],$A42, Table2[AwayTeam], T$36, Table2[ActualResult], "REG") + SUMIFS(Table2[HomeWon_], Table2[GameIsOver],1,Table2[AwayTeam],$A42, Table2[HomeTeam], T$36, Table2[ActualResult], "OT") + SUMIFS(Table2[AwayWon], Table2[GameIsOver],1,Table2[HomeTeam],$A42, Table2[AwayTeam], T$36, Table2[ActualResult], "OT") + SUMIFS(Table2[HomeWon_], Table2[GameIsOver],1,Table2[AwayTeam],$A42, Table2[HomeTeam], T$36, Table2[ActualResult], "SO") + SUMIFS(Table2[AwayWon], Table2[GameIsOver],1,Table2[HomeTeam],$A42, Table2[AwayTeam], T$36, Table2[ActualResult], "SO"))), "")</f>
        <v/>
      </c>
      <c r="U42">
        <f>IFERROR(((2*SUMIFS(Table2[AwayWon], Table2[GameIsOver],1,Table2[AwayTeam],$A42, Table2[HomeTeam], U$36) + SUMIFS(Table2[HomeWon_], Table2[GameIsOver],1,Table2[HomeTeam],$A42, Table2[AwayTeam], U$36)) + SUMIFS(Table2[AwayWon], Table2[GameIsOver],1,Table2[HomeTeam],$A42, Table2[AwayTeam], U$36, Table2[ActualResult], "REG") + SUMIFS(Table2[HomeWon_], Table2[GameIsOver],1,Table2[AwayTeam],$A42, Table2[HomeTeam], U$36, Table2[ActualResult], "OT") + SUMIFS(Table2[AwayWon], Table2[GameIsOver],1,Table2[HomeTeam],$A42, Table2[AwayTeam], U$36, Table2[ActualResult], "OT") + SUMIFS(Table2[HomeWon_], Table2[GameIsOver],1,Table2[AwayTeam],$A42, Table2[HomeTeam], U$36, Table2[ActualResult], "SO") + SUMIFS(Table2[AwayWon], Table2[GameIsOver],1,Table2[HomeTeam],$A42, Table2[AwayTeam], U$36, Table2[ActualResult], "SO")) / (2*(SUMIFS(Table2[AwayWon], Table2[GameIsOver],1,Table2[AwayTeam],$A42, Table2[HomeTeam], U$36) + SUMIFS(Table2[HomeWon_], Table2[GameIsOver],1,Table2[HomeTeam],$A42, Table2[AwayTeam], U$36) + SUMIFS(Table2[HomeWon_], Table2[GameIsOver],1,Table2[AwayTeam],$A42, Table2[HomeTeam], U$36, Table2[ActualResult], "REG") + SUMIFS(Table2[AwayWon], Table2[GameIsOver],1,Table2[HomeTeam],$A42, Table2[AwayTeam], U$36, Table2[ActualResult], "REG") + SUMIFS(Table2[HomeWon_], Table2[GameIsOver],1,Table2[AwayTeam],$A42, Table2[HomeTeam], U$36, Table2[ActualResult], "OT") + SUMIFS(Table2[AwayWon], Table2[GameIsOver],1,Table2[HomeTeam],$A42, Table2[AwayTeam], U$36, Table2[ActualResult], "OT") + SUMIFS(Table2[HomeWon_], Table2[GameIsOver],1,Table2[AwayTeam],$A42, Table2[HomeTeam], U$36, Table2[ActualResult], "SO") + SUMIFS(Table2[AwayWon], Table2[GameIsOver],1,Table2[HomeTeam],$A42, Table2[AwayTeam], U$36, Table2[ActualResult], "SO"))), "")</f>
        <v>0</v>
      </c>
      <c r="V42" t="str">
        <f>IFERROR(((2*SUMIFS(Table2[AwayWon], Table2[GameIsOver],1,Table2[AwayTeam],$A42, Table2[HomeTeam], V$36) + SUMIFS(Table2[HomeWon_], Table2[GameIsOver],1,Table2[HomeTeam],$A42, Table2[AwayTeam], V$36)) + SUMIFS(Table2[AwayWon], Table2[GameIsOver],1,Table2[HomeTeam],$A42, Table2[AwayTeam], V$36, Table2[ActualResult], "REG") + SUMIFS(Table2[HomeWon_], Table2[GameIsOver],1,Table2[AwayTeam],$A42, Table2[HomeTeam], V$36, Table2[ActualResult], "OT") + SUMIFS(Table2[AwayWon], Table2[GameIsOver],1,Table2[HomeTeam],$A42, Table2[AwayTeam], V$36, Table2[ActualResult], "OT") + SUMIFS(Table2[HomeWon_], Table2[GameIsOver],1,Table2[AwayTeam],$A42, Table2[HomeTeam], V$36, Table2[ActualResult], "SO") + SUMIFS(Table2[AwayWon], Table2[GameIsOver],1,Table2[HomeTeam],$A42, Table2[AwayTeam], V$36, Table2[ActualResult], "SO")) / (2*(SUMIFS(Table2[AwayWon], Table2[GameIsOver],1,Table2[AwayTeam],$A42, Table2[HomeTeam], V$36) + SUMIFS(Table2[HomeWon_], Table2[GameIsOver],1,Table2[HomeTeam],$A42, Table2[AwayTeam], V$36) + SUMIFS(Table2[HomeWon_], Table2[GameIsOver],1,Table2[AwayTeam],$A42, Table2[HomeTeam], V$36, Table2[ActualResult], "REG") + SUMIFS(Table2[AwayWon], Table2[GameIsOver],1,Table2[HomeTeam],$A42, Table2[AwayTeam], V$36, Table2[ActualResult], "REG") + SUMIFS(Table2[HomeWon_], Table2[GameIsOver],1,Table2[AwayTeam],$A42, Table2[HomeTeam], V$36, Table2[ActualResult], "OT") + SUMIFS(Table2[AwayWon], Table2[GameIsOver],1,Table2[HomeTeam],$A42, Table2[AwayTeam], V$36, Table2[ActualResult], "OT") + SUMIFS(Table2[HomeWon_], Table2[GameIsOver],1,Table2[AwayTeam],$A42, Table2[HomeTeam], V$36, Table2[ActualResult], "SO") + SUMIFS(Table2[AwayWon], Table2[GameIsOver],1,Table2[HomeTeam],$A42, Table2[AwayTeam], V$36, Table2[ActualResult], "SO"))), "")</f>
        <v/>
      </c>
      <c r="W42" t="str">
        <f>IFERROR(((2*SUMIFS(Table2[AwayWon], Table2[GameIsOver],1,Table2[AwayTeam],$A42, Table2[HomeTeam], W$36) + SUMIFS(Table2[HomeWon_], Table2[GameIsOver],1,Table2[HomeTeam],$A42, Table2[AwayTeam], W$36)) + SUMIFS(Table2[AwayWon], Table2[GameIsOver],1,Table2[HomeTeam],$A42, Table2[AwayTeam], W$36, Table2[ActualResult], "REG") + SUMIFS(Table2[HomeWon_], Table2[GameIsOver],1,Table2[AwayTeam],$A42, Table2[HomeTeam], W$36, Table2[ActualResult], "OT") + SUMIFS(Table2[AwayWon], Table2[GameIsOver],1,Table2[HomeTeam],$A42, Table2[AwayTeam], W$36, Table2[ActualResult], "OT") + SUMIFS(Table2[HomeWon_], Table2[GameIsOver],1,Table2[AwayTeam],$A42, Table2[HomeTeam], W$36, Table2[ActualResult], "SO") + SUMIFS(Table2[AwayWon], Table2[GameIsOver],1,Table2[HomeTeam],$A42, Table2[AwayTeam], W$36, Table2[ActualResult], "SO")) / (2*(SUMIFS(Table2[AwayWon], Table2[GameIsOver],1,Table2[AwayTeam],$A42, Table2[HomeTeam], W$36) + SUMIFS(Table2[HomeWon_], Table2[GameIsOver],1,Table2[HomeTeam],$A42, Table2[AwayTeam], W$36) + SUMIFS(Table2[HomeWon_], Table2[GameIsOver],1,Table2[AwayTeam],$A42, Table2[HomeTeam], W$36, Table2[ActualResult], "REG") + SUMIFS(Table2[AwayWon], Table2[GameIsOver],1,Table2[HomeTeam],$A42, Table2[AwayTeam], W$36, Table2[ActualResult], "REG") + SUMIFS(Table2[HomeWon_], Table2[GameIsOver],1,Table2[AwayTeam],$A42, Table2[HomeTeam], W$36, Table2[ActualResult], "OT") + SUMIFS(Table2[AwayWon], Table2[GameIsOver],1,Table2[HomeTeam],$A42, Table2[AwayTeam], W$36, Table2[ActualResult], "OT") + SUMIFS(Table2[HomeWon_], Table2[GameIsOver],1,Table2[AwayTeam],$A42, Table2[HomeTeam], W$36, Table2[ActualResult], "SO") + SUMIFS(Table2[AwayWon], Table2[GameIsOver],1,Table2[HomeTeam],$A42, Table2[AwayTeam], W$36, Table2[ActualResult], "SO"))), "")</f>
        <v/>
      </c>
      <c r="X42">
        <f>IFERROR(((2*SUMIFS(Table2[AwayWon], Table2[GameIsOver],1,Table2[AwayTeam],$A42, Table2[HomeTeam], X$36) + SUMIFS(Table2[HomeWon_], Table2[GameIsOver],1,Table2[HomeTeam],$A42, Table2[AwayTeam], X$36)) + SUMIFS(Table2[AwayWon], Table2[GameIsOver],1,Table2[HomeTeam],$A42, Table2[AwayTeam], X$36, Table2[ActualResult], "REG") + SUMIFS(Table2[HomeWon_], Table2[GameIsOver],1,Table2[AwayTeam],$A42, Table2[HomeTeam], X$36, Table2[ActualResult], "OT") + SUMIFS(Table2[AwayWon], Table2[GameIsOver],1,Table2[HomeTeam],$A42, Table2[AwayTeam], X$36, Table2[ActualResult], "OT") + SUMIFS(Table2[HomeWon_], Table2[GameIsOver],1,Table2[AwayTeam],$A42, Table2[HomeTeam], X$36, Table2[ActualResult], "SO") + SUMIFS(Table2[AwayWon], Table2[GameIsOver],1,Table2[HomeTeam],$A42, Table2[AwayTeam], X$36, Table2[ActualResult], "SO")) / (2*(SUMIFS(Table2[AwayWon], Table2[GameIsOver],1,Table2[AwayTeam],$A42, Table2[HomeTeam], X$36) + SUMIFS(Table2[HomeWon_], Table2[GameIsOver],1,Table2[HomeTeam],$A42, Table2[AwayTeam], X$36) + SUMIFS(Table2[HomeWon_], Table2[GameIsOver],1,Table2[AwayTeam],$A42, Table2[HomeTeam], X$36, Table2[ActualResult], "REG") + SUMIFS(Table2[AwayWon], Table2[GameIsOver],1,Table2[HomeTeam],$A42, Table2[AwayTeam], X$36, Table2[ActualResult], "REG") + SUMIFS(Table2[HomeWon_], Table2[GameIsOver],1,Table2[AwayTeam],$A42, Table2[HomeTeam], X$36, Table2[ActualResult], "OT") + SUMIFS(Table2[AwayWon], Table2[GameIsOver],1,Table2[HomeTeam],$A42, Table2[AwayTeam], X$36, Table2[ActualResult], "OT") + SUMIFS(Table2[HomeWon_], Table2[GameIsOver],1,Table2[AwayTeam],$A42, Table2[HomeTeam], X$36, Table2[ActualResult], "SO") + SUMIFS(Table2[AwayWon], Table2[GameIsOver],1,Table2[HomeTeam],$A42, Table2[AwayTeam], X$36, Table2[ActualResult], "SO"))), "")</f>
        <v>0.5</v>
      </c>
      <c r="Y42" s="57" t="str">
        <f>IFERROR(((2*SUMIFS(Table2[AwayWon], Table2[GameIsOver],1,Table2[AwayTeam],$A42, Table2[HomeTeam], Y$36) + SUMIFS(Table2[HomeWon_], Table2[GameIsOver],1,Table2[HomeTeam],$A42, Table2[AwayTeam], Y$36)) + SUMIFS(Table2[AwayWon], Table2[GameIsOver],1,Table2[HomeTeam],$A42, Table2[AwayTeam], Y$36, Table2[ActualResult], "REG") + SUMIFS(Table2[HomeWon_], Table2[GameIsOver],1,Table2[AwayTeam],$A42, Table2[HomeTeam], Y$36, Table2[ActualResult], "OT") + SUMIFS(Table2[AwayWon], Table2[GameIsOver],1,Table2[HomeTeam],$A42, Table2[AwayTeam], Y$36, Table2[ActualResult], "OT") + SUMIFS(Table2[HomeWon_], Table2[GameIsOver],1,Table2[AwayTeam],$A42, Table2[HomeTeam], Y$36, Table2[ActualResult], "SO") + SUMIFS(Table2[AwayWon], Table2[GameIsOver],1,Table2[HomeTeam],$A42, Table2[AwayTeam], Y$36, Table2[ActualResult], "SO")) / (2*(SUMIFS(Table2[AwayWon], Table2[GameIsOver],1,Table2[AwayTeam],$A42, Table2[HomeTeam], Y$36) + SUMIFS(Table2[HomeWon_], Table2[GameIsOver],1,Table2[HomeTeam],$A42, Table2[AwayTeam], Y$36) + SUMIFS(Table2[HomeWon_], Table2[GameIsOver],1,Table2[AwayTeam],$A42, Table2[HomeTeam], Y$36, Table2[ActualResult], "REG") + SUMIFS(Table2[AwayWon], Table2[GameIsOver],1,Table2[HomeTeam],$A42, Table2[AwayTeam], Y$36, Table2[ActualResult], "REG") + SUMIFS(Table2[HomeWon_], Table2[GameIsOver],1,Table2[AwayTeam],$A42, Table2[HomeTeam], Y$36, Table2[ActualResult], "OT") + SUMIFS(Table2[AwayWon], Table2[GameIsOver],1,Table2[HomeTeam],$A42, Table2[AwayTeam], Y$36, Table2[ActualResult], "OT") + SUMIFS(Table2[HomeWon_], Table2[GameIsOver],1,Table2[AwayTeam],$A42, Table2[HomeTeam], Y$36, Table2[ActualResult], "SO") + SUMIFS(Table2[AwayWon], Table2[GameIsOver],1,Table2[HomeTeam],$A42, Table2[AwayTeam], Y$36, Table2[ActualResult], "SO"))), "")</f>
        <v/>
      </c>
      <c r="Z42" t="str">
        <f>IFERROR(((2*SUMIFS(Table2[AwayWon], Table2[GameIsOver],1,Table2[AwayTeam],$A42, Table2[HomeTeam], Z$36) + SUMIFS(Table2[HomeWon_], Table2[GameIsOver],1,Table2[HomeTeam],$A42, Table2[AwayTeam], Z$36)) + SUMIFS(Table2[AwayWon], Table2[GameIsOver],1,Table2[HomeTeam],$A42, Table2[AwayTeam], Z$36, Table2[ActualResult], "REG") + SUMIFS(Table2[HomeWon_], Table2[GameIsOver],1,Table2[AwayTeam],$A42, Table2[HomeTeam], Z$36, Table2[ActualResult], "OT") + SUMIFS(Table2[AwayWon], Table2[GameIsOver],1,Table2[HomeTeam],$A42, Table2[AwayTeam], Z$36, Table2[ActualResult], "OT") + SUMIFS(Table2[HomeWon_], Table2[GameIsOver],1,Table2[AwayTeam],$A42, Table2[HomeTeam], Z$36, Table2[ActualResult], "SO") + SUMIFS(Table2[AwayWon], Table2[GameIsOver],1,Table2[HomeTeam],$A42, Table2[AwayTeam], Z$36, Table2[ActualResult], "SO")) / (2*(SUMIFS(Table2[AwayWon], Table2[GameIsOver],1,Table2[AwayTeam],$A42, Table2[HomeTeam], Z$36) + SUMIFS(Table2[HomeWon_], Table2[GameIsOver],1,Table2[HomeTeam],$A42, Table2[AwayTeam], Z$36) + SUMIFS(Table2[HomeWon_], Table2[GameIsOver],1,Table2[AwayTeam],$A42, Table2[HomeTeam], Z$36, Table2[ActualResult], "REG") + SUMIFS(Table2[AwayWon], Table2[GameIsOver],1,Table2[HomeTeam],$A42, Table2[AwayTeam], Z$36, Table2[ActualResult], "REG") + SUMIFS(Table2[HomeWon_], Table2[GameIsOver],1,Table2[AwayTeam],$A42, Table2[HomeTeam], Z$36, Table2[ActualResult], "OT") + SUMIFS(Table2[AwayWon], Table2[GameIsOver],1,Table2[HomeTeam],$A42, Table2[AwayTeam], Z$36, Table2[ActualResult], "OT") + SUMIFS(Table2[HomeWon_], Table2[GameIsOver],1,Table2[AwayTeam],$A42, Table2[HomeTeam], Z$36, Table2[ActualResult], "SO") + SUMIFS(Table2[AwayWon], Table2[GameIsOver],1,Table2[HomeTeam],$A42, Table2[AwayTeam], Z$36, Table2[ActualResult], "SO"))), "")</f>
        <v/>
      </c>
      <c r="AA42" t="str">
        <f>IFERROR(((2*SUMIFS(Table2[AwayWon], Table2[GameIsOver],1,Table2[AwayTeam],$A42, Table2[HomeTeam], AA$36) + SUMIFS(Table2[HomeWon_], Table2[GameIsOver],1,Table2[HomeTeam],$A42, Table2[AwayTeam], AA$36)) + SUMIFS(Table2[AwayWon], Table2[GameIsOver],1,Table2[HomeTeam],$A42, Table2[AwayTeam], AA$36, Table2[ActualResult], "REG") + SUMIFS(Table2[HomeWon_], Table2[GameIsOver],1,Table2[AwayTeam],$A42, Table2[HomeTeam], AA$36, Table2[ActualResult], "OT") + SUMIFS(Table2[AwayWon], Table2[GameIsOver],1,Table2[HomeTeam],$A42, Table2[AwayTeam], AA$36, Table2[ActualResult], "OT") + SUMIFS(Table2[HomeWon_], Table2[GameIsOver],1,Table2[AwayTeam],$A42, Table2[HomeTeam], AA$36, Table2[ActualResult], "SO") + SUMIFS(Table2[AwayWon], Table2[GameIsOver],1,Table2[HomeTeam],$A42, Table2[AwayTeam], AA$36, Table2[ActualResult], "SO")) / (2*(SUMIFS(Table2[AwayWon], Table2[GameIsOver],1,Table2[AwayTeam],$A42, Table2[HomeTeam], AA$36) + SUMIFS(Table2[HomeWon_], Table2[GameIsOver],1,Table2[HomeTeam],$A42, Table2[AwayTeam], AA$36) + SUMIFS(Table2[HomeWon_], Table2[GameIsOver],1,Table2[AwayTeam],$A42, Table2[HomeTeam], AA$36, Table2[ActualResult], "REG") + SUMIFS(Table2[AwayWon], Table2[GameIsOver],1,Table2[HomeTeam],$A42, Table2[AwayTeam], AA$36, Table2[ActualResult], "REG") + SUMIFS(Table2[HomeWon_], Table2[GameIsOver],1,Table2[AwayTeam],$A42, Table2[HomeTeam], AA$36, Table2[ActualResult], "OT") + SUMIFS(Table2[AwayWon], Table2[GameIsOver],1,Table2[HomeTeam],$A42, Table2[AwayTeam], AA$36, Table2[ActualResult], "OT") + SUMIFS(Table2[HomeWon_], Table2[GameIsOver],1,Table2[AwayTeam],$A42, Table2[HomeTeam], AA$36, Table2[ActualResult], "SO") + SUMIFS(Table2[AwayWon], Table2[GameIsOver],1,Table2[HomeTeam],$A42, Table2[AwayTeam], AA$36, Table2[ActualResult], "SO"))), "")</f>
        <v/>
      </c>
      <c r="AB42" t="str">
        <f>IFERROR(((2*SUMIFS(Table2[AwayWon], Table2[GameIsOver],1,Table2[AwayTeam],$A42, Table2[HomeTeam], AB$36) + SUMIFS(Table2[HomeWon_], Table2[GameIsOver],1,Table2[HomeTeam],$A42, Table2[AwayTeam], AB$36)) + SUMIFS(Table2[AwayWon], Table2[GameIsOver],1,Table2[HomeTeam],$A42, Table2[AwayTeam], AB$36, Table2[ActualResult], "REG") + SUMIFS(Table2[HomeWon_], Table2[GameIsOver],1,Table2[AwayTeam],$A42, Table2[HomeTeam], AB$36, Table2[ActualResult], "OT") + SUMIFS(Table2[AwayWon], Table2[GameIsOver],1,Table2[HomeTeam],$A42, Table2[AwayTeam], AB$36, Table2[ActualResult], "OT") + SUMIFS(Table2[HomeWon_], Table2[GameIsOver],1,Table2[AwayTeam],$A42, Table2[HomeTeam], AB$36, Table2[ActualResult], "SO") + SUMIFS(Table2[AwayWon], Table2[GameIsOver],1,Table2[HomeTeam],$A42, Table2[AwayTeam], AB$36, Table2[ActualResult], "SO")) / (2*(SUMIFS(Table2[AwayWon], Table2[GameIsOver],1,Table2[AwayTeam],$A42, Table2[HomeTeam], AB$36) + SUMIFS(Table2[HomeWon_], Table2[GameIsOver],1,Table2[HomeTeam],$A42, Table2[AwayTeam], AB$36) + SUMIFS(Table2[HomeWon_], Table2[GameIsOver],1,Table2[AwayTeam],$A42, Table2[HomeTeam], AB$36, Table2[ActualResult], "REG") + SUMIFS(Table2[AwayWon], Table2[GameIsOver],1,Table2[HomeTeam],$A42, Table2[AwayTeam], AB$36, Table2[ActualResult], "REG") + SUMIFS(Table2[HomeWon_], Table2[GameIsOver],1,Table2[AwayTeam],$A42, Table2[HomeTeam], AB$36, Table2[ActualResult], "OT") + SUMIFS(Table2[AwayWon], Table2[GameIsOver],1,Table2[HomeTeam],$A42, Table2[AwayTeam], AB$36, Table2[ActualResult], "OT") + SUMIFS(Table2[HomeWon_], Table2[GameIsOver],1,Table2[AwayTeam],$A42, Table2[HomeTeam], AB$36, Table2[ActualResult], "SO") + SUMIFS(Table2[AwayWon], Table2[GameIsOver],1,Table2[HomeTeam],$A42, Table2[AwayTeam], AB$36, Table2[ActualResult], "SO"))), "")</f>
        <v/>
      </c>
      <c r="AC42" t="str">
        <f>IFERROR(((2*SUMIFS(Table2[AwayWon], Table2[GameIsOver],1,Table2[AwayTeam],$A42, Table2[HomeTeam], AC$36) + SUMIFS(Table2[HomeWon_], Table2[GameIsOver],1,Table2[HomeTeam],$A42, Table2[AwayTeam], AC$36)) + SUMIFS(Table2[AwayWon], Table2[GameIsOver],1,Table2[HomeTeam],$A42, Table2[AwayTeam], AC$36, Table2[ActualResult], "REG") + SUMIFS(Table2[HomeWon_], Table2[GameIsOver],1,Table2[AwayTeam],$A42, Table2[HomeTeam], AC$36, Table2[ActualResult], "OT") + SUMIFS(Table2[AwayWon], Table2[GameIsOver],1,Table2[HomeTeam],$A42, Table2[AwayTeam], AC$36, Table2[ActualResult], "OT") + SUMIFS(Table2[HomeWon_], Table2[GameIsOver],1,Table2[AwayTeam],$A42, Table2[HomeTeam], AC$36, Table2[ActualResult], "SO") + SUMIFS(Table2[AwayWon], Table2[GameIsOver],1,Table2[HomeTeam],$A42, Table2[AwayTeam], AC$36, Table2[ActualResult], "SO")) / (2*(SUMIFS(Table2[AwayWon], Table2[GameIsOver],1,Table2[AwayTeam],$A42, Table2[HomeTeam], AC$36) + SUMIFS(Table2[HomeWon_], Table2[GameIsOver],1,Table2[HomeTeam],$A42, Table2[AwayTeam], AC$36) + SUMIFS(Table2[HomeWon_], Table2[GameIsOver],1,Table2[AwayTeam],$A42, Table2[HomeTeam], AC$36, Table2[ActualResult], "REG") + SUMIFS(Table2[AwayWon], Table2[GameIsOver],1,Table2[HomeTeam],$A42, Table2[AwayTeam], AC$36, Table2[ActualResult], "REG") + SUMIFS(Table2[HomeWon_], Table2[GameIsOver],1,Table2[AwayTeam],$A42, Table2[HomeTeam], AC$36, Table2[ActualResult], "OT") + SUMIFS(Table2[AwayWon], Table2[GameIsOver],1,Table2[HomeTeam],$A42, Table2[AwayTeam], AC$36, Table2[ActualResult], "OT") + SUMIFS(Table2[HomeWon_], Table2[GameIsOver],1,Table2[AwayTeam],$A42, Table2[HomeTeam], AC$36, Table2[ActualResult], "SO") + SUMIFS(Table2[AwayWon], Table2[GameIsOver],1,Table2[HomeTeam],$A42, Table2[AwayTeam], AC$36, Table2[ActualResult], "SO"))), "")</f>
        <v/>
      </c>
      <c r="AD42" t="str">
        <f>IFERROR(((2*SUMIFS(Table2[AwayWon], Table2[GameIsOver],1,Table2[AwayTeam],$A42, Table2[HomeTeam], AD$36) + SUMIFS(Table2[HomeWon_], Table2[GameIsOver],1,Table2[HomeTeam],$A42, Table2[AwayTeam], AD$36)) + SUMIFS(Table2[AwayWon], Table2[GameIsOver],1,Table2[HomeTeam],$A42, Table2[AwayTeam], AD$36, Table2[ActualResult], "REG") + SUMIFS(Table2[HomeWon_], Table2[GameIsOver],1,Table2[AwayTeam],$A42, Table2[HomeTeam], AD$36, Table2[ActualResult], "OT") + SUMIFS(Table2[AwayWon], Table2[GameIsOver],1,Table2[HomeTeam],$A42, Table2[AwayTeam], AD$36, Table2[ActualResult], "OT") + SUMIFS(Table2[HomeWon_], Table2[GameIsOver],1,Table2[AwayTeam],$A42, Table2[HomeTeam], AD$36, Table2[ActualResult], "SO") + SUMIFS(Table2[AwayWon], Table2[GameIsOver],1,Table2[HomeTeam],$A42, Table2[AwayTeam], AD$36, Table2[ActualResult], "SO")) / (2*(SUMIFS(Table2[AwayWon], Table2[GameIsOver],1,Table2[AwayTeam],$A42, Table2[HomeTeam], AD$36) + SUMIFS(Table2[HomeWon_], Table2[GameIsOver],1,Table2[HomeTeam],$A42, Table2[AwayTeam], AD$36) + SUMIFS(Table2[HomeWon_], Table2[GameIsOver],1,Table2[AwayTeam],$A42, Table2[HomeTeam], AD$36, Table2[ActualResult], "REG") + SUMIFS(Table2[AwayWon], Table2[GameIsOver],1,Table2[HomeTeam],$A42, Table2[AwayTeam], AD$36, Table2[ActualResult], "REG") + SUMIFS(Table2[HomeWon_], Table2[GameIsOver],1,Table2[AwayTeam],$A42, Table2[HomeTeam], AD$36, Table2[ActualResult], "OT") + SUMIFS(Table2[AwayWon], Table2[GameIsOver],1,Table2[HomeTeam],$A42, Table2[AwayTeam], AD$36, Table2[ActualResult], "OT") + SUMIFS(Table2[HomeWon_], Table2[GameIsOver],1,Table2[AwayTeam],$A42, Table2[HomeTeam], AD$36, Table2[ActualResult], "SO") + SUMIFS(Table2[AwayWon], Table2[GameIsOver],1,Table2[HomeTeam],$A42, Table2[AwayTeam], AD$36, Table2[ActualResult], "SO"))), "")</f>
        <v/>
      </c>
      <c r="AE42" t="str">
        <f>IFERROR(((2*SUMIFS(Table2[AwayWon], Table2[GameIsOver],1,Table2[AwayTeam],$A42, Table2[HomeTeam], AE$36) + SUMIFS(Table2[HomeWon_], Table2[GameIsOver],1,Table2[HomeTeam],$A42, Table2[AwayTeam], AE$36)) + SUMIFS(Table2[AwayWon], Table2[GameIsOver],1,Table2[HomeTeam],$A42, Table2[AwayTeam], AE$36, Table2[ActualResult], "REG") + SUMIFS(Table2[HomeWon_], Table2[GameIsOver],1,Table2[AwayTeam],$A42, Table2[HomeTeam], AE$36, Table2[ActualResult], "OT") + SUMIFS(Table2[AwayWon], Table2[GameIsOver],1,Table2[HomeTeam],$A42, Table2[AwayTeam], AE$36, Table2[ActualResult], "OT") + SUMIFS(Table2[HomeWon_], Table2[GameIsOver],1,Table2[AwayTeam],$A42, Table2[HomeTeam], AE$36, Table2[ActualResult], "SO") + SUMIFS(Table2[AwayWon], Table2[GameIsOver],1,Table2[HomeTeam],$A42, Table2[AwayTeam], AE$36, Table2[ActualResult], "SO")) / (2*(SUMIFS(Table2[AwayWon], Table2[GameIsOver],1,Table2[AwayTeam],$A42, Table2[HomeTeam], AE$36) + SUMIFS(Table2[HomeWon_], Table2[GameIsOver],1,Table2[HomeTeam],$A42, Table2[AwayTeam], AE$36) + SUMIFS(Table2[HomeWon_], Table2[GameIsOver],1,Table2[AwayTeam],$A42, Table2[HomeTeam], AE$36, Table2[ActualResult], "REG") + SUMIFS(Table2[AwayWon], Table2[GameIsOver],1,Table2[HomeTeam],$A42, Table2[AwayTeam], AE$36, Table2[ActualResult], "REG") + SUMIFS(Table2[HomeWon_], Table2[GameIsOver],1,Table2[AwayTeam],$A42, Table2[HomeTeam], AE$36, Table2[ActualResult], "OT") + SUMIFS(Table2[AwayWon], Table2[GameIsOver],1,Table2[HomeTeam],$A42, Table2[AwayTeam], AE$36, Table2[ActualResult], "OT") + SUMIFS(Table2[HomeWon_], Table2[GameIsOver],1,Table2[AwayTeam],$A42, Table2[HomeTeam], AE$36, Table2[ActualResult], "SO") + SUMIFS(Table2[AwayWon], Table2[GameIsOver],1,Table2[HomeTeam],$A42, Table2[AwayTeam], AE$36, Table2[ActualResult], "SO"))), "")</f>
        <v/>
      </c>
      <c r="AF42" t="str">
        <f>IFERROR(((2*SUMIFS(Table2[AwayWon], Table2[GameIsOver],1,Table2[AwayTeam],$A42, Table2[HomeTeam], AF$36) + SUMIFS(Table2[HomeWon_], Table2[GameIsOver],1,Table2[HomeTeam],$A42, Table2[AwayTeam], AF$36)) + SUMIFS(Table2[AwayWon], Table2[GameIsOver],1,Table2[HomeTeam],$A42, Table2[AwayTeam], AF$36, Table2[ActualResult], "REG") + SUMIFS(Table2[HomeWon_], Table2[GameIsOver],1,Table2[AwayTeam],$A42, Table2[HomeTeam], AF$36, Table2[ActualResult], "OT") + SUMIFS(Table2[AwayWon], Table2[GameIsOver],1,Table2[HomeTeam],$A42, Table2[AwayTeam], AF$36, Table2[ActualResult], "OT") + SUMIFS(Table2[HomeWon_], Table2[GameIsOver],1,Table2[AwayTeam],$A42, Table2[HomeTeam], AF$36, Table2[ActualResult], "SO") + SUMIFS(Table2[AwayWon], Table2[GameIsOver],1,Table2[HomeTeam],$A42, Table2[AwayTeam], AF$36, Table2[ActualResult], "SO")) / (2*(SUMIFS(Table2[AwayWon], Table2[GameIsOver],1,Table2[AwayTeam],$A42, Table2[HomeTeam], AF$36) + SUMIFS(Table2[HomeWon_], Table2[GameIsOver],1,Table2[HomeTeam],$A42, Table2[AwayTeam], AF$36) + SUMIFS(Table2[HomeWon_], Table2[GameIsOver],1,Table2[AwayTeam],$A42, Table2[HomeTeam], AF$36, Table2[ActualResult], "REG") + SUMIFS(Table2[AwayWon], Table2[GameIsOver],1,Table2[HomeTeam],$A42, Table2[AwayTeam], AF$36, Table2[ActualResult], "REG") + SUMIFS(Table2[HomeWon_], Table2[GameIsOver],1,Table2[AwayTeam],$A42, Table2[HomeTeam], AF$36, Table2[ActualResult], "OT") + SUMIFS(Table2[AwayWon], Table2[GameIsOver],1,Table2[HomeTeam],$A42, Table2[AwayTeam], AF$36, Table2[ActualResult], "OT") + SUMIFS(Table2[HomeWon_], Table2[GameIsOver],1,Table2[AwayTeam],$A42, Table2[HomeTeam], AF$36, Table2[ActualResult], "SO") + SUMIFS(Table2[AwayWon], Table2[GameIsOver],1,Table2[HomeTeam],$A42, Table2[AwayTeam], AF$36, Table2[ActualResult], "SO"))), "")</f>
        <v/>
      </c>
      <c r="AG42" s="57" t="str">
        <f>IFERROR(((2*SUMIFS(Table2[AwayWon], Table2[GameIsOver],1,Table2[AwayTeam],$A42, Table2[HomeTeam], AG$36) + SUMIFS(Table2[HomeWon_], Table2[GameIsOver],1,Table2[HomeTeam],$A42, Table2[AwayTeam], AG$36)) + SUMIFS(Table2[AwayWon], Table2[GameIsOver],1,Table2[HomeTeam],$A42, Table2[AwayTeam], AG$36, Table2[ActualResult], "REG") + SUMIFS(Table2[HomeWon_], Table2[GameIsOver],1,Table2[AwayTeam],$A42, Table2[HomeTeam], AG$36, Table2[ActualResult], "OT") + SUMIFS(Table2[AwayWon], Table2[GameIsOver],1,Table2[HomeTeam],$A42, Table2[AwayTeam], AG$36, Table2[ActualResult], "OT") + SUMIFS(Table2[HomeWon_], Table2[GameIsOver],1,Table2[AwayTeam],$A42, Table2[HomeTeam], AG$36, Table2[ActualResult], "SO") + SUMIFS(Table2[AwayWon], Table2[GameIsOver],1,Table2[HomeTeam],$A42, Table2[AwayTeam], AG$36, Table2[ActualResult], "SO")) / (2*(SUMIFS(Table2[AwayWon], Table2[GameIsOver],1,Table2[AwayTeam],$A42, Table2[HomeTeam], AG$36) + SUMIFS(Table2[HomeWon_], Table2[GameIsOver],1,Table2[HomeTeam],$A42, Table2[AwayTeam], AG$36) + SUMIFS(Table2[HomeWon_], Table2[GameIsOver],1,Table2[AwayTeam],$A42, Table2[HomeTeam], AG$36, Table2[ActualResult], "REG") + SUMIFS(Table2[AwayWon], Table2[GameIsOver],1,Table2[HomeTeam],$A42, Table2[AwayTeam], AG$36, Table2[ActualResult], "REG") + SUMIFS(Table2[HomeWon_], Table2[GameIsOver],1,Table2[AwayTeam],$A42, Table2[HomeTeam], AG$36, Table2[ActualResult], "OT") + SUMIFS(Table2[AwayWon], Table2[GameIsOver],1,Table2[HomeTeam],$A42, Table2[AwayTeam], AG$36, Table2[ActualResult], "OT") + SUMIFS(Table2[HomeWon_], Table2[GameIsOver],1,Table2[AwayTeam],$A42, Table2[HomeTeam], AG$36, Table2[ActualResult], "SO") + SUMIFS(Table2[AwayWon], Table2[GameIsOver],1,Table2[HomeTeam],$A42, Table2[AwayTeam], AG$36, Table2[ActualResult], "SO"))), "")</f>
        <v/>
      </c>
      <c r="AH42" s="101">
        <f t="shared" si="0"/>
        <v>0.33333333333333331</v>
      </c>
      <c r="AI42" s="101">
        <f t="shared" si="1"/>
        <v>0.33333333333333331</v>
      </c>
      <c r="AJ42" s="103" t="e">
        <f t="shared" si="2"/>
        <v>#DIV/0!</v>
      </c>
      <c r="AK42" s="103">
        <f t="shared" si="3"/>
        <v>0.33333333333333331</v>
      </c>
      <c r="AL42" s="103">
        <f t="shared" si="4"/>
        <v>0</v>
      </c>
      <c r="AM42" s="103">
        <f t="shared" si="5"/>
        <v>0.5</v>
      </c>
    </row>
    <row r="43" spans="1:39" x14ac:dyDescent="0.25">
      <c r="A43" s="57" t="s">
        <v>24</v>
      </c>
      <c r="B43" s="24" t="str">
        <f>IFERROR(((2*SUMIFS(Table2[AwayWon], Table2[GameIsOver],1,Table2[AwayTeam],$A43, Table2[HomeTeam], B$36) + SUMIFS(Table2[HomeWon_], Table2[GameIsOver],1,Table2[HomeTeam],$A43, Table2[AwayTeam], B$36)) + SUMIFS(Table2[AwayWon], Table2[GameIsOver],1,Table2[HomeTeam],$A43, Table2[AwayTeam], B$36, Table2[ActualResult], "REG") + SUMIFS(Table2[HomeWon_], Table2[GameIsOver],1,Table2[AwayTeam],$A43, Table2[HomeTeam], B$36, Table2[ActualResult], "OT") + SUMIFS(Table2[AwayWon], Table2[GameIsOver],1,Table2[HomeTeam],$A43, Table2[AwayTeam], B$36, Table2[ActualResult], "OT") + SUMIFS(Table2[HomeWon_], Table2[GameIsOver],1,Table2[AwayTeam],$A43, Table2[HomeTeam], B$36, Table2[ActualResult], "SO") + SUMIFS(Table2[AwayWon], Table2[GameIsOver],1,Table2[HomeTeam],$A43, Table2[AwayTeam], B$36, Table2[ActualResult], "SO")) / (2*(SUMIFS(Table2[AwayWon], Table2[GameIsOver],1,Table2[AwayTeam],$A43, Table2[HomeTeam], B$36) + SUMIFS(Table2[HomeWon_], Table2[GameIsOver],1,Table2[HomeTeam],$A43, Table2[AwayTeam], B$36) + SUMIFS(Table2[HomeWon_], Table2[GameIsOver],1,Table2[AwayTeam],$A43, Table2[HomeTeam], B$36, Table2[ActualResult], "REG") + SUMIFS(Table2[AwayWon], Table2[GameIsOver],1,Table2[HomeTeam],$A43, Table2[AwayTeam], B$36, Table2[ActualResult], "REG") + SUMIFS(Table2[HomeWon_], Table2[GameIsOver],1,Table2[AwayTeam],$A43, Table2[HomeTeam], B$36, Table2[ActualResult], "OT") + SUMIFS(Table2[AwayWon], Table2[GameIsOver],1,Table2[HomeTeam],$A43, Table2[AwayTeam], B$36, Table2[ActualResult], "OT") + SUMIFS(Table2[HomeWon_], Table2[GameIsOver],1,Table2[AwayTeam],$A43, Table2[HomeTeam], B$36, Table2[ActualResult], "SO") + SUMIFS(Table2[AwayWon], Table2[GameIsOver],1,Table2[HomeTeam],$A43, Table2[AwayTeam], B$36, Table2[ActualResult], "SO"))), "")</f>
        <v/>
      </c>
      <c r="C43" s="24">
        <f>IFERROR(((2*SUMIFS(Table2[AwayWon], Table2[GameIsOver],1,Table2[AwayTeam],$A43, Table2[HomeTeam], C$36) + SUMIFS(Table2[HomeWon_], Table2[GameIsOver],1,Table2[HomeTeam],$A43, Table2[AwayTeam], C$36)) + SUMIFS(Table2[AwayWon], Table2[GameIsOver],1,Table2[HomeTeam],$A43, Table2[AwayTeam], C$36, Table2[ActualResult], "REG") + SUMIFS(Table2[HomeWon_], Table2[GameIsOver],1,Table2[AwayTeam],$A43, Table2[HomeTeam], C$36, Table2[ActualResult], "OT") + SUMIFS(Table2[AwayWon], Table2[GameIsOver],1,Table2[HomeTeam],$A43, Table2[AwayTeam], C$36, Table2[ActualResult], "OT") + SUMIFS(Table2[HomeWon_], Table2[GameIsOver],1,Table2[AwayTeam],$A43, Table2[HomeTeam], C$36, Table2[ActualResult], "SO") + SUMIFS(Table2[AwayWon], Table2[GameIsOver],1,Table2[HomeTeam],$A43, Table2[AwayTeam], C$36, Table2[ActualResult], "SO")) / (2*(SUMIFS(Table2[AwayWon], Table2[GameIsOver],1,Table2[AwayTeam],$A43, Table2[HomeTeam], C$36) + SUMIFS(Table2[HomeWon_], Table2[GameIsOver],1,Table2[HomeTeam],$A43, Table2[AwayTeam], C$36) + SUMIFS(Table2[HomeWon_], Table2[GameIsOver],1,Table2[AwayTeam],$A43, Table2[HomeTeam], C$36, Table2[ActualResult], "REG") + SUMIFS(Table2[AwayWon], Table2[GameIsOver],1,Table2[HomeTeam],$A43, Table2[AwayTeam], C$36, Table2[ActualResult], "REG") + SUMIFS(Table2[HomeWon_], Table2[GameIsOver],1,Table2[AwayTeam],$A43, Table2[HomeTeam], C$36, Table2[ActualResult], "OT") + SUMIFS(Table2[AwayWon], Table2[GameIsOver],1,Table2[HomeTeam],$A43, Table2[AwayTeam], C$36, Table2[ActualResult], "OT") + SUMIFS(Table2[HomeWon_], Table2[GameIsOver],1,Table2[AwayTeam],$A43, Table2[HomeTeam], C$36, Table2[ActualResult], "SO") + SUMIFS(Table2[AwayWon], Table2[GameIsOver],1,Table2[HomeTeam],$A43, Table2[AwayTeam], C$36, Table2[ActualResult], "SO"))), "")</f>
        <v>0.5</v>
      </c>
      <c r="D43">
        <f>IFERROR(((2*SUMIFS(Table2[AwayWon], Table2[GameIsOver],1,Table2[AwayTeam],$A43, Table2[HomeTeam], D$36) + SUMIFS(Table2[HomeWon_], Table2[GameIsOver],1,Table2[HomeTeam],$A43, Table2[AwayTeam], D$36)) + SUMIFS(Table2[AwayWon], Table2[GameIsOver],1,Table2[HomeTeam],$A43, Table2[AwayTeam], D$36, Table2[ActualResult], "REG") + SUMIFS(Table2[HomeWon_], Table2[GameIsOver],1,Table2[AwayTeam],$A43, Table2[HomeTeam], D$36, Table2[ActualResult], "OT") + SUMIFS(Table2[AwayWon], Table2[GameIsOver],1,Table2[HomeTeam],$A43, Table2[AwayTeam], D$36, Table2[ActualResult], "OT") + SUMIFS(Table2[HomeWon_], Table2[GameIsOver],1,Table2[AwayTeam],$A43, Table2[HomeTeam], D$36, Table2[ActualResult], "SO") + SUMIFS(Table2[AwayWon], Table2[GameIsOver],1,Table2[HomeTeam],$A43, Table2[AwayTeam], D$36, Table2[ActualResult], "SO")) / (2*(SUMIFS(Table2[AwayWon], Table2[GameIsOver],1,Table2[AwayTeam],$A43, Table2[HomeTeam], D$36) + SUMIFS(Table2[HomeWon_], Table2[GameIsOver],1,Table2[HomeTeam],$A43, Table2[AwayTeam], D$36) + SUMIFS(Table2[HomeWon_], Table2[GameIsOver],1,Table2[AwayTeam],$A43, Table2[HomeTeam], D$36, Table2[ActualResult], "REG") + SUMIFS(Table2[AwayWon], Table2[GameIsOver],1,Table2[HomeTeam],$A43, Table2[AwayTeam], D$36, Table2[ActualResult], "REG") + SUMIFS(Table2[HomeWon_], Table2[GameIsOver],1,Table2[AwayTeam],$A43, Table2[HomeTeam], D$36, Table2[ActualResult], "OT") + SUMIFS(Table2[AwayWon], Table2[GameIsOver],1,Table2[HomeTeam],$A43, Table2[AwayTeam], D$36, Table2[ActualResult], "OT") + SUMIFS(Table2[HomeWon_], Table2[GameIsOver],1,Table2[AwayTeam],$A43, Table2[HomeTeam], D$36, Table2[ActualResult], "SO") + SUMIFS(Table2[AwayWon], Table2[GameIsOver],1,Table2[HomeTeam],$A43, Table2[AwayTeam], D$36, Table2[ActualResult], "SO"))), "")</f>
        <v>0</v>
      </c>
      <c r="E43" t="str">
        <f>IFERROR(((2*SUMIFS(Table2[AwayWon], Table2[GameIsOver],1,Table2[AwayTeam],$A43, Table2[HomeTeam], E$36) + SUMIFS(Table2[HomeWon_], Table2[GameIsOver],1,Table2[HomeTeam],$A43, Table2[AwayTeam], E$36)) + SUMIFS(Table2[AwayWon], Table2[GameIsOver],1,Table2[HomeTeam],$A43, Table2[AwayTeam], E$36, Table2[ActualResult], "REG") + SUMIFS(Table2[HomeWon_], Table2[GameIsOver],1,Table2[AwayTeam],$A43, Table2[HomeTeam], E$36, Table2[ActualResult], "OT") + SUMIFS(Table2[AwayWon], Table2[GameIsOver],1,Table2[HomeTeam],$A43, Table2[AwayTeam], E$36, Table2[ActualResult], "OT") + SUMIFS(Table2[HomeWon_], Table2[GameIsOver],1,Table2[AwayTeam],$A43, Table2[HomeTeam], E$36, Table2[ActualResult], "SO") + SUMIFS(Table2[AwayWon], Table2[GameIsOver],1,Table2[HomeTeam],$A43, Table2[AwayTeam], E$36, Table2[ActualResult], "SO")) / (2*(SUMIFS(Table2[AwayWon], Table2[GameIsOver],1,Table2[AwayTeam],$A43, Table2[HomeTeam], E$36) + SUMIFS(Table2[HomeWon_], Table2[GameIsOver],1,Table2[HomeTeam],$A43, Table2[AwayTeam], E$36) + SUMIFS(Table2[HomeWon_], Table2[GameIsOver],1,Table2[AwayTeam],$A43, Table2[HomeTeam], E$36, Table2[ActualResult], "REG") + SUMIFS(Table2[AwayWon], Table2[GameIsOver],1,Table2[HomeTeam],$A43, Table2[AwayTeam], E$36, Table2[ActualResult], "REG") + SUMIFS(Table2[HomeWon_], Table2[GameIsOver],1,Table2[AwayTeam],$A43, Table2[HomeTeam], E$36, Table2[ActualResult], "OT") + SUMIFS(Table2[AwayWon], Table2[GameIsOver],1,Table2[HomeTeam],$A43, Table2[AwayTeam], E$36, Table2[ActualResult], "OT") + SUMIFS(Table2[HomeWon_], Table2[GameIsOver],1,Table2[AwayTeam],$A43, Table2[HomeTeam], E$36, Table2[ActualResult], "SO") + SUMIFS(Table2[AwayWon], Table2[GameIsOver],1,Table2[HomeTeam],$A43, Table2[AwayTeam], E$36, Table2[ActualResult], "SO"))), "")</f>
        <v/>
      </c>
      <c r="F43" t="str">
        <f>IFERROR(((2*SUMIFS(Table2[AwayWon], Table2[GameIsOver],1,Table2[AwayTeam],$A43, Table2[HomeTeam], F$36) + SUMIFS(Table2[HomeWon_], Table2[GameIsOver],1,Table2[HomeTeam],$A43, Table2[AwayTeam], F$36)) + SUMIFS(Table2[AwayWon], Table2[GameIsOver],1,Table2[HomeTeam],$A43, Table2[AwayTeam], F$36, Table2[ActualResult], "REG") + SUMIFS(Table2[HomeWon_], Table2[GameIsOver],1,Table2[AwayTeam],$A43, Table2[HomeTeam], F$36, Table2[ActualResult], "OT") + SUMIFS(Table2[AwayWon], Table2[GameIsOver],1,Table2[HomeTeam],$A43, Table2[AwayTeam], F$36, Table2[ActualResult], "OT") + SUMIFS(Table2[HomeWon_], Table2[GameIsOver],1,Table2[AwayTeam],$A43, Table2[HomeTeam], F$36, Table2[ActualResult], "SO") + SUMIFS(Table2[AwayWon], Table2[GameIsOver],1,Table2[HomeTeam],$A43, Table2[AwayTeam], F$36, Table2[ActualResult], "SO")) / (2*(SUMIFS(Table2[AwayWon], Table2[GameIsOver],1,Table2[AwayTeam],$A43, Table2[HomeTeam], F$36) + SUMIFS(Table2[HomeWon_], Table2[GameIsOver],1,Table2[HomeTeam],$A43, Table2[AwayTeam], F$36) + SUMIFS(Table2[HomeWon_], Table2[GameIsOver],1,Table2[AwayTeam],$A43, Table2[HomeTeam], F$36, Table2[ActualResult], "REG") + SUMIFS(Table2[AwayWon], Table2[GameIsOver],1,Table2[HomeTeam],$A43, Table2[AwayTeam], F$36, Table2[ActualResult], "REG") + SUMIFS(Table2[HomeWon_], Table2[GameIsOver],1,Table2[AwayTeam],$A43, Table2[HomeTeam], F$36, Table2[ActualResult], "OT") + SUMIFS(Table2[AwayWon], Table2[GameIsOver],1,Table2[HomeTeam],$A43, Table2[AwayTeam], F$36, Table2[ActualResult], "OT") + SUMIFS(Table2[HomeWon_], Table2[GameIsOver],1,Table2[AwayTeam],$A43, Table2[HomeTeam], F$36, Table2[ActualResult], "SO") + SUMIFS(Table2[AwayWon], Table2[GameIsOver],1,Table2[HomeTeam],$A43, Table2[AwayTeam], F$36, Table2[ActualResult], "SO"))), "")</f>
        <v/>
      </c>
      <c r="G43" t="str">
        <f>IFERROR(((2*SUMIFS(Table2[AwayWon], Table2[GameIsOver],1,Table2[AwayTeam],$A43, Table2[HomeTeam], G$36) + SUMIFS(Table2[HomeWon_], Table2[GameIsOver],1,Table2[HomeTeam],$A43, Table2[AwayTeam], G$36)) + SUMIFS(Table2[AwayWon], Table2[GameIsOver],1,Table2[HomeTeam],$A43, Table2[AwayTeam], G$36, Table2[ActualResult], "REG") + SUMIFS(Table2[HomeWon_], Table2[GameIsOver],1,Table2[AwayTeam],$A43, Table2[HomeTeam], G$36, Table2[ActualResult], "OT") + SUMIFS(Table2[AwayWon], Table2[GameIsOver],1,Table2[HomeTeam],$A43, Table2[AwayTeam], G$36, Table2[ActualResult], "OT") + SUMIFS(Table2[HomeWon_], Table2[GameIsOver],1,Table2[AwayTeam],$A43, Table2[HomeTeam], G$36, Table2[ActualResult], "SO") + SUMIFS(Table2[AwayWon], Table2[GameIsOver],1,Table2[HomeTeam],$A43, Table2[AwayTeam], G$36, Table2[ActualResult], "SO")) / (2*(SUMIFS(Table2[AwayWon], Table2[GameIsOver],1,Table2[AwayTeam],$A43, Table2[HomeTeam], G$36) + SUMIFS(Table2[HomeWon_], Table2[GameIsOver],1,Table2[HomeTeam],$A43, Table2[AwayTeam], G$36) + SUMIFS(Table2[HomeWon_], Table2[GameIsOver],1,Table2[AwayTeam],$A43, Table2[HomeTeam], G$36, Table2[ActualResult], "REG") + SUMIFS(Table2[AwayWon], Table2[GameIsOver],1,Table2[HomeTeam],$A43, Table2[AwayTeam], G$36, Table2[ActualResult], "REG") + SUMIFS(Table2[HomeWon_], Table2[GameIsOver],1,Table2[AwayTeam],$A43, Table2[HomeTeam], G$36, Table2[ActualResult], "OT") + SUMIFS(Table2[AwayWon], Table2[GameIsOver],1,Table2[HomeTeam],$A43, Table2[AwayTeam], G$36, Table2[ActualResult], "OT") + SUMIFS(Table2[HomeWon_], Table2[GameIsOver],1,Table2[AwayTeam],$A43, Table2[HomeTeam], G$36, Table2[ActualResult], "SO") + SUMIFS(Table2[AwayWon], Table2[GameIsOver],1,Table2[HomeTeam],$A43, Table2[AwayTeam], G$36, Table2[ActualResult], "SO"))), "")</f>
        <v/>
      </c>
      <c r="H43" s="98" t="str">
        <f>IFERROR(((2*SUMIFS(Table2[AwayWon], Table2[GameIsOver],1,Table2[AwayTeam],$A43, Table2[HomeTeam], H$36) + SUMIFS(Table2[HomeWon_], Table2[GameIsOver],1,Table2[HomeTeam],$A43, Table2[AwayTeam], H$36)) + SUMIFS(Table2[AwayWon], Table2[GameIsOver],1,Table2[HomeTeam],$A43, Table2[AwayTeam], H$36, Table2[ActualResult], "REG") + SUMIFS(Table2[HomeWon_], Table2[GameIsOver],1,Table2[AwayTeam],$A43, Table2[HomeTeam], H$36, Table2[ActualResult], "OT") + SUMIFS(Table2[AwayWon], Table2[GameIsOver],1,Table2[HomeTeam],$A43, Table2[AwayTeam], H$36, Table2[ActualResult], "OT") + SUMIFS(Table2[HomeWon_], Table2[GameIsOver],1,Table2[AwayTeam],$A43, Table2[HomeTeam], H$36, Table2[ActualResult], "SO") + SUMIFS(Table2[AwayWon], Table2[GameIsOver],1,Table2[HomeTeam],$A43, Table2[AwayTeam], H$36, Table2[ActualResult], "SO")) / (2*(SUMIFS(Table2[AwayWon], Table2[GameIsOver],1,Table2[AwayTeam],$A43, Table2[HomeTeam], H$36) + SUMIFS(Table2[HomeWon_], Table2[GameIsOver],1,Table2[HomeTeam],$A43, Table2[AwayTeam], H$36) + SUMIFS(Table2[HomeWon_], Table2[GameIsOver],1,Table2[AwayTeam],$A43, Table2[HomeTeam], H$36, Table2[ActualResult], "REG") + SUMIFS(Table2[AwayWon], Table2[GameIsOver],1,Table2[HomeTeam],$A43, Table2[AwayTeam], H$36, Table2[ActualResult], "REG") + SUMIFS(Table2[HomeWon_], Table2[GameIsOver],1,Table2[AwayTeam],$A43, Table2[HomeTeam], H$36, Table2[ActualResult], "OT") + SUMIFS(Table2[AwayWon], Table2[GameIsOver],1,Table2[HomeTeam],$A43, Table2[AwayTeam], H$36, Table2[ActualResult], "OT") + SUMIFS(Table2[HomeWon_], Table2[GameIsOver],1,Table2[AwayTeam],$A43, Table2[HomeTeam], H$36, Table2[ActualResult], "SO") + SUMIFS(Table2[AwayWon], Table2[GameIsOver],1,Table2[HomeTeam],$A43, Table2[AwayTeam], H$36, Table2[ActualResult], "SO"))), "")</f>
        <v/>
      </c>
      <c r="I43" s="57" t="str">
        <f>IFERROR(((2*SUMIFS(Table2[AwayWon], Table2[GameIsOver],1,Table2[AwayTeam],$A43, Table2[HomeTeam], I$36) + SUMIFS(Table2[HomeWon_], Table2[GameIsOver],1,Table2[HomeTeam],$A43, Table2[AwayTeam], I$36)) + SUMIFS(Table2[AwayWon], Table2[GameIsOver],1,Table2[HomeTeam],$A43, Table2[AwayTeam], I$36, Table2[ActualResult], "REG") + SUMIFS(Table2[HomeWon_], Table2[GameIsOver],1,Table2[AwayTeam],$A43, Table2[HomeTeam], I$36, Table2[ActualResult], "OT") + SUMIFS(Table2[AwayWon], Table2[GameIsOver],1,Table2[HomeTeam],$A43, Table2[AwayTeam], I$36, Table2[ActualResult], "OT") + SUMIFS(Table2[HomeWon_], Table2[GameIsOver],1,Table2[AwayTeam],$A43, Table2[HomeTeam], I$36, Table2[ActualResult], "SO") + SUMIFS(Table2[AwayWon], Table2[GameIsOver],1,Table2[HomeTeam],$A43, Table2[AwayTeam], I$36, Table2[ActualResult], "SO")) / (2*(SUMIFS(Table2[AwayWon], Table2[GameIsOver],1,Table2[AwayTeam],$A43, Table2[HomeTeam], I$36) + SUMIFS(Table2[HomeWon_], Table2[GameIsOver],1,Table2[HomeTeam],$A43, Table2[AwayTeam], I$36) + SUMIFS(Table2[HomeWon_], Table2[GameIsOver],1,Table2[AwayTeam],$A43, Table2[HomeTeam], I$36, Table2[ActualResult], "REG") + SUMIFS(Table2[AwayWon], Table2[GameIsOver],1,Table2[HomeTeam],$A43, Table2[AwayTeam], I$36, Table2[ActualResult], "REG") + SUMIFS(Table2[HomeWon_], Table2[GameIsOver],1,Table2[AwayTeam],$A43, Table2[HomeTeam], I$36, Table2[ActualResult], "OT") + SUMIFS(Table2[AwayWon], Table2[GameIsOver],1,Table2[HomeTeam],$A43, Table2[AwayTeam], I$36, Table2[ActualResult], "OT") + SUMIFS(Table2[HomeWon_], Table2[GameIsOver],1,Table2[AwayTeam],$A43, Table2[HomeTeam], I$36, Table2[ActualResult], "SO") + SUMIFS(Table2[AwayWon], Table2[GameIsOver],1,Table2[HomeTeam],$A43, Table2[AwayTeam], I$36, Table2[ActualResult], "SO"))), "")</f>
        <v/>
      </c>
      <c r="J43">
        <f>IFERROR(((2*SUMIFS(Table2[AwayWon], Table2[GameIsOver],1,Table2[AwayTeam],$A43, Table2[HomeTeam], J$36) + SUMIFS(Table2[HomeWon_], Table2[GameIsOver],1,Table2[HomeTeam],$A43, Table2[AwayTeam], J$36)) + SUMIFS(Table2[AwayWon], Table2[GameIsOver],1,Table2[HomeTeam],$A43, Table2[AwayTeam], J$36, Table2[ActualResult], "REG") + SUMIFS(Table2[HomeWon_], Table2[GameIsOver],1,Table2[AwayTeam],$A43, Table2[HomeTeam], J$36, Table2[ActualResult], "OT") + SUMIFS(Table2[AwayWon], Table2[GameIsOver],1,Table2[HomeTeam],$A43, Table2[AwayTeam], J$36, Table2[ActualResult], "OT") + SUMIFS(Table2[HomeWon_], Table2[GameIsOver],1,Table2[AwayTeam],$A43, Table2[HomeTeam], J$36, Table2[ActualResult], "SO") + SUMIFS(Table2[AwayWon], Table2[GameIsOver],1,Table2[HomeTeam],$A43, Table2[AwayTeam], J$36, Table2[ActualResult], "SO")) / (2*(SUMIFS(Table2[AwayWon], Table2[GameIsOver],1,Table2[AwayTeam],$A43, Table2[HomeTeam], J$36) + SUMIFS(Table2[HomeWon_], Table2[GameIsOver],1,Table2[HomeTeam],$A43, Table2[AwayTeam], J$36) + SUMIFS(Table2[HomeWon_], Table2[GameIsOver],1,Table2[AwayTeam],$A43, Table2[HomeTeam], J$36, Table2[ActualResult], "REG") + SUMIFS(Table2[AwayWon], Table2[GameIsOver],1,Table2[HomeTeam],$A43, Table2[AwayTeam], J$36, Table2[ActualResult], "REG") + SUMIFS(Table2[HomeWon_], Table2[GameIsOver],1,Table2[AwayTeam],$A43, Table2[HomeTeam], J$36, Table2[ActualResult], "OT") + SUMIFS(Table2[AwayWon], Table2[GameIsOver],1,Table2[HomeTeam],$A43, Table2[AwayTeam], J$36, Table2[ActualResult], "OT") + SUMIFS(Table2[HomeWon_], Table2[GameIsOver],1,Table2[AwayTeam],$A43, Table2[HomeTeam], J$36, Table2[ActualResult], "SO") + SUMIFS(Table2[AwayWon], Table2[GameIsOver],1,Table2[HomeTeam],$A43, Table2[AwayTeam], J$36, Table2[ActualResult], "SO"))), "")</f>
        <v>1</v>
      </c>
      <c r="K43" t="str">
        <f>IFERROR(((2*SUMIFS(Table2[AwayWon], Table2[GameIsOver],1,Table2[AwayTeam],$A43, Table2[HomeTeam], K$36) + SUMIFS(Table2[HomeWon_], Table2[GameIsOver],1,Table2[HomeTeam],$A43, Table2[AwayTeam], K$36)) + SUMIFS(Table2[AwayWon], Table2[GameIsOver],1,Table2[HomeTeam],$A43, Table2[AwayTeam], K$36, Table2[ActualResult], "REG") + SUMIFS(Table2[HomeWon_], Table2[GameIsOver],1,Table2[AwayTeam],$A43, Table2[HomeTeam], K$36, Table2[ActualResult], "OT") + SUMIFS(Table2[AwayWon], Table2[GameIsOver],1,Table2[HomeTeam],$A43, Table2[AwayTeam], K$36, Table2[ActualResult], "OT") + SUMIFS(Table2[HomeWon_], Table2[GameIsOver],1,Table2[AwayTeam],$A43, Table2[HomeTeam], K$36, Table2[ActualResult], "SO") + SUMIFS(Table2[AwayWon], Table2[GameIsOver],1,Table2[HomeTeam],$A43, Table2[AwayTeam], K$36, Table2[ActualResult], "SO")) / (2*(SUMIFS(Table2[AwayWon], Table2[GameIsOver],1,Table2[AwayTeam],$A43, Table2[HomeTeam], K$36) + SUMIFS(Table2[HomeWon_], Table2[GameIsOver],1,Table2[HomeTeam],$A43, Table2[AwayTeam], K$36) + SUMIFS(Table2[HomeWon_], Table2[GameIsOver],1,Table2[AwayTeam],$A43, Table2[HomeTeam], K$36, Table2[ActualResult], "REG") + SUMIFS(Table2[AwayWon], Table2[GameIsOver],1,Table2[HomeTeam],$A43, Table2[AwayTeam], K$36, Table2[ActualResult], "REG") + SUMIFS(Table2[HomeWon_], Table2[GameIsOver],1,Table2[AwayTeam],$A43, Table2[HomeTeam], K$36, Table2[ActualResult], "OT") + SUMIFS(Table2[AwayWon], Table2[GameIsOver],1,Table2[HomeTeam],$A43, Table2[AwayTeam], K$36, Table2[ActualResult], "OT") + SUMIFS(Table2[HomeWon_], Table2[GameIsOver],1,Table2[AwayTeam],$A43, Table2[HomeTeam], K$36, Table2[ActualResult], "SO") + SUMIFS(Table2[AwayWon], Table2[GameIsOver],1,Table2[HomeTeam],$A43, Table2[AwayTeam], K$36, Table2[ActualResult], "SO"))), "")</f>
        <v/>
      </c>
      <c r="L43">
        <f>IFERROR(((2*SUMIFS(Table2[AwayWon], Table2[GameIsOver],1,Table2[AwayTeam],$A43, Table2[HomeTeam], L$36) + SUMIFS(Table2[HomeWon_], Table2[GameIsOver],1,Table2[HomeTeam],$A43, Table2[AwayTeam], L$36)) + SUMIFS(Table2[AwayWon], Table2[GameIsOver],1,Table2[HomeTeam],$A43, Table2[AwayTeam], L$36, Table2[ActualResult], "REG") + SUMIFS(Table2[HomeWon_], Table2[GameIsOver],1,Table2[AwayTeam],$A43, Table2[HomeTeam], L$36, Table2[ActualResult], "OT") + SUMIFS(Table2[AwayWon], Table2[GameIsOver],1,Table2[HomeTeam],$A43, Table2[AwayTeam], L$36, Table2[ActualResult], "OT") + SUMIFS(Table2[HomeWon_], Table2[GameIsOver],1,Table2[AwayTeam],$A43, Table2[HomeTeam], L$36, Table2[ActualResult], "SO") + SUMIFS(Table2[AwayWon], Table2[GameIsOver],1,Table2[HomeTeam],$A43, Table2[AwayTeam], L$36, Table2[ActualResult], "SO")) / (2*(SUMIFS(Table2[AwayWon], Table2[GameIsOver],1,Table2[AwayTeam],$A43, Table2[HomeTeam], L$36) + SUMIFS(Table2[HomeWon_], Table2[GameIsOver],1,Table2[HomeTeam],$A43, Table2[AwayTeam], L$36) + SUMIFS(Table2[HomeWon_], Table2[GameIsOver],1,Table2[AwayTeam],$A43, Table2[HomeTeam], L$36, Table2[ActualResult], "REG") + SUMIFS(Table2[AwayWon], Table2[GameIsOver],1,Table2[HomeTeam],$A43, Table2[AwayTeam], L$36, Table2[ActualResult], "REG") + SUMIFS(Table2[HomeWon_], Table2[GameIsOver],1,Table2[AwayTeam],$A43, Table2[HomeTeam], L$36, Table2[ActualResult], "OT") + SUMIFS(Table2[AwayWon], Table2[GameIsOver],1,Table2[HomeTeam],$A43, Table2[AwayTeam], L$36, Table2[ActualResult], "OT") + SUMIFS(Table2[HomeWon_], Table2[GameIsOver],1,Table2[AwayTeam],$A43, Table2[HomeTeam], L$36, Table2[ActualResult], "SO") + SUMIFS(Table2[AwayWon], Table2[GameIsOver],1,Table2[HomeTeam],$A43, Table2[AwayTeam], L$36, Table2[ActualResult], "SO"))), "")</f>
        <v>1</v>
      </c>
      <c r="M43" t="str">
        <f>IFERROR(((2*SUMIFS(Table2[AwayWon], Table2[GameIsOver],1,Table2[AwayTeam],$A43, Table2[HomeTeam], M$36) + SUMIFS(Table2[HomeWon_], Table2[GameIsOver],1,Table2[HomeTeam],$A43, Table2[AwayTeam], M$36)) + SUMIFS(Table2[AwayWon], Table2[GameIsOver],1,Table2[HomeTeam],$A43, Table2[AwayTeam], M$36, Table2[ActualResult], "REG") + SUMIFS(Table2[HomeWon_], Table2[GameIsOver],1,Table2[AwayTeam],$A43, Table2[HomeTeam], M$36, Table2[ActualResult], "OT") + SUMIFS(Table2[AwayWon], Table2[GameIsOver],1,Table2[HomeTeam],$A43, Table2[AwayTeam], M$36, Table2[ActualResult], "OT") + SUMIFS(Table2[HomeWon_], Table2[GameIsOver],1,Table2[AwayTeam],$A43, Table2[HomeTeam], M$36, Table2[ActualResult], "SO") + SUMIFS(Table2[AwayWon], Table2[GameIsOver],1,Table2[HomeTeam],$A43, Table2[AwayTeam], M$36, Table2[ActualResult], "SO")) / (2*(SUMIFS(Table2[AwayWon], Table2[GameIsOver],1,Table2[AwayTeam],$A43, Table2[HomeTeam], M$36) + SUMIFS(Table2[HomeWon_], Table2[GameIsOver],1,Table2[HomeTeam],$A43, Table2[AwayTeam], M$36) + SUMIFS(Table2[HomeWon_], Table2[GameIsOver],1,Table2[AwayTeam],$A43, Table2[HomeTeam], M$36, Table2[ActualResult], "REG") + SUMIFS(Table2[AwayWon], Table2[GameIsOver],1,Table2[HomeTeam],$A43, Table2[AwayTeam], M$36, Table2[ActualResult], "REG") + SUMIFS(Table2[HomeWon_], Table2[GameIsOver],1,Table2[AwayTeam],$A43, Table2[HomeTeam], M$36, Table2[ActualResult], "OT") + SUMIFS(Table2[AwayWon], Table2[GameIsOver],1,Table2[HomeTeam],$A43, Table2[AwayTeam], M$36, Table2[ActualResult], "OT") + SUMIFS(Table2[HomeWon_], Table2[GameIsOver],1,Table2[AwayTeam],$A43, Table2[HomeTeam], M$36, Table2[ActualResult], "SO") + SUMIFS(Table2[AwayWon], Table2[GameIsOver],1,Table2[HomeTeam],$A43, Table2[AwayTeam], M$36, Table2[ActualResult], "SO"))), "")</f>
        <v/>
      </c>
      <c r="N43" t="str">
        <f>IFERROR(((2*SUMIFS(Table2[AwayWon], Table2[GameIsOver],1,Table2[AwayTeam],$A43, Table2[HomeTeam], N$36) + SUMIFS(Table2[HomeWon_], Table2[GameIsOver],1,Table2[HomeTeam],$A43, Table2[AwayTeam], N$36)) + SUMIFS(Table2[AwayWon], Table2[GameIsOver],1,Table2[HomeTeam],$A43, Table2[AwayTeam], N$36, Table2[ActualResult], "REG") + SUMIFS(Table2[HomeWon_], Table2[GameIsOver],1,Table2[AwayTeam],$A43, Table2[HomeTeam], N$36, Table2[ActualResult], "OT") + SUMIFS(Table2[AwayWon], Table2[GameIsOver],1,Table2[HomeTeam],$A43, Table2[AwayTeam], N$36, Table2[ActualResult], "OT") + SUMIFS(Table2[HomeWon_], Table2[GameIsOver],1,Table2[AwayTeam],$A43, Table2[HomeTeam], N$36, Table2[ActualResult], "SO") + SUMIFS(Table2[AwayWon], Table2[GameIsOver],1,Table2[HomeTeam],$A43, Table2[AwayTeam], N$36, Table2[ActualResult], "SO")) / (2*(SUMIFS(Table2[AwayWon], Table2[GameIsOver],1,Table2[AwayTeam],$A43, Table2[HomeTeam], N$36) + SUMIFS(Table2[HomeWon_], Table2[GameIsOver],1,Table2[HomeTeam],$A43, Table2[AwayTeam], N$36) + SUMIFS(Table2[HomeWon_], Table2[GameIsOver],1,Table2[AwayTeam],$A43, Table2[HomeTeam], N$36, Table2[ActualResult], "REG") + SUMIFS(Table2[AwayWon], Table2[GameIsOver],1,Table2[HomeTeam],$A43, Table2[AwayTeam], N$36, Table2[ActualResult], "REG") + SUMIFS(Table2[HomeWon_], Table2[GameIsOver],1,Table2[AwayTeam],$A43, Table2[HomeTeam], N$36, Table2[ActualResult], "OT") + SUMIFS(Table2[AwayWon], Table2[GameIsOver],1,Table2[HomeTeam],$A43, Table2[AwayTeam], N$36, Table2[ActualResult], "OT") + SUMIFS(Table2[HomeWon_], Table2[GameIsOver],1,Table2[AwayTeam],$A43, Table2[HomeTeam], N$36, Table2[ActualResult], "SO") + SUMIFS(Table2[AwayWon], Table2[GameIsOver],1,Table2[HomeTeam],$A43, Table2[AwayTeam], N$36, Table2[ActualResult], "SO"))), "")</f>
        <v/>
      </c>
      <c r="O43">
        <f>IFERROR(((2*SUMIFS(Table2[AwayWon], Table2[GameIsOver],1,Table2[AwayTeam],$A43, Table2[HomeTeam], O$36) + SUMIFS(Table2[HomeWon_], Table2[GameIsOver],1,Table2[HomeTeam],$A43, Table2[AwayTeam], O$36)) + SUMIFS(Table2[AwayWon], Table2[GameIsOver],1,Table2[HomeTeam],$A43, Table2[AwayTeam], O$36, Table2[ActualResult], "REG") + SUMIFS(Table2[HomeWon_], Table2[GameIsOver],1,Table2[AwayTeam],$A43, Table2[HomeTeam], O$36, Table2[ActualResult], "OT") + SUMIFS(Table2[AwayWon], Table2[GameIsOver],1,Table2[HomeTeam],$A43, Table2[AwayTeam], O$36, Table2[ActualResult], "OT") + SUMIFS(Table2[HomeWon_], Table2[GameIsOver],1,Table2[AwayTeam],$A43, Table2[HomeTeam], O$36, Table2[ActualResult], "SO") + SUMIFS(Table2[AwayWon], Table2[GameIsOver],1,Table2[HomeTeam],$A43, Table2[AwayTeam], O$36, Table2[ActualResult], "SO")) / (2*(SUMIFS(Table2[AwayWon], Table2[GameIsOver],1,Table2[AwayTeam],$A43, Table2[HomeTeam], O$36) + SUMIFS(Table2[HomeWon_], Table2[GameIsOver],1,Table2[HomeTeam],$A43, Table2[AwayTeam], O$36) + SUMIFS(Table2[HomeWon_], Table2[GameIsOver],1,Table2[AwayTeam],$A43, Table2[HomeTeam], O$36, Table2[ActualResult], "REG") + SUMIFS(Table2[AwayWon], Table2[GameIsOver],1,Table2[HomeTeam],$A43, Table2[AwayTeam], O$36, Table2[ActualResult], "REG") + SUMIFS(Table2[HomeWon_], Table2[GameIsOver],1,Table2[AwayTeam],$A43, Table2[HomeTeam], O$36, Table2[ActualResult], "OT") + SUMIFS(Table2[AwayWon], Table2[GameIsOver],1,Table2[HomeTeam],$A43, Table2[AwayTeam], O$36, Table2[ActualResult], "OT") + SUMIFS(Table2[HomeWon_], Table2[GameIsOver],1,Table2[AwayTeam],$A43, Table2[HomeTeam], O$36, Table2[ActualResult], "SO") + SUMIFS(Table2[AwayWon], Table2[GameIsOver],1,Table2[HomeTeam],$A43, Table2[AwayTeam], O$36, Table2[ActualResult], "SO"))), "")</f>
        <v>0.5</v>
      </c>
      <c r="P43" t="str">
        <f>IFERROR(((2*SUMIFS(Table2[AwayWon], Table2[GameIsOver],1,Table2[AwayTeam],$A43, Table2[HomeTeam], P$36) + SUMIFS(Table2[HomeWon_], Table2[GameIsOver],1,Table2[HomeTeam],$A43, Table2[AwayTeam], P$36)) + SUMIFS(Table2[AwayWon], Table2[GameIsOver],1,Table2[HomeTeam],$A43, Table2[AwayTeam], P$36, Table2[ActualResult], "REG") + SUMIFS(Table2[HomeWon_], Table2[GameIsOver],1,Table2[AwayTeam],$A43, Table2[HomeTeam], P$36, Table2[ActualResult], "OT") + SUMIFS(Table2[AwayWon], Table2[GameIsOver],1,Table2[HomeTeam],$A43, Table2[AwayTeam], P$36, Table2[ActualResult], "OT") + SUMIFS(Table2[HomeWon_], Table2[GameIsOver],1,Table2[AwayTeam],$A43, Table2[HomeTeam], P$36, Table2[ActualResult], "SO") + SUMIFS(Table2[AwayWon], Table2[GameIsOver],1,Table2[HomeTeam],$A43, Table2[AwayTeam], P$36, Table2[ActualResult], "SO")) / (2*(SUMIFS(Table2[AwayWon], Table2[GameIsOver],1,Table2[AwayTeam],$A43, Table2[HomeTeam], P$36) + SUMIFS(Table2[HomeWon_], Table2[GameIsOver],1,Table2[HomeTeam],$A43, Table2[AwayTeam], P$36) + SUMIFS(Table2[HomeWon_], Table2[GameIsOver],1,Table2[AwayTeam],$A43, Table2[HomeTeam], P$36, Table2[ActualResult], "REG") + SUMIFS(Table2[AwayWon], Table2[GameIsOver],1,Table2[HomeTeam],$A43, Table2[AwayTeam], P$36, Table2[ActualResult], "REG") + SUMIFS(Table2[HomeWon_], Table2[GameIsOver],1,Table2[AwayTeam],$A43, Table2[HomeTeam], P$36, Table2[ActualResult], "OT") + SUMIFS(Table2[AwayWon], Table2[GameIsOver],1,Table2[HomeTeam],$A43, Table2[AwayTeam], P$36, Table2[ActualResult], "OT") + SUMIFS(Table2[HomeWon_], Table2[GameIsOver],1,Table2[AwayTeam],$A43, Table2[HomeTeam], P$36, Table2[ActualResult], "SO") + SUMIFS(Table2[AwayWon], Table2[GameIsOver],1,Table2[HomeTeam],$A43, Table2[AwayTeam], P$36, Table2[ActualResult], "SO"))), "")</f>
        <v/>
      </c>
      <c r="Q43" s="57" t="str">
        <f>IFERROR(((2*SUMIFS(Table2[AwayWon], Table2[GameIsOver],1,Table2[AwayTeam],$A43, Table2[HomeTeam], Q$36) + SUMIFS(Table2[HomeWon_], Table2[GameIsOver],1,Table2[HomeTeam],$A43, Table2[AwayTeam], Q$36)) + SUMIFS(Table2[AwayWon], Table2[GameIsOver],1,Table2[HomeTeam],$A43, Table2[AwayTeam], Q$36, Table2[ActualResult], "REG") + SUMIFS(Table2[HomeWon_], Table2[GameIsOver],1,Table2[AwayTeam],$A43, Table2[HomeTeam], Q$36, Table2[ActualResult], "OT") + SUMIFS(Table2[AwayWon], Table2[GameIsOver],1,Table2[HomeTeam],$A43, Table2[AwayTeam], Q$36, Table2[ActualResult], "OT") + SUMIFS(Table2[HomeWon_], Table2[GameIsOver],1,Table2[AwayTeam],$A43, Table2[HomeTeam], Q$36, Table2[ActualResult], "SO") + SUMIFS(Table2[AwayWon], Table2[GameIsOver],1,Table2[HomeTeam],$A43, Table2[AwayTeam], Q$36, Table2[ActualResult], "SO")) / (2*(SUMIFS(Table2[AwayWon], Table2[GameIsOver],1,Table2[AwayTeam],$A43, Table2[HomeTeam], Q$36) + SUMIFS(Table2[HomeWon_], Table2[GameIsOver],1,Table2[HomeTeam],$A43, Table2[AwayTeam], Q$36) + SUMIFS(Table2[HomeWon_], Table2[GameIsOver],1,Table2[AwayTeam],$A43, Table2[HomeTeam], Q$36, Table2[ActualResult], "REG") + SUMIFS(Table2[AwayWon], Table2[GameIsOver],1,Table2[HomeTeam],$A43, Table2[AwayTeam], Q$36, Table2[ActualResult], "REG") + SUMIFS(Table2[HomeWon_], Table2[GameIsOver],1,Table2[AwayTeam],$A43, Table2[HomeTeam], Q$36, Table2[ActualResult], "OT") + SUMIFS(Table2[AwayWon], Table2[GameIsOver],1,Table2[HomeTeam],$A43, Table2[AwayTeam], Q$36, Table2[ActualResult], "OT") + SUMIFS(Table2[HomeWon_], Table2[GameIsOver],1,Table2[AwayTeam],$A43, Table2[HomeTeam], Q$36, Table2[ActualResult], "SO") + SUMIFS(Table2[AwayWon], Table2[GameIsOver],1,Table2[HomeTeam],$A43, Table2[AwayTeam], Q$36, Table2[ActualResult], "SO"))), "")</f>
        <v/>
      </c>
      <c r="R43" t="str">
        <f>IFERROR(((2*SUMIFS(Table2[AwayWon], Table2[GameIsOver],1,Table2[AwayTeam],$A43, Table2[HomeTeam], R$36) + SUMIFS(Table2[HomeWon_], Table2[GameIsOver],1,Table2[HomeTeam],$A43, Table2[AwayTeam], R$36)) + SUMIFS(Table2[AwayWon], Table2[GameIsOver],1,Table2[HomeTeam],$A43, Table2[AwayTeam], R$36, Table2[ActualResult], "REG") + SUMIFS(Table2[HomeWon_], Table2[GameIsOver],1,Table2[AwayTeam],$A43, Table2[HomeTeam], R$36, Table2[ActualResult], "OT") + SUMIFS(Table2[AwayWon], Table2[GameIsOver],1,Table2[HomeTeam],$A43, Table2[AwayTeam], R$36, Table2[ActualResult], "OT") + SUMIFS(Table2[HomeWon_], Table2[GameIsOver],1,Table2[AwayTeam],$A43, Table2[HomeTeam], R$36, Table2[ActualResult], "SO") + SUMIFS(Table2[AwayWon], Table2[GameIsOver],1,Table2[HomeTeam],$A43, Table2[AwayTeam], R$36, Table2[ActualResult], "SO")) / (2*(SUMIFS(Table2[AwayWon], Table2[GameIsOver],1,Table2[AwayTeam],$A43, Table2[HomeTeam], R$36) + SUMIFS(Table2[HomeWon_], Table2[GameIsOver],1,Table2[HomeTeam],$A43, Table2[AwayTeam], R$36) + SUMIFS(Table2[HomeWon_], Table2[GameIsOver],1,Table2[AwayTeam],$A43, Table2[HomeTeam], R$36, Table2[ActualResult], "REG") + SUMIFS(Table2[AwayWon], Table2[GameIsOver],1,Table2[HomeTeam],$A43, Table2[AwayTeam], R$36, Table2[ActualResult], "REG") + SUMIFS(Table2[HomeWon_], Table2[GameIsOver],1,Table2[AwayTeam],$A43, Table2[HomeTeam], R$36, Table2[ActualResult], "OT") + SUMIFS(Table2[AwayWon], Table2[GameIsOver],1,Table2[HomeTeam],$A43, Table2[AwayTeam], R$36, Table2[ActualResult], "OT") + SUMIFS(Table2[HomeWon_], Table2[GameIsOver],1,Table2[AwayTeam],$A43, Table2[HomeTeam], R$36, Table2[ActualResult], "SO") + SUMIFS(Table2[AwayWon], Table2[GameIsOver],1,Table2[HomeTeam],$A43, Table2[AwayTeam], R$36, Table2[ActualResult], "SO"))), "")</f>
        <v/>
      </c>
      <c r="S43" t="str">
        <f>IFERROR(((2*SUMIFS(Table2[AwayWon], Table2[GameIsOver],1,Table2[AwayTeam],$A43, Table2[HomeTeam], S$36) + SUMIFS(Table2[HomeWon_], Table2[GameIsOver],1,Table2[HomeTeam],$A43, Table2[AwayTeam], S$36)) + SUMIFS(Table2[AwayWon], Table2[GameIsOver],1,Table2[HomeTeam],$A43, Table2[AwayTeam], S$36, Table2[ActualResult], "REG") + SUMIFS(Table2[HomeWon_], Table2[GameIsOver],1,Table2[AwayTeam],$A43, Table2[HomeTeam], S$36, Table2[ActualResult], "OT") + SUMIFS(Table2[AwayWon], Table2[GameIsOver],1,Table2[HomeTeam],$A43, Table2[AwayTeam], S$36, Table2[ActualResult], "OT") + SUMIFS(Table2[HomeWon_], Table2[GameIsOver],1,Table2[AwayTeam],$A43, Table2[HomeTeam], S$36, Table2[ActualResult], "SO") + SUMIFS(Table2[AwayWon], Table2[GameIsOver],1,Table2[HomeTeam],$A43, Table2[AwayTeam], S$36, Table2[ActualResult], "SO")) / (2*(SUMIFS(Table2[AwayWon], Table2[GameIsOver],1,Table2[AwayTeam],$A43, Table2[HomeTeam], S$36) + SUMIFS(Table2[HomeWon_], Table2[GameIsOver],1,Table2[HomeTeam],$A43, Table2[AwayTeam], S$36) + SUMIFS(Table2[HomeWon_], Table2[GameIsOver],1,Table2[AwayTeam],$A43, Table2[HomeTeam], S$36, Table2[ActualResult], "REG") + SUMIFS(Table2[AwayWon], Table2[GameIsOver],1,Table2[HomeTeam],$A43, Table2[AwayTeam], S$36, Table2[ActualResult], "REG") + SUMIFS(Table2[HomeWon_], Table2[GameIsOver],1,Table2[AwayTeam],$A43, Table2[HomeTeam], S$36, Table2[ActualResult], "OT") + SUMIFS(Table2[AwayWon], Table2[GameIsOver],1,Table2[HomeTeam],$A43, Table2[AwayTeam], S$36, Table2[ActualResult], "OT") + SUMIFS(Table2[HomeWon_], Table2[GameIsOver],1,Table2[AwayTeam],$A43, Table2[HomeTeam], S$36, Table2[ActualResult], "SO") + SUMIFS(Table2[AwayWon], Table2[GameIsOver],1,Table2[HomeTeam],$A43, Table2[AwayTeam], S$36, Table2[ActualResult], "SO"))), "")</f>
        <v/>
      </c>
      <c r="T43" t="str">
        <f>IFERROR(((2*SUMIFS(Table2[AwayWon], Table2[GameIsOver],1,Table2[AwayTeam],$A43, Table2[HomeTeam], T$36) + SUMIFS(Table2[HomeWon_], Table2[GameIsOver],1,Table2[HomeTeam],$A43, Table2[AwayTeam], T$36)) + SUMIFS(Table2[AwayWon], Table2[GameIsOver],1,Table2[HomeTeam],$A43, Table2[AwayTeam], T$36, Table2[ActualResult], "REG") + SUMIFS(Table2[HomeWon_], Table2[GameIsOver],1,Table2[AwayTeam],$A43, Table2[HomeTeam], T$36, Table2[ActualResult], "OT") + SUMIFS(Table2[AwayWon], Table2[GameIsOver],1,Table2[HomeTeam],$A43, Table2[AwayTeam], T$36, Table2[ActualResult], "OT") + SUMIFS(Table2[HomeWon_], Table2[GameIsOver],1,Table2[AwayTeam],$A43, Table2[HomeTeam], T$36, Table2[ActualResult], "SO") + SUMIFS(Table2[AwayWon], Table2[GameIsOver],1,Table2[HomeTeam],$A43, Table2[AwayTeam], T$36, Table2[ActualResult], "SO")) / (2*(SUMIFS(Table2[AwayWon], Table2[GameIsOver],1,Table2[AwayTeam],$A43, Table2[HomeTeam], T$36) + SUMIFS(Table2[HomeWon_], Table2[GameIsOver],1,Table2[HomeTeam],$A43, Table2[AwayTeam], T$36) + SUMIFS(Table2[HomeWon_], Table2[GameIsOver],1,Table2[AwayTeam],$A43, Table2[HomeTeam], T$36, Table2[ActualResult], "REG") + SUMIFS(Table2[AwayWon], Table2[GameIsOver],1,Table2[HomeTeam],$A43, Table2[AwayTeam], T$36, Table2[ActualResult], "REG") + SUMIFS(Table2[HomeWon_], Table2[GameIsOver],1,Table2[AwayTeam],$A43, Table2[HomeTeam], T$36, Table2[ActualResult], "OT") + SUMIFS(Table2[AwayWon], Table2[GameIsOver],1,Table2[HomeTeam],$A43, Table2[AwayTeam], T$36, Table2[ActualResult], "OT") + SUMIFS(Table2[HomeWon_], Table2[GameIsOver],1,Table2[AwayTeam],$A43, Table2[HomeTeam], T$36, Table2[ActualResult], "SO") + SUMIFS(Table2[AwayWon], Table2[GameIsOver],1,Table2[HomeTeam],$A43, Table2[AwayTeam], T$36, Table2[ActualResult], "SO"))), "")</f>
        <v/>
      </c>
      <c r="U43" t="str">
        <f>IFERROR(((2*SUMIFS(Table2[AwayWon], Table2[GameIsOver],1,Table2[AwayTeam],$A43, Table2[HomeTeam], U$36) + SUMIFS(Table2[HomeWon_], Table2[GameIsOver],1,Table2[HomeTeam],$A43, Table2[AwayTeam], U$36)) + SUMIFS(Table2[AwayWon], Table2[GameIsOver],1,Table2[HomeTeam],$A43, Table2[AwayTeam], U$36, Table2[ActualResult], "REG") + SUMIFS(Table2[HomeWon_], Table2[GameIsOver],1,Table2[AwayTeam],$A43, Table2[HomeTeam], U$36, Table2[ActualResult], "OT") + SUMIFS(Table2[AwayWon], Table2[GameIsOver],1,Table2[HomeTeam],$A43, Table2[AwayTeam], U$36, Table2[ActualResult], "OT") + SUMIFS(Table2[HomeWon_], Table2[GameIsOver],1,Table2[AwayTeam],$A43, Table2[HomeTeam], U$36, Table2[ActualResult], "SO") + SUMIFS(Table2[AwayWon], Table2[GameIsOver],1,Table2[HomeTeam],$A43, Table2[AwayTeam], U$36, Table2[ActualResult], "SO")) / (2*(SUMIFS(Table2[AwayWon], Table2[GameIsOver],1,Table2[AwayTeam],$A43, Table2[HomeTeam], U$36) + SUMIFS(Table2[HomeWon_], Table2[GameIsOver],1,Table2[HomeTeam],$A43, Table2[AwayTeam], U$36) + SUMIFS(Table2[HomeWon_], Table2[GameIsOver],1,Table2[AwayTeam],$A43, Table2[HomeTeam], U$36, Table2[ActualResult], "REG") + SUMIFS(Table2[AwayWon], Table2[GameIsOver],1,Table2[HomeTeam],$A43, Table2[AwayTeam], U$36, Table2[ActualResult], "REG") + SUMIFS(Table2[HomeWon_], Table2[GameIsOver],1,Table2[AwayTeam],$A43, Table2[HomeTeam], U$36, Table2[ActualResult], "OT") + SUMIFS(Table2[AwayWon], Table2[GameIsOver],1,Table2[HomeTeam],$A43, Table2[AwayTeam], U$36, Table2[ActualResult], "OT") + SUMIFS(Table2[HomeWon_], Table2[GameIsOver],1,Table2[AwayTeam],$A43, Table2[HomeTeam], U$36, Table2[ActualResult], "SO") + SUMIFS(Table2[AwayWon], Table2[GameIsOver],1,Table2[HomeTeam],$A43, Table2[AwayTeam], U$36, Table2[ActualResult], "SO"))), "")</f>
        <v/>
      </c>
      <c r="V43" t="str">
        <f>IFERROR(((2*SUMIFS(Table2[AwayWon], Table2[GameIsOver],1,Table2[AwayTeam],$A43, Table2[HomeTeam], V$36) + SUMIFS(Table2[HomeWon_], Table2[GameIsOver],1,Table2[HomeTeam],$A43, Table2[AwayTeam], V$36)) + SUMIFS(Table2[AwayWon], Table2[GameIsOver],1,Table2[HomeTeam],$A43, Table2[AwayTeam], V$36, Table2[ActualResult], "REG") + SUMIFS(Table2[HomeWon_], Table2[GameIsOver],1,Table2[AwayTeam],$A43, Table2[HomeTeam], V$36, Table2[ActualResult], "OT") + SUMIFS(Table2[AwayWon], Table2[GameIsOver],1,Table2[HomeTeam],$A43, Table2[AwayTeam], V$36, Table2[ActualResult], "OT") + SUMIFS(Table2[HomeWon_], Table2[GameIsOver],1,Table2[AwayTeam],$A43, Table2[HomeTeam], V$36, Table2[ActualResult], "SO") + SUMIFS(Table2[AwayWon], Table2[GameIsOver],1,Table2[HomeTeam],$A43, Table2[AwayTeam], V$36, Table2[ActualResult], "SO")) / (2*(SUMIFS(Table2[AwayWon], Table2[GameIsOver],1,Table2[AwayTeam],$A43, Table2[HomeTeam], V$36) + SUMIFS(Table2[HomeWon_], Table2[GameIsOver],1,Table2[HomeTeam],$A43, Table2[AwayTeam], V$36) + SUMIFS(Table2[HomeWon_], Table2[GameIsOver],1,Table2[AwayTeam],$A43, Table2[HomeTeam], V$36, Table2[ActualResult], "REG") + SUMIFS(Table2[AwayWon], Table2[GameIsOver],1,Table2[HomeTeam],$A43, Table2[AwayTeam], V$36, Table2[ActualResult], "REG") + SUMIFS(Table2[HomeWon_], Table2[GameIsOver],1,Table2[AwayTeam],$A43, Table2[HomeTeam], V$36, Table2[ActualResult], "OT") + SUMIFS(Table2[AwayWon], Table2[GameIsOver],1,Table2[HomeTeam],$A43, Table2[AwayTeam], V$36, Table2[ActualResult], "OT") + SUMIFS(Table2[HomeWon_], Table2[GameIsOver],1,Table2[AwayTeam],$A43, Table2[HomeTeam], V$36, Table2[ActualResult], "SO") + SUMIFS(Table2[AwayWon], Table2[GameIsOver],1,Table2[HomeTeam],$A43, Table2[AwayTeam], V$36, Table2[ActualResult], "SO"))), "")</f>
        <v/>
      </c>
      <c r="W43" t="str">
        <f>IFERROR(((2*SUMIFS(Table2[AwayWon], Table2[GameIsOver],1,Table2[AwayTeam],$A43, Table2[HomeTeam], W$36) + SUMIFS(Table2[HomeWon_], Table2[GameIsOver],1,Table2[HomeTeam],$A43, Table2[AwayTeam], W$36)) + SUMIFS(Table2[AwayWon], Table2[GameIsOver],1,Table2[HomeTeam],$A43, Table2[AwayTeam], W$36, Table2[ActualResult], "REG") + SUMIFS(Table2[HomeWon_], Table2[GameIsOver],1,Table2[AwayTeam],$A43, Table2[HomeTeam], W$36, Table2[ActualResult], "OT") + SUMIFS(Table2[AwayWon], Table2[GameIsOver],1,Table2[HomeTeam],$A43, Table2[AwayTeam], W$36, Table2[ActualResult], "OT") + SUMIFS(Table2[HomeWon_], Table2[GameIsOver],1,Table2[AwayTeam],$A43, Table2[HomeTeam], W$36, Table2[ActualResult], "SO") + SUMIFS(Table2[AwayWon], Table2[GameIsOver],1,Table2[HomeTeam],$A43, Table2[AwayTeam], W$36, Table2[ActualResult], "SO")) / (2*(SUMIFS(Table2[AwayWon], Table2[GameIsOver],1,Table2[AwayTeam],$A43, Table2[HomeTeam], W$36) + SUMIFS(Table2[HomeWon_], Table2[GameIsOver],1,Table2[HomeTeam],$A43, Table2[AwayTeam], W$36) + SUMIFS(Table2[HomeWon_], Table2[GameIsOver],1,Table2[AwayTeam],$A43, Table2[HomeTeam], W$36, Table2[ActualResult], "REG") + SUMIFS(Table2[AwayWon], Table2[GameIsOver],1,Table2[HomeTeam],$A43, Table2[AwayTeam], W$36, Table2[ActualResult], "REG") + SUMIFS(Table2[HomeWon_], Table2[GameIsOver],1,Table2[AwayTeam],$A43, Table2[HomeTeam], W$36, Table2[ActualResult], "OT") + SUMIFS(Table2[AwayWon], Table2[GameIsOver],1,Table2[HomeTeam],$A43, Table2[AwayTeam], W$36, Table2[ActualResult], "OT") + SUMIFS(Table2[HomeWon_], Table2[GameIsOver],1,Table2[AwayTeam],$A43, Table2[HomeTeam], W$36, Table2[ActualResult], "SO") + SUMIFS(Table2[AwayWon], Table2[GameIsOver],1,Table2[HomeTeam],$A43, Table2[AwayTeam], W$36, Table2[ActualResult], "SO"))), "")</f>
        <v/>
      </c>
      <c r="X43">
        <f>IFERROR(((2*SUMIFS(Table2[AwayWon], Table2[GameIsOver],1,Table2[AwayTeam],$A43, Table2[HomeTeam], X$36) + SUMIFS(Table2[HomeWon_], Table2[GameIsOver],1,Table2[HomeTeam],$A43, Table2[AwayTeam], X$36)) + SUMIFS(Table2[AwayWon], Table2[GameIsOver],1,Table2[HomeTeam],$A43, Table2[AwayTeam], X$36, Table2[ActualResult], "REG") + SUMIFS(Table2[HomeWon_], Table2[GameIsOver],1,Table2[AwayTeam],$A43, Table2[HomeTeam], X$36, Table2[ActualResult], "OT") + SUMIFS(Table2[AwayWon], Table2[GameIsOver],1,Table2[HomeTeam],$A43, Table2[AwayTeam], X$36, Table2[ActualResult], "OT") + SUMIFS(Table2[HomeWon_], Table2[GameIsOver],1,Table2[AwayTeam],$A43, Table2[HomeTeam], X$36, Table2[ActualResult], "SO") + SUMIFS(Table2[AwayWon], Table2[GameIsOver],1,Table2[HomeTeam],$A43, Table2[AwayTeam], X$36, Table2[ActualResult], "SO")) / (2*(SUMIFS(Table2[AwayWon], Table2[GameIsOver],1,Table2[AwayTeam],$A43, Table2[HomeTeam], X$36) + SUMIFS(Table2[HomeWon_], Table2[GameIsOver],1,Table2[HomeTeam],$A43, Table2[AwayTeam], X$36) + SUMIFS(Table2[HomeWon_], Table2[GameIsOver],1,Table2[AwayTeam],$A43, Table2[HomeTeam], X$36, Table2[ActualResult], "REG") + SUMIFS(Table2[AwayWon], Table2[GameIsOver],1,Table2[HomeTeam],$A43, Table2[AwayTeam], X$36, Table2[ActualResult], "REG") + SUMIFS(Table2[HomeWon_], Table2[GameIsOver],1,Table2[AwayTeam],$A43, Table2[HomeTeam], X$36, Table2[ActualResult], "OT") + SUMIFS(Table2[AwayWon], Table2[GameIsOver],1,Table2[HomeTeam],$A43, Table2[AwayTeam], X$36, Table2[ActualResult], "OT") + SUMIFS(Table2[HomeWon_], Table2[GameIsOver],1,Table2[AwayTeam],$A43, Table2[HomeTeam], X$36, Table2[ActualResult], "SO") + SUMIFS(Table2[AwayWon], Table2[GameIsOver],1,Table2[HomeTeam],$A43, Table2[AwayTeam], X$36, Table2[ActualResult], "SO"))), "")</f>
        <v>0</v>
      </c>
      <c r="Y43" s="57">
        <f>IFERROR(((2*SUMIFS(Table2[AwayWon], Table2[GameIsOver],1,Table2[AwayTeam],$A43, Table2[HomeTeam], Y$36) + SUMIFS(Table2[HomeWon_], Table2[GameIsOver],1,Table2[HomeTeam],$A43, Table2[AwayTeam], Y$36)) + SUMIFS(Table2[AwayWon], Table2[GameIsOver],1,Table2[HomeTeam],$A43, Table2[AwayTeam], Y$36, Table2[ActualResult], "REG") + SUMIFS(Table2[HomeWon_], Table2[GameIsOver],1,Table2[AwayTeam],$A43, Table2[HomeTeam], Y$36, Table2[ActualResult], "OT") + SUMIFS(Table2[AwayWon], Table2[GameIsOver],1,Table2[HomeTeam],$A43, Table2[AwayTeam], Y$36, Table2[ActualResult], "OT") + SUMIFS(Table2[HomeWon_], Table2[GameIsOver],1,Table2[AwayTeam],$A43, Table2[HomeTeam], Y$36, Table2[ActualResult], "SO") + SUMIFS(Table2[AwayWon], Table2[GameIsOver],1,Table2[HomeTeam],$A43, Table2[AwayTeam], Y$36, Table2[ActualResult], "SO")) / (2*(SUMIFS(Table2[AwayWon], Table2[GameIsOver],1,Table2[AwayTeam],$A43, Table2[HomeTeam], Y$36) + SUMIFS(Table2[HomeWon_], Table2[GameIsOver],1,Table2[HomeTeam],$A43, Table2[AwayTeam], Y$36) + SUMIFS(Table2[HomeWon_], Table2[GameIsOver],1,Table2[AwayTeam],$A43, Table2[HomeTeam], Y$36, Table2[ActualResult], "REG") + SUMIFS(Table2[AwayWon], Table2[GameIsOver],1,Table2[HomeTeam],$A43, Table2[AwayTeam], Y$36, Table2[ActualResult], "REG") + SUMIFS(Table2[HomeWon_], Table2[GameIsOver],1,Table2[AwayTeam],$A43, Table2[HomeTeam], Y$36, Table2[ActualResult], "OT") + SUMIFS(Table2[AwayWon], Table2[GameIsOver],1,Table2[HomeTeam],$A43, Table2[AwayTeam], Y$36, Table2[ActualResult], "OT") + SUMIFS(Table2[HomeWon_], Table2[GameIsOver],1,Table2[AwayTeam],$A43, Table2[HomeTeam], Y$36, Table2[ActualResult], "SO") + SUMIFS(Table2[AwayWon], Table2[GameIsOver],1,Table2[HomeTeam],$A43, Table2[AwayTeam], Y$36, Table2[ActualResult], "SO"))), "")</f>
        <v>1</v>
      </c>
      <c r="Z43" t="str">
        <f>IFERROR(((2*SUMIFS(Table2[AwayWon], Table2[GameIsOver],1,Table2[AwayTeam],$A43, Table2[HomeTeam], Z$36) + SUMIFS(Table2[HomeWon_], Table2[GameIsOver],1,Table2[HomeTeam],$A43, Table2[AwayTeam], Z$36)) + SUMIFS(Table2[AwayWon], Table2[GameIsOver],1,Table2[HomeTeam],$A43, Table2[AwayTeam], Z$36, Table2[ActualResult], "REG") + SUMIFS(Table2[HomeWon_], Table2[GameIsOver],1,Table2[AwayTeam],$A43, Table2[HomeTeam], Z$36, Table2[ActualResult], "OT") + SUMIFS(Table2[AwayWon], Table2[GameIsOver],1,Table2[HomeTeam],$A43, Table2[AwayTeam], Z$36, Table2[ActualResult], "OT") + SUMIFS(Table2[HomeWon_], Table2[GameIsOver],1,Table2[AwayTeam],$A43, Table2[HomeTeam], Z$36, Table2[ActualResult], "SO") + SUMIFS(Table2[AwayWon], Table2[GameIsOver],1,Table2[HomeTeam],$A43, Table2[AwayTeam], Z$36, Table2[ActualResult], "SO")) / (2*(SUMIFS(Table2[AwayWon], Table2[GameIsOver],1,Table2[AwayTeam],$A43, Table2[HomeTeam], Z$36) + SUMIFS(Table2[HomeWon_], Table2[GameIsOver],1,Table2[HomeTeam],$A43, Table2[AwayTeam], Z$36) + SUMIFS(Table2[HomeWon_], Table2[GameIsOver],1,Table2[AwayTeam],$A43, Table2[HomeTeam], Z$36, Table2[ActualResult], "REG") + SUMIFS(Table2[AwayWon], Table2[GameIsOver],1,Table2[HomeTeam],$A43, Table2[AwayTeam], Z$36, Table2[ActualResult], "REG") + SUMIFS(Table2[HomeWon_], Table2[GameIsOver],1,Table2[AwayTeam],$A43, Table2[HomeTeam], Z$36, Table2[ActualResult], "OT") + SUMIFS(Table2[AwayWon], Table2[GameIsOver],1,Table2[HomeTeam],$A43, Table2[AwayTeam], Z$36, Table2[ActualResult], "OT") + SUMIFS(Table2[HomeWon_], Table2[GameIsOver],1,Table2[AwayTeam],$A43, Table2[HomeTeam], Z$36, Table2[ActualResult], "SO") + SUMIFS(Table2[AwayWon], Table2[GameIsOver],1,Table2[HomeTeam],$A43, Table2[AwayTeam], Z$36, Table2[ActualResult], "SO"))), "")</f>
        <v/>
      </c>
      <c r="AA43" t="str">
        <f>IFERROR(((2*SUMIFS(Table2[AwayWon], Table2[GameIsOver],1,Table2[AwayTeam],$A43, Table2[HomeTeam], AA$36) + SUMIFS(Table2[HomeWon_], Table2[GameIsOver],1,Table2[HomeTeam],$A43, Table2[AwayTeam], AA$36)) + SUMIFS(Table2[AwayWon], Table2[GameIsOver],1,Table2[HomeTeam],$A43, Table2[AwayTeam], AA$36, Table2[ActualResult], "REG") + SUMIFS(Table2[HomeWon_], Table2[GameIsOver],1,Table2[AwayTeam],$A43, Table2[HomeTeam], AA$36, Table2[ActualResult], "OT") + SUMIFS(Table2[AwayWon], Table2[GameIsOver],1,Table2[HomeTeam],$A43, Table2[AwayTeam], AA$36, Table2[ActualResult], "OT") + SUMIFS(Table2[HomeWon_], Table2[GameIsOver],1,Table2[AwayTeam],$A43, Table2[HomeTeam], AA$36, Table2[ActualResult], "SO") + SUMIFS(Table2[AwayWon], Table2[GameIsOver],1,Table2[HomeTeam],$A43, Table2[AwayTeam], AA$36, Table2[ActualResult], "SO")) / (2*(SUMIFS(Table2[AwayWon], Table2[GameIsOver],1,Table2[AwayTeam],$A43, Table2[HomeTeam], AA$36) + SUMIFS(Table2[HomeWon_], Table2[GameIsOver],1,Table2[HomeTeam],$A43, Table2[AwayTeam], AA$36) + SUMIFS(Table2[HomeWon_], Table2[GameIsOver],1,Table2[AwayTeam],$A43, Table2[HomeTeam], AA$36, Table2[ActualResult], "REG") + SUMIFS(Table2[AwayWon], Table2[GameIsOver],1,Table2[HomeTeam],$A43, Table2[AwayTeam], AA$36, Table2[ActualResult], "REG") + SUMIFS(Table2[HomeWon_], Table2[GameIsOver],1,Table2[AwayTeam],$A43, Table2[HomeTeam], AA$36, Table2[ActualResult], "OT") + SUMIFS(Table2[AwayWon], Table2[GameIsOver],1,Table2[HomeTeam],$A43, Table2[AwayTeam], AA$36, Table2[ActualResult], "OT") + SUMIFS(Table2[HomeWon_], Table2[GameIsOver],1,Table2[AwayTeam],$A43, Table2[HomeTeam], AA$36, Table2[ActualResult], "SO") + SUMIFS(Table2[AwayWon], Table2[GameIsOver],1,Table2[HomeTeam],$A43, Table2[AwayTeam], AA$36, Table2[ActualResult], "SO"))), "")</f>
        <v/>
      </c>
      <c r="AB43" t="str">
        <f>IFERROR(((2*SUMIFS(Table2[AwayWon], Table2[GameIsOver],1,Table2[AwayTeam],$A43, Table2[HomeTeam], AB$36) + SUMIFS(Table2[HomeWon_], Table2[GameIsOver],1,Table2[HomeTeam],$A43, Table2[AwayTeam], AB$36)) + SUMIFS(Table2[AwayWon], Table2[GameIsOver],1,Table2[HomeTeam],$A43, Table2[AwayTeam], AB$36, Table2[ActualResult], "REG") + SUMIFS(Table2[HomeWon_], Table2[GameIsOver],1,Table2[AwayTeam],$A43, Table2[HomeTeam], AB$36, Table2[ActualResult], "OT") + SUMIFS(Table2[AwayWon], Table2[GameIsOver],1,Table2[HomeTeam],$A43, Table2[AwayTeam], AB$36, Table2[ActualResult], "OT") + SUMIFS(Table2[HomeWon_], Table2[GameIsOver],1,Table2[AwayTeam],$A43, Table2[HomeTeam], AB$36, Table2[ActualResult], "SO") + SUMIFS(Table2[AwayWon], Table2[GameIsOver],1,Table2[HomeTeam],$A43, Table2[AwayTeam], AB$36, Table2[ActualResult], "SO")) / (2*(SUMIFS(Table2[AwayWon], Table2[GameIsOver],1,Table2[AwayTeam],$A43, Table2[HomeTeam], AB$36) + SUMIFS(Table2[HomeWon_], Table2[GameIsOver],1,Table2[HomeTeam],$A43, Table2[AwayTeam], AB$36) + SUMIFS(Table2[HomeWon_], Table2[GameIsOver],1,Table2[AwayTeam],$A43, Table2[HomeTeam], AB$36, Table2[ActualResult], "REG") + SUMIFS(Table2[AwayWon], Table2[GameIsOver],1,Table2[HomeTeam],$A43, Table2[AwayTeam], AB$36, Table2[ActualResult], "REG") + SUMIFS(Table2[HomeWon_], Table2[GameIsOver],1,Table2[AwayTeam],$A43, Table2[HomeTeam], AB$36, Table2[ActualResult], "OT") + SUMIFS(Table2[AwayWon], Table2[GameIsOver],1,Table2[HomeTeam],$A43, Table2[AwayTeam], AB$36, Table2[ActualResult], "OT") + SUMIFS(Table2[HomeWon_], Table2[GameIsOver],1,Table2[AwayTeam],$A43, Table2[HomeTeam], AB$36, Table2[ActualResult], "SO") + SUMIFS(Table2[AwayWon], Table2[GameIsOver],1,Table2[HomeTeam],$A43, Table2[AwayTeam], AB$36, Table2[ActualResult], "SO"))), "")</f>
        <v/>
      </c>
      <c r="AC43" t="str">
        <f>IFERROR(((2*SUMIFS(Table2[AwayWon], Table2[GameIsOver],1,Table2[AwayTeam],$A43, Table2[HomeTeam], AC$36) + SUMIFS(Table2[HomeWon_], Table2[GameIsOver],1,Table2[HomeTeam],$A43, Table2[AwayTeam], AC$36)) + SUMIFS(Table2[AwayWon], Table2[GameIsOver],1,Table2[HomeTeam],$A43, Table2[AwayTeam], AC$36, Table2[ActualResult], "REG") + SUMIFS(Table2[HomeWon_], Table2[GameIsOver],1,Table2[AwayTeam],$A43, Table2[HomeTeam], AC$36, Table2[ActualResult], "OT") + SUMIFS(Table2[AwayWon], Table2[GameIsOver],1,Table2[HomeTeam],$A43, Table2[AwayTeam], AC$36, Table2[ActualResult], "OT") + SUMIFS(Table2[HomeWon_], Table2[GameIsOver],1,Table2[AwayTeam],$A43, Table2[HomeTeam], AC$36, Table2[ActualResult], "SO") + SUMIFS(Table2[AwayWon], Table2[GameIsOver],1,Table2[HomeTeam],$A43, Table2[AwayTeam], AC$36, Table2[ActualResult], "SO")) / (2*(SUMIFS(Table2[AwayWon], Table2[GameIsOver],1,Table2[AwayTeam],$A43, Table2[HomeTeam], AC$36) + SUMIFS(Table2[HomeWon_], Table2[GameIsOver],1,Table2[HomeTeam],$A43, Table2[AwayTeam], AC$36) + SUMIFS(Table2[HomeWon_], Table2[GameIsOver],1,Table2[AwayTeam],$A43, Table2[HomeTeam], AC$36, Table2[ActualResult], "REG") + SUMIFS(Table2[AwayWon], Table2[GameIsOver],1,Table2[HomeTeam],$A43, Table2[AwayTeam], AC$36, Table2[ActualResult], "REG") + SUMIFS(Table2[HomeWon_], Table2[GameIsOver],1,Table2[AwayTeam],$A43, Table2[HomeTeam], AC$36, Table2[ActualResult], "OT") + SUMIFS(Table2[AwayWon], Table2[GameIsOver],1,Table2[HomeTeam],$A43, Table2[AwayTeam], AC$36, Table2[ActualResult], "OT") + SUMIFS(Table2[HomeWon_], Table2[GameIsOver],1,Table2[AwayTeam],$A43, Table2[HomeTeam], AC$36, Table2[ActualResult], "SO") + SUMIFS(Table2[AwayWon], Table2[GameIsOver],1,Table2[HomeTeam],$A43, Table2[AwayTeam], AC$36, Table2[ActualResult], "SO"))), "")</f>
        <v/>
      </c>
      <c r="AD43" t="str">
        <f>IFERROR(((2*SUMIFS(Table2[AwayWon], Table2[GameIsOver],1,Table2[AwayTeam],$A43, Table2[HomeTeam], AD$36) + SUMIFS(Table2[HomeWon_], Table2[GameIsOver],1,Table2[HomeTeam],$A43, Table2[AwayTeam], AD$36)) + SUMIFS(Table2[AwayWon], Table2[GameIsOver],1,Table2[HomeTeam],$A43, Table2[AwayTeam], AD$36, Table2[ActualResult], "REG") + SUMIFS(Table2[HomeWon_], Table2[GameIsOver],1,Table2[AwayTeam],$A43, Table2[HomeTeam], AD$36, Table2[ActualResult], "OT") + SUMIFS(Table2[AwayWon], Table2[GameIsOver],1,Table2[HomeTeam],$A43, Table2[AwayTeam], AD$36, Table2[ActualResult], "OT") + SUMIFS(Table2[HomeWon_], Table2[GameIsOver],1,Table2[AwayTeam],$A43, Table2[HomeTeam], AD$36, Table2[ActualResult], "SO") + SUMIFS(Table2[AwayWon], Table2[GameIsOver],1,Table2[HomeTeam],$A43, Table2[AwayTeam], AD$36, Table2[ActualResult], "SO")) / (2*(SUMIFS(Table2[AwayWon], Table2[GameIsOver],1,Table2[AwayTeam],$A43, Table2[HomeTeam], AD$36) + SUMIFS(Table2[HomeWon_], Table2[GameIsOver],1,Table2[HomeTeam],$A43, Table2[AwayTeam], AD$36) + SUMIFS(Table2[HomeWon_], Table2[GameIsOver],1,Table2[AwayTeam],$A43, Table2[HomeTeam], AD$36, Table2[ActualResult], "REG") + SUMIFS(Table2[AwayWon], Table2[GameIsOver],1,Table2[HomeTeam],$A43, Table2[AwayTeam], AD$36, Table2[ActualResult], "REG") + SUMIFS(Table2[HomeWon_], Table2[GameIsOver],1,Table2[AwayTeam],$A43, Table2[HomeTeam], AD$36, Table2[ActualResult], "OT") + SUMIFS(Table2[AwayWon], Table2[GameIsOver],1,Table2[HomeTeam],$A43, Table2[AwayTeam], AD$36, Table2[ActualResult], "OT") + SUMIFS(Table2[HomeWon_], Table2[GameIsOver],1,Table2[AwayTeam],$A43, Table2[HomeTeam], AD$36, Table2[ActualResult], "SO") + SUMIFS(Table2[AwayWon], Table2[GameIsOver],1,Table2[HomeTeam],$A43, Table2[AwayTeam], AD$36, Table2[ActualResult], "SO"))), "")</f>
        <v/>
      </c>
      <c r="AE43" t="str">
        <f>IFERROR(((2*SUMIFS(Table2[AwayWon], Table2[GameIsOver],1,Table2[AwayTeam],$A43, Table2[HomeTeam], AE$36) + SUMIFS(Table2[HomeWon_], Table2[GameIsOver],1,Table2[HomeTeam],$A43, Table2[AwayTeam], AE$36)) + SUMIFS(Table2[AwayWon], Table2[GameIsOver],1,Table2[HomeTeam],$A43, Table2[AwayTeam], AE$36, Table2[ActualResult], "REG") + SUMIFS(Table2[HomeWon_], Table2[GameIsOver],1,Table2[AwayTeam],$A43, Table2[HomeTeam], AE$36, Table2[ActualResult], "OT") + SUMIFS(Table2[AwayWon], Table2[GameIsOver],1,Table2[HomeTeam],$A43, Table2[AwayTeam], AE$36, Table2[ActualResult], "OT") + SUMIFS(Table2[HomeWon_], Table2[GameIsOver],1,Table2[AwayTeam],$A43, Table2[HomeTeam], AE$36, Table2[ActualResult], "SO") + SUMIFS(Table2[AwayWon], Table2[GameIsOver],1,Table2[HomeTeam],$A43, Table2[AwayTeam], AE$36, Table2[ActualResult], "SO")) / (2*(SUMIFS(Table2[AwayWon], Table2[GameIsOver],1,Table2[AwayTeam],$A43, Table2[HomeTeam], AE$36) + SUMIFS(Table2[HomeWon_], Table2[GameIsOver],1,Table2[HomeTeam],$A43, Table2[AwayTeam], AE$36) + SUMIFS(Table2[HomeWon_], Table2[GameIsOver],1,Table2[AwayTeam],$A43, Table2[HomeTeam], AE$36, Table2[ActualResult], "REG") + SUMIFS(Table2[AwayWon], Table2[GameIsOver],1,Table2[HomeTeam],$A43, Table2[AwayTeam], AE$36, Table2[ActualResult], "REG") + SUMIFS(Table2[HomeWon_], Table2[GameIsOver],1,Table2[AwayTeam],$A43, Table2[HomeTeam], AE$36, Table2[ActualResult], "OT") + SUMIFS(Table2[AwayWon], Table2[GameIsOver],1,Table2[HomeTeam],$A43, Table2[AwayTeam], AE$36, Table2[ActualResult], "OT") + SUMIFS(Table2[HomeWon_], Table2[GameIsOver],1,Table2[AwayTeam],$A43, Table2[HomeTeam], AE$36, Table2[ActualResult], "SO") + SUMIFS(Table2[AwayWon], Table2[GameIsOver],1,Table2[HomeTeam],$A43, Table2[AwayTeam], AE$36, Table2[ActualResult], "SO"))), "")</f>
        <v/>
      </c>
      <c r="AF43" t="str">
        <f>IFERROR(((2*SUMIFS(Table2[AwayWon], Table2[GameIsOver],1,Table2[AwayTeam],$A43, Table2[HomeTeam], AF$36) + SUMIFS(Table2[HomeWon_], Table2[GameIsOver],1,Table2[HomeTeam],$A43, Table2[AwayTeam], AF$36)) + SUMIFS(Table2[AwayWon], Table2[GameIsOver],1,Table2[HomeTeam],$A43, Table2[AwayTeam], AF$36, Table2[ActualResult], "REG") + SUMIFS(Table2[HomeWon_], Table2[GameIsOver],1,Table2[AwayTeam],$A43, Table2[HomeTeam], AF$36, Table2[ActualResult], "OT") + SUMIFS(Table2[AwayWon], Table2[GameIsOver],1,Table2[HomeTeam],$A43, Table2[AwayTeam], AF$36, Table2[ActualResult], "OT") + SUMIFS(Table2[HomeWon_], Table2[GameIsOver],1,Table2[AwayTeam],$A43, Table2[HomeTeam], AF$36, Table2[ActualResult], "SO") + SUMIFS(Table2[AwayWon], Table2[GameIsOver],1,Table2[HomeTeam],$A43, Table2[AwayTeam], AF$36, Table2[ActualResult], "SO")) / (2*(SUMIFS(Table2[AwayWon], Table2[GameIsOver],1,Table2[AwayTeam],$A43, Table2[HomeTeam], AF$36) + SUMIFS(Table2[HomeWon_], Table2[GameIsOver],1,Table2[HomeTeam],$A43, Table2[AwayTeam], AF$36) + SUMIFS(Table2[HomeWon_], Table2[GameIsOver],1,Table2[AwayTeam],$A43, Table2[HomeTeam], AF$36, Table2[ActualResult], "REG") + SUMIFS(Table2[AwayWon], Table2[GameIsOver],1,Table2[HomeTeam],$A43, Table2[AwayTeam], AF$36, Table2[ActualResult], "REG") + SUMIFS(Table2[HomeWon_], Table2[GameIsOver],1,Table2[AwayTeam],$A43, Table2[HomeTeam], AF$36, Table2[ActualResult], "OT") + SUMIFS(Table2[AwayWon], Table2[GameIsOver],1,Table2[HomeTeam],$A43, Table2[AwayTeam], AF$36, Table2[ActualResult], "OT") + SUMIFS(Table2[HomeWon_], Table2[GameIsOver],1,Table2[AwayTeam],$A43, Table2[HomeTeam], AF$36, Table2[ActualResult], "SO") + SUMIFS(Table2[AwayWon], Table2[GameIsOver],1,Table2[HomeTeam],$A43, Table2[AwayTeam], AF$36, Table2[ActualResult], "SO"))), "")</f>
        <v/>
      </c>
      <c r="AG43" s="57" t="str">
        <f>IFERROR(((2*SUMIFS(Table2[AwayWon], Table2[GameIsOver],1,Table2[AwayTeam],$A43, Table2[HomeTeam], AG$36) + SUMIFS(Table2[HomeWon_], Table2[GameIsOver],1,Table2[HomeTeam],$A43, Table2[AwayTeam], AG$36)) + SUMIFS(Table2[AwayWon], Table2[GameIsOver],1,Table2[HomeTeam],$A43, Table2[AwayTeam], AG$36, Table2[ActualResult], "REG") + SUMIFS(Table2[HomeWon_], Table2[GameIsOver],1,Table2[AwayTeam],$A43, Table2[HomeTeam], AG$36, Table2[ActualResult], "OT") + SUMIFS(Table2[AwayWon], Table2[GameIsOver],1,Table2[HomeTeam],$A43, Table2[AwayTeam], AG$36, Table2[ActualResult], "OT") + SUMIFS(Table2[HomeWon_], Table2[GameIsOver],1,Table2[AwayTeam],$A43, Table2[HomeTeam], AG$36, Table2[ActualResult], "SO") + SUMIFS(Table2[AwayWon], Table2[GameIsOver],1,Table2[HomeTeam],$A43, Table2[AwayTeam], AG$36, Table2[ActualResult], "SO")) / (2*(SUMIFS(Table2[AwayWon], Table2[GameIsOver],1,Table2[AwayTeam],$A43, Table2[HomeTeam], AG$36) + SUMIFS(Table2[HomeWon_], Table2[GameIsOver],1,Table2[HomeTeam],$A43, Table2[AwayTeam], AG$36) + SUMIFS(Table2[HomeWon_], Table2[GameIsOver],1,Table2[AwayTeam],$A43, Table2[HomeTeam], AG$36, Table2[ActualResult], "REG") + SUMIFS(Table2[AwayWon], Table2[GameIsOver],1,Table2[HomeTeam],$A43, Table2[AwayTeam], AG$36, Table2[ActualResult], "REG") + SUMIFS(Table2[HomeWon_], Table2[GameIsOver],1,Table2[AwayTeam],$A43, Table2[HomeTeam], AG$36, Table2[ActualResult], "OT") + SUMIFS(Table2[AwayWon], Table2[GameIsOver],1,Table2[HomeTeam],$A43, Table2[AwayTeam], AG$36, Table2[ActualResult], "OT") + SUMIFS(Table2[HomeWon_], Table2[GameIsOver],1,Table2[AwayTeam],$A43, Table2[HomeTeam], AG$36, Table2[ActualResult], "SO") + SUMIFS(Table2[AwayWon], Table2[GameIsOver],1,Table2[HomeTeam],$A43, Table2[AwayTeam], AG$36, Table2[ActualResult], "SO"))), "")</f>
        <v/>
      </c>
      <c r="AH43" s="101">
        <f t="shared" si="0"/>
        <v>0.5</v>
      </c>
      <c r="AI43" s="101">
        <f t="shared" si="1"/>
        <v>0.6</v>
      </c>
      <c r="AJ43" s="103" t="e">
        <f t="shared" si="2"/>
        <v>#DIV/0!</v>
      </c>
      <c r="AK43" s="103">
        <f t="shared" si="3"/>
        <v>0.5</v>
      </c>
      <c r="AL43" s="103">
        <f t="shared" si="4"/>
        <v>0.83333333333333337</v>
      </c>
      <c r="AM43" s="103">
        <f t="shared" si="5"/>
        <v>0.25</v>
      </c>
    </row>
    <row r="44" spans="1:39" ht="15.75" thickBot="1" x14ac:dyDescent="0.3">
      <c r="A44" s="59" t="s">
        <v>26</v>
      </c>
      <c r="B44" s="95" t="str">
        <f>IFERROR(((2*SUMIFS(Table2[AwayWon], Table2[GameIsOver],1,Table2[AwayTeam],$A44, Table2[HomeTeam], B$36) + SUMIFS(Table2[HomeWon_], Table2[GameIsOver],1,Table2[HomeTeam],$A44, Table2[AwayTeam], B$36)) + SUMIFS(Table2[AwayWon], Table2[GameIsOver],1,Table2[HomeTeam],$A44, Table2[AwayTeam], B$36, Table2[ActualResult], "REG") + SUMIFS(Table2[HomeWon_], Table2[GameIsOver],1,Table2[AwayTeam],$A44, Table2[HomeTeam], B$36, Table2[ActualResult], "OT") + SUMIFS(Table2[AwayWon], Table2[GameIsOver],1,Table2[HomeTeam],$A44, Table2[AwayTeam], B$36, Table2[ActualResult], "OT") + SUMIFS(Table2[HomeWon_], Table2[GameIsOver],1,Table2[AwayTeam],$A44, Table2[HomeTeam], B$36, Table2[ActualResult], "SO") + SUMIFS(Table2[AwayWon], Table2[GameIsOver],1,Table2[HomeTeam],$A44, Table2[AwayTeam], B$36, Table2[ActualResult], "SO")) / (2*(SUMIFS(Table2[AwayWon], Table2[GameIsOver],1,Table2[AwayTeam],$A44, Table2[HomeTeam], B$36) + SUMIFS(Table2[HomeWon_], Table2[GameIsOver],1,Table2[HomeTeam],$A44, Table2[AwayTeam], B$36) + SUMIFS(Table2[HomeWon_], Table2[GameIsOver],1,Table2[AwayTeam],$A44, Table2[HomeTeam], B$36, Table2[ActualResult], "REG") + SUMIFS(Table2[AwayWon], Table2[GameIsOver],1,Table2[HomeTeam],$A44, Table2[AwayTeam], B$36, Table2[ActualResult], "REG") + SUMIFS(Table2[HomeWon_], Table2[GameIsOver],1,Table2[AwayTeam],$A44, Table2[HomeTeam], B$36, Table2[ActualResult], "OT") + SUMIFS(Table2[AwayWon], Table2[GameIsOver],1,Table2[HomeTeam],$A44, Table2[AwayTeam], B$36, Table2[ActualResult], "OT") + SUMIFS(Table2[HomeWon_], Table2[GameIsOver],1,Table2[AwayTeam],$A44, Table2[HomeTeam], B$36, Table2[ActualResult], "SO") + SUMIFS(Table2[AwayWon], Table2[GameIsOver],1,Table2[HomeTeam],$A44, Table2[AwayTeam], B$36, Table2[ActualResult], "SO"))), "")</f>
        <v/>
      </c>
      <c r="C44" s="96">
        <f>IFERROR(((2*SUMIFS(Table2[AwayWon], Table2[GameIsOver],1,Table2[AwayTeam],$A44, Table2[HomeTeam], C$36) + SUMIFS(Table2[HomeWon_], Table2[GameIsOver],1,Table2[HomeTeam],$A44, Table2[AwayTeam], C$36)) + SUMIFS(Table2[AwayWon], Table2[GameIsOver],1,Table2[HomeTeam],$A44, Table2[AwayTeam], C$36, Table2[ActualResult], "REG") + SUMIFS(Table2[HomeWon_], Table2[GameIsOver],1,Table2[AwayTeam],$A44, Table2[HomeTeam], C$36, Table2[ActualResult], "OT") + SUMIFS(Table2[AwayWon], Table2[GameIsOver],1,Table2[HomeTeam],$A44, Table2[AwayTeam], C$36, Table2[ActualResult], "OT") + SUMIFS(Table2[HomeWon_], Table2[GameIsOver],1,Table2[AwayTeam],$A44, Table2[HomeTeam], C$36, Table2[ActualResult], "SO") + SUMIFS(Table2[AwayWon], Table2[GameIsOver],1,Table2[HomeTeam],$A44, Table2[AwayTeam], C$36, Table2[ActualResult], "SO")) / (2*(SUMIFS(Table2[AwayWon], Table2[GameIsOver],1,Table2[AwayTeam],$A44, Table2[HomeTeam], C$36) + SUMIFS(Table2[HomeWon_], Table2[GameIsOver],1,Table2[HomeTeam],$A44, Table2[AwayTeam], C$36) + SUMIFS(Table2[HomeWon_], Table2[GameIsOver],1,Table2[AwayTeam],$A44, Table2[HomeTeam], C$36, Table2[ActualResult], "REG") + SUMIFS(Table2[AwayWon], Table2[GameIsOver],1,Table2[HomeTeam],$A44, Table2[AwayTeam], C$36, Table2[ActualResult], "REG") + SUMIFS(Table2[HomeWon_], Table2[GameIsOver],1,Table2[AwayTeam],$A44, Table2[HomeTeam], C$36, Table2[ActualResult], "OT") + SUMIFS(Table2[AwayWon], Table2[GameIsOver],1,Table2[HomeTeam],$A44, Table2[AwayTeam], C$36, Table2[ActualResult], "OT") + SUMIFS(Table2[HomeWon_], Table2[GameIsOver],1,Table2[AwayTeam],$A44, Table2[HomeTeam], C$36, Table2[ActualResult], "SO") + SUMIFS(Table2[AwayWon], Table2[GameIsOver],1,Table2[HomeTeam],$A44, Table2[AwayTeam], C$36, Table2[ActualResult], "SO"))), "")</f>
        <v>0.75</v>
      </c>
      <c r="D44" s="58" t="str">
        <f>IFERROR(((2*SUMIFS(Table2[AwayWon], Table2[GameIsOver],1,Table2[AwayTeam],$A44, Table2[HomeTeam], D$36) + SUMIFS(Table2[HomeWon_], Table2[GameIsOver],1,Table2[HomeTeam],$A44, Table2[AwayTeam], D$36)) + SUMIFS(Table2[AwayWon], Table2[GameIsOver],1,Table2[HomeTeam],$A44, Table2[AwayTeam], D$36, Table2[ActualResult], "REG") + SUMIFS(Table2[HomeWon_], Table2[GameIsOver],1,Table2[AwayTeam],$A44, Table2[HomeTeam], D$36, Table2[ActualResult], "OT") + SUMIFS(Table2[AwayWon], Table2[GameIsOver],1,Table2[HomeTeam],$A44, Table2[AwayTeam], D$36, Table2[ActualResult], "OT") + SUMIFS(Table2[HomeWon_], Table2[GameIsOver],1,Table2[AwayTeam],$A44, Table2[HomeTeam], D$36, Table2[ActualResult], "SO") + SUMIFS(Table2[AwayWon], Table2[GameIsOver],1,Table2[HomeTeam],$A44, Table2[AwayTeam], D$36, Table2[ActualResult], "SO")) / (2*(SUMIFS(Table2[AwayWon], Table2[GameIsOver],1,Table2[AwayTeam],$A44, Table2[HomeTeam], D$36) + SUMIFS(Table2[HomeWon_], Table2[GameIsOver],1,Table2[HomeTeam],$A44, Table2[AwayTeam], D$36) + SUMIFS(Table2[HomeWon_], Table2[GameIsOver],1,Table2[AwayTeam],$A44, Table2[HomeTeam], D$36, Table2[ActualResult], "REG") + SUMIFS(Table2[AwayWon], Table2[GameIsOver],1,Table2[HomeTeam],$A44, Table2[AwayTeam], D$36, Table2[ActualResult], "REG") + SUMIFS(Table2[HomeWon_], Table2[GameIsOver],1,Table2[AwayTeam],$A44, Table2[HomeTeam], D$36, Table2[ActualResult], "OT") + SUMIFS(Table2[AwayWon], Table2[GameIsOver],1,Table2[HomeTeam],$A44, Table2[AwayTeam], D$36, Table2[ActualResult], "OT") + SUMIFS(Table2[HomeWon_], Table2[GameIsOver],1,Table2[AwayTeam],$A44, Table2[HomeTeam], D$36, Table2[ActualResult], "SO") + SUMIFS(Table2[AwayWon], Table2[GameIsOver],1,Table2[HomeTeam],$A44, Table2[AwayTeam], D$36, Table2[ActualResult], "SO"))), "")</f>
        <v/>
      </c>
      <c r="E44" s="58">
        <f>IFERROR(((2*SUMIFS(Table2[AwayWon], Table2[GameIsOver],1,Table2[AwayTeam],$A44, Table2[HomeTeam], E$36) + SUMIFS(Table2[HomeWon_], Table2[GameIsOver],1,Table2[HomeTeam],$A44, Table2[AwayTeam], E$36)) + SUMIFS(Table2[AwayWon], Table2[GameIsOver],1,Table2[HomeTeam],$A44, Table2[AwayTeam], E$36, Table2[ActualResult], "REG") + SUMIFS(Table2[HomeWon_], Table2[GameIsOver],1,Table2[AwayTeam],$A44, Table2[HomeTeam], E$36, Table2[ActualResult], "OT") + SUMIFS(Table2[AwayWon], Table2[GameIsOver],1,Table2[HomeTeam],$A44, Table2[AwayTeam], E$36, Table2[ActualResult], "OT") + SUMIFS(Table2[HomeWon_], Table2[GameIsOver],1,Table2[AwayTeam],$A44, Table2[HomeTeam], E$36, Table2[ActualResult], "SO") + SUMIFS(Table2[AwayWon], Table2[GameIsOver],1,Table2[HomeTeam],$A44, Table2[AwayTeam], E$36, Table2[ActualResult], "SO")) / (2*(SUMIFS(Table2[AwayWon], Table2[GameIsOver],1,Table2[AwayTeam],$A44, Table2[HomeTeam], E$36) + SUMIFS(Table2[HomeWon_], Table2[GameIsOver],1,Table2[HomeTeam],$A44, Table2[AwayTeam], E$36) + SUMIFS(Table2[HomeWon_], Table2[GameIsOver],1,Table2[AwayTeam],$A44, Table2[HomeTeam], E$36, Table2[ActualResult], "REG") + SUMIFS(Table2[AwayWon], Table2[GameIsOver],1,Table2[HomeTeam],$A44, Table2[AwayTeam], E$36, Table2[ActualResult], "REG") + SUMIFS(Table2[HomeWon_], Table2[GameIsOver],1,Table2[AwayTeam],$A44, Table2[HomeTeam], E$36, Table2[ActualResult], "OT") + SUMIFS(Table2[AwayWon], Table2[GameIsOver],1,Table2[HomeTeam],$A44, Table2[AwayTeam], E$36, Table2[ActualResult], "OT") + SUMIFS(Table2[HomeWon_], Table2[GameIsOver],1,Table2[AwayTeam],$A44, Table2[HomeTeam], E$36, Table2[ActualResult], "SO") + SUMIFS(Table2[AwayWon], Table2[GameIsOver],1,Table2[HomeTeam],$A44, Table2[AwayTeam], E$36, Table2[ActualResult], "SO"))), "")</f>
        <v>0.5</v>
      </c>
      <c r="F44" s="58">
        <f>IFERROR(((2*SUMIFS(Table2[AwayWon], Table2[GameIsOver],1,Table2[AwayTeam],$A44, Table2[HomeTeam], F$36) + SUMIFS(Table2[HomeWon_], Table2[GameIsOver],1,Table2[HomeTeam],$A44, Table2[AwayTeam], F$36)) + SUMIFS(Table2[AwayWon], Table2[GameIsOver],1,Table2[HomeTeam],$A44, Table2[AwayTeam], F$36, Table2[ActualResult], "REG") + SUMIFS(Table2[HomeWon_], Table2[GameIsOver],1,Table2[AwayTeam],$A44, Table2[HomeTeam], F$36, Table2[ActualResult], "OT") + SUMIFS(Table2[AwayWon], Table2[GameIsOver],1,Table2[HomeTeam],$A44, Table2[AwayTeam], F$36, Table2[ActualResult], "OT") + SUMIFS(Table2[HomeWon_], Table2[GameIsOver],1,Table2[AwayTeam],$A44, Table2[HomeTeam], F$36, Table2[ActualResult], "SO") + SUMIFS(Table2[AwayWon], Table2[GameIsOver],1,Table2[HomeTeam],$A44, Table2[AwayTeam], F$36, Table2[ActualResult], "SO")) / (2*(SUMIFS(Table2[AwayWon], Table2[GameIsOver],1,Table2[AwayTeam],$A44, Table2[HomeTeam], F$36) + SUMIFS(Table2[HomeWon_], Table2[GameIsOver],1,Table2[HomeTeam],$A44, Table2[AwayTeam], F$36) + SUMIFS(Table2[HomeWon_], Table2[GameIsOver],1,Table2[AwayTeam],$A44, Table2[HomeTeam], F$36, Table2[ActualResult], "REG") + SUMIFS(Table2[AwayWon], Table2[GameIsOver],1,Table2[HomeTeam],$A44, Table2[AwayTeam], F$36, Table2[ActualResult], "REG") + SUMIFS(Table2[HomeWon_], Table2[GameIsOver],1,Table2[AwayTeam],$A44, Table2[HomeTeam], F$36, Table2[ActualResult], "OT") + SUMIFS(Table2[AwayWon], Table2[GameIsOver],1,Table2[HomeTeam],$A44, Table2[AwayTeam], F$36, Table2[ActualResult], "OT") + SUMIFS(Table2[HomeWon_], Table2[GameIsOver],1,Table2[AwayTeam],$A44, Table2[HomeTeam], F$36, Table2[ActualResult], "SO") + SUMIFS(Table2[AwayWon], Table2[GameIsOver],1,Table2[HomeTeam],$A44, Table2[AwayTeam], F$36, Table2[ActualResult], "SO"))), "")</f>
        <v>0.5</v>
      </c>
      <c r="G44" s="58">
        <f>IFERROR(((2*SUMIFS(Table2[AwayWon], Table2[GameIsOver],1,Table2[AwayTeam],$A44, Table2[HomeTeam], G$36) + SUMIFS(Table2[HomeWon_], Table2[GameIsOver],1,Table2[HomeTeam],$A44, Table2[AwayTeam], G$36)) + SUMIFS(Table2[AwayWon], Table2[GameIsOver],1,Table2[HomeTeam],$A44, Table2[AwayTeam], G$36, Table2[ActualResult], "REG") + SUMIFS(Table2[HomeWon_], Table2[GameIsOver],1,Table2[AwayTeam],$A44, Table2[HomeTeam], G$36, Table2[ActualResult], "OT") + SUMIFS(Table2[AwayWon], Table2[GameIsOver],1,Table2[HomeTeam],$A44, Table2[AwayTeam], G$36, Table2[ActualResult], "OT") + SUMIFS(Table2[HomeWon_], Table2[GameIsOver],1,Table2[AwayTeam],$A44, Table2[HomeTeam], G$36, Table2[ActualResult], "SO") + SUMIFS(Table2[AwayWon], Table2[GameIsOver],1,Table2[HomeTeam],$A44, Table2[AwayTeam], G$36, Table2[ActualResult], "SO")) / (2*(SUMIFS(Table2[AwayWon], Table2[GameIsOver],1,Table2[AwayTeam],$A44, Table2[HomeTeam], G$36) + SUMIFS(Table2[HomeWon_], Table2[GameIsOver],1,Table2[HomeTeam],$A44, Table2[AwayTeam], G$36) + SUMIFS(Table2[HomeWon_], Table2[GameIsOver],1,Table2[AwayTeam],$A44, Table2[HomeTeam], G$36, Table2[ActualResult], "REG") + SUMIFS(Table2[AwayWon], Table2[GameIsOver],1,Table2[HomeTeam],$A44, Table2[AwayTeam], G$36, Table2[ActualResult], "REG") + SUMIFS(Table2[HomeWon_], Table2[GameIsOver],1,Table2[AwayTeam],$A44, Table2[HomeTeam], G$36, Table2[ActualResult], "OT") + SUMIFS(Table2[AwayWon], Table2[GameIsOver],1,Table2[HomeTeam],$A44, Table2[AwayTeam], G$36, Table2[ActualResult], "OT") + SUMIFS(Table2[HomeWon_], Table2[GameIsOver],1,Table2[AwayTeam],$A44, Table2[HomeTeam], G$36, Table2[ActualResult], "SO") + SUMIFS(Table2[AwayWon], Table2[GameIsOver],1,Table2[HomeTeam],$A44, Table2[AwayTeam], G$36, Table2[ActualResult], "SO"))), "")</f>
        <v>1</v>
      </c>
      <c r="H44" s="58" t="str">
        <f>IFERROR(((2*SUMIFS(Table2[AwayWon], Table2[GameIsOver],1,Table2[AwayTeam],$A44, Table2[HomeTeam], H$36) + SUMIFS(Table2[HomeWon_], Table2[GameIsOver],1,Table2[HomeTeam],$A44, Table2[AwayTeam], H$36)) + SUMIFS(Table2[AwayWon], Table2[GameIsOver],1,Table2[HomeTeam],$A44, Table2[AwayTeam], H$36, Table2[ActualResult], "REG") + SUMIFS(Table2[HomeWon_], Table2[GameIsOver],1,Table2[AwayTeam],$A44, Table2[HomeTeam], H$36, Table2[ActualResult], "OT") + SUMIFS(Table2[AwayWon], Table2[GameIsOver],1,Table2[HomeTeam],$A44, Table2[AwayTeam], H$36, Table2[ActualResult], "OT") + SUMIFS(Table2[HomeWon_], Table2[GameIsOver],1,Table2[AwayTeam],$A44, Table2[HomeTeam], H$36, Table2[ActualResult], "SO") + SUMIFS(Table2[AwayWon], Table2[GameIsOver],1,Table2[HomeTeam],$A44, Table2[AwayTeam], H$36, Table2[ActualResult], "SO")) / (2*(SUMIFS(Table2[AwayWon], Table2[GameIsOver],1,Table2[AwayTeam],$A44, Table2[HomeTeam], H$36) + SUMIFS(Table2[HomeWon_], Table2[GameIsOver],1,Table2[HomeTeam],$A44, Table2[AwayTeam], H$36) + SUMIFS(Table2[HomeWon_], Table2[GameIsOver],1,Table2[AwayTeam],$A44, Table2[HomeTeam], H$36, Table2[ActualResult], "REG") + SUMIFS(Table2[AwayWon], Table2[GameIsOver],1,Table2[HomeTeam],$A44, Table2[AwayTeam], H$36, Table2[ActualResult], "REG") + SUMIFS(Table2[HomeWon_], Table2[GameIsOver],1,Table2[AwayTeam],$A44, Table2[HomeTeam], H$36, Table2[ActualResult], "OT") + SUMIFS(Table2[AwayWon], Table2[GameIsOver],1,Table2[HomeTeam],$A44, Table2[AwayTeam], H$36, Table2[ActualResult], "OT") + SUMIFS(Table2[HomeWon_], Table2[GameIsOver],1,Table2[AwayTeam],$A44, Table2[HomeTeam], H$36, Table2[ActualResult], "SO") + SUMIFS(Table2[AwayWon], Table2[GameIsOver],1,Table2[HomeTeam],$A44, Table2[AwayTeam], H$36, Table2[ActualResult], "SO"))), "")</f>
        <v/>
      </c>
      <c r="I44" s="99" t="str">
        <f>IFERROR(((2*SUMIFS(Table2[AwayWon], Table2[GameIsOver],1,Table2[AwayTeam],$A44, Table2[HomeTeam], I$36) + SUMIFS(Table2[HomeWon_], Table2[GameIsOver],1,Table2[HomeTeam],$A44, Table2[AwayTeam], I$36)) + SUMIFS(Table2[AwayWon], Table2[GameIsOver],1,Table2[HomeTeam],$A44, Table2[AwayTeam], I$36, Table2[ActualResult], "REG") + SUMIFS(Table2[HomeWon_], Table2[GameIsOver],1,Table2[AwayTeam],$A44, Table2[HomeTeam], I$36, Table2[ActualResult], "OT") + SUMIFS(Table2[AwayWon], Table2[GameIsOver],1,Table2[HomeTeam],$A44, Table2[AwayTeam], I$36, Table2[ActualResult], "OT") + SUMIFS(Table2[HomeWon_], Table2[GameIsOver],1,Table2[AwayTeam],$A44, Table2[HomeTeam], I$36, Table2[ActualResult], "SO") + SUMIFS(Table2[AwayWon], Table2[GameIsOver],1,Table2[HomeTeam],$A44, Table2[AwayTeam], I$36, Table2[ActualResult], "SO")) / (2*(SUMIFS(Table2[AwayWon], Table2[GameIsOver],1,Table2[AwayTeam],$A44, Table2[HomeTeam], I$36) + SUMIFS(Table2[HomeWon_], Table2[GameIsOver],1,Table2[HomeTeam],$A44, Table2[AwayTeam], I$36) + SUMIFS(Table2[HomeWon_], Table2[GameIsOver],1,Table2[AwayTeam],$A44, Table2[HomeTeam], I$36, Table2[ActualResult], "REG") + SUMIFS(Table2[AwayWon], Table2[GameIsOver],1,Table2[HomeTeam],$A44, Table2[AwayTeam], I$36, Table2[ActualResult], "REG") + SUMIFS(Table2[HomeWon_], Table2[GameIsOver],1,Table2[AwayTeam],$A44, Table2[HomeTeam], I$36, Table2[ActualResult], "OT") + SUMIFS(Table2[AwayWon], Table2[GameIsOver],1,Table2[HomeTeam],$A44, Table2[AwayTeam], I$36, Table2[ActualResult], "OT") + SUMIFS(Table2[HomeWon_], Table2[GameIsOver],1,Table2[AwayTeam],$A44, Table2[HomeTeam], I$36, Table2[ActualResult], "SO") + SUMIFS(Table2[AwayWon], Table2[GameIsOver],1,Table2[HomeTeam],$A44, Table2[AwayTeam], I$36, Table2[ActualResult], "SO"))), "")</f>
        <v/>
      </c>
      <c r="J44" s="58" t="str">
        <f>IFERROR(((2*SUMIFS(Table2[AwayWon], Table2[GameIsOver],1,Table2[AwayTeam],$A44, Table2[HomeTeam], J$36) + SUMIFS(Table2[HomeWon_], Table2[GameIsOver],1,Table2[HomeTeam],$A44, Table2[AwayTeam], J$36)) + SUMIFS(Table2[AwayWon], Table2[GameIsOver],1,Table2[HomeTeam],$A44, Table2[AwayTeam], J$36, Table2[ActualResult], "REG") + SUMIFS(Table2[HomeWon_], Table2[GameIsOver],1,Table2[AwayTeam],$A44, Table2[HomeTeam], J$36, Table2[ActualResult], "OT") + SUMIFS(Table2[AwayWon], Table2[GameIsOver],1,Table2[HomeTeam],$A44, Table2[AwayTeam], J$36, Table2[ActualResult], "OT") + SUMIFS(Table2[HomeWon_], Table2[GameIsOver],1,Table2[AwayTeam],$A44, Table2[HomeTeam], J$36, Table2[ActualResult], "SO") + SUMIFS(Table2[AwayWon], Table2[GameIsOver],1,Table2[HomeTeam],$A44, Table2[AwayTeam], J$36, Table2[ActualResult], "SO")) / (2*(SUMIFS(Table2[AwayWon], Table2[GameIsOver],1,Table2[AwayTeam],$A44, Table2[HomeTeam], J$36) + SUMIFS(Table2[HomeWon_], Table2[GameIsOver],1,Table2[HomeTeam],$A44, Table2[AwayTeam], J$36) + SUMIFS(Table2[HomeWon_], Table2[GameIsOver],1,Table2[AwayTeam],$A44, Table2[HomeTeam], J$36, Table2[ActualResult], "REG") + SUMIFS(Table2[AwayWon], Table2[GameIsOver],1,Table2[HomeTeam],$A44, Table2[AwayTeam], J$36, Table2[ActualResult], "REG") + SUMIFS(Table2[HomeWon_], Table2[GameIsOver],1,Table2[AwayTeam],$A44, Table2[HomeTeam], J$36, Table2[ActualResult], "OT") + SUMIFS(Table2[AwayWon], Table2[GameIsOver],1,Table2[HomeTeam],$A44, Table2[AwayTeam], J$36, Table2[ActualResult], "OT") + SUMIFS(Table2[HomeWon_], Table2[GameIsOver],1,Table2[AwayTeam],$A44, Table2[HomeTeam], J$36, Table2[ActualResult], "SO") + SUMIFS(Table2[AwayWon], Table2[GameIsOver],1,Table2[HomeTeam],$A44, Table2[AwayTeam], J$36, Table2[ActualResult], "SO"))), "")</f>
        <v/>
      </c>
      <c r="K44" s="58" t="str">
        <f>IFERROR(((2*SUMIFS(Table2[AwayWon], Table2[GameIsOver],1,Table2[AwayTeam],$A44, Table2[HomeTeam], K$36) + SUMIFS(Table2[HomeWon_], Table2[GameIsOver],1,Table2[HomeTeam],$A44, Table2[AwayTeam], K$36)) + SUMIFS(Table2[AwayWon], Table2[GameIsOver],1,Table2[HomeTeam],$A44, Table2[AwayTeam], K$36, Table2[ActualResult], "REG") + SUMIFS(Table2[HomeWon_], Table2[GameIsOver],1,Table2[AwayTeam],$A44, Table2[HomeTeam], K$36, Table2[ActualResult], "OT") + SUMIFS(Table2[AwayWon], Table2[GameIsOver],1,Table2[HomeTeam],$A44, Table2[AwayTeam], K$36, Table2[ActualResult], "OT") + SUMIFS(Table2[HomeWon_], Table2[GameIsOver],1,Table2[AwayTeam],$A44, Table2[HomeTeam], K$36, Table2[ActualResult], "SO") + SUMIFS(Table2[AwayWon], Table2[GameIsOver],1,Table2[HomeTeam],$A44, Table2[AwayTeam], K$36, Table2[ActualResult], "SO")) / (2*(SUMIFS(Table2[AwayWon], Table2[GameIsOver],1,Table2[AwayTeam],$A44, Table2[HomeTeam], K$36) + SUMIFS(Table2[HomeWon_], Table2[GameIsOver],1,Table2[HomeTeam],$A44, Table2[AwayTeam], K$36) + SUMIFS(Table2[HomeWon_], Table2[GameIsOver],1,Table2[AwayTeam],$A44, Table2[HomeTeam], K$36, Table2[ActualResult], "REG") + SUMIFS(Table2[AwayWon], Table2[GameIsOver],1,Table2[HomeTeam],$A44, Table2[AwayTeam], K$36, Table2[ActualResult], "REG") + SUMIFS(Table2[HomeWon_], Table2[GameIsOver],1,Table2[AwayTeam],$A44, Table2[HomeTeam], K$36, Table2[ActualResult], "OT") + SUMIFS(Table2[AwayWon], Table2[GameIsOver],1,Table2[HomeTeam],$A44, Table2[AwayTeam], K$36, Table2[ActualResult], "OT") + SUMIFS(Table2[HomeWon_], Table2[GameIsOver],1,Table2[AwayTeam],$A44, Table2[HomeTeam], K$36, Table2[ActualResult], "SO") + SUMIFS(Table2[AwayWon], Table2[GameIsOver],1,Table2[HomeTeam],$A44, Table2[AwayTeam], K$36, Table2[ActualResult], "SO"))), "")</f>
        <v/>
      </c>
      <c r="L44" s="58" t="str">
        <f>IFERROR(((2*SUMIFS(Table2[AwayWon], Table2[GameIsOver],1,Table2[AwayTeam],$A44, Table2[HomeTeam], L$36) + SUMIFS(Table2[HomeWon_], Table2[GameIsOver],1,Table2[HomeTeam],$A44, Table2[AwayTeam], L$36)) + SUMIFS(Table2[AwayWon], Table2[GameIsOver],1,Table2[HomeTeam],$A44, Table2[AwayTeam], L$36, Table2[ActualResult], "REG") + SUMIFS(Table2[HomeWon_], Table2[GameIsOver],1,Table2[AwayTeam],$A44, Table2[HomeTeam], L$36, Table2[ActualResult], "OT") + SUMIFS(Table2[AwayWon], Table2[GameIsOver],1,Table2[HomeTeam],$A44, Table2[AwayTeam], L$36, Table2[ActualResult], "OT") + SUMIFS(Table2[HomeWon_], Table2[GameIsOver],1,Table2[AwayTeam],$A44, Table2[HomeTeam], L$36, Table2[ActualResult], "SO") + SUMIFS(Table2[AwayWon], Table2[GameIsOver],1,Table2[HomeTeam],$A44, Table2[AwayTeam], L$36, Table2[ActualResult], "SO")) / (2*(SUMIFS(Table2[AwayWon], Table2[GameIsOver],1,Table2[AwayTeam],$A44, Table2[HomeTeam], L$36) + SUMIFS(Table2[HomeWon_], Table2[GameIsOver],1,Table2[HomeTeam],$A44, Table2[AwayTeam], L$36) + SUMIFS(Table2[HomeWon_], Table2[GameIsOver],1,Table2[AwayTeam],$A44, Table2[HomeTeam], L$36, Table2[ActualResult], "REG") + SUMIFS(Table2[AwayWon], Table2[GameIsOver],1,Table2[HomeTeam],$A44, Table2[AwayTeam], L$36, Table2[ActualResult], "REG") + SUMIFS(Table2[HomeWon_], Table2[GameIsOver],1,Table2[AwayTeam],$A44, Table2[HomeTeam], L$36, Table2[ActualResult], "OT") + SUMIFS(Table2[AwayWon], Table2[GameIsOver],1,Table2[HomeTeam],$A44, Table2[AwayTeam], L$36, Table2[ActualResult], "OT") + SUMIFS(Table2[HomeWon_], Table2[GameIsOver],1,Table2[AwayTeam],$A44, Table2[HomeTeam], L$36, Table2[ActualResult], "SO") + SUMIFS(Table2[AwayWon], Table2[GameIsOver],1,Table2[HomeTeam],$A44, Table2[AwayTeam], L$36, Table2[ActualResult], "SO"))), "")</f>
        <v/>
      </c>
      <c r="M44" s="58" t="str">
        <f>IFERROR(((2*SUMIFS(Table2[AwayWon], Table2[GameIsOver],1,Table2[AwayTeam],$A44, Table2[HomeTeam], M$36) + SUMIFS(Table2[HomeWon_], Table2[GameIsOver],1,Table2[HomeTeam],$A44, Table2[AwayTeam], M$36)) + SUMIFS(Table2[AwayWon], Table2[GameIsOver],1,Table2[HomeTeam],$A44, Table2[AwayTeam], M$36, Table2[ActualResult], "REG") + SUMIFS(Table2[HomeWon_], Table2[GameIsOver],1,Table2[AwayTeam],$A44, Table2[HomeTeam], M$36, Table2[ActualResult], "OT") + SUMIFS(Table2[AwayWon], Table2[GameIsOver],1,Table2[HomeTeam],$A44, Table2[AwayTeam], M$36, Table2[ActualResult], "OT") + SUMIFS(Table2[HomeWon_], Table2[GameIsOver],1,Table2[AwayTeam],$A44, Table2[HomeTeam], M$36, Table2[ActualResult], "SO") + SUMIFS(Table2[AwayWon], Table2[GameIsOver],1,Table2[HomeTeam],$A44, Table2[AwayTeam], M$36, Table2[ActualResult], "SO")) / (2*(SUMIFS(Table2[AwayWon], Table2[GameIsOver],1,Table2[AwayTeam],$A44, Table2[HomeTeam], M$36) + SUMIFS(Table2[HomeWon_], Table2[GameIsOver],1,Table2[HomeTeam],$A44, Table2[AwayTeam], M$36) + SUMIFS(Table2[HomeWon_], Table2[GameIsOver],1,Table2[AwayTeam],$A44, Table2[HomeTeam], M$36, Table2[ActualResult], "REG") + SUMIFS(Table2[AwayWon], Table2[GameIsOver],1,Table2[HomeTeam],$A44, Table2[AwayTeam], M$36, Table2[ActualResult], "REG") + SUMIFS(Table2[HomeWon_], Table2[GameIsOver],1,Table2[AwayTeam],$A44, Table2[HomeTeam], M$36, Table2[ActualResult], "OT") + SUMIFS(Table2[AwayWon], Table2[GameIsOver],1,Table2[HomeTeam],$A44, Table2[AwayTeam], M$36, Table2[ActualResult], "OT") + SUMIFS(Table2[HomeWon_], Table2[GameIsOver],1,Table2[AwayTeam],$A44, Table2[HomeTeam], M$36, Table2[ActualResult], "SO") + SUMIFS(Table2[AwayWon], Table2[GameIsOver],1,Table2[HomeTeam],$A44, Table2[AwayTeam], M$36, Table2[ActualResult], "SO"))), "")</f>
        <v/>
      </c>
      <c r="N44" s="58" t="str">
        <f>IFERROR(((2*SUMIFS(Table2[AwayWon], Table2[GameIsOver],1,Table2[AwayTeam],$A44, Table2[HomeTeam], N$36) + SUMIFS(Table2[HomeWon_], Table2[GameIsOver],1,Table2[HomeTeam],$A44, Table2[AwayTeam], N$36)) + SUMIFS(Table2[AwayWon], Table2[GameIsOver],1,Table2[HomeTeam],$A44, Table2[AwayTeam], N$36, Table2[ActualResult], "REG") + SUMIFS(Table2[HomeWon_], Table2[GameIsOver],1,Table2[AwayTeam],$A44, Table2[HomeTeam], N$36, Table2[ActualResult], "OT") + SUMIFS(Table2[AwayWon], Table2[GameIsOver],1,Table2[HomeTeam],$A44, Table2[AwayTeam], N$36, Table2[ActualResult], "OT") + SUMIFS(Table2[HomeWon_], Table2[GameIsOver],1,Table2[AwayTeam],$A44, Table2[HomeTeam], N$36, Table2[ActualResult], "SO") + SUMIFS(Table2[AwayWon], Table2[GameIsOver],1,Table2[HomeTeam],$A44, Table2[AwayTeam], N$36, Table2[ActualResult], "SO")) / (2*(SUMIFS(Table2[AwayWon], Table2[GameIsOver],1,Table2[AwayTeam],$A44, Table2[HomeTeam], N$36) + SUMIFS(Table2[HomeWon_], Table2[GameIsOver],1,Table2[HomeTeam],$A44, Table2[AwayTeam], N$36) + SUMIFS(Table2[HomeWon_], Table2[GameIsOver],1,Table2[AwayTeam],$A44, Table2[HomeTeam], N$36, Table2[ActualResult], "REG") + SUMIFS(Table2[AwayWon], Table2[GameIsOver],1,Table2[HomeTeam],$A44, Table2[AwayTeam], N$36, Table2[ActualResult], "REG") + SUMIFS(Table2[HomeWon_], Table2[GameIsOver],1,Table2[AwayTeam],$A44, Table2[HomeTeam], N$36, Table2[ActualResult], "OT") + SUMIFS(Table2[AwayWon], Table2[GameIsOver],1,Table2[HomeTeam],$A44, Table2[AwayTeam], N$36, Table2[ActualResult], "OT") + SUMIFS(Table2[HomeWon_], Table2[GameIsOver],1,Table2[AwayTeam],$A44, Table2[HomeTeam], N$36, Table2[ActualResult], "SO") + SUMIFS(Table2[AwayWon], Table2[GameIsOver],1,Table2[HomeTeam],$A44, Table2[AwayTeam], N$36, Table2[ActualResult], "SO"))), "")</f>
        <v/>
      </c>
      <c r="O44" s="58" t="str">
        <f>IFERROR(((2*SUMIFS(Table2[AwayWon], Table2[GameIsOver],1,Table2[AwayTeam],$A44, Table2[HomeTeam], O$36) + SUMIFS(Table2[HomeWon_], Table2[GameIsOver],1,Table2[HomeTeam],$A44, Table2[AwayTeam], O$36)) + SUMIFS(Table2[AwayWon], Table2[GameIsOver],1,Table2[HomeTeam],$A44, Table2[AwayTeam], O$36, Table2[ActualResult], "REG") + SUMIFS(Table2[HomeWon_], Table2[GameIsOver],1,Table2[AwayTeam],$A44, Table2[HomeTeam], O$36, Table2[ActualResult], "OT") + SUMIFS(Table2[AwayWon], Table2[GameIsOver],1,Table2[HomeTeam],$A44, Table2[AwayTeam], O$36, Table2[ActualResult], "OT") + SUMIFS(Table2[HomeWon_], Table2[GameIsOver],1,Table2[AwayTeam],$A44, Table2[HomeTeam], O$36, Table2[ActualResult], "SO") + SUMIFS(Table2[AwayWon], Table2[GameIsOver],1,Table2[HomeTeam],$A44, Table2[AwayTeam], O$36, Table2[ActualResult], "SO")) / (2*(SUMIFS(Table2[AwayWon], Table2[GameIsOver],1,Table2[AwayTeam],$A44, Table2[HomeTeam], O$36) + SUMIFS(Table2[HomeWon_], Table2[GameIsOver],1,Table2[HomeTeam],$A44, Table2[AwayTeam], O$36) + SUMIFS(Table2[HomeWon_], Table2[GameIsOver],1,Table2[AwayTeam],$A44, Table2[HomeTeam], O$36, Table2[ActualResult], "REG") + SUMIFS(Table2[AwayWon], Table2[GameIsOver],1,Table2[HomeTeam],$A44, Table2[AwayTeam], O$36, Table2[ActualResult], "REG") + SUMIFS(Table2[HomeWon_], Table2[GameIsOver],1,Table2[AwayTeam],$A44, Table2[HomeTeam], O$36, Table2[ActualResult], "OT") + SUMIFS(Table2[AwayWon], Table2[GameIsOver],1,Table2[HomeTeam],$A44, Table2[AwayTeam], O$36, Table2[ActualResult], "OT") + SUMIFS(Table2[HomeWon_], Table2[GameIsOver],1,Table2[AwayTeam],$A44, Table2[HomeTeam], O$36, Table2[ActualResult], "SO") + SUMIFS(Table2[AwayWon], Table2[GameIsOver],1,Table2[HomeTeam],$A44, Table2[AwayTeam], O$36, Table2[ActualResult], "SO"))), "")</f>
        <v/>
      </c>
      <c r="P44" s="58" t="str">
        <f>IFERROR(((2*SUMIFS(Table2[AwayWon], Table2[GameIsOver],1,Table2[AwayTeam],$A44, Table2[HomeTeam], P$36) + SUMIFS(Table2[HomeWon_], Table2[GameIsOver],1,Table2[HomeTeam],$A44, Table2[AwayTeam], P$36)) + SUMIFS(Table2[AwayWon], Table2[GameIsOver],1,Table2[HomeTeam],$A44, Table2[AwayTeam], P$36, Table2[ActualResult], "REG") + SUMIFS(Table2[HomeWon_], Table2[GameIsOver],1,Table2[AwayTeam],$A44, Table2[HomeTeam], P$36, Table2[ActualResult], "OT") + SUMIFS(Table2[AwayWon], Table2[GameIsOver],1,Table2[HomeTeam],$A44, Table2[AwayTeam], P$36, Table2[ActualResult], "OT") + SUMIFS(Table2[HomeWon_], Table2[GameIsOver],1,Table2[AwayTeam],$A44, Table2[HomeTeam], P$36, Table2[ActualResult], "SO") + SUMIFS(Table2[AwayWon], Table2[GameIsOver],1,Table2[HomeTeam],$A44, Table2[AwayTeam], P$36, Table2[ActualResult], "SO")) / (2*(SUMIFS(Table2[AwayWon], Table2[GameIsOver],1,Table2[AwayTeam],$A44, Table2[HomeTeam], P$36) + SUMIFS(Table2[HomeWon_], Table2[GameIsOver],1,Table2[HomeTeam],$A44, Table2[AwayTeam], P$36) + SUMIFS(Table2[HomeWon_], Table2[GameIsOver],1,Table2[AwayTeam],$A44, Table2[HomeTeam], P$36, Table2[ActualResult], "REG") + SUMIFS(Table2[AwayWon], Table2[GameIsOver],1,Table2[HomeTeam],$A44, Table2[AwayTeam], P$36, Table2[ActualResult], "REG") + SUMIFS(Table2[HomeWon_], Table2[GameIsOver],1,Table2[AwayTeam],$A44, Table2[HomeTeam], P$36, Table2[ActualResult], "OT") + SUMIFS(Table2[AwayWon], Table2[GameIsOver],1,Table2[HomeTeam],$A44, Table2[AwayTeam], P$36, Table2[ActualResult], "OT") + SUMIFS(Table2[HomeWon_], Table2[GameIsOver],1,Table2[AwayTeam],$A44, Table2[HomeTeam], P$36, Table2[ActualResult], "SO") + SUMIFS(Table2[AwayWon], Table2[GameIsOver],1,Table2[HomeTeam],$A44, Table2[AwayTeam], P$36, Table2[ActualResult], "SO"))), "")</f>
        <v/>
      </c>
      <c r="Q44" s="59" t="str">
        <f>IFERROR(((2*SUMIFS(Table2[AwayWon], Table2[GameIsOver],1,Table2[AwayTeam],$A44, Table2[HomeTeam], Q$36) + SUMIFS(Table2[HomeWon_], Table2[GameIsOver],1,Table2[HomeTeam],$A44, Table2[AwayTeam], Q$36)) + SUMIFS(Table2[AwayWon], Table2[GameIsOver],1,Table2[HomeTeam],$A44, Table2[AwayTeam], Q$36, Table2[ActualResult], "REG") + SUMIFS(Table2[HomeWon_], Table2[GameIsOver],1,Table2[AwayTeam],$A44, Table2[HomeTeam], Q$36, Table2[ActualResult], "OT") + SUMIFS(Table2[AwayWon], Table2[GameIsOver],1,Table2[HomeTeam],$A44, Table2[AwayTeam], Q$36, Table2[ActualResult], "OT") + SUMIFS(Table2[HomeWon_], Table2[GameIsOver],1,Table2[AwayTeam],$A44, Table2[HomeTeam], Q$36, Table2[ActualResult], "SO") + SUMIFS(Table2[AwayWon], Table2[GameIsOver],1,Table2[HomeTeam],$A44, Table2[AwayTeam], Q$36, Table2[ActualResult], "SO")) / (2*(SUMIFS(Table2[AwayWon], Table2[GameIsOver],1,Table2[AwayTeam],$A44, Table2[HomeTeam], Q$36) + SUMIFS(Table2[HomeWon_], Table2[GameIsOver],1,Table2[HomeTeam],$A44, Table2[AwayTeam], Q$36) + SUMIFS(Table2[HomeWon_], Table2[GameIsOver],1,Table2[AwayTeam],$A44, Table2[HomeTeam], Q$36, Table2[ActualResult], "REG") + SUMIFS(Table2[AwayWon], Table2[GameIsOver],1,Table2[HomeTeam],$A44, Table2[AwayTeam], Q$36, Table2[ActualResult], "REG") + SUMIFS(Table2[HomeWon_], Table2[GameIsOver],1,Table2[AwayTeam],$A44, Table2[HomeTeam], Q$36, Table2[ActualResult], "OT") + SUMIFS(Table2[AwayWon], Table2[GameIsOver],1,Table2[HomeTeam],$A44, Table2[AwayTeam], Q$36, Table2[ActualResult], "OT") + SUMIFS(Table2[HomeWon_], Table2[GameIsOver],1,Table2[AwayTeam],$A44, Table2[HomeTeam], Q$36, Table2[ActualResult], "SO") + SUMIFS(Table2[AwayWon], Table2[GameIsOver],1,Table2[HomeTeam],$A44, Table2[AwayTeam], Q$36, Table2[ActualResult], "SO"))), "")</f>
        <v/>
      </c>
      <c r="R44" s="58">
        <f>IFERROR(((2*SUMIFS(Table2[AwayWon], Table2[GameIsOver],1,Table2[AwayTeam],$A44, Table2[HomeTeam], R$36) + SUMIFS(Table2[HomeWon_], Table2[GameIsOver],1,Table2[HomeTeam],$A44, Table2[AwayTeam], R$36)) + SUMIFS(Table2[AwayWon], Table2[GameIsOver],1,Table2[HomeTeam],$A44, Table2[AwayTeam], R$36, Table2[ActualResult], "REG") + SUMIFS(Table2[HomeWon_], Table2[GameIsOver],1,Table2[AwayTeam],$A44, Table2[HomeTeam], R$36, Table2[ActualResult], "OT") + SUMIFS(Table2[AwayWon], Table2[GameIsOver],1,Table2[HomeTeam],$A44, Table2[AwayTeam], R$36, Table2[ActualResult], "OT") + SUMIFS(Table2[HomeWon_], Table2[GameIsOver],1,Table2[AwayTeam],$A44, Table2[HomeTeam], R$36, Table2[ActualResult], "SO") + SUMIFS(Table2[AwayWon], Table2[GameIsOver],1,Table2[HomeTeam],$A44, Table2[AwayTeam], R$36, Table2[ActualResult], "SO")) / (2*(SUMIFS(Table2[AwayWon], Table2[GameIsOver],1,Table2[AwayTeam],$A44, Table2[HomeTeam], R$36) + SUMIFS(Table2[HomeWon_], Table2[GameIsOver],1,Table2[HomeTeam],$A44, Table2[AwayTeam], R$36) + SUMIFS(Table2[HomeWon_], Table2[GameIsOver],1,Table2[AwayTeam],$A44, Table2[HomeTeam], R$36, Table2[ActualResult], "REG") + SUMIFS(Table2[AwayWon], Table2[GameIsOver],1,Table2[HomeTeam],$A44, Table2[AwayTeam], R$36, Table2[ActualResult], "REG") + SUMIFS(Table2[HomeWon_], Table2[GameIsOver],1,Table2[AwayTeam],$A44, Table2[HomeTeam], R$36, Table2[ActualResult], "OT") + SUMIFS(Table2[AwayWon], Table2[GameIsOver],1,Table2[HomeTeam],$A44, Table2[AwayTeam], R$36, Table2[ActualResult], "OT") + SUMIFS(Table2[HomeWon_], Table2[GameIsOver],1,Table2[AwayTeam],$A44, Table2[HomeTeam], R$36, Table2[ActualResult], "SO") + SUMIFS(Table2[AwayWon], Table2[GameIsOver],1,Table2[HomeTeam],$A44, Table2[AwayTeam], R$36, Table2[ActualResult], "SO"))), "")</f>
        <v>0.5</v>
      </c>
      <c r="S44" s="58" t="str">
        <f>IFERROR(((2*SUMIFS(Table2[AwayWon], Table2[GameIsOver],1,Table2[AwayTeam],$A44, Table2[HomeTeam], S$36) + SUMIFS(Table2[HomeWon_], Table2[GameIsOver],1,Table2[HomeTeam],$A44, Table2[AwayTeam], S$36)) + SUMIFS(Table2[AwayWon], Table2[GameIsOver],1,Table2[HomeTeam],$A44, Table2[AwayTeam], S$36, Table2[ActualResult], "REG") + SUMIFS(Table2[HomeWon_], Table2[GameIsOver],1,Table2[AwayTeam],$A44, Table2[HomeTeam], S$36, Table2[ActualResult], "OT") + SUMIFS(Table2[AwayWon], Table2[GameIsOver],1,Table2[HomeTeam],$A44, Table2[AwayTeam], S$36, Table2[ActualResult], "OT") + SUMIFS(Table2[HomeWon_], Table2[GameIsOver],1,Table2[AwayTeam],$A44, Table2[HomeTeam], S$36, Table2[ActualResult], "SO") + SUMIFS(Table2[AwayWon], Table2[GameIsOver],1,Table2[HomeTeam],$A44, Table2[AwayTeam], S$36, Table2[ActualResult], "SO")) / (2*(SUMIFS(Table2[AwayWon], Table2[GameIsOver],1,Table2[AwayTeam],$A44, Table2[HomeTeam], S$36) + SUMIFS(Table2[HomeWon_], Table2[GameIsOver],1,Table2[HomeTeam],$A44, Table2[AwayTeam], S$36) + SUMIFS(Table2[HomeWon_], Table2[GameIsOver],1,Table2[AwayTeam],$A44, Table2[HomeTeam], S$36, Table2[ActualResult], "REG") + SUMIFS(Table2[AwayWon], Table2[GameIsOver],1,Table2[HomeTeam],$A44, Table2[AwayTeam], S$36, Table2[ActualResult], "REG") + SUMIFS(Table2[HomeWon_], Table2[GameIsOver],1,Table2[AwayTeam],$A44, Table2[HomeTeam], S$36, Table2[ActualResult], "OT") + SUMIFS(Table2[AwayWon], Table2[GameIsOver],1,Table2[HomeTeam],$A44, Table2[AwayTeam], S$36, Table2[ActualResult], "OT") + SUMIFS(Table2[HomeWon_], Table2[GameIsOver],1,Table2[AwayTeam],$A44, Table2[HomeTeam], S$36, Table2[ActualResult], "SO") + SUMIFS(Table2[AwayWon], Table2[GameIsOver],1,Table2[HomeTeam],$A44, Table2[AwayTeam], S$36, Table2[ActualResult], "SO"))), "")</f>
        <v/>
      </c>
      <c r="T44" s="58" t="str">
        <f>IFERROR(((2*SUMIFS(Table2[AwayWon], Table2[GameIsOver],1,Table2[AwayTeam],$A44, Table2[HomeTeam], T$36) + SUMIFS(Table2[HomeWon_], Table2[GameIsOver],1,Table2[HomeTeam],$A44, Table2[AwayTeam], T$36)) + SUMIFS(Table2[AwayWon], Table2[GameIsOver],1,Table2[HomeTeam],$A44, Table2[AwayTeam], T$36, Table2[ActualResult], "REG") + SUMIFS(Table2[HomeWon_], Table2[GameIsOver],1,Table2[AwayTeam],$A44, Table2[HomeTeam], T$36, Table2[ActualResult], "OT") + SUMIFS(Table2[AwayWon], Table2[GameIsOver],1,Table2[HomeTeam],$A44, Table2[AwayTeam], T$36, Table2[ActualResult], "OT") + SUMIFS(Table2[HomeWon_], Table2[GameIsOver],1,Table2[AwayTeam],$A44, Table2[HomeTeam], T$36, Table2[ActualResult], "SO") + SUMIFS(Table2[AwayWon], Table2[GameIsOver],1,Table2[HomeTeam],$A44, Table2[AwayTeam], T$36, Table2[ActualResult], "SO")) / (2*(SUMIFS(Table2[AwayWon], Table2[GameIsOver],1,Table2[AwayTeam],$A44, Table2[HomeTeam], T$36) + SUMIFS(Table2[HomeWon_], Table2[GameIsOver],1,Table2[HomeTeam],$A44, Table2[AwayTeam], T$36) + SUMIFS(Table2[HomeWon_], Table2[GameIsOver],1,Table2[AwayTeam],$A44, Table2[HomeTeam], T$36, Table2[ActualResult], "REG") + SUMIFS(Table2[AwayWon], Table2[GameIsOver],1,Table2[HomeTeam],$A44, Table2[AwayTeam], T$36, Table2[ActualResult], "REG") + SUMIFS(Table2[HomeWon_], Table2[GameIsOver],1,Table2[AwayTeam],$A44, Table2[HomeTeam], T$36, Table2[ActualResult], "OT") + SUMIFS(Table2[AwayWon], Table2[GameIsOver],1,Table2[HomeTeam],$A44, Table2[AwayTeam], T$36, Table2[ActualResult], "OT") + SUMIFS(Table2[HomeWon_], Table2[GameIsOver],1,Table2[AwayTeam],$A44, Table2[HomeTeam], T$36, Table2[ActualResult], "SO") + SUMIFS(Table2[AwayWon], Table2[GameIsOver],1,Table2[HomeTeam],$A44, Table2[AwayTeam], T$36, Table2[ActualResult], "SO"))), "")</f>
        <v/>
      </c>
      <c r="U44" s="58" t="str">
        <f>IFERROR(((2*SUMIFS(Table2[AwayWon], Table2[GameIsOver],1,Table2[AwayTeam],$A44, Table2[HomeTeam], U$36) + SUMIFS(Table2[HomeWon_], Table2[GameIsOver],1,Table2[HomeTeam],$A44, Table2[AwayTeam], U$36)) + SUMIFS(Table2[AwayWon], Table2[GameIsOver],1,Table2[HomeTeam],$A44, Table2[AwayTeam], U$36, Table2[ActualResult], "REG") + SUMIFS(Table2[HomeWon_], Table2[GameIsOver],1,Table2[AwayTeam],$A44, Table2[HomeTeam], U$36, Table2[ActualResult], "OT") + SUMIFS(Table2[AwayWon], Table2[GameIsOver],1,Table2[HomeTeam],$A44, Table2[AwayTeam], U$36, Table2[ActualResult], "OT") + SUMIFS(Table2[HomeWon_], Table2[GameIsOver],1,Table2[AwayTeam],$A44, Table2[HomeTeam], U$36, Table2[ActualResult], "SO") + SUMIFS(Table2[AwayWon], Table2[GameIsOver],1,Table2[HomeTeam],$A44, Table2[AwayTeam], U$36, Table2[ActualResult], "SO")) / (2*(SUMIFS(Table2[AwayWon], Table2[GameIsOver],1,Table2[AwayTeam],$A44, Table2[HomeTeam], U$36) + SUMIFS(Table2[HomeWon_], Table2[GameIsOver],1,Table2[HomeTeam],$A44, Table2[AwayTeam], U$36) + SUMIFS(Table2[HomeWon_], Table2[GameIsOver],1,Table2[AwayTeam],$A44, Table2[HomeTeam], U$36, Table2[ActualResult], "REG") + SUMIFS(Table2[AwayWon], Table2[GameIsOver],1,Table2[HomeTeam],$A44, Table2[AwayTeam], U$36, Table2[ActualResult], "REG") + SUMIFS(Table2[HomeWon_], Table2[GameIsOver],1,Table2[AwayTeam],$A44, Table2[HomeTeam], U$36, Table2[ActualResult], "OT") + SUMIFS(Table2[AwayWon], Table2[GameIsOver],1,Table2[HomeTeam],$A44, Table2[AwayTeam], U$36, Table2[ActualResult], "OT") + SUMIFS(Table2[HomeWon_], Table2[GameIsOver],1,Table2[AwayTeam],$A44, Table2[HomeTeam], U$36, Table2[ActualResult], "SO") + SUMIFS(Table2[AwayWon], Table2[GameIsOver],1,Table2[HomeTeam],$A44, Table2[AwayTeam], U$36, Table2[ActualResult], "SO"))), "")</f>
        <v/>
      </c>
      <c r="V44" s="58" t="str">
        <f>IFERROR(((2*SUMIFS(Table2[AwayWon], Table2[GameIsOver],1,Table2[AwayTeam],$A44, Table2[HomeTeam], V$36) + SUMIFS(Table2[HomeWon_], Table2[GameIsOver],1,Table2[HomeTeam],$A44, Table2[AwayTeam], V$36)) + SUMIFS(Table2[AwayWon], Table2[GameIsOver],1,Table2[HomeTeam],$A44, Table2[AwayTeam], V$36, Table2[ActualResult], "REG") + SUMIFS(Table2[HomeWon_], Table2[GameIsOver],1,Table2[AwayTeam],$A44, Table2[HomeTeam], V$36, Table2[ActualResult], "OT") + SUMIFS(Table2[AwayWon], Table2[GameIsOver],1,Table2[HomeTeam],$A44, Table2[AwayTeam], V$36, Table2[ActualResult], "OT") + SUMIFS(Table2[HomeWon_], Table2[GameIsOver],1,Table2[AwayTeam],$A44, Table2[HomeTeam], V$36, Table2[ActualResult], "SO") + SUMIFS(Table2[AwayWon], Table2[GameIsOver],1,Table2[HomeTeam],$A44, Table2[AwayTeam], V$36, Table2[ActualResult], "SO")) / (2*(SUMIFS(Table2[AwayWon], Table2[GameIsOver],1,Table2[AwayTeam],$A44, Table2[HomeTeam], V$36) + SUMIFS(Table2[HomeWon_], Table2[GameIsOver],1,Table2[HomeTeam],$A44, Table2[AwayTeam], V$36) + SUMIFS(Table2[HomeWon_], Table2[GameIsOver],1,Table2[AwayTeam],$A44, Table2[HomeTeam], V$36, Table2[ActualResult], "REG") + SUMIFS(Table2[AwayWon], Table2[GameIsOver],1,Table2[HomeTeam],$A44, Table2[AwayTeam], V$36, Table2[ActualResult], "REG") + SUMIFS(Table2[HomeWon_], Table2[GameIsOver],1,Table2[AwayTeam],$A44, Table2[HomeTeam], V$36, Table2[ActualResult], "OT") + SUMIFS(Table2[AwayWon], Table2[GameIsOver],1,Table2[HomeTeam],$A44, Table2[AwayTeam], V$36, Table2[ActualResult], "OT") + SUMIFS(Table2[HomeWon_], Table2[GameIsOver],1,Table2[AwayTeam],$A44, Table2[HomeTeam], V$36, Table2[ActualResult], "SO") + SUMIFS(Table2[AwayWon], Table2[GameIsOver],1,Table2[HomeTeam],$A44, Table2[AwayTeam], V$36, Table2[ActualResult], "SO"))), "")</f>
        <v/>
      </c>
      <c r="W44" s="58" t="str">
        <f>IFERROR(((2*SUMIFS(Table2[AwayWon], Table2[GameIsOver],1,Table2[AwayTeam],$A44, Table2[HomeTeam], W$36) + SUMIFS(Table2[HomeWon_], Table2[GameIsOver],1,Table2[HomeTeam],$A44, Table2[AwayTeam], W$36)) + SUMIFS(Table2[AwayWon], Table2[GameIsOver],1,Table2[HomeTeam],$A44, Table2[AwayTeam], W$36, Table2[ActualResult], "REG") + SUMIFS(Table2[HomeWon_], Table2[GameIsOver],1,Table2[AwayTeam],$A44, Table2[HomeTeam], W$36, Table2[ActualResult], "OT") + SUMIFS(Table2[AwayWon], Table2[GameIsOver],1,Table2[HomeTeam],$A44, Table2[AwayTeam], W$36, Table2[ActualResult], "OT") + SUMIFS(Table2[HomeWon_], Table2[GameIsOver],1,Table2[AwayTeam],$A44, Table2[HomeTeam], W$36, Table2[ActualResult], "SO") + SUMIFS(Table2[AwayWon], Table2[GameIsOver],1,Table2[HomeTeam],$A44, Table2[AwayTeam], W$36, Table2[ActualResult], "SO")) / (2*(SUMIFS(Table2[AwayWon], Table2[GameIsOver],1,Table2[AwayTeam],$A44, Table2[HomeTeam], W$36) + SUMIFS(Table2[HomeWon_], Table2[GameIsOver],1,Table2[HomeTeam],$A44, Table2[AwayTeam], W$36) + SUMIFS(Table2[HomeWon_], Table2[GameIsOver],1,Table2[AwayTeam],$A44, Table2[HomeTeam], W$36, Table2[ActualResult], "REG") + SUMIFS(Table2[AwayWon], Table2[GameIsOver],1,Table2[HomeTeam],$A44, Table2[AwayTeam], W$36, Table2[ActualResult], "REG") + SUMIFS(Table2[HomeWon_], Table2[GameIsOver],1,Table2[AwayTeam],$A44, Table2[HomeTeam], W$36, Table2[ActualResult], "OT") + SUMIFS(Table2[AwayWon], Table2[GameIsOver],1,Table2[HomeTeam],$A44, Table2[AwayTeam], W$36, Table2[ActualResult], "OT") + SUMIFS(Table2[HomeWon_], Table2[GameIsOver],1,Table2[AwayTeam],$A44, Table2[HomeTeam], W$36, Table2[ActualResult], "SO") + SUMIFS(Table2[AwayWon], Table2[GameIsOver],1,Table2[HomeTeam],$A44, Table2[AwayTeam], W$36, Table2[ActualResult], "SO"))), "")</f>
        <v/>
      </c>
      <c r="X44" s="58" t="str">
        <f>IFERROR(((2*SUMIFS(Table2[AwayWon], Table2[GameIsOver],1,Table2[AwayTeam],$A44, Table2[HomeTeam], X$36) + SUMIFS(Table2[HomeWon_], Table2[GameIsOver],1,Table2[HomeTeam],$A44, Table2[AwayTeam], X$36)) + SUMIFS(Table2[AwayWon], Table2[GameIsOver],1,Table2[HomeTeam],$A44, Table2[AwayTeam], X$36, Table2[ActualResult], "REG") + SUMIFS(Table2[HomeWon_], Table2[GameIsOver],1,Table2[AwayTeam],$A44, Table2[HomeTeam], X$36, Table2[ActualResult], "OT") + SUMIFS(Table2[AwayWon], Table2[GameIsOver],1,Table2[HomeTeam],$A44, Table2[AwayTeam], X$36, Table2[ActualResult], "OT") + SUMIFS(Table2[HomeWon_], Table2[GameIsOver],1,Table2[AwayTeam],$A44, Table2[HomeTeam], X$36, Table2[ActualResult], "SO") + SUMIFS(Table2[AwayWon], Table2[GameIsOver],1,Table2[HomeTeam],$A44, Table2[AwayTeam], X$36, Table2[ActualResult], "SO")) / (2*(SUMIFS(Table2[AwayWon], Table2[GameIsOver],1,Table2[AwayTeam],$A44, Table2[HomeTeam], X$36) + SUMIFS(Table2[HomeWon_], Table2[GameIsOver],1,Table2[HomeTeam],$A44, Table2[AwayTeam], X$36) + SUMIFS(Table2[HomeWon_], Table2[GameIsOver],1,Table2[AwayTeam],$A44, Table2[HomeTeam], X$36, Table2[ActualResult], "REG") + SUMIFS(Table2[AwayWon], Table2[GameIsOver],1,Table2[HomeTeam],$A44, Table2[AwayTeam], X$36, Table2[ActualResult], "REG") + SUMIFS(Table2[HomeWon_], Table2[GameIsOver],1,Table2[AwayTeam],$A44, Table2[HomeTeam], X$36, Table2[ActualResult], "OT") + SUMIFS(Table2[AwayWon], Table2[GameIsOver],1,Table2[HomeTeam],$A44, Table2[AwayTeam], X$36, Table2[ActualResult], "OT") + SUMIFS(Table2[HomeWon_], Table2[GameIsOver],1,Table2[AwayTeam],$A44, Table2[HomeTeam], X$36, Table2[ActualResult], "SO") + SUMIFS(Table2[AwayWon], Table2[GameIsOver],1,Table2[HomeTeam],$A44, Table2[AwayTeam], X$36, Table2[ActualResult], "SO"))), "")</f>
        <v/>
      </c>
      <c r="Y44" s="59" t="str">
        <f>IFERROR(((2*SUMIFS(Table2[AwayWon], Table2[GameIsOver],1,Table2[AwayTeam],$A44, Table2[HomeTeam], Y$36) + SUMIFS(Table2[HomeWon_], Table2[GameIsOver],1,Table2[HomeTeam],$A44, Table2[AwayTeam], Y$36)) + SUMIFS(Table2[AwayWon], Table2[GameIsOver],1,Table2[HomeTeam],$A44, Table2[AwayTeam], Y$36, Table2[ActualResult], "REG") + SUMIFS(Table2[HomeWon_], Table2[GameIsOver],1,Table2[AwayTeam],$A44, Table2[HomeTeam], Y$36, Table2[ActualResult], "OT") + SUMIFS(Table2[AwayWon], Table2[GameIsOver],1,Table2[HomeTeam],$A44, Table2[AwayTeam], Y$36, Table2[ActualResult], "OT") + SUMIFS(Table2[HomeWon_], Table2[GameIsOver],1,Table2[AwayTeam],$A44, Table2[HomeTeam], Y$36, Table2[ActualResult], "SO") + SUMIFS(Table2[AwayWon], Table2[GameIsOver],1,Table2[HomeTeam],$A44, Table2[AwayTeam], Y$36, Table2[ActualResult], "SO")) / (2*(SUMIFS(Table2[AwayWon], Table2[GameIsOver],1,Table2[AwayTeam],$A44, Table2[HomeTeam], Y$36) + SUMIFS(Table2[HomeWon_], Table2[GameIsOver],1,Table2[HomeTeam],$A44, Table2[AwayTeam], Y$36) + SUMIFS(Table2[HomeWon_], Table2[GameIsOver],1,Table2[AwayTeam],$A44, Table2[HomeTeam], Y$36, Table2[ActualResult], "REG") + SUMIFS(Table2[AwayWon], Table2[GameIsOver],1,Table2[HomeTeam],$A44, Table2[AwayTeam], Y$36, Table2[ActualResult], "REG") + SUMIFS(Table2[HomeWon_], Table2[GameIsOver],1,Table2[AwayTeam],$A44, Table2[HomeTeam], Y$36, Table2[ActualResult], "OT") + SUMIFS(Table2[AwayWon], Table2[GameIsOver],1,Table2[HomeTeam],$A44, Table2[AwayTeam], Y$36, Table2[ActualResult], "OT") + SUMIFS(Table2[HomeWon_], Table2[GameIsOver],1,Table2[AwayTeam],$A44, Table2[HomeTeam], Y$36, Table2[ActualResult], "SO") + SUMIFS(Table2[AwayWon], Table2[GameIsOver],1,Table2[HomeTeam],$A44, Table2[AwayTeam], Y$36, Table2[ActualResult], "SO"))), "")</f>
        <v/>
      </c>
      <c r="Z44" s="58">
        <f>IFERROR(((2*SUMIFS(Table2[AwayWon], Table2[GameIsOver],1,Table2[AwayTeam],$A44, Table2[HomeTeam], Z$36) + SUMIFS(Table2[HomeWon_], Table2[GameIsOver],1,Table2[HomeTeam],$A44, Table2[AwayTeam], Z$36)) + SUMIFS(Table2[AwayWon], Table2[GameIsOver],1,Table2[HomeTeam],$A44, Table2[AwayTeam], Z$36, Table2[ActualResult], "REG") + SUMIFS(Table2[HomeWon_], Table2[GameIsOver],1,Table2[AwayTeam],$A44, Table2[HomeTeam], Z$36, Table2[ActualResult], "OT") + SUMIFS(Table2[AwayWon], Table2[GameIsOver],1,Table2[HomeTeam],$A44, Table2[AwayTeam], Z$36, Table2[ActualResult], "OT") + SUMIFS(Table2[HomeWon_], Table2[GameIsOver],1,Table2[AwayTeam],$A44, Table2[HomeTeam], Z$36, Table2[ActualResult], "SO") + SUMIFS(Table2[AwayWon], Table2[GameIsOver],1,Table2[HomeTeam],$A44, Table2[AwayTeam], Z$36, Table2[ActualResult], "SO")) / (2*(SUMIFS(Table2[AwayWon], Table2[GameIsOver],1,Table2[AwayTeam],$A44, Table2[HomeTeam], Z$36) + SUMIFS(Table2[HomeWon_], Table2[GameIsOver],1,Table2[HomeTeam],$A44, Table2[AwayTeam], Z$36) + SUMIFS(Table2[HomeWon_], Table2[GameIsOver],1,Table2[AwayTeam],$A44, Table2[HomeTeam], Z$36, Table2[ActualResult], "REG") + SUMIFS(Table2[AwayWon], Table2[GameIsOver],1,Table2[HomeTeam],$A44, Table2[AwayTeam], Z$36, Table2[ActualResult], "REG") + SUMIFS(Table2[HomeWon_], Table2[GameIsOver],1,Table2[AwayTeam],$A44, Table2[HomeTeam], Z$36, Table2[ActualResult], "OT") + SUMIFS(Table2[AwayWon], Table2[GameIsOver],1,Table2[HomeTeam],$A44, Table2[AwayTeam], Z$36, Table2[ActualResult], "OT") + SUMIFS(Table2[HomeWon_], Table2[GameIsOver],1,Table2[AwayTeam],$A44, Table2[HomeTeam], Z$36, Table2[ActualResult], "SO") + SUMIFS(Table2[AwayWon], Table2[GameIsOver],1,Table2[HomeTeam],$A44, Table2[AwayTeam], Z$36, Table2[ActualResult], "SO"))), "")</f>
        <v>0.5</v>
      </c>
      <c r="AA44" s="58" t="str">
        <f>IFERROR(((2*SUMIFS(Table2[AwayWon], Table2[GameIsOver],1,Table2[AwayTeam],$A44, Table2[HomeTeam], AA$36) + SUMIFS(Table2[HomeWon_], Table2[GameIsOver],1,Table2[HomeTeam],$A44, Table2[AwayTeam], AA$36)) + SUMIFS(Table2[AwayWon], Table2[GameIsOver],1,Table2[HomeTeam],$A44, Table2[AwayTeam], AA$36, Table2[ActualResult], "REG") + SUMIFS(Table2[HomeWon_], Table2[GameIsOver],1,Table2[AwayTeam],$A44, Table2[HomeTeam], AA$36, Table2[ActualResult], "OT") + SUMIFS(Table2[AwayWon], Table2[GameIsOver],1,Table2[HomeTeam],$A44, Table2[AwayTeam], AA$36, Table2[ActualResult], "OT") + SUMIFS(Table2[HomeWon_], Table2[GameIsOver],1,Table2[AwayTeam],$A44, Table2[HomeTeam], AA$36, Table2[ActualResult], "SO") + SUMIFS(Table2[AwayWon], Table2[GameIsOver],1,Table2[HomeTeam],$A44, Table2[AwayTeam], AA$36, Table2[ActualResult], "SO")) / (2*(SUMIFS(Table2[AwayWon], Table2[GameIsOver],1,Table2[AwayTeam],$A44, Table2[HomeTeam], AA$36) + SUMIFS(Table2[HomeWon_], Table2[GameIsOver],1,Table2[HomeTeam],$A44, Table2[AwayTeam], AA$36) + SUMIFS(Table2[HomeWon_], Table2[GameIsOver],1,Table2[AwayTeam],$A44, Table2[HomeTeam], AA$36, Table2[ActualResult], "REG") + SUMIFS(Table2[AwayWon], Table2[GameIsOver],1,Table2[HomeTeam],$A44, Table2[AwayTeam], AA$36, Table2[ActualResult], "REG") + SUMIFS(Table2[HomeWon_], Table2[GameIsOver],1,Table2[AwayTeam],$A44, Table2[HomeTeam], AA$36, Table2[ActualResult], "OT") + SUMIFS(Table2[AwayWon], Table2[GameIsOver],1,Table2[HomeTeam],$A44, Table2[AwayTeam], AA$36, Table2[ActualResult], "OT") + SUMIFS(Table2[HomeWon_], Table2[GameIsOver],1,Table2[AwayTeam],$A44, Table2[HomeTeam], AA$36, Table2[ActualResult], "SO") + SUMIFS(Table2[AwayWon], Table2[GameIsOver],1,Table2[HomeTeam],$A44, Table2[AwayTeam], AA$36, Table2[ActualResult], "SO"))), "")</f>
        <v/>
      </c>
      <c r="AB44" s="58" t="str">
        <f>IFERROR(((2*SUMIFS(Table2[AwayWon], Table2[GameIsOver],1,Table2[AwayTeam],$A44, Table2[HomeTeam], AB$36) + SUMIFS(Table2[HomeWon_], Table2[GameIsOver],1,Table2[HomeTeam],$A44, Table2[AwayTeam], AB$36)) + SUMIFS(Table2[AwayWon], Table2[GameIsOver],1,Table2[HomeTeam],$A44, Table2[AwayTeam], AB$36, Table2[ActualResult], "REG") + SUMIFS(Table2[HomeWon_], Table2[GameIsOver],1,Table2[AwayTeam],$A44, Table2[HomeTeam], AB$36, Table2[ActualResult], "OT") + SUMIFS(Table2[AwayWon], Table2[GameIsOver],1,Table2[HomeTeam],$A44, Table2[AwayTeam], AB$36, Table2[ActualResult], "OT") + SUMIFS(Table2[HomeWon_], Table2[GameIsOver],1,Table2[AwayTeam],$A44, Table2[HomeTeam], AB$36, Table2[ActualResult], "SO") + SUMIFS(Table2[AwayWon], Table2[GameIsOver],1,Table2[HomeTeam],$A44, Table2[AwayTeam], AB$36, Table2[ActualResult], "SO")) / (2*(SUMIFS(Table2[AwayWon], Table2[GameIsOver],1,Table2[AwayTeam],$A44, Table2[HomeTeam], AB$36) + SUMIFS(Table2[HomeWon_], Table2[GameIsOver],1,Table2[HomeTeam],$A44, Table2[AwayTeam], AB$36) + SUMIFS(Table2[HomeWon_], Table2[GameIsOver],1,Table2[AwayTeam],$A44, Table2[HomeTeam], AB$36, Table2[ActualResult], "REG") + SUMIFS(Table2[AwayWon], Table2[GameIsOver],1,Table2[HomeTeam],$A44, Table2[AwayTeam], AB$36, Table2[ActualResult], "REG") + SUMIFS(Table2[HomeWon_], Table2[GameIsOver],1,Table2[AwayTeam],$A44, Table2[HomeTeam], AB$36, Table2[ActualResult], "OT") + SUMIFS(Table2[AwayWon], Table2[GameIsOver],1,Table2[HomeTeam],$A44, Table2[AwayTeam], AB$36, Table2[ActualResult], "OT") + SUMIFS(Table2[HomeWon_], Table2[GameIsOver],1,Table2[AwayTeam],$A44, Table2[HomeTeam], AB$36, Table2[ActualResult], "SO") + SUMIFS(Table2[AwayWon], Table2[GameIsOver],1,Table2[HomeTeam],$A44, Table2[AwayTeam], AB$36, Table2[ActualResult], "SO"))), "")</f>
        <v/>
      </c>
      <c r="AC44" s="58" t="str">
        <f>IFERROR(((2*SUMIFS(Table2[AwayWon], Table2[GameIsOver],1,Table2[AwayTeam],$A44, Table2[HomeTeam], AC$36) + SUMIFS(Table2[HomeWon_], Table2[GameIsOver],1,Table2[HomeTeam],$A44, Table2[AwayTeam], AC$36)) + SUMIFS(Table2[AwayWon], Table2[GameIsOver],1,Table2[HomeTeam],$A44, Table2[AwayTeam], AC$36, Table2[ActualResult], "REG") + SUMIFS(Table2[HomeWon_], Table2[GameIsOver],1,Table2[AwayTeam],$A44, Table2[HomeTeam], AC$36, Table2[ActualResult], "OT") + SUMIFS(Table2[AwayWon], Table2[GameIsOver],1,Table2[HomeTeam],$A44, Table2[AwayTeam], AC$36, Table2[ActualResult], "OT") + SUMIFS(Table2[HomeWon_], Table2[GameIsOver],1,Table2[AwayTeam],$A44, Table2[HomeTeam], AC$36, Table2[ActualResult], "SO") + SUMIFS(Table2[AwayWon], Table2[GameIsOver],1,Table2[HomeTeam],$A44, Table2[AwayTeam], AC$36, Table2[ActualResult], "SO")) / (2*(SUMIFS(Table2[AwayWon], Table2[GameIsOver],1,Table2[AwayTeam],$A44, Table2[HomeTeam], AC$36) + SUMIFS(Table2[HomeWon_], Table2[GameIsOver],1,Table2[HomeTeam],$A44, Table2[AwayTeam], AC$36) + SUMIFS(Table2[HomeWon_], Table2[GameIsOver],1,Table2[AwayTeam],$A44, Table2[HomeTeam], AC$36, Table2[ActualResult], "REG") + SUMIFS(Table2[AwayWon], Table2[GameIsOver],1,Table2[HomeTeam],$A44, Table2[AwayTeam], AC$36, Table2[ActualResult], "REG") + SUMIFS(Table2[HomeWon_], Table2[GameIsOver],1,Table2[AwayTeam],$A44, Table2[HomeTeam], AC$36, Table2[ActualResult], "OT") + SUMIFS(Table2[AwayWon], Table2[GameIsOver],1,Table2[HomeTeam],$A44, Table2[AwayTeam], AC$36, Table2[ActualResult], "OT") + SUMIFS(Table2[HomeWon_], Table2[GameIsOver],1,Table2[AwayTeam],$A44, Table2[HomeTeam], AC$36, Table2[ActualResult], "SO") + SUMIFS(Table2[AwayWon], Table2[GameIsOver],1,Table2[HomeTeam],$A44, Table2[AwayTeam], AC$36, Table2[ActualResult], "SO"))), "")</f>
        <v/>
      </c>
      <c r="AD44" s="58" t="str">
        <f>IFERROR(((2*SUMIFS(Table2[AwayWon], Table2[GameIsOver],1,Table2[AwayTeam],$A44, Table2[HomeTeam], AD$36) + SUMIFS(Table2[HomeWon_], Table2[GameIsOver],1,Table2[HomeTeam],$A44, Table2[AwayTeam], AD$36)) + SUMIFS(Table2[AwayWon], Table2[GameIsOver],1,Table2[HomeTeam],$A44, Table2[AwayTeam], AD$36, Table2[ActualResult], "REG") + SUMIFS(Table2[HomeWon_], Table2[GameIsOver],1,Table2[AwayTeam],$A44, Table2[HomeTeam], AD$36, Table2[ActualResult], "OT") + SUMIFS(Table2[AwayWon], Table2[GameIsOver],1,Table2[HomeTeam],$A44, Table2[AwayTeam], AD$36, Table2[ActualResult], "OT") + SUMIFS(Table2[HomeWon_], Table2[GameIsOver],1,Table2[AwayTeam],$A44, Table2[HomeTeam], AD$36, Table2[ActualResult], "SO") + SUMIFS(Table2[AwayWon], Table2[GameIsOver],1,Table2[HomeTeam],$A44, Table2[AwayTeam], AD$36, Table2[ActualResult], "SO")) / (2*(SUMIFS(Table2[AwayWon], Table2[GameIsOver],1,Table2[AwayTeam],$A44, Table2[HomeTeam], AD$36) + SUMIFS(Table2[HomeWon_], Table2[GameIsOver],1,Table2[HomeTeam],$A44, Table2[AwayTeam], AD$36) + SUMIFS(Table2[HomeWon_], Table2[GameIsOver],1,Table2[AwayTeam],$A44, Table2[HomeTeam], AD$36, Table2[ActualResult], "REG") + SUMIFS(Table2[AwayWon], Table2[GameIsOver],1,Table2[HomeTeam],$A44, Table2[AwayTeam], AD$36, Table2[ActualResult], "REG") + SUMIFS(Table2[HomeWon_], Table2[GameIsOver],1,Table2[AwayTeam],$A44, Table2[HomeTeam], AD$36, Table2[ActualResult], "OT") + SUMIFS(Table2[AwayWon], Table2[GameIsOver],1,Table2[HomeTeam],$A44, Table2[AwayTeam], AD$36, Table2[ActualResult], "OT") + SUMIFS(Table2[HomeWon_], Table2[GameIsOver],1,Table2[AwayTeam],$A44, Table2[HomeTeam], AD$36, Table2[ActualResult], "SO") + SUMIFS(Table2[AwayWon], Table2[GameIsOver],1,Table2[HomeTeam],$A44, Table2[AwayTeam], AD$36, Table2[ActualResult], "SO"))), "")</f>
        <v/>
      </c>
      <c r="AE44" s="58" t="str">
        <f>IFERROR(((2*SUMIFS(Table2[AwayWon], Table2[GameIsOver],1,Table2[AwayTeam],$A44, Table2[HomeTeam], AE$36) + SUMIFS(Table2[HomeWon_], Table2[GameIsOver],1,Table2[HomeTeam],$A44, Table2[AwayTeam], AE$36)) + SUMIFS(Table2[AwayWon], Table2[GameIsOver],1,Table2[HomeTeam],$A44, Table2[AwayTeam], AE$36, Table2[ActualResult], "REG") + SUMIFS(Table2[HomeWon_], Table2[GameIsOver],1,Table2[AwayTeam],$A44, Table2[HomeTeam], AE$36, Table2[ActualResult], "OT") + SUMIFS(Table2[AwayWon], Table2[GameIsOver],1,Table2[HomeTeam],$A44, Table2[AwayTeam], AE$36, Table2[ActualResult], "OT") + SUMIFS(Table2[HomeWon_], Table2[GameIsOver],1,Table2[AwayTeam],$A44, Table2[HomeTeam], AE$36, Table2[ActualResult], "SO") + SUMIFS(Table2[AwayWon], Table2[GameIsOver],1,Table2[HomeTeam],$A44, Table2[AwayTeam], AE$36, Table2[ActualResult], "SO")) / (2*(SUMIFS(Table2[AwayWon], Table2[GameIsOver],1,Table2[AwayTeam],$A44, Table2[HomeTeam], AE$36) + SUMIFS(Table2[HomeWon_], Table2[GameIsOver],1,Table2[HomeTeam],$A44, Table2[AwayTeam], AE$36) + SUMIFS(Table2[HomeWon_], Table2[GameIsOver],1,Table2[AwayTeam],$A44, Table2[HomeTeam], AE$36, Table2[ActualResult], "REG") + SUMIFS(Table2[AwayWon], Table2[GameIsOver],1,Table2[HomeTeam],$A44, Table2[AwayTeam], AE$36, Table2[ActualResult], "REG") + SUMIFS(Table2[HomeWon_], Table2[GameIsOver],1,Table2[AwayTeam],$A44, Table2[HomeTeam], AE$36, Table2[ActualResult], "OT") + SUMIFS(Table2[AwayWon], Table2[GameIsOver],1,Table2[HomeTeam],$A44, Table2[AwayTeam], AE$36, Table2[ActualResult], "OT") + SUMIFS(Table2[HomeWon_], Table2[GameIsOver],1,Table2[AwayTeam],$A44, Table2[HomeTeam], AE$36, Table2[ActualResult], "SO") + SUMIFS(Table2[AwayWon], Table2[GameIsOver],1,Table2[HomeTeam],$A44, Table2[AwayTeam], AE$36, Table2[ActualResult], "SO"))), "")</f>
        <v/>
      </c>
      <c r="AF44" s="58" t="str">
        <f>IFERROR(((2*SUMIFS(Table2[AwayWon], Table2[GameIsOver],1,Table2[AwayTeam],$A44, Table2[HomeTeam], AF$36) + SUMIFS(Table2[HomeWon_], Table2[GameIsOver],1,Table2[HomeTeam],$A44, Table2[AwayTeam], AF$36)) + SUMIFS(Table2[AwayWon], Table2[GameIsOver],1,Table2[HomeTeam],$A44, Table2[AwayTeam], AF$36, Table2[ActualResult], "REG") + SUMIFS(Table2[HomeWon_], Table2[GameIsOver],1,Table2[AwayTeam],$A44, Table2[HomeTeam], AF$36, Table2[ActualResult], "OT") + SUMIFS(Table2[AwayWon], Table2[GameIsOver],1,Table2[HomeTeam],$A44, Table2[AwayTeam], AF$36, Table2[ActualResult], "OT") + SUMIFS(Table2[HomeWon_], Table2[GameIsOver],1,Table2[AwayTeam],$A44, Table2[HomeTeam], AF$36, Table2[ActualResult], "SO") + SUMIFS(Table2[AwayWon], Table2[GameIsOver],1,Table2[HomeTeam],$A44, Table2[AwayTeam], AF$36, Table2[ActualResult], "SO")) / (2*(SUMIFS(Table2[AwayWon], Table2[GameIsOver],1,Table2[AwayTeam],$A44, Table2[HomeTeam], AF$36) + SUMIFS(Table2[HomeWon_], Table2[GameIsOver],1,Table2[HomeTeam],$A44, Table2[AwayTeam], AF$36) + SUMIFS(Table2[HomeWon_], Table2[GameIsOver],1,Table2[AwayTeam],$A44, Table2[HomeTeam], AF$36, Table2[ActualResult], "REG") + SUMIFS(Table2[AwayWon], Table2[GameIsOver],1,Table2[HomeTeam],$A44, Table2[AwayTeam], AF$36, Table2[ActualResult], "REG") + SUMIFS(Table2[HomeWon_], Table2[GameIsOver],1,Table2[AwayTeam],$A44, Table2[HomeTeam], AF$36, Table2[ActualResult], "OT") + SUMIFS(Table2[AwayWon], Table2[GameIsOver],1,Table2[HomeTeam],$A44, Table2[AwayTeam], AF$36, Table2[ActualResult], "OT") + SUMIFS(Table2[HomeWon_], Table2[GameIsOver],1,Table2[AwayTeam],$A44, Table2[HomeTeam], AF$36, Table2[ActualResult], "SO") + SUMIFS(Table2[AwayWon], Table2[GameIsOver],1,Table2[HomeTeam],$A44, Table2[AwayTeam], AF$36, Table2[ActualResult], "SO"))), "")</f>
        <v/>
      </c>
      <c r="AG44" s="59" t="str">
        <f>IFERROR(((2*SUMIFS(Table2[AwayWon], Table2[GameIsOver],1,Table2[AwayTeam],$A44, Table2[HomeTeam], AG$36) + SUMIFS(Table2[HomeWon_], Table2[GameIsOver],1,Table2[HomeTeam],$A44, Table2[AwayTeam], AG$36)) + SUMIFS(Table2[AwayWon], Table2[GameIsOver],1,Table2[HomeTeam],$A44, Table2[AwayTeam], AG$36, Table2[ActualResult], "REG") + SUMIFS(Table2[HomeWon_], Table2[GameIsOver],1,Table2[AwayTeam],$A44, Table2[HomeTeam], AG$36, Table2[ActualResult], "OT") + SUMIFS(Table2[AwayWon], Table2[GameIsOver],1,Table2[HomeTeam],$A44, Table2[AwayTeam], AG$36, Table2[ActualResult], "OT") + SUMIFS(Table2[HomeWon_], Table2[GameIsOver],1,Table2[AwayTeam],$A44, Table2[HomeTeam], AG$36, Table2[ActualResult], "SO") + SUMIFS(Table2[AwayWon], Table2[GameIsOver],1,Table2[HomeTeam],$A44, Table2[AwayTeam], AG$36, Table2[ActualResult], "SO")) / (2*(SUMIFS(Table2[AwayWon], Table2[GameIsOver],1,Table2[AwayTeam],$A44, Table2[HomeTeam], AG$36) + SUMIFS(Table2[HomeWon_], Table2[GameIsOver],1,Table2[HomeTeam],$A44, Table2[AwayTeam], AG$36) + SUMIFS(Table2[HomeWon_], Table2[GameIsOver],1,Table2[AwayTeam],$A44, Table2[HomeTeam], AG$36, Table2[ActualResult], "REG") + SUMIFS(Table2[AwayWon], Table2[GameIsOver],1,Table2[HomeTeam],$A44, Table2[AwayTeam], AG$36, Table2[ActualResult], "REG") + SUMIFS(Table2[HomeWon_], Table2[GameIsOver],1,Table2[AwayTeam],$A44, Table2[HomeTeam], AG$36, Table2[ActualResult], "OT") + SUMIFS(Table2[AwayWon], Table2[GameIsOver],1,Table2[HomeTeam],$A44, Table2[AwayTeam], AG$36, Table2[ActualResult], "OT") + SUMIFS(Table2[HomeWon_], Table2[GameIsOver],1,Table2[AwayTeam],$A44, Table2[HomeTeam], AG$36, Table2[ActualResult], "SO") + SUMIFS(Table2[AwayWon], Table2[GameIsOver],1,Table2[HomeTeam],$A44, Table2[AwayTeam], AG$36, Table2[ActualResult], "SO"))), "")</f>
        <v/>
      </c>
      <c r="AH44" s="102">
        <f t="shared" si="0"/>
        <v>0.5</v>
      </c>
      <c r="AI44" s="102">
        <f t="shared" si="1"/>
        <v>0.6875</v>
      </c>
      <c r="AJ44" s="104">
        <f t="shared" si="2"/>
        <v>0.5</v>
      </c>
      <c r="AK44" s="104">
        <f t="shared" si="3"/>
        <v>0.5</v>
      </c>
      <c r="AL44" s="104" t="e">
        <f t="shared" si="4"/>
        <v>#DIV/0!</v>
      </c>
      <c r="AM44" s="104">
        <f t="shared" si="5"/>
        <v>0.6875</v>
      </c>
    </row>
    <row r="45" spans="1:39" ht="15.75" thickTop="1" x14ac:dyDescent="0.25">
      <c r="A45" s="57" t="s">
        <v>16</v>
      </c>
      <c r="B45" s="24">
        <f>IFERROR(((2*SUMIFS(Table2[AwayWon], Table2[GameIsOver],1,Table2[AwayTeam],$A45, Table2[HomeTeam], B$36) + SUMIFS(Table2[HomeWon_], Table2[GameIsOver],1,Table2[HomeTeam],$A45, Table2[AwayTeam], B$36)) + SUMIFS(Table2[AwayWon], Table2[GameIsOver],1,Table2[HomeTeam],$A45, Table2[AwayTeam], B$36, Table2[ActualResult], "REG") + SUMIFS(Table2[HomeWon_], Table2[GameIsOver],1,Table2[AwayTeam],$A45, Table2[HomeTeam], B$36, Table2[ActualResult], "OT") + SUMIFS(Table2[AwayWon], Table2[GameIsOver],1,Table2[HomeTeam],$A45, Table2[AwayTeam], B$36, Table2[ActualResult], "OT") + SUMIFS(Table2[HomeWon_], Table2[GameIsOver],1,Table2[AwayTeam],$A45, Table2[HomeTeam], B$36, Table2[ActualResult], "SO") + SUMIFS(Table2[AwayWon], Table2[GameIsOver],1,Table2[HomeTeam],$A45, Table2[AwayTeam], B$36, Table2[ActualResult], "SO")) / (2*(SUMIFS(Table2[AwayWon], Table2[GameIsOver],1,Table2[AwayTeam],$A45, Table2[HomeTeam], B$36) + SUMIFS(Table2[HomeWon_], Table2[GameIsOver],1,Table2[HomeTeam],$A45, Table2[AwayTeam], B$36) + SUMIFS(Table2[HomeWon_], Table2[GameIsOver],1,Table2[AwayTeam],$A45, Table2[HomeTeam], B$36, Table2[ActualResult], "REG") + SUMIFS(Table2[AwayWon], Table2[GameIsOver],1,Table2[HomeTeam],$A45, Table2[AwayTeam], B$36, Table2[ActualResult], "REG") + SUMIFS(Table2[HomeWon_], Table2[GameIsOver],1,Table2[AwayTeam],$A45, Table2[HomeTeam], B$36, Table2[ActualResult], "OT") + SUMIFS(Table2[AwayWon], Table2[GameIsOver],1,Table2[HomeTeam],$A45, Table2[AwayTeam], B$36, Table2[ActualResult], "OT") + SUMIFS(Table2[HomeWon_], Table2[GameIsOver],1,Table2[AwayTeam],$A45, Table2[HomeTeam], B$36, Table2[ActualResult], "SO") + SUMIFS(Table2[AwayWon], Table2[GameIsOver],1,Table2[HomeTeam],$A45, Table2[AwayTeam], B$36, Table2[ActualResult], "SO"))), "")</f>
        <v>0.5</v>
      </c>
      <c r="C45" s="24" t="str">
        <f>IFERROR(((2*SUMIFS(Table2[AwayWon], Table2[GameIsOver],1,Table2[AwayTeam],$A45, Table2[HomeTeam], C$36) + SUMIFS(Table2[HomeWon_], Table2[GameIsOver],1,Table2[HomeTeam],$A45, Table2[AwayTeam], C$36)) + SUMIFS(Table2[AwayWon], Table2[GameIsOver],1,Table2[HomeTeam],$A45, Table2[AwayTeam], C$36, Table2[ActualResult], "REG") + SUMIFS(Table2[HomeWon_], Table2[GameIsOver],1,Table2[AwayTeam],$A45, Table2[HomeTeam], C$36, Table2[ActualResult], "OT") + SUMIFS(Table2[AwayWon], Table2[GameIsOver],1,Table2[HomeTeam],$A45, Table2[AwayTeam], C$36, Table2[ActualResult], "OT") + SUMIFS(Table2[HomeWon_], Table2[GameIsOver],1,Table2[AwayTeam],$A45, Table2[HomeTeam], C$36, Table2[ActualResult], "SO") + SUMIFS(Table2[AwayWon], Table2[GameIsOver],1,Table2[HomeTeam],$A45, Table2[AwayTeam], C$36, Table2[ActualResult], "SO")) / (2*(SUMIFS(Table2[AwayWon], Table2[GameIsOver],1,Table2[AwayTeam],$A45, Table2[HomeTeam], C$36) + SUMIFS(Table2[HomeWon_], Table2[GameIsOver],1,Table2[HomeTeam],$A45, Table2[AwayTeam], C$36) + SUMIFS(Table2[HomeWon_], Table2[GameIsOver],1,Table2[AwayTeam],$A45, Table2[HomeTeam], C$36, Table2[ActualResult], "REG") + SUMIFS(Table2[AwayWon], Table2[GameIsOver],1,Table2[HomeTeam],$A45, Table2[AwayTeam], C$36, Table2[ActualResult], "REG") + SUMIFS(Table2[HomeWon_], Table2[GameIsOver],1,Table2[AwayTeam],$A45, Table2[HomeTeam], C$36, Table2[ActualResult], "OT") + SUMIFS(Table2[AwayWon], Table2[GameIsOver],1,Table2[HomeTeam],$A45, Table2[AwayTeam], C$36, Table2[ActualResult], "OT") + SUMIFS(Table2[HomeWon_], Table2[GameIsOver],1,Table2[AwayTeam],$A45, Table2[HomeTeam], C$36, Table2[ActualResult], "SO") + SUMIFS(Table2[AwayWon], Table2[GameIsOver],1,Table2[HomeTeam],$A45, Table2[AwayTeam], C$36, Table2[ActualResult], "SO"))), "")</f>
        <v/>
      </c>
      <c r="D45" t="str">
        <f>IFERROR(((2*SUMIFS(Table2[AwayWon], Table2[GameIsOver],1,Table2[AwayTeam],$A45, Table2[HomeTeam], D$36) + SUMIFS(Table2[HomeWon_], Table2[GameIsOver],1,Table2[HomeTeam],$A45, Table2[AwayTeam], D$36)) + SUMIFS(Table2[AwayWon], Table2[GameIsOver],1,Table2[HomeTeam],$A45, Table2[AwayTeam], D$36, Table2[ActualResult], "REG") + SUMIFS(Table2[HomeWon_], Table2[GameIsOver],1,Table2[AwayTeam],$A45, Table2[HomeTeam], D$36, Table2[ActualResult], "OT") + SUMIFS(Table2[AwayWon], Table2[GameIsOver],1,Table2[HomeTeam],$A45, Table2[AwayTeam], D$36, Table2[ActualResult], "OT") + SUMIFS(Table2[HomeWon_], Table2[GameIsOver],1,Table2[AwayTeam],$A45, Table2[HomeTeam], D$36, Table2[ActualResult], "SO") + SUMIFS(Table2[AwayWon], Table2[GameIsOver],1,Table2[HomeTeam],$A45, Table2[AwayTeam], D$36, Table2[ActualResult], "SO")) / (2*(SUMIFS(Table2[AwayWon], Table2[GameIsOver],1,Table2[AwayTeam],$A45, Table2[HomeTeam], D$36) + SUMIFS(Table2[HomeWon_], Table2[GameIsOver],1,Table2[HomeTeam],$A45, Table2[AwayTeam], D$36) + SUMIFS(Table2[HomeWon_], Table2[GameIsOver],1,Table2[AwayTeam],$A45, Table2[HomeTeam], D$36, Table2[ActualResult], "REG") + SUMIFS(Table2[AwayWon], Table2[GameIsOver],1,Table2[HomeTeam],$A45, Table2[AwayTeam], D$36, Table2[ActualResult], "REG") + SUMIFS(Table2[HomeWon_], Table2[GameIsOver],1,Table2[AwayTeam],$A45, Table2[HomeTeam], D$36, Table2[ActualResult], "OT") + SUMIFS(Table2[AwayWon], Table2[GameIsOver],1,Table2[HomeTeam],$A45, Table2[AwayTeam], D$36, Table2[ActualResult], "OT") + SUMIFS(Table2[HomeWon_], Table2[GameIsOver],1,Table2[AwayTeam],$A45, Table2[HomeTeam], D$36, Table2[ActualResult], "SO") + SUMIFS(Table2[AwayWon], Table2[GameIsOver],1,Table2[HomeTeam],$A45, Table2[AwayTeam], D$36, Table2[ActualResult], "SO"))), "")</f>
        <v/>
      </c>
      <c r="E45" t="str">
        <f>IFERROR(((2*SUMIFS(Table2[AwayWon], Table2[GameIsOver],1,Table2[AwayTeam],$A45, Table2[HomeTeam], E$36) + SUMIFS(Table2[HomeWon_], Table2[GameIsOver],1,Table2[HomeTeam],$A45, Table2[AwayTeam], E$36)) + SUMIFS(Table2[AwayWon], Table2[GameIsOver],1,Table2[HomeTeam],$A45, Table2[AwayTeam], E$36, Table2[ActualResult], "REG") + SUMIFS(Table2[HomeWon_], Table2[GameIsOver],1,Table2[AwayTeam],$A45, Table2[HomeTeam], E$36, Table2[ActualResult], "OT") + SUMIFS(Table2[AwayWon], Table2[GameIsOver],1,Table2[HomeTeam],$A45, Table2[AwayTeam], E$36, Table2[ActualResult], "OT") + SUMIFS(Table2[HomeWon_], Table2[GameIsOver],1,Table2[AwayTeam],$A45, Table2[HomeTeam], E$36, Table2[ActualResult], "SO") + SUMIFS(Table2[AwayWon], Table2[GameIsOver],1,Table2[HomeTeam],$A45, Table2[AwayTeam], E$36, Table2[ActualResult], "SO")) / (2*(SUMIFS(Table2[AwayWon], Table2[GameIsOver],1,Table2[AwayTeam],$A45, Table2[HomeTeam], E$36) + SUMIFS(Table2[HomeWon_], Table2[GameIsOver],1,Table2[HomeTeam],$A45, Table2[AwayTeam], E$36) + SUMIFS(Table2[HomeWon_], Table2[GameIsOver],1,Table2[AwayTeam],$A45, Table2[HomeTeam], E$36, Table2[ActualResult], "REG") + SUMIFS(Table2[AwayWon], Table2[GameIsOver],1,Table2[HomeTeam],$A45, Table2[AwayTeam], E$36, Table2[ActualResult], "REG") + SUMIFS(Table2[HomeWon_], Table2[GameIsOver],1,Table2[AwayTeam],$A45, Table2[HomeTeam], E$36, Table2[ActualResult], "OT") + SUMIFS(Table2[AwayWon], Table2[GameIsOver],1,Table2[HomeTeam],$A45, Table2[AwayTeam], E$36, Table2[ActualResult], "OT") + SUMIFS(Table2[HomeWon_], Table2[GameIsOver],1,Table2[AwayTeam],$A45, Table2[HomeTeam], E$36, Table2[ActualResult], "SO") + SUMIFS(Table2[AwayWon], Table2[GameIsOver],1,Table2[HomeTeam],$A45, Table2[AwayTeam], E$36, Table2[ActualResult], "SO"))), "")</f>
        <v/>
      </c>
      <c r="F45" t="str">
        <f>IFERROR(((2*SUMIFS(Table2[AwayWon], Table2[GameIsOver],1,Table2[AwayTeam],$A45, Table2[HomeTeam], F$36) + SUMIFS(Table2[HomeWon_], Table2[GameIsOver],1,Table2[HomeTeam],$A45, Table2[AwayTeam], F$36)) + SUMIFS(Table2[AwayWon], Table2[GameIsOver],1,Table2[HomeTeam],$A45, Table2[AwayTeam], F$36, Table2[ActualResult], "REG") + SUMIFS(Table2[HomeWon_], Table2[GameIsOver],1,Table2[AwayTeam],$A45, Table2[HomeTeam], F$36, Table2[ActualResult], "OT") + SUMIFS(Table2[AwayWon], Table2[GameIsOver],1,Table2[HomeTeam],$A45, Table2[AwayTeam], F$36, Table2[ActualResult], "OT") + SUMIFS(Table2[HomeWon_], Table2[GameIsOver],1,Table2[AwayTeam],$A45, Table2[HomeTeam], F$36, Table2[ActualResult], "SO") + SUMIFS(Table2[AwayWon], Table2[GameIsOver],1,Table2[HomeTeam],$A45, Table2[AwayTeam], F$36, Table2[ActualResult], "SO")) / (2*(SUMIFS(Table2[AwayWon], Table2[GameIsOver],1,Table2[AwayTeam],$A45, Table2[HomeTeam], F$36) + SUMIFS(Table2[HomeWon_], Table2[GameIsOver],1,Table2[HomeTeam],$A45, Table2[AwayTeam], F$36) + SUMIFS(Table2[HomeWon_], Table2[GameIsOver],1,Table2[AwayTeam],$A45, Table2[HomeTeam], F$36, Table2[ActualResult], "REG") + SUMIFS(Table2[AwayWon], Table2[GameIsOver],1,Table2[HomeTeam],$A45, Table2[AwayTeam], F$36, Table2[ActualResult], "REG") + SUMIFS(Table2[HomeWon_], Table2[GameIsOver],1,Table2[AwayTeam],$A45, Table2[HomeTeam], F$36, Table2[ActualResult], "OT") + SUMIFS(Table2[AwayWon], Table2[GameIsOver],1,Table2[HomeTeam],$A45, Table2[AwayTeam], F$36, Table2[ActualResult], "OT") + SUMIFS(Table2[HomeWon_], Table2[GameIsOver],1,Table2[AwayTeam],$A45, Table2[HomeTeam], F$36, Table2[ActualResult], "SO") + SUMIFS(Table2[AwayWon], Table2[GameIsOver],1,Table2[HomeTeam],$A45, Table2[AwayTeam], F$36, Table2[ActualResult], "SO"))), "")</f>
        <v/>
      </c>
      <c r="G45" t="str">
        <f>IFERROR(((2*SUMIFS(Table2[AwayWon], Table2[GameIsOver],1,Table2[AwayTeam],$A45, Table2[HomeTeam], G$36) + SUMIFS(Table2[HomeWon_], Table2[GameIsOver],1,Table2[HomeTeam],$A45, Table2[AwayTeam], G$36)) + SUMIFS(Table2[AwayWon], Table2[GameIsOver],1,Table2[HomeTeam],$A45, Table2[AwayTeam], G$36, Table2[ActualResult], "REG") + SUMIFS(Table2[HomeWon_], Table2[GameIsOver],1,Table2[AwayTeam],$A45, Table2[HomeTeam], G$36, Table2[ActualResult], "OT") + SUMIFS(Table2[AwayWon], Table2[GameIsOver],1,Table2[HomeTeam],$A45, Table2[AwayTeam], G$36, Table2[ActualResult], "OT") + SUMIFS(Table2[HomeWon_], Table2[GameIsOver],1,Table2[AwayTeam],$A45, Table2[HomeTeam], G$36, Table2[ActualResult], "SO") + SUMIFS(Table2[AwayWon], Table2[GameIsOver],1,Table2[HomeTeam],$A45, Table2[AwayTeam], G$36, Table2[ActualResult], "SO")) / (2*(SUMIFS(Table2[AwayWon], Table2[GameIsOver],1,Table2[AwayTeam],$A45, Table2[HomeTeam], G$36) + SUMIFS(Table2[HomeWon_], Table2[GameIsOver],1,Table2[HomeTeam],$A45, Table2[AwayTeam], G$36) + SUMIFS(Table2[HomeWon_], Table2[GameIsOver],1,Table2[AwayTeam],$A45, Table2[HomeTeam], G$36, Table2[ActualResult], "REG") + SUMIFS(Table2[AwayWon], Table2[GameIsOver],1,Table2[HomeTeam],$A45, Table2[AwayTeam], G$36, Table2[ActualResult], "REG") + SUMIFS(Table2[HomeWon_], Table2[GameIsOver],1,Table2[AwayTeam],$A45, Table2[HomeTeam], G$36, Table2[ActualResult], "OT") + SUMIFS(Table2[AwayWon], Table2[GameIsOver],1,Table2[HomeTeam],$A45, Table2[AwayTeam], G$36, Table2[ActualResult], "OT") + SUMIFS(Table2[HomeWon_], Table2[GameIsOver],1,Table2[AwayTeam],$A45, Table2[HomeTeam], G$36, Table2[ActualResult], "SO") + SUMIFS(Table2[AwayWon], Table2[GameIsOver],1,Table2[HomeTeam],$A45, Table2[AwayTeam], G$36, Table2[ActualResult], "SO"))), "")</f>
        <v/>
      </c>
      <c r="H45">
        <f>IFERROR(((2*SUMIFS(Table2[AwayWon], Table2[GameIsOver],1,Table2[AwayTeam],$A45, Table2[HomeTeam], H$36) + SUMIFS(Table2[HomeWon_], Table2[GameIsOver],1,Table2[HomeTeam],$A45, Table2[AwayTeam], H$36)) + SUMIFS(Table2[AwayWon], Table2[GameIsOver],1,Table2[HomeTeam],$A45, Table2[AwayTeam], H$36, Table2[ActualResult], "REG") + SUMIFS(Table2[HomeWon_], Table2[GameIsOver],1,Table2[AwayTeam],$A45, Table2[HomeTeam], H$36, Table2[ActualResult], "OT") + SUMIFS(Table2[AwayWon], Table2[GameIsOver],1,Table2[HomeTeam],$A45, Table2[AwayTeam], H$36, Table2[ActualResult], "OT") + SUMIFS(Table2[HomeWon_], Table2[GameIsOver],1,Table2[AwayTeam],$A45, Table2[HomeTeam], H$36, Table2[ActualResult], "SO") + SUMIFS(Table2[AwayWon], Table2[GameIsOver],1,Table2[HomeTeam],$A45, Table2[AwayTeam], H$36, Table2[ActualResult], "SO")) / (2*(SUMIFS(Table2[AwayWon], Table2[GameIsOver],1,Table2[AwayTeam],$A45, Table2[HomeTeam], H$36) + SUMIFS(Table2[HomeWon_], Table2[GameIsOver],1,Table2[HomeTeam],$A45, Table2[AwayTeam], H$36) + SUMIFS(Table2[HomeWon_], Table2[GameIsOver],1,Table2[AwayTeam],$A45, Table2[HomeTeam], H$36, Table2[ActualResult], "REG") + SUMIFS(Table2[AwayWon], Table2[GameIsOver],1,Table2[HomeTeam],$A45, Table2[AwayTeam], H$36, Table2[ActualResult], "REG") + SUMIFS(Table2[HomeWon_], Table2[GameIsOver],1,Table2[AwayTeam],$A45, Table2[HomeTeam], H$36, Table2[ActualResult], "OT") + SUMIFS(Table2[AwayWon], Table2[GameIsOver],1,Table2[HomeTeam],$A45, Table2[AwayTeam], H$36, Table2[ActualResult], "OT") + SUMIFS(Table2[HomeWon_], Table2[GameIsOver],1,Table2[AwayTeam],$A45, Table2[HomeTeam], H$36, Table2[ActualResult], "SO") + SUMIFS(Table2[AwayWon], Table2[GameIsOver],1,Table2[HomeTeam],$A45, Table2[AwayTeam], H$36, Table2[ActualResult], "SO"))), "")</f>
        <v>0.5</v>
      </c>
      <c r="I45" s="57" t="str">
        <f>IFERROR(((2*SUMIFS(Table2[AwayWon], Table2[GameIsOver],1,Table2[AwayTeam],$A45, Table2[HomeTeam], I$36) + SUMIFS(Table2[HomeWon_], Table2[GameIsOver],1,Table2[HomeTeam],$A45, Table2[AwayTeam], I$36)) + SUMIFS(Table2[AwayWon], Table2[GameIsOver],1,Table2[HomeTeam],$A45, Table2[AwayTeam], I$36, Table2[ActualResult], "REG") + SUMIFS(Table2[HomeWon_], Table2[GameIsOver],1,Table2[AwayTeam],$A45, Table2[HomeTeam], I$36, Table2[ActualResult], "OT") + SUMIFS(Table2[AwayWon], Table2[GameIsOver],1,Table2[HomeTeam],$A45, Table2[AwayTeam], I$36, Table2[ActualResult], "OT") + SUMIFS(Table2[HomeWon_], Table2[GameIsOver],1,Table2[AwayTeam],$A45, Table2[HomeTeam], I$36, Table2[ActualResult], "SO") + SUMIFS(Table2[AwayWon], Table2[GameIsOver],1,Table2[HomeTeam],$A45, Table2[AwayTeam], I$36, Table2[ActualResult], "SO")) / (2*(SUMIFS(Table2[AwayWon], Table2[GameIsOver],1,Table2[AwayTeam],$A45, Table2[HomeTeam], I$36) + SUMIFS(Table2[HomeWon_], Table2[GameIsOver],1,Table2[HomeTeam],$A45, Table2[AwayTeam], I$36) + SUMIFS(Table2[HomeWon_], Table2[GameIsOver],1,Table2[AwayTeam],$A45, Table2[HomeTeam], I$36, Table2[ActualResult], "REG") + SUMIFS(Table2[AwayWon], Table2[GameIsOver],1,Table2[HomeTeam],$A45, Table2[AwayTeam], I$36, Table2[ActualResult], "REG") + SUMIFS(Table2[HomeWon_], Table2[GameIsOver],1,Table2[AwayTeam],$A45, Table2[HomeTeam], I$36, Table2[ActualResult], "OT") + SUMIFS(Table2[AwayWon], Table2[GameIsOver],1,Table2[HomeTeam],$A45, Table2[AwayTeam], I$36, Table2[ActualResult], "OT") + SUMIFS(Table2[HomeWon_], Table2[GameIsOver],1,Table2[AwayTeam],$A45, Table2[HomeTeam], I$36, Table2[ActualResult], "SO") + SUMIFS(Table2[AwayWon], Table2[GameIsOver],1,Table2[HomeTeam],$A45, Table2[AwayTeam], I$36, Table2[ActualResult], "SO"))), "")</f>
        <v/>
      </c>
      <c r="J45" s="98" t="str">
        <f>IFERROR(((2*SUMIFS(Table2[AwayWon], Table2[GameIsOver],1,Table2[AwayTeam],$A45, Table2[HomeTeam], J$36) + SUMIFS(Table2[HomeWon_], Table2[GameIsOver],1,Table2[HomeTeam],$A45, Table2[AwayTeam], J$36)) + SUMIFS(Table2[AwayWon], Table2[GameIsOver],1,Table2[HomeTeam],$A45, Table2[AwayTeam], J$36, Table2[ActualResult], "REG") + SUMIFS(Table2[HomeWon_], Table2[GameIsOver],1,Table2[AwayTeam],$A45, Table2[HomeTeam], J$36, Table2[ActualResult], "OT") + SUMIFS(Table2[AwayWon], Table2[GameIsOver],1,Table2[HomeTeam],$A45, Table2[AwayTeam], J$36, Table2[ActualResult], "OT") + SUMIFS(Table2[HomeWon_], Table2[GameIsOver],1,Table2[AwayTeam],$A45, Table2[HomeTeam], J$36, Table2[ActualResult], "SO") + SUMIFS(Table2[AwayWon], Table2[GameIsOver],1,Table2[HomeTeam],$A45, Table2[AwayTeam], J$36, Table2[ActualResult], "SO")) / (2*(SUMIFS(Table2[AwayWon], Table2[GameIsOver],1,Table2[AwayTeam],$A45, Table2[HomeTeam], J$36) + SUMIFS(Table2[HomeWon_], Table2[GameIsOver],1,Table2[HomeTeam],$A45, Table2[AwayTeam], J$36) + SUMIFS(Table2[HomeWon_], Table2[GameIsOver],1,Table2[AwayTeam],$A45, Table2[HomeTeam], J$36, Table2[ActualResult], "REG") + SUMIFS(Table2[AwayWon], Table2[GameIsOver],1,Table2[HomeTeam],$A45, Table2[AwayTeam], J$36, Table2[ActualResult], "REG") + SUMIFS(Table2[HomeWon_], Table2[GameIsOver],1,Table2[AwayTeam],$A45, Table2[HomeTeam], J$36, Table2[ActualResult], "OT") + SUMIFS(Table2[AwayWon], Table2[GameIsOver],1,Table2[HomeTeam],$A45, Table2[AwayTeam], J$36, Table2[ActualResult], "OT") + SUMIFS(Table2[HomeWon_], Table2[GameIsOver],1,Table2[AwayTeam],$A45, Table2[HomeTeam], J$36, Table2[ActualResult], "SO") + SUMIFS(Table2[AwayWon], Table2[GameIsOver],1,Table2[HomeTeam],$A45, Table2[AwayTeam], J$36, Table2[ActualResult], "SO"))), "")</f>
        <v/>
      </c>
      <c r="K45" t="str">
        <f>IFERROR(((2*SUMIFS(Table2[AwayWon], Table2[GameIsOver],1,Table2[AwayTeam],$A45, Table2[HomeTeam], K$36) + SUMIFS(Table2[HomeWon_], Table2[GameIsOver],1,Table2[HomeTeam],$A45, Table2[AwayTeam], K$36)) + SUMIFS(Table2[AwayWon], Table2[GameIsOver],1,Table2[HomeTeam],$A45, Table2[AwayTeam], K$36, Table2[ActualResult], "REG") + SUMIFS(Table2[HomeWon_], Table2[GameIsOver],1,Table2[AwayTeam],$A45, Table2[HomeTeam], K$36, Table2[ActualResult], "OT") + SUMIFS(Table2[AwayWon], Table2[GameIsOver],1,Table2[HomeTeam],$A45, Table2[AwayTeam], K$36, Table2[ActualResult], "OT") + SUMIFS(Table2[HomeWon_], Table2[GameIsOver],1,Table2[AwayTeam],$A45, Table2[HomeTeam], K$36, Table2[ActualResult], "SO") + SUMIFS(Table2[AwayWon], Table2[GameIsOver],1,Table2[HomeTeam],$A45, Table2[AwayTeam], K$36, Table2[ActualResult], "SO")) / (2*(SUMIFS(Table2[AwayWon], Table2[GameIsOver],1,Table2[AwayTeam],$A45, Table2[HomeTeam], K$36) + SUMIFS(Table2[HomeWon_], Table2[GameIsOver],1,Table2[HomeTeam],$A45, Table2[AwayTeam], K$36) + SUMIFS(Table2[HomeWon_], Table2[GameIsOver],1,Table2[AwayTeam],$A45, Table2[HomeTeam], K$36, Table2[ActualResult], "REG") + SUMIFS(Table2[AwayWon], Table2[GameIsOver],1,Table2[HomeTeam],$A45, Table2[AwayTeam], K$36, Table2[ActualResult], "REG") + SUMIFS(Table2[HomeWon_], Table2[GameIsOver],1,Table2[AwayTeam],$A45, Table2[HomeTeam], K$36, Table2[ActualResult], "OT") + SUMIFS(Table2[AwayWon], Table2[GameIsOver],1,Table2[HomeTeam],$A45, Table2[AwayTeam], K$36, Table2[ActualResult], "OT") + SUMIFS(Table2[HomeWon_], Table2[GameIsOver],1,Table2[AwayTeam],$A45, Table2[HomeTeam], K$36, Table2[ActualResult], "SO") + SUMIFS(Table2[AwayWon], Table2[GameIsOver],1,Table2[HomeTeam],$A45, Table2[AwayTeam], K$36, Table2[ActualResult], "SO"))), "")</f>
        <v/>
      </c>
      <c r="L45" t="str">
        <f>IFERROR(((2*SUMIFS(Table2[AwayWon], Table2[GameIsOver],1,Table2[AwayTeam],$A45, Table2[HomeTeam], L$36) + SUMIFS(Table2[HomeWon_], Table2[GameIsOver],1,Table2[HomeTeam],$A45, Table2[AwayTeam], L$36)) + SUMIFS(Table2[AwayWon], Table2[GameIsOver],1,Table2[HomeTeam],$A45, Table2[AwayTeam], L$36, Table2[ActualResult], "REG") + SUMIFS(Table2[HomeWon_], Table2[GameIsOver],1,Table2[AwayTeam],$A45, Table2[HomeTeam], L$36, Table2[ActualResult], "OT") + SUMIFS(Table2[AwayWon], Table2[GameIsOver],1,Table2[HomeTeam],$A45, Table2[AwayTeam], L$36, Table2[ActualResult], "OT") + SUMIFS(Table2[HomeWon_], Table2[GameIsOver],1,Table2[AwayTeam],$A45, Table2[HomeTeam], L$36, Table2[ActualResult], "SO") + SUMIFS(Table2[AwayWon], Table2[GameIsOver],1,Table2[HomeTeam],$A45, Table2[AwayTeam], L$36, Table2[ActualResult], "SO")) / (2*(SUMIFS(Table2[AwayWon], Table2[GameIsOver],1,Table2[AwayTeam],$A45, Table2[HomeTeam], L$36) + SUMIFS(Table2[HomeWon_], Table2[GameIsOver],1,Table2[HomeTeam],$A45, Table2[AwayTeam], L$36) + SUMIFS(Table2[HomeWon_], Table2[GameIsOver],1,Table2[AwayTeam],$A45, Table2[HomeTeam], L$36, Table2[ActualResult], "REG") + SUMIFS(Table2[AwayWon], Table2[GameIsOver],1,Table2[HomeTeam],$A45, Table2[AwayTeam], L$36, Table2[ActualResult], "REG") + SUMIFS(Table2[HomeWon_], Table2[GameIsOver],1,Table2[AwayTeam],$A45, Table2[HomeTeam], L$36, Table2[ActualResult], "OT") + SUMIFS(Table2[AwayWon], Table2[GameIsOver],1,Table2[HomeTeam],$A45, Table2[AwayTeam], L$36, Table2[ActualResult], "OT") + SUMIFS(Table2[HomeWon_], Table2[GameIsOver],1,Table2[AwayTeam],$A45, Table2[HomeTeam], L$36, Table2[ActualResult], "SO") + SUMIFS(Table2[AwayWon], Table2[GameIsOver],1,Table2[HomeTeam],$A45, Table2[AwayTeam], L$36, Table2[ActualResult], "SO"))), "")</f>
        <v/>
      </c>
      <c r="M45" t="str">
        <f>IFERROR(((2*SUMIFS(Table2[AwayWon], Table2[GameIsOver],1,Table2[AwayTeam],$A45, Table2[HomeTeam], M$36) + SUMIFS(Table2[HomeWon_], Table2[GameIsOver],1,Table2[HomeTeam],$A45, Table2[AwayTeam], M$36)) + SUMIFS(Table2[AwayWon], Table2[GameIsOver],1,Table2[HomeTeam],$A45, Table2[AwayTeam], M$36, Table2[ActualResult], "REG") + SUMIFS(Table2[HomeWon_], Table2[GameIsOver],1,Table2[AwayTeam],$A45, Table2[HomeTeam], M$36, Table2[ActualResult], "OT") + SUMIFS(Table2[AwayWon], Table2[GameIsOver],1,Table2[HomeTeam],$A45, Table2[AwayTeam], M$36, Table2[ActualResult], "OT") + SUMIFS(Table2[HomeWon_], Table2[GameIsOver],1,Table2[AwayTeam],$A45, Table2[HomeTeam], M$36, Table2[ActualResult], "SO") + SUMIFS(Table2[AwayWon], Table2[GameIsOver],1,Table2[HomeTeam],$A45, Table2[AwayTeam], M$36, Table2[ActualResult], "SO")) / (2*(SUMIFS(Table2[AwayWon], Table2[GameIsOver],1,Table2[AwayTeam],$A45, Table2[HomeTeam], M$36) + SUMIFS(Table2[HomeWon_], Table2[GameIsOver],1,Table2[HomeTeam],$A45, Table2[AwayTeam], M$36) + SUMIFS(Table2[HomeWon_], Table2[GameIsOver],1,Table2[AwayTeam],$A45, Table2[HomeTeam], M$36, Table2[ActualResult], "REG") + SUMIFS(Table2[AwayWon], Table2[GameIsOver],1,Table2[HomeTeam],$A45, Table2[AwayTeam], M$36, Table2[ActualResult], "REG") + SUMIFS(Table2[HomeWon_], Table2[GameIsOver],1,Table2[AwayTeam],$A45, Table2[HomeTeam], M$36, Table2[ActualResult], "OT") + SUMIFS(Table2[AwayWon], Table2[GameIsOver],1,Table2[HomeTeam],$A45, Table2[AwayTeam], M$36, Table2[ActualResult], "OT") + SUMIFS(Table2[HomeWon_], Table2[GameIsOver],1,Table2[AwayTeam],$A45, Table2[HomeTeam], M$36, Table2[ActualResult], "SO") + SUMIFS(Table2[AwayWon], Table2[GameIsOver],1,Table2[HomeTeam],$A45, Table2[AwayTeam], M$36, Table2[ActualResult], "SO"))), "")</f>
        <v/>
      </c>
      <c r="N45" t="str">
        <f>IFERROR(((2*SUMIFS(Table2[AwayWon], Table2[GameIsOver],1,Table2[AwayTeam],$A45, Table2[HomeTeam], N$36) + SUMIFS(Table2[HomeWon_], Table2[GameIsOver],1,Table2[HomeTeam],$A45, Table2[AwayTeam], N$36)) + SUMIFS(Table2[AwayWon], Table2[GameIsOver],1,Table2[HomeTeam],$A45, Table2[AwayTeam], N$36, Table2[ActualResult], "REG") + SUMIFS(Table2[HomeWon_], Table2[GameIsOver],1,Table2[AwayTeam],$A45, Table2[HomeTeam], N$36, Table2[ActualResult], "OT") + SUMIFS(Table2[AwayWon], Table2[GameIsOver],1,Table2[HomeTeam],$A45, Table2[AwayTeam], N$36, Table2[ActualResult], "OT") + SUMIFS(Table2[HomeWon_], Table2[GameIsOver],1,Table2[AwayTeam],$A45, Table2[HomeTeam], N$36, Table2[ActualResult], "SO") + SUMIFS(Table2[AwayWon], Table2[GameIsOver],1,Table2[HomeTeam],$A45, Table2[AwayTeam], N$36, Table2[ActualResult], "SO")) / (2*(SUMIFS(Table2[AwayWon], Table2[GameIsOver],1,Table2[AwayTeam],$A45, Table2[HomeTeam], N$36) + SUMIFS(Table2[HomeWon_], Table2[GameIsOver],1,Table2[HomeTeam],$A45, Table2[AwayTeam], N$36) + SUMIFS(Table2[HomeWon_], Table2[GameIsOver],1,Table2[AwayTeam],$A45, Table2[HomeTeam], N$36, Table2[ActualResult], "REG") + SUMIFS(Table2[AwayWon], Table2[GameIsOver],1,Table2[HomeTeam],$A45, Table2[AwayTeam], N$36, Table2[ActualResult], "REG") + SUMIFS(Table2[HomeWon_], Table2[GameIsOver],1,Table2[AwayTeam],$A45, Table2[HomeTeam], N$36, Table2[ActualResult], "OT") + SUMIFS(Table2[AwayWon], Table2[GameIsOver],1,Table2[HomeTeam],$A45, Table2[AwayTeam], N$36, Table2[ActualResult], "OT") + SUMIFS(Table2[HomeWon_], Table2[GameIsOver],1,Table2[AwayTeam],$A45, Table2[HomeTeam], N$36, Table2[ActualResult], "SO") + SUMIFS(Table2[AwayWon], Table2[GameIsOver],1,Table2[HomeTeam],$A45, Table2[AwayTeam], N$36, Table2[ActualResult], "SO"))), "")</f>
        <v/>
      </c>
      <c r="O45">
        <f>IFERROR(((2*SUMIFS(Table2[AwayWon], Table2[GameIsOver],1,Table2[AwayTeam],$A45, Table2[HomeTeam], O$36) + SUMIFS(Table2[HomeWon_], Table2[GameIsOver],1,Table2[HomeTeam],$A45, Table2[AwayTeam], O$36)) + SUMIFS(Table2[AwayWon], Table2[GameIsOver],1,Table2[HomeTeam],$A45, Table2[AwayTeam], O$36, Table2[ActualResult], "REG") + SUMIFS(Table2[HomeWon_], Table2[GameIsOver],1,Table2[AwayTeam],$A45, Table2[HomeTeam], O$36, Table2[ActualResult], "OT") + SUMIFS(Table2[AwayWon], Table2[GameIsOver],1,Table2[HomeTeam],$A45, Table2[AwayTeam], O$36, Table2[ActualResult], "OT") + SUMIFS(Table2[HomeWon_], Table2[GameIsOver],1,Table2[AwayTeam],$A45, Table2[HomeTeam], O$36, Table2[ActualResult], "SO") + SUMIFS(Table2[AwayWon], Table2[GameIsOver],1,Table2[HomeTeam],$A45, Table2[AwayTeam], O$36, Table2[ActualResult], "SO")) / (2*(SUMIFS(Table2[AwayWon], Table2[GameIsOver],1,Table2[AwayTeam],$A45, Table2[HomeTeam], O$36) + SUMIFS(Table2[HomeWon_], Table2[GameIsOver],1,Table2[HomeTeam],$A45, Table2[AwayTeam], O$36) + SUMIFS(Table2[HomeWon_], Table2[GameIsOver],1,Table2[AwayTeam],$A45, Table2[HomeTeam], O$36, Table2[ActualResult], "REG") + SUMIFS(Table2[AwayWon], Table2[GameIsOver],1,Table2[HomeTeam],$A45, Table2[AwayTeam], O$36, Table2[ActualResult], "REG") + SUMIFS(Table2[HomeWon_], Table2[GameIsOver],1,Table2[AwayTeam],$A45, Table2[HomeTeam], O$36, Table2[ActualResult], "OT") + SUMIFS(Table2[AwayWon], Table2[GameIsOver],1,Table2[HomeTeam],$A45, Table2[AwayTeam], O$36, Table2[ActualResult], "OT") + SUMIFS(Table2[HomeWon_], Table2[GameIsOver],1,Table2[AwayTeam],$A45, Table2[HomeTeam], O$36, Table2[ActualResult], "SO") + SUMIFS(Table2[AwayWon], Table2[GameIsOver],1,Table2[HomeTeam],$A45, Table2[AwayTeam], O$36, Table2[ActualResult], "SO"))), "")</f>
        <v>1</v>
      </c>
      <c r="P45">
        <f>IFERROR(((2*SUMIFS(Table2[AwayWon], Table2[GameIsOver],1,Table2[AwayTeam],$A45, Table2[HomeTeam], P$36) + SUMIFS(Table2[HomeWon_], Table2[GameIsOver],1,Table2[HomeTeam],$A45, Table2[AwayTeam], P$36)) + SUMIFS(Table2[AwayWon], Table2[GameIsOver],1,Table2[HomeTeam],$A45, Table2[AwayTeam], P$36, Table2[ActualResult], "REG") + SUMIFS(Table2[HomeWon_], Table2[GameIsOver],1,Table2[AwayTeam],$A45, Table2[HomeTeam], P$36, Table2[ActualResult], "OT") + SUMIFS(Table2[AwayWon], Table2[GameIsOver],1,Table2[HomeTeam],$A45, Table2[AwayTeam], P$36, Table2[ActualResult], "OT") + SUMIFS(Table2[HomeWon_], Table2[GameIsOver],1,Table2[AwayTeam],$A45, Table2[HomeTeam], P$36, Table2[ActualResult], "SO") + SUMIFS(Table2[AwayWon], Table2[GameIsOver],1,Table2[HomeTeam],$A45, Table2[AwayTeam], P$36, Table2[ActualResult], "SO")) / (2*(SUMIFS(Table2[AwayWon], Table2[GameIsOver],1,Table2[AwayTeam],$A45, Table2[HomeTeam], P$36) + SUMIFS(Table2[HomeWon_], Table2[GameIsOver],1,Table2[HomeTeam],$A45, Table2[AwayTeam], P$36) + SUMIFS(Table2[HomeWon_], Table2[GameIsOver],1,Table2[AwayTeam],$A45, Table2[HomeTeam], P$36, Table2[ActualResult], "REG") + SUMIFS(Table2[AwayWon], Table2[GameIsOver],1,Table2[HomeTeam],$A45, Table2[AwayTeam], P$36, Table2[ActualResult], "REG") + SUMIFS(Table2[HomeWon_], Table2[GameIsOver],1,Table2[AwayTeam],$A45, Table2[HomeTeam], P$36, Table2[ActualResult], "OT") + SUMIFS(Table2[AwayWon], Table2[GameIsOver],1,Table2[HomeTeam],$A45, Table2[AwayTeam], P$36, Table2[ActualResult], "OT") + SUMIFS(Table2[HomeWon_], Table2[GameIsOver],1,Table2[AwayTeam],$A45, Table2[HomeTeam], P$36, Table2[ActualResult], "SO") + SUMIFS(Table2[AwayWon], Table2[GameIsOver],1,Table2[HomeTeam],$A45, Table2[AwayTeam], P$36, Table2[ActualResult], "SO"))), "")</f>
        <v>0.5</v>
      </c>
      <c r="Q45" s="57" t="str">
        <f>IFERROR(((2*SUMIFS(Table2[AwayWon], Table2[GameIsOver],1,Table2[AwayTeam],$A45, Table2[HomeTeam], Q$36) + SUMIFS(Table2[HomeWon_], Table2[GameIsOver],1,Table2[HomeTeam],$A45, Table2[AwayTeam], Q$36)) + SUMIFS(Table2[AwayWon], Table2[GameIsOver],1,Table2[HomeTeam],$A45, Table2[AwayTeam], Q$36, Table2[ActualResult], "REG") + SUMIFS(Table2[HomeWon_], Table2[GameIsOver],1,Table2[AwayTeam],$A45, Table2[HomeTeam], Q$36, Table2[ActualResult], "OT") + SUMIFS(Table2[AwayWon], Table2[GameIsOver],1,Table2[HomeTeam],$A45, Table2[AwayTeam], Q$36, Table2[ActualResult], "OT") + SUMIFS(Table2[HomeWon_], Table2[GameIsOver],1,Table2[AwayTeam],$A45, Table2[HomeTeam], Q$36, Table2[ActualResult], "SO") + SUMIFS(Table2[AwayWon], Table2[GameIsOver],1,Table2[HomeTeam],$A45, Table2[AwayTeam], Q$36, Table2[ActualResult], "SO")) / (2*(SUMIFS(Table2[AwayWon], Table2[GameIsOver],1,Table2[AwayTeam],$A45, Table2[HomeTeam], Q$36) + SUMIFS(Table2[HomeWon_], Table2[GameIsOver],1,Table2[HomeTeam],$A45, Table2[AwayTeam], Q$36) + SUMIFS(Table2[HomeWon_], Table2[GameIsOver],1,Table2[AwayTeam],$A45, Table2[HomeTeam], Q$36, Table2[ActualResult], "REG") + SUMIFS(Table2[AwayWon], Table2[GameIsOver],1,Table2[HomeTeam],$A45, Table2[AwayTeam], Q$36, Table2[ActualResult], "REG") + SUMIFS(Table2[HomeWon_], Table2[GameIsOver],1,Table2[AwayTeam],$A45, Table2[HomeTeam], Q$36, Table2[ActualResult], "OT") + SUMIFS(Table2[AwayWon], Table2[GameIsOver],1,Table2[HomeTeam],$A45, Table2[AwayTeam], Q$36, Table2[ActualResult], "OT") + SUMIFS(Table2[HomeWon_], Table2[GameIsOver],1,Table2[AwayTeam],$A45, Table2[HomeTeam], Q$36, Table2[ActualResult], "SO") + SUMIFS(Table2[AwayWon], Table2[GameIsOver],1,Table2[HomeTeam],$A45, Table2[AwayTeam], Q$36, Table2[ActualResult], "SO"))), "")</f>
        <v/>
      </c>
      <c r="R45" t="str">
        <f>IFERROR(((2*SUMIFS(Table2[AwayWon], Table2[GameIsOver],1,Table2[AwayTeam],$A45, Table2[HomeTeam], R$36) + SUMIFS(Table2[HomeWon_], Table2[GameIsOver],1,Table2[HomeTeam],$A45, Table2[AwayTeam], R$36)) + SUMIFS(Table2[AwayWon], Table2[GameIsOver],1,Table2[HomeTeam],$A45, Table2[AwayTeam], R$36, Table2[ActualResult], "REG") + SUMIFS(Table2[HomeWon_], Table2[GameIsOver],1,Table2[AwayTeam],$A45, Table2[HomeTeam], R$36, Table2[ActualResult], "OT") + SUMIFS(Table2[AwayWon], Table2[GameIsOver],1,Table2[HomeTeam],$A45, Table2[AwayTeam], R$36, Table2[ActualResult], "OT") + SUMIFS(Table2[HomeWon_], Table2[GameIsOver],1,Table2[AwayTeam],$A45, Table2[HomeTeam], R$36, Table2[ActualResult], "SO") + SUMIFS(Table2[AwayWon], Table2[GameIsOver],1,Table2[HomeTeam],$A45, Table2[AwayTeam], R$36, Table2[ActualResult], "SO")) / (2*(SUMIFS(Table2[AwayWon], Table2[GameIsOver],1,Table2[AwayTeam],$A45, Table2[HomeTeam], R$36) + SUMIFS(Table2[HomeWon_], Table2[GameIsOver],1,Table2[HomeTeam],$A45, Table2[AwayTeam], R$36) + SUMIFS(Table2[HomeWon_], Table2[GameIsOver],1,Table2[AwayTeam],$A45, Table2[HomeTeam], R$36, Table2[ActualResult], "REG") + SUMIFS(Table2[AwayWon], Table2[GameIsOver],1,Table2[HomeTeam],$A45, Table2[AwayTeam], R$36, Table2[ActualResult], "REG") + SUMIFS(Table2[HomeWon_], Table2[GameIsOver],1,Table2[AwayTeam],$A45, Table2[HomeTeam], R$36, Table2[ActualResult], "OT") + SUMIFS(Table2[AwayWon], Table2[GameIsOver],1,Table2[HomeTeam],$A45, Table2[AwayTeam], R$36, Table2[ActualResult], "OT") + SUMIFS(Table2[HomeWon_], Table2[GameIsOver],1,Table2[AwayTeam],$A45, Table2[HomeTeam], R$36, Table2[ActualResult], "SO") + SUMIFS(Table2[AwayWon], Table2[GameIsOver],1,Table2[HomeTeam],$A45, Table2[AwayTeam], R$36, Table2[ActualResult], "SO"))), "")</f>
        <v/>
      </c>
      <c r="S45" t="str">
        <f>IFERROR(((2*SUMIFS(Table2[AwayWon], Table2[GameIsOver],1,Table2[AwayTeam],$A45, Table2[HomeTeam], S$36) + SUMIFS(Table2[HomeWon_], Table2[GameIsOver],1,Table2[HomeTeam],$A45, Table2[AwayTeam], S$36)) + SUMIFS(Table2[AwayWon], Table2[GameIsOver],1,Table2[HomeTeam],$A45, Table2[AwayTeam], S$36, Table2[ActualResult], "REG") + SUMIFS(Table2[HomeWon_], Table2[GameIsOver],1,Table2[AwayTeam],$A45, Table2[HomeTeam], S$36, Table2[ActualResult], "OT") + SUMIFS(Table2[AwayWon], Table2[GameIsOver],1,Table2[HomeTeam],$A45, Table2[AwayTeam], S$36, Table2[ActualResult], "OT") + SUMIFS(Table2[HomeWon_], Table2[GameIsOver],1,Table2[AwayTeam],$A45, Table2[HomeTeam], S$36, Table2[ActualResult], "SO") + SUMIFS(Table2[AwayWon], Table2[GameIsOver],1,Table2[HomeTeam],$A45, Table2[AwayTeam], S$36, Table2[ActualResult], "SO")) / (2*(SUMIFS(Table2[AwayWon], Table2[GameIsOver],1,Table2[AwayTeam],$A45, Table2[HomeTeam], S$36) + SUMIFS(Table2[HomeWon_], Table2[GameIsOver],1,Table2[HomeTeam],$A45, Table2[AwayTeam], S$36) + SUMIFS(Table2[HomeWon_], Table2[GameIsOver],1,Table2[AwayTeam],$A45, Table2[HomeTeam], S$36, Table2[ActualResult], "REG") + SUMIFS(Table2[AwayWon], Table2[GameIsOver],1,Table2[HomeTeam],$A45, Table2[AwayTeam], S$36, Table2[ActualResult], "REG") + SUMIFS(Table2[HomeWon_], Table2[GameIsOver],1,Table2[AwayTeam],$A45, Table2[HomeTeam], S$36, Table2[ActualResult], "OT") + SUMIFS(Table2[AwayWon], Table2[GameIsOver],1,Table2[HomeTeam],$A45, Table2[AwayTeam], S$36, Table2[ActualResult], "OT") + SUMIFS(Table2[HomeWon_], Table2[GameIsOver],1,Table2[AwayTeam],$A45, Table2[HomeTeam], S$36, Table2[ActualResult], "SO") + SUMIFS(Table2[AwayWon], Table2[GameIsOver],1,Table2[HomeTeam],$A45, Table2[AwayTeam], S$36, Table2[ActualResult], "SO"))), "")</f>
        <v/>
      </c>
      <c r="T45" t="str">
        <f>IFERROR(((2*SUMIFS(Table2[AwayWon], Table2[GameIsOver],1,Table2[AwayTeam],$A45, Table2[HomeTeam], T$36) + SUMIFS(Table2[HomeWon_], Table2[GameIsOver],1,Table2[HomeTeam],$A45, Table2[AwayTeam], T$36)) + SUMIFS(Table2[AwayWon], Table2[GameIsOver],1,Table2[HomeTeam],$A45, Table2[AwayTeam], T$36, Table2[ActualResult], "REG") + SUMIFS(Table2[HomeWon_], Table2[GameIsOver],1,Table2[AwayTeam],$A45, Table2[HomeTeam], T$36, Table2[ActualResult], "OT") + SUMIFS(Table2[AwayWon], Table2[GameIsOver],1,Table2[HomeTeam],$A45, Table2[AwayTeam], T$36, Table2[ActualResult], "OT") + SUMIFS(Table2[HomeWon_], Table2[GameIsOver],1,Table2[AwayTeam],$A45, Table2[HomeTeam], T$36, Table2[ActualResult], "SO") + SUMIFS(Table2[AwayWon], Table2[GameIsOver],1,Table2[HomeTeam],$A45, Table2[AwayTeam], T$36, Table2[ActualResult], "SO")) / (2*(SUMIFS(Table2[AwayWon], Table2[GameIsOver],1,Table2[AwayTeam],$A45, Table2[HomeTeam], T$36) + SUMIFS(Table2[HomeWon_], Table2[GameIsOver],1,Table2[HomeTeam],$A45, Table2[AwayTeam], T$36) + SUMIFS(Table2[HomeWon_], Table2[GameIsOver],1,Table2[AwayTeam],$A45, Table2[HomeTeam], T$36, Table2[ActualResult], "REG") + SUMIFS(Table2[AwayWon], Table2[GameIsOver],1,Table2[HomeTeam],$A45, Table2[AwayTeam], T$36, Table2[ActualResult], "REG") + SUMIFS(Table2[HomeWon_], Table2[GameIsOver],1,Table2[AwayTeam],$A45, Table2[HomeTeam], T$36, Table2[ActualResult], "OT") + SUMIFS(Table2[AwayWon], Table2[GameIsOver],1,Table2[HomeTeam],$A45, Table2[AwayTeam], T$36, Table2[ActualResult], "OT") + SUMIFS(Table2[HomeWon_], Table2[GameIsOver],1,Table2[AwayTeam],$A45, Table2[HomeTeam], T$36, Table2[ActualResult], "SO") + SUMIFS(Table2[AwayWon], Table2[GameIsOver],1,Table2[HomeTeam],$A45, Table2[AwayTeam], T$36, Table2[ActualResult], "SO"))), "")</f>
        <v/>
      </c>
      <c r="U45" t="str">
        <f>IFERROR(((2*SUMIFS(Table2[AwayWon], Table2[GameIsOver],1,Table2[AwayTeam],$A45, Table2[HomeTeam], U$36) + SUMIFS(Table2[HomeWon_], Table2[GameIsOver],1,Table2[HomeTeam],$A45, Table2[AwayTeam], U$36)) + SUMIFS(Table2[AwayWon], Table2[GameIsOver],1,Table2[HomeTeam],$A45, Table2[AwayTeam], U$36, Table2[ActualResult], "REG") + SUMIFS(Table2[HomeWon_], Table2[GameIsOver],1,Table2[AwayTeam],$A45, Table2[HomeTeam], U$36, Table2[ActualResult], "OT") + SUMIFS(Table2[AwayWon], Table2[GameIsOver],1,Table2[HomeTeam],$A45, Table2[AwayTeam], U$36, Table2[ActualResult], "OT") + SUMIFS(Table2[HomeWon_], Table2[GameIsOver],1,Table2[AwayTeam],$A45, Table2[HomeTeam], U$36, Table2[ActualResult], "SO") + SUMIFS(Table2[AwayWon], Table2[GameIsOver],1,Table2[HomeTeam],$A45, Table2[AwayTeam], U$36, Table2[ActualResult], "SO")) / (2*(SUMIFS(Table2[AwayWon], Table2[GameIsOver],1,Table2[AwayTeam],$A45, Table2[HomeTeam], U$36) + SUMIFS(Table2[HomeWon_], Table2[GameIsOver],1,Table2[HomeTeam],$A45, Table2[AwayTeam], U$36) + SUMIFS(Table2[HomeWon_], Table2[GameIsOver],1,Table2[AwayTeam],$A45, Table2[HomeTeam], U$36, Table2[ActualResult], "REG") + SUMIFS(Table2[AwayWon], Table2[GameIsOver],1,Table2[HomeTeam],$A45, Table2[AwayTeam], U$36, Table2[ActualResult], "REG") + SUMIFS(Table2[HomeWon_], Table2[GameIsOver],1,Table2[AwayTeam],$A45, Table2[HomeTeam], U$36, Table2[ActualResult], "OT") + SUMIFS(Table2[AwayWon], Table2[GameIsOver],1,Table2[HomeTeam],$A45, Table2[AwayTeam], U$36, Table2[ActualResult], "OT") + SUMIFS(Table2[HomeWon_], Table2[GameIsOver],1,Table2[AwayTeam],$A45, Table2[HomeTeam], U$36, Table2[ActualResult], "SO") + SUMIFS(Table2[AwayWon], Table2[GameIsOver],1,Table2[HomeTeam],$A45, Table2[AwayTeam], U$36, Table2[ActualResult], "SO"))), "")</f>
        <v/>
      </c>
      <c r="V45" t="str">
        <f>IFERROR(((2*SUMIFS(Table2[AwayWon], Table2[GameIsOver],1,Table2[AwayTeam],$A45, Table2[HomeTeam], V$36) + SUMIFS(Table2[HomeWon_], Table2[GameIsOver],1,Table2[HomeTeam],$A45, Table2[AwayTeam], V$36)) + SUMIFS(Table2[AwayWon], Table2[GameIsOver],1,Table2[HomeTeam],$A45, Table2[AwayTeam], V$36, Table2[ActualResult], "REG") + SUMIFS(Table2[HomeWon_], Table2[GameIsOver],1,Table2[AwayTeam],$A45, Table2[HomeTeam], V$36, Table2[ActualResult], "OT") + SUMIFS(Table2[AwayWon], Table2[GameIsOver],1,Table2[HomeTeam],$A45, Table2[AwayTeam], V$36, Table2[ActualResult], "OT") + SUMIFS(Table2[HomeWon_], Table2[GameIsOver],1,Table2[AwayTeam],$A45, Table2[HomeTeam], V$36, Table2[ActualResult], "SO") + SUMIFS(Table2[AwayWon], Table2[GameIsOver],1,Table2[HomeTeam],$A45, Table2[AwayTeam], V$36, Table2[ActualResult], "SO")) / (2*(SUMIFS(Table2[AwayWon], Table2[GameIsOver],1,Table2[AwayTeam],$A45, Table2[HomeTeam], V$36) + SUMIFS(Table2[HomeWon_], Table2[GameIsOver],1,Table2[HomeTeam],$A45, Table2[AwayTeam], V$36) + SUMIFS(Table2[HomeWon_], Table2[GameIsOver],1,Table2[AwayTeam],$A45, Table2[HomeTeam], V$36, Table2[ActualResult], "REG") + SUMIFS(Table2[AwayWon], Table2[GameIsOver],1,Table2[HomeTeam],$A45, Table2[AwayTeam], V$36, Table2[ActualResult], "REG") + SUMIFS(Table2[HomeWon_], Table2[GameIsOver],1,Table2[AwayTeam],$A45, Table2[HomeTeam], V$36, Table2[ActualResult], "OT") + SUMIFS(Table2[AwayWon], Table2[GameIsOver],1,Table2[HomeTeam],$A45, Table2[AwayTeam], V$36, Table2[ActualResult], "OT") + SUMIFS(Table2[HomeWon_], Table2[GameIsOver],1,Table2[AwayTeam],$A45, Table2[HomeTeam], V$36, Table2[ActualResult], "SO") + SUMIFS(Table2[AwayWon], Table2[GameIsOver],1,Table2[HomeTeam],$A45, Table2[AwayTeam], V$36, Table2[ActualResult], "SO"))), "")</f>
        <v/>
      </c>
      <c r="W45" t="str">
        <f>IFERROR(((2*SUMIFS(Table2[AwayWon], Table2[GameIsOver],1,Table2[AwayTeam],$A45, Table2[HomeTeam], W$36) + SUMIFS(Table2[HomeWon_], Table2[GameIsOver],1,Table2[HomeTeam],$A45, Table2[AwayTeam], W$36)) + SUMIFS(Table2[AwayWon], Table2[GameIsOver],1,Table2[HomeTeam],$A45, Table2[AwayTeam], W$36, Table2[ActualResult], "REG") + SUMIFS(Table2[HomeWon_], Table2[GameIsOver],1,Table2[AwayTeam],$A45, Table2[HomeTeam], W$36, Table2[ActualResult], "OT") + SUMIFS(Table2[AwayWon], Table2[GameIsOver],1,Table2[HomeTeam],$A45, Table2[AwayTeam], W$36, Table2[ActualResult], "OT") + SUMIFS(Table2[HomeWon_], Table2[GameIsOver],1,Table2[AwayTeam],$A45, Table2[HomeTeam], W$36, Table2[ActualResult], "SO") + SUMIFS(Table2[AwayWon], Table2[GameIsOver],1,Table2[HomeTeam],$A45, Table2[AwayTeam], W$36, Table2[ActualResult], "SO")) / (2*(SUMIFS(Table2[AwayWon], Table2[GameIsOver],1,Table2[AwayTeam],$A45, Table2[HomeTeam], W$36) + SUMIFS(Table2[HomeWon_], Table2[GameIsOver],1,Table2[HomeTeam],$A45, Table2[AwayTeam], W$36) + SUMIFS(Table2[HomeWon_], Table2[GameIsOver],1,Table2[AwayTeam],$A45, Table2[HomeTeam], W$36, Table2[ActualResult], "REG") + SUMIFS(Table2[AwayWon], Table2[GameIsOver],1,Table2[HomeTeam],$A45, Table2[AwayTeam], W$36, Table2[ActualResult], "REG") + SUMIFS(Table2[HomeWon_], Table2[GameIsOver],1,Table2[AwayTeam],$A45, Table2[HomeTeam], W$36, Table2[ActualResult], "OT") + SUMIFS(Table2[AwayWon], Table2[GameIsOver],1,Table2[HomeTeam],$A45, Table2[AwayTeam], W$36, Table2[ActualResult], "OT") + SUMIFS(Table2[HomeWon_], Table2[GameIsOver],1,Table2[AwayTeam],$A45, Table2[HomeTeam], W$36, Table2[ActualResult], "SO") + SUMIFS(Table2[AwayWon], Table2[GameIsOver],1,Table2[HomeTeam],$A45, Table2[AwayTeam], W$36, Table2[ActualResult], "SO"))), "")</f>
        <v/>
      </c>
      <c r="X45" t="str">
        <f>IFERROR(((2*SUMIFS(Table2[AwayWon], Table2[GameIsOver],1,Table2[AwayTeam],$A45, Table2[HomeTeam], X$36) + SUMIFS(Table2[HomeWon_], Table2[GameIsOver],1,Table2[HomeTeam],$A45, Table2[AwayTeam], X$36)) + SUMIFS(Table2[AwayWon], Table2[GameIsOver],1,Table2[HomeTeam],$A45, Table2[AwayTeam], X$36, Table2[ActualResult], "REG") + SUMIFS(Table2[HomeWon_], Table2[GameIsOver],1,Table2[AwayTeam],$A45, Table2[HomeTeam], X$36, Table2[ActualResult], "OT") + SUMIFS(Table2[AwayWon], Table2[GameIsOver],1,Table2[HomeTeam],$A45, Table2[AwayTeam], X$36, Table2[ActualResult], "OT") + SUMIFS(Table2[HomeWon_], Table2[GameIsOver],1,Table2[AwayTeam],$A45, Table2[HomeTeam], X$36, Table2[ActualResult], "SO") + SUMIFS(Table2[AwayWon], Table2[GameIsOver],1,Table2[HomeTeam],$A45, Table2[AwayTeam], X$36, Table2[ActualResult], "SO")) / (2*(SUMIFS(Table2[AwayWon], Table2[GameIsOver],1,Table2[AwayTeam],$A45, Table2[HomeTeam], X$36) + SUMIFS(Table2[HomeWon_], Table2[GameIsOver],1,Table2[HomeTeam],$A45, Table2[AwayTeam], X$36) + SUMIFS(Table2[HomeWon_], Table2[GameIsOver],1,Table2[AwayTeam],$A45, Table2[HomeTeam], X$36, Table2[ActualResult], "REG") + SUMIFS(Table2[AwayWon], Table2[GameIsOver],1,Table2[HomeTeam],$A45, Table2[AwayTeam], X$36, Table2[ActualResult], "REG") + SUMIFS(Table2[HomeWon_], Table2[GameIsOver],1,Table2[AwayTeam],$A45, Table2[HomeTeam], X$36, Table2[ActualResult], "OT") + SUMIFS(Table2[AwayWon], Table2[GameIsOver],1,Table2[HomeTeam],$A45, Table2[AwayTeam], X$36, Table2[ActualResult], "OT") + SUMIFS(Table2[HomeWon_], Table2[GameIsOver],1,Table2[AwayTeam],$A45, Table2[HomeTeam], X$36, Table2[ActualResult], "SO") + SUMIFS(Table2[AwayWon], Table2[GameIsOver],1,Table2[HomeTeam],$A45, Table2[AwayTeam], X$36, Table2[ActualResult], "SO"))), "")</f>
        <v/>
      </c>
      <c r="Y45" s="57" t="str">
        <f>IFERROR(((2*SUMIFS(Table2[AwayWon], Table2[GameIsOver],1,Table2[AwayTeam],$A45, Table2[HomeTeam], Y$36) + SUMIFS(Table2[HomeWon_], Table2[GameIsOver],1,Table2[HomeTeam],$A45, Table2[AwayTeam], Y$36)) + SUMIFS(Table2[AwayWon], Table2[GameIsOver],1,Table2[HomeTeam],$A45, Table2[AwayTeam], Y$36, Table2[ActualResult], "REG") + SUMIFS(Table2[HomeWon_], Table2[GameIsOver],1,Table2[AwayTeam],$A45, Table2[HomeTeam], Y$36, Table2[ActualResult], "OT") + SUMIFS(Table2[AwayWon], Table2[GameIsOver],1,Table2[HomeTeam],$A45, Table2[AwayTeam], Y$36, Table2[ActualResult], "OT") + SUMIFS(Table2[HomeWon_], Table2[GameIsOver],1,Table2[AwayTeam],$A45, Table2[HomeTeam], Y$36, Table2[ActualResult], "SO") + SUMIFS(Table2[AwayWon], Table2[GameIsOver],1,Table2[HomeTeam],$A45, Table2[AwayTeam], Y$36, Table2[ActualResult], "SO")) / (2*(SUMIFS(Table2[AwayWon], Table2[GameIsOver],1,Table2[AwayTeam],$A45, Table2[HomeTeam], Y$36) + SUMIFS(Table2[HomeWon_], Table2[GameIsOver],1,Table2[HomeTeam],$A45, Table2[AwayTeam], Y$36) + SUMIFS(Table2[HomeWon_], Table2[GameIsOver],1,Table2[AwayTeam],$A45, Table2[HomeTeam], Y$36, Table2[ActualResult], "REG") + SUMIFS(Table2[AwayWon], Table2[GameIsOver],1,Table2[HomeTeam],$A45, Table2[AwayTeam], Y$36, Table2[ActualResult], "REG") + SUMIFS(Table2[HomeWon_], Table2[GameIsOver],1,Table2[AwayTeam],$A45, Table2[HomeTeam], Y$36, Table2[ActualResult], "OT") + SUMIFS(Table2[AwayWon], Table2[GameIsOver],1,Table2[HomeTeam],$A45, Table2[AwayTeam], Y$36, Table2[ActualResult], "OT") + SUMIFS(Table2[HomeWon_], Table2[GameIsOver],1,Table2[AwayTeam],$A45, Table2[HomeTeam], Y$36, Table2[ActualResult], "SO") + SUMIFS(Table2[AwayWon], Table2[GameIsOver],1,Table2[HomeTeam],$A45, Table2[AwayTeam], Y$36, Table2[ActualResult], "SO"))), "")</f>
        <v/>
      </c>
      <c r="Z45">
        <f>IFERROR(((2*SUMIFS(Table2[AwayWon], Table2[GameIsOver],1,Table2[AwayTeam],$A45, Table2[HomeTeam], Z$36) + SUMIFS(Table2[HomeWon_], Table2[GameIsOver],1,Table2[HomeTeam],$A45, Table2[AwayTeam], Z$36)) + SUMIFS(Table2[AwayWon], Table2[GameIsOver],1,Table2[HomeTeam],$A45, Table2[AwayTeam], Z$36, Table2[ActualResult], "REG") + SUMIFS(Table2[HomeWon_], Table2[GameIsOver],1,Table2[AwayTeam],$A45, Table2[HomeTeam], Z$36, Table2[ActualResult], "OT") + SUMIFS(Table2[AwayWon], Table2[GameIsOver],1,Table2[HomeTeam],$A45, Table2[AwayTeam], Z$36, Table2[ActualResult], "OT") + SUMIFS(Table2[HomeWon_], Table2[GameIsOver],1,Table2[AwayTeam],$A45, Table2[HomeTeam], Z$36, Table2[ActualResult], "SO") + SUMIFS(Table2[AwayWon], Table2[GameIsOver],1,Table2[HomeTeam],$A45, Table2[AwayTeam], Z$36, Table2[ActualResult], "SO")) / (2*(SUMIFS(Table2[AwayWon], Table2[GameIsOver],1,Table2[AwayTeam],$A45, Table2[HomeTeam], Z$36) + SUMIFS(Table2[HomeWon_], Table2[GameIsOver],1,Table2[HomeTeam],$A45, Table2[AwayTeam], Z$36) + SUMIFS(Table2[HomeWon_], Table2[GameIsOver],1,Table2[AwayTeam],$A45, Table2[HomeTeam], Z$36, Table2[ActualResult], "REG") + SUMIFS(Table2[AwayWon], Table2[GameIsOver],1,Table2[HomeTeam],$A45, Table2[AwayTeam], Z$36, Table2[ActualResult], "REG") + SUMIFS(Table2[HomeWon_], Table2[GameIsOver],1,Table2[AwayTeam],$A45, Table2[HomeTeam], Z$36, Table2[ActualResult], "OT") + SUMIFS(Table2[AwayWon], Table2[GameIsOver],1,Table2[HomeTeam],$A45, Table2[AwayTeam], Z$36, Table2[ActualResult], "OT") + SUMIFS(Table2[HomeWon_], Table2[GameIsOver],1,Table2[AwayTeam],$A45, Table2[HomeTeam], Z$36, Table2[ActualResult], "SO") + SUMIFS(Table2[AwayWon], Table2[GameIsOver],1,Table2[HomeTeam],$A45, Table2[AwayTeam], Z$36, Table2[ActualResult], "SO"))), "")</f>
        <v>0.5</v>
      </c>
      <c r="AA45" t="str">
        <f>IFERROR(((2*SUMIFS(Table2[AwayWon], Table2[GameIsOver],1,Table2[AwayTeam],$A45, Table2[HomeTeam], AA$36) + SUMIFS(Table2[HomeWon_], Table2[GameIsOver],1,Table2[HomeTeam],$A45, Table2[AwayTeam], AA$36)) + SUMIFS(Table2[AwayWon], Table2[GameIsOver],1,Table2[HomeTeam],$A45, Table2[AwayTeam], AA$36, Table2[ActualResult], "REG") + SUMIFS(Table2[HomeWon_], Table2[GameIsOver],1,Table2[AwayTeam],$A45, Table2[HomeTeam], AA$36, Table2[ActualResult], "OT") + SUMIFS(Table2[AwayWon], Table2[GameIsOver],1,Table2[HomeTeam],$A45, Table2[AwayTeam], AA$36, Table2[ActualResult], "OT") + SUMIFS(Table2[HomeWon_], Table2[GameIsOver],1,Table2[AwayTeam],$A45, Table2[HomeTeam], AA$36, Table2[ActualResult], "SO") + SUMIFS(Table2[AwayWon], Table2[GameIsOver],1,Table2[HomeTeam],$A45, Table2[AwayTeam], AA$36, Table2[ActualResult], "SO")) / (2*(SUMIFS(Table2[AwayWon], Table2[GameIsOver],1,Table2[AwayTeam],$A45, Table2[HomeTeam], AA$36) + SUMIFS(Table2[HomeWon_], Table2[GameIsOver],1,Table2[HomeTeam],$A45, Table2[AwayTeam], AA$36) + SUMIFS(Table2[HomeWon_], Table2[GameIsOver],1,Table2[AwayTeam],$A45, Table2[HomeTeam], AA$36, Table2[ActualResult], "REG") + SUMIFS(Table2[AwayWon], Table2[GameIsOver],1,Table2[HomeTeam],$A45, Table2[AwayTeam], AA$36, Table2[ActualResult], "REG") + SUMIFS(Table2[HomeWon_], Table2[GameIsOver],1,Table2[AwayTeam],$A45, Table2[HomeTeam], AA$36, Table2[ActualResult], "OT") + SUMIFS(Table2[AwayWon], Table2[GameIsOver],1,Table2[HomeTeam],$A45, Table2[AwayTeam], AA$36, Table2[ActualResult], "OT") + SUMIFS(Table2[HomeWon_], Table2[GameIsOver],1,Table2[AwayTeam],$A45, Table2[HomeTeam], AA$36, Table2[ActualResult], "SO") + SUMIFS(Table2[AwayWon], Table2[GameIsOver],1,Table2[HomeTeam],$A45, Table2[AwayTeam], AA$36, Table2[ActualResult], "SO"))), "")</f>
        <v/>
      </c>
      <c r="AB45" t="str">
        <f>IFERROR(((2*SUMIFS(Table2[AwayWon], Table2[GameIsOver],1,Table2[AwayTeam],$A45, Table2[HomeTeam], AB$36) + SUMIFS(Table2[HomeWon_], Table2[GameIsOver],1,Table2[HomeTeam],$A45, Table2[AwayTeam], AB$36)) + SUMIFS(Table2[AwayWon], Table2[GameIsOver],1,Table2[HomeTeam],$A45, Table2[AwayTeam], AB$36, Table2[ActualResult], "REG") + SUMIFS(Table2[HomeWon_], Table2[GameIsOver],1,Table2[AwayTeam],$A45, Table2[HomeTeam], AB$36, Table2[ActualResult], "OT") + SUMIFS(Table2[AwayWon], Table2[GameIsOver],1,Table2[HomeTeam],$A45, Table2[AwayTeam], AB$36, Table2[ActualResult], "OT") + SUMIFS(Table2[HomeWon_], Table2[GameIsOver],1,Table2[AwayTeam],$A45, Table2[HomeTeam], AB$36, Table2[ActualResult], "SO") + SUMIFS(Table2[AwayWon], Table2[GameIsOver],1,Table2[HomeTeam],$A45, Table2[AwayTeam], AB$36, Table2[ActualResult], "SO")) / (2*(SUMIFS(Table2[AwayWon], Table2[GameIsOver],1,Table2[AwayTeam],$A45, Table2[HomeTeam], AB$36) + SUMIFS(Table2[HomeWon_], Table2[GameIsOver],1,Table2[HomeTeam],$A45, Table2[AwayTeam], AB$36) + SUMIFS(Table2[HomeWon_], Table2[GameIsOver],1,Table2[AwayTeam],$A45, Table2[HomeTeam], AB$36, Table2[ActualResult], "REG") + SUMIFS(Table2[AwayWon], Table2[GameIsOver],1,Table2[HomeTeam],$A45, Table2[AwayTeam], AB$36, Table2[ActualResult], "REG") + SUMIFS(Table2[HomeWon_], Table2[GameIsOver],1,Table2[AwayTeam],$A45, Table2[HomeTeam], AB$36, Table2[ActualResult], "OT") + SUMIFS(Table2[AwayWon], Table2[GameIsOver],1,Table2[HomeTeam],$A45, Table2[AwayTeam], AB$36, Table2[ActualResult], "OT") + SUMIFS(Table2[HomeWon_], Table2[GameIsOver],1,Table2[AwayTeam],$A45, Table2[HomeTeam], AB$36, Table2[ActualResult], "SO") + SUMIFS(Table2[AwayWon], Table2[GameIsOver],1,Table2[HomeTeam],$A45, Table2[AwayTeam], AB$36, Table2[ActualResult], "SO"))), "")</f>
        <v/>
      </c>
      <c r="AC45">
        <f>IFERROR(((2*SUMIFS(Table2[AwayWon], Table2[GameIsOver],1,Table2[AwayTeam],$A45, Table2[HomeTeam], AC$36) + SUMIFS(Table2[HomeWon_], Table2[GameIsOver],1,Table2[HomeTeam],$A45, Table2[AwayTeam], AC$36)) + SUMIFS(Table2[AwayWon], Table2[GameIsOver],1,Table2[HomeTeam],$A45, Table2[AwayTeam], AC$36, Table2[ActualResult], "REG") + SUMIFS(Table2[HomeWon_], Table2[GameIsOver],1,Table2[AwayTeam],$A45, Table2[HomeTeam], AC$36, Table2[ActualResult], "OT") + SUMIFS(Table2[AwayWon], Table2[GameIsOver],1,Table2[HomeTeam],$A45, Table2[AwayTeam], AC$36, Table2[ActualResult], "OT") + SUMIFS(Table2[HomeWon_], Table2[GameIsOver],1,Table2[AwayTeam],$A45, Table2[HomeTeam], AC$36, Table2[ActualResult], "SO") + SUMIFS(Table2[AwayWon], Table2[GameIsOver],1,Table2[HomeTeam],$A45, Table2[AwayTeam], AC$36, Table2[ActualResult], "SO")) / (2*(SUMIFS(Table2[AwayWon], Table2[GameIsOver],1,Table2[AwayTeam],$A45, Table2[HomeTeam], AC$36) + SUMIFS(Table2[HomeWon_], Table2[GameIsOver],1,Table2[HomeTeam],$A45, Table2[AwayTeam], AC$36) + SUMIFS(Table2[HomeWon_], Table2[GameIsOver],1,Table2[AwayTeam],$A45, Table2[HomeTeam], AC$36, Table2[ActualResult], "REG") + SUMIFS(Table2[AwayWon], Table2[GameIsOver],1,Table2[HomeTeam],$A45, Table2[AwayTeam], AC$36, Table2[ActualResult], "REG") + SUMIFS(Table2[HomeWon_], Table2[GameIsOver],1,Table2[AwayTeam],$A45, Table2[HomeTeam], AC$36, Table2[ActualResult], "OT") + SUMIFS(Table2[AwayWon], Table2[GameIsOver],1,Table2[HomeTeam],$A45, Table2[AwayTeam], AC$36, Table2[ActualResult], "OT") + SUMIFS(Table2[HomeWon_], Table2[GameIsOver],1,Table2[AwayTeam],$A45, Table2[HomeTeam], AC$36, Table2[ActualResult], "SO") + SUMIFS(Table2[AwayWon], Table2[GameIsOver],1,Table2[HomeTeam],$A45, Table2[AwayTeam], AC$36, Table2[ActualResult], "SO"))), "")</f>
        <v>0</v>
      </c>
      <c r="AD45">
        <f>IFERROR(((2*SUMIFS(Table2[AwayWon], Table2[GameIsOver],1,Table2[AwayTeam],$A45, Table2[HomeTeam], AD$36) + SUMIFS(Table2[HomeWon_], Table2[GameIsOver],1,Table2[HomeTeam],$A45, Table2[AwayTeam], AD$36)) + SUMIFS(Table2[AwayWon], Table2[GameIsOver],1,Table2[HomeTeam],$A45, Table2[AwayTeam], AD$36, Table2[ActualResult], "REG") + SUMIFS(Table2[HomeWon_], Table2[GameIsOver],1,Table2[AwayTeam],$A45, Table2[HomeTeam], AD$36, Table2[ActualResult], "OT") + SUMIFS(Table2[AwayWon], Table2[GameIsOver],1,Table2[HomeTeam],$A45, Table2[AwayTeam], AD$36, Table2[ActualResult], "OT") + SUMIFS(Table2[HomeWon_], Table2[GameIsOver],1,Table2[AwayTeam],$A45, Table2[HomeTeam], AD$36, Table2[ActualResult], "SO") + SUMIFS(Table2[AwayWon], Table2[GameIsOver],1,Table2[HomeTeam],$A45, Table2[AwayTeam], AD$36, Table2[ActualResult], "SO")) / (2*(SUMIFS(Table2[AwayWon], Table2[GameIsOver],1,Table2[AwayTeam],$A45, Table2[HomeTeam], AD$36) + SUMIFS(Table2[HomeWon_], Table2[GameIsOver],1,Table2[HomeTeam],$A45, Table2[AwayTeam], AD$36) + SUMIFS(Table2[HomeWon_], Table2[GameIsOver],1,Table2[AwayTeam],$A45, Table2[HomeTeam], AD$36, Table2[ActualResult], "REG") + SUMIFS(Table2[AwayWon], Table2[GameIsOver],1,Table2[HomeTeam],$A45, Table2[AwayTeam], AD$36, Table2[ActualResult], "REG") + SUMIFS(Table2[HomeWon_], Table2[GameIsOver],1,Table2[AwayTeam],$A45, Table2[HomeTeam], AD$36, Table2[ActualResult], "OT") + SUMIFS(Table2[AwayWon], Table2[GameIsOver],1,Table2[HomeTeam],$A45, Table2[AwayTeam], AD$36, Table2[ActualResult], "OT") + SUMIFS(Table2[HomeWon_], Table2[GameIsOver],1,Table2[AwayTeam],$A45, Table2[HomeTeam], AD$36, Table2[ActualResult], "SO") + SUMIFS(Table2[AwayWon], Table2[GameIsOver],1,Table2[HomeTeam],$A45, Table2[AwayTeam], AD$36, Table2[ActualResult], "SO"))), "")</f>
        <v>0.5</v>
      </c>
      <c r="AE45" t="str">
        <f>IFERROR(((2*SUMIFS(Table2[AwayWon], Table2[GameIsOver],1,Table2[AwayTeam],$A45, Table2[HomeTeam], AE$36) + SUMIFS(Table2[HomeWon_], Table2[GameIsOver],1,Table2[HomeTeam],$A45, Table2[AwayTeam], AE$36)) + SUMIFS(Table2[AwayWon], Table2[GameIsOver],1,Table2[HomeTeam],$A45, Table2[AwayTeam], AE$36, Table2[ActualResult], "REG") + SUMIFS(Table2[HomeWon_], Table2[GameIsOver],1,Table2[AwayTeam],$A45, Table2[HomeTeam], AE$36, Table2[ActualResult], "OT") + SUMIFS(Table2[AwayWon], Table2[GameIsOver],1,Table2[HomeTeam],$A45, Table2[AwayTeam], AE$36, Table2[ActualResult], "OT") + SUMIFS(Table2[HomeWon_], Table2[GameIsOver],1,Table2[AwayTeam],$A45, Table2[HomeTeam], AE$36, Table2[ActualResult], "SO") + SUMIFS(Table2[AwayWon], Table2[GameIsOver],1,Table2[HomeTeam],$A45, Table2[AwayTeam], AE$36, Table2[ActualResult], "SO")) / (2*(SUMIFS(Table2[AwayWon], Table2[GameIsOver],1,Table2[AwayTeam],$A45, Table2[HomeTeam], AE$36) + SUMIFS(Table2[HomeWon_], Table2[GameIsOver],1,Table2[HomeTeam],$A45, Table2[AwayTeam], AE$36) + SUMIFS(Table2[HomeWon_], Table2[GameIsOver],1,Table2[AwayTeam],$A45, Table2[HomeTeam], AE$36, Table2[ActualResult], "REG") + SUMIFS(Table2[AwayWon], Table2[GameIsOver],1,Table2[HomeTeam],$A45, Table2[AwayTeam], AE$36, Table2[ActualResult], "REG") + SUMIFS(Table2[HomeWon_], Table2[GameIsOver],1,Table2[AwayTeam],$A45, Table2[HomeTeam], AE$36, Table2[ActualResult], "OT") + SUMIFS(Table2[AwayWon], Table2[GameIsOver],1,Table2[HomeTeam],$A45, Table2[AwayTeam], AE$36, Table2[ActualResult], "OT") + SUMIFS(Table2[HomeWon_], Table2[GameIsOver],1,Table2[AwayTeam],$A45, Table2[HomeTeam], AE$36, Table2[ActualResult], "SO") + SUMIFS(Table2[AwayWon], Table2[GameIsOver],1,Table2[HomeTeam],$A45, Table2[AwayTeam], AE$36, Table2[ActualResult], "SO"))), "")</f>
        <v/>
      </c>
      <c r="AF45" t="str">
        <f>IFERROR(((2*SUMIFS(Table2[AwayWon], Table2[GameIsOver],1,Table2[AwayTeam],$A45, Table2[HomeTeam], AF$36) + SUMIFS(Table2[HomeWon_], Table2[GameIsOver],1,Table2[HomeTeam],$A45, Table2[AwayTeam], AF$36)) + SUMIFS(Table2[AwayWon], Table2[GameIsOver],1,Table2[HomeTeam],$A45, Table2[AwayTeam], AF$36, Table2[ActualResult], "REG") + SUMIFS(Table2[HomeWon_], Table2[GameIsOver],1,Table2[AwayTeam],$A45, Table2[HomeTeam], AF$36, Table2[ActualResult], "OT") + SUMIFS(Table2[AwayWon], Table2[GameIsOver],1,Table2[HomeTeam],$A45, Table2[AwayTeam], AF$36, Table2[ActualResult], "OT") + SUMIFS(Table2[HomeWon_], Table2[GameIsOver],1,Table2[AwayTeam],$A45, Table2[HomeTeam], AF$36, Table2[ActualResult], "SO") + SUMIFS(Table2[AwayWon], Table2[GameIsOver],1,Table2[HomeTeam],$A45, Table2[AwayTeam], AF$36, Table2[ActualResult], "SO")) / (2*(SUMIFS(Table2[AwayWon], Table2[GameIsOver],1,Table2[AwayTeam],$A45, Table2[HomeTeam], AF$36) + SUMIFS(Table2[HomeWon_], Table2[GameIsOver],1,Table2[HomeTeam],$A45, Table2[AwayTeam], AF$36) + SUMIFS(Table2[HomeWon_], Table2[GameIsOver],1,Table2[AwayTeam],$A45, Table2[HomeTeam], AF$36, Table2[ActualResult], "REG") + SUMIFS(Table2[AwayWon], Table2[GameIsOver],1,Table2[HomeTeam],$A45, Table2[AwayTeam], AF$36, Table2[ActualResult], "REG") + SUMIFS(Table2[HomeWon_], Table2[GameIsOver],1,Table2[AwayTeam],$A45, Table2[HomeTeam], AF$36, Table2[ActualResult], "OT") + SUMIFS(Table2[AwayWon], Table2[GameIsOver],1,Table2[HomeTeam],$A45, Table2[AwayTeam], AF$36, Table2[ActualResult], "OT") + SUMIFS(Table2[HomeWon_], Table2[GameIsOver],1,Table2[AwayTeam],$A45, Table2[HomeTeam], AF$36, Table2[ActualResult], "SO") + SUMIFS(Table2[AwayWon], Table2[GameIsOver],1,Table2[HomeTeam],$A45, Table2[AwayTeam], AF$36, Table2[ActualResult], "SO"))), "")</f>
        <v/>
      </c>
      <c r="AG45" s="57" t="str">
        <f>IFERROR(((2*SUMIFS(Table2[AwayWon], Table2[GameIsOver],1,Table2[AwayTeam],$A45, Table2[HomeTeam], AG$36) + SUMIFS(Table2[HomeWon_], Table2[GameIsOver],1,Table2[HomeTeam],$A45, Table2[AwayTeam], AG$36)) + SUMIFS(Table2[AwayWon], Table2[GameIsOver],1,Table2[HomeTeam],$A45, Table2[AwayTeam], AG$36, Table2[ActualResult], "REG") + SUMIFS(Table2[HomeWon_], Table2[GameIsOver],1,Table2[AwayTeam],$A45, Table2[HomeTeam], AG$36, Table2[ActualResult], "OT") + SUMIFS(Table2[AwayWon], Table2[GameIsOver],1,Table2[HomeTeam],$A45, Table2[AwayTeam], AG$36, Table2[ActualResult], "OT") + SUMIFS(Table2[HomeWon_], Table2[GameIsOver],1,Table2[AwayTeam],$A45, Table2[HomeTeam], AG$36, Table2[ActualResult], "SO") + SUMIFS(Table2[AwayWon], Table2[GameIsOver],1,Table2[HomeTeam],$A45, Table2[AwayTeam], AG$36, Table2[ActualResult], "SO")) / (2*(SUMIFS(Table2[AwayWon], Table2[GameIsOver],1,Table2[AwayTeam],$A45, Table2[HomeTeam], AG$36) + SUMIFS(Table2[HomeWon_], Table2[GameIsOver],1,Table2[HomeTeam],$A45, Table2[AwayTeam], AG$36) + SUMIFS(Table2[HomeWon_], Table2[GameIsOver],1,Table2[AwayTeam],$A45, Table2[HomeTeam], AG$36, Table2[ActualResult], "REG") + SUMIFS(Table2[AwayWon], Table2[GameIsOver],1,Table2[HomeTeam],$A45, Table2[AwayTeam], AG$36, Table2[ActualResult], "REG") + SUMIFS(Table2[HomeWon_], Table2[GameIsOver],1,Table2[AwayTeam],$A45, Table2[HomeTeam], AG$36, Table2[ActualResult], "OT") + SUMIFS(Table2[AwayWon], Table2[GameIsOver],1,Table2[HomeTeam],$A45, Table2[AwayTeam], AG$36, Table2[ActualResult], "OT") + SUMIFS(Table2[HomeWon_], Table2[GameIsOver],1,Table2[AwayTeam],$A45, Table2[HomeTeam], AG$36, Table2[ActualResult], "SO") + SUMIFS(Table2[AwayWon], Table2[GameIsOver],1,Table2[HomeTeam],$A45, Table2[AwayTeam], AG$36, Table2[ActualResult], "SO"))), "")</f>
        <v/>
      </c>
      <c r="AH45" s="101">
        <f t="shared" si="0"/>
        <v>0.33333333333333331</v>
      </c>
      <c r="AI45" s="101">
        <f t="shared" si="1"/>
        <v>0.625</v>
      </c>
      <c r="AJ45" s="103">
        <f t="shared" si="2"/>
        <v>0.33333333333333331</v>
      </c>
      <c r="AK45" s="103" t="e">
        <f t="shared" si="3"/>
        <v>#DIV/0!</v>
      </c>
      <c r="AL45" s="103">
        <f t="shared" si="4"/>
        <v>0.75</v>
      </c>
      <c r="AM45" s="103">
        <f t="shared" si="5"/>
        <v>0.5</v>
      </c>
    </row>
    <row r="46" spans="1:39" x14ac:dyDescent="0.25">
      <c r="A46" s="57" t="s">
        <v>25</v>
      </c>
      <c r="B46" s="24" t="str">
        <f>IFERROR(((2*SUMIFS(Table2[AwayWon], Table2[GameIsOver],1,Table2[AwayTeam],$A46, Table2[HomeTeam], B$36) + SUMIFS(Table2[HomeWon_], Table2[GameIsOver],1,Table2[HomeTeam],$A46, Table2[AwayTeam], B$36)) + SUMIFS(Table2[AwayWon], Table2[GameIsOver],1,Table2[HomeTeam],$A46, Table2[AwayTeam], B$36, Table2[ActualResult], "REG") + SUMIFS(Table2[HomeWon_], Table2[GameIsOver],1,Table2[AwayTeam],$A46, Table2[HomeTeam], B$36, Table2[ActualResult], "OT") + SUMIFS(Table2[AwayWon], Table2[GameIsOver],1,Table2[HomeTeam],$A46, Table2[AwayTeam], B$36, Table2[ActualResult], "OT") + SUMIFS(Table2[HomeWon_], Table2[GameIsOver],1,Table2[AwayTeam],$A46, Table2[HomeTeam], B$36, Table2[ActualResult], "SO") + SUMIFS(Table2[AwayWon], Table2[GameIsOver],1,Table2[HomeTeam],$A46, Table2[AwayTeam], B$36, Table2[ActualResult], "SO")) / (2*(SUMIFS(Table2[AwayWon], Table2[GameIsOver],1,Table2[AwayTeam],$A46, Table2[HomeTeam], B$36) + SUMIFS(Table2[HomeWon_], Table2[GameIsOver],1,Table2[HomeTeam],$A46, Table2[AwayTeam], B$36) + SUMIFS(Table2[HomeWon_], Table2[GameIsOver],1,Table2[AwayTeam],$A46, Table2[HomeTeam], B$36, Table2[ActualResult], "REG") + SUMIFS(Table2[AwayWon], Table2[GameIsOver],1,Table2[HomeTeam],$A46, Table2[AwayTeam], B$36, Table2[ActualResult], "REG") + SUMIFS(Table2[HomeWon_], Table2[GameIsOver],1,Table2[AwayTeam],$A46, Table2[HomeTeam], B$36, Table2[ActualResult], "OT") + SUMIFS(Table2[AwayWon], Table2[GameIsOver],1,Table2[HomeTeam],$A46, Table2[AwayTeam], B$36, Table2[ActualResult], "OT") + SUMIFS(Table2[HomeWon_], Table2[GameIsOver],1,Table2[AwayTeam],$A46, Table2[HomeTeam], B$36, Table2[ActualResult], "SO") + SUMIFS(Table2[AwayWon], Table2[GameIsOver],1,Table2[HomeTeam],$A46, Table2[AwayTeam], B$36, Table2[ActualResult], "SO"))), "")</f>
        <v/>
      </c>
      <c r="C46" s="24" t="str">
        <f>IFERROR(((2*SUMIFS(Table2[AwayWon], Table2[GameIsOver],1,Table2[AwayTeam],$A46, Table2[HomeTeam], C$36) + SUMIFS(Table2[HomeWon_], Table2[GameIsOver],1,Table2[HomeTeam],$A46, Table2[AwayTeam], C$36)) + SUMIFS(Table2[AwayWon], Table2[GameIsOver],1,Table2[HomeTeam],$A46, Table2[AwayTeam], C$36, Table2[ActualResult], "REG") + SUMIFS(Table2[HomeWon_], Table2[GameIsOver],1,Table2[AwayTeam],$A46, Table2[HomeTeam], C$36, Table2[ActualResult], "OT") + SUMIFS(Table2[AwayWon], Table2[GameIsOver],1,Table2[HomeTeam],$A46, Table2[AwayTeam], C$36, Table2[ActualResult], "OT") + SUMIFS(Table2[HomeWon_], Table2[GameIsOver],1,Table2[AwayTeam],$A46, Table2[HomeTeam], C$36, Table2[ActualResult], "SO") + SUMIFS(Table2[AwayWon], Table2[GameIsOver],1,Table2[HomeTeam],$A46, Table2[AwayTeam], C$36, Table2[ActualResult], "SO")) / (2*(SUMIFS(Table2[AwayWon], Table2[GameIsOver],1,Table2[AwayTeam],$A46, Table2[HomeTeam], C$36) + SUMIFS(Table2[HomeWon_], Table2[GameIsOver],1,Table2[HomeTeam],$A46, Table2[AwayTeam], C$36) + SUMIFS(Table2[HomeWon_], Table2[GameIsOver],1,Table2[AwayTeam],$A46, Table2[HomeTeam], C$36, Table2[ActualResult], "REG") + SUMIFS(Table2[AwayWon], Table2[GameIsOver],1,Table2[HomeTeam],$A46, Table2[AwayTeam], C$36, Table2[ActualResult], "REG") + SUMIFS(Table2[HomeWon_], Table2[GameIsOver],1,Table2[AwayTeam],$A46, Table2[HomeTeam], C$36, Table2[ActualResult], "OT") + SUMIFS(Table2[AwayWon], Table2[GameIsOver],1,Table2[HomeTeam],$A46, Table2[AwayTeam], C$36, Table2[ActualResult], "OT") + SUMIFS(Table2[HomeWon_], Table2[GameIsOver],1,Table2[AwayTeam],$A46, Table2[HomeTeam], C$36, Table2[ActualResult], "SO") + SUMIFS(Table2[AwayWon], Table2[GameIsOver],1,Table2[HomeTeam],$A46, Table2[AwayTeam], C$36, Table2[ActualResult], "SO"))), "")</f>
        <v/>
      </c>
      <c r="D46" t="str">
        <f>IFERROR(((2*SUMIFS(Table2[AwayWon], Table2[GameIsOver],1,Table2[AwayTeam],$A46, Table2[HomeTeam], D$36) + SUMIFS(Table2[HomeWon_], Table2[GameIsOver],1,Table2[HomeTeam],$A46, Table2[AwayTeam], D$36)) + SUMIFS(Table2[AwayWon], Table2[GameIsOver],1,Table2[HomeTeam],$A46, Table2[AwayTeam], D$36, Table2[ActualResult], "REG") + SUMIFS(Table2[HomeWon_], Table2[GameIsOver],1,Table2[AwayTeam],$A46, Table2[HomeTeam], D$36, Table2[ActualResult], "OT") + SUMIFS(Table2[AwayWon], Table2[GameIsOver],1,Table2[HomeTeam],$A46, Table2[AwayTeam], D$36, Table2[ActualResult], "OT") + SUMIFS(Table2[HomeWon_], Table2[GameIsOver],1,Table2[AwayTeam],$A46, Table2[HomeTeam], D$36, Table2[ActualResult], "SO") + SUMIFS(Table2[AwayWon], Table2[GameIsOver],1,Table2[HomeTeam],$A46, Table2[AwayTeam], D$36, Table2[ActualResult], "SO")) / (2*(SUMIFS(Table2[AwayWon], Table2[GameIsOver],1,Table2[AwayTeam],$A46, Table2[HomeTeam], D$36) + SUMIFS(Table2[HomeWon_], Table2[GameIsOver],1,Table2[HomeTeam],$A46, Table2[AwayTeam], D$36) + SUMIFS(Table2[HomeWon_], Table2[GameIsOver],1,Table2[AwayTeam],$A46, Table2[HomeTeam], D$36, Table2[ActualResult], "REG") + SUMIFS(Table2[AwayWon], Table2[GameIsOver],1,Table2[HomeTeam],$A46, Table2[AwayTeam], D$36, Table2[ActualResult], "REG") + SUMIFS(Table2[HomeWon_], Table2[GameIsOver],1,Table2[AwayTeam],$A46, Table2[HomeTeam], D$36, Table2[ActualResult], "OT") + SUMIFS(Table2[AwayWon], Table2[GameIsOver],1,Table2[HomeTeam],$A46, Table2[AwayTeam], D$36, Table2[ActualResult], "OT") + SUMIFS(Table2[HomeWon_], Table2[GameIsOver],1,Table2[AwayTeam],$A46, Table2[HomeTeam], D$36, Table2[ActualResult], "SO") + SUMIFS(Table2[AwayWon], Table2[GameIsOver],1,Table2[HomeTeam],$A46, Table2[AwayTeam], D$36, Table2[ActualResult], "SO"))), "")</f>
        <v/>
      </c>
      <c r="E46">
        <f>IFERROR(((2*SUMIFS(Table2[AwayWon], Table2[GameIsOver],1,Table2[AwayTeam],$A46, Table2[HomeTeam], E$36) + SUMIFS(Table2[HomeWon_], Table2[GameIsOver],1,Table2[HomeTeam],$A46, Table2[AwayTeam], E$36)) + SUMIFS(Table2[AwayWon], Table2[GameIsOver],1,Table2[HomeTeam],$A46, Table2[AwayTeam], E$36, Table2[ActualResult], "REG") + SUMIFS(Table2[HomeWon_], Table2[GameIsOver],1,Table2[AwayTeam],$A46, Table2[HomeTeam], E$36, Table2[ActualResult], "OT") + SUMIFS(Table2[AwayWon], Table2[GameIsOver],1,Table2[HomeTeam],$A46, Table2[AwayTeam], E$36, Table2[ActualResult], "OT") + SUMIFS(Table2[HomeWon_], Table2[GameIsOver],1,Table2[AwayTeam],$A46, Table2[HomeTeam], E$36, Table2[ActualResult], "SO") + SUMIFS(Table2[AwayWon], Table2[GameIsOver],1,Table2[HomeTeam],$A46, Table2[AwayTeam], E$36, Table2[ActualResult], "SO")) / (2*(SUMIFS(Table2[AwayWon], Table2[GameIsOver],1,Table2[AwayTeam],$A46, Table2[HomeTeam], E$36) + SUMIFS(Table2[HomeWon_], Table2[GameIsOver],1,Table2[HomeTeam],$A46, Table2[AwayTeam], E$36) + SUMIFS(Table2[HomeWon_], Table2[GameIsOver],1,Table2[AwayTeam],$A46, Table2[HomeTeam], E$36, Table2[ActualResult], "REG") + SUMIFS(Table2[AwayWon], Table2[GameIsOver],1,Table2[HomeTeam],$A46, Table2[AwayTeam], E$36, Table2[ActualResult], "REG") + SUMIFS(Table2[HomeWon_], Table2[GameIsOver],1,Table2[AwayTeam],$A46, Table2[HomeTeam], E$36, Table2[ActualResult], "OT") + SUMIFS(Table2[AwayWon], Table2[GameIsOver],1,Table2[HomeTeam],$A46, Table2[AwayTeam], E$36, Table2[ActualResult], "OT") + SUMIFS(Table2[HomeWon_], Table2[GameIsOver],1,Table2[AwayTeam],$A46, Table2[HomeTeam], E$36, Table2[ActualResult], "SO") + SUMIFS(Table2[AwayWon], Table2[GameIsOver],1,Table2[HomeTeam],$A46, Table2[AwayTeam], E$36, Table2[ActualResult], "SO"))), "")</f>
        <v>1</v>
      </c>
      <c r="F46" t="str">
        <f>IFERROR(((2*SUMIFS(Table2[AwayWon], Table2[GameIsOver],1,Table2[AwayTeam],$A46, Table2[HomeTeam], F$36) + SUMIFS(Table2[HomeWon_], Table2[GameIsOver],1,Table2[HomeTeam],$A46, Table2[AwayTeam], F$36)) + SUMIFS(Table2[AwayWon], Table2[GameIsOver],1,Table2[HomeTeam],$A46, Table2[AwayTeam], F$36, Table2[ActualResult], "REG") + SUMIFS(Table2[HomeWon_], Table2[GameIsOver],1,Table2[AwayTeam],$A46, Table2[HomeTeam], F$36, Table2[ActualResult], "OT") + SUMIFS(Table2[AwayWon], Table2[GameIsOver],1,Table2[HomeTeam],$A46, Table2[AwayTeam], F$36, Table2[ActualResult], "OT") + SUMIFS(Table2[HomeWon_], Table2[GameIsOver],1,Table2[AwayTeam],$A46, Table2[HomeTeam], F$36, Table2[ActualResult], "SO") + SUMIFS(Table2[AwayWon], Table2[GameIsOver],1,Table2[HomeTeam],$A46, Table2[AwayTeam], F$36, Table2[ActualResult], "SO")) / (2*(SUMIFS(Table2[AwayWon], Table2[GameIsOver],1,Table2[AwayTeam],$A46, Table2[HomeTeam], F$36) + SUMIFS(Table2[HomeWon_], Table2[GameIsOver],1,Table2[HomeTeam],$A46, Table2[AwayTeam], F$36) + SUMIFS(Table2[HomeWon_], Table2[GameIsOver],1,Table2[AwayTeam],$A46, Table2[HomeTeam], F$36, Table2[ActualResult], "REG") + SUMIFS(Table2[AwayWon], Table2[GameIsOver],1,Table2[HomeTeam],$A46, Table2[AwayTeam], F$36, Table2[ActualResult], "REG") + SUMIFS(Table2[HomeWon_], Table2[GameIsOver],1,Table2[AwayTeam],$A46, Table2[HomeTeam], F$36, Table2[ActualResult], "OT") + SUMIFS(Table2[AwayWon], Table2[GameIsOver],1,Table2[HomeTeam],$A46, Table2[AwayTeam], F$36, Table2[ActualResult], "OT") + SUMIFS(Table2[HomeWon_], Table2[GameIsOver],1,Table2[AwayTeam],$A46, Table2[HomeTeam], F$36, Table2[ActualResult], "SO") + SUMIFS(Table2[AwayWon], Table2[GameIsOver],1,Table2[HomeTeam],$A46, Table2[AwayTeam], F$36, Table2[ActualResult], "SO"))), "")</f>
        <v/>
      </c>
      <c r="G46" t="str">
        <f>IFERROR(((2*SUMIFS(Table2[AwayWon], Table2[GameIsOver],1,Table2[AwayTeam],$A46, Table2[HomeTeam], G$36) + SUMIFS(Table2[HomeWon_], Table2[GameIsOver],1,Table2[HomeTeam],$A46, Table2[AwayTeam], G$36)) + SUMIFS(Table2[AwayWon], Table2[GameIsOver],1,Table2[HomeTeam],$A46, Table2[AwayTeam], G$36, Table2[ActualResult], "REG") + SUMIFS(Table2[HomeWon_], Table2[GameIsOver],1,Table2[AwayTeam],$A46, Table2[HomeTeam], G$36, Table2[ActualResult], "OT") + SUMIFS(Table2[AwayWon], Table2[GameIsOver],1,Table2[HomeTeam],$A46, Table2[AwayTeam], G$36, Table2[ActualResult], "OT") + SUMIFS(Table2[HomeWon_], Table2[GameIsOver],1,Table2[AwayTeam],$A46, Table2[HomeTeam], G$36, Table2[ActualResult], "SO") + SUMIFS(Table2[AwayWon], Table2[GameIsOver],1,Table2[HomeTeam],$A46, Table2[AwayTeam], G$36, Table2[ActualResult], "SO")) / (2*(SUMIFS(Table2[AwayWon], Table2[GameIsOver],1,Table2[AwayTeam],$A46, Table2[HomeTeam], G$36) + SUMIFS(Table2[HomeWon_], Table2[GameIsOver],1,Table2[HomeTeam],$A46, Table2[AwayTeam], G$36) + SUMIFS(Table2[HomeWon_], Table2[GameIsOver],1,Table2[AwayTeam],$A46, Table2[HomeTeam], G$36, Table2[ActualResult], "REG") + SUMIFS(Table2[AwayWon], Table2[GameIsOver],1,Table2[HomeTeam],$A46, Table2[AwayTeam], G$36, Table2[ActualResult], "REG") + SUMIFS(Table2[HomeWon_], Table2[GameIsOver],1,Table2[AwayTeam],$A46, Table2[HomeTeam], G$36, Table2[ActualResult], "OT") + SUMIFS(Table2[AwayWon], Table2[GameIsOver],1,Table2[HomeTeam],$A46, Table2[AwayTeam], G$36, Table2[ActualResult], "OT") + SUMIFS(Table2[HomeWon_], Table2[GameIsOver],1,Table2[AwayTeam],$A46, Table2[HomeTeam], G$36, Table2[ActualResult], "SO") + SUMIFS(Table2[AwayWon], Table2[GameIsOver],1,Table2[HomeTeam],$A46, Table2[AwayTeam], G$36, Table2[ActualResult], "SO"))), "")</f>
        <v/>
      </c>
      <c r="H46" t="str">
        <f>IFERROR(((2*SUMIFS(Table2[AwayWon], Table2[GameIsOver],1,Table2[AwayTeam],$A46, Table2[HomeTeam], H$36) + SUMIFS(Table2[HomeWon_], Table2[GameIsOver],1,Table2[HomeTeam],$A46, Table2[AwayTeam], H$36)) + SUMIFS(Table2[AwayWon], Table2[GameIsOver],1,Table2[HomeTeam],$A46, Table2[AwayTeam], H$36, Table2[ActualResult], "REG") + SUMIFS(Table2[HomeWon_], Table2[GameIsOver],1,Table2[AwayTeam],$A46, Table2[HomeTeam], H$36, Table2[ActualResult], "OT") + SUMIFS(Table2[AwayWon], Table2[GameIsOver],1,Table2[HomeTeam],$A46, Table2[AwayTeam], H$36, Table2[ActualResult], "OT") + SUMIFS(Table2[HomeWon_], Table2[GameIsOver],1,Table2[AwayTeam],$A46, Table2[HomeTeam], H$36, Table2[ActualResult], "SO") + SUMIFS(Table2[AwayWon], Table2[GameIsOver],1,Table2[HomeTeam],$A46, Table2[AwayTeam], H$36, Table2[ActualResult], "SO")) / (2*(SUMIFS(Table2[AwayWon], Table2[GameIsOver],1,Table2[AwayTeam],$A46, Table2[HomeTeam], H$36) + SUMIFS(Table2[HomeWon_], Table2[GameIsOver],1,Table2[HomeTeam],$A46, Table2[AwayTeam], H$36) + SUMIFS(Table2[HomeWon_], Table2[GameIsOver],1,Table2[AwayTeam],$A46, Table2[HomeTeam], H$36, Table2[ActualResult], "REG") + SUMIFS(Table2[AwayWon], Table2[GameIsOver],1,Table2[HomeTeam],$A46, Table2[AwayTeam], H$36, Table2[ActualResult], "REG") + SUMIFS(Table2[HomeWon_], Table2[GameIsOver],1,Table2[AwayTeam],$A46, Table2[HomeTeam], H$36, Table2[ActualResult], "OT") + SUMIFS(Table2[AwayWon], Table2[GameIsOver],1,Table2[HomeTeam],$A46, Table2[AwayTeam], H$36, Table2[ActualResult], "OT") + SUMIFS(Table2[HomeWon_], Table2[GameIsOver],1,Table2[AwayTeam],$A46, Table2[HomeTeam], H$36, Table2[ActualResult], "SO") + SUMIFS(Table2[AwayWon], Table2[GameIsOver],1,Table2[HomeTeam],$A46, Table2[AwayTeam], H$36, Table2[ActualResult], "SO"))), "")</f>
        <v/>
      </c>
      <c r="I46" s="57" t="str">
        <f>IFERROR(((2*SUMIFS(Table2[AwayWon], Table2[GameIsOver],1,Table2[AwayTeam],$A46, Table2[HomeTeam], I$36) + SUMIFS(Table2[HomeWon_], Table2[GameIsOver],1,Table2[HomeTeam],$A46, Table2[AwayTeam], I$36)) + SUMIFS(Table2[AwayWon], Table2[GameIsOver],1,Table2[HomeTeam],$A46, Table2[AwayTeam], I$36, Table2[ActualResult], "REG") + SUMIFS(Table2[HomeWon_], Table2[GameIsOver],1,Table2[AwayTeam],$A46, Table2[HomeTeam], I$36, Table2[ActualResult], "OT") + SUMIFS(Table2[AwayWon], Table2[GameIsOver],1,Table2[HomeTeam],$A46, Table2[AwayTeam], I$36, Table2[ActualResult], "OT") + SUMIFS(Table2[HomeWon_], Table2[GameIsOver],1,Table2[AwayTeam],$A46, Table2[HomeTeam], I$36, Table2[ActualResult], "SO") + SUMIFS(Table2[AwayWon], Table2[GameIsOver],1,Table2[HomeTeam],$A46, Table2[AwayTeam], I$36, Table2[ActualResult], "SO")) / (2*(SUMIFS(Table2[AwayWon], Table2[GameIsOver],1,Table2[AwayTeam],$A46, Table2[HomeTeam], I$36) + SUMIFS(Table2[HomeWon_], Table2[GameIsOver],1,Table2[HomeTeam],$A46, Table2[AwayTeam], I$36) + SUMIFS(Table2[HomeWon_], Table2[GameIsOver],1,Table2[AwayTeam],$A46, Table2[HomeTeam], I$36, Table2[ActualResult], "REG") + SUMIFS(Table2[AwayWon], Table2[GameIsOver],1,Table2[HomeTeam],$A46, Table2[AwayTeam], I$36, Table2[ActualResult], "REG") + SUMIFS(Table2[HomeWon_], Table2[GameIsOver],1,Table2[AwayTeam],$A46, Table2[HomeTeam], I$36, Table2[ActualResult], "OT") + SUMIFS(Table2[AwayWon], Table2[GameIsOver],1,Table2[HomeTeam],$A46, Table2[AwayTeam], I$36, Table2[ActualResult], "OT") + SUMIFS(Table2[HomeWon_], Table2[GameIsOver],1,Table2[AwayTeam],$A46, Table2[HomeTeam], I$36, Table2[ActualResult], "SO") + SUMIFS(Table2[AwayWon], Table2[GameIsOver],1,Table2[HomeTeam],$A46, Table2[AwayTeam], I$36, Table2[ActualResult], "SO"))), "")</f>
        <v/>
      </c>
      <c r="J46" t="str">
        <f>IFERROR(((2*SUMIFS(Table2[AwayWon], Table2[GameIsOver],1,Table2[AwayTeam],$A46, Table2[HomeTeam], J$36) + SUMIFS(Table2[HomeWon_], Table2[GameIsOver],1,Table2[HomeTeam],$A46, Table2[AwayTeam], J$36)) + SUMIFS(Table2[AwayWon], Table2[GameIsOver],1,Table2[HomeTeam],$A46, Table2[AwayTeam], J$36, Table2[ActualResult], "REG") + SUMIFS(Table2[HomeWon_], Table2[GameIsOver],1,Table2[AwayTeam],$A46, Table2[HomeTeam], J$36, Table2[ActualResult], "OT") + SUMIFS(Table2[AwayWon], Table2[GameIsOver],1,Table2[HomeTeam],$A46, Table2[AwayTeam], J$36, Table2[ActualResult], "OT") + SUMIFS(Table2[HomeWon_], Table2[GameIsOver],1,Table2[AwayTeam],$A46, Table2[HomeTeam], J$36, Table2[ActualResult], "SO") + SUMIFS(Table2[AwayWon], Table2[GameIsOver],1,Table2[HomeTeam],$A46, Table2[AwayTeam], J$36, Table2[ActualResult], "SO")) / (2*(SUMIFS(Table2[AwayWon], Table2[GameIsOver],1,Table2[AwayTeam],$A46, Table2[HomeTeam], J$36) + SUMIFS(Table2[HomeWon_], Table2[GameIsOver],1,Table2[HomeTeam],$A46, Table2[AwayTeam], J$36) + SUMIFS(Table2[HomeWon_], Table2[GameIsOver],1,Table2[AwayTeam],$A46, Table2[HomeTeam], J$36, Table2[ActualResult], "REG") + SUMIFS(Table2[AwayWon], Table2[GameIsOver],1,Table2[HomeTeam],$A46, Table2[AwayTeam], J$36, Table2[ActualResult], "REG") + SUMIFS(Table2[HomeWon_], Table2[GameIsOver],1,Table2[AwayTeam],$A46, Table2[HomeTeam], J$36, Table2[ActualResult], "OT") + SUMIFS(Table2[AwayWon], Table2[GameIsOver],1,Table2[HomeTeam],$A46, Table2[AwayTeam], J$36, Table2[ActualResult], "OT") + SUMIFS(Table2[HomeWon_], Table2[GameIsOver],1,Table2[AwayTeam],$A46, Table2[HomeTeam], J$36, Table2[ActualResult], "SO") + SUMIFS(Table2[AwayWon], Table2[GameIsOver],1,Table2[HomeTeam],$A46, Table2[AwayTeam], J$36, Table2[ActualResult], "SO"))), "")</f>
        <v/>
      </c>
      <c r="K46" s="98" t="str">
        <f>IFERROR(((2*SUMIFS(Table2[AwayWon], Table2[GameIsOver],1,Table2[AwayTeam],$A46, Table2[HomeTeam], K$36) + SUMIFS(Table2[HomeWon_], Table2[GameIsOver],1,Table2[HomeTeam],$A46, Table2[AwayTeam], K$36)) + SUMIFS(Table2[AwayWon], Table2[GameIsOver],1,Table2[HomeTeam],$A46, Table2[AwayTeam], K$36, Table2[ActualResult], "REG") + SUMIFS(Table2[HomeWon_], Table2[GameIsOver],1,Table2[AwayTeam],$A46, Table2[HomeTeam], K$36, Table2[ActualResult], "OT") + SUMIFS(Table2[AwayWon], Table2[GameIsOver],1,Table2[HomeTeam],$A46, Table2[AwayTeam], K$36, Table2[ActualResult], "OT") + SUMIFS(Table2[HomeWon_], Table2[GameIsOver],1,Table2[AwayTeam],$A46, Table2[HomeTeam], K$36, Table2[ActualResult], "SO") + SUMIFS(Table2[AwayWon], Table2[GameIsOver],1,Table2[HomeTeam],$A46, Table2[AwayTeam], K$36, Table2[ActualResult], "SO")) / (2*(SUMIFS(Table2[AwayWon], Table2[GameIsOver],1,Table2[AwayTeam],$A46, Table2[HomeTeam], K$36) + SUMIFS(Table2[HomeWon_], Table2[GameIsOver],1,Table2[HomeTeam],$A46, Table2[AwayTeam], K$36) + SUMIFS(Table2[HomeWon_], Table2[GameIsOver],1,Table2[AwayTeam],$A46, Table2[HomeTeam], K$36, Table2[ActualResult], "REG") + SUMIFS(Table2[AwayWon], Table2[GameIsOver],1,Table2[HomeTeam],$A46, Table2[AwayTeam], K$36, Table2[ActualResult], "REG") + SUMIFS(Table2[HomeWon_], Table2[GameIsOver],1,Table2[AwayTeam],$A46, Table2[HomeTeam], K$36, Table2[ActualResult], "OT") + SUMIFS(Table2[AwayWon], Table2[GameIsOver],1,Table2[HomeTeam],$A46, Table2[AwayTeam], K$36, Table2[ActualResult], "OT") + SUMIFS(Table2[HomeWon_], Table2[GameIsOver],1,Table2[AwayTeam],$A46, Table2[HomeTeam], K$36, Table2[ActualResult], "SO") + SUMIFS(Table2[AwayWon], Table2[GameIsOver],1,Table2[HomeTeam],$A46, Table2[AwayTeam], K$36, Table2[ActualResult], "SO"))), "")</f>
        <v/>
      </c>
      <c r="L46">
        <f>IFERROR(((2*SUMIFS(Table2[AwayWon], Table2[GameIsOver],1,Table2[AwayTeam],$A46, Table2[HomeTeam], L$36) + SUMIFS(Table2[HomeWon_], Table2[GameIsOver],1,Table2[HomeTeam],$A46, Table2[AwayTeam], L$36)) + SUMIFS(Table2[AwayWon], Table2[GameIsOver],1,Table2[HomeTeam],$A46, Table2[AwayTeam], L$36, Table2[ActualResult], "REG") + SUMIFS(Table2[HomeWon_], Table2[GameIsOver],1,Table2[AwayTeam],$A46, Table2[HomeTeam], L$36, Table2[ActualResult], "OT") + SUMIFS(Table2[AwayWon], Table2[GameIsOver],1,Table2[HomeTeam],$A46, Table2[AwayTeam], L$36, Table2[ActualResult], "OT") + SUMIFS(Table2[HomeWon_], Table2[GameIsOver],1,Table2[AwayTeam],$A46, Table2[HomeTeam], L$36, Table2[ActualResult], "SO") + SUMIFS(Table2[AwayWon], Table2[GameIsOver],1,Table2[HomeTeam],$A46, Table2[AwayTeam], L$36, Table2[ActualResult], "SO")) / (2*(SUMIFS(Table2[AwayWon], Table2[GameIsOver],1,Table2[AwayTeam],$A46, Table2[HomeTeam], L$36) + SUMIFS(Table2[HomeWon_], Table2[GameIsOver],1,Table2[HomeTeam],$A46, Table2[AwayTeam], L$36) + SUMIFS(Table2[HomeWon_], Table2[GameIsOver],1,Table2[AwayTeam],$A46, Table2[HomeTeam], L$36, Table2[ActualResult], "REG") + SUMIFS(Table2[AwayWon], Table2[GameIsOver],1,Table2[HomeTeam],$A46, Table2[AwayTeam], L$36, Table2[ActualResult], "REG") + SUMIFS(Table2[HomeWon_], Table2[GameIsOver],1,Table2[AwayTeam],$A46, Table2[HomeTeam], L$36, Table2[ActualResult], "OT") + SUMIFS(Table2[AwayWon], Table2[GameIsOver],1,Table2[HomeTeam],$A46, Table2[AwayTeam], L$36, Table2[ActualResult], "OT") + SUMIFS(Table2[HomeWon_], Table2[GameIsOver],1,Table2[AwayTeam],$A46, Table2[HomeTeam], L$36, Table2[ActualResult], "SO") + SUMIFS(Table2[AwayWon], Table2[GameIsOver],1,Table2[HomeTeam],$A46, Table2[AwayTeam], L$36, Table2[ActualResult], "SO"))), "")</f>
        <v>0.5</v>
      </c>
      <c r="M46" t="str">
        <f>IFERROR(((2*SUMIFS(Table2[AwayWon], Table2[GameIsOver],1,Table2[AwayTeam],$A46, Table2[HomeTeam], M$36) + SUMIFS(Table2[HomeWon_], Table2[GameIsOver],1,Table2[HomeTeam],$A46, Table2[AwayTeam], M$36)) + SUMIFS(Table2[AwayWon], Table2[GameIsOver],1,Table2[HomeTeam],$A46, Table2[AwayTeam], M$36, Table2[ActualResult], "REG") + SUMIFS(Table2[HomeWon_], Table2[GameIsOver],1,Table2[AwayTeam],$A46, Table2[HomeTeam], M$36, Table2[ActualResult], "OT") + SUMIFS(Table2[AwayWon], Table2[GameIsOver],1,Table2[HomeTeam],$A46, Table2[AwayTeam], M$36, Table2[ActualResult], "OT") + SUMIFS(Table2[HomeWon_], Table2[GameIsOver],1,Table2[AwayTeam],$A46, Table2[HomeTeam], M$36, Table2[ActualResult], "SO") + SUMIFS(Table2[AwayWon], Table2[GameIsOver],1,Table2[HomeTeam],$A46, Table2[AwayTeam], M$36, Table2[ActualResult], "SO")) / (2*(SUMIFS(Table2[AwayWon], Table2[GameIsOver],1,Table2[AwayTeam],$A46, Table2[HomeTeam], M$36) + SUMIFS(Table2[HomeWon_], Table2[GameIsOver],1,Table2[HomeTeam],$A46, Table2[AwayTeam], M$36) + SUMIFS(Table2[HomeWon_], Table2[GameIsOver],1,Table2[AwayTeam],$A46, Table2[HomeTeam], M$36, Table2[ActualResult], "REG") + SUMIFS(Table2[AwayWon], Table2[GameIsOver],1,Table2[HomeTeam],$A46, Table2[AwayTeam], M$36, Table2[ActualResult], "REG") + SUMIFS(Table2[HomeWon_], Table2[GameIsOver],1,Table2[AwayTeam],$A46, Table2[HomeTeam], M$36, Table2[ActualResult], "OT") + SUMIFS(Table2[AwayWon], Table2[GameIsOver],1,Table2[HomeTeam],$A46, Table2[AwayTeam], M$36, Table2[ActualResult], "OT") + SUMIFS(Table2[HomeWon_], Table2[GameIsOver],1,Table2[AwayTeam],$A46, Table2[HomeTeam], M$36, Table2[ActualResult], "SO") + SUMIFS(Table2[AwayWon], Table2[GameIsOver],1,Table2[HomeTeam],$A46, Table2[AwayTeam], M$36, Table2[ActualResult], "SO"))), "")</f>
        <v/>
      </c>
      <c r="N46" t="str">
        <f>IFERROR(((2*SUMIFS(Table2[AwayWon], Table2[GameIsOver],1,Table2[AwayTeam],$A46, Table2[HomeTeam], N$36) + SUMIFS(Table2[HomeWon_], Table2[GameIsOver],1,Table2[HomeTeam],$A46, Table2[AwayTeam], N$36)) + SUMIFS(Table2[AwayWon], Table2[GameIsOver],1,Table2[HomeTeam],$A46, Table2[AwayTeam], N$36, Table2[ActualResult], "REG") + SUMIFS(Table2[HomeWon_], Table2[GameIsOver],1,Table2[AwayTeam],$A46, Table2[HomeTeam], N$36, Table2[ActualResult], "OT") + SUMIFS(Table2[AwayWon], Table2[GameIsOver],1,Table2[HomeTeam],$A46, Table2[AwayTeam], N$36, Table2[ActualResult], "OT") + SUMIFS(Table2[HomeWon_], Table2[GameIsOver],1,Table2[AwayTeam],$A46, Table2[HomeTeam], N$36, Table2[ActualResult], "SO") + SUMIFS(Table2[AwayWon], Table2[GameIsOver],1,Table2[HomeTeam],$A46, Table2[AwayTeam], N$36, Table2[ActualResult], "SO")) / (2*(SUMIFS(Table2[AwayWon], Table2[GameIsOver],1,Table2[AwayTeam],$A46, Table2[HomeTeam], N$36) + SUMIFS(Table2[HomeWon_], Table2[GameIsOver],1,Table2[HomeTeam],$A46, Table2[AwayTeam], N$36) + SUMIFS(Table2[HomeWon_], Table2[GameIsOver],1,Table2[AwayTeam],$A46, Table2[HomeTeam], N$36, Table2[ActualResult], "REG") + SUMIFS(Table2[AwayWon], Table2[GameIsOver],1,Table2[HomeTeam],$A46, Table2[AwayTeam], N$36, Table2[ActualResult], "REG") + SUMIFS(Table2[HomeWon_], Table2[GameIsOver],1,Table2[AwayTeam],$A46, Table2[HomeTeam], N$36, Table2[ActualResult], "OT") + SUMIFS(Table2[AwayWon], Table2[GameIsOver],1,Table2[HomeTeam],$A46, Table2[AwayTeam], N$36, Table2[ActualResult], "OT") + SUMIFS(Table2[HomeWon_], Table2[GameIsOver],1,Table2[AwayTeam],$A46, Table2[HomeTeam], N$36, Table2[ActualResult], "SO") + SUMIFS(Table2[AwayWon], Table2[GameIsOver],1,Table2[HomeTeam],$A46, Table2[AwayTeam], N$36, Table2[ActualResult], "SO"))), "")</f>
        <v/>
      </c>
      <c r="O46" t="str">
        <f>IFERROR(((2*SUMIFS(Table2[AwayWon], Table2[GameIsOver],1,Table2[AwayTeam],$A46, Table2[HomeTeam], O$36) + SUMIFS(Table2[HomeWon_], Table2[GameIsOver],1,Table2[HomeTeam],$A46, Table2[AwayTeam], O$36)) + SUMIFS(Table2[AwayWon], Table2[GameIsOver],1,Table2[HomeTeam],$A46, Table2[AwayTeam], O$36, Table2[ActualResult], "REG") + SUMIFS(Table2[HomeWon_], Table2[GameIsOver],1,Table2[AwayTeam],$A46, Table2[HomeTeam], O$36, Table2[ActualResult], "OT") + SUMIFS(Table2[AwayWon], Table2[GameIsOver],1,Table2[HomeTeam],$A46, Table2[AwayTeam], O$36, Table2[ActualResult], "OT") + SUMIFS(Table2[HomeWon_], Table2[GameIsOver],1,Table2[AwayTeam],$A46, Table2[HomeTeam], O$36, Table2[ActualResult], "SO") + SUMIFS(Table2[AwayWon], Table2[GameIsOver],1,Table2[HomeTeam],$A46, Table2[AwayTeam], O$36, Table2[ActualResult], "SO")) / (2*(SUMIFS(Table2[AwayWon], Table2[GameIsOver],1,Table2[AwayTeam],$A46, Table2[HomeTeam], O$36) + SUMIFS(Table2[HomeWon_], Table2[GameIsOver],1,Table2[HomeTeam],$A46, Table2[AwayTeam], O$36) + SUMIFS(Table2[HomeWon_], Table2[GameIsOver],1,Table2[AwayTeam],$A46, Table2[HomeTeam], O$36, Table2[ActualResult], "REG") + SUMIFS(Table2[AwayWon], Table2[GameIsOver],1,Table2[HomeTeam],$A46, Table2[AwayTeam], O$36, Table2[ActualResult], "REG") + SUMIFS(Table2[HomeWon_], Table2[GameIsOver],1,Table2[AwayTeam],$A46, Table2[HomeTeam], O$36, Table2[ActualResult], "OT") + SUMIFS(Table2[AwayWon], Table2[GameIsOver],1,Table2[HomeTeam],$A46, Table2[AwayTeam], O$36, Table2[ActualResult], "OT") + SUMIFS(Table2[HomeWon_], Table2[GameIsOver],1,Table2[AwayTeam],$A46, Table2[HomeTeam], O$36, Table2[ActualResult], "SO") + SUMIFS(Table2[AwayWon], Table2[GameIsOver],1,Table2[HomeTeam],$A46, Table2[AwayTeam], O$36, Table2[ActualResult], "SO"))), "")</f>
        <v/>
      </c>
      <c r="P46">
        <f>IFERROR(((2*SUMIFS(Table2[AwayWon], Table2[GameIsOver],1,Table2[AwayTeam],$A46, Table2[HomeTeam], P$36) + SUMIFS(Table2[HomeWon_], Table2[GameIsOver],1,Table2[HomeTeam],$A46, Table2[AwayTeam], P$36)) + SUMIFS(Table2[AwayWon], Table2[GameIsOver],1,Table2[HomeTeam],$A46, Table2[AwayTeam], P$36, Table2[ActualResult], "REG") + SUMIFS(Table2[HomeWon_], Table2[GameIsOver],1,Table2[AwayTeam],$A46, Table2[HomeTeam], P$36, Table2[ActualResult], "OT") + SUMIFS(Table2[AwayWon], Table2[GameIsOver],1,Table2[HomeTeam],$A46, Table2[AwayTeam], P$36, Table2[ActualResult], "OT") + SUMIFS(Table2[HomeWon_], Table2[GameIsOver],1,Table2[AwayTeam],$A46, Table2[HomeTeam], P$36, Table2[ActualResult], "SO") + SUMIFS(Table2[AwayWon], Table2[GameIsOver],1,Table2[HomeTeam],$A46, Table2[AwayTeam], P$36, Table2[ActualResult], "SO")) / (2*(SUMIFS(Table2[AwayWon], Table2[GameIsOver],1,Table2[AwayTeam],$A46, Table2[HomeTeam], P$36) + SUMIFS(Table2[HomeWon_], Table2[GameIsOver],1,Table2[HomeTeam],$A46, Table2[AwayTeam], P$36) + SUMIFS(Table2[HomeWon_], Table2[GameIsOver],1,Table2[AwayTeam],$A46, Table2[HomeTeam], P$36, Table2[ActualResult], "REG") + SUMIFS(Table2[AwayWon], Table2[GameIsOver],1,Table2[HomeTeam],$A46, Table2[AwayTeam], P$36, Table2[ActualResult], "REG") + SUMIFS(Table2[HomeWon_], Table2[GameIsOver],1,Table2[AwayTeam],$A46, Table2[HomeTeam], P$36, Table2[ActualResult], "OT") + SUMIFS(Table2[AwayWon], Table2[GameIsOver],1,Table2[HomeTeam],$A46, Table2[AwayTeam], P$36, Table2[ActualResult], "OT") + SUMIFS(Table2[HomeWon_], Table2[GameIsOver],1,Table2[AwayTeam],$A46, Table2[HomeTeam], P$36, Table2[ActualResult], "SO") + SUMIFS(Table2[AwayWon], Table2[GameIsOver],1,Table2[HomeTeam],$A46, Table2[AwayTeam], P$36, Table2[ActualResult], "SO"))), "")</f>
        <v>0.5</v>
      </c>
      <c r="Q46" s="57" t="str">
        <f>IFERROR(((2*SUMIFS(Table2[AwayWon], Table2[GameIsOver],1,Table2[AwayTeam],$A46, Table2[HomeTeam], Q$36) + SUMIFS(Table2[HomeWon_], Table2[GameIsOver],1,Table2[HomeTeam],$A46, Table2[AwayTeam], Q$36)) + SUMIFS(Table2[AwayWon], Table2[GameIsOver],1,Table2[HomeTeam],$A46, Table2[AwayTeam], Q$36, Table2[ActualResult], "REG") + SUMIFS(Table2[HomeWon_], Table2[GameIsOver],1,Table2[AwayTeam],$A46, Table2[HomeTeam], Q$36, Table2[ActualResult], "OT") + SUMIFS(Table2[AwayWon], Table2[GameIsOver],1,Table2[HomeTeam],$A46, Table2[AwayTeam], Q$36, Table2[ActualResult], "OT") + SUMIFS(Table2[HomeWon_], Table2[GameIsOver],1,Table2[AwayTeam],$A46, Table2[HomeTeam], Q$36, Table2[ActualResult], "SO") + SUMIFS(Table2[AwayWon], Table2[GameIsOver],1,Table2[HomeTeam],$A46, Table2[AwayTeam], Q$36, Table2[ActualResult], "SO")) / (2*(SUMIFS(Table2[AwayWon], Table2[GameIsOver],1,Table2[AwayTeam],$A46, Table2[HomeTeam], Q$36) + SUMIFS(Table2[HomeWon_], Table2[GameIsOver],1,Table2[HomeTeam],$A46, Table2[AwayTeam], Q$36) + SUMIFS(Table2[HomeWon_], Table2[GameIsOver],1,Table2[AwayTeam],$A46, Table2[HomeTeam], Q$36, Table2[ActualResult], "REG") + SUMIFS(Table2[AwayWon], Table2[GameIsOver],1,Table2[HomeTeam],$A46, Table2[AwayTeam], Q$36, Table2[ActualResult], "REG") + SUMIFS(Table2[HomeWon_], Table2[GameIsOver],1,Table2[AwayTeam],$A46, Table2[HomeTeam], Q$36, Table2[ActualResult], "OT") + SUMIFS(Table2[AwayWon], Table2[GameIsOver],1,Table2[HomeTeam],$A46, Table2[AwayTeam], Q$36, Table2[ActualResult], "OT") + SUMIFS(Table2[HomeWon_], Table2[GameIsOver],1,Table2[AwayTeam],$A46, Table2[HomeTeam], Q$36, Table2[ActualResult], "SO") + SUMIFS(Table2[AwayWon], Table2[GameIsOver],1,Table2[HomeTeam],$A46, Table2[AwayTeam], Q$36, Table2[ActualResult], "SO"))), "")</f>
        <v/>
      </c>
      <c r="R46" t="str">
        <f>IFERROR(((2*SUMIFS(Table2[AwayWon], Table2[GameIsOver],1,Table2[AwayTeam],$A46, Table2[HomeTeam], R$36) + SUMIFS(Table2[HomeWon_], Table2[GameIsOver],1,Table2[HomeTeam],$A46, Table2[AwayTeam], R$36)) + SUMIFS(Table2[AwayWon], Table2[GameIsOver],1,Table2[HomeTeam],$A46, Table2[AwayTeam], R$36, Table2[ActualResult], "REG") + SUMIFS(Table2[HomeWon_], Table2[GameIsOver],1,Table2[AwayTeam],$A46, Table2[HomeTeam], R$36, Table2[ActualResult], "OT") + SUMIFS(Table2[AwayWon], Table2[GameIsOver],1,Table2[HomeTeam],$A46, Table2[AwayTeam], R$36, Table2[ActualResult], "OT") + SUMIFS(Table2[HomeWon_], Table2[GameIsOver],1,Table2[AwayTeam],$A46, Table2[HomeTeam], R$36, Table2[ActualResult], "SO") + SUMIFS(Table2[AwayWon], Table2[GameIsOver],1,Table2[HomeTeam],$A46, Table2[AwayTeam], R$36, Table2[ActualResult], "SO")) / (2*(SUMIFS(Table2[AwayWon], Table2[GameIsOver],1,Table2[AwayTeam],$A46, Table2[HomeTeam], R$36) + SUMIFS(Table2[HomeWon_], Table2[GameIsOver],1,Table2[HomeTeam],$A46, Table2[AwayTeam], R$36) + SUMIFS(Table2[HomeWon_], Table2[GameIsOver],1,Table2[AwayTeam],$A46, Table2[HomeTeam], R$36, Table2[ActualResult], "REG") + SUMIFS(Table2[AwayWon], Table2[GameIsOver],1,Table2[HomeTeam],$A46, Table2[AwayTeam], R$36, Table2[ActualResult], "REG") + SUMIFS(Table2[HomeWon_], Table2[GameIsOver],1,Table2[AwayTeam],$A46, Table2[HomeTeam], R$36, Table2[ActualResult], "OT") + SUMIFS(Table2[AwayWon], Table2[GameIsOver],1,Table2[HomeTeam],$A46, Table2[AwayTeam], R$36, Table2[ActualResult], "OT") + SUMIFS(Table2[HomeWon_], Table2[GameIsOver],1,Table2[AwayTeam],$A46, Table2[HomeTeam], R$36, Table2[ActualResult], "SO") + SUMIFS(Table2[AwayWon], Table2[GameIsOver],1,Table2[HomeTeam],$A46, Table2[AwayTeam], R$36, Table2[ActualResult], "SO"))), "")</f>
        <v/>
      </c>
      <c r="S46">
        <f>IFERROR(((2*SUMIFS(Table2[AwayWon], Table2[GameIsOver],1,Table2[AwayTeam],$A46, Table2[HomeTeam], S$36) + SUMIFS(Table2[HomeWon_], Table2[GameIsOver],1,Table2[HomeTeam],$A46, Table2[AwayTeam], S$36)) + SUMIFS(Table2[AwayWon], Table2[GameIsOver],1,Table2[HomeTeam],$A46, Table2[AwayTeam], S$36, Table2[ActualResult], "REG") + SUMIFS(Table2[HomeWon_], Table2[GameIsOver],1,Table2[AwayTeam],$A46, Table2[HomeTeam], S$36, Table2[ActualResult], "OT") + SUMIFS(Table2[AwayWon], Table2[GameIsOver],1,Table2[HomeTeam],$A46, Table2[AwayTeam], S$36, Table2[ActualResult], "OT") + SUMIFS(Table2[HomeWon_], Table2[GameIsOver],1,Table2[AwayTeam],$A46, Table2[HomeTeam], S$36, Table2[ActualResult], "SO") + SUMIFS(Table2[AwayWon], Table2[GameIsOver],1,Table2[HomeTeam],$A46, Table2[AwayTeam], S$36, Table2[ActualResult], "SO")) / (2*(SUMIFS(Table2[AwayWon], Table2[GameIsOver],1,Table2[AwayTeam],$A46, Table2[HomeTeam], S$36) + SUMIFS(Table2[HomeWon_], Table2[GameIsOver],1,Table2[HomeTeam],$A46, Table2[AwayTeam], S$36) + SUMIFS(Table2[HomeWon_], Table2[GameIsOver],1,Table2[AwayTeam],$A46, Table2[HomeTeam], S$36, Table2[ActualResult], "REG") + SUMIFS(Table2[AwayWon], Table2[GameIsOver],1,Table2[HomeTeam],$A46, Table2[AwayTeam], S$36, Table2[ActualResult], "REG") + SUMIFS(Table2[HomeWon_], Table2[GameIsOver],1,Table2[AwayTeam],$A46, Table2[HomeTeam], S$36, Table2[ActualResult], "OT") + SUMIFS(Table2[AwayWon], Table2[GameIsOver],1,Table2[HomeTeam],$A46, Table2[AwayTeam], S$36, Table2[ActualResult], "OT") + SUMIFS(Table2[HomeWon_], Table2[GameIsOver],1,Table2[AwayTeam],$A46, Table2[HomeTeam], S$36, Table2[ActualResult], "SO") + SUMIFS(Table2[AwayWon], Table2[GameIsOver],1,Table2[HomeTeam],$A46, Table2[AwayTeam], S$36, Table2[ActualResult], "SO"))), "")</f>
        <v>1</v>
      </c>
      <c r="T46" t="str">
        <f>IFERROR(((2*SUMIFS(Table2[AwayWon], Table2[GameIsOver],1,Table2[AwayTeam],$A46, Table2[HomeTeam], T$36) + SUMIFS(Table2[HomeWon_], Table2[GameIsOver],1,Table2[HomeTeam],$A46, Table2[AwayTeam], T$36)) + SUMIFS(Table2[AwayWon], Table2[GameIsOver],1,Table2[HomeTeam],$A46, Table2[AwayTeam], T$36, Table2[ActualResult], "REG") + SUMIFS(Table2[HomeWon_], Table2[GameIsOver],1,Table2[AwayTeam],$A46, Table2[HomeTeam], T$36, Table2[ActualResult], "OT") + SUMIFS(Table2[AwayWon], Table2[GameIsOver],1,Table2[HomeTeam],$A46, Table2[AwayTeam], T$36, Table2[ActualResult], "OT") + SUMIFS(Table2[HomeWon_], Table2[GameIsOver],1,Table2[AwayTeam],$A46, Table2[HomeTeam], T$36, Table2[ActualResult], "SO") + SUMIFS(Table2[AwayWon], Table2[GameIsOver],1,Table2[HomeTeam],$A46, Table2[AwayTeam], T$36, Table2[ActualResult], "SO")) / (2*(SUMIFS(Table2[AwayWon], Table2[GameIsOver],1,Table2[AwayTeam],$A46, Table2[HomeTeam], T$36) + SUMIFS(Table2[HomeWon_], Table2[GameIsOver],1,Table2[HomeTeam],$A46, Table2[AwayTeam], T$36) + SUMIFS(Table2[HomeWon_], Table2[GameIsOver],1,Table2[AwayTeam],$A46, Table2[HomeTeam], T$36, Table2[ActualResult], "REG") + SUMIFS(Table2[AwayWon], Table2[GameIsOver],1,Table2[HomeTeam],$A46, Table2[AwayTeam], T$36, Table2[ActualResult], "REG") + SUMIFS(Table2[HomeWon_], Table2[GameIsOver],1,Table2[AwayTeam],$A46, Table2[HomeTeam], T$36, Table2[ActualResult], "OT") + SUMIFS(Table2[AwayWon], Table2[GameIsOver],1,Table2[HomeTeam],$A46, Table2[AwayTeam], T$36, Table2[ActualResult], "OT") + SUMIFS(Table2[HomeWon_], Table2[GameIsOver],1,Table2[AwayTeam],$A46, Table2[HomeTeam], T$36, Table2[ActualResult], "SO") + SUMIFS(Table2[AwayWon], Table2[GameIsOver],1,Table2[HomeTeam],$A46, Table2[AwayTeam], T$36, Table2[ActualResult], "SO"))), "")</f>
        <v/>
      </c>
      <c r="U46" t="str">
        <f>IFERROR(((2*SUMIFS(Table2[AwayWon], Table2[GameIsOver],1,Table2[AwayTeam],$A46, Table2[HomeTeam], U$36) + SUMIFS(Table2[HomeWon_], Table2[GameIsOver],1,Table2[HomeTeam],$A46, Table2[AwayTeam], U$36)) + SUMIFS(Table2[AwayWon], Table2[GameIsOver],1,Table2[HomeTeam],$A46, Table2[AwayTeam], U$36, Table2[ActualResult], "REG") + SUMIFS(Table2[HomeWon_], Table2[GameIsOver],1,Table2[AwayTeam],$A46, Table2[HomeTeam], U$36, Table2[ActualResult], "OT") + SUMIFS(Table2[AwayWon], Table2[GameIsOver],1,Table2[HomeTeam],$A46, Table2[AwayTeam], U$36, Table2[ActualResult], "OT") + SUMIFS(Table2[HomeWon_], Table2[GameIsOver],1,Table2[AwayTeam],$A46, Table2[HomeTeam], U$36, Table2[ActualResult], "SO") + SUMIFS(Table2[AwayWon], Table2[GameIsOver],1,Table2[HomeTeam],$A46, Table2[AwayTeam], U$36, Table2[ActualResult], "SO")) / (2*(SUMIFS(Table2[AwayWon], Table2[GameIsOver],1,Table2[AwayTeam],$A46, Table2[HomeTeam], U$36) + SUMIFS(Table2[HomeWon_], Table2[GameIsOver],1,Table2[HomeTeam],$A46, Table2[AwayTeam], U$36) + SUMIFS(Table2[HomeWon_], Table2[GameIsOver],1,Table2[AwayTeam],$A46, Table2[HomeTeam], U$36, Table2[ActualResult], "REG") + SUMIFS(Table2[AwayWon], Table2[GameIsOver],1,Table2[HomeTeam],$A46, Table2[AwayTeam], U$36, Table2[ActualResult], "REG") + SUMIFS(Table2[HomeWon_], Table2[GameIsOver],1,Table2[AwayTeam],$A46, Table2[HomeTeam], U$36, Table2[ActualResult], "OT") + SUMIFS(Table2[AwayWon], Table2[GameIsOver],1,Table2[HomeTeam],$A46, Table2[AwayTeam], U$36, Table2[ActualResult], "OT") + SUMIFS(Table2[HomeWon_], Table2[GameIsOver],1,Table2[AwayTeam],$A46, Table2[HomeTeam], U$36, Table2[ActualResult], "SO") + SUMIFS(Table2[AwayWon], Table2[GameIsOver],1,Table2[HomeTeam],$A46, Table2[AwayTeam], U$36, Table2[ActualResult], "SO"))), "")</f>
        <v/>
      </c>
      <c r="V46" t="str">
        <f>IFERROR(((2*SUMIFS(Table2[AwayWon], Table2[GameIsOver],1,Table2[AwayTeam],$A46, Table2[HomeTeam], V$36) + SUMIFS(Table2[HomeWon_], Table2[GameIsOver],1,Table2[HomeTeam],$A46, Table2[AwayTeam], V$36)) + SUMIFS(Table2[AwayWon], Table2[GameIsOver],1,Table2[HomeTeam],$A46, Table2[AwayTeam], V$36, Table2[ActualResult], "REG") + SUMIFS(Table2[HomeWon_], Table2[GameIsOver],1,Table2[AwayTeam],$A46, Table2[HomeTeam], V$36, Table2[ActualResult], "OT") + SUMIFS(Table2[AwayWon], Table2[GameIsOver],1,Table2[HomeTeam],$A46, Table2[AwayTeam], V$36, Table2[ActualResult], "OT") + SUMIFS(Table2[HomeWon_], Table2[GameIsOver],1,Table2[AwayTeam],$A46, Table2[HomeTeam], V$36, Table2[ActualResult], "SO") + SUMIFS(Table2[AwayWon], Table2[GameIsOver],1,Table2[HomeTeam],$A46, Table2[AwayTeam], V$36, Table2[ActualResult], "SO")) / (2*(SUMIFS(Table2[AwayWon], Table2[GameIsOver],1,Table2[AwayTeam],$A46, Table2[HomeTeam], V$36) + SUMIFS(Table2[HomeWon_], Table2[GameIsOver],1,Table2[HomeTeam],$A46, Table2[AwayTeam], V$36) + SUMIFS(Table2[HomeWon_], Table2[GameIsOver],1,Table2[AwayTeam],$A46, Table2[HomeTeam], V$36, Table2[ActualResult], "REG") + SUMIFS(Table2[AwayWon], Table2[GameIsOver],1,Table2[HomeTeam],$A46, Table2[AwayTeam], V$36, Table2[ActualResult], "REG") + SUMIFS(Table2[HomeWon_], Table2[GameIsOver],1,Table2[AwayTeam],$A46, Table2[HomeTeam], V$36, Table2[ActualResult], "OT") + SUMIFS(Table2[AwayWon], Table2[GameIsOver],1,Table2[HomeTeam],$A46, Table2[AwayTeam], V$36, Table2[ActualResult], "OT") + SUMIFS(Table2[HomeWon_], Table2[GameIsOver],1,Table2[AwayTeam],$A46, Table2[HomeTeam], V$36, Table2[ActualResult], "SO") + SUMIFS(Table2[AwayWon], Table2[GameIsOver],1,Table2[HomeTeam],$A46, Table2[AwayTeam], V$36, Table2[ActualResult], "SO"))), "")</f>
        <v/>
      </c>
      <c r="W46" t="str">
        <f>IFERROR(((2*SUMIFS(Table2[AwayWon], Table2[GameIsOver],1,Table2[AwayTeam],$A46, Table2[HomeTeam], W$36) + SUMIFS(Table2[HomeWon_], Table2[GameIsOver],1,Table2[HomeTeam],$A46, Table2[AwayTeam], W$36)) + SUMIFS(Table2[AwayWon], Table2[GameIsOver],1,Table2[HomeTeam],$A46, Table2[AwayTeam], W$36, Table2[ActualResult], "REG") + SUMIFS(Table2[HomeWon_], Table2[GameIsOver],1,Table2[AwayTeam],$A46, Table2[HomeTeam], W$36, Table2[ActualResult], "OT") + SUMIFS(Table2[AwayWon], Table2[GameIsOver],1,Table2[HomeTeam],$A46, Table2[AwayTeam], W$36, Table2[ActualResult], "OT") + SUMIFS(Table2[HomeWon_], Table2[GameIsOver],1,Table2[AwayTeam],$A46, Table2[HomeTeam], W$36, Table2[ActualResult], "SO") + SUMIFS(Table2[AwayWon], Table2[GameIsOver],1,Table2[HomeTeam],$A46, Table2[AwayTeam], W$36, Table2[ActualResult], "SO")) / (2*(SUMIFS(Table2[AwayWon], Table2[GameIsOver],1,Table2[AwayTeam],$A46, Table2[HomeTeam], W$36) + SUMIFS(Table2[HomeWon_], Table2[GameIsOver],1,Table2[HomeTeam],$A46, Table2[AwayTeam], W$36) + SUMIFS(Table2[HomeWon_], Table2[GameIsOver],1,Table2[AwayTeam],$A46, Table2[HomeTeam], W$36, Table2[ActualResult], "REG") + SUMIFS(Table2[AwayWon], Table2[GameIsOver],1,Table2[HomeTeam],$A46, Table2[AwayTeam], W$36, Table2[ActualResult], "REG") + SUMIFS(Table2[HomeWon_], Table2[GameIsOver],1,Table2[AwayTeam],$A46, Table2[HomeTeam], W$36, Table2[ActualResult], "OT") + SUMIFS(Table2[AwayWon], Table2[GameIsOver],1,Table2[HomeTeam],$A46, Table2[AwayTeam], W$36, Table2[ActualResult], "OT") + SUMIFS(Table2[HomeWon_], Table2[GameIsOver],1,Table2[AwayTeam],$A46, Table2[HomeTeam], W$36, Table2[ActualResult], "SO") + SUMIFS(Table2[AwayWon], Table2[GameIsOver],1,Table2[HomeTeam],$A46, Table2[AwayTeam], W$36, Table2[ActualResult], "SO"))), "")</f>
        <v/>
      </c>
      <c r="X46" t="str">
        <f>IFERROR(((2*SUMIFS(Table2[AwayWon], Table2[GameIsOver],1,Table2[AwayTeam],$A46, Table2[HomeTeam], X$36) + SUMIFS(Table2[HomeWon_], Table2[GameIsOver],1,Table2[HomeTeam],$A46, Table2[AwayTeam], X$36)) + SUMIFS(Table2[AwayWon], Table2[GameIsOver],1,Table2[HomeTeam],$A46, Table2[AwayTeam], X$36, Table2[ActualResult], "REG") + SUMIFS(Table2[HomeWon_], Table2[GameIsOver],1,Table2[AwayTeam],$A46, Table2[HomeTeam], X$36, Table2[ActualResult], "OT") + SUMIFS(Table2[AwayWon], Table2[GameIsOver],1,Table2[HomeTeam],$A46, Table2[AwayTeam], X$36, Table2[ActualResult], "OT") + SUMIFS(Table2[HomeWon_], Table2[GameIsOver],1,Table2[AwayTeam],$A46, Table2[HomeTeam], X$36, Table2[ActualResult], "SO") + SUMIFS(Table2[AwayWon], Table2[GameIsOver],1,Table2[HomeTeam],$A46, Table2[AwayTeam], X$36, Table2[ActualResult], "SO")) / (2*(SUMIFS(Table2[AwayWon], Table2[GameIsOver],1,Table2[AwayTeam],$A46, Table2[HomeTeam], X$36) + SUMIFS(Table2[HomeWon_], Table2[GameIsOver],1,Table2[HomeTeam],$A46, Table2[AwayTeam], X$36) + SUMIFS(Table2[HomeWon_], Table2[GameIsOver],1,Table2[AwayTeam],$A46, Table2[HomeTeam], X$36, Table2[ActualResult], "REG") + SUMIFS(Table2[AwayWon], Table2[GameIsOver],1,Table2[HomeTeam],$A46, Table2[AwayTeam], X$36, Table2[ActualResult], "REG") + SUMIFS(Table2[HomeWon_], Table2[GameIsOver],1,Table2[AwayTeam],$A46, Table2[HomeTeam], X$36, Table2[ActualResult], "OT") + SUMIFS(Table2[AwayWon], Table2[GameIsOver],1,Table2[HomeTeam],$A46, Table2[AwayTeam], X$36, Table2[ActualResult], "OT") + SUMIFS(Table2[HomeWon_], Table2[GameIsOver],1,Table2[AwayTeam],$A46, Table2[HomeTeam], X$36, Table2[ActualResult], "SO") + SUMIFS(Table2[AwayWon], Table2[GameIsOver],1,Table2[HomeTeam],$A46, Table2[AwayTeam], X$36, Table2[ActualResult], "SO"))), "")</f>
        <v/>
      </c>
      <c r="Y46" s="57" t="str">
        <f>IFERROR(((2*SUMIFS(Table2[AwayWon], Table2[GameIsOver],1,Table2[AwayTeam],$A46, Table2[HomeTeam], Y$36) + SUMIFS(Table2[HomeWon_], Table2[GameIsOver],1,Table2[HomeTeam],$A46, Table2[AwayTeam], Y$36)) + SUMIFS(Table2[AwayWon], Table2[GameIsOver],1,Table2[HomeTeam],$A46, Table2[AwayTeam], Y$36, Table2[ActualResult], "REG") + SUMIFS(Table2[HomeWon_], Table2[GameIsOver],1,Table2[AwayTeam],$A46, Table2[HomeTeam], Y$36, Table2[ActualResult], "OT") + SUMIFS(Table2[AwayWon], Table2[GameIsOver],1,Table2[HomeTeam],$A46, Table2[AwayTeam], Y$36, Table2[ActualResult], "OT") + SUMIFS(Table2[HomeWon_], Table2[GameIsOver],1,Table2[AwayTeam],$A46, Table2[HomeTeam], Y$36, Table2[ActualResult], "SO") + SUMIFS(Table2[AwayWon], Table2[GameIsOver],1,Table2[HomeTeam],$A46, Table2[AwayTeam], Y$36, Table2[ActualResult], "SO")) / (2*(SUMIFS(Table2[AwayWon], Table2[GameIsOver],1,Table2[AwayTeam],$A46, Table2[HomeTeam], Y$36) + SUMIFS(Table2[HomeWon_], Table2[GameIsOver],1,Table2[HomeTeam],$A46, Table2[AwayTeam], Y$36) + SUMIFS(Table2[HomeWon_], Table2[GameIsOver],1,Table2[AwayTeam],$A46, Table2[HomeTeam], Y$36, Table2[ActualResult], "REG") + SUMIFS(Table2[AwayWon], Table2[GameIsOver],1,Table2[HomeTeam],$A46, Table2[AwayTeam], Y$36, Table2[ActualResult], "REG") + SUMIFS(Table2[HomeWon_], Table2[GameIsOver],1,Table2[AwayTeam],$A46, Table2[HomeTeam], Y$36, Table2[ActualResult], "OT") + SUMIFS(Table2[AwayWon], Table2[GameIsOver],1,Table2[HomeTeam],$A46, Table2[AwayTeam], Y$36, Table2[ActualResult], "OT") + SUMIFS(Table2[HomeWon_], Table2[GameIsOver],1,Table2[AwayTeam],$A46, Table2[HomeTeam], Y$36, Table2[ActualResult], "SO") + SUMIFS(Table2[AwayWon], Table2[GameIsOver],1,Table2[HomeTeam],$A46, Table2[AwayTeam], Y$36, Table2[ActualResult], "SO"))), "")</f>
        <v/>
      </c>
      <c r="Z46">
        <f>IFERROR(((2*SUMIFS(Table2[AwayWon], Table2[GameIsOver],1,Table2[AwayTeam],$A46, Table2[HomeTeam], Z$36) + SUMIFS(Table2[HomeWon_], Table2[GameIsOver],1,Table2[HomeTeam],$A46, Table2[AwayTeam], Z$36)) + SUMIFS(Table2[AwayWon], Table2[GameIsOver],1,Table2[HomeTeam],$A46, Table2[AwayTeam], Z$36, Table2[ActualResult], "REG") + SUMIFS(Table2[HomeWon_], Table2[GameIsOver],1,Table2[AwayTeam],$A46, Table2[HomeTeam], Z$36, Table2[ActualResult], "OT") + SUMIFS(Table2[AwayWon], Table2[GameIsOver],1,Table2[HomeTeam],$A46, Table2[AwayTeam], Z$36, Table2[ActualResult], "OT") + SUMIFS(Table2[HomeWon_], Table2[GameIsOver],1,Table2[AwayTeam],$A46, Table2[HomeTeam], Z$36, Table2[ActualResult], "SO") + SUMIFS(Table2[AwayWon], Table2[GameIsOver],1,Table2[HomeTeam],$A46, Table2[AwayTeam], Z$36, Table2[ActualResult], "SO")) / (2*(SUMIFS(Table2[AwayWon], Table2[GameIsOver],1,Table2[AwayTeam],$A46, Table2[HomeTeam], Z$36) + SUMIFS(Table2[HomeWon_], Table2[GameIsOver],1,Table2[HomeTeam],$A46, Table2[AwayTeam], Z$36) + SUMIFS(Table2[HomeWon_], Table2[GameIsOver],1,Table2[AwayTeam],$A46, Table2[HomeTeam], Z$36, Table2[ActualResult], "REG") + SUMIFS(Table2[AwayWon], Table2[GameIsOver],1,Table2[HomeTeam],$A46, Table2[AwayTeam], Z$36, Table2[ActualResult], "REG") + SUMIFS(Table2[HomeWon_], Table2[GameIsOver],1,Table2[AwayTeam],$A46, Table2[HomeTeam], Z$36, Table2[ActualResult], "OT") + SUMIFS(Table2[AwayWon], Table2[GameIsOver],1,Table2[HomeTeam],$A46, Table2[AwayTeam], Z$36, Table2[ActualResult], "OT") + SUMIFS(Table2[HomeWon_], Table2[GameIsOver],1,Table2[AwayTeam],$A46, Table2[HomeTeam], Z$36, Table2[ActualResult], "SO") + SUMIFS(Table2[AwayWon], Table2[GameIsOver],1,Table2[HomeTeam],$A46, Table2[AwayTeam], Z$36, Table2[ActualResult], "SO"))), "")</f>
        <v>0.5</v>
      </c>
      <c r="AA46">
        <f>IFERROR(((2*SUMIFS(Table2[AwayWon], Table2[GameIsOver],1,Table2[AwayTeam],$A46, Table2[HomeTeam], AA$36) + SUMIFS(Table2[HomeWon_], Table2[GameIsOver],1,Table2[HomeTeam],$A46, Table2[AwayTeam], AA$36)) + SUMIFS(Table2[AwayWon], Table2[GameIsOver],1,Table2[HomeTeam],$A46, Table2[AwayTeam], AA$36, Table2[ActualResult], "REG") + SUMIFS(Table2[HomeWon_], Table2[GameIsOver],1,Table2[AwayTeam],$A46, Table2[HomeTeam], AA$36, Table2[ActualResult], "OT") + SUMIFS(Table2[AwayWon], Table2[GameIsOver],1,Table2[HomeTeam],$A46, Table2[AwayTeam], AA$36, Table2[ActualResult], "OT") + SUMIFS(Table2[HomeWon_], Table2[GameIsOver],1,Table2[AwayTeam],$A46, Table2[HomeTeam], AA$36, Table2[ActualResult], "SO") + SUMIFS(Table2[AwayWon], Table2[GameIsOver],1,Table2[HomeTeam],$A46, Table2[AwayTeam], AA$36, Table2[ActualResult], "SO")) / (2*(SUMIFS(Table2[AwayWon], Table2[GameIsOver],1,Table2[AwayTeam],$A46, Table2[HomeTeam], AA$36) + SUMIFS(Table2[HomeWon_], Table2[GameIsOver],1,Table2[HomeTeam],$A46, Table2[AwayTeam], AA$36) + SUMIFS(Table2[HomeWon_], Table2[GameIsOver],1,Table2[AwayTeam],$A46, Table2[HomeTeam], AA$36, Table2[ActualResult], "REG") + SUMIFS(Table2[AwayWon], Table2[GameIsOver],1,Table2[HomeTeam],$A46, Table2[AwayTeam], AA$36, Table2[ActualResult], "REG") + SUMIFS(Table2[HomeWon_], Table2[GameIsOver],1,Table2[AwayTeam],$A46, Table2[HomeTeam], AA$36, Table2[ActualResult], "OT") + SUMIFS(Table2[AwayWon], Table2[GameIsOver],1,Table2[HomeTeam],$A46, Table2[AwayTeam], AA$36, Table2[ActualResult], "OT") + SUMIFS(Table2[HomeWon_], Table2[GameIsOver],1,Table2[AwayTeam],$A46, Table2[HomeTeam], AA$36, Table2[ActualResult], "SO") + SUMIFS(Table2[AwayWon], Table2[GameIsOver],1,Table2[HomeTeam],$A46, Table2[AwayTeam], AA$36, Table2[ActualResult], "SO"))), "")</f>
        <v>1</v>
      </c>
      <c r="AB46" t="str">
        <f>IFERROR(((2*SUMIFS(Table2[AwayWon], Table2[GameIsOver],1,Table2[AwayTeam],$A46, Table2[HomeTeam], AB$36) + SUMIFS(Table2[HomeWon_], Table2[GameIsOver],1,Table2[HomeTeam],$A46, Table2[AwayTeam], AB$36)) + SUMIFS(Table2[AwayWon], Table2[GameIsOver],1,Table2[HomeTeam],$A46, Table2[AwayTeam], AB$36, Table2[ActualResult], "REG") + SUMIFS(Table2[HomeWon_], Table2[GameIsOver],1,Table2[AwayTeam],$A46, Table2[HomeTeam], AB$36, Table2[ActualResult], "OT") + SUMIFS(Table2[AwayWon], Table2[GameIsOver],1,Table2[HomeTeam],$A46, Table2[AwayTeam], AB$36, Table2[ActualResult], "OT") + SUMIFS(Table2[HomeWon_], Table2[GameIsOver],1,Table2[AwayTeam],$A46, Table2[HomeTeam], AB$36, Table2[ActualResult], "SO") + SUMIFS(Table2[AwayWon], Table2[GameIsOver],1,Table2[HomeTeam],$A46, Table2[AwayTeam], AB$36, Table2[ActualResult], "SO")) / (2*(SUMIFS(Table2[AwayWon], Table2[GameIsOver],1,Table2[AwayTeam],$A46, Table2[HomeTeam], AB$36) + SUMIFS(Table2[HomeWon_], Table2[GameIsOver],1,Table2[HomeTeam],$A46, Table2[AwayTeam], AB$36) + SUMIFS(Table2[HomeWon_], Table2[GameIsOver],1,Table2[AwayTeam],$A46, Table2[HomeTeam], AB$36, Table2[ActualResult], "REG") + SUMIFS(Table2[AwayWon], Table2[GameIsOver],1,Table2[HomeTeam],$A46, Table2[AwayTeam], AB$36, Table2[ActualResult], "REG") + SUMIFS(Table2[HomeWon_], Table2[GameIsOver],1,Table2[AwayTeam],$A46, Table2[HomeTeam], AB$36, Table2[ActualResult], "OT") + SUMIFS(Table2[AwayWon], Table2[GameIsOver],1,Table2[HomeTeam],$A46, Table2[AwayTeam], AB$36, Table2[ActualResult], "OT") + SUMIFS(Table2[HomeWon_], Table2[GameIsOver],1,Table2[AwayTeam],$A46, Table2[HomeTeam], AB$36, Table2[ActualResult], "SO") + SUMIFS(Table2[AwayWon], Table2[GameIsOver],1,Table2[HomeTeam],$A46, Table2[AwayTeam], AB$36, Table2[ActualResult], "SO"))), "")</f>
        <v/>
      </c>
      <c r="AC46" t="str">
        <f>IFERROR(((2*SUMIFS(Table2[AwayWon], Table2[GameIsOver],1,Table2[AwayTeam],$A46, Table2[HomeTeam], AC$36) + SUMIFS(Table2[HomeWon_], Table2[GameIsOver],1,Table2[HomeTeam],$A46, Table2[AwayTeam], AC$36)) + SUMIFS(Table2[AwayWon], Table2[GameIsOver],1,Table2[HomeTeam],$A46, Table2[AwayTeam], AC$36, Table2[ActualResult], "REG") + SUMIFS(Table2[HomeWon_], Table2[GameIsOver],1,Table2[AwayTeam],$A46, Table2[HomeTeam], AC$36, Table2[ActualResult], "OT") + SUMIFS(Table2[AwayWon], Table2[GameIsOver],1,Table2[HomeTeam],$A46, Table2[AwayTeam], AC$36, Table2[ActualResult], "OT") + SUMIFS(Table2[HomeWon_], Table2[GameIsOver],1,Table2[AwayTeam],$A46, Table2[HomeTeam], AC$36, Table2[ActualResult], "SO") + SUMIFS(Table2[AwayWon], Table2[GameIsOver],1,Table2[HomeTeam],$A46, Table2[AwayTeam], AC$36, Table2[ActualResult], "SO")) / (2*(SUMIFS(Table2[AwayWon], Table2[GameIsOver],1,Table2[AwayTeam],$A46, Table2[HomeTeam], AC$36) + SUMIFS(Table2[HomeWon_], Table2[GameIsOver],1,Table2[HomeTeam],$A46, Table2[AwayTeam], AC$36) + SUMIFS(Table2[HomeWon_], Table2[GameIsOver],1,Table2[AwayTeam],$A46, Table2[HomeTeam], AC$36, Table2[ActualResult], "REG") + SUMIFS(Table2[AwayWon], Table2[GameIsOver],1,Table2[HomeTeam],$A46, Table2[AwayTeam], AC$36, Table2[ActualResult], "REG") + SUMIFS(Table2[HomeWon_], Table2[GameIsOver],1,Table2[AwayTeam],$A46, Table2[HomeTeam], AC$36, Table2[ActualResult], "OT") + SUMIFS(Table2[AwayWon], Table2[GameIsOver],1,Table2[HomeTeam],$A46, Table2[AwayTeam], AC$36, Table2[ActualResult], "OT") + SUMIFS(Table2[HomeWon_], Table2[GameIsOver],1,Table2[AwayTeam],$A46, Table2[HomeTeam], AC$36, Table2[ActualResult], "SO") + SUMIFS(Table2[AwayWon], Table2[GameIsOver],1,Table2[HomeTeam],$A46, Table2[AwayTeam], AC$36, Table2[ActualResult], "SO"))), "")</f>
        <v/>
      </c>
      <c r="AD46" t="str">
        <f>IFERROR(((2*SUMIFS(Table2[AwayWon], Table2[GameIsOver],1,Table2[AwayTeam],$A46, Table2[HomeTeam], AD$36) + SUMIFS(Table2[HomeWon_], Table2[GameIsOver],1,Table2[HomeTeam],$A46, Table2[AwayTeam], AD$36)) + SUMIFS(Table2[AwayWon], Table2[GameIsOver],1,Table2[HomeTeam],$A46, Table2[AwayTeam], AD$36, Table2[ActualResult], "REG") + SUMIFS(Table2[HomeWon_], Table2[GameIsOver],1,Table2[AwayTeam],$A46, Table2[HomeTeam], AD$36, Table2[ActualResult], "OT") + SUMIFS(Table2[AwayWon], Table2[GameIsOver],1,Table2[HomeTeam],$A46, Table2[AwayTeam], AD$36, Table2[ActualResult], "OT") + SUMIFS(Table2[HomeWon_], Table2[GameIsOver],1,Table2[AwayTeam],$A46, Table2[HomeTeam], AD$36, Table2[ActualResult], "SO") + SUMIFS(Table2[AwayWon], Table2[GameIsOver],1,Table2[HomeTeam],$A46, Table2[AwayTeam], AD$36, Table2[ActualResult], "SO")) / (2*(SUMIFS(Table2[AwayWon], Table2[GameIsOver],1,Table2[AwayTeam],$A46, Table2[HomeTeam], AD$36) + SUMIFS(Table2[HomeWon_], Table2[GameIsOver],1,Table2[HomeTeam],$A46, Table2[AwayTeam], AD$36) + SUMIFS(Table2[HomeWon_], Table2[GameIsOver],1,Table2[AwayTeam],$A46, Table2[HomeTeam], AD$36, Table2[ActualResult], "REG") + SUMIFS(Table2[AwayWon], Table2[GameIsOver],1,Table2[HomeTeam],$A46, Table2[AwayTeam], AD$36, Table2[ActualResult], "REG") + SUMIFS(Table2[HomeWon_], Table2[GameIsOver],1,Table2[AwayTeam],$A46, Table2[HomeTeam], AD$36, Table2[ActualResult], "OT") + SUMIFS(Table2[AwayWon], Table2[GameIsOver],1,Table2[HomeTeam],$A46, Table2[AwayTeam], AD$36, Table2[ActualResult], "OT") + SUMIFS(Table2[HomeWon_], Table2[GameIsOver],1,Table2[AwayTeam],$A46, Table2[HomeTeam], AD$36, Table2[ActualResult], "SO") + SUMIFS(Table2[AwayWon], Table2[GameIsOver],1,Table2[HomeTeam],$A46, Table2[AwayTeam], AD$36, Table2[ActualResult], "SO"))), "")</f>
        <v/>
      </c>
      <c r="AE46" t="str">
        <f>IFERROR(((2*SUMIFS(Table2[AwayWon], Table2[GameIsOver],1,Table2[AwayTeam],$A46, Table2[HomeTeam], AE$36) + SUMIFS(Table2[HomeWon_], Table2[GameIsOver],1,Table2[HomeTeam],$A46, Table2[AwayTeam], AE$36)) + SUMIFS(Table2[AwayWon], Table2[GameIsOver],1,Table2[HomeTeam],$A46, Table2[AwayTeam], AE$36, Table2[ActualResult], "REG") + SUMIFS(Table2[HomeWon_], Table2[GameIsOver],1,Table2[AwayTeam],$A46, Table2[HomeTeam], AE$36, Table2[ActualResult], "OT") + SUMIFS(Table2[AwayWon], Table2[GameIsOver],1,Table2[HomeTeam],$A46, Table2[AwayTeam], AE$36, Table2[ActualResult], "OT") + SUMIFS(Table2[HomeWon_], Table2[GameIsOver],1,Table2[AwayTeam],$A46, Table2[HomeTeam], AE$36, Table2[ActualResult], "SO") + SUMIFS(Table2[AwayWon], Table2[GameIsOver],1,Table2[HomeTeam],$A46, Table2[AwayTeam], AE$36, Table2[ActualResult], "SO")) / (2*(SUMIFS(Table2[AwayWon], Table2[GameIsOver],1,Table2[AwayTeam],$A46, Table2[HomeTeam], AE$36) + SUMIFS(Table2[HomeWon_], Table2[GameIsOver],1,Table2[HomeTeam],$A46, Table2[AwayTeam], AE$36) + SUMIFS(Table2[HomeWon_], Table2[GameIsOver],1,Table2[AwayTeam],$A46, Table2[HomeTeam], AE$36, Table2[ActualResult], "REG") + SUMIFS(Table2[AwayWon], Table2[GameIsOver],1,Table2[HomeTeam],$A46, Table2[AwayTeam], AE$36, Table2[ActualResult], "REG") + SUMIFS(Table2[HomeWon_], Table2[GameIsOver],1,Table2[AwayTeam],$A46, Table2[HomeTeam], AE$36, Table2[ActualResult], "OT") + SUMIFS(Table2[AwayWon], Table2[GameIsOver],1,Table2[HomeTeam],$A46, Table2[AwayTeam], AE$36, Table2[ActualResult], "OT") + SUMIFS(Table2[HomeWon_], Table2[GameIsOver],1,Table2[AwayTeam],$A46, Table2[HomeTeam], AE$36, Table2[ActualResult], "SO") + SUMIFS(Table2[AwayWon], Table2[GameIsOver],1,Table2[HomeTeam],$A46, Table2[AwayTeam], AE$36, Table2[ActualResult], "SO"))), "")</f>
        <v/>
      </c>
      <c r="AF46" t="str">
        <f>IFERROR(((2*SUMIFS(Table2[AwayWon], Table2[GameIsOver],1,Table2[AwayTeam],$A46, Table2[HomeTeam], AF$36) + SUMIFS(Table2[HomeWon_], Table2[GameIsOver],1,Table2[HomeTeam],$A46, Table2[AwayTeam], AF$36)) + SUMIFS(Table2[AwayWon], Table2[GameIsOver],1,Table2[HomeTeam],$A46, Table2[AwayTeam], AF$36, Table2[ActualResult], "REG") + SUMIFS(Table2[HomeWon_], Table2[GameIsOver],1,Table2[AwayTeam],$A46, Table2[HomeTeam], AF$36, Table2[ActualResult], "OT") + SUMIFS(Table2[AwayWon], Table2[GameIsOver],1,Table2[HomeTeam],$A46, Table2[AwayTeam], AF$36, Table2[ActualResult], "OT") + SUMIFS(Table2[HomeWon_], Table2[GameIsOver],1,Table2[AwayTeam],$A46, Table2[HomeTeam], AF$36, Table2[ActualResult], "SO") + SUMIFS(Table2[AwayWon], Table2[GameIsOver],1,Table2[HomeTeam],$A46, Table2[AwayTeam], AF$36, Table2[ActualResult], "SO")) / (2*(SUMIFS(Table2[AwayWon], Table2[GameIsOver],1,Table2[AwayTeam],$A46, Table2[HomeTeam], AF$36) + SUMIFS(Table2[HomeWon_], Table2[GameIsOver],1,Table2[HomeTeam],$A46, Table2[AwayTeam], AF$36) + SUMIFS(Table2[HomeWon_], Table2[GameIsOver],1,Table2[AwayTeam],$A46, Table2[HomeTeam], AF$36, Table2[ActualResult], "REG") + SUMIFS(Table2[AwayWon], Table2[GameIsOver],1,Table2[HomeTeam],$A46, Table2[AwayTeam], AF$36, Table2[ActualResult], "REG") + SUMIFS(Table2[HomeWon_], Table2[GameIsOver],1,Table2[AwayTeam],$A46, Table2[HomeTeam], AF$36, Table2[ActualResult], "OT") + SUMIFS(Table2[AwayWon], Table2[GameIsOver],1,Table2[HomeTeam],$A46, Table2[AwayTeam], AF$36, Table2[ActualResult], "OT") + SUMIFS(Table2[HomeWon_], Table2[GameIsOver],1,Table2[AwayTeam],$A46, Table2[HomeTeam], AF$36, Table2[ActualResult], "SO") + SUMIFS(Table2[AwayWon], Table2[GameIsOver],1,Table2[HomeTeam],$A46, Table2[AwayTeam], AF$36, Table2[ActualResult], "SO"))), "")</f>
        <v/>
      </c>
      <c r="AG46" s="57" t="str">
        <f>IFERROR(((2*SUMIFS(Table2[AwayWon], Table2[GameIsOver],1,Table2[AwayTeam],$A46, Table2[HomeTeam], AG$36) + SUMIFS(Table2[HomeWon_], Table2[GameIsOver],1,Table2[HomeTeam],$A46, Table2[AwayTeam], AG$36)) + SUMIFS(Table2[AwayWon], Table2[GameIsOver],1,Table2[HomeTeam],$A46, Table2[AwayTeam], AG$36, Table2[ActualResult], "REG") + SUMIFS(Table2[HomeWon_], Table2[GameIsOver],1,Table2[AwayTeam],$A46, Table2[HomeTeam], AG$36, Table2[ActualResult], "OT") + SUMIFS(Table2[AwayWon], Table2[GameIsOver],1,Table2[HomeTeam],$A46, Table2[AwayTeam], AG$36, Table2[ActualResult], "OT") + SUMIFS(Table2[HomeWon_], Table2[GameIsOver],1,Table2[AwayTeam],$A46, Table2[HomeTeam], AG$36, Table2[ActualResult], "SO") + SUMIFS(Table2[AwayWon], Table2[GameIsOver],1,Table2[HomeTeam],$A46, Table2[AwayTeam], AG$36, Table2[ActualResult], "SO")) / (2*(SUMIFS(Table2[AwayWon], Table2[GameIsOver],1,Table2[AwayTeam],$A46, Table2[HomeTeam], AG$36) + SUMIFS(Table2[HomeWon_], Table2[GameIsOver],1,Table2[HomeTeam],$A46, Table2[AwayTeam], AG$36) + SUMIFS(Table2[HomeWon_], Table2[GameIsOver],1,Table2[AwayTeam],$A46, Table2[HomeTeam], AG$36, Table2[ActualResult], "REG") + SUMIFS(Table2[AwayWon], Table2[GameIsOver],1,Table2[HomeTeam],$A46, Table2[AwayTeam], AG$36, Table2[ActualResult], "REG") + SUMIFS(Table2[HomeWon_], Table2[GameIsOver],1,Table2[AwayTeam],$A46, Table2[HomeTeam], AG$36, Table2[ActualResult], "OT") + SUMIFS(Table2[AwayWon], Table2[GameIsOver],1,Table2[HomeTeam],$A46, Table2[AwayTeam], AG$36, Table2[ActualResult], "OT") + SUMIFS(Table2[HomeWon_], Table2[GameIsOver],1,Table2[AwayTeam],$A46, Table2[HomeTeam], AG$36, Table2[ActualResult], "SO") + SUMIFS(Table2[AwayWon], Table2[GameIsOver],1,Table2[HomeTeam],$A46, Table2[AwayTeam], AG$36, Table2[ActualResult], "SO"))), "")</f>
        <v/>
      </c>
      <c r="AH46" s="101">
        <f t="shared" si="0"/>
        <v>0.83333333333333337</v>
      </c>
      <c r="AI46" s="101">
        <f t="shared" si="1"/>
        <v>0.66666666666666663</v>
      </c>
      <c r="AJ46" s="103">
        <f t="shared" si="2"/>
        <v>0.75</v>
      </c>
      <c r="AK46" s="103">
        <f t="shared" si="3"/>
        <v>1</v>
      </c>
      <c r="AL46" s="103">
        <f t="shared" si="4"/>
        <v>0.5</v>
      </c>
      <c r="AM46" s="103">
        <f t="shared" si="5"/>
        <v>1</v>
      </c>
    </row>
    <row r="47" spans="1:39" x14ac:dyDescent="0.25">
      <c r="A47" s="57" t="s">
        <v>33</v>
      </c>
      <c r="B47" s="24" t="str">
        <f>IFERROR(((2*SUMIFS(Table2[AwayWon], Table2[GameIsOver],1,Table2[AwayTeam],$A47, Table2[HomeTeam], B$36) + SUMIFS(Table2[HomeWon_], Table2[GameIsOver],1,Table2[HomeTeam],$A47, Table2[AwayTeam], B$36)) + SUMIFS(Table2[AwayWon], Table2[GameIsOver],1,Table2[HomeTeam],$A47, Table2[AwayTeam], B$36, Table2[ActualResult], "REG") + SUMIFS(Table2[HomeWon_], Table2[GameIsOver],1,Table2[AwayTeam],$A47, Table2[HomeTeam], B$36, Table2[ActualResult], "OT") + SUMIFS(Table2[AwayWon], Table2[GameIsOver],1,Table2[HomeTeam],$A47, Table2[AwayTeam], B$36, Table2[ActualResult], "OT") + SUMIFS(Table2[HomeWon_], Table2[GameIsOver],1,Table2[AwayTeam],$A47, Table2[HomeTeam], B$36, Table2[ActualResult], "SO") + SUMIFS(Table2[AwayWon], Table2[GameIsOver],1,Table2[HomeTeam],$A47, Table2[AwayTeam], B$36, Table2[ActualResult], "SO")) / (2*(SUMIFS(Table2[AwayWon], Table2[GameIsOver],1,Table2[AwayTeam],$A47, Table2[HomeTeam], B$36) + SUMIFS(Table2[HomeWon_], Table2[GameIsOver],1,Table2[HomeTeam],$A47, Table2[AwayTeam], B$36) + SUMIFS(Table2[HomeWon_], Table2[GameIsOver],1,Table2[AwayTeam],$A47, Table2[HomeTeam], B$36, Table2[ActualResult], "REG") + SUMIFS(Table2[AwayWon], Table2[GameIsOver],1,Table2[HomeTeam],$A47, Table2[AwayTeam], B$36, Table2[ActualResult], "REG") + SUMIFS(Table2[HomeWon_], Table2[GameIsOver],1,Table2[AwayTeam],$A47, Table2[HomeTeam], B$36, Table2[ActualResult], "OT") + SUMIFS(Table2[AwayWon], Table2[GameIsOver],1,Table2[HomeTeam],$A47, Table2[AwayTeam], B$36, Table2[ActualResult], "OT") + SUMIFS(Table2[HomeWon_], Table2[GameIsOver],1,Table2[AwayTeam],$A47, Table2[HomeTeam], B$36, Table2[ActualResult], "SO") + SUMIFS(Table2[AwayWon], Table2[GameIsOver],1,Table2[HomeTeam],$A47, Table2[AwayTeam], B$36, Table2[ActualResult], "SO"))), "")</f>
        <v/>
      </c>
      <c r="C47" s="24" t="str">
        <f>IFERROR(((2*SUMIFS(Table2[AwayWon], Table2[GameIsOver],1,Table2[AwayTeam],$A47, Table2[HomeTeam], C$36) + SUMIFS(Table2[HomeWon_], Table2[GameIsOver],1,Table2[HomeTeam],$A47, Table2[AwayTeam], C$36)) + SUMIFS(Table2[AwayWon], Table2[GameIsOver],1,Table2[HomeTeam],$A47, Table2[AwayTeam], C$36, Table2[ActualResult], "REG") + SUMIFS(Table2[HomeWon_], Table2[GameIsOver],1,Table2[AwayTeam],$A47, Table2[HomeTeam], C$36, Table2[ActualResult], "OT") + SUMIFS(Table2[AwayWon], Table2[GameIsOver],1,Table2[HomeTeam],$A47, Table2[AwayTeam], C$36, Table2[ActualResult], "OT") + SUMIFS(Table2[HomeWon_], Table2[GameIsOver],1,Table2[AwayTeam],$A47, Table2[HomeTeam], C$36, Table2[ActualResult], "SO") + SUMIFS(Table2[AwayWon], Table2[GameIsOver],1,Table2[HomeTeam],$A47, Table2[AwayTeam], C$36, Table2[ActualResult], "SO")) / (2*(SUMIFS(Table2[AwayWon], Table2[GameIsOver],1,Table2[AwayTeam],$A47, Table2[HomeTeam], C$36) + SUMIFS(Table2[HomeWon_], Table2[GameIsOver],1,Table2[HomeTeam],$A47, Table2[AwayTeam], C$36) + SUMIFS(Table2[HomeWon_], Table2[GameIsOver],1,Table2[AwayTeam],$A47, Table2[HomeTeam], C$36, Table2[ActualResult], "REG") + SUMIFS(Table2[AwayWon], Table2[GameIsOver],1,Table2[HomeTeam],$A47, Table2[AwayTeam], C$36, Table2[ActualResult], "REG") + SUMIFS(Table2[HomeWon_], Table2[GameIsOver],1,Table2[AwayTeam],$A47, Table2[HomeTeam], C$36, Table2[ActualResult], "OT") + SUMIFS(Table2[AwayWon], Table2[GameIsOver],1,Table2[HomeTeam],$A47, Table2[AwayTeam], C$36, Table2[ActualResult], "OT") + SUMIFS(Table2[HomeWon_], Table2[GameIsOver],1,Table2[AwayTeam],$A47, Table2[HomeTeam], C$36, Table2[ActualResult], "SO") + SUMIFS(Table2[AwayWon], Table2[GameIsOver],1,Table2[HomeTeam],$A47, Table2[AwayTeam], C$36, Table2[ActualResult], "SO"))), "")</f>
        <v/>
      </c>
      <c r="D47" t="str">
        <f>IFERROR(((2*SUMIFS(Table2[AwayWon], Table2[GameIsOver],1,Table2[AwayTeam],$A47, Table2[HomeTeam], D$36) + SUMIFS(Table2[HomeWon_], Table2[GameIsOver],1,Table2[HomeTeam],$A47, Table2[AwayTeam], D$36)) + SUMIFS(Table2[AwayWon], Table2[GameIsOver],1,Table2[HomeTeam],$A47, Table2[AwayTeam], D$36, Table2[ActualResult], "REG") + SUMIFS(Table2[HomeWon_], Table2[GameIsOver],1,Table2[AwayTeam],$A47, Table2[HomeTeam], D$36, Table2[ActualResult], "OT") + SUMIFS(Table2[AwayWon], Table2[GameIsOver],1,Table2[HomeTeam],$A47, Table2[AwayTeam], D$36, Table2[ActualResult], "OT") + SUMIFS(Table2[HomeWon_], Table2[GameIsOver],1,Table2[AwayTeam],$A47, Table2[HomeTeam], D$36, Table2[ActualResult], "SO") + SUMIFS(Table2[AwayWon], Table2[GameIsOver],1,Table2[HomeTeam],$A47, Table2[AwayTeam], D$36, Table2[ActualResult], "SO")) / (2*(SUMIFS(Table2[AwayWon], Table2[GameIsOver],1,Table2[AwayTeam],$A47, Table2[HomeTeam], D$36) + SUMIFS(Table2[HomeWon_], Table2[GameIsOver],1,Table2[HomeTeam],$A47, Table2[AwayTeam], D$36) + SUMIFS(Table2[HomeWon_], Table2[GameIsOver],1,Table2[AwayTeam],$A47, Table2[HomeTeam], D$36, Table2[ActualResult], "REG") + SUMIFS(Table2[AwayWon], Table2[GameIsOver],1,Table2[HomeTeam],$A47, Table2[AwayTeam], D$36, Table2[ActualResult], "REG") + SUMIFS(Table2[HomeWon_], Table2[GameIsOver],1,Table2[AwayTeam],$A47, Table2[HomeTeam], D$36, Table2[ActualResult], "OT") + SUMIFS(Table2[AwayWon], Table2[GameIsOver],1,Table2[HomeTeam],$A47, Table2[AwayTeam], D$36, Table2[ActualResult], "OT") + SUMIFS(Table2[HomeWon_], Table2[GameIsOver],1,Table2[AwayTeam],$A47, Table2[HomeTeam], D$36, Table2[ActualResult], "SO") + SUMIFS(Table2[AwayWon], Table2[GameIsOver],1,Table2[HomeTeam],$A47, Table2[AwayTeam], D$36, Table2[ActualResult], "SO"))), "")</f>
        <v/>
      </c>
      <c r="E47" t="str">
        <f>IFERROR(((2*SUMIFS(Table2[AwayWon], Table2[GameIsOver],1,Table2[AwayTeam],$A47, Table2[HomeTeam], E$36) + SUMIFS(Table2[HomeWon_], Table2[GameIsOver],1,Table2[HomeTeam],$A47, Table2[AwayTeam], E$36)) + SUMIFS(Table2[AwayWon], Table2[GameIsOver],1,Table2[HomeTeam],$A47, Table2[AwayTeam], E$36, Table2[ActualResult], "REG") + SUMIFS(Table2[HomeWon_], Table2[GameIsOver],1,Table2[AwayTeam],$A47, Table2[HomeTeam], E$36, Table2[ActualResult], "OT") + SUMIFS(Table2[AwayWon], Table2[GameIsOver],1,Table2[HomeTeam],$A47, Table2[AwayTeam], E$36, Table2[ActualResult], "OT") + SUMIFS(Table2[HomeWon_], Table2[GameIsOver],1,Table2[AwayTeam],$A47, Table2[HomeTeam], E$36, Table2[ActualResult], "SO") + SUMIFS(Table2[AwayWon], Table2[GameIsOver],1,Table2[HomeTeam],$A47, Table2[AwayTeam], E$36, Table2[ActualResult], "SO")) / (2*(SUMIFS(Table2[AwayWon], Table2[GameIsOver],1,Table2[AwayTeam],$A47, Table2[HomeTeam], E$36) + SUMIFS(Table2[HomeWon_], Table2[GameIsOver],1,Table2[HomeTeam],$A47, Table2[AwayTeam], E$36) + SUMIFS(Table2[HomeWon_], Table2[GameIsOver],1,Table2[AwayTeam],$A47, Table2[HomeTeam], E$36, Table2[ActualResult], "REG") + SUMIFS(Table2[AwayWon], Table2[GameIsOver],1,Table2[HomeTeam],$A47, Table2[AwayTeam], E$36, Table2[ActualResult], "REG") + SUMIFS(Table2[HomeWon_], Table2[GameIsOver],1,Table2[AwayTeam],$A47, Table2[HomeTeam], E$36, Table2[ActualResult], "OT") + SUMIFS(Table2[AwayWon], Table2[GameIsOver],1,Table2[HomeTeam],$A47, Table2[AwayTeam], E$36, Table2[ActualResult], "OT") + SUMIFS(Table2[HomeWon_], Table2[GameIsOver],1,Table2[AwayTeam],$A47, Table2[HomeTeam], E$36, Table2[ActualResult], "SO") + SUMIFS(Table2[AwayWon], Table2[GameIsOver],1,Table2[HomeTeam],$A47, Table2[AwayTeam], E$36, Table2[ActualResult], "SO"))), "")</f>
        <v/>
      </c>
      <c r="F47" t="str">
        <f>IFERROR(((2*SUMIFS(Table2[AwayWon], Table2[GameIsOver],1,Table2[AwayTeam],$A47, Table2[HomeTeam], F$36) + SUMIFS(Table2[HomeWon_], Table2[GameIsOver],1,Table2[HomeTeam],$A47, Table2[AwayTeam], F$36)) + SUMIFS(Table2[AwayWon], Table2[GameIsOver],1,Table2[HomeTeam],$A47, Table2[AwayTeam], F$36, Table2[ActualResult], "REG") + SUMIFS(Table2[HomeWon_], Table2[GameIsOver],1,Table2[AwayTeam],$A47, Table2[HomeTeam], F$36, Table2[ActualResult], "OT") + SUMIFS(Table2[AwayWon], Table2[GameIsOver],1,Table2[HomeTeam],$A47, Table2[AwayTeam], F$36, Table2[ActualResult], "OT") + SUMIFS(Table2[HomeWon_], Table2[GameIsOver],1,Table2[AwayTeam],$A47, Table2[HomeTeam], F$36, Table2[ActualResult], "SO") + SUMIFS(Table2[AwayWon], Table2[GameIsOver],1,Table2[HomeTeam],$A47, Table2[AwayTeam], F$36, Table2[ActualResult], "SO")) / (2*(SUMIFS(Table2[AwayWon], Table2[GameIsOver],1,Table2[AwayTeam],$A47, Table2[HomeTeam], F$36) + SUMIFS(Table2[HomeWon_], Table2[GameIsOver],1,Table2[HomeTeam],$A47, Table2[AwayTeam], F$36) + SUMIFS(Table2[HomeWon_], Table2[GameIsOver],1,Table2[AwayTeam],$A47, Table2[HomeTeam], F$36, Table2[ActualResult], "REG") + SUMIFS(Table2[AwayWon], Table2[GameIsOver],1,Table2[HomeTeam],$A47, Table2[AwayTeam], F$36, Table2[ActualResult], "REG") + SUMIFS(Table2[HomeWon_], Table2[GameIsOver],1,Table2[AwayTeam],$A47, Table2[HomeTeam], F$36, Table2[ActualResult], "OT") + SUMIFS(Table2[AwayWon], Table2[GameIsOver],1,Table2[HomeTeam],$A47, Table2[AwayTeam], F$36, Table2[ActualResult], "OT") + SUMIFS(Table2[HomeWon_], Table2[GameIsOver],1,Table2[AwayTeam],$A47, Table2[HomeTeam], F$36, Table2[ActualResult], "SO") + SUMIFS(Table2[AwayWon], Table2[GameIsOver],1,Table2[HomeTeam],$A47, Table2[AwayTeam], F$36, Table2[ActualResult], "SO"))), "")</f>
        <v/>
      </c>
      <c r="G47" t="str">
        <f>IFERROR(((2*SUMIFS(Table2[AwayWon], Table2[GameIsOver],1,Table2[AwayTeam],$A47, Table2[HomeTeam], G$36) + SUMIFS(Table2[HomeWon_], Table2[GameIsOver],1,Table2[HomeTeam],$A47, Table2[AwayTeam], G$36)) + SUMIFS(Table2[AwayWon], Table2[GameIsOver],1,Table2[HomeTeam],$A47, Table2[AwayTeam], G$36, Table2[ActualResult], "REG") + SUMIFS(Table2[HomeWon_], Table2[GameIsOver],1,Table2[AwayTeam],$A47, Table2[HomeTeam], G$36, Table2[ActualResult], "OT") + SUMIFS(Table2[AwayWon], Table2[GameIsOver],1,Table2[HomeTeam],$A47, Table2[AwayTeam], G$36, Table2[ActualResult], "OT") + SUMIFS(Table2[HomeWon_], Table2[GameIsOver],1,Table2[AwayTeam],$A47, Table2[HomeTeam], G$36, Table2[ActualResult], "SO") + SUMIFS(Table2[AwayWon], Table2[GameIsOver],1,Table2[HomeTeam],$A47, Table2[AwayTeam], G$36, Table2[ActualResult], "SO")) / (2*(SUMIFS(Table2[AwayWon], Table2[GameIsOver],1,Table2[AwayTeam],$A47, Table2[HomeTeam], G$36) + SUMIFS(Table2[HomeWon_], Table2[GameIsOver],1,Table2[HomeTeam],$A47, Table2[AwayTeam], G$36) + SUMIFS(Table2[HomeWon_], Table2[GameIsOver],1,Table2[AwayTeam],$A47, Table2[HomeTeam], G$36, Table2[ActualResult], "REG") + SUMIFS(Table2[AwayWon], Table2[GameIsOver],1,Table2[HomeTeam],$A47, Table2[AwayTeam], G$36, Table2[ActualResult], "REG") + SUMIFS(Table2[HomeWon_], Table2[GameIsOver],1,Table2[AwayTeam],$A47, Table2[HomeTeam], G$36, Table2[ActualResult], "OT") + SUMIFS(Table2[AwayWon], Table2[GameIsOver],1,Table2[HomeTeam],$A47, Table2[AwayTeam], G$36, Table2[ActualResult], "OT") + SUMIFS(Table2[HomeWon_], Table2[GameIsOver],1,Table2[AwayTeam],$A47, Table2[HomeTeam], G$36, Table2[ActualResult], "SO") + SUMIFS(Table2[AwayWon], Table2[GameIsOver],1,Table2[HomeTeam],$A47, Table2[AwayTeam], G$36, Table2[ActualResult], "SO"))), "")</f>
        <v/>
      </c>
      <c r="H47">
        <f>IFERROR(((2*SUMIFS(Table2[AwayWon], Table2[GameIsOver],1,Table2[AwayTeam],$A47, Table2[HomeTeam], H$36) + SUMIFS(Table2[HomeWon_], Table2[GameIsOver],1,Table2[HomeTeam],$A47, Table2[AwayTeam], H$36)) + SUMIFS(Table2[AwayWon], Table2[GameIsOver],1,Table2[HomeTeam],$A47, Table2[AwayTeam], H$36, Table2[ActualResult], "REG") + SUMIFS(Table2[HomeWon_], Table2[GameIsOver],1,Table2[AwayTeam],$A47, Table2[HomeTeam], H$36, Table2[ActualResult], "OT") + SUMIFS(Table2[AwayWon], Table2[GameIsOver],1,Table2[HomeTeam],$A47, Table2[AwayTeam], H$36, Table2[ActualResult], "OT") + SUMIFS(Table2[HomeWon_], Table2[GameIsOver],1,Table2[AwayTeam],$A47, Table2[HomeTeam], H$36, Table2[ActualResult], "SO") + SUMIFS(Table2[AwayWon], Table2[GameIsOver],1,Table2[HomeTeam],$A47, Table2[AwayTeam], H$36, Table2[ActualResult], "SO")) / (2*(SUMIFS(Table2[AwayWon], Table2[GameIsOver],1,Table2[AwayTeam],$A47, Table2[HomeTeam], H$36) + SUMIFS(Table2[HomeWon_], Table2[GameIsOver],1,Table2[HomeTeam],$A47, Table2[AwayTeam], H$36) + SUMIFS(Table2[HomeWon_], Table2[GameIsOver],1,Table2[AwayTeam],$A47, Table2[HomeTeam], H$36, Table2[ActualResult], "REG") + SUMIFS(Table2[AwayWon], Table2[GameIsOver],1,Table2[HomeTeam],$A47, Table2[AwayTeam], H$36, Table2[ActualResult], "REG") + SUMIFS(Table2[HomeWon_], Table2[GameIsOver],1,Table2[AwayTeam],$A47, Table2[HomeTeam], H$36, Table2[ActualResult], "OT") + SUMIFS(Table2[AwayWon], Table2[GameIsOver],1,Table2[HomeTeam],$A47, Table2[AwayTeam], H$36, Table2[ActualResult], "OT") + SUMIFS(Table2[HomeWon_], Table2[GameIsOver],1,Table2[AwayTeam],$A47, Table2[HomeTeam], H$36, Table2[ActualResult], "SO") + SUMIFS(Table2[AwayWon], Table2[GameIsOver],1,Table2[HomeTeam],$A47, Table2[AwayTeam], H$36, Table2[ActualResult], "SO"))), "")</f>
        <v>0.5</v>
      </c>
      <c r="I47" s="57" t="str">
        <f>IFERROR(((2*SUMIFS(Table2[AwayWon], Table2[GameIsOver],1,Table2[AwayTeam],$A47, Table2[HomeTeam], I$36) + SUMIFS(Table2[HomeWon_], Table2[GameIsOver],1,Table2[HomeTeam],$A47, Table2[AwayTeam], I$36)) + SUMIFS(Table2[AwayWon], Table2[GameIsOver],1,Table2[HomeTeam],$A47, Table2[AwayTeam], I$36, Table2[ActualResult], "REG") + SUMIFS(Table2[HomeWon_], Table2[GameIsOver],1,Table2[AwayTeam],$A47, Table2[HomeTeam], I$36, Table2[ActualResult], "OT") + SUMIFS(Table2[AwayWon], Table2[GameIsOver],1,Table2[HomeTeam],$A47, Table2[AwayTeam], I$36, Table2[ActualResult], "OT") + SUMIFS(Table2[HomeWon_], Table2[GameIsOver],1,Table2[AwayTeam],$A47, Table2[HomeTeam], I$36, Table2[ActualResult], "SO") + SUMIFS(Table2[AwayWon], Table2[GameIsOver],1,Table2[HomeTeam],$A47, Table2[AwayTeam], I$36, Table2[ActualResult], "SO")) / (2*(SUMIFS(Table2[AwayWon], Table2[GameIsOver],1,Table2[AwayTeam],$A47, Table2[HomeTeam], I$36) + SUMIFS(Table2[HomeWon_], Table2[GameIsOver],1,Table2[HomeTeam],$A47, Table2[AwayTeam], I$36) + SUMIFS(Table2[HomeWon_], Table2[GameIsOver],1,Table2[AwayTeam],$A47, Table2[HomeTeam], I$36, Table2[ActualResult], "REG") + SUMIFS(Table2[AwayWon], Table2[GameIsOver],1,Table2[HomeTeam],$A47, Table2[AwayTeam], I$36, Table2[ActualResult], "REG") + SUMIFS(Table2[HomeWon_], Table2[GameIsOver],1,Table2[AwayTeam],$A47, Table2[HomeTeam], I$36, Table2[ActualResult], "OT") + SUMIFS(Table2[AwayWon], Table2[GameIsOver],1,Table2[HomeTeam],$A47, Table2[AwayTeam], I$36, Table2[ActualResult], "OT") + SUMIFS(Table2[HomeWon_], Table2[GameIsOver],1,Table2[AwayTeam],$A47, Table2[HomeTeam], I$36, Table2[ActualResult], "SO") + SUMIFS(Table2[AwayWon], Table2[GameIsOver],1,Table2[HomeTeam],$A47, Table2[AwayTeam], I$36, Table2[ActualResult], "SO"))), "")</f>
        <v/>
      </c>
      <c r="J47" t="str">
        <f>IFERROR(((2*SUMIFS(Table2[AwayWon], Table2[GameIsOver],1,Table2[AwayTeam],$A47, Table2[HomeTeam], J$36) + SUMIFS(Table2[HomeWon_], Table2[GameIsOver],1,Table2[HomeTeam],$A47, Table2[AwayTeam], J$36)) + SUMIFS(Table2[AwayWon], Table2[GameIsOver],1,Table2[HomeTeam],$A47, Table2[AwayTeam], J$36, Table2[ActualResult], "REG") + SUMIFS(Table2[HomeWon_], Table2[GameIsOver],1,Table2[AwayTeam],$A47, Table2[HomeTeam], J$36, Table2[ActualResult], "OT") + SUMIFS(Table2[AwayWon], Table2[GameIsOver],1,Table2[HomeTeam],$A47, Table2[AwayTeam], J$36, Table2[ActualResult], "OT") + SUMIFS(Table2[HomeWon_], Table2[GameIsOver],1,Table2[AwayTeam],$A47, Table2[HomeTeam], J$36, Table2[ActualResult], "SO") + SUMIFS(Table2[AwayWon], Table2[GameIsOver],1,Table2[HomeTeam],$A47, Table2[AwayTeam], J$36, Table2[ActualResult], "SO")) / (2*(SUMIFS(Table2[AwayWon], Table2[GameIsOver],1,Table2[AwayTeam],$A47, Table2[HomeTeam], J$36) + SUMIFS(Table2[HomeWon_], Table2[GameIsOver],1,Table2[HomeTeam],$A47, Table2[AwayTeam], J$36) + SUMIFS(Table2[HomeWon_], Table2[GameIsOver],1,Table2[AwayTeam],$A47, Table2[HomeTeam], J$36, Table2[ActualResult], "REG") + SUMIFS(Table2[AwayWon], Table2[GameIsOver],1,Table2[HomeTeam],$A47, Table2[AwayTeam], J$36, Table2[ActualResult], "REG") + SUMIFS(Table2[HomeWon_], Table2[GameIsOver],1,Table2[AwayTeam],$A47, Table2[HomeTeam], J$36, Table2[ActualResult], "OT") + SUMIFS(Table2[AwayWon], Table2[GameIsOver],1,Table2[HomeTeam],$A47, Table2[AwayTeam], J$36, Table2[ActualResult], "OT") + SUMIFS(Table2[HomeWon_], Table2[GameIsOver],1,Table2[AwayTeam],$A47, Table2[HomeTeam], J$36, Table2[ActualResult], "SO") + SUMIFS(Table2[AwayWon], Table2[GameIsOver],1,Table2[HomeTeam],$A47, Table2[AwayTeam], J$36, Table2[ActualResult], "SO"))), "")</f>
        <v/>
      </c>
      <c r="K47">
        <f>IFERROR(((2*SUMIFS(Table2[AwayWon], Table2[GameIsOver],1,Table2[AwayTeam],$A47, Table2[HomeTeam], K$36) + SUMIFS(Table2[HomeWon_], Table2[GameIsOver],1,Table2[HomeTeam],$A47, Table2[AwayTeam], K$36)) + SUMIFS(Table2[AwayWon], Table2[GameIsOver],1,Table2[HomeTeam],$A47, Table2[AwayTeam], K$36, Table2[ActualResult], "REG") + SUMIFS(Table2[HomeWon_], Table2[GameIsOver],1,Table2[AwayTeam],$A47, Table2[HomeTeam], K$36, Table2[ActualResult], "OT") + SUMIFS(Table2[AwayWon], Table2[GameIsOver],1,Table2[HomeTeam],$A47, Table2[AwayTeam], K$36, Table2[ActualResult], "OT") + SUMIFS(Table2[HomeWon_], Table2[GameIsOver],1,Table2[AwayTeam],$A47, Table2[HomeTeam], K$36, Table2[ActualResult], "SO") + SUMIFS(Table2[AwayWon], Table2[GameIsOver],1,Table2[HomeTeam],$A47, Table2[AwayTeam], K$36, Table2[ActualResult], "SO")) / (2*(SUMIFS(Table2[AwayWon], Table2[GameIsOver],1,Table2[AwayTeam],$A47, Table2[HomeTeam], K$36) + SUMIFS(Table2[HomeWon_], Table2[GameIsOver],1,Table2[HomeTeam],$A47, Table2[AwayTeam], K$36) + SUMIFS(Table2[HomeWon_], Table2[GameIsOver],1,Table2[AwayTeam],$A47, Table2[HomeTeam], K$36, Table2[ActualResult], "REG") + SUMIFS(Table2[AwayWon], Table2[GameIsOver],1,Table2[HomeTeam],$A47, Table2[AwayTeam], K$36, Table2[ActualResult], "REG") + SUMIFS(Table2[HomeWon_], Table2[GameIsOver],1,Table2[AwayTeam],$A47, Table2[HomeTeam], K$36, Table2[ActualResult], "OT") + SUMIFS(Table2[AwayWon], Table2[GameIsOver],1,Table2[HomeTeam],$A47, Table2[AwayTeam], K$36, Table2[ActualResult], "OT") + SUMIFS(Table2[HomeWon_], Table2[GameIsOver],1,Table2[AwayTeam],$A47, Table2[HomeTeam], K$36, Table2[ActualResult], "SO") + SUMIFS(Table2[AwayWon], Table2[GameIsOver],1,Table2[HomeTeam],$A47, Table2[AwayTeam], K$36, Table2[ActualResult], "SO"))), "")</f>
        <v>1</v>
      </c>
      <c r="L47" s="98" t="str">
        <f>IFERROR(((2*SUMIFS(Table2[AwayWon], Table2[GameIsOver],1,Table2[AwayTeam],$A47, Table2[HomeTeam], L$36) + SUMIFS(Table2[HomeWon_], Table2[GameIsOver],1,Table2[HomeTeam],$A47, Table2[AwayTeam], L$36)) + SUMIFS(Table2[AwayWon], Table2[GameIsOver],1,Table2[HomeTeam],$A47, Table2[AwayTeam], L$36, Table2[ActualResult], "REG") + SUMIFS(Table2[HomeWon_], Table2[GameIsOver],1,Table2[AwayTeam],$A47, Table2[HomeTeam], L$36, Table2[ActualResult], "OT") + SUMIFS(Table2[AwayWon], Table2[GameIsOver],1,Table2[HomeTeam],$A47, Table2[AwayTeam], L$36, Table2[ActualResult], "OT") + SUMIFS(Table2[HomeWon_], Table2[GameIsOver],1,Table2[AwayTeam],$A47, Table2[HomeTeam], L$36, Table2[ActualResult], "SO") + SUMIFS(Table2[AwayWon], Table2[GameIsOver],1,Table2[HomeTeam],$A47, Table2[AwayTeam], L$36, Table2[ActualResult], "SO")) / (2*(SUMIFS(Table2[AwayWon], Table2[GameIsOver],1,Table2[AwayTeam],$A47, Table2[HomeTeam], L$36) + SUMIFS(Table2[HomeWon_], Table2[GameIsOver],1,Table2[HomeTeam],$A47, Table2[AwayTeam], L$36) + SUMIFS(Table2[HomeWon_], Table2[GameIsOver],1,Table2[AwayTeam],$A47, Table2[HomeTeam], L$36, Table2[ActualResult], "REG") + SUMIFS(Table2[AwayWon], Table2[GameIsOver],1,Table2[HomeTeam],$A47, Table2[AwayTeam], L$36, Table2[ActualResult], "REG") + SUMIFS(Table2[HomeWon_], Table2[GameIsOver],1,Table2[AwayTeam],$A47, Table2[HomeTeam], L$36, Table2[ActualResult], "OT") + SUMIFS(Table2[AwayWon], Table2[GameIsOver],1,Table2[HomeTeam],$A47, Table2[AwayTeam], L$36, Table2[ActualResult], "OT") + SUMIFS(Table2[HomeWon_], Table2[GameIsOver],1,Table2[AwayTeam],$A47, Table2[HomeTeam], L$36, Table2[ActualResult], "SO") + SUMIFS(Table2[AwayWon], Table2[GameIsOver],1,Table2[HomeTeam],$A47, Table2[AwayTeam], L$36, Table2[ActualResult], "SO"))), "")</f>
        <v/>
      </c>
      <c r="M47">
        <f>IFERROR(((2*SUMIFS(Table2[AwayWon], Table2[GameIsOver],1,Table2[AwayTeam],$A47, Table2[HomeTeam], M$36) + SUMIFS(Table2[HomeWon_], Table2[GameIsOver],1,Table2[HomeTeam],$A47, Table2[AwayTeam], M$36)) + SUMIFS(Table2[AwayWon], Table2[GameIsOver],1,Table2[HomeTeam],$A47, Table2[AwayTeam], M$36, Table2[ActualResult], "REG") + SUMIFS(Table2[HomeWon_], Table2[GameIsOver],1,Table2[AwayTeam],$A47, Table2[HomeTeam], M$36, Table2[ActualResult], "OT") + SUMIFS(Table2[AwayWon], Table2[GameIsOver],1,Table2[HomeTeam],$A47, Table2[AwayTeam], M$36, Table2[ActualResult], "OT") + SUMIFS(Table2[HomeWon_], Table2[GameIsOver],1,Table2[AwayTeam],$A47, Table2[HomeTeam], M$36, Table2[ActualResult], "SO") + SUMIFS(Table2[AwayWon], Table2[GameIsOver],1,Table2[HomeTeam],$A47, Table2[AwayTeam], M$36, Table2[ActualResult], "SO")) / (2*(SUMIFS(Table2[AwayWon], Table2[GameIsOver],1,Table2[AwayTeam],$A47, Table2[HomeTeam], M$36) + SUMIFS(Table2[HomeWon_], Table2[GameIsOver],1,Table2[HomeTeam],$A47, Table2[AwayTeam], M$36) + SUMIFS(Table2[HomeWon_], Table2[GameIsOver],1,Table2[AwayTeam],$A47, Table2[HomeTeam], M$36, Table2[ActualResult], "REG") + SUMIFS(Table2[AwayWon], Table2[GameIsOver],1,Table2[HomeTeam],$A47, Table2[AwayTeam], M$36, Table2[ActualResult], "REG") + SUMIFS(Table2[HomeWon_], Table2[GameIsOver],1,Table2[AwayTeam],$A47, Table2[HomeTeam], M$36, Table2[ActualResult], "OT") + SUMIFS(Table2[AwayWon], Table2[GameIsOver],1,Table2[HomeTeam],$A47, Table2[AwayTeam], M$36, Table2[ActualResult], "OT") + SUMIFS(Table2[HomeWon_], Table2[GameIsOver],1,Table2[AwayTeam],$A47, Table2[HomeTeam], M$36, Table2[ActualResult], "SO") + SUMIFS(Table2[AwayWon], Table2[GameIsOver],1,Table2[HomeTeam],$A47, Table2[AwayTeam], M$36, Table2[ActualResult], "SO"))), "")</f>
        <v>0.5</v>
      </c>
      <c r="N47" t="str">
        <f>IFERROR(((2*SUMIFS(Table2[AwayWon], Table2[GameIsOver],1,Table2[AwayTeam],$A47, Table2[HomeTeam], N$36) + SUMIFS(Table2[HomeWon_], Table2[GameIsOver],1,Table2[HomeTeam],$A47, Table2[AwayTeam], N$36)) + SUMIFS(Table2[AwayWon], Table2[GameIsOver],1,Table2[HomeTeam],$A47, Table2[AwayTeam], N$36, Table2[ActualResult], "REG") + SUMIFS(Table2[HomeWon_], Table2[GameIsOver],1,Table2[AwayTeam],$A47, Table2[HomeTeam], N$36, Table2[ActualResult], "OT") + SUMIFS(Table2[AwayWon], Table2[GameIsOver],1,Table2[HomeTeam],$A47, Table2[AwayTeam], N$36, Table2[ActualResult], "OT") + SUMIFS(Table2[HomeWon_], Table2[GameIsOver],1,Table2[AwayTeam],$A47, Table2[HomeTeam], N$36, Table2[ActualResult], "SO") + SUMIFS(Table2[AwayWon], Table2[GameIsOver],1,Table2[HomeTeam],$A47, Table2[AwayTeam], N$36, Table2[ActualResult], "SO")) / (2*(SUMIFS(Table2[AwayWon], Table2[GameIsOver],1,Table2[AwayTeam],$A47, Table2[HomeTeam], N$36) + SUMIFS(Table2[HomeWon_], Table2[GameIsOver],1,Table2[HomeTeam],$A47, Table2[AwayTeam], N$36) + SUMIFS(Table2[HomeWon_], Table2[GameIsOver],1,Table2[AwayTeam],$A47, Table2[HomeTeam], N$36, Table2[ActualResult], "REG") + SUMIFS(Table2[AwayWon], Table2[GameIsOver],1,Table2[HomeTeam],$A47, Table2[AwayTeam], N$36, Table2[ActualResult], "REG") + SUMIFS(Table2[HomeWon_], Table2[GameIsOver],1,Table2[AwayTeam],$A47, Table2[HomeTeam], N$36, Table2[ActualResult], "OT") + SUMIFS(Table2[AwayWon], Table2[GameIsOver],1,Table2[HomeTeam],$A47, Table2[AwayTeam], N$36, Table2[ActualResult], "OT") + SUMIFS(Table2[HomeWon_], Table2[GameIsOver],1,Table2[AwayTeam],$A47, Table2[HomeTeam], N$36, Table2[ActualResult], "SO") + SUMIFS(Table2[AwayWon], Table2[GameIsOver],1,Table2[HomeTeam],$A47, Table2[AwayTeam], N$36, Table2[ActualResult], "SO"))), "")</f>
        <v/>
      </c>
      <c r="O47">
        <f>IFERROR(((2*SUMIFS(Table2[AwayWon], Table2[GameIsOver],1,Table2[AwayTeam],$A47, Table2[HomeTeam], O$36) + SUMIFS(Table2[HomeWon_], Table2[GameIsOver],1,Table2[HomeTeam],$A47, Table2[AwayTeam], O$36)) + SUMIFS(Table2[AwayWon], Table2[GameIsOver],1,Table2[HomeTeam],$A47, Table2[AwayTeam], O$36, Table2[ActualResult], "REG") + SUMIFS(Table2[HomeWon_], Table2[GameIsOver],1,Table2[AwayTeam],$A47, Table2[HomeTeam], O$36, Table2[ActualResult], "OT") + SUMIFS(Table2[AwayWon], Table2[GameIsOver],1,Table2[HomeTeam],$A47, Table2[AwayTeam], O$36, Table2[ActualResult], "OT") + SUMIFS(Table2[HomeWon_], Table2[GameIsOver],1,Table2[AwayTeam],$A47, Table2[HomeTeam], O$36, Table2[ActualResult], "SO") + SUMIFS(Table2[AwayWon], Table2[GameIsOver],1,Table2[HomeTeam],$A47, Table2[AwayTeam], O$36, Table2[ActualResult], "SO")) / (2*(SUMIFS(Table2[AwayWon], Table2[GameIsOver],1,Table2[AwayTeam],$A47, Table2[HomeTeam], O$36) + SUMIFS(Table2[HomeWon_], Table2[GameIsOver],1,Table2[HomeTeam],$A47, Table2[AwayTeam], O$36) + SUMIFS(Table2[HomeWon_], Table2[GameIsOver],1,Table2[AwayTeam],$A47, Table2[HomeTeam], O$36, Table2[ActualResult], "REG") + SUMIFS(Table2[AwayWon], Table2[GameIsOver],1,Table2[HomeTeam],$A47, Table2[AwayTeam], O$36, Table2[ActualResult], "REG") + SUMIFS(Table2[HomeWon_], Table2[GameIsOver],1,Table2[AwayTeam],$A47, Table2[HomeTeam], O$36, Table2[ActualResult], "OT") + SUMIFS(Table2[AwayWon], Table2[GameIsOver],1,Table2[HomeTeam],$A47, Table2[AwayTeam], O$36, Table2[ActualResult], "OT") + SUMIFS(Table2[HomeWon_], Table2[GameIsOver],1,Table2[AwayTeam],$A47, Table2[HomeTeam], O$36, Table2[ActualResult], "SO") + SUMIFS(Table2[AwayWon], Table2[GameIsOver],1,Table2[HomeTeam],$A47, Table2[AwayTeam], O$36, Table2[ActualResult], "SO"))), "")</f>
        <v>0</v>
      </c>
      <c r="P47" t="str">
        <f>IFERROR(((2*SUMIFS(Table2[AwayWon], Table2[GameIsOver],1,Table2[AwayTeam],$A47, Table2[HomeTeam], P$36) + SUMIFS(Table2[HomeWon_], Table2[GameIsOver],1,Table2[HomeTeam],$A47, Table2[AwayTeam], P$36)) + SUMIFS(Table2[AwayWon], Table2[GameIsOver],1,Table2[HomeTeam],$A47, Table2[AwayTeam], P$36, Table2[ActualResult], "REG") + SUMIFS(Table2[HomeWon_], Table2[GameIsOver],1,Table2[AwayTeam],$A47, Table2[HomeTeam], P$36, Table2[ActualResult], "OT") + SUMIFS(Table2[AwayWon], Table2[GameIsOver],1,Table2[HomeTeam],$A47, Table2[AwayTeam], P$36, Table2[ActualResult], "OT") + SUMIFS(Table2[HomeWon_], Table2[GameIsOver],1,Table2[AwayTeam],$A47, Table2[HomeTeam], P$36, Table2[ActualResult], "SO") + SUMIFS(Table2[AwayWon], Table2[GameIsOver],1,Table2[HomeTeam],$A47, Table2[AwayTeam], P$36, Table2[ActualResult], "SO")) / (2*(SUMIFS(Table2[AwayWon], Table2[GameIsOver],1,Table2[AwayTeam],$A47, Table2[HomeTeam], P$36) + SUMIFS(Table2[HomeWon_], Table2[GameIsOver],1,Table2[HomeTeam],$A47, Table2[AwayTeam], P$36) + SUMIFS(Table2[HomeWon_], Table2[GameIsOver],1,Table2[AwayTeam],$A47, Table2[HomeTeam], P$36, Table2[ActualResult], "REG") + SUMIFS(Table2[AwayWon], Table2[GameIsOver],1,Table2[HomeTeam],$A47, Table2[AwayTeam], P$36, Table2[ActualResult], "REG") + SUMIFS(Table2[HomeWon_], Table2[GameIsOver],1,Table2[AwayTeam],$A47, Table2[HomeTeam], P$36, Table2[ActualResult], "OT") + SUMIFS(Table2[AwayWon], Table2[GameIsOver],1,Table2[HomeTeam],$A47, Table2[AwayTeam], P$36, Table2[ActualResult], "OT") + SUMIFS(Table2[HomeWon_], Table2[GameIsOver],1,Table2[AwayTeam],$A47, Table2[HomeTeam], P$36, Table2[ActualResult], "SO") + SUMIFS(Table2[AwayWon], Table2[GameIsOver],1,Table2[HomeTeam],$A47, Table2[AwayTeam], P$36, Table2[ActualResult], "SO"))), "")</f>
        <v/>
      </c>
      <c r="Q47" s="57">
        <f>IFERROR(((2*SUMIFS(Table2[AwayWon], Table2[GameIsOver],1,Table2[AwayTeam],$A47, Table2[HomeTeam], Q$36) + SUMIFS(Table2[HomeWon_], Table2[GameIsOver],1,Table2[HomeTeam],$A47, Table2[AwayTeam], Q$36)) + SUMIFS(Table2[AwayWon], Table2[GameIsOver],1,Table2[HomeTeam],$A47, Table2[AwayTeam], Q$36, Table2[ActualResult], "REG") + SUMIFS(Table2[HomeWon_], Table2[GameIsOver],1,Table2[AwayTeam],$A47, Table2[HomeTeam], Q$36, Table2[ActualResult], "OT") + SUMIFS(Table2[AwayWon], Table2[GameIsOver],1,Table2[HomeTeam],$A47, Table2[AwayTeam], Q$36, Table2[ActualResult], "OT") + SUMIFS(Table2[HomeWon_], Table2[GameIsOver],1,Table2[AwayTeam],$A47, Table2[HomeTeam], Q$36, Table2[ActualResult], "SO") + SUMIFS(Table2[AwayWon], Table2[GameIsOver],1,Table2[HomeTeam],$A47, Table2[AwayTeam], Q$36, Table2[ActualResult], "SO")) / (2*(SUMIFS(Table2[AwayWon], Table2[GameIsOver],1,Table2[AwayTeam],$A47, Table2[HomeTeam], Q$36) + SUMIFS(Table2[HomeWon_], Table2[GameIsOver],1,Table2[HomeTeam],$A47, Table2[AwayTeam], Q$36) + SUMIFS(Table2[HomeWon_], Table2[GameIsOver],1,Table2[AwayTeam],$A47, Table2[HomeTeam], Q$36, Table2[ActualResult], "REG") + SUMIFS(Table2[AwayWon], Table2[GameIsOver],1,Table2[HomeTeam],$A47, Table2[AwayTeam], Q$36, Table2[ActualResult], "REG") + SUMIFS(Table2[HomeWon_], Table2[GameIsOver],1,Table2[AwayTeam],$A47, Table2[HomeTeam], Q$36, Table2[ActualResult], "OT") + SUMIFS(Table2[AwayWon], Table2[GameIsOver],1,Table2[HomeTeam],$A47, Table2[AwayTeam], Q$36, Table2[ActualResult], "OT") + SUMIFS(Table2[HomeWon_], Table2[GameIsOver],1,Table2[AwayTeam],$A47, Table2[HomeTeam], Q$36, Table2[ActualResult], "SO") + SUMIFS(Table2[AwayWon], Table2[GameIsOver],1,Table2[HomeTeam],$A47, Table2[AwayTeam], Q$36, Table2[ActualResult], "SO"))), "")</f>
        <v>1</v>
      </c>
      <c r="R47" t="str">
        <f>IFERROR(((2*SUMIFS(Table2[AwayWon], Table2[GameIsOver],1,Table2[AwayTeam],$A47, Table2[HomeTeam], R$36) + SUMIFS(Table2[HomeWon_], Table2[GameIsOver],1,Table2[HomeTeam],$A47, Table2[AwayTeam], R$36)) + SUMIFS(Table2[AwayWon], Table2[GameIsOver],1,Table2[HomeTeam],$A47, Table2[AwayTeam], R$36, Table2[ActualResult], "REG") + SUMIFS(Table2[HomeWon_], Table2[GameIsOver],1,Table2[AwayTeam],$A47, Table2[HomeTeam], R$36, Table2[ActualResult], "OT") + SUMIFS(Table2[AwayWon], Table2[GameIsOver],1,Table2[HomeTeam],$A47, Table2[AwayTeam], R$36, Table2[ActualResult], "OT") + SUMIFS(Table2[HomeWon_], Table2[GameIsOver],1,Table2[AwayTeam],$A47, Table2[HomeTeam], R$36, Table2[ActualResult], "SO") + SUMIFS(Table2[AwayWon], Table2[GameIsOver],1,Table2[HomeTeam],$A47, Table2[AwayTeam], R$36, Table2[ActualResult], "SO")) / (2*(SUMIFS(Table2[AwayWon], Table2[GameIsOver],1,Table2[AwayTeam],$A47, Table2[HomeTeam], R$36) + SUMIFS(Table2[HomeWon_], Table2[GameIsOver],1,Table2[HomeTeam],$A47, Table2[AwayTeam], R$36) + SUMIFS(Table2[HomeWon_], Table2[GameIsOver],1,Table2[AwayTeam],$A47, Table2[HomeTeam], R$36, Table2[ActualResult], "REG") + SUMIFS(Table2[AwayWon], Table2[GameIsOver],1,Table2[HomeTeam],$A47, Table2[AwayTeam], R$36, Table2[ActualResult], "REG") + SUMIFS(Table2[HomeWon_], Table2[GameIsOver],1,Table2[AwayTeam],$A47, Table2[HomeTeam], R$36, Table2[ActualResult], "OT") + SUMIFS(Table2[AwayWon], Table2[GameIsOver],1,Table2[HomeTeam],$A47, Table2[AwayTeam], R$36, Table2[ActualResult], "OT") + SUMIFS(Table2[HomeWon_], Table2[GameIsOver],1,Table2[AwayTeam],$A47, Table2[HomeTeam], R$36, Table2[ActualResult], "SO") + SUMIFS(Table2[AwayWon], Table2[GameIsOver],1,Table2[HomeTeam],$A47, Table2[AwayTeam], R$36, Table2[ActualResult], "SO"))), "")</f>
        <v/>
      </c>
      <c r="S47">
        <f>IFERROR(((2*SUMIFS(Table2[AwayWon], Table2[GameIsOver],1,Table2[AwayTeam],$A47, Table2[HomeTeam], S$36) + SUMIFS(Table2[HomeWon_], Table2[GameIsOver],1,Table2[HomeTeam],$A47, Table2[AwayTeam], S$36)) + SUMIFS(Table2[AwayWon], Table2[GameIsOver],1,Table2[HomeTeam],$A47, Table2[AwayTeam], S$36, Table2[ActualResult], "REG") + SUMIFS(Table2[HomeWon_], Table2[GameIsOver],1,Table2[AwayTeam],$A47, Table2[HomeTeam], S$36, Table2[ActualResult], "OT") + SUMIFS(Table2[AwayWon], Table2[GameIsOver],1,Table2[HomeTeam],$A47, Table2[AwayTeam], S$36, Table2[ActualResult], "OT") + SUMIFS(Table2[HomeWon_], Table2[GameIsOver],1,Table2[AwayTeam],$A47, Table2[HomeTeam], S$36, Table2[ActualResult], "SO") + SUMIFS(Table2[AwayWon], Table2[GameIsOver],1,Table2[HomeTeam],$A47, Table2[AwayTeam], S$36, Table2[ActualResult], "SO")) / (2*(SUMIFS(Table2[AwayWon], Table2[GameIsOver],1,Table2[AwayTeam],$A47, Table2[HomeTeam], S$36) + SUMIFS(Table2[HomeWon_], Table2[GameIsOver],1,Table2[HomeTeam],$A47, Table2[AwayTeam], S$36) + SUMIFS(Table2[HomeWon_], Table2[GameIsOver],1,Table2[AwayTeam],$A47, Table2[HomeTeam], S$36, Table2[ActualResult], "REG") + SUMIFS(Table2[AwayWon], Table2[GameIsOver],1,Table2[HomeTeam],$A47, Table2[AwayTeam], S$36, Table2[ActualResult], "REG") + SUMIFS(Table2[HomeWon_], Table2[GameIsOver],1,Table2[AwayTeam],$A47, Table2[HomeTeam], S$36, Table2[ActualResult], "OT") + SUMIFS(Table2[AwayWon], Table2[GameIsOver],1,Table2[HomeTeam],$A47, Table2[AwayTeam], S$36, Table2[ActualResult], "OT") + SUMIFS(Table2[HomeWon_], Table2[GameIsOver],1,Table2[AwayTeam],$A47, Table2[HomeTeam], S$36, Table2[ActualResult], "SO") + SUMIFS(Table2[AwayWon], Table2[GameIsOver],1,Table2[HomeTeam],$A47, Table2[AwayTeam], S$36, Table2[ActualResult], "SO"))), "")</f>
        <v>0.5</v>
      </c>
      <c r="T47" t="str">
        <f>IFERROR(((2*SUMIFS(Table2[AwayWon], Table2[GameIsOver],1,Table2[AwayTeam],$A47, Table2[HomeTeam], T$36) + SUMIFS(Table2[HomeWon_], Table2[GameIsOver],1,Table2[HomeTeam],$A47, Table2[AwayTeam], T$36)) + SUMIFS(Table2[AwayWon], Table2[GameIsOver],1,Table2[HomeTeam],$A47, Table2[AwayTeam], T$36, Table2[ActualResult], "REG") + SUMIFS(Table2[HomeWon_], Table2[GameIsOver],1,Table2[AwayTeam],$A47, Table2[HomeTeam], T$36, Table2[ActualResult], "OT") + SUMIFS(Table2[AwayWon], Table2[GameIsOver],1,Table2[HomeTeam],$A47, Table2[AwayTeam], T$36, Table2[ActualResult], "OT") + SUMIFS(Table2[HomeWon_], Table2[GameIsOver],1,Table2[AwayTeam],$A47, Table2[HomeTeam], T$36, Table2[ActualResult], "SO") + SUMIFS(Table2[AwayWon], Table2[GameIsOver],1,Table2[HomeTeam],$A47, Table2[AwayTeam], T$36, Table2[ActualResult], "SO")) / (2*(SUMIFS(Table2[AwayWon], Table2[GameIsOver],1,Table2[AwayTeam],$A47, Table2[HomeTeam], T$36) + SUMIFS(Table2[HomeWon_], Table2[GameIsOver],1,Table2[HomeTeam],$A47, Table2[AwayTeam], T$36) + SUMIFS(Table2[HomeWon_], Table2[GameIsOver],1,Table2[AwayTeam],$A47, Table2[HomeTeam], T$36, Table2[ActualResult], "REG") + SUMIFS(Table2[AwayWon], Table2[GameIsOver],1,Table2[HomeTeam],$A47, Table2[AwayTeam], T$36, Table2[ActualResult], "REG") + SUMIFS(Table2[HomeWon_], Table2[GameIsOver],1,Table2[AwayTeam],$A47, Table2[HomeTeam], T$36, Table2[ActualResult], "OT") + SUMIFS(Table2[AwayWon], Table2[GameIsOver],1,Table2[HomeTeam],$A47, Table2[AwayTeam], T$36, Table2[ActualResult], "OT") + SUMIFS(Table2[HomeWon_], Table2[GameIsOver],1,Table2[AwayTeam],$A47, Table2[HomeTeam], T$36, Table2[ActualResult], "SO") + SUMIFS(Table2[AwayWon], Table2[GameIsOver],1,Table2[HomeTeam],$A47, Table2[AwayTeam], T$36, Table2[ActualResult], "SO"))), "")</f>
        <v/>
      </c>
      <c r="U47" t="str">
        <f>IFERROR(((2*SUMIFS(Table2[AwayWon], Table2[GameIsOver],1,Table2[AwayTeam],$A47, Table2[HomeTeam], U$36) + SUMIFS(Table2[HomeWon_], Table2[GameIsOver],1,Table2[HomeTeam],$A47, Table2[AwayTeam], U$36)) + SUMIFS(Table2[AwayWon], Table2[GameIsOver],1,Table2[HomeTeam],$A47, Table2[AwayTeam], U$36, Table2[ActualResult], "REG") + SUMIFS(Table2[HomeWon_], Table2[GameIsOver],1,Table2[AwayTeam],$A47, Table2[HomeTeam], U$36, Table2[ActualResult], "OT") + SUMIFS(Table2[AwayWon], Table2[GameIsOver],1,Table2[HomeTeam],$A47, Table2[AwayTeam], U$36, Table2[ActualResult], "OT") + SUMIFS(Table2[HomeWon_], Table2[GameIsOver],1,Table2[AwayTeam],$A47, Table2[HomeTeam], U$36, Table2[ActualResult], "SO") + SUMIFS(Table2[AwayWon], Table2[GameIsOver],1,Table2[HomeTeam],$A47, Table2[AwayTeam], U$36, Table2[ActualResult], "SO")) / (2*(SUMIFS(Table2[AwayWon], Table2[GameIsOver],1,Table2[AwayTeam],$A47, Table2[HomeTeam], U$36) + SUMIFS(Table2[HomeWon_], Table2[GameIsOver],1,Table2[HomeTeam],$A47, Table2[AwayTeam], U$36) + SUMIFS(Table2[HomeWon_], Table2[GameIsOver],1,Table2[AwayTeam],$A47, Table2[HomeTeam], U$36, Table2[ActualResult], "REG") + SUMIFS(Table2[AwayWon], Table2[GameIsOver],1,Table2[HomeTeam],$A47, Table2[AwayTeam], U$36, Table2[ActualResult], "REG") + SUMIFS(Table2[HomeWon_], Table2[GameIsOver],1,Table2[AwayTeam],$A47, Table2[HomeTeam], U$36, Table2[ActualResult], "OT") + SUMIFS(Table2[AwayWon], Table2[GameIsOver],1,Table2[HomeTeam],$A47, Table2[AwayTeam], U$36, Table2[ActualResult], "OT") + SUMIFS(Table2[HomeWon_], Table2[GameIsOver],1,Table2[AwayTeam],$A47, Table2[HomeTeam], U$36, Table2[ActualResult], "SO") + SUMIFS(Table2[AwayWon], Table2[GameIsOver],1,Table2[HomeTeam],$A47, Table2[AwayTeam], U$36, Table2[ActualResult], "SO"))), "")</f>
        <v/>
      </c>
      <c r="V47" t="str">
        <f>IFERROR(((2*SUMIFS(Table2[AwayWon], Table2[GameIsOver],1,Table2[AwayTeam],$A47, Table2[HomeTeam], V$36) + SUMIFS(Table2[HomeWon_], Table2[GameIsOver],1,Table2[HomeTeam],$A47, Table2[AwayTeam], V$36)) + SUMIFS(Table2[AwayWon], Table2[GameIsOver],1,Table2[HomeTeam],$A47, Table2[AwayTeam], V$36, Table2[ActualResult], "REG") + SUMIFS(Table2[HomeWon_], Table2[GameIsOver],1,Table2[AwayTeam],$A47, Table2[HomeTeam], V$36, Table2[ActualResult], "OT") + SUMIFS(Table2[AwayWon], Table2[GameIsOver],1,Table2[HomeTeam],$A47, Table2[AwayTeam], V$36, Table2[ActualResult], "OT") + SUMIFS(Table2[HomeWon_], Table2[GameIsOver],1,Table2[AwayTeam],$A47, Table2[HomeTeam], V$36, Table2[ActualResult], "SO") + SUMIFS(Table2[AwayWon], Table2[GameIsOver],1,Table2[HomeTeam],$A47, Table2[AwayTeam], V$36, Table2[ActualResult], "SO")) / (2*(SUMIFS(Table2[AwayWon], Table2[GameIsOver],1,Table2[AwayTeam],$A47, Table2[HomeTeam], V$36) + SUMIFS(Table2[HomeWon_], Table2[GameIsOver],1,Table2[HomeTeam],$A47, Table2[AwayTeam], V$36) + SUMIFS(Table2[HomeWon_], Table2[GameIsOver],1,Table2[AwayTeam],$A47, Table2[HomeTeam], V$36, Table2[ActualResult], "REG") + SUMIFS(Table2[AwayWon], Table2[GameIsOver],1,Table2[HomeTeam],$A47, Table2[AwayTeam], V$36, Table2[ActualResult], "REG") + SUMIFS(Table2[HomeWon_], Table2[GameIsOver],1,Table2[AwayTeam],$A47, Table2[HomeTeam], V$36, Table2[ActualResult], "OT") + SUMIFS(Table2[AwayWon], Table2[GameIsOver],1,Table2[HomeTeam],$A47, Table2[AwayTeam], V$36, Table2[ActualResult], "OT") + SUMIFS(Table2[HomeWon_], Table2[GameIsOver],1,Table2[AwayTeam],$A47, Table2[HomeTeam], V$36, Table2[ActualResult], "SO") + SUMIFS(Table2[AwayWon], Table2[GameIsOver],1,Table2[HomeTeam],$A47, Table2[AwayTeam], V$36, Table2[ActualResult], "SO"))), "")</f>
        <v/>
      </c>
      <c r="W47" t="str">
        <f>IFERROR(((2*SUMIFS(Table2[AwayWon], Table2[GameIsOver],1,Table2[AwayTeam],$A47, Table2[HomeTeam], W$36) + SUMIFS(Table2[HomeWon_], Table2[GameIsOver],1,Table2[HomeTeam],$A47, Table2[AwayTeam], W$36)) + SUMIFS(Table2[AwayWon], Table2[GameIsOver],1,Table2[HomeTeam],$A47, Table2[AwayTeam], W$36, Table2[ActualResult], "REG") + SUMIFS(Table2[HomeWon_], Table2[GameIsOver],1,Table2[AwayTeam],$A47, Table2[HomeTeam], W$36, Table2[ActualResult], "OT") + SUMIFS(Table2[AwayWon], Table2[GameIsOver],1,Table2[HomeTeam],$A47, Table2[AwayTeam], W$36, Table2[ActualResult], "OT") + SUMIFS(Table2[HomeWon_], Table2[GameIsOver],1,Table2[AwayTeam],$A47, Table2[HomeTeam], W$36, Table2[ActualResult], "SO") + SUMIFS(Table2[AwayWon], Table2[GameIsOver],1,Table2[HomeTeam],$A47, Table2[AwayTeam], W$36, Table2[ActualResult], "SO")) / (2*(SUMIFS(Table2[AwayWon], Table2[GameIsOver],1,Table2[AwayTeam],$A47, Table2[HomeTeam], W$36) + SUMIFS(Table2[HomeWon_], Table2[GameIsOver],1,Table2[HomeTeam],$A47, Table2[AwayTeam], W$36) + SUMIFS(Table2[HomeWon_], Table2[GameIsOver],1,Table2[AwayTeam],$A47, Table2[HomeTeam], W$36, Table2[ActualResult], "REG") + SUMIFS(Table2[AwayWon], Table2[GameIsOver],1,Table2[HomeTeam],$A47, Table2[AwayTeam], W$36, Table2[ActualResult], "REG") + SUMIFS(Table2[HomeWon_], Table2[GameIsOver],1,Table2[AwayTeam],$A47, Table2[HomeTeam], W$36, Table2[ActualResult], "OT") + SUMIFS(Table2[AwayWon], Table2[GameIsOver],1,Table2[HomeTeam],$A47, Table2[AwayTeam], W$36, Table2[ActualResult], "OT") + SUMIFS(Table2[HomeWon_], Table2[GameIsOver],1,Table2[AwayTeam],$A47, Table2[HomeTeam], W$36, Table2[ActualResult], "SO") + SUMIFS(Table2[AwayWon], Table2[GameIsOver],1,Table2[HomeTeam],$A47, Table2[AwayTeam], W$36, Table2[ActualResult], "SO"))), "")</f>
        <v/>
      </c>
      <c r="X47" t="str">
        <f>IFERROR(((2*SUMIFS(Table2[AwayWon], Table2[GameIsOver],1,Table2[AwayTeam],$A47, Table2[HomeTeam], X$36) + SUMIFS(Table2[HomeWon_], Table2[GameIsOver],1,Table2[HomeTeam],$A47, Table2[AwayTeam], X$36)) + SUMIFS(Table2[AwayWon], Table2[GameIsOver],1,Table2[HomeTeam],$A47, Table2[AwayTeam], X$36, Table2[ActualResult], "REG") + SUMIFS(Table2[HomeWon_], Table2[GameIsOver],1,Table2[AwayTeam],$A47, Table2[HomeTeam], X$36, Table2[ActualResult], "OT") + SUMIFS(Table2[AwayWon], Table2[GameIsOver],1,Table2[HomeTeam],$A47, Table2[AwayTeam], X$36, Table2[ActualResult], "OT") + SUMIFS(Table2[HomeWon_], Table2[GameIsOver],1,Table2[AwayTeam],$A47, Table2[HomeTeam], X$36, Table2[ActualResult], "SO") + SUMIFS(Table2[AwayWon], Table2[GameIsOver],1,Table2[HomeTeam],$A47, Table2[AwayTeam], X$36, Table2[ActualResult], "SO")) / (2*(SUMIFS(Table2[AwayWon], Table2[GameIsOver],1,Table2[AwayTeam],$A47, Table2[HomeTeam], X$36) + SUMIFS(Table2[HomeWon_], Table2[GameIsOver],1,Table2[HomeTeam],$A47, Table2[AwayTeam], X$36) + SUMIFS(Table2[HomeWon_], Table2[GameIsOver],1,Table2[AwayTeam],$A47, Table2[HomeTeam], X$36, Table2[ActualResult], "REG") + SUMIFS(Table2[AwayWon], Table2[GameIsOver],1,Table2[HomeTeam],$A47, Table2[AwayTeam], X$36, Table2[ActualResult], "REG") + SUMIFS(Table2[HomeWon_], Table2[GameIsOver],1,Table2[AwayTeam],$A47, Table2[HomeTeam], X$36, Table2[ActualResult], "OT") + SUMIFS(Table2[AwayWon], Table2[GameIsOver],1,Table2[HomeTeam],$A47, Table2[AwayTeam], X$36, Table2[ActualResult], "OT") + SUMIFS(Table2[HomeWon_], Table2[GameIsOver],1,Table2[AwayTeam],$A47, Table2[HomeTeam], X$36, Table2[ActualResult], "SO") + SUMIFS(Table2[AwayWon], Table2[GameIsOver],1,Table2[HomeTeam],$A47, Table2[AwayTeam], X$36, Table2[ActualResult], "SO"))), "")</f>
        <v/>
      </c>
      <c r="Y47" s="57" t="str">
        <f>IFERROR(((2*SUMIFS(Table2[AwayWon], Table2[GameIsOver],1,Table2[AwayTeam],$A47, Table2[HomeTeam], Y$36) + SUMIFS(Table2[HomeWon_], Table2[GameIsOver],1,Table2[HomeTeam],$A47, Table2[AwayTeam], Y$36)) + SUMIFS(Table2[AwayWon], Table2[GameIsOver],1,Table2[HomeTeam],$A47, Table2[AwayTeam], Y$36, Table2[ActualResult], "REG") + SUMIFS(Table2[HomeWon_], Table2[GameIsOver],1,Table2[AwayTeam],$A47, Table2[HomeTeam], Y$36, Table2[ActualResult], "OT") + SUMIFS(Table2[AwayWon], Table2[GameIsOver],1,Table2[HomeTeam],$A47, Table2[AwayTeam], Y$36, Table2[ActualResult], "OT") + SUMIFS(Table2[HomeWon_], Table2[GameIsOver],1,Table2[AwayTeam],$A47, Table2[HomeTeam], Y$36, Table2[ActualResult], "SO") + SUMIFS(Table2[AwayWon], Table2[GameIsOver],1,Table2[HomeTeam],$A47, Table2[AwayTeam], Y$36, Table2[ActualResult], "SO")) / (2*(SUMIFS(Table2[AwayWon], Table2[GameIsOver],1,Table2[AwayTeam],$A47, Table2[HomeTeam], Y$36) + SUMIFS(Table2[HomeWon_], Table2[GameIsOver],1,Table2[HomeTeam],$A47, Table2[AwayTeam], Y$36) + SUMIFS(Table2[HomeWon_], Table2[GameIsOver],1,Table2[AwayTeam],$A47, Table2[HomeTeam], Y$36, Table2[ActualResult], "REG") + SUMIFS(Table2[AwayWon], Table2[GameIsOver],1,Table2[HomeTeam],$A47, Table2[AwayTeam], Y$36, Table2[ActualResult], "REG") + SUMIFS(Table2[HomeWon_], Table2[GameIsOver],1,Table2[AwayTeam],$A47, Table2[HomeTeam], Y$36, Table2[ActualResult], "OT") + SUMIFS(Table2[AwayWon], Table2[GameIsOver],1,Table2[HomeTeam],$A47, Table2[AwayTeam], Y$36, Table2[ActualResult], "OT") + SUMIFS(Table2[HomeWon_], Table2[GameIsOver],1,Table2[AwayTeam],$A47, Table2[HomeTeam], Y$36, Table2[ActualResult], "SO") + SUMIFS(Table2[AwayWon], Table2[GameIsOver],1,Table2[HomeTeam],$A47, Table2[AwayTeam], Y$36, Table2[ActualResult], "SO"))), "")</f>
        <v/>
      </c>
      <c r="Z47" t="str">
        <f>IFERROR(((2*SUMIFS(Table2[AwayWon], Table2[GameIsOver],1,Table2[AwayTeam],$A47, Table2[HomeTeam], Z$36) + SUMIFS(Table2[HomeWon_], Table2[GameIsOver],1,Table2[HomeTeam],$A47, Table2[AwayTeam], Z$36)) + SUMIFS(Table2[AwayWon], Table2[GameIsOver],1,Table2[HomeTeam],$A47, Table2[AwayTeam], Z$36, Table2[ActualResult], "REG") + SUMIFS(Table2[HomeWon_], Table2[GameIsOver],1,Table2[AwayTeam],$A47, Table2[HomeTeam], Z$36, Table2[ActualResult], "OT") + SUMIFS(Table2[AwayWon], Table2[GameIsOver],1,Table2[HomeTeam],$A47, Table2[AwayTeam], Z$36, Table2[ActualResult], "OT") + SUMIFS(Table2[HomeWon_], Table2[GameIsOver],1,Table2[AwayTeam],$A47, Table2[HomeTeam], Z$36, Table2[ActualResult], "SO") + SUMIFS(Table2[AwayWon], Table2[GameIsOver],1,Table2[HomeTeam],$A47, Table2[AwayTeam], Z$36, Table2[ActualResult], "SO")) / (2*(SUMIFS(Table2[AwayWon], Table2[GameIsOver],1,Table2[AwayTeam],$A47, Table2[HomeTeam], Z$36) + SUMIFS(Table2[HomeWon_], Table2[GameIsOver],1,Table2[HomeTeam],$A47, Table2[AwayTeam], Z$36) + SUMIFS(Table2[HomeWon_], Table2[GameIsOver],1,Table2[AwayTeam],$A47, Table2[HomeTeam], Z$36, Table2[ActualResult], "REG") + SUMIFS(Table2[AwayWon], Table2[GameIsOver],1,Table2[HomeTeam],$A47, Table2[AwayTeam], Z$36, Table2[ActualResult], "REG") + SUMIFS(Table2[HomeWon_], Table2[GameIsOver],1,Table2[AwayTeam],$A47, Table2[HomeTeam], Z$36, Table2[ActualResult], "OT") + SUMIFS(Table2[AwayWon], Table2[GameIsOver],1,Table2[HomeTeam],$A47, Table2[AwayTeam], Z$36, Table2[ActualResult], "OT") + SUMIFS(Table2[HomeWon_], Table2[GameIsOver],1,Table2[AwayTeam],$A47, Table2[HomeTeam], Z$36, Table2[ActualResult], "SO") + SUMIFS(Table2[AwayWon], Table2[GameIsOver],1,Table2[HomeTeam],$A47, Table2[AwayTeam], Z$36, Table2[ActualResult], "SO"))), "")</f>
        <v/>
      </c>
      <c r="AA47" t="str">
        <f>IFERROR(((2*SUMIFS(Table2[AwayWon], Table2[GameIsOver],1,Table2[AwayTeam],$A47, Table2[HomeTeam], AA$36) + SUMIFS(Table2[HomeWon_], Table2[GameIsOver],1,Table2[HomeTeam],$A47, Table2[AwayTeam], AA$36)) + SUMIFS(Table2[AwayWon], Table2[GameIsOver],1,Table2[HomeTeam],$A47, Table2[AwayTeam], AA$36, Table2[ActualResult], "REG") + SUMIFS(Table2[HomeWon_], Table2[GameIsOver],1,Table2[AwayTeam],$A47, Table2[HomeTeam], AA$36, Table2[ActualResult], "OT") + SUMIFS(Table2[AwayWon], Table2[GameIsOver],1,Table2[HomeTeam],$A47, Table2[AwayTeam], AA$36, Table2[ActualResult], "OT") + SUMIFS(Table2[HomeWon_], Table2[GameIsOver],1,Table2[AwayTeam],$A47, Table2[HomeTeam], AA$36, Table2[ActualResult], "SO") + SUMIFS(Table2[AwayWon], Table2[GameIsOver],1,Table2[HomeTeam],$A47, Table2[AwayTeam], AA$36, Table2[ActualResult], "SO")) / (2*(SUMIFS(Table2[AwayWon], Table2[GameIsOver],1,Table2[AwayTeam],$A47, Table2[HomeTeam], AA$36) + SUMIFS(Table2[HomeWon_], Table2[GameIsOver],1,Table2[HomeTeam],$A47, Table2[AwayTeam], AA$36) + SUMIFS(Table2[HomeWon_], Table2[GameIsOver],1,Table2[AwayTeam],$A47, Table2[HomeTeam], AA$36, Table2[ActualResult], "REG") + SUMIFS(Table2[AwayWon], Table2[GameIsOver],1,Table2[HomeTeam],$A47, Table2[AwayTeam], AA$36, Table2[ActualResult], "REG") + SUMIFS(Table2[HomeWon_], Table2[GameIsOver],1,Table2[AwayTeam],$A47, Table2[HomeTeam], AA$36, Table2[ActualResult], "OT") + SUMIFS(Table2[AwayWon], Table2[GameIsOver],1,Table2[HomeTeam],$A47, Table2[AwayTeam], AA$36, Table2[ActualResult], "OT") + SUMIFS(Table2[HomeWon_], Table2[GameIsOver],1,Table2[AwayTeam],$A47, Table2[HomeTeam], AA$36, Table2[ActualResult], "SO") + SUMIFS(Table2[AwayWon], Table2[GameIsOver],1,Table2[HomeTeam],$A47, Table2[AwayTeam], AA$36, Table2[ActualResult], "SO"))), "")</f>
        <v/>
      </c>
      <c r="AB47" t="str">
        <f>IFERROR(((2*SUMIFS(Table2[AwayWon], Table2[GameIsOver],1,Table2[AwayTeam],$A47, Table2[HomeTeam], AB$36) + SUMIFS(Table2[HomeWon_], Table2[GameIsOver],1,Table2[HomeTeam],$A47, Table2[AwayTeam], AB$36)) + SUMIFS(Table2[AwayWon], Table2[GameIsOver],1,Table2[HomeTeam],$A47, Table2[AwayTeam], AB$36, Table2[ActualResult], "REG") + SUMIFS(Table2[HomeWon_], Table2[GameIsOver],1,Table2[AwayTeam],$A47, Table2[HomeTeam], AB$36, Table2[ActualResult], "OT") + SUMIFS(Table2[AwayWon], Table2[GameIsOver],1,Table2[HomeTeam],$A47, Table2[AwayTeam], AB$36, Table2[ActualResult], "OT") + SUMIFS(Table2[HomeWon_], Table2[GameIsOver],1,Table2[AwayTeam],$A47, Table2[HomeTeam], AB$36, Table2[ActualResult], "SO") + SUMIFS(Table2[AwayWon], Table2[GameIsOver],1,Table2[HomeTeam],$A47, Table2[AwayTeam], AB$36, Table2[ActualResult], "SO")) / (2*(SUMIFS(Table2[AwayWon], Table2[GameIsOver],1,Table2[AwayTeam],$A47, Table2[HomeTeam], AB$36) + SUMIFS(Table2[HomeWon_], Table2[GameIsOver],1,Table2[HomeTeam],$A47, Table2[AwayTeam], AB$36) + SUMIFS(Table2[HomeWon_], Table2[GameIsOver],1,Table2[AwayTeam],$A47, Table2[HomeTeam], AB$36, Table2[ActualResult], "REG") + SUMIFS(Table2[AwayWon], Table2[GameIsOver],1,Table2[HomeTeam],$A47, Table2[AwayTeam], AB$36, Table2[ActualResult], "REG") + SUMIFS(Table2[HomeWon_], Table2[GameIsOver],1,Table2[AwayTeam],$A47, Table2[HomeTeam], AB$36, Table2[ActualResult], "OT") + SUMIFS(Table2[AwayWon], Table2[GameIsOver],1,Table2[HomeTeam],$A47, Table2[AwayTeam], AB$36, Table2[ActualResult], "OT") + SUMIFS(Table2[HomeWon_], Table2[GameIsOver],1,Table2[AwayTeam],$A47, Table2[HomeTeam], AB$36, Table2[ActualResult], "SO") + SUMIFS(Table2[AwayWon], Table2[GameIsOver],1,Table2[HomeTeam],$A47, Table2[AwayTeam], AB$36, Table2[ActualResult], "SO"))), "")</f>
        <v/>
      </c>
      <c r="AC47" t="str">
        <f>IFERROR(((2*SUMIFS(Table2[AwayWon], Table2[GameIsOver],1,Table2[AwayTeam],$A47, Table2[HomeTeam], AC$36) + SUMIFS(Table2[HomeWon_], Table2[GameIsOver],1,Table2[HomeTeam],$A47, Table2[AwayTeam], AC$36)) + SUMIFS(Table2[AwayWon], Table2[GameIsOver],1,Table2[HomeTeam],$A47, Table2[AwayTeam], AC$36, Table2[ActualResult], "REG") + SUMIFS(Table2[HomeWon_], Table2[GameIsOver],1,Table2[AwayTeam],$A47, Table2[HomeTeam], AC$36, Table2[ActualResult], "OT") + SUMIFS(Table2[AwayWon], Table2[GameIsOver],1,Table2[HomeTeam],$A47, Table2[AwayTeam], AC$36, Table2[ActualResult], "OT") + SUMIFS(Table2[HomeWon_], Table2[GameIsOver],1,Table2[AwayTeam],$A47, Table2[HomeTeam], AC$36, Table2[ActualResult], "SO") + SUMIFS(Table2[AwayWon], Table2[GameIsOver],1,Table2[HomeTeam],$A47, Table2[AwayTeam], AC$36, Table2[ActualResult], "SO")) / (2*(SUMIFS(Table2[AwayWon], Table2[GameIsOver],1,Table2[AwayTeam],$A47, Table2[HomeTeam], AC$36) + SUMIFS(Table2[HomeWon_], Table2[GameIsOver],1,Table2[HomeTeam],$A47, Table2[AwayTeam], AC$36) + SUMIFS(Table2[HomeWon_], Table2[GameIsOver],1,Table2[AwayTeam],$A47, Table2[HomeTeam], AC$36, Table2[ActualResult], "REG") + SUMIFS(Table2[AwayWon], Table2[GameIsOver],1,Table2[HomeTeam],$A47, Table2[AwayTeam], AC$36, Table2[ActualResult], "REG") + SUMIFS(Table2[HomeWon_], Table2[GameIsOver],1,Table2[AwayTeam],$A47, Table2[HomeTeam], AC$36, Table2[ActualResult], "OT") + SUMIFS(Table2[AwayWon], Table2[GameIsOver],1,Table2[HomeTeam],$A47, Table2[AwayTeam], AC$36, Table2[ActualResult], "OT") + SUMIFS(Table2[HomeWon_], Table2[GameIsOver],1,Table2[AwayTeam],$A47, Table2[HomeTeam], AC$36, Table2[ActualResult], "SO") + SUMIFS(Table2[AwayWon], Table2[GameIsOver],1,Table2[HomeTeam],$A47, Table2[AwayTeam], AC$36, Table2[ActualResult], "SO"))), "")</f>
        <v/>
      </c>
      <c r="AD47" t="str">
        <f>IFERROR(((2*SUMIFS(Table2[AwayWon], Table2[GameIsOver],1,Table2[AwayTeam],$A47, Table2[HomeTeam], AD$36) + SUMIFS(Table2[HomeWon_], Table2[GameIsOver],1,Table2[HomeTeam],$A47, Table2[AwayTeam], AD$36)) + SUMIFS(Table2[AwayWon], Table2[GameIsOver],1,Table2[HomeTeam],$A47, Table2[AwayTeam], AD$36, Table2[ActualResult], "REG") + SUMIFS(Table2[HomeWon_], Table2[GameIsOver],1,Table2[AwayTeam],$A47, Table2[HomeTeam], AD$36, Table2[ActualResult], "OT") + SUMIFS(Table2[AwayWon], Table2[GameIsOver],1,Table2[HomeTeam],$A47, Table2[AwayTeam], AD$36, Table2[ActualResult], "OT") + SUMIFS(Table2[HomeWon_], Table2[GameIsOver],1,Table2[AwayTeam],$A47, Table2[HomeTeam], AD$36, Table2[ActualResult], "SO") + SUMIFS(Table2[AwayWon], Table2[GameIsOver],1,Table2[HomeTeam],$A47, Table2[AwayTeam], AD$36, Table2[ActualResult], "SO")) / (2*(SUMIFS(Table2[AwayWon], Table2[GameIsOver],1,Table2[AwayTeam],$A47, Table2[HomeTeam], AD$36) + SUMIFS(Table2[HomeWon_], Table2[GameIsOver],1,Table2[HomeTeam],$A47, Table2[AwayTeam], AD$36) + SUMIFS(Table2[HomeWon_], Table2[GameIsOver],1,Table2[AwayTeam],$A47, Table2[HomeTeam], AD$36, Table2[ActualResult], "REG") + SUMIFS(Table2[AwayWon], Table2[GameIsOver],1,Table2[HomeTeam],$A47, Table2[AwayTeam], AD$36, Table2[ActualResult], "REG") + SUMIFS(Table2[HomeWon_], Table2[GameIsOver],1,Table2[AwayTeam],$A47, Table2[HomeTeam], AD$36, Table2[ActualResult], "OT") + SUMIFS(Table2[AwayWon], Table2[GameIsOver],1,Table2[HomeTeam],$A47, Table2[AwayTeam], AD$36, Table2[ActualResult], "OT") + SUMIFS(Table2[HomeWon_], Table2[GameIsOver],1,Table2[AwayTeam],$A47, Table2[HomeTeam], AD$36, Table2[ActualResult], "SO") + SUMIFS(Table2[AwayWon], Table2[GameIsOver],1,Table2[HomeTeam],$A47, Table2[AwayTeam], AD$36, Table2[ActualResult], "SO"))), "")</f>
        <v/>
      </c>
      <c r="AE47" t="str">
        <f>IFERROR(((2*SUMIFS(Table2[AwayWon], Table2[GameIsOver],1,Table2[AwayTeam],$A47, Table2[HomeTeam], AE$36) + SUMIFS(Table2[HomeWon_], Table2[GameIsOver],1,Table2[HomeTeam],$A47, Table2[AwayTeam], AE$36)) + SUMIFS(Table2[AwayWon], Table2[GameIsOver],1,Table2[HomeTeam],$A47, Table2[AwayTeam], AE$36, Table2[ActualResult], "REG") + SUMIFS(Table2[HomeWon_], Table2[GameIsOver],1,Table2[AwayTeam],$A47, Table2[HomeTeam], AE$36, Table2[ActualResult], "OT") + SUMIFS(Table2[AwayWon], Table2[GameIsOver],1,Table2[HomeTeam],$A47, Table2[AwayTeam], AE$36, Table2[ActualResult], "OT") + SUMIFS(Table2[HomeWon_], Table2[GameIsOver],1,Table2[AwayTeam],$A47, Table2[HomeTeam], AE$36, Table2[ActualResult], "SO") + SUMIFS(Table2[AwayWon], Table2[GameIsOver],1,Table2[HomeTeam],$A47, Table2[AwayTeam], AE$36, Table2[ActualResult], "SO")) / (2*(SUMIFS(Table2[AwayWon], Table2[GameIsOver],1,Table2[AwayTeam],$A47, Table2[HomeTeam], AE$36) + SUMIFS(Table2[HomeWon_], Table2[GameIsOver],1,Table2[HomeTeam],$A47, Table2[AwayTeam], AE$36) + SUMIFS(Table2[HomeWon_], Table2[GameIsOver],1,Table2[AwayTeam],$A47, Table2[HomeTeam], AE$36, Table2[ActualResult], "REG") + SUMIFS(Table2[AwayWon], Table2[GameIsOver],1,Table2[HomeTeam],$A47, Table2[AwayTeam], AE$36, Table2[ActualResult], "REG") + SUMIFS(Table2[HomeWon_], Table2[GameIsOver],1,Table2[AwayTeam],$A47, Table2[HomeTeam], AE$36, Table2[ActualResult], "OT") + SUMIFS(Table2[AwayWon], Table2[GameIsOver],1,Table2[HomeTeam],$A47, Table2[AwayTeam], AE$36, Table2[ActualResult], "OT") + SUMIFS(Table2[HomeWon_], Table2[GameIsOver],1,Table2[AwayTeam],$A47, Table2[HomeTeam], AE$36, Table2[ActualResult], "SO") + SUMIFS(Table2[AwayWon], Table2[GameIsOver],1,Table2[HomeTeam],$A47, Table2[AwayTeam], AE$36, Table2[ActualResult], "SO"))), "")</f>
        <v/>
      </c>
      <c r="AF47" t="str">
        <f>IFERROR(((2*SUMIFS(Table2[AwayWon], Table2[GameIsOver],1,Table2[AwayTeam],$A47, Table2[HomeTeam], AF$36) + SUMIFS(Table2[HomeWon_], Table2[GameIsOver],1,Table2[HomeTeam],$A47, Table2[AwayTeam], AF$36)) + SUMIFS(Table2[AwayWon], Table2[GameIsOver],1,Table2[HomeTeam],$A47, Table2[AwayTeam], AF$36, Table2[ActualResult], "REG") + SUMIFS(Table2[HomeWon_], Table2[GameIsOver],1,Table2[AwayTeam],$A47, Table2[HomeTeam], AF$36, Table2[ActualResult], "OT") + SUMIFS(Table2[AwayWon], Table2[GameIsOver],1,Table2[HomeTeam],$A47, Table2[AwayTeam], AF$36, Table2[ActualResult], "OT") + SUMIFS(Table2[HomeWon_], Table2[GameIsOver],1,Table2[AwayTeam],$A47, Table2[HomeTeam], AF$36, Table2[ActualResult], "SO") + SUMIFS(Table2[AwayWon], Table2[GameIsOver],1,Table2[HomeTeam],$A47, Table2[AwayTeam], AF$36, Table2[ActualResult], "SO")) / (2*(SUMIFS(Table2[AwayWon], Table2[GameIsOver],1,Table2[AwayTeam],$A47, Table2[HomeTeam], AF$36) + SUMIFS(Table2[HomeWon_], Table2[GameIsOver],1,Table2[HomeTeam],$A47, Table2[AwayTeam], AF$36) + SUMIFS(Table2[HomeWon_], Table2[GameIsOver],1,Table2[AwayTeam],$A47, Table2[HomeTeam], AF$36, Table2[ActualResult], "REG") + SUMIFS(Table2[AwayWon], Table2[GameIsOver],1,Table2[HomeTeam],$A47, Table2[AwayTeam], AF$36, Table2[ActualResult], "REG") + SUMIFS(Table2[HomeWon_], Table2[GameIsOver],1,Table2[AwayTeam],$A47, Table2[HomeTeam], AF$36, Table2[ActualResult], "OT") + SUMIFS(Table2[AwayWon], Table2[GameIsOver],1,Table2[HomeTeam],$A47, Table2[AwayTeam], AF$36, Table2[ActualResult], "OT") + SUMIFS(Table2[HomeWon_], Table2[GameIsOver],1,Table2[AwayTeam],$A47, Table2[HomeTeam], AF$36, Table2[ActualResult], "SO") + SUMIFS(Table2[AwayWon], Table2[GameIsOver],1,Table2[HomeTeam],$A47, Table2[AwayTeam], AF$36, Table2[ActualResult], "SO"))), "")</f>
        <v/>
      </c>
      <c r="AG47" s="57" t="str">
        <f>IFERROR(((2*SUMIFS(Table2[AwayWon], Table2[GameIsOver],1,Table2[AwayTeam],$A47, Table2[HomeTeam], AG$36) + SUMIFS(Table2[HomeWon_], Table2[GameIsOver],1,Table2[HomeTeam],$A47, Table2[AwayTeam], AG$36)) + SUMIFS(Table2[AwayWon], Table2[GameIsOver],1,Table2[HomeTeam],$A47, Table2[AwayTeam], AG$36, Table2[ActualResult], "REG") + SUMIFS(Table2[HomeWon_], Table2[GameIsOver],1,Table2[AwayTeam],$A47, Table2[HomeTeam], AG$36, Table2[ActualResult], "OT") + SUMIFS(Table2[AwayWon], Table2[GameIsOver],1,Table2[HomeTeam],$A47, Table2[AwayTeam], AG$36, Table2[ActualResult], "OT") + SUMIFS(Table2[HomeWon_], Table2[GameIsOver],1,Table2[AwayTeam],$A47, Table2[HomeTeam], AG$36, Table2[ActualResult], "SO") + SUMIFS(Table2[AwayWon], Table2[GameIsOver],1,Table2[HomeTeam],$A47, Table2[AwayTeam], AG$36, Table2[ActualResult], "SO")) / (2*(SUMIFS(Table2[AwayWon], Table2[GameIsOver],1,Table2[AwayTeam],$A47, Table2[HomeTeam], AG$36) + SUMIFS(Table2[HomeWon_], Table2[GameIsOver],1,Table2[HomeTeam],$A47, Table2[AwayTeam], AG$36) + SUMIFS(Table2[HomeWon_], Table2[GameIsOver],1,Table2[AwayTeam],$A47, Table2[HomeTeam], AG$36, Table2[ActualResult], "REG") + SUMIFS(Table2[AwayWon], Table2[GameIsOver],1,Table2[HomeTeam],$A47, Table2[AwayTeam], AG$36, Table2[ActualResult], "REG") + SUMIFS(Table2[HomeWon_], Table2[GameIsOver],1,Table2[AwayTeam],$A47, Table2[HomeTeam], AG$36, Table2[ActualResult], "OT") + SUMIFS(Table2[AwayWon], Table2[GameIsOver],1,Table2[HomeTeam],$A47, Table2[AwayTeam], AG$36, Table2[ActualResult], "OT") + SUMIFS(Table2[HomeWon_], Table2[GameIsOver],1,Table2[AwayTeam],$A47, Table2[HomeTeam], AG$36, Table2[ActualResult], "SO") + SUMIFS(Table2[AwayWon], Table2[GameIsOver],1,Table2[HomeTeam],$A47, Table2[AwayTeam], AG$36, Table2[ActualResult], "SO"))), "")</f>
        <v/>
      </c>
      <c r="AH47" s="101">
        <f t="shared" si="0"/>
        <v>0.5</v>
      </c>
      <c r="AI47" s="101">
        <f t="shared" si="1"/>
        <v>0.6</v>
      </c>
      <c r="AJ47" s="103" t="e">
        <f t="shared" si="2"/>
        <v>#DIV/0!</v>
      </c>
      <c r="AK47" s="103">
        <f t="shared" si="3"/>
        <v>0.5</v>
      </c>
      <c r="AL47" s="103">
        <f t="shared" si="4"/>
        <v>0.625</v>
      </c>
      <c r="AM47" s="103">
        <f t="shared" si="5"/>
        <v>0.5</v>
      </c>
    </row>
    <row r="48" spans="1:39" x14ac:dyDescent="0.25">
      <c r="A48" s="57" t="s">
        <v>36</v>
      </c>
      <c r="B48" s="24" t="str">
        <f>IFERROR(((2*SUMIFS(Table2[AwayWon], Table2[GameIsOver],1,Table2[AwayTeam],$A48, Table2[HomeTeam], B$36) + SUMIFS(Table2[HomeWon_], Table2[GameIsOver],1,Table2[HomeTeam],$A48, Table2[AwayTeam], B$36)) + SUMIFS(Table2[AwayWon], Table2[GameIsOver],1,Table2[HomeTeam],$A48, Table2[AwayTeam], B$36, Table2[ActualResult], "REG") + SUMIFS(Table2[HomeWon_], Table2[GameIsOver],1,Table2[AwayTeam],$A48, Table2[HomeTeam], B$36, Table2[ActualResult], "OT") + SUMIFS(Table2[AwayWon], Table2[GameIsOver],1,Table2[HomeTeam],$A48, Table2[AwayTeam], B$36, Table2[ActualResult], "OT") + SUMIFS(Table2[HomeWon_], Table2[GameIsOver],1,Table2[AwayTeam],$A48, Table2[HomeTeam], B$36, Table2[ActualResult], "SO") + SUMIFS(Table2[AwayWon], Table2[GameIsOver],1,Table2[HomeTeam],$A48, Table2[AwayTeam], B$36, Table2[ActualResult], "SO")) / (2*(SUMIFS(Table2[AwayWon], Table2[GameIsOver],1,Table2[AwayTeam],$A48, Table2[HomeTeam], B$36) + SUMIFS(Table2[HomeWon_], Table2[GameIsOver],1,Table2[HomeTeam],$A48, Table2[AwayTeam], B$36) + SUMIFS(Table2[HomeWon_], Table2[GameIsOver],1,Table2[AwayTeam],$A48, Table2[HomeTeam], B$36, Table2[ActualResult], "REG") + SUMIFS(Table2[AwayWon], Table2[GameIsOver],1,Table2[HomeTeam],$A48, Table2[AwayTeam], B$36, Table2[ActualResult], "REG") + SUMIFS(Table2[HomeWon_], Table2[GameIsOver],1,Table2[AwayTeam],$A48, Table2[HomeTeam], B$36, Table2[ActualResult], "OT") + SUMIFS(Table2[AwayWon], Table2[GameIsOver],1,Table2[HomeTeam],$A48, Table2[AwayTeam], B$36, Table2[ActualResult], "OT") + SUMIFS(Table2[HomeWon_], Table2[GameIsOver],1,Table2[AwayTeam],$A48, Table2[HomeTeam], B$36, Table2[ActualResult], "SO") + SUMIFS(Table2[AwayWon], Table2[GameIsOver],1,Table2[HomeTeam],$A48, Table2[AwayTeam], B$36, Table2[ActualResult], "SO"))), "")</f>
        <v/>
      </c>
      <c r="C48" s="24" t="str">
        <f>IFERROR(((2*SUMIFS(Table2[AwayWon], Table2[GameIsOver],1,Table2[AwayTeam],$A48, Table2[HomeTeam], C$36) + SUMIFS(Table2[HomeWon_], Table2[GameIsOver],1,Table2[HomeTeam],$A48, Table2[AwayTeam], C$36)) + SUMIFS(Table2[AwayWon], Table2[GameIsOver],1,Table2[HomeTeam],$A48, Table2[AwayTeam], C$36, Table2[ActualResult], "REG") + SUMIFS(Table2[HomeWon_], Table2[GameIsOver],1,Table2[AwayTeam],$A48, Table2[HomeTeam], C$36, Table2[ActualResult], "OT") + SUMIFS(Table2[AwayWon], Table2[GameIsOver],1,Table2[HomeTeam],$A48, Table2[AwayTeam], C$36, Table2[ActualResult], "OT") + SUMIFS(Table2[HomeWon_], Table2[GameIsOver],1,Table2[AwayTeam],$A48, Table2[HomeTeam], C$36, Table2[ActualResult], "SO") + SUMIFS(Table2[AwayWon], Table2[GameIsOver],1,Table2[HomeTeam],$A48, Table2[AwayTeam], C$36, Table2[ActualResult], "SO")) / (2*(SUMIFS(Table2[AwayWon], Table2[GameIsOver],1,Table2[AwayTeam],$A48, Table2[HomeTeam], C$36) + SUMIFS(Table2[HomeWon_], Table2[GameIsOver],1,Table2[HomeTeam],$A48, Table2[AwayTeam], C$36) + SUMIFS(Table2[HomeWon_], Table2[GameIsOver],1,Table2[AwayTeam],$A48, Table2[HomeTeam], C$36, Table2[ActualResult], "REG") + SUMIFS(Table2[AwayWon], Table2[GameIsOver],1,Table2[HomeTeam],$A48, Table2[AwayTeam], C$36, Table2[ActualResult], "REG") + SUMIFS(Table2[HomeWon_], Table2[GameIsOver],1,Table2[AwayTeam],$A48, Table2[HomeTeam], C$36, Table2[ActualResult], "OT") + SUMIFS(Table2[AwayWon], Table2[GameIsOver],1,Table2[HomeTeam],$A48, Table2[AwayTeam], C$36, Table2[ActualResult], "OT") + SUMIFS(Table2[HomeWon_], Table2[GameIsOver],1,Table2[AwayTeam],$A48, Table2[HomeTeam], C$36, Table2[ActualResult], "SO") + SUMIFS(Table2[AwayWon], Table2[GameIsOver],1,Table2[HomeTeam],$A48, Table2[AwayTeam], C$36, Table2[ActualResult], "SO"))), "")</f>
        <v/>
      </c>
      <c r="D48" t="str">
        <f>IFERROR(((2*SUMIFS(Table2[AwayWon], Table2[GameIsOver],1,Table2[AwayTeam],$A48, Table2[HomeTeam], D$36) + SUMIFS(Table2[HomeWon_], Table2[GameIsOver],1,Table2[HomeTeam],$A48, Table2[AwayTeam], D$36)) + SUMIFS(Table2[AwayWon], Table2[GameIsOver],1,Table2[HomeTeam],$A48, Table2[AwayTeam], D$36, Table2[ActualResult], "REG") + SUMIFS(Table2[HomeWon_], Table2[GameIsOver],1,Table2[AwayTeam],$A48, Table2[HomeTeam], D$36, Table2[ActualResult], "OT") + SUMIFS(Table2[AwayWon], Table2[GameIsOver],1,Table2[HomeTeam],$A48, Table2[AwayTeam], D$36, Table2[ActualResult], "OT") + SUMIFS(Table2[HomeWon_], Table2[GameIsOver],1,Table2[AwayTeam],$A48, Table2[HomeTeam], D$36, Table2[ActualResult], "SO") + SUMIFS(Table2[AwayWon], Table2[GameIsOver],1,Table2[HomeTeam],$A48, Table2[AwayTeam], D$36, Table2[ActualResult], "SO")) / (2*(SUMIFS(Table2[AwayWon], Table2[GameIsOver],1,Table2[AwayTeam],$A48, Table2[HomeTeam], D$36) + SUMIFS(Table2[HomeWon_], Table2[GameIsOver],1,Table2[HomeTeam],$A48, Table2[AwayTeam], D$36) + SUMIFS(Table2[HomeWon_], Table2[GameIsOver],1,Table2[AwayTeam],$A48, Table2[HomeTeam], D$36, Table2[ActualResult], "REG") + SUMIFS(Table2[AwayWon], Table2[GameIsOver],1,Table2[HomeTeam],$A48, Table2[AwayTeam], D$36, Table2[ActualResult], "REG") + SUMIFS(Table2[HomeWon_], Table2[GameIsOver],1,Table2[AwayTeam],$A48, Table2[HomeTeam], D$36, Table2[ActualResult], "OT") + SUMIFS(Table2[AwayWon], Table2[GameIsOver],1,Table2[HomeTeam],$A48, Table2[AwayTeam], D$36, Table2[ActualResult], "OT") + SUMIFS(Table2[HomeWon_], Table2[GameIsOver],1,Table2[AwayTeam],$A48, Table2[HomeTeam], D$36, Table2[ActualResult], "SO") + SUMIFS(Table2[AwayWon], Table2[GameIsOver],1,Table2[HomeTeam],$A48, Table2[AwayTeam], D$36, Table2[ActualResult], "SO"))), "")</f>
        <v/>
      </c>
      <c r="E48">
        <f>IFERROR(((2*SUMIFS(Table2[AwayWon], Table2[GameIsOver],1,Table2[AwayTeam],$A48, Table2[HomeTeam], E$36) + SUMIFS(Table2[HomeWon_], Table2[GameIsOver],1,Table2[HomeTeam],$A48, Table2[AwayTeam], E$36)) + SUMIFS(Table2[AwayWon], Table2[GameIsOver],1,Table2[HomeTeam],$A48, Table2[AwayTeam], E$36, Table2[ActualResult], "REG") + SUMIFS(Table2[HomeWon_], Table2[GameIsOver],1,Table2[AwayTeam],$A48, Table2[HomeTeam], E$36, Table2[ActualResult], "OT") + SUMIFS(Table2[AwayWon], Table2[GameIsOver],1,Table2[HomeTeam],$A48, Table2[AwayTeam], E$36, Table2[ActualResult], "OT") + SUMIFS(Table2[HomeWon_], Table2[GameIsOver],1,Table2[AwayTeam],$A48, Table2[HomeTeam], E$36, Table2[ActualResult], "SO") + SUMIFS(Table2[AwayWon], Table2[GameIsOver],1,Table2[HomeTeam],$A48, Table2[AwayTeam], E$36, Table2[ActualResult], "SO")) / (2*(SUMIFS(Table2[AwayWon], Table2[GameIsOver],1,Table2[AwayTeam],$A48, Table2[HomeTeam], E$36) + SUMIFS(Table2[HomeWon_], Table2[GameIsOver],1,Table2[HomeTeam],$A48, Table2[AwayTeam], E$36) + SUMIFS(Table2[HomeWon_], Table2[GameIsOver],1,Table2[AwayTeam],$A48, Table2[HomeTeam], E$36, Table2[ActualResult], "REG") + SUMIFS(Table2[AwayWon], Table2[GameIsOver],1,Table2[HomeTeam],$A48, Table2[AwayTeam], E$36, Table2[ActualResult], "REG") + SUMIFS(Table2[HomeWon_], Table2[GameIsOver],1,Table2[AwayTeam],$A48, Table2[HomeTeam], E$36, Table2[ActualResult], "OT") + SUMIFS(Table2[AwayWon], Table2[GameIsOver],1,Table2[HomeTeam],$A48, Table2[AwayTeam], E$36, Table2[ActualResult], "OT") + SUMIFS(Table2[HomeWon_], Table2[GameIsOver],1,Table2[AwayTeam],$A48, Table2[HomeTeam], E$36, Table2[ActualResult], "SO") + SUMIFS(Table2[AwayWon], Table2[GameIsOver],1,Table2[HomeTeam],$A48, Table2[AwayTeam], E$36, Table2[ActualResult], "SO"))), "")</f>
        <v>0.5</v>
      </c>
      <c r="F48" t="str">
        <f>IFERROR(((2*SUMIFS(Table2[AwayWon], Table2[GameIsOver],1,Table2[AwayTeam],$A48, Table2[HomeTeam], F$36) + SUMIFS(Table2[HomeWon_], Table2[GameIsOver],1,Table2[HomeTeam],$A48, Table2[AwayTeam], F$36)) + SUMIFS(Table2[AwayWon], Table2[GameIsOver],1,Table2[HomeTeam],$A48, Table2[AwayTeam], F$36, Table2[ActualResult], "REG") + SUMIFS(Table2[HomeWon_], Table2[GameIsOver],1,Table2[AwayTeam],$A48, Table2[HomeTeam], F$36, Table2[ActualResult], "OT") + SUMIFS(Table2[AwayWon], Table2[GameIsOver],1,Table2[HomeTeam],$A48, Table2[AwayTeam], F$36, Table2[ActualResult], "OT") + SUMIFS(Table2[HomeWon_], Table2[GameIsOver],1,Table2[AwayTeam],$A48, Table2[HomeTeam], F$36, Table2[ActualResult], "SO") + SUMIFS(Table2[AwayWon], Table2[GameIsOver],1,Table2[HomeTeam],$A48, Table2[AwayTeam], F$36, Table2[ActualResult], "SO")) / (2*(SUMIFS(Table2[AwayWon], Table2[GameIsOver],1,Table2[AwayTeam],$A48, Table2[HomeTeam], F$36) + SUMIFS(Table2[HomeWon_], Table2[GameIsOver],1,Table2[HomeTeam],$A48, Table2[AwayTeam], F$36) + SUMIFS(Table2[HomeWon_], Table2[GameIsOver],1,Table2[AwayTeam],$A48, Table2[HomeTeam], F$36, Table2[ActualResult], "REG") + SUMIFS(Table2[AwayWon], Table2[GameIsOver],1,Table2[HomeTeam],$A48, Table2[AwayTeam], F$36, Table2[ActualResult], "REG") + SUMIFS(Table2[HomeWon_], Table2[GameIsOver],1,Table2[AwayTeam],$A48, Table2[HomeTeam], F$36, Table2[ActualResult], "OT") + SUMIFS(Table2[AwayWon], Table2[GameIsOver],1,Table2[HomeTeam],$A48, Table2[AwayTeam], F$36, Table2[ActualResult], "OT") + SUMIFS(Table2[HomeWon_], Table2[GameIsOver],1,Table2[AwayTeam],$A48, Table2[HomeTeam], F$36, Table2[ActualResult], "SO") + SUMIFS(Table2[AwayWon], Table2[GameIsOver],1,Table2[HomeTeam],$A48, Table2[AwayTeam], F$36, Table2[ActualResult], "SO"))), "")</f>
        <v/>
      </c>
      <c r="G48" t="str">
        <f>IFERROR(((2*SUMIFS(Table2[AwayWon], Table2[GameIsOver],1,Table2[AwayTeam],$A48, Table2[HomeTeam], G$36) + SUMIFS(Table2[HomeWon_], Table2[GameIsOver],1,Table2[HomeTeam],$A48, Table2[AwayTeam], G$36)) + SUMIFS(Table2[AwayWon], Table2[GameIsOver],1,Table2[HomeTeam],$A48, Table2[AwayTeam], G$36, Table2[ActualResult], "REG") + SUMIFS(Table2[HomeWon_], Table2[GameIsOver],1,Table2[AwayTeam],$A48, Table2[HomeTeam], G$36, Table2[ActualResult], "OT") + SUMIFS(Table2[AwayWon], Table2[GameIsOver],1,Table2[HomeTeam],$A48, Table2[AwayTeam], G$36, Table2[ActualResult], "OT") + SUMIFS(Table2[HomeWon_], Table2[GameIsOver],1,Table2[AwayTeam],$A48, Table2[HomeTeam], G$36, Table2[ActualResult], "SO") + SUMIFS(Table2[AwayWon], Table2[GameIsOver],1,Table2[HomeTeam],$A48, Table2[AwayTeam], G$36, Table2[ActualResult], "SO")) / (2*(SUMIFS(Table2[AwayWon], Table2[GameIsOver],1,Table2[AwayTeam],$A48, Table2[HomeTeam], G$36) + SUMIFS(Table2[HomeWon_], Table2[GameIsOver],1,Table2[HomeTeam],$A48, Table2[AwayTeam], G$36) + SUMIFS(Table2[HomeWon_], Table2[GameIsOver],1,Table2[AwayTeam],$A48, Table2[HomeTeam], G$36, Table2[ActualResult], "REG") + SUMIFS(Table2[AwayWon], Table2[GameIsOver],1,Table2[HomeTeam],$A48, Table2[AwayTeam], G$36, Table2[ActualResult], "REG") + SUMIFS(Table2[HomeWon_], Table2[GameIsOver],1,Table2[AwayTeam],$A48, Table2[HomeTeam], G$36, Table2[ActualResult], "OT") + SUMIFS(Table2[AwayWon], Table2[GameIsOver],1,Table2[HomeTeam],$A48, Table2[AwayTeam], G$36, Table2[ActualResult], "OT") + SUMIFS(Table2[HomeWon_], Table2[GameIsOver],1,Table2[AwayTeam],$A48, Table2[HomeTeam], G$36, Table2[ActualResult], "SO") + SUMIFS(Table2[AwayWon], Table2[GameIsOver],1,Table2[HomeTeam],$A48, Table2[AwayTeam], G$36, Table2[ActualResult], "SO"))), "")</f>
        <v/>
      </c>
      <c r="H48" t="str">
        <f>IFERROR(((2*SUMIFS(Table2[AwayWon], Table2[GameIsOver],1,Table2[AwayTeam],$A48, Table2[HomeTeam], H$36) + SUMIFS(Table2[HomeWon_], Table2[GameIsOver],1,Table2[HomeTeam],$A48, Table2[AwayTeam], H$36)) + SUMIFS(Table2[AwayWon], Table2[GameIsOver],1,Table2[HomeTeam],$A48, Table2[AwayTeam], H$36, Table2[ActualResult], "REG") + SUMIFS(Table2[HomeWon_], Table2[GameIsOver],1,Table2[AwayTeam],$A48, Table2[HomeTeam], H$36, Table2[ActualResult], "OT") + SUMIFS(Table2[AwayWon], Table2[GameIsOver],1,Table2[HomeTeam],$A48, Table2[AwayTeam], H$36, Table2[ActualResult], "OT") + SUMIFS(Table2[HomeWon_], Table2[GameIsOver],1,Table2[AwayTeam],$A48, Table2[HomeTeam], H$36, Table2[ActualResult], "SO") + SUMIFS(Table2[AwayWon], Table2[GameIsOver],1,Table2[HomeTeam],$A48, Table2[AwayTeam], H$36, Table2[ActualResult], "SO")) / (2*(SUMIFS(Table2[AwayWon], Table2[GameIsOver],1,Table2[AwayTeam],$A48, Table2[HomeTeam], H$36) + SUMIFS(Table2[HomeWon_], Table2[GameIsOver],1,Table2[HomeTeam],$A48, Table2[AwayTeam], H$36) + SUMIFS(Table2[HomeWon_], Table2[GameIsOver],1,Table2[AwayTeam],$A48, Table2[HomeTeam], H$36, Table2[ActualResult], "REG") + SUMIFS(Table2[AwayWon], Table2[GameIsOver],1,Table2[HomeTeam],$A48, Table2[AwayTeam], H$36, Table2[ActualResult], "REG") + SUMIFS(Table2[HomeWon_], Table2[GameIsOver],1,Table2[AwayTeam],$A48, Table2[HomeTeam], H$36, Table2[ActualResult], "OT") + SUMIFS(Table2[AwayWon], Table2[GameIsOver],1,Table2[HomeTeam],$A48, Table2[AwayTeam], H$36, Table2[ActualResult], "OT") + SUMIFS(Table2[HomeWon_], Table2[GameIsOver],1,Table2[AwayTeam],$A48, Table2[HomeTeam], H$36, Table2[ActualResult], "SO") + SUMIFS(Table2[AwayWon], Table2[GameIsOver],1,Table2[HomeTeam],$A48, Table2[AwayTeam], H$36, Table2[ActualResult], "SO"))), "")</f>
        <v/>
      </c>
      <c r="I48" s="57" t="str">
        <f>IFERROR(((2*SUMIFS(Table2[AwayWon], Table2[GameIsOver],1,Table2[AwayTeam],$A48, Table2[HomeTeam], I$36) + SUMIFS(Table2[HomeWon_], Table2[GameIsOver],1,Table2[HomeTeam],$A48, Table2[AwayTeam], I$36)) + SUMIFS(Table2[AwayWon], Table2[GameIsOver],1,Table2[HomeTeam],$A48, Table2[AwayTeam], I$36, Table2[ActualResult], "REG") + SUMIFS(Table2[HomeWon_], Table2[GameIsOver],1,Table2[AwayTeam],$A48, Table2[HomeTeam], I$36, Table2[ActualResult], "OT") + SUMIFS(Table2[AwayWon], Table2[GameIsOver],1,Table2[HomeTeam],$A48, Table2[AwayTeam], I$36, Table2[ActualResult], "OT") + SUMIFS(Table2[HomeWon_], Table2[GameIsOver],1,Table2[AwayTeam],$A48, Table2[HomeTeam], I$36, Table2[ActualResult], "SO") + SUMIFS(Table2[AwayWon], Table2[GameIsOver],1,Table2[HomeTeam],$A48, Table2[AwayTeam], I$36, Table2[ActualResult], "SO")) / (2*(SUMIFS(Table2[AwayWon], Table2[GameIsOver],1,Table2[AwayTeam],$A48, Table2[HomeTeam], I$36) + SUMIFS(Table2[HomeWon_], Table2[GameIsOver],1,Table2[HomeTeam],$A48, Table2[AwayTeam], I$36) + SUMIFS(Table2[HomeWon_], Table2[GameIsOver],1,Table2[AwayTeam],$A48, Table2[HomeTeam], I$36, Table2[ActualResult], "REG") + SUMIFS(Table2[AwayWon], Table2[GameIsOver],1,Table2[HomeTeam],$A48, Table2[AwayTeam], I$36, Table2[ActualResult], "REG") + SUMIFS(Table2[HomeWon_], Table2[GameIsOver],1,Table2[AwayTeam],$A48, Table2[HomeTeam], I$36, Table2[ActualResult], "OT") + SUMIFS(Table2[AwayWon], Table2[GameIsOver],1,Table2[HomeTeam],$A48, Table2[AwayTeam], I$36, Table2[ActualResult], "OT") + SUMIFS(Table2[HomeWon_], Table2[GameIsOver],1,Table2[AwayTeam],$A48, Table2[HomeTeam], I$36, Table2[ActualResult], "SO") + SUMIFS(Table2[AwayWon], Table2[GameIsOver],1,Table2[HomeTeam],$A48, Table2[AwayTeam], I$36, Table2[ActualResult], "SO"))), "")</f>
        <v/>
      </c>
      <c r="J48" t="str">
        <f>IFERROR(((2*SUMIFS(Table2[AwayWon], Table2[GameIsOver],1,Table2[AwayTeam],$A48, Table2[HomeTeam], J$36) + SUMIFS(Table2[HomeWon_], Table2[GameIsOver],1,Table2[HomeTeam],$A48, Table2[AwayTeam], J$36)) + SUMIFS(Table2[AwayWon], Table2[GameIsOver],1,Table2[HomeTeam],$A48, Table2[AwayTeam], J$36, Table2[ActualResult], "REG") + SUMIFS(Table2[HomeWon_], Table2[GameIsOver],1,Table2[AwayTeam],$A48, Table2[HomeTeam], J$36, Table2[ActualResult], "OT") + SUMIFS(Table2[AwayWon], Table2[GameIsOver],1,Table2[HomeTeam],$A48, Table2[AwayTeam], J$36, Table2[ActualResult], "OT") + SUMIFS(Table2[HomeWon_], Table2[GameIsOver],1,Table2[AwayTeam],$A48, Table2[HomeTeam], J$36, Table2[ActualResult], "SO") + SUMIFS(Table2[AwayWon], Table2[GameIsOver],1,Table2[HomeTeam],$A48, Table2[AwayTeam], J$36, Table2[ActualResult], "SO")) / (2*(SUMIFS(Table2[AwayWon], Table2[GameIsOver],1,Table2[AwayTeam],$A48, Table2[HomeTeam], J$36) + SUMIFS(Table2[HomeWon_], Table2[GameIsOver],1,Table2[HomeTeam],$A48, Table2[AwayTeam], J$36) + SUMIFS(Table2[HomeWon_], Table2[GameIsOver],1,Table2[AwayTeam],$A48, Table2[HomeTeam], J$36, Table2[ActualResult], "REG") + SUMIFS(Table2[AwayWon], Table2[GameIsOver],1,Table2[HomeTeam],$A48, Table2[AwayTeam], J$36, Table2[ActualResult], "REG") + SUMIFS(Table2[HomeWon_], Table2[GameIsOver],1,Table2[AwayTeam],$A48, Table2[HomeTeam], J$36, Table2[ActualResult], "OT") + SUMIFS(Table2[AwayWon], Table2[GameIsOver],1,Table2[HomeTeam],$A48, Table2[AwayTeam], J$36, Table2[ActualResult], "OT") + SUMIFS(Table2[HomeWon_], Table2[GameIsOver],1,Table2[AwayTeam],$A48, Table2[HomeTeam], J$36, Table2[ActualResult], "SO") + SUMIFS(Table2[AwayWon], Table2[GameIsOver],1,Table2[HomeTeam],$A48, Table2[AwayTeam], J$36, Table2[ActualResult], "SO"))), "")</f>
        <v/>
      </c>
      <c r="K48" t="str">
        <f>IFERROR(((2*SUMIFS(Table2[AwayWon], Table2[GameIsOver],1,Table2[AwayTeam],$A48, Table2[HomeTeam], K$36) + SUMIFS(Table2[HomeWon_], Table2[GameIsOver],1,Table2[HomeTeam],$A48, Table2[AwayTeam], K$36)) + SUMIFS(Table2[AwayWon], Table2[GameIsOver],1,Table2[HomeTeam],$A48, Table2[AwayTeam], K$36, Table2[ActualResult], "REG") + SUMIFS(Table2[HomeWon_], Table2[GameIsOver],1,Table2[AwayTeam],$A48, Table2[HomeTeam], K$36, Table2[ActualResult], "OT") + SUMIFS(Table2[AwayWon], Table2[GameIsOver],1,Table2[HomeTeam],$A48, Table2[AwayTeam], K$36, Table2[ActualResult], "OT") + SUMIFS(Table2[HomeWon_], Table2[GameIsOver],1,Table2[AwayTeam],$A48, Table2[HomeTeam], K$36, Table2[ActualResult], "SO") + SUMIFS(Table2[AwayWon], Table2[GameIsOver],1,Table2[HomeTeam],$A48, Table2[AwayTeam], K$36, Table2[ActualResult], "SO")) / (2*(SUMIFS(Table2[AwayWon], Table2[GameIsOver],1,Table2[AwayTeam],$A48, Table2[HomeTeam], K$36) + SUMIFS(Table2[HomeWon_], Table2[GameIsOver],1,Table2[HomeTeam],$A48, Table2[AwayTeam], K$36) + SUMIFS(Table2[HomeWon_], Table2[GameIsOver],1,Table2[AwayTeam],$A48, Table2[HomeTeam], K$36, Table2[ActualResult], "REG") + SUMIFS(Table2[AwayWon], Table2[GameIsOver],1,Table2[HomeTeam],$A48, Table2[AwayTeam], K$36, Table2[ActualResult], "REG") + SUMIFS(Table2[HomeWon_], Table2[GameIsOver],1,Table2[AwayTeam],$A48, Table2[HomeTeam], K$36, Table2[ActualResult], "OT") + SUMIFS(Table2[AwayWon], Table2[GameIsOver],1,Table2[HomeTeam],$A48, Table2[AwayTeam], K$36, Table2[ActualResult], "OT") + SUMIFS(Table2[HomeWon_], Table2[GameIsOver],1,Table2[AwayTeam],$A48, Table2[HomeTeam], K$36, Table2[ActualResult], "SO") + SUMIFS(Table2[AwayWon], Table2[GameIsOver],1,Table2[HomeTeam],$A48, Table2[AwayTeam], K$36, Table2[ActualResult], "SO"))), "")</f>
        <v/>
      </c>
      <c r="L48">
        <f>IFERROR(((2*SUMIFS(Table2[AwayWon], Table2[GameIsOver],1,Table2[AwayTeam],$A48, Table2[HomeTeam], L$36) + SUMIFS(Table2[HomeWon_], Table2[GameIsOver],1,Table2[HomeTeam],$A48, Table2[AwayTeam], L$36)) + SUMIFS(Table2[AwayWon], Table2[GameIsOver],1,Table2[HomeTeam],$A48, Table2[AwayTeam], L$36, Table2[ActualResult], "REG") + SUMIFS(Table2[HomeWon_], Table2[GameIsOver],1,Table2[AwayTeam],$A48, Table2[HomeTeam], L$36, Table2[ActualResult], "OT") + SUMIFS(Table2[AwayWon], Table2[GameIsOver],1,Table2[HomeTeam],$A48, Table2[AwayTeam], L$36, Table2[ActualResult], "OT") + SUMIFS(Table2[HomeWon_], Table2[GameIsOver],1,Table2[AwayTeam],$A48, Table2[HomeTeam], L$36, Table2[ActualResult], "SO") + SUMIFS(Table2[AwayWon], Table2[GameIsOver],1,Table2[HomeTeam],$A48, Table2[AwayTeam], L$36, Table2[ActualResult], "SO")) / (2*(SUMIFS(Table2[AwayWon], Table2[GameIsOver],1,Table2[AwayTeam],$A48, Table2[HomeTeam], L$36) + SUMIFS(Table2[HomeWon_], Table2[GameIsOver],1,Table2[HomeTeam],$A48, Table2[AwayTeam], L$36) + SUMIFS(Table2[HomeWon_], Table2[GameIsOver],1,Table2[AwayTeam],$A48, Table2[HomeTeam], L$36, Table2[ActualResult], "REG") + SUMIFS(Table2[AwayWon], Table2[GameIsOver],1,Table2[HomeTeam],$A48, Table2[AwayTeam], L$36, Table2[ActualResult], "REG") + SUMIFS(Table2[HomeWon_], Table2[GameIsOver],1,Table2[AwayTeam],$A48, Table2[HomeTeam], L$36, Table2[ActualResult], "OT") + SUMIFS(Table2[AwayWon], Table2[GameIsOver],1,Table2[HomeTeam],$A48, Table2[AwayTeam], L$36, Table2[ActualResult], "OT") + SUMIFS(Table2[HomeWon_], Table2[GameIsOver],1,Table2[AwayTeam],$A48, Table2[HomeTeam], L$36, Table2[ActualResult], "SO") + SUMIFS(Table2[AwayWon], Table2[GameIsOver],1,Table2[HomeTeam],$A48, Table2[AwayTeam], L$36, Table2[ActualResult], "SO"))), "")</f>
        <v>0</v>
      </c>
      <c r="M48" s="98" t="str">
        <f>IFERROR(((2*SUMIFS(Table2[AwayWon], Table2[GameIsOver],1,Table2[AwayTeam],$A48, Table2[HomeTeam], M$36) + SUMIFS(Table2[HomeWon_], Table2[GameIsOver],1,Table2[HomeTeam],$A48, Table2[AwayTeam], M$36)) + SUMIFS(Table2[AwayWon], Table2[GameIsOver],1,Table2[HomeTeam],$A48, Table2[AwayTeam], M$36, Table2[ActualResult], "REG") + SUMIFS(Table2[HomeWon_], Table2[GameIsOver],1,Table2[AwayTeam],$A48, Table2[HomeTeam], M$36, Table2[ActualResult], "OT") + SUMIFS(Table2[AwayWon], Table2[GameIsOver],1,Table2[HomeTeam],$A48, Table2[AwayTeam], M$36, Table2[ActualResult], "OT") + SUMIFS(Table2[HomeWon_], Table2[GameIsOver],1,Table2[AwayTeam],$A48, Table2[HomeTeam], M$36, Table2[ActualResult], "SO") + SUMIFS(Table2[AwayWon], Table2[GameIsOver],1,Table2[HomeTeam],$A48, Table2[AwayTeam], M$36, Table2[ActualResult], "SO")) / (2*(SUMIFS(Table2[AwayWon], Table2[GameIsOver],1,Table2[AwayTeam],$A48, Table2[HomeTeam], M$36) + SUMIFS(Table2[HomeWon_], Table2[GameIsOver],1,Table2[HomeTeam],$A48, Table2[AwayTeam], M$36) + SUMIFS(Table2[HomeWon_], Table2[GameIsOver],1,Table2[AwayTeam],$A48, Table2[HomeTeam], M$36, Table2[ActualResult], "REG") + SUMIFS(Table2[AwayWon], Table2[GameIsOver],1,Table2[HomeTeam],$A48, Table2[AwayTeam], M$36, Table2[ActualResult], "REG") + SUMIFS(Table2[HomeWon_], Table2[GameIsOver],1,Table2[AwayTeam],$A48, Table2[HomeTeam], M$36, Table2[ActualResult], "OT") + SUMIFS(Table2[AwayWon], Table2[GameIsOver],1,Table2[HomeTeam],$A48, Table2[AwayTeam], M$36, Table2[ActualResult], "OT") + SUMIFS(Table2[HomeWon_], Table2[GameIsOver],1,Table2[AwayTeam],$A48, Table2[HomeTeam], M$36, Table2[ActualResult], "SO") + SUMIFS(Table2[AwayWon], Table2[GameIsOver],1,Table2[HomeTeam],$A48, Table2[AwayTeam], M$36, Table2[ActualResult], "SO"))), "")</f>
        <v/>
      </c>
      <c r="N48" t="str">
        <f>IFERROR(((2*SUMIFS(Table2[AwayWon], Table2[GameIsOver],1,Table2[AwayTeam],$A48, Table2[HomeTeam], N$36) + SUMIFS(Table2[HomeWon_], Table2[GameIsOver],1,Table2[HomeTeam],$A48, Table2[AwayTeam], N$36)) + SUMIFS(Table2[AwayWon], Table2[GameIsOver],1,Table2[HomeTeam],$A48, Table2[AwayTeam], N$36, Table2[ActualResult], "REG") + SUMIFS(Table2[HomeWon_], Table2[GameIsOver],1,Table2[AwayTeam],$A48, Table2[HomeTeam], N$36, Table2[ActualResult], "OT") + SUMIFS(Table2[AwayWon], Table2[GameIsOver],1,Table2[HomeTeam],$A48, Table2[AwayTeam], N$36, Table2[ActualResult], "OT") + SUMIFS(Table2[HomeWon_], Table2[GameIsOver],1,Table2[AwayTeam],$A48, Table2[HomeTeam], N$36, Table2[ActualResult], "SO") + SUMIFS(Table2[AwayWon], Table2[GameIsOver],1,Table2[HomeTeam],$A48, Table2[AwayTeam], N$36, Table2[ActualResult], "SO")) / (2*(SUMIFS(Table2[AwayWon], Table2[GameIsOver],1,Table2[AwayTeam],$A48, Table2[HomeTeam], N$36) + SUMIFS(Table2[HomeWon_], Table2[GameIsOver],1,Table2[HomeTeam],$A48, Table2[AwayTeam], N$36) + SUMIFS(Table2[HomeWon_], Table2[GameIsOver],1,Table2[AwayTeam],$A48, Table2[HomeTeam], N$36, Table2[ActualResult], "REG") + SUMIFS(Table2[AwayWon], Table2[GameIsOver],1,Table2[HomeTeam],$A48, Table2[AwayTeam], N$36, Table2[ActualResult], "REG") + SUMIFS(Table2[HomeWon_], Table2[GameIsOver],1,Table2[AwayTeam],$A48, Table2[HomeTeam], N$36, Table2[ActualResult], "OT") + SUMIFS(Table2[AwayWon], Table2[GameIsOver],1,Table2[HomeTeam],$A48, Table2[AwayTeam], N$36, Table2[ActualResult], "OT") + SUMIFS(Table2[HomeWon_], Table2[GameIsOver],1,Table2[AwayTeam],$A48, Table2[HomeTeam], N$36, Table2[ActualResult], "SO") + SUMIFS(Table2[AwayWon], Table2[GameIsOver],1,Table2[HomeTeam],$A48, Table2[AwayTeam], N$36, Table2[ActualResult], "SO"))), "")</f>
        <v/>
      </c>
      <c r="O48">
        <f>IFERROR(((2*SUMIFS(Table2[AwayWon], Table2[GameIsOver],1,Table2[AwayTeam],$A48, Table2[HomeTeam], O$36) + SUMIFS(Table2[HomeWon_], Table2[GameIsOver],1,Table2[HomeTeam],$A48, Table2[AwayTeam], O$36)) + SUMIFS(Table2[AwayWon], Table2[GameIsOver],1,Table2[HomeTeam],$A48, Table2[AwayTeam], O$36, Table2[ActualResult], "REG") + SUMIFS(Table2[HomeWon_], Table2[GameIsOver],1,Table2[AwayTeam],$A48, Table2[HomeTeam], O$36, Table2[ActualResult], "OT") + SUMIFS(Table2[AwayWon], Table2[GameIsOver],1,Table2[HomeTeam],$A48, Table2[AwayTeam], O$36, Table2[ActualResult], "OT") + SUMIFS(Table2[HomeWon_], Table2[GameIsOver],1,Table2[AwayTeam],$A48, Table2[HomeTeam], O$36, Table2[ActualResult], "SO") + SUMIFS(Table2[AwayWon], Table2[GameIsOver],1,Table2[HomeTeam],$A48, Table2[AwayTeam], O$36, Table2[ActualResult], "SO")) / (2*(SUMIFS(Table2[AwayWon], Table2[GameIsOver],1,Table2[AwayTeam],$A48, Table2[HomeTeam], O$36) + SUMIFS(Table2[HomeWon_], Table2[GameIsOver],1,Table2[HomeTeam],$A48, Table2[AwayTeam], O$36) + SUMIFS(Table2[HomeWon_], Table2[GameIsOver],1,Table2[AwayTeam],$A48, Table2[HomeTeam], O$36, Table2[ActualResult], "REG") + SUMIFS(Table2[AwayWon], Table2[GameIsOver],1,Table2[HomeTeam],$A48, Table2[AwayTeam], O$36, Table2[ActualResult], "REG") + SUMIFS(Table2[HomeWon_], Table2[GameIsOver],1,Table2[AwayTeam],$A48, Table2[HomeTeam], O$36, Table2[ActualResult], "OT") + SUMIFS(Table2[AwayWon], Table2[GameIsOver],1,Table2[HomeTeam],$A48, Table2[AwayTeam], O$36, Table2[ActualResult], "OT") + SUMIFS(Table2[HomeWon_], Table2[GameIsOver],1,Table2[AwayTeam],$A48, Table2[HomeTeam], O$36, Table2[ActualResult], "SO") + SUMIFS(Table2[AwayWon], Table2[GameIsOver],1,Table2[HomeTeam],$A48, Table2[AwayTeam], O$36, Table2[ActualResult], "SO"))), "")</f>
        <v>1</v>
      </c>
      <c r="P48" t="str">
        <f>IFERROR(((2*SUMIFS(Table2[AwayWon], Table2[GameIsOver],1,Table2[AwayTeam],$A48, Table2[HomeTeam], P$36) + SUMIFS(Table2[HomeWon_], Table2[GameIsOver],1,Table2[HomeTeam],$A48, Table2[AwayTeam], P$36)) + SUMIFS(Table2[AwayWon], Table2[GameIsOver],1,Table2[HomeTeam],$A48, Table2[AwayTeam], P$36, Table2[ActualResult], "REG") + SUMIFS(Table2[HomeWon_], Table2[GameIsOver],1,Table2[AwayTeam],$A48, Table2[HomeTeam], P$36, Table2[ActualResult], "OT") + SUMIFS(Table2[AwayWon], Table2[GameIsOver],1,Table2[HomeTeam],$A48, Table2[AwayTeam], P$36, Table2[ActualResult], "OT") + SUMIFS(Table2[HomeWon_], Table2[GameIsOver],1,Table2[AwayTeam],$A48, Table2[HomeTeam], P$36, Table2[ActualResult], "SO") + SUMIFS(Table2[AwayWon], Table2[GameIsOver],1,Table2[HomeTeam],$A48, Table2[AwayTeam], P$36, Table2[ActualResult], "SO")) / (2*(SUMIFS(Table2[AwayWon], Table2[GameIsOver],1,Table2[AwayTeam],$A48, Table2[HomeTeam], P$36) + SUMIFS(Table2[HomeWon_], Table2[GameIsOver],1,Table2[HomeTeam],$A48, Table2[AwayTeam], P$36) + SUMIFS(Table2[HomeWon_], Table2[GameIsOver],1,Table2[AwayTeam],$A48, Table2[HomeTeam], P$36, Table2[ActualResult], "REG") + SUMIFS(Table2[AwayWon], Table2[GameIsOver],1,Table2[HomeTeam],$A48, Table2[AwayTeam], P$36, Table2[ActualResult], "REG") + SUMIFS(Table2[HomeWon_], Table2[GameIsOver],1,Table2[AwayTeam],$A48, Table2[HomeTeam], P$36, Table2[ActualResult], "OT") + SUMIFS(Table2[AwayWon], Table2[GameIsOver],1,Table2[HomeTeam],$A48, Table2[AwayTeam], P$36, Table2[ActualResult], "OT") + SUMIFS(Table2[HomeWon_], Table2[GameIsOver],1,Table2[AwayTeam],$A48, Table2[HomeTeam], P$36, Table2[ActualResult], "SO") + SUMIFS(Table2[AwayWon], Table2[GameIsOver],1,Table2[HomeTeam],$A48, Table2[AwayTeam], P$36, Table2[ActualResult], "SO"))), "")</f>
        <v/>
      </c>
      <c r="Q48" s="57" t="str">
        <f>IFERROR(((2*SUMIFS(Table2[AwayWon], Table2[GameIsOver],1,Table2[AwayTeam],$A48, Table2[HomeTeam], Q$36) + SUMIFS(Table2[HomeWon_], Table2[GameIsOver],1,Table2[HomeTeam],$A48, Table2[AwayTeam], Q$36)) + SUMIFS(Table2[AwayWon], Table2[GameIsOver],1,Table2[HomeTeam],$A48, Table2[AwayTeam], Q$36, Table2[ActualResult], "REG") + SUMIFS(Table2[HomeWon_], Table2[GameIsOver],1,Table2[AwayTeam],$A48, Table2[HomeTeam], Q$36, Table2[ActualResult], "OT") + SUMIFS(Table2[AwayWon], Table2[GameIsOver],1,Table2[HomeTeam],$A48, Table2[AwayTeam], Q$36, Table2[ActualResult], "OT") + SUMIFS(Table2[HomeWon_], Table2[GameIsOver],1,Table2[AwayTeam],$A48, Table2[HomeTeam], Q$36, Table2[ActualResult], "SO") + SUMIFS(Table2[AwayWon], Table2[GameIsOver],1,Table2[HomeTeam],$A48, Table2[AwayTeam], Q$36, Table2[ActualResult], "SO")) / (2*(SUMIFS(Table2[AwayWon], Table2[GameIsOver],1,Table2[AwayTeam],$A48, Table2[HomeTeam], Q$36) + SUMIFS(Table2[HomeWon_], Table2[GameIsOver],1,Table2[HomeTeam],$A48, Table2[AwayTeam], Q$36) + SUMIFS(Table2[HomeWon_], Table2[GameIsOver],1,Table2[AwayTeam],$A48, Table2[HomeTeam], Q$36, Table2[ActualResult], "REG") + SUMIFS(Table2[AwayWon], Table2[GameIsOver],1,Table2[HomeTeam],$A48, Table2[AwayTeam], Q$36, Table2[ActualResult], "REG") + SUMIFS(Table2[HomeWon_], Table2[GameIsOver],1,Table2[AwayTeam],$A48, Table2[HomeTeam], Q$36, Table2[ActualResult], "OT") + SUMIFS(Table2[AwayWon], Table2[GameIsOver],1,Table2[HomeTeam],$A48, Table2[AwayTeam], Q$36, Table2[ActualResult], "OT") + SUMIFS(Table2[HomeWon_], Table2[GameIsOver],1,Table2[AwayTeam],$A48, Table2[HomeTeam], Q$36, Table2[ActualResult], "SO") + SUMIFS(Table2[AwayWon], Table2[GameIsOver],1,Table2[HomeTeam],$A48, Table2[AwayTeam], Q$36, Table2[ActualResult], "SO"))), "")</f>
        <v/>
      </c>
      <c r="R48" t="str">
        <f>IFERROR(((2*SUMIFS(Table2[AwayWon], Table2[GameIsOver],1,Table2[AwayTeam],$A48, Table2[HomeTeam], R$36) + SUMIFS(Table2[HomeWon_], Table2[GameIsOver],1,Table2[HomeTeam],$A48, Table2[AwayTeam], R$36)) + SUMIFS(Table2[AwayWon], Table2[GameIsOver],1,Table2[HomeTeam],$A48, Table2[AwayTeam], R$36, Table2[ActualResult], "REG") + SUMIFS(Table2[HomeWon_], Table2[GameIsOver],1,Table2[AwayTeam],$A48, Table2[HomeTeam], R$36, Table2[ActualResult], "OT") + SUMIFS(Table2[AwayWon], Table2[GameIsOver],1,Table2[HomeTeam],$A48, Table2[AwayTeam], R$36, Table2[ActualResult], "OT") + SUMIFS(Table2[HomeWon_], Table2[GameIsOver],1,Table2[AwayTeam],$A48, Table2[HomeTeam], R$36, Table2[ActualResult], "SO") + SUMIFS(Table2[AwayWon], Table2[GameIsOver],1,Table2[HomeTeam],$A48, Table2[AwayTeam], R$36, Table2[ActualResult], "SO")) / (2*(SUMIFS(Table2[AwayWon], Table2[GameIsOver],1,Table2[AwayTeam],$A48, Table2[HomeTeam], R$36) + SUMIFS(Table2[HomeWon_], Table2[GameIsOver],1,Table2[HomeTeam],$A48, Table2[AwayTeam], R$36) + SUMIFS(Table2[HomeWon_], Table2[GameIsOver],1,Table2[AwayTeam],$A48, Table2[HomeTeam], R$36, Table2[ActualResult], "REG") + SUMIFS(Table2[AwayWon], Table2[GameIsOver],1,Table2[HomeTeam],$A48, Table2[AwayTeam], R$36, Table2[ActualResult], "REG") + SUMIFS(Table2[HomeWon_], Table2[GameIsOver],1,Table2[AwayTeam],$A48, Table2[HomeTeam], R$36, Table2[ActualResult], "OT") + SUMIFS(Table2[AwayWon], Table2[GameIsOver],1,Table2[HomeTeam],$A48, Table2[AwayTeam], R$36, Table2[ActualResult], "OT") + SUMIFS(Table2[HomeWon_], Table2[GameIsOver],1,Table2[AwayTeam],$A48, Table2[HomeTeam], R$36, Table2[ActualResult], "SO") + SUMIFS(Table2[AwayWon], Table2[GameIsOver],1,Table2[HomeTeam],$A48, Table2[AwayTeam], R$36, Table2[ActualResult], "SO"))), "")</f>
        <v/>
      </c>
      <c r="S48">
        <f>IFERROR(((2*SUMIFS(Table2[AwayWon], Table2[GameIsOver],1,Table2[AwayTeam],$A48, Table2[HomeTeam], S$36) + SUMIFS(Table2[HomeWon_], Table2[GameIsOver],1,Table2[HomeTeam],$A48, Table2[AwayTeam], S$36)) + SUMIFS(Table2[AwayWon], Table2[GameIsOver],1,Table2[HomeTeam],$A48, Table2[AwayTeam], S$36, Table2[ActualResult], "REG") + SUMIFS(Table2[HomeWon_], Table2[GameIsOver],1,Table2[AwayTeam],$A48, Table2[HomeTeam], S$36, Table2[ActualResult], "OT") + SUMIFS(Table2[AwayWon], Table2[GameIsOver],1,Table2[HomeTeam],$A48, Table2[AwayTeam], S$36, Table2[ActualResult], "OT") + SUMIFS(Table2[HomeWon_], Table2[GameIsOver],1,Table2[AwayTeam],$A48, Table2[HomeTeam], S$36, Table2[ActualResult], "SO") + SUMIFS(Table2[AwayWon], Table2[GameIsOver],1,Table2[HomeTeam],$A48, Table2[AwayTeam], S$36, Table2[ActualResult], "SO")) / (2*(SUMIFS(Table2[AwayWon], Table2[GameIsOver],1,Table2[AwayTeam],$A48, Table2[HomeTeam], S$36) + SUMIFS(Table2[HomeWon_], Table2[GameIsOver],1,Table2[HomeTeam],$A48, Table2[AwayTeam], S$36) + SUMIFS(Table2[HomeWon_], Table2[GameIsOver],1,Table2[AwayTeam],$A48, Table2[HomeTeam], S$36, Table2[ActualResult], "REG") + SUMIFS(Table2[AwayWon], Table2[GameIsOver],1,Table2[HomeTeam],$A48, Table2[AwayTeam], S$36, Table2[ActualResult], "REG") + SUMIFS(Table2[HomeWon_], Table2[GameIsOver],1,Table2[AwayTeam],$A48, Table2[HomeTeam], S$36, Table2[ActualResult], "OT") + SUMIFS(Table2[AwayWon], Table2[GameIsOver],1,Table2[HomeTeam],$A48, Table2[AwayTeam], S$36, Table2[ActualResult], "OT") + SUMIFS(Table2[HomeWon_], Table2[GameIsOver],1,Table2[AwayTeam],$A48, Table2[HomeTeam], S$36, Table2[ActualResult], "SO") + SUMIFS(Table2[AwayWon], Table2[GameIsOver],1,Table2[HomeTeam],$A48, Table2[AwayTeam], S$36, Table2[ActualResult], "SO"))), "")</f>
        <v>0.5</v>
      </c>
      <c r="T48" t="str">
        <f>IFERROR(((2*SUMIFS(Table2[AwayWon], Table2[GameIsOver],1,Table2[AwayTeam],$A48, Table2[HomeTeam], T$36) + SUMIFS(Table2[HomeWon_], Table2[GameIsOver],1,Table2[HomeTeam],$A48, Table2[AwayTeam], T$36)) + SUMIFS(Table2[AwayWon], Table2[GameIsOver],1,Table2[HomeTeam],$A48, Table2[AwayTeam], T$36, Table2[ActualResult], "REG") + SUMIFS(Table2[HomeWon_], Table2[GameIsOver],1,Table2[AwayTeam],$A48, Table2[HomeTeam], T$36, Table2[ActualResult], "OT") + SUMIFS(Table2[AwayWon], Table2[GameIsOver],1,Table2[HomeTeam],$A48, Table2[AwayTeam], T$36, Table2[ActualResult], "OT") + SUMIFS(Table2[HomeWon_], Table2[GameIsOver],1,Table2[AwayTeam],$A48, Table2[HomeTeam], T$36, Table2[ActualResult], "SO") + SUMIFS(Table2[AwayWon], Table2[GameIsOver],1,Table2[HomeTeam],$A48, Table2[AwayTeam], T$36, Table2[ActualResult], "SO")) / (2*(SUMIFS(Table2[AwayWon], Table2[GameIsOver],1,Table2[AwayTeam],$A48, Table2[HomeTeam], T$36) + SUMIFS(Table2[HomeWon_], Table2[GameIsOver],1,Table2[HomeTeam],$A48, Table2[AwayTeam], T$36) + SUMIFS(Table2[HomeWon_], Table2[GameIsOver],1,Table2[AwayTeam],$A48, Table2[HomeTeam], T$36, Table2[ActualResult], "REG") + SUMIFS(Table2[AwayWon], Table2[GameIsOver],1,Table2[HomeTeam],$A48, Table2[AwayTeam], T$36, Table2[ActualResult], "REG") + SUMIFS(Table2[HomeWon_], Table2[GameIsOver],1,Table2[AwayTeam],$A48, Table2[HomeTeam], T$36, Table2[ActualResult], "OT") + SUMIFS(Table2[AwayWon], Table2[GameIsOver],1,Table2[HomeTeam],$A48, Table2[AwayTeam], T$36, Table2[ActualResult], "OT") + SUMIFS(Table2[HomeWon_], Table2[GameIsOver],1,Table2[AwayTeam],$A48, Table2[HomeTeam], T$36, Table2[ActualResult], "SO") + SUMIFS(Table2[AwayWon], Table2[GameIsOver],1,Table2[HomeTeam],$A48, Table2[AwayTeam], T$36, Table2[ActualResult], "SO"))), "")</f>
        <v/>
      </c>
      <c r="U48" t="str">
        <f>IFERROR(((2*SUMIFS(Table2[AwayWon], Table2[GameIsOver],1,Table2[AwayTeam],$A48, Table2[HomeTeam], U$36) + SUMIFS(Table2[HomeWon_], Table2[GameIsOver],1,Table2[HomeTeam],$A48, Table2[AwayTeam], U$36)) + SUMIFS(Table2[AwayWon], Table2[GameIsOver],1,Table2[HomeTeam],$A48, Table2[AwayTeam], U$36, Table2[ActualResult], "REG") + SUMIFS(Table2[HomeWon_], Table2[GameIsOver],1,Table2[AwayTeam],$A48, Table2[HomeTeam], U$36, Table2[ActualResult], "OT") + SUMIFS(Table2[AwayWon], Table2[GameIsOver],1,Table2[HomeTeam],$A48, Table2[AwayTeam], U$36, Table2[ActualResult], "OT") + SUMIFS(Table2[HomeWon_], Table2[GameIsOver],1,Table2[AwayTeam],$A48, Table2[HomeTeam], U$36, Table2[ActualResult], "SO") + SUMIFS(Table2[AwayWon], Table2[GameIsOver],1,Table2[HomeTeam],$A48, Table2[AwayTeam], U$36, Table2[ActualResult], "SO")) / (2*(SUMIFS(Table2[AwayWon], Table2[GameIsOver],1,Table2[AwayTeam],$A48, Table2[HomeTeam], U$36) + SUMIFS(Table2[HomeWon_], Table2[GameIsOver],1,Table2[HomeTeam],$A48, Table2[AwayTeam], U$36) + SUMIFS(Table2[HomeWon_], Table2[GameIsOver],1,Table2[AwayTeam],$A48, Table2[HomeTeam], U$36, Table2[ActualResult], "REG") + SUMIFS(Table2[AwayWon], Table2[GameIsOver],1,Table2[HomeTeam],$A48, Table2[AwayTeam], U$36, Table2[ActualResult], "REG") + SUMIFS(Table2[HomeWon_], Table2[GameIsOver],1,Table2[AwayTeam],$A48, Table2[HomeTeam], U$36, Table2[ActualResult], "OT") + SUMIFS(Table2[AwayWon], Table2[GameIsOver],1,Table2[HomeTeam],$A48, Table2[AwayTeam], U$36, Table2[ActualResult], "OT") + SUMIFS(Table2[HomeWon_], Table2[GameIsOver],1,Table2[AwayTeam],$A48, Table2[HomeTeam], U$36, Table2[ActualResult], "SO") + SUMIFS(Table2[AwayWon], Table2[GameIsOver],1,Table2[HomeTeam],$A48, Table2[AwayTeam], U$36, Table2[ActualResult], "SO"))), "")</f>
        <v/>
      </c>
      <c r="V48">
        <f>IFERROR(((2*SUMIFS(Table2[AwayWon], Table2[GameIsOver],1,Table2[AwayTeam],$A48, Table2[HomeTeam], V$36) + SUMIFS(Table2[HomeWon_], Table2[GameIsOver],1,Table2[HomeTeam],$A48, Table2[AwayTeam], V$36)) + SUMIFS(Table2[AwayWon], Table2[GameIsOver],1,Table2[HomeTeam],$A48, Table2[AwayTeam], V$36, Table2[ActualResult], "REG") + SUMIFS(Table2[HomeWon_], Table2[GameIsOver],1,Table2[AwayTeam],$A48, Table2[HomeTeam], V$36, Table2[ActualResult], "OT") + SUMIFS(Table2[AwayWon], Table2[GameIsOver],1,Table2[HomeTeam],$A48, Table2[AwayTeam], V$36, Table2[ActualResult], "OT") + SUMIFS(Table2[HomeWon_], Table2[GameIsOver],1,Table2[AwayTeam],$A48, Table2[HomeTeam], V$36, Table2[ActualResult], "SO") + SUMIFS(Table2[AwayWon], Table2[GameIsOver],1,Table2[HomeTeam],$A48, Table2[AwayTeam], V$36, Table2[ActualResult], "SO")) / (2*(SUMIFS(Table2[AwayWon], Table2[GameIsOver],1,Table2[AwayTeam],$A48, Table2[HomeTeam], V$36) + SUMIFS(Table2[HomeWon_], Table2[GameIsOver],1,Table2[HomeTeam],$A48, Table2[AwayTeam], V$36) + SUMIFS(Table2[HomeWon_], Table2[GameIsOver],1,Table2[AwayTeam],$A48, Table2[HomeTeam], V$36, Table2[ActualResult], "REG") + SUMIFS(Table2[AwayWon], Table2[GameIsOver],1,Table2[HomeTeam],$A48, Table2[AwayTeam], V$36, Table2[ActualResult], "REG") + SUMIFS(Table2[HomeWon_], Table2[GameIsOver],1,Table2[AwayTeam],$A48, Table2[HomeTeam], V$36, Table2[ActualResult], "OT") + SUMIFS(Table2[AwayWon], Table2[GameIsOver],1,Table2[HomeTeam],$A48, Table2[AwayTeam], V$36, Table2[ActualResult], "OT") + SUMIFS(Table2[HomeWon_], Table2[GameIsOver],1,Table2[AwayTeam],$A48, Table2[HomeTeam], V$36, Table2[ActualResult], "SO") + SUMIFS(Table2[AwayWon], Table2[GameIsOver],1,Table2[HomeTeam],$A48, Table2[AwayTeam], V$36, Table2[ActualResult], "SO"))), "")</f>
        <v>1</v>
      </c>
      <c r="W48">
        <f>IFERROR(((2*SUMIFS(Table2[AwayWon], Table2[GameIsOver],1,Table2[AwayTeam],$A48, Table2[HomeTeam], W$36) + SUMIFS(Table2[HomeWon_], Table2[GameIsOver],1,Table2[HomeTeam],$A48, Table2[AwayTeam], W$36)) + SUMIFS(Table2[AwayWon], Table2[GameIsOver],1,Table2[HomeTeam],$A48, Table2[AwayTeam], W$36, Table2[ActualResult], "REG") + SUMIFS(Table2[HomeWon_], Table2[GameIsOver],1,Table2[AwayTeam],$A48, Table2[HomeTeam], W$36, Table2[ActualResult], "OT") + SUMIFS(Table2[AwayWon], Table2[GameIsOver],1,Table2[HomeTeam],$A48, Table2[AwayTeam], W$36, Table2[ActualResult], "OT") + SUMIFS(Table2[HomeWon_], Table2[GameIsOver],1,Table2[AwayTeam],$A48, Table2[HomeTeam], W$36, Table2[ActualResult], "SO") + SUMIFS(Table2[AwayWon], Table2[GameIsOver],1,Table2[HomeTeam],$A48, Table2[AwayTeam], W$36, Table2[ActualResult], "SO")) / (2*(SUMIFS(Table2[AwayWon], Table2[GameIsOver],1,Table2[AwayTeam],$A48, Table2[HomeTeam], W$36) + SUMIFS(Table2[HomeWon_], Table2[GameIsOver],1,Table2[HomeTeam],$A48, Table2[AwayTeam], W$36) + SUMIFS(Table2[HomeWon_], Table2[GameIsOver],1,Table2[AwayTeam],$A48, Table2[HomeTeam], W$36, Table2[ActualResult], "REG") + SUMIFS(Table2[AwayWon], Table2[GameIsOver],1,Table2[HomeTeam],$A48, Table2[AwayTeam], W$36, Table2[ActualResult], "REG") + SUMIFS(Table2[HomeWon_], Table2[GameIsOver],1,Table2[AwayTeam],$A48, Table2[HomeTeam], W$36, Table2[ActualResult], "OT") + SUMIFS(Table2[AwayWon], Table2[GameIsOver],1,Table2[HomeTeam],$A48, Table2[AwayTeam], W$36, Table2[ActualResult], "OT") + SUMIFS(Table2[HomeWon_], Table2[GameIsOver],1,Table2[AwayTeam],$A48, Table2[HomeTeam], W$36, Table2[ActualResult], "SO") + SUMIFS(Table2[AwayWon], Table2[GameIsOver],1,Table2[HomeTeam],$A48, Table2[AwayTeam], W$36, Table2[ActualResult], "SO"))), "")</f>
        <v>0.5</v>
      </c>
      <c r="X48" t="str">
        <f>IFERROR(((2*SUMIFS(Table2[AwayWon], Table2[GameIsOver],1,Table2[AwayTeam],$A48, Table2[HomeTeam], X$36) + SUMIFS(Table2[HomeWon_], Table2[GameIsOver],1,Table2[HomeTeam],$A48, Table2[AwayTeam], X$36)) + SUMIFS(Table2[AwayWon], Table2[GameIsOver],1,Table2[HomeTeam],$A48, Table2[AwayTeam], X$36, Table2[ActualResult], "REG") + SUMIFS(Table2[HomeWon_], Table2[GameIsOver],1,Table2[AwayTeam],$A48, Table2[HomeTeam], X$36, Table2[ActualResult], "OT") + SUMIFS(Table2[AwayWon], Table2[GameIsOver],1,Table2[HomeTeam],$A48, Table2[AwayTeam], X$36, Table2[ActualResult], "OT") + SUMIFS(Table2[HomeWon_], Table2[GameIsOver],1,Table2[AwayTeam],$A48, Table2[HomeTeam], X$36, Table2[ActualResult], "SO") + SUMIFS(Table2[AwayWon], Table2[GameIsOver],1,Table2[HomeTeam],$A48, Table2[AwayTeam], X$36, Table2[ActualResult], "SO")) / (2*(SUMIFS(Table2[AwayWon], Table2[GameIsOver],1,Table2[AwayTeam],$A48, Table2[HomeTeam], X$36) + SUMIFS(Table2[HomeWon_], Table2[GameIsOver],1,Table2[HomeTeam],$A48, Table2[AwayTeam], X$36) + SUMIFS(Table2[HomeWon_], Table2[GameIsOver],1,Table2[AwayTeam],$A48, Table2[HomeTeam], X$36, Table2[ActualResult], "REG") + SUMIFS(Table2[AwayWon], Table2[GameIsOver],1,Table2[HomeTeam],$A48, Table2[AwayTeam], X$36, Table2[ActualResult], "REG") + SUMIFS(Table2[HomeWon_], Table2[GameIsOver],1,Table2[AwayTeam],$A48, Table2[HomeTeam], X$36, Table2[ActualResult], "OT") + SUMIFS(Table2[AwayWon], Table2[GameIsOver],1,Table2[HomeTeam],$A48, Table2[AwayTeam], X$36, Table2[ActualResult], "OT") + SUMIFS(Table2[HomeWon_], Table2[GameIsOver],1,Table2[AwayTeam],$A48, Table2[HomeTeam], X$36, Table2[ActualResult], "SO") + SUMIFS(Table2[AwayWon], Table2[GameIsOver],1,Table2[HomeTeam],$A48, Table2[AwayTeam], X$36, Table2[ActualResult], "SO"))), "")</f>
        <v/>
      </c>
      <c r="Y48" s="57">
        <f>IFERROR(((2*SUMIFS(Table2[AwayWon], Table2[GameIsOver],1,Table2[AwayTeam],$A48, Table2[HomeTeam], Y$36) + SUMIFS(Table2[HomeWon_], Table2[GameIsOver],1,Table2[HomeTeam],$A48, Table2[AwayTeam], Y$36)) + SUMIFS(Table2[AwayWon], Table2[GameIsOver],1,Table2[HomeTeam],$A48, Table2[AwayTeam], Y$36, Table2[ActualResult], "REG") + SUMIFS(Table2[HomeWon_], Table2[GameIsOver],1,Table2[AwayTeam],$A48, Table2[HomeTeam], Y$36, Table2[ActualResult], "OT") + SUMIFS(Table2[AwayWon], Table2[GameIsOver],1,Table2[HomeTeam],$A48, Table2[AwayTeam], Y$36, Table2[ActualResult], "OT") + SUMIFS(Table2[HomeWon_], Table2[GameIsOver],1,Table2[AwayTeam],$A48, Table2[HomeTeam], Y$36, Table2[ActualResult], "SO") + SUMIFS(Table2[AwayWon], Table2[GameIsOver],1,Table2[HomeTeam],$A48, Table2[AwayTeam], Y$36, Table2[ActualResult], "SO")) / (2*(SUMIFS(Table2[AwayWon], Table2[GameIsOver],1,Table2[AwayTeam],$A48, Table2[HomeTeam], Y$36) + SUMIFS(Table2[HomeWon_], Table2[GameIsOver],1,Table2[HomeTeam],$A48, Table2[AwayTeam], Y$36) + SUMIFS(Table2[HomeWon_], Table2[GameIsOver],1,Table2[AwayTeam],$A48, Table2[HomeTeam], Y$36, Table2[ActualResult], "REG") + SUMIFS(Table2[AwayWon], Table2[GameIsOver],1,Table2[HomeTeam],$A48, Table2[AwayTeam], Y$36, Table2[ActualResult], "REG") + SUMIFS(Table2[HomeWon_], Table2[GameIsOver],1,Table2[AwayTeam],$A48, Table2[HomeTeam], Y$36, Table2[ActualResult], "OT") + SUMIFS(Table2[AwayWon], Table2[GameIsOver],1,Table2[HomeTeam],$A48, Table2[AwayTeam], Y$36, Table2[ActualResult], "OT") + SUMIFS(Table2[HomeWon_], Table2[GameIsOver],1,Table2[AwayTeam],$A48, Table2[HomeTeam], Y$36, Table2[ActualResult], "SO") + SUMIFS(Table2[AwayWon], Table2[GameIsOver],1,Table2[HomeTeam],$A48, Table2[AwayTeam], Y$36, Table2[ActualResult], "SO"))), "")</f>
        <v>0</v>
      </c>
      <c r="Z48" t="str">
        <f>IFERROR(((2*SUMIFS(Table2[AwayWon], Table2[GameIsOver],1,Table2[AwayTeam],$A48, Table2[HomeTeam], Z$36) + SUMIFS(Table2[HomeWon_], Table2[GameIsOver],1,Table2[HomeTeam],$A48, Table2[AwayTeam], Z$36)) + SUMIFS(Table2[AwayWon], Table2[GameIsOver],1,Table2[HomeTeam],$A48, Table2[AwayTeam], Z$36, Table2[ActualResult], "REG") + SUMIFS(Table2[HomeWon_], Table2[GameIsOver],1,Table2[AwayTeam],$A48, Table2[HomeTeam], Z$36, Table2[ActualResult], "OT") + SUMIFS(Table2[AwayWon], Table2[GameIsOver],1,Table2[HomeTeam],$A48, Table2[AwayTeam], Z$36, Table2[ActualResult], "OT") + SUMIFS(Table2[HomeWon_], Table2[GameIsOver],1,Table2[AwayTeam],$A48, Table2[HomeTeam], Z$36, Table2[ActualResult], "SO") + SUMIFS(Table2[AwayWon], Table2[GameIsOver],1,Table2[HomeTeam],$A48, Table2[AwayTeam], Z$36, Table2[ActualResult], "SO")) / (2*(SUMIFS(Table2[AwayWon], Table2[GameIsOver],1,Table2[AwayTeam],$A48, Table2[HomeTeam], Z$36) + SUMIFS(Table2[HomeWon_], Table2[GameIsOver],1,Table2[HomeTeam],$A48, Table2[AwayTeam], Z$36) + SUMIFS(Table2[HomeWon_], Table2[GameIsOver],1,Table2[AwayTeam],$A48, Table2[HomeTeam], Z$36, Table2[ActualResult], "REG") + SUMIFS(Table2[AwayWon], Table2[GameIsOver],1,Table2[HomeTeam],$A48, Table2[AwayTeam], Z$36, Table2[ActualResult], "REG") + SUMIFS(Table2[HomeWon_], Table2[GameIsOver],1,Table2[AwayTeam],$A48, Table2[HomeTeam], Z$36, Table2[ActualResult], "OT") + SUMIFS(Table2[AwayWon], Table2[GameIsOver],1,Table2[HomeTeam],$A48, Table2[AwayTeam], Z$36, Table2[ActualResult], "OT") + SUMIFS(Table2[HomeWon_], Table2[GameIsOver],1,Table2[AwayTeam],$A48, Table2[HomeTeam], Z$36, Table2[ActualResult], "SO") + SUMIFS(Table2[AwayWon], Table2[GameIsOver],1,Table2[HomeTeam],$A48, Table2[AwayTeam], Z$36, Table2[ActualResult], "SO"))), "")</f>
        <v/>
      </c>
      <c r="AA48" t="str">
        <f>IFERROR(((2*SUMIFS(Table2[AwayWon], Table2[GameIsOver],1,Table2[AwayTeam],$A48, Table2[HomeTeam], AA$36) + SUMIFS(Table2[HomeWon_], Table2[GameIsOver],1,Table2[HomeTeam],$A48, Table2[AwayTeam], AA$36)) + SUMIFS(Table2[AwayWon], Table2[GameIsOver],1,Table2[HomeTeam],$A48, Table2[AwayTeam], AA$36, Table2[ActualResult], "REG") + SUMIFS(Table2[HomeWon_], Table2[GameIsOver],1,Table2[AwayTeam],$A48, Table2[HomeTeam], AA$36, Table2[ActualResult], "OT") + SUMIFS(Table2[AwayWon], Table2[GameIsOver],1,Table2[HomeTeam],$A48, Table2[AwayTeam], AA$36, Table2[ActualResult], "OT") + SUMIFS(Table2[HomeWon_], Table2[GameIsOver],1,Table2[AwayTeam],$A48, Table2[HomeTeam], AA$36, Table2[ActualResult], "SO") + SUMIFS(Table2[AwayWon], Table2[GameIsOver],1,Table2[HomeTeam],$A48, Table2[AwayTeam], AA$36, Table2[ActualResult], "SO")) / (2*(SUMIFS(Table2[AwayWon], Table2[GameIsOver],1,Table2[AwayTeam],$A48, Table2[HomeTeam], AA$36) + SUMIFS(Table2[HomeWon_], Table2[GameIsOver],1,Table2[HomeTeam],$A48, Table2[AwayTeam], AA$36) + SUMIFS(Table2[HomeWon_], Table2[GameIsOver],1,Table2[AwayTeam],$A48, Table2[HomeTeam], AA$36, Table2[ActualResult], "REG") + SUMIFS(Table2[AwayWon], Table2[GameIsOver],1,Table2[HomeTeam],$A48, Table2[AwayTeam], AA$36, Table2[ActualResult], "REG") + SUMIFS(Table2[HomeWon_], Table2[GameIsOver],1,Table2[AwayTeam],$A48, Table2[HomeTeam], AA$36, Table2[ActualResult], "OT") + SUMIFS(Table2[AwayWon], Table2[GameIsOver],1,Table2[HomeTeam],$A48, Table2[AwayTeam], AA$36, Table2[ActualResult], "OT") + SUMIFS(Table2[HomeWon_], Table2[GameIsOver],1,Table2[AwayTeam],$A48, Table2[HomeTeam], AA$36, Table2[ActualResult], "SO") + SUMIFS(Table2[AwayWon], Table2[GameIsOver],1,Table2[HomeTeam],$A48, Table2[AwayTeam], AA$36, Table2[ActualResult], "SO"))), "")</f>
        <v/>
      </c>
      <c r="AB48" t="str">
        <f>IFERROR(((2*SUMIFS(Table2[AwayWon], Table2[GameIsOver],1,Table2[AwayTeam],$A48, Table2[HomeTeam], AB$36) + SUMIFS(Table2[HomeWon_], Table2[GameIsOver],1,Table2[HomeTeam],$A48, Table2[AwayTeam], AB$36)) + SUMIFS(Table2[AwayWon], Table2[GameIsOver],1,Table2[HomeTeam],$A48, Table2[AwayTeam], AB$36, Table2[ActualResult], "REG") + SUMIFS(Table2[HomeWon_], Table2[GameIsOver],1,Table2[AwayTeam],$A48, Table2[HomeTeam], AB$36, Table2[ActualResult], "OT") + SUMIFS(Table2[AwayWon], Table2[GameIsOver],1,Table2[HomeTeam],$A48, Table2[AwayTeam], AB$36, Table2[ActualResult], "OT") + SUMIFS(Table2[HomeWon_], Table2[GameIsOver],1,Table2[AwayTeam],$A48, Table2[HomeTeam], AB$36, Table2[ActualResult], "SO") + SUMIFS(Table2[AwayWon], Table2[GameIsOver],1,Table2[HomeTeam],$A48, Table2[AwayTeam], AB$36, Table2[ActualResult], "SO")) / (2*(SUMIFS(Table2[AwayWon], Table2[GameIsOver],1,Table2[AwayTeam],$A48, Table2[HomeTeam], AB$36) + SUMIFS(Table2[HomeWon_], Table2[GameIsOver],1,Table2[HomeTeam],$A48, Table2[AwayTeam], AB$36) + SUMIFS(Table2[HomeWon_], Table2[GameIsOver],1,Table2[AwayTeam],$A48, Table2[HomeTeam], AB$36, Table2[ActualResult], "REG") + SUMIFS(Table2[AwayWon], Table2[GameIsOver],1,Table2[HomeTeam],$A48, Table2[AwayTeam], AB$36, Table2[ActualResult], "REG") + SUMIFS(Table2[HomeWon_], Table2[GameIsOver],1,Table2[AwayTeam],$A48, Table2[HomeTeam], AB$36, Table2[ActualResult], "OT") + SUMIFS(Table2[AwayWon], Table2[GameIsOver],1,Table2[HomeTeam],$A48, Table2[AwayTeam], AB$36, Table2[ActualResult], "OT") + SUMIFS(Table2[HomeWon_], Table2[GameIsOver],1,Table2[AwayTeam],$A48, Table2[HomeTeam], AB$36, Table2[ActualResult], "SO") + SUMIFS(Table2[AwayWon], Table2[GameIsOver],1,Table2[HomeTeam],$A48, Table2[AwayTeam], AB$36, Table2[ActualResult], "SO"))), "")</f>
        <v/>
      </c>
      <c r="AC48" t="str">
        <f>IFERROR(((2*SUMIFS(Table2[AwayWon], Table2[GameIsOver],1,Table2[AwayTeam],$A48, Table2[HomeTeam], AC$36) + SUMIFS(Table2[HomeWon_], Table2[GameIsOver],1,Table2[HomeTeam],$A48, Table2[AwayTeam], AC$36)) + SUMIFS(Table2[AwayWon], Table2[GameIsOver],1,Table2[HomeTeam],$A48, Table2[AwayTeam], AC$36, Table2[ActualResult], "REG") + SUMIFS(Table2[HomeWon_], Table2[GameIsOver],1,Table2[AwayTeam],$A48, Table2[HomeTeam], AC$36, Table2[ActualResult], "OT") + SUMIFS(Table2[AwayWon], Table2[GameIsOver],1,Table2[HomeTeam],$A48, Table2[AwayTeam], AC$36, Table2[ActualResult], "OT") + SUMIFS(Table2[HomeWon_], Table2[GameIsOver],1,Table2[AwayTeam],$A48, Table2[HomeTeam], AC$36, Table2[ActualResult], "SO") + SUMIFS(Table2[AwayWon], Table2[GameIsOver],1,Table2[HomeTeam],$A48, Table2[AwayTeam], AC$36, Table2[ActualResult], "SO")) / (2*(SUMIFS(Table2[AwayWon], Table2[GameIsOver],1,Table2[AwayTeam],$A48, Table2[HomeTeam], AC$36) + SUMIFS(Table2[HomeWon_], Table2[GameIsOver],1,Table2[HomeTeam],$A48, Table2[AwayTeam], AC$36) + SUMIFS(Table2[HomeWon_], Table2[GameIsOver],1,Table2[AwayTeam],$A48, Table2[HomeTeam], AC$36, Table2[ActualResult], "REG") + SUMIFS(Table2[AwayWon], Table2[GameIsOver],1,Table2[HomeTeam],$A48, Table2[AwayTeam], AC$36, Table2[ActualResult], "REG") + SUMIFS(Table2[HomeWon_], Table2[GameIsOver],1,Table2[AwayTeam],$A48, Table2[HomeTeam], AC$36, Table2[ActualResult], "OT") + SUMIFS(Table2[AwayWon], Table2[GameIsOver],1,Table2[HomeTeam],$A48, Table2[AwayTeam], AC$36, Table2[ActualResult], "OT") + SUMIFS(Table2[HomeWon_], Table2[GameIsOver],1,Table2[AwayTeam],$A48, Table2[HomeTeam], AC$36, Table2[ActualResult], "SO") + SUMIFS(Table2[AwayWon], Table2[GameIsOver],1,Table2[HomeTeam],$A48, Table2[AwayTeam], AC$36, Table2[ActualResult], "SO"))), "")</f>
        <v/>
      </c>
      <c r="AD48" t="str">
        <f>IFERROR(((2*SUMIFS(Table2[AwayWon], Table2[GameIsOver],1,Table2[AwayTeam],$A48, Table2[HomeTeam], AD$36) + SUMIFS(Table2[HomeWon_], Table2[GameIsOver],1,Table2[HomeTeam],$A48, Table2[AwayTeam], AD$36)) + SUMIFS(Table2[AwayWon], Table2[GameIsOver],1,Table2[HomeTeam],$A48, Table2[AwayTeam], AD$36, Table2[ActualResult], "REG") + SUMIFS(Table2[HomeWon_], Table2[GameIsOver],1,Table2[AwayTeam],$A48, Table2[HomeTeam], AD$36, Table2[ActualResult], "OT") + SUMIFS(Table2[AwayWon], Table2[GameIsOver],1,Table2[HomeTeam],$A48, Table2[AwayTeam], AD$36, Table2[ActualResult], "OT") + SUMIFS(Table2[HomeWon_], Table2[GameIsOver],1,Table2[AwayTeam],$A48, Table2[HomeTeam], AD$36, Table2[ActualResult], "SO") + SUMIFS(Table2[AwayWon], Table2[GameIsOver],1,Table2[HomeTeam],$A48, Table2[AwayTeam], AD$36, Table2[ActualResult], "SO")) / (2*(SUMIFS(Table2[AwayWon], Table2[GameIsOver],1,Table2[AwayTeam],$A48, Table2[HomeTeam], AD$36) + SUMIFS(Table2[HomeWon_], Table2[GameIsOver],1,Table2[HomeTeam],$A48, Table2[AwayTeam], AD$36) + SUMIFS(Table2[HomeWon_], Table2[GameIsOver],1,Table2[AwayTeam],$A48, Table2[HomeTeam], AD$36, Table2[ActualResult], "REG") + SUMIFS(Table2[AwayWon], Table2[GameIsOver],1,Table2[HomeTeam],$A48, Table2[AwayTeam], AD$36, Table2[ActualResult], "REG") + SUMIFS(Table2[HomeWon_], Table2[GameIsOver],1,Table2[AwayTeam],$A48, Table2[HomeTeam], AD$36, Table2[ActualResult], "OT") + SUMIFS(Table2[AwayWon], Table2[GameIsOver],1,Table2[HomeTeam],$A48, Table2[AwayTeam], AD$36, Table2[ActualResult], "OT") + SUMIFS(Table2[HomeWon_], Table2[GameIsOver],1,Table2[AwayTeam],$A48, Table2[HomeTeam], AD$36, Table2[ActualResult], "SO") + SUMIFS(Table2[AwayWon], Table2[GameIsOver],1,Table2[HomeTeam],$A48, Table2[AwayTeam], AD$36, Table2[ActualResult], "SO"))), "")</f>
        <v/>
      </c>
      <c r="AE48" t="str">
        <f>IFERROR(((2*SUMIFS(Table2[AwayWon], Table2[GameIsOver],1,Table2[AwayTeam],$A48, Table2[HomeTeam], AE$36) + SUMIFS(Table2[HomeWon_], Table2[GameIsOver],1,Table2[HomeTeam],$A48, Table2[AwayTeam], AE$36)) + SUMIFS(Table2[AwayWon], Table2[GameIsOver],1,Table2[HomeTeam],$A48, Table2[AwayTeam], AE$36, Table2[ActualResult], "REG") + SUMIFS(Table2[HomeWon_], Table2[GameIsOver],1,Table2[AwayTeam],$A48, Table2[HomeTeam], AE$36, Table2[ActualResult], "OT") + SUMIFS(Table2[AwayWon], Table2[GameIsOver],1,Table2[HomeTeam],$A48, Table2[AwayTeam], AE$36, Table2[ActualResult], "OT") + SUMIFS(Table2[HomeWon_], Table2[GameIsOver],1,Table2[AwayTeam],$A48, Table2[HomeTeam], AE$36, Table2[ActualResult], "SO") + SUMIFS(Table2[AwayWon], Table2[GameIsOver],1,Table2[HomeTeam],$A48, Table2[AwayTeam], AE$36, Table2[ActualResult], "SO")) / (2*(SUMIFS(Table2[AwayWon], Table2[GameIsOver],1,Table2[AwayTeam],$A48, Table2[HomeTeam], AE$36) + SUMIFS(Table2[HomeWon_], Table2[GameIsOver],1,Table2[HomeTeam],$A48, Table2[AwayTeam], AE$36) + SUMIFS(Table2[HomeWon_], Table2[GameIsOver],1,Table2[AwayTeam],$A48, Table2[HomeTeam], AE$36, Table2[ActualResult], "REG") + SUMIFS(Table2[AwayWon], Table2[GameIsOver],1,Table2[HomeTeam],$A48, Table2[AwayTeam], AE$36, Table2[ActualResult], "REG") + SUMIFS(Table2[HomeWon_], Table2[GameIsOver],1,Table2[AwayTeam],$A48, Table2[HomeTeam], AE$36, Table2[ActualResult], "OT") + SUMIFS(Table2[AwayWon], Table2[GameIsOver],1,Table2[HomeTeam],$A48, Table2[AwayTeam], AE$36, Table2[ActualResult], "OT") + SUMIFS(Table2[HomeWon_], Table2[GameIsOver],1,Table2[AwayTeam],$A48, Table2[HomeTeam], AE$36, Table2[ActualResult], "SO") + SUMIFS(Table2[AwayWon], Table2[GameIsOver],1,Table2[HomeTeam],$A48, Table2[AwayTeam], AE$36, Table2[ActualResult], "SO"))), "")</f>
        <v/>
      </c>
      <c r="AF48" t="str">
        <f>IFERROR(((2*SUMIFS(Table2[AwayWon], Table2[GameIsOver],1,Table2[AwayTeam],$A48, Table2[HomeTeam], AF$36) + SUMIFS(Table2[HomeWon_], Table2[GameIsOver],1,Table2[HomeTeam],$A48, Table2[AwayTeam], AF$36)) + SUMIFS(Table2[AwayWon], Table2[GameIsOver],1,Table2[HomeTeam],$A48, Table2[AwayTeam], AF$36, Table2[ActualResult], "REG") + SUMIFS(Table2[HomeWon_], Table2[GameIsOver],1,Table2[AwayTeam],$A48, Table2[HomeTeam], AF$36, Table2[ActualResult], "OT") + SUMIFS(Table2[AwayWon], Table2[GameIsOver],1,Table2[HomeTeam],$A48, Table2[AwayTeam], AF$36, Table2[ActualResult], "OT") + SUMIFS(Table2[HomeWon_], Table2[GameIsOver],1,Table2[AwayTeam],$A48, Table2[HomeTeam], AF$36, Table2[ActualResult], "SO") + SUMIFS(Table2[AwayWon], Table2[GameIsOver],1,Table2[HomeTeam],$A48, Table2[AwayTeam], AF$36, Table2[ActualResult], "SO")) / (2*(SUMIFS(Table2[AwayWon], Table2[GameIsOver],1,Table2[AwayTeam],$A48, Table2[HomeTeam], AF$36) + SUMIFS(Table2[HomeWon_], Table2[GameIsOver],1,Table2[HomeTeam],$A48, Table2[AwayTeam], AF$36) + SUMIFS(Table2[HomeWon_], Table2[GameIsOver],1,Table2[AwayTeam],$A48, Table2[HomeTeam], AF$36, Table2[ActualResult], "REG") + SUMIFS(Table2[AwayWon], Table2[GameIsOver],1,Table2[HomeTeam],$A48, Table2[AwayTeam], AF$36, Table2[ActualResult], "REG") + SUMIFS(Table2[HomeWon_], Table2[GameIsOver],1,Table2[AwayTeam],$A48, Table2[HomeTeam], AF$36, Table2[ActualResult], "OT") + SUMIFS(Table2[AwayWon], Table2[GameIsOver],1,Table2[HomeTeam],$A48, Table2[AwayTeam], AF$36, Table2[ActualResult], "OT") + SUMIFS(Table2[HomeWon_], Table2[GameIsOver],1,Table2[AwayTeam],$A48, Table2[HomeTeam], AF$36, Table2[ActualResult], "SO") + SUMIFS(Table2[AwayWon], Table2[GameIsOver],1,Table2[HomeTeam],$A48, Table2[AwayTeam], AF$36, Table2[ActualResult], "SO"))), "")</f>
        <v/>
      </c>
      <c r="AG48" s="57" t="str">
        <f>IFERROR(((2*SUMIFS(Table2[AwayWon], Table2[GameIsOver],1,Table2[AwayTeam],$A48, Table2[HomeTeam], AG$36) + SUMIFS(Table2[HomeWon_], Table2[GameIsOver],1,Table2[HomeTeam],$A48, Table2[AwayTeam], AG$36)) + SUMIFS(Table2[AwayWon], Table2[GameIsOver],1,Table2[HomeTeam],$A48, Table2[AwayTeam], AG$36, Table2[ActualResult], "REG") + SUMIFS(Table2[HomeWon_], Table2[GameIsOver],1,Table2[AwayTeam],$A48, Table2[HomeTeam], AG$36, Table2[ActualResult], "OT") + SUMIFS(Table2[AwayWon], Table2[GameIsOver],1,Table2[HomeTeam],$A48, Table2[AwayTeam], AG$36, Table2[ActualResult], "OT") + SUMIFS(Table2[HomeWon_], Table2[GameIsOver],1,Table2[AwayTeam],$A48, Table2[HomeTeam], AG$36, Table2[ActualResult], "SO") + SUMIFS(Table2[AwayWon], Table2[GameIsOver],1,Table2[HomeTeam],$A48, Table2[AwayTeam], AG$36, Table2[ActualResult], "SO")) / (2*(SUMIFS(Table2[AwayWon], Table2[GameIsOver],1,Table2[AwayTeam],$A48, Table2[HomeTeam], AG$36) + SUMIFS(Table2[HomeWon_], Table2[GameIsOver],1,Table2[HomeTeam],$A48, Table2[AwayTeam], AG$36) + SUMIFS(Table2[HomeWon_], Table2[GameIsOver],1,Table2[AwayTeam],$A48, Table2[HomeTeam], AG$36, Table2[ActualResult], "REG") + SUMIFS(Table2[AwayWon], Table2[GameIsOver],1,Table2[HomeTeam],$A48, Table2[AwayTeam], AG$36, Table2[ActualResult], "REG") + SUMIFS(Table2[HomeWon_], Table2[GameIsOver],1,Table2[AwayTeam],$A48, Table2[HomeTeam], AG$36, Table2[ActualResult], "OT") + SUMIFS(Table2[AwayWon], Table2[GameIsOver],1,Table2[HomeTeam],$A48, Table2[AwayTeam], AG$36, Table2[ActualResult], "OT") + SUMIFS(Table2[HomeWon_], Table2[GameIsOver],1,Table2[AwayTeam],$A48, Table2[HomeTeam], AG$36, Table2[ActualResult], "SO") + SUMIFS(Table2[AwayWon], Table2[GameIsOver],1,Table2[HomeTeam],$A48, Table2[AwayTeam], AG$36, Table2[ActualResult], "SO"))), "")</f>
        <v/>
      </c>
      <c r="AH48" s="101">
        <f t="shared" si="0"/>
        <v>0.5</v>
      </c>
      <c r="AI48" s="101">
        <f t="shared" si="1"/>
        <v>0.5</v>
      </c>
      <c r="AJ48" s="103" t="e">
        <f t="shared" si="2"/>
        <v>#DIV/0!</v>
      </c>
      <c r="AK48" s="103">
        <f t="shared" si="3"/>
        <v>0.5</v>
      </c>
      <c r="AL48" s="103">
        <f t="shared" si="4"/>
        <v>0.5</v>
      </c>
      <c r="AM48" s="103">
        <f t="shared" si="5"/>
        <v>0.5</v>
      </c>
    </row>
    <row r="49" spans="1:39" x14ac:dyDescent="0.25">
      <c r="A49" s="57" t="s">
        <v>34</v>
      </c>
      <c r="B49" s="24">
        <f>IFERROR(((2*SUMIFS(Table2[AwayWon], Table2[GameIsOver],1,Table2[AwayTeam],$A49, Table2[HomeTeam], B$36) + SUMIFS(Table2[HomeWon_], Table2[GameIsOver],1,Table2[HomeTeam],$A49, Table2[AwayTeam], B$36)) + SUMIFS(Table2[AwayWon], Table2[GameIsOver],1,Table2[HomeTeam],$A49, Table2[AwayTeam], B$36, Table2[ActualResult], "REG") + SUMIFS(Table2[HomeWon_], Table2[GameIsOver],1,Table2[AwayTeam],$A49, Table2[HomeTeam], B$36, Table2[ActualResult], "OT") + SUMIFS(Table2[AwayWon], Table2[GameIsOver],1,Table2[HomeTeam],$A49, Table2[AwayTeam], B$36, Table2[ActualResult], "OT") + SUMIFS(Table2[HomeWon_], Table2[GameIsOver],1,Table2[AwayTeam],$A49, Table2[HomeTeam], B$36, Table2[ActualResult], "SO") + SUMIFS(Table2[AwayWon], Table2[GameIsOver],1,Table2[HomeTeam],$A49, Table2[AwayTeam], B$36, Table2[ActualResult], "SO")) / (2*(SUMIFS(Table2[AwayWon], Table2[GameIsOver],1,Table2[AwayTeam],$A49, Table2[HomeTeam], B$36) + SUMIFS(Table2[HomeWon_], Table2[GameIsOver],1,Table2[HomeTeam],$A49, Table2[AwayTeam], B$36) + SUMIFS(Table2[HomeWon_], Table2[GameIsOver],1,Table2[AwayTeam],$A49, Table2[HomeTeam], B$36, Table2[ActualResult], "REG") + SUMIFS(Table2[AwayWon], Table2[GameIsOver],1,Table2[HomeTeam],$A49, Table2[AwayTeam], B$36, Table2[ActualResult], "REG") + SUMIFS(Table2[HomeWon_], Table2[GameIsOver],1,Table2[AwayTeam],$A49, Table2[HomeTeam], B$36, Table2[ActualResult], "OT") + SUMIFS(Table2[AwayWon], Table2[GameIsOver],1,Table2[HomeTeam],$A49, Table2[AwayTeam], B$36, Table2[ActualResult], "OT") + SUMIFS(Table2[HomeWon_], Table2[GameIsOver],1,Table2[AwayTeam],$A49, Table2[HomeTeam], B$36, Table2[ActualResult], "SO") + SUMIFS(Table2[AwayWon], Table2[GameIsOver],1,Table2[HomeTeam],$A49, Table2[AwayTeam], B$36, Table2[ActualResult], "SO"))), "")</f>
        <v>0.5</v>
      </c>
      <c r="C49" s="24" t="str">
        <f>IFERROR(((2*SUMIFS(Table2[AwayWon], Table2[GameIsOver],1,Table2[AwayTeam],$A49, Table2[HomeTeam], C$36) + SUMIFS(Table2[HomeWon_], Table2[GameIsOver],1,Table2[HomeTeam],$A49, Table2[AwayTeam], C$36)) + SUMIFS(Table2[AwayWon], Table2[GameIsOver],1,Table2[HomeTeam],$A49, Table2[AwayTeam], C$36, Table2[ActualResult], "REG") + SUMIFS(Table2[HomeWon_], Table2[GameIsOver],1,Table2[AwayTeam],$A49, Table2[HomeTeam], C$36, Table2[ActualResult], "OT") + SUMIFS(Table2[AwayWon], Table2[GameIsOver],1,Table2[HomeTeam],$A49, Table2[AwayTeam], C$36, Table2[ActualResult], "OT") + SUMIFS(Table2[HomeWon_], Table2[GameIsOver],1,Table2[AwayTeam],$A49, Table2[HomeTeam], C$36, Table2[ActualResult], "SO") + SUMIFS(Table2[AwayWon], Table2[GameIsOver],1,Table2[HomeTeam],$A49, Table2[AwayTeam], C$36, Table2[ActualResult], "SO")) / (2*(SUMIFS(Table2[AwayWon], Table2[GameIsOver],1,Table2[AwayTeam],$A49, Table2[HomeTeam], C$36) + SUMIFS(Table2[HomeWon_], Table2[GameIsOver],1,Table2[HomeTeam],$A49, Table2[AwayTeam], C$36) + SUMIFS(Table2[HomeWon_], Table2[GameIsOver],1,Table2[AwayTeam],$A49, Table2[HomeTeam], C$36, Table2[ActualResult], "REG") + SUMIFS(Table2[AwayWon], Table2[GameIsOver],1,Table2[HomeTeam],$A49, Table2[AwayTeam], C$36, Table2[ActualResult], "REG") + SUMIFS(Table2[HomeWon_], Table2[GameIsOver],1,Table2[AwayTeam],$A49, Table2[HomeTeam], C$36, Table2[ActualResult], "OT") + SUMIFS(Table2[AwayWon], Table2[GameIsOver],1,Table2[HomeTeam],$A49, Table2[AwayTeam], C$36, Table2[ActualResult], "OT") + SUMIFS(Table2[HomeWon_], Table2[GameIsOver],1,Table2[AwayTeam],$A49, Table2[HomeTeam], C$36, Table2[ActualResult], "SO") + SUMIFS(Table2[AwayWon], Table2[GameIsOver],1,Table2[HomeTeam],$A49, Table2[AwayTeam], C$36, Table2[ActualResult], "SO"))), "")</f>
        <v/>
      </c>
      <c r="D49" t="str">
        <f>IFERROR(((2*SUMIFS(Table2[AwayWon], Table2[GameIsOver],1,Table2[AwayTeam],$A49, Table2[HomeTeam], D$36) + SUMIFS(Table2[HomeWon_], Table2[GameIsOver],1,Table2[HomeTeam],$A49, Table2[AwayTeam], D$36)) + SUMIFS(Table2[AwayWon], Table2[GameIsOver],1,Table2[HomeTeam],$A49, Table2[AwayTeam], D$36, Table2[ActualResult], "REG") + SUMIFS(Table2[HomeWon_], Table2[GameIsOver],1,Table2[AwayTeam],$A49, Table2[HomeTeam], D$36, Table2[ActualResult], "OT") + SUMIFS(Table2[AwayWon], Table2[GameIsOver],1,Table2[HomeTeam],$A49, Table2[AwayTeam], D$36, Table2[ActualResult], "OT") + SUMIFS(Table2[HomeWon_], Table2[GameIsOver],1,Table2[AwayTeam],$A49, Table2[HomeTeam], D$36, Table2[ActualResult], "SO") + SUMIFS(Table2[AwayWon], Table2[GameIsOver],1,Table2[HomeTeam],$A49, Table2[AwayTeam], D$36, Table2[ActualResult], "SO")) / (2*(SUMIFS(Table2[AwayWon], Table2[GameIsOver],1,Table2[AwayTeam],$A49, Table2[HomeTeam], D$36) + SUMIFS(Table2[HomeWon_], Table2[GameIsOver],1,Table2[HomeTeam],$A49, Table2[AwayTeam], D$36) + SUMIFS(Table2[HomeWon_], Table2[GameIsOver],1,Table2[AwayTeam],$A49, Table2[HomeTeam], D$36, Table2[ActualResult], "REG") + SUMIFS(Table2[AwayWon], Table2[GameIsOver],1,Table2[HomeTeam],$A49, Table2[AwayTeam], D$36, Table2[ActualResult], "REG") + SUMIFS(Table2[HomeWon_], Table2[GameIsOver],1,Table2[AwayTeam],$A49, Table2[HomeTeam], D$36, Table2[ActualResult], "OT") + SUMIFS(Table2[AwayWon], Table2[GameIsOver],1,Table2[HomeTeam],$A49, Table2[AwayTeam], D$36, Table2[ActualResult], "OT") + SUMIFS(Table2[HomeWon_], Table2[GameIsOver],1,Table2[AwayTeam],$A49, Table2[HomeTeam], D$36, Table2[ActualResult], "SO") + SUMIFS(Table2[AwayWon], Table2[GameIsOver],1,Table2[HomeTeam],$A49, Table2[AwayTeam], D$36, Table2[ActualResult], "SO"))), "")</f>
        <v/>
      </c>
      <c r="E49" t="str">
        <f>IFERROR(((2*SUMIFS(Table2[AwayWon], Table2[GameIsOver],1,Table2[AwayTeam],$A49, Table2[HomeTeam], E$36) + SUMIFS(Table2[HomeWon_], Table2[GameIsOver],1,Table2[HomeTeam],$A49, Table2[AwayTeam], E$36)) + SUMIFS(Table2[AwayWon], Table2[GameIsOver],1,Table2[HomeTeam],$A49, Table2[AwayTeam], E$36, Table2[ActualResult], "REG") + SUMIFS(Table2[HomeWon_], Table2[GameIsOver],1,Table2[AwayTeam],$A49, Table2[HomeTeam], E$36, Table2[ActualResult], "OT") + SUMIFS(Table2[AwayWon], Table2[GameIsOver],1,Table2[HomeTeam],$A49, Table2[AwayTeam], E$36, Table2[ActualResult], "OT") + SUMIFS(Table2[HomeWon_], Table2[GameIsOver],1,Table2[AwayTeam],$A49, Table2[HomeTeam], E$36, Table2[ActualResult], "SO") + SUMIFS(Table2[AwayWon], Table2[GameIsOver],1,Table2[HomeTeam],$A49, Table2[AwayTeam], E$36, Table2[ActualResult], "SO")) / (2*(SUMIFS(Table2[AwayWon], Table2[GameIsOver],1,Table2[AwayTeam],$A49, Table2[HomeTeam], E$36) + SUMIFS(Table2[HomeWon_], Table2[GameIsOver],1,Table2[HomeTeam],$A49, Table2[AwayTeam], E$36) + SUMIFS(Table2[HomeWon_], Table2[GameIsOver],1,Table2[AwayTeam],$A49, Table2[HomeTeam], E$36, Table2[ActualResult], "REG") + SUMIFS(Table2[AwayWon], Table2[GameIsOver],1,Table2[HomeTeam],$A49, Table2[AwayTeam], E$36, Table2[ActualResult], "REG") + SUMIFS(Table2[HomeWon_], Table2[GameIsOver],1,Table2[AwayTeam],$A49, Table2[HomeTeam], E$36, Table2[ActualResult], "OT") + SUMIFS(Table2[AwayWon], Table2[GameIsOver],1,Table2[HomeTeam],$A49, Table2[AwayTeam], E$36, Table2[ActualResult], "OT") + SUMIFS(Table2[HomeWon_], Table2[GameIsOver],1,Table2[AwayTeam],$A49, Table2[HomeTeam], E$36, Table2[ActualResult], "SO") + SUMIFS(Table2[AwayWon], Table2[GameIsOver],1,Table2[HomeTeam],$A49, Table2[AwayTeam], E$36, Table2[ActualResult], "SO"))), "")</f>
        <v/>
      </c>
      <c r="F49" t="str">
        <f>IFERROR(((2*SUMIFS(Table2[AwayWon], Table2[GameIsOver],1,Table2[AwayTeam],$A49, Table2[HomeTeam], F$36) + SUMIFS(Table2[HomeWon_], Table2[GameIsOver],1,Table2[HomeTeam],$A49, Table2[AwayTeam], F$36)) + SUMIFS(Table2[AwayWon], Table2[GameIsOver],1,Table2[HomeTeam],$A49, Table2[AwayTeam], F$36, Table2[ActualResult], "REG") + SUMIFS(Table2[HomeWon_], Table2[GameIsOver],1,Table2[AwayTeam],$A49, Table2[HomeTeam], F$36, Table2[ActualResult], "OT") + SUMIFS(Table2[AwayWon], Table2[GameIsOver],1,Table2[HomeTeam],$A49, Table2[AwayTeam], F$36, Table2[ActualResult], "OT") + SUMIFS(Table2[HomeWon_], Table2[GameIsOver],1,Table2[AwayTeam],$A49, Table2[HomeTeam], F$36, Table2[ActualResult], "SO") + SUMIFS(Table2[AwayWon], Table2[GameIsOver],1,Table2[HomeTeam],$A49, Table2[AwayTeam], F$36, Table2[ActualResult], "SO")) / (2*(SUMIFS(Table2[AwayWon], Table2[GameIsOver],1,Table2[AwayTeam],$A49, Table2[HomeTeam], F$36) + SUMIFS(Table2[HomeWon_], Table2[GameIsOver],1,Table2[HomeTeam],$A49, Table2[AwayTeam], F$36) + SUMIFS(Table2[HomeWon_], Table2[GameIsOver],1,Table2[AwayTeam],$A49, Table2[HomeTeam], F$36, Table2[ActualResult], "REG") + SUMIFS(Table2[AwayWon], Table2[GameIsOver],1,Table2[HomeTeam],$A49, Table2[AwayTeam], F$36, Table2[ActualResult], "REG") + SUMIFS(Table2[HomeWon_], Table2[GameIsOver],1,Table2[AwayTeam],$A49, Table2[HomeTeam], F$36, Table2[ActualResult], "OT") + SUMIFS(Table2[AwayWon], Table2[GameIsOver],1,Table2[HomeTeam],$A49, Table2[AwayTeam], F$36, Table2[ActualResult], "OT") + SUMIFS(Table2[HomeWon_], Table2[GameIsOver],1,Table2[AwayTeam],$A49, Table2[HomeTeam], F$36, Table2[ActualResult], "SO") + SUMIFS(Table2[AwayWon], Table2[GameIsOver],1,Table2[HomeTeam],$A49, Table2[AwayTeam], F$36, Table2[ActualResult], "SO"))), "")</f>
        <v/>
      </c>
      <c r="G49" t="str">
        <f>IFERROR(((2*SUMIFS(Table2[AwayWon], Table2[GameIsOver],1,Table2[AwayTeam],$A49, Table2[HomeTeam], G$36) + SUMIFS(Table2[HomeWon_], Table2[GameIsOver],1,Table2[HomeTeam],$A49, Table2[AwayTeam], G$36)) + SUMIFS(Table2[AwayWon], Table2[GameIsOver],1,Table2[HomeTeam],$A49, Table2[AwayTeam], G$36, Table2[ActualResult], "REG") + SUMIFS(Table2[HomeWon_], Table2[GameIsOver],1,Table2[AwayTeam],$A49, Table2[HomeTeam], G$36, Table2[ActualResult], "OT") + SUMIFS(Table2[AwayWon], Table2[GameIsOver],1,Table2[HomeTeam],$A49, Table2[AwayTeam], G$36, Table2[ActualResult], "OT") + SUMIFS(Table2[HomeWon_], Table2[GameIsOver],1,Table2[AwayTeam],$A49, Table2[HomeTeam], G$36, Table2[ActualResult], "SO") + SUMIFS(Table2[AwayWon], Table2[GameIsOver],1,Table2[HomeTeam],$A49, Table2[AwayTeam], G$36, Table2[ActualResult], "SO")) / (2*(SUMIFS(Table2[AwayWon], Table2[GameIsOver],1,Table2[AwayTeam],$A49, Table2[HomeTeam], G$36) + SUMIFS(Table2[HomeWon_], Table2[GameIsOver],1,Table2[HomeTeam],$A49, Table2[AwayTeam], G$36) + SUMIFS(Table2[HomeWon_], Table2[GameIsOver],1,Table2[AwayTeam],$A49, Table2[HomeTeam], G$36, Table2[ActualResult], "REG") + SUMIFS(Table2[AwayWon], Table2[GameIsOver],1,Table2[HomeTeam],$A49, Table2[AwayTeam], G$36, Table2[ActualResult], "REG") + SUMIFS(Table2[HomeWon_], Table2[GameIsOver],1,Table2[AwayTeam],$A49, Table2[HomeTeam], G$36, Table2[ActualResult], "OT") + SUMIFS(Table2[AwayWon], Table2[GameIsOver],1,Table2[HomeTeam],$A49, Table2[AwayTeam], G$36, Table2[ActualResult], "OT") + SUMIFS(Table2[HomeWon_], Table2[GameIsOver],1,Table2[AwayTeam],$A49, Table2[HomeTeam], G$36, Table2[ActualResult], "SO") + SUMIFS(Table2[AwayWon], Table2[GameIsOver],1,Table2[HomeTeam],$A49, Table2[AwayTeam], G$36, Table2[ActualResult], "SO"))), "")</f>
        <v/>
      </c>
      <c r="H49" t="str">
        <f>IFERROR(((2*SUMIFS(Table2[AwayWon], Table2[GameIsOver],1,Table2[AwayTeam],$A49, Table2[HomeTeam], H$36) + SUMIFS(Table2[HomeWon_], Table2[GameIsOver],1,Table2[HomeTeam],$A49, Table2[AwayTeam], H$36)) + SUMIFS(Table2[AwayWon], Table2[GameIsOver],1,Table2[HomeTeam],$A49, Table2[AwayTeam], H$36, Table2[ActualResult], "REG") + SUMIFS(Table2[HomeWon_], Table2[GameIsOver],1,Table2[AwayTeam],$A49, Table2[HomeTeam], H$36, Table2[ActualResult], "OT") + SUMIFS(Table2[AwayWon], Table2[GameIsOver],1,Table2[HomeTeam],$A49, Table2[AwayTeam], H$36, Table2[ActualResult], "OT") + SUMIFS(Table2[HomeWon_], Table2[GameIsOver],1,Table2[AwayTeam],$A49, Table2[HomeTeam], H$36, Table2[ActualResult], "SO") + SUMIFS(Table2[AwayWon], Table2[GameIsOver],1,Table2[HomeTeam],$A49, Table2[AwayTeam], H$36, Table2[ActualResult], "SO")) / (2*(SUMIFS(Table2[AwayWon], Table2[GameIsOver],1,Table2[AwayTeam],$A49, Table2[HomeTeam], H$36) + SUMIFS(Table2[HomeWon_], Table2[GameIsOver],1,Table2[HomeTeam],$A49, Table2[AwayTeam], H$36) + SUMIFS(Table2[HomeWon_], Table2[GameIsOver],1,Table2[AwayTeam],$A49, Table2[HomeTeam], H$36, Table2[ActualResult], "REG") + SUMIFS(Table2[AwayWon], Table2[GameIsOver],1,Table2[HomeTeam],$A49, Table2[AwayTeam], H$36, Table2[ActualResult], "REG") + SUMIFS(Table2[HomeWon_], Table2[GameIsOver],1,Table2[AwayTeam],$A49, Table2[HomeTeam], H$36, Table2[ActualResult], "OT") + SUMIFS(Table2[AwayWon], Table2[GameIsOver],1,Table2[HomeTeam],$A49, Table2[AwayTeam], H$36, Table2[ActualResult], "OT") + SUMIFS(Table2[HomeWon_], Table2[GameIsOver],1,Table2[AwayTeam],$A49, Table2[HomeTeam], H$36, Table2[ActualResult], "SO") + SUMIFS(Table2[AwayWon], Table2[GameIsOver],1,Table2[HomeTeam],$A49, Table2[AwayTeam], H$36, Table2[ActualResult], "SO"))), "")</f>
        <v/>
      </c>
      <c r="I49" s="57" t="str">
        <f>IFERROR(((2*SUMIFS(Table2[AwayWon], Table2[GameIsOver],1,Table2[AwayTeam],$A49, Table2[HomeTeam], I$36) + SUMIFS(Table2[HomeWon_], Table2[GameIsOver],1,Table2[HomeTeam],$A49, Table2[AwayTeam], I$36)) + SUMIFS(Table2[AwayWon], Table2[GameIsOver],1,Table2[HomeTeam],$A49, Table2[AwayTeam], I$36, Table2[ActualResult], "REG") + SUMIFS(Table2[HomeWon_], Table2[GameIsOver],1,Table2[AwayTeam],$A49, Table2[HomeTeam], I$36, Table2[ActualResult], "OT") + SUMIFS(Table2[AwayWon], Table2[GameIsOver],1,Table2[HomeTeam],$A49, Table2[AwayTeam], I$36, Table2[ActualResult], "OT") + SUMIFS(Table2[HomeWon_], Table2[GameIsOver],1,Table2[AwayTeam],$A49, Table2[HomeTeam], I$36, Table2[ActualResult], "SO") + SUMIFS(Table2[AwayWon], Table2[GameIsOver],1,Table2[HomeTeam],$A49, Table2[AwayTeam], I$36, Table2[ActualResult], "SO")) / (2*(SUMIFS(Table2[AwayWon], Table2[GameIsOver],1,Table2[AwayTeam],$A49, Table2[HomeTeam], I$36) + SUMIFS(Table2[HomeWon_], Table2[GameIsOver],1,Table2[HomeTeam],$A49, Table2[AwayTeam], I$36) + SUMIFS(Table2[HomeWon_], Table2[GameIsOver],1,Table2[AwayTeam],$A49, Table2[HomeTeam], I$36, Table2[ActualResult], "REG") + SUMIFS(Table2[AwayWon], Table2[GameIsOver],1,Table2[HomeTeam],$A49, Table2[AwayTeam], I$36, Table2[ActualResult], "REG") + SUMIFS(Table2[HomeWon_], Table2[GameIsOver],1,Table2[AwayTeam],$A49, Table2[HomeTeam], I$36, Table2[ActualResult], "OT") + SUMIFS(Table2[AwayWon], Table2[GameIsOver],1,Table2[HomeTeam],$A49, Table2[AwayTeam], I$36, Table2[ActualResult], "OT") + SUMIFS(Table2[HomeWon_], Table2[GameIsOver],1,Table2[AwayTeam],$A49, Table2[HomeTeam], I$36, Table2[ActualResult], "SO") + SUMIFS(Table2[AwayWon], Table2[GameIsOver],1,Table2[HomeTeam],$A49, Table2[AwayTeam], I$36, Table2[ActualResult], "SO"))), "")</f>
        <v/>
      </c>
      <c r="J49" t="str">
        <f>IFERROR(((2*SUMIFS(Table2[AwayWon], Table2[GameIsOver],1,Table2[AwayTeam],$A49, Table2[HomeTeam], J$36) + SUMIFS(Table2[HomeWon_], Table2[GameIsOver],1,Table2[HomeTeam],$A49, Table2[AwayTeam], J$36)) + SUMIFS(Table2[AwayWon], Table2[GameIsOver],1,Table2[HomeTeam],$A49, Table2[AwayTeam], J$36, Table2[ActualResult], "REG") + SUMIFS(Table2[HomeWon_], Table2[GameIsOver],1,Table2[AwayTeam],$A49, Table2[HomeTeam], J$36, Table2[ActualResult], "OT") + SUMIFS(Table2[AwayWon], Table2[GameIsOver],1,Table2[HomeTeam],$A49, Table2[AwayTeam], J$36, Table2[ActualResult], "OT") + SUMIFS(Table2[HomeWon_], Table2[GameIsOver],1,Table2[AwayTeam],$A49, Table2[HomeTeam], J$36, Table2[ActualResult], "SO") + SUMIFS(Table2[AwayWon], Table2[GameIsOver],1,Table2[HomeTeam],$A49, Table2[AwayTeam], J$36, Table2[ActualResult], "SO")) / (2*(SUMIFS(Table2[AwayWon], Table2[GameIsOver],1,Table2[AwayTeam],$A49, Table2[HomeTeam], J$36) + SUMIFS(Table2[HomeWon_], Table2[GameIsOver],1,Table2[HomeTeam],$A49, Table2[AwayTeam], J$36) + SUMIFS(Table2[HomeWon_], Table2[GameIsOver],1,Table2[AwayTeam],$A49, Table2[HomeTeam], J$36, Table2[ActualResult], "REG") + SUMIFS(Table2[AwayWon], Table2[GameIsOver],1,Table2[HomeTeam],$A49, Table2[AwayTeam], J$36, Table2[ActualResult], "REG") + SUMIFS(Table2[HomeWon_], Table2[GameIsOver],1,Table2[AwayTeam],$A49, Table2[HomeTeam], J$36, Table2[ActualResult], "OT") + SUMIFS(Table2[AwayWon], Table2[GameIsOver],1,Table2[HomeTeam],$A49, Table2[AwayTeam], J$36, Table2[ActualResult], "OT") + SUMIFS(Table2[HomeWon_], Table2[GameIsOver],1,Table2[AwayTeam],$A49, Table2[HomeTeam], J$36, Table2[ActualResult], "SO") + SUMIFS(Table2[AwayWon], Table2[GameIsOver],1,Table2[HomeTeam],$A49, Table2[AwayTeam], J$36, Table2[ActualResult], "SO"))), "")</f>
        <v/>
      </c>
      <c r="K49" t="str">
        <f>IFERROR(((2*SUMIFS(Table2[AwayWon], Table2[GameIsOver],1,Table2[AwayTeam],$A49, Table2[HomeTeam], K$36) + SUMIFS(Table2[HomeWon_], Table2[GameIsOver],1,Table2[HomeTeam],$A49, Table2[AwayTeam], K$36)) + SUMIFS(Table2[AwayWon], Table2[GameIsOver],1,Table2[HomeTeam],$A49, Table2[AwayTeam], K$36, Table2[ActualResult], "REG") + SUMIFS(Table2[HomeWon_], Table2[GameIsOver],1,Table2[AwayTeam],$A49, Table2[HomeTeam], K$36, Table2[ActualResult], "OT") + SUMIFS(Table2[AwayWon], Table2[GameIsOver],1,Table2[HomeTeam],$A49, Table2[AwayTeam], K$36, Table2[ActualResult], "OT") + SUMIFS(Table2[HomeWon_], Table2[GameIsOver],1,Table2[AwayTeam],$A49, Table2[HomeTeam], K$36, Table2[ActualResult], "SO") + SUMIFS(Table2[AwayWon], Table2[GameIsOver],1,Table2[HomeTeam],$A49, Table2[AwayTeam], K$36, Table2[ActualResult], "SO")) / (2*(SUMIFS(Table2[AwayWon], Table2[GameIsOver],1,Table2[AwayTeam],$A49, Table2[HomeTeam], K$36) + SUMIFS(Table2[HomeWon_], Table2[GameIsOver],1,Table2[HomeTeam],$A49, Table2[AwayTeam], K$36) + SUMIFS(Table2[HomeWon_], Table2[GameIsOver],1,Table2[AwayTeam],$A49, Table2[HomeTeam], K$36, Table2[ActualResult], "REG") + SUMIFS(Table2[AwayWon], Table2[GameIsOver],1,Table2[HomeTeam],$A49, Table2[AwayTeam], K$36, Table2[ActualResult], "REG") + SUMIFS(Table2[HomeWon_], Table2[GameIsOver],1,Table2[AwayTeam],$A49, Table2[HomeTeam], K$36, Table2[ActualResult], "OT") + SUMIFS(Table2[AwayWon], Table2[GameIsOver],1,Table2[HomeTeam],$A49, Table2[AwayTeam], K$36, Table2[ActualResult], "OT") + SUMIFS(Table2[HomeWon_], Table2[GameIsOver],1,Table2[AwayTeam],$A49, Table2[HomeTeam], K$36, Table2[ActualResult], "SO") + SUMIFS(Table2[AwayWon], Table2[GameIsOver],1,Table2[HomeTeam],$A49, Table2[AwayTeam], K$36, Table2[ActualResult], "SO"))), "")</f>
        <v/>
      </c>
      <c r="L49" t="str">
        <f>IFERROR(((2*SUMIFS(Table2[AwayWon], Table2[GameIsOver],1,Table2[AwayTeam],$A49, Table2[HomeTeam], L$36) + SUMIFS(Table2[HomeWon_], Table2[GameIsOver],1,Table2[HomeTeam],$A49, Table2[AwayTeam], L$36)) + SUMIFS(Table2[AwayWon], Table2[GameIsOver],1,Table2[HomeTeam],$A49, Table2[AwayTeam], L$36, Table2[ActualResult], "REG") + SUMIFS(Table2[HomeWon_], Table2[GameIsOver],1,Table2[AwayTeam],$A49, Table2[HomeTeam], L$36, Table2[ActualResult], "OT") + SUMIFS(Table2[AwayWon], Table2[GameIsOver],1,Table2[HomeTeam],$A49, Table2[AwayTeam], L$36, Table2[ActualResult], "OT") + SUMIFS(Table2[HomeWon_], Table2[GameIsOver],1,Table2[AwayTeam],$A49, Table2[HomeTeam], L$36, Table2[ActualResult], "SO") + SUMIFS(Table2[AwayWon], Table2[GameIsOver],1,Table2[HomeTeam],$A49, Table2[AwayTeam], L$36, Table2[ActualResult], "SO")) / (2*(SUMIFS(Table2[AwayWon], Table2[GameIsOver],1,Table2[AwayTeam],$A49, Table2[HomeTeam], L$36) + SUMIFS(Table2[HomeWon_], Table2[GameIsOver],1,Table2[HomeTeam],$A49, Table2[AwayTeam], L$36) + SUMIFS(Table2[HomeWon_], Table2[GameIsOver],1,Table2[AwayTeam],$A49, Table2[HomeTeam], L$36, Table2[ActualResult], "REG") + SUMIFS(Table2[AwayWon], Table2[GameIsOver],1,Table2[HomeTeam],$A49, Table2[AwayTeam], L$36, Table2[ActualResult], "REG") + SUMIFS(Table2[HomeWon_], Table2[GameIsOver],1,Table2[AwayTeam],$A49, Table2[HomeTeam], L$36, Table2[ActualResult], "OT") + SUMIFS(Table2[AwayWon], Table2[GameIsOver],1,Table2[HomeTeam],$A49, Table2[AwayTeam], L$36, Table2[ActualResult], "OT") + SUMIFS(Table2[HomeWon_], Table2[GameIsOver],1,Table2[AwayTeam],$A49, Table2[HomeTeam], L$36, Table2[ActualResult], "SO") + SUMIFS(Table2[AwayWon], Table2[GameIsOver],1,Table2[HomeTeam],$A49, Table2[AwayTeam], L$36, Table2[ActualResult], "SO"))), "")</f>
        <v/>
      </c>
      <c r="M49" t="str">
        <f>IFERROR(((2*SUMIFS(Table2[AwayWon], Table2[GameIsOver],1,Table2[AwayTeam],$A49, Table2[HomeTeam], M$36) + SUMIFS(Table2[HomeWon_], Table2[GameIsOver],1,Table2[HomeTeam],$A49, Table2[AwayTeam], M$36)) + SUMIFS(Table2[AwayWon], Table2[GameIsOver],1,Table2[HomeTeam],$A49, Table2[AwayTeam], M$36, Table2[ActualResult], "REG") + SUMIFS(Table2[HomeWon_], Table2[GameIsOver],1,Table2[AwayTeam],$A49, Table2[HomeTeam], M$36, Table2[ActualResult], "OT") + SUMIFS(Table2[AwayWon], Table2[GameIsOver],1,Table2[HomeTeam],$A49, Table2[AwayTeam], M$36, Table2[ActualResult], "OT") + SUMIFS(Table2[HomeWon_], Table2[GameIsOver],1,Table2[AwayTeam],$A49, Table2[HomeTeam], M$36, Table2[ActualResult], "SO") + SUMIFS(Table2[AwayWon], Table2[GameIsOver],1,Table2[HomeTeam],$A49, Table2[AwayTeam], M$36, Table2[ActualResult], "SO")) / (2*(SUMIFS(Table2[AwayWon], Table2[GameIsOver],1,Table2[AwayTeam],$A49, Table2[HomeTeam], M$36) + SUMIFS(Table2[HomeWon_], Table2[GameIsOver],1,Table2[HomeTeam],$A49, Table2[AwayTeam], M$36) + SUMIFS(Table2[HomeWon_], Table2[GameIsOver],1,Table2[AwayTeam],$A49, Table2[HomeTeam], M$36, Table2[ActualResult], "REG") + SUMIFS(Table2[AwayWon], Table2[GameIsOver],1,Table2[HomeTeam],$A49, Table2[AwayTeam], M$36, Table2[ActualResult], "REG") + SUMIFS(Table2[HomeWon_], Table2[GameIsOver],1,Table2[AwayTeam],$A49, Table2[HomeTeam], M$36, Table2[ActualResult], "OT") + SUMIFS(Table2[AwayWon], Table2[GameIsOver],1,Table2[HomeTeam],$A49, Table2[AwayTeam], M$36, Table2[ActualResult], "OT") + SUMIFS(Table2[HomeWon_], Table2[GameIsOver],1,Table2[AwayTeam],$A49, Table2[HomeTeam], M$36, Table2[ActualResult], "SO") + SUMIFS(Table2[AwayWon], Table2[GameIsOver],1,Table2[HomeTeam],$A49, Table2[AwayTeam], M$36, Table2[ActualResult], "SO"))), "")</f>
        <v/>
      </c>
      <c r="N49" s="98" t="str">
        <f>IFERROR(((2*SUMIFS(Table2[AwayWon], Table2[GameIsOver],1,Table2[AwayTeam],$A49, Table2[HomeTeam], N$36) + SUMIFS(Table2[HomeWon_], Table2[GameIsOver],1,Table2[HomeTeam],$A49, Table2[AwayTeam], N$36)) + SUMIFS(Table2[AwayWon], Table2[GameIsOver],1,Table2[HomeTeam],$A49, Table2[AwayTeam], N$36, Table2[ActualResult], "REG") + SUMIFS(Table2[HomeWon_], Table2[GameIsOver],1,Table2[AwayTeam],$A49, Table2[HomeTeam], N$36, Table2[ActualResult], "OT") + SUMIFS(Table2[AwayWon], Table2[GameIsOver],1,Table2[HomeTeam],$A49, Table2[AwayTeam], N$36, Table2[ActualResult], "OT") + SUMIFS(Table2[HomeWon_], Table2[GameIsOver],1,Table2[AwayTeam],$A49, Table2[HomeTeam], N$36, Table2[ActualResult], "SO") + SUMIFS(Table2[AwayWon], Table2[GameIsOver],1,Table2[HomeTeam],$A49, Table2[AwayTeam], N$36, Table2[ActualResult], "SO")) / (2*(SUMIFS(Table2[AwayWon], Table2[GameIsOver],1,Table2[AwayTeam],$A49, Table2[HomeTeam], N$36) + SUMIFS(Table2[HomeWon_], Table2[GameIsOver],1,Table2[HomeTeam],$A49, Table2[AwayTeam], N$36) + SUMIFS(Table2[HomeWon_], Table2[GameIsOver],1,Table2[AwayTeam],$A49, Table2[HomeTeam], N$36, Table2[ActualResult], "REG") + SUMIFS(Table2[AwayWon], Table2[GameIsOver],1,Table2[HomeTeam],$A49, Table2[AwayTeam], N$36, Table2[ActualResult], "REG") + SUMIFS(Table2[HomeWon_], Table2[GameIsOver],1,Table2[AwayTeam],$A49, Table2[HomeTeam], N$36, Table2[ActualResult], "OT") + SUMIFS(Table2[AwayWon], Table2[GameIsOver],1,Table2[HomeTeam],$A49, Table2[AwayTeam], N$36, Table2[ActualResult], "OT") + SUMIFS(Table2[HomeWon_], Table2[GameIsOver],1,Table2[AwayTeam],$A49, Table2[HomeTeam], N$36, Table2[ActualResult], "SO") + SUMIFS(Table2[AwayWon], Table2[GameIsOver],1,Table2[HomeTeam],$A49, Table2[AwayTeam], N$36, Table2[ActualResult], "SO"))), "")</f>
        <v/>
      </c>
      <c r="O49" t="str">
        <f>IFERROR(((2*SUMIFS(Table2[AwayWon], Table2[GameIsOver],1,Table2[AwayTeam],$A49, Table2[HomeTeam], O$36) + SUMIFS(Table2[HomeWon_], Table2[GameIsOver],1,Table2[HomeTeam],$A49, Table2[AwayTeam], O$36)) + SUMIFS(Table2[AwayWon], Table2[GameIsOver],1,Table2[HomeTeam],$A49, Table2[AwayTeam], O$36, Table2[ActualResult], "REG") + SUMIFS(Table2[HomeWon_], Table2[GameIsOver],1,Table2[AwayTeam],$A49, Table2[HomeTeam], O$36, Table2[ActualResult], "OT") + SUMIFS(Table2[AwayWon], Table2[GameIsOver],1,Table2[HomeTeam],$A49, Table2[AwayTeam], O$36, Table2[ActualResult], "OT") + SUMIFS(Table2[HomeWon_], Table2[GameIsOver],1,Table2[AwayTeam],$A49, Table2[HomeTeam], O$36, Table2[ActualResult], "SO") + SUMIFS(Table2[AwayWon], Table2[GameIsOver],1,Table2[HomeTeam],$A49, Table2[AwayTeam], O$36, Table2[ActualResult], "SO")) / (2*(SUMIFS(Table2[AwayWon], Table2[GameIsOver],1,Table2[AwayTeam],$A49, Table2[HomeTeam], O$36) + SUMIFS(Table2[HomeWon_], Table2[GameIsOver],1,Table2[HomeTeam],$A49, Table2[AwayTeam], O$36) + SUMIFS(Table2[HomeWon_], Table2[GameIsOver],1,Table2[AwayTeam],$A49, Table2[HomeTeam], O$36, Table2[ActualResult], "REG") + SUMIFS(Table2[AwayWon], Table2[GameIsOver],1,Table2[HomeTeam],$A49, Table2[AwayTeam], O$36, Table2[ActualResult], "REG") + SUMIFS(Table2[HomeWon_], Table2[GameIsOver],1,Table2[AwayTeam],$A49, Table2[HomeTeam], O$36, Table2[ActualResult], "OT") + SUMIFS(Table2[AwayWon], Table2[GameIsOver],1,Table2[HomeTeam],$A49, Table2[AwayTeam], O$36, Table2[ActualResult], "OT") + SUMIFS(Table2[HomeWon_], Table2[GameIsOver],1,Table2[AwayTeam],$A49, Table2[HomeTeam], O$36, Table2[ActualResult], "SO") + SUMIFS(Table2[AwayWon], Table2[GameIsOver],1,Table2[HomeTeam],$A49, Table2[AwayTeam], O$36, Table2[ActualResult], "SO"))), "")</f>
        <v/>
      </c>
      <c r="P49">
        <f>IFERROR(((2*SUMIFS(Table2[AwayWon], Table2[GameIsOver],1,Table2[AwayTeam],$A49, Table2[HomeTeam], P$36) + SUMIFS(Table2[HomeWon_], Table2[GameIsOver],1,Table2[HomeTeam],$A49, Table2[AwayTeam], P$36)) + SUMIFS(Table2[AwayWon], Table2[GameIsOver],1,Table2[HomeTeam],$A49, Table2[AwayTeam], P$36, Table2[ActualResult], "REG") + SUMIFS(Table2[HomeWon_], Table2[GameIsOver],1,Table2[AwayTeam],$A49, Table2[HomeTeam], P$36, Table2[ActualResult], "OT") + SUMIFS(Table2[AwayWon], Table2[GameIsOver],1,Table2[HomeTeam],$A49, Table2[AwayTeam], P$36, Table2[ActualResult], "OT") + SUMIFS(Table2[HomeWon_], Table2[GameIsOver],1,Table2[AwayTeam],$A49, Table2[HomeTeam], P$36, Table2[ActualResult], "SO") + SUMIFS(Table2[AwayWon], Table2[GameIsOver],1,Table2[HomeTeam],$A49, Table2[AwayTeam], P$36, Table2[ActualResult], "SO")) / (2*(SUMIFS(Table2[AwayWon], Table2[GameIsOver],1,Table2[AwayTeam],$A49, Table2[HomeTeam], P$36) + SUMIFS(Table2[HomeWon_], Table2[GameIsOver],1,Table2[HomeTeam],$A49, Table2[AwayTeam], P$36) + SUMIFS(Table2[HomeWon_], Table2[GameIsOver],1,Table2[AwayTeam],$A49, Table2[HomeTeam], P$36, Table2[ActualResult], "REG") + SUMIFS(Table2[AwayWon], Table2[GameIsOver],1,Table2[HomeTeam],$A49, Table2[AwayTeam], P$36, Table2[ActualResult], "REG") + SUMIFS(Table2[HomeWon_], Table2[GameIsOver],1,Table2[AwayTeam],$A49, Table2[HomeTeam], P$36, Table2[ActualResult], "OT") + SUMIFS(Table2[AwayWon], Table2[GameIsOver],1,Table2[HomeTeam],$A49, Table2[AwayTeam], P$36, Table2[ActualResult], "OT") + SUMIFS(Table2[HomeWon_], Table2[GameIsOver],1,Table2[AwayTeam],$A49, Table2[HomeTeam], P$36, Table2[ActualResult], "SO") + SUMIFS(Table2[AwayWon], Table2[GameIsOver],1,Table2[HomeTeam],$A49, Table2[AwayTeam], P$36, Table2[ActualResult], "SO"))), "")</f>
        <v>0.5</v>
      </c>
      <c r="Q49" s="57">
        <f>IFERROR(((2*SUMIFS(Table2[AwayWon], Table2[GameIsOver],1,Table2[AwayTeam],$A49, Table2[HomeTeam], Q$36) + SUMIFS(Table2[HomeWon_], Table2[GameIsOver],1,Table2[HomeTeam],$A49, Table2[AwayTeam], Q$36)) + SUMIFS(Table2[AwayWon], Table2[GameIsOver],1,Table2[HomeTeam],$A49, Table2[AwayTeam], Q$36, Table2[ActualResult], "REG") + SUMIFS(Table2[HomeWon_], Table2[GameIsOver],1,Table2[AwayTeam],$A49, Table2[HomeTeam], Q$36, Table2[ActualResult], "OT") + SUMIFS(Table2[AwayWon], Table2[GameIsOver],1,Table2[HomeTeam],$A49, Table2[AwayTeam], Q$36, Table2[ActualResult], "OT") + SUMIFS(Table2[HomeWon_], Table2[GameIsOver],1,Table2[AwayTeam],$A49, Table2[HomeTeam], Q$36, Table2[ActualResult], "SO") + SUMIFS(Table2[AwayWon], Table2[GameIsOver],1,Table2[HomeTeam],$A49, Table2[AwayTeam], Q$36, Table2[ActualResult], "SO")) / (2*(SUMIFS(Table2[AwayWon], Table2[GameIsOver],1,Table2[AwayTeam],$A49, Table2[HomeTeam], Q$36) + SUMIFS(Table2[HomeWon_], Table2[GameIsOver],1,Table2[HomeTeam],$A49, Table2[AwayTeam], Q$36) + SUMIFS(Table2[HomeWon_], Table2[GameIsOver],1,Table2[AwayTeam],$A49, Table2[HomeTeam], Q$36, Table2[ActualResult], "REG") + SUMIFS(Table2[AwayWon], Table2[GameIsOver],1,Table2[HomeTeam],$A49, Table2[AwayTeam], Q$36, Table2[ActualResult], "REG") + SUMIFS(Table2[HomeWon_], Table2[GameIsOver],1,Table2[AwayTeam],$A49, Table2[HomeTeam], Q$36, Table2[ActualResult], "OT") + SUMIFS(Table2[AwayWon], Table2[GameIsOver],1,Table2[HomeTeam],$A49, Table2[AwayTeam], Q$36, Table2[ActualResult], "OT") + SUMIFS(Table2[HomeWon_], Table2[GameIsOver],1,Table2[AwayTeam],$A49, Table2[HomeTeam], Q$36, Table2[ActualResult], "SO") + SUMIFS(Table2[AwayWon], Table2[GameIsOver],1,Table2[HomeTeam],$A49, Table2[AwayTeam], Q$36, Table2[ActualResult], "SO"))), "")</f>
        <v>0</v>
      </c>
      <c r="R49" t="str">
        <f>IFERROR(((2*SUMIFS(Table2[AwayWon], Table2[GameIsOver],1,Table2[AwayTeam],$A49, Table2[HomeTeam], R$36) + SUMIFS(Table2[HomeWon_], Table2[GameIsOver],1,Table2[HomeTeam],$A49, Table2[AwayTeam], R$36)) + SUMIFS(Table2[AwayWon], Table2[GameIsOver],1,Table2[HomeTeam],$A49, Table2[AwayTeam], R$36, Table2[ActualResult], "REG") + SUMIFS(Table2[HomeWon_], Table2[GameIsOver],1,Table2[AwayTeam],$A49, Table2[HomeTeam], R$36, Table2[ActualResult], "OT") + SUMIFS(Table2[AwayWon], Table2[GameIsOver],1,Table2[HomeTeam],$A49, Table2[AwayTeam], R$36, Table2[ActualResult], "OT") + SUMIFS(Table2[HomeWon_], Table2[GameIsOver],1,Table2[AwayTeam],$A49, Table2[HomeTeam], R$36, Table2[ActualResult], "SO") + SUMIFS(Table2[AwayWon], Table2[GameIsOver],1,Table2[HomeTeam],$A49, Table2[AwayTeam], R$36, Table2[ActualResult], "SO")) / (2*(SUMIFS(Table2[AwayWon], Table2[GameIsOver],1,Table2[AwayTeam],$A49, Table2[HomeTeam], R$36) + SUMIFS(Table2[HomeWon_], Table2[GameIsOver],1,Table2[HomeTeam],$A49, Table2[AwayTeam], R$36) + SUMIFS(Table2[HomeWon_], Table2[GameIsOver],1,Table2[AwayTeam],$A49, Table2[HomeTeam], R$36, Table2[ActualResult], "REG") + SUMIFS(Table2[AwayWon], Table2[GameIsOver],1,Table2[HomeTeam],$A49, Table2[AwayTeam], R$36, Table2[ActualResult], "REG") + SUMIFS(Table2[HomeWon_], Table2[GameIsOver],1,Table2[AwayTeam],$A49, Table2[HomeTeam], R$36, Table2[ActualResult], "OT") + SUMIFS(Table2[AwayWon], Table2[GameIsOver],1,Table2[HomeTeam],$A49, Table2[AwayTeam], R$36, Table2[ActualResult], "OT") + SUMIFS(Table2[HomeWon_], Table2[GameIsOver],1,Table2[AwayTeam],$A49, Table2[HomeTeam], R$36, Table2[ActualResult], "SO") + SUMIFS(Table2[AwayWon], Table2[GameIsOver],1,Table2[HomeTeam],$A49, Table2[AwayTeam], R$36, Table2[ActualResult], "SO"))), "")</f>
        <v/>
      </c>
      <c r="S49">
        <f>IFERROR(((2*SUMIFS(Table2[AwayWon], Table2[GameIsOver],1,Table2[AwayTeam],$A49, Table2[HomeTeam], S$36) + SUMIFS(Table2[HomeWon_], Table2[GameIsOver],1,Table2[HomeTeam],$A49, Table2[AwayTeam], S$36)) + SUMIFS(Table2[AwayWon], Table2[GameIsOver],1,Table2[HomeTeam],$A49, Table2[AwayTeam], S$36, Table2[ActualResult], "REG") + SUMIFS(Table2[HomeWon_], Table2[GameIsOver],1,Table2[AwayTeam],$A49, Table2[HomeTeam], S$36, Table2[ActualResult], "OT") + SUMIFS(Table2[AwayWon], Table2[GameIsOver],1,Table2[HomeTeam],$A49, Table2[AwayTeam], S$36, Table2[ActualResult], "OT") + SUMIFS(Table2[HomeWon_], Table2[GameIsOver],1,Table2[AwayTeam],$A49, Table2[HomeTeam], S$36, Table2[ActualResult], "SO") + SUMIFS(Table2[AwayWon], Table2[GameIsOver],1,Table2[HomeTeam],$A49, Table2[AwayTeam], S$36, Table2[ActualResult], "SO")) / (2*(SUMIFS(Table2[AwayWon], Table2[GameIsOver],1,Table2[AwayTeam],$A49, Table2[HomeTeam], S$36) + SUMIFS(Table2[HomeWon_], Table2[GameIsOver],1,Table2[HomeTeam],$A49, Table2[AwayTeam], S$36) + SUMIFS(Table2[HomeWon_], Table2[GameIsOver],1,Table2[AwayTeam],$A49, Table2[HomeTeam], S$36, Table2[ActualResult], "REG") + SUMIFS(Table2[AwayWon], Table2[GameIsOver],1,Table2[HomeTeam],$A49, Table2[AwayTeam], S$36, Table2[ActualResult], "REG") + SUMIFS(Table2[HomeWon_], Table2[GameIsOver],1,Table2[AwayTeam],$A49, Table2[HomeTeam], S$36, Table2[ActualResult], "OT") + SUMIFS(Table2[AwayWon], Table2[GameIsOver],1,Table2[HomeTeam],$A49, Table2[AwayTeam], S$36, Table2[ActualResult], "OT") + SUMIFS(Table2[HomeWon_], Table2[GameIsOver],1,Table2[AwayTeam],$A49, Table2[HomeTeam], S$36, Table2[ActualResult], "SO") + SUMIFS(Table2[AwayWon], Table2[GameIsOver],1,Table2[HomeTeam],$A49, Table2[AwayTeam], S$36, Table2[ActualResult], "SO"))), "")</f>
        <v>0.5</v>
      </c>
      <c r="T49" t="str">
        <f>IFERROR(((2*SUMIFS(Table2[AwayWon], Table2[GameIsOver],1,Table2[AwayTeam],$A49, Table2[HomeTeam], T$36) + SUMIFS(Table2[HomeWon_], Table2[GameIsOver],1,Table2[HomeTeam],$A49, Table2[AwayTeam], T$36)) + SUMIFS(Table2[AwayWon], Table2[GameIsOver],1,Table2[HomeTeam],$A49, Table2[AwayTeam], T$36, Table2[ActualResult], "REG") + SUMIFS(Table2[HomeWon_], Table2[GameIsOver],1,Table2[AwayTeam],$A49, Table2[HomeTeam], T$36, Table2[ActualResult], "OT") + SUMIFS(Table2[AwayWon], Table2[GameIsOver],1,Table2[HomeTeam],$A49, Table2[AwayTeam], T$36, Table2[ActualResult], "OT") + SUMIFS(Table2[HomeWon_], Table2[GameIsOver],1,Table2[AwayTeam],$A49, Table2[HomeTeam], T$36, Table2[ActualResult], "SO") + SUMIFS(Table2[AwayWon], Table2[GameIsOver],1,Table2[HomeTeam],$A49, Table2[AwayTeam], T$36, Table2[ActualResult], "SO")) / (2*(SUMIFS(Table2[AwayWon], Table2[GameIsOver],1,Table2[AwayTeam],$A49, Table2[HomeTeam], T$36) + SUMIFS(Table2[HomeWon_], Table2[GameIsOver],1,Table2[HomeTeam],$A49, Table2[AwayTeam], T$36) + SUMIFS(Table2[HomeWon_], Table2[GameIsOver],1,Table2[AwayTeam],$A49, Table2[HomeTeam], T$36, Table2[ActualResult], "REG") + SUMIFS(Table2[AwayWon], Table2[GameIsOver],1,Table2[HomeTeam],$A49, Table2[AwayTeam], T$36, Table2[ActualResult], "REG") + SUMIFS(Table2[HomeWon_], Table2[GameIsOver],1,Table2[AwayTeam],$A49, Table2[HomeTeam], T$36, Table2[ActualResult], "OT") + SUMIFS(Table2[AwayWon], Table2[GameIsOver],1,Table2[HomeTeam],$A49, Table2[AwayTeam], T$36, Table2[ActualResult], "OT") + SUMIFS(Table2[HomeWon_], Table2[GameIsOver],1,Table2[AwayTeam],$A49, Table2[HomeTeam], T$36, Table2[ActualResult], "SO") + SUMIFS(Table2[AwayWon], Table2[GameIsOver],1,Table2[HomeTeam],$A49, Table2[AwayTeam], T$36, Table2[ActualResult], "SO"))), "")</f>
        <v/>
      </c>
      <c r="U49" t="str">
        <f>IFERROR(((2*SUMIFS(Table2[AwayWon], Table2[GameIsOver],1,Table2[AwayTeam],$A49, Table2[HomeTeam], U$36) + SUMIFS(Table2[HomeWon_], Table2[GameIsOver],1,Table2[HomeTeam],$A49, Table2[AwayTeam], U$36)) + SUMIFS(Table2[AwayWon], Table2[GameIsOver],1,Table2[HomeTeam],$A49, Table2[AwayTeam], U$36, Table2[ActualResult], "REG") + SUMIFS(Table2[HomeWon_], Table2[GameIsOver],1,Table2[AwayTeam],$A49, Table2[HomeTeam], U$36, Table2[ActualResult], "OT") + SUMIFS(Table2[AwayWon], Table2[GameIsOver],1,Table2[HomeTeam],$A49, Table2[AwayTeam], U$36, Table2[ActualResult], "OT") + SUMIFS(Table2[HomeWon_], Table2[GameIsOver],1,Table2[AwayTeam],$A49, Table2[HomeTeam], U$36, Table2[ActualResult], "SO") + SUMIFS(Table2[AwayWon], Table2[GameIsOver],1,Table2[HomeTeam],$A49, Table2[AwayTeam], U$36, Table2[ActualResult], "SO")) / (2*(SUMIFS(Table2[AwayWon], Table2[GameIsOver],1,Table2[AwayTeam],$A49, Table2[HomeTeam], U$36) + SUMIFS(Table2[HomeWon_], Table2[GameIsOver],1,Table2[HomeTeam],$A49, Table2[AwayTeam], U$36) + SUMIFS(Table2[HomeWon_], Table2[GameIsOver],1,Table2[AwayTeam],$A49, Table2[HomeTeam], U$36, Table2[ActualResult], "REG") + SUMIFS(Table2[AwayWon], Table2[GameIsOver],1,Table2[HomeTeam],$A49, Table2[AwayTeam], U$36, Table2[ActualResult], "REG") + SUMIFS(Table2[HomeWon_], Table2[GameIsOver],1,Table2[AwayTeam],$A49, Table2[HomeTeam], U$36, Table2[ActualResult], "OT") + SUMIFS(Table2[AwayWon], Table2[GameIsOver],1,Table2[HomeTeam],$A49, Table2[AwayTeam], U$36, Table2[ActualResult], "OT") + SUMIFS(Table2[HomeWon_], Table2[GameIsOver],1,Table2[AwayTeam],$A49, Table2[HomeTeam], U$36, Table2[ActualResult], "SO") + SUMIFS(Table2[AwayWon], Table2[GameIsOver],1,Table2[HomeTeam],$A49, Table2[AwayTeam], U$36, Table2[ActualResult], "SO"))), "")</f>
        <v/>
      </c>
      <c r="V49" t="str">
        <f>IFERROR(((2*SUMIFS(Table2[AwayWon], Table2[GameIsOver],1,Table2[AwayTeam],$A49, Table2[HomeTeam], V$36) + SUMIFS(Table2[HomeWon_], Table2[GameIsOver],1,Table2[HomeTeam],$A49, Table2[AwayTeam], V$36)) + SUMIFS(Table2[AwayWon], Table2[GameIsOver],1,Table2[HomeTeam],$A49, Table2[AwayTeam], V$36, Table2[ActualResult], "REG") + SUMIFS(Table2[HomeWon_], Table2[GameIsOver],1,Table2[AwayTeam],$A49, Table2[HomeTeam], V$36, Table2[ActualResult], "OT") + SUMIFS(Table2[AwayWon], Table2[GameIsOver],1,Table2[HomeTeam],$A49, Table2[AwayTeam], V$36, Table2[ActualResult], "OT") + SUMIFS(Table2[HomeWon_], Table2[GameIsOver],1,Table2[AwayTeam],$A49, Table2[HomeTeam], V$36, Table2[ActualResult], "SO") + SUMIFS(Table2[AwayWon], Table2[GameIsOver],1,Table2[HomeTeam],$A49, Table2[AwayTeam], V$36, Table2[ActualResult], "SO")) / (2*(SUMIFS(Table2[AwayWon], Table2[GameIsOver],1,Table2[AwayTeam],$A49, Table2[HomeTeam], V$36) + SUMIFS(Table2[HomeWon_], Table2[GameIsOver],1,Table2[HomeTeam],$A49, Table2[AwayTeam], V$36) + SUMIFS(Table2[HomeWon_], Table2[GameIsOver],1,Table2[AwayTeam],$A49, Table2[HomeTeam], V$36, Table2[ActualResult], "REG") + SUMIFS(Table2[AwayWon], Table2[GameIsOver],1,Table2[HomeTeam],$A49, Table2[AwayTeam], V$36, Table2[ActualResult], "REG") + SUMIFS(Table2[HomeWon_], Table2[GameIsOver],1,Table2[AwayTeam],$A49, Table2[HomeTeam], V$36, Table2[ActualResult], "OT") + SUMIFS(Table2[AwayWon], Table2[GameIsOver],1,Table2[HomeTeam],$A49, Table2[AwayTeam], V$36, Table2[ActualResult], "OT") + SUMIFS(Table2[HomeWon_], Table2[GameIsOver],1,Table2[AwayTeam],$A49, Table2[HomeTeam], V$36, Table2[ActualResult], "SO") + SUMIFS(Table2[AwayWon], Table2[GameIsOver],1,Table2[HomeTeam],$A49, Table2[AwayTeam], V$36, Table2[ActualResult], "SO"))), "")</f>
        <v/>
      </c>
      <c r="W49" t="str">
        <f>IFERROR(((2*SUMIFS(Table2[AwayWon], Table2[GameIsOver],1,Table2[AwayTeam],$A49, Table2[HomeTeam], W$36) + SUMIFS(Table2[HomeWon_], Table2[GameIsOver],1,Table2[HomeTeam],$A49, Table2[AwayTeam], W$36)) + SUMIFS(Table2[AwayWon], Table2[GameIsOver],1,Table2[HomeTeam],$A49, Table2[AwayTeam], W$36, Table2[ActualResult], "REG") + SUMIFS(Table2[HomeWon_], Table2[GameIsOver],1,Table2[AwayTeam],$A49, Table2[HomeTeam], W$36, Table2[ActualResult], "OT") + SUMIFS(Table2[AwayWon], Table2[GameIsOver],1,Table2[HomeTeam],$A49, Table2[AwayTeam], W$36, Table2[ActualResult], "OT") + SUMIFS(Table2[HomeWon_], Table2[GameIsOver],1,Table2[AwayTeam],$A49, Table2[HomeTeam], W$36, Table2[ActualResult], "SO") + SUMIFS(Table2[AwayWon], Table2[GameIsOver],1,Table2[HomeTeam],$A49, Table2[AwayTeam], W$36, Table2[ActualResult], "SO")) / (2*(SUMIFS(Table2[AwayWon], Table2[GameIsOver],1,Table2[AwayTeam],$A49, Table2[HomeTeam], W$36) + SUMIFS(Table2[HomeWon_], Table2[GameIsOver],1,Table2[HomeTeam],$A49, Table2[AwayTeam], W$36) + SUMIFS(Table2[HomeWon_], Table2[GameIsOver],1,Table2[AwayTeam],$A49, Table2[HomeTeam], W$36, Table2[ActualResult], "REG") + SUMIFS(Table2[AwayWon], Table2[GameIsOver],1,Table2[HomeTeam],$A49, Table2[AwayTeam], W$36, Table2[ActualResult], "REG") + SUMIFS(Table2[HomeWon_], Table2[GameIsOver],1,Table2[AwayTeam],$A49, Table2[HomeTeam], W$36, Table2[ActualResult], "OT") + SUMIFS(Table2[AwayWon], Table2[GameIsOver],1,Table2[HomeTeam],$A49, Table2[AwayTeam], W$36, Table2[ActualResult], "OT") + SUMIFS(Table2[HomeWon_], Table2[GameIsOver],1,Table2[AwayTeam],$A49, Table2[HomeTeam], W$36, Table2[ActualResult], "SO") + SUMIFS(Table2[AwayWon], Table2[GameIsOver],1,Table2[HomeTeam],$A49, Table2[AwayTeam], W$36, Table2[ActualResult], "SO"))), "")</f>
        <v/>
      </c>
      <c r="X49" t="str">
        <f>IFERROR(((2*SUMIFS(Table2[AwayWon], Table2[GameIsOver],1,Table2[AwayTeam],$A49, Table2[HomeTeam], X$36) + SUMIFS(Table2[HomeWon_], Table2[GameIsOver],1,Table2[HomeTeam],$A49, Table2[AwayTeam], X$36)) + SUMIFS(Table2[AwayWon], Table2[GameIsOver],1,Table2[HomeTeam],$A49, Table2[AwayTeam], X$36, Table2[ActualResult], "REG") + SUMIFS(Table2[HomeWon_], Table2[GameIsOver],1,Table2[AwayTeam],$A49, Table2[HomeTeam], X$36, Table2[ActualResult], "OT") + SUMIFS(Table2[AwayWon], Table2[GameIsOver],1,Table2[HomeTeam],$A49, Table2[AwayTeam], X$36, Table2[ActualResult], "OT") + SUMIFS(Table2[HomeWon_], Table2[GameIsOver],1,Table2[AwayTeam],$A49, Table2[HomeTeam], X$36, Table2[ActualResult], "SO") + SUMIFS(Table2[AwayWon], Table2[GameIsOver],1,Table2[HomeTeam],$A49, Table2[AwayTeam], X$36, Table2[ActualResult], "SO")) / (2*(SUMIFS(Table2[AwayWon], Table2[GameIsOver],1,Table2[AwayTeam],$A49, Table2[HomeTeam], X$36) + SUMIFS(Table2[HomeWon_], Table2[GameIsOver],1,Table2[HomeTeam],$A49, Table2[AwayTeam], X$36) + SUMIFS(Table2[HomeWon_], Table2[GameIsOver],1,Table2[AwayTeam],$A49, Table2[HomeTeam], X$36, Table2[ActualResult], "REG") + SUMIFS(Table2[AwayWon], Table2[GameIsOver],1,Table2[HomeTeam],$A49, Table2[AwayTeam], X$36, Table2[ActualResult], "REG") + SUMIFS(Table2[HomeWon_], Table2[GameIsOver],1,Table2[AwayTeam],$A49, Table2[HomeTeam], X$36, Table2[ActualResult], "OT") + SUMIFS(Table2[AwayWon], Table2[GameIsOver],1,Table2[HomeTeam],$A49, Table2[AwayTeam], X$36, Table2[ActualResult], "OT") + SUMIFS(Table2[HomeWon_], Table2[GameIsOver],1,Table2[AwayTeam],$A49, Table2[HomeTeam], X$36, Table2[ActualResult], "SO") + SUMIFS(Table2[AwayWon], Table2[GameIsOver],1,Table2[HomeTeam],$A49, Table2[AwayTeam], X$36, Table2[ActualResult], "SO"))), "")</f>
        <v/>
      </c>
      <c r="Y49" s="57" t="str">
        <f>IFERROR(((2*SUMIFS(Table2[AwayWon], Table2[GameIsOver],1,Table2[AwayTeam],$A49, Table2[HomeTeam], Y$36) + SUMIFS(Table2[HomeWon_], Table2[GameIsOver],1,Table2[HomeTeam],$A49, Table2[AwayTeam], Y$36)) + SUMIFS(Table2[AwayWon], Table2[GameIsOver],1,Table2[HomeTeam],$A49, Table2[AwayTeam], Y$36, Table2[ActualResult], "REG") + SUMIFS(Table2[HomeWon_], Table2[GameIsOver],1,Table2[AwayTeam],$A49, Table2[HomeTeam], Y$36, Table2[ActualResult], "OT") + SUMIFS(Table2[AwayWon], Table2[GameIsOver],1,Table2[HomeTeam],$A49, Table2[AwayTeam], Y$36, Table2[ActualResult], "OT") + SUMIFS(Table2[HomeWon_], Table2[GameIsOver],1,Table2[AwayTeam],$A49, Table2[HomeTeam], Y$36, Table2[ActualResult], "SO") + SUMIFS(Table2[AwayWon], Table2[GameIsOver],1,Table2[HomeTeam],$A49, Table2[AwayTeam], Y$36, Table2[ActualResult], "SO")) / (2*(SUMIFS(Table2[AwayWon], Table2[GameIsOver],1,Table2[AwayTeam],$A49, Table2[HomeTeam], Y$36) + SUMIFS(Table2[HomeWon_], Table2[GameIsOver],1,Table2[HomeTeam],$A49, Table2[AwayTeam], Y$36) + SUMIFS(Table2[HomeWon_], Table2[GameIsOver],1,Table2[AwayTeam],$A49, Table2[HomeTeam], Y$36, Table2[ActualResult], "REG") + SUMIFS(Table2[AwayWon], Table2[GameIsOver],1,Table2[HomeTeam],$A49, Table2[AwayTeam], Y$36, Table2[ActualResult], "REG") + SUMIFS(Table2[HomeWon_], Table2[GameIsOver],1,Table2[AwayTeam],$A49, Table2[HomeTeam], Y$36, Table2[ActualResult], "OT") + SUMIFS(Table2[AwayWon], Table2[GameIsOver],1,Table2[HomeTeam],$A49, Table2[AwayTeam], Y$36, Table2[ActualResult], "OT") + SUMIFS(Table2[HomeWon_], Table2[GameIsOver],1,Table2[AwayTeam],$A49, Table2[HomeTeam], Y$36, Table2[ActualResult], "SO") + SUMIFS(Table2[AwayWon], Table2[GameIsOver],1,Table2[HomeTeam],$A49, Table2[AwayTeam], Y$36, Table2[ActualResult], "SO"))), "")</f>
        <v/>
      </c>
      <c r="Z49" t="str">
        <f>IFERROR(((2*SUMIFS(Table2[AwayWon], Table2[GameIsOver],1,Table2[AwayTeam],$A49, Table2[HomeTeam], Z$36) + SUMIFS(Table2[HomeWon_], Table2[GameIsOver],1,Table2[HomeTeam],$A49, Table2[AwayTeam], Z$36)) + SUMIFS(Table2[AwayWon], Table2[GameIsOver],1,Table2[HomeTeam],$A49, Table2[AwayTeam], Z$36, Table2[ActualResult], "REG") + SUMIFS(Table2[HomeWon_], Table2[GameIsOver],1,Table2[AwayTeam],$A49, Table2[HomeTeam], Z$36, Table2[ActualResult], "OT") + SUMIFS(Table2[AwayWon], Table2[GameIsOver],1,Table2[HomeTeam],$A49, Table2[AwayTeam], Z$36, Table2[ActualResult], "OT") + SUMIFS(Table2[HomeWon_], Table2[GameIsOver],1,Table2[AwayTeam],$A49, Table2[HomeTeam], Z$36, Table2[ActualResult], "SO") + SUMIFS(Table2[AwayWon], Table2[GameIsOver],1,Table2[HomeTeam],$A49, Table2[AwayTeam], Z$36, Table2[ActualResult], "SO")) / (2*(SUMIFS(Table2[AwayWon], Table2[GameIsOver],1,Table2[AwayTeam],$A49, Table2[HomeTeam], Z$36) + SUMIFS(Table2[HomeWon_], Table2[GameIsOver],1,Table2[HomeTeam],$A49, Table2[AwayTeam], Z$36) + SUMIFS(Table2[HomeWon_], Table2[GameIsOver],1,Table2[AwayTeam],$A49, Table2[HomeTeam], Z$36, Table2[ActualResult], "REG") + SUMIFS(Table2[AwayWon], Table2[GameIsOver],1,Table2[HomeTeam],$A49, Table2[AwayTeam], Z$36, Table2[ActualResult], "REG") + SUMIFS(Table2[HomeWon_], Table2[GameIsOver],1,Table2[AwayTeam],$A49, Table2[HomeTeam], Z$36, Table2[ActualResult], "OT") + SUMIFS(Table2[AwayWon], Table2[GameIsOver],1,Table2[HomeTeam],$A49, Table2[AwayTeam], Z$36, Table2[ActualResult], "OT") + SUMIFS(Table2[HomeWon_], Table2[GameIsOver],1,Table2[AwayTeam],$A49, Table2[HomeTeam], Z$36, Table2[ActualResult], "SO") + SUMIFS(Table2[AwayWon], Table2[GameIsOver],1,Table2[HomeTeam],$A49, Table2[AwayTeam], Z$36, Table2[ActualResult], "SO"))), "")</f>
        <v/>
      </c>
      <c r="AA49" t="str">
        <f>IFERROR(((2*SUMIFS(Table2[AwayWon], Table2[GameIsOver],1,Table2[AwayTeam],$A49, Table2[HomeTeam], AA$36) + SUMIFS(Table2[HomeWon_], Table2[GameIsOver],1,Table2[HomeTeam],$A49, Table2[AwayTeam], AA$36)) + SUMIFS(Table2[AwayWon], Table2[GameIsOver],1,Table2[HomeTeam],$A49, Table2[AwayTeam], AA$36, Table2[ActualResult], "REG") + SUMIFS(Table2[HomeWon_], Table2[GameIsOver],1,Table2[AwayTeam],$A49, Table2[HomeTeam], AA$36, Table2[ActualResult], "OT") + SUMIFS(Table2[AwayWon], Table2[GameIsOver],1,Table2[HomeTeam],$A49, Table2[AwayTeam], AA$36, Table2[ActualResult], "OT") + SUMIFS(Table2[HomeWon_], Table2[GameIsOver],1,Table2[AwayTeam],$A49, Table2[HomeTeam], AA$36, Table2[ActualResult], "SO") + SUMIFS(Table2[AwayWon], Table2[GameIsOver],1,Table2[HomeTeam],$A49, Table2[AwayTeam], AA$36, Table2[ActualResult], "SO")) / (2*(SUMIFS(Table2[AwayWon], Table2[GameIsOver],1,Table2[AwayTeam],$A49, Table2[HomeTeam], AA$36) + SUMIFS(Table2[HomeWon_], Table2[GameIsOver],1,Table2[HomeTeam],$A49, Table2[AwayTeam], AA$36) + SUMIFS(Table2[HomeWon_], Table2[GameIsOver],1,Table2[AwayTeam],$A49, Table2[HomeTeam], AA$36, Table2[ActualResult], "REG") + SUMIFS(Table2[AwayWon], Table2[GameIsOver],1,Table2[HomeTeam],$A49, Table2[AwayTeam], AA$36, Table2[ActualResult], "REG") + SUMIFS(Table2[HomeWon_], Table2[GameIsOver],1,Table2[AwayTeam],$A49, Table2[HomeTeam], AA$36, Table2[ActualResult], "OT") + SUMIFS(Table2[AwayWon], Table2[GameIsOver],1,Table2[HomeTeam],$A49, Table2[AwayTeam], AA$36, Table2[ActualResult], "OT") + SUMIFS(Table2[HomeWon_], Table2[GameIsOver],1,Table2[AwayTeam],$A49, Table2[HomeTeam], AA$36, Table2[ActualResult], "SO") + SUMIFS(Table2[AwayWon], Table2[GameIsOver],1,Table2[HomeTeam],$A49, Table2[AwayTeam], AA$36, Table2[ActualResult], "SO"))), "")</f>
        <v/>
      </c>
      <c r="AB49" t="str">
        <f>IFERROR(((2*SUMIFS(Table2[AwayWon], Table2[GameIsOver],1,Table2[AwayTeam],$A49, Table2[HomeTeam], AB$36) + SUMIFS(Table2[HomeWon_], Table2[GameIsOver],1,Table2[HomeTeam],$A49, Table2[AwayTeam], AB$36)) + SUMIFS(Table2[AwayWon], Table2[GameIsOver],1,Table2[HomeTeam],$A49, Table2[AwayTeam], AB$36, Table2[ActualResult], "REG") + SUMIFS(Table2[HomeWon_], Table2[GameIsOver],1,Table2[AwayTeam],$A49, Table2[HomeTeam], AB$36, Table2[ActualResult], "OT") + SUMIFS(Table2[AwayWon], Table2[GameIsOver],1,Table2[HomeTeam],$A49, Table2[AwayTeam], AB$36, Table2[ActualResult], "OT") + SUMIFS(Table2[HomeWon_], Table2[GameIsOver],1,Table2[AwayTeam],$A49, Table2[HomeTeam], AB$36, Table2[ActualResult], "SO") + SUMIFS(Table2[AwayWon], Table2[GameIsOver],1,Table2[HomeTeam],$A49, Table2[AwayTeam], AB$36, Table2[ActualResult], "SO")) / (2*(SUMIFS(Table2[AwayWon], Table2[GameIsOver],1,Table2[AwayTeam],$A49, Table2[HomeTeam], AB$36) + SUMIFS(Table2[HomeWon_], Table2[GameIsOver],1,Table2[HomeTeam],$A49, Table2[AwayTeam], AB$36) + SUMIFS(Table2[HomeWon_], Table2[GameIsOver],1,Table2[AwayTeam],$A49, Table2[HomeTeam], AB$36, Table2[ActualResult], "REG") + SUMIFS(Table2[AwayWon], Table2[GameIsOver],1,Table2[HomeTeam],$A49, Table2[AwayTeam], AB$36, Table2[ActualResult], "REG") + SUMIFS(Table2[HomeWon_], Table2[GameIsOver],1,Table2[AwayTeam],$A49, Table2[HomeTeam], AB$36, Table2[ActualResult], "OT") + SUMIFS(Table2[AwayWon], Table2[GameIsOver],1,Table2[HomeTeam],$A49, Table2[AwayTeam], AB$36, Table2[ActualResult], "OT") + SUMIFS(Table2[HomeWon_], Table2[GameIsOver],1,Table2[AwayTeam],$A49, Table2[HomeTeam], AB$36, Table2[ActualResult], "SO") + SUMIFS(Table2[AwayWon], Table2[GameIsOver],1,Table2[HomeTeam],$A49, Table2[AwayTeam], AB$36, Table2[ActualResult], "SO"))), "")</f>
        <v/>
      </c>
      <c r="AC49" t="str">
        <f>IFERROR(((2*SUMIFS(Table2[AwayWon], Table2[GameIsOver],1,Table2[AwayTeam],$A49, Table2[HomeTeam], AC$36) + SUMIFS(Table2[HomeWon_], Table2[GameIsOver],1,Table2[HomeTeam],$A49, Table2[AwayTeam], AC$36)) + SUMIFS(Table2[AwayWon], Table2[GameIsOver],1,Table2[HomeTeam],$A49, Table2[AwayTeam], AC$36, Table2[ActualResult], "REG") + SUMIFS(Table2[HomeWon_], Table2[GameIsOver],1,Table2[AwayTeam],$A49, Table2[HomeTeam], AC$36, Table2[ActualResult], "OT") + SUMIFS(Table2[AwayWon], Table2[GameIsOver],1,Table2[HomeTeam],$A49, Table2[AwayTeam], AC$36, Table2[ActualResult], "OT") + SUMIFS(Table2[HomeWon_], Table2[GameIsOver],1,Table2[AwayTeam],$A49, Table2[HomeTeam], AC$36, Table2[ActualResult], "SO") + SUMIFS(Table2[AwayWon], Table2[GameIsOver],1,Table2[HomeTeam],$A49, Table2[AwayTeam], AC$36, Table2[ActualResult], "SO")) / (2*(SUMIFS(Table2[AwayWon], Table2[GameIsOver],1,Table2[AwayTeam],$A49, Table2[HomeTeam], AC$36) + SUMIFS(Table2[HomeWon_], Table2[GameIsOver],1,Table2[HomeTeam],$A49, Table2[AwayTeam], AC$36) + SUMIFS(Table2[HomeWon_], Table2[GameIsOver],1,Table2[AwayTeam],$A49, Table2[HomeTeam], AC$36, Table2[ActualResult], "REG") + SUMIFS(Table2[AwayWon], Table2[GameIsOver],1,Table2[HomeTeam],$A49, Table2[AwayTeam], AC$36, Table2[ActualResult], "REG") + SUMIFS(Table2[HomeWon_], Table2[GameIsOver],1,Table2[AwayTeam],$A49, Table2[HomeTeam], AC$36, Table2[ActualResult], "OT") + SUMIFS(Table2[AwayWon], Table2[GameIsOver],1,Table2[HomeTeam],$A49, Table2[AwayTeam], AC$36, Table2[ActualResult], "OT") + SUMIFS(Table2[HomeWon_], Table2[GameIsOver],1,Table2[AwayTeam],$A49, Table2[HomeTeam], AC$36, Table2[ActualResult], "SO") + SUMIFS(Table2[AwayWon], Table2[GameIsOver],1,Table2[HomeTeam],$A49, Table2[AwayTeam], AC$36, Table2[ActualResult], "SO"))), "")</f>
        <v/>
      </c>
      <c r="AD49">
        <f>IFERROR(((2*SUMIFS(Table2[AwayWon], Table2[GameIsOver],1,Table2[AwayTeam],$A49, Table2[HomeTeam], AD$36) + SUMIFS(Table2[HomeWon_], Table2[GameIsOver],1,Table2[HomeTeam],$A49, Table2[AwayTeam], AD$36)) + SUMIFS(Table2[AwayWon], Table2[GameIsOver],1,Table2[HomeTeam],$A49, Table2[AwayTeam], AD$36, Table2[ActualResult], "REG") + SUMIFS(Table2[HomeWon_], Table2[GameIsOver],1,Table2[AwayTeam],$A49, Table2[HomeTeam], AD$36, Table2[ActualResult], "OT") + SUMIFS(Table2[AwayWon], Table2[GameIsOver],1,Table2[HomeTeam],$A49, Table2[AwayTeam], AD$36, Table2[ActualResult], "OT") + SUMIFS(Table2[HomeWon_], Table2[GameIsOver],1,Table2[AwayTeam],$A49, Table2[HomeTeam], AD$36, Table2[ActualResult], "SO") + SUMIFS(Table2[AwayWon], Table2[GameIsOver],1,Table2[HomeTeam],$A49, Table2[AwayTeam], AD$36, Table2[ActualResult], "SO")) / (2*(SUMIFS(Table2[AwayWon], Table2[GameIsOver],1,Table2[AwayTeam],$A49, Table2[HomeTeam], AD$36) + SUMIFS(Table2[HomeWon_], Table2[GameIsOver],1,Table2[HomeTeam],$A49, Table2[AwayTeam], AD$36) + SUMIFS(Table2[HomeWon_], Table2[GameIsOver],1,Table2[AwayTeam],$A49, Table2[HomeTeam], AD$36, Table2[ActualResult], "REG") + SUMIFS(Table2[AwayWon], Table2[GameIsOver],1,Table2[HomeTeam],$A49, Table2[AwayTeam], AD$36, Table2[ActualResult], "REG") + SUMIFS(Table2[HomeWon_], Table2[GameIsOver],1,Table2[AwayTeam],$A49, Table2[HomeTeam], AD$36, Table2[ActualResult], "OT") + SUMIFS(Table2[AwayWon], Table2[GameIsOver],1,Table2[HomeTeam],$A49, Table2[AwayTeam], AD$36, Table2[ActualResult], "OT") + SUMIFS(Table2[HomeWon_], Table2[GameIsOver],1,Table2[AwayTeam],$A49, Table2[HomeTeam], AD$36, Table2[ActualResult], "SO") + SUMIFS(Table2[AwayWon], Table2[GameIsOver],1,Table2[HomeTeam],$A49, Table2[AwayTeam], AD$36, Table2[ActualResult], "SO"))), "")</f>
        <v>0.5</v>
      </c>
      <c r="AE49">
        <f>IFERROR(((2*SUMIFS(Table2[AwayWon], Table2[GameIsOver],1,Table2[AwayTeam],$A49, Table2[HomeTeam], AE$36) + SUMIFS(Table2[HomeWon_], Table2[GameIsOver],1,Table2[HomeTeam],$A49, Table2[AwayTeam], AE$36)) + SUMIFS(Table2[AwayWon], Table2[GameIsOver],1,Table2[HomeTeam],$A49, Table2[AwayTeam], AE$36, Table2[ActualResult], "REG") + SUMIFS(Table2[HomeWon_], Table2[GameIsOver],1,Table2[AwayTeam],$A49, Table2[HomeTeam], AE$36, Table2[ActualResult], "OT") + SUMIFS(Table2[AwayWon], Table2[GameIsOver],1,Table2[HomeTeam],$A49, Table2[AwayTeam], AE$36, Table2[ActualResult], "OT") + SUMIFS(Table2[HomeWon_], Table2[GameIsOver],1,Table2[AwayTeam],$A49, Table2[HomeTeam], AE$36, Table2[ActualResult], "SO") + SUMIFS(Table2[AwayWon], Table2[GameIsOver],1,Table2[HomeTeam],$A49, Table2[AwayTeam], AE$36, Table2[ActualResult], "SO")) / (2*(SUMIFS(Table2[AwayWon], Table2[GameIsOver],1,Table2[AwayTeam],$A49, Table2[HomeTeam], AE$36) + SUMIFS(Table2[HomeWon_], Table2[GameIsOver],1,Table2[HomeTeam],$A49, Table2[AwayTeam], AE$36) + SUMIFS(Table2[HomeWon_], Table2[GameIsOver],1,Table2[AwayTeam],$A49, Table2[HomeTeam], AE$36, Table2[ActualResult], "REG") + SUMIFS(Table2[AwayWon], Table2[GameIsOver],1,Table2[HomeTeam],$A49, Table2[AwayTeam], AE$36, Table2[ActualResult], "REG") + SUMIFS(Table2[HomeWon_], Table2[GameIsOver],1,Table2[AwayTeam],$A49, Table2[HomeTeam], AE$36, Table2[ActualResult], "OT") + SUMIFS(Table2[AwayWon], Table2[GameIsOver],1,Table2[HomeTeam],$A49, Table2[AwayTeam], AE$36, Table2[ActualResult], "OT") + SUMIFS(Table2[HomeWon_], Table2[GameIsOver],1,Table2[AwayTeam],$A49, Table2[HomeTeam], AE$36, Table2[ActualResult], "SO") + SUMIFS(Table2[AwayWon], Table2[GameIsOver],1,Table2[HomeTeam],$A49, Table2[AwayTeam], AE$36, Table2[ActualResult], "SO"))), "")</f>
        <v>1</v>
      </c>
      <c r="AF49" t="str">
        <f>IFERROR(((2*SUMIFS(Table2[AwayWon], Table2[GameIsOver],1,Table2[AwayTeam],$A49, Table2[HomeTeam], AF$36) + SUMIFS(Table2[HomeWon_], Table2[GameIsOver],1,Table2[HomeTeam],$A49, Table2[AwayTeam], AF$36)) + SUMIFS(Table2[AwayWon], Table2[GameIsOver],1,Table2[HomeTeam],$A49, Table2[AwayTeam], AF$36, Table2[ActualResult], "REG") + SUMIFS(Table2[HomeWon_], Table2[GameIsOver],1,Table2[AwayTeam],$A49, Table2[HomeTeam], AF$36, Table2[ActualResult], "OT") + SUMIFS(Table2[AwayWon], Table2[GameIsOver],1,Table2[HomeTeam],$A49, Table2[AwayTeam], AF$36, Table2[ActualResult], "OT") + SUMIFS(Table2[HomeWon_], Table2[GameIsOver],1,Table2[AwayTeam],$A49, Table2[HomeTeam], AF$36, Table2[ActualResult], "SO") + SUMIFS(Table2[AwayWon], Table2[GameIsOver],1,Table2[HomeTeam],$A49, Table2[AwayTeam], AF$36, Table2[ActualResult], "SO")) / (2*(SUMIFS(Table2[AwayWon], Table2[GameIsOver],1,Table2[AwayTeam],$A49, Table2[HomeTeam], AF$36) + SUMIFS(Table2[HomeWon_], Table2[GameIsOver],1,Table2[HomeTeam],$A49, Table2[AwayTeam], AF$36) + SUMIFS(Table2[HomeWon_], Table2[GameIsOver],1,Table2[AwayTeam],$A49, Table2[HomeTeam], AF$36, Table2[ActualResult], "REG") + SUMIFS(Table2[AwayWon], Table2[GameIsOver],1,Table2[HomeTeam],$A49, Table2[AwayTeam], AF$36, Table2[ActualResult], "REG") + SUMIFS(Table2[HomeWon_], Table2[GameIsOver],1,Table2[AwayTeam],$A49, Table2[HomeTeam], AF$36, Table2[ActualResult], "OT") + SUMIFS(Table2[AwayWon], Table2[GameIsOver],1,Table2[HomeTeam],$A49, Table2[AwayTeam], AF$36, Table2[ActualResult], "OT") + SUMIFS(Table2[HomeWon_], Table2[GameIsOver],1,Table2[AwayTeam],$A49, Table2[HomeTeam], AF$36, Table2[ActualResult], "SO") + SUMIFS(Table2[AwayWon], Table2[GameIsOver],1,Table2[HomeTeam],$A49, Table2[AwayTeam], AF$36, Table2[ActualResult], "SO"))), "")</f>
        <v/>
      </c>
      <c r="AG49" s="57">
        <f>IFERROR(((2*SUMIFS(Table2[AwayWon], Table2[GameIsOver],1,Table2[AwayTeam],$A49, Table2[HomeTeam], AG$36) + SUMIFS(Table2[HomeWon_], Table2[GameIsOver],1,Table2[HomeTeam],$A49, Table2[AwayTeam], AG$36)) + SUMIFS(Table2[AwayWon], Table2[GameIsOver],1,Table2[HomeTeam],$A49, Table2[AwayTeam], AG$36, Table2[ActualResult], "REG") + SUMIFS(Table2[HomeWon_], Table2[GameIsOver],1,Table2[AwayTeam],$A49, Table2[HomeTeam], AG$36, Table2[ActualResult], "OT") + SUMIFS(Table2[AwayWon], Table2[GameIsOver],1,Table2[HomeTeam],$A49, Table2[AwayTeam], AG$36, Table2[ActualResult], "OT") + SUMIFS(Table2[HomeWon_], Table2[GameIsOver],1,Table2[AwayTeam],$A49, Table2[HomeTeam], AG$36, Table2[ActualResult], "SO") + SUMIFS(Table2[AwayWon], Table2[GameIsOver],1,Table2[HomeTeam],$A49, Table2[AwayTeam], AG$36, Table2[ActualResult], "SO")) / (2*(SUMIFS(Table2[AwayWon], Table2[GameIsOver],1,Table2[AwayTeam],$A49, Table2[HomeTeam], AG$36) + SUMIFS(Table2[HomeWon_], Table2[GameIsOver],1,Table2[HomeTeam],$A49, Table2[AwayTeam], AG$36) + SUMIFS(Table2[HomeWon_], Table2[GameIsOver],1,Table2[AwayTeam],$A49, Table2[HomeTeam], AG$36, Table2[ActualResult], "REG") + SUMIFS(Table2[AwayWon], Table2[GameIsOver],1,Table2[HomeTeam],$A49, Table2[AwayTeam], AG$36, Table2[ActualResult], "REG") + SUMIFS(Table2[HomeWon_], Table2[GameIsOver],1,Table2[AwayTeam],$A49, Table2[HomeTeam], AG$36, Table2[ActualResult], "OT") + SUMIFS(Table2[AwayWon], Table2[GameIsOver],1,Table2[HomeTeam],$A49, Table2[AwayTeam], AG$36, Table2[ActualResult], "OT") + SUMIFS(Table2[HomeWon_], Table2[GameIsOver],1,Table2[AwayTeam],$A49, Table2[HomeTeam], AG$36, Table2[ActualResult], "SO") + SUMIFS(Table2[AwayWon], Table2[GameIsOver],1,Table2[HomeTeam],$A49, Table2[AwayTeam], AG$36, Table2[ActualResult], "SO"))), "")</f>
        <v>0</v>
      </c>
      <c r="AH49" s="101">
        <f t="shared" si="0"/>
        <v>0.5</v>
      </c>
      <c r="AI49" s="101">
        <f t="shared" si="1"/>
        <v>0.33333333333333331</v>
      </c>
      <c r="AJ49" s="103">
        <f t="shared" si="2"/>
        <v>0.5</v>
      </c>
      <c r="AK49" s="103">
        <f t="shared" si="3"/>
        <v>0.5</v>
      </c>
      <c r="AL49" s="103">
        <f t="shared" si="4"/>
        <v>0.25</v>
      </c>
      <c r="AM49" s="103">
        <f t="shared" si="5"/>
        <v>0.5</v>
      </c>
    </row>
    <row r="50" spans="1:39" x14ac:dyDescent="0.25">
      <c r="A50" s="57" t="s">
        <v>12</v>
      </c>
      <c r="B50" s="24" t="str">
        <f>IFERROR(((2*SUMIFS(Table2[AwayWon], Table2[GameIsOver],1,Table2[AwayTeam],$A50, Table2[HomeTeam], B$36) + SUMIFS(Table2[HomeWon_], Table2[GameIsOver],1,Table2[HomeTeam],$A50, Table2[AwayTeam], B$36)) + SUMIFS(Table2[AwayWon], Table2[GameIsOver],1,Table2[HomeTeam],$A50, Table2[AwayTeam], B$36, Table2[ActualResult], "REG") + SUMIFS(Table2[HomeWon_], Table2[GameIsOver],1,Table2[AwayTeam],$A50, Table2[HomeTeam], B$36, Table2[ActualResult], "OT") + SUMIFS(Table2[AwayWon], Table2[GameIsOver],1,Table2[HomeTeam],$A50, Table2[AwayTeam], B$36, Table2[ActualResult], "OT") + SUMIFS(Table2[HomeWon_], Table2[GameIsOver],1,Table2[AwayTeam],$A50, Table2[HomeTeam], B$36, Table2[ActualResult], "SO") + SUMIFS(Table2[AwayWon], Table2[GameIsOver],1,Table2[HomeTeam],$A50, Table2[AwayTeam], B$36, Table2[ActualResult], "SO")) / (2*(SUMIFS(Table2[AwayWon], Table2[GameIsOver],1,Table2[AwayTeam],$A50, Table2[HomeTeam], B$36) + SUMIFS(Table2[HomeWon_], Table2[GameIsOver],1,Table2[HomeTeam],$A50, Table2[AwayTeam], B$36) + SUMIFS(Table2[HomeWon_], Table2[GameIsOver],1,Table2[AwayTeam],$A50, Table2[HomeTeam], B$36, Table2[ActualResult], "REG") + SUMIFS(Table2[AwayWon], Table2[GameIsOver],1,Table2[HomeTeam],$A50, Table2[AwayTeam], B$36, Table2[ActualResult], "REG") + SUMIFS(Table2[HomeWon_], Table2[GameIsOver],1,Table2[AwayTeam],$A50, Table2[HomeTeam], B$36, Table2[ActualResult], "OT") + SUMIFS(Table2[AwayWon], Table2[GameIsOver],1,Table2[HomeTeam],$A50, Table2[AwayTeam], B$36, Table2[ActualResult], "OT") + SUMIFS(Table2[HomeWon_], Table2[GameIsOver],1,Table2[AwayTeam],$A50, Table2[HomeTeam], B$36, Table2[ActualResult], "SO") + SUMIFS(Table2[AwayWon], Table2[GameIsOver],1,Table2[HomeTeam],$A50, Table2[AwayTeam], B$36, Table2[ActualResult], "SO"))), "")</f>
        <v/>
      </c>
      <c r="C50" s="24">
        <f>IFERROR(((2*SUMIFS(Table2[AwayWon], Table2[GameIsOver],1,Table2[AwayTeam],$A50, Table2[HomeTeam], C$36) + SUMIFS(Table2[HomeWon_], Table2[GameIsOver],1,Table2[HomeTeam],$A50, Table2[AwayTeam], C$36)) + SUMIFS(Table2[AwayWon], Table2[GameIsOver],1,Table2[HomeTeam],$A50, Table2[AwayTeam], C$36, Table2[ActualResult], "REG") + SUMIFS(Table2[HomeWon_], Table2[GameIsOver],1,Table2[AwayTeam],$A50, Table2[HomeTeam], C$36, Table2[ActualResult], "OT") + SUMIFS(Table2[AwayWon], Table2[GameIsOver],1,Table2[HomeTeam],$A50, Table2[AwayTeam], C$36, Table2[ActualResult], "OT") + SUMIFS(Table2[HomeWon_], Table2[GameIsOver],1,Table2[AwayTeam],$A50, Table2[HomeTeam], C$36, Table2[ActualResult], "SO") + SUMIFS(Table2[AwayWon], Table2[GameIsOver],1,Table2[HomeTeam],$A50, Table2[AwayTeam], C$36, Table2[ActualResult], "SO")) / (2*(SUMIFS(Table2[AwayWon], Table2[GameIsOver],1,Table2[AwayTeam],$A50, Table2[HomeTeam], C$36) + SUMIFS(Table2[HomeWon_], Table2[GameIsOver],1,Table2[HomeTeam],$A50, Table2[AwayTeam], C$36) + SUMIFS(Table2[HomeWon_], Table2[GameIsOver],1,Table2[AwayTeam],$A50, Table2[HomeTeam], C$36, Table2[ActualResult], "REG") + SUMIFS(Table2[AwayWon], Table2[GameIsOver],1,Table2[HomeTeam],$A50, Table2[AwayTeam], C$36, Table2[ActualResult], "REG") + SUMIFS(Table2[HomeWon_], Table2[GameIsOver],1,Table2[AwayTeam],$A50, Table2[HomeTeam], C$36, Table2[ActualResult], "OT") + SUMIFS(Table2[AwayWon], Table2[GameIsOver],1,Table2[HomeTeam],$A50, Table2[AwayTeam], C$36, Table2[ActualResult], "OT") + SUMIFS(Table2[HomeWon_], Table2[GameIsOver],1,Table2[AwayTeam],$A50, Table2[HomeTeam], C$36, Table2[ActualResult], "SO") + SUMIFS(Table2[AwayWon], Table2[GameIsOver],1,Table2[HomeTeam],$A50, Table2[AwayTeam], C$36, Table2[ActualResult], "SO"))), "")</f>
        <v>1</v>
      </c>
      <c r="D50" t="str">
        <f>IFERROR(((2*SUMIFS(Table2[AwayWon], Table2[GameIsOver],1,Table2[AwayTeam],$A50, Table2[HomeTeam], D$36) + SUMIFS(Table2[HomeWon_], Table2[GameIsOver],1,Table2[HomeTeam],$A50, Table2[AwayTeam], D$36)) + SUMIFS(Table2[AwayWon], Table2[GameIsOver],1,Table2[HomeTeam],$A50, Table2[AwayTeam], D$36, Table2[ActualResult], "REG") + SUMIFS(Table2[HomeWon_], Table2[GameIsOver],1,Table2[AwayTeam],$A50, Table2[HomeTeam], D$36, Table2[ActualResult], "OT") + SUMIFS(Table2[AwayWon], Table2[GameIsOver],1,Table2[HomeTeam],$A50, Table2[AwayTeam], D$36, Table2[ActualResult], "OT") + SUMIFS(Table2[HomeWon_], Table2[GameIsOver],1,Table2[AwayTeam],$A50, Table2[HomeTeam], D$36, Table2[ActualResult], "SO") + SUMIFS(Table2[AwayWon], Table2[GameIsOver],1,Table2[HomeTeam],$A50, Table2[AwayTeam], D$36, Table2[ActualResult], "SO")) / (2*(SUMIFS(Table2[AwayWon], Table2[GameIsOver],1,Table2[AwayTeam],$A50, Table2[HomeTeam], D$36) + SUMIFS(Table2[HomeWon_], Table2[GameIsOver],1,Table2[HomeTeam],$A50, Table2[AwayTeam], D$36) + SUMIFS(Table2[HomeWon_], Table2[GameIsOver],1,Table2[AwayTeam],$A50, Table2[HomeTeam], D$36, Table2[ActualResult], "REG") + SUMIFS(Table2[AwayWon], Table2[GameIsOver],1,Table2[HomeTeam],$A50, Table2[AwayTeam], D$36, Table2[ActualResult], "REG") + SUMIFS(Table2[HomeWon_], Table2[GameIsOver],1,Table2[AwayTeam],$A50, Table2[HomeTeam], D$36, Table2[ActualResult], "OT") + SUMIFS(Table2[AwayWon], Table2[GameIsOver],1,Table2[HomeTeam],$A50, Table2[AwayTeam], D$36, Table2[ActualResult], "OT") + SUMIFS(Table2[HomeWon_], Table2[GameIsOver],1,Table2[AwayTeam],$A50, Table2[HomeTeam], D$36, Table2[ActualResult], "SO") + SUMIFS(Table2[AwayWon], Table2[GameIsOver],1,Table2[HomeTeam],$A50, Table2[AwayTeam], D$36, Table2[ActualResult], "SO"))), "")</f>
        <v/>
      </c>
      <c r="E50">
        <f>IFERROR(((2*SUMIFS(Table2[AwayWon], Table2[GameIsOver],1,Table2[AwayTeam],$A50, Table2[HomeTeam], E$36) + SUMIFS(Table2[HomeWon_], Table2[GameIsOver],1,Table2[HomeTeam],$A50, Table2[AwayTeam], E$36)) + SUMIFS(Table2[AwayWon], Table2[GameIsOver],1,Table2[HomeTeam],$A50, Table2[AwayTeam], E$36, Table2[ActualResult], "REG") + SUMIFS(Table2[HomeWon_], Table2[GameIsOver],1,Table2[AwayTeam],$A50, Table2[HomeTeam], E$36, Table2[ActualResult], "OT") + SUMIFS(Table2[AwayWon], Table2[GameIsOver],1,Table2[HomeTeam],$A50, Table2[AwayTeam], E$36, Table2[ActualResult], "OT") + SUMIFS(Table2[HomeWon_], Table2[GameIsOver],1,Table2[AwayTeam],$A50, Table2[HomeTeam], E$36, Table2[ActualResult], "SO") + SUMIFS(Table2[AwayWon], Table2[GameIsOver],1,Table2[HomeTeam],$A50, Table2[AwayTeam], E$36, Table2[ActualResult], "SO")) / (2*(SUMIFS(Table2[AwayWon], Table2[GameIsOver],1,Table2[AwayTeam],$A50, Table2[HomeTeam], E$36) + SUMIFS(Table2[HomeWon_], Table2[GameIsOver],1,Table2[HomeTeam],$A50, Table2[AwayTeam], E$36) + SUMIFS(Table2[HomeWon_], Table2[GameIsOver],1,Table2[AwayTeam],$A50, Table2[HomeTeam], E$36, Table2[ActualResult], "REG") + SUMIFS(Table2[AwayWon], Table2[GameIsOver],1,Table2[HomeTeam],$A50, Table2[AwayTeam], E$36, Table2[ActualResult], "REG") + SUMIFS(Table2[HomeWon_], Table2[GameIsOver],1,Table2[AwayTeam],$A50, Table2[HomeTeam], E$36, Table2[ActualResult], "OT") + SUMIFS(Table2[AwayWon], Table2[GameIsOver],1,Table2[HomeTeam],$A50, Table2[AwayTeam], E$36, Table2[ActualResult], "OT") + SUMIFS(Table2[HomeWon_], Table2[GameIsOver],1,Table2[AwayTeam],$A50, Table2[HomeTeam], E$36, Table2[ActualResult], "SO") + SUMIFS(Table2[AwayWon], Table2[GameIsOver],1,Table2[HomeTeam],$A50, Table2[AwayTeam], E$36, Table2[ActualResult], "SO"))), "")</f>
        <v>0.5</v>
      </c>
      <c r="F50" t="str">
        <f>IFERROR(((2*SUMIFS(Table2[AwayWon], Table2[GameIsOver],1,Table2[AwayTeam],$A50, Table2[HomeTeam], F$36) + SUMIFS(Table2[HomeWon_], Table2[GameIsOver],1,Table2[HomeTeam],$A50, Table2[AwayTeam], F$36)) + SUMIFS(Table2[AwayWon], Table2[GameIsOver],1,Table2[HomeTeam],$A50, Table2[AwayTeam], F$36, Table2[ActualResult], "REG") + SUMIFS(Table2[HomeWon_], Table2[GameIsOver],1,Table2[AwayTeam],$A50, Table2[HomeTeam], F$36, Table2[ActualResult], "OT") + SUMIFS(Table2[AwayWon], Table2[GameIsOver],1,Table2[HomeTeam],$A50, Table2[AwayTeam], F$36, Table2[ActualResult], "OT") + SUMIFS(Table2[HomeWon_], Table2[GameIsOver],1,Table2[AwayTeam],$A50, Table2[HomeTeam], F$36, Table2[ActualResult], "SO") + SUMIFS(Table2[AwayWon], Table2[GameIsOver],1,Table2[HomeTeam],$A50, Table2[AwayTeam], F$36, Table2[ActualResult], "SO")) / (2*(SUMIFS(Table2[AwayWon], Table2[GameIsOver],1,Table2[AwayTeam],$A50, Table2[HomeTeam], F$36) + SUMIFS(Table2[HomeWon_], Table2[GameIsOver],1,Table2[HomeTeam],$A50, Table2[AwayTeam], F$36) + SUMIFS(Table2[HomeWon_], Table2[GameIsOver],1,Table2[AwayTeam],$A50, Table2[HomeTeam], F$36, Table2[ActualResult], "REG") + SUMIFS(Table2[AwayWon], Table2[GameIsOver],1,Table2[HomeTeam],$A50, Table2[AwayTeam], F$36, Table2[ActualResult], "REG") + SUMIFS(Table2[HomeWon_], Table2[GameIsOver],1,Table2[AwayTeam],$A50, Table2[HomeTeam], F$36, Table2[ActualResult], "OT") + SUMIFS(Table2[AwayWon], Table2[GameIsOver],1,Table2[HomeTeam],$A50, Table2[AwayTeam], F$36, Table2[ActualResult], "OT") + SUMIFS(Table2[HomeWon_], Table2[GameIsOver],1,Table2[AwayTeam],$A50, Table2[HomeTeam], F$36, Table2[ActualResult], "SO") + SUMIFS(Table2[AwayWon], Table2[GameIsOver],1,Table2[HomeTeam],$A50, Table2[AwayTeam], F$36, Table2[ActualResult], "SO"))), "")</f>
        <v/>
      </c>
      <c r="G50" t="str">
        <f>IFERROR(((2*SUMIFS(Table2[AwayWon], Table2[GameIsOver],1,Table2[AwayTeam],$A50, Table2[HomeTeam], G$36) + SUMIFS(Table2[HomeWon_], Table2[GameIsOver],1,Table2[HomeTeam],$A50, Table2[AwayTeam], G$36)) + SUMIFS(Table2[AwayWon], Table2[GameIsOver],1,Table2[HomeTeam],$A50, Table2[AwayTeam], G$36, Table2[ActualResult], "REG") + SUMIFS(Table2[HomeWon_], Table2[GameIsOver],1,Table2[AwayTeam],$A50, Table2[HomeTeam], G$36, Table2[ActualResult], "OT") + SUMIFS(Table2[AwayWon], Table2[GameIsOver],1,Table2[HomeTeam],$A50, Table2[AwayTeam], G$36, Table2[ActualResult], "OT") + SUMIFS(Table2[HomeWon_], Table2[GameIsOver],1,Table2[AwayTeam],$A50, Table2[HomeTeam], G$36, Table2[ActualResult], "SO") + SUMIFS(Table2[AwayWon], Table2[GameIsOver],1,Table2[HomeTeam],$A50, Table2[AwayTeam], G$36, Table2[ActualResult], "SO")) / (2*(SUMIFS(Table2[AwayWon], Table2[GameIsOver],1,Table2[AwayTeam],$A50, Table2[HomeTeam], G$36) + SUMIFS(Table2[HomeWon_], Table2[GameIsOver],1,Table2[HomeTeam],$A50, Table2[AwayTeam], G$36) + SUMIFS(Table2[HomeWon_], Table2[GameIsOver],1,Table2[AwayTeam],$A50, Table2[HomeTeam], G$36, Table2[ActualResult], "REG") + SUMIFS(Table2[AwayWon], Table2[GameIsOver],1,Table2[HomeTeam],$A50, Table2[AwayTeam], G$36, Table2[ActualResult], "REG") + SUMIFS(Table2[HomeWon_], Table2[GameIsOver],1,Table2[AwayTeam],$A50, Table2[HomeTeam], G$36, Table2[ActualResult], "OT") + SUMIFS(Table2[AwayWon], Table2[GameIsOver],1,Table2[HomeTeam],$A50, Table2[AwayTeam], G$36, Table2[ActualResult], "OT") + SUMIFS(Table2[HomeWon_], Table2[GameIsOver],1,Table2[AwayTeam],$A50, Table2[HomeTeam], G$36, Table2[ActualResult], "SO") + SUMIFS(Table2[AwayWon], Table2[GameIsOver],1,Table2[HomeTeam],$A50, Table2[AwayTeam], G$36, Table2[ActualResult], "SO"))), "")</f>
        <v/>
      </c>
      <c r="H50">
        <f>IFERROR(((2*SUMIFS(Table2[AwayWon], Table2[GameIsOver],1,Table2[AwayTeam],$A50, Table2[HomeTeam], H$36) + SUMIFS(Table2[HomeWon_], Table2[GameIsOver],1,Table2[HomeTeam],$A50, Table2[AwayTeam], H$36)) + SUMIFS(Table2[AwayWon], Table2[GameIsOver],1,Table2[HomeTeam],$A50, Table2[AwayTeam], H$36, Table2[ActualResult], "REG") + SUMIFS(Table2[HomeWon_], Table2[GameIsOver],1,Table2[AwayTeam],$A50, Table2[HomeTeam], H$36, Table2[ActualResult], "OT") + SUMIFS(Table2[AwayWon], Table2[GameIsOver],1,Table2[HomeTeam],$A50, Table2[AwayTeam], H$36, Table2[ActualResult], "OT") + SUMIFS(Table2[HomeWon_], Table2[GameIsOver],1,Table2[AwayTeam],$A50, Table2[HomeTeam], H$36, Table2[ActualResult], "SO") + SUMIFS(Table2[AwayWon], Table2[GameIsOver],1,Table2[HomeTeam],$A50, Table2[AwayTeam], H$36, Table2[ActualResult], "SO")) / (2*(SUMIFS(Table2[AwayWon], Table2[GameIsOver],1,Table2[AwayTeam],$A50, Table2[HomeTeam], H$36) + SUMIFS(Table2[HomeWon_], Table2[GameIsOver],1,Table2[HomeTeam],$A50, Table2[AwayTeam], H$36) + SUMIFS(Table2[HomeWon_], Table2[GameIsOver],1,Table2[AwayTeam],$A50, Table2[HomeTeam], H$36, Table2[ActualResult], "REG") + SUMIFS(Table2[AwayWon], Table2[GameIsOver],1,Table2[HomeTeam],$A50, Table2[AwayTeam], H$36, Table2[ActualResult], "REG") + SUMIFS(Table2[HomeWon_], Table2[GameIsOver],1,Table2[AwayTeam],$A50, Table2[HomeTeam], H$36, Table2[ActualResult], "OT") + SUMIFS(Table2[AwayWon], Table2[GameIsOver],1,Table2[HomeTeam],$A50, Table2[AwayTeam], H$36, Table2[ActualResult], "OT") + SUMIFS(Table2[HomeWon_], Table2[GameIsOver],1,Table2[AwayTeam],$A50, Table2[HomeTeam], H$36, Table2[ActualResult], "SO") + SUMIFS(Table2[AwayWon], Table2[GameIsOver],1,Table2[HomeTeam],$A50, Table2[AwayTeam], H$36, Table2[ActualResult], "SO"))), "")</f>
        <v>1</v>
      </c>
      <c r="I50" s="57" t="str">
        <f>IFERROR(((2*SUMIFS(Table2[AwayWon], Table2[GameIsOver],1,Table2[AwayTeam],$A50, Table2[HomeTeam], I$36) + SUMIFS(Table2[HomeWon_], Table2[GameIsOver],1,Table2[HomeTeam],$A50, Table2[AwayTeam], I$36)) + SUMIFS(Table2[AwayWon], Table2[GameIsOver],1,Table2[HomeTeam],$A50, Table2[AwayTeam], I$36, Table2[ActualResult], "REG") + SUMIFS(Table2[HomeWon_], Table2[GameIsOver],1,Table2[AwayTeam],$A50, Table2[HomeTeam], I$36, Table2[ActualResult], "OT") + SUMIFS(Table2[AwayWon], Table2[GameIsOver],1,Table2[HomeTeam],$A50, Table2[AwayTeam], I$36, Table2[ActualResult], "OT") + SUMIFS(Table2[HomeWon_], Table2[GameIsOver],1,Table2[AwayTeam],$A50, Table2[HomeTeam], I$36, Table2[ActualResult], "SO") + SUMIFS(Table2[AwayWon], Table2[GameIsOver],1,Table2[HomeTeam],$A50, Table2[AwayTeam], I$36, Table2[ActualResult], "SO")) / (2*(SUMIFS(Table2[AwayWon], Table2[GameIsOver],1,Table2[AwayTeam],$A50, Table2[HomeTeam], I$36) + SUMIFS(Table2[HomeWon_], Table2[GameIsOver],1,Table2[HomeTeam],$A50, Table2[AwayTeam], I$36) + SUMIFS(Table2[HomeWon_], Table2[GameIsOver],1,Table2[AwayTeam],$A50, Table2[HomeTeam], I$36, Table2[ActualResult], "REG") + SUMIFS(Table2[AwayWon], Table2[GameIsOver],1,Table2[HomeTeam],$A50, Table2[AwayTeam], I$36, Table2[ActualResult], "REG") + SUMIFS(Table2[HomeWon_], Table2[GameIsOver],1,Table2[AwayTeam],$A50, Table2[HomeTeam], I$36, Table2[ActualResult], "OT") + SUMIFS(Table2[AwayWon], Table2[GameIsOver],1,Table2[HomeTeam],$A50, Table2[AwayTeam], I$36, Table2[ActualResult], "OT") + SUMIFS(Table2[HomeWon_], Table2[GameIsOver],1,Table2[AwayTeam],$A50, Table2[HomeTeam], I$36, Table2[ActualResult], "SO") + SUMIFS(Table2[AwayWon], Table2[GameIsOver],1,Table2[HomeTeam],$A50, Table2[AwayTeam], I$36, Table2[ActualResult], "SO"))), "")</f>
        <v/>
      </c>
      <c r="J50">
        <f>IFERROR(((2*SUMIFS(Table2[AwayWon], Table2[GameIsOver],1,Table2[AwayTeam],$A50, Table2[HomeTeam], J$36) + SUMIFS(Table2[HomeWon_], Table2[GameIsOver],1,Table2[HomeTeam],$A50, Table2[AwayTeam], J$36)) + SUMIFS(Table2[AwayWon], Table2[GameIsOver],1,Table2[HomeTeam],$A50, Table2[AwayTeam], J$36, Table2[ActualResult], "REG") + SUMIFS(Table2[HomeWon_], Table2[GameIsOver],1,Table2[AwayTeam],$A50, Table2[HomeTeam], J$36, Table2[ActualResult], "OT") + SUMIFS(Table2[AwayWon], Table2[GameIsOver],1,Table2[HomeTeam],$A50, Table2[AwayTeam], J$36, Table2[ActualResult], "OT") + SUMIFS(Table2[HomeWon_], Table2[GameIsOver],1,Table2[AwayTeam],$A50, Table2[HomeTeam], J$36, Table2[ActualResult], "SO") + SUMIFS(Table2[AwayWon], Table2[GameIsOver],1,Table2[HomeTeam],$A50, Table2[AwayTeam], J$36, Table2[ActualResult], "SO")) / (2*(SUMIFS(Table2[AwayWon], Table2[GameIsOver],1,Table2[AwayTeam],$A50, Table2[HomeTeam], J$36) + SUMIFS(Table2[HomeWon_], Table2[GameIsOver],1,Table2[HomeTeam],$A50, Table2[AwayTeam], J$36) + SUMIFS(Table2[HomeWon_], Table2[GameIsOver],1,Table2[AwayTeam],$A50, Table2[HomeTeam], J$36, Table2[ActualResult], "REG") + SUMIFS(Table2[AwayWon], Table2[GameIsOver],1,Table2[HomeTeam],$A50, Table2[AwayTeam], J$36, Table2[ActualResult], "REG") + SUMIFS(Table2[HomeWon_], Table2[GameIsOver],1,Table2[AwayTeam],$A50, Table2[HomeTeam], J$36, Table2[ActualResult], "OT") + SUMIFS(Table2[AwayWon], Table2[GameIsOver],1,Table2[HomeTeam],$A50, Table2[AwayTeam], J$36, Table2[ActualResult], "OT") + SUMIFS(Table2[HomeWon_], Table2[GameIsOver],1,Table2[AwayTeam],$A50, Table2[HomeTeam], J$36, Table2[ActualResult], "SO") + SUMIFS(Table2[AwayWon], Table2[GameIsOver],1,Table2[HomeTeam],$A50, Table2[AwayTeam], J$36, Table2[ActualResult], "SO"))), "")</f>
        <v>0.5</v>
      </c>
      <c r="K50" t="str">
        <f>IFERROR(((2*SUMIFS(Table2[AwayWon], Table2[GameIsOver],1,Table2[AwayTeam],$A50, Table2[HomeTeam], K$36) + SUMIFS(Table2[HomeWon_], Table2[GameIsOver],1,Table2[HomeTeam],$A50, Table2[AwayTeam], K$36)) + SUMIFS(Table2[AwayWon], Table2[GameIsOver],1,Table2[HomeTeam],$A50, Table2[AwayTeam], K$36, Table2[ActualResult], "REG") + SUMIFS(Table2[HomeWon_], Table2[GameIsOver],1,Table2[AwayTeam],$A50, Table2[HomeTeam], K$36, Table2[ActualResult], "OT") + SUMIFS(Table2[AwayWon], Table2[GameIsOver],1,Table2[HomeTeam],$A50, Table2[AwayTeam], K$36, Table2[ActualResult], "OT") + SUMIFS(Table2[HomeWon_], Table2[GameIsOver],1,Table2[AwayTeam],$A50, Table2[HomeTeam], K$36, Table2[ActualResult], "SO") + SUMIFS(Table2[AwayWon], Table2[GameIsOver],1,Table2[HomeTeam],$A50, Table2[AwayTeam], K$36, Table2[ActualResult], "SO")) / (2*(SUMIFS(Table2[AwayWon], Table2[GameIsOver],1,Table2[AwayTeam],$A50, Table2[HomeTeam], K$36) + SUMIFS(Table2[HomeWon_], Table2[GameIsOver],1,Table2[HomeTeam],$A50, Table2[AwayTeam], K$36) + SUMIFS(Table2[HomeWon_], Table2[GameIsOver],1,Table2[AwayTeam],$A50, Table2[HomeTeam], K$36, Table2[ActualResult], "REG") + SUMIFS(Table2[AwayWon], Table2[GameIsOver],1,Table2[HomeTeam],$A50, Table2[AwayTeam], K$36, Table2[ActualResult], "REG") + SUMIFS(Table2[HomeWon_], Table2[GameIsOver],1,Table2[AwayTeam],$A50, Table2[HomeTeam], K$36, Table2[ActualResult], "OT") + SUMIFS(Table2[AwayWon], Table2[GameIsOver],1,Table2[HomeTeam],$A50, Table2[AwayTeam], K$36, Table2[ActualResult], "OT") + SUMIFS(Table2[HomeWon_], Table2[GameIsOver],1,Table2[AwayTeam],$A50, Table2[HomeTeam], K$36, Table2[ActualResult], "SO") + SUMIFS(Table2[AwayWon], Table2[GameIsOver],1,Table2[HomeTeam],$A50, Table2[AwayTeam], K$36, Table2[ActualResult], "SO"))), "")</f>
        <v/>
      </c>
      <c r="L50">
        <f>IFERROR(((2*SUMIFS(Table2[AwayWon], Table2[GameIsOver],1,Table2[AwayTeam],$A50, Table2[HomeTeam], L$36) + SUMIFS(Table2[HomeWon_], Table2[GameIsOver],1,Table2[HomeTeam],$A50, Table2[AwayTeam], L$36)) + SUMIFS(Table2[AwayWon], Table2[GameIsOver],1,Table2[HomeTeam],$A50, Table2[AwayTeam], L$36, Table2[ActualResult], "REG") + SUMIFS(Table2[HomeWon_], Table2[GameIsOver],1,Table2[AwayTeam],$A50, Table2[HomeTeam], L$36, Table2[ActualResult], "OT") + SUMIFS(Table2[AwayWon], Table2[GameIsOver],1,Table2[HomeTeam],$A50, Table2[AwayTeam], L$36, Table2[ActualResult], "OT") + SUMIFS(Table2[HomeWon_], Table2[GameIsOver],1,Table2[AwayTeam],$A50, Table2[HomeTeam], L$36, Table2[ActualResult], "SO") + SUMIFS(Table2[AwayWon], Table2[GameIsOver],1,Table2[HomeTeam],$A50, Table2[AwayTeam], L$36, Table2[ActualResult], "SO")) / (2*(SUMIFS(Table2[AwayWon], Table2[GameIsOver],1,Table2[AwayTeam],$A50, Table2[HomeTeam], L$36) + SUMIFS(Table2[HomeWon_], Table2[GameIsOver],1,Table2[HomeTeam],$A50, Table2[AwayTeam], L$36) + SUMIFS(Table2[HomeWon_], Table2[GameIsOver],1,Table2[AwayTeam],$A50, Table2[HomeTeam], L$36, Table2[ActualResult], "REG") + SUMIFS(Table2[AwayWon], Table2[GameIsOver],1,Table2[HomeTeam],$A50, Table2[AwayTeam], L$36, Table2[ActualResult], "REG") + SUMIFS(Table2[HomeWon_], Table2[GameIsOver],1,Table2[AwayTeam],$A50, Table2[HomeTeam], L$36, Table2[ActualResult], "OT") + SUMIFS(Table2[AwayWon], Table2[GameIsOver],1,Table2[HomeTeam],$A50, Table2[AwayTeam], L$36, Table2[ActualResult], "OT") + SUMIFS(Table2[HomeWon_], Table2[GameIsOver],1,Table2[AwayTeam],$A50, Table2[HomeTeam], L$36, Table2[ActualResult], "SO") + SUMIFS(Table2[AwayWon], Table2[GameIsOver],1,Table2[HomeTeam],$A50, Table2[AwayTeam], L$36, Table2[ActualResult], "SO"))), "")</f>
        <v>0.5</v>
      </c>
      <c r="M50">
        <f>IFERROR(((2*SUMIFS(Table2[AwayWon], Table2[GameIsOver],1,Table2[AwayTeam],$A50, Table2[HomeTeam], M$36) + SUMIFS(Table2[HomeWon_], Table2[GameIsOver],1,Table2[HomeTeam],$A50, Table2[AwayTeam], M$36)) + SUMIFS(Table2[AwayWon], Table2[GameIsOver],1,Table2[HomeTeam],$A50, Table2[AwayTeam], M$36, Table2[ActualResult], "REG") + SUMIFS(Table2[HomeWon_], Table2[GameIsOver],1,Table2[AwayTeam],$A50, Table2[HomeTeam], M$36, Table2[ActualResult], "OT") + SUMIFS(Table2[AwayWon], Table2[GameIsOver],1,Table2[HomeTeam],$A50, Table2[AwayTeam], M$36, Table2[ActualResult], "OT") + SUMIFS(Table2[HomeWon_], Table2[GameIsOver],1,Table2[AwayTeam],$A50, Table2[HomeTeam], M$36, Table2[ActualResult], "SO") + SUMIFS(Table2[AwayWon], Table2[GameIsOver],1,Table2[HomeTeam],$A50, Table2[AwayTeam], M$36, Table2[ActualResult], "SO")) / (2*(SUMIFS(Table2[AwayWon], Table2[GameIsOver],1,Table2[AwayTeam],$A50, Table2[HomeTeam], M$36) + SUMIFS(Table2[HomeWon_], Table2[GameIsOver],1,Table2[HomeTeam],$A50, Table2[AwayTeam], M$36) + SUMIFS(Table2[HomeWon_], Table2[GameIsOver],1,Table2[AwayTeam],$A50, Table2[HomeTeam], M$36, Table2[ActualResult], "REG") + SUMIFS(Table2[AwayWon], Table2[GameIsOver],1,Table2[HomeTeam],$A50, Table2[AwayTeam], M$36, Table2[ActualResult], "REG") + SUMIFS(Table2[HomeWon_], Table2[GameIsOver],1,Table2[AwayTeam],$A50, Table2[HomeTeam], M$36, Table2[ActualResult], "OT") + SUMIFS(Table2[AwayWon], Table2[GameIsOver],1,Table2[HomeTeam],$A50, Table2[AwayTeam], M$36, Table2[ActualResult], "OT") + SUMIFS(Table2[HomeWon_], Table2[GameIsOver],1,Table2[AwayTeam],$A50, Table2[HomeTeam], M$36, Table2[ActualResult], "SO") + SUMIFS(Table2[AwayWon], Table2[GameIsOver],1,Table2[HomeTeam],$A50, Table2[AwayTeam], M$36, Table2[ActualResult], "SO"))), "")</f>
        <v>0.5</v>
      </c>
      <c r="N50" t="str">
        <f>IFERROR(((2*SUMIFS(Table2[AwayWon], Table2[GameIsOver],1,Table2[AwayTeam],$A50, Table2[HomeTeam], N$36) + SUMIFS(Table2[HomeWon_], Table2[GameIsOver],1,Table2[HomeTeam],$A50, Table2[AwayTeam], N$36)) + SUMIFS(Table2[AwayWon], Table2[GameIsOver],1,Table2[HomeTeam],$A50, Table2[AwayTeam], N$36, Table2[ActualResult], "REG") + SUMIFS(Table2[HomeWon_], Table2[GameIsOver],1,Table2[AwayTeam],$A50, Table2[HomeTeam], N$36, Table2[ActualResult], "OT") + SUMIFS(Table2[AwayWon], Table2[GameIsOver],1,Table2[HomeTeam],$A50, Table2[AwayTeam], N$36, Table2[ActualResult], "OT") + SUMIFS(Table2[HomeWon_], Table2[GameIsOver],1,Table2[AwayTeam],$A50, Table2[HomeTeam], N$36, Table2[ActualResult], "SO") + SUMIFS(Table2[AwayWon], Table2[GameIsOver],1,Table2[HomeTeam],$A50, Table2[AwayTeam], N$36, Table2[ActualResult], "SO")) / (2*(SUMIFS(Table2[AwayWon], Table2[GameIsOver],1,Table2[AwayTeam],$A50, Table2[HomeTeam], N$36) + SUMIFS(Table2[HomeWon_], Table2[GameIsOver],1,Table2[HomeTeam],$A50, Table2[AwayTeam], N$36) + SUMIFS(Table2[HomeWon_], Table2[GameIsOver],1,Table2[AwayTeam],$A50, Table2[HomeTeam], N$36, Table2[ActualResult], "REG") + SUMIFS(Table2[AwayWon], Table2[GameIsOver],1,Table2[HomeTeam],$A50, Table2[AwayTeam], N$36, Table2[ActualResult], "REG") + SUMIFS(Table2[HomeWon_], Table2[GameIsOver],1,Table2[AwayTeam],$A50, Table2[HomeTeam], N$36, Table2[ActualResult], "OT") + SUMIFS(Table2[AwayWon], Table2[GameIsOver],1,Table2[HomeTeam],$A50, Table2[AwayTeam], N$36, Table2[ActualResult], "OT") + SUMIFS(Table2[HomeWon_], Table2[GameIsOver],1,Table2[AwayTeam],$A50, Table2[HomeTeam], N$36, Table2[ActualResult], "SO") + SUMIFS(Table2[AwayWon], Table2[GameIsOver],1,Table2[HomeTeam],$A50, Table2[AwayTeam], N$36, Table2[ActualResult], "SO"))), "")</f>
        <v/>
      </c>
      <c r="O50" s="98" t="str">
        <f>IFERROR(((2*SUMIFS(Table2[AwayWon], Table2[GameIsOver],1,Table2[AwayTeam],$A50, Table2[HomeTeam], O$36) + SUMIFS(Table2[HomeWon_], Table2[GameIsOver],1,Table2[HomeTeam],$A50, Table2[AwayTeam], O$36)) + SUMIFS(Table2[AwayWon], Table2[GameIsOver],1,Table2[HomeTeam],$A50, Table2[AwayTeam], O$36, Table2[ActualResult], "REG") + SUMIFS(Table2[HomeWon_], Table2[GameIsOver],1,Table2[AwayTeam],$A50, Table2[HomeTeam], O$36, Table2[ActualResult], "OT") + SUMIFS(Table2[AwayWon], Table2[GameIsOver],1,Table2[HomeTeam],$A50, Table2[AwayTeam], O$36, Table2[ActualResult], "OT") + SUMIFS(Table2[HomeWon_], Table2[GameIsOver],1,Table2[AwayTeam],$A50, Table2[HomeTeam], O$36, Table2[ActualResult], "SO") + SUMIFS(Table2[AwayWon], Table2[GameIsOver],1,Table2[HomeTeam],$A50, Table2[AwayTeam], O$36, Table2[ActualResult], "SO")) / (2*(SUMIFS(Table2[AwayWon], Table2[GameIsOver],1,Table2[AwayTeam],$A50, Table2[HomeTeam], O$36) + SUMIFS(Table2[HomeWon_], Table2[GameIsOver],1,Table2[HomeTeam],$A50, Table2[AwayTeam], O$36) + SUMIFS(Table2[HomeWon_], Table2[GameIsOver],1,Table2[AwayTeam],$A50, Table2[HomeTeam], O$36, Table2[ActualResult], "REG") + SUMIFS(Table2[AwayWon], Table2[GameIsOver],1,Table2[HomeTeam],$A50, Table2[AwayTeam], O$36, Table2[ActualResult], "REG") + SUMIFS(Table2[HomeWon_], Table2[GameIsOver],1,Table2[AwayTeam],$A50, Table2[HomeTeam], O$36, Table2[ActualResult], "OT") + SUMIFS(Table2[AwayWon], Table2[GameIsOver],1,Table2[HomeTeam],$A50, Table2[AwayTeam], O$36, Table2[ActualResult], "OT") + SUMIFS(Table2[HomeWon_], Table2[GameIsOver],1,Table2[AwayTeam],$A50, Table2[HomeTeam], O$36, Table2[ActualResult], "SO") + SUMIFS(Table2[AwayWon], Table2[GameIsOver],1,Table2[HomeTeam],$A50, Table2[AwayTeam], O$36, Table2[ActualResult], "SO"))), "")</f>
        <v/>
      </c>
      <c r="P50" t="str">
        <f>IFERROR(((2*SUMIFS(Table2[AwayWon], Table2[GameIsOver],1,Table2[AwayTeam],$A50, Table2[HomeTeam], P$36) + SUMIFS(Table2[HomeWon_], Table2[GameIsOver],1,Table2[HomeTeam],$A50, Table2[AwayTeam], P$36)) + SUMIFS(Table2[AwayWon], Table2[GameIsOver],1,Table2[HomeTeam],$A50, Table2[AwayTeam], P$36, Table2[ActualResult], "REG") + SUMIFS(Table2[HomeWon_], Table2[GameIsOver],1,Table2[AwayTeam],$A50, Table2[HomeTeam], P$36, Table2[ActualResult], "OT") + SUMIFS(Table2[AwayWon], Table2[GameIsOver],1,Table2[HomeTeam],$A50, Table2[AwayTeam], P$36, Table2[ActualResult], "OT") + SUMIFS(Table2[HomeWon_], Table2[GameIsOver],1,Table2[AwayTeam],$A50, Table2[HomeTeam], P$36, Table2[ActualResult], "SO") + SUMIFS(Table2[AwayWon], Table2[GameIsOver],1,Table2[HomeTeam],$A50, Table2[AwayTeam], P$36, Table2[ActualResult], "SO")) / (2*(SUMIFS(Table2[AwayWon], Table2[GameIsOver],1,Table2[AwayTeam],$A50, Table2[HomeTeam], P$36) + SUMIFS(Table2[HomeWon_], Table2[GameIsOver],1,Table2[HomeTeam],$A50, Table2[AwayTeam], P$36) + SUMIFS(Table2[HomeWon_], Table2[GameIsOver],1,Table2[AwayTeam],$A50, Table2[HomeTeam], P$36, Table2[ActualResult], "REG") + SUMIFS(Table2[AwayWon], Table2[GameIsOver],1,Table2[HomeTeam],$A50, Table2[AwayTeam], P$36, Table2[ActualResult], "REG") + SUMIFS(Table2[HomeWon_], Table2[GameIsOver],1,Table2[AwayTeam],$A50, Table2[HomeTeam], P$36, Table2[ActualResult], "OT") + SUMIFS(Table2[AwayWon], Table2[GameIsOver],1,Table2[HomeTeam],$A50, Table2[AwayTeam], P$36, Table2[ActualResult], "OT") + SUMIFS(Table2[HomeWon_], Table2[GameIsOver],1,Table2[AwayTeam],$A50, Table2[HomeTeam], P$36, Table2[ActualResult], "SO") + SUMIFS(Table2[AwayWon], Table2[GameIsOver],1,Table2[HomeTeam],$A50, Table2[AwayTeam], P$36, Table2[ActualResult], "SO"))), "")</f>
        <v/>
      </c>
      <c r="Q50" s="57" t="str">
        <f>IFERROR(((2*SUMIFS(Table2[AwayWon], Table2[GameIsOver],1,Table2[AwayTeam],$A50, Table2[HomeTeam], Q$36) + SUMIFS(Table2[HomeWon_], Table2[GameIsOver],1,Table2[HomeTeam],$A50, Table2[AwayTeam], Q$36)) + SUMIFS(Table2[AwayWon], Table2[GameIsOver],1,Table2[HomeTeam],$A50, Table2[AwayTeam], Q$36, Table2[ActualResult], "REG") + SUMIFS(Table2[HomeWon_], Table2[GameIsOver],1,Table2[AwayTeam],$A50, Table2[HomeTeam], Q$36, Table2[ActualResult], "OT") + SUMIFS(Table2[AwayWon], Table2[GameIsOver],1,Table2[HomeTeam],$A50, Table2[AwayTeam], Q$36, Table2[ActualResult], "OT") + SUMIFS(Table2[HomeWon_], Table2[GameIsOver],1,Table2[AwayTeam],$A50, Table2[HomeTeam], Q$36, Table2[ActualResult], "SO") + SUMIFS(Table2[AwayWon], Table2[GameIsOver],1,Table2[HomeTeam],$A50, Table2[AwayTeam], Q$36, Table2[ActualResult], "SO")) / (2*(SUMIFS(Table2[AwayWon], Table2[GameIsOver],1,Table2[AwayTeam],$A50, Table2[HomeTeam], Q$36) + SUMIFS(Table2[HomeWon_], Table2[GameIsOver],1,Table2[HomeTeam],$A50, Table2[AwayTeam], Q$36) + SUMIFS(Table2[HomeWon_], Table2[GameIsOver],1,Table2[AwayTeam],$A50, Table2[HomeTeam], Q$36, Table2[ActualResult], "REG") + SUMIFS(Table2[AwayWon], Table2[GameIsOver],1,Table2[HomeTeam],$A50, Table2[AwayTeam], Q$36, Table2[ActualResult], "REG") + SUMIFS(Table2[HomeWon_], Table2[GameIsOver],1,Table2[AwayTeam],$A50, Table2[HomeTeam], Q$36, Table2[ActualResult], "OT") + SUMIFS(Table2[AwayWon], Table2[GameIsOver],1,Table2[HomeTeam],$A50, Table2[AwayTeam], Q$36, Table2[ActualResult], "OT") + SUMIFS(Table2[HomeWon_], Table2[GameIsOver],1,Table2[AwayTeam],$A50, Table2[HomeTeam], Q$36, Table2[ActualResult], "SO") + SUMIFS(Table2[AwayWon], Table2[GameIsOver],1,Table2[HomeTeam],$A50, Table2[AwayTeam], Q$36, Table2[ActualResult], "SO"))), "")</f>
        <v/>
      </c>
      <c r="R50" t="str">
        <f>IFERROR(((2*SUMIFS(Table2[AwayWon], Table2[GameIsOver],1,Table2[AwayTeam],$A50, Table2[HomeTeam], R$36) + SUMIFS(Table2[HomeWon_], Table2[GameIsOver],1,Table2[HomeTeam],$A50, Table2[AwayTeam], R$36)) + SUMIFS(Table2[AwayWon], Table2[GameIsOver],1,Table2[HomeTeam],$A50, Table2[AwayTeam], R$36, Table2[ActualResult], "REG") + SUMIFS(Table2[HomeWon_], Table2[GameIsOver],1,Table2[AwayTeam],$A50, Table2[HomeTeam], R$36, Table2[ActualResult], "OT") + SUMIFS(Table2[AwayWon], Table2[GameIsOver],1,Table2[HomeTeam],$A50, Table2[AwayTeam], R$36, Table2[ActualResult], "OT") + SUMIFS(Table2[HomeWon_], Table2[GameIsOver],1,Table2[AwayTeam],$A50, Table2[HomeTeam], R$36, Table2[ActualResult], "SO") + SUMIFS(Table2[AwayWon], Table2[GameIsOver],1,Table2[HomeTeam],$A50, Table2[AwayTeam], R$36, Table2[ActualResult], "SO")) / (2*(SUMIFS(Table2[AwayWon], Table2[GameIsOver],1,Table2[AwayTeam],$A50, Table2[HomeTeam], R$36) + SUMIFS(Table2[HomeWon_], Table2[GameIsOver],1,Table2[HomeTeam],$A50, Table2[AwayTeam], R$36) + SUMIFS(Table2[HomeWon_], Table2[GameIsOver],1,Table2[AwayTeam],$A50, Table2[HomeTeam], R$36, Table2[ActualResult], "REG") + SUMIFS(Table2[AwayWon], Table2[GameIsOver],1,Table2[HomeTeam],$A50, Table2[AwayTeam], R$36, Table2[ActualResult], "REG") + SUMIFS(Table2[HomeWon_], Table2[GameIsOver],1,Table2[AwayTeam],$A50, Table2[HomeTeam], R$36, Table2[ActualResult], "OT") + SUMIFS(Table2[AwayWon], Table2[GameIsOver],1,Table2[HomeTeam],$A50, Table2[AwayTeam], R$36, Table2[ActualResult], "OT") + SUMIFS(Table2[HomeWon_], Table2[GameIsOver],1,Table2[AwayTeam],$A50, Table2[HomeTeam], R$36, Table2[ActualResult], "SO") + SUMIFS(Table2[AwayWon], Table2[GameIsOver],1,Table2[HomeTeam],$A50, Table2[AwayTeam], R$36, Table2[ActualResult], "SO"))), "")</f>
        <v/>
      </c>
      <c r="S50" t="str">
        <f>IFERROR(((2*SUMIFS(Table2[AwayWon], Table2[GameIsOver],1,Table2[AwayTeam],$A50, Table2[HomeTeam], S$36) + SUMIFS(Table2[HomeWon_], Table2[GameIsOver],1,Table2[HomeTeam],$A50, Table2[AwayTeam], S$36)) + SUMIFS(Table2[AwayWon], Table2[GameIsOver],1,Table2[HomeTeam],$A50, Table2[AwayTeam], S$36, Table2[ActualResult], "REG") + SUMIFS(Table2[HomeWon_], Table2[GameIsOver],1,Table2[AwayTeam],$A50, Table2[HomeTeam], S$36, Table2[ActualResult], "OT") + SUMIFS(Table2[AwayWon], Table2[GameIsOver],1,Table2[HomeTeam],$A50, Table2[AwayTeam], S$36, Table2[ActualResult], "OT") + SUMIFS(Table2[HomeWon_], Table2[GameIsOver],1,Table2[AwayTeam],$A50, Table2[HomeTeam], S$36, Table2[ActualResult], "SO") + SUMIFS(Table2[AwayWon], Table2[GameIsOver],1,Table2[HomeTeam],$A50, Table2[AwayTeam], S$36, Table2[ActualResult], "SO")) / (2*(SUMIFS(Table2[AwayWon], Table2[GameIsOver],1,Table2[AwayTeam],$A50, Table2[HomeTeam], S$36) + SUMIFS(Table2[HomeWon_], Table2[GameIsOver],1,Table2[HomeTeam],$A50, Table2[AwayTeam], S$36) + SUMIFS(Table2[HomeWon_], Table2[GameIsOver],1,Table2[AwayTeam],$A50, Table2[HomeTeam], S$36, Table2[ActualResult], "REG") + SUMIFS(Table2[AwayWon], Table2[GameIsOver],1,Table2[HomeTeam],$A50, Table2[AwayTeam], S$36, Table2[ActualResult], "REG") + SUMIFS(Table2[HomeWon_], Table2[GameIsOver],1,Table2[AwayTeam],$A50, Table2[HomeTeam], S$36, Table2[ActualResult], "OT") + SUMIFS(Table2[AwayWon], Table2[GameIsOver],1,Table2[HomeTeam],$A50, Table2[AwayTeam], S$36, Table2[ActualResult], "OT") + SUMIFS(Table2[HomeWon_], Table2[GameIsOver],1,Table2[AwayTeam],$A50, Table2[HomeTeam], S$36, Table2[ActualResult], "SO") + SUMIFS(Table2[AwayWon], Table2[GameIsOver],1,Table2[HomeTeam],$A50, Table2[AwayTeam], S$36, Table2[ActualResult], "SO"))), "")</f>
        <v/>
      </c>
      <c r="T50" t="str">
        <f>IFERROR(((2*SUMIFS(Table2[AwayWon], Table2[GameIsOver],1,Table2[AwayTeam],$A50, Table2[HomeTeam], T$36) + SUMIFS(Table2[HomeWon_], Table2[GameIsOver],1,Table2[HomeTeam],$A50, Table2[AwayTeam], T$36)) + SUMIFS(Table2[AwayWon], Table2[GameIsOver],1,Table2[HomeTeam],$A50, Table2[AwayTeam], T$36, Table2[ActualResult], "REG") + SUMIFS(Table2[HomeWon_], Table2[GameIsOver],1,Table2[AwayTeam],$A50, Table2[HomeTeam], T$36, Table2[ActualResult], "OT") + SUMIFS(Table2[AwayWon], Table2[GameIsOver],1,Table2[HomeTeam],$A50, Table2[AwayTeam], T$36, Table2[ActualResult], "OT") + SUMIFS(Table2[HomeWon_], Table2[GameIsOver],1,Table2[AwayTeam],$A50, Table2[HomeTeam], T$36, Table2[ActualResult], "SO") + SUMIFS(Table2[AwayWon], Table2[GameIsOver],1,Table2[HomeTeam],$A50, Table2[AwayTeam], T$36, Table2[ActualResult], "SO")) / (2*(SUMIFS(Table2[AwayWon], Table2[GameIsOver],1,Table2[AwayTeam],$A50, Table2[HomeTeam], T$36) + SUMIFS(Table2[HomeWon_], Table2[GameIsOver],1,Table2[HomeTeam],$A50, Table2[AwayTeam], T$36) + SUMIFS(Table2[HomeWon_], Table2[GameIsOver],1,Table2[AwayTeam],$A50, Table2[HomeTeam], T$36, Table2[ActualResult], "REG") + SUMIFS(Table2[AwayWon], Table2[GameIsOver],1,Table2[HomeTeam],$A50, Table2[AwayTeam], T$36, Table2[ActualResult], "REG") + SUMIFS(Table2[HomeWon_], Table2[GameIsOver],1,Table2[AwayTeam],$A50, Table2[HomeTeam], T$36, Table2[ActualResult], "OT") + SUMIFS(Table2[AwayWon], Table2[GameIsOver],1,Table2[HomeTeam],$A50, Table2[AwayTeam], T$36, Table2[ActualResult], "OT") + SUMIFS(Table2[HomeWon_], Table2[GameIsOver],1,Table2[AwayTeam],$A50, Table2[HomeTeam], T$36, Table2[ActualResult], "SO") + SUMIFS(Table2[AwayWon], Table2[GameIsOver],1,Table2[HomeTeam],$A50, Table2[AwayTeam], T$36, Table2[ActualResult], "SO"))), "")</f>
        <v/>
      </c>
      <c r="U50" t="str">
        <f>IFERROR(((2*SUMIFS(Table2[AwayWon], Table2[GameIsOver],1,Table2[AwayTeam],$A50, Table2[HomeTeam], U$36) + SUMIFS(Table2[HomeWon_], Table2[GameIsOver],1,Table2[HomeTeam],$A50, Table2[AwayTeam], U$36)) + SUMIFS(Table2[AwayWon], Table2[GameIsOver],1,Table2[HomeTeam],$A50, Table2[AwayTeam], U$36, Table2[ActualResult], "REG") + SUMIFS(Table2[HomeWon_], Table2[GameIsOver],1,Table2[AwayTeam],$A50, Table2[HomeTeam], U$36, Table2[ActualResult], "OT") + SUMIFS(Table2[AwayWon], Table2[GameIsOver],1,Table2[HomeTeam],$A50, Table2[AwayTeam], U$36, Table2[ActualResult], "OT") + SUMIFS(Table2[HomeWon_], Table2[GameIsOver],1,Table2[AwayTeam],$A50, Table2[HomeTeam], U$36, Table2[ActualResult], "SO") + SUMIFS(Table2[AwayWon], Table2[GameIsOver],1,Table2[HomeTeam],$A50, Table2[AwayTeam], U$36, Table2[ActualResult], "SO")) / (2*(SUMIFS(Table2[AwayWon], Table2[GameIsOver],1,Table2[AwayTeam],$A50, Table2[HomeTeam], U$36) + SUMIFS(Table2[HomeWon_], Table2[GameIsOver],1,Table2[HomeTeam],$A50, Table2[AwayTeam], U$36) + SUMIFS(Table2[HomeWon_], Table2[GameIsOver],1,Table2[AwayTeam],$A50, Table2[HomeTeam], U$36, Table2[ActualResult], "REG") + SUMIFS(Table2[AwayWon], Table2[GameIsOver],1,Table2[HomeTeam],$A50, Table2[AwayTeam], U$36, Table2[ActualResult], "REG") + SUMIFS(Table2[HomeWon_], Table2[GameIsOver],1,Table2[AwayTeam],$A50, Table2[HomeTeam], U$36, Table2[ActualResult], "OT") + SUMIFS(Table2[AwayWon], Table2[GameIsOver],1,Table2[HomeTeam],$A50, Table2[AwayTeam], U$36, Table2[ActualResult], "OT") + SUMIFS(Table2[HomeWon_], Table2[GameIsOver],1,Table2[AwayTeam],$A50, Table2[HomeTeam], U$36, Table2[ActualResult], "SO") + SUMIFS(Table2[AwayWon], Table2[GameIsOver],1,Table2[HomeTeam],$A50, Table2[AwayTeam], U$36, Table2[ActualResult], "SO"))), "")</f>
        <v/>
      </c>
      <c r="V50" t="str">
        <f>IFERROR(((2*SUMIFS(Table2[AwayWon], Table2[GameIsOver],1,Table2[AwayTeam],$A50, Table2[HomeTeam], V$36) + SUMIFS(Table2[HomeWon_], Table2[GameIsOver],1,Table2[HomeTeam],$A50, Table2[AwayTeam], V$36)) + SUMIFS(Table2[AwayWon], Table2[GameIsOver],1,Table2[HomeTeam],$A50, Table2[AwayTeam], V$36, Table2[ActualResult], "REG") + SUMIFS(Table2[HomeWon_], Table2[GameIsOver],1,Table2[AwayTeam],$A50, Table2[HomeTeam], V$36, Table2[ActualResult], "OT") + SUMIFS(Table2[AwayWon], Table2[GameIsOver],1,Table2[HomeTeam],$A50, Table2[AwayTeam], V$36, Table2[ActualResult], "OT") + SUMIFS(Table2[HomeWon_], Table2[GameIsOver],1,Table2[AwayTeam],$A50, Table2[HomeTeam], V$36, Table2[ActualResult], "SO") + SUMIFS(Table2[AwayWon], Table2[GameIsOver],1,Table2[HomeTeam],$A50, Table2[AwayTeam], V$36, Table2[ActualResult], "SO")) / (2*(SUMIFS(Table2[AwayWon], Table2[GameIsOver],1,Table2[AwayTeam],$A50, Table2[HomeTeam], V$36) + SUMIFS(Table2[HomeWon_], Table2[GameIsOver],1,Table2[HomeTeam],$A50, Table2[AwayTeam], V$36) + SUMIFS(Table2[HomeWon_], Table2[GameIsOver],1,Table2[AwayTeam],$A50, Table2[HomeTeam], V$36, Table2[ActualResult], "REG") + SUMIFS(Table2[AwayWon], Table2[GameIsOver],1,Table2[HomeTeam],$A50, Table2[AwayTeam], V$36, Table2[ActualResult], "REG") + SUMIFS(Table2[HomeWon_], Table2[GameIsOver],1,Table2[AwayTeam],$A50, Table2[HomeTeam], V$36, Table2[ActualResult], "OT") + SUMIFS(Table2[AwayWon], Table2[GameIsOver],1,Table2[HomeTeam],$A50, Table2[AwayTeam], V$36, Table2[ActualResult], "OT") + SUMIFS(Table2[HomeWon_], Table2[GameIsOver],1,Table2[AwayTeam],$A50, Table2[HomeTeam], V$36, Table2[ActualResult], "SO") + SUMIFS(Table2[AwayWon], Table2[GameIsOver],1,Table2[HomeTeam],$A50, Table2[AwayTeam], V$36, Table2[ActualResult], "SO"))), "")</f>
        <v/>
      </c>
      <c r="W50" t="str">
        <f>IFERROR(((2*SUMIFS(Table2[AwayWon], Table2[GameIsOver],1,Table2[AwayTeam],$A50, Table2[HomeTeam], W$36) + SUMIFS(Table2[HomeWon_], Table2[GameIsOver],1,Table2[HomeTeam],$A50, Table2[AwayTeam], W$36)) + SUMIFS(Table2[AwayWon], Table2[GameIsOver],1,Table2[HomeTeam],$A50, Table2[AwayTeam], W$36, Table2[ActualResult], "REG") + SUMIFS(Table2[HomeWon_], Table2[GameIsOver],1,Table2[AwayTeam],$A50, Table2[HomeTeam], W$36, Table2[ActualResult], "OT") + SUMIFS(Table2[AwayWon], Table2[GameIsOver],1,Table2[HomeTeam],$A50, Table2[AwayTeam], W$36, Table2[ActualResult], "OT") + SUMIFS(Table2[HomeWon_], Table2[GameIsOver],1,Table2[AwayTeam],$A50, Table2[HomeTeam], W$36, Table2[ActualResult], "SO") + SUMIFS(Table2[AwayWon], Table2[GameIsOver],1,Table2[HomeTeam],$A50, Table2[AwayTeam], W$36, Table2[ActualResult], "SO")) / (2*(SUMIFS(Table2[AwayWon], Table2[GameIsOver],1,Table2[AwayTeam],$A50, Table2[HomeTeam], W$36) + SUMIFS(Table2[HomeWon_], Table2[GameIsOver],1,Table2[HomeTeam],$A50, Table2[AwayTeam], W$36) + SUMIFS(Table2[HomeWon_], Table2[GameIsOver],1,Table2[AwayTeam],$A50, Table2[HomeTeam], W$36, Table2[ActualResult], "REG") + SUMIFS(Table2[AwayWon], Table2[GameIsOver],1,Table2[HomeTeam],$A50, Table2[AwayTeam], W$36, Table2[ActualResult], "REG") + SUMIFS(Table2[HomeWon_], Table2[GameIsOver],1,Table2[AwayTeam],$A50, Table2[HomeTeam], W$36, Table2[ActualResult], "OT") + SUMIFS(Table2[AwayWon], Table2[GameIsOver],1,Table2[HomeTeam],$A50, Table2[AwayTeam], W$36, Table2[ActualResult], "OT") + SUMIFS(Table2[HomeWon_], Table2[GameIsOver],1,Table2[AwayTeam],$A50, Table2[HomeTeam], W$36, Table2[ActualResult], "SO") + SUMIFS(Table2[AwayWon], Table2[GameIsOver],1,Table2[HomeTeam],$A50, Table2[AwayTeam], W$36, Table2[ActualResult], "SO"))), "")</f>
        <v/>
      </c>
      <c r="X50" t="str">
        <f>IFERROR(((2*SUMIFS(Table2[AwayWon], Table2[GameIsOver],1,Table2[AwayTeam],$A50, Table2[HomeTeam], X$36) + SUMIFS(Table2[HomeWon_], Table2[GameIsOver],1,Table2[HomeTeam],$A50, Table2[AwayTeam], X$36)) + SUMIFS(Table2[AwayWon], Table2[GameIsOver],1,Table2[HomeTeam],$A50, Table2[AwayTeam], X$36, Table2[ActualResult], "REG") + SUMIFS(Table2[HomeWon_], Table2[GameIsOver],1,Table2[AwayTeam],$A50, Table2[HomeTeam], X$36, Table2[ActualResult], "OT") + SUMIFS(Table2[AwayWon], Table2[GameIsOver],1,Table2[HomeTeam],$A50, Table2[AwayTeam], X$36, Table2[ActualResult], "OT") + SUMIFS(Table2[HomeWon_], Table2[GameIsOver],1,Table2[AwayTeam],$A50, Table2[HomeTeam], X$36, Table2[ActualResult], "SO") + SUMIFS(Table2[AwayWon], Table2[GameIsOver],1,Table2[HomeTeam],$A50, Table2[AwayTeam], X$36, Table2[ActualResult], "SO")) / (2*(SUMIFS(Table2[AwayWon], Table2[GameIsOver],1,Table2[AwayTeam],$A50, Table2[HomeTeam], X$36) + SUMIFS(Table2[HomeWon_], Table2[GameIsOver],1,Table2[HomeTeam],$A50, Table2[AwayTeam], X$36) + SUMIFS(Table2[HomeWon_], Table2[GameIsOver],1,Table2[AwayTeam],$A50, Table2[HomeTeam], X$36, Table2[ActualResult], "REG") + SUMIFS(Table2[AwayWon], Table2[GameIsOver],1,Table2[HomeTeam],$A50, Table2[AwayTeam], X$36, Table2[ActualResult], "REG") + SUMIFS(Table2[HomeWon_], Table2[GameIsOver],1,Table2[AwayTeam],$A50, Table2[HomeTeam], X$36, Table2[ActualResult], "OT") + SUMIFS(Table2[AwayWon], Table2[GameIsOver],1,Table2[HomeTeam],$A50, Table2[AwayTeam], X$36, Table2[ActualResult], "OT") + SUMIFS(Table2[HomeWon_], Table2[GameIsOver],1,Table2[AwayTeam],$A50, Table2[HomeTeam], X$36, Table2[ActualResult], "SO") + SUMIFS(Table2[AwayWon], Table2[GameIsOver],1,Table2[HomeTeam],$A50, Table2[AwayTeam], X$36, Table2[ActualResult], "SO"))), "")</f>
        <v/>
      </c>
      <c r="Y50" s="57" t="str">
        <f>IFERROR(((2*SUMIFS(Table2[AwayWon], Table2[GameIsOver],1,Table2[AwayTeam],$A50, Table2[HomeTeam], Y$36) + SUMIFS(Table2[HomeWon_], Table2[GameIsOver],1,Table2[HomeTeam],$A50, Table2[AwayTeam], Y$36)) + SUMIFS(Table2[AwayWon], Table2[GameIsOver],1,Table2[HomeTeam],$A50, Table2[AwayTeam], Y$36, Table2[ActualResult], "REG") + SUMIFS(Table2[HomeWon_], Table2[GameIsOver],1,Table2[AwayTeam],$A50, Table2[HomeTeam], Y$36, Table2[ActualResult], "OT") + SUMIFS(Table2[AwayWon], Table2[GameIsOver],1,Table2[HomeTeam],$A50, Table2[AwayTeam], Y$36, Table2[ActualResult], "OT") + SUMIFS(Table2[HomeWon_], Table2[GameIsOver],1,Table2[AwayTeam],$A50, Table2[HomeTeam], Y$36, Table2[ActualResult], "SO") + SUMIFS(Table2[AwayWon], Table2[GameIsOver],1,Table2[HomeTeam],$A50, Table2[AwayTeam], Y$36, Table2[ActualResult], "SO")) / (2*(SUMIFS(Table2[AwayWon], Table2[GameIsOver],1,Table2[AwayTeam],$A50, Table2[HomeTeam], Y$36) + SUMIFS(Table2[HomeWon_], Table2[GameIsOver],1,Table2[HomeTeam],$A50, Table2[AwayTeam], Y$36) + SUMIFS(Table2[HomeWon_], Table2[GameIsOver],1,Table2[AwayTeam],$A50, Table2[HomeTeam], Y$36, Table2[ActualResult], "REG") + SUMIFS(Table2[AwayWon], Table2[GameIsOver],1,Table2[HomeTeam],$A50, Table2[AwayTeam], Y$36, Table2[ActualResult], "REG") + SUMIFS(Table2[HomeWon_], Table2[GameIsOver],1,Table2[AwayTeam],$A50, Table2[HomeTeam], Y$36, Table2[ActualResult], "OT") + SUMIFS(Table2[AwayWon], Table2[GameIsOver],1,Table2[HomeTeam],$A50, Table2[AwayTeam], Y$36, Table2[ActualResult], "OT") + SUMIFS(Table2[HomeWon_], Table2[GameIsOver],1,Table2[AwayTeam],$A50, Table2[HomeTeam], Y$36, Table2[ActualResult], "SO") + SUMIFS(Table2[AwayWon], Table2[GameIsOver],1,Table2[HomeTeam],$A50, Table2[AwayTeam], Y$36, Table2[ActualResult], "SO"))), "")</f>
        <v/>
      </c>
      <c r="Z50" t="str">
        <f>IFERROR(((2*SUMIFS(Table2[AwayWon], Table2[GameIsOver],1,Table2[AwayTeam],$A50, Table2[HomeTeam], Z$36) + SUMIFS(Table2[HomeWon_], Table2[GameIsOver],1,Table2[HomeTeam],$A50, Table2[AwayTeam], Z$36)) + SUMIFS(Table2[AwayWon], Table2[GameIsOver],1,Table2[HomeTeam],$A50, Table2[AwayTeam], Z$36, Table2[ActualResult], "REG") + SUMIFS(Table2[HomeWon_], Table2[GameIsOver],1,Table2[AwayTeam],$A50, Table2[HomeTeam], Z$36, Table2[ActualResult], "OT") + SUMIFS(Table2[AwayWon], Table2[GameIsOver],1,Table2[HomeTeam],$A50, Table2[AwayTeam], Z$36, Table2[ActualResult], "OT") + SUMIFS(Table2[HomeWon_], Table2[GameIsOver],1,Table2[AwayTeam],$A50, Table2[HomeTeam], Z$36, Table2[ActualResult], "SO") + SUMIFS(Table2[AwayWon], Table2[GameIsOver],1,Table2[HomeTeam],$A50, Table2[AwayTeam], Z$36, Table2[ActualResult], "SO")) / (2*(SUMIFS(Table2[AwayWon], Table2[GameIsOver],1,Table2[AwayTeam],$A50, Table2[HomeTeam], Z$36) + SUMIFS(Table2[HomeWon_], Table2[GameIsOver],1,Table2[HomeTeam],$A50, Table2[AwayTeam], Z$36) + SUMIFS(Table2[HomeWon_], Table2[GameIsOver],1,Table2[AwayTeam],$A50, Table2[HomeTeam], Z$36, Table2[ActualResult], "REG") + SUMIFS(Table2[AwayWon], Table2[GameIsOver],1,Table2[HomeTeam],$A50, Table2[AwayTeam], Z$36, Table2[ActualResult], "REG") + SUMIFS(Table2[HomeWon_], Table2[GameIsOver],1,Table2[AwayTeam],$A50, Table2[HomeTeam], Z$36, Table2[ActualResult], "OT") + SUMIFS(Table2[AwayWon], Table2[GameIsOver],1,Table2[HomeTeam],$A50, Table2[AwayTeam], Z$36, Table2[ActualResult], "OT") + SUMIFS(Table2[HomeWon_], Table2[GameIsOver],1,Table2[AwayTeam],$A50, Table2[HomeTeam], Z$36, Table2[ActualResult], "SO") + SUMIFS(Table2[AwayWon], Table2[GameIsOver],1,Table2[HomeTeam],$A50, Table2[AwayTeam], Z$36, Table2[ActualResult], "SO"))), "")</f>
        <v/>
      </c>
      <c r="AA50" t="str">
        <f>IFERROR(((2*SUMIFS(Table2[AwayWon], Table2[GameIsOver],1,Table2[AwayTeam],$A50, Table2[HomeTeam], AA$36) + SUMIFS(Table2[HomeWon_], Table2[GameIsOver],1,Table2[HomeTeam],$A50, Table2[AwayTeam], AA$36)) + SUMIFS(Table2[AwayWon], Table2[GameIsOver],1,Table2[HomeTeam],$A50, Table2[AwayTeam], AA$36, Table2[ActualResult], "REG") + SUMIFS(Table2[HomeWon_], Table2[GameIsOver],1,Table2[AwayTeam],$A50, Table2[HomeTeam], AA$36, Table2[ActualResult], "OT") + SUMIFS(Table2[AwayWon], Table2[GameIsOver],1,Table2[HomeTeam],$A50, Table2[AwayTeam], AA$36, Table2[ActualResult], "OT") + SUMIFS(Table2[HomeWon_], Table2[GameIsOver],1,Table2[AwayTeam],$A50, Table2[HomeTeam], AA$36, Table2[ActualResult], "SO") + SUMIFS(Table2[AwayWon], Table2[GameIsOver],1,Table2[HomeTeam],$A50, Table2[AwayTeam], AA$36, Table2[ActualResult], "SO")) / (2*(SUMIFS(Table2[AwayWon], Table2[GameIsOver],1,Table2[AwayTeam],$A50, Table2[HomeTeam], AA$36) + SUMIFS(Table2[HomeWon_], Table2[GameIsOver],1,Table2[HomeTeam],$A50, Table2[AwayTeam], AA$36) + SUMIFS(Table2[HomeWon_], Table2[GameIsOver],1,Table2[AwayTeam],$A50, Table2[HomeTeam], AA$36, Table2[ActualResult], "REG") + SUMIFS(Table2[AwayWon], Table2[GameIsOver],1,Table2[HomeTeam],$A50, Table2[AwayTeam], AA$36, Table2[ActualResult], "REG") + SUMIFS(Table2[HomeWon_], Table2[GameIsOver],1,Table2[AwayTeam],$A50, Table2[HomeTeam], AA$36, Table2[ActualResult], "OT") + SUMIFS(Table2[AwayWon], Table2[GameIsOver],1,Table2[HomeTeam],$A50, Table2[AwayTeam], AA$36, Table2[ActualResult], "OT") + SUMIFS(Table2[HomeWon_], Table2[GameIsOver],1,Table2[AwayTeam],$A50, Table2[HomeTeam], AA$36, Table2[ActualResult], "SO") + SUMIFS(Table2[AwayWon], Table2[GameIsOver],1,Table2[HomeTeam],$A50, Table2[AwayTeam], AA$36, Table2[ActualResult], "SO"))), "")</f>
        <v/>
      </c>
      <c r="AB50" t="str">
        <f>IFERROR(((2*SUMIFS(Table2[AwayWon], Table2[GameIsOver],1,Table2[AwayTeam],$A50, Table2[HomeTeam], AB$36) + SUMIFS(Table2[HomeWon_], Table2[GameIsOver],1,Table2[HomeTeam],$A50, Table2[AwayTeam], AB$36)) + SUMIFS(Table2[AwayWon], Table2[GameIsOver],1,Table2[HomeTeam],$A50, Table2[AwayTeam], AB$36, Table2[ActualResult], "REG") + SUMIFS(Table2[HomeWon_], Table2[GameIsOver],1,Table2[AwayTeam],$A50, Table2[HomeTeam], AB$36, Table2[ActualResult], "OT") + SUMIFS(Table2[AwayWon], Table2[GameIsOver],1,Table2[HomeTeam],$A50, Table2[AwayTeam], AB$36, Table2[ActualResult], "OT") + SUMIFS(Table2[HomeWon_], Table2[GameIsOver],1,Table2[AwayTeam],$A50, Table2[HomeTeam], AB$36, Table2[ActualResult], "SO") + SUMIFS(Table2[AwayWon], Table2[GameIsOver],1,Table2[HomeTeam],$A50, Table2[AwayTeam], AB$36, Table2[ActualResult], "SO")) / (2*(SUMIFS(Table2[AwayWon], Table2[GameIsOver],1,Table2[AwayTeam],$A50, Table2[HomeTeam], AB$36) + SUMIFS(Table2[HomeWon_], Table2[GameIsOver],1,Table2[HomeTeam],$A50, Table2[AwayTeam], AB$36) + SUMIFS(Table2[HomeWon_], Table2[GameIsOver],1,Table2[AwayTeam],$A50, Table2[HomeTeam], AB$36, Table2[ActualResult], "REG") + SUMIFS(Table2[AwayWon], Table2[GameIsOver],1,Table2[HomeTeam],$A50, Table2[AwayTeam], AB$36, Table2[ActualResult], "REG") + SUMIFS(Table2[HomeWon_], Table2[GameIsOver],1,Table2[AwayTeam],$A50, Table2[HomeTeam], AB$36, Table2[ActualResult], "OT") + SUMIFS(Table2[AwayWon], Table2[GameIsOver],1,Table2[HomeTeam],$A50, Table2[AwayTeam], AB$36, Table2[ActualResult], "OT") + SUMIFS(Table2[HomeWon_], Table2[GameIsOver],1,Table2[AwayTeam],$A50, Table2[HomeTeam], AB$36, Table2[ActualResult], "SO") + SUMIFS(Table2[AwayWon], Table2[GameIsOver],1,Table2[HomeTeam],$A50, Table2[AwayTeam], AB$36, Table2[ActualResult], "SO"))), "")</f>
        <v/>
      </c>
      <c r="AC50" t="str">
        <f>IFERROR(((2*SUMIFS(Table2[AwayWon], Table2[GameIsOver],1,Table2[AwayTeam],$A50, Table2[HomeTeam], AC$36) + SUMIFS(Table2[HomeWon_], Table2[GameIsOver],1,Table2[HomeTeam],$A50, Table2[AwayTeam], AC$36)) + SUMIFS(Table2[AwayWon], Table2[GameIsOver],1,Table2[HomeTeam],$A50, Table2[AwayTeam], AC$36, Table2[ActualResult], "REG") + SUMIFS(Table2[HomeWon_], Table2[GameIsOver],1,Table2[AwayTeam],$A50, Table2[HomeTeam], AC$36, Table2[ActualResult], "OT") + SUMIFS(Table2[AwayWon], Table2[GameIsOver],1,Table2[HomeTeam],$A50, Table2[AwayTeam], AC$36, Table2[ActualResult], "OT") + SUMIFS(Table2[HomeWon_], Table2[GameIsOver],1,Table2[AwayTeam],$A50, Table2[HomeTeam], AC$36, Table2[ActualResult], "SO") + SUMIFS(Table2[AwayWon], Table2[GameIsOver],1,Table2[HomeTeam],$A50, Table2[AwayTeam], AC$36, Table2[ActualResult], "SO")) / (2*(SUMIFS(Table2[AwayWon], Table2[GameIsOver],1,Table2[AwayTeam],$A50, Table2[HomeTeam], AC$36) + SUMIFS(Table2[HomeWon_], Table2[GameIsOver],1,Table2[HomeTeam],$A50, Table2[AwayTeam], AC$36) + SUMIFS(Table2[HomeWon_], Table2[GameIsOver],1,Table2[AwayTeam],$A50, Table2[HomeTeam], AC$36, Table2[ActualResult], "REG") + SUMIFS(Table2[AwayWon], Table2[GameIsOver],1,Table2[HomeTeam],$A50, Table2[AwayTeam], AC$36, Table2[ActualResult], "REG") + SUMIFS(Table2[HomeWon_], Table2[GameIsOver],1,Table2[AwayTeam],$A50, Table2[HomeTeam], AC$36, Table2[ActualResult], "OT") + SUMIFS(Table2[AwayWon], Table2[GameIsOver],1,Table2[HomeTeam],$A50, Table2[AwayTeam], AC$36, Table2[ActualResult], "OT") + SUMIFS(Table2[HomeWon_], Table2[GameIsOver],1,Table2[AwayTeam],$A50, Table2[HomeTeam], AC$36, Table2[ActualResult], "SO") + SUMIFS(Table2[AwayWon], Table2[GameIsOver],1,Table2[HomeTeam],$A50, Table2[AwayTeam], AC$36, Table2[ActualResult], "SO"))), "")</f>
        <v/>
      </c>
      <c r="AD50" t="str">
        <f>IFERROR(((2*SUMIFS(Table2[AwayWon], Table2[GameIsOver],1,Table2[AwayTeam],$A50, Table2[HomeTeam], AD$36) + SUMIFS(Table2[HomeWon_], Table2[GameIsOver],1,Table2[HomeTeam],$A50, Table2[AwayTeam], AD$36)) + SUMIFS(Table2[AwayWon], Table2[GameIsOver],1,Table2[HomeTeam],$A50, Table2[AwayTeam], AD$36, Table2[ActualResult], "REG") + SUMIFS(Table2[HomeWon_], Table2[GameIsOver],1,Table2[AwayTeam],$A50, Table2[HomeTeam], AD$36, Table2[ActualResult], "OT") + SUMIFS(Table2[AwayWon], Table2[GameIsOver],1,Table2[HomeTeam],$A50, Table2[AwayTeam], AD$36, Table2[ActualResult], "OT") + SUMIFS(Table2[HomeWon_], Table2[GameIsOver],1,Table2[AwayTeam],$A50, Table2[HomeTeam], AD$36, Table2[ActualResult], "SO") + SUMIFS(Table2[AwayWon], Table2[GameIsOver],1,Table2[HomeTeam],$A50, Table2[AwayTeam], AD$36, Table2[ActualResult], "SO")) / (2*(SUMIFS(Table2[AwayWon], Table2[GameIsOver],1,Table2[AwayTeam],$A50, Table2[HomeTeam], AD$36) + SUMIFS(Table2[HomeWon_], Table2[GameIsOver],1,Table2[HomeTeam],$A50, Table2[AwayTeam], AD$36) + SUMIFS(Table2[HomeWon_], Table2[GameIsOver],1,Table2[AwayTeam],$A50, Table2[HomeTeam], AD$36, Table2[ActualResult], "REG") + SUMIFS(Table2[AwayWon], Table2[GameIsOver],1,Table2[HomeTeam],$A50, Table2[AwayTeam], AD$36, Table2[ActualResult], "REG") + SUMIFS(Table2[HomeWon_], Table2[GameIsOver],1,Table2[AwayTeam],$A50, Table2[HomeTeam], AD$36, Table2[ActualResult], "OT") + SUMIFS(Table2[AwayWon], Table2[GameIsOver],1,Table2[HomeTeam],$A50, Table2[AwayTeam], AD$36, Table2[ActualResult], "OT") + SUMIFS(Table2[HomeWon_], Table2[GameIsOver],1,Table2[AwayTeam],$A50, Table2[HomeTeam], AD$36, Table2[ActualResult], "SO") + SUMIFS(Table2[AwayWon], Table2[GameIsOver],1,Table2[HomeTeam],$A50, Table2[AwayTeam], AD$36, Table2[ActualResult], "SO"))), "")</f>
        <v/>
      </c>
      <c r="AE50" t="str">
        <f>IFERROR(((2*SUMIFS(Table2[AwayWon], Table2[GameIsOver],1,Table2[AwayTeam],$A50, Table2[HomeTeam], AE$36) + SUMIFS(Table2[HomeWon_], Table2[GameIsOver],1,Table2[HomeTeam],$A50, Table2[AwayTeam], AE$36)) + SUMIFS(Table2[AwayWon], Table2[GameIsOver],1,Table2[HomeTeam],$A50, Table2[AwayTeam], AE$36, Table2[ActualResult], "REG") + SUMIFS(Table2[HomeWon_], Table2[GameIsOver],1,Table2[AwayTeam],$A50, Table2[HomeTeam], AE$36, Table2[ActualResult], "OT") + SUMIFS(Table2[AwayWon], Table2[GameIsOver],1,Table2[HomeTeam],$A50, Table2[AwayTeam], AE$36, Table2[ActualResult], "OT") + SUMIFS(Table2[HomeWon_], Table2[GameIsOver],1,Table2[AwayTeam],$A50, Table2[HomeTeam], AE$36, Table2[ActualResult], "SO") + SUMIFS(Table2[AwayWon], Table2[GameIsOver],1,Table2[HomeTeam],$A50, Table2[AwayTeam], AE$36, Table2[ActualResult], "SO")) / (2*(SUMIFS(Table2[AwayWon], Table2[GameIsOver],1,Table2[AwayTeam],$A50, Table2[HomeTeam], AE$36) + SUMIFS(Table2[HomeWon_], Table2[GameIsOver],1,Table2[HomeTeam],$A50, Table2[AwayTeam], AE$36) + SUMIFS(Table2[HomeWon_], Table2[GameIsOver],1,Table2[AwayTeam],$A50, Table2[HomeTeam], AE$36, Table2[ActualResult], "REG") + SUMIFS(Table2[AwayWon], Table2[GameIsOver],1,Table2[HomeTeam],$A50, Table2[AwayTeam], AE$36, Table2[ActualResult], "REG") + SUMIFS(Table2[HomeWon_], Table2[GameIsOver],1,Table2[AwayTeam],$A50, Table2[HomeTeam], AE$36, Table2[ActualResult], "OT") + SUMIFS(Table2[AwayWon], Table2[GameIsOver],1,Table2[HomeTeam],$A50, Table2[AwayTeam], AE$36, Table2[ActualResult], "OT") + SUMIFS(Table2[HomeWon_], Table2[GameIsOver],1,Table2[AwayTeam],$A50, Table2[HomeTeam], AE$36, Table2[ActualResult], "SO") + SUMIFS(Table2[AwayWon], Table2[GameIsOver],1,Table2[HomeTeam],$A50, Table2[AwayTeam], AE$36, Table2[ActualResult], "SO"))), "")</f>
        <v/>
      </c>
      <c r="AF50" t="str">
        <f>IFERROR(((2*SUMIFS(Table2[AwayWon], Table2[GameIsOver],1,Table2[AwayTeam],$A50, Table2[HomeTeam], AF$36) + SUMIFS(Table2[HomeWon_], Table2[GameIsOver],1,Table2[HomeTeam],$A50, Table2[AwayTeam], AF$36)) + SUMIFS(Table2[AwayWon], Table2[GameIsOver],1,Table2[HomeTeam],$A50, Table2[AwayTeam], AF$36, Table2[ActualResult], "REG") + SUMIFS(Table2[HomeWon_], Table2[GameIsOver],1,Table2[AwayTeam],$A50, Table2[HomeTeam], AF$36, Table2[ActualResult], "OT") + SUMIFS(Table2[AwayWon], Table2[GameIsOver],1,Table2[HomeTeam],$A50, Table2[AwayTeam], AF$36, Table2[ActualResult], "OT") + SUMIFS(Table2[HomeWon_], Table2[GameIsOver],1,Table2[AwayTeam],$A50, Table2[HomeTeam], AF$36, Table2[ActualResult], "SO") + SUMIFS(Table2[AwayWon], Table2[GameIsOver],1,Table2[HomeTeam],$A50, Table2[AwayTeam], AF$36, Table2[ActualResult], "SO")) / (2*(SUMIFS(Table2[AwayWon], Table2[GameIsOver],1,Table2[AwayTeam],$A50, Table2[HomeTeam], AF$36) + SUMIFS(Table2[HomeWon_], Table2[GameIsOver],1,Table2[HomeTeam],$A50, Table2[AwayTeam], AF$36) + SUMIFS(Table2[HomeWon_], Table2[GameIsOver],1,Table2[AwayTeam],$A50, Table2[HomeTeam], AF$36, Table2[ActualResult], "REG") + SUMIFS(Table2[AwayWon], Table2[GameIsOver],1,Table2[HomeTeam],$A50, Table2[AwayTeam], AF$36, Table2[ActualResult], "REG") + SUMIFS(Table2[HomeWon_], Table2[GameIsOver],1,Table2[AwayTeam],$A50, Table2[HomeTeam], AF$36, Table2[ActualResult], "OT") + SUMIFS(Table2[AwayWon], Table2[GameIsOver],1,Table2[HomeTeam],$A50, Table2[AwayTeam], AF$36, Table2[ActualResult], "OT") + SUMIFS(Table2[HomeWon_], Table2[GameIsOver],1,Table2[AwayTeam],$A50, Table2[HomeTeam], AF$36, Table2[ActualResult], "SO") + SUMIFS(Table2[AwayWon], Table2[GameIsOver],1,Table2[HomeTeam],$A50, Table2[AwayTeam], AF$36, Table2[ActualResult], "SO"))), "")</f>
        <v/>
      </c>
      <c r="AG50" s="57" t="str">
        <f>IFERROR(((2*SUMIFS(Table2[AwayWon], Table2[GameIsOver],1,Table2[AwayTeam],$A50, Table2[HomeTeam], AG$36) + SUMIFS(Table2[HomeWon_], Table2[GameIsOver],1,Table2[HomeTeam],$A50, Table2[AwayTeam], AG$36)) + SUMIFS(Table2[AwayWon], Table2[GameIsOver],1,Table2[HomeTeam],$A50, Table2[AwayTeam], AG$36, Table2[ActualResult], "REG") + SUMIFS(Table2[HomeWon_], Table2[GameIsOver],1,Table2[AwayTeam],$A50, Table2[HomeTeam], AG$36, Table2[ActualResult], "OT") + SUMIFS(Table2[AwayWon], Table2[GameIsOver],1,Table2[HomeTeam],$A50, Table2[AwayTeam], AG$36, Table2[ActualResult], "OT") + SUMIFS(Table2[HomeWon_], Table2[GameIsOver],1,Table2[AwayTeam],$A50, Table2[HomeTeam], AG$36, Table2[ActualResult], "SO") + SUMIFS(Table2[AwayWon], Table2[GameIsOver],1,Table2[HomeTeam],$A50, Table2[AwayTeam], AG$36, Table2[ActualResult], "SO")) / (2*(SUMIFS(Table2[AwayWon], Table2[GameIsOver],1,Table2[AwayTeam],$A50, Table2[HomeTeam], AG$36) + SUMIFS(Table2[HomeWon_], Table2[GameIsOver],1,Table2[HomeTeam],$A50, Table2[AwayTeam], AG$36) + SUMIFS(Table2[HomeWon_], Table2[GameIsOver],1,Table2[AwayTeam],$A50, Table2[HomeTeam], AG$36, Table2[ActualResult], "REG") + SUMIFS(Table2[AwayWon], Table2[GameIsOver],1,Table2[HomeTeam],$A50, Table2[AwayTeam], AG$36, Table2[ActualResult], "REG") + SUMIFS(Table2[HomeWon_], Table2[GameIsOver],1,Table2[AwayTeam],$A50, Table2[HomeTeam], AG$36, Table2[ActualResult], "OT") + SUMIFS(Table2[AwayWon], Table2[GameIsOver],1,Table2[HomeTeam],$A50, Table2[AwayTeam], AG$36, Table2[ActualResult], "OT") + SUMIFS(Table2[HomeWon_], Table2[GameIsOver],1,Table2[AwayTeam],$A50, Table2[HomeTeam], AG$36, Table2[ActualResult], "SO") + SUMIFS(Table2[AwayWon], Table2[GameIsOver],1,Table2[HomeTeam],$A50, Table2[AwayTeam], AG$36, Table2[ActualResult], "SO"))), "")</f>
        <v/>
      </c>
      <c r="AH50" s="101" t="e">
        <f t="shared" si="0"/>
        <v>#DIV/0!</v>
      </c>
      <c r="AI50" s="101">
        <f t="shared" si="1"/>
        <v>0.66666666666666663</v>
      </c>
      <c r="AJ50" s="103" t="e">
        <f t="shared" si="2"/>
        <v>#DIV/0!</v>
      </c>
      <c r="AK50" s="103" t="e">
        <f t="shared" si="3"/>
        <v>#DIV/0!</v>
      </c>
      <c r="AL50" s="103">
        <f t="shared" si="4"/>
        <v>0.5</v>
      </c>
      <c r="AM50" s="103">
        <f t="shared" si="5"/>
        <v>0.83333333333333337</v>
      </c>
    </row>
    <row r="51" spans="1:39" x14ac:dyDescent="0.25">
      <c r="A51" s="57" t="s">
        <v>14</v>
      </c>
      <c r="B51" s="24" t="str">
        <f>IFERROR(((2*SUMIFS(Table2[AwayWon], Table2[GameIsOver],1,Table2[AwayTeam],$A51, Table2[HomeTeam], B$36) + SUMIFS(Table2[HomeWon_], Table2[GameIsOver],1,Table2[HomeTeam],$A51, Table2[AwayTeam], B$36)) + SUMIFS(Table2[AwayWon], Table2[GameIsOver],1,Table2[HomeTeam],$A51, Table2[AwayTeam], B$36, Table2[ActualResult], "REG") + SUMIFS(Table2[HomeWon_], Table2[GameIsOver],1,Table2[AwayTeam],$A51, Table2[HomeTeam], B$36, Table2[ActualResult], "OT") + SUMIFS(Table2[AwayWon], Table2[GameIsOver],1,Table2[HomeTeam],$A51, Table2[AwayTeam], B$36, Table2[ActualResult], "OT") + SUMIFS(Table2[HomeWon_], Table2[GameIsOver],1,Table2[AwayTeam],$A51, Table2[HomeTeam], B$36, Table2[ActualResult], "SO") + SUMIFS(Table2[AwayWon], Table2[GameIsOver],1,Table2[HomeTeam],$A51, Table2[AwayTeam], B$36, Table2[ActualResult], "SO")) / (2*(SUMIFS(Table2[AwayWon], Table2[GameIsOver],1,Table2[AwayTeam],$A51, Table2[HomeTeam], B$36) + SUMIFS(Table2[HomeWon_], Table2[GameIsOver],1,Table2[HomeTeam],$A51, Table2[AwayTeam], B$36) + SUMIFS(Table2[HomeWon_], Table2[GameIsOver],1,Table2[AwayTeam],$A51, Table2[HomeTeam], B$36, Table2[ActualResult], "REG") + SUMIFS(Table2[AwayWon], Table2[GameIsOver],1,Table2[HomeTeam],$A51, Table2[AwayTeam], B$36, Table2[ActualResult], "REG") + SUMIFS(Table2[HomeWon_], Table2[GameIsOver],1,Table2[AwayTeam],$A51, Table2[HomeTeam], B$36, Table2[ActualResult], "OT") + SUMIFS(Table2[AwayWon], Table2[GameIsOver],1,Table2[HomeTeam],$A51, Table2[AwayTeam], B$36, Table2[ActualResult], "OT") + SUMIFS(Table2[HomeWon_], Table2[GameIsOver],1,Table2[AwayTeam],$A51, Table2[HomeTeam], B$36, Table2[ActualResult], "SO") + SUMIFS(Table2[AwayWon], Table2[GameIsOver],1,Table2[HomeTeam],$A51, Table2[AwayTeam], B$36, Table2[ActualResult], "SO"))), "")</f>
        <v/>
      </c>
      <c r="C51" s="24">
        <f>IFERROR(((2*SUMIFS(Table2[AwayWon], Table2[GameIsOver],1,Table2[AwayTeam],$A51, Table2[HomeTeam], C$36) + SUMIFS(Table2[HomeWon_], Table2[GameIsOver],1,Table2[HomeTeam],$A51, Table2[AwayTeam], C$36)) + SUMIFS(Table2[AwayWon], Table2[GameIsOver],1,Table2[HomeTeam],$A51, Table2[AwayTeam], C$36, Table2[ActualResult], "REG") + SUMIFS(Table2[HomeWon_], Table2[GameIsOver],1,Table2[AwayTeam],$A51, Table2[HomeTeam], C$36, Table2[ActualResult], "OT") + SUMIFS(Table2[AwayWon], Table2[GameIsOver],1,Table2[HomeTeam],$A51, Table2[AwayTeam], C$36, Table2[ActualResult], "OT") + SUMIFS(Table2[HomeWon_], Table2[GameIsOver],1,Table2[AwayTeam],$A51, Table2[HomeTeam], C$36, Table2[ActualResult], "SO") + SUMIFS(Table2[AwayWon], Table2[GameIsOver],1,Table2[HomeTeam],$A51, Table2[AwayTeam], C$36, Table2[ActualResult], "SO")) / (2*(SUMIFS(Table2[AwayWon], Table2[GameIsOver],1,Table2[AwayTeam],$A51, Table2[HomeTeam], C$36) + SUMIFS(Table2[HomeWon_], Table2[GameIsOver],1,Table2[HomeTeam],$A51, Table2[AwayTeam], C$36) + SUMIFS(Table2[HomeWon_], Table2[GameIsOver],1,Table2[AwayTeam],$A51, Table2[HomeTeam], C$36, Table2[ActualResult], "REG") + SUMIFS(Table2[AwayWon], Table2[GameIsOver],1,Table2[HomeTeam],$A51, Table2[AwayTeam], C$36, Table2[ActualResult], "REG") + SUMIFS(Table2[HomeWon_], Table2[GameIsOver],1,Table2[AwayTeam],$A51, Table2[HomeTeam], C$36, Table2[ActualResult], "OT") + SUMIFS(Table2[AwayWon], Table2[GameIsOver],1,Table2[HomeTeam],$A51, Table2[AwayTeam], C$36, Table2[ActualResult], "OT") + SUMIFS(Table2[HomeWon_], Table2[GameIsOver],1,Table2[AwayTeam],$A51, Table2[HomeTeam], C$36, Table2[ActualResult], "SO") + SUMIFS(Table2[AwayWon], Table2[GameIsOver],1,Table2[HomeTeam],$A51, Table2[AwayTeam], C$36, Table2[ActualResult], "SO"))), "")</f>
        <v>0.5</v>
      </c>
      <c r="D51" t="str">
        <f>IFERROR(((2*SUMIFS(Table2[AwayWon], Table2[GameIsOver],1,Table2[AwayTeam],$A51, Table2[HomeTeam], D$36) + SUMIFS(Table2[HomeWon_], Table2[GameIsOver],1,Table2[HomeTeam],$A51, Table2[AwayTeam], D$36)) + SUMIFS(Table2[AwayWon], Table2[GameIsOver],1,Table2[HomeTeam],$A51, Table2[AwayTeam], D$36, Table2[ActualResult], "REG") + SUMIFS(Table2[HomeWon_], Table2[GameIsOver],1,Table2[AwayTeam],$A51, Table2[HomeTeam], D$36, Table2[ActualResult], "OT") + SUMIFS(Table2[AwayWon], Table2[GameIsOver],1,Table2[HomeTeam],$A51, Table2[AwayTeam], D$36, Table2[ActualResult], "OT") + SUMIFS(Table2[HomeWon_], Table2[GameIsOver],1,Table2[AwayTeam],$A51, Table2[HomeTeam], D$36, Table2[ActualResult], "SO") + SUMIFS(Table2[AwayWon], Table2[GameIsOver],1,Table2[HomeTeam],$A51, Table2[AwayTeam], D$36, Table2[ActualResult], "SO")) / (2*(SUMIFS(Table2[AwayWon], Table2[GameIsOver],1,Table2[AwayTeam],$A51, Table2[HomeTeam], D$36) + SUMIFS(Table2[HomeWon_], Table2[GameIsOver],1,Table2[HomeTeam],$A51, Table2[AwayTeam], D$36) + SUMIFS(Table2[HomeWon_], Table2[GameIsOver],1,Table2[AwayTeam],$A51, Table2[HomeTeam], D$36, Table2[ActualResult], "REG") + SUMIFS(Table2[AwayWon], Table2[GameIsOver],1,Table2[HomeTeam],$A51, Table2[AwayTeam], D$36, Table2[ActualResult], "REG") + SUMIFS(Table2[HomeWon_], Table2[GameIsOver],1,Table2[AwayTeam],$A51, Table2[HomeTeam], D$36, Table2[ActualResult], "OT") + SUMIFS(Table2[AwayWon], Table2[GameIsOver],1,Table2[HomeTeam],$A51, Table2[AwayTeam], D$36, Table2[ActualResult], "OT") + SUMIFS(Table2[HomeWon_], Table2[GameIsOver],1,Table2[AwayTeam],$A51, Table2[HomeTeam], D$36, Table2[ActualResult], "SO") + SUMIFS(Table2[AwayWon], Table2[GameIsOver],1,Table2[HomeTeam],$A51, Table2[AwayTeam], D$36, Table2[ActualResult], "SO"))), "")</f>
        <v/>
      </c>
      <c r="E51" t="str">
        <f>IFERROR(((2*SUMIFS(Table2[AwayWon], Table2[GameIsOver],1,Table2[AwayTeam],$A51, Table2[HomeTeam], E$36) + SUMIFS(Table2[HomeWon_], Table2[GameIsOver],1,Table2[HomeTeam],$A51, Table2[AwayTeam], E$36)) + SUMIFS(Table2[AwayWon], Table2[GameIsOver],1,Table2[HomeTeam],$A51, Table2[AwayTeam], E$36, Table2[ActualResult], "REG") + SUMIFS(Table2[HomeWon_], Table2[GameIsOver],1,Table2[AwayTeam],$A51, Table2[HomeTeam], E$36, Table2[ActualResult], "OT") + SUMIFS(Table2[AwayWon], Table2[GameIsOver],1,Table2[HomeTeam],$A51, Table2[AwayTeam], E$36, Table2[ActualResult], "OT") + SUMIFS(Table2[HomeWon_], Table2[GameIsOver],1,Table2[AwayTeam],$A51, Table2[HomeTeam], E$36, Table2[ActualResult], "SO") + SUMIFS(Table2[AwayWon], Table2[GameIsOver],1,Table2[HomeTeam],$A51, Table2[AwayTeam], E$36, Table2[ActualResult], "SO")) / (2*(SUMIFS(Table2[AwayWon], Table2[GameIsOver],1,Table2[AwayTeam],$A51, Table2[HomeTeam], E$36) + SUMIFS(Table2[HomeWon_], Table2[GameIsOver],1,Table2[HomeTeam],$A51, Table2[AwayTeam], E$36) + SUMIFS(Table2[HomeWon_], Table2[GameIsOver],1,Table2[AwayTeam],$A51, Table2[HomeTeam], E$36, Table2[ActualResult], "REG") + SUMIFS(Table2[AwayWon], Table2[GameIsOver],1,Table2[HomeTeam],$A51, Table2[AwayTeam], E$36, Table2[ActualResult], "REG") + SUMIFS(Table2[HomeWon_], Table2[GameIsOver],1,Table2[AwayTeam],$A51, Table2[HomeTeam], E$36, Table2[ActualResult], "OT") + SUMIFS(Table2[AwayWon], Table2[GameIsOver],1,Table2[HomeTeam],$A51, Table2[AwayTeam], E$36, Table2[ActualResult], "OT") + SUMIFS(Table2[HomeWon_], Table2[GameIsOver],1,Table2[AwayTeam],$A51, Table2[HomeTeam], E$36, Table2[ActualResult], "SO") + SUMIFS(Table2[AwayWon], Table2[GameIsOver],1,Table2[HomeTeam],$A51, Table2[AwayTeam], E$36, Table2[ActualResult], "SO"))), "")</f>
        <v/>
      </c>
      <c r="F51" t="str">
        <f>IFERROR(((2*SUMIFS(Table2[AwayWon], Table2[GameIsOver],1,Table2[AwayTeam],$A51, Table2[HomeTeam], F$36) + SUMIFS(Table2[HomeWon_], Table2[GameIsOver],1,Table2[HomeTeam],$A51, Table2[AwayTeam], F$36)) + SUMIFS(Table2[AwayWon], Table2[GameIsOver],1,Table2[HomeTeam],$A51, Table2[AwayTeam], F$36, Table2[ActualResult], "REG") + SUMIFS(Table2[HomeWon_], Table2[GameIsOver],1,Table2[AwayTeam],$A51, Table2[HomeTeam], F$36, Table2[ActualResult], "OT") + SUMIFS(Table2[AwayWon], Table2[GameIsOver],1,Table2[HomeTeam],$A51, Table2[AwayTeam], F$36, Table2[ActualResult], "OT") + SUMIFS(Table2[HomeWon_], Table2[GameIsOver],1,Table2[AwayTeam],$A51, Table2[HomeTeam], F$36, Table2[ActualResult], "SO") + SUMIFS(Table2[AwayWon], Table2[GameIsOver],1,Table2[HomeTeam],$A51, Table2[AwayTeam], F$36, Table2[ActualResult], "SO")) / (2*(SUMIFS(Table2[AwayWon], Table2[GameIsOver],1,Table2[AwayTeam],$A51, Table2[HomeTeam], F$36) + SUMIFS(Table2[HomeWon_], Table2[GameIsOver],1,Table2[HomeTeam],$A51, Table2[AwayTeam], F$36) + SUMIFS(Table2[HomeWon_], Table2[GameIsOver],1,Table2[AwayTeam],$A51, Table2[HomeTeam], F$36, Table2[ActualResult], "REG") + SUMIFS(Table2[AwayWon], Table2[GameIsOver],1,Table2[HomeTeam],$A51, Table2[AwayTeam], F$36, Table2[ActualResult], "REG") + SUMIFS(Table2[HomeWon_], Table2[GameIsOver],1,Table2[AwayTeam],$A51, Table2[HomeTeam], F$36, Table2[ActualResult], "OT") + SUMIFS(Table2[AwayWon], Table2[GameIsOver],1,Table2[HomeTeam],$A51, Table2[AwayTeam], F$36, Table2[ActualResult], "OT") + SUMIFS(Table2[HomeWon_], Table2[GameIsOver],1,Table2[AwayTeam],$A51, Table2[HomeTeam], F$36, Table2[ActualResult], "SO") + SUMIFS(Table2[AwayWon], Table2[GameIsOver],1,Table2[HomeTeam],$A51, Table2[AwayTeam], F$36, Table2[ActualResult], "SO"))), "")</f>
        <v/>
      </c>
      <c r="G51">
        <f>IFERROR(((2*SUMIFS(Table2[AwayWon], Table2[GameIsOver],1,Table2[AwayTeam],$A51, Table2[HomeTeam], G$36) + SUMIFS(Table2[HomeWon_], Table2[GameIsOver],1,Table2[HomeTeam],$A51, Table2[AwayTeam], G$36)) + SUMIFS(Table2[AwayWon], Table2[GameIsOver],1,Table2[HomeTeam],$A51, Table2[AwayTeam], G$36, Table2[ActualResult], "REG") + SUMIFS(Table2[HomeWon_], Table2[GameIsOver],1,Table2[AwayTeam],$A51, Table2[HomeTeam], G$36, Table2[ActualResult], "OT") + SUMIFS(Table2[AwayWon], Table2[GameIsOver],1,Table2[HomeTeam],$A51, Table2[AwayTeam], G$36, Table2[ActualResult], "OT") + SUMIFS(Table2[HomeWon_], Table2[GameIsOver],1,Table2[AwayTeam],$A51, Table2[HomeTeam], G$36, Table2[ActualResult], "SO") + SUMIFS(Table2[AwayWon], Table2[GameIsOver],1,Table2[HomeTeam],$A51, Table2[AwayTeam], G$36, Table2[ActualResult], "SO")) / (2*(SUMIFS(Table2[AwayWon], Table2[GameIsOver],1,Table2[AwayTeam],$A51, Table2[HomeTeam], G$36) + SUMIFS(Table2[HomeWon_], Table2[GameIsOver],1,Table2[HomeTeam],$A51, Table2[AwayTeam], G$36) + SUMIFS(Table2[HomeWon_], Table2[GameIsOver],1,Table2[AwayTeam],$A51, Table2[HomeTeam], G$36, Table2[ActualResult], "REG") + SUMIFS(Table2[AwayWon], Table2[GameIsOver],1,Table2[HomeTeam],$A51, Table2[AwayTeam], G$36, Table2[ActualResult], "REG") + SUMIFS(Table2[HomeWon_], Table2[GameIsOver],1,Table2[AwayTeam],$A51, Table2[HomeTeam], G$36, Table2[ActualResult], "OT") + SUMIFS(Table2[AwayWon], Table2[GameIsOver],1,Table2[HomeTeam],$A51, Table2[AwayTeam], G$36, Table2[ActualResult], "OT") + SUMIFS(Table2[HomeWon_], Table2[GameIsOver],1,Table2[AwayTeam],$A51, Table2[HomeTeam], G$36, Table2[ActualResult], "SO") + SUMIFS(Table2[AwayWon], Table2[GameIsOver],1,Table2[HomeTeam],$A51, Table2[AwayTeam], G$36, Table2[ActualResult], "SO"))), "")</f>
        <v>0.5</v>
      </c>
      <c r="H51" t="str">
        <f>IFERROR(((2*SUMIFS(Table2[AwayWon], Table2[GameIsOver],1,Table2[AwayTeam],$A51, Table2[HomeTeam], H$36) + SUMIFS(Table2[HomeWon_], Table2[GameIsOver],1,Table2[HomeTeam],$A51, Table2[AwayTeam], H$36)) + SUMIFS(Table2[AwayWon], Table2[GameIsOver],1,Table2[HomeTeam],$A51, Table2[AwayTeam], H$36, Table2[ActualResult], "REG") + SUMIFS(Table2[HomeWon_], Table2[GameIsOver],1,Table2[AwayTeam],$A51, Table2[HomeTeam], H$36, Table2[ActualResult], "OT") + SUMIFS(Table2[AwayWon], Table2[GameIsOver],1,Table2[HomeTeam],$A51, Table2[AwayTeam], H$36, Table2[ActualResult], "OT") + SUMIFS(Table2[HomeWon_], Table2[GameIsOver],1,Table2[AwayTeam],$A51, Table2[HomeTeam], H$36, Table2[ActualResult], "SO") + SUMIFS(Table2[AwayWon], Table2[GameIsOver],1,Table2[HomeTeam],$A51, Table2[AwayTeam], H$36, Table2[ActualResult], "SO")) / (2*(SUMIFS(Table2[AwayWon], Table2[GameIsOver],1,Table2[AwayTeam],$A51, Table2[HomeTeam], H$36) + SUMIFS(Table2[HomeWon_], Table2[GameIsOver],1,Table2[HomeTeam],$A51, Table2[AwayTeam], H$36) + SUMIFS(Table2[HomeWon_], Table2[GameIsOver],1,Table2[AwayTeam],$A51, Table2[HomeTeam], H$36, Table2[ActualResult], "REG") + SUMIFS(Table2[AwayWon], Table2[GameIsOver],1,Table2[HomeTeam],$A51, Table2[AwayTeam], H$36, Table2[ActualResult], "REG") + SUMIFS(Table2[HomeWon_], Table2[GameIsOver],1,Table2[AwayTeam],$A51, Table2[HomeTeam], H$36, Table2[ActualResult], "OT") + SUMIFS(Table2[AwayWon], Table2[GameIsOver],1,Table2[HomeTeam],$A51, Table2[AwayTeam], H$36, Table2[ActualResult], "OT") + SUMIFS(Table2[HomeWon_], Table2[GameIsOver],1,Table2[AwayTeam],$A51, Table2[HomeTeam], H$36, Table2[ActualResult], "SO") + SUMIFS(Table2[AwayWon], Table2[GameIsOver],1,Table2[HomeTeam],$A51, Table2[AwayTeam], H$36, Table2[ActualResult], "SO"))), "")</f>
        <v/>
      </c>
      <c r="I51" s="57" t="str">
        <f>IFERROR(((2*SUMIFS(Table2[AwayWon], Table2[GameIsOver],1,Table2[AwayTeam],$A51, Table2[HomeTeam], I$36) + SUMIFS(Table2[HomeWon_], Table2[GameIsOver],1,Table2[HomeTeam],$A51, Table2[AwayTeam], I$36)) + SUMIFS(Table2[AwayWon], Table2[GameIsOver],1,Table2[HomeTeam],$A51, Table2[AwayTeam], I$36, Table2[ActualResult], "REG") + SUMIFS(Table2[HomeWon_], Table2[GameIsOver],1,Table2[AwayTeam],$A51, Table2[HomeTeam], I$36, Table2[ActualResult], "OT") + SUMIFS(Table2[AwayWon], Table2[GameIsOver],1,Table2[HomeTeam],$A51, Table2[AwayTeam], I$36, Table2[ActualResult], "OT") + SUMIFS(Table2[HomeWon_], Table2[GameIsOver],1,Table2[AwayTeam],$A51, Table2[HomeTeam], I$36, Table2[ActualResult], "SO") + SUMIFS(Table2[AwayWon], Table2[GameIsOver],1,Table2[HomeTeam],$A51, Table2[AwayTeam], I$36, Table2[ActualResult], "SO")) / (2*(SUMIFS(Table2[AwayWon], Table2[GameIsOver],1,Table2[AwayTeam],$A51, Table2[HomeTeam], I$36) + SUMIFS(Table2[HomeWon_], Table2[GameIsOver],1,Table2[HomeTeam],$A51, Table2[AwayTeam], I$36) + SUMIFS(Table2[HomeWon_], Table2[GameIsOver],1,Table2[AwayTeam],$A51, Table2[HomeTeam], I$36, Table2[ActualResult], "REG") + SUMIFS(Table2[AwayWon], Table2[GameIsOver],1,Table2[HomeTeam],$A51, Table2[AwayTeam], I$36, Table2[ActualResult], "REG") + SUMIFS(Table2[HomeWon_], Table2[GameIsOver],1,Table2[AwayTeam],$A51, Table2[HomeTeam], I$36, Table2[ActualResult], "OT") + SUMIFS(Table2[AwayWon], Table2[GameIsOver],1,Table2[HomeTeam],$A51, Table2[AwayTeam], I$36, Table2[ActualResult], "OT") + SUMIFS(Table2[HomeWon_], Table2[GameIsOver],1,Table2[AwayTeam],$A51, Table2[HomeTeam], I$36, Table2[ActualResult], "SO") + SUMIFS(Table2[AwayWon], Table2[GameIsOver],1,Table2[HomeTeam],$A51, Table2[AwayTeam], I$36, Table2[ActualResult], "SO"))), "")</f>
        <v/>
      </c>
      <c r="J51">
        <f>IFERROR(((2*SUMIFS(Table2[AwayWon], Table2[GameIsOver],1,Table2[AwayTeam],$A51, Table2[HomeTeam], J$36) + SUMIFS(Table2[HomeWon_], Table2[GameIsOver],1,Table2[HomeTeam],$A51, Table2[AwayTeam], J$36)) + SUMIFS(Table2[AwayWon], Table2[GameIsOver],1,Table2[HomeTeam],$A51, Table2[AwayTeam], J$36, Table2[ActualResult], "REG") + SUMIFS(Table2[HomeWon_], Table2[GameIsOver],1,Table2[AwayTeam],$A51, Table2[HomeTeam], J$36, Table2[ActualResult], "OT") + SUMIFS(Table2[AwayWon], Table2[GameIsOver],1,Table2[HomeTeam],$A51, Table2[AwayTeam], J$36, Table2[ActualResult], "OT") + SUMIFS(Table2[HomeWon_], Table2[GameIsOver],1,Table2[AwayTeam],$A51, Table2[HomeTeam], J$36, Table2[ActualResult], "SO") + SUMIFS(Table2[AwayWon], Table2[GameIsOver],1,Table2[HomeTeam],$A51, Table2[AwayTeam], J$36, Table2[ActualResult], "SO")) / (2*(SUMIFS(Table2[AwayWon], Table2[GameIsOver],1,Table2[AwayTeam],$A51, Table2[HomeTeam], J$36) + SUMIFS(Table2[HomeWon_], Table2[GameIsOver],1,Table2[HomeTeam],$A51, Table2[AwayTeam], J$36) + SUMIFS(Table2[HomeWon_], Table2[GameIsOver],1,Table2[AwayTeam],$A51, Table2[HomeTeam], J$36, Table2[ActualResult], "REG") + SUMIFS(Table2[AwayWon], Table2[GameIsOver],1,Table2[HomeTeam],$A51, Table2[AwayTeam], J$36, Table2[ActualResult], "REG") + SUMIFS(Table2[HomeWon_], Table2[GameIsOver],1,Table2[AwayTeam],$A51, Table2[HomeTeam], J$36, Table2[ActualResult], "OT") + SUMIFS(Table2[AwayWon], Table2[GameIsOver],1,Table2[HomeTeam],$A51, Table2[AwayTeam], J$36, Table2[ActualResult], "OT") + SUMIFS(Table2[HomeWon_], Table2[GameIsOver],1,Table2[AwayTeam],$A51, Table2[HomeTeam], J$36, Table2[ActualResult], "SO") + SUMIFS(Table2[AwayWon], Table2[GameIsOver],1,Table2[HomeTeam],$A51, Table2[AwayTeam], J$36, Table2[ActualResult], "SO"))), "")</f>
        <v>0</v>
      </c>
      <c r="K51">
        <f>IFERROR(((2*SUMIFS(Table2[AwayWon], Table2[GameIsOver],1,Table2[AwayTeam],$A51, Table2[HomeTeam], K$36) + SUMIFS(Table2[HomeWon_], Table2[GameIsOver],1,Table2[HomeTeam],$A51, Table2[AwayTeam], K$36)) + SUMIFS(Table2[AwayWon], Table2[GameIsOver],1,Table2[HomeTeam],$A51, Table2[AwayTeam], K$36, Table2[ActualResult], "REG") + SUMIFS(Table2[HomeWon_], Table2[GameIsOver],1,Table2[AwayTeam],$A51, Table2[HomeTeam], K$36, Table2[ActualResult], "OT") + SUMIFS(Table2[AwayWon], Table2[GameIsOver],1,Table2[HomeTeam],$A51, Table2[AwayTeam], K$36, Table2[ActualResult], "OT") + SUMIFS(Table2[HomeWon_], Table2[GameIsOver],1,Table2[AwayTeam],$A51, Table2[HomeTeam], K$36, Table2[ActualResult], "SO") + SUMIFS(Table2[AwayWon], Table2[GameIsOver],1,Table2[HomeTeam],$A51, Table2[AwayTeam], K$36, Table2[ActualResult], "SO")) / (2*(SUMIFS(Table2[AwayWon], Table2[GameIsOver],1,Table2[AwayTeam],$A51, Table2[HomeTeam], K$36) + SUMIFS(Table2[HomeWon_], Table2[GameIsOver],1,Table2[HomeTeam],$A51, Table2[AwayTeam], K$36) + SUMIFS(Table2[HomeWon_], Table2[GameIsOver],1,Table2[AwayTeam],$A51, Table2[HomeTeam], K$36, Table2[ActualResult], "REG") + SUMIFS(Table2[AwayWon], Table2[GameIsOver],1,Table2[HomeTeam],$A51, Table2[AwayTeam], K$36, Table2[ActualResult], "REG") + SUMIFS(Table2[HomeWon_], Table2[GameIsOver],1,Table2[AwayTeam],$A51, Table2[HomeTeam], K$36, Table2[ActualResult], "OT") + SUMIFS(Table2[AwayWon], Table2[GameIsOver],1,Table2[HomeTeam],$A51, Table2[AwayTeam], K$36, Table2[ActualResult], "OT") + SUMIFS(Table2[HomeWon_], Table2[GameIsOver],1,Table2[AwayTeam],$A51, Table2[HomeTeam], K$36, Table2[ActualResult], "SO") + SUMIFS(Table2[AwayWon], Table2[GameIsOver],1,Table2[HomeTeam],$A51, Table2[AwayTeam], K$36, Table2[ActualResult], "SO"))), "")</f>
        <v>0.25</v>
      </c>
      <c r="L51" t="str">
        <f>IFERROR(((2*SUMIFS(Table2[AwayWon], Table2[GameIsOver],1,Table2[AwayTeam],$A51, Table2[HomeTeam], L$36) + SUMIFS(Table2[HomeWon_], Table2[GameIsOver],1,Table2[HomeTeam],$A51, Table2[AwayTeam], L$36)) + SUMIFS(Table2[AwayWon], Table2[GameIsOver],1,Table2[HomeTeam],$A51, Table2[AwayTeam], L$36, Table2[ActualResult], "REG") + SUMIFS(Table2[HomeWon_], Table2[GameIsOver],1,Table2[AwayTeam],$A51, Table2[HomeTeam], L$36, Table2[ActualResult], "OT") + SUMIFS(Table2[AwayWon], Table2[GameIsOver],1,Table2[HomeTeam],$A51, Table2[AwayTeam], L$36, Table2[ActualResult], "OT") + SUMIFS(Table2[HomeWon_], Table2[GameIsOver],1,Table2[AwayTeam],$A51, Table2[HomeTeam], L$36, Table2[ActualResult], "SO") + SUMIFS(Table2[AwayWon], Table2[GameIsOver],1,Table2[HomeTeam],$A51, Table2[AwayTeam], L$36, Table2[ActualResult], "SO")) / (2*(SUMIFS(Table2[AwayWon], Table2[GameIsOver],1,Table2[AwayTeam],$A51, Table2[HomeTeam], L$36) + SUMIFS(Table2[HomeWon_], Table2[GameIsOver],1,Table2[HomeTeam],$A51, Table2[AwayTeam], L$36) + SUMIFS(Table2[HomeWon_], Table2[GameIsOver],1,Table2[AwayTeam],$A51, Table2[HomeTeam], L$36, Table2[ActualResult], "REG") + SUMIFS(Table2[AwayWon], Table2[GameIsOver],1,Table2[HomeTeam],$A51, Table2[AwayTeam], L$36, Table2[ActualResult], "REG") + SUMIFS(Table2[HomeWon_], Table2[GameIsOver],1,Table2[AwayTeam],$A51, Table2[HomeTeam], L$36, Table2[ActualResult], "OT") + SUMIFS(Table2[AwayWon], Table2[GameIsOver],1,Table2[HomeTeam],$A51, Table2[AwayTeam], L$36, Table2[ActualResult], "OT") + SUMIFS(Table2[HomeWon_], Table2[GameIsOver],1,Table2[AwayTeam],$A51, Table2[HomeTeam], L$36, Table2[ActualResult], "SO") + SUMIFS(Table2[AwayWon], Table2[GameIsOver],1,Table2[HomeTeam],$A51, Table2[AwayTeam], L$36, Table2[ActualResult], "SO"))), "")</f>
        <v/>
      </c>
      <c r="M51" t="str">
        <f>IFERROR(((2*SUMIFS(Table2[AwayWon], Table2[GameIsOver],1,Table2[AwayTeam],$A51, Table2[HomeTeam], M$36) + SUMIFS(Table2[HomeWon_], Table2[GameIsOver],1,Table2[HomeTeam],$A51, Table2[AwayTeam], M$36)) + SUMIFS(Table2[AwayWon], Table2[GameIsOver],1,Table2[HomeTeam],$A51, Table2[AwayTeam], M$36, Table2[ActualResult], "REG") + SUMIFS(Table2[HomeWon_], Table2[GameIsOver],1,Table2[AwayTeam],$A51, Table2[HomeTeam], M$36, Table2[ActualResult], "OT") + SUMIFS(Table2[AwayWon], Table2[GameIsOver],1,Table2[HomeTeam],$A51, Table2[AwayTeam], M$36, Table2[ActualResult], "OT") + SUMIFS(Table2[HomeWon_], Table2[GameIsOver],1,Table2[AwayTeam],$A51, Table2[HomeTeam], M$36, Table2[ActualResult], "SO") + SUMIFS(Table2[AwayWon], Table2[GameIsOver],1,Table2[HomeTeam],$A51, Table2[AwayTeam], M$36, Table2[ActualResult], "SO")) / (2*(SUMIFS(Table2[AwayWon], Table2[GameIsOver],1,Table2[AwayTeam],$A51, Table2[HomeTeam], M$36) + SUMIFS(Table2[HomeWon_], Table2[GameIsOver],1,Table2[HomeTeam],$A51, Table2[AwayTeam], M$36) + SUMIFS(Table2[HomeWon_], Table2[GameIsOver],1,Table2[AwayTeam],$A51, Table2[HomeTeam], M$36, Table2[ActualResult], "REG") + SUMIFS(Table2[AwayWon], Table2[GameIsOver],1,Table2[HomeTeam],$A51, Table2[AwayTeam], M$36, Table2[ActualResult], "REG") + SUMIFS(Table2[HomeWon_], Table2[GameIsOver],1,Table2[AwayTeam],$A51, Table2[HomeTeam], M$36, Table2[ActualResult], "OT") + SUMIFS(Table2[AwayWon], Table2[GameIsOver],1,Table2[HomeTeam],$A51, Table2[AwayTeam], M$36, Table2[ActualResult], "OT") + SUMIFS(Table2[HomeWon_], Table2[GameIsOver],1,Table2[AwayTeam],$A51, Table2[HomeTeam], M$36, Table2[ActualResult], "SO") + SUMIFS(Table2[AwayWon], Table2[GameIsOver],1,Table2[HomeTeam],$A51, Table2[AwayTeam], M$36, Table2[ActualResult], "SO"))), "")</f>
        <v/>
      </c>
      <c r="N51">
        <f>IFERROR(((2*SUMIFS(Table2[AwayWon], Table2[GameIsOver],1,Table2[AwayTeam],$A51, Table2[HomeTeam], N$36) + SUMIFS(Table2[HomeWon_], Table2[GameIsOver],1,Table2[HomeTeam],$A51, Table2[AwayTeam], N$36)) + SUMIFS(Table2[AwayWon], Table2[GameIsOver],1,Table2[HomeTeam],$A51, Table2[AwayTeam], N$36, Table2[ActualResult], "REG") + SUMIFS(Table2[HomeWon_], Table2[GameIsOver],1,Table2[AwayTeam],$A51, Table2[HomeTeam], N$36, Table2[ActualResult], "OT") + SUMIFS(Table2[AwayWon], Table2[GameIsOver],1,Table2[HomeTeam],$A51, Table2[AwayTeam], N$36, Table2[ActualResult], "OT") + SUMIFS(Table2[HomeWon_], Table2[GameIsOver],1,Table2[AwayTeam],$A51, Table2[HomeTeam], N$36, Table2[ActualResult], "SO") + SUMIFS(Table2[AwayWon], Table2[GameIsOver],1,Table2[HomeTeam],$A51, Table2[AwayTeam], N$36, Table2[ActualResult], "SO")) / (2*(SUMIFS(Table2[AwayWon], Table2[GameIsOver],1,Table2[AwayTeam],$A51, Table2[HomeTeam], N$36) + SUMIFS(Table2[HomeWon_], Table2[GameIsOver],1,Table2[HomeTeam],$A51, Table2[AwayTeam], N$36) + SUMIFS(Table2[HomeWon_], Table2[GameIsOver],1,Table2[AwayTeam],$A51, Table2[HomeTeam], N$36, Table2[ActualResult], "REG") + SUMIFS(Table2[AwayWon], Table2[GameIsOver],1,Table2[HomeTeam],$A51, Table2[AwayTeam], N$36, Table2[ActualResult], "REG") + SUMIFS(Table2[HomeWon_], Table2[GameIsOver],1,Table2[AwayTeam],$A51, Table2[HomeTeam], N$36, Table2[ActualResult], "OT") + SUMIFS(Table2[AwayWon], Table2[GameIsOver],1,Table2[HomeTeam],$A51, Table2[AwayTeam], N$36, Table2[ActualResult], "OT") + SUMIFS(Table2[HomeWon_], Table2[GameIsOver],1,Table2[AwayTeam],$A51, Table2[HomeTeam], N$36, Table2[ActualResult], "SO") + SUMIFS(Table2[AwayWon], Table2[GameIsOver],1,Table2[HomeTeam],$A51, Table2[AwayTeam], N$36, Table2[ActualResult], "SO"))), "")</f>
        <v>1</v>
      </c>
      <c r="O51" t="str">
        <f>IFERROR(((2*SUMIFS(Table2[AwayWon], Table2[GameIsOver],1,Table2[AwayTeam],$A51, Table2[HomeTeam], O$36) + SUMIFS(Table2[HomeWon_], Table2[GameIsOver],1,Table2[HomeTeam],$A51, Table2[AwayTeam], O$36)) + SUMIFS(Table2[AwayWon], Table2[GameIsOver],1,Table2[HomeTeam],$A51, Table2[AwayTeam], O$36, Table2[ActualResult], "REG") + SUMIFS(Table2[HomeWon_], Table2[GameIsOver],1,Table2[AwayTeam],$A51, Table2[HomeTeam], O$36, Table2[ActualResult], "OT") + SUMIFS(Table2[AwayWon], Table2[GameIsOver],1,Table2[HomeTeam],$A51, Table2[AwayTeam], O$36, Table2[ActualResult], "OT") + SUMIFS(Table2[HomeWon_], Table2[GameIsOver],1,Table2[AwayTeam],$A51, Table2[HomeTeam], O$36, Table2[ActualResult], "SO") + SUMIFS(Table2[AwayWon], Table2[GameIsOver],1,Table2[HomeTeam],$A51, Table2[AwayTeam], O$36, Table2[ActualResult], "SO")) / (2*(SUMIFS(Table2[AwayWon], Table2[GameIsOver],1,Table2[AwayTeam],$A51, Table2[HomeTeam], O$36) + SUMIFS(Table2[HomeWon_], Table2[GameIsOver],1,Table2[HomeTeam],$A51, Table2[AwayTeam], O$36) + SUMIFS(Table2[HomeWon_], Table2[GameIsOver],1,Table2[AwayTeam],$A51, Table2[HomeTeam], O$36, Table2[ActualResult], "REG") + SUMIFS(Table2[AwayWon], Table2[GameIsOver],1,Table2[HomeTeam],$A51, Table2[AwayTeam], O$36, Table2[ActualResult], "REG") + SUMIFS(Table2[HomeWon_], Table2[GameIsOver],1,Table2[AwayTeam],$A51, Table2[HomeTeam], O$36, Table2[ActualResult], "OT") + SUMIFS(Table2[AwayWon], Table2[GameIsOver],1,Table2[HomeTeam],$A51, Table2[AwayTeam], O$36, Table2[ActualResult], "OT") + SUMIFS(Table2[HomeWon_], Table2[GameIsOver],1,Table2[AwayTeam],$A51, Table2[HomeTeam], O$36, Table2[ActualResult], "SO") + SUMIFS(Table2[AwayWon], Table2[GameIsOver],1,Table2[HomeTeam],$A51, Table2[AwayTeam], O$36, Table2[ActualResult], "SO"))), "")</f>
        <v/>
      </c>
      <c r="P51" s="98" t="str">
        <f>IFERROR(((2*SUMIFS(Table2[AwayWon], Table2[GameIsOver],1,Table2[AwayTeam],$A51, Table2[HomeTeam], P$36) + SUMIFS(Table2[HomeWon_], Table2[GameIsOver],1,Table2[HomeTeam],$A51, Table2[AwayTeam], P$36)) + SUMIFS(Table2[AwayWon], Table2[GameIsOver],1,Table2[HomeTeam],$A51, Table2[AwayTeam], P$36, Table2[ActualResult], "REG") + SUMIFS(Table2[HomeWon_], Table2[GameIsOver],1,Table2[AwayTeam],$A51, Table2[HomeTeam], P$36, Table2[ActualResult], "OT") + SUMIFS(Table2[AwayWon], Table2[GameIsOver],1,Table2[HomeTeam],$A51, Table2[AwayTeam], P$36, Table2[ActualResult], "OT") + SUMIFS(Table2[HomeWon_], Table2[GameIsOver],1,Table2[AwayTeam],$A51, Table2[HomeTeam], P$36, Table2[ActualResult], "SO") + SUMIFS(Table2[AwayWon], Table2[GameIsOver],1,Table2[HomeTeam],$A51, Table2[AwayTeam], P$36, Table2[ActualResult], "SO")) / (2*(SUMIFS(Table2[AwayWon], Table2[GameIsOver],1,Table2[AwayTeam],$A51, Table2[HomeTeam], P$36) + SUMIFS(Table2[HomeWon_], Table2[GameIsOver],1,Table2[HomeTeam],$A51, Table2[AwayTeam], P$36) + SUMIFS(Table2[HomeWon_], Table2[GameIsOver],1,Table2[AwayTeam],$A51, Table2[HomeTeam], P$36, Table2[ActualResult], "REG") + SUMIFS(Table2[AwayWon], Table2[GameIsOver],1,Table2[HomeTeam],$A51, Table2[AwayTeam], P$36, Table2[ActualResult], "REG") + SUMIFS(Table2[HomeWon_], Table2[GameIsOver],1,Table2[AwayTeam],$A51, Table2[HomeTeam], P$36, Table2[ActualResult], "OT") + SUMIFS(Table2[AwayWon], Table2[GameIsOver],1,Table2[HomeTeam],$A51, Table2[AwayTeam], P$36, Table2[ActualResult], "OT") + SUMIFS(Table2[HomeWon_], Table2[GameIsOver],1,Table2[AwayTeam],$A51, Table2[HomeTeam], P$36, Table2[ActualResult], "SO") + SUMIFS(Table2[AwayWon], Table2[GameIsOver],1,Table2[HomeTeam],$A51, Table2[AwayTeam], P$36, Table2[ActualResult], "SO"))), "")</f>
        <v/>
      </c>
      <c r="Q51" s="57" t="str">
        <f>IFERROR(((2*SUMIFS(Table2[AwayWon], Table2[GameIsOver],1,Table2[AwayTeam],$A51, Table2[HomeTeam], Q$36) + SUMIFS(Table2[HomeWon_], Table2[GameIsOver],1,Table2[HomeTeam],$A51, Table2[AwayTeam], Q$36)) + SUMIFS(Table2[AwayWon], Table2[GameIsOver],1,Table2[HomeTeam],$A51, Table2[AwayTeam], Q$36, Table2[ActualResult], "REG") + SUMIFS(Table2[HomeWon_], Table2[GameIsOver],1,Table2[AwayTeam],$A51, Table2[HomeTeam], Q$36, Table2[ActualResult], "OT") + SUMIFS(Table2[AwayWon], Table2[GameIsOver],1,Table2[HomeTeam],$A51, Table2[AwayTeam], Q$36, Table2[ActualResult], "OT") + SUMIFS(Table2[HomeWon_], Table2[GameIsOver],1,Table2[AwayTeam],$A51, Table2[HomeTeam], Q$36, Table2[ActualResult], "SO") + SUMIFS(Table2[AwayWon], Table2[GameIsOver],1,Table2[HomeTeam],$A51, Table2[AwayTeam], Q$36, Table2[ActualResult], "SO")) / (2*(SUMIFS(Table2[AwayWon], Table2[GameIsOver],1,Table2[AwayTeam],$A51, Table2[HomeTeam], Q$36) + SUMIFS(Table2[HomeWon_], Table2[GameIsOver],1,Table2[HomeTeam],$A51, Table2[AwayTeam], Q$36) + SUMIFS(Table2[HomeWon_], Table2[GameIsOver],1,Table2[AwayTeam],$A51, Table2[HomeTeam], Q$36, Table2[ActualResult], "REG") + SUMIFS(Table2[AwayWon], Table2[GameIsOver],1,Table2[HomeTeam],$A51, Table2[AwayTeam], Q$36, Table2[ActualResult], "REG") + SUMIFS(Table2[HomeWon_], Table2[GameIsOver],1,Table2[AwayTeam],$A51, Table2[HomeTeam], Q$36, Table2[ActualResult], "OT") + SUMIFS(Table2[AwayWon], Table2[GameIsOver],1,Table2[HomeTeam],$A51, Table2[AwayTeam], Q$36, Table2[ActualResult], "OT") + SUMIFS(Table2[HomeWon_], Table2[GameIsOver],1,Table2[AwayTeam],$A51, Table2[HomeTeam], Q$36, Table2[ActualResult], "SO") + SUMIFS(Table2[AwayWon], Table2[GameIsOver],1,Table2[HomeTeam],$A51, Table2[AwayTeam], Q$36, Table2[ActualResult], "SO"))), "")</f>
        <v/>
      </c>
      <c r="R51" t="str">
        <f>IFERROR(((2*SUMIFS(Table2[AwayWon], Table2[GameIsOver],1,Table2[AwayTeam],$A51, Table2[HomeTeam], R$36) + SUMIFS(Table2[HomeWon_], Table2[GameIsOver],1,Table2[HomeTeam],$A51, Table2[AwayTeam], R$36)) + SUMIFS(Table2[AwayWon], Table2[GameIsOver],1,Table2[HomeTeam],$A51, Table2[AwayTeam], R$36, Table2[ActualResult], "REG") + SUMIFS(Table2[HomeWon_], Table2[GameIsOver],1,Table2[AwayTeam],$A51, Table2[HomeTeam], R$36, Table2[ActualResult], "OT") + SUMIFS(Table2[AwayWon], Table2[GameIsOver],1,Table2[HomeTeam],$A51, Table2[AwayTeam], R$36, Table2[ActualResult], "OT") + SUMIFS(Table2[HomeWon_], Table2[GameIsOver],1,Table2[AwayTeam],$A51, Table2[HomeTeam], R$36, Table2[ActualResult], "SO") + SUMIFS(Table2[AwayWon], Table2[GameIsOver],1,Table2[HomeTeam],$A51, Table2[AwayTeam], R$36, Table2[ActualResult], "SO")) / (2*(SUMIFS(Table2[AwayWon], Table2[GameIsOver],1,Table2[AwayTeam],$A51, Table2[HomeTeam], R$36) + SUMIFS(Table2[HomeWon_], Table2[GameIsOver],1,Table2[HomeTeam],$A51, Table2[AwayTeam], R$36) + SUMIFS(Table2[HomeWon_], Table2[GameIsOver],1,Table2[AwayTeam],$A51, Table2[HomeTeam], R$36, Table2[ActualResult], "REG") + SUMIFS(Table2[AwayWon], Table2[GameIsOver],1,Table2[HomeTeam],$A51, Table2[AwayTeam], R$36, Table2[ActualResult], "REG") + SUMIFS(Table2[HomeWon_], Table2[GameIsOver],1,Table2[AwayTeam],$A51, Table2[HomeTeam], R$36, Table2[ActualResult], "OT") + SUMIFS(Table2[AwayWon], Table2[GameIsOver],1,Table2[HomeTeam],$A51, Table2[AwayTeam], R$36, Table2[ActualResult], "OT") + SUMIFS(Table2[HomeWon_], Table2[GameIsOver],1,Table2[AwayTeam],$A51, Table2[HomeTeam], R$36, Table2[ActualResult], "SO") + SUMIFS(Table2[AwayWon], Table2[GameIsOver],1,Table2[HomeTeam],$A51, Table2[AwayTeam], R$36, Table2[ActualResult], "SO"))), "")</f>
        <v/>
      </c>
      <c r="S51" t="str">
        <f>IFERROR(((2*SUMIFS(Table2[AwayWon], Table2[GameIsOver],1,Table2[AwayTeam],$A51, Table2[HomeTeam], S$36) + SUMIFS(Table2[HomeWon_], Table2[GameIsOver],1,Table2[HomeTeam],$A51, Table2[AwayTeam], S$36)) + SUMIFS(Table2[AwayWon], Table2[GameIsOver],1,Table2[HomeTeam],$A51, Table2[AwayTeam], S$36, Table2[ActualResult], "REG") + SUMIFS(Table2[HomeWon_], Table2[GameIsOver],1,Table2[AwayTeam],$A51, Table2[HomeTeam], S$36, Table2[ActualResult], "OT") + SUMIFS(Table2[AwayWon], Table2[GameIsOver],1,Table2[HomeTeam],$A51, Table2[AwayTeam], S$36, Table2[ActualResult], "OT") + SUMIFS(Table2[HomeWon_], Table2[GameIsOver],1,Table2[AwayTeam],$A51, Table2[HomeTeam], S$36, Table2[ActualResult], "SO") + SUMIFS(Table2[AwayWon], Table2[GameIsOver],1,Table2[HomeTeam],$A51, Table2[AwayTeam], S$36, Table2[ActualResult], "SO")) / (2*(SUMIFS(Table2[AwayWon], Table2[GameIsOver],1,Table2[AwayTeam],$A51, Table2[HomeTeam], S$36) + SUMIFS(Table2[HomeWon_], Table2[GameIsOver],1,Table2[HomeTeam],$A51, Table2[AwayTeam], S$36) + SUMIFS(Table2[HomeWon_], Table2[GameIsOver],1,Table2[AwayTeam],$A51, Table2[HomeTeam], S$36, Table2[ActualResult], "REG") + SUMIFS(Table2[AwayWon], Table2[GameIsOver],1,Table2[HomeTeam],$A51, Table2[AwayTeam], S$36, Table2[ActualResult], "REG") + SUMIFS(Table2[HomeWon_], Table2[GameIsOver],1,Table2[AwayTeam],$A51, Table2[HomeTeam], S$36, Table2[ActualResult], "OT") + SUMIFS(Table2[AwayWon], Table2[GameIsOver],1,Table2[HomeTeam],$A51, Table2[AwayTeam], S$36, Table2[ActualResult], "OT") + SUMIFS(Table2[HomeWon_], Table2[GameIsOver],1,Table2[AwayTeam],$A51, Table2[HomeTeam], S$36, Table2[ActualResult], "SO") + SUMIFS(Table2[AwayWon], Table2[GameIsOver],1,Table2[HomeTeam],$A51, Table2[AwayTeam], S$36, Table2[ActualResult], "SO"))), "")</f>
        <v/>
      </c>
      <c r="T51" t="str">
        <f>IFERROR(((2*SUMIFS(Table2[AwayWon], Table2[GameIsOver],1,Table2[AwayTeam],$A51, Table2[HomeTeam], T$36) + SUMIFS(Table2[HomeWon_], Table2[GameIsOver],1,Table2[HomeTeam],$A51, Table2[AwayTeam], T$36)) + SUMIFS(Table2[AwayWon], Table2[GameIsOver],1,Table2[HomeTeam],$A51, Table2[AwayTeam], T$36, Table2[ActualResult], "REG") + SUMIFS(Table2[HomeWon_], Table2[GameIsOver],1,Table2[AwayTeam],$A51, Table2[HomeTeam], T$36, Table2[ActualResult], "OT") + SUMIFS(Table2[AwayWon], Table2[GameIsOver],1,Table2[HomeTeam],$A51, Table2[AwayTeam], T$36, Table2[ActualResult], "OT") + SUMIFS(Table2[HomeWon_], Table2[GameIsOver],1,Table2[AwayTeam],$A51, Table2[HomeTeam], T$36, Table2[ActualResult], "SO") + SUMIFS(Table2[AwayWon], Table2[GameIsOver],1,Table2[HomeTeam],$A51, Table2[AwayTeam], T$36, Table2[ActualResult], "SO")) / (2*(SUMIFS(Table2[AwayWon], Table2[GameIsOver],1,Table2[AwayTeam],$A51, Table2[HomeTeam], T$36) + SUMIFS(Table2[HomeWon_], Table2[GameIsOver],1,Table2[HomeTeam],$A51, Table2[AwayTeam], T$36) + SUMIFS(Table2[HomeWon_], Table2[GameIsOver],1,Table2[AwayTeam],$A51, Table2[HomeTeam], T$36, Table2[ActualResult], "REG") + SUMIFS(Table2[AwayWon], Table2[GameIsOver],1,Table2[HomeTeam],$A51, Table2[AwayTeam], T$36, Table2[ActualResult], "REG") + SUMIFS(Table2[HomeWon_], Table2[GameIsOver],1,Table2[AwayTeam],$A51, Table2[HomeTeam], T$36, Table2[ActualResult], "OT") + SUMIFS(Table2[AwayWon], Table2[GameIsOver],1,Table2[HomeTeam],$A51, Table2[AwayTeam], T$36, Table2[ActualResult], "OT") + SUMIFS(Table2[HomeWon_], Table2[GameIsOver],1,Table2[AwayTeam],$A51, Table2[HomeTeam], T$36, Table2[ActualResult], "SO") + SUMIFS(Table2[AwayWon], Table2[GameIsOver],1,Table2[HomeTeam],$A51, Table2[AwayTeam], T$36, Table2[ActualResult], "SO"))), "")</f>
        <v/>
      </c>
      <c r="U51" t="str">
        <f>IFERROR(((2*SUMIFS(Table2[AwayWon], Table2[GameIsOver],1,Table2[AwayTeam],$A51, Table2[HomeTeam], U$36) + SUMIFS(Table2[HomeWon_], Table2[GameIsOver],1,Table2[HomeTeam],$A51, Table2[AwayTeam], U$36)) + SUMIFS(Table2[AwayWon], Table2[GameIsOver],1,Table2[HomeTeam],$A51, Table2[AwayTeam], U$36, Table2[ActualResult], "REG") + SUMIFS(Table2[HomeWon_], Table2[GameIsOver],1,Table2[AwayTeam],$A51, Table2[HomeTeam], U$36, Table2[ActualResult], "OT") + SUMIFS(Table2[AwayWon], Table2[GameIsOver],1,Table2[HomeTeam],$A51, Table2[AwayTeam], U$36, Table2[ActualResult], "OT") + SUMIFS(Table2[HomeWon_], Table2[GameIsOver],1,Table2[AwayTeam],$A51, Table2[HomeTeam], U$36, Table2[ActualResult], "SO") + SUMIFS(Table2[AwayWon], Table2[GameIsOver],1,Table2[HomeTeam],$A51, Table2[AwayTeam], U$36, Table2[ActualResult], "SO")) / (2*(SUMIFS(Table2[AwayWon], Table2[GameIsOver],1,Table2[AwayTeam],$A51, Table2[HomeTeam], U$36) + SUMIFS(Table2[HomeWon_], Table2[GameIsOver],1,Table2[HomeTeam],$A51, Table2[AwayTeam], U$36) + SUMIFS(Table2[HomeWon_], Table2[GameIsOver],1,Table2[AwayTeam],$A51, Table2[HomeTeam], U$36, Table2[ActualResult], "REG") + SUMIFS(Table2[AwayWon], Table2[GameIsOver],1,Table2[HomeTeam],$A51, Table2[AwayTeam], U$36, Table2[ActualResult], "REG") + SUMIFS(Table2[HomeWon_], Table2[GameIsOver],1,Table2[AwayTeam],$A51, Table2[HomeTeam], U$36, Table2[ActualResult], "OT") + SUMIFS(Table2[AwayWon], Table2[GameIsOver],1,Table2[HomeTeam],$A51, Table2[AwayTeam], U$36, Table2[ActualResult], "OT") + SUMIFS(Table2[HomeWon_], Table2[GameIsOver],1,Table2[AwayTeam],$A51, Table2[HomeTeam], U$36, Table2[ActualResult], "SO") + SUMIFS(Table2[AwayWon], Table2[GameIsOver],1,Table2[HomeTeam],$A51, Table2[AwayTeam], U$36, Table2[ActualResult], "SO"))), "")</f>
        <v/>
      </c>
      <c r="V51" t="str">
        <f>IFERROR(((2*SUMIFS(Table2[AwayWon], Table2[GameIsOver],1,Table2[AwayTeam],$A51, Table2[HomeTeam], V$36) + SUMIFS(Table2[HomeWon_], Table2[GameIsOver],1,Table2[HomeTeam],$A51, Table2[AwayTeam], V$36)) + SUMIFS(Table2[AwayWon], Table2[GameIsOver],1,Table2[HomeTeam],$A51, Table2[AwayTeam], V$36, Table2[ActualResult], "REG") + SUMIFS(Table2[HomeWon_], Table2[GameIsOver],1,Table2[AwayTeam],$A51, Table2[HomeTeam], V$36, Table2[ActualResult], "OT") + SUMIFS(Table2[AwayWon], Table2[GameIsOver],1,Table2[HomeTeam],$A51, Table2[AwayTeam], V$36, Table2[ActualResult], "OT") + SUMIFS(Table2[HomeWon_], Table2[GameIsOver],1,Table2[AwayTeam],$A51, Table2[HomeTeam], V$36, Table2[ActualResult], "SO") + SUMIFS(Table2[AwayWon], Table2[GameIsOver],1,Table2[HomeTeam],$A51, Table2[AwayTeam], V$36, Table2[ActualResult], "SO")) / (2*(SUMIFS(Table2[AwayWon], Table2[GameIsOver],1,Table2[AwayTeam],$A51, Table2[HomeTeam], V$36) + SUMIFS(Table2[HomeWon_], Table2[GameIsOver],1,Table2[HomeTeam],$A51, Table2[AwayTeam], V$36) + SUMIFS(Table2[HomeWon_], Table2[GameIsOver],1,Table2[AwayTeam],$A51, Table2[HomeTeam], V$36, Table2[ActualResult], "REG") + SUMIFS(Table2[AwayWon], Table2[GameIsOver],1,Table2[HomeTeam],$A51, Table2[AwayTeam], V$36, Table2[ActualResult], "REG") + SUMIFS(Table2[HomeWon_], Table2[GameIsOver],1,Table2[AwayTeam],$A51, Table2[HomeTeam], V$36, Table2[ActualResult], "OT") + SUMIFS(Table2[AwayWon], Table2[GameIsOver],1,Table2[HomeTeam],$A51, Table2[AwayTeam], V$36, Table2[ActualResult], "OT") + SUMIFS(Table2[HomeWon_], Table2[GameIsOver],1,Table2[AwayTeam],$A51, Table2[HomeTeam], V$36, Table2[ActualResult], "SO") + SUMIFS(Table2[AwayWon], Table2[GameIsOver],1,Table2[HomeTeam],$A51, Table2[AwayTeam], V$36, Table2[ActualResult], "SO"))), "")</f>
        <v/>
      </c>
      <c r="W51" t="str">
        <f>IFERROR(((2*SUMIFS(Table2[AwayWon], Table2[GameIsOver],1,Table2[AwayTeam],$A51, Table2[HomeTeam], W$36) + SUMIFS(Table2[HomeWon_], Table2[GameIsOver],1,Table2[HomeTeam],$A51, Table2[AwayTeam], W$36)) + SUMIFS(Table2[AwayWon], Table2[GameIsOver],1,Table2[HomeTeam],$A51, Table2[AwayTeam], W$36, Table2[ActualResult], "REG") + SUMIFS(Table2[HomeWon_], Table2[GameIsOver],1,Table2[AwayTeam],$A51, Table2[HomeTeam], W$36, Table2[ActualResult], "OT") + SUMIFS(Table2[AwayWon], Table2[GameIsOver],1,Table2[HomeTeam],$A51, Table2[AwayTeam], W$36, Table2[ActualResult], "OT") + SUMIFS(Table2[HomeWon_], Table2[GameIsOver],1,Table2[AwayTeam],$A51, Table2[HomeTeam], W$36, Table2[ActualResult], "SO") + SUMIFS(Table2[AwayWon], Table2[GameIsOver],1,Table2[HomeTeam],$A51, Table2[AwayTeam], W$36, Table2[ActualResult], "SO")) / (2*(SUMIFS(Table2[AwayWon], Table2[GameIsOver],1,Table2[AwayTeam],$A51, Table2[HomeTeam], W$36) + SUMIFS(Table2[HomeWon_], Table2[GameIsOver],1,Table2[HomeTeam],$A51, Table2[AwayTeam], W$36) + SUMIFS(Table2[HomeWon_], Table2[GameIsOver],1,Table2[AwayTeam],$A51, Table2[HomeTeam], W$36, Table2[ActualResult], "REG") + SUMIFS(Table2[AwayWon], Table2[GameIsOver],1,Table2[HomeTeam],$A51, Table2[AwayTeam], W$36, Table2[ActualResult], "REG") + SUMIFS(Table2[HomeWon_], Table2[GameIsOver],1,Table2[AwayTeam],$A51, Table2[HomeTeam], W$36, Table2[ActualResult], "OT") + SUMIFS(Table2[AwayWon], Table2[GameIsOver],1,Table2[HomeTeam],$A51, Table2[AwayTeam], W$36, Table2[ActualResult], "OT") + SUMIFS(Table2[HomeWon_], Table2[GameIsOver],1,Table2[AwayTeam],$A51, Table2[HomeTeam], W$36, Table2[ActualResult], "SO") + SUMIFS(Table2[AwayWon], Table2[GameIsOver],1,Table2[HomeTeam],$A51, Table2[AwayTeam], W$36, Table2[ActualResult], "SO"))), "")</f>
        <v/>
      </c>
      <c r="X51" t="str">
        <f>IFERROR(((2*SUMIFS(Table2[AwayWon], Table2[GameIsOver],1,Table2[AwayTeam],$A51, Table2[HomeTeam], X$36) + SUMIFS(Table2[HomeWon_], Table2[GameIsOver],1,Table2[HomeTeam],$A51, Table2[AwayTeam], X$36)) + SUMIFS(Table2[AwayWon], Table2[GameIsOver],1,Table2[HomeTeam],$A51, Table2[AwayTeam], X$36, Table2[ActualResult], "REG") + SUMIFS(Table2[HomeWon_], Table2[GameIsOver],1,Table2[AwayTeam],$A51, Table2[HomeTeam], X$36, Table2[ActualResult], "OT") + SUMIFS(Table2[AwayWon], Table2[GameIsOver],1,Table2[HomeTeam],$A51, Table2[AwayTeam], X$36, Table2[ActualResult], "OT") + SUMIFS(Table2[HomeWon_], Table2[GameIsOver],1,Table2[AwayTeam],$A51, Table2[HomeTeam], X$36, Table2[ActualResult], "SO") + SUMIFS(Table2[AwayWon], Table2[GameIsOver],1,Table2[HomeTeam],$A51, Table2[AwayTeam], X$36, Table2[ActualResult], "SO")) / (2*(SUMIFS(Table2[AwayWon], Table2[GameIsOver],1,Table2[AwayTeam],$A51, Table2[HomeTeam], X$36) + SUMIFS(Table2[HomeWon_], Table2[GameIsOver],1,Table2[HomeTeam],$A51, Table2[AwayTeam], X$36) + SUMIFS(Table2[HomeWon_], Table2[GameIsOver],1,Table2[AwayTeam],$A51, Table2[HomeTeam], X$36, Table2[ActualResult], "REG") + SUMIFS(Table2[AwayWon], Table2[GameIsOver],1,Table2[HomeTeam],$A51, Table2[AwayTeam], X$36, Table2[ActualResult], "REG") + SUMIFS(Table2[HomeWon_], Table2[GameIsOver],1,Table2[AwayTeam],$A51, Table2[HomeTeam], X$36, Table2[ActualResult], "OT") + SUMIFS(Table2[AwayWon], Table2[GameIsOver],1,Table2[HomeTeam],$A51, Table2[AwayTeam], X$36, Table2[ActualResult], "OT") + SUMIFS(Table2[HomeWon_], Table2[GameIsOver],1,Table2[AwayTeam],$A51, Table2[HomeTeam], X$36, Table2[ActualResult], "SO") + SUMIFS(Table2[AwayWon], Table2[GameIsOver],1,Table2[HomeTeam],$A51, Table2[AwayTeam], X$36, Table2[ActualResult], "SO"))), "")</f>
        <v/>
      </c>
      <c r="Y51" s="57" t="str">
        <f>IFERROR(((2*SUMIFS(Table2[AwayWon], Table2[GameIsOver],1,Table2[AwayTeam],$A51, Table2[HomeTeam], Y$36) + SUMIFS(Table2[HomeWon_], Table2[GameIsOver],1,Table2[HomeTeam],$A51, Table2[AwayTeam], Y$36)) + SUMIFS(Table2[AwayWon], Table2[GameIsOver],1,Table2[HomeTeam],$A51, Table2[AwayTeam], Y$36, Table2[ActualResult], "REG") + SUMIFS(Table2[HomeWon_], Table2[GameIsOver],1,Table2[AwayTeam],$A51, Table2[HomeTeam], Y$36, Table2[ActualResult], "OT") + SUMIFS(Table2[AwayWon], Table2[GameIsOver],1,Table2[HomeTeam],$A51, Table2[AwayTeam], Y$36, Table2[ActualResult], "OT") + SUMIFS(Table2[HomeWon_], Table2[GameIsOver],1,Table2[AwayTeam],$A51, Table2[HomeTeam], Y$36, Table2[ActualResult], "SO") + SUMIFS(Table2[AwayWon], Table2[GameIsOver],1,Table2[HomeTeam],$A51, Table2[AwayTeam], Y$36, Table2[ActualResult], "SO")) / (2*(SUMIFS(Table2[AwayWon], Table2[GameIsOver],1,Table2[AwayTeam],$A51, Table2[HomeTeam], Y$36) + SUMIFS(Table2[HomeWon_], Table2[GameIsOver],1,Table2[HomeTeam],$A51, Table2[AwayTeam], Y$36) + SUMIFS(Table2[HomeWon_], Table2[GameIsOver],1,Table2[AwayTeam],$A51, Table2[HomeTeam], Y$36, Table2[ActualResult], "REG") + SUMIFS(Table2[AwayWon], Table2[GameIsOver],1,Table2[HomeTeam],$A51, Table2[AwayTeam], Y$36, Table2[ActualResult], "REG") + SUMIFS(Table2[HomeWon_], Table2[GameIsOver],1,Table2[AwayTeam],$A51, Table2[HomeTeam], Y$36, Table2[ActualResult], "OT") + SUMIFS(Table2[AwayWon], Table2[GameIsOver],1,Table2[HomeTeam],$A51, Table2[AwayTeam], Y$36, Table2[ActualResult], "OT") + SUMIFS(Table2[HomeWon_], Table2[GameIsOver],1,Table2[AwayTeam],$A51, Table2[HomeTeam], Y$36, Table2[ActualResult], "SO") + SUMIFS(Table2[AwayWon], Table2[GameIsOver],1,Table2[HomeTeam],$A51, Table2[AwayTeam], Y$36, Table2[ActualResult], "SO"))), "")</f>
        <v/>
      </c>
      <c r="Z51">
        <f>IFERROR(((2*SUMIFS(Table2[AwayWon], Table2[GameIsOver],1,Table2[AwayTeam],$A51, Table2[HomeTeam], Z$36) + SUMIFS(Table2[HomeWon_], Table2[GameIsOver],1,Table2[HomeTeam],$A51, Table2[AwayTeam], Z$36)) + SUMIFS(Table2[AwayWon], Table2[GameIsOver],1,Table2[HomeTeam],$A51, Table2[AwayTeam], Z$36, Table2[ActualResult], "REG") + SUMIFS(Table2[HomeWon_], Table2[GameIsOver],1,Table2[AwayTeam],$A51, Table2[HomeTeam], Z$36, Table2[ActualResult], "OT") + SUMIFS(Table2[AwayWon], Table2[GameIsOver],1,Table2[HomeTeam],$A51, Table2[AwayTeam], Z$36, Table2[ActualResult], "OT") + SUMIFS(Table2[HomeWon_], Table2[GameIsOver],1,Table2[AwayTeam],$A51, Table2[HomeTeam], Z$36, Table2[ActualResult], "SO") + SUMIFS(Table2[AwayWon], Table2[GameIsOver],1,Table2[HomeTeam],$A51, Table2[AwayTeam], Z$36, Table2[ActualResult], "SO")) / (2*(SUMIFS(Table2[AwayWon], Table2[GameIsOver],1,Table2[AwayTeam],$A51, Table2[HomeTeam], Z$36) + SUMIFS(Table2[HomeWon_], Table2[GameIsOver],1,Table2[HomeTeam],$A51, Table2[AwayTeam], Z$36) + SUMIFS(Table2[HomeWon_], Table2[GameIsOver],1,Table2[AwayTeam],$A51, Table2[HomeTeam], Z$36, Table2[ActualResult], "REG") + SUMIFS(Table2[AwayWon], Table2[GameIsOver],1,Table2[HomeTeam],$A51, Table2[AwayTeam], Z$36, Table2[ActualResult], "REG") + SUMIFS(Table2[HomeWon_], Table2[GameIsOver],1,Table2[AwayTeam],$A51, Table2[HomeTeam], Z$36, Table2[ActualResult], "OT") + SUMIFS(Table2[AwayWon], Table2[GameIsOver],1,Table2[HomeTeam],$A51, Table2[AwayTeam], Z$36, Table2[ActualResult], "OT") + SUMIFS(Table2[HomeWon_], Table2[GameIsOver],1,Table2[AwayTeam],$A51, Table2[HomeTeam], Z$36, Table2[ActualResult], "SO") + SUMIFS(Table2[AwayWon], Table2[GameIsOver],1,Table2[HomeTeam],$A51, Table2[AwayTeam], Z$36, Table2[ActualResult], "SO"))), "")</f>
        <v>0.5</v>
      </c>
      <c r="AA51" t="str">
        <f>IFERROR(((2*SUMIFS(Table2[AwayWon], Table2[GameIsOver],1,Table2[AwayTeam],$A51, Table2[HomeTeam], AA$36) + SUMIFS(Table2[HomeWon_], Table2[GameIsOver],1,Table2[HomeTeam],$A51, Table2[AwayTeam], AA$36)) + SUMIFS(Table2[AwayWon], Table2[GameIsOver],1,Table2[HomeTeam],$A51, Table2[AwayTeam], AA$36, Table2[ActualResult], "REG") + SUMIFS(Table2[HomeWon_], Table2[GameIsOver],1,Table2[AwayTeam],$A51, Table2[HomeTeam], AA$36, Table2[ActualResult], "OT") + SUMIFS(Table2[AwayWon], Table2[GameIsOver],1,Table2[HomeTeam],$A51, Table2[AwayTeam], AA$36, Table2[ActualResult], "OT") + SUMIFS(Table2[HomeWon_], Table2[GameIsOver],1,Table2[AwayTeam],$A51, Table2[HomeTeam], AA$36, Table2[ActualResult], "SO") + SUMIFS(Table2[AwayWon], Table2[GameIsOver],1,Table2[HomeTeam],$A51, Table2[AwayTeam], AA$36, Table2[ActualResult], "SO")) / (2*(SUMIFS(Table2[AwayWon], Table2[GameIsOver],1,Table2[AwayTeam],$A51, Table2[HomeTeam], AA$36) + SUMIFS(Table2[HomeWon_], Table2[GameIsOver],1,Table2[HomeTeam],$A51, Table2[AwayTeam], AA$36) + SUMIFS(Table2[HomeWon_], Table2[GameIsOver],1,Table2[AwayTeam],$A51, Table2[HomeTeam], AA$36, Table2[ActualResult], "REG") + SUMIFS(Table2[AwayWon], Table2[GameIsOver],1,Table2[HomeTeam],$A51, Table2[AwayTeam], AA$36, Table2[ActualResult], "REG") + SUMIFS(Table2[HomeWon_], Table2[GameIsOver],1,Table2[AwayTeam],$A51, Table2[HomeTeam], AA$36, Table2[ActualResult], "OT") + SUMIFS(Table2[AwayWon], Table2[GameIsOver],1,Table2[HomeTeam],$A51, Table2[AwayTeam], AA$36, Table2[ActualResult], "OT") + SUMIFS(Table2[HomeWon_], Table2[GameIsOver],1,Table2[AwayTeam],$A51, Table2[HomeTeam], AA$36, Table2[ActualResult], "SO") + SUMIFS(Table2[AwayWon], Table2[GameIsOver],1,Table2[HomeTeam],$A51, Table2[AwayTeam], AA$36, Table2[ActualResult], "SO"))), "")</f>
        <v/>
      </c>
      <c r="AB51" t="str">
        <f>IFERROR(((2*SUMIFS(Table2[AwayWon], Table2[GameIsOver],1,Table2[AwayTeam],$A51, Table2[HomeTeam], AB$36) + SUMIFS(Table2[HomeWon_], Table2[GameIsOver],1,Table2[HomeTeam],$A51, Table2[AwayTeam], AB$36)) + SUMIFS(Table2[AwayWon], Table2[GameIsOver],1,Table2[HomeTeam],$A51, Table2[AwayTeam], AB$36, Table2[ActualResult], "REG") + SUMIFS(Table2[HomeWon_], Table2[GameIsOver],1,Table2[AwayTeam],$A51, Table2[HomeTeam], AB$36, Table2[ActualResult], "OT") + SUMIFS(Table2[AwayWon], Table2[GameIsOver],1,Table2[HomeTeam],$A51, Table2[AwayTeam], AB$36, Table2[ActualResult], "OT") + SUMIFS(Table2[HomeWon_], Table2[GameIsOver],1,Table2[AwayTeam],$A51, Table2[HomeTeam], AB$36, Table2[ActualResult], "SO") + SUMIFS(Table2[AwayWon], Table2[GameIsOver],1,Table2[HomeTeam],$A51, Table2[AwayTeam], AB$36, Table2[ActualResult], "SO")) / (2*(SUMIFS(Table2[AwayWon], Table2[GameIsOver],1,Table2[AwayTeam],$A51, Table2[HomeTeam], AB$36) + SUMIFS(Table2[HomeWon_], Table2[GameIsOver],1,Table2[HomeTeam],$A51, Table2[AwayTeam], AB$36) + SUMIFS(Table2[HomeWon_], Table2[GameIsOver],1,Table2[AwayTeam],$A51, Table2[HomeTeam], AB$36, Table2[ActualResult], "REG") + SUMIFS(Table2[AwayWon], Table2[GameIsOver],1,Table2[HomeTeam],$A51, Table2[AwayTeam], AB$36, Table2[ActualResult], "REG") + SUMIFS(Table2[HomeWon_], Table2[GameIsOver],1,Table2[AwayTeam],$A51, Table2[HomeTeam], AB$36, Table2[ActualResult], "OT") + SUMIFS(Table2[AwayWon], Table2[GameIsOver],1,Table2[HomeTeam],$A51, Table2[AwayTeam], AB$36, Table2[ActualResult], "OT") + SUMIFS(Table2[HomeWon_], Table2[GameIsOver],1,Table2[AwayTeam],$A51, Table2[HomeTeam], AB$36, Table2[ActualResult], "SO") + SUMIFS(Table2[AwayWon], Table2[GameIsOver],1,Table2[HomeTeam],$A51, Table2[AwayTeam], AB$36, Table2[ActualResult], "SO"))), "")</f>
        <v/>
      </c>
      <c r="AC51" t="str">
        <f>IFERROR(((2*SUMIFS(Table2[AwayWon], Table2[GameIsOver],1,Table2[AwayTeam],$A51, Table2[HomeTeam], AC$36) + SUMIFS(Table2[HomeWon_], Table2[GameIsOver],1,Table2[HomeTeam],$A51, Table2[AwayTeam], AC$36)) + SUMIFS(Table2[AwayWon], Table2[GameIsOver],1,Table2[HomeTeam],$A51, Table2[AwayTeam], AC$36, Table2[ActualResult], "REG") + SUMIFS(Table2[HomeWon_], Table2[GameIsOver],1,Table2[AwayTeam],$A51, Table2[HomeTeam], AC$36, Table2[ActualResult], "OT") + SUMIFS(Table2[AwayWon], Table2[GameIsOver],1,Table2[HomeTeam],$A51, Table2[AwayTeam], AC$36, Table2[ActualResult], "OT") + SUMIFS(Table2[HomeWon_], Table2[GameIsOver],1,Table2[AwayTeam],$A51, Table2[HomeTeam], AC$36, Table2[ActualResult], "SO") + SUMIFS(Table2[AwayWon], Table2[GameIsOver],1,Table2[HomeTeam],$A51, Table2[AwayTeam], AC$36, Table2[ActualResult], "SO")) / (2*(SUMIFS(Table2[AwayWon], Table2[GameIsOver],1,Table2[AwayTeam],$A51, Table2[HomeTeam], AC$36) + SUMIFS(Table2[HomeWon_], Table2[GameIsOver],1,Table2[HomeTeam],$A51, Table2[AwayTeam], AC$36) + SUMIFS(Table2[HomeWon_], Table2[GameIsOver],1,Table2[AwayTeam],$A51, Table2[HomeTeam], AC$36, Table2[ActualResult], "REG") + SUMIFS(Table2[AwayWon], Table2[GameIsOver],1,Table2[HomeTeam],$A51, Table2[AwayTeam], AC$36, Table2[ActualResult], "REG") + SUMIFS(Table2[HomeWon_], Table2[GameIsOver],1,Table2[AwayTeam],$A51, Table2[HomeTeam], AC$36, Table2[ActualResult], "OT") + SUMIFS(Table2[AwayWon], Table2[GameIsOver],1,Table2[HomeTeam],$A51, Table2[AwayTeam], AC$36, Table2[ActualResult], "OT") + SUMIFS(Table2[HomeWon_], Table2[GameIsOver],1,Table2[AwayTeam],$A51, Table2[HomeTeam], AC$36, Table2[ActualResult], "SO") + SUMIFS(Table2[AwayWon], Table2[GameIsOver],1,Table2[HomeTeam],$A51, Table2[AwayTeam], AC$36, Table2[ActualResult], "SO"))), "")</f>
        <v/>
      </c>
      <c r="AD51" t="str">
        <f>IFERROR(((2*SUMIFS(Table2[AwayWon], Table2[GameIsOver],1,Table2[AwayTeam],$A51, Table2[HomeTeam], AD$36) + SUMIFS(Table2[HomeWon_], Table2[GameIsOver],1,Table2[HomeTeam],$A51, Table2[AwayTeam], AD$36)) + SUMIFS(Table2[AwayWon], Table2[GameIsOver],1,Table2[HomeTeam],$A51, Table2[AwayTeam], AD$36, Table2[ActualResult], "REG") + SUMIFS(Table2[HomeWon_], Table2[GameIsOver],1,Table2[AwayTeam],$A51, Table2[HomeTeam], AD$36, Table2[ActualResult], "OT") + SUMIFS(Table2[AwayWon], Table2[GameIsOver],1,Table2[HomeTeam],$A51, Table2[AwayTeam], AD$36, Table2[ActualResult], "OT") + SUMIFS(Table2[HomeWon_], Table2[GameIsOver],1,Table2[AwayTeam],$A51, Table2[HomeTeam], AD$36, Table2[ActualResult], "SO") + SUMIFS(Table2[AwayWon], Table2[GameIsOver],1,Table2[HomeTeam],$A51, Table2[AwayTeam], AD$36, Table2[ActualResult], "SO")) / (2*(SUMIFS(Table2[AwayWon], Table2[GameIsOver],1,Table2[AwayTeam],$A51, Table2[HomeTeam], AD$36) + SUMIFS(Table2[HomeWon_], Table2[GameIsOver],1,Table2[HomeTeam],$A51, Table2[AwayTeam], AD$36) + SUMIFS(Table2[HomeWon_], Table2[GameIsOver],1,Table2[AwayTeam],$A51, Table2[HomeTeam], AD$36, Table2[ActualResult], "REG") + SUMIFS(Table2[AwayWon], Table2[GameIsOver],1,Table2[HomeTeam],$A51, Table2[AwayTeam], AD$36, Table2[ActualResult], "REG") + SUMIFS(Table2[HomeWon_], Table2[GameIsOver],1,Table2[AwayTeam],$A51, Table2[HomeTeam], AD$36, Table2[ActualResult], "OT") + SUMIFS(Table2[AwayWon], Table2[GameIsOver],1,Table2[HomeTeam],$A51, Table2[AwayTeam], AD$36, Table2[ActualResult], "OT") + SUMIFS(Table2[HomeWon_], Table2[GameIsOver],1,Table2[AwayTeam],$A51, Table2[HomeTeam], AD$36, Table2[ActualResult], "SO") + SUMIFS(Table2[AwayWon], Table2[GameIsOver],1,Table2[HomeTeam],$A51, Table2[AwayTeam], AD$36, Table2[ActualResult], "SO"))), "")</f>
        <v/>
      </c>
      <c r="AE51" t="str">
        <f>IFERROR(((2*SUMIFS(Table2[AwayWon], Table2[GameIsOver],1,Table2[AwayTeam],$A51, Table2[HomeTeam], AE$36) + SUMIFS(Table2[HomeWon_], Table2[GameIsOver],1,Table2[HomeTeam],$A51, Table2[AwayTeam], AE$36)) + SUMIFS(Table2[AwayWon], Table2[GameIsOver],1,Table2[HomeTeam],$A51, Table2[AwayTeam], AE$36, Table2[ActualResult], "REG") + SUMIFS(Table2[HomeWon_], Table2[GameIsOver],1,Table2[AwayTeam],$A51, Table2[HomeTeam], AE$36, Table2[ActualResult], "OT") + SUMIFS(Table2[AwayWon], Table2[GameIsOver],1,Table2[HomeTeam],$A51, Table2[AwayTeam], AE$36, Table2[ActualResult], "OT") + SUMIFS(Table2[HomeWon_], Table2[GameIsOver],1,Table2[AwayTeam],$A51, Table2[HomeTeam], AE$36, Table2[ActualResult], "SO") + SUMIFS(Table2[AwayWon], Table2[GameIsOver],1,Table2[HomeTeam],$A51, Table2[AwayTeam], AE$36, Table2[ActualResult], "SO")) / (2*(SUMIFS(Table2[AwayWon], Table2[GameIsOver],1,Table2[AwayTeam],$A51, Table2[HomeTeam], AE$36) + SUMIFS(Table2[HomeWon_], Table2[GameIsOver],1,Table2[HomeTeam],$A51, Table2[AwayTeam], AE$36) + SUMIFS(Table2[HomeWon_], Table2[GameIsOver],1,Table2[AwayTeam],$A51, Table2[HomeTeam], AE$36, Table2[ActualResult], "REG") + SUMIFS(Table2[AwayWon], Table2[GameIsOver],1,Table2[HomeTeam],$A51, Table2[AwayTeam], AE$36, Table2[ActualResult], "REG") + SUMIFS(Table2[HomeWon_], Table2[GameIsOver],1,Table2[AwayTeam],$A51, Table2[HomeTeam], AE$36, Table2[ActualResult], "OT") + SUMIFS(Table2[AwayWon], Table2[GameIsOver],1,Table2[HomeTeam],$A51, Table2[AwayTeam], AE$36, Table2[ActualResult], "OT") + SUMIFS(Table2[HomeWon_], Table2[GameIsOver],1,Table2[AwayTeam],$A51, Table2[HomeTeam], AE$36, Table2[ActualResult], "SO") + SUMIFS(Table2[AwayWon], Table2[GameIsOver],1,Table2[HomeTeam],$A51, Table2[AwayTeam], AE$36, Table2[ActualResult], "SO"))), "")</f>
        <v/>
      </c>
      <c r="AF51" t="str">
        <f>IFERROR(((2*SUMIFS(Table2[AwayWon], Table2[GameIsOver],1,Table2[AwayTeam],$A51, Table2[HomeTeam], AF$36) + SUMIFS(Table2[HomeWon_], Table2[GameIsOver],1,Table2[HomeTeam],$A51, Table2[AwayTeam], AF$36)) + SUMIFS(Table2[AwayWon], Table2[GameIsOver],1,Table2[HomeTeam],$A51, Table2[AwayTeam], AF$36, Table2[ActualResult], "REG") + SUMIFS(Table2[HomeWon_], Table2[GameIsOver],1,Table2[AwayTeam],$A51, Table2[HomeTeam], AF$36, Table2[ActualResult], "OT") + SUMIFS(Table2[AwayWon], Table2[GameIsOver],1,Table2[HomeTeam],$A51, Table2[AwayTeam], AF$36, Table2[ActualResult], "OT") + SUMIFS(Table2[HomeWon_], Table2[GameIsOver],1,Table2[AwayTeam],$A51, Table2[HomeTeam], AF$36, Table2[ActualResult], "SO") + SUMIFS(Table2[AwayWon], Table2[GameIsOver],1,Table2[HomeTeam],$A51, Table2[AwayTeam], AF$36, Table2[ActualResult], "SO")) / (2*(SUMIFS(Table2[AwayWon], Table2[GameIsOver],1,Table2[AwayTeam],$A51, Table2[HomeTeam], AF$36) + SUMIFS(Table2[HomeWon_], Table2[GameIsOver],1,Table2[HomeTeam],$A51, Table2[AwayTeam], AF$36) + SUMIFS(Table2[HomeWon_], Table2[GameIsOver],1,Table2[AwayTeam],$A51, Table2[HomeTeam], AF$36, Table2[ActualResult], "REG") + SUMIFS(Table2[AwayWon], Table2[GameIsOver],1,Table2[HomeTeam],$A51, Table2[AwayTeam], AF$36, Table2[ActualResult], "REG") + SUMIFS(Table2[HomeWon_], Table2[GameIsOver],1,Table2[AwayTeam],$A51, Table2[HomeTeam], AF$36, Table2[ActualResult], "OT") + SUMIFS(Table2[AwayWon], Table2[GameIsOver],1,Table2[HomeTeam],$A51, Table2[AwayTeam], AF$36, Table2[ActualResult], "OT") + SUMIFS(Table2[HomeWon_], Table2[GameIsOver],1,Table2[AwayTeam],$A51, Table2[HomeTeam], AF$36, Table2[ActualResult], "SO") + SUMIFS(Table2[AwayWon], Table2[GameIsOver],1,Table2[HomeTeam],$A51, Table2[AwayTeam], AF$36, Table2[ActualResult], "SO"))), "")</f>
        <v/>
      </c>
      <c r="AG51" s="57" t="str">
        <f>IFERROR(((2*SUMIFS(Table2[AwayWon], Table2[GameIsOver],1,Table2[AwayTeam],$A51, Table2[HomeTeam], AG$36) + SUMIFS(Table2[HomeWon_], Table2[GameIsOver],1,Table2[HomeTeam],$A51, Table2[AwayTeam], AG$36)) + SUMIFS(Table2[AwayWon], Table2[GameIsOver],1,Table2[HomeTeam],$A51, Table2[AwayTeam], AG$36, Table2[ActualResult], "REG") + SUMIFS(Table2[HomeWon_], Table2[GameIsOver],1,Table2[AwayTeam],$A51, Table2[HomeTeam], AG$36, Table2[ActualResult], "OT") + SUMIFS(Table2[AwayWon], Table2[GameIsOver],1,Table2[HomeTeam],$A51, Table2[AwayTeam], AG$36, Table2[ActualResult], "OT") + SUMIFS(Table2[HomeWon_], Table2[GameIsOver],1,Table2[AwayTeam],$A51, Table2[HomeTeam], AG$36, Table2[ActualResult], "SO") + SUMIFS(Table2[AwayWon], Table2[GameIsOver],1,Table2[HomeTeam],$A51, Table2[AwayTeam], AG$36, Table2[ActualResult], "SO")) / (2*(SUMIFS(Table2[AwayWon], Table2[GameIsOver],1,Table2[AwayTeam],$A51, Table2[HomeTeam], AG$36) + SUMIFS(Table2[HomeWon_], Table2[GameIsOver],1,Table2[HomeTeam],$A51, Table2[AwayTeam], AG$36) + SUMIFS(Table2[HomeWon_], Table2[GameIsOver],1,Table2[AwayTeam],$A51, Table2[HomeTeam], AG$36, Table2[ActualResult], "REG") + SUMIFS(Table2[AwayWon], Table2[GameIsOver],1,Table2[HomeTeam],$A51, Table2[AwayTeam], AG$36, Table2[ActualResult], "REG") + SUMIFS(Table2[HomeWon_], Table2[GameIsOver],1,Table2[AwayTeam],$A51, Table2[HomeTeam], AG$36, Table2[ActualResult], "OT") + SUMIFS(Table2[AwayWon], Table2[GameIsOver],1,Table2[HomeTeam],$A51, Table2[AwayTeam], AG$36, Table2[ActualResult], "OT") + SUMIFS(Table2[HomeWon_], Table2[GameIsOver],1,Table2[AwayTeam],$A51, Table2[HomeTeam], AG$36, Table2[ActualResult], "SO") + SUMIFS(Table2[AwayWon], Table2[GameIsOver],1,Table2[HomeTeam],$A51, Table2[AwayTeam], AG$36, Table2[ActualResult], "SO"))), "")</f>
        <v/>
      </c>
      <c r="AH51" s="101">
        <f t="shared" si="0"/>
        <v>0.5</v>
      </c>
      <c r="AI51" s="101">
        <f t="shared" si="1"/>
        <v>0.45</v>
      </c>
      <c r="AJ51" s="103">
        <f t="shared" si="2"/>
        <v>0.5</v>
      </c>
      <c r="AK51" s="103" t="e">
        <f t="shared" si="3"/>
        <v>#DIV/0!</v>
      </c>
      <c r="AL51" s="103">
        <f t="shared" si="4"/>
        <v>0.41666666666666669</v>
      </c>
      <c r="AM51" s="103">
        <f t="shared" si="5"/>
        <v>0.5</v>
      </c>
    </row>
    <row r="52" spans="1:39" ht="15.75" thickBot="1" x14ac:dyDescent="0.3">
      <c r="A52" s="59" t="s">
        <v>21</v>
      </c>
      <c r="B52" s="95" t="str">
        <f>IFERROR(((2*SUMIFS(Table2[AwayWon], Table2[GameIsOver],1,Table2[AwayTeam],$A52, Table2[HomeTeam], B$36) + SUMIFS(Table2[HomeWon_], Table2[GameIsOver],1,Table2[HomeTeam],$A52, Table2[AwayTeam], B$36)) + SUMIFS(Table2[AwayWon], Table2[GameIsOver],1,Table2[HomeTeam],$A52, Table2[AwayTeam], B$36, Table2[ActualResult], "REG") + SUMIFS(Table2[HomeWon_], Table2[GameIsOver],1,Table2[AwayTeam],$A52, Table2[HomeTeam], B$36, Table2[ActualResult], "OT") + SUMIFS(Table2[AwayWon], Table2[GameIsOver],1,Table2[HomeTeam],$A52, Table2[AwayTeam], B$36, Table2[ActualResult], "OT") + SUMIFS(Table2[HomeWon_], Table2[GameIsOver],1,Table2[AwayTeam],$A52, Table2[HomeTeam], B$36, Table2[ActualResult], "SO") + SUMIFS(Table2[AwayWon], Table2[GameIsOver],1,Table2[HomeTeam],$A52, Table2[AwayTeam], B$36, Table2[ActualResult], "SO")) / (2*(SUMIFS(Table2[AwayWon], Table2[GameIsOver],1,Table2[AwayTeam],$A52, Table2[HomeTeam], B$36) + SUMIFS(Table2[HomeWon_], Table2[GameIsOver],1,Table2[HomeTeam],$A52, Table2[AwayTeam], B$36) + SUMIFS(Table2[HomeWon_], Table2[GameIsOver],1,Table2[AwayTeam],$A52, Table2[HomeTeam], B$36, Table2[ActualResult], "REG") + SUMIFS(Table2[AwayWon], Table2[GameIsOver],1,Table2[HomeTeam],$A52, Table2[AwayTeam], B$36, Table2[ActualResult], "REG") + SUMIFS(Table2[HomeWon_], Table2[GameIsOver],1,Table2[AwayTeam],$A52, Table2[HomeTeam], B$36, Table2[ActualResult], "OT") + SUMIFS(Table2[AwayWon], Table2[GameIsOver],1,Table2[HomeTeam],$A52, Table2[AwayTeam], B$36, Table2[ActualResult], "OT") + SUMIFS(Table2[HomeWon_], Table2[GameIsOver],1,Table2[AwayTeam],$A52, Table2[HomeTeam], B$36, Table2[ActualResult], "SO") + SUMIFS(Table2[AwayWon], Table2[GameIsOver],1,Table2[HomeTeam],$A52, Table2[AwayTeam], B$36, Table2[ActualResult], "SO"))), "")</f>
        <v/>
      </c>
      <c r="C52" s="96">
        <f>IFERROR(((2*SUMIFS(Table2[AwayWon], Table2[GameIsOver],1,Table2[AwayTeam],$A52, Table2[HomeTeam], C$36) + SUMIFS(Table2[HomeWon_], Table2[GameIsOver],1,Table2[HomeTeam],$A52, Table2[AwayTeam], C$36)) + SUMIFS(Table2[AwayWon], Table2[GameIsOver],1,Table2[HomeTeam],$A52, Table2[AwayTeam], C$36, Table2[ActualResult], "REG") + SUMIFS(Table2[HomeWon_], Table2[GameIsOver],1,Table2[AwayTeam],$A52, Table2[HomeTeam], C$36, Table2[ActualResult], "OT") + SUMIFS(Table2[AwayWon], Table2[GameIsOver],1,Table2[HomeTeam],$A52, Table2[AwayTeam], C$36, Table2[ActualResult], "OT") + SUMIFS(Table2[HomeWon_], Table2[GameIsOver],1,Table2[AwayTeam],$A52, Table2[HomeTeam], C$36, Table2[ActualResult], "SO") + SUMIFS(Table2[AwayWon], Table2[GameIsOver],1,Table2[HomeTeam],$A52, Table2[AwayTeam], C$36, Table2[ActualResult], "SO")) / (2*(SUMIFS(Table2[AwayWon], Table2[GameIsOver],1,Table2[AwayTeam],$A52, Table2[HomeTeam], C$36) + SUMIFS(Table2[HomeWon_], Table2[GameIsOver],1,Table2[HomeTeam],$A52, Table2[AwayTeam], C$36) + SUMIFS(Table2[HomeWon_], Table2[GameIsOver],1,Table2[AwayTeam],$A52, Table2[HomeTeam], C$36, Table2[ActualResult], "REG") + SUMIFS(Table2[AwayWon], Table2[GameIsOver],1,Table2[HomeTeam],$A52, Table2[AwayTeam], C$36, Table2[ActualResult], "REG") + SUMIFS(Table2[HomeWon_], Table2[GameIsOver],1,Table2[AwayTeam],$A52, Table2[HomeTeam], C$36, Table2[ActualResult], "OT") + SUMIFS(Table2[AwayWon], Table2[GameIsOver],1,Table2[HomeTeam],$A52, Table2[AwayTeam], C$36, Table2[ActualResult], "OT") + SUMIFS(Table2[HomeWon_], Table2[GameIsOver],1,Table2[AwayTeam],$A52, Table2[HomeTeam], C$36, Table2[ActualResult], "SO") + SUMIFS(Table2[AwayWon], Table2[GameIsOver],1,Table2[HomeTeam],$A52, Table2[AwayTeam], C$36, Table2[ActualResult], "SO"))), "")</f>
        <v>1</v>
      </c>
      <c r="D52" s="58" t="str">
        <f>IFERROR(((2*SUMIFS(Table2[AwayWon], Table2[GameIsOver],1,Table2[AwayTeam],$A52, Table2[HomeTeam], D$36) + SUMIFS(Table2[HomeWon_], Table2[GameIsOver],1,Table2[HomeTeam],$A52, Table2[AwayTeam], D$36)) + SUMIFS(Table2[AwayWon], Table2[GameIsOver],1,Table2[HomeTeam],$A52, Table2[AwayTeam], D$36, Table2[ActualResult], "REG") + SUMIFS(Table2[HomeWon_], Table2[GameIsOver],1,Table2[AwayTeam],$A52, Table2[HomeTeam], D$36, Table2[ActualResult], "OT") + SUMIFS(Table2[AwayWon], Table2[GameIsOver],1,Table2[HomeTeam],$A52, Table2[AwayTeam], D$36, Table2[ActualResult], "OT") + SUMIFS(Table2[HomeWon_], Table2[GameIsOver],1,Table2[AwayTeam],$A52, Table2[HomeTeam], D$36, Table2[ActualResult], "SO") + SUMIFS(Table2[AwayWon], Table2[GameIsOver],1,Table2[HomeTeam],$A52, Table2[AwayTeam], D$36, Table2[ActualResult], "SO")) / (2*(SUMIFS(Table2[AwayWon], Table2[GameIsOver],1,Table2[AwayTeam],$A52, Table2[HomeTeam], D$36) + SUMIFS(Table2[HomeWon_], Table2[GameIsOver],1,Table2[HomeTeam],$A52, Table2[AwayTeam], D$36) + SUMIFS(Table2[HomeWon_], Table2[GameIsOver],1,Table2[AwayTeam],$A52, Table2[HomeTeam], D$36, Table2[ActualResult], "REG") + SUMIFS(Table2[AwayWon], Table2[GameIsOver],1,Table2[HomeTeam],$A52, Table2[AwayTeam], D$36, Table2[ActualResult], "REG") + SUMIFS(Table2[HomeWon_], Table2[GameIsOver],1,Table2[AwayTeam],$A52, Table2[HomeTeam], D$36, Table2[ActualResult], "OT") + SUMIFS(Table2[AwayWon], Table2[GameIsOver],1,Table2[HomeTeam],$A52, Table2[AwayTeam], D$36, Table2[ActualResult], "OT") + SUMIFS(Table2[HomeWon_], Table2[GameIsOver],1,Table2[AwayTeam],$A52, Table2[HomeTeam], D$36, Table2[ActualResult], "SO") + SUMIFS(Table2[AwayWon], Table2[GameIsOver],1,Table2[HomeTeam],$A52, Table2[AwayTeam], D$36, Table2[ActualResult], "SO"))), "")</f>
        <v/>
      </c>
      <c r="E52" s="58">
        <f>IFERROR(((2*SUMIFS(Table2[AwayWon], Table2[GameIsOver],1,Table2[AwayTeam],$A52, Table2[HomeTeam], E$36) + SUMIFS(Table2[HomeWon_], Table2[GameIsOver],1,Table2[HomeTeam],$A52, Table2[AwayTeam], E$36)) + SUMIFS(Table2[AwayWon], Table2[GameIsOver],1,Table2[HomeTeam],$A52, Table2[AwayTeam], E$36, Table2[ActualResult], "REG") + SUMIFS(Table2[HomeWon_], Table2[GameIsOver],1,Table2[AwayTeam],$A52, Table2[HomeTeam], E$36, Table2[ActualResult], "OT") + SUMIFS(Table2[AwayWon], Table2[GameIsOver],1,Table2[HomeTeam],$A52, Table2[AwayTeam], E$36, Table2[ActualResult], "OT") + SUMIFS(Table2[HomeWon_], Table2[GameIsOver],1,Table2[AwayTeam],$A52, Table2[HomeTeam], E$36, Table2[ActualResult], "SO") + SUMIFS(Table2[AwayWon], Table2[GameIsOver],1,Table2[HomeTeam],$A52, Table2[AwayTeam], E$36, Table2[ActualResult], "SO")) / (2*(SUMIFS(Table2[AwayWon], Table2[GameIsOver],1,Table2[AwayTeam],$A52, Table2[HomeTeam], E$36) + SUMIFS(Table2[HomeWon_], Table2[GameIsOver],1,Table2[HomeTeam],$A52, Table2[AwayTeam], E$36) + SUMIFS(Table2[HomeWon_], Table2[GameIsOver],1,Table2[AwayTeam],$A52, Table2[HomeTeam], E$36, Table2[ActualResult], "REG") + SUMIFS(Table2[AwayWon], Table2[GameIsOver],1,Table2[HomeTeam],$A52, Table2[AwayTeam], E$36, Table2[ActualResult], "REG") + SUMIFS(Table2[HomeWon_], Table2[GameIsOver],1,Table2[AwayTeam],$A52, Table2[HomeTeam], E$36, Table2[ActualResult], "OT") + SUMIFS(Table2[AwayWon], Table2[GameIsOver],1,Table2[HomeTeam],$A52, Table2[AwayTeam], E$36, Table2[ActualResult], "OT") + SUMIFS(Table2[HomeWon_], Table2[GameIsOver],1,Table2[AwayTeam],$A52, Table2[HomeTeam], E$36, Table2[ActualResult], "SO") + SUMIFS(Table2[AwayWon], Table2[GameIsOver],1,Table2[HomeTeam],$A52, Table2[AwayTeam], E$36, Table2[ActualResult], "SO"))), "")</f>
        <v>0.5</v>
      </c>
      <c r="F52" s="58" t="str">
        <f>IFERROR(((2*SUMIFS(Table2[AwayWon], Table2[GameIsOver],1,Table2[AwayTeam],$A52, Table2[HomeTeam], F$36) + SUMIFS(Table2[HomeWon_], Table2[GameIsOver],1,Table2[HomeTeam],$A52, Table2[AwayTeam], F$36)) + SUMIFS(Table2[AwayWon], Table2[GameIsOver],1,Table2[HomeTeam],$A52, Table2[AwayTeam], F$36, Table2[ActualResult], "REG") + SUMIFS(Table2[HomeWon_], Table2[GameIsOver],1,Table2[AwayTeam],$A52, Table2[HomeTeam], F$36, Table2[ActualResult], "OT") + SUMIFS(Table2[AwayWon], Table2[GameIsOver],1,Table2[HomeTeam],$A52, Table2[AwayTeam], F$36, Table2[ActualResult], "OT") + SUMIFS(Table2[HomeWon_], Table2[GameIsOver],1,Table2[AwayTeam],$A52, Table2[HomeTeam], F$36, Table2[ActualResult], "SO") + SUMIFS(Table2[AwayWon], Table2[GameIsOver],1,Table2[HomeTeam],$A52, Table2[AwayTeam], F$36, Table2[ActualResult], "SO")) / (2*(SUMIFS(Table2[AwayWon], Table2[GameIsOver],1,Table2[AwayTeam],$A52, Table2[HomeTeam], F$36) + SUMIFS(Table2[HomeWon_], Table2[GameIsOver],1,Table2[HomeTeam],$A52, Table2[AwayTeam], F$36) + SUMIFS(Table2[HomeWon_], Table2[GameIsOver],1,Table2[AwayTeam],$A52, Table2[HomeTeam], F$36, Table2[ActualResult], "REG") + SUMIFS(Table2[AwayWon], Table2[GameIsOver],1,Table2[HomeTeam],$A52, Table2[AwayTeam], F$36, Table2[ActualResult], "REG") + SUMIFS(Table2[HomeWon_], Table2[GameIsOver],1,Table2[AwayTeam],$A52, Table2[HomeTeam], F$36, Table2[ActualResult], "OT") + SUMIFS(Table2[AwayWon], Table2[GameIsOver],1,Table2[HomeTeam],$A52, Table2[AwayTeam], F$36, Table2[ActualResult], "OT") + SUMIFS(Table2[HomeWon_], Table2[GameIsOver],1,Table2[AwayTeam],$A52, Table2[HomeTeam], F$36, Table2[ActualResult], "SO") + SUMIFS(Table2[AwayWon], Table2[GameIsOver],1,Table2[HomeTeam],$A52, Table2[AwayTeam], F$36, Table2[ActualResult], "SO"))), "")</f>
        <v/>
      </c>
      <c r="G52" s="58" t="str">
        <f>IFERROR(((2*SUMIFS(Table2[AwayWon], Table2[GameIsOver],1,Table2[AwayTeam],$A52, Table2[HomeTeam], G$36) + SUMIFS(Table2[HomeWon_], Table2[GameIsOver],1,Table2[HomeTeam],$A52, Table2[AwayTeam], G$36)) + SUMIFS(Table2[AwayWon], Table2[GameIsOver],1,Table2[HomeTeam],$A52, Table2[AwayTeam], G$36, Table2[ActualResult], "REG") + SUMIFS(Table2[HomeWon_], Table2[GameIsOver],1,Table2[AwayTeam],$A52, Table2[HomeTeam], G$36, Table2[ActualResult], "OT") + SUMIFS(Table2[AwayWon], Table2[GameIsOver],1,Table2[HomeTeam],$A52, Table2[AwayTeam], G$36, Table2[ActualResult], "OT") + SUMIFS(Table2[HomeWon_], Table2[GameIsOver],1,Table2[AwayTeam],$A52, Table2[HomeTeam], G$36, Table2[ActualResult], "SO") + SUMIFS(Table2[AwayWon], Table2[GameIsOver],1,Table2[HomeTeam],$A52, Table2[AwayTeam], G$36, Table2[ActualResult], "SO")) / (2*(SUMIFS(Table2[AwayWon], Table2[GameIsOver],1,Table2[AwayTeam],$A52, Table2[HomeTeam], G$36) + SUMIFS(Table2[HomeWon_], Table2[GameIsOver],1,Table2[HomeTeam],$A52, Table2[AwayTeam], G$36) + SUMIFS(Table2[HomeWon_], Table2[GameIsOver],1,Table2[AwayTeam],$A52, Table2[HomeTeam], G$36, Table2[ActualResult], "REG") + SUMIFS(Table2[AwayWon], Table2[GameIsOver],1,Table2[HomeTeam],$A52, Table2[AwayTeam], G$36, Table2[ActualResult], "REG") + SUMIFS(Table2[HomeWon_], Table2[GameIsOver],1,Table2[AwayTeam],$A52, Table2[HomeTeam], G$36, Table2[ActualResult], "OT") + SUMIFS(Table2[AwayWon], Table2[GameIsOver],1,Table2[HomeTeam],$A52, Table2[AwayTeam], G$36, Table2[ActualResult], "OT") + SUMIFS(Table2[HomeWon_], Table2[GameIsOver],1,Table2[AwayTeam],$A52, Table2[HomeTeam], G$36, Table2[ActualResult], "SO") + SUMIFS(Table2[AwayWon], Table2[GameIsOver],1,Table2[HomeTeam],$A52, Table2[AwayTeam], G$36, Table2[ActualResult], "SO"))), "")</f>
        <v/>
      </c>
      <c r="H52" s="58" t="str">
        <f>IFERROR(((2*SUMIFS(Table2[AwayWon], Table2[GameIsOver],1,Table2[AwayTeam],$A52, Table2[HomeTeam], H$36) + SUMIFS(Table2[HomeWon_], Table2[GameIsOver],1,Table2[HomeTeam],$A52, Table2[AwayTeam], H$36)) + SUMIFS(Table2[AwayWon], Table2[GameIsOver],1,Table2[HomeTeam],$A52, Table2[AwayTeam], H$36, Table2[ActualResult], "REG") + SUMIFS(Table2[HomeWon_], Table2[GameIsOver],1,Table2[AwayTeam],$A52, Table2[HomeTeam], H$36, Table2[ActualResult], "OT") + SUMIFS(Table2[AwayWon], Table2[GameIsOver],1,Table2[HomeTeam],$A52, Table2[AwayTeam], H$36, Table2[ActualResult], "OT") + SUMIFS(Table2[HomeWon_], Table2[GameIsOver],1,Table2[AwayTeam],$A52, Table2[HomeTeam], H$36, Table2[ActualResult], "SO") + SUMIFS(Table2[AwayWon], Table2[GameIsOver],1,Table2[HomeTeam],$A52, Table2[AwayTeam], H$36, Table2[ActualResult], "SO")) / (2*(SUMIFS(Table2[AwayWon], Table2[GameIsOver],1,Table2[AwayTeam],$A52, Table2[HomeTeam], H$36) + SUMIFS(Table2[HomeWon_], Table2[GameIsOver],1,Table2[HomeTeam],$A52, Table2[AwayTeam], H$36) + SUMIFS(Table2[HomeWon_], Table2[GameIsOver],1,Table2[AwayTeam],$A52, Table2[HomeTeam], H$36, Table2[ActualResult], "REG") + SUMIFS(Table2[AwayWon], Table2[GameIsOver],1,Table2[HomeTeam],$A52, Table2[AwayTeam], H$36, Table2[ActualResult], "REG") + SUMIFS(Table2[HomeWon_], Table2[GameIsOver],1,Table2[AwayTeam],$A52, Table2[HomeTeam], H$36, Table2[ActualResult], "OT") + SUMIFS(Table2[AwayWon], Table2[GameIsOver],1,Table2[HomeTeam],$A52, Table2[AwayTeam], H$36, Table2[ActualResult], "OT") + SUMIFS(Table2[HomeWon_], Table2[GameIsOver],1,Table2[AwayTeam],$A52, Table2[HomeTeam], H$36, Table2[ActualResult], "SO") + SUMIFS(Table2[AwayWon], Table2[GameIsOver],1,Table2[HomeTeam],$A52, Table2[AwayTeam], H$36, Table2[ActualResult], "SO"))), "")</f>
        <v/>
      </c>
      <c r="I52" s="59" t="str">
        <f>IFERROR(((2*SUMIFS(Table2[AwayWon], Table2[GameIsOver],1,Table2[AwayTeam],$A52, Table2[HomeTeam], I$36) + SUMIFS(Table2[HomeWon_], Table2[GameIsOver],1,Table2[HomeTeam],$A52, Table2[AwayTeam], I$36)) + SUMIFS(Table2[AwayWon], Table2[GameIsOver],1,Table2[HomeTeam],$A52, Table2[AwayTeam], I$36, Table2[ActualResult], "REG") + SUMIFS(Table2[HomeWon_], Table2[GameIsOver],1,Table2[AwayTeam],$A52, Table2[HomeTeam], I$36, Table2[ActualResult], "OT") + SUMIFS(Table2[AwayWon], Table2[GameIsOver],1,Table2[HomeTeam],$A52, Table2[AwayTeam], I$36, Table2[ActualResult], "OT") + SUMIFS(Table2[HomeWon_], Table2[GameIsOver],1,Table2[AwayTeam],$A52, Table2[HomeTeam], I$36, Table2[ActualResult], "SO") + SUMIFS(Table2[AwayWon], Table2[GameIsOver],1,Table2[HomeTeam],$A52, Table2[AwayTeam], I$36, Table2[ActualResult], "SO")) / (2*(SUMIFS(Table2[AwayWon], Table2[GameIsOver],1,Table2[AwayTeam],$A52, Table2[HomeTeam], I$36) + SUMIFS(Table2[HomeWon_], Table2[GameIsOver],1,Table2[HomeTeam],$A52, Table2[AwayTeam], I$36) + SUMIFS(Table2[HomeWon_], Table2[GameIsOver],1,Table2[AwayTeam],$A52, Table2[HomeTeam], I$36, Table2[ActualResult], "REG") + SUMIFS(Table2[AwayWon], Table2[GameIsOver],1,Table2[HomeTeam],$A52, Table2[AwayTeam], I$36, Table2[ActualResult], "REG") + SUMIFS(Table2[HomeWon_], Table2[GameIsOver],1,Table2[AwayTeam],$A52, Table2[HomeTeam], I$36, Table2[ActualResult], "OT") + SUMIFS(Table2[AwayWon], Table2[GameIsOver],1,Table2[HomeTeam],$A52, Table2[AwayTeam], I$36, Table2[ActualResult], "OT") + SUMIFS(Table2[HomeWon_], Table2[GameIsOver],1,Table2[AwayTeam],$A52, Table2[HomeTeam], I$36, Table2[ActualResult], "SO") + SUMIFS(Table2[AwayWon], Table2[GameIsOver],1,Table2[HomeTeam],$A52, Table2[AwayTeam], I$36, Table2[ActualResult], "SO"))), "")</f>
        <v/>
      </c>
      <c r="J52" s="58" t="str">
        <f>IFERROR(((2*SUMIFS(Table2[AwayWon], Table2[GameIsOver],1,Table2[AwayTeam],$A52, Table2[HomeTeam], J$36) + SUMIFS(Table2[HomeWon_], Table2[GameIsOver],1,Table2[HomeTeam],$A52, Table2[AwayTeam], J$36)) + SUMIFS(Table2[AwayWon], Table2[GameIsOver],1,Table2[HomeTeam],$A52, Table2[AwayTeam], J$36, Table2[ActualResult], "REG") + SUMIFS(Table2[HomeWon_], Table2[GameIsOver],1,Table2[AwayTeam],$A52, Table2[HomeTeam], J$36, Table2[ActualResult], "OT") + SUMIFS(Table2[AwayWon], Table2[GameIsOver],1,Table2[HomeTeam],$A52, Table2[AwayTeam], J$36, Table2[ActualResult], "OT") + SUMIFS(Table2[HomeWon_], Table2[GameIsOver],1,Table2[AwayTeam],$A52, Table2[HomeTeam], J$36, Table2[ActualResult], "SO") + SUMIFS(Table2[AwayWon], Table2[GameIsOver],1,Table2[HomeTeam],$A52, Table2[AwayTeam], J$36, Table2[ActualResult], "SO")) / (2*(SUMIFS(Table2[AwayWon], Table2[GameIsOver],1,Table2[AwayTeam],$A52, Table2[HomeTeam], J$36) + SUMIFS(Table2[HomeWon_], Table2[GameIsOver],1,Table2[HomeTeam],$A52, Table2[AwayTeam], J$36) + SUMIFS(Table2[HomeWon_], Table2[GameIsOver],1,Table2[AwayTeam],$A52, Table2[HomeTeam], J$36, Table2[ActualResult], "REG") + SUMIFS(Table2[AwayWon], Table2[GameIsOver],1,Table2[HomeTeam],$A52, Table2[AwayTeam], J$36, Table2[ActualResult], "REG") + SUMIFS(Table2[HomeWon_], Table2[GameIsOver],1,Table2[AwayTeam],$A52, Table2[HomeTeam], J$36, Table2[ActualResult], "OT") + SUMIFS(Table2[AwayWon], Table2[GameIsOver],1,Table2[HomeTeam],$A52, Table2[AwayTeam], J$36, Table2[ActualResult], "OT") + SUMIFS(Table2[HomeWon_], Table2[GameIsOver],1,Table2[AwayTeam],$A52, Table2[HomeTeam], J$36, Table2[ActualResult], "SO") + SUMIFS(Table2[AwayWon], Table2[GameIsOver],1,Table2[HomeTeam],$A52, Table2[AwayTeam], J$36, Table2[ActualResult], "SO"))), "")</f>
        <v/>
      </c>
      <c r="K52" s="58" t="str">
        <f>IFERROR(((2*SUMIFS(Table2[AwayWon], Table2[GameIsOver],1,Table2[AwayTeam],$A52, Table2[HomeTeam], K$36) + SUMIFS(Table2[HomeWon_], Table2[GameIsOver],1,Table2[HomeTeam],$A52, Table2[AwayTeam], K$36)) + SUMIFS(Table2[AwayWon], Table2[GameIsOver],1,Table2[HomeTeam],$A52, Table2[AwayTeam], K$36, Table2[ActualResult], "REG") + SUMIFS(Table2[HomeWon_], Table2[GameIsOver],1,Table2[AwayTeam],$A52, Table2[HomeTeam], K$36, Table2[ActualResult], "OT") + SUMIFS(Table2[AwayWon], Table2[GameIsOver],1,Table2[HomeTeam],$A52, Table2[AwayTeam], K$36, Table2[ActualResult], "OT") + SUMIFS(Table2[HomeWon_], Table2[GameIsOver],1,Table2[AwayTeam],$A52, Table2[HomeTeam], K$36, Table2[ActualResult], "SO") + SUMIFS(Table2[AwayWon], Table2[GameIsOver],1,Table2[HomeTeam],$A52, Table2[AwayTeam], K$36, Table2[ActualResult], "SO")) / (2*(SUMIFS(Table2[AwayWon], Table2[GameIsOver],1,Table2[AwayTeam],$A52, Table2[HomeTeam], K$36) + SUMIFS(Table2[HomeWon_], Table2[GameIsOver],1,Table2[HomeTeam],$A52, Table2[AwayTeam], K$36) + SUMIFS(Table2[HomeWon_], Table2[GameIsOver],1,Table2[AwayTeam],$A52, Table2[HomeTeam], K$36, Table2[ActualResult], "REG") + SUMIFS(Table2[AwayWon], Table2[GameIsOver],1,Table2[HomeTeam],$A52, Table2[AwayTeam], K$36, Table2[ActualResult], "REG") + SUMIFS(Table2[HomeWon_], Table2[GameIsOver],1,Table2[AwayTeam],$A52, Table2[HomeTeam], K$36, Table2[ActualResult], "OT") + SUMIFS(Table2[AwayWon], Table2[GameIsOver],1,Table2[HomeTeam],$A52, Table2[AwayTeam], K$36, Table2[ActualResult], "OT") + SUMIFS(Table2[HomeWon_], Table2[GameIsOver],1,Table2[AwayTeam],$A52, Table2[HomeTeam], K$36, Table2[ActualResult], "SO") + SUMIFS(Table2[AwayWon], Table2[GameIsOver],1,Table2[HomeTeam],$A52, Table2[AwayTeam], K$36, Table2[ActualResult], "SO"))), "")</f>
        <v/>
      </c>
      <c r="L52" s="58">
        <f>IFERROR(((2*SUMIFS(Table2[AwayWon], Table2[GameIsOver],1,Table2[AwayTeam],$A52, Table2[HomeTeam], L$36) + SUMIFS(Table2[HomeWon_], Table2[GameIsOver],1,Table2[HomeTeam],$A52, Table2[AwayTeam], L$36)) + SUMIFS(Table2[AwayWon], Table2[GameIsOver],1,Table2[HomeTeam],$A52, Table2[AwayTeam], L$36, Table2[ActualResult], "REG") + SUMIFS(Table2[HomeWon_], Table2[GameIsOver],1,Table2[AwayTeam],$A52, Table2[HomeTeam], L$36, Table2[ActualResult], "OT") + SUMIFS(Table2[AwayWon], Table2[GameIsOver],1,Table2[HomeTeam],$A52, Table2[AwayTeam], L$36, Table2[ActualResult], "OT") + SUMIFS(Table2[HomeWon_], Table2[GameIsOver],1,Table2[AwayTeam],$A52, Table2[HomeTeam], L$36, Table2[ActualResult], "SO") + SUMIFS(Table2[AwayWon], Table2[GameIsOver],1,Table2[HomeTeam],$A52, Table2[AwayTeam], L$36, Table2[ActualResult], "SO")) / (2*(SUMIFS(Table2[AwayWon], Table2[GameIsOver],1,Table2[AwayTeam],$A52, Table2[HomeTeam], L$36) + SUMIFS(Table2[HomeWon_], Table2[GameIsOver],1,Table2[HomeTeam],$A52, Table2[AwayTeam], L$36) + SUMIFS(Table2[HomeWon_], Table2[GameIsOver],1,Table2[AwayTeam],$A52, Table2[HomeTeam], L$36, Table2[ActualResult], "REG") + SUMIFS(Table2[AwayWon], Table2[GameIsOver],1,Table2[HomeTeam],$A52, Table2[AwayTeam], L$36, Table2[ActualResult], "REG") + SUMIFS(Table2[HomeWon_], Table2[GameIsOver],1,Table2[AwayTeam],$A52, Table2[HomeTeam], L$36, Table2[ActualResult], "OT") + SUMIFS(Table2[AwayWon], Table2[GameIsOver],1,Table2[HomeTeam],$A52, Table2[AwayTeam], L$36, Table2[ActualResult], "OT") + SUMIFS(Table2[HomeWon_], Table2[GameIsOver],1,Table2[AwayTeam],$A52, Table2[HomeTeam], L$36, Table2[ActualResult], "SO") + SUMIFS(Table2[AwayWon], Table2[GameIsOver],1,Table2[HomeTeam],$A52, Table2[AwayTeam], L$36, Table2[ActualResult], "SO"))), "")</f>
        <v>0.5</v>
      </c>
      <c r="M52" s="58" t="str">
        <f>IFERROR(((2*SUMIFS(Table2[AwayWon], Table2[GameIsOver],1,Table2[AwayTeam],$A52, Table2[HomeTeam], M$36) + SUMIFS(Table2[HomeWon_], Table2[GameIsOver],1,Table2[HomeTeam],$A52, Table2[AwayTeam], M$36)) + SUMIFS(Table2[AwayWon], Table2[GameIsOver],1,Table2[HomeTeam],$A52, Table2[AwayTeam], M$36, Table2[ActualResult], "REG") + SUMIFS(Table2[HomeWon_], Table2[GameIsOver],1,Table2[AwayTeam],$A52, Table2[HomeTeam], M$36, Table2[ActualResult], "OT") + SUMIFS(Table2[AwayWon], Table2[GameIsOver],1,Table2[HomeTeam],$A52, Table2[AwayTeam], M$36, Table2[ActualResult], "OT") + SUMIFS(Table2[HomeWon_], Table2[GameIsOver],1,Table2[AwayTeam],$A52, Table2[HomeTeam], M$36, Table2[ActualResult], "SO") + SUMIFS(Table2[AwayWon], Table2[GameIsOver],1,Table2[HomeTeam],$A52, Table2[AwayTeam], M$36, Table2[ActualResult], "SO")) / (2*(SUMIFS(Table2[AwayWon], Table2[GameIsOver],1,Table2[AwayTeam],$A52, Table2[HomeTeam], M$36) + SUMIFS(Table2[HomeWon_], Table2[GameIsOver],1,Table2[HomeTeam],$A52, Table2[AwayTeam], M$36) + SUMIFS(Table2[HomeWon_], Table2[GameIsOver],1,Table2[AwayTeam],$A52, Table2[HomeTeam], M$36, Table2[ActualResult], "REG") + SUMIFS(Table2[AwayWon], Table2[GameIsOver],1,Table2[HomeTeam],$A52, Table2[AwayTeam], M$36, Table2[ActualResult], "REG") + SUMIFS(Table2[HomeWon_], Table2[GameIsOver],1,Table2[AwayTeam],$A52, Table2[HomeTeam], M$36, Table2[ActualResult], "OT") + SUMIFS(Table2[AwayWon], Table2[GameIsOver],1,Table2[HomeTeam],$A52, Table2[AwayTeam], M$36, Table2[ActualResult], "OT") + SUMIFS(Table2[HomeWon_], Table2[GameIsOver],1,Table2[AwayTeam],$A52, Table2[HomeTeam], M$36, Table2[ActualResult], "SO") + SUMIFS(Table2[AwayWon], Table2[GameIsOver],1,Table2[HomeTeam],$A52, Table2[AwayTeam], M$36, Table2[ActualResult], "SO"))), "")</f>
        <v/>
      </c>
      <c r="N52" s="58">
        <f>IFERROR(((2*SUMIFS(Table2[AwayWon], Table2[GameIsOver],1,Table2[AwayTeam],$A52, Table2[HomeTeam], N$36) + SUMIFS(Table2[HomeWon_], Table2[GameIsOver],1,Table2[HomeTeam],$A52, Table2[AwayTeam], N$36)) + SUMIFS(Table2[AwayWon], Table2[GameIsOver],1,Table2[HomeTeam],$A52, Table2[AwayTeam], N$36, Table2[ActualResult], "REG") + SUMIFS(Table2[HomeWon_], Table2[GameIsOver],1,Table2[AwayTeam],$A52, Table2[HomeTeam], N$36, Table2[ActualResult], "OT") + SUMIFS(Table2[AwayWon], Table2[GameIsOver],1,Table2[HomeTeam],$A52, Table2[AwayTeam], N$36, Table2[ActualResult], "OT") + SUMIFS(Table2[HomeWon_], Table2[GameIsOver],1,Table2[AwayTeam],$A52, Table2[HomeTeam], N$36, Table2[ActualResult], "SO") + SUMIFS(Table2[AwayWon], Table2[GameIsOver],1,Table2[HomeTeam],$A52, Table2[AwayTeam], N$36, Table2[ActualResult], "SO")) / (2*(SUMIFS(Table2[AwayWon], Table2[GameIsOver],1,Table2[AwayTeam],$A52, Table2[HomeTeam], N$36) + SUMIFS(Table2[HomeWon_], Table2[GameIsOver],1,Table2[HomeTeam],$A52, Table2[AwayTeam], N$36) + SUMIFS(Table2[HomeWon_], Table2[GameIsOver],1,Table2[AwayTeam],$A52, Table2[HomeTeam], N$36, Table2[ActualResult], "REG") + SUMIFS(Table2[AwayWon], Table2[GameIsOver],1,Table2[HomeTeam],$A52, Table2[AwayTeam], N$36, Table2[ActualResult], "REG") + SUMIFS(Table2[HomeWon_], Table2[GameIsOver],1,Table2[AwayTeam],$A52, Table2[HomeTeam], N$36, Table2[ActualResult], "OT") + SUMIFS(Table2[AwayWon], Table2[GameIsOver],1,Table2[HomeTeam],$A52, Table2[AwayTeam], N$36, Table2[ActualResult], "OT") + SUMIFS(Table2[HomeWon_], Table2[GameIsOver],1,Table2[AwayTeam],$A52, Table2[HomeTeam], N$36, Table2[ActualResult], "SO") + SUMIFS(Table2[AwayWon], Table2[GameIsOver],1,Table2[HomeTeam],$A52, Table2[AwayTeam], N$36, Table2[ActualResult], "SO"))), "")</f>
        <v>0.5</v>
      </c>
      <c r="O52" s="58" t="str">
        <f>IFERROR(((2*SUMIFS(Table2[AwayWon], Table2[GameIsOver],1,Table2[AwayTeam],$A52, Table2[HomeTeam], O$36) + SUMIFS(Table2[HomeWon_], Table2[GameIsOver],1,Table2[HomeTeam],$A52, Table2[AwayTeam], O$36)) + SUMIFS(Table2[AwayWon], Table2[GameIsOver],1,Table2[HomeTeam],$A52, Table2[AwayTeam], O$36, Table2[ActualResult], "REG") + SUMIFS(Table2[HomeWon_], Table2[GameIsOver],1,Table2[AwayTeam],$A52, Table2[HomeTeam], O$36, Table2[ActualResult], "OT") + SUMIFS(Table2[AwayWon], Table2[GameIsOver],1,Table2[HomeTeam],$A52, Table2[AwayTeam], O$36, Table2[ActualResult], "OT") + SUMIFS(Table2[HomeWon_], Table2[GameIsOver],1,Table2[AwayTeam],$A52, Table2[HomeTeam], O$36, Table2[ActualResult], "SO") + SUMIFS(Table2[AwayWon], Table2[GameIsOver],1,Table2[HomeTeam],$A52, Table2[AwayTeam], O$36, Table2[ActualResult], "SO")) / (2*(SUMIFS(Table2[AwayWon], Table2[GameIsOver],1,Table2[AwayTeam],$A52, Table2[HomeTeam], O$36) + SUMIFS(Table2[HomeWon_], Table2[GameIsOver],1,Table2[HomeTeam],$A52, Table2[AwayTeam], O$36) + SUMIFS(Table2[HomeWon_], Table2[GameIsOver],1,Table2[AwayTeam],$A52, Table2[HomeTeam], O$36, Table2[ActualResult], "REG") + SUMIFS(Table2[AwayWon], Table2[GameIsOver],1,Table2[HomeTeam],$A52, Table2[AwayTeam], O$36, Table2[ActualResult], "REG") + SUMIFS(Table2[HomeWon_], Table2[GameIsOver],1,Table2[AwayTeam],$A52, Table2[HomeTeam], O$36, Table2[ActualResult], "OT") + SUMIFS(Table2[AwayWon], Table2[GameIsOver],1,Table2[HomeTeam],$A52, Table2[AwayTeam], O$36, Table2[ActualResult], "OT") + SUMIFS(Table2[HomeWon_], Table2[GameIsOver],1,Table2[AwayTeam],$A52, Table2[HomeTeam], O$36, Table2[ActualResult], "SO") + SUMIFS(Table2[AwayWon], Table2[GameIsOver],1,Table2[HomeTeam],$A52, Table2[AwayTeam], O$36, Table2[ActualResult], "SO"))), "")</f>
        <v/>
      </c>
      <c r="P52" s="58" t="str">
        <f>IFERROR(((2*SUMIFS(Table2[AwayWon], Table2[GameIsOver],1,Table2[AwayTeam],$A52, Table2[HomeTeam], P$36) + SUMIFS(Table2[HomeWon_], Table2[GameIsOver],1,Table2[HomeTeam],$A52, Table2[AwayTeam], P$36)) + SUMIFS(Table2[AwayWon], Table2[GameIsOver],1,Table2[HomeTeam],$A52, Table2[AwayTeam], P$36, Table2[ActualResult], "REG") + SUMIFS(Table2[HomeWon_], Table2[GameIsOver],1,Table2[AwayTeam],$A52, Table2[HomeTeam], P$36, Table2[ActualResult], "OT") + SUMIFS(Table2[AwayWon], Table2[GameIsOver],1,Table2[HomeTeam],$A52, Table2[AwayTeam], P$36, Table2[ActualResult], "OT") + SUMIFS(Table2[HomeWon_], Table2[GameIsOver],1,Table2[AwayTeam],$A52, Table2[HomeTeam], P$36, Table2[ActualResult], "SO") + SUMIFS(Table2[AwayWon], Table2[GameIsOver],1,Table2[HomeTeam],$A52, Table2[AwayTeam], P$36, Table2[ActualResult], "SO")) / (2*(SUMIFS(Table2[AwayWon], Table2[GameIsOver],1,Table2[AwayTeam],$A52, Table2[HomeTeam], P$36) + SUMIFS(Table2[HomeWon_], Table2[GameIsOver],1,Table2[HomeTeam],$A52, Table2[AwayTeam], P$36) + SUMIFS(Table2[HomeWon_], Table2[GameIsOver],1,Table2[AwayTeam],$A52, Table2[HomeTeam], P$36, Table2[ActualResult], "REG") + SUMIFS(Table2[AwayWon], Table2[GameIsOver],1,Table2[HomeTeam],$A52, Table2[AwayTeam], P$36, Table2[ActualResult], "REG") + SUMIFS(Table2[HomeWon_], Table2[GameIsOver],1,Table2[AwayTeam],$A52, Table2[HomeTeam], P$36, Table2[ActualResult], "OT") + SUMIFS(Table2[AwayWon], Table2[GameIsOver],1,Table2[HomeTeam],$A52, Table2[AwayTeam], P$36, Table2[ActualResult], "OT") + SUMIFS(Table2[HomeWon_], Table2[GameIsOver],1,Table2[AwayTeam],$A52, Table2[HomeTeam], P$36, Table2[ActualResult], "SO") + SUMIFS(Table2[AwayWon], Table2[GameIsOver],1,Table2[HomeTeam],$A52, Table2[AwayTeam], P$36, Table2[ActualResult], "SO"))), "")</f>
        <v/>
      </c>
      <c r="Q52" s="99" t="str">
        <f>IFERROR(((2*SUMIFS(Table2[AwayWon], Table2[GameIsOver],1,Table2[AwayTeam],$A52, Table2[HomeTeam], Q$36) + SUMIFS(Table2[HomeWon_], Table2[GameIsOver],1,Table2[HomeTeam],$A52, Table2[AwayTeam], Q$36)) + SUMIFS(Table2[AwayWon], Table2[GameIsOver],1,Table2[HomeTeam],$A52, Table2[AwayTeam], Q$36, Table2[ActualResult], "REG") + SUMIFS(Table2[HomeWon_], Table2[GameIsOver],1,Table2[AwayTeam],$A52, Table2[HomeTeam], Q$36, Table2[ActualResult], "OT") + SUMIFS(Table2[AwayWon], Table2[GameIsOver],1,Table2[HomeTeam],$A52, Table2[AwayTeam], Q$36, Table2[ActualResult], "OT") + SUMIFS(Table2[HomeWon_], Table2[GameIsOver],1,Table2[AwayTeam],$A52, Table2[HomeTeam], Q$36, Table2[ActualResult], "SO") + SUMIFS(Table2[AwayWon], Table2[GameIsOver],1,Table2[HomeTeam],$A52, Table2[AwayTeam], Q$36, Table2[ActualResult], "SO")) / (2*(SUMIFS(Table2[AwayWon], Table2[GameIsOver],1,Table2[AwayTeam],$A52, Table2[HomeTeam], Q$36) + SUMIFS(Table2[HomeWon_], Table2[GameIsOver],1,Table2[HomeTeam],$A52, Table2[AwayTeam], Q$36) + SUMIFS(Table2[HomeWon_], Table2[GameIsOver],1,Table2[AwayTeam],$A52, Table2[HomeTeam], Q$36, Table2[ActualResult], "REG") + SUMIFS(Table2[AwayWon], Table2[GameIsOver],1,Table2[HomeTeam],$A52, Table2[AwayTeam], Q$36, Table2[ActualResult], "REG") + SUMIFS(Table2[HomeWon_], Table2[GameIsOver],1,Table2[AwayTeam],$A52, Table2[HomeTeam], Q$36, Table2[ActualResult], "OT") + SUMIFS(Table2[AwayWon], Table2[GameIsOver],1,Table2[HomeTeam],$A52, Table2[AwayTeam], Q$36, Table2[ActualResult], "OT") + SUMIFS(Table2[HomeWon_], Table2[GameIsOver],1,Table2[AwayTeam],$A52, Table2[HomeTeam], Q$36, Table2[ActualResult], "SO") + SUMIFS(Table2[AwayWon], Table2[GameIsOver],1,Table2[HomeTeam],$A52, Table2[AwayTeam], Q$36, Table2[ActualResult], "SO"))), "")</f>
        <v/>
      </c>
      <c r="R52" s="58" t="str">
        <f>IFERROR(((2*SUMIFS(Table2[AwayWon], Table2[GameIsOver],1,Table2[AwayTeam],$A52, Table2[HomeTeam], R$36) + SUMIFS(Table2[HomeWon_], Table2[GameIsOver],1,Table2[HomeTeam],$A52, Table2[AwayTeam], R$36)) + SUMIFS(Table2[AwayWon], Table2[GameIsOver],1,Table2[HomeTeam],$A52, Table2[AwayTeam], R$36, Table2[ActualResult], "REG") + SUMIFS(Table2[HomeWon_], Table2[GameIsOver],1,Table2[AwayTeam],$A52, Table2[HomeTeam], R$36, Table2[ActualResult], "OT") + SUMIFS(Table2[AwayWon], Table2[GameIsOver],1,Table2[HomeTeam],$A52, Table2[AwayTeam], R$36, Table2[ActualResult], "OT") + SUMIFS(Table2[HomeWon_], Table2[GameIsOver],1,Table2[AwayTeam],$A52, Table2[HomeTeam], R$36, Table2[ActualResult], "SO") + SUMIFS(Table2[AwayWon], Table2[GameIsOver],1,Table2[HomeTeam],$A52, Table2[AwayTeam], R$36, Table2[ActualResult], "SO")) / (2*(SUMIFS(Table2[AwayWon], Table2[GameIsOver],1,Table2[AwayTeam],$A52, Table2[HomeTeam], R$36) + SUMIFS(Table2[HomeWon_], Table2[GameIsOver],1,Table2[HomeTeam],$A52, Table2[AwayTeam], R$36) + SUMIFS(Table2[HomeWon_], Table2[GameIsOver],1,Table2[AwayTeam],$A52, Table2[HomeTeam], R$36, Table2[ActualResult], "REG") + SUMIFS(Table2[AwayWon], Table2[GameIsOver],1,Table2[HomeTeam],$A52, Table2[AwayTeam], R$36, Table2[ActualResult], "REG") + SUMIFS(Table2[HomeWon_], Table2[GameIsOver],1,Table2[AwayTeam],$A52, Table2[HomeTeam], R$36, Table2[ActualResult], "OT") + SUMIFS(Table2[AwayWon], Table2[GameIsOver],1,Table2[HomeTeam],$A52, Table2[AwayTeam], R$36, Table2[ActualResult], "OT") + SUMIFS(Table2[HomeWon_], Table2[GameIsOver],1,Table2[AwayTeam],$A52, Table2[HomeTeam], R$36, Table2[ActualResult], "SO") + SUMIFS(Table2[AwayWon], Table2[GameIsOver],1,Table2[HomeTeam],$A52, Table2[AwayTeam], R$36, Table2[ActualResult], "SO"))), "")</f>
        <v/>
      </c>
      <c r="S52" s="58" t="str">
        <f>IFERROR(((2*SUMIFS(Table2[AwayWon], Table2[GameIsOver],1,Table2[AwayTeam],$A52, Table2[HomeTeam], S$36) + SUMIFS(Table2[HomeWon_], Table2[GameIsOver],1,Table2[HomeTeam],$A52, Table2[AwayTeam], S$36)) + SUMIFS(Table2[AwayWon], Table2[GameIsOver],1,Table2[HomeTeam],$A52, Table2[AwayTeam], S$36, Table2[ActualResult], "REG") + SUMIFS(Table2[HomeWon_], Table2[GameIsOver],1,Table2[AwayTeam],$A52, Table2[HomeTeam], S$36, Table2[ActualResult], "OT") + SUMIFS(Table2[AwayWon], Table2[GameIsOver],1,Table2[HomeTeam],$A52, Table2[AwayTeam], S$36, Table2[ActualResult], "OT") + SUMIFS(Table2[HomeWon_], Table2[GameIsOver],1,Table2[AwayTeam],$A52, Table2[HomeTeam], S$36, Table2[ActualResult], "SO") + SUMIFS(Table2[AwayWon], Table2[GameIsOver],1,Table2[HomeTeam],$A52, Table2[AwayTeam], S$36, Table2[ActualResult], "SO")) / (2*(SUMIFS(Table2[AwayWon], Table2[GameIsOver],1,Table2[AwayTeam],$A52, Table2[HomeTeam], S$36) + SUMIFS(Table2[HomeWon_], Table2[GameIsOver],1,Table2[HomeTeam],$A52, Table2[AwayTeam], S$36) + SUMIFS(Table2[HomeWon_], Table2[GameIsOver],1,Table2[AwayTeam],$A52, Table2[HomeTeam], S$36, Table2[ActualResult], "REG") + SUMIFS(Table2[AwayWon], Table2[GameIsOver],1,Table2[HomeTeam],$A52, Table2[AwayTeam], S$36, Table2[ActualResult], "REG") + SUMIFS(Table2[HomeWon_], Table2[GameIsOver],1,Table2[AwayTeam],$A52, Table2[HomeTeam], S$36, Table2[ActualResult], "OT") + SUMIFS(Table2[AwayWon], Table2[GameIsOver],1,Table2[HomeTeam],$A52, Table2[AwayTeam], S$36, Table2[ActualResult], "OT") + SUMIFS(Table2[HomeWon_], Table2[GameIsOver],1,Table2[AwayTeam],$A52, Table2[HomeTeam], S$36, Table2[ActualResult], "SO") + SUMIFS(Table2[AwayWon], Table2[GameIsOver],1,Table2[HomeTeam],$A52, Table2[AwayTeam], S$36, Table2[ActualResult], "SO"))), "")</f>
        <v/>
      </c>
      <c r="T52" s="58" t="str">
        <f>IFERROR(((2*SUMIFS(Table2[AwayWon], Table2[GameIsOver],1,Table2[AwayTeam],$A52, Table2[HomeTeam], T$36) + SUMIFS(Table2[HomeWon_], Table2[GameIsOver],1,Table2[HomeTeam],$A52, Table2[AwayTeam], T$36)) + SUMIFS(Table2[AwayWon], Table2[GameIsOver],1,Table2[HomeTeam],$A52, Table2[AwayTeam], T$36, Table2[ActualResult], "REG") + SUMIFS(Table2[HomeWon_], Table2[GameIsOver],1,Table2[AwayTeam],$A52, Table2[HomeTeam], T$36, Table2[ActualResult], "OT") + SUMIFS(Table2[AwayWon], Table2[GameIsOver],1,Table2[HomeTeam],$A52, Table2[AwayTeam], T$36, Table2[ActualResult], "OT") + SUMIFS(Table2[HomeWon_], Table2[GameIsOver],1,Table2[AwayTeam],$A52, Table2[HomeTeam], T$36, Table2[ActualResult], "SO") + SUMIFS(Table2[AwayWon], Table2[GameIsOver],1,Table2[HomeTeam],$A52, Table2[AwayTeam], T$36, Table2[ActualResult], "SO")) / (2*(SUMIFS(Table2[AwayWon], Table2[GameIsOver],1,Table2[AwayTeam],$A52, Table2[HomeTeam], T$36) + SUMIFS(Table2[HomeWon_], Table2[GameIsOver],1,Table2[HomeTeam],$A52, Table2[AwayTeam], T$36) + SUMIFS(Table2[HomeWon_], Table2[GameIsOver],1,Table2[AwayTeam],$A52, Table2[HomeTeam], T$36, Table2[ActualResult], "REG") + SUMIFS(Table2[AwayWon], Table2[GameIsOver],1,Table2[HomeTeam],$A52, Table2[AwayTeam], T$36, Table2[ActualResult], "REG") + SUMIFS(Table2[HomeWon_], Table2[GameIsOver],1,Table2[AwayTeam],$A52, Table2[HomeTeam], T$36, Table2[ActualResult], "OT") + SUMIFS(Table2[AwayWon], Table2[GameIsOver],1,Table2[HomeTeam],$A52, Table2[AwayTeam], T$36, Table2[ActualResult], "OT") + SUMIFS(Table2[HomeWon_], Table2[GameIsOver],1,Table2[AwayTeam],$A52, Table2[HomeTeam], T$36, Table2[ActualResult], "SO") + SUMIFS(Table2[AwayWon], Table2[GameIsOver],1,Table2[HomeTeam],$A52, Table2[AwayTeam], T$36, Table2[ActualResult], "SO"))), "")</f>
        <v/>
      </c>
      <c r="U52" s="58">
        <f>IFERROR(((2*SUMIFS(Table2[AwayWon], Table2[GameIsOver],1,Table2[AwayTeam],$A52, Table2[HomeTeam], U$36) + SUMIFS(Table2[HomeWon_], Table2[GameIsOver],1,Table2[HomeTeam],$A52, Table2[AwayTeam], U$36)) + SUMIFS(Table2[AwayWon], Table2[GameIsOver],1,Table2[HomeTeam],$A52, Table2[AwayTeam], U$36, Table2[ActualResult], "REG") + SUMIFS(Table2[HomeWon_], Table2[GameIsOver],1,Table2[AwayTeam],$A52, Table2[HomeTeam], U$36, Table2[ActualResult], "OT") + SUMIFS(Table2[AwayWon], Table2[GameIsOver],1,Table2[HomeTeam],$A52, Table2[AwayTeam], U$36, Table2[ActualResult], "OT") + SUMIFS(Table2[HomeWon_], Table2[GameIsOver],1,Table2[AwayTeam],$A52, Table2[HomeTeam], U$36, Table2[ActualResult], "SO") + SUMIFS(Table2[AwayWon], Table2[GameIsOver],1,Table2[HomeTeam],$A52, Table2[AwayTeam], U$36, Table2[ActualResult], "SO")) / (2*(SUMIFS(Table2[AwayWon], Table2[GameIsOver],1,Table2[AwayTeam],$A52, Table2[HomeTeam], U$36) + SUMIFS(Table2[HomeWon_], Table2[GameIsOver],1,Table2[HomeTeam],$A52, Table2[AwayTeam], U$36) + SUMIFS(Table2[HomeWon_], Table2[GameIsOver],1,Table2[AwayTeam],$A52, Table2[HomeTeam], U$36, Table2[ActualResult], "REG") + SUMIFS(Table2[AwayWon], Table2[GameIsOver],1,Table2[HomeTeam],$A52, Table2[AwayTeam], U$36, Table2[ActualResult], "REG") + SUMIFS(Table2[HomeWon_], Table2[GameIsOver],1,Table2[AwayTeam],$A52, Table2[HomeTeam], U$36, Table2[ActualResult], "OT") + SUMIFS(Table2[AwayWon], Table2[GameIsOver],1,Table2[HomeTeam],$A52, Table2[AwayTeam], U$36, Table2[ActualResult], "OT") + SUMIFS(Table2[HomeWon_], Table2[GameIsOver],1,Table2[AwayTeam],$A52, Table2[HomeTeam], U$36, Table2[ActualResult], "SO") + SUMIFS(Table2[AwayWon], Table2[GameIsOver],1,Table2[HomeTeam],$A52, Table2[AwayTeam], U$36, Table2[ActualResult], "SO"))), "")</f>
        <v>1</v>
      </c>
      <c r="V52" s="58" t="str">
        <f>IFERROR(((2*SUMIFS(Table2[AwayWon], Table2[GameIsOver],1,Table2[AwayTeam],$A52, Table2[HomeTeam], V$36) + SUMIFS(Table2[HomeWon_], Table2[GameIsOver],1,Table2[HomeTeam],$A52, Table2[AwayTeam], V$36)) + SUMIFS(Table2[AwayWon], Table2[GameIsOver],1,Table2[HomeTeam],$A52, Table2[AwayTeam], V$36, Table2[ActualResult], "REG") + SUMIFS(Table2[HomeWon_], Table2[GameIsOver],1,Table2[AwayTeam],$A52, Table2[HomeTeam], V$36, Table2[ActualResult], "OT") + SUMIFS(Table2[AwayWon], Table2[GameIsOver],1,Table2[HomeTeam],$A52, Table2[AwayTeam], V$36, Table2[ActualResult], "OT") + SUMIFS(Table2[HomeWon_], Table2[GameIsOver],1,Table2[AwayTeam],$A52, Table2[HomeTeam], V$36, Table2[ActualResult], "SO") + SUMIFS(Table2[AwayWon], Table2[GameIsOver],1,Table2[HomeTeam],$A52, Table2[AwayTeam], V$36, Table2[ActualResult], "SO")) / (2*(SUMIFS(Table2[AwayWon], Table2[GameIsOver],1,Table2[AwayTeam],$A52, Table2[HomeTeam], V$36) + SUMIFS(Table2[HomeWon_], Table2[GameIsOver],1,Table2[HomeTeam],$A52, Table2[AwayTeam], V$36) + SUMIFS(Table2[HomeWon_], Table2[GameIsOver],1,Table2[AwayTeam],$A52, Table2[HomeTeam], V$36, Table2[ActualResult], "REG") + SUMIFS(Table2[AwayWon], Table2[GameIsOver],1,Table2[HomeTeam],$A52, Table2[AwayTeam], V$36, Table2[ActualResult], "REG") + SUMIFS(Table2[HomeWon_], Table2[GameIsOver],1,Table2[AwayTeam],$A52, Table2[HomeTeam], V$36, Table2[ActualResult], "OT") + SUMIFS(Table2[AwayWon], Table2[GameIsOver],1,Table2[HomeTeam],$A52, Table2[AwayTeam], V$36, Table2[ActualResult], "OT") + SUMIFS(Table2[HomeWon_], Table2[GameIsOver],1,Table2[AwayTeam],$A52, Table2[HomeTeam], V$36, Table2[ActualResult], "SO") + SUMIFS(Table2[AwayWon], Table2[GameIsOver],1,Table2[HomeTeam],$A52, Table2[AwayTeam], V$36, Table2[ActualResult], "SO"))), "")</f>
        <v/>
      </c>
      <c r="W52" s="58">
        <f>IFERROR(((2*SUMIFS(Table2[AwayWon], Table2[GameIsOver],1,Table2[AwayTeam],$A52, Table2[HomeTeam], W$36) + SUMIFS(Table2[HomeWon_], Table2[GameIsOver],1,Table2[HomeTeam],$A52, Table2[AwayTeam], W$36)) + SUMIFS(Table2[AwayWon], Table2[GameIsOver],1,Table2[HomeTeam],$A52, Table2[AwayTeam], W$36, Table2[ActualResult], "REG") + SUMIFS(Table2[HomeWon_], Table2[GameIsOver],1,Table2[AwayTeam],$A52, Table2[HomeTeam], W$36, Table2[ActualResult], "OT") + SUMIFS(Table2[AwayWon], Table2[GameIsOver],1,Table2[HomeTeam],$A52, Table2[AwayTeam], W$36, Table2[ActualResult], "OT") + SUMIFS(Table2[HomeWon_], Table2[GameIsOver],1,Table2[AwayTeam],$A52, Table2[HomeTeam], W$36, Table2[ActualResult], "SO") + SUMIFS(Table2[AwayWon], Table2[GameIsOver],1,Table2[HomeTeam],$A52, Table2[AwayTeam], W$36, Table2[ActualResult], "SO")) / (2*(SUMIFS(Table2[AwayWon], Table2[GameIsOver],1,Table2[AwayTeam],$A52, Table2[HomeTeam], W$36) + SUMIFS(Table2[HomeWon_], Table2[GameIsOver],1,Table2[HomeTeam],$A52, Table2[AwayTeam], W$36) + SUMIFS(Table2[HomeWon_], Table2[GameIsOver],1,Table2[AwayTeam],$A52, Table2[HomeTeam], W$36, Table2[ActualResult], "REG") + SUMIFS(Table2[AwayWon], Table2[GameIsOver],1,Table2[HomeTeam],$A52, Table2[AwayTeam], W$36, Table2[ActualResult], "REG") + SUMIFS(Table2[HomeWon_], Table2[GameIsOver],1,Table2[AwayTeam],$A52, Table2[HomeTeam], W$36, Table2[ActualResult], "OT") + SUMIFS(Table2[AwayWon], Table2[GameIsOver],1,Table2[HomeTeam],$A52, Table2[AwayTeam], W$36, Table2[ActualResult], "OT") + SUMIFS(Table2[HomeWon_], Table2[GameIsOver],1,Table2[AwayTeam],$A52, Table2[HomeTeam], W$36, Table2[ActualResult], "SO") + SUMIFS(Table2[AwayWon], Table2[GameIsOver],1,Table2[HomeTeam],$A52, Table2[AwayTeam], W$36, Table2[ActualResult], "SO"))), "")</f>
        <v>1</v>
      </c>
      <c r="X52" s="58" t="str">
        <f>IFERROR(((2*SUMIFS(Table2[AwayWon], Table2[GameIsOver],1,Table2[AwayTeam],$A52, Table2[HomeTeam], X$36) + SUMIFS(Table2[HomeWon_], Table2[GameIsOver],1,Table2[HomeTeam],$A52, Table2[AwayTeam], X$36)) + SUMIFS(Table2[AwayWon], Table2[GameIsOver],1,Table2[HomeTeam],$A52, Table2[AwayTeam], X$36, Table2[ActualResult], "REG") + SUMIFS(Table2[HomeWon_], Table2[GameIsOver],1,Table2[AwayTeam],$A52, Table2[HomeTeam], X$36, Table2[ActualResult], "OT") + SUMIFS(Table2[AwayWon], Table2[GameIsOver],1,Table2[HomeTeam],$A52, Table2[AwayTeam], X$36, Table2[ActualResult], "OT") + SUMIFS(Table2[HomeWon_], Table2[GameIsOver],1,Table2[AwayTeam],$A52, Table2[HomeTeam], X$36, Table2[ActualResult], "SO") + SUMIFS(Table2[AwayWon], Table2[GameIsOver],1,Table2[HomeTeam],$A52, Table2[AwayTeam], X$36, Table2[ActualResult], "SO")) / (2*(SUMIFS(Table2[AwayWon], Table2[GameIsOver],1,Table2[AwayTeam],$A52, Table2[HomeTeam], X$36) + SUMIFS(Table2[HomeWon_], Table2[GameIsOver],1,Table2[HomeTeam],$A52, Table2[AwayTeam], X$36) + SUMIFS(Table2[HomeWon_], Table2[GameIsOver],1,Table2[AwayTeam],$A52, Table2[HomeTeam], X$36, Table2[ActualResult], "REG") + SUMIFS(Table2[AwayWon], Table2[GameIsOver],1,Table2[HomeTeam],$A52, Table2[AwayTeam], X$36, Table2[ActualResult], "REG") + SUMIFS(Table2[HomeWon_], Table2[GameIsOver],1,Table2[AwayTeam],$A52, Table2[HomeTeam], X$36, Table2[ActualResult], "OT") + SUMIFS(Table2[AwayWon], Table2[GameIsOver],1,Table2[HomeTeam],$A52, Table2[AwayTeam], X$36, Table2[ActualResult], "OT") + SUMIFS(Table2[HomeWon_], Table2[GameIsOver],1,Table2[AwayTeam],$A52, Table2[HomeTeam], X$36, Table2[ActualResult], "SO") + SUMIFS(Table2[AwayWon], Table2[GameIsOver],1,Table2[HomeTeam],$A52, Table2[AwayTeam], X$36, Table2[ActualResult], "SO"))), "")</f>
        <v/>
      </c>
      <c r="Y52" s="59" t="str">
        <f>IFERROR(((2*SUMIFS(Table2[AwayWon], Table2[GameIsOver],1,Table2[AwayTeam],$A52, Table2[HomeTeam], Y$36) + SUMIFS(Table2[HomeWon_], Table2[GameIsOver],1,Table2[HomeTeam],$A52, Table2[AwayTeam], Y$36)) + SUMIFS(Table2[AwayWon], Table2[GameIsOver],1,Table2[HomeTeam],$A52, Table2[AwayTeam], Y$36, Table2[ActualResult], "REG") + SUMIFS(Table2[HomeWon_], Table2[GameIsOver],1,Table2[AwayTeam],$A52, Table2[HomeTeam], Y$36, Table2[ActualResult], "OT") + SUMIFS(Table2[AwayWon], Table2[GameIsOver],1,Table2[HomeTeam],$A52, Table2[AwayTeam], Y$36, Table2[ActualResult], "OT") + SUMIFS(Table2[HomeWon_], Table2[GameIsOver],1,Table2[AwayTeam],$A52, Table2[HomeTeam], Y$36, Table2[ActualResult], "SO") + SUMIFS(Table2[AwayWon], Table2[GameIsOver],1,Table2[HomeTeam],$A52, Table2[AwayTeam], Y$36, Table2[ActualResult], "SO")) / (2*(SUMIFS(Table2[AwayWon], Table2[GameIsOver],1,Table2[AwayTeam],$A52, Table2[HomeTeam], Y$36) + SUMIFS(Table2[HomeWon_], Table2[GameIsOver],1,Table2[HomeTeam],$A52, Table2[AwayTeam], Y$36) + SUMIFS(Table2[HomeWon_], Table2[GameIsOver],1,Table2[AwayTeam],$A52, Table2[HomeTeam], Y$36, Table2[ActualResult], "REG") + SUMIFS(Table2[AwayWon], Table2[GameIsOver],1,Table2[HomeTeam],$A52, Table2[AwayTeam], Y$36, Table2[ActualResult], "REG") + SUMIFS(Table2[HomeWon_], Table2[GameIsOver],1,Table2[AwayTeam],$A52, Table2[HomeTeam], Y$36, Table2[ActualResult], "OT") + SUMIFS(Table2[AwayWon], Table2[GameIsOver],1,Table2[HomeTeam],$A52, Table2[AwayTeam], Y$36, Table2[ActualResult], "OT") + SUMIFS(Table2[HomeWon_], Table2[GameIsOver],1,Table2[AwayTeam],$A52, Table2[HomeTeam], Y$36, Table2[ActualResult], "SO") + SUMIFS(Table2[AwayWon], Table2[GameIsOver],1,Table2[HomeTeam],$A52, Table2[AwayTeam], Y$36, Table2[ActualResult], "SO"))), "")</f>
        <v/>
      </c>
      <c r="Z52" s="58" t="str">
        <f>IFERROR(((2*SUMIFS(Table2[AwayWon], Table2[GameIsOver],1,Table2[AwayTeam],$A52, Table2[HomeTeam], Z$36) + SUMIFS(Table2[HomeWon_], Table2[GameIsOver],1,Table2[HomeTeam],$A52, Table2[AwayTeam], Z$36)) + SUMIFS(Table2[AwayWon], Table2[GameIsOver],1,Table2[HomeTeam],$A52, Table2[AwayTeam], Z$36, Table2[ActualResult], "REG") + SUMIFS(Table2[HomeWon_], Table2[GameIsOver],1,Table2[AwayTeam],$A52, Table2[HomeTeam], Z$36, Table2[ActualResult], "OT") + SUMIFS(Table2[AwayWon], Table2[GameIsOver],1,Table2[HomeTeam],$A52, Table2[AwayTeam], Z$36, Table2[ActualResult], "OT") + SUMIFS(Table2[HomeWon_], Table2[GameIsOver],1,Table2[AwayTeam],$A52, Table2[HomeTeam], Z$36, Table2[ActualResult], "SO") + SUMIFS(Table2[AwayWon], Table2[GameIsOver],1,Table2[HomeTeam],$A52, Table2[AwayTeam], Z$36, Table2[ActualResult], "SO")) / (2*(SUMIFS(Table2[AwayWon], Table2[GameIsOver],1,Table2[AwayTeam],$A52, Table2[HomeTeam], Z$36) + SUMIFS(Table2[HomeWon_], Table2[GameIsOver],1,Table2[HomeTeam],$A52, Table2[AwayTeam], Z$36) + SUMIFS(Table2[HomeWon_], Table2[GameIsOver],1,Table2[AwayTeam],$A52, Table2[HomeTeam], Z$36, Table2[ActualResult], "REG") + SUMIFS(Table2[AwayWon], Table2[GameIsOver],1,Table2[HomeTeam],$A52, Table2[AwayTeam], Z$36, Table2[ActualResult], "REG") + SUMIFS(Table2[HomeWon_], Table2[GameIsOver],1,Table2[AwayTeam],$A52, Table2[HomeTeam], Z$36, Table2[ActualResult], "OT") + SUMIFS(Table2[AwayWon], Table2[GameIsOver],1,Table2[HomeTeam],$A52, Table2[AwayTeam], Z$36, Table2[ActualResult], "OT") + SUMIFS(Table2[HomeWon_], Table2[GameIsOver],1,Table2[AwayTeam],$A52, Table2[HomeTeam], Z$36, Table2[ActualResult], "SO") + SUMIFS(Table2[AwayWon], Table2[GameIsOver],1,Table2[HomeTeam],$A52, Table2[AwayTeam], Z$36, Table2[ActualResult], "SO"))), "")</f>
        <v/>
      </c>
      <c r="AA52" s="58" t="str">
        <f>IFERROR(((2*SUMIFS(Table2[AwayWon], Table2[GameIsOver],1,Table2[AwayTeam],$A52, Table2[HomeTeam], AA$36) + SUMIFS(Table2[HomeWon_], Table2[GameIsOver],1,Table2[HomeTeam],$A52, Table2[AwayTeam], AA$36)) + SUMIFS(Table2[AwayWon], Table2[GameIsOver],1,Table2[HomeTeam],$A52, Table2[AwayTeam], AA$36, Table2[ActualResult], "REG") + SUMIFS(Table2[HomeWon_], Table2[GameIsOver],1,Table2[AwayTeam],$A52, Table2[HomeTeam], AA$36, Table2[ActualResult], "OT") + SUMIFS(Table2[AwayWon], Table2[GameIsOver],1,Table2[HomeTeam],$A52, Table2[AwayTeam], AA$36, Table2[ActualResult], "OT") + SUMIFS(Table2[HomeWon_], Table2[GameIsOver],1,Table2[AwayTeam],$A52, Table2[HomeTeam], AA$36, Table2[ActualResult], "SO") + SUMIFS(Table2[AwayWon], Table2[GameIsOver],1,Table2[HomeTeam],$A52, Table2[AwayTeam], AA$36, Table2[ActualResult], "SO")) / (2*(SUMIFS(Table2[AwayWon], Table2[GameIsOver],1,Table2[AwayTeam],$A52, Table2[HomeTeam], AA$36) + SUMIFS(Table2[HomeWon_], Table2[GameIsOver],1,Table2[HomeTeam],$A52, Table2[AwayTeam], AA$36) + SUMIFS(Table2[HomeWon_], Table2[GameIsOver],1,Table2[AwayTeam],$A52, Table2[HomeTeam], AA$36, Table2[ActualResult], "REG") + SUMIFS(Table2[AwayWon], Table2[GameIsOver],1,Table2[HomeTeam],$A52, Table2[AwayTeam], AA$36, Table2[ActualResult], "REG") + SUMIFS(Table2[HomeWon_], Table2[GameIsOver],1,Table2[AwayTeam],$A52, Table2[HomeTeam], AA$36, Table2[ActualResult], "OT") + SUMIFS(Table2[AwayWon], Table2[GameIsOver],1,Table2[HomeTeam],$A52, Table2[AwayTeam], AA$36, Table2[ActualResult], "OT") + SUMIFS(Table2[HomeWon_], Table2[GameIsOver],1,Table2[AwayTeam],$A52, Table2[HomeTeam], AA$36, Table2[ActualResult], "SO") + SUMIFS(Table2[AwayWon], Table2[GameIsOver],1,Table2[HomeTeam],$A52, Table2[AwayTeam], AA$36, Table2[ActualResult], "SO"))), "")</f>
        <v/>
      </c>
      <c r="AB52" s="58" t="str">
        <f>IFERROR(((2*SUMIFS(Table2[AwayWon], Table2[GameIsOver],1,Table2[AwayTeam],$A52, Table2[HomeTeam], AB$36) + SUMIFS(Table2[HomeWon_], Table2[GameIsOver],1,Table2[HomeTeam],$A52, Table2[AwayTeam], AB$36)) + SUMIFS(Table2[AwayWon], Table2[GameIsOver],1,Table2[HomeTeam],$A52, Table2[AwayTeam], AB$36, Table2[ActualResult], "REG") + SUMIFS(Table2[HomeWon_], Table2[GameIsOver],1,Table2[AwayTeam],$A52, Table2[HomeTeam], AB$36, Table2[ActualResult], "OT") + SUMIFS(Table2[AwayWon], Table2[GameIsOver],1,Table2[HomeTeam],$A52, Table2[AwayTeam], AB$36, Table2[ActualResult], "OT") + SUMIFS(Table2[HomeWon_], Table2[GameIsOver],1,Table2[AwayTeam],$A52, Table2[HomeTeam], AB$36, Table2[ActualResult], "SO") + SUMIFS(Table2[AwayWon], Table2[GameIsOver],1,Table2[HomeTeam],$A52, Table2[AwayTeam], AB$36, Table2[ActualResult], "SO")) / (2*(SUMIFS(Table2[AwayWon], Table2[GameIsOver],1,Table2[AwayTeam],$A52, Table2[HomeTeam], AB$36) + SUMIFS(Table2[HomeWon_], Table2[GameIsOver],1,Table2[HomeTeam],$A52, Table2[AwayTeam], AB$36) + SUMIFS(Table2[HomeWon_], Table2[GameIsOver],1,Table2[AwayTeam],$A52, Table2[HomeTeam], AB$36, Table2[ActualResult], "REG") + SUMIFS(Table2[AwayWon], Table2[GameIsOver],1,Table2[HomeTeam],$A52, Table2[AwayTeam], AB$36, Table2[ActualResult], "REG") + SUMIFS(Table2[HomeWon_], Table2[GameIsOver],1,Table2[AwayTeam],$A52, Table2[HomeTeam], AB$36, Table2[ActualResult], "OT") + SUMIFS(Table2[AwayWon], Table2[GameIsOver],1,Table2[HomeTeam],$A52, Table2[AwayTeam], AB$36, Table2[ActualResult], "OT") + SUMIFS(Table2[HomeWon_], Table2[GameIsOver],1,Table2[AwayTeam],$A52, Table2[HomeTeam], AB$36, Table2[ActualResult], "SO") + SUMIFS(Table2[AwayWon], Table2[GameIsOver],1,Table2[HomeTeam],$A52, Table2[AwayTeam], AB$36, Table2[ActualResult], "SO"))), "")</f>
        <v/>
      </c>
      <c r="AC52" s="58" t="str">
        <f>IFERROR(((2*SUMIFS(Table2[AwayWon], Table2[GameIsOver],1,Table2[AwayTeam],$A52, Table2[HomeTeam], AC$36) + SUMIFS(Table2[HomeWon_], Table2[GameIsOver],1,Table2[HomeTeam],$A52, Table2[AwayTeam], AC$36)) + SUMIFS(Table2[AwayWon], Table2[GameIsOver],1,Table2[HomeTeam],$A52, Table2[AwayTeam], AC$36, Table2[ActualResult], "REG") + SUMIFS(Table2[HomeWon_], Table2[GameIsOver],1,Table2[AwayTeam],$A52, Table2[HomeTeam], AC$36, Table2[ActualResult], "OT") + SUMIFS(Table2[AwayWon], Table2[GameIsOver],1,Table2[HomeTeam],$A52, Table2[AwayTeam], AC$36, Table2[ActualResult], "OT") + SUMIFS(Table2[HomeWon_], Table2[GameIsOver],1,Table2[AwayTeam],$A52, Table2[HomeTeam], AC$36, Table2[ActualResult], "SO") + SUMIFS(Table2[AwayWon], Table2[GameIsOver],1,Table2[HomeTeam],$A52, Table2[AwayTeam], AC$36, Table2[ActualResult], "SO")) / (2*(SUMIFS(Table2[AwayWon], Table2[GameIsOver],1,Table2[AwayTeam],$A52, Table2[HomeTeam], AC$36) + SUMIFS(Table2[HomeWon_], Table2[GameIsOver],1,Table2[HomeTeam],$A52, Table2[AwayTeam], AC$36) + SUMIFS(Table2[HomeWon_], Table2[GameIsOver],1,Table2[AwayTeam],$A52, Table2[HomeTeam], AC$36, Table2[ActualResult], "REG") + SUMIFS(Table2[AwayWon], Table2[GameIsOver],1,Table2[HomeTeam],$A52, Table2[AwayTeam], AC$36, Table2[ActualResult], "REG") + SUMIFS(Table2[HomeWon_], Table2[GameIsOver],1,Table2[AwayTeam],$A52, Table2[HomeTeam], AC$36, Table2[ActualResult], "OT") + SUMIFS(Table2[AwayWon], Table2[GameIsOver],1,Table2[HomeTeam],$A52, Table2[AwayTeam], AC$36, Table2[ActualResult], "OT") + SUMIFS(Table2[HomeWon_], Table2[GameIsOver],1,Table2[AwayTeam],$A52, Table2[HomeTeam], AC$36, Table2[ActualResult], "SO") + SUMIFS(Table2[AwayWon], Table2[GameIsOver],1,Table2[HomeTeam],$A52, Table2[AwayTeam], AC$36, Table2[ActualResult], "SO"))), "")</f>
        <v/>
      </c>
      <c r="AD52" s="58" t="str">
        <f>IFERROR(((2*SUMIFS(Table2[AwayWon], Table2[GameIsOver],1,Table2[AwayTeam],$A52, Table2[HomeTeam], AD$36) + SUMIFS(Table2[HomeWon_], Table2[GameIsOver],1,Table2[HomeTeam],$A52, Table2[AwayTeam], AD$36)) + SUMIFS(Table2[AwayWon], Table2[GameIsOver],1,Table2[HomeTeam],$A52, Table2[AwayTeam], AD$36, Table2[ActualResult], "REG") + SUMIFS(Table2[HomeWon_], Table2[GameIsOver],1,Table2[AwayTeam],$A52, Table2[HomeTeam], AD$36, Table2[ActualResult], "OT") + SUMIFS(Table2[AwayWon], Table2[GameIsOver],1,Table2[HomeTeam],$A52, Table2[AwayTeam], AD$36, Table2[ActualResult], "OT") + SUMIFS(Table2[HomeWon_], Table2[GameIsOver],1,Table2[AwayTeam],$A52, Table2[HomeTeam], AD$36, Table2[ActualResult], "SO") + SUMIFS(Table2[AwayWon], Table2[GameIsOver],1,Table2[HomeTeam],$A52, Table2[AwayTeam], AD$36, Table2[ActualResult], "SO")) / (2*(SUMIFS(Table2[AwayWon], Table2[GameIsOver],1,Table2[AwayTeam],$A52, Table2[HomeTeam], AD$36) + SUMIFS(Table2[HomeWon_], Table2[GameIsOver],1,Table2[HomeTeam],$A52, Table2[AwayTeam], AD$36) + SUMIFS(Table2[HomeWon_], Table2[GameIsOver],1,Table2[AwayTeam],$A52, Table2[HomeTeam], AD$36, Table2[ActualResult], "REG") + SUMIFS(Table2[AwayWon], Table2[GameIsOver],1,Table2[HomeTeam],$A52, Table2[AwayTeam], AD$36, Table2[ActualResult], "REG") + SUMIFS(Table2[HomeWon_], Table2[GameIsOver],1,Table2[AwayTeam],$A52, Table2[HomeTeam], AD$36, Table2[ActualResult], "OT") + SUMIFS(Table2[AwayWon], Table2[GameIsOver],1,Table2[HomeTeam],$A52, Table2[AwayTeam], AD$36, Table2[ActualResult], "OT") + SUMIFS(Table2[HomeWon_], Table2[GameIsOver],1,Table2[AwayTeam],$A52, Table2[HomeTeam], AD$36, Table2[ActualResult], "SO") + SUMIFS(Table2[AwayWon], Table2[GameIsOver],1,Table2[HomeTeam],$A52, Table2[AwayTeam], AD$36, Table2[ActualResult], "SO"))), "")</f>
        <v/>
      </c>
      <c r="AE52" s="58" t="str">
        <f>IFERROR(((2*SUMIFS(Table2[AwayWon], Table2[GameIsOver],1,Table2[AwayTeam],$A52, Table2[HomeTeam], AE$36) + SUMIFS(Table2[HomeWon_], Table2[GameIsOver],1,Table2[HomeTeam],$A52, Table2[AwayTeam], AE$36)) + SUMIFS(Table2[AwayWon], Table2[GameIsOver],1,Table2[HomeTeam],$A52, Table2[AwayTeam], AE$36, Table2[ActualResult], "REG") + SUMIFS(Table2[HomeWon_], Table2[GameIsOver],1,Table2[AwayTeam],$A52, Table2[HomeTeam], AE$36, Table2[ActualResult], "OT") + SUMIFS(Table2[AwayWon], Table2[GameIsOver],1,Table2[HomeTeam],$A52, Table2[AwayTeam], AE$36, Table2[ActualResult], "OT") + SUMIFS(Table2[HomeWon_], Table2[GameIsOver],1,Table2[AwayTeam],$A52, Table2[HomeTeam], AE$36, Table2[ActualResult], "SO") + SUMIFS(Table2[AwayWon], Table2[GameIsOver],1,Table2[HomeTeam],$A52, Table2[AwayTeam], AE$36, Table2[ActualResult], "SO")) / (2*(SUMIFS(Table2[AwayWon], Table2[GameIsOver],1,Table2[AwayTeam],$A52, Table2[HomeTeam], AE$36) + SUMIFS(Table2[HomeWon_], Table2[GameIsOver],1,Table2[HomeTeam],$A52, Table2[AwayTeam], AE$36) + SUMIFS(Table2[HomeWon_], Table2[GameIsOver],1,Table2[AwayTeam],$A52, Table2[HomeTeam], AE$36, Table2[ActualResult], "REG") + SUMIFS(Table2[AwayWon], Table2[GameIsOver],1,Table2[HomeTeam],$A52, Table2[AwayTeam], AE$36, Table2[ActualResult], "REG") + SUMIFS(Table2[HomeWon_], Table2[GameIsOver],1,Table2[AwayTeam],$A52, Table2[HomeTeam], AE$36, Table2[ActualResult], "OT") + SUMIFS(Table2[AwayWon], Table2[GameIsOver],1,Table2[HomeTeam],$A52, Table2[AwayTeam], AE$36, Table2[ActualResult], "OT") + SUMIFS(Table2[HomeWon_], Table2[GameIsOver],1,Table2[AwayTeam],$A52, Table2[HomeTeam], AE$36, Table2[ActualResult], "SO") + SUMIFS(Table2[AwayWon], Table2[GameIsOver],1,Table2[HomeTeam],$A52, Table2[AwayTeam], AE$36, Table2[ActualResult], "SO"))), "")</f>
        <v/>
      </c>
      <c r="AF52" s="58" t="str">
        <f>IFERROR(((2*SUMIFS(Table2[AwayWon], Table2[GameIsOver],1,Table2[AwayTeam],$A52, Table2[HomeTeam], AF$36) + SUMIFS(Table2[HomeWon_], Table2[GameIsOver],1,Table2[HomeTeam],$A52, Table2[AwayTeam], AF$36)) + SUMIFS(Table2[AwayWon], Table2[GameIsOver],1,Table2[HomeTeam],$A52, Table2[AwayTeam], AF$36, Table2[ActualResult], "REG") + SUMIFS(Table2[HomeWon_], Table2[GameIsOver],1,Table2[AwayTeam],$A52, Table2[HomeTeam], AF$36, Table2[ActualResult], "OT") + SUMIFS(Table2[AwayWon], Table2[GameIsOver],1,Table2[HomeTeam],$A52, Table2[AwayTeam], AF$36, Table2[ActualResult], "OT") + SUMIFS(Table2[HomeWon_], Table2[GameIsOver],1,Table2[AwayTeam],$A52, Table2[HomeTeam], AF$36, Table2[ActualResult], "SO") + SUMIFS(Table2[AwayWon], Table2[GameIsOver],1,Table2[HomeTeam],$A52, Table2[AwayTeam], AF$36, Table2[ActualResult], "SO")) / (2*(SUMIFS(Table2[AwayWon], Table2[GameIsOver],1,Table2[AwayTeam],$A52, Table2[HomeTeam], AF$36) + SUMIFS(Table2[HomeWon_], Table2[GameIsOver],1,Table2[HomeTeam],$A52, Table2[AwayTeam], AF$36) + SUMIFS(Table2[HomeWon_], Table2[GameIsOver],1,Table2[AwayTeam],$A52, Table2[HomeTeam], AF$36, Table2[ActualResult], "REG") + SUMIFS(Table2[AwayWon], Table2[GameIsOver],1,Table2[HomeTeam],$A52, Table2[AwayTeam], AF$36, Table2[ActualResult], "REG") + SUMIFS(Table2[HomeWon_], Table2[GameIsOver],1,Table2[AwayTeam],$A52, Table2[HomeTeam], AF$36, Table2[ActualResult], "OT") + SUMIFS(Table2[AwayWon], Table2[GameIsOver],1,Table2[HomeTeam],$A52, Table2[AwayTeam], AF$36, Table2[ActualResult], "OT") + SUMIFS(Table2[HomeWon_], Table2[GameIsOver],1,Table2[AwayTeam],$A52, Table2[HomeTeam], AF$36, Table2[ActualResult], "SO") + SUMIFS(Table2[AwayWon], Table2[GameIsOver],1,Table2[HomeTeam],$A52, Table2[AwayTeam], AF$36, Table2[ActualResult], "SO"))), "")</f>
        <v/>
      </c>
      <c r="AG52" s="59" t="str">
        <f>IFERROR(((2*SUMIFS(Table2[AwayWon], Table2[GameIsOver],1,Table2[AwayTeam],$A52, Table2[HomeTeam], AG$36) + SUMIFS(Table2[HomeWon_], Table2[GameIsOver],1,Table2[HomeTeam],$A52, Table2[AwayTeam], AG$36)) + SUMIFS(Table2[AwayWon], Table2[GameIsOver],1,Table2[HomeTeam],$A52, Table2[AwayTeam], AG$36, Table2[ActualResult], "REG") + SUMIFS(Table2[HomeWon_], Table2[GameIsOver],1,Table2[AwayTeam],$A52, Table2[HomeTeam], AG$36, Table2[ActualResult], "OT") + SUMIFS(Table2[AwayWon], Table2[GameIsOver],1,Table2[HomeTeam],$A52, Table2[AwayTeam], AG$36, Table2[ActualResult], "OT") + SUMIFS(Table2[HomeWon_], Table2[GameIsOver],1,Table2[AwayTeam],$A52, Table2[HomeTeam], AG$36, Table2[ActualResult], "SO") + SUMIFS(Table2[AwayWon], Table2[GameIsOver],1,Table2[HomeTeam],$A52, Table2[AwayTeam], AG$36, Table2[ActualResult], "SO")) / (2*(SUMIFS(Table2[AwayWon], Table2[GameIsOver],1,Table2[AwayTeam],$A52, Table2[HomeTeam], AG$36) + SUMIFS(Table2[HomeWon_], Table2[GameIsOver],1,Table2[HomeTeam],$A52, Table2[AwayTeam], AG$36) + SUMIFS(Table2[HomeWon_], Table2[GameIsOver],1,Table2[AwayTeam],$A52, Table2[HomeTeam], AG$36, Table2[ActualResult], "REG") + SUMIFS(Table2[AwayWon], Table2[GameIsOver],1,Table2[HomeTeam],$A52, Table2[AwayTeam], AG$36, Table2[ActualResult], "REG") + SUMIFS(Table2[HomeWon_], Table2[GameIsOver],1,Table2[AwayTeam],$A52, Table2[HomeTeam], AG$36, Table2[ActualResult], "OT") + SUMIFS(Table2[AwayWon], Table2[GameIsOver],1,Table2[HomeTeam],$A52, Table2[AwayTeam], AG$36, Table2[ActualResult], "OT") + SUMIFS(Table2[HomeWon_], Table2[GameIsOver],1,Table2[AwayTeam],$A52, Table2[HomeTeam], AG$36, Table2[ActualResult], "SO") + SUMIFS(Table2[AwayWon], Table2[GameIsOver],1,Table2[HomeTeam],$A52, Table2[AwayTeam], AG$36, Table2[ActualResult], "SO"))), "")</f>
        <v/>
      </c>
      <c r="AH52" s="102">
        <f t="shared" si="0"/>
        <v>1</v>
      </c>
      <c r="AI52" s="102">
        <f t="shared" si="1"/>
        <v>0.625</v>
      </c>
      <c r="AJ52" s="104" t="e">
        <f t="shared" si="2"/>
        <v>#DIV/0!</v>
      </c>
      <c r="AK52" s="104">
        <f t="shared" si="3"/>
        <v>1</v>
      </c>
      <c r="AL52" s="104">
        <f t="shared" si="4"/>
        <v>0.5</v>
      </c>
      <c r="AM52" s="104">
        <f t="shared" si="5"/>
        <v>0.75</v>
      </c>
    </row>
    <row r="53" spans="1:39" ht="15.75" thickTop="1" x14ac:dyDescent="0.25">
      <c r="A53" s="57" t="s">
        <v>41</v>
      </c>
      <c r="B53" s="24">
        <f>IFERROR(((2*SUMIFS(Table2[AwayWon], Table2[GameIsOver],1,Table2[AwayTeam],$A53, Table2[HomeTeam], B$36) + SUMIFS(Table2[HomeWon_], Table2[GameIsOver],1,Table2[HomeTeam],$A53, Table2[AwayTeam], B$36)) + SUMIFS(Table2[AwayWon], Table2[GameIsOver],1,Table2[HomeTeam],$A53, Table2[AwayTeam], B$36, Table2[ActualResult], "REG") + SUMIFS(Table2[HomeWon_], Table2[GameIsOver],1,Table2[AwayTeam],$A53, Table2[HomeTeam], B$36, Table2[ActualResult], "OT") + SUMIFS(Table2[AwayWon], Table2[GameIsOver],1,Table2[HomeTeam],$A53, Table2[AwayTeam], B$36, Table2[ActualResult], "OT") + SUMIFS(Table2[HomeWon_], Table2[GameIsOver],1,Table2[AwayTeam],$A53, Table2[HomeTeam], B$36, Table2[ActualResult], "SO") + SUMIFS(Table2[AwayWon], Table2[GameIsOver],1,Table2[HomeTeam],$A53, Table2[AwayTeam], B$36, Table2[ActualResult], "SO")) / (2*(SUMIFS(Table2[AwayWon], Table2[GameIsOver],1,Table2[AwayTeam],$A53, Table2[HomeTeam], B$36) + SUMIFS(Table2[HomeWon_], Table2[GameIsOver],1,Table2[HomeTeam],$A53, Table2[AwayTeam], B$36) + SUMIFS(Table2[HomeWon_], Table2[GameIsOver],1,Table2[AwayTeam],$A53, Table2[HomeTeam], B$36, Table2[ActualResult], "REG") + SUMIFS(Table2[AwayWon], Table2[GameIsOver],1,Table2[HomeTeam],$A53, Table2[AwayTeam], B$36, Table2[ActualResult], "REG") + SUMIFS(Table2[HomeWon_], Table2[GameIsOver],1,Table2[AwayTeam],$A53, Table2[HomeTeam], B$36, Table2[ActualResult], "OT") + SUMIFS(Table2[AwayWon], Table2[GameIsOver],1,Table2[HomeTeam],$A53, Table2[AwayTeam], B$36, Table2[ActualResult], "OT") + SUMIFS(Table2[HomeWon_], Table2[GameIsOver],1,Table2[AwayTeam],$A53, Table2[HomeTeam], B$36, Table2[ActualResult], "SO") + SUMIFS(Table2[AwayWon], Table2[GameIsOver],1,Table2[HomeTeam],$A53, Table2[AwayTeam], B$36, Table2[ActualResult], "SO"))), "")</f>
        <v>1</v>
      </c>
      <c r="C53" s="24" t="str">
        <f>IFERROR(((2*SUMIFS(Table2[AwayWon], Table2[GameIsOver],1,Table2[AwayTeam],$A53, Table2[HomeTeam], C$36) + SUMIFS(Table2[HomeWon_], Table2[GameIsOver],1,Table2[HomeTeam],$A53, Table2[AwayTeam], C$36)) + SUMIFS(Table2[AwayWon], Table2[GameIsOver],1,Table2[HomeTeam],$A53, Table2[AwayTeam], C$36, Table2[ActualResult], "REG") + SUMIFS(Table2[HomeWon_], Table2[GameIsOver],1,Table2[AwayTeam],$A53, Table2[HomeTeam], C$36, Table2[ActualResult], "OT") + SUMIFS(Table2[AwayWon], Table2[GameIsOver],1,Table2[HomeTeam],$A53, Table2[AwayTeam], C$36, Table2[ActualResult], "OT") + SUMIFS(Table2[HomeWon_], Table2[GameIsOver],1,Table2[AwayTeam],$A53, Table2[HomeTeam], C$36, Table2[ActualResult], "SO") + SUMIFS(Table2[AwayWon], Table2[GameIsOver],1,Table2[HomeTeam],$A53, Table2[AwayTeam], C$36, Table2[ActualResult], "SO")) / (2*(SUMIFS(Table2[AwayWon], Table2[GameIsOver],1,Table2[AwayTeam],$A53, Table2[HomeTeam], C$36) + SUMIFS(Table2[HomeWon_], Table2[GameIsOver],1,Table2[HomeTeam],$A53, Table2[AwayTeam], C$36) + SUMIFS(Table2[HomeWon_], Table2[GameIsOver],1,Table2[AwayTeam],$A53, Table2[HomeTeam], C$36, Table2[ActualResult], "REG") + SUMIFS(Table2[AwayWon], Table2[GameIsOver],1,Table2[HomeTeam],$A53, Table2[AwayTeam], C$36, Table2[ActualResult], "REG") + SUMIFS(Table2[HomeWon_], Table2[GameIsOver],1,Table2[AwayTeam],$A53, Table2[HomeTeam], C$36, Table2[ActualResult], "OT") + SUMIFS(Table2[AwayWon], Table2[GameIsOver],1,Table2[HomeTeam],$A53, Table2[AwayTeam], C$36, Table2[ActualResult], "OT") + SUMIFS(Table2[HomeWon_], Table2[GameIsOver],1,Table2[AwayTeam],$A53, Table2[HomeTeam], C$36, Table2[ActualResult], "SO") + SUMIFS(Table2[AwayWon], Table2[GameIsOver],1,Table2[HomeTeam],$A53, Table2[AwayTeam], C$36, Table2[ActualResult], "SO"))), "")</f>
        <v/>
      </c>
      <c r="D53" t="str">
        <f>IFERROR(((2*SUMIFS(Table2[AwayWon], Table2[GameIsOver],1,Table2[AwayTeam],$A53, Table2[HomeTeam], D$36) + SUMIFS(Table2[HomeWon_], Table2[GameIsOver],1,Table2[HomeTeam],$A53, Table2[AwayTeam], D$36)) + SUMIFS(Table2[AwayWon], Table2[GameIsOver],1,Table2[HomeTeam],$A53, Table2[AwayTeam], D$36, Table2[ActualResult], "REG") + SUMIFS(Table2[HomeWon_], Table2[GameIsOver],1,Table2[AwayTeam],$A53, Table2[HomeTeam], D$36, Table2[ActualResult], "OT") + SUMIFS(Table2[AwayWon], Table2[GameIsOver],1,Table2[HomeTeam],$A53, Table2[AwayTeam], D$36, Table2[ActualResult], "OT") + SUMIFS(Table2[HomeWon_], Table2[GameIsOver],1,Table2[AwayTeam],$A53, Table2[HomeTeam], D$36, Table2[ActualResult], "SO") + SUMIFS(Table2[AwayWon], Table2[GameIsOver],1,Table2[HomeTeam],$A53, Table2[AwayTeam], D$36, Table2[ActualResult], "SO")) / (2*(SUMIFS(Table2[AwayWon], Table2[GameIsOver],1,Table2[AwayTeam],$A53, Table2[HomeTeam], D$36) + SUMIFS(Table2[HomeWon_], Table2[GameIsOver],1,Table2[HomeTeam],$A53, Table2[AwayTeam], D$36) + SUMIFS(Table2[HomeWon_], Table2[GameIsOver],1,Table2[AwayTeam],$A53, Table2[HomeTeam], D$36, Table2[ActualResult], "REG") + SUMIFS(Table2[AwayWon], Table2[GameIsOver],1,Table2[HomeTeam],$A53, Table2[AwayTeam], D$36, Table2[ActualResult], "REG") + SUMIFS(Table2[HomeWon_], Table2[GameIsOver],1,Table2[AwayTeam],$A53, Table2[HomeTeam], D$36, Table2[ActualResult], "OT") + SUMIFS(Table2[AwayWon], Table2[GameIsOver],1,Table2[HomeTeam],$A53, Table2[AwayTeam], D$36, Table2[ActualResult], "OT") + SUMIFS(Table2[HomeWon_], Table2[GameIsOver],1,Table2[AwayTeam],$A53, Table2[HomeTeam], D$36, Table2[ActualResult], "SO") + SUMIFS(Table2[AwayWon], Table2[GameIsOver],1,Table2[HomeTeam],$A53, Table2[AwayTeam], D$36, Table2[ActualResult], "SO"))), "")</f>
        <v/>
      </c>
      <c r="E53">
        <f>IFERROR(((2*SUMIFS(Table2[AwayWon], Table2[GameIsOver],1,Table2[AwayTeam],$A53, Table2[HomeTeam], E$36) + SUMIFS(Table2[HomeWon_], Table2[GameIsOver],1,Table2[HomeTeam],$A53, Table2[AwayTeam], E$36)) + SUMIFS(Table2[AwayWon], Table2[GameIsOver],1,Table2[HomeTeam],$A53, Table2[AwayTeam], E$36, Table2[ActualResult], "REG") + SUMIFS(Table2[HomeWon_], Table2[GameIsOver],1,Table2[AwayTeam],$A53, Table2[HomeTeam], E$36, Table2[ActualResult], "OT") + SUMIFS(Table2[AwayWon], Table2[GameIsOver],1,Table2[HomeTeam],$A53, Table2[AwayTeam], E$36, Table2[ActualResult], "OT") + SUMIFS(Table2[HomeWon_], Table2[GameIsOver],1,Table2[AwayTeam],$A53, Table2[HomeTeam], E$36, Table2[ActualResult], "SO") + SUMIFS(Table2[AwayWon], Table2[GameIsOver],1,Table2[HomeTeam],$A53, Table2[AwayTeam], E$36, Table2[ActualResult], "SO")) / (2*(SUMIFS(Table2[AwayWon], Table2[GameIsOver],1,Table2[AwayTeam],$A53, Table2[HomeTeam], E$36) + SUMIFS(Table2[HomeWon_], Table2[GameIsOver],1,Table2[HomeTeam],$A53, Table2[AwayTeam], E$36) + SUMIFS(Table2[HomeWon_], Table2[GameIsOver],1,Table2[AwayTeam],$A53, Table2[HomeTeam], E$36, Table2[ActualResult], "REG") + SUMIFS(Table2[AwayWon], Table2[GameIsOver],1,Table2[HomeTeam],$A53, Table2[AwayTeam], E$36, Table2[ActualResult], "REG") + SUMIFS(Table2[HomeWon_], Table2[GameIsOver],1,Table2[AwayTeam],$A53, Table2[HomeTeam], E$36, Table2[ActualResult], "OT") + SUMIFS(Table2[AwayWon], Table2[GameIsOver],1,Table2[HomeTeam],$A53, Table2[AwayTeam], E$36, Table2[ActualResult], "OT") + SUMIFS(Table2[HomeWon_], Table2[GameIsOver],1,Table2[AwayTeam],$A53, Table2[HomeTeam], E$36, Table2[ActualResult], "SO") + SUMIFS(Table2[AwayWon], Table2[GameIsOver],1,Table2[HomeTeam],$A53, Table2[AwayTeam], E$36, Table2[ActualResult], "SO"))), "")</f>
        <v>1</v>
      </c>
      <c r="F53" t="str">
        <f>IFERROR(((2*SUMIFS(Table2[AwayWon], Table2[GameIsOver],1,Table2[AwayTeam],$A53, Table2[HomeTeam], F$36) + SUMIFS(Table2[HomeWon_], Table2[GameIsOver],1,Table2[HomeTeam],$A53, Table2[AwayTeam], F$36)) + SUMIFS(Table2[AwayWon], Table2[GameIsOver],1,Table2[HomeTeam],$A53, Table2[AwayTeam], F$36, Table2[ActualResult], "REG") + SUMIFS(Table2[HomeWon_], Table2[GameIsOver],1,Table2[AwayTeam],$A53, Table2[HomeTeam], F$36, Table2[ActualResult], "OT") + SUMIFS(Table2[AwayWon], Table2[GameIsOver],1,Table2[HomeTeam],$A53, Table2[AwayTeam], F$36, Table2[ActualResult], "OT") + SUMIFS(Table2[HomeWon_], Table2[GameIsOver],1,Table2[AwayTeam],$A53, Table2[HomeTeam], F$36, Table2[ActualResult], "SO") + SUMIFS(Table2[AwayWon], Table2[GameIsOver],1,Table2[HomeTeam],$A53, Table2[AwayTeam], F$36, Table2[ActualResult], "SO")) / (2*(SUMIFS(Table2[AwayWon], Table2[GameIsOver],1,Table2[AwayTeam],$A53, Table2[HomeTeam], F$36) + SUMIFS(Table2[HomeWon_], Table2[GameIsOver],1,Table2[HomeTeam],$A53, Table2[AwayTeam], F$36) + SUMIFS(Table2[HomeWon_], Table2[GameIsOver],1,Table2[AwayTeam],$A53, Table2[HomeTeam], F$36, Table2[ActualResult], "REG") + SUMIFS(Table2[AwayWon], Table2[GameIsOver],1,Table2[HomeTeam],$A53, Table2[AwayTeam], F$36, Table2[ActualResult], "REG") + SUMIFS(Table2[HomeWon_], Table2[GameIsOver],1,Table2[AwayTeam],$A53, Table2[HomeTeam], F$36, Table2[ActualResult], "OT") + SUMIFS(Table2[AwayWon], Table2[GameIsOver],1,Table2[HomeTeam],$A53, Table2[AwayTeam], F$36, Table2[ActualResult], "OT") + SUMIFS(Table2[HomeWon_], Table2[GameIsOver],1,Table2[AwayTeam],$A53, Table2[HomeTeam], F$36, Table2[ActualResult], "SO") + SUMIFS(Table2[AwayWon], Table2[GameIsOver],1,Table2[HomeTeam],$A53, Table2[AwayTeam], F$36, Table2[ActualResult], "SO"))), "")</f>
        <v/>
      </c>
      <c r="G53">
        <f>IFERROR(((2*SUMIFS(Table2[AwayWon], Table2[GameIsOver],1,Table2[AwayTeam],$A53, Table2[HomeTeam], G$36) + SUMIFS(Table2[HomeWon_], Table2[GameIsOver],1,Table2[HomeTeam],$A53, Table2[AwayTeam], G$36)) + SUMIFS(Table2[AwayWon], Table2[GameIsOver],1,Table2[HomeTeam],$A53, Table2[AwayTeam], G$36, Table2[ActualResult], "REG") + SUMIFS(Table2[HomeWon_], Table2[GameIsOver],1,Table2[AwayTeam],$A53, Table2[HomeTeam], G$36, Table2[ActualResult], "OT") + SUMIFS(Table2[AwayWon], Table2[GameIsOver],1,Table2[HomeTeam],$A53, Table2[AwayTeam], G$36, Table2[ActualResult], "OT") + SUMIFS(Table2[HomeWon_], Table2[GameIsOver],1,Table2[AwayTeam],$A53, Table2[HomeTeam], G$36, Table2[ActualResult], "SO") + SUMIFS(Table2[AwayWon], Table2[GameIsOver],1,Table2[HomeTeam],$A53, Table2[AwayTeam], G$36, Table2[ActualResult], "SO")) / (2*(SUMIFS(Table2[AwayWon], Table2[GameIsOver],1,Table2[AwayTeam],$A53, Table2[HomeTeam], G$36) + SUMIFS(Table2[HomeWon_], Table2[GameIsOver],1,Table2[HomeTeam],$A53, Table2[AwayTeam], G$36) + SUMIFS(Table2[HomeWon_], Table2[GameIsOver],1,Table2[AwayTeam],$A53, Table2[HomeTeam], G$36, Table2[ActualResult], "REG") + SUMIFS(Table2[AwayWon], Table2[GameIsOver],1,Table2[HomeTeam],$A53, Table2[AwayTeam], G$36, Table2[ActualResult], "REG") + SUMIFS(Table2[HomeWon_], Table2[GameIsOver],1,Table2[AwayTeam],$A53, Table2[HomeTeam], G$36, Table2[ActualResult], "OT") + SUMIFS(Table2[AwayWon], Table2[GameIsOver],1,Table2[HomeTeam],$A53, Table2[AwayTeam], G$36, Table2[ActualResult], "OT") + SUMIFS(Table2[HomeWon_], Table2[GameIsOver],1,Table2[AwayTeam],$A53, Table2[HomeTeam], G$36, Table2[ActualResult], "SO") + SUMIFS(Table2[AwayWon], Table2[GameIsOver],1,Table2[HomeTeam],$A53, Table2[AwayTeam], G$36, Table2[ActualResult], "SO"))), "")</f>
        <v>1</v>
      </c>
      <c r="H53" t="str">
        <f>IFERROR(((2*SUMIFS(Table2[AwayWon], Table2[GameIsOver],1,Table2[AwayTeam],$A53, Table2[HomeTeam], H$36) + SUMIFS(Table2[HomeWon_], Table2[GameIsOver],1,Table2[HomeTeam],$A53, Table2[AwayTeam], H$36)) + SUMIFS(Table2[AwayWon], Table2[GameIsOver],1,Table2[HomeTeam],$A53, Table2[AwayTeam], H$36, Table2[ActualResult], "REG") + SUMIFS(Table2[HomeWon_], Table2[GameIsOver],1,Table2[AwayTeam],$A53, Table2[HomeTeam], H$36, Table2[ActualResult], "OT") + SUMIFS(Table2[AwayWon], Table2[GameIsOver],1,Table2[HomeTeam],$A53, Table2[AwayTeam], H$36, Table2[ActualResult], "OT") + SUMIFS(Table2[HomeWon_], Table2[GameIsOver],1,Table2[AwayTeam],$A53, Table2[HomeTeam], H$36, Table2[ActualResult], "SO") + SUMIFS(Table2[AwayWon], Table2[GameIsOver],1,Table2[HomeTeam],$A53, Table2[AwayTeam], H$36, Table2[ActualResult], "SO")) / (2*(SUMIFS(Table2[AwayWon], Table2[GameIsOver],1,Table2[AwayTeam],$A53, Table2[HomeTeam], H$36) + SUMIFS(Table2[HomeWon_], Table2[GameIsOver],1,Table2[HomeTeam],$A53, Table2[AwayTeam], H$36) + SUMIFS(Table2[HomeWon_], Table2[GameIsOver],1,Table2[AwayTeam],$A53, Table2[HomeTeam], H$36, Table2[ActualResult], "REG") + SUMIFS(Table2[AwayWon], Table2[GameIsOver],1,Table2[HomeTeam],$A53, Table2[AwayTeam], H$36, Table2[ActualResult], "REG") + SUMIFS(Table2[HomeWon_], Table2[GameIsOver],1,Table2[AwayTeam],$A53, Table2[HomeTeam], H$36, Table2[ActualResult], "OT") + SUMIFS(Table2[AwayWon], Table2[GameIsOver],1,Table2[HomeTeam],$A53, Table2[AwayTeam], H$36, Table2[ActualResult], "OT") + SUMIFS(Table2[HomeWon_], Table2[GameIsOver],1,Table2[AwayTeam],$A53, Table2[HomeTeam], H$36, Table2[ActualResult], "SO") + SUMIFS(Table2[AwayWon], Table2[GameIsOver],1,Table2[HomeTeam],$A53, Table2[AwayTeam], H$36, Table2[ActualResult], "SO"))), "")</f>
        <v/>
      </c>
      <c r="I53" s="57">
        <f>IFERROR(((2*SUMIFS(Table2[AwayWon], Table2[GameIsOver],1,Table2[AwayTeam],$A53, Table2[HomeTeam], I$36) + SUMIFS(Table2[HomeWon_], Table2[GameIsOver],1,Table2[HomeTeam],$A53, Table2[AwayTeam], I$36)) + SUMIFS(Table2[AwayWon], Table2[GameIsOver],1,Table2[HomeTeam],$A53, Table2[AwayTeam], I$36, Table2[ActualResult], "REG") + SUMIFS(Table2[HomeWon_], Table2[GameIsOver],1,Table2[AwayTeam],$A53, Table2[HomeTeam], I$36, Table2[ActualResult], "OT") + SUMIFS(Table2[AwayWon], Table2[GameIsOver],1,Table2[HomeTeam],$A53, Table2[AwayTeam], I$36, Table2[ActualResult], "OT") + SUMIFS(Table2[HomeWon_], Table2[GameIsOver],1,Table2[AwayTeam],$A53, Table2[HomeTeam], I$36, Table2[ActualResult], "SO") + SUMIFS(Table2[AwayWon], Table2[GameIsOver],1,Table2[HomeTeam],$A53, Table2[AwayTeam], I$36, Table2[ActualResult], "SO")) / (2*(SUMIFS(Table2[AwayWon], Table2[GameIsOver],1,Table2[AwayTeam],$A53, Table2[HomeTeam], I$36) + SUMIFS(Table2[HomeWon_], Table2[GameIsOver],1,Table2[HomeTeam],$A53, Table2[AwayTeam], I$36) + SUMIFS(Table2[HomeWon_], Table2[GameIsOver],1,Table2[AwayTeam],$A53, Table2[HomeTeam], I$36, Table2[ActualResult], "REG") + SUMIFS(Table2[AwayWon], Table2[GameIsOver],1,Table2[HomeTeam],$A53, Table2[AwayTeam], I$36, Table2[ActualResult], "REG") + SUMIFS(Table2[HomeWon_], Table2[GameIsOver],1,Table2[AwayTeam],$A53, Table2[HomeTeam], I$36, Table2[ActualResult], "OT") + SUMIFS(Table2[AwayWon], Table2[GameIsOver],1,Table2[HomeTeam],$A53, Table2[AwayTeam], I$36, Table2[ActualResult], "OT") + SUMIFS(Table2[HomeWon_], Table2[GameIsOver],1,Table2[AwayTeam],$A53, Table2[HomeTeam], I$36, Table2[ActualResult], "SO") + SUMIFS(Table2[AwayWon], Table2[GameIsOver],1,Table2[HomeTeam],$A53, Table2[AwayTeam], I$36, Table2[ActualResult], "SO"))), "")</f>
        <v>0</v>
      </c>
      <c r="J53" t="str">
        <f>IFERROR(((2*SUMIFS(Table2[AwayWon], Table2[GameIsOver],1,Table2[AwayTeam],$A53, Table2[HomeTeam], J$36) + SUMIFS(Table2[HomeWon_], Table2[GameIsOver],1,Table2[HomeTeam],$A53, Table2[AwayTeam], J$36)) + SUMIFS(Table2[AwayWon], Table2[GameIsOver],1,Table2[HomeTeam],$A53, Table2[AwayTeam], J$36, Table2[ActualResult], "REG") + SUMIFS(Table2[HomeWon_], Table2[GameIsOver],1,Table2[AwayTeam],$A53, Table2[HomeTeam], J$36, Table2[ActualResult], "OT") + SUMIFS(Table2[AwayWon], Table2[GameIsOver],1,Table2[HomeTeam],$A53, Table2[AwayTeam], J$36, Table2[ActualResult], "OT") + SUMIFS(Table2[HomeWon_], Table2[GameIsOver],1,Table2[AwayTeam],$A53, Table2[HomeTeam], J$36, Table2[ActualResult], "SO") + SUMIFS(Table2[AwayWon], Table2[GameIsOver],1,Table2[HomeTeam],$A53, Table2[AwayTeam], J$36, Table2[ActualResult], "SO")) / (2*(SUMIFS(Table2[AwayWon], Table2[GameIsOver],1,Table2[AwayTeam],$A53, Table2[HomeTeam], J$36) + SUMIFS(Table2[HomeWon_], Table2[GameIsOver],1,Table2[HomeTeam],$A53, Table2[AwayTeam], J$36) + SUMIFS(Table2[HomeWon_], Table2[GameIsOver],1,Table2[AwayTeam],$A53, Table2[HomeTeam], J$36, Table2[ActualResult], "REG") + SUMIFS(Table2[AwayWon], Table2[GameIsOver],1,Table2[HomeTeam],$A53, Table2[AwayTeam], J$36, Table2[ActualResult], "REG") + SUMIFS(Table2[HomeWon_], Table2[GameIsOver],1,Table2[AwayTeam],$A53, Table2[HomeTeam], J$36, Table2[ActualResult], "OT") + SUMIFS(Table2[AwayWon], Table2[GameIsOver],1,Table2[HomeTeam],$A53, Table2[AwayTeam], J$36, Table2[ActualResult], "OT") + SUMIFS(Table2[HomeWon_], Table2[GameIsOver],1,Table2[AwayTeam],$A53, Table2[HomeTeam], J$36, Table2[ActualResult], "SO") + SUMIFS(Table2[AwayWon], Table2[GameIsOver],1,Table2[HomeTeam],$A53, Table2[AwayTeam], J$36, Table2[ActualResult], "SO"))), "")</f>
        <v/>
      </c>
      <c r="K53" t="str">
        <f>IFERROR(((2*SUMIFS(Table2[AwayWon], Table2[GameIsOver],1,Table2[AwayTeam],$A53, Table2[HomeTeam], K$36) + SUMIFS(Table2[HomeWon_], Table2[GameIsOver],1,Table2[HomeTeam],$A53, Table2[AwayTeam], K$36)) + SUMIFS(Table2[AwayWon], Table2[GameIsOver],1,Table2[HomeTeam],$A53, Table2[AwayTeam], K$36, Table2[ActualResult], "REG") + SUMIFS(Table2[HomeWon_], Table2[GameIsOver],1,Table2[AwayTeam],$A53, Table2[HomeTeam], K$36, Table2[ActualResult], "OT") + SUMIFS(Table2[AwayWon], Table2[GameIsOver],1,Table2[HomeTeam],$A53, Table2[AwayTeam], K$36, Table2[ActualResult], "OT") + SUMIFS(Table2[HomeWon_], Table2[GameIsOver],1,Table2[AwayTeam],$A53, Table2[HomeTeam], K$36, Table2[ActualResult], "SO") + SUMIFS(Table2[AwayWon], Table2[GameIsOver],1,Table2[HomeTeam],$A53, Table2[AwayTeam], K$36, Table2[ActualResult], "SO")) / (2*(SUMIFS(Table2[AwayWon], Table2[GameIsOver],1,Table2[AwayTeam],$A53, Table2[HomeTeam], K$36) + SUMIFS(Table2[HomeWon_], Table2[GameIsOver],1,Table2[HomeTeam],$A53, Table2[AwayTeam], K$36) + SUMIFS(Table2[HomeWon_], Table2[GameIsOver],1,Table2[AwayTeam],$A53, Table2[HomeTeam], K$36, Table2[ActualResult], "REG") + SUMIFS(Table2[AwayWon], Table2[GameIsOver],1,Table2[HomeTeam],$A53, Table2[AwayTeam], K$36, Table2[ActualResult], "REG") + SUMIFS(Table2[HomeWon_], Table2[GameIsOver],1,Table2[AwayTeam],$A53, Table2[HomeTeam], K$36, Table2[ActualResult], "OT") + SUMIFS(Table2[AwayWon], Table2[GameIsOver],1,Table2[HomeTeam],$A53, Table2[AwayTeam], K$36, Table2[ActualResult], "OT") + SUMIFS(Table2[HomeWon_], Table2[GameIsOver],1,Table2[AwayTeam],$A53, Table2[HomeTeam], K$36, Table2[ActualResult], "SO") + SUMIFS(Table2[AwayWon], Table2[GameIsOver],1,Table2[HomeTeam],$A53, Table2[AwayTeam], K$36, Table2[ActualResult], "SO"))), "")</f>
        <v/>
      </c>
      <c r="L53" t="str">
        <f>IFERROR(((2*SUMIFS(Table2[AwayWon], Table2[GameIsOver],1,Table2[AwayTeam],$A53, Table2[HomeTeam], L$36) + SUMIFS(Table2[HomeWon_], Table2[GameIsOver],1,Table2[HomeTeam],$A53, Table2[AwayTeam], L$36)) + SUMIFS(Table2[AwayWon], Table2[GameIsOver],1,Table2[HomeTeam],$A53, Table2[AwayTeam], L$36, Table2[ActualResult], "REG") + SUMIFS(Table2[HomeWon_], Table2[GameIsOver],1,Table2[AwayTeam],$A53, Table2[HomeTeam], L$36, Table2[ActualResult], "OT") + SUMIFS(Table2[AwayWon], Table2[GameIsOver],1,Table2[HomeTeam],$A53, Table2[AwayTeam], L$36, Table2[ActualResult], "OT") + SUMIFS(Table2[HomeWon_], Table2[GameIsOver],1,Table2[AwayTeam],$A53, Table2[HomeTeam], L$36, Table2[ActualResult], "SO") + SUMIFS(Table2[AwayWon], Table2[GameIsOver],1,Table2[HomeTeam],$A53, Table2[AwayTeam], L$36, Table2[ActualResult], "SO")) / (2*(SUMIFS(Table2[AwayWon], Table2[GameIsOver],1,Table2[AwayTeam],$A53, Table2[HomeTeam], L$36) + SUMIFS(Table2[HomeWon_], Table2[GameIsOver],1,Table2[HomeTeam],$A53, Table2[AwayTeam], L$36) + SUMIFS(Table2[HomeWon_], Table2[GameIsOver],1,Table2[AwayTeam],$A53, Table2[HomeTeam], L$36, Table2[ActualResult], "REG") + SUMIFS(Table2[AwayWon], Table2[GameIsOver],1,Table2[HomeTeam],$A53, Table2[AwayTeam], L$36, Table2[ActualResult], "REG") + SUMIFS(Table2[HomeWon_], Table2[GameIsOver],1,Table2[AwayTeam],$A53, Table2[HomeTeam], L$36, Table2[ActualResult], "OT") + SUMIFS(Table2[AwayWon], Table2[GameIsOver],1,Table2[HomeTeam],$A53, Table2[AwayTeam], L$36, Table2[ActualResult], "OT") + SUMIFS(Table2[HomeWon_], Table2[GameIsOver],1,Table2[AwayTeam],$A53, Table2[HomeTeam], L$36, Table2[ActualResult], "SO") + SUMIFS(Table2[AwayWon], Table2[GameIsOver],1,Table2[HomeTeam],$A53, Table2[AwayTeam], L$36, Table2[ActualResult], "SO"))), "")</f>
        <v/>
      </c>
      <c r="M53" t="str">
        <f>IFERROR(((2*SUMIFS(Table2[AwayWon], Table2[GameIsOver],1,Table2[AwayTeam],$A53, Table2[HomeTeam], M$36) + SUMIFS(Table2[HomeWon_], Table2[GameIsOver],1,Table2[HomeTeam],$A53, Table2[AwayTeam], M$36)) + SUMIFS(Table2[AwayWon], Table2[GameIsOver],1,Table2[HomeTeam],$A53, Table2[AwayTeam], M$36, Table2[ActualResult], "REG") + SUMIFS(Table2[HomeWon_], Table2[GameIsOver],1,Table2[AwayTeam],$A53, Table2[HomeTeam], M$36, Table2[ActualResult], "OT") + SUMIFS(Table2[AwayWon], Table2[GameIsOver],1,Table2[HomeTeam],$A53, Table2[AwayTeam], M$36, Table2[ActualResult], "OT") + SUMIFS(Table2[HomeWon_], Table2[GameIsOver],1,Table2[AwayTeam],$A53, Table2[HomeTeam], M$36, Table2[ActualResult], "SO") + SUMIFS(Table2[AwayWon], Table2[GameIsOver],1,Table2[HomeTeam],$A53, Table2[AwayTeam], M$36, Table2[ActualResult], "SO")) / (2*(SUMIFS(Table2[AwayWon], Table2[GameIsOver],1,Table2[AwayTeam],$A53, Table2[HomeTeam], M$36) + SUMIFS(Table2[HomeWon_], Table2[GameIsOver],1,Table2[HomeTeam],$A53, Table2[AwayTeam], M$36) + SUMIFS(Table2[HomeWon_], Table2[GameIsOver],1,Table2[AwayTeam],$A53, Table2[HomeTeam], M$36, Table2[ActualResult], "REG") + SUMIFS(Table2[AwayWon], Table2[GameIsOver],1,Table2[HomeTeam],$A53, Table2[AwayTeam], M$36, Table2[ActualResult], "REG") + SUMIFS(Table2[HomeWon_], Table2[GameIsOver],1,Table2[AwayTeam],$A53, Table2[HomeTeam], M$36, Table2[ActualResult], "OT") + SUMIFS(Table2[AwayWon], Table2[GameIsOver],1,Table2[HomeTeam],$A53, Table2[AwayTeam], M$36, Table2[ActualResult], "OT") + SUMIFS(Table2[HomeWon_], Table2[GameIsOver],1,Table2[AwayTeam],$A53, Table2[HomeTeam], M$36, Table2[ActualResult], "SO") + SUMIFS(Table2[AwayWon], Table2[GameIsOver],1,Table2[HomeTeam],$A53, Table2[AwayTeam], M$36, Table2[ActualResult], "SO"))), "")</f>
        <v/>
      </c>
      <c r="N53" t="str">
        <f>IFERROR(((2*SUMIFS(Table2[AwayWon], Table2[GameIsOver],1,Table2[AwayTeam],$A53, Table2[HomeTeam], N$36) + SUMIFS(Table2[HomeWon_], Table2[GameIsOver],1,Table2[HomeTeam],$A53, Table2[AwayTeam], N$36)) + SUMIFS(Table2[AwayWon], Table2[GameIsOver],1,Table2[HomeTeam],$A53, Table2[AwayTeam], N$36, Table2[ActualResult], "REG") + SUMIFS(Table2[HomeWon_], Table2[GameIsOver],1,Table2[AwayTeam],$A53, Table2[HomeTeam], N$36, Table2[ActualResult], "OT") + SUMIFS(Table2[AwayWon], Table2[GameIsOver],1,Table2[HomeTeam],$A53, Table2[AwayTeam], N$36, Table2[ActualResult], "OT") + SUMIFS(Table2[HomeWon_], Table2[GameIsOver],1,Table2[AwayTeam],$A53, Table2[HomeTeam], N$36, Table2[ActualResult], "SO") + SUMIFS(Table2[AwayWon], Table2[GameIsOver],1,Table2[HomeTeam],$A53, Table2[AwayTeam], N$36, Table2[ActualResult], "SO")) / (2*(SUMIFS(Table2[AwayWon], Table2[GameIsOver],1,Table2[AwayTeam],$A53, Table2[HomeTeam], N$36) + SUMIFS(Table2[HomeWon_], Table2[GameIsOver],1,Table2[HomeTeam],$A53, Table2[AwayTeam], N$36) + SUMIFS(Table2[HomeWon_], Table2[GameIsOver],1,Table2[AwayTeam],$A53, Table2[HomeTeam], N$36, Table2[ActualResult], "REG") + SUMIFS(Table2[AwayWon], Table2[GameIsOver],1,Table2[HomeTeam],$A53, Table2[AwayTeam], N$36, Table2[ActualResult], "REG") + SUMIFS(Table2[HomeWon_], Table2[GameIsOver],1,Table2[AwayTeam],$A53, Table2[HomeTeam], N$36, Table2[ActualResult], "OT") + SUMIFS(Table2[AwayWon], Table2[GameIsOver],1,Table2[HomeTeam],$A53, Table2[AwayTeam], N$36, Table2[ActualResult], "OT") + SUMIFS(Table2[HomeWon_], Table2[GameIsOver],1,Table2[AwayTeam],$A53, Table2[HomeTeam], N$36, Table2[ActualResult], "SO") + SUMIFS(Table2[AwayWon], Table2[GameIsOver],1,Table2[HomeTeam],$A53, Table2[AwayTeam], N$36, Table2[ActualResult], "SO"))), "")</f>
        <v/>
      </c>
      <c r="O53" t="str">
        <f>IFERROR(((2*SUMIFS(Table2[AwayWon], Table2[GameIsOver],1,Table2[AwayTeam],$A53, Table2[HomeTeam], O$36) + SUMIFS(Table2[HomeWon_], Table2[GameIsOver],1,Table2[HomeTeam],$A53, Table2[AwayTeam], O$36)) + SUMIFS(Table2[AwayWon], Table2[GameIsOver],1,Table2[HomeTeam],$A53, Table2[AwayTeam], O$36, Table2[ActualResult], "REG") + SUMIFS(Table2[HomeWon_], Table2[GameIsOver],1,Table2[AwayTeam],$A53, Table2[HomeTeam], O$36, Table2[ActualResult], "OT") + SUMIFS(Table2[AwayWon], Table2[GameIsOver],1,Table2[HomeTeam],$A53, Table2[AwayTeam], O$36, Table2[ActualResult], "OT") + SUMIFS(Table2[HomeWon_], Table2[GameIsOver],1,Table2[AwayTeam],$A53, Table2[HomeTeam], O$36, Table2[ActualResult], "SO") + SUMIFS(Table2[AwayWon], Table2[GameIsOver],1,Table2[HomeTeam],$A53, Table2[AwayTeam], O$36, Table2[ActualResult], "SO")) / (2*(SUMIFS(Table2[AwayWon], Table2[GameIsOver],1,Table2[AwayTeam],$A53, Table2[HomeTeam], O$36) + SUMIFS(Table2[HomeWon_], Table2[GameIsOver],1,Table2[HomeTeam],$A53, Table2[AwayTeam], O$36) + SUMIFS(Table2[HomeWon_], Table2[GameIsOver],1,Table2[AwayTeam],$A53, Table2[HomeTeam], O$36, Table2[ActualResult], "REG") + SUMIFS(Table2[AwayWon], Table2[GameIsOver],1,Table2[HomeTeam],$A53, Table2[AwayTeam], O$36, Table2[ActualResult], "REG") + SUMIFS(Table2[HomeWon_], Table2[GameIsOver],1,Table2[AwayTeam],$A53, Table2[HomeTeam], O$36, Table2[ActualResult], "OT") + SUMIFS(Table2[AwayWon], Table2[GameIsOver],1,Table2[HomeTeam],$A53, Table2[AwayTeam], O$36, Table2[ActualResult], "OT") + SUMIFS(Table2[HomeWon_], Table2[GameIsOver],1,Table2[AwayTeam],$A53, Table2[HomeTeam], O$36, Table2[ActualResult], "SO") + SUMIFS(Table2[AwayWon], Table2[GameIsOver],1,Table2[HomeTeam],$A53, Table2[AwayTeam], O$36, Table2[ActualResult], "SO"))), "")</f>
        <v/>
      </c>
      <c r="P53" t="str">
        <f>IFERROR(((2*SUMIFS(Table2[AwayWon], Table2[GameIsOver],1,Table2[AwayTeam],$A53, Table2[HomeTeam], P$36) + SUMIFS(Table2[HomeWon_], Table2[GameIsOver],1,Table2[HomeTeam],$A53, Table2[AwayTeam], P$36)) + SUMIFS(Table2[AwayWon], Table2[GameIsOver],1,Table2[HomeTeam],$A53, Table2[AwayTeam], P$36, Table2[ActualResult], "REG") + SUMIFS(Table2[HomeWon_], Table2[GameIsOver],1,Table2[AwayTeam],$A53, Table2[HomeTeam], P$36, Table2[ActualResult], "OT") + SUMIFS(Table2[AwayWon], Table2[GameIsOver],1,Table2[HomeTeam],$A53, Table2[AwayTeam], P$36, Table2[ActualResult], "OT") + SUMIFS(Table2[HomeWon_], Table2[GameIsOver],1,Table2[AwayTeam],$A53, Table2[HomeTeam], P$36, Table2[ActualResult], "SO") + SUMIFS(Table2[AwayWon], Table2[GameIsOver],1,Table2[HomeTeam],$A53, Table2[AwayTeam], P$36, Table2[ActualResult], "SO")) / (2*(SUMIFS(Table2[AwayWon], Table2[GameIsOver],1,Table2[AwayTeam],$A53, Table2[HomeTeam], P$36) + SUMIFS(Table2[HomeWon_], Table2[GameIsOver],1,Table2[HomeTeam],$A53, Table2[AwayTeam], P$36) + SUMIFS(Table2[HomeWon_], Table2[GameIsOver],1,Table2[AwayTeam],$A53, Table2[HomeTeam], P$36, Table2[ActualResult], "REG") + SUMIFS(Table2[AwayWon], Table2[GameIsOver],1,Table2[HomeTeam],$A53, Table2[AwayTeam], P$36, Table2[ActualResult], "REG") + SUMIFS(Table2[HomeWon_], Table2[GameIsOver],1,Table2[AwayTeam],$A53, Table2[HomeTeam], P$36, Table2[ActualResult], "OT") + SUMIFS(Table2[AwayWon], Table2[GameIsOver],1,Table2[HomeTeam],$A53, Table2[AwayTeam], P$36, Table2[ActualResult], "OT") + SUMIFS(Table2[HomeWon_], Table2[GameIsOver],1,Table2[AwayTeam],$A53, Table2[HomeTeam], P$36, Table2[ActualResult], "SO") + SUMIFS(Table2[AwayWon], Table2[GameIsOver],1,Table2[HomeTeam],$A53, Table2[AwayTeam], P$36, Table2[ActualResult], "SO"))), "")</f>
        <v/>
      </c>
      <c r="Q53" s="57" t="str">
        <f>IFERROR(((2*SUMIFS(Table2[AwayWon], Table2[GameIsOver],1,Table2[AwayTeam],$A53, Table2[HomeTeam], Q$36) + SUMIFS(Table2[HomeWon_], Table2[GameIsOver],1,Table2[HomeTeam],$A53, Table2[AwayTeam], Q$36)) + SUMIFS(Table2[AwayWon], Table2[GameIsOver],1,Table2[HomeTeam],$A53, Table2[AwayTeam], Q$36, Table2[ActualResult], "REG") + SUMIFS(Table2[HomeWon_], Table2[GameIsOver],1,Table2[AwayTeam],$A53, Table2[HomeTeam], Q$36, Table2[ActualResult], "OT") + SUMIFS(Table2[AwayWon], Table2[GameIsOver],1,Table2[HomeTeam],$A53, Table2[AwayTeam], Q$36, Table2[ActualResult], "OT") + SUMIFS(Table2[HomeWon_], Table2[GameIsOver],1,Table2[AwayTeam],$A53, Table2[HomeTeam], Q$36, Table2[ActualResult], "SO") + SUMIFS(Table2[AwayWon], Table2[GameIsOver],1,Table2[HomeTeam],$A53, Table2[AwayTeam], Q$36, Table2[ActualResult], "SO")) / (2*(SUMIFS(Table2[AwayWon], Table2[GameIsOver],1,Table2[AwayTeam],$A53, Table2[HomeTeam], Q$36) + SUMIFS(Table2[HomeWon_], Table2[GameIsOver],1,Table2[HomeTeam],$A53, Table2[AwayTeam], Q$36) + SUMIFS(Table2[HomeWon_], Table2[GameIsOver],1,Table2[AwayTeam],$A53, Table2[HomeTeam], Q$36, Table2[ActualResult], "REG") + SUMIFS(Table2[AwayWon], Table2[GameIsOver],1,Table2[HomeTeam],$A53, Table2[AwayTeam], Q$36, Table2[ActualResult], "REG") + SUMIFS(Table2[HomeWon_], Table2[GameIsOver],1,Table2[AwayTeam],$A53, Table2[HomeTeam], Q$36, Table2[ActualResult], "OT") + SUMIFS(Table2[AwayWon], Table2[GameIsOver],1,Table2[HomeTeam],$A53, Table2[AwayTeam], Q$36, Table2[ActualResult], "OT") + SUMIFS(Table2[HomeWon_], Table2[GameIsOver],1,Table2[AwayTeam],$A53, Table2[HomeTeam], Q$36, Table2[ActualResult], "SO") + SUMIFS(Table2[AwayWon], Table2[GameIsOver],1,Table2[HomeTeam],$A53, Table2[AwayTeam], Q$36, Table2[ActualResult], "SO"))), "")</f>
        <v/>
      </c>
      <c r="R53" s="98" t="str">
        <f>IFERROR(((2*SUMIFS(Table2[AwayWon], Table2[GameIsOver],1,Table2[AwayTeam],$A53, Table2[HomeTeam], R$36) + SUMIFS(Table2[HomeWon_], Table2[GameIsOver],1,Table2[HomeTeam],$A53, Table2[AwayTeam], R$36)) + SUMIFS(Table2[AwayWon], Table2[GameIsOver],1,Table2[HomeTeam],$A53, Table2[AwayTeam], R$36, Table2[ActualResult], "REG") + SUMIFS(Table2[HomeWon_], Table2[GameIsOver],1,Table2[AwayTeam],$A53, Table2[HomeTeam], R$36, Table2[ActualResult], "OT") + SUMIFS(Table2[AwayWon], Table2[GameIsOver],1,Table2[HomeTeam],$A53, Table2[AwayTeam], R$36, Table2[ActualResult], "OT") + SUMIFS(Table2[HomeWon_], Table2[GameIsOver],1,Table2[AwayTeam],$A53, Table2[HomeTeam], R$36, Table2[ActualResult], "SO") + SUMIFS(Table2[AwayWon], Table2[GameIsOver],1,Table2[HomeTeam],$A53, Table2[AwayTeam], R$36, Table2[ActualResult], "SO")) / (2*(SUMIFS(Table2[AwayWon], Table2[GameIsOver],1,Table2[AwayTeam],$A53, Table2[HomeTeam], R$36) + SUMIFS(Table2[HomeWon_], Table2[GameIsOver],1,Table2[HomeTeam],$A53, Table2[AwayTeam], R$36) + SUMIFS(Table2[HomeWon_], Table2[GameIsOver],1,Table2[AwayTeam],$A53, Table2[HomeTeam], R$36, Table2[ActualResult], "REG") + SUMIFS(Table2[AwayWon], Table2[GameIsOver],1,Table2[HomeTeam],$A53, Table2[AwayTeam], R$36, Table2[ActualResult], "REG") + SUMIFS(Table2[HomeWon_], Table2[GameIsOver],1,Table2[AwayTeam],$A53, Table2[HomeTeam], R$36, Table2[ActualResult], "OT") + SUMIFS(Table2[AwayWon], Table2[GameIsOver],1,Table2[HomeTeam],$A53, Table2[AwayTeam], R$36, Table2[ActualResult], "OT") + SUMIFS(Table2[HomeWon_], Table2[GameIsOver],1,Table2[AwayTeam],$A53, Table2[HomeTeam], R$36, Table2[ActualResult], "SO") + SUMIFS(Table2[AwayWon], Table2[GameIsOver],1,Table2[HomeTeam],$A53, Table2[AwayTeam], R$36, Table2[ActualResult], "SO"))), "")</f>
        <v/>
      </c>
      <c r="S53" t="str">
        <f>IFERROR(((2*SUMIFS(Table2[AwayWon], Table2[GameIsOver],1,Table2[AwayTeam],$A53, Table2[HomeTeam], S$36) + SUMIFS(Table2[HomeWon_], Table2[GameIsOver],1,Table2[HomeTeam],$A53, Table2[AwayTeam], S$36)) + SUMIFS(Table2[AwayWon], Table2[GameIsOver],1,Table2[HomeTeam],$A53, Table2[AwayTeam], S$36, Table2[ActualResult], "REG") + SUMIFS(Table2[HomeWon_], Table2[GameIsOver],1,Table2[AwayTeam],$A53, Table2[HomeTeam], S$36, Table2[ActualResult], "OT") + SUMIFS(Table2[AwayWon], Table2[GameIsOver],1,Table2[HomeTeam],$A53, Table2[AwayTeam], S$36, Table2[ActualResult], "OT") + SUMIFS(Table2[HomeWon_], Table2[GameIsOver],1,Table2[AwayTeam],$A53, Table2[HomeTeam], S$36, Table2[ActualResult], "SO") + SUMIFS(Table2[AwayWon], Table2[GameIsOver],1,Table2[HomeTeam],$A53, Table2[AwayTeam], S$36, Table2[ActualResult], "SO")) / (2*(SUMIFS(Table2[AwayWon], Table2[GameIsOver],1,Table2[AwayTeam],$A53, Table2[HomeTeam], S$36) + SUMIFS(Table2[HomeWon_], Table2[GameIsOver],1,Table2[HomeTeam],$A53, Table2[AwayTeam], S$36) + SUMIFS(Table2[HomeWon_], Table2[GameIsOver],1,Table2[AwayTeam],$A53, Table2[HomeTeam], S$36, Table2[ActualResult], "REG") + SUMIFS(Table2[AwayWon], Table2[GameIsOver],1,Table2[HomeTeam],$A53, Table2[AwayTeam], S$36, Table2[ActualResult], "REG") + SUMIFS(Table2[HomeWon_], Table2[GameIsOver],1,Table2[AwayTeam],$A53, Table2[HomeTeam], S$36, Table2[ActualResult], "OT") + SUMIFS(Table2[AwayWon], Table2[GameIsOver],1,Table2[HomeTeam],$A53, Table2[AwayTeam], S$36, Table2[ActualResult], "OT") + SUMIFS(Table2[HomeWon_], Table2[GameIsOver],1,Table2[AwayTeam],$A53, Table2[HomeTeam], S$36, Table2[ActualResult], "SO") + SUMIFS(Table2[AwayWon], Table2[GameIsOver],1,Table2[HomeTeam],$A53, Table2[AwayTeam], S$36, Table2[ActualResult], "SO"))), "")</f>
        <v/>
      </c>
      <c r="T53">
        <f>IFERROR(((2*SUMIFS(Table2[AwayWon], Table2[GameIsOver],1,Table2[AwayTeam],$A53, Table2[HomeTeam], T$36) + SUMIFS(Table2[HomeWon_], Table2[GameIsOver],1,Table2[HomeTeam],$A53, Table2[AwayTeam], T$36)) + SUMIFS(Table2[AwayWon], Table2[GameIsOver],1,Table2[HomeTeam],$A53, Table2[AwayTeam], T$36, Table2[ActualResult], "REG") + SUMIFS(Table2[HomeWon_], Table2[GameIsOver],1,Table2[AwayTeam],$A53, Table2[HomeTeam], T$36, Table2[ActualResult], "OT") + SUMIFS(Table2[AwayWon], Table2[GameIsOver],1,Table2[HomeTeam],$A53, Table2[AwayTeam], T$36, Table2[ActualResult], "OT") + SUMIFS(Table2[HomeWon_], Table2[GameIsOver],1,Table2[AwayTeam],$A53, Table2[HomeTeam], T$36, Table2[ActualResult], "SO") + SUMIFS(Table2[AwayWon], Table2[GameIsOver],1,Table2[HomeTeam],$A53, Table2[AwayTeam], T$36, Table2[ActualResult], "SO")) / (2*(SUMIFS(Table2[AwayWon], Table2[GameIsOver],1,Table2[AwayTeam],$A53, Table2[HomeTeam], T$36) + SUMIFS(Table2[HomeWon_], Table2[GameIsOver],1,Table2[HomeTeam],$A53, Table2[AwayTeam], T$36) + SUMIFS(Table2[HomeWon_], Table2[GameIsOver],1,Table2[AwayTeam],$A53, Table2[HomeTeam], T$36, Table2[ActualResult], "REG") + SUMIFS(Table2[AwayWon], Table2[GameIsOver],1,Table2[HomeTeam],$A53, Table2[AwayTeam], T$36, Table2[ActualResult], "REG") + SUMIFS(Table2[HomeWon_], Table2[GameIsOver],1,Table2[AwayTeam],$A53, Table2[HomeTeam], T$36, Table2[ActualResult], "OT") + SUMIFS(Table2[AwayWon], Table2[GameIsOver],1,Table2[HomeTeam],$A53, Table2[AwayTeam], T$36, Table2[ActualResult], "OT") + SUMIFS(Table2[HomeWon_], Table2[GameIsOver],1,Table2[AwayTeam],$A53, Table2[HomeTeam], T$36, Table2[ActualResult], "SO") + SUMIFS(Table2[AwayWon], Table2[GameIsOver],1,Table2[HomeTeam],$A53, Table2[AwayTeam], T$36, Table2[ActualResult], "SO"))), "")</f>
        <v>0.5</v>
      </c>
      <c r="U53" t="str">
        <f>IFERROR(((2*SUMIFS(Table2[AwayWon], Table2[GameIsOver],1,Table2[AwayTeam],$A53, Table2[HomeTeam], U$36) + SUMIFS(Table2[HomeWon_], Table2[GameIsOver],1,Table2[HomeTeam],$A53, Table2[AwayTeam], U$36)) + SUMIFS(Table2[AwayWon], Table2[GameIsOver],1,Table2[HomeTeam],$A53, Table2[AwayTeam], U$36, Table2[ActualResult], "REG") + SUMIFS(Table2[HomeWon_], Table2[GameIsOver],1,Table2[AwayTeam],$A53, Table2[HomeTeam], U$36, Table2[ActualResult], "OT") + SUMIFS(Table2[AwayWon], Table2[GameIsOver],1,Table2[HomeTeam],$A53, Table2[AwayTeam], U$36, Table2[ActualResult], "OT") + SUMIFS(Table2[HomeWon_], Table2[GameIsOver],1,Table2[AwayTeam],$A53, Table2[HomeTeam], U$36, Table2[ActualResult], "SO") + SUMIFS(Table2[AwayWon], Table2[GameIsOver],1,Table2[HomeTeam],$A53, Table2[AwayTeam], U$36, Table2[ActualResult], "SO")) / (2*(SUMIFS(Table2[AwayWon], Table2[GameIsOver],1,Table2[AwayTeam],$A53, Table2[HomeTeam], U$36) + SUMIFS(Table2[HomeWon_], Table2[GameIsOver],1,Table2[HomeTeam],$A53, Table2[AwayTeam], U$36) + SUMIFS(Table2[HomeWon_], Table2[GameIsOver],1,Table2[AwayTeam],$A53, Table2[HomeTeam], U$36, Table2[ActualResult], "REG") + SUMIFS(Table2[AwayWon], Table2[GameIsOver],1,Table2[HomeTeam],$A53, Table2[AwayTeam], U$36, Table2[ActualResult], "REG") + SUMIFS(Table2[HomeWon_], Table2[GameIsOver],1,Table2[AwayTeam],$A53, Table2[HomeTeam], U$36, Table2[ActualResult], "OT") + SUMIFS(Table2[AwayWon], Table2[GameIsOver],1,Table2[HomeTeam],$A53, Table2[AwayTeam], U$36, Table2[ActualResult], "OT") + SUMIFS(Table2[HomeWon_], Table2[GameIsOver],1,Table2[AwayTeam],$A53, Table2[HomeTeam], U$36, Table2[ActualResult], "SO") + SUMIFS(Table2[AwayWon], Table2[GameIsOver],1,Table2[HomeTeam],$A53, Table2[AwayTeam], U$36, Table2[ActualResult], "SO"))), "")</f>
        <v/>
      </c>
      <c r="V53" t="str">
        <f>IFERROR(((2*SUMIFS(Table2[AwayWon], Table2[GameIsOver],1,Table2[AwayTeam],$A53, Table2[HomeTeam], V$36) + SUMIFS(Table2[HomeWon_], Table2[GameIsOver],1,Table2[HomeTeam],$A53, Table2[AwayTeam], V$36)) + SUMIFS(Table2[AwayWon], Table2[GameIsOver],1,Table2[HomeTeam],$A53, Table2[AwayTeam], V$36, Table2[ActualResult], "REG") + SUMIFS(Table2[HomeWon_], Table2[GameIsOver],1,Table2[AwayTeam],$A53, Table2[HomeTeam], V$36, Table2[ActualResult], "OT") + SUMIFS(Table2[AwayWon], Table2[GameIsOver],1,Table2[HomeTeam],$A53, Table2[AwayTeam], V$36, Table2[ActualResult], "OT") + SUMIFS(Table2[HomeWon_], Table2[GameIsOver],1,Table2[AwayTeam],$A53, Table2[HomeTeam], V$36, Table2[ActualResult], "SO") + SUMIFS(Table2[AwayWon], Table2[GameIsOver],1,Table2[HomeTeam],$A53, Table2[AwayTeam], V$36, Table2[ActualResult], "SO")) / (2*(SUMIFS(Table2[AwayWon], Table2[GameIsOver],1,Table2[AwayTeam],$A53, Table2[HomeTeam], V$36) + SUMIFS(Table2[HomeWon_], Table2[GameIsOver],1,Table2[HomeTeam],$A53, Table2[AwayTeam], V$36) + SUMIFS(Table2[HomeWon_], Table2[GameIsOver],1,Table2[AwayTeam],$A53, Table2[HomeTeam], V$36, Table2[ActualResult], "REG") + SUMIFS(Table2[AwayWon], Table2[GameIsOver],1,Table2[HomeTeam],$A53, Table2[AwayTeam], V$36, Table2[ActualResult], "REG") + SUMIFS(Table2[HomeWon_], Table2[GameIsOver],1,Table2[AwayTeam],$A53, Table2[HomeTeam], V$36, Table2[ActualResult], "OT") + SUMIFS(Table2[AwayWon], Table2[GameIsOver],1,Table2[HomeTeam],$A53, Table2[AwayTeam], V$36, Table2[ActualResult], "OT") + SUMIFS(Table2[HomeWon_], Table2[GameIsOver],1,Table2[AwayTeam],$A53, Table2[HomeTeam], V$36, Table2[ActualResult], "SO") + SUMIFS(Table2[AwayWon], Table2[GameIsOver],1,Table2[HomeTeam],$A53, Table2[AwayTeam], V$36, Table2[ActualResult], "SO"))), "")</f>
        <v/>
      </c>
      <c r="W53">
        <f>IFERROR(((2*SUMIFS(Table2[AwayWon], Table2[GameIsOver],1,Table2[AwayTeam],$A53, Table2[HomeTeam], W$36) + SUMIFS(Table2[HomeWon_], Table2[GameIsOver],1,Table2[HomeTeam],$A53, Table2[AwayTeam], W$36)) + SUMIFS(Table2[AwayWon], Table2[GameIsOver],1,Table2[HomeTeam],$A53, Table2[AwayTeam], W$36, Table2[ActualResult], "REG") + SUMIFS(Table2[HomeWon_], Table2[GameIsOver],1,Table2[AwayTeam],$A53, Table2[HomeTeam], W$36, Table2[ActualResult], "OT") + SUMIFS(Table2[AwayWon], Table2[GameIsOver],1,Table2[HomeTeam],$A53, Table2[AwayTeam], W$36, Table2[ActualResult], "OT") + SUMIFS(Table2[HomeWon_], Table2[GameIsOver],1,Table2[AwayTeam],$A53, Table2[HomeTeam], W$36, Table2[ActualResult], "SO") + SUMIFS(Table2[AwayWon], Table2[GameIsOver],1,Table2[HomeTeam],$A53, Table2[AwayTeam], W$36, Table2[ActualResult], "SO")) / (2*(SUMIFS(Table2[AwayWon], Table2[GameIsOver],1,Table2[AwayTeam],$A53, Table2[HomeTeam], W$36) + SUMIFS(Table2[HomeWon_], Table2[GameIsOver],1,Table2[HomeTeam],$A53, Table2[AwayTeam], W$36) + SUMIFS(Table2[HomeWon_], Table2[GameIsOver],1,Table2[AwayTeam],$A53, Table2[HomeTeam], W$36, Table2[ActualResult], "REG") + SUMIFS(Table2[AwayWon], Table2[GameIsOver],1,Table2[HomeTeam],$A53, Table2[AwayTeam], W$36, Table2[ActualResult], "REG") + SUMIFS(Table2[HomeWon_], Table2[GameIsOver],1,Table2[AwayTeam],$A53, Table2[HomeTeam], W$36, Table2[ActualResult], "OT") + SUMIFS(Table2[AwayWon], Table2[GameIsOver],1,Table2[HomeTeam],$A53, Table2[AwayTeam], W$36, Table2[ActualResult], "OT") + SUMIFS(Table2[HomeWon_], Table2[GameIsOver],1,Table2[AwayTeam],$A53, Table2[HomeTeam], W$36, Table2[ActualResult], "SO") + SUMIFS(Table2[AwayWon], Table2[GameIsOver],1,Table2[HomeTeam],$A53, Table2[AwayTeam], W$36, Table2[ActualResult], "SO"))), "")</f>
        <v>0.5</v>
      </c>
      <c r="X53" t="str">
        <f>IFERROR(((2*SUMIFS(Table2[AwayWon], Table2[GameIsOver],1,Table2[AwayTeam],$A53, Table2[HomeTeam], X$36) + SUMIFS(Table2[HomeWon_], Table2[GameIsOver],1,Table2[HomeTeam],$A53, Table2[AwayTeam], X$36)) + SUMIFS(Table2[AwayWon], Table2[GameIsOver],1,Table2[HomeTeam],$A53, Table2[AwayTeam], X$36, Table2[ActualResult], "REG") + SUMIFS(Table2[HomeWon_], Table2[GameIsOver],1,Table2[AwayTeam],$A53, Table2[HomeTeam], X$36, Table2[ActualResult], "OT") + SUMIFS(Table2[AwayWon], Table2[GameIsOver],1,Table2[HomeTeam],$A53, Table2[AwayTeam], X$36, Table2[ActualResult], "OT") + SUMIFS(Table2[HomeWon_], Table2[GameIsOver],1,Table2[AwayTeam],$A53, Table2[HomeTeam], X$36, Table2[ActualResult], "SO") + SUMIFS(Table2[AwayWon], Table2[GameIsOver],1,Table2[HomeTeam],$A53, Table2[AwayTeam], X$36, Table2[ActualResult], "SO")) / (2*(SUMIFS(Table2[AwayWon], Table2[GameIsOver],1,Table2[AwayTeam],$A53, Table2[HomeTeam], X$36) + SUMIFS(Table2[HomeWon_], Table2[GameIsOver],1,Table2[HomeTeam],$A53, Table2[AwayTeam], X$36) + SUMIFS(Table2[HomeWon_], Table2[GameIsOver],1,Table2[AwayTeam],$A53, Table2[HomeTeam], X$36, Table2[ActualResult], "REG") + SUMIFS(Table2[AwayWon], Table2[GameIsOver],1,Table2[HomeTeam],$A53, Table2[AwayTeam], X$36, Table2[ActualResult], "REG") + SUMIFS(Table2[HomeWon_], Table2[GameIsOver],1,Table2[AwayTeam],$A53, Table2[HomeTeam], X$36, Table2[ActualResult], "OT") + SUMIFS(Table2[AwayWon], Table2[GameIsOver],1,Table2[HomeTeam],$A53, Table2[AwayTeam], X$36, Table2[ActualResult], "OT") + SUMIFS(Table2[HomeWon_], Table2[GameIsOver],1,Table2[AwayTeam],$A53, Table2[HomeTeam], X$36, Table2[ActualResult], "SO") + SUMIFS(Table2[AwayWon], Table2[GameIsOver],1,Table2[HomeTeam],$A53, Table2[AwayTeam], X$36, Table2[ActualResult], "SO"))), "")</f>
        <v/>
      </c>
      <c r="Y53" s="57" t="str">
        <f>IFERROR(((2*SUMIFS(Table2[AwayWon], Table2[GameIsOver],1,Table2[AwayTeam],$A53, Table2[HomeTeam], Y$36) + SUMIFS(Table2[HomeWon_], Table2[GameIsOver],1,Table2[HomeTeam],$A53, Table2[AwayTeam], Y$36)) + SUMIFS(Table2[AwayWon], Table2[GameIsOver],1,Table2[HomeTeam],$A53, Table2[AwayTeam], Y$36, Table2[ActualResult], "REG") + SUMIFS(Table2[HomeWon_], Table2[GameIsOver],1,Table2[AwayTeam],$A53, Table2[HomeTeam], Y$36, Table2[ActualResult], "OT") + SUMIFS(Table2[AwayWon], Table2[GameIsOver],1,Table2[HomeTeam],$A53, Table2[AwayTeam], Y$36, Table2[ActualResult], "OT") + SUMIFS(Table2[HomeWon_], Table2[GameIsOver],1,Table2[AwayTeam],$A53, Table2[HomeTeam], Y$36, Table2[ActualResult], "SO") + SUMIFS(Table2[AwayWon], Table2[GameIsOver],1,Table2[HomeTeam],$A53, Table2[AwayTeam], Y$36, Table2[ActualResult], "SO")) / (2*(SUMIFS(Table2[AwayWon], Table2[GameIsOver],1,Table2[AwayTeam],$A53, Table2[HomeTeam], Y$36) + SUMIFS(Table2[HomeWon_], Table2[GameIsOver],1,Table2[HomeTeam],$A53, Table2[AwayTeam], Y$36) + SUMIFS(Table2[HomeWon_], Table2[GameIsOver],1,Table2[AwayTeam],$A53, Table2[HomeTeam], Y$36, Table2[ActualResult], "REG") + SUMIFS(Table2[AwayWon], Table2[GameIsOver],1,Table2[HomeTeam],$A53, Table2[AwayTeam], Y$36, Table2[ActualResult], "REG") + SUMIFS(Table2[HomeWon_], Table2[GameIsOver],1,Table2[AwayTeam],$A53, Table2[HomeTeam], Y$36, Table2[ActualResult], "OT") + SUMIFS(Table2[AwayWon], Table2[GameIsOver],1,Table2[HomeTeam],$A53, Table2[AwayTeam], Y$36, Table2[ActualResult], "OT") + SUMIFS(Table2[HomeWon_], Table2[GameIsOver],1,Table2[AwayTeam],$A53, Table2[HomeTeam], Y$36, Table2[ActualResult], "SO") + SUMIFS(Table2[AwayWon], Table2[GameIsOver],1,Table2[HomeTeam],$A53, Table2[AwayTeam], Y$36, Table2[ActualResult], "SO"))), "")</f>
        <v/>
      </c>
      <c r="Z53" t="str">
        <f>IFERROR(((2*SUMIFS(Table2[AwayWon], Table2[GameIsOver],1,Table2[AwayTeam],$A53, Table2[HomeTeam], Z$36) + SUMIFS(Table2[HomeWon_], Table2[GameIsOver],1,Table2[HomeTeam],$A53, Table2[AwayTeam], Z$36)) + SUMIFS(Table2[AwayWon], Table2[GameIsOver],1,Table2[HomeTeam],$A53, Table2[AwayTeam], Z$36, Table2[ActualResult], "REG") + SUMIFS(Table2[HomeWon_], Table2[GameIsOver],1,Table2[AwayTeam],$A53, Table2[HomeTeam], Z$36, Table2[ActualResult], "OT") + SUMIFS(Table2[AwayWon], Table2[GameIsOver],1,Table2[HomeTeam],$A53, Table2[AwayTeam], Z$36, Table2[ActualResult], "OT") + SUMIFS(Table2[HomeWon_], Table2[GameIsOver],1,Table2[AwayTeam],$A53, Table2[HomeTeam], Z$36, Table2[ActualResult], "SO") + SUMIFS(Table2[AwayWon], Table2[GameIsOver],1,Table2[HomeTeam],$A53, Table2[AwayTeam], Z$36, Table2[ActualResult], "SO")) / (2*(SUMIFS(Table2[AwayWon], Table2[GameIsOver],1,Table2[AwayTeam],$A53, Table2[HomeTeam], Z$36) + SUMIFS(Table2[HomeWon_], Table2[GameIsOver],1,Table2[HomeTeam],$A53, Table2[AwayTeam], Z$36) + SUMIFS(Table2[HomeWon_], Table2[GameIsOver],1,Table2[AwayTeam],$A53, Table2[HomeTeam], Z$36, Table2[ActualResult], "REG") + SUMIFS(Table2[AwayWon], Table2[GameIsOver],1,Table2[HomeTeam],$A53, Table2[AwayTeam], Z$36, Table2[ActualResult], "REG") + SUMIFS(Table2[HomeWon_], Table2[GameIsOver],1,Table2[AwayTeam],$A53, Table2[HomeTeam], Z$36, Table2[ActualResult], "OT") + SUMIFS(Table2[AwayWon], Table2[GameIsOver],1,Table2[HomeTeam],$A53, Table2[AwayTeam], Z$36, Table2[ActualResult], "OT") + SUMIFS(Table2[HomeWon_], Table2[GameIsOver],1,Table2[AwayTeam],$A53, Table2[HomeTeam], Z$36, Table2[ActualResult], "SO") + SUMIFS(Table2[AwayWon], Table2[GameIsOver],1,Table2[HomeTeam],$A53, Table2[AwayTeam], Z$36, Table2[ActualResult], "SO"))), "")</f>
        <v/>
      </c>
      <c r="AA53" t="str">
        <f>IFERROR(((2*SUMIFS(Table2[AwayWon], Table2[GameIsOver],1,Table2[AwayTeam],$A53, Table2[HomeTeam], AA$36) + SUMIFS(Table2[HomeWon_], Table2[GameIsOver],1,Table2[HomeTeam],$A53, Table2[AwayTeam], AA$36)) + SUMIFS(Table2[AwayWon], Table2[GameIsOver],1,Table2[HomeTeam],$A53, Table2[AwayTeam], AA$36, Table2[ActualResult], "REG") + SUMIFS(Table2[HomeWon_], Table2[GameIsOver],1,Table2[AwayTeam],$A53, Table2[HomeTeam], AA$36, Table2[ActualResult], "OT") + SUMIFS(Table2[AwayWon], Table2[GameIsOver],1,Table2[HomeTeam],$A53, Table2[AwayTeam], AA$36, Table2[ActualResult], "OT") + SUMIFS(Table2[HomeWon_], Table2[GameIsOver],1,Table2[AwayTeam],$A53, Table2[HomeTeam], AA$36, Table2[ActualResult], "SO") + SUMIFS(Table2[AwayWon], Table2[GameIsOver],1,Table2[HomeTeam],$A53, Table2[AwayTeam], AA$36, Table2[ActualResult], "SO")) / (2*(SUMIFS(Table2[AwayWon], Table2[GameIsOver],1,Table2[AwayTeam],$A53, Table2[HomeTeam], AA$36) + SUMIFS(Table2[HomeWon_], Table2[GameIsOver],1,Table2[HomeTeam],$A53, Table2[AwayTeam], AA$36) + SUMIFS(Table2[HomeWon_], Table2[GameIsOver],1,Table2[AwayTeam],$A53, Table2[HomeTeam], AA$36, Table2[ActualResult], "REG") + SUMIFS(Table2[AwayWon], Table2[GameIsOver],1,Table2[HomeTeam],$A53, Table2[AwayTeam], AA$36, Table2[ActualResult], "REG") + SUMIFS(Table2[HomeWon_], Table2[GameIsOver],1,Table2[AwayTeam],$A53, Table2[HomeTeam], AA$36, Table2[ActualResult], "OT") + SUMIFS(Table2[AwayWon], Table2[GameIsOver],1,Table2[HomeTeam],$A53, Table2[AwayTeam], AA$36, Table2[ActualResult], "OT") + SUMIFS(Table2[HomeWon_], Table2[GameIsOver],1,Table2[AwayTeam],$A53, Table2[HomeTeam], AA$36, Table2[ActualResult], "SO") + SUMIFS(Table2[AwayWon], Table2[GameIsOver],1,Table2[HomeTeam],$A53, Table2[AwayTeam], AA$36, Table2[ActualResult], "SO"))), "")</f>
        <v/>
      </c>
      <c r="AB53" t="str">
        <f>IFERROR(((2*SUMIFS(Table2[AwayWon], Table2[GameIsOver],1,Table2[AwayTeam],$A53, Table2[HomeTeam], AB$36) + SUMIFS(Table2[HomeWon_], Table2[GameIsOver],1,Table2[HomeTeam],$A53, Table2[AwayTeam], AB$36)) + SUMIFS(Table2[AwayWon], Table2[GameIsOver],1,Table2[HomeTeam],$A53, Table2[AwayTeam], AB$36, Table2[ActualResult], "REG") + SUMIFS(Table2[HomeWon_], Table2[GameIsOver],1,Table2[AwayTeam],$A53, Table2[HomeTeam], AB$36, Table2[ActualResult], "OT") + SUMIFS(Table2[AwayWon], Table2[GameIsOver],1,Table2[HomeTeam],$A53, Table2[AwayTeam], AB$36, Table2[ActualResult], "OT") + SUMIFS(Table2[HomeWon_], Table2[GameIsOver],1,Table2[AwayTeam],$A53, Table2[HomeTeam], AB$36, Table2[ActualResult], "SO") + SUMIFS(Table2[AwayWon], Table2[GameIsOver],1,Table2[HomeTeam],$A53, Table2[AwayTeam], AB$36, Table2[ActualResult], "SO")) / (2*(SUMIFS(Table2[AwayWon], Table2[GameIsOver],1,Table2[AwayTeam],$A53, Table2[HomeTeam], AB$36) + SUMIFS(Table2[HomeWon_], Table2[GameIsOver],1,Table2[HomeTeam],$A53, Table2[AwayTeam], AB$36) + SUMIFS(Table2[HomeWon_], Table2[GameIsOver],1,Table2[AwayTeam],$A53, Table2[HomeTeam], AB$36, Table2[ActualResult], "REG") + SUMIFS(Table2[AwayWon], Table2[GameIsOver],1,Table2[HomeTeam],$A53, Table2[AwayTeam], AB$36, Table2[ActualResult], "REG") + SUMIFS(Table2[HomeWon_], Table2[GameIsOver],1,Table2[AwayTeam],$A53, Table2[HomeTeam], AB$36, Table2[ActualResult], "OT") + SUMIFS(Table2[AwayWon], Table2[GameIsOver],1,Table2[HomeTeam],$A53, Table2[AwayTeam], AB$36, Table2[ActualResult], "OT") + SUMIFS(Table2[HomeWon_], Table2[GameIsOver],1,Table2[AwayTeam],$A53, Table2[HomeTeam], AB$36, Table2[ActualResult], "SO") + SUMIFS(Table2[AwayWon], Table2[GameIsOver],1,Table2[HomeTeam],$A53, Table2[AwayTeam], AB$36, Table2[ActualResult], "SO"))), "")</f>
        <v/>
      </c>
      <c r="AC53" t="str">
        <f>IFERROR(((2*SUMIFS(Table2[AwayWon], Table2[GameIsOver],1,Table2[AwayTeam],$A53, Table2[HomeTeam], AC$36) + SUMIFS(Table2[HomeWon_], Table2[GameIsOver],1,Table2[HomeTeam],$A53, Table2[AwayTeam], AC$36)) + SUMIFS(Table2[AwayWon], Table2[GameIsOver],1,Table2[HomeTeam],$A53, Table2[AwayTeam], AC$36, Table2[ActualResult], "REG") + SUMIFS(Table2[HomeWon_], Table2[GameIsOver],1,Table2[AwayTeam],$A53, Table2[HomeTeam], AC$36, Table2[ActualResult], "OT") + SUMIFS(Table2[AwayWon], Table2[GameIsOver],1,Table2[HomeTeam],$A53, Table2[AwayTeam], AC$36, Table2[ActualResult], "OT") + SUMIFS(Table2[HomeWon_], Table2[GameIsOver],1,Table2[AwayTeam],$A53, Table2[HomeTeam], AC$36, Table2[ActualResult], "SO") + SUMIFS(Table2[AwayWon], Table2[GameIsOver],1,Table2[HomeTeam],$A53, Table2[AwayTeam], AC$36, Table2[ActualResult], "SO")) / (2*(SUMIFS(Table2[AwayWon], Table2[GameIsOver],1,Table2[AwayTeam],$A53, Table2[HomeTeam], AC$36) + SUMIFS(Table2[HomeWon_], Table2[GameIsOver],1,Table2[HomeTeam],$A53, Table2[AwayTeam], AC$36) + SUMIFS(Table2[HomeWon_], Table2[GameIsOver],1,Table2[AwayTeam],$A53, Table2[HomeTeam], AC$36, Table2[ActualResult], "REG") + SUMIFS(Table2[AwayWon], Table2[GameIsOver],1,Table2[HomeTeam],$A53, Table2[AwayTeam], AC$36, Table2[ActualResult], "REG") + SUMIFS(Table2[HomeWon_], Table2[GameIsOver],1,Table2[AwayTeam],$A53, Table2[HomeTeam], AC$36, Table2[ActualResult], "OT") + SUMIFS(Table2[AwayWon], Table2[GameIsOver],1,Table2[HomeTeam],$A53, Table2[AwayTeam], AC$36, Table2[ActualResult], "OT") + SUMIFS(Table2[HomeWon_], Table2[GameIsOver],1,Table2[AwayTeam],$A53, Table2[HomeTeam], AC$36, Table2[ActualResult], "SO") + SUMIFS(Table2[AwayWon], Table2[GameIsOver],1,Table2[HomeTeam],$A53, Table2[AwayTeam], AC$36, Table2[ActualResult], "SO"))), "")</f>
        <v/>
      </c>
      <c r="AD53" t="str">
        <f>IFERROR(((2*SUMIFS(Table2[AwayWon], Table2[GameIsOver],1,Table2[AwayTeam],$A53, Table2[HomeTeam], AD$36) + SUMIFS(Table2[HomeWon_], Table2[GameIsOver],1,Table2[HomeTeam],$A53, Table2[AwayTeam], AD$36)) + SUMIFS(Table2[AwayWon], Table2[GameIsOver],1,Table2[HomeTeam],$A53, Table2[AwayTeam], AD$36, Table2[ActualResult], "REG") + SUMIFS(Table2[HomeWon_], Table2[GameIsOver],1,Table2[AwayTeam],$A53, Table2[HomeTeam], AD$36, Table2[ActualResult], "OT") + SUMIFS(Table2[AwayWon], Table2[GameIsOver],1,Table2[HomeTeam],$A53, Table2[AwayTeam], AD$36, Table2[ActualResult], "OT") + SUMIFS(Table2[HomeWon_], Table2[GameIsOver],1,Table2[AwayTeam],$A53, Table2[HomeTeam], AD$36, Table2[ActualResult], "SO") + SUMIFS(Table2[AwayWon], Table2[GameIsOver],1,Table2[HomeTeam],$A53, Table2[AwayTeam], AD$36, Table2[ActualResult], "SO")) / (2*(SUMIFS(Table2[AwayWon], Table2[GameIsOver],1,Table2[AwayTeam],$A53, Table2[HomeTeam], AD$36) + SUMIFS(Table2[HomeWon_], Table2[GameIsOver],1,Table2[HomeTeam],$A53, Table2[AwayTeam], AD$36) + SUMIFS(Table2[HomeWon_], Table2[GameIsOver],1,Table2[AwayTeam],$A53, Table2[HomeTeam], AD$36, Table2[ActualResult], "REG") + SUMIFS(Table2[AwayWon], Table2[GameIsOver],1,Table2[HomeTeam],$A53, Table2[AwayTeam], AD$36, Table2[ActualResult], "REG") + SUMIFS(Table2[HomeWon_], Table2[GameIsOver],1,Table2[AwayTeam],$A53, Table2[HomeTeam], AD$36, Table2[ActualResult], "OT") + SUMIFS(Table2[AwayWon], Table2[GameIsOver],1,Table2[HomeTeam],$A53, Table2[AwayTeam], AD$36, Table2[ActualResult], "OT") + SUMIFS(Table2[HomeWon_], Table2[GameIsOver],1,Table2[AwayTeam],$A53, Table2[HomeTeam], AD$36, Table2[ActualResult], "SO") + SUMIFS(Table2[AwayWon], Table2[GameIsOver],1,Table2[HomeTeam],$A53, Table2[AwayTeam], AD$36, Table2[ActualResult], "SO"))), "")</f>
        <v/>
      </c>
      <c r="AE53" t="str">
        <f>IFERROR(((2*SUMIFS(Table2[AwayWon], Table2[GameIsOver],1,Table2[AwayTeam],$A53, Table2[HomeTeam], AE$36) + SUMIFS(Table2[HomeWon_], Table2[GameIsOver],1,Table2[HomeTeam],$A53, Table2[AwayTeam], AE$36)) + SUMIFS(Table2[AwayWon], Table2[GameIsOver],1,Table2[HomeTeam],$A53, Table2[AwayTeam], AE$36, Table2[ActualResult], "REG") + SUMIFS(Table2[HomeWon_], Table2[GameIsOver],1,Table2[AwayTeam],$A53, Table2[HomeTeam], AE$36, Table2[ActualResult], "OT") + SUMIFS(Table2[AwayWon], Table2[GameIsOver],1,Table2[HomeTeam],$A53, Table2[AwayTeam], AE$36, Table2[ActualResult], "OT") + SUMIFS(Table2[HomeWon_], Table2[GameIsOver],1,Table2[AwayTeam],$A53, Table2[HomeTeam], AE$36, Table2[ActualResult], "SO") + SUMIFS(Table2[AwayWon], Table2[GameIsOver],1,Table2[HomeTeam],$A53, Table2[AwayTeam], AE$36, Table2[ActualResult], "SO")) / (2*(SUMIFS(Table2[AwayWon], Table2[GameIsOver],1,Table2[AwayTeam],$A53, Table2[HomeTeam], AE$36) + SUMIFS(Table2[HomeWon_], Table2[GameIsOver],1,Table2[HomeTeam],$A53, Table2[AwayTeam], AE$36) + SUMIFS(Table2[HomeWon_], Table2[GameIsOver],1,Table2[AwayTeam],$A53, Table2[HomeTeam], AE$36, Table2[ActualResult], "REG") + SUMIFS(Table2[AwayWon], Table2[GameIsOver],1,Table2[HomeTeam],$A53, Table2[AwayTeam], AE$36, Table2[ActualResult], "REG") + SUMIFS(Table2[HomeWon_], Table2[GameIsOver],1,Table2[AwayTeam],$A53, Table2[HomeTeam], AE$36, Table2[ActualResult], "OT") + SUMIFS(Table2[AwayWon], Table2[GameIsOver],1,Table2[HomeTeam],$A53, Table2[AwayTeam], AE$36, Table2[ActualResult], "OT") + SUMIFS(Table2[HomeWon_], Table2[GameIsOver],1,Table2[AwayTeam],$A53, Table2[HomeTeam], AE$36, Table2[ActualResult], "SO") + SUMIFS(Table2[AwayWon], Table2[GameIsOver],1,Table2[HomeTeam],$A53, Table2[AwayTeam], AE$36, Table2[ActualResult], "SO"))), "")</f>
        <v/>
      </c>
      <c r="AF53" t="str">
        <f>IFERROR(((2*SUMIFS(Table2[AwayWon], Table2[GameIsOver],1,Table2[AwayTeam],$A53, Table2[HomeTeam], AF$36) + SUMIFS(Table2[HomeWon_], Table2[GameIsOver],1,Table2[HomeTeam],$A53, Table2[AwayTeam], AF$36)) + SUMIFS(Table2[AwayWon], Table2[GameIsOver],1,Table2[HomeTeam],$A53, Table2[AwayTeam], AF$36, Table2[ActualResult], "REG") + SUMIFS(Table2[HomeWon_], Table2[GameIsOver],1,Table2[AwayTeam],$A53, Table2[HomeTeam], AF$36, Table2[ActualResult], "OT") + SUMIFS(Table2[AwayWon], Table2[GameIsOver],1,Table2[HomeTeam],$A53, Table2[AwayTeam], AF$36, Table2[ActualResult], "OT") + SUMIFS(Table2[HomeWon_], Table2[GameIsOver],1,Table2[AwayTeam],$A53, Table2[HomeTeam], AF$36, Table2[ActualResult], "SO") + SUMIFS(Table2[AwayWon], Table2[GameIsOver],1,Table2[HomeTeam],$A53, Table2[AwayTeam], AF$36, Table2[ActualResult], "SO")) / (2*(SUMIFS(Table2[AwayWon], Table2[GameIsOver],1,Table2[AwayTeam],$A53, Table2[HomeTeam], AF$36) + SUMIFS(Table2[HomeWon_], Table2[GameIsOver],1,Table2[HomeTeam],$A53, Table2[AwayTeam], AF$36) + SUMIFS(Table2[HomeWon_], Table2[GameIsOver],1,Table2[AwayTeam],$A53, Table2[HomeTeam], AF$36, Table2[ActualResult], "REG") + SUMIFS(Table2[AwayWon], Table2[GameIsOver],1,Table2[HomeTeam],$A53, Table2[AwayTeam], AF$36, Table2[ActualResult], "REG") + SUMIFS(Table2[HomeWon_], Table2[GameIsOver],1,Table2[AwayTeam],$A53, Table2[HomeTeam], AF$36, Table2[ActualResult], "OT") + SUMIFS(Table2[AwayWon], Table2[GameIsOver],1,Table2[HomeTeam],$A53, Table2[AwayTeam], AF$36, Table2[ActualResult], "OT") + SUMIFS(Table2[HomeWon_], Table2[GameIsOver],1,Table2[AwayTeam],$A53, Table2[HomeTeam], AF$36, Table2[ActualResult], "SO") + SUMIFS(Table2[AwayWon], Table2[GameIsOver],1,Table2[HomeTeam],$A53, Table2[AwayTeam], AF$36, Table2[ActualResult], "SO"))), "")</f>
        <v/>
      </c>
      <c r="AG53" s="57" t="str">
        <f>IFERROR(((2*SUMIFS(Table2[AwayWon], Table2[GameIsOver],1,Table2[AwayTeam],$A53, Table2[HomeTeam], AG$36) + SUMIFS(Table2[HomeWon_], Table2[GameIsOver],1,Table2[HomeTeam],$A53, Table2[AwayTeam], AG$36)) + SUMIFS(Table2[AwayWon], Table2[GameIsOver],1,Table2[HomeTeam],$A53, Table2[AwayTeam], AG$36, Table2[ActualResult], "REG") + SUMIFS(Table2[HomeWon_], Table2[GameIsOver],1,Table2[AwayTeam],$A53, Table2[HomeTeam], AG$36, Table2[ActualResult], "OT") + SUMIFS(Table2[AwayWon], Table2[GameIsOver],1,Table2[HomeTeam],$A53, Table2[AwayTeam], AG$36, Table2[ActualResult], "OT") + SUMIFS(Table2[HomeWon_], Table2[GameIsOver],1,Table2[AwayTeam],$A53, Table2[HomeTeam], AG$36, Table2[ActualResult], "SO") + SUMIFS(Table2[AwayWon], Table2[GameIsOver],1,Table2[HomeTeam],$A53, Table2[AwayTeam], AG$36, Table2[ActualResult], "SO")) / (2*(SUMIFS(Table2[AwayWon], Table2[GameIsOver],1,Table2[AwayTeam],$A53, Table2[HomeTeam], AG$36) + SUMIFS(Table2[HomeWon_], Table2[GameIsOver],1,Table2[HomeTeam],$A53, Table2[AwayTeam], AG$36) + SUMIFS(Table2[HomeWon_], Table2[GameIsOver],1,Table2[AwayTeam],$A53, Table2[HomeTeam], AG$36, Table2[ActualResult], "REG") + SUMIFS(Table2[AwayWon], Table2[GameIsOver],1,Table2[HomeTeam],$A53, Table2[AwayTeam], AG$36, Table2[ActualResult], "REG") + SUMIFS(Table2[HomeWon_], Table2[GameIsOver],1,Table2[AwayTeam],$A53, Table2[HomeTeam], AG$36, Table2[ActualResult], "OT") + SUMIFS(Table2[AwayWon], Table2[GameIsOver],1,Table2[HomeTeam],$A53, Table2[AwayTeam], AG$36, Table2[ActualResult], "OT") + SUMIFS(Table2[HomeWon_], Table2[GameIsOver],1,Table2[AwayTeam],$A53, Table2[HomeTeam], AG$36, Table2[ActualResult], "SO") + SUMIFS(Table2[AwayWon], Table2[GameIsOver],1,Table2[HomeTeam],$A53, Table2[AwayTeam], AG$36, Table2[ActualResult], "SO"))), "")</f>
        <v/>
      </c>
      <c r="AH53" s="101">
        <f t="shared" si="0"/>
        <v>0.5</v>
      </c>
      <c r="AI53" s="101">
        <f>AVERAGE($B53:$Q53)</f>
        <v>0.75</v>
      </c>
      <c r="AJ53" s="103" t="e">
        <f t="shared" si="2"/>
        <v>#DIV/0!</v>
      </c>
      <c r="AK53" s="103">
        <f t="shared" si="3"/>
        <v>0.5</v>
      </c>
      <c r="AL53" s="103" t="e">
        <f t="shared" si="4"/>
        <v>#DIV/0!</v>
      </c>
      <c r="AM53" s="103">
        <f t="shared" si="5"/>
        <v>0.75</v>
      </c>
    </row>
    <row r="54" spans="1:39" x14ac:dyDescent="0.25">
      <c r="A54" s="57" t="s">
        <v>35</v>
      </c>
      <c r="B54" s="24" t="str">
        <f>IFERROR(((2*SUMIFS(Table2[AwayWon], Table2[GameIsOver],1,Table2[AwayTeam],$A54, Table2[HomeTeam], B$36) + SUMIFS(Table2[HomeWon_], Table2[GameIsOver],1,Table2[HomeTeam],$A54, Table2[AwayTeam], B$36)) + SUMIFS(Table2[AwayWon], Table2[GameIsOver],1,Table2[HomeTeam],$A54, Table2[AwayTeam], B$36, Table2[ActualResult], "REG") + SUMIFS(Table2[HomeWon_], Table2[GameIsOver],1,Table2[AwayTeam],$A54, Table2[HomeTeam], B$36, Table2[ActualResult], "OT") + SUMIFS(Table2[AwayWon], Table2[GameIsOver],1,Table2[HomeTeam],$A54, Table2[AwayTeam], B$36, Table2[ActualResult], "OT") + SUMIFS(Table2[HomeWon_], Table2[GameIsOver],1,Table2[AwayTeam],$A54, Table2[HomeTeam], B$36, Table2[ActualResult], "SO") + SUMIFS(Table2[AwayWon], Table2[GameIsOver],1,Table2[HomeTeam],$A54, Table2[AwayTeam], B$36, Table2[ActualResult], "SO")) / (2*(SUMIFS(Table2[AwayWon], Table2[GameIsOver],1,Table2[AwayTeam],$A54, Table2[HomeTeam], B$36) + SUMIFS(Table2[HomeWon_], Table2[GameIsOver],1,Table2[HomeTeam],$A54, Table2[AwayTeam], B$36) + SUMIFS(Table2[HomeWon_], Table2[GameIsOver],1,Table2[AwayTeam],$A54, Table2[HomeTeam], B$36, Table2[ActualResult], "REG") + SUMIFS(Table2[AwayWon], Table2[GameIsOver],1,Table2[HomeTeam],$A54, Table2[AwayTeam], B$36, Table2[ActualResult], "REG") + SUMIFS(Table2[HomeWon_], Table2[GameIsOver],1,Table2[AwayTeam],$A54, Table2[HomeTeam], B$36, Table2[ActualResult], "OT") + SUMIFS(Table2[AwayWon], Table2[GameIsOver],1,Table2[HomeTeam],$A54, Table2[AwayTeam], B$36, Table2[ActualResult], "OT") + SUMIFS(Table2[HomeWon_], Table2[GameIsOver],1,Table2[AwayTeam],$A54, Table2[HomeTeam], B$36, Table2[ActualResult], "SO") + SUMIFS(Table2[AwayWon], Table2[GameIsOver],1,Table2[HomeTeam],$A54, Table2[AwayTeam], B$36, Table2[ActualResult], "SO"))), "")</f>
        <v/>
      </c>
      <c r="C54" s="24" t="str">
        <f>IFERROR(((2*SUMIFS(Table2[AwayWon], Table2[GameIsOver],1,Table2[AwayTeam],$A54, Table2[HomeTeam], C$36) + SUMIFS(Table2[HomeWon_], Table2[GameIsOver],1,Table2[HomeTeam],$A54, Table2[AwayTeam], C$36)) + SUMIFS(Table2[AwayWon], Table2[GameIsOver],1,Table2[HomeTeam],$A54, Table2[AwayTeam], C$36, Table2[ActualResult], "REG") + SUMIFS(Table2[HomeWon_], Table2[GameIsOver],1,Table2[AwayTeam],$A54, Table2[HomeTeam], C$36, Table2[ActualResult], "OT") + SUMIFS(Table2[AwayWon], Table2[GameIsOver],1,Table2[HomeTeam],$A54, Table2[AwayTeam], C$36, Table2[ActualResult], "OT") + SUMIFS(Table2[HomeWon_], Table2[GameIsOver],1,Table2[AwayTeam],$A54, Table2[HomeTeam], C$36, Table2[ActualResult], "SO") + SUMIFS(Table2[AwayWon], Table2[GameIsOver],1,Table2[HomeTeam],$A54, Table2[AwayTeam], C$36, Table2[ActualResult], "SO")) / (2*(SUMIFS(Table2[AwayWon], Table2[GameIsOver],1,Table2[AwayTeam],$A54, Table2[HomeTeam], C$36) + SUMIFS(Table2[HomeWon_], Table2[GameIsOver],1,Table2[HomeTeam],$A54, Table2[AwayTeam], C$36) + SUMIFS(Table2[HomeWon_], Table2[GameIsOver],1,Table2[AwayTeam],$A54, Table2[HomeTeam], C$36, Table2[ActualResult], "REG") + SUMIFS(Table2[AwayWon], Table2[GameIsOver],1,Table2[HomeTeam],$A54, Table2[AwayTeam], C$36, Table2[ActualResult], "REG") + SUMIFS(Table2[HomeWon_], Table2[GameIsOver],1,Table2[AwayTeam],$A54, Table2[HomeTeam], C$36, Table2[ActualResult], "OT") + SUMIFS(Table2[AwayWon], Table2[GameIsOver],1,Table2[HomeTeam],$A54, Table2[AwayTeam], C$36, Table2[ActualResult], "OT") + SUMIFS(Table2[HomeWon_], Table2[GameIsOver],1,Table2[AwayTeam],$A54, Table2[HomeTeam], C$36, Table2[ActualResult], "SO") + SUMIFS(Table2[AwayWon], Table2[GameIsOver],1,Table2[HomeTeam],$A54, Table2[AwayTeam], C$36, Table2[ActualResult], "SO"))), "")</f>
        <v/>
      </c>
      <c r="D54" t="str">
        <f>IFERROR(((2*SUMIFS(Table2[AwayWon], Table2[GameIsOver],1,Table2[AwayTeam],$A54, Table2[HomeTeam], D$36) + SUMIFS(Table2[HomeWon_], Table2[GameIsOver],1,Table2[HomeTeam],$A54, Table2[AwayTeam], D$36)) + SUMIFS(Table2[AwayWon], Table2[GameIsOver],1,Table2[HomeTeam],$A54, Table2[AwayTeam], D$36, Table2[ActualResult], "REG") + SUMIFS(Table2[HomeWon_], Table2[GameIsOver],1,Table2[AwayTeam],$A54, Table2[HomeTeam], D$36, Table2[ActualResult], "OT") + SUMIFS(Table2[AwayWon], Table2[GameIsOver],1,Table2[HomeTeam],$A54, Table2[AwayTeam], D$36, Table2[ActualResult], "OT") + SUMIFS(Table2[HomeWon_], Table2[GameIsOver],1,Table2[AwayTeam],$A54, Table2[HomeTeam], D$36, Table2[ActualResult], "SO") + SUMIFS(Table2[AwayWon], Table2[GameIsOver],1,Table2[HomeTeam],$A54, Table2[AwayTeam], D$36, Table2[ActualResult], "SO")) / (2*(SUMIFS(Table2[AwayWon], Table2[GameIsOver],1,Table2[AwayTeam],$A54, Table2[HomeTeam], D$36) + SUMIFS(Table2[HomeWon_], Table2[GameIsOver],1,Table2[HomeTeam],$A54, Table2[AwayTeam], D$36) + SUMIFS(Table2[HomeWon_], Table2[GameIsOver],1,Table2[AwayTeam],$A54, Table2[HomeTeam], D$36, Table2[ActualResult], "REG") + SUMIFS(Table2[AwayWon], Table2[GameIsOver],1,Table2[HomeTeam],$A54, Table2[AwayTeam], D$36, Table2[ActualResult], "REG") + SUMIFS(Table2[HomeWon_], Table2[GameIsOver],1,Table2[AwayTeam],$A54, Table2[HomeTeam], D$36, Table2[ActualResult], "OT") + SUMIFS(Table2[AwayWon], Table2[GameIsOver],1,Table2[HomeTeam],$A54, Table2[AwayTeam], D$36, Table2[ActualResult], "OT") + SUMIFS(Table2[HomeWon_], Table2[GameIsOver],1,Table2[AwayTeam],$A54, Table2[HomeTeam], D$36, Table2[ActualResult], "SO") + SUMIFS(Table2[AwayWon], Table2[GameIsOver],1,Table2[HomeTeam],$A54, Table2[AwayTeam], D$36, Table2[ActualResult], "SO"))), "")</f>
        <v/>
      </c>
      <c r="E54" t="str">
        <f>IFERROR(((2*SUMIFS(Table2[AwayWon], Table2[GameIsOver],1,Table2[AwayTeam],$A54, Table2[HomeTeam], E$36) + SUMIFS(Table2[HomeWon_], Table2[GameIsOver],1,Table2[HomeTeam],$A54, Table2[AwayTeam], E$36)) + SUMIFS(Table2[AwayWon], Table2[GameIsOver],1,Table2[HomeTeam],$A54, Table2[AwayTeam], E$36, Table2[ActualResult], "REG") + SUMIFS(Table2[HomeWon_], Table2[GameIsOver],1,Table2[AwayTeam],$A54, Table2[HomeTeam], E$36, Table2[ActualResult], "OT") + SUMIFS(Table2[AwayWon], Table2[GameIsOver],1,Table2[HomeTeam],$A54, Table2[AwayTeam], E$36, Table2[ActualResult], "OT") + SUMIFS(Table2[HomeWon_], Table2[GameIsOver],1,Table2[AwayTeam],$A54, Table2[HomeTeam], E$36, Table2[ActualResult], "SO") + SUMIFS(Table2[AwayWon], Table2[GameIsOver],1,Table2[HomeTeam],$A54, Table2[AwayTeam], E$36, Table2[ActualResult], "SO")) / (2*(SUMIFS(Table2[AwayWon], Table2[GameIsOver],1,Table2[AwayTeam],$A54, Table2[HomeTeam], E$36) + SUMIFS(Table2[HomeWon_], Table2[GameIsOver],1,Table2[HomeTeam],$A54, Table2[AwayTeam], E$36) + SUMIFS(Table2[HomeWon_], Table2[GameIsOver],1,Table2[AwayTeam],$A54, Table2[HomeTeam], E$36, Table2[ActualResult], "REG") + SUMIFS(Table2[AwayWon], Table2[GameIsOver],1,Table2[HomeTeam],$A54, Table2[AwayTeam], E$36, Table2[ActualResult], "REG") + SUMIFS(Table2[HomeWon_], Table2[GameIsOver],1,Table2[AwayTeam],$A54, Table2[HomeTeam], E$36, Table2[ActualResult], "OT") + SUMIFS(Table2[AwayWon], Table2[GameIsOver],1,Table2[HomeTeam],$A54, Table2[AwayTeam], E$36, Table2[ActualResult], "OT") + SUMIFS(Table2[HomeWon_], Table2[GameIsOver],1,Table2[AwayTeam],$A54, Table2[HomeTeam], E$36, Table2[ActualResult], "SO") + SUMIFS(Table2[AwayWon], Table2[GameIsOver],1,Table2[HomeTeam],$A54, Table2[AwayTeam], E$36, Table2[ActualResult], "SO"))), "")</f>
        <v/>
      </c>
      <c r="F54" t="str">
        <f>IFERROR(((2*SUMIFS(Table2[AwayWon], Table2[GameIsOver],1,Table2[AwayTeam],$A54, Table2[HomeTeam], F$36) + SUMIFS(Table2[HomeWon_], Table2[GameIsOver],1,Table2[HomeTeam],$A54, Table2[AwayTeam], F$36)) + SUMIFS(Table2[AwayWon], Table2[GameIsOver],1,Table2[HomeTeam],$A54, Table2[AwayTeam], F$36, Table2[ActualResult], "REG") + SUMIFS(Table2[HomeWon_], Table2[GameIsOver],1,Table2[AwayTeam],$A54, Table2[HomeTeam], F$36, Table2[ActualResult], "OT") + SUMIFS(Table2[AwayWon], Table2[GameIsOver],1,Table2[HomeTeam],$A54, Table2[AwayTeam], F$36, Table2[ActualResult], "OT") + SUMIFS(Table2[HomeWon_], Table2[GameIsOver],1,Table2[AwayTeam],$A54, Table2[HomeTeam], F$36, Table2[ActualResult], "SO") + SUMIFS(Table2[AwayWon], Table2[GameIsOver],1,Table2[HomeTeam],$A54, Table2[AwayTeam], F$36, Table2[ActualResult], "SO")) / (2*(SUMIFS(Table2[AwayWon], Table2[GameIsOver],1,Table2[AwayTeam],$A54, Table2[HomeTeam], F$36) + SUMIFS(Table2[HomeWon_], Table2[GameIsOver],1,Table2[HomeTeam],$A54, Table2[AwayTeam], F$36) + SUMIFS(Table2[HomeWon_], Table2[GameIsOver],1,Table2[AwayTeam],$A54, Table2[HomeTeam], F$36, Table2[ActualResult], "REG") + SUMIFS(Table2[AwayWon], Table2[GameIsOver],1,Table2[HomeTeam],$A54, Table2[AwayTeam], F$36, Table2[ActualResult], "REG") + SUMIFS(Table2[HomeWon_], Table2[GameIsOver],1,Table2[AwayTeam],$A54, Table2[HomeTeam], F$36, Table2[ActualResult], "OT") + SUMIFS(Table2[AwayWon], Table2[GameIsOver],1,Table2[HomeTeam],$A54, Table2[AwayTeam], F$36, Table2[ActualResult], "OT") + SUMIFS(Table2[HomeWon_], Table2[GameIsOver],1,Table2[AwayTeam],$A54, Table2[HomeTeam], F$36, Table2[ActualResult], "SO") + SUMIFS(Table2[AwayWon], Table2[GameIsOver],1,Table2[HomeTeam],$A54, Table2[AwayTeam], F$36, Table2[ActualResult], "SO"))), "")</f>
        <v/>
      </c>
      <c r="G54" t="str">
        <f>IFERROR(((2*SUMIFS(Table2[AwayWon], Table2[GameIsOver],1,Table2[AwayTeam],$A54, Table2[HomeTeam], G$36) + SUMIFS(Table2[HomeWon_], Table2[GameIsOver],1,Table2[HomeTeam],$A54, Table2[AwayTeam], G$36)) + SUMIFS(Table2[AwayWon], Table2[GameIsOver],1,Table2[HomeTeam],$A54, Table2[AwayTeam], G$36, Table2[ActualResult], "REG") + SUMIFS(Table2[HomeWon_], Table2[GameIsOver],1,Table2[AwayTeam],$A54, Table2[HomeTeam], G$36, Table2[ActualResult], "OT") + SUMIFS(Table2[AwayWon], Table2[GameIsOver],1,Table2[HomeTeam],$A54, Table2[AwayTeam], G$36, Table2[ActualResult], "OT") + SUMIFS(Table2[HomeWon_], Table2[GameIsOver],1,Table2[AwayTeam],$A54, Table2[HomeTeam], G$36, Table2[ActualResult], "SO") + SUMIFS(Table2[AwayWon], Table2[GameIsOver],1,Table2[HomeTeam],$A54, Table2[AwayTeam], G$36, Table2[ActualResult], "SO")) / (2*(SUMIFS(Table2[AwayWon], Table2[GameIsOver],1,Table2[AwayTeam],$A54, Table2[HomeTeam], G$36) + SUMIFS(Table2[HomeWon_], Table2[GameIsOver],1,Table2[HomeTeam],$A54, Table2[AwayTeam], G$36) + SUMIFS(Table2[HomeWon_], Table2[GameIsOver],1,Table2[AwayTeam],$A54, Table2[HomeTeam], G$36, Table2[ActualResult], "REG") + SUMIFS(Table2[AwayWon], Table2[GameIsOver],1,Table2[HomeTeam],$A54, Table2[AwayTeam], G$36, Table2[ActualResult], "REG") + SUMIFS(Table2[HomeWon_], Table2[GameIsOver],1,Table2[AwayTeam],$A54, Table2[HomeTeam], G$36, Table2[ActualResult], "OT") + SUMIFS(Table2[AwayWon], Table2[GameIsOver],1,Table2[HomeTeam],$A54, Table2[AwayTeam], G$36, Table2[ActualResult], "OT") + SUMIFS(Table2[HomeWon_], Table2[GameIsOver],1,Table2[AwayTeam],$A54, Table2[HomeTeam], G$36, Table2[ActualResult], "SO") + SUMIFS(Table2[AwayWon], Table2[GameIsOver],1,Table2[HomeTeam],$A54, Table2[AwayTeam], G$36, Table2[ActualResult], "SO"))), "")</f>
        <v/>
      </c>
      <c r="H54" t="str">
        <f>IFERROR(((2*SUMIFS(Table2[AwayWon], Table2[GameIsOver],1,Table2[AwayTeam],$A54, Table2[HomeTeam], H$36) + SUMIFS(Table2[HomeWon_], Table2[GameIsOver],1,Table2[HomeTeam],$A54, Table2[AwayTeam], H$36)) + SUMIFS(Table2[AwayWon], Table2[GameIsOver],1,Table2[HomeTeam],$A54, Table2[AwayTeam], H$36, Table2[ActualResult], "REG") + SUMIFS(Table2[HomeWon_], Table2[GameIsOver],1,Table2[AwayTeam],$A54, Table2[HomeTeam], H$36, Table2[ActualResult], "OT") + SUMIFS(Table2[AwayWon], Table2[GameIsOver],1,Table2[HomeTeam],$A54, Table2[AwayTeam], H$36, Table2[ActualResult], "OT") + SUMIFS(Table2[HomeWon_], Table2[GameIsOver],1,Table2[AwayTeam],$A54, Table2[HomeTeam], H$36, Table2[ActualResult], "SO") + SUMIFS(Table2[AwayWon], Table2[GameIsOver],1,Table2[HomeTeam],$A54, Table2[AwayTeam], H$36, Table2[ActualResult], "SO")) / (2*(SUMIFS(Table2[AwayWon], Table2[GameIsOver],1,Table2[AwayTeam],$A54, Table2[HomeTeam], H$36) + SUMIFS(Table2[HomeWon_], Table2[GameIsOver],1,Table2[HomeTeam],$A54, Table2[AwayTeam], H$36) + SUMIFS(Table2[HomeWon_], Table2[GameIsOver],1,Table2[AwayTeam],$A54, Table2[HomeTeam], H$36, Table2[ActualResult], "REG") + SUMIFS(Table2[AwayWon], Table2[GameIsOver],1,Table2[HomeTeam],$A54, Table2[AwayTeam], H$36, Table2[ActualResult], "REG") + SUMIFS(Table2[HomeWon_], Table2[GameIsOver],1,Table2[AwayTeam],$A54, Table2[HomeTeam], H$36, Table2[ActualResult], "OT") + SUMIFS(Table2[AwayWon], Table2[GameIsOver],1,Table2[HomeTeam],$A54, Table2[AwayTeam], H$36, Table2[ActualResult], "OT") + SUMIFS(Table2[HomeWon_], Table2[GameIsOver],1,Table2[AwayTeam],$A54, Table2[HomeTeam], H$36, Table2[ActualResult], "SO") + SUMIFS(Table2[AwayWon], Table2[GameIsOver],1,Table2[HomeTeam],$A54, Table2[AwayTeam], H$36, Table2[ActualResult], "SO"))), "")</f>
        <v/>
      </c>
      <c r="I54" s="57" t="str">
        <f>IFERROR(((2*SUMIFS(Table2[AwayWon], Table2[GameIsOver],1,Table2[AwayTeam],$A54, Table2[HomeTeam], I$36) + SUMIFS(Table2[HomeWon_], Table2[GameIsOver],1,Table2[HomeTeam],$A54, Table2[AwayTeam], I$36)) + SUMIFS(Table2[AwayWon], Table2[GameIsOver],1,Table2[HomeTeam],$A54, Table2[AwayTeam], I$36, Table2[ActualResult], "REG") + SUMIFS(Table2[HomeWon_], Table2[GameIsOver],1,Table2[AwayTeam],$A54, Table2[HomeTeam], I$36, Table2[ActualResult], "OT") + SUMIFS(Table2[AwayWon], Table2[GameIsOver],1,Table2[HomeTeam],$A54, Table2[AwayTeam], I$36, Table2[ActualResult], "OT") + SUMIFS(Table2[HomeWon_], Table2[GameIsOver],1,Table2[AwayTeam],$A54, Table2[HomeTeam], I$36, Table2[ActualResult], "SO") + SUMIFS(Table2[AwayWon], Table2[GameIsOver],1,Table2[HomeTeam],$A54, Table2[AwayTeam], I$36, Table2[ActualResult], "SO")) / (2*(SUMIFS(Table2[AwayWon], Table2[GameIsOver],1,Table2[AwayTeam],$A54, Table2[HomeTeam], I$36) + SUMIFS(Table2[HomeWon_], Table2[GameIsOver],1,Table2[HomeTeam],$A54, Table2[AwayTeam], I$36) + SUMIFS(Table2[HomeWon_], Table2[GameIsOver],1,Table2[AwayTeam],$A54, Table2[HomeTeam], I$36, Table2[ActualResult], "REG") + SUMIFS(Table2[AwayWon], Table2[GameIsOver],1,Table2[HomeTeam],$A54, Table2[AwayTeam], I$36, Table2[ActualResult], "REG") + SUMIFS(Table2[HomeWon_], Table2[GameIsOver],1,Table2[AwayTeam],$A54, Table2[HomeTeam], I$36, Table2[ActualResult], "OT") + SUMIFS(Table2[AwayWon], Table2[GameIsOver],1,Table2[HomeTeam],$A54, Table2[AwayTeam], I$36, Table2[ActualResult], "OT") + SUMIFS(Table2[HomeWon_], Table2[GameIsOver],1,Table2[AwayTeam],$A54, Table2[HomeTeam], I$36, Table2[ActualResult], "SO") + SUMIFS(Table2[AwayWon], Table2[GameIsOver],1,Table2[HomeTeam],$A54, Table2[AwayTeam], I$36, Table2[ActualResult], "SO"))), "")</f>
        <v/>
      </c>
      <c r="J54" t="str">
        <f>IFERROR(((2*SUMIFS(Table2[AwayWon], Table2[GameIsOver],1,Table2[AwayTeam],$A54, Table2[HomeTeam], J$36) + SUMIFS(Table2[HomeWon_], Table2[GameIsOver],1,Table2[HomeTeam],$A54, Table2[AwayTeam], J$36)) + SUMIFS(Table2[AwayWon], Table2[GameIsOver],1,Table2[HomeTeam],$A54, Table2[AwayTeam], J$36, Table2[ActualResult], "REG") + SUMIFS(Table2[HomeWon_], Table2[GameIsOver],1,Table2[AwayTeam],$A54, Table2[HomeTeam], J$36, Table2[ActualResult], "OT") + SUMIFS(Table2[AwayWon], Table2[GameIsOver],1,Table2[HomeTeam],$A54, Table2[AwayTeam], J$36, Table2[ActualResult], "OT") + SUMIFS(Table2[HomeWon_], Table2[GameIsOver],1,Table2[AwayTeam],$A54, Table2[HomeTeam], J$36, Table2[ActualResult], "SO") + SUMIFS(Table2[AwayWon], Table2[GameIsOver],1,Table2[HomeTeam],$A54, Table2[AwayTeam], J$36, Table2[ActualResult], "SO")) / (2*(SUMIFS(Table2[AwayWon], Table2[GameIsOver],1,Table2[AwayTeam],$A54, Table2[HomeTeam], J$36) + SUMIFS(Table2[HomeWon_], Table2[GameIsOver],1,Table2[HomeTeam],$A54, Table2[AwayTeam], J$36) + SUMIFS(Table2[HomeWon_], Table2[GameIsOver],1,Table2[AwayTeam],$A54, Table2[HomeTeam], J$36, Table2[ActualResult], "REG") + SUMIFS(Table2[AwayWon], Table2[GameIsOver],1,Table2[HomeTeam],$A54, Table2[AwayTeam], J$36, Table2[ActualResult], "REG") + SUMIFS(Table2[HomeWon_], Table2[GameIsOver],1,Table2[AwayTeam],$A54, Table2[HomeTeam], J$36, Table2[ActualResult], "OT") + SUMIFS(Table2[AwayWon], Table2[GameIsOver],1,Table2[HomeTeam],$A54, Table2[AwayTeam], J$36, Table2[ActualResult], "OT") + SUMIFS(Table2[HomeWon_], Table2[GameIsOver],1,Table2[AwayTeam],$A54, Table2[HomeTeam], J$36, Table2[ActualResult], "SO") + SUMIFS(Table2[AwayWon], Table2[GameIsOver],1,Table2[HomeTeam],$A54, Table2[AwayTeam], J$36, Table2[ActualResult], "SO"))), "")</f>
        <v/>
      </c>
      <c r="K54">
        <f>IFERROR(((2*SUMIFS(Table2[AwayWon], Table2[GameIsOver],1,Table2[AwayTeam],$A54, Table2[HomeTeam], K$36) + SUMIFS(Table2[HomeWon_], Table2[GameIsOver],1,Table2[HomeTeam],$A54, Table2[AwayTeam], K$36)) + SUMIFS(Table2[AwayWon], Table2[GameIsOver],1,Table2[HomeTeam],$A54, Table2[AwayTeam], K$36, Table2[ActualResult], "REG") + SUMIFS(Table2[HomeWon_], Table2[GameIsOver],1,Table2[AwayTeam],$A54, Table2[HomeTeam], K$36, Table2[ActualResult], "OT") + SUMIFS(Table2[AwayWon], Table2[GameIsOver],1,Table2[HomeTeam],$A54, Table2[AwayTeam], K$36, Table2[ActualResult], "OT") + SUMIFS(Table2[HomeWon_], Table2[GameIsOver],1,Table2[AwayTeam],$A54, Table2[HomeTeam], K$36, Table2[ActualResult], "SO") + SUMIFS(Table2[AwayWon], Table2[GameIsOver],1,Table2[HomeTeam],$A54, Table2[AwayTeam], K$36, Table2[ActualResult], "SO")) / (2*(SUMIFS(Table2[AwayWon], Table2[GameIsOver],1,Table2[AwayTeam],$A54, Table2[HomeTeam], K$36) + SUMIFS(Table2[HomeWon_], Table2[GameIsOver],1,Table2[HomeTeam],$A54, Table2[AwayTeam], K$36) + SUMIFS(Table2[HomeWon_], Table2[GameIsOver],1,Table2[AwayTeam],$A54, Table2[HomeTeam], K$36, Table2[ActualResult], "REG") + SUMIFS(Table2[AwayWon], Table2[GameIsOver],1,Table2[HomeTeam],$A54, Table2[AwayTeam], K$36, Table2[ActualResult], "REG") + SUMIFS(Table2[HomeWon_], Table2[GameIsOver],1,Table2[AwayTeam],$A54, Table2[HomeTeam], K$36, Table2[ActualResult], "OT") + SUMIFS(Table2[AwayWon], Table2[GameIsOver],1,Table2[HomeTeam],$A54, Table2[AwayTeam], K$36, Table2[ActualResult], "OT") + SUMIFS(Table2[HomeWon_], Table2[GameIsOver],1,Table2[AwayTeam],$A54, Table2[HomeTeam], K$36, Table2[ActualResult], "SO") + SUMIFS(Table2[AwayWon], Table2[GameIsOver],1,Table2[HomeTeam],$A54, Table2[AwayTeam], K$36, Table2[ActualResult], "SO"))), "")</f>
        <v>0.5</v>
      </c>
      <c r="L54">
        <f>IFERROR(((2*SUMIFS(Table2[AwayWon], Table2[GameIsOver],1,Table2[AwayTeam],$A54, Table2[HomeTeam], L$36) + SUMIFS(Table2[HomeWon_], Table2[GameIsOver],1,Table2[HomeTeam],$A54, Table2[AwayTeam], L$36)) + SUMIFS(Table2[AwayWon], Table2[GameIsOver],1,Table2[HomeTeam],$A54, Table2[AwayTeam], L$36, Table2[ActualResult], "REG") + SUMIFS(Table2[HomeWon_], Table2[GameIsOver],1,Table2[AwayTeam],$A54, Table2[HomeTeam], L$36, Table2[ActualResult], "OT") + SUMIFS(Table2[AwayWon], Table2[GameIsOver],1,Table2[HomeTeam],$A54, Table2[AwayTeam], L$36, Table2[ActualResult], "OT") + SUMIFS(Table2[HomeWon_], Table2[GameIsOver],1,Table2[AwayTeam],$A54, Table2[HomeTeam], L$36, Table2[ActualResult], "SO") + SUMIFS(Table2[AwayWon], Table2[GameIsOver],1,Table2[HomeTeam],$A54, Table2[AwayTeam], L$36, Table2[ActualResult], "SO")) / (2*(SUMIFS(Table2[AwayWon], Table2[GameIsOver],1,Table2[AwayTeam],$A54, Table2[HomeTeam], L$36) + SUMIFS(Table2[HomeWon_], Table2[GameIsOver],1,Table2[HomeTeam],$A54, Table2[AwayTeam], L$36) + SUMIFS(Table2[HomeWon_], Table2[GameIsOver],1,Table2[AwayTeam],$A54, Table2[HomeTeam], L$36, Table2[ActualResult], "REG") + SUMIFS(Table2[AwayWon], Table2[GameIsOver],1,Table2[HomeTeam],$A54, Table2[AwayTeam], L$36, Table2[ActualResult], "REG") + SUMIFS(Table2[HomeWon_], Table2[GameIsOver],1,Table2[AwayTeam],$A54, Table2[HomeTeam], L$36, Table2[ActualResult], "OT") + SUMIFS(Table2[AwayWon], Table2[GameIsOver],1,Table2[HomeTeam],$A54, Table2[AwayTeam], L$36, Table2[ActualResult], "OT") + SUMIFS(Table2[HomeWon_], Table2[GameIsOver],1,Table2[AwayTeam],$A54, Table2[HomeTeam], L$36, Table2[ActualResult], "SO") + SUMIFS(Table2[AwayWon], Table2[GameIsOver],1,Table2[HomeTeam],$A54, Table2[AwayTeam], L$36, Table2[ActualResult], "SO"))), "")</f>
        <v>1</v>
      </c>
      <c r="M54">
        <f>IFERROR(((2*SUMIFS(Table2[AwayWon], Table2[GameIsOver],1,Table2[AwayTeam],$A54, Table2[HomeTeam], M$36) + SUMIFS(Table2[HomeWon_], Table2[GameIsOver],1,Table2[HomeTeam],$A54, Table2[AwayTeam], M$36)) + SUMIFS(Table2[AwayWon], Table2[GameIsOver],1,Table2[HomeTeam],$A54, Table2[AwayTeam], M$36, Table2[ActualResult], "REG") + SUMIFS(Table2[HomeWon_], Table2[GameIsOver],1,Table2[AwayTeam],$A54, Table2[HomeTeam], M$36, Table2[ActualResult], "OT") + SUMIFS(Table2[AwayWon], Table2[GameIsOver],1,Table2[HomeTeam],$A54, Table2[AwayTeam], M$36, Table2[ActualResult], "OT") + SUMIFS(Table2[HomeWon_], Table2[GameIsOver],1,Table2[AwayTeam],$A54, Table2[HomeTeam], M$36, Table2[ActualResult], "SO") + SUMIFS(Table2[AwayWon], Table2[GameIsOver],1,Table2[HomeTeam],$A54, Table2[AwayTeam], M$36, Table2[ActualResult], "SO")) / (2*(SUMIFS(Table2[AwayWon], Table2[GameIsOver],1,Table2[AwayTeam],$A54, Table2[HomeTeam], M$36) + SUMIFS(Table2[HomeWon_], Table2[GameIsOver],1,Table2[HomeTeam],$A54, Table2[AwayTeam], M$36) + SUMIFS(Table2[HomeWon_], Table2[GameIsOver],1,Table2[AwayTeam],$A54, Table2[HomeTeam], M$36, Table2[ActualResult], "REG") + SUMIFS(Table2[AwayWon], Table2[GameIsOver],1,Table2[HomeTeam],$A54, Table2[AwayTeam], M$36, Table2[ActualResult], "REG") + SUMIFS(Table2[HomeWon_], Table2[GameIsOver],1,Table2[AwayTeam],$A54, Table2[HomeTeam], M$36, Table2[ActualResult], "OT") + SUMIFS(Table2[AwayWon], Table2[GameIsOver],1,Table2[HomeTeam],$A54, Table2[AwayTeam], M$36, Table2[ActualResult], "OT") + SUMIFS(Table2[HomeWon_], Table2[GameIsOver],1,Table2[AwayTeam],$A54, Table2[HomeTeam], M$36, Table2[ActualResult], "SO") + SUMIFS(Table2[AwayWon], Table2[GameIsOver],1,Table2[HomeTeam],$A54, Table2[AwayTeam], M$36, Table2[ActualResult], "SO"))), "")</f>
        <v>1</v>
      </c>
      <c r="N54">
        <f>IFERROR(((2*SUMIFS(Table2[AwayWon], Table2[GameIsOver],1,Table2[AwayTeam],$A54, Table2[HomeTeam], N$36) + SUMIFS(Table2[HomeWon_], Table2[GameIsOver],1,Table2[HomeTeam],$A54, Table2[AwayTeam], N$36)) + SUMIFS(Table2[AwayWon], Table2[GameIsOver],1,Table2[HomeTeam],$A54, Table2[AwayTeam], N$36, Table2[ActualResult], "REG") + SUMIFS(Table2[HomeWon_], Table2[GameIsOver],1,Table2[AwayTeam],$A54, Table2[HomeTeam], N$36, Table2[ActualResult], "OT") + SUMIFS(Table2[AwayWon], Table2[GameIsOver],1,Table2[HomeTeam],$A54, Table2[AwayTeam], N$36, Table2[ActualResult], "OT") + SUMIFS(Table2[HomeWon_], Table2[GameIsOver],1,Table2[AwayTeam],$A54, Table2[HomeTeam], N$36, Table2[ActualResult], "SO") + SUMIFS(Table2[AwayWon], Table2[GameIsOver],1,Table2[HomeTeam],$A54, Table2[AwayTeam], N$36, Table2[ActualResult], "SO")) / (2*(SUMIFS(Table2[AwayWon], Table2[GameIsOver],1,Table2[AwayTeam],$A54, Table2[HomeTeam], N$36) + SUMIFS(Table2[HomeWon_], Table2[GameIsOver],1,Table2[HomeTeam],$A54, Table2[AwayTeam], N$36) + SUMIFS(Table2[HomeWon_], Table2[GameIsOver],1,Table2[AwayTeam],$A54, Table2[HomeTeam], N$36, Table2[ActualResult], "REG") + SUMIFS(Table2[AwayWon], Table2[GameIsOver],1,Table2[HomeTeam],$A54, Table2[AwayTeam], N$36, Table2[ActualResult], "REG") + SUMIFS(Table2[HomeWon_], Table2[GameIsOver],1,Table2[AwayTeam],$A54, Table2[HomeTeam], N$36, Table2[ActualResult], "OT") + SUMIFS(Table2[AwayWon], Table2[GameIsOver],1,Table2[HomeTeam],$A54, Table2[AwayTeam], N$36, Table2[ActualResult], "OT") + SUMIFS(Table2[HomeWon_], Table2[GameIsOver],1,Table2[AwayTeam],$A54, Table2[HomeTeam], N$36, Table2[ActualResult], "SO") + SUMIFS(Table2[AwayWon], Table2[GameIsOver],1,Table2[HomeTeam],$A54, Table2[AwayTeam], N$36, Table2[ActualResult], "SO"))), "")</f>
        <v>0</v>
      </c>
      <c r="O54" t="str">
        <f>IFERROR(((2*SUMIFS(Table2[AwayWon], Table2[GameIsOver],1,Table2[AwayTeam],$A54, Table2[HomeTeam], O$36) + SUMIFS(Table2[HomeWon_], Table2[GameIsOver],1,Table2[HomeTeam],$A54, Table2[AwayTeam], O$36)) + SUMIFS(Table2[AwayWon], Table2[GameIsOver],1,Table2[HomeTeam],$A54, Table2[AwayTeam], O$36, Table2[ActualResult], "REG") + SUMIFS(Table2[HomeWon_], Table2[GameIsOver],1,Table2[AwayTeam],$A54, Table2[HomeTeam], O$36, Table2[ActualResult], "OT") + SUMIFS(Table2[AwayWon], Table2[GameIsOver],1,Table2[HomeTeam],$A54, Table2[AwayTeam], O$36, Table2[ActualResult], "OT") + SUMIFS(Table2[HomeWon_], Table2[GameIsOver],1,Table2[AwayTeam],$A54, Table2[HomeTeam], O$36, Table2[ActualResult], "SO") + SUMIFS(Table2[AwayWon], Table2[GameIsOver],1,Table2[HomeTeam],$A54, Table2[AwayTeam], O$36, Table2[ActualResult], "SO")) / (2*(SUMIFS(Table2[AwayWon], Table2[GameIsOver],1,Table2[AwayTeam],$A54, Table2[HomeTeam], O$36) + SUMIFS(Table2[HomeWon_], Table2[GameIsOver],1,Table2[HomeTeam],$A54, Table2[AwayTeam], O$36) + SUMIFS(Table2[HomeWon_], Table2[GameIsOver],1,Table2[AwayTeam],$A54, Table2[HomeTeam], O$36, Table2[ActualResult], "REG") + SUMIFS(Table2[AwayWon], Table2[GameIsOver],1,Table2[HomeTeam],$A54, Table2[AwayTeam], O$36, Table2[ActualResult], "REG") + SUMIFS(Table2[HomeWon_], Table2[GameIsOver],1,Table2[AwayTeam],$A54, Table2[HomeTeam], O$36, Table2[ActualResult], "OT") + SUMIFS(Table2[AwayWon], Table2[GameIsOver],1,Table2[HomeTeam],$A54, Table2[AwayTeam], O$36, Table2[ActualResult], "OT") + SUMIFS(Table2[HomeWon_], Table2[GameIsOver],1,Table2[AwayTeam],$A54, Table2[HomeTeam], O$36, Table2[ActualResult], "SO") + SUMIFS(Table2[AwayWon], Table2[GameIsOver],1,Table2[HomeTeam],$A54, Table2[AwayTeam], O$36, Table2[ActualResult], "SO"))), "")</f>
        <v/>
      </c>
      <c r="P54" t="str">
        <f>IFERROR(((2*SUMIFS(Table2[AwayWon], Table2[GameIsOver],1,Table2[AwayTeam],$A54, Table2[HomeTeam], P$36) + SUMIFS(Table2[HomeWon_], Table2[GameIsOver],1,Table2[HomeTeam],$A54, Table2[AwayTeam], P$36)) + SUMIFS(Table2[AwayWon], Table2[GameIsOver],1,Table2[HomeTeam],$A54, Table2[AwayTeam], P$36, Table2[ActualResult], "REG") + SUMIFS(Table2[HomeWon_], Table2[GameIsOver],1,Table2[AwayTeam],$A54, Table2[HomeTeam], P$36, Table2[ActualResult], "OT") + SUMIFS(Table2[AwayWon], Table2[GameIsOver],1,Table2[HomeTeam],$A54, Table2[AwayTeam], P$36, Table2[ActualResult], "OT") + SUMIFS(Table2[HomeWon_], Table2[GameIsOver],1,Table2[AwayTeam],$A54, Table2[HomeTeam], P$36, Table2[ActualResult], "SO") + SUMIFS(Table2[AwayWon], Table2[GameIsOver],1,Table2[HomeTeam],$A54, Table2[AwayTeam], P$36, Table2[ActualResult], "SO")) / (2*(SUMIFS(Table2[AwayWon], Table2[GameIsOver],1,Table2[AwayTeam],$A54, Table2[HomeTeam], P$36) + SUMIFS(Table2[HomeWon_], Table2[GameIsOver],1,Table2[HomeTeam],$A54, Table2[AwayTeam], P$36) + SUMIFS(Table2[HomeWon_], Table2[GameIsOver],1,Table2[AwayTeam],$A54, Table2[HomeTeam], P$36, Table2[ActualResult], "REG") + SUMIFS(Table2[AwayWon], Table2[GameIsOver],1,Table2[HomeTeam],$A54, Table2[AwayTeam], P$36, Table2[ActualResult], "REG") + SUMIFS(Table2[HomeWon_], Table2[GameIsOver],1,Table2[AwayTeam],$A54, Table2[HomeTeam], P$36, Table2[ActualResult], "OT") + SUMIFS(Table2[AwayWon], Table2[GameIsOver],1,Table2[HomeTeam],$A54, Table2[AwayTeam], P$36, Table2[ActualResult], "OT") + SUMIFS(Table2[HomeWon_], Table2[GameIsOver],1,Table2[AwayTeam],$A54, Table2[HomeTeam], P$36, Table2[ActualResult], "SO") + SUMIFS(Table2[AwayWon], Table2[GameIsOver],1,Table2[HomeTeam],$A54, Table2[AwayTeam], P$36, Table2[ActualResult], "SO"))), "")</f>
        <v/>
      </c>
      <c r="Q54" s="57" t="str">
        <f>IFERROR(((2*SUMIFS(Table2[AwayWon], Table2[GameIsOver],1,Table2[AwayTeam],$A54, Table2[HomeTeam], Q$36) + SUMIFS(Table2[HomeWon_], Table2[GameIsOver],1,Table2[HomeTeam],$A54, Table2[AwayTeam], Q$36)) + SUMIFS(Table2[AwayWon], Table2[GameIsOver],1,Table2[HomeTeam],$A54, Table2[AwayTeam], Q$36, Table2[ActualResult], "REG") + SUMIFS(Table2[HomeWon_], Table2[GameIsOver],1,Table2[AwayTeam],$A54, Table2[HomeTeam], Q$36, Table2[ActualResult], "OT") + SUMIFS(Table2[AwayWon], Table2[GameIsOver],1,Table2[HomeTeam],$A54, Table2[AwayTeam], Q$36, Table2[ActualResult], "OT") + SUMIFS(Table2[HomeWon_], Table2[GameIsOver],1,Table2[AwayTeam],$A54, Table2[HomeTeam], Q$36, Table2[ActualResult], "SO") + SUMIFS(Table2[AwayWon], Table2[GameIsOver],1,Table2[HomeTeam],$A54, Table2[AwayTeam], Q$36, Table2[ActualResult], "SO")) / (2*(SUMIFS(Table2[AwayWon], Table2[GameIsOver],1,Table2[AwayTeam],$A54, Table2[HomeTeam], Q$36) + SUMIFS(Table2[HomeWon_], Table2[GameIsOver],1,Table2[HomeTeam],$A54, Table2[AwayTeam], Q$36) + SUMIFS(Table2[HomeWon_], Table2[GameIsOver],1,Table2[AwayTeam],$A54, Table2[HomeTeam], Q$36, Table2[ActualResult], "REG") + SUMIFS(Table2[AwayWon], Table2[GameIsOver],1,Table2[HomeTeam],$A54, Table2[AwayTeam], Q$36, Table2[ActualResult], "REG") + SUMIFS(Table2[HomeWon_], Table2[GameIsOver],1,Table2[AwayTeam],$A54, Table2[HomeTeam], Q$36, Table2[ActualResult], "OT") + SUMIFS(Table2[AwayWon], Table2[GameIsOver],1,Table2[HomeTeam],$A54, Table2[AwayTeam], Q$36, Table2[ActualResult], "OT") + SUMIFS(Table2[HomeWon_], Table2[GameIsOver],1,Table2[AwayTeam],$A54, Table2[HomeTeam], Q$36, Table2[ActualResult], "SO") + SUMIFS(Table2[AwayWon], Table2[GameIsOver],1,Table2[HomeTeam],$A54, Table2[AwayTeam], Q$36, Table2[ActualResult], "SO"))), "")</f>
        <v/>
      </c>
      <c r="R54" t="str">
        <f>IFERROR(((2*SUMIFS(Table2[AwayWon], Table2[GameIsOver],1,Table2[AwayTeam],$A54, Table2[HomeTeam], R$36) + SUMIFS(Table2[HomeWon_], Table2[GameIsOver],1,Table2[HomeTeam],$A54, Table2[AwayTeam], R$36)) + SUMIFS(Table2[AwayWon], Table2[GameIsOver],1,Table2[HomeTeam],$A54, Table2[AwayTeam], R$36, Table2[ActualResult], "REG") + SUMIFS(Table2[HomeWon_], Table2[GameIsOver],1,Table2[AwayTeam],$A54, Table2[HomeTeam], R$36, Table2[ActualResult], "OT") + SUMIFS(Table2[AwayWon], Table2[GameIsOver],1,Table2[HomeTeam],$A54, Table2[AwayTeam], R$36, Table2[ActualResult], "OT") + SUMIFS(Table2[HomeWon_], Table2[GameIsOver],1,Table2[AwayTeam],$A54, Table2[HomeTeam], R$36, Table2[ActualResult], "SO") + SUMIFS(Table2[AwayWon], Table2[GameIsOver],1,Table2[HomeTeam],$A54, Table2[AwayTeam], R$36, Table2[ActualResult], "SO")) / (2*(SUMIFS(Table2[AwayWon], Table2[GameIsOver],1,Table2[AwayTeam],$A54, Table2[HomeTeam], R$36) + SUMIFS(Table2[HomeWon_], Table2[GameIsOver],1,Table2[HomeTeam],$A54, Table2[AwayTeam], R$36) + SUMIFS(Table2[HomeWon_], Table2[GameIsOver],1,Table2[AwayTeam],$A54, Table2[HomeTeam], R$36, Table2[ActualResult], "REG") + SUMIFS(Table2[AwayWon], Table2[GameIsOver],1,Table2[HomeTeam],$A54, Table2[AwayTeam], R$36, Table2[ActualResult], "REG") + SUMIFS(Table2[HomeWon_], Table2[GameIsOver],1,Table2[AwayTeam],$A54, Table2[HomeTeam], R$36, Table2[ActualResult], "OT") + SUMIFS(Table2[AwayWon], Table2[GameIsOver],1,Table2[HomeTeam],$A54, Table2[AwayTeam], R$36, Table2[ActualResult], "OT") + SUMIFS(Table2[HomeWon_], Table2[GameIsOver],1,Table2[AwayTeam],$A54, Table2[HomeTeam], R$36, Table2[ActualResult], "SO") + SUMIFS(Table2[AwayWon], Table2[GameIsOver],1,Table2[HomeTeam],$A54, Table2[AwayTeam], R$36, Table2[ActualResult], "SO"))), "")</f>
        <v/>
      </c>
      <c r="S54" s="98" t="str">
        <f>IFERROR(((2*SUMIFS(Table2[AwayWon], Table2[GameIsOver],1,Table2[AwayTeam],$A54, Table2[HomeTeam], S$36) + SUMIFS(Table2[HomeWon_], Table2[GameIsOver],1,Table2[HomeTeam],$A54, Table2[AwayTeam], S$36)) + SUMIFS(Table2[AwayWon], Table2[GameIsOver],1,Table2[HomeTeam],$A54, Table2[AwayTeam], S$36, Table2[ActualResult], "REG") + SUMIFS(Table2[HomeWon_], Table2[GameIsOver],1,Table2[AwayTeam],$A54, Table2[HomeTeam], S$36, Table2[ActualResult], "OT") + SUMIFS(Table2[AwayWon], Table2[GameIsOver],1,Table2[HomeTeam],$A54, Table2[AwayTeam], S$36, Table2[ActualResult], "OT") + SUMIFS(Table2[HomeWon_], Table2[GameIsOver],1,Table2[AwayTeam],$A54, Table2[HomeTeam], S$36, Table2[ActualResult], "SO") + SUMIFS(Table2[AwayWon], Table2[GameIsOver],1,Table2[HomeTeam],$A54, Table2[AwayTeam], S$36, Table2[ActualResult], "SO")) / (2*(SUMIFS(Table2[AwayWon], Table2[GameIsOver],1,Table2[AwayTeam],$A54, Table2[HomeTeam], S$36) + SUMIFS(Table2[HomeWon_], Table2[GameIsOver],1,Table2[HomeTeam],$A54, Table2[AwayTeam], S$36) + SUMIFS(Table2[HomeWon_], Table2[GameIsOver],1,Table2[AwayTeam],$A54, Table2[HomeTeam], S$36, Table2[ActualResult], "REG") + SUMIFS(Table2[AwayWon], Table2[GameIsOver],1,Table2[HomeTeam],$A54, Table2[AwayTeam], S$36, Table2[ActualResult], "REG") + SUMIFS(Table2[HomeWon_], Table2[GameIsOver],1,Table2[AwayTeam],$A54, Table2[HomeTeam], S$36, Table2[ActualResult], "OT") + SUMIFS(Table2[AwayWon], Table2[GameIsOver],1,Table2[HomeTeam],$A54, Table2[AwayTeam], S$36, Table2[ActualResult], "OT") + SUMIFS(Table2[HomeWon_], Table2[GameIsOver],1,Table2[AwayTeam],$A54, Table2[HomeTeam], S$36, Table2[ActualResult], "SO") + SUMIFS(Table2[AwayWon], Table2[GameIsOver],1,Table2[HomeTeam],$A54, Table2[AwayTeam], S$36, Table2[ActualResult], "SO"))), "")</f>
        <v/>
      </c>
      <c r="T54">
        <f>IFERROR(((2*SUMIFS(Table2[AwayWon], Table2[GameIsOver],1,Table2[AwayTeam],$A54, Table2[HomeTeam], T$36) + SUMIFS(Table2[HomeWon_], Table2[GameIsOver],1,Table2[HomeTeam],$A54, Table2[AwayTeam], T$36)) + SUMIFS(Table2[AwayWon], Table2[GameIsOver],1,Table2[HomeTeam],$A54, Table2[AwayTeam], T$36, Table2[ActualResult], "REG") + SUMIFS(Table2[HomeWon_], Table2[GameIsOver],1,Table2[AwayTeam],$A54, Table2[HomeTeam], T$36, Table2[ActualResult], "OT") + SUMIFS(Table2[AwayWon], Table2[GameIsOver],1,Table2[HomeTeam],$A54, Table2[AwayTeam], T$36, Table2[ActualResult], "OT") + SUMIFS(Table2[HomeWon_], Table2[GameIsOver],1,Table2[AwayTeam],$A54, Table2[HomeTeam], T$36, Table2[ActualResult], "SO") + SUMIFS(Table2[AwayWon], Table2[GameIsOver],1,Table2[HomeTeam],$A54, Table2[AwayTeam], T$36, Table2[ActualResult], "SO")) / (2*(SUMIFS(Table2[AwayWon], Table2[GameIsOver],1,Table2[AwayTeam],$A54, Table2[HomeTeam], T$36) + SUMIFS(Table2[HomeWon_], Table2[GameIsOver],1,Table2[HomeTeam],$A54, Table2[AwayTeam], T$36) + SUMIFS(Table2[HomeWon_], Table2[GameIsOver],1,Table2[AwayTeam],$A54, Table2[HomeTeam], T$36, Table2[ActualResult], "REG") + SUMIFS(Table2[AwayWon], Table2[GameIsOver],1,Table2[HomeTeam],$A54, Table2[AwayTeam], T$36, Table2[ActualResult], "REG") + SUMIFS(Table2[HomeWon_], Table2[GameIsOver],1,Table2[AwayTeam],$A54, Table2[HomeTeam], T$36, Table2[ActualResult], "OT") + SUMIFS(Table2[AwayWon], Table2[GameIsOver],1,Table2[HomeTeam],$A54, Table2[AwayTeam], T$36, Table2[ActualResult], "OT") + SUMIFS(Table2[HomeWon_], Table2[GameIsOver],1,Table2[AwayTeam],$A54, Table2[HomeTeam], T$36, Table2[ActualResult], "SO") + SUMIFS(Table2[AwayWon], Table2[GameIsOver],1,Table2[HomeTeam],$A54, Table2[AwayTeam], T$36, Table2[ActualResult], "SO"))), "")</f>
        <v>0.5</v>
      </c>
      <c r="U54" t="str">
        <f>IFERROR(((2*SUMIFS(Table2[AwayWon], Table2[GameIsOver],1,Table2[AwayTeam],$A54, Table2[HomeTeam], U$36) + SUMIFS(Table2[HomeWon_], Table2[GameIsOver],1,Table2[HomeTeam],$A54, Table2[AwayTeam], U$36)) + SUMIFS(Table2[AwayWon], Table2[GameIsOver],1,Table2[HomeTeam],$A54, Table2[AwayTeam], U$36, Table2[ActualResult], "REG") + SUMIFS(Table2[HomeWon_], Table2[GameIsOver],1,Table2[AwayTeam],$A54, Table2[HomeTeam], U$36, Table2[ActualResult], "OT") + SUMIFS(Table2[AwayWon], Table2[GameIsOver],1,Table2[HomeTeam],$A54, Table2[AwayTeam], U$36, Table2[ActualResult], "OT") + SUMIFS(Table2[HomeWon_], Table2[GameIsOver],1,Table2[AwayTeam],$A54, Table2[HomeTeam], U$36, Table2[ActualResult], "SO") + SUMIFS(Table2[AwayWon], Table2[GameIsOver],1,Table2[HomeTeam],$A54, Table2[AwayTeam], U$36, Table2[ActualResult], "SO")) / (2*(SUMIFS(Table2[AwayWon], Table2[GameIsOver],1,Table2[AwayTeam],$A54, Table2[HomeTeam], U$36) + SUMIFS(Table2[HomeWon_], Table2[GameIsOver],1,Table2[HomeTeam],$A54, Table2[AwayTeam], U$36) + SUMIFS(Table2[HomeWon_], Table2[GameIsOver],1,Table2[AwayTeam],$A54, Table2[HomeTeam], U$36, Table2[ActualResult], "REG") + SUMIFS(Table2[AwayWon], Table2[GameIsOver],1,Table2[HomeTeam],$A54, Table2[AwayTeam], U$36, Table2[ActualResult], "REG") + SUMIFS(Table2[HomeWon_], Table2[GameIsOver],1,Table2[AwayTeam],$A54, Table2[HomeTeam], U$36, Table2[ActualResult], "OT") + SUMIFS(Table2[AwayWon], Table2[GameIsOver],1,Table2[HomeTeam],$A54, Table2[AwayTeam], U$36, Table2[ActualResult], "OT") + SUMIFS(Table2[HomeWon_], Table2[GameIsOver],1,Table2[AwayTeam],$A54, Table2[HomeTeam], U$36, Table2[ActualResult], "SO") + SUMIFS(Table2[AwayWon], Table2[GameIsOver],1,Table2[HomeTeam],$A54, Table2[AwayTeam], U$36, Table2[ActualResult], "SO"))), "")</f>
        <v/>
      </c>
      <c r="V54" t="str">
        <f>IFERROR(((2*SUMIFS(Table2[AwayWon], Table2[GameIsOver],1,Table2[AwayTeam],$A54, Table2[HomeTeam], V$36) + SUMIFS(Table2[HomeWon_], Table2[GameIsOver],1,Table2[HomeTeam],$A54, Table2[AwayTeam], V$36)) + SUMIFS(Table2[AwayWon], Table2[GameIsOver],1,Table2[HomeTeam],$A54, Table2[AwayTeam], V$36, Table2[ActualResult], "REG") + SUMIFS(Table2[HomeWon_], Table2[GameIsOver],1,Table2[AwayTeam],$A54, Table2[HomeTeam], V$36, Table2[ActualResult], "OT") + SUMIFS(Table2[AwayWon], Table2[GameIsOver],1,Table2[HomeTeam],$A54, Table2[AwayTeam], V$36, Table2[ActualResult], "OT") + SUMIFS(Table2[HomeWon_], Table2[GameIsOver],1,Table2[AwayTeam],$A54, Table2[HomeTeam], V$36, Table2[ActualResult], "SO") + SUMIFS(Table2[AwayWon], Table2[GameIsOver],1,Table2[HomeTeam],$A54, Table2[AwayTeam], V$36, Table2[ActualResult], "SO")) / (2*(SUMIFS(Table2[AwayWon], Table2[GameIsOver],1,Table2[AwayTeam],$A54, Table2[HomeTeam], V$36) + SUMIFS(Table2[HomeWon_], Table2[GameIsOver],1,Table2[HomeTeam],$A54, Table2[AwayTeam], V$36) + SUMIFS(Table2[HomeWon_], Table2[GameIsOver],1,Table2[AwayTeam],$A54, Table2[HomeTeam], V$36, Table2[ActualResult], "REG") + SUMIFS(Table2[AwayWon], Table2[GameIsOver],1,Table2[HomeTeam],$A54, Table2[AwayTeam], V$36, Table2[ActualResult], "REG") + SUMIFS(Table2[HomeWon_], Table2[GameIsOver],1,Table2[AwayTeam],$A54, Table2[HomeTeam], V$36, Table2[ActualResult], "OT") + SUMIFS(Table2[AwayWon], Table2[GameIsOver],1,Table2[HomeTeam],$A54, Table2[AwayTeam], V$36, Table2[ActualResult], "OT") + SUMIFS(Table2[HomeWon_], Table2[GameIsOver],1,Table2[AwayTeam],$A54, Table2[HomeTeam], V$36, Table2[ActualResult], "SO") + SUMIFS(Table2[AwayWon], Table2[GameIsOver],1,Table2[HomeTeam],$A54, Table2[AwayTeam], V$36, Table2[ActualResult], "SO"))), "")</f>
        <v/>
      </c>
      <c r="W54" t="str">
        <f>IFERROR(((2*SUMIFS(Table2[AwayWon], Table2[GameIsOver],1,Table2[AwayTeam],$A54, Table2[HomeTeam], W$36) + SUMIFS(Table2[HomeWon_], Table2[GameIsOver],1,Table2[HomeTeam],$A54, Table2[AwayTeam], W$36)) + SUMIFS(Table2[AwayWon], Table2[GameIsOver],1,Table2[HomeTeam],$A54, Table2[AwayTeam], W$36, Table2[ActualResult], "REG") + SUMIFS(Table2[HomeWon_], Table2[GameIsOver],1,Table2[AwayTeam],$A54, Table2[HomeTeam], W$36, Table2[ActualResult], "OT") + SUMIFS(Table2[AwayWon], Table2[GameIsOver],1,Table2[HomeTeam],$A54, Table2[AwayTeam], W$36, Table2[ActualResult], "OT") + SUMIFS(Table2[HomeWon_], Table2[GameIsOver],1,Table2[AwayTeam],$A54, Table2[HomeTeam], W$36, Table2[ActualResult], "SO") + SUMIFS(Table2[AwayWon], Table2[GameIsOver],1,Table2[HomeTeam],$A54, Table2[AwayTeam], W$36, Table2[ActualResult], "SO")) / (2*(SUMIFS(Table2[AwayWon], Table2[GameIsOver],1,Table2[AwayTeam],$A54, Table2[HomeTeam], W$36) + SUMIFS(Table2[HomeWon_], Table2[GameIsOver],1,Table2[HomeTeam],$A54, Table2[AwayTeam], W$36) + SUMIFS(Table2[HomeWon_], Table2[GameIsOver],1,Table2[AwayTeam],$A54, Table2[HomeTeam], W$36, Table2[ActualResult], "REG") + SUMIFS(Table2[AwayWon], Table2[GameIsOver],1,Table2[HomeTeam],$A54, Table2[AwayTeam], W$36, Table2[ActualResult], "REG") + SUMIFS(Table2[HomeWon_], Table2[GameIsOver],1,Table2[AwayTeam],$A54, Table2[HomeTeam], W$36, Table2[ActualResult], "OT") + SUMIFS(Table2[AwayWon], Table2[GameIsOver],1,Table2[HomeTeam],$A54, Table2[AwayTeam], W$36, Table2[ActualResult], "OT") + SUMIFS(Table2[HomeWon_], Table2[GameIsOver],1,Table2[AwayTeam],$A54, Table2[HomeTeam], W$36, Table2[ActualResult], "SO") + SUMIFS(Table2[AwayWon], Table2[GameIsOver],1,Table2[HomeTeam],$A54, Table2[AwayTeam], W$36, Table2[ActualResult], "SO"))), "")</f>
        <v/>
      </c>
      <c r="X54" t="str">
        <f>IFERROR(((2*SUMIFS(Table2[AwayWon], Table2[GameIsOver],1,Table2[AwayTeam],$A54, Table2[HomeTeam], X$36) + SUMIFS(Table2[HomeWon_], Table2[GameIsOver],1,Table2[HomeTeam],$A54, Table2[AwayTeam], X$36)) + SUMIFS(Table2[AwayWon], Table2[GameIsOver],1,Table2[HomeTeam],$A54, Table2[AwayTeam], X$36, Table2[ActualResult], "REG") + SUMIFS(Table2[HomeWon_], Table2[GameIsOver],1,Table2[AwayTeam],$A54, Table2[HomeTeam], X$36, Table2[ActualResult], "OT") + SUMIFS(Table2[AwayWon], Table2[GameIsOver],1,Table2[HomeTeam],$A54, Table2[AwayTeam], X$36, Table2[ActualResult], "OT") + SUMIFS(Table2[HomeWon_], Table2[GameIsOver],1,Table2[AwayTeam],$A54, Table2[HomeTeam], X$36, Table2[ActualResult], "SO") + SUMIFS(Table2[AwayWon], Table2[GameIsOver],1,Table2[HomeTeam],$A54, Table2[AwayTeam], X$36, Table2[ActualResult], "SO")) / (2*(SUMIFS(Table2[AwayWon], Table2[GameIsOver],1,Table2[AwayTeam],$A54, Table2[HomeTeam], X$36) + SUMIFS(Table2[HomeWon_], Table2[GameIsOver],1,Table2[HomeTeam],$A54, Table2[AwayTeam], X$36) + SUMIFS(Table2[HomeWon_], Table2[GameIsOver],1,Table2[AwayTeam],$A54, Table2[HomeTeam], X$36, Table2[ActualResult], "REG") + SUMIFS(Table2[AwayWon], Table2[GameIsOver],1,Table2[HomeTeam],$A54, Table2[AwayTeam], X$36, Table2[ActualResult], "REG") + SUMIFS(Table2[HomeWon_], Table2[GameIsOver],1,Table2[AwayTeam],$A54, Table2[HomeTeam], X$36, Table2[ActualResult], "OT") + SUMIFS(Table2[AwayWon], Table2[GameIsOver],1,Table2[HomeTeam],$A54, Table2[AwayTeam], X$36, Table2[ActualResult], "OT") + SUMIFS(Table2[HomeWon_], Table2[GameIsOver],1,Table2[AwayTeam],$A54, Table2[HomeTeam], X$36, Table2[ActualResult], "SO") + SUMIFS(Table2[AwayWon], Table2[GameIsOver],1,Table2[HomeTeam],$A54, Table2[AwayTeam], X$36, Table2[ActualResult], "SO"))), "")</f>
        <v/>
      </c>
      <c r="Y54" s="57" t="str">
        <f>IFERROR(((2*SUMIFS(Table2[AwayWon], Table2[GameIsOver],1,Table2[AwayTeam],$A54, Table2[HomeTeam], Y$36) + SUMIFS(Table2[HomeWon_], Table2[GameIsOver],1,Table2[HomeTeam],$A54, Table2[AwayTeam], Y$36)) + SUMIFS(Table2[AwayWon], Table2[GameIsOver],1,Table2[HomeTeam],$A54, Table2[AwayTeam], Y$36, Table2[ActualResult], "REG") + SUMIFS(Table2[HomeWon_], Table2[GameIsOver],1,Table2[AwayTeam],$A54, Table2[HomeTeam], Y$36, Table2[ActualResult], "OT") + SUMIFS(Table2[AwayWon], Table2[GameIsOver],1,Table2[HomeTeam],$A54, Table2[AwayTeam], Y$36, Table2[ActualResult], "OT") + SUMIFS(Table2[HomeWon_], Table2[GameIsOver],1,Table2[AwayTeam],$A54, Table2[HomeTeam], Y$36, Table2[ActualResult], "SO") + SUMIFS(Table2[AwayWon], Table2[GameIsOver],1,Table2[HomeTeam],$A54, Table2[AwayTeam], Y$36, Table2[ActualResult], "SO")) / (2*(SUMIFS(Table2[AwayWon], Table2[GameIsOver],1,Table2[AwayTeam],$A54, Table2[HomeTeam], Y$36) + SUMIFS(Table2[HomeWon_], Table2[GameIsOver],1,Table2[HomeTeam],$A54, Table2[AwayTeam], Y$36) + SUMIFS(Table2[HomeWon_], Table2[GameIsOver],1,Table2[AwayTeam],$A54, Table2[HomeTeam], Y$36, Table2[ActualResult], "REG") + SUMIFS(Table2[AwayWon], Table2[GameIsOver],1,Table2[HomeTeam],$A54, Table2[AwayTeam], Y$36, Table2[ActualResult], "REG") + SUMIFS(Table2[HomeWon_], Table2[GameIsOver],1,Table2[AwayTeam],$A54, Table2[HomeTeam], Y$36, Table2[ActualResult], "OT") + SUMIFS(Table2[AwayWon], Table2[GameIsOver],1,Table2[HomeTeam],$A54, Table2[AwayTeam], Y$36, Table2[ActualResult], "OT") + SUMIFS(Table2[HomeWon_], Table2[GameIsOver],1,Table2[AwayTeam],$A54, Table2[HomeTeam], Y$36, Table2[ActualResult], "SO") + SUMIFS(Table2[AwayWon], Table2[GameIsOver],1,Table2[HomeTeam],$A54, Table2[AwayTeam], Y$36, Table2[ActualResult], "SO"))), "")</f>
        <v/>
      </c>
      <c r="Z54" t="str">
        <f>IFERROR(((2*SUMIFS(Table2[AwayWon], Table2[GameIsOver],1,Table2[AwayTeam],$A54, Table2[HomeTeam], Z$36) + SUMIFS(Table2[HomeWon_], Table2[GameIsOver],1,Table2[HomeTeam],$A54, Table2[AwayTeam], Z$36)) + SUMIFS(Table2[AwayWon], Table2[GameIsOver],1,Table2[HomeTeam],$A54, Table2[AwayTeam], Z$36, Table2[ActualResult], "REG") + SUMIFS(Table2[HomeWon_], Table2[GameIsOver],1,Table2[AwayTeam],$A54, Table2[HomeTeam], Z$36, Table2[ActualResult], "OT") + SUMIFS(Table2[AwayWon], Table2[GameIsOver],1,Table2[HomeTeam],$A54, Table2[AwayTeam], Z$36, Table2[ActualResult], "OT") + SUMIFS(Table2[HomeWon_], Table2[GameIsOver],1,Table2[AwayTeam],$A54, Table2[HomeTeam], Z$36, Table2[ActualResult], "SO") + SUMIFS(Table2[AwayWon], Table2[GameIsOver],1,Table2[HomeTeam],$A54, Table2[AwayTeam], Z$36, Table2[ActualResult], "SO")) / (2*(SUMIFS(Table2[AwayWon], Table2[GameIsOver],1,Table2[AwayTeam],$A54, Table2[HomeTeam], Z$36) + SUMIFS(Table2[HomeWon_], Table2[GameIsOver],1,Table2[HomeTeam],$A54, Table2[AwayTeam], Z$36) + SUMIFS(Table2[HomeWon_], Table2[GameIsOver],1,Table2[AwayTeam],$A54, Table2[HomeTeam], Z$36, Table2[ActualResult], "REG") + SUMIFS(Table2[AwayWon], Table2[GameIsOver],1,Table2[HomeTeam],$A54, Table2[AwayTeam], Z$36, Table2[ActualResult], "REG") + SUMIFS(Table2[HomeWon_], Table2[GameIsOver],1,Table2[AwayTeam],$A54, Table2[HomeTeam], Z$36, Table2[ActualResult], "OT") + SUMIFS(Table2[AwayWon], Table2[GameIsOver],1,Table2[HomeTeam],$A54, Table2[AwayTeam], Z$36, Table2[ActualResult], "OT") + SUMIFS(Table2[HomeWon_], Table2[GameIsOver],1,Table2[AwayTeam],$A54, Table2[HomeTeam], Z$36, Table2[ActualResult], "SO") + SUMIFS(Table2[AwayWon], Table2[GameIsOver],1,Table2[HomeTeam],$A54, Table2[AwayTeam], Z$36, Table2[ActualResult], "SO"))), "")</f>
        <v/>
      </c>
      <c r="AA54" t="str">
        <f>IFERROR(((2*SUMIFS(Table2[AwayWon], Table2[GameIsOver],1,Table2[AwayTeam],$A54, Table2[HomeTeam], AA$36) + SUMIFS(Table2[HomeWon_], Table2[GameIsOver],1,Table2[HomeTeam],$A54, Table2[AwayTeam], AA$36)) + SUMIFS(Table2[AwayWon], Table2[GameIsOver],1,Table2[HomeTeam],$A54, Table2[AwayTeam], AA$36, Table2[ActualResult], "REG") + SUMIFS(Table2[HomeWon_], Table2[GameIsOver],1,Table2[AwayTeam],$A54, Table2[HomeTeam], AA$36, Table2[ActualResult], "OT") + SUMIFS(Table2[AwayWon], Table2[GameIsOver],1,Table2[HomeTeam],$A54, Table2[AwayTeam], AA$36, Table2[ActualResult], "OT") + SUMIFS(Table2[HomeWon_], Table2[GameIsOver],1,Table2[AwayTeam],$A54, Table2[HomeTeam], AA$36, Table2[ActualResult], "SO") + SUMIFS(Table2[AwayWon], Table2[GameIsOver],1,Table2[HomeTeam],$A54, Table2[AwayTeam], AA$36, Table2[ActualResult], "SO")) / (2*(SUMIFS(Table2[AwayWon], Table2[GameIsOver],1,Table2[AwayTeam],$A54, Table2[HomeTeam], AA$36) + SUMIFS(Table2[HomeWon_], Table2[GameIsOver],1,Table2[HomeTeam],$A54, Table2[AwayTeam], AA$36) + SUMIFS(Table2[HomeWon_], Table2[GameIsOver],1,Table2[AwayTeam],$A54, Table2[HomeTeam], AA$36, Table2[ActualResult], "REG") + SUMIFS(Table2[AwayWon], Table2[GameIsOver],1,Table2[HomeTeam],$A54, Table2[AwayTeam], AA$36, Table2[ActualResult], "REG") + SUMIFS(Table2[HomeWon_], Table2[GameIsOver],1,Table2[AwayTeam],$A54, Table2[HomeTeam], AA$36, Table2[ActualResult], "OT") + SUMIFS(Table2[AwayWon], Table2[GameIsOver],1,Table2[HomeTeam],$A54, Table2[AwayTeam], AA$36, Table2[ActualResult], "OT") + SUMIFS(Table2[HomeWon_], Table2[GameIsOver],1,Table2[AwayTeam],$A54, Table2[HomeTeam], AA$36, Table2[ActualResult], "SO") + SUMIFS(Table2[AwayWon], Table2[GameIsOver],1,Table2[HomeTeam],$A54, Table2[AwayTeam], AA$36, Table2[ActualResult], "SO"))), "")</f>
        <v/>
      </c>
      <c r="AB54" t="str">
        <f>IFERROR(((2*SUMIFS(Table2[AwayWon], Table2[GameIsOver],1,Table2[AwayTeam],$A54, Table2[HomeTeam], AB$36) + SUMIFS(Table2[HomeWon_], Table2[GameIsOver],1,Table2[HomeTeam],$A54, Table2[AwayTeam], AB$36)) + SUMIFS(Table2[AwayWon], Table2[GameIsOver],1,Table2[HomeTeam],$A54, Table2[AwayTeam], AB$36, Table2[ActualResult], "REG") + SUMIFS(Table2[HomeWon_], Table2[GameIsOver],1,Table2[AwayTeam],$A54, Table2[HomeTeam], AB$36, Table2[ActualResult], "OT") + SUMIFS(Table2[AwayWon], Table2[GameIsOver],1,Table2[HomeTeam],$A54, Table2[AwayTeam], AB$36, Table2[ActualResult], "OT") + SUMIFS(Table2[HomeWon_], Table2[GameIsOver],1,Table2[AwayTeam],$A54, Table2[HomeTeam], AB$36, Table2[ActualResult], "SO") + SUMIFS(Table2[AwayWon], Table2[GameIsOver],1,Table2[HomeTeam],$A54, Table2[AwayTeam], AB$36, Table2[ActualResult], "SO")) / (2*(SUMIFS(Table2[AwayWon], Table2[GameIsOver],1,Table2[AwayTeam],$A54, Table2[HomeTeam], AB$36) + SUMIFS(Table2[HomeWon_], Table2[GameIsOver],1,Table2[HomeTeam],$A54, Table2[AwayTeam], AB$36) + SUMIFS(Table2[HomeWon_], Table2[GameIsOver],1,Table2[AwayTeam],$A54, Table2[HomeTeam], AB$36, Table2[ActualResult], "REG") + SUMIFS(Table2[AwayWon], Table2[GameIsOver],1,Table2[HomeTeam],$A54, Table2[AwayTeam], AB$36, Table2[ActualResult], "REG") + SUMIFS(Table2[HomeWon_], Table2[GameIsOver],1,Table2[AwayTeam],$A54, Table2[HomeTeam], AB$36, Table2[ActualResult], "OT") + SUMIFS(Table2[AwayWon], Table2[GameIsOver],1,Table2[HomeTeam],$A54, Table2[AwayTeam], AB$36, Table2[ActualResult], "OT") + SUMIFS(Table2[HomeWon_], Table2[GameIsOver],1,Table2[AwayTeam],$A54, Table2[HomeTeam], AB$36, Table2[ActualResult], "SO") + SUMIFS(Table2[AwayWon], Table2[GameIsOver],1,Table2[HomeTeam],$A54, Table2[AwayTeam], AB$36, Table2[ActualResult], "SO"))), "")</f>
        <v/>
      </c>
      <c r="AC54" t="str">
        <f>IFERROR(((2*SUMIFS(Table2[AwayWon], Table2[GameIsOver],1,Table2[AwayTeam],$A54, Table2[HomeTeam], AC$36) + SUMIFS(Table2[HomeWon_], Table2[GameIsOver],1,Table2[HomeTeam],$A54, Table2[AwayTeam], AC$36)) + SUMIFS(Table2[AwayWon], Table2[GameIsOver],1,Table2[HomeTeam],$A54, Table2[AwayTeam], AC$36, Table2[ActualResult], "REG") + SUMIFS(Table2[HomeWon_], Table2[GameIsOver],1,Table2[AwayTeam],$A54, Table2[HomeTeam], AC$36, Table2[ActualResult], "OT") + SUMIFS(Table2[AwayWon], Table2[GameIsOver],1,Table2[HomeTeam],$A54, Table2[AwayTeam], AC$36, Table2[ActualResult], "OT") + SUMIFS(Table2[HomeWon_], Table2[GameIsOver],1,Table2[AwayTeam],$A54, Table2[HomeTeam], AC$36, Table2[ActualResult], "SO") + SUMIFS(Table2[AwayWon], Table2[GameIsOver],1,Table2[HomeTeam],$A54, Table2[AwayTeam], AC$36, Table2[ActualResult], "SO")) / (2*(SUMIFS(Table2[AwayWon], Table2[GameIsOver],1,Table2[AwayTeam],$A54, Table2[HomeTeam], AC$36) + SUMIFS(Table2[HomeWon_], Table2[GameIsOver],1,Table2[HomeTeam],$A54, Table2[AwayTeam], AC$36) + SUMIFS(Table2[HomeWon_], Table2[GameIsOver],1,Table2[AwayTeam],$A54, Table2[HomeTeam], AC$36, Table2[ActualResult], "REG") + SUMIFS(Table2[AwayWon], Table2[GameIsOver],1,Table2[HomeTeam],$A54, Table2[AwayTeam], AC$36, Table2[ActualResult], "REG") + SUMIFS(Table2[HomeWon_], Table2[GameIsOver],1,Table2[AwayTeam],$A54, Table2[HomeTeam], AC$36, Table2[ActualResult], "OT") + SUMIFS(Table2[AwayWon], Table2[GameIsOver],1,Table2[HomeTeam],$A54, Table2[AwayTeam], AC$36, Table2[ActualResult], "OT") + SUMIFS(Table2[HomeWon_], Table2[GameIsOver],1,Table2[AwayTeam],$A54, Table2[HomeTeam], AC$36, Table2[ActualResult], "SO") + SUMIFS(Table2[AwayWon], Table2[GameIsOver],1,Table2[HomeTeam],$A54, Table2[AwayTeam], AC$36, Table2[ActualResult], "SO"))), "")</f>
        <v/>
      </c>
      <c r="AD54" t="str">
        <f>IFERROR(((2*SUMIFS(Table2[AwayWon], Table2[GameIsOver],1,Table2[AwayTeam],$A54, Table2[HomeTeam], AD$36) + SUMIFS(Table2[HomeWon_], Table2[GameIsOver],1,Table2[HomeTeam],$A54, Table2[AwayTeam], AD$36)) + SUMIFS(Table2[AwayWon], Table2[GameIsOver],1,Table2[HomeTeam],$A54, Table2[AwayTeam], AD$36, Table2[ActualResult], "REG") + SUMIFS(Table2[HomeWon_], Table2[GameIsOver],1,Table2[AwayTeam],$A54, Table2[HomeTeam], AD$36, Table2[ActualResult], "OT") + SUMIFS(Table2[AwayWon], Table2[GameIsOver],1,Table2[HomeTeam],$A54, Table2[AwayTeam], AD$36, Table2[ActualResult], "OT") + SUMIFS(Table2[HomeWon_], Table2[GameIsOver],1,Table2[AwayTeam],$A54, Table2[HomeTeam], AD$36, Table2[ActualResult], "SO") + SUMIFS(Table2[AwayWon], Table2[GameIsOver],1,Table2[HomeTeam],$A54, Table2[AwayTeam], AD$36, Table2[ActualResult], "SO")) / (2*(SUMIFS(Table2[AwayWon], Table2[GameIsOver],1,Table2[AwayTeam],$A54, Table2[HomeTeam], AD$36) + SUMIFS(Table2[HomeWon_], Table2[GameIsOver],1,Table2[HomeTeam],$A54, Table2[AwayTeam], AD$36) + SUMIFS(Table2[HomeWon_], Table2[GameIsOver],1,Table2[AwayTeam],$A54, Table2[HomeTeam], AD$36, Table2[ActualResult], "REG") + SUMIFS(Table2[AwayWon], Table2[GameIsOver],1,Table2[HomeTeam],$A54, Table2[AwayTeam], AD$36, Table2[ActualResult], "REG") + SUMIFS(Table2[HomeWon_], Table2[GameIsOver],1,Table2[AwayTeam],$A54, Table2[HomeTeam], AD$36, Table2[ActualResult], "OT") + SUMIFS(Table2[AwayWon], Table2[GameIsOver],1,Table2[HomeTeam],$A54, Table2[AwayTeam], AD$36, Table2[ActualResult], "OT") + SUMIFS(Table2[HomeWon_], Table2[GameIsOver],1,Table2[AwayTeam],$A54, Table2[HomeTeam], AD$36, Table2[ActualResult], "SO") + SUMIFS(Table2[AwayWon], Table2[GameIsOver],1,Table2[HomeTeam],$A54, Table2[AwayTeam], AD$36, Table2[ActualResult], "SO"))), "")</f>
        <v/>
      </c>
      <c r="AE54" t="str">
        <f>IFERROR(((2*SUMIFS(Table2[AwayWon], Table2[GameIsOver],1,Table2[AwayTeam],$A54, Table2[HomeTeam], AE$36) + SUMIFS(Table2[HomeWon_], Table2[GameIsOver],1,Table2[HomeTeam],$A54, Table2[AwayTeam], AE$36)) + SUMIFS(Table2[AwayWon], Table2[GameIsOver],1,Table2[HomeTeam],$A54, Table2[AwayTeam], AE$36, Table2[ActualResult], "REG") + SUMIFS(Table2[HomeWon_], Table2[GameIsOver],1,Table2[AwayTeam],$A54, Table2[HomeTeam], AE$36, Table2[ActualResult], "OT") + SUMIFS(Table2[AwayWon], Table2[GameIsOver],1,Table2[HomeTeam],$A54, Table2[AwayTeam], AE$36, Table2[ActualResult], "OT") + SUMIFS(Table2[HomeWon_], Table2[GameIsOver],1,Table2[AwayTeam],$A54, Table2[HomeTeam], AE$36, Table2[ActualResult], "SO") + SUMIFS(Table2[AwayWon], Table2[GameIsOver],1,Table2[HomeTeam],$A54, Table2[AwayTeam], AE$36, Table2[ActualResult], "SO")) / (2*(SUMIFS(Table2[AwayWon], Table2[GameIsOver],1,Table2[AwayTeam],$A54, Table2[HomeTeam], AE$36) + SUMIFS(Table2[HomeWon_], Table2[GameIsOver],1,Table2[HomeTeam],$A54, Table2[AwayTeam], AE$36) + SUMIFS(Table2[HomeWon_], Table2[GameIsOver],1,Table2[AwayTeam],$A54, Table2[HomeTeam], AE$36, Table2[ActualResult], "REG") + SUMIFS(Table2[AwayWon], Table2[GameIsOver],1,Table2[HomeTeam],$A54, Table2[AwayTeam], AE$36, Table2[ActualResult], "REG") + SUMIFS(Table2[HomeWon_], Table2[GameIsOver],1,Table2[AwayTeam],$A54, Table2[HomeTeam], AE$36, Table2[ActualResult], "OT") + SUMIFS(Table2[AwayWon], Table2[GameIsOver],1,Table2[HomeTeam],$A54, Table2[AwayTeam], AE$36, Table2[ActualResult], "OT") + SUMIFS(Table2[HomeWon_], Table2[GameIsOver],1,Table2[AwayTeam],$A54, Table2[HomeTeam], AE$36, Table2[ActualResult], "SO") + SUMIFS(Table2[AwayWon], Table2[GameIsOver],1,Table2[HomeTeam],$A54, Table2[AwayTeam], AE$36, Table2[ActualResult], "SO"))), "")</f>
        <v/>
      </c>
      <c r="AF54">
        <f>IFERROR(((2*SUMIFS(Table2[AwayWon], Table2[GameIsOver],1,Table2[AwayTeam],$A54, Table2[HomeTeam], AF$36) + SUMIFS(Table2[HomeWon_], Table2[GameIsOver],1,Table2[HomeTeam],$A54, Table2[AwayTeam], AF$36)) + SUMIFS(Table2[AwayWon], Table2[GameIsOver],1,Table2[HomeTeam],$A54, Table2[AwayTeam], AF$36, Table2[ActualResult], "REG") + SUMIFS(Table2[HomeWon_], Table2[GameIsOver],1,Table2[AwayTeam],$A54, Table2[HomeTeam], AF$36, Table2[ActualResult], "OT") + SUMIFS(Table2[AwayWon], Table2[GameIsOver],1,Table2[HomeTeam],$A54, Table2[AwayTeam], AF$36, Table2[ActualResult], "OT") + SUMIFS(Table2[HomeWon_], Table2[GameIsOver],1,Table2[AwayTeam],$A54, Table2[HomeTeam], AF$36, Table2[ActualResult], "SO") + SUMIFS(Table2[AwayWon], Table2[GameIsOver],1,Table2[HomeTeam],$A54, Table2[AwayTeam], AF$36, Table2[ActualResult], "SO")) / (2*(SUMIFS(Table2[AwayWon], Table2[GameIsOver],1,Table2[AwayTeam],$A54, Table2[HomeTeam], AF$36) + SUMIFS(Table2[HomeWon_], Table2[GameIsOver],1,Table2[HomeTeam],$A54, Table2[AwayTeam], AF$36) + SUMIFS(Table2[HomeWon_], Table2[GameIsOver],1,Table2[AwayTeam],$A54, Table2[HomeTeam], AF$36, Table2[ActualResult], "REG") + SUMIFS(Table2[AwayWon], Table2[GameIsOver],1,Table2[HomeTeam],$A54, Table2[AwayTeam], AF$36, Table2[ActualResult], "REG") + SUMIFS(Table2[HomeWon_], Table2[GameIsOver],1,Table2[AwayTeam],$A54, Table2[HomeTeam], AF$36, Table2[ActualResult], "OT") + SUMIFS(Table2[AwayWon], Table2[GameIsOver],1,Table2[HomeTeam],$A54, Table2[AwayTeam], AF$36, Table2[ActualResult], "OT") + SUMIFS(Table2[HomeWon_], Table2[GameIsOver],1,Table2[AwayTeam],$A54, Table2[HomeTeam], AF$36, Table2[ActualResult], "SO") + SUMIFS(Table2[AwayWon], Table2[GameIsOver],1,Table2[HomeTeam],$A54, Table2[AwayTeam], AF$36, Table2[ActualResult], "SO"))), "")</f>
        <v>0.5</v>
      </c>
      <c r="AG54" s="57" t="str">
        <f>IFERROR(((2*SUMIFS(Table2[AwayWon], Table2[GameIsOver],1,Table2[AwayTeam],$A54, Table2[HomeTeam], AG$36) + SUMIFS(Table2[HomeWon_], Table2[GameIsOver],1,Table2[HomeTeam],$A54, Table2[AwayTeam], AG$36)) + SUMIFS(Table2[AwayWon], Table2[GameIsOver],1,Table2[HomeTeam],$A54, Table2[AwayTeam], AG$36, Table2[ActualResult], "REG") + SUMIFS(Table2[HomeWon_], Table2[GameIsOver],1,Table2[AwayTeam],$A54, Table2[HomeTeam], AG$36, Table2[ActualResult], "OT") + SUMIFS(Table2[AwayWon], Table2[GameIsOver],1,Table2[HomeTeam],$A54, Table2[AwayTeam], AG$36, Table2[ActualResult], "OT") + SUMIFS(Table2[HomeWon_], Table2[GameIsOver],1,Table2[AwayTeam],$A54, Table2[HomeTeam], AG$36, Table2[ActualResult], "SO") + SUMIFS(Table2[AwayWon], Table2[GameIsOver],1,Table2[HomeTeam],$A54, Table2[AwayTeam], AG$36, Table2[ActualResult], "SO")) / (2*(SUMIFS(Table2[AwayWon], Table2[GameIsOver],1,Table2[AwayTeam],$A54, Table2[HomeTeam], AG$36) + SUMIFS(Table2[HomeWon_], Table2[GameIsOver],1,Table2[HomeTeam],$A54, Table2[AwayTeam], AG$36) + SUMIFS(Table2[HomeWon_], Table2[GameIsOver],1,Table2[AwayTeam],$A54, Table2[HomeTeam], AG$36, Table2[ActualResult], "REG") + SUMIFS(Table2[AwayWon], Table2[GameIsOver],1,Table2[HomeTeam],$A54, Table2[AwayTeam], AG$36, Table2[ActualResult], "REG") + SUMIFS(Table2[HomeWon_], Table2[GameIsOver],1,Table2[AwayTeam],$A54, Table2[HomeTeam], AG$36, Table2[ActualResult], "OT") + SUMIFS(Table2[AwayWon], Table2[GameIsOver],1,Table2[HomeTeam],$A54, Table2[AwayTeam], AG$36, Table2[ActualResult], "OT") + SUMIFS(Table2[HomeWon_], Table2[GameIsOver],1,Table2[AwayTeam],$A54, Table2[HomeTeam], AG$36, Table2[ActualResult], "SO") + SUMIFS(Table2[AwayWon], Table2[GameIsOver],1,Table2[HomeTeam],$A54, Table2[AwayTeam], AG$36, Table2[ActualResult], "SO"))), "")</f>
        <v/>
      </c>
      <c r="AH54" s="101">
        <f t="shared" si="0"/>
        <v>0.5</v>
      </c>
      <c r="AI54" s="101">
        <f t="shared" si="1"/>
        <v>0.625</v>
      </c>
      <c r="AJ54" s="103">
        <f t="shared" si="2"/>
        <v>0.5</v>
      </c>
      <c r="AK54" s="103">
        <f t="shared" si="3"/>
        <v>0.5</v>
      </c>
      <c r="AL54" s="103">
        <f t="shared" si="4"/>
        <v>0.625</v>
      </c>
      <c r="AM54" s="103" t="e">
        <f t="shared" si="5"/>
        <v>#DIV/0!</v>
      </c>
    </row>
    <row r="55" spans="1:39" x14ac:dyDescent="0.25">
      <c r="A55" s="57" t="s">
        <v>31</v>
      </c>
      <c r="B55" s="24" t="str">
        <f>IFERROR(((2*SUMIFS(Table2[AwayWon], Table2[GameIsOver],1,Table2[AwayTeam],$A55, Table2[HomeTeam], B$36) + SUMIFS(Table2[HomeWon_], Table2[GameIsOver],1,Table2[HomeTeam],$A55, Table2[AwayTeam], B$36)) + SUMIFS(Table2[AwayWon], Table2[GameIsOver],1,Table2[HomeTeam],$A55, Table2[AwayTeam], B$36, Table2[ActualResult], "REG") + SUMIFS(Table2[HomeWon_], Table2[GameIsOver],1,Table2[AwayTeam],$A55, Table2[HomeTeam], B$36, Table2[ActualResult], "OT") + SUMIFS(Table2[AwayWon], Table2[GameIsOver],1,Table2[HomeTeam],$A55, Table2[AwayTeam], B$36, Table2[ActualResult], "OT") + SUMIFS(Table2[HomeWon_], Table2[GameIsOver],1,Table2[AwayTeam],$A55, Table2[HomeTeam], B$36, Table2[ActualResult], "SO") + SUMIFS(Table2[AwayWon], Table2[GameIsOver],1,Table2[HomeTeam],$A55, Table2[AwayTeam], B$36, Table2[ActualResult], "SO")) / (2*(SUMIFS(Table2[AwayWon], Table2[GameIsOver],1,Table2[AwayTeam],$A55, Table2[HomeTeam], B$36) + SUMIFS(Table2[HomeWon_], Table2[GameIsOver],1,Table2[HomeTeam],$A55, Table2[AwayTeam], B$36) + SUMIFS(Table2[HomeWon_], Table2[GameIsOver],1,Table2[AwayTeam],$A55, Table2[HomeTeam], B$36, Table2[ActualResult], "REG") + SUMIFS(Table2[AwayWon], Table2[GameIsOver],1,Table2[HomeTeam],$A55, Table2[AwayTeam], B$36, Table2[ActualResult], "REG") + SUMIFS(Table2[HomeWon_], Table2[GameIsOver],1,Table2[AwayTeam],$A55, Table2[HomeTeam], B$36, Table2[ActualResult], "OT") + SUMIFS(Table2[AwayWon], Table2[GameIsOver],1,Table2[HomeTeam],$A55, Table2[AwayTeam], B$36, Table2[ActualResult], "OT") + SUMIFS(Table2[HomeWon_], Table2[GameIsOver],1,Table2[AwayTeam],$A55, Table2[HomeTeam], B$36, Table2[ActualResult], "SO") + SUMIFS(Table2[AwayWon], Table2[GameIsOver],1,Table2[HomeTeam],$A55, Table2[AwayTeam], B$36, Table2[ActualResult], "SO"))), "")</f>
        <v/>
      </c>
      <c r="C55" s="24" t="str">
        <f>IFERROR(((2*SUMIFS(Table2[AwayWon], Table2[GameIsOver],1,Table2[AwayTeam],$A55, Table2[HomeTeam], C$36) + SUMIFS(Table2[HomeWon_], Table2[GameIsOver],1,Table2[HomeTeam],$A55, Table2[AwayTeam], C$36)) + SUMIFS(Table2[AwayWon], Table2[GameIsOver],1,Table2[HomeTeam],$A55, Table2[AwayTeam], C$36, Table2[ActualResult], "REG") + SUMIFS(Table2[HomeWon_], Table2[GameIsOver],1,Table2[AwayTeam],$A55, Table2[HomeTeam], C$36, Table2[ActualResult], "OT") + SUMIFS(Table2[AwayWon], Table2[GameIsOver],1,Table2[HomeTeam],$A55, Table2[AwayTeam], C$36, Table2[ActualResult], "OT") + SUMIFS(Table2[HomeWon_], Table2[GameIsOver],1,Table2[AwayTeam],$A55, Table2[HomeTeam], C$36, Table2[ActualResult], "SO") + SUMIFS(Table2[AwayWon], Table2[GameIsOver],1,Table2[HomeTeam],$A55, Table2[AwayTeam], C$36, Table2[ActualResult], "SO")) / (2*(SUMIFS(Table2[AwayWon], Table2[GameIsOver],1,Table2[AwayTeam],$A55, Table2[HomeTeam], C$36) + SUMIFS(Table2[HomeWon_], Table2[GameIsOver],1,Table2[HomeTeam],$A55, Table2[AwayTeam], C$36) + SUMIFS(Table2[HomeWon_], Table2[GameIsOver],1,Table2[AwayTeam],$A55, Table2[HomeTeam], C$36, Table2[ActualResult], "REG") + SUMIFS(Table2[AwayWon], Table2[GameIsOver],1,Table2[HomeTeam],$A55, Table2[AwayTeam], C$36, Table2[ActualResult], "REG") + SUMIFS(Table2[HomeWon_], Table2[GameIsOver],1,Table2[AwayTeam],$A55, Table2[HomeTeam], C$36, Table2[ActualResult], "OT") + SUMIFS(Table2[AwayWon], Table2[GameIsOver],1,Table2[HomeTeam],$A55, Table2[AwayTeam], C$36, Table2[ActualResult], "OT") + SUMIFS(Table2[HomeWon_], Table2[GameIsOver],1,Table2[AwayTeam],$A55, Table2[HomeTeam], C$36, Table2[ActualResult], "SO") + SUMIFS(Table2[AwayWon], Table2[GameIsOver],1,Table2[HomeTeam],$A55, Table2[AwayTeam], C$36, Table2[ActualResult], "SO"))), "")</f>
        <v/>
      </c>
      <c r="D55">
        <f>IFERROR(((2*SUMIFS(Table2[AwayWon], Table2[GameIsOver],1,Table2[AwayTeam],$A55, Table2[HomeTeam], D$36) + SUMIFS(Table2[HomeWon_], Table2[GameIsOver],1,Table2[HomeTeam],$A55, Table2[AwayTeam], D$36)) + SUMIFS(Table2[AwayWon], Table2[GameIsOver],1,Table2[HomeTeam],$A55, Table2[AwayTeam], D$36, Table2[ActualResult], "REG") + SUMIFS(Table2[HomeWon_], Table2[GameIsOver],1,Table2[AwayTeam],$A55, Table2[HomeTeam], D$36, Table2[ActualResult], "OT") + SUMIFS(Table2[AwayWon], Table2[GameIsOver],1,Table2[HomeTeam],$A55, Table2[AwayTeam], D$36, Table2[ActualResult], "OT") + SUMIFS(Table2[HomeWon_], Table2[GameIsOver],1,Table2[AwayTeam],$A55, Table2[HomeTeam], D$36, Table2[ActualResult], "SO") + SUMIFS(Table2[AwayWon], Table2[GameIsOver],1,Table2[HomeTeam],$A55, Table2[AwayTeam], D$36, Table2[ActualResult], "SO")) / (2*(SUMIFS(Table2[AwayWon], Table2[GameIsOver],1,Table2[AwayTeam],$A55, Table2[HomeTeam], D$36) + SUMIFS(Table2[HomeWon_], Table2[GameIsOver],1,Table2[HomeTeam],$A55, Table2[AwayTeam], D$36) + SUMIFS(Table2[HomeWon_], Table2[GameIsOver],1,Table2[AwayTeam],$A55, Table2[HomeTeam], D$36, Table2[ActualResult], "REG") + SUMIFS(Table2[AwayWon], Table2[GameIsOver],1,Table2[HomeTeam],$A55, Table2[AwayTeam], D$36, Table2[ActualResult], "REG") + SUMIFS(Table2[HomeWon_], Table2[GameIsOver],1,Table2[AwayTeam],$A55, Table2[HomeTeam], D$36, Table2[ActualResult], "OT") + SUMIFS(Table2[AwayWon], Table2[GameIsOver],1,Table2[HomeTeam],$A55, Table2[AwayTeam], D$36, Table2[ActualResult], "OT") + SUMIFS(Table2[HomeWon_], Table2[GameIsOver],1,Table2[AwayTeam],$A55, Table2[HomeTeam], D$36, Table2[ActualResult], "SO") + SUMIFS(Table2[AwayWon], Table2[GameIsOver],1,Table2[HomeTeam],$A55, Table2[AwayTeam], D$36, Table2[ActualResult], "SO"))), "")</f>
        <v>0.5</v>
      </c>
      <c r="E55" t="str">
        <f>IFERROR(((2*SUMIFS(Table2[AwayWon], Table2[GameIsOver],1,Table2[AwayTeam],$A55, Table2[HomeTeam], E$36) + SUMIFS(Table2[HomeWon_], Table2[GameIsOver],1,Table2[HomeTeam],$A55, Table2[AwayTeam], E$36)) + SUMIFS(Table2[AwayWon], Table2[GameIsOver],1,Table2[HomeTeam],$A55, Table2[AwayTeam], E$36, Table2[ActualResult], "REG") + SUMIFS(Table2[HomeWon_], Table2[GameIsOver],1,Table2[AwayTeam],$A55, Table2[HomeTeam], E$36, Table2[ActualResult], "OT") + SUMIFS(Table2[AwayWon], Table2[GameIsOver],1,Table2[HomeTeam],$A55, Table2[AwayTeam], E$36, Table2[ActualResult], "OT") + SUMIFS(Table2[HomeWon_], Table2[GameIsOver],1,Table2[AwayTeam],$A55, Table2[HomeTeam], E$36, Table2[ActualResult], "SO") + SUMIFS(Table2[AwayWon], Table2[GameIsOver],1,Table2[HomeTeam],$A55, Table2[AwayTeam], E$36, Table2[ActualResult], "SO")) / (2*(SUMIFS(Table2[AwayWon], Table2[GameIsOver],1,Table2[AwayTeam],$A55, Table2[HomeTeam], E$36) + SUMIFS(Table2[HomeWon_], Table2[GameIsOver],1,Table2[HomeTeam],$A55, Table2[AwayTeam], E$36) + SUMIFS(Table2[HomeWon_], Table2[GameIsOver],1,Table2[AwayTeam],$A55, Table2[HomeTeam], E$36, Table2[ActualResult], "REG") + SUMIFS(Table2[AwayWon], Table2[GameIsOver],1,Table2[HomeTeam],$A55, Table2[AwayTeam], E$36, Table2[ActualResult], "REG") + SUMIFS(Table2[HomeWon_], Table2[GameIsOver],1,Table2[AwayTeam],$A55, Table2[HomeTeam], E$36, Table2[ActualResult], "OT") + SUMIFS(Table2[AwayWon], Table2[GameIsOver],1,Table2[HomeTeam],$A55, Table2[AwayTeam], E$36, Table2[ActualResult], "OT") + SUMIFS(Table2[HomeWon_], Table2[GameIsOver],1,Table2[AwayTeam],$A55, Table2[HomeTeam], E$36, Table2[ActualResult], "SO") + SUMIFS(Table2[AwayWon], Table2[GameIsOver],1,Table2[HomeTeam],$A55, Table2[AwayTeam], E$36, Table2[ActualResult], "SO"))), "")</f>
        <v/>
      </c>
      <c r="F55" t="str">
        <f>IFERROR(((2*SUMIFS(Table2[AwayWon], Table2[GameIsOver],1,Table2[AwayTeam],$A55, Table2[HomeTeam], F$36) + SUMIFS(Table2[HomeWon_], Table2[GameIsOver],1,Table2[HomeTeam],$A55, Table2[AwayTeam], F$36)) + SUMIFS(Table2[AwayWon], Table2[GameIsOver],1,Table2[HomeTeam],$A55, Table2[AwayTeam], F$36, Table2[ActualResult], "REG") + SUMIFS(Table2[HomeWon_], Table2[GameIsOver],1,Table2[AwayTeam],$A55, Table2[HomeTeam], F$36, Table2[ActualResult], "OT") + SUMIFS(Table2[AwayWon], Table2[GameIsOver],1,Table2[HomeTeam],$A55, Table2[AwayTeam], F$36, Table2[ActualResult], "OT") + SUMIFS(Table2[HomeWon_], Table2[GameIsOver],1,Table2[AwayTeam],$A55, Table2[HomeTeam], F$36, Table2[ActualResult], "SO") + SUMIFS(Table2[AwayWon], Table2[GameIsOver],1,Table2[HomeTeam],$A55, Table2[AwayTeam], F$36, Table2[ActualResult], "SO")) / (2*(SUMIFS(Table2[AwayWon], Table2[GameIsOver],1,Table2[AwayTeam],$A55, Table2[HomeTeam], F$36) + SUMIFS(Table2[HomeWon_], Table2[GameIsOver],1,Table2[HomeTeam],$A55, Table2[AwayTeam], F$36) + SUMIFS(Table2[HomeWon_], Table2[GameIsOver],1,Table2[AwayTeam],$A55, Table2[HomeTeam], F$36, Table2[ActualResult], "REG") + SUMIFS(Table2[AwayWon], Table2[GameIsOver],1,Table2[HomeTeam],$A55, Table2[AwayTeam], F$36, Table2[ActualResult], "REG") + SUMIFS(Table2[HomeWon_], Table2[GameIsOver],1,Table2[AwayTeam],$A55, Table2[HomeTeam], F$36, Table2[ActualResult], "OT") + SUMIFS(Table2[AwayWon], Table2[GameIsOver],1,Table2[HomeTeam],$A55, Table2[AwayTeam], F$36, Table2[ActualResult], "OT") + SUMIFS(Table2[HomeWon_], Table2[GameIsOver],1,Table2[AwayTeam],$A55, Table2[HomeTeam], F$36, Table2[ActualResult], "SO") + SUMIFS(Table2[AwayWon], Table2[GameIsOver],1,Table2[HomeTeam],$A55, Table2[AwayTeam], F$36, Table2[ActualResult], "SO"))), "")</f>
        <v/>
      </c>
      <c r="G55" t="str">
        <f>IFERROR(((2*SUMIFS(Table2[AwayWon], Table2[GameIsOver],1,Table2[AwayTeam],$A55, Table2[HomeTeam], G$36) + SUMIFS(Table2[HomeWon_], Table2[GameIsOver],1,Table2[HomeTeam],$A55, Table2[AwayTeam], G$36)) + SUMIFS(Table2[AwayWon], Table2[GameIsOver],1,Table2[HomeTeam],$A55, Table2[AwayTeam], G$36, Table2[ActualResult], "REG") + SUMIFS(Table2[HomeWon_], Table2[GameIsOver],1,Table2[AwayTeam],$A55, Table2[HomeTeam], G$36, Table2[ActualResult], "OT") + SUMIFS(Table2[AwayWon], Table2[GameIsOver],1,Table2[HomeTeam],$A55, Table2[AwayTeam], G$36, Table2[ActualResult], "OT") + SUMIFS(Table2[HomeWon_], Table2[GameIsOver],1,Table2[AwayTeam],$A55, Table2[HomeTeam], G$36, Table2[ActualResult], "SO") + SUMIFS(Table2[AwayWon], Table2[GameIsOver],1,Table2[HomeTeam],$A55, Table2[AwayTeam], G$36, Table2[ActualResult], "SO")) / (2*(SUMIFS(Table2[AwayWon], Table2[GameIsOver],1,Table2[AwayTeam],$A55, Table2[HomeTeam], G$36) + SUMIFS(Table2[HomeWon_], Table2[GameIsOver],1,Table2[HomeTeam],$A55, Table2[AwayTeam], G$36) + SUMIFS(Table2[HomeWon_], Table2[GameIsOver],1,Table2[AwayTeam],$A55, Table2[HomeTeam], G$36, Table2[ActualResult], "REG") + SUMIFS(Table2[AwayWon], Table2[GameIsOver],1,Table2[HomeTeam],$A55, Table2[AwayTeam], G$36, Table2[ActualResult], "REG") + SUMIFS(Table2[HomeWon_], Table2[GameIsOver],1,Table2[AwayTeam],$A55, Table2[HomeTeam], G$36, Table2[ActualResult], "OT") + SUMIFS(Table2[AwayWon], Table2[GameIsOver],1,Table2[HomeTeam],$A55, Table2[AwayTeam], G$36, Table2[ActualResult], "OT") + SUMIFS(Table2[HomeWon_], Table2[GameIsOver],1,Table2[AwayTeam],$A55, Table2[HomeTeam], G$36, Table2[ActualResult], "SO") + SUMIFS(Table2[AwayWon], Table2[GameIsOver],1,Table2[HomeTeam],$A55, Table2[AwayTeam], G$36, Table2[ActualResult], "SO"))), "")</f>
        <v/>
      </c>
      <c r="H55" t="str">
        <f>IFERROR(((2*SUMIFS(Table2[AwayWon], Table2[GameIsOver],1,Table2[AwayTeam],$A55, Table2[HomeTeam], H$36) + SUMIFS(Table2[HomeWon_], Table2[GameIsOver],1,Table2[HomeTeam],$A55, Table2[AwayTeam], H$36)) + SUMIFS(Table2[AwayWon], Table2[GameIsOver],1,Table2[HomeTeam],$A55, Table2[AwayTeam], H$36, Table2[ActualResult], "REG") + SUMIFS(Table2[HomeWon_], Table2[GameIsOver],1,Table2[AwayTeam],$A55, Table2[HomeTeam], H$36, Table2[ActualResult], "OT") + SUMIFS(Table2[AwayWon], Table2[GameIsOver],1,Table2[HomeTeam],$A55, Table2[AwayTeam], H$36, Table2[ActualResult], "OT") + SUMIFS(Table2[HomeWon_], Table2[GameIsOver],1,Table2[AwayTeam],$A55, Table2[HomeTeam], H$36, Table2[ActualResult], "SO") + SUMIFS(Table2[AwayWon], Table2[GameIsOver],1,Table2[HomeTeam],$A55, Table2[AwayTeam], H$36, Table2[ActualResult], "SO")) / (2*(SUMIFS(Table2[AwayWon], Table2[GameIsOver],1,Table2[AwayTeam],$A55, Table2[HomeTeam], H$36) + SUMIFS(Table2[HomeWon_], Table2[GameIsOver],1,Table2[HomeTeam],$A55, Table2[AwayTeam], H$36) + SUMIFS(Table2[HomeWon_], Table2[GameIsOver],1,Table2[AwayTeam],$A55, Table2[HomeTeam], H$36, Table2[ActualResult], "REG") + SUMIFS(Table2[AwayWon], Table2[GameIsOver],1,Table2[HomeTeam],$A55, Table2[AwayTeam], H$36, Table2[ActualResult], "REG") + SUMIFS(Table2[HomeWon_], Table2[GameIsOver],1,Table2[AwayTeam],$A55, Table2[HomeTeam], H$36, Table2[ActualResult], "OT") + SUMIFS(Table2[AwayWon], Table2[GameIsOver],1,Table2[HomeTeam],$A55, Table2[AwayTeam], H$36, Table2[ActualResult], "OT") + SUMIFS(Table2[HomeWon_], Table2[GameIsOver],1,Table2[AwayTeam],$A55, Table2[HomeTeam], H$36, Table2[ActualResult], "SO") + SUMIFS(Table2[AwayWon], Table2[GameIsOver],1,Table2[HomeTeam],$A55, Table2[AwayTeam], H$36, Table2[ActualResult], "SO"))), "")</f>
        <v/>
      </c>
      <c r="I55" s="57" t="str">
        <f>IFERROR(((2*SUMIFS(Table2[AwayWon], Table2[GameIsOver],1,Table2[AwayTeam],$A55, Table2[HomeTeam], I$36) + SUMIFS(Table2[HomeWon_], Table2[GameIsOver],1,Table2[HomeTeam],$A55, Table2[AwayTeam], I$36)) + SUMIFS(Table2[AwayWon], Table2[GameIsOver],1,Table2[HomeTeam],$A55, Table2[AwayTeam], I$36, Table2[ActualResult], "REG") + SUMIFS(Table2[HomeWon_], Table2[GameIsOver],1,Table2[AwayTeam],$A55, Table2[HomeTeam], I$36, Table2[ActualResult], "OT") + SUMIFS(Table2[AwayWon], Table2[GameIsOver],1,Table2[HomeTeam],$A55, Table2[AwayTeam], I$36, Table2[ActualResult], "OT") + SUMIFS(Table2[HomeWon_], Table2[GameIsOver],1,Table2[AwayTeam],$A55, Table2[HomeTeam], I$36, Table2[ActualResult], "SO") + SUMIFS(Table2[AwayWon], Table2[GameIsOver],1,Table2[HomeTeam],$A55, Table2[AwayTeam], I$36, Table2[ActualResult], "SO")) / (2*(SUMIFS(Table2[AwayWon], Table2[GameIsOver],1,Table2[AwayTeam],$A55, Table2[HomeTeam], I$36) + SUMIFS(Table2[HomeWon_], Table2[GameIsOver],1,Table2[HomeTeam],$A55, Table2[AwayTeam], I$36) + SUMIFS(Table2[HomeWon_], Table2[GameIsOver],1,Table2[AwayTeam],$A55, Table2[HomeTeam], I$36, Table2[ActualResult], "REG") + SUMIFS(Table2[AwayWon], Table2[GameIsOver],1,Table2[HomeTeam],$A55, Table2[AwayTeam], I$36, Table2[ActualResult], "REG") + SUMIFS(Table2[HomeWon_], Table2[GameIsOver],1,Table2[AwayTeam],$A55, Table2[HomeTeam], I$36, Table2[ActualResult], "OT") + SUMIFS(Table2[AwayWon], Table2[GameIsOver],1,Table2[HomeTeam],$A55, Table2[AwayTeam], I$36, Table2[ActualResult], "OT") + SUMIFS(Table2[HomeWon_], Table2[GameIsOver],1,Table2[AwayTeam],$A55, Table2[HomeTeam], I$36, Table2[ActualResult], "SO") + SUMIFS(Table2[AwayWon], Table2[GameIsOver],1,Table2[HomeTeam],$A55, Table2[AwayTeam], I$36, Table2[ActualResult], "SO"))), "")</f>
        <v/>
      </c>
      <c r="J55" t="str">
        <f>IFERROR(((2*SUMIFS(Table2[AwayWon], Table2[GameIsOver],1,Table2[AwayTeam],$A55, Table2[HomeTeam], J$36) + SUMIFS(Table2[HomeWon_], Table2[GameIsOver],1,Table2[HomeTeam],$A55, Table2[AwayTeam], J$36)) + SUMIFS(Table2[AwayWon], Table2[GameIsOver],1,Table2[HomeTeam],$A55, Table2[AwayTeam], J$36, Table2[ActualResult], "REG") + SUMIFS(Table2[HomeWon_], Table2[GameIsOver],1,Table2[AwayTeam],$A55, Table2[HomeTeam], J$36, Table2[ActualResult], "OT") + SUMIFS(Table2[AwayWon], Table2[GameIsOver],1,Table2[HomeTeam],$A55, Table2[AwayTeam], J$36, Table2[ActualResult], "OT") + SUMIFS(Table2[HomeWon_], Table2[GameIsOver],1,Table2[AwayTeam],$A55, Table2[HomeTeam], J$36, Table2[ActualResult], "SO") + SUMIFS(Table2[AwayWon], Table2[GameIsOver],1,Table2[HomeTeam],$A55, Table2[AwayTeam], J$36, Table2[ActualResult], "SO")) / (2*(SUMIFS(Table2[AwayWon], Table2[GameIsOver],1,Table2[AwayTeam],$A55, Table2[HomeTeam], J$36) + SUMIFS(Table2[HomeWon_], Table2[GameIsOver],1,Table2[HomeTeam],$A55, Table2[AwayTeam], J$36) + SUMIFS(Table2[HomeWon_], Table2[GameIsOver],1,Table2[AwayTeam],$A55, Table2[HomeTeam], J$36, Table2[ActualResult], "REG") + SUMIFS(Table2[AwayWon], Table2[GameIsOver],1,Table2[HomeTeam],$A55, Table2[AwayTeam], J$36, Table2[ActualResult], "REG") + SUMIFS(Table2[HomeWon_], Table2[GameIsOver],1,Table2[AwayTeam],$A55, Table2[HomeTeam], J$36, Table2[ActualResult], "OT") + SUMIFS(Table2[AwayWon], Table2[GameIsOver],1,Table2[HomeTeam],$A55, Table2[AwayTeam], J$36, Table2[ActualResult], "OT") + SUMIFS(Table2[HomeWon_], Table2[GameIsOver],1,Table2[AwayTeam],$A55, Table2[HomeTeam], J$36, Table2[ActualResult], "SO") + SUMIFS(Table2[AwayWon], Table2[GameIsOver],1,Table2[HomeTeam],$A55, Table2[AwayTeam], J$36, Table2[ActualResult], "SO"))), "")</f>
        <v/>
      </c>
      <c r="K55" t="str">
        <f>IFERROR(((2*SUMIFS(Table2[AwayWon], Table2[GameIsOver],1,Table2[AwayTeam],$A55, Table2[HomeTeam], K$36) + SUMIFS(Table2[HomeWon_], Table2[GameIsOver],1,Table2[HomeTeam],$A55, Table2[AwayTeam], K$36)) + SUMIFS(Table2[AwayWon], Table2[GameIsOver],1,Table2[HomeTeam],$A55, Table2[AwayTeam], K$36, Table2[ActualResult], "REG") + SUMIFS(Table2[HomeWon_], Table2[GameIsOver],1,Table2[AwayTeam],$A55, Table2[HomeTeam], K$36, Table2[ActualResult], "OT") + SUMIFS(Table2[AwayWon], Table2[GameIsOver],1,Table2[HomeTeam],$A55, Table2[AwayTeam], K$36, Table2[ActualResult], "OT") + SUMIFS(Table2[HomeWon_], Table2[GameIsOver],1,Table2[AwayTeam],$A55, Table2[HomeTeam], K$36, Table2[ActualResult], "SO") + SUMIFS(Table2[AwayWon], Table2[GameIsOver],1,Table2[HomeTeam],$A55, Table2[AwayTeam], K$36, Table2[ActualResult], "SO")) / (2*(SUMIFS(Table2[AwayWon], Table2[GameIsOver],1,Table2[AwayTeam],$A55, Table2[HomeTeam], K$36) + SUMIFS(Table2[HomeWon_], Table2[GameIsOver],1,Table2[HomeTeam],$A55, Table2[AwayTeam], K$36) + SUMIFS(Table2[HomeWon_], Table2[GameIsOver],1,Table2[AwayTeam],$A55, Table2[HomeTeam], K$36, Table2[ActualResult], "REG") + SUMIFS(Table2[AwayWon], Table2[GameIsOver],1,Table2[HomeTeam],$A55, Table2[AwayTeam], K$36, Table2[ActualResult], "REG") + SUMIFS(Table2[HomeWon_], Table2[GameIsOver],1,Table2[AwayTeam],$A55, Table2[HomeTeam], K$36, Table2[ActualResult], "OT") + SUMIFS(Table2[AwayWon], Table2[GameIsOver],1,Table2[HomeTeam],$A55, Table2[AwayTeam], K$36, Table2[ActualResult], "OT") + SUMIFS(Table2[HomeWon_], Table2[GameIsOver],1,Table2[AwayTeam],$A55, Table2[HomeTeam], K$36, Table2[ActualResult], "SO") + SUMIFS(Table2[AwayWon], Table2[GameIsOver],1,Table2[HomeTeam],$A55, Table2[AwayTeam], K$36, Table2[ActualResult], "SO"))), "")</f>
        <v/>
      </c>
      <c r="L55" t="str">
        <f>IFERROR(((2*SUMIFS(Table2[AwayWon], Table2[GameIsOver],1,Table2[AwayTeam],$A55, Table2[HomeTeam], L$36) + SUMIFS(Table2[HomeWon_], Table2[GameIsOver],1,Table2[HomeTeam],$A55, Table2[AwayTeam], L$36)) + SUMIFS(Table2[AwayWon], Table2[GameIsOver],1,Table2[HomeTeam],$A55, Table2[AwayTeam], L$36, Table2[ActualResult], "REG") + SUMIFS(Table2[HomeWon_], Table2[GameIsOver],1,Table2[AwayTeam],$A55, Table2[HomeTeam], L$36, Table2[ActualResult], "OT") + SUMIFS(Table2[AwayWon], Table2[GameIsOver],1,Table2[HomeTeam],$A55, Table2[AwayTeam], L$36, Table2[ActualResult], "OT") + SUMIFS(Table2[HomeWon_], Table2[GameIsOver],1,Table2[AwayTeam],$A55, Table2[HomeTeam], L$36, Table2[ActualResult], "SO") + SUMIFS(Table2[AwayWon], Table2[GameIsOver],1,Table2[HomeTeam],$A55, Table2[AwayTeam], L$36, Table2[ActualResult], "SO")) / (2*(SUMIFS(Table2[AwayWon], Table2[GameIsOver],1,Table2[AwayTeam],$A55, Table2[HomeTeam], L$36) + SUMIFS(Table2[HomeWon_], Table2[GameIsOver],1,Table2[HomeTeam],$A55, Table2[AwayTeam], L$36) + SUMIFS(Table2[HomeWon_], Table2[GameIsOver],1,Table2[AwayTeam],$A55, Table2[HomeTeam], L$36, Table2[ActualResult], "REG") + SUMIFS(Table2[AwayWon], Table2[GameIsOver],1,Table2[HomeTeam],$A55, Table2[AwayTeam], L$36, Table2[ActualResult], "REG") + SUMIFS(Table2[HomeWon_], Table2[GameIsOver],1,Table2[AwayTeam],$A55, Table2[HomeTeam], L$36, Table2[ActualResult], "OT") + SUMIFS(Table2[AwayWon], Table2[GameIsOver],1,Table2[HomeTeam],$A55, Table2[AwayTeam], L$36, Table2[ActualResult], "OT") + SUMIFS(Table2[HomeWon_], Table2[GameIsOver],1,Table2[AwayTeam],$A55, Table2[HomeTeam], L$36, Table2[ActualResult], "SO") + SUMIFS(Table2[AwayWon], Table2[GameIsOver],1,Table2[HomeTeam],$A55, Table2[AwayTeam], L$36, Table2[ActualResult], "SO"))), "")</f>
        <v/>
      </c>
      <c r="M55" t="str">
        <f>IFERROR(((2*SUMIFS(Table2[AwayWon], Table2[GameIsOver],1,Table2[AwayTeam],$A55, Table2[HomeTeam], M$36) + SUMIFS(Table2[HomeWon_], Table2[GameIsOver],1,Table2[HomeTeam],$A55, Table2[AwayTeam], M$36)) + SUMIFS(Table2[AwayWon], Table2[GameIsOver],1,Table2[HomeTeam],$A55, Table2[AwayTeam], M$36, Table2[ActualResult], "REG") + SUMIFS(Table2[HomeWon_], Table2[GameIsOver],1,Table2[AwayTeam],$A55, Table2[HomeTeam], M$36, Table2[ActualResult], "OT") + SUMIFS(Table2[AwayWon], Table2[GameIsOver],1,Table2[HomeTeam],$A55, Table2[AwayTeam], M$36, Table2[ActualResult], "OT") + SUMIFS(Table2[HomeWon_], Table2[GameIsOver],1,Table2[AwayTeam],$A55, Table2[HomeTeam], M$36, Table2[ActualResult], "SO") + SUMIFS(Table2[AwayWon], Table2[GameIsOver],1,Table2[HomeTeam],$A55, Table2[AwayTeam], M$36, Table2[ActualResult], "SO")) / (2*(SUMIFS(Table2[AwayWon], Table2[GameIsOver],1,Table2[AwayTeam],$A55, Table2[HomeTeam], M$36) + SUMIFS(Table2[HomeWon_], Table2[GameIsOver],1,Table2[HomeTeam],$A55, Table2[AwayTeam], M$36) + SUMIFS(Table2[HomeWon_], Table2[GameIsOver],1,Table2[AwayTeam],$A55, Table2[HomeTeam], M$36, Table2[ActualResult], "REG") + SUMIFS(Table2[AwayWon], Table2[GameIsOver],1,Table2[HomeTeam],$A55, Table2[AwayTeam], M$36, Table2[ActualResult], "REG") + SUMIFS(Table2[HomeWon_], Table2[GameIsOver],1,Table2[AwayTeam],$A55, Table2[HomeTeam], M$36, Table2[ActualResult], "OT") + SUMIFS(Table2[AwayWon], Table2[GameIsOver],1,Table2[HomeTeam],$A55, Table2[AwayTeam], M$36, Table2[ActualResult], "OT") + SUMIFS(Table2[HomeWon_], Table2[GameIsOver],1,Table2[AwayTeam],$A55, Table2[HomeTeam], M$36, Table2[ActualResult], "SO") + SUMIFS(Table2[AwayWon], Table2[GameIsOver],1,Table2[HomeTeam],$A55, Table2[AwayTeam], M$36, Table2[ActualResult], "SO"))), "")</f>
        <v/>
      </c>
      <c r="N55" t="str">
        <f>IFERROR(((2*SUMIFS(Table2[AwayWon], Table2[GameIsOver],1,Table2[AwayTeam],$A55, Table2[HomeTeam], N$36) + SUMIFS(Table2[HomeWon_], Table2[GameIsOver],1,Table2[HomeTeam],$A55, Table2[AwayTeam], N$36)) + SUMIFS(Table2[AwayWon], Table2[GameIsOver],1,Table2[HomeTeam],$A55, Table2[AwayTeam], N$36, Table2[ActualResult], "REG") + SUMIFS(Table2[HomeWon_], Table2[GameIsOver],1,Table2[AwayTeam],$A55, Table2[HomeTeam], N$36, Table2[ActualResult], "OT") + SUMIFS(Table2[AwayWon], Table2[GameIsOver],1,Table2[HomeTeam],$A55, Table2[AwayTeam], N$36, Table2[ActualResult], "OT") + SUMIFS(Table2[HomeWon_], Table2[GameIsOver],1,Table2[AwayTeam],$A55, Table2[HomeTeam], N$36, Table2[ActualResult], "SO") + SUMIFS(Table2[AwayWon], Table2[GameIsOver],1,Table2[HomeTeam],$A55, Table2[AwayTeam], N$36, Table2[ActualResult], "SO")) / (2*(SUMIFS(Table2[AwayWon], Table2[GameIsOver],1,Table2[AwayTeam],$A55, Table2[HomeTeam], N$36) + SUMIFS(Table2[HomeWon_], Table2[GameIsOver],1,Table2[HomeTeam],$A55, Table2[AwayTeam], N$36) + SUMIFS(Table2[HomeWon_], Table2[GameIsOver],1,Table2[AwayTeam],$A55, Table2[HomeTeam], N$36, Table2[ActualResult], "REG") + SUMIFS(Table2[AwayWon], Table2[GameIsOver],1,Table2[HomeTeam],$A55, Table2[AwayTeam], N$36, Table2[ActualResult], "REG") + SUMIFS(Table2[HomeWon_], Table2[GameIsOver],1,Table2[AwayTeam],$A55, Table2[HomeTeam], N$36, Table2[ActualResult], "OT") + SUMIFS(Table2[AwayWon], Table2[GameIsOver],1,Table2[HomeTeam],$A55, Table2[AwayTeam], N$36, Table2[ActualResult], "OT") + SUMIFS(Table2[HomeWon_], Table2[GameIsOver],1,Table2[AwayTeam],$A55, Table2[HomeTeam], N$36, Table2[ActualResult], "SO") + SUMIFS(Table2[AwayWon], Table2[GameIsOver],1,Table2[HomeTeam],$A55, Table2[AwayTeam], N$36, Table2[ActualResult], "SO"))), "")</f>
        <v/>
      </c>
      <c r="O55" t="str">
        <f>IFERROR(((2*SUMIFS(Table2[AwayWon], Table2[GameIsOver],1,Table2[AwayTeam],$A55, Table2[HomeTeam], O$36) + SUMIFS(Table2[HomeWon_], Table2[GameIsOver],1,Table2[HomeTeam],$A55, Table2[AwayTeam], O$36)) + SUMIFS(Table2[AwayWon], Table2[GameIsOver],1,Table2[HomeTeam],$A55, Table2[AwayTeam], O$36, Table2[ActualResult], "REG") + SUMIFS(Table2[HomeWon_], Table2[GameIsOver],1,Table2[AwayTeam],$A55, Table2[HomeTeam], O$36, Table2[ActualResult], "OT") + SUMIFS(Table2[AwayWon], Table2[GameIsOver],1,Table2[HomeTeam],$A55, Table2[AwayTeam], O$36, Table2[ActualResult], "OT") + SUMIFS(Table2[HomeWon_], Table2[GameIsOver],1,Table2[AwayTeam],$A55, Table2[HomeTeam], O$36, Table2[ActualResult], "SO") + SUMIFS(Table2[AwayWon], Table2[GameIsOver],1,Table2[HomeTeam],$A55, Table2[AwayTeam], O$36, Table2[ActualResult], "SO")) / (2*(SUMIFS(Table2[AwayWon], Table2[GameIsOver],1,Table2[AwayTeam],$A55, Table2[HomeTeam], O$36) + SUMIFS(Table2[HomeWon_], Table2[GameIsOver],1,Table2[HomeTeam],$A55, Table2[AwayTeam], O$36) + SUMIFS(Table2[HomeWon_], Table2[GameIsOver],1,Table2[AwayTeam],$A55, Table2[HomeTeam], O$36, Table2[ActualResult], "REG") + SUMIFS(Table2[AwayWon], Table2[GameIsOver],1,Table2[HomeTeam],$A55, Table2[AwayTeam], O$36, Table2[ActualResult], "REG") + SUMIFS(Table2[HomeWon_], Table2[GameIsOver],1,Table2[AwayTeam],$A55, Table2[HomeTeam], O$36, Table2[ActualResult], "OT") + SUMIFS(Table2[AwayWon], Table2[GameIsOver],1,Table2[HomeTeam],$A55, Table2[AwayTeam], O$36, Table2[ActualResult], "OT") + SUMIFS(Table2[HomeWon_], Table2[GameIsOver],1,Table2[AwayTeam],$A55, Table2[HomeTeam], O$36, Table2[ActualResult], "SO") + SUMIFS(Table2[AwayWon], Table2[GameIsOver],1,Table2[HomeTeam],$A55, Table2[AwayTeam], O$36, Table2[ActualResult], "SO"))), "")</f>
        <v/>
      </c>
      <c r="P55" t="str">
        <f>IFERROR(((2*SUMIFS(Table2[AwayWon], Table2[GameIsOver],1,Table2[AwayTeam],$A55, Table2[HomeTeam], P$36) + SUMIFS(Table2[HomeWon_], Table2[GameIsOver],1,Table2[HomeTeam],$A55, Table2[AwayTeam], P$36)) + SUMIFS(Table2[AwayWon], Table2[GameIsOver],1,Table2[HomeTeam],$A55, Table2[AwayTeam], P$36, Table2[ActualResult], "REG") + SUMIFS(Table2[HomeWon_], Table2[GameIsOver],1,Table2[AwayTeam],$A55, Table2[HomeTeam], P$36, Table2[ActualResult], "OT") + SUMIFS(Table2[AwayWon], Table2[GameIsOver],1,Table2[HomeTeam],$A55, Table2[AwayTeam], P$36, Table2[ActualResult], "OT") + SUMIFS(Table2[HomeWon_], Table2[GameIsOver],1,Table2[AwayTeam],$A55, Table2[HomeTeam], P$36, Table2[ActualResult], "SO") + SUMIFS(Table2[AwayWon], Table2[GameIsOver],1,Table2[HomeTeam],$A55, Table2[AwayTeam], P$36, Table2[ActualResult], "SO")) / (2*(SUMIFS(Table2[AwayWon], Table2[GameIsOver],1,Table2[AwayTeam],$A55, Table2[HomeTeam], P$36) + SUMIFS(Table2[HomeWon_], Table2[GameIsOver],1,Table2[HomeTeam],$A55, Table2[AwayTeam], P$36) + SUMIFS(Table2[HomeWon_], Table2[GameIsOver],1,Table2[AwayTeam],$A55, Table2[HomeTeam], P$36, Table2[ActualResult], "REG") + SUMIFS(Table2[AwayWon], Table2[GameIsOver],1,Table2[HomeTeam],$A55, Table2[AwayTeam], P$36, Table2[ActualResult], "REG") + SUMIFS(Table2[HomeWon_], Table2[GameIsOver],1,Table2[AwayTeam],$A55, Table2[HomeTeam], P$36, Table2[ActualResult], "OT") + SUMIFS(Table2[AwayWon], Table2[GameIsOver],1,Table2[HomeTeam],$A55, Table2[AwayTeam], P$36, Table2[ActualResult], "OT") + SUMIFS(Table2[HomeWon_], Table2[GameIsOver],1,Table2[AwayTeam],$A55, Table2[HomeTeam], P$36, Table2[ActualResult], "SO") + SUMIFS(Table2[AwayWon], Table2[GameIsOver],1,Table2[HomeTeam],$A55, Table2[AwayTeam], P$36, Table2[ActualResult], "SO"))), "")</f>
        <v/>
      </c>
      <c r="Q55" s="57" t="str">
        <f>IFERROR(((2*SUMIFS(Table2[AwayWon], Table2[GameIsOver],1,Table2[AwayTeam],$A55, Table2[HomeTeam], Q$36) + SUMIFS(Table2[HomeWon_], Table2[GameIsOver],1,Table2[HomeTeam],$A55, Table2[AwayTeam], Q$36)) + SUMIFS(Table2[AwayWon], Table2[GameIsOver],1,Table2[HomeTeam],$A55, Table2[AwayTeam], Q$36, Table2[ActualResult], "REG") + SUMIFS(Table2[HomeWon_], Table2[GameIsOver],1,Table2[AwayTeam],$A55, Table2[HomeTeam], Q$36, Table2[ActualResult], "OT") + SUMIFS(Table2[AwayWon], Table2[GameIsOver],1,Table2[HomeTeam],$A55, Table2[AwayTeam], Q$36, Table2[ActualResult], "OT") + SUMIFS(Table2[HomeWon_], Table2[GameIsOver],1,Table2[AwayTeam],$A55, Table2[HomeTeam], Q$36, Table2[ActualResult], "SO") + SUMIFS(Table2[AwayWon], Table2[GameIsOver],1,Table2[HomeTeam],$A55, Table2[AwayTeam], Q$36, Table2[ActualResult], "SO")) / (2*(SUMIFS(Table2[AwayWon], Table2[GameIsOver],1,Table2[AwayTeam],$A55, Table2[HomeTeam], Q$36) + SUMIFS(Table2[HomeWon_], Table2[GameIsOver],1,Table2[HomeTeam],$A55, Table2[AwayTeam], Q$36) + SUMIFS(Table2[HomeWon_], Table2[GameIsOver],1,Table2[AwayTeam],$A55, Table2[HomeTeam], Q$36, Table2[ActualResult], "REG") + SUMIFS(Table2[AwayWon], Table2[GameIsOver],1,Table2[HomeTeam],$A55, Table2[AwayTeam], Q$36, Table2[ActualResult], "REG") + SUMIFS(Table2[HomeWon_], Table2[GameIsOver],1,Table2[AwayTeam],$A55, Table2[HomeTeam], Q$36, Table2[ActualResult], "OT") + SUMIFS(Table2[AwayWon], Table2[GameIsOver],1,Table2[HomeTeam],$A55, Table2[AwayTeam], Q$36, Table2[ActualResult], "OT") + SUMIFS(Table2[HomeWon_], Table2[GameIsOver],1,Table2[AwayTeam],$A55, Table2[HomeTeam], Q$36, Table2[ActualResult], "SO") + SUMIFS(Table2[AwayWon], Table2[GameIsOver],1,Table2[HomeTeam],$A55, Table2[AwayTeam], Q$36, Table2[ActualResult], "SO"))), "")</f>
        <v/>
      </c>
      <c r="R55">
        <f>IFERROR(((2*SUMIFS(Table2[AwayWon], Table2[GameIsOver],1,Table2[AwayTeam],$A55, Table2[HomeTeam], R$36) + SUMIFS(Table2[HomeWon_], Table2[GameIsOver],1,Table2[HomeTeam],$A55, Table2[AwayTeam], R$36)) + SUMIFS(Table2[AwayWon], Table2[GameIsOver],1,Table2[HomeTeam],$A55, Table2[AwayTeam], R$36, Table2[ActualResult], "REG") + SUMIFS(Table2[HomeWon_], Table2[GameIsOver],1,Table2[AwayTeam],$A55, Table2[HomeTeam], R$36, Table2[ActualResult], "OT") + SUMIFS(Table2[AwayWon], Table2[GameIsOver],1,Table2[HomeTeam],$A55, Table2[AwayTeam], R$36, Table2[ActualResult], "OT") + SUMIFS(Table2[HomeWon_], Table2[GameIsOver],1,Table2[AwayTeam],$A55, Table2[HomeTeam], R$36, Table2[ActualResult], "SO") + SUMIFS(Table2[AwayWon], Table2[GameIsOver],1,Table2[HomeTeam],$A55, Table2[AwayTeam], R$36, Table2[ActualResult], "SO")) / (2*(SUMIFS(Table2[AwayWon], Table2[GameIsOver],1,Table2[AwayTeam],$A55, Table2[HomeTeam], R$36) + SUMIFS(Table2[HomeWon_], Table2[GameIsOver],1,Table2[HomeTeam],$A55, Table2[AwayTeam], R$36) + SUMIFS(Table2[HomeWon_], Table2[GameIsOver],1,Table2[AwayTeam],$A55, Table2[HomeTeam], R$36, Table2[ActualResult], "REG") + SUMIFS(Table2[AwayWon], Table2[GameIsOver],1,Table2[HomeTeam],$A55, Table2[AwayTeam], R$36, Table2[ActualResult], "REG") + SUMIFS(Table2[HomeWon_], Table2[GameIsOver],1,Table2[AwayTeam],$A55, Table2[HomeTeam], R$36, Table2[ActualResult], "OT") + SUMIFS(Table2[AwayWon], Table2[GameIsOver],1,Table2[HomeTeam],$A55, Table2[AwayTeam], R$36, Table2[ActualResult], "OT") + SUMIFS(Table2[HomeWon_], Table2[GameIsOver],1,Table2[AwayTeam],$A55, Table2[HomeTeam], R$36, Table2[ActualResult], "SO") + SUMIFS(Table2[AwayWon], Table2[GameIsOver],1,Table2[HomeTeam],$A55, Table2[AwayTeam], R$36, Table2[ActualResult], "SO"))), "")</f>
        <v>0</v>
      </c>
      <c r="S55">
        <f>IFERROR(((2*SUMIFS(Table2[AwayWon], Table2[GameIsOver],1,Table2[AwayTeam],$A55, Table2[HomeTeam], S$36) + SUMIFS(Table2[HomeWon_], Table2[GameIsOver],1,Table2[HomeTeam],$A55, Table2[AwayTeam], S$36)) + SUMIFS(Table2[AwayWon], Table2[GameIsOver],1,Table2[HomeTeam],$A55, Table2[AwayTeam], S$36, Table2[ActualResult], "REG") + SUMIFS(Table2[HomeWon_], Table2[GameIsOver],1,Table2[AwayTeam],$A55, Table2[HomeTeam], S$36, Table2[ActualResult], "OT") + SUMIFS(Table2[AwayWon], Table2[GameIsOver],1,Table2[HomeTeam],$A55, Table2[AwayTeam], S$36, Table2[ActualResult], "OT") + SUMIFS(Table2[HomeWon_], Table2[GameIsOver],1,Table2[AwayTeam],$A55, Table2[HomeTeam], S$36, Table2[ActualResult], "SO") + SUMIFS(Table2[AwayWon], Table2[GameIsOver],1,Table2[HomeTeam],$A55, Table2[AwayTeam], S$36, Table2[ActualResult], "SO")) / (2*(SUMIFS(Table2[AwayWon], Table2[GameIsOver],1,Table2[AwayTeam],$A55, Table2[HomeTeam], S$36) + SUMIFS(Table2[HomeWon_], Table2[GameIsOver],1,Table2[HomeTeam],$A55, Table2[AwayTeam], S$36) + SUMIFS(Table2[HomeWon_], Table2[GameIsOver],1,Table2[AwayTeam],$A55, Table2[HomeTeam], S$36, Table2[ActualResult], "REG") + SUMIFS(Table2[AwayWon], Table2[GameIsOver],1,Table2[HomeTeam],$A55, Table2[AwayTeam], S$36, Table2[ActualResult], "REG") + SUMIFS(Table2[HomeWon_], Table2[GameIsOver],1,Table2[AwayTeam],$A55, Table2[HomeTeam], S$36, Table2[ActualResult], "OT") + SUMIFS(Table2[AwayWon], Table2[GameIsOver],1,Table2[HomeTeam],$A55, Table2[AwayTeam], S$36, Table2[ActualResult], "OT") + SUMIFS(Table2[HomeWon_], Table2[GameIsOver],1,Table2[AwayTeam],$A55, Table2[HomeTeam], S$36, Table2[ActualResult], "SO") + SUMIFS(Table2[AwayWon], Table2[GameIsOver],1,Table2[HomeTeam],$A55, Table2[AwayTeam], S$36, Table2[ActualResult], "SO"))), "")</f>
        <v>1</v>
      </c>
      <c r="T55" s="98" t="str">
        <f>IFERROR(((2*SUMIFS(Table2[AwayWon], Table2[GameIsOver],1,Table2[AwayTeam],$A55, Table2[HomeTeam], T$36) + SUMIFS(Table2[HomeWon_], Table2[GameIsOver],1,Table2[HomeTeam],$A55, Table2[AwayTeam], T$36)) + SUMIFS(Table2[AwayWon], Table2[GameIsOver],1,Table2[HomeTeam],$A55, Table2[AwayTeam], T$36, Table2[ActualResult], "REG") + SUMIFS(Table2[HomeWon_], Table2[GameIsOver],1,Table2[AwayTeam],$A55, Table2[HomeTeam], T$36, Table2[ActualResult], "OT") + SUMIFS(Table2[AwayWon], Table2[GameIsOver],1,Table2[HomeTeam],$A55, Table2[AwayTeam], T$36, Table2[ActualResult], "OT") + SUMIFS(Table2[HomeWon_], Table2[GameIsOver],1,Table2[AwayTeam],$A55, Table2[HomeTeam], T$36, Table2[ActualResult], "SO") + SUMIFS(Table2[AwayWon], Table2[GameIsOver],1,Table2[HomeTeam],$A55, Table2[AwayTeam], T$36, Table2[ActualResult], "SO")) / (2*(SUMIFS(Table2[AwayWon], Table2[GameIsOver],1,Table2[AwayTeam],$A55, Table2[HomeTeam], T$36) + SUMIFS(Table2[HomeWon_], Table2[GameIsOver],1,Table2[HomeTeam],$A55, Table2[AwayTeam], T$36) + SUMIFS(Table2[HomeWon_], Table2[GameIsOver],1,Table2[AwayTeam],$A55, Table2[HomeTeam], T$36, Table2[ActualResult], "REG") + SUMIFS(Table2[AwayWon], Table2[GameIsOver],1,Table2[HomeTeam],$A55, Table2[AwayTeam], T$36, Table2[ActualResult], "REG") + SUMIFS(Table2[HomeWon_], Table2[GameIsOver],1,Table2[AwayTeam],$A55, Table2[HomeTeam], T$36, Table2[ActualResult], "OT") + SUMIFS(Table2[AwayWon], Table2[GameIsOver],1,Table2[HomeTeam],$A55, Table2[AwayTeam], T$36, Table2[ActualResult], "OT") + SUMIFS(Table2[HomeWon_], Table2[GameIsOver],1,Table2[AwayTeam],$A55, Table2[HomeTeam], T$36, Table2[ActualResult], "SO") + SUMIFS(Table2[AwayWon], Table2[GameIsOver],1,Table2[HomeTeam],$A55, Table2[AwayTeam], T$36, Table2[ActualResult], "SO"))), "")</f>
        <v/>
      </c>
      <c r="U55" t="str">
        <f>IFERROR(((2*SUMIFS(Table2[AwayWon], Table2[GameIsOver],1,Table2[AwayTeam],$A55, Table2[HomeTeam], U$36) + SUMIFS(Table2[HomeWon_], Table2[GameIsOver],1,Table2[HomeTeam],$A55, Table2[AwayTeam], U$36)) + SUMIFS(Table2[AwayWon], Table2[GameIsOver],1,Table2[HomeTeam],$A55, Table2[AwayTeam], U$36, Table2[ActualResult], "REG") + SUMIFS(Table2[HomeWon_], Table2[GameIsOver],1,Table2[AwayTeam],$A55, Table2[HomeTeam], U$36, Table2[ActualResult], "OT") + SUMIFS(Table2[AwayWon], Table2[GameIsOver],1,Table2[HomeTeam],$A55, Table2[AwayTeam], U$36, Table2[ActualResult], "OT") + SUMIFS(Table2[HomeWon_], Table2[GameIsOver],1,Table2[AwayTeam],$A55, Table2[HomeTeam], U$36, Table2[ActualResult], "SO") + SUMIFS(Table2[AwayWon], Table2[GameIsOver],1,Table2[HomeTeam],$A55, Table2[AwayTeam], U$36, Table2[ActualResult], "SO")) / (2*(SUMIFS(Table2[AwayWon], Table2[GameIsOver],1,Table2[AwayTeam],$A55, Table2[HomeTeam], U$36) + SUMIFS(Table2[HomeWon_], Table2[GameIsOver],1,Table2[HomeTeam],$A55, Table2[AwayTeam], U$36) + SUMIFS(Table2[HomeWon_], Table2[GameIsOver],1,Table2[AwayTeam],$A55, Table2[HomeTeam], U$36, Table2[ActualResult], "REG") + SUMIFS(Table2[AwayWon], Table2[GameIsOver],1,Table2[HomeTeam],$A55, Table2[AwayTeam], U$36, Table2[ActualResult], "REG") + SUMIFS(Table2[HomeWon_], Table2[GameIsOver],1,Table2[AwayTeam],$A55, Table2[HomeTeam], U$36, Table2[ActualResult], "OT") + SUMIFS(Table2[AwayWon], Table2[GameIsOver],1,Table2[HomeTeam],$A55, Table2[AwayTeam], U$36, Table2[ActualResult], "OT") + SUMIFS(Table2[HomeWon_], Table2[GameIsOver],1,Table2[AwayTeam],$A55, Table2[HomeTeam], U$36, Table2[ActualResult], "SO") + SUMIFS(Table2[AwayWon], Table2[GameIsOver],1,Table2[HomeTeam],$A55, Table2[AwayTeam], U$36, Table2[ActualResult], "SO"))), "")</f>
        <v/>
      </c>
      <c r="V55" t="str">
        <f>IFERROR(((2*SUMIFS(Table2[AwayWon], Table2[GameIsOver],1,Table2[AwayTeam],$A55, Table2[HomeTeam], V$36) + SUMIFS(Table2[HomeWon_], Table2[GameIsOver],1,Table2[HomeTeam],$A55, Table2[AwayTeam], V$36)) + SUMIFS(Table2[AwayWon], Table2[GameIsOver],1,Table2[HomeTeam],$A55, Table2[AwayTeam], V$36, Table2[ActualResult], "REG") + SUMIFS(Table2[HomeWon_], Table2[GameIsOver],1,Table2[AwayTeam],$A55, Table2[HomeTeam], V$36, Table2[ActualResult], "OT") + SUMIFS(Table2[AwayWon], Table2[GameIsOver],1,Table2[HomeTeam],$A55, Table2[AwayTeam], V$36, Table2[ActualResult], "OT") + SUMIFS(Table2[HomeWon_], Table2[GameIsOver],1,Table2[AwayTeam],$A55, Table2[HomeTeam], V$36, Table2[ActualResult], "SO") + SUMIFS(Table2[AwayWon], Table2[GameIsOver],1,Table2[HomeTeam],$A55, Table2[AwayTeam], V$36, Table2[ActualResult], "SO")) / (2*(SUMIFS(Table2[AwayWon], Table2[GameIsOver],1,Table2[AwayTeam],$A55, Table2[HomeTeam], V$36) + SUMIFS(Table2[HomeWon_], Table2[GameIsOver],1,Table2[HomeTeam],$A55, Table2[AwayTeam], V$36) + SUMIFS(Table2[HomeWon_], Table2[GameIsOver],1,Table2[AwayTeam],$A55, Table2[HomeTeam], V$36, Table2[ActualResult], "REG") + SUMIFS(Table2[AwayWon], Table2[GameIsOver],1,Table2[HomeTeam],$A55, Table2[AwayTeam], V$36, Table2[ActualResult], "REG") + SUMIFS(Table2[HomeWon_], Table2[GameIsOver],1,Table2[AwayTeam],$A55, Table2[HomeTeam], V$36, Table2[ActualResult], "OT") + SUMIFS(Table2[AwayWon], Table2[GameIsOver],1,Table2[HomeTeam],$A55, Table2[AwayTeam], V$36, Table2[ActualResult], "OT") + SUMIFS(Table2[HomeWon_], Table2[GameIsOver],1,Table2[AwayTeam],$A55, Table2[HomeTeam], V$36, Table2[ActualResult], "SO") + SUMIFS(Table2[AwayWon], Table2[GameIsOver],1,Table2[HomeTeam],$A55, Table2[AwayTeam], V$36, Table2[ActualResult], "SO"))), "")</f>
        <v/>
      </c>
      <c r="W55" t="str">
        <f>IFERROR(((2*SUMIFS(Table2[AwayWon], Table2[GameIsOver],1,Table2[AwayTeam],$A55, Table2[HomeTeam], W$36) + SUMIFS(Table2[HomeWon_], Table2[GameIsOver],1,Table2[HomeTeam],$A55, Table2[AwayTeam], W$36)) + SUMIFS(Table2[AwayWon], Table2[GameIsOver],1,Table2[HomeTeam],$A55, Table2[AwayTeam], W$36, Table2[ActualResult], "REG") + SUMIFS(Table2[HomeWon_], Table2[GameIsOver],1,Table2[AwayTeam],$A55, Table2[HomeTeam], W$36, Table2[ActualResult], "OT") + SUMIFS(Table2[AwayWon], Table2[GameIsOver],1,Table2[HomeTeam],$A55, Table2[AwayTeam], W$36, Table2[ActualResult], "OT") + SUMIFS(Table2[HomeWon_], Table2[GameIsOver],1,Table2[AwayTeam],$A55, Table2[HomeTeam], W$36, Table2[ActualResult], "SO") + SUMIFS(Table2[AwayWon], Table2[GameIsOver],1,Table2[HomeTeam],$A55, Table2[AwayTeam], W$36, Table2[ActualResult], "SO")) / (2*(SUMIFS(Table2[AwayWon], Table2[GameIsOver],1,Table2[AwayTeam],$A55, Table2[HomeTeam], W$36) + SUMIFS(Table2[HomeWon_], Table2[GameIsOver],1,Table2[HomeTeam],$A55, Table2[AwayTeam], W$36) + SUMIFS(Table2[HomeWon_], Table2[GameIsOver],1,Table2[AwayTeam],$A55, Table2[HomeTeam], W$36, Table2[ActualResult], "REG") + SUMIFS(Table2[AwayWon], Table2[GameIsOver],1,Table2[HomeTeam],$A55, Table2[AwayTeam], W$36, Table2[ActualResult], "REG") + SUMIFS(Table2[HomeWon_], Table2[GameIsOver],1,Table2[AwayTeam],$A55, Table2[HomeTeam], W$36, Table2[ActualResult], "OT") + SUMIFS(Table2[AwayWon], Table2[GameIsOver],1,Table2[HomeTeam],$A55, Table2[AwayTeam], W$36, Table2[ActualResult], "OT") + SUMIFS(Table2[HomeWon_], Table2[GameIsOver],1,Table2[AwayTeam],$A55, Table2[HomeTeam], W$36, Table2[ActualResult], "SO") + SUMIFS(Table2[AwayWon], Table2[GameIsOver],1,Table2[HomeTeam],$A55, Table2[AwayTeam], W$36, Table2[ActualResult], "SO"))), "")</f>
        <v/>
      </c>
      <c r="X55" t="str">
        <f>IFERROR(((2*SUMIFS(Table2[AwayWon], Table2[GameIsOver],1,Table2[AwayTeam],$A55, Table2[HomeTeam], X$36) + SUMIFS(Table2[HomeWon_], Table2[GameIsOver],1,Table2[HomeTeam],$A55, Table2[AwayTeam], X$36)) + SUMIFS(Table2[AwayWon], Table2[GameIsOver],1,Table2[HomeTeam],$A55, Table2[AwayTeam], X$36, Table2[ActualResult], "REG") + SUMIFS(Table2[HomeWon_], Table2[GameIsOver],1,Table2[AwayTeam],$A55, Table2[HomeTeam], X$36, Table2[ActualResult], "OT") + SUMIFS(Table2[AwayWon], Table2[GameIsOver],1,Table2[HomeTeam],$A55, Table2[AwayTeam], X$36, Table2[ActualResult], "OT") + SUMIFS(Table2[HomeWon_], Table2[GameIsOver],1,Table2[AwayTeam],$A55, Table2[HomeTeam], X$36, Table2[ActualResult], "SO") + SUMIFS(Table2[AwayWon], Table2[GameIsOver],1,Table2[HomeTeam],$A55, Table2[AwayTeam], X$36, Table2[ActualResult], "SO")) / (2*(SUMIFS(Table2[AwayWon], Table2[GameIsOver],1,Table2[AwayTeam],$A55, Table2[HomeTeam], X$36) + SUMIFS(Table2[HomeWon_], Table2[GameIsOver],1,Table2[HomeTeam],$A55, Table2[AwayTeam], X$36) + SUMIFS(Table2[HomeWon_], Table2[GameIsOver],1,Table2[AwayTeam],$A55, Table2[HomeTeam], X$36, Table2[ActualResult], "REG") + SUMIFS(Table2[AwayWon], Table2[GameIsOver],1,Table2[HomeTeam],$A55, Table2[AwayTeam], X$36, Table2[ActualResult], "REG") + SUMIFS(Table2[HomeWon_], Table2[GameIsOver],1,Table2[AwayTeam],$A55, Table2[HomeTeam], X$36, Table2[ActualResult], "OT") + SUMIFS(Table2[AwayWon], Table2[GameIsOver],1,Table2[HomeTeam],$A55, Table2[AwayTeam], X$36, Table2[ActualResult], "OT") + SUMIFS(Table2[HomeWon_], Table2[GameIsOver],1,Table2[AwayTeam],$A55, Table2[HomeTeam], X$36, Table2[ActualResult], "SO") + SUMIFS(Table2[AwayWon], Table2[GameIsOver],1,Table2[HomeTeam],$A55, Table2[AwayTeam], X$36, Table2[ActualResult], "SO"))), "")</f>
        <v/>
      </c>
      <c r="Y55" s="57" t="str">
        <f>IFERROR(((2*SUMIFS(Table2[AwayWon], Table2[GameIsOver],1,Table2[AwayTeam],$A55, Table2[HomeTeam], Y$36) + SUMIFS(Table2[HomeWon_], Table2[GameIsOver],1,Table2[HomeTeam],$A55, Table2[AwayTeam], Y$36)) + SUMIFS(Table2[AwayWon], Table2[GameIsOver],1,Table2[HomeTeam],$A55, Table2[AwayTeam], Y$36, Table2[ActualResult], "REG") + SUMIFS(Table2[HomeWon_], Table2[GameIsOver],1,Table2[AwayTeam],$A55, Table2[HomeTeam], Y$36, Table2[ActualResult], "OT") + SUMIFS(Table2[AwayWon], Table2[GameIsOver],1,Table2[HomeTeam],$A55, Table2[AwayTeam], Y$36, Table2[ActualResult], "OT") + SUMIFS(Table2[HomeWon_], Table2[GameIsOver],1,Table2[AwayTeam],$A55, Table2[HomeTeam], Y$36, Table2[ActualResult], "SO") + SUMIFS(Table2[AwayWon], Table2[GameIsOver],1,Table2[HomeTeam],$A55, Table2[AwayTeam], Y$36, Table2[ActualResult], "SO")) / (2*(SUMIFS(Table2[AwayWon], Table2[GameIsOver],1,Table2[AwayTeam],$A55, Table2[HomeTeam], Y$36) + SUMIFS(Table2[HomeWon_], Table2[GameIsOver],1,Table2[HomeTeam],$A55, Table2[AwayTeam], Y$36) + SUMIFS(Table2[HomeWon_], Table2[GameIsOver],1,Table2[AwayTeam],$A55, Table2[HomeTeam], Y$36, Table2[ActualResult], "REG") + SUMIFS(Table2[AwayWon], Table2[GameIsOver],1,Table2[HomeTeam],$A55, Table2[AwayTeam], Y$36, Table2[ActualResult], "REG") + SUMIFS(Table2[HomeWon_], Table2[GameIsOver],1,Table2[AwayTeam],$A55, Table2[HomeTeam], Y$36, Table2[ActualResult], "OT") + SUMIFS(Table2[AwayWon], Table2[GameIsOver],1,Table2[HomeTeam],$A55, Table2[AwayTeam], Y$36, Table2[ActualResult], "OT") + SUMIFS(Table2[HomeWon_], Table2[GameIsOver],1,Table2[AwayTeam],$A55, Table2[HomeTeam], Y$36, Table2[ActualResult], "SO") + SUMIFS(Table2[AwayWon], Table2[GameIsOver],1,Table2[HomeTeam],$A55, Table2[AwayTeam], Y$36, Table2[ActualResult], "SO"))), "")</f>
        <v/>
      </c>
      <c r="Z55" t="str">
        <f>IFERROR(((2*SUMIFS(Table2[AwayWon], Table2[GameIsOver],1,Table2[AwayTeam],$A55, Table2[HomeTeam], Z$36) + SUMIFS(Table2[HomeWon_], Table2[GameIsOver],1,Table2[HomeTeam],$A55, Table2[AwayTeam], Z$36)) + SUMIFS(Table2[AwayWon], Table2[GameIsOver],1,Table2[HomeTeam],$A55, Table2[AwayTeam], Z$36, Table2[ActualResult], "REG") + SUMIFS(Table2[HomeWon_], Table2[GameIsOver],1,Table2[AwayTeam],$A55, Table2[HomeTeam], Z$36, Table2[ActualResult], "OT") + SUMIFS(Table2[AwayWon], Table2[GameIsOver],1,Table2[HomeTeam],$A55, Table2[AwayTeam], Z$36, Table2[ActualResult], "OT") + SUMIFS(Table2[HomeWon_], Table2[GameIsOver],1,Table2[AwayTeam],$A55, Table2[HomeTeam], Z$36, Table2[ActualResult], "SO") + SUMIFS(Table2[AwayWon], Table2[GameIsOver],1,Table2[HomeTeam],$A55, Table2[AwayTeam], Z$36, Table2[ActualResult], "SO")) / (2*(SUMIFS(Table2[AwayWon], Table2[GameIsOver],1,Table2[AwayTeam],$A55, Table2[HomeTeam], Z$36) + SUMIFS(Table2[HomeWon_], Table2[GameIsOver],1,Table2[HomeTeam],$A55, Table2[AwayTeam], Z$36) + SUMIFS(Table2[HomeWon_], Table2[GameIsOver],1,Table2[AwayTeam],$A55, Table2[HomeTeam], Z$36, Table2[ActualResult], "REG") + SUMIFS(Table2[AwayWon], Table2[GameIsOver],1,Table2[HomeTeam],$A55, Table2[AwayTeam], Z$36, Table2[ActualResult], "REG") + SUMIFS(Table2[HomeWon_], Table2[GameIsOver],1,Table2[AwayTeam],$A55, Table2[HomeTeam], Z$36, Table2[ActualResult], "OT") + SUMIFS(Table2[AwayWon], Table2[GameIsOver],1,Table2[HomeTeam],$A55, Table2[AwayTeam], Z$36, Table2[ActualResult], "OT") + SUMIFS(Table2[HomeWon_], Table2[GameIsOver],1,Table2[AwayTeam],$A55, Table2[HomeTeam], Z$36, Table2[ActualResult], "SO") + SUMIFS(Table2[AwayWon], Table2[GameIsOver],1,Table2[HomeTeam],$A55, Table2[AwayTeam], Z$36, Table2[ActualResult], "SO"))), "")</f>
        <v/>
      </c>
      <c r="AA55" t="str">
        <f>IFERROR(((2*SUMIFS(Table2[AwayWon], Table2[GameIsOver],1,Table2[AwayTeam],$A55, Table2[HomeTeam], AA$36) + SUMIFS(Table2[HomeWon_], Table2[GameIsOver],1,Table2[HomeTeam],$A55, Table2[AwayTeam], AA$36)) + SUMIFS(Table2[AwayWon], Table2[GameIsOver],1,Table2[HomeTeam],$A55, Table2[AwayTeam], AA$36, Table2[ActualResult], "REG") + SUMIFS(Table2[HomeWon_], Table2[GameIsOver],1,Table2[AwayTeam],$A55, Table2[HomeTeam], AA$36, Table2[ActualResult], "OT") + SUMIFS(Table2[AwayWon], Table2[GameIsOver],1,Table2[HomeTeam],$A55, Table2[AwayTeam], AA$36, Table2[ActualResult], "OT") + SUMIFS(Table2[HomeWon_], Table2[GameIsOver],1,Table2[AwayTeam],$A55, Table2[HomeTeam], AA$36, Table2[ActualResult], "SO") + SUMIFS(Table2[AwayWon], Table2[GameIsOver],1,Table2[HomeTeam],$A55, Table2[AwayTeam], AA$36, Table2[ActualResult], "SO")) / (2*(SUMIFS(Table2[AwayWon], Table2[GameIsOver],1,Table2[AwayTeam],$A55, Table2[HomeTeam], AA$36) + SUMIFS(Table2[HomeWon_], Table2[GameIsOver],1,Table2[HomeTeam],$A55, Table2[AwayTeam], AA$36) + SUMIFS(Table2[HomeWon_], Table2[GameIsOver],1,Table2[AwayTeam],$A55, Table2[HomeTeam], AA$36, Table2[ActualResult], "REG") + SUMIFS(Table2[AwayWon], Table2[GameIsOver],1,Table2[HomeTeam],$A55, Table2[AwayTeam], AA$36, Table2[ActualResult], "REG") + SUMIFS(Table2[HomeWon_], Table2[GameIsOver],1,Table2[AwayTeam],$A55, Table2[HomeTeam], AA$36, Table2[ActualResult], "OT") + SUMIFS(Table2[AwayWon], Table2[GameIsOver],1,Table2[HomeTeam],$A55, Table2[AwayTeam], AA$36, Table2[ActualResult], "OT") + SUMIFS(Table2[HomeWon_], Table2[GameIsOver],1,Table2[AwayTeam],$A55, Table2[HomeTeam], AA$36, Table2[ActualResult], "SO") + SUMIFS(Table2[AwayWon], Table2[GameIsOver],1,Table2[HomeTeam],$A55, Table2[AwayTeam], AA$36, Table2[ActualResult], "SO"))), "")</f>
        <v/>
      </c>
      <c r="AB55" t="str">
        <f>IFERROR(((2*SUMIFS(Table2[AwayWon], Table2[GameIsOver],1,Table2[AwayTeam],$A55, Table2[HomeTeam], AB$36) + SUMIFS(Table2[HomeWon_], Table2[GameIsOver],1,Table2[HomeTeam],$A55, Table2[AwayTeam], AB$36)) + SUMIFS(Table2[AwayWon], Table2[GameIsOver],1,Table2[HomeTeam],$A55, Table2[AwayTeam], AB$36, Table2[ActualResult], "REG") + SUMIFS(Table2[HomeWon_], Table2[GameIsOver],1,Table2[AwayTeam],$A55, Table2[HomeTeam], AB$36, Table2[ActualResult], "OT") + SUMIFS(Table2[AwayWon], Table2[GameIsOver],1,Table2[HomeTeam],$A55, Table2[AwayTeam], AB$36, Table2[ActualResult], "OT") + SUMIFS(Table2[HomeWon_], Table2[GameIsOver],1,Table2[AwayTeam],$A55, Table2[HomeTeam], AB$36, Table2[ActualResult], "SO") + SUMIFS(Table2[AwayWon], Table2[GameIsOver],1,Table2[HomeTeam],$A55, Table2[AwayTeam], AB$36, Table2[ActualResult], "SO")) / (2*(SUMIFS(Table2[AwayWon], Table2[GameIsOver],1,Table2[AwayTeam],$A55, Table2[HomeTeam], AB$36) + SUMIFS(Table2[HomeWon_], Table2[GameIsOver],1,Table2[HomeTeam],$A55, Table2[AwayTeam], AB$36) + SUMIFS(Table2[HomeWon_], Table2[GameIsOver],1,Table2[AwayTeam],$A55, Table2[HomeTeam], AB$36, Table2[ActualResult], "REG") + SUMIFS(Table2[AwayWon], Table2[GameIsOver],1,Table2[HomeTeam],$A55, Table2[AwayTeam], AB$36, Table2[ActualResult], "REG") + SUMIFS(Table2[HomeWon_], Table2[GameIsOver],1,Table2[AwayTeam],$A55, Table2[HomeTeam], AB$36, Table2[ActualResult], "OT") + SUMIFS(Table2[AwayWon], Table2[GameIsOver],1,Table2[HomeTeam],$A55, Table2[AwayTeam], AB$36, Table2[ActualResult], "OT") + SUMIFS(Table2[HomeWon_], Table2[GameIsOver],1,Table2[AwayTeam],$A55, Table2[HomeTeam], AB$36, Table2[ActualResult], "SO") + SUMIFS(Table2[AwayWon], Table2[GameIsOver],1,Table2[HomeTeam],$A55, Table2[AwayTeam], AB$36, Table2[ActualResult], "SO"))), "")</f>
        <v/>
      </c>
      <c r="AC55">
        <f>IFERROR(((2*SUMIFS(Table2[AwayWon], Table2[GameIsOver],1,Table2[AwayTeam],$A55, Table2[HomeTeam], AC$36) + SUMIFS(Table2[HomeWon_], Table2[GameIsOver],1,Table2[HomeTeam],$A55, Table2[AwayTeam], AC$36)) + SUMIFS(Table2[AwayWon], Table2[GameIsOver],1,Table2[HomeTeam],$A55, Table2[AwayTeam], AC$36, Table2[ActualResult], "REG") + SUMIFS(Table2[HomeWon_], Table2[GameIsOver],1,Table2[AwayTeam],$A55, Table2[HomeTeam], AC$36, Table2[ActualResult], "OT") + SUMIFS(Table2[AwayWon], Table2[GameIsOver],1,Table2[HomeTeam],$A55, Table2[AwayTeam], AC$36, Table2[ActualResult], "OT") + SUMIFS(Table2[HomeWon_], Table2[GameIsOver],1,Table2[AwayTeam],$A55, Table2[HomeTeam], AC$36, Table2[ActualResult], "SO") + SUMIFS(Table2[AwayWon], Table2[GameIsOver],1,Table2[HomeTeam],$A55, Table2[AwayTeam], AC$36, Table2[ActualResult], "SO")) / (2*(SUMIFS(Table2[AwayWon], Table2[GameIsOver],1,Table2[AwayTeam],$A55, Table2[HomeTeam], AC$36) + SUMIFS(Table2[HomeWon_], Table2[GameIsOver],1,Table2[HomeTeam],$A55, Table2[AwayTeam], AC$36) + SUMIFS(Table2[HomeWon_], Table2[GameIsOver],1,Table2[AwayTeam],$A55, Table2[HomeTeam], AC$36, Table2[ActualResult], "REG") + SUMIFS(Table2[AwayWon], Table2[GameIsOver],1,Table2[HomeTeam],$A55, Table2[AwayTeam], AC$36, Table2[ActualResult], "REG") + SUMIFS(Table2[HomeWon_], Table2[GameIsOver],1,Table2[AwayTeam],$A55, Table2[HomeTeam], AC$36, Table2[ActualResult], "OT") + SUMIFS(Table2[AwayWon], Table2[GameIsOver],1,Table2[HomeTeam],$A55, Table2[AwayTeam], AC$36, Table2[ActualResult], "OT") + SUMIFS(Table2[HomeWon_], Table2[GameIsOver],1,Table2[AwayTeam],$A55, Table2[HomeTeam], AC$36, Table2[ActualResult], "SO") + SUMIFS(Table2[AwayWon], Table2[GameIsOver],1,Table2[HomeTeam],$A55, Table2[AwayTeam], AC$36, Table2[ActualResult], "SO"))), "")</f>
        <v>0.5</v>
      </c>
      <c r="AD55" t="str">
        <f>IFERROR(((2*SUMIFS(Table2[AwayWon], Table2[GameIsOver],1,Table2[AwayTeam],$A55, Table2[HomeTeam], AD$36) + SUMIFS(Table2[HomeWon_], Table2[GameIsOver],1,Table2[HomeTeam],$A55, Table2[AwayTeam], AD$36)) + SUMIFS(Table2[AwayWon], Table2[GameIsOver],1,Table2[HomeTeam],$A55, Table2[AwayTeam], AD$36, Table2[ActualResult], "REG") + SUMIFS(Table2[HomeWon_], Table2[GameIsOver],1,Table2[AwayTeam],$A55, Table2[HomeTeam], AD$36, Table2[ActualResult], "OT") + SUMIFS(Table2[AwayWon], Table2[GameIsOver],1,Table2[HomeTeam],$A55, Table2[AwayTeam], AD$36, Table2[ActualResult], "OT") + SUMIFS(Table2[HomeWon_], Table2[GameIsOver],1,Table2[AwayTeam],$A55, Table2[HomeTeam], AD$36, Table2[ActualResult], "SO") + SUMIFS(Table2[AwayWon], Table2[GameIsOver],1,Table2[HomeTeam],$A55, Table2[AwayTeam], AD$36, Table2[ActualResult], "SO")) / (2*(SUMIFS(Table2[AwayWon], Table2[GameIsOver],1,Table2[AwayTeam],$A55, Table2[HomeTeam], AD$36) + SUMIFS(Table2[HomeWon_], Table2[GameIsOver],1,Table2[HomeTeam],$A55, Table2[AwayTeam], AD$36) + SUMIFS(Table2[HomeWon_], Table2[GameIsOver],1,Table2[AwayTeam],$A55, Table2[HomeTeam], AD$36, Table2[ActualResult], "REG") + SUMIFS(Table2[AwayWon], Table2[GameIsOver],1,Table2[HomeTeam],$A55, Table2[AwayTeam], AD$36, Table2[ActualResult], "REG") + SUMIFS(Table2[HomeWon_], Table2[GameIsOver],1,Table2[AwayTeam],$A55, Table2[HomeTeam], AD$36, Table2[ActualResult], "OT") + SUMIFS(Table2[AwayWon], Table2[GameIsOver],1,Table2[HomeTeam],$A55, Table2[AwayTeam], AD$36, Table2[ActualResult], "OT") + SUMIFS(Table2[HomeWon_], Table2[GameIsOver],1,Table2[AwayTeam],$A55, Table2[HomeTeam], AD$36, Table2[ActualResult], "SO") + SUMIFS(Table2[AwayWon], Table2[GameIsOver],1,Table2[HomeTeam],$A55, Table2[AwayTeam], AD$36, Table2[ActualResult], "SO"))), "")</f>
        <v/>
      </c>
      <c r="AE55" t="str">
        <f>IFERROR(((2*SUMIFS(Table2[AwayWon], Table2[GameIsOver],1,Table2[AwayTeam],$A55, Table2[HomeTeam], AE$36) + SUMIFS(Table2[HomeWon_], Table2[GameIsOver],1,Table2[HomeTeam],$A55, Table2[AwayTeam], AE$36)) + SUMIFS(Table2[AwayWon], Table2[GameIsOver],1,Table2[HomeTeam],$A55, Table2[AwayTeam], AE$36, Table2[ActualResult], "REG") + SUMIFS(Table2[HomeWon_], Table2[GameIsOver],1,Table2[AwayTeam],$A55, Table2[HomeTeam], AE$36, Table2[ActualResult], "OT") + SUMIFS(Table2[AwayWon], Table2[GameIsOver],1,Table2[HomeTeam],$A55, Table2[AwayTeam], AE$36, Table2[ActualResult], "OT") + SUMIFS(Table2[HomeWon_], Table2[GameIsOver],1,Table2[AwayTeam],$A55, Table2[HomeTeam], AE$36, Table2[ActualResult], "SO") + SUMIFS(Table2[AwayWon], Table2[GameIsOver],1,Table2[HomeTeam],$A55, Table2[AwayTeam], AE$36, Table2[ActualResult], "SO")) / (2*(SUMIFS(Table2[AwayWon], Table2[GameIsOver],1,Table2[AwayTeam],$A55, Table2[HomeTeam], AE$36) + SUMIFS(Table2[HomeWon_], Table2[GameIsOver],1,Table2[HomeTeam],$A55, Table2[AwayTeam], AE$36) + SUMIFS(Table2[HomeWon_], Table2[GameIsOver],1,Table2[AwayTeam],$A55, Table2[HomeTeam], AE$36, Table2[ActualResult], "REG") + SUMIFS(Table2[AwayWon], Table2[GameIsOver],1,Table2[HomeTeam],$A55, Table2[AwayTeam], AE$36, Table2[ActualResult], "REG") + SUMIFS(Table2[HomeWon_], Table2[GameIsOver],1,Table2[AwayTeam],$A55, Table2[HomeTeam], AE$36, Table2[ActualResult], "OT") + SUMIFS(Table2[AwayWon], Table2[GameIsOver],1,Table2[HomeTeam],$A55, Table2[AwayTeam], AE$36, Table2[ActualResult], "OT") + SUMIFS(Table2[HomeWon_], Table2[GameIsOver],1,Table2[AwayTeam],$A55, Table2[HomeTeam], AE$36, Table2[ActualResult], "SO") + SUMIFS(Table2[AwayWon], Table2[GameIsOver],1,Table2[HomeTeam],$A55, Table2[AwayTeam], AE$36, Table2[ActualResult], "SO"))), "")</f>
        <v/>
      </c>
      <c r="AF55">
        <f>IFERROR(((2*SUMIFS(Table2[AwayWon], Table2[GameIsOver],1,Table2[AwayTeam],$A55, Table2[HomeTeam], AF$36) + SUMIFS(Table2[HomeWon_], Table2[GameIsOver],1,Table2[HomeTeam],$A55, Table2[AwayTeam], AF$36)) + SUMIFS(Table2[AwayWon], Table2[GameIsOver],1,Table2[HomeTeam],$A55, Table2[AwayTeam], AF$36, Table2[ActualResult], "REG") + SUMIFS(Table2[HomeWon_], Table2[GameIsOver],1,Table2[AwayTeam],$A55, Table2[HomeTeam], AF$36, Table2[ActualResult], "OT") + SUMIFS(Table2[AwayWon], Table2[GameIsOver],1,Table2[HomeTeam],$A55, Table2[AwayTeam], AF$36, Table2[ActualResult], "OT") + SUMIFS(Table2[HomeWon_], Table2[GameIsOver],1,Table2[AwayTeam],$A55, Table2[HomeTeam], AF$36, Table2[ActualResult], "SO") + SUMIFS(Table2[AwayWon], Table2[GameIsOver],1,Table2[HomeTeam],$A55, Table2[AwayTeam], AF$36, Table2[ActualResult], "SO")) / (2*(SUMIFS(Table2[AwayWon], Table2[GameIsOver],1,Table2[AwayTeam],$A55, Table2[HomeTeam], AF$36) + SUMIFS(Table2[HomeWon_], Table2[GameIsOver],1,Table2[HomeTeam],$A55, Table2[AwayTeam], AF$36) + SUMIFS(Table2[HomeWon_], Table2[GameIsOver],1,Table2[AwayTeam],$A55, Table2[HomeTeam], AF$36, Table2[ActualResult], "REG") + SUMIFS(Table2[AwayWon], Table2[GameIsOver],1,Table2[HomeTeam],$A55, Table2[AwayTeam], AF$36, Table2[ActualResult], "REG") + SUMIFS(Table2[HomeWon_], Table2[GameIsOver],1,Table2[AwayTeam],$A55, Table2[HomeTeam], AF$36, Table2[ActualResult], "OT") + SUMIFS(Table2[AwayWon], Table2[GameIsOver],1,Table2[HomeTeam],$A55, Table2[AwayTeam], AF$36, Table2[ActualResult], "OT") + SUMIFS(Table2[HomeWon_], Table2[GameIsOver],1,Table2[AwayTeam],$A55, Table2[HomeTeam], AF$36, Table2[ActualResult], "SO") + SUMIFS(Table2[AwayWon], Table2[GameIsOver],1,Table2[HomeTeam],$A55, Table2[AwayTeam], AF$36, Table2[ActualResult], "SO"))), "")</f>
        <v>1</v>
      </c>
      <c r="AG55" s="57">
        <f>IFERROR(((2*SUMIFS(Table2[AwayWon], Table2[GameIsOver],1,Table2[AwayTeam],$A55, Table2[HomeTeam], AG$36) + SUMIFS(Table2[HomeWon_], Table2[GameIsOver],1,Table2[HomeTeam],$A55, Table2[AwayTeam], AG$36)) + SUMIFS(Table2[AwayWon], Table2[GameIsOver],1,Table2[HomeTeam],$A55, Table2[AwayTeam], AG$36, Table2[ActualResult], "REG") + SUMIFS(Table2[HomeWon_], Table2[GameIsOver],1,Table2[AwayTeam],$A55, Table2[HomeTeam], AG$36, Table2[ActualResult], "OT") + SUMIFS(Table2[AwayWon], Table2[GameIsOver],1,Table2[HomeTeam],$A55, Table2[AwayTeam], AG$36, Table2[ActualResult], "OT") + SUMIFS(Table2[HomeWon_], Table2[GameIsOver],1,Table2[AwayTeam],$A55, Table2[HomeTeam], AG$36, Table2[ActualResult], "SO") + SUMIFS(Table2[AwayWon], Table2[GameIsOver],1,Table2[HomeTeam],$A55, Table2[AwayTeam], AG$36, Table2[ActualResult], "SO")) / (2*(SUMIFS(Table2[AwayWon], Table2[GameIsOver],1,Table2[AwayTeam],$A55, Table2[HomeTeam], AG$36) + SUMIFS(Table2[HomeWon_], Table2[GameIsOver],1,Table2[HomeTeam],$A55, Table2[AwayTeam], AG$36) + SUMIFS(Table2[HomeWon_], Table2[GameIsOver],1,Table2[AwayTeam],$A55, Table2[HomeTeam], AG$36, Table2[ActualResult], "REG") + SUMIFS(Table2[AwayWon], Table2[GameIsOver],1,Table2[HomeTeam],$A55, Table2[AwayTeam], AG$36, Table2[ActualResult], "REG") + SUMIFS(Table2[HomeWon_], Table2[GameIsOver],1,Table2[AwayTeam],$A55, Table2[HomeTeam], AG$36, Table2[ActualResult], "OT") + SUMIFS(Table2[AwayWon], Table2[GameIsOver],1,Table2[HomeTeam],$A55, Table2[AwayTeam], AG$36, Table2[ActualResult], "OT") + SUMIFS(Table2[HomeWon_], Table2[GameIsOver],1,Table2[AwayTeam],$A55, Table2[HomeTeam], AG$36, Table2[ActualResult], "SO") + SUMIFS(Table2[AwayWon], Table2[GameIsOver],1,Table2[HomeTeam],$A55, Table2[AwayTeam], AG$36, Table2[ActualResult], "SO"))), "")</f>
        <v>1</v>
      </c>
      <c r="AH55" s="101">
        <f t="shared" si="0"/>
        <v>0.7</v>
      </c>
      <c r="AI55" s="101">
        <f t="shared" si="1"/>
        <v>0.5</v>
      </c>
      <c r="AJ55" s="103">
        <f t="shared" si="2"/>
        <v>0.83333333333333337</v>
      </c>
      <c r="AK55" s="103">
        <f t="shared" si="3"/>
        <v>0.5</v>
      </c>
      <c r="AL55" s="103" t="e">
        <f t="shared" si="4"/>
        <v>#DIV/0!</v>
      </c>
      <c r="AM55" s="103">
        <f t="shared" si="5"/>
        <v>0.5</v>
      </c>
    </row>
    <row r="56" spans="1:39" x14ac:dyDescent="0.25">
      <c r="A56" s="57" t="s">
        <v>32</v>
      </c>
      <c r="B56" s="24" t="str">
        <f>IFERROR(((2*SUMIFS(Table2[AwayWon], Table2[GameIsOver],1,Table2[AwayTeam],$A56, Table2[HomeTeam], B$36) + SUMIFS(Table2[HomeWon_], Table2[GameIsOver],1,Table2[HomeTeam],$A56, Table2[AwayTeam], B$36)) + SUMIFS(Table2[AwayWon], Table2[GameIsOver],1,Table2[HomeTeam],$A56, Table2[AwayTeam], B$36, Table2[ActualResult], "REG") + SUMIFS(Table2[HomeWon_], Table2[GameIsOver],1,Table2[AwayTeam],$A56, Table2[HomeTeam], B$36, Table2[ActualResult], "OT") + SUMIFS(Table2[AwayWon], Table2[GameIsOver],1,Table2[HomeTeam],$A56, Table2[AwayTeam], B$36, Table2[ActualResult], "OT") + SUMIFS(Table2[HomeWon_], Table2[GameIsOver],1,Table2[AwayTeam],$A56, Table2[HomeTeam], B$36, Table2[ActualResult], "SO") + SUMIFS(Table2[AwayWon], Table2[GameIsOver],1,Table2[HomeTeam],$A56, Table2[AwayTeam], B$36, Table2[ActualResult], "SO")) / (2*(SUMIFS(Table2[AwayWon], Table2[GameIsOver],1,Table2[AwayTeam],$A56, Table2[HomeTeam], B$36) + SUMIFS(Table2[HomeWon_], Table2[GameIsOver],1,Table2[HomeTeam],$A56, Table2[AwayTeam], B$36) + SUMIFS(Table2[HomeWon_], Table2[GameIsOver],1,Table2[AwayTeam],$A56, Table2[HomeTeam], B$36, Table2[ActualResult], "REG") + SUMIFS(Table2[AwayWon], Table2[GameIsOver],1,Table2[HomeTeam],$A56, Table2[AwayTeam], B$36, Table2[ActualResult], "REG") + SUMIFS(Table2[HomeWon_], Table2[GameIsOver],1,Table2[AwayTeam],$A56, Table2[HomeTeam], B$36, Table2[ActualResult], "OT") + SUMIFS(Table2[AwayWon], Table2[GameIsOver],1,Table2[HomeTeam],$A56, Table2[AwayTeam], B$36, Table2[ActualResult], "OT") + SUMIFS(Table2[HomeWon_], Table2[GameIsOver],1,Table2[AwayTeam],$A56, Table2[HomeTeam], B$36, Table2[ActualResult], "SO") + SUMIFS(Table2[AwayWon], Table2[GameIsOver],1,Table2[HomeTeam],$A56, Table2[AwayTeam], B$36, Table2[ActualResult], "SO"))), "")</f>
        <v/>
      </c>
      <c r="C56" s="24" t="str">
        <f>IFERROR(((2*SUMIFS(Table2[AwayWon], Table2[GameIsOver],1,Table2[AwayTeam],$A56, Table2[HomeTeam], C$36) + SUMIFS(Table2[HomeWon_], Table2[GameIsOver],1,Table2[HomeTeam],$A56, Table2[AwayTeam], C$36)) + SUMIFS(Table2[AwayWon], Table2[GameIsOver],1,Table2[HomeTeam],$A56, Table2[AwayTeam], C$36, Table2[ActualResult], "REG") + SUMIFS(Table2[HomeWon_], Table2[GameIsOver],1,Table2[AwayTeam],$A56, Table2[HomeTeam], C$36, Table2[ActualResult], "OT") + SUMIFS(Table2[AwayWon], Table2[GameIsOver],1,Table2[HomeTeam],$A56, Table2[AwayTeam], C$36, Table2[ActualResult], "OT") + SUMIFS(Table2[HomeWon_], Table2[GameIsOver],1,Table2[AwayTeam],$A56, Table2[HomeTeam], C$36, Table2[ActualResult], "SO") + SUMIFS(Table2[AwayWon], Table2[GameIsOver],1,Table2[HomeTeam],$A56, Table2[AwayTeam], C$36, Table2[ActualResult], "SO")) / (2*(SUMIFS(Table2[AwayWon], Table2[GameIsOver],1,Table2[AwayTeam],$A56, Table2[HomeTeam], C$36) + SUMIFS(Table2[HomeWon_], Table2[GameIsOver],1,Table2[HomeTeam],$A56, Table2[AwayTeam], C$36) + SUMIFS(Table2[HomeWon_], Table2[GameIsOver],1,Table2[AwayTeam],$A56, Table2[HomeTeam], C$36, Table2[ActualResult], "REG") + SUMIFS(Table2[AwayWon], Table2[GameIsOver],1,Table2[HomeTeam],$A56, Table2[AwayTeam], C$36, Table2[ActualResult], "REG") + SUMIFS(Table2[HomeWon_], Table2[GameIsOver],1,Table2[AwayTeam],$A56, Table2[HomeTeam], C$36, Table2[ActualResult], "OT") + SUMIFS(Table2[AwayWon], Table2[GameIsOver],1,Table2[HomeTeam],$A56, Table2[AwayTeam], C$36, Table2[ActualResult], "OT") + SUMIFS(Table2[HomeWon_], Table2[GameIsOver],1,Table2[AwayTeam],$A56, Table2[HomeTeam], C$36, Table2[ActualResult], "SO") + SUMIFS(Table2[AwayWon], Table2[GameIsOver],1,Table2[HomeTeam],$A56, Table2[AwayTeam], C$36, Table2[ActualResult], "SO"))), "")</f>
        <v/>
      </c>
      <c r="D56">
        <f>IFERROR(((2*SUMIFS(Table2[AwayWon], Table2[GameIsOver],1,Table2[AwayTeam],$A56, Table2[HomeTeam], D$36) + SUMIFS(Table2[HomeWon_], Table2[GameIsOver],1,Table2[HomeTeam],$A56, Table2[AwayTeam], D$36)) + SUMIFS(Table2[AwayWon], Table2[GameIsOver],1,Table2[HomeTeam],$A56, Table2[AwayTeam], D$36, Table2[ActualResult], "REG") + SUMIFS(Table2[HomeWon_], Table2[GameIsOver],1,Table2[AwayTeam],$A56, Table2[HomeTeam], D$36, Table2[ActualResult], "OT") + SUMIFS(Table2[AwayWon], Table2[GameIsOver],1,Table2[HomeTeam],$A56, Table2[AwayTeam], D$36, Table2[ActualResult], "OT") + SUMIFS(Table2[HomeWon_], Table2[GameIsOver],1,Table2[AwayTeam],$A56, Table2[HomeTeam], D$36, Table2[ActualResult], "SO") + SUMIFS(Table2[AwayWon], Table2[GameIsOver],1,Table2[HomeTeam],$A56, Table2[AwayTeam], D$36, Table2[ActualResult], "SO")) / (2*(SUMIFS(Table2[AwayWon], Table2[GameIsOver],1,Table2[AwayTeam],$A56, Table2[HomeTeam], D$36) + SUMIFS(Table2[HomeWon_], Table2[GameIsOver],1,Table2[HomeTeam],$A56, Table2[AwayTeam], D$36) + SUMIFS(Table2[HomeWon_], Table2[GameIsOver],1,Table2[AwayTeam],$A56, Table2[HomeTeam], D$36, Table2[ActualResult], "REG") + SUMIFS(Table2[AwayWon], Table2[GameIsOver],1,Table2[HomeTeam],$A56, Table2[AwayTeam], D$36, Table2[ActualResult], "REG") + SUMIFS(Table2[HomeWon_], Table2[GameIsOver],1,Table2[AwayTeam],$A56, Table2[HomeTeam], D$36, Table2[ActualResult], "OT") + SUMIFS(Table2[AwayWon], Table2[GameIsOver],1,Table2[HomeTeam],$A56, Table2[AwayTeam], D$36, Table2[ActualResult], "OT") + SUMIFS(Table2[HomeWon_], Table2[GameIsOver],1,Table2[AwayTeam],$A56, Table2[HomeTeam], D$36, Table2[ActualResult], "SO") + SUMIFS(Table2[AwayWon], Table2[GameIsOver],1,Table2[HomeTeam],$A56, Table2[AwayTeam], D$36, Table2[ActualResult], "SO"))), "")</f>
        <v>0.5</v>
      </c>
      <c r="E56" t="str">
        <f>IFERROR(((2*SUMIFS(Table2[AwayWon], Table2[GameIsOver],1,Table2[AwayTeam],$A56, Table2[HomeTeam], E$36) + SUMIFS(Table2[HomeWon_], Table2[GameIsOver],1,Table2[HomeTeam],$A56, Table2[AwayTeam], E$36)) + SUMIFS(Table2[AwayWon], Table2[GameIsOver],1,Table2[HomeTeam],$A56, Table2[AwayTeam], E$36, Table2[ActualResult], "REG") + SUMIFS(Table2[HomeWon_], Table2[GameIsOver],1,Table2[AwayTeam],$A56, Table2[HomeTeam], E$36, Table2[ActualResult], "OT") + SUMIFS(Table2[AwayWon], Table2[GameIsOver],1,Table2[HomeTeam],$A56, Table2[AwayTeam], E$36, Table2[ActualResult], "OT") + SUMIFS(Table2[HomeWon_], Table2[GameIsOver],1,Table2[AwayTeam],$A56, Table2[HomeTeam], E$36, Table2[ActualResult], "SO") + SUMIFS(Table2[AwayWon], Table2[GameIsOver],1,Table2[HomeTeam],$A56, Table2[AwayTeam], E$36, Table2[ActualResult], "SO")) / (2*(SUMIFS(Table2[AwayWon], Table2[GameIsOver],1,Table2[AwayTeam],$A56, Table2[HomeTeam], E$36) + SUMIFS(Table2[HomeWon_], Table2[GameIsOver],1,Table2[HomeTeam],$A56, Table2[AwayTeam], E$36) + SUMIFS(Table2[HomeWon_], Table2[GameIsOver],1,Table2[AwayTeam],$A56, Table2[HomeTeam], E$36, Table2[ActualResult], "REG") + SUMIFS(Table2[AwayWon], Table2[GameIsOver],1,Table2[HomeTeam],$A56, Table2[AwayTeam], E$36, Table2[ActualResult], "REG") + SUMIFS(Table2[HomeWon_], Table2[GameIsOver],1,Table2[AwayTeam],$A56, Table2[HomeTeam], E$36, Table2[ActualResult], "OT") + SUMIFS(Table2[AwayWon], Table2[GameIsOver],1,Table2[HomeTeam],$A56, Table2[AwayTeam], E$36, Table2[ActualResult], "OT") + SUMIFS(Table2[HomeWon_], Table2[GameIsOver],1,Table2[AwayTeam],$A56, Table2[HomeTeam], E$36, Table2[ActualResult], "SO") + SUMIFS(Table2[AwayWon], Table2[GameIsOver],1,Table2[HomeTeam],$A56, Table2[AwayTeam], E$36, Table2[ActualResult], "SO"))), "")</f>
        <v/>
      </c>
      <c r="F56" t="str">
        <f>IFERROR(((2*SUMIFS(Table2[AwayWon], Table2[GameIsOver],1,Table2[AwayTeam],$A56, Table2[HomeTeam], F$36) + SUMIFS(Table2[HomeWon_], Table2[GameIsOver],1,Table2[HomeTeam],$A56, Table2[AwayTeam], F$36)) + SUMIFS(Table2[AwayWon], Table2[GameIsOver],1,Table2[HomeTeam],$A56, Table2[AwayTeam], F$36, Table2[ActualResult], "REG") + SUMIFS(Table2[HomeWon_], Table2[GameIsOver],1,Table2[AwayTeam],$A56, Table2[HomeTeam], F$36, Table2[ActualResult], "OT") + SUMIFS(Table2[AwayWon], Table2[GameIsOver],1,Table2[HomeTeam],$A56, Table2[AwayTeam], F$36, Table2[ActualResult], "OT") + SUMIFS(Table2[HomeWon_], Table2[GameIsOver],1,Table2[AwayTeam],$A56, Table2[HomeTeam], F$36, Table2[ActualResult], "SO") + SUMIFS(Table2[AwayWon], Table2[GameIsOver],1,Table2[HomeTeam],$A56, Table2[AwayTeam], F$36, Table2[ActualResult], "SO")) / (2*(SUMIFS(Table2[AwayWon], Table2[GameIsOver],1,Table2[AwayTeam],$A56, Table2[HomeTeam], F$36) + SUMIFS(Table2[HomeWon_], Table2[GameIsOver],1,Table2[HomeTeam],$A56, Table2[AwayTeam], F$36) + SUMIFS(Table2[HomeWon_], Table2[GameIsOver],1,Table2[AwayTeam],$A56, Table2[HomeTeam], F$36, Table2[ActualResult], "REG") + SUMIFS(Table2[AwayWon], Table2[GameIsOver],1,Table2[HomeTeam],$A56, Table2[AwayTeam], F$36, Table2[ActualResult], "REG") + SUMIFS(Table2[HomeWon_], Table2[GameIsOver],1,Table2[AwayTeam],$A56, Table2[HomeTeam], F$36, Table2[ActualResult], "OT") + SUMIFS(Table2[AwayWon], Table2[GameIsOver],1,Table2[HomeTeam],$A56, Table2[AwayTeam], F$36, Table2[ActualResult], "OT") + SUMIFS(Table2[HomeWon_], Table2[GameIsOver],1,Table2[AwayTeam],$A56, Table2[HomeTeam], F$36, Table2[ActualResult], "SO") + SUMIFS(Table2[AwayWon], Table2[GameIsOver],1,Table2[HomeTeam],$A56, Table2[AwayTeam], F$36, Table2[ActualResult], "SO"))), "")</f>
        <v/>
      </c>
      <c r="G56">
        <f>IFERROR(((2*SUMIFS(Table2[AwayWon], Table2[GameIsOver],1,Table2[AwayTeam],$A56, Table2[HomeTeam], G$36) + SUMIFS(Table2[HomeWon_], Table2[GameIsOver],1,Table2[HomeTeam],$A56, Table2[AwayTeam], G$36)) + SUMIFS(Table2[AwayWon], Table2[GameIsOver],1,Table2[HomeTeam],$A56, Table2[AwayTeam], G$36, Table2[ActualResult], "REG") + SUMIFS(Table2[HomeWon_], Table2[GameIsOver],1,Table2[AwayTeam],$A56, Table2[HomeTeam], G$36, Table2[ActualResult], "OT") + SUMIFS(Table2[AwayWon], Table2[GameIsOver],1,Table2[HomeTeam],$A56, Table2[AwayTeam], G$36, Table2[ActualResult], "OT") + SUMIFS(Table2[HomeWon_], Table2[GameIsOver],1,Table2[AwayTeam],$A56, Table2[HomeTeam], G$36, Table2[ActualResult], "SO") + SUMIFS(Table2[AwayWon], Table2[GameIsOver],1,Table2[HomeTeam],$A56, Table2[AwayTeam], G$36, Table2[ActualResult], "SO")) / (2*(SUMIFS(Table2[AwayWon], Table2[GameIsOver],1,Table2[AwayTeam],$A56, Table2[HomeTeam], G$36) + SUMIFS(Table2[HomeWon_], Table2[GameIsOver],1,Table2[HomeTeam],$A56, Table2[AwayTeam], G$36) + SUMIFS(Table2[HomeWon_], Table2[GameIsOver],1,Table2[AwayTeam],$A56, Table2[HomeTeam], G$36, Table2[ActualResult], "REG") + SUMIFS(Table2[AwayWon], Table2[GameIsOver],1,Table2[HomeTeam],$A56, Table2[AwayTeam], G$36, Table2[ActualResult], "REG") + SUMIFS(Table2[HomeWon_], Table2[GameIsOver],1,Table2[AwayTeam],$A56, Table2[HomeTeam], G$36, Table2[ActualResult], "OT") + SUMIFS(Table2[AwayWon], Table2[GameIsOver],1,Table2[HomeTeam],$A56, Table2[AwayTeam], G$36, Table2[ActualResult], "OT") + SUMIFS(Table2[HomeWon_], Table2[GameIsOver],1,Table2[AwayTeam],$A56, Table2[HomeTeam], G$36, Table2[ActualResult], "SO") + SUMIFS(Table2[AwayWon], Table2[GameIsOver],1,Table2[HomeTeam],$A56, Table2[AwayTeam], G$36, Table2[ActualResult], "SO"))), "")</f>
        <v>0.5</v>
      </c>
      <c r="H56" t="str">
        <f>IFERROR(((2*SUMIFS(Table2[AwayWon], Table2[GameIsOver],1,Table2[AwayTeam],$A56, Table2[HomeTeam], H$36) + SUMIFS(Table2[HomeWon_], Table2[GameIsOver],1,Table2[HomeTeam],$A56, Table2[AwayTeam], H$36)) + SUMIFS(Table2[AwayWon], Table2[GameIsOver],1,Table2[HomeTeam],$A56, Table2[AwayTeam], H$36, Table2[ActualResult], "REG") + SUMIFS(Table2[HomeWon_], Table2[GameIsOver],1,Table2[AwayTeam],$A56, Table2[HomeTeam], H$36, Table2[ActualResult], "OT") + SUMIFS(Table2[AwayWon], Table2[GameIsOver],1,Table2[HomeTeam],$A56, Table2[AwayTeam], H$36, Table2[ActualResult], "OT") + SUMIFS(Table2[HomeWon_], Table2[GameIsOver],1,Table2[AwayTeam],$A56, Table2[HomeTeam], H$36, Table2[ActualResult], "SO") + SUMIFS(Table2[AwayWon], Table2[GameIsOver],1,Table2[HomeTeam],$A56, Table2[AwayTeam], H$36, Table2[ActualResult], "SO")) / (2*(SUMIFS(Table2[AwayWon], Table2[GameIsOver],1,Table2[AwayTeam],$A56, Table2[HomeTeam], H$36) + SUMIFS(Table2[HomeWon_], Table2[GameIsOver],1,Table2[HomeTeam],$A56, Table2[AwayTeam], H$36) + SUMIFS(Table2[HomeWon_], Table2[GameIsOver],1,Table2[AwayTeam],$A56, Table2[HomeTeam], H$36, Table2[ActualResult], "REG") + SUMIFS(Table2[AwayWon], Table2[GameIsOver],1,Table2[HomeTeam],$A56, Table2[AwayTeam], H$36, Table2[ActualResult], "REG") + SUMIFS(Table2[HomeWon_], Table2[GameIsOver],1,Table2[AwayTeam],$A56, Table2[HomeTeam], H$36, Table2[ActualResult], "OT") + SUMIFS(Table2[AwayWon], Table2[GameIsOver],1,Table2[HomeTeam],$A56, Table2[AwayTeam], H$36, Table2[ActualResult], "OT") + SUMIFS(Table2[HomeWon_], Table2[GameIsOver],1,Table2[AwayTeam],$A56, Table2[HomeTeam], H$36, Table2[ActualResult], "SO") + SUMIFS(Table2[AwayWon], Table2[GameIsOver],1,Table2[HomeTeam],$A56, Table2[AwayTeam], H$36, Table2[ActualResult], "SO"))), "")</f>
        <v/>
      </c>
      <c r="I56" s="57" t="str">
        <f>IFERROR(((2*SUMIFS(Table2[AwayWon], Table2[GameIsOver],1,Table2[AwayTeam],$A56, Table2[HomeTeam], I$36) + SUMIFS(Table2[HomeWon_], Table2[GameIsOver],1,Table2[HomeTeam],$A56, Table2[AwayTeam], I$36)) + SUMIFS(Table2[AwayWon], Table2[GameIsOver],1,Table2[HomeTeam],$A56, Table2[AwayTeam], I$36, Table2[ActualResult], "REG") + SUMIFS(Table2[HomeWon_], Table2[GameIsOver],1,Table2[AwayTeam],$A56, Table2[HomeTeam], I$36, Table2[ActualResult], "OT") + SUMIFS(Table2[AwayWon], Table2[GameIsOver],1,Table2[HomeTeam],$A56, Table2[AwayTeam], I$36, Table2[ActualResult], "OT") + SUMIFS(Table2[HomeWon_], Table2[GameIsOver],1,Table2[AwayTeam],$A56, Table2[HomeTeam], I$36, Table2[ActualResult], "SO") + SUMIFS(Table2[AwayWon], Table2[GameIsOver],1,Table2[HomeTeam],$A56, Table2[AwayTeam], I$36, Table2[ActualResult], "SO")) / (2*(SUMIFS(Table2[AwayWon], Table2[GameIsOver],1,Table2[AwayTeam],$A56, Table2[HomeTeam], I$36) + SUMIFS(Table2[HomeWon_], Table2[GameIsOver],1,Table2[HomeTeam],$A56, Table2[AwayTeam], I$36) + SUMIFS(Table2[HomeWon_], Table2[GameIsOver],1,Table2[AwayTeam],$A56, Table2[HomeTeam], I$36, Table2[ActualResult], "REG") + SUMIFS(Table2[AwayWon], Table2[GameIsOver],1,Table2[HomeTeam],$A56, Table2[AwayTeam], I$36, Table2[ActualResult], "REG") + SUMIFS(Table2[HomeWon_], Table2[GameIsOver],1,Table2[AwayTeam],$A56, Table2[HomeTeam], I$36, Table2[ActualResult], "OT") + SUMIFS(Table2[AwayWon], Table2[GameIsOver],1,Table2[HomeTeam],$A56, Table2[AwayTeam], I$36, Table2[ActualResult], "OT") + SUMIFS(Table2[HomeWon_], Table2[GameIsOver],1,Table2[AwayTeam],$A56, Table2[HomeTeam], I$36, Table2[ActualResult], "SO") + SUMIFS(Table2[AwayWon], Table2[GameIsOver],1,Table2[HomeTeam],$A56, Table2[AwayTeam], I$36, Table2[ActualResult], "SO"))), "")</f>
        <v/>
      </c>
      <c r="J56" t="str">
        <f>IFERROR(((2*SUMIFS(Table2[AwayWon], Table2[GameIsOver],1,Table2[AwayTeam],$A56, Table2[HomeTeam], J$36) + SUMIFS(Table2[HomeWon_], Table2[GameIsOver],1,Table2[HomeTeam],$A56, Table2[AwayTeam], J$36)) + SUMIFS(Table2[AwayWon], Table2[GameIsOver],1,Table2[HomeTeam],$A56, Table2[AwayTeam], J$36, Table2[ActualResult], "REG") + SUMIFS(Table2[HomeWon_], Table2[GameIsOver],1,Table2[AwayTeam],$A56, Table2[HomeTeam], J$36, Table2[ActualResult], "OT") + SUMIFS(Table2[AwayWon], Table2[GameIsOver],1,Table2[HomeTeam],$A56, Table2[AwayTeam], J$36, Table2[ActualResult], "OT") + SUMIFS(Table2[HomeWon_], Table2[GameIsOver],1,Table2[AwayTeam],$A56, Table2[HomeTeam], J$36, Table2[ActualResult], "SO") + SUMIFS(Table2[AwayWon], Table2[GameIsOver],1,Table2[HomeTeam],$A56, Table2[AwayTeam], J$36, Table2[ActualResult], "SO")) / (2*(SUMIFS(Table2[AwayWon], Table2[GameIsOver],1,Table2[AwayTeam],$A56, Table2[HomeTeam], J$36) + SUMIFS(Table2[HomeWon_], Table2[GameIsOver],1,Table2[HomeTeam],$A56, Table2[AwayTeam], J$36) + SUMIFS(Table2[HomeWon_], Table2[GameIsOver],1,Table2[AwayTeam],$A56, Table2[HomeTeam], J$36, Table2[ActualResult], "REG") + SUMIFS(Table2[AwayWon], Table2[GameIsOver],1,Table2[HomeTeam],$A56, Table2[AwayTeam], J$36, Table2[ActualResult], "REG") + SUMIFS(Table2[HomeWon_], Table2[GameIsOver],1,Table2[AwayTeam],$A56, Table2[HomeTeam], J$36, Table2[ActualResult], "OT") + SUMIFS(Table2[AwayWon], Table2[GameIsOver],1,Table2[HomeTeam],$A56, Table2[AwayTeam], J$36, Table2[ActualResult], "OT") + SUMIFS(Table2[HomeWon_], Table2[GameIsOver],1,Table2[AwayTeam],$A56, Table2[HomeTeam], J$36, Table2[ActualResult], "SO") + SUMIFS(Table2[AwayWon], Table2[GameIsOver],1,Table2[HomeTeam],$A56, Table2[AwayTeam], J$36, Table2[ActualResult], "SO"))), "")</f>
        <v/>
      </c>
      <c r="K56" t="str">
        <f>IFERROR(((2*SUMIFS(Table2[AwayWon], Table2[GameIsOver],1,Table2[AwayTeam],$A56, Table2[HomeTeam], K$36) + SUMIFS(Table2[HomeWon_], Table2[GameIsOver],1,Table2[HomeTeam],$A56, Table2[AwayTeam], K$36)) + SUMIFS(Table2[AwayWon], Table2[GameIsOver],1,Table2[HomeTeam],$A56, Table2[AwayTeam], K$36, Table2[ActualResult], "REG") + SUMIFS(Table2[HomeWon_], Table2[GameIsOver],1,Table2[AwayTeam],$A56, Table2[HomeTeam], K$36, Table2[ActualResult], "OT") + SUMIFS(Table2[AwayWon], Table2[GameIsOver],1,Table2[HomeTeam],$A56, Table2[AwayTeam], K$36, Table2[ActualResult], "OT") + SUMIFS(Table2[HomeWon_], Table2[GameIsOver],1,Table2[AwayTeam],$A56, Table2[HomeTeam], K$36, Table2[ActualResult], "SO") + SUMIFS(Table2[AwayWon], Table2[GameIsOver],1,Table2[HomeTeam],$A56, Table2[AwayTeam], K$36, Table2[ActualResult], "SO")) / (2*(SUMIFS(Table2[AwayWon], Table2[GameIsOver],1,Table2[AwayTeam],$A56, Table2[HomeTeam], K$36) + SUMIFS(Table2[HomeWon_], Table2[GameIsOver],1,Table2[HomeTeam],$A56, Table2[AwayTeam], K$36) + SUMIFS(Table2[HomeWon_], Table2[GameIsOver],1,Table2[AwayTeam],$A56, Table2[HomeTeam], K$36, Table2[ActualResult], "REG") + SUMIFS(Table2[AwayWon], Table2[GameIsOver],1,Table2[HomeTeam],$A56, Table2[AwayTeam], K$36, Table2[ActualResult], "REG") + SUMIFS(Table2[HomeWon_], Table2[GameIsOver],1,Table2[AwayTeam],$A56, Table2[HomeTeam], K$36, Table2[ActualResult], "OT") + SUMIFS(Table2[AwayWon], Table2[GameIsOver],1,Table2[HomeTeam],$A56, Table2[AwayTeam], K$36, Table2[ActualResult], "OT") + SUMIFS(Table2[HomeWon_], Table2[GameIsOver],1,Table2[AwayTeam],$A56, Table2[HomeTeam], K$36, Table2[ActualResult], "SO") + SUMIFS(Table2[AwayWon], Table2[GameIsOver],1,Table2[HomeTeam],$A56, Table2[AwayTeam], K$36, Table2[ActualResult], "SO"))), "")</f>
        <v/>
      </c>
      <c r="L56" t="str">
        <f>IFERROR(((2*SUMIFS(Table2[AwayWon], Table2[GameIsOver],1,Table2[AwayTeam],$A56, Table2[HomeTeam], L$36) + SUMIFS(Table2[HomeWon_], Table2[GameIsOver],1,Table2[HomeTeam],$A56, Table2[AwayTeam], L$36)) + SUMIFS(Table2[AwayWon], Table2[GameIsOver],1,Table2[HomeTeam],$A56, Table2[AwayTeam], L$36, Table2[ActualResult], "REG") + SUMIFS(Table2[HomeWon_], Table2[GameIsOver],1,Table2[AwayTeam],$A56, Table2[HomeTeam], L$36, Table2[ActualResult], "OT") + SUMIFS(Table2[AwayWon], Table2[GameIsOver],1,Table2[HomeTeam],$A56, Table2[AwayTeam], L$36, Table2[ActualResult], "OT") + SUMIFS(Table2[HomeWon_], Table2[GameIsOver],1,Table2[AwayTeam],$A56, Table2[HomeTeam], L$36, Table2[ActualResult], "SO") + SUMIFS(Table2[AwayWon], Table2[GameIsOver],1,Table2[HomeTeam],$A56, Table2[AwayTeam], L$36, Table2[ActualResult], "SO")) / (2*(SUMIFS(Table2[AwayWon], Table2[GameIsOver],1,Table2[AwayTeam],$A56, Table2[HomeTeam], L$36) + SUMIFS(Table2[HomeWon_], Table2[GameIsOver],1,Table2[HomeTeam],$A56, Table2[AwayTeam], L$36) + SUMIFS(Table2[HomeWon_], Table2[GameIsOver],1,Table2[AwayTeam],$A56, Table2[HomeTeam], L$36, Table2[ActualResult], "REG") + SUMIFS(Table2[AwayWon], Table2[GameIsOver],1,Table2[HomeTeam],$A56, Table2[AwayTeam], L$36, Table2[ActualResult], "REG") + SUMIFS(Table2[HomeWon_], Table2[GameIsOver],1,Table2[AwayTeam],$A56, Table2[HomeTeam], L$36, Table2[ActualResult], "OT") + SUMIFS(Table2[AwayWon], Table2[GameIsOver],1,Table2[HomeTeam],$A56, Table2[AwayTeam], L$36, Table2[ActualResult], "OT") + SUMIFS(Table2[HomeWon_], Table2[GameIsOver],1,Table2[AwayTeam],$A56, Table2[HomeTeam], L$36, Table2[ActualResult], "SO") + SUMIFS(Table2[AwayWon], Table2[GameIsOver],1,Table2[HomeTeam],$A56, Table2[AwayTeam], L$36, Table2[ActualResult], "SO"))), "")</f>
        <v/>
      </c>
      <c r="M56" t="str">
        <f>IFERROR(((2*SUMIFS(Table2[AwayWon], Table2[GameIsOver],1,Table2[AwayTeam],$A56, Table2[HomeTeam], M$36) + SUMIFS(Table2[HomeWon_], Table2[GameIsOver],1,Table2[HomeTeam],$A56, Table2[AwayTeam], M$36)) + SUMIFS(Table2[AwayWon], Table2[GameIsOver],1,Table2[HomeTeam],$A56, Table2[AwayTeam], M$36, Table2[ActualResult], "REG") + SUMIFS(Table2[HomeWon_], Table2[GameIsOver],1,Table2[AwayTeam],$A56, Table2[HomeTeam], M$36, Table2[ActualResult], "OT") + SUMIFS(Table2[AwayWon], Table2[GameIsOver],1,Table2[HomeTeam],$A56, Table2[AwayTeam], M$36, Table2[ActualResult], "OT") + SUMIFS(Table2[HomeWon_], Table2[GameIsOver],1,Table2[AwayTeam],$A56, Table2[HomeTeam], M$36, Table2[ActualResult], "SO") + SUMIFS(Table2[AwayWon], Table2[GameIsOver],1,Table2[HomeTeam],$A56, Table2[AwayTeam], M$36, Table2[ActualResult], "SO")) / (2*(SUMIFS(Table2[AwayWon], Table2[GameIsOver],1,Table2[AwayTeam],$A56, Table2[HomeTeam], M$36) + SUMIFS(Table2[HomeWon_], Table2[GameIsOver],1,Table2[HomeTeam],$A56, Table2[AwayTeam], M$36) + SUMIFS(Table2[HomeWon_], Table2[GameIsOver],1,Table2[AwayTeam],$A56, Table2[HomeTeam], M$36, Table2[ActualResult], "REG") + SUMIFS(Table2[AwayWon], Table2[GameIsOver],1,Table2[HomeTeam],$A56, Table2[AwayTeam], M$36, Table2[ActualResult], "REG") + SUMIFS(Table2[HomeWon_], Table2[GameIsOver],1,Table2[AwayTeam],$A56, Table2[HomeTeam], M$36, Table2[ActualResult], "OT") + SUMIFS(Table2[AwayWon], Table2[GameIsOver],1,Table2[HomeTeam],$A56, Table2[AwayTeam], M$36, Table2[ActualResult], "OT") + SUMIFS(Table2[HomeWon_], Table2[GameIsOver],1,Table2[AwayTeam],$A56, Table2[HomeTeam], M$36, Table2[ActualResult], "SO") + SUMIFS(Table2[AwayWon], Table2[GameIsOver],1,Table2[HomeTeam],$A56, Table2[AwayTeam], M$36, Table2[ActualResult], "SO"))), "")</f>
        <v/>
      </c>
      <c r="N56" t="str">
        <f>IFERROR(((2*SUMIFS(Table2[AwayWon], Table2[GameIsOver],1,Table2[AwayTeam],$A56, Table2[HomeTeam], N$36) + SUMIFS(Table2[HomeWon_], Table2[GameIsOver],1,Table2[HomeTeam],$A56, Table2[AwayTeam], N$36)) + SUMIFS(Table2[AwayWon], Table2[GameIsOver],1,Table2[HomeTeam],$A56, Table2[AwayTeam], N$36, Table2[ActualResult], "REG") + SUMIFS(Table2[HomeWon_], Table2[GameIsOver],1,Table2[AwayTeam],$A56, Table2[HomeTeam], N$36, Table2[ActualResult], "OT") + SUMIFS(Table2[AwayWon], Table2[GameIsOver],1,Table2[HomeTeam],$A56, Table2[AwayTeam], N$36, Table2[ActualResult], "OT") + SUMIFS(Table2[HomeWon_], Table2[GameIsOver],1,Table2[AwayTeam],$A56, Table2[HomeTeam], N$36, Table2[ActualResult], "SO") + SUMIFS(Table2[AwayWon], Table2[GameIsOver],1,Table2[HomeTeam],$A56, Table2[AwayTeam], N$36, Table2[ActualResult], "SO")) / (2*(SUMIFS(Table2[AwayWon], Table2[GameIsOver],1,Table2[AwayTeam],$A56, Table2[HomeTeam], N$36) + SUMIFS(Table2[HomeWon_], Table2[GameIsOver],1,Table2[HomeTeam],$A56, Table2[AwayTeam], N$36) + SUMIFS(Table2[HomeWon_], Table2[GameIsOver],1,Table2[AwayTeam],$A56, Table2[HomeTeam], N$36, Table2[ActualResult], "REG") + SUMIFS(Table2[AwayWon], Table2[GameIsOver],1,Table2[HomeTeam],$A56, Table2[AwayTeam], N$36, Table2[ActualResult], "REG") + SUMIFS(Table2[HomeWon_], Table2[GameIsOver],1,Table2[AwayTeam],$A56, Table2[HomeTeam], N$36, Table2[ActualResult], "OT") + SUMIFS(Table2[AwayWon], Table2[GameIsOver],1,Table2[HomeTeam],$A56, Table2[AwayTeam], N$36, Table2[ActualResult], "OT") + SUMIFS(Table2[HomeWon_], Table2[GameIsOver],1,Table2[AwayTeam],$A56, Table2[HomeTeam], N$36, Table2[ActualResult], "SO") + SUMIFS(Table2[AwayWon], Table2[GameIsOver],1,Table2[HomeTeam],$A56, Table2[AwayTeam], N$36, Table2[ActualResult], "SO"))), "")</f>
        <v/>
      </c>
      <c r="O56" t="str">
        <f>IFERROR(((2*SUMIFS(Table2[AwayWon], Table2[GameIsOver],1,Table2[AwayTeam],$A56, Table2[HomeTeam], O$36) + SUMIFS(Table2[HomeWon_], Table2[GameIsOver],1,Table2[HomeTeam],$A56, Table2[AwayTeam], O$36)) + SUMIFS(Table2[AwayWon], Table2[GameIsOver],1,Table2[HomeTeam],$A56, Table2[AwayTeam], O$36, Table2[ActualResult], "REG") + SUMIFS(Table2[HomeWon_], Table2[GameIsOver],1,Table2[AwayTeam],$A56, Table2[HomeTeam], O$36, Table2[ActualResult], "OT") + SUMIFS(Table2[AwayWon], Table2[GameIsOver],1,Table2[HomeTeam],$A56, Table2[AwayTeam], O$36, Table2[ActualResult], "OT") + SUMIFS(Table2[HomeWon_], Table2[GameIsOver],1,Table2[AwayTeam],$A56, Table2[HomeTeam], O$36, Table2[ActualResult], "SO") + SUMIFS(Table2[AwayWon], Table2[GameIsOver],1,Table2[HomeTeam],$A56, Table2[AwayTeam], O$36, Table2[ActualResult], "SO")) / (2*(SUMIFS(Table2[AwayWon], Table2[GameIsOver],1,Table2[AwayTeam],$A56, Table2[HomeTeam], O$36) + SUMIFS(Table2[HomeWon_], Table2[GameIsOver],1,Table2[HomeTeam],$A56, Table2[AwayTeam], O$36) + SUMIFS(Table2[HomeWon_], Table2[GameIsOver],1,Table2[AwayTeam],$A56, Table2[HomeTeam], O$36, Table2[ActualResult], "REG") + SUMIFS(Table2[AwayWon], Table2[GameIsOver],1,Table2[HomeTeam],$A56, Table2[AwayTeam], O$36, Table2[ActualResult], "REG") + SUMIFS(Table2[HomeWon_], Table2[GameIsOver],1,Table2[AwayTeam],$A56, Table2[HomeTeam], O$36, Table2[ActualResult], "OT") + SUMIFS(Table2[AwayWon], Table2[GameIsOver],1,Table2[HomeTeam],$A56, Table2[AwayTeam], O$36, Table2[ActualResult], "OT") + SUMIFS(Table2[HomeWon_], Table2[GameIsOver],1,Table2[AwayTeam],$A56, Table2[HomeTeam], O$36, Table2[ActualResult], "SO") + SUMIFS(Table2[AwayWon], Table2[GameIsOver],1,Table2[HomeTeam],$A56, Table2[AwayTeam], O$36, Table2[ActualResult], "SO"))), "")</f>
        <v/>
      </c>
      <c r="P56" t="str">
        <f>IFERROR(((2*SUMIFS(Table2[AwayWon], Table2[GameIsOver],1,Table2[AwayTeam],$A56, Table2[HomeTeam], P$36) + SUMIFS(Table2[HomeWon_], Table2[GameIsOver],1,Table2[HomeTeam],$A56, Table2[AwayTeam], P$36)) + SUMIFS(Table2[AwayWon], Table2[GameIsOver],1,Table2[HomeTeam],$A56, Table2[AwayTeam], P$36, Table2[ActualResult], "REG") + SUMIFS(Table2[HomeWon_], Table2[GameIsOver],1,Table2[AwayTeam],$A56, Table2[HomeTeam], P$36, Table2[ActualResult], "OT") + SUMIFS(Table2[AwayWon], Table2[GameIsOver],1,Table2[HomeTeam],$A56, Table2[AwayTeam], P$36, Table2[ActualResult], "OT") + SUMIFS(Table2[HomeWon_], Table2[GameIsOver],1,Table2[AwayTeam],$A56, Table2[HomeTeam], P$36, Table2[ActualResult], "SO") + SUMIFS(Table2[AwayWon], Table2[GameIsOver],1,Table2[HomeTeam],$A56, Table2[AwayTeam], P$36, Table2[ActualResult], "SO")) / (2*(SUMIFS(Table2[AwayWon], Table2[GameIsOver],1,Table2[AwayTeam],$A56, Table2[HomeTeam], P$36) + SUMIFS(Table2[HomeWon_], Table2[GameIsOver],1,Table2[HomeTeam],$A56, Table2[AwayTeam], P$36) + SUMIFS(Table2[HomeWon_], Table2[GameIsOver],1,Table2[AwayTeam],$A56, Table2[HomeTeam], P$36, Table2[ActualResult], "REG") + SUMIFS(Table2[AwayWon], Table2[GameIsOver],1,Table2[HomeTeam],$A56, Table2[AwayTeam], P$36, Table2[ActualResult], "REG") + SUMIFS(Table2[HomeWon_], Table2[GameIsOver],1,Table2[AwayTeam],$A56, Table2[HomeTeam], P$36, Table2[ActualResult], "OT") + SUMIFS(Table2[AwayWon], Table2[GameIsOver],1,Table2[HomeTeam],$A56, Table2[AwayTeam], P$36, Table2[ActualResult], "OT") + SUMIFS(Table2[HomeWon_], Table2[GameIsOver],1,Table2[AwayTeam],$A56, Table2[HomeTeam], P$36, Table2[ActualResult], "SO") + SUMIFS(Table2[AwayWon], Table2[GameIsOver],1,Table2[HomeTeam],$A56, Table2[AwayTeam], P$36, Table2[ActualResult], "SO"))), "")</f>
        <v/>
      </c>
      <c r="Q56" s="57">
        <f>IFERROR(((2*SUMIFS(Table2[AwayWon], Table2[GameIsOver],1,Table2[AwayTeam],$A56, Table2[HomeTeam], Q$36) + SUMIFS(Table2[HomeWon_], Table2[GameIsOver],1,Table2[HomeTeam],$A56, Table2[AwayTeam], Q$36)) + SUMIFS(Table2[AwayWon], Table2[GameIsOver],1,Table2[HomeTeam],$A56, Table2[AwayTeam], Q$36, Table2[ActualResult], "REG") + SUMIFS(Table2[HomeWon_], Table2[GameIsOver],1,Table2[AwayTeam],$A56, Table2[HomeTeam], Q$36, Table2[ActualResult], "OT") + SUMIFS(Table2[AwayWon], Table2[GameIsOver],1,Table2[HomeTeam],$A56, Table2[AwayTeam], Q$36, Table2[ActualResult], "OT") + SUMIFS(Table2[HomeWon_], Table2[GameIsOver],1,Table2[AwayTeam],$A56, Table2[HomeTeam], Q$36, Table2[ActualResult], "SO") + SUMIFS(Table2[AwayWon], Table2[GameIsOver],1,Table2[HomeTeam],$A56, Table2[AwayTeam], Q$36, Table2[ActualResult], "SO")) / (2*(SUMIFS(Table2[AwayWon], Table2[GameIsOver],1,Table2[AwayTeam],$A56, Table2[HomeTeam], Q$36) + SUMIFS(Table2[HomeWon_], Table2[GameIsOver],1,Table2[HomeTeam],$A56, Table2[AwayTeam], Q$36) + SUMIFS(Table2[HomeWon_], Table2[GameIsOver],1,Table2[AwayTeam],$A56, Table2[HomeTeam], Q$36, Table2[ActualResult], "REG") + SUMIFS(Table2[AwayWon], Table2[GameIsOver],1,Table2[HomeTeam],$A56, Table2[AwayTeam], Q$36, Table2[ActualResult], "REG") + SUMIFS(Table2[HomeWon_], Table2[GameIsOver],1,Table2[AwayTeam],$A56, Table2[HomeTeam], Q$36, Table2[ActualResult], "OT") + SUMIFS(Table2[AwayWon], Table2[GameIsOver],1,Table2[HomeTeam],$A56, Table2[AwayTeam], Q$36, Table2[ActualResult], "OT") + SUMIFS(Table2[HomeWon_], Table2[GameIsOver],1,Table2[AwayTeam],$A56, Table2[HomeTeam], Q$36, Table2[ActualResult], "SO") + SUMIFS(Table2[AwayWon], Table2[GameIsOver],1,Table2[HomeTeam],$A56, Table2[AwayTeam], Q$36, Table2[ActualResult], "SO"))), "")</f>
        <v>0.5</v>
      </c>
      <c r="R56" t="str">
        <f>IFERROR(((2*SUMIFS(Table2[AwayWon], Table2[GameIsOver],1,Table2[AwayTeam],$A56, Table2[HomeTeam], R$36) + SUMIFS(Table2[HomeWon_], Table2[GameIsOver],1,Table2[HomeTeam],$A56, Table2[AwayTeam], R$36)) + SUMIFS(Table2[AwayWon], Table2[GameIsOver],1,Table2[HomeTeam],$A56, Table2[AwayTeam], R$36, Table2[ActualResult], "REG") + SUMIFS(Table2[HomeWon_], Table2[GameIsOver],1,Table2[AwayTeam],$A56, Table2[HomeTeam], R$36, Table2[ActualResult], "OT") + SUMIFS(Table2[AwayWon], Table2[GameIsOver],1,Table2[HomeTeam],$A56, Table2[AwayTeam], R$36, Table2[ActualResult], "OT") + SUMIFS(Table2[HomeWon_], Table2[GameIsOver],1,Table2[AwayTeam],$A56, Table2[HomeTeam], R$36, Table2[ActualResult], "SO") + SUMIFS(Table2[AwayWon], Table2[GameIsOver],1,Table2[HomeTeam],$A56, Table2[AwayTeam], R$36, Table2[ActualResult], "SO")) / (2*(SUMIFS(Table2[AwayWon], Table2[GameIsOver],1,Table2[AwayTeam],$A56, Table2[HomeTeam], R$36) + SUMIFS(Table2[HomeWon_], Table2[GameIsOver],1,Table2[HomeTeam],$A56, Table2[AwayTeam], R$36) + SUMIFS(Table2[HomeWon_], Table2[GameIsOver],1,Table2[AwayTeam],$A56, Table2[HomeTeam], R$36, Table2[ActualResult], "REG") + SUMIFS(Table2[AwayWon], Table2[GameIsOver],1,Table2[HomeTeam],$A56, Table2[AwayTeam], R$36, Table2[ActualResult], "REG") + SUMIFS(Table2[HomeWon_], Table2[GameIsOver],1,Table2[AwayTeam],$A56, Table2[HomeTeam], R$36, Table2[ActualResult], "OT") + SUMIFS(Table2[AwayWon], Table2[GameIsOver],1,Table2[HomeTeam],$A56, Table2[AwayTeam], R$36, Table2[ActualResult], "OT") + SUMIFS(Table2[HomeWon_], Table2[GameIsOver],1,Table2[AwayTeam],$A56, Table2[HomeTeam], R$36, Table2[ActualResult], "SO") + SUMIFS(Table2[AwayWon], Table2[GameIsOver],1,Table2[HomeTeam],$A56, Table2[AwayTeam], R$36, Table2[ActualResult], "SO"))), "")</f>
        <v/>
      </c>
      <c r="S56" t="str">
        <f>IFERROR(((2*SUMIFS(Table2[AwayWon], Table2[GameIsOver],1,Table2[AwayTeam],$A56, Table2[HomeTeam], S$36) + SUMIFS(Table2[HomeWon_], Table2[GameIsOver],1,Table2[HomeTeam],$A56, Table2[AwayTeam], S$36)) + SUMIFS(Table2[AwayWon], Table2[GameIsOver],1,Table2[HomeTeam],$A56, Table2[AwayTeam], S$36, Table2[ActualResult], "REG") + SUMIFS(Table2[HomeWon_], Table2[GameIsOver],1,Table2[AwayTeam],$A56, Table2[HomeTeam], S$36, Table2[ActualResult], "OT") + SUMIFS(Table2[AwayWon], Table2[GameIsOver],1,Table2[HomeTeam],$A56, Table2[AwayTeam], S$36, Table2[ActualResult], "OT") + SUMIFS(Table2[HomeWon_], Table2[GameIsOver],1,Table2[AwayTeam],$A56, Table2[HomeTeam], S$36, Table2[ActualResult], "SO") + SUMIFS(Table2[AwayWon], Table2[GameIsOver],1,Table2[HomeTeam],$A56, Table2[AwayTeam], S$36, Table2[ActualResult], "SO")) / (2*(SUMIFS(Table2[AwayWon], Table2[GameIsOver],1,Table2[AwayTeam],$A56, Table2[HomeTeam], S$36) + SUMIFS(Table2[HomeWon_], Table2[GameIsOver],1,Table2[HomeTeam],$A56, Table2[AwayTeam], S$36) + SUMIFS(Table2[HomeWon_], Table2[GameIsOver],1,Table2[AwayTeam],$A56, Table2[HomeTeam], S$36, Table2[ActualResult], "REG") + SUMIFS(Table2[AwayWon], Table2[GameIsOver],1,Table2[HomeTeam],$A56, Table2[AwayTeam], S$36, Table2[ActualResult], "REG") + SUMIFS(Table2[HomeWon_], Table2[GameIsOver],1,Table2[AwayTeam],$A56, Table2[HomeTeam], S$36, Table2[ActualResult], "OT") + SUMIFS(Table2[AwayWon], Table2[GameIsOver],1,Table2[HomeTeam],$A56, Table2[AwayTeam], S$36, Table2[ActualResult], "OT") + SUMIFS(Table2[HomeWon_], Table2[GameIsOver],1,Table2[AwayTeam],$A56, Table2[HomeTeam], S$36, Table2[ActualResult], "SO") + SUMIFS(Table2[AwayWon], Table2[GameIsOver],1,Table2[HomeTeam],$A56, Table2[AwayTeam], S$36, Table2[ActualResult], "SO"))), "")</f>
        <v/>
      </c>
      <c r="T56" t="str">
        <f>IFERROR(((2*SUMIFS(Table2[AwayWon], Table2[GameIsOver],1,Table2[AwayTeam],$A56, Table2[HomeTeam], T$36) + SUMIFS(Table2[HomeWon_], Table2[GameIsOver],1,Table2[HomeTeam],$A56, Table2[AwayTeam], T$36)) + SUMIFS(Table2[AwayWon], Table2[GameIsOver],1,Table2[HomeTeam],$A56, Table2[AwayTeam], T$36, Table2[ActualResult], "REG") + SUMIFS(Table2[HomeWon_], Table2[GameIsOver],1,Table2[AwayTeam],$A56, Table2[HomeTeam], T$36, Table2[ActualResult], "OT") + SUMIFS(Table2[AwayWon], Table2[GameIsOver],1,Table2[HomeTeam],$A56, Table2[AwayTeam], T$36, Table2[ActualResult], "OT") + SUMIFS(Table2[HomeWon_], Table2[GameIsOver],1,Table2[AwayTeam],$A56, Table2[HomeTeam], T$36, Table2[ActualResult], "SO") + SUMIFS(Table2[AwayWon], Table2[GameIsOver],1,Table2[HomeTeam],$A56, Table2[AwayTeam], T$36, Table2[ActualResult], "SO")) / (2*(SUMIFS(Table2[AwayWon], Table2[GameIsOver],1,Table2[AwayTeam],$A56, Table2[HomeTeam], T$36) + SUMIFS(Table2[HomeWon_], Table2[GameIsOver],1,Table2[HomeTeam],$A56, Table2[AwayTeam], T$36) + SUMIFS(Table2[HomeWon_], Table2[GameIsOver],1,Table2[AwayTeam],$A56, Table2[HomeTeam], T$36, Table2[ActualResult], "REG") + SUMIFS(Table2[AwayWon], Table2[GameIsOver],1,Table2[HomeTeam],$A56, Table2[AwayTeam], T$36, Table2[ActualResult], "REG") + SUMIFS(Table2[HomeWon_], Table2[GameIsOver],1,Table2[AwayTeam],$A56, Table2[HomeTeam], T$36, Table2[ActualResult], "OT") + SUMIFS(Table2[AwayWon], Table2[GameIsOver],1,Table2[HomeTeam],$A56, Table2[AwayTeam], T$36, Table2[ActualResult], "OT") + SUMIFS(Table2[HomeWon_], Table2[GameIsOver],1,Table2[AwayTeam],$A56, Table2[HomeTeam], T$36, Table2[ActualResult], "SO") + SUMIFS(Table2[AwayWon], Table2[GameIsOver],1,Table2[HomeTeam],$A56, Table2[AwayTeam], T$36, Table2[ActualResult], "SO"))), "")</f>
        <v/>
      </c>
      <c r="U56" s="98" t="str">
        <f>IFERROR(((2*SUMIFS(Table2[AwayWon], Table2[GameIsOver],1,Table2[AwayTeam],$A56, Table2[HomeTeam], U$36) + SUMIFS(Table2[HomeWon_], Table2[GameIsOver],1,Table2[HomeTeam],$A56, Table2[AwayTeam], U$36)) + SUMIFS(Table2[AwayWon], Table2[GameIsOver],1,Table2[HomeTeam],$A56, Table2[AwayTeam], U$36, Table2[ActualResult], "REG") + SUMIFS(Table2[HomeWon_], Table2[GameIsOver],1,Table2[AwayTeam],$A56, Table2[HomeTeam], U$36, Table2[ActualResult], "OT") + SUMIFS(Table2[AwayWon], Table2[GameIsOver],1,Table2[HomeTeam],$A56, Table2[AwayTeam], U$36, Table2[ActualResult], "OT") + SUMIFS(Table2[HomeWon_], Table2[GameIsOver],1,Table2[AwayTeam],$A56, Table2[HomeTeam], U$36, Table2[ActualResult], "SO") + SUMIFS(Table2[AwayWon], Table2[GameIsOver],1,Table2[HomeTeam],$A56, Table2[AwayTeam], U$36, Table2[ActualResult], "SO")) / (2*(SUMIFS(Table2[AwayWon], Table2[GameIsOver],1,Table2[AwayTeam],$A56, Table2[HomeTeam], U$36) + SUMIFS(Table2[HomeWon_], Table2[GameIsOver],1,Table2[HomeTeam],$A56, Table2[AwayTeam], U$36) + SUMIFS(Table2[HomeWon_], Table2[GameIsOver],1,Table2[AwayTeam],$A56, Table2[HomeTeam], U$36, Table2[ActualResult], "REG") + SUMIFS(Table2[AwayWon], Table2[GameIsOver],1,Table2[HomeTeam],$A56, Table2[AwayTeam], U$36, Table2[ActualResult], "REG") + SUMIFS(Table2[HomeWon_], Table2[GameIsOver],1,Table2[AwayTeam],$A56, Table2[HomeTeam], U$36, Table2[ActualResult], "OT") + SUMIFS(Table2[AwayWon], Table2[GameIsOver],1,Table2[HomeTeam],$A56, Table2[AwayTeam], U$36, Table2[ActualResult], "OT") + SUMIFS(Table2[HomeWon_], Table2[GameIsOver],1,Table2[AwayTeam],$A56, Table2[HomeTeam], U$36, Table2[ActualResult], "SO") + SUMIFS(Table2[AwayWon], Table2[GameIsOver],1,Table2[HomeTeam],$A56, Table2[AwayTeam], U$36, Table2[ActualResult], "SO"))), "")</f>
        <v/>
      </c>
      <c r="V56" t="str">
        <f>IFERROR(((2*SUMIFS(Table2[AwayWon], Table2[GameIsOver],1,Table2[AwayTeam],$A56, Table2[HomeTeam], V$36) + SUMIFS(Table2[HomeWon_], Table2[GameIsOver],1,Table2[HomeTeam],$A56, Table2[AwayTeam], V$36)) + SUMIFS(Table2[AwayWon], Table2[GameIsOver],1,Table2[HomeTeam],$A56, Table2[AwayTeam], V$36, Table2[ActualResult], "REG") + SUMIFS(Table2[HomeWon_], Table2[GameIsOver],1,Table2[AwayTeam],$A56, Table2[HomeTeam], V$36, Table2[ActualResult], "OT") + SUMIFS(Table2[AwayWon], Table2[GameIsOver],1,Table2[HomeTeam],$A56, Table2[AwayTeam], V$36, Table2[ActualResult], "OT") + SUMIFS(Table2[HomeWon_], Table2[GameIsOver],1,Table2[AwayTeam],$A56, Table2[HomeTeam], V$36, Table2[ActualResult], "SO") + SUMIFS(Table2[AwayWon], Table2[GameIsOver],1,Table2[HomeTeam],$A56, Table2[AwayTeam], V$36, Table2[ActualResult], "SO")) / (2*(SUMIFS(Table2[AwayWon], Table2[GameIsOver],1,Table2[AwayTeam],$A56, Table2[HomeTeam], V$36) + SUMIFS(Table2[HomeWon_], Table2[GameIsOver],1,Table2[HomeTeam],$A56, Table2[AwayTeam], V$36) + SUMIFS(Table2[HomeWon_], Table2[GameIsOver],1,Table2[AwayTeam],$A56, Table2[HomeTeam], V$36, Table2[ActualResult], "REG") + SUMIFS(Table2[AwayWon], Table2[GameIsOver],1,Table2[HomeTeam],$A56, Table2[AwayTeam], V$36, Table2[ActualResult], "REG") + SUMIFS(Table2[HomeWon_], Table2[GameIsOver],1,Table2[AwayTeam],$A56, Table2[HomeTeam], V$36, Table2[ActualResult], "OT") + SUMIFS(Table2[AwayWon], Table2[GameIsOver],1,Table2[HomeTeam],$A56, Table2[AwayTeam], V$36, Table2[ActualResult], "OT") + SUMIFS(Table2[HomeWon_], Table2[GameIsOver],1,Table2[AwayTeam],$A56, Table2[HomeTeam], V$36, Table2[ActualResult], "SO") + SUMIFS(Table2[AwayWon], Table2[GameIsOver],1,Table2[HomeTeam],$A56, Table2[AwayTeam], V$36, Table2[ActualResult], "SO"))), "")</f>
        <v/>
      </c>
      <c r="W56" t="str">
        <f>IFERROR(((2*SUMIFS(Table2[AwayWon], Table2[GameIsOver],1,Table2[AwayTeam],$A56, Table2[HomeTeam], W$36) + SUMIFS(Table2[HomeWon_], Table2[GameIsOver],1,Table2[HomeTeam],$A56, Table2[AwayTeam], W$36)) + SUMIFS(Table2[AwayWon], Table2[GameIsOver],1,Table2[HomeTeam],$A56, Table2[AwayTeam], W$36, Table2[ActualResult], "REG") + SUMIFS(Table2[HomeWon_], Table2[GameIsOver],1,Table2[AwayTeam],$A56, Table2[HomeTeam], W$36, Table2[ActualResult], "OT") + SUMIFS(Table2[AwayWon], Table2[GameIsOver],1,Table2[HomeTeam],$A56, Table2[AwayTeam], W$36, Table2[ActualResult], "OT") + SUMIFS(Table2[HomeWon_], Table2[GameIsOver],1,Table2[AwayTeam],$A56, Table2[HomeTeam], W$36, Table2[ActualResult], "SO") + SUMIFS(Table2[AwayWon], Table2[GameIsOver],1,Table2[HomeTeam],$A56, Table2[AwayTeam], W$36, Table2[ActualResult], "SO")) / (2*(SUMIFS(Table2[AwayWon], Table2[GameIsOver],1,Table2[AwayTeam],$A56, Table2[HomeTeam], W$36) + SUMIFS(Table2[HomeWon_], Table2[GameIsOver],1,Table2[HomeTeam],$A56, Table2[AwayTeam], W$36) + SUMIFS(Table2[HomeWon_], Table2[GameIsOver],1,Table2[AwayTeam],$A56, Table2[HomeTeam], W$36, Table2[ActualResult], "REG") + SUMIFS(Table2[AwayWon], Table2[GameIsOver],1,Table2[HomeTeam],$A56, Table2[AwayTeam], W$36, Table2[ActualResult], "REG") + SUMIFS(Table2[HomeWon_], Table2[GameIsOver],1,Table2[AwayTeam],$A56, Table2[HomeTeam], W$36, Table2[ActualResult], "OT") + SUMIFS(Table2[AwayWon], Table2[GameIsOver],1,Table2[HomeTeam],$A56, Table2[AwayTeam], W$36, Table2[ActualResult], "OT") + SUMIFS(Table2[HomeWon_], Table2[GameIsOver],1,Table2[AwayTeam],$A56, Table2[HomeTeam], W$36, Table2[ActualResult], "SO") + SUMIFS(Table2[AwayWon], Table2[GameIsOver],1,Table2[HomeTeam],$A56, Table2[AwayTeam], W$36, Table2[ActualResult], "SO"))), "")</f>
        <v/>
      </c>
      <c r="X56">
        <f>IFERROR(((2*SUMIFS(Table2[AwayWon], Table2[GameIsOver],1,Table2[AwayTeam],$A56, Table2[HomeTeam], X$36) + SUMIFS(Table2[HomeWon_], Table2[GameIsOver],1,Table2[HomeTeam],$A56, Table2[AwayTeam], X$36)) + SUMIFS(Table2[AwayWon], Table2[GameIsOver],1,Table2[HomeTeam],$A56, Table2[AwayTeam], X$36, Table2[ActualResult], "REG") + SUMIFS(Table2[HomeWon_], Table2[GameIsOver],1,Table2[AwayTeam],$A56, Table2[HomeTeam], X$36, Table2[ActualResult], "OT") + SUMIFS(Table2[AwayWon], Table2[GameIsOver],1,Table2[HomeTeam],$A56, Table2[AwayTeam], X$36, Table2[ActualResult], "OT") + SUMIFS(Table2[HomeWon_], Table2[GameIsOver],1,Table2[AwayTeam],$A56, Table2[HomeTeam], X$36, Table2[ActualResult], "SO") + SUMIFS(Table2[AwayWon], Table2[GameIsOver],1,Table2[HomeTeam],$A56, Table2[AwayTeam], X$36, Table2[ActualResult], "SO")) / (2*(SUMIFS(Table2[AwayWon], Table2[GameIsOver],1,Table2[AwayTeam],$A56, Table2[HomeTeam], X$36) + SUMIFS(Table2[HomeWon_], Table2[GameIsOver],1,Table2[HomeTeam],$A56, Table2[AwayTeam], X$36) + SUMIFS(Table2[HomeWon_], Table2[GameIsOver],1,Table2[AwayTeam],$A56, Table2[HomeTeam], X$36, Table2[ActualResult], "REG") + SUMIFS(Table2[AwayWon], Table2[GameIsOver],1,Table2[HomeTeam],$A56, Table2[AwayTeam], X$36, Table2[ActualResult], "REG") + SUMIFS(Table2[HomeWon_], Table2[GameIsOver],1,Table2[AwayTeam],$A56, Table2[HomeTeam], X$36, Table2[ActualResult], "OT") + SUMIFS(Table2[AwayWon], Table2[GameIsOver],1,Table2[HomeTeam],$A56, Table2[AwayTeam], X$36, Table2[ActualResult], "OT") + SUMIFS(Table2[HomeWon_], Table2[GameIsOver],1,Table2[AwayTeam],$A56, Table2[HomeTeam], X$36, Table2[ActualResult], "SO") + SUMIFS(Table2[AwayWon], Table2[GameIsOver],1,Table2[HomeTeam],$A56, Table2[AwayTeam], X$36, Table2[ActualResult], "SO"))), "")</f>
        <v>0</v>
      </c>
      <c r="Y56" s="57">
        <f>IFERROR(((2*SUMIFS(Table2[AwayWon], Table2[GameIsOver],1,Table2[AwayTeam],$A56, Table2[HomeTeam], Y$36) + SUMIFS(Table2[HomeWon_], Table2[GameIsOver],1,Table2[HomeTeam],$A56, Table2[AwayTeam], Y$36)) + SUMIFS(Table2[AwayWon], Table2[GameIsOver],1,Table2[HomeTeam],$A56, Table2[AwayTeam], Y$36, Table2[ActualResult], "REG") + SUMIFS(Table2[HomeWon_], Table2[GameIsOver],1,Table2[AwayTeam],$A56, Table2[HomeTeam], Y$36, Table2[ActualResult], "OT") + SUMIFS(Table2[AwayWon], Table2[GameIsOver],1,Table2[HomeTeam],$A56, Table2[AwayTeam], Y$36, Table2[ActualResult], "OT") + SUMIFS(Table2[HomeWon_], Table2[GameIsOver],1,Table2[AwayTeam],$A56, Table2[HomeTeam], Y$36, Table2[ActualResult], "SO") + SUMIFS(Table2[AwayWon], Table2[GameIsOver],1,Table2[HomeTeam],$A56, Table2[AwayTeam], Y$36, Table2[ActualResult], "SO")) / (2*(SUMIFS(Table2[AwayWon], Table2[GameIsOver],1,Table2[AwayTeam],$A56, Table2[HomeTeam], Y$36) + SUMIFS(Table2[HomeWon_], Table2[GameIsOver],1,Table2[HomeTeam],$A56, Table2[AwayTeam], Y$36) + SUMIFS(Table2[HomeWon_], Table2[GameIsOver],1,Table2[AwayTeam],$A56, Table2[HomeTeam], Y$36, Table2[ActualResult], "REG") + SUMIFS(Table2[AwayWon], Table2[GameIsOver],1,Table2[HomeTeam],$A56, Table2[AwayTeam], Y$36, Table2[ActualResult], "REG") + SUMIFS(Table2[HomeWon_], Table2[GameIsOver],1,Table2[AwayTeam],$A56, Table2[HomeTeam], Y$36, Table2[ActualResult], "OT") + SUMIFS(Table2[AwayWon], Table2[GameIsOver],1,Table2[HomeTeam],$A56, Table2[AwayTeam], Y$36, Table2[ActualResult], "OT") + SUMIFS(Table2[HomeWon_], Table2[GameIsOver],1,Table2[AwayTeam],$A56, Table2[HomeTeam], Y$36, Table2[ActualResult], "SO") + SUMIFS(Table2[AwayWon], Table2[GameIsOver],1,Table2[HomeTeam],$A56, Table2[AwayTeam], Y$36, Table2[ActualResult], "SO"))), "")</f>
        <v>0.5</v>
      </c>
      <c r="Z56" t="str">
        <f>IFERROR(((2*SUMIFS(Table2[AwayWon], Table2[GameIsOver],1,Table2[AwayTeam],$A56, Table2[HomeTeam], Z$36) + SUMIFS(Table2[HomeWon_], Table2[GameIsOver],1,Table2[HomeTeam],$A56, Table2[AwayTeam], Z$36)) + SUMIFS(Table2[AwayWon], Table2[GameIsOver],1,Table2[HomeTeam],$A56, Table2[AwayTeam], Z$36, Table2[ActualResult], "REG") + SUMIFS(Table2[HomeWon_], Table2[GameIsOver],1,Table2[AwayTeam],$A56, Table2[HomeTeam], Z$36, Table2[ActualResult], "OT") + SUMIFS(Table2[AwayWon], Table2[GameIsOver],1,Table2[HomeTeam],$A56, Table2[AwayTeam], Z$36, Table2[ActualResult], "OT") + SUMIFS(Table2[HomeWon_], Table2[GameIsOver],1,Table2[AwayTeam],$A56, Table2[HomeTeam], Z$36, Table2[ActualResult], "SO") + SUMIFS(Table2[AwayWon], Table2[GameIsOver],1,Table2[HomeTeam],$A56, Table2[AwayTeam], Z$36, Table2[ActualResult], "SO")) / (2*(SUMIFS(Table2[AwayWon], Table2[GameIsOver],1,Table2[AwayTeam],$A56, Table2[HomeTeam], Z$36) + SUMIFS(Table2[HomeWon_], Table2[GameIsOver],1,Table2[HomeTeam],$A56, Table2[AwayTeam], Z$36) + SUMIFS(Table2[HomeWon_], Table2[GameIsOver],1,Table2[AwayTeam],$A56, Table2[HomeTeam], Z$36, Table2[ActualResult], "REG") + SUMIFS(Table2[AwayWon], Table2[GameIsOver],1,Table2[HomeTeam],$A56, Table2[AwayTeam], Z$36, Table2[ActualResult], "REG") + SUMIFS(Table2[HomeWon_], Table2[GameIsOver],1,Table2[AwayTeam],$A56, Table2[HomeTeam], Z$36, Table2[ActualResult], "OT") + SUMIFS(Table2[AwayWon], Table2[GameIsOver],1,Table2[HomeTeam],$A56, Table2[AwayTeam], Z$36, Table2[ActualResult], "OT") + SUMIFS(Table2[HomeWon_], Table2[GameIsOver],1,Table2[AwayTeam],$A56, Table2[HomeTeam], Z$36, Table2[ActualResult], "SO") + SUMIFS(Table2[AwayWon], Table2[GameIsOver],1,Table2[HomeTeam],$A56, Table2[AwayTeam], Z$36, Table2[ActualResult], "SO"))), "")</f>
        <v/>
      </c>
      <c r="AA56" t="str">
        <f>IFERROR(((2*SUMIFS(Table2[AwayWon], Table2[GameIsOver],1,Table2[AwayTeam],$A56, Table2[HomeTeam], AA$36) + SUMIFS(Table2[HomeWon_], Table2[GameIsOver],1,Table2[HomeTeam],$A56, Table2[AwayTeam], AA$36)) + SUMIFS(Table2[AwayWon], Table2[GameIsOver],1,Table2[HomeTeam],$A56, Table2[AwayTeam], AA$36, Table2[ActualResult], "REG") + SUMIFS(Table2[HomeWon_], Table2[GameIsOver],1,Table2[AwayTeam],$A56, Table2[HomeTeam], AA$36, Table2[ActualResult], "OT") + SUMIFS(Table2[AwayWon], Table2[GameIsOver],1,Table2[HomeTeam],$A56, Table2[AwayTeam], AA$36, Table2[ActualResult], "OT") + SUMIFS(Table2[HomeWon_], Table2[GameIsOver],1,Table2[AwayTeam],$A56, Table2[HomeTeam], AA$36, Table2[ActualResult], "SO") + SUMIFS(Table2[AwayWon], Table2[GameIsOver],1,Table2[HomeTeam],$A56, Table2[AwayTeam], AA$36, Table2[ActualResult], "SO")) / (2*(SUMIFS(Table2[AwayWon], Table2[GameIsOver],1,Table2[AwayTeam],$A56, Table2[HomeTeam], AA$36) + SUMIFS(Table2[HomeWon_], Table2[GameIsOver],1,Table2[HomeTeam],$A56, Table2[AwayTeam], AA$36) + SUMIFS(Table2[HomeWon_], Table2[GameIsOver],1,Table2[AwayTeam],$A56, Table2[HomeTeam], AA$36, Table2[ActualResult], "REG") + SUMIFS(Table2[AwayWon], Table2[GameIsOver],1,Table2[HomeTeam],$A56, Table2[AwayTeam], AA$36, Table2[ActualResult], "REG") + SUMIFS(Table2[HomeWon_], Table2[GameIsOver],1,Table2[AwayTeam],$A56, Table2[HomeTeam], AA$36, Table2[ActualResult], "OT") + SUMIFS(Table2[AwayWon], Table2[GameIsOver],1,Table2[HomeTeam],$A56, Table2[AwayTeam], AA$36, Table2[ActualResult], "OT") + SUMIFS(Table2[HomeWon_], Table2[GameIsOver],1,Table2[AwayTeam],$A56, Table2[HomeTeam], AA$36, Table2[ActualResult], "SO") + SUMIFS(Table2[AwayWon], Table2[GameIsOver],1,Table2[HomeTeam],$A56, Table2[AwayTeam], AA$36, Table2[ActualResult], "SO"))), "")</f>
        <v/>
      </c>
      <c r="AB56" t="str">
        <f>IFERROR(((2*SUMIFS(Table2[AwayWon], Table2[GameIsOver],1,Table2[AwayTeam],$A56, Table2[HomeTeam], AB$36) + SUMIFS(Table2[HomeWon_], Table2[GameIsOver],1,Table2[HomeTeam],$A56, Table2[AwayTeam], AB$36)) + SUMIFS(Table2[AwayWon], Table2[GameIsOver],1,Table2[HomeTeam],$A56, Table2[AwayTeam], AB$36, Table2[ActualResult], "REG") + SUMIFS(Table2[HomeWon_], Table2[GameIsOver],1,Table2[AwayTeam],$A56, Table2[HomeTeam], AB$36, Table2[ActualResult], "OT") + SUMIFS(Table2[AwayWon], Table2[GameIsOver],1,Table2[HomeTeam],$A56, Table2[AwayTeam], AB$36, Table2[ActualResult], "OT") + SUMIFS(Table2[HomeWon_], Table2[GameIsOver],1,Table2[AwayTeam],$A56, Table2[HomeTeam], AB$36, Table2[ActualResult], "SO") + SUMIFS(Table2[AwayWon], Table2[GameIsOver],1,Table2[HomeTeam],$A56, Table2[AwayTeam], AB$36, Table2[ActualResult], "SO")) / (2*(SUMIFS(Table2[AwayWon], Table2[GameIsOver],1,Table2[AwayTeam],$A56, Table2[HomeTeam], AB$36) + SUMIFS(Table2[HomeWon_], Table2[GameIsOver],1,Table2[HomeTeam],$A56, Table2[AwayTeam], AB$36) + SUMIFS(Table2[HomeWon_], Table2[GameIsOver],1,Table2[AwayTeam],$A56, Table2[HomeTeam], AB$36, Table2[ActualResult], "REG") + SUMIFS(Table2[AwayWon], Table2[GameIsOver],1,Table2[HomeTeam],$A56, Table2[AwayTeam], AB$36, Table2[ActualResult], "REG") + SUMIFS(Table2[HomeWon_], Table2[GameIsOver],1,Table2[AwayTeam],$A56, Table2[HomeTeam], AB$36, Table2[ActualResult], "OT") + SUMIFS(Table2[AwayWon], Table2[GameIsOver],1,Table2[HomeTeam],$A56, Table2[AwayTeam], AB$36, Table2[ActualResult], "OT") + SUMIFS(Table2[HomeWon_], Table2[GameIsOver],1,Table2[AwayTeam],$A56, Table2[HomeTeam], AB$36, Table2[ActualResult], "SO") + SUMIFS(Table2[AwayWon], Table2[GameIsOver],1,Table2[HomeTeam],$A56, Table2[AwayTeam], AB$36, Table2[ActualResult], "SO"))), "")</f>
        <v/>
      </c>
      <c r="AC56" t="str">
        <f>IFERROR(((2*SUMIFS(Table2[AwayWon], Table2[GameIsOver],1,Table2[AwayTeam],$A56, Table2[HomeTeam], AC$36) + SUMIFS(Table2[HomeWon_], Table2[GameIsOver],1,Table2[HomeTeam],$A56, Table2[AwayTeam], AC$36)) + SUMIFS(Table2[AwayWon], Table2[GameIsOver],1,Table2[HomeTeam],$A56, Table2[AwayTeam], AC$36, Table2[ActualResult], "REG") + SUMIFS(Table2[HomeWon_], Table2[GameIsOver],1,Table2[AwayTeam],$A56, Table2[HomeTeam], AC$36, Table2[ActualResult], "OT") + SUMIFS(Table2[AwayWon], Table2[GameIsOver],1,Table2[HomeTeam],$A56, Table2[AwayTeam], AC$36, Table2[ActualResult], "OT") + SUMIFS(Table2[HomeWon_], Table2[GameIsOver],1,Table2[AwayTeam],$A56, Table2[HomeTeam], AC$36, Table2[ActualResult], "SO") + SUMIFS(Table2[AwayWon], Table2[GameIsOver],1,Table2[HomeTeam],$A56, Table2[AwayTeam], AC$36, Table2[ActualResult], "SO")) / (2*(SUMIFS(Table2[AwayWon], Table2[GameIsOver],1,Table2[AwayTeam],$A56, Table2[HomeTeam], AC$36) + SUMIFS(Table2[HomeWon_], Table2[GameIsOver],1,Table2[HomeTeam],$A56, Table2[AwayTeam], AC$36) + SUMIFS(Table2[HomeWon_], Table2[GameIsOver],1,Table2[AwayTeam],$A56, Table2[HomeTeam], AC$36, Table2[ActualResult], "REG") + SUMIFS(Table2[AwayWon], Table2[GameIsOver],1,Table2[HomeTeam],$A56, Table2[AwayTeam], AC$36, Table2[ActualResult], "REG") + SUMIFS(Table2[HomeWon_], Table2[GameIsOver],1,Table2[AwayTeam],$A56, Table2[HomeTeam], AC$36, Table2[ActualResult], "OT") + SUMIFS(Table2[AwayWon], Table2[GameIsOver],1,Table2[HomeTeam],$A56, Table2[AwayTeam], AC$36, Table2[ActualResult], "OT") + SUMIFS(Table2[HomeWon_], Table2[GameIsOver],1,Table2[AwayTeam],$A56, Table2[HomeTeam], AC$36, Table2[ActualResult], "SO") + SUMIFS(Table2[AwayWon], Table2[GameIsOver],1,Table2[HomeTeam],$A56, Table2[AwayTeam], AC$36, Table2[ActualResult], "SO"))), "")</f>
        <v/>
      </c>
      <c r="AD56" t="str">
        <f>IFERROR(((2*SUMIFS(Table2[AwayWon], Table2[GameIsOver],1,Table2[AwayTeam],$A56, Table2[HomeTeam], AD$36) + SUMIFS(Table2[HomeWon_], Table2[GameIsOver],1,Table2[HomeTeam],$A56, Table2[AwayTeam], AD$36)) + SUMIFS(Table2[AwayWon], Table2[GameIsOver],1,Table2[HomeTeam],$A56, Table2[AwayTeam], AD$36, Table2[ActualResult], "REG") + SUMIFS(Table2[HomeWon_], Table2[GameIsOver],1,Table2[AwayTeam],$A56, Table2[HomeTeam], AD$36, Table2[ActualResult], "OT") + SUMIFS(Table2[AwayWon], Table2[GameIsOver],1,Table2[HomeTeam],$A56, Table2[AwayTeam], AD$36, Table2[ActualResult], "OT") + SUMIFS(Table2[HomeWon_], Table2[GameIsOver],1,Table2[AwayTeam],$A56, Table2[HomeTeam], AD$36, Table2[ActualResult], "SO") + SUMIFS(Table2[AwayWon], Table2[GameIsOver],1,Table2[HomeTeam],$A56, Table2[AwayTeam], AD$36, Table2[ActualResult], "SO")) / (2*(SUMIFS(Table2[AwayWon], Table2[GameIsOver],1,Table2[AwayTeam],$A56, Table2[HomeTeam], AD$36) + SUMIFS(Table2[HomeWon_], Table2[GameIsOver],1,Table2[HomeTeam],$A56, Table2[AwayTeam], AD$36) + SUMIFS(Table2[HomeWon_], Table2[GameIsOver],1,Table2[AwayTeam],$A56, Table2[HomeTeam], AD$36, Table2[ActualResult], "REG") + SUMIFS(Table2[AwayWon], Table2[GameIsOver],1,Table2[HomeTeam],$A56, Table2[AwayTeam], AD$36, Table2[ActualResult], "REG") + SUMIFS(Table2[HomeWon_], Table2[GameIsOver],1,Table2[AwayTeam],$A56, Table2[HomeTeam], AD$36, Table2[ActualResult], "OT") + SUMIFS(Table2[AwayWon], Table2[GameIsOver],1,Table2[HomeTeam],$A56, Table2[AwayTeam], AD$36, Table2[ActualResult], "OT") + SUMIFS(Table2[HomeWon_], Table2[GameIsOver],1,Table2[AwayTeam],$A56, Table2[HomeTeam], AD$36, Table2[ActualResult], "SO") + SUMIFS(Table2[AwayWon], Table2[GameIsOver],1,Table2[HomeTeam],$A56, Table2[AwayTeam], AD$36, Table2[ActualResult], "SO"))), "")</f>
        <v/>
      </c>
      <c r="AE56">
        <f>IFERROR(((2*SUMIFS(Table2[AwayWon], Table2[GameIsOver],1,Table2[AwayTeam],$A56, Table2[HomeTeam], AE$36) + SUMIFS(Table2[HomeWon_], Table2[GameIsOver],1,Table2[HomeTeam],$A56, Table2[AwayTeam], AE$36)) + SUMIFS(Table2[AwayWon], Table2[GameIsOver],1,Table2[HomeTeam],$A56, Table2[AwayTeam], AE$36, Table2[ActualResult], "REG") + SUMIFS(Table2[HomeWon_], Table2[GameIsOver],1,Table2[AwayTeam],$A56, Table2[HomeTeam], AE$36, Table2[ActualResult], "OT") + SUMIFS(Table2[AwayWon], Table2[GameIsOver],1,Table2[HomeTeam],$A56, Table2[AwayTeam], AE$36, Table2[ActualResult], "OT") + SUMIFS(Table2[HomeWon_], Table2[GameIsOver],1,Table2[AwayTeam],$A56, Table2[HomeTeam], AE$36, Table2[ActualResult], "SO") + SUMIFS(Table2[AwayWon], Table2[GameIsOver],1,Table2[HomeTeam],$A56, Table2[AwayTeam], AE$36, Table2[ActualResult], "SO")) / (2*(SUMIFS(Table2[AwayWon], Table2[GameIsOver],1,Table2[AwayTeam],$A56, Table2[HomeTeam], AE$36) + SUMIFS(Table2[HomeWon_], Table2[GameIsOver],1,Table2[HomeTeam],$A56, Table2[AwayTeam], AE$36) + SUMIFS(Table2[HomeWon_], Table2[GameIsOver],1,Table2[AwayTeam],$A56, Table2[HomeTeam], AE$36, Table2[ActualResult], "REG") + SUMIFS(Table2[AwayWon], Table2[GameIsOver],1,Table2[HomeTeam],$A56, Table2[AwayTeam], AE$36, Table2[ActualResult], "REG") + SUMIFS(Table2[HomeWon_], Table2[GameIsOver],1,Table2[AwayTeam],$A56, Table2[HomeTeam], AE$36, Table2[ActualResult], "OT") + SUMIFS(Table2[AwayWon], Table2[GameIsOver],1,Table2[HomeTeam],$A56, Table2[AwayTeam], AE$36, Table2[ActualResult], "OT") + SUMIFS(Table2[HomeWon_], Table2[GameIsOver],1,Table2[AwayTeam],$A56, Table2[HomeTeam], AE$36, Table2[ActualResult], "SO") + SUMIFS(Table2[AwayWon], Table2[GameIsOver],1,Table2[HomeTeam],$A56, Table2[AwayTeam], AE$36, Table2[ActualResult], "SO"))), "")</f>
        <v>1</v>
      </c>
      <c r="AF56" t="str">
        <f>IFERROR(((2*SUMIFS(Table2[AwayWon], Table2[GameIsOver],1,Table2[AwayTeam],$A56, Table2[HomeTeam], AF$36) + SUMIFS(Table2[HomeWon_], Table2[GameIsOver],1,Table2[HomeTeam],$A56, Table2[AwayTeam], AF$36)) + SUMIFS(Table2[AwayWon], Table2[GameIsOver],1,Table2[HomeTeam],$A56, Table2[AwayTeam], AF$36, Table2[ActualResult], "REG") + SUMIFS(Table2[HomeWon_], Table2[GameIsOver],1,Table2[AwayTeam],$A56, Table2[HomeTeam], AF$36, Table2[ActualResult], "OT") + SUMIFS(Table2[AwayWon], Table2[GameIsOver],1,Table2[HomeTeam],$A56, Table2[AwayTeam], AF$36, Table2[ActualResult], "OT") + SUMIFS(Table2[HomeWon_], Table2[GameIsOver],1,Table2[AwayTeam],$A56, Table2[HomeTeam], AF$36, Table2[ActualResult], "SO") + SUMIFS(Table2[AwayWon], Table2[GameIsOver],1,Table2[HomeTeam],$A56, Table2[AwayTeam], AF$36, Table2[ActualResult], "SO")) / (2*(SUMIFS(Table2[AwayWon], Table2[GameIsOver],1,Table2[AwayTeam],$A56, Table2[HomeTeam], AF$36) + SUMIFS(Table2[HomeWon_], Table2[GameIsOver],1,Table2[HomeTeam],$A56, Table2[AwayTeam], AF$36) + SUMIFS(Table2[HomeWon_], Table2[GameIsOver],1,Table2[AwayTeam],$A56, Table2[HomeTeam], AF$36, Table2[ActualResult], "REG") + SUMIFS(Table2[AwayWon], Table2[GameIsOver],1,Table2[HomeTeam],$A56, Table2[AwayTeam], AF$36, Table2[ActualResult], "REG") + SUMIFS(Table2[HomeWon_], Table2[GameIsOver],1,Table2[AwayTeam],$A56, Table2[HomeTeam], AF$36, Table2[ActualResult], "OT") + SUMIFS(Table2[AwayWon], Table2[GameIsOver],1,Table2[HomeTeam],$A56, Table2[AwayTeam], AF$36, Table2[ActualResult], "OT") + SUMIFS(Table2[HomeWon_], Table2[GameIsOver],1,Table2[AwayTeam],$A56, Table2[HomeTeam], AF$36, Table2[ActualResult], "SO") + SUMIFS(Table2[AwayWon], Table2[GameIsOver],1,Table2[HomeTeam],$A56, Table2[AwayTeam], AF$36, Table2[ActualResult], "SO"))), "")</f>
        <v/>
      </c>
      <c r="AG56" s="57" t="str">
        <f>IFERROR(((2*SUMIFS(Table2[AwayWon], Table2[GameIsOver],1,Table2[AwayTeam],$A56, Table2[HomeTeam], AG$36) + SUMIFS(Table2[HomeWon_], Table2[GameIsOver],1,Table2[HomeTeam],$A56, Table2[AwayTeam], AG$36)) + SUMIFS(Table2[AwayWon], Table2[GameIsOver],1,Table2[HomeTeam],$A56, Table2[AwayTeam], AG$36, Table2[ActualResult], "REG") + SUMIFS(Table2[HomeWon_], Table2[GameIsOver],1,Table2[AwayTeam],$A56, Table2[HomeTeam], AG$36, Table2[ActualResult], "OT") + SUMIFS(Table2[AwayWon], Table2[GameIsOver],1,Table2[HomeTeam],$A56, Table2[AwayTeam], AG$36, Table2[ActualResult], "OT") + SUMIFS(Table2[HomeWon_], Table2[GameIsOver],1,Table2[AwayTeam],$A56, Table2[HomeTeam], AG$36, Table2[ActualResult], "SO") + SUMIFS(Table2[AwayWon], Table2[GameIsOver],1,Table2[HomeTeam],$A56, Table2[AwayTeam], AG$36, Table2[ActualResult], "SO")) / (2*(SUMIFS(Table2[AwayWon], Table2[GameIsOver],1,Table2[AwayTeam],$A56, Table2[HomeTeam], AG$36) + SUMIFS(Table2[HomeWon_], Table2[GameIsOver],1,Table2[HomeTeam],$A56, Table2[AwayTeam], AG$36) + SUMIFS(Table2[HomeWon_], Table2[GameIsOver],1,Table2[AwayTeam],$A56, Table2[HomeTeam], AG$36, Table2[ActualResult], "REG") + SUMIFS(Table2[AwayWon], Table2[GameIsOver],1,Table2[HomeTeam],$A56, Table2[AwayTeam], AG$36, Table2[ActualResult], "REG") + SUMIFS(Table2[HomeWon_], Table2[GameIsOver],1,Table2[AwayTeam],$A56, Table2[HomeTeam], AG$36, Table2[ActualResult], "OT") + SUMIFS(Table2[AwayWon], Table2[GameIsOver],1,Table2[HomeTeam],$A56, Table2[AwayTeam], AG$36, Table2[ActualResult], "OT") + SUMIFS(Table2[HomeWon_], Table2[GameIsOver],1,Table2[AwayTeam],$A56, Table2[HomeTeam], AG$36, Table2[ActualResult], "SO") + SUMIFS(Table2[AwayWon], Table2[GameIsOver],1,Table2[HomeTeam],$A56, Table2[AwayTeam], AG$36, Table2[ActualResult], "SO"))), "")</f>
        <v/>
      </c>
      <c r="AH56" s="101">
        <f t="shared" si="0"/>
        <v>0.5</v>
      </c>
      <c r="AI56" s="101">
        <f t="shared" si="1"/>
        <v>0.5</v>
      </c>
      <c r="AJ56" s="103">
        <f t="shared" si="2"/>
        <v>1</v>
      </c>
      <c r="AK56" s="103">
        <f t="shared" si="3"/>
        <v>0.25</v>
      </c>
      <c r="AL56" s="103">
        <f t="shared" si="4"/>
        <v>0.5</v>
      </c>
      <c r="AM56" s="103">
        <f t="shared" si="5"/>
        <v>0.5</v>
      </c>
    </row>
    <row r="57" spans="1:39" x14ac:dyDescent="0.25">
      <c r="A57" s="57" t="s">
        <v>19</v>
      </c>
      <c r="B57" s="24" t="str">
        <f>IFERROR(((2*SUMIFS(Table2[AwayWon], Table2[GameIsOver],1,Table2[AwayTeam],$A57, Table2[HomeTeam], B$36) + SUMIFS(Table2[HomeWon_], Table2[GameIsOver],1,Table2[HomeTeam],$A57, Table2[AwayTeam], B$36)) + SUMIFS(Table2[AwayWon], Table2[GameIsOver],1,Table2[HomeTeam],$A57, Table2[AwayTeam], B$36, Table2[ActualResult], "REG") + SUMIFS(Table2[HomeWon_], Table2[GameIsOver],1,Table2[AwayTeam],$A57, Table2[HomeTeam], B$36, Table2[ActualResult], "OT") + SUMIFS(Table2[AwayWon], Table2[GameIsOver],1,Table2[HomeTeam],$A57, Table2[AwayTeam], B$36, Table2[ActualResult], "OT") + SUMIFS(Table2[HomeWon_], Table2[GameIsOver],1,Table2[AwayTeam],$A57, Table2[HomeTeam], B$36, Table2[ActualResult], "SO") + SUMIFS(Table2[AwayWon], Table2[GameIsOver],1,Table2[HomeTeam],$A57, Table2[AwayTeam], B$36, Table2[ActualResult], "SO")) / (2*(SUMIFS(Table2[AwayWon], Table2[GameIsOver],1,Table2[AwayTeam],$A57, Table2[HomeTeam], B$36) + SUMIFS(Table2[HomeWon_], Table2[GameIsOver],1,Table2[HomeTeam],$A57, Table2[AwayTeam], B$36) + SUMIFS(Table2[HomeWon_], Table2[GameIsOver],1,Table2[AwayTeam],$A57, Table2[HomeTeam], B$36, Table2[ActualResult], "REG") + SUMIFS(Table2[AwayWon], Table2[GameIsOver],1,Table2[HomeTeam],$A57, Table2[AwayTeam], B$36, Table2[ActualResult], "REG") + SUMIFS(Table2[HomeWon_], Table2[GameIsOver],1,Table2[AwayTeam],$A57, Table2[HomeTeam], B$36, Table2[ActualResult], "OT") + SUMIFS(Table2[AwayWon], Table2[GameIsOver],1,Table2[HomeTeam],$A57, Table2[AwayTeam], B$36, Table2[ActualResult], "OT") + SUMIFS(Table2[HomeWon_], Table2[GameIsOver],1,Table2[AwayTeam],$A57, Table2[HomeTeam], B$36, Table2[ActualResult], "SO") + SUMIFS(Table2[AwayWon], Table2[GameIsOver],1,Table2[HomeTeam],$A57, Table2[AwayTeam], B$36, Table2[ActualResult], "SO"))), "")</f>
        <v/>
      </c>
      <c r="C57" s="24" t="str">
        <f>IFERROR(((2*SUMIFS(Table2[AwayWon], Table2[GameIsOver],1,Table2[AwayTeam],$A57, Table2[HomeTeam], C$36) + SUMIFS(Table2[HomeWon_], Table2[GameIsOver],1,Table2[HomeTeam],$A57, Table2[AwayTeam], C$36)) + SUMIFS(Table2[AwayWon], Table2[GameIsOver],1,Table2[HomeTeam],$A57, Table2[AwayTeam], C$36, Table2[ActualResult], "REG") + SUMIFS(Table2[HomeWon_], Table2[GameIsOver],1,Table2[AwayTeam],$A57, Table2[HomeTeam], C$36, Table2[ActualResult], "OT") + SUMIFS(Table2[AwayWon], Table2[GameIsOver],1,Table2[HomeTeam],$A57, Table2[AwayTeam], C$36, Table2[ActualResult], "OT") + SUMIFS(Table2[HomeWon_], Table2[GameIsOver],1,Table2[AwayTeam],$A57, Table2[HomeTeam], C$36, Table2[ActualResult], "SO") + SUMIFS(Table2[AwayWon], Table2[GameIsOver],1,Table2[HomeTeam],$A57, Table2[AwayTeam], C$36, Table2[ActualResult], "SO")) / (2*(SUMIFS(Table2[AwayWon], Table2[GameIsOver],1,Table2[AwayTeam],$A57, Table2[HomeTeam], C$36) + SUMIFS(Table2[HomeWon_], Table2[GameIsOver],1,Table2[HomeTeam],$A57, Table2[AwayTeam], C$36) + SUMIFS(Table2[HomeWon_], Table2[GameIsOver],1,Table2[AwayTeam],$A57, Table2[HomeTeam], C$36, Table2[ActualResult], "REG") + SUMIFS(Table2[AwayWon], Table2[GameIsOver],1,Table2[HomeTeam],$A57, Table2[AwayTeam], C$36, Table2[ActualResult], "REG") + SUMIFS(Table2[HomeWon_], Table2[GameIsOver],1,Table2[AwayTeam],$A57, Table2[HomeTeam], C$36, Table2[ActualResult], "OT") + SUMIFS(Table2[AwayWon], Table2[GameIsOver],1,Table2[HomeTeam],$A57, Table2[AwayTeam], C$36, Table2[ActualResult], "OT") + SUMIFS(Table2[HomeWon_], Table2[GameIsOver],1,Table2[AwayTeam],$A57, Table2[HomeTeam], C$36, Table2[ActualResult], "SO") + SUMIFS(Table2[AwayWon], Table2[GameIsOver],1,Table2[HomeTeam],$A57, Table2[AwayTeam], C$36, Table2[ActualResult], "SO"))), "")</f>
        <v/>
      </c>
      <c r="D57">
        <f>IFERROR(((2*SUMIFS(Table2[AwayWon], Table2[GameIsOver],1,Table2[AwayTeam],$A57, Table2[HomeTeam], D$36) + SUMIFS(Table2[HomeWon_], Table2[GameIsOver],1,Table2[HomeTeam],$A57, Table2[AwayTeam], D$36)) + SUMIFS(Table2[AwayWon], Table2[GameIsOver],1,Table2[HomeTeam],$A57, Table2[AwayTeam], D$36, Table2[ActualResult], "REG") + SUMIFS(Table2[HomeWon_], Table2[GameIsOver],1,Table2[AwayTeam],$A57, Table2[HomeTeam], D$36, Table2[ActualResult], "OT") + SUMIFS(Table2[AwayWon], Table2[GameIsOver],1,Table2[HomeTeam],$A57, Table2[AwayTeam], D$36, Table2[ActualResult], "OT") + SUMIFS(Table2[HomeWon_], Table2[GameIsOver],1,Table2[AwayTeam],$A57, Table2[HomeTeam], D$36, Table2[ActualResult], "SO") + SUMIFS(Table2[AwayWon], Table2[GameIsOver],1,Table2[HomeTeam],$A57, Table2[AwayTeam], D$36, Table2[ActualResult], "SO")) / (2*(SUMIFS(Table2[AwayWon], Table2[GameIsOver],1,Table2[AwayTeam],$A57, Table2[HomeTeam], D$36) + SUMIFS(Table2[HomeWon_], Table2[GameIsOver],1,Table2[HomeTeam],$A57, Table2[AwayTeam], D$36) + SUMIFS(Table2[HomeWon_], Table2[GameIsOver],1,Table2[AwayTeam],$A57, Table2[HomeTeam], D$36, Table2[ActualResult], "REG") + SUMIFS(Table2[AwayWon], Table2[GameIsOver],1,Table2[HomeTeam],$A57, Table2[AwayTeam], D$36, Table2[ActualResult], "REG") + SUMIFS(Table2[HomeWon_], Table2[GameIsOver],1,Table2[AwayTeam],$A57, Table2[HomeTeam], D$36, Table2[ActualResult], "OT") + SUMIFS(Table2[AwayWon], Table2[GameIsOver],1,Table2[HomeTeam],$A57, Table2[AwayTeam], D$36, Table2[ActualResult], "OT") + SUMIFS(Table2[HomeWon_], Table2[GameIsOver],1,Table2[AwayTeam],$A57, Table2[HomeTeam], D$36, Table2[ActualResult], "SO") + SUMIFS(Table2[AwayWon], Table2[GameIsOver],1,Table2[HomeTeam],$A57, Table2[AwayTeam], D$36, Table2[ActualResult], "SO"))), "")</f>
        <v>0.5</v>
      </c>
      <c r="E57" t="str">
        <f>IFERROR(((2*SUMIFS(Table2[AwayWon], Table2[GameIsOver],1,Table2[AwayTeam],$A57, Table2[HomeTeam], E$36) + SUMIFS(Table2[HomeWon_], Table2[GameIsOver],1,Table2[HomeTeam],$A57, Table2[AwayTeam], E$36)) + SUMIFS(Table2[AwayWon], Table2[GameIsOver],1,Table2[HomeTeam],$A57, Table2[AwayTeam], E$36, Table2[ActualResult], "REG") + SUMIFS(Table2[HomeWon_], Table2[GameIsOver],1,Table2[AwayTeam],$A57, Table2[HomeTeam], E$36, Table2[ActualResult], "OT") + SUMIFS(Table2[AwayWon], Table2[GameIsOver],1,Table2[HomeTeam],$A57, Table2[AwayTeam], E$36, Table2[ActualResult], "OT") + SUMIFS(Table2[HomeWon_], Table2[GameIsOver],1,Table2[AwayTeam],$A57, Table2[HomeTeam], E$36, Table2[ActualResult], "SO") + SUMIFS(Table2[AwayWon], Table2[GameIsOver],1,Table2[HomeTeam],$A57, Table2[AwayTeam], E$36, Table2[ActualResult], "SO")) / (2*(SUMIFS(Table2[AwayWon], Table2[GameIsOver],1,Table2[AwayTeam],$A57, Table2[HomeTeam], E$36) + SUMIFS(Table2[HomeWon_], Table2[GameIsOver],1,Table2[HomeTeam],$A57, Table2[AwayTeam], E$36) + SUMIFS(Table2[HomeWon_], Table2[GameIsOver],1,Table2[AwayTeam],$A57, Table2[HomeTeam], E$36, Table2[ActualResult], "REG") + SUMIFS(Table2[AwayWon], Table2[GameIsOver],1,Table2[HomeTeam],$A57, Table2[AwayTeam], E$36, Table2[ActualResult], "REG") + SUMIFS(Table2[HomeWon_], Table2[GameIsOver],1,Table2[AwayTeam],$A57, Table2[HomeTeam], E$36, Table2[ActualResult], "OT") + SUMIFS(Table2[AwayWon], Table2[GameIsOver],1,Table2[HomeTeam],$A57, Table2[AwayTeam], E$36, Table2[ActualResult], "OT") + SUMIFS(Table2[HomeWon_], Table2[GameIsOver],1,Table2[AwayTeam],$A57, Table2[HomeTeam], E$36, Table2[ActualResult], "SO") + SUMIFS(Table2[AwayWon], Table2[GameIsOver],1,Table2[HomeTeam],$A57, Table2[AwayTeam], E$36, Table2[ActualResult], "SO"))), "")</f>
        <v/>
      </c>
      <c r="F57" t="str">
        <f>IFERROR(((2*SUMIFS(Table2[AwayWon], Table2[GameIsOver],1,Table2[AwayTeam],$A57, Table2[HomeTeam], F$36) + SUMIFS(Table2[HomeWon_], Table2[GameIsOver],1,Table2[HomeTeam],$A57, Table2[AwayTeam], F$36)) + SUMIFS(Table2[AwayWon], Table2[GameIsOver],1,Table2[HomeTeam],$A57, Table2[AwayTeam], F$36, Table2[ActualResult], "REG") + SUMIFS(Table2[HomeWon_], Table2[GameIsOver],1,Table2[AwayTeam],$A57, Table2[HomeTeam], F$36, Table2[ActualResult], "OT") + SUMIFS(Table2[AwayWon], Table2[GameIsOver],1,Table2[HomeTeam],$A57, Table2[AwayTeam], F$36, Table2[ActualResult], "OT") + SUMIFS(Table2[HomeWon_], Table2[GameIsOver],1,Table2[AwayTeam],$A57, Table2[HomeTeam], F$36, Table2[ActualResult], "SO") + SUMIFS(Table2[AwayWon], Table2[GameIsOver],1,Table2[HomeTeam],$A57, Table2[AwayTeam], F$36, Table2[ActualResult], "SO")) / (2*(SUMIFS(Table2[AwayWon], Table2[GameIsOver],1,Table2[AwayTeam],$A57, Table2[HomeTeam], F$36) + SUMIFS(Table2[HomeWon_], Table2[GameIsOver],1,Table2[HomeTeam],$A57, Table2[AwayTeam], F$36) + SUMIFS(Table2[HomeWon_], Table2[GameIsOver],1,Table2[AwayTeam],$A57, Table2[HomeTeam], F$36, Table2[ActualResult], "REG") + SUMIFS(Table2[AwayWon], Table2[GameIsOver],1,Table2[HomeTeam],$A57, Table2[AwayTeam], F$36, Table2[ActualResult], "REG") + SUMIFS(Table2[HomeWon_], Table2[GameIsOver],1,Table2[AwayTeam],$A57, Table2[HomeTeam], F$36, Table2[ActualResult], "OT") + SUMIFS(Table2[AwayWon], Table2[GameIsOver],1,Table2[HomeTeam],$A57, Table2[AwayTeam], F$36, Table2[ActualResult], "OT") + SUMIFS(Table2[HomeWon_], Table2[GameIsOver],1,Table2[AwayTeam],$A57, Table2[HomeTeam], F$36, Table2[ActualResult], "SO") + SUMIFS(Table2[AwayWon], Table2[GameIsOver],1,Table2[HomeTeam],$A57, Table2[AwayTeam], F$36, Table2[ActualResult], "SO"))), "")</f>
        <v/>
      </c>
      <c r="G57" t="str">
        <f>IFERROR(((2*SUMIFS(Table2[AwayWon], Table2[GameIsOver],1,Table2[AwayTeam],$A57, Table2[HomeTeam], G$36) + SUMIFS(Table2[HomeWon_], Table2[GameIsOver],1,Table2[HomeTeam],$A57, Table2[AwayTeam], G$36)) + SUMIFS(Table2[AwayWon], Table2[GameIsOver],1,Table2[HomeTeam],$A57, Table2[AwayTeam], G$36, Table2[ActualResult], "REG") + SUMIFS(Table2[HomeWon_], Table2[GameIsOver],1,Table2[AwayTeam],$A57, Table2[HomeTeam], G$36, Table2[ActualResult], "OT") + SUMIFS(Table2[AwayWon], Table2[GameIsOver],1,Table2[HomeTeam],$A57, Table2[AwayTeam], G$36, Table2[ActualResult], "OT") + SUMIFS(Table2[HomeWon_], Table2[GameIsOver],1,Table2[AwayTeam],$A57, Table2[HomeTeam], G$36, Table2[ActualResult], "SO") + SUMIFS(Table2[AwayWon], Table2[GameIsOver],1,Table2[HomeTeam],$A57, Table2[AwayTeam], G$36, Table2[ActualResult], "SO")) / (2*(SUMIFS(Table2[AwayWon], Table2[GameIsOver],1,Table2[AwayTeam],$A57, Table2[HomeTeam], G$36) + SUMIFS(Table2[HomeWon_], Table2[GameIsOver],1,Table2[HomeTeam],$A57, Table2[AwayTeam], G$36) + SUMIFS(Table2[HomeWon_], Table2[GameIsOver],1,Table2[AwayTeam],$A57, Table2[HomeTeam], G$36, Table2[ActualResult], "REG") + SUMIFS(Table2[AwayWon], Table2[GameIsOver],1,Table2[HomeTeam],$A57, Table2[AwayTeam], G$36, Table2[ActualResult], "REG") + SUMIFS(Table2[HomeWon_], Table2[GameIsOver],1,Table2[AwayTeam],$A57, Table2[HomeTeam], G$36, Table2[ActualResult], "OT") + SUMIFS(Table2[AwayWon], Table2[GameIsOver],1,Table2[HomeTeam],$A57, Table2[AwayTeam], G$36, Table2[ActualResult], "OT") + SUMIFS(Table2[HomeWon_], Table2[GameIsOver],1,Table2[AwayTeam],$A57, Table2[HomeTeam], G$36, Table2[ActualResult], "SO") + SUMIFS(Table2[AwayWon], Table2[GameIsOver],1,Table2[HomeTeam],$A57, Table2[AwayTeam], G$36, Table2[ActualResult], "SO"))), "")</f>
        <v/>
      </c>
      <c r="H57" t="str">
        <f>IFERROR(((2*SUMIFS(Table2[AwayWon], Table2[GameIsOver],1,Table2[AwayTeam],$A57, Table2[HomeTeam], H$36) + SUMIFS(Table2[HomeWon_], Table2[GameIsOver],1,Table2[HomeTeam],$A57, Table2[AwayTeam], H$36)) + SUMIFS(Table2[AwayWon], Table2[GameIsOver],1,Table2[HomeTeam],$A57, Table2[AwayTeam], H$36, Table2[ActualResult], "REG") + SUMIFS(Table2[HomeWon_], Table2[GameIsOver],1,Table2[AwayTeam],$A57, Table2[HomeTeam], H$36, Table2[ActualResult], "OT") + SUMIFS(Table2[AwayWon], Table2[GameIsOver],1,Table2[HomeTeam],$A57, Table2[AwayTeam], H$36, Table2[ActualResult], "OT") + SUMIFS(Table2[HomeWon_], Table2[GameIsOver],1,Table2[AwayTeam],$A57, Table2[HomeTeam], H$36, Table2[ActualResult], "SO") + SUMIFS(Table2[AwayWon], Table2[GameIsOver],1,Table2[HomeTeam],$A57, Table2[AwayTeam], H$36, Table2[ActualResult], "SO")) / (2*(SUMIFS(Table2[AwayWon], Table2[GameIsOver],1,Table2[AwayTeam],$A57, Table2[HomeTeam], H$36) + SUMIFS(Table2[HomeWon_], Table2[GameIsOver],1,Table2[HomeTeam],$A57, Table2[AwayTeam], H$36) + SUMIFS(Table2[HomeWon_], Table2[GameIsOver],1,Table2[AwayTeam],$A57, Table2[HomeTeam], H$36, Table2[ActualResult], "REG") + SUMIFS(Table2[AwayWon], Table2[GameIsOver],1,Table2[HomeTeam],$A57, Table2[AwayTeam], H$36, Table2[ActualResult], "REG") + SUMIFS(Table2[HomeWon_], Table2[GameIsOver],1,Table2[AwayTeam],$A57, Table2[HomeTeam], H$36, Table2[ActualResult], "OT") + SUMIFS(Table2[AwayWon], Table2[GameIsOver],1,Table2[HomeTeam],$A57, Table2[AwayTeam], H$36, Table2[ActualResult], "OT") + SUMIFS(Table2[HomeWon_], Table2[GameIsOver],1,Table2[AwayTeam],$A57, Table2[HomeTeam], H$36, Table2[ActualResult], "SO") + SUMIFS(Table2[AwayWon], Table2[GameIsOver],1,Table2[HomeTeam],$A57, Table2[AwayTeam], H$36, Table2[ActualResult], "SO"))), "")</f>
        <v/>
      </c>
      <c r="I57" s="57" t="str">
        <f>IFERROR(((2*SUMIFS(Table2[AwayWon], Table2[GameIsOver],1,Table2[AwayTeam],$A57, Table2[HomeTeam], I$36) + SUMIFS(Table2[HomeWon_], Table2[GameIsOver],1,Table2[HomeTeam],$A57, Table2[AwayTeam], I$36)) + SUMIFS(Table2[AwayWon], Table2[GameIsOver],1,Table2[HomeTeam],$A57, Table2[AwayTeam], I$36, Table2[ActualResult], "REG") + SUMIFS(Table2[HomeWon_], Table2[GameIsOver],1,Table2[AwayTeam],$A57, Table2[HomeTeam], I$36, Table2[ActualResult], "OT") + SUMIFS(Table2[AwayWon], Table2[GameIsOver],1,Table2[HomeTeam],$A57, Table2[AwayTeam], I$36, Table2[ActualResult], "OT") + SUMIFS(Table2[HomeWon_], Table2[GameIsOver],1,Table2[AwayTeam],$A57, Table2[HomeTeam], I$36, Table2[ActualResult], "SO") + SUMIFS(Table2[AwayWon], Table2[GameIsOver],1,Table2[HomeTeam],$A57, Table2[AwayTeam], I$36, Table2[ActualResult], "SO")) / (2*(SUMIFS(Table2[AwayWon], Table2[GameIsOver],1,Table2[AwayTeam],$A57, Table2[HomeTeam], I$36) + SUMIFS(Table2[HomeWon_], Table2[GameIsOver],1,Table2[HomeTeam],$A57, Table2[AwayTeam], I$36) + SUMIFS(Table2[HomeWon_], Table2[GameIsOver],1,Table2[AwayTeam],$A57, Table2[HomeTeam], I$36, Table2[ActualResult], "REG") + SUMIFS(Table2[AwayWon], Table2[GameIsOver],1,Table2[HomeTeam],$A57, Table2[AwayTeam], I$36, Table2[ActualResult], "REG") + SUMIFS(Table2[HomeWon_], Table2[GameIsOver],1,Table2[AwayTeam],$A57, Table2[HomeTeam], I$36, Table2[ActualResult], "OT") + SUMIFS(Table2[AwayWon], Table2[GameIsOver],1,Table2[HomeTeam],$A57, Table2[AwayTeam], I$36, Table2[ActualResult], "OT") + SUMIFS(Table2[HomeWon_], Table2[GameIsOver],1,Table2[AwayTeam],$A57, Table2[HomeTeam], I$36, Table2[ActualResult], "SO") + SUMIFS(Table2[AwayWon], Table2[GameIsOver],1,Table2[HomeTeam],$A57, Table2[AwayTeam], I$36, Table2[ActualResult], "SO"))), "")</f>
        <v/>
      </c>
      <c r="J57" t="str">
        <f>IFERROR(((2*SUMIFS(Table2[AwayWon], Table2[GameIsOver],1,Table2[AwayTeam],$A57, Table2[HomeTeam], J$36) + SUMIFS(Table2[HomeWon_], Table2[GameIsOver],1,Table2[HomeTeam],$A57, Table2[AwayTeam], J$36)) + SUMIFS(Table2[AwayWon], Table2[GameIsOver],1,Table2[HomeTeam],$A57, Table2[AwayTeam], J$36, Table2[ActualResult], "REG") + SUMIFS(Table2[HomeWon_], Table2[GameIsOver],1,Table2[AwayTeam],$A57, Table2[HomeTeam], J$36, Table2[ActualResult], "OT") + SUMIFS(Table2[AwayWon], Table2[GameIsOver],1,Table2[HomeTeam],$A57, Table2[AwayTeam], J$36, Table2[ActualResult], "OT") + SUMIFS(Table2[HomeWon_], Table2[GameIsOver],1,Table2[AwayTeam],$A57, Table2[HomeTeam], J$36, Table2[ActualResult], "SO") + SUMIFS(Table2[AwayWon], Table2[GameIsOver],1,Table2[HomeTeam],$A57, Table2[AwayTeam], J$36, Table2[ActualResult], "SO")) / (2*(SUMIFS(Table2[AwayWon], Table2[GameIsOver],1,Table2[AwayTeam],$A57, Table2[HomeTeam], J$36) + SUMIFS(Table2[HomeWon_], Table2[GameIsOver],1,Table2[HomeTeam],$A57, Table2[AwayTeam], J$36) + SUMIFS(Table2[HomeWon_], Table2[GameIsOver],1,Table2[AwayTeam],$A57, Table2[HomeTeam], J$36, Table2[ActualResult], "REG") + SUMIFS(Table2[AwayWon], Table2[GameIsOver],1,Table2[HomeTeam],$A57, Table2[AwayTeam], J$36, Table2[ActualResult], "REG") + SUMIFS(Table2[HomeWon_], Table2[GameIsOver],1,Table2[AwayTeam],$A57, Table2[HomeTeam], J$36, Table2[ActualResult], "OT") + SUMIFS(Table2[AwayWon], Table2[GameIsOver],1,Table2[HomeTeam],$A57, Table2[AwayTeam], J$36, Table2[ActualResult], "OT") + SUMIFS(Table2[HomeWon_], Table2[GameIsOver],1,Table2[AwayTeam],$A57, Table2[HomeTeam], J$36, Table2[ActualResult], "SO") + SUMIFS(Table2[AwayWon], Table2[GameIsOver],1,Table2[HomeTeam],$A57, Table2[AwayTeam], J$36, Table2[ActualResult], "SO"))), "")</f>
        <v/>
      </c>
      <c r="K57" t="str">
        <f>IFERROR(((2*SUMIFS(Table2[AwayWon], Table2[GameIsOver],1,Table2[AwayTeam],$A57, Table2[HomeTeam], K$36) + SUMIFS(Table2[HomeWon_], Table2[GameIsOver],1,Table2[HomeTeam],$A57, Table2[AwayTeam], K$36)) + SUMIFS(Table2[AwayWon], Table2[GameIsOver],1,Table2[HomeTeam],$A57, Table2[AwayTeam], K$36, Table2[ActualResult], "REG") + SUMIFS(Table2[HomeWon_], Table2[GameIsOver],1,Table2[AwayTeam],$A57, Table2[HomeTeam], K$36, Table2[ActualResult], "OT") + SUMIFS(Table2[AwayWon], Table2[GameIsOver],1,Table2[HomeTeam],$A57, Table2[AwayTeam], K$36, Table2[ActualResult], "OT") + SUMIFS(Table2[HomeWon_], Table2[GameIsOver],1,Table2[AwayTeam],$A57, Table2[HomeTeam], K$36, Table2[ActualResult], "SO") + SUMIFS(Table2[AwayWon], Table2[GameIsOver],1,Table2[HomeTeam],$A57, Table2[AwayTeam], K$36, Table2[ActualResult], "SO")) / (2*(SUMIFS(Table2[AwayWon], Table2[GameIsOver],1,Table2[AwayTeam],$A57, Table2[HomeTeam], K$36) + SUMIFS(Table2[HomeWon_], Table2[GameIsOver],1,Table2[HomeTeam],$A57, Table2[AwayTeam], K$36) + SUMIFS(Table2[HomeWon_], Table2[GameIsOver],1,Table2[AwayTeam],$A57, Table2[HomeTeam], K$36, Table2[ActualResult], "REG") + SUMIFS(Table2[AwayWon], Table2[GameIsOver],1,Table2[HomeTeam],$A57, Table2[AwayTeam], K$36, Table2[ActualResult], "REG") + SUMIFS(Table2[HomeWon_], Table2[GameIsOver],1,Table2[AwayTeam],$A57, Table2[HomeTeam], K$36, Table2[ActualResult], "OT") + SUMIFS(Table2[AwayWon], Table2[GameIsOver],1,Table2[HomeTeam],$A57, Table2[AwayTeam], K$36, Table2[ActualResult], "OT") + SUMIFS(Table2[HomeWon_], Table2[GameIsOver],1,Table2[AwayTeam],$A57, Table2[HomeTeam], K$36, Table2[ActualResult], "SO") + SUMIFS(Table2[AwayWon], Table2[GameIsOver],1,Table2[HomeTeam],$A57, Table2[AwayTeam], K$36, Table2[ActualResult], "SO"))), "")</f>
        <v/>
      </c>
      <c r="L57" t="str">
        <f>IFERROR(((2*SUMIFS(Table2[AwayWon], Table2[GameIsOver],1,Table2[AwayTeam],$A57, Table2[HomeTeam], L$36) + SUMIFS(Table2[HomeWon_], Table2[GameIsOver],1,Table2[HomeTeam],$A57, Table2[AwayTeam], L$36)) + SUMIFS(Table2[AwayWon], Table2[GameIsOver],1,Table2[HomeTeam],$A57, Table2[AwayTeam], L$36, Table2[ActualResult], "REG") + SUMIFS(Table2[HomeWon_], Table2[GameIsOver],1,Table2[AwayTeam],$A57, Table2[HomeTeam], L$36, Table2[ActualResult], "OT") + SUMIFS(Table2[AwayWon], Table2[GameIsOver],1,Table2[HomeTeam],$A57, Table2[AwayTeam], L$36, Table2[ActualResult], "OT") + SUMIFS(Table2[HomeWon_], Table2[GameIsOver],1,Table2[AwayTeam],$A57, Table2[HomeTeam], L$36, Table2[ActualResult], "SO") + SUMIFS(Table2[AwayWon], Table2[GameIsOver],1,Table2[HomeTeam],$A57, Table2[AwayTeam], L$36, Table2[ActualResult], "SO")) / (2*(SUMIFS(Table2[AwayWon], Table2[GameIsOver],1,Table2[AwayTeam],$A57, Table2[HomeTeam], L$36) + SUMIFS(Table2[HomeWon_], Table2[GameIsOver],1,Table2[HomeTeam],$A57, Table2[AwayTeam], L$36) + SUMIFS(Table2[HomeWon_], Table2[GameIsOver],1,Table2[AwayTeam],$A57, Table2[HomeTeam], L$36, Table2[ActualResult], "REG") + SUMIFS(Table2[AwayWon], Table2[GameIsOver],1,Table2[HomeTeam],$A57, Table2[AwayTeam], L$36, Table2[ActualResult], "REG") + SUMIFS(Table2[HomeWon_], Table2[GameIsOver],1,Table2[AwayTeam],$A57, Table2[HomeTeam], L$36, Table2[ActualResult], "OT") + SUMIFS(Table2[AwayWon], Table2[GameIsOver],1,Table2[HomeTeam],$A57, Table2[AwayTeam], L$36, Table2[ActualResult], "OT") + SUMIFS(Table2[HomeWon_], Table2[GameIsOver],1,Table2[AwayTeam],$A57, Table2[HomeTeam], L$36, Table2[ActualResult], "SO") + SUMIFS(Table2[AwayWon], Table2[GameIsOver],1,Table2[HomeTeam],$A57, Table2[AwayTeam], L$36, Table2[ActualResult], "SO"))), "")</f>
        <v/>
      </c>
      <c r="M57">
        <f>IFERROR(((2*SUMIFS(Table2[AwayWon], Table2[GameIsOver],1,Table2[AwayTeam],$A57, Table2[HomeTeam], M$36) + SUMIFS(Table2[HomeWon_], Table2[GameIsOver],1,Table2[HomeTeam],$A57, Table2[AwayTeam], M$36)) + SUMIFS(Table2[AwayWon], Table2[GameIsOver],1,Table2[HomeTeam],$A57, Table2[AwayTeam], M$36, Table2[ActualResult], "REG") + SUMIFS(Table2[HomeWon_], Table2[GameIsOver],1,Table2[AwayTeam],$A57, Table2[HomeTeam], M$36, Table2[ActualResult], "OT") + SUMIFS(Table2[AwayWon], Table2[GameIsOver],1,Table2[HomeTeam],$A57, Table2[AwayTeam], M$36, Table2[ActualResult], "OT") + SUMIFS(Table2[HomeWon_], Table2[GameIsOver],1,Table2[AwayTeam],$A57, Table2[HomeTeam], M$36, Table2[ActualResult], "SO") + SUMIFS(Table2[AwayWon], Table2[GameIsOver],1,Table2[HomeTeam],$A57, Table2[AwayTeam], M$36, Table2[ActualResult], "SO")) / (2*(SUMIFS(Table2[AwayWon], Table2[GameIsOver],1,Table2[AwayTeam],$A57, Table2[HomeTeam], M$36) + SUMIFS(Table2[HomeWon_], Table2[GameIsOver],1,Table2[HomeTeam],$A57, Table2[AwayTeam], M$36) + SUMIFS(Table2[HomeWon_], Table2[GameIsOver],1,Table2[AwayTeam],$A57, Table2[HomeTeam], M$36, Table2[ActualResult], "REG") + SUMIFS(Table2[AwayWon], Table2[GameIsOver],1,Table2[HomeTeam],$A57, Table2[AwayTeam], M$36, Table2[ActualResult], "REG") + SUMIFS(Table2[HomeWon_], Table2[GameIsOver],1,Table2[AwayTeam],$A57, Table2[HomeTeam], M$36, Table2[ActualResult], "OT") + SUMIFS(Table2[AwayWon], Table2[GameIsOver],1,Table2[HomeTeam],$A57, Table2[AwayTeam], M$36, Table2[ActualResult], "OT") + SUMIFS(Table2[HomeWon_], Table2[GameIsOver],1,Table2[AwayTeam],$A57, Table2[HomeTeam], M$36, Table2[ActualResult], "SO") + SUMIFS(Table2[AwayWon], Table2[GameIsOver],1,Table2[HomeTeam],$A57, Table2[AwayTeam], M$36, Table2[ActualResult], "SO"))), "")</f>
        <v>0.5</v>
      </c>
      <c r="N57" t="str">
        <f>IFERROR(((2*SUMIFS(Table2[AwayWon], Table2[GameIsOver],1,Table2[AwayTeam],$A57, Table2[HomeTeam], N$36) + SUMIFS(Table2[HomeWon_], Table2[GameIsOver],1,Table2[HomeTeam],$A57, Table2[AwayTeam], N$36)) + SUMIFS(Table2[AwayWon], Table2[GameIsOver],1,Table2[HomeTeam],$A57, Table2[AwayTeam], N$36, Table2[ActualResult], "REG") + SUMIFS(Table2[HomeWon_], Table2[GameIsOver],1,Table2[AwayTeam],$A57, Table2[HomeTeam], N$36, Table2[ActualResult], "OT") + SUMIFS(Table2[AwayWon], Table2[GameIsOver],1,Table2[HomeTeam],$A57, Table2[AwayTeam], N$36, Table2[ActualResult], "OT") + SUMIFS(Table2[HomeWon_], Table2[GameIsOver],1,Table2[AwayTeam],$A57, Table2[HomeTeam], N$36, Table2[ActualResult], "SO") + SUMIFS(Table2[AwayWon], Table2[GameIsOver],1,Table2[HomeTeam],$A57, Table2[AwayTeam], N$36, Table2[ActualResult], "SO")) / (2*(SUMIFS(Table2[AwayWon], Table2[GameIsOver],1,Table2[AwayTeam],$A57, Table2[HomeTeam], N$36) + SUMIFS(Table2[HomeWon_], Table2[GameIsOver],1,Table2[HomeTeam],$A57, Table2[AwayTeam], N$36) + SUMIFS(Table2[HomeWon_], Table2[GameIsOver],1,Table2[AwayTeam],$A57, Table2[HomeTeam], N$36, Table2[ActualResult], "REG") + SUMIFS(Table2[AwayWon], Table2[GameIsOver],1,Table2[HomeTeam],$A57, Table2[AwayTeam], N$36, Table2[ActualResult], "REG") + SUMIFS(Table2[HomeWon_], Table2[GameIsOver],1,Table2[AwayTeam],$A57, Table2[HomeTeam], N$36, Table2[ActualResult], "OT") + SUMIFS(Table2[AwayWon], Table2[GameIsOver],1,Table2[HomeTeam],$A57, Table2[AwayTeam], N$36, Table2[ActualResult], "OT") + SUMIFS(Table2[HomeWon_], Table2[GameIsOver],1,Table2[AwayTeam],$A57, Table2[HomeTeam], N$36, Table2[ActualResult], "SO") + SUMIFS(Table2[AwayWon], Table2[GameIsOver],1,Table2[HomeTeam],$A57, Table2[AwayTeam], N$36, Table2[ActualResult], "SO"))), "")</f>
        <v/>
      </c>
      <c r="O57" t="str">
        <f>IFERROR(((2*SUMIFS(Table2[AwayWon], Table2[GameIsOver],1,Table2[AwayTeam],$A57, Table2[HomeTeam], O$36) + SUMIFS(Table2[HomeWon_], Table2[GameIsOver],1,Table2[HomeTeam],$A57, Table2[AwayTeam], O$36)) + SUMIFS(Table2[AwayWon], Table2[GameIsOver],1,Table2[HomeTeam],$A57, Table2[AwayTeam], O$36, Table2[ActualResult], "REG") + SUMIFS(Table2[HomeWon_], Table2[GameIsOver],1,Table2[AwayTeam],$A57, Table2[HomeTeam], O$36, Table2[ActualResult], "OT") + SUMIFS(Table2[AwayWon], Table2[GameIsOver],1,Table2[HomeTeam],$A57, Table2[AwayTeam], O$36, Table2[ActualResult], "OT") + SUMIFS(Table2[HomeWon_], Table2[GameIsOver],1,Table2[AwayTeam],$A57, Table2[HomeTeam], O$36, Table2[ActualResult], "SO") + SUMIFS(Table2[AwayWon], Table2[GameIsOver],1,Table2[HomeTeam],$A57, Table2[AwayTeam], O$36, Table2[ActualResult], "SO")) / (2*(SUMIFS(Table2[AwayWon], Table2[GameIsOver],1,Table2[AwayTeam],$A57, Table2[HomeTeam], O$36) + SUMIFS(Table2[HomeWon_], Table2[GameIsOver],1,Table2[HomeTeam],$A57, Table2[AwayTeam], O$36) + SUMIFS(Table2[HomeWon_], Table2[GameIsOver],1,Table2[AwayTeam],$A57, Table2[HomeTeam], O$36, Table2[ActualResult], "REG") + SUMIFS(Table2[AwayWon], Table2[GameIsOver],1,Table2[HomeTeam],$A57, Table2[AwayTeam], O$36, Table2[ActualResult], "REG") + SUMIFS(Table2[HomeWon_], Table2[GameIsOver],1,Table2[AwayTeam],$A57, Table2[HomeTeam], O$36, Table2[ActualResult], "OT") + SUMIFS(Table2[AwayWon], Table2[GameIsOver],1,Table2[HomeTeam],$A57, Table2[AwayTeam], O$36, Table2[ActualResult], "OT") + SUMIFS(Table2[HomeWon_], Table2[GameIsOver],1,Table2[AwayTeam],$A57, Table2[HomeTeam], O$36, Table2[ActualResult], "SO") + SUMIFS(Table2[AwayWon], Table2[GameIsOver],1,Table2[HomeTeam],$A57, Table2[AwayTeam], O$36, Table2[ActualResult], "SO"))), "")</f>
        <v/>
      </c>
      <c r="P57" t="str">
        <f>IFERROR(((2*SUMIFS(Table2[AwayWon], Table2[GameIsOver],1,Table2[AwayTeam],$A57, Table2[HomeTeam], P$36) + SUMIFS(Table2[HomeWon_], Table2[GameIsOver],1,Table2[HomeTeam],$A57, Table2[AwayTeam], P$36)) + SUMIFS(Table2[AwayWon], Table2[GameIsOver],1,Table2[HomeTeam],$A57, Table2[AwayTeam], P$36, Table2[ActualResult], "REG") + SUMIFS(Table2[HomeWon_], Table2[GameIsOver],1,Table2[AwayTeam],$A57, Table2[HomeTeam], P$36, Table2[ActualResult], "OT") + SUMIFS(Table2[AwayWon], Table2[GameIsOver],1,Table2[HomeTeam],$A57, Table2[AwayTeam], P$36, Table2[ActualResult], "OT") + SUMIFS(Table2[HomeWon_], Table2[GameIsOver],1,Table2[AwayTeam],$A57, Table2[HomeTeam], P$36, Table2[ActualResult], "SO") + SUMIFS(Table2[AwayWon], Table2[GameIsOver],1,Table2[HomeTeam],$A57, Table2[AwayTeam], P$36, Table2[ActualResult], "SO")) / (2*(SUMIFS(Table2[AwayWon], Table2[GameIsOver],1,Table2[AwayTeam],$A57, Table2[HomeTeam], P$36) + SUMIFS(Table2[HomeWon_], Table2[GameIsOver],1,Table2[HomeTeam],$A57, Table2[AwayTeam], P$36) + SUMIFS(Table2[HomeWon_], Table2[GameIsOver],1,Table2[AwayTeam],$A57, Table2[HomeTeam], P$36, Table2[ActualResult], "REG") + SUMIFS(Table2[AwayWon], Table2[GameIsOver],1,Table2[HomeTeam],$A57, Table2[AwayTeam], P$36, Table2[ActualResult], "REG") + SUMIFS(Table2[HomeWon_], Table2[GameIsOver],1,Table2[AwayTeam],$A57, Table2[HomeTeam], P$36, Table2[ActualResult], "OT") + SUMIFS(Table2[AwayWon], Table2[GameIsOver],1,Table2[HomeTeam],$A57, Table2[AwayTeam], P$36, Table2[ActualResult], "OT") + SUMIFS(Table2[HomeWon_], Table2[GameIsOver],1,Table2[AwayTeam],$A57, Table2[HomeTeam], P$36, Table2[ActualResult], "SO") + SUMIFS(Table2[AwayWon], Table2[GameIsOver],1,Table2[HomeTeam],$A57, Table2[AwayTeam], P$36, Table2[ActualResult], "SO"))), "")</f>
        <v/>
      </c>
      <c r="Q57" s="57" t="str">
        <f>IFERROR(((2*SUMIFS(Table2[AwayWon], Table2[GameIsOver],1,Table2[AwayTeam],$A57, Table2[HomeTeam], Q$36) + SUMIFS(Table2[HomeWon_], Table2[GameIsOver],1,Table2[HomeTeam],$A57, Table2[AwayTeam], Q$36)) + SUMIFS(Table2[AwayWon], Table2[GameIsOver],1,Table2[HomeTeam],$A57, Table2[AwayTeam], Q$36, Table2[ActualResult], "REG") + SUMIFS(Table2[HomeWon_], Table2[GameIsOver],1,Table2[AwayTeam],$A57, Table2[HomeTeam], Q$36, Table2[ActualResult], "OT") + SUMIFS(Table2[AwayWon], Table2[GameIsOver],1,Table2[HomeTeam],$A57, Table2[AwayTeam], Q$36, Table2[ActualResult], "OT") + SUMIFS(Table2[HomeWon_], Table2[GameIsOver],1,Table2[AwayTeam],$A57, Table2[HomeTeam], Q$36, Table2[ActualResult], "SO") + SUMIFS(Table2[AwayWon], Table2[GameIsOver],1,Table2[HomeTeam],$A57, Table2[AwayTeam], Q$36, Table2[ActualResult], "SO")) / (2*(SUMIFS(Table2[AwayWon], Table2[GameIsOver],1,Table2[AwayTeam],$A57, Table2[HomeTeam], Q$36) + SUMIFS(Table2[HomeWon_], Table2[GameIsOver],1,Table2[HomeTeam],$A57, Table2[AwayTeam], Q$36) + SUMIFS(Table2[HomeWon_], Table2[GameIsOver],1,Table2[AwayTeam],$A57, Table2[HomeTeam], Q$36, Table2[ActualResult], "REG") + SUMIFS(Table2[AwayWon], Table2[GameIsOver],1,Table2[HomeTeam],$A57, Table2[AwayTeam], Q$36, Table2[ActualResult], "REG") + SUMIFS(Table2[HomeWon_], Table2[GameIsOver],1,Table2[AwayTeam],$A57, Table2[HomeTeam], Q$36, Table2[ActualResult], "OT") + SUMIFS(Table2[AwayWon], Table2[GameIsOver],1,Table2[HomeTeam],$A57, Table2[AwayTeam], Q$36, Table2[ActualResult], "OT") + SUMIFS(Table2[HomeWon_], Table2[GameIsOver],1,Table2[AwayTeam],$A57, Table2[HomeTeam], Q$36, Table2[ActualResult], "SO") + SUMIFS(Table2[AwayWon], Table2[GameIsOver],1,Table2[HomeTeam],$A57, Table2[AwayTeam], Q$36, Table2[ActualResult], "SO"))), "")</f>
        <v/>
      </c>
      <c r="R57" t="str">
        <f>IFERROR(((2*SUMIFS(Table2[AwayWon], Table2[GameIsOver],1,Table2[AwayTeam],$A57, Table2[HomeTeam], R$36) + SUMIFS(Table2[HomeWon_], Table2[GameIsOver],1,Table2[HomeTeam],$A57, Table2[AwayTeam], R$36)) + SUMIFS(Table2[AwayWon], Table2[GameIsOver],1,Table2[HomeTeam],$A57, Table2[AwayTeam], R$36, Table2[ActualResult], "REG") + SUMIFS(Table2[HomeWon_], Table2[GameIsOver],1,Table2[AwayTeam],$A57, Table2[HomeTeam], R$36, Table2[ActualResult], "OT") + SUMIFS(Table2[AwayWon], Table2[GameIsOver],1,Table2[HomeTeam],$A57, Table2[AwayTeam], R$36, Table2[ActualResult], "OT") + SUMIFS(Table2[HomeWon_], Table2[GameIsOver],1,Table2[AwayTeam],$A57, Table2[HomeTeam], R$36, Table2[ActualResult], "SO") + SUMIFS(Table2[AwayWon], Table2[GameIsOver],1,Table2[HomeTeam],$A57, Table2[AwayTeam], R$36, Table2[ActualResult], "SO")) / (2*(SUMIFS(Table2[AwayWon], Table2[GameIsOver],1,Table2[AwayTeam],$A57, Table2[HomeTeam], R$36) + SUMIFS(Table2[HomeWon_], Table2[GameIsOver],1,Table2[HomeTeam],$A57, Table2[AwayTeam], R$36) + SUMIFS(Table2[HomeWon_], Table2[GameIsOver],1,Table2[AwayTeam],$A57, Table2[HomeTeam], R$36, Table2[ActualResult], "REG") + SUMIFS(Table2[AwayWon], Table2[GameIsOver],1,Table2[HomeTeam],$A57, Table2[AwayTeam], R$36, Table2[ActualResult], "REG") + SUMIFS(Table2[HomeWon_], Table2[GameIsOver],1,Table2[AwayTeam],$A57, Table2[HomeTeam], R$36, Table2[ActualResult], "OT") + SUMIFS(Table2[AwayWon], Table2[GameIsOver],1,Table2[HomeTeam],$A57, Table2[AwayTeam], R$36, Table2[ActualResult], "OT") + SUMIFS(Table2[HomeWon_], Table2[GameIsOver],1,Table2[AwayTeam],$A57, Table2[HomeTeam], R$36, Table2[ActualResult], "SO") + SUMIFS(Table2[AwayWon], Table2[GameIsOver],1,Table2[HomeTeam],$A57, Table2[AwayTeam], R$36, Table2[ActualResult], "SO"))), "")</f>
        <v/>
      </c>
      <c r="S57" t="str">
        <f>IFERROR(((2*SUMIFS(Table2[AwayWon], Table2[GameIsOver],1,Table2[AwayTeam],$A57, Table2[HomeTeam], S$36) + SUMIFS(Table2[HomeWon_], Table2[GameIsOver],1,Table2[HomeTeam],$A57, Table2[AwayTeam], S$36)) + SUMIFS(Table2[AwayWon], Table2[GameIsOver],1,Table2[HomeTeam],$A57, Table2[AwayTeam], S$36, Table2[ActualResult], "REG") + SUMIFS(Table2[HomeWon_], Table2[GameIsOver],1,Table2[AwayTeam],$A57, Table2[HomeTeam], S$36, Table2[ActualResult], "OT") + SUMIFS(Table2[AwayWon], Table2[GameIsOver],1,Table2[HomeTeam],$A57, Table2[AwayTeam], S$36, Table2[ActualResult], "OT") + SUMIFS(Table2[HomeWon_], Table2[GameIsOver],1,Table2[AwayTeam],$A57, Table2[HomeTeam], S$36, Table2[ActualResult], "SO") + SUMIFS(Table2[AwayWon], Table2[GameIsOver],1,Table2[HomeTeam],$A57, Table2[AwayTeam], S$36, Table2[ActualResult], "SO")) / (2*(SUMIFS(Table2[AwayWon], Table2[GameIsOver],1,Table2[AwayTeam],$A57, Table2[HomeTeam], S$36) + SUMIFS(Table2[HomeWon_], Table2[GameIsOver],1,Table2[HomeTeam],$A57, Table2[AwayTeam], S$36) + SUMIFS(Table2[HomeWon_], Table2[GameIsOver],1,Table2[AwayTeam],$A57, Table2[HomeTeam], S$36, Table2[ActualResult], "REG") + SUMIFS(Table2[AwayWon], Table2[GameIsOver],1,Table2[HomeTeam],$A57, Table2[AwayTeam], S$36, Table2[ActualResult], "REG") + SUMIFS(Table2[HomeWon_], Table2[GameIsOver],1,Table2[AwayTeam],$A57, Table2[HomeTeam], S$36, Table2[ActualResult], "OT") + SUMIFS(Table2[AwayWon], Table2[GameIsOver],1,Table2[HomeTeam],$A57, Table2[AwayTeam], S$36, Table2[ActualResult], "OT") + SUMIFS(Table2[HomeWon_], Table2[GameIsOver],1,Table2[AwayTeam],$A57, Table2[HomeTeam], S$36, Table2[ActualResult], "SO") + SUMIFS(Table2[AwayWon], Table2[GameIsOver],1,Table2[HomeTeam],$A57, Table2[AwayTeam], S$36, Table2[ActualResult], "SO"))), "")</f>
        <v/>
      </c>
      <c r="T57" t="str">
        <f>IFERROR(((2*SUMIFS(Table2[AwayWon], Table2[GameIsOver],1,Table2[AwayTeam],$A57, Table2[HomeTeam], T$36) + SUMIFS(Table2[HomeWon_], Table2[GameIsOver],1,Table2[HomeTeam],$A57, Table2[AwayTeam], T$36)) + SUMIFS(Table2[AwayWon], Table2[GameIsOver],1,Table2[HomeTeam],$A57, Table2[AwayTeam], T$36, Table2[ActualResult], "REG") + SUMIFS(Table2[HomeWon_], Table2[GameIsOver],1,Table2[AwayTeam],$A57, Table2[HomeTeam], T$36, Table2[ActualResult], "OT") + SUMIFS(Table2[AwayWon], Table2[GameIsOver],1,Table2[HomeTeam],$A57, Table2[AwayTeam], T$36, Table2[ActualResult], "OT") + SUMIFS(Table2[HomeWon_], Table2[GameIsOver],1,Table2[AwayTeam],$A57, Table2[HomeTeam], T$36, Table2[ActualResult], "SO") + SUMIFS(Table2[AwayWon], Table2[GameIsOver],1,Table2[HomeTeam],$A57, Table2[AwayTeam], T$36, Table2[ActualResult], "SO")) / (2*(SUMIFS(Table2[AwayWon], Table2[GameIsOver],1,Table2[AwayTeam],$A57, Table2[HomeTeam], T$36) + SUMIFS(Table2[HomeWon_], Table2[GameIsOver],1,Table2[HomeTeam],$A57, Table2[AwayTeam], T$36) + SUMIFS(Table2[HomeWon_], Table2[GameIsOver],1,Table2[AwayTeam],$A57, Table2[HomeTeam], T$36, Table2[ActualResult], "REG") + SUMIFS(Table2[AwayWon], Table2[GameIsOver],1,Table2[HomeTeam],$A57, Table2[AwayTeam], T$36, Table2[ActualResult], "REG") + SUMIFS(Table2[HomeWon_], Table2[GameIsOver],1,Table2[AwayTeam],$A57, Table2[HomeTeam], T$36, Table2[ActualResult], "OT") + SUMIFS(Table2[AwayWon], Table2[GameIsOver],1,Table2[HomeTeam],$A57, Table2[AwayTeam], T$36, Table2[ActualResult], "OT") + SUMIFS(Table2[HomeWon_], Table2[GameIsOver],1,Table2[AwayTeam],$A57, Table2[HomeTeam], T$36, Table2[ActualResult], "SO") + SUMIFS(Table2[AwayWon], Table2[GameIsOver],1,Table2[HomeTeam],$A57, Table2[AwayTeam], T$36, Table2[ActualResult], "SO"))), "")</f>
        <v/>
      </c>
      <c r="U57" t="str">
        <f>IFERROR(((2*SUMIFS(Table2[AwayWon], Table2[GameIsOver],1,Table2[AwayTeam],$A57, Table2[HomeTeam], U$36) + SUMIFS(Table2[HomeWon_], Table2[GameIsOver],1,Table2[HomeTeam],$A57, Table2[AwayTeam], U$36)) + SUMIFS(Table2[AwayWon], Table2[GameIsOver],1,Table2[HomeTeam],$A57, Table2[AwayTeam], U$36, Table2[ActualResult], "REG") + SUMIFS(Table2[HomeWon_], Table2[GameIsOver],1,Table2[AwayTeam],$A57, Table2[HomeTeam], U$36, Table2[ActualResult], "OT") + SUMIFS(Table2[AwayWon], Table2[GameIsOver],1,Table2[HomeTeam],$A57, Table2[AwayTeam], U$36, Table2[ActualResult], "OT") + SUMIFS(Table2[HomeWon_], Table2[GameIsOver],1,Table2[AwayTeam],$A57, Table2[HomeTeam], U$36, Table2[ActualResult], "SO") + SUMIFS(Table2[AwayWon], Table2[GameIsOver],1,Table2[HomeTeam],$A57, Table2[AwayTeam], U$36, Table2[ActualResult], "SO")) / (2*(SUMIFS(Table2[AwayWon], Table2[GameIsOver],1,Table2[AwayTeam],$A57, Table2[HomeTeam], U$36) + SUMIFS(Table2[HomeWon_], Table2[GameIsOver],1,Table2[HomeTeam],$A57, Table2[AwayTeam], U$36) + SUMIFS(Table2[HomeWon_], Table2[GameIsOver],1,Table2[AwayTeam],$A57, Table2[HomeTeam], U$36, Table2[ActualResult], "REG") + SUMIFS(Table2[AwayWon], Table2[GameIsOver],1,Table2[HomeTeam],$A57, Table2[AwayTeam], U$36, Table2[ActualResult], "REG") + SUMIFS(Table2[HomeWon_], Table2[GameIsOver],1,Table2[AwayTeam],$A57, Table2[HomeTeam], U$36, Table2[ActualResult], "OT") + SUMIFS(Table2[AwayWon], Table2[GameIsOver],1,Table2[HomeTeam],$A57, Table2[AwayTeam], U$36, Table2[ActualResult], "OT") + SUMIFS(Table2[HomeWon_], Table2[GameIsOver],1,Table2[AwayTeam],$A57, Table2[HomeTeam], U$36, Table2[ActualResult], "SO") + SUMIFS(Table2[AwayWon], Table2[GameIsOver],1,Table2[HomeTeam],$A57, Table2[AwayTeam], U$36, Table2[ActualResult], "SO"))), "")</f>
        <v/>
      </c>
      <c r="V57" s="98" t="str">
        <f>IFERROR(((2*SUMIFS(Table2[AwayWon], Table2[GameIsOver],1,Table2[AwayTeam],$A57, Table2[HomeTeam], V$36) + SUMIFS(Table2[HomeWon_], Table2[GameIsOver],1,Table2[HomeTeam],$A57, Table2[AwayTeam], V$36)) + SUMIFS(Table2[AwayWon], Table2[GameIsOver],1,Table2[HomeTeam],$A57, Table2[AwayTeam], V$36, Table2[ActualResult], "REG") + SUMIFS(Table2[HomeWon_], Table2[GameIsOver],1,Table2[AwayTeam],$A57, Table2[HomeTeam], V$36, Table2[ActualResult], "OT") + SUMIFS(Table2[AwayWon], Table2[GameIsOver],1,Table2[HomeTeam],$A57, Table2[AwayTeam], V$36, Table2[ActualResult], "OT") + SUMIFS(Table2[HomeWon_], Table2[GameIsOver],1,Table2[AwayTeam],$A57, Table2[HomeTeam], V$36, Table2[ActualResult], "SO") + SUMIFS(Table2[AwayWon], Table2[GameIsOver],1,Table2[HomeTeam],$A57, Table2[AwayTeam], V$36, Table2[ActualResult], "SO")) / (2*(SUMIFS(Table2[AwayWon], Table2[GameIsOver],1,Table2[AwayTeam],$A57, Table2[HomeTeam], V$36) + SUMIFS(Table2[HomeWon_], Table2[GameIsOver],1,Table2[HomeTeam],$A57, Table2[AwayTeam], V$36) + SUMIFS(Table2[HomeWon_], Table2[GameIsOver],1,Table2[AwayTeam],$A57, Table2[HomeTeam], V$36, Table2[ActualResult], "REG") + SUMIFS(Table2[AwayWon], Table2[GameIsOver],1,Table2[HomeTeam],$A57, Table2[AwayTeam], V$36, Table2[ActualResult], "REG") + SUMIFS(Table2[HomeWon_], Table2[GameIsOver],1,Table2[AwayTeam],$A57, Table2[HomeTeam], V$36, Table2[ActualResult], "OT") + SUMIFS(Table2[AwayWon], Table2[GameIsOver],1,Table2[HomeTeam],$A57, Table2[AwayTeam], V$36, Table2[ActualResult], "OT") + SUMIFS(Table2[HomeWon_], Table2[GameIsOver],1,Table2[AwayTeam],$A57, Table2[HomeTeam], V$36, Table2[ActualResult], "SO") + SUMIFS(Table2[AwayWon], Table2[GameIsOver],1,Table2[HomeTeam],$A57, Table2[AwayTeam], V$36, Table2[ActualResult], "SO"))), "")</f>
        <v/>
      </c>
      <c r="W57" s="98" t="str">
        <f>IFERROR(((2*SUMIFS(Table2[AwayWon], Table2[GameIsOver],1,Table2[AwayTeam],$A57, Table2[HomeTeam], W$36) + SUMIFS(Table2[HomeWon_], Table2[GameIsOver],1,Table2[HomeTeam],$A57, Table2[AwayTeam], W$36)) + SUMIFS(Table2[AwayWon], Table2[GameIsOver],1,Table2[HomeTeam],$A57, Table2[AwayTeam], W$36, Table2[ActualResult], "REG") + SUMIFS(Table2[HomeWon_], Table2[GameIsOver],1,Table2[AwayTeam],$A57, Table2[HomeTeam], W$36, Table2[ActualResult], "OT") + SUMIFS(Table2[AwayWon], Table2[GameIsOver],1,Table2[HomeTeam],$A57, Table2[AwayTeam], W$36, Table2[ActualResult], "OT") + SUMIFS(Table2[HomeWon_], Table2[GameIsOver],1,Table2[AwayTeam],$A57, Table2[HomeTeam], W$36, Table2[ActualResult], "SO") + SUMIFS(Table2[AwayWon], Table2[GameIsOver],1,Table2[HomeTeam],$A57, Table2[AwayTeam], W$36, Table2[ActualResult], "SO")) / (2*(SUMIFS(Table2[AwayWon], Table2[GameIsOver],1,Table2[AwayTeam],$A57, Table2[HomeTeam], W$36) + SUMIFS(Table2[HomeWon_], Table2[GameIsOver],1,Table2[HomeTeam],$A57, Table2[AwayTeam], W$36) + SUMIFS(Table2[HomeWon_], Table2[GameIsOver],1,Table2[AwayTeam],$A57, Table2[HomeTeam], W$36, Table2[ActualResult], "REG") + SUMIFS(Table2[AwayWon], Table2[GameIsOver],1,Table2[HomeTeam],$A57, Table2[AwayTeam], W$36, Table2[ActualResult], "REG") + SUMIFS(Table2[HomeWon_], Table2[GameIsOver],1,Table2[AwayTeam],$A57, Table2[HomeTeam], W$36, Table2[ActualResult], "OT") + SUMIFS(Table2[AwayWon], Table2[GameIsOver],1,Table2[HomeTeam],$A57, Table2[AwayTeam], W$36, Table2[ActualResult], "OT") + SUMIFS(Table2[HomeWon_], Table2[GameIsOver],1,Table2[AwayTeam],$A57, Table2[HomeTeam], W$36, Table2[ActualResult], "SO") + SUMIFS(Table2[AwayWon], Table2[GameIsOver],1,Table2[HomeTeam],$A57, Table2[AwayTeam], W$36, Table2[ActualResult], "SO"))), "")</f>
        <v/>
      </c>
      <c r="X57">
        <f>IFERROR(((2*SUMIFS(Table2[AwayWon], Table2[GameIsOver],1,Table2[AwayTeam],$A57, Table2[HomeTeam], X$36) + SUMIFS(Table2[HomeWon_], Table2[GameIsOver],1,Table2[HomeTeam],$A57, Table2[AwayTeam], X$36)) + SUMIFS(Table2[AwayWon], Table2[GameIsOver],1,Table2[HomeTeam],$A57, Table2[AwayTeam], X$36, Table2[ActualResult], "REG") + SUMIFS(Table2[HomeWon_], Table2[GameIsOver],1,Table2[AwayTeam],$A57, Table2[HomeTeam], X$36, Table2[ActualResult], "OT") + SUMIFS(Table2[AwayWon], Table2[GameIsOver],1,Table2[HomeTeam],$A57, Table2[AwayTeam], X$36, Table2[ActualResult], "OT") + SUMIFS(Table2[HomeWon_], Table2[GameIsOver],1,Table2[AwayTeam],$A57, Table2[HomeTeam], X$36, Table2[ActualResult], "SO") + SUMIFS(Table2[AwayWon], Table2[GameIsOver],1,Table2[HomeTeam],$A57, Table2[AwayTeam], X$36, Table2[ActualResult], "SO")) / (2*(SUMIFS(Table2[AwayWon], Table2[GameIsOver],1,Table2[AwayTeam],$A57, Table2[HomeTeam], X$36) + SUMIFS(Table2[HomeWon_], Table2[GameIsOver],1,Table2[HomeTeam],$A57, Table2[AwayTeam], X$36) + SUMIFS(Table2[HomeWon_], Table2[GameIsOver],1,Table2[AwayTeam],$A57, Table2[HomeTeam], X$36, Table2[ActualResult], "REG") + SUMIFS(Table2[AwayWon], Table2[GameIsOver],1,Table2[HomeTeam],$A57, Table2[AwayTeam], X$36, Table2[ActualResult], "REG") + SUMIFS(Table2[HomeWon_], Table2[GameIsOver],1,Table2[AwayTeam],$A57, Table2[HomeTeam], X$36, Table2[ActualResult], "OT") + SUMIFS(Table2[AwayWon], Table2[GameIsOver],1,Table2[HomeTeam],$A57, Table2[AwayTeam], X$36, Table2[ActualResult], "OT") + SUMIFS(Table2[HomeWon_], Table2[GameIsOver],1,Table2[AwayTeam],$A57, Table2[HomeTeam], X$36, Table2[ActualResult], "SO") + SUMIFS(Table2[AwayWon], Table2[GameIsOver],1,Table2[HomeTeam],$A57, Table2[AwayTeam], X$36, Table2[ActualResult], "SO"))), "")</f>
        <v>0.75</v>
      </c>
      <c r="Y57" s="57">
        <f>IFERROR(((2*SUMIFS(Table2[AwayWon], Table2[GameIsOver],1,Table2[AwayTeam],$A57, Table2[HomeTeam], Y$36) + SUMIFS(Table2[HomeWon_], Table2[GameIsOver],1,Table2[HomeTeam],$A57, Table2[AwayTeam], Y$36)) + SUMIFS(Table2[AwayWon], Table2[GameIsOver],1,Table2[HomeTeam],$A57, Table2[AwayTeam], Y$36, Table2[ActualResult], "REG") + SUMIFS(Table2[HomeWon_], Table2[GameIsOver],1,Table2[AwayTeam],$A57, Table2[HomeTeam], Y$36, Table2[ActualResult], "OT") + SUMIFS(Table2[AwayWon], Table2[GameIsOver],1,Table2[HomeTeam],$A57, Table2[AwayTeam], Y$36, Table2[ActualResult], "OT") + SUMIFS(Table2[HomeWon_], Table2[GameIsOver],1,Table2[AwayTeam],$A57, Table2[HomeTeam], Y$36, Table2[ActualResult], "SO") + SUMIFS(Table2[AwayWon], Table2[GameIsOver],1,Table2[HomeTeam],$A57, Table2[AwayTeam], Y$36, Table2[ActualResult], "SO")) / (2*(SUMIFS(Table2[AwayWon], Table2[GameIsOver],1,Table2[AwayTeam],$A57, Table2[HomeTeam], Y$36) + SUMIFS(Table2[HomeWon_], Table2[GameIsOver],1,Table2[HomeTeam],$A57, Table2[AwayTeam], Y$36) + SUMIFS(Table2[HomeWon_], Table2[GameIsOver],1,Table2[AwayTeam],$A57, Table2[HomeTeam], Y$36, Table2[ActualResult], "REG") + SUMIFS(Table2[AwayWon], Table2[GameIsOver],1,Table2[HomeTeam],$A57, Table2[AwayTeam], Y$36, Table2[ActualResult], "REG") + SUMIFS(Table2[HomeWon_], Table2[GameIsOver],1,Table2[AwayTeam],$A57, Table2[HomeTeam], Y$36, Table2[ActualResult], "OT") + SUMIFS(Table2[AwayWon], Table2[GameIsOver],1,Table2[HomeTeam],$A57, Table2[AwayTeam], Y$36, Table2[ActualResult], "OT") + SUMIFS(Table2[HomeWon_], Table2[GameIsOver],1,Table2[AwayTeam],$A57, Table2[HomeTeam], Y$36, Table2[ActualResult], "SO") + SUMIFS(Table2[AwayWon], Table2[GameIsOver],1,Table2[HomeTeam],$A57, Table2[AwayTeam], Y$36, Table2[ActualResult], "SO"))), "")</f>
        <v>0.5</v>
      </c>
      <c r="Z57" t="str">
        <f>IFERROR(((2*SUMIFS(Table2[AwayWon], Table2[GameIsOver],1,Table2[AwayTeam],$A57, Table2[HomeTeam], Z$36) + SUMIFS(Table2[HomeWon_], Table2[GameIsOver],1,Table2[HomeTeam],$A57, Table2[AwayTeam], Z$36)) + SUMIFS(Table2[AwayWon], Table2[GameIsOver],1,Table2[HomeTeam],$A57, Table2[AwayTeam], Z$36, Table2[ActualResult], "REG") + SUMIFS(Table2[HomeWon_], Table2[GameIsOver],1,Table2[AwayTeam],$A57, Table2[HomeTeam], Z$36, Table2[ActualResult], "OT") + SUMIFS(Table2[AwayWon], Table2[GameIsOver],1,Table2[HomeTeam],$A57, Table2[AwayTeam], Z$36, Table2[ActualResult], "OT") + SUMIFS(Table2[HomeWon_], Table2[GameIsOver],1,Table2[AwayTeam],$A57, Table2[HomeTeam], Z$36, Table2[ActualResult], "SO") + SUMIFS(Table2[AwayWon], Table2[GameIsOver],1,Table2[HomeTeam],$A57, Table2[AwayTeam], Z$36, Table2[ActualResult], "SO")) / (2*(SUMIFS(Table2[AwayWon], Table2[GameIsOver],1,Table2[AwayTeam],$A57, Table2[HomeTeam], Z$36) + SUMIFS(Table2[HomeWon_], Table2[GameIsOver],1,Table2[HomeTeam],$A57, Table2[AwayTeam], Z$36) + SUMIFS(Table2[HomeWon_], Table2[GameIsOver],1,Table2[AwayTeam],$A57, Table2[HomeTeam], Z$36, Table2[ActualResult], "REG") + SUMIFS(Table2[AwayWon], Table2[GameIsOver],1,Table2[HomeTeam],$A57, Table2[AwayTeam], Z$36, Table2[ActualResult], "REG") + SUMIFS(Table2[HomeWon_], Table2[GameIsOver],1,Table2[AwayTeam],$A57, Table2[HomeTeam], Z$36, Table2[ActualResult], "OT") + SUMIFS(Table2[AwayWon], Table2[GameIsOver],1,Table2[HomeTeam],$A57, Table2[AwayTeam], Z$36, Table2[ActualResult], "OT") + SUMIFS(Table2[HomeWon_], Table2[GameIsOver],1,Table2[AwayTeam],$A57, Table2[HomeTeam], Z$36, Table2[ActualResult], "SO") + SUMIFS(Table2[AwayWon], Table2[GameIsOver],1,Table2[HomeTeam],$A57, Table2[AwayTeam], Z$36, Table2[ActualResult], "SO"))), "")</f>
        <v/>
      </c>
      <c r="AA57">
        <f>IFERROR(((2*SUMIFS(Table2[AwayWon], Table2[GameIsOver],1,Table2[AwayTeam],$A57, Table2[HomeTeam], AA$36) + SUMIFS(Table2[HomeWon_], Table2[GameIsOver],1,Table2[HomeTeam],$A57, Table2[AwayTeam], AA$36)) + SUMIFS(Table2[AwayWon], Table2[GameIsOver],1,Table2[HomeTeam],$A57, Table2[AwayTeam], AA$36, Table2[ActualResult], "REG") + SUMIFS(Table2[HomeWon_], Table2[GameIsOver],1,Table2[AwayTeam],$A57, Table2[HomeTeam], AA$36, Table2[ActualResult], "OT") + SUMIFS(Table2[AwayWon], Table2[GameIsOver],1,Table2[HomeTeam],$A57, Table2[AwayTeam], AA$36, Table2[ActualResult], "OT") + SUMIFS(Table2[HomeWon_], Table2[GameIsOver],1,Table2[AwayTeam],$A57, Table2[HomeTeam], AA$36, Table2[ActualResult], "SO") + SUMIFS(Table2[AwayWon], Table2[GameIsOver],1,Table2[HomeTeam],$A57, Table2[AwayTeam], AA$36, Table2[ActualResult], "SO")) / (2*(SUMIFS(Table2[AwayWon], Table2[GameIsOver],1,Table2[AwayTeam],$A57, Table2[HomeTeam], AA$36) + SUMIFS(Table2[HomeWon_], Table2[GameIsOver],1,Table2[HomeTeam],$A57, Table2[AwayTeam], AA$36) + SUMIFS(Table2[HomeWon_], Table2[GameIsOver],1,Table2[AwayTeam],$A57, Table2[HomeTeam], AA$36, Table2[ActualResult], "REG") + SUMIFS(Table2[AwayWon], Table2[GameIsOver],1,Table2[HomeTeam],$A57, Table2[AwayTeam], AA$36, Table2[ActualResult], "REG") + SUMIFS(Table2[HomeWon_], Table2[GameIsOver],1,Table2[AwayTeam],$A57, Table2[HomeTeam], AA$36, Table2[ActualResult], "OT") + SUMIFS(Table2[AwayWon], Table2[GameIsOver],1,Table2[HomeTeam],$A57, Table2[AwayTeam], AA$36, Table2[ActualResult], "OT") + SUMIFS(Table2[HomeWon_], Table2[GameIsOver],1,Table2[AwayTeam],$A57, Table2[HomeTeam], AA$36, Table2[ActualResult], "SO") + SUMIFS(Table2[AwayWon], Table2[GameIsOver],1,Table2[HomeTeam],$A57, Table2[AwayTeam], AA$36, Table2[ActualResult], "SO"))), "")</f>
        <v>1</v>
      </c>
      <c r="AB57" t="str">
        <f>IFERROR(((2*SUMIFS(Table2[AwayWon], Table2[GameIsOver],1,Table2[AwayTeam],$A57, Table2[HomeTeam], AB$36) + SUMIFS(Table2[HomeWon_], Table2[GameIsOver],1,Table2[HomeTeam],$A57, Table2[AwayTeam], AB$36)) + SUMIFS(Table2[AwayWon], Table2[GameIsOver],1,Table2[HomeTeam],$A57, Table2[AwayTeam], AB$36, Table2[ActualResult], "REG") + SUMIFS(Table2[HomeWon_], Table2[GameIsOver],1,Table2[AwayTeam],$A57, Table2[HomeTeam], AB$36, Table2[ActualResult], "OT") + SUMIFS(Table2[AwayWon], Table2[GameIsOver],1,Table2[HomeTeam],$A57, Table2[AwayTeam], AB$36, Table2[ActualResult], "OT") + SUMIFS(Table2[HomeWon_], Table2[GameIsOver],1,Table2[AwayTeam],$A57, Table2[HomeTeam], AB$36, Table2[ActualResult], "SO") + SUMIFS(Table2[AwayWon], Table2[GameIsOver],1,Table2[HomeTeam],$A57, Table2[AwayTeam], AB$36, Table2[ActualResult], "SO")) / (2*(SUMIFS(Table2[AwayWon], Table2[GameIsOver],1,Table2[AwayTeam],$A57, Table2[HomeTeam], AB$36) + SUMIFS(Table2[HomeWon_], Table2[GameIsOver],1,Table2[HomeTeam],$A57, Table2[AwayTeam], AB$36) + SUMIFS(Table2[HomeWon_], Table2[GameIsOver],1,Table2[AwayTeam],$A57, Table2[HomeTeam], AB$36, Table2[ActualResult], "REG") + SUMIFS(Table2[AwayWon], Table2[GameIsOver],1,Table2[HomeTeam],$A57, Table2[AwayTeam], AB$36, Table2[ActualResult], "REG") + SUMIFS(Table2[HomeWon_], Table2[GameIsOver],1,Table2[AwayTeam],$A57, Table2[HomeTeam], AB$36, Table2[ActualResult], "OT") + SUMIFS(Table2[AwayWon], Table2[GameIsOver],1,Table2[HomeTeam],$A57, Table2[AwayTeam], AB$36, Table2[ActualResult], "OT") + SUMIFS(Table2[HomeWon_], Table2[GameIsOver],1,Table2[AwayTeam],$A57, Table2[HomeTeam], AB$36, Table2[ActualResult], "SO") + SUMIFS(Table2[AwayWon], Table2[GameIsOver],1,Table2[HomeTeam],$A57, Table2[AwayTeam], AB$36, Table2[ActualResult], "SO"))), "")</f>
        <v/>
      </c>
      <c r="AC57" t="str">
        <f>IFERROR(((2*SUMIFS(Table2[AwayWon], Table2[GameIsOver],1,Table2[AwayTeam],$A57, Table2[HomeTeam], AC$36) + SUMIFS(Table2[HomeWon_], Table2[GameIsOver],1,Table2[HomeTeam],$A57, Table2[AwayTeam], AC$36)) + SUMIFS(Table2[AwayWon], Table2[GameIsOver],1,Table2[HomeTeam],$A57, Table2[AwayTeam], AC$36, Table2[ActualResult], "REG") + SUMIFS(Table2[HomeWon_], Table2[GameIsOver],1,Table2[AwayTeam],$A57, Table2[HomeTeam], AC$36, Table2[ActualResult], "OT") + SUMIFS(Table2[AwayWon], Table2[GameIsOver],1,Table2[HomeTeam],$A57, Table2[AwayTeam], AC$36, Table2[ActualResult], "OT") + SUMIFS(Table2[HomeWon_], Table2[GameIsOver],1,Table2[AwayTeam],$A57, Table2[HomeTeam], AC$36, Table2[ActualResult], "SO") + SUMIFS(Table2[AwayWon], Table2[GameIsOver],1,Table2[HomeTeam],$A57, Table2[AwayTeam], AC$36, Table2[ActualResult], "SO")) / (2*(SUMIFS(Table2[AwayWon], Table2[GameIsOver],1,Table2[AwayTeam],$A57, Table2[HomeTeam], AC$36) + SUMIFS(Table2[HomeWon_], Table2[GameIsOver],1,Table2[HomeTeam],$A57, Table2[AwayTeam], AC$36) + SUMIFS(Table2[HomeWon_], Table2[GameIsOver],1,Table2[AwayTeam],$A57, Table2[HomeTeam], AC$36, Table2[ActualResult], "REG") + SUMIFS(Table2[AwayWon], Table2[GameIsOver],1,Table2[HomeTeam],$A57, Table2[AwayTeam], AC$36, Table2[ActualResult], "REG") + SUMIFS(Table2[HomeWon_], Table2[GameIsOver],1,Table2[AwayTeam],$A57, Table2[HomeTeam], AC$36, Table2[ActualResult], "OT") + SUMIFS(Table2[AwayWon], Table2[GameIsOver],1,Table2[HomeTeam],$A57, Table2[AwayTeam], AC$36, Table2[ActualResult], "OT") + SUMIFS(Table2[HomeWon_], Table2[GameIsOver],1,Table2[AwayTeam],$A57, Table2[HomeTeam], AC$36, Table2[ActualResult], "SO") + SUMIFS(Table2[AwayWon], Table2[GameIsOver],1,Table2[HomeTeam],$A57, Table2[AwayTeam], AC$36, Table2[ActualResult], "SO"))), "")</f>
        <v/>
      </c>
      <c r="AD57">
        <f>IFERROR(((2*SUMIFS(Table2[AwayWon], Table2[GameIsOver],1,Table2[AwayTeam],$A57, Table2[HomeTeam], AD$36) + SUMIFS(Table2[HomeWon_], Table2[GameIsOver],1,Table2[HomeTeam],$A57, Table2[AwayTeam], AD$36)) + SUMIFS(Table2[AwayWon], Table2[GameIsOver],1,Table2[HomeTeam],$A57, Table2[AwayTeam], AD$36, Table2[ActualResult], "REG") + SUMIFS(Table2[HomeWon_], Table2[GameIsOver],1,Table2[AwayTeam],$A57, Table2[HomeTeam], AD$36, Table2[ActualResult], "OT") + SUMIFS(Table2[AwayWon], Table2[GameIsOver],1,Table2[HomeTeam],$A57, Table2[AwayTeam], AD$36, Table2[ActualResult], "OT") + SUMIFS(Table2[HomeWon_], Table2[GameIsOver],1,Table2[AwayTeam],$A57, Table2[HomeTeam], AD$36, Table2[ActualResult], "SO") + SUMIFS(Table2[AwayWon], Table2[GameIsOver],1,Table2[HomeTeam],$A57, Table2[AwayTeam], AD$36, Table2[ActualResult], "SO")) / (2*(SUMIFS(Table2[AwayWon], Table2[GameIsOver],1,Table2[AwayTeam],$A57, Table2[HomeTeam], AD$36) + SUMIFS(Table2[HomeWon_], Table2[GameIsOver],1,Table2[HomeTeam],$A57, Table2[AwayTeam], AD$36) + SUMIFS(Table2[HomeWon_], Table2[GameIsOver],1,Table2[AwayTeam],$A57, Table2[HomeTeam], AD$36, Table2[ActualResult], "REG") + SUMIFS(Table2[AwayWon], Table2[GameIsOver],1,Table2[HomeTeam],$A57, Table2[AwayTeam], AD$36, Table2[ActualResult], "REG") + SUMIFS(Table2[HomeWon_], Table2[GameIsOver],1,Table2[AwayTeam],$A57, Table2[HomeTeam], AD$36, Table2[ActualResult], "OT") + SUMIFS(Table2[AwayWon], Table2[GameIsOver],1,Table2[HomeTeam],$A57, Table2[AwayTeam], AD$36, Table2[ActualResult], "OT") + SUMIFS(Table2[HomeWon_], Table2[GameIsOver],1,Table2[AwayTeam],$A57, Table2[HomeTeam], AD$36, Table2[ActualResult], "SO") + SUMIFS(Table2[AwayWon], Table2[GameIsOver],1,Table2[HomeTeam],$A57, Table2[AwayTeam], AD$36, Table2[ActualResult], "SO"))), "")</f>
        <v>1</v>
      </c>
      <c r="AE57" t="str">
        <f>IFERROR(((2*SUMIFS(Table2[AwayWon], Table2[GameIsOver],1,Table2[AwayTeam],$A57, Table2[HomeTeam], AE$36) + SUMIFS(Table2[HomeWon_], Table2[GameIsOver],1,Table2[HomeTeam],$A57, Table2[AwayTeam], AE$36)) + SUMIFS(Table2[AwayWon], Table2[GameIsOver],1,Table2[HomeTeam],$A57, Table2[AwayTeam], AE$36, Table2[ActualResult], "REG") + SUMIFS(Table2[HomeWon_], Table2[GameIsOver],1,Table2[AwayTeam],$A57, Table2[HomeTeam], AE$36, Table2[ActualResult], "OT") + SUMIFS(Table2[AwayWon], Table2[GameIsOver],1,Table2[HomeTeam],$A57, Table2[AwayTeam], AE$36, Table2[ActualResult], "OT") + SUMIFS(Table2[HomeWon_], Table2[GameIsOver],1,Table2[AwayTeam],$A57, Table2[HomeTeam], AE$36, Table2[ActualResult], "SO") + SUMIFS(Table2[AwayWon], Table2[GameIsOver],1,Table2[HomeTeam],$A57, Table2[AwayTeam], AE$36, Table2[ActualResult], "SO")) / (2*(SUMIFS(Table2[AwayWon], Table2[GameIsOver],1,Table2[AwayTeam],$A57, Table2[HomeTeam], AE$36) + SUMIFS(Table2[HomeWon_], Table2[GameIsOver],1,Table2[HomeTeam],$A57, Table2[AwayTeam], AE$36) + SUMIFS(Table2[HomeWon_], Table2[GameIsOver],1,Table2[AwayTeam],$A57, Table2[HomeTeam], AE$36, Table2[ActualResult], "REG") + SUMIFS(Table2[AwayWon], Table2[GameIsOver],1,Table2[HomeTeam],$A57, Table2[AwayTeam], AE$36, Table2[ActualResult], "REG") + SUMIFS(Table2[HomeWon_], Table2[GameIsOver],1,Table2[AwayTeam],$A57, Table2[HomeTeam], AE$36, Table2[ActualResult], "OT") + SUMIFS(Table2[AwayWon], Table2[GameIsOver],1,Table2[HomeTeam],$A57, Table2[AwayTeam], AE$36, Table2[ActualResult], "OT") + SUMIFS(Table2[HomeWon_], Table2[GameIsOver],1,Table2[AwayTeam],$A57, Table2[HomeTeam], AE$36, Table2[ActualResult], "SO") + SUMIFS(Table2[AwayWon], Table2[GameIsOver],1,Table2[HomeTeam],$A57, Table2[AwayTeam], AE$36, Table2[ActualResult], "SO"))), "")</f>
        <v/>
      </c>
      <c r="AF57" t="str">
        <f>IFERROR(((2*SUMIFS(Table2[AwayWon], Table2[GameIsOver],1,Table2[AwayTeam],$A57, Table2[HomeTeam], AF$36) + SUMIFS(Table2[HomeWon_], Table2[GameIsOver],1,Table2[HomeTeam],$A57, Table2[AwayTeam], AF$36)) + SUMIFS(Table2[AwayWon], Table2[GameIsOver],1,Table2[HomeTeam],$A57, Table2[AwayTeam], AF$36, Table2[ActualResult], "REG") + SUMIFS(Table2[HomeWon_], Table2[GameIsOver],1,Table2[AwayTeam],$A57, Table2[HomeTeam], AF$36, Table2[ActualResult], "OT") + SUMIFS(Table2[AwayWon], Table2[GameIsOver],1,Table2[HomeTeam],$A57, Table2[AwayTeam], AF$36, Table2[ActualResult], "OT") + SUMIFS(Table2[HomeWon_], Table2[GameIsOver],1,Table2[AwayTeam],$A57, Table2[HomeTeam], AF$36, Table2[ActualResult], "SO") + SUMIFS(Table2[AwayWon], Table2[GameIsOver],1,Table2[HomeTeam],$A57, Table2[AwayTeam], AF$36, Table2[ActualResult], "SO")) / (2*(SUMIFS(Table2[AwayWon], Table2[GameIsOver],1,Table2[AwayTeam],$A57, Table2[HomeTeam], AF$36) + SUMIFS(Table2[HomeWon_], Table2[GameIsOver],1,Table2[HomeTeam],$A57, Table2[AwayTeam], AF$36) + SUMIFS(Table2[HomeWon_], Table2[GameIsOver],1,Table2[AwayTeam],$A57, Table2[HomeTeam], AF$36, Table2[ActualResult], "REG") + SUMIFS(Table2[AwayWon], Table2[GameIsOver],1,Table2[HomeTeam],$A57, Table2[AwayTeam], AF$36, Table2[ActualResult], "REG") + SUMIFS(Table2[HomeWon_], Table2[GameIsOver],1,Table2[AwayTeam],$A57, Table2[HomeTeam], AF$36, Table2[ActualResult], "OT") + SUMIFS(Table2[AwayWon], Table2[GameIsOver],1,Table2[HomeTeam],$A57, Table2[AwayTeam], AF$36, Table2[ActualResult], "OT") + SUMIFS(Table2[HomeWon_], Table2[GameIsOver],1,Table2[AwayTeam],$A57, Table2[HomeTeam], AF$36, Table2[ActualResult], "SO") + SUMIFS(Table2[AwayWon], Table2[GameIsOver],1,Table2[HomeTeam],$A57, Table2[AwayTeam], AF$36, Table2[ActualResult], "SO"))), "")</f>
        <v/>
      </c>
      <c r="AG57" s="57">
        <f>IFERROR(((2*SUMIFS(Table2[AwayWon], Table2[GameIsOver],1,Table2[AwayTeam],$A57, Table2[HomeTeam], AG$36) + SUMIFS(Table2[HomeWon_], Table2[GameIsOver],1,Table2[HomeTeam],$A57, Table2[AwayTeam], AG$36)) + SUMIFS(Table2[AwayWon], Table2[GameIsOver],1,Table2[HomeTeam],$A57, Table2[AwayTeam], AG$36, Table2[ActualResult], "REG") + SUMIFS(Table2[HomeWon_], Table2[GameIsOver],1,Table2[AwayTeam],$A57, Table2[HomeTeam], AG$36, Table2[ActualResult], "OT") + SUMIFS(Table2[AwayWon], Table2[GameIsOver],1,Table2[HomeTeam],$A57, Table2[AwayTeam], AG$36, Table2[ActualResult], "OT") + SUMIFS(Table2[HomeWon_], Table2[GameIsOver],1,Table2[AwayTeam],$A57, Table2[HomeTeam], AG$36, Table2[ActualResult], "SO") + SUMIFS(Table2[AwayWon], Table2[GameIsOver],1,Table2[HomeTeam],$A57, Table2[AwayTeam], AG$36, Table2[ActualResult], "SO")) / (2*(SUMIFS(Table2[AwayWon], Table2[GameIsOver],1,Table2[AwayTeam],$A57, Table2[HomeTeam], AG$36) + SUMIFS(Table2[HomeWon_], Table2[GameIsOver],1,Table2[HomeTeam],$A57, Table2[AwayTeam], AG$36) + SUMIFS(Table2[HomeWon_], Table2[GameIsOver],1,Table2[AwayTeam],$A57, Table2[HomeTeam], AG$36, Table2[ActualResult], "REG") + SUMIFS(Table2[AwayWon], Table2[GameIsOver],1,Table2[HomeTeam],$A57, Table2[AwayTeam], AG$36, Table2[ActualResult], "REG") + SUMIFS(Table2[HomeWon_], Table2[GameIsOver],1,Table2[AwayTeam],$A57, Table2[HomeTeam], AG$36, Table2[ActualResult], "OT") + SUMIFS(Table2[AwayWon], Table2[GameIsOver],1,Table2[HomeTeam],$A57, Table2[AwayTeam], AG$36, Table2[ActualResult], "OT") + SUMIFS(Table2[HomeWon_], Table2[GameIsOver],1,Table2[AwayTeam],$A57, Table2[HomeTeam], AG$36, Table2[ActualResult], "SO") + SUMIFS(Table2[AwayWon], Table2[GameIsOver],1,Table2[HomeTeam],$A57, Table2[AwayTeam], AG$36, Table2[ActualResult], "SO"))), "")</f>
        <v>0.5</v>
      </c>
      <c r="AH57" s="101">
        <f t="shared" si="0"/>
        <v>0.75</v>
      </c>
      <c r="AI57" s="101">
        <f t="shared" si="1"/>
        <v>0.5</v>
      </c>
      <c r="AJ57" s="103">
        <f t="shared" si="2"/>
        <v>0.83333333333333337</v>
      </c>
      <c r="AK57" s="103">
        <f t="shared" si="3"/>
        <v>0.625</v>
      </c>
      <c r="AL57" s="103">
        <f t="shared" si="4"/>
        <v>0.5</v>
      </c>
      <c r="AM57" s="103">
        <f t="shared" si="5"/>
        <v>0.5</v>
      </c>
    </row>
    <row r="58" spans="1:39" x14ac:dyDescent="0.25">
      <c r="A58" s="57" t="s">
        <v>42</v>
      </c>
      <c r="B58" s="24" t="str">
        <f>IFERROR(((2*SUMIFS(Table2[AwayWon], Table2[GameIsOver],1,Table2[AwayTeam],$A58, Table2[HomeTeam], B$36) + SUMIFS(Table2[HomeWon_], Table2[GameIsOver],1,Table2[HomeTeam],$A58, Table2[AwayTeam], B$36)) + SUMIFS(Table2[AwayWon], Table2[GameIsOver],1,Table2[HomeTeam],$A58, Table2[AwayTeam], B$36, Table2[ActualResult], "REG") + SUMIFS(Table2[HomeWon_], Table2[GameIsOver],1,Table2[AwayTeam],$A58, Table2[HomeTeam], B$36, Table2[ActualResult], "OT") + SUMIFS(Table2[AwayWon], Table2[GameIsOver],1,Table2[HomeTeam],$A58, Table2[AwayTeam], B$36, Table2[ActualResult], "OT") + SUMIFS(Table2[HomeWon_], Table2[GameIsOver],1,Table2[AwayTeam],$A58, Table2[HomeTeam], B$36, Table2[ActualResult], "SO") + SUMIFS(Table2[AwayWon], Table2[GameIsOver],1,Table2[HomeTeam],$A58, Table2[AwayTeam], B$36, Table2[ActualResult], "SO")) / (2*(SUMIFS(Table2[AwayWon], Table2[GameIsOver],1,Table2[AwayTeam],$A58, Table2[HomeTeam], B$36) + SUMIFS(Table2[HomeWon_], Table2[GameIsOver],1,Table2[HomeTeam],$A58, Table2[AwayTeam], B$36) + SUMIFS(Table2[HomeWon_], Table2[GameIsOver],1,Table2[AwayTeam],$A58, Table2[HomeTeam], B$36, Table2[ActualResult], "REG") + SUMIFS(Table2[AwayWon], Table2[GameIsOver],1,Table2[HomeTeam],$A58, Table2[AwayTeam], B$36, Table2[ActualResult], "REG") + SUMIFS(Table2[HomeWon_], Table2[GameIsOver],1,Table2[AwayTeam],$A58, Table2[HomeTeam], B$36, Table2[ActualResult], "OT") + SUMIFS(Table2[AwayWon], Table2[GameIsOver],1,Table2[HomeTeam],$A58, Table2[AwayTeam], B$36, Table2[ActualResult], "OT") + SUMIFS(Table2[HomeWon_], Table2[GameIsOver],1,Table2[AwayTeam],$A58, Table2[HomeTeam], B$36, Table2[ActualResult], "SO") + SUMIFS(Table2[AwayWon], Table2[GameIsOver],1,Table2[HomeTeam],$A58, Table2[AwayTeam], B$36, Table2[ActualResult], "SO"))), "")</f>
        <v/>
      </c>
      <c r="C58" s="24" t="str">
        <f>IFERROR(((2*SUMIFS(Table2[AwayWon], Table2[GameIsOver],1,Table2[AwayTeam],$A58, Table2[HomeTeam], C$36) + SUMIFS(Table2[HomeWon_], Table2[GameIsOver],1,Table2[HomeTeam],$A58, Table2[AwayTeam], C$36)) + SUMIFS(Table2[AwayWon], Table2[GameIsOver],1,Table2[HomeTeam],$A58, Table2[AwayTeam], C$36, Table2[ActualResult], "REG") + SUMIFS(Table2[HomeWon_], Table2[GameIsOver],1,Table2[AwayTeam],$A58, Table2[HomeTeam], C$36, Table2[ActualResult], "OT") + SUMIFS(Table2[AwayWon], Table2[GameIsOver],1,Table2[HomeTeam],$A58, Table2[AwayTeam], C$36, Table2[ActualResult], "OT") + SUMIFS(Table2[HomeWon_], Table2[GameIsOver],1,Table2[AwayTeam],$A58, Table2[HomeTeam], C$36, Table2[ActualResult], "SO") + SUMIFS(Table2[AwayWon], Table2[GameIsOver],1,Table2[HomeTeam],$A58, Table2[AwayTeam], C$36, Table2[ActualResult], "SO")) / (2*(SUMIFS(Table2[AwayWon], Table2[GameIsOver],1,Table2[AwayTeam],$A58, Table2[HomeTeam], C$36) + SUMIFS(Table2[HomeWon_], Table2[GameIsOver],1,Table2[HomeTeam],$A58, Table2[AwayTeam], C$36) + SUMIFS(Table2[HomeWon_], Table2[GameIsOver],1,Table2[AwayTeam],$A58, Table2[HomeTeam], C$36, Table2[ActualResult], "REG") + SUMIFS(Table2[AwayWon], Table2[GameIsOver],1,Table2[HomeTeam],$A58, Table2[AwayTeam], C$36, Table2[ActualResult], "REG") + SUMIFS(Table2[HomeWon_], Table2[GameIsOver],1,Table2[AwayTeam],$A58, Table2[HomeTeam], C$36, Table2[ActualResult], "OT") + SUMIFS(Table2[AwayWon], Table2[GameIsOver],1,Table2[HomeTeam],$A58, Table2[AwayTeam], C$36, Table2[ActualResult], "OT") + SUMIFS(Table2[HomeWon_], Table2[GameIsOver],1,Table2[AwayTeam],$A58, Table2[HomeTeam], C$36, Table2[ActualResult], "SO") + SUMIFS(Table2[AwayWon], Table2[GameIsOver],1,Table2[HomeTeam],$A58, Table2[AwayTeam], C$36, Table2[ActualResult], "SO"))), "")</f>
        <v/>
      </c>
      <c r="D58" t="str">
        <f>IFERROR(((2*SUMIFS(Table2[AwayWon], Table2[GameIsOver],1,Table2[AwayTeam],$A58, Table2[HomeTeam], D$36) + SUMIFS(Table2[HomeWon_], Table2[GameIsOver],1,Table2[HomeTeam],$A58, Table2[AwayTeam], D$36)) + SUMIFS(Table2[AwayWon], Table2[GameIsOver],1,Table2[HomeTeam],$A58, Table2[AwayTeam], D$36, Table2[ActualResult], "REG") + SUMIFS(Table2[HomeWon_], Table2[GameIsOver],1,Table2[AwayTeam],$A58, Table2[HomeTeam], D$36, Table2[ActualResult], "OT") + SUMIFS(Table2[AwayWon], Table2[GameIsOver],1,Table2[HomeTeam],$A58, Table2[AwayTeam], D$36, Table2[ActualResult], "OT") + SUMIFS(Table2[HomeWon_], Table2[GameIsOver],1,Table2[AwayTeam],$A58, Table2[HomeTeam], D$36, Table2[ActualResult], "SO") + SUMIFS(Table2[AwayWon], Table2[GameIsOver],1,Table2[HomeTeam],$A58, Table2[AwayTeam], D$36, Table2[ActualResult], "SO")) / (2*(SUMIFS(Table2[AwayWon], Table2[GameIsOver],1,Table2[AwayTeam],$A58, Table2[HomeTeam], D$36) + SUMIFS(Table2[HomeWon_], Table2[GameIsOver],1,Table2[HomeTeam],$A58, Table2[AwayTeam], D$36) + SUMIFS(Table2[HomeWon_], Table2[GameIsOver],1,Table2[AwayTeam],$A58, Table2[HomeTeam], D$36, Table2[ActualResult], "REG") + SUMIFS(Table2[AwayWon], Table2[GameIsOver],1,Table2[HomeTeam],$A58, Table2[AwayTeam], D$36, Table2[ActualResult], "REG") + SUMIFS(Table2[HomeWon_], Table2[GameIsOver],1,Table2[AwayTeam],$A58, Table2[HomeTeam], D$36, Table2[ActualResult], "OT") + SUMIFS(Table2[AwayWon], Table2[GameIsOver],1,Table2[HomeTeam],$A58, Table2[AwayTeam], D$36, Table2[ActualResult], "OT") + SUMIFS(Table2[HomeWon_], Table2[GameIsOver],1,Table2[AwayTeam],$A58, Table2[HomeTeam], D$36, Table2[ActualResult], "SO") + SUMIFS(Table2[AwayWon], Table2[GameIsOver],1,Table2[HomeTeam],$A58, Table2[AwayTeam], D$36, Table2[ActualResult], "SO"))), "")</f>
        <v/>
      </c>
      <c r="E58" t="str">
        <f>IFERROR(((2*SUMIFS(Table2[AwayWon], Table2[GameIsOver],1,Table2[AwayTeam],$A58, Table2[HomeTeam], E$36) + SUMIFS(Table2[HomeWon_], Table2[GameIsOver],1,Table2[HomeTeam],$A58, Table2[AwayTeam], E$36)) + SUMIFS(Table2[AwayWon], Table2[GameIsOver],1,Table2[HomeTeam],$A58, Table2[AwayTeam], E$36, Table2[ActualResult], "REG") + SUMIFS(Table2[HomeWon_], Table2[GameIsOver],1,Table2[AwayTeam],$A58, Table2[HomeTeam], E$36, Table2[ActualResult], "OT") + SUMIFS(Table2[AwayWon], Table2[GameIsOver],1,Table2[HomeTeam],$A58, Table2[AwayTeam], E$36, Table2[ActualResult], "OT") + SUMIFS(Table2[HomeWon_], Table2[GameIsOver],1,Table2[AwayTeam],$A58, Table2[HomeTeam], E$36, Table2[ActualResult], "SO") + SUMIFS(Table2[AwayWon], Table2[GameIsOver],1,Table2[HomeTeam],$A58, Table2[AwayTeam], E$36, Table2[ActualResult], "SO")) / (2*(SUMIFS(Table2[AwayWon], Table2[GameIsOver],1,Table2[AwayTeam],$A58, Table2[HomeTeam], E$36) + SUMIFS(Table2[HomeWon_], Table2[GameIsOver],1,Table2[HomeTeam],$A58, Table2[AwayTeam], E$36) + SUMIFS(Table2[HomeWon_], Table2[GameIsOver],1,Table2[AwayTeam],$A58, Table2[HomeTeam], E$36, Table2[ActualResult], "REG") + SUMIFS(Table2[AwayWon], Table2[GameIsOver],1,Table2[HomeTeam],$A58, Table2[AwayTeam], E$36, Table2[ActualResult], "REG") + SUMIFS(Table2[HomeWon_], Table2[GameIsOver],1,Table2[AwayTeam],$A58, Table2[HomeTeam], E$36, Table2[ActualResult], "OT") + SUMIFS(Table2[AwayWon], Table2[GameIsOver],1,Table2[HomeTeam],$A58, Table2[AwayTeam], E$36, Table2[ActualResult], "OT") + SUMIFS(Table2[HomeWon_], Table2[GameIsOver],1,Table2[AwayTeam],$A58, Table2[HomeTeam], E$36, Table2[ActualResult], "SO") + SUMIFS(Table2[AwayWon], Table2[GameIsOver],1,Table2[HomeTeam],$A58, Table2[AwayTeam], E$36, Table2[ActualResult], "SO"))), "")</f>
        <v/>
      </c>
      <c r="F58">
        <f>IFERROR(((2*SUMIFS(Table2[AwayWon], Table2[GameIsOver],1,Table2[AwayTeam],$A58, Table2[HomeTeam], F$36) + SUMIFS(Table2[HomeWon_], Table2[GameIsOver],1,Table2[HomeTeam],$A58, Table2[AwayTeam], F$36)) + SUMIFS(Table2[AwayWon], Table2[GameIsOver],1,Table2[HomeTeam],$A58, Table2[AwayTeam], F$36, Table2[ActualResult], "REG") + SUMIFS(Table2[HomeWon_], Table2[GameIsOver],1,Table2[AwayTeam],$A58, Table2[HomeTeam], F$36, Table2[ActualResult], "OT") + SUMIFS(Table2[AwayWon], Table2[GameIsOver],1,Table2[HomeTeam],$A58, Table2[AwayTeam], F$36, Table2[ActualResult], "OT") + SUMIFS(Table2[HomeWon_], Table2[GameIsOver],1,Table2[AwayTeam],$A58, Table2[HomeTeam], F$36, Table2[ActualResult], "SO") + SUMIFS(Table2[AwayWon], Table2[GameIsOver],1,Table2[HomeTeam],$A58, Table2[AwayTeam], F$36, Table2[ActualResult], "SO")) / (2*(SUMIFS(Table2[AwayWon], Table2[GameIsOver],1,Table2[AwayTeam],$A58, Table2[HomeTeam], F$36) + SUMIFS(Table2[HomeWon_], Table2[GameIsOver],1,Table2[HomeTeam],$A58, Table2[AwayTeam], F$36) + SUMIFS(Table2[HomeWon_], Table2[GameIsOver],1,Table2[AwayTeam],$A58, Table2[HomeTeam], F$36, Table2[ActualResult], "REG") + SUMIFS(Table2[AwayWon], Table2[GameIsOver],1,Table2[HomeTeam],$A58, Table2[AwayTeam], F$36, Table2[ActualResult], "REG") + SUMIFS(Table2[HomeWon_], Table2[GameIsOver],1,Table2[AwayTeam],$A58, Table2[HomeTeam], F$36, Table2[ActualResult], "OT") + SUMIFS(Table2[AwayWon], Table2[GameIsOver],1,Table2[HomeTeam],$A58, Table2[AwayTeam], F$36, Table2[ActualResult], "OT") + SUMIFS(Table2[HomeWon_], Table2[GameIsOver],1,Table2[AwayTeam],$A58, Table2[HomeTeam], F$36, Table2[ActualResult], "SO") + SUMIFS(Table2[AwayWon], Table2[GameIsOver],1,Table2[HomeTeam],$A58, Table2[AwayTeam], F$36, Table2[ActualResult], "SO"))), "")</f>
        <v>0.5</v>
      </c>
      <c r="G58" t="str">
        <f>IFERROR(((2*SUMIFS(Table2[AwayWon], Table2[GameIsOver],1,Table2[AwayTeam],$A58, Table2[HomeTeam], G$36) + SUMIFS(Table2[HomeWon_], Table2[GameIsOver],1,Table2[HomeTeam],$A58, Table2[AwayTeam], G$36)) + SUMIFS(Table2[AwayWon], Table2[GameIsOver],1,Table2[HomeTeam],$A58, Table2[AwayTeam], G$36, Table2[ActualResult], "REG") + SUMIFS(Table2[HomeWon_], Table2[GameIsOver],1,Table2[AwayTeam],$A58, Table2[HomeTeam], G$36, Table2[ActualResult], "OT") + SUMIFS(Table2[AwayWon], Table2[GameIsOver],1,Table2[HomeTeam],$A58, Table2[AwayTeam], G$36, Table2[ActualResult], "OT") + SUMIFS(Table2[HomeWon_], Table2[GameIsOver],1,Table2[AwayTeam],$A58, Table2[HomeTeam], G$36, Table2[ActualResult], "SO") + SUMIFS(Table2[AwayWon], Table2[GameIsOver],1,Table2[HomeTeam],$A58, Table2[AwayTeam], G$36, Table2[ActualResult], "SO")) / (2*(SUMIFS(Table2[AwayWon], Table2[GameIsOver],1,Table2[AwayTeam],$A58, Table2[HomeTeam], G$36) + SUMIFS(Table2[HomeWon_], Table2[GameIsOver],1,Table2[HomeTeam],$A58, Table2[AwayTeam], G$36) + SUMIFS(Table2[HomeWon_], Table2[GameIsOver],1,Table2[AwayTeam],$A58, Table2[HomeTeam], G$36, Table2[ActualResult], "REG") + SUMIFS(Table2[AwayWon], Table2[GameIsOver],1,Table2[HomeTeam],$A58, Table2[AwayTeam], G$36, Table2[ActualResult], "REG") + SUMIFS(Table2[HomeWon_], Table2[GameIsOver],1,Table2[AwayTeam],$A58, Table2[HomeTeam], G$36, Table2[ActualResult], "OT") + SUMIFS(Table2[AwayWon], Table2[GameIsOver],1,Table2[HomeTeam],$A58, Table2[AwayTeam], G$36, Table2[ActualResult], "OT") + SUMIFS(Table2[HomeWon_], Table2[GameIsOver],1,Table2[AwayTeam],$A58, Table2[HomeTeam], G$36, Table2[ActualResult], "SO") + SUMIFS(Table2[AwayWon], Table2[GameIsOver],1,Table2[HomeTeam],$A58, Table2[AwayTeam], G$36, Table2[ActualResult], "SO"))), "")</f>
        <v/>
      </c>
      <c r="H58" t="str">
        <f>IFERROR(((2*SUMIFS(Table2[AwayWon], Table2[GameIsOver],1,Table2[AwayTeam],$A58, Table2[HomeTeam], H$36) + SUMIFS(Table2[HomeWon_], Table2[GameIsOver],1,Table2[HomeTeam],$A58, Table2[AwayTeam], H$36)) + SUMIFS(Table2[AwayWon], Table2[GameIsOver],1,Table2[HomeTeam],$A58, Table2[AwayTeam], H$36, Table2[ActualResult], "REG") + SUMIFS(Table2[HomeWon_], Table2[GameIsOver],1,Table2[AwayTeam],$A58, Table2[HomeTeam], H$36, Table2[ActualResult], "OT") + SUMIFS(Table2[AwayWon], Table2[GameIsOver],1,Table2[HomeTeam],$A58, Table2[AwayTeam], H$36, Table2[ActualResult], "OT") + SUMIFS(Table2[HomeWon_], Table2[GameIsOver],1,Table2[AwayTeam],$A58, Table2[HomeTeam], H$36, Table2[ActualResult], "SO") + SUMIFS(Table2[AwayWon], Table2[GameIsOver],1,Table2[HomeTeam],$A58, Table2[AwayTeam], H$36, Table2[ActualResult], "SO")) / (2*(SUMIFS(Table2[AwayWon], Table2[GameIsOver],1,Table2[AwayTeam],$A58, Table2[HomeTeam], H$36) + SUMIFS(Table2[HomeWon_], Table2[GameIsOver],1,Table2[HomeTeam],$A58, Table2[AwayTeam], H$36) + SUMIFS(Table2[HomeWon_], Table2[GameIsOver],1,Table2[AwayTeam],$A58, Table2[HomeTeam], H$36, Table2[ActualResult], "REG") + SUMIFS(Table2[AwayWon], Table2[GameIsOver],1,Table2[HomeTeam],$A58, Table2[AwayTeam], H$36, Table2[ActualResult], "REG") + SUMIFS(Table2[HomeWon_], Table2[GameIsOver],1,Table2[AwayTeam],$A58, Table2[HomeTeam], H$36, Table2[ActualResult], "OT") + SUMIFS(Table2[AwayWon], Table2[GameIsOver],1,Table2[HomeTeam],$A58, Table2[AwayTeam], H$36, Table2[ActualResult], "OT") + SUMIFS(Table2[HomeWon_], Table2[GameIsOver],1,Table2[AwayTeam],$A58, Table2[HomeTeam], H$36, Table2[ActualResult], "SO") + SUMIFS(Table2[AwayWon], Table2[GameIsOver],1,Table2[HomeTeam],$A58, Table2[AwayTeam], H$36, Table2[ActualResult], "SO"))), "")</f>
        <v/>
      </c>
      <c r="I58" s="57" t="str">
        <f>IFERROR(((2*SUMIFS(Table2[AwayWon], Table2[GameIsOver],1,Table2[AwayTeam],$A58, Table2[HomeTeam], I$36) + SUMIFS(Table2[HomeWon_], Table2[GameIsOver],1,Table2[HomeTeam],$A58, Table2[AwayTeam], I$36)) + SUMIFS(Table2[AwayWon], Table2[GameIsOver],1,Table2[HomeTeam],$A58, Table2[AwayTeam], I$36, Table2[ActualResult], "REG") + SUMIFS(Table2[HomeWon_], Table2[GameIsOver],1,Table2[AwayTeam],$A58, Table2[HomeTeam], I$36, Table2[ActualResult], "OT") + SUMIFS(Table2[AwayWon], Table2[GameIsOver],1,Table2[HomeTeam],$A58, Table2[AwayTeam], I$36, Table2[ActualResult], "OT") + SUMIFS(Table2[HomeWon_], Table2[GameIsOver],1,Table2[AwayTeam],$A58, Table2[HomeTeam], I$36, Table2[ActualResult], "SO") + SUMIFS(Table2[AwayWon], Table2[GameIsOver],1,Table2[HomeTeam],$A58, Table2[AwayTeam], I$36, Table2[ActualResult], "SO")) / (2*(SUMIFS(Table2[AwayWon], Table2[GameIsOver],1,Table2[AwayTeam],$A58, Table2[HomeTeam], I$36) + SUMIFS(Table2[HomeWon_], Table2[GameIsOver],1,Table2[HomeTeam],$A58, Table2[AwayTeam], I$36) + SUMIFS(Table2[HomeWon_], Table2[GameIsOver],1,Table2[AwayTeam],$A58, Table2[HomeTeam], I$36, Table2[ActualResult], "REG") + SUMIFS(Table2[AwayWon], Table2[GameIsOver],1,Table2[HomeTeam],$A58, Table2[AwayTeam], I$36, Table2[ActualResult], "REG") + SUMIFS(Table2[HomeWon_], Table2[GameIsOver],1,Table2[AwayTeam],$A58, Table2[HomeTeam], I$36, Table2[ActualResult], "OT") + SUMIFS(Table2[AwayWon], Table2[GameIsOver],1,Table2[HomeTeam],$A58, Table2[AwayTeam], I$36, Table2[ActualResult], "OT") + SUMIFS(Table2[HomeWon_], Table2[GameIsOver],1,Table2[AwayTeam],$A58, Table2[HomeTeam], I$36, Table2[ActualResult], "SO") + SUMIFS(Table2[AwayWon], Table2[GameIsOver],1,Table2[HomeTeam],$A58, Table2[AwayTeam], I$36, Table2[ActualResult], "SO"))), "")</f>
        <v/>
      </c>
      <c r="J58" t="str">
        <f>IFERROR(((2*SUMIFS(Table2[AwayWon], Table2[GameIsOver],1,Table2[AwayTeam],$A58, Table2[HomeTeam], J$36) + SUMIFS(Table2[HomeWon_], Table2[GameIsOver],1,Table2[HomeTeam],$A58, Table2[AwayTeam], J$36)) + SUMIFS(Table2[AwayWon], Table2[GameIsOver],1,Table2[HomeTeam],$A58, Table2[AwayTeam], J$36, Table2[ActualResult], "REG") + SUMIFS(Table2[HomeWon_], Table2[GameIsOver],1,Table2[AwayTeam],$A58, Table2[HomeTeam], J$36, Table2[ActualResult], "OT") + SUMIFS(Table2[AwayWon], Table2[GameIsOver],1,Table2[HomeTeam],$A58, Table2[AwayTeam], J$36, Table2[ActualResult], "OT") + SUMIFS(Table2[HomeWon_], Table2[GameIsOver],1,Table2[AwayTeam],$A58, Table2[HomeTeam], J$36, Table2[ActualResult], "SO") + SUMIFS(Table2[AwayWon], Table2[GameIsOver],1,Table2[HomeTeam],$A58, Table2[AwayTeam], J$36, Table2[ActualResult], "SO")) / (2*(SUMIFS(Table2[AwayWon], Table2[GameIsOver],1,Table2[AwayTeam],$A58, Table2[HomeTeam], J$36) + SUMIFS(Table2[HomeWon_], Table2[GameIsOver],1,Table2[HomeTeam],$A58, Table2[AwayTeam], J$36) + SUMIFS(Table2[HomeWon_], Table2[GameIsOver],1,Table2[AwayTeam],$A58, Table2[HomeTeam], J$36, Table2[ActualResult], "REG") + SUMIFS(Table2[AwayWon], Table2[GameIsOver],1,Table2[HomeTeam],$A58, Table2[AwayTeam], J$36, Table2[ActualResult], "REG") + SUMIFS(Table2[HomeWon_], Table2[GameIsOver],1,Table2[AwayTeam],$A58, Table2[HomeTeam], J$36, Table2[ActualResult], "OT") + SUMIFS(Table2[AwayWon], Table2[GameIsOver],1,Table2[HomeTeam],$A58, Table2[AwayTeam], J$36, Table2[ActualResult], "OT") + SUMIFS(Table2[HomeWon_], Table2[GameIsOver],1,Table2[AwayTeam],$A58, Table2[HomeTeam], J$36, Table2[ActualResult], "SO") + SUMIFS(Table2[AwayWon], Table2[GameIsOver],1,Table2[HomeTeam],$A58, Table2[AwayTeam], J$36, Table2[ActualResult], "SO"))), "")</f>
        <v/>
      </c>
      <c r="K58" t="str">
        <f>IFERROR(((2*SUMIFS(Table2[AwayWon], Table2[GameIsOver],1,Table2[AwayTeam],$A58, Table2[HomeTeam], K$36) + SUMIFS(Table2[HomeWon_], Table2[GameIsOver],1,Table2[HomeTeam],$A58, Table2[AwayTeam], K$36)) + SUMIFS(Table2[AwayWon], Table2[GameIsOver],1,Table2[HomeTeam],$A58, Table2[AwayTeam], K$36, Table2[ActualResult], "REG") + SUMIFS(Table2[HomeWon_], Table2[GameIsOver],1,Table2[AwayTeam],$A58, Table2[HomeTeam], K$36, Table2[ActualResult], "OT") + SUMIFS(Table2[AwayWon], Table2[GameIsOver],1,Table2[HomeTeam],$A58, Table2[AwayTeam], K$36, Table2[ActualResult], "OT") + SUMIFS(Table2[HomeWon_], Table2[GameIsOver],1,Table2[AwayTeam],$A58, Table2[HomeTeam], K$36, Table2[ActualResult], "SO") + SUMIFS(Table2[AwayWon], Table2[GameIsOver],1,Table2[HomeTeam],$A58, Table2[AwayTeam], K$36, Table2[ActualResult], "SO")) / (2*(SUMIFS(Table2[AwayWon], Table2[GameIsOver],1,Table2[AwayTeam],$A58, Table2[HomeTeam], K$36) + SUMIFS(Table2[HomeWon_], Table2[GameIsOver],1,Table2[HomeTeam],$A58, Table2[AwayTeam], K$36) + SUMIFS(Table2[HomeWon_], Table2[GameIsOver],1,Table2[AwayTeam],$A58, Table2[HomeTeam], K$36, Table2[ActualResult], "REG") + SUMIFS(Table2[AwayWon], Table2[GameIsOver],1,Table2[HomeTeam],$A58, Table2[AwayTeam], K$36, Table2[ActualResult], "REG") + SUMIFS(Table2[HomeWon_], Table2[GameIsOver],1,Table2[AwayTeam],$A58, Table2[HomeTeam], K$36, Table2[ActualResult], "OT") + SUMIFS(Table2[AwayWon], Table2[GameIsOver],1,Table2[HomeTeam],$A58, Table2[AwayTeam], K$36, Table2[ActualResult], "OT") + SUMIFS(Table2[HomeWon_], Table2[GameIsOver],1,Table2[AwayTeam],$A58, Table2[HomeTeam], K$36, Table2[ActualResult], "SO") + SUMIFS(Table2[AwayWon], Table2[GameIsOver],1,Table2[HomeTeam],$A58, Table2[AwayTeam], K$36, Table2[ActualResult], "SO"))), "")</f>
        <v/>
      </c>
      <c r="L58" t="str">
        <f>IFERROR(((2*SUMIFS(Table2[AwayWon], Table2[GameIsOver],1,Table2[AwayTeam],$A58, Table2[HomeTeam], L$36) + SUMIFS(Table2[HomeWon_], Table2[GameIsOver],1,Table2[HomeTeam],$A58, Table2[AwayTeam], L$36)) + SUMIFS(Table2[AwayWon], Table2[GameIsOver],1,Table2[HomeTeam],$A58, Table2[AwayTeam], L$36, Table2[ActualResult], "REG") + SUMIFS(Table2[HomeWon_], Table2[GameIsOver],1,Table2[AwayTeam],$A58, Table2[HomeTeam], L$36, Table2[ActualResult], "OT") + SUMIFS(Table2[AwayWon], Table2[GameIsOver],1,Table2[HomeTeam],$A58, Table2[AwayTeam], L$36, Table2[ActualResult], "OT") + SUMIFS(Table2[HomeWon_], Table2[GameIsOver],1,Table2[AwayTeam],$A58, Table2[HomeTeam], L$36, Table2[ActualResult], "SO") + SUMIFS(Table2[AwayWon], Table2[GameIsOver],1,Table2[HomeTeam],$A58, Table2[AwayTeam], L$36, Table2[ActualResult], "SO")) / (2*(SUMIFS(Table2[AwayWon], Table2[GameIsOver],1,Table2[AwayTeam],$A58, Table2[HomeTeam], L$36) + SUMIFS(Table2[HomeWon_], Table2[GameIsOver],1,Table2[HomeTeam],$A58, Table2[AwayTeam], L$36) + SUMIFS(Table2[HomeWon_], Table2[GameIsOver],1,Table2[AwayTeam],$A58, Table2[HomeTeam], L$36, Table2[ActualResult], "REG") + SUMIFS(Table2[AwayWon], Table2[GameIsOver],1,Table2[HomeTeam],$A58, Table2[AwayTeam], L$36, Table2[ActualResult], "REG") + SUMIFS(Table2[HomeWon_], Table2[GameIsOver],1,Table2[AwayTeam],$A58, Table2[HomeTeam], L$36, Table2[ActualResult], "OT") + SUMIFS(Table2[AwayWon], Table2[GameIsOver],1,Table2[HomeTeam],$A58, Table2[AwayTeam], L$36, Table2[ActualResult], "OT") + SUMIFS(Table2[HomeWon_], Table2[GameIsOver],1,Table2[AwayTeam],$A58, Table2[HomeTeam], L$36, Table2[ActualResult], "SO") + SUMIFS(Table2[AwayWon], Table2[GameIsOver],1,Table2[HomeTeam],$A58, Table2[AwayTeam], L$36, Table2[ActualResult], "SO"))), "")</f>
        <v/>
      </c>
      <c r="M58">
        <f>IFERROR(((2*SUMIFS(Table2[AwayWon], Table2[GameIsOver],1,Table2[AwayTeam],$A58, Table2[HomeTeam], M$36) + SUMIFS(Table2[HomeWon_], Table2[GameIsOver],1,Table2[HomeTeam],$A58, Table2[AwayTeam], M$36)) + SUMIFS(Table2[AwayWon], Table2[GameIsOver],1,Table2[HomeTeam],$A58, Table2[AwayTeam], M$36, Table2[ActualResult], "REG") + SUMIFS(Table2[HomeWon_], Table2[GameIsOver],1,Table2[AwayTeam],$A58, Table2[HomeTeam], M$36, Table2[ActualResult], "OT") + SUMIFS(Table2[AwayWon], Table2[GameIsOver],1,Table2[HomeTeam],$A58, Table2[AwayTeam], M$36, Table2[ActualResult], "OT") + SUMIFS(Table2[HomeWon_], Table2[GameIsOver],1,Table2[AwayTeam],$A58, Table2[HomeTeam], M$36, Table2[ActualResult], "SO") + SUMIFS(Table2[AwayWon], Table2[GameIsOver],1,Table2[HomeTeam],$A58, Table2[AwayTeam], M$36, Table2[ActualResult], "SO")) / (2*(SUMIFS(Table2[AwayWon], Table2[GameIsOver],1,Table2[AwayTeam],$A58, Table2[HomeTeam], M$36) + SUMIFS(Table2[HomeWon_], Table2[GameIsOver],1,Table2[HomeTeam],$A58, Table2[AwayTeam], M$36) + SUMIFS(Table2[HomeWon_], Table2[GameIsOver],1,Table2[AwayTeam],$A58, Table2[HomeTeam], M$36, Table2[ActualResult], "REG") + SUMIFS(Table2[AwayWon], Table2[GameIsOver],1,Table2[HomeTeam],$A58, Table2[AwayTeam], M$36, Table2[ActualResult], "REG") + SUMIFS(Table2[HomeWon_], Table2[GameIsOver],1,Table2[AwayTeam],$A58, Table2[HomeTeam], M$36, Table2[ActualResult], "OT") + SUMIFS(Table2[AwayWon], Table2[GameIsOver],1,Table2[HomeTeam],$A58, Table2[AwayTeam], M$36, Table2[ActualResult], "OT") + SUMIFS(Table2[HomeWon_], Table2[GameIsOver],1,Table2[AwayTeam],$A58, Table2[HomeTeam], M$36, Table2[ActualResult], "SO") + SUMIFS(Table2[AwayWon], Table2[GameIsOver],1,Table2[HomeTeam],$A58, Table2[AwayTeam], M$36, Table2[ActualResult], "SO"))), "")</f>
        <v>0.5</v>
      </c>
      <c r="N58" t="str">
        <f>IFERROR(((2*SUMIFS(Table2[AwayWon], Table2[GameIsOver],1,Table2[AwayTeam],$A58, Table2[HomeTeam], N$36) + SUMIFS(Table2[HomeWon_], Table2[GameIsOver],1,Table2[HomeTeam],$A58, Table2[AwayTeam], N$36)) + SUMIFS(Table2[AwayWon], Table2[GameIsOver],1,Table2[HomeTeam],$A58, Table2[AwayTeam], N$36, Table2[ActualResult], "REG") + SUMIFS(Table2[HomeWon_], Table2[GameIsOver],1,Table2[AwayTeam],$A58, Table2[HomeTeam], N$36, Table2[ActualResult], "OT") + SUMIFS(Table2[AwayWon], Table2[GameIsOver],1,Table2[HomeTeam],$A58, Table2[AwayTeam], N$36, Table2[ActualResult], "OT") + SUMIFS(Table2[HomeWon_], Table2[GameIsOver],1,Table2[AwayTeam],$A58, Table2[HomeTeam], N$36, Table2[ActualResult], "SO") + SUMIFS(Table2[AwayWon], Table2[GameIsOver],1,Table2[HomeTeam],$A58, Table2[AwayTeam], N$36, Table2[ActualResult], "SO")) / (2*(SUMIFS(Table2[AwayWon], Table2[GameIsOver],1,Table2[AwayTeam],$A58, Table2[HomeTeam], N$36) + SUMIFS(Table2[HomeWon_], Table2[GameIsOver],1,Table2[HomeTeam],$A58, Table2[AwayTeam], N$36) + SUMIFS(Table2[HomeWon_], Table2[GameIsOver],1,Table2[AwayTeam],$A58, Table2[HomeTeam], N$36, Table2[ActualResult], "REG") + SUMIFS(Table2[AwayWon], Table2[GameIsOver],1,Table2[HomeTeam],$A58, Table2[AwayTeam], N$36, Table2[ActualResult], "REG") + SUMIFS(Table2[HomeWon_], Table2[GameIsOver],1,Table2[AwayTeam],$A58, Table2[HomeTeam], N$36, Table2[ActualResult], "OT") + SUMIFS(Table2[AwayWon], Table2[GameIsOver],1,Table2[HomeTeam],$A58, Table2[AwayTeam], N$36, Table2[ActualResult], "OT") + SUMIFS(Table2[HomeWon_], Table2[GameIsOver],1,Table2[AwayTeam],$A58, Table2[HomeTeam], N$36, Table2[ActualResult], "SO") + SUMIFS(Table2[AwayWon], Table2[GameIsOver],1,Table2[HomeTeam],$A58, Table2[AwayTeam], N$36, Table2[ActualResult], "SO"))), "")</f>
        <v/>
      </c>
      <c r="O58" t="str">
        <f>IFERROR(((2*SUMIFS(Table2[AwayWon], Table2[GameIsOver],1,Table2[AwayTeam],$A58, Table2[HomeTeam], O$36) + SUMIFS(Table2[HomeWon_], Table2[GameIsOver],1,Table2[HomeTeam],$A58, Table2[AwayTeam], O$36)) + SUMIFS(Table2[AwayWon], Table2[GameIsOver],1,Table2[HomeTeam],$A58, Table2[AwayTeam], O$36, Table2[ActualResult], "REG") + SUMIFS(Table2[HomeWon_], Table2[GameIsOver],1,Table2[AwayTeam],$A58, Table2[HomeTeam], O$36, Table2[ActualResult], "OT") + SUMIFS(Table2[AwayWon], Table2[GameIsOver],1,Table2[HomeTeam],$A58, Table2[AwayTeam], O$36, Table2[ActualResult], "OT") + SUMIFS(Table2[HomeWon_], Table2[GameIsOver],1,Table2[AwayTeam],$A58, Table2[HomeTeam], O$36, Table2[ActualResult], "SO") + SUMIFS(Table2[AwayWon], Table2[GameIsOver],1,Table2[HomeTeam],$A58, Table2[AwayTeam], O$36, Table2[ActualResult], "SO")) / (2*(SUMIFS(Table2[AwayWon], Table2[GameIsOver],1,Table2[AwayTeam],$A58, Table2[HomeTeam], O$36) + SUMIFS(Table2[HomeWon_], Table2[GameIsOver],1,Table2[HomeTeam],$A58, Table2[AwayTeam], O$36) + SUMIFS(Table2[HomeWon_], Table2[GameIsOver],1,Table2[AwayTeam],$A58, Table2[HomeTeam], O$36, Table2[ActualResult], "REG") + SUMIFS(Table2[AwayWon], Table2[GameIsOver],1,Table2[HomeTeam],$A58, Table2[AwayTeam], O$36, Table2[ActualResult], "REG") + SUMIFS(Table2[HomeWon_], Table2[GameIsOver],1,Table2[AwayTeam],$A58, Table2[HomeTeam], O$36, Table2[ActualResult], "OT") + SUMIFS(Table2[AwayWon], Table2[GameIsOver],1,Table2[HomeTeam],$A58, Table2[AwayTeam], O$36, Table2[ActualResult], "OT") + SUMIFS(Table2[HomeWon_], Table2[GameIsOver],1,Table2[AwayTeam],$A58, Table2[HomeTeam], O$36, Table2[ActualResult], "SO") + SUMIFS(Table2[AwayWon], Table2[GameIsOver],1,Table2[HomeTeam],$A58, Table2[AwayTeam], O$36, Table2[ActualResult], "SO"))), "")</f>
        <v/>
      </c>
      <c r="P58" t="str">
        <f>IFERROR(((2*SUMIFS(Table2[AwayWon], Table2[GameIsOver],1,Table2[AwayTeam],$A58, Table2[HomeTeam], P$36) + SUMIFS(Table2[HomeWon_], Table2[GameIsOver],1,Table2[HomeTeam],$A58, Table2[AwayTeam], P$36)) + SUMIFS(Table2[AwayWon], Table2[GameIsOver],1,Table2[HomeTeam],$A58, Table2[AwayTeam], P$36, Table2[ActualResult], "REG") + SUMIFS(Table2[HomeWon_], Table2[GameIsOver],1,Table2[AwayTeam],$A58, Table2[HomeTeam], P$36, Table2[ActualResult], "OT") + SUMIFS(Table2[AwayWon], Table2[GameIsOver],1,Table2[HomeTeam],$A58, Table2[AwayTeam], P$36, Table2[ActualResult], "OT") + SUMIFS(Table2[HomeWon_], Table2[GameIsOver],1,Table2[AwayTeam],$A58, Table2[HomeTeam], P$36, Table2[ActualResult], "SO") + SUMIFS(Table2[AwayWon], Table2[GameIsOver],1,Table2[HomeTeam],$A58, Table2[AwayTeam], P$36, Table2[ActualResult], "SO")) / (2*(SUMIFS(Table2[AwayWon], Table2[GameIsOver],1,Table2[AwayTeam],$A58, Table2[HomeTeam], P$36) + SUMIFS(Table2[HomeWon_], Table2[GameIsOver],1,Table2[HomeTeam],$A58, Table2[AwayTeam], P$36) + SUMIFS(Table2[HomeWon_], Table2[GameIsOver],1,Table2[AwayTeam],$A58, Table2[HomeTeam], P$36, Table2[ActualResult], "REG") + SUMIFS(Table2[AwayWon], Table2[GameIsOver],1,Table2[HomeTeam],$A58, Table2[AwayTeam], P$36, Table2[ActualResult], "REG") + SUMIFS(Table2[HomeWon_], Table2[GameIsOver],1,Table2[AwayTeam],$A58, Table2[HomeTeam], P$36, Table2[ActualResult], "OT") + SUMIFS(Table2[AwayWon], Table2[GameIsOver],1,Table2[HomeTeam],$A58, Table2[AwayTeam], P$36, Table2[ActualResult], "OT") + SUMIFS(Table2[HomeWon_], Table2[GameIsOver],1,Table2[AwayTeam],$A58, Table2[HomeTeam], P$36, Table2[ActualResult], "SO") + SUMIFS(Table2[AwayWon], Table2[GameIsOver],1,Table2[HomeTeam],$A58, Table2[AwayTeam], P$36, Table2[ActualResult], "SO"))), "")</f>
        <v/>
      </c>
      <c r="Q58" s="57">
        <f>IFERROR(((2*SUMIFS(Table2[AwayWon], Table2[GameIsOver],1,Table2[AwayTeam],$A58, Table2[HomeTeam], Q$36) + SUMIFS(Table2[HomeWon_], Table2[GameIsOver],1,Table2[HomeTeam],$A58, Table2[AwayTeam], Q$36)) + SUMIFS(Table2[AwayWon], Table2[GameIsOver],1,Table2[HomeTeam],$A58, Table2[AwayTeam], Q$36, Table2[ActualResult], "REG") + SUMIFS(Table2[HomeWon_], Table2[GameIsOver],1,Table2[AwayTeam],$A58, Table2[HomeTeam], Q$36, Table2[ActualResult], "OT") + SUMIFS(Table2[AwayWon], Table2[GameIsOver],1,Table2[HomeTeam],$A58, Table2[AwayTeam], Q$36, Table2[ActualResult], "OT") + SUMIFS(Table2[HomeWon_], Table2[GameIsOver],1,Table2[AwayTeam],$A58, Table2[HomeTeam], Q$36, Table2[ActualResult], "SO") + SUMIFS(Table2[AwayWon], Table2[GameIsOver],1,Table2[HomeTeam],$A58, Table2[AwayTeam], Q$36, Table2[ActualResult], "SO")) / (2*(SUMIFS(Table2[AwayWon], Table2[GameIsOver],1,Table2[AwayTeam],$A58, Table2[HomeTeam], Q$36) + SUMIFS(Table2[HomeWon_], Table2[GameIsOver],1,Table2[HomeTeam],$A58, Table2[AwayTeam], Q$36) + SUMIFS(Table2[HomeWon_], Table2[GameIsOver],1,Table2[AwayTeam],$A58, Table2[HomeTeam], Q$36, Table2[ActualResult], "REG") + SUMIFS(Table2[AwayWon], Table2[GameIsOver],1,Table2[HomeTeam],$A58, Table2[AwayTeam], Q$36, Table2[ActualResult], "REG") + SUMIFS(Table2[HomeWon_], Table2[GameIsOver],1,Table2[AwayTeam],$A58, Table2[HomeTeam], Q$36, Table2[ActualResult], "OT") + SUMIFS(Table2[AwayWon], Table2[GameIsOver],1,Table2[HomeTeam],$A58, Table2[AwayTeam], Q$36, Table2[ActualResult], "OT") + SUMIFS(Table2[HomeWon_], Table2[GameIsOver],1,Table2[AwayTeam],$A58, Table2[HomeTeam], Q$36, Table2[ActualResult], "SO") + SUMIFS(Table2[AwayWon], Table2[GameIsOver],1,Table2[HomeTeam],$A58, Table2[AwayTeam], Q$36, Table2[ActualResult], "SO"))), "")</f>
        <v>0.5</v>
      </c>
      <c r="R58">
        <f>IFERROR(((2*SUMIFS(Table2[AwayWon], Table2[GameIsOver],1,Table2[AwayTeam],$A58, Table2[HomeTeam], R$36) + SUMIFS(Table2[HomeWon_], Table2[GameIsOver],1,Table2[HomeTeam],$A58, Table2[AwayTeam], R$36)) + SUMIFS(Table2[AwayWon], Table2[GameIsOver],1,Table2[HomeTeam],$A58, Table2[AwayTeam], R$36, Table2[ActualResult], "REG") + SUMIFS(Table2[HomeWon_], Table2[GameIsOver],1,Table2[AwayTeam],$A58, Table2[HomeTeam], R$36, Table2[ActualResult], "OT") + SUMIFS(Table2[AwayWon], Table2[GameIsOver],1,Table2[HomeTeam],$A58, Table2[AwayTeam], R$36, Table2[ActualResult], "OT") + SUMIFS(Table2[HomeWon_], Table2[GameIsOver],1,Table2[AwayTeam],$A58, Table2[HomeTeam], R$36, Table2[ActualResult], "SO") + SUMIFS(Table2[AwayWon], Table2[GameIsOver],1,Table2[HomeTeam],$A58, Table2[AwayTeam], R$36, Table2[ActualResult], "SO")) / (2*(SUMIFS(Table2[AwayWon], Table2[GameIsOver],1,Table2[AwayTeam],$A58, Table2[HomeTeam], R$36) + SUMIFS(Table2[HomeWon_], Table2[GameIsOver],1,Table2[HomeTeam],$A58, Table2[AwayTeam], R$36) + SUMIFS(Table2[HomeWon_], Table2[GameIsOver],1,Table2[AwayTeam],$A58, Table2[HomeTeam], R$36, Table2[ActualResult], "REG") + SUMIFS(Table2[AwayWon], Table2[GameIsOver],1,Table2[HomeTeam],$A58, Table2[AwayTeam], R$36, Table2[ActualResult], "REG") + SUMIFS(Table2[HomeWon_], Table2[GameIsOver],1,Table2[AwayTeam],$A58, Table2[HomeTeam], R$36, Table2[ActualResult], "OT") + SUMIFS(Table2[AwayWon], Table2[GameIsOver],1,Table2[HomeTeam],$A58, Table2[AwayTeam], R$36, Table2[ActualResult], "OT") + SUMIFS(Table2[HomeWon_], Table2[GameIsOver],1,Table2[AwayTeam],$A58, Table2[HomeTeam], R$36, Table2[ActualResult], "SO") + SUMIFS(Table2[AwayWon], Table2[GameIsOver],1,Table2[HomeTeam],$A58, Table2[AwayTeam], R$36, Table2[ActualResult], "SO"))), "")</f>
        <v>0.5</v>
      </c>
      <c r="S58" t="str">
        <f>IFERROR(((2*SUMIFS(Table2[AwayWon], Table2[GameIsOver],1,Table2[AwayTeam],$A58, Table2[HomeTeam], S$36) + SUMIFS(Table2[HomeWon_], Table2[GameIsOver],1,Table2[HomeTeam],$A58, Table2[AwayTeam], S$36)) + SUMIFS(Table2[AwayWon], Table2[GameIsOver],1,Table2[HomeTeam],$A58, Table2[AwayTeam], S$36, Table2[ActualResult], "REG") + SUMIFS(Table2[HomeWon_], Table2[GameIsOver],1,Table2[AwayTeam],$A58, Table2[HomeTeam], S$36, Table2[ActualResult], "OT") + SUMIFS(Table2[AwayWon], Table2[GameIsOver],1,Table2[HomeTeam],$A58, Table2[AwayTeam], S$36, Table2[ActualResult], "OT") + SUMIFS(Table2[HomeWon_], Table2[GameIsOver],1,Table2[AwayTeam],$A58, Table2[HomeTeam], S$36, Table2[ActualResult], "SO") + SUMIFS(Table2[AwayWon], Table2[GameIsOver],1,Table2[HomeTeam],$A58, Table2[AwayTeam], S$36, Table2[ActualResult], "SO")) / (2*(SUMIFS(Table2[AwayWon], Table2[GameIsOver],1,Table2[AwayTeam],$A58, Table2[HomeTeam], S$36) + SUMIFS(Table2[HomeWon_], Table2[GameIsOver],1,Table2[HomeTeam],$A58, Table2[AwayTeam], S$36) + SUMIFS(Table2[HomeWon_], Table2[GameIsOver],1,Table2[AwayTeam],$A58, Table2[HomeTeam], S$36, Table2[ActualResult], "REG") + SUMIFS(Table2[AwayWon], Table2[GameIsOver],1,Table2[HomeTeam],$A58, Table2[AwayTeam], S$36, Table2[ActualResult], "REG") + SUMIFS(Table2[HomeWon_], Table2[GameIsOver],1,Table2[AwayTeam],$A58, Table2[HomeTeam], S$36, Table2[ActualResult], "OT") + SUMIFS(Table2[AwayWon], Table2[GameIsOver],1,Table2[HomeTeam],$A58, Table2[AwayTeam], S$36, Table2[ActualResult], "OT") + SUMIFS(Table2[HomeWon_], Table2[GameIsOver],1,Table2[AwayTeam],$A58, Table2[HomeTeam], S$36, Table2[ActualResult], "SO") + SUMIFS(Table2[AwayWon], Table2[GameIsOver],1,Table2[HomeTeam],$A58, Table2[AwayTeam], S$36, Table2[ActualResult], "SO"))), "")</f>
        <v/>
      </c>
      <c r="T58" t="str">
        <f>IFERROR(((2*SUMIFS(Table2[AwayWon], Table2[GameIsOver],1,Table2[AwayTeam],$A58, Table2[HomeTeam], T$36) + SUMIFS(Table2[HomeWon_], Table2[GameIsOver],1,Table2[HomeTeam],$A58, Table2[AwayTeam], T$36)) + SUMIFS(Table2[AwayWon], Table2[GameIsOver],1,Table2[HomeTeam],$A58, Table2[AwayTeam], T$36, Table2[ActualResult], "REG") + SUMIFS(Table2[HomeWon_], Table2[GameIsOver],1,Table2[AwayTeam],$A58, Table2[HomeTeam], T$36, Table2[ActualResult], "OT") + SUMIFS(Table2[AwayWon], Table2[GameIsOver],1,Table2[HomeTeam],$A58, Table2[AwayTeam], T$36, Table2[ActualResult], "OT") + SUMIFS(Table2[HomeWon_], Table2[GameIsOver],1,Table2[AwayTeam],$A58, Table2[HomeTeam], T$36, Table2[ActualResult], "SO") + SUMIFS(Table2[AwayWon], Table2[GameIsOver],1,Table2[HomeTeam],$A58, Table2[AwayTeam], T$36, Table2[ActualResult], "SO")) / (2*(SUMIFS(Table2[AwayWon], Table2[GameIsOver],1,Table2[AwayTeam],$A58, Table2[HomeTeam], T$36) + SUMIFS(Table2[HomeWon_], Table2[GameIsOver],1,Table2[HomeTeam],$A58, Table2[AwayTeam], T$36) + SUMIFS(Table2[HomeWon_], Table2[GameIsOver],1,Table2[AwayTeam],$A58, Table2[HomeTeam], T$36, Table2[ActualResult], "REG") + SUMIFS(Table2[AwayWon], Table2[GameIsOver],1,Table2[HomeTeam],$A58, Table2[AwayTeam], T$36, Table2[ActualResult], "REG") + SUMIFS(Table2[HomeWon_], Table2[GameIsOver],1,Table2[AwayTeam],$A58, Table2[HomeTeam], T$36, Table2[ActualResult], "OT") + SUMIFS(Table2[AwayWon], Table2[GameIsOver],1,Table2[HomeTeam],$A58, Table2[AwayTeam], T$36, Table2[ActualResult], "OT") + SUMIFS(Table2[HomeWon_], Table2[GameIsOver],1,Table2[AwayTeam],$A58, Table2[HomeTeam], T$36, Table2[ActualResult], "SO") + SUMIFS(Table2[AwayWon], Table2[GameIsOver],1,Table2[HomeTeam],$A58, Table2[AwayTeam], T$36, Table2[ActualResult], "SO"))), "")</f>
        <v/>
      </c>
      <c r="U58" t="str">
        <f>IFERROR(((2*SUMIFS(Table2[AwayWon], Table2[GameIsOver],1,Table2[AwayTeam],$A58, Table2[HomeTeam], U$36) + SUMIFS(Table2[HomeWon_], Table2[GameIsOver],1,Table2[HomeTeam],$A58, Table2[AwayTeam], U$36)) + SUMIFS(Table2[AwayWon], Table2[GameIsOver],1,Table2[HomeTeam],$A58, Table2[AwayTeam], U$36, Table2[ActualResult], "REG") + SUMIFS(Table2[HomeWon_], Table2[GameIsOver],1,Table2[AwayTeam],$A58, Table2[HomeTeam], U$36, Table2[ActualResult], "OT") + SUMIFS(Table2[AwayWon], Table2[GameIsOver],1,Table2[HomeTeam],$A58, Table2[AwayTeam], U$36, Table2[ActualResult], "OT") + SUMIFS(Table2[HomeWon_], Table2[GameIsOver],1,Table2[AwayTeam],$A58, Table2[HomeTeam], U$36, Table2[ActualResult], "SO") + SUMIFS(Table2[AwayWon], Table2[GameIsOver],1,Table2[HomeTeam],$A58, Table2[AwayTeam], U$36, Table2[ActualResult], "SO")) / (2*(SUMIFS(Table2[AwayWon], Table2[GameIsOver],1,Table2[AwayTeam],$A58, Table2[HomeTeam], U$36) + SUMIFS(Table2[HomeWon_], Table2[GameIsOver],1,Table2[HomeTeam],$A58, Table2[AwayTeam], U$36) + SUMIFS(Table2[HomeWon_], Table2[GameIsOver],1,Table2[AwayTeam],$A58, Table2[HomeTeam], U$36, Table2[ActualResult], "REG") + SUMIFS(Table2[AwayWon], Table2[GameIsOver],1,Table2[HomeTeam],$A58, Table2[AwayTeam], U$36, Table2[ActualResult], "REG") + SUMIFS(Table2[HomeWon_], Table2[GameIsOver],1,Table2[AwayTeam],$A58, Table2[HomeTeam], U$36, Table2[ActualResult], "OT") + SUMIFS(Table2[AwayWon], Table2[GameIsOver],1,Table2[HomeTeam],$A58, Table2[AwayTeam], U$36, Table2[ActualResult], "OT") + SUMIFS(Table2[HomeWon_], Table2[GameIsOver],1,Table2[AwayTeam],$A58, Table2[HomeTeam], U$36, Table2[ActualResult], "SO") + SUMIFS(Table2[AwayWon], Table2[GameIsOver],1,Table2[HomeTeam],$A58, Table2[AwayTeam], U$36, Table2[ActualResult], "SO"))), "")</f>
        <v/>
      </c>
      <c r="V58" t="str">
        <f>IFERROR(((2*SUMIFS(Table2[AwayWon], Table2[GameIsOver],1,Table2[AwayTeam],$A58, Table2[HomeTeam], V$36) + SUMIFS(Table2[HomeWon_], Table2[GameIsOver],1,Table2[HomeTeam],$A58, Table2[AwayTeam], V$36)) + SUMIFS(Table2[AwayWon], Table2[GameIsOver],1,Table2[HomeTeam],$A58, Table2[AwayTeam], V$36, Table2[ActualResult], "REG") + SUMIFS(Table2[HomeWon_], Table2[GameIsOver],1,Table2[AwayTeam],$A58, Table2[HomeTeam], V$36, Table2[ActualResult], "OT") + SUMIFS(Table2[AwayWon], Table2[GameIsOver],1,Table2[HomeTeam],$A58, Table2[AwayTeam], V$36, Table2[ActualResult], "OT") + SUMIFS(Table2[HomeWon_], Table2[GameIsOver],1,Table2[AwayTeam],$A58, Table2[HomeTeam], V$36, Table2[ActualResult], "SO") + SUMIFS(Table2[AwayWon], Table2[GameIsOver],1,Table2[HomeTeam],$A58, Table2[AwayTeam], V$36, Table2[ActualResult], "SO")) / (2*(SUMIFS(Table2[AwayWon], Table2[GameIsOver],1,Table2[AwayTeam],$A58, Table2[HomeTeam], V$36) + SUMIFS(Table2[HomeWon_], Table2[GameIsOver],1,Table2[HomeTeam],$A58, Table2[AwayTeam], V$36) + SUMIFS(Table2[HomeWon_], Table2[GameIsOver],1,Table2[AwayTeam],$A58, Table2[HomeTeam], V$36, Table2[ActualResult], "REG") + SUMIFS(Table2[AwayWon], Table2[GameIsOver],1,Table2[HomeTeam],$A58, Table2[AwayTeam], V$36, Table2[ActualResult], "REG") + SUMIFS(Table2[HomeWon_], Table2[GameIsOver],1,Table2[AwayTeam],$A58, Table2[HomeTeam], V$36, Table2[ActualResult], "OT") + SUMIFS(Table2[AwayWon], Table2[GameIsOver],1,Table2[HomeTeam],$A58, Table2[AwayTeam], V$36, Table2[ActualResult], "OT") + SUMIFS(Table2[HomeWon_], Table2[GameIsOver],1,Table2[AwayTeam],$A58, Table2[HomeTeam], V$36, Table2[ActualResult], "SO") + SUMIFS(Table2[AwayWon], Table2[GameIsOver],1,Table2[HomeTeam],$A58, Table2[AwayTeam], V$36, Table2[ActualResult], "SO"))), "")</f>
        <v/>
      </c>
      <c r="W58" s="98" t="str">
        <f>IFERROR(((2*SUMIFS(Table2[AwayWon], Table2[GameIsOver],1,Table2[AwayTeam],$A58, Table2[HomeTeam], W$36) + SUMIFS(Table2[HomeWon_], Table2[GameIsOver],1,Table2[HomeTeam],$A58, Table2[AwayTeam], W$36)) + SUMIFS(Table2[AwayWon], Table2[GameIsOver],1,Table2[HomeTeam],$A58, Table2[AwayTeam], W$36, Table2[ActualResult], "REG") + SUMIFS(Table2[HomeWon_], Table2[GameIsOver],1,Table2[AwayTeam],$A58, Table2[HomeTeam], W$36, Table2[ActualResult], "OT") + SUMIFS(Table2[AwayWon], Table2[GameIsOver],1,Table2[HomeTeam],$A58, Table2[AwayTeam], W$36, Table2[ActualResult], "OT") + SUMIFS(Table2[HomeWon_], Table2[GameIsOver],1,Table2[AwayTeam],$A58, Table2[HomeTeam], W$36, Table2[ActualResult], "SO") + SUMIFS(Table2[AwayWon], Table2[GameIsOver],1,Table2[HomeTeam],$A58, Table2[AwayTeam], W$36, Table2[ActualResult], "SO")) / (2*(SUMIFS(Table2[AwayWon], Table2[GameIsOver],1,Table2[AwayTeam],$A58, Table2[HomeTeam], W$36) + SUMIFS(Table2[HomeWon_], Table2[GameIsOver],1,Table2[HomeTeam],$A58, Table2[AwayTeam], W$36) + SUMIFS(Table2[HomeWon_], Table2[GameIsOver],1,Table2[AwayTeam],$A58, Table2[HomeTeam], W$36, Table2[ActualResult], "REG") + SUMIFS(Table2[AwayWon], Table2[GameIsOver],1,Table2[HomeTeam],$A58, Table2[AwayTeam], W$36, Table2[ActualResult], "REG") + SUMIFS(Table2[HomeWon_], Table2[GameIsOver],1,Table2[AwayTeam],$A58, Table2[HomeTeam], W$36, Table2[ActualResult], "OT") + SUMIFS(Table2[AwayWon], Table2[GameIsOver],1,Table2[HomeTeam],$A58, Table2[AwayTeam], W$36, Table2[ActualResult], "OT") + SUMIFS(Table2[HomeWon_], Table2[GameIsOver],1,Table2[AwayTeam],$A58, Table2[HomeTeam], W$36, Table2[ActualResult], "SO") + SUMIFS(Table2[AwayWon], Table2[GameIsOver],1,Table2[HomeTeam],$A58, Table2[AwayTeam], W$36, Table2[ActualResult], "SO"))), "")</f>
        <v/>
      </c>
      <c r="X58" t="str">
        <f>IFERROR(((2*SUMIFS(Table2[AwayWon], Table2[GameIsOver],1,Table2[AwayTeam],$A58, Table2[HomeTeam], X$36) + SUMIFS(Table2[HomeWon_], Table2[GameIsOver],1,Table2[HomeTeam],$A58, Table2[AwayTeam], X$36)) + SUMIFS(Table2[AwayWon], Table2[GameIsOver],1,Table2[HomeTeam],$A58, Table2[AwayTeam], X$36, Table2[ActualResult], "REG") + SUMIFS(Table2[HomeWon_], Table2[GameIsOver],1,Table2[AwayTeam],$A58, Table2[HomeTeam], X$36, Table2[ActualResult], "OT") + SUMIFS(Table2[AwayWon], Table2[GameIsOver],1,Table2[HomeTeam],$A58, Table2[AwayTeam], X$36, Table2[ActualResult], "OT") + SUMIFS(Table2[HomeWon_], Table2[GameIsOver],1,Table2[AwayTeam],$A58, Table2[HomeTeam], X$36, Table2[ActualResult], "SO") + SUMIFS(Table2[AwayWon], Table2[GameIsOver],1,Table2[HomeTeam],$A58, Table2[AwayTeam], X$36, Table2[ActualResult], "SO")) / (2*(SUMIFS(Table2[AwayWon], Table2[GameIsOver],1,Table2[AwayTeam],$A58, Table2[HomeTeam], X$36) + SUMIFS(Table2[HomeWon_], Table2[GameIsOver],1,Table2[HomeTeam],$A58, Table2[AwayTeam], X$36) + SUMIFS(Table2[HomeWon_], Table2[GameIsOver],1,Table2[AwayTeam],$A58, Table2[HomeTeam], X$36, Table2[ActualResult], "REG") + SUMIFS(Table2[AwayWon], Table2[GameIsOver],1,Table2[HomeTeam],$A58, Table2[AwayTeam], X$36, Table2[ActualResult], "REG") + SUMIFS(Table2[HomeWon_], Table2[GameIsOver],1,Table2[AwayTeam],$A58, Table2[HomeTeam], X$36, Table2[ActualResult], "OT") + SUMIFS(Table2[AwayWon], Table2[GameIsOver],1,Table2[HomeTeam],$A58, Table2[AwayTeam], X$36, Table2[ActualResult], "OT") + SUMIFS(Table2[HomeWon_], Table2[GameIsOver],1,Table2[AwayTeam],$A58, Table2[HomeTeam], X$36, Table2[ActualResult], "SO") + SUMIFS(Table2[AwayWon], Table2[GameIsOver],1,Table2[HomeTeam],$A58, Table2[AwayTeam], X$36, Table2[ActualResult], "SO"))), "")</f>
        <v/>
      </c>
      <c r="Y58" s="57" t="str">
        <f>IFERROR(((2*SUMIFS(Table2[AwayWon], Table2[GameIsOver],1,Table2[AwayTeam],$A58, Table2[HomeTeam], Y$36) + SUMIFS(Table2[HomeWon_], Table2[GameIsOver],1,Table2[HomeTeam],$A58, Table2[AwayTeam], Y$36)) + SUMIFS(Table2[AwayWon], Table2[GameIsOver],1,Table2[HomeTeam],$A58, Table2[AwayTeam], Y$36, Table2[ActualResult], "REG") + SUMIFS(Table2[HomeWon_], Table2[GameIsOver],1,Table2[AwayTeam],$A58, Table2[HomeTeam], Y$36, Table2[ActualResult], "OT") + SUMIFS(Table2[AwayWon], Table2[GameIsOver],1,Table2[HomeTeam],$A58, Table2[AwayTeam], Y$36, Table2[ActualResult], "OT") + SUMIFS(Table2[HomeWon_], Table2[GameIsOver],1,Table2[AwayTeam],$A58, Table2[HomeTeam], Y$36, Table2[ActualResult], "SO") + SUMIFS(Table2[AwayWon], Table2[GameIsOver],1,Table2[HomeTeam],$A58, Table2[AwayTeam], Y$36, Table2[ActualResult], "SO")) / (2*(SUMIFS(Table2[AwayWon], Table2[GameIsOver],1,Table2[AwayTeam],$A58, Table2[HomeTeam], Y$36) + SUMIFS(Table2[HomeWon_], Table2[GameIsOver],1,Table2[HomeTeam],$A58, Table2[AwayTeam], Y$36) + SUMIFS(Table2[HomeWon_], Table2[GameIsOver],1,Table2[AwayTeam],$A58, Table2[HomeTeam], Y$36, Table2[ActualResult], "REG") + SUMIFS(Table2[AwayWon], Table2[GameIsOver],1,Table2[HomeTeam],$A58, Table2[AwayTeam], Y$36, Table2[ActualResult], "REG") + SUMIFS(Table2[HomeWon_], Table2[GameIsOver],1,Table2[AwayTeam],$A58, Table2[HomeTeam], Y$36, Table2[ActualResult], "OT") + SUMIFS(Table2[AwayWon], Table2[GameIsOver],1,Table2[HomeTeam],$A58, Table2[AwayTeam], Y$36, Table2[ActualResult], "OT") + SUMIFS(Table2[HomeWon_], Table2[GameIsOver],1,Table2[AwayTeam],$A58, Table2[HomeTeam], Y$36, Table2[ActualResult], "SO") + SUMIFS(Table2[AwayWon], Table2[GameIsOver],1,Table2[HomeTeam],$A58, Table2[AwayTeam], Y$36, Table2[ActualResult], "SO"))), "")</f>
        <v/>
      </c>
      <c r="Z58" t="str">
        <f>IFERROR(((2*SUMIFS(Table2[AwayWon], Table2[GameIsOver],1,Table2[AwayTeam],$A58, Table2[HomeTeam], Z$36) + SUMIFS(Table2[HomeWon_], Table2[GameIsOver],1,Table2[HomeTeam],$A58, Table2[AwayTeam], Z$36)) + SUMIFS(Table2[AwayWon], Table2[GameIsOver],1,Table2[HomeTeam],$A58, Table2[AwayTeam], Z$36, Table2[ActualResult], "REG") + SUMIFS(Table2[HomeWon_], Table2[GameIsOver],1,Table2[AwayTeam],$A58, Table2[HomeTeam], Z$36, Table2[ActualResult], "OT") + SUMIFS(Table2[AwayWon], Table2[GameIsOver],1,Table2[HomeTeam],$A58, Table2[AwayTeam], Z$36, Table2[ActualResult], "OT") + SUMIFS(Table2[HomeWon_], Table2[GameIsOver],1,Table2[AwayTeam],$A58, Table2[HomeTeam], Z$36, Table2[ActualResult], "SO") + SUMIFS(Table2[AwayWon], Table2[GameIsOver],1,Table2[HomeTeam],$A58, Table2[AwayTeam], Z$36, Table2[ActualResult], "SO")) / (2*(SUMIFS(Table2[AwayWon], Table2[GameIsOver],1,Table2[AwayTeam],$A58, Table2[HomeTeam], Z$36) + SUMIFS(Table2[HomeWon_], Table2[GameIsOver],1,Table2[HomeTeam],$A58, Table2[AwayTeam], Z$36) + SUMIFS(Table2[HomeWon_], Table2[GameIsOver],1,Table2[AwayTeam],$A58, Table2[HomeTeam], Z$36, Table2[ActualResult], "REG") + SUMIFS(Table2[AwayWon], Table2[GameIsOver],1,Table2[HomeTeam],$A58, Table2[AwayTeam], Z$36, Table2[ActualResult], "REG") + SUMIFS(Table2[HomeWon_], Table2[GameIsOver],1,Table2[AwayTeam],$A58, Table2[HomeTeam], Z$36, Table2[ActualResult], "OT") + SUMIFS(Table2[AwayWon], Table2[GameIsOver],1,Table2[HomeTeam],$A58, Table2[AwayTeam], Z$36, Table2[ActualResult], "OT") + SUMIFS(Table2[HomeWon_], Table2[GameIsOver],1,Table2[AwayTeam],$A58, Table2[HomeTeam], Z$36, Table2[ActualResult], "SO") + SUMIFS(Table2[AwayWon], Table2[GameIsOver],1,Table2[HomeTeam],$A58, Table2[AwayTeam], Z$36, Table2[ActualResult], "SO"))), "")</f>
        <v/>
      </c>
      <c r="AA58" t="str">
        <f>IFERROR(((2*SUMIFS(Table2[AwayWon], Table2[GameIsOver],1,Table2[AwayTeam],$A58, Table2[HomeTeam], AA$36) + SUMIFS(Table2[HomeWon_], Table2[GameIsOver],1,Table2[HomeTeam],$A58, Table2[AwayTeam], AA$36)) + SUMIFS(Table2[AwayWon], Table2[GameIsOver],1,Table2[HomeTeam],$A58, Table2[AwayTeam], AA$36, Table2[ActualResult], "REG") + SUMIFS(Table2[HomeWon_], Table2[GameIsOver],1,Table2[AwayTeam],$A58, Table2[HomeTeam], AA$36, Table2[ActualResult], "OT") + SUMIFS(Table2[AwayWon], Table2[GameIsOver],1,Table2[HomeTeam],$A58, Table2[AwayTeam], AA$36, Table2[ActualResult], "OT") + SUMIFS(Table2[HomeWon_], Table2[GameIsOver],1,Table2[AwayTeam],$A58, Table2[HomeTeam], AA$36, Table2[ActualResult], "SO") + SUMIFS(Table2[AwayWon], Table2[GameIsOver],1,Table2[HomeTeam],$A58, Table2[AwayTeam], AA$36, Table2[ActualResult], "SO")) / (2*(SUMIFS(Table2[AwayWon], Table2[GameIsOver],1,Table2[AwayTeam],$A58, Table2[HomeTeam], AA$36) + SUMIFS(Table2[HomeWon_], Table2[GameIsOver],1,Table2[HomeTeam],$A58, Table2[AwayTeam], AA$36) + SUMIFS(Table2[HomeWon_], Table2[GameIsOver],1,Table2[AwayTeam],$A58, Table2[HomeTeam], AA$36, Table2[ActualResult], "REG") + SUMIFS(Table2[AwayWon], Table2[GameIsOver],1,Table2[HomeTeam],$A58, Table2[AwayTeam], AA$36, Table2[ActualResult], "REG") + SUMIFS(Table2[HomeWon_], Table2[GameIsOver],1,Table2[AwayTeam],$A58, Table2[HomeTeam], AA$36, Table2[ActualResult], "OT") + SUMIFS(Table2[AwayWon], Table2[GameIsOver],1,Table2[HomeTeam],$A58, Table2[AwayTeam], AA$36, Table2[ActualResult], "OT") + SUMIFS(Table2[HomeWon_], Table2[GameIsOver],1,Table2[AwayTeam],$A58, Table2[HomeTeam], AA$36, Table2[ActualResult], "SO") + SUMIFS(Table2[AwayWon], Table2[GameIsOver],1,Table2[HomeTeam],$A58, Table2[AwayTeam], AA$36, Table2[ActualResult], "SO"))), "")</f>
        <v/>
      </c>
      <c r="AB58" t="str">
        <f>IFERROR(((2*SUMIFS(Table2[AwayWon], Table2[GameIsOver],1,Table2[AwayTeam],$A58, Table2[HomeTeam], AB$36) + SUMIFS(Table2[HomeWon_], Table2[GameIsOver],1,Table2[HomeTeam],$A58, Table2[AwayTeam], AB$36)) + SUMIFS(Table2[AwayWon], Table2[GameIsOver],1,Table2[HomeTeam],$A58, Table2[AwayTeam], AB$36, Table2[ActualResult], "REG") + SUMIFS(Table2[HomeWon_], Table2[GameIsOver],1,Table2[AwayTeam],$A58, Table2[HomeTeam], AB$36, Table2[ActualResult], "OT") + SUMIFS(Table2[AwayWon], Table2[GameIsOver],1,Table2[HomeTeam],$A58, Table2[AwayTeam], AB$36, Table2[ActualResult], "OT") + SUMIFS(Table2[HomeWon_], Table2[GameIsOver],1,Table2[AwayTeam],$A58, Table2[HomeTeam], AB$36, Table2[ActualResult], "SO") + SUMIFS(Table2[AwayWon], Table2[GameIsOver],1,Table2[HomeTeam],$A58, Table2[AwayTeam], AB$36, Table2[ActualResult], "SO")) / (2*(SUMIFS(Table2[AwayWon], Table2[GameIsOver],1,Table2[AwayTeam],$A58, Table2[HomeTeam], AB$36) + SUMIFS(Table2[HomeWon_], Table2[GameIsOver],1,Table2[HomeTeam],$A58, Table2[AwayTeam], AB$36) + SUMIFS(Table2[HomeWon_], Table2[GameIsOver],1,Table2[AwayTeam],$A58, Table2[HomeTeam], AB$36, Table2[ActualResult], "REG") + SUMIFS(Table2[AwayWon], Table2[GameIsOver],1,Table2[HomeTeam],$A58, Table2[AwayTeam], AB$36, Table2[ActualResult], "REG") + SUMIFS(Table2[HomeWon_], Table2[GameIsOver],1,Table2[AwayTeam],$A58, Table2[HomeTeam], AB$36, Table2[ActualResult], "OT") + SUMIFS(Table2[AwayWon], Table2[GameIsOver],1,Table2[HomeTeam],$A58, Table2[AwayTeam], AB$36, Table2[ActualResult], "OT") + SUMIFS(Table2[HomeWon_], Table2[GameIsOver],1,Table2[AwayTeam],$A58, Table2[HomeTeam], AB$36, Table2[ActualResult], "SO") + SUMIFS(Table2[AwayWon], Table2[GameIsOver],1,Table2[HomeTeam],$A58, Table2[AwayTeam], AB$36, Table2[ActualResult], "SO"))), "")</f>
        <v/>
      </c>
      <c r="AC58">
        <f>IFERROR(((2*SUMIFS(Table2[AwayWon], Table2[GameIsOver],1,Table2[AwayTeam],$A58, Table2[HomeTeam], AC$36) + SUMIFS(Table2[HomeWon_], Table2[GameIsOver],1,Table2[HomeTeam],$A58, Table2[AwayTeam], AC$36)) + SUMIFS(Table2[AwayWon], Table2[GameIsOver],1,Table2[HomeTeam],$A58, Table2[AwayTeam], AC$36, Table2[ActualResult], "REG") + SUMIFS(Table2[HomeWon_], Table2[GameIsOver],1,Table2[AwayTeam],$A58, Table2[HomeTeam], AC$36, Table2[ActualResult], "OT") + SUMIFS(Table2[AwayWon], Table2[GameIsOver],1,Table2[HomeTeam],$A58, Table2[AwayTeam], AC$36, Table2[ActualResult], "OT") + SUMIFS(Table2[HomeWon_], Table2[GameIsOver],1,Table2[AwayTeam],$A58, Table2[HomeTeam], AC$36, Table2[ActualResult], "SO") + SUMIFS(Table2[AwayWon], Table2[GameIsOver],1,Table2[HomeTeam],$A58, Table2[AwayTeam], AC$36, Table2[ActualResult], "SO")) / (2*(SUMIFS(Table2[AwayWon], Table2[GameIsOver],1,Table2[AwayTeam],$A58, Table2[HomeTeam], AC$36) + SUMIFS(Table2[HomeWon_], Table2[GameIsOver],1,Table2[HomeTeam],$A58, Table2[AwayTeam], AC$36) + SUMIFS(Table2[HomeWon_], Table2[GameIsOver],1,Table2[AwayTeam],$A58, Table2[HomeTeam], AC$36, Table2[ActualResult], "REG") + SUMIFS(Table2[AwayWon], Table2[GameIsOver],1,Table2[HomeTeam],$A58, Table2[AwayTeam], AC$36, Table2[ActualResult], "REG") + SUMIFS(Table2[HomeWon_], Table2[GameIsOver],1,Table2[AwayTeam],$A58, Table2[HomeTeam], AC$36, Table2[ActualResult], "OT") + SUMIFS(Table2[AwayWon], Table2[GameIsOver],1,Table2[HomeTeam],$A58, Table2[AwayTeam], AC$36, Table2[ActualResult], "OT") + SUMIFS(Table2[HomeWon_], Table2[GameIsOver],1,Table2[AwayTeam],$A58, Table2[HomeTeam], AC$36, Table2[ActualResult], "SO") + SUMIFS(Table2[AwayWon], Table2[GameIsOver],1,Table2[HomeTeam],$A58, Table2[AwayTeam], AC$36, Table2[ActualResult], "SO"))), "")</f>
        <v>0.25</v>
      </c>
      <c r="AD58" t="str">
        <f>IFERROR(((2*SUMIFS(Table2[AwayWon], Table2[GameIsOver],1,Table2[AwayTeam],$A58, Table2[HomeTeam], AD$36) + SUMIFS(Table2[HomeWon_], Table2[GameIsOver],1,Table2[HomeTeam],$A58, Table2[AwayTeam], AD$36)) + SUMIFS(Table2[AwayWon], Table2[GameIsOver],1,Table2[HomeTeam],$A58, Table2[AwayTeam], AD$36, Table2[ActualResult], "REG") + SUMIFS(Table2[HomeWon_], Table2[GameIsOver],1,Table2[AwayTeam],$A58, Table2[HomeTeam], AD$36, Table2[ActualResult], "OT") + SUMIFS(Table2[AwayWon], Table2[GameIsOver],1,Table2[HomeTeam],$A58, Table2[AwayTeam], AD$36, Table2[ActualResult], "OT") + SUMIFS(Table2[HomeWon_], Table2[GameIsOver],1,Table2[AwayTeam],$A58, Table2[HomeTeam], AD$36, Table2[ActualResult], "SO") + SUMIFS(Table2[AwayWon], Table2[GameIsOver],1,Table2[HomeTeam],$A58, Table2[AwayTeam], AD$36, Table2[ActualResult], "SO")) / (2*(SUMIFS(Table2[AwayWon], Table2[GameIsOver],1,Table2[AwayTeam],$A58, Table2[HomeTeam], AD$36) + SUMIFS(Table2[HomeWon_], Table2[GameIsOver],1,Table2[HomeTeam],$A58, Table2[AwayTeam], AD$36) + SUMIFS(Table2[HomeWon_], Table2[GameIsOver],1,Table2[AwayTeam],$A58, Table2[HomeTeam], AD$36, Table2[ActualResult], "REG") + SUMIFS(Table2[AwayWon], Table2[GameIsOver],1,Table2[HomeTeam],$A58, Table2[AwayTeam], AD$36, Table2[ActualResult], "REG") + SUMIFS(Table2[HomeWon_], Table2[GameIsOver],1,Table2[AwayTeam],$A58, Table2[HomeTeam], AD$36, Table2[ActualResult], "OT") + SUMIFS(Table2[AwayWon], Table2[GameIsOver],1,Table2[HomeTeam],$A58, Table2[AwayTeam], AD$36, Table2[ActualResult], "OT") + SUMIFS(Table2[HomeWon_], Table2[GameIsOver],1,Table2[AwayTeam],$A58, Table2[HomeTeam], AD$36, Table2[ActualResult], "SO") + SUMIFS(Table2[AwayWon], Table2[GameIsOver],1,Table2[HomeTeam],$A58, Table2[AwayTeam], AD$36, Table2[ActualResult], "SO"))), "")</f>
        <v/>
      </c>
      <c r="AE58" t="str">
        <f>IFERROR(((2*SUMIFS(Table2[AwayWon], Table2[GameIsOver],1,Table2[AwayTeam],$A58, Table2[HomeTeam], AE$36) + SUMIFS(Table2[HomeWon_], Table2[GameIsOver],1,Table2[HomeTeam],$A58, Table2[AwayTeam], AE$36)) + SUMIFS(Table2[AwayWon], Table2[GameIsOver],1,Table2[HomeTeam],$A58, Table2[AwayTeam], AE$36, Table2[ActualResult], "REG") + SUMIFS(Table2[HomeWon_], Table2[GameIsOver],1,Table2[AwayTeam],$A58, Table2[HomeTeam], AE$36, Table2[ActualResult], "OT") + SUMIFS(Table2[AwayWon], Table2[GameIsOver],1,Table2[HomeTeam],$A58, Table2[AwayTeam], AE$36, Table2[ActualResult], "OT") + SUMIFS(Table2[HomeWon_], Table2[GameIsOver],1,Table2[AwayTeam],$A58, Table2[HomeTeam], AE$36, Table2[ActualResult], "SO") + SUMIFS(Table2[AwayWon], Table2[GameIsOver],1,Table2[HomeTeam],$A58, Table2[AwayTeam], AE$36, Table2[ActualResult], "SO")) / (2*(SUMIFS(Table2[AwayWon], Table2[GameIsOver],1,Table2[AwayTeam],$A58, Table2[HomeTeam], AE$36) + SUMIFS(Table2[HomeWon_], Table2[GameIsOver],1,Table2[HomeTeam],$A58, Table2[AwayTeam], AE$36) + SUMIFS(Table2[HomeWon_], Table2[GameIsOver],1,Table2[AwayTeam],$A58, Table2[HomeTeam], AE$36, Table2[ActualResult], "REG") + SUMIFS(Table2[AwayWon], Table2[GameIsOver],1,Table2[HomeTeam],$A58, Table2[AwayTeam], AE$36, Table2[ActualResult], "REG") + SUMIFS(Table2[HomeWon_], Table2[GameIsOver],1,Table2[AwayTeam],$A58, Table2[HomeTeam], AE$36, Table2[ActualResult], "OT") + SUMIFS(Table2[AwayWon], Table2[GameIsOver],1,Table2[HomeTeam],$A58, Table2[AwayTeam], AE$36, Table2[ActualResult], "OT") + SUMIFS(Table2[HomeWon_], Table2[GameIsOver],1,Table2[AwayTeam],$A58, Table2[HomeTeam], AE$36, Table2[ActualResult], "SO") + SUMIFS(Table2[AwayWon], Table2[GameIsOver],1,Table2[HomeTeam],$A58, Table2[AwayTeam], AE$36, Table2[ActualResult], "SO"))), "")</f>
        <v/>
      </c>
      <c r="AF58" t="str">
        <f>IFERROR(((2*SUMIFS(Table2[AwayWon], Table2[GameIsOver],1,Table2[AwayTeam],$A58, Table2[HomeTeam], AF$36) + SUMIFS(Table2[HomeWon_], Table2[GameIsOver],1,Table2[HomeTeam],$A58, Table2[AwayTeam], AF$36)) + SUMIFS(Table2[AwayWon], Table2[GameIsOver],1,Table2[HomeTeam],$A58, Table2[AwayTeam], AF$36, Table2[ActualResult], "REG") + SUMIFS(Table2[HomeWon_], Table2[GameIsOver],1,Table2[AwayTeam],$A58, Table2[HomeTeam], AF$36, Table2[ActualResult], "OT") + SUMIFS(Table2[AwayWon], Table2[GameIsOver],1,Table2[HomeTeam],$A58, Table2[AwayTeam], AF$36, Table2[ActualResult], "OT") + SUMIFS(Table2[HomeWon_], Table2[GameIsOver],1,Table2[AwayTeam],$A58, Table2[HomeTeam], AF$36, Table2[ActualResult], "SO") + SUMIFS(Table2[AwayWon], Table2[GameIsOver],1,Table2[HomeTeam],$A58, Table2[AwayTeam], AF$36, Table2[ActualResult], "SO")) / (2*(SUMIFS(Table2[AwayWon], Table2[GameIsOver],1,Table2[AwayTeam],$A58, Table2[HomeTeam], AF$36) + SUMIFS(Table2[HomeWon_], Table2[GameIsOver],1,Table2[HomeTeam],$A58, Table2[AwayTeam], AF$36) + SUMIFS(Table2[HomeWon_], Table2[GameIsOver],1,Table2[AwayTeam],$A58, Table2[HomeTeam], AF$36, Table2[ActualResult], "REG") + SUMIFS(Table2[AwayWon], Table2[GameIsOver],1,Table2[HomeTeam],$A58, Table2[AwayTeam], AF$36, Table2[ActualResult], "REG") + SUMIFS(Table2[HomeWon_], Table2[GameIsOver],1,Table2[AwayTeam],$A58, Table2[HomeTeam], AF$36, Table2[ActualResult], "OT") + SUMIFS(Table2[AwayWon], Table2[GameIsOver],1,Table2[HomeTeam],$A58, Table2[AwayTeam], AF$36, Table2[ActualResult], "OT") + SUMIFS(Table2[HomeWon_], Table2[GameIsOver],1,Table2[AwayTeam],$A58, Table2[HomeTeam], AF$36, Table2[ActualResult], "SO") + SUMIFS(Table2[AwayWon], Table2[GameIsOver],1,Table2[HomeTeam],$A58, Table2[AwayTeam], AF$36, Table2[ActualResult], "SO"))), "")</f>
        <v/>
      </c>
      <c r="AG58" s="57" t="str">
        <f>IFERROR(((2*SUMIFS(Table2[AwayWon], Table2[GameIsOver],1,Table2[AwayTeam],$A58, Table2[HomeTeam], AG$36) + SUMIFS(Table2[HomeWon_], Table2[GameIsOver],1,Table2[HomeTeam],$A58, Table2[AwayTeam], AG$36)) + SUMIFS(Table2[AwayWon], Table2[GameIsOver],1,Table2[HomeTeam],$A58, Table2[AwayTeam], AG$36, Table2[ActualResult], "REG") + SUMIFS(Table2[HomeWon_], Table2[GameIsOver],1,Table2[AwayTeam],$A58, Table2[HomeTeam], AG$36, Table2[ActualResult], "OT") + SUMIFS(Table2[AwayWon], Table2[GameIsOver],1,Table2[HomeTeam],$A58, Table2[AwayTeam], AG$36, Table2[ActualResult], "OT") + SUMIFS(Table2[HomeWon_], Table2[GameIsOver],1,Table2[AwayTeam],$A58, Table2[HomeTeam], AG$36, Table2[ActualResult], "SO") + SUMIFS(Table2[AwayWon], Table2[GameIsOver],1,Table2[HomeTeam],$A58, Table2[AwayTeam], AG$36, Table2[ActualResult], "SO")) / (2*(SUMIFS(Table2[AwayWon], Table2[GameIsOver],1,Table2[AwayTeam],$A58, Table2[HomeTeam], AG$36) + SUMIFS(Table2[HomeWon_], Table2[GameIsOver],1,Table2[HomeTeam],$A58, Table2[AwayTeam], AG$36) + SUMIFS(Table2[HomeWon_], Table2[GameIsOver],1,Table2[AwayTeam],$A58, Table2[HomeTeam], AG$36, Table2[ActualResult], "REG") + SUMIFS(Table2[AwayWon], Table2[GameIsOver],1,Table2[HomeTeam],$A58, Table2[AwayTeam], AG$36, Table2[ActualResult], "REG") + SUMIFS(Table2[HomeWon_], Table2[GameIsOver],1,Table2[AwayTeam],$A58, Table2[HomeTeam], AG$36, Table2[ActualResult], "OT") + SUMIFS(Table2[AwayWon], Table2[GameIsOver],1,Table2[HomeTeam],$A58, Table2[AwayTeam], AG$36, Table2[ActualResult], "OT") + SUMIFS(Table2[HomeWon_], Table2[GameIsOver],1,Table2[AwayTeam],$A58, Table2[HomeTeam], AG$36, Table2[ActualResult], "SO") + SUMIFS(Table2[AwayWon], Table2[GameIsOver],1,Table2[HomeTeam],$A58, Table2[AwayTeam], AG$36, Table2[ActualResult], "SO"))), "")</f>
        <v/>
      </c>
      <c r="AH58" s="101">
        <f t="shared" si="0"/>
        <v>0.375</v>
      </c>
      <c r="AI58" s="101">
        <f t="shared" si="1"/>
        <v>0.5</v>
      </c>
      <c r="AJ58" s="103">
        <f t="shared" si="2"/>
        <v>0.25</v>
      </c>
      <c r="AK58" s="103">
        <f t="shared" si="3"/>
        <v>0.5</v>
      </c>
      <c r="AL58" s="103">
        <f t="shared" si="4"/>
        <v>0.5</v>
      </c>
      <c r="AM58" s="103">
        <f t="shared" si="5"/>
        <v>0.5</v>
      </c>
    </row>
    <row r="59" spans="1:39" x14ac:dyDescent="0.25">
      <c r="A59" s="57" t="s">
        <v>20</v>
      </c>
      <c r="B59" s="24">
        <f>IFERROR(((2*SUMIFS(Table2[AwayWon], Table2[GameIsOver],1,Table2[AwayTeam],$A59, Table2[HomeTeam], B$36) + SUMIFS(Table2[HomeWon_], Table2[GameIsOver],1,Table2[HomeTeam],$A59, Table2[AwayTeam], B$36)) + SUMIFS(Table2[AwayWon], Table2[GameIsOver],1,Table2[HomeTeam],$A59, Table2[AwayTeam], B$36, Table2[ActualResult], "REG") + SUMIFS(Table2[HomeWon_], Table2[GameIsOver],1,Table2[AwayTeam],$A59, Table2[HomeTeam], B$36, Table2[ActualResult], "OT") + SUMIFS(Table2[AwayWon], Table2[GameIsOver],1,Table2[HomeTeam],$A59, Table2[AwayTeam], B$36, Table2[ActualResult], "OT") + SUMIFS(Table2[HomeWon_], Table2[GameIsOver],1,Table2[AwayTeam],$A59, Table2[HomeTeam], B$36, Table2[ActualResult], "SO") + SUMIFS(Table2[AwayWon], Table2[GameIsOver],1,Table2[HomeTeam],$A59, Table2[AwayTeam], B$36, Table2[ActualResult], "SO")) / (2*(SUMIFS(Table2[AwayWon], Table2[GameIsOver],1,Table2[AwayTeam],$A59, Table2[HomeTeam], B$36) + SUMIFS(Table2[HomeWon_], Table2[GameIsOver],1,Table2[HomeTeam],$A59, Table2[AwayTeam], B$36) + SUMIFS(Table2[HomeWon_], Table2[GameIsOver],1,Table2[AwayTeam],$A59, Table2[HomeTeam], B$36, Table2[ActualResult], "REG") + SUMIFS(Table2[AwayWon], Table2[GameIsOver],1,Table2[HomeTeam],$A59, Table2[AwayTeam], B$36, Table2[ActualResult], "REG") + SUMIFS(Table2[HomeWon_], Table2[GameIsOver],1,Table2[AwayTeam],$A59, Table2[HomeTeam], B$36, Table2[ActualResult], "OT") + SUMIFS(Table2[AwayWon], Table2[GameIsOver],1,Table2[HomeTeam],$A59, Table2[AwayTeam], B$36, Table2[ActualResult], "OT") + SUMIFS(Table2[HomeWon_], Table2[GameIsOver],1,Table2[AwayTeam],$A59, Table2[HomeTeam], B$36, Table2[ActualResult], "SO") + SUMIFS(Table2[AwayWon], Table2[GameIsOver],1,Table2[HomeTeam],$A59, Table2[AwayTeam], B$36, Table2[ActualResult], "SO"))), "")</f>
        <v>0</v>
      </c>
      <c r="C59" s="24" t="str">
        <f>IFERROR(((2*SUMIFS(Table2[AwayWon], Table2[GameIsOver],1,Table2[AwayTeam],$A59, Table2[HomeTeam], C$36) + SUMIFS(Table2[HomeWon_], Table2[GameIsOver],1,Table2[HomeTeam],$A59, Table2[AwayTeam], C$36)) + SUMIFS(Table2[AwayWon], Table2[GameIsOver],1,Table2[HomeTeam],$A59, Table2[AwayTeam], C$36, Table2[ActualResult], "REG") + SUMIFS(Table2[HomeWon_], Table2[GameIsOver],1,Table2[AwayTeam],$A59, Table2[HomeTeam], C$36, Table2[ActualResult], "OT") + SUMIFS(Table2[AwayWon], Table2[GameIsOver],1,Table2[HomeTeam],$A59, Table2[AwayTeam], C$36, Table2[ActualResult], "OT") + SUMIFS(Table2[HomeWon_], Table2[GameIsOver],1,Table2[AwayTeam],$A59, Table2[HomeTeam], C$36, Table2[ActualResult], "SO") + SUMIFS(Table2[AwayWon], Table2[GameIsOver],1,Table2[HomeTeam],$A59, Table2[AwayTeam], C$36, Table2[ActualResult], "SO")) / (2*(SUMIFS(Table2[AwayWon], Table2[GameIsOver],1,Table2[AwayTeam],$A59, Table2[HomeTeam], C$36) + SUMIFS(Table2[HomeWon_], Table2[GameIsOver],1,Table2[HomeTeam],$A59, Table2[AwayTeam], C$36) + SUMIFS(Table2[HomeWon_], Table2[GameIsOver],1,Table2[AwayTeam],$A59, Table2[HomeTeam], C$36, Table2[ActualResult], "REG") + SUMIFS(Table2[AwayWon], Table2[GameIsOver],1,Table2[HomeTeam],$A59, Table2[AwayTeam], C$36, Table2[ActualResult], "REG") + SUMIFS(Table2[HomeWon_], Table2[GameIsOver],1,Table2[AwayTeam],$A59, Table2[HomeTeam], C$36, Table2[ActualResult], "OT") + SUMIFS(Table2[AwayWon], Table2[GameIsOver],1,Table2[HomeTeam],$A59, Table2[AwayTeam], C$36, Table2[ActualResult], "OT") + SUMIFS(Table2[HomeWon_], Table2[GameIsOver],1,Table2[AwayTeam],$A59, Table2[HomeTeam], C$36, Table2[ActualResult], "SO") + SUMIFS(Table2[AwayWon], Table2[GameIsOver],1,Table2[HomeTeam],$A59, Table2[AwayTeam], C$36, Table2[ActualResult], "SO"))), "")</f>
        <v/>
      </c>
      <c r="D59" t="str">
        <f>IFERROR(((2*SUMIFS(Table2[AwayWon], Table2[GameIsOver],1,Table2[AwayTeam],$A59, Table2[HomeTeam], D$36) + SUMIFS(Table2[HomeWon_], Table2[GameIsOver],1,Table2[HomeTeam],$A59, Table2[AwayTeam], D$36)) + SUMIFS(Table2[AwayWon], Table2[GameIsOver],1,Table2[HomeTeam],$A59, Table2[AwayTeam], D$36, Table2[ActualResult], "REG") + SUMIFS(Table2[HomeWon_], Table2[GameIsOver],1,Table2[AwayTeam],$A59, Table2[HomeTeam], D$36, Table2[ActualResult], "OT") + SUMIFS(Table2[AwayWon], Table2[GameIsOver],1,Table2[HomeTeam],$A59, Table2[AwayTeam], D$36, Table2[ActualResult], "OT") + SUMIFS(Table2[HomeWon_], Table2[GameIsOver],1,Table2[AwayTeam],$A59, Table2[HomeTeam], D$36, Table2[ActualResult], "SO") + SUMIFS(Table2[AwayWon], Table2[GameIsOver],1,Table2[HomeTeam],$A59, Table2[AwayTeam], D$36, Table2[ActualResult], "SO")) / (2*(SUMIFS(Table2[AwayWon], Table2[GameIsOver],1,Table2[AwayTeam],$A59, Table2[HomeTeam], D$36) + SUMIFS(Table2[HomeWon_], Table2[GameIsOver],1,Table2[HomeTeam],$A59, Table2[AwayTeam], D$36) + SUMIFS(Table2[HomeWon_], Table2[GameIsOver],1,Table2[AwayTeam],$A59, Table2[HomeTeam], D$36, Table2[ActualResult], "REG") + SUMIFS(Table2[AwayWon], Table2[GameIsOver],1,Table2[HomeTeam],$A59, Table2[AwayTeam], D$36, Table2[ActualResult], "REG") + SUMIFS(Table2[HomeWon_], Table2[GameIsOver],1,Table2[AwayTeam],$A59, Table2[HomeTeam], D$36, Table2[ActualResult], "OT") + SUMIFS(Table2[AwayWon], Table2[GameIsOver],1,Table2[HomeTeam],$A59, Table2[AwayTeam], D$36, Table2[ActualResult], "OT") + SUMIFS(Table2[HomeWon_], Table2[GameIsOver],1,Table2[AwayTeam],$A59, Table2[HomeTeam], D$36, Table2[ActualResult], "SO") + SUMIFS(Table2[AwayWon], Table2[GameIsOver],1,Table2[HomeTeam],$A59, Table2[AwayTeam], D$36, Table2[ActualResult], "SO"))), "")</f>
        <v/>
      </c>
      <c r="E59">
        <f>IFERROR(((2*SUMIFS(Table2[AwayWon], Table2[GameIsOver],1,Table2[AwayTeam],$A59, Table2[HomeTeam], E$36) + SUMIFS(Table2[HomeWon_], Table2[GameIsOver],1,Table2[HomeTeam],$A59, Table2[AwayTeam], E$36)) + SUMIFS(Table2[AwayWon], Table2[GameIsOver],1,Table2[HomeTeam],$A59, Table2[AwayTeam], E$36, Table2[ActualResult], "REG") + SUMIFS(Table2[HomeWon_], Table2[GameIsOver],1,Table2[AwayTeam],$A59, Table2[HomeTeam], E$36, Table2[ActualResult], "OT") + SUMIFS(Table2[AwayWon], Table2[GameIsOver],1,Table2[HomeTeam],$A59, Table2[AwayTeam], E$36, Table2[ActualResult], "OT") + SUMIFS(Table2[HomeWon_], Table2[GameIsOver],1,Table2[AwayTeam],$A59, Table2[HomeTeam], E$36, Table2[ActualResult], "SO") + SUMIFS(Table2[AwayWon], Table2[GameIsOver],1,Table2[HomeTeam],$A59, Table2[AwayTeam], E$36, Table2[ActualResult], "SO")) / (2*(SUMIFS(Table2[AwayWon], Table2[GameIsOver],1,Table2[AwayTeam],$A59, Table2[HomeTeam], E$36) + SUMIFS(Table2[HomeWon_], Table2[GameIsOver],1,Table2[HomeTeam],$A59, Table2[AwayTeam], E$36) + SUMIFS(Table2[HomeWon_], Table2[GameIsOver],1,Table2[AwayTeam],$A59, Table2[HomeTeam], E$36, Table2[ActualResult], "REG") + SUMIFS(Table2[AwayWon], Table2[GameIsOver],1,Table2[HomeTeam],$A59, Table2[AwayTeam], E$36, Table2[ActualResult], "REG") + SUMIFS(Table2[HomeWon_], Table2[GameIsOver],1,Table2[AwayTeam],$A59, Table2[HomeTeam], E$36, Table2[ActualResult], "OT") + SUMIFS(Table2[AwayWon], Table2[GameIsOver],1,Table2[HomeTeam],$A59, Table2[AwayTeam], E$36, Table2[ActualResult], "OT") + SUMIFS(Table2[HomeWon_], Table2[GameIsOver],1,Table2[AwayTeam],$A59, Table2[HomeTeam], E$36, Table2[ActualResult], "SO") + SUMIFS(Table2[AwayWon], Table2[GameIsOver],1,Table2[HomeTeam],$A59, Table2[AwayTeam], E$36, Table2[ActualResult], "SO"))), "")</f>
        <v>1</v>
      </c>
      <c r="F59" t="str">
        <f>IFERROR(((2*SUMIFS(Table2[AwayWon], Table2[GameIsOver],1,Table2[AwayTeam],$A59, Table2[HomeTeam], F$36) + SUMIFS(Table2[HomeWon_], Table2[GameIsOver],1,Table2[HomeTeam],$A59, Table2[AwayTeam], F$36)) + SUMIFS(Table2[AwayWon], Table2[GameIsOver],1,Table2[HomeTeam],$A59, Table2[AwayTeam], F$36, Table2[ActualResult], "REG") + SUMIFS(Table2[HomeWon_], Table2[GameIsOver],1,Table2[AwayTeam],$A59, Table2[HomeTeam], F$36, Table2[ActualResult], "OT") + SUMIFS(Table2[AwayWon], Table2[GameIsOver],1,Table2[HomeTeam],$A59, Table2[AwayTeam], F$36, Table2[ActualResult], "OT") + SUMIFS(Table2[HomeWon_], Table2[GameIsOver],1,Table2[AwayTeam],$A59, Table2[HomeTeam], F$36, Table2[ActualResult], "SO") + SUMIFS(Table2[AwayWon], Table2[GameIsOver],1,Table2[HomeTeam],$A59, Table2[AwayTeam], F$36, Table2[ActualResult], "SO")) / (2*(SUMIFS(Table2[AwayWon], Table2[GameIsOver],1,Table2[AwayTeam],$A59, Table2[HomeTeam], F$36) + SUMIFS(Table2[HomeWon_], Table2[GameIsOver],1,Table2[HomeTeam],$A59, Table2[AwayTeam], F$36) + SUMIFS(Table2[HomeWon_], Table2[GameIsOver],1,Table2[AwayTeam],$A59, Table2[HomeTeam], F$36, Table2[ActualResult], "REG") + SUMIFS(Table2[AwayWon], Table2[GameIsOver],1,Table2[HomeTeam],$A59, Table2[AwayTeam], F$36, Table2[ActualResult], "REG") + SUMIFS(Table2[HomeWon_], Table2[GameIsOver],1,Table2[AwayTeam],$A59, Table2[HomeTeam], F$36, Table2[ActualResult], "OT") + SUMIFS(Table2[AwayWon], Table2[GameIsOver],1,Table2[HomeTeam],$A59, Table2[AwayTeam], F$36, Table2[ActualResult], "OT") + SUMIFS(Table2[HomeWon_], Table2[GameIsOver],1,Table2[AwayTeam],$A59, Table2[HomeTeam], F$36, Table2[ActualResult], "SO") + SUMIFS(Table2[AwayWon], Table2[GameIsOver],1,Table2[HomeTeam],$A59, Table2[AwayTeam], F$36, Table2[ActualResult], "SO"))), "")</f>
        <v/>
      </c>
      <c r="G59">
        <f>IFERROR(((2*SUMIFS(Table2[AwayWon], Table2[GameIsOver],1,Table2[AwayTeam],$A59, Table2[HomeTeam], G$36) + SUMIFS(Table2[HomeWon_], Table2[GameIsOver],1,Table2[HomeTeam],$A59, Table2[AwayTeam], G$36)) + SUMIFS(Table2[AwayWon], Table2[GameIsOver],1,Table2[HomeTeam],$A59, Table2[AwayTeam], G$36, Table2[ActualResult], "REG") + SUMIFS(Table2[HomeWon_], Table2[GameIsOver],1,Table2[AwayTeam],$A59, Table2[HomeTeam], G$36, Table2[ActualResult], "OT") + SUMIFS(Table2[AwayWon], Table2[GameIsOver],1,Table2[HomeTeam],$A59, Table2[AwayTeam], G$36, Table2[ActualResult], "OT") + SUMIFS(Table2[HomeWon_], Table2[GameIsOver],1,Table2[AwayTeam],$A59, Table2[HomeTeam], G$36, Table2[ActualResult], "SO") + SUMIFS(Table2[AwayWon], Table2[GameIsOver],1,Table2[HomeTeam],$A59, Table2[AwayTeam], G$36, Table2[ActualResult], "SO")) / (2*(SUMIFS(Table2[AwayWon], Table2[GameIsOver],1,Table2[AwayTeam],$A59, Table2[HomeTeam], G$36) + SUMIFS(Table2[HomeWon_], Table2[GameIsOver],1,Table2[HomeTeam],$A59, Table2[AwayTeam], G$36) + SUMIFS(Table2[HomeWon_], Table2[GameIsOver],1,Table2[AwayTeam],$A59, Table2[HomeTeam], G$36, Table2[ActualResult], "REG") + SUMIFS(Table2[AwayWon], Table2[GameIsOver],1,Table2[HomeTeam],$A59, Table2[AwayTeam], G$36, Table2[ActualResult], "REG") + SUMIFS(Table2[HomeWon_], Table2[GameIsOver],1,Table2[AwayTeam],$A59, Table2[HomeTeam], G$36, Table2[ActualResult], "OT") + SUMIFS(Table2[AwayWon], Table2[GameIsOver],1,Table2[HomeTeam],$A59, Table2[AwayTeam], G$36, Table2[ActualResult], "OT") + SUMIFS(Table2[HomeWon_], Table2[GameIsOver],1,Table2[AwayTeam],$A59, Table2[HomeTeam], G$36, Table2[ActualResult], "SO") + SUMIFS(Table2[AwayWon], Table2[GameIsOver],1,Table2[HomeTeam],$A59, Table2[AwayTeam], G$36, Table2[ActualResult], "SO"))), "")</f>
        <v>1</v>
      </c>
      <c r="H59">
        <f>IFERROR(((2*SUMIFS(Table2[AwayWon], Table2[GameIsOver],1,Table2[AwayTeam],$A59, Table2[HomeTeam], H$36) + SUMIFS(Table2[HomeWon_], Table2[GameIsOver],1,Table2[HomeTeam],$A59, Table2[AwayTeam], H$36)) + SUMIFS(Table2[AwayWon], Table2[GameIsOver],1,Table2[HomeTeam],$A59, Table2[AwayTeam], H$36, Table2[ActualResult], "REG") + SUMIFS(Table2[HomeWon_], Table2[GameIsOver],1,Table2[AwayTeam],$A59, Table2[HomeTeam], H$36, Table2[ActualResult], "OT") + SUMIFS(Table2[AwayWon], Table2[GameIsOver],1,Table2[HomeTeam],$A59, Table2[AwayTeam], H$36, Table2[ActualResult], "OT") + SUMIFS(Table2[HomeWon_], Table2[GameIsOver],1,Table2[AwayTeam],$A59, Table2[HomeTeam], H$36, Table2[ActualResult], "SO") + SUMIFS(Table2[AwayWon], Table2[GameIsOver],1,Table2[HomeTeam],$A59, Table2[AwayTeam], H$36, Table2[ActualResult], "SO")) / (2*(SUMIFS(Table2[AwayWon], Table2[GameIsOver],1,Table2[AwayTeam],$A59, Table2[HomeTeam], H$36) + SUMIFS(Table2[HomeWon_], Table2[GameIsOver],1,Table2[HomeTeam],$A59, Table2[AwayTeam], H$36) + SUMIFS(Table2[HomeWon_], Table2[GameIsOver],1,Table2[AwayTeam],$A59, Table2[HomeTeam], H$36, Table2[ActualResult], "REG") + SUMIFS(Table2[AwayWon], Table2[GameIsOver],1,Table2[HomeTeam],$A59, Table2[AwayTeam], H$36, Table2[ActualResult], "REG") + SUMIFS(Table2[HomeWon_], Table2[GameIsOver],1,Table2[AwayTeam],$A59, Table2[HomeTeam], H$36, Table2[ActualResult], "OT") + SUMIFS(Table2[AwayWon], Table2[GameIsOver],1,Table2[HomeTeam],$A59, Table2[AwayTeam], H$36, Table2[ActualResult], "OT") + SUMIFS(Table2[HomeWon_], Table2[GameIsOver],1,Table2[AwayTeam],$A59, Table2[HomeTeam], H$36, Table2[ActualResult], "SO") + SUMIFS(Table2[AwayWon], Table2[GameIsOver],1,Table2[HomeTeam],$A59, Table2[AwayTeam], H$36, Table2[ActualResult], "SO"))), "")</f>
        <v>0.5</v>
      </c>
      <c r="I59" s="57" t="str">
        <f>IFERROR(((2*SUMIFS(Table2[AwayWon], Table2[GameIsOver],1,Table2[AwayTeam],$A59, Table2[HomeTeam], I$36) + SUMIFS(Table2[HomeWon_], Table2[GameIsOver],1,Table2[HomeTeam],$A59, Table2[AwayTeam], I$36)) + SUMIFS(Table2[AwayWon], Table2[GameIsOver],1,Table2[HomeTeam],$A59, Table2[AwayTeam], I$36, Table2[ActualResult], "REG") + SUMIFS(Table2[HomeWon_], Table2[GameIsOver],1,Table2[AwayTeam],$A59, Table2[HomeTeam], I$36, Table2[ActualResult], "OT") + SUMIFS(Table2[AwayWon], Table2[GameIsOver],1,Table2[HomeTeam],$A59, Table2[AwayTeam], I$36, Table2[ActualResult], "OT") + SUMIFS(Table2[HomeWon_], Table2[GameIsOver],1,Table2[AwayTeam],$A59, Table2[HomeTeam], I$36, Table2[ActualResult], "SO") + SUMIFS(Table2[AwayWon], Table2[GameIsOver],1,Table2[HomeTeam],$A59, Table2[AwayTeam], I$36, Table2[ActualResult], "SO")) / (2*(SUMIFS(Table2[AwayWon], Table2[GameIsOver],1,Table2[AwayTeam],$A59, Table2[HomeTeam], I$36) + SUMIFS(Table2[HomeWon_], Table2[GameIsOver],1,Table2[HomeTeam],$A59, Table2[AwayTeam], I$36) + SUMIFS(Table2[HomeWon_], Table2[GameIsOver],1,Table2[AwayTeam],$A59, Table2[HomeTeam], I$36, Table2[ActualResult], "REG") + SUMIFS(Table2[AwayWon], Table2[GameIsOver],1,Table2[HomeTeam],$A59, Table2[AwayTeam], I$36, Table2[ActualResult], "REG") + SUMIFS(Table2[HomeWon_], Table2[GameIsOver],1,Table2[AwayTeam],$A59, Table2[HomeTeam], I$36, Table2[ActualResult], "OT") + SUMIFS(Table2[AwayWon], Table2[GameIsOver],1,Table2[HomeTeam],$A59, Table2[AwayTeam], I$36, Table2[ActualResult], "OT") + SUMIFS(Table2[HomeWon_], Table2[GameIsOver],1,Table2[AwayTeam],$A59, Table2[HomeTeam], I$36, Table2[ActualResult], "SO") + SUMIFS(Table2[AwayWon], Table2[GameIsOver],1,Table2[HomeTeam],$A59, Table2[AwayTeam], I$36, Table2[ActualResult], "SO"))), "")</f>
        <v/>
      </c>
      <c r="J59" t="str">
        <f>IFERROR(((2*SUMIFS(Table2[AwayWon], Table2[GameIsOver],1,Table2[AwayTeam],$A59, Table2[HomeTeam], J$36) + SUMIFS(Table2[HomeWon_], Table2[GameIsOver],1,Table2[HomeTeam],$A59, Table2[AwayTeam], J$36)) + SUMIFS(Table2[AwayWon], Table2[GameIsOver],1,Table2[HomeTeam],$A59, Table2[AwayTeam], J$36, Table2[ActualResult], "REG") + SUMIFS(Table2[HomeWon_], Table2[GameIsOver],1,Table2[AwayTeam],$A59, Table2[HomeTeam], J$36, Table2[ActualResult], "OT") + SUMIFS(Table2[AwayWon], Table2[GameIsOver],1,Table2[HomeTeam],$A59, Table2[AwayTeam], J$36, Table2[ActualResult], "OT") + SUMIFS(Table2[HomeWon_], Table2[GameIsOver],1,Table2[AwayTeam],$A59, Table2[HomeTeam], J$36, Table2[ActualResult], "SO") + SUMIFS(Table2[AwayWon], Table2[GameIsOver],1,Table2[HomeTeam],$A59, Table2[AwayTeam], J$36, Table2[ActualResult], "SO")) / (2*(SUMIFS(Table2[AwayWon], Table2[GameIsOver],1,Table2[AwayTeam],$A59, Table2[HomeTeam], J$36) + SUMIFS(Table2[HomeWon_], Table2[GameIsOver],1,Table2[HomeTeam],$A59, Table2[AwayTeam], J$36) + SUMIFS(Table2[HomeWon_], Table2[GameIsOver],1,Table2[AwayTeam],$A59, Table2[HomeTeam], J$36, Table2[ActualResult], "REG") + SUMIFS(Table2[AwayWon], Table2[GameIsOver],1,Table2[HomeTeam],$A59, Table2[AwayTeam], J$36, Table2[ActualResult], "REG") + SUMIFS(Table2[HomeWon_], Table2[GameIsOver],1,Table2[AwayTeam],$A59, Table2[HomeTeam], J$36, Table2[ActualResult], "OT") + SUMIFS(Table2[AwayWon], Table2[GameIsOver],1,Table2[HomeTeam],$A59, Table2[AwayTeam], J$36, Table2[ActualResult], "OT") + SUMIFS(Table2[HomeWon_], Table2[GameIsOver],1,Table2[AwayTeam],$A59, Table2[HomeTeam], J$36, Table2[ActualResult], "SO") + SUMIFS(Table2[AwayWon], Table2[GameIsOver],1,Table2[HomeTeam],$A59, Table2[AwayTeam], J$36, Table2[ActualResult], "SO"))), "")</f>
        <v/>
      </c>
      <c r="K59" t="str">
        <f>IFERROR(((2*SUMIFS(Table2[AwayWon], Table2[GameIsOver],1,Table2[AwayTeam],$A59, Table2[HomeTeam], K$36) + SUMIFS(Table2[HomeWon_], Table2[GameIsOver],1,Table2[HomeTeam],$A59, Table2[AwayTeam], K$36)) + SUMIFS(Table2[AwayWon], Table2[GameIsOver],1,Table2[HomeTeam],$A59, Table2[AwayTeam], K$36, Table2[ActualResult], "REG") + SUMIFS(Table2[HomeWon_], Table2[GameIsOver],1,Table2[AwayTeam],$A59, Table2[HomeTeam], K$36, Table2[ActualResult], "OT") + SUMIFS(Table2[AwayWon], Table2[GameIsOver],1,Table2[HomeTeam],$A59, Table2[AwayTeam], K$36, Table2[ActualResult], "OT") + SUMIFS(Table2[HomeWon_], Table2[GameIsOver],1,Table2[AwayTeam],$A59, Table2[HomeTeam], K$36, Table2[ActualResult], "SO") + SUMIFS(Table2[AwayWon], Table2[GameIsOver],1,Table2[HomeTeam],$A59, Table2[AwayTeam], K$36, Table2[ActualResult], "SO")) / (2*(SUMIFS(Table2[AwayWon], Table2[GameIsOver],1,Table2[AwayTeam],$A59, Table2[HomeTeam], K$36) + SUMIFS(Table2[HomeWon_], Table2[GameIsOver],1,Table2[HomeTeam],$A59, Table2[AwayTeam], K$36) + SUMIFS(Table2[HomeWon_], Table2[GameIsOver],1,Table2[AwayTeam],$A59, Table2[HomeTeam], K$36, Table2[ActualResult], "REG") + SUMIFS(Table2[AwayWon], Table2[GameIsOver],1,Table2[HomeTeam],$A59, Table2[AwayTeam], K$36, Table2[ActualResult], "REG") + SUMIFS(Table2[HomeWon_], Table2[GameIsOver],1,Table2[AwayTeam],$A59, Table2[HomeTeam], K$36, Table2[ActualResult], "OT") + SUMIFS(Table2[AwayWon], Table2[GameIsOver],1,Table2[HomeTeam],$A59, Table2[AwayTeam], K$36, Table2[ActualResult], "OT") + SUMIFS(Table2[HomeWon_], Table2[GameIsOver],1,Table2[AwayTeam],$A59, Table2[HomeTeam], K$36, Table2[ActualResult], "SO") + SUMIFS(Table2[AwayWon], Table2[GameIsOver],1,Table2[HomeTeam],$A59, Table2[AwayTeam], K$36, Table2[ActualResult], "SO"))), "")</f>
        <v/>
      </c>
      <c r="L59" t="str">
        <f>IFERROR(((2*SUMIFS(Table2[AwayWon], Table2[GameIsOver],1,Table2[AwayTeam],$A59, Table2[HomeTeam], L$36) + SUMIFS(Table2[HomeWon_], Table2[GameIsOver],1,Table2[HomeTeam],$A59, Table2[AwayTeam], L$36)) + SUMIFS(Table2[AwayWon], Table2[GameIsOver],1,Table2[HomeTeam],$A59, Table2[AwayTeam], L$36, Table2[ActualResult], "REG") + SUMIFS(Table2[HomeWon_], Table2[GameIsOver],1,Table2[AwayTeam],$A59, Table2[HomeTeam], L$36, Table2[ActualResult], "OT") + SUMIFS(Table2[AwayWon], Table2[GameIsOver],1,Table2[HomeTeam],$A59, Table2[AwayTeam], L$36, Table2[ActualResult], "OT") + SUMIFS(Table2[HomeWon_], Table2[GameIsOver],1,Table2[AwayTeam],$A59, Table2[HomeTeam], L$36, Table2[ActualResult], "SO") + SUMIFS(Table2[AwayWon], Table2[GameIsOver],1,Table2[HomeTeam],$A59, Table2[AwayTeam], L$36, Table2[ActualResult], "SO")) / (2*(SUMIFS(Table2[AwayWon], Table2[GameIsOver],1,Table2[AwayTeam],$A59, Table2[HomeTeam], L$36) + SUMIFS(Table2[HomeWon_], Table2[GameIsOver],1,Table2[HomeTeam],$A59, Table2[AwayTeam], L$36) + SUMIFS(Table2[HomeWon_], Table2[GameIsOver],1,Table2[AwayTeam],$A59, Table2[HomeTeam], L$36, Table2[ActualResult], "REG") + SUMIFS(Table2[AwayWon], Table2[GameIsOver],1,Table2[HomeTeam],$A59, Table2[AwayTeam], L$36, Table2[ActualResult], "REG") + SUMIFS(Table2[HomeWon_], Table2[GameIsOver],1,Table2[AwayTeam],$A59, Table2[HomeTeam], L$36, Table2[ActualResult], "OT") + SUMIFS(Table2[AwayWon], Table2[GameIsOver],1,Table2[HomeTeam],$A59, Table2[AwayTeam], L$36, Table2[ActualResult], "OT") + SUMIFS(Table2[HomeWon_], Table2[GameIsOver],1,Table2[AwayTeam],$A59, Table2[HomeTeam], L$36, Table2[ActualResult], "SO") + SUMIFS(Table2[AwayWon], Table2[GameIsOver],1,Table2[HomeTeam],$A59, Table2[AwayTeam], L$36, Table2[ActualResult], "SO"))), "")</f>
        <v/>
      </c>
      <c r="M59" t="str">
        <f>IFERROR(((2*SUMIFS(Table2[AwayWon], Table2[GameIsOver],1,Table2[AwayTeam],$A59, Table2[HomeTeam], M$36) + SUMIFS(Table2[HomeWon_], Table2[GameIsOver],1,Table2[HomeTeam],$A59, Table2[AwayTeam], M$36)) + SUMIFS(Table2[AwayWon], Table2[GameIsOver],1,Table2[HomeTeam],$A59, Table2[AwayTeam], M$36, Table2[ActualResult], "REG") + SUMIFS(Table2[HomeWon_], Table2[GameIsOver],1,Table2[AwayTeam],$A59, Table2[HomeTeam], M$36, Table2[ActualResult], "OT") + SUMIFS(Table2[AwayWon], Table2[GameIsOver],1,Table2[HomeTeam],$A59, Table2[AwayTeam], M$36, Table2[ActualResult], "OT") + SUMIFS(Table2[HomeWon_], Table2[GameIsOver],1,Table2[AwayTeam],$A59, Table2[HomeTeam], M$36, Table2[ActualResult], "SO") + SUMIFS(Table2[AwayWon], Table2[GameIsOver],1,Table2[HomeTeam],$A59, Table2[AwayTeam], M$36, Table2[ActualResult], "SO")) / (2*(SUMIFS(Table2[AwayWon], Table2[GameIsOver],1,Table2[AwayTeam],$A59, Table2[HomeTeam], M$36) + SUMIFS(Table2[HomeWon_], Table2[GameIsOver],1,Table2[HomeTeam],$A59, Table2[AwayTeam], M$36) + SUMIFS(Table2[HomeWon_], Table2[GameIsOver],1,Table2[AwayTeam],$A59, Table2[HomeTeam], M$36, Table2[ActualResult], "REG") + SUMIFS(Table2[AwayWon], Table2[GameIsOver],1,Table2[HomeTeam],$A59, Table2[AwayTeam], M$36, Table2[ActualResult], "REG") + SUMIFS(Table2[HomeWon_], Table2[GameIsOver],1,Table2[AwayTeam],$A59, Table2[HomeTeam], M$36, Table2[ActualResult], "OT") + SUMIFS(Table2[AwayWon], Table2[GameIsOver],1,Table2[HomeTeam],$A59, Table2[AwayTeam], M$36, Table2[ActualResult], "OT") + SUMIFS(Table2[HomeWon_], Table2[GameIsOver],1,Table2[AwayTeam],$A59, Table2[HomeTeam], M$36, Table2[ActualResult], "SO") + SUMIFS(Table2[AwayWon], Table2[GameIsOver],1,Table2[HomeTeam],$A59, Table2[AwayTeam], M$36, Table2[ActualResult], "SO"))), "")</f>
        <v/>
      </c>
      <c r="N59" t="str">
        <f>IFERROR(((2*SUMIFS(Table2[AwayWon], Table2[GameIsOver],1,Table2[AwayTeam],$A59, Table2[HomeTeam], N$36) + SUMIFS(Table2[HomeWon_], Table2[GameIsOver],1,Table2[HomeTeam],$A59, Table2[AwayTeam], N$36)) + SUMIFS(Table2[AwayWon], Table2[GameIsOver],1,Table2[HomeTeam],$A59, Table2[AwayTeam], N$36, Table2[ActualResult], "REG") + SUMIFS(Table2[HomeWon_], Table2[GameIsOver],1,Table2[AwayTeam],$A59, Table2[HomeTeam], N$36, Table2[ActualResult], "OT") + SUMIFS(Table2[AwayWon], Table2[GameIsOver],1,Table2[HomeTeam],$A59, Table2[AwayTeam], N$36, Table2[ActualResult], "OT") + SUMIFS(Table2[HomeWon_], Table2[GameIsOver],1,Table2[AwayTeam],$A59, Table2[HomeTeam], N$36, Table2[ActualResult], "SO") + SUMIFS(Table2[AwayWon], Table2[GameIsOver],1,Table2[HomeTeam],$A59, Table2[AwayTeam], N$36, Table2[ActualResult], "SO")) / (2*(SUMIFS(Table2[AwayWon], Table2[GameIsOver],1,Table2[AwayTeam],$A59, Table2[HomeTeam], N$36) + SUMIFS(Table2[HomeWon_], Table2[GameIsOver],1,Table2[HomeTeam],$A59, Table2[AwayTeam], N$36) + SUMIFS(Table2[HomeWon_], Table2[GameIsOver],1,Table2[AwayTeam],$A59, Table2[HomeTeam], N$36, Table2[ActualResult], "REG") + SUMIFS(Table2[AwayWon], Table2[GameIsOver],1,Table2[HomeTeam],$A59, Table2[AwayTeam], N$36, Table2[ActualResult], "REG") + SUMIFS(Table2[HomeWon_], Table2[GameIsOver],1,Table2[AwayTeam],$A59, Table2[HomeTeam], N$36, Table2[ActualResult], "OT") + SUMIFS(Table2[AwayWon], Table2[GameIsOver],1,Table2[HomeTeam],$A59, Table2[AwayTeam], N$36, Table2[ActualResult], "OT") + SUMIFS(Table2[HomeWon_], Table2[GameIsOver],1,Table2[AwayTeam],$A59, Table2[HomeTeam], N$36, Table2[ActualResult], "SO") + SUMIFS(Table2[AwayWon], Table2[GameIsOver],1,Table2[HomeTeam],$A59, Table2[AwayTeam], N$36, Table2[ActualResult], "SO"))), "")</f>
        <v/>
      </c>
      <c r="O59" t="str">
        <f>IFERROR(((2*SUMIFS(Table2[AwayWon], Table2[GameIsOver],1,Table2[AwayTeam],$A59, Table2[HomeTeam], O$36) + SUMIFS(Table2[HomeWon_], Table2[GameIsOver],1,Table2[HomeTeam],$A59, Table2[AwayTeam], O$36)) + SUMIFS(Table2[AwayWon], Table2[GameIsOver],1,Table2[HomeTeam],$A59, Table2[AwayTeam], O$36, Table2[ActualResult], "REG") + SUMIFS(Table2[HomeWon_], Table2[GameIsOver],1,Table2[AwayTeam],$A59, Table2[HomeTeam], O$36, Table2[ActualResult], "OT") + SUMIFS(Table2[AwayWon], Table2[GameIsOver],1,Table2[HomeTeam],$A59, Table2[AwayTeam], O$36, Table2[ActualResult], "OT") + SUMIFS(Table2[HomeWon_], Table2[GameIsOver],1,Table2[AwayTeam],$A59, Table2[HomeTeam], O$36, Table2[ActualResult], "SO") + SUMIFS(Table2[AwayWon], Table2[GameIsOver],1,Table2[HomeTeam],$A59, Table2[AwayTeam], O$36, Table2[ActualResult], "SO")) / (2*(SUMIFS(Table2[AwayWon], Table2[GameIsOver],1,Table2[AwayTeam],$A59, Table2[HomeTeam], O$36) + SUMIFS(Table2[HomeWon_], Table2[GameIsOver],1,Table2[HomeTeam],$A59, Table2[AwayTeam], O$36) + SUMIFS(Table2[HomeWon_], Table2[GameIsOver],1,Table2[AwayTeam],$A59, Table2[HomeTeam], O$36, Table2[ActualResult], "REG") + SUMIFS(Table2[AwayWon], Table2[GameIsOver],1,Table2[HomeTeam],$A59, Table2[AwayTeam], O$36, Table2[ActualResult], "REG") + SUMIFS(Table2[HomeWon_], Table2[GameIsOver],1,Table2[AwayTeam],$A59, Table2[HomeTeam], O$36, Table2[ActualResult], "OT") + SUMIFS(Table2[AwayWon], Table2[GameIsOver],1,Table2[HomeTeam],$A59, Table2[AwayTeam], O$36, Table2[ActualResult], "OT") + SUMIFS(Table2[HomeWon_], Table2[GameIsOver],1,Table2[AwayTeam],$A59, Table2[HomeTeam], O$36, Table2[ActualResult], "SO") + SUMIFS(Table2[AwayWon], Table2[GameIsOver],1,Table2[HomeTeam],$A59, Table2[AwayTeam], O$36, Table2[ActualResult], "SO"))), "")</f>
        <v/>
      </c>
      <c r="P59" t="str">
        <f>IFERROR(((2*SUMIFS(Table2[AwayWon], Table2[GameIsOver],1,Table2[AwayTeam],$A59, Table2[HomeTeam], P$36) + SUMIFS(Table2[HomeWon_], Table2[GameIsOver],1,Table2[HomeTeam],$A59, Table2[AwayTeam], P$36)) + SUMIFS(Table2[AwayWon], Table2[GameIsOver],1,Table2[HomeTeam],$A59, Table2[AwayTeam], P$36, Table2[ActualResult], "REG") + SUMIFS(Table2[HomeWon_], Table2[GameIsOver],1,Table2[AwayTeam],$A59, Table2[HomeTeam], P$36, Table2[ActualResult], "OT") + SUMIFS(Table2[AwayWon], Table2[GameIsOver],1,Table2[HomeTeam],$A59, Table2[AwayTeam], P$36, Table2[ActualResult], "OT") + SUMIFS(Table2[HomeWon_], Table2[GameIsOver],1,Table2[AwayTeam],$A59, Table2[HomeTeam], P$36, Table2[ActualResult], "SO") + SUMIFS(Table2[AwayWon], Table2[GameIsOver],1,Table2[HomeTeam],$A59, Table2[AwayTeam], P$36, Table2[ActualResult], "SO")) / (2*(SUMIFS(Table2[AwayWon], Table2[GameIsOver],1,Table2[AwayTeam],$A59, Table2[HomeTeam], P$36) + SUMIFS(Table2[HomeWon_], Table2[GameIsOver],1,Table2[HomeTeam],$A59, Table2[AwayTeam], P$36) + SUMIFS(Table2[HomeWon_], Table2[GameIsOver],1,Table2[AwayTeam],$A59, Table2[HomeTeam], P$36, Table2[ActualResult], "REG") + SUMIFS(Table2[AwayWon], Table2[GameIsOver],1,Table2[HomeTeam],$A59, Table2[AwayTeam], P$36, Table2[ActualResult], "REG") + SUMIFS(Table2[HomeWon_], Table2[GameIsOver],1,Table2[AwayTeam],$A59, Table2[HomeTeam], P$36, Table2[ActualResult], "OT") + SUMIFS(Table2[AwayWon], Table2[GameIsOver],1,Table2[HomeTeam],$A59, Table2[AwayTeam], P$36, Table2[ActualResult], "OT") + SUMIFS(Table2[HomeWon_], Table2[GameIsOver],1,Table2[AwayTeam],$A59, Table2[HomeTeam], P$36, Table2[ActualResult], "SO") + SUMIFS(Table2[AwayWon], Table2[GameIsOver],1,Table2[HomeTeam],$A59, Table2[AwayTeam], P$36, Table2[ActualResult], "SO"))), "")</f>
        <v/>
      </c>
      <c r="Q59" s="57" t="str">
        <f>IFERROR(((2*SUMIFS(Table2[AwayWon], Table2[GameIsOver],1,Table2[AwayTeam],$A59, Table2[HomeTeam], Q$36) + SUMIFS(Table2[HomeWon_], Table2[GameIsOver],1,Table2[HomeTeam],$A59, Table2[AwayTeam], Q$36)) + SUMIFS(Table2[AwayWon], Table2[GameIsOver],1,Table2[HomeTeam],$A59, Table2[AwayTeam], Q$36, Table2[ActualResult], "REG") + SUMIFS(Table2[HomeWon_], Table2[GameIsOver],1,Table2[AwayTeam],$A59, Table2[HomeTeam], Q$36, Table2[ActualResult], "OT") + SUMIFS(Table2[AwayWon], Table2[GameIsOver],1,Table2[HomeTeam],$A59, Table2[AwayTeam], Q$36, Table2[ActualResult], "OT") + SUMIFS(Table2[HomeWon_], Table2[GameIsOver],1,Table2[AwayTeam],$A59, Table2[HomeTeam], Q$36, Table2[ActualResult], "SO") + SUMIFS(Table2[AwayWon], Table2[GameIsOver],1,Table2[HomeTeam],$A59, Table2[AwayTeam], Q$36, Table2[ActualResult], "SO")) / (2*(SUMIFS(Table2[AwayWon], Table2[GameIsOver],1,Table2[AwayTeam],$A59, Table2[HomeTeam], Q$36) + SUMIFS(Table2[HomeWon_], Table2[GameIsOver],1,Table2[HomeTeam],$A59, Table2[AwayTeam], Q$36) + SUMIFS(Table2[HomeWon_], Table2[GameIsOver],1,Table2[AwayTeam],$A59, Table2[HomeTeam], Q$36, Table2[ActualResult], "REG") + SUMIFS(Table2[AwayWon], Table2[GameIsOver],1,Table2[HomeTeam],$A59, Table2[AwayTeam], Q$36, Table2[ActualResult], "REG") + SUMIFS(Table2[HomeWon_], Table2[GameIsOver],1,Table2[AwayTeam],$A59, Table2[HomeTeam], Q$36, Table2[ActualResult], "OT") + SUMIFS(Table2[AwayWon], Table2[GameIsOver],1,Table2[HomeTeam],$A59, Table2[AwayTeam], Q$36, Table2[ActualResult], "OT") + SUMIFS(Table2[HomeWon_], Table2[GameIsOver],1,Table2[AwayTeam],$A59, Table2[HomeTeam], Q$36, Table2[ActualResult], "SO") + SUMIFS(Table2[AwayWon], Table2[GameIsOver],1,Table2[HomeTeam],$A59, Table2[AwayTeam], Q$36, Table2[ActualResult], "SO"))), "")</f>
        <v/>
      </c>
      <c r="R59" t="str">
        <f>IFERROR(((2*SUMIFS(Table2[AwayWon], Table2[GameIsOver],1,Table2[AwayTeam],$A59, Table2[HomeTeam], R$36) + SUMIFS(Table2[HomeWon_], Table2[GameIsOver],1,Table2[HomeTeam],$A59, Table2[AwayTeam], R$36)) + SUMIFS(Table2[AwayWon], Table2[GameIsOver],1,Table2[HomeTeam],$A59, Table2[AwayTeam], R$36, Table2[ActualResult], "REG") + SUMIFS(Table2[HomeWon_], Table2[GameIsOver],1,Table2[AwayTeam],$A59, Table2[HomeTeam], R$36, Table2[ActualResult], "OT") + SUMIFS(Table2[AwayWon], Table2[GameIsOver],1,Table2[HomeTeam],$A59, Table2[AwayTeam], R$36, Table2[ActualResult], "OT") + SUMIFS(Table2[HomeWon_], Table2[GameIsOver],1,Table2[AwayTeam],$A59, Table2[HomeTeam], R$36, Table2[ActualResult], "SO") + SUMIFS(Table2[AwayWon], Table2[GameIsOver],1,Table2[HomeTeam],$A59, Table2[AwayTeam], R$36, Table2[ActualResult], "SO")) / (2*(SUMIFS(Table2[AwayWon], Table2[GameIsOver],1,Table2[AwayTeam],$A59, Table2[HomeTeam], R$36) + SUMIFS(Table2[HomeWon_], Table2[GameIsOver],1,Table2[HomeTeam],$A59, Table2[AwayTeam], R$36) + SUMIFS(Table2[HomeWon_], Table2[GameIsOver],1,Table2[AwayTeam],$A59, Table2[HomeTeam], R$36, Table2[ActualResult], "REG") + SUMIFS(Table2[AwayWon], Table2[GameIsOver],1,Table2[HomeTeam],$A59, Table2[AwayTeam], R$36, Table2[ActualResult], "REG") + SUMIFS(Table2[HomeWon_], Table2[GameIsOver],1,Table2[AwayTeam],$A59, Table2[HomeTeam], R$36, Table2[ActualResult], "OT") + SUMIFS(Table2[AwayWon], Table2[GameIsOver],1,Table2[HomeTeam],$A59, Table2[AwayTeam], R$36, Table2[ActualResult], "OT") + SUMIFS(Table2[HomeWon_], Table2[GameIsOver],1,Table2[AwayTeam],$A59, Table2[HomeTeam], R$36, Table2[ActualResult], "SO") + SUMIFS(Table2[AwayWon], Table2[GameIsOver],1,Table2[HomeTeam],$A59, Table2[AwayTeam], R$36, Table2[ActualResult], "SO"))), "")</f>
        <v/>
      </c>
      <c r="S59" t="str">
        <f>IFERROR(((2*SUMIFS(Table2[AwayWon], Table2[GameIsOver],1,Table2[AwayTeam],$A59, Table2[HomeTeam], S$36) + SUMIFS(Table2[HomeWon_], Table2[GameIsOver],1,Table2[HomeTeam],$A59, Table2[AwayTeam], S$36)) + SUMIFS(Table2[AwayWon], Table2[GameIsOver],1,Table2[HomeTeam],$A59, Table2[AwayTeam], S$36, Table2[ActualResult], "REG") + SUMIFS(Table2[HomeWon_], Table2[GameIsOver],1,Table2[AwayTeam],$A59, Table2[HomeTeam], S$36, Table2[ActualResult], "OT") + SUMIFS(Table2[AwayWon], Table2[GameIsOver],1,Table2[HomeTeam],$A59, Table2[AwayTeam], S$36, Table2[ActualResult], "OT") + SUMIFS(Table2[HomeWon_], Table2[GameIsOver],1,Table2[AwayTeam],$A59, Table2[HomeTeam], S$36, Table2[ActualResult], "SO") + SUMIFS(Table2[AwayWon], Table2[GameIsOver],1,Table2[HomeTeam],$A59, Table2[AwayTeam], S$36, Table2[ActualResult], "SO")) / (2*(SUMIFS(Table2[AwayWon], Table2[GameIsOver],1,Table2[AwayTeam],$A59, Table2[HomeTeam], S$36) + SUMIFS(Table2[HomeWon_], Table2[GameIsOver],1,Table2[HomeTeam],$A59, Table2[AwayTeam], S$36) + SUMIFS(Table2[HomeWon_], Table2[GameIsOver],1,Table2[AwayTeam],$A59, Table2[HomeTeam], S$36, Table2[ActualResult], "REG") + SUMIFS(Table2[AwayWon], Table2[GameIsOver],1,Table2[HomeTeam],$A59, Table2[AwayTeam], S$36, Table2[ActualResult], "REG") + SUMIFS(Table2[HomeWon_], Table2[GameIsOver],1,Table2[AwayTeam],$A59, Table2[HomeTeam], S$36, Table2[ActualResult], "OT") + SUMIFS(Table2[AwayWon], Table2[GameIsOver],1,Table2[HomeTeam],$A59, Table2[AwayTeam], S$36, Table2[ActualResult], "OT") + SUMIFS(Table2[HomeWon_], Table2[GameIsOver],1,Table2[AwayTeam],$A59, Table2[HomeTeam], S$36, Table2[ActualResult], "SO") + SUMIFS(Table2[AwayWon], Table2[GameIsOver],1,Table2[HomeTeam],$A59, Table2[AwayTeam], S$36, Table2[ActualResult], "SO"))), "")</f>
        <v/>
      </c>
      <c r="T59" t="str">
        <f>IFERROR(((2*SUMIFS(Table2[AwayWon], Table2[GameIsOver],1,Table2[AwayTeam],$A59, Table2[HomeTeam], T$36) + SUMIFS(Table2[HomeWon_], Table2[GameIsOver],1,Table2[HomeTeam],$A59, Table2[AwayTeam], T$36)) + SUMIFS(Table2[AwayWon], Table2[GameIsOver],1,Table2[HomeTeam],$A59, Table2[AwayTeam], T$36, Table2[ActualResult], "REG") + SUMIFS(Table2[HomeWon_], Table2[GameIsOver],1,Table2[AwayTeam],$A59, Table2[HomeTeam], T$36, Table2[ActualResult], "OT") + SUMIFS(Table2[AwayWon], Table2[GameIsOver],1,Table2[HomeTeam],$A59, Table2[AwayTeam], T$36, Table2[ActualResult], "OT") + SUMIFS(Table2[HomeWon_], Table2[GameIsOver],1,Table2[AwayTeam],$A59, Table2[HomeTeam], T$36, Table2[ActualResult], "SO") + SUMIFS(Table2[AwayWon], Table2[GameIsOver],1,Table2[HomeTeam],$A59, Table2[AwayTeam], T$36, Table2[ActualResult], "SO")) / (2*(SUMIFS(Table2[AwayWon], Table2[GameIsOver],1,Table2[AwayTeam],$A59, Table2[HomeTeam], T$36) + SUMIFS(Table2[HomeWon_], Table2[GameIsOver],1,Table2[HomeTeam],$A59, Table2[AwayTeam], T$36) + SUMIFS(Table2[HomeWon_], Table2[GameIsOver],1,Table2[AwayTeam],$A59, Table2[HomeTeam], T$36, Table2[ActualResult], "REG") + SUMIFS(Table2[AwayWon], Table2[GameIsOver],1,Table2[HomeTeam],$A59, Table2[AwayTeam], T$36, Table2[ActualResult], "REG") + SUMIFS(Table2[HomeWon_], Table2[GameIsOver],1,Table2[AwayTeam],$A59, Table2[HomeTeam], T$36, Table2[ActualResult], "OT") + SUMIFS(Table2[AwayWon], Table2[GameIsOver],1,Table2[HomeTeam],$A59, Table2[AwayTeam], T$36, Table2[ActualResult], "OT") + SUMIFS(Table2[HomeWon_], Table2[GameIsOver],1,Table2[AwayTeam],$A59, Table2[HomeTeam], T$36, Table2[ActualResult], "SO") + SUMIFS(Table2[AwayWon], Table2[GameIsOver],1,Table2[HomeTeam],$A59, Table2[AwayTeam], T$36, Table2[ActualResult], "SO"))), "")</f>
        <v/>
      </c>
      <c r="U59">
        <f>IFERROR(((2*SUMIFS(Table2[AwayWon], Table2[GameIsOver],1,Table2[AwayTeam],$A59, Table2[HomeTeam], U$36) + SUMIFS(Table2[HomeWon_], Table2[GameIsOver],1,Table2[HomeTeam],$A59, Table2[AwayTeam], U$36)) + SUMIFS(Table2[AwayWon], Table2[GameIsOver],1,Table2[HomeTeam],$A59, Table2[AwayTeam], U$36, Table2[ActualResult], "REG") + SUMIFS(Table2[HomeWon_], Table2[GameIsOver],1,Table2[AwayTeam],$A59, Table2[HomeTeam], U$36, Table2[ActualResult], "OT") + SUMIFS(Table2[AwayWon], Table2[GameIsOver],1,Table2[HomeTeam],$A59, Table2[AwayTeam], U$36, Table2[ActualResult], "OT") + SUMIFS(Table2[HomeWon_], Table2[GameIsOver],1,Table2[AwayTeam],$A59, Table2[HomeTeam], U$36, Table2[ActualResult], "SO") + SUMIFS(Table2[AwayWon], Table2[GameIsOver],1,Table2[HomeTeam],$A59, Table2[AwayTeam], U$36, Table2[ActualResult], "SO")) / (2*(SUMIFS(Table2[AwayWon], Table2[GameIsOver],1,Table2[AwayTeam],$A59, Table2[HomeTeam], U$36) + SUMIFS(Table2[HomeWon_], Table2[GameIsOver],1,Table2[HomeTeam],$A59, Table2[AwayTeam], U$36) + SUMIFS(Table2[HomeWon_], Table2[GameIsOver],1,Table2[AwayTeam],$A59, Table2[HomeTeam], U$36, Table2[ActualResult], "REG") + SUMIFS(Table2[AwayWon], Table2[GameIsOver],1,Table2[HomeTeam],$A59, Table2[AwayTeam], U$36, Table2[ActualResult], "REG") + SUMIFS(Table2[HomeWon_], Table2[GameIsOver],1,Table2[AwayTeam],$A59, Table2[HomeTeam], U$36, Table2[ActualResult], "OT") + SUMIFS(Table2[AwayWon], Table2[GameIsOver],1,Table2[HomeTeam],$A59, Table2[AwayTeam], U$36, Table2[ActualResult], "OT") + SUMIFS(Table2[HomeWon_], Table2[GameIsOver],1,Table2[AwayTeam],$A59, Table2[HomeTeam], U$36, Table2[ActualResult], "SO") + SUMIFS(Table2[AwayWon], Table2[GameIsOver],1,Table2[HomeTeam],$A59, Table2[AwayTeam], U$36, Table2[ActualResult], "SO"))), "")</f>
        <v>0.5</v>
      </c>
      <c r="V59">
        <f>IFERROR(((2*SUMIFS(Table2[AwayWon], Table2[GameIsOver],1,Table2[AwayTeam],$A59, Table2[HomeTeam], V$36) + SUMIFS(Table2[HomeWon_], Table2[GameIsOver],1,Table2[HomeTeam],$A59, Table2[AwayTeam], V$36)) + SUMIFS(Table2[AwayWon], Table2[GameIsOver],1,Table2[HomeTeam],$A59, Table2[AwayTeam], V$36, Table2[ActualResult], "REG") + SUMIFS(Table2[HomeWon_], Table2[GameIsOver],1,Table2[AwayTeam],$A59, Table2[HomeTeam], V$36, Table2[ActualResult], "OT") + SUMIFS(Table2[AwayWon], Table2[GameIsOver],1,Table2[HomeTeam],$A59, Table2[AwayTeam], V$36, Table2[ActualResult], "OT") + SUMIFS(Table2[HomeWon_], Table2[GameIsOver],1,Table2[AwayTeam],$A59, Table2[HomeTeam], V$36, Table2[ActualResult], "SO") + SUMIFS(Table2[AwayWon], Table2[GameIsOver],1,Table2[HomeTeam],$A59, Table2[AwayTeam], V$36, Table2[ActualResult], "SO")) / (2*(SUMIFS(Table2[AwayWon], Table2[GameIsOver],1,Table2[AwayTeam],$A59, Table2[HomeTeam], V$36) + SUMIFS(Table2[HomeWon_], Table2[GameIsOver],1,Table2[HomeTeam],$A59, Table2[AwayTeam], V$36) + SUMIFS(Table2[HomeWon_], Table2[GameIsOver],1,Table2[AwayTeam],$A59, Table2[HomeTeam], V$36, Table2[ActualResult], "REG") + SUMIFS(Table2[AwayWon], Table2[GameIsOver],1,Table2[HomeTeam],$A59, Table2[AwayTeam], V$36, Table2[ActualResult], "REG") + SUMIFS(Table2[HomeWon_], Table2[GameIsOver],1,Table2[AwayTeam],$A59, Table2[HomeTeam], V$36, Table2[ActualResult], "OT") + SUMIFS(Table2[AwayWon], Table2[GameIsOver],1,Table2[HomeTeam],$A59, Table2[AwayTeam], V$36, Table2[ActualResult], "OT") + SUMIFS(Table2[HomeWon_], Table2[GameIsOver],1,Table2[AwayTeam],$A59, Table2[HomeTeam], V$36, Table2[ActualResult], "SO") + SUMIFS(Table2[AwayWon], Table2[GameIsOver],1,Table2[HomeTeam],$A59, Table2[AwayTeam], V$36, Table2[ActualResult], "SO"))), "")</f>
        <v>0.75</v>
      </c>
      <c r="W59" t="str">
        <f>IFERROR(((2*SUMIFS(Table2[AwayWon], Table2[GameIsOver],1,Table2[AwayTeam],$A59, Table2[HomeTeam], W$36) + SUMIFS(Table2[HomeWon_], Table2[GameIsOver],1,Table2[HomeTeam],$A59, Table2[AwayTeam], W$36)) + SUMIFS(Table2[AwayWon], Table2[GameIsOver],1,Table2[HomeTeam],$A59, Table2[AwayTeam], W$36, Table2[ActualResult], "REG") + SUMIFS(Table2[HomeWon_], Table2[GameIsOver],1,Table2[AwayTeam],$A59, Table2[HomeTeam], W$36, Table2[ActualResult], "OT") + SUMIFS(Table2[AwayWon], Table2[GameIsOver],1,Table2[HomeTeam],$A59, Table2[AwayTeam], W$36, Table2[ActualResult], "OT") + SUMIFS(Table2[HomeWon_], Table2[GameIsOver],1,Table2[AwayTeam],$A59, Table2[HomeTeam], W$36, Table2[ActualResult], "SO") + SUMIFS(Table2[AwayWon], Table2[GameIsOver],1,Table2[HomeTeam],$A59, Table2[AwayTeam], W$36, Table2[ActualResult], "SO")) / (2*(SUMIFS(Table2[AwayWon], Table2[GameIsOver],1,Table2[AwayTeam],$A59, Table2[HomeTeam], W$36) + SUMIFS(Table2[HomeWon_], Table2[GameIsOver],1,Table2[HomeTeam],$A59, Table2[AwayTeam], W$36) + SUMIFS(Table2[HomeWon_], Table2[GameIsOver],1,Table2[AwayTeam],$A59, Table2[HomeTeam], W$36, Table2[ActualResult], "REG") + SUMIFS(Table2[AwayWon], Table2[GameIsOver],1,Table2[HomeTeam],$A59, Table2[AwayTeam], W$36, Table2[ActualResult], "REG") + SUMIFS(Table2[HomeWon_], Table2[GameIsOver],1,Table2[AwayTeam],$A59, Table2[HomeTeam], W$36, Table2[ActualResult], "OT") + SUMIFS(Table2[AwayWon], Table2[GameIsOver],1,Table2[HomeTeam],$A59, Table2[AwayTeam], W$36, Table2[ActualResult], "OT") + SUMIFS(Table2[HomeWon_], Table2[GameIsOver],1,Table2[AwayTeam],$A59, Table2[HomeTeam], W$36, Table2[ActualResult], "SO") + SUMIFS(Table2[AwayWon], Table2[GameIsOver],1,Table2[HomeTeam],$A59, Table2[AwayTeam], W$36, Table2[ActualResult], "SO"))), "")</f>
        <v/>
      </c>
      <c r="X59" s="98" t="str">
        <f>IFERROR(((2*SUMIFS(Table2[AwayWon], Table2[GameIsOver],1,Table2[AwayTeam],$A59, Table2[HomeTeam], X$36) + SUMIFS(Table2[HomeWon_], Table2[GameIsOver],1,Table2[HomeTeam],$A59, Table2[AwayTeam], X$36)) + SUMIFS(Table2[AwayWon], Table2[GameIsOver],1,Table2[HomeTeam],$A59, Table2[AwayTeam], X$36, Table2[ActualResult], "REG") + SUMIFS(Table2[HomeWon_], Table2[GameIsOver],1,Table2[AwayTeam],$A59, Table2[HomeTeam], X$36, Table2[ActualResult], "OT") + SUMIFS(Table2[AwayWon], Table2[GameIsOver],1,Table2[HomeTeam],$A59, Table2[AwayTeam], X$36, Table2[ActualResult], "OT") + SUMIFS(Table2[HomeWon_], Table2[GameIsOver],1,Table2[AwayTeam],$A59, Table2[HomeTeam], X$36, Table2[ActualResult], "SO") + SUMIFS(Table2[AwayWon], Table2[GameIsOver],1,Table2[HomeTeam],$A59, Table2[AwayTeam], X$36, Table2[ActualResult], "SO")) / (2*(SUMIFS(Table2[AwayWon], Table2[GameIsOver],1,Table2[AwayTeam],$A59, Table2[HomeTeam], X$36) + SUMIFS(Table2[HomeWon_], Table2[GameIsOver],1,Table2[HomeTeam],$A59, Table2[AwayTeam], X$36) + SUMIFS(Table2[HomeWon_], Table2[GameIsOver],1,Table2[AwayTeam],$A59, Table2[HomeTeam], X$36, Table2[ActualResult], "REG") + SUMIFS(Table2[AwayWon], Table2[GameIsOver],1,Table2[HomeTeam],$A59, Table2[AwayTeam], X$36, Table2[ActualResult], "REG") + SUMIFS(Table2[HomeWon_], Table2[GameIsOver],1,Table2[AwayTeam],$A59, Table2[HomeTeam], X$36, Table2[ActualResult], "OT") + SUMIFS(Table2[AwayWon], Table2[GameIsOver],1,Table2[HomeTeam],$A59, Table2[AwayTeam], X$36, Table2[ActualResult], "OT") + SUMIFS(Table2[HomeWon_], Table2[GameIsOver],1,Table2[AwayTeam],$A59, Table2[HomeTeam], X$36, Table2[ActualResult], "SO") + SUMIFS(Table2[AwayWon], Table2[GameIsOver],1,Table2[HomeTeam],$A59, Table2[AwayTeam], X$36, Table2[ActualResult], "SO"))), "")</f>
        <v/>
      </c>
      <c r="Y59" s="57" t="str">
        <f>IFERROR(((2*SUMIFS(Table2[AwayWon], Table2[GameIsOver],1,Table2[AwayTeam],$A59, Table2[HomeTeam], Y$36) + SUMIFS(Table2[HomeWon_], Table2[GameIsOver],1,Table2[HomeTeam],$A59, Table2[AwayTeam], Y$36)) + SUMIFS(Table2[AwayWon], Table2[GameIsOver],1,Table2[HomeTeam],$A59, Table2[AwayTeam], Y$36, Table2[ActualResult], "REG") + SUMIFS(Table2[HomeWon_], Table2[GameIsOver],1,Table2[AwayTeam],$A59, Table2[HomeTeam], Y$36, Table2[ActualResult], "OT") + SUMIFS(Table2[AwayWon], Table2[GameIsOver],1,Table2[HomeTeam],$A59, Table2[AwayTeam], Y$36, Table2[ActualResult], "OT") + SUMIFS(Table2[HomeWon_], Table2[GameIsOver],1,Table2[AwayTeam],$A59, Table2[HomeTeam], Y$36, Table2[ActualResult], "SO") + SUMIFS(Table2[AwayWon], Table2[GameIsOver],1,Table2[HomeTeam],$A59, Table2[AwayTeam], Y$36, Table2[ActualResult], "SO")) / (2*(SUMIFS(Table2[AwayWon], Table2[GameIsOver],1,Table2[AwayTeam],$A59, Table2[HomeTeam], Y$36) + SUMIFS(Table2[HomeWon_], Table2[GameIsOver],1,Table2[HomeTeam],$A59, Table2[AwayTeam], Y$36) + SUMIFS(Table2[HomeWon_], Table2[GameIsOver],1,Table2[AwayTeam],$A59, Table2[HomeTeam], Y$36, Table2[ActualResult], "REG") + SUMIFS(Table2[AwayWon], Table2[GameIsOver],1,Table2[HomeTeam],$A59, Table2[AwayTeam], Y$36, Table2[ActualResult], "REG") + SUMIFS(Table2[HomeWon_], Table2[GameIsOver],1,Table2[AwayTeam],$A59, Table2[HomeTeam], Y$36, Table2[ActualResult], "OT") + SUMIFS(Table2[AwayWon], Table2[GameIsOver],1,Table2[HomeTeam],$A59, Table2[AwayTeam], Y$36, Table2[ActualResult], "OT") + SUMIFS(Table2[HomeWon_], Table2[GameIsOver],1,Table2[AwayTeam],$A59, Table2[HomeTeam], Y$36, Table2[ActualResult], "SO") + SUMIFS(Table2[AwayWon], Table2[GameIsOver],1,Table2[HomeTeam],$A59, Table2[AwayTeam], Y$36, Table2[ActualResult], "SO"))), "")</f>
        <v/>
      </c>
      <c r="Z59" t="str">
        <f>IFERROR(((2*SUMIFS(Table2[AwayWon], Table2[GameIsOver],1,Table2[AwayTeam],$A59, Table2[HomeTeam], Z$36) + SUMIFS(Table2[HomeWon_], Table2[GameIsOver],1,Table2[HomeTeam],$A59, Table2[AwayTeam], Z$36)) + SUMIFS(Table2[AwayWon], Table2[GameIsOver],1,Table2[HomeTeam],$A59, Table2[AwayTeam], Z$36, Table2[ActualResult], "REG") + SUMIFS(Table2[HomeWon_], Table2[GameIsOver],1,Table2[AwayTeam],$A59, Table2[HomeTeam], Z$36, Table2[ActualResult], "OT") + SUMIFS(Table2[AwayWon], Table2[GameIsOver],1,Table2[HomeTeam],$A59, Table2[AwayTeam], Z$36, Table2[ActualResult], "OT") + SUMIFS(Table2[HomeWon_], Table2[GameIsOver],1,Table2[AwayTeam],$A59, Table2[HomeTeam], Z$36, Table2[ActualResult], "SO") + SUMIFS(Table2[AwayWon], Table2[GameIsOver],1,Table2[HomeTeam],$A59, Table2[AwayTeam], Z$36, Table2[ActualResult], "SO")) / (2*(SUMIFS(Table2[AwayWon], Table2[GameIsOver],1,Table2[AwayTeam],$A59, Table2[HomeTeam], Z$36) + SUMIFS(Table2[HomeWon_], Table2[GameIsOver],1,Table2[HomeTeam],$A59, Table2[AwayTeam], Z$36) + SUMIFS(Table2[HomeWon_], Table2[GameIsOver],1,Table2[AwayTeam],$A59, Table2[HomeTeam], Z$36, Table2[ActualResult], "REG") + SUMIFS(Table2[AwayWon], Table2[GameIsOver],1,Table2[HomeTeam],$A59, Table2[AwayTeam], Z$36, Table2[ActualResult], "REG") + SUMIFS(Table2[HomeWon_], Table2[GameIsOver],1,Table2[AwayTeam],$A59, Table2[HomeTeam], Z$36, Table2[ActualResult], "OT") + SUMIFS(Table2[AwayWon], Table2[GameIsOver],1,Table2[HomeTeam],$A59, Table2[AwayTeam], Z$36, Table2[ActualResult], "OT") + SUMIFS(Table2[HomeWon_], Table2[GameIsOver],1,Table2[AwayTeam],$A59, Table2[HomeTeam], Z$36, Table2[ActualResult], "SO") + SUMIFS(Table2[AwayWon], Table2[GameIsOver],1,Table2[HomeTeam],$A59, Table2[AwayTeam], Z$36, Table2[ActualResult], "SO"))), "")</f>
        <v/>
      </c>
      <c r="AA59" t="str">
        <f>IFERROR(((2*SUMIFS(Table2[AwayWon], Table2[GameIsOver],1,Table2[AwayTeam],$A59, Table2[HomeTeam], AA$36) + SUMIFS(Table2[HomeWon_], Table2[GameIsOver],1,Table2[HomeTeam],$A59, Table2[AwayTeam], AA$36)) + SUMIFS(Table2[AwayWon], Table2[GameIsOver],1,Table2[HomeTeam],$A59, Table2[AwayTeam], AA$36, Table2[ActualResult], "REG") + SUMIFS(Table2[HomeWon_], Table2[GameIsOver],1,Table2[AwayTeam],$A59, Table2[HomeTeam], AA$36, Table2[ActualResult], "OT") + SUMIFS(Table2[AwayWon], Table2[GameIsOver],1,Table2[HomeTeam],$A59, Table2[AwayTeam], AA$36, Table2[ActualResult], "OT") + SUMIFS(Table2[HomeWon_], Table2[GameIsOver],1,Table2[AwayTeam],$A59, Table2[HomeTeam], AA$36, Table2[ActualResult], "SO") + SUMIFS(Table2[AwayWon], Table2[GameIsOver],1,Table2[HomeTeam],$A59, Table2[AwayTeam], AA$36, Table2[ActualResult], "SO")) / (2*(SUMIFS(Table2[AwayWon], Table2[GameIsOver],1,Table2[AwayTeam],$A59, Table2[HomeTeam], AA$36) + SUMIFS(Table2[HomeWon_], Table2[GameIsOver],1,Table2[HomeTeam],$A59, Table2[AwayTeam], AA$36) + SUMIFS(Table2[HomeWon_], Table2[GameIsOver],1,Table2[AwayTeam],$A59, Table2[HomeTeam], AA$36, Table2[ActualResult], "REG") + SUMIFS(Table2[AwayWon], Table2[GameIsOver],1,Table2[HomeTeam],$A59, Table2[AwayTeam], AA$36, Table2[ActualResult], "REG") + SUMIFS(Table2[HomeWon_], Table2[GameIsOver],1,Table2[AwayTeam],$A59, Table2[HomeTeam], AA$36, Table2[ActualResult], "OT") + SUMIFS(Table2[AwayWon], Table2[GameIsOver],1,Table2[HomeTeam],$A59, Table2[AwayTeam], AA$36, Table2[ActualResult], "OT") + SUMIFS(Table2[HomeWon_], Table2[GameIsOver],1,Table2[AwayTeam],$A59, Table2[HomeTeam], AA$36, Table2[ActualResult], "SO") + SUMIFS(Table2[AwayWon], Table2[GameIsOver],1,Table2[HomeTeam],$A59, Table2[AwayTeam], AA$36, Table2[ActualResult], "SO"))), "")</f>
        <v/>
      </c>
      <c r="AB59" t="str">
        <f>IFERROR(((2*SUMIFS(Table2[AwayWon], Table2[GameIsOver],1,Table2[AwayTeam],$A59, Table2[HomeTeam], AB$36) + SUMIFS(Table2[HomeWon_], Table2[GameIsOver],1,Table2[HomeTeam],$A59, Table2[AwayTeam], AB$36)) + SUMIFS(Table2[AwayWon], Table2[GameIsOver],1,Table2[HomeTeam],$A59, Table2[AwayTeam], AB$36, Table2[ActualResult], "REG") + SUMIFS(Table2[HomeWon_], Table2[GameIsOver],1,Table2[AwayTeam],$A59, Table2[HomeTeam], AB$36, Table2[ActualResult], "OT") + SUMIFS(Table2[AwayWon], Table2[GameIsOver],1,Table2[HomeTeam],$A59, Table2[AwayTeam], AB$36, Table2[ActualResult], "OT") + SUMIFS(Table2[HomeWon_], Table2[GameIsOver],1,Table2[AwayTeam],$A59, Table2[HomeTeam], AB$36, Table2[ActualResult], "SO") + SUMIFS(Table2[AwayWon], Table2[GameIsOver],1,Table2[HomeTeam],$A59, Table2[AwayTeam], AB$36, Table2[ActualResult], "SO")) / (2*(SUMIFS(Table2[AwayWon], Table2[GameIsOver],1,Table2[AwayTeam],$A59, Table2[HomeTeam], AB$36) + SUMIFS(Table2[HomeWon_], Table2[GameIsOver],1,Table2[HomeTeam],$A59, Table2[AwayTeam], AB$36) + SUMIFS(Table2[HomeWon_], Table2[GameIsOver],1,Table2[AwayTeam],$A59, Table2[HomeTeam], AB$36, Table2[ActualResult], "REG") + SUMIFS(Table2[AwayWon], Table2[GameIsOver],1,Table2[HomeTeam],$A59, Table2[AwayTeam], AB$36, Table2[ActualResult], "REG") + SUMIFS(Table2[HomeWon_], Table2[GameIsOver],1,Table2[AwayTeam],$A59, Table2[HomeTeam], AB$36, Table2[ActualResult], "OT") + SUMIFS(Table2[AwayWon], Table2[GameIsOver],1,Table2[HomeTeam],$A59, Table2[AwayTeam], AB$36, Table2[ActualResult], "OT") + SUMIFS(Table2[HomeWon_], Table2[GameIsOver],1,Table2[AwayTeam],$A59, Table2[HomeTeam], AB$36, Table2[ActualResult], "SO") + SUMIFS(Table2[AwayWon], Table2[GameIsOver],1,Table2[HomeTeam],$A59, Table2[AwayTeam], AB$36, Table2[ActualResult], "SO"))), "")</f>
        <v/>
      </c>
      <c r="AC59" t="str">
        <f>IFERROR(((2*SUMIFS(Table2[AwayWon], Table2[GameIsOver],1,Table2[AwayTeam],$A59, Table2[HomeTeam], AC$36) + SUMIFS(Table2[HomeWon_], Table2[GameIsOver],1,Table2[HomeTeam],$A59, Table2[AwayTeam], AC$36)) + SUMIFS(Table2[AwayWon], Table2[GameIsOver],1,Table2[HomeTeam],$A59, Table2[AwayTeam], AC$36, Table2[ActualResult], "REG") + SUMIFS(Table2[HomeWon_], Table2[GameIsOver],1,Table2[AwayTeam],$A59, Table2[HomeTeam], AC$36, Table2[ActualResult], "OT") + SUMIFS(Table2[AwayWon], Table2[GameIsOver],1,Table2[HomeTeam],$A59, Table2[AwayTeam], AC$36, Table2[ActualResult], "OT") + SUMIFS(Table2[HomeWon_], Table2[GameIsOver],1,Table2[AwayTeam],$A59, Table2[HomeTeam], AC$36, Table2[ActualResult], "SO") + SUMIFS(Table2[AwayWon], Table2[GameIsOver],1,Table2[HomeTeam],$A59, Table2[AwayTeam], AC$36, Table2[ActualResult], "SO")) / (2*(SUMIFS(Table2[AwayWon], Table2[GameIsOver],1,Table2[AwayTeam],$A59, Table2[HomeTeam], AC$36) + SUMIFS(Table2[HomeWon_], Table2[GameIsOver],1,Table2[HomeTeam],$A59, Table2[AwayTeam], AC$36) + SUMIFS(Table2[HomeWon_], Table2[GameIsOver],1,Table2[AwayTeam],$A59, Table2[HomeTeam], AC$36, Table2[ActualResult], "REG") + SUMIFS(Table2[AwayWon], Table2[GameIsOver],1,Table2[HomeTeam],$A59, Table2[AwayTeam], AC$36, Table2[ActualResult], "REG") + SUMIFS(Table2[HomeWon_], Table2[GameIsOver],1,Table2[AwayTeam],$A59, Table2[HomeTeam], AC$36, Table2[ActualResult], "OT") + SUMIFS(Table2[AwayWon], Table2[GameIsOver],1,Table2[HomeTeam],$A59, Table2[AwayTeam], AC$36, Table2[ActualResult], "OT") + SUMIFS(Table2[HomeWon_], Table2[GameIsOver],1,Table2[AwayTeam],$A59, Table2[HomeTeam], AC$36, Table2[ActualResult], "SO") + SUMIFS(Table2[AwayWon], Table2[GameIsOver],1,Table2[HomeTeam],$A59, Table2[AwayTeam], AC$36, Table2[ActualResult], "SO"))), "")</f>
        <v/>
      </c>
      <c r="AD59" t="str">
        <f>IFERROR(((2*SUMIFS(Table2[AwayWon], Table2[GameIsOver],1,Table2[AwayTeam],$A59, Table2[HomeTeam], AD$36) + SUMIFS(Table2[HomeWon_], Table2[GameIsOver],1,Table2[HomeTeam],$A59, Table2[AwayTeam], AD$36)) + SUMIFS(Table2[AwayWon], Table2[GameIsOver],1,Table2[HomeTeam],$A59, Table2[AwayTeam], AD$36, Table2[ActualResult], "REG") + SUMIFS(Table2[HomeWon_], Table2[GameIsOver],1,Table2[AwayTeam],$A59, Table2[HomeTeam], AD$36, Table2[ActualResult], "OT") + SUMIFS(Table2[AwayWon], Table2[GameIsOver],1,Table2[HomeTeam],$A59, Table2[AwayTeam], AD$36, Table2[ActualResult], "OT") + SUMIFS(Table2[HomeWon_], Table2[GameIsOver],1,Table2[AwayTeam],$A59, Table2[HomeTeam], AD$36, Table2[ActualResult], "SO") + SUMIFS(Table2[AwayWon], Table2[GameIsOver],1,Table2[HomeTeam],$A59, Table2[AwayTeam], AD$36, Table2[ActualResult], "SO")) / (2*(SUMIFS(Table2[AwayWon], Table2[GameIsOver],1,Table2[AwayTeam],$A59, Table2[HomeTeam], AD$36) + SUMIFS(Table2[HomeWon_], Table2[GameIsOver],1,Table2[HomeTeam],$A59, Table2[AwayTeam], AD$36) + SUMIFS(Table2[HomeWon_], Table2[GameIsOver],1,Table2[AwayTeam],$A59, Table2[HomeTeam], AD$36, Table2[ActualResult], "REG") + SUMIFS(Table2[AwayWon], Table2[GameIsOver],1,Table2[HomeTeam],$A59, Table2[AwayTeam], AD$36, Table2[ActualResult], "REG") + SUMIFS(Table2[HomeWon_], Table2[GameIsOver],1,Table2[AwayTeam],$A59, Table2[HomeTeam], AD$36, Table2[ActualResult], "OT") + SUMIFS(Table2[AwayWon], Table2[GameIsOver],1,Table2[HomeTeam],$A59, Table2[AwayTeam], AD$36, Table2[ActualResult], "OT") + SUMIFS(Table2[HomeWon_], Table2[GameIsOver],1,Table2[AwayTeam],$A59, Table2[HomeTeam], AD$36, Table2[ActualResult], "SO") + SUMIFS(Table2[AwayWon], Table2[GameIsOver],1,Table2[HomeTeam],$A59, Table2[AwayTeam], AD$36, Table2[ActualResult], "SO"))), "")</f>
        <v/>
      </c>
      <c r="AE59" t="str">
        <f>IFERROR(((2*SUMIFS(Table2[AwayWon], Table2[GameIsOver],1,Table2[AwayTeam],$A59, Table2[HomeTeam], AE$36) + SUMIFS(Table2[HomeWon_], Table2[GameIsOver],1,Table2[HomeTeam],$A59, Table2[AwayTeam], AE$36)) + SUMIFS(Table2[AwayWon], Table2[GameIsOver],1,Table2[HomeTeam],$A59, Table2[AwayTeam], AE$36, Table2[ActualResult], "REG") + SUMIFS(Table2[HomeWon_], Table2[GameIsOver],1,Table2[AwayTeam],$A59, Table2[HomeTeam], AE$36, Table2[ActualResult], "OT") + SUMIFS(Table2[AwayWon], Table2[GameIsOver],1,Table2[HomeTeam],$A59, Table2[AwayTeam], AE$36, Table2[ActualResult], "OT") + SUMIFS(Table2[HomeWon_], Table2[GameIsOver],1,Table2[AwayTeam],$A59, Table2[HomeTeam], AE$36, Table2[ActualResult], "SO") + SUMIFS(Table2[AwayWon], Table2[GameIsOver],1,Table2[HomeTeam],$A59, Table2[AwayTeam], AE$36, Table2[ActualResult], "SO")) / (2*(SUMIFS(Table2[AwayWon], Table2[GameIsOver],1,Table2[AwayTeam],$A59, Table2[HomeTeam], AE$36) + SUMIFS(Table2[HomeWon_], Table2[GameIsOver],1,Table2[HomeTeam],$A59, Table2[AwayTeam], AE$36) + SUMIFS(Table2[HomeWon_], Table2[GameIsOver],1,Table2[AwayTeam],$A59, Table2[HomeTeam], AE$36, Table2[ActualResult], "REG") + SUMIFS(Table2[AwayWon], Table2[GameIsOver],1,Table2[HomeTeam],$A59, Table2[AwayTeam], AE$36, Table2[ActualResult], "REG") + SUMIFS(Table2[HomeWon_], Table2[GameIsOver],1,Table2[AwayTeam],$A59, Table2[HomeTeam], AE$36, Table2[ActualResult], "OT") + SUMIFS(Table2[AwayWon], Table2[GameIsOver],1,Table2[HomeTeam],$A59, Table2[AwayTeam], AE$36, Table2[ActualResult], "OT") + SUMIFS(Table2[HomeWon_], Table2[GameIsOver],1,Table2[AwayTeam],$A59, Table2[HomeTeam], AE$36, Table2[ActualResult], "SO") + SUMIFS(Table2[AwayWon], Table2[GameIsOver],1,Table2[HomeTeam],$A59, Table2[AwayTeam], AE$36, Table2[ActualResult], "SO"))), "")</f>
        <v/>
      </c>
      <c r="AF59" t="str">
        <f>IFERROR(((2*SUMIFS(Table2[AwayWon], Table2[GameIsOver],1,Table2[AwayTeam],$A59, Table2[HomeTeam], AF$36) + SUMIFS(Table2[HomeWon_], Table2[GameIsOver],1,Table2[HomeTeam],$A59, Table2[AwayTeam], AF$36)) + SUMIFS(Table2[AwayWon], Table2[GameIsOver],1,Table2[HomeTeam],$A59, Table2[AwayTeam], AF$36, Table2[ActualResult], "REG") + SUMIFS(Table2[HomeWon_], Table2[GameIsOver],1,Table2[AwayTeam],$A59, Table2[HomeTeam], AF$36, Table2[ActualResult], "OT") + SUMIFS(Table2[AwayWon], Table2[GameIsOver],1,Table2[HomeTeam],$A59, Table2[AwayTeam], AF$36, Table2[ActualResult], "OT") + SUMIFS(Table2[HomeWon_], Table2[GameIsOver],1,Table2[AwayTeam],$A59, Table2[HomeTeam], AF$36, Table2[ActualResult], "SO") + SUMIFS(Table2[AwayWon], Table2[GameIsOver],1,Table2[HomeTeam],$A59, Table2[AwayTeam], AF$36, Table2[ActualResult], "SO")) / (2*(SUMIFS(Table2[AwayWon], Table2[GameIsOver],1,Table2[AwayTeam],$A59, Table2[HomeTeam], AF$36) + SUMIFS(Table2[HomeWon_], Table2[GameIsOver],1,Table2[HomeTeam],$A59, Table2[AwayTeam], AF$36) + SUMIFS(Table2[HomeWon_], Table2[GameIsOver],1,Table2[AwayTeam],$A59, Table2[HomeTeam], AF$36, Table2[ActualResult], "REG") + SUMIFS(Table2[AwayWon], Table2[GameIsOver],1,Table2[HomeTeam],$A59, Table2[AwayTeam], AF$36, Table2[ActualResult], "REG") + SUMIFS(Table2[HomeWon_], Table2[GameIsOver],1,Table2[AwayTeam],$A59, Table2[HomeTeam], AF$36, Table2[ActualResult], "OT") + SUMIFS(Table2[AwayWon], Table2[GameIsOver],1,Table2[HomeTeam],$A59, Table2[AwayTeam], AF$36, Table2[ActualResult], "OT") + SUMIFS(Table2[HomeWon_], Table2[GameIsOver],1,Table2[AwayTeam],$A59, Table2[HomeTeam], AF$36, Table2[ActualResult], "SO") + SUMIFS(Table2[AwayWon], Table2[GameIsOver],1,Table2[HomeTeam],$A59, Table2[AwayTeam], AF$36, Table2[ActualResult], "SO"))), "")</f>
        <v/>
      </c>
      <c r="AG59" s="57" t="str">
        <f>IFERROR(((2*SUMIFS(Table2[AwayWon], Table2[GameIsOver],1,Table2[AwayTeam],$A59, Table2[HomeTeam], AG$36) + SUMIFS(Table2[HomeWon_], Table2[GameIsOver],1,Table2[HomeTeam],$A59, Table2[AwayTeam], AG$36)) + SUMIFS(Table2[AwayWon], Table2[GameIsOver],1,Table2[HomeTeam],$A59, Table2[AwayTeam], AG$36, Table2[ActualResult], "REG") + SUMIFS(Table2[HomeWon_], Table2[GameIsOver],1,Table2[AwayTeam],$A59, Table2[HomeTeam], AG$36, Table2[ActualResult], "OT") + SUMIFS(Table2[AwayWon], Table2[GameIsOver],1,Table2[HomeTeam],$A59, Table2[AwayTeam], AG$36, Table2[ActualResult], "OT") + SUMIFS(Table2[HomeWon_], Table2[GameIsOver],1,Table2[AwayTeam],$A59, Table2[HomeTeam], AG$36, Table2[ActualResult], "SO") + SUMIFS(Table2[AwayWon], Table2[GameIsOver],1,Table2[HomeTeam],$A59, Table2[AwayTeam], AG$36, Table2[ActualResult], "SO")) / (2*(SUMIFS(Table2[AwayWon], Table2[GameIsOver],1,Table2[AwayTeam],$A59, Table2[HomeTeam], AG$36) + SUMIFS(Table2[HomeWon_], Table2[GameIsOver],1,Table2[HomeTeam],$A59, Table2[AwayTeam], AG$36) + SUMIFS(Table2[HomeWon_], Table2[GameIsOver],1,Table2[AwayTeam],$A59, Table2[HomeTeam], AG$36, Table2[ActualResult], "REG") + SUMIFS(Table2[AwayWon], Table2[GameIsOver],1,Table2[HomeTeam],$A59, Table2[AwayTeam], AG$36, Table2[ActualResult], "REG") + SUMIFS(Table2[HomeWon_], Table2[GameIsOver],1,Table2[AwayTeam],$A59, Table2[HomeTeam], AG$36, Table2[ActualResult], "OT") + SUMIFS(Table2[AwayWon], Table2[GameIsOver],1,Table2[HomeTeam],$A59, Table2[AwayTeam], AG$36, Table2[ActualResult], "OT") + SUMIFS(Table2[HomeWon_], Table2[GameIsOver],1,Table2[AwayTeam],$A59, Table2[HomeTeam], AG$36, Table2[ActualResult], "SO") + SUMIFS(Table2[AwayWon], Table2[GameIsOver],1,Table2[HomeTeam],$A59, Table2[AwayTeam], AG$36, Table2[ActualResult], "SO"))), "")</f>
        <v/>
      </c>
      <c r="AH59" s="101">
        <f t="shared" si="0"/>
        <v>0.625</v>
      </c>
      <c r="AI59" s="101">
        <f t="shared" si="1"/>
        <v>0.625</v>
      </c>
      <c r="AJ59" s="103" t="e">
        <f t="shared" si="2"/>
        <v>#DIV/0!</v>
      </c>
      <c r="AK59" s="103">
        <f t="shared" si="3"/>
        <v>0.625</v>
      </c>
      <c r="AL59" s="103" t="e">
        <f t="shared" si="4"/>
        <v>#DIV/0!</v>
      </c>
      <c r="AM59" s="103">
        <f t="shared" si="5"/>
        <v>0.625</v>
      </c>
    </row>
    <row r="60" spans="1:39" ht="15.75" thickBot="1" x14ac:dyDescent="0.3">
      <c r="A60" s="59" t="s">
        <v>43</v>
      </c>
      <c r="B60" s="95" t="str">
        <f>IFERROR(((2*SUMIFS(Table2[AwayWon], Table2[GameIsOver],1,Table2[AwayTeam],$A60, Table2[HomeTeam], B$36) + SUMIFS(Table2[HomeWon_], Table2[GameIsOver],1,Table2[HomeTeam],$A60, Table2[AwayTeam], B$36)) + SUMIFS(Table2[AwayWon], Table2[GameIsOver],1,Table2[HomeTeam],$A60, Table2[AwayTeam], B$36, Table2[ActualResult], "REG") + SUMIFS(Table2[HomeWon_], Table2[GameIsOver],1,Table2[AwayTeam],$A60, Table2[HomeTeam], B$36, Table2[ActualResult], "OT") + SUMIFS(Table2[AwayWon], Table2[GameIsOver],1,Table2[HomeTeam],$A60, Table2[AwayTeam], B$36, Table2[ActualResult], "OT") + SUMIFS(Table2[HomeWon_], Table2[GameIsOver],1,Table2[AwayTeam],$A60, Table2[HomeTeam], B$36, Table2[ActualResult], "SO") + SUMIFS(Table2[AwayWon], Table2[GameIsOver],1,Table2[HomeTeam],$A60, Table2[AwayTeam], B$36, Table2[ActualResult], "SO")) / (2*(SUMIFS(Table2[AwayWon], Table2[GameIsOver],1,Table2[AwayTeam],$A60, Table2[HomeTeam], B$36) + SUMIFS(Table2[HomeWon_], Table2[GameIsOver],1,Table2[HomeTeam],$A60, Table2[AwayTeam], B$36) + SUMIFS(Table2[HomeWon_], Table2[GameIsOver],1,Table2[AwayTeam],$A60, Table2[HomeTeam], B$36, Table2[ActualResult], "REG") + SUMIFS(Table2[AwayWon], Table2[GameIsOver],1,Table2[HomeTeam],$A60, Table2[AwayTeam], B$36, Table2[ActualResult], "REG") + SUMIFS(Table2[HomeWon_], Table2[GameIsOver],1,Table2[AwayTeam],$A60, Table2[HomeTeam], B$36, Table2[ActualResult], "OT") + SUMIFS(Table2[AwayWon], Table2[GameIsOver],1,Table2[HomeTeam],$A60, Table2[AwayTeam], B$36, Table2[ActualResult], "OT") + SUMIFS(Table2[HomeWon_], Table2[GameIsOver],1,Table2[AwayTeam],$A60, Table2[HomeTeam], B$36, Table2[ActualResult], "SO") + SUMIFS(Table2[AwayWon], Table2[GameIsOver],1,Table2[HomeTeam],$A60, Table2[AwayTeam], B$36, Table2[ActualResult], "SO"))), "")</f>
        <v/>
      </c>
      <c r="C60" s="96" t="str">
        <f>IFERROR(((2*SUMIFS(Table2[AwayWon], Table2[GameIsOver],1,Table2[AwayTeam],$A60, Table2[HomeTeam], C$36) + SUMIFS(Table2[HomeWon_], Table2[GameIsOver],1,Table2[HomeTeam],$A60, Table2[AwayTeam], C$36)) + SUMIFS(Table2[AwayWon], Table2[GameIsOver],1,Table2[HomeTeam],$A60, Table2[AwayTeam], C$36, Table2[ActualResult], "REG") + SUMIFS(Table2[HomeWon_], Table2[GameIsOver],1,Table2[AwayTeam],$A60, Table2[HomeTeam], C$36, Table2[ActualResult], "OT") + SUMIFS(Table2[AwayWon], Table2[GameIsOver],1,Table2[HomeTeam],$A60, Table2[AwayTeam], C$36, Table2[ActualResult], "OT") + SUMIFS(Table2[HomeWon_], Table2[GameIsOver],1,Table2[AwayTeam],$A60, Table2[HomeTeam], C$36, Table2[ActualResult], "SO") + SUMIFS(Table2[AwayWon], Table2[GameIsOver],1,Table2[HomeTeam],$A60, Table2[AwayTeam], C$36, Table2[ActualResult], "SO")) / (2*(SUMIFS(Table2[AwayWon], Table2[GameIsOver],1,Table2[AwayTeam],$A60, Table2[HomeTeam], C$36) + SUMIFS(Table2[HomeWon_], Table2[GameIsOver],1,Table2[HomeTeam],$A60, Table2[AwayTeam], C$36) + SUMIFS(Table2[HomeWon_], Table2[GameIsOver],1,Table2[AwayTeam],$A60, Table2[HomeTeam], C$36, Table2[ActualResult], "REG") + SUMIFS(Table2[AwayWon], Table2[GameIsOver],1,Table2[HomeTeam],$A60, Table2[AwayTeam], C$36, Table2[ActualResult], "REG") + SUMIFS(Table2[HomeWon_], Table2[GameIsOver],1,Table2[AwayTeam],$A60, Table2[HomeTeam], C$36, Table2[ActualResult], "OT") + SUMIFS(Table2[AwayWon], Table2[GameIsOver],1,Table2[HomeTeam],$A60, Table2[AwayTeam], C$36, Table2[ActualResult], "OT") + SUMIFS(Table2[HomeWon_], Table2[GameIsOver],1,Table2[AwayTeam],$A60, Table2[HomeTeam], C$36, Table2[ActualResult], "SO") + SUMIFS(Table2[AwayWon], Table2[GameIsOver],1,Table2[HomeTeam],$A60, Table2[AwayTeam], C$36, Table2[ActualResult], "SO"))), "")</f>
        <v/>
      </c>
      <c r="D60" s="58" t="str">
        <f>IFERROR(((2*SUMIFS(Table2[AwayWon], Table2[GameIsOver],1,Table2[AwayTeam],$A60, Table2[HomeTeam], D$36) + SUMIFS(Table2[HomeWon_], Table2[GameIsOver],1,Table2[HomeTeam],$A60, Table2[AwayTeam], D$36)) + SUMIFS(Table2[AwayWon], Table2[GameIsOver],1,Table2[HomeTeam],$A60, Table2[AwayTeam], D$36, Table2[ActualResult], "REG") + SUMIFS(Table2[HomeWon_], Table2[GameIsOver],1,Table2[AwayTeam],$A60, Table2[HomeTeam], D$36, Table2[ActualResult], "OT") + SUMIFS(Table2[AwayWon], Table2[GameIsOver],1,Table2[HomeTeam],$A60, Table2[AwayTeam], D$36, Table2[ActualResult], "OT") + SUMIFS(Table2[HomeWon_], Table2[GameIsOver],1,Table2[AwayTeam],$A60, Table2[HomeTeam], D$36, Table2[ActualResult], "SO") + SUMIFS(Table2[AwayWon], Table2[GameIsOver],1,Table2[HomeTeam],$A60, Table2[AwayTeam], D$36, Table2[ActualResult], "SO")) / (2*(SUMIFS(Table2[AwayWon], Table2[GameIsOver],1,Table2[AwayTeam],$A60, Table2[HomeTeam], D$36) + SUMIFS(Table2[HomeWon_], Table2[GameIsOver],1,Table2[HomeTeam],$A60, Table2[AwayTeam], D$36) + SUMIFS(Table2[HomeWon_], Table2[GameIsOver],1,Table2[AwayTeam],$A60, Table2[HomeTeam], D$36, Table2[ActualResult], "REG") + SUMIFS(Table2[AwayWon], Table2[GameIsOver],1,Table2[HomeTeam],$A60, Table2[AwayTeam], D$36, Table2[ActualResult], "REG") + SUMIFS(Table2[HomeWon_], Table2[GameIsOver],1,Table2[AwayTeam],$A60, Table2[HomeTeam], D$36, Table2[ActualResult], "OT") + SUMIFS(Table2[AwayWon], Table2[GameIsOver],1,Table2[HomeTeam],$A60, Table2[AwayTeam], D$36, Table2[ActualResult], "OT") + SUMIFS(Table2[HomeWon_], Table2[GameIsOver],1,Table2[AwayTeam],$A60, Table2[HomeTeam], D$36, Table2[ActualResult], "SO") + SUMIFS(Table2[AwayWon], Table2[GameIsOver],1,Table2[HomeTeam],$A60, Table2[AwayTeam], D$36, Table2[ActualResult], "SO"))), "")</f>
        <v/>
      </c>
      <c r="E60" s="58" t="str">
        <f>IFERROR(((2*SUMIFS(Table2[AwayWon], Table2[GameIsOver],1,Table2[AwayTeam],$A60, Table2[HomeTeam], E$36) + SUMIFS(Table2[HomeWon_], Table2[GameIsOver],1,Table2[HomeTeam],$A60, Table2[AwayTeam], E$36)) + SUMIFS(Table2[AwayWon], Table2[GameIsOver],1,Table2[HomeTeam],$A60, Table2[AwayTeam], E$36, Table2[ActualResult], "REG") + SUMIFS(Table2[HomeWon_], Table2[GameIsOver],1,Table2[AwayTeam],$A60, Table2[HomeTeam], E$36, Table2[ActualResult], "OT") + SUMIFS(Table2[AwayWon], Table2[GameIsOver],1,Table2[HomeTeam],$A60, Table2[AwayTeam], E$36, Table2[ActualResult], "OT") + SUMIFS(Table2[HomeWon_], Table2[GameIsOver],1,Table2[AwayTeam],$A60, Table2[HomeTeam], E$36, Table2[ActualResult], "SO") + SUMIFS(Table2[AwayWon], Table2[GameIsOver],1,Table2[HomeTeam],$A60, Table2[AwayTeam], E$36, Table2[ActualResult], "SO")) / (2*(SUMIFS(Table2[AwayWon], Table2[GameIsOver],1,Table2[AwayTeam],$A60, Table2[HomeTeam], E$36) + SUMIFS(Table2[HomeWon_], Table2[GameIsOver],1,Table2[HomeTeam],$A60, Table2[AwayTeam], E$36) + SUMIFS(Table2[HomeWon_], Table2[GameIsOver],1,Table2[AwayTeam],$A60, Table2[HomeTeam], E$36, Table2[ActualResult], "REG") + SUMIFS(Table2[AwayWon], Table2[GameIsOver],1,Table2[HomeTeam],$A60, Table2[AwayTeam], E$36, Table2[ActualResult], "REG") + SUMIFS(Table2[HomeWon_], Table2[GameIsOver],1,Table2[AwayTeam],$A60, Table2[HomeTeam], E$36, Table2[ActualResult], "OT") + SUMIFS(Table2[AwayWon], Table2[GameIsOver],1,Table2[HomeTeam],$A60, Table2[AwayTeam], E$36, Table2[ActualResult], "OT") + SUMIFS(Table2[HomeWon_], Table2[GameIsOver],1,Table2[AwayTeam],$A60, Table2[HomeTeam], E$36, Table2[ActualResult], "SO") + SUMIFS(Table2[AwayWon], Table2[GameIsOver],1,Table2[HomeTeam],$A60, Table2[AwayTeam], E$36, Table2[ActualResult], "SO"))), "")</f>
        <v/>
      </c>
      <c r="F60" s="58">
        <f>IFERROR(((2*SUMIFS(Table2[AwayWon], Table2[GameIsOver],1,Table2[AwayTeam],$A60, Table2[HomeTeam], F$36) + SUMIFS(Table2[HomeWon_], Table2[GameIsOver],1,Table2[HomeTeam],$A60, Table2[AwayTeam], F$36)) + SUMIFS(Table2[AwayWon], Table2[GameIsOver],1,Table2[HomeTeam],$A60, Table2[AwayTeam], F$36, Table2[ActualResult], "REG") + SUMIFS(Table2[HomeWon_], Table2[GameIsOver],1,Table2[AwayTeam],$A60, Table2[HomeTeam], F$36, Table2[ActualResult], "OT") + SUMIFS(Table2[AwayWon], Table2[GameIsOver],1,Table2[HomeTeam],$A60, Table2[AwayTeam], F$36, Table2[ActualResult], "OT") + SUMIFS(Table2[HomeWon_], Table2[GameIsOver],1,Table2[AwayTeam],$A60, Table2[HomeTeam], F$36, Table2[ActualResult], "SO") + SUMIFS(Table2[AwayWon], Table2[GameIsOver],1,Table2[HomeTeam],$A60, Table2[AwayTeam], F$36, Table2[ActualResult], "SO")) / (2*(SUMIFS(Table2[AwayWon], Table2[GameIsOver],1,Table2[AwayTeam],$A60, Table2[HomeTeam], F$36) + SUMIFS(Table2[HomeWon_], Table2[GameIsOver],1,Table2[HomeTeam],$A60, Table2[AwayTeam], F$36) + SUMIFS(Table2[HomeWon_], Table2[GameIsOver],1,Table2[AwayTeam],$A60, Table2[HomeTeam], F$36, Table2[ActualResult], "REG") + SUMIFS(Table2[AwayWon], Table2[GameIsOver],1,Table2[HomeTeam],$A60, Table2[AwayTeam], F$36, Table2[ActualResult], "REG") + SUMIFS(Table2[HomeWon_], Table2[GameIsOver],1,Table2[AwayTeam],$A60, Table2[HomeTeam], F$36, Table2[ActualResult], "OT") + SUMIFS(Table2[AwayWon], Table2[GameIsOver],1,Table2[HomeTeam],$A60, Table2[AwayTeam], F$36, Table2[ActualResult], "OT") + SUMIFS(Table2[HomeWon_], Table2[GameIsOver],1,Table2[AwayTeam],$A60, Table2[HomeTeam], F$36, Table2[ActualResult], "SO") + SUMIFS(Table2[AwayWon], Table2[GameIsOver],1,Table2[HomeTeam],$A60, Table2[AwayTeam], F$36, Table2[ActualResult], "SO"))), "")</f>
        <v>0.5</v>
      </c>
      <c r="G60" s="58" t="str">
        <f>IFERROR(((2*SUMIFS(Table2[AwayWon], Table2[GameIsOver],1,Table2[AwayTeam],$A60, Table2[HomeTeam], G$36) + SUMIFS(Table2[HomeWon_], Table2[GameIsOver],1,Table2[HomeTeam],$A60, Table2[AwayTeam], G$36)) + SUMIFS(Table2[AwayWon], Table2[GameIsOver],1,Table2[HomeTeam],$A60, Table2[AwayTeam], G$36, Table2[ActualResult], "REG") + SUMIFS(Table2[HomeWon_], Table2[GameIsOver],1,Table2[AwayTeam],$A60, Table2[HomeTeam], G$36, Table2[ActualResult], "OT") + SUMIFS(Table2[AwayWon], Table2[GameIsOver],1,Table2[HomeTeam],$A60, Table2[AwayTeam], G$36, Table2[ActualResult], "OT") + SUMIFS(Table2[HomeWon_], Table2[GameIsOver],1,Table2[AwayTeam],$A60, Table2[HomeTeam], G$36, Table2[ActualResult], "SO") + SUMIFS(Table2[AwayWon], Table2[GameIsOver],1,Table2[HomeTeam],$A60, Table2[AwayTeam], G$36, Table2[ActualResult], "SO")) / (2*(SUMIFS(Table2[AwayWon], Table2[GameIsOver],1,Table2[AwayTeam],$A60, Table2[HomeTeam], G$36) + SUMIFS(Table2[HomeWon_], Table2[GameIsOver],1,Table2[HomeTeam],$A60, Table2[AwayTeam], G$36) + SUMIFS(Table2[HomeWon_], Table2[GameIsOver],1,Table2[AwayTeam],$A60, Table2[HomeTeam], G$36, Table2[ActualResult], "REG") + SUMIFS(Table2[AwayWon], Table2[GameIsOver],1,Table2[HomeTeam],$A60, Table2[AwayTeam], G$36, Table2[ActualResult], "REG") + SUMIFS(Table2[HomeWon_], Table2[GameIsOver],1,Table2[AwayTeam],$A60, Table2[HomeTeam], G$36, Table2[ActualResult], "OT") + SUMIFS(Table2[AwayWon], Table2[GameIsOver],1,Table2[HomeTeam],$A60, Table2[AwayTeam], G$36, Table2[ActualResult], "OT") + SUMIFS(Table2[HomeWon_], Table2[GameIsOver],1,Table2[AwayTeam],$A60, Table2[HomeTeam], G$36, Table2[ActualResult], "SO") + SUMIFS(Table2[AwayWon], Table2[GameIsOver],1,Table2[HomeTeam],$A60, Table2[AwayTeam], G$36, Table2[ActualResult], "SO"))), "")</f>
        <v/>
      </c>
      <c r="H60" s="58">
        <f>IFERROR(((2*SUMIFS(Table2[AwayWon], Table2[GameIsOver],1,Table2[AwayTeam],$A60, Table2[HomeTeam], H$36) + SUMIFS(Table2[HomeWon_], Table2[GameIsOver],1,Table2[HomeTeam],$A60, Table2[AwayTeam], H$36)) + SUMIFS(Table2[AwayWon], Table2[GameIsOver],1,Table2[HomeTeam],$A60, Table2[AwayTeam], H$36, Table2[ActualResult], "REG") + SUMIFS(Table2[HomeWon_], Table2[GameIsOver],1,Table2[AwayTeam],$A60, Table2[HomeTeam], H$36, Table2[ActualResult], "OT") + SUMIFS(Table2[AwayWon], Table2[GameIsOver],1,Table2[HomeTeam],$A60, Table2[AwayTeam], H$36, Table2[ActualResult], "OT") + SUMIFS(Table2[HomeWon_], Table2[GameIsOver],1,Table2[AwayTeam],$A60, Table2[HomeTeam], H$36, Table2[ActualResult], "SO") + SUMIFS(Table2[AwayWon], Table2[GameIsOver],1,Table2[HomeTeam],$A60, Table2[AwayTeam], H$36, Table2[ActualResult], "SO")) / (2*(SUMIFS(Table2[AwayWon], Table2[GameIsOver],1,Table2[AwayTeam],$A60, Table2[HomeTeam], H$36) + SUMIFS(Table2[HomeWon_], Table2[GameIsOver],1,Table2[HomeTeam],$A60, Table2[AwayTeam], H$36) + SUMIFS(Table2[HomeWon_], Table2[GameIsOver],1,Table2[AwayTeam],$A60, Table2[HomeTeam], H$36, Table2[ActualResult], "REG") + SUMIFS(Table2[AwayWon], Table2[GameIsOver],1,Table2[HomeTeam],$A60, Table2[AwayTeam], H$36, Table2[ActualResult], "REG") + SUMIFS(Table2[HomeWon_], Table2[GameIsOver],1,Table2[AwayTeam],$A60, Table2[HomeTeam], H$36, Table2[ActualResult], "OT") + SUMIFS(Table2[AwayWon], Table2[GameIsOver],1,Table2[HomeTeam],$A60, Table2[AwayTeam], H$36, Table2[ActualResult], "OT") + SUMIFS(Table2[HomeWon_], Table2[GameIsOver],1,Table2[AwayTeam],$A60, Table2[HomeTeam], H$36, Table2[ActualResult], "SO") + SUMIFS(Table2[AwayWon], Table2[GameIsOver],1,Table2[HomeTeam],$A60, Table2[AwayTeam], H$36, Table2[ActualResult], "SO"))), "")</f>
        <v>0.5</v>
      </c>
      <c r="I60" s="59" t="str">
        <f>IFERROR(((2*SUMIFS(Table2[AwayWon], Table2[GameIsOver],1,Table2[AwayTeam],$A60, Table2[HomeTeam], I$36) + SUMIFS(Table2[HomeWon_], Table2[GameIsOver],1,Table2[HomeTeam],$A60, Table2[AwayTeam], I$36)) + SUMIFS(Table2[AwayWon], Table2[GameIsOver],1,Table2[HomeTeam],$A60, Table2[AwayTeam], I$36, Table2[ActualResult], "REG") + SUMIFS(Table2[HomeWon_], Table2[GameIsOver],1,Table2[AwayTeam],$A60, Table2[HomeTeam], I$36, Table2[ActualResult], "OT") + SUMIFS(Table2[AwayWon], Table2[GameIsOver],1,Table2[HomeTeam],$A60, Table2[AwayTeam], I$36, Table2[ActualResult], "OT") + SUMIFS(Table2[HomeWon_], Table2[GameIsOver],1,Table2[AwayTeam],$A60, Table2[HomeTeam], I$36, Table2[ActualResult], "SO") + SUMIFS(Table2[AwayWon], Table2[GameIsOver],1,Table2[HomeTeam],$A60, Table2[AwayTeam], I$36, Table2[ActualResult], "SO")) / (2*(SUMIFS(Table2[AwayWon], Table2[GameIsOver],1,Table2[AwayTeam],$A60, Table2[HomeTeam], I$36) + SUMIFS(Table2[HomeWon_], Table2[GameIsOver],1,Table2[HomeTeam],$A60, Table2[AwayTeam], I$36) + SUMIFS(Table2[HomeWon_], Table2[GameIsOver],1,Table2[AwayTeam],$A60, Table2[HomeTeam], I$36, Table2[ActualResult], "REG") + SUMIFS(Table2[AwayWon], Table2[GameIsOver],1,Table2[HomeTeam],$A60, Table2[AwayTeam], I$36, Table2[ActualResult], "REG") + SUMIFS(Table2[HomeWon_], Table2[GameIsOver],1,Table2[AwayTeam],$A60, Table2[HomeTeam], I$36, Table2[ActualResult], "OT") + SUMIFS(Table2[AwayWon], Table2[GameIsOver],1,Table2[HomeTeam],$A60, Table2[AwayTeam], I$36, Table2[ActualResult], "OT") + SUMIFS(Table2[HomeWon_], Table2[GameIsOver],1,Table2[AwayTeam],$A60, Table2[HomeTeam], I$36, Table2[ActualResult], "SO") + SUMIFS(Table2[AwayWon], Table2[GameIsOver],1,Table2[HomeTeam],$A60, Table2[AwayTeam], I$36, Table2[ActualResult], "SO"))), "")</f>
        <v/>
      </c>
      <c r="J60" s="58" t="str">
        <f>IFERROR(((2*SUMIFS(Table2[AwayWon], Table2[GameIsOver],1,Table2[AwayTeam],$A60, Table2[HomeTeam], J$36) + SUMIFS(Table2[HomeWon_], Table2[GameIsOver],1,Table2[HomeTeam],$A60, Table2[AwayTeam], J$36)) + SUMIFS(Table2[AwayWon], Table2[GameIsOver],1,Table2[HomeTeam],$A60, Table2[AwayTeam], J$36, Table2[ActualResult], "REG") + SUMIFS(Table2[HomeWon_], Table2[GameIsOver],1,Table2[AwayTeam],$A60, Table2[HomeTeam], J$36, Table2[ActualResult], "OT") + SUMIFS(Table2[AwayWon], Table2[GameIsOver],1,Table2[HomeTeam],$A60, Table2[AwayTeam], J$36, Table2[ActualResult], "OT") + SUMIFS(Table2[HomeWon_], Table2[GameIsOver],1,Table2[AwayTeam],$A60, Table2[HomeTeam], J$36, Table2[ActualResult], "SO") + SUMIFS(Table2[AwayWon], Table2[GameIsOver],1,Table2[HomeTeam],$A60, Table2[AwayTeam], J$36, Table2[ActualResult], "SO")) / (2*(SUMIFS(Table2[AwayWon], Table2[GameIsOver],1,Table2[AwayTeam],$A60, Table2[HomeTeam], J$36) + SUMIFS(Table2[HomeWon_], Table2[GameIsOver],1,Table2[HomeTeam],$A60, Table2[AwayTeam], J$36) + SUMIFS(Table2[HomeWon_], Table2[GameIsOver],1,Table2[AwayTeam],$A60, Table2[HomeTeam], J$36, Table2[ActualResult], "REG") + SUMIFS(Table2[AwayWon], Table2[GameIsOver],1,Table2[HomeTeam],$A60, Table2[AwayTeam], J$36, Table2[ActualResult], "REG") + SUMIFS(Table2[HomeWon_], Table2[GameIsOver],1,Table2[AwayTeam],$A60, Table2[HomeTeam], J$36, Table2[ActualResult], "OT") + SUMIFS(Table2[AwayWon], Table2[GameIsOver],1,Table2[HomeTeam],$A60, Table2[AwayTeam], J$36, Table2[ActualResult], "OT") + SUMIFS(Table2[HomeWon_], Table2[GameIsOver],1,Table2[AwayTeam],$A60, Table2[HomeTeam], J$36, Table2[ActualResult], "SO") + SUMIFS(Table2[AwayWon], Table2[GameIsOver],1,Table2[HomeTeam],$A60, Table2[AwayTeam], J$36, Table2[ActualResult], "SO"))), "")</f>
        <v/>
      </c>
      <c r="K60" s="58" t="str">
        <f>IFERROR(((2*SUMIFS(Table2[AwayWon], Table2[GameIsOver],1,Table2[AwayTeam],$A60, Table2[HomeTeam], K$36) + SUMIFS(Table2[HomeWon_], Table2[GameIsOver],1,Table2[HomeTeam],$A60, Table2[AwayTeam], K$36)) + SUMIFS(Table2[AwayWon], Table2[GameIsOver],1,Table2[HomeTeam],$A60, Table2[AwayTeam], K$36, Table2[ActualResult], "REG") + SUMIFS(Table2[HomeWon_], Table2[GameIsOver],1,Table2[AwayTeam],$A60, Table2[HomeTeam], K$36, Table2[ActualResult], "OT") + SUMIFS(Table2[AwayWon], Table2[GameIsOver],1,Table2[HomeTeam],$A60, Table2[AwayTeam], K$36, Table2[ActualResult], "OT") + SUMIFS(Table2[HomeWon_], Table2[GameIsOver],1,Table2[AwayTeam],$A60, Table2[HomeTeam], K$36, Table2[ActualResult], "SO") + SUMIFS(Table2[AwayWon], Table2[GameIsOver],1,Table2[HomeTeam],$A60, Table2[AwayTeam], K$36, Table2[ActualResult], "SO")) / (2*(SUMIFS(Table2[AwayWon], Table2[GameIsOver],1,Table2[AwayTeam],$A60, Table2[HomeTeam], K$36) + SUMIFS(Table2[HomeWon_], Table2[GameIsOver],1,Table2[HomeTeam],$A60, Table2[AwayTeam], K$36) + SUMIFS(Table2[HomeWon_], Table2[GameIsOver],1,Table2[AwayTeam],$A60, Table2[HomeTeam], K$36, Table2[ActualResult], "REG") + SUMIFS(Table2[AwayWon], Table2[GameIsOver],1,Table2[HomeTeam],$A60, Table2[AwayTeam], K$36, Table2[ActualResult], "REG") + SUMIFS(Table2[HomeWon_], Table2[GameIsOver],1,Table2[AwayTeam],$A60, Table2[HomeTeam], K$36, Table2[ActualResult], "OT") + SUMIFS(Table2[AwayWon], Table2[GameIsOver],1,Table2[HomeTeam],$A60, Table2[AwayTeam], K$36, Table2[ActualResult], "OT") + SUMIFS(Table2[HomeWon_], Table2[GameIsOver],1,Table2[AwayTeam],$A60, Table2[HomeTeam], K$36, Table2[ActualResult], "SO") + SUMIFS(Table2[AwayWon], Table2[GameIsOver],1,Table2[HomeTeam],$A60, Table2[AwayTeam], K$36, Table2[ActualResult], "SO"))), "")</f>
        <v/>
      </c>
      <c r="L60" s="58" t="str">
        <f>IFERROR(((2*SUMIFS(Table2[AwayWon], Table2[GameIsOver],1,Table2[AwayTeam],$A60, Table2[HomeTeam], L$36) + SUMIFS(Table2[HomeWon_], Table2[GameIsOver],1,Table2[HomeTeam],$A60, Table2[AwayTeam], L$36)) + SUMIFS(Table2[AwayWon], Table2[GameIsOver],1,Table2[HomeTeam],$A60, Table2[AwayTeam], L$36, Table2[ActualResult], "REG") + SUMIFS(Table2[HomeWon_], Table2[GameIsOver],1,Table2[AwayTeam],$A60, Table2[HomeTeam], L$36, Table2[ActualResult], "OT") + SUMIFS(Table2[AwayWon], Table2[GameIsOver],1,Table2[HomeTeam],$A60, Table2[AwayTeam], L$36, Table2[ActualResult], "OT") + SUMIFS(Table2[HomeWon_], Table2[GameIsOver],1,Table2[AwayTeam],$A60, Table2[HomeTeam], L$36, Table2[ActualResult], "SO") + SUMIFS(Table2[AwayWon], Table2[GameIsOver],1,Table2[HomeTeam],$A60, Table2[AwayTeam], L$36, Table2[ActualResult], "SO")) / (2*(SUMIFS(Table2[AwayWon], Table2[GameIsOver],1,Table2[AwayTeam],$A60, Table2[HomeTeam], L$36) + SUMIFS(Table2[HomeWon_], Table2[GameIsOver],1,Table2[HomeTeam],$A60, Table2[AwayTeam], L$36) + SUMIFS(Table2[HomeWon_], Table2[GameIsOver],1,Table2[AwayTeam],$A60, Table2[HomeTeam], L$36, Table2[ActualResult], "REG") + SUMIFS(Table2[AwayWon], Table2[GameIsOver],1,Table2[HomeTeam],$A60, Table2[AwayTeam], L$36, Table2[ActualResult], "REG") + SUMIFS(Table2[HomeWon_], Table2[GameIsOver],1,Table2[AwayTeam],$A60, Table2[HomeTeam], L$36, Table2[ActualResult], "OT") + SUMIFS(Table2[AwayWon], Table2[GameIsOver],1,Table2[HomeTeam],$A60, Table2[AwayTeam], L$36, Table2[ActualResult], "OT") + SUMIFS(Table2[HomeWon_], Table2[GameIsOver],1,Table2[AwayTeam],$A60, Table2[HomeTeam], L$36, Table2[ActualResult], "SO") + SUMIFS(Table2[AwayWon], Table2[GameIsOver],1,Table2[HomeTeam],$A60, Table2[AwayTeam], L$36, Table2[ActualResult], "SO"))), "")</f>
        <v/>
      </c>
      <c r="M60" s="58">
        <f>IFERROR(((2*SUMIFS(Table2[AwayWon], Table2[GameIsOver],1,Table2[AwayTeam],$A60, Table2[HomeTeam], M$36) + SUMIFS(Table2[HomeWon_], Table2[GameIsOver],1,Table2[HomeTeam],$A60, Table2[AwayTeam], M$36)) + SUMIFS(Table2[AwayWon], Table2[GameIsOver],1,Table2[HomeTeam],$A60, Table2[AwayTeam], M$36, Table2[ActualResult], "REG") + SUMIFS(Table2[HomeWon_], Table2[GameIsOver],1,Table2[AwayTeam],$A60, Table2[HomeTeam], M$36, Table2[ActualResult], "OT") + SUMIFS(Table2[AwayWon], Table2[GameIsOver],1,Table2[HomeTeam],$A60, Table2[AwayTeam], M$36, Table2[ActualResult], "OT") + SUMIFS(Table2[HomeWon_], Table2[GameIsOver],1,Table2[AwayTeam],$A60, Table2[HomeTeam], M$36, Table2[ActualResult], "SO") + SUMIFS(Table2[AwayWon], Table2[GameIsOver],1,Table2[HomeTeam],$A60, Table2[AwayTeam], M$36, Table2[ActualResult], "SO")) / (2*(SUMIFS(Table2[AwayWon], Table2[GameIsOver],1,Table2[AwayTeam],$A60, Table2[HomeTeam], M$36) + SUMIFS(Table2[HomeWon_], Table2[GameIsOver],1,Table2[HomeTeam],$A60, Table2[AwayTeam], M$36) + SUMIFS(Table2[HomeWon_], Table2[GameIsOver],1,Table2[AwayTeam],$A60, Table2[HomeTeam], M$36, Table2[ActualResult], "REG") + SUMIFS(Table2[AwayWon], Table2[GameIsOver],1,Table2[HomeTeam],$A60, Table2[AwayTeam], M$36, Table2[ActualResult], "REG") + SUMIFS(Table2[HomeWon_], Table2[GameIsOver],1,Table2[AwayTeam],$A60, Table2[HomeTeam], M$36, Table2[ActualResult], "OT") + SUMIFS(Table2[AwayWon], Table2[GameIsOver],1,Table2[HomeTeam],$A60, Table2[AwayTeam], M$36, Table2[ActualResult], "OT") + SUMIFS(Table2[HomeWon_], Table2[GameIsOver],1,Table2[AwayTeam],$A60, Table2[HomeTeam], M$36, Table2[ActualResult], "SO") + SUMIFS(Table2[AwayWon], Table2[GameIsOver],1,Table2[HomeTeam],$A60, Table2[AwayTeam], M$36, Table2[ActualResult], "SO"))), "")</f>
        <v>0.5</v>
      </c>
      <c r="N60" s="58" t="str">
        <f>IFERROR(((2*SUMIFS(Table2[AwayWon], Table2[GameIsOver],1,Table2[AwayTeam],$A60, Table2[HomeTeam], N$36) + SUMIFS(Table2[HomeWon_], Table2[GameIsOver],1,Table2[HomeTeam],$A60, Table2[AwayTeam], N$36)) + SUMIFS(Table2[AwayWon], Table2[GameIsOver],1,Table2[HomeTeam],$A60, Table2[AwayTeam], N$36, Table2[ActualResult], "REG") + SUMIFS(Table2[HomeWon_], Table2[GameIsOver],1,Table2[AwayTeam],$A60, Table2[HomeTeam], N$36, Table2[ActualResult], "OT") + SUMIFS(Table2[AwayWon], Table2[GameIsOver],1,Table2[HomeTeam],$A60, Table2[AwayTeam], N$36, Table2[ActualResult], "OT") + SUMIFS(Table2[HomeWon_], Table2[GameIsOver],1,Table2[AwayTeam],$A60, Table2[HomeTeam], N$36, Table2[ActualResult], "SO") + SUMIFS(Table2[AwayWon], Table2[GameIsOver],1,Table2[HomeTeam],$A60, Table2[AwayTeam], N$36, Table2[ActualResult], "SO")) / (2*(SUMIFS(Table2[AwayWon], Table2[GameIsOver],1,Table2[AwayTeam],$A60, Table2[HomeTeam], N$36) + SUMIFS(Table2[HomeWon_], Table2[GameIsOver],1,Table2[HomeTeam],$A60, Table2[AwayTeam], N$36) + SUMIFS(Table2[HomeWon_], Table2[GameIsOver],1,Table2[AwayTeam],$A60, Table2[HomeTeam], N$36, Table2[ActualResult], "REG") + SUMIFS(Table2[AwayWon], Table2[GameIsOver],1,Table2[HomeTeam],$A60, Table2[AwayTeam], N$36, Table2[ActualResult], "REG") + SUMIFS(Table2[HomeWon_], Table2[GameIsOver],1,Table2[AwayTeam],$A60, Table2[HomeTeam], N$36, Table2[ActualResult], "OT") + SUMIFS(Table2[AwayWon], Table2[GameIsOver],1,Table2[HomeTeam],$A60, Table2[AwayTeam], N$36, Table2[ActualResult], "OT") + SUMIFS(Table2[HomeWon_], Table2[GameIsOver],1,Table2[AwayTeam],$A60, Table2[HomeTeam], N$36, Table2[ActualResult], "SO") + SUMIFS(Table2[AwayWon], Table2[GameIsOver],1,Table2[HomeTeam],$A60, Table2[AwayTeam], N$36, Table2[ActualResult], "SO"))), "")</f>
        <v/>
      </c>
      <c r="O60" s="58" t="str">
        <f>IFERROR(((2*SUMIFS(Table2[AwayWon], Table2[GameIsOver],1,Table2[AwayTeam],$A60, Table2[HomeTeam], O$36) + SUMIFS(Table2[HomeWon_], Table2[GameIsOver],1,Table2[HomeTeam],$A60, Table2[AwayTeam], O$36)) + SUMIFS(Table2[AwayWon], Table2[GameIsOver],1,Table2[HomeTeam],$A60, Table2[AwayTeam], O$36, Table2[ActualResult], "REG") + SUMIFS(Table2[HomeWon_], Table2[GameIsOver],1,Table2[AwayTeam],$A60, Table2[HomeTeam], O$36, Table2[ActualResult], "OT") + SUMIFS(Table2[AwayWon], Table2[GameIsOver],1,Table2[HomeTeam],$A60, Table2[AwayTeam], O$36, Table2[ActualResult], "OT") + SUMIFS(Table2[HomeWon_], Table2[GameIsOver],1,Table2[AwayTeam],$A60, Table2[HomeTeam], O$36, Table2[ActualResult], "SO") + SUMIFS(Table2[AwayWon], Table2[GameIsOver],1,Table2[HomeTeam],$A60, Table2[AwayTeam], O$36, Table2[ActualResult], "SO")) / (2*(SUMIFS(Table2[AwayWon], Table2[GameIsOver],1,Table2[AwayTeam],$A60, Table2[HomeTeam], O$36) + SUMIFS(Table2[HomeWon_], Table2[GameIsOver],1,Table2[HomeTeam],$A60, Table2[AwayTeam], O$36) + SUMIFS(Table2[HomeWon_], Table2[GameIsOver],1,Table2[AwayTeam],$A60, Table2[HomeTeam], O$36, Table2[ActualResult], "REG") + SUMIFS(Table2[AwayWon], Table2[GameIsOver],1,Table2[HomeTeam],$A60, Table2[AwayTeam], O$36, Table2[ActualResult], "REG") + SUMIFS(Table2[HomeWon_], Table2[GameIsOver],1,Table2[AwayTeam],$A60, Table2[HomeTeam], O$36, Table2[ActualResult], "OT") + SUMIFS(Table2[AwayWon], Table2[GameIsOver],1,Table2[HomeTeam],$A60, Table2[AwayTeam], O$36, Table2[ActualResult], "OT") + SUMIFS(Table2[HomeWon_], Table2[GameIsOver],1,Table2[AwayTeam],$A60, Table2[HomeTeam], O$36, Table2[ActualResult], "SO") + SUMIFS(Table2[AwayWon], Table2[GameIsOver],1,Table2[HomeTeam],$A60, Table2[AwayTeam], O$36, Table2[ActualResult], "SO"))), "")</f>
        <v/>
      </c>
      <c r="P60" s="58" t="str">
        <f>IFERROR(((2*SUMIFS(Table2[AwayWon], Table2[GameIsOver],1,Table2[AwayTeam],$A60, Table2[HomeTeam], P$36) + SUMIFS(Table2[HomeWon_], Table2[GameIsOver],1,Table2[HomeTeam],$A60, Table2[AwayTeam], P$36)) + SUMIFS(Table2[AwayWon], Table2[GameIsOver],1,Table2[HomeTeam],$A60, Table2[AwayTeam], P$36, Table2[ActualResult], "REG") + SUMIFS(Table2[HomeWon_], Table2[GameIsOver],1,Table2[AwayTeam],$A60, Table2[HomeTeam], P$36, Table2[ActualResult], "OT") + SUMIFS(Table2[AwayWon], Table2[GameIsOver],1,Table2[HomeTeam],$A60, Table2[AwayTeam], P$36, Table2[ActualResult], "OT") + SUMIFS(Table2[HomeWon_], Table2[GameIsOver],1,Table2[AwayTeam],$A60, Table2[HomeTeam], P$36, Table2[ActualResult], "SO") + SUMIFS(Table2[AwayWon], Table2[GameIsOver],1,Table2[HomeTeam],$A60, Table2[AwayTeam], P$36, Table2[ActualResult], "SO")) / (2*(SUMIFS(Table2[AwayWon], Table2[GameIsOver],1,Table2[AwayTeam],$A60, Table2[HomeTeam], P$36) + SUMIFS(Table2[HomeWon_], Table2[GameIsOver],1,Table2[HomeTeam],$A60, Table2[AwayTeam], P$36) + SUMIFS(Table2[HomeWon_], Table2[GameIsOver],1,Table2[AwayTeam],$A60, Table2[HomeTeam], P$36, Table2[ActualResult], "REG") + SUMIFS(Table2[AwayWon], Table2[GameIsOver],1,Table2[HomeTeam],$A60, Table2[AwayTeam], P$36, Table2[ActualResult], "REG") + SUMIFS(Table2[HomeWon_], Table2[GameIsOver],1,Table2[AwayTeam],$A60, Table2[HomeTeam], P$36, Table2[ActualResult], "OT") + SUMIFS(Table2[AwayWon], Table2[GameIsOver],1,Table2[HomeTeam],$A60, Table2[AwayTeam], P$36, Table2[ActualResult], "OT") + SUMIFS(Table2[HomeWon_], Table2[GameIsOver],1,Table2[AwayTeam],$A60, Table2[HomeTeam], P$36, Table2[ActualResult], "SO") + SUMIFS(Table2[AwayWon], Table2[GameIsOver],1,Table2[HomeTeam],$A60, Table2[AwayTeam], P$36, Table2[ActualResult], "SO"))), "")</f>
        <v/>
      </c>
      <c r="Q60" s="59" t="str">
        <f>IFERROR(((2*SUMIFS(Table2[AwayWon], Table2[GameIsOver],1,Table2[AwayTeam],$A60, Table2[HomeTeam], Q$36) + SUMIFS(Table2[HomeWon_], Table2[GameIsOver],1,Table2[HomeTeam],$A60, Table2[AwayTeam], Q$36)) + SUMIFS(Table2[AwayWon], Table2[GameIsOver],1,Table2[HomeTeam],$A60, Table2[AwayTeam], Q$36, Table2[ActualResult], "REG") + SUMIFS(Table2[HomeWon_], Table2[GameIsOver],1,Table2[AwayTeam],$A60, Table2[HomeTeam], Q$36, Table2[ActualResult], "OT") + SUMIFS(Table2[AwayWon], Table2[GameIsOver],1,Table2[HomeTeam],$A60, Table2[AwayTeam], Q$36, Table2[ActualResult], "OT") + SUMIFS(Table2[HomeWon_], Table2[GameIsOver],1,Table2[AwayTeam],$A60, Table2[HomeTeam], Q$36, Table2[ActualResult], "SO") + SUMIFS(Table2[AwayWon], Table2[GameIsOver],1,Table2[HomeTeam],$A60, Table2[AwayTeam], Q$36, Table2[ActualResult], "SO")) / (2*(SUMIFS(Table2[AwayWon], Table2[GameIsOver],1,Table2[AwayTeam],$A60, Table2[HomeTeam], Q$36) + SUMIFS(Table2[HomeWon_], Table2[GameIsOver],1,Table2[HomeTeam],$A60, Table2[AwayTeam], Q$36) + SUMIFS(Table2[HomeWon_], Table2[GameIsOver],1,Table2[AwayTeam],$A60, Table2[HomeTeam], Q$36, Table2[ActualResult], "REG") + SUMIFS(Table2[AwayWon], Table2[GameIsOver],1,Table2[HomeTeam],$A60, Table2[AwayTeam], Q$36, Table2[ActualResult], "REG") + SUMIFS(Table2[HomeWon_], Table2[GameIsOver],1,Table2[AwayTeam],$A60, Table2[HomeTeam], Q$36, Table2[ActualResult], "OT") + SUMIFS(Table2[AwayWon], Table2[GameIsOver],1,Table2[HomeTeam],$A60, Table2[AwayTeam], Q$36, Table2[ActualResult], "OT") + SUMIFS(Table2[HomeWon_], Table2[GameIsOver],1,Table2[AwayTeam],$A60, Table2[HomeTeam], Q$36, Table2[ActualResult], "SO") + SUMIFS(Table2[AwayWon], Table2[GameIsOver],1,Table2[HomeTeam],$A60, Table2[AwayTeam], Q$36, Table2[ActualResult], "SO"))), "")</f>
        <v/>
      </c>
      <c r="R60" s="58" t="str">
        <f>IFERROR(((2*SUMIFS(Table2[AwayWon], Table2[GameIsOver],1,Table2[AwayTeam],$A60, Table2[HomeTeam], R$36) + SUMIFS(Table2[HomeWon_], Table2[GameIsOver],1,Table2[HomeTeam],$A60, Table2[AwayTeam], R$36)) + SUMIFS(Table2[AwayWon], Table2[GameIsOver],1,Table2[HomeTeam],$A60, Table2[AwayTeam], R$36, Table2[ActualResult], "REG") + SUMIFS(Table2[HomeWon_], Table2[GameIsOver],1,Table2[AwayTeam],$A60, Table2[HomeTeam], R$36, Table2[ActualResult], "OT") + SUMIFS(Table2[AwayWon], Table2[GameIsOver],1,Table2[HomeTeam],$A60, Table2[AwayTeam], R$36, Table2[ActualResult], "OT") + SUMIFS(Table2[HomeWon_], Table2[GameIsOver],1,Table2[AwayTeam],$A60, Table2[HomeTeam], R$36, Table2[ActualResult], "SO") + SUMIFS(Table2[AwayWon], Table2[GameIsOver],1,Table2[HomeTeam],$A60, Table2[AwayTeam], R$36, Table2[ActualResult], "SO")) / (2*(SUMIFS(Table2[AwayWon], Table2[GameIsOver],1,Table2[AwayTeam],$A60, Table2[HomeTeam], R$36) + SUMIFS(Table2[HomeWon_], Table2[GameIsOver],1,Table2[HomeTeam],$A60, Table2[AwayTeam], R$36) + SUMIFS(Table2[HomeWon_], Table2[GameIsOver],1,Table2[AwayTeam],$A60, Table2[HomeTeam], R$36, Table2[ActualResult], "REG") + SUMIFS(Table2[AwayWon], Table2[GameIsOver],1,Table2[HomeTeam],$A60, Table2[AwayTeam], R$36, Table2[ActualResult], "REG") + SUMIFS(Table2[HomeWon_], Table2[GameIsOver],1,Table2[AwayTeam],$A60, Table2[HomeTeam], R$36, Table2[ActualResult], "OT") + SUMIFS(Table2[AwayWon], Table2[GameIsOver],1,Table2[HomeTeam],$A60, Table2[AwayTeam], R$36, Table2[ActualResult], "OT") + SUMIFS(Table2[HomeWon_], Table2[GameIsOver],1,Table2[AwayTeam],$A60, Table2[HomeTeam], R$36, Table2[ActualResult], "SO") + SUMIFS(Table2[AwayWon], Table2[GameIsOver],1,Table2[HomeTeam],$A60, Table2[AwayTeam], R$36, Table2[ActualResult], "SO"))), "")</f>
        <v/>
      </c>
      <c r="S60" s="58" t="str">
        <f>IFERROR(((2*SUMIFS(Table2[AwayWon], Table2[GameIsOver],1,Table2[AwayTeam],$A60, Table2[HomeTeam], S$36) + SUMIFS(Table2[HomeWon_], Table2[GameIsOver],1,Table2[HomeTeam],$A60, Table2[AwayTeam], S$36)) + SUMIFS(Table2[AwayWon], Table2[GameIsOver],1,Table2[HomeTeam],$A60, Table2[AwayTeam], S$36, Table2[ActualResult], "REG") + SUMIFS(Table2[HomeWon_], Table2[GameIsOver],1,Table2[AwayTeam],$A60, Table2[HomeTeam], S$36, Table2[ActualResult], "OT") + SUMIFS(Table2[AwayWon], Table2[GameIsOver],1,Table2[HomeTeam],$A60, Table2[AwayTeam], S$36, Table2[ActualResult], "OT") + SUMIFS(Table2[HomeWon_], Table2[GameIsOver],1,Table2[AwayTeam],$A60, Table2[HomeTeam], S$36, Table2[ActualResult], "SO") + SUMIFS(Table2[AwayWon], Table2[GameIsOver],1,Table2[HomeTeam],$A60, Table2[AwayTeam], S$36, Table2[ActualResult], "SO")) / (2*(SUMIFS(Table2[AwayWon], Table2[GameIsOver],1,Table2[AwayTeam],$A60, Table2[HomeTeam], S$36) + SUMIFS(Table2[HomeWon_], Table2[GameIsOver],1,Table2[HomeTeam],$A60, Table2[AwayTeam], S$36) + SUMIFS(Table2[HomeWon_], Table2[GameIsOver],1,Table2[AwayTeam],$A60, Table2[HomeTeam], S$36, Table2[ActualResult], "REG") + SUMIFS(Table2[AwayWon], Table2[GameIsOver],1,Table2[HomeTeam],$A60, Table2[AwayTeam], S$36, Table2[ActualResult], "REG") + SUMIFS(Table2[HomeWon_], Table2[GameIsOver],1,Table2[AwayTeam],$A60, Table2[HomeTeam], S$36, Table2[ActualResult], "OT") + SUMIFS(Table2[AwayWon], Table2[GameIsOver],1,Table2[HomeTeam],$A60, Table2[AwayTeam], S$36, Table2[ActualResult], "OT") + SUMIFS(Table2[HomeWon_], Table2[GameIsOver],1,Table2[AwayTeam],$A60, Table2[HomeTeam], S$36, Table2[ActualResult], "SO") + SUMIFS(Table2[AwayWon], Table2[GameIsOver],1,Table2[HomeTeam],$A60, Table2[AwayTeam], S$36, Table2[ActualResult], "SO"))), "")</f>
        <v/>
      </c>
      <c r="T60" s="58" t="str">
        <f>IFERROR(((2*SUMIFS(Table2[AwayWon], Table2[GameIsOver],1,Table2[AwayTeam],$A60, Table2[HomeTeam], T$36) + SUMIFS(Table2[HomeWon_], Table2[GameIsOver],1,Table2[HomeTeam],$A60, Table2[AwayTeam], T$36)) + SUMIFS(Table2[AwayWon], Table2[GameIsOver],1,Table2[HomeTeam],$A60, Table2[AwayTeam], T$36, Table2[ActualResult], "REG") + SUMIFS(Table2[HomeWon_], Table2[GameIsOver],1,Table2[AwayTeam],$A60, Table2[HomeTeam], T$36, Table2[ActualResult], "OT") + SUMIFS(Table2[AwayWon], Table2[GameIsOver],1,Table2[HomeTeam],$A60, Table2[AwayTeam], T$36, Table2[ActualResult], "OT") + SUMIFS(Table2[HomeWon_], Table2[GameIsOver],1,Table2[AwayTeam],$A60, Table2[HomeTeam], T$36, Table2[ActualResult], "SO") + SUMIFS(Table2[AwayWon], Table2[GameIsOver],1,Table2[HomeTeam],$A60, Table2[AwayTeam], T$36, Table2[ActualResult], "SO")) / (2*(SUMIFS(Table2[AwayWon], Table2[GameIsOver],1,Table2[AwayTeam],$A60, Table2[HomeTeam], T$36) + SUMIFS(Table2[HomeWon_], Table2[GameIsOver],1,Table2[HomeTeam],$A60, Table2[AwayTeam], T$36) + SUMIFS(Table2[HomeWon_], Table2[GameIsOver],1,Table2[AwayTeam],$A60, Table2[HomeTeam], T$36, Table2[ActualResult], "REG") + SUMIFS(Table2[AwayWon], Table2[GameIsOver],1,Table2[HomeTeam],$A60, Table2[AwayTeam], T$36, Table2[ActualResult], "REG") + SUMIFS(Table2[HomeWon_], Table2[GameIsOver],1,Table2[AwayTeam],$A60, Table2[HomeTeam], T$36, Table2[ActualResult], "OT") + SUMIFS(Table2[AwayWon], Table2[GameIsOver],1,Table2[HomeTeam],$A60, Table2[AwayTeam], T$36, Table2[ActualResult], "OT") + SUMIFS(Table2[HomeWon_], Table2[GameIsOver],1,Table2[AwayTeam],$A60, Table2[HomeTeam], T$36, Table2[ActualResult], "SO") + SUMIFS(Table2[AwayWon], Table2[GameIsOver],1,Table2[HomeTeam],$A60, Table2[AwayTeam], T$36, Table2[ActualResult], "SO"))), "")</f>
        <v/>
      </c>
      <c r="U60" s="58">
        <f>IFERROR(((2*SUMIFS(Table2[AwayWon], Table2[GameIsOver],1,Table2[AwayTeam],$A60, Table2[HomeTeam], U$36) + SUMIFS(Table2[HomeWon_], Table2[GameIsOver],1,Table2[HomeTeam],$A60, Table2[AwayTeam], U$36)) + SUMIFS(Table2[AwayWon], Table2[GameIsOver],1,Table2[HomeTeam],$A60, Table2[AwayTeam], U$36, Table2[ActualResult], "REG") + SUMIFS(Table2[HomeWon_], Table2[GameIsOver],1,Table2[AwayTeam],$A60, Table2[HomeTeam], U$36, Table2[ActualResult], "OT") + SUMIFS(Table2[AwayWon], Table2[GameIsOver],1,Table2[HomeTeam],$A60, Table2[AwayTeam], U$36, Table2[ActualResult], "OT") + SUMIFS(Table2[HomeWon_], Table2[GameIsOver],1,Table2[AwayTeam],$A60, Table2[HomeTeam], U$36, Table2[ActualResult], "SO") + SUMIFS(Table2[AwayWon], Table2[GameIsOver],1,Table2[HomeTeam],$A60, Table2[AwayTeam], U$36, Table2[ActualResult], "SO")) / (2*(SUMIFS(Table2[AwayWon], Table2[GameIsOver],1,Table2[AwayTeam],$A60, Table2[HomeTeam], U$36) + SUMIFS(Table2[HomeWon_], Table2[GameIsOver],1,Table2[HomeTeam],$A60, Table2[AwayTeam], U$36) + SUMIFS(Table2[HomeWon_], Table2[GameIsOver],1,Table2[AwayTeam],$A60, Table2[HomeTeam], U$36, Table2[ActualResult], "REG") + SUMIFS(Table2[AwayWon], Table2[GameIsOver],1,Table2[HomeTeam],$A60, Table2[AwayTeam], U$36, Table2[ActualResult], "REG") + SUMIFS(Table2[HomeWon_], Table2[GameIsOver],1,Table2[AwayTeam],$A60, Table2[HomeTeam], U$36, Table2[ActualResult], "OT") + SUMIFS(Table2[AwayWon], Table2[GameIsOver],1,Table2[HomeTeam],$A60, Table2[AwayTeam], U$36, Table2[ActualResult], "OT") + SUMIFS(Table2[HomeWon_], Table2[GameIsOver],1,Table2[AwayTeam],$A60, Table2[HomeTeam], U$36, Table2[ActualResult], "SO") + SUMIFS(Table2[AwayWon], Table2[GameIsOver],1,Table2[HomeTeam],$A60, Table2[AwayTeam], U$36, Table2[ActualResult], "SO"))), "")</f>
        <v>1</v>
      </c>
      <c r="V60" s="58">
        <f>IFERROR(((2*SUMIFS(Table2[AwayWon], Table2[GameIsOver],1,Table2[AwayTeam],$A60, Table2[HomeTeam], V$36) + SUMIFS(Table2[HomeWon_], Table2[GameIsOver],1,Table2[HomeTeam],$A60, Table2[AwayTeam], V$36)) + SUMIFS(Table2[AwayWon], Table2[GameIsOver],1,Table2[HomeTeam],$A60, Table2[AwayTeam], V$36, Table2[ActualResult], "REG") + SUMIFS(Table2[HomeWon_], Table2[GameIsOver],1,Table2[AwayTeam],$A60, Table2[HomeTeam], V$36, Table2[ActualResult], "OT") + SUMIFS(Table2[AwayWon], Table2[GameIsOver],1,Table2[HomeTeam],$A60, Table2[AwayTeam], V$36, Table2[ActualResult], "OT") + SUMIFS(Table2[HomeWon_], Table2[GameIsOver],1,Table2[AwayTeam],$A60, Table2[HomeTeam], V$36, Table2[ActualResult], "SO") + SUMIFS(Table2[AwayWon], Table2[GameIsOver],1,Table2[HomeTeam],$A60, Table2[AwayTeam], V$36, Table2[ActualResult], "SO")) / (2*(SUMIFS(Table2[AwayWon], Table2[GameIsOver],1,Table2[AwayTeam],$A60, Table2[HomeTeam], V$36) + SUMIFS(Table2[HomeWon_], Table2[GameIsOver],1,Table2[HomeTeam],$A60, Table2[AwayTeam], V$36) + SUMIFS(Table2[HomeWon_], Table2[GameIsOver],1,Table2[AwayTeam],$A60, Table2[HomeTeam], V$36, Table2[ActualResult], "REG") + SUMIFS(Table2[AwayWon], Table2[GameIsOver],1,Table2[HomeTeam],$A60, Table2[AwayTeam], V$36, Table2[ActualResult], "REG") + SUMIFS(Table2[HomeWon_], Table2[GameIsOver],1,Table2[AwayTeam],$A60, Table2[HomeTeam], V$36, Table2[ActualResult], "OT") + SUMIFS(Table2[AwayWon], Table2[GameIsOver],1,Table2[HomeTeam],$A60, Table2[AwayTeam], V$36, Table2[ActualResult], "OT") + SUMIFS(Table2[HomeWon_], Table2[GameIsOver],1,Table2[AwayTeam],$A60, Table2[HomeTeam], V$36, Table2[ActualResult], "SO") + SUMIFS(Table2[AwayWon], Table2[GameIsOver],1,Table2[HomeTeam],$A60, Table2[AwayTeam], V$36, Table2[ActualResult], "SO"))), "")</f>
        <v>1</v>
      </c>
      <c r="W60" s="58" t="str">
        <f>IFERROR(((2*SUMIFS(Table2[AwayWon], Table2[GameIsOver],1,Table2[AwayTeam],$A60, Table2[HomeTeam], W$36) + SUMIFS(Table2[HomeWon_], Table2[GameIsOver],1,Table2[HomeTeam],$A60, Table2[AwayTeam], W$36)) + SUMIFS(Table2[AwayWon], Table2[GameIsOver],1,Table2[HomeTeam],$A60, Table2[AwayTeam], W$36, Table2[ActualResult], "REG") + SUMIFS(Table2[HomeWon_], Table2[GameIsOver],1,Table2[AwayTeam],$A60, Table2[HomeTeam], W$36, Table2[ActualResult], "OT") + SUMIFS(Table2[AwayWon], Table2[GameIsOver],1,Table2[HomeTeam],$A60, Table2[AwayTeam], W$36, Table2[ActualResult], "OT") + SUMIFS(Table2[HomeWon_], Table2[GameIsOver],1,Table2[AwayTeam],$A60, Table2[HomeTeam], W$36, Table2[ActualResult], "SO") + SUMIFS(Table2[AwayWon], Table2[GameIsOver],1,Table2[HomeTeam],$A60, Table2[AwayTeam], W$36, Table2[ActualResult], "SO")) / (2*(SUMIFS(Table2[AwayWon], Table2[GameIsOver],1,Table2[AwayTeam],$A60, Table2[HomeTeam], W$36) + SUMIFS(Table2[HomeWon_], Table2[GameIsOver],1,Table2[HomeTeam],$A60, Table2[AwayTeam], W$36) + SUMIFS(Table2[HomeWon_], Table2[GameIsOver],1,Table2[AwayTeam],$A60, Table2[HomeTeam], W$36, Table2[ActualResult], "REG") + SUMIFS(Table2[AwayWon], Table2[GameIsOver],1,Table2[HomeTeam],$A60, Table2[AwayTeam], W$36, Table2[ActualResult], "REG") + SUMIFS(Table2[HomeWon_], Table2[GameIsOver],1,Table2[AwayTeam],$A60, Table2[HomeTeam], W$36, Table2[ActualResult], "OT") + SUMIFS(Table2[AwayWon], Table2[GameIsOver],1,Table2[HomeTeam],$A60, Table2[AwayTeam], W$36, Table2[ActualResult], "OT") + SUMIFS(Table2[HomeWon_], Table2[GameIsOver],1,Table2[AwayTeam],$A60, Table2[HomeTeam], W$36, Table2[ActualResult], "SO") + SUMIFS(Table2[AwayWon], Table2[GameIsOver],1,Table2[HomeTeam],$A60, Table2[AwayTeam], W$36, Table2[ActualResult], "SO"))), "")</f>
        <v/>
      </c>
      <c r="X60" s="58" t="str">
        <f>IFERROR(((2*SUMIFS(Table2[AwayWon], Table2[GameIsOver],1,Table2[AwayTeam],$A60, Table2[HomeTeam], X$36) + SUMIFS(Table2[HomeWon_], Table2[GameIsOver],1,Table2[HomeTeam],$A60, Table2[AwayTeam], X$36)) + SUMIFS(Table2[AwayWon], Table2[GameIsOver],1,Table2[HomeTeam],$A60, Table2[AwayTeam], X$36, Table2[ActualResult], "REG") + SUMIFS(Table2[HomeWon_], Table2[GameIsOver],1,Table2[AwayTeam],$A60, Table2[HomeTeam], X$36, Table2[ActualResult], "OT") + SUMIFS(Table2[AwayWon], Table2[GameIsOver],1,Table2[HomeTeam],$A60, Table2[AwayTeam], X$36, Table2[ActualResult], "OT") + SUMIFS(Table2[HomeWon_], Table2[GameIsOver],1,Table2[AwayTeam],$A60, Table2[HomeTeam], X$36, Table2[ActualResult], "SO") + SUMIFS(Table2[AwayWon], Table2[GameIsOver],1,Table2[HomeTeam],$A60, Table2[AwayTeam], X$36, Table2[ActualResult], "SO")) / (2*(SUMIFS(Table2[AwayWon], Table2[GameIsOver],1,Table2[AwayTeam],$A60, Table2[HomeTeam], X$36) + SUMIFS(Table2[HomeWon_], Table2[GameIsOver],1,Table2[HomeTeam],$A60, Table2[AwayTeam], X$36) + SUMIFS(Table2[HomeWon_], Table2[GameIsOver],1,Table2[AwayTeam],$A60, Table2[HomeTeam], X$36, Table2[ActualResult], "REG") + SUMIFS(Table2[AwayWon], Table2[GameIsOver],1,Table2[HomeTeam],$A60, Table2[AwayTeam], X$36, Table2[ActualResult], "REG") + SUMIFS(Table2[HomeWon_], Table2[GameIsOver],1,Table2[AwayTeam],$A60, Table2[HomeTeam], X$36, Table2[ActualResult], "OT") + SUMIFS(Table2[AwayWon], Table2[GameIsOver],1,Table2[HomeTeam],$A60, Table2[AwayTeam], X$36, Table2[ActualResult], "OT") + SUMIFS(Table2[HomeWon_], Table2[GameIsOver],1,Table2[AwayTeam],$A60, Table2[HomeTeam], X$36, Table2[ActualResult], "SO") + SUMIFS(Table2[AwayWon], Table2[GameIsOver],1,Table2[HomeTeam],$A60, Table2[AwayTeam], X$36, Table2[ActualResult], "SO"))), "")</f>
        <v/>
      </c>
      <c r="Y60" s="99" t="str">
        <f>IFERROR(((2*SUMIFS(Table2[AwayWon], Table2[GameIsOver],1,Table2[AwayTeam],$A60, Table2[HomeTeam], Y$36) + SUMIFS(Table2[HomeWon_], Table2[GameIsOver],1,Table2[HomeTeam],$A60, Table2[AwayTeam], Y$36)) + SUMIFS(Table2[AwayWon], Table2[GameIsOver],1,Table2[HomeTeam],$A60, Table2[AwayTeam], Y$36, Table2[ActualResult], "REG") + SUMIFS(Table2[HomeWon_], Table2[GameIsOver],1,Table2[AwayTeam],$A60, Table2[HomeTeam], Y$36, Table2[ActualResult], "OT") + SUMIFS(Table2[AwayWon], Table2[GameIsOver],1,Table2[HomeTeam],$A60, Table2[AwayTeam], Y$36, Table2[ActualResult], "OT") + SUMIFS(Table2[HomeWon_], Table2[GameIsOver],1,Table2[AwayTeam],$A60, Table2[HomeTeam], Y$36, Table2[ActualResult], "SO") + SUMIFS(Table2[AwayWon], Table2[GameIsOver],1,Table2[HomeTeam],$A60, Table2[AwayTeam], Y$36, Table2[ActualResult], "SO")) / (2*(SUMIFS(Table2[AwayWon], Table2[GameIsOver],1,Table2[AwayTeam],$A60, Table2[HomeTeam], Y$36) + SUMIFS(Table2[HomeWon_], Table2[GameIsOver],1,Table2[HomeTeam],$A60, Table2[AwayTeam], Y$36) + SUMIFS(Table2[HomeWon_], Table2[GameIsOver],1,Table2[AwayTeam],$A60, Table2[HomeTeam], Y$36, Table2[ActualResult], "REG") + SUMIFS(Table2[AwayWon], Table2[GameIsOver],1,Table2[HomeTeam],$A60, Table2[AwayTeam], Y$36, Table2[ActualResult], "REG") + SUMIFS(Table2[HomeWon_], Table2[GameIsOver],1,Table2[AwayTeam],$A60, Table2[HomeTeam], Y$36, Table2[ActualResult], "OT") + SUMIFS(Table2[AwayWon], Table2[GameIsOver],1,Table2[HomeTeam],$A60, Table2[AwayTeam], Y$36, Table2[ActualResult], "OT") + SUMIFS(Table2[HomeWon_], Table2[GameIsOver],1,Table2[AwayTeam],$A60, Table2[HomeTeam], Y$36, Table2[ActualResult], "SO") + SUMIFS(Table2[AwayWon], Table2[GameIsOver],1,Table2[HomeTeam],$A60, Table2[AwayTeam], Y$36, Table2[ActualResult], "SO"))), "")</f>
        <v/>
      </c>
      <c r="Z60" s="58">
        <f>IFERROR(((2*SUMIFS(Table2[AwayWon], Table2[GameIsOver],1,Table2[AwayTeam],$A60, Table2[HomeTeam], Z$36) + SUMIFS(Table2[HomeWon_], Table2[GameIsOver],1,Table2[HomeTeam],$A60, Table2[AwayTeam], Z$36)) + SUMIFS(Table2[AwayWon], Table2[GameIsOver],1,Table2[HomeTeam],$A60, Table2[AwayTeam], Z$36, Table2[ActualResult], "REG") + SUMIFS(Table2[HomeWon_], Table2[GameIsOver],1,Table2[AwayTeam],$A60, Table2[HomeTeam], Z$36, Table2[ActualResult], "OT") + SUMIFS(Table2[AwayWon], Table2[GameIsOver],1,Table2[HomeTeam],$A60, Table2[AwayTeam], Z$36, Table2[ActualResult], "OT") + SUMIFS(Table2[HomeWon_], Table2[GameIsOver],1,Table2[AwayTeam],$A60, Table2[HomeTeam], Z$36, Table2[ActualResult], "SO") + SUMIFS(Table2[AwayWon], Table2[GameIsOver],1,Table2[HomeTeam],$A60, Table2[AwayTeam], Z$36, Table2[ActualResult], "SO")) / (2*(SUMIFS(Table2[AwayWon], Table2[GameIsOver],1,Table2[AwayTeam],$A60, Table2[HomeTeam], Z$36) + SUMIFS(Table2[HomeWon_], Table2[GameIsOver],1,Table2[HomeTeam],$A60, Table2[AwayTeam], Z$36) + SUMIFS(Table2[HomeWon_], Table2[GameIsOver],1,Table2[AwayTeam],$A60, Table2[HomeTeam], Z$36, Table2[ActualResult], "REG") + SUMIFS(Table2[AwayWon], Table2[GameIsOver],1,Table2[HomeTeam],$A60, Table2[AwayTeam], Z$36, Table2[ActualResult], "REG") + SUMIFS(Table2[HomeWon_], Table2[GameIsOver],1,Table2[AwayTeam],$A60, Table2[HomeTeam], Z$36, Table2[ActualResult], "OT") + SUMIFS(Table2[AwayWon], Table2[GameIsOver],1,Table2[HomeTeam],$A60, Table2[AwayTeam], Z$36, Table2[ActualResult], "OT") + SUMIFS(Table2[HomeWon_], Table2[GameIsOver],1,Table2[AwayTeam],$A60, Table2[HomeTeam], Z$36, Table2[ActualResult], "SO") + SUMIFS(Table2[AwayWon], Table2[GameIsOver],1,Table2[HomeTeam],$A60, Table2[AwayTeam], Z$36, Table2[ActualResult], "SO"))), "")</f>
        <v>0.5</v>
      </c>
      <c r="AA60" s="58" t="str">
        <f>IFERROR(((2*SUMIFS(Table2[AwayWon], Table2[GameIsOver],1,Table2[AwayTeam],$A60, Table2[HomeTeam], AA$36) + SUMIFS(Table2[HomeWon_], Table2[GameIsOver],1,Table2[HomeTeam],$A60, Table2[AwayTeam], AA$36)) + SUMIFS(Table2[AwayWon], Table2[GameIsOver],1,Table2[HomeTeam],$A60, Table2[AwayTeam], AA$36, Table2[ActualResult], "REG") + SUMIFS(Table2[HomeWon_], Table2[GameIsOver],1,Table2[AwayTeam],$A60, Table2[HomeTeam], AA$36, Table2[ActualResult], "OT") + SUMIFS(Table2[AwayWon], Table2[GameIsOver],1,Table2[HomeTeam],$A60, Table2[AwayTeam], AA$36, Table2[ActualResult], "OT") + SUMIFS(Table2[HomeWon_], Table2[GameIsOver],1,Table2[AwayTeam],$A60, Table2[HomeTeam], AA$36, Table2[ActualResult], "SO") + SUMIFS(Table2[AwayWon], Table2[GameIsOver],1,Table2[HomeTeam],$A60, Table2[AwayTeam], AA$36, Table2[ActualResult], "SO")) / (2*(SUMIFS(Table2[AwayWon], Table2[GameIsOver],1,Table2[AwayTeam],$A60, Table2[HomeTeam], AA$36) + SUMIFS(Table2[HomeWon_], Table2[GameIsOver],1,Table2[HomeTeam],$A60, Table2[AwayTeam], AA$36) + SUMIFS(Table2[HomeWon_], Table2[GameIsOver],1,Table2[AwayTeam],$A60, Table2[HomeTeam], AA$36, Table2[ActualResult], "REG") + SUMIFS(Table2[AwayWon], Table2[GameIsOver],1,Table2[HomeTeam],$A60, Table2[AwayTeam], AA$36, Table2[ActualResult], "REG") + SUMIFS(Table2[HomeWon_], Table2[GameIsOver],1,Table2[AwayTeam],$A60, Table2[HomeTeam], AA$36, Table2[ActualResult], "OT") + SUMIFS(Table2[AwayWon], Table2[GameIsOver],1,Table2[HomeTeam],$A60, Table2[AwayTeam], AA$36, Table2[ActualResult], "OT") + SUMIFS(Table2[HomeWon_], Table2[GameIsOver],1,Table2[AwayTeam],$A60, Table2[HomeTeam], AA$36, Table2[ActualResult], "SO") + SUMIFS(Table2[AwayWon], Table2[GameIsOver],1,Table2[HomeTeam],$A60, Table2[AwayTeam], AA$36, Table2[ActualResult], "SO"))), "")</f>
        <v/>
      </c>
      <c r="AB60" s="58" t="str">
        <f>IFERROR(((2*SUMIFS(Table2[AwayWon], Table2[GameIsOver],1,Table2[AwayTeam],$A60, Table2[HomeTeam], AB$36) + SUMIFS(Table2[HomeWon_], Table2[GameIsOver],1,Table2[HomeTeam],$A60, Table2[AwayTeam], AB$36)) + SUMIFS(Table2[AwayWon], Table2[GameIsOver],1,Table2[HomeTeam],$A60, Table2[AwayTeam], AB$36, Table2[ActualResult], "REG") + SUMIFS(Table2[HomeWon_], Table2[GameIsOver],1,Table2[AwayTeam],$A60, Table2[HomeTeam], AB$36, Table2[ActualResult], "OT") + SUMIFS(Table2[AwayWon], Table2[GameIsOver],1,Table2[HomeTeam],$A60, Table2[AwayTeam], AB$36, Table2[ActualResult], "OT") + SUMIFS(Table2[HomeWon_], Table2[GameIsOver],1,Table2[AwayTeam],$A60, Table2[HomeTeam], AB$36, Table2[ActualResult], "SO") + SUMIFS(Table2[AwayWon], Table2[GameIsOver],1,Table2[HomeTeam],$A60, Table2[AwayTeam], AB$36, Table2[ActualResult], "SO")) / (2*(SUMIFS(Table2[AwayWon], Table2[GameIsOver],1,Table2[AwayTeam],$A60, Table2[HomeTeam], AB$36) + SUMIFS(Table2[HomeWon_], Table2[GameIsOver],1,Table2[HomeTeam],$A60, Table2[AwayTeam], AB$36) + SUMIFS(Table2[HomeWon_], Table2[GameIsOver],1,Table2[AwayTeam],$A60, Table2[HomeTeam], AB$36, Table2[ActualResult], "REG") + SUMIFS(Table2[AwayWon], Table2[GameIsOver],1,Table2[HomeTeam],$A60, Table2[AwayTeam], AB$36, Table2[ActualResult], "REG") + SUMIFS(Table2[HomeWon_], Table2[GameIsOver],1,Table2[AwayTeam],$A60, Table2[HomeTeam], AB$36, Table2[ActualResult], "OT") + SUMIFS(Table2[AwayWon], Table2[GameIsOver],1,Table2[HomeTeam],$A60, Table2[AwayTeam], AB$36, Table2[ActualResult], "OT") + SUMIFS(Table2[HomeWon_], Table2[GameIsOver],1,Table2[AwayTeam],$A60, Table2[HomeTeam], AB$36, Table2[ActualResult], "SO") + SUMIFS(Table2[AwayWon], Table2[GameIsOver],1,Table2[HomeTeam],$A60, Table2[AwayTeam], AB$36, Table2[ActualResult], "SO"))), "")</f>
        <v/>
      </c>
      <c r="AC60" s="58" t="str">
        <f>IFERROR(((2*SUMIFS(Table2[AwayWon], Table2[GameIsOver],1,Table2[AwayTeam],$A60, Table2[HomeTeam], AC$36) + SUMIFS(Table2[HomeWon_], Table2[GameIsOver],1,Table2[HomeTeam],$A60, Table2[AwayTeam], AC$36)) + SUMIFS(Table2[AwayWon], Table2[GameIsOver],1,Table2[HomeTeam],$A60, Table2[AwayTeam], AC$36, Table2[ActualResult], "REG") + SUMIFS(Table2[HomeWon_], Table2[GameIsOver],1,Table2[AwayTeam],$A60, Table2[HomeTeam], AC$36, Table2[ActualResult], "OT") + SUMIFS(Table2[AwayWon], Table2[GameIsOver],1,Table2[HomeTeam],$A60, Table2[AwayTeam], AC$36, Table2[ActualResult], "OT") + SUMIFS(Table2[HomeWon_], Table2[GameIsOver],1,Table2[AwayTeam],$A60, Table2[HomeTeam], AC$36, Table2[ActualResult], "SO") + SUMIFS(Table2[AwayWon], Table2[GameIsOver],1,Table2[HomeTeam],$A60, Table2[AwayTeam], AC$36, Table2[ActualResult], "SO")) / (2*(SUMIFS(Table2[AwayWon], Table2[GameIsOver],1,Table2[AwayTeam],$A60, Table2[HomeTeam], AC$36) + SUMIFS(Table2[HomeWon_], Table2[GameIsOver],1,Table2[HomeTeam],$A60, Table2[AwayTeam], AC$36) + SUMIFS(Table2[HomeWon_], Table2[GameIsOver],1,Table2[AwayTeam],$A60, Table2[HomeTeam], AC$36, Table2[ActualResult], "REG") + SUMIFS(Table2[AwayWon], Table2[GameIsOver],1,Table2[HomeTeam],$A60, Table2[AwayTeam], AC$36, Table2[ActualResult], "REG") + SUMIFS(Table2[HomeWon_], Table2[GameIsOver],1,Table2[AwayTeam],$A60, Table2[HomeTeam], AC$36, Table2[ActualResult], "OT") + SUMIFS(Table2[AwayWon], Table2[GameIsOver],1,Table2[HomeTeam],$A60, Table2[AwayTeam], AC$36, Table2[ActualResult], "OT") + SUMIFS(Table2[HomeWon_], Table2[GameIsOver],1,Table2[AwayTeam],$A60, Table2[HomeTeam], AC$36, Table2[ActualResult], "SO") + SUMIFS(Table2[AwayWon], Table2[GameIsOver],1,Table2[HomeTeam],$A60, Table2[AwayTeam], AC$36, Table2[ActualResult], "SO"))), "")</f>
        <v/>
      </c>
      <c r="AD60" s="58" t="str">
        <f>IFERROR(((2*SUMIFS(Table2[AwayWon], Table2[GameIsOver],1,Table2[AwayTeam],$A60, Table2[HomeTeam], AD$36) + SUMIFS(Table2[HomeWon_], Table2[GameIsOver],1,Table2[HomeTeam],$A60, Table2[AwayTeam], AD$36)) + SUMIFS(Table2[AwayWon], Table2[GameIsOver],1,Table2[HomeTeam],$A60, Table2[AwayTeam], AD$36, Table2[ActualResult], "REG") + SUMIFS(Table2[HomeWon_], Table2[GameIsOver],1,Table2[AwayTeam],$A60, Table2[HomeTeam], AD$36, Table2[ActualResult], "OT") + SUMIFS(Table2[AwayWon], Table2[GameIsOver],1,Table2[HomeTeam],$A60, Table2[AwayTeam], AD$36, Table2[ActualResult], "OT") + SUMIFS(Table2[HomeWon_], Table2[GameIsOver],1,Table2[AwayTeam],$A60, Table2[HomeTeam], AD$36, Table2[ActualResult], "SO") + SUMIFS(Table2[AwayWon], Table2[GameIsOver],1,Table2[HomeTeam],$A60, Table2[AwayTeam], AD$36, Table2[ActualResult], "SO")) / (2*(SUMIFS(Table2[AwayWon], Table2[GameIsOver],1,Table2[AwayTeam],$A60, Table2[HomeTeam], AD$36) + SUMIFS(Table2[HomeWon_], Table2[GameIsOver],1,Table2[HomeTeam],$A60, Table2[AwayTeam], AD$36) + SUMIFS(Table2[HomeWon_], Table2[GameIsOver],1,Table2[AwayTeam],$A60, Table2[HomeTeam], AD$36, Table2[ActualResult], "REG") + SUMIFS(Table2[AwayWon], Table2[GameIsOver],1,Table2[HomeTeam],$A60, Table2[AwayTeam], AD$36, Table2[ActualResult], "REG") + SUMIFS(Table2[HomeWon_], Table2[GameIsOver],1,Table2[AwayTeam],$A60, Table2[HomeTeam], AD$36, Table2[ActualResult], "OT") + SUMIFS(Table2[AwayWon], Table2[GameIsOver],1,Table2[HomeTeam],$A60, Table2[AwayTeam], AD$36, Table2[ActualResult], "OT") + SUMIFS(Table2[HomeWon_], Table2[GameIsOver],1,Table2[AwayTeam],$A60, Table2[HomeTeam], AD$36, Table2[ActualResult], "SO") + SUMIFS(Table2[AwayWon], Table2[GameIsOver],1,Table2[HomeTeam],$A60, Table2[AwayTeam], AD$36, Table2[ActualResult], "SO"))), "")</f>
        <v/>
      </c>
      <c r="AE60" s="58" t="str">
        <f>IFERROR(((2*SUMIFS(Table2[AwayWon], Table2[GameIsOver],1,Table2[AwayTeam],$A60, Table2[HomeTeam], AE$36) + SUMIFS(Table2[HomeWon_], Table2[GameIsOver],1,Table2[HomeTeam],$A60, Table2[AwayTeam], AE$36)) + SUMIFS(Table2[AwayWon], Table2[GameIsOver],1,Table2[HomeTeam],$A60, Table2[AwayTeam], AE$36, Table2[ActualResult], "REG") + SUMIFS(Table2[HomeWon_], Table2[GameIsOver],1,Table2[AwayTeam],$A60, Table2[HomeTeam], AE$36, Table2[ActualResult], "OT") + SUMIFS(Table2[AwayWon], Table2[GameIsOver],1,Table2[HomeTeam],$A60, Table2[AwayTeam], AE$36, Table2[ActualResult], "OT") + SUMIFS(Table2[HomeWon_], Table2[GameIsOver],1,Table2[AwayTeam],$A60, Table2[HomeTeam], AE$36, Table2[ActualResult], "SO") + SUMIFS(Table2[AwayWon], Table2[GameIsOver],1,Table2[HomeTeam],$A60, Table2[AwayTeam], AE$36, Table2[ActualResult], "SO")) / (2*(SUMIFS(Table2[AwayWon], Table2[GameIsOver],1,Table2[AwayTeam],$A60, Table2[HomeTeam], AE$36) + SUMIFS(Table2[HomeWon_], Table2[GameIsOver],1,Table2[HomeTeam],$A60, Table2[AwayTeam], AE$36) + SUMIFS(Table2[HomeWon_], Table2[GameIsOver],1,Table2[AwayTeam],$A60, Table2[HomeTeam], AE$36, Table2[ActualResult], "REG") + SUMIFS(Table2[AwayWon], Table2[GameIsOver],1,Table2[HomeTeam],$A60, Table2[AwayTeam], AE$36, Table2[ActualResult], "REG") + SUMIFS(Table2[HomeWon_], Table2[GameIsOver],1,Table2[AwayTeam],$A60, Table2[HomeTeam], AE$36, Table2[ActualResult], "OT") + SUMIFS(Table2[AwayWon], Table2[GameIsOver],1,Table2[HomeTeam],$A60, Table2[AwayTeam], AE$36, Table2[ActualResult], "OT") + SUMIFS(Table2[HomeWon_], Table2[GameIsOver],1,Table2[AwayTeam],$A60, Table2[HomeTeam], AE$36, Table2[ActualResult], "SO") + SUMIFS(Table2[AwayWon], Table2[GameIsOver],1,Table2[HomeTeam],$A60, Table2[AwayTeam], AE$36, Table2[ActualResult], "SO"))), "")</f>
        <v/>
      </c>
      <c r="AF60" s="58">
        <f>IFERROR(((2*SUMIFS(Table2[AwayWon], Table2[GameIsOver],1,Table2[AwayTeam],$A60, Table2[HomeTeam], AF$36) + SUMIFS(Table2[HomeWon_], Table2[GameIsOver],1,Table2[HomeTeam],$A60, Table2[AwayTeam], AF$36)) + SUMIFS(Table2[AwayWon], Table2[GameIsOver],1,Table2[HomeTeam],$A60, Table2[AwayTeam], AF$36, Table2[ActualResult], "REG") + SUMIFS(Table2[HomeWon_], Table2[GameIsOver],1,Table2[AwayTeam],$A60, Table2[HomeTeam], AF$36, Table2[ActualResult], "OT") + SUMIFS(Table2[AwayWon], Table2[GameIsOver],1,Table2[HomeTeam],$A60, Table2[AwayTeam], AF$36, Table2[ActualResult], "OT") + SUMIFS(Table2[HomeWon_], Table2[GameIsOver],1,Table2[AwayTeam],$A60, Table2[HomeTeam], AF$36, Table2[ActualResult], "SO") + SUMIFS(Table2[AwayWon], Table2[GameIsOver],1,Table2[HomeTeam],$A60, Table2[AwayTeam], AF$36, Table2[ActualResult], "SO")) / (2*(SUMIFS(Table2[AwayWon], Table2[GameIsOver],1,Table2[AwayTeam],$A60, Table2[HomeTeam], AF$36) + SUMIFS(Table2[HomeWon_], Table2[GameIsOver],1,Table2[HomeTeam],$A60, Table2[AwayTeam], AF$36) + SUMIFS(Table2[HomeWon_], Table2[GameIsOver],1,Table2[AwayTeam],$A60, Table2[HomeTeam], AF$36, Table2[ActualResult], "REG") + SUMIFS(Table2[AwayWon], Table2[GameIsOver],1,Table2[HomeTeam],$A60, Table2[AwayTeam], AF$36, Table2[ActualResult], "REG") + SUMIFS(Table2[HomeWon_], Table2[GameIsOver],1,Table2[AwayTeam],$A60, Table2[HomeTeam], AF$36, Table2[ActualResult], "OT") + SUMIFS(Table2[AwayWon], Table2[GameIsOver],1,Table2[HomeTeam],$A60, Table2[AwayTeam], AF$36, Table2[ActualResult], "OT") + SUMIFS(Table2[HomeWon_], Table2[GameIsOver],1,Table2[AwayTeam],$A60, Table2[HomeTeam], AF$36, Table2[ActualResult], "SO") + SUMIFS(Table2[AwayWon], Table2[GameIsOver],1,Table2[HomeTeam],$A60, Table2[AwayTeam], AF$36, Table2[ActualResult], "SO"))), "")</f>
        <v>0.5</v>
      </c>
      <c r="AG60" s="59" t="str">
        <f>IFERROR(((2*SUMIFS(Table2[AwayWon], Table2[GameIsOver],1,Table2[AwayTeam],$A60, Table2[HomeTeam], AG$36) + SUMIFS(Table2[HomeWon_], Table2[GameIsOver],1,Table2[HomeTeam],$A60, Table2[AwayTeam], AG$36)) + SUMIFS(Table2[AwayWon], Table2[GameIsOver],1,Table2[HomeTeam],$A60, Table2[AwayTeam], AG$36, Table2[ActualResult], "REG") + SUMIFS(Table2[HomeWon_], Table2[GameIsOver],1,Table2[AwayTeam],$A60, Table2[HomeTeam], AG$36, Table2[ActualResult], "OT") + SUMIFS(Table2[AwayWon], Table2[GameIsOver],1,Table2[HomeTeam],$A60, Table2[AwayTeam], AG$36, Table2[ActualResult], "OT") + SUMIFS(Table2[HomeWon_], Table2[GameIsOver],1,Table2[AwayTeam],$A60, Table2[HomeTeam], AG$36, Table2[ActualResult], "SO") + SUMIFS(Table2[AwayWon], Table2[GameIsOver],1,Table2[HomeTeam],$A60, Table2[AwayTeam], AG$36, Table2[ActualResult], "SO")) / (2*(SUMIFS(Table2[AwayWon], Table2[GameIsOver],1,Table2[AwayTeam],$A60, Table2[HomeTeam], AG$36) + SUMIFS(Table2[HomeWon_], Table2[GameIsOver],1,Table2[HomeTeam],$A60, Table2[AwayTeam], AG$36) + SUMIFS(Table2[HomeWon_], Table2[GameIsOver],1,Table2[AwayTeam],$A60, Table2[HomeTeam], AG$36, Table2[ActualResult], "REG") + SUMIFS(Table2[AwayWon], Table2[GameIsOver],1,Table2[HomeTeam],$A60, Table2[AwayTeam], AG$36, Table2[ActualResult], "REG") + SUMIFS(Table2[HomeWon_], Table2[GameIsOver],1,Table2[AwayTeam],$A60, Table2[HomeTeam], AG$36, Table2[ActualResult], "OT") + SUMIFS(Table2[AwayWon], Table2[GameIsOver],1,Table2[HomeTeam],$A60, Table2[AwayTeam], AG$36, Table2[ActualResult], "OT") + SUMIFS(Table2[HomeWon_], Table2[GameIsOver],1,Table2[AwayTeam],$A60, Table2[HomeTeam], AG$36, Table2[ActualResult], "SO") + SUMIFS(Table2[AwayWon], Table2[GameIsOver],1,Table2[HomeTeam],$A60, Table2[AwayTeam], AG$36, Table2[ActualResult], "SO"))), "")</f>
        <v/>
      </c>
      <c r="AH60" s="102">
        <f t="shared" si="0"/>
        <v>0.75</v>
      </c>
      <c r="AI60" s="102">
        <f t="shared" si="1"/>
        <v>0.5</v>
      </c>
      <c r="AJ60" s="104">
        <f t="shared" si="2"/>
        <v>0.5</v>
      </c>
      <c r="AK60" s="104">
        <f t="shared" si="3"/>
        <v>1</v>
      </c>
      <c r="AL60" s="104">
        <f t="shared" si="4"/>
        <v>0.5</v>
      </c>
      <c r="AM60" s="104">
        <f t="shared" si="5"/>
        <v>0.5</v>
      </c>
    </row>
    <row r="61" spans="1:39" ht="15.75" thickTop="1" x14ac:dyDescent="0.25">
      <c r="A61" s="57" t="s">
        <v>15</v>
      </c>
      <c r="B61" s="24" t="str">
        <f>IFERROR(((2*SUMIFS(Table2[AwayWon], Table2[GameIsOver],1,Table2[AwayTeam],$A61, Table2[HomeTeam], B$36) + SUMIFS(Table2[HomeWon_], Table2[GameIsOver],1,Table2[HomeTeam],$A61, Table2[AwayTeam], B$36)) + SUMIFS(Table2[AwayWon], Table2[GameIsOver],1,Table2[HomeTeam],$A61, Table2[AwayTeam], B$36, Table2[ActualResult], "REG") + SUMIFS(Table2[HomeWon_], Table2[GameIsOver],1,Table2[AwayTeam],$A61, Table2[HomeTeam], B$36, Table2[ActualResult], "OT") + SUMIFS(Table2[AwayWon], Table2[GameIsOver],1,Table2[HomeTeam],$A61, Table2[AwayTeam], B$36, Table2[ActualResult], "OT") + SUMIFS(Table2[HomeWon_], Table2[GameIsOver],1,Table2[AwayTeam],$A61, Table2[HomeTeam], B$36, Table2[ActualResult], "SO") + SUMIFS(Table2[AwayWon], Table2[GameIsOver],1,Table2[HomeTeam],$A61, Table2[AwayTeam], B$36, Table2[ActualResult], "SO")) / (2*(SUMIFS(Table2[AwayWon], Table2[GameIsOver],1,Table2[AwayTeam],$A61, Table2[HomeTeam], B$36) + SUMIFS(Table2[HomeWon_], Table2[GameIsOver],1,Table2[HomeTeam],$A61, Table2[AwayTeam], B$36) + SUMIFS(Table2[HomeWon_], Table2[GameIsOver],1,Table2[AwayTeam],$A61, Table2[HomeTeam], B$36, Table2[ActualResult], "REG") + SUMIFS(Table2[AwayWon], Table2[GameIsOver],1,Table2[HomeTeam],$A61, Table2[AwayTeam], B$36, Table2[ActualResult], "REG") + SUMIFS(Table2[HomeWon_], Table2[GameIsOver],1,Table2[AwayTeam],$A61, Table2[HomeTeam], B$36, Table2[ActualResult], "OT") + SUMIFS(Table2[AwayWon], Table2[GameIsOver],1,Table2[HomeTeam],$A61, Table2[AwayTeam], B$36, Table2[ActualResult], "OT") + SUMIFS(Table2[HomeWon_], Table2[GameIsOver],1,Table2[AwayTeam],$A61, Table2[HomeTeam], B$36, Table2[ActualResult], "SO") + SUMIFS(Table2[AwayWon], Table2[GameIsOver],1,Table2[HomeTeam],$A61, Table2[AwayTeam], B$36, Table2[ActualResult], "SO"))), "")</f>
        <v/>
      </c>
      <c r="C61" s="24" t="str">
        <f>IFERROR(((2*SUMIFS(Table2[AwayWon], Table2[GameIsOver],1,Table2[AwayTeam],$A61, Table2[HomeTeam], C$36) + SUMIFS(Table2[HomeWon_], Table2[GameIsOver],1,Table2[HomeTeam],$A61, Table2[AwayTeam], C$36)) + SUMIFS(Table2[AwayWon], Table2[GameIsOver],1,Table2[HomeTeam],$A61, Table2[AwayTeam], C$36, Table2[ActualResult], "REG") + SUMIFS(Table2[HomeWon_], Table2[GameIsOver],1,Table2[AwayTeam],$A61, Table2[HomeTeam], C$36, Table2[ActualResult], "OT") + SUMIFS(Table2[AwayWon], Table2[GameIsOver],1,Table2[HomeTeam],$A61, Table2[AwayTeam], C$36, Table2[ActualResult], "OT") + SUMIFS(Table2[HomeWon_], Table2[GameIsOver],1,Table2[AwayTeam],$A61, Table2[HomeTeam], C$36, Table2[ActualResult], "SO") + SUMIFS(Table2[AwayWon], Table2[GameIsOver],1,Table2[HomeTeam],$A61, Table2[AwayTeam], C$36, Table2[ActualResult], "SO")) / (2*(SUMIFS(Table2[AwayWon], Table2[GameIsOver],1,Table2[AwayTeam],$A61, Table2[HomeTeam], C$36) + SUMIFS(Table2[HomeWon_], Table2[GameIsOver],1,Table2[HomeTeam],$A61, Table2[AwayTeam], C$36) + SUMIFS(Table2[HomeWon_], Table2[GameIsOver],1,Table2[AwayTeam],$A61, Table2[HomeTeam], C$36, Table2[ActualResult], "REG") + SUMIFS(Table2[AwayWon], Table2[GameIsOver],1,Table2[HomeTeam],$A61, Table2[AwayTeam], C$36, Table2[ActualResult], "REG") + SUMIFS(Table2[HomeWon_], Table2[GameIsOver],1,Table2[AwayTeam],$A61, Table2[HomeTeam], C$36, Table2[ActualResult], "OT") + SUMIFS(Table2[AwayWon], Table2[GameIsOver],1,Table2[HomeTeam],$A61, Table2[AwayTeam], C$36, Table2[ActualResult], "OT") + SUMIFS(Table2[HomeWon_], Table2[GameIsOver],1,Table2[AwayTeam],$A61, Table2[HomeTeam], C$36, Table2[ActualResult], "SO") + SUMIFS(Table2[AwayWon], Table2[GameIsOver],1,Table2[HomeTeam],$A61, Table2[AwayTeam], C$36, Table2[ActualResult], "SO"))), "")</f>
        <v/>
      </c>
      <c r="D61" t="str">
        <f>IFERROR(((2*SUMIFS(Table2[AwayWon], Table2[GameIsOver],1,Table2[AwayTeam],$A61, Table2[HomeTeam], D$36) + SUMIFS(Table2[HomeWon_], Table2[GameIsOver],1,Table2[HomeTeam],$A61, Table2[AwayTeam], D$36)) + SUMIFS(Table2[AwayWon], Table2[GameIsOver],1,Table2[HomeTeam],$A61, Table2[AwayTeam], D$36, Table2[ActualResult], "REG") + SUMIFS(Table2[HomeWon_], Table2[GameIsOver],1,Table2[AwayTeam],$A61, Table2[HomeTeam], D$36, Table2[ActualResult], "OT") + SUMIFS(Table2[AwayWon], Table2[GameIsOver],1,Table2[HomeTeam],$A61, Table2[AwayTeam], D$36, Table2[ActualResult], "OT") + SUMIFS(Table2[HomeWon_], Table2[GameIsOver],1,Table2[AwayTeam],$A61, Table2[HomeTeam], D$36, Table2[ActualResult], "SO") + SUMIFS(Table2[AwayWon], Table2[GameIsOver],1,Table2[HomeTeam],$A61, Table2[AwayTeam], D$36, Table2[ActualResult], "SO")) / (2*(SUMIFS(Table2[AwayWon], Table2[GameIsOver],1,Table2[AwayTeam],$A61, Table2[HomeTeam], D$36) + SUMIFS(Table2[HomeWon_], Table2[GameIsOver],1,Table2[HomeTeam],$A61, Table2[AwayTeam], D$36) + SUMIFS(Table2[HomeWon_], Table2[GameIsOver],1,Table2[AwayTeam],$A61, Table2[HomeTeam], D$36, Table2[ActualResult], "REG") + SUMIFS(Table2[AwayWon], Table2[GameIsOver],1,Table2[HomeTeam],$A61, Table2[AwayTeam], D$36, Table2[ActualResult], "REG") + SUMIFS(Table2[HomeWon_], Table2[GameIsOver],1,Table2[AwayTeam],$A61, Table2[HomeTeam], D$36, Table2[ActualResult], "OT") + SUMIFS(Table2[AwayWon], Table2[GameIsOver],1,Table2[HomeTeam],$A61, Table2[AwayTeam], D$36, Table2[ActualResult], "OT") + SUMIFS(Table2[HomeWon_], Table2[GameIsOver],1,Table2[AwayTeam],$A61, Table2[HomeTeam], D$36, Table2[ActualResult], "SO") + SUMIFS(Table2[AwayWon], Table2[GameIsOver],1,Table2[HomeTeam],$A61, Table2[AwayTeam], D$36, Table2[ActualResult], "SO"))), "")</f>
        <v/>
      </c>
      <c r="E61" t="str">
        <f>IFERROR(((2*SUMIFS(Table2[AwayWon], Table2[GameIsOver],1,Table2[AwayTeam],$A61, Table2[HomeTeam], E$36) + SUMIFS(Table2[HomeWon_], Table2[GameIsOver],1,Table2[HomeTeam],$A61, Table2[AwayTeam], E$36)) + SUMIFS(Table2[AwayWon], Table2[GameIsOver],1,Table2[HomeTeam],$A61, Table2[AwayTeam], E$36, Table2[ActualResult], "REG") + SUMIFS(Table2[HomeWon_], Table2[GameIsOver],1,Table2[AwayTeam],$A61, Table2[HomeTeam], E$36, Table2[ActualResult], "OT") + SUMIFS(Table2[AwayWon], Table2[GameIsOver],1,Table2[HomeTeam],$A61, Table2[AwayTeam], E$36, Table2[ActualResult], "OT") + SUMIFS(Table2[HomeWon_], Table2[GameIsOver],1,Table2[AwayTeam],$A61, Table2[HomeTeam], E$36, Table2[ActualResult], "SO") + SUMIFS(Table2[AwayWon], Table2[GameIsOver],1,Table2[HomeTeam],$A61, Table2[AwayTeam], E$36, Table2[ActualResult], "SO")) / (2*(SUMIFS(Table2[AwayWon], Table2[GameIsOver],1,Table2[AwayTeam],$A61, Table2[HomeTeam], E$36) + SUMIFS(Table2[HomeWon_], Table2[GameIsOver],1,Table2[HomeTeam],$A61, Table2[AwayTeam], E$36) + SUMIFS(Table2[HomeWon_], Table2[GameIsOver],1,Table2[AwayTeam],$A61, Table2[HomeTeam], E$36, Table2[ActualResult], "REG") + SUMIFS(Table2[AwayWon], Table2[GameIsOver],1,Table2[HomeTeam],$A61, Table2[AwayTeam], E$36, Table2[ActualResult], "REG") + SUMIFS(Table2[HomeWon_], Table2[GameIsOver],1,Table2[AwayTeam],$A61, Table2[HomeTeam], E$36, Table2[ActualResult], "OT") + SUMIFS(Table2[AwayWon], Table2[GameIsOver],1,Table2[HomeTeam],$A61, Table2[AwayTeam], E$36, Table2[ActualResult], "OT") + SUMIFS(Table2[HomeWon_], Table2[GameIsOver],1,Table2[AwayTeam],$A61, Table2[HomeTeam], E$36, Table2[ActualResult], "SO") + SUMIFS(Table2[AwayWon], Table2[GameIsOver],1,Table2[HomeTeam],$A61, Table2[AwayTeam], E$36, Table2[ActualResult], "SO"))), "")</f>
        <v/>
      </c>
      <c r="F61" t="str">
        <f>IFERROR(((2*SUMIFS(Table2[AwayWon], Table2[GameIsOver],1,Table2[AwayTeam],$A61, Table2[HomeTeam], F$36) + SUMIFS(Table2[HomeWon_], Table2[GameIsOver],1,Table2[HomeTeam],$A61, Table2[AwayTeam], F$36)) + SUMIFS(Table2[AwayWon], Table2[GameIsOver],1,Table2[HomeTeam],$A61, Table2[AwayTeam], F$36, Table2[ActualResult], "REG") + SUMIFS(Table2[HomeWon_], Table2[GameIsOver],1,Table2[AwayTeam],$A61, Table2[HomeTeam], F$36, Table2[ActualResult], "OT") + SUMIFS(Table2[AwayWon], Table2[GameIsOver],1,Table2[HomeTeam],$A61, Table2[AwayTeam], F$36, Table2[ActualResult], "OT") + SUMIFS(Table2[HomeWon_], Table2[GameIsOver],1,Table2[AwayTeam],$A61, Table2[HomeTeam], F$36, Table2[ActualResult], "SO") + SUMIFS(Table2[AwayWon], Table2[GameIsOver],1,Table2[HomeTeam],$A61, Table2[AwayTeam], F$36, Table2[ActualResult], "SO")) / (2*(SUMIFS(Table2[AwayWon], Table2[GameIsOver],1,Table2[AwayTeam],$A61, Table2[HomeTeam], F$36) + SUMIFS(Table2[HomeWon_], Table2[GameIsOver],1,Table2[HomeTeam],$A61, Table2[AwayTeam], F$36) + SUMIFS(Table2[HomeWon_], Table2[GameIsOver],1,Table2[AwayTeam],$A61, Table2[HomeTeam], F$36, Table2[ActualResult], "REG") + SUMIFS(Table2[AwayWon], Table2[GameIsOver],1,Table2[HomeTeam],$A61, Table2[AwayTeam], F$36, Table2[ActualResult], "REG") + SUMIFS(Table2[HomeWon_], Table2[GameIsOver],1,Table2[AwayTeam],$A61, Table2[HomeTeam], F$36, Table2[ActualResult], "OT") + SUMIFS(Table2[AwayWon], Table2[GameIsOver],1,Table2[HomeTeam],$A61, Table2[AwayTeam], F$36, Table2[ActualResult], "OT") + SUMIFS(Table2[HomeWon_], Table2[GameIsOver],1,Table2[AwayTeam],$A61, Table2[HomeTeam], F$36, Table2[ActualResult], "SO") + SUMIFS(Table2[AwayWon], Table2[GameIsOver],1,Table2[HomeTeam],$A61, Table2[AwayTeam], F$36, Table2[ActualResult], "SO"))), "")</f>
        <v/>
      </c>
      <c r="G61" t="str">
        <f>IFERROR(((2*SUMIFS(Table2[AwayWon], Table2[GameIsOver],1,Table2[AwayTeam],$A61, Table2[HomeTeam], G$36) + SUMIFS(Table2[HomeWon_], Table2[GameIsOver],1,Table2[HomeTeam],$A61, Table2[AwayTeam], G$36)) + SUMIFS(Table2[AwayWon], Table2[GameIsOver],1,Table2[HomeTeam],$A61, Table2[AwayTeam], G$36, Table2[ActualResult], "REG") + SUMIFS(Table2[HomeWon_], Table2[GameIsOver],1,Table2[AwayTeam],$A61, Table2[HomeTeam], G$36, Table2[ActualResult], "OT") + SUMIFS(Table2[AwayWon], Table2[GameIsOver],1,Table2[HomeTeam],$A61, Table2[AwayTeam], G$36, Table2[ActualResult], "OT") + SUMIFS(Table2[HomeWon_], Table2[GameIsOver],1,Table2[AwayTeam],$A61, Table2[HomeTeam], G$36, Table2[ActualResult], "SO") + SUMIFS(Table2[AwayWon], Table2[GameIsOver],1,Table2[HomeTeam],$A61, Table2[AwayTeam], G$36, Table2[ActualResult], "SO")) / (2*(SUMIFS(Table2[AwayWon], Table2[GameIsOver],1,Table2[AwayTeam],$A61, Table2[HomeTeam], G$36) + SUMIFS(Table2[HomeWon_], Table2[GameIsOver],1,Table2[HomeTeam],$A61, Table2[AwayTeam], G$36) + SUMIFS(Table2[HomeWon_], Table2[GameIsOver],1,Table2[AwayTeam],$A61, Table2[HomeTeam], G$36, Table2[ActualResult], "REG") + SUMIFS(Table2[AwayWon], Table2[GameIsOver],1,Table2[HomeTeam],$A61, Table2[AwayTeam], G$36, Table2[ActualResult], "REG") + SUMIFS(Table2[HomeWon_], Table2[GameIsOver],1,Table2[AwayTeam],$A61, Table2[HomeTeam], G$36, Table2[ActualResult], "OT") + SUMIFS(Table2[AwayWon], Table2[GameIsOver],1,Table2[HomeTeam],$A61, Table2[AwayTeam], G$36, Table2[ActualResult], "OT") + SUMIFS(Table2[HomeWon_], Table2[GameIsOver],1,Table2[AwayTeam],$A61, Table2[HomeTeam], G$36, Table2[ActualResult], "SO") + SUMIFS(Table2[AwayWon], Table2[GameIsOver],1,Table2[HomeTeam],$A61, Table2[AwayTeam], G$36, Table2[ActualResult], "SO"))), "")</f>
        <v/>
      </c>
      <c r="H61" t="str">
        <f>IFERROR(((2*SUMIFS(Table2[AwayWon], Table2[GameIsOver],1,Table2[AwayTeam],$A61, Table2[HomeTeam], H$36) + SUMIFS(Table2[HomeWon_], Table2[GameIsOver],1,Table2[HomeTeam],$A61, Table2[AwayTeam], H$36)) + SUMIFS(Table2[AwayWon], Table2[GameIsOver],1,Table2[HomeTeam],$A61, Table2[AwayTeam], H$36, Table2[ActualResult], "REG") + SUMIFS(Table2[HomeWon_], Table2[GameIsOver],1,Table2[AwayTeam],$A61, Table2[HomeTeam], H$36, Table2[ActualResult], "OT") + SUMIFS(Table2[AwayWon], Table2[GameIsOver],1,Table2[HomeTeam],$A61, Table2[AwayTeam], H$36, Table2[ActualResult], "OT") + SUMIFS(Table2[HomeWon_], Table2[GameIsOver],1,Table2[AwayTeam],$A61, Table2[HomeTeam], H$36, Table2[ActualResult], "SO") + SUMIFS(Table2[AwayWon], Table2[GameIsOver],1,Table2[HomeTeam],$A61, Table2[AwayTeam], H$36, Table2[ActualResult], "SO")) / (2*(SUMIFS(Table2[AwayWon], Table2[GameIsOver],1,Table2[AwayTeam],$A61, Table2[HomeTeam], H$36) + SUMIFS(Table2[HomeWon_], Table2[GameIsOver],1,Table2[HomeTeam],$A61, Table2[AwayTeam], H$36) + SUMIFS(Table2[HomeWon_], Table2[GameIsOver],1,Table2[AwayTeam],$A61, Table2[HomeTeam], H$36, Table2[ActualResult], "REG") + SUMIFS(Table2[AwayWon], Table2[GameIsOver],1,Table2[HomeTeam],$A61, Table2[AwayTeam], H$36, Table2[ActualResult], "REG") + SUMIFS(Table2[HomeWon_], Table2[GameIsOver],1,Table2[AwayTeam],$A61, Table2[HomeTeam], H$36, Table2[ActualResult], "OT") + SUMIFS(Table2[AwayWon], Table2[GameIsOver],1,Table2[HomeTeam],$A61, Table2[AwayTeam], H$36, Table2[ActualResult], "OT") + SUMIFS(Table2[HomeWon_], Table2[GameIsOver],1,Table2[AwayTeam],$A61, Table2[HomeTeam], H$36, Table2[ActualResult], "SO") + SUMIFS(Table2[AwayWon], Table2[GameIsOver],1,Table2[HomeTeam],$A61, Table2[AwayTeam], H$36, Table2[ActualResult], "SO"))), "")</f>
        <v/>
      </c>
      <c r="I61" s="57">
        <f>IFERROR(((2*SUMIFS(Table2[AwayWon], Table2[GameIsOver],1,Table2[AwayTeam],$A61, Table2[HomeTeam], I$36) + SUMIFS(Table2[HomeWon_], Table2[GameIsOver],1,Table2[HomeTeam],$A61, Table2[AwayTeam], I$36)) + SUMIFS(Table2[AwayWon], Table2[GameIsOver],1,Table2[HomeTeam],$A61, Table2[AwayTeam], I$36, Table2[ActualResult], "REG") + SUMIFS(Table2[HomeWon_], Table2[GameIsOver],1,Table2[AwayTeam],$A61, Table2[HomeTeam], I$36, Table2[ActualResult], "OT") + SUMIFS(Table2[AwayWon], Table2[GameIsOver],1,Table2[HomeTeam],$A61, Table2[AwayTeam], I$36, Table2[ActualResult], "OT") + SUMIFS(Table2[HomeWon_], Table2[GameIsOver],1,Table2[AwayTeam],$A61, Table2[HomeTeam], I$36, Table2[ActualResult], "SO") + SUMIFS(Table2[AwayWon], Table2[GameIsOver],1,Table2[HomeTeam],$A61, Table2[AwayTeam], I$36, Table2[ActualResult], "SO")) / (2*(SUMIFS(Table2[AwayWon], Table2[GameIsOver],1,Table2[AwayTeam],$A61, Table2[HomeTeam], I$36) + SUMIFS(Table2[HomeWon_], Table2[GameIsOver],1,Table2[HomeTeam],$A61, Table2[AwayTeam], I$36) + SUMIFS(Table2[HomeWon_], Table2[GameIsOver],1,Table2[AwayTeam],$A61, Table2[HomeTeam], I$36, Table2[ActualResult], "REG") + SUMIFS(Table2[AwayWon], Table2[GameIsOver],1,Table2[HomeTeam],$A61, Table2[AwayTeam], I$36, Table2[ActualResult], "REG") + SUMIFS(Table2[HomeWon_], Table2[GameIsOver],1,Table2[AwayTeam],$A61, Table2[HomeTeam], I$36, Table2[ActualResult], "OT") + SUMIFS(Table2[AwayWon], Table2[GameIsOver],1,Table2[HomeTeam],$A61, Table2[AwayTeam], I$36, Table2[ActualResult], "OT") + SUMIFS(Table2[HomeWon_], Table2[GameIsOver],1,Table2[AwayTeam],$A61, Table2[HomeTeam], I$36, Table2[ActualResult], "SO") + SUMIFS(Table2[AwayWon], Table2[GameIsOver],1,Table2[HomeTeam],$A61, Table2[AwayTeam], I$36, Table2[ActualResult], "SO"))), "")</f>
        <v>0</v>
      </c>
      <c r="J61">
        <f>IFERROR(((2*SUMIFS(Table2[AwayWon], Table2[GameIsOver],1,Table2[AwayTeam],$A61, Table2[HomeTeam], J$36) + SUMIFS(Table2[HomeWon_], Table2[GameIsOver],1,Table2[HomeTeam],$A61, Table2[AwayTeam], J$36)) + SUMIFS(Table2[AwayWon], Table2[GameIsOver],1,Table2[HomeTeam],$A61, Table2[AwayTeam], J$36, Table2[ActualResult], "REG") + SUMIFS(Table2[HomeWon_], Table2[GameIsOver],1,Table2[AwayTeam],$A61, Table2[HomeTeam], J$36, Table2[ActualResult], "OT") + SUMIFS(Table2[AwayWon], Table2[GameIsOver],1,Table2[HomeTeam],$A61, Table2[AwayTeam], J$36, Table2[ActualResult], "OT") + SUMIFS(Table2[HomeWon_], Table2[GameIsOver],1,Table2[AwayTeam],$A61, Table2[HomeTeam], J$36, Table2[ActualResult], "SO") + SUMIFS(Table2[AwayWon], Table2[GameIsOver],1,Table2[HomeTeam],$A61, Table2[AwayTeam], J$36, Table2[ActualResult], "SO")) / (2*(SUMIFS(Table2[AwayWon], Table2[GameIsOver],1,Table2[AwayTeam],$A61, Table2[HomeTeam], J$36) + SUMIFS(Table2[HomeWon_], Table2[GameIsOver],1,Table2[HomeTeam],$A61, Table2[AwayTeam], J$36) + SUMIFS(Table2[HomeWon_], Table2[GameIsOver],1,Table2[AwayTeam],$A61, Table2[HomeTeam], J$36, Table2[ActualResult], "REG") + SUMIFS(Table2[AwayWon], Table2[GameIsOver],1,Table2[HomeTeam],$A61, Table2[AwayTeam], J$36, Table2[ActualResult], "REG") + SUMIFS(Table2[HomeWon_], Table2[GameIsOver],1,Table2[AwayTeam],$A61, Table2[HomeTeam], J$36, Table2[ActualResult], "OT") + SUMIFS(Table2[AwayWon], Table2[GameIsOver],1,Table2[HomeTeam],$A61, Table2[AwayTeam], J$36, Table2[ActualResult], "OT") + SUMIFS(Table2[HomeWon_], Table2[GameIsOver],1,Table2[AwayTeam],$A61, Table2[HomeTeam], J$36, Table2[ActualResult], "SO") + SUMIFS(Table2[AwayWon], Table2[GameIsOver],1,Table2[HomeTeam],$A61, Table2[AwayTeam], J$36, Table2[ActualResult], "SO"))), "")</f>
        <v>0.5</v>
      </c>
      <c r="K61">
        <f>IFERROR(((2*SUMIFS(Table2[AwayWon], Table2[GameIsOver],1,Table2[AwayTeam],$A61, Table2[HomeTeam], K$36) + SUMIFS(Table2[HomeWon_], Table2[GameIsOver],1,Table2[HomeTeam],$A61, Table2[AwayTeam], K$36)) + SUMIFS(Table2[AwayWon], Table2[GameIsOver],1,Table2[HomeTeam],$A61, Table2[AwayTeam], K$36, Table2[ActualResult], "REG") + SUMIFS(Table2[HomeWon_], Table2[GameIsOver],1,Table2[AwayTeam],$A61, Table2[HomeTeam], K$36, Table2[ActualResult], "OT") + SUMIFS(Table2[AwayWon], Table2[GameIsOver],1,Table2[HomeTeam],$A61, Table2[AwayTeam], K$36, Table2[ActualResult], "OT") + SUMIFS(Table2[HomeWon_], Table2[GameIsOver],1,Table2[AwayTeam],$A61, Table2[HomeTeam], K$36, Table2[ActualResult], "SO") + SUMIFS(Table2[AwayWon], Table2[GameIsOver],1,Table2[HomeTeam],$A61, Table2[AwayTeam], K$36, Table2[ActualResult], "SO")) / (2*(SUMIFS(Table2[AwayWon], Table2[GameIsOver],1,Table2[AwayTeam],$A61, Table2[HomeTeam], K$36) + SUMIFS(Table2[HomeWon_], Table2[GameIsOver],1,Table2[HomeTeam],$A61, Table2[AwayTeam], K$36) + SUMIFS(Table2[HomeWon_], Table2[GameIsOver],1,Table2[AwayTeam],$A61, Table2[HomeTeam], K$36, Table2[ActualResult], "REG") + SUMIFS(Table2[AwayWon], Table2[GameIsOver],1,Table2[HomeTeam],$A61, Table2[AwayTeam], K$36, Table2[ActualResult], "REG") + SUMIFS(Table2[HomeWon_], Table2[GameIsOver],1,Table2[AwayTeam],$A61, Table2[HomeTeam], K$36, Table2[ActualResult], "OT") + SUMIFS(Table2[AwayWon], Table2[GameIsOver],1,Table2[HomeTeam],$A61, Table2[AwayTeam], K$36, Table2[ActualResult], "OT") + SUMIFS(Table2[HomeWon_], Table2[GameIsOver],1,Table2[AwayTeam],$A61, Table2[HomeTeam], K$36, Table2[ActualResult], "SO") + SUMIFS(Table2[AwayWon], Table2[GameIsOver],1,Table2[HomeTeam],$A61, Table2[AwayTeam], K$36, Table2[ActualResult], "SO"))), "")</f>
        <v>0</v>
      </c>
      <c r="L61" t="str">
        <f>IFERROR(((2*SUMIFS(Table2[AwayWon], Table2[GameIsOver],1,Table2[AwayTeam],$A61, Table2[HomeTeam], L$36) + SUMIFS(Table2[HomeWon_], Table2[GameIsOver],1,Table2[HomeTeam],$A61, Table2[AwayTeam], L$36)) + SUMIFS(Table2[AwayWon], Table2[GameIsOver],1,Table2[HomeTeam],$A61, Table2[AwayTeam], L$36, Table2[ActualResult], "REG") + SUMIFS(Table2[HomeWon_], Table2[GameIsOver],1,Table2[AwayTeam],$A61, Table2[HomeTeam], L$36, Table2[ActualResult], "OT") + SUMIFS(Table2[AwayWon], Table2[GameIsOver],1,Table2[HomeTeam],$A61, Table2[AwayTeam], L$36, Table2[ActualResult], "OT") + SUMIFS(Table2[HomeWon_], Table2[GameIsOver],1,Table2[AwayTeam],$A61, Table2[HomeTeam], L$36, Table2[ActualResult], "SO") + SUMIFS(Table2[AwayWon], Table2[GameIsOver],1,Table2[HomeTeam],$A61, Table2[AwayTeam], L$36, Table2[ActualResult], "SO")) / (2*(SUMIFS(Table2[AwayWon], Table2[GameIsOver],1,Table2[AwayTeam],$A61, Table2[HomeTeam], L$36) + SUMIFS(Table2[HomeWon_], Table2[GameIsOver],1,Table2[HomeTeam],$A61, Table2[AwayTeam], L$36) + SUMIFS(Table2[HomeWon_], Table2[GameIsOver],1,Table2[AwayTeam],$A61, Table2[HomeTeam], L$36, Table2[ActualResult], "REG") + SUMIFS(Table2[AwayWon], Table2[GameIsOver],1,Table2[HomeTeam],$A61, Table2[AwayTeam], L$36, Table2[ActualResult], "REG") + SUMIFS(Table2[HomeWon_], Table2[GameIsOver],1,Table2[AwayTeam],$A61, Table2[HomeTeam], L$36, Table2[ActualResult], "OT") + SUMIFS(Table2[AwayWon], Table2[GameIsOver],1,Table2[HomeTeam],$A61, Table2[AwayTeam], L$36, Table2[ActualResult], "OT") + SUMIFS(Table2[HomeWon_], Table2[GameIsOver],1,Table2[AwayTeam],$A61, Table2[HomeTeam], L$36, Table2[ActualResult], "SO") + SUMIFS(Table2[AwayWon], Table2[GameIsOver],1,Table2[HomeTeam],$A61, Table2[AwayTeam], L$36, Table2[ActualResult], "SO"))), "")</f>
        <v/>
      </c>
      <c r="M61" t="str">
        <f>IFERROR(((2*SUMIFS(Table2[AwayWon], Table2[GameIsOver],1,Table2[AwayTeam],$A61, Table2[HomeTeam], M$36) + SUMIFS(Table2[HomeWon_], Table2[GameIsOver],1,Table2[HomeTeam],$A61, Table2[AwayTeam], M$36)) + SUMIFS(Table2[AwayWon], Table2[GameIsOver],1,Table2[HomeTeam],$A61, Table2[AwayTeam], M$36, Table2[ActualResult], "REG") + SUMIFS(Table2[HomeWon_], Table2[GameIsOver],1,Table2[AwayTeam],$A61, Table2[HomeTeam], M$36, Table2[ActualResult], "OT") + SUMIFS(Table2[AwayWon], Table2[GameIsOver],1,Table2[HomeTeam],$A61, Table2[AwayTeam], M$36, Table2[ActualResult], "OT") + SUMIFS(Table2[HomeWon_], Table2[GameIsOver],1,Table2[AwayTeam],$A61, Table2[HomeTeam], M$36, Table2[ActualResult], "SO") + SUMIFS(Table2[AwayWon], Table2[GameIsOver],1,Table2[HomeTeam],$A61, Table2[AwayTeam], M$36, Table2[ActualResult], "SO")) / (2*(SUMIFS(Table2[AwayWon], Table2[GameIsOver],1,Table2[AwayTeam],$A61, Table2[HomeTeam], M$36) + SUMIFS(Table2[HomeWon_], Table2[GameIsOver],1,Table2[HomeTeam],$A61, Table2[AwayTeam], M$36) + SUMIFS(Table2[HomeWon_], Table2[GameIsOver],1,Table2[AwayTeam],$A61, Table2[HomeTeam], M$36, Table2[ActualResult], "REG") + SUMIFS(Table2[AwayWon], Table2[GameIsOver],1,Table2[HomeTeam],$A61, Table2[AwayTeam], M$36, Table2[ActualResult], "REG") + SUMIFS(Table2[HomeWon_], Table2[GameIsOver],1,Table2[AwayTeam],$A61, Table2[HomeTeam], M$36, Table2[ActualResult], "OT") + SUMIFS(Table2[AwayWon], Table2[GameIsOver],1,Table2[HomeTeam],$A61, Table2[AwayTeam], M$36, Table2[ActualResult], "OT") + SUMIFS(Table2[HomeWon_], Table2[GameIsOver],1,Table2[AwayTeam],$A61, Table2[HomeTeam], M$36, Table2[ActualResult], "SO") + SUMIFS(Table2[AwayWon], Table2[GameIsOver],1,Table2[HomeTeam],$A61, Table2[AwayTeam], M$36, Table2[ActualResult], "SO"))), "")</f>
        <v/>
      </c>
      <c r="N61" t="str">
        <f>IFERROR(((2*SUMIFS(Table2[AwayWon], Table2[GameIsOver],1,Table2[AwayTeam],$A61, Table2[HomeTeam], N$36) + SUMIFS(Table2[HomeWon_], Table2[GameIsOver],1,Table2[HomeTeam],$A61, Table2[AwayTeam], N$36)) + SUMIFS(Table2[AwayWon], Table2[GameIsOver],1,Table2[HomeTeam],$A61, Table2[AwayTeam], N$36, Table2[ActualResult], "REG") + SUMIFS(Table2[HomeWon_], Table2[GameIsOver],1,Table2[AwayTeam],$A61, Table2[HomeTeam], N$36, Table2[ActualResult], "OT") + SUMIFS(Table2[AwayWon], Table2[GameIsOver],1,Table2[HomeTeam],$A61, Table2[AwayTeam], N$36, Table2[ActualResult], "OT") + SUMIFS(Table2[HomeWon_], Table2[GameIsOver],1,Table2[AwayTeam],$A61, Table2[HomeTeam], N$36, Table2[ActualResult], "SO") + SUMIFS(Table2[AwayWon], Table2[GameIsOver],1,Table2[HomeTeam],$A61, Table2[AwayTeam], N$36, Table2[ActualResult], "SO")) / (2*(SUMIFS(Table2[AwayWon], Table2[GameIsOver],1,Table2[AwayTeam],$A61, Table2[HomeTeam], N$36) + SUMIFS(Table2[HomeWon_], Table2[GameIsOver],1,Table2[HomeTeam],$A61, Table2[AwayTeam], N$36) + SUMIFS(Table2[HomeWon_], Table2[GameIsOver],1,Table2[AwayTeam],$A61, Table2[HomeTeam], N$36, Table2[ActualResult], "REG") + SUMIFS(Table2[AwayWon], Table2[GameIsOver],1,Table2[HomeTeam],$A61, Table2[AwayTeam], N$36, Table2[ActualResult], "REG") + SUMIFS(Table2[HomeWon_], Table2[GameIsOver],1,Table2[AwayTeam],$A61, Table2[HomeTeam], N$36, Table2[ActualResult], "OT") + SUMIFS(Table2[AwayWon], Table2[GameIsOver],1,Table2[HomeTeam],$A61, Table2[AwayTeam], N$36, Table2[ActualResult], "OT") + SUMIFS(Table2[HomeWon_], Table2[GameIsOver],1,Table2[AwayTeam],$A61, Table2[HomeTeam], N$36, Table2[ActualResult], "SO") + SUMIFS(Table2[AwayWon], Table2[GameIsOver],1,Table2[HomeTeam],$A61, Table2[AwayTeam], N$36, Table2[ActualResult], "SO"))), "")</f>
        <v/>
      </c>
      <c r="O61" t="str">
        <f>IFERROR(((2*SUMIFS(Table2[AwayWon], Table2[GameIsOver],1,Table2[AwayTeam],$A61, Table2[HomeTeam], O$36) + SUMIFS(Table2[HomeWon_], Table2[GameIsOver],1,Table2[HomeTeam],$A61, Table2[AwayTeam], O$36)) + SUMIFS(Table2[AwayWon], Table2[GameIsOver],1,Table2[HomeTeam],$A61, Table2[AwayTeam], O$36, Table2[ActualResult], "REG") + SUMIFS(Table2[HomeWon_], Table2[GameIsOver],1,Table2[AwayTeam],$A61, Table2[HomeTeam], O$36, Table2[ActualResult], "OT") + SUMIFS(Table2[AwayWon], Table2[GameIsOver],1,Table2[HomeTeam],$A61, Table2[AwayTeam], O$36, Table2[ActualResult], "OT") + SUMIFS(Table2[HomeWon_], Table2[GameIsOver],1,Table2[AwayTeam],$A61, Table2[HomeTeam], O$36, Table2[ActualResult], "SO") + SUMIFS(Table2[AwayWon], Table2[GameIsOver],1,Table2[HomeTeam],$A61, Table2[AwayTeam], O$36, Table2[ActualResult], "SO")) / (2*(SUMIFS(Table2[AwayWon], Table2[GameIsOver],1,Table2[AwayTeam],$A61, Table2[HomeTeam], O$36) + SUMIFS(Table2[HomeWon_], Table2[GameIsOver],1,Table2[HomeTeam],$A61, Table2[AwayTeam], O$36) + SUMIFS(Table2[HomeWon_], Table2[GameIsOver],1,Table2[AwayTeam],$A61, Table2[HomeTeam], O$36, Table2[ActualResult], "REG") + SUMIFS(Table2[AwayWon], Table2[GameIsOver],1,Table2[HomeTeam],$A61, Table2[AwayTeam], O$36, Table2[ActualResult], "REG") + SUMIFS(Table2[HomeWon_], Table2[GameIsOver],1,Table2[AwayTeam],$A61, Table2[HomeTeam], O$36, Table2[ActualResult], "OT") + SUMIFS(Table2[AwayWon], Table2[GameIsOver],1,Table2[HomeTeam],$A61, Table2[AwayTeam], O$36, Table2[ActualResult], "OT") + SUMIFS(Table2[HomeWon_], Table2[GameIsOver],1,Table2[AwayTeam],$A61, Table2[HomeTeam], O$36, Table2[ActualResult], "SO") + SUMIFS(Table2[AwayWon], Table2[GameIsOver],1,Table2[HomeTeam],$A61, Table2[AwayTeam], O$36, Table2[ActualResult], "SO"))), "")</f>
        <v/>
      </c>
      <c r="P61">
        <f>IFERROR(((2*SUMIFS(Table2[AwayWon], Table2[GameIsOver],1,Table2[AwayTeam],$A61, Table2[HomeTeam], P$36) + SUMIFS(Table2[HomeWon_], Table2[GameIsOver],1,Table2[HomeTeam],$A61, Table2[AwayTeam], P$36)) + SUMIFS(Table2[AwayWon], Table2[GameIsOver],1,Table2[HomeTeam],$A61, Table2[AwayTeam], P$36, Table2[ActualResult], "REG") + SUMIFS(Table2[HomeWon_], Table2[GameIsOver],1,Table2[AwayTeam],$A61, Table2[HomeTeam], P$36, Table2[ActualResult], "OT") + SUMIFS(Table2[AwayWon], Table2[GameIsOver],1,Table2[HomeTeam],$A61, Table2[AwayTeam], P$36, Table2[ActualResult], "OT") + SUMIFS(Table2[HomeWon_], Table2[GameIsOver],1,Table2[AwayTeam],$A61, Table2[HomeTeam], P$36, Table2[ActualResult], "SO") + SUMIFS(Table2[AwayWon], Table2[GameIsOver],1,Table2[HomeTeam],$A61, Table2[AwayTeam], P$36, Table2[ActualResult], "SO")) / (2*(SUMIFS(Table2[AwayWon], Table2[GameIsOver],1,Table2[AwayTeam],$A61, Table2[HomeTeam], P$36) + SUMIFS(Table2[HomeWon_], Table2[GameIsOver],1,Table2[HomeTeam],$A61, Table2[AwayTeam], P$36) + SUMIFS(Table2[HomeWon_], Table2[GameIsOver],1,Table2[AwayTeam],$A61, Table2[HomeTeam], P$36, Table2[ActualResult], "REG") + SUMIFS(Table2[AwayWon], Table2[GameIsOver],1,Table2[HomeTeam],$A61, Table2[AwayTeam], P$36, Table2[ActualResult], "REG") + SUMIFS(Table2[HomeWon_], Table2[GameIsOver],1,Table2[AwayTeam],$A61, Table2[HomeTeam], P$36, Table2[ActualResult], "OT") + SUMIFS(Table2[AwayWon], Table2[GameIsOver],1,Table2[HomeTeam],$A61, Table2[AwayTeam], P$36, Table2[ActualResult], "OT") + SUMIFS(Table2[HomeWon_], Table2[GameIsOver],1,Table2[AwayTeam],$A61, Table2[HomeTeam], P$36, Table2[ActualResult], "SO") + SUMIFS(Table2[AwayWon], Table2[GameIsOver],1,Table2[HomeTeam],$A61, Table2[AwayTeam], P$36, Table2[ActualResult], "SO"))), "")</f>
        <v>0</v>
      </c>
      <c r="Q61" s="57" t="str">
        <f>IFERROR(((2*SUMIFS(Table2[AwayWon], Table2[GameIsOver],1,Table2[AwayTeam],$A61, Table2[HomeTeam], Q$36) + SUMIFS(Table2[HomeWon_], Table2[GameIsOver],1,Table2[HomeTeam],$A61, Table2[AwayTeam], Q$36)) + SUMIFS(Table2[AwayWon], Table2[GameIsOver],1,Table2[HomeTeam],$A61, Table2[AwayTeam], Q$36, Table2[ActualResult], "REG") + SUMIFS(Table2[HomeWon_], Table2[GameIsOver],1,Table2[AwayTeam],$A61, Table2[HomeTeam], Q$36, Table2[ActualResult], "OT") + SUMIFS(Table2[AwayWon], Table2[GameIsOver],1,Table2[HomeTeam],$A61, Table2[AwayTeam], Q$36, Table2[ActualResult], "OT") + SUMIFS(Table2[HomeWon_], Table2[GameIsOver],1,Table2[AwayTeam],$A61, Table2[HomeTeam], Q$36, Table2[ActualResult], "SO") + SUMIFS(Table2[AwayWon], Table2[GameIsOver],1,Table2[HomeTeam],$A61, Table2[AwayTeam], Q$36, Table2[ActualResult], "SO")) / (2*(SUMIFS(Table2[AwayWon], Table2[GameIsOver],1,Table2[AwayTeam],$A61, Table2[HomeTeam], Q$36) + SUMIFS(Table2[HomeWon_], Table2[GameIsOver],1,Table2[HomeTeam],$A61, Table2[AwayTeam], Q$36) + SUMIFS(Table2[HomeWon_], Table2[GameIsOver],1,Table2[AwayTeam],$A61, Table2[HomeTeam], Q$36, Table2[ActualResult], "REG") + SUMIFS(Table2[AwayWon], Table2[GameIsOver],1,Table2[HomeTeam],$A61, Table2[AwayTeam], Q$36, Table2[ActualResult], "REG") + SUMIFS(Table2[HomeWon_], Table2[GameIsOver],1,Table2[AwayTeam],$A61, Table2[HomeTeam], Q$36, Table2[ActualResult], "OT") + SUMIFS(Table2[AwayWon], Table2[GameIsOver],1,Table2[HomeTeam],$A61, Table2[AwayTeam], Q$36, Table2[ActualResult], "OT") + SUMIFS(Table2[HomeWon_], Table2[GameIsOver],1,Table2[AwayTeam],$A61, Table2[HomeTeam], Q$36, Table2[ActualResult], "SO") + SUMIFS(Table2[AwayWon], Table2[GameIsOver],1,Table2[HomeTeam],$A61, Table2[AwayTeam], Q$36, Table2[ActualResult], "SO"))), "")</f>
        <v/>
      </c>
      <c r="R61" t="str">
        <f>IFERROR(((2*SUMIFS(Table2[AwayWon], Table2[GameIsOver],1,Table2[AwayTeam],$A61, Table2[HomeTeam], R$36) + SUMIFS(Table2[HomeWon_], Table2[GameIsOver],1,Table2[HomeTeam],$A61, Table2[AwayTeam], R$36)) + SUMIFS(Table2[AwayWon], Table2[GameIsOver],1,Table2[HomeTeam],$A61, Table2[AwayTeam], R$36, Table2[ActualResult], "REG") + SUMIFS(Table2[HomeWon_], Table2[GameIsOver],1,Table2[AwayTeam],$A61, Table2[HomeTeam], R$36, Table2[ActualResult], "OT") + SUMIFS(Table2[AwayWon], Table2[GameIsOver],1,Table2[HomeTeam],$A61, Table2[AwayTeam], R$36, Table2[ActualResult], "OT") + SUMIFS(Table2[HomeWon_], Table2[GameIsOver],1,Table2[AwayTeam],$A61, Table2[HomeTeam], R$36, Table2[ActualResult], "SO") + SUMIFS(Table2[AwayWon], Table2[GameIsOver],1,Table2[HomeTeam],$A61, Table2[AwayTeam], R$36, Table2[ActualResult], "SO")) / (2*(SUMIFS(Table2[AwayWon], Table2[GameIsOver],1,Table2[AwayTeam],$A61, Table2[HomeTeam], R$36) + SUMIFS(Table2[HomeWon_], Table2[GameIsOver],1,Table2[HomeTeam],$A61, Table2[AwayTeam], R$36) + SUMIFS(Table2[HomeWon_], Table2[GameIsOver],1,Table2[AwayTeam],$A61, Table2[HomeTeam], R$36, Table2[ActualResult], "REG") + SUMIFS(Table2[AwayWon], Table2[GameIsOver],1,Table2[HomeTeam],$A61, Table2[AwayTeam], R$36, Table2[ActualResult], "REG") + SUMIFS(Table2[HomeWon_], Table2[GameIsOver],1,Table2[AwayTeam],$A61, Table2[HomeTeam], R$36, Table2[ActualResult], "OT") + SUMIFS(Table2[AwayWon], Table2[GameIsOver],1,Table2[HomeTeam],$A61, Table2[AwayTeam], R$36, Table2[ActualResult], "OT") + SUMIFS(Table2[HomeWon_], Table2[GameIsOver],1,Table2[AwayTeam],$A61, Table2[HomeTeam], R$36, Table2[ActualResult], "SO") + SUMIFS(Table2[AwayWon], Table2[GameIsOver],1,Table2[HomeTeam],$A61, Table2[AwayTeam], R$36, Table2[ActualResult], "SO"))), "")</f>
        <v/>
      </c>
      <c r="S61" t="str">
        <f>IFERROR(((2*SUMIFS(Table2[AwayWon], Table2[GameIsOver],1,Table2[AwayTeam],$A61, Table2[HomeTeam], S$36) + SUMIFS(Table2[HomeWon_], Table2[GameIsOver],1,Table2[HomeTeam],$A61, Table2[AwayTeam], S$36)) + SUMIFS(Table2[AwayWon], Table2[GameIsOver],1,Table2[HomeTeam],$A61, Table2[AwayTeam], S$36, Table2[ActualResult], "REG") + SUMIFS(Table2[HomeWon_], Table2[GameIsOver],1,Table2[AwayTeam],$A61, Table2[HomeTeam], S$36, Table2[ActualResult], "OT") + SUMIFS(Table2[AwayWon], Table2[GameIsOver],1,Table2[HomeTeam],$A61, Table2[AwayTeam], S$36, Table2[ActualResult], "OT") + SUMIFS(Table2[HomeWon_], Table2[GameIsOver],1,Table2[AwayTeam],$A61, Table2[HomeTeam], S$36, Table2[ActualResult], "SO") + SUMIFS(Table2[AwayWon], Table2[GameIsOver],1,Table2[HomeTeam],$A61, Table2[AwayTeam], S$36, Table2[ActualResult], "SO")) / (2*(SUMIFS(Table2[AwayWon], Table2[GameIsOver],1,Table2[AwayTeam],$A61, Table2[HomeTeam], S$36) + SUMIFS(Table2[HomeWon_], Table2[GameIsOver],1,Table2[HomeTeam],$A61, Table2[AwayTeam], S$36) + SUMIFS(Table2[HomeWon_], Table2[GameIsOver],1,Table2[AwayTeam],$A61, Table2[HomeTeam], S$36, Table2[ActualResult], "REG") + SUMIFS(Table2[AwayWon], Table2[GameIsOver],1,Table2[HomeTeam],$A61, Table2[AwayTeam], S$36, Table2[ActualResult], "REG") + SUMIFS(Table2[HomeWon_], Table2[GameIsOver],1,Table2[AwayTeam],$A61, Table2[HomeTeam], S$36, Table2[ActualResult], "OT") + SUMIFS(Table2[AwayWon], Table2[GameIsOver],1,Table2[HomeTeam],$A61, Table2[AwayTeam], S$36, Table2[ActualResult], "OT") + SUMIFS(Table2[HomeWon_], Table2[GameIsOver],1,Table2[AwayTeam],$A61, Table2[HomeTeam], S$36, Table2[ActualResult], "SO") + SUMIFS(Table2[AwayWon], Table2[GameIsOver],1,Table2[HomeTeam],$A61, Table2[AwayTeam], S$36, Table2[ActualResult], "SO"))), "")</f>
        <v/>
      </c>
      <c r="T61" t="str">
        <f>IFERROR(((2*SUMIFS(Table2[AwayWon], Table2[GameIsOver],1,Table2[AwayTeam],$A61, Table2[HomeTeam], T$36) + SUMIFS(Table2[HomeWon_], Table2[GameIsOver],1,Table2[HomeTeam],$A61, Table2[AwayTeam], T$36)) + SUMIFS(Table2[AwayWon], Table2[GameIsOver],1,Table2[HomeTeam],$A61, Table2[AwayTeam], T$36, Table2[ActualResult], "REG") + SUMIFS(Table2[HomeWon_], Table2[GameIsOver],1,Table2[AwayTeam],$A61, Table2[HomeTeam], T$36, Table2[ActualResult], "OT") + SUMIFS(Table2[AwayWon], Table2[GameIsOver],1,Table2[HomeTeam],$A61, Table2[AwayTeam], T$36, Table2[ActualResult], "OT") + SUMIFS(Table2[HomeWon_], Table2[GameIsOver],1,Table2[AwayTeam],$A61, Table2[HomeTeam], T$36, Table2[ActualResult], "SO") + SUMIFS(Table2[AwayWon], Table2[GameIsOver],1,Table2[HomeTeam],$A61, Table2[AwayTeam], T$36, Table2[ActualResult], "SO")) / (2*(SUMIFS(Table2[AwayWon], Table2[GameIsOver],1,Table2[AwayTeam],$A61, Table2[HomeTeam], T$36) + SUMIFS(Table2[HomeWon_], Table2[GameIsOver],1,Table2[HomeTeam],$A61, Table2[AwayTeam], T$36) + SUMIFS(Table2[HomeWon_], Table2[GameIsOver],1,Table2[AwayTeam],$A61, Table2[HomeTeam], T$36, Table2[ActualResult], "REG") + SUMIFS(Table2[AwayWon], Table2[GameIsOver],1,Table2[HomeTeam],$A61, Table2[AwayTeam], T$36, Table2[ActualResult], "REG") + SUMIFS(Table2[HomeWon_], Table2[GameIsOver],1,Table2[AwayTeam],$A61, Table2[HomeTeam], T$36, Table2[ActualResult], "OT") + SUMIFS(Table2[AwayWon], Table2[GameIsOver],1,Table2[HomeTeam],$A61, Table2[AwayTeam], T$36, Table2[ActualResult], "OT") + SUMIFS(Table2[HomeWon_], Table2[GameIsOver],1,Table2[AwayTeam],$A61, Table2[HomeTeam], T$36, Table2[ActualResult], "SO") + SUMIFS(Table2[AwayWon], Table2[GameIsOver],1,Table2[HomeTeam],$A61, Table2[AwayTeam], T$36, Table2[ActualResult], "SO"))), "")</f>
        <v/>
      </c>
      <c r="U61" t="str">
        <f>IFERROR(((2*SUMIFS(Table2[AwayWon], Table2[GameIsOver],1,Table2[AwayTeam],$A61, Table2[HomeTeam], U$36) + SUMIFS(Table2[HomeWon_], Table2[GameIsOver],1,Table2[HomeTeam],$A61, Table2[AwayTeam], U$36)) + SUMIFS(Table2[AwayWon], Table2[GameIsOver],1,Table2[HomeTeam],$A61, Table2[AwayTeam], U$36, Table2[ActualResult], "REG") + SUMIFS(Table2[HomeWon_], Table2[GameIsOver],1,Table2[AwayTeam],$A61, Table2[HomeTeam], U$36, Table2[ActualResult], "OT") + SUMIFS(Table2[AwayWon], Table2[GameIsOver],1,Table2[HomeTeam],$A61, Table2[AwayTeam], U$36, Table2[ActualResult], "OT") + SUMIFS(Table2[HomeWon_], Table2[GameIsOver],1,Table2[AwayTeam],$A61, Table2[HomeTeam], U$36, Table2[ActualResult], "SO") + SUMIFS(Table2[AwayWon], Table2[GameIsOver],1,Table2[HomeTeam],$A61, Table2[AwayTeam], U$36, Table2[ActualResult], "SO")) / (2*(SUMIFS(Table2[AwayWon], Table2[GameIsOver],1,Table2[AwayTeam],$A61, Table2[HomeTeam], U$36) + SUMIFS(Table2[HomeWon_], Table2[GameIsOver],1,Table2[HomeTeam],$A61, Table2[AwayTeam], U$36) + SUMIFS(Table2[HomeWon_], Table2[GameIsOver],1,Table2[AwayTeam],$A61, Table2[HomeTeam], U$36, Table2[ActualResult], "REG") + SUMIFS(Table2[AwayWon], Table2[GameIsOver],1,Table2[HomeTeam],$A61, Table2[AwayTeam], U$36, Table2[ActualResult], "REG") + SUMIFS(Table2[HomeWon_], Table2[GameIsOver],1,Table2[AwayTeam],$A61, Table2[HomeTeam], U$36, Table2[ActualResult], "OT") + SUMIFS(Table2[AwayWon], Table2[GameIsOver],1,Table2[HomeTeam],$A61, Table2[AwayTeam], U$36, Table2[ActualResult], "OT") + SUMIFS(Table2[HomeWon_], Table2[GameIsOver],1,Table2[AwayTeam],$A61, Table2[HomeTeam], U$36, Table2[ActualResult], "SO") + SUMIFS(Table2[AwayWon], Table2[GameIsOver],1,Table2[HomeTeam],$A61, Table2[AwayTeam], U$36, Table2[ActualResult], "SO"))), "")</f>
        <v/>
      </c>
      <c r="V61" t="str">
        <f>IFERROR(((2*SUMIFS(Table2[AwayWon], Table2[GameIsOver],1,Table2[AwayTeam],$A61, Table2[HomeTeam], V$36) + SUMIFS(Table2[HomeWon_], Table2[GameIsOver],1,Table2[HomeTeam],$A61, Table2[AwayTeam], V$36)) + SUMIFS(Table2[AwayWon], Table2[GameIsOver],1,Table2[HomeTeam],$A61, Table2[AwayTeam], V$36, Table2[ActualResult], "REG") + SUMIFS(Table2[HomeWon_], Table2[GameIsOver],1,Table2[AwayTeam],$A61, Table2[HomeTeam], V$36, Table2[ActualResult], "OT") + SUMIFS(Table2[AwayWon], Table2[GameIsOver],1,Table2[HomeTeam],$A61, Table2[AwayTeam], V$36, Table2[ActualResult], "OT") + SUMIFS(Table2[HomeWon_], Table2[GameIsOver],1,Table2[AwayTeam],$A61, Table2[HomeTeam], V$36, Table2[ActualResult], "SO") + SUMIFS(Table2[AwayWon], Table2[GameIsOver],1,Table2[HomeTeam],$A61, Table2[AwayTeam], V$36, Table2[ActualResult], "SO")) / (2*(SUMIFS(Table2[AwayWon], Table2[GameIsOver],1,Table2[AwayTeam],$A61, Table2[HomeTeam], V$36) + SUMIFS(Table2[HomeWon_], Table2[GameIsOver],1,Table2[HomeTeam],$A61, Table2[AwayTeam], V$36) + SUMIFS(Table2[HomeWon_], Table2[GameIsOver],1,Table2[AwayTeam],$A61, Table2[HomeTeam], V$36, Table2[ActualResult], "REG") + SUMIFS(Table2[AwayWon], Table2[GameIsOver],1,Table2[HomeTeam],$A61, Table2[AwayTeam], V$36, Table2[ActualResult], "REG") + SUMIFS(Table2[HomeWon_], Table2[GameIsOver],1,Table2[AwayTeam],$A61, Table2[HomeTeam], V$36, Table2[ActualResult], "OT") + SUMIFS(Table2[AwayWon], Table2[GameIsOver],1,Table2[HomeTeam],$A61, Table2[AwayTeam], V$36, Table2[ActualResult], "OT") + SUMIFS(Table2[HomeWon_], Table2[GameIsOver],1,Table2[AwayTeam],$A61, Table2[HomeTeam], V$36, Table2[ActualResult], "SO") + SUMIFS(Table2[AwayWon], Table2[GameIsOver],1,Table2[HomeTeam],$A61, Table2[AwayTeam], V$36, Table2[ActualResult], "SO"))), "")</f>
        <v/>
      </c>
      <c r="W61" t="str">
        <f>IFERROR(((2*SUMIFS(Table2[AwayWon], Table2[GameIsOver],1,Table2[AwayTeam],$A61, Table2[HomeTeam], W$36) + SUMIFS(Table2[HomeWon_], Table2[GameIsOver],1,Table2[HomeTeam],$A61, Table2[AwayTeam], W$36)) + SUMIFS(Table2[AwayWon], Table2[GameIsOver],1,Table2[HomeTeam],$A61, Table2[AwayTeam], W$36, Table2[ActualResult], "REG") + SUMIFS(Table2[HomeWon_], Table2[GameIsOver],1,Table2[AwayTeam],$A61, Table2[HomeTeam], W$36, Table2[ActualResult], "OT") + SUMIFS(Table2[AwayWon], Table2[GameIsOver],1,Table2[HomeTeam],$A61, Table2[AwayTeam], W$36, Table2[ActualResult], "OT") + SUMIFS(Table2[HomeWon_], Table2[GameIsOver],1,Table2[AwayTeam],$A61, Table2[HomeTeam], W$36, Table2[ActualResult], "SO") + SUMIFS(Table2[AwayWon], Table2[GameIsOver],1,Table2[HomeTeam],$A61, Table2[AwayTeam], W$36, Table2[ActualResult], "SO")) / (2*(SUMIFS(Table2[AwayWon], Table2[GameIsOver],1,Table2[AwayTeam],$A61, Table2[HomeTeam], W$36) + SUMIFS(Table2[HomeWon_], Table2[GameIsOver],1,Table2[HomeTeam],$A61, Table2[AwayTeam], W$36) + SUMIFS(Table2[HomeWon_], Table2[GameIsOver],1,Table2[AwayTeam],$A61, Table2[HomeTeam], W$36, Table2[ActualResult], "REG") + SUMIFS(Table2[AwayWon], Table2[GameIsOver],1,Table2[HomeTeam],$A61, Table2[AwayTeam], W$36, Table2[ActualResult], "REG") + SUMIFS(Table2[HomeWon_], Table2[GameIsOver],1,Table2[AwayTeam],$A61, Table2[HomeTeam], W$36, Table2[ActualResult], "OT") + SUMIFS(Table2[AwayWon], Table2[GameIsOver],1,Table2[HomeTeam],$A61, Table2[AwayTeam], W$36, Table2[ActualResult], "OT") + SUMIFS(Table2[HomeWon_], Table2[GameIsOver],1,Table2[AwayTeam],$A61, Table2[HomeTeam], W$36, Table2[ActualResult], "SO") + SUMIFS(Table2[AwayWon], Table2[GameIsOver],1,Table2[HomeTeam],$A61, Table2[AwayTeam], W$36, Table2[ActualResult], "SO"))), "")</f>
        <v/>
      </c>
      <c r="X61" t="str">
        <f>IFERROR(((2*SUMIFS(Table2[AwayWon], Table2[GameIsOver],1,Table2[AwayTeam],$A61, Table2[HomeTeam], X$36) + SUMIFS(Table2[HomeWon_], Table2[GameIsOver],1,Table2[HomeTeam],$A61, Table2[AwayTeam], X$36)) + SUMIFS(Table2[AwayWon], Table2[GameIsOver],1,Table2[HomeTeam],$A61, Table2[AwayTeam], X$36, Table2[ActualResult], "REG") + SUMIFS(Table2[HomeWon_], Table2[GameIsOver],1,Table2[AwayTeam],$A61, Table2[HomeTeam], X$36, Table2[ActualResult], "OT") + SUMIFS(Table2[AwayWon], Table2[GameIsOver],1,Table2[HomeTeam],$A61, Table2[AwayTeam], X$36, Table2[ActualResult], "OT") + SUMIFS(Table2[HomeWon_], Table2[GameIsOver],1,Table2[AwayTeam],$A61, Table2[HomeTeam], X$36, Table2[ActualResult], "SO") + SUMIFS(Table2[AwayWon], Table2[GameIsOver],1,Table2[HomeTeam],$A61, Table2[AwayTeam], X$36, Table2[ActualResult], "SO")) / (2*(SUMIFS(Table2[AwayWon], Table2[GameIsOver],1,Table2[AwayTeam],$A61, Table2[HomeTeam], X$36) + SUMIFS(Table2[HomeWon_], Table2[GameIsOver],1,Table2[HomeTeam],$A61, Table2[AwayTeam], X$36) + SUMIFS(Table2[HomeWon_], Table2[GameIsOver],1,Table2[AwayTeam],$A61, Table2[HomeTeam], X$36, Table2[ActualResult], "REG") + SUMIFS(Table2[AwayWon], Table2[GameIsOver],1,Table2[HomeTeam],$A61, Table2[AwayTeam], X$36, Table2[ActualResult], "REG") + SUMIFS(Table2[HomeWon_], Table2[GameIsOver],1,Table2[AwayTeam],$A61, Table2[HomeTeam], X$36, Table2[ActualResult], "OT") + SUMIFS(Table2[AwayWon], Table2[GameIsOver],1,Table2[HomeTeam],$A61, Table2[AwayTeam], X$36, Table2[ActualResult], "OT") + SUMIFS(Table2[HomeWon_], Table2[GameIsOver],1,Table2[AwayTeam],$A61, Table2[HomeTeam], X$36, Table2[ActualResult], "SO") + SUMIFS(Table2[AwayWon], Table2[GameIsOver],1,Table2[HomeTeam],$A61, Table2[AwayTeam], X$36, Table2[ActualResult], "SO"))), "")</f>
        <v/>
      </c>
      <c r="Y61" s="57">
        <f>IFERROR(((2*SUMIFS(Table2[AwayWon], Table2[GameIsOver],1,Table2[AwayTeam],$A61, Table2[HomeTeam], Y$36) + SUMIFS(Table2[HomeWon_], Table2[GameIsOver],1,Table2[HomeTeam],$A61, Table2[AwayTeam], Y$36)) + SUMIFS(Table2[AwayWon], Table2[GameIsOver],1,Table2[HomeTeam],$A61, Table2[AwayTeam], Y$36, Table2[ActualResult], "REG") + SUMIFS(Table2[HomeWon_], Table2[GameIsOver],1,Table2[AwayTeam],$A61, Table2[HomeTeam], Y$36, Table2[ActualResult], "OT") + SUMIFS(Table2[AwayWon], Table2[GameIsOver],1,Table2[HomeTeam],$A61, Table2[AwayTeam], Y$36, Table2[ActualResult], "OT") + SUMIFS(Table2[HomeWon_], Table2[GameIsOver],1,Table2[AwayTeam],$A61, Table2[HomeTeam], Y$36, Table2[ActualResult], "SO") + SUMIFS(Table2[AwayWon], Table2[GameIsOver],1,Table2[HomeTeam],$A61, Table2[AwayTeam], Y$36, Table2[ActualResult], "SO")) / (2*(SUMIFS(Table2[AwayWon], Table2[GameIsOver],1,Table2[AwayTeam],$A61, Table2[HomeTeam], Y$36) + SUMIFS(Table2[HomeWon_], Table2[GameIsOver],1,Table2[HomeTeam],$A61, Table2[AwayTeam], Y$36) + SUMIFS(Table2[HomeWon_], Table2[GameIsOver],1,Table2[AwayTeam],$A61, Table2[HomeTeam], Y$36, Table2[ActualResult], "REG") + SUMIFS(Table2[AwayWon], Table2[GameIsOver],1,Table2[HomeTeam],$A61, Table2[AwayTeam], Y$36, Table2[ActualResult], "REG") + SUMIFS(Table2[HomeWon_], Table2[GameIsOver],1,Table2[AwayTeam],$A61, Table2[HomeTeam], Y$36, Table2[ActualResult], "OT") + SUMIFS(Table2[AwayWon], Table2[GameIsOver],1,Table2[HomeTeam],$A61, Table2[AwayTeam], Y$36, Table2[ActualResult], "OT") + SUMIFS(Table2[HomeWon_], Table2[GameIsOver],1,Table2[AwayTeam],$A61, Table2[HomeTeam], Y$36, Table2[ActualResult], "SO") + SUMIFS(Table2[AwayWon], Table2[GameIsOver],1,Table2[HomeTeam],$A61, Table2[AwayTeam], Y$36, Table2[ActualResult], "SO"))), "")</f>
        <v>1</v>
      </c>
      <c r="Z61" s="98" t="str">
        <f>IFERROR(((2*SUMIFS(Table2[AwayWon], Table2[GameIsOver],1,Table2[AwayTeam],$A61, Table2[HomeTeam], Z$36) + SUMIFS(Table2[HomeWon_], Table2[GameIsOver],1,Table2[HomeTeam],$A61, Table2[AwayTeam], Z$36)) + SUMIFS(Table2[AwayWon], Table2[GameIsOver],1,Table2[HomeTeam],$A61, Table2[AwayTeam], Z$36, Table2[ActualResult], "REG") + SUMIFS(Table2[HomeWon_], Table2[GameIsOver],1,Table2[AwayTeam],$A61, Table2[HomeTeam], Z$36, Table2[ActualResult], "OT") + SUMIFS(Table2[AwayWon], Table2[GameIsOver],1,Table2[HomeTeam],$A61, Table2[AwayTeam], Z$36, Table2[ActualResult], "OT") + SUMIFS(Table2[HomeWon_], Table2[GameIsOver],1,Table2[AwayTeam],$A61, Table2[HomeTeam], Z$36, Table2[ActualResult], "SO") + SUMIFS(Table2[AwayWon], Table2[GameIsOver],1,Table2[HomeTeam],$A61, Table2[AwayTeam], Z$36, Table2[ActualResult], "SO")) / (2*(SUMIFS(Table2[AwayWon], Table2[GameIsOver],1,Table2[AwayTeam],$A61, Table2[HomeTeam], Z$36) + SUMIFS(Table2[HomeWon_], Table2[GameIsOver],1,Table2[HomeTeam],$A61, Table2[AwayTeam], Z$36) + SUMIFS(Table2[HomeWon_], Table2[GameIsOver],1,Table2[AwayTeam],$A61, Table2[HomeTeam], Z$36, Table2[ActualResult], "REG") + SUMIFS(Table2[AwayWon], Table2[GameIsOver],1,Table2[HomeTeam],$A61, Table2[AwayTeam], Z$36, Table2[ActualResult], "REG") + SUMIFS(Table2[HomeWon_], Table2[GameIsOver],1,Table2[AwayTeam],$A61, Table2[HomeTeam], Z$36, Table2[ActualResult], "OT") + SUMIFS(Table2[AwayWon], Table2[GameIsOver],1,Table2[HomeTeam],$A61, Table2[AwayTeam], Z$36, Table2[ActualResult], "OT") + SUMIFS(Table2[HomeWon_], Table2[GameIsOver],1,Table2[AwayTeam],$A61, Table2[HomeTeam], Z$36, Table2[ActualResult], "SO") + SUMIFS(Table2[AwayWon], Table2[GameIsOver],1,Table2[HomeTeam],$A61, Table2[AwayTeam], Z$36, Table2[ActualResult], "SO"))), "")</f>
        <v/>
      </c>
      <c r="AA61">
        <f>IFERROR(((2*SUMIFS(Table2[AwayWon], Table2[GameIsOver],1,Table2[AwayTeam],$A61, Table2[HomeTeam], AA$36) + SUMIFS(Table2[HomeWon_], Table2[GameIsOver],1,Table2[HomeTeam],$A61, Table2[AwayTeam], AA$36)) + SUMIFS(Table2[AwayWon], Table2[GameIsOver],1,Table2[HomeTeam],$A61, Table2[AwayTeam], AA$36, Table2[ActualResult], "REG") + SUMIFS(Table2[HomeWon_], Table2[GameIsOver],1,Table2[AwayTeam],$A61, Table2[HomeTeam], AA$36, Table2[ActualResult], "OT") + SUMIFS(Table2[AwayWon], Table2[GameIsOver],1,Table2[HomeTeam],$A61, Table2[AwayTeam], AA$36, Table2[ActualResult], "OT") + SUMIFS(Table2[HomeWon_], Table2[GameIsOver],1,Table2[AwayTeam],$A61, Table2[HomeTeam], AA$36, Table2[ActualResult], "SO") + SUMIFS(Table2[AwayWon], Table2[GameIsOver],1,Table2[HomeTeam],$A61, Table2[AwayTeam], AA$36, Table2[ActualResult], "SO")) / (2*(SUMIFS(Table2[AwayWon], Table2[GameIsOver],1,Table2[AwayTeam],$A61, Table2[HomeTeam], AA$36) + SUMIFS(Table2[HomeWon_], Table2[GameIsOver],1,Table2[HomeTeam],$A61, Table2[AwayTeam], AA$36) + SUMIFS(Table2[HomeWon_], Table2[GameIsOver],1,Table2[AwayTeam],$A61, Table2[HomeTeam], AA$36, Table2[ActualResult], "REG") + SUMIFS(Table2[AwayWon], Table2[GameIsOver],1,Table2[HomeTeam],$A61, Table2[AwayTeam], AA$36, Table2[ActualResult], "REG") + SUMIFS(Table2[HomeWon_], Table2[GameIsOver],1,Table2[AwayTeam],$A61, Table2[HomeTeam], AA$36, Table2[ActualResult], "OT") + SUMIFS(Table2[AwayWon], Table2[GameIsOver],1,Table2[HomeTeam],$A61, Table2[AwayTeam], AA$36, Table2[ActualResult], "OT") + SUMIFS(Table2[HomeWon_], Table2[GameIsOver],1,Table2[AwayTeam],$A61, Table2[HomeTeam], AA$36, Table2[ActualResult], "SO") + SUMIFS(Table2[AwayWon], Table2[GameIsOver],1,Table2[HomeTeam],$A61, Table2[AwayTeam], AA$36, Table2[ActualResult], "SO"))), "")</f>
        <v>0.5</v>
      </c>
      <c r="AB61" t="str">
        <f>IFERROR(((2*SUMIFS(Table2[AwayWon], Table2[GameIsOver],1,Table2[AwayTeam],$A61, Table2[HomeTeam], AB$36) + SUMIFS(Table2[HomeWon_], Table2[GameIsOver],1,Table2[HomeTeam],$A61, Table2[AwayTeam], AB$36)) + SUMIFS(Table2[AwayWon], Table2[GameIsOver],1,Table2[HomeTeam],$A61, Table2[AwayTeam], AB$36, Table2[ActualResult], "REG") + SUMIFS(Table2[HomeWon_], Table2[GameIsOver],1,Table2[AwayTeam],$A61, Table2[HomeTeam], AB$36, Table2[ActualResult], "OT") + SUMIFS(Table2[AwayWon], Table2[GameIsOver],1,Table2[HomeTeam],$A61, Table2[AwayTeam], AB$36, Table2[ActualResult], "OT") + SUMIFS(Table2[HomeWon_], Table2[GameIsOver],1,Table2[AwayTeam],$A61, Table2[HomeTeam], AB$36, Table2[ActualResult], "SO") + SUMIFS(Table2[AwayWon], Table2[GameIsOver],1,Table2[HomeTeam],$A61, Table2[AwayTeam], AB$36, Table2[ActualResult], "SO")) / (2*(SUMIFS(Table2[AwayWon], Table2[GameIsOver],1,Table2[AwayTeam],$A61, Table2[HomeTeam], AB$36) + SUMIFS(Table2[HomeWon_], Table2[GameIsOver],1,Table2[HomeTeam],$A61, Table2[AwayTeam], AB$36) + SUMIFS(Table2[HomeWon_], Table2[GameIsOver],1,Table2[AwayTeam],$A61, Table2[HomeTeam], AB$36, Table2[ActualResult], "REG") + SUMIFS(Table2[AwayWon], Table2[GameIsOver],1,Table2[HomeTeam],$A61, Table2[AwayTeam], AB$36, Table2[ActualResult], "REG") + SUMIFS(Table2[HomeWon_], Table2[GameIsOver],1,Table2[AwayTeam],$A61, Table2[HomeTeam], AB$36, Table2[ActualResult], "OT") + SUMIFS(Table2[AwayWon], Table2[GameIsOver],1,Table2[HomeTeam],$A61, Table2[AwayTeam], AB$36, Table2[ActualResult], "OT") + SUMIFS(Table2[HomeWon_], Table2[GameIsOver],1,Table2[AwayTeam],$A61, Table2[HomeTeam], AB$36, Table2[ActualResult], "SO") + SUMIFS(Table2[AwayWon], Table2[GameIsOver],1,Table2[HomeTeam],$A61, Table2[AwayTeam], AB$36, Table2[ActualResult], "SO"))), "")</f>
        <v/>
      </c>
      <c r="AC61">
        <f>IFERROR(((2*SUMIFS(Table2[AwayWon], Table2[GameIsOver],1,Table2[AwayTeam],$A61, Table2[HomeTeam], AC$36) + SUMIFS(Table2[HomeWon_], Table2[GameIsOver],1,Table2[HomeTeam],$A61, Table2[AwayTeam], AC$36)) + SUMIFS(Table2[AwayWon], Table2[GameIsOver],1,Table2[HomeTeam],$A61, Table2[AwayTeam], AC$36, Table2[ActualResult], "REG") + SUMIFS(Table2[HomeWon_], Table2[GameIsOver],1,Table2[AwayTeam],$A61, Table2[HomeTeam], AC$36, Table2[ActualResult], "OT") + SUMIFS(Table2[AwayWon], Table2[GameIsOver],1,Table2[HomeTeam],$A61, Table2[AwayTeam], AC$36, Table2[ActualResult], "OT") + SUMIFS(Table2[HomeWon_], Table2[GameIsOver],1,Table2[AwayTeam],$A61, Table2[HomeTeam], AC$36, Table2[ActualResult], "SO") + SUMIFS(Table2[AwayWon], Table2[GameIsOver],1,Table2[HomeTeam],$A61, Table2[AwayTeam], AC$36, Table2[ActualResult], "SO")) / (2*(SUMIFS(Table2[AwayWon], Table2[GameIsOver],1,Table2[AwayTeam],$A61, Table2[HomeTeam], AC$36) + SUMIFS(Table2[HomeWon_], Table2[GameIsOver],1,Table2[HomeTeam],$A61, Table2[AwayTeam], AC$36) + SUMIFS(Table2[HomeWon_], Table2[GameIsOver],1,Table2[AwayTeam],$A61, Table2[HomeTeam], AC$36, Table2[ActualResult], "REG") + SUMIFS(Table2[AwayWon], Table2[GameIsOver],1,Table2[HomeTeam],$A61, Table2[AwayTeam], AC$36, Table2[ActualResult], "REG") + SUMIFS(Table2[HomeWon_], Table2[GameIsOver],1,Table2[AwayTeam],$A61, Table2[HomeTeam], AC$36, Table2[ActualResult], "OT") + SUMIFS(Table2[AwayWon], Table2[GameIsOver],1,Table2[HomeTeam],$A61, Table2[AwayTeam], AC$36, Table2[ActualResult], "OT") + SUMIFS(Table2[HomeWon_], Table2[GameIsOver],1,Table2[AwayTeam],$A61, Table2[HomeTeam], AC$36, Table2[ActualResult], "SO") + SUMIFS(Table2[AwayWon], Table2[GameIsOver],1,Table2[HomeTeam],$A61, Table2[AwayTeam], AC$36, Table2[ActualResult], "SO"))), "")</f>
        <v>0.5</v>
      </c>
      <c r="AD61" t="str">
        <f>IFERROR(((2*SUMIFS(Table2[AwayWon], Table2[GameIsOver],1,Table2[AwayTeam],$A61, Table2[HomeTeam], AD$36) + SUMIFS(Table2[HomeWon_], Table2[GameIsOver],1,Table2[HomeTeam],$A61, Table2[AwayTeam], AD$36)) + SUMIFS(Table2[AwayWon], Table2[GameIsOver],1,Table2[HomeTeam],$A61, Table2[AwayTeam], AD$36, Table2[ActualResult], "REG") + SUMIFS(Table2[HomeWon_], Table2[GameIsOver],1,Table2[AwayTeam],$A61, Table2[HomeTeam], AD$36, Table2[ActualResult], "OT") + SUMIFS(Table2[AwayWon], Table2[GameIsOver],1,Table2[HomeTeam],$A61, Table2[AwayTeam], AD$36, Table2[ActualResult], "OT") + SUMIFS(Table2[HomeWon_], Table2[GameIsOver],1,Table2[AwayTeam],$A61, Table2[HomeTeam], AD$36, Table2[ActualResult], "SO") + SUMIFS(Table2[AwayWon], Table2[GameIsOver],1,Table2[HomeTeam],$A61, Table2[AwayTeam], AD$36, Table2[ActualResult], "SO")) / (2*(SUMIFS(Table2[AwayWon], Table2[GameIsOver],1,Table2[AwayTeam],$A61, Table2[HomeTeam], AD$36) + SUMIFS(Table2[HomeWon_], Table2[GameIsOver],1,Table2[HomeTeam],$A61, Table2[AwayTeam], AD$36) + SUMIFS(Table2[HomeWon_], Table2[GameIsOver],1,Table2[AwayTeam],$A61, Table2[HomeTeam], AD$36, Table2[ActualResult], "REG") + SUMIFS(Table2[AwayWon], Table2[GameIsOver],1,Table2[HomeTeam],$A61, Table2[AwayTeam], AD$36, Table2[ActualResult], "REG") + SUMIFS(Table2[HomeWon_], Table2[GameIsOver],1,Table2[AwayTeam],$A61, Table2[HomeTeam], AD$36, Table2[ActualResult], "OT") + SUMIFS(Table2[AwayWon], Table2[GameIsOver],1,Table2[HomeTeam],$A61, Table2[AwayTeam], AD$36, Table2[ActualResult], "OT") + SUMIFS(Table2[HomeWon_], Table2[GameIsOver],1,Table2[AwayTeam],$A61, Table2[HomeTeam], AD$36, Table2[ActualResult], "SO") + SUMIFS(Table2[AwayWon], Table2[GameIsOver],1,Table2[HomeTeam],$A61, Table2[AwayTeam], AD$36, Table2[ActualResult], "SO"))), "")</f>
        <v/>
      </c>
      <c r="AE61" t="str">
        <f>IFERROR(((2*SUMIFS(Table2[AwayWon], Table2[GameIsOver],1,Table2[AwayTeam],$A61, Table2[HomeTeam], AE$36) + SUMIFS(Table2[HomeWon_], Table2[GameIsOver],1,Table2[HomeTeam],$A61, Table2[AwayTeam], AE$36)) + SUMIFS(Table2[AwayWon], Table2[GameIsOver],1,Table2[HomeTeam],$A61, Table2[AwayTeam], AE$36, Table2[ActualResult], "REG") + SUMIFS(Table2[HomeWon_], Table2[GameIsOver],1,Table2[AwayTeam],$A61, Table2[HomeTeam], AE$36, Table2[ActualResult], "OT") + SUMIFS(Table2[AwayWon], Table2[GameIsOver],1,Table2[HomeTeam],$A61, Table2[AwayTeam], AE$36, Table2[ActualResult], "OT") + SUMIFS(Table2[HomeWon_], Table2[GameIsOver],1,Table2[AwayTeam],$A61, Table2[HomeTeam], AE$36, Table2[ActualResult], "SO") + SUMIFS(Table2[AwayWon], Table2[GameIsOver],1,Table2[HomeTeam],$A61, Table2[AwayTeam], AE$36, Table2[ActualResult], "SO")) / (2*(SUMIFS(Table2[AwayWon], Table2[GameIsOver],1,Table2[AwayTeam],$A61, Table2[HomeTeam], AE$36) + SUMIFS(Table2[HomeWon_], Table2[GameIsOver],1,Table2[HomeTeam],$A61, Table2[AwayTeam], AE$36) + SUMIFS(Table2[HomeWon_], Table2[GameIsOver],1,Table2[AwayTeam],$A61, Table2[HomeTeam], AE$36, Table2[ActualResult], "REG") + SUMIFS(Table2[AwayWon], Table2[GameIsOver],1,Table2[HomeTeam],$A61, Table2[AwayTeam], AE$36, Table2[ActualResult], "REG") + SUMIFS(Table2[HomeWon_], Table2[GameIsOver],1,Table2[AwayTeam],$A61, Table2[HomeTeam], AE$36, Table2[ActualResult], "OT") + SUMIFS(Table2[AwayWon], Table2[GameIsOver],1,Table2[HomeTeam],$A61, Table2[AwayTeam], AE$36, Table2[ActualResult], "OT") + SUMIFS(Table2[HomeWon_], Table2[GameIsOver],1,Table2[AwayTeam],$A61, Table2[HomeTeam], AE$36, Table2[ActualResult], "SO") + SUMIFS(Table2[AwayWon], Table2[GameIsOver],1,Table2[HomeTeam],$A61, Table2[AwayTeam], AE$36, Table2[ActualResult], "SO"))), "")</f>
        <v/>
      </c>
      <c r="AF61">
        <f>IFERROR(((2*SUMIFS(Table2[AwayWon], Table2[GameIsOver],1,Table2[AwayTeam],$A61, Table2[HomeTeam], AF$36) + SUMIFS(Table2[HomeWon_], Table2[GameIsOver],1,Table2[HomeTeam],$A61, Table2[AwayTeam], AF$36)) + SUMIFS(Table2[AwayWon], Table2[GameIsOver],1,Table2[HomeTeam],$A61, Table2[AwayTeam], AF$36, Table2[ActualResult], "REG") + SUMIFS(Table2[HomeWon_], Table2[GameIsOver],1,Table2[AwayTeam],$A61, Table2[HomeTeam], AF$36, Table2[ActualResult], "OT") + SUMIFS(Table2[AwayWon], Table2[GameIsOver],1,Table2[HomeTeam],$A61, Table2[AwayTeam], AF$36, Table2[ActualResult], "OT") + SUMIFS(Table2[HomeWon_], Table2[GameIsOver],1,Table2[AwayTeam],$A61, Table2[HomeTeam], AF$36, Table2[ActualResult], "SO") + SUMIFS(Table2[AwayWon], Table2[GameIsOver],1,Table2[HomeTeam],$A61, Table2[AwayTeam], AF$36, Table2[ActualResult], "SO")) / (2*(SUMIFS(Table2[AwayWon], Table2[GameIsOver],1,Table2[AwayTeam],$A61, Table2[HomeTeam], AF$36) + SUMIFS(Table2[HomeWon_], Table2[GameIsOver],1,Table2[HomeTeam],$A61, Table2[AwayTeam], AF$36) + SUMIFS(Table2[HomeWon_], Table2[GameIsOver],1,Table2[AwayTeam],$A61, Table2[HomeTeam], AF$36, Table2[ActualResult], "REG") + SUMIFS(Table2[AwayWon], Table2[GameIsOver],1,Table2[HomeTeam],$A61, Table2[AwayTeam], AF$36, Table2[ActualResult], "REG") + SUMIFS(Table2[HomeWon_], Table2[GameIsOver],1,Table2[AwayTeam],$A61, Table2[HomeTeam], AF$36, Table2[ActualResult], "OT") + SUMIFS(Table2[AwayWon], Table2[GameIsOver],1,Table2[HomeTeam],$A61, Table2[AwayTeam], AF$36, Table2[ActualResult], "OT") + SUMIFS(Table2[HomeWon_], Table2[GameIsOver],1,Table2[AwayTeam],$A61, Table2[HomeTeam], AF$36, Table2[ActualResult], "SO") + SUMIFS(Table2[AwayWon], Table2[GameIsOver],1,Table2[HomeTeam],$A61, Table2[AwayTeam], AF$36, Table2[ActualResult], "SO"))), "")</f>
        <v>0.5</v>
      </c>
      <c r="AG61" s="57" t="str">
        <f>IFERROR(((2*SUMIFS(Table2[AwayWon], Table2[GameIsOver],1,Table2[AwayTeam],$A61, Table2[HomeTeam], AG$36) + SUMIFS(Table2[HomeWon_], Table2[GameIsOver],1,Table2[HomeTeam],$A61, Table2[AwayTeam], AG$36)) + SUMIFS(Table2[AwayWon], Table2[GameIsOver],1,Table2[HomeTeam],$A61, Table2[AwayTeam], AG$36, Table2[ActualResult], "REG") + SUMIFS(Table2[HomeWon_], Table2[GameIsOver],1,Table2[AwayTeam],$A61, Table2[HomeTeam], AG$36, Table2[ActualResult], "OT") + SUMIFS(Table2[AwayWon], Table2[GameIsOver],1,Table2[HomeTeam],$A61, Table2[AwayTeam], AG$36, Table2[ActualResult], "OT") + SUMIFS(Table2[HomeWon_], Table2[GameIsOver],1,Table2[AwayTeam],$A61, Table2[HomeTeam], AG$36, Table2[ActualResult], "SO") + SUMIFS(Table2[AwayWon], Table2[GameIsOver],1,Table2[HomeTeam],$A61, Table2[AwayTeam], AG$36, Table2[ActualResult], "SO")) / (2*(SUMIFS(Table2[AwayWon], Table2[GameIsOver],1,Table2[AwayTeam],$A61, Table2[HomeTeam], AG$36) + SUMIFS(Table2[HomeWon_], Table2[GameIsOver],1,Table2[HomeTeam],$A61, Table2[AwayTeam], AG$36) + SUMIFS(Table2[HomeWon_], Table2[GameIsOver],1,Table2[AwayTeam],$A61, Table2[HomeTeam], AG$36, Table2[ActualResult], "REG") + SUMIFS(Table2[AwayWon], Table2[GameIsOver],1,Table2[HomeTeam],$A61, Table2[AwayTeam], AG$36, Table2[ActualResult], "REG") + SUMIFS(Table2[HomeWon_], Table2[GameIsOver],1,Table2[AwayTeam],$A61, Table2[HomeTeam], AG$36, Table2[ActualResult], "OT") + SUMIFS(Table2[AwayWon], Table2[GameIsOver],1,Table2[HomeTeam],$A61, Table2[AwayTeam], AG$36, Table2[ActualResult], "OT") + SUMIFS(Table2[HomeWon_], Table2[GameIsOver],1,Table2[AwayTeam],$A61, Table2[HomeTeam], AG$36, Table2[ActualResult], "SO") + SUMIFS(Table2[AwayWon], Table2[GameIsOver],1,Table2[HomeTeam],$A61, Table2[AwayTeam], AG$36, Table2[ActualResult], "SO"))), "")</f>
        <v/>
      </c>
      <c r="AH61" s="101">
        <f t="shared" si="0"/>
        <v>0.625</v>
      </c>
      <c r="AI61" s="101">
        <f t="shared" si="1"/>
        <v>0.125</v>
      </c>
      <c r="AJ61" s="103">
        <f t="shared" si="2"/>
        <v>0.5</v>
      </c>
      <c r="AK61" s="103">
        <f t="shared" si="3"/>
        <v>1</v>
      </c>
      <c r="AL61" s="103">
        <f t="shared" si="4"/>
        <v>0.16666666666666666</v>
      </c>
      <c r="AM61" s="103">
        <f t="shared" si="5"/>
        <v>0</v>
      </c>
    </row>
    <row r="62" spans="1:39" x14ac:dyDescent="0.25">
      <c r="A62" s="57" t="s">
        <v>28</v>
      </c>
      <c r="B62" s="24" t="str">
        <f>IFERROR(((2*SUMIFS(Table2[AwayWon], Table2[GameIsOver],1,Table2[AwayTeam],$A62, Table2[HomeTeam], B$36) + SUMIFS(Table2[HomeWon_], Table2[GameIsOver],1,Table2[HomeTeam],$A62, Table2[AwayTeam], B$36)) + SUMIFS(Table2[AwayWon], Table2[GameIsOver],1,Table2[HomeTeam],$A62, Table2[AwayTeam], B$36, Table2[ActualResult], "REG") + SUMIFS(Table2[HomeWon_], Table2[GameIsOver],1,Table2[AwayTeam],$A62, Table2[HomeTeam], B$36, Table2[ActualResult], "OT") + SUMIFS(Table2[AwayWon], Table2[GameIsOver],1,Table2[HomeTeam],$A62, Table2[AwayTeam], B$36, Table2[ActualResult], "OT") + SUMIFS(Table2[HomeWon_], Table2[GameIsOver],1,Table2[AwayTeam],$A62, Table2[HomeTeam], B$36, Table2[ActualResult], "SO") + SUMIFS(Table2[AwayWon], Table2[GameIsOver],1,Table2[HomeTeam],$A62, Table2[AwayTeam], B$36, Table2[ActualResult], "SO")) / (2*(SUMIFS(Table2[AwayWon], Table2[GameIsOver],1,Table2[AwayTeam],$A62, Table2[HomeTeam], B$36) + SUMIFS(Table2[HomeWon_], Table2[GameIsOver],1,Table2[HomeTeam],$A62, Table2[AwayTeam], B$36) + SUMIFS(Table2[HomeWon_], Table2[GameIsOver],1,Table2[AwayTeam],$A62, Table2[HomeTeam], B$36, Table2[ActualResult], "REG") + SUMIFS(Table2[AwayWon], Table2[GameIsOver],1,Table2[HomeTeam],$A62, Table2[AwayTeam], B$36, Table2[ActualResult], "REG") + SUMIFS(Table2[HomeWon_], Table2[GameIsOver],1,Table2[AwayTeam],$A62, Table2[HomeTeam], B$36, Table2[ActualResult], "OT") + SUMIFS(Table2[AwayWon], Table2[GameIsOver],1,Table2[HomeTeam],$A62, Table2[AwayTeam], B$36, Table2[ActualResult], "OT") + SUMIFS(Table2[HomeWon_], Table2[GameIsOver],1,Table2[AwayTeam],$A62, Table2[HomeTeam], B$36, Table2[ActualResult], "SO") + SUMIFS(Table2[AwayWon], Table2[GameIsOver],1,Table2[HomeTeam],$A62, Table2[AwayTeam], B$36, Table2[ActualResult], "SO"))), "")</f>
        <v/>
      </c>
      <c r="C62" s="24" t="str">
        <f>IFERROR(((2*SUMIFS(Table2[AwayWon], Table2[GameIsOver],1,Table2[AwayTeam],$A62, Table2[HomeTeam], C$36) + SUMIFS(Table2[HomeWon_], Table2[GameIsOver],1,Table2[HomeTeam],$A62, Table2[AwayTeam], C$36)) + SUMIFS(Table2[AwayWon], Table2[GameIsOver],1,Table2[HomeTeam],$A62, Table2[AwayTeam], C$36, Table2[ActualResult], "REG") + SUMIFS(Table2[HomeWon_], Table2[GameIsOver],1,Table2[AwayTeam],$A62, Table2[HomeTeam], C$36, Table2[ActualResult], "OT") + SUMIFS(Table2[AwayWon], Table2[GameIsOver],1,Table2[HomeTeam],$A62, Table2[AwayTeam], C$36, Table2[ActualResult], "OT") + SUMIFS(Table2[HomeWon_], Table2[GameIsOver],1,Table2[AwayTeam],$A62, Table2[HomeTeam], C$36, Table2[ActualResult], "SO") + SUMIFS(Table2[AwayWon], Table2[GameIsOver],1,Table2[HomeTeam],$A62, Table2[AwayTeam], C$36, Table2[ActualResult], "SO")) / (2*(SUMIFS(Table2[AwayWon], Table2[GameIsOver],1,Table2[AwayTeam],$A62, Table2[HomeTeam], C$36) + SUMIFS(Table2[HomeWon_], Table2[GameIsOver],1,Table2[HomeTeam],$A62, Table2[AwayTeam], C$36) + SUMIFS(Table2[HomeWon_], Table2[GameIsOver],1,Table2[AwayTeam],$A62, Table2[HomeTeam], C$36, Table2[ActualResult], "REG") + SUMIFS(Table2[AwayWon], Table2[GameIsOver],1,Table2[HomeTeam],$A62, Table2[AwayTeam], C$36, Table2[ActualResult], "REG") + SUMIFS(Table2[HomeWon_], Table2[GameIsOver],1,Table2[AwayTeam],$A62, Table2[HomeTeam], C$36, Table2[ActualResult], "OT") + SUMIFS(Table2[AwayWon], Table2[GameIsOver],1,Table2[HomeTeam],$A62, Table2[AwayTeam], C$36, Table2[ActualResult], "OT") + SUMIFS(Table2[HomeWon_], Table2[GameIsOver],1,Table2[AwayTeam],$A62, Table2[HomeTeam], C$36, Table2[ActualResult], "SO") + SUMIFS(Table2[AwayWon], Table2[GameIsOver],1,Table2[HomeTeam],$A62, Table2[AwayTeam], C$36, Table2[ActualResult], "SO"))), "")</f>
        <v/>
      </c>
      <c r="D62" t="str">
        <f>IFERROR(((2*SUMIFS(Table2[AwayWon], Table2[GameIsOver],1,Table2[AwayTeam],$A62, Table2[HomeTeam], D$36) + SUMIFS(Table2[HomeWon_], Table2[GameIsOver],1,Table2[HomeTeam],$A62, Table2[AwayTeam], D$36)) + SUMIFS(Table2[AwayWon], Table2[GameIsOver],1,Table2[HomeTeam],$A62, Table2[AwayTeam], D$36, Table2[ActualResult], "REG") + SUMIFS(Table2[HomeWon_], Table2[GameIsOver],1,Table2[AwayTeam],$A62, Table2[HomeTeam], D$36, Table2[ActualResult], "OT") + SUMIFS(Table2[AwayWon], Table2[GameIsOver],1,Table2[HomeTeam],$A62, Table2[AwayTeam], D$36, Table2[ActualResult], "OT") + SUMIFS(Table2[HomeWon_], Table2[GameIsOver],1,Table2[AwayTeam],$A62, Table2[HomeTeam], D$36, Table2[ActualResult], "SO") + SUMIFS(Table2[AwayWon], Table2[GameIsOver],1,Table2[HomeTeam],$A62, Table2[AwayTeam], D$36, Table2[ActualResult], "SO")) / (2*(SUMIFS(Table2[AwayWon], Table2[GameIsOver],1,Table2[AwayTeam],$A62, Table2[HomeTeam], D$36) + SUMIFS(Table2[HomeWon_], Table2[GameIsOver],1,Table2[HomeTeam],$A62, Table2[AwayTeam], D$36) + SUMIFS(Table2[HomeWon_], Table2[GameIsOver],1,Table2[AwayTeam],$A62, Table2[HomeTeam], D$36, Table2[ActualResult], "REG") + SUMIFS(Table2[AwayWon], Table2[GameIsOver],1,Table2[HomeTeam],$A62, Table2[AwayTeam], D$36, Table2[ActualResult], "REG") + SUMIFS(Table2[HomeWon_], Table2[GameIsOver],1,Table2[AwayTeam],$A62, Table2[HomeTeam], D$36, Table2[ActualResult], "OT") + SUMIFS(Table2[AwayWon], Table2[GameIsOver],1,Table2[HomeTeam],$A62, Table2[AwayTeam], D$36, Table2[ActualResult], "OT") + SUMIFS(Table2[HomeWon_], Table2[GameIsOver],1,Table2[AwayTeam],$A62, Table2[HomeTeam], D$36, Table2[ActualResult], "SO") + SUMIFS(Table2[AwayWon], Table2[GameIsOver],1,Table2[HomeTeam],$A62, Table2[AwayTeam], D$36, Table2[ActualResult], "SO"))), "")</f>
        <v/>
      </c>
      <c r="E62" t="str">
        <f>IFERROR(((2*SUMIFS(Table2[AwayWon], Table2[GameIsOver],1,Table2[AwayTeam],$A62, Table2[HomeTeam], E$36) + SUMIFS(Table2[HomeWon_], Table2[GameIsOver],1,Table2[HomeTeam],$A62, Table2[AwayTeam], E$36)) + SUMIFS(Table2[AwayWon], Table2[GameIsOver],1,Table2[HomeTeam],$A62, Table2[AwayTeam], E$36, Table2[ActualResult], "REG") + SUMIFS(Table2[HomeWon_], Table2[GameIsOver],1,Table2[AwayTeam],$A62, Table2[HomeTeam], E$36, Table2[ActualResult], "OT") + SUMIFS(Table2[AwayWon], Table2[GameIsOver],1,Table2[HomeTeam],$A62, Table2[AwayTeam], E$36, Table2[ActualResult], "OT") + SUMIFS(Table2[HomeWon_], Table2[GameIsOver],1,Table2[AwayTeam],$A62, Table2[HomeTeam], E$36, Table2[ActualResult], "SO") + SUMIFS(Table2[AwayWon], Table2[GameIsOver],1,Table2[HomeTeam],$A62, Table2[AwayTeam], E$36, Table2[ActualResult], "SO")) / (2*(SUMIFS(Table2[AwayWon], Table2[GameIsOver],1,Table2[AwayTeam],$A62, Table2[HomeTeam], E$36) + SUMIFS(Table2[HomeWon_], Table2[GameIsOver],1,Table2[HomeTeam],$A62, Table2[AwayTeam], E$36) + SUMIFS(Table2[HomeWon_], Table2[GameIsOver],1,Table2[AwayTeam],$A62, Table2[HomeTeam], E$36, Table2[ActualResult], "REG") + SUMIFS(Table2[AwayWon], Table2[GameIsOver],1,Table2[HomeTeam],$A62, Table2[AwayTeam], E$36, Table2[ActualResult], "REG") + SUMIFS(Table2[HomeWon_], Table2[GameIsOver],1,Table2[AwayTeam],$A62, Table2[HomeTeam], E$36, Table2[ActualResult], "OT") + SUMIFS(Table2[AwayWon], Table2[GameIsOver],1,Table2[HomeTeam],$A62, Table2[AwayTeam], E$36, Table2[ActualResult], "OT") + SUMIFS(Table2[HomeWon_], Table2[GameIsOver],1,Table2[AwayTeam],$A62, Table2[HomeTeam], E$36, Table2[ActualResult], "SO") + SUMIFS(Table2[AwayWon], Table2[GameIsOver],1,Table2[HomeTeam],$A62, Table2[AwayTeam], E$36, Table2[ActualResult], "SO"))), "")</f>
        <v/>
      </c>
      <c r="F62" t="str">
        <f>IFERROR(((2*SUMIFS(Table2[AwayWon], Table2[GameIsOver],1,Table2[AwayTeam],$A62, Table2[HomeTeam], F$36) + SUMIFS(Table2[HomeWon_], Table2[GameIsOver],1,Table2[HomeTeam],$A62, Table2[AwayTeam], F$36)) + SUMIFS(Table2[AwayWon], Table2[GameIsOver],1,Table2[HomeTeam],$A62, Table2[AwayTeam], F$36, Table2[ActualResult], "REG") + SUMIFS(Table2[HomeWon_], Table2[GameIsOver],1,Table2[AwayTeam],$A62, Table2[HomeTeam], F$36, Table2[ActualResult], "OT") + SUMIFS(Table2[AwayWon], Table2[GameIsOver],1,Table2[HomeTeam],$A62, Table2[AwayTeam], F$36, Table2[ActualResult], "OT") + SUMIFS(Table2[HomeWon_], Table2[GameIsOver],1,Table2[AwayTeam],$A62, Table2[HomeTeam], F$36, Table2[ActualResult], "SO") + SUMIFS(Table2[AwayWon], Table2[GameIsOver],1,Table2[HomeTeam],$A62, Table2[AwayTeam], F$36, Table2[ActualResult], "SO")) / (2*(SUMIFS(Table2[AwayWon], Table2[GameIsOver],1,Table2[AwayTeam],$A62, Table2[HomeTeam], F$36) + SUMIFS(Table2[HomeWon_], Table2[GameIsOver],1,Table2[HomeTeam],$A62, Table2[AwayTeam], F$36) + SUMIFS(Table2[HomeWon_], Table2[GameIsOver],1,Table2[AwayTeam],$A62, Table2[HomeTeam], F$36, Table2[ActualResult], "REG") + SUMIFS(Table2[AwayWon], Table2[GameIsOver],1,Table2[HomeTeam],$A62, Table2[AwayTeam], F$36, Table2[ActualResult], "REG") + SUMIFS(Table2[HomeWon_], Table2[GameIsOver],1,Table2[AwayTeam],$A62, Table2[HomeTeam], F$36, Table2[ActualResult], "OT") + SUMIFS(Table2[AwayWon], Table2[GameIsOver],1,Table2[HomeTeam],$A62, Table2[AwayTeam], F$36, Table2[ActualResult], "OT") + SUMIFS(Table2[HomeWon_], Table2[GameIsOver],1,Table2[AwayTeam],$A62, Table2[HomeTeam], F$36, Table2[ActualResult], "SO") + SUMIFS(Table2[AwayWon], Table2[GameIsOver],1,Table2[HomeTeam],$A62, Table2[AwayTeam], F$36, Table2[ActualResult], "SO"))), "")</f>
        <v/>
      </c>
      <c r="G62" t="str">
        <f>IFERROR(((2*SUMIFS(Table2[AwayWon], Table2[GameIsOver],1,Table2[AwayTeam],$A62, Table2[HomeTeam], G$36) + SUMIFS(Table2[HomeWon_], Table2[GameIsOver],1,Table2[HomeTeam],$A62, Table2[AwayTeam], G$36)) + SUMIFS(Table2[AwayWon], Table2[GameIsOver],1,Table2[HomeTeam],$A62, Table2[AwayTeam], G$36, Table2[ActualResult], "REG") + SUMIFS(Table2[HomeWon_], Table2[GameIsOver],1,Table2[AwayTeam],$A62, Table2[HomeTeam], G$36, Table2[ActualResult], "OT") + SUMIFS(Table2[AwayWon], Table2[GameIsOver],1,Table2[HomeTeam],$A62, Table2[AwayTeam], G$36, Table2[ActualResult], "OT") + SUMIFS(Table2[HomeWon_], Table2[GameIsOver],1,Table2[AwayTeam],$A62, Table2[HomeTeam], G$36, Table2[ActualResult], "SO") + SUMIFS(Table2[AwayWon], Table2[GameIsOver],1,Table2[HomeTeam],$A62, Table2[AwayTeam], G$36, Table2[ActualResult], "SO")) / (2*(SUMIFS(Table2[AwayWon], Table2[GameIsOver],1,Table2[AwayTeam],$A62, Table2[HomeTeam], G$36) + SUMIFS(Table2[HomeWon_], Table2[GameIsOver],1,Table2[HomeTeam],$A62, Table2[AwayTeam], G$36) + SUMIFS(Table2[HomeWon_], Table2[GameIsOver],1,Table2[AwayTeam],$A62, Table2[HomeTeam], G$36, Table2[ActualResult], "REG") + SUMIFS(Table2[AwayWon], Table2[GameIsOver],1,Table2[HomeTeam],$A62, Table2[AwayTeam], G$36, Table2[ActualResult], "REG") + SUMIFS(Table2[HomeWon_], Table2[GameIsOver],1,Table2[AwayTeam],$A62, Table2[HomeTeam], G$36, Table2[ActualResult], "OT") + SUMIFS(Table2[AwayWon], Table2[GameIsOver],1,Table2[HomeTeam],$A62, Table2[AwayTeam], G$36, Table2[ActualResult], "OT") + SUMIFS(Table2[HomeWon_], Table2[GameIsOver],1,Table2[AwayTeam],$A62, Table2[HomeTeam], G$36, Table2[ActualResult], "SO") + SUMIFS(Table2[AwayWon], Table2[GameIsOver],1,Table2[HomeTeam],$A62, Table2[AwayTeam], G$36, Table2[ActualResult], "SO"))), "")</f>
        <v/>
      </c>
      <c r="H62" t="str">
        <f>IFERROR(((2*SUMIFS(Table2[AwayWon], Table2[GameIsOver],1,Table2[AwayTeam],$A62, Table2[HomeTeam], H$36) + SUMIFS(Table2[HomeWon_], Table2[GameIsOver],1,Table2[HomeTeam],$A62, Table2[AwayTeam], H$36)) + SUMIFS(Table2[AwayWon], Table2[GameIsOver],1,Table2[HomeTeam],$A62, Table2[AwayTeam], H$36, Table2[ActualResult], "REG") + SUMIFS(Table2[HomeWon_], Table2[GameIsOver],1,Table2[AwayTeam],$A62, Table2[HomeTeam], H$36, Table2[ActualResult], "OT") + SUMIFS(Table2[AwayWon], Table2[GameIsOver],1,Table2[HomeTeam],$A62, Table2[AwayTeam], H$36, Table2[ActualResult], "OT") + SUMIFS(Table2[HomeWon_], Table2[GameIsOver],1,Table2[AwayTeam],$A62, Table2[HomeTeam], H$36, Table2[ActualResult], "SO") + SUMIFS(Table2[AwayWon], Table2[GameIsOver],1,Table2[HomeTeam],$A62, Table2[AwayTeam], H$36, Table2[ActualResult], "SO")) / (2*(SUMIFS(Table2[AwayWon], Table2[GameIsOver],1,Table2[AwayTeam],$A62, Table2[HomeTeam], H$36) + SUMIFS(Table2[HomeWon_], Table2[GameIsOver],1,Table2[HomeTeam],$A62, Table2[AwayTeam], H$36) + SUMIFS(Table2[HomeWon_], Table2[GameIsOver],1,Table2[AwayTeam],$A62, Table2[HomeTeam], H$36, Table2[ActualResult], "REG") + SUMIFS(Table2[AwayWon], Table2[GameIsOver],1,Table2[HomeTeam],$A62, Table2[AwayTeam], H$36, Table2[ActualResult], "REG") + SUMIFS(Table2[HomeWon_], Table2[GameIsOver],1,Table2[AwayTeam],$A62, Table2[HomeTeam], H$36, Table2[ActualResult], "OT") + SUMIFS(Table2[AwayWon], Table2[GameIsOver],1,Table2[HomeTeam],$A62, Table2[AwayTeam], H$36, Table2[ActualResult], "OT") + SUMIFS(Table2[HomeWon_], Table2[GameIsOver],1,Table2[AwayTeam],$A62, Table2[HomeTeam], H$36, Table2[ActualResult], "SO") + SUMIFS(Table2[AwayWon], Table2[GameIsOver],1,Table2[HomeTeam],$A62, Table2[AwayTeam], H$36, Table2[ActualResult], "SO"))), "")</f>
        <v/>
      </c>
      <c r="I62" s="57" t="str">
        <f>IFERROR(((2*SUMIFS(Table2[AwayWon], Table2[GameIsOver],1,Table2[AwayTeam],$A62, Table2[HomeTeam], I$36) + SUMIFS(Table2[HomeWon_], Table2[GameIsOver],1,Table2[HomeTeam],$A62, Table2[AwayTeam], I$36)) + SUMIFS(Table2[AwayWon], Table2[GameIsOver],1,Table2[HomeTeam],$A62, Table2[AwayTeam], I$36, Table2[ActualResult], "REG") + SUMIFS(Table2[HomeWon_], Table2[GameIsOver],1,Table2[AwayTeam],$A62, Table2[HomeTeam], I$36, Table2[ActualResult], "OT") + SUMIFS(Table2[AwayWon], Table2[GameIsOver],1,Table2[HomeTeam],$A62, Table2[AwayTeam], I$36, Table2[ActualResult], "OT") + SUMIFS(Table2[HomeWon_], Table2[GameIsOver],1,Table2[AwayTeam],$A62, Table2[HomeTeam], I$36, Table2[ActualResult], "SO") + SUMIFS(Table2[AwayWon], Table2[GameIsOver],1,Table2[HomeTeam],$A62, Table2[AwayTeam], I$36, Table2[ActualResult], "SO")) / (2*(SUMIFS(Table2[AwayWon], Table2[GameIsOver],1,Table2[AwayTeam],$A62, Table2[HomeTeam], I$36) + SUMIFS(Table2[HomeWon_], Table2[GameIsOver],1,Table2[HomeTeam],$A62, Table2[AwayTeam], I$36) + SUMIFS(Table2[HomeWon_], Table2[GameIsOver],1,Table2[AwayTeam],$A62, Table2[HomeTeam], I$36, Table2[ActualResult], "REG") + SUMIFS(Table2[AwayWon], Table2[GameIsOver],1,Table2[HomeTeam],$A62, Table2[AwayTeam], I$36, Table2[ActualResult], "REG") + SUMIFS(Table2[HomeWon_], Table2[GameIsOver],1,Table2[AwayTeam],$A62, Table2[HomeTeam], I$36, Table2[ActualResult], "OT") + SUMIFS(Table2[AwayWon], Table2[GameIsOver],1,Table2[HomeTeam],$A62, Table2[AwayTeam], I$36, Table2[ActualResult], "OT") + SUMIFS(Table2[HomeWon_], Table2[GameIsOver],1,Table2[AwayTeam],$A62, Table2[HomeTeam], I$36, Table2[ActualResult], "SO") + SUMIFS(Table2[AwayWon], Table2[GameIsOver],1,Table2[HomeTeam],$A62, Table2[AwayTeam], I$36, Table2[ActualResult], "SO"))), "")</f>
        <v/>
      </c>
      <c r="J62" t="str">
        <f>IFERROR(((2*SUMIFS(Table2[AwayWon], Table2[GameIsOver],1,Table2[AwayTeam],$A62, Table2[HomeTeam], J$36) + SUMIFS(Table2[HomeWon_], Table2[GameIsOver],1,Table2[HomeTeam],$A62, Table2[AwayTeam], J$36)) + SUMIFS(Table2[AwayWon], Table2[GameIsOver],1,Table2[HomeTeam],$A62, Table2[AwayTeam], J$36, Table2[ActualResult], "REG") + SUMIFS(Table2[HomeWon_], Table2[GameIsOver],1,Table2[AwayTeam],$A62, Table2[HomeTeam], J$36, Table2[ActualResult], "OT") + SUMIFS(Table2[AwayWon], Table2[GameIsOver],1,Table2[HomeTeam],$A62, Table2[AwayTeam], J$36, Table2[ActualResult], "OT") + SUMIFS(Table2[HomeWon_], Table2[GameIsOver],1,Table2[AwayTeam],$A62, Table2[HomeTeam], J$36, Table2[ActualResult], "SO") + SUMIFS(Table2[AwayWon], Table2[GameIsOver],1,Table2[HomeTeam],$A62, Table2[AwayTeam], J$36, Table2[ActualResult], "SO")) / (2*(SUMIFS(Table2[AwayWon], Table2[GameIsOver],1,Table2[AwayTeam],$A62, Table2[HomeTeam], J$36) + SUMIFS(Table2[HomeWon_], Table2[GameIsOver],1,Table2[HomeTeam],$A62, Table2[AwayTeam], J$36) + SUMIFS(Table2[HomeWon_], Table2[GameIsOver],1,Table2[AwayTeam],$A62, Table2[HomeTeam], J$36, Table2[ActualResult], "REG") + SUMIFS(Table2[AwayWon], Table2[GameIsOver],1,Table2[HomeTeam],$A62, Table2[AwayTeam], J$36, Table2[ActualResult], "REG") + SUMIFS(Table2[HomeWon_], Table2[GameIsOver],1,Table2[AwayTeam],$A62, Table2[HomeTeam], J$36, Table2[ActualResult], "OT") + SUMIFS(Table2[AwayWon], Table2[GameIsOver],1,Table2[HomeTeam],$A62, Table2[AwayTeam], J$36, Table2[ActualResult], "OT") + SUMIFS(Table2[HomeWon_], Table2[GameIsOver],1,Table2[AwayTeam],$A62, Table2[HomeTeam], J$36, Table2[ActualResult], "SO") + SUMIFS(Table2[AwayWon], Table2[GameIsOver],1,Table2[HomeTeam],$A62, Table2[AwayTeam], J$36, Table2[ActualResult], "SO"))), "")</f>
        <v/>
      </c>
      <c r="K62">
        <f>IFERROR(((2*SUMIFS(Table2[AwayWon], Table2[GameIsOver],1,Table2[AwayTeam],$A62, Table2[HomeTeam], K$36) + SUMIFS(Table2[HomeWon_], Table2[GameIsOver],1,Table2[HomeTeam],$A62, Table2[AwayTeam], K$36)) + SUMIFS(Table2[AwayWon], Table2[GameIsOver],1,Table2[HomeTeam],$A62, Table2[AwayTeam], K$36, Table2[ActualResult], "REG") + SUMIFS(Table2[HomeWon_], Table2[GameIsOver],1,Table2[AwayTeam],$A62, Table2[HomeTeam], K$36, Table2[ActualResult], "OT") + SUMIFS(Table2[AwayWon], Table2[GameIsOver],1,Table2[HomeTeam],$A62, Table2[AwayTeam], K$36, Table2[ActualResult], "OT") + SUMIFS(Table2[HomeWon_], Table2[GameIsOver],1,Table2[AwayTeam],$A62, Table2[HomeTeam], K$36, Table2[ActualResult], "SO") + SUMIFS(Table2[AwayWon], Table2[GameIsOver],1,Table2[HomeTeam],$A62, Table2[AwayTeam], K$36, Table2[ActualResult], "SO")) / (2*(SUMIFS(Table2[AwayWon], Table2[GameIsOver],1,Table2[AwayTeam],$A62, Table2[HomeTeam], K$36) + SUMIFS(Table2[HomeWon_], Table2[GameIsOver],1,Table2[HomeTeam],$A62, Table2[AwayTeam], K$36) + SUMIFS(Table2[HomeWon_], Table2[GameIsOver],1,Table2[AwayTeam],$A62, Table2[HomeTeam], K$36, Table2[ActualResult], "REG") + SUMIFS(Table2[AwayWon], Table2[GameIsOver],1,Table2[HomeTeam],$A62, Table2[AwayTeam], K$36, Table2[ActualResult], "REG") + SUMIFS(Table2[HomeWon_], Table2[GameIsOver],1,Table2[AwayTeam],$A62, Table2[HomeTeam], K$36, Table2[ActualResult], "OT") + SUMIFS(Table2[AwayWon], Table2[GameIsOver],1,Table2[HomeTeam],$A62, Table2[AwayTeam], K$36, Table2[ActualResult], "OT") + SUMIFS(Table2[HomeWon_], Table2[GameIsOver],1,Table2[AwayTeam],$A62, Table2[HomeTeam], K$36, Table2[ActualResult], "SO") + SUMIFS(Table2[AwayWon], Table2[GameIsOver],1,Table2[HomeTeam],$A62, Table2[AwayTeam], K$36, Table2[ActualResult], "SO"))), "")</f>
        <v>0.5</v>
      </c>
      <c r="L62" t="str">
        <f>IFERROR(((2*SUMIFS(Table2[AwayWon], Table2[GameIsOver],1,Table2[AwayTeam],$A62, Table2[HomeTeam], L$36) + SUMIFS(Table2[HomeWon_], Table2[GameIsOver],1,Table2[HomeTeam],$A62, Table2[AwayTeam], L$36)) + SUMIFS(Table2[AwayWon], Table2[GameIsOver],1,Table2[HomeTeam],$A62, Table2[AwayTeam], L$36, Table2[ActualResult], "REG") + SUMIFS(Table2[HomeWon_], Table2[GameIsOver],1,Table2[AwayTeam],$A62, Table2[HomeTeam], L$36, Table2[ActualResult], "OT") + SUMIFS(Table2[AwayWon], Table2[GameIsOver],1,Table2[HomeTeam],$A62, Table2[AwayTeam], L$36, Table2[ActualResult], "OT") + SUMIFS(Table2[HomeWon_], Table2[GameIsOver],1,Table2[AwayTeam],$A62, Table2[HomeTeam], L$36, Table2[ActualResult], "SO") + SUMIFS(Table2[AwayWon], Table2[GameIsOver],1,Table2[HomeTeam],$A62, Table2[AwayTeam], L$36, Table2[ActualResult], "SO")) / (2*(SUMIFS(Table2[AwayWon], Table2[GameIsOver],1,Table2[AwayTeam],$A62, Table2[HomeTeam], L$36) + SUMIFS(Table2[HomeWon_], Table2[GameIsOver],1,Table2[HomeTeam],$A62, Table2[AwayTeam], L$36) + SUMIFS(Table2[HomeWon_], Table2[GameIsOver],1,Table2[AwayTeam],$A62, Table2[HomeTeam], L$36, Table2[ActualResult], "REG") + SUMIFS(Table2[AwayWon], Table2[GameIsOver],1,Table2[HomeTeam],$A62, Table2[AwayTeam], L$36, Table2[ActualResult], "REG") + SUMIFS(Table2[HomeWon_], Table2[GameIsOver],1,Table2[AwayTeam],$A62, Table2[HomeTeam], L$36, Table2[ActualResult], "OT") + SUMIFS(Table2[AwayWon], Table2[GameIsOver],1,Table2[HomeTeam],$A62, Table2[AwayTeam], L$36, Table2[ActualResult], "OT") + SUMIFS(Table2[HomeWon_], Table2[GameIsOver],1,Table2[AwayTeam],$A62, Table2[HomeTeam], L$36, Table2[ActualResult], "SO") + SUMIFS(Table2[AwayWon], Table2[GameIsOver],1,Table2[HomeTeam],$A62, Table2[AwayTeam], L$36, Table2[ActualResult], "SO"))), "")</f>
        <v/>
      </c>
      <c r="M62" t="str">
        <f>IFERROR(((2*SUMIFS(Table2[AwayWon], Table2[GameIsOver],1,Table2[AwayTeam],$A62, Table2[HomeTeam], M$36) + SUMIFS(Table2[HomeWon_], Table2[GameIsOver],1,Table2[HomeTeam],$A62, Table2[AwayTeam], M$36)) + SUMIFS(Table2[AwayWon], Table2[GameIsOver],1,Table2[HomeTeam],$A62, Table2[AwayTeam], M$36, Table2[ActualResult], "REG") + SUMIFS(Table2[HomeWon_], Table2[GameIsOver],1,Table2[AwayTeam],$A62, Table2[HomeTeam], M$36, Table2[ActualResult], "OT") + SUMIFS(Table2[AwayWon], Table2[GameIsOver],1,Table2[HomeTeam],$A62, Table2[AwayTeam], M$36, Table2[ActualResult], "OT") + SUMIFS(Table2[HomeWon_], Table2[GameIsOver],1,Table2[AwayTeam],$A62, Table2[HomeTeam], M$36, Table2[ActualResult], "SO") + SUMIFS(Table2[AwayWon], Table2[GameIsOver],1,Table2[HomeTeam],$A62, Table2[AwayTeam], M$36, Table2[ActualResult], "SO")) / (2*(SUMIFS(Table2[AwayWon], Table2[GameIsOver],1,Table2[AwayTeam],$A62, Table2[HomeTeam], M$36) + SUMIFS(Table2[HomeWon_], Table2[GameIsOver],1,Table2[HomeTeam],$A62, Table2[AwayTeam], M$36) + SUMIFS(Table2[HomeWon_], Table2[GameIsOver],1,Table2[AwayTeam],$A62, Table2[HomeTeam], M$36, Table2[ActualResult], "REG") + SUMIFS(Table2[AwayWon], Table2[GameIsOver],1,Table2[HomeTeam],$A62, Table2[AwayTeam], M$36, Table2[ActualResult], "REG") + SUMIFS(Table2[HomeWon_], Table2[GameIsOver],1,Table2[AwayTeam],$A62, Table2[HomeTeam], M$36, Table2[ActualResult], "OT") + SUMIFS(Table2[AwayWon], Table2[GameIsOver],1,Table2[HomeTeam],$A62, Table2[AwayTeam], M$36, Table2[ActualResult], "OT") + SUMIFS(Table2[HomeWon_], Table2[GameIsOver],1,Table2[AwayTeam],$A62, Table2[HomeTeam], M$36, Table2[ActualResult], "SO") + SUMIFS(Table2[AwayWon], Table2[GameIsOver],1,Table2[HomeTeam],$A62, Table2[AwayTeam], M$36, Table2[ActualResult], "SO"))), "")</f>
        <v/>
      </c>
      <c r="N62" t="str">
        <f>IFERROR(((2*SUMIFS(Table2[AwayWon], Table2[GameIsOver],1,Table2[AwayTeam],$A62, Table2[HomeTeam], N$36) + SUMIFS(Table2[HomeWon_], Table2[GameIsOver],1,Table2[HomeTeam],$A62, Table2[AwayTeam], N$36)) + SUMIFS(Table2[AwayWon], Table2[GameIsOver],1,Table2[HomeTeam],$A62, Table2[AwayTeam], N$36, Table2[ActualResult], "REG") + SUMIFS(Table2[HomeWon_], Table2[GameIsOver],1,Table2[AwayTeam],$A62, Table2[HomeTeam], N$36, Table2[ActualResult], "OT") + SUMIFS(Table2[AwayWon], Table2[GameIsOver],1,Table2[HomeTeam],$A62, Table2[AwayTeam], N$36, Table2[ActualResult], "OT") + SUMIFS(Table2[HomeWon_], Table2[GameIsOver],1,Table2[AwayTeam],$A62, Table2[HomeTeam], N$36, Table2[ActualResult], "SO") + SUMIFS(Table2[AwayWon], Table2[GameIsOver],1,Table2[HomeTeam],$A62, Table2[AwayTeam], N$36, Table2[ActualResult], "SO")) / (2*(SUMIFS(Table2[AwayWon], Table2[GameIsOver],1,Table2[AwayTeam],$A62, Table2[HomeTeam], N$36) + SUMIFS(Table2[HomeWon_], Table2[GameIsOver],1,Table2[HomeTeam],$A62, Table2[AwayTeam], N$36) + SUMIFS(Table2[HomeWon_], Table2[GameIsOver],1,Table2[AwayTeam],$A62, Table2[HomeTeam], N$36, Table2[ActualResult], "REG") + SUMIFS(Table2[AwayWon], Table2[GameIsOver],1,Table2[HomeTeam],$A62, Table2[AwayTeam], N$36, Table2[ActualResult], "REG") + SUMIFS(Table2[HomeWon_], Table2[GameIsOver],1,Table2[AwayTeam],$A62, Table2[HomeTeam], N$36, Table2[ActualResult], "OT") + SUMIFS(Table2[AwayWon], Table2[GameIsOver],1,Table2[HomeTeam],$A62, Table2[AwayTeam], N$36, Table2[ActualResult], "OT") + SUMIFS(Table2[HomeWon_], Table2[GameIsOver],1,Table2[AwayTeam],$A62, Table2[HomeTeam], N$36, Table2[ActualResult], "SO") + SUMIFS(Table2[AwayWon], Table2[GameIsOver],1,Table2[HomeTeam],$A62, Table2[AwayTeam], N$36, Table2[ActualResult], "SO"))), "")</f>
        <v/>
      </c>
      <c r="O62" t="str">
        <f>IFERROR(((2*SUMIFS(Table2[AwayWon], Table2[GameIsOver],1,Table2[AwayTeam],$A62, Table2[HomeTeam], O$36) + SUMIFS(Table2[HomeWon_], Table2[GameIsOver],1,Table2[HomeTeam],$A62, Table2[AwayTeam], O$36)) + SUMIFS(Table2[AwayWon], Table2[GameIsOver],1,Table2[HomeTeam],$A62, Table2[AwayTeam], O$36, Table2[ActualResult], "REG") + SUMIFS(Table2[HomeWon_], Table2[GameIsOver],1,Table2[AwayTeam],$A62, Table2[HomeTeam], O$36, Table2[ActualResult], "OT") + SUMIFS(Table2[AwayWon], Table2[GameIsOver],1,Table2[HomeTeam],$A62, Table2[AwayTeam], O$36, Table2[ActualResult], "OT") + SUMIFS(Table2[HomeWon_], Table2[GameIsOver],1,Table2[AwayTeam],$A62, Table2[HomeTeam], O$36, Table2[ActualResult], "SO") + SUMIFS(Table2[AwayWon], Table2[GameIsOver],1,Table2[HomeTeam],$A62, Table2[AwayTeam], O$36, Table2[ActualResult], "SO")) / (2*(SUMIFS(Table2[AwayWon], Table2[GameIsOver],1,Table2[AwayTeam],$A62, Table2[HomeTeam], O$36) + SUMIFS(Table2[HomeWon_], Table2[GameIsOver],1,Table2[HomeTeam],$A62, Table2[AwayTeam], O$36) + SUMIFS(Table2[HomeWon_], Table2[GameIsOver],1,Table2[AwayTeam],$A62, Table2[HomeTeam], O$36, Table2[ActualResult], "REG") + SUMIFS(Table2[AwayWon], Table2[GameIsOver],1,Table2[HomeTeam],$A62, Table2[AwayTeam], O$36, Table2[ActualResult], "REG") + SUMIFS(Table2[HomeWon_], Table2[GameIsOver],1,Table2[AwayTeam],$A62, Table2[HomeTeam], O$36, Table2[ActualResult], "OT") + SUMIFS(Table2[AwayWon], Table2[GameIsOver],1,Table2[HomeTeam],$A62, Table2[AwayTeam], O$36, Table2[ActualResult], "OT") + SUMIFS(Table2[HomeWon_], Table2[GameIsOver],1,Table2[AwayTeam],$A62, Table2[HomeTeam], O$36, Table2[ActualResult], "SO") + SUMIFS(Table2[AwayWon], Table2[GameIsOver],1,Table2[HomeTeam],$A62, Table2[AwayTeam], O$36, Table2[ActualResult], "SO"))), "")</f>
        <v/>
      </c>
      <c r="P62" t="str">
        <f>IFERROR(((2*SUMIFS(Table2[AwayWon], Table2[GameIsOver],1,Table2[AwayTeam],$A62, Table2[HomeTeam], P$36) + SUMIFS(Table2[HomeWon_], Table2[GameIsOver],1,Table2[HomeTeam],$A62, Table2[AwayTeam], P$36)) + SUMIFS(Table2[AwayWon], Table2[GameIsOver],1,Table2[HomeTeam],$A62, Table2[AwayTeam], P$36, Table2[ActualResult], "REG") + SUMIFS(Table2[HomeWon_], Table2[GameIsOver],1,Table2[AwayTeam],$A62, Table2[HomeTeam], P$36, Table2[ActualResult], "OT") + SUMIFS(Table2[AwayWon], Table2[GameIsOver],1,Table2[HomeTeam],$A62, Table2[AwayTeam], P$36, Table2[ActualResult], "OT") + SUMIFS(Table2[HomeWon_], Table2[GameIsOver],1,Table2[AwayTeam],$A62, Table2[HomeTeam], P$36, Table2[ActualResult], "SO") + SUMIFS(Table2[AwayWon], Table2[GameIsOver],1,Table2[HomeTeam],$A62, Table2[AwayTeam], P$36, Table2[ActualResult], "SO")) / (2*(SUMIFS(Table2[AwayWon], Table2[GameIsOver],1,Table2[AwayTeam],$A62, Table2[HomeTeam], P$36) + SUMIFS(Table2[HomeWon_], Table2[GameIsOver],1,Table2[HomeTeam],$A62, Table2[AwayTeam], P$36) + SUMIFS(Table2[HomeWon_], Table2[GameIsOver],1,Table2[AwayTeam],$A62, Table2[HomeTeam], P$36, Table2[ActualResult], "REG") + SUMIFS(Table2[AwayWon], Table2[GameIsOver],1,Table2[HomeTeam],$A62, Table2[AwayTeam], P$36, Table2[ActualResult], "REG") + SUMIFS(Table2[HomeWon_], Table2[GameIsOver],1,Table2[AwayTeam],$A62, Table2[HomeTeam], P$36, Table2[ActualResult], "OT") + SUMIFS(Table2[AwayWon], Table2[GameIsOver],1,Table2[HomeTeam],$A62, Table2[AwayTeam], P$36, Table2[ActualResult], "OT") + SUMIFS(Table2[HomeWon_], Table2[GameIsOver],1,Table2[AwayTeam],$A62, Table2[HomeTeam], P$36, Table2[ActualResult], "SO") + SUMIFS(Table2[AwayWon], Table2[GameIsOver],1,Table2[HomeTeam],$A62, Table2[AwayTeam], P$36, Table2[ActualResult], "SO"))), "")</f>
        <v/>
      </c>
      <c r="Q62" s="57" t="str">
        <f>IFERROR(((2*SUMIFS(Table2[AwayWon], Table2[GameIsOver],1,Table2[AwayTeam],$A62, Table2[HomeTeam], Q$36) + SUMIFS(Table2[HomeWon_], Table2[GameIsOver],1,Table2[HomeTeam],$A62, Table2[AwayTeam], Q$36)) + SUMIFS(Table2[AwayWon], Table2[GameIsOver],1,Table2[HomeTeam],$A62, Table2[AwayTeam], Q$36, Table2[ActualResult], "REG") + SUMIFS(Table2[HomeWon_], Table2[GameIsOver],1,Table2[AwayTeam],$A62, Table2[HomeTeam], Q$36, Table2[ActualResult], "OT") + SUMIFS(Table2[AwayWon], Table2[GameIsOver],1,Table2[HomeTeam],$A62, Table2[AwayTeam], Q$36, Table2[ActualResult], "OT") + SUMIFS(Table2[HomeWon_], Table2[GameIsOver],1,Table2[AwayTeam],$A62, Table2[HomeTeam], Q$36, Table2[ActualResult], "SO") + SUMIFS(Table2[AwayWon], Table2[GameIsOver],1,Table2[HomeTeam],$A62, Table2[AwayTeam], Q$36, Table2[ActualResult], "SO")) / (2*(SUMIFS(Table2[AwayWon], Table2[GameIsOver],1,Table2[AwayTeam],$A62, Table2[HomeTeam], Q$36) + SUMIFS(Table2[HomeWon_], Table2[GameIsOver],1,Table2[HomeTeam],$A62, Table2[AwayTeam], Q$36) + SUMIFS(Table2[HomeWon_], Table2[GameIsOver],1,Table2[AwayTeam],$A62, Table2[HomeTeam], Q$36, Table2[ActualResult], "REG") + SUMIFS(Table2[AwayWon], Table2[GameIsOver],1,Table2[HomeTeam],$A62, Table2[AwayTeam], Q$36, Table2[ActualResult], "REG") + SUMIFS(Table2[HomeWon_], Table2[GameIsOver],1,Table2[AwayTeam],$A62, Table2[HomeTeam], Q$36, Table2[ActualResult], "OT") + SUMIFS(Table2[AwayWon], Table2[GameIsOver],1,Table2[HomeTeam],$A62, Table2[AwayTeam], Q$36, Table2[ActualResult], "OT") + SUMIFS(Table2[HomeWon_], Table2[GameIsOver],1,Table2[AwayTeam],$A62, Table2[HomeTeam], Q$36, Table2[ActualResult], "SO") + SUMIFS(Table2[AwayWon], Table2[GameIsOver],1,Table2[HomeTeam],$A62, Table2[AwayTeam], Q$36, Table2[ActualResult], "SO"))), "")</f>
        <v/>
      </c>
      <c r="R62" t="str">
        <f>IFERROR(((2*SUMIFS(Table2[AwayWon], Table2[GameIsOver],1,Table2[AwayTeam],$A62, Table2[HomeTeam], R$36) + SUMIFS(Table2[HomeWon_], Table2[GameIsOver],1,Table2[HomeTeam],$A62, Table2[AwayTeam], R$36)) + SUMIFS(Table2[AwayWon], Table2[GameIsOver],1,Table2[HomeTeam],$A62, Table2[AwayTeam], R$36, Table2[ActualResult], "REG") + SUMIFS(Table2[HomeWon_], Table2[GameIsOver],1,Table2[AwayTeam],$A62, Table2[HomeTeam], R$36, Table2[ActualResult], "OT") + SUMIFS(Table2[AwayWon], Table2[GameIsOver],1,Table2[HomeTeam],$A62, Table2[AwayTeam], R$36, Table2[ActualResult], "OT") + SUMIFS(Table2[HomeWon_], Table2[GameIsOver],1,Table2[AwayTeam],$A62, Table2[HomeTeam], R$36, Table2[ActualResult], "SO") + SUMIFS(Table2[AwayWon], Table2[GameIsOver],1,Table2[HomeTeam],$A62, Table2[AwayTeam], R$36, Table2[ActualResult], "SO")) / (2*(SUMIFS(Table2[AwayWon], Table2[GameIsOver],1,Table2[AwayTeam],$A62, Table2[HomeTeam], R$36) + SUMIFS(Table2[HomeWon_], Table2[GameIsOver],1,Table2[HomeTeam],$A62, Table2[AwayTeam], R$36) + SUMIFS(Table2[HomeWon_], Table2[GameIsOver],1,Table2[AwayTeam],$A62, Table2[HomeTeam], R$36, Table2[ActualResult], "REG") + SUMIFS(Table2[AwayWon], Table2[GameIsOver],1,Table2[HomeTeam],$A62, Table2[AwayTeam], R$36, Table2[ActualResult], "REG") + SUMIFS(Table2[HomeWon_], Table2[GameIsOver],1,Table2[AwayTeam],$A62, Table2[HomeTeam], R$36, Table2[ActualResult], "OT") + SUMIFS(Table2[AwayWon], Table2[GameIsOver],1,Table2[HomeTeam],$A62, Table2[AwayTeam], R$36, Table2[ActualResult], "OT") + SUMIFS(Table2[HomeWon_], Table2[GameIsOver],1,Table2[AwayTeam],$A62, Table2[HomeTeam], R$36, Table2[ActualResult], "SO") + SUMIFS(Table2[AwayWon], Table2[GameIsOver],1,Table2[HomeTeam],$A62, Table2[AwayTeam], R$36, Table2[ActualResult], "SO"))), "")</f>
        <v/>
      </c>
      <c r="S62" t="str">
        <f>IFERROR(((2*SUMIFS(Table2[AwayWon], Table2[GameIsOver],1,Table2[AwayTeam],$A62, Table2[HomeTeam], S$36) + SUMIFS(Table2[HomeWon_], Table2[GameIsOver],1,Table2[HomeTeam],$A62, Table2[AwayTeam], S$36)) + SUMIFS(Table2[AwayWon], Table2[GameIsOver],1,Table2[HomeTeam],$A62, Table2[AwayTeam], S$36, Table2[ActualResult], "REG") + SUMIFS(Table2[HomeWon_], Table2[GameIsOver],1,Table2[AwayTeam],$A62, Table2[HomeTeam], S$36, Table2[ActualResult], "OT") + SUMIFS(Table2[AwayWon], Table2[GameIsOver],1,Table2[HomeTeam],$A62, Table2[AwayTeam], S$36, Table2[ActualResult], "OT") + SUMIFS(Table2[HomeWon_], Table2[GameIsOver],1,Table2[AwayTeam],$A62, Table2[HomeTeam], S$36, Table2[ActualResult], "SO") + SUMIFS(Table2[AwayWon], Table2[GameIsOver],1,Table2[HomeTeam],$A62, Table2[AwayTeam], S$36, Table2[ActualResult], "SO")) / (2*(SUMIFS(Table2[AwayWon], Table2[GameIsOver],1,Table2[AwayTeam],$A62, Table2[HomeTeam], S$36) + SUMIFS(Table2[HomeWon_], Table2[GameIsOver],1,Table2[HomeTeam],$A62, Table2[AwayTeam], S$36) + SUMIFS(Table2[HomeWon_], Table2[GameIsOver],1,Table2[AwayTeam],$A62, Table2[HomeTeam], S$36, Table2[ActualResult], "REG") + SUMIFS(Table2[AwayWon], Table2[GameIsOver],1,Table2[HomeTeam],$A62, Table2[AwayTeam], S$36, Table2[ActualResult], "REG") + SUMIFS(Table2[HomeWon_], Table2[GameIsOver],1,Table2[AwayTeam],$A62, Table2[HomeTeam], S$36, Table2[ActualResult], "OT") + SUMIFS(Table2[AwayWon], Table2[GameIsOver],1,Table2[HomeTeam],$A62, Table2[AwayTeam], S$36, Table2[ActualResult], "OT") + SUMIFS(Table2[HomeWon_], Table2[GameIsOver],1,Table2[AwayTeam],$A62, Table2[HomeTeam], S$36, Table2[ActualResult], "SO") + SUMIFS(Table2[AwayWon], Table2[GameIsOver],1,Table2[HomeTeam],$A62, Table2[AwayTeam], S$36, Table2[ActualResult], "SO"))), "")</f>
        <v/>
      </c>
      <c r="T62" t="str">
        <f>IFERROR(((2*SUMIFS(Table2[AwayWon], Table2[GameIsOver],1,Table2[AwayTeam],$A62, Table2[HomeTeam], T$36) + SUMIFS(Table2[HomeWon_], Table2[GameIsOver],1,Table2[HomeTeam],$A62, Table2[AwayTeam], T$36)) + SUMIFS(Table2[AwayWon], Table2[GameIsOver],1,Table2[HomeTeam],$A62, Table2[AwayTeam], T$36, Table2[ActualResult], "REG") + SUMIFS(Table2[HomeWon_], Table2[GameIsOver],1,Table2[AwayTeam],$A62, Table2[HomeTeam], T$36, Table2[ActualResult], "OT") + SUMIFS(Table2[AwayWon], Table2[GameIsOver],1,Table2[HomeTeam],$A62, Table2[AwayTeam], T$36, Table2[ActualResult], "OT") + SUMIFS(Table2[HomeWon_], Table2[GameIsOver],1,Table2[AwayTeam],$A62, Table2[HomeTeam], T$36, Table2[ActualResult], "SO") + SUMIFS(Table2[AwayWon], Table2[GameIsOver],1,Table2[HomeTeam],$A62, Table2[AwayTeam], T$36, Table2[ActualResult], "SO")) / (2*(SUMIFS(Table2[AwayWon], Table2[GameIsOver],1,Table2[AwayTeam],$A62, Table2[HomeTeam], T$36) + SUMIFS(Table2[HomeWon_], Table2[GameIsOver],1,Table2[HomeTeam],$A62, Table2[AwayTeam], T$36) + SUMIFS(Table2[HomeWon_], Table2[GameIsOver],1,Table2[AwayTeam],$A62, Table2[HomeTeam], T$36, Table2[ActualResult], "REG") + SUMIFS(Table2[AwayWon], Table2[GameIsOver],1,Table2[HomeTeam],$A62, Table2[AwayTeam], T$36, Table2[ActualResult], "REG") + SUMIFS(Table2[HomeWon_], Table2[GameIsOver],1,Table2[AwayTeam],$A62, Table2[HomeTeam], T$36, Table2[ActualResult], "OT") + SUMIFS(Table2[AwayWon], Table2[GameIsOver],1,Table2[HomeTeam],$A62, Table2[AwayTeam], T$36, Table2[ActualResult], "OT") + SUMIFS(Table2[HomeWon_], Table2[GameIsOver],1,Table2[AwayTeam],$A62, Table2[HomeTeam], T$36, Table2[ActualResult], "SO") + SUMIFS(Table2[AwayWon], Table2[GameIsOver],1,Table2[HomeTeam],$A62, Table2[AwayTeam], T$36, Table2[ActualResult], "SO"))), "")</f>
        <v/>
      </c>
      <c r="U62" t="str">
        <f>IFERROR(((2*SUMIFS(Table2[AwayWon], Table2[GameIsOver],1,Table2[AwayTeam],$A62, Table2[HomeTeam], U$36) + SUMIFS(Table2[HomeWon_], Table2[GameIsOver],1,Table2[HomeTeam],$A62, Table2[AwayTeam], U$36)) + SUMIFS(Table2[AwayWon], Table2[GameIsOver],1,Table2[HomeTeam],$A62, Table2[AwayTeam], U$36, Table2[ActualResult], "REG") + SUMIFS(Table2[HomeWon_], Table2[GameIsOver],1,Table2[AwayTeam],$A62, Table2[HomeTeam], U$36, Table2[ActualResult], "OT") + SUMIFS(Table2[AwayWon], Table2[GameIsOver],1,Table2[HomeTeam],$A62, Table2[AwayTeam], U$36, Table2[ActualResult], "OT") + SUMIFS(Table2[HomeWon_], Table2[GameIsOver],1,Table2[AwayTeam],$A62, Table2[HomeTeam], U$36, Table2[ActualResult], "SO") + SUMIFS(Table2[AwayWon], Table2[GameIsOver],1,Table2[HomeTeam],$A62, Table2[AwayTeam], U$36, Table2[ActualResult], "SO")) / (2*(SUMIFS(Table2[AwayWon], Table2[GameIsOver],1,Table2[AwayTeam],$A62, Table2[HomeTeam], U$36) + SUMIFS(Table2[HomeWon_], Table2[GameIsOver],1,Table2[HomeTeam],$A62, Table2[AwayTeam], U$36) + SUMIFS(Table2[HomeWon_], Table2[GameIsOver],1,Table2[AwayTeam],$A62, Table2[HomeTeam], U$36, Table2[ActualResult], "REG") + SUMIFS(Table2[AwayWon], Table2[GameIsOver],1,Table2[HomeTeam],$A62, Table2[AwayTeam], U$36, Table2[ActualResult], "REG") + SUMIFS(Table2[HomeWon_], Table2[GameIsOver],1,Table2[AwayTeam],$A62, Table2[HomeTeam], U$36, Table2[ActualResult], "OT") + SUMIFS(Table2[AwayWon], Table2[GameIsOver],1,Table2[HomeTeam],$A62, Table2[AwayTeam], U$36, Table2[ActualResult], "OT") + SUMIFS(Table2[HomeWon_], Table2[GameIsOver],1,Table2[AwayTeam],$A62, Table2[HomeTeam], U$36, Table2[ActualResult], "SO") + SUMIFS(Table2[AwayWon], Table2[GameIsOver],1,Table2[HomeTeam],$A62, Table2[AwayTeam], U$36, Table2[ActualResult], "SO"))), "")</f>
        <v/>
      </c>
      <c r="V62">
        <f>IFERROR(((2*SUMIFS(Table2[AwayWon], Table2[GameIsOver],1,Table2[AwayTeam],$A62, Table2[HomeTeam], V$36) + SUMIFS(Table2[HomeWon_], Table2[GameIsOver],1,Table2[HomeTeam],$A62, Table2[AwayTeam], V$36)) + SUMIFS(Table2[AwayWon], Table2[GameIsOver],1,Table2[HomeTeam],$A62, Table2[AwayTeam], V$36, Table2[ActualResult], "REG") + SUMIFS(Table2[HomeWon_], Table2[GameIsOver],1,Table2[AwayTeam],$A62, Table2[HomeTeam], V$36, Table2[ActualResult], "OT") + SUMIFS(Table2[AwayWon], Table2[GameIsOver],1,Table2[HomeTeam],$A62, Table2[AwayTeam], V$36, Table2[ActualResult], "OT") + SUMIFS(Table2[HomeWon_], Table2[GameIsOver],1,Table2[AwayTeam],$A62, Table2[HomeTeam], V$36, Table2[ActualResult], "SO") + SUMIFS(Table2[AwayWon], Table2[GameIsOver],1,Table2[HomeTeam],$A62, Table2[AwayTeam], V$36, Table2[ActualResult], "SO")) / (2*(SUMIFS(Table2[AwayWon], Table2[GameIsOver],1,Table2[AwayTeam],$A62, Table2[HomeTeam], V$36) + SUMIFS(Table2[HomeWon_], Table2[GameIsOver],1,Table2[HomeTeam],$A62, Table2[AwayTeam], V$36) + SUMIFS(Table2[HomeWon_], Table2[GameIsOver],1,Table2[AwayTeam],$A62, Table2[HomeTeam], V$36, Table2[ActualResult], "REG") + SUMIFS(Table2[AwayWon], Table2[GameIsOver],1,Table2[HomeTeam],$A62, Table2[AwayTeam], V$36, Table2[ActualResult], "REG") + SUMIFS(Table2[HomeWon_], Table2[GameIsOver],1,Table2[AwayTeam],$A62, Table2[HomeTeam], V$36, Table2[ActualResult], "OT") + SUMIFS(Table2[AwayWon], Table2[GameIsOver],1,Table2[HomeTeam],$A62, Table2[AwayTeam], V$36, Table2[ActualResult], "OT") + SUMIFS(Table2[HomeWon_], Table2[GameIsOver],1,Table2[AwayTeam],$A62, Table2[HomeTeam], V$36, Table2[ActualResult], "SO") + SUMIFS(Table2[AwayWon], Table2[GameIsOver],1,Table2[HomeTeam],$A62, Table2[AwayTeam], V$36, Table2[ActualResult], "SO"))), "")</f>
        <v>0.5</v>
      </c>
      <c r="W62" t="str">
        <f>IFERROR(((2*SUMIFS(Table2[AwayWon], Table2[GameIsOver],1,Table2[AwayTeam],$A62, Table2[HomeTeam], W$36) + SUMIFS(Table2[HomeWon_], Table2[GameIsOver],1,Table2[HomeTeam],$A62, Table2[AwayTeam], W$36)) + SUMIFS(Table2[AwayWon], Table2[GameIsOver],1,Table2[HomeTeam],$A62, Table2[AwayTeam], W$36, Table2[ActualResult], "REG") + SUMIFS(Table2[HomeWon_], Table2[GameIsOver],1,Table2[AwayTeam],$A62, Table2[HomeTeam], W$36, Table2[ActualResult], "OT") + SUMIFS(Table2[AwayWon], Table2[GameIsOver],1,Table2[HomeTeam],$A62, Table2[AwayTeam], W$36, Table2[ActualResult], "OT") + SUMIFS(Table2[HomeWon_], Table2[GameIsOver],1,Table2[AwayTeam],$A62, Table2[HomeTeam], W$36, Table2[ActualResult], "SO") + SUMIFS(Table2[AwayWon], Table2[GameIsOver],1,Table2[HomeTeam],$A62, Table2[AwayTeam], W$36, Table2[ActualResult], "SO")) / (2*(SUMIFS(Table2[AwayWon], Table2[GameIsOver],1,Table2[AwayTeam],$A62, Table2[HomeTeam], W$36) + SUMIFS(Table2[HomeWon_], Table2[GameIsOver],1,Table2[HomeTeam],$A62, Table2[AwayTeam], W$36) + SUMIFS(Table2[HomeWon_], Table2[GameIsOver],1,Table2[AwayTeam],$A62, Table2[HomeTeam], W$36, Table2[ActualResult], "REG") + SUMIFS(Table2[AwayWon], Table2[GameIsOver],1,Table2[HomeTeam],$A62, Table2[AwayTeam], W$36, Table2[ActualResult], "REG") + SUMIFS(Table2[HomeWon_], Table2[GameIsOver],1,Table2[AwayTeam],$A62, Table2[HomeTeam], W$36, Table2[ActualResult], "OT") + SUMIFS(Table2[AwayWon], Table2[GameIsOver],1,Table2[HomeTeam],$A62, Table2[AwayTeam], W$36, Table2[ActualResult], "OT") + SUMIFS(Table2[HomeWon_], Table2[GameIsOver],1,Table2[AwayTeam],$A62, Table2[HomeTeam], W$36, Table2[ActualResult], "SO") + SUMIFS(Table2[AwayWon], Table2[GameIsOver],1,Table2[HomeTeam],$A62, Table2[AwayTeam], W$36, Table2[ActualResult], "SO"))), "")</f>
        <v/>
      </c>
      <c r="X62" t="str">
        <f>IFERROR(((2*SUMIFS(Table2[AwayWon], Table2[GameIsOver],1,Table2[AwayTeam],$A62, Table2[HomeTeam], X$36) + SUMIFS(Table2[HomeWon_], Table2[GameIsOver],1,Table2[HomeTeam],$A62, Table2[AwayTeam], X$36)) + SUMIFS(Table2[AwayWon], Table2[GameIsOver],1,Table2[HomeTeam],$A62, Table2[AwayTeam], X$36, Table2[ActualResult], "REG") + SUMIFS(Table2[HomeWon_], Table2[GameIsOver],1,Table2[AwayTeam],$A62, Table2[HomeTeam], X$36, Table2[ActualResult], "OT") + SUMIFS(Table2[AwayWon], Table2[GameIsOver],1,Table2[HomeTeam],$A62, Table2[AwayTeam], X$36, Table2[ActualResult], "OT") + SUMIFS(Table2[HomeWon_], Table2[GameIsOver],1,Table2[AwayTeam],$A62, Table2[HomeTeam], X$36, Table2[ActualResult], "SO") + SUMIFS(Table2[AwayWon], Table2[GameIsOver],1,Table2[HomeTeam],$A62, Table2[AwayTeam], X$36, Table2[ActualResult], "SO")) / (2*(SUMIFS(Table2[AwayWon], Table2[GameIsOver],1,Table2[AwayTeam],$A62, Table2[HomeTeam], X$36) + SUMIFS(Table2[HomeWon_], Table2[GameIsOver],1,Table2[HomeTeam],$A62, Table2[AwayTeam], X$36) + SUMIFS(Table2[HomeWon_], Table2[GameIsOver],1,Table2[AwayTeam],$A62, Table2[HomeTeam], X$36, Table2[ActualResult], "REG") + SUMIFS(Table2[AwayWon], Table2[GameIsOver],1,Table2[HomeTeam],$A62, Table2[AwayTeam], X$36, Table2[ActualResult], "REG") + SUMIFS(Table2[HomeWon_], Table2[GameIsOver],1,Table2[AwayTeam],$A62, Table2[HomeTeam], X$36, Table2[ActualResult], "OT") + SUMIFS(Table2[AwayWon], Table2[GameIsOver],1,Table2[HomeTeam],$A62, Table2[AwayTeam], X$36, Table2[ActualResult], "OT") + SUMIFS(Table2[HomeWon_], Table2[GameIsOver],1,Table2[AwayTeam],$A62, Table2[HomeTeam], X$36, Table2[ActualResult], "SO") + SUMIFS(Table2[AwayWon], Table2[GameIsOver],1,Table2[HomeTeam],$A62, Table2[AwayTeam], X$36, Table2[ActualResult], "SO"))), "")</f>
        <v/>
      </c>
      <c r="Y62" s="57" t="str">
        <f>IFERROR(((2*SUMIFS(Table2[AwayWon], Table2[GameIsOver],1,Table2[AwayTeam],$A62, Table2[HomeTeam], Y$36) + SUMIFS(Table2[HomeWon_], Table2[GameIsOver],1,Table2[HomeTeam],$A62, Table2[AwayTeam], Y$36)) + SUMIFS(Table2[AwayWon], Table2[GameIsOver],1,Table2[HomeTeam],$A62, Table2[AwayTeam], Y$36, Table2[ActualResult], "REG") + SUMIFS(Table2[HomeWon_], Table2[GameIsOver],1,Table2[AwayTeam],$A62, Table2[HomeTeam], Y$36, Table2[ActualResult], "OT") + SUMIFS(Table2[AwayWon], Table2[GameIsOver],1,Table2[HomeTeam],$A62, Table2[AwayTeam], Y$36, Table2[ActualResult], "OT") + SUMIFS(Table2[HomeWon_], Table2[GameIsOver],1,Table2[AwayTeam],$A62, Table2[HomeTeam], Y$36, Table2[ActualResult], "SO") + SUMIFS(Table2[AwayWon], Table2[GameIsOver],1,Table2[HomeTeam],$A62, Table2[AwayTeam], Y$36, Table2[ActualResult], "SO")) / (2*(SUMIFS(Table2[AwayWon], Table2[GameIsOver],1,Table2[AwayTeam],$A62, Table2[HomeTeam], Y$36) + SUMIFS(Table2[HomeWon_], Table2[GameIsOver],1,Table2[HomeTeam],$A62, Table2[AwayTeam], Y$36) + SUMIFS(Table2[HomeWon_], Table2[GameIsOver],1,Table2[AwayTeam],$A62, Table2[HomeTeam], Y$36, Table2[ActualResult], "REG") + SUMIFS(Table2[AwayWon], Table2[GameIsOver],1,Table2[HomeTeam],$A62, Table2[AwayTeam], Y$36, Table2[ActualResult], "REG") + SUMIFS(Table2[HomeWon_], Table2[GameIsOver],1,Table2[AwayTeam],$A62, Table2[HomeTeam], Y$36, Table2[ActualResult], "OT") + SUMIFS(Table2[AwayWon], Table2[GameIsOver],1,Table2[HomeTeam],$A62, Table2[AwayTeam], Y$36, Table2[ActualResult], "OT") + SUMIFS(Table2[HomeWon_], Table2[GameIsOver],1,Table2[AwayTeam],$A62, Table2[HomeTeam], Y$36, Table2[ActualResult], "SO") + SUMIFS(Table2[AwayWon], Table2[GameIsOver],1,Table2[HomeTeam],$A62, Table2[AwayTeam], Y$36, Table2[ActualResult], "SO"))), "")</f>
        <v/>
      </c>
      <c r="Z62">
        <f>IFERROR(((2*SUMIFS(Table2[AwayWon], Table2[GameIsOver],1,Table2[AwayTeam],$A62, Table2[HomeTeam], Z$36) + SUMIFS(Table2[HomeWon_], Table2[GameIsOver],1,Table2[HomeTeam],$A62, Table2[AwayTeam], Z$36)) + SUMIFS(Table2[AwayWon], Table2[GameIsOver],1,Table2[HomeTeam],$A62, Table2[AwayTeam], Z$36, Table2[ActualResult], "REG") + SUMIFS(Table2[HomeWon_], Table2[GameIsOver],1,Table2[AwayTeam],$A62, Table2[HomeTeam], Z$36, Table2[ActualResult], "OT") + SUMIFS(Table2[AwayWon], Table2[GameIsOver],1,Table2[HomeTeam],$A62, Table2[AwayTeam], Z$36, Table2[ActualResult], "OT") + SUMIFS(Table2[HomeWon_], Table2[GameIsOver],1,Table2[AwayTeam],$A62, Table2[HomeTeam], Z$36, Table2[ActualResult], "SO") + SUMIFS(Table2[AwayWon], Table2[GameIsOver],1,Table2[HomeTeam],$A62, Table2[AwayTeam], Z$36, Table2[ActualResult], "SO")) / (2*(SUMIFS(Table2[AwayWon], Table2[GameIsOver],1,Table2[AwayTeam],$A62, Table2[HomeTeam], Z$36) + SUMIFS(Table2[HomeWon_], Table2[GameIsOver],1,Table2[HomeTeam],$A62, Table2[AwayTeam], Z$36) + SUMIFS(Table2[HomeWon_], Table2[GameIsOver],1,Table2[AwayTeam],$A62, Table2[HomeTeam], Z$36, Table2[ActualResult], "REG") + SUMIFS(Table2[AwayWon], Table2[GameIsOver],1,Table2[HomeTeam],$A62, Table2[AwayTeam], Z$36, Table2[ActualResult], "REG") + SUMIFS(Table2[HomeWon_], Table2[GameIsOver],1,Table2[AwayTeam],$A62, Table2[HomeTeam], Z$36, Table2[ActualResult], "OT") + SUMIFS(Table2[AwayWon], Table2[GameIsOver],1,Table2[HomeTeam],$A62, Table2[AwayTeam], Z$36, Table2[ActualResult], "OT") + SUMIFS(Table2[HomeWon_], Table2[GameIsOver],1,Table2[AwayTeam],$A62, Table2[HomeTeam], Z$36, Table2[ActualResult], "SO") + SUMIFS(Table2[AwayWon], Table2[GameIsOver],1,Table2[HomeTeam],$A62, Table2[AwayTeam], Z$36, Table2[ActualResult], "SO"))), "")</f>
        <v>0</v>
      </c>
      <c r="AA62" s="98" t="str">
        <f>IFERROR(((2*SUMIFS(Table2[AwayWon], Table2[GameIsOver],1,Table2[AwayTeam],$A62, Table2[HomeTeam], AA$36) + SUMIFS(Table2[HomeWon_], Table2[GameIsOver],1,Table2[HomeTeam],$A62, Table2[AwayTeam], AA$36)) + SUMIFS(Table2[AwayWon], Table2[GameIsOver],1,Table2[HomeTeam],$A62, Table2[AwayTeam], AA$36, Table2[ActualResult], "REG") + SUMIFS(Table2[HomeWon_], Table2[GameIsOver],1,Table2[AwayTeam],$A62, Table2[HomeTeam], AA$36, Table2[ActualResult], "OT") + SUMIFS(Table2[AwayWon], Table2[GameIsOver],1,Table2[HomeTeam],$A62, Table2[AwayTeam], AA$36, Table2[ActualResult], "OT") + SUMIFS(Table2[HomeWon_], Table2[GameIsOver],1,Table2[AwayTeam],$A62, Table2[HomeTeam], AA$36, Table2[ActualResult], "SO") + SUMIFS(Table2[AwayWon], Table2[GameIsOver],1,Table2[HomeTeam],$A62, Table2[AwayTeam], AA$36, Table2[ActualResult], "SO")) / (2*(SUMIFS(Table2[AwayWon], Table2[GameIsOver],1,Table2[AwayTeam],$A62, Table2[HomeTeam], AA$36) + SUMIFS(Table2[HomeWon_], Table2[GameIsOver],1,Table2[HomeTeam],$A62, Table2[AwayTeam], AA$36) + SUMIFS(Table2[HomeWon_], Table2[GameIsOver],1,Table2[AwayTeam],$A62, Table2[HomeTeam], AA$36, Table2[ActualResult], "REG") + SUMIFS(Table2[AwayWon], Table2[GameIsOver],1,Table2[HomeTeam],$A62, Table2[AwayTeam], AA$36, Table2[ActualResult], "REG") + SUMIFS(Table2[HomeWon_], Table2[GameIsOver],1,Table2[AwayTeam],$A62, Table2[HomeTeam], AA$36, Table2[ActualResult], "OT") + SUMIFS(Table2[AwayWon], Table2[GameIsOver],1,Table2[HomeTeam],$A62, Table2[AwayTeam], AA$36, Table2[ActualResult], "OT") + SUMIFS(Table2[HomeWon_], Table2[GameIsOver],1,Table2[AwayTeam],$A62, Table2[HomeTeam], AA$36, Table2[ActualResult], "SO") + SUMIFS(Table2[AwayWon], Table2[GameIsOver],1,Table2[HomeTeam],$A62, Table2[AwayTeam], AA$36, Table2[ActualResult], "SO"))), "")</f>
        <v/>
      </c>
      <c r="AB62" t="str">
        <f>IFERROR(((2*SUMIFS(Table2[AwayWon], Table2[GameIsOver],1,Table2[AwayTeam],$A62, Table2[HomeTeam], AB$36) + SUMIFS(Table2[HomeWon_], Table2[GameIsOver],1,Table2[HomeTeam],$A62, Table2[AwayTeam], AB$36)) + SUMIFS(Table2[AwayWon], Table2[GameIsOver],1,Table2[HomeTeam],$A62, Table2[AwayTeam], AB$36, Table2[ActualResult], "REG") + SUMIFS(Table2[HomeWon_], Table2[GameIsOver],1,Table2[AwayTeam],$A62, Table2[HomeTeam], AB$36, Table2[ActualResult], "OT") + SUMIFS(Table2[AwayWon], Table2[GameIsOver],1,Table2[HomeTeam],$A62, Table2[AwayTeam], AB$36, Table2[ActualResult], "OT") + SUMIFS(Table2[HomeWon_], Table2[GameIsOver],1,Table2[AwayTeam],$A62, Table2[HomeTeam], AB$36, Table2[ActualResult], "SO") + SUMIFS(Table2[AwayWon], Table2[GameIsOver],1,Table2[HomeTeam],$A62, Table2[AwayTeam], AB$36, Table2[ActualResult], "SO")) / (2*(SUMIFS(Table2[AwayWon], Table2[GameIsOver],1,Table2[AwayTeam],$A62, Table2[HomeTeam], AB$36) + SUMIFS(Table2[HomeWon_], Table2[GameIsOver],1,Table2[HomeTeam],$A62, Table2[AwayTeam], AB$36) + SUMIFS(Table2[HomeWon_], Table2[GameIsOver],1,Table2[AwayTeam],$A62, Table2[HomeTeam], AB$36, Table2[ActualResult], "REG") + SUMIFS(Table2[AwayWon], Table2[GameIsOver],1,Table2[HomeTeam],$A62, Table2[AwayTeam], AB$36, Table2[ActualResult], "REG") + SUMIFS(Table2[HomeWon_], Table2[GameIsOver],1,Table2[AwayTeam],$A62, Table2[HomeTeam], AB$36, Table2[ActualResult], "OT") + SUMIFS(Table2[AwayWon], Table2[GameIsOver],1,Table2[HomeTeam],$A62, Table2[AwayTeam], AB$36, Table2[ActualResult], "OT") + SUMIFS(Table2[HomeWon_], Table2[GameIsOver],1,Table2[AwayTeam],$A62, Table2[HomeTeam], AB$36, Table2[ActualResult], "SO") + SUMIFS(Table2[AwayWon], Table2[GameIsOver],1,Table2[HomeTeam],$A62, Table2[AwayTeam], AB$36, Table2[ActualResult], "SO"))), "")</f>
        <v/>
      </c>
      <c r="AC62">
        <f>IFERROR(((2*SUMIFS(Table2[AwayWon], Table2[GameIsOver],1,Table2[AwayTeam],$A62, Table2[HomeTeam], AC$36) + SUMIFS(Table2[HomeWon_], Table2[GameIsOver],1,Table2[HomeTeam],$A62, Table2[AwayTeam], AC$36)) + SUMIFS(Table2[AwayWon], Table2[GameIsOver],1,Table2[HomeTeam],$A62, Table2[AwayTeam], AC$36, Table2[ActualResult], "REG") + SUMIFS(Table2[HomeWon_], Table2[GameIsOver],1,Table2[AwayTeam],$A62, Table2[HomeTeam], AC$36, Table2[ActualResult], "OT") + SUMIFS(Table2[AwayWon], Table2[GameIsOver],1,Table2[HomeTeam],$A62, Table2[AwayTeam], AC$36, Table2[ActualResult], "OT") + SUMIFS(Table2[HomeWon_], Table2[GameIsOver],1,Table2[AwayTeam],$A62, Table2[HomeTeam], AC$36, Table2[ActualResult], "SO") + SUMIFS(Table2[AwayWon], Table2[GameIsOver],1,Table2[HomeTeam],$A62, Table2[AwayTeam], AC$36, Table2[ActualResult], "SO")) / (2*(SUMIFS(Table2[AwayWon], Table2[GameIsOver],1,Table2[AwayTeam],$A62, Table2[HomeTeam], AC$36) + SUMIFS(Table2[HomeWon_], Table2[GameIsOver],1,Table2[HomeTeam],$A62, Table2[AwayTeam], AC$36) + SUMIFS(Table2[HomeWon_], Table2[GameIsOver],1,Table2[AwayTeam],$A62, Table2[HomeTeam], AC$36, Table2[ActualResult], "REG") + SUMIFS(Table2[AwayWon], Table2[GameIsOver],1,Table2[HomeTeam],$A62, Table2[AwayTeam], AC$36, Table2[ActualResult], "REG") + SUMIFS(Table2[HomeWon_], Table2[GameIsOver],1,Table2[AwayTeam],$A62, Table2[HomeTeam], AC$36, Table2[ActualResult], "OT") + SUMIFS(Table2[AwayWon], Table2[GameIsOver],1,Table2[HomeTeam],$A62, Table2[AwayTeam], AC$36, Table2[ActualResult], "OT") + SUMIFS(Table2[HomeWon_], Table2[GameIsOver],1,Table2[AwayTeam],$A62, Table2[HomeTeam], AC$36, Table2[ActualResult], "SO") + SUMIFS(Table2[AwayWon], Table2[GameIsOver],1,Table2[HomeTeam],$A62, Table2[AwayTeam], AC$36, Table2[ActualResult], "SO"))), "")</f>
        <v>0.5</v>
      </c>
      <c r="AD62">
        <f>IFERROR(((2*SUMIFS(Table2[AwayWon], Table2[GameIsOver],1,Table2[AwayTeam],$A62, Table2[HomeTeam], AD$36) + SUMIFS(Table2[HomeWon_], Table2[GameIsOver],1,Table2[HomeTeam],$A62, Table2[AwayTeam], AD$36)) + SUMIFS(Table2[AwayWon], Table2[GameIsOver],1,Table2[HomeTeam],$A62, Table2[AwayTeam], AD$36, Table2[ActualResult], "REG") + SUMIFS(Table2[HomeWon_], Table2[GameIsOver],1,Table2[AwayTeam],$A62, Table2[HomeTeam], AD$36, Table2[ActualResult], "OT") + SUMIFS(Table2[AwayWon], Table2[GameIsOver],1,Table2[HomeTeam],$A62, Table2[AwayTeam], AD$36, Table2[ActualResult], "OT") + SUMIFS(Table2[HomeWon_], Table2[GameIsOver],1,Table2[AwayTeam],$A62, Table2[HomeTeam], AD$36, Table2[ActualResult], "SO") + SUMIFS(Table2[AwayWon], Table2[GameIsOver],1,Table2[HomeTeam],$A62, Table2[AwayTeam], AD$36, Table2[ActualResult], "SO")) / (2*(SUMIFS(Table2[AwayWon], Table2[GameIsOver],1,Table2[AwayTeam],$A62, Table2[HomeTeam], AD$36) + SUMIFS(Table2[HomeWon_], Table2[GameIsOver],1,Table2[HomeTeam],$A62, Table2[AwayTeam], AD$36) + SUMIFS(Table2[HomeWon_], Table2[GameIsOver],1,Table2[AwayTeam],$A62, Table2[HomeTeam], AD$36, Table2[ActualResult], "REG") + SUMIFS(Table2[AwayWon], Table2[GameIsOver],1,Table2[HomeTeam],$A62, Table2[AwayTeam], AD$36, Table2[ActualResult], "REG") + SUMIFS(Table2[HomeWon_], Table2[GameIsOver],1,Table2[AwayTeam],$A62, Table2[HomeTeam], AD$36, Table2[ActualResult], "OT") + SUMIFS(Table2[AwayWon], Table2[GameIsOver],1,Table2[HomeTeam],$A62, Table2[AwayTeam], AD$36, Table2[ActualResult], "OT") + SUMIFS(Table2[HomeWon_], Table2[GameIsOver],1,Table2[AwayTeam],$A62, Table2[HomeTeam], AD$36, Table2[ActualResult], "SO") + SUMIFS(Table2[AwayWon], Table2[GameIsOver],1,Table2[HomeTeam],$A62, Table2[AwayTeam], AD$36, Table2[ActualResult], "SO"))), "")</f>
        <v>0</v>
      </c>
      <c r="AE62">
        <f>IFERROR(((2*SUMIFS(Table2[AwayWon], Table2[GameIsOver],1,Table2[AwayTeam],$A62, Table2[HomeTeam], AE$36) + SUMIFS(Table2[HomeWon_], Table2[GameIsOver],1,Table2[HomeTeam],$A62, Table2[AwayTeam], AE$36)) + SUMIFS(Table2[AwayWon], Table2[GameIsOver],1,Table2[HomeTeam],$A62, Table2[AwayTeam], AE$36, Table2[ActualResult], "REG") + SUMIFS(Table2[HomeWon_], Table2[GameIsOver],1,Table2[AwayTeam],$A62, Table2[HomeTeam], AE$36, Table2[ActualResult], "OT") + SUMIFS(Table2[AwayWon], Table2[GameIsOver],1,Table2[HomeTeam],$A62, Table2[AwayTeam], AE$36, Table2[ActualResult], "OT") + SUMIFS(Table2[HomeWon_], Table2[GameIsOver],1,Table2[AwayTeam],$A62, Table2[HomeTeam], AE$36, Table2[ActualResult], "SO") + SUMIFS(Table2[AwayWon], Table2[GameIsOver],1,Table2[HomeTeam],$A62, Table2[AwayTeam], AE$36, Table2[ActualResult], "SO")) / (2*(SUMIFS(Table2[AwayWon], Table2[GameIsOver],1,Table2[AwayTeam],$A62, Table2[HomeTeam], AE$36) + SUMIFS(Table2[HomeWon_], Table2[GameIsOver],1,Table2[HomeTeam],$A62, Table2[AwayTeam], AE$36) + SUMIFS(Table2[HomeWon_], Table2[GameIsOver],1,Table2[AwayTeam],$A62, Table2[HomeTeam], AE$36, Table2[ActualResult], "REG") + SUMIFS(Table2[AwayWon], Table2[GameIsOver],1,Table2[HomeTeam],$A62, Table2[AwayTeam], AE$36, Table2[ActualResult], "REG") + SUMIFS(Table2[HomeWon_], Table2[GameIsOver],1,Table2[AwayTeam],$A62, Table2[HomeTeam], AE$36, Table2[ActualResult], "OT") + SUMIFS(Table2[AwayWon], Table2[GameIsOver],1,Table2[HomeTeam],$A62, Table2[AwayTeam], AE$36, Table2[ActualResult], "OT") + SUMIFS(Table2[HomeWon_], Table2[GameIsOver],1,Table2[AwayTeam],$A62, Table2[HomeTeam], AE$36, Table2[ActualResult], "SO") + SUMIFS(Table2[AwayWon], Table2[GameIsOver],1,Table2[HomeTeam],$A62, Table2[AwayTeam], AE$36, Table2[ActualResult], "SO"))), "")</f>
        <v>0.5</v>
      </c>
      <c r="AF62" t="str">
        <f>IFERROR(((2*SUMIFS(Table2[AwayWon], Table2[GameIsOver],1,Table2[AwayTeam],$A62, Table2[HomeTeam], AF$36) + SUMIFS(Table2[HomeWon_], Table2[GameIsOver],1,Table2[HomeTeam],$A62, Table2[AwayTeam], AF$36)) + SUMIFS(Table2[AwayWon], Table2[GameIsOver],1,Table2[HomeTeam],$A62, Table2[AwayTeam], AF$36, Table2[ActualResult], "REG") + SUMIFS(Table2[HomeWon_], Table2[GameIsOver],1,Table2[AwayTeam],$A62, Table2[HomeTeam], AF$36, Table2[ActualResult], "OT") + SUMIFS(Table2[AwayWon], Table2[GameIsOver],1,Table2[HomeTeam],$A62, Table2[AwayTeam], AF$36, Table2[ActualResult], "OT") + SUMIFS(Table2[HomeWon_], Table2[GameIsOver],1,Table2[AwayTeam],$A62, Table2[HomeTeam], AF$36, Table2[ActualResult], "SO") + SUMIFS(Table2[AwayWon], Table2[GameIsOver],1,Table2[HomeTeam],$A62, Table2[AwayTeam], AF$36, Table2[ActualResult], "SO")) / (2*(SUMIFS(Table2[AwayWon], Table2[GameIsOver],1,Table2[AwayTeam],$A62, Table2[HomeTeam], AF$36) + SUMIFS(Table2[HomeWon_], Table2[GameIsOver],1,Table2[HomeTeam],$A62, Table2[AwayTeam], AF$36) + SUMIFS(Table2[HomeWon_], Table2[GameIsOver],1,Table2[AwayTeam],$A62, Table2[HomeTeam], AF$36, Table2[ActualResult], "REG") + SUMIFS(Table2[AwayWon], Table2[GameIsOver],1,Table2[HomeTeam],$A62, Table2[AwayTeam], AF$36, Table2[ActualResult], "REG") + SUMIFS(Table2[HomeWon_], Table2[GameIsOver],1,Table2[AwayTeam],$A62, Table2[HomeTeam], AF$36, Table2[ActualResult], "OT") + SUMIFS(Table2[AwayWon], Table2[GameIsOver],1,Table2[HomeTeam],$A62, Table2[AwayTeam], AF$36, Table2[ActualResult], "OT") + SUMIFS(Table2[HomeWon_], Table2[GameIsOver],1,Table2[AwayTeam],$A62, Table2[HomeTeam], AF$36, Table2[ActualResult], "SO") + SUMIFS(Table2[AwayWon], Table2[GameIsOver],1,Table2[HomeTeam],$A62, Table2[AwayTeam], AF$36, Table2[ActualResult], "SO"))), "")</f>
        <v/>
      </c>
      <c r="AG62" s="57" t="str">
        <f>IFERROR(((2*SUMIFS(Table2[AwayWon], Table2[GameIsOver],1,Table2[AwayTeam],$A62, Table2[HomeTeam], AG$36) + SUMIFS(Table2[HomeWon_], Table2[GameIsOver],1,Table2[HomeTeam],$A62, Table2[AwayTeam], AG$36)) + SUMIFS(Table2[AwayWon], Table2[GameIsOver],1,Table2[HomeTeam],$A62, Table2[AwayTeam], AG$36, Table2[ActualResult], "REG") + SUMIFS(Table2[HomeWon_], Table2[GameIsOver],1,Table2[AwayTeam],$A62, Table2[HomeTeam], AG$36, Table2[ActualResult], "OT") + SUMIFS(Table2[AwayWon], Table2[GameIsOver],1,Table2[HomeTeam],$A62, Table2[AwayTeam], AG$36, Table2[ActualResult], "OT") + SUMIFS(Table2[HomeWon_], Table2[GameIsOver],1,Table2[AwayTeam],$A62, Table2[HomeTeam], AG$36, Table2[ActualResult], "SO") + SUMIFS(Table2[AwayWon], Table2[GameIsOver],1,Table2[HomeTeam],$A62, Table2[AwayTeam], AG$36, Table2[ActualResult], "SO")) / (2*(SUMIFS(Table2[AwayWon], Table2[GameIsOver],1,Table2[AwayTeam],$A62, Table2[HomeTeam], AG$36) + SUMIFS(Table2[HomeWon_], Table2[GameIsOver],1,Table2[HomeTeam],$A62, Table2[AwayTeam], AG$36) + SUMIFS(Table2[HomeWon_], Table2[GameIsOver],1,Table2[AwayTeam],$A62, Table2[HomeTeam], AG$36, Table2[ActualResult], "REG") + SUMIFS(Table2[AwayWon], Table2[GameIsOver],1,Table2[HomeTeam],$A62, Table2[AwayTeam], AG$36, Table2[ActualResult], "REG") + SUMIFS(Table2[HomeWon_], Table2[GameIsOver],1,Table2[AwayTeam],$A62, Table2[HomeTeam], AG$36, Table2[ActualResult], "OT") + SUMIFS(Table2[AwayWon], Table2[GameIsOver],1,Table2[HomeTeam],$A62, Table2[AwayTeam], AG$36, Table2[ActualResult], "OT") + SUMIFS(Table2[HomeWon_], Table2[GameIsOver],1,Table2[AwayTeam],$A62, Table2[HomeTeam], AG$36, Table2[ActualResult], "SO") + SUMIFS(Table2[AwayWon], Table2[GameIsOver],1,Table2[HomeTeam],$A62, Table2[AwayTeam], AG$36, Table2[ActualResult], "SO"))), "")</f>
        <v/>
      </c>
      <c r="AH62" s="101">
        <f t="shared" si="0"/>
        <v>0.3</v>
      </c>
      <c r="AI62" s="101">
        <f t="shared" si="1"/>
        <v>0.5</v>
      </c>
      <c r="AJ62" s="103">
        <f t="shared" si="2"/>
        <v>0.25</v>
      </c>
      <c r="AK62" s="103">
        <f t="shared" si="3"/>
        <v>0.5</v>
      </c>
      <c r="AL62" s="103">
        <f t="shared" si="4"/>
        <v>0.5</v>
      </c>
      <c r="AM62" s="103" t="e">
        <f t="shared" si="5"/>
        <v>#DIV/0!</v>
      </c>
    </row>
    <row r="63" spans="1:39" x14ac:dyDescent="0.25">
      <c r="A63" s="57" t="s">
        <v>30</v>
      </c>
      <c r="B63" s="24" t="str">
        <f>IFERROR(((2*SUMIFS(Table2[AwayWon], Table2[GameIsOver],1,Table2[AwayTeam],$A63, Table2[HomeTeam], B$36) + SUMIFS(Table2[HomeWon_], Table2[GameIsOver],1,Table2[HomeTeam],$A63, Table2[AwayTeam], B$36)) + SUMIFS(Table2[AwayWon], Table2[GameIsOver],1,Table2[HomeTeam],$A63, Table2[AwayTeam], B$36, Table2[ActualResult], "REG") + SUMIFS(Table2[HomeWon_], Table2[GameIsOver],1,Table2[AwayTeam],$A63, Table2[HomeTeam], B$36, Table2[ActualResult], "OT") + SUMIFS(Table2[AwayWon], Table2[GameIsOver],1,Table2[HomeTeam],$A63, Table2[AwayTeam], B$36, Table2[ActualResult], "OT") + SUMIFS(Table2[HomeWon_], Table2[GameIsOver],1,Table2[AwayTeam],$A63, Table2[HomeTeam], B$36, Table2[ActualResult], "SO") + SUMIFS(Table2[AwayWon], Table2[GameIsOver],1,Table2[HomeTeam],$A63, Table2[AwayTeam], B$36, Table2[ActualResult], "SO")) / (2*(SUMIFS(Table2[AwayWon], Table2[GameIsOver],1,Table2[AwayTeam],$A63, Table2[HomeTeam], B$36) + SUMIFS(Table2[HomeWon_], Table2[GameIsOver],1,Table2[HomeTeam],$A63, Table2[AwayTeam], B$36) + SUMIFS(Table2[HomeWon_], Table2[GameIsOver],1,Table2[AwayTeam],$A63, Table2[HomeTeam], B$36, Table2[ActualResult], "REG") + SUMIFS(Table2[AwayWon], Table2[GameIsOver],1,Table2[HomeTeam],$A63, Table2[AwayTeam], B$36, Table2[ActualResult], "REG") + SUMIFS(Table2[HomeWon_], Table2[GameIsOver],1,Table2[AwayTeam],$A63, Table2[HomeTeam], B$36, Table2[ActualResult], "OT") + SUMIFS(Table2[AwayWon], Table2[GameIsOver],1,Table2[HomeTeam],$A63, Table2[AwayTeam], B$36, Table2[ActualResult], "OT") + SUMIFS(Table2[HomeWon_], Table2[GameIsOver],1,Table2[AwayTeam],$A63, Table2[HomeTeam], B$36, Table2[ActualResult], "SO") + SUMIFS(Table2[AwayWon], Table2[GameIsOver],1,Table2[HomeTeam],$A63, Table2[AwayTeam], B$36, Table2[ActualResult], "SO"))), "")</f>
        <v/>
      </c>
      <c r="C63" s="24" t="str">
        <f>IFERROR(((2*SUMIFS(Table2[AwayWon], Table2[GameIsOver],1,Table2[AwayTeam],$A63, Table2[HomeTeam], C$36) + SUMIFS(Table2[HomeWon_], Table2[GameIsOver],1,Table2[HomeTeam],$A63, Table2[AwayTeam], C$36)) + SUMIFS(Table2[AwayWon], Table2[GameIsOver],1,Table2[HomeTeam],$A63, Table2[AwayTeam], C$36, Table2[ActualResult], "REG") + SUMIFS(Table2[HomeWon_], Table2[GameIsOver],1,Table2[AwayTeam],$A63, Table2[HomeTeam], C$36, Table2[ActualResult], "OT") + SUMIFS(Table2[AwayWon], Table2[GameIsOver],1,Table2[HomeTeam],$A63, Table2[AwayTeam], C$36, Table2[ActualResult], "OT") + SUMIFS(Table2[HomeWon_], Table2[GameIsOver],1,Table2[AwayTeam],$A63, Table2[HomeTeam], C$36, Table2[ActualResult], "SO") + SUMIFS(Table2[AwayWon], Table2[GameIsOver],1,Table2[HomeTeam],$A63, Table2[AwayTeam], C$36, Table2[ActualResult], "SO")) / (2*(SUMIFS(Table2[AwayWon], Table2[GameIsOver],1,Table2[AwayTeam],$A63, Table2[HomeTeam], C$36) + SUMIFS(Table2[HomeWon_], Table2[GameIsOver],1,Table2[HomeTeam],$A63, Table2[AwayTeam], C$36) + SUMIFS(Table2[HomeWon_], Table2[GameIsOver],1,Table2[AwayTeam],$A63, Table2[HomeTeam], C$36, Table2[ActualResult], "REG") + SUMIFS(Table2[AwayWon], Table2[GameIsOver],1,Table2[HomeTeam],$A63, Table2[AwayTeam], C$36, Table2[ActualResult], "REG") + SUMIFS(Table2[HomeWon_], Table2[GameIsOver],1,Table2[AwayTeam],$A63, Table2[HomeTeam], C$36, Table2[ActualResult], "OT") + SUMIFS(Table2[AwayWon], Table2[GameIsOver],1,Table2[HomeTeam],$A63, Table2[AwayTeam], C$36, Table2[ActualResult], "OT") + SUMIFS(Table2[HomeWon_], Table2[GameIsOver],1,Table2[AwayTeam],$A63, Table2[HomeTeam], C$36, Table2[ActualResult], "SO") + SUMIFS(Table2[AwayWon], Table2[GameIsOver],1,Table2[HomeTeam],$A63, Table2[AwayTeam], C$36, Table2[ActualResult], "SO"))), "")</f>
        <v/>
      </c>
      <c r="D63">
        <f>IFERROR(((2*SUMIFS(Table2[AwayWon], Table2[GameIsOver],1,Table2[AwayTeam],$A63, Table2[HomeTeam], D$36) + SUMIFS(Table2[HomeWon_], Table2[GameIsOver],1,Table2[HomeTeam],$A63, Table2[AwayTeam], D$36)) + SUMIFS(Table2[AwayWon], Table2[GameIsOver],1,Table2[HomeTeam],$A63, Table2[AwayTeam], D$36, Table2[ActualResult], "REG") + SUMIFS(Table2[HomeWon_], Table2[GameIsOver],1,Table2[AwayTeam],$A63, Table2[HomeTeam], D$36, Table2[ActualResult], "OT") + SUMIFS(Table2[AwayWon], Table2[GameIsOver],1,Table2[HomeTeam],$A63, Table2[AwayTeam], D$36, Table2[ActualResult], "OT") + SUMIFS(Table2[HomeWon_], Table2[GameIsOver],1,Table2[AwayTeam],$A63, Table2[HomeTeam], D$36, Table2[ActualResult], "SO") + SUMIFS(Table2[AwayWon], Table2[GameIsOver],1,Table2[HomeTeam],$A63, Table2[AwayTeam], D$36, Table2[ActualResult], "SO")) / (2*(SUMIFS(Table2[AwayWon], Table2[GameIsOver],1,Table2[AwayTeam],$A63, Table2[HomeTeam], D$36) + SUMIFS(Table2[HomeWon_], Table2[GameIsOver],1,Table2[HomeTeam],$A63, Table2[AwayTeam], D$36) + SUMIFS(Table2[HomeWon_], Table2[GameIsOver],1,Table2[AwayTeam],$A63, Table2[HomeTeam], D$36, Table2[ActualResult], "REG") + SUMIFS(Table2[AwayWon], Table2[GameIsOver],1,Table2[HomeTeam],$A63, Table2[AwayTeam], D$36, Table2[ActualResult], "REG") + SUMIFS(Table2[HomeWon_], Table2[GameIsOver],1,Table2[AwayTeam],$A63, Table2[HomeTeam], D$36, Table2[ActualResult], "OT") + SUMIFS(Table2[AwayWon], Table2[GameIsOver],1,Table2[HomeTeam],$A63, Table2[AwayTeam], D$36, Table2[ActualResult], "OT") + SUMIFS(Table2[HomeWon_], Table2[GameIsOver],1,Table2[AwayTeam],$A63, Table2[HomeTeam], D$36, Table2[ActualResult], "SO") + SUMIFS(Table2[AwayWon], Table2[GameIsOver],1,Table2[HomeTeam],$A63, Table2[AwayTeam], D$36, Table2[ActualResult], "SO"))), "")</f>
        <v>0.5</v>
      </c>
      <c r="E63" t="str">
        <f>IFERROR(((2*SUMIFS(Table2[AwayWon], Table2[GameIsOver],1,Table2[AwayTeam],$A63, Table2[HomeTeam], E$36) + SUMIFS(Table2[HomeWon_], Table2[GameIsOver],1,Table2[HomeTeam],$A63, Table2[AwayTeam], E$36)) + SUMIFS(Table2[AwayWon], Table2[GameIsOver],1,Table2[HomeTeam],$A63, Table2[AwayTeam], E$36, Table2[ActualResult], "REG") + SUMIFS(Table2[HomeWon_], Table2[GameIsOver],1,Table2[AwayTeam],$A63, Table2[HomeTeam], E$36, Table2[ActualResult], "OT") + SUMIFS(Table2[AwayWon], Table2[GameIsOver],1,Table2[HomeTeam],$A63, Table2[AwayTeam], E$36, Table2[ActualResult], "OT") + SUMIFS(Table2[HomeWon_], Table2[GameIsOver],1,Table2[AwayTeam],$A63, Table2[HomeTeam], E$36, Table2[ActualResult], "SO") + SUMIFS(Table2[AwayWon], Table2[GameIsOver],1,Table2[HomeTeam],$A63, Table2[AwayTeam], E$36, Table2[ActualResult], "SO")) / (2*(SUMIFS(Table2[AwayWon], Table2[GameIsOver],1,Table2[AwayTeam],$A63, Table2[HomeTeam], E$36) + SUMIFS(Table2[HomeWon_], Table2[GameIsOver],1,Table2[HomeTeam],$A63, Table2[AwayTeam], E$36) + SUMIFS(Table2[HomeWon_], Table2[GameIsOver],1,Table2[AwayTeam],$A63, Table2[HomeTeam], E$36, Table2[ActualResult], "REG") + SUMIFS(Table2[AwayWon], Table2[GameIsOver],1,Table2[HomeTeam],$A63, Table2[AwayTeam], E$36, Table2[ActualResult], "REG") + SUMIFS(Table2[HomeWon_], Table2[GameIsOver],1,Table2[AwayTeam],$A63, Table2[HomeTeam], E$36, Table2[ActualResult], "OT") + SUMIFS(Table2[AwayWon], Table2[GameIsOver],1,Table2[HomeTeam],$A63, Table2[AwayTeam], E$36, Table2[ActualResult], "OT") + SUMIFS(Table2[HomeWon_], Table2[GameIsOver],1,Table2[AwayTeam],$A63, Table2[HomeTeam], E$36, Table2[ActualResult], "SO") + SUMIFS(Table2[AwayWon], Table2[GameIsOver],1,Table2[HomeTeam],$A63, Table2[AwayTeam], E$36, Table2[ActualResult], "SO"))), "")</f>
        <v/>
      </c>
      <c r="F63" t="str">
        <f>IFERROR(((2*SUMIFS(Table2[AwayWon], Table2[GameIsOver],1,Table2[AwayTeam],$A63, Table2[HomeTeam], F$36) + SUMIFS(Table2[HomeWon_], Table2[GameIsOver],1,Table2[HomeTeam],$A63, Table2[AwayTeam], F$36)) + SUMIFS(Table2[AwayWon], Table2[GameIsOver],1,Table2[HomeTeam],$A63, Table2[AwayTeam], F$36, Table2[ActualResult], "REG") + SUMIFS(Table2[HomeWon_], Table2[GameIsOver],1,Table2[AwayTeam],$A63, Table2[HomeTeam], F$36, Table2[ActualResult], "OT") + SUMIFS(Table2[AwayWon], Table2[GameIsOver],1,Table2[HomeTeam],$A63, Table2[AwayTeam], F$36, Table2[ActualResult], "OT") + SUMIFS(Table2[HomeWon_], Table2[GameIsOver],1,Table2[AwayTeam],$A63, Table2[HomeTeam], F$36, Table2[ActualResult], "SO") + SUMIFS(Table2[AwayWon], Table2[GameIsOver],1,Table2[HomeTeam],$A63, Table2[AwayTeam], F$36, Table2[ActualResult], "SO")) / (2*(SUMIFS(Table2[AwayWon], Table2[GameIsOver],1,Table2[AwayTeam],$A63, Table2[HomeTeam], F$36) + SUMIFS(Table2[HomeWon_], Table2[GameIsOver],1,Table2[HomeTeam],$A63, Table2[AwayTeam], F$36) + SUMIFS(Table2[HomeWon_], Table2[GameIsOver],1,Table2[AwayTeam],$A63, Table2[HomeTeam], F$36, Table2[ActualResult], "REG") + SUMIFS(Table2[AwayWon], Table2[GameIsOver],1,Table2[HomeTeam],$A63, Table2[AwayTeam], F$36, Table2[ActualResult], "REG") + SUMIFS(Table2[HomeWon_], Table2[GameIsOver],1,Table2[AwayTeam],$A63, Table2[HomeTeam], F$36, Table2[ActualResult], "OT") + SUMIFS(Table2[AwayWon], Table2[GameIsOver],1,Table2[HomeTeam],$A63, Table2[AwayTeam], F$36, Table2[ActualResult], "OT") + SUMIFS(Table2[HomeWon_], Table2[GameIsOver],1,Table2[AwayTeam],$A63, Table2[HomeTeam], F$36, Table2[ActualResult], "SO") + SUMIFS(Table2[AwayWon], Table2[GameIsOver],1,Table2[HomeTeam],$A63, Table2[AwayTeam], F$36, Table2[ActualResult], "SO"))), "")</f>
        <v/>
      </c>
      <c r="G63" t="str">
        <f>IFERROR(((2*SUMIFS(Table2[AwayWon], Table2[GameIsOver],1,Table2[AwayTeam],$A63, Table2[HomeTeam], G$36) + SUMIFS(Table2[HomeWon_], Table2[GameIsOver],1,Table2[HomeTeam],$A63, Table2[AwayTeam], G$36)) + SUMIFS(Table2[AwayWon], Table2[GameIsOver],1,Table2[HomeTeam],$A63, Table2[AwayTeam], G$36, Table2[ActualResult], "REG") + SUMIFS(Table2[HomeWon_], Table2[GameIsOver],1,Table2[AwayTeam],$A63, Table2[HomeTeam], G$36, Table2[ActualResult], "OT") + SUMIFS(Table2[AwayWon], Table2[GameIsOver],1,Table2[HomeTeam],$A63, Table2[AwayTeam], G$36, Table2[ActualResult], "OT") + SUMIFS(Table2[HomeWon_], Table2[GameIsOver],1,Table2[AwayTeam],$A63, Table2[HomeTeam], G$36, Table2[ActualResult], "SO") + SUMIFS(Table2[AwayWon], Table2[GameIsOver],1,Table2[HomeTeam],$A63, Table2[AwayTeam], G$36, Table2[ActualResult], "SO")) / (2*(SUMIFS(Table2[AwayWon], Table2[GameIsOver],1,Table2[AwayTeam],$A63, Table2[HomeTeam], G$36) + SUMIFS(Table2[HomeWon_], Table2[GameIsOver],1,Table2[HomeTeam],$A63, Table2[AwayTeam], G$36) + SUMIFS(Table2[HomeWon_], Table2[GameIsOver],1,Table2[AwayTeam],$A63, Table2[HomeTeam], G$36, Table2[ActualResult], "REG") + SUMIFS(Table2[AwayWon], Table2[GameIsOver],1,Table2[HomeTeam],$A63, Table2[AwayTeam], G$36, Table2[ActualResult], "REG") + SUMIFS(Table2[HomeWon_], Table2[GameIsOver],1,Table2[AwayTeam],$A63, Table2[HomeTeam], G$36, Table2[ActualResult], "OT") + SUMIFS(Table2[AwayWon], Table2[GameIsOver],1,Table2[HomeTeam],$A63, Table2[AwayTeam], G$36, Table2[ActualResult], "OT") + SUMIFS(Table2[HomeWon_], Table2[GameIsOver],1,Table2[AwayTeam],$A63, Table2[HomeTeam], G$36, Table2[ActualResult], "SO") + SUMIFS(Table2[AwayWon], Table2[GameIsOver],1,Table2[HomeTeam],$A63, Table2[AwayTeam], G$36, Table2[ActualResult], "SO"))), "")</f>
        <v/>
      </c>
      <c r="H63" t="str">
        <f>IFERROR(((2*SUMIFS(Table2[AwayWon], Table2[GameIsOver],1,Table2[AwayTeam],$A63, Table2[HomeTeam], H$36) + SUMIFS(Table2[HomeWon_], Table2[GameIsOver],1,Table2[HomeTeam],$A63, Table2[AwayTeam], H$36)) + SUMIFS(Table2[AwayWon], Table2[GameIsOver],1,Table2[HomeTeam],$A63, Table2[AwayTeam], H$36, Table2[ActualResult], "REG") + SUMIFS(Table2[HomeWon_], Table2[GameIsOver],1,Table2[AwayTeam],$A63, Table2[HomeTeam], H$36, Table2[ActualResult], "OT") + SUMIFS(Table2[AwayWon], Table2[GameIsOver],1,Table2[HomeTeam],$A63, Table2[AwayTeam], H$36, Table2[ActualResult], "OT") + SUMIFS(Table2[HomeWon_], Table2[GameIsOver],1,Table2[AwayTeam],$A63, Table2[HomeTeam], H$36, Table2[ActualResult], "SO") + SUMIFS(Table2[AwayWon], Table2[GameIsOver],1,Table2[HomeTeam],$A63, Table2[AwayTeam], H$36, Table2[ActualResult], "SO")) / (2*(SUMIFS(Table2[AwayWon], Table2[GameIsOver],1,Table2[AwayTeam],$A63, Table2[HomeTeam], H$36) + SUMIFS(Table2[HomeWon_], Table2[GameIsOver],1,Table2[HomeTeam],$A63, Table2[AwayTeam], H$36) + SUMIFS(Table2[HomeWon_], Table2[GameIsOver],1,Table2[AwayTeam],$A63, Table2[HomeTeam], H$36, Table2[ActualResult], "REG") + SUMIFS(Table2[AwayWon], Table2[GameIsOver],1,Table2[HomeTeam],$A63, Table2[AwayTeam], H$36, Table2[ActualResult], "REG") + SUMIFS(Table2[HomeWon_], Table2[GameIsOver],1,Table2[AwayTeam],$A63, Table2[HomeTeam], H$36, Table2[ActualResult], "OT") + SUMIFS(Table2[AwayWon], Table2[GameIsOver],1,Table2[HomeTeam],$A63, Table2[AwayTeam], H$36, Table2[ActualResult], "OT") + SUMIFS(Table2[HomeWon_], Table2[GameIsOver],1,Table2[AwayTeam],$A63, Table2[HomeTeam], H$36, Table2[ActualResult], "SO") + SUMIFS(Table2[AwayWon], Table2[GameIsOver],1,Table2[HomeTeam],$A63, Table2[AwayTeam], H$36, Table2[ActualResult], "SO"))), "")</f>
        <v/>
      </c>
      <c r="I63" s="57" t="str">
        <f>IFERROR(((2*SUMIFS(Table2[AwayWon], Table2[GameIsOver],1,Table2[AwayTeam],$A63, Table2[HomeTeam], I$36) + SUMIFS(Table2[HomeWon_], Table2[GameIsOver],1,Table2[HomeTeam],$A63, Table2[AwayTeam], I$36)) + SUMIFS(Table2[AwayWon], Table2[GameIsOver],1,Table2[HomeTeam],$A63, Table2[AwayTeam], I$36, Table2[ActualResult], "REG") + SUMIFS(Table2[HomeWon_], Table2[GameIsOver],1,Table2[AwayTeam],$A63, Table2[HomeTeam], I$36, Table2[ActualResult], "OT") + SUMIFS(Table2[AwayWon], Table2[GameIsOver],1,Table2[HomeTeam],$A63, Table2[AwayTeam], I$36, Table2[ActualResult], "OT") + SUMIFS(Table2[HomeWon_], Table2[GameIsOver],1,Table2[AwayTeam],$A63, Table2[HomeTeam], I$36, Table2[ActualResult], "SO") + SUMIFS(Table2[AwayWon], Table2[GameIsOver],1,Table2[HomeTeam],$A63, Table2[AwayTeam], I$36, Table2[ActualResult], "SO")) / (2*(SUMIFS(Table2[AwayWon], Table2[GameIsOver],1,Table2[AwayTeam],$A63, Table2[HomeTeam], I$36) + SUMIFS(Table2[HomeWon_], Table2[GameIsOver],1,Table2[HomeTeam],$A63, Table2[AwayTeam], I$36) + SUMIFS(Table2[HomeWon_], Table2[GameIsOver],1,Table2[AwayTeam],$A63, Table2[HomeTeam], I$36, Table2[ActualResult], "REG") + SUMIFS(Table2[AwayWon], Table2[GameIsOver],1,Table2[HomeTeam],$A63, Table2[AwayTeam], I$36, Table2[ActualResult], "REG") + SUMIFS(Table2[HomeWon_], Table2[GameIsOver],1,Table2[AwayTeam],$A63, Table2[HomeTeam], I$36, Table2[ActualResult], "OT") + SUMIFS(Table2[AwayWon], Table2[GameIsOver],1,Table2[HomeTeam],$A63, Table2[AwayTeam], I$36, Table2[ActualResult], "OT") + SUMIFS(Table2[HomeWon_], Table2[GameIsOver],1,Table2[AwayTeam],$A63, Table2[HomeTeam], I$36, Table2[ActualResult], "SO") + SUMIFS(Table2[AwayWon], Table2[GameIsOver],1,Table2[HomeTeam],$A63, Table2[AwayTeam], I$36, Table2[ActualResult], "SO"))), "")</f>
        <v/>
      </c>
      <c r="J63" t="str">
        <f>IFERROR(((2*SUMIFS(Table2[AwayWon], Table2[GameIsOver],1,Table2[AwayTeam],$A63, Table2[HomeTeam], J$36) + SUMIFS(Table2[HomeWon_], Table2[GameIsOver],1,Table2[HomeTeam],$A63, Table2[AwayTeam], J$36)) + SUMIFS(Table2[AwayWon], Table2[GameIsOver],1,Table2[HomeTeam],$A63, Table2[AwayTeam], J$36, Table2[ActualResult], "REG") + SUMIFS(Table2[HomeWon_], Table2[GameIsOver],1,Table2[AwayTeam],$A63, Table2[HomeTeam], J$36, Table2[ActualResult], "OT") + SUMIFS(Table2[AwayWon], Table2[GameIsOver],1,Table2[HomeTeam],$A63, Table2[AwayTeam], J$36, Table2[ActualResult], "OT") + SUMIFS(Table2[HomeWon_], Table2[GameIsOver],1,Table2[AwayTeam],$A63, Table2[HomeTeam], J$36, Table2[ActualResult], "SO") + SUMIFS(Table2[AwayWon], Table2[GameIsOver],1,Table2[HomeTeam],$A63, Table2[AwayTeam], J$36, Table2[ActualResult], "SO")) / (2*(SUMIFS(Table2[AwayWon], Table2[GameIsOver],1,Table2[AwayTeam],$A63, Table2[HomeTeam], J$36) + SUMIFS(Table2[HomeWon_], Table2[GameIsOver],1,Table2[HomeTeam],$A63, Table2[AwayTeam], J$36) + SUMIFS(Table2[HomeWon_], Table2[GameIsOver],1,Table2[AwayTeam],$A63, Table2[HomeTeam], J$36, Table2[ActualResult], "REG") + SUMIFS(Table2[AwayWon], Table2[GameIsOver],1,Table2[HomeTeam],$A63, Table2[AwayTeam], J$36, Table2[ActualResult], "REG") + SUMIFS(Table2[HomeWon_], Table2[GameIsOver],1,Table2[AwayTeam],$A63, Table2[HomeTeam], J$36, Table2[ActualResult], "OT") + SUMIFS(Table2[AwayWon], Table2[GameIsOver],1,Table2[HomeTeam],$A63, Table2[AwayTeam], J$36, Table2[ActualResult], "OT") + SUMIFS(Table2[HomeWon_], Table2[GameIsOver],1,Table2[AwayTeam],$A63, Table2[HomeTeam], J$36, Table2[ActualResult], "SO") + SUMIFS(Table2[AwayWon], Table2[GameIsOver],1,Table2[HomeTeam],$A63, Table2[AwayTeam], J$36, Table2[ActualResult], "SO"))), "")</f>
        <v/>
      </c>
      <c r="K63" t="str">
        <f>IFERROR(((2*SUMIFS(Table2[AwayWon], Table2[GameIsOver],1,Table2[AwayTeam],$A63, Table2[HomeTeam], K$36) + SUMIFS(Table2[HomeWon_], Table2[GameIsOver],1,Table2[HomeTeam],$A63, Table2[AwayTeam], K$36)) + SUMIFS(Table2[AwayWon], Table2[GameIsOver],1,Table2[HomeTeam],$A63, Table2[AwayTeam], K$36, Table2[ActualResult], "REG") + SUMIFS(Table2[HomeWon_], Table2[GameIsOver],1,Table2[AwayTeam],$A63, Table2[HomeTeam], K$36, Table2[ActualResult], "OT") + SUMIFS(Table2[AwayWon], Table2[GameIsOver],1,Table2[HomeTeam],$A63, Table2[AwayTeam], K$36, Table2[ActualResult], "OT") + SUMIFS(Table2[HomeWon_], Table2[GameIsOver],1,Table2[AwayTeam],$A63, Table2[HomeTeam], K$36, Table2[ActualResult], "SO") + SUMIFS(Table2[AwayWon], Table2[GameIsOver],1,Table2[HomeTeam],$A63, Table2[AwayTeam], K$36, Table2[ActualResult], "SO")) / (2*(SUMIFS(Table2[AwayWon], Table2[GameIsOver],1,Table2[AwayTeam],$A63, Table2[HomeTeam], K$36) + SUMIFS(Table2[HomeWon_], Table2[GameIsOver],1,Table2[HomeTeam],$A63, Table2[AwayTeam], K$36) + SUMIFS(Table2[HomeWon_], Table2[GameIsOver],1,Table2[AwayTeam],$A63, Table2[HomeTeam], K$36, Table2[ActualResult], "REG") + SUMIFS(Table2[AwayWon], Table2[GameIsOver],1,Table2[HomeTeam],$A63, Table2[AwayTeam], K$36, Table2[ActualResult], "REG") + SUMIFS(Table2[HomeWon_], Table2[GameIsOver],1,Table2[AwayTeam],$A63, Table2[HomeTeam], K$36, Table2[ActualResult], "OT") + SUMIFS(Table2[AwayWon], Table2[GameIsOver],1,Table2[HomeTeam],$A63, Table2[AwayTeam], K$36, Table2[ActualResult], "OT") + SUMIFS(Table2[HomeWon_], Table2[GameIsOver],1,Table2[AwayTeam],$A63, Table2[HomeTeam], K$36, Table2[ActualResult], "SO") + SUMIFS(Table2[AwayWon], Table2[GameIsOver],1,Table2[HomeTeam],$A63, Table2[AwayTeam], K$36, Table2[ActualResult], "SO"))), "")</f>
        <v/>
      </c>
      <c r="L63" t="str">
        <f>IFERROR(((2*SUMIFS(Table2[AwayWon], Table2[GameIsOver],1,Table2[AwayTeam],$A63, Table2[HomeTeam], L$36) + SUMIFS(Table2[HomeWon_], Table2[GameIsOver],1,Table2[HomeTeam],$A63, Table2[AwayTeam], L$36)) + SUMIFS(Table2[AwayWon], Table2[GameIsOver],1,Table2[HomeTeam],$A63, Table2[AwayTeam], L$36, Table2[ActualResult], "REG") + SUMIFS(Table2[HomeWon_], Table2[GameIsOver],1,Table2[AwayTeam],$A63, Table2[HomeTeam], L$36, Table2[ActualResult], "OT") + SUMIFS(Table2[AwayWon], Table2[GameIsOver],1,Table2[HomeTeam],$A63, Table2[AwayTeam], L$36, Table2[ActualResult], "OT") + SUMIFS(Table2[HomeWon_], Table2[GameIsOver],1,Table2[AwayTeam],$A63, Table2[HomeTeam], L$36, Table2[ActualResult], "SO") + SUMIFS(Table2[AwayWon], Table2[GameIsOver],1,Table2[HomeTeam],$A63, Table2[AwayTeam], L$36, Table2[ActualResult], "SO")) / (2*(SUMIFS(Table2[AwayWon], Table2[GameIsOver],1,Table2[AwayTeam],$A63, Table2[HomeTeam], L$36) + SUMIFS(Table2[HomeWon_], Table2[GameIsOver],1,Table2[HomeTeam],$A63, Table2[AwayTeam], L$36) + SUMIFS(Table2[HomeWon_], Table2[GameIsOver],1,Table2[AwayTeam],$A63, Table2[HomeTeam], L$36, Table2[ActualResult], "REG") + SUMIFS(Table2[AwayWon], Table2[GameIsOver],1,Table2[HomeTeam],$A63, Table2[AwayTeam], L$36, Table2[ActualResult], "REG") + SUMIFS(Table2[HomeWon_], Table2[GameIsOver],1,Table2[AwayTeam],$A63, Table2[HomeTeam], L$36, Table2[ActualResult], "OT") + SUMIFS(Table2[AwayWon], Table2[GameIsOver],1,Table2[HomeTeam],$A63, Table2[AwayTeam], L$36, Table2[ActualResult], "OT") + SUMIFS(Table2[HomeWon_], Table2[GameIsOver],1,Table2[AwayTeam],$A63, Table2[HomeTeam], L$36, Table2[ActualResult], "SO") + SUMIFS(Table2[AwayWon], Table2[GameIsOver],1,Table2[HomeTeam],$A63, Table2[AwayTeam], L$36, Table2[ActualResult], "SO"))), "")</f>
        <v/>
      </c>
      <c r="M63" t="str">
        <f>IFERROR(((2*SUMIFS(Table2[AwayWon], Table2[GameIsOver],1,Table2[AwayTeam],$A63, Table2[HomeTeam], M$36) + SUMIFS(Table2[HomeWon_], Table2[GameIsOver],1,Table2[HomeTeam],$A63, Table2[AwayTeam], M$36)) + SUMIFS(Table2[AwayWon], Table2[GameIsOver],1,Table2[HomeTeam],$A63, Table2[AwayTeam], M$36, Table2[ActualResult], "REG") + SUMIFS(Table2[HomeWon_], Table2[GameIsOver],1,Table2[AwayTeam],$A63, Table2[HomeTeam], M$36, Table2[ActualResult], "OT") + SUMIFS(Table2[AwayWon], Table2[GameIsOver],1,Table2[HomeTeam],$A63, Table2[AwayTeam], M$36, Table2[ActualResult], "OT") + SUMIFS(Table2[HomeWon_], Table2[GameIsOver],1,Table2[AwayTeam],$A63, Table2[HomeTeam], M$36, Table2[ActualResult], "SO") + SUMIFS(Table2[AwayWon], Table2[GameIsOver],1,Table2[HomeTeam],$A63, Table2[AwayTeam], M$36, Table2[ActualResult], "SO")) / (2*(SUMIFS(Table2[AwayWon], Table2[GameIsOver],1,Table2[AwayTeam],$A63, Table2[HomeTeam], M$36) + SUMIFS(Table2[HomeWon_], Table2[GameIsOver],1,Table2[HomeTeam],$A63, Table2[AwayTeam], M$36) + SUMIFS(Table2[HomeWon_], Table2[GameIsOver],1,Table2[AwayTeam],$A63, Table2[HomeTeam], M$36, Table2[ActualResult], "REG") + SUMIFS(Table2[AwayWon], Table2[GameIsOver],1,Table2[HomeTeam],$A63, Table2[AwayTeam], M$36, Table2[ActualResult], "REG") + SUMIFS(Table2[HomeWon_], Table2[GameIsOver],1,Table2[AwayTeam],$A63, Table2[HomeTeam], M$36, Table2[ActualResult], "OT") + SUMIFS(Table2[AwayWon], Table2[GameIsOver],1,Table2[HomeTeam],$A63, Table2[AwayTeam], M$36, Table2[ActualResult], "OT") + SUMIFS(Table2[HomeWon_], Table2[GameIsOver],1,Table2[AwayTeam],$A63, Table2[HomeTeam], M$36, Table2[ActualResult], "SO") + SUMIFS(Table2[AwayWon], Table2[GameIsOver],1,Table2[HomeTeam],$A63, Table2[AwayTeam], M$36, Table2[ActualResult], "SO"))), "")</f>
        <v/>
      </c>
      <c r="N63" t="str">
        <f>IFERROR(((2*SUMIFS(Table2[AwayWon], Table2[GameIsOver],1,Table2[AwayTeam],$A63, Table2[HomeTeam], N$36) + SUMIFS(Table2[HomeWon_], Table2[GameIsOver],1,Table2[HomeTeam],$A63, Table2[AwayTeam], N$36)) + SUMIFS(Table2[AwayWon], Table2[GameIsOver],1,Table2[HomeTeam],$A63, Table2[AwayTeam], N$36, Table2[ActualResult], "REG") + SUMIFS(Table2[HomeWon_], Table2[GameIsOver],1,Table2[AwayTeam],$A63, Table2[HomeTeam], N$36, Table2[ActualResult], "OT") + SUMIFS(Table2[AwayWon], Table2[GameIsOver],1,Table2[HomeTeam],$A63, Table2[AwayTeam], N$36, Table2[ActualResult], "OT") + SUMIFS(Table2[HomeWon_], Table2[GameIsOver],1,Table2[AwayTeam],$A63, Table2[HomeTeam], N$36, Table2[ActualResult], "SO") + SUMIFS(Table2[AwayWon], Table2[GameIsOver],1,Table2[HomeTeam],$A63, Table2[AwayTeam], N$36, Table2[ActualResult], "SO")) / (2*(SUMIFS(Table2[AwayWon], Table2[GameIsOver],1,Table2[AwayTeam],$A63, Table2[HomeTeam], N$36) + SUMIFS(Table2[HomeWon_], Table2[GameIsOver],1,Table2[HomeTeam],$A63, Table2[AwayTeam], N$36) + SUMIFS(Table2[HomeWon_], Table2[GameIsOver],1,Table2[AwayTeam],$A63, Table2[HomeTeam], N$36, Table2[ActualResult], "REG") + SUMIFS(Table2[AwayWon], Table2[GameIsOver],1,Table2[HomeTeam],$A63, Table2[AwayTeam], N$36, Table2[ActualResult], "REG") + SUMIFS(Table2[HomeWon_], Table2[GameIsOver],1,Table2[AwayTeam],$A63, Table2[HomeTeam], N$36, Table2[ActualResult], "OT") + SUMIFS(Table2[AwayWon], Table2[GameIsOver],1,Table2[HomeTeam],$A63, Table2[AwayTeam], N$36, Table2[ActualResult], "OT") + SUMIFS(Table2[HomeWon_], Table2[GameIsOver],1,Table2[AwayTeam],$A63, Table2[HomeTeam], N$36, Table2[ActualResult], "SO") + SUMIFS(Table2[AwayWon], Table2[GameIsOver],1,Table2[HomeTeam],$A63, Table2[AwayTeam], N$36, Table2[ActualResult], "SO"))), "")</f>
        <v/>
      </c>
      <c r="O63" t="str">
        <f>IFERROR(((2*SUMIFS(Table2[AwayWon], Table2[GameIsOver],1,Table2[AwayTeam],$A63, Table2[HomeTeam], O$36) + SUMIFS(Table2[HomeWon_], Table2[GameIsOver],1,Table2[HomeTeam],$A63, Table2[AwayTeam], O$36)) + SUMIFS(Table2[AwayWon], Table2[GameIsOver],1,Table2[HomeTeam],$A63, Table2[AwayTeam], O$36, Table2[ActualResult], "REG") + SUMIFS(Table2[HomeWon_], Table2[GameIsOver],1,Table2[AwayTeam],$A63, Table2[HomeTeam], O$36, Table2[ActualResult], "OT") + SUMIFS(Table2[AwayWon], Table2[GameIsOver],1,Table2[HomeTeam],$A63, Table2[AwayTeam], O$36, Table2[ActualResult], "OT") + SUMIFS(Table2[HomeWon_], Table2[GameIsOver],1,Table2[AwayTeam],$A63, Table2[HomeTeam], O$36, Table2[ActualResult], "SO") + SUMIFS(Table2[AwayWon], Table2[GameIsOver],1,Table2[HomeTeam],$A63, Table2[AwayTeam], O$36, Table2[ActualResult], "SO")) / (2*(SUMIFS(Table2[AwayWon], Table2[GameIsOver],1,Table2[AwayTeam],$A63, Table2[HomeTeam], O$36) + SUMIFS(Table2[HomeWon_], Table2[GameIsOver],1,Table2[HomeTeam],$A63, Table2[AwayTeam], O$36) + SUMIFS(Table2[HomeWon_], Table2[GameIsOver],1,Table2[AwayTeam],$A63, Table2[HomeTeam], O$36, Table2[ActualResult], "REG") + SUMIFS(Table2[AwayWon], Table2[GameIsOver],1,Table2[HomeTeam],$A63, Table2[AwayTeam], O$36, Table2[ActualResult], "REG") + SUMIFS(Table2[HomeWon_], Table2[GameIsOver],1,Table2[AwayTeam],$A63, Table2[HomeTeam], O$36, Table2[ActualResult], "OT") + SUMIFS(Table2[AwayWon], Table2[GameIsOver],1,Table2[HomeTeam],$A63, Table2[AwayTeam], O$36, Table2[ActualResult], "OT") + SUMIFS(Table2[HomeWon_], Table2[GameIsOver],1,Table2[AwayTeam],$A63, Table2[HomeTeam], O$36, Table2[ActualResult], "SO") + SUMIFS(Table2[AwayWon], Table2[GameIsOver],1,Table2[HomeTeam],$A63, Table2[AwayTeam], O$36, Table2[ActualResult], "SO"))), "")</f>
        <v/>
      </c>
      <c r="P63" t="str">
        <f>IFERROR(((2*SUMIFS(Table2[AwayWon], Table2[GameIsOver],1,Table2[AwayTeam],$A63, Table2[HomeTeam], P$36) + SUMIFS(Table2[HomeWon_], Table2[GameIsOver],1,Table2[HomeTeam],$A63, Table2[AwayTeam], P$36)) + SUMIFS(Table2[AwayWon], Table2[GameIsOver],1,Table2[HomeTeam],$A63, Table2[AwayTeam], P$36, Table2[ActualResult], "REG") + SUMIFS(Table2[HomeWon_], Table2[GameIsOver],1,Table2[AwayTeam],$A63, Table2[HomeTeam], P$36, Table2[ActualResult], "OT") + SUMIFS(Table2[AwayWon], Table2[GameIsOver],1,Table2[HomeTeam],$A63, Table2[AwayTeam], P$36, Table2[ActualResult], "OT") + SUMIFS(Table2[HomeWon_], Table2[GameIsOver],1,Table2[AwayTeam],$A63, Table2[HomeTeam], P$36, Table2[ActualResult], "SO") + SUMIFS(Table2[AwayWon], Table2[GameIsOver],1,Table2[HomeTeam],$A63, Table2[AwayTeam], P$36, Table2[ActualResult], "SO")) / (2*(SUMIFS(Table2[AwayWon], Table2[GameIsOver],1,Table2[AwayTeam],$A63, Table2[HomeTeam], P$36) + SUMIFS(Table2[HomeWon_], Table2[GameIsOver],1,Table2[HomeTeam],$A63, Table2[AwayTeam], P$36) + SUMIFS(Table2[HomeWon_], Table2[GameIsOver],1,Table2[AwayTeam],$A63, Table2[HomeTeam], P$36, Table2[ActualResult], "REG") + SUMIFS(Table2[AwayWon], Table2[GameIsOver],1,Table2[HomeTeam],$A63, Table2[AwayTeam], P$36, Table2[ActualResult], "REG") + SUMIFS(Table2[HomeWon_], Table2[GameIsOver],1,Table2[AwayTeam],$A63, Table2[HomeTeam], P$36, Table2[ActualResult], "OT") + SUMIFS(Table2[AwayWon], Table2[GameIsOver],1,Table2[HomeTeam],$A63, Table2[AwayTeam], P$36, Table2[ActualResult], "OT") + SUMIFS(Table2[HomeWon_], Table2[GameIsOver],1,Table2[AwayTeam],$A63, Table2[HomeTeam], P$36, Table2[ActualResult], "SO") + SUMIFS(Table2[AwayWon], Table2[GameIsOver],1,Table2[HomeTeam],$A63, Table2[AwayTeam], P$36, Table2[ActualResult], "SO"))), "")</f>
        <v/>
      </c>
      <c r="Q63" s="57" t="str">
        <f>IFERROR(((2*SUMIFS(Table2[AwayWon], Table2[GameIsOver],1,Table2[AwayTeam],$A63, Table2[HomeTeam], Q$36) + SUMIFS(Table2[HomeWon_], Table2[GameIsOver],1,Table2[HomeTeam],$A63, Table2[AwayTeam], Q$36)) + SUMIFS(Table2[AwayWon], Table2[GameIsOver],1,Table2[HomeTeam],$A63, Table2[AwayTeam], Q$36, Table2[ActualResult], "REG") + SUMIFS(Table2[HomeWon_], Table2[GameIsOver],1,Table2[AwayTeam],$A63, Table2[HomeTeam], Q$36, Table2[ActualResult], "OT") + SUMIFS(Table2[AwayWon], Table2[GameIsOver],1,Table2[HomeTeam],$A63, Table2[AwayTeam], Q$36, Table2[ActualResult], "OT") + SUMIFS(Table2[HomeWon_], Table2[GameIsOver],1,Table2[AwayTeam],$A63, Table2[HomeTeam], Q$36, Table2[ActualResult], "SO") + SUMIFS(Table2[AwayWon], Table2[GameIsOver],1,Table2[HomeTeam],$A63, Table2[AwayTeam], Q$36, Table2[ActualResult], "SO")) / (2*(SUMIFS(Table2[AwayWon], Table2[GameIsOver],1,Table2[AwayTeam],$A63, Table2[HomeTeam], Q$36) + SUMIFS(Table2[HomeWon_], Table2[GameIsOver],1,Table2[HomeTeam],$A63, Table2[AwayTeam], Q$36) + SUMIFS(Table2[HomeWon_], Table2[GameIsOver],1,Table2[AwayTeam],$A63, Table2[HomeTeam], Q$36, Table2[ActualResult], "REG") + SUMIFS(Table2[AwayWon], Table2[GameIsOver],1,Table2[HomeTeam],$A63, Table2[AwayTeam], Q$36, Table2[ActualResult], "REG") + SUMIFS(Table2[HomeWon_], Table2[GameIsOver],1,Table2[AwayTeam],$A63, Table2[HomeTeam], Q$36, Table2[ActualResult], "OT") + SUMIFS(Table2[AwayWon], Table2[GameIsOver],1,Table2[HomeTeam],$A63, Table2[AwayTeam], Q$36, Table2[ActualResult], "OT") + SUMIFS(Table2[HomeWon_], Table2[GameIsOver],1,Table2[AwayTeam],$A63, Table2[HomeTeam], Q$36, Table2[ActualResult], "SO") + SUMIFS(Table2[AwayWon], Table2[GameIsOver],1,Table2[HomeTeam],$A63, Table2[AwayTeam], Q$36, Table2[ActualResult], "SO"))), "")</f>
        <v/>
      </c>
      <c r="R63" t="str">
        <f>IFERROR(((2*SUMIFS(Table2[AwayWon], Table2[GameIsOver],1,Table2[AwayTeam],$A63, Table2[HomeTeam], R$36) + SUMIFS(Table2[HomeWon_], Table2[GameIsOver],1,Table2[HomeTeam],$A63, Table2[AwayTeam], R$36)) + SUMIFS(Table2[AwayWon], Table2[GameIsOver],1,Table2[HomeTeam],$A63, Table2[AwayTeam], R$36, Table2[ActualResult], "REG") + SUMIFS(Table2[HomeWon_], Table2[GameIsOver],1,Table2[AwayTeam],$A63, Table2[HomeTeam], R$36, Table2[ActualResult], "OT") + SUMIFS(Table2[AwayWon], Table2[GameIsOver],1,Table2[HomeTeam],$A63, Table2[AwayTeam], R$36, Table2[ActualResult], "OT") + SUMIFS(Table2[HomeWon_], Table2[GameIsOver],1,Table2[AwayTeam],$A63, Table2[HomeTeam], R$36, Table2[ActualResult], "SO") + SUMIFS(Table2[AwayWon], Table2[GameIsOver],1,Table2[HomeTeam],$A63, Table2[AwayTeam], R$36, Table2[ActualResult], "SO")) / (2*(SUMIFS(Table2[AwayWon], Table2[GameIsOver],1,Table2[AwayTeam],$A63, Table2[HomeTeam], R$36) + SUMIFS(Table2[HomeWon_], Table2[GameIsOver],1,Table2[HomeTeam],$A63, Table2[AwayTeam], R$36) + SUMIFS(Table2[HomeWon_], Table2[GameIsOver],1,Table2[AwayTeam],$A63, Table2[HomeTeam], R$36, Table2[ActualResult], "REG") + SUMIFS(Table2[AwayWon], Table2[GameIsOver],1,Table2[HomeTeam],$A63, Table2[AwayTeam], R$36, Table2[ActualResult], "REG") + SUMIFS(Table2[HomeWon_], Table2[GameIsOver],1,Table2[AwayTeam],$A63, Table2[HomeTeam], R$36, Table2[ActualResult], "OT") + SUMIFS(Table2[AwayWon], Table2[GameIsOver],1,Table2[HomeTeam],$A63, Table2[AwayTeam], R$36, Table2[ActualResult], "OT") + SUMIFS(Table2[HomeWon_], Table2[GameIsOver],1,Table2[AwayTeam],$A63, Table2[HomeTeam], R$36, Table2[ActualResult], "SO") + SUMIFS(Table2[AwayWon], Table2[GameIsOver],1,Table2[HomeTeam],$A63, Table2[AwayTeam], R$36, Table2[ActualResult], "SO"))), "")</f>
        <v/>
      </c>
      <c r="S63" t="str">
        <f>IFERROR(((2*SUMIFS(Table2[AwayWon], Table2[GameIsOver],1,Table2[AwayTeam],$A63, Table2[HomeTeam], S$36) + SUMIFS(Table2[HomeWon_], Table2[GameIsOver],1,Table2[HomeTeam],$A63, Table2[AwayTeam], S$36)) + SUMIFS(Table2[AwayWon], Table2[GameIsOver],1,Table2[HomeTeam],$A63, Table2[AwayTeam], S$36, Table2[ActualResult], "REG") + SUMIFS(Table2[HomeWon_], Table2[GameIsOver],1,Table2[AwayTeam],$A63, Table2[HomeTeam], S$36, Table2[ActualResult], "OT") + SUMIFS(Table2[AwayWon], Table2[GameIsOver],1,Table2[HomeTeam],$A63, Table2[AwayTeam], S$36, Table2[ActualResult], "OT") + SUMIFS(Table2[HomeWon_], Table2[GameIsOver],1,Table2[AwayTeam],$A63, Table2[HomeTeam], S$36, Table2[ActualResult], "SO") + SUMIFS(Table2[AwayWon], Table2[GameIsOver],1,Table2[HomeTeam],$A63, Table2[AwayTeam], S$36, Table2[ActualResult], "SO")) / (2*(SUMIFS(Table2[AwayWon], Table2[GameIsOver],1,Table2[AwayTeam],$A63, Table2[HomeTeam], S$36) + SUMIFS(Table2[HomeWon_], Table2[GameIsOver],1,Table2[HomeTeam],$A63, Table2[AwayTeam], S$36) + SUMIFS(Table2[HomeWon_], Table2[GameIsOver],1,Table2[AwayTeam],$A63, Table2[HomeTeam], S$36, Table2[ActualResult], "REG") + SUMIFS(Table2[AwayWon], Table2[GameIsOver],1,Table2[HomeTeam],$A63, Table2[AwayTeam], S$36, Table2[ActualResult], "REG") + SUMIFS(Table2[HomeWon_], Table2[GameIsOver],1,Table2[AwayTeam],$A63, Table2[HomeTeam], S$36, Table2[ActualResult], "OT") + SUMIFS(Table2[AwayWon], Table2[GameIsOver],1,Table2[HomeTeam],$A63, Table2[AwayTeam], S$36, Table2[ActualResult], "OT") + SUMIFS(Table2[HomeWon_], Table2[GameIsOver],1,Table2[AwayTeam],$A63, Table2[HomeTeam], S$36, Table2[ActualResult], "SO") + SUMIFS(Table2[AwayWon], Table2[GameIsOver],1,Table2[HomeTeam],$A63, Table2[AwayTeam], S$36, Table2[ActualResult], "SO"))), "")</f>
        <v/>
      </c>
      <c r="T63" t="str">
        <f>IFERROR(((2*SUMIFS(Table2[AwayWon], Table2[GameIsOver],1,Table2[AwayTeam],$A63, Table2[HomeTeam], T$36) + SUMIFS(Table2[HomeWon_], Table2[GameIsOver],1,Table2[HomeTeam],$A63, Table2[AwayTeam], T$36)) + SUMIFS(Table2[AwayWon], Table2[GameIsOver],1,Table2[HomeTeam],$A63, Table2[AwayTeam], T$36, Table2[ActualResult], "REG") + SUMIFS(Table2[HomeWon_], Table2[GameIsOver],1,Table2[AwayTeam],$A63, Table2[HomeTeam], T$36, Table2[ActualResult], "OT") + SUMIFS(Table2[AwayWon], Table2[GameIsOver],1,Table2[HomeTeam],$A63, Table2[AwayTeam], T$36, Table2[ActualResult], "OT") + SUMIFS(Table2[HomeWon_], Table2[GameIsOver],1,Table2[AwayTeam],$A63, Table2[HomeTeam], T$36, Table2[ActualResult], "SO") + SUMIFS(Table2[AwayWon], Table2[GameIsOver],1,Table2[HomeTeam],$A63, Table2[AwayTeam], T$36, Table2[ActualResult], "SO")) / (2*(SUMIFS(Table2[AwayWon], Table2[GameIsOver],1,Table2[AwayTeam],$A63, Table2[HomeTeam], T$36) + SUMIFS(Table2[HomeWon_], Table2[GameIsOver],1,Table2[HomeTeam],$A63, Table2[AwayTeam], T$36) + SUMIFS(Table2[HomeWon_], Table2[GameIsOver],1,Table2[AwayTeam],$A63, Table2[HomeTeam], T$36, Table2[ActualResult], "REG") + SUMIFS(Table2[AwayWon], Table2[GameIsOver],1,Table2[HomeTeam],$A63, Table2[AwayTeam], T$36, Table2[ActualResult], "REG") + SUMIFS(Table2[HomeWon_], Table2[GameIsOver],1,Table2[AwayTeam],$A63, Table2[HomeTeam], T$36, Table2[ActualResult], "OT") + SUMIFS(Table2[AwayWon], Table2[GameIsOver],1,Table2[HomeTeam],$A63, Table2[AwayTeam], T$36, Table2[ActualResult], "OT") + SUMIFS(Table2[HomeWon_], Table2[GameIsOver],1,Table2[AwayTeam],$A63, Table2[HomeTeam], T$36, Table2[ActualResult], "SO") + SUMIFS(Table2[AwayWon], Table2[GameIsOver],1,Table2[HomeTeam],$A63, Table2[AwayTeam], T$36, Table2[ActualResult], "SO"))), "")</f>
        <v/>
      </c>
      <c r="U63" t="str">
        <f>IFERROR(((2*SUMIFS(Table2[AwayWon], Table2[GameIsOver],1,Table2[AwayTeam],$A63, Table2[HomeTeam], U$36) + SUMIFS(Table2[HomeWon_], Table2[GameIsOver],1,Table2[HomeTeam],$A63, Table2[AwayTeam], U$36)) + SUMIFS(Table2[AwayWon], Table2[GameIsOver],1,Table2[HomeTeam],$A63, Table2[AwayTeam], U$36, Table2[ActualResult], "REG") + SUMIFS(Table2[HomeWon_], Table2[GameIsOver],1,Table2[AwayTeam],$A63, Table2[HomeTeam], U$36, Table2[ActualResult], "OT") + SUMIFS(Table2[AwayWon], Table2[GameIsOver],1,Table2[HomeTeam],$A63, Table2[AwayTeam], U$36, Table2[ActualResult], "OT") + SUMIFS(Table2[HomeWon_], Table2[GameIsOver],1,Table2[AwayTeam],$A63, Table2[HomeTeam], U$36, Table2[ActualResult], "SO") + SUMIFS(Table2[AwayWon], Table2[GameIsOver],1,Table2[HomeTeam],$A63, Table2[AwayTeam], U$36, Table2[ActualResult], "SO")) / (2*(SUMIFS(Table2[AwayWon], Table2[GameIsOver],1,Table2[AwayTeam],$A63, Table2[HomeTeam], U$36) + SUMIFS(Table2[HomeWon_], Table2[GameIsOver],1,Table2[HomeTeam],$A63, Table2[AwayTeam], U$36) + SUMIFS(Table2[HomeWon_], Table2[GameIsOver],1,Table2[AwayTeam],$A63, Table2[HomeTeam], U$36, Table2[ActualResult], "REG") + SUMIFS(Table2[AwayWon], Table2[GameIsOver],1,Table2[HomeTeam],$A63, Table2[AwayTeam], U$36, Table2[ActualResult], "REG") + SUMIFS(Table2[HomeWon_], Table2[GameIsOver],1,Table2[AwayTeam],$A63, Table2[HomeTeam], U$36, Table2[ActualResult], "OT") + SUMIFS(Table2[AwayWon], Table2[GameIsOver],1,Table2[HomeTeam],$A63, Table2[AwayTeam], U$36, Table2[ActualResult], "OT") + SUMIFS(Table2[HomeWon_], Table2[GameIsOver],1,Table2[AwayTeam],$A63, Table2[HomeTeam], U$36, Table2[ActualResult], "SO") + SUMIFS(Table2[AwayWon], Table2[GameIsOver],1,Table2[HomeTeam],$A63, Table2[AwayTeam], U$36, Table2[ActualResult], "SO"))), "")</f>
        <v/>
      </c>
      <c r="V63" t="str">
        <f>IFERROR(((2*SUMIFS(Table2[AwayWon], Table2[GameIsOver],1,Table2[AwayTeam],$A63, Table2[HomeTeam], V$36) + SUMIFS(Table2[HomeWon_], Table2[GameIsOver],1,Table2[HomeTeam],$A63, Table2[AwayTeam], V$36)) + SUMIFS(Table2[AwayWon], Table2[GameIsOver],1,Table2[HomeTeam],$A63, Table2[AwayTeam], V$36, Table2[ActualResult], "REG") + SUMIFS(Table2[HomeWon_], Table2[GameIsOver],1,Table2[AwayTeam],$A63, Table2[HomeTeam], V$36, Table2[ActualResult], "OT") + SUMIFS(Table2[AwayWon], Table2[GameIsOver],1,Table2[HomeTeam],$A63, Table2[AwayTeam], V$36, Table2[ActualResult], "OT") + SUMIFS(Table2[HomeWon_], Table2[GameIsOver],1,Table2[AwayTeam],$A63, Table2[HomeTeam], V$36, Table2[ActualResult], "SO") + SUMIFS(Table2[AwayWon], Table2[GameIsOver],1,Table2[HomeTeam],$A63, Table2[AwayTeam], V$36, Table2[ActualResult], "SO")) / (2*(SUMIFS(Table2[AwayWon], Table2[GameIsOver],1,Table2[AwayTeam],$A63, Table2[HomeTeam], V$36) + SUMIFS(Table2[HomeWon_], Table2[GameIsOver],1,Table2[HomeTeam],$A63, Table2[AwayTeam], V$36) + SUMIFS(Table2[HomeWon_], Table2[GameIsOver],1,Table2[AwayTeam],$A63, Table2[HomeTeam], V$36, Table2[ActualResult], "REG") + SUMIFS(Table2[AwayWon], Table2[GameIsOver],1,Table2[HomeTeam],$A63, Table2[AwayTeam], V$36, Table2[ActualResult], "REG") + SUMIFS(Table2[HomeWon_], Table2[GameIsOver],1,Table2[AwayTeam],$A63, Table2[HomeTeam], V$36, Table2[ActualResult], "OT") + SUMIFS(Table2[AwayWon], Table2[GameIsOver],1,Table2[HomeTeam],$A63, Table2[AwayTeam], V$36, Table2[ActualResult], "OT") + SUMIFS(Table2[HomeWon_], Table2[GameIsOver],1,Table2[AwayTeam],$A63, Table2[HomeTeam], V$36, Table2[ActualResult], "SO") + SUMIFS(Table2[AwayWon], Table2[GameIsOver],1,Table2[HomeTeam],$A63, Table2[AwayTeam], V$36, Table2[ActualResult], "SO"))), "")</f>
        <v/>
      </c>
      <c r="W63" t="str">
        <f>IFERROR(((2*SUMIFS(Table2[AwayWon], Table2[GameIsOver],1,Table2[AwayTeam],$A63, Table2[HomeTeam], W$36) + SUMIFS(Table2[HomeWon_], Table2[GameIsOver],1,Table2[HomeTeam],$A63, Table2[AwayTeam], W$36)) + SUMIFS(Table2[AwayWon], Table2[GameIsOver],1,Table2[HomeTeam],$A63, Table2[AwayTeam], W$36, Table2[ActualResult], "REG") + SUMIFS(Table2[HomeWon_], Table2[GameIsOver],1,Table2[AwayTeam],$A63, Table2[HomeTeam], W$36, Table2[ActualResult], "OT") + SUMIFS(Table2[AwayWon], Table2[GameIsOver],1,Table2[HomeTeam],$A63, Table2[AwayTeam], W$36, Table2[ActualResult], "OT") + SUMIFS(Table2[HomeWon_], Table2[GameIsOver],1,Table2[AwayTeam],$A63, Table2[HomeTeam], W$36, Table2[ActualResult], "SO") + SUMIFS(Table2[AwayWon], Table2[GameIsOver],1,Table2[HomeTeam],$A63, Table2[AwayTeam], W$36, Table2[ActualResult], "SO")) / (2*(SUMIFS(Table2[AwayWon], Table2[GameIsOver],1,Table2[AwayTeam],$A63, Table2[HomeTeam], W$36) + SUMIFS(Table2[HomeWon_], Table2[GameIsOver],1,Table2[HomeTeam],$A63, Table2[AwayTeam], W$36) + SUMIFS(Table2[HomeWon_], Table2[GameIsOver],1,Table2[AwayTeam],$A63, Table2[HomeTeam], W$36, Table2[ActualResult], "REG") + SUMIFS(Table2[AwayWon], Table2[GameIsOver],1,Table2[HomeTeam],$A63, Table2[AwayTeam], W$36, Table2[ActualResult], "REG") + SUMIFS(Table2[HomeWon_], Table2[GameIsOver],1,Table2[AwayTeam],$A63, Table2[HomeTeam], W$36, Table2[ActualResult], "OT") + SUMIFS(Table2[AwayWon], Table2[GameIsOver],1,Table2[HomeTeam],$A63, Table2[AwayTeam], W$36, Table2[ActualResult], "OT") + SUMIFS(Table2[HomeWon_], Table2[GameIsOver],1,Table2[AwayTeam],$A63, Table2[HomeTeam], W$36, Table2[ActualResult], "SO") + SUMIFS(Table2[AwayWon], Table2[GameIsOver],1,Table2[HomeTeam],$A63, Table2[AwayTeam], W$36, Table2[ActualResult], "SO"))), "")</f>
        <v/>
      </c>
      <c r="X63" t="str">
        <f>IFERROR(((2*SUMIFS(Table2[AwayWon], Table2[GameIsOver],1,Table2[AwayTeam],$A63, Table2[HomeTeam], X$36) + SUMIFS(Table2[HomeWon_], Table2[GameIsOver],1,Table2[HomeTeam],$A63, Table2[AwayTeam], X$36)) + SUMIFS(Table2[AwayWon], Table2[GameIsOver],1,Table2[HomeTeam],$A63, Table2[AwayTeam], X$36, Table2[ActualResult], "REG") + SUMIFS(Table2[HomeWon_], Table2[GameIsOver],1,Table2[AwayTeam],$A63, Table2[HomeTeam], X$36, Table2[ActualResult], "OT") + SUMIFS(Table2[AwayWon], Table2[GameIsOver],1,Table2[HomeTeam],$A63, Table2[AwayTeam], X$36, Table2[ActualResult], "OT") + SUMIFS(Table2[HomeWon_], Table2[GameIsOver],1,Table2[AwayTeam],$A63, Table2[HomeTeam], X$36, Table2[ActualResult], "SO") + SUMIFS(Table2[AwayWon], Table2[GameIsOver],1,Table2[HomeTeam],$A63, Table2[AwayTeam], X$36, Table2[ActualResult], "SO")) / (2*(SUMIFS(Table2[AwayWon], Table2[GameIsOver],1,Table2[AwayTeam],$A63, Table2[HomeTeam], X$36) + SUMIFS(Table2[HomeWon_], Table2[GameIsOver],1,Table2[HomeTeam],$A63, Table2[AwayTeam], X$36) + SUMIFS(Table2[HomeWon_], Table2[GameIsOver],1,Table2[AwayTeam],$A63, Table2[HomeTeam], X$36, Table2[ActualResult], "REG") + SUMIFS(Table2[AwayWon], Table2[GameIsOver],1,Table2[HomeTeam],$A63, Table2[AwayTeam], X$36, Table2[ActualResult], "REG") + SUMIFS(Table2[HomeWon_], Table2[GameIsOver],1,Table2[AwayTeam],$A63, Table2[HomeTeam], X$36, Table2[ActualResult], "OT") + SUMIFS(Table2[AwayWon], Table2[GameIsOver],1,Table2[HomeTeam],$A63, Table2[AwayTeam], X$36, Table2[ActualResult], "OT") + SUMIFS(Table2[HomeWon_], Table2[GameIsOver],1,Table2[AwayTeam],$A63, Table2[HomeTeam], X$36, Table2[ActualResult], "SO") + SUMIFS(Table2[AwayWon], Table2[GameIsOver],1,Table2[HomeTeam],$A63, Table2[AwayTeam], X$36, Table2[ActualResult], "SO"))), "")</f>
        <v/>
      </c>
      <c r="Y63" s="57" t="str">
        <f>IFERROR(((2*SUMIFS(Table2[AwayWon], Table2[GameIsOver],1,Table2[AwayTeam],$A63, Table2[HomeTeam], Y$36) + SUMIFS(Table2[HomeWon_], Table2[GameIsOver],1,Table2[HomeTeam],$A63, Table2[AwayTeam], Y$36)) + SUMIFS(Table2[AwayWon], Table2[GameIsOver],1,Table2[HomeTeam],$A63, Table2[AwayTeam], Y$36, Table2[ActualResult], "REG") + SUMIFS(Table2[HomeWon_], Table2[GameIsOver],1,Table2[AwayTeam],$A63, Table2[HomeTeam], Y$36, Table2[ActualResult], "OT") + SUMIFS(Table2[AwayWon], Table2[GameIsOver],1,Table2[HomeTeam],$A63, Table2[AwayTeam], Y$36, Table2[ActualResult], "OT") + SUMIFS(Table2[HomeWon_], Table2[GameIsOver],1,Table2[AwayTeam],$A63, Table2[HomeTeam], Y$36, Table2[ActualResult], "SO") + SUMIFS(Table2[AwayWon], Table2[GameIsOver],1,Table2[HomeTeam],$A63, Table2[AwayTeam], Y$36, Table2[ActualResult], "SO")) / (2*(SUMIFS(Table2[AwayWon], Table2[GameIsOver],1,Table2[AwayTeam],$A63, Table2[HomeTeam], Y$36) + SUMIFS(Table2[HomeWon_], Table2[GameIsOver],1,Table2[HomeTeam],$A63, Table2[AwayTeam], Y$36) + SUMIFS(Table2[HomeWon_], Table2[GameIsOver],1,Table2[AwayTeam],$A63, Table2[HomeTeam], Y$36, Table2[ActualResult], "REG") + SUMIFS(Table2[AwayWon], Table2[GameIsOver],1,Table2[HomeTeam],$A63, Table2[AwayTeam], Y$36, Table2[ActualResult], "REG") + SUMIFS(Table2[HomeWon_], Table2[GameIsOver],1,Table2[AwayTeam],$A63, Table2[HomeTeam], Y$36, Table2[ActualResult], "OT") + SUMIFS(Table2[AwayWon], Table2[GameIsOver],1,Table2[HomeTeam],$A63, Table2[AwayTeam], Y$36, Table2[ActualResult], "OT") + SUMIFS(Table2[HomeWon_], Table2[GameIsOver],1,Table2[AwayTeam],$A63, Table2[HomeTeam], Y$36, Table2[ActualResult], "SO") + SUMIFS(Table2[AwayWon], Table2[GameIsOver],1,Table2[HomeTeam],$A63, Table2[AwayTeam], Y$36, Table2[ActualResult], "SO"))), "")</f>
        <v/>
      </c>
      <c r="Z63" t="str">
        <f>IFERROR(((2*SUMIFS(Table2[AwayWon], Table2[GameIsOver],1,Table2[AwayTeam],$A63, Table2[HomeTeam], Z$36) + SUMIFS(Table2[HomeWon_], Table2[GameIsOver],1,Table2[HomeTeam],$A63, Table2[AwayTeam], Z$36)) + SUMIFS(Table2[AwayWon], Table2[GameIsOver],1,Table2[HomeTeam],$A63, Table2[AwayTeam], Z$36, Table2[ActualResult], "REG") + SUMIFS(Table2[HomeWon_], Table2[GameIsOver],1,Table2[AwayTeam],$A63, Table2[HomeTeam], Z$36, Table2[ActualResult], "OT") + SUMIFS(Table2[AwayWon], Table2[GameIsOver],1,Table2[HomeTeam],$A63, Table2[AwayTeam], Z$36, Table2[ActualResult], "OT") + SUMIFS(Table2[HomeWon_], Table2[GameIsOver],1,Table2[AwayTeam],$A63, Table2[HomeTeam], Z$36, Table2[ActualResult], "SO") + SUMIFS(Table2[AwayWon], Table2[GameIsOver],1,Table2[HomeTeam],$A63, Table2[AwayTeam], Z$36, Table2[ActualResult], "SO")) / (2*(SUMIFS(Table2[AwayWon], Table2[GameIsOver],1,Table2[AwayTeam],$A63, Table2[HomeTeam], Z$36) + SUMIFS(Table2[HomeWon_], Table2[GameIsOver],1,Table2[HomeTeam],$A63, Table2[AwayTeam], Z$36) + SUMIFS(Table2[HomeWon_], Table2[GameIsOver],1,Table2[AwayTeam],$A63, Table2[HomeTeam], Z$36, Table2[ActualResult], "REG") + SUMIFS(Table2[AwayWon], Table2[GameIsOver],1,Table2[HomeTeam],$A63, Table2[AwayTeam], Z$36, Table2[ActualResult], "REG") + SUMIFS(Table2[HomeWon_], Table2[GameIsOver],1,Table2[AwayTeam],$A63, Table2[HomeTeam], Z$36, Table2[ActualResult], "OT") + SUMIFS(Table2[AwayWon], Table2[GameIsOver],1,Table2[HomeTeam],$A63, Table2[AwayTeam], Z$36, Table2[ActualResult], "OT") + SUMIFS(Table2[HomeWon_], Table2[GameIsOver],1,Table2[AwayTeam],$A63, Table2[HomeTeam], Z$36, Table2[ActualResult], "SO") + SUMIFS(Table2[AwayWon], Table2[GameIsOver],1,Table2[HomeTeam],$A63, Table2[AwayTeam], Z$36, Table2[ActualResult], "SO"))), "")</f>
        <v/>
      </c>
      <c r="AA63" t="str">
        <f>IFERROR(((2*SUMIFS(Table2[AwayWon], Table2[GameIsOver],1,Table2[AwayTeam],$A63, Table2[HomeTeam], AA$36) + SUMIFS(Table2[HomeWon_], Table2[GameIsOver],1,Table2[HomeTeam],$A63, Table2[AwayTeam], AA$36)) + SUMIFS(Table2[AwayWon], Table2[GameIsOver],1,Table2[HomeTeam],$A63, Table2[AwayTeam], AA$36, Table2[ActualResult], "REG") + SUMIFS(Table2[HomeWon_], Table2[GameIsOver],1,Table2[AwayTeam],$A63, Table2[HomeTeam], AA$36, Table2[ActualResult], "OT") + SUMIFS(Table2[AwayWon], Table2[GameIsOver],1,Table2[HomeTeam],$A63, Table2[AwayTeam], AA$36, Table2[ActualResult], "OT") + SUMIFS(Table2[HomeWon_], Table2[GameIsOver],1,Table2[AwayTeam],$A63, Table2[HomeTeam], AA$36, Table2[ActualResult], "SO") + SUMIFS(Table2[AwayWon], Table2[GameIsOver],1,Table2[HomeTeam],$A63, Table2[AwayTeam], AA$36, Table2[ActualResult], "SO")) / (2*(SUMIFS(Table2[AwayWon], Table2[GameIsOver],1,Table2[AwayTeam],$A63, Table2[HomeTeam], AA$36) + SUMIFS(Table2[HomeWon_], Table2[GameIsOver],1,Table2[HomeTeam],$A63, Table2[AwayTeam], AA$36) + SUMIFS(Table2[HomeWon_], Table2[GameIsOver],1,Table2[AwayTeam],$A63, Table2[HomeTeam], AA$36, Table2[ActualResult], "REG") + SUMIFS(Table2[AwayWon], Table2[GameIsOver],1,Table2[HomeTeam],$A63, Table2[AwayTeam], AA$36, Table2[ActualResult], "REG") + SUMIFS(Table2[HomeWon_], Table2[GameIsOver],1,Table2[AwayTeam],$A63, Table2[HomeTeam], AA$36, Table2[ActualResult], "OT") + SUMIFS(Table2[AwayWon], Table2[GameIsOver],1,Table2[HomeTeam],$A63, Table2[AwayTeam], AA$36, Table2[ActualResult], "OT") + SUMIFS(Table2[HomeWon_], Table2[GameIsOver],1,Table2[AwayTeam],$A63, Table2[HomeTeam], AA$36, Table2[ActualResult], "SO") + SUMIFS(Table2[AwayWon], Table2[GameIsOver],1,Table2[HomeTeam],$A63, Table2[AwayTeam], AA$36, Table2[ActualResult], "SO"))), "")</f>
        <v/>
      </c>
      <c r="AB63" s="98" t="str">
        <f>IFERROR(((2*SUMIFS(Table2[AwayWon], Table2[GameIsOver],1,Table2[AwayTeam],$A63, Table2[HomeTeam], AB$36) + SUMIFS(Table2[HomeWon_], Table2[GameIsOver],1,Table2[HomeTeam],$A63, Table2[AwayTeam], AB$36)) + SUMIFS(Table2[AwayWon], Table2[GameIsOver],1,Table2[HomeTeam],$A63, Table2[AwayTeam], AB$36, Table2[ActualResult], "REG") + SUMIFS(Table2[HomeWon_], Table2[GameIsOver],1,Table2[AwayTeam],$A63, Table2[HomeTeam], AB$36, Table2[ActualResult], "OT") + SUMIFS(Table2[AwayWon], Table2[GameIsOver],1,Table2[HomeTeam],$A63, Table2[AwayTeam], AB$36, Table2[ActualResult], "OT") + SUMIFS(Table2[HomeWon_], Table2[GameIsOver],1,Table2[AwayTeam],$A63, Table2[HomeTeam], AB$36, Table2[ActualResult], "SO") + SUMIFS(Table2[AwayWon], Table2[GameIsOver],1,Table2[HomeTeam],$A63, Table2[AwayTeam], AB$36, Table2[ActualResult], "SO")) / (2*(SUMIFS(Table2[AwayWon], Table2[GameIsOver],1,Table2[AwayTeam],$A63, Table2[HomeTeam], AB$36) + SUMIFS(Table2[HomeWon_], Table2[GameIsOver],1,Table2[HomeTeam],$A63, Table2[AwayTeam], AB$36) + SUMIFS(Table2[HomeWon_], Table2[GameIsOver],1,Table2[AwayTeam],$A63, Table2[HomeTeam], AB$36, Table2[ActualResult], "REG") + SUMIFS(Table2[AwayWon], Table2[GameIsOver],1,Table2[HomeTeam],$A63, Table2[AwayTeam], AB$36, Table2[ActualResult], "REG") + SUMIFS(Table2[HomeWon_], Table2[GameIsOver],1,Table2[AwayTeam],$A63, Table2[HomeTeam], AB$36, Table2[ActualResult], "OT") + SUMIFS(Table2[AwayWon], Table2[GameIsOver],1,Table2[HomeTeam],$A63, Table2[AwayTeam], AB$36, Table2[ActualResult], "OT") + SUMIFS(Table2[HomeWon_], Table2[GameIsOver],1,Table2[AwayTeam],$A63, Table2[HomeTeam], AB$36, Table2[ActualResult], "SO") + SUMIFS(Table2[AwayWon], Table2[GameIsOver],1,Table2[HomeTeam],$A63, Table2[AwayTeam], AB$36, Table2[ActualResult], "SO"))), "")</f>
        <v/>
      </c>
      <c r="AC63">
        <f>IFERROR(((2*SUMIFS(Table2[AwayWon], Table2[GameIsOver],1,Table2[AwayTeam],$A63, Table2[HomeTeam], AC$36) + SUMIFS(Table2[HomeWon_], Table2[GameIsOver],1,Table2[HomeTeam],$A63, Table2[AwayTeam], AC$36)) + SUMIFS(Table2[AwayWon], Table2[GameIsOver],1,Table2[HomeTeam],$A63, Table2[AwayTeam], AC$36, Table2[ActualResult], "REG") + SUMIFS(Table2[HomeWon_], Table2[GameIsOver],1,Table2[AwayTeam],$A63, Table2[HomeTeam], AC$36, Table2[ActualResult], "OT") + SUMIFS(Table2[AwayWon], Table2[GameIsOver],1,Table2[HomeTeam],$A63, Table2[AwayTeam], AC$36, Table2[ActualResult], "OT") + SUMIFS(Table2[HomeWon_], Table2[GameIsOver],1,Table2[AwayTeam],$A63, Table2[HomeTeam], AC$36, Table2[ActualResult], "SO") + SUMIFS(Table2[AwayWon], Table2[GameIsOver],1,Table2[HomeTeam],$A63, Table2[AwayTeam], AC$36, Table2[ActualResult], "SO")) / (2*(SUMIFS(Table2[AwayWon], Table2[GameIsOver],1,Table2[AwayTeam],$A63, Table2[HomeTeam], AC$36) + SUMIFS(Table2[HomeWon_], Table2[GameIsOver],1,Table2[HomeTeam],$A63, Table2[AwayTeam], AC$36) + SUMIFS(Table2[HomeWon_], Table2[GameIsOver],1,Table2[AwayTeam],$A63, Table2[HomeTeam], AC$36, Table2[ActualResult], "REG") + SUMIFS(Table2[AwayWon], Table2[GameIsOver],1,Table2[HomeTeam],$A63, Table2[AwayTeam], AC$36, Table2[ActualResult], "REG") + SUMIFS(Table2[HomeWon_], Table2[GameIsOver],1,Table2[AwayTeam],$A63, Table2[HomeTeam], AC$36, Table2[ActualResult], "OT") + SUMIFS(Table2[AwayWon], Table2[GameIsOver],1,Table2[HomeTeam],$A63, Table2[AwayTeam], AC$36, Table2[ActualResult], "OT") + SUMIFS(Table2[HomeWon_], Table2[GameIsOver],1,Table2[AwayTeam],$A63, Table2[HomeTeam], AC$36, Table2[ActualResult], "SO") + SUMIFS(Table2[AwayWon], Table2[GameIsOver],1,Table2[HomeTeam],$A63, Table2[AwayTeam], AC$36, Table2[ActualResult], "SO"))), "")</f>
        <v>0.5</v>
      </c>
      <c r="AD63">
        <f>IFERROR(((2*SUMIFS(Table2[AwayWon], Table2[GameIsOver],1,Table2[AwayTeam],$A63, Table2[HomeTeam], AD$36) + SUMIFS(Table2[HomeWon_], Table2[GameIsOver],1,Table2[HomeTeam],$A63, Table2[AwayTeam], AD$36)) + SUMIFS(Table2[AwayWon], Table2[GameIsOver],1,Table2[HomeTeam],$A63, Table2[AwayTeam], AD$36, Table2[ActualResult], "REG") + SUMIFS(Table2[HomeWon_], Table2[GameIsOver],1,Table2[AwayTeam],$A63, Table2[HomeTeam], AD$36, Table2[ActualResult], "OT") + SUMIFS(Table2[AwayWon], Table2[GameIsOver],1,Table2[HomeTeam],$A63, Table2[AwayTeam], AD$36, Table2[ActualResult], "OT") + SUMIFS(Table2[HomeWon_], Table2[GameIsOver],1,Table2[AwayTeam],$A63, Table2[HomeTeam], AD$36, Table2[ActualResult], "SO") + SUMIFS(Table2[AwayWon], Table2[GameIsOver],1,Table2[HomeTeam],$A63, Table2[AwayTeam], AD$36, Table2[ActualResult], "SO")) / (2*(SUMIFS(Table2[AwayWon], Table2[GameIsOver],1,Table2[AwayTeam],$A63, Table2[HomeTeam], AD$36) + SUMIFS(Table2[HomeWon_], Table2[GameIsOver],1,Table2[HomeTeam],$A63, Table2[AwayTeam], AD$36) + SUMIFS(Table2[HomeWon_], Table2[GameIsOver],1,Table2[AwayTeam],$A63, Table2[HomeTeam], AD$36, Table2[ActualResult], "REG") + SUMIFS(Table2[AwayWon], Table2[GameIsOver],1,Table2[HomeTeam],$A63, Table2[AwayTeam], AD$36, Table2[ActualResult], "REG") + SUMIFS(Table2[HomeWon_], Table2[GameIsOver],1,Table2[AwayTeam],$A63, Table2[HomeTeam], AD$36, Table2[ActualResult], "OT") + SUMIFS(Table2[AwayWon], Table2[GameIsOver],1,Table2[HomeTeam],$A63, Table2[AwayTeam], AD$36, Table2[ActualResult], "OT") + SUMIFS(Table2[HomeWon_], Table2[GameIsOver],1,Table2[AwayTeam],$A63, Table2[HomeTeam], AD$36, Table2[ActualResult], "SO") + SUMIFS(Table2[AwayWon], Table2[GameIsOver],1,Table2[HomeTeam],$A63, Table2[AwayTeam], AD$36, Table2[ActualResult], "SO"))), "")</f>
        <v>0.5</v>
      </c>
      <c r="AE63" t="str">
        <f>IFERROR(((2*SUMIFS(Table2[AwayWon], Table2[GameIsOver],1,Table2[AwayTeam],$A63, Table2[HomeTeam], AE$36) + SUMIFS(Table2[HomeWon_], Table2[GameIsOver],1,Table2[HomeTeam],$A63, Table2[AwayTeam], AE$36)) + SUMIFS(Table2[AwayWon], Table2[GameIsOver],1,Table2[HomeTeam],$A63, Table2[AwayTeam], AE$36, Table2[ActualResult], "REG") + SUMIFS(Table2[HomeWon_], Table2[GameIsOver],1,Table2[AwayTeam],$A63, Table2[HomeTeam], AE$36, Table2[ActualResult], "OT") + SUMIFS(Table2[AwayWon], Table2[GameIsOver],1,Table2[HomeTeam],$A63, Table2[AwayTeam], AE$36, Table2[ActualResult], "OT") + SUMIFS(Table2[HomeWon_], Table2[GameIsOver],1,Table2[AwayTeam],$A63, Table2[HomeTeam], AE$36, Table2[ActualResult], "SO") + SUMIFS(Table2[AwayWon], Table2[GameIsOver],1,Table2[HomeTeam],$A63, Table2[AwayTeam], AE$36, Table2[ActualResult], "SO")) / (2*(SUMIFS(Table2[AwayWon], Table2[GameIsOver],1,Table2[AwayTeam],$A63, Table2[HomeTeam], AE$36) + SUMIFS(Table2[HomeWon_], Table2[GameIsOver],1,Table2[HomeTeam],$A63, Table2[AwayTeam], AE$36) + SUMIFS(Table2[HomeWon_], Table2[GameIsOver],1,Table2[AwayTeam],$A63, Table2[HomeTeam], AE$36, Table2[ActualResult], "REG") + SUMIFS(Table2[AwayWon], Table2[GameIsOver],1,Table2[HomeTeam],$A63, Table2[AwayTeam], AE$36, Table2[ActualResult], "REG") + SUMIFS(Table2[HomeWon_], Table2[GameIsOver],1,Table2[AwayTeam],$A63, Table2[HomeTeam], AE$36, Table2[ActualResult], "OT") + SUMIFS(Table2[AwayWon], Table2[GameIsOver],1,Table2[HomeTeam],$A63, Table2[AwayTeam], AE$36, Table2[ActualResult], "OT") + SUMIFS(Table2[HomeWon_], Table2[GameIsOver],1,Table2[AwayTeam],$A63, Table2[HomeTeam], AE$36, Table2[ActualResult], "SO") + SUMIFS(Table2[AwayWon], Table2[GameIsOver],1,Table2[HomeTeam],$A63, Table2[AwayTeam], AE$36, Table2[ActualResult], "SO"))), "")</f>
        <v/>
      </c>
      <c r="AF63">
        <f>IFERROR(((2*SUMIFS(Table2[AwayWon], Table2[GameIsOver],1,Table2[AwayTeam],$A63, Table2[HomeTeam], AF$36) + SUMIFS(Table2[HomeWon_], Table2[GameIsOver],1,Table2[HomeTeam],$A63, Table2[AwayTeam], AF$36)) + SUMIFS(Table2[AwayWon], Table2[GameIsOver],1,Table2[HomeTeam],$A63, Table2[AwayTeam], AF$36, Table2[ActualResult], "REG") + SUMIFS(Table2[HomeWon_], Table2[GameIsOver],1,Table2[AwayTeam],$A63, Table2[HomeTeam], AF$36, Table2[ActualResult], "OT") + SUMIFS(Table2[AwayWon], Table2[GameIsOver],1,Table2[HomeTeam],$A63, Table2[AwayTeam], AF$36, Table2[ActualResult], "OT") + SUMIFS(Table2[HomeWon_], Table2[GameIsOver],1,Table2[AwayTeam],$A63, Table2[HomeTeam], AF$36, Table2[ActualResult], "SO") + SUMIFS(Table2[AwayWon], Table2[GameIsOver],1,Table2[HomeTeam],$A63, Table2[AwayTeam], AF$36, Table2[ActualResult], "SO")) / (2*(SUMIFS(Table2[AwayWon], Table2[GameIsOver],1,Table2[AwayTeam],$A63, Table2[HomeTeam], AF$36) + SUMIFS(Table2[HomeWon_], Table2[GameIsOver],1,Table2[HomeTeam],$A63, Table2[AwayTeam], AF$36) + SUMIFS(Table2[HomeWon_], Table2[GameIsOver],1,Table2[AwayTeam],$A63, Table2[HomeTeam], AF$36, Table2[ActualResult], "REG") + SUMIFS(Table2[AwayWon], Table2[GameIsOver],1,Table2[HomeTeam],$A63, Table2[AwayTeam], AF$36, Table2[ActualResult], "REG") + SUMIFS(Table2[HomeWon_], Table2[GameIsOver],1,Table2[AwayTeam],$A63, Table2[HomeTeam], AF$36, Table2[ActualResult], "OT") + SUMIFS(Table2[AwayWon], Table2[GameIsOver],1,Table2[HomeTeam],$A63, Table2[AwayTeam], AF$36, Table2[ActualResult], "OT") + SUMIFS(Table2[HomeWon_], Table2[GameIsOver],1,Table2[AwayTeam],$A63, Table2[HomeTeam], AF$36, Table2[ActualResult], "SO") + SUMIFS(Table2[AwayWon], Table2[GameIsOver],1,Table2[HomeTeam],$A63, Table2[AwayTeam], AF$36, Table2[ActualResult], "SO"))), "")</f>
        <v>0.5</v>
      </c>
      <c r="AG63" s="57">
        <f>IFERROR(((2*SUMIFS(Table2[AwayWon], Table2[GameIsOver],1,Table2[AwayTeam],$A63, Table2[HomeTeam], AG$36) + SUMIFS(Table2[HomeWon_], Table2[GameIsOver],1,Table2[HomeTeam],$A63, Table2[AwayTeam], AG$36)) + SUMIFS(Table2[AwayWon], Table2[GameIsOver],1,Table2[HomeTeam],$A63, Table2[AwayTeam], AG$36, Table2[ActualResult], "REG") + SUMIFS(Table2[HomeWon_], Table2[GameIsOver],1,Table2[AwayTeam],$A63, Table2[HomeTeam], AG$36, Table2[ActualResult], "OT") + SUMIFS(Table2[AwayWon], Table2[GameIsOver],1,Table2[HomeTeam],$A63, Table2[AwayTeam], AG$36, Table2[ActualResult], "OT") + SUMIFS(Table2[HomeWon_], Table2[GameIsOver],1,Table2[AwayTeam],$A63, Table2[HomeTeam], AG$36, Table2[ActualResult], "SO") + SUMIFS(Table2[AwayWon], Table2[GameIsOver],1,Table2[HomeTeam],$A63, Table2[AwayTeam], AG$36, Table2[ActualResult], "SO")) / (2*(SUMIFS(Table2[AwayWon], Table2[GameIsOver],1,Table2[AwayTeam],$A63, Table2[HomeTeam], AG$36) + SUMIFS(Table2[HomeWon_], Table2[GameIsOver],1,Table2[HomeTeam],$A63, Table2[AwayTeam], AG$36) + SUMIFS(Table2[HomeWon_], Table2[GameIsOver],1,Table2[AwayTeam],$A63, Table2[HomeTeam], AG$36, Table2[ActualResult], "REG") + SUMIFS(Table2[AwayWon], Table2[GameIsOver],1,Table2[HomeTeam],$A63, Table2[AwayTeam], AG$36, Table2[ActualResult], "REG") + SUMIFS(Table2[HomeWon_], Table2[GameIsOver],1,Table2[AwayTeam],$A63, Table2[HomeTeam], AG$36, Table2[ActualResult], "OT") + SUMIFS(Table2[AwayWon], Table2[GameIsOver],1,Table2[HomeTeam],$A63, Table2[AwayTeam], AG$36, Table2[ActualResult], "OT") + SUMIFS(Table2[HomeWon_], Table2[GameIsOver],1,Table2[AwayTeam],$A63, Table2[HomeTeam], AG$36, Table2[ActualResult], "SO") + SUMIFS(Table2[AwayWon], Table2[GameIsOver],1,Table2[HomeTeam],$A63, Table2[AwayTeam], AG$36, Table2[ActualResult], "SO"))), "")</f>
        <v>0.75</v>
      </c>
      <c r="AH63" s="101">
        <f t="shared" si="0"/>
        <v>0.5625</v>
      </c>
      <c r="AI63" s="101">
        <f t="shared" si="1"/>
        <v>0.5</v>
      </c>
      <c r="AJ63" s="103">
        <f t="shared" si="2"/>
        <v>0.5625</v>
      </c>
      <c r="AK63" s="103" t="e">
        <f t="shared" si="3"/>
        <v>#DIV/0!</v>
      </c>
      <c r="AL63" s="103" t="e">
        <f t="shared" si="4"/>
        <v>#DIV/0!</v>
      </c>
      <c r="AM63" s="103">
        <f t="shared" si="5"/>
        <v>0.5</v>
      </c>
    </row>
    <row r="64" spans="1:39" x14ac:dyDescent="0.25">
      <c r="A64" s="57" t="s">
        <v>13</v>
      </c>
      <c r="B64" s="24" t="str">
        <f>IFERROR(((2*SUMIFS(Table2[AwayWon], Table2[GameIsOver],1,Table2[AwayTeam],$A64, Table2[HomeTeam], B$36) + SUMIFS(Table2[HomeWon_], Table2[GameIsOver],1,Table2[HomeTeam],$A64, Table2[AwayTeam], B$36)) + SUMIFS(Table2[AwayWon], Table2[GameIsOver],1,Table2[HomeTeam],$A64, Table2[AwayTeam], B$36, Table2[ActualResult], "REG") + SUMIFS(Table2[HomeWon_], Table2[GameIsOver],1,Table2[AwayTeam],$A64, Table2[HomeTeam], B$36, Table2[ActualResult], "OT") + SUMIFS(Table2[AwayWon], Table2[GameIsOver],1,Table2[HomeTeam],$A64, Table2[AwayTeam], B$36, Table2[ActualResult], "OT") + SUMIFS(Table2[HomeWon_], Table2[GameIsOver],1,Table2[AwayTeam],$A64, Table2[HomeTeam], B$36, Table2[ActualResult], "SO") + SUMIFS(Table2[AwayWon], Table2[GameIsOver],1,Table2[HomeTeam],$A64, Table2[AwayTeam], B$36, Table2[ActualResult], "SO")) / (2*(SUMIFS(Table2[AwayWon], Table2[GameIsOver],1,Table2[AwayTeam],$A64, Table2[HomeTeam], B$36) + SUMIFS(Table2[HomeWon_], Table2[GameIsOver],1,Table2[HomeTeam],$A64, Table2[AwayTeam], B$36) + SUMIFS(Table2[HomeWon_], Table2[GameIsOver],1,Table2[AwayTeam],$A64, Table2[HomeTeam], B$36, Table2[ActualResult], "REG") + SUMIFS(Table2[AwayWon], Table2[GameIsOver],1,Table2[HomeTeam],$A64, Table2[AwayTeam], B$36, Table2[ActualResult], "REG") + SUMIFS(Table2[HomeWon_], Table2[GameIsOver],1,Table2[AwayTeam],$A64, Table2[HomeTeam], B$36, Table2[ActualResult], "OT") + SUMIFS(Table2[AwayWon], Table2[GameIsOver],1,Table2[HomeTeam],$A64, Table2[AwayTeam], B$36, Table2[ActualResult], "OT") + SUMIFS(Table2[HomeWon_], Table2[GameIsOver],1,Table2[AwayTeam],$A64, Table2[HomeTeam], B$36, Table2[ActualResult], "SO") + SUMIFS(Table2[AwayWon], Table2[GameIsOver],1,Table2[HomeTeam],$A64, Table2[AwayTeam], B$36, Table2[ActualResult], "SO"))), "")</f>
        <v/>
      </c>
      <c r="C64" s="24" t="str">
        <f>IFERROR(((2*SUMIFS(Table2[AwayWon], Table2[GameIsOver],1,Table2[AwayTeam],$A64, Table2[HomeTeam], C$36) + SUMIFS(Table2[HomeWon_], Table2[GameIsOver],1,Table2[HomeTeam],$A64, Table2[AwayTeam], C$36)) + SUMIFS(Table2[AwayWon], Table2[GameIsOver],1,Table2[HomeTeam],$A64, Table2[AwayTeam], C$36, Table2[ActualResult], "REG") + SUMIFS(Table2[HomeWon_], Table2[GameIsOver],1,Table2[AwayTeam],$A64, Table2[HomeTeam], C$36, Table2[ActualResult], "OT") + SUMIFS(Table2[AwayWon], Table2[GameIsOver],1,Table2[HomeTeam],$A64, Table2[AwayTeam], C$36, Table2[ActualResult], "OT") + SUMIFS(Table2[HomeWon_], Table2[GameIsOver],1,Table2[AwayTeam],$A64, Table2[HomeTeam], C$36, Table2[ActualResult], "SO") + SUMIFS(Table2[AwayWon], Table2[GameIsOver],1,Table2[HomeTeam],$A64, Table2[AwayTeam], C$36, Table2[ActualResult], "SO")) / (2*(SUMIFS(Table2[AwayWon], Table2[GameIsOver],1,Table2[AwayTeam],$A64, Table2[HomeTeam], C$36) + SUMIFS(Table2[HomeWon_], Table2[GameIsOver],1,Table2[HomeTeam],$A64, Table2[AwayTeam], C$36) + SUMIFS(Table2[HomeWon_], Table2[GameIsOver],1,Table2[AwayTeam],$A64, Table2[HomeTeam], C$36, Table2[ActualResult], "REG") + SUMIFS(Table2[AwayWon], Table2[GameIsOver],1,Table2[HomeTeam],$A64, Table2[AwayTeam], C$36, Table2[ActualResult], "REG") + SUMIFS(Table2[HomeWon_], Table2[GameIsOver],1,Table2[AwayTeam],$A64, Table2[HomeTeam], C$36, Table2[ActualResult], "OT") + SUMIFS(Table2[AwayWon], Table2[GameIsOver],1,Table2[HomeTeam],$A64, Table2[AwayTeam], C$36, Table2[ActualResult], "OT") + SUMIFS(Table2[HomeWon_], Table2[GameIsOver],1,Table2[AwayTeam],$A64, Table2[HomeTeam], C$36, Table2[ActualResult], "SO") + SUMIFS(Table2[AwayWon], Table2[GameIsOver],1,Table2[HomeTeam],$A64, Table2[AwayTeam], C$36, Table2[ActualResult], "SO"))), "")</f>
        <v/>
      </c>
      <c r="D64" t="str">
        <f>IFERROR(((2*SUMIFS(Table2[AwayWon], Table2[GameIsOver],1,Table2[AwayTeam],$A64, Table2[HomeTeam], D$36) + SUMIFS(Table2[HomeWon_], Table2[GameIsOver],1,Table2[HomeTeam],$A64, Table2[AwayTeam], D$36)) + SUMIFS(Table2[AwayWon], Table2[GameIsOver],1,Table2[HomeTeam],$A64, Table2[AwayTeam], D$36, Table2[ActualResult], "REG") + SUMIFS(Table2[HomeWon_], Table2[GameIsOver],1,Table2[AwayTeam],$A64, Table2[HomeTeam], D$36, Table2[ActualResult], "OT") + SUMIFS(Table2[AwayWon], Table2[GameIsOver],1,Table2[HomeTeam],$A64, Table2[AwayTeam], D$36, Table2[ActualResult], "OT") + SUMIFS(Table2[HomeWon_], Table2[GameIsOver],1,Table2[AwayTeam],$A64, Table2[HomeTeam], D$36, Table2[ActualResult], "SO") + SUMIFS(Table2[AwayWon], Table2[GameIsOver],1,Table2[HomeTeam],$A64, Table2[AwayTeam], D$36, Table2[ActualResult], "SO")) / (2*(SUMIFS(Table2[AwayWon], Table2[GameIsOver],1,Table2[AwayTeam],$A64, Table2[HomeTeam], D$36) + SUMIFS(Table2[HomeWon_], Table2[GameIsOver],1,Table2[HomeTeam],$A64, Table2[AwayTeam], D$36) + SUMIFS(Table2[HomeWon_], Table2[GameIsOver],1,Table2[AwayTeam],$A64, Table2[HomeTeam], D$36, Table2[ActualResult], "REG") + SUMIFS(Table2[AwayWon], Table2[GameIsOver],1,Table2[HomeTeam],$A64, Table2[AwayTeam], D$36, Table2[ActualResult], "REG") + SUMIFS(Table2[HomeWon_], Table2[GameIsOver],1,Table2[AwayTeam],$A64, Table2[HomeTeam], D$36, Table2[ActualResult], "OT") + SUMIFS(Table2[AwayWon], Table2[GameIsOver],1,Table2[HomeTeam],$A64, Table2[AwayTeam], D$36, Table2[ActualResult], "OT") + SUMIFS(Table2[HomeWon_], Table2[GameIsOver],1,Table2[AwayTeam],$A64, Table2[HomeTeam], D$36, Table2[ActualResult], "SO") + SUMIFS(Table2[AwayWon], Table2[GameIsOver],1,Table2[HomeTeam],$A64, Table2[AwayTeam], D$36, Table2[ActualResult], "SO"))), "")</f>
        <v/>
      </c>
      <c r="E64" t="str">
        <f>IFERROR(((2*SUMIFS(Table2[AwayWon], Table2[GameIsOver],1,Table2[AwayTeam],$A64, Table2[HomeTeam], E$36) + SUMIFS(Table2[HomeWon_], Table2[GameIsOver],1,Table2[HomeTeam],$A64, Table2[AwayTeam], E$36)) + SUMIFS(Table2[AwayWon], Table2[GameIsOver],1,Table2[HomeTeam],$A64, Table2[AwayTeam], E$36, Table2[ActualResult], "REG") + SUMIFS(Table2[HomeWon_], Table2[GameIsOver],1,Table2[AwayTeam],$A64, Table2[HomeTeam], E$36, Table2[ActualResult], "OT") + SUMIFS(Table2[AwayWon], Table2[GameIsOver],1,Table2[HomeTeam],$A64, Table2[AwayTeam], E$36, Table2[ActualResult], "OT") + SUMIFS(Table2[HomeWon_], Table2[GameIsOver],1,Table2[AwayTeam],$A64, Table2[HomeTeam], E$36, Table2[ActualResult], "SO") + SUMIFS(Table2[AwayWon], Table2[GameIsOver],1,Table2[HomeTeam],$A64, Table2[AwayTeam], E$36, Table2[ActualResult], "SO")) / (2*(SUMIFS(Table2[AwayWon], Table2[GameIsOver],1,Table2[AwayTeam],$A64, Table2[HomeTeam], E$36) + SUMIFS(Table2[HomeWon_], Table2[GameIsOver],1,Table2[HomeTeam],$A64, Table2[AwayTeam], E$36) + SUMIFS(Table2[HomeWon_], Table2[GameIsOver],1,Table2[AwayTeam],$A64, Table2[HomeTeam], E$36, Table2[ActualResult], "REG") + SUMIFS(Table2[AwayWon], Table2[GameIsOver],1,Table2[HomeTeam],$A64, Table2[AwayTeam], E$36, Table2[ActualResult], "REG") + SUMIFS(Table2[HomeWon_], Table2[GameIsOver],1,Table2[AwayTeam],$A64, Table2[HomeTeam], E$36, Table2[ActualResult], "OT") + SUMIFS(Table2[AwayWon], Table2[GameIsOver],1,Table2[HomeTeam],$A64, Table2[AwayTeam], E$36, Table2[ActualResult], "OT") + SUMIFS(Table2[HomeWon_], Table2[GameIsOver],1,Table2[AwayTeam],$A64, Table2[HomeTeam], E$36, Table2[ActualResult], "SO") + SUMIFS(Table2[AwayWon], Table2[GameIsOver],1,Table2[HomeTeam],$A64, Table2[AwayTeam], E$36, Table2[ActualResult], "SO"))), "")</f>
        <v/>
      </c>
      <c r="F64" t="str">
        <f>IFERROR(((2*SUMIFS(Table2[AwayWon], Table2[GameIsOver],1,Table2[AwayTeam],$A64, Table2[HomeTeam], F$36) + SUMIFS(Table2[HomeWon_], Table2[GameIsOver],1,Table2[HomeTeam],$A64, Table2[AwayTeam], F$36)) + SUMIFS(Table2[AwayWon], Table2[GameIsOver],1,Table2[HomeTeam],$A64, Table2[AwayTeam], F$36, Table2[ActualResult], "REG") + SUMIFS(Table2[HomeWon_], Table2[GameIsOver],1,Table2[AwayTeam],$A64, Table2[HomeTeam], F$36, Table2[ActualResult], "OT") + SUMIFS(Table2[AwayWon], Table2[GameIsOver],1,Table2[HomeTeam],$A64, Table2[AwayTeam], F$36, Table2[ActualResult], "OT") + SUMIFS(Table2[HomeWon_], Table2[GameIsOver],1,Table2[AwayTeam],$A64, Table2[HomeTeam], F$36, Table2[ActualResult], "SO") + SUMIFS(Table2[AwayWon], Table2[GameIsOver],1,Table2[HomeTeam],$A64, Table2[AwayTeam], F$36, Table2[ActualResult], "SO")) / (2*(SUMIFS(Table2[AwayWon], Table2[GameIsOver],1,Table2[AwayTeam],$A64, Table2[HomeTeam], F$36) + SUMIFS(Table2[HomeWon_], Table2[GameIsOver],1,Table2[HomeTeam],$A64, Table2[AwayTeam], F$36) + SUMIFS(Table2[HomeWon_], Table2[GameIsOver],1,Table2[AwayTeam],$A64, Table2[HomeTeam], F$36, Table2[ActualResult], "REG") + SUMIFS(Table2[AwayWon], Table2[GameIsOver],1,Table2[HomeTeam],$A64, Table2[AwayTeam], F$36, Table2[ActualResult], "REG") + SUMIFS(Table2[HomeWon_], Table2[GameIsOver],1,Table2[AwayTeam],$A64, Table2[HomeTeam], F$36, Table2[ActualResult], "OT") + SUMIFS(Table2[AwayWon], Table2[GameIsOver],1,Table2[HomeTeam],$A64, Table2[AwayTeam], F$36, Table2[ActualResult], "OT") + SUMIFS(Table2[HomeWon_], Table2[GameIsOver],1,Table2[AwayTeam],$A64, Table2[HomeTeam], F$36, Table2[ActualResult], "SO") + SUMIFS(Table2[AwayWon], Table2[GameIsOver],1,Table2[HomeTeam],$A64, Table2[AwayTeam], F$36, Table2[ActualResult], "SO"))), "")</f>
        <v/>
      </c>
      <c r="G64" t="str">
        <f>IFERROR(((2*SUMIFS(Table2[AwayWon], Table2[GameIsOver],1,Table2[AwayTeam],$A64, Table2[HomeTeam], G$36) + SUMIFS(Table2[HomeWon_], Table2[GameIsOver],1,Table2[HomeTeam],$A64, Table2[AwayTeam], G$36)) + SUMIFS(Table2[AwayWon], Table2[GameIsOver],1,Table2[HomeTeam],$A64, Table2[AwayTeam], G$36, Table2[ActualResult], "REG") + SUMIFS(Table2[HomeWon_], Table2[GameIsOver],1,Table2[AwayTeam],$A64, Table2[HomeTeam], G$36, Table2[ActualResult], "OT") + SUMIFS(Table2[AwayWon], Table2[GameIsOver],1,Table2[HomeTeam],$A64, Table2[AwayTeam], G$36, Table2[ActualResult], "OT") + SUMIFS(Table2[HomeWon_], Table2[GameIsOver],1,Table2[AwayTeam],$A64, Table2[HomeTeam], G$36, Table2[ActualResult], "SO") + SUMIFS(Table2[AwayWon], Table2[GameIsOver],1,Table2[HomeTeam],$A64, Table2[AwayTeam], G$36, Table2[ActualResult], "SO")) / (2*(SUMIFS(Table2[AwayWon], Table2[GameIsOver],1,Table2[AwayTeam],$A64, Table2[HomeTeam], G$36) + SUMIFS(Table2[HomeWon_], Table2[GameIsOver],1,Table2[HomeTeam],$A64, Table2[AwayTeam], G$36) + SUMIFS(Table2[HomeWon_], Table2[GameIsOver],1,Table2[AwayTeam],$A64, Table2[HomeTeam], G$36, Table2[ActualResult], "REG") + SUMIFS(Table2[AwayWon], Table2[GameIsOver],1,Table2[HomeTeam],$A64, Table2[AwayTeam], G$36, Table2[ActualResult], "REG") + SUMIFS(Table2[HomeWon_], Table2[GameIsOver],1,Table2[AwayTeam],$A64, Table2[HomeTeam], G$36, Table2[ActualResult], "OT") + SUMIFS(Table2[AwayWon], Table2[GameIsOver],1,Table2[HomeTeam],$A64, Table2[AwayTeam], G$36, Table2[ActualResult], "OT") + SUMIFS(Table2[HomeWon_], Table2[GameIsOver],1,Table2[AwayTeam],$A64, Table2[HomeTeam], G$36, Table2[ActualResult], "SO") + SUMIFS(Table2[AwayWon], Table2[GameIsOver],1,Table2[HomeTeam],$A64, Table2[AwayTeam], G$36, Table2[ActualResult], "SO"))), "")</f>
        <v/>
      </c>
      <c r="H64" t="str">
        <f>IFERROR(((2*SUMIFS(Table2[AwayWon], Table2[GameIsOver],1,Table2[AwayTeam],$A64, Table2[HomeTeam], H$36) + SUMIFS(Table2[HomeWon_], Table2[GameIsOver],1,Table2[HomeTeam],$A64, Table2[AwayTeam], H$36)) + SUMIFS(Table2[AwayWon], Table2[GameIsOver],1,Table2[HomeTeam],$A64, Table2[AwayTeam], H$36, Table2[ActualResult], "REG") + SUMIFS(Table2[HomeWon_], Table2[GameIsOver],1,Table2[AwayTeam],$A64, Table2[HomeTeam], H$36, Table2[ActualResult], "OT") + SUMIFS(Table2[AwayWon], Table2[GameIsOver],1,Table2[HomeTeam],$A64, Table2[AwayTeam], H$36, Table2[ActualResult], "OT") + SUMIFS(Table2[HomeWon_], Table2[GameIsOver],1,Table2[AwayTeam],$A64, Table2[HomeTeam], H$36, Table2[ActualResult], "SO") + SUMIFS(Table2[AwayWon], Table2[GameIsOver],1,Table2[HomeTeam],$A64, Table2[AwayTeam], H$36, Table2[ActualResult], "SO")) / (2*(SUMIFS(Table2[AwayWon], Table2[GameIsOver],1,Table2[AwayTeam],$A64, Table2[HomeTeam], H$36) + SUMIFS(Table2[HomeWon_], Table2[GameIsOver],1,Table2[HomeTeam],$A64, Table2[AwayTeam], H$36) + SUMIFS(Table2[HomeWon_], Table2[GameIsOver],1,Table2[AwayTeam],$A64, Table2[HomeTeam], H$36, Table2[ActualResult], "REG") + SUMIFS(Table2[AwayWon], Table2[GameIsOver],1,Table2[HomeTeam],$A64, Table2[AwayTeam], H$36, Table2[ActualResult], "REG") + SUMIFS(Table2[HomeWon_], Table2[GameIsOver],1,Table2[AwayTeam],$A64, Table2[HomeTeam], H$36, Table2[ActualResult], "OT") + SUMIFS(Table2[AwayWon], Table2[GameIsOver],1,Table2[HomeTeam],$A64, Table2[AwayTeam], H$36, Table2[ActualResult], "OT") + SUMIFS(Table2[HomeWon_], Table2[GameIsOver],1,Table2[AwayTeam],$A64, Table2[HomeTeam], H$36, Table2[ActualResult], "SO") + SUMIFS(Table2[AwayWon], Table2[GameIsOver],1,Table2[HomeTeam],$A64, Table2[AwayTeam], H$36, Table2[ActualResult], "SO"))), "")</f>
        <v/>
      </c>
      <c r="I64" s="57" t="str">
        <f>IFERROR(((2*SUMIFS(Table2[AwayWon], Table2[GameIsOver],1,Table2[AwayTeam],$A64, Table2[HomeTeam], I$36) + SUMIFS(Table2[HomeWon_], Table2[GameIsOver],1,Table2[HomeTeam],$A64, Table2[AwayTeam], I$36)) + SUMIFS(Table2[AwayWon], Table2[GameIsOver],1,Table2[HomeTeam],$A64, Table2[AwayTeam], I$36, Table2[ActualResult], "REG") + SUMIFS(Table2[HomeWon_], Table2[GameIsOver],1,Table2[AwayTeam],$A64, Table2[HomeTeam], I$36, Table2[ActualResult], "OT") + SUMIFS(Table2[AwayWon], Table2[GameIsOver],1,Table2[HomeTeam],$A64, Table2[AwayTeam], I$36, Table2[ActualResult], "OT") + SUMIFS(Table2[HomeWon_], Table2[GameIsOver],1,Table2[AwayTeam],$A64, Table2[HomeTeam], I$36, Table2[ActualResult], "SO") + SUMIFS(Table2[AwayWon], Table2[GameIsOver],1,Table2[HomeTeam],$A64, Table2[AwayTeam], I$36, Table2[ActualResult], "SO")) / (2*(SUMIFS(Table2[AwayWon], Table2[GameIsOver],1,Table2[AwayTeam],$A64, Table2[HomeTeam], I$36) + SUMIFS(Table2[HomeWon_], Table2[GameIsOver],1,Table2[HomeTeam],$A64, Table2[AwayTeam], I$36) + SUMIFS(Table2[HomeWon_], Table2[GameIsOver],1,Table2[AwayTeam],$A64, Table2[HomeTeam], I$36, Table2[ActualResult], "REG") + SUMIFS(Table2[AwayWon], Table2[GameIsOver],1,Table2[HomeTeam],$A64, Table2[AwayTeam], I$36, Table2[ActualResult], "REG") + SUMIFS(Table2[HomeWon_], Table2[GameIsOver],1,Table2[AwayTeam],$A64, Table2[HomeTeam], I$36, Table2[ActualResult], "OT") + SUMIFS(Table2[AwayWon], Table2[GameIsOver],1,Table2[HomeTeam],$A64, Table2[AwayTeam], I$36, Table2[ActualResult], "OT") + SUMIFS(Table2[HomeWon_], Table2[GameIsOver],1,Table2[AwayTeam],$A64, Table2[HomeTeam], I$36, Table2[ActualResult], "SO") + SUMIFS(Table2[AwayWon], Table2[GameIsOver],1,Table2[HomeTeam],$A64, Table2[AwayTeam], I$36, Table2[ActualResult], "SO"))), "")</f>
        <v/>
      </c>
      <c r="J64">
        <f>IFERROR(((2*SUMIFS(Table2[AwayWon], Table2[GameIsOver],1,Table2[AwayTeam],$A64, Table2[HomeTeam], J$36) + SUMIFS(Table2[HomeWon_], Table2[GameIsOver],1,Table2[HomeTeam],$A64, Table2[AwayTeam], J$36)) + SUMIFS(Table2[AwayWon], Table2[GameIsOver],1,Table2[HomeTeam],$A64, Table2[AwayTeam], J$36, Table2[ActualResult], "REG") + SUMIFS(Table2[HomeWon_], Table2[GameIsOver],1,Table2[AwayTeam],$A64, Table2[HomeTeam], J$36, Table2[ActualResult], "OT") + SUMIFS(Table2[AwayWon], Table2[GameIsOver],1,Table2[HomeTeam],$A64, Table2[AwayTeam], J$36, Table2[ActualResult], "OT") + SUMIFS(Table2[HomeWon_], Table2[GameIsOver],1,Table2[AwayTeam],$A64, Table2[HomeTeam], J$36, Table2[ActualResult], "SO") + SUMIFS(Table2[AwayWon], Table2[GameIsOver],1,Table2[HomeTeam],$A64, Table2[AwayTeam], J$36, Table2[ActualResult], "SO")) / (2*(SUMIFS(Table2[AwayWon], Table2[GameIsOver],1,Table2[AwayTeam],$A64, Table2[HomeTeam], J$36) + SUMIFS(Table2[HomeWon_], Table2[GameIsOver],1,Table2[HomeTeam],$A64, Table2[AwayTeam], J$36) + SUMIFS(Table2[HomeWon_], Table2[GameIsOver],1,Table2[AwayTeam],$A64, Table2[HomeTeam], J$36, Table2[ActualResult], "REG") + SUMIFS(Table2[AwayWon], Table2[GameIsOver],1,Table2[HomeTeam],$A64, Table2[AwayTeam], J$36, Table2[ActualResult], "REG") + SUMIFS(Table2[HomeWon_], Table2[GameIsOver],1,Table2[AwayTeam],$A64, Table2[HomeTeam], J$36, Table2[ActualResult], "OT") + SUMIFS(Table2[AwayWon], Table2[GameIsOver],1,Table2[HomeTeam],$A64, Table2[AwayTeam], J$36, Table2[ActualResult], "OT") + SUMIFS(Table2[HomeWon_], Table2[GameIsOver],1,Table2[AwayTeam],$A64, Table2[HomeTeam], J$36, Table2[ActualResult], "SO") + SUMIFS(Table2[AwayWon], Table2[GameIsOver],1,Table2[HomeTeam],$A64, Table2[AwayTeam], J$36, Table2[ActualResult], "SO"))), "")</f>
        <v>0.5</v>
      </c>
      <c r="K64" t="str">
        <f>IFERROR(((2*SUMIFS(Table2[AwayWon], Table2[GameIsOver],1,Table2[AwayTeam],$A64, Table2[HomeTeam], K$36) + SUMIFS(Table2[HomeWon_], Table2[GameIsOver],1,Table2[HomeTeam],$A64, Table2[AwayTeam], K$36)) + SUMIFS(Table2[AwayWon], Table2[GameIsOver],1,Table2[HomeTeam],$A64, Table2[AwayTeam], K$36, Table2[ActualResult], "REG") + SUMIFS(Table2[HomeWon_], Table2[GameIsOver],1,Table2[AwayTeam],$A64, Table2[HomeTeam], K$36, Table2[ActualResult], "OT") + SUMIFS(Table2[AwayWon], Table2[GameIsOver],1,Table2[HomeTeam],$A64, Table2[AwayTeam], K$36, Table2[ActualResult], "OT") + SUMIFS(Table2[HomeWon_], Table2[GameIsOver],1,Table2[AwayTeam],$A64, Table2[HomeTeam], K$36, Table2[ActualResult], "SO") + SUMIFS(Table2[AwayWon], Table2[GameIsOver],1,Table2[HomeTeam],$A64, Table2[AwayTeam], K$36, Table2[ActualResult], "SO")) / (2*(SUMIFS(Table2[AwayWon], Table2[GameIsOver],1,Table2[AwayTeam],$A64, Table2[HomeTeam], K$36) + SUMIFS(Table2[HomeWon_], Table2[GameIsOver],1,Table2[HomeTeam],$A64, Table2[AwayTeam], K$36) + SUMIFS(Table2[HomeWon_], Table2[GameIsOver],1,Table2[AwayTeam],$A64, Table2[HomeTeam], K$36, Table2[ActualResult], "REG") + SUMIFS(Table2[AwayWon], Table2[GameIsOver],1,Table2[HomeTeam],$A64, Table2[AwayTeam], K$36, Table2[ActualResult], "REG") + SUMIFS(Table2[HomeWon_], Table2[GameIsOver],1,Table2[AwayTeam],$A64, Table2[HomeTeam], K$36, Table2[ActualResult], "OT") + SUMIFS(Table2[AwayWon], Table2[GameIsOver],1,Table2[HomeTeam],$A64, Table2[AwayTeam], K$36, Table2[ActualResult], "OT") + SUMIFS(Table2[HomeWon_], Table2[GameIsOver],1,Table2[AwayTeam],$A64, Table2[HomeTeam], K$36, Table2[ActualResult], "SO") + SUMIFS(Table2[AwayWon], Table2[GameIsOver],1,Table2[HomeTeam],$A64, Table2[AwayTeam], K$36, Table2[ActualResult], "SO"))), "")</f>
        <v/>
      </c>
      <c r="L64" t="str">
        <f>IFERROR(((2*SUMIFS(Table2[AwayWon], Table2[GameIsOver],1,Table2[AwayTeam],$A64, Table2[HomeTeam], L$36) + SUMIFS(Table2[HomeWon_], Table2[GameIsOver],1,Table2[HomeTeam],$A64, Table2[AwayTeam], L$36)) + SUMIFS(Table2[AwayWon], Table2[GameIsOver],1,Table2[HomeTeam],$A64, Table2[AwayTeam], L$36, Table2[ActualResult], "REG") + SUMIFS(Table2[HomeWon_], Table2[GameIsOver],1,Table2[AwayTeam],$A64, Table2[HomeTeam], L$36, Table2[ActualResult], "OT") + SUMIFS(Table2[AwayWon], Table2[GameIsOver],1,Table2[HomeTeam],$A64, Table2[AwayTeam], L$36, Table2[ActualResult], "OT") + SUMIFS(Table2[HomeWon_], Table2[GameIsOver],1,Table2[AwayTeam],$A64, Table2[HomeTeam], L$36, Table2[ActualResult], "SO") + SUMIFS(Table2[AwayWon], Table2[GameIsOver],1,Table2[HomeTeam],$A64, Table2[AwayTeam], L$36, Table2[ActualResult], "SO")) / (2*(SUMIFS(Table2[AwayWon], Table2[GameIsOver],1,Table2[AwayTeam],$A64, Table2[HomeTeam], L$36) + SUMIFS(Table2[HomeWon_], Table2[GameIsOver],1,Table2[HomeTeam],$A64, Table2[AwayTeam], L$36) + SUMIFS(Table2[HomeWon_], Table2[GameIsOver],1,Table2[AwayTeam],$A64, Table2[HomeTeam], L$36, Table2[ActualResult], "REG") + SUMIFS(Table2[AwayWon], Table2[GameIsOver],1,Table2[HomeTeam],$A64, Table2[AwayTeam], L$36, Table2[ActualResult], "REG") + SUMIFS(Table2[HomeWon_], Table2[GameIsOver],1,Table2[AwayTeam],$A64, Table2[HomeTeam], L$36, Table2[ActualResult], "OT") + SUMIFS(Table2[AwayWon], Table2[GameIsOver],1,Table2[HomeTeam],$A64, Table2[AwayTeam], L$36, Table2[ActualResult], "OT") + SUMIFS(Table2[HomeWon_], Table2[GameIsOver],1,Table2[AwayTeam],$A64, Table2[HomeTeam], L$36, Table2[ActualResult], "SO") + SUMIFS(Table2[AwayWon], Table2[GameIsOver],1,Table2[HomeTeam],$A64, Table2[AwayTeam], L$36, Table2[ActualResult], "SO"))), "")</f>
        <v/>
      </c>
      <c r="M64" t="str">
        <f>IFERROR(((2*SUMIFS(Table2[AwayWon], Table2[GameIsOver],1,Table2[AwayTeam],$A64, Table2[HomeTeam], M$36) + SUMIFS(Table2[HomeWon_], Table2[GameIsOver],1,Table2[HomeTeam],$A64, Table2[AwayTeam], M$36)) + SUMIFS(Table2[AwayWon], Table2[GameIsOver],1,Table2[HomeTeam],$A64, Table2[AwayTeam], M$36, Table2[ActualResult], "REG") + SUMIFS(Table2[HomeWon_], Table2[GameIsOver],1,Table2[AwayTeam],$A64, Table2[HomeTeam], M$36, Table2[ActualResult], "OT") + SUMIFS(Table2[AwayWon], Table2[GameIsOver],1,Table2[HomeTeam],$A64, Table2[AwayTeam], M$36, Table2[ActualResult], "OT") + SUMIFS(Table2[HomeWon_], Table2[GameIsOver],1,Table2[AwayTeam],$A64, Table2[HomeTeam], M$36, Table2[ActualResult], "SO") + SUMIFS(Table2[AwayWon], Table2[GameIsOver],1,Table2[HomeTeam],$A64, Table2[AwayTeam], M$36, Table2[ActualResult], "SO")) / (2*(SUMIFS(Table2[AwayWon], Table2[GameIsOver],1,Table2[AwayTeam],$A64, Table2[HomeTeam], M$36) + SUMIFS(Table2[HomeWon_], Table2[GameIsOver],1,Table2[HomeTeam],$A64, Table2[AwayTeam], M$36) + SUMIFS(Table2[HomeWon_], Table2[GameIsOver],1,Table2[AwayTeam],$A64, Table2[HomeTeam], M$36, Table2[ActualResult], "REG") + SUMIFS(Table2[AwayWon], Table2[GameIsOver],1,Table2[HomeTeam],$A64, Table2[AwayTeam], M$36, Table2[ActualResult], "REG") + SUMIFS(Table2[HomeWon_], Table2[GameIsOver],1,Table2[AwayTeam],$A64, Table2[HomeTeam], M$36, Table2[ActualResult], "OT") + SUMIFS(Table2[AwayWon], Table2[GameIsOver],1,Table2[HomeTeam],$A64, Table2[AwayTeam], M$36, Table2[ActualResult], "OT") + SUMIFS(Table2[HomeWon_], Table2[GameIsOver],1,Table2[AwayTeam],$A64, Table2[HomeTeam], M$36, Table2[ActualResult], "SO") + SUMIFS(Table2[AwayWon], Table2[GameIsOver],1,Table2[HomeTeam],$A64, Table2[AwayTeam], M$36, Table2[ActualResult], "SO"))), "")</f>
        <v/>
      </c>
      <c r="N64" t="str">
        <f>IFERROR(((2*SUMIFS(Table2[AwayWon], Table2[GameIsOver],1,Table2[AwayTeam],$A64, Table2[HomeTeam], N$36) + SUMIFS(Table2[HomeWon_], Table2[GameIsOver],1,Table2[HomeTeam],$A64, Table2[AwayTeam], N$36)) + SUMIFS(Table2[AwayWon], Table2[GameIsOver],1,Table2[HomeTeam],$A64, Table2[AwayTeam], N$36, Table2[ActualResult], "REG") + SUMIFS(Table2[HomeWon_], Table2[GameIsOver],1,Table2[AwayTeam],$A64, Table2[HomeTeam], N$36, Table2[ActualResult], "OT") + SUMIFS(Table2[AwayWon], Table2[GameIsOver],1,Table2[HomeTeam],$A64, Table2[AwayTeam], N$36, Table2[ActualResult], "OT") + SUMIFS(Table2[HomeWon_], Table2[GameIsOver],1,Table2[AwayTeam],$A64, Table2[HomeTeam], N$36, Table2[ActualResult], "SO") + SUMIFS(Table2[AwayWon], Table2[GameIsOver],1,Table2[HomeTeam],$A64, Table2[AwayTeam], N$36, Table2[ActualResult], "SO")) / (2*(SUMIFS(Table2[AwayWon], Table2[GameIsOver],1,Table2[AwayTeam],$A64, Table2[HomeTeam], N$36) + SUMIFS(Table2[HomeWon_], Table2[GameIsOver],1,Table2[HomeTeam],$A64, Table2[AwayTeam], N$36) + SUMIFS(Table2[HomeWon_], Table2[GameIsOver],1,Table2[AwayTeam],$A64, Table2[HomeTeam], N$36, Table2[ActualResult], "REG") + SUMIFS(Table2[AwayWon], Table2[GameIsOver],1,Table2[HomeTeam],$A64, Table2[AwayTeam], N$36, Table2[ActualResult], "REG") + SUMIFS(Table2[HomeWon_], Table2[GameIsOver],1,Table2[AwayTeam],$A64, Table2[HomeTeam], N$36, Table2[ActualResult], "OT") + SUMIFS(Table2[AwayWon], Table2[GameIsOver],1,Table2[HomeTeam],$A64, Table2[AwayTeam], N$36, Table2[ActualResult], "OT") + SUMIFS(Table2[HomeWon_], Table2[GameIsOver],1,Table2[AwayTeam],$A64, Table2[HomeTeam], N$36, Table2[ActualResult], "SO") + SUMIFS(Table2[AwayWon], Table2[GameIsOver],1,Table2[HomeTeam],$A64, Table2[AwayTeam], N$36, Table2[ActualResult], "SO"))), "")</f>
        <v/>
      </c>
      <c r="O64" t="str">
        <f>IFERROR(((2*SUMIFS(Table2[AwayWon], Table2[GameIsOver],1,Table2[AwayTeam],$A64, Table2[HomeTeam], O$36) + SUMIFS(Table2[HomeWon_], Table2[GameIsOver],1,Table2[HomeTeam],$A64, Table2[AwayTeam], O$36)) + SUMIFS(Table2[AwayWon], Table2[GameIsOver],1,Table2[HomeTeam],$A64, Table2[AwayTeam], O$36, Table2[ActualResult], "REG") + SUMIFS(Table2[HomeWon_], Table2[GameIsOver],1,Table2[AwayTeam],$A64, Table2[HomeTeam], O$36, Table2[ActualResult], "OT") + SUMIFS(Table2[AwayWon], Table2[GameIsOver],1,Table2[HomeTeam],$A64, Table2[AwayTeam], O$36, Table2[ActualResult], "OT") + SUMIFS(Table2[HomeWon_], Table2[GameIsOver],1,Table2[AwayTeam],$A64, Table2[HomeTeam], O$36, Table2[ActualResult], "SO") + SUMIFS(Table2[AwayWon], Table2[GameIsOver],1,Table2[HomeTeam],$A64, Table2[AwayTeam], O$36, Table2[ActualResult], "SO")) / (2*(SUMIFS(Table2[AwayWon], Table2[GameIsOver],1,Table2[AwayTeam],$A64, Table2[HomeTeam], O$36) + SUMIFS(Table2[HomeWon_], Table2[GameIsOver],1,Table2[HomeTeam],$A64, Table2[AwayTeam], O$36) + SUMIFS(Table2[HomeWon_], Table2[GameIsOver],1,Table2[AwayTeam],$A64, Table2[HomeTeam], O$36, Table2[ActualResult], "REG") + SUMIFS(Table2[AwayWon], Table2[GameIsOver],1,Table2[HomeTeam],$A64, Table2[AwayTeam], O$36, Table2[ActualResult], "REG") + SUMIFS(Table2[HomeWon_], Table2[GameIsOver],1,Table2[AwayTeam],$A64, Table2[HomeTeam], O$36, Table2[ActualResult], "OT") + SUMIFS(Table2[AwayWon], Table2[GameIsOver],1,Table2[HomeTeam],$A64, Table2[AwayTeam], O$36, Table2[ActualResult], "OT") + SUMIFS(Table2[HomeWon_], Table2[GameIsOver],1,Table2[AwayTeam],$A64, Table2[HomeTeam], O$36, Table2[ActualResult], "SO") + SUMIFS(Table2[AwayWon], Table2[GameIsOver],1,Table2[HomeTeam],$A64, Table2[AwayTeam], O$36, Table2[ActualResult], "SO"))), "")</f>
        <v/>
      </c>
      <c r="P64" t="str">
        <f>IFERROR(((2*SUMIFS(Table2[AwayWon], Table2[GameIsOver],1,Table2[AwayTeam],$A64, Table2[HomeTeam], P$36) + SUMIFS(Table2[HomeWon_], Table2[GameIsOver],1,Table2[HomeTeam],$A64, Table2[AwayTeam], P$36)) + SUMIFS(Table2[AwayWon], Table2[GameIsOver],1,Table2[HomeTeam],$A64, Table2[AwayTeam], P$36, Table2[ActualResult], "REG") + SUMIFS(Table2[HomeWon_], Table2[GameIsOver],1,Table2[AwayTeam],$A64, Table2[HomeTeam], P$36, Table2[ActualResult], "OT") + SUMIFS(Table2[AwayWon], Table2[GameIsOver],1,Table2[HomeTeam],$A64, Table2[AwayTeam], P$36, Table2[ActualResult], "OT") + SUMIFS(Table2[HomeWon_], Table2[GameIsOver],1,Table2[AwayTeam],$A64, Table2[HomeTeam], P$36, Table2[ActualResult], "SO") + SUMIFS(Table2[AwayWon], Table2[GameIsOver],1,Table2[HomeTeam],$A64, Table2[AwayTeam], P$36, Table2[ActualResult], "SO")) / (2*(SUMIFS(Table2[AwayWon], Table2[GameIsOver],1,Table2[AwayTeam],$A64, Table2[HomeTeam], P$36) + SUMIFS(Table2[HomeWon_], Table2[GameIsOver],1,Table2[HomeTeam],$A64, Table2[AwayTeam], P$36) + SUMIFS(Table2[HomeWon_], Table2[GameIsOver],1,Table2[AwayTeam],$A64, Table2[HomeTeam], P$36, Table2[ActualResult], "REG") + SUMIFS(Table2[AwayWon], Table2[GameIsOver],1,Table2[HomeTeam],$A64, Table2[AwayTeam], P$36, Table2[ActualResult], "REG") + SUMIFS(Table2[HomeWon_], Table2[GameIsOver],1,Table2[AwayTeam],$A64, Table2[HomeTeam], P$36, Table2[ActualResult], "OT") + SUMIFS(Table2[AwayWon], Table2[GameIsOver],1,Table2[HomeTeam],$A64, Table2[AwayTeam], P$36, Table2[ActualResult], "OT") + SUMIFS(Table2[HomeWon_], Table2[GameIsOver],1,Table2[AwayTeam],$A64, Table2[HomeTeam], P$36, Table2[ActualResult], "SO") + SUMIFS(Table2[AwayWon], Table2[GameIsOver],1,Table2[HomeTeam],$A64, Table2[AwayTeam], P$36, Table2[ActualResult], "SO"))), "")</f>
        <v/>
      </c>
      <c r="Q64" s="57" t="str">
        <f>IFERROR(((2*SUMIFS(Table2[AwayWon], Table2[GameIsOver],1,Table2[AwayTeam],$A64, Table2[HomeTeam], Q$36) + SUMIFS(Table2[HomeWon_], Table2[GameIsOver],1,Table2[HomeTeam],$A64, Table2[AwayTeam], Q$36)) + SUMIFS(Table2[AwayWon], Table2[GameIsOver],1,Table2[HomeTeam],$A64, Table2[AwayTeam], Q$36, Table2[ActualResult], "REG") + SUMIFS(Table2[HomeWon_], Table2[GameIsOver],1,Table2[AwayTeam],$A64, Table2[HomeTeam], Q$36, Table2[ActualResult], "OT") + SUMIFS(Table2[AwayWon], Table2[GameIsOver],1,Table2[HomeTeam],$A64, Table2[AwayTeam], Q$36, Table2[ActualResult], "OT") + SUMIFS(Table2[HomeWon_], Table2[GameIsOver],1,Table2[AwayTeam],$A64, Table2[HomeTeam], Q$36, Table2[ActualResult], "SO") + SUMIFS(Table2[AwayWon], Table2[GameIsOver],1,Table2[HomeTeam],$A64, Table2[AwayTeam], Q$36, Table2[ActualResult], "SO")) / (2*(SUMIFS(Table2[AwayWon], Table2[GameIsOver],1,Table2[AwayTeam],$A64, Table2[HomeTeam], Q$36) + SUMIFS(Table2[HomeWon_], Table2[GameIsOver],1,Table2[HomeTeam],$A64, Table2[AwayTeam], Q$36) + SUMIFS(Table2[HomeWon_], Table2[GameIsOver],1,Table2[AwayTeam],$A64, Table2[HomeTeam], Q$36, Table2[ActualResult], "REG") + SUMIFS(Table2[AwayWon], Table2[GameIsOver],1,Table2[HomeTeam],$A64, Table2[AwayTeam], Q$36, Table2[ActualResult], "REG") + SUMIFS(Table2[HomeWon_], Table2[GameIsOver],1,Table2[AwayTeam],$A64, Table2[HomeTeam], Q$36, Table2[ActualResult], "OT") + SUMIFS(Table2[AwayWon], Table2[GameIsOver],1,Table2[HomeTeam],$A64, Table2[AwayTeam], Q$36, Table2[ActualResult], "OT") + SUMIFS(Table2[HomeWon_], Table2[GameIsOver],1,Table2[AwayTeam],$A64, Table2[HomeTeam], Q$36, Table2[ActualResult], "SO") + SUMIFS(Table2[AwayWon], Table2[GameIsOver],1,Table2[HomeTeam],$A64, Table2[AwayTeam], Q$36, Table2[ActualResult], "SO"))), "")</f>
        <v/>
      </c>
      <c r="R64" t="str">
        <f>IFERROR(((2*SUMIFS(Table2[AwayWon], Table2[GameIsOver],1,Table2[AwayTeam],$A64, Table2[HomeTeam], R$36) + SUMIFS(Table2[HomeWon_], Table2[GameIsOver],1,Table2[HomeTeam],$A64, Table2[AwayTeam], R$36)) + SUMIFS(Table2[AwayWon], Table2[GameIsOver],1,Table2[HomeTeam],$A64, Table2[AwayTeam], R$36, Table2[ActualResult], "REG") + SUMIFS(Table2[HomeWon_], Table2[GameIsOver],1,Table2[AwayTeam],$A64, Table2[HomeTeam], R$36, Table2[ActualResult], "OT") + SUMIFS(Table2[AwayWon], Table2[GameIsOver],1,Table2[HomeTeam],$A64, Table2[AwayTeam], R$36, Table2[ActualResult], "OT") + SUMIFS(Table2[HomeWon_], Table2[GameIsOver],1,Table2[AwayTeam],$A64, Table2[HomeTeam], R$36, Table2[ActualResult], "SO") + SUMIFS(Table2[AwayWon], Table2[GameIsOver],1,Table2[HomeTeam],$A64, Table2[AwayTeam], R$36, Table2[ActualResult], "SO")) / (2*(SUMIFS(Table2[AwayWon], Table2[GameIsOver],1,Table2[AwayTeam],$A64, Table2[HomeTeam], R$36) + SUMIFS(Table2[HomeWon_], Table2[GameIsOver],1,Table2[HomeTeam],$A64, Table2[AwayTeam], R$36) + SUMIFS(Table2[HomeWon_], Table2[GameIsOver],1,Table2[AwayTeam],$A64, Table2[HomeTeam], R$36, Table2[ActualResult], "REG") + SUMIFS(Table2[AwayWon], Table2[GameIsOver],1,Table2[HomeTeam],$A64, Table2[AwayTeam], R$36, Table2[ActualResult], "REG") + SUMIFS(Table2[HomeWon_], Table2[GameIsOver],1,Table2[AwayTeam],$A64, Table2[HomeTeam], R$36, Table2[ActualResult], "OT") + SUMIFS(Table2[AwayWon], Table2[GameIsOver],1,Table2[HomeTeam],$A64, Table2[AwayTeam], R$36, Table2[ActualResult], "OT") + SUMIFS(Table2[HomeWon_], Table2[GameIsOver],1,Table2[AwayTeam],$A64, Table2[HomeTeam], R$36, Table2[ActualResult], "SO") + SUMIFS(Table2[AwayWon], Table2[GameIsOver],1,Table2[HomeTeam],$A64, Table2[AwayTeam], R$36, Table2[ActualResult], "SO"))), "")</f>
        <v/>
      </c>
      <c r="S64" t="str">
        <f>IFERROR(((2*SUMIFS(Table2[AwayWon], Table2[GameIsOver],1,Table2[AwayTeam],$A64, Table2[HomeTeam], S$36) + SUMIFS(Table2[HomeWon_], Table2[GameIsOver],1,Table2[HomeTeam],$A64, Table2[AwayTeam], S$36)) + SUMIFS(Table2[AwayWon], Table2[GameIsOver],1,Table2[HomeTeam],$A64, Table2[AwayTeam], S$36, Table2[ActualResult], "REG") + SUMIFS(Table2[HomeWon_], Table2[GameIsOver],1,Table2[AwayTeam],$A64, Table2[HomeTeam], S$36, Table2[ActualResult], "OT") + SUMIFS(Table2[AwayWon], Table2[GameIsOver],1,Table2[HomeTeam],$A64, Table2[AwayTeam], S$36, Table2[ActualResult], "OT") + SUMIFS(Table2[HomeWon_], Table2[GameIsOver],1,Table2[AwayTeam],$A64, Table2[HomeTeam], S$36, Table2[ActualResult], "SO") + SUMIFS(Table2[AwayWon], Table2[GameIsOver],1,Table2[HomeTeam],$A64, Table2[AwayTeam], S$36, Table2[ActualResult], "SO")) / (2*(SUMIFS(Table2[AwayWon], Table2[GameIsOver],1,Table2[AwayTeam],$A64, Table2[HomeTeam], S$36) + SUMIFS(Table2[HomeWon_], Table2[GameIsOver],1,Table2[HomeTeam],$A64, Table2[AwayTeam], S$36) + SUMIFS(Table2[HomeWon_], Table2[GameIsOver],1,Table2[AwayTeam],$A64, Table2[HomeTeam], S$36, Table2[ActualResult], "REG") + SUMIFS(Table2[AwayWon], Table2[GameIsOver],1,Table2[HomeTeam],$A64, Table2[AwayTeam], S$36, Table2[ActualResult], "REG") + SUMIFS(Table2[HomeWon_], Table2[GameIsOver],1,Table2[AwayTeam],$A64, Table2[HomeTeam], S$36, Table2[ActualResult], "OT") + SUMIFS(Table2[AwayWon], Table2[GameIsOver],1,Table2[HomeTeam],$A64, Table2[AwayTeam], S$36, Table2[ActualResult], "OT") + SUMIFS(Table2[HomeWon_], Table2[GameIsOver],1,Table2[AwayTeam],$A64, Table2[HomeTeam], S$36, Table2[ActualResult], "SO") + SUMIFS(Table2[AwayWon], Table2[GameIsOver],1,Table2[HomeTeam],$A64, Table2[AwayTeam], S$36, Table2[ActualResult], "SO"))), "")</f>
        <v/>
      </c>
      <c r="T64">
        <f>IFERROR(((2*SUMIFS(Table2[AwayWon], Table2[GameIsOver],1,Table2[AwayTeam],$A64, Table2[HomeTeam], T$36) + SUMIFS(Table2[HomeWon_], Table2[GameIsOver],1,Table2[HomeTeam],$A64, Table2[AwayTeam], T$36)) + SUMIFS(Table2[AwayWon], Table2[GameIsOver],1,Table2[HomeTeam],$A64, Table2[AwayTeam], T$36, Table2[ActualResult], "REG") + SUMIFS(Table2[HomeWon_], Table2[GameIsOver],1,Table2[AwayTeam],$A64, Table2[HomeTeam], T$36, Table2[ActualResult], "OT") + SUMIFS(Table2[AwayWon], Table2[GameIsOver],1,Table2[HomeTeam],$A64, Table2[AwayTeam], T$36, Table2[ActualResult], "OT") + SUMIFS(Table2[HomeWon_], Table2[GameIsOver],1,Table2[AwayTeam],$A64, Table2[HomeTeam], T$36, Table2[ActualResult], "SO") + SUMIFS(Table2[AwayWon], Table2[GameIsOver],1,Table2[HomeTeam],$A64, Table2[AwayTeam], T$36, Table2[ActualResult], "SO")) / (2*(SUMIFS(Table2[AwayWon], Table2[GameIsOver],1,Table2[AwayTeam],$A64, Table2[HomeTeam], T$36) + SUMIFS(Table2[HomeWon_], Table2[GameIsOver],1,Table2[HomeTeam],$A64, Table2[AwayTeam], T$36) + SUMIFS(Table2[HomeWon_], Table2[GameIsOver],1,Table2[AwayTeam],$A64, Table2[HomeTeam], T$36, Table2[ActualResult], "REG") + SUMIFS(Table2[AwayWon], Table2[GameIsOver],1,Table2[HomeTeam],$A64, Table2[AwayTeam], T$36, Table2[ActualResult], "REG") + SUMIFS(Table2[HomeWon_], Table2[GameIsOver],1,Table2[AwayTeam],$A64, Table2[HomeTeam], T$36, Table2[ActualResult], "OT") + SUMIFS(Table2[AwayWon], Table2[GameIsOver],1,Table2[HomeTeam],$A64, Table2[AwayTeam], T$36, Table2[ActualResult], "OT") + SUMIFS(Table2[HomeWon_], Table2[GameIsOver],1,Table2[AwayTeam],$A64, Table2[HomeTeam], T$36, Table2[ActualResult], "SO") + SUMIFS(Table2[AwayWon], Table2[GameIsOver],1,Table2[HomeTeam],$A64, Table2[AwayTeam], T$36, Table2[ActualResult], "SO"))), "")</f>
        <v>0</v>
      </c>
      <c r="U64" t="str">
        <f>IFERROR(((2*SUMIFS(Table2[AwayWon], Table2[GameIsOver],1,Table2[AwayTeam],$A64, Table2[HomeTeam], U$36) + SUMIFS(Table2[HomeWon_], Table2[GameIsOver],1,Table2[HomeTeam],$A64, Table2[AwayTeam], U$36)) + SUMIFS(Table2[AwayWon], Table2[GameIsOver],1,Table2[HomeTeam],$A64, Table2[AwayTeam], U$36, Table2[ActualResult], "REG") + SUMIFS(Table2[HomeWon_], Table2[GameIsOver],1,Table2[AwayTeam],$A64, Table2[HomeTeam], U$36, Table2[ActualResult], "OT") + SUMIFS(Table2[AwayWon], Table2[GameIsOver],1,Table2[HomeTeam],$A64, Table2[AwayTeam], U$36, Table2[ActualResult], "OT") + SUMIFS(Table2[HomeWon_], Table2[GameIsOver],1,Table2[AwayTeam],$A64, Table2[HomeTeam], U$36, Table2[ActualResult], "SO") + SUMIFS(Table2[AwayWon], Table2[GameIsOver],1,Table2[HomeTeam],$A64, Table2[AwayTeam], U$36, Table2[ActualResult], "SO")) / (2*(SUMIFS(Table2[AwayWon], Table2[GameIsOver],1,Table2[AwayTeam],$A64, Table2[HomeTeam], U$36) + SUMIFS(Table2[HomeWon_], Table2[GameIsOver],1,Table2[HomeTeam],$A64, Table2[AwayTeam], U$36) + SUMIFS(Table2[HomeWon_], Table2[GameIsOver],1,Table2[AwayTeam],$A64, Table2[HomeTeam], U$36, Table2[ActualResult], "REG") + SUMIFS(Table2[AwayWon], Table2[GameIsOver],1,Table2[HomeTeam],$A64, Table2[AwayTeam], U$36, Table2[ActualResult], "REG") + SUMIFS(Table2[HomeWon_], Table2[GameIsOver],1,Table2[AwayTeam],$A64, Table2[HomeTeam], U$36, Table2[ActualResult], "OT") + SUMIFS(Table2[AwayWon], Table2[GameIsOver],1,Table2[HomeTeam],$A64, Table2[AwayTeam], U$36, Table2[ActualResult], "OT") + SUMIFS(Table2[HomeWon_], Table2[GameIsOver],1,Table2[AwayTeam],$A64, Table2[HomeTeam], U$36, Table2[ActualResult], "SO") + SUMIFS(Table2[AwayWon], Table2[GameIsOver],1,Table2[HomeTeam],$A64, Table2[AwayTeam], U$36, Table2[ActualResult], "SO"))), "")</f>
        <v/>
      </c>
      <c r="V64" t="str">
        <f>IFERROR(((2*SUMIFS(Table2[AwayWon], Table2[GameIsOver],1,Table2[AwayTeam],$A64, Table2[HomeTeam], V$36) + SUMIFS(Table2[HomeWon_], Table2[GameIsOver],1,Table2[HomeTeam],$A64, Table2[AwayTeam], V$36)) + SUMIFS(Table2[AwayWon], Table2[GameIsOver],1,Table2[HomeTeam],$A64, Table2[AwayTeam], V$36, Table2[ActualResult], "REG") + SUMIFS(Table2[HomeWon_], Table2[GameIsOver],1,Table2[AwayTeam],$A64, Table2[HomeTeam], V$36, Table2[ActualResult], "OT") + SUMIFS(Table2[AwayWon], Table2[GameIsOver],1,Table2[HomeTeam],$A64, Table2[AwayTeam], V$36, Table2[ActualResult], "OT") + SUMIFS(Table2[HomeWon_], Table2[GameIsOver],1,Table2[AwayTeam],$A64, Table2[HomeTeam], V$36, Table2[ActualResult], "SO") + SUMIFS(Table2[AwayWon], Table2[GameIsOver],1,Table2[HomeTeam],$A64, Table2[AwayTeam], V$36, Table2[ActualResult], "SO")) / (2*(SUMIFS(Table2[AwayWon], Table2[GameIsOver],1,Table2[AwayTeam],$A64, Table2[HomeTeam], V$36) + SUMIFS(Table2[HomeWon_], Table2[GameIsOver],1,Table2[HomeTeam],$A64, Table2[AwayTeam], V$36) + SUMIFS(Table2[HomeWon_], Table2[GameIsOver],1,Table2[AwayTeam],$A64, Table2[HomeTeam], V$36, Table2[ActualResult], "REG") + SUMIFS(Table2[AwayWon], Table2[GameIsOver],1,Table2[HomeTeam],$A64, Table2[AwayTeam], V$36, Table2[ActualResult], "REG") + SUMIFS(Table2[HomeWon_], Table2[GameIsOver],1,Table2[AwayTeam],$A64, Table2[HomeTeam], V$36, Table2[ActualResult], "OT") + SUMIFS(Table2[AwayWon], Table2[GameIsOver],1,Table2[HomeTeam],$A64, Table2[AwayTeam], V$36, Table2[ActualResult], "OT") + SUMIFS(Table2[HomeWon_], Table2[GameIsOver],1,Table2[AwayTeam],$A64, Table2[HomeTeam], V$36, Table2[ActualResult], "SO") + SUMIFS(Table2[AwayWon], Table2[GameIsOver],1,Table2[HomeTeam],$A64, Table2[AwayTeam], V$36, Table2[ActualResult], "SO"))), "")</f>
        <v/>
      </c>
      <c r="W64">
        <f>IFERROR(((2*SUMIFS(Table2[AwayWon], Table2[GameIsOver],1,Table2[AwayTeam],$A64, Table2[HomeTeam], W$36) + SUMIFS(Table2[HomeWon_], Table2[GameIsOver],1,Table2[HomeTeam],$A64, Table2[AwayTeam], W$36)) + SUMIFS(Table2[AwayWon], Table2[GameIsOver],1,Table2[HomeTeam],$A64, Table2[AwayTeam], W$36, Table2[ActualResult], "REG") + SUMIFS(Table2[HomeWon_], Table2[GameIsOver],1,Table2[AwayTeam],$A64, Table2[HomeTeam], W$36, Table2[ActualResult], "OT") + SUMIFS(Table2[AwayWon], Table2[GameIsOver],1,Table2[HomeTeam],$A64, Table2[AwayTeam], W$36, Table2[ActualResult], "OT") + SUMIFS(Table2[HomeWon_], Table2[GameIsOver],1,Table2[AwayTeam],$A64, Table2[HomeTeam], W$36, Table2[ActualResult], "SO") + SUMIFS(Table2[AwayWon], Table2[GameIsOver],1,Table2[HomeTeam],$A64, Table2[AwayTeam], W$36, Table2[ActualResult], "SO")) / (2*(SUMIFS(Table2[AwayWon], Table2[GameIsOver],1,Table2[AwayTeam],$A64, Table2[HomeTeam], W$36) + SUMIFS(Table2[HomeWon_], Table2[GameIsOver],1,Table2[HomeTeam],$A64, Table2[AwayTeam], W$36) + SUMIFS(Table2[HomeWon_], Table2[GameIsOver],1,Table2[AwayTeam],$A64, Table2[HomeTeam], W$36, Table2[ActualResult], "REG") + SUMIFS(Table2[AwayWon], Table2[GameIsOver],1,Table2[HomeTeam],$A64, Table2[AwayTeam], W$36, Table2[ActualResult], "REG") + SUMIFS(Table2[HomeWon_], Table2[GameIsOver],1,Table2[AwayTeam],$A64, Table2[HomeTeam], W$36, Table2[ActualResult], "OT") + SUMIFS(Table2[AwayWon], Table2[GameIsOver],1,Table2[HomeTeam],$A64, Table2[AwayTeam], W$36, Table2[ActualResult], "OT") + SUMIFS(Table2[HomeWon_], Table2[GameIsOver],1,Table2[AwayTeam],$A64, Table2[HomeTeam], W$36, Table2[ActualResult], "SO") + SUMIFS(Table2[AwayWon], Table2[GameIsOver],1,Table2[HomeTeam],$A64, Table2[AwayTeam], W$36, Table2[ActualResult], "SO"))), "")</f>
        <v>0.25</v>
      </c>
      <c r="X64" t="str">
        <f>IFERROR(((2*SUMIFS(Table2[AwayWon], Table2[GameIsOver],1,Table2[AwayTeam],$A64, Table2[HomeTeam], X$36) + SUMIFS(Table2[HomeWon_], Table2[GameIsOver],1,Table2[HomeTeam],$A64, Table2[AwayTeam], X$36)) + SUMIFS(Table2[AwayWon], Table2[GameIsOver],1,Table2[HomeTeam],$A64, Table2[AwayTeam], X$36, Table2[ActualResult], "REG") + SUMIFS(Table2[HomeWon_], Table2[GameIsOver],1,Table2[AwayTeam],$A64, Table2[HomeTeam], X$36, Table2[ActualResult], "OT") + SUMIFS(Table2[AwayWon], Table2[GameIsOver],1,Table2[HomeTeam],$A64, Table2[AwayTeam], X$36, Table2[ActualResult], "OT") + SUMIFS(Table2[HomeWon_], Table2[GameIsOver],1,Table2[AwayTeam],$A64, Table2[HomeTeam], X$36, Table2[ActualResult], "SO") + SUMIFS(Table2[AwayWon], Table2[GameIsOver],1,Table2[HomeTeam],$A64, Table2[AwayTeam], X$36, Table2[ActualResult], "SO")) / (2*(SUMIFS(Table2[AwayWon], Table2[GameIsOver],1,Table2[AwayTeam],$A64, Table2[HomeTeam], X$36) + SUMIFS(Table2[HomeWon_], Table2[GameIsOver],1,Table2[HomeTeam],$A64, Table2[AwayTeam], X$36) + SUMIFS(Table2[HomeWon_], Table2[GameIsOver],1,Table2[AwayTeam],$A64, Table2[HomeTeam], X$36, Table2[ActualResult], "REG") + SUMIFS(Table2[AwayWon], Table2[GameIsOver],1,Table2[HomeTeam],$A64, Table2[AwayTeam], X$36, Table2[ActualResult], "REG") + SUMIFS(Table2[HomeWon_], Table2[GameIsOver],1,Table2[AwayTeam],$A64, Table2[HomeTeam], X$36, Table2[ActualResult], "OT") + SUMIFS(Table2[AwayWon], Table2[GameIsOver],1,Table2[HomeTeam],$A64, Table2[AwayTeam], X$36, Table2[ActualResult], "OT") + SUMIFS(Table2[HomeWon_], Table2[GameIsOver],1,Table2[AwayTeam],$A64, Table2[HomeTeam], X$36, Table2[ActualResult], "SO") + SUMIFS(Table2[AwayWon], Table2[GameIsOver],1,Table2[HomeTeam],$A64, Table2[AwayTeam], X$36, Table2[ActualResult], "SO"))), "")</f>
        <v/>
      </c>
      <c r="Y64" s="57" t="str">
        <f>IFERROR(((2*SUMIFS(Table2[AwayWon], Table2[GameIsOver],1,Table2[AwayTeam],$A64, Table2[HomeTeam], Y$36) + SUMIFS(Table2[HomeWon_], Table2[GameIsOver],1,Table2[HomeTeam],$A64, Table2[AwayTeam], Y$36)) + SUMIFS(Table2[AwayWon], Table2[GameIsOver],1,Table2[HomeTeam],$A64, Table2[AwayTeam], Y$36, Table2[ActualResult], "REG") + SUMIFS(Table2[HomeWon_], Table2[GameIsOver],1,Table2[AwayTeam],$A64, Table2[HomeTeam], Y$36, Table2[ActualResult], "OT") + SUMIFS(Table2[AwayWon], Table2[GameIsOver],1,Table2[HomeTeam],$A64, Table2[AwayTeam], Y$36, Table2[ActualResult], "OT") + SUMIFS(Table2[HomeWon_], Table2[GameIsOver],1,Table2[AwayTeam],$A64, Table2[HomeTeam], Y$36, Table2[ActualResult], "SO") + SUMIFS(Table2[AwayWon], Table2[GameIsOver],1,Table2[HomeTeam],$A64, Table2[AwayTeam], Y$36, Table2[ActualResult], "SO")) / (2*(SUMIFS(Table2[AwayWon], Table2[GameIsOver],1,Table2[AwayTeam],$A64, Table2[HomeTeam], Y$36) + SUMIFS(Table2[HomeWon_], Table2[GameIsOver],1,Table2[HomeTeam],$A64, Table2[AwayTeam], Y$36) + SUMIFS(Table2[HomeWon_], Table2[GameIsOver],1,Table2[AwayTeam],$A64, Table2[HomeTeam], Y$36, Table2[ActualResult], "REG") + SUMIFS(Table2[AwayWon], Table2[GameIsOver],1,Table2[HomeTeam],$A64, Table2[AwayTeam], Y$36, Table2[ActualResult], "REG") + SUMIFS(Table2[HomeWon_], Table2[GameIsOver],1,Table2[AwayTeam],$A64, Table2[HomeTeam], Y$36, Table2[ActualResult], "OT") + SUMIFS(Table2[AwayWon], Table2[GameIsOver],1,Table2[HomeTeam],$A64, Table2[AwayTeam], Y$36, Table2[ActualResult], "OT") + SUMIFS(Table2[HomeWon_], Table2[GameIsOver],1,Table2[AwayTeam],$A64, Table2[HomeTeam], Y$36, Table2[ActualResult], "SO") + SUMIFS(Table2[AwayWon], Table2[GameIsOver],1,Table2[HomeTeam],$A64, Table2[AwayTeam], Y$36, Table2[ActualResult], "SO"))), "")</f>
        <v/>
      </c>
      <c r="Z64">
        <f>IFERROR(((2*SUMIFS(Table2[AwayWon], Table2[GameIsOver],1,Table2[AwayTeam],$A64, Table2[HomeTeam], Z$36) + SUMIFS(Table2[HomeWon_], Table2[GameIsOver],1,Table2[HomeTeam],$A64, Table2[AwayTeam], Z$36)) + SUMIFS(Table2[AwayWon], Table2[GameIsOver],1,Table2[HomeTeam],$A64, Table2[AwayTeam], Z$36, Table2[ActualResult], "REG") + SUMIFS(Table2[HomeWon_], Table2[GameIsOver],1,Table2[AwayTeam],$A64, Table2[HomeTeam], Z$36, Table2[ActualResult], "OT") + SUMIFS(Table2[AwayWon], Table2[GameIsOver],1,Table2[HomeTeam],$A64, Table2[AwayTeam], Z$36, Table2[ActualResult], "OT") + SUMIFS(Table2[HomeWon_], Table2[GameIsOver],1,Table2[AwayTeam],$A64, Table2[HomeTeam], Z$36, Table2[ActualResult], "SO") + SUMIFS(Table2[AwayWon], Table2[GameIsOver],1,Table2[HomeTeam],$A64, Table2[AwayTeam], Z$36, Table2[ActualResult], "SO")) / (2*(SUMIFS(Table2[AwayWon], Table2[GameIsOver],1,Table2[AwayTeam],$A64, Table2[HomeTeam], Z$36) + SUMIFS(Table2[HomeWon_], Table2[GameIsOver],1,Table2[HomeTeam],$A64, Table2[AwayTeam], Z$36) + SUMIFS(Table2[HomeWon_], Table2[GameIsOver],1,Table2[AwayTeam],$A64, Table2[HomeTeam], Z$36, Table2[ActualResult], "REG") + SUMIFS(Table2[AwayWon], Table2[GameIsOver],1,Table2[HomeTeam],$A64, Table2[AwayTeam], Z$36, Table2[ActualResult], "REG") + SUMIFS(Table2[HomeWon_], Table2[GameIsOver],1,Table2[AwayTeam],$A64, Table2[HomeTeam], Z$36, Table2[ActualResult], "OT") + SUMIFS(Table2[AwayWon], Table2[GameIsOver],1,Table2[HomeTeam],$A64, Table2[AwayTeam], Z$36, Table2[ActualResult], "OT") + SUMIFS(Table2[HomeWon_], Table2[GameIsOver],1,Table2[AwayTeam],$A64, Table2[HomeTeam], Z$36, Table2[ActualResult], "SO") + SUMIFS(Table2[AwayWon], Table2[GameIsOver],1,Table2[HomeTeam],$A64, Table2[AwayTeam], Z$36, Table2[ActualResult], "SO"))), "")</f>
        <v>1</v>
      </c>
      <c r="AA64">
        <f>IFERROR(((2*SUMIFS(Table2[AwayWon], Table2[GameIsOver],1,Table2[AwayTeam],$A64, Table2[HomeTeam], AA$36) + SUMIFS(Table2[HomeWon_], Table2[GameIsOver],1,Table2[HomeTeam],$A64, Table2[AwayTeam], AA$36)) + SUMIFS(Table2[AwayWon], Table2[GameIsOver],1,Table2[HomeTeam],$A64, Table2[AwayTeam], AA$36, Table2[ActualResult], "REG") + SUMIFS(Table2[HomeWon_], Table2[GameIsOver],1,Table2[AwayTeam],$A64, Table2[HomeTeam], AA$36, Table2[ActualResult], "OT") + SUMIFS(Table2[AwayWon], Table2[GameIsOver],1,Table2[HomeTeam],$A64, Table2[AwayTeam], AA$36, Table2[ActualResult], "OT") + SUMIFS(Table2[HomeWon_], Table2[GameIsOver],1,Table2[AwayTeam],$A64, Table2[HomeTeam], AA$36, Table2[ActualResult], "SO") + SUMIFS(Table2[AwayWon], Table2[GameIsOver],1,Table2[HomeTeam],$A64, Table2[AwayTeam], AA$36, Table2[ActualResult], "SO")) / (2*(SUMIFS(Table2[AwayWon], Table2[GameIsOver],1,Table2[AwayTeam],$A64, Table2[HomeTeam], AA$36) + SUMIFS(Table2[HomeWon_], Table2[GameIsOver],1,Table2[HomeTeam],$A64, Table2[AwayTeam], AA$36) + SUMIFS(Table2[HomeWon_], Table2[GameIsOver],1,Table2[AwayTeam],$A64, Table2[HomeTeam], AA$36, Table2[ActualResult], "REG") + SUMIFS(Table2[AwayWon], Table2[GameIsOver],1,Table2[HomeTeam],$A64, Table2[AwayTeam], AA$36, Table2[ActualResult], "REG") + SUMIFS(Table2[HomeWon_], Table2[GameIsOver],1,Table2[AwayTeam],$A64, Table2[HomeTeam], AA$36, Table2[ActualResult], "OT") + SUMIFS(Table2[AwayWon], Table2[GameIsOver],1,Table2[HomeTeam],$A64, Table2[AwayTeam], AA$36, Table2[ActualResult], "OT") + SUMIFS(Table2[HomeWon_], Table2[GameIsOver],1,Table2[AwayTeam],$A64, Table2[HomeTeam], AA$36, Table2[ActualResult], "SO") + SUMIFS(Table2[AwayWon], Table2[GameIsOver],1,Table2[HomeTeam],$A64, Table2[AwayTeam], AA$36, Table2[ActualResult], "SO"))), "")</f>
        <v>0</v>
      </c>
      <c r="AB64">
        <f>IFERROR(((2*SUMIFS(Table2[AwayWon], Table2[GameIsOver],1,Table2[AwayTeam],$A64, Table2[HomeTeam], AB$36) + SUMIFS(Table2[HomeWon_], Table2[GameIsOver],1,Table2[HomeTeam],$A64, Table2[AwayTeam], AB$36)) + SUMIFS(Table2[AwayWon], Table2[GameIsOver],1,Table2[HomeTeam],$A64, Table2[AwayTeam], AB$36, Table2[ActualResult], "REG") + SUMIFS(Table2[HomeWon_], Table2[GameIsOver],1,Table2[AwayTeam],$A64, Table2[HomeTeam], AB$36, Table2[ActualResult], "OT") + SUMIFS(Table2[AwayWon], Table2[GameIsOver],1,Table2[HomeTeam],$A64, Table2[AwayTeam], AB$36, Table2[ActualResult], "OT") + SUMIFS(Table2[HomeWon_], Table2[GameIsOver],1,Table2[AwayTeam],$A64, Table2[HomeTeam], AB$36, Table2[ActualResult], "SO") + SUMIFS(Table2[AwayWon], Table2[GameIsOver],1,Table2[HomeTeam],$A64, Table2[AwayTeam], AB$36, Table2[ActualResult], "SO")) / (2*(SUMIFS(Table2[AwayWon], Table2[GameIsOver],1,Table2[AwayTeam],$A64, Table2[HomeTeam], AB$36) + SUMIFS(Table2[HomeWon_], Table2[GameIsOver],1,Table2[HomeTeam],$A64, Table2[AwayTeam], AB$36) + SUMIFS(Table2[HomeWon_], Table2[GameIsOver],1,Table2[AwayTeam],$A64, Table2[HomeTeam], AB$36, Table2[ActualResult], "REG") + SUMIFS(Table2[AwayWon], Table2[GameIsOver],1,Table2[HomeTeam],$A64, Table2[AwayTeam], AB$36, Table2[ActualResult], "REG") + SUMIFS(Table2[HomeWon_], Table2[GameIsOver],1,Table2[AwayTeam],$A64, Table2[HomeTeam], AB$36, Table2[ActualResult], "OT") + SUMIFS(Table2[AwayWon], Table2[GameIsOver],1,Table2[HomeTeam],$A64, Table2[AwayTeam], AB$36, Table2[ActualResult], "OT") + SUMIFS(Table2[HomeWon_], Table2[GameIsOver],1,Table2[AwayTeam],$A64, Table2[HomeTeam], AB$36, Table2[ActualResult], "SO") + SUMIFS(Table2[AwayWon], Table2[GameIsOver],1,Table2[HomeTeam],$A64, Table2[AwayTeam], AB$36, Table2[ActualResult], "SO"))), "")</f>
        <v>0</v>
      </c>
      <c r="AC64" s="98" t="str">
        <f>IFERROR(((2*SUMIFS(Table2[AwayWon], Table2[GameIsOver],1,Table2[AwayTeam],$A64, Table2[HomeTeam], AC$36) + SUMIFS(Table2[HomeWon_], Table2[GameIsOver],1,Table2[HomeTeam],$A64, Table2[AwayTeam], AC$36)) + SUMIFS(Table2[AwayWon], Table2[GameIsOver],1,Table2[HomeTeam],$A64, Table2[AwayTeam], AC$36, Table2[ActualResult], "REG") + SUMIFS(Table2[HomeWon_], Table2[GameIsOver],1,Table2[AwayTeam],$A64, Table2[HomeTeam], AC$36, Table2[ActualResult], "OT") + SUMIFS(Table2[AwayWon], Table2[GameIsOver],1,Table2[HomeTeam],$A64, Table2[AwayTeam], AC$36, Table2[ActualResult], "OT") + SUMIFS(Table2[HomeWon_], Table2[GameIsOver],1,Table2[AwayTeam],$A64, Table2[HomeTeam], AC$36, Table2[ActualResult], "SO") + SUMIFS(Table2[AwayWon], Table2[GameIsOver],1,Table2[HomeTeam],$A64, Table2[AwayTeam], AC$36, Table2[ActualResult], "SO")) / (2*(SUMIFS(Table2[AwayWon], Table2[GameIsOver],1,Table2[AwayTeam],$A64, Table2[HomeTeam], AC$36) + SUMIFS(Table2[HomeWon_], Table2[GameIsOver],1,Table2[HomeTeam],$A64, Table2[AwayTeam], AC$36) + SUMIFS(Table2[HomeWon_], Table2[GameIsOver],1,Table2[AwayTeam],$A64, Table2[HomeTeam], AC$36, Table2[ActualResult], "REG") + SUMIFS(Table2[AwayWon], Table2[GameIsOver],1,Table2[HomeTeam],$A64, Table2[AwayTeam], AC$36, Table2[ActualResult], "REG") + SUMIFS(Table2[HomeWon_], Table2[GameIsOver],1,Table2[AwayTeam],$A64, Table2[HomeTeam], AC$36, Table2[ActualResult], "OT") + SUMIFS(Table2[AwayWon], Table2[GameIsOver],1,Table2[HomeTeam],$A64, Table2[AwayTeam], AC$36, Table2[ActualResult], "OT") + SUMIFS(Table2[HomeWon_], Table2[GameIsOver],1,Table2[AwayTeam],$A64, Table2[HomeTeam], AC$36, Table2[ActualResult], "SO") + SUMIFS(Table2[AwayWon], Table2[GameIsOver],1,Table2[HomeTeam],$A64, Table2[AwayTeam], AC$36, Table2[ActualResult], "SO"))), "")</f>
        <v/>
      </c>
      <c r="AD64" t="str">
        <f>IFERROR(((2*SUMIFS(Table2[AwayWon], Table2[GameIsOver],1,Table2[AwayTeam],$A64, Table2[HomeTeam], AD$36) + SUMIFS(Table2[HomeWon_], Table2[GameIsOver],1,Table2[HomeTeam],$A64, Table2[AwayTeam], AD$36)) + SUMIFS(Table2[AwayWon], Table2[GameIsOver],1,Table2[HomeTeam],$A64, Table2[AwayTeam], AD$36, Table2[ActualResult], "REG") + SUMIFS(Table2[HomeWon_], Table2[GameIsOver],1,Table2[AwayTeam],$A64, Table2[HomeTeam], AD$36, Table2[ActualResult], "OT") + SUMIFS(Table2[AwayWon], Table2[GameIsOver],1,Table2[HomeTeam],$A64, Table2[AwayTeam], AD$36, Table2[ActualResult], "OT") + SUMIFS(Table2[HomeWon_], Table2[GameIsOver],1,Table2[AwayTeam],$A64, Table2[HomeTeam], AD$36, Table2[ActualResult], "SO") + SUMIFS(Table2[AwayWon], Table2[GameIsOver],1,Table2[HomeTeam],$A64, Table2[AwayTeam], AD$36, Table2[ActualResult], "SO")) / (2*(SUMIFS(Table2[AwayWon], Table2[GameIsOver],1,Table2[AwayTeam],$A64, Table2[HomeTeam], AD$36) + SUMIFS(Table2[HomeWon_], Table2[GameIsOver],1,Table2[HomeTeam],$A64, Table2[AwayTeam], AD$36) + SUMIFS(Table2[HomeWon_], Table2[GameIsOver],1,Table2[AwayTeam],$A64, Table2[HomeTeam], AD$36, Table2[ActualResult], "REG") + SUMIFS(Table2[AwayWon], Table2[GameIsOver],1,Table2[HomeTeam],$A64, Table2[AwayTeam], AD$36, Table2[ActualResult], "REG") + SUMIFS(Table2[HomeWon_], Table2[GameIsOver],1,Table2[AwayTeam],$A64, Table2[HomeTeam], AD$36, Table2[ActualResult], "OT") + SUMIFS(Table2[AwayWon], Table2[GameIsOver],1,Table2[HomeTeam],$A64, Table2[AwayTeam], AD$36, Table2[ActualResult], "OT") + SUMIFS(Table2[HomeWon_], Table2[GameIsOver],1,Table2[AwayTeam],$A64, Table2[HomeTeam], AD$36, Table2[ActualResult], "SO") + SUMIFS(Table2[AwayWon], Table2[GameIsOver],1,Table2[HomeTeam],$A64, Table2[AwayTeam], AD$36, Table2[ActualResult], "SO"))), "")</f>
        <v/>
      </c>
      <c r="AE64">
        <f>IFERROR(((2*SUMIFS(Table2[AwayWon], Table2[GameIsOver],1,Table2[AwayTeam],$A64, Table2[HomeTeam], AE$36) + SUMIFS(Table2[HomeWon_], Table2[GameIsOver],1,Table2[HomeTeam],$A64, Table2[AwayTeam], AE$36)) + SUMIFS(Table2[AwayWon], Table2[GameIsOver],1,Table2[HomeTeam],$A64, Table2[AwayTeam], AE$36, Table2[ActualResult], "REG") + SUMIFS(Table2[HomeWon_], Table2[GameIsOver],1,Table2[AwayTeam],$A64, Table2[HomeTeam], AE$36, Table2[ActualResult], "OT") + SUMIFS(Table2[AwayWon], Table2[GameIsOver],1,Table2[HomeTeam],$A64, Table2[AwayTeam], AE$36, Table2[ActualResult], "OT") + SUMIFS(Table2[HomeWon_], Table2[GameIsOver],1,Table2[AwayTeam],$A64, Table2[HomeTeam], AE$36, Table2[ActualResult], "SO") + SUMIFS(Table2[AwayWon], Table2[GameIsOver],1,Table2[HomeTeam],$A64, Table2[AwayTeam], AE$36, Table2[ActualResult], "SO")) / (2*(SUMIFS(Table2[AwayWon], Table2[GameIsOver],1,Table2[AwayTeam],$A64, Table2[HomeTeam], AE$36) + SUMIFS(Table2[HomeWon_], Table2[GameIsOver],1,Table2[HomeTeam],$A64, Table2[AwayTeam], AE$36) + SUMIFS(Table2[HomeWon_], Table2[GameIsOver],1,Table2[AwayTeam],$A64, Table2[HomeTeam], AE$36, Table2[ActualResult], "REG") + SUMIFS(Table2[AwayWon], Table2[GameIsOver],1,Table2[HomeTeam],$A64, Table2[AwayTeam], AE$36, Table2[ActualResult], "REG") + SUMIFS(Table2[HomeWon_], Table2[GameIsOver],1,Table2[AwayTeam],$A64, Table2[HomeTeam], AE$36, Table2[ActualResult], "OT") + SUMIFS(Table2[AwayWon], Table2[GameIsOver],1,Table2[HomeTeam],$A64, Table2[AwayTeam], AE$36, Table2[ActualResult], "OT") + SUMIFS(Table2[HomeWon_], Table2[GameIsOver],1,Table2[AwayTeam],$A64, Table2[HomeTeam], AE$36, Table2[ActualResult], "SO") + SUMIFS(Table2[AwayWon], Table2[GameIsOver],1,Table2[HomeTeam],$A64, Table2[AwayTeam], AE$36, Table2[ActualResult], "SO"))), "")</f>
        <v>0.5</v>
      </c>
      <c r="AF64" t="str">
        <f>IFERROR(((2*SUMIFS(Table2[AwayWon], Table2[GameIsOver],1,Table2[AwayTeam],$A64, Table2[HomeTeam], AF$36) + SUMIFS(Table2[HomeWon_], Table2[GameIsOver],1,Table2[HomeTeam],$A64, Table2[AwayTeam], AF$36)) + SUMIFS(Table2[AwayWon], Table2[GameIsOver],1,Table2[HomeTeam],$A64, Table2[AwayTeam], AF$36, Table2[ActualResult], "REG") + SUMIFS(Table2[HomeWon_], Table2[GameIsOver],1,Table2[AwayTeam],$A64, Table2[HomeTeam], AF$36, Table2[ActualResult], "OT") + SUMIFS(Table2[AwayWon], Table2[GameIsOver],1,Table2[HomeTeam],$A64, Table2[AwayTeam], AF$36, Table2[ActualResult], "OT") + SUMIFS(Table2[HomeWon_], Table2[GameIsOver],1,Table2[AwayTeam],$A64, Table2[HomeTeam], AF$36, Table2[ActualResult], "SO") + SUMIFS(Table2[AwayWon], Table2[GameIsOver],1,Table2[HomeTeam],$A64, Table2[AwayTeam], AF$36, Table2[ActualResult], "SO")) / (2*(SUMIFS(Table2[AwayWon], Table2[GameIsOver],1,Table2[AwayTeam],$A64, Table2[HomeTeam], AF$36) + SUMIFS(Table2[HomeWon_], Table2[GameIsOver],1,Table2[HomeTeam],$A64, Table2[AwayTeam], AF$36) + SUMIFS(Table2[HomeWon_], Table2[GameIsOver],1,Table2[AwayTeam],$A64, Table2[HomeTeam], AF$36, Table2[ActualResult], "REG") + SUMIFS(Table2[AwayWon], Table2[GameIsOver],1,Table2[HomeTeam],$A64, Table2[AwayTeam], AF$36, Table2[ActualResult], "REG") + SUMIFS(Table2[HomeWon_], Table2[GameIsOver],1,Table2[AwayTeam],$A64, Table2[HomeTeam], AF$36, Table2[ActualResult], "OT") + SUMIFS(Table2[AwayWon], Table2[GameIsOver],1,Table2[HomeTeam],$A64, Table2[AwayTeam], AF$36, Table2[ActualResult], "OT") + SUMIFS(Table2[HomeWon_], Table2[GameIsOver],1,Table2[AwayTeam],$A64, Table2[HomeTeam], AF$36, Table2[ActualResult], "SO") + SUMIFS(Table2[AwayWon], Table2[GameIsOver],1,Table2[HomeTeam],$A64, Table2[AwayTeam], AF$36, Table2[ActualResult], "SO"))), "")</f>
        <v/>
      </c>
      <c r="AG64" s="57" t="str">
        <f>IFERROR(((2*SUMIFS(Table2[AwayWon], Table2[GameIsOver],1,Table2[AwayTeam],$A64, Table2[HomeTeam], AG$36) + SUMIFS(Table2[HomeWon_], Table2[GameIsOver],1,Table2[HomeTeam],$A64, Table2[AwayTeam], AG$36)) + SUMIFS(Table2[AwayWon], Table2[GameIsOver],1,Table2[HomeTeam],$A64, Table2[AwayTeam], AG$36, Table2[ActualResult], "REG") + SUMIFS(Table2[HomeWon_], Table2[GameIsOver],1,Table2[AwayTeam],$A64, Table2[HomeTeam], AG$36, Table2[ActualResult], "OT") + SUMIFS(Table2[AwayWon], Table2[GameIsOver],1,Table2[HomeTeam],$A64, Table2[AwayTeam], AG$36, Table2[ActualResult], "OT") + SUMIFS(Table2[HomeWon_], Table2[GameIsOver],1,Table2[AwayTeam],$A64, Table2[HomeTeam], AG$36, Table2[ActualResult], "SO") + SUMIFS(Table2[AwayWon], Table2[GameIsOver],1,Table2[HomeTeam],$A64, Table2[AwayTeam], AG$36, Table2[ActualResult], "SO")) / (2*(SUMIFS(Table2[AwayWon], Table2[GameIsOver],1,Table2[AwayTeam],$A64, Table2[HomeTeam], AG$36) + SUMIFS(Table2[HomeWon_], Table2[GameIsOver],1,Table2[HomeTeam],$A64, Table2[AwayTeam], AG$36) + SUMIFS(Table2[HomeWon_], Table2[GameIsOver],1,Table2[AwayTeam],$A64, Table2[HomeTeam], AG$36, Table2[ActualResult], "REG") + SUMIFS(Table2[AwayWon], Table2[GameIsOver],1,Table2[HomeTeam],$A64, Table2[AwayTeam], AG$36, Table2[ActualResult], "REG") + SUMIFS(Table2[HomeWon_], Table2[GameIsOver],1,Table2[AwayTeam],$A64, Table2[HomeTeam], AG$36, Table2[ActualResult], "OT") + SUMIFS(Table2[AwayWon], Table2[GameIsOver],1,Table2[HomeTeam],$A64, Table2[AwayTeam], AG$36, Table2[ActualResult], "OT") + SUMIFS(Table2[HomeWon_], Table2[GameIsOver],1,Table2[AwayTeam],$A64, Table2[HomeTeam], AG$36, Table2[ActualResult], "SO") + SUMIFS(Table2[AwayWon], Table2[GameIsOver],1,Table2[HomeTeam],$A64, Table2[AwayTeam], AG$36, Table2[ActualResult], "SO"))), "")</f>
        <v/>
      </c>
      <c r="AH64" s="101">
        <f t="shared" si="0"/>
        <v>0.29166666666666669</v>
      </c>
      <c r="AI64" s="101">
        <f t="shared" si="1"/>
        <v>0.5</v>
      </c>
      <c r="AJ64" s="103">
        <f t="shared" si="2"/>
        <v>0.375</v>
      </c>
      <c r="AK64" s="103">
        <f t="shared" si="3"/>
        <v>0.125</v>
      </c>
      <c r="AL64" s="103">
        <f t="shared" si="4"/>
        <v>0.5</v>
      </c>
      <c r="AM64" s="103" t="e">
        <f t="shared" si="5"/>
        <v>#DIV/0!</v>
      </c>
    </row>
    <row r="65" spans="1:39" x14ac:dyDescent="0.25">
      <c r="A65" s="57" t="s">
        <v>18</v>
      </c>
      <c r="B65" s="24" t="str">
        <f>IFERROR(((2*SUMIFS(Table2[AwayWon], Table2[GameIsOver],1,Table2[AwayTeam],$A65, Table2[HomeTeam], B$36) + SUMIFS(Table2[HomeWon_], Table2[GameIsOver],1,Table2[HomeTeam],$A65, Table2[AwayTeam], B$36)) + SUMIFS(Table2[AwayWon], Table2[GameIsOver],1,Table2[HomeTeam],$A65, Table2[AwayTeam], B$36, Table2[ActualResult], "REG") + SUMIFS(Table2[HomeWon_], Table2[GameIsOver],1,Table2[AwayTeam],$A65, Table2[HomeTeam], B$36, Table2[ActualResult], "OT") + SUMIFS(Table2[AwayWon], Table2[GameIsOver],1,Table2[HomeTeam],$A65, Table2[AwayTeam], B$36, Table2[ActualResult], "OT") + SUMIFS(Table2[HomeWon_], Table2[GameIsOver],1,Table2[AwayTeam],$A65, Table2[HomeTeam], B$36, Table2[ActualResult], "SO") + SUMIFS(Table2[AwayWon], Table2[GameIsOver],1,Table2[HomeTeam],$A65, Table2[AwayTeam], B$36, Table2[ActualResult], "SO")) / (2*(SUMIFS(Table2[AwayWon], Table2[GameIsOver],1,Table2[AwayTeam],$A65, Table2[HomeTeam], B$36) + SUMIFS(Table2[HomeWon_], Table2[GameIsOver],1,Table2[HomeTeam],$A65, Table2[AwayTeam], B$36) + SUMIFS(Table2[HomeWon_], Table2[GameIsOver],1,Table2[AwayTeam],$A65, Table2[HomeTeam], B$36, Table2[ActualResult], "REG") + SUMIFS(Table2[AwayWon], Table2[GameIsOver],1,Table2[HomeTeam],$A65, Table2[AwayTeam], B$36, Table2[ActualResult], "REG") + SUMIFS(Table2[HomeWon_], Table2[GameIsOver],1,Table2[AwayTeam],$A65, Table2[HomeTeam], B$36, Table2[ActualResult], "OT") + SUMIFS(Table2[AwayWon], Table2[GameIsOver],1,Table2[HomeTeam],$A65, Table2[AwayTeam], B$36, Table2[ActualResult], "OT") + SUMIFS(Table2[HomeWon_], Table2[GameIsOver],1,Table2[AwayTeam],$A65, Table2[HomeTeam], B$36, Table2[ActualResult], "SO") + SUMIFS(Table2[AwayWon], Table2[GameIsOver],1,Table2[HomeTeam],$A65, Table2[AwayTeam], B$36, Table2[ActualResult], "SO"))), "")</f>
        <v/>
      </c>
      <c r="C65" s="24" t="str">
        <f>IFERROR(((2*SUMIFS(Table2[AwayWon], Table2[GameIsOver],1,Table2[AwayTeam],$A65, Table2[HomeTeam], C$36) + SUMIFS(Table2[HomeWon_], Table2[GameIsOver],1,Table2[HomeTeam],$A65, Table2[AwayTeam], C$36)) + SUMIFS(Table2[AwayWon], Table2[GameIsOver],1,Table2[HomeTeam],$A65, Table2[AwayTeam], C$36, Table2[ActualResult], "REG") + SUMIFS(Table2[HomeWon_], Table2[GameIsOver],1,Table2[AwayTeam],$A65, Table2[HomeTeam], C$36, Table2[ActualResult], "OT") + SUMIFS(Table2[AwayWon], Table2[GameIsOver],1,Table2[HomeTeam],$A65, Table2[AwayTeam], C$36, Table2[ActualResult], "OT") + SUMIFS(Table2[HomeWon_], Table2[GameIsOver],1,Table2[AwayTeam],$A65, Table2[HomeTeam], C$36, Table2[ActualResult], "SO") + SUMIFS(Table2[AwayWon], Table2[GameIsOver],1,Table2[HomeTeam],$A65, Table2[AwayTeam], C$36, Table2[ActualResult], "SO")) / (2*(SUMIFS(Table2[AwayWon], Table2[GameIsOver],1,Table2[AwayTeam],$A65, Table2[HomeTeam], C$36) + SUMIFS(Table2[HomeWon_], Table2[GameIsOver],1,Table2[HomeTeam],$A65, Table2[AwayTeam], C$36) + SUMIFS(Table2[HomeWon_], Table2[GameIsOver],1,Table2[AwayTeam],$A65, Table2[HomeTeam], C$36, Table2[ActualResult], "REG") + SUMIFS(Table2[AwayWon], Table2[GameIsOver],1,Table2[HomeTeam],$A65, Table2[AwayTeam], C$36, Table2[ActualResult], "REG") + SUMIFS(Table2[HomeWon_], Table2[GameIsOver],1,Table2[AwayTeam],$A65, Table2[HomeTeam], C$36, Table2[ActualResult], "OT") + SUMIFS(Table2[AwayWon], Table2[GameIsOver],1,Table2[HomeTeam],$A65, Table2[AwayTeam], C$36, Table2[ActualResult], "OT") + SUMIFS(Table2[HomeWon_], Table2[GameIsOver],1,Table2[AwayTeam],$A65, Table2[HomeTeam], C$36, Table2[ActualResult], "SO") + SUMIFS(Table2[AwayWon], Table2[GameIsOver],1,Table2[HomeTeam],$A65, Table2[AwayTeam], C$36, Table2[ActualResult], "SO"))), "")</f>
        <v/>
      </c>
      <c r="D65" t="str">
        <f>IFERROR(((2*SUMIFS(Table2[AwayWon], Table2[GameIsOver],1,Table2[AwayTeam],$A65, Table2[HomeTeam], D$36) + SUMIFS(Table2[HomeWon_], Table2[GameIsOver],1,Table2[HomeTeam],$A65, Table2[AwayTeam], D$36)) + SUMIFS(Table2[AwayWon], Table2[GameIsOver],1,Table2[HomeTeam],$A65, Table2[AwayTeam], D$36, Table2[ActualResult], "REG") + SUMIFS(Table2[HomeWon_], Table2[GameIsOver],1,Table2[AwayTeam],$A65, Table2[HomeTeam], D$36, Table2[ActualResult], "OT") + SUMIFS(Table2[AwayWon], Table2[GameIsOver],1,Table2[HomeTeam],$A65, Table2[AwayTeam], D$36, Table2[ActualResult], "OT") + SUMIFS(Table2[HomeWon_], Table2[GameIsOver],1,Table2[AwayTeam],$A65, Table2[HomeTeam], D$36, Table2[ActualResult], "SO") + SUMIFS(Table2[AwayWon], Table2[GameIsOver],1,Table2[HomeTeam],$A65, Table2[AwayTeam], D$36, Table2[ActualResult], "SO")) / (2*(SUMIFS(Table2[AwayWon], Table2[GameIsOver],1,Table2[AwayTeam],$A65, Table2[HomeTeam], D$36) + SUMIFS(Table2[HomeWon_], Table2[GameIsOver],1,Table2[HomeTeam],$A65, Table2[AwayTeam], D$36) + SUMIFS(Table2[HomeWon_], Table2[GameIsOver],1,Table2[AwayTeam],$A65, Table2[HomeTeam], D$36, Table2[ActualResult], "REG") + SUMIFS(Table2[AwayWon], Table2[GameIsOver],1,Table2[HomeTeam],$A65, Table2[AwayTeam], D$36, Table2[ActualResult], "REG") + SUMIFS(Table2[HomeWon_], Table2[GameIsOver],1,Table2[AwayTeam],$A65, Table2[HomeTeam], D$36, Table2[ActualResult], "OT") + SUMIFS(Table2[AwayWon], Table2[GameIsOver],1,Table2[HomeTeam],$A65, Table2[AwayTeam], D$36, Table2[ActualResult], "OT") + SUMIFS(Table2[HomeWon_], Table2[GameIsOver],1,Table2[AwayTeam],$A65, Table2[HomeTeam], D$36, Table2[ActualResult], "SO") + SUMIFS(Table2[AwayWon], Table2[GameIsOver],1,Table2[HomeTeam],$A65, Table2[AwayTeam], D$36, Table2[ActualResult], "SO"))), "")</f>
        <v/>
      </c>
      <c r="E65" t="str">
        <f>IFERROR(((2*SUMIFS(Table2[AwayWon], Table2[GameIsOver],1,Table2[AwayTeam],$A65, Table2[HomeTeam], E$36) + SUMIFS(Table2[HomeWon_], Table2[GameIsOver],1,Table2[HomeTeam],$A65, Table2[AwayTeam], E$36)) + SUMIFS(Table2[AwayWon], Table2[GameIsOver],1,Table2[HomeTeam],$A65, Table2[AwayTeam], E$36, Table2[ActualResult], "REG") + SUMIFS(Table2[HomeWon_], Table2[GameIsOver],1,Table2[AwayTeam],$A65, Table2[HomeTeam], E$36, Table2[ActualResult], "OT") + SUMIFS(Table2[AwayWon], Table2[GameIsOver],1,Table2[HomeTeam],$A65, Table2[AwayTeam], E$36, Table2[ActualResult], "OT") + SUMIFS(Table2[HomeWon_], Table2[GameIsOver],1,Table2[AwayTeam],$A65, Table2[HomeTeam], E$36, Table2[ActualResult], "SO") + SUMIFS(Table2[AwayWon], Table2[GameIsOver],1,Table2[HomeTeam],$A65, Table2[AwayTeam], E$36, Table2[ActualResult], "SO")) / (2*(SUMIFS(Table2[AwayWon], Table2[GameIsOver],1,Table2[AwayTeam],$A65, Table2[HomeTeam], E$36) + SUMIFS(Table2[HomeWon_], Table2[GameIsOver],1,Table2[HomeTeam],$A65, Table2[AwayTeam], E$36) + SUMIFS(Table2[HomeWon_], Table2[GameIsOver],1,Table2[AwayTeam],$A65, Table2[HomeTeam], E$36, Table2[ActualResult], "REG") + SUMIFS(Table2[AwayWon], Table2[GameIsOver],1,Table2[HomeTeam],$A65, Table2[AwayTeam], E$36, Table2[ActualResult], "REG") + SUMIFS(Table2[HomeWon_], Table2[GameIsOver],1,Table2[AwayTeam],$A65, Table2[HomeTeam], E$36, Table2[ActualResult], "OT") + SUMIFS(Table2[AwayWon], Table2[GameIsOver],1,Table2[HomeTeam],$A65, Table2[AwayTeam], E$36, Table2[ActualResult], "OT") + SUMIFS(Table2[HomeWon_], Table2[GameIsOver],1,Table2[AwayTeam],$A65, Table2[HomeTeam], E$36, Table2[ActualResult], "SO") + SUMIFS(Table2[AwayWon], Table2[GameIsOver],1,Table2[HomeTeam],$A65, Table2[AwayTeam], E$36, Table2[ActualResult], "SO"))), "")</f>
        <v/>
      </c>
      <c r="F65">
        <f>IFERROR(((2*SUMIFS(Table2[AwayWon], Table2[GameIsOver],1,Table2[AwayTeam],$A65, Table2[HomeTeam], F$36) + SUMIFS(Table2[HomeWon_], Table2[GameIsOver],1,Table2[HomeTeam],$A65, Table2[AwayTeam], F$36)) + SUMIFS(Table2[AwayWon], Table2[GameIsOver],1,Table2[HomeTeam],$A65, Table2[AwayTeam], F$36, Table2[ActualResult], "REG") + SUMIFS(Table2[HomeWon_], Table2[GameIsOver],1,Table2[AwayTeam],$A65, Table2[HomeTeam], F$36, Table2[ActualResult], "OT") + SUMIFS(Table2[AwayWon], Table2[GameIsOver],1,Table2[HomeTeam],$A65, Table2[AwayTeam], F$36, Table2[ActualResult], "OT") + SUMIFS(Table2[HomeWon_], Table2[GameIsOver],1,Table2[AwayTeam],$A65, Table2[HomeTeam], F$36, Table2[ActualResult], "SO") + SUMIFS(Table2[AwayWon], Table2[GameIsOver],1,Table2[HomeTeam],$A65, Table2[AwayTeam], F$36, Table2[ActualResult], "SO")) / (2*(SUMIFS(Table2[AwayWon], Table2[GameIsOver],1,Table2[AwayTeam],$A65, Table2[HomeTeam], F$36) + SUMIFS(Table2[HomeWon_], Table2[GameIsOver],1,Table2[HomeTeam],$A65, Table2[AwayTeam], F$36) + SUMIFS(Table2[HomeWon_], Table2[GameIsOver],1,Table2[AwayTeam],$A65, Table2[HomeTeam], F$36, Table2[ActualResult], "REG") + SUMIFS(Table2[AwayWon], Table2[GameIsOver],1,Table2[HomeTeam],$A65, Table2[AwayTeam], F$36, Table2[ActualResult], "REG") + SUMIFS(Table2[HomeWon_], Table2[GameIsOver],1,Table2[AwayTeam],$A65, Table2[HomeTeam], F$36, Table2[ActualResult], "OT") + SUMIFS(Table2[AwayWon], Table2[GameIsOver],1,Table2[HomeTeam],$A65, Table2[AwayTeam], F$36, Table2[ActualResult], "OT") + SUMIFS(Table2[HomeWon_], Table2[GameIsOver],1,Table2[AwayTeam],$A65, Table2[HomeTeam], F$36, Table2[ActualResult], "SO") + SUMIFS(Table2[AwayWon], Table2[GameIsOver],1,Table2[HomeTeam],$A65, Table2[AwayTeam], F$36, Table2[ActualResult], "SO"))), "")</f>
        <v>0.5</v>
      </c>
      <c r="G65" t="str">
        <f>IFERROR(((2*SUMIFS(Table2[AwayWon], Table2[GameIsOver],1,Table2[AwayTeam],$A65, Table2[HomeTeam], G$36) + SUMIFS(Table2[HomeWon_], Table2[GameIsOver],1,Table2[HomeTeam],$A65, Table2[AwayTeam], G$36)) + SUMIFS(Table2[AwayWon], Table2[GameIsOver],1,Table2[HomeTeam],$A65, Table2[AwayTeam], G$36, Table2[ActualResult], "REG") + SUMIFS(Table2[HomeWon_], Table2[GameIsOver],1,Table2[AwayTeam],$A65, Table2[HomeTeam], G$36, Table2[ActualResult], "OT") + SUMIFS(Table2[AwayWon], Table2[GameIsOver],1,Table2[HomeTeam],$A65, Table2[AwayTeam], G$36, Table2[ActualResult], "OT") + SUMIFS(Table2[HomeWon_], Table2[GameIsOver],1,Table2[AwayTeam],$A65, Table2[HomeTeam], G$36, Table2[ActualResult], "SO") + SUMIFS(Table2[AwayWon], Table2[GameIsOver],1,Table2[HomeTeam],$A65, Table2[AwayTeam], G$36, Table2[ActualResult], "SO")) / (2*(SUMIFS(Table2[AwayWon], Table2[GameIsOver],1,Table2[AwayTeam],$A65, Table2[HomeTeam], G$36) + SUMIFS(Table2[HomeWon_], Table2[GameIsOver],1,Table2[HomeTeam],$A65, Table2[AwayTeam], G$36) + SUMIFS(Table2[HomeWon_], Table2[GameIsOver],1,Table2[AwayTeam],$A65, Table2[HomeTeam], G$36, Table2[ActualResult], "REG") + SUMIFS(Table2[AwayWon], Table2[GameIsOver],1,Table2[HomeTeam],$A65, Table2[AwayTeam], G$36, Table2[ActualResult], "REG") + SUMIFS(Table2[HomeWon_], Table2[GameIsOver],1,Table2[AwayTeam],$A65, Table2[HomeTeam], G$36, Table2[ActualResult], "OT") + SUMIFS(Table2[AwayWon], Table2[GameIsOver],1,Table2[HomeTeam],$A65, Table2[AwayTeam], G$36, Table2[ActualResult], "OT") + SUMIFS(Table2[HomeWon_], Table2[GameIsOver],1,Table2[AwayTeam],$A65, Table2[HomeTeam], G$36, Table2[ActualResult], "SO") + SUMIFS(Table2[AwayWon], Table2[GameIsOver],1,Table2[HomeTeam],$A65, Table2[AwayTeam], G$36, Table2[ActualResult], "SO"))), "")</f>
        <v/>
      </c>
      <c r="H65" t="str">
        <f>IFERROR(((2*SUMIFS(Table2[AwayWon], Table2[GameIsOver],1,Table2[AwayTeam],$A65, Table2[HomeTeam], H$36) + SUMIFS(Table2[HomeWon_], Table2[GameIsOver],1,Table2[HomeTeam],$A65, Table2[AwayTeam], H$36)) + SUMIFS(Table2[AwayWon], Table2[GameIsOver],1,Table2[HomeTeam],$A65, Table2[AwayTeam], H$36, Table2[ActualResult], "REG") + SUMIFS(Table2[HomeWon_], Table2[GameIsOver],1,Table2[AwayTeam],$A65, Table2[HomeTeam], H$36, Table2[ActualResult], "OT") + SUMIFS(Table2[AwayWon], Table2[GameIsOver],1,Table2[HomeTeam],$A65, Table2[AwayTeam], H$36, Table2[ActualResult], "OT") + SUMIFS(Table2[HomeWon_], Table2[GameIsOver],1,Table2[AwayTeam],$A65, Table2[HomeTeam], H$36, Table2[ActualResult], "SO") + SUMIFS(Table2[AwayWon], Table2[GameIsOver],1,Table2[HomeTeam],$A65, Table2[AwayTeam], H$36, Table2[ActualResult], "SO")) / (2*(SUMIFS(Table2[AwayWon], Table2[GameIsOver],1,Table2[AwayTeam],$A65, Table2[HomeTeam], H$36) + SUMIFS(Table2[HomeWon_], Table2[GameIsOver],1,Table2[HomeTeam],$A65, Table2[AwayTeam], H$36) + SUMIFS(Table2[HomeWon_], Table2[GameIsOver],1,Table2[AwayTeam],$A65, Table2[HomeTeam], H$36, Table2[ActualResult], "REG") + SUMIFS(Table2[AwayWon], Table2[GameIsOver],1,Table2[HomeTeam],$A65, Table2[AwayTeam], H$36, Table2[ActualResult], "REG") + SUMIFS(Table2[HomeWon_], Table2[GameIsOver],1,Table2[AwayTeam],$A65, Table2[HomeTeam], H$36, Table2[ActualResult], "OT") + SUMIFS(Table2[AwayWon], Table2[GameIsOver],1,Table2[HomeTeam],$A65, Table2[AwayTeam], H$36, Table2[ActualResult], "OT") + SUMIFS(Table2[HomeWon_], Table2[GameIsOver],1,Table2[AwayTeam],$A65, Table2[HomeTeam], H$36, Table2[ActualResult], "SO") + SUMIFS(Table2[AwayWon], Table2[GameIsOver],1,Table2[HomeTeam],$A65, Table2[AwayTeam], H$36, Table2[ActualResult], "SO"))), "")</f>
        <v/>
      </c>
      <c r="I65" s="57" t="str">
        <f>IFERROR(((2*SUMIFS(Table2[AwayWon], Table2[GameIsOver],1,Table2[AwayTeam],$A65, Table2[HomeTeam], I$36) + SUMIFS(Table2[HomeWon_], Table2[GameIsOver],1,Table2[HomeTeam],$A65, Table2[AwayTeam], I$36)) + SUMIFS(Table2[AwayWon], Table2[GameIsOver],1,Table2[HomeTeam],$A65, Table2[AwayTeam], I$36, Table2[ActualResult], "REG") + SUMIFS(Table2[HomeWon_], Table2[GameIsOver],1,Table2[AwayTeam],$A65, Table2[HomeTeam], I$36, Table2[ActualResult], "OT") + SUMIFS(Table2[AwayWon], Table2[GameIsOver],1,Table2[HomeTeam],$A65, Table2[AwayTeam], I$36, Table2[ActualResult], "OT") + SUMIFS(Table2[HomeWon_], Table2[GameIsOver],1,Table2[AwayTeam],$A65, Table2[HomeTeam], I$36, Table2[ActualResult], "SO") + SUMIFS(Table2[AwayWon], Table2[GameIsOver],1,Table2[HomeTeam],$A65, Table2[AwayTeam], I$36, Table2[ActualResult], "SO")) / (2*(SUMIFS(Table2[AwayWon], Table2[GameIsOver],1,Table2[AwayTeam],$A65, Table2[HomeTeam], I$36) + SUMIFS(Table2[HomeWon_], Table2[GameIsOver],1,Table2[HomeTeam],$A65, Table2[AwayTeam], I$36) + SUMIFS(Table2[HomeWon_], Table2[GameIsOver],1,Table2[AwayTeam],$A65, Table2[HomeTeam], I$36, Table2[ActualResult], "REG") + SUMIFS(Table2[AwayWon], Table2[GameIsOver],1,Table2[HomeTeam],$A65, Table2[AwayTeam], I$36, Table2[ActualResult], "REG") + SUMIFS(Table2[HomeWon_], Table2[GameIsOver],1,Table2[AwayTeam],$A65, Table2[HomeTeam], I$36, Table2[ActualResult], "OT") + SUMIFS(Table2[AwayWon], Table2[GameIsOver],1,Table2[HomeTeam],$A65, Table2[AwayTeam], I$36, Table2[ActualResult], "OT") + SUMIFS(Table2[HomeWon_], Table2[GameIsOver],1,Table2[AwayTeam],$A65, Table2[HomeTeam], I$36, Table2[ActualResult], "SO") + SUMIFS(Table2[AwayWon], Table2[GameIsOver],1,Table2[HomeTeam],$A65, Table2[AwayTeam], I$36, Table2[ActualResult], "SO"))), "")</f>
        <v/>
      </c>
      <c r="J65">
        <f>IFERROR(((2*SUMIFS(Table2[AwayWon], Table2[GameIsOver],1,Table2[AwayTeam],$A65, Table2[HomeTeam], J$36) + SUMIFS(Table2[HomeWon_], Table2[GameIsOver],1,Table2[HomeTeam],$A65, Table2[AwayTeam], J$36)) + SUMIFS(Table2[AwayWon], Table2[GameIsOver],1,Table2[HomeTeam],$A65, Table2[AwayTeam], J$36, Table2[ActualResult], "REG") + SUMIFS(Table2[HomeWon_], Table2[GameIsOver],1,Table2[AwayTeam],$A65, Table2[HomeTeam], J$36, Table2[ActualResult], "OT") + SUMIFS(Table2[AwayWon], Table2[GameIsOver],1,Table2[HomeTeam],$A65, Table2[AwayTeam], J$36, Table2[ActualResult], "OT") + SUMIFS(Table2[HomeWon_], Table2[GameIsOver],1,Table2[AwayTeam],$A65, Table2[HomeTeam], J$36, Table2[ActualResult], "SO") + SUMIFS(Table2[AwayWon], Table2[GameIsOver],1,Table2[HomeTeam],$A65, Table2[AwayTeam], J$36, Table2[ActualResult], "SO")) / (2*(SUMIFS(Table2[AwayWon], Table2[GameIsOver],1,Table2[AwayTeam],$A65, Table2[HomeTeam], J$36) + SUMIFS(Table2[HomeWon_], Table2[GameIsOver],1,Table2[HomeTeam],$A65, Table2[AwayTeam], J$36) + SUMIFS(Table2[HomeWon_], Table2[GameIsOver],1,Table2[AwayTeam],$A65, Table2[HomeTeam], J$36, Table2[ActualResult], "REG") + SUMIFS(Table2[AwayWon], Table2[GameIsOver],1,Table2[HomeTeam],$A65, Table2[AwayTeam], J$36, Table2[ActualResult], "REG") + SUMIFS(Table2[HomeWon_], Table2[GameIsOver],1,Table2[AwayTeam],$A65, Table2[HomeTeam], J$36, Table2[ActualResult], "OT") + SUMIFS(Table2[AwayWon], Table2[GameIsOver],1,Table2[HomeTeam],$A65, Table2[AwayTeam], J$36, Table2[ActualResult], "OT") + SUMIFS(Table2[HomeWon_], Table2[GameIsOver],1,Table2[AwayTeam],$A65, Table2[HomeTeam], J$36, Table2[ActualResult], "SO") + SUMIFS(Table2[AwayWon], Table2[GameIsOver],1,Table2[HomeTeam],$A65, Table2[AwayTeam], J$36, Table2[ActualResult], "SO"))), "")</f>
        <v>1</v>
      </c>
      <c r="K65" t="str">
        <f>IFERROR(((2*SUMIFS(Table2[AwayWon], Table2[GameIsOver],1,Table2[AwayTeam],$A65, Table2[HomeTeam], K$36) + SUMIFS(Table2[HomeWon_], Table2[GameIsOver],1,Table2[HomeTeam],$A65, Table2[AwayTeam], K$36)) + SUMIFS(Table2[AwayWon], Table2[GameIsOver],1,Table2[HomeTeam],$A65, Table2[AwayTeam], K$36, Table2[ActualResult], "REG") + SUMIFS(Table2[HomeWon_], Table2[GameIsOver],1,Table2[AwayTeam],$A65, Table2[HomeTeam], K$36, Table2[ActualResult], "OT") + SUMIFS(Table2[AwayWon], Table2[GameIsOver],1,Table2[HomeTeam],$A65, Table2[AwayTeam], K$36, Table2[ActualResult], "OT") + SUMIFS(Table2[HomeWon_], Table2[GameIsOver],1,Table2[AwayTeam],$A65, Table2[HomeTeam], K$36, Table2[ActualResult], "SO") + SUMIFS(Table2[AwayWon], Table2[GameIsOver],1,Table2[HomeTeam],$A65, Table2[AwayTeam], K$36, Table2[ActualResult], "SO")) / (2*(SUMIFS(Table2[AwayWon], Table2[GameIsOver],1,Table2[AwayTeam],$A65, Table2[HomeTeam], K$36) + SUMIFS(Table2[HomeWon_], Table2[GameIsOver],1,Table2[HomeTeam],$A65, Table2[AwayTeam], K$36) + SUMIFS(Table2[HomeWon_], Table2[GameIsOver],1,Table2[AwayTeam],$A65, Table2[HomeTeam], K$36, Table2[ActualResult], "REG") + SUMIFS(Table2[AwayWon], Table2[GameIsOver],1,Table2[HomeTeam],$A65, Table2[AwayTeam], K$36, Table2[ActualResult], "REG") + SUMIFS(Table2[HomeWon_], Table2[GameIsOver],1,Table2[AwayTeam],$A65, Table2[HomeTeam], K$36, Table2[ActualResult], "OT") + SUMIFS(Table2[AwayWon], Table2[GameIsOver],1,Table2[HomeTeam],$A65, Table2[AwayTeam], K$36, Table2[ActualResult], "OT") + SUMIFS(Table2[HomeWon_], Table2[GameIsOver],1,Table2[AwayTeam],$A65, Table2[HomeTeam], K$36, Table2[ActualResult], "SO") + SUMIFS(Table2[AwayWon], Table2[GameIsOver],1,Table2[HomeTeam],$A65, Table2[AwayTeam], K$36, Table2[ActualResult], "SO"))), "")</f>
        <v/>
      </c>
      <c r="L65" t="str">
        <f>IFERROR(((2*SUMIFS(Table2[AwayWon], Table2[GameIsOver],1,Table2[AwayTeam],$A65, Table2[HomeTeam], L$36) + SUMIFS(Table2[HomeWon_], Table2[GameIsOver],1,Table2[HomeTeam],$A65, Table2[AwayTeam], L$36)) + SUMIFS(Table2[AwayWon], Table2[GameIsOver],1,Table2[HomeTeam],$A65, Table2[AwayTeam], L$36, Table2[ActualResult], "REG") + SUMIFS(Table2[HomeWon_], Table2[GameIsOver],1,Table2[AwayTeam],$A65, Table2[HomeTeam], L$36, Table2[ActualResult], "OT") + SUMIFS(Table2[AwayWon], Table2[GameIsOver],1,Table2[HomeTeam],$A65, Table2[AwayTeam], L$36, Table2[ActualResult], "OT") + SUMIFS(Table2[HomeWon_], Table2[GameIsOver],1,Table2[AwayTeam],$A65, Table2[HomeTeam], L$36, Table2[ActualResult], "SO") + SUMIFS(Table2[AwayWon], Table2[GameIsOver],1,Table2[HomeTeam],$A65, Table2[AwayTeam], L$36, Table2[ActualResult], "SO")) / (2*(SUMIFS(Table2[AwayWon], Table2[GameIsOver],1,Table2[AwayTeam],$A65, Table2[HomeTeam], L$36) + SUMIFS(Table2[HomeWon_], Table2[GameIsOver],1,Table2[HomeTeam],$A65, Table2[AwayTeam], L$36) + SUMIFS(Table2[HomeWon_], Table2[GameIsOver],1,Table2[AwayTeam],$A65, Table2[HomeTeam], L$36, Table2[ActualResult], "REG") + SUMIFS(Table2[AwayWon], Table2[GameIsOver],1,Table2[HomeTeam],$A65, Table2[AwayTeam], L$36, Table2[ActualResult], "REG") + SUMIFS(Table2[HomeWon_], Table2[GameIsOver],1,Table2[AwayTeam],$A65, Table2[HomeTeam], L$36, Table2[ActualResult], "OT") + SUMIFS(Table2[AwayWon], Table2[GameIsOver],1,Table2[HomeTeam],$A65, Table2[AwayTeam], L$36, Table2[ActualResult], "OT") + SUMIFS(Table2[HomeWon_], Table2[GameIsOver],1,Table2[AwayTeam],$A65, Table2[HomeTeam], L$36, Table2[ActualResult], "SO") + SUMIFS(Table2[AwayWon], Table2[GameIsOver],1,Table2[HomeTeam],$A65, Table2[AwayTeam], L$36, Table2[ActualResult], "SO"))), "")</f>
        <v/>
      </c>
      <c r="M65" t="str">
        <f>IFERROR(((2*SUMIFS(Table2[AwayWon], Table2[GameIsOver],1,Table2[AwayTeam],$A65, Table2[HomeTeam], M$36) + SUMIFS(Table2[HomeWon_], Table2[GameIsOver],1,Table2[HomeTeam],$A65, Table2[AwayTeam], M$36)) + SUMIFS(Table2[AwayWon], Table2[GameIsOver],1,Table2[HomeTeam],$A65, Table2[AwayTeam], M$36, Table2[ActualResult], "REG") + SUMIFS(Table2[HomeWon_], Table2[GameIsOver],1,Table2[AwayTeam],$A65, Table2[HomeTeam], M$36, Table2[ActualResult], "OT") + SUMIFS(Table2[AwayWon], Table2[GameIsOver],1,Table2[HomeTeam],$A65, Table2[AwayTeam], M$36, Table2[ActualResult], "OT") + SUMIFS(Table2[HomeWon_], Table2[GameIsOver],1,Table2[AwayTeam],$A65, Table2[HomeTeam], M$36, Table2[ActualResult], "SO") + SUMIFS(Table2[AwayWon], Table2[GameIsOver],1,Table2[HomeTeam],$A65, Table2[AwayTeam], M$36, Table2[ActualResult], "SO")) / (2*(SUMIFS(Table2[AwayWon], Table2[GameIsOver],1,Table2[AwayTeam],$A65, Table2[HomeTeam], M$36) + SUMIFS(Table2[HomeWon_], Table2[GameIsOver],1,Table2[HomeTeam],$A65, Table2[AwayTeam], M$36) + SUMIFS(Table2[HomeWon_], Table2[GameIsOver],1,Table2[AwayTeam],$A65, Table2[HomeTeam], M$36, Table2[ActualResult], "REG") + SUMIFS(Table2[AwayWon], Table2[GameIsOver],1,Table2[HomeTeam],$A65, Table2[AwayTeam], M$36, Table2[ActualResult], "REG") + SUMIFS(Table2[HomeWon_], Table2[GameIsOver],1,Table2[AwayTeam],$A65, Table2[HomeTeam], M$36, Table2[ActualResult], "OT") + SUMIFS(Table2[AwayWon], Table2[GameIsOver],1,Table2[HomeTeam],$A65, Table2[AwayTeam], M$36, Table2[ActualResult], "OT") + SUMIFS(Table2[HomeWon_], Table2[GameIsOver],1,Table2[AwayTeam],$A65, Table2[HomeTeam], M$36, Table2[ActualResult], "SO") + SUMIFS(Table2[AwayWon], Table2[GameIsOver],1,Table2[HomeTeam],$A65, Table2[AwayTeam], M$36, Table2[ActualResult], "SO"))), "")</f>
        <v/>
      </c>
      <c r="N65">
        <f>IFERROR(((2*SUMIFS(Table2[AwayWon], Table2[GameIsOver],1,Table2[AwayTeam],$A65, Table2[HomeTeam], N$36) + SUMIFS(Table2[HomeWon_], Table2[GameIsOver],1,Table2[HomeTeam],$A65, Table2[AwayTeam], N$36)) + SUMIFS(Table2[AwayWon], Table2[GameIsOver],1,Table2[HomeTeam],$A65, Table2[AwayTeam], N$36, Table2[ActualResult], "REG") + SUMIFS(Table2[HomeWon_], Table2[GameIsOver],1,Table2[AwayTeam],$A65, Table2[HomeTeam], N$36, Table2[ActualResult], "OT") + SUMIFS(Table2[AwayWon], Table2[GameIsOver],1,Table2[HomeTeam],$A65, Table2[AwayTeam], N$36, Table2[ActualResult], "OT") + SUMIFS(Table2[HomeWon_], Table2[GameIsOver],1,Table2[AwayTeam],$A65, Table2[HomeTeam], N$36, Table2[ActualResult], "SO") + SUMIFS(Table2[AwayWon], Table2[GameIsOver],1,Table2[HomeTeam],$A65, Table2[AwayTeam], N$36, Table2[ActualResult], "SO")) / (2*(SUMIFS(Table2[AwayWon], Table2[GameIsOver],1,Table2[AwayTeam],$A65, Table2[HomeTeam], N$36) + SUMIFS(Table2[HomeWon_], Table2[GameIsOver],1,Table2[HomeTeam],$A65, Table2[AwayTeam], N$36) + SUMIFS(Table2[HomeWon_], Table2[GameIsOver],1,Table2[AwayTeam],$A65, Table2[HomeTeam], N$36, Table2[ActualResult], "REG") + SUMIFS(Table2[AwayWon], Table2[GameIsOver],1,Table2[HomeTeam],$A65, Table2[AwayTeam], N$36, Table2[ActualResult], "REG") + SUMIFS(Table2[HomeWon_], Table2[GameIsOver],1,Table2[AwayTeam],$A65, Table2[HomeTeam], N$36, Table2[ActualResult], "OT") + SUMIFS(Table2[AwayWon], Table2[GameIsOver],1,Table2[HomeTeam],$A65, Table2[AwayTeam], N$36, Table2[ActualResult], "OT") + SUMIFS(Table2[HomeWon_], Table2[GameIsOver],1,Table2[AwayTeam],$A65, Table2[HomeTeam], N$36, Table2[ActualResult], "SO") + SUMIFS(Table2[AwayWon], Table2[GameIsOver],1,Table2[HomeTeam],$A65, Table2[AwayTeam], N$36, Table2[ActualResult], "SO"))), "")</f>
        <v>0.5</v>
      </c>
      <c r="O65" t="str">
        <f>IFERROR(((2*SUMIFS(Table2[AwayWon], Table2[GameIsOver],1,Table2[AwayTeam],$A65, Table2[HomeTeam], O$36) + SUMIFS(Table2[HomeWon_], Table2[GameIsOver],1,Table2[HomeTeam],$A65, Table2[AwayTeam], O$36)) + SUMIFS(Table2[AwayWon], Table2[GameIsOver],1,Table2[HomeTeam],$A65, Table2[AwayTeam], O$36, Table2[ActualResult], "REG") + SUMIFS(Table2[HomeWon_], Table2[GameIsOver],1,Table2[AwayTeam],$A65, Table2[HomeTeam], O$36, Table2[ActualResult], "OT") + SUMIFS(Table2[AwayWon], Table2[GameIsOver],1,Table2[HomeTeam],$A65, Table2[AwayTeam], O$36, Table2[ActualResult], "OT") + SUMIFS(Table2[HomeWon_], Table2[GameIsOver],1,Table2[AwayTeam],$A65, Table2[HomeTeam], O$36, Table2[ActualResult], "SO") + SUMIFS(Table2[AwayWon], Table2[GameIsOver],1,Table2[HomeTeam],$A65, Table2[AwayTeam], O$36, Table2[ActualResult], "SO")) / (2*(SUMIFS(Table2[AwayWon], Table2[GameIsOver],1,Table2[AwayTeam],$A65, Table2[HomeTeam], O$36) + SUMIFS(Table2[HomeWon_], Table2[GameIsOver],1,Table2[HomeTeam],$A65, Table2[AwayTeam], O$36) + SUMIFS(Table2[HomeWon_], Table2[GameIsOver],1,Table2[AwayTeam],$A65, Table2[HomeTeam], O$36, Table2[ActualResult], "REG") + SUMIFS(Table2[AwayWon], Table2[GameIsOver],1,Table2[HomeTeam],$A65, Table2[AwayTeam], O$36, Table2[ActualResult], "REG") + SUMIFS(Table2[HomeWon_], Table2[GameIsOver],1,Table2[AwayTeam],$A65, Table2[HomeTeam], O$36, Table2[ActualResult], "OT") + SUMIFS(Table2[AwayWon], Table2[GameIsOver],1,Table2[HomeTeam],$A65, Table2[AwayTeam], O$36, Table2[ActualResult], "OT") + SUMIFS(Table2[HomeWon_], Table2[GameIsOver],1,Table2[AwayTeam],$A65, Table2[HomeTeam], O$36, Table2[ActualResult], "SO") + SUMIFS(Table2[AwayWon], Table2[GameIsOver],1,Table2[HomeTeam],$A65, Table2[AwayTeam], O$36, Table2[ActualResult], "SO"))), "")</f>
        <v/>
      </c>
      <c r="P65" t="str">
        <f>IFERROR(((2*SUMIFS(Table2[AwayWon], Table2[GameIsOver],1,Table2[AwayTeam],$A65, Table2[HomeTeam], P$36) + SUMIFS(Table2[HomeWon_], Table2[GameIsOver],1,Table2[HomeTeam],$A65, Table2[AwayTeam], P$36)) + SUMIFS(Table2[AwayWon], Table2[GameIsOver],1,Table2[HomeTeam],$A65, Table2[AwayTeam], P$36, Table2[ActualResult], "REG") + SUMIFS(Table2[HomeWon_], Table2[GameIsOver],1,Table2[AwayTeam],$A65, Table2[HomeTeam], P$36, Table2[ActualResult], "OT") + SUMIFS(Table2[AwayWon], Table2[GameIsOver],1,Table2[HomeTeam],$A65, Table2[AwayTeam], P$36, Table2[ActualResult], "OT") + SUMIFS(Table2[HomeWon_], Table2[GameIsOver],1,Table2[AwayTeam],$A65, Table2[HomeTeam], P$36, Table2[ActualResult], "SO") + SUMIFS(Table2[AwayWon], Table2[GameIsOver],1,Table2[HomeTeam],$A65, Table2[AwayTeam], P$36, Table2[ActualResult], "SO")) / (2*(SUMIFS(Table2[AwayWon], Table2[GameIsOver],1,Table2[AwayTeam],$A65, Table2[HomeTeam], P$36) + SUMIFS(Table2[HomeWon_], Table2[GameIsOver],1,Table2[HomeTeam],$A65, Table2[AwayTeam], P$36) + SUMIFS(Table2[HomeWon_], Table2[GameIsOver],1,Table2[AwayTeam],$A65, Table2[HomeTeam], P$36, Table2[ActualResult], "REG") + SUMIFS(Table2[AwayWon], Table2[GameIsOver],1,Table2[HomeTeam],$A65, Table2[AwayTeam], P$36, Table2[ActualResult], "REG") + SUMIFS(Table2[HomeWon_], Table2[GameIsOver],1,Table2[AwayTeam],$A65, Table2[HomeTeam], P$36, Table2[ActualResult], "OT") + SUMIFS(Table2[AwayWon], Table2[GameIsOver],1,Table2[HomeTeam],$A65, Table2[AwayTeam], P$36, Table2[ActualResult], "OT") + SUMIFS(Table2[HomeWon_], Table2[GameIsOver],1,Table2[AwayTeam],$A65, Table2[HomeTeam], P$36, Table2[ActualResult], "SO") + SUMIFS(Table2[AwayWon], Table2[GameIsOver],1,Table2[HomeTeam],$A65, Table2[AwayTeam], P$36, Table2[ActualResult], "SO"))), "")</f>
        <v/>
      </c>
      <c r="Q65" s="57" t="str">
        <f>IFERROR(((2*SUMIFS(Table2[AwayWon], Table2[GameIsOver],1,Table2[AwayTeam],$A65, Table2[HomeTeam], Q$36) + SUMIFS(Table2[HomeWon_], Table2[GameIsOver],1,Table2[HomeTeam],$A65, Table2[AwayTeam], Q$36)) + SUMIFS(Table2[AwayWon], Table2[GameIsOver],1,Table2[HomeTeam],$A65, Table2[AwayTeam], Q$36, Table2[ActualResult], "REG") + SUMIFS(Table2[HomeWon_], Table2[GameIsOver],1,Table2[AwayTeam],$A65, Table2[HomeTeam], Q$36, Table2[ActualResult], "OT") + SUMIFS(Table2[AwayWon], Table2[GameIsOver],1,Table2[HomeTeam],$A65, Table2[AwayTeam], Q$36, Table2[ActualResult], "OT") + SUMIFS(Table2[HomeWon_], Table2[GameIsOver],1,Table2[AwayTeam],$A65, Table2[HomeTeam], Q$36, Table2[ActualResult], "SO") + SUMIFS(Table2[AwayWon], Table2[GameIsOver],1,Table2[HomeTeam],$A65, Table2[AwayTeam], Q$36, Table2[ActualResult], "SO")) / (2*(SUMIFS(Table2[AwayWon], Table2[GameIsOver],1,Table2[AwayTeam],$A65, Table2[HomeTeam], Q$36) + SUMIFS(Table2[HomeWon_], Table2[GameIsOver],1,Table2[HomeTeam],$A65, Table2[AwayTeam], Q$36) + SUMIFS(Table2[HomeWon_], Table2[GameIsOver],1,Table2[AwayTeam],$A65, Table2[HomeTeam], Q$36, Table2[ActualResult], "REG") + SUMIFS(Table2[AwayWon], Table2[GameIsOver],1,Table2[HomeTeam],$A65, Table2[AwayTeam], Q$36, Table2[ActualResult], "REG") + SUMIFS(Table2[HomeWon_], Table2[GameIsOver],1,Table2[AwayTeam],$A65, Table2[HomeTeam], Q$36, Table2[ActualResult], "OT") + SUMIFS(Table2[AwayWon], Table2[GameIsOver],1,Table2[HomeTeam],$A65, Table2[AwayTeam], Q$36, Table2[ActualResult], "OT") + SUMIFS(Table2[HomeWon_], Table2[GameIsOver],1,Table2[AwayTeam],$A65, Table2[HomeTeam], Q$36, Table2[ActualResult], "SO") + SUMIFS(Table2[AwayWon], Table2[GameIsOver],1,Table2[HomeTeam],$A65, Table2[AwayTeam], Q$36, Table2[ActualResult], "SO"))), "")</f>
        <v/>
      </c>
      <c r="R65" t="str">
        <f>IFERROR(((2*SUMIFS(Table2[AwayWon], Table2[GameIsOver],1,Table2[AwayTeam],$A65, Table2[HomeTeam], R$36) + SUMIFS(Table2[HomeWon_], Table2[GameIsOver],1,Table2[HomeTeam],$A65, Table2[AwayTeam], R$36)) + SUMIFS(Table2[AwayWon], Table2[GameIsOver],1,Table2[HomeTeam],$A65, Table2[AwayTeam], R$36, Table2[ActualResult], "REG") + SUMIFS(Table2[HomeWon_], Table2[GameIsOver],1,Table2[AwayTeam],$A65, Table2[HomeTeam], R$36, Table2[ActualResult], "OT") + SUMIFS(Table2[AwayWon], Table2[GameIsOver],1,Table2[HomeTeam],$A65, Table2[AwayTeam], R$36, Table2[ActualResult], "OT") + SUMIFS(Table2[HomeWon_], Table2[GameIsOver],1,Table2[AwayTeam],$A65, Table2[HomeTeam], R$36, Table2[ActualResult], "SO") + SUMIFS(Table2[AwayWon], Table2[GameIsOver],1,Table2[HomeTeam],$A65, Table2[AwayTeam], R$36, Table2[ActualResult], "SO")) / (2*(SUMIFS(Table2[AwayWon], Table2[GameIsOver],1,Table2[AwayTeam],$A65, Table2[HomeTeam], R$36) + SUMIFS(Table2[HomeWon_], Table2[GameIsOver],1,Table2[HomeTeam],$A65, Table2[AwayTeam], R$36) + SUMIFS(Table2[HomeWon_], Table2[GameIsOver],1,Table2[AwayTeam],$A65, Table2[HomeTeam], R$36, Table2[ActualResult], "REG") + SUMIFS(Table2[AwayWon], Table2[GameIsOver],1,Table2[HomeTeam],$A65, Table2[AwayTeam], R$36, Table2[ActualResult], "REG") + SUMIFS(Table2[HomeWon_], Table2[GameIsOver],1,Table2[AwayTeam],$A65, Table2[HomeTeam], R$36, Table2[ActualResult], "OT") + SUMIFS(Table2[AwayWon], Table2[GameIsOver],1,Table2[HomeTeam],$A65, Table2[AwayTeam], R$36, Table2[ActualResult], "OT") + SUMIFS(Table2[HomeWon_], Table2[GameIsOver],1,Table2[AwayTeam],$A65, Table2[HomeTeam], R$36, Table2[ActualResult], "SO") + SUMIFS(Table2[AwayWon], Table2[GameIsOver],1,Table2[HomeTeam],$A65, Table2[AwayTeam], R$36, Table2[ActualResult], "SO"))), "")</f>
        <v/>
      </c>
      <c r="S65" t="str">
        <f>IFERROR(((2*SUMIFS(Table2[AwayWon], Table2[GameIsOver],1,Table2[AwayTeam],$A65, Table2[HomeTeam], S$36) + SUMIFS(Table2[HomeWon_], Table2[GameIsOver],1,Table2[HomeTeam],$A65, Table2[AwayTeam], S$36)) + SUMIFS(Table2[AwayWon], Table2[GameIsOver],1,Table2[HomeTeam],$A65, Table2[AwayTeam], S$36, Table2[ActualResult], "REG") + SUMIFS(Table2[HomeWon_], Table2[GameIsOver],1,Table2[AwayTeam],$A65, Table2[HomeTeam], S$36, Table2[ActualResult], "OT") + SUMIFS(Table2[AwayWon], Table2[GameIsOver],1,Table2[HomeTeam],$A65, Table2[AwayTeam], S$36, Table2[ActualResult], "OT") + SUMIFS(Table2[HomeWon_], Table2[GameIsOver],1,Table2[AwayTeam],$A65, Table2[HomeTeam], S$36, Table2[ActualResult], "SO") + SUMIFS(Table2[AwayWon], Table2[GameIsOver],1,Table2[HomeTeam],$A65, Table2[AwayTeam], S$36, Table2[ActualResult], "SO")) / (2*(SUMIFS(Table2[AwayWon], Table2[GameIsOver],1,Table2[AwayTeam],$A65, Table2[HomeTeam], S$36) + SUMIFS(Table2[HomeWon_], Table2[GameIsOver],1,Table2[HomeTeam],$A65, Table2[AwayTeam], S$36) + SUMIFS(Table2[HomeWon_], Table2[GameIsOver],1,Table2[AwayTeam],$A65, Table2[HomeTeam], S$36, Table2[ActualResult], "REG") + SUMIFS(Table2[AwayWon], Table2[GameIsOver],1,Table2[HomeTeam],$A65, Table2[AwayTeam], S$36, Table2[ActualResult], "REG") + SUMIFS(Table2[HomeWon_], Table2[GameIsOver],1,Table2[AwayTeam],$A65, Table2[HomeTeam], S$36, Table2[ActualResult], "OT") + SUMIFS(Table2[AwayWon], Table2[GameIsOver],1,Table2[HomeTeam],$A65, Table2[AwayTeam], S$36, Table2[ActualResult], "OT") + SUMIFS(Table2[HomeWon_], Table2[GameIsOver],1,Table2[AwayTeam],$A65, Table2[HomeTeam], S$36, Table2[ActualResult], "SO") + SUMIFS(Table2[AwayWon], Table2[GameIsOver],1,Table2[HomeTeam],$A65, Table2[AwayTeam], S$36, Table2[ActualResult], "SO"))), "")</f>
        <v/>
      </c>
      <c r="T65" t="str">
        <f>IFERROR(((2*SUMIFS(Table2[AwayWon], Table2[GameIsOver],1,Table2[AwayTeam],$A65, Table2[HomeTeam], T$36) + SUMIFS(Table2[HomeWon_], Table2[GameIsOver],1,Table2[HomeTeam],$A65, Table2[AwayTeam], T$36)) + SUMIFS(Table2[AwayWon], Table2[GameIsOver],1,Table2[HomeTeam],$A65, Table2[AwayTeam], T$36, Table2[ActualResult], "REG") + SUMIFS(Table2[HomeWon_], Table2[GameIsOver],1,Table2[AwayTeam],$A65, Table2[HomeTeam], T$36, Table2[ActualResult], "OT") + SUMIFS(Table2[AwayWon], Table2[GameIsOver],1,Table2[HomeTeam],$A65, Table2[AwayTeam], T$36, Table2[ActualResult], "OT") + SUMIFS(Table2[HomeWon_], Table2[GameIsOver],1,Table2[AwayTeam],$A65, Table2[HomeTeam], T$36, Table2[ActualResult], "SO") + SUMIFS(Table2[AwayWon], Table2[GameIsOver],1,Table2[HomeTeam],$A65, Table2[AwayTeam], T$36, Table2[ActualResult], "SO")) / (2*(SUMIFS(Table2[AwayWon], Table2[GameIsOver],1,Table2[AwayTeam],$A65, Table2[HomeTeam], T$36) + SUMIFS(Table2[HomeWon_], Table2[GameIsOver],1,Table2[HomeTeam],$A65, Table2[AwayTeam], T$36) + SUMIFS(Table2[HomeWon_], Table2[GameIsOver],1,Table2[AwayTeam],$A65, Table2[HomeTeam], T$36, Table2[ActualResult], "REG") + SUMIFS(Table2[AwayWon], Table2[GameIsOver],1,Table2[HomeTeam],$A65, Table2[AwayTeam], T$36, Table2[ActualResult], "REG") + SUMIFS(Table2[HomeWon_], Table2[GameIsOver],1,Table2[AwayTeam],$A65, Table2[HomeTeam], T$36, Table2[ActualResult], "OT") + SUMIFS(Table2[AwayWon], Table2[GameIsOver],1,Table2[HomeTeam],$A65, Table2[AwayTeam], T$36, Table2[ActualResult], "OT") + SUMIFS(Table2[HomeWon_], Table2[GameIsOver],1,Table2[AwayTeam],$A65, Table2[HomeTeam], T$36, Table2[ActualResult], "SO") + SUMIFS(Table2[AwayWon], Table2[GameIsOver],1,Table2[HomeTeam],$A65, Table2[AwayTeam], T$36, Table2[ActualResult], "SO"))), "")</f>
        <v/>
      </c>
      <c r="U65" t="str">
        <f>IFERROR(((2*SUMIFS(Table2[AwayWon], Table2[GameIsOver],1,Table2[AwayTeam],$A65, Table2[HomeTeam], U$36) + SUMIFS(Table2[HomeWon_], Table2[GameIsOver],1,Table2[HomeTeam],$A65, Table2[AwayTeam], U$36)) + SUMIFS(Table2[AwayWon], Table2[GameIsOver],1,Table2[HomeTeam],$A65, Table2[AwayTeam], U$36, Table2[ActualResult], "REG") + SUMIFS(Table2[HomeWon_], Table2[GameIsOver],1,Table2[AwayTeam],$A65, Table2[HomeTeam], U$36, Table2[ActualResult], "OT") + SUMIFS(Table2[AwayWon], Table2[GameIsOver],1,Table2[HomeTeam],$A65, Table2[AwayTeam], U$36, Table2[ActualResult], "OT") + SUMIFS(Table2[HomeWon_], Table2[GameIsOver],1,Table2[AwayTeam],$A65, Table2[HomeTeam], U$36, Table2[ActualResult], "SO") + SUMIFS(Table2[AwayWon], Table2[GameIsOver],1,Table2[HomeTeam],$A65, Table2[AwayTeam], U$36, Table2[ActualResult], "SO")) / (2*(SUMIFS(Table2[AwayWon], Table2[GameIsOver],1,Table2[AwayTeam],$A65, Table2[HomeTeam], U$36) + SUMIFS(Table2[HomeWon_], Table2[GameIsOver],1,Table2[HomeTeam],$A65, Table2[AwayTeam], U$36) + SUMIFS(Table2[HomeWon_], Table2[GameIsOver],1,Table2[AwayTeam],$A65, Table2[HomeTeam], U$36, Table2[ActualResult], "REG") + SUMIFS(Table2[AwayWon], Table2[GameIsOver],1,Table2[HomeTeam],$A65, Table2[AwayTeam], U$36, Table2[ActualResult], "REG") + SUMIFS(Table2[HomeWon_], Table2[GameIsOver],1,Table2[AwayTeam],$A65, Table2[HomeTeam], U$36, Table2[ActualResult], "OT") + SUMIFS(Table2[AwayWon], Table2[GameIsOver],1,Table2[HomeTeam],$A65, Table2[AwayTeam], U$36, Table2[ActualResult], "OT") + SUMIFS(Table2[HomeWon_], Table2[GameIsOver],1,Table2[AwayTeam],$A65, Table2[HomeTeam], U$36, Table2[ActualResult], "SO") + SUMIFS(Table2[AwayWon], Table2[GameIsOver],1,Table2[HomeTeam],$A65, Table2[AwayTeam], U$36, Table2[ActualResult], "SO"))), "")</f>
        <v/>
      </c>
      <c r="V65">
        <f>IFERROR(((2*SUMIFS(Table2[AwayWon], Table2[GameIsOver],1,Table2[AwayTeam],$A65, Table2[HomeTeam], V$36) + SUMIFS(Table2[HomeWon_], Table2[GameIsOver],1,Table2[HomeTeam],$A65, Table2[AwayTeam], V$36)) + SUMIFS(Table2[AwayWon], Table2[GameIsOver],1,Table2[HomeTeam],$A65, Table2[AwayTeam], V$36, Table2[ActualResult], "REG") + SUMIFS(Table2[HomeWon_], Table2[GameIsOver],1,Table2[AwayTeam],$A65, Table2[HomeTeam], V$36, Table2[ActualResult], "OT") + SUMIFS(Table2[AwayWon], Table2[GameIsOver],1,Table2[HomeTeam],$A65, Table2[AwayTeam], V$36, Table2[ActualResult], "OT") + SUMIFS(Table2[HomeWon_], Table2[GameIsOver],1,Table2[AwayTeam],$A65, Table2[HomeTeam], V$36, Table2[ActualResult], "SO") + SUMIFS(Table2[AwayWon], Table2[GameIsOver],1,Table2[HomeTeam],$A65, Table2[AwayTeam], V$36, Table2[ActualResult], "SO")) / (2*(SUMIFS(Table2[AwayWon], Table2[GameIsOver],1,Table2[AwayTeam],$A65, Table2[HomeTeam], V$36) + SUMIFS(Table2[HomeWon_], Table2[GameIsOver],1,Table2[HomeTeam],$A65, Table2[AwayTeam], V$36) + SUMIFS(Table2[HomeWon_], Table2[GameIsOver],1,Table2[AwayTeam],$A65, Table2[HomeTeam], V$36, Table2[ActualResult], "REG") + SUMIFS(Table2[AwayWon], Table2[GameIsOver],1,Table2[HomeTeam],$A65, Table2[AwayTeam], V$36, Table2[ActualResult], "REG") + SUMIFS(Table2[HomeWon_], Table2[GameIsOver],1,Table2[AwayTeam],$A65, Table2[HomeTeam], V$36, Table2[ActualResult], "OT") + SUMIFS(Table2[AwayWon], Table2[GameIsOver],1,Table2[HomeTeam],$A65, Table2[AwayTeam], V$36, Table2[ActualResult], "OT") + SUMIFS(Table2[HomeWon_], Table2[GameIsOver],1,Table2[AwayTeam],$A65, Table2[HomeTeam], V$36, Table2[ActualResult], "SO") + SUMIFS(Table2[AwayWon], Table2[GameIsOver],1,Table2[HomeTeam],$A65, Table2[AwayTeam], V$36, Table2[ActualResult], "SO"))), "")</f>
        <v>0.5</v>
      </c>
      <c r="W65" t="str">
        <f>IFERROR(((2*SUMIFS(Table2[AwayWon], Table2[GameIsOver],1,Table2[AwayTeam],$A65, Table2[HomeTeam], W$36) + SUMIFS(Table2[HomeWon_], Table2[GameIsOver],1,Table2[HomeTeam],$A65, Table2[AwayTeam], W$36)) + SUMIFS(Table2[AwayWon], Table2[GameIsOver],1,Table2[HomeTeam],$A65, Table2[AwayTeam], W$36, Table2[ActualResult], "REG") + SUMIFS(Table2[HomeWon_], Table2[GameIsOver],1,Table2[AwayTeam],$A65, Table2[HomeTeam], W$36, Table2[ActualResult], "OT") + SUMIFS(Table2[AwayWon], Table2[GameIsOver],1,Table2[HomeTeam],$A65, Table2[AwayTeam], W$36, Table2[ActualResult], "OT") + SUMIFS(Table2[HomeWon_], Table2[GameIsOver],1,Table2[AwayTeam],$A65, Table2[HomeTeam], W$36, Table2[ActualResult], "SO") + SUMIFS(Table2[AwayWon], Table2[GameIsOver],1,Table2[HomeTeam],$A65, Table2[AwayTeam], W$36, Table2[ActualResult], "SO")) / (2*(SUMIFS(Table2[AwayWon], Table2[GameIsOver],1,Table2[AwayTeam],$A65, Table2[HomeTeam], W$36) + SUMIFS(Table2[HomeWon_], Table2[GameIsOver],1,Table2[HomeTeam],$A65, Table2[AwayTeam], W$36) + SUMIFS(Table2[HomeWon_], Table2[GameIsOver],1,Table2[AwayTeam],$A65, Table2[HomeTeam], W$36, Table2[ActualResult], "REG") + SUMIFS(Table2[AwayWon], Table2[GameIsOver],1,Table2[HomeTeam],$A65, Table2[AwayTeam], W$36, Table2[ActualResult], "REG") + SUMIFS(Table2[HomeWon_], Table2[GameIsOver],1,Table2[AwayTeam],$A65, Table2[HomeTeam], W$36, Table2[ActualResult], "OT") + SUMIFS(Table2[AwayWon], Table2[GameIsOver],1,Table2[HomeTeam],$A65, Table2[AwayTeam], W$36, Table2[ActualResult], "OT") + SUMIFS(Table2[HomeWon_], Table2[GameIsOver],1,Table2[AwayTeam],$A65, Table2[HomeTeam], W$36, Table2[ActualResult], "SO") + SUMIFS(Table2[AwayWon], Table2[GameIsOver],1,Table2[HomeTeam],$A65, Table2[AwayTeam], W$36, Table2[ActualResult], "SO"))), "")</f>
        <v/>
      </c>
      <c r="X65" t="str">
        <f>IFERROR(((2*SUMIFS(Table2[AwayWon], Table2[GameIsOver],1,Table2[AwayTeam],$A65, Table2[HomeTeam], X$36) + SUMIFS(Table2[HomeWon_], Table2[GameIsOver],1,Table2[HomeTeam],$A65, Table2[AwayTeam], X$36)) + SUMIFS(Table2[AwayWon], Table2[GameIsOver],1,Table2[HomeTeam],$A65, Table2[AwayTeam], X$36, Table2[ActualResult], "REG") + SUMIFS(Table2[HomeWon_], Table2[GameIsOver],1,Table2[AwayTeam],$A65, Table2[HomeTeam], X$36, Table2[ActualResult], "OT") + SUMIFS(Table2[AwayWon], Table2[GameIsOver],1,Table2[HomeTeam],$A65, Table2[AwayTeam], X$36, Table2[ActualResult], "OT") + SUMIFS(Table2[HomeWon_], Table2[GameIsOver],1,Table2[AwayTeam],$A65, Table2[HomeTeam], X$36, Table2[ActualResult], "SO") + SUMIFS(Table2[AwayWon], Table2[GameIsOver],1,Table2[HomeTeam],$A65, Table2[AwayTeam], X$36, Table2[ActualResult], "SO")) / (2*(SUMIFS(Table2[AwayWon], Table2[GameIsOver],1,Table2[AwayTeam],$A65, Table2[HomeTeam], X$36) + SUMIFS(Table2[HomeWon_], Table2[GameIsOver],1,Table2[HomeTeam],$A65, Table2[AwayTeam], X$36) + SUMIFS(Table2[HomeWon_], Table2[GameIsOver],1,Table2[AwayTeam],$A65, Table2[HomeTeam], X$36, Table2[ActualResult], "REG") + SUMIFS(Table2[AwayWon], Table2[GameIsOver],1,Table2[HomeTeam],$A65, Table2[AwayTeam], X$36, Table2[ActualResult], "REG") + SUMIFS(Table2[HomeWon_], Table2[GameIsOver],1,Table2[AwayTeam],$A65, Table2[HomeTeam], X$36, Table2[ActualResult], "OT") + SUMIFS(Table2[AwayWon], Table2[GameIsOver],1,Table2[HomeTeam],$A65, Table2[AwayTeam], X$36, Table2[ActualResult], "OT") + SUMIFS(Table2[HomeWon_], Table2[GameIsOver],1,Table2[AwayTeam],$A65, Table2[HomeTeam], X$36, Table2[ActualResult], "SO") + SUMIFS(Table2[AwayWon], Table2[GameIsOver],1,Table2[HomeTeam],$A65, Table2[AwayTeam], X$36, Table2[ActualResult], "SO"))), "")</f>
        <v/>
      </c>
      <c r="Y65" s="57" t="str">
        <f>IFERROR(((2*SUMIFS(Table2[AwayWon], Table2[GameIsOver],1,Table2[AwayTeam],$A65, Table2[HomeTeam], Y$36) + SUMIFS(Table2[HomeWon_], Table2[GameIsOver],1,Table2[HomeTeam],$A65, Table2[AwayTeam], Y$36)) + SUMIFS(Table2[AwayWon], Table2[GameIsOver],1,Table2[HomeTeam],$A65, Table2[AwayTeam], Y$36, Table2[ActualResult], "REG") + SUMIFS(Table2[HomeWon_], Table2[GameIsOver],1,Table2[AwayTeam],$A65, Table2[HomeTeam], Y$36, Table2[ActualResult], "OT") + SUMIFS(Table2[AwayWon], Table2[GameIsOver],1,Table2[HomeTeam],$A65, Table2[AwayTeam], Y$36, Table2[ActualResult], "OT") + SUMIFS(Table2[HomeWon_], Table2[GameIsOver],1,Table2[AwayTeam],$A65, Table2[HomeTeam], Y$36, Table2[ActualResult], "SO") + SUMIFS(Table2[AwayWon], Table2[GameIsOver],1,Table2[HomeTeam],$A65, Table2[AwayTeam], Y$36, Table2[ActualResult], "SO")) / (2*(SUMIFS(Table2[AwayWon], Table2[GameIsOver],1,Table2[AwayTeam],$A65, Table2[HomeTeam], Y$36) + SUMIFS(Table2[HomeWon_], Table2[GameIsOver],1,Table2[HomeTeam],$A65, Table2[AwayTeam], Y$36) + SUMIFS(Table2[HomeWon_], Table2[GameIsOver],1,Table2[AwayTeam],$A65, Table2[HomeTeam], Y$36, Table2[ActualResult], "REG") + SUMIFS(Table2[AwayWon], Table2[GameIsOver],1,Table2[HomeTeam],$A65, Table2[AwayTeam], Y$36, Table2[ActualResult], "REG") + SUMIFS(Table2[HomeWon_], Table2[GameIsOver],1,Table2[AwayTeam],$A65, Table2[HomeTeam], Y$36, Table2[ActualResult], "OT") + SUMIFS(Table2[AwayWon], Table2[GameIsOver],1,Table2[HomeTeam],$A65, Table2[AwayTeam], Y$36, Table2[ActualResult], "OT") + SUMIFS(Table2[HomeWon_], Table2[GameIsOver],1,Table2[AwayTeam],$A65, Table2[HomeTeam], Y$36, Table2[ActualResult], "SO") + SUMIFS(Table2[AwayWon], Table2[GameIsOver],1,Table2[HomeTeam],$A65, Table2[AwayTeam], Y$36, Table2[ActualResult], "SO"))), "")</f>
        <v/>
      </c>
      <c r="Z65" t="str">
        <f>IFERROR(((2*SUMIFS(Table2[AwayWon], Table2[GameIsOver],1,Table2[AwayTeam],$A65, Table2[HomeTeam], Z$36) + SUMIFS(Table2[HomeWon_], Table2[GameIsOver],1,Table2[HomeTeam],$A65, Table2[AwayTeam], Z$36)) + SUMIFS(Table2[AwayWon], Table2[GameIsOver],1,Table2[HomeTeam],$A65, Table2[AwayTeam], Z$36, Table2[ActualResult], "REG") + SUMIFS(Table2[HomeWon_], Table2[GameIsOver],1,Table2[AwayTeam],$A65, Table2[HomeTeam], Z$36, Table2[ActualResult], "OT") + SUMIFS(Table2[AwayWon], Table2[GameIsOver],1,Table2[HomeTeam],$A65, Table2[AwayTeam], Z$36, Table2[ActualResult], "OT") + SUMIFS(Table2[HomeWon_], Table2[GameIsOver],1,Table2[AwayTeam],$A65, Table2[HomeTeam], Z$36, Table2[ActualResult], "SO") + SUMIFS(Table2[AwayWon], Table2[GameIsOver],1,Table2[HomeTeam],$A65, Table2[AwayTeam], Z$36, Table2[ActualResult], "SO")) / (2*(SUMIFS(Table2[AwayWon], Table2[GameIsOver],1,Table2[AwayTeam],$A65, Table2[HomeTeam], Z$36) + SUMIFS(Table2[HomeWon_], Table2[GameIsOver],1,Table2[HomeTeam],$A65, Table2[AwayTeam], Z$36) + SUMIFS(Table2[HomeWon_], Table2[GameIsOver],1,Table2[AwayTeam],$A65, Table2[HomeTeam], Z$36, Table2[ActualResult], "REG") + SUMIFS(Table2[AwayWon], Table2[GameIsOver],1,Table2[HomeTeam],$A65, Table2[AwayTeam], Z$36, Table2[ActualResult], "REG") + SUMIFS(Table2[HomeWon_], Table2[GameIsOver],1,Table2[AwayTeam],$A65, Table2[HomeTeam], Z$36, Table2[ActualResult], "OT") + SUMIFS(Table2[AwayWon], Table2[GameIsOver],1,Table2[HomeTeam],$A65, Table2[AwayTeam], Z$36, Table2[ActualResult], "OT") + SUMIFS(Table2[HomeWon_], Table2[GameIsOver],1,Table2[AwayTeam],$A65, Table2[HomeTeam], Z$36, Table2[ActualResult], "SO") + SUMIFS(Table2[AwayWon], Table2[GameIsOver],1,Table2[HomeTeam],$A65, Table2[AwayTeam], Z$36, Table2[ActualResult], "SO"))), "")</f>
        <v/>
      </c>
      <c r="AA65">
        <f>IFERROR(((2*SUMIFS(Table2[AwayWon], Table2[GameIsOver],1,Table2[AwayTeam],$A65, Table2[HomeTeam], AA$36) + SUMIFS(Table2[HomeWon_], Table2[GameIsOver],1,Table2[HomeTeam],$A65, Table2[AwayTeam], AA$36)) + SUMIFS(Table2[AwayWon], Table2[GameIsOver],1,Table2[HomeTeam],$A65, Table2[AwayTeam], AA$36, Table2[ActualResult], "REG") + SUMIFS(Table2[HomeWon_], Table2[GameIsOver],1,Table2[AwayTeam],$A65, Table2[HomeTeam], AA$36, Table2[ActualResult], "OT") + SUMIFS(Table2[AwayWon], Table2[GameIsOver],1,Table2[HomeTeam],$A65, Table2[AwayTeam], AA$36, Table2[ActualResult], "OT") + SUMIFS(Table2[HomeWon_], Table2[GameIsOver],1,Table2[AwayTeam],$A65, Table2[HomeTeam], AA$36, Table2[ActualResult], "SO") + SUMIFS(Table2[AwayWon], Table2[GameIsOver],1,Table2[HomeTeam],$A65, Table2[AwayTeam], AA$36, Table2[ActualResult], "SO")) / (2*(SUMIFS(Table2[AwayWon], Table2[GameIsOver],1,Table2[AwayTeam],$A65, Table2[HomeTeam], AA$36) + SUMIFS(Table2[HomeWon_], Table2[GameIsOver],1,Table2[HomeTeam],$A65, Table2[AwayTeam], AA$36) + SUMIFS(Table2[HomeWon_], Table2[GameIsOver],1,Table2[AwayTeam],$A65, Table2[HomeTeam], AA$36, Table2[ActualResult], "REG") + SUMIFS(Table2[AwayWon], Table2[GameIsOver],1,Table2[HomeTeam],$A65, Table2[AwayTeam], AA$36, Table2[ActualResult], "REG") + SUMIFS(Table2[HomeWon_], Table2[GameIsOver],1,Table2[AwayTeam],$A65, Table2[HomeTeam], AA$36, Table2[ActualResult], "OT") + SUMIFS(Table2[AwayWon], Table2[GameIsOver],1,Table2[HomeTeam],$A65, Table2[AwayTeam], AA$36, Table2[ActualResult], "OT") + SUMIFS(Table2[HomeWon_], Table2[GameIsOver],1,Table2[AwayTeam],$A65, Table2[HomeTeam], AA$36, Table2[ActualResult], "SO") + SUMIFS(Table2[AwayWon], Table2[GameIsOver],1,Table2[HomeTeam],$A65, Table2[AwayTeam], AA$36, Table2[ActualResult], "SO"))), "")</f>
        <v>0.5</v>
      </c>
      <c r="AB65">
        <f>IFERROR(((2*SUMIFS(Table2[AwayWon], Table2[GameIsOver],1,Table2[AwayTeam],$A65, Table2[HomeTeam], AB$36) + SUMIFS(Table2[HomeWon_], Table2[GameIsOver],1,Table2[HomeTeam],$A65, Table2[AwayTeam], AB$36)) + SUMIFS(Table2[AwayWon], Table2[GameIsOver],1,Table2[HomeTeam],$A65, Table2[AwayTeam], AB$36, Table2[ActualResult], "REG") + SUMIFS(Table2[HomeWon_], Table2[GameIsOver],1,Table2[AwayTeam],$A65, Table2[HomeTeam], AB$36, Table2[ActualResult], "OT") + SUMIFS(Table2[AwayWon], Table2[GameIsOver],1,Table2[HomeTeam],$A65, Table2[AwayTeam], AB$36, Table2[ActualResult], "OT") + SUMIFS(Table2[HomeWon_], Table2[GameIsOver],1,Table2[AwayTeam],$A65, Table2[HomeTeam], AB$36, Table2[ActualResult], "SO") + SUMIFS(Table2[AwayWon], Table2[GameIsOver],1,Table2[HomeTeam],$A65, Table2[AwayTeam], AB$36, Table2[ActualResult], "SO")) / (2*(SUMIFS(Table2[AwayWon], Table2[GameIsOver],1,Table2[AwayTeam],$A65, Table2[HomeTeam], AB$36) + SUMIFS(Table2[HomeWon_], Table2[GameIsOver],1,Table2[HomeTeam],$A65, Table2[AwayTeam], AB$36) + SUMIFS(Table2[HomeWon_], Table2[GameIsOver],1,Table2[AwayTeam],$A65, Table2[HomeTeam], AB$36, Table2[ActualResult], "REG") + SUMIFS(Table2[AwayWon], Table2[GameIsOver],1,Table2[HomeTeam],$A65, Table2[AwayTeam], AB$36, Table2[ActualResult], "REG") + SUMIFS(Table2[HomeWon_], Table2[GameIsOver],1,Table2[AwayTeam],$A65, Table2[HomeTeam], AB$36, Table2[ActualResult], "OT") + SUMIFS(Table2[AwayWon], Table2[GameIsOver],1,Table2[HomeTeam],$A65, Table2[AwayTeam], AB$36, Table2[ActualResult], "OT") + SUMIFS(Table2[HomeWon_], Table2[GameIsOver],1,Table2[AwayTeam],$A65, Table2[HomeTeam], AB$36, Table2[ActualResult], "SO") + SUMIFS(Table2[AwayWon], Table2[GameIsOver],1,Table2[HomeTeam],$A65, Table2[AwayTeam], AB$36, Table2[ActualResult], "SO"))), "")</f>
        <v>1</v>
      </c>
      <c r="AC65" t="str">
        <f>IFERROR(((2*SUMIFS(Table2[AwayWon], Table2[GameIsOver],1,Table2[AwayTeam],$A65, Table2[HomeTeam], AC$36) + SUMIFS(Table2[HomeWon_], Table2[GameIsOver],1,Table2[HomeTeam],$A65, Table2[AwayTeam], AC$36)) + SUMIFS(Table2[AwayWon], Table2[GameIsOver],1,Table2[HomeTeam],$A65, Table2[AwayTeam], AC$36, Table2[ActualResult], "REG") + SUMIFS(Table2[HomeWon_], Table2[GameIsOver],1,Table2[AwayTeam],$A65, Table2[HomeTeam], AC$36, Table2[ActualResult], "OT") + SUMIFS(Table2[AwayWon], Table2[GameIsOver],1,Table2[HomeTeam],$A65, Table2[AwayTeam], AC$36, Table2[ActualResult], "OT") + SUMIFS(Table2[HomeWon_], Table2[GameIsOver],1,Table2[AwayTeam],$A65, Table2[HomeTeam], AC$36, Table2[ActualResult], "SO") + SUMIFS(Table2[AwayWon], Table2[GameIsOver],1,Table2[HomeTeam],$A65, Table2[AwayTeam], AC$36, Table2[ActualResult], "SO")) / (2*(SUMIFS(Table2[AwayWon], Table2[GameIsOver],1,Table2[AwayTeam],$A65, Table2[HomeTeam], AC$36) + SUMIFS(Table2[HomeWon_], Table2[GameIsOver],1,Table2[HomeTeam],$A65, Table2[AwayTeam], AC$36) + SUMIFS(Table2[HomeWon_], Table2[GameIsOver],1,Table2[AwayTeam],$A65, Table2[HomeTeam], AC$36, Table2[ActualResult], "REG") + SUMIFS(Table2[AwayWon], Table2[GameIsOver],1,Table2[HomeTeam],$A65, Table2[AwayTeam], AC$36, Table2[ActualResult], "REG") + SUMIFS(Table2[HomeWon_], Table2[GameIsOver],1,Table2[AwayTeam],$A65, Table2[HomeTeam], AC$36, Table2[ActualResult], "OT") + SUMIFS(Table2[AwayWon], Table2[GameIsOver],1,Table2[HomeTeam],$A65, Table2[AwayTeam], AC$36, Table2[ActualResult], "OT") + SUMIFS(Table2[HomeWon_], Table2[GameIsOver],1,Table2[AwayTeam],$A65, Table2[HomeTeam], AC$36, Table2[ActualResult], "SO") + SUMIFS(Table2[AwayWon], Table2[GameIsOver],1,Table2[HomeTeam],$A65, Table2[AwayTeam], AC$36, Table2[ActualResult], "SO"))), "")</f>
        <v/>
      </c>
      <c r="AD65" s="98" t="str">
        <f>IFERROR(((2*SUMIFS(Table2[AwayWon], Table2[GameIsOver],1,Table2[AwayTeam],$A65, Table2[HomeTeam], AD$36) + SUMIFS(Table2[HomeWon_], Table2[GameIsOver],1,Table2[HomeTeam],$A65, Table2[AwayTeam], AD$36)) + SUMIFS(Table2[AwayWon], Table2[GameIsOver],1,Table2[HomeTeam],$A65, Table2[AwayTeam], AD$36, Table2[ActualResult], "REG") + SUMIFS(Table2[HomeWon_], Table2[GameIsOver],1,Table2[AwayTeam],$A65, Table2[HomeTeam], AD$36, Table2[ActualResult], "OT") + SUMIFS(Table2[AwayWon], Table2[GameIsOver],1,Table2[HomeTeam],$A65, Table2[AwayTeam], AD$36, Table2[ActualResult], "OT") + SUMIFS(Table2[HomeWon_], Table2[GameIsOver],1,Table2[AwayTeam],$A65, Table2[HomeTeam], AD$36, Table2[ActualResult], "SO") + SUMIFS(Table2[AwayWon], Table2[GameIsOver],1,Table2[HomeTeam],$A65, Table2[AwayTeam], AD$36, Table2[ActualResult], "SO")) / (2*(SUMIFS(Table2[AwayWon], Table2[GameIsOver],1,Table2[AwayTeam],$A65, Table2[HomeTeam], AD$36) + SUMIFS(Table2[HomeWon_], Table2[GameIsOver],1,Table2[HomeTeam],$A65, Table2[AwayTeam], AD$36) + SUMIFS(Table2[HomeWon_], Table2[GameIsOver],1,Table2[AwayTeam],$A65, Table2[HomeTeam], AD$36, Table2[ActualResult], "REG") + SUMIFS(Table2[AwayWon], Table2[GameIsOver],1,Table2[HomeTeam],$A65, Table2[AwayTeam], AD$36, Table2[ActualResult], "REG") + SUMIFS(Table2[HomeWon_], Table2[GameIsOver],1,Table2[AwayTeam],$A65, Table2[HomeTeam], AD$36, Table2[ActualResult], "OT") + SUMIFS(Table2[AwayWon], Table2[GameIsOver],1,Table2[HomeTeam],$A65, Table2[AwayTeam], AD$36, Table2[ActualResult], "OT") + SUMIFS(Table2[HomeWon_], Table2[GameIsOver],1,Table2[AwayTeam],$A65, Table2[HomeTeam], AD$36, Table2[ActualResult], "SO") + SUMIFS(Table2[AwayWon], Table2[GameIsOver],1,Table2[HomeTeam],$A65, Table2[AwayTeam], AD$36, Table2[ActualResult], "SO"))), "")</f>
        <v/>
      </c>
      <c r="AE65" t="str">
        <f>IFERROR(((2*SUMIFS(Table2[AwayWon], Table2[GameIsOver],1,Table2[AwayTeam],$A65, Table2[HomeTeam], AE$36) + SUMIFS(Table2[HomeWon_], Table2[GameIsOver],1,Table2[HomeTeam],$A65, Table2[AwayTeam], AE$36)) + SUMIFS(Table2[AwayWon], Table2[GameIsOver],1,Table2[HomeTeam],$A65, Table2[AwayTeam], AE$36, Table2[ActualResult], "REG") + SUMIFS(Table2[HomeWon_], Table2[GameIsOver],1,Table2[AwayTeam],$A65, Table2[HomeTeam], AE$36, Table2[ActualResult], "OT") + SUMIFS(Table2[AwayWon], Table2[GameIsOver],1,Table2[HomeTeam],$A65, Table2[AwayTeam], AE$36, Table2[ActualResult], "OT") + SUMIFS(Table2[HomeWon_], Table2[GameIsOver],1,Table2[AwayTeam],$A65, Table2[HomeTeam], AE$36, Table2[ActualResult], "SO") + SUMIFS(Table2[AwayWon], Table2[GameIsOver],1,Table2[HomeTeam],$A65, Table2[AwayTeam], AE$36, Table2[ActualResult], "SO")) / (2*(SUMIFS(Table2[AwayWon], Table2[GameIsOver],1,Table2[AwayTeam],$A65, Table2[HomeTeam], AE$36) + SUMIFS(Table2[HomeWon_], Table2[GameIsOver],1,Table2[HomeTeam],$A65, Table2[AwayTeam], AE$36) + SUMIFS(Table2[HomeWon_], Table2[GameIsOver],1,Table2[AwayTeam],$A65, Table2[HomeTeam], AE$36, Table2[ActualResult], "REG") + SUMIFS(Table2[AwayWon], Table2[GameIsOver],1,Table2[HomeTeam],$A65, Table2[AwayTeam], AE$36, Table2[ActualResult], "REG") + SUMIFS(Table2[HomeWon_], Table2[GameIsOver],1,Table2[AwayTeam],$A65, Table2[HomeTeam], AE$36, Table2[ActualResult], "OT") + SUMIFS(Table2[AwayWon], Table2[GameIsOver],1,Table2[HomeTeam],$A65, Table2[AwayTeam], AE$36, Table2[ActualResult], "OT") + SUMIFS(Table2[HomeWon_], Table2[GameIsOver],1,Table2[AwayTeam],$A65, Table2[HomeTeam], AE$36, Table2[ActualResult], "SO") + SUMIFS(Table2[AwayWon], Table2[GameIsOver],1,Table2[HomeTeam],$A65, Table2[AwayTeam], AE$36, Table2[ActualResult], "SO"))), "")</f>
        <v/>
      </c>
      <c r="AF65" t="str">
        <f>IFERROR(((2*SUMIFS(Table2[AwayWon], Table2[GameIsOver],1,Table2[AwayTeam],$A65, Table2[HomeTeam], AF$36) + SUMIFS(Table2[HomeWon_], Table2[GameIsOver],1,Table2[HomeTeam],$A65, Table2[AwayTeam], AF$36)) + SUMIFS(Table2[AwayWon], Table2[GameIsOver],1,Table2[HomeTeam],$A65, Table2[AwayTeam], AF$36, Table2[ActualResult], "REG") + SUMIFS(Table2[HomeWon_], Table2[GameIsOver],1,Table2[AwayTeam],$A65, Table2[HomeTeam], AF$36, Table2[ActualResult], "OT") + SUMIFS(Table2[AwayWon], Table2[GameIsOver],1,Table2[HomeTeam],$A65, Table2[AwayTeam], AF$36, Table2[ActualResult], "OT") + SUMIFS(Table2[HomeWon_], Table2[GameIsOver],1,Table2[AwayTeam],$A65, Table2[HomeTeam], AF$36, Table2[ActualResult], "SO") + SUMIFS(Table2[AwayWon], Table2[GameIsOver],1,Table2[HomeTeam],$A65, Table2[AwayTeam], AF$36, Table2[ActualResult], "SO")) / (2*(SUMIFS(Table2[AwayWon], Table2[GameIsOver],1,Table2[AwayTeam],$A65, Table2[HomeTeam], AF$36) + SUMIFS(Table2[HomeWon_], Table2[GameIsOver],1,Table2[HomeTeam],$A65, Table2[AwayTeam], AF$36) + SUMIFS(Table2[HomeWon_], Table2[GameIsOver],1,Table2[AwayTeam],$A65, Table2[HomeTeam], AF$36, Table2[ActualResult], "REG") + SUMIFS(Table2[AwayWon], Table2[GameIsOver],1,Table2[HomeTeam],$A65, Table2[AwayTeam], AF$36, Table2[ActualResult], "REG") + SUMIFS(Table2[HomeWon_], Table2[GameIsOver],1,Table2[AwayTeam],$A65, Table2[HomeTeam], AF$36, Table2[ActualResult], "OT") + SUMIFS(Table2[AwayWon], Table2[GameIsOver],1,Table2[HomeTeam],$A65, Table2[AwayTeam], AF$36, Table2[ActualResult], "OT") + SUMIFS(Table2[HomeWon_], Table2[GameIsOver],1,Table2[AwayTeam],$A65, Table2[HomeTeam], AF$36, Table2[ActualResult], "SO") + SUMIFS(Table2[AwayWon], Table2[GameIsOver],1,Table2[HomeTeam],$A65, Table2[AwayTeam], AF$36, Table2[ActualResult], "SO"))), "")</f>
        <v/>
      </c>
      <c r="AG65" s="57">
        <f>IFERROR(((2*SUMIFS(Table2[AwayWon], Table2[GameIsOver],1,Table2[AwayTeam],$A65, Table2[HomeTeam], AG$36) + SUMIFS(Table2[HomeWon_], Table2[GameIsOver],1,Table2[HomeTeam],$A65, Table2[AwayTeam], AG$36)) + SUMIFS(Table2[AwayWon], Table2[GameIsOver],1,Table2[HomeTeam],$A65, Table2[AwayTeam], AG$36, Table2[ActualResult], "REG") + SUMIFS(Table2[HomeWon_], Table2[GameIsOver],1,Table2[AwayTeam],$A65, Table2[HomeTeam], AG$36, Table2[ActualResult], "OT") + SUMIFS(Table2[AwayWon], Table2[GameIsOver],1,Table2[HomeTeam],$A65, Table2[AwayTeam], AG$36, Table2[ActualResult], "OT") + SUMIFS(Table2[HomeWon_], Table2[GameIsOver],1,Table2[AwayTeam],$A65, Table2[HomeTeam], AG$36, Table2[ActualResult], "SO") + SUMIFS(Table2[AwayWon], Table2[GameIsOver],1,Table2[HomeTeam],$A65, Table2[AwayTeam], AG$36, Table2[ActualResult], "SO")) / (2*(SUMIFS(Table2[AwayWon], Table2[GameIsOver],1,Table2[AwayTeam],$A65, Table2[HomeTeam], AG$36) + SUMIFS(Table2[HomeWon_], Table2[GameIsOver],1,Table2[HomeTeam],$A65, Table2[AwayTeam], AG$36) + SUMIFS(Table2[HomeWon_], Table2[GameIsOver],1,Table2[AwayTeam],$A65, Table2[HomeTeam], AG$36, Table2[ActualResult], "REG") + SUMIFS(Table2[AwayWon], Table2[GameIsOver],1,Table2[HomeTeam],$A65, Table2[AwayTeam], AG$36, Table2[ActualResult], "REG") + SUMIFS(Table2[HomeWon_], Table2[GameIsOver],1,Table2[AwayTeam],$A65, Table2[HomeTeam], AG$36, Table2[ActualResult], "OT") + SUMIFS(Table2[AwayWon], Table2[GameIsOver],1,Table2[HomeTeam],$A65, Table2[AwayTeam], AG$36, Table2[ActualResult], "OT") + SUMIFS(Table2[HomeWon_], Table2[GameIsOver],1,Table2[AwayTeam],$A65, Table2[HomeTeam], AG$36, Table2[ActualResult], "SO") + SUMIFS(Table2[AwayWon], Table2[GameIsOver],1,Table2[HomeTeam],$A65, Table2[AwayTeam], AG$36, Table2[ActualResult], "SO"))), "")</f>
        <v>0</v>
      </c>
      <c r="AH65" s="101">
        <f t="shared" si="0"/>
        <v>0.5</v>
      </c>
      <c r="AI65" s="101">
        <f t="shared" si="1"/>
        <v>0.66666666666666663</v>
      </c>
      <c r="AJ65" s="103">
        <f t="shared" si="2"/>
        <v>0.5</v>
      </c>
      <c r="AK65" s="103">
        <f t="shared" si="3"/>
        <v>0.5</v>
      </c>
      <c r="AL65" s="103">
        <f t="shared" si="4"/>
        <v>0.75</v>
      </c>
      <c r="AM65" s="103">
        <f t="shared" si="5"/>
        <v>0.5</v>
      </c>
    </row>
    <row r="66" spans="1:39" x14ac:dyDescent="0.25">
      <c r="A66" s="57" t="s">
        <v>29</v>
      </c>
      <c r="B66" s="24" t="str">
        <f>IFERROR(((2*SUMIFS(Table2[AwayWon], Table2[GameIsOver],1,Table2[AwayTeam],$A66, Table2[HomeTeam], B$36) + SUMIFS(Table2[HomeWon_], Table2[GameIsOver],1,Table2[HomeTeam],$A66, Table2[AwayTeam], B$36)) + SUMIFS(Table2[AwayWon], Table2[GameIsOver],1,Table2[HomeTeam],$A66, Table2[AwayTeam], B$36, Table2[ActualResult], "REG") + SUMIFS(Table2[HomeWon_], Table2[GameIsOver],1,Table2[AwayTeam],$A66, Table2[HomeTeam], B$36, Table2[ActualResult], "OT") + SUMIFS(Table2[AwayWon], Table2[GameIsOver],1,Table2[HomeTeam],$A66, Table2[AwayTeam], B$36, Table2[ActualResult], "OT") + SUMIFS(Table2[HomeWon_], Table2[GameIsOver],1,Table2[AwayTeam],$A66, Table2[HomeTeam], B$36, Table2[ActualResult], "SO") + SUMIFS(Table2[AwayWon], Table2[GameIsOver],1,Table2[HomeTeam],$A66, Table2[AwayTeam], B$36, Table2[ActualResult], "SO")) / (2*(SUMIFS(Table2[AwayWon], Table2[GameIsOver],1,Table2[AwayTeam],$A66, Table2[HomeTeam], B$36) + SUMIFS(Table2[HomeWon_], Table2[GameIsOver],1,Table2[HomeTeam],$A66, Table2[AwayTeam], B$36) + SUMIFS(Table2[HomeWon_], Table2[GameIsOver],1,Table2[AwayTeam],$A66, Table2[HomeTeam], B$36, Table2[ActualResult], "REG") + SUMIFS(Table2[AwayWon], Table2[GameIsOver],1,Table2[HomeTeam],$A66, Table2[AwayTeam], B$36, Table2[ActualResult], "REG") + SUMIFS(Table2[HomeWon_], Table2[GameIsOver],1,Table2[AwayTeam],$A66, Table2[HomeTeam], B$36, Table2[ActualResult], "OT") + SUMIFS(Table2[AwayWon], Table2[GameIsOver],1,Table2[HomeTeam],$A66, Table2[AwayTeam], B$36, Table2[ActualResult], "OT") + SUMIFS(Table2[HomeWon_], Table2[GameIsOver],1,Table2[AwayTeam],$A66, Table2[HomeTeam], B$36, Table2[ActualResult], "SO") + SUMIFS(Table2[AwayWon], Table2[GameIsOver],1,Table2[HomeTeam],$A66, Table2[AwayTeam], B$36, Table2[ActualResult], "SO"))), "")</f>
        <v/>
      </c>
      <c r="C66" s="24" t="str">
        <f>IFERROR(((2*SUMIFS(Table2[AwayWon], Table2[GameIsOver],1,Table2[AwayTeam],$A66, Table2[HomeTeam], C$36) + SUMIFS(Table2[HomeWon_], Table2[GameIsOver],1,Table2[HomeTeam],$A66, Table2[AwayTeam], C$36)) + SUMIFS(Table2[AwayWon], Table2[GameIsOver],1,Table2[HomeTeam],$A66, Table2[AwayTeam], C$36, Table2[ActualResult], "REG") + SUMIFS(Table2[HomeWon_], Table2[GameIsOver],1,Table2[AwayTeam],$A66, Table2[HomeTeam], C$36, Table2[ActualResult], "OT") + SUMIFS(Table2[AwayWon], Table2[GameIsOver],1,Table2[HomeTeam],$A66, Table2[AwayTeam], C$36, Table2[ActualResult], "OT") + SUMIFS(Table2[HomeWon_], Table2[GameIsOver],1,Table2[AwayTeam],$A66, Table2[HomeTeam], C$36, Table2[ActualResult], "SO") + SUMIFS(Table2[AwayWon], Table2[GameIsOver],1,Table2[HomeTeam],$A66, Table2[AwayTeam], C$36, Table2[ActualResult], "SO")) / (2*(SUMIFS(Table2[AwayWon], Table2[GameIsOver],1,Table2[AwayTeam],$A66, Table2[HomeTeam], C$36) + SUMIFS(Table2[HomeWon_], Table2[GameIsOver],1,Table2[HomeTeam],$A66, Table2[AwayTeam], C$36) + SUMIFS(Table2[HomeWon_], Table2[GameIsOver],1,Table2[AwayTeam],$A66, Table2[HomeTeam], C$36, Table2[ActualResult], "REG") + SUMIFS(Table2[AwayWon], Table2[GameIsOver],1,Table2[HomeTeam],$A66, Table2[AwayTeam], C$36, Table2[ActualResult], "REG") + SUMIFS(Table2[HomeWon_], Table2[GameIsOver],1,Table2[AwayTeam],$A66, Table2[HomeTeam], C$36, Table2[ActualResult], "OT") + SUMIFS(Table2[AwayWon], Table2[GameIsOver],1,Table2[HomeTeam],$A66, Table2[AwayTeam], C$36, Table2[ActualResult], "OT") + SUMIFS(Table2[HomeWon_], Table2[GameIsOver],1,Table2[AwayTeam],$A66, Table2[HomeTeam], C$36, Table2[ActualResult], "SO") + SUMIFS(Table2[AwayWon], Table2[GameIsOver],1,Table2[HomeTeam],$A66, Table2[AwayTeam], C$36, Table2[ActualResult], "SO"))), "")</f>
        <v/>
      </c>
      <c r="D66">
        <f>IFERROR(((2*SUMIFS(Table2[AwayWon], Table2[GameIsOver],1,Table2[AwayTeam],$A66, Table2[HomeTeam], D$36) + SUMIFS(Table2[HomeWon_], Table2[GameIsOver],1,Table2[HomeTeam],$A66, Table2[AwayTeam], D$36)) + SUMIFS(Table2[AwayWon], Table2[GameIsOver],1,Table2[HomeTeam],$A66, Table2[AwayTeam], D$36, Table2[ActualResult], "REG") + SUMIFS(Table2[HomeWon_], Table2[GameIsOver],1,Table2[AwayTeam],$A66, Table2[HomeTeam], D$36, Table2[ActualResult], "OT") + SUMIFS(Table2[AwayWon], Table2[GameIsOver],1,Table2[HomeTeam],$A66, Table2[AwayTeam], D$36, Table2[ActualResult], "OT") + SUMIFS(Table2[HomeWon_], Table2[GameIsOver],1,Table2[AwayTeam],$A66, Table2[HomeTeam], D$36, Table2[ActualResult], "SO") + SUMIFS(Table2[AwayWon], Table2[GameIsOver],1,Table2[HomeTeam],$A66, Table2[AwayTeam], D$36, Table2[ActualResult], "SO")) / (2*(SUMIFS(Table2[AwayWon], Table2[GameIsOver],1,Table2[AwayTeam],$A66, Table2[HomeTeam], D$36) + SUMIFS(Table2[HomeWon_], Table2[GameIsOver],1,Table2[HomeTeam],$A66, Table2[AwayTeam], D$36) + SUMIFS(Table2[HomeWon_], Table2[GameIsOver],1,Table2[AwayTeam],$A66, Table2[HomeTeam], D$36, Table2[ActualResult], "REG") + SUMIFS(Table2[AwayWon], Table2[GameIsOver],1,Table2[HomeTeam],$A66, Table2[AwayTeam], D$36, Table2[ActualResult], "REG") + SUMIFS(Table2[HomeWon_], Table2[GameIsOver],1,Table2[AwayTeam],$A66, Table2[HomeTeam], D$36, Table2[ActualResult], "OT") + SUMIFS(Table2[AwayWon], Table2[GameIsOver],1,Table2[HomeTeam],$A66, Table2[AwayTeam], D$36, Table2[ActualResult], "OT") + SUMIFS(Table2[HomeWon_], Table2[GameIsOver],1,Table2[AwayTeam],$A66, Table2[HomeTeam], D$36, Table2[ActualResult], "SO") + SUMIFS(Table2[AwayWon], Table2[GameIsOver],1,Table2[HomeTeam],$A66, Table2[AwayTeam], D$36, Table2[ActualResult], "SO"))), "")</f>
        <v>0.5</v>
      </c>
      <c r="E66" t="str">
        <f>IFERROR(((2*SUMIFS(Table2[AwayWon], Table2[GameIsOver],1,Table2[AwayTeam],$A66, Table2[HomeTeam], E$36) + SUMIFS(Table2[HomeWon_], Table2[GameIsOver],1,Table2[HomeTeam],$A66, Table2[AwayTeam], E$36)) + SUMIFS(Table2[AwayWon], Table2[GameIsOver],1,Table2[HomeTeam],$A66, Table2[AwayTeam], E$36, Table2[ActualResult], "REG") + SUMIFS(Table2[HomeWon_], Table2[GameIsOver],1,Table2[AwayTeam],$A66, Table2[HomeTeam], E$36, Table2[ActualResult], "OT") + SUMIFS(Table2[AwayWon], Table2[GameIsOver],1,Table2[HomeTeam],$A66, Table2[AwayTeam], E$36, Table2[ActualResult], "OT") + SUMIFS(Table2[HomeWon_], Table2[GameIsOver],1,Table2[AwayTeam],$A66, Table2[HomeTeam], E$36, Table2[ActualResult], "SO") + SUMIFS(Table2[AwayWon], Table2[GameIsOver],1,Table2[HomeTeam],$A66, Table2[AwayTeam], E$36, Table2[ActualResult], "SO")) / (2*(SUMIFS(Table2[AwayWon], Table2[GameIsOver],1,Table2[AwayTeam],$A66, Table2[HomeTeam], E$36) + SUMIFS(Table2[HomeWon_], Table2[GameIsOver],1,Table2[HomeTeam],$A66, Table2[AwayTeam], E$36) + SUMIFS(Table2[HomeWon_], Table2[GameIsOver],1,Table2[AwayTeam],$A66, Table2[HomeTeam], E$36, Table2[ActualResult], "REG") + SUMIFS(Table2[AwayWon], Table2[GameIsOver],1,Table2[HomeTeam],$A66, Table2[AwayTeam], E$36, Table2[ActualResult], "REG") + SUMIFS(Table2[HomeWon_], Table2[GameIsOver],1,Table2[AwayTeam],$A66, Table2[HomeTeam], E$36, Table2[ActualResult], "OT") + SUMIFS(Table2[AwayWon], Table2[GameIsOver],1,Table2[HomeTeam],$A66, Table2[AwayTeam], E$36, Table2[ActualResult], "OT") + SUMIFS(Table2[HomeWon_], Table2[GameIsOver],1,Table2[AwayTeam],$A66, Table2[HomeTeam], E$36, Table2[ActualResult], "SO") + SUMIFS(Table2[AwayWon], Table2[GameIsOver],1,Table2[HomeTeam],$A66, Table2[AwayTeam], E$36, Table2[ActualResult], "SO"))), "")</f>
        <v/>
      </c>
      <c r="F66">
        <f>IFERROR(((2*SUMIFS(Table2[AwayWon], Table2[GameIsOver],1,Table2[AwayTeam],$A66, Table2[HomeTeam], F$36) + SUMIFS(Table2[HomeWon_], Table2[GameIsOver],1,Table2[HomeTeam],$A66, Table2[AwayTeam], F$36)) + SUMIFS(Table2[AwayWon], Table2[GameIsOver],1,Table2[HomeTeam],$A66, Table2[AwayTeam], F$36, Table2[ActualResult], "REG") + SUMIFS(Table2[HomeWon_], Table2[GameIsOver],1,Table2[AwayTeam],$A66, Table2[HomeTeam], F$36, Table2[ActualResult], "OT") + SUMIFS(Table2[AwayWon], Table2[GameIsOver],1,Table2[HomeTeam],$A66, Table2[AwayTeam], F$36, Table2[ActualResult], "OT") + SUMIFS(Table2[HomeWon_], Table2[GameIsOver],1,Table2[AwayTeam],$A66, Table2[HomeTeam], F$36, Table2[ActualResult], "SO") + SUMIFS(Table2[AwayWon], Table2[GameIsOver],1,Table2[HomeTeam],$A66, Table2[AwayTeam], F$36, Table2[ActualResult], "SO")) / (2*(SUMIFS(Table2[AwayWon], Table2[GameIsOver],1,Table2[AwayTeam],$A66, Table2[HomeTeam], F$36) + SUMIFS(Table2[HomeWon_], Table2[GameIsOver],1,Table2[HomeTeam],$A66, Table2[AwayTeam], F$36) + SUMIFS(Table2[HomeWon_], Table2[GameIsOver],1,Table2[AwayTeam],$A66, Table2[HomeTeam], F$36, Table2[ActualResult], "REG") + SUMIFS(Table2[AwayWon], Table2[GameIsOver],1,Table2[HomeTeam],$A66, Table2[AwayTeam], F$36, Table2[ActualResult], "REG") + SUMIFS(Table2[HomeWon_], Table2[GameIsOver],1,Table2[AwayTeam],$A66, Table2[HomeTeam], F$36, Table2[ActualResult], "OT") + SUMIFS(Table2[AwayWon], Table2[GameIsOver],1,Table2[HomeTeam],$A66, Table2[AwayTeam], F$36, Table2[ActualResult], "OT") + SUMIFS(Table2[HomeWon_], Table2[GameIsOver],1,Table2[AwayTeam],$A66, Table2[HomeTeam], F$36, Table2[ActualResult], "SO") + SUMIFS(Table2[AwayWon], Table2[GameIsOver],1,Table2[HomeTeam],$A66, Table2[AwayTeam], F$36, Table2[ActualResult], "SO"))), "")</f>
        <v>0.5</v>
      </c>
      <c r="G66" t="str">
        <f>IFERROR(((2*SUMIFS(Table2[AwayWon], Table2[GameIsOver],1,Table2[AwayTeam],$A66, Table2[HomeTeam], G$36) + SUMIFS(Table2[HomeWon_], Table2[GameIsOver],1,Table2[HomeTeam],$A66, Table2[AwayTeam], G$36)) + SUMIFS(Table2[AwayWon], Table2[GameIsOver],1,Table2[HomeTeam],$A66, Table2[AwayTeam], G$36, Table2[ActualResult], "REG") + SUMIFS(Table2[HomeWon_], Table2[GameIsOver],1,Table2[AwayTeam],$A66, Table2[HomeTeam], G$36, Table2[ActualResult], "OT") + SUMIFS(Table2[AwayWon], Table2[GameIsOver],1,Table2[HomeTeam],$A66, Table2[AwayTeam], G$36, Table2[ActualResult], "OT") + SUMIFS(Table2[HomeWon_], Table2[GameIsOver],1,Table2[AwayTeam],$A66, Table2[HomeTeam], G$36, Table2[ActualResult], "SO") + SUMIFS(Table2[AwayWon], Table2[GameIsOver],1,Table2[HomeTeam],$A66, Table2[AwayTeam], G$36, Table2[ActualResult], "SO")) / (2*(SUMIFS(Table2[AwayWon], Table2[GameIsOver],1,Table2[AwayTeam],$A66, Table2[HomeTeam], G$36) + SUMIFS(Table2[HomeWon_], Table2[GameIsOver],1,Table2[HomeTeam],$A66, Table2[AwayTeam], G$36) + SUMIFS(Table2[HomeWon_], Table2[GameIsOver],1,Table2[AwayTeam],$A66, Table2[HomeTeam], G$36, Table2[ActualResult], "REG") + SUMIFS(Table2[AwayWon], Table2[GameIsOver],1,Table2[HomeTeam],$A66, Table2[AwayTeam], G$36, Table2[ActualResult], "REG") + SUMIFS(Table2[HomeWon_], Table2[GameIsOver],1,Table2[AwayTeam],$A66, Table2[HomeTeam], G$36, Table2[ActualResult], "OT") + SUMIFS(Table2[AwayWon], Table2[GameIsOver],1,Table2[HomeTeam],$A66, Table2[AwayTeam], G$36, Table2[ActualResult], "OT") + SUMIFS(Table2[HomeWon_], Table2[GameIsOver],1,Table2[AwayTeam],$A66, Table2[HomeTeam], G$36, Table2[ActualResult], "SO") + SUMIFS(Table2[AwayWon], Table2[GameIsOver],1,Table2[HomeTeam],$A66, Table2[AwayTeam], G$36, Table2[ActualResult], "SO"))), "")</f>
        <v/>
      </c>
      <c r="H66" t="str">
        <f>IFERROR(((2*SUMIFS(Table2[AwayWon], Table2[GameIsOver],1,Table2[AwayTeam],$A66, Table2[HomeTeam], H$36) + SUMIFS(Table2[HomeWon_], Table2[GameIsOver],1,Table2[HomeTeam],$A66, Table2[AwayTeam], H$36)) + SUMIFS(Table2[AwayWon], Table2[GameIsOver],1,Table2[HomeTeam],$A66, Table2[AwayTeam], H$36, Table2[ActualResult], "REG") + SUMIFS(Table2[HomeWon_], Table2[GameIsOver],1,Table2[AwayTeam],$A66, Table2[HomeTeam], H$36, Table2[ActualResult], "OT") + SUMIFS(Table2[AwayWon], Table2[GameIsOver],1,Table2[HomeTeam],$A66, Table2[AwayTeam], H$36, Table2[ActualResult], "OT") + SUMIFS(Table2[HomeWon_], Table2[GameIsOver],1,Table2[AwayTeam],$A66, Table2[HomeTeam], H$36, Table2[ActualResult], "SO") + SUMIFS(Table2[AwayWon], Table2[GameIsOver],1,Table2[HomeTeam],$A66, Table2[AwayTeam], H$36, Table2[ActualResult], "SO")) / (2*(SUMIFS(Table2[AwayWon], Table2[GameIsOver],1,Table2[AwayTeam],$A66, Table2[HomeTeam], H$36) + SUMIFS(Table2[HomeWon_], Table2[GameIsOver],1,Table2[HomeTeam],$A66, Table2[AwayTeam], H$36) + SUMIFS(Table2[HomeWon_], Table2[GameIsOver],1,Table2[AwayTeam],$A66, Table2[HomeTeam], H$36, Table2[ActualResult], "REG") + SUMIFS(Table2[AwayWon], Table2[GameIsOver],1,Table2[HomeTeam],$A66, Table2[AwayTeam], H$36, Table2[ActualResult], "REG") + SUMIFS(Table2[HomeWon_], Table2[GameIsOver],1,Table2[AwayTeam],$A66, Table2[HomeTeam], H$36, Table2[ActualResult], "OT") + SUMIFS(Table2[AwayWon], Table2[GameIsOver],1,Table2[HomeTeam],$A66, Table2[AwayTeam], H$36, Table2[ActualResult], "OT") + SUMIFS(Table2[HomeWon_], Table2[GameIsOver],1,Table2[AwayTeam],$A66, Table2[HomeTeam], H$36, Table2[ActualResult], "SO") + SUMIFS(Table2[AwayWon], Table2[GameIsOver],1,Table2[HomeTeam],$A66, Table2[AwayTeam], H$36, Table2[ActualResult], "SO"))), "")</f>
        <v/>
      </c>
      <c r="I66" s="57" t="str">
        <f>IFERROR(((2*SUMIFS(Table2[AwayWon], Table2[GameIsOver],1,Table2[AwayTeam],$A66, Table2[HomeTeam], I$36) + SUMIFS(Table2[HomeWon_], Table2[GameIsOver],1,Table2[HomeTeam],$A66, Table2[AwayTeam], I$36)) + SUMIFS(Table2[AwayWon], Table2[GameIsOver],1,Table2[HomeTeam],$A66, Table2[AwayTeam], I$36, Table2[ActualResult], "REG") + SUMIFS(Table2[HomeWon_], Table2[GameIsOver],1,Table2[AwayTeam],$A66, Table2[HomeTeam], I$36, Table2[ActualResult], "OT") + SUMIFS(Table2[AwayWon], Table2[GameIsOver],1,Table2[HomeTeam],$A66, Table2[AwayTeam], I$36, Table2[ActualResult], "OT") + SUMIFS(Table2[HomeWon_], Table2[GameIsOver],1,Table2[AwayTeam],$A66, Table2[HomeTeam], I$36, Table2[ActualResult], "SO") + SUMIFS(Table2[AwayWon], Table2[GameIsOver],1,Table2[HomeTeam],$A66, Table2[AwayTeam], I$36, Table2[ActualResult], "SO")) / (2*(SUMIFS(Table2[AwayWon], Table2[GameIsOver],1,Table2[AwayTeam],$A66, Table2[HomeTeam], I$36) + SUMIFS(Table2[HomeWon_], Table2[GameIsOver],1,Table2[HomeTeam],$A66, Table2[AwayTeam], I$36) + SUMIFS(Table2[HomeWon_], Table2[GameIsOver],1,Table2[AwayTeam],$A66, Table2[HomeTeam], I$36, Table2[ActualResult], "REG") + SUMIFS(Table2[AwayWon], Table2[GameIsOver],1,Table2[HomeTeam],$A66, Table2[AwayTeam], I$36, Table2[ActualResult], "REG") + SUMIFS(Table2[HomeWon_], Table2[GameIsOver],1,Table2[AwayTeam],$A66, Table2[HomeTeam], I$36, Table2[ActualResult], "OT") + SUMIFS(Table2[AwayWon], Table2[GameIsOver],1,Table2[HomeTeam],$A66, Table2[AwayTeam], I$36, Table2[ActualResult], "OT") + SUMIFS(Table2[HomeWon_], Table2[GameIsOver],1,Table2[AwayTeam],$A66, Table2[HomeTeam], I$36, Table2[ActualResult], "SO") + SUMIFS(Table2[AwayWon], Table2[GameIsOver],1,Table2[HomeTeam],$A66, Table2[AwayTeam], I$36, Table2[ActualResult], "SO"))), "")</f>
        <v/>
      </c>
      <c r="J66" t="str">
        <f>IFERROR(((2*SUMIFS(Table2[AwayWon], Table2[GameIsOver],1,Table2[AwayTeam],$A66, Table2[HomeTeam], J$36) + SUMIFS(Table2[HomeWon_], Table2[GameIsOver],1,Table2[HomeTeam],$A66, Table2[AwayTeam], J$36)) + SUMIFS(Table2[AwayWon], Table2[GameIsOver],1,Table2[HomeTeam],$A66, Table2[AwayTeam], J$36, Table2[ActualResult], "REG") + SUMIFS(Table2[HomeWon_], Table2[GameIsOver],1,Table2[AwayTeam],$A66, Table2[HomeTeam], J$36, Table2[ActualResult], "OT") + SUMIFS(Table2[AwayWon], Table2[GameIsOver],1,Table2[HomeTeam],$A66, Table2[AwayTeam], J$36, Table2[ActualResult], "OT") + SUMIFS(Table2[HomeWon_], Table2[GameIsOver],1,Table2[AwayTeam],$A66, Table2[HomeTeam], J$36, Table2[ActualResult], "SO") + SUMIFS(Table2[AwayWon], Table2[GameIsOver],1,Table2[HomeTeam],$A66, Table2[AwayTeam], J$36, Table2[ActualResult], "SO")) / (2*(SUMIFS(Table2[AwayWon], Table2[GameIsOver],1,Table2[AwayTeam],$A66, Table2[HomeTeam], J$36) + SUMIFS(Table2[HomeWon_], Table2[GameIsOver],1,Table2[HomeTeam],$A66, Table2[AwayTeam], J$36) + SUMIFS(Table2[HomeWon_], Table2[GameIsOver],1,Table2[AwayTeam],$A66, Table2[HomeTeam], J$36, Table2[ActualResult], "REG") + SUMIFS(Table2[AwayWon], Table2[GameIsOver],1,Table2[HomeTeam],$A66, Table2[AwayTeam], J$36, Table2[ActualResult], "REG") + SUMIFS(Table2[HomeWon_], Table2[GameIsOver],1,Table2[AwayTeam],$A66, Table2[HomeTeam], J$36, Table2[ActualResult], "OT") + SUMIFS(Table2[AwayWon], Table2[GameIsOver],1,Table2[HomeTeam],$A66, Table2[AwayTeam], J$36, Table2[ActualResult], "OT") + SUMIFS(Table2[HomeWon_], Table2[GameIsOver],1,Table2[AwayTeam],$A66, Table2[HomeTeam], J$36, Table2[ActualResult], "SO") + SUMIFS(Table2[AwayWon], Table2[GameIsOver],1,Table2[HomeTeam],$A66, Table2[AwayTeam], J$36, Table2[ActualResult], "SO"))), "")</f>
        <v/>
      </c>
      <c r="K66" t="str">
        <f>IFERROR(((2*SUMIFS(Table2[AwayWon], Table2[GameIsOver],1,Table2[AwayTeam],$A66, Table2[HomeTeam], K$36) + SUMIFS(Table2[HomeWon_], Table2[GameIsOver],1,Table2[HomeTeam],$A66, Table2[AwayTeam], K$36)) + SUMIFS(Table2[AwayWon], Table2[GameIsOver],1,Table2[HomeTeam],$A66, Table2[AwayTeam], K$36, Table2[ActualResult], "REG") + SUMIFS(Table2[HomeWon_], Table2[GameIsOver],1,Table2[AwayTeam],$A66, Table2[HomeTeam], K$36, Table2[ActualResult], "OT") + SUMIFS(Table2[AwayWon], Table2[GameIsOver],1,Table2[HomeTeam],$A66, Table2[AwayTeam], K$36, Table2[ActualResult], "OT") + SUMIFS(Table2[HomeWon_], Table2[GameIsOver],1,Table2[AwayTeam],$A66, Table2[HomeTeam], K$36, Table2[ActualResult], "SO") + SUMIFS(Table2[AwayWon], Table2[GameIsOver],1,Table2[HomeTeam],$A66, Table2[AwayTeam], K$36, Table2[ActualResult], "SO")) / (2*(SUMIFS(Table2[AwayWon], Table2[GameIsOver],1,Table2[AwayTeam],$A66, Table2[HomeTeam], K$36) + SUMIFS(Table2[HomeWon_], Table2[GameIsOver],1,Table2[HomeTeam],$A66, Table2[AwayTeam], K$36) + SUMIFS(Table2[HomeWon_], Table2[GameIsOver],1,Table2[AwayTeam],$A66, Table2[HomeTeam], K$36, Table2[ActualResult], "REG") + SUMIFS(Table2[AwayWon], Table2[GameIsOver],1,Table2[HomeTeam],$A66, Table2[AwayTeam], K$36, Table2[ActualResult], "REG") + SUMIFS(Table2[HomeWon_], Table2[GameIsOver],1,Table2[AwayTeam],$A66, Table2[HomeTeam], K$36, Table2[ActualResult], "OT") + SUMIFS(Table2[AwayWon], Table2[GameIsOver],1,Table2[HomeTeam],$A66, Table2[AwayTeam], K$36, Table2[ActualResult], "OT") + SUMIFS(Table2[HomeWon_], Table2[GameIsOver],1,Table2[AwayTeam],$A66, Table2[HomeTeam], K$36, Table2[ActualResult], "SO") + SUMIFS(Table2[AwayWon], Table2[GameIsOver],1,Table2[HomeTeam],$A66, Table2[AwayTeam], K$36, Table2[ActualResult], "SO"))), "")</f>
        <v/>
      </c>
      <c r="L66" t="str">
        <f>IFERROR(((2*SUMIFS(Table2[AwayWon], Table2[GameIsOver],1,Table2[AwayTeam],$A66, Table2[HomeTeam], L$36) + SUMIFS(Table2[HomeWon_], Table2[GameIsOver],1,Table2[HomeTeam],$A66, Table2[AwayTeam], L$36)) + SUMIFS(Table2[AwayWon], Table2[GameIsOver],1,Table2[HomeTeam],$A66, Table2[AwayTeam], L$36, Table2[ActualResult], "REG") + SUMIFS(Table2[HomeWon_], Table2[GameIsOver],1,Table2[AwayTeam],$A66, Table2[HomeTeam], L$36, Table2[ActualResult], "OT") + SUMIFS(Table2[AwayWon], Table2[GameIsOver],1,Table2[HomeTeam],$A66, Table2[AwayTeam], L$36, Table2[ActualResult], "OT") + SUMIFS(Table2[HomeWon_], Table2[GameIsOver],1,Table2[AwayTeam],$A66, Table2[HomeTeam], L$36, Table2[ActualResult], "SO") + SUMIFS(Table2[AwayWon], Table2[GameIsOver],1,Table2[HomeTeam],$A66, Table2[AwayTeam], L$36, Table2[ActualResult], "SO")) / (2*(SUMIFS(Table2[AwayWon], Table2[GameIsOver],1,Table2[AwayTeam],$A66, Table2[HomeTeam], L$36) + SUMIFS(Table2[HomeWon_], Table2[GameIsOver],1,Table2[HomeTeam],$A66, Table2[AwayTeam], L$36) + SUMIFS(Table2[HomeWon_], Table2[GameIsOver],1,Table2[AwayTeam],$A66, Table2[HomeTeam], L$36, Table2[ActualResult], "REG") + SUMIFS(Table2[AwayWon], Table2[GameIsOver],1,Table2[HomeTeam],$A66, Table2[AwayTeam], L$36, Table2[ActualResult], "REG") + SUMIFS(Table2[HomeWon_], Table2[GameIsOver],1,Table2[AwayTeam],$A66, Table2[HomeTeam], L$36, Table2[ActualResult], "OT") + SUMIFS(Table2[AwayWon], Table2[GameIsOver],1,Table2[HomeTeam],$A66, Table2[AwayTeam], L$36, Table2[ActualResult], "OT") + SUMIFS(Table2[HomeWon_], Table2[GameIsOver],1,Table2[AwayTeam],$A66, Table2[HomeTeam], L$36, Table2[ActualResult], "SO") + SUMIFS(Table2[AwayWon], Table2[GameIsOver],1,Table2[HomeTeam],$A66, Table2[AwayTeam], L$36, Table2[ActualResult], "SO"))), "")</f>
        <v/>
      </c>
      <c r="M66" t="str">
        <f>IFERROR(((2*SUMIFS(Table2[AwayWon], Table2[GameIsOver],1,Table2[AwayTeam],$A66, Table2[HomeTeam], M$36) + SUMIFS(Table2[HomeWon_], Table2[GameIsOver],1,Table2[HomeTeam],$A66, Table2[AwayTeam], M$36)) + SUMIFS(Table2[AwayWon], Table2[GameIsOver],1,Table2[HomeTeam],$A66, Table2[AwayTeam], M$36, Table2[ActualResult], "REG") + SUMIFS(Table2[HomeWon_], Table2[GameIsOver],1,Table2[AwayTeam],$A66, Table2[HomeTeam], M$36, Table2[ActualResult], "OT") + SUMIFS(Table2[AwayWon], Table2[GameIsOver],1,Table2[HomeTeam],$A66, Table2[AwayTeam], M$36, Table2[ActualResult], "OT") + SUMIFS(Table2[HomeWon_], Table2[GameIsOver],1,Table2[AwayTeam],$A66, Table2[HomeTeam], M$36, Table2[ActualResult], "SO") + SUMIFS(Table2[AwayWon], Table2[GameIsOver],1,Table2[HomeTeam],$A66, Table2[AwayTeam], M$36, Table2[ActualResult], "SO")) / (2*(SUMIFS(Table2[AwayWon], Table2[GameIsOver],1,Table2[AwayTeam],$A66, Table2[HomeTeam], M$36) + SUMIFS(Table2[HomeWon_], Table2[GameIsOver],1,Table2[HomeTeam],$A66, Table2[AwayTeam], M$36) + SUMIFS(Table2[HomeWon_], Table2[GameIsOver],1,Table2[AwayTeam],$A66, Table2[HomeTeam], M$36, Table2[ActualResult], "REG") + SUMIFS(Table2[AwayWon], Table2[GameIsOver],1,Table2[HomeTeam],$A66, Table2[AwayTeam], M$36, Table2[ActualResult], "REG") + SUMIFS(Table2[HomeWon_], Table2[GameIsOver],1,Table2[AwayTeam],$A66, Table2[HomeTeam], M$36, Table2[ActualResult], "OT") + SUMIFS(Table2[AwayWon], Table2[GameIsOver],1,Table2[HomeTeam],$A66, Table2[AwayTeam], M$36, Table2[ActualResult], "OT") + SUMIFS(Table2[HomeWon_], Table2[GameIsOver],1,Table2[AwayTeam],$A66, Table2[HomeTeam], M$36, Table2[ActualResult], "SO") + SUMIFS(Table2[AwayWon], Table2[GameIsOver],1,Table2[HomeTeam],$A66, Table2[AwayTeam], M$36, Table2[ActualResult], "SO"))), "")</f>
        <v/>
      </c>
      <c r="N66">
        <f>IFERROR(((2*SUMIFS(Table2[AwayWon], Table2[GameIsOver],1,Table2[AwayTeam],$A66, Table2[HomeTeam], N$36) + SUMIFS(Table2[HomeWon_], Table2[GameIsOver],1,Table2[HomeTeam],$A66, Table2[AwayTeam], N$36)) + SUMIFS(Table2[AwayWon], Table2[GameIsOver],1,Table2[HomeTeam],$A66, Table2[AwayTeam], N$36, Table2[ActualResult], "REG") + SUMIFS(Table2[HomeWon_], Table2[GameIsOver],1,Table2[AwayTeam],$A66, Table2[HomeTeam], N$36, Table2[ActualResult], "OT") + SUMIFS(Table2[AwayWon], Table2[GameIsOver],1,Table2[HomeTeam],$A66, Table2[AwayTeam], N$36, Table2[ActualResult], "OT") + SUMIFS(Table2[HomeWon_], Table2[GameIsOver],1,Table2[AwayTeam],$A66, Table2[HomeTeam], N$36, Table2[ActualResult], "SO") + SUMIFS(Table2[AwayWon], Table2[GameIsOver],1,Table2[HomeTeam],$A66, Table2[AwayTeam], N$36, Table2[ActualResult], "SO")) / (2*(SUMIFS(Table2[AwayWon], Table2[GameIsOver],1,Table2[AwayTeam],$A66, Table2[HomeTeam], N$36) + SUMIFS(Table2[HomeWon_], Table2[GameIsOver],1,Table2[HomeTeam],$A66, Table2[AwayTeam], N$36) + SUMIFS(Table2[HomeWon_], Table2[GameIsOver],1,Table2[AwayTeam],$A66, Table2[HomeTeam], N$36, Table2[ActualResult], "REG") + SUMIFS(Table2[AwayWon], Table2[GameIsOver],1,Table2[HomeTeam],$A66, Table2[AwayTeam], N$36, Table2[ActualResult], "REG") + SUMIFS(Table2[HomeWon_], Table2[GameIsOver],1,Table2[AwayTeam],$A66, Table2[HomeTeam], N$36, Table2[ActualResult], "OT") + SUMIFS(Table2[AwayWon], Table2[GameIsOver],1,Table2[HomeTeam],$A66, Table2[AwayTeam], N$36, Table2[ActualResult], "OT") + SUMIFS(Table2[HomeWon_], Table2[GameIsOver],1,Table2[AwayTeam],$A66, Table2[HomeTeam], N$36, Table2[ActualResult], "SO") + SUMIFS(Table2[AwayWon], Table2[GameIsOver],1,Table2[HomeTeam],$A66, Table2[AwayTeam], N$36, Table2[ActualResult], "SO"))), "")</f>
        <v>0.5</v>
      </c>
      <c r="O66" t="str">
        <f>IFERROR(((2*SUMIFS(Table2[AwayWon], Table2[GameIsOver],1,Table2[AwayTeam],$A66, Table2[HomeTeam], O$36) + SUMIFS(Table2[HomeWon_], Table2[GameIsOver],1,Table2[HomeTeam],$A66, Table2[AwayTeam], O$36)) + SUMIFS(Table2[AwayWon], Table2[GameIsOver],1,Table2[HomeTeam],$A66, Table2[AwayTeam], O$36, Table2[ActualResult], "REG") + SUMIFS(Table2[HomeWon_], Table2[GameIsOver],1,Table2[AwayTeam],$A66, Table2[HomeTeam], O$36, Table2[ActualResult], "OT") + SUMIFS(Table2[AwayWon], Table2[GameIsOver],1,Table2[HomeTeam],$A66, Table2[AwayTeam], O$36, Table2[ActualResult], "OT") + SUMIFS(Table2[HomeWon_], Table2[GameIsOver],1,Table2[AwayTeam],$A66, Table2[HomeTeam], O$36, Table2[ActualResult], "SO") + SUMIFS(Table2[AwayWon], Table2[GameIsOver],1,Table2[HomeTeam],$A66, Table2[AwayTeam], O$36, Table2[ActualResult], "SO")) / (2*(SUMIFS(Table2[AwayWon], Table2[GameIsOver],1,Table2[AwayTeam],$A66, Table2[HomeTeam], O$36) + SUMIFS(Table2[HomeWon_], Table2[GameIsOver],1,Table2[HomeTeam],$A66, Table2[AwayTeam], O$36) + SUMIFS(Table2[HomeWon_], Table2[GameIsOver],1,Table2[AwayTeam],$A66, Table2[HomeTeam], O$36, Table2[ActualResult], "REG") + SUMIFS(Table2[AwayWon], Table2[GameIsOver],1,Table2[HomeTeam],$A66, Table2[AwayTeam], O$36, Table2[ActualResult], "REG") + SUMIFS(Table2[HomeWon_], Table2[GameIsOver],1,Table2[AwayTeam],$A66, Table2[HomeTeam], O$36, Table2[ActualResult], "OT") + SUMIFS(Table2[AwayWon], Table2[GameIsOver],1,Table2[HomeTeam],$A66, Table2[AwayTeam], O$36, Table2[ActualResult], "OT") + SUMIFS(Table2[HomeWon_], Table2[GameIsOver],1,Table2[AwayTeam],$A66, Table2[HomeTeam], O$36, Table2[ActualResult], "SO") + SUMIFS(Table2[AwayWon], Table2[GameIsOver],1,Table2[HomeTeam],$A66, Table2[AwayTeam], O$36, Table2[ActualResult], "SO"))), "")</f>
        <v/>
      </c>
      <c r="P66" t="str">
        <f>IFERROR(((2*SUMIFS(Table2[AwayWon], Table2[GameIsOver],1,Table2[AwayTeam],$A66, Table2[HomeTeam], P$36) + SUMIFS(Table2[HomeWon_], Table2[GameIsOver],1,Table2[HomeTeam],$A66, Table2[AwayTeam], P$36)) + SUMIFS(Table2[AwayWon], Table2[GameIsOver],1,Table2[HomeTeam],$A66, Table2[AwayTeam], P$36, Table2[ActualResult], "REG") + SUMIFS(Table2[HomeWon_], Table2[GameIsOver],1,Table2[AwayTeam],$A66, Table2[HomeTeam], P$36, Table2[ActualResult], "OT") + SUMIFS(Table2[AwayWon], Table2[GameIsOver],1,Table2[HomeTeam],$A66, Table2[AwayTeam], P$36, Table2[ActualResult], "OT") + SUMIFS(Table2[HomeWon_], Table2[GameIsOver],1,Table2[AwayTeam],$A66, Table2[HomeTeam], P$36, Table2[ActualResult], "SO") + SUMIFS(Table2[AwayWon], Table2[GameIsOver],1,Table2[HomeTeam],$A66, Table2[AwayTeam], P$36, Table2[ActualResult], "SO")) / (2*(SUMIFS(Table2[AwayWon], Table2[GameIsOver],1,Table2[AwayTeam],$A66, Table2[HomeTeam], P$36) + SUMIFS(Table2[HomeWon_], Table2[GameIsOver],1,Table2[HomeTeam],$A66, Table2[AwayTeam], P$36) + SUMIFS(Table2[HomeWon_], Table2[GameIsOver],1,Table2[AwayTeam],$A66, Table2[HomeTeam], P$36, Table2[ActualResult], "REG") + SUMIFS(Table2[AwayWon], Table2[GameIsOver],1,Table2[HomeTeam],$A66, Table2[AwayTeam], P$36, Table2[ActualResult], "REG") + SUMIFS(Table2[HomeWon_], Table2[GameIsOver],1,Table2[AwayTeam],$A66, Table2[HomeTeam], P$36, Table2[ActualResult], "OT") + SUMIFS(Table2[AwayWon], Table2[GameIsOver],1,Table2[HomeTeam],$A66, Table2[AwayTeam], P$36, Table2[ActualResult], "OT") + SUMIFS(Table2[HomeWon_], Table2[GameIsOver],1,Table2[AwayTeam],$A66, Table2[HomeTeam], P$36, Table2[ActualResult], "SO") + SUMIFS(Table2[AwayWon], Table2[GameIsOver],1,Table2[HomeTeam],$A66, Table2[AwayTeam], P$36, Table2[ActualResult], "SO"))), "")</f>
        <v/>
      </c>
      <c r="Q66" s="57" t="str">
        <f>IFERROR(((2*SUMIFS(Table2[AwayWon], Table2[GameIsOver],1,Table2[AwayTeam],$A66, Table2[HomeTeam], Q$36) + SUMIFS(Table2[HomeWon_], Table2[GameIsOver],1,Table2[HomeTeam],$A66, Table2[AwayTeam], Q$36)) + SUMIFS(Table2[AwayWon], Table2[GameIsOver],1,Table2[HomeTeam],$A66, Table2[AwayTeam], Q$36, Table2[ActualResult], "REG") + SUMIFS(Table2[HomeWon_], Table2[GameIsOver],1,Table2[AwayTeam],$A66, Table2[HomeTeam], Q$36, Table2[ActualResult], "OT") + SUMIFS(Table2[AwayWon], Table2[GameIsOver],1,Table2[HomeTeam],$A66, Table2[AwayTeam], Q$36, Table2[ActualResult], "OT") + SUMIFS(Table2[HomeWon_], Table2[GameIsOver],1,Table2[AwayTeam],$A66, Table2[HomeTeam], Q$36, Table2[ActualResult], "SO") + SUMIFS(Table2[AwayWon], Table2[GameIsOver],1,Table2[HomeTeam],$A66, Table2[AwayTeam], Q$36, Table2[ActualResult], "SO")) / (2*(SUMIFS(Table2[AwayWon], Table2[GameIsOver],1,Table2[AwayTeam],$A66, Table2[HomeTeam], Q$36) + SUMIFS(Table2[HomeWon_], Table2[GameIsOver],1,Table2[HomeTeam],$A66, Table2[AwayTeam], Q$36) + SUMIFS(Table2[HomeWon_], Table2[GameIsOver],1,Table2[AwayTeam],$A66, Table2[HomeTeam], Q$36, Table2[ActualResult], "REG") + SUMIFS(Table2[AwayWon], Table2[GameIsOver],1,Table2[HomeTeam],$A66, Table2[AwayTeam], Q$36, Table2[ActualResult], "REG") + SUMIFS(Table2[HomeWon_], Table2[GameIsOver],1,Table2[AwayTeam],$A66, Table2[HomeTeam], Q$36, Table2[ActualResult], "OT") + SUMIFS(Table2[AwayWon], Table2[GameIsOver],1,Table2[HomeTeam],$A66, Table2[AwayTeam], Q$36, Table2[ActualResult], "OT") + SUMIFS(Table2[HomeWon_], Table2[GameIsOver],1,Table2[AwayTeam],$A66, Table2[HomeTeam], Q$36, Table2[ActualResult], "SO") + SUMIFS(Table2[AwayWon], Table2[GameIsOver],1,Table2[HomeTeam],$A66, Table2[AwayTeam], Q$36, Table2[ActualResult], "SO"))), "")</f>
        <v/>
      </c>
      <c r="R66" t="str">
        <f>IFERROR(((2*SUMIFS(Table2[AwayWon], Table2[GameIsOver],1,Table2[AwayTeam],$A66, Table2[HomeTeam], R$36) + SUMIFS(Table2[HomeWon_], Table2[GameIsOver],1,Table2[HomeTeam],$A66, Table2[AwayTeam], R$36)) + SUMIFS(Table2[AwayWon], Table2[GameIsOver],1,Table2[HomeTeam],$A66, Table2[AwayTeam], R$36, Table2[ActualResult], "REG") + SUMIFS(Table2[HomeWon_], Table2[GameIsOver],1,Table2[AwayTeam],$A66, Table2[HomeTeam], R$36, Table2[ActualResult], "OT") + SUMIFS(Table2[AwayWon], Table2[GameIsOver],1,Table2[HomeTeam],$A66, Table2[AwayTeam], R$36, Table2[ActualResult], "OT") + SUMIFS(Table2[HomeWon_], Table2[GameIsOver],1,Table2[AwayTeam],$A66, Table2[HomeTeam], R$36, Table2[ActualResult], "SO") + SUMIFS(Table2[AwayWon], Table2[GameIsOver],1,Table2[HomeTeam],$A66, Table2[AwayTeam], R$36, Table2[ActualResult], "SO")) / (2*(SUMIFS(Table2[AwayWon], Table2[GameIsOver],1,Table2[AwayTeam],$A66, Table2[HomeTeam], R$36) + SUMIFS(Table2[HomeWon_], Table2[GameIsOver],1,Table2[HomeTeam],$A66, Table2[AwayTeam], R$36) + SUMIFS(Table2[HomeWon_], Table2[GameIsOver],1,Table2[AwayTeam],$A66, Table2[HomeTeam], R$36, Table2[ActualResult], "REG") + SUMIFS(Table2[AwayWon], Table2[GameIsOver],1,Table2[HomeTeam],$A66, Table2[AwayTeam], R$36, Table2[ActualResult], "REG") + SUMIFS(Table2[HomeWon_], Table2[GameIsOver],1,Table2[AwayTeam],$A66, Table2[HomeTeam], R$36, Table2[ActualResult], "OT") + SUMIFS(Table2[AwayWon], Table2[GameIsOver],1,Table2[HomeTeam],$A66, Table2[AwayTeam], R$36, Table2[ActualResult], "OT") + SUMIFS(Table2[HomeWon_], Table2[GameIsOver],1,Table2[AwayTeam],$A66, Table2[HomeTeam], R$36, Table2[ActualResult], "SO") + SUMIFS(Table2[AwayWon], Table2[GameIsOver],1,Table2[HomeTeam],$A66, Table2[AwayTeam], R$36, Table2[ActualResult], "SO"))), "")</f>
        <v/>
      </c>
      <c r="S66" t="str">
        <f>IFERROR(((2*SUMIFS(Table2[AwayWon], Table2[GameIsOver],1,Table2[AwayTeam],$A66, Table2[HomeTeam], S$36) + SUMIFS(Table2[HomeWon_], Table2[GameIsOver],1,Table2[HomeTeam],$A66, Table2[AwayTeam], S$36)) + SUMIFS(Table2[AwayWon], Table2[GameIsOver],1,Table2[HomeTeam],$A66, Table2[AwayTeam], S$36, Table2[ActualResult], "REG") + SUMIFS(Table2[HomeWon_], Table2[GameIsOver],1,Table2[AwayTeam],$A66, Table2[HomeTeam], S$36, Table2[ActualResult], "OT") + SUMIFS(Table2[AwayWon], Table2[GameIsOver],1,Table2[HomeTeam],$A66, Table2[AwayTeam], S$36, Table2[ActualResult], "OT") + SUMIFS(Table2[HomeWon_], Table2[GameIsOver],1,Table2[AwayTeam],$A66, Table2[HomeTeam], S$36, Table2[ActualResult], "SO") + SUMIFS(Table2[AwayWon], Table2[GameIsOver],1,Table2[HomeTeam],$A66, Table2[AwayTeam], S$36, Table2[ActualResult], "SO")) / (2*(SUMIFS(Table2[AwayWon], Table2[GameIsOver],1,Table2[AwayTeam],$A66, Table2[HomeTeam], S$36) + SUMIFS(Table2[HomeWon_], Table2[GameIsOver],1,Table2[HomeTeam],$A66, Table2[AwayTeam], S$36) + SUMIFS(Table2[HomeWon_], Table2[GameIsOver],1,Table2[AwayTeam],$A66, Table2[HomeTeam], S$36, Table2[ActualResult], "REG") + SUMIFS(Table2[AwayWon], Table2[GameIsOver],1,Table2[HomeTeam],$A66, Table2[AwayTeam], S$36, Table2[ActualResult], "REG") + SUMIFS(Table2[HomeWon_], Table2[GameIsOver],1,Table2[AwayTeam],$A66, Table2[HomeTeam], S$36, Table2[ActualResult], "OT") + SUMIFS(Table2[AwayWon], Table2[GameIsOver],1,Table2[HomeTeam],$A66, Table2[AwayTeam], S$36, Table2[ActualResult], "OT") + SUMIFS(Table2[HomeWon_], Table2[GameIsOver],1,Table2[AwayTeam],$A66, Table2[HomeTeam], S$36, Table2[ActualResult], "SO") + SUMIFS(Table2[AwayWon], Table2[GameIsOver],1,Table2[HomeTeam],$A66, Table2[AwayTeam], S$36, Table2[ActualResult], "SO"))), "")</f>
        <v/>
      </c>
      <c r="T66" t="str">
        <f>IFERROR(((2*SUMIFS(Table2[AwayWon], Table2[GameIsOver],1,Table2[AwayTeam],$A66, Table2[HomeTeam], T$36) + SUMIFS(Table2[HomeWon_], Table2[GameIsOver],1,Table2[HomeTeam],$A66, Table2[AwayTeam], T$36)) + SUMIFS(Table2[AwayWon], Table2[GameIsOver],1,Table2[HomeTeam],$A66, Table2[AwayTeam], T$36, Table2[ActualResult], "REG") + SUMIFS(Table2[HomeWon_], Table2[GameIsOver],1,Table2[AwayTeam],$A66, Table2[HomeTeam], T$36, Table2[ActualResult], "OT") + SUMIFS(Table2[AwayWon], Table2[GameIsOver],1,Table2[HomeTeam],$A66, Table2[AwayTeam], T$36, Table2[ActualResult], "OT") + SUMIFS(Table2[HomeWon_], Table2[GameIsOver],1,Table2[AwayTeam],$A66, Table2[HomeTeam], T$36, Table2[ActualResult], "SO") + SUMIFS(Table2[AwayWon], Table2[GameIsOver],1,Table2[HomeTeam],$A66, Table2[AwayTeam], T$36, Table2[ActualResult], "SO")) / (2*(SUMIFS(Table2[AwayWon], Table2[GameIsOver],1,Table2[AwayTeam],$A66, Table2[HomeTeam], T$36) + SUMIFS(Table2[HomeWon_], Table2[GameIsOver],1,Table2[HomeTeam],$A66, Table2[AwayTeam], T$36) + SUMIFS(Table2[HomeWon_], Table2[GameIsOver],1,Table2[AwayTeam],$A66, Table2[HomeTeam], T$36, Table2[ActualResult], "REG") + SUMIFS(Table2[AwayWon], Table2[GameIsOver],1,Table2[HomeTeam],$A66, Table2[AwayTeam], T$36, Table2[ActualResult], "REG") + SUMIFS(Table2[HomeWon_], Table2[GameIsOver],1,Table2[AwayTeam],$A66, Table2[HomeTeam], T$36, Table2[ActualResult], "OT") + SUMIFS(Table2[AwayWon], Table2[GameIsOver],1,Table2[HomeTeam],$A66, Table2[AwayTeam], T$36, Table2[ActualResult], "OT") + SUMIFS(Table2[HomeWon_], Table2[GameIsOver],1,Table2[AwayTeam],$A66, Table2[HomeTeam], T$36, Table2[ActualResult], "SO") + SUMIFS(Table2[AwayWon], Table2[GameIsOver],1,Table2[HomeTeam],$A66, Table2[AwayTeam], T$36, Table2[ActualResult], "SO"))), "")</f>
        <v/>
      </c>
      <c r="U66">
        <f>IFERROR(((2*SUMIFS(Table2[AwayWon], Table2[GameIsOver],1,Table2[AwayTeam],$A66, Table2[HomeTeam], U$36) + SUMIFS(Table2[HomeWon_], Table2[GameIsOver],1,Table2[HomeTeam],$A66, Table2[AwayTeam], U$36)) + SUMIFS(Table2[AwayWon], Table2[GameIsOver],1,Table2[HomeTeam],$A66, Table2[AwayTeam], U$36, Table2[ActualResult], "REG") + SUMIFS(Table2[HomeWon_], Table2[GameIsOver],1,Table2[AwayTeam],$A66, Table2[HomeTeam], U$36, Table2[ActualResult], "OT") + SUMIFS(Table2[AwayWon], Table2[GameIsOver],1,Table2[HomeTeam],$A66, Table2[AwayTeam], U$36, Table2[ActualResult], "OT") + SUMIFS(Table2[HomeWon_], Table2[GameIsOver],1,Table2[AwayTeam],$A66, Table2[HomeTeam], U$36, Table2[ActualResult], "SO") + SUMIFS(Table2[AwayWon], Table2[GameIsOver],1,Table2[HomeTeam],$A66, Table2[AwayTeam], U$36, Table2[ActualResult], "SO")) / (2*(SUMIFS(Table2[AwayWon], Table2[GameIsOver],1,Table2[AwayTeam],$A66, Table2[HomeTeam], U$36) + SUMIFS(Table2[HomeWon_], Table2[GameIsOver],1,Table2[HomeTeam],$A66, Table2[AwayTeam], U$36) + SUMIFS(Table2[HomeWon_], Table2[GameIsOver],1,Table2[AwayTeam],$A66, Table2[HomeTeam], U$36, Table2[ActualResult], "REG") + SUMIFS(Table2[AwayWon], Table2[GameIsOver],1,Table2[HomeTeam],$A66, Table2[AwayTeam], U$36, Table2[ActualResult], "REG") + SUMIFS(Table2[HomeWon_], Table2[GameIsOver],1,Table2[AwayTeam],$A66, Table2[HomeTeam], U$36, Table2[ActualResult], "OT") + SUMIFS(Table2[AwayWon], Table2[GameIsOver],1,Table2[HomeTeam],$A66, Table2[AwayTeam], U$36, Table2[ActualResult], "OT") + SUMIFS(Table2[HomeWon_], Table2[GameIsOver],1,Table2[AwayTeam],$A66, Table2[HomeTeam], U$36, Table2[ActualResult], "SO") + SUMIFS(Table2[AwayWon], Table2[GameIsOver],1,Table2[HomeTeam],$A66, Table2[AwayTeam], U$36, Table2[ActualResult], "SO"))), "")</f>
        <v>0.5</v>
      </c>
      <c r="V66" t="str">
        <f>IFERROR(((2*SUMIFS(Table2[AwayWon], Table2[GameIsOver],1,Table2[AwayTeam],$A66, Table2[HomeTeam], V$36) + SUMIFS(Table2[HomeWon_], Table2[GameIsOver],1,Table2[HomeTeam],$A66, Table2[AwayTeam], V$36)) + SUMIFS(Table2[AwayWon], Table2[GameIsOver],1,Table2[HomeTeam],$A66, Table2[AwayTeam], V$36, Table2[ActualResult], "REG") + SUMIFS(Table2[HomeWon_], Table2[GameIsOver],1,Table2[AwayTeam],$A66, Table2[HomeTeam], V$36, Table2[ActualResult], "OT") + SUMIFS(Table2[AwayWon], Table2[GameIsOver],1,Table2[HomeTeam],$A66, Table2[AwayTeam], V$36, Table2[ActualResult], "OT") + SUMIFS(Table2[HomeWon_], Table2[GameIsOver],1,Table2[AwayTeam],$A66, Table2[HomeTeam], V$36, Table2[ActualResult], "SO") + SUMIFS(Table2[AwayWon], Table2[GameIsOver],1,Table2[HomeTeam],$A66, Table2[AwayTeam], V$36, Table2[ActualResult], "SO")) / (2*(SUMIFS(Table2[AwayWon], Table2[GameIsOver],1,Table2[AwayTeam],$A66, Table2[HomeTeam], V$36) + SUMIFS(Table2[HomeWon_], Table2[GameIsOver],1,Table2[HomeTeam],$A66, Table2[AwayTeam], V$36) + SUMIFS(Table2[HomeWon_], Table2[GameIsOver],1,Table2[AwayTeam],$A66, Table2[HomeTeam], V$36, Table2[ActualResult], "REG") + SUMIFS(Table2[AwayWon], Table2[GameIsOver],1,Table2[HomeTeam],$A66, Table2[AwayTeam], V$36, Table2[ActualResult], "REG") + SUMIFS(Table2[HomeWon_], Table2[GameIsOver],1,Table2[AwayTeam],$A66, Table2[HomeTeam], V$36, Table2[ActualResult], "OT") + SUMIFS(Table2[AwayWon], Table2[GameIsOver],1,Table2[HomeTeam],$A66, Table2[AwayTeam], V$36, Table2[ActualResult], "OT") + SUMIFS(Table2[HomeWon_], Table2[GameIsOver],1,Table2[AwayTeam],$A66, Table2[HomeTeam], V$36, Table2[ActualResult], "SO") + SUMIFS(Table2[AwayWon], Table2[GameIsOver],1,Table2[HomeTeam],$A66, Table2[AwayTeam], V$36, Table2[ActualResult], "SO"))), "")</f>
        <v/>
      </c>
      <c r="W66" t="str">
        <f>IFERROR(((2*SUMIFS(Table2[AwayWon], Table2[GameIsOver],1,Table2[AwayTeam],$A66, Table2[HomeTeam], W$36) + SUMIFS(Table2[HomeWon_], Table2[GameIsOver],1,Table2[HomeTeam],$A66, Table2[AwayTeam], W$36)) + SUMIFS(Table2[AwayWon], Table2[GameIsOver],1,Table2[HomeTeam],$A66, Table2[AwayTeam], W$36, Table2[ActualResult], "REG") + SUMIFS(Table2[HomeWon_], Table2[GameIsOver],1,Table2[AwayTeam],$A66, Table2[HomeTeam], W$36, Table2[ActualResult], "OT") + SUMIFS(Table2[AwayWon], Table2[GameIsOver],1,Table2[HomeTeam],$A66, Table2[AwayTeam], W$36, Table2[ActualResult], "OT") + SUMIFS(Table2[HomeWon_], Table2[GameIsOver],1,Table2[AwayTeam],$A66, Table2[HomeTeam], W$36, Table2[ActualResult], "SO") + SUMIFS(Table2[AwayWon], Table2[GameIsOver],1,Table2[HomeTeam],$A66, Table2[AwayTeam], W$36, Table2[ActualResult], "SO")) / (2*(SUMIFS(Table2[AwayWon], Table2[GameIsOver],1,Table2[AwayTeam],$A66, Table2[HomeTeam], W$36) + SUMIFS(Table2[HomeWon_], Table2[GameIsOver],1,Table2[HomeTeam],$A66, Table2[AwayTeam], W$36) + SUMIFS(Table2[HomeWon_], Table2[GameIsOver],1,Table2[AwayTeam],$A66, Table2[HomeTeam], W$36, Table2[ActualResult], "REG") + SUMIFS(Table2[AwayWon], Table2[GameIsOver],1,Table2[HomeTeam],$A66, Table2[AwayTeam], W$36, Table2[ActualResult], "REG") + SUMIFS(Table2[HomeWon_], Table2[GameIsOver],1,Table2[AwayTeam],$A66, Table2[HomeTeam], W$36, Table2[ActualResult], "OT") + SUMIFS(Table2[AwayWon], Table2[GameIsOver],1,Table2[HomeTeam],$A66, Table2[AwayTeam], W$36, Table2[ActualResult], "OT") + SUMIFS(Table2[HomeWon_], Table2[GameIsOver],1,Table2[AwayTeam],$A66, Table2[HomeTeam], W$36, Table2[ActualResult], "SO") + SUMIFS(Table2[AwayWon], Table2[GameIsOver],1,Table2[HomeTeam],$A66, Table2[AwayTeam], W$36, Table2[ActualResult], "SO"))), "")</f>
        <v/>
      </c>
      <c r="X66" t="str">
        <f>IFERROR(((2*SUMIFS(Table2[AwayWon], Table2[GameIsOver],1,Table2[AwayTeam],$A66, Table2[HomeTeam], X$36) + SUMIFS(Table2[HomeWon_], Table2[GameIsOver],1,Table2[HomeTeam],$A66, Table2[AwayTeam], X$36)) + SUMIFS(Table2[AwayWon], Table2[GameIsOver],1,Table2[HomeTeam],$A66, Table2[AwayTeam], X$36, Table2[ActualResult], "REG") + SUMIFS(Table2[HomeWon_], Table2[GameIsOver],1,Table2[AwayTeam],$A66, Table2[HomeTeam], X$36, Table2[ActualResult], "OT") + SUMIFS(Table2[AwayWon], Table2[GameIsOver],1,Table2[HomeTeam],$A66, Table2[AwayTeam], X$36, Table2[ActualResult], "OT") + SUMIFS(Table2[HomeWon_], Table2[GameIsOver],1,Table2[AwayTeam],$A66, Table2[HomeTeam], X$36, Table2[ActualResult], "SO") + SUMIFS(Table2[AwayWon], Table2[GameIsOver],1,Table2[HomeTeam],$A66, Table2[AwayTeam], X$36, Table2[ActualResult], "SO")) / (2*(SUMIFS(Table2[AwayWon], Table2[GameIsOver],1,Table2[AwayTeam],$A66, Table2[HomeTeam], X$36) + SUMIFS(Table2[HomeWon_], Table2[GameIsOver],1,Table2[HomeTeam],$A66, Table2[AwayTeam], X$36) + SUMIFS(Table2[HomeWon_], Table2[GameIsOver],1,Table2[AwayTeam],$A66, Table2[HomeTeam], X$36, Table2[ActualResult], "REG") + SUMIFS(Table2[AwayWon], Table2[GameIsOver],1,Table2[HomeTeam],$A66, Table2[AwayTeam], X$36, Table2[ActualResult], "REG") + SUMIFS(Table2[HomeWon_], Table2[GameIsOver],1,Table2[AwayTeam],$A66, Table2[HomeTeam], X$36, Table2[ActualResult], "OT") + SUMIFS(Table2[AwayWon], Table2[GameIsOver],1,Table2[HomeTeam],$A66, Table2[AwayTeam], X$36, Table2[ActualResult], "OT") + SUMIFS(Table2[HomeWon_], Table2[GameIsOver],1,Table2[AwayTeam],$A66, Table2[HomeTeam], X$36, Table2[ActualResult], "SO") + SUMIFS(Table2[AwayWon], Table2[GameIsOver],1,Table2[HomeTeam],$A66, Table2[AwayTeam], X$36, Table2[ActualResult], "SO"))), "")</f>
        <v/>
      </c>
      <c r="Y66" s="57" t="str">
        <f>IFERROR(((2*SUMIFS(Table2[AwayWon], Table2[GameIsOver],1,Table2[AwayTeam],$A66, Table2[HomeTeam], Y$36) + SUMIFS(Table2[HomeWon_], Table2[GameIsOver],1,Table2[HomeTeam],$A66, Table2[AwayTeam], Y$36)) + SUMIFS(Table2[AwayWon], Table2[GameIsOver],1,Table2[HomeTeam],$A66, Table2[AwayTeam], Y$36, Table2[ActualResult], "REG") + SUMIFS(Table2[HomeWon_], Table2[GameIsOver],1,Table2[AwayTeam],$A66, Table2[HomeTeam], Y$36, Table2[ActualResult], "OT") + SUMIFS(Table2[AwayWon], Table2[GameIsOver],1,Table2[HomeTeam],$A66, Table2[AwayTeam], Y$36, Table2[ActualResult], "OT") + SUMIFS(Table2[HomeWon_], Table2[GameIsOver],1,Table2[AwayTeam],$A66, Table2[HomeTeam], Y$36, Table2[ActualResult], "SO") + SUMIFS(Table2[AwayWon], Table2[GameIsOver],1,Table2[HomeTeam],$A66, Table2[AwayTeam], Y$36, Table2[ActualResult], "SO")) / (2*(SUMIFS(Table2[AwayWon], Table2[GameIsOver],1,Table2[AwayTeam],$A66, Table2[HomeTeam], Y$36) + SUMIFS(Table2[HomeWon_], Table2[GameIsOver],1,Table2[HomeTeam],$A66, Table2[AwayTeam], Y$36) + SUMIFS(Table2[HomeWon_], Table2[GameIsOver],1,Table2[AwayTeam],$A66, Table2[HomeTeam], Y$36, Table2[ActualResult], "REG") + SUMIFS(Table2[AwayWon], Table2[GameIsOver],1,Table2[HomeTeam],$A66, Table2[AwayTeam], Y$36, Table2[ActualResult], "REG") + SUMIFS(Table2[HomeWon_], Table2[GameIsOver],1,Table2[AwayTeam],$A66, Table2[HomeTeam], Y$36, Table2[ActualResult], "OT") + SUMIFS(Table2[AwayWon], Table2[GameIsOver],1,Table2[HomeTeam],$A66, Table2[AwayTeam], Y$36, Table2[ActualResult], "OT") + SUMIFS(Table2[HomeWon_], Table2[GameIsOver],1,Table2[AwayTeam],$A66, Table2[HomeTeam], Y$36, Table2[ActualResult], "SO") + SUMIFS(Table2[AwayWon], Table2[GameIsOver],1,Table2[HomeTeam],$A66, Table2[AwayTeam], Y$36, Table2[ActualResult], "SO"))), "")</f>
        <v/>
      </c>
      <c r="Z66" t="str">
        <f>IFERROR(((2*SUMIFS(Table2[AwayWon], Table2[GameIsOver],1,Table2[AwayTeam],$A66, Table2[HomeTeam], Z$36) + SUMIFS(Table2[HomeWon_], Table2[GameIsOver],1,Table2[HomeTeam],$A66, Table2[AwayTeam], Z$36)) + SUMIFS(Table2[AwayWon], Table2[GameIsOver],1,Table2[HomeTeam],$A66, Table2[AwayTeam], Z$36, Table2[ActualResult], "REG") + SUMIFS(Table2[HomeWon_], Table2[GameIsOver],1,Table2[AwayTeam],$A66, Table2[HomeTeam], Z$36, Table2[ActualResult], "OT") + SUMIFS(Table2[AwayWon], Table2[GameIsOver],1,Table2[HomeTeam],$A66, Table2[AwayTeam], Z$36, Table2[ActualResult], "OT") + SUMIFS(Table2[HomeWon_], Table2[GameIsOver],1,Table2[AwayTeam],$A66, Table2[HomeTeam], Z$36, Table2[ActualResult], "SO") + SUMIFS(Table2[AwayWon], Table2[GameIsOver],1,Table2[HomeTeam],$A66, Table2[AwayTeam], Z$36, Table2[ActualResult], "SO")) / (2*(SUMIFS(Table2[AwayWon], Table2[GameIsOver],1,Table2[AwayTeam],$A66, Table2[HomeTeam], Z$36) + SUMIFS(Table2[HomeWon_], Table2[GameIsOver],1,Table2[HomeTeam],$A66, Table2[AwayTeam], Z$36) + SUMIFS(Table2[HomeWon_], Table2[GameIsOver],1,Table2[AwayTeam],$A66, Table2[HomeTeam], Z$36, Table2[ActualResult], "REG") + SUMIFS(Table2[AwayWon], Table2[GameIsOver],1,Table2[HomeTeam],$A66, Table2[AwayTeam], Z$36, Table2[ActualResult], "REG") + SUMIFS(Table2[HomeWon_], Table2[GameIsOver],1,Table2[AwayTeam],$A66, Table2[HomeTeam], Z$36, Table2[ActualResult], "OT") + SUMIFS(Table2[AwayWon], Table2[GameIsOver],1,Table2[HomeTeam],$A66, Table2[AwayTeam], Z$36, Table2[ActualResult], "OT") + SUMIFS(Table2[HomeWon_], Table2[GameIsOver],1,Table2[AwayTeam],$A66, Table2[HomeTeam], Z$36, Table2[ActualResult], "SO") + SUMIFS(Table2[AwayWon], Table2[GameIsOver],1,Table2[HomeTeam],$A66, Table2[AwayTeam], Z$36, Table2[ActualResult], "SO"))), "")</f>
        <v/>
      </c>
      <c r="AA66">
        <f>IFERROR(((2*SUMIFS(Table2[AwayWon], Table2[GameIsOver],1,Table2[AwayTeam],$A66, Table2[HomeTeam], AA$36) + SUMIFS(Table2[HomeWon_], Table2[GameIsOver],1,Table2[HomeTeam],$A66, Table2[AwayTeam], AA$36)) + SUMIFS(Table2[AwayWon], Table2[GameIsOver],1,Table2[HomeTeam],$A66, Table2[AwayTeam], AA$36, Table2[ActualResult], "REG") + SUMIFS(Table2[HomeWon_], Table2[GameIsOver],1,Table2[AwayTeam],$A66, Table2[HomeTeam], AA$36, Table2[ActualResult], "OT") + SUMIFS(Table2[AwayWon], Table2[GameIsOver],1,Table2[HomeTeam],$A66, Table2[AwayTeam], AA$36, Table2[ActualResult], "OT") + SUMIFS(Table2[HomeWon_], Table2[GameIsOver],1,Table2[AwayTeam],$A66, Table2[HomeTeam], AA$36, Table2[ActualResult], "SO") + SUMIFS(Table2[AwayWon], Table2[GameIsOver],1,Table2[HomeTeam],$A66, Table2[AwayTeam], AA$36, Table2[ActualResult], "SO")) / (2*(SUMIFS(Table2[AwayWon], Table2[GameIsOver],1,Table2[AwayTeam],$A66, Table2[HomeTeam], AA$36) + SUMIFS(Table2[HomeWon_], Table2[GameIsOver],1,Table2[HomeTeam],$A66, Table2[AwayTeam], AA$36) + SUMIFS(Table2[HomeWon_], Table2[GameIsOver],1,Table2[AwayTeam],$A66, Table2[HomeTeam], AA$36, Table2[ActualResult], "REG") + SUMIFS(Table2[AwayWon], Table2[GameIsOver],1,Table2[HomeTeam],$A66, Table2[AwayTeam], AA$36, Table2[ActualResult], "REG") + SUMIFS(Table2[HomeWon_], Table2[GameIsOver],1,Table2[AwayTeam],$A66, Table2[HomeTeam], AA$36, Table2[ActualResult], "OT") + SUMIFS(Table2[AwayWon], Table2[GameIsOver],1,Table2[HomeTeam],$A66, Table2[AwayTeam], AA$36, Table2[ActualResult], "OT") + SUMIFS(Table2[HomeWon_], Table2[GameIsOver],1,Table2[AwayTeam],$A66, Table2[HomeTeam], AA$36, Table2[ActualResult], "SO") + SUMIFS(Table2[AwayWon], Table2[GameIsOver],1,Table2[HomeTeam],$A66, Table2[AwayTeam], AA$36, Table2[ActualResult], "SO"))), "")</f>
        <v>0</v>
      </c>
      <c r="AB66" t="str">
        <f>IFERROR(((2*SUMIFS(Table2[AwayWon], Table2[GameIsOver],1,Table2[AwayTeam],$A66, Table2[HomeTeam], AB$36) + SUMIFS(Table2[HomeWon_], Table2[GameIsOver],1,Table2[HomeTeam],$A66, Table2[AwayTeam], AB$36)) + SUMIFS(Table2[AwayWon], Table2[GameIsOver],1,Table2[HomeTeam],$A66, Table2[AwayTeam], AB$36, Table2[ActualResult], "REG") + SUMIFS(Table2[HomeWon_], Table2[GameIsOver],1,Table2[AwayTeam],$A66, Table2[HomeTeam], AB$36, Table2[ActualResult], "OT") + SUMIFS(Table2[AwayWon], Table2[GameIsOver],1,Table2[HomeTeam],$A66, Table2[AwayTeam], AB$36, Table2[ActualResult], "OT") + SUMIFS(Table2[HomeWon_], Table2[GameIsOver],1,Table2[AwayTeam],$A66, Table2[HomeTeam], AB$36, Table2[ActualResult], "SO") + SUMIFS(Table2[AwayWon], Table2[GameIsOver],1,Table2[HomeTeam],$A66, Table2[AwayTeam], AB$36, Table2[ActualResult], "SO")) / (2*(SUMIFS(Table2[AwayWon], Table2[GameIsOver],1,Table2[AwayTeam],$A66, Table2[HomeTeam], AB$36) + SUMIFS(Table2[HomeWon_], Table2[GameIsOver],1,Table2[HomeTeam],$A66, Table2[AwayTeam], AB$36) + SUMIFS(Table2[HomeWon_], Table2[GameIsOver],1,Table2[AwayTeam],$A66, Table2[HomeTeam], AB$36, Table2[ActualResult], "REG") + SUMIFS(Table2[AwayWon], Table2[GameIsOver],1,Table2[HomeTeam],$A66, Table2[AwayTeam], AB$36, Table2[ActualResult], "REG") + SUMIFS(Table2[HomeWon_], Table2[GameIsOver],1,Table2[AwayTeam],$A66, Table2[HomeTeam], AB$36, Table2[ActualResult], "OT") + SUMIFS(Table2[AwayWon], Table2[GameIsOver],1,Table2[HomeTeam],$A66, Table2[AwayTeam], AB$36, Table2[ActualResult], "OT") + SUMIFS(Table2[HomeWon_], Table2[GameIsOver],1,Table2[AwayTeam],$A66, Table2[HomeTeam], AB$36, Table2[ActualResult], "SO") + SUMIFS(Table2[AwayWon], Table2[GameIsOver],1,Table2[HomeTeam],$A66, Table2[AwayTeam], AB$36, Table2[ActualResult], "SO"))), "")</f>
        <v/>
      </c>
      <c r="AC66">
        <f>IFERROR(((2*SUMIFS(Table2[AwayWon], Table2[GameIsOver],1,Table2[AwayTeam],$A66, Table2[HomeTeam], AC$36) + SUMIFS(Table2[HomeWon_], Table2[GameIsOver],1,Table2[HomeTeam],$A66, Table2[AwayTeam], AC$36)) + SUMIFS(Table2[AwayWon], Table2[GameIsOver],1,Table2[HomeTeam],$A66, Table2[AwayTeam], AC$36, Table2[ActualResult], "REG") + SUMIFS(Table2[HomeWon_], Table2[GameIsOver],1,Table2[AwayTeam],$A66, Table2[HomeTeam], AC$36, Table2[ActualResult], "OT") + SUMIFS(Table2[AwayWon], Table2[GameIsOver],1,Table2[HomeTeam],$A66, Table2[AwayTeam], AC$36, Table2[ActualResult], "OT") + SUMIFS(Table2[HomeWon_], Table2[GameIsOver],1,Table2[AwayTeam],$A66, Table2[HomeTeam], AC$36, Table2[ActualResult], "SO") + SUMIFS(Table2[AwayWon], Table2[GameIsOver],1,Table2[HomeTeam],$A66, Table2[AwayTeam], AC$36, Table2[ActualResult], "SO")) / (2*(SUMIFS(Table2[AwayWon], Table2[GameIsOver],1,Table2[AwayTeam],$A66, Table2[HomeTeam], AC$36) + SUMIFS(Table2[HomeWon_], Table2[GameIsOver],1,Table2[HomeTeam],$A66, Table2[AwayTeam], AC$36) + SUMIFS(Table2[HomeWon_], Table2[GameIsOver],1,Table2[AwayTeam],$A66, Table2[HomeTeam], AC$36, Table2[ActualResult], "REG") + SUMIFS(Table2[AwayWon], Table2[GameIsOver],1,Table2[HomeTeam],$A66, Table2[AwayTeam], AC$36, Table2[ActualResult], "REG") + SUMIFS(Table2[HomeWon_], Table2[GameIsOver],1,Table2[AwayTeam],$A66, Table2[HomeTeam], AC$36, Table2[ActualResult], "OT") + SUMIFS(Table2[AwayWon], Table2[GameIsOver],1,Table2[HomeTeam],$A66, Table2[AwayTeam], AC$36, Table2[ActualResult], "OT") + SUMIFS(Table2[HomeWon_], Table2[GameIsOver],1,Table2[AwayTeam],$A66, Table2[HomeTeam], AC$36, Table2[ActualResult], "SO") + SUMIFS(Table2[AwayWon], Table2[GameIsOver],1,Table2[HomeTeam],$A66, Table2[AwayTeam], AC$36, Table2[ActualResult], "SO"))), "")</f>
        <v>0</v>
      </c>
      <c r="AD66" t="str">
        <f>IFERROR(((2*SUMIFS(Table2[AwayWon], Table2[GameIsOver],1,Table2[AwayTeam],$A66, Table2[HomeTeam], AD$36) + SUMIFS(Table2[HomeWon_], Table2[GameIsOver],1,Table2[HomeTeam],$A66, Table2[AwayTeam], AD$36)) + SUMIFS(Table2[AwayWon], Table2[GameIsOver],1,Table2[HomeTeam],$A66, Table2[AwayTeam], AD$36, Table2[ActualResult], "REG") + SUMIFS(Table2[HomeWon_], Table2[GameIsOver],1,Table2[AwayTeam],$A66, Table2[HomeTeam], AD$36, Table2[ActualResult], "OT") + SUMIFS(Table2[AwayWon], Table2[GameIsOver],1,Table2[HomeTeam],$A66, Table2[AwayTeam], AD$36, Table2[ActualResult], "OT") + SUMIFS(Table2[HomeWon_], Table2[GameIsOver],1,Table2[AwayTeam],$A66, Table2[HomeTeam], AD$36, Table2[ActualResult], "SO") + SUMIFS(Table2[AwayWon], Table2[GameIsOver],1,Table2[HomeTeam],$A66, Table2[AwayTeam], AD$36, Table2[ActualResult], "SO")) / (2*(SUMIFS(Table2[AwayWon], Table2[GameIsOver],1,Table2[AwayTeam],$A66, Table2[HomeTeam], AD$36) + SUMIFS(Table2[HomeWon_], Table2[GameIsOver],1,Table2[HomeTeam],$A66, Table2[AwayTeam], AD$36) + SUMIFS(Table2[HomeWon_], Table2[GameIsOver],1,Table2[AwayTeam],$A66, Table2[HomeTeam], AD$36, Table2[ActualResult], "REG") + SUMIFS(Table2[AwayWon], Table2[GameIsOver],1,Table2[HomeTeam],$A66, Table2[AwayTeam], AD$36, Table2[ActualResult], "REG") + SUMIFS(Table2[HomeWon_], Table2[GameIsOver],1,Table2[AwayTeam],$A66, Table2[HomeTeam], AD$36, Table2[ActualResult], "OT") + SUMIFS(Table2[AwayWon], Table2[GameIsOver],1,Table2[HomeTeam],$A66, Table2[AwayTeam], AD$36, Table2[ActualResult], "OT") + SUMIFS(Table2[HomeWon_], Table2[GameIsOver],1,Table2[AwayTeam],$A66, Table2[HomeTeam], AD$36, Table2[ActualResult], "SO") + SUMIFS(Table2[AwayWon], Table2[GameIsOver],1,Table2[HomeTeam],$A66, Table2[AwayTeam], AD$36, Table2[ActualResult], "SO"))), "")</f>
        <v/>
      </c>
      <c r="AE66" s="98" t="str">
        <f>IFERROR(((2*SUMIFS(Table2[AwayWon], Table2[GameIsOver],1,Table2[AwayTeam],$A66, Table2[HomeTeam], AE$36) + SUMIFS(Table2[HomeWon_], Table2[GameIsOver],1,Table2[HomeTeam],$A66, Table2[AwayTeam], AE$36)) + SUMIFS(Table2[AwayWon], Table2[GameIsOver],1,Table2[HomeTeam],$A66, Table2[AwayTeam], AE$36, Table2[ActualResult], "REG") + SUMIFS(Table2[HomeWon_], Table2[GameIsOver],1,Table2[AwayTeam],$A66, Table2[HomeTeam], AE$36, Table2[ActualResult], "OT") + SUMIFS(Table2[AwayWon], Table2[GameIsOver],1,Table2[HomeTeam],$A66, Table2[AwayTeam], AE$36, Table2[ActualResult], "OT") + SUMIFS(Table2[HomeWon_], Table2[GameIsOver],1,Table2[AwayTeam],$A66, Table2[HomeTeam], AE$36, Table2[ActualResult], "SO") + SUMIFS(Table2[AwayWon], Table2[GameIsOver],1,Table2[HomeTeam],$A66, Table2[AwayTeam], AE$36, Table2[ActualResult], "SO")) / (2*(SUMIFS(Table2[AwayWon], Table2[GameIsOver],1,Table2[AwayTeam],$A66, Table2[HomeTeam], AE$36) + SUMIFS(Table2[HomeWon_], Table2[GameIsOver],1,Table2[HomeTeam],$A66, Table2[AwayTeam], AE$36) + SUMIFS(Table2[HomeWon_], Table2[GameIsOver],1,Table2[AwayTeam],$A66, Table2[HomeTeam], AE$36, Table2[ActualResult], "REG") + SUMIFS(Table2[AwayWon], Table2[GameIsOver],1,Table2[HomeTeam],$A66, Table2[AwayTeam], AE$36, Table2[ActualResult], "REG") + SUMIFS(Table2[HomeWon_], Table2[GameIsOver],1,Table2[AwayTeam],$A66, Table2[HomeTeam], AE$36, Table2[ActualResult], "OT") + SUMIFS(Table2[AwayWon], Table2[GameIsOver],1,Table2[HomeTeam],$A66, Table2[AwayTeam], AE$36, Table2[ActualResult], "OT") + SUMIFS(Table2[HomeWon_], Table2[GameIsOver],1,Table2[AwayTeam],$A66, Table2[HomeTeam], AE$36, Table2[ActualResult], "SO") + SUMIFS(Table2[AwayWon], Table2[GameIsOver],1,Table2[HomeTeam],$A66, Table2[AwayTeam], AE$36, Table2[ActualResult], "SO"))), "")</f>
        <v/>
      </c>
      <c r="AF66">
        <f>IFERROR(((2*SUMIFS(Table2[AwayWon], Table2[GameIsOver],1,Table2[AwayTeam],$A66, Table2[HomeTeam], AF$36) + SUMIFS(Table2[HomeWon_], Table2[GameIsOver],1,Table2[HomeTeam],$A66, Table2[AwayTeam], AF$36)) + SUMIFS(Table2[AwayWon], Table2[GameIsOver],1,Table2[HomeTeam],$A66, Table2[AwayTeam], AF$36, Table2[ActualResult], "REG") + SUMIFS(Table2[HomeWon_], Table2[GameIsOver],1,Table2[AwayTeam],$A66, Table2[HomeTeam], AF$36, Table2[ActualResult], "OT") + SUMIFS(Table2[AwayWon], Table2[GameIsOver],1,Table2[HomeTeam],$A66, Table2[AwayTeam], AF$36, Table2[ActualResult], "OT") + SUMIFS(Table2[HomeWon_], Table2[GameIsOver],1,Table2[AwayTeam],$A66, Table2[HomeTeam], AF$36, Table2[ActualResult], "SO") + SUMIFS(Table2[AwayWon], Table2[GameIsOver],1,Table2[HomeTeam],$A66, Table2[AwayTeam], AF$36, Table2[ActualResult], "SO")) / (2*(SUMIFS(Table2[AwayWon], Table2[GameIsOver],1,Table2[AwayTeam],$A66, Table2[HomeTeam], AF$36) + SUMIFS(Table2[HomeWon_], Table2[GameIsOver],1,Table2[HomeTeam],$A66, Table2[AwayTeam], AF$36) + SUMIFS(Table2[HomeWon_], Table2[GameIsOver],1,Table2[AwayTeam],$A66, Table2[HomeTeam], AF$36, Table2[ActualResult], "REG") + SUMIFS(Table2[AwayWon], Table2[GameIsOver],1,Table2[HomeTeam],$A66, Table2[AwayTeam], AF$36, Table2[ActualResult], "REG") + SUMIFS(Table2[HomeWon_], Table2[GameIsOver],1,Table2[AwayTeam],$A66, Table2[HomeTeam], AF$36, Table2[ActualResult], "OT") + SUMIFS(Table2[AwayWon], Table2[GameIsOver],1,Table2[HomeTeam],$A66, Table2[AwayTeam], AF$36, Table2[ActualResult], "OT") + SUMIFS(Table2[HomeWon_], Table2[GameIsOver],1,Table2[AwayTeam],$A66, Table2[HomeTeam], AF$36, Table2[ActualResult], "SO") + SUMIFS(Table2[AwayWon], Table2[GameIsOver],1,Table2[HomeTeam],$A66, Table2[AwayTeam], AF$36, Table2[ActualResult], "SO"))), "")</f>
        <v>1</v>
      </c>
      <c r="AG66" s="57" t="str">
        <f>IFERROR(((2*SUMIFS(Table2[AwayWon], Table2[GameIsOver],1,Table2[AwayTeam],$A66, Table2[HomeTeam], AG$36) + SUMIFS(Table2[HomeWon_], Table2[GameIsOver],1,Table2[HomeTeam],$A66, Table2[AwayTeam], AG$36)) + SUMIFS(Table2[AwayWon], Table2[GameIsOver],1,Table2[HomeTeam],$A66, Table2[AwayTeam], AG$36, Table2[ActualResult], "REG") + SUMIFS(Table2[HomeWon_], Table2[GameIsOver],1,Table2[AwayTeam],$A66, Table2[HomeTeam], AG$36, Table2[ActualResult], "OT") + SUMIFS(Table2[AwayWon], Table2[GameIsOver],1,Table2[HomeTeam],$A66, Table2[AwayTeam], AG$36, Table2[ActualResult], "OT") + SUMIFS(Table2[HomeWon_], Table2[GameIsOver],1,Table2[AwayTeam],$A66, Table2[HomeTeam], AG$36, Table2[ActualResult], "SO") + SUMIFS(Table2[AwayWon], Table2[GameIsOver],1,Table2[HomeTeam],$A66, Table2[AwayTeam], AG$36, Table2[ActualResult], "SO")) / (2*(SUMIFS(Table2[AwayWon], Table2[GameIsOver],1,Table2[AwayTeam],$A66, Table2[HomeTeam], AG$36) + SUMIFS(Table2[HomeWon_], Table2[GameIsOver],1,Table2[HomeTeam],$A66, Table2[AwayTeam], AG$36) + SUMIFS(Table2[HomeWon_], Table2[GameIsOver],1,Table2[AwayTeam],$A66, Table2[HomeTeam], AG$36, Table2[ActualResult], "REG") + SUMIFS(Table2[AwayWon], Table2[GameIsOver],1,Table2[HomeTeam],$A66, Table2[AwayTeam], AG$36, Table2[ActualResult], "REG") + SUMIFS(Table2[HomeWon_], Table2[GameIsOver],1,Table2[AwayTeam],$A66, Table2[HomeTeam], AG$36, Table2[ActualResult], "OT") + SUMIFS(Table2[AwayWon], Table2[GameIsOver],1,Table2[HomeTeam],$A66, Table2[AwayTeam], AG$36, Table2[ActualResult], "OT") + SUMIFS(Table2[HomeWon_], Table2[GameIsOver],1,Table2[AwayTeam],$A66, Table2[HomeTeam], AG$36, Table2[ActualResult], "SO") + SUMIFS(Table2[AwayWon], Table2[GameIsOver],1,Table2[HomeTeam],$A66, Table2[AwayTeam], AG$36, Table2[ActualResult], "SO"))), "")</f>
        <v/>
      </c>
      <c r="AH66" s="101">
        <f t="shared" si="0"/>
        <v>0.375</v>
      </c>
      <c r="AI66" s="101">
        <f t="shared" si="1"/>
        <v>0.5</v>
      </c>
      <c r="AJ66" s="103">
        <f t="shared" si="2"/>
        <v>0.33333333333333331</v>
      </c>
      <c r="AK66" s="103">
        <f t="shared" si="3"/>
        <v>0.5</v>
      </c>
      <c r="AL66" s="103">
        <f t="shared" si="4"/>
        <v>0.5</v>
      </c>
      <c r="AM66" s="103">
        <f t="shared" si="5"/>
        <v>0.5</v>
      </c>
    </row>
    <row r="67" spans="1:39" x14ac:dyDescent="0.25">
      <c r="A67" s="57" t="s">
        <v>40</v>
      </c>
      <c r="B67" s="24" t="str">
        <f>IFERROR(((2*SUMIFS(Table2[AwayWon], Table2[GameIsOver],1,Table2[AwayTeam],$A67, Table2[HomeTeam], B$36) + SUMIFS(Table2[HomeWon_], Table2[GameIsOver],1,Table2[HomeTeam],$A67, Table2[AwayTeam], B$36)) + SUMIFS(Table2[AwayWon], Table2[GameIsOver],1,Table2[HomeTeam],$A67, Table2[AwayTeam], B$36, Table2[ActualResult], "REG") + SUMIFS(Table2[HomeWon_], Table2[GameIsOver],1,Table2[AwayTeam],$A67, Table2[HomeTeam], B$36, Table2[ActualResult], "OT") + SUMIFS(Table2[AwayWon], Table2[GameIsOver],1,Table2[HomeTeam],$A67, Table2[AwayTeam], B$36, Table2[ActualResult], "OT") + SUMIFS(Table2[HomeWon_], Table2[GameIsOver],1,Table2[AwayTeam],$A67, Table2[HomeTeam], B$36, Table2[ActualResult], "SO") + SUMIFS(Table2[AwayWon], Table2[GameIsOver],1,Table2[HomeTeam],$A67, Table2[AwayTeam], B$36, Table2[ActualResult], "SO")) / (2*(SUMIFS(Table2[AwayWon], Table2[GameIsOver],1,Table2[AwayTeam],$A67, Table2[HomeTeam], B$36) + SUMIFS(Table2[HomeWon_], Table2[GameIsOver],1,Table2[HomeTeam],$A67, Table2[AwayTeam], B$36) + SUMIFS(Table2[HomeWon_], Table2[GameIsOver],1,Table2[AwayTeam],$A67, Table2[HomeTeam], B$36, Table2[ActualResult], "REG") + SUMIFS(Table2[AwayWon], Table2[GameIsOver],1,Table2[HomeTeam],$A67, Table2[AwayTeam], B$36, Table2[ActualResult], "REG") + SUMIFS(Table2[HomeWon_], Table2[GameIsOver],1,Table2[AwayTeam],$A67, Table2[HomeTeam], B$36, Table2[ActualResult], "OT") + SUMIFS(Table2[AwayWon], Table2[GameIsOver],1,Table2[HomeTeam],$A67, Table2[AwayTeam], B$36, Table2[ActualResult], "OT") + SUMIFS(Table2[HomeWon_], Table2[GameIsOver],1,Table2[AwayTeam],$A67, Table2[HomeTeam], B$36, Table2[ActualResult], "SO") + SUMIFS(Table2[AwayWon], Table2[GameIsOver],1,Table2[HomeTeam],$A67, Table2[AwayTeam], B$36, Table2[ActualResult], "SO"))), "")</f>
        <v/>
      </c>
      <c r="C67" s="24" t="str">
        <f>IFERROR(((2*SUMIFS(Table2[AwayWon], Table2[GameIsOver],1,Table2[AwayTeam],$A67, Table2[HomeTeam], C$36) + SUMIFS(Table2[HomeWon_], Table2[GameIsOver],1,Table2[HomeTeam],$A67, Table2[AwayTeam], C$36)) + SUMIFS(Table2[AwayWon], Table2[GameIsOver],1,Table2[HomeTeam],$A67, Table2[AwayTeam], C$36, Table2[ActualResult], "REG") + SUMIFS(Table2[HomeWon_], Table2[GameIsOver],1,Table2[AwayTeam],$A67, Table2[HomeTeam], C$36, Table2[ActualResult], "OT") + SUMIFS(Table2[AwayWon], Table2[GameIsOver],1,Table2[HomeTeam],$A67, Table2[AwayTeam], C$36, Table2[ActualResult], "OT") + SUMIFS(Table2[HomeWon_], Table2[GameIsOver],1,Table2[AwayTeam],$A67, Table2[HomeTeam], C$36, Table2[ActualResult], "SO") + SUMIFS(Table2[AwayWon], Table2[GameIsOver],1,Table2[HomeTeam],$A67, Table2[AwayTeam], C$36, Table2[ActualResult], "SO")) / (2*(SUMIFS(Table2[AwayWon], Table2[GameIsOver],1,Table2[AwayTeam],$A67, Table2[HomeTeam], C$36) + SUMIFS(Table2[HomeWon_], Table2[GameIsOver],1,Table2[HomeTeam],$A67, Table2[AwayTeam], C$36) + SUMIFS(Table2[HomeWon_], Table2[GameIsOver],1,Table2[AwayTeam],$A67, Table2[HomeTeam], C$36, Table2[ActualResult], "REG") + SUMIFS(Table2[AwayWon], Table2[GameIsOver],1,Table2[HomeTeam],$A67, Table2[AwayTeam], C$36, Table2[ActualResult], "REG") + SUMIFS(Table2[HomeWon_], Table2[GameIsOver],1,Table2[AwayTeam],$A67, Table2[HomeTeam], C$36, Table2[ActualResult], "OT") + SUMIFS(Table2[AwayWon], Table2[GameIsOver],1,Table2[HomeTeam],$A67, Table2[AwayTeam], C$36, Table2[ActualResult], "OT") + SUMIFS(Table2[HomeWon_], Table2[GameIsOver],1,Table2[AwayTeam],$A67, Table2[HomeTeam], C$36, Table2[ActualResult], "SO") + SUMIFS(Table2[AwayWon], Table2[GameIsOver],1,Table2[HomeTeam],$A67, Table2[AwayTeam], C$36, Table2[ActualResult], "SO"))), "")</f>
        <v/>
      </c>
      <c r="D67" t="str">
        <f>IFERROR(((2*SUMIFS(Table2[AwayWon], Table2[GameIsOver],1,Table2[AwayTeam],$A67, Table2[HomeTeam], D$36) + SUMIFS(Table2[HomeWon_], Table2[GameIsOver],1,Table2[HomeTeam],$A67, Table2[AwayTeam], D$36)) + SUMIFS(Table2[AwayWon], Table2[GameIsOver],1,Table2[HomeTeam],$A67, Table2[AwayTeam], D$36, Table2[ActualResult], "REG") + SUMIFS(Table2[HomeWon_], Table2[GameIsOver],1,Table2[AwayTeam],$A67, Table2[HomeTeam], D$36, Table2[ActualResult], "OT") + SUMIFS(Table2[AwayWon], Table2[GameIsOver],1,Table2[HomeTeam],$A67, Table2[AwayTeam], D$36, Table2[ActualResult], "OT") + SUMIFS(Table2[HomeWon_], Table2[GameIsOver],1,Table2[AwayTeam],$A67, Table2[HomeTeam], D$36, Table2[ActualResult], "SO") + SUMIFS(Table2[AwayWon], Table2[GameIsOver],1,Table2[HomeTeam],$A67, Table2[AwayTeam], D$36, Table2[ActualResult], "SO")) / (2*(SUMIFS(Table2[AwayWon], Table2[GameIsOver],1,Table2[AwayTeam],$A67, Table2[HomeTeam], D$36) + SUMIFS(Table2[HomeWon_], Table2[GameIsOver],1,Table2[HomeTeam],$A67, Table2[AwayTeam], D$36) + SUMIFS(Table2[HomeWon_], Table2[GameIsOver],1,Table2[AwayTeam],$A67, Table2[HomeTeam], D$36, Table2[ActualResult], "REG") + SUMIFS(Table2[AwayWon], Table2[GameIsOver],1,Table2[HomeTeam],$A67, Table2[AwayTeam], D$36, Table2[ActualResult], "REG") + SUMIFS(Table2[HomeWon_], Table2[GameIsOver],1,Table2[AwayTeam],$A67, Table2[HomeTeam], D$36, Table2[ActualResult], "OT") + SUMIFS(Table2[AwayWon], Table2[GameIsOver],1,Table2[HomeTeam],$A67, Table2[AwayTeam], D$36, Table2[ActualResult], "OT") + SUMIFS(Table2[HomeWon_], Table2[GameIsOver],1,Table2[AwayTeam],$A67, Table2[HomeTeam], D$36, Table2[ActualResult], "SO") + SUMIFS(Table2[AwayWon], Table2[GameIsOver],1,Table2[HomeTeam],$A67, Table2[AwayTeam], D$36, Table2[ActualResult], "SO"))), "")</f>
        <v/>
      </c>
      <c r="E67" t="str">
        <f>IFERROR(((2*SUMIFS(Table2[AwayWon], Table2[GameIsOver],1,Table2[AwayTeam],$A67, Table2[HomeTeam], E$36) + SUMIFS(Table2[HomeWon_], Table2[GameIsOver],1,Table2[HomeTeam],$A67, Table2[AwayTeam], E$36)) + SUMIFS(Table2[AwayWon], Table2[GameIsOver],1,Table2[HomeTeam],$A67, Table2[AwayTeam], E$36, Table2[ActualResult], "REG") + SUMIFS(Table2[HomeWon_], Table2[GameIsOver],1,Table2[AwayTeam],$A67, Table2[HomeTeam], E$36, Table2[ActualResult], "OT") + SUMIFS(Table2[AwayWon], Table2[GameIsOver],1,Table2[HomeTeam],$A67, Table2[AwayTeam], E$36, Table2[ActualResult], "OT") + SUMIFS(Table2[HomeWon_], Table2[GameIsOver],1,Table2[AwayTeam],$A67, Table2[HomeTeam], E$36, Table2[ActualResult], "SO") + SUMIFS(Table2[AwayWon], Table2[GameIsOver],1,Table2[HomeTeam],$A67, Table2[AwayTeam], E$36, Table2[ActualResult], "SO")) / (2*(SUMIFS(Table2[AwayWon], Table2[GameIsOver],1,Table2[AwayTeam],$A67, Table2[HomeTeam], E$36) + SUMIFS(Table2[HomeWon_], Table2[GameIsOver],1,Table2[HomeTeam],$A67, Table2[AwayTeam], E$36) + SUMIFS(Table2[HomeWon_], Table2[GameIsOver],1,Table2[AwayTeam],$A67, Table2[HomeTeam], E$36, Table2[ActualResult], "REG") + SUMIFS(Table2[AwayWon], Table2[GameIsOver],1,Table2[HomeTeam],$A67, Table2[AwayTeam], E$36, Table2[ActualResult], "REG") + SUMIFS(Table2[HomeWon_], Table2[GameIsOver],1,Table2[AwayTeam],$A67, Table2[HomeTeam], E$36, Table2[ActualResult], "OT") + SUMIFS(Table2[AwayWon], Table2[GameIsOver],1,Table2[HomeTeam],$A67, Table2[AwayTeam], E$36, Table2[ActualResult], "OT") + SUMIFS(Table2[HomeWon_], Table2[GameIsOver],1,Table2[AwayTeam],$A67, Table2[HomeTeam], E$36, Table2[ActualResult], "SO") + SUMIFS(Table2[AwayWon], Table2[GameIsOver],1,Table2[HomeTeam],$A67, Table2[AwayTeam], E$36, Table2[ActualResult], "SO"))), "")</f>
        <v/>
      </c>
      <c r="F67" t="str">
        <f>IFERROR(((2*SUMIFS(Table2[AwayWon], Table2[GameIsOver],1,Table2[AwayTeam],$A67, Table2[HomeTeam], F$36) + SUMIFS(Table2[HomeWon_], Table2[GameIsOver],1,Table2[HomeTeam],$A67, Table2[AwayTeam], F$36)) + SUMIFS(Table2[AwayWon], Table2[GameIsOver],1,Table2[HomeTeam],$A67, Table2[AwayTeam], F$36, Table2[ActualResult], "REG") + SUMIFS(Table2[HomeWon_], Table2[GameIsOver],1,Table2[AwayTeam],$A67, Table2[HomeTeam], F$36, Table2[ActualResult], "OT") + SUMIFS(Table2[AwayWon], Table2[GameIsOver],1,Table2[HomeTeam],$A67, Table2[AwayTeam], F$36, Table2[ActualResult], "OT") + SUMIFS(Table2[HomeWon_], Table2[GameIsOver],1,Table2[AwayTeam],$A67, Table2[HomeTeam], F$36, Table2[ActualResult], "SO") + SUMIFS(Table2[AwayWon], Table2[GameIsOver],1,Table2[HomeTeam],$A67, Table2[AwayTeam], F$36, Table2[ActualResult], "SO")) / (2*(SUMIFS(Table2[AwayWon], Table2[GameIsOver],1,Table2[AwayTeam],$A67, Table2[HomeTeam], F$36) + SUMIFS(Table2[HomeWon_], Table2[GameIsOver],1,Table2[HomeTeam],$A67, Table2[AwayTeam], F$36) + SUMIFS(Table2[HomeWon_], Table2[GameIsOver],1,Table2[AwayTeam],$A67, Table2[HomeTeam], F$36, Table2[ActualResult], "REG") + SUMIFS(Table2[AwayWon], Table2[GameIsOver],1,Table2[HomeTeam],$A67, Table2[AwayTeam], F$36, Table2[ActualResult], "REG") + SUMIFS(Table2[HomeWon_], Table2[GameIsOver],1,Table2[AwayTeam],$A67, Table2[HomeTeam], F$36, Table2[ActualResult], "OT") + SUMIFS(Table2[AwayWon], Table2[GameIsOver],1,Table2[HomeTeam],$A67, Table2[AwayTeam], F$36, Table2[ActualResult], "OT") + SUMIFS(Table2[HomeWon_], Table2[GameIsOver],1,Table2[AwayTeam],$A67, Table2[HomeTeam], F$36, Table2[ActualResult], "SO") + SUMIFS(Table2[AwayWon], Table2[GameIsOver],1,Table2[HomeTeam],$A67, Table2[AwayTeam], F$36, Table2[ActualResult], "SO"))), "")</f>
        <v/>
      </c>
      <c r="G67" t="str">
        <f>IFERROR(((2*SUMIFS(Table2[AwayWon], Table2[GameIsOver],1,Table2[AwayTeam],$A67, Table2[HomeTeam], G$36) + SUMIFS(Table2[HomeWon_], Table2[GameIsOver],1,Table2[HomeTeam],$A67, Table2[AwayTeam], G$36)) + SUMIFS(Table2[AwayWon], Table2[GameIsOver],1,Table2[HomeTeam],$A67, Table2[AwayTeam], G$36, Table2[ActualResult], "REG") + SUMIFS(Table2[HomeWon_], Table2[GameIsOver],1,Table2[AwayTeam],$A67, Table2[HomeTeam], G$36, Table2[ActualResult], "OT") + SUMIFS(Table2[AwayWon], Table2[GameIsOver],1,Table2[HomeTeam],$A67, Table2[AwayTeam], G$36, Table2[ActualResult], "OT") + SUMIFS(Table2[HomeWon_], Table2[GameIsOver],1,Table2[AwayTeam],$A67, Table2[HomeTeam], G$36, Table2[ActualResult], "SO") + SUMIFS(Table2[AwayWon], Table2[GameIsOver],1,Table2[HomeTeam],$A67, Table2[AwayTeam], G$36, Table2[ActualResult], "SO")) / (2*(SUMIFS(Table2[AwayWon], Table2[GameIsOver],1,Table2[AwayTeam],$A67, Table2[HomeTeam], G$36) + SUMIFS(Table2[HomeWon_], Table2[GameIsOver],1,Table2[HomeTeam],$A67, Table2[AwayTeam], G$36) + SUMIFS(Table2[HomeWon_], Table2[GameIsOver],1,Table2[AwayTeam],$A67, Table2[HomeTeam], G$36, Table2[ActualResult], "REG") + SUMIFS(Table2[AwayWon], Table2[GameIsOver],1,Table2[HomeTeam],$A67, Table2[AwayTeam], G$36, Table2[ActualResult], "REG") + SUMIFS(Table2[HomeWon_], Table2[GameIsOver],1,Table2[AwayTeam],$A67, Table2[HomeTeam], G$36, Table2[ActualResult], "OT") + SUMIFS(Table2[AwayWon], Table2[GameIsOver],1,Table2[HomeTeam],$A67, Table2[AwayTeam], G$36, Table2[ActualResult], "OT") + SUMIFS(Table2[HomeWon_], Table2[GameIsOver],1,Table2[AwayTeam],$A67, Table2[HomeTeam], G$36, Table2[ActualResult], "SO") + SUMIFS(Table2[AwayWon], Table2[GameIsOver],1,Table2[HomeTeam],$A67, Table2[AwayTeam], G$36, Table2[ActualResult], "SO"))), "")</f>
        <v/>
      </c>
      <c r="H67" t="str">
        <f>IFERROR(((2*SUMIFS(Table2[AwayWon], Table2[GameIsOver],1,Table2[AwayTeam],$A67, Table2[HomeTeam], H$36) + SUMIFS(Table2[HomeWon_], Table2[GameIsOver],1,Table2[HomeTeam],$A67, Table2[AwayTeam], H$36)) + SUMIFS(Table2[AwayWon], Table2[GameIsOver],1,Table2[HomeTeam],$A67, Table2[AwayTeam], H$36, Table2[ActualResult], "REG") + SUMIFS(Table2[HomeWon_], Table2[GameIsOver],1,Table2[AwayTeam],$A67, Table2[HomeTeam], H$36, Table2[ActualResult], "OT") + SUMIFS(Table2[AwayWon], Table2[GameIsOver],1,Table2[HomeTeam],$A67, Table2[AwayTeam], H$36, Table2[ActualResult], "OT") + SUMIFS(Table2[HomeWon_], Table2[GameIsOver],1,Table2[AwayTeam],$A67, Table2[HomeTeam], H$36, Table2[ActualResult], "SO") + SUMIFS(Table2[AwayWon], Table2[GameIsOver],1,Table2[HomeTeam],$A67, Table2[AwayTeam], H$36, Table2[ActualResult], "SO")) / (2*(SUMIFS(Table2[AwayWon], Table2[GameIsOver],1,Table2[AwayTeam],$A67, Table2[HomeTeam], H$36) + SUMIFS(Table2[HomeWon_], Table2[GameIsOver],1,Table2[HomeTeam],$A67, Table2[AwayTeam], H$36) + SUMIFS(Table2[HomeWon_], Table2[GameIsOver],1,Table2[AwayTeam],$A67, Table2[HomeTeam], H$36, Table2[ActualResult], "REG") + SUMIFS(Table2[AwayWon], Table2[GameIsOver],1,Table2[HomeTeam],$A67, Table2[AwayTeam], H$36, Table2[ActualResult], "REG") + SUMIFS(Table2[HomeWon_], Table2[GameIsOver],1,Table2[AwayTeam],$A67, Table2[HomeTeam], H$36, Table2[ActualResult], "OT") + SUMIFS(Table2[AwayWon], Table2[GameIsOver],1,Table2[HomeTeam],$A67, Table2[AwayTeam], H$36, Table2[ActualResult], "OT") + SUMIFS(Table2[HomeWon_], Table2[GameIsOver],1,Table2[AwayTeam],$A67, Table2[HomeTeam], H$36, Table2[ActualResult], "SO") + SUMIFS(Table2[AwayWon], Table2[GameIsOver],1,Table2[HomeTeam],$A67, Table2[AwayTeam], H$36, Table2[ActualResult], "SO"))), "")</f>
        <v/>
      </c>
      <c r="I67" s="57" t="str">
        <f>IFERROR(((2*SUMIFS(Table2[AwayWon], Table2[GameIsOver],1,Table2[AwayTeam],$A67, Table2[HomeTeam], I$36) + SUMIFS(Table2[HomeWon_], Table2[GameIsOver],1,Table2[HomeTeam],$A67, Table2[AwayTeam], I$36)) + SUMIFS(Table2[AwayWon], Table2[GameIsOver],1,Table2[HomeTeam],$A67, Table2[AwayTeam], I$36, Table2[ActualResult], "REG") + SUMIFS(Table2[HomeWon_], Table2[GameIsOver],1,Table2[AwayTeam],$A67, Table2[HomeTeam], I$36, Table2[ActualResult], "OT") + SUMIFS(Table2[AwayWon], Table2[GameIsOver],1,Table2[HomeTeam],$A67, Table2[AwayTeam], I$36, Table2[ActualResult], "OT") + SUMIFS(Table2[HomeWon_], Table2[GameIsOver],1,Table2[AwayTeam],$A67, Table2[HomeTeam], I$36, Table2[ActualResult], "SO") + SUMIFS(Table2[AwayWon], Table2[GameIsOver],1,Table2[HomeTeam],$A67, Table2[AwayTeam], I$36, Table2[ActualResult], "SO")) / (2*(SUMIFS(Table2[AwayWon], Table2[GameIsOver],1,Table2[AwayTeam],$A67, Table2[HomeTeam], I$36) + SUMIFS(Table2[HomeWon_], Table2[GameIsOver],1,Table2[HomeTeam],$A67, Table2[AwayTeam], I$36) + SUMIFS(Table2[HomeWon_], Table2[GameIsOver],1,Table2[AwayTeam],$A67, Table2[HomeTeam], I$36, Table2[ActualResult], "REG") + SUMIFS(Table2[AwayWon], Table2[GameIsOver],1,Table2[HomeTeam],$A67, Table2[AwayTeam], I$36, Table2[ActualResult], "REG") + SUMIFS(Table2[HomeWon_], Table2[GameIsOver],1,Table2[AwayTeam],$A67, Table2[HomeTeam], I$36, Table2[ActualResult], "OT") + SUMIFS(Table2[AwayWon], Table2[GameIsOver],1,Table2[HomeTeam],$A67, Table2[AwayTeam], I$36, Table2[ActualResult], "OT") + SUMIFS(Table2[HomeWon_], Table2[GameIsOver],1,Table2[AwayTeam],$A67, Table2[HomeTeam], I$36, Table2[ActualResult], "SO") + SUMIFS(Table2[AwayWon], Table2[GameIsOver],1,Table2[HomeTeam],$A67, Table2[AwayTeam], I$36, Table2[ActualResult], "SO"))), "")</f>
        <v/>
      </c>
      <c r="J67" t="str">
        <f>IFERROR(((2*SUMIFS(Table2[AwayWon], Table2[GameIsOver],1,Table2[AwayTeam],$A67, Table2[HomeTeam], J$36) + SUMIFS(Table2[HomeWon_], Table2[GameIsOver],1,Table2[HomeTeam],$A67, Table2[AwayTeam], J$36)) + SUMIFS(Table2[AwayWon], Table2[GameIsOver],1,Table2[HomeTeam],$A67, Table2[AwayTeam], J$36, Table2[ActualResult], "REG") + SUMIFS(Table2[HomeWon_], Table2[GameIsOver],1,Table2[AwayTeam],$A67, Table2[HomeTeam], J$36, Table2[ActualResult], "OT") + SUMIFS(Table2[AwayWon], Table2[GameIsOver],1,Table2[HomeTeam],$A67, Table2[AwayTeam], J$36, Table2[ActualResult], "OT") + SUMIFS(Table2[HomeWon_], Table2[GameIsOver],1,Table2[AwayTeam],$A67, Table2[HomeTeam], J$36, Table2[ActualResult], "SO") + SUMIFS(Table2[AwayWon], Table2[GameIsOver],1,Table2[HomeTeam],$A67, Table2[AwayTeam], J$36, Table2[ActualResult], "SO")) / (2*(SUMIFS(Table2[AwayWon], Table2[GameIsOver],1,Table2[AwayTeam],$A67, Table2[HomeTeam], J$36) + SUMIFS(Table2[HomeWon_], Table2[GameIsOver],1,Table2[HomeTeam],$A67, Table2[AwayTeam], J$36) + SUMIFS(Table2[HomeWon_], Table2[GameIsOver],1,Table2[AwayTeam],$A67, Table2[HomeTeam], J$36, Table2[ActualResult], "REG") + SUMIFS(Table2[AwayWon], Table2[GameIsOver],1,Table2[HomeTeam],$A67, Table2[AwayTeam], J$36, Table2[ActualResult], "REG") + SUMIFS(Table2[HomeWon_], Table2[GameIsOver],1,Table2[AwayTeam],$A67, Table2[HomeTeam], J$36, Table2[ActualResult], "OT") + SUMIFS(Table2[AwayWon], Table2[GameIsOver],1,Table2[HomeTeam],$A67, Table2[AwayTeam], J$36, Table2[ActualResult], "OT") + SUMIFS(Table2[HomeWon_], Table2[GameIsOver],1,Table2[AwayTeam],$A67, Table2[HomeTeam], J$36, Table2[ActualResult], "SO") + SUMIFS(Table2[AwayWon], Table2[GameIsOver],1,Table2[HomeTeam],$A67, Table2[AwayTeam], J$36, Table2[ActualResult], "SO"))), "")</f>
        <v/>
      </c>
      <c r="K67" t="str">
        <f>IFERROR(((2*SUMIFS(Table2[AwayWon], Table2[GameIsOver],1,Table2[AwayTeam],$A67, Table2[HomeTeam], K$36) + SUMIFS(Table2[HomeWon_], Table2[GameIsOver],1,Table2[HomeTeam],$A67, Table2[AwayTeam], K$36)) + SUMIFS(Table2[AwayWon], Table2[GameIsOver],1,Table2[HomeTeam],$A67, Table2[AwayTeam], K$36, Table2[ActualResult], "REG") + SUMIFS(Table2[HomeWon_], Table2[GameIsOver],1,Table2[AwayTeam],$A67, Table2[HomeTeam], K$36, Table2[ActualResult], "OT") + SUMIFS(Table2[AwayWon], Table2[GameIsOver],1,Table2[HomeTeam],$A67, Table2[AwayTeam], K$36, Table2[ActualResult], "OT") + SUMIFS(Table2[HomeWon_], Table2[GameIsOver],1,Table2[AwayTeam],$A67, Table2[HomeTeam], K$36, Table2[ActualResult], "SO") + SUMIFS(Table2[AwayWon], Table2[GameIsOver],1,Table2[HomeTeam],$A67, Table2[AwayTeam], K$36, Table2[ActualResult], "SO")) / (2*(SUMIFS(Table2[AwayWon], Table2[GameIsOver],1,Table2[AwayTeam],$A67, Table2[HomeTeam], K$36) + SUMIFS(Table2[HomeWon_], Table2[GameIsOver],1,Table2[HomeTeam],$A67, Table2[AwayTeam], K$36) + SUMIFS(Table2[HomeWon_], Table2[GameIsOver],1,Table2[AwayTeam],$A67, Table2[HomeTeam], K$36, Table2[ActualResult], "REG") + SUMIFS(Table2[AwayWon], Table2[GameIsOver],1,Table2[HomeTeam],$A67, Table2[AwayTeam], K$36, Table2[ActualResult], "REG") + SUMIFS(Table2[HomeWon_], Table2[GameIsOver],1,Table2[AwayTeam],$A67, Table2[HomeTeam], K$36, Table2[ActualResult], "OT") + SUMIFS(Table2[AwayWon], Table2[GameIsOver],1,Table2[HomeTeam],$A67, Table2[AwayTeam], K$36, Table2[ActualResult], "OT") + SUMIFS(Table2[HomeWon_], Table2[GameIsOver],1,Table2[AwayTeam],$A67, Table2[HomeTeam], K$36, Table2[ActualResult], "SO") + SUMIFS(Table2[AwayWon], Table2[GameIsOver],1,Table2[HomeTeam],$A67, Table2[AwayTeam], K$36, Table2[ActualResult], "SO"))), "")</f>
        <v/>
      </c>
      <c r="L67" t="str">
        <f>IFERROR(((2*SUMIFS(Table2[AwayWon], Table2[GameIsOver],1,Table2[AwayTeam],$A67, Table2[HomeTeam], L$36) + SUMIFS(Table2[HomeWon_], Table2[GameIsOver],1,Table2[HomeTeam],$A67, Table2[AwayTeam], L$36)) + SUMIFS(Table2[AwayWon], Table2[GameIsOver],1,Table2[HomeTeam],$A67, Table2[AwayTeam], L$36, Table2[ActualResult], "REG") + SUMIFS(Table2[HomeWon_], Table2[GameIsOver],1,Table2[AwayTeam],$A67, Table2[HomeTeam], L$36, Table2[ActualResult], "OT") + SUMIFS(Table2[AwayWon], Table2[GameIsOver],1,Table2[HomeTeam],$A67, Table2[AwayTeam], L$36, Table2[ActualResult], "OT") + SUMIFS(Table2[HomeWon_], Table2[GameIsOver],1,Table2[AwayTeam],$A67, Table2[HomeTeam], L$36, Table2[ActualResult], "SO") + SUMIFS(Table2[AwayWon], Table2[GameIsOver],1,Table2[HomeTeam],$A67, Table2[AwayTeam], L$36, Table2[ActualResult], "SO")) / (2*(SUMIFS(Table2[AwayWon], Table2[GameIsOver],1,Table2[AwayTeam],$A67, Table2[HomeTeam], L$36) + SUMIFS(Table2[HomeWon_], Table2[GameIsOver],1,Table2[HomeTeam],$A67, Table2[AwayTeam], L$36) + SUMIFS(Table2[HomeWon_], Table2[GameIsOver],1,Table2[AwayTeam],$A67, Table2[HomeTeam], L$36, Table2[ActualResult], "REG") + SUMIFS(Table2[AwayWon], Table2[GameIsOver],1,Table2[HomeTeam],$A67, Table2[AwayTeam], L$36, Table2[ActualResult], "REG") + SUMIFS(Table2[HomeWon_], Table2[GameIsOver],1,Table2[AwayTeam],$A67, Table2[HomeTeam], L$36, Table2[ActualResult], "OT") + SUMIFS(Table2[AwayWon], Table2[GameIsOver],1,Table2[HomeTeam],$A67, Table2[AwayTeam], L$36, Table2[ActualResult], "OT") + SUMIFS(Table2[HomeWon_], Table2[GameIsOver],1,Table2[AwayTeam],$A67, Table2[HomeTeam], L$36, Table2[ActualResult], "SO") + SUMIFS(Table2[AwayWon], Table2[GameIsOver],1,Table2[HomeTeam],$A67, Table2[AwayTeam], L$36, Table2[ActualResult], "SO"))), "")</f>
        <v/>
      </c>
      <c r="M67" t="str">
        <f>IFERROR(((2*SUMIFS(Table2[AwayWon], Table2[GameIsOver],1,Table2[AwayTeam],$A67, Table2[HomeTeam], M$36) + SUMIFS(Table2[HomeWon_], Table2[GameIsOver],1,Table2[HomeTeam],$A67, Table2[AwayTeam], M$36)) + SUMIFS(Table2[AwayWon], Table2[GameIsOver],1,Table2[HomeTeam],$A67, Table2[AwayTeam], M$36, Table2[ActualResult], "REG") + SUMIFS(Table2[HomeWon_], Table2[GameIsOver],1,Table2[AwayTeam],$A67, Table2[HomeTeam], M$36, Table2[ActualResult], "OT") + SUMIFS(Table2[AwayWon], Table2[GameIsOver],1,Table2[HomeTeam],$A67, Table2[AwayTeam], M$36, Table2[ActualResult], "OT") + SUMIFS(Table2[HomeWon_], Table2[GameIsOver],1,Table2[AwayTeam],$A67, Table2[HomeTeam], M$36, Table2[ActualResult], "SO") + SUMIFS(Table2[AwayWon], Table2[GameIsOver],1,Table2[HomeTeam],$A67, Table2[AwayTeam], M$36, Table2[ActualResult], "SO")) / (2*(SUMIFS(Table2[AwayWon], Table2[GameIsOver],1,Table2[AwayTeam],$A67, Table2[HomeTeam], M$36) + SUMIFS(Table2[HomeWon_], Table2[GameIsOver],1,Table2[HomeTeam],$A67, Table2[AwayTeam], M$36) + SUMIFS(Table2[HomeWon_], Table2[GameIsOver],1,Table2[AwayTeam],$A67, Table2[HomeTeam], M$36, Table2[ActualResult], "REG") + SUMIFS(Table2[AwayWon], Table2[GameIsOver],1,Table2[HomeTeam],$A67, Table2[AwayTeam], M$36, Table2[ActualResult], "REG") + SUMIFS(Table2[HomeWon_], Table2[GameIsOver],1,Table2[AwayTeam],$A67, Table2[HomeTeam], M$36, Table2[ActualResult], "OT") + SUMIFS(Table2[AwayWon], Table2[GameIsOver],1,Table2[HomeTeam],$A67, Table2[AwayTeam], M$36, Table2[ActualResult], "OT") + SUMIFS(Table2[HomeWon_], Table2[GameIsOver],1,Table2[AwayTeam],$A67, Table2[HomeTeam], M$36, Table2[ActualResult], "SO") + SUMIFS(Table2[AwayWon], Table2[GameIsOver],1,Table2[HomeTeam],$A67, Table2[AwayTeam], M$36, Table2[ActualResult], "SO"))), "")</f>
        <v/>
      </c>
      <c r="N67" t="str">
        <f>IFERROR(((2*SUMIFS(Table2[AwayWon], Table2[GameIsOver],1,Table2[AwayTeam],$A67, Table2[HomeTeam], N$36) + SUMIFS(Table2[HomeWon_], Table2[GameIsOver],1,Table2[HomeTeam],$A67, Table2[AwayTeam], N$36)) + SUMIFS(Table2[AwayWon], Table2[GameIsOver],1,Table2[HomeTeam],$A67, Table2[AwayTeam], N$36, Table2[ActualResult], "REG") + SUMIFS(Table2[HomeWon_], Table2[GameIsOver],1,Table2[AwayTeam],$A67, Table2[HomeTeam], N$36, Table2[ActualResult], "OT") + SUMIFS(Table2[AwayWon], Table2[GameIsOver],1,Table2[HomeTeam],$A67, Table2[AwayTeam], N$36, Table2[ActualResult], "OT") + SUMIFS(Table2[HomeWon_], Table2[GameIsOver],1,Table2[AwayTeam],$A67, Table2[HomeTeam], N$36, Table2[ActualResult], "SO") + SUMIFS(Table2[AwayWon], Table2[GameIsOver],1,Table2[HomeTeam],$A67, Table2[AwayTeam], N$36, Table2[ActualResult], "SO")) / (2*(SUMIFS(Table2[AwayWon], Table2[GameIsOver],1,Table2[AwayTeam],$A67, Table2[HomeTeam], N$36) + SUMIFS(Table2[HomeWon_], Table2[GameIsOver],1,Table2[HomeTeam],$A67, Table2[AwayTeam], N$36) + SUMIFS(Table2[HomeWon_], Table2[GameIsOver],1,Table2[AwayTeam],$A67, Table2[HomeTeam], N$36, Table2[ActualResult], "REG") + SUMIFS(Table2[AwayWon], Table2[GameIsOver],1,Table2[HomeTeam],$A67, Table2[AwayTeam], N$36, Table2[ActualResult], "REG") + SUMIFS(Table2[HomeWon_], Table2[GameIsOver],1,Table2[AwayTeam],$A67, Table2[HomeTeam], N$36, Table2[ActualResult], "OT") + SUMIFS(Table2[AwayWon], Table2[GameIsOver],1,Table2[HomeTeam],$A67, Table2[AwayTeam], N$36, Table2[ActualResult], "OT") + SUMIFS(Table2[HomeWon_], Table2[GameIsOver],1,Table2[AwayTeam],$A67, Table2[HomeTeam], N$36, Table2[ActualResult], "SO") + SUMIFS(Table2[AwayWon], Table2[GameIsOver],1,Table2[HomeTeam],$A67, Table2[AwayTeam], N$36, Table2[ActualResult], "SO"))), "")</f>
        <v/>
      </c>
      <c r="O67" t="str">
        <f>IFERROR(((2*SUMIFS(Table2[AwayWon], Table2[GameIsOver],1,Table2[AwayTeam],$A67, Table2[HomeTeam], O$36) + SUMIFS(Table2[HomeWon_], Table2[GameIsOver],1,Table2[HomeTeam],$A67, Table2[AwayTeam], O$36)) + SUMIFS(Table2[AwayWon], Table2[GameIsOver],1,Table2[HomeTeam],$A67, Table2[AwayTeam], O$36, Table2[ActualResult], "REG") + SUMIFS(Table2[HomeWon_], Table2[GameIsOver],1,Table2[AwayTeam],$A67, Table2[HomeTeam], O$36, Table2[ActualResult], "OT") + SUMIFS(Table2[AwayWon], Table2[GameIsOver],1,Table2[HomeTeam],$A67, Table2[AwayTeam], O$36, Table2[ActualResult], "OT") + SUMIFS(Table2[HomeWon_], Table2[GameIsOver],1,Table2[AwayTeam],$A67, Table2[HomeTeam], O$36, Table2[ActualResult], "SO") + SUMIFS(Table2[AwayWon], Table2[GameIsOver],1,Table2[HomeTeam],$A67, Table2[AwayTeam], O$36, Table2[ActualResult], "SO")) / (2*(SUMIFS(Table2[AwayWon], Table2[GameIsOver],1,Table2[AwayTeam],$A67, Table2[HomeTeam], O$36) + SUMIFS(Table2[HomeWon_], Table2[GameIsOver],1,Table2[HomeTeam],$A67, Table2[AwayTeam], O$36) + SUMIFS(Table2[HomeWon_], Table2[GameIsOver],1,Table2[AwayTeam],$A67, Table2[HomeTeam], O$36, Table2[ActualResult], "REG") + SUMIFS(Table2[AwayWon], Table2[GameIsOver],1,Table2[HomeTeam],$A67, Table2[AwayTeam], O$36, Table2[ActualResult], "REG") + SUMIFS(Table2[HomeWon_], Table2[GameIsOver],1,Table2[AwayTeam],$A67, Table2[HomeTeam], O$36, Table2[ActualResult], "OT") + SUMIFS(Table2[AwayWon], Table2[GameIsOver],1,Table2[HomeTeam],$A67, Table2[AwayTeam], O$36, Table2[ActualResult], "OT") + SUMIFS(Table2[HomeWon_], Table2[GameIsOver],1,Table2[AwayTeam],$A67, Table2[HomeTeam], O$36, Table2[ActualResult], "SO") + SUMIFS(Table2[AwayWon], Table2[GameIsOver],1,Table2[HomeTeam],$A67, Table2[AwayTeam], O$36, Table2[ActualResult], "SO"))), "")</f>
        <v/>
      </c>
      <c r="P67" t="str">
        <f>IFERROR(((2*SUMIFS(Table2[AwayWon], Table2[GameIsOver],1,Table2[AwayTeam],$A67, Table2[HomeTeam], P$36) + SUMIFS(Table2[HomeWon_], Table2[GameIsOver],1,Table2[HomeTeam],$A67, Table2[AwayTeam], P$36)) + SUMIFS(Table2[AwayWon], Table2[GameIsOver],1,Table2[HomeTeam],$A67, Table2[AwayTeam], P$36, Table2[ActualResult], "REG") + SUMIFS(Table2[HomeWon_], Table2[GameIsOver],1,Table2[AwayTeam],$A67, Table2[HomeTeam], P$36, Table2[ActualResult], "OT") + SUMIFS(Table2[AwayWon], Table2[GameIsOver],1,Table2[HomeTeam],$A67, Table2[AwayTeam], P$36, Table2[ActualResult], "OT") + SUMIFS(Table2[HomeWon_], Table2[GameIsOver],1,Table2[AwayTeam],$A67, Table2[HomeTeam], P$36, Table2[ActualResult], "SO") + SUMIFS(Table2[AwayWon], Table2[GameIsOver],1,Table2[HomeTeam],$A67, Table2[AwayTeam], P$36, Table2[ActualResult], "SO")) / (2*(SUMIFS(Table2[AwayWon], Table2[GameIsOver],1,Table2[AwayTeam],$A67, Table2[HomeTeam], P$36) + SUMIFS(Table2[HomeWon_], Table2[GameIsOver],1,Table2[HomeTeam],$A67, Table2[AwayTeam], P$36) + SUMIFS(Table2[HomeWon_], Table2[GameIsOver],1,Table2[AwayTeam],$A67, Table2[HomeTeam], P$36, Table2[ActualResult], "REG") + SUMIFS(Table2[AwayWon], Table2[GameIsOver],1,Table2[HomeTeam],$A67, Table2[AwayTeam], P$36, Table2[ActualResult], "REG") + SUMIFS(Table2[HomeWon_], Table2[GameIsOver],1,Table2[AwayTeam],$A67, Table2[HomeTeam], P$36, Table2[ActualResult], "OT") + SUMIFS(Table2[AwayWon], Table2[GameIsOver],1,Table2[HomeTeam],$A67, Table2[AwayTeam], P$36, Table2[ActualResult], "OT") + SUMIFS(Table2[HomeWon_], Table2[GameIsOver],1,Table2[AwayTeam],$A67, Table2[HomeTeam], P$36, Table2[ActualResult], "SO") + SUMIFS(Table2[AwayWon], Table2[GameIsOver],1,Table2[HomeTeam],$A67, Table2[AwayTeam], P$36, Table2[ActualResult], "SO"))), "")</f>
        <v/>
      </c>
      <c r="Q67" s="57" t="str">
        <f>IFERROR(((2*SUMIFS(Table2[AwayWon], Table2[GameIsOver],1,Table2[AwayTeam],$A67, Table2[HomeTeam], Q$36) + SUMIFS(Table2[HomeWon_], Table2[GameIsOver],1,Table2[HomeTeam],$A67, Table2[AwayTeam], Q$36)) + SUMIFS(Table2[AwayWon], Table2[GameIsOver],1,Table2[HomeTeam],$A67, Table2[AwayTeam], Q$36, Table2[ActualResult], "REG") + SUMIFS(Table2[HomeWon_], Table2[GameIsOver],1,Table2[AwayTeam],$A67, Table2[HomeTeam], Q$36, Table2[ActualResult], "OT") + SUMIFS(Table2[AwayWon], Table2[GameIsOver],1,Table2[HomeTeam],$A67, Table2[AwayTeam], Q$36, Table2[ActualResult], "OT") + SUMIFS(Table2[HomeWon_], Table2[GameIsOver],1,Table2[AwayTeam],$A67, Table2[HomeTeam], Q$36, Table2[ActualResult], "SO") + SUMIFS(Table2[AwayWon], Table2[GameIsOver],1,Table2[HomeTeam],$A67, Table2[AwayTeam], Q$36, Table2[ActualResult], "SO")) / (2*(SUMIFS(Table2[AwayWon], Table2[GameIsOver],1,Table2[AwayTeam],$A67, Table2[HomeTeam], Q$36) + SUMIFS(Table2[HomeWon_], Table2[GameIsOver],1,Table2[HomeTeam],$A67, Table2[AwayTeam], Q$36) + SUMIFS(Table2[HomeWon_], Table2[GameIsOver],1,Table2[AwayTeam],$A67, Table2[HomeTeam], Q$36, Table2[ActualResult], "REG") + SUMIFS(Table2[AwayWon], Table2[GameIsOver],1,Table2[HomeTeam],$A67, Table2[AwayTeam], Q$36, Table2[ActualResult], "REG") + SUMIFS(Table2[HomeWon_], Table2[GameIsOver],1,Table2[AwayTeam],$A67, Table2[HomeTeam], Q$36, Table2[ActualResult], "OT") + SUMIFS(Table2[AwayWon], Table2[GameIsOver],1,Table2[HomeTeam],$A67, Table2[AwayTeam], Q$36, Table2[ActualResult], "OT") + SUMIFS(Table2[HomeWon_], Table2[GameIsOver],1,Table2[AwayTeam],$A67, Table2[HomeTeam], Q$36, Table2[ActualResult], "SO") + SUMIFS(Table2[AwayWon], Table2[GameIsOver],1,Table2[HomeTeam],$A67, Table2[AwayTeam], Q$36, Table2[ActualResult], "SO"))), "")</f>
        <v/>
      </c>
      <c r="R67" t="str">
        <f>IFERROR(((2*SUMIFS(Table2[AwayWon], Table2[GameIsOver],1,Table2[AwayTeam],$A67, Table2[HomeTeam], R$36) + SUMIFS(Table2[HomeWon_], Table2[GameIsOver],1,Table2[HomeTeam],$A67, Table2[AwayTeam], R$36)) + SUMIFS(Table2[AwayWon], Table2[GameIsOver],1,Table2[HomeTeam],$A67, Table2[AwayTeam], R$36, Table2[ActualResult], "REG") + SUMIFS(Table2[HomeWon_], Table2[GameIsOver],1,Table2[AwayTeam],$A67, Table2[HomeTeam], R$36, Table2[ActualResult], "OT") + SUMIFS(Table2[AwayWon], Table2[GameIsOver],1,Table2[HomeTeam],$A67, Table2[AwayTeam], R$36, Table2[ActualResult], "OT") + SUMIFS(Table2[HomeWon_], Table2[GameIsOver],1,Table2[AwayTeam],$A67, Table2[HomeTeam], R$36, Table2[ActualResult], "SO") + SUMIFS(Table2[AwayWon], Table2[GameIsOver],1,Table2[HomeTeam],$A67, Table2[AwayTeam], R$36, Table2[ActualResult], "SO")) / (2*(SUMIFS(Table2[AwayWon], Table2[GameIsOver],1,Table2[AwayTeam],$A67, Table2[HomeTeam], R$36) + SUMIFS(Table2[HomeWon_], Table2[GameIsOver],1,Table2[HomeTeam],$A67, Table2[AwayTeam], R$36) + SUMIFS(Table2[HomeWon_], Table2[GameIsOver],1,Table2[AwayTeam],$A67, Table2[HomeTeam], R$36, Table2[ActualResult], "REG") + SUMIFS(Table2[AwayWon], Table2[GameIsOver],1,Table2[HomeTeam],$A67, Table2[AwayTeam], R$36, Table2[ActualResult], "REG") + SUMIFS(Table2[HomeWon_], Table2[GameIsOver],1,Table2[AwayTeam],$A67, Table2[HomeTeam], R$36, Table2[ActualResult], "OT") + SUMIFS(Table2[AwayWon], Table2[GameIsOver],1,Table2[HomeTeam],$A67, Table2[AwayTeam], R$36, Table2[ActualResult], "OT") + SUMIFS(Table2[HomeWon_], Table2[GameIsOver],1,Table2[AwayTeam],$A67, Table2[HomeTeam], R$36, Table2[ActualResult], "SO") + SUMIFS(Table2[AwayWon], Table2[GameIsOver],1,Table2[HomeTeam],$A67, Table2[AwayTeam], R$36, Table2[ActualResult], "SO"))), "")</f>
        <v/>
      </c>
      <c r="S67">
        <f>IFERROR(((2*SUMIFS(Table2[AwayWon], Table2[GameIsOver],1,Table2[AwayTeam],$A67, Table2[HomeTeam], S$36) + SUMIFS(Table2[HomeWon_], Table2[GameIsOver],1,Table2[HomeTeam],$A67, Table2[AwayTeam], S$36)) + SUMIFS(Table2[AwayWon], Table2[GameIsOver],1,Table2[HomeTeam],$A67, Table2[AwayTeam], S$36, Table2[ActualResult], "REG") + SUMIFS(Table2[HomeWon_], Table2[GameIsOver],1,Table2[AwayTeam],$A67, Table2[HomeTeam], S$36, Table2[ActualResult], "OT") + SUMIFS(Table2[AwayWon], Table2[GameIsOver],1,Table2[HomeTeam],$A67, Table2[AwayTeam], S$36, Table2[ActualResult], "OT") + SUMIFS(Table2[HomeWon_], Table2[GameIsOver],1,Table2[AwayTeam],$A67, Table2[HomeTeam], S$36, Table2[ActualResult], "SO") + SUMIFS(Table2[AwayWon], Table2[GameIsOver],1,Table2[HomeTeam],$A67, Table2[AwayTeam], S$36, Table2[ActualResult], "SO")) / (2*(SUMIFS(Table2[AwayWon], Table2[GameIsOver],1,Table2[AwayTeam],$A67, Table2[HomeTeam], S$36) + SUMIFS(Table2[HomeWon_], Table2[GameIsOver],1,Table2[HomeTeam],$A67, Table2[AwayTeam], S$36) + SUMIFS(Table2[HomeWon_], Table2[GameIsOver],1,Table2[AwayTeam],$A67, Table2[HomeTeam], S$36, Table2[ActualResult], "REG") + SUMIFS(Table2[AwayWon], Table2[GameIsOver],1,Table2[HomeTeam],$A67, Table2[AwayTeam], S$36, Table2[ActualResult], "REG") + SUMIFS(Table2[HomeWon_], Table2[GameIsOver],1,Table2[AwayTeam],$A67, Table2[HomeTeam], S$36, Table2[ActualResult], "OT") + SUMIFS(Table2[AwayWon], Table2[GameIsOver],1,Table2[HomeTeam],$A67, Table2[AwayTeam], S$36, Table2[ActualResult], "OT") + SUMIFS(Table2[HomeWon_], Table2[GameIsOver],1,Table2[AwayTeam],$A67, Table2[HomeTeam], S$36, Table2[ActualResult], "SO") + SUMIFS(Table2[AwayWon], Table2[GameIsOver],1,Table2[HomeTeam],$A67, Table2[AwayTeam], S$36, Table2[ActualResult], "SO"))), "")</f>
        <v>0</v>
      </c>
      <c r="T67">
        <f>IFERROR(((2*SUMIFS(Table2[AwayWon], Table2[GameIsOver],1,Table2[AwayTeam],$A67, Table2[HomeTeam], T$36) + SUMIFS(Table2[HomeWon_], Table2[GameIsOver],1,Table2[HomeTeam],$A67, Table2[AwayTeam], T$36)) + SUMIFS(Table2[AwayWon], Table2[GameIsOver],1,Table2[HomeTeam],$A67, Table2[AwayTeam], T$36, Table2[ActualResult], "REG") + SUMIFS(Table2[HomeWon_], Table2[GameIsOver],1,Table2[AwayTeam],$A67, Table2[HomeTeam], T$36, Table2[ActualResult], "OT") + SUMIFS(Table2[AwayWon], Table2[GameIsOver],1,Table2[HomeTeam],$A67, Table2[AwayTeam], T$36, Table2[ActualResult], "OT") + SUMIFS(Table2[HomeWon_], Table2[GameIsOver],1,Table2[AwayTeam],$A67, Table2[HomeTeam], T$36, Table2[ActualResult], "SO") + SUMIFS(Table2[AwayWon], Table2[GameIsOver],1,Table2[HomeTeam],$A67, Table2[AwayTeam], T$36, Table2[ActualResult], "SO")) / (2*(SUMIFS(Table2[AwayWon], Table2[GameIsOver],1,Table2[AwayTeam],$A67, Table2[HomeTeam], T$36) + SUMIFS(Table2[HomeWon_], Table2[GameIsOver],1,Table2[HomeTeam],$A67, Table2[AwayTeam], T$36) + SUMIFS(Table2[HomeWon_], Table2[GameIsOver],1,Table2[AwayTeam],$A67, Table2[HomeTeam], T$36, Table2[ActualResult], "REG") + SUMIFS(Table2[AwayWon], Table2[GameIsOver],1,Table2[HomeTeam],$A67, Table2[AwayTeam], T$36, Table2[ActualResult], "REG") + SUMIFS(Table2[HomeWon_], Table2[GameIsOver],1,Table2[AwayTeam],$A67, Table2[HomeTeam], T$36, Table2[ActualResult], "OT") + SUMIFS(Table2[AwayWon], Table2[GameIsOver],1,Table2[HomeTeam],$A67, Table2[AwayTeam], T$36, Table2[ActualResult], "OT") + SUMIFS(Table2[HomeWon_], Table2[GameIsOver],1,Table2[AwayTeam],$A67, Table2[HomeTeam], T$36, Table2[ActualResult], "SO") + SUMIFS(Table2[AwayWon], Table2[GameIsOver],1,Table2[HomeTeam],$A67, Table2[AwayTeam], T$36, Table2[ActualResult], "SO"))), "")</f>
        <v>0.5</v>
      </c>
      <c r="U67" t="str">
        <f>IFERROR(((2*SUMIFS(Table2[AwayWon], Table2[GameIsOver],1,Table2[AwayTeam],$A67, Table2[HomeTeam], U$36) + SUMIFS(Table2[HomeWon_], Table2[GameIsOver],1,Table2[HomeTeam],$A67, Table2[AwayTeam], U$36)) + SUMIFS(Table2[AwayWon], Table2[GameIsOver],1,Table2[HomeTeam],$A67, Table2[AwayTeam], U$36, Table2[ActualResult], "REG") + SUMIFS(Table2[HomeWon_], Table2[GameIsOver],1,Table2[AwayTeam],$A67, Table2[HomeTeam], U$36, Table2[ActualResult], "OT") + SUMIFS(Table2[AwayWon], Table2[GameIsOver],1,Table2[HomeTeam],$A67, Table2[AwayTeam], U$36, Table2[ActualResult], "OT") + SUMIFS(Table2[HomeWon_], Table2[GameIsOver],1,Table2[AwayTeam],$A67, Table2[HomeTeam], U$36, Table2[ActualResult], "SO") + SUMIFS(Table2[AwayWon], Table2[GameIsOver],1,Table2[HomeTeam],$A67, Table2[AwayTeam], U$36, Table2[ActualResult], "SO")) / (2*(SUMIFS(Table2[AwayWon], Table2[GameIsOver],1,Table2[AwayTeam],$A67, Table2[HomeTeam], U$36) + SUMIFS(Table2[HomeWon_], Table2[GameIsOver],1,Table2[HomeTeam],$A67, Table2[AwayTeam], U$36) + SUMIFS(Table2[HomeWon_], Table2[GameIsOver],1,Table2[AwayTeam],$A67, Table2[HomeTeam], U$36, Table2[ActualResult], "REG") + SUMIFS(Table2[AwayWon], Table2[GameIsOver],1,Table2[HomeTeam],$A67, Table2[AwayTeam], U$36, Table2[ActualResult], "REG") + SUMIFS(Table2[HomeWon_], Table2[GameIsOver],1,Table2[AwayTeam],$A67, Table2[HomeTeam], U$36, Table2[ActualResult], "OT") + SUMIFS(Table2[AwayWon], Table2[GameIsOver],1,Table2[HomeTeam],$A67, Table2[AwayTeam], U$36, Table2[ActualResult], "OT") + SUMIFS(Table2[HomeWon_], Table2[GameIsOver],1,Table2[AwayTeam],$A67, Table2[HomeTeam], U$36, Table2[ActualResult], "SO") + SUMIFS(Table2[AwayWon], Table2[GameIsOver],1,Table2[HomeTeam],$A67, Table2[AwayTeam], U$36, Table2[ActualResult], "SO"))), "")</f>
        <v/>
      </c>
      <c r="V67" t="str">
        <f>IFERROR(((2*SUMIFS(Table2[AwayWon], Table2[GameIsOver],1,Table2[AwayTeam],$A67, Table2[HomeTeam], V$36) + SUMIFS(Table2[HomeWon_], Table2[GameIsOver],1,Table2[HomeTeam],$A67, Table2[AwayTeam], V$36)) + SUMIFS(Table2[AwayWon], Table2[GameIsOver],1,Table2[HomeTeam],$A67, Table2[AwayTeam], V$36, Table2[ActualResult], "REG") + SUMIFS(Table2[HomeWon_], Table2[GameIsOver],1,Table2[AwayTeam],$A67, Table2[HomeTeam], V$36, Table2[ActualResult], "OT") + SUMIFS(Table2[AwayWon], Table2[GameIsOver],1,Table2[HomeTeam],$A67, Table2[AwayTeam], V$36, Table2[ActualResult], "OT") + SUMIFS(Table2[HomeWon_], Table2[GameIsOver],1,Table2[AwayTeam],$A67, Table2[HomeTeam], V$36, Table2[ActualResult], "SO") + SUMIFS(Table2[AwayWon], Table2[GameIsOver],1,Table2[HomeTeam],$A67, Table2[AwayTeam], V$36, Table2[ActualResult], "SO")) / (2*(SUMIFS(Table2[AwayWon], Table2[GameIsOver],1,Table2[AwayTeam],$A67, Table2[HomeTeam], V$36) + SUMIFS(Table2[HomeWon_], Table2[GameIsOver],1,Table2[HomeTeam],$A67, Table2[AwayTeam], V$36) + SUMIFS(Table2[HomeWon_], Table2[GameIsOver],1,Table2[AwayTeam],$A67, Table2[HomeTeam], V$36, Table2[ActualResult], "REG") + SUMIFS(Table2[AwayWon], Table2[GameIsOver],1,Table2[HomeTeam],$A67, Table2[AwayTeam], V$36, Table2[ActualResult], "REG") + SUMIFS(Table2[HomeWon_], Table2[GameIsOver],1,Table2[AwayTeam],$A67, Table2[HomeTeam], V$36, Table2[ActualResult], "OT") + SUMIFS(Table2[AwayWon], Table2[GameIsOver],1,Table2[HomeTeam],$A67, Table2[AwayTeam], V$36, Table2[ActualResult], "OT") + SUMIFS(Table2[HomeWon_], Table2[GameIsOver],1,Table2[AwayTeam],$A67, Table2[HomeTeam], V$36, Table2[ActualResult], "SO") + SUMIFS(Table2[AwayWon], Table2[GameIsOver],1,Table2[HomeTeam],$A67, Table2[AwayTeam], V$36, Table2[ActualResult], "SO"))), "")</f>
        <v/>
      </c>
      <c r="W67" t="str">
        <f>IFERROR(((2*SUMIFS(Table2[AwayWon], Table2[GameIsOver],1,Table2[AwayTeam],$A67, Table2[HomeTeam], W$36) + SUMIFS(Table2[HomeWon_], Table2[GameIsOver],1,Table2[HomeTeam],$A67, Table2[AwayTeam], W$36)) + SUMIFS(Table2[AwayWon], Table2[GameIsOver],1,Table2[HomeTeam],$A67, Table2[AwayTeam], W$36, Table2[ActualResult], "REG") + SUMIFS(Table2[HomeWon_], Table2[GameIsOver],1,Table2[AwayTeam],$A67, Table2[HomeTeam], W$36, Table2[ActualResult], "OT") + SUMIFS(Table2[AwayWon], Table2[GameIsOver],1,Table2[HomeTeam],$A67, Table2[AwayTeam], W$36, Table2[ActualResult], "OT") + SUMIFS(Table2[HomeWon_], Table2[GameIsOver],1,Table2[AwayTeam],$A67, Table2[HomeTeam], W$36, Table2[ActualResult], "SO") + SUMIFS(Table2[AwayWon], Table2[GameIsOver],1,Table2[HomeTeam],$A67, Table2[AwayTeam], W$36, Table2[ActualResult], "SO")) / (2*(SUMIFS(Table2[AwayWon], Table2[GameIsOver],1,Table2[AwayTeam],$A67, Table2[HomeTeam], W$36) + SUMIFS(Table2[HomeWon_], Table2[GameIsOver],1,Table2[HomeTeam],$A67, Table2[AwayTeam], W$36) + SUMIFS(Table2[HomeWon_], Table2[GameIsOver],1,Table2[AwayTeam],$A67, Table2[HomeTeam], W$36, Table2[ActualResult], "REG") + SUMIFS(Table2[AwayWon], Table2[GameIsOver],1,Table2[HomeTeam],$A67, Table2[AwayTeam], W$36, Table2[ActualResult], "REG") + SUMIFS(Table2[HomeWon_], Table2[GameIsOver],1,Table2[AwayTeam],$A67, Table2[HomeTeam], W$36, Table2[ActualResult], "OT") + SUMIFS(Table2[AwayWon], Table2[GameIsOver],1,Table2[HomeTeam],$A67, Table2[AwayTeam], W$36, Table2[ActualResult], "OT") + SUMIFS(Table2[HomeWon_], Table2[GameIsOver],1,Table2[AwayTeam],$A67, Table2[HomeTeam], W$36, Table2[ActualResult], "SO") + SUMIFS(Table2[AwayWon], Table2[GameIsOver],1,Table2[HomeTeam],$A67, Table2[AwayTeam], W$36, Table2[ActualResult], "SO"))), "")</f>
        <v/>
      </c>
      <c r="X67" t="str">
        <f>IFERROR(((2*SUMIFS(Table2[AwayWon], Table2[GameIsOver],1,Table2[AwayTeam],$A67, Table2[HomeTeam], X$36) + SUMIFS(Table2[HomeWon_], Table2[GameIsOver],1,Table2[HomeTeam],$A67, Table2[AwayTeam], X$36)) + SUMIFS(Table2[AwayWon], Table2[GameIsOver],1,Table2[HomeTeam],$A67, Table2[AwayTeam], X$36, Table2[ActualResult], "REG") + SUMIFS(Table2[HomeWon_], Table2[GameIsOver],1,Table2[AwayTeam],$A67, Table2[HomeTeam], X$36, Table2[ActualResult], "OT") + SUMIFS(Table2[AwayWon], Table2[GameIsOver],1,Table2[HomeTeam],$A67, Table2[AwayTeam], X$36, Table2[ActualResult], "OT") + SUMIFS(Table2[HomeWon_], Table2[GameIsOver],1,Table2[AwayTeam],$A67, Table2[HomeTeam], X$36, Table2[ActualResult], "SO") + SUMIFS(Table2[AwayWon], Table2[GameIsOver],1,Table2[HomeTeam],$A67, Table2[AwayTeam], X$36, Table2[ActualResult], "SO")) / (2*(SUMIFS(Table2[AwayWon], Table2[GameIsOver],1,Table2[AwayTeam],$A67, Table2[HomeTeam], X$36) + SUMIFS(Table2[HomeWon_], Table2[GameIsOver],1,Table2[HomeTeam],$A67, Table2[AwayTeam], X$36) + SUMIFS(Table2[HomeWon_], Table2[GameIsOver],1,Table2[AwayTeam],$A67, Table2[HomeTeam], X$36, Table2[ActualResult], "REG") + SUMIFS(Table2[AwayWon], Table2[GameIsOver],1,Table2[HomeTeam],$A67, Table2[AwayTeam], X$36, Table2[ActualResult], "REG") + SUMIFS(Table2[HomeWon_], Table2[GameIsOver],1,Table2[AwayTeam],$A67, Table2[HomeTeam], X$36, Table2[ActualResult], "OT") + SUMIFS(Table2[AwayWon], Table2[GameIsOver],1,Table2[HomeTeam],$A67, Table2[AwayTeam], X$36, Table2[ActualResult], "OT") + SUMIFS(Table2[HomeWon_], Table2[GameIsOver],1,Table2[AwayTeam],$A67, Table2[HomeTeam], X$36, Table2[ActualResult], "SO") + SUMIFS(Table2[AwayWon], Table2[GameIsOver],1,Table2[HomeTeam],$A67, Table2[AwayTeam], X$36, Table2[ActualResult], "SO"))), "")</f>
        <v/>
      </c>
      <c r="Y67" s="57">
        <f>IFERROR(((2*SUMIFS(Table2[AwayWon], Table2[GameIsOver],1,Table2[AwayTeam],$A67, Table2[HomeTeam], Y$36) + SUMIFS(Table2[HomeWon_], Table2[GameIsOver],1,Table2[HomeTeam],$A67, Table2[AwayTeam], Y$36)) + SUMIFS(Table2[AwayWon], Table2[GameIsOver],1,Table2[HomeTeam],$A67, Table2[AwayTeam], Y$36, Table2[ActualResult], "REG") + SUMIFS(Table2[HomeWon_], Table2[GameIsOver],1,Table2[AwayTeam],$A67, Table2[HomeTeam], Y$36, Table2[ActualResult], "OT") + SUMIFS(Table2[AwayWon], Table2[GameIsOver],1,Table2[HomeTeam],$A67, Table2[AwayTeam], Y$36, Table2[ActualResult], "OT") + SUMIFS(Table2[HomeWon_], Table2[GameIsOver],1,Table2[AwayTeam],$A67, Table2[HomeTeam], Y$36, Table2[ActualResult], "SO") + SUMIFS(Table2[AwayWon], Table2[GameIsOver],1,Table2[HomeTeam],$A67, Table2[AwayTeam], Y$36, Table2[ActualResult], "SO")) / (2*(SUMIFS(Table2[AwayWon], Table2[GameIsOver],1,Table2[AwayTeam],$A67, Table2[HomeTeam], Y$36) + SUMIFS(Table2[HomeWon_], Table2[GameIsOver],1,Table2[HomeTeam],$A67, Table2[AwayTeam], Y$36) + SUMIFS(Table2[HomeWon_], Table2[GameIsOver],1,Table2[AwayTeam],$A67, Table2[HomeTeam], Y$36, Table2[ActualResult], "REG") + SUMIFS(Table2[AwayWon], Table2[GameIsOver],1,Table2[HomeTeam],$A67, Table2[AwayTeam], Y$36, Table2[ActualResult], "REG") + SUMIFS(Table2[HomeWon_], Table2[GameIsOver],1,Table2[AwayTeam],$A67, Table2[HomeTeam], Y$36, Table2[ActualResult], "OT") + SUMIFS(Table2[AwayWon], Table2[GameIsOver],1,Table2[HomeTeam],$A67, Table2[AwayTeam], Y$36, Table2[ActualResult], "OT") + SUMIFS(Table2[HomeWon_], Table2[GameIsOver],1,Table2[AwayTeam],$A67, Table2[HomeTeam], Y$36, Table2[ActualResult], "SO") + SUMIFS(Table2[AwayWon], Table2[GameIsOver],1,Table2[HomeTeam],$A67, Table2[AwayTeam], Y$36, Table2[ActualResult], "SO"))), "")</f>
        <v>0.5</v>
      </c>
      <c r="Z67">
        <f>IFERROR(((2*SUMIFS(Table2[AwayWon], Table2[GameIsOver],1,Table2[AwayTeam],$A67, Table2[HomeTeam], Z$36) + SUMIFS(Table2[HomeWon_], Table2[GameIsOver],1,Table2[HomeTeam],$A67, Table2[AwayTeam], Z$36)) + SUMIFS(Table2[AwayWon], Table2[GameIsOver],1,Table2[HomeTeam],$A67, Table2[AwayTeam], Z$36, Table2[ActualResult], "REG") + SUMIFS(Table2[HomeWon_], Table2[GameIsOver],1,Table2[AwayTeam],$A67, Table2[HomeTeam], Z$36, Table2[ActualResult], "OT") + SUMIFS(Table2[AwayWon], Table2[GameIsOver],1,Table2[HomeTeam],$A67, Table2[AwayTeam], Z$36, Table2[ActualResult], "OT") + SUMIFS(Table2[HomeWon_], Table2[GameIsOver],1,Table2[AwayTeam],$A67, Table2[HomeTeam], Z$36, Table2[ActualResult], "SO") + SUMIFS(Table2[AwayWon], Table2[GameIsOver],1,Table2[HomeTeam],$A67, Table2[AwayTeam], Z$36, Table2[ActualResult], "SO")) / (2*(SUMIFS(Table2[AwayWon], Table2[GameIsOver],1,Table2[AwayTeam],$A67, Table2[HomeTeam], Z$36) + SUMIFS(Table2[HomeWon_], Table2[GameIsOver],1,Table2[HomeTeam],$A67, Table2[AwayTeam], Z$36) + SUMIFS(Table2[HomeWon_], Table2[GameIsOver],1,Table2[AwayTeam],$A67, Table2[HomeTeam], Z$36, Table2[ActualResult], "REG") + SUMIFS(Table2[AwayWon], Table2[GameIsOver],1,Table2[HomeTeam],$A67, Table2[AwayTeam], Z$36, Table2[ActualResult], "REG") + SUMIFS(Table2[HomeWon_], Table2[GameIsOver],1,Table2[AwayTeam],$A67, Table2[HomeTeam], Z$36, Table2[ActualResult], "OT") + SUMIFS(Table2[AwayWon], Table2[GameIsOver],1,Table2[HomeTeam],$A67, Table2[AwayTeam], Z$36, Table2[ActualResult], "OT") + SUMIFS(Table2[HomeWon_], Table2[GameIsOver],1,Table2[AwayTeam],$A67, Table2[HomeTeam], Z$36, Table2[ActualResult], "SO") + SUMIFS(Table2[AwayWon], Table2[GameIsOver],1,Table2[HomeTeam],$A67, Table2[AwayTeam], Z$36, Table2[ActualResult], "SO"))), "")</f>
        <v>1</v>
      </c>
      <c r="AA67" t="str">
        <f>IFERROR(((2*SUMIFS(Table2[AwayWon], Table2[GameIsOver],1,Table2[AwayTeam],$A67, Table2[HomeTeam], AA$36) + SUMIFS(Table2[HomeWon_], Table2[GameIsOver],1,Table2[HomeTeam],$A67, Table2[AwayTeam], AA$36)) + SUMIFS(Table2[AwayWon], Table2[GameIsOver],1,Table2[HomeTeam],$A67, Table2[AwayTeam], AA$36, Table2[ActualResult], "REG") + SUMIFS(Table2[HomeWon_], Table2[GameIsOver],1,Table2[AwayTeam],$A67, Table2[HomeTeam], AA$36, Table2[ActualResult], "OT") + SUMIFS(Table2[AwayWon], Table2[GameIsOver],1,Table2[HomeTeam],$A67, Table2[AwayTeam], AA$36, Table2[ActualResult], "OT") + SUMIFS(Table2[HomeWon_], Table2[GameIsOver],1,Table2[AwayTeam],$A67, Table2[HomeTeam], AA$36, Table2[ActualResult], "SO") + SUMIFS(Table2[AwayWon], Table2[GameIsOver],1,Table2[HomeTeam],$A67, Table2[AwayTeam], AA$36, Table2[ActualResult], "SO")) / (2*(SUMIFS(Table2[AwayWon], Table2[GameIsOver],1,Table2[AwayTeam],$A67, Table2[HomeTeam], AA$36) + SUMIFS(Table2[HomeWon_], Table2[GameIsOver],1,Table2[HomeTeam],$A67, Table2[AwayTeam], AA$36) + SUMIFS(Table2[HomeWon_], Table2[GameIsOver],1,Table2[AwayTeam],$A67, Table2[HomeTeam], AA$36, Table2[ActualResult], "REG") + SUMIFS(Table2[AwayWon], Table2[GameIsOver],1,Table2[HomeTeam],$A67, Table2[AwayTeam], AA$36, Table2[ActualResult], "REG") + SUMIFS(Table2[HomeWon_], Table2[GameIsOver],1,Table2[AwayTeam],$A67, Table2[HomeTeam], AA$36, Table2[ActualResult], "OT") + SUMIFS(Table2[AwayWon], Table2[GameIsOver],1,Table2[HomeTeam],$A67, Table2[AwayTeam], AA$36, Table2[ActualResult], "OT") + SUMIFS(Table2[HomeWon_], Table2[GameIsOver],1,Table2[AwayTeam],$A67, Table2[HomeTeam], AA$36, Table2[ActualResult], "SO") + SUMIFS(Table2[AwayWon], Table2[GameIsOver],1,Table2[HomeTeam],$A67, Table2[AwayTeam], AA$36, Table2[ActualResult], "SO"))), "")</f>
        <v/>
      </c>
      <c r="AB67">
        <f>IFERROR(((2*SUMIFS(Table2[AwayWon], Table2[GameIsOver],1,Table2[AwayTeam],$A67, Table2[HomeTeam], AB$36) + SUMIFS(Table2[HomeWon_], Table2[GameIsOver],1,Table2[HomeTeam],$A67, Table2[AwayTeam], AB$36)) + SUMIFS(Table2[AwayWon], Table2[GameIsOver],1,Table2[HomeTeam],$A67, Table2[AwayTeam], AB$36, Table2[ActualResult], "REG") + SUMIFS(Table2[HomeWon_], Table2[GameIsOver],1,Table2[AwayTeam],$A67, Table2[HomeTeam], AB$36, Table2[ActualResult], "OT") + SUMIFS(Table2[AwayWon], Table2[GameIsOver],1,Table2[HomeTeam],$A67, Table2[AwayTeam], AB$36, Table2[ActualResult], "OT") + SUMIFS(Table2[HomeWon_], Table2[GameIsOver],1,Table2[AwayTeam],$A67, Table2[HomeTeam], AB$36, Table2[ActualResult], "SO") + SUMIFS(Table2[AwayWon], Table2[GameIsOver],1,Table2[HomeTeam],$A67, Table2[AwayTeam], AB$36, Table2[ActualResult], "SO")) / (2*(SUMIFS(Table2[AwayWon], Table2[GameIsOver],1,Table2[AwayTeam],$A67, Table2[HomeTeam], AB$36) + SUMIFS(Table2[HomeWon_], Table2[GameIsOver],1,Table2[HomeTeam],$A67, Table2[AwayTeam], AB$36) + SUMIFS(Table2[HomeWon_], Table2[GameIsOver],1,Table2[AwayTeam],$A67, Table2[HomeTeam], AB$36, Table2[ActualResult], "REG") + SUMIFS(Table2[AwayWon], Table2[GameIsOver],1,Table2[HomeTeam],$A67, Table2[AwayTeam], AB$36, Table2[ActualResult], "REG") + SUMIFS(Table2[HomeWon_], Table2[GameIsOver],1,Table2[AwayTeam],$A67, Table2[HomeTeam], AB$36, Table2[ActualResult], "OT") + SUMIFS(Table2[AwayWon], Table2[GameIsOver],1,Table2[HomeTeam],$A67, Table2[AwayTeam], AB$36, Table2[ActualResult], "OT") + SUMIFS(Table2[HomeWon_], Table2[GameIsOver],1,Table2[AwayTeam],$A67, Table2[HomeTeam], AB$36, Table2[ActualResult], "SO") + SUMIFS(Table2[AwayWon], Table2[GameIsOver],1,Table2[HomeTeam],$A67, Table2[AwayTeam], AB$36, Table2[ActualResult], "SO"))), "")</f>
        <v>0.5</v>
      </c>
      <c r="AC67" t="str">
        <f>IFERROR(((2*SUMIFS(Table2[AwayWon], Table2[GameIsOver],1,Table2[AwayTeam],$A67, Table2[HomeTeam], AC$36) + SUMIFS(Table2[HomeWon_], Table2[GameIsOver],1,Table2[HomeTeam],$A67, Table2[AwayTeam], AC$36)) + SUMIFS(Table2[AwayWon], Table2[GameIsOver],1,Table2[HomeTeam],$A67, Table2[AwayTeam], AC$36, Table2[ActualResult], "REG") + SUMIFS(Table2[HomeWon_], Table2[GameIsOver],1,Table2[AwayTeam],$A67, Table2[HomeTeam], AC$36, Table2[ActualResult], "OT") + SUMIFS(Table2[AwayWon], Table2[GameIsOver],1,Table2[HomeTeam],$A67, Table2[AwayTeam], AC$36, Table2[ActualResult], "OT") + SUMIFS(Table2[HomeWon_], Table2[GameIsOver],1,Table2[AwayTeam],$A67, Table2[HomeTeam], AC$36, Table2[ActualResult], "SO") + SUMIFS(Table2[AwayWon], Table2[GameIsOver],1,Table2[HomeTeam],$A67, Table2[AwayTeam], AC$36, Table2[ActualResult], "SO")) / (2*(SUMIFS(Table2[AwayWon], Table2[GameIsOver],1,Table2[AwayTeam],$A67, Table2[HomeTeam], AC$36) + SUMIFS(Table2[HomeWon_], Table2[GameIsOver],1,Table2[HomeTeam],$A67, Table2[AwayTeam], AC$36) + SUMIFS(Table2[HomeWon_], Table2[GameIsOver],1,Table2[AwayTeam],$A67, Table2[HomeTeam], AC$36, Table2[ActualResult], "REG") + SUMIFS(Table2[AwayWon], Table2[GameIsOver],1,Table2[HomeTeam],$A67, Table2[AwayTeam], AC$36, Table2[ActualResult], "REG") + SUMIFS(Table2[HomeWon_], Table2[GameIsOver],1,Table2[AwayTeam],$A67, Table2[HomeTeam], AC$36, Table2[ActualResult], "OT") + SUMIFS(Table2[AwayWon], Table2[GameIsOver],1,Table2[HomeTeam],$A67, Table2[AwayTeam], AC$36, Table2[ActualResult], "OT") + SUMIFS(Table2[HomeWon_], Table2[GameIsOver],1,Table2[AwayTeam],$A67, Table2[HomeTeam], AC$36, Table2[ActualResult], "SO") + SUMIFS(Table2[AwayWon], Table2[GameIsOver],1,Table2[HomeTeam],$A67, Table2[AwayTeam], AC$36, Table2[ActualResult], "SO"))), "")</f>
        <v/>
      </c>
      <c r="AD67" t="str">
        <f>IFERROR(((2*SUMIFS(Table2[AwayWon], Table2[GameIsOver],1,Table2[AwayTeam],$A67, Table2[HomeTeam], AD$36) + SUMIFS(Table2[HomeWon_], Table2[GameIsOver],1,Table2[HomeTeam],$A67, Table2[AwayTeam], AD$36)) + SUMIFS(Table2[AwayWon], Table2[GameIsOver],1,Table2[HomeTeam],$A67, Table2[AwayTeam], AD$36, Table2[ActualResult], "REG") + SUMIFS(Table2[HomeWon_], Table2[GameIsOver],1,Table2[AwayTeam],$A67, Table2[HomeTeam], AD$36, Table2[ActualResult], "OT") + SUMIFS(Table2[AwayWon], Table2[GameIsOver],1,Table2[HomeTeam],$A67, Table2[AwayTeam], AD$36, Table2[ActualResult], "OT") + SUMIFS(Table2[HomeWon_], Table2[GameIsOver],1,Table2[AwayTeam],$A67, Table2[HomeTeam], AD$36, Table2[ActualResult], "SO") + SUMIFS(Table2[AwayWon], Table2[GameIsOver],1,Table2[HomeTeam],$A67, Table2[AwayTeam], AD$36, Table2[ActualResult], "SO")) / (2*(SUMIFS(Table2[AwayWon], Table2[GameIsOver],1,Table2[AwayTeam],$A67, Table2[HomeTeam], AD$36) + SUMIFS(Table2[HomeWon_], Table2[GameIsOver],1,Table2[HomeTeam],$A67, Table2[AwayTeam], AD$36) + SUMIFS(Table2[HomeWon_], Table2[GameIsOver],1,Table2[AwayTeam],$A67, Table2[HomeTeam], AD$36, Table2[ActualResult], "REG") + SUMIFS(Table2[AwayWon], Table2[GameIsOver],1,Table2[HomeTeam],$A67, Table2[AwayTeam], AD$36, Table2[ActualResult], "REG") + SUMIFS(Table2[HomeWon_], Table2[GameIsOver],1,Table2[AwayTeam],$A67, Table2[HomeTeam], AD$36, Table2[ActualResult], "OT") + SUMIFS(Table2[AwayWon], Table2[GameIsOver],1,Table2[HomeTeam],$A67, Table2[AwayTeam], AD$36, Table2[ActualResult], "OT") + SUMIFS(Table2[HomeWon_], Table2[GameIsOver],1,Table2[AwayTeam],$A67, Table2[HomeTeam], AD$36, Table2[ActualResult], "SO") + SUMIFS(Table2[AwayWon], Table2[GameIsOver],1,Table2[HomeTeam],$A67, Table2[AwayTeam], AD$36, Table2[ActualResult], "SO"))), "")</f>
        <v/>
      </c>
      <c r="AE67">
        <f>IFERROR(((2*SUMIFS(Table2[AwayWon], Table2[GameIsOver],1,Table2[AwayTeam],$A67, Table2[HomeTeam], AE$36) + SUMIFS(Table2[HomeWon_], Table2[GameIsOver],1,Table2[HomeTeam],$A67, Table2[AwayTeam], AE$36)) + SUMIFS(Table2[AwayWon], Table2[GameIsOver],1,Table2[HomeTeam],$A67, Table2[AwayTeam], AE$36, Table2[ActualResult], "REG") + SUMIFS(Table2[HomeWon_], Table2[GameIsOver],1,Table2[AwayTeam],$A67, Table2[HomeTeam], AE$36, Table2[ActualResult], "OT") + SUMIFS(Table2[AwayWon], Table2[GameIsOver],1,Table2[HomeTeam],$A67, Table2[AwayTeam], AE$36, Table2[ActualResult], "OT") + SUMIFS(Table2[HomeWon_], Table2[GameIsOver],1,Table2[AwayTeam],$A67, Table2[HomeTeam], AE$36, Table2[ActualResult], "SO") + SUMIFS(Table2[AwayWon], Table2[GameIsOver],1,Table2[HomeTeam],$A67, Table2[AwayTeam], AE$36, Table2[ActualResult], "SO")) / (2*(SUMIFS(Table2[AwayWon], Table2[GameIsOver],1,Table2[AwayTeam],$A67, Table2[HomeTeam], AE$36) + SUMIFS(Table2[HomeWon_], Table2[GameIsOver],1,Table2[HomeTeam],$A67, Table2[AwayTeam], AE$36) + SUMIFS(Table2[HomeWon_], Table2[GameIsOver],1,Table2[AwayTeam],$A67, Table2[HomeTeam], AE$36, Table2[ActualResult], "REG") + SUMIFS(Table2[AwayWon], Table2[GameIsOver],1,Table2[HomeTeam],$A67, Table2[AwayTeam], AE$36, Table2[ActualResult], "REG") + SUMIFS(Table2[HomeWon_], Table2[GameIsOver],1,Table2[AwayTeam],$A67, Table2[HomeTeam], AE$36, Table2[ActualResult], "OT") + SUMIFS(Table2[AwayWon], Table2[GameIsOver],1,Table2[HomeTeam],$A67, Table2[AwayTeam], AE$36, Table2[ActualResult], "OT") + SUMIFS(Table2[HomeWon_], Table2[GameIsOver],1,Table2[AwayTeam],$A67, Table2[HomeTeam], AE$36, Table2[ActualResult], "SO") + SUMIFS(Table2[AwayWon], Table2[GameIsOver],1,Table2[HomeTeam],$A67, Table2[AwayTeam], AE$36, Table2[ActualResult], "SO"))), "")</f>
        <v>0.5</v>
      </c>
      <c r="AF67" s="98" t="str">
        <f>IFERROR(((2*SUMIFS(Table2[AwayWon], Table2[GameIsOver],1,Table2[AwayTeam],$A67, Table2[HomeTeam], AF$36) + SUMIFS(Table2[HomeWon_], Table2[GameIsOver],1,Table2[HomeTeam],$A67, Table2[AwayTeam], AF$36)) + SUMIFS(Table2[AwayWon], Table2[GameIsOver],1,Table2[HomeTeam],$A67, Table2[AwayTeam], AF$36, Table2[ActualResult], "REG") + SUMIFS(Table2[HomeWon_], Table2[GameIsOver],1,Table2[AwayTeam],$A67, Table2[HomeTeam], AF$36, Table2[ActualResult], "OT") + SUMIFS(Table2[AwayWon], Table2[GameIsOver],1,Table2[HomeTeam],$A67, Table2[AwayTeam], AF$36, Table2[ActualResult], "OT") + SUMIFS(Table2[HomeWon_], Table2[GameIsOver],1,Table2[AwayTeam],$A67, Table2[HomeTeam], AF$36, Table2[ActualResult], "SO") + SUMIFS(Table2[AwayWon], Table2[GameIsOver],1,Table2[HomeTeam],$A67, Table2[AwayTeam], AF$36, Table2[ActualResult], "SO")) / (2*(SUMIFS(Table2[AwayWon], Table2[GameIsOver],1,Table2[AwayTeam],$A67, Table2[HomeTeam], AF$36) + SUMIFS(Table2[HomeWon_], Table2[GameIsOver],1,Table2[HomeTeam],$A67, Table2[AwayTeam], AF$36) + SUMIFS(Table2[HomeWon_], Table2[GameIsOver],1,Table2[AwayTeam],$A67, Table2[HomeTeam], AF$36, Table2[ActualResult], "REG") + SUMIFS(Table2[AwayWon], Table2[GameIsOver],1,Table2[HomeTeam],$A67, Table2[AwayTeam], AF$36, Table2[ActualResult], "REG") + SUMIFS(Table2[HomeWon_], Table2[GameIsOver],1,Table2[AwayTeam],$A67, Table2[HomeTeam], AF$36, Table2[ActualResult], "OT") + SUMIFS(Table2[AwayWon], Table2[GameIsOver],1,Table2[HomeTeam],$A67, Table2[AwayTeam], AF$36, Table2[ActualResult], "OT") + SUMIFS(Table2[HomeWon_], Table2[GameIsOver],1,Table2[AwayTeam],$A67, Table2[HomeTeam], AF$36, Table2[ActualResult], "SO") + SUMIFS(Table2[AwayWon], Table2[GameIsOver],1,Table2[HomeTeam],$A67, Table2[AwayTeam], AF$36, Table2[ActualResult], "SO"))), "")</f>
        <v/>
      </c>
      <c r="AG67" s="57" t="str">
        <f>IFERROR(((2*SUMIFS(Table2[AwayWon], Table2[GameIsOver],1,Table2[AwayTeam],$A67, Table2[HomeTeam], AG$36) + SUMIFS(Table2[HomeWon_], Table2[GameIsOver],1,Table2[HomeTeam],$A67, Table2[AwayTeam], AG$36)) + SUMIFS(Table2[AwayWon], Table2[GameIsOver],1,Table2[HomeTeam],$A67, Table2[AwayTeam], AG$36, Table2[ActualResult], "REG") + SUMIFS(Table2[HomeWon_], Table2[GameIsOver],1,Table2[AwayTeam],$A67, Table2[HomeTeam], AG$36, Table2[ActualResult], "OT") + SUMIFS(Table2[AwayWon], Table2[GameIsOver],1,Table2[HomeTeam],$A67, Table2[AwayTeam], AG$36, Table2[ActualResult], "OT") + SUMIFS(Table2[HomeWon_], Table2[GameIsOver],1,Table2[AwayTeam],$A67, Table2[HomeTeam], AG$36, Table2[ActualResult], "SO") + SUMIFS(Table2[AwayWon], Table2[GameIsOver],1,Table2[HomeTeam],$A67, Table2[AwayTeam], AG$36, Table2[ActualResult], "SO")) / (2*(SUMIFS(Table2[AwayWon], Table2[GameIsOver],1,Table2[AwayTeam],$A67, Table2[HomeTeam], AG$36) + SUMIFS(Table2[HomeWon_], Table2[GameIsOver],1,Table2[HomeTeam],$A67, Table2[AwayTeam], AG$36) + SUMIFS(Table2[HomeWon_], Table2[GameIsOver],1,Table2[AwayTeam],$A67, Table2[HomeTeam], AG$36, Table2[ActualResult], "REG") + SUMIFS(Table2[AwayWon], Table2[GameIsOver],1,Table2[HomeTeam],$A67, Table2[AwayTeam], AG$36, Table2[ActualResult], "REG") + SUMIFS(Table2[HomeWon_], Table2[GameIsOver],1,Table2[AwayTeam],$A67, Table2[HomeTeam], AG$36, Table2[ActualResult], "OT") + SUMIFS(Table2[AwayWon], Table2[GameIsOver],1,Table2[HomeTeam],$A67, Table2[AwayTeam], AG$36, Table2[ActualResult], "OT") + SUMIFS(Table2[HomeWon_], Table2[GameIsOver],1,Table2[AwayTeam],$A67, Table2[HomeTeam], AG$36, Table2[ActualResult], "SO") + SUMIFS(Table2[AwayWon], Table2[GameIsOver],1,Table2[HomeTeam],$A67, Table2[AwayTeam], AG$36, Table2[ActualResult], "SO"))), "")</f>
        <v/>
      </c>
      <c r="AH67" s="101">
        <f t="shared" si="0"/>
        <v>0.5</v>
      </c>
      <c r="AI67" s="101" t="e">
        <f t="shared" si="1"/>
        <v>#DIV/0!</v>
      </c>
      <c r="AJ67" s="103">
        <f t="shared" si="2"/>
        <v>0.66666666666666663</v>
      </c>
      <c r="AK67" s="103">
        <f t="shared" si="3"/>
        <v>0.33333333333333331</v>
      </c>
      <c r="AL67" s="103" t="e">
        <f t="shared" si="4"/>
        <v>#DIV/0!</v>
      </c>
      <c r="AM67" s="103" t="e">
        <f t="shared" si="5"/>
        <v>#DIV/0!</v>
      </c>
    </row>
    <row r="68" spans="1:39" ht="15.75" thickBot="1" x14ac:dyDescent="0.3">
      <c r="A68" s="59" t="s">
        <v>17</v>
      </c>
      <c r="B68" s="96" t="str">
        <f>IFERROR(((2*SUMIFS(Table2[AwayWon], Table2[GameIsOver],1,Table2[AwayTeam],$A68, Table2[HomeTeam], B$36) + SUMIFS(Table2[HomeWon_], Table2[GameIsOver],1,Table2[HomeTeam],$A68, Table2[AwayTeam], B$36)) + SUMIFS(Table2[AwayWon], Table2[GameIsOver],1,Table2[HomeTeam],$A68, Table2[AwayTeam], B$36, Table2[ActualResult], "REG") + SUMIFS(Table2[HomeWon_], Table2[GameIsOver],1,Table2[AwayTeam],$A68, Table2[HomeTeam], B$36, Table2[ActualResult], "OT") + SUMIFS(Table2[AwayWon], Table2[GameIsOver],1,Table2[HomeTeam],$A68, Table2[AwayTeam], B$36, Table2[ActualResult], "OT") + SUMIFS(Table2[HomeWon_], Table2[GameIsOver],1,Table2[AwayTeam],$A68, Table2[HomeTeam], B$36, Table2[ActualResult], "SO") + SUMIFS(Table2[AwayWon], Table2[GameIsOver],1,Table2[HomeTeam],$A68, Table2[AwayTeam], B$36, Table2[ActualResult], "SO")) / (2*(SUMIFS(Table2[AwayWon], Table2[GameIsOver],1,Table2[AwayTeam],$A68, Table2[HomeTeam], B$36) + SUMIFS(Table2[HomeWon_], Table2[GameIsOver],1,Table2[HomeTeam],$A68, Table2[AwayTeam], B$36) + SUMIFS(Table2[HomeWon_], Table2[GameIsOver],1,Table2[AwayTeam],$A68, Table2[HomeTeam], B$36, Table2[ActualResult], "REG") + SUMIFS(Table2[AwayWon], Table2[GameIsOver],1,Table2[HomeTeam],$A68, Table2[AwayTeam], B$36, Table2[ActualResult], "REG") + SUMIFS(Table2[HomeWon_], Table2[GameIsOver],1,Table2[AwayTeam],$A68, Table2[HomeTeam], B$36, Table2[ActualResult], "OT") + SUMIFS(Table2[AwayWon], Table2[GameIsOver],1,Table2[HomeTeam],$A68, Table2[AwayTeam], B$36, Table2[ActualResult], "OT") + SUMIFS(Table2[HomeWon_], Table2[GameIsOver],1,Table2[AwayTeam],$A68, Table2[HomeTeam], B$36, Table2[ActualResult], "SO") + SUMIFS(Table2[AwayWon], Table2[GameIsOver],1,Table2[HomeTeam],$A68, Table2[AwayTeam], B$36, Table2[ActualResult], "SO"))), "")</f>
        <v/>
      </c>
      <c r="C68" s="96" t="str">
        <f>IFERROR(((2*SUMIFS(Table2[AwayWon], Table2[GameIsOver],1,Table2[AwayTeam],$A68, Table2[HomeTeam], C$36) + SUMIFS(Table2[HomeWon_], Table2[GameIsOver],1,Table2[HomeTeam],$A68, Table2[AwayTeam], C$36)) + SUMIFS(Table2[AwayWon], Table2[GameIsOver],1,Table2[HomeTeam],$A68, Table2[AwayTeam], C$36, Table2[ActualResult], "REG") + SUMIFS(Table2[HomeWon_], Table2[GameIsOver],1,Table2[AwayTeam],$A68, Table2[HomeTeam], C$36, Table2[ActualResult], "OT") + SUMIFS(Table2[AwayWon], Table2[GameIsOver],1,Table2[HomeTeam],$A68, Table2[AwayTeam], C$36, Table2[ActualResult], "OT") + SUMIFS(Table2[HomeWon_], Table2[GameIsOver],1,Table2[AwayTeam],$A68, Table2[HomeTeam], C$36, Table2[ActualResult], "SO") + SUMIFS(Table2[AwayWon], Table2[GameIsOver],1,Table2[HomeTeam],$A68, Table2[AwayTeam], C$36, Table2[ActualResult], "SO")) / (2*(SUMIFS(Table2[AwayWon], Table2[GameIsOver],1,Table2[AwayTeam],$A68, Table2[HomeTeam], C$36) + SUMIFS(Table2[HomeWon_], Table2[GameIsOver],1,Table2[HomeTeam],$A68, Table2[AwayTeam], C$36) + SUMIFS(Table2[HomeWon_], Table2[GameIsOver],1,Table2[AwayTeam],$A68, Table2[HomeTeam], C$36, Table2[ActualResult], "REG") + SUMIFS(Table2[AwayWon], Table2[GameIsOver],1,Table2[HomeTeam],$A68, Table2[AwayTeam], C$36, Table2[ActualResult], "REG") + SUMIFS(Table2[HomeWon_], Table2[GameIsOver],1,Table2[AwayTeam],$A68, Table2[HomeTeam], C$36, Table2[ActualResult], "OT") + SUMIFS(Table2[AwayWon], Table2[GameIsOver],1,Table2[HomeTeam],$A68, Table2[AwayTeam], C$36, Table2[ActualResult], "OT") + SUMIFS(Table2[HomeWon_], Table2[GameIsOver],1,Table2[AwayTeam],$A68, Table2[HomeTeam], C$36, Table2[ActualResult], "SO") + SUMIFS(Table2[AwayWon], Table2[GameIsOver],1,Table2[HomeTeam],$A68, Table2[AwayTeam], C$36, Table2[ActualResult], "SO"))), "")</f>
        <v/>
      </c>
      <c r="D68" s="58" t="str">
        <f>IFERROR(((2*SUMIFS(Table2[AwayWon], Table2[GameIsOver],1,Table2[AwayTeam],$A68, Table2[HomeTeam], D$36) + SUMIFS(Table2[HomeWon_], Table2[GameIsOver],1,Table2[HomeTeam],$A68, Table2[AwayTeam], D$36)) + SUMIFS(Table2[AwayWon], Table2[GameIsOver],1,Table2[HomeTeam],$A68, Table2[AwayTeam], D$36, Table2[ActualResult], "REG") + SUMIFS(Table2[HomeWon_], Table2[GameIsOver],1,Table2[AwayTeam],$A68, Table2[HomeTeam], D$36, Table2[ActualResult], "OT") + SUMIFS(Table2[AwayWon], Table2[GameIsOver],1,Table2[HomeTeam],$A68, Table2[AwayTeam], D$36, Table2[ActualResult], "OT") + SUMIFS(Table2[HomeWon_], Table2[GameIsOver],1,Table2[AwayTeam],$A68, Table2[HomeTeam], D$36, Table2[ActualResult], "SO") + SUMIFS(Table2[AwayWon], Table2[GameIsOver],1,Table2[HomeTeam],$A68, Table2[AwayTeam], D$36, Table2[ActualResult], "SO")) / (2*(SUMIFS(Table2[AwayWon], Table2[GameIsOver],1,Table2[AwayTeam],$A68, Table2[HomeTeam], D$36) + SUMIFS(Table2[HomeWon_], Table2[GameIsOver],1,Table2[HomeTeam],$A68, Table2[AwayTeam], D$36) + SUMIFS(Table2[HomeWon_], Table2[GameIsOver],1,Table2[AwayTeam],$A68, Table2[HomeTeam], D$36, Table2[ActualResult], "REG") + SUMIFS(Table2[AwayWon], Table2[GameIsOver],1,Table2[HomeTeam],$A68, Table2[AwayTeam], D$36, Table2[ActualResult], "REG") + SUMIFS(Table2[HomeWon_], Table2[GameIsOver],1,Table2[AwayTeam],$A68, Table2[HomeTeam], D$36, Table2[ActualResult], "OT") + SUMIFS(Table2[AwayWon], Table2[GameIsOver],1,Table2[HomeTeam],$A68, Table2[AwayTeam], D$36, Table2[ActualResult], "OT") + SUMIFS(Table2[HomeWon_], Table2[GameIsOver],1,Table2[AwayTeam],$A68, Table2[HomeTeam], D$36, Table2[ActualResult], "SO") + SUMIFS(Table2[AwayWon], Table2[GameIsOver],1,Table2[HomeTeam],$A68, Table2[AwayTeam], D$36, Table2[ActualResult], "SO"))), "")</f>
        <v/>
      </c>
      <c r="E68" s="58" t="str">
        <f>IFERROR(((2*SUMIFS(Table2[AwayWon], Table2[GameIsOver],1,Table2[AwayTeam],$A68, Table2[HomeTeam], E$36) + SUMIFS(Table2[HomeWon_], Table2[GameIsOver],1,Table2[HomeTeam],$A68, Table2[AwayTeam], E$36)) + SUMIFS(Table2[AwayWon], Table2[GameIsOver],1,Table2[HomeTeam],$A68, Table2[AwayTeam], E$36, Table2[ActualResult], "REG") + SUMIFS(Table2[HomeWon_], Table2[GameIsOver],1,Table2[AwayTeam],$A68, Table2[HomeTeam], E$36, Table2[ActualResult], "OT") + SUMIFS(Table2[AwayWon], Table2[GameIsOver],1,Table2[HomeTeam],$A68, Table2[AwayTeam], E$36, Table2[ActualResult], "OT") + SUMIFS(Table2[HomeWon_], Table2[GameIsOver],1,Table2[AwayTeam],$A68, Table2[HomeTeam], E$36, Table2[ActualResult], "SO") + SUMIFS(Table2[AwayWon], Table2[GameIsOver],1,Table2[HomeTeam],$A68, Table2[AwayTeam], E$36, Table2[ActualResult], "SO")) / (2*(SUMIFS(Table2[AwayWon], Table2[GameIsOver],1,Table2[AwayTeam],$A68, Table2[HomeTeam], E$36) + SUMIFS(Table2[HomeWon_], Table2[GameIsOver],1,Table2[HomeTeam],$A68, Table2[AwayTeam], E$36) + SUMIFS(Table2[HomeWon_], Table2[GameIsOver],1,Table2[AwayTeam],$A68, Table2[HomeTeam], E$36, Table2[ActualResult], "REG") + SUMIFS(Table2[AwayWon], Table2[GameIsOver],1,Table2[HomeTeam],$A68, Table2[AwayTeam], E$36, Table2[ActualResult], "REG") + SUMIFS(Table2[HomeWon_], Table2[GameIsOver],1,Table2[AwayTeam],$A68, Table2[HomeTeam], E$36, Table2[ActualResult], "OT") + SUMIFS(Table2[AwayWon], Table2[GameIsOver],1,Table2[HomeTeam],$A68, Table2[AwayTeam], E$36, Table2[ActualResult], "OT") + SUMIFS(Table2[HomeWon_], Table2[GameIsOver],1,Table2[AwayTeam],$A68, Table2[HomeTeam], E$36, Table2[ActualResult], "SO") + SUMIFS(Table2[AwayWon], Table2[GameIsOver],1,Table2[HomeTeam],$A68, Table2[AwayTeam], E$36, Table2[ActualResult], "SO"))), "")</f>
        <v/>
      </c>
      <c r="F68" s="58">
        <f>IFERROR(((2*SUMIFS(Table2[AwayWon], Table2[GameIsOver],1,Table2[AwayTeam],$A68, Table2[HomeTeam], F$36) + SUMIFS(Table2[HomeWon_], Table2[GameIsOver],1,Table2[HomeTeam],$A68, Table2[AwayTeam], F$36)) + SUMIFS(Table2[AwayWon], Table2[GameIsOver],1,Table2[HomeTeam],$A68, Table2[AwayTeam], F$36, Table2[ActualResult], "REG") + SUMIFS(Table2[HomeWon_], Table2[GameIsOver],1,Table2[AwayTeam],$A68, Table2[HomeTeam], F$36, Table2[ActualResult], "OT") + SUMIFS(Table2[AwayWon], Table2[GameIsOver],1,Table2[HomeTeam],$A68, Table2[AwayTeam], F$36, Table2[ActualResult], "OT") + SUMIFS(Table2[HomeWon_], Table2[GameIsOver],1,Table2[AwayTeam],$A68, Table2[HomeTeam], F$36, Table2[ActualResult], "SO") + SUMIFS(Table2[AwayWon], Table2[GameIsOver],1,Table2[HomeTeam],$A68, Table2[AwayTeam], F$36, Table2[ActualResult], "SO")) / (2*(SUMIFS(Table2[AwayWon], Table2[GameIsOver],1,Table2[AwayTeam],$A68, Table2[HomeTeam], F$36) + SUMIFS(Table2[HomeWon_], Table2[GameIsOver],1,Table2[HomeTeam],$A68, Table2[AwayTeam], F$36) + SUMIFS(Table2[HomeWon_], Table2[GameIsOver],1,Table2[AwayTeam],$A68, Table2[HomeTeam], F$36, Table2[ActualResult], "REG") + SUMIFS(Table2[AwayWon], Table2[GameIsOver],1,Table2[HomeTeam],$A68, Table2[AwayTeam], F$36, Table2[ActualResult], "REG") + SUMIFS(Table2[HomeWon_], Table2[GameIsOver],1,Table2[AwayTeam],$A68, Table2[HomeTeam], F$36, Table2[ActualResult], "OT") + SUMIFS(Table2[AwayWon], Table2[GameIsOver],1,Table2[HomeTeam],$A68, Table2[AwayTeam], F$36, Table2[ActualResult], "OT") + SUMIFS(Table2[HomeWon_], Table2[GameIsOver],1,Table2[AwayTeam],$A68, Table2[HomeTeam], F$36, Table2[ActualResult], "SO") + SUMIFS(Table2[AwayWon], Table2[GameIsOver],1,Table2[HomeTeam],$A68, Table2[AwayTeam], F$36, Table2[ActualResult], "SO"))), "")</f>
        <v>0.5</v>
      </c>
      <c r="G68" s="58" t="str">
        <f>IFERROR(((2*SUMIFS(Table2[AwayWon], Table2[GameIsOver],1,Table2[AwayTeam],$A68, Table2[HomeTeam], G$36) + SUMIFS(Table2[HomeWon_], Table2[GameIsOver],1,Table2[HomeTeam],$A68, Table2[AwayTeam], G$36)) + SUMIFS(Table2[AwayWon], Table2[GameIsOver],1,Table2[HomeTeam],$A68, Table2[AwayTeam], G$36, Table2[ActualResult], "REG") + SUMIFS(Table2[HomeWon_], Table2[GameIsOver],1,Table2[AwayTeam],$A68, Table2[HomeTeam], G$36, Table2[ActualResult], "OT") + SUMIFS(Table2[AwayWon], Table2[GameIsOver],1,Table2[HomeTeam],$A68, Table2[AwayTeam], G$36, Table2[ActualResult], "OT") + SUMIFS(Table2[HomeWon_], Table2[GameIsOver],1,Table2[AwayTeam],$A68, Table2[HomeTeam], G$36, Table2[ActualResult], "SO") + SUMIFS(Table2[AwayWon], Table2[GameIsOver],1,Table2[HomeTeam],$A68, Table2[AwayTeam], G$36, Table2[ActualResult], "SO")) / (2*(SUMIFS(Table2[AwayWon], Table2[GameIsOver],1,Table2[AwayTeam],$A68, Table2[HomeTeam], G$36) + SUMIFS(Table2[HomeWon_], Table2[GameIsOver],1,Table2[HomeTeam],$A68, Table2[AwayTeam], G$36) + SUMIFS(Table2[HomeWon_], Table2[GameIsOver],1,Table2[AwayTeam],$A68, Table2[HomeTeam], G$36, Table2[ActualResult], "REG") + SUMIFS(Table2[AwayWon], Table2[GameIsOver],1,Table2[HomeTeam],$A68, Table2[AwayTeam], G$36, Table2[ActualResult], "REG") + SUMIFS(Table2[HomeWon_], Table2[GameIsOver],1,Table2[AwayTeam],$A68, Table2[HomeTeam], G$36, Table2[ActualResult], "OT") + SUMIFS(Table2[AwayWon], Table2[GameIsOver],1,Table2[HomeTeam],$A68, Table2[AwayTeam], G$36, Table2[ActualResult], "OT") + SUMIFS(Table2[HomeWon_], Table2[GameIsOver],1,Table2[AwayTeam],$A68, Table2[HomeTeam], G$36, Table2[ActualResult], "SO") + SUMIFS(Table2[AwayWon], Table2[GameIsOver],1,Table2[HomeTeam],$A68, Table2[AwayTeam], G$36, Table2[ActualResult], "SO"))), "")</f>
        <v/>
      </c>
      <c r="H68" s="58" t="str">
        <f>IFERROR(((2*SUMIFS(Table2[AwayWon], Table2[GameIsOver],1,Table2[AwayTeam],$A68, Table2[HomeTeam], H$36) + SUMIFS(Table2[HomeWon_], Table2[GameIsOver],1,Table2[HomeTeam],$A68, Table2[AwayTeam], H$36)) + SUMIFS(Table2[AwayWon], Table2[GameIsOver],1,Table2[HomeTeam],$A68, Table2[AwayTeam], H$36, Table2[ActualResult], "REG") + SUMIFS(Table2[HomeWon_], Table2[GameIsOver],1,Table2[AwayTeam],$A68, Table2[HomeTeam], H$36, Table2[ActualResult], "OT") + SUMIFS(Table2[AwayWon], Table2[GameIsOver],1,Table2[HomeTeam],$A68, Table2[AwayTeam], H$36, Table2[ActualResult], "OT") + SUMIFS(Table2[HomeWon_], Table2[GameIsOver],1,Table2[AwayTeam],$A68, Table2[HomeTeam], H$36, Table2[ActualResult], "SO") + SUMIFS(Table2[AwayWon], Table2[GameIsOver],1,Table2[HomeTeam],$A68, Table2[AwayTeam], H$36, Table2[ActualResult], "SO")) / (2*(SUMIFS(Table2[AwayWon], Table2[GameIsOver],1,Table2[AwayTeam],$A68, Table2[HomeTeam], H$36) + SUMIFS(Table2[HomeWon_], Table2[GameIsOver],1,Table2[HomeTeam],$A68, Table2[AwayTeam], H$36) + SUMIFS(Table2[HomeWon_], Table2[GameIsOver],1,Table2[AwayTeam],$A68, Table2[HomeTeam], H$36, Table2[ActualResult], "REG") + SUMIFS(Table2[AwayWon], Table2[GameIsOver],1,Table2[HomeTeam],$A68, Table2[AwayTeam], H$36, Table2[ActualResult], "REG") + SUMIFS(Table2[HomeWon_], Table2[GameIsOver],1,Table2[AwayTeam],$A68, Table2[HomeTeam], H$36, Table2[ActualResult], "OT") + SUMIFS(Table2[AwayWon], Table2[GameIsOver],1,Table2[HomeTeam],$A68, Table2[AwayTeam], H$36, Table2[ActualResult], "OT") + SUMIFS(Table2[HomeWon_], Table2[GameIsOver],1,Table2[AwayTeam],$A68, Table2[HomeTeam], H$36, Table2[ActualResult], "SO") + SUMIFS(Table2[AwayWon], Table2[GameIsOver],1,Table2[HomeTeam],$A68, Table2[AwayTeam], H$36, Table2[ActualResult], "SO"))), "")</f>
        <v/>
      </c>
      <c r="I68" s="59" t="str">
        <f>IFERROR(((2*SUMIFS(Table2[AwayWon], Table2[GameIsOver],1,Table2[AwayTeam],$A68, Table2[HomeTeam], I$36) + SUMIFS(Table2[HomeWon_], Table2[GameIsOver],1,Table2[HomeTeam],$A68, Table2[AwayTeam], I$36)) + SUMIFS(Table2[AwayWon], Table2[GameIsOver],1,Table2[HomeTeam],$A68, Table2[AwayTeam], I$36, Table2[ActualResult], "REG") + SUMIFS(Table2[HomeWon_], Table2[GameIsOver],1,Table2[AwayTeam],$A68, Table2[HomeTeam], I$36, Table2[ActualResult], "OT") + SUMIFS(Table2[AwayWon], Table2[GameIsOver],1,Table2[HomeTeam],$A68, Table2[AwayTeam], I$36, Table2[ActualResult], "OT") + SUMIFS(Table2[HomeWon_], Table2[GameIsOver],1,Table2[AwayTeam],$A68, Table2[HomeTeam], I$36, Table2[ActualResult], "SO") + SUMIFS(Table2[AwayWon], Table2[GameIsOver],1,Table2[HomeTeam],$A68, Table2[AwayTeam], I$36, Table2[ActualResult], "SO")) / (2*(SUMIFS(Table2[AwayWon], Table2[GameIsOver],1,Table2[AwayTeam],$A68, Table2[HomeTeam], I$36) + SUMIFS(Table2[HomeWon_], Table2[GameIsOver],1,Table2[HomeTeam],$A68, Table2[AwayTeam], I$36) + SUMIFS(Table2[HomeWon_], Table2[GameIsOver],1,Table2[AwayTeam],$A68, Table2[HomeTeam], I$36, Table2[ActualResult], "REG") + SUMIFS(Table2[AwayWon], Table2[GameIsOver],1,Table2[HomeTeam],$A68, Table2[AwayTeam], I$36, Table2[ActualResult], "REG") + SUMIFS(Table2[HomeWon_], Table2[GameIsOver],1,Table2[AwayTeam],$A68, Table2[HomeTeam], I$36, Table2[ActualResult], "OT") + SUMIFS(Table2[AwayWon], Table2[GameIsOver],1,Table2[HomeTeam],$A68, Table2[AwayTeam], I$36, Table2[ActualResult], "OT") + SUMIFS(Table2[HomeWon_], Table2[GameIsOver],1,Table2[AwayTeam],$A68, Table2[HomeTeam], I$36, Table2[ActualResult], "SO") + SUMIFS(Table2[AwayWon], Table2[GameIsOver],1,Table2[HomeTeam],$A68, Table2[AwayTeam], I$36, Table2[ActualResult], "SO"))), "")</f>
        <v/>
      </c>
      <c r="J68" s="58" t="str">
        <f>IFERROR(((2*SUMIFS(Table2[AwayWon], Table2[GameIsOver],1,Table2[AwayTeam],$A68, Table2[HomeTeam], J$36) + SUMIFS(Table2[HomeWon_], Table2[GameIsOver],1,Table2[HomeTeam],$A68, Table2[AwayTeam], J$36)) + SUMIFS(Table2[AwayWon], Table2[GameIsOver],1,Table2[HomeTeam],$A68, Table2[AwayTeam], J$36, Table2[ActualResult], "REG") + SUMIFS(Table2[HomeWon_], Table2[GameIsOver],1,Table2[AwayTeam],$A68, Table2[HomeTeam], J$36, Table2[ActualResult], "OT") + SUMIFS(Table2[AwayWon], Table2[GameIsOver],1,Table2[HomeTeam],$A68, Table2[AwayTeam], J$36, Table2[ActualResult], "OT") + SUMIFS(Table2[HomeWon_], Table2[GameIsOver],1,Table2[AwayTeam],$A68, Table2[HomeTeam], J$36, Table2[ActualResult], "SO") + SUMIFS(Table2[AwayWon], Table2[GameIsOver],1,Table2[HomeTeam],$A68, Table2[AwayTeam], J$36, Table2[ActualResult], "SO")) / (2*(SUMIFS(Table2[AwayWon], Table2[GameIsOver],1,Table2[AwayTeam],$A68, Table2[HomeTeam], J$36) + SUMIFS(Table2[HomeWon_], Table2[GameIsOver],1,Table2[HomeTeam],$A68, Table2[AwayTeam], J$36) + SUMIFS(Table2[HomeWon_], Table2[GameIsOver],1,Table2[AwayTeam],$A68, Table2[HomeTeam], J$36, Table2[ActualResult], "REG") + SUMIFS(Table2[AwayWon], Table2[GameIsOver],1,Table2[HomeTeam],$A68, Table2[AwayTeam], J$36, Table2[ActualResult], "REG") + SUMIFS(Table2[HomeWon_], Table2[GameIsOver],1,Table2[AwayTeam],$A68, Table2[HomeTeam], J$36, Table2[ActualResult], "OT") + SUMIFS(Table2[AwayWon], Table2[GameIsOver],1,Table2[HomeTeam],$A68, Table2[AwayTeam], J$36, Table2[ActualResult], "OT") + SUMIFS(Table2[HomeWon_], Table2[GameIsOver],1,Table2[AwayTeam],$A68, Table2[HomeTeam], J$36, Table2[ActualResult], "SO") + SUMIFS(Table2[AwayWon], Table2[GameIsOver],1,Table2[HomeTeam],$A68, Table2[AwayTeam], J$36, Table2[ActualResult], "SO"))), "")</f>
        <v/>
      </c>
      <c r="K68" s="58" t="str">
        <f>IFERROR(((2*SUMIFS(Table2[AwayWon], Table2[GameIsOver],1,Table2[AwayTeam],$A68, Table2[HomeTeam], K$36) + SUMIFS(Table2[HomeWon_], Table2[GameIsOver],1,Table2[HomeTeam],$A68, Table2[AwayTeam], K$36)) + SUMIFS(Table2[AwayWon], Table2[GameIsOver],1,Table2[HomeTeam],$A68, Table2[AwayTeam], K$36, Table2[ActualResult], "REG") + SUMIFS(Table2[HomeWon_], Table2[GameIsOver],1,Table2[AwayTeam],$A68, Table2[HomeTeam], K$36, Table2[ActualResult], "OT") + SUMIFS(Table2[AwayWon], Table2[GameIsOver],1,Table2[HomeTeam],$A68, Table2[AwayTeam], K$36, Table2[ActualResult], "OT") + SUMIFS(Table2[HomeWon_], Table2[GameIsOver],1,Table2[AwayTeam],$A68, Table2[HomeTeam], K$36, Table2[ActualResult], "SO") + SUMIFS(Table2[AwayWon], Table2[GameIsOver],1,Table2[HomeTeam],$A68, Table2[AwayTeam], K$36, Table2[ActualResult], "SO")) / (2*(SUMIFS(Table2[AwayWon], Table2[GameIsOver],1,Table2[AwayTeam],$A68, Table2[HomeTeam], K$36) + SUMIFS(Table2[HomeWon_], Table2[GameIsOver],1,Table2[HomeTeam],$A68, Table2[AwayTeam], K$36) + SUMIFS(Table2[HomeWon_], Table2[GameIsOver],1,Table2[AwayTeam],$A68, Table2[HomeTeam], K$36, Table2[ActualResult], "REG") + SUMIFS(Table2[AwayWon], Table2[GameIsOver],1,Table2[HomeTeam],$A68, Table2[AwayTeam], K$36, Table2[ActualResult], "REG") + SUMIFS(Table2[HomeWon_], Table2[GameIsOver],1,Table2[AwayTeam],$A68, Table2[HomeTeam], K$36, Table2[ActualResult], "OT") + SUMIFS(Table2[AwayWon], Table2[GameIsOver],1,Table2[HomeTeam],$A68, Table2[AwayTeam], K$36, Table2[ActualResult], "OT") + SUMIFS(Table2[HomeWon_], Table2[GameIsOver],1,Table2[AwayTeam],$A68, Table2[HomeTeam], K$36, Table2[ActualResult], "SO") + SUMIFS(Table2[AwayWon], Table2[GameIsOver],1,Table2[HomeTeam],$A68, Table2[AwayTeam], K$36, Table2[ActualResult], "SO"))), "")</f>
        <v/>
      </c>
      <c r="L68" s="58" t="str">
        <f>IFERROR(((2*SUMIFS(Table2[AwayWon], Table2[GameIsOver],1,Table2[AwayTeam],$A68, Table2[HomeTeam], L$36) + SUMIFS(Table2[HomeWon_], Table2[GameIsOver],1,Table2[HomeTeam],$A68, Table2[AwayTeam], L$36)) + SUMIFS(Table2[AwayWon], Table2[GameIsOver],1,Table2[HomeTeam],$A68, Table2[AwayTeam], L$36, Table2[ActualResult], "REG") + SUMIFS(Table2[HomeWon_], Table2[GameIsOver],1,Table2[AwayTeam],$A68, Table2[HomeTeam], L$36, Table2[ActualResult], "OT") + SUMIFS(Table2[AwayWon], Table2[GameIsOver],1,Table2[HomeTeam],$A68, Table2[AwayTeam], L$36, Table2[ActualResult], "OT") + SUMIFS(Table2[HomeWon_], Table2[GameIsOver],1,Table2[AwayTeam],$A68, Table2[HomeTeam], L$36, Table2[ActualResult], "SO") + SUMIFS(Table2[AwayWon], Table2[GameIsOver],1,Table2[HomeTeam],$A68, Table2[AwayTeam], L$36, Table2[ActualResult], "SO")) / (2*(SUMIFS(Table2[AwayWon], Table2[GameIsOver],1,Table2[AwayTeam],$A68, Table2[HomeTeam], L$36) + SUMIFS(Table2[HomeWon_], Table2[GameIsOver],1,Table2[HomeTeam],$A68, Table2[AwayTeam], L$36) + SUMIFS(Table2[HomeWon_], Table2[GameIsOver],1,Table2[AwayTeam],$A68, Table2[HomeTeam], L$36, Table2[ActualResult], "REG") + SUMIFS(Table2[AwayWon], Table2[GameIsOver],1,Table2[HomeTeam],$A68, Table2[AwayTeam], L$36, Table2[ActualResult], "REG") + SUMIFS(Table2[HomeWon_], Table2[GameIsOver],1,Table2[AwayTeam],$A68, Table2[HomeTeam], L$36, Table2[ActualResult], "OT") + SUMIFS(Table2[AwayWon], Table2[GameIsOver],1,Table2[HomeTeam],$A68, Table2[AwayTeam], L$36, Table2[ActualResult], "OT") + SUMIFS(Table2[HomeWon_], Table2[GameIsOver],1,Table2[AwayTeam],$A68, Table2[HomeTeam], L$36, Table2[ActualResult], "SO") + SUMIFS(Table2[AwayWon], Table2[GameIsOver],1,Table2[HomeTeam],$A68, Table2[AwayTeam], L$36, Table2[ActualResult], "SO"))), "")</f>
        <v/>
      </c>
      <c r="M68" s="58" t="str">
        <f>IFERROR(((2*SUMIFS(Table2[AwayWon], Table2[GameIsOver],1,Table2[AwayTeam],$A68, Table2[HomeTeam], M$36) + SUMIFS(Table2[HomeWon_], Table2[GameIsOver],1,Table2[HomeTeam],$A68, Table2[AwayTeam], M$36)) + SUMIFS(Table2[AwayWon], Table2[GameIsOver],1,Table2[HomeTeam],$A68, Table2[AwayTeam], M$36, Table2[ActualResult], "REG") + SUMIFS(Table2[HomeWon_], Table2[GameIsOver],1,Table2[AwayTeam],$A68, Table2[HomeTeam], M$36, Table2[ActualResult], "OT") + SUMIFS(Table2[AwayWon], Table2[GameIsOver],1,Table2[HomeTeam],$A68, Table2[AwayTeam], M$36, Table2[ActualResult], "OT") + SUMIFS(Table2[HomeWon_], Table2[GameIsOver],1,Table2[AwayTeam],$A68, Table2[HomeTeam], M$36, Table2[ActualResult], "SO") + SUMIFS(Table2[AwayWon], Table2[GameIsOver],1,Table2[HomeTeam],$A68, Table2[AwayTeam], M$36, Table2[ActualResult], "SO")) / (2*(SUMIFS(Table2[AwayWon], Table2[GameIsOver],1,Table2[AwayTeam],$A68, Table2[HomeTeam], M$36) + SUMIFS(Table2[HomeWon_], Table2[GameIsOver],1,Table2[HomeTeam],$A68, Table2[AwayTeam], M$36) + SUMIFS(Table2[HomeWon_], Table2[GameIsOver],1,Table2[AwayTeam],$A68, Table2[HomeTeam], M$36, Table2[ActualResult], "REG") + SUMIFS(Table2[AwayWon], Table2[GameIsOver],1,Table2[HomeTeam],$A68, Table2[AwayTeam], M$36, Table2[ActualResult], "REG") + SUMIFS(Table2[HomeWon_], Table2[GameIsOver],1,Table2[AwayTeam],$A68, Table2[HomeTeam], M$36, Table2[ActualResult], "OT") + SUMIFS(Table2[AwayWon], Table2[GameIsOver],1,Table2[HomeTeam],$A68, Table2[AwayTeam], M$36, Table2[ActualResult], "OT") + SUMIFS(Table2[HomeWon_], Table2[GameIsOver],1,Table2[AwayTeam],$A68, Table2[HomeTeam], M$36, Table2[ActualResult], "SO") + SUMIFS(Table2[AwayWon], Table2[GameIsOver],1,Table2[HomeTeam],$A68, Table2[AwayTeam], M$36, Table2[ActualResult], "SO"))), "")</f>
        <v/>
      </c>
      <c r="N68" s="58">
        <f>IFERROR(((2*SUMIFS(Table2[AwayWon], Table2[GameIsOver],1,Table2[AwayTeam],$A68, Table2[HomeTeam], N$36) + SUMIFS(Table2[HomeWon_], Table2[GameIsOver],1,Table2[HomeTeam],$A68, Table2[AwayTeam], N$36)) + SUMIFS(Table2[AwayWon], Table2[GameIsOver],1,Table2[HomeTeam],$A68, Table2[AwayTeam], N$36, Table2[ActualResult], "REG") + SUMIFS(Table2[HomeWon_], Table2[GameIsOver],1,Table2[AwayTeam],$A68, Table2[HomeTeam], N$36, Table2[ActualResult], "OT") + SUMIFS(Table2[AwayWon], Table2[GameIsOver],1,Table2[HomeTeam],$A68, Table2[AwayTeam], N$36, Table2[ActualResult], "OT") + SUMIFS(Table2[HomeWon_], Table2[GameIsOver],1,Table2[AwayTeam],$A68, Table2[HomeTeam], N$36, Table2[ActualResult], "SO") + SUMIFS(Table2[AwayWon], Table2[GameIsOver],1,Table2[HomeTeam],$A68, Table2[AwayTeam], N$36, Table2[ActualResult], "SO")) / (2*(SUMIFS(Table2[AwayWon], Table2[GameIsOver],1,Table2[AwayTeam],$A68, Table2[HomeTeam], N$36) + SUMIFS(Table2[HomeWon_], Table2[GameIsOver],1,Table2[HomeTeam],$A68, Table2[AwayTeam], N$36) + SUMIFS(Table2[HomeWon_], Table2[GameIsOver],1,Table2[AwayTeam],$A68, Table2[HomeTeam], N$36, Table2[ActualResult], "REG") + SUMIFS(Table2[AwayWon], Table2[GameIsOver],1,Table2[HomeTeam],$A68, Table2[AwayTeam], N$36, Table2[ActualResult], "REG") + SUMIFS(Table2[HomeWon_], Table2[GameIsOver],1,Table2[AwayTeam],$A68, Table2[HomeTeam], N$36, Table2[ActualResult], "OT") + SUMIFS(Table2[AwayWon], Table2[GameIsOver],1,Table2[HomeTeam],$A68, Table2[AwayTeam], N$36, Table2[ActualResult], "OT") + SUMIFS(Table2[HomeWon_], Table2[GameIsOver],1,Table2[AwayTeam],$A68, Table2[HomeTeam], N$36, Table2[ActualResult], "SO") + SUMIFS(Table2[AwayWon], Table2[GameIsOver],1,Table2[HomeTeam],$A68, Table2[AwayTeam], N$36, Table2[ActualResult], "SO"))), "")</f>
        <v>0.5</v>
      </c>
      <c r="O68" s="58" t="str">
        <f>IFERROR(((2*SUMIFS(Table2[AwayWon], Table2[GameIsOver],1,Table2[AwayTeam],$A68, Table2[HomeTeam], O$36) + SUMIFS(Table2[HomeWon_], Table2[GameIsOver],1,Table2[HomeTeam],$A68, Table2[AwayTeam], O$36)) + SUMIFS(Table2[AwayWon], Table2[GameIsOver],1,Table2[HomeTeam],$A68, Table2[AwayTeam], O$36, Table2[ActualResult], "REG") + SUMIFS(Table2[HomeWon_], Table2[GameIsOver],1,Table2[AwayTeam],$A68, Table2[HomeTeam], O$36, Table2[ActualResult], "OT") + SUMIFS(Table2[AwayWon], Table2[GameIsOver],1,Table2[HomeTeam],$A68, Table2[AwayTeam], O$36, Table2[ActualResult], "OT") + SUMIFS(Table2[HomeWon_], Table2[GameIsOver],1,Table2[AwayTeam],$A68, Table2[HomeTeam], O$36, Table2[ActualResult], "SO") + SUMIFS(Table2[AwayWon], Table2[GameIsOver],1,Table2[HomeTeam],$A68, Table2[AwayTeam], O$36, Table2[ActualResult], "SO")) / (2*(SUMIFS(Table2[AwayWon], Table2[GameIsOver],1,Table2[AwayTeam],$A68, Table2[HomeTeam], O$36) + SUMIFS(Table2[HomeWon_], Table2[GameIsOver],1,Table2[HomeTeam],$A68, Table2[AwayTeam], O$36) + SUMIFS(Table2[HomeWon_], Table2[GameIsOver],1,Table2[AwayTeam],$A68, Table2[HomeTeam], O$36, Table2[ActualResult], "REG") + SUMIFS(Table2[AwayWon], Table2[GameIsOver],1,Table2[HomeTeam],$A68, Table2[AwayTeam], O$36, Table2[ActualResult], "REG") + SUMIFS(Table2[HomeWon_], Table2[GameIsOver],1,Table2[AwayTeam],$A68, Table2[HomeTeam], O$36, Table2[ActualResult], "OT") + SUMIFS(Table2[AwayWon], Table2[GameIsOver],1,Table2[HomeTeam],$A68, Table2[AwayTeam], O$36, Table2[ActualResult], "OT") + SUMIFS(Table2[HomeWon_], Table2[GameIsOver],1,Table2[AwayTeam],$A68, Table2[HomeTeam], O$36, Table2[ActualResult], "SO") + SUMIFS(Table2[AwayWon], Table2[GameIsOver],1,Table2[HomeTeam],$A68, Table2[AwayTeam], O$36, Table2[ActualResult], "SO"))), "")</f>
        <v/>
      </c>
      <c r="P68" s="58" t="str">
        <f>IFERROR(((2*SUMIFS(Table2[AwayWon], Table2[GameIsOver],1,Table2[AwayTeam],$A68, Table2[HomeTeam], P$36) + SUMIFS(Table2[HomeWon_], Table2[GameIsOver],1,Table2[HomeTeam],$A68, Table2[AwayTeam], P$36)) + SUMIFS(Table2[AwayWon], Table2[GameIsOver],1,Table2[HomeTeam],$A68, Table2[AwayTeam], P$36, Table2[ActualResult], "REG") + SUMIFS(Table2[HomeWon_], Table2[GameIsOver],1,Table2[AwayTeam],$A68, Table2[HomeTeam], P$36, Table2[ActualResult], "OT") + SUMIFS(Table2[AwayWon], Table2[GameIsOver],1,Table2[HomeTeam],$A68, Table2[AwayTeam], P$36, Table2[ActualResult], "OT") + SUMIFS(Table2[HomeWon_], Table2[GameIsOver],1,Table2[AwayTeam],$A68, Table2[HomeTeam], P$36, Table2[ActualResult], "SO") + SUMIFS(Table2[AwayWon], Table2[GameIsOver],1,Table2[HomeTeam],$A68, Table2[AwayTeam], P$36, Table2[ActualResult], "SO")) / (2*(SUMIFS(Table2[AwayWon], Table2[GameIsOver],1,Table2[AwayTeam],$A68, Table2[HomeTeam], P$36) + SUMIFS(Table2[HomeWon_], Table2[GameIsOver],1,Table2[HomeTeam],$A68, Table2[AwayTeam], P$36) + SUMIFS(Table2[HomeWon_], Table2[GameIsOver],1,Table2[AwayTeam],$A68, Table2[HomeTeam], P$36, Table2[ActualResult], "REG") + SUMIFS(Table2[AwayWon], Table2[GameIsOver],1,Table2[HomeTeam],$A68, Table2[AwayTeam], P$36, Table2[ActualResult], "REG") + SUMIFS(Table2[HomeWon_], Table2[GameIsOver],1,Table2[AwayTeam],$A68, Table2[HomeTeam], P$36, Table2[ActualResult], "OT") + SUMIFS(Table2[AwayWon], Table2[GameIsOver],1,Table2[HomeTeam],$A68, Table2[AwayTeam], P$36, Table2[ActualResult], "OT") + SUMIFS(Table2[HomeWon_], Table2[GameIsOver],1,Table2[AwayTeam],$A68, Table2[HomeTeam], P$36, Table2[ActualResult], "SO") + SUMIFS(Table2[AwayWon], Table2[GameIsOver],1,Table2[HomeTeam],$A68, Table2[AwayTeam], P$36, Table2[ActualResult], "SO"))), "")</f>
        <v/>
      </c>
      <c r="Q68" s="59" t="str">
        <f>IFERROR(((2*SUMIFS(Table2[AwayWon], Table2[GameIsOver],1,Table2[AwayTeam],$A68, Table2[HomeTeam], Q$36) + SUMIFS(Table2[HomeWon_], Table2[GameIsOver],1,Table2[HomeTeam],$A68, Table2[AwayTeam], Q$36)) + SUMIFS(Table2[AwayWon], Table2[GameIsOver],1,Table2[HomeTeam],$A68, Table2[AwayTeam], Q$36, Table2[ActualResult], "REG") + SUMIFS(Table2[HomeWon_], Table2[GameIsOver],1,Table2[AwayTeam],$A68, Table2[HomeTeam], Q$36, Table2[ActualResult], "OT") + SUMIFS(Table2[AwayWon], Table2[GameIsOver],1,Table2[HomeTeam],$A68, Table2[AwayTeam], Q$36, Table2[ActualResult], "OT") + SUMIFS(Table2[HomeWon_], Table2[GameIsOver],1,Table2[AwayTeam],$A68, Table2[HomeTeam], Q$36, Table2[ActualResult], "SO") + SUMIFS(Table2[AwayWon], Table2[GameIsOver],1,Table2[HomeTeam],$A68, Table2[AwayTeam], Q$36, Table2[ActualResult], "SO")) / (2*(SUMIFS(Table2[AwayWon], Table2[GameIsOver],1,Table2[AwayTeam],$A68, Table2[HomeTeam], Q$36) + SUMIFS(Table2[HomeWon_], Table2[GameIsOver],1,Table2[HomeTeam],$A68, Table2[AwayTeam], Q$36) + SUMIFS(Table2[HomeWon_], Table2[GameIsOver],1,Table2[AwayTeam],$A68, Table2[HomeTeam], Q$36, Table2[ActualResult], "REG") + SUMIFS(Table2[AwayWon], Table2[GameIsOver],1,Table2[HomeTeam],$A68, Table2[AwayTeam], Q$36, Table2[ActualResult], "REG") + SUMIFS(Table2[HomeWon_], Table2[GameIsOver],1,Table2[AwayTeam],$A68, Table2[HomeTeam], Q$36, Table2[ActualResult], "OT") + SUMIFS(Table2[AwayWon], Table2[GameIsOver],1,Table2[HomeTeam],$A68, Table2[AwayTeam], Q$36, Table2[ActualResult], "OT") + SUMIFS(Table2[HomeWon_], Table2[GameIsOver],1,Table2[AwayTeam],$A68, Table2[HomeTeam], Q$36, Table2[ActualResult], "SO") + SUMIFS(Table2[AwayWon], Table2[GameIsOver],1,Table2[HomeTeam],$A68, Table2[AwayTeam], Q$36, Table2[ActualResult], "SO"))), "")</f>
        <v/>
      </c>
      <c r="R68" s="58" t="str">
        <f>IFERROR(((2*SUMIFS(Table2[AwayWon], Table2[GameIsOver],1,Table2[AwayTeam],$A68, Table2[HomeTeam], R$36) + SUMIFS(Table2[HomeWon_], Table2[GameIsOver],1,Table2[HomeTeam],$A68, Table2[AwayTeam], R$36)) + SUMIFS(Table2[AwayWon], Table2[GameIsOver],1,Table2[HomeTeam],$A68, Table2[AwayTeam], R$36, Table2[ActualResult], "REG") + SUMIFS(Table2[HomeWon_], Table2[GameIsOver],1,Table2[AwayTeam],$A68, Table2[HomeTeam], R$36, Table2[ActualResult], "OT") + SUMIFS(Table2[AwayWon], Table2[GameIsOver],1,Table2[HomeTeam],$A68, Table2[AwayTeam], R$36, Table2[ActualResult], "OT") + SUMIFS(Table2[HomeWon_], Table2[GameIsOver],1,Table2[AwayTeam],$A68, Table2[HomeTeam], R$36, Table2[ActualResult], "SO") + SUMIFS(Table2[AwayWon], Table2[GameIsOver],1,Table2[HomeTeam],$A68, Table2[AwayTeam], R$36, Table2[ActualResult], "SO")) / (2*(SUMIFS(Table2[AwayWon], Table2[GameIsOver],1,Table2[AwayTeam],$A68, Table2[HomeTeam], R$36) + SUMIFS(Table2[HomeWon_], Table2[GameIsOver],1,Table2[HomeTeam],$A68, Table2[AwayTeam], R$36) + SUMIFS(Table2[HomeWon_], Table2[GameIsOver],1,Table2[AwayTeam],$A68, Table2[HomeTeam], R$36, Table2[ActualResult], "REG") + SUMIFS(Table2[AwayWon], Table2[GameIsOver],1,Table2[HomeTeam],$A68, Table2[AwayTeam], R$36, Table2[ActualResult], "REG") + SUMIFS(Table2[HomeWon_], Table2[GameIsOver],1,Table2[AwayTeam],$A68, Table2[HomeTeam], R$36, Table2[ActualResult], "OT") + SUMIFS(Table2[AwayWon], Table2[GameIsOver],1,Table2[HomeTeam],$A68, Table2[AwayTeam], R$36, Table2[ActualResult], "OT") + SUMIFS(Table2[HomeWon_], Table2[GameIsOver],1,Table2[AwayTeam],$A68, Table2[HomeTeam], R$36, Table2[ActualResult], "SO") + SUMIFS(Table2[AwayWon], Table2[GameIsOver],1,Table2[HomeTeam],$A68, Table2[AwayTeam], R$36, Table2[ActualResult], "SO"))), "")</f>
        <v/>
      </c>
      <c r="S68" s="58" t="str">
        <f>IFERROR(((2*SUMIFS(Table2[AwayWon], Table2[GameIsOver],1,Table2[AwayTeam],$A68, Table2[HomeTeam], S$36) + SUMIFS(Table2[HomeWon_], Table2[GameIsOver],1,Table2[HomeTeam],$A68, Table2[AwayTeam], S$36)) + SUMIFS(Table2[AwayWon], Table2[GameIsOver],1,Table2[HomeTeam],$A68, Table2[AwayTeam], S$36, Table2[ActualResult], "REG") + SUMIFS(Table2[HomeWon_], Table2[GameIsOver],1,Table2[AwayTeam],$A68, Table2[HomeTeam], S$36, Table2[ActualResult], "OT") + SUMIFS(Table2[AwayWon], Table2[GameIsOver],1,Table2[HomeTeam],$A68, Table2[AwayTeam], S$36, Table2[ActualResult], "OT") + SUMIFS(Table2[HomeWon_], Table2[GameIsOver],1,Table2[AwayTeam],$A68, Table2[HomeTeam], S$36, Table2[ActualResult], "SO") + SUMIFS(Table2[AwayWon], Table2[GameIsOver],1,Table2[HomeTeam],$A68, Table2[AwayTeam], S$36, Table2[ActualResult], "SO")) / (2*(SUMIFS(Table2[AwayWon], Table2[GameIsOver],1,Table2[AwayTeam],$A68, Table2[HomeTeam], S$36) + SUMIFS(Table2[HomeWon_], Table2[GameIsOver],1,Table2[HomeTeam],$A68, Table2[AwayTeam], S$36) + SUMIFS(Table2[HomeWon_], Table2[GameIsOver],1,Table2[AwayTeam],$A68, Table2[HomeTeam], S$36, Table2[ActualResult], "REG") + SUMIFS(Table2[AwayWon], Table2[GameIsOver],1,Table2[HomeTeam],$A68, Table2[AwayTeam], S$36, Table2[ActualResult], "REG") + SUMIFS(Table2[HomeWon_], Table2[GameIsOver],1,Table2[AwayTeam],$A68, Table2[HomeTeam], S$36, Table2[ActualResult], "OT") + SUMIFS(Table2[AwayWon], Table2[GameIsOver],1,Table2[HomeTeam],$A68, Table2[AwayTeam], S$36, Table2[ActualResult], "OT") + SUMIFS(Table2[HomeWon_], Table2[GameIsOver],1,Table2[AwayTeam],$A68, Table2[HomeTeam], S$36, Table2[ActualResult], "SO") + SUMIFS(Table2[AwayWon], Table2[GameIsOver],1,Table2[HomeTeam],$A68, Table2[AwayTeam], S$36, Table2[ActualResult], "SO"))), "")</f>
        <v/>
      </c>
      <c r="T68" s="58">
        <f>IFERROR(((2*SUMIFS(Table2[AwayWon], Table2[GameIsOver],1,Table2[AwayTeam],$A68, Table2[HomeTeam], T$36) + SUMIFS(Table2[HomeWon_], Table2[GameIsOver],1,Table2[HomeTeam],$A68, Table2[AwayTeam], T$36)) + SUMIFS(Table2[AwayWon], Table2[GameIsOver],1,Table2[HomeTeam],$A68, Table2[AwayTeam], T$36, Table2[ActualResult], "REG") + SUMIFS(Table2[HomeWon_], Table2[GameIsOver],1,Table2[AwayTeam],$A68, Table2[HomeTeam], T$36, Table2[ActualResult], "OT") + SUMIFS(Table2[AwayWon], Table2[GameIsOver],1,Table2[HomeTeam],$A68, Table2[AwayTeam], T$36, Table2[ActualResult], "OT") + SUMIFS(Table2[HomeWon_], Table2[GameIsOver],1,Table2[AwayTeam],$A68, Table2[HomeTeam], T$36, Table2[ActualResult], "SO") + SUMIFS(Table2[AwayWon], Table2[GameIsOver],1,Table2[HomeTeam],$A68, Table2[AwayTeam], T$36, Table2[ActualResult], "SO")) / (2*(SUMIFS(Table2[AwayWon], Table2[GameIsOver],1,Table2[AwayTeam],$A68, Table2[HomeTeam], T$36) + SUMIFS(Table2[HomeWon_], Table2[GameIsOver],1,Table2[HomeTeam],$A68, Table2[AwayTeam], T$36) + SUMIFS(Table2[HomeWon_], Table2[GameIsOver],1,Table2[AwayTeam],$A68, Table2[HomeTeam], T$36, Table2[ActualResult], "REG") + SUMIFS(Table2[AwayWon], Table2[GameIsOver],1,Table2[HomeTeam],$A68, Table2[AwayTeam], T$36, Table2[ActualResult], "REG") + SUMIFS(Table2[HomeWon_], Table2[GameIsOver],1,Table2[AwayTeam],$A68, Table2[HomeTeam], T$36, Table2[ActualResult], "OT") + SUMIFS(Table2[AwayWon], Table2[GameIsOver],1,Table2[HomeTeam],$A68, Table2[AwayTeam], T$36, Table2[ActualResult], "OT") + SUMIFS(Table2[HomeWon_], Table2[GameIsOver],1,Table2[AwayTeam],$A68, Table2[HomeTeam], T$36, Table2[ActualResult], "SO") + SUMIFS(Table2[AwayWon], Table2[GameIsOver],1,Table2[HomeTeam],$A68, Table2[AwayTeam], T$36, Table2[ActualResult], "SO"))), "")</f>
        <v>0.5</v>
      </c>
      <c r="U68" s="58" t="str">
        <f>IFERROR(((2*SUMIFS(Table2[AwayWon], Table2[GameIsOver],1,Table2[AwayTeam],$A68, Table2[HomeTeam], U$36) + SUMIFS(Table2[HomeWon_], Table2[GameIsOver],1,Table2[HomeTeam],$A68, Table2[AwayTeam], U$36)) + SUMIFS(Table2[AwayWon], Table2[GameIsOver],1,Table2[HomeTeam],$A68, Table2[AwayTeam], U$36, Table2[ActualResult], "REG") + SUMIFS(Table2[HomeWon_], Table2[GameIsOver],1,Table2[AwayTeam],$A68, Table2[HomeTeam], U$36, Table2[ActualResult], "OT") + SUMIFS(Table2[AwayWon], Table2[GameIsOver],1,Table2[HomeTeam],$A68, Table2[AwayTeam], U$36, Table2[ActualResult], "OT") + SUMIFS(Table2[HomeWon_], Table2[GameIsOver],1,Table2[AwayTeam],$A68, Table2[HomeTeam], U$36, Table2[ActualResult], "SO") + SUMIFS(Table2[AwayWon], Table2[GameIsOver],1,Table2[HomeTeam],$A68, Table2[AwayTeam], U$36, Table2[ActualResult], "SO")) / (2*(SUMIFS(Table2[AwayWon], Table2[GameIsOver],1,Table2[AwayTeam],$A68, Table2[HomeTeam], U$36) + SUMIFS(Table2[HomeWon_], Table2[GameIsOver],1,Table2[HomeTeam],$A68, Table2[AwayTeam], U$36) + SUMIFS(Table2[HomeWon_], Table2[GameIsOver],1,Table2[AwayTeam],$A68, Table2[HomeTeam], U$36, Table2[ActualResult], "REG") + SUMIFS(Table2[AwayWon], Table2[GameIsOver],1,Table2[HomeTeam],$A68, Table2[AwayTeam], U$36, Table2[ActualResult], "REG") + SUMIFS(Table2[HomeWon_], Table2[GameIsOver],1,Table2[AwayTeam],$A68, Table2[HomeTeam], U$36, Table2[ActualResult], "OT") + SUMIFS(Table2[AwayWon], Table2[GameIsOver],1,Table2[HomeTeam],$A68, Table2[AwayTeam], U$36, Table2[ActualResult], "OT") + SUMIFS(Table2[HomeWon_], Table2[GameIsOver],1,Table2[AwayTeam],$A68, Table2[HomeTeam], U$36, Table2[ActualResult], "SO") + SUMIFS(Table2[AwayWon], Table2[GameIsOver],1,Table2[HomeTeam],$A68, Table2[AwayTeam], U$36, Table2[ActualResult], "SO"))), "")</f>
        <v/>
      </c>
      <c r="V68" s="58">
        <f>IFERROR(((2*SUMIFS(Table2[AwayWon], Table2[GameIsOver],1,Table2[AwayTeam],$A68, Table2[HomeTeam], V$36) + SUMIFS(Table2[HomeWon_], Table2[GameIsOver],1,Table2[HomeTeam],$A68, Table2[AwayTeam], V$36)) + SUMIFS(Table2[AwayWon], Table2[GameIsOver],1,Table2[HomeTeam],$A68, Table2[AwayTeam], V$36, Table2[ActualResult], "REG") + SUMIFS(Table2[HomeWon_], Table2[GameIsOver],1,Table2[AwayTeam],$A68, Table2[HomeTeam], V$36, Table2[ActualResult], "OT") + SUMIFS(Table2[AwayWon], Table2[GameIsOver],1,Table2[HomeTeam],$A68, Table2[AwayTeam], V$36, Table2[ActualResult], "OT") + SUMIFS(Table2[HomeWon_], Table2[GameIsOver],1,Table2[AwayTeam],$A68, Table2[HomeTeam], V$36, Table2[ActualResult], "SO") + SUMIFS(Table2[AwayWon], Table2[GameIsOver],1,Table2[HomeTeam],$A68, Table2[AwayTeam], V$36, Table2[ActualResult], "SO")) / (2*(SUMIFS(Table2[AwayWon], Table2[GameIsOver],1,Table2[AwayTeam],$A68, Table2[HomeTeam], V$36) + SUMIFS(Table2[HomeWon_], Table2[GameIsOver],1,Table2[HomeTeam],$A68, Table2[AwayTeam], V$36) + SUMIFS(Table2[HomeWon_], Table2[GameIsOver],1,Table2[AwayTeam],$A68, Table2[HomeTeam], V$36, Table2[ActualResult], "REG") + SUMIFS(Table2[AwayWon], Table2[GameIsOver],1,Table2[HomeTeam],$A68, Table2[AwayTeam], V$36, Table2[ActualResult], "REG") + SUMIFS(Table2[HomeWon_], Table2[GameIsOver],1,Table2[AwayTeam],$A68, Table2[HomeTeam], V$36, Table2[ActualResult], "OT") + SUMIFS(Table2[AwayWon], Table2[GameIsOver],1,Table2[HomeTeam],$A68, Table2[AwayTeam], V$36, Table2[ActualResult], "OT") + SUMIFS(Table2[HomeWon_], Table2[GameIsOver],1,Table2[AwayTeam],$A68, Table2[HomeTeam], V$36, Table2[ActualResult], "SO") + SUMIFS(Table2[AwayWon], Table2[GameIsOver],1,Table2[HomeTeam],$A68, Table2[AwayTeam], V$36, Table2[ActualResult], "SO"))), "")</f>
        <v>0.5</v>
      </c>
      <c r="W68" s="58" t="str">
        <f>IFERROR(((2*SUMIFS(Table2[AwayWon], Table2[GameIsOver],1,Table2[AwayTeam],$A68, Table2[HomeTeam], W$36) + SUMIFS(Table2[HomeWon_], Table2[GameIsOver],1,Table2[HomeTeam],$A68, Table2[AwayTeam], W$36)) + SUMIFS(Table2[AwayWon], Table2[GameIsOver],1,Table2[HomeTeam],$A68, Table2[AwayTeam], W$36, Table2[ActualResult], "REG") + SUMIFS(Table2[HomeWon_], Table2[GameIsOver],1,Table2[AwayTeam],$A68, Table2[HomeTeam], W$36, Table2[ActualResult], "OT") + SUMIFS(Table2[AwayWon], Table2[GameIsOver],1,Table2[HomeTeam],$A68, Table2[AwayTeam], W$36, Table2[ActualResult], "OT") + SUMIFS(Table2[HomeWon_], Table2[GameIsOver],1,Table2[AwayTeam],$A68, Table2[HomeTeam], W$36, Table2[ActualResult], "SO") + SUMIFS(Table2[AwayWon], Table2[GameIsOver],1,Table2[HomeTeam],$A68, Table2[AwayTeam], W$36, Table2[ActualResult], "SO")) / (2*(SUMIFS(Table2[AwayWon], Table2[GameIsOver],1,Table2[AwayTeam],$A68, Table2[HomeTeam], W$36) + SUMIFS(Table2[HomeWon_], Table2[GameIsOver],1,Table2[HomeTeam],$A68, Table2[AwayTeam], W$36) + SUMIFS(Table2[HomeWon_], Table2[GameIsOver],1,Table2[AwayTeam],$A68, Table2[HomeTeam], W$36, Table2[ActualResult], "REG") + SUMIFS(Table2[AwayWon], Table2[GameIsOver],1,Table2[HomeTeam],$A68, Table2[AwayTeam], W$36, Table2[ActualResult], "REG") + SUMIFS(Table2[HomeWon_], Table2[GameIsOver],1,Table2[AwayTeam],$A68, Table2[HomeTeam], W$36, Table2[ActualResult], "OT") + SUMIFS(Table2[AwayWon], Table2[GameIsOver],1,Table2[HomeTeam],$A68, Table2[AwayTeam], W$36, Table2[ActualResult], "OT") + SUMIFS(Table2[HomeWon_], Table2[GameIsOver],1,Table2[AwayTeam],$A68, Table2[HomeTeam], W$36, Table2[ActualResult], "SO") + SUMIFS(Table2[AwayWon], Table2[GameIsOver],1,Table2[HomeTeam],$A68, Table2[AwayTeam], W$36, Table2[ActualResult], "SO"))), "")</f>
        <v/>
      </c>
      <c r="X68" s="58" t="str">
        <f>IFERROR(((2*SUMIFS(Table2[AwayWon], Table2[GameIsOver],1,Table2[AwayTeam],$A68, Table2[HomeTeam], X$36) + SUMIFS(Table2[HomeWon_], Table2[GameIsOver],1,Table2[HomeTeam],$A68, Table2[AwayTeam], X$36)) + SUMIFS(Table2[AwayWon], Table2[GameIsOver],1,Table2[HomeTeam],$A68, Table2[AwayTeam], X$36, Table2[ActualResult], "REG") + SUMIFS(Table2[HomeWon_], Table2[GameIsOver],1,Table2[AwayTeam],$A68, Table2[HomeTeam], X$36, Table2[ActualResult], "OT") + SUMIFS(Table2[AwayWon], Table2[GameIsOver],1,Table2[HomeTeam],$A68, Table2[AwayTeam], X$36, Table2[ActualResult], "OT") + SUMIFS(Table2[HomeWon_], Table2[GameIsOver],1,Table2[AwayTeam],$A68, Table2[HomeTeam], X$36, Table2[ActualResult], "SO") + SUMIFS(Table2[AwayWon], Table2[GameIsOver],1,Table2[HomeTeam],$A68, Table2[AwayTeam], X$36, Table2[ActualResult], "SO")) / (2*(SUMIFS(Table2[AwayWon], Table2[GameIsOver],1,Table2[AwayTeam],$A68, Table2[HomeTeam], X$36) + SUMIFS(Table2[HomeWon_], Table2[GameIsOver],1,Table2[HomeTeam],$A68, Table2[AwayTeam], X$36) + SUMIFS(Table2[HomeWon_], Table2[GameIsOver],1,Table2[AwayTeam],$A68, Table2[HomeTeam], X$36, Table2[ActualResult], "REG") + SUMIFS(Table2[AwayWon], Table2[GameIsOver],1,Table2[HomeTeam],$A68, Table2[AwayTeam], X$36, Table2[ActualResult], "REG") + SUMIFS(Table2[HomeWon_], Table2[GameIsOver],1,Table2[AwayTeam],$A68, Table2[HomeTeam], X$36, Table2[ActualResult], "OT") + SUMIFS(Table2[AwayWon], Table2[GameIsOver],1,Table2[HomeTeam],$A68, Table2[AwayTeam], X$36, Table2[ActualResult], "OT") + SUMIFS(Table2[HomeWon_], Table2[GameIsOver],1,Table2[AwayTeam],$A68, Table2[HomeTeam], X$36, Table2[ActualResult], "SO") + SUMIFS(Table2[AwayWon], Table2[GameIsOver],1,Table2[HomeTeam],$A68, Table2[AwayTeam], X$36, Table2[ActualResult], "SO"))), "")</f>
        <v/>
      </c>
      <c r="Y68" s="59" t="str">
        <f>IFERROR(((2*SUMIFS(Table2[AwayWon], Table2[GameIsOver],1,Table2[AwayTeam],$A68, Table2[HomeTeam], Y$36) + SUMIFS(Table2[HomeWon_], Table2[GameIsOver],1,Table2[HomeTeam],$A68, Table2[AwayTeam], Y$36)) + SUMIFS(Table2[AwayWon], Table2[GameIsOver],1,Table2[HomeTeam],$A68, Table2[AwayTeam], Y$36, Table2[ActualResult], "REG") + SUMIFS(Table2[HomeWon_], Table2[GameIsOver],1,Table2[AwayTeam],$A68, Table2[HomeTeam], Y$36, Table2[ActualResult], "OT") + SUMIFS(Table2[AwayWon], Table2[GameIsOver],1,Table2[HomeTeam],$A68, Table2[AwayTeam], Y$36, Table2[ActualResult], "OT") + SUMIFS(Table2[HomeWon_], Table2[GameIsOver],1,Table2[AwayTeam],$A68, Table2[HomeTeam], Y$36, Table2[ActualResult], "SO") + SUMIFS(Table2[AwayWon], Table2[GameIsOver],1,Table2[HomeTeam],$A68, Table2[AwayTeam], Y$36, Table2[ActualResult], "SO")) / (2*(SUMIFS(Table2[AwayWon], Table2[GameIsOver],1,Table2[AwayTeam],$A68, Table2[HomeTeam], Y$36) + SUMIFS(Table2[HomeWon_], Table2[GameIsOver],1,Table2[HomeTeam],$A68, Table2[AwayTeam], Y$36) + SUMIFS(Table2[HomeWon_], Table2[GameIsOver],1,Table2[AwayTeam],$A68, Table2[HomeTeam], Y$36, Table2[ActualResult], "REG") + SUMIFS(Table2[AwayWon], Table2[GameIsOver],1,Table2[HomeTeam],$A68, Table2[AwayTeam], Y$36, Table2[ActualResult], "REG") + SUMIFS(Table2[HomeWon_], Table2[GameIsOver],1,Table2[AwayTeam],$A68, Table2[HomeTeam], Y$36, Table2[ActualResult], "OT") + SUMIFS(Table2[AwayWon], Table2[GameIsOver],1,Table2[HomeTeam],$A68, Table2[AwayTeam], Y$36, Table2[ActualResult], "OT") + SUMIFS(Table2[HomeWon_], Table2[GameIsOver],1,Table2[AwayTeam],$A68, Table2[HomeTeam], Y$36, Table2[ActualResult], "SO") + SUMIFS(Table2[AwayWon], Table2[GameIsOver],1,Table2[HomeTeam],$A68, Table2[AwayTeam], Y$36, Table2[ActualResult], "SO"))), "")</f>
        <v/>
      </c>
      <c r="Z68" s="58" t="str">
        <f>IFERROR(((2*SUMIFS(Table2[AwayWon], Table2[GameIsOver],1,Table2[AwayTeam],$A68, Table2[HomeTeam], Z$36) + SUMIFS(Table2[HomeWon_], Table2[GameIsOver],1,Table2[HomeTeam],$A68, Table2[AwayTeam], Z$36)) + SUMIFS(Table2[AwayWon], Table2[GameIsOver],1,Table2[HomeTeam],$A68, Table2[AwayTeam], Z$36, Table2[ActualResult], "REG") + SUMIFS(Table2[HomeWon_], Table2[GameIsOver],1,Table2[AwayTeam],$A68, Table2[HomeTeam], Z$36, Table2[ActualResult], "OT") + SUMIFS(Table2[AwayWon], Table2[GameIsOver],1,Table2[HomeTeam],$A68, Table2[AwayTeam], Z$36, Table2[ActualResult], "OT") + SUMIFS(Table2[HomeWon_], Table2[GameIsOver],1,Table2[AwayTeam],$A68, Table2[HomeTeam], Z$36, Table2[ActualResult], "SO") + SUMIFS(Table2[AwayWon], Table2[GameIsOver],1,Table2[HomeTeam],$A68, Table2[AwayTeam], Z$36, Table2[ActualResult], "SO")) / (2*(SUMIFS(Table2[AwayWon], Table2[GameIsOver],1,Table2[AwayTeam],$A68, Table2[HomeTeam], Z$36) + SUMIFS(Table2[HomeWon_], Table2[GameIsOver],1,Table2[HomeTeam],$A68, Table2[AwayTeam], Z$36) + SUMIFS(Table2[HomeWon_], Table2[GameIsOver],1,Table2[AwayTeam],$A68, Table2[HomeTeam], Z$36, Table2[ActualResult], "REG") + SUMIFS(Table2[AwayWon], Table2[GameIsOver],1,Table2[HomeTeam],$A68, Table2[AwayTeam], Z$36, Table2[ActualResult], "REG") + SUMIFS(Table2[HomeWon_], Table2[GameIsOver],1,Table2[AwayTeam],$A68, Table2[HomeTeam], Z$36, Table2[ActualResult], "OT") + SUMIFS(Table2[AwayWon], Table2[GameIsOver],1,Table2[HomeTeam],$A68, Table2[AwayTeam], Z$36, Table2[ActualResult], "OT") + SUMIFS(Table2[HomeWon_], Table2[GameIsOver],1,Table2[AwayTeam],$A68, Table2[HomeTeam], Z$36, Table2[ActualResult], "SO") + SUMIFS(Table2[AwayWon], Table2[GameIsOver],1,Table2[HomeTeam],$A68, Table2[AwayTeam], Z$36, Table2[ActualResult], "SO"))), "")</f>
        <v/>
      </c>
      <c r="AA68" s="58" t="str">
        <f>IFERROR(((2*SUMIFS(Table2[AwayWon], Table2[GameIsOver],1,Table2[AwayTeam],$A68, Table2[HomeTeam], AA$36) + SUMIFS(Table2[HomeWon_], Table2[GameIsOver],1,Table2[HomeTeam],$A68, Table2[AwayTeam], AA$36)) + SUMIFS(Table2[AwayWon], Table2[GameIsOver],1,Table2[HomeTeam],$A68, Table2[AwayTeam], AA$36, Table2[ActualResult], "REG") + SUMIFS(Table2[HomeWon_], Table2[GameIsOver],1,Table2[AwayTeam],$A68, Table2[HomeTeam], AA$36, Table2[ActualResult], "OT") + SUMIFS(Table2[AwayWon], Table2[GameIsOver],1,Table2[HomeTeam],$A68, Table2[AwayTeam], AA$36, Table2[ActualResult], "OT") + SUMIFS(Table2[HomeWon_], Table2[GameIsOver],1,Table2[AwayTeam],$A68, Table2[HomeTeam], AA$36, Table2[ActualResult], "SO") + SUMIFS(Table2[AwayWon], Table2[GameIsOver],1,Table2[HomeTeam],$A68, Table2[AwayTeam], AA$36, Table2[ActualResult], "SO")) / (2*(SUMIFS(Table2[AwayWon], Table2[GameIsOver],1,Table2[AwayTeam],$A68, Table2[HomeTeam], AA$36) + SUMIFS(Table2[HomeWon_], Table2[GameIsOver],1,Table2[HomeTeam],$A68, Table2[AwayTeam], AA$36) + SUMIFS(Table2[HomeWon_], Table2[GameIsOver],1,Table2[AwayTeam],$A68, Table2[HomeTeam], AA$36, Table2[ActualResult], "REG") + SUMIFS(Table2[AwayWon], Table2[GameIsOver],1,Table2[HomeTeam],$A68, Table2[AwayTeam], AA$36, Table2[ActualResult], "REG") + SUMIFS(Table2[HomeWon_], Table2[GameIsOver],1,Table2[AwayTeam],$A68, Table2[HomeTeam], AA$36, Table2[ActualResult], "OT") + SUMIFS(Table2[AwayWon], Table2[GameIsOver],1,Table2[HomeTeam],$A68, Table2[AwayTeam], AA$36, Table2[ActualResult], "OT") + SUMIFS(Table2[HomeWon_], Table2[GameIsOver],1,Table2[AwayTeam],$A68, Table2[HomeTeam], AA$36, Table2[ActualResult], "SO") + SUMIFS(Table2[AwayWon], Table2[GameIsOver],1,Table2[HomeTeam],$A68, Table2[AwayTeam], AA$36, Table2[ActualResult], "SO"))), "")</f>
        <v/>
      </c>
      <c r="AB68" s="58">
        <f>IFERROR(((2*SUMIFS(Table2[AwayWon], Table2[GameIsOver],1,Table2[AwayTeam],$A68, Table2[HomeTeam], AB$36) + SUMIFS(Table2[HomeWon_], Table2[GameIsOver],1,Table2[HomeTeam],$A68, Table2[AwayTeam], AB$36)) + SUMIFS(Table2[AwayWon], Table2[GameIsOver],1,Table2[HomeTeam],$A68, Table2[AwayTeam], AB$36, Table2[ActualResult], "REG") + SUMIFS(Table2[HomeWon_], Table2[GameIsOver],1,Table2[AwayTeam],$A68, Table2[HomeTeam], AB$36, Table2[ActualResult], "OT") + SUMIFS(Table2[AwayWon], Table2[GameIsOver],1,Table2[HomeTeam],$A68, Table2[AwayTeam], AB$36, Table2[ActualResult], "OT") + SUMIFS(Table2[HomeWon_], Table2[GameIsOver],1,Table2[AwayTeam],$A68, Table2[HomeTeam], AB$36, Table2[ActualResult], "SO") + SUMIFS(Table2[AwayWon], Table2[GameIsOver],1,Table2[HomeTeam],$A68, Table2[AwayTeam], AB$36, Table2[ActualResult], "SO")) / (2*(SUMIFS(Table2[AwayWon], Table2[GameIsOver],1,Table2[AwayTeam],$A68, Table2[HomeTeam], AB$36) + SUMIFS(Table2[HomeWon_], Table2[GameIsOver],1,Table2[HomeTeam],$A68, Table2[AwayTeam], AB$36) + SUMIFS(Table2[HomeWon_], Table2[GameIsOver],1,Table2[AwayTeam],$A68, Table2[HomeTeam], AB$36, Table2[ActualResult], "REG") + SUMIFS(Table2[AwayWon], Table2[GameIsOver],1,Table2[HomeTeam],$A68, Table2[AwayTeam], AB$36, Table2[ActualResult], "REG") + SUMIFS(Table2[HomeWon_], Table2[GameIsOver],1,Table2[AwayTeam],$A68, Table2[HomeTeam], AB$36, Table2[ActualResult], "OT") + SUMIFS(Table2[AwayWon], Table2[GameIsOver],1,Table2[HomeTeam],$A68, Table2[AwayTeam], AB$36, Table2[ActualResult], "OT") + SUMIFS(Table2[HomeWon_], Table2[GameIsOver],1,Table2[AwayTeam],$A68, Table2[HomeTeam], AB$36, Table2[ActualResult], "SO") + SUMIFS(Table2[AwayWon], Table2[GameIsOver],1,Table2[HomeTeam],$A68, Table2[AwayTeam], AB$36, Table2[ActualResult], "SO"))), "")</f>
        <v>0.25</v>
      </c>
      <c r="AC68" s="58" t="str">
        <f>IFERROR(((2*SUMIFS(Table2[AwayWon], Table2[GameIsOver],1,Table2[AwayTeam],$A68, Table2[HomeTeam], AC$36) + SUMIFS(Table2[HomeWon_], Table2[GameIsOver],1,Table2[HomeTeam],$A68, Table2[AwayTeam], AC$36)) + SUMIFS(Table2[AwayWon], Table2[GameIsOver],1,Table2[HomeTeam],$A68, Table2[AwayTeam], AC$36, Table2[ActualResult], "REG") + SUMIFS(Table2[HomeWon_], Table2[GameIsOver],1,Table2[AwayTeam],$A68, Table2[HomeTeam], AC$36, Table2[ActualResult], "OT") + SUMIFS(Table2[AwayWon], Table2[GameIsOver],1,Table2[HomeTeam],$A68, Table2[AwayTeam], AC$36, Table2[ActualResult], "OT") + SUMIFS(Table2[HomeWon_], Table2[GameIsOver],1,Table2[AwayTeam],$A68, Table2[HomeTeam], AC$36, Table2[ActualResult], "SO") + SUMIFS(Table2[AwayWon], Table2[GameIsOver],1,Table2[HomeTeam],$A68, Table2[AwayTeam], AC$36, Table2[ActualResult], "SO")) / (2*(SUMIFS(Table2[AwayWon], Table2[GameIsOver],1,Table2[AwayTeam],$A68, Table2[HomeTeam], AC$36) + SUMIFS(Table2[HomeWon_], Table2[GameIsOver],1,Table2[HomeTeam],$A68, Table2[AwayTeam], AC$36) + SUMIFS(Table2[HomeWon_], Table2[GameIsOver],1,Table2[AwayTeam],$A68, Table2[HomeTeam], AC$36, Table2[ActualResult], "REG") + SUMIFS(Table2[AwayWon], Table2[GameIsOver],1,Table2[HomeTeam],$A68, Table2[AwayTeam], AC$36, Table2[ActualResult], "REG") + SUMIFS(Table2[HomeWon_], Table2[GameIsOver],1,Table2[AwayTeam],$A68, Table2[HomeTeam], AC$36, Table2[ActualResult], "OT") + SUMIFS(Table2[AwayWon], Table2[GameIsOver],1,Table2[HomeTeam],$A68, Table2[AwayTeam], AC$36, Table2[ActualResult], "OT") + SUMIFS(Table2[HomeWon_], Table2[GameIsOver],1,Table2[AwayTeam],$A68, Table2[HomeTeam], AC$36, Table2[ActualResult], "SO") + SUMIFS(Table2[AwayWon], Table2[GameIsOver],1,Table2[HomeTeam],$A68, Table2[AwayTeam], AC$36, Table2[ActualResult], "SO"))), "")</f>
        <v/>
      </c>
      <c r="AD68" s="58">
        <f>IFERROR(((2*SUMIFS(Table2[AwayWon], Table2[GameIsOver],1,Table2[AwayTeam],$A68, Table2[HomeTeam], AD$36) + SUMIFS(Table2[HomeWon_], Table2[GameIsOver],1,Table2[HomeTeam],$A68, Table2[AwayTeam], AD$36)) + SUMIFS(Table2[AwayWon], Table2[GameIsOver],1,Table2[HomeTeam],$A68, Table2[AwayTeam], AD$36, Table2[ActualResult], "REG") + SUMIFS(Table2[HomeWon_], Table2[GameIsOver],1,Table2[AwayTeam],$A68, Table2[HomeTeam], AD$36, Table2[ActualResult], "OT") + SUMIFS(Table2[AwayWon], Table2[GameIsOver],1,Table2[HomeTeam],$A68, Table2[AwayTeam], AD$36, Table2[ActualResult], "OT") + SUMIFS(Table2[HomeWon_], Table2[GameIsOver],1,Table2[AwayTeam],$A68, Table2[HomeTeam], AD$36, Table2[ActualResult], "SO") + SUMIFS(Table2[AwayWon], Table2[GameIsOver],1,Table2[HomeTeam],$A68, Table2[AwayTeam], AD$36, Table2[ActualResult], "SO")) / (2*(SUMIFS(Table2[AwayWon], Table2[GameIsOver],1,Table2[AwayTeam],$A68, Table2[HomeTeam], AD$36) + SUMIFS(Table2[HomeWon_], Table2[GameIsOver],1,Table2[HomeTeam],$A68, Table2[AwayTeam], AD$36) + SUMIFS(Table2[HomeWon_], Table2[GameIsOver],1,Table2[AwayTeam],$A68, Table2[HomeTeam], AD$36, Table2[ActualResult], "REG") + SUMIFS(Table2[AwayWon], Table2[GameIsOver],1,Table2[HomeTeam],$A68, Table2[AwayTeam], AD$36, Table2[ActualResult], "REG") + SUMIFS(Table2[HomeWon_], Table2[GameIsOver],1,Table2[AwayTeam],$A68, Table2[HomeTeam], AD$36, Table2[ActualResult], "OT") + SUMIFS(Table2[AwayWon], Table2[GameIsOver],1,Table2[HomeTeam],$A68, Table2[AwayTeam], AD$36, Table2[ActualResult], "OT") + SUMIFS(Table2[HomeWon_], Table2[GameIsOver],1,Table2[AwayTeam],$A68, Table2[HomeTeam], AD$36, Table2[ActualResult], "SO") + SUMIFS(Table2[AwayWon], Table2[GameIsOver],1,Table2[HomeTeam],$A68, Table2[AwayTeam], AD$36, Table2[ActualResult], "SO"))), "")</f>
        <v>0.5</v>
      </c>
      <c r="AE68" s="58" t="str">
        <f>IFERROR(((2*SUMIFS(Table2[AwayWon], Table2[GameIsOver],1,Table2[AwayTeam],$A68, Table2[HomeTeam], AE$36) + SUMIFS(Table2[HomeWon_], Table2[GameIsOver],1,Table2[HomeTeam],$A68, Table2[AwayTeam], AE$36)) + SUMIFS(Table2[AwayWon], Table2[GameIsOver],1,Table2[HomeTeam],$A68, Table2[AwayTeam], AE$36, Table2[ActualResult], "REG") + SUMIFS(Table2[HomeWon_], Table2[GameIsOver],1,Table2[AwayTeam],$A68, Table2[HomeTeam], AE$36, Table2[ActualResult], "OT") + SUMIFS(Table2[AwayWon], Table2[GameIsOver],1,Table2[HomeTeam],$A68, Table2[AwayTeam], AE$36, Table2[ActualResult], "OT") + SUMIFS(Table2[HomeWon_], Table2[GameIsOver],1,Table2[AwayTeam],$A68, Table2[HomeTeam], AE$36, Table2[ActualResult], "SO") + SUMIFS(Table2[AwayWon], Table2[GameIsOver],1,Table2[HomeTeam],$A68, Table2[AwayTeam], AE$36, Table2[ActualResult], "SO")) / (2*(SUMIFS(Table2[AwayWon], Table2[GameIsOver],1,Table2[AwayTeam],$A68, Table2[HomeTeam], AE$36) + SUMIFS(Table2[HomeWon_], Table2[GameIsOver],1,Table2[HomeTeam],$A68, Table2[AwayTeam], AE$36) + SUMIFS(Table2[HomeWon_], Table2[GameIsOver],1,Table2[AwayTeam],$A68, Table2[HomeTeam], AE$36, Table2[ActualResult], "REG") + SUMIFS(Table2[AwayWon], Table2[GameIsOver],1,Table2[HomeTeam],$A68, Table2[AwayTeam], AE$36, Table2[ActualResult], "REG") + SUMIFS(Table2[HomeWon_], Table2[GameIsOver],1,Table2[AwayTeam],$A68, Table2[HomeTeam], AE$36, Table2[ActualResult], "OT") + SUMIFS(Table2[AwayWon], Table2[GameIsOver],1,Table2[HomeTeam],$A68, Table2[AwayTeam], AE$36, Table2[ActualResult], "OT") + SUMIFS(Table2[HomeWon_], Table2[GameIsOver],1,Table2[AwayTeam],$A68, Table2[HomeTeam], AE$36, Table2[ActualResult], "SO") + SUMIFS(Table2[AwayWon], Table2[GameIsOver],1,Table2[HomeTeam],$A68, Table2[AwayTeam], AE$36, Table2[ActualResult], "SO"))), "")</f>
        <v/>
      </c>
      <c r="AF68" s="58" t="str">
        <f>IFERROR(((2*SUMIFS(Table2[AwayWon], Table2[GameIsOver],1,Table2[AwayTeam],$A68, Table2[HomeTeam], AF$36) + SUMIFS(Table2[HomeWon_], Table2[GameIsOver],1,Table2[HomeTeam],$A68, Table2[AwayTeam], AF$36)) + SUMIFS(Table2[AwayWon], Table2[GameIsOver],1,Table2[HomeTeam],$A68, Table2[AwayTeam], AF$36, Table2[ActualResult], "REG") + SUMIFS(Table2[HomeWon_], Table2[GameIsOver],1,Table2[AwayTeam],$A68, Table2[HomeTeam], AF$36, Table2[ActualResult], "OT") + SUMIFS(Table2[AwayWon], Table2[GameIsOver],1,Table2[HomeTeam],$A68, Table2[AwayTeam], AF$36, Table2[ActualResult], "OT") + SUMIFS(Table2[HomeWon_], Table2[GameIsOver],1,Table2[AwayTeam],$A68, Table2[HomeTeam], AF$36, Table2[ActualResult], "SO") + SUMIFS(Table2[AwayWon], Table2[GameIsOver],1,Table2[HomeTeam],$A68, Table2[AwayTeam], AF$36, Table2[ActualResult], "SO")) / (2*(SUMIFS(Table2[AwayWon], Table2[GameIsOver],1,Table2[AwayTeam],$A68, Table2[HomeTeam], AF$36) + SUMIFS(Table2[HomeWon_], Table2[GameIsOver],1,Table2[HomeTeam],$A68, Table2[AwayTeam], AF$36) + SUMIFS(Table2[HomeWon_], Table2[GameIsOver],1,Table2[AwayTeam],$A68, Table2[HomeTeam], AF$36, Table2[ActualResult], "REG") + SUMIFS(Table2[AwayWon], Table2[GameIsOver],1,Table2[HomeTeam],$A68, Table2[AwayTeam], AF$36, Table2[ActualResult], "REG") + SUMIFS(Table2[HomeWon_], Table2[GameIsOver],1,Table2[AwayTeam],$A68, Table2[HomeTeam], AF$36, Table2[ActualResult], "OT") + SUMIFS(Table2[AwayWon], Table2[GameIsOver],1,Table2[HomeTeam],$A68, Table2[AwayTeam], AF$36, Table2[ActualResult], "OT") + SUMIFS(Table2[HomeWon_], Table2[GameIsOver],1,Table2[AwayTeam],$A68, Table2[HomeTeam], AF$36, Table2[ActualResult], "SO") + SUMIFS(Table2[AwayWon], Table2[GameIsOver],1,Table2[HomeTeam],$A68, Table2[AwayTeam], AF$36, Table2[ActualResult], "SO"))), "")</f>
        <v/>
      </c>
      <c r="AG68" s="99" t="str">
        <f>IFERROR(((2*SUMIFS(Table2[AwayWon], Table2[GameIsOver],1,Table2[AwayTeam],$A68, Table2[HomeTeam], AG$36) + SUMIFS(Table2[HomeWon_], Table2[GameIsOver],1,Table2[HomeTeam],$A68, Table2[AwayTeam], AG$36)) + SUMIFS(Table2[AwayWon], Table2[GameIsOver],1,Table2[HomeTeam],$A68, Table2[AwayTeam], AG$36, Table2[ActualResult], "REG") + SUMIFS(Table2[HomeWon_], Table2[GameIsOver],1,Table2[AwayTeam],$A68, Table2[HomeTeam], AG$36, Table2[ActualResult], "OT") + SUMIFS(Table2[AwayWon], Table2[GameIsOver],1,Table2[HomeTeam],$A68, Table2[AwayTeam], AG$36, Table2[ActualResult], "OT") + SUMIFS(Table2[HomeWon_], Table2[GameIsOver],1,Table2[AwayTeam],$A68, Table2[HomeTeam], AG$36, Table2[ActualResult], "SO") + SUMIFS(Table2[AwayWon], Table2[GameIsOver],1,Table2[HomeTeam],$A68, Table2[AwayTeam], AG$36, Table2[ActualResult], "SO")) / (2*(SUMIFS(Table2[AwayWon], Table2[GameIsOver],1,Table2[AwayTeam],$A68, Table2[HomeTeam], AG$36) + SUMIFS(Table2[HomeWon_], Table2[GameIsOver],1,Table2[HomeTeam],$A68, Table2[AwayTeam], AG$36) + SUMIFS(Table2[HomeWon_], Table2[GameIsOver],1,Table2[AwayTeam],$A68, Table2[HomeTeam], AG$36, Table2[ActualResult], "REG") + SUMIFS(Table2[AwayWon], Table2[GameIsOver],1,Table2[HomeTeam],$A68, Table2[AwayTeam], AG$36, Table2[ActualResult], "REG") + SUMIFS(Table2[HomeWon_], Table2[GameIsOver],1,Table2[AwayTeam],$A68, Table2[HomeTeam], AG$36, Table2[ActualResult], "OT") + SUMIFS(Table2[AwayWon], Table2[GameIsOver],1,Table2[HomeTeam],$A68, Table2[AwayTeam], AG$36, Table2[ActualResult], "OT") + SUMIFS(Table2[HomeWon_], Table2[GameIsOver],1,Table2[AwayTeam],$A68, Table2[HomeTeam], AG$36, Table2[ActualResult], "SO") + SUMIFS(Table2[AwayWon], Table2[GameIsOver],1,Table2[HomeTeam],$A68, Table2[AwayTeam], AG$36, Table2[ActualResult], "SO"))), "")</f>
        <v/>
      </c>
      <c r="AH68" s="102">
        <f t="shared" si="0"/>
        <v>0.4375</v>
      </c>
      <c r="AI68" s="102">
        <f t="shared" si="1"/>
        <v>0.5</v>
      </c>
      <c r="AJ68" s="104">
        <f t="shared" si="2"/>
        <v>0.375</v>
      </c>
      <c r="AK68" s="104">
        <f t="shared" si="3"/>
        <v>0.5</v>
      </c>
      <c r="AL68" s="104">
        <f t="shared" si="4"/>
        <v>0.5</v>
      </c>
      <c r="AM68" s="104">
        <f t="shared" si="5"/>
        <v>0.5</v>
      </c>
    </row>
    <row r="69" spans="1:39" ht="15.75" thickTop="1" x14ac:dyDescent="0.25"/>
  </sheetData>
  <conditionalFormatting sqref="B2:AG33">
    <cfRule type="cellIs" dxfId="10" priority="1" operator="equal">
      <formula>"2-2-0"</formula>
    </cfRule>
    <cfRule type="cellIs" dxfId="9" priority="2" operator="equal">
      <formula>"1-1-0"</formula>
    </cfRule>
    <cfRule type="containsText" dxfId="8" priority="23" operator="containsText" text="0-1-0">
      <formula>NOT(ISERROR(SEARCH("0-1-0",B2)))</formula>
    </cfRule>
    <cfRule type="containsText" dxfId="7" priority="24" operator="containsText" text="0-2-0">
      <formula>NOT(ISERROR(SEARCH("0-2-0",B2)))</formula>
    </cfRule>
    <cfRule type="containsText" dxfId="6" priority="25" operator="containsText" text="0-3-0">
      <formula>NOT(ISERROR(SEARCH("0-3-0",B2)))</formula>
    </cfRule>
    <cfRule type="containsText" dxfId="5" priority="26" operator="containsText" text="0-4-0">
      <formula>NOT(ISERROR(SEARCH("0-4-0",B2)))</formula>
    </cfRule>
    <cfRule type="containsText" dxfId="4" priority="27" operator="containsText" text="1-0-0">
      <formula>NOT(ISERROR(SEARCH("1-0-0",B2)))</formula>
    </cfRule>
    <cfRule type="containsText" dxfId="3" priority="28" operator="containsText" text="2-0-0">
      <formula>NOT(ISERROR(SEARCH("2-0-0",B2)))</formula>
    </cfRule>
    <cfRule type="containsText" dxfId="2" priority="29" operator="containsText" text="3-0-0">
      <formula>NOT(ISERROR(SEARCH("3-0-0",B2)))</formula>
    </cfRule>
    <cfRule type="containsText" dxfId="1" priority="30" operator="containsText" text="4-0-0">
      <formula>NOT(ISERROR(SEARCH("4-0-0",B2)))</formula>
    </cfRule>
    <cfRule type="containsText" dxfId="0" priority="31" operator="containsText" text="0-0-0">
      <formula>NOT(ISERROR(SEARCH("0-0-0",B2)))</formula>
    </cfRule>
  </conditionalFormatting>
  <conditionalFormatting sqref="B37:AG68">
    <cfRule type="colorScale" priority="4">
      <colorScale>
        <cfvo type="percentile" val="10"/>
        <cfvo type="percentile" val="90"/>
        <color rgb="FFE20000"/>
        <color theme="9" tint="0.39997558519241921"/>
      </colorScale>
    </cfRule>
  </conditionalFormatting>
  <conditionalFormatting sqref="AH37:AM68">
    <cfRule type="colorScale" priority="3">
      <colorScale>
        <cfvo type="percentile" val="10"/>
        <cfvo type="percentile" val="50"/>
        <cfvo type="percentile" val="90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DC793A9-3841-4119-BF21-8FF16FA3E97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DataRegularSeason20242025</vt:lpstr>
      <vt:lpstr>Sheet1</vt:lpstr>
      <vt:lpstr>Sheet2</vt:lpstr>
      <vt:lpstr>TotalTeamGames20242025</vt:lpstr>
      <vt:lpstr>CurrentTeamGames20242025</vt:lpstr>
      <vt:lpstr>CTG2425_DIV</vt:lpstr>
      <vt:lpstr>WatchedGames20242025</vt:lpstr>
      <vt:lpstr>StatsRegularSeason20242025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Avery Briggs</dc:creator>
  <cp:lastModifiedBy>Avery Briggs</cp:lastModifiedBy>
  <dcterms:created xsi:type="dcterms:W3CDTF">2024-10-08T19:22:30Z</dcterms:created>
  <dcterms:modified xsi:type="dcterms:W3CDTF">2025-10-22T22:52:33Z</dcterms:modified>
</cp:coreProperties>
</file>